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Ex1.xml" ContentType="application/vnd.ms-office.chartex+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harts/chart1.xml" ContentType="application/vnd.openxmlformats-officedocument.drawingml.chart+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ctrlProps/ctrlProp40.xml" ContentType="application/vnd.ms-excel.controlproperti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drawings/drawing7.xml" ContentType="application/vnd.openxmlformats-officedocument.drawing+xml"/>
  <Override PartName="/xl/charts/chart8.xml" ContentType="application/vnd.openxmlformats-officedocument.drawingml.chart+xml"/>
  <Override PartName="/xl/charts/chart9.xml" ContentType="application/vnd.openxmlformats-officedocument.drawingml.chart+xml"/>
  <Override PartName="/xl/drawings/drawing8.xml" ContentType="application/vnd.openxmlformats-officedocument.drawing+xml"/>
  <Override PartName="/xl/charts/chart10.xml" ContentType="application/vnd.openxmlformats-officedocument.drawingml.chart+xml"/>
  <Override PartName="/xl/charts/chart11.xml" ContentType="application/vnd.openxmlformats-officedocument.drawingml.chart+xml"/>
  <Override PartName="/xl/drawings/drawing9.xml" ContentType="application/vnd.openxmlformats-officedocument.drawing+xml"/>
  <Override PartName="/xl/drawings/drawing10.xml" ContentType="application/vnd.openxmlformats-officedocument.drawing+xml"/>
  <Override PartName="/xl/charts/chart12.xml" ContentType="application/vnd.openxmlformats-officedocument.drawingml.chart+xml"/>
  <Override PartName="/xl/charts/style7.xml" ContentType="application/vnd.ms-office.chartstyle+xml"/>
  <Override PartName="/xl/charts/colors7.xml" ContentType="application/vnd.ms-office.chartcolorstyle+xml"/>
  <Override PartName="/xl/charts/chart13.xml" ContentType="application/vnd.openxmlformats-officedocument.drawingml.chart+xml"/>
  <Override PartName="/xl/charts/style8.xml" ContentType="application/vnd.ms-office.chartstyle+xml"/>
  <Override PartName="/xl/charts/colors8.xml" ContentType="application/vnd.ms-office.chartcolorstyle+xml"/>
  <Override PartName="/xl/charts/chart14.xml" ContentType="application/vnd.openxmlformats-officedocument.drawingml.chart+xml"/>
  <Override PartName="/xl/charts/style9.xml" ContentType="application/vnd.ms-office.chartstyle+xml"/>
  <Override PartName="/xl/charts/colors9.xml" ContentType="application/vnd.ms-office.chartcolorstyle+xml"/>
  <Override PartName="/xl/charts/chart15.xml" ContentType="application/vnd.openxmlformats-officedocument.drawingml.chart+xml"/>
  <Override PartName="/xl/charts/style10.xml" ContentType="application/vnd.ms-office.chartstyle+xml"/>
  <Override PartName="/xl/charts/colors10.xml" ContentType="application/vnd.ms-office.chartcolorstyle+xml"/>
  <Override PartName="/xl/charts/chart16.xml" ContentType="application/vnd.openxmlformats-officedocument.drawingml.chart+xml"/>
  <Override PartName="/xl/charts/style11.xml" ContentType="application/vnd.ms-office.chartstyle+xml"/>
  <Override PartName="/xl/charts/colors11.xml" ContentType="application/vnd.ms-office.chartcolorstyle+xml"/>
  <Override PartName="/xl/charts/chart17.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1.xml" ContentType="application/vnd.openxmlformats-officedocument.drawing+xml"/>
  <Override PartName="/xl/drawings/drawing12.xml" ContentType="application/vnd.openxmlformats-officedocument.drawing+xml"/>
  <Override PartName="/xl/charts/chart18.xml" ContentType="application/vnd.openxmlformats-officedocument.drawingml.chart+xml"/>
  <Override PartName="/xl/charts/style13.xml" ContentType="application/vnd.ms-office.chartstyle+xml"/>
  <Override PartName="/xl/charts/colors13.xml" ContentType="application/vnd.ms-office.chartcolorstyle+xml"/>
  <Override PartName="/xl/charts/chart19.xml" ContentType="application/vnd.openxmlformats-officedocument.drawingml.chart+xml"/>
  <Override PartName="/xl/charts/chart20.xml" ContentType="application/vnd.openxmlformats-officedocument.drawingml.chart+xml"/>
  <Override PartName="/xl/charts/style14.xml" ContentType="application/vnd.ms-office.chartstyle+xml"/>
  <Override PartName="/xl/charts/colors14.xml" ContentType="application/vnd.ms-office.chartcolorstyle+xml"/>
  <Override PartName="/xl/charts/chart21.xml" ContentType="application/vnd.openxmlformats-officedocument.drawingml.chart+xml"/>
  <Override PartName="/xl/charts/style15.xml" ContentType="application/vnd.ms-office.chartstyle+xml"/>
  <Override PartName="/xl/charts/colors15.xml" ContentType="application/vnd.ms-office.chartcolorstyle+xml"/>
  <Override PartName="/xl/charts/chart22.xml" ContentType="application/vnd.openxmlformats-officedocument.drawingml.chart+xml"/>
  <Override PartName="/xl/charts/chart23.xml" ContentType="application/vnd.openxmlformats-officedocument.drawingml.chart+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hidePivotFieldList="1" autoCompressPictures="0"/>
  <mc:AlternateContent xmlns:mc="http://schemas.openxmlformats.org/markup-compatibility/2006">
    <mc:Choice Requires="x15">
      <x15ac:absPath xmlns:x15ac="http://schemas.microsoft.com/office/spreadsheetml/2010/11/ac" url="https://cultiva1-my.sharepoint.com/personal/phynek_cultiva_com/Documents/Documents/EZ/"/>
    </mc:Choice>
  </mc:AlternateContent>
  <xr:revisionPtr revIDLastSave="0" documentId="8_{9B95ADC4-E599-4786-9897-B161902ED808}" xr6:coauthVersionLast="47" xr6:coauthVersionMax="47" xr10:uidLastSave="{00000000-0000-0000-0000-000000000000}"/>
  <bookViews>
    <workbookView xWindow="580" yWindow="760" windowWidth="18620" windowHeight="10090" tabRatio="826" firstSheet="1" activeTab="2" xr2:uid="{A73475F2-D005-4FCB-A126-10EDD02A36A0}"/>
  </bookViews>
  <sheets>
    <sheet name="Accounting" sheetId="85" state="hidden" r:id="rId1"/>
    <sheet name="Instructions" sheetId="88" r:id="rId2"/>
    <sheet name="Input" sheetId="9" r:id="rId3"/>
    <sheet name="Financials" sheetId="14" r:id="rId4"/>
    <sheet name="Calcs" sheetId="16" state="veryHidden" r:id="rId5"/>
    <sheet name="Infrastructure" sheetId="44" state="veryHidden" r:id="rId6"/>
    <sheet name="Street View" sheetId="61" r:id="rId7"/>
    <sheet name="Financing" sheetId="86" state="veryHidden" r:id="rId8"/>
    <sheet name="Summary" sheetId="65" r:id="rId9"/>
    <sheet name="Breakeven" sheetId="69" r:id="rId10"/>
    <sheet name="Investors" sheetId="64" r:id="rId11"/>
    <sheet name="Analysis" sheetId="73" r:id="rId12"/>
    <sheet name="CAC  LTV" sheetId="66" r:id="rId13"/>
    <sheet name="Sources &amp; Uses" sheetId="68" r:id="rId14"/>
    <sheet name="Diagnostics" sheetId="84" state="veryHidden" r:id="rId15"/>
    <sheet name="Reports" sheetId="67" r:id="rId16"/>
  </sheets>
  <definedNames>
    <definedName name="_xlnm._FilterDatabase" localSheetId="5" hidden="1">Infrastructure!$A$1:$E$6</definedName>
    <definedName name="_xlchart.v2.0" hidden="1">Accounting!$T$331:$T$335</definedName>
    <definedName name="_xlchart.v2.1" hidden="1">Accounting!$U$331:$U$335</definedName>
    <definedName name="BalanceSheet">Financials!$A$180:$A$224</definedName>
    <definedName name="CashFlowNegative">Calcs!$I$94:$BP$94</definedName>
    <definedName name="CashFlowPositive">Calcs!$I$93:$BP$93</definedName>
    <definedName name="CompanyInput">Input!$A$17:$A$26</definedName>
    <definedName name="CompanyType">Input!$CY$3</definedName>
    <definedName name="Histo">OFFSET(Infrastructure!XEX1048550:XEX93,0,0,COUNTIF(Infrastructure!XEX1048550:XEX93,"&lt;&gt;"")-countif(Infrastructure!K3:K122,"""))</definedName>
    <definedName name="Histoooo">Infrastructure!$V$5:INDEX(Infrastructure!$R:$R,COUNTA(Infrastructure!$R:$R))</definedName>
    <definedName name="HistoricalMonths">IF(Input!$AC$23="Yes",Infrastructure!$H$11:$H$128,Infrastructure!$M$9:$M$68)</definedName>
    <definedName name="HistoricalsRange">Input!$A$1529:$A$1578</definedName>
    <definedName name="Input">Input!$A$28:$A$33</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41498.6313078704</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aunch" localSheetId="13">'Sources &amp; Uses'!$N$1</definedName>
    <definedName name="LOCAL_MYSQL_DATE_FORMAT" localSheetId="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6"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Mode">Input!$BX$4</definedName>
    <definedName name="ModeDashboard">Input!$A$1:$CG$16</definedName>
    <definedName name="Months">IF(Input!$CE$4="Three",Infrastructure!$M$9:$M$44,Infrastructure!$M$9:$M$68)</definedName>
    <definedName name="PLExpenses">OFFSET(Infrastructure!$C$2,0,0,COUNTA(Infrastructure!$C$2:$C$6),1)</definedName>
    <definedName name="PLNetIncome">OFFSET(Infrastructure!$D$2,0,0,COUNTA(Infrastructure!$D$2:$D$6),1)</definedName>
    <definedName name="PLRevenue">OFFSET(Infrastructure!$B$2,0,0,COUNTA(Infrastructure!$B$2:$B$6),1)</definedName>
    <definedName name="PLYears">OFFSET(Infrastructure!$A$2,0,0,COUNTA(Infrastructure!$A$2:$A$6),1)</definedName>
    <definedName name="RecurringRevenue">Input!$A$1304:$A$1403</definedName>
    <definedName name="valuevx">42.314159</definedName>
    <definedName name="Version">Infrastructure!$L$2</definedName>
    <definedName name="vertex42_copyright" hidden="1">"© 2008-2018 Vertex42 LLC"</definedName>
    <definedName name="vertex42_id" hidden="1">"home-inventory.xlsx"</definedName>
    <definedName name="vertex42_title" hidden="1">"Home Inventory Template"</definedName>
    <definedName name="Years">Input!$CE$4</definedName>
  </definedNames>
  <calcPr calcId="191029" fullCalcOnLoad="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<sst xmlns="http://schemas.openxmlformats.org/spreadsheetml/2006/main" count="1636" uniqueCount="787">
  <si>
    <t>Sales</t>
  </si>
  <si>
    <t>Cost</t>
  </si>
  <si>
    <t>Profit</t>
  </si>
  <si>
    <t>Revenue</t>
  </si>
  <si>
    <t>Net Revenue</t>
  </si>
  <si>
    <t>Gross Profit</t>
  </si>
  <si>
    <t>EBITDA</t>
  </si>
  <si>
    <t>Net Income</t>
  </si>
  <si>
    <t>P&amp;L</t>
  </si>
  <si>
    <t>Cash Flow</t>
  </si>
  <si>
    <t>Balance Sheet</t>
  </si>
  <si>
    <t>Cash &amp; Equivalents</t>
  </si>
  <si>
    <t>COGS</t>
  </si>
  <si>
    <t>AR</t>
  </si>
  <si>
    <t>Dep. &amp; Amo.</t>
  </si>
  <si>
    <t>Inventory</t>
  </si>
  <si>
    <t>AP / AR</t>
  </si>
  <si>
    <t>Current Assets</t>
  </si>
  <si>
    <t>Sales &amp; Marketing</t>
  </si>
  <si>
    <t>Operating Expenses</t>
  </si>
  <si>
    <t>Operating Activities</t>
  </si>
  <si>
    <t>Intangible Assets</t>
  </si>
  <si>
    <t>Investing Activities</t>
  </si>
  <si>
    <t>Fixed Assets</t>
  </si>
  <si>
    <t>Financing Activities</t>
  </si>
  <si>
    <t>Total Assets</t>
  </si>
  <si>
    <t>Int, Tax, Dep, Amo</t>
  </si>
  <si>
    <t>Net Change</t>
  </si>
  <si>
    <t>Liabilities</t>
  </si>
  <si>
    <t>End of Period</t>
  </si>
  <si>
    <t>Equity</t>
  </si>
  <si>
    <t>Liabilities &amp; Equity</t>
  </si>
  <si>
    <t>Contents</t>
  </si>
  <si>
    <t>Sheets</t>
  </si>
  <si>
    <t>Description</t>
  </si>
  <si>
    <t>Instructions</t>
  </si>
  <si>
    <t>This sheet. Explains the whole program and each sheet.</t>
  </si>
  <si>
    <t>Input</t>
  </si>
  <si>
    <t>The ONLY sheet where you enter info.</t>
  </si>
  <si>
    <t>Financials</t>
  </si>
  <si>
    <t>P&amp;L, Cash Flow, Balance Sheet. You can view monthly or annually.</t>
  </si>
  <si>
    <t>Street View</t>
  </si>
  <si>
    <t>Shows cash in and out each month.</t>
  </si>
  <si>
    <t>Summary</t>
  </si>
  <si>
    <t>Easy glance summary of all your input.</t>
  </si>
  <si>
    <t>Breakeven</t>
  </si>
  <si>
    <t>Shows if/when you breakeven.</t>
  </si>
  <si>
    <t>Analysis</t>
  </si>
  <si>
    <t>Monthly performance indicators.</t>
  </si>
  <si>
    <t>CAC LTV</t>
  </si>
  <si>
    <t>Customer Acquisition Cost and Lifetime Value. (For Subscription models)</t>
  </si>
  <si>
    <t>Sources &amp; Uses</t>
  </si>
  <si>
    <t>Where money comes from and goes.</t>
  </si>
  <si>
    <t>Investors</t>
  </si>
  <si>
    <t>Investor returns and performance metrics.</t>
  </si>
  <si>
    <t>Reports</t>
  </si>
  <si>
    <t>Summary results you can insert in PowerPoint decks, etc.</t>
  </si>
  <si>
    <t xml:space="preserve">Cash Out Month Is </t>
  </si>
  <si>
    <t>Consultants</t>
  </si>
  <si>
    <t>Headcount</t>
  </si>
  <si>
    <t>S&amp;M</t>
  </si>
  <si>
    <t>Operating</t>
  </si>
  <si>
    <t>SAFES</t>
  </si>
  <si>
    <t>Convertible</t>
  </si>
  <si>
    <t>Years</t>
  </si>
  <si>
    <t>Company Type</t>
  </si>
  <si>
    <t>/</t>
  </si>
  <si>
    <t>Expenses</t>
  </si>
  <si>
    <t>Light</t>
  </si>
  <si>
    <t>(Loss)</t>
  </si>
  <si>
    <t>Historicals</t>
  </si>
  <si>
    <t>Product / Service</t>
  </si>
  <si>
    <t>Three</t>
  </si>
  <si>
    <t>C Corp</t>
  </si>
  <si>
    <t>Bot</t>
  </si>
  <si>
    <t>LLC</t>
  </si>
  <si>
    <t>Five</t>
  </si>
  <si>
    <t>S Corp</t>
  </si>
  <si>
    <t>Show Consultants</t>
  </si>
  <si>
    <t>Valuation</t>
  </si>
  <si>
    <t>Non-Profit</t>
  </si>
  <si>
    <t>Three Years</t>
  </si>
  <si>
    <t>Mode</t>
  </si>
  <si>
    <t>Five Years</t>
  </si>
  <si>
    <t>Company</t>
  </si>
  <si>
    <t xml:space="preserve">Company Name </t>
  </si>
  <si>
    <t>Start Month</t>
  </si>
  <si>
    <t>MMM</t>
  </si>
  <si>
    <t>Federal Tax Rate</t>
  </si>
  <si>
    <t>State Tax Rate</t>
  </si>
  <si>
    <t xml:space="preserve"> </t>
  </si>
  <si>
    <t xml:space="preserve">          One Time Sales  </t>
  </si>
  <si>
    <t xml:space="preserve">    Recurring Sales</t>
  </si>
  <si>
    <t xml:space="preserve">                                                                                                                                                                                                                             </t>
  </si>
  <si>
    <t xml:space="preserve"> (Up to 25)</t>
  </si>
  <si>
    <t>Item 1</t>
  </si>
  <si>
    <t>Item 2</t>
  </si>
  <si>
    <t>Item 3</t>
  </si>
  <si>
    <t>Item 4</t>
  </si>
  <si>
    <t>Item 5</t>
  </si>
  <si>
    <t>Item 6</t>
  </si>
  <si>
    <t>Item 7</t>
  </si>
  <si>
    <t>Item 8</t>
  </si>
  <si>
    <t>Item 9</t>
  </si>
  <si>
    <t>Item 10</t>
  </si>
  <si>
    <t>Item 11</t>
  </si>
  <si>
    <t>Item 12</t>
  </si>
  <si>
    <t>Item 13</t>
  </si>
  <si>
    <t>Item 14</t>
  </si>
  <si>
    <t>Item 15</t>
  </si>
  <si>
    <t>Item 16</t>
  </si>
  <si>
    <t>Item 17</t>
  </si>
  <si>
    <t>Item 18</t>
  </si>
  <si>
    <t>Item 19</t>
  </si>
  <si>
    <t>Item 20</t>
  </si>
  <si>
    <t>Item 21</t>
  </si>
  <si>
    <t>Item 22</t>
  </si>
  <si>
    <t>Item 23</t>
  </si>
  <si>
    <t>Item 24</t>
  </si>
  <si>
    <t>Item 25</t>
  </si>
  <si>
    <t xml:space="preserve">Category </t>
  </si>
  <si>
    <t xml:space="preserve">Bad Debt / Returns </t>
  </si>
  <si>
    <t xml:space="preserve">Commissions </t>
  </si>
  <si>
    <t xml:space="preserve">Royalty / Franchise </t>
  </si>
  <si>
    <t xml:space="preserve">Days Receivable </t>
  </si>
  <si>
    <t xml:space="preserve">Days Payable </t>
  </si>
  <si>
    <t xml:space="preserve">Days Inventory </t>
  </si>
  <si>
    <t xml:space="preserve">Sales Start Month </t>
  </si>
  <si>
    <t xml:space="preserve">Sales End Month </t>
  </si>
  <si>
    <t xml:space="preserve">Start Month Amount </t>
  </si>
  <si>
    <t xml:space="preserve">Grows: </t>
  </si>
  <si>
    <t>Total</t>
  </si>
  <si>
    <t>Show Consultant Fees</t>
  </si>
  <si>
    <t>Consultant Fees</t>
  </si>
  <si>
    <t>Personnel</t>
  </si>
  <si>
    <t xml:space="preserve"> (Up to 10)</t>
  </si>
  <si>
    <t>Monthly</t>
  </si>
  <si>
    <t>Start</t>
  </si>
  <si>
    <t>End</t>
  </si>
  <si>
    <t>Payroll Taxes</t>
  </si>
  <si>
    <t>Soc. Sec. (FICA)</t>
  </si>
  <si>
    <t>FUTA</t>
  </si>
  <si>
    <t>Workers' Comp</t>
  </si>
  <si>
    <t>Other</t>
  </si>
  <si>
    <t>Recruiter Fee</t>
  </si>
  <si>
    <t>Show Headcount</t>
  </si>
  <si>
    <t>Benefits</t>
  </si>
  <si>
    <t>Annual Raise</t>
  </si>
  <si>
    <t>1st Yr. Salary %</t>
  </si>
  <si>
    <t xml:space="preserve"> (Up to 50)</t>
  </si>
  <si>
    <t>Employees</t>
  </si>
  <si>
    <t>Monthly Salary</t>
  </si>
  <si>
    <t xml:space="preserve">Raise </t>
  </si>
  <si>
    <t>Recruiter?</t>
  </si>
  <si>
    <t>Show One-Time Expenses</t>
  </si>
  <si>
    <t>Monthly Recurring Expenses</t>
  </si>
  <si>
    <t>One-Time Sales &amp; Marketing Expenses</t>
  </si>
  <si>
    <t>% of Sales</t>
  </si>
  <si>
    <t>Monthly Amount</t>
  </si>
  <si>
    <t>Ann. %</t>
  </si>
  <si>
    <t>One-Time Operating Expenses</t>
  </si>
  <si>
    <t>Amount</t>
  </si>
  <si>
    <t>CapEx</t>
  </si>
  <si>
    <t xml:space="preserve"> (Up to 20)</t>
  </si>
  <si>
    <t>Tangible Assets</t>
  </si>
  <si>
    <t>Month</t>
  </si>
  <si>
    <t>Dep. Years</t>
  </si>
  <si>
    <t>Depreciation Categories</t>
  </si>
  <si>
    <t>Depreciation Years</t>
  </si>
  <si>
    <t xml:space="preserve">Computers </t>
  </si>
  <si>
    <t xml:space="preserve">FF&amp;E </t>
  </si>
  <si>
    <t xml:space="preserve">Leasehold Improvements </t>
  </si>
  <si>
    <t>Am. Years</t>
  </si>
  <si>
    <t>Financing</t>
  </si>
  <si>
    <t>Show SAFES</t>
  </si>
  <si>
    <t>Discount Rate</t>
  </si>
  <si>
    <t>Investment</t>
  </si>
  <si>
    <t xml:space="preserve"> (Up to 3)</t>
  </si>
  <si>
    <t>Class</t>
  </si>
  <si>
    <t>Final Own. %</t>
  </si>
  <si>
    <t>Valuation Cap</t>
  </si>
  <si>
    <t>Final Valuation</t>
  </si>
  <si>
    <t>Debt</t>
  </si>
  <si>
    <t>Show Convertible Notes</t>
  </si>
  <si>
    <t>Loan 1</t>
  </si>
  <si>
    <t>Loan 2</t>
  </si>
  <si>
    <t>Loan 3</t>
  </si>
  <si>
    <t>Convertible Notes</t>
  </si>
  <si>
    <t>Interest</t>
  </si>
  <si>
    <t>Accrued Interest</t>
  </si>
  <si>
    <t>Total Conversion</t>
  </si>
  <si>
    <t xml:space="preserve">Amount </t>
  </si>
  <si>
    <t xml:space="preserve">Start Month </t>
  </si>
  <si>
    <t xml:space="preserve">Months </t>
  </si>
  <si>
    <t xml:space="preserve">Interest </t>
  </si>
  <si>
    <t>Unit Volume</t>
  </si>
  <si>
    <t>Growth - Percentages</t>
  </si>
  <si>
    <t>Growth - Numbers</t>
  </si>
  <si>
    <t>Unit Price</t>
  </si>
  <si>
    <t>Unit Cost</t>
  </si>
  <si>
    <t>Bad Debt / Returns</t>
  </si>
  <si>
    <t>Commissions</t>
  </si>
  <si>
    <t>Royalty / Franchise</t>
  </si>
  <si>
    <t>Receivables</t>
  </si>
  <si>
    <t>Payables</t>
  </si>
  <si>
    <t>Revenue - Categories</t>
  </si>
  <si>
    <t>COGS - Categories</t>
  </si>
  <si>
    <t>Subscription</t>
  </si>
  <si>
    <t>Back to Input</t>
  </si>
  <si>
    <t xml:space="preserve">Monthly / Annual </t>
  </si>
  <si>
    <t>Annual</t>
  </si>
  <si>
    <t xml:space="preserve">Starting # Subs </t>
  </si>
  <si>
    <t xml:space="preserve">Subscription Rate </t>
  </si>
  <si>
    <t xml:space="preserve">Churn </t>
  </si>
  <si>
    <t>Growth</t>
  </si>
  <si>
    <t>Percent</t>
  </si>
  <si>
    <t>Number</t>
  </si>
  <si>
    <t>Deferred (Year End)</t>
  </si>
  <si>
    <t>Earned</t>
  </si>
  <si>
    <t>Total Cash Flow</t>
  </si>
  <si>
    <t>Annual Growth</t>
  </si>
  <si>
    <t>Annual Results</t>
  </si>
  <si>
    <t>Percentage</t>
  </si>
  <si>
    <t xml:space="preserve">New </t>
  </si>
  <si>
    <t>Renewal</t>
  </si>
  <si>
    <t>Churn</t>
  </si>
  <si>
    <t>Active</t>
  </si>
  <si>
    <t>Rate</t>
  </si>
  <si>
    <t>Go Back to Company Info</t>
  </si>
  <si>
    <t>Assets</t>
  </si>
  <si>
    <t>Notes:</t>
  </si>
  <si>
    <t xml:space="preserve">Cash &amp; Equivalents </t>
  </si>
  <si>
    <t>1.</t>
  </si>
  <si>
    <t>Please enter amounts in the blue cells.</t>
  </si>
  <si>
    <t xml:space="preserve">Accounts Receivable </t>
  </si>
  <si>
    <t>2.</t>
  </si>
  <si>
    <t>The amounts in the white cells come from your entries on the Dashboard</t>
  </si>
  <si>
    <t xml:space="preserve">Inventory </t>
  </si>
  <si>
    <t/>
  </si>
  <si>
    <t>if you enter months prior to your projections period.</t>
  </si>
  <si>
    <t xml:space="preserve">Total Current Assets </t>
  </si>
  <si>
    <t>3.</t>
  </si>
  <si>
    <t>The amount in Retained Earnings automatically balances your Balance Sheet.</t>
  </si>
  <si>
    <t xml:space="preserve">Intangible Assets </t>
  </si>
  <si>
    <t xml:space="preserve">Less: Accumulated Amortization </t>
  </si>
  <si>
    <t xml:space="preserve">The amounts will carry through as needed to Cash Flow and Balance Sheet </t>
  </si>
  <si>
    <t xml:space="preserve">Net Intangible Assets </t>
  </si>
  <si>
    <t xml:space="preserve">   </t>
  </si>
  <si>
    <t xml:space="preserve">Fixed Assets </t>
  </si>
  <si>
    <t xml:space="preserve">Less: Accumulated Depreciation </t>
  </si>
  <si>
    <t xml:space="preserve">Net Fixed Assets </t>
  </si>
  <si>
    <t xml:space="preserve">Total Assets </t>
  </si>
  <si>
    <t xml:space="preserve">Liabilities </t>
  </si>
  <si>
    <t xml:space="preserve">Current Liabilities </t>
  </si>
  <si>
    <t xml:space="preserve">Accounts Payable </t>
  </si>
  <si>
    <t xml:space="preserve">Short-Term Debt </t>
  </si>
  <si>
    <t>Current Portion Long-Term Debt</t>
  </si>
  <si>
    <t xml:space="preserve">Accrued Interest </t>
  </si>
  <si>
    <t xml:space="preserve">Total Current Liabilities </t>
  </si>
  <si>
    <t xml:space="preserve">Non-Current Liabilities </t>
  </si>
  <si>
    <t xml:space="preserve">Long-Term Debt </t>
  </si>
  <si>
    <t xml:space="preserve">Total Non-Current Liabilities </t>
  </si>
  <si>
    <t xml:space="preserve">Preferred </t>
  </si>
  <si>
    <t xml:space="preserve">Common </t>
  </si>
  <si>
    <t xml:space="preserve">Retained Earnings (Accumulated Deficit) </t>
  </si>
  <si>
    <t xml:space="preserve">Difference Check </t>
  </si>
  <si>
    <t>Quarterly</t>
  </si>
  <si>
    <t>Mon 3</t>
  </si>
  <si>
    <t>Mon 4</t>
  </si>
  <si>
    <t>Mon 5</t>
  </si>
  <si>
    <t>Mon 6</t>
  </si>
  <si>
    <t>Mon 56</t>
  </si>
  <si>
    <t>Mon 57</t>
  </si>
  <si>
    <t>Mon 58</t>
  </si>
  <si>
    <t>Mon 59</t>
  </si>
  <si>
    <t>Mon 60</t>
  </si>
  <si>
    <t>Subscription - Annual (Earned)</t>
  </si>
  <si>
    <t>Subscription - Monthly</t>
  </si>
  <si>
    <t>Social</t>
  </si>
  <si>
    <t>E-Mails</t>
  </si>
  <si>
    <t>Events</t>
  </si>
  <si>
    <t>Podcasts</t>
  </si>
  <si>
    <t>Affiliate</t>
  </si>
  <si>
    <t>Bad  Debt / Returns</t>
  </si>
  <si>
    <t>Total Revenue</t>
  </si>
  <si>
    <t>Cost of Sales</t>
  </si>
  <si>
    <t>Total COGS</t>
  </si>
  <si>
    <t>Sales &amp; Marketing Expenses</t>
  </si>
  <si>
    <t>Royalties</t>
  </si>
  <si>
    <t>Total Sales &amp; Marketing Expenses</t>
  </si>
  <si>
    <t>Salaries &amp; Wages</t>
  </si>
  <si>
    <t>Salaries</t>
  </si>
  <si>
    <t>Recruiting</t>
  </si>
  <si>
    <t>Total Operating Expenses</t>
  </si>
  <si>
    <t>Interest Expense</t>
  </si>
  <si>
    <t>Taxes</t>
  </si>
  <si>
    <t>Depreciation</t>
  </si>
  <si>
    <t>Amortization</t>
  </si>
  <si>
    <t>Net Income (Loss)</t>
  </si>
  <si>
    <t>Q1 2019</t>
  </si>
  <si>
    <t>Q2 2019</t>
  </si>
  <si>
    <t>Q3 2019</t>
  </si>
  <si>
    <t>Q4 2019</t>
  </si>
  <si>
    <t>Q1 2020</t>
  </si>
  <si>
    <t>Q2 2020</t>
  </si>
  <si>
    <t>Q3 2020</t>
  </si>
  <si>
    <t>Q4 2120</t>
  </si>
  <si>
    <t>Q1 2021</t>
  </si>
  <si>
    <t>Q2 2021</t>
  </si>
  <si>
    <t>Q3 2021</t>
  </si>
  <si>
    <t>Q4 2121</t>
  </si>
  <si>
    <t>Q1 2022</t>
  </si>
  <si>
    <t>Q2 2022</t>
  </si>
  <si>
    <t>Q3 2022</t>
  </si>
  <si>
    <t>Q4 2022</t>
  </si>
  <si>
    <t>Q1 2023</t>
  </si>
  <si>
    <t>Q2 2023</t>
  </si>
  <si>
    <t>Q3 2023</t>
  </si>
  <si>
    <t>Q4 2023</t>
  </si>
  <si>
    <t>Accounts Receivable</t>
  </si>
  <si>
    <t>Accounts Payable</t>
  </si>
  <si>
    <t>Deferred Revenue</t>
  </si>
  <si>
    <t>Net Operating Activities</t>
  </si>
  <si>
    <t>Net Investing Activities</t>
  </si>
  <si>
    <t>Preferred Stock</t>
  </si>
  <si>
    <t>Common Stock</t>
  </si>
  <si>
    <t>Inc. (Dec.) in Short-Term Debt</t>
  </si>
  <si>
    <t>Inc. (Dec.) in Long-Term Debt</t>
  </si>
  <si>
    <t>Net Financing Activities</t>
  </si>
  <si>
    <t>Net Changes in Cash Flow</t>
  </si>
  <si>
    <t>Beginning of Period</t>
  </si>
  <si>
    <t>Total Current Assets</t>
  </si>
  <si>
    <t>Less: Accumulated Amortization</t>
  </si>
  <si>
    <t>Net Intangible Assets</t>
  </si>
  <si>
    <t>Computers</t>
  </si>
  <si>
    <t>FF&amp;E</t>
  </si>
  <si>
    <t>Leasehold Improvements</t>
  </si>
  <si>
    <t>Less: Accumulated Depreciation</t>
  </si>
  <si>
    <t>Net Fixed Assets</t>
  </si>
  <si>
    <t>Liabilities and Stockholders' Equity</t>
  </si>
  <si>
    <t>Current Liabilities</t>
  </si>
  <si>
    <t>Short-Term Debt</t>
  </si>
  <si>
    <t>Total Current Liabilities</t>
  </si>
  <si>
    <t>Non-Current Liabilities</t>
  </si>
  <si>
    <t>Long-Term Debt</t>
  </si>
  <si>
    <t>Total Non-Current Liabilities</t>
  </si>
  <si>
    <t>Total Liabilities</t>
  </si>
  <si>
    <t>Stockholders' Equity</t>
  </si>
  <si>
    <t>Preferred</t>
  </si>
  <si>
    <t>Common</t>
  </si>
  <si>
    <t>Retained Earnings (Accumulated Deficit)</t>
  </si>
  <si>
    <t>Total Stockholders' Equity</t>
  </si>
  <si>
    <t>Total Liabilities and Stockholders' Equity</t>
  </si>
  <si>
    <t>Difference Check</t>
  </si>
  <si>
    <t>Breakeven:</t>
  </si>
  <si>
    <t>ITDA</t>
  </si>
  <si>
    <t>Debt Payments</t>
  </si>
  <si>
    <t>Accumulated Net Income</t>
  </si>
  <si>
    <t>Fixed Equity</t>
  </si>
  <si>
    <t>Launch Month</t>
  </si>
  <si>
    <t>Unit Sales</t>
  </si>
  <si>
    <t>Subscribers 1</t>
  </si>
  <si>
    <t>Subscribers 2</t>
  </si>
  <si>
    <t>Total Subscribers</t>
  </si>
  <si>
    <t>Subscription Revenue 1</t>
  </si>
  <si>
    <t>Subscription Revenue 2</t>
  </si>
  <si>
    <t>In</t>
  </si>
  <si>
    <t>Total Subscription Revenue</t>
  </si>
  <si>
    <t>By</t>
  </si>
  <si>
    <t>Burn</t>
  </si>
  <si>
    <t>Subscribers</t>
  </si>
  <si>
    <t>Cash Balance</t>
  </si>
  <si>
    <t>AR/AP/Inv</t>
  </si>
  <si>
    <t>Subscription Revenue</t>
  </si>
  <si>
    <t>Cash Change</t>
  </si>
  <si>
    <t>#1</t>
  </si>
  <si>
    <t>#2</t>
  </si>
  <si>
    <t>#3</t>
  </si>
  <si>
    <t>#4</t>
  </si>
  <si>
    <t>#5</t>
  </si>
  <si>
    <t>#6</t>
  </si>
  <si>
    <t>#7</t>
  </si>
  <si>
    <t>#8</t>
  </si>
  <si>
    <t>#9</t>
  </si>
  <si>
    <t>#10</t>
  </si>
  <si>
    <t>Loans</t>
  </si>
  <si>
    <t>3 Year Cash Out</t>
  </si>
  <si>
    <t>Five Year Cash Out</t>
  </si>
  <si>
    <t>Cash Out</t>
  </si>
  <si>
    <t>Tangible</t>
  </si>
  <si>
    <t>Intangible</t>
  </si>
  <si>
    <t>Cash Flow Positive</t>
  </si>
  <si>
    <t>Cash Flow Negative</t>
  </si>
  <si>
    <t>Max</t>
  </si>
  <si>
    <t>Min</t>
  </si>
  <si>
    <t>Breakeven Positive</t>
  </si>
  <si>
    <t>Breakeven Negative</t>
  </si>
  <si>
    <t>Net Income Positive</t>
  </si>
  <si>
    <t>Net Income Negative</t>
  </si>
  <si>
    <t>In / By</t>
  </si>
  <si>
    <t>Federal</t>
  </si>
  <si>
    <t>State</t>
  </si>
  <si>
    <t>R&amp;D Consultants</t>
  </si>
  <si>
    <t>NOLCF</t>
  </si>
  <si>
    <t>R&amp;D Employees</t>
  </si>
  <si>
    <t>Taxable Income</t>
  </si>
  <si>
    <t>Accumulated</t>
  </si>
  <si>
    <t>Federal Taxes</t>
  </si>
  <si>
    <t>R&amp;D Expenses</t>
  </si>
  <si>
    <t>State Taxes</t>
  </si>
  <si>
    <t>Total Taxes</t>
  </si>
  <si>
    <t>Earned Revenue</t>
  </si>
  <si>
    <t>Monthly Revenue</t>
  </si>
  <si>
    <t>Deferred</t>
  </si>
  <si>
    <t>Bad Debt</t>
  </si>
  <si>
    <t>Tangible Asset Purchases</t>
  </si>
  <si>
    <t>Item</t>
  </si>
  <si>
    <t>Amt. Years</t>
  </si>
  <si>
    <t>Tangible Asset Purchases by Class</t>
  </si>
  <si>
    <t>Fixed Asset Purchases on Cash Flow</t>
  </si>
  <si>
    <t>Tangible Asset Depreciation</t>
  </si>
  <si>
    <t>Monthly Depreciation</t>
  </si>
  <si>
    <t>Historical Cost</t>
  </si>
  <si>
    <t>Accumulated Depreciation</t>
  </si>
  <si>
    <t>Intangible Asset Purchases</t>
  </si>
  <si>
    <t>Intangible Asset Amortization</t>
  </si>
  <si>
    <t>Monthly Amortization</t>
  </si>
  <si>
    <t>Accumulated Amortization</t>
  </si>
  <si>
    <t>Total CapEx Purchases</t>
  </si>
  <si>
    <t>Recurring</t>
  </si>
  <si>
    <t>Revenue from P&amp;L</t>
  </si>
  <si>
    <t>R&amp;D</t>
  </si>
  <si>
    <t>Title</t>
  </si>
  <si>
    <t>Consultant Headcount</t>
  </si>
  <si>
    <t>Recruiting Fee</t>
  </si>
  <si>
    <t>New Hire Equipment Cost</t>
  </si>
  <si>
    <t>Hdct</t>
  </si>
  <si>
    <t>Payroll</t>
  </si>
  <si>
    <t>Wages</t>
  </si>
  <si>
    <t>FICA - Social Security</t>
  </si>
  <si>
    <t>FICA - Medicare</t>
  </si>
  <si>
    <t>FUTA (Fed. Unemployment Tax Act)</t>
  </si>
  <si>
    <t>Total Federal Taxes</t>
  </si>
  <si>
    <t>State Unemployment Insurance (SUI)</t>
  </si>
  <si>
    <t>State Disability Insurance</t>
  </si>
  <si>
    <t>Total State Taxes</t>
  </si>
  <si>
    <t>Payroll Expenses</t>
  </si>
  <si>
    <t>Recruiter Fees</t>
  </si>
  <si>
    <t>Y1 H1</t>
  </si>
  <si>
    <t>Y1 H2</t>
  </si>
  <si>
    <t>Y2 H1</t>
  </si>
  <si>
    <t>Y2 H2</t>
  </si>
  <si>
    <t>Y3 H1</t>
  </si>
  <si>
    <t>Y3 H2</t>
  </si>
  <si>
    <t>Y4 H!</t>
  </si>
  <si>
    <t>Y4 H2</t>
  </si>
  <si>
    <t>Y5 H1</t>
  </si>
  <si>
    <t>Y5 H2</t>
  </si>
  <si>
    <t>New Equipment Costs</t>
  </si>
  <si>
    <t>Sale Price</t>
  </si>
  <si>
    <t>Projections Start Month</t>
  </si>
  <si>
    <t>Investor</t>
  </si>
  <si>
    <t>Pref/Comm.</t>
  </si>
  <si>
    <t>% Ownership</t>
  </si>
  <si>
    <t>ROI</t>
  </si>
  <si>
    <t>Before</t>
  </si>
  <si>
    <t>Notes</t>
  </si>
  <si>
    <t>Investor 11</t>
  </si>
  <si>
    <t>Investor 12</t>
  </si>
  <si>
    <t>Investor 13</t>
  </si>
  <si>
    <t>Investor 14</t>
  </si>
  <si>
    <t>Investor 15</t>
  </si>
  <si>
    <t>Investor 16</t>
  </si>
  <si>
    <t>Investor 17</t>
  </si>
  <si>
    <t>Investor 18</t>
  </si>
  <si>
    <t>Investor 19</t>
  </si>
  <si>
    <t>Investor 20</t>
  </si>
  <si>
    <t>Investor 21</t>
  </si>
  <si>
    <t>Investor 22</t>
  </si>
  <si>
    <t>Investor 23</t>
  </si>
  <si>
    <t>Investor 24</t>
  </si>
  <si>
    <t>Investor 25</t>
  </si>
  <si>
    <t>Investor 26</t>
  </si>
  <si>
    <t>Bill</t>
  </si>
  <si>
    <t>Mon 1</t>
  </si>
  <si>
    <t>Mon 7</t>
  </si>
  <si>
    <t>Mon 8</t>
  </si>
  <si>
    <t>Mon 9</t>
  </si>
  <si>
    <t>Mon 10</t>
  </si>
  <si>
    <t>Mon 11</t>
  </si>
  <si>
    <t>Mon 12</t>
  </si>
  <si>
    <t>Infusion</t>
  </si>
  <si>
    <t>John</t>
  </si>
  <si>
    <t>Principal</t>
  </si>
  <si>
    <t>Balance</t>
  </si>
  <si>
    <t>Ross</t>
  </si>
  <si>
    <t>NPV</t>
  </si>
  <si>
    <t>IRR</t>
  </si>
  <si>
    <t>Total Interest</t>
  </si>
  <si>
    <t>Cash Flow Short-Term</t>
  </si>
  <si>
    <t>Balance Short-Term</t>
  </si>
  <si>
    <t>Long-Term Cash Flow</t>
  </si>
  <si>
    <t>Long-Term Balance</t>
  </si>
  <si>
    <t>Total Current Portion Long-Term Debt</t>
  </si>
  <si>
    <t>Total Long-Term Debt Net of Current Portion of Long-Term Debt</t>
  </si>
  <si>
    <t>Convertible Note 1</t>
  </si>
  <si>
    <t>Prior</t>
  </si>
  <si>
    <t>Convertible Note 2</t>
  </si>
  <si>
    <t>Convertible Note 3</t>
  </si>
  <si>
    <t>CPLTD</t>
  </si>
  <si>
    <t>Total Convertible Notes</t>
  </si>
  <si>
    <t>Lookups</t>
  </si>
  <si>
    <t>SAFE 1</t>
  </si>
  <si>
    <t>SAFE 2</t>
  </si>
  <si>
    <t>SAFE 3</t>
  </si>
  <si>
    <t>Total SAFES</t>
  </si>
  <si>
    <t>Conv. Note Accrued Interest</t>
  </si>
  <si>
    <t>Note 1</t>
  </si>
  <si>
    <t>Note 2</t>
  </si>
  <si>
    <t>Note 3</t>
  </si>
  <si>
    <t>Total Accrued Conv. Note Interest</t>
  </si>
  <si>
    <t>Three Month Financing</t>
  </si>
  <si>
    <t>Preferred Equity</t>
  </si>
  <si>
    <t>Five Year Financing</t>
  </si>
  <si>
    <t>Convertible Note</t>
  </si>
  <si>
    <t>Three Year Debt</t>
  </si>
  <si>
    <t>Five Year Debt</t>
  </si>
  <si>
    <t>SAFE</t>
  </si>
  <si>
    <t>Conv. Note and SAFE Preferred Equity</t>
  </si>
  <si>
    <t>=IF($Y776=AG771,$Z776,0)+IF($AA776=AG777,-$Z776,0)+IF($Y777=AG771,$Z777,0)+IF($AA777=AG777,-$Z777,0)+IF($Y778=AG771,$Z778,0)+IF($AA778=AG777,-$Z778,0)</t>
  </si>
  <si>
    <t>Cash Flow Convertible Note Infusion and Retirement</t>
  </si>
  <si>
    <t>Short Term Convertible Note Cash Flow</t>
  </si>
  <si>
    <t>Short Term Convertible Note Balance Sheet</t>
  </si>
  <si>
    <t>Investment #1</t>
  </si>
  <si>
    <t>Investment #2</t>
  </si>
  <si>
    <t>Investment #3</t>
  </si>
  <si>
    <t>Investment #4</t>
  </si>
  <si>
    <t>Investment #5</t>
  </si>
  <si>
    <t>Investment #6</t>
  </si>
  <si>
    <t>Investment #7</t>
  </si>
  <si>
    <t>Investment #8</t>
  </si>
  <si>
    <t>Investment #9</t>
  </si>
  <si>
    <t>Investment #10</t>
  </si>
  <si>
    <t>SAFE #1</t>
  </si>
  <si>
    <t>=Calcs!$R$682+Calcs!$R$683+SUM(Calcs!$T$680:$T$689)=0</t>
  </si>
  <si>
    <t>SAFE #2</t>
  </si>
  <si>
    <t>SAFE #3</t>
  </si>
  <si>
    <t>Note #1</t>
  </si>
  <si>
    <t>Note #2</t>
  </si>
  <si>
    <t>Note #3</t>
  </si>
  <si>
    <t xml:space="preserve">Before </t>
  </si>
  <si>
    <t>Company Sale</t>
  </si>
  <si>
    <t>Investors Table</t>
  </si>
  <si>
    <t>Final Ownership</t>
  </si>
  <si>
    <t>Ownership</t>
  </si>
  <si>
    <t>Return</t>
  </si>
  <si>
    <t>Offset</t>
  </si>
  <si>
    <t>Monthly IRR</t>
  </si>
  <si>
    <t>Annual IRR</t>
  </si>
  <si>
    <t>XIRR(OFFSET(,,XMATCH(-1,$B$8:$N$8,-1,1),,XMATCH(1,$B$8:$N$8,1,-1)-1),OFFSET(A7,,XMATCH(-1,$B$8:$N$8,-1,1),,XMATCH(1,$B$8:$N$8,1,-1)-1))</t>
  </si>
  <si>
    <t>SAFE Cash Flow</t>
  </si>
  <si>
    <t>Preferred from SAFES</t>
  </si>
  <si>
    <t>Beginning</t>
  </si>
  <si>
    <t>Payment</t>
  </si>
  <si>
    <t>Accrued Int.</t>
  </si>
  <si>
    <t>Historical Interest Payments</t>
  </si>
  <si>
    <t>Term</t>
  </si>
  <si>
    <t>Year</t>
  </si>
  <si>
    <t>=IF(Years="Five",</t>
  </si>
  <si>
    <t>Version</t>
  </si>
  <si>
    <t>Power</t>
  </si>
  <si>
    <t>Mon</t>
  </si>
  <si>
    <t>Conv. Notes</t>
  </si>
  <si>
    <t>Year 1</t>
  </si>
  <si>
    <t>Year 2</t>
  </si>
  <si>
    <t>Year 3</t>
  </si>
  <si>
    <t>Year 4</t>
  </si>
  <si>
    <t>Year 5</t>
  </si>
  <si>
    <t>qwertyuiop[asdfghjkl;zxcvbnm,.</t>
  </si>
  <si>
    <t>To Do</t>
  </si>
  <si>
    <t>Error check in case changes month scheme with entries</t>
  </si>
  <si>
    <t xml:space="preserve">Your Selling Price - </t>
  </si>
  <si>
    <t xml:space="preserve">Your Cost - </t>
  </si>
  <si>
    <t xml:space="preserve">Percentage - </t>
  </si>
  <si>
    <t xml:space="preserve">Number - </t>
  </si>
  <si>
    <t xml:space="preserve">Revenue </t>
  </si>
  <si>
    <t>Show Taxes</t>
  </si>
  <si>
    <t>Yes</t>
  </si>
  <si>
    <t xml:space="preserve">Gross Profit </t>
  </si>
  <si>
    <t xml:space="preserve">S&amp;M Expenses </t>
  </si>
  <si>
    <t xml:space="preserve">Oper. Expenses </t>
  </si>
  <si>
    <t>Selected</t>
  </si>
  <si>
    <t>Current</t>
  </si>
  <si>
    <t>Row(s)</t>
  </si>
  <si>
    <t>Should Be</t>
  </si>
  <si>
    <t xml:space="preserve">EBITDA </t>
  </si>
  <si>
    <t xml:space="preserve">Int. Tax. Dep. Amo. </t>
  </si>
  <si>
    <t xml:space="preserve">Net  Income </t>
  </si>
  <si>
    <t xml:space="preserve">Least Cash </t>
  </si>
  <si>
    <t>Non Blanks</t>
  </si>
  <si>
    <t>Rows</t>
  </si>
  <si>
    <t xml:space="preserve">Year End Cash </t>
  </si>
  <si>
    <t>Products / Services</t>
  </si>
  <si>
    <t>Capital</t>
  </si>
  <si>
    <t xml:space="preserve">                 </t>
  </si>
  <si>
    <t>="in your</t>
  </si>
  <si>
    <t>Test</t>
  </si>
  <si>
    <t>Pick</t>
  </si>
  <si>
    <t>Results</t>
  </si>
  <si>
    <t>Investment / Debt</t>
  </si>
  <si>
    <t>Operations</t>
  </si>
  <si>
    <t>Cash Adjustments</t>
  </si>
  <si>
    <t>Cash</t>
  </si>
  <si>
    <t>G&amp;A</t>
  </si>
  <si>
    <t>Op. Act.</t>
  </si>
  <si>
    <t>Def. Rev.</t>
  </si>
  <si>
    <t>Gross Margin</t>
  </si>
  <si>
    <t>Oper. Margin</t>
  </si>
  <si>
    <t>Profit Margin</t>
  </si>
  <si>
    <t>Current Ratio</t>
  </si>
  <si>
    <t>Quick Ratio</t>
  </si>
  <si>
    <t>AQR</t>
  </si>
  <si>
    <t>Deferred Rev,</t>
  </si>
  <si>
    <t>Current Liabs.</t>
  </si>
  <si>
    <t>Change</t>
  </si>
  <si>
    <t>Current Model</t>
  </si>
  <si>
    <t>W/ Addl. Financing</t>
  </si>
  <si>
    <t>Additional Financing</t>
  </si>
  <si>
    <t>Lowest Balance / (Greatest Deficit)</t>
  </si>
  <si>
    <t>Number of Months Negative</t>
  </si>
  <si>
    <t>Cash Out Month</t>
  </si>
  <si>
    <t>First Revenue Month</t>
  </si>
  <si>
    <t>Total Investment</t>
  </si>
  <si>
    <t>Total Debt</t>
  </si>
  <si>
    <t>Company Info</t>
  </si>
  <si>
    <t>Name</t>
  </si>
  <si>
    <t>Type</t>
  </si>
  <si>
    <t>New</t>
  </si>
  <si>
    <t>Year End Active</t>
  </si>
  <si>
    <t>Net Contribution from Sales</t>
  </si>
  <si>
    <t>Consultants Headcount</t>
  </si>
  <si>
    <t>Consultants Fees</t>
  </si>
  <si>
    <t>Employees Headcount</t>
  </si>
  <si>
    <t>Wages, Texes, Benefits</t>
  </si>
  <si>
    <t>Number of Sales &amp; Marketing Items</t>
  </si>
  <si>
    <t>Ana</t>
  </si>
  <si>
    <t>Sales &amp; Marketing Expense Amounts</t>
  </si>
  <si>
    <t>Number of Operating Items</t>
  </si>
  <si>
    <t>Operating Expense Amounts</t>
  </si>
  <si>
    <t>Histroricals</t>
  </si>
  <si>
    <t>Fixed Price</t>
  </si>
  <si>
    <t xml:space="preserve">Red&lt;0, White=0, Green&gt;0 </t>
  </si>
  <si>
    <t xml:space="preserve">Gradient </t>
  </si>
  <si>
    <t>Red&lt;0, White=0, Green&gt;0</t>
  </si>
  <si>
    <t>Gradient</t>
  </si>
  <si>
    <t>Investor Performance</t>
  </si>
  <si>
    <t>Valuation Data</t>
  </si>
  <si>
    <t xml:space="preserve">Valuation Metric </t>
  </si>
  <si>
    <t xml:space="preserve">Month of Company Sale </t>
  </si>
  <si>
    <t xml:space="preserve">Multiple </t>
  </si>
  <si>
    <t xml:space="preserve">Valuation </t>
  </si>
  <si>
    <t xml:space="preserve">Manual Entry Valuation </t>
  </si>
  <si>
    <t xml:space="preserve">Investment </t>
  </si>
  <si>
    <t xml:space="preserve">Return </t>
  </si>
  <si>
    <t xml:space="preserve">Profit </t>
  </si>
  <si>
    <t xml:space="preserve">ROI </t>
  </si>
  <si>
    <t xml:space="preserve">NPV </t>
  </si>
  <si>
    <t xml:space="preserve">IRR </t>
  </si>
  <si>
    <t>Performance</t>
  </si>
  <si>
    <t>Operating Margin</t>
  </si>
  <si>
    <t>Int, Tax, Dep, Amort</t>
  </si>
  <si>
    <t>Liquidity</t>
  </si>
  <si>
    <t>Year End</t>
  </si>
  <si>
    <t>Adjusted Quick Ratio</t>
  </si>
  <si>
    <t>DSCR</t>
  </si>
  <si>
    <t>Monthly Burn (if negative)</t>
  </si>
  <si>
    <t>YoY Growth</t>
  </si>
  <si>
    <t>Customer Acquisition Cost / Customer Lifetime Value</t>
  </si>
  <si>
    <t xml:space="preserve">% of Sales &amp; Marketing Allocated to Monthly </t>
  </si>
  <si>
    <t xml:space="preserve">% of Sales &amp; Marketing Allocated to Annual </t>
  </si>
  <si>
    <t>Jan</t>
  </si>
  <si>
    <t>Feb</t>
  </si>
  <si>
    <t>Mar</t>
  </si>
  <si>
    <t>Apr</t>
  </si>
  <si>
    <t>May</t>
  </si>
  <si>
    <t>Jun</t>
  </si>
  <si>
    <t>Jul</t>
  </si>
  <si>
    <t>Aug</t>
  </si>
  <si>
    <t>Sep</t>
  </si>
  <si>
    <t>Oct</t>
  </si>
  <si>
    <t>Nov</t>
  </si>
  <si>
    <t>Dec</t>
  </si>
  <si>
    <t>Monthly Total</t>
  </si>
  <si>
    <t>Annual Total</t>
  </si>
  <si>
    <t>New Subscribers</t>
  </si>
  <si>
    <t>Customer Acquisition Cost / Lifetime Values</t>
  </si>
  <si>
    <t>Sales &amp; Marketing Spend</t>
  </si>
  <si>
    <t>Additional Allocated Personnel Costs</t>
  </si>
  <si>
    <t>Expected Lifetime (Months)</t>
  </si>
  <si>
    <t>Additional Allocated Operating Expenses</t>
  </si>
  <si>
    <t>Expected Lifetime Revenue</t>
  </si>
  <si>
    <t>Expected Lifetime</t>
  </si>
  <si>
    <t>Total CLV Allocated Expenses</t>
  </si>
  <si>
    <t>Customer Acqusition Cost</t>
  </si>
  <si>
    <t>Customer Lifetime Value</t>
  </si>
  <si>
    <t>CLV / CAC</t>
  </si>
  <si>
    <t>(When sales begin)</t>
  </si>
  <si>
    <t>(Positive accumulated net income)</t>
  </si>
  <si>
    <t>(Length of projections)</t>
  </si>
  <si>
    <t>Launch</t>
  </si>
  <si>
    <t>Sources</t>
  </si>
  <si>
    <t>Uses</t>
  </si>
  <si>
    <t>Net</t>
  </si>
  <si>
    <t>Personnel Headcount</t>
  </si>
  <si>
    <t>Personnel Expenses</t>
  </si>
  <si>
    <t>Capital Expenditures</t>
  </si>
  <si>
    <t>Net Cash Flow</t>
  </si>
  <si>
    <t>But these tests can at least look for values that are critically out of range.</t>
  </si>
  <si>
    <t>Monthly Results</t>
  </si>
  <si>
    <t>Zero</t>
  </si>
  <si>
    <t>Reserve</t>
  </si>
  <si>
    <t>Cash Balance Below Desired Minimum</t>
  </si>
  <si>
    <t>Target</t>
  </si>
  <si>
    <t>Breakeven (# of Months)</t>
  </si>
  <si>
    <t>Balance Sheet - Debt Ratios</t>
  </si>
  <si>
    <t>Financial Diagnostics</t>
  </si>
  <si>
    <t>Value</t>
  </si>
  <si>
    <t>Findings</t>
  </si>
  <si>
    <t>Sales Figures</t>
  </si>
  <si>
    <t>Floor</t>
  </si>
  <si>
    <t>Ceiling</t>
  </si>
  <si>
    <t>Revenue - Floor</t>
  </si>
  <si>
    <t>Margins</t>
  </si>
  <si>
    <t>,</t>
  </si>
  <si>
    <t>Tracking</t>
  </si>
  <si>
    <t>Sales &amp; Marketing (Subscription)</t>
  </si>
  <si>
    <t>Customer Acquisition Cost</t>
  </si>
  <si>
    <t>Acq. Cost / Lifetime Value</t>
  </si>
  <si>
    <t>Overall ROI</t>
  </si>
  <si>
    <t>Loan Assumptions</t>
  </si>
  <si>
    <t>Commercial Loan Interest rate</t>
  </si>
  <si>
    <t>Commercial Loan Term in Months</t>
  </si>
  <si>
    <t>Commercial Mortgage Interest rate</t>
  </si>
  <si>
    <t>Commercial Mortgage Term in Months</t>
  </si>
  <si>
    <t>CAGR</t>
  </si>
  <si>
    <t>Loan Payments as a Percent of Projected Sales</t>
  </si>
  <si>
    <t>Income Statement</t>
  </si>
  <si>
    <t>Gross Margin as a Percent of Sales</t>
  </si>
  <si>
    <t>Owner's Compensation Lower Limit Check</t>
  </si>
  <si>
    <t>Owner's Compensation Upper Limit Check</t>
  </si>
  <si>
    <t>Advertising Expense Levels as a Percent of Sales</t>
  </si>
  <si>
    <t>Profitability Levels</t>
  </si>
  <si>
    <t>Profitability as a Percent of Sales</t>
  </si>
  <si>
    <t>Cash Flow Statement</t>
  </si>
  <si>
    <t>Desired Operating cash Flow Levels (Line of Credit)</t>
  </si>
  <si>
    <t>if it comes in negative then projection need more funding or line of credit</t>
  </si>
  <si>
    <t>Does the Balance Sheet Balance?</t>
  </si>
  <si>
    <t>Does the Year 2 Monthly Balance Sheet Balance</t>
  </si>
  <si>
    <t>Does the Cash Flow Ending Balance Balance with Balance Sheet Cash</t>
  </si>
  <si>
    <t>Debt to Equity Ratio</t>
  </si>
  <si>
    <t>Breakeven Analysis</t>
  </si>
  <si>
    <t>Breakeven Levels</t>
  </si>
  <si>
    <t>Press Windows and period</t>
  </si>
  <si>
    <t>❌</t>
  </si>
  <si>
    <t>✔️</t>
  </si>
  <si>
    <t>✅</t>
  </si>
  <si>
    <t>Investing</t>
  </si>
  <si>
    <t>📗</t>
  </si>
  <si>
    <t>📕</t>
  </si>
  <si>
    <t xml:space="preserve">Current </t>
  </si>
  <si>
    <t>Fixed</t>
  </si>
  <si>
    <t>Liabiitlites</t>
  </si>
  <si>
    <t>Long-Term</t>
  </si>
  <si>
    <t>Retained Earnings</t>
  </si>
  <si>
    <t>Colors</t>
  </si>
  <si>
    <t>Pie Chart Uses</t>
  </si>
  <si>
    <t>Customizable Title</t>
  </si>
  <si>
    <t>Pie Chart Sources</t>
  </si>
  <si>
    <t>Style</t>
  </si>
  <si>
    <t>Border</t>
  </si>
  <si>
    <t>Values</t>
  </si>
  <si>
    <t>Debt Ratios</t>
  </si>
  <si>
    <t>Size</t>
  </si>
  <si>
    <t>Matching Series</t>
  </si>
  <si>
    <t>Portrait / Landscape</t>
  </si>
  <si>
    <t>Main Dashboard</t>
  </si>
  <si>
    <t>S&amp;M? (Yes)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</si>
</sst>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2">
    <numFmt numFmtId="5" formatCode="&quot;$&quot;#,##0_);\(&quot;$&quot;#,##0\)"/>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quot;$&quot;#,##0"/>
    <numFmt numFmtId="165" formatCode="[$-409]mmm\-yy;@"/>
    <numFmt numFmtId="166" formatCode="_(* #,##0_);_(* \(#,##0\);_(* &quot;-&quot;??_);_(@_)"/>
    <numFmt numFmtId="167" formatCode="&quot;$&quot;#,##0.00"/>
    <numFmt numFmtId="168" formatCode="mmm&quot;-&quot;yy"/>
    <numFmt numFmtId="169" formatCode="0.0%"/>
    <numFmt numFmtId="170" formatCode="#,##0%"/>
    <numFmt numFmtId="171" formatCode="0.0"/>
    <numFmt numFmtId="172" formatCode="0_);\(0\)"/>
    <numFmt numFmtId="173" formatCode=";;;"/>
    <numFmt numFmtId="174" formatCode="0E+00"/>
    <numFmt numFmtId="175" formatCode="_(&quot;$&quot;* #,##0_);_(&quot;$&quot;* \(#,##0\);_(&quot;$&quot;* &quot;-&quot;??_);_(@_)"/>
    <numFmt numFmtId="176" formatCode="#,##0.0%"/>
    <numFmt numFmtId="177" formatCode="#,##0.0"/>
    <numFmt numFmtId="178" formatCode="yyyy"/>
    <numFmt numFmtId="179" formatCode="mmm"/>
  </numFmts>
  <fonts count="214" x14ac:knownFonts="1">
    <font>
      <sz val="12"/>
      <color theme="1"/>
      <name val="Calibri"/>
      <family val="2"/>
      <scheme val="minor"/>
    </font>
    <font>
      <sz val="10"/>
      <color theme="1"/>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b/>
      <sz val="14"/>
      <color theme="1"/>
      <name val="Calibri"/>
      <family val="2"/>
      <scheme val="minor"/>
    </font>
    <font>
      <sz val="14"/>
      <color theme="1"/>
      <name val="Calibri"/>
      <family val="2"/>
      <scheme val="minor"/>
    </font>
    <font>
      <b/>
      <sz val="16"/>
      <color theme="1"/>
      <name val="Calibri"/>
      <family val="2"/>
      <scheme val="minor"/>
    </font>
    <font>
      <sz val="10"/>
      <name val="Arial"/>
      <family val="2"/>
    </font>
    <font>
      <sz val="10"/>
      <color rgb="FF000000"/>
      <name val="Arial"/>
      <family val="2"/>
    </font>
    <font>
      <b/>
      <sz val="12"/>
      <color theme="1"/>
      <name val="Calibri"/>
      <family val="2"/>
      <scheme val="minor"/>
    </font>
    <font>
      <b/>
      <sz val="11"/>
      <color theme="1"/>
      <name val="Calibri"/>
      <family val="2"/>
      <scheme val="minor"/>
    </font>
    <font>
      <sz val="12"/>
      <color theme="1"/>
      <name val="Calibri"/>
      <family val="2"/>
      <charset val="204"/>
      <scheme val="minor"/>
    </font>
    <font>
      <b/>
      <sz val="18"/>
      <color theme="1"/>
      <name val="Calibri"/>
      <family val="2"/>
      <scheme val="minor"/>
    </font>
    <font>
      <sz val="11"/>
      <color theme="0"/>
      <name val="Calibri"/>
      <family val="2"/>
      <scheme val="minor"/>
    </font>
    <font>
      <sz val="12"/>
      <color theme="0"/>
      <name val="Calibri"/>
      <family val="2"/>
      <scheme val="minor"/>
    </font>
    <font>
      <b/>
      <sz val="8"/>
      <color theme="1"/>
      <name val="Calibri"/>
      <family val="2"/>
      <scheme val="minor"/>
    </font>
    <font>
      <b/>
      <sz val="9"/>
      <color theme="1"/>
      <name val="Calibri"/>
      <family val="2"/>
      <scheme val="minor"/>
    </font>
    <font>
      <b/>
      <sz val="10"/>
      <color theme="1"/>
      <name val="Calibri"/>
      <family val="2"/>
      <scheme val="minor"/>
    </font>
    <font>
      <sz val="10"/>
      <color theme="1"/>
      <name val="Calibri"/>
      <family val="2"/>
      <scheme val="minor"/>
    </font>
    <font>
      <sz val="8"/>
      <color theme="1"/>
      <name val="Calibri"/>
      <family val="2"/>
      <scheme val="minor"/>
    </font>
    <font>
      <sz val="9"/>
      <color theme="1"/>
      <name val="Calibri"/>
      <family val="2"/>
      <scheme val="minor"/>
    </font>
    <font>
      <b/>
      <sz val="8"/>
      <color theme="1" tint="0.249977111117893"/>
      <name val="Calibri"/>
      <family val="2"/>
      <scheme val="minor"/>
    </font>
    <font>
      <b/>
      <sz val="9"/>
      <color theme="1"/>
      <name val="Arial"/>
      <family val="2"/>
    </font>
    <font>
      <b/>
      <sz val="21"/>
      <color rgb="FF000000"/>
      <name val="Calibri"/>
      <family val="2"/>
    </font>
    <font>
      <sz val="10"/>
      <name val="Calibri"/>
      <family val="2"/>
    </font>
    <font>
      <sz val="10"/>
      <color rgb="FFFFFFFF"/>
      <name val="Calibri"/>
      <family val="2"/>
    </font>
    <font>
      <b/>
      <sz val="10"/>
      <name val="Calibri"/>
      <family val="2"/>
    </font>
    <font>
      <b/>
      <sz val="10"/>
      <color rgb="FFFFFFFF"/>
      <name val="Calibri"/>
      <family val="2"/>
    </font>
    <font>
      <sz val="10"/>
      <color rgb="FF000000"/>
      <name val="Calibri"/>
      <family val="2"/>
    </font>
    <font>
      <b/>
      <sz val="10"/>
      <color rgb="FF000000"/>
      <name val="Calibri"/>
      <family val="2"/>
    </font>
    <font>
      <b/>
      <sz val="8"/>
      <color rgb="FF000000"/>
      <name val="Calibri"/>
      <family val="2"/>
      <scheme val="minor"/>
    </font>
    <font>
      <sz val="8"/>
      <color rgb="FF000000"/>
      <name val="Calibri"/>
      <family val="2"/>
      <scheme val="minor"/>
    </font>
    <font>
      <b/>
      <sz val="11"/>
      <color rgb="FF000000"/>
      <name val="Calibri"/>
      <family val="2"/>
    </font>
    <font>
      <b/>
      <sz val="14"/>
      <color rgb="FF000000"/>
      <name val="Calibri"/>
      <family val="2"/>
    </font>
    <font>
      <sz val="11"/>
      <color rgb="FFFFFFFF"/>
      <name val="Calibri"/>
      <family val="2"/>
    </font>
    <font>
      <b/>
      <sz val="24"/>
      <color rgb="FF000000"/>
      <name val="Calibri"/>
      <family val="2"/>
    </font>
    <font>
      <sz val="6"/>
      <color rgb="FFFFFFFF"/>
      <name val="Calibri"/>
      <family val="2"/>
    </font>
    <font>
      <sz val="10"/>
      <color theme="0"/>
      <name val="Calibri"/>
      <family val="2"/>
      <scheme val="minor"/>
    </font>
    <font>
      <sz val="10"/>
      <color rgb="FFC00000"/>
      <name val="Calibri"/>
      <family val="2"/>
      <scheme val="minor"/>
    </font>
    <font>
      <b/>
      <sz val="10"/>
      <name val="Calibri"/>
      <family val="2"/>
      <scheme val="minor"/>
    </font>
    <font>
      <sz val="10"/>
      <color rgb="FFFF0000"/>
      <name val="Calibri"/>
      <family val="2"/>
      <scheme val="minor"/>
    </font>
    <font>
      <b/>
      <sz val="9"/>
      <name val="Arial"/>
      <family val="2"/>
    </font>
    <font>
      <sz val="10"/>
      <color rgb="FFFF0000"/>
      <name val="Calibri"/>
      <family val="2"/>
    </font>
    <font>
      <sz val="10"/>
      <color theme="0"/>
      <name val="Calibri"/>
      <family val="2"/>
    </font>
    <font>
      <b/>
      <sz val="9"/>
      <color theme="1" tint="0.249977111117893"/>
      <name val="Calibri"/>
      <family val="2"/>
      <scheme val="minor"/>
    </font>
    <font>
      <sz val="10"/>
      <color theme="0"/>
      <name val="Arial"/>
      <family val="2"/>
    </font>
    <font>
      <sz val="8"/>
      <color theme="0"/>
      <name val="Calibri"/>
      <family val="2"/>
      <scheme val="minor"/>
    </font>
    <font>
      <b/>
      <sz val="8"/>
      <color theme="0"/>
      <name val="Calibri"/>
      <family val="2"/>
      <scheme val="minor"/>
    </font>
    <font>
      <sz val="10"/>
      <name val="Calibri"/>
      <family val="2"/>
      <scheme val="minor"/>
    </font>
    <font>
      <sz val="11"/>
      <color indexed="8"/>
      <name val="Calibri"/>
      <family val="2"/>
      <scheme val="minor"/>
    </font>
    <font>
      <sz val="9"/>
      <color theme="0"/>
      <name val="Calibri"/>
      <family val="2"/>
      <scheme val="minor"/>
    </font>
    <font>
      <b/>
      <sz val="10"/>
      <color theme="0"/>
      <name val="Calibri"/>
      <family val="2"/>
    </font>
    <font>
      <sz val="6"/>
      <color theme="0"/>
      <name val="Calibri"/>
      <family val="2"/>
    </font>
    <font>
      <sz val="6"/>
      <color theme="1"/>
      <name val="Calibri"/>
      <family val="2"/>
      <scheme val="minor"/>
    </font>
    <font>
      <u/>
      <sz val="12"/>
      <color theme="11"/>
      <name val="Calibri"/>
      <family val="2"/>
      <scheme val="minor"/>
    </font>
    <font>
      <b/>
      <sz val="8"/>
      <color rgb="FF000000"/>
      <name val="Calibri"/>
      <family val="2"/>
    </font>
    <font>
      <b/>
      <sz val="9"/>
      <color rgb="FF666666"/>
      <name val="Calibri"/>
      <family val="2"/>
    </font>
    <font>
      <b/>
      <sz val="21"/>
      <color theme="1"/>
      <name val="Calibri"/>
      <family val="2"/>
    </font>
    <font>
      <b/>
      <sz val="10"/>
      <color theme="0"/>
      <name val="Calibri"/>
      <family val="2"/>
      <scheme val="minor"/>
    </font>
    <font>
      <sz val="10"/>
      <color theme="1"/>
      <name val="Arial"/>
      <family val="2"/>
    </font>
    <font>
      <sz val="8"/>
      <name val="Calibri"/>
      <family val="2"/>
      <scheme val="minor"/>
    </font>
    <font>
      <sz val="9"/>
      <color rgb="FF000000"/>
      <name val="Calibri"/>
      <family val="2"/>
    </font>
    <font>
      <b/>
      <sz val="9"/>
      <color rgb="FF000000"/>
      <name val="Calibri"/>
      <family val="2"/>
    </font>
    <font>
      <b/>
      <sz val="9"/>
      <color theme="0"/>
      <name val="Calibri"/>
      <family val="2"/>
    </font>
    <font>
      <sz val="9"/>
      <color rgb="FF000000"/>
      <name val="Arial"/>
      <family val="2"/>
    </font>
    <font>
      <sz val="8"/>
      <color rgb="FFFF0000"/>
      <name val="Calibri"/>
      <family val="2"/>
      <scheme val="minor"/>
    </font>
    <font>
      <u/>
      <sz val="12"/>
      <color theme="10"/>
      <name val="Calibri"/>
      <family val="2"/>
      <scheme val="minor"/>
    </font>
    <font>
      <sz val="9"/>
      <color theme="0"/>
      <name val="Arial"/>
      <family val="2"/>
    </font>
    <font>
      <b/>
      <sz val="12"/>
      <name val="Calibri"/>
      <family val="2"/>
      <scheme val="minor"/>
    </font>
    <font>
      <sz val="10"/>
      <color rgb="FF000000"/>
      <name val="Calibri"/>
      <family val="2"/>
      <scheme val="minor"/>
    </font>
    <font>
      <sz val="10"/>
      <name val="Verdana"/>
      <family val="2"/>
    </font>
    <font>
      <b/>
      <sz val="9"/>
      <name val="Calibri"/>
      <family val="2"/>
      <scheme val="minor"/>
    </font>
    <font>
      <b/>
      <sz val="14"/>
      <name val="Calibri"/>
      <family val="2"/>
      <scheme val="minor"/>
    </font>
    <font>
      <sz val="12"/>
      <color rgb="FFFF0000"/>
      <name val="Calibri"/>
      <family val="2"/>
      <scheme val="minor"/>
    </font>
    <font>
      <b/>
      <sz val="8"/>
      <name val="Calibri"/>
      <family val="2"/>
      <scheme val="minor"/>
    </font>
    <font>
      <sz val="9"/>
      <name val="Calibri"/>
      <family val="2"/>
      <scheme val="minor"/>
    </font>
    <font>
      <b/>
      <sz val="18"/>
      <name val="Calibri"/>
      <family val="2"/>
    </font>
    <font>
      <b/>
      <sz val="10"/>
      <color rgb="FF0000FF"/>
      <name val="Calibri"/>
      <family val="2"/>
    </font>
    <font>
      <sz val="10"/>
      <color rgb="FF0000FF"/>
      <name val="Calibri"/>
      <family val="2"/>
    </font>
    <font>
      <b/>
      <sz val="10"/>
      <color rgb="FF0000FF"/>
      <name val="Arial"/>
      <family val="2"/>
    </font>
    <font>
      <sz val="9"/>
      <color theme="1"/>
      <name val="Arial"/>
      <family val="2"/>
    </font>
    <font>
      <sz val="11"/>
      <name val="Calibri"/>
      <family val="2"/>
      <scheme val="minor"/>
    </font>
    <font>
      <sz val="9"/>
      <color rgb="FFFF0000"/>
      <name val="Calibri"/>
      <family val="2"/>
      <scheme val="minor"/>
    </font>
    <font>
      <b/>
      <u/>
      <sz val="9"/>
      <color theme="1"/>
      <name val="Calibri"/>
      <family val="2"/>
      <scheme val="minor"/>
    </font>
    <font>
      <b/>
      <sz val="8"/>
      <color theme="1" tint="0.34998626667073579"/>
      <name val="Calibri"/>
      <family val="2"/>
      <scheme val="minor"/>
    </font>
    <font>
      <b/>
      <sz val="9"/>
      <color theme="1" tint="4.9989318521683403E-2"/>
      <name val="Calibri"/>
      <family val="2"/>
      <scheme val="minor"/>
    </font>
    <font>
      <b/>
      <u/>
      <sz val="9"/>
      <color theme="1" tint="4.9989318521683403E-2"/>
      <name val="Calibri"/>
      <family val="2"/>
      <scheme val="minor"/>
    </font>
    <font>
      <b/>
      <sz val="10"/>
      <color theme="1"/>
      <name val="Calibri"/>
      <family val="2"/>
    </font>
    <font>
      <b/>
      <sz val="9"/>
      <color theme="1"/>
      <name val="Calibri"/>
      <family val="2"/>
    </font>
    <font>
      <sz val="6"/>
      <color theme="1"/>
      <name val="Calibri"/>
      <family val="2"/>
    </font>
    <font>
      <sz val="12"/>
      <name val="Calibri"/>
      <family val="2"/>
      <scheme val="minor"/>
    </font>
    <font>
      <sz val="10"/>
      <color rgb="FF000000"/>
      <name val="Times New Roman"/>
      <family val="1"/>
    </font>
    <font>
      <b/>
      <i/>
      <sz val="9"/>
      <color theme="1" tint="0.34998626667073579"/>
      <name val="Calibri"/>
      <family val="2"/>
      <scheme val="minor"/>
    </font>
    <font>
      <sz val="9"/>
      <color theme="1" tint="0.34998626667073579"/>
      <name val="Calibri"/>
      <family val="2"/>
      <scheme val="minor"/>
    </font>
    <font>
      <b/>
      <sz val="20"/>
      <color theme="1" tint="0.34998626667073579"/>
      <name val="Calibri"/>
      <family val="2"/>
      <scheme val="minor"/>
    </font>
    <font>
      <sz val="9"/>
      <color theme="1" tint="0.249977111117893"/>
      <name val="Calibri"/>
      <family val="2"/>
      <scheme val="minor"/>
    </font>
    <font>
      <sz val="8"/>
      <color theme="1" tint="0.249977111117893"/>
      <name val="Calibri"/>
      <family val="2"/>
      <scheme val="minor"/>
    </font>
    <font>
      <b/>
      <i/>
      <sz val="8"/>
      <color theme="0" tint="-0.499984740745262"/>
      <name val="Calibri"/>
      <family val="2"/>
      <scheme val="minor"/>
    </font>
    <font>
      <b/>
      <sz val="11"/>
      <color theme="1" tint="0.249977111117893"/>
      <name val="Calibri"/>
      <family val="2"/>
      <scheme val="minor"/>
    </font>
    <font>
      <b/>
      <i/>
      <sz val="8"/>
      <color theme="1" tint="0.34998626667073579"/>
      <name val="Calibri"/>
      <family val="2"/>
      <scheme val="minor"/>
    </font>
    <font>
      <sz val="10"/>
      <color rgb="FFFF0000"/>
      <name val="Arial"/>
      <family val="2"/>
    </font>
    <font>
      <b/>
      <i/>
      <sz val="9"/>
      <color theme="1" tint="0.249977111117893"/>
      <name val="Calibri"/>
      <family val="2"/>
      <scheme val="minor"/>
    </font>
    <font>
      <b/>
      <i/>
      <sz val="10"/>
      <color theme="1" tint="0.249977111117893"/>
      <name val="Calibri"/>
      <family val="2"/>
      <scheme val="minor"/>
    </font>
    <font>
      <b/>
      <i/>
      <sz val="10"/>
      <color theme="1" tint="0.249977111117893"/>
      <name val="Calibri"/>
      <family val="2"/>
    </font>
    <font>
      <sz val="10"/>
      <color theme="1" tint="0.249977111117893"/>
      <name val="Calibri"/>
      <family val="2"/>
      <scheme val="minor"/>
    </font>
    <font>
      <b/>
      <sz val="10"/>
      <color theme="1" tint="4.9989318521683403E-2"/>
      <name val="Calibri"/>
      <family val="2"/>
      <scheme val="minor"/>
    </font>
    <font>
      <sz val="12"/>
      <color theme="1" tint="4.9989318521683403E-2"/>
      <name val="Calibri"/>
      <family val="2"/>
      <scheme val="minor"/>
    </font>
    <font>
      <b/>
      <i/>
      <u/>
      <sz val="8"/>
      <color rgb="FF0000FF"/>
      <name val="Calibri"/>
      <family val="2"/>
      <scheme val="minor"/>
    </font>
    <font>
      <b/>
      <sz val="20"/>
      <name val="Calibri"/>
      <family val="2"/>
    </font>
    <font>
      <sz val="10"/>
      <color theme="1" tint="4.9989318521683403E-2"/>
      <name val="Calibri"/>
      <family val="2"/>
    </font>
    <font>
      <b/>
      <sz val="10"/>
      <color theme="1" tint="4.9989318521683403E-2"/>
      <name val="Calibri"/>
      <family val="2"/>
    </font>
    <font>
      <sz val="10"/>
      <color theme="1" tint="4.9989318521683403E-2"/>
      <name val="Calibri"/>
      <family val="2"/>
      <scheme val="minor"/>
    </font>
    <font>
      <sz val="9"/>
      <color theme="1" tint="4.9989318521683403E-2"/>
      <name val="Calibri"/>
      <family val="2"/>
    </font>
    <font>
      <sz val="8"/>
      <color theme="1"/>
      <name val="Calibri"/>
      <family val="2"/>
    </font>
    <font>
      <b/>
      <i/>
      <sz val="8"/>
      <color theme="1" tint="0.249977111117893"/>
      <name val="Calibri"/>
      <family val="2"/>
      <scheme val="minor"/>
    </font>
    <font>
      <sz val="10"/>
      <color theme="1" tint="0.249977111117893"/>
      <name val="Calibri"/>
      <family val="2"/>
    </font>
    <font>
      <i/>
      <sz val="9"/>
      <color theme="1"/>
      <name val="Calibri"/>
      <family val="2"/>
      <scheme val="minor"/>
    </font>
    <font>
      <sz val="12"/>
      <color theme="1" tint="0.249977111117893"/>
      <name val="Calibri"/>
      <family val="2"/>
      <scheme val="minor"/>
    </font>
    <font>
      <b/>
      <sz val="10"/>
      <color theme="1" tint="0.249977111117893"/>
      <name val="Calibri"/>
      <family val="2"/>
      <scheme val="minor"/>
    </font>
    <font>
      <sz val="8"/>
      <color theme="1" tint="0.34998626667073579"/>
      <name val="Calibri"/>
      <family val="2"/>
      <scheme val="minor"/>
    </font>
    <font>
      <b/>
      <sz val="10"/>
      <color theme="1" tint="0.249977111117893"/>
      <name val="Calibri"/>
      <family val="2"/>
    </font>
    <font>
      <b/>
      <sz val="9"/>
      <color theme="0"/>
      <name val="Calibri"/>
      <family val="2"/>
      <scheme val="minor"/>
    </font>
    <font>
      <b/>
      <sz val="10"/>
      <color theme="0" tint="-0.499984740745262"/>
      <name val="Calibri"/>
      <family val="2"/>
    </font>
    <font>
      <i/>
      <sz val="9"/>
      <color theme="1"/>
      <name val="Calibri"/>
      <family val="2"/>
    </font>
    <font>
      <sz val="9"/>
      <color theme="1"/>
      <name val="Calibri"/>
      <family val="2"/>
    </font>
    <font>
      <b/>
      <sz val="9"/>
      <name val="Calibri"/>
      <family val="2"/>
    </font>
    <font>
      <b/>
      <sz val="9"/>
      <color rgb="FF0000CC"/>
      <name val="Calibri"/>
      <family val="2"/>
    </font>
    <font>
      <i/>
      <sz val="8"/>
      <color theme="1"/>
      <name val="Calibri"/>
      <family val="2"/>
    </font>
    <font>
      <b/>
      <i/>
      <sz val="8"/>
      <color theme="0" tint="-0.499984740745262"/>
      <name val="Calibri"/>
      <family val="2"/>
    </font>
    <font>
      <i/>
      <sz val="8"/>
      <color theme="1"/>
      <name val="Calibri"/>
      <family val="2"/>
      <scheme val="minor"/>
    </font>
    <font>
      <sz val="12"/>
      <color rgb="FFBDC1C6"/>
      <name val="Roboto"/>
    </font>
    <font>
      <u/>
      <sz val="11"/>
      <color theme="10"/>
      <name val="Calibri"/>
      <family val="2"/>
      <scheme val="minor"/>
    </font>
    <font>
      <sz val="9"/>
      <color rgb="FFCCECFF"/>
      <name val="Calibri"/>
      <family val="2"/>
      <scheme val="minor"/>
    </font>
    <font>
      <sz val="10"/>
      <color theme="1" tint="0.14999847407452621"/>
      <name val="Calibri"/>
      <family val="2"/>
      <scheme val="minor"/>
    </font>
    <font>
      <sz val="9"/>
      <color theme="2"/>
      <name val="Calibri"/>
      <family val="2"/>
      <scheme val="minor"/>
    </font>
    <font>
      <sz val="14"/>
      <color theme="2"/>
      <name val="Calibri"/>
      <family val="2"/>
      <scheme val="minor"/>
    </font>
    <font>
      <b/>
      <i/>
      <sz val="14"/>
      <color theme="1" tint="0.249977111117893"/>
      <name val="Calibri"/>
      <family val="2"/>
      <scheme val="minor"/>
    </font>
    <font>
      <sz val="10"/>
      <name val="Calibri Light"/>
      <family val="2"/>
    </font>
    <font>
      <sz val="10"/>
      <name val="Arial"/>
      <family val="2"/>
      <charset val="204"/>
    </font>
    <font>
      <sz val="9"/>
      <name val="Calibri Light"/>
      <family val="2"/>
    </font>
    <font>
      <b/>
      <sz val="9"/>
      <name val="Calibri Light"/>
      <family val="2"/>
    </font>
    <font>
      <b/>
      <i/>
      <sz val="9"/>
      <color theme="0"/>
      <name val="Calibri"/>
      <family val="2"/>
      <scheme val="minor"/>
    </font>
    <font>
      <sz val="14"/>
      <color theme="1" tint="0.249977111117893"/>
      <name val="Calibri"/>
      <family val="2"/>
      <scheme val="minor"/>
    </font>
    <font>
      <sz val="10"/>
      <color rgb="FF222222"/>
      <name val="Calibri"/>
      <family val="2"/>
      <scheme val="minor"/>
    </font>
    <font>
      <b/>
      <i/>
      <sz val="9"/>
      <color theme="1"/>
      <name val="Calibri"/>
      <family val="2"/>
    </font>
    <font>
      <b/>
      <sz val="14"/>
      <color theme="1" tint="4.9989318521683403E-2"/>
      <name val="Calibri"/>
      <family val="2"/>
    </font>
    <font>
      <i/>
      <sz val="14"/>
      <color theme="1" tint="4.9989318521683403E-2"/>
      <name val="Calibri"/>
      <family val="2"/>
    </font>
    <font>
      <b/>
      <i/>
      <sz val="8"/>
      <color theme="0" tint="-0.249977111117893"/>
      <name val="Calibri"/>
      <family val="2"/>
      <scheme val="minor"/>
    </font>
    <font>
      <b/>
      <sz val="9"/>
      <color rgb="FF000000"/>
      <name val="Calibri"/>
      <family val="2"/>
      <scheme val="minor"/>
    </font>
    <font>
      <b/>
      <sz val="10"/>
      <color rgb="FF000000"/>
      <name val="Calibri"/>
      <family val="2"/>
      <scheme val="minor"/>
    </font>
    <font>
      <sz val="9"/>
      <color rgb="FFFFFF00"/>
      <name val="Calibri"/>
      <family val="2"/>
      <scheme val="minor"/>
    </font>
    <font>
      <b/>
      <sz val="9"/>
      <color rgb="FFCCECFF"/>
      <name val="Calibri"/>
      <family val="2"/>
      <scheme val="minor"/>
    </font>
    <font>
      <sz val="9"/>
      <color rgb="FF3399FF"/>
      <name val="Calibri"/>
      <family val="2"/>
      <scheme val="minor"/>
    </font>
    <font>
      <b/>
      <sz val="9"/>
      <color rgb="FF00B0F0"/>
      <name val="Calibri"/>
      <family val="2"/>
      <scheme val="minor"/>
    </font>
    <font>
      <b/>
      <sz val="14"/>
      <color rgb="FF3333FF"/>
      <name val="Calibri"/>
      <family val="2"/>
      <scheme val="minor"/>
    </font>
    <font>
      <sz val="9"/>
      <name val="Calibri"/>
      <family val="2"/>
    </font>
    <font>
      <b/>
      <sz val="12"/>
      <color rgb="FF0000FF"/>
      <name val="Calibri"/>
      <family val="2"/>
    </font>
    <font>
      <sz val="11"/>
      <color rgb="FF0F0F0F"/>
      <name val="Roboto"/>
    </font>
    <font>
      <b/>
      <sz val="9"/>
      <color theme="1" tint="0.249977111117893"/>
      <name val="Calibri"/>
      <family val="2"/>
    </font>
    <font>
      <b/>
      <sz val="11"/>
      <name val="Calibri"/>
      <family val="2"/>
    </font>
    <font>
      <sz val="10"/>
      <color theme="1" tint="0.249977111117893"/>
      <name val="Calibri Light"/>
      <family val="2"/>
    </font>
    <font>
      <b/>
      <sz val="10"/>
      <color rgb="FF66FF33"/>
      <name val="Calibri"/>
      <family val="2"/>
    </font>
    <font>
      <sz val="9"/>
      <color theme="1" tint="0.249977111117893"/>
      <name val="Calibri"/>
      <family val="2"/>
    </font>
    <font>
      <sz val="9"/>
      <color theme="0"/>
      <name val="Calibri"/>
      <family val="2"/>
    </font>
    <font>
      <b/>
      <sz val="12"/>
      <color rgb="FF000066"/>
      <name val="Calibri"/>
      <family val="2"/>
      <scheme val="minor"/>
    </font>
    <font>
      <b/>
      <sz val="14"/>
      <color rgb="FF000066"/>
      <name val="Calibri"/>
      <family val="2"/>
      <scheme val="minor"/>
    </font>
    <font>
      <b/>
      <sz val="18"/>
      <color rgb="FF000066"/>
      <name val="Calibri"/>
      <family val="2"/>
      <scheme val="minor"/>
    </font>
    <font>
      <b/>
      <u/>
      <sz val="9"/>
      <color theme="0"/>
      <name val="Calibri"/>
      <family val="2"/>
      <scheme val="minor"/>
    </font>
    <font>
      <sz val="6"/>
      <color theme="0"/>
      <name val="Calibri"/>
      <family val="2"/>
      <scheme val="minor"/>
    </font>
    <font>
      <sz val="12"/>
      <color rgb="FFC00000"/>
      <name val="Calibri"/>
      <family val="2"/>
      <scheme val="minor"/>
    </font>
    <font>
      <sz val="9"/>
      <color rgb="FFFF0000"/>
      <name val="Arial"/>
      <family val="2"/>
    </font>
    <font>
      <b/>
      <sz val="11"/>
      <name val="Calibri"/>
      <family val="2"/>
      <scheme val="minor"/>
    </font>
    <font>
      <b/>
      <sz val="16"/>
      <name val="Calibri"/>
      <family val="2"/>
      <scheme val="minor"/>
    </font>
    <font>
      <b/>
      <sz val="8"/>
      <color rgb="FFFF0000"/>
      <name val="Calibri"/>
      <family val="2"/>
      <scheme val="minor"/>
    </font>
    <font>
      <b/>
      <i/>
      <u/>
      <sz val="8"/>
      <color theme="1" tint="0.249977111117893"/>
      <name val="Calibri"/>
      <family val="2"/>
      <scheme val="minor"/>
    </font>
    <font>
      <sz val="9"/>
      <name val="Arial"/>
      <family val="2"/>
    </font>
    <font>
      <sz val="9"/>
      <color rgb="FFC00000"/>
      <name val="Calibri"/>
      <family val="2"/>
      <scheme val="minor"/>
    </font>
    <font>
      <b/>
      <sz val="9"/>
      <color rgb="FF0000FF"/>
      <name val="Calibri"/>
      <family val="2"/>
      <scheme val="minor"/>
    </font>
    <font>
      <b/>
      <sz val="14"/>
      <color theme="1" tint="0.249977111117893"/>
      <name val="Calibri"/>
      <family val="2"/>
      <scheme val="minor"/>
    </font>
    <font>
      <b/>
      <i/>
      <sz val="8"/>
      <color rgb="FFFF0000"/>
      <name val="Calibri"/>
      <family val="2"/>
      <scheme val="minor"/>
    </font>
    <font>
      <b/>
      <sz val="8"/>
      <color rgb="FF0000CC"/>
      <name val="Calibri"/>
      <family val="2"/>
      <scheme val="minor"/>
    </font>
    <font>
      <sz val="9"/>
      <color theme="1"/>
      <name val="Webdings"/>
      <family val="1"/>
      <charset val="2"/>
    </font>
    <font>
      <b/>
      <sz val="8"/>
      <color rgb="FF0000FF"/>
      <name val="Calibri"/>
      <family val="2"/>
      <scheme val="minor"/>
    </font>
    <font>
      <sz val="9"/>
      <color theme="0"/>
      <name val="Webdings"/>
      <family val="1"/>
      <charset val="2"/>
    </font>
    <font>
      <b/>
      <sz val="9"/>
      <color rgb="FFFF0000"/>
      <name val="Calibri"/>
      <family val="2"/>
      <scheme val="minor"/>
    </font>
    <font>
      <b/>
      <u/>
      <sz val="9"/>
      <color rgb="FFFF0000"/>
      <name val="Calibri"/>
      <family val="2"/>
      <scheme val="minor"/>
    </font>
    <font>
      <sz val="10"/>
      <color theme="1"/>
      <name val="Wingdings"/>
      <charset val="2"/>
    </font>
    <font>
      <sz val="10"/>
      <color theme="1"/>
      <name val="Wingdings 2"/>
      <family val="1"/>
      <charset val="2"/>
    </font>
    <font>
      <sz val="10"/>
      <color theme="1"/>
      <name val="Wingdings 3"/>
      <family val="1"/>
      <charset val="2"/>
    </font>
    <font>
      <sz val="11"/>
      <color theme="0"/>
      <name val="Calibri"/>
      <family val="2"/>
    </font>
    <font>
      <b/>
      <u/>
      <sz val="18"/>
      <color rgb="FF0000FF"/>
      <name val="Calibri"/>
      <family val="2"/>
      <scheme val="minor"/>
    </font>
    <font>
      <sz val="11"/>
      <color rgb="FFFF0000"/>
      <name val="Calibri"/>
      <family val="2"/>
      <scheme val="minor"/>
    </font>
    <font>
      <b/>
      <u/>
      <sz val="11"/>
      <color rgb="FF0000FF"/>
      <name val="Calibri"/>
      <family val="2"/>
      <scheme val="minor"/>
    </font>
    <font>
      <u/>
      <sz val="11"/>
      <color theme="1"/>
      <name val="Calibri"/>
      <family val="2"/>
      <scheme val="minor"/>
    </font>
    <font>
      <b/>
      <sz val="11"/>
      <color rgb="FFFF0000"/>
      <name val="Calibri"/>
      <family val="2"/>
      <scheme val="minor"/>
    </font>
    <font>
      <sz val="10"/>
      <color rgb="FF0000FF"/>
      <name val="Calibri"/>
      <family val="2"/>
      <scheme val="minor"/>
    </font>
    <font>
      <sz val="11"/>
      <color rgb="FF0000FF"/>
      <name val="Calibri"/>
      <family val="2"/>
      <scheme val="minor"/>
    </font>
    <font>
      <b/>
      <sz val="10"/>
      <color rgb="FF0000FF"/>
      <name val="Calibri"/>
      <family val="2"/>
      <scheme val="minor"/>
    </font>
    <font>
      <sz val="8"/>
      <color rgb="FF0000FF"/>
      <name val="Calibri"/>
      <family val="2"/>
      <scheme val="minor"/>
    </font>
    <font>
      <b/>
      <sz val="9"/>
      <color rgb="FF0000FF"/>
      <name val="Arial"/>
      <family val="2"/>
    </font>
    <font>
      <sz val="10"/>
      <color rgb="FF0000FF"/>
      <name val="Arial"/>
      <family val="2"/>
    </font>
    <font>
      <sz val="9"/>
      <color rgb="FF0000FF"/>
      <name val="Calibri"/>
      <family val="2"/>
      <scheme val="minor"/>
    </font>
    <font>
      <b/>
      <sz val="11"/>
      <color rgb="FF0000FF"/>
      <name val="Calibri"/>
      <family val="2"/>
      <scheme val="minor"/>
    </font>
    <font>
      <b/>
      <i/>
      <sz val="8"/>
      <color theme="1"/>
      <name val="Calibri"/>
      <family val="2"/>
      <scheme val="minor"/>
    </font>
    <font>
      <sz val="11"/>
      <name val="Calibri"/>
      <family val="2"/>
    </font>
    <font>
      <b/>
      <sz val="10"/>
      <name val="Arial"/>
      <family val="2"/>
    </font>
    <font>
      <b/>
      <sz val="18"/>
      <name val="Calibri"/>
      <family val="2"/>
      <scheme val="minor"/>
    </font>
    <font>
      <b/>
      <i/>
      <sz val="8"/>
      <color rgb="FFC00000"/>
      <name val="Calibri"/>
      <family val="2"/>
      <scheme val="minor"/>
    </font>
  </fonts>
  <fills count="2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FF"/>
        <bgColor rgb="FFFFFFFF"/>
      </patternFill>
    </fill>
    <fill>
      <patternFill patternType="solid">
        <fgColor theme="2"/>
        <bgColor rgb="FFCFE2F3"/>
      </patternFill>
    </fill>
    <fill>
      <patternFill patternType="solid">
        <fgColor theme="0" tint="-4.9989318521683403E-2"/>
        <bgColor rgb="FFF3F3F3"/>
      </patternFill>
    </fill>
    <fill>
      <patternFill patternType="solid">
        <fgColor theme="0" tint="-4.9989318521683403E-2"/>
        <bgColor rgb="FFCFE2F3"/>
      </patternFill>
    </fill>
    <fill>
      <patternFill patternType="solid">
        <fgColor theme="4" tint="0.79998168889431442"/>
        <bgColor rgb="FFCFE2F3"/>
      </patternFill>
    </fill>
    <fill>
      <patternFill patternType="solid">
        <fgColor rgb="FFFFFF00"/>
        <bgColor indexed="64"/>
      </patternFill>
    </fill>
    <fill>
      <patternFill patternType="solid">
        <fgColor theme="2"/>
        <bgColor rgb="FFD9EAD3"/>
      </patternFill>
    </fill>
    <fill>
      <patternFill patternType="solid">
        <fgColor theme="0" tint="-0.14999847407452621"/>
        <bgColor rgb="FFCFE2F3"/>
      </patternFill>
    </fill>
    <fill>
      <patternFill patternType="solid">
        <fgColor theme="0"/>
        <bgColor rgb="FFCFE2F3"/>
      </patternFill>
    </fill>
    <fill>
      <patternFill patternType="solid">
        <fgColor theme="0"/>
        <bgColor rgb="FFFFFF00"/>
      </patternFill>
    </fill>
    <fill>
      <patternFill patternType="solid">
        <fgColor theme="9" tint="0.79998168889431442"/>
        <bgColor indexed="64"/>
      </patternFill>
    </fill>
    <fill>
      <patternFill patternType="solid">
        <fgColor theme="4" tint="0.79998168889431442"/>
        <bgColor rgb="FFFFFF00"/>
      </patternFill>
    </fill>
    <fill>
      <patternFill patternType="solid">
        <fgColor rgb="FFFF9999"/>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theme="0" tint="-4.9989318521683403E-2"/>
        <bgColor rgb="FFFFFFFF"/>
      </patternFill>
    </fill>
    <fill>
      <patternFill patternType="solid">
        <fgColor theme="5" tint="0.79998168889431442"/>
        <bgColor indexed="64"/>
      </patternFill>
    </fill>
    <fill>
      <patternFill patternType="solid">
        <fgColor theme="0"/>
        <bgColor rgb="FFFFFFFF"/>
      </patternFill>
    </fill>
    <fill>
      <patternFill patternType="solid">
        <fgColor theme="5" tint="0.59999389629810485"/>
        <bgColor indexed="64"/>
      </patternFill>
    </fill>
    <fill>
      <patternFill patternType="solid">
        <fgColor rgb="FFFF0000"/>
        <bgColor indexed="64"/>
      </patternFill>
    </fill>
  </fills>
  <borders count="2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thin">
        <color auto="1"/>
      </top>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medium">
        <color auto="1"/>
      </top>
      <bottom style="medium">
        <color auto="1"/>
      </bottom>
      <diagonal/>
    </border>
    <border>
      <left/>
      <right/>
      <top/>
      <bottom style="double">
        <color auto="1"/>
      </bottom>
      <diagonal/>
    </border>
    <border>
      <left/>
      <right style="medium">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thin">
        <color auto="1"/>
      </top>
      <bottom style="thin">
        <color auto="1"/>
      </bottom>
      <diagonal/>
    </border>
    <border>
      <left/>
      <right/>
      <top/>
      <bottom style="medium">
        <color auto="1"/>
      </bottom>
      <diagonal/>
    </border>
    <border>
      <left/>
      <right/>
      <top style="medium">
        <color auto="1"/>
      </top>
      <bottom/>
      <diagonal/>
    </border>
    <border>
      <left style="thin">
        <color auto="1"/>
      </left>
      <right/>
      <top style="thin">
        <color auto="1"/>
      </top>
      <bottom style="thin">
        <color auto="1"/>
      </bottom>
      <diagonal/>
    </border>
    <border>
      <left/>
      <right style="medium">
        <color auto="1"/>
      </right>
      <top/>
      <bottom/>
      <diagonal/>
    </border>
    <border>
      <left/>
      <right style="medium">
        <color auto="1"/>
      </right>
      <top style="medium">
        <color auto="1"/>
      </top>
      <bottom/>
      <diagonal/>
    </border>
    <border>
      <left style="medium">
        <color auto="1"/>
      </left>
      <right style="medium">
        <color auto="1"/>
      </right>
      <top/>
      <bottom style="medium">
        <color auto="1"/>
      </bottom>
      <diagonal/>
    </border>
    <border>
      <left/>
      <right/>
      <top/>
      <bottom style="medium">
        <color rgb="FF000000"/>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top/>
      <bottom style="double">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diagonal/>
    </border>
    <border>
      <left/>
      <right/>
      <top style="thin">
        <color auto="1"/>
      </top>
      <bottom style="thin">
        <color auto="1"/>
      </bottom>
      <diagonal/>
    </border>
    <border>
      <left style="thin">
        <color theme="1"/>
      </left>
      <right style="thin">
        <color theme="1"/>
      </right>
      <top style="thin">
        <color theme="1"/>
      </top>
      <bottom style="thin">
        <color theme="1"/>
      </bottom>
      <diagonal/>
    </border>
    <border>
      <left style="medium">
        <color theme="1"/>
      </left>
      <right style="thin">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medium">
        <color indexed="64"/>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bottom/>
      <diagonal/>
    </border>
    <border>
      <left/>
      <right style="thin">
        <color auto="1"/>
      </right>
      <top/>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style="medium">
        <color auto="1"/>
      </bottom>
      <diagonal/>
    </border>
    <border>
      <left/>
      <right style="thin">
        <color auto="1"/>
      </right>
      <top/>
      <bottom style="thin">
        <color auto="1"/>
      </bottom>
      <diagonal/>
    </border>
    <border>
      <left style="medium">
        <color indexed="64"/>
      </left>
      <right/>
      <top/>
      <bottom style="medium">
        <color indexed="64"/>
      </bottom>
      <diagonal/>
    </border>
    <border>
      <left style="medium">
        <color indexed="64"/>
      </left>
      <right/>
      <top/>
      <bottom style="thin">
        <color indexed="64"/>
      </bottom>
      <diagonal/>
    </border>
    <border>
      <left/>
      <right style="thin">
        <color auto="1"/>
      </right>
      <top style="medium">
        <color auto="1"/>
      </top>
      <bottom/>
      <diagonal/>
    </border>
    <border>
      <left/>
      <right style="thin">
        <color indexed="64"/>
      </right>
      <top/>
      <bottom style="medium">
        <color auto="1"/>
      </bottom>
      <diagonal/>
    </border>
    <border>
      <left style="thin">
        <color auto="1"/>
      </left>
      <right style="thin">
        <color auto="1"/>
      </right>
      <top/>
      <bottom style="medium">
        <color auto="1"/>
      </bottom>
      <diagonal/>
    </border>
    <border>
      <left style="thin">
        <color auto="1"/>
      </left>
      <right style="thin">
        <color auto="1"/>
      </right>
      <top/>
      <bottom/>
      <diagonal/>
    </border>
    <border>
      <left style="thin">
        <color auto="1"/>
      </left>
      <right style="thin">
        <color auto="1"/>
      </right>
      <top style="medium">
        <color auto="1"/>
      </top>
      <bottom/>
      <diagonal/>
    </border>
    <border>
      <left/>
      <right/>
      <top/>
      <bottom style="medium">
        <color theme="1" tint="0.34998626667073579"/>
      </bottom>
      <diagonal/>
    </border>
    <border>
      <left style="medium">
        <color auto="1"/>
      </left>
      <right style="medium">
        <color auto="1"/>
      </right>
      <top style="medium">
        <color theme="1" tint="0.499984740745262"/>
      </top>
      <bottom style="thin">
        <color auto="1"/>
      </bottom>
      <diagonal/>
    </border>
    <border>
      <left style="medium">
        <color auto="1"/>
      </left>
      <right style="medium">
        <color auto="1"/>
      </right>
      <top style="thin">
        <color auto="1"/>
      </top>
      <bottom/>
      <diagonal/>
    </border>
    <border>
      <left style="medium">
        <color auto="1"/>
      </left>
      <right style="medium">
        <color auto="1"/>
      </right>
      <top style="medium">
        <color theme="1" tint="0.34998626667073579"/>
      </top>
      <bottom style="thin">
        <color auto="1"/>
      </bottom>
      <diagonal/>
    </border>
    <border>
      <left style="medium">
        <color indexed="64"/>
      </left>
      <right style="medium">
        <color indexed="64"/>
      </right>
      <top style="thin">
        <color indexed="64"/>
      </top>
      <bottom style="medium">
        <color theme="1" tint="0.34998626667073579"/>
      </bottom>
      <diagonal/>
    </border>
    <border>
      <left/>
      <right style="medium">
        <color theme="1" tint="0.34998626667073579"/>
      </right>
      <top style="thin">
        <color auto="1"/>
      </top>
      <bottom style="thin">
        <color auto="1"/>
      </bottom>
      <diagonal/>
    </border>
    <border>
      <left style="medium">
        <color theme="1" tint="0.34998626667073579"/>
      </left>
      <right style="medium">
        <color theme="1" tint="0.34998626667073579"/>
      </right>
      <top style="medium">
        <color theme="1" tint="0.34998626667073579"/>
      </top>
      <bottom style="medium">
        <color theme="1" tint="0.34998626667073579"/>
      </bottom>
      <diagonal/>
    </border>
    <border>
      <left style="medium">
        <color theme="1" tint="0.34998626667073579"/>
      </left>
      <right style="medium">
        <color theme="1" tint="0.34998626667073579"/>
      </right>
      <top style="medium">
        <color theme="1" tint="0.34998626667073579"/>
      </top>
      <bottom/>
      <diagonal/>
    </border>
    <border>
      <left/>
      <right style="medium">
        <color theme="1" tint="0.34998626667073579"/>
      </right>
      <top style="thin">
        <color auto="1"/>
      </top>
      <bottom style="medium">
        <color theme="1" tint="0.34998626667073579"/>
      </bottom>
      <diagonal/>
    </border>
    <border>
      <left/>
      <right style="medium">
        <color theme="1" tint="0.34998626667073579"/>
      </right>
      <top style="medium">
        <color theme="1" tint="0.34998626667073579"/>
      </top>
      <bottom style="medium">
        <color theme="1" tint="0.34998626667073579"/>
      </bottom>
      <diagonal/>
    </border>
    <border>
      <left style="medium">
        <color theme="1" tint="0.34998626667073579"/>
      </left>
      <right style="medium">
        <color theme="1" tint="0.34998626667073579"/>
      </right>
      <top style="thin">
        <color auto="1"/>
      </top>
      <bottom style="thin">
        <color auto="1"/>
      </bottom>
      <diagonal/>
    </border>
    <border>
      <left style="medium">
        <color theme="1" tint="0.34998626667073579"/>
      </left>
      <right style="medium">
        <color theme="1" tint="0.34998626667073579"/>
      </right>
      <top style="thin">
        <color auto="1"/>
      </top>
      <bottom style="medium">
        <color theme="1" tint="0.34998626667073579"/>
      </bottom>
      <diagonal/>
    </border>
    <border>
      <left style="medium">
        <color theme="1" tint="0.249977111117893"/>
      </left>
      <right style="medium">
        <color theme="1" tint="0.249977111117893"/>
      </right>
      <top style="medium">
        <color theme="1" tint="0.249977111117893"/>
      </top>
      <bottom style="medium">
        <color theme="1" tint="0.249977111117893"/>
      </bottom>
      <diagonal/>
    </border>
    <border>
      <left style="medium">
        <color theme="1" tint="0.249977111117893"/>
      </left>
      <right style="medium">
        <color auto="1"/>
      </right>
      <top style="medium">
        <color theme="1" tint="0.249977111117893"/>
      </top>
      <bottom style="thin">
        <color auto="1"/>
      </bottom>
      <diagonal/>
    </border>
    <border>
      <left style="medium">
        <color auto="1"/>
      </left>
      <right style="medium">
        <color auto="1"/>
      </right>
      <top style="medium">
        <color theme="1" tint="0.249977111117893"/>
      </top>
      <bottom style="thin">
        <color auto="1"/>
      </bottom>
      <diagonal/>
    </border>
    <border>
      <left style="medium">
        <color auto="1"/>
      </left>
      <right style="medium">
        <color theme="1" tint="0.249977111117893"/>
      </right>
      <top style="medium">
        <color theme="1" tint="0.249977111117893"/>
      </top>
      <bottom style="thin">
        <color auto="1"/>
      </bottom>
      <diagonal/>
    </border>
    <border>
      <left style="medium">
        <color theme="1" tint="0.249977111117893"/>
      </left>
      <right style="medium">
        <color auto="1"/>
      </right>
      <top style="thin">
        <color auto="1"/>
      </top>
      <bottom style="thin">
        <color auto="1"/>
      </bottom>
      <diagonal/>
    </border>
    <border>
      <left style="medium">
        <color auto="1"/>
      </left>
      <right style="medium">
        <color theme="1" tint="0.249977111117893"/>
      </right>
      <top style="thin">
        <color auto="1"/>
      </top>
      <bottom style="thin">
        <color auto="1"/>
      </bottom>
      <diagonal/>
    </border>
    <border>
      <left style="medium">
        <color theme="1" tint="0.249977111117893"/>
      </left>
      <right style="medium">
        <color auto="1"/>
      </right>
      <top/>
      <bottom style="thin">
        <color indexed="64"/>
      </bottom>
      <diagonal/>
    </border>
    <border>
      <left style="medium">
        <color auto="1"/>
      </left>
      <right style="medium">
        <color theme="1" tint="0.249977111117893"/>
      </right>
      <top/>
      <bottom style="thin">
        <color indexed="64"/>
      </bottom>
      <diagonal/>
    </border>
    <border>
      <left style="medium">
        <color theme="1" tint="0.249977111117893"/>
      </left>
      <right style="medium">
        <color auto="1"/>
      </right>
      <top style="thin">
        <color auto="1"/>
      </top>
      <bottom style="medium">
        <color theme="1" tint="0.249977111117893"/>
      </bottom>
      <diagonal/>
    </border>
    <border>
      <left style="medium">
        <color auto="1"/>
      </left>
      <right style="medium">
        <color auto="1"/>
      </right>
      <top style="thin">
        <color auto="1"/>
      </top>
      <bottom style="medium">
        <color theme="1" tint="0.249977111117893"/>
      </bottom>
      <diagonal/>
    </border>
    <border>
      <left style="medium">
        <color auto="1"/>
      </left>
      <right style="medium">
        <color theme="1" tint="0.249977111117893"/>
      </right>
      <top style="thin">
        <color auto="1"/>
      </top>
      <bottom style="medium">
        <color theme="1" tint="0.249977111117893"/>
      </bottom>
      <diagonal/>
    </border>
    <border>
      <left/>
      <right/>
      <top/>
      <bottom style="thin">
        <color theme="1" tint="0.249977111117893"/>
      </bottom>
      <diagonal/>
    </border>
    <border>
      <left style="medium">
        <color theme="1" tint="0.249977111117893"/>
      </left>
      <right/>
      <top style="medium">
        <color theme="1" tint="0.249977111117893"/>
      </top>
      <bottom style="medium">
        <color theme="1" tint="0.249977111117893"/>
      </bottom>
      <diagonal/>
    </border>
    <border>
      <left/>
      <right style="medium">
        <color theme="1" tint="0.249977111117893"/>
      </right>
      <top style="medium">
        <color theme="1" tint="0.249977111117893"/>
      </top>
      <bottom style="medium">
        <color theme="1" tint="0.249977111117893"/>
      </bottom>
      <diagonal/>
    </border>
    <border>
      <left style="thin">
        <color indexed="64"/>
      </left>
      <right/>
      <top/>
      <bottom style="medium">
        <color auto="1"/>
      </bottom>
      <diagonal/>
    </border>
    <border>
      <left style="thin">
        <color indexed="64"/>
      </left>
      <right/>
      <top/>
      <bottom/>
      <diagonal/>
    </border>
    <border>
      <left style="thin">
        <color indexed="64"/>
      </left>
      <right/>
      <top style="medium">
        <color auto="1"/>
      </top>
      <bottom/>
      <diagonal/>
    </border>
    <border>
      <left/>
      <right style="medium">
        <color theme="1"/>
      </right>
      <top style="thin">
        <color theme="1"/>
      </top>
      <bottom style="thin">
        <color theme="1"/>
      </bottom>
      <diagonal/>
    </border>
    <border>
      <left/>
      <right style="medium">
        <color theme="1"/>
      </right>
      <top style="thin">
        <color theme="1"/>
      </top>
      <bottom style="medium">
        <color theme="1"/>
      </bottom>
      <diagonal/>
    </border>
    <border>
      <left style="thin">
        <color theme="1"/>
      </left>
      <right style="thin">
        <color indexed="64"/>
      </right>
      <top style="thin">
        <color theme="1"/>
      </top>
      <bottom style="thin">
        <color theme="1"/>
      </bottom>
      <diagonal/>
    </border>
    <border>
      <left style="thin">
        <color theme="1"/>
      </left>
      <right style="thin">
        <color indexed="64"/>
      </right>
      <top style="thin">
        <color theme="1"/>
      </top>
      <bottom style="medium">
        <color theme="1"/>
      </bottom>
      <diagonal/>
    </border>
    <border>
      <left style="medium">
        <color theme="1"/>
      </left>
      <right style="thin">
        <color theme="1"/>
      </right>
      <top/>
      <bottom style="thin">
        <color theme="1"/>
      </bottom>
      <diagonal/>
    </border>
    <border>
      <left style="thin">
        <color theme="1"/>
      </left>
      <right style="thin">
        <color theme="1"/>
      </right>
      <top/>
      <bottom style="thin">
        <color theme="1"/>
      </bottom>
      <diagonal/>
    </border>
    <border>
      <left style="thin">
        <color theme="1"/>
      </left>
      <right style="thin">
        <color indexed="64"/>
      </right>
      <top/>
      <bottom style="thin">
        <color theme="1"/>
      </bottom>
      <diagonal/>
    </border>
    <border>
      <left/>
      <right style="medium">
        <color theme="1"/>
      </right>
      <top/>
      <bottom style="thin">
        <color theme="1"/>
      </bottom>
      <diagonal/>
    </border>
    <border>
      <left style="medium">
        <color indexed="64"/>
      </left>
      <right style="thin">
        <color theme="1"/>
      </right>
      <top style="medium">
        <color indexed="64"/>
      </top>
      <bottom style="thin">
        <color theme="1"/>
      </bottom>
      <diagonal/>
    </border>
    <border>
      <left style="thin">
        <color theme="1"/>
      </left>
      <right style="thin">
        <color theme="1"/>
      </right>
      <top style="medium">
        <color indexed="64"/>
      </top>
      <bottom style="thin">
        <color theme="1"/>
      </bottom>
      <diagonal/>
    </border>
    <border>
      <left style="thin">
        <color theme="1"/>
      </left>
      <right style="thin">
        <color indexed="64"/>
      </right>
      <top style="medium">
        <color indexed="64"/>
      </top>
      <bottom style="thin">
        <color theme="1"/>
      </bottom>
      <diagonal/>
    </border>
    <border>
      <left/>
      <right style="medium">
        <color indexed="64"/>
      </right>
      <top style="medium">
        <color indexed="64"/>
      </top>
      <bottom style="thin">
        <color theme="1"/>
      </bottom>
      <diagonal/>
    </border>
    <border>
      <left style="medium">
        <color indexed="64"/>
      </left>
      <right style="thin">
        <color theme="1"/>
      </right>
      <top style="thin">
        <color theme="1"/>
      </top>
      <bottom style="thin">
        <color theme="1"/>
      </bottom>
      <diagonal/>
    </border>
    <border>
      <left/>
      <right style="medium">
        <color indexed="64"/>
      </right>
      <top style="thin">
        <color theme="1"/>
      </top>
      <bottom style="thin">
        <color theme="1"/>
      </bottom>
      <diagonal/>
    </border>
    <border>
      <left style="medium">
        <color indexed="64"/>
      </left>
      <right style="thin">
        <color theme="1"/>
      </right>
      <top style="thin">
        <color theme="1"/>
      </top>
      <bottom style="medium">
        <color indexed="64"/>
      </bottom>
      <diagonal/>
    </border>
    <border>
      <left style="thin">
        <color theme="1"/>
      </left>
      <right style="thin">
        <color theme="1"/>
      </right>
      <top style="thin">
        <color theme="1"/>
      </top>
      <bottom style="medium">
        <color indexed="64"/>
      </bottom>
      <diagonal/>
    </border>
    <border>
      <left style="thin">
        <color theme="1"/>
      </left>
      <right style="thin">
        <color indexed="64"/>
      </right>
      <top style="thin">
        <color theme="1"/>
      </top>
      <bottom style="medium">
        <color indexed="64"/>
      </bottom>
      <diagonal/>
    </border>
    <border>
      <left/>
      <right style="medium">
        <color indexed="64"/>
      </right>
      <top style="thin">
        <color theme="1"/>
      </top>
      <bottom style="medium">
        <color indexed="64"/>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medium">
        <color theme="1" tint="0.34998626667073579"/>
      </left>
      <right style="medium">
        <color theme="1" tint="0.34998626667073579"/>
      </right>
      <top/>
      <bottom style="thin">
        <color indexed="64"/>
      </bottom>
      <diagonal/>
    </border>
    <border>
      <left/>
      <right style="medium">
        <color theme="1" tint="0.34998626667073579"/>
      </right>
      <top/>
      <bottom style="thin">
        <color indexed="64"/>
      </bottom>
      <diagonal/>
    </border>
    <border>
      <left style="medium">
        <color indexed="64"/>
      </left>
      <right style="thin">
        <color auto="1"/>
      </right>
      <top style="thin">
        <color indexed="64"/>
      </top>
      <bottom/>
      <diagonal/>
    </border>
    <border>
      <left style="medium">
        <color theme="1" tint="0.34998626667073579"/>
      </left>
      <right style="medium">
        <color theme="1" tint="0.34998626667073579"/>
      </right>
      <top/>
      <bottom style="medium">
        <color theme="1" tint="0.249977111117893"/>
      </bottom>
      <diagonal/>
    </border>
    <border>
      <left style="medium">
        <color theme="1" tint="0.34998626667073579"/>
      </left>
      <right/>
      <top style="medium">
        <color theme="1" tint="0.34998626667073579"/>
      </top>
      <bottom style="medium">
        <color theme="1" tint="0.249977111117893"/>
      </bottom>
      <diagonal/>
    </border>
    <border>
      <left/>
      <right/>
      <top style="medium">
        <color theme="1" tint="0.34998626667073579"/>
      </top>
      <bottom style="medium">
        <color theme="1" tint="0.249977111117893"/>
      </bottom>
      <diagonal/>
    </border>
    <border>
      <left/>
      <right style="medium">
        <color theme="1" tint="0.34998626667073579"/>
      </right>
      <top style="medium">
        <color theme="1" tint="0.34998626667073579"/>
      </top>
      <bottom style="medium">
        <color theme="1" tint="0.249977111117893"/>
      </bottom>
      <diagonal/>
    </border>
    <border>
      <left/>
      <right style="thin">
        <color auto="1"/>
      </right>
      <top style="medium">
        <color theme="1" tint="0.34998626667073579"/>
      </top>
      <bottom style="medium">
        <color theme="1" tint="0.249977111117893"/>
      </bottom>
      <diagonal/>
    </border>
    <border>
      <left style="thin">
        <color auto="1"/>
      </left>
      <right style="thin">
        <color auto="1"/>
      </right>
      <top style="medium">
        <color theme="1" tint="0.34998626667073579"/>
      </top>
      <bottom style="medium">
        <color theme="1" tint="0.249977111117893"/>
      </bottom>
      <diagonal/>
    </border>
    <border>
      <left style="thin">
        <color auto="1"/>
      </left>
      <right style="medium">
        <color theme="1" tint="0.34998626667073579"/>
      </right>
      <top style="medium">
        <color theme="1" tint="0.34998626667073579"/>
      </top>
      <bottom style="medium">
        <color theme="1" tint="0.249977111117893"/>
      </bottom>
      <diagonal/>
    </border>
    <border>
      <left style="medium">
        <color theme="1" tint="0.34998626667073579"/>
      </left>
      <right/>
      <top/>
      <bottom style="medium">
        <color theme="1" tint="0.249977111117893"/>
      </bottom>
      <diagonal/>
    </border>
    <border>
      <left/>
      <right/>
      <top/>
      <bottom style="medium">
        <color theme="1" tint="0.249977111117893"/>
      </bottom>
      <diagonal/>
    </border>
    <border>
      <left/>
      <right style="medium">
        <color theme="1" tint="0.34998626667073579"/>
      </right>
      <top/>
      <bottom style="medium">
        <color theme="1" tint="0.249977111117893"/>
      </bottom>
      <diagonal/>
    </border>
    <border>
      <left/>
      <right style="thin">
        <color auto="1"/>
      </right>
      <top/>
      <bottom style="medium">
        <color theme="1" tint="0.249977111117893"/>
      </bottom>
      <diagonal/>
    </border>
    <border>
      <left style="thin">
        <color auto="1"/>
      </left>
      <right style="thin">
        <color auto="1"/>
      </right>
      <top/>
      <bottom style="medium">
        <color theme="1" tint="0.249977111117893"/>
      </bottom>
      <diagonal/>
    </border>
    <border>
      <left style="thin">
        <color auto="1"/>
      </left>
      <right style="medium">
        <color theme="1" tint="0.34998626667073579"/>
      </right>
      <top/>
      <bottom style="medium">
        <color theme="1" tint="0.249977111117893"/>
      </bottom>
      <diagonal/>
    </border>
    <border>
      <left style="medium">
        <color theme="1" tint="0.34998626667073579"/>
      </left>
      <right style="medium">
        <color theme="1" tint="0.34998626667073579"/>
      </right>
      <top style="medium">
        <color theme="1" tint="0.34998626667073579"/>
      </top>
      <bottom style="medium">
        <color theme="1" tint="0.249977111117893"/>
      </bottom>
      <diagonal/>
    </border>
    <border>
      <left style="thin">
        <color auto="1"/>
      </left>
      <right style="thin">
        <color auto="1"/>
      </right>
      <top/>
      <bottom style="medium">
        <color theme="1" tint="0.34998626667073579"/>
      </bottom>
      <diagonal/>
    </border>
    <border>
      <left style="medium">
        <color theme="1" tint="0.34998626667073579"/>
      </left>
      <right style="thin">
        <color auto="1"/>
      </right>
      <top style="medium">
        <color theme="1" tint="0.34998626667073579"/>
      </top>
      <bottom style="medium">
        <color theme="1" tint="0.249977111117893"/>
      </bottom>
      <diagonal/>
    </border>
    <border>
      <left style="medium">
        <color theme="1" tint="0.34998626667073579"/>
      </left>
      <right style="thin">
        <color auto="1"/>
      </right>
      <top/>
      <bottom style="medium">
        <color theme="1" tint="0.249977111117893"/>
      </bottom>
      <diagonal/>
    </border>
    <border>
      <left/>
      <right style="thin">
        <color auto="1"/>
      </right>
      <top/>
      <bottom style="medium">
        <color theme="1" tint="0.34998626667073579"/>
      </bottom>
      <diagonal/>
    </border>
    <border>
      <left style="thin">
        <color auto="1"/>
      </left>
      <right/>
      <top style="medium">
        <color theme="1" tint="0.34998626667073579"/>
      </top>
      <bottom style="medium">
        <color theme="1" tint="0.249977111117893"/>
      </bottom>
      <diagonal/>
    </border>
    <border>
      <left style="medium">
        <color theme="1" tint="0.34998626667073579"/>
      </left>
      <right/>
      <top style="medium">
        <color theme="1" tint="0.249977111117893"/>
      </top>
      <bottom style="medium">
        <color theme="1" tint="0.249977111117893"/>
      </bottom>
      <diagonal/>
    </border>
    <border>
      <left/>
      <right/>
      <top style="medium">
        <color theme="1" tint="0.249977111117893"/>
      </top>
      <bottom style="medium">
        <color theme="1" tint="0.249977111117893"/>
      </bottom>
      <diagonal/>
    </border>
    <border>
      <left/>
      <right style="medium">
        <color theme="1" tint="0.34998626667073579"/>
      </right>
      <top style="medium">
        <color theme="1" tint="0.249977111117893"/>
      </top>
      <bottom style="medium">
        <color theme="1" tint="0.249977111117893"/>
      </bottom>
      <diagonal/>
    </border>
    <border>
      <left/>
      <right style="thin">
        <color auto="1"/>
      </right>
      <top style="medium">
        <color theme="1" tint="0.249977111117893"/>
      </top>
      <bottom style="medium">
        <color theme="1" tint="0.249977111117893"/>
      </bottom>
      <diagonal/>
    </border>
    <border>
      <left style="thin">
        <color auto="1"/>
      </left>
      <right style="thin">
        <color auto="1"/>
      </right>
      <top style="medium">
        <color theme="1" tint="0.249977111117893"/>
      </top>
      <bottom style="medium">
        <color theme="1" tint="0.249977111117893"/>
      </bottom>
      <diagonal/>
    </border>
    <border>
      <left style="thin">
        <color auto="1"/>
      </left>
      <right/>
      <top style="medium">
        <color theme="1" tint="0.249977111117893"/>
      </top>
      <bottom style="medium">
        <color theme="1" tint="0.249977111117893"/>
      </bottom>
      <diagonal/>
    </border>
    <border>
      <left style="thin">
        <color auto="1"/>
      </left>
      <right style="medium">
        <color theme="1" tint="0.34998626667073579"/>
      </right>
      <top style="medium">
        <color theme="1" tint="0.249977111117893"/>
      </top>
      <bottom style="medium">
        <color theme="1" tint="0.249977111117893"/>
      </bottom>
      <diagonal/>
    </border>
    <border>
      <left style="medium">
        <color theme="1" tint="0.34998626667073579"/>
      </left>
      <right style="thin">
        <color auto="1"/>
      </right>
      <top style="medium">
        <color theme="1" tint="0.249977111117893"/>
      </top>
      <bottom style="medium">
        <color theme="1" tint="0.249977111117893"/>
      </bottom>
      <diagonal/>
    </border>
    <border>
      <left/>
      <right/>
      <top style="medium">
        <color theme="1" tint="0.249977111117893"/>
      </top>
      <bottom/>
      <diagonal/>
    </border>
    <border>
      <left style="thin">
        <color auto="1"/>
      </left>
      <right style="thin">
        <color auto="1"/>
      </right>
      <top style="thin">
        <color auto="1"/>
      </top>
      <bottom/>
      <diagonal/>
    </border>
    <border>
      <left style="medium">
        <color auto="1"/>
      </left>
      <right style="thin">
        <color auto="1"/>
      </right>
      <top style="medium">
        <color auto="1"/>
      </top>
      <bottom style="medium">
        <color theme="1" tint="0.249977111117893"/>
      </bottom>
      <diagonal/>
    </border>
    <border>
      <left style="thin">
        <color auto="1"/>
      </left>
      <right style="thin">
        <color auto="1"/>
      </right>
      <top style="medium">
        <color auto="1"/>
      </top>
      <bottom style="medium">
        <color theme="1" tint="0.249977111117893"/>
      </bottom>
      <diagonal/>
    </border>
    <border>
      <left style="thin">
        <color auto="1"/>
      </left>
      <right style="medium">
        <color auto="1"/>
      </right>
      <top style="medium">
        <color auto="1"/>
      </top>
      <bottom style="medium">
        <color theme="1" tint="0.249977111117893"/>
      </bottom>
      <diagonal/>
    </border>
    <border>
      <left/>
      <right style="thin">
        <color auto="1"/>
      </right>
      <top style="medium">
        <color auto="1"/>
      </top>
      <bottom style="medium">
        <color theme="1" tint="0.249977111117893"/>
      </bottom>
      <diagonal/>
    </border>
    <border>
      <left style="medium">
        <color indexed="64"/>
      </left>
      <right style="thin">
        <color auto="1"/>
      </right>
      <top style="medium">
        <color theme="1" tint="0.249977111117893"/>
      </top>
      <bottom style="medium">
        <color theme="1" tint="0.249977111117893"/>
      </bottom>
      <diagonal/>
    </border>
    <border>
      <left style="thin">
        <color auto="1"/>
      </left>
      <right style="medium">
        <color auto="1"/>
      </right>
      <top style="medium">
        <color theme="1" tint="0.249977111117893"/>
      </top>
      <bottom style="medium">
        <color theme="1" tint="0.249977111117893"/>
      </bottom>
      <diagonal/>
    </border>
    <border>
      <left style="medium">
        <color theme="1" tint="0.34998626667073579"/>
      </left>
      <right/>
      <top/>
      <bottom style="medium">
        <color theme="1" tint="0.34998626667073579"/>
      </bottom>
      <diagonal/>
    </border>
    <border>
      <left/>
      <right style="medium">
        <color theme="1" tint="0.34998626667073579"/>
      </right>
      <top/>
      <bottom style="medium">
        <color theme="1" tint="0.34998626667073579"/>
      </bottom>
      <diagonal/>
    </border>
    <border>
      <left style="thin">
        <color auto="1"/>
      </left>
      <right style="medium">
        <color auto="1"/>
      </right>
      <top style="thin">
        <color auto="1"/>
      </top>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medium">
        <color indexed="64"/>
      </left>
      <right/>
      <top/>
      <bottom style="thin">
        <color theme="1" tint="0.34998626667073579"/>
      </bottom>
      <diagonal/>
    </border>
    <border>
      <left/>
      <right style="medium">
        <color auto="1"/>
      </right>
      <top/>
      <bottom style="thin">
        <color theme="1" tint="0.34998626667073579"/>
      </bottom>
      <diagonal/>
    </border>
    <border>
      <left style="medium">
        <color indexed="64"/>
      </left>
      <right/>
      <top/>
      <bottom style="medium">
        <color theme="1" tint="0.34998626667073579"/>
      </bottom>
      <diagonal/>
    </border>
    <border>
      <left/>
      <right style="medium">
        <color auto="1"/>
      </right>
      <top/>
      <bottom style="medium">
        <color theme="1" tint="0.34998626667073579"/>
      </bottom>
      <diagonal/>
    </border>
    <border>
      <left/>
      <right/>
      <top/>
      <bottom style="thin">
        <color theme="1" tint="0.34998626667073579"/>
      </bottom>
      <diagonal/>
    </border>
    <border>
      <left/>
      <right/>
      <top style="thin">
        <color theme="0" tint="-0.34998626667073579"/>
      </top>
      <bottom style="double">
        <color theme="0" tint="-0.34998626667073579"/>
      </bottom>
      <diagonal/>
    </border>
    <border>
      <left style="thin">
        <color auto="1"/>
      </left>
      <right style="medium">
        <color theme="1" tint="0.249977111117893"/>
      </right>
      <top style="medium">
        <color theme="1" tint="0.34998626667073579"/>
      </top>
      <bottom style="medium">
        <color theme="1" tint="0.249977111117893"/>
      </bottom>
      <diagonal/>
    </border>
    <border>
      <left style="thin">
        <color auto="1"/>
      </left>
      <right style="medium">
        <color theme="1" tint="0.249977111117893"/>
      </right>
      <top style="medium">
        <color theme="1" tint="0.249977111117893"/>
      </top>
      <bottom style="medium">
        <color theme="1" tint="0.249977111117893"/>
      </bottom>
      <diagonal/>
    </border>
    <border>
      <left style="thin">
        <color auto="1"/>
      </left>
      <right style="medium">
        <color theme="1" tint="0.249977111117893"/>
      </right>
      <top/>
      <bottom style="medium">
        <color theme="1" tint="0.249977111117893"/>
      </bottom>
      <diagonal/>
    </border>
    <border>
      <left/>
      <right/>
      <top/>
      <bottom style="thin">
        <color theme="2" tint="-0.249977111117893"/>
      </bottom>
      <diagonal/>
    </border>
    <border>
      <left/>
      <right/>
      <top style="thin">
        <color theme="2" tint="-0.249977111117893"/>
      </top>
      <bottom style="thin">
        <color theme="2" tint="-0.249977111117893"/>
      </bottom>
      <diagonal/>
    </border>
    <border>
      <left/>
      <right/>
      <top style="thin">
        <color theme="2" tint="-0.249977111117893"/>
      </top>
      <bottom style="double">
        <color theme="2" tint="-0.249977111117893"/>
      </bottom>
      <diagonal/>
    </border>
    <border>
      <left/>
      <right/>
      <top/>
      <bottom style="double">
        <color theme="2" tint="-0.249977111117893"/>
      </bottom>
      <diagonal/>
    </border>
    <border>
      <left style="thin">
        <color auto="1"/>
      </left>
      <right style="medium">
        <color indexed="64"/>
      </right>
      <top style="medium">
        <color theme="1" tint="0.34998626667073579"/>
      </top>
      <bottom style="medium">
        <color theme="1" tint="0.249977111117893"/>
      </bottom>
      <diagonal/>
    </border>
    <border>
      <left style="thin">
        <color auto="1"/>
      </left>
      <right style="medium">
        <color indexed="64"/>
      </right>
      <top/>
      <bottom style="medium">
        <color theme="1" tint="0.249977111117893"/>
      </bottom>
      <diagonal/>
    </border>
    <border>
      <left/>
      <right/>
      <top style="thin">
        <color auto="1"/>
      </top>
      <bottom style="thin">
        <color theme="2" tint="-0.249977111117893"/>
      </bottom>
      <diagonal/>
    </border>
    <border>
      <left/>
      <right style="thin">
        <color theme="2" tint="-0.249977111117893"/>
      </right>
      <top/>
      <bottom style="thin">
        <color theme="2" tint="-0.249977111117893"/>
      </bottom>
      <diagonal/>
    </border>
    <border>
      <left/>
      <right/>
      <top/>
      <bottom style="thin">
        <color theme="2" tint="-0.499984740745262"/>
      </bottom>
      <diagonal/>
    </border>
    <border>
      <left/>
      <right/>
      <top style="thin">
        <color theme="2" tint="-0.499984740745262"/>
      </top>
      <bottom/>
      <diagonal/>
    </border>
    <border>
      <left/>
      <right/>
      <top/>
      <bottom style="double">
        <color theme="2" tint="-0.499984740745262"/>
      </bottom>
      <diagonal/>
    </border>
    <border>
      <left style="medium">
        <color auto="1"/>
      </left>
      <right style="thin">
        <color indexed="64"/>
      </right>
      <top/>
      <bottom style="medium">
        <color auto="1"/>
      </bottom>
      <diagonal/>
    </border>
    <border>
      <left style="medium">
        <color indexed="64"/>
      </left>
      <right style="thin">
        <color auto="1"/>
      </right>
      <top/>
      <bottom style="medium">
        <color theme="1" tint="0.249977111117893"/>
      </bottom>
      <diagonal/>
    </border>
    <border>
      <left style="medium">
        <color indexed="64"/>
      </left>
      <right style="thin">
        <color auto="1"/>
      </right>
      <top style="medium">
        <color theme="1" tint="0.249977111117893"/>
      </top>
      <bottom style="medium">
        <color indexed="64"/>
      </bottom>
      <diagonal/>
    </border>
    <border>
      <left style="thin">
        <color auto="1"/>
      </left>
      <right style="thin">
        <color auto="1"/>
      </right>
      <top style="medium">
        <color theme="1" tint="0.249977111117893"/>
      </top>
      <bottom style="medium">
        <color indexed="64"/>
      </bottom>
      <diagonal/>
    </border>
    <border>
      <left style="thin">
        <color auto="1"/>
      </left>
      <right style="medium">
        <color theme="1" tint="0.34998626667073579"/>
      </right>
      <top style="medium">
        <color theme="1" tint="0.249977111117893"/>
      </top>
      <bottom style="medium">
        <color indexed="64"/>
      </bottom>
      <diagonal/>
    </border>
    <border>
      <left/>
      <right style="thin">
        <color auto="1"/>
      </right>
      <top style="medium">
        <color theme="1" tint="0.249977111117893"/>
      </top>
      <bottom style="medium">
        <color indexed="64"/>
      </bottom>
      <diagonal/>
    </border>
    <border>
      <left style="thin">
        <color auto="1"/>
      </left>
      <right style="medium">
        <color indexed="64"/>
      </right>
      <top style="medium">
        <color theme="1" tint="0.249977111117893"/>
      </top>
      <bottom style="medium">
        <color indexed="64"/>
      </bottom>
      <diagonal/>
    </border>
    <border>
      <left style="medium">
        <color theme="1" tint="0.249977111117893"/>
      </left>
      <right style="thin">
        <color auto="1"/>
      </right>
      <top style="medium">
        <color theme="1" tint="0.249977111117893"/>
      </top>
      <bottom style="medium">
        <color theme="1" tint="0.249977111117893"/>
      </bottom>
      <diagonal/>
    </border>
    <border>
      <left/>
      <right style="medium">
        <color indexed="64"/>
      </right>
      <top style="medium">
        <color theme="1" tint="0.34998626667073579"/>
      </top>
      <bottom style="medium">
        <color theme="1" tint="0.249977111117893"/>
      </bottom>
      <diagonal/>
    </border>
    <border>
      <left/>
      <right style="medium">
        <color auto="1"/>
      </right>
      <top style="medium">
        <color theme="1" tint="0.249977111117893"/>
      </top>
      <bottom style="medium">
        <color theme="1" tint="0.249977111117893"/>
      </bottom>
      <diagonal/>
    </border>
    <border>
      <left style="thin">
        <color auto="1"/>
      </left>
      <right style="thin">
        <color theme="1" tint="0.249977111117893"/>
      </right>
      <top style="medium">
        <color theme="1" tint="0.249977111117893"/>
      </top>
      <bottom style="medium">
        <color theme="1" tint="0.249977111117893"/>
      </bottom>
      <diagonal/>
    </border>
    <border>
      <left style="medium">
        <color indexed="64"/>
      </left>
      <right style="medium">
        <color indexed="64"/>
      </right>
      <top/>
      <bottom style="medium">
        <color theme="1" tint="0.34998626667073579"/>
      </bottom>
      <diagonal/>
    </border>
    <border>
      <left style="thin">
        <color auto="1"/>
      </left>
      <right style="medium">
        <color auto="1"/>
      </right>
      <top/>
      <bottom style="medium">
        <color auto="1"/>
      </bottom>
      <diagonal/>
    </border>
    <border>
      <left style="medium">
        <color auto="1"/>
      </left>
      <right style="thin">
        <color auto="1"/>
      </right>
      <top style="medium">
        <color auto="1"/>
      </top>
      <bottom style="medium">
        <color theme="1" tint="4.9989318521683403E-2"/>
      </bottom>
      <diagonal/>
    </border>
    <border>
      <left style="thin">
        <color auto="1"/>
      </left>
      <right style="thin">
        <color auto="1"/>
      </right>
      <top style="medium">
        <color auto="1"/>
      </top>
      <bottom style="medium">
        <color theme="1" tint="4.9989318521683403E-2"/>
      </bottom>
      <diagonal/>
    </border>
    <border>
      <left style="thin">
        <color auto="1"/>
      </left>
      <right style="medium">
        <color auto="1"/>
      </right>
      <top style="medium">
        <color auto="1"/>
      </top>
      <bottom style="medium">
        <color theme="1" tint="4.9989318521683403E-2"/>
      </bottom>
      <diagonal/>
    </border>
    <border>
      <left style="medium">
        <color indexed="64"/>
      </left>
      <right style="thin">
        <color auto="1"/>
      </right>
      <top style="medium">
        <color theme="1" tint="4.9989318521683403E-2"/>
      </top>
      <bottom style="medium">
        <color theme="1" tint="4.9989318521683403E-2"/>
      </bottom>
      <diagonal/>
    </border>
    <border>
      <left style="thin">
        <color auto="1"/>
      </left>
      <right style="thin">
        <color auto="1"/>
      </right>
      <top style="medium">
        <color theme="1" tint="4.9989318521683403E-2"/>
      </top>
      <bottom style="medium">
        <color theme="1" tint="4.9989318521683403E-2"/>
      </bottom>
      <diagonal/>
    </border>
    <border>
      <left style="thin">
        <color auto="1"/>
      </left>
      <right style="medium">
        <color indexed="64"/>
      </right>
      <top style="medium">
        <color theme="1" tint="4.9989318521683403E-2"/>
      </top>
      <bottom style="medium">
        <color theme="1" tint="4.9989318521683403E-2"/>
      </bottom>
      <diagonal/>
    </border>
    <border>
      <left style="medium">
        <color theme="1" tint="0.34998626667073579"/>
      </left>
      <right style="medium">
        <color theme="1" tint="0.34998626667073579"/>
      </right>
      <top style="medium">
        <color theme="1" tint="0.249977111117893"/>
      </top>
      <bottom style="medium">
        <color theme="1" tint="0.34998626667073579"/>
      </bottom>
      <diagonal/>
    </border>
    <border>
      <left/>
      <right style="thin">
        <color theme="2" tint="-0.249977111117893"/>
      </right>
      <top style="thin">
        <color theme="2" tint="-0.249977111117893"/>
      </top>
      <bottom/>
      <diagonal/>
    </border>
    <border>
      <left/>
      <right/>
      <top style="double">
        <color indexed="64"/>
      </top>
      <bottom/>
      <diagonal/>
    </border>
    <border>
      <left style="thin">
        <color auto="1"/>
      </left>
      <right style="medium">
        <color indexed="64"/>
      </right>
      <top/>
      <bottom style="thin">
        <color indexed="64"/>
      </bottom>
      <diagonal/>
    </border>
    <border>
      <left style="medium">
        <color indexed="64"/>
      </left>
      <right style="thin">
        <color auto="1"/>
      </right>
      <top/>
      <bottom style="thin">
        <color indexed="64"/>
      </bottom>
      <diagonal/>
    </border>
    <border>
      <left style="medium">
        <color theme="1" tint="0.249977111117893"/>
      </left>
      <right/>
      <top/>
      <bottom style="thin">
        <color indexed="64"/>
      </bottom>
      <diagonal/>
    </border>
    <border>
      <left/>
      <right style="thin">
        <color auto="1"/>
      </right>
      <top style="medium">
        <color auto="1"/>
      </top>
      <bottom style="medium">
        <color theme="1" tint="4.9989318521683403E-2"/>
      </bottom>
      <diagonal/>
    </border>
    <border>
      <left/>
      <right style="thin">
        <color auto="1"/>
      </right>
      <top style="medium">
        <color theme="1" tint="4.9989318521683403E-2"/>
      </top>
      <bottom style="medium">
        <color theme="1" tint="4.9989318521683403E-2"/>
      </bottom>
      <diagonal/>
    </border>
    <border>
      <left/>
      <right style="medium">
        <color auto="1"/>
      </right>
      <top/>
      <bottom style="medium">
        <color theme="1" tint="0.249977111117893"/>
      </bottom>
      <diagonal/>
    </border>
    <border>
      <left style="medium">
        <color theme="1" tint="0.249977111117893"/>
      </left>
      <right/>
      <top style="medium">
        <color theme="1" tint="0.249977111117893"/>
      </top>
      <bottom style="thin">
        <color theme="2" tint="-0.249977111117893"/>
      </bottom>
      <diagonal/>
    </border>
    <border>
      <left/>
      <right/>
      <top style="medium">
        <color theme="1" tint="0.249977111117893"/>
      </top>
      <bottom style="thin">
        <color theme="2" tint="-0.249977111117893"/>
      </bottom>
      <diagonal/>
    </border>
    <border>
      <left/>
      <right style="medium">
        <color theme="1" tint="0.249977111117893"/>
      </right>
      <top style="medium">
        <color theme="1" tint="0.249977111117893"/>
      </top>
      <bottom style="thin">
        <color theme="2" tint="-0.249977111117893"/>
      </bottom>
      <diagonal/>
    </border>
    <border>
      <left style="medium">
        <color theme="1" tint="0.249977111117893"/>
      </left>
      <right/>
      <top style="thin">
        <color theme="2" tint="-0.249977111117893"/>
      </top>
      <bottom style="double">
        <color theme="2" tint="-0.249977111117893"/>
      </bottom>
      <diagonal/>
    </border>
    <border>
      <left/>
      <right style="medium">
        <color theme="1" tint="0.249977111117893"/>
      </right>
      <top style="thin">
        <color theme="2" tint="-0.249977111117893"/>
      </top>
      <bottom style="double">
        <color theme="2" tint="-0.249977111117893"/>
      </bottom>
      <diagonal/>
    </border>
    <border>
      <left style="medium">
        <color theme="1" tint="0.249977111117893"/>
      </left>
      <right/>
      <top/>
      <bottom/>
      <diagonal/>
    </border>
    <border>
      <left/>
      <right style="medium">
        <color theme="1" tint="0.249977111117893"/>
      </right>
      <top/>
      <bottom/>
      <diagonal/>
    </border>
    <border>
      <left style="medium">
        <color theme="1" tint="0.249977111117893"/>
      </left>
      <right/>
      <top/>
      <bottom style="thin">
        <color theme="2" tint="-0.249977111117893"/>
      </bottom>
      <diagonal/>
    </border>
    <border>
      <left/>
      <right style="medium">
        <color theme="1" tint="0.249977111117893"/>
      </right>
      <top/>
      <bottom style="thin">
        <color theme="2" tint="-0.249977111117893"/>
      </bottom>
      <diagonal/>
    </border>
    <border>
      <left style="medium">
        <color theme="1" tint="0.249977111117893"/>
      </left>
      <right/>
      <top/>
      <bottom style="double">
        <color theme="2" tint="-0.249977111117893"/>
      </bottom>
      <diagonal/>
    </border>
    <border>
      <left/>
      <right style="medium">
        <color theme="1" tint="0.249977111117893"/>
      </right>
      <top/>
      <bottom style="double">
        <color theme="2" tint="-0.249977111117893"/>
      </bottom>
      <diagonal/>
    </border>
    <border>
      <left style="medium">
        <color theme="1" tint="0.249977111117893"/>
      </left>
      <right/>
      <top/>
      <bottom style="medium">
        <color theme="1" tint="0.249977111117893"/>
      </bottom>
      <diagonal/>
    </border>
    <border>
      <left/>
      <right style="medium">
        <color theme="1" tint="0.249977111117893"/>
      </right>
      <top/>
      <bottom style="medium">
        <color theme="1" tint="0.249977111117893"/>
      </bottom>
      <diagonal/>
    </border>
    <border>
      <left/>
      <right/>
      <top style="medium">
        <color indexed="64"/>
      </top>
      <bottom style="thin">
        <color indexed="64"/>
      </bottom>
      <diagonal/>
    </border>
  </borders>
  <cellStyleXfs count="56">
    <xf numFmtId="0" fontId="0" fillId="0" borderId="0"/>
    <xf numFmtId="9" fontId="9" fillId="0" borderId="0" applyFont="0" applyFill="0" applyBorder="0" applyAlignment="0" applyProtection="0"/>
    <xf numFmtId="0" fontId="17" fillId="0" borderId="0"/>
    <xf numFmtId="0" fontId="8" fillId="0" borderId="0"/>
    <xf numFmtId="10" fontId="28" fillId="7" borderId="6" applyBorder="0" applyAlignment="0">
      <alignment horizontal="right" vertical="center"/>
      <protection locked="0"/>
    </xf>
    <xf numFmtId="0" fontId="14" fillId="0" borderId="0"/>
    <xf numFmtId="0" fontId="8" fillId="0" borderId="0"/>
    <xf numFmtId="164" fontId="47" fillId="7" borderId="19" applyBorder="0" applyAlignment="0">
      <alignment horizontal="right" vertical="center"/>
      <protection locked="0"/>
    </xf>
    <xf numFmtId="43" fontId="9" fillId="0" borderId="0" applyFont="0" applyFill="0" applyBorder="0" applyAlignment="0" applyProtection="0"/>
    <xf numFmtId="0" fontId="55" fillId="0" borderId="0"/>
    <xf numFmtId="0" fontId="7"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72" fillId="0" borderId="0" applyNumberFormat="0" applyFill="0" applyBorder="0" applyAlignment="0" applyProtection="0"/>
    <xf numFmtId="0" fontId="60" fillId="0" borderId="0" applyNumberFormat="0" applyFill="0" applyBorder="0" applyAlignment="0" applyProtection="0"/>
    <xf numFmtId="0" fontId="72" fillId="0" borderId="0" applyNumberFormat="0" applyFill="0" applyBorder="0" applyAlignment="0" applyProtection="0"/>
    <xf numFmtId="0" fontId="60" fillId="0" borderId="0" applyNumberFormat="0" applyFill="0" applyBorder="0" applyAlignment="0" applyProtection="0"/>
    <xf numFmtId="167" fontId="28" fillId="7" borderId="0" applyBorder="0" applyAlignment="0">
      <protection locked="0"/>
    </xf>
    <xf numFmtId="3" fontId="28" fillId="7" borderId="16" applyBorder="0" applyAlignment="0">
      <alignment horizontal="right" vertical="center"/>
      <protection locked="0"/>
    </xf>
    <xf numFmtId="0" fontId="28" fillId="7" borderId="37" applyBorder="0" applyAlignment="0">
      <alignment horizontal="left" vertical="center"/>
      <protection locked="0"/>
    </xf>
    <xf numFmtId="4" fontId="28" fillId="7" borderId="0" applyBorder="0" applyAlignment="0">
      <protection locked="0"/>
    </xf>
    <xf numFmtId="164" fontId="28" fillId="2" borderId="25" applyBorder="0" applyAlignment="0" applyProtection="0"/>
    <xf numFmtId="0" fontId="76" fillId="0" borderId="0"/>
    <xf numFmtId="0" fontId="4" fillId="0" borderId="0"/>
    <xf numFmtId="5" fontId="47" fillId="0" borderId="0" applyFill="0" applyBorder="0" applyAlignment="0" applyProtection="0">
      <alignment horizontal="right"/>
      <protection hidden="1"/>
    </xf>
    <xf numFmtId="4" fontId="28" fillId="0" borderId="0" applyBorder="0" applyAlignment="0" applyProtection="0"/>
    <xf numFmtId="3" fontId="28" fillId="0" borderId="0" applyBorder="0" applyAlignment="0" applyProtection="0"/>
    <xf numFmtId="10" fontId="28" fillId="0" borderId="0" applyBorder="0" applyAlignment="0" applyProtection="0"/>
    <xf numFmtId="167" fontId="28" fillId="0" borderId="0" applyBorder="0" applyAlignment="0" applyProtection="0"/>
    <xf numFmtId="43" fontId="4" fillId="0" borderId="0" applyFont="0" applyFill="0" applyBorder="0" applyAlignment="0" applyProtection="0"/>
    <xf numFmtId="9" fontId="28" fillId="0" borderId="0" applyBorder="0" applyAlignment="0" applyProtection="0"/>
    <xf numFmtId="5" fontId="39" fillId="0" borderId="0" applyBorder="0" applyAlignment="0" applyProtection="0">
      <alignment horizontal="right" vertical="center"/>
    </xf>
    <xf numFmtId="164" fontId="86" fillId="0" borderId="0" applyBorder="0" applyAlignment="0" applyProtection="0">
      <alignment horizontal="right"/>
    </xf>
    <xf numFmtId="43" fontId="9" fillId="0" borderId="0" applyFont="0" applyFill="0" applyBorder="0" applyAlignment="0" applyProtection="0"/>
    <xf numFmtId="0" fontId="97" fillId="0" borderId="0"/>
    <xf numFmtId="43" fontId="3" fillId="0" borderId="0" applyFont="0" applyFill="0" applyBorder="0" applyAlignment="0" applyProtection="0"/>
    <xf numFmtId="0" fontId="3" fillId="0" borderId="0"/>
    <xf numFmtId="44" fontId="76" fillId="0" borderId="0" applyFont="0" applyFill="0" applyBorder="0" applyAlignment="0" applyProtection="0"/>
    <xf numFmtId="9" fontId="76" fillId="0" borderId="0" applyFont="0" applyFill="0" applyBorder="0" applyAlignment="0" applyProtection="0"/>
    <xf numFmtId="0" fontId="72" fillId="0" borderId="0" applyNumberFormat="0" applyFill="0" applyBorder="0" applyAlignment="0" applyProtection="0"/>
    <xf numFmtId="0" fontId="2" fillId="0" borderId="0"/>
    <xf numFmtId="0" fontId="137" fillId="0" borderId="0" applyNumberFormat="0" applyFill="0" applyBorder="0" applyAlignment="0" applyProtection="0"/>
    <xf numFmtId="0" fontId="13" fillId="0" borderId="0"/>
    <xf numFmtId="43" fontId="144" fillId="0" borderId="0" applyFont="0" applyFill="0" applyBorder="0" applyAlignment="0" applyProtection="0"/>
    <xf numFmtId="44" fontId="144" fillId="0" borderId="0" applyFont="0" applyFill="0" applyBorder="0" applyAlignment="0" applyProtection="0"/>
    <xf numFmtId="9" fontId="144" fillId="0" borderId="0" applyFont="0" applyFill="0" applyBorder="0" applyAlignment="0" applyProtection="0"/>
    <xf numFmtId="0" fontId="75" fillId="0" borderId="0"/>
    <xf numFmtId="0" fontId="9" fillId="0" borderId="0"/>
  </cellStyleXfs>
  <cellXfs count="1979">
    <xf numFmtId="0" fontId="0" fillId="0" borderId="0" xfId="0"/>
    <xf numFmtId="0" fontId="0" fillId="0" borderId="0" xfId="0" applyAlignment="1">
      <alignment vertical="center"/>
    </xf>
    <xf numFmtId="0" fontId="8" fillId="0" borderId="0" xfId="0" applyFont="1"/>
    <xf numFmtId="0" fontId="8" fillId="0" borderId="0" xfId="0" applyFont="1" applyAlignment="1">
      <alignment horizontal="right"/>
    </xf>
    <xf numFmtId="0" fontId="26" fillId="0" borderId="0" xfId="0" applyFont="1"/>
    <xf numFmtId="0" fontId="26" fillId="0" borderId="0" xfId="0" applyFont="1" applyAlignment="1">
      <alignment vertical="center"/>
    </xf>
    <xf numFmtId="0" fontId="26" fillId="0" borderId="0" xfId="0" applyFont="1" applyAlignment="1">
      <alignment horizontal="right" vertical="center"/>
    </xf>
    <xf numFmtId="164" fontId="26" fillId="0" borderId="0" xfId="0" applyNumberFormat="1" applyFont="1" applyAlignment="1">
      <alignment vertical="center"/>
    </xf>
    <xf numFmtId="0" fontId="25" fillId="0" borderId="0" xfId="0" applyFont="1" applyAlignment="1">
      <alignment vertical="center"/>
    </xf>
    <xf numFmtId="0" fontId="25" fillId="0" borderId="0" xfId="0" applyFont="1" applyAlignment="1">
      <alignment horizontal="right" vertical="center"/>
    </xf>
    <xf numFmtId="0" fontId="21" fillId="0" borderId="0" xfId="0" applyFont="1" applyAlignment="1">
      <alignment horizontal="right" vertical="center"/>
    </xf>
    <xf numFmtId="0" fontId="25" fillId="0" borderId="0" xfId="0" applyFont="1"/>
    <xf numFmtId="0" fontId="8" fillId="0" borderId="0" xfId="0" applyFont="1" applyAlignment="1">
      <alignment vertical="center"/>
    </xf>
    <xf numFmtId="0" fontId="24" fillId="0" borderId="0" xfId="0" applyFont="1" applyAlignment="1">
      <alignment vertical="center"/>
    </xf>
    <xf numFmtId="0" fontId="23" fillId="0" borderId="0" xfId="0" applyFont="1"/>
    <xf numFmtId="0" fontId="16" fillId="0" borderId="0" xfId="0" applyFont="1" applyAlignment="1">
      <alignment horizontal="right" vertical="center"/>
    </xf>
    <xf numFmtId="0" fontId="11" fillId="0" borderId="0" xfId="0" applyFont="1" applyAlignment="1">
      <alignment vertical="center"/>
    </xf>
    <xf numFmtId="0" fontId="10" fillId="0" borderId="0" xfId="0" applyFont="1" applyAlignment="1">
      <alignment vertical="center"/>
    </xf>
    <xf numFmtId="0" fontId="10" fillId="0" borderId="0" xfId="0" applyFont="1"/>
    <xf numFmtId="0" fontId="21" fillId="0" borderId="0" xfId="0" applyFont="1" applyAlignment="1">
      <alignment horizontal="right"/>
    </xf>
    <xf numFmtId="0" fontId="20" fillId="0" borderId="0" xfId="0" applyFont="1" applyAlignment="1">
      <alignment vertical="center"/>
    </xf>
    <xf numFmtId="0" fontId="15" fillId="0" borderId="0" xfId="0" applyFont="1" applyAlignment="1">
      <alignment horizontal="right" vertical="center"/>
    </xf>
    <xf numFmtId="0" fontId="8" fillId="0" borderId="0" xfId="0" applyFont="1" applyAlignment="1">
      <alignment horizontal="right" vertical="center"/>
    </xf>
    <xf numFmtId="0" fontId="29" fillId="0" borderId="0" xfId="5" applyFont="1"/>
    <xf numFmtId="0" fontId="30" fillId="8" borderId="0" xfId="5" applyFont="1" applyFill="1" applyAlignment="1">
      <alignment horizontal="right"/>
    </xf>
    <xf numFmtId="0" fontId="31" fillId="8" borderId="0" xfId="5" applyFont="1" applyFill="1" applyAlignment="1">
      <alignment horizontal="right"/>
    </xf>
    <xf numFmtId="0" fontId="30" fillId="0" borderId="0" xfId="5" applyFont="1" applyAlignment="1">
      <alignment horizontal="right"/>
    </xf>
    <xf numFmtId="0" fontId="30" fillId="0" borderId="0" xfId="5" applyFont="1"/>
    <xf numFmtId="0" fontId="14" fillId="0" borderId="0" xfId="5"/>
    <xf numFmtId="0" fontId="30" fillId="0" borderId="0" xfId="5" applyFont="1" applyAlignment="1">
      <alignment vertical="center"/>
    </xf>
    <xf numFmtId="0" fontId="32" fillId="8" borderId="0" xfId="5" applyFont="1" applyFill="1" applyAlignment="1">
      <alignment horizontal="right" vertical="center"/>
    </xf>
    <xf numFmtId="0" fontId="33" fillId="8" borderId="0" xfId="5" applyFont="1" applyFill="1" applyAlignment="1">
      <alignment horizontal="right" vertical="center"/>
    </xf>
    <xf numFmtId="0" fontId="32" fillId="0" borderId="0" xfId="5" applyFont="1" applyAlignment="1">
      <alignment horizontal="right" vertical="center"/>
    </xf>
    <xf numFmtId="3" fontId="32" fillId="0" borderId="0" xfId="5" applyNumberFormat="1" applyFont="1" applyAlignment="1">
      <alignment horizontal="right" vertical="center"/>
    </xf>
    <xf numFmtId="164" fontId="30" fillId="0" borderId="0" xfId="5" applyNumberFormat="1" applyFont="1" applyAlignment="1">
      <alignment vertical="center"/>
    </xf>
    <xf numFmtId="164" fontId="13" fillId="0" borderId="0" xfId="5" applyNumberFormat="1" applyFont="1"/>
    <xf numFmtId="164" fontId="33" fillId="8" borderId="0" xfId="5" applyNumberFormat="1" applyFont="1" applyFill="1" applyAlignment="1">
      <alignment horizontal="right" vertical="center"/>
    </xf>
    <xf numFmtId="164" fontId="35" fillId="0" borderId="0" xfId="5" applyNumberFormat="1" applyFont="1"/>
    <xf numFmtId="0" fontId="34" fillId="0" borderId="0" xfId="5" applyFont="1"/>
    <xf numFmtId="0" fontId="31" fillId="0" borderId="0" xfId="5" applyFont="1"/>
    <xf numFmtId="0" fontId="24" fillId="0" borderId="0" xfId="0" applyFont="1"/>
    <xf numFmtId="0" fontId="37" fillId="0" borderId="0" xfId="5" applyFont="1" applyAlignment="1">
      <alignment horizontal="right" vertical="center"/>
    </xf>
    <xf numFmtId="0" fontId="23" fillId="0" borderId="0" xfId="0" applyFont="1" applyAlignment="1">
      <alignment vertical="center"/>
    </xf>
    <xf numFmtId="0" fontId="19" fillId="0" borderId="0" xfId="0" applyFont="1" applyAlignment="1">
      <alignment horizontal="right" vertical="center"/>
    </xf>
    <xf numFmtId="0" fontId="40" fillId="8" borderId="0" xfId="5" applyFont="1" applyFill="1" applyAlignment="1">
      <alignment horizontal="right"/>
    </xf>
    <xf numFmtId="0" fontId="40" fillId="8" borderId="0" xfId="5" applyFont="1" applyFill="1"/>
    <xf numFmtId="0" fontId="34" fillId="8" borderId="0" xfId="5" applyFont="1" applyFill="1"/>
    <xf numFmtId="0" fontId="34" fillId="8" borderId="0" xfId="5" applyFont="1" applyFill="1" applyAlignment="1">
      <alignment horizontal="right"/>
    </xf>
    <xf numFmtId="164" fontId="34" fillId="8" borderId="0" xfId="5" applyNumberFormat="1" applyFont="1" applyFill="1" applyAlignment="1">
      <alignment horizontal="right"/>
    </xf>
    <xf numFmtId="164" fontId="34" fillId="8" borderId="34" xfId="5" applyNumberFormat="1" applyFont="1" applyFill="1" applyBorder="1"/>
    <xf numFmtId="164" fontId="34" fillId="8" borderId="0" xfId="5" applyNumberFormat="1" applyFont="1" applyFill="1"/>
    <xf numFmtId="164" fontId="38" fillId="0" borderId="0" xfId="5" applyNumberFormat="1" applyFont="1"/>
    <xf numFmtId="0" fontId="35" fillId="8" borderId="0" xfId="5" applyFont="1" applyFill="1" applyAlignment="1">
      <alignment horizontal="right" vertical="center"/>
    </xf>
    <xf numFmtId="0" fontId="34" fillId="8" borderId="0" xfId="5" applyFont="1" applyFill="1" applyAlignment="1">
      <alignment horizontal="right" vertical="center"/>
    </xf>
    <xf numFmtId="0" fontId="34" fillId="0" borderId="0" xfId="5" applyFont="1" applyAlignment="1">
      <alignment horizontal="right"/>
    </xf>
    <xf numFmtId="164" fontId="30" fillId="0" borderId="0" xfId="5" applyNumberFormat="1" applyFont="1"/>
    <xf numFmtId="0" fontId="35" fillId="8" borderId="0" xfId="5" applyFont="1" applyFill="1" applyAlignment="1">
      <alignment horizontal="right"/>
    </xf>
    <xf numFmtId="164" fontId="35" fillId="8" borderId="0" xfId="5" applyNumberFormat="1" applyFont="1" applyFill="1"/>
    <xf numFmtId="164" fontId="35" fillId="8" borderId="34" xfId="5" applyNumberFormat="1" applyFont="1" applyFill="1" applyBorder="1"/>
    <xf numFmtId="0" fontId="13" fillId="0" borderId="0" xfId="5" applyFont="1" applyAlignment="1">
      <alignment vertical="center"/>
    </xf>
    <xf numFmtId="0" fontId="41" fillId="0" borderId="0" xfId="5" applyFont="1" applyAlignment="1">
      <alignment horizontal="right" vertical="center"/>
    </xf>
    <xf numFmtId="0" fontId="23" fillId="0" borderId="0" xfId="0" applyFont="1" applyAlignment="1">
      <alignment horizontal="right" vertical="center"/>
    </xf>
    <xf numFmtId="164" fontId="24" fillId="0" borderId="0" xfId="0" applyNumberFormat="1" applyFont="1" applyAlignment="1">
      <alignment vertical="center"/>
    </xf>
    <xf numFmtId="164" fontId="23" fillId="0" borderId="0" xfId="0" applyNumberFormat="1" applyFont="1" applyAlignment="1">
      <alignment vertical="center"/>
    </xf>
    <xf numFmtId="10" fontId="23" fillId="3" borderId="13" xfId="0" applyNumberFormat="1" applyFont="1" applyFill="1" applyBorder="1" applyAlignment="1">
      <alignment vertical="center"/>
    </xf>
    <xf numFmtId="10" fontId="23" fillId="3" borderId="12" xfId="0" applyNumberFormat="1" applyFont="1" applyFill="1" applyBorder="1" applyAlignment="1">
      <alignment horizontal="right" vertical="center"/>
    </xf>
    <xf numFmtId="10" fontId="23" fillId="3" borderId="20" xfId="0" applyNumberFormat="1" applyFont="1" applyFill="1" applyBorder="1" applyAlignment="1">
      <alignment vertical="center"/>
    </xf>
    <xf numFmtId="0" fontId="43" fillId="0" borderId="0" xfId="0" applyFont="1" applyAlignment="1">
      <alignment vertical="center"/>
    </xf>
    <xf numFmtId="0" fontId="23" fillId="0" borderId="0" xfId="0" applyFont="1" applyAlignment="1">
      <alignment horizontal="right"/>
    </xf>
    <xf numFmtId="0" fontId="24" fillId="0" borderId="25" xfId="0" applyFont="1" applyBorder="1" applyAlignment="1">
      <alignment horizontal="right" vertical="center"/>
    </xf>
    <xf numFmtId="0" fontId="44" fillId="0" borderId="0" xfId="0" applyFont="1"/>
    <xf numFmtId="0" fontId="23" fillId="2" borderId="0" xfId="3" applyFont="1" applyFill="1" applyAlignment="1" applyProtection="1">
      <alignment horizontal="right"/>
      <protection locked="0"/>
    </xf>
    <xf numFmtId="0" fontId="24" fillId="0" borderId="0" xfId="3" applyFont="1" applyAlignment="1" applyProtection="1">
      <alignment horizontal="right"/>
      <protection locked="0"/>
    </xf>
    <xf numFmtId="10" fontId="23" fillId="7" borderId="16" xfId="4" applyFont="1" applyBorder="1" applyAlignment="1">
      <protection locked="0"/>
    </xf>
    <xf numFmtId="5" fontId="24" fillId="0" borderId="0" xfId="3" applyNumberFormat="1" applyFont="1" applyAlignment="1" applyProtection="1">
      <alignment horizontal="right"/>
      <protection locked="0"/>
    </xf>
    <xf numFmtId="10" fontId="23" fillId="7" borderId="15" xfId="4" applyFont="1" applyBorder="1" applyAlignment="1">
      <protection locked="0"/>
    </xf>
    <xf numFmtId="10" fontId="23" fillId="7" borderId="14" xfId="4" applyFont="1" applyBorder="1" applyAlignment="1">
      <protection locked="0"/>
    </xf>
    <xf numFmtId="0" fontId="23" fillId="0" borderId="0" xfId="3" applyFont="1" applyAlignment="1">
      <alignment horizontal="right"/>
    </xf>
    <xf numFmtId="10" fontId="23" fillId="0" borderId="0" xfId="3" applyNumberFormat="1" applyFont="1" applyProtection="1">
      <protection locked="0"/>
    </xf>
    <xf numFmtId="10" fontId="23" fillId="7" borderId="27" xfId="4" applyFont="1" applyBorder="1" applyAlignment="1">
      <protection locked="0"/>
    </xf>
    <xf numFmtId="0" fontId="23" fillId="0" borderId="0" xfId="3" applyFont="1" applyAlignment="1" applyProtection="1">
      <alignment horizontal="right"/>
      <protection locked="0"/>
    </xf>
    <xf numFmtId="10" fontId="45" fillId="0" borderId="0" xfId="0" applyNumberFormat="1" applyFont="1"/>
    <xf numFmtId="0" fontId="43" fillId="0" borderId="0" xfId="0" applyFont="1"/>
    <xf numFmtId="164" fontId="23" fillId="0" borderId="23" xfId="0" applyNumberFormat="1" applyFont="1" applyBorder="1" applyAlignment="1">
      <alignment vertical="center"/>
    </xf>
    <xf numFmtId="0" fontId="24" fillId="0" borderId="0" xfId="0" applyFont="1" applyAlignment="1">
      <alignment horizontal="right" vertical="center"/>
    </xf>
    <xf numFmtId="0" fontId="23" fillId="5" borderId="3" xfId="0" applyFont="1" applyFill="1" applyBorder="1" applyAlignment="1">
      <alignment vertical="center"/>
    </xf>
    <xf numFmtId="164" fontId="23" fillId="5" borderId="4" xfId="0" applyNumberFormat="1" applyFont="1" applyFill="1" applyBorder="1" applyAlignment="1">
      <alignment vertical="center"/>
    </xf>
    <xf numFmtId="0" fontId="23" fillId="5" borderId="6" xfId="0" applyFont="1" applyFill="1" applyBorder="1" applyAlignment="1">
      <alignment vertical="center"/>
    </xf>
    <xf numFmtId="164" fontId="23" fillId="5" borderId="2" xfId="0" applyNumberFormat="1" applyFont="1" applyFill="1" applyBorder="1" applyAlignment="1">
      <alignment vertical="center"/>
    </xf>
    <xf numFmtId="164" fontId="23" fillId="5" borderId="4" xfId="0" applyNumberFormat="1" applyFont="1" applyFill="1" applyBorder="1" applyAlignment="1">
      <alignment horizontal="right" vertical="center"/>
    </xf>
    <xf numFmtId="9" fontId="23" fillId="5" borderId="7" xfId="0" applyNumberFormat="1" applyFont="1" applyFill="1" applyBorder="1" applyAlignment="1">
      <alignment vertical="center"/>
    </xf>
    <xf numFmtId="164" fontId="23" fillId="5" borderId="6" xfId="0" applyNumberFormat="1" applyFont="1" applyFill="1" applyBorder="1" applyAlignment="1">
      <alignment horizontal="right" vertical="center"/>
    </xf>
    <xf numFmtId="164" fontId="23" fillId="5" borderId="2" xfId="0" applyNumberFormat="1" applyFont="1" applyFill="1" applyBorder="1" applyAlignment="1">
      <alignment horizontal="right" vertical="center"/>
    </xf>
    <xf numFmtId="0" fontId="46" fillId="0" borderId="0" xfId="0" applyFont="1" applyAlignment="1">
      <alignment vertical="center"/>
    </xf>
    <xf numFmtId="0" fontId="35" fillId="8" borderId="0" xfId="5" applyFont="1" applyFill="1"/>
    <xf numFmtId="164" fontId="35" fillId="8" borderId="0" xfId="5" applyNumberFormat="1" applyFont="1" applyFill="1" applyAlignment="1">
      <alignment horizontal="right"/>
    </xf>
    <xf numFmtId="5" fontId="34" fillId="8" borderId="0" xfId="5" applyNumberFormat="1" applyFont="1" applyFill="1" applyAlignment="1">
      <alignment vertical="center"/>
    </xf>
    <xf numFmtId="5" fontId="35" fillId="8" borderId="0" xfId="5" applyNumberFormat="1" applyFont="1" applyFill="1" applyAlignment="1">
      <alignment horizontal="right" vertical="center"/>
    </xf>
    <xf numFmtId="5" fontId="35" fillId="8" borderId="34" xfId="5" applyNumberFormat="1" applyFont="1" applyFill="1" applyBorder="1" applyAlignment="1">
      <alignment vertical="center"/>
    </xf>
    <xf numFmtId="5" fontId="35" fillId="8" borderId="0" xfId="5" applyNumberFormat="1" applyFont="1" applyFill="1" applyAlignment="1">
      <alignment vertical="center"/>
    </xf>
    <xf numFmtId="164" fontId="24" fillId="0" borderId="0" xfId="0" applyNumberFormat="1" applyFont="1"/>
    <xf numFmtId="0" fontId="24" fillId="0" borderId="0" xfId="0" applyFont="1" applyAlignment="1">
      <alignment horizontal="right"/>
    </xf>
    <xf numFmtId="0" fontId="54" fillId="0" borderId="0" xfId="0" applyFont="1" applyAlignment="1">
      <alignment vertical="center"/>
    </xf>
    <xf numFmtId="5" fontId="35" fillId="8" borderId="11" xfId="5" applyNumberFormat="1" applyFont="1" applyFill="1" applyBorder="1" applyAlignment="1">
      <alignment vertical="center"/>
    </xf>
    <xf numFmtId="0" fontId="23" fillId="0" borderId="11" xfId="0" applyFont="1" applyBorder="1" applyAlignment="1">
      <alignment vertical="center"/>
    </xf>
    <xf numFmtId="164" fontId="23" fillId="3" borderId="27" xfId="0" applyNumberFormat="1" applyFont="1" applyFill="1" applyBorder="1" applyAlignment="1">
      <alignment vertical="center"/>
    </xf>
    <xf numFmtId="10" fontId="23" fillId="3" borderId="16" xfId="0" applyNumberFormat="1" applyFont="1" applyFill="1" applyBorder="1" applyAlignment="1">
      <alignment vertical="center"/>
    </xf>
    <xf numFmtId="0" fontId="23" fillId="0" borderId="0" xfId="0" applyFont="1" applyAlignment="1">
      <alignment horizontal="left"/>
    </xf>
    <xf numFmtId="0" fontId="56" fillId="0" borderId="0" xfId="0" applyFont="1" applyAlignment="1">
      <alignment vertical="center"/>
    </xf>
    <xf numFmtId="5" fontId="32" fillId="8" borderId="0" xfId="5" applyNumberFormat="1" applyFont="1" applyFill="1" applyAlignment="1">
      <alignment horizontal="right" vertical="center"/>
    </xf>
    <xf numFmtId="5" fontId="30" fillId="8" borderId="0" xfId="5" applyNumberFormat="1" applyFont="1" applyFill="1" applyAlignment="1">
      <alignment vertical="center"/>
    </xf>
    <xf numFmtId="5" fontId="32" fillId="8" borderId="34" xfId="5" applyNumberFormat="1" applyFont="1" applyFill="1" applyBorder="1" applyAlignment="1">
      <alignment vertical="center"/>
    </xf>
    <xf numFmtId="5" fontId="32" fillId="8" borderId="0" xfId="5" applyNumberFormat="1" applyFont="1" applyFill="1" applyAlignment="1">
      <alignment vertical="center"/>
    </xf>
    <xf numFmtId="5" fontId="49" fillId="8" borderId="0" xfId="5" applyNumberFormat="1" applyFont="1" applyFill="1" applyAlignment="1">
      <alignment vertical="center"/>
    </xf>
    <xf numFmtId="5" fontId="57" fillId="8" borderId="0" xfId="5" applyNumberFormat="1" applyFont="1" applyFill="1" applyAlignment="1">
      <alignment vertical="center"/>
    </xf>
    <xf numFmtId="5" fontId="57" fillId="8" borderId="0" xfId="5" applyNumberFormat="1" applyFont="1" applyFill="1" applyAlignment="1">
      <alignment horizontal="right" vertical="center"/>
    </xf>
    <xf numFmtId="0" fontId="59" fillId="0" borderId="0" xfId="0" applyFont="1" applyAlignment="1">
      <alignment vertical="center"/>
    </xf>
    <xf numFmtId="0" fontId="59" fillId="0" borderId="0" xfId="0" applyFont="1"/>
    <xf numFmtId="168" fontId="61" fillId="8" borderId="0" xfId="5" applyNumberFormat="1" applyFont="1" applyFill="1" applyAlignment="1">
      <alignment horizontal="right"/>
    </xf>
    <xf numFmtId="5" fontId="34" fillId="8" borderId="1" xfId="5" applyNumberFormat="1" applyFont="1" applyFill="1" applyBorder="1" applyAlignment="1">
      <alignment vertical="center"/>
    </xf>
    <xf numFmtId="5" fontId="34" fillId="8" borderId="0" xfId="5" applyNumberFormat="1" applyFont="1" applyFill="1" applyAlignment="1">
      <alignment horizontal="right" vertical="center"/>
    </xf>
    <xf numFmtId="0" fontId="45" fillId="4" borderId="6" xfId="0" applyFont="1" applyFill="1" applyBorder="1" applyAlignment="1">
      <alignment vertical="center"/>
    </xf>
    <xf numFmtId="164" fontId="45" fillId="4" borderId="2" xfId="0" applyNumberFormat="1" applyFont="1" applyFill="1" applyBorder="1" applyAlignment="1">
      <alignment vertical="center"/>
    </xf>
    <xf numFmtId="9" fontId="45" fillId="4" borderId="15" xfId="0" applyNumberFormat="1" applyFont="1" applyFill="1" applyBorder="1" applyAlignment="1">
      <alignment horizontal="right" vertical="center"/>
    </xf>
    <xf numFmtId="164" fontId="45" fillId="4" borderId="6" xfId="0" applyNumberFormat="1" applyFont="1" applyFill="1" applyBorder="1" applyAlignment="1">
      <alignment vertical="center"/>
    </xf>
    <xf numFmtId="164" fontId="45" fillId="4" borderId="7" xfId="0" applyNumberFormat="1" applyFont="1" applyFill="1" applyBorder="1" applyAlignment="1">
      <alignment vertical="center"/>
    </xf>
    <xf numFmtId="0" fontId="45" fillId="4" borderId="3" xfId="0" applyFont="1" applyFill="1" applyBorder="1" applyAlignment="1">
      <alignment vertical="center"/>
    </xf>
    <xf numFmtId="164" fontId="45" fillId="4" borderId="4" xfId="0" applyNumberFormat="1" applyFont="1" applyFill="1" applyBorder="1" applyAlignment="1">
      <alignment vertical="center"/>
    </xf>
    <xf numFmtId="164" fontId="45" fillId="4" borderId="5" xfId="0" applyNumberFormat="1" applyFont="1" applyFill="1" applyBorder="1" applyAlignment="1">
      <alignment vertical="center"/>
    </xf>
    <xf numFmtId="9" fontId="45" fillId="4" borderId="16" xfId="0" applyNumberFormat="1" applyFont="1" applyFill="1" applyBorder="1" applyAlignment="1">
      <alignment horizontal="right" vertical="center"/>
    </xf>
    <xf numFmtId="164" fontId="45" fillId="4" borderId="3" xfId="0" applyNumberFormat="1" applyFont="1" applyFill="1" applyBorder="1" applyAlignment="1">
      <alignment vertical="center"/>
    </xf>
    <xf numFmtId="0" fontId="71" fillId="0" borderId="0" xfId="0" applyFont="1" applyAlignment="1">
      <alignment vertical="center"/>
    </xf>
    <xf numFmtId="0" fontId="71" fillId="0" borderId="0" xfId="0" applyFont="1"/>
    <xf numFmtId="0" fontId="52" fillId="0" borderId="0" xfId="0" applyFont="1" applyAlignment="1">
      <alignment vertical="center"/>
    </xf>
    <xf numFmtId="0" fontId="53" fillId="0" borderId="0" xfId="0" applyFont="1" applyAlignment="1">
      <alignment vertical="center"/>
    </xf>
    <xf numFmtId="164" fontId="52" fillId="0" borderId="0" xfId="0" applyNumberFormat="1" applyFont="1" applyAlignment="1">
      <alignment vertical="center"/>
    </xf>
    <xf numFmtId="0" fontId="34" fillId="0" borderId="0" xfId="5" applyFont="1" applyAlignment="1">
      <alignment vertical="center"/>
    </xf>
    <xf numFmtId="0" fontId="29" fillId="0" borderId="0" xfId="5" applyFont="1" applyAlignment="1">
      <alignment vertical="center"/>
    </xf>
    <xf numFmtId="0" fontId="35" fillId="0" borderId="0" xfId="5" applyFont="1" applyAlignment="1">
      <alignment horizontal="right" vertical="center"/>
    </xf>
    <xf numFmtId="0" fontId="49" fillId="0" borderId="0" xfId="5" applyFont="1" applyAlignment="1">
      <alignment vertical="center"/>
    </xf>
    <xf numFmtId="0" fontId="63" fillId="0" borderId="0" xfId="5" applyFont="1" applyAlignment="1">
      <alignment vertical="center"/>
    </xf>
    <xf numFmtId="0" fontId="14" fillId="0" borderId="0" xfId="5" applyAlignment="1">
      <alignment vertical="center"/>
    </xf>
    <xf numFmtId="5" fontId="35" fillId="0" borderId="0" xfId="5" applyNumberFormat="1" applyFont="1" applyAlignment="1">
      <alignment horizontal="right" vertical="center"/>
    </xf>
    <xf numFmtId="5" fontId="49" fillId="0" borderId="0" xfId="5" applyNumberFormat="1" applyFont="1" applyAlignment="1">
      <alignment horizontal="right" vertical="center"/>
    </xf>
    <xf numFmtId="0" fontId="49" fillId="0" borderId="0" xfId="5" applyFont="1" applyAlignment="1">
      <alignment horizontal="right" vertical="center"/>
    </xf>
    <xf numFmtId="5" fontId="35" fillId="8" borderId="22" xfId="5" applyNumberFormat="1" applyFont="1" applyFill="1" applyBorder="1" applyAlignment="1">
      <alignment horizontal="right" vertical="center"/>
    </xf>
    <xf numFmtId="164" fontId="31" fillId="0" borderId="0" xfId="5" applyNumberFormat="1" applyFont="1" applyAlignment="1">
      <alignment vertical="center"/>
    </xf>
    <xf numFmtId="5" fontId="31" fillId="0" borderId="0" xfId="5" applyNumberFormat="1" applyFont="1" applyAlignment="1">
      <alignment vertical="center"/>
    </xf>
    <xf numFmtId="164" fontId="49" fillId="0" borderId="0" xfId="5" applyNumberFormat="1" applyFont="1" applyAlignment="1">
      <alignment vertical="center"/>
    </xf>
    <xf numFmtId="5" fontId="30" fillId="0" borderId="0" xfId="5" applyNumberFormat="1" applyFont="1" applyAlignment="1">
      <alignment vertical="center"/>
    </xf>
    <xf numFmtId="0" fontId="48" fillId="0" borderId="0" xfId="5" applyFont="1" applyAlignment="1">
      <alignment vertical="center"/>
    </xf>
    <xf numFmtId="5" fontId="34" fillId="0" borderId="0" xfId="5" applyNumberFormat="1" applyFont="1" applyAlignment="1">
      <alignment vertical="center"/>
    </xf>
    <xf numFmtId="5" fontId="34" fillId="0" borderId="0" xfId="5" applyNumberFormat="1" applyFont="1" applyAlignment="1">
      <alignment horizontal="right" vertical="center"/>
    </xf>
    <xf numFmtId="5" fontId="49" fillId="0" borderId="0" xfId="5" applyNumberFormat="1" applyFont="1" applyAlignment="1">
      <alignment vertical="center"/>
    </xf>
    <xf numFmtId="5" fontId="14" fillId="0" borderId="0" xfId="5" applyNumberFormat="1" applyAlignment="1">
      <alignment horizontal="right" vertical="center"/>
    </xf>
    <xf numFmtId="5" fontId="35" fillId="0" borderId="11" xfId="5" applyNumberFormat="1" applyFont="1" applyBorder="1" applyAlignment="1">
      <alignment vertical="center"/>
    </xf>
    <xf numFmtId="5" fontId="57" fillId="0" borderId="0" xfId="5" applyNumberFormat="1" applyFont="1" applyAlignment="1">
      <alignment vertical="center"/>
    </xf>
    <xf numFmtId="9" fontId="62" fillId="0" borderId="0" xfId="5" applyNumberFormat="1" applyFont="1" applyAlignment="1">
      <alignment vertical="center"/>
    </xf>
    <xf numFmtId="0" fontId="34" fillId="0" borderId="0" xfId="5" applyFont="1" applyAlignment="1">
      <alignment horizontal="right" vertical="center"/>
    </xf>
    <xf numFmtId="5" fontId="35" fillId="0" borderId="36" xfId="5" applyNumberFormat="1" applyFont="1" applyBorder="1" applyAlignment="1">
      <alignment vertical="center"/>
    </xf>
    <xf numFmtId="9" fontId="67" fillId="0" borderId="0" xfId="5" applyNumberFormat="1" applyFont="1" applyAlignment="1">
      <alignment vertical="center"/>
    </xf>
    <xf numFmtId="9" fontId="68" fillId="0" borderId="0" xfId="5" applyNumberFormat="1" applyFont="1" applyAlignment="1">
      <alignment horizontal="right" vertical="center"/>
    </xf>
    <xf numFmtId="9" fontId="69" fillId="0" borderId="0" xfId="5" applyNumberFormat="1" applyFont="1" applyAlignment="1">
      <alignment vertical="center"/>
    </xf>
    <xf numFmtId="9" fontId="70" fillId="0" borderId="0" xfId="5" applyNumberFormat="1" applyFont="1" applyAlignment="1">
      <alignment vertical="center"/>
    </xf>
    <xf numFmtId="3" fontId="49" fillId="0" borderId="0" xfId="5" applyNumberFormat="1" applyFont="1" applyAlignment="1">
      <alignment vertical="center"/>
    </xf>
    <xf numFmtId="0" fontId="34" fillId="2" borderId="0" xfId="5" applyFont="1" applyFill="1" applyAlignment="1">
      <alignment vertical="center"/>
    </xf>
    <xf numFmtId="0" fontId="34" fillId="13" borderId="0" xfId="5" applyFont="1" applyFill="1" applyAlignment="1">
      <alignment horizontal="right" vertical="center"/>
    </xf>
    <xf numFmtId="0" fontId="34" fillId="2" borderId="0" xfId="5" applyFont="1" applyFill="1" applyAlignment="1">
      <alignment horizontal="right" vertical="center"/>
    </xf>
    <xf numFmtId="5" fontId="32" fillId="0" borderId="11" xfId="5" applyNumberFormat="1" applyFont="1" applyBorder="1" applyAlignment="1">
      <alignment vertical="center"/>
    </xf>
    <xf numFmtId="164" fontId="34" fillId="0" borderId="0" xfId="5" applyNumberFormat="1" applyFont="1" applyAlignment="1">
      <alignment vertical="center"/>
    </xf>
    <xf numFmtId="164" fontId="34" fillId="0" borderId="0" xfId="5" applyNumberFormat="1" applyFont="1" applyAlignment="1">
      <alignment horizontal="right" vertical="center"/>
    </xf>
    <xf numFmtId="164" fontId="49" fillId="0" borderId="0" xfId="5" applyNumberFormat="1" applyFont="1" applyAlignment="1">
      <alignment horizontal="right" vertical="center"/>
    </xf>
    <xf numFmtId="5" fontId="30" fillId="0" borderId="0" xfId="5" applyNumberFormat="1" applyFont="1" applyAlignment="1">
      <alignment horizontal="right" vertical="center"/>
    </xf>
    <xf numFmtId="5" fontId="32" fillId="0" borderId="32" xfId="5" applyNumberFormat="1" applyFont="1" applyBorder="1" applyAlignment="1">
      <alignment vertical="center"/>
    </xf>
    <xf numFmtId="5" fontId="35" fillId="0" borderId="32" xfId="5" applyNumberFormat="1" applyFont="1" applyBorder="1" applyAlignment="1">
      <alignment vertical="center"/>
    </xf>
    <xf numFmtId="5" fontId="58" fillId="0" borderId="0" xfId="5" applyNumberFormat="1" applyFont="1" applyAlignment="1">
      <alignment vertical="center"/>
    </xf>
    <xf numFmtId="5" fontId="42" fillId="0" borderId="0" xfId="5" applyNumberFormat="1" applyFont="1" applyAlignment="1">
      <alignment vertical="center"/>
    </xf>
    <xf numFmtId="5" fontId="32" fillId="0" borderId="36" xfId="5" applyNumberFormat="1" applyFont="1" applyBorder="1" applyAlignment="1">
      <alignment vertical="center"/>
    </xf>
    <xf numFmtId="5" fontId="14" fillId="0" borderId="0" xfId="5" applyNumberFormat="1" applyAlignment="1">
      <alignment vertical="center"/>
    </xf>
    <xf numFmtId="0" fontId="51" fillId="0" borderId="0" xfId="5" applyFont="1" applyAlignment="1">
      <alignment vertical="center"/>
    </xf>
    <xf numFmtId="0" fontId="65" fillId="0" borderId="0" xfId="5" applyFont="1" applyAlignment="1">
      <alignment vertical="center"/>
    </xf>
    <xf numFmtId="5" fontId="65" fillId="0" borderId="0" xfId="5" applyNumberFormat="1" applyFont="1" applyAlignment="1">
      <alignment vertical="center"/>
    </xf>
    <xf numFmtId="5" fontId="13" fillId="0" borderId="0" xfId="5" applyNumberFormat="1" applyFont="1" applyAlignment="1">
      <alignment vertical="center"/>
    </xf>
    <xf numFmtId="5" fontId="35" fillId="0" borderId="34" xfId="5" applyNumberFormat="1" applyFont="1" applyBorder="1" applyAlignment="1">
      <alignment vertical="center"/>
    </xf>
    <xf numFmtId="5" fontId="54" fillId="0" borderId="0" xfId="5" applyNumberFormat="1" applyFont="1" applyAlignment="1">
      <alignment horizontal="right" vertical="center"/>
    </xf>
    <xf numFmtId="5" fontId="54" fillId="0" borderId="0" xfId="5" applyNumberFormat="1" applyFont="1" applyAlignment="1">
      <alignment vertical="center"/>
    </xf>
    <xf numFmtId="5" fontId="51" fillId="0" borderId="0" xfId="5" applyNumberFormat="1" applyFont="1" applyAlignment="1">
      <alignment horizontal="right" vertical="center"/>
    </xf>
    <xf numFmtId="164" fontId="35" fillId="0" borderId="36" xfId="5" applyNumberFormat="1" applyFont="1" applyBorder="1" applyAlignment="1">
      <alignment vertical="center"/>
    </xf>
    <xf numFmtId="164" fontId="35" fillId="0" borderId="34" xfId="5" applyNumberFormat="1" applyFont="1" applyBorder="1" applyAlignment="1">
      <alignment vertical="center"/>
    </xf>
    <xf numFmtId="164" fontId="51" fillId="0" borderId="0" xfId="5" applyNumberFormat="1" applyFont="1" applyAlignment="1">
      <alignment vertical="center"/>
    </xf>
    <xf numFmtId="9" fontId="73" fillId="0" borderId="0" xfId="5" applyNumberFormat="1" applyFont="1" applyAlignment="1">
      <alignment vertical="center"/>
    </xf>
    <xf numFmtId="164" fontId="32" fillId="11" borderId="41" xfId="5" applyNumberFormat="1" applyFont="1" applyFill="1" applyBorder="1" applyAlignment="1">
      <alignment vertical="center"/>
    </xf>
    <xf numFmtId="164" fontId="32" fillId="12" borderId="41" xfId="5" applyNumberFormat="1" applyFont="1" applyFill="1" applyBorder="1" applyAlignment="1">
      <alignment vertical="center"/>
    </xf>
    <xf numFmtId="0" fontId="32" fillId="10" borderId="42" xfId="5" applyFont="1" applyFill="1" applyBorder="1" applyAlignment="1">
      <alignment horizontal="right" vertical="center"/>
    </xf>
    <xf numFmtId="164" fontId="32" fillId="12" borderId="44" xfId="5" applyNumberFormat="1" applyFont="1" applyFill="1" applyBorder="1" applyAlignment="1">
      <alignment vertical="center"/>
    </xf>
    <xf numFmtId="165" fontId="45" fillId="4" borderId="4" xfId="0" applyNumberFormat="1" applyFont="1" applyFill="1" applyBorder="1" applyAlignment="1">
      <alignment vertical="center"/>
    </xf>
    <xf numFmtId="165" fontId="45" fillId="4" borderId="2" xfId="0" applyNumberFormat="1" applyFont="1" applyFill="1" applyBorder="1" applyAlignment="1">
      <alignment vertical="center"/>
    </xf>
    <xf numFmtId="165" fontId="23" fillId="5" borderId="2" xfId="0" applyNumberFormat="1" applyFont="1" applyFill="1" applyBorder="1" applyAlignment="1">
      <alignment vertical="center"/>
    </xf>
    <xf numFmtId="165" fontId="32" fillId="12" borderId="41" xfId="5" applyNumberFormat="1" applyFont="1" applyFill="1" applyBorder="1" applyAlignment="1">
      <alignment vertical="center"/>
    </xf>
    <xf numFmtId="165" fontId="32" fillId="12" borderId="44" xfId="5" applyNumberFormat="1" applyFont="1" applyFill="1" applyBorder="1" applyAlignment="1">
      <alignment vertical="center"/>
    </xf>
    <xf numFmtId="165" fontId="16" fillId="0" borderId="0" xfId="0" applyNumberFormat="1" applyFont="1" applyAlignment="1">
      <alignment vertical="center"/>
    </xf>
    <xf numFmtId="165" fontId="23" fillId="0" borderId="0" xfId="0" applyNumberFormat="1" applyFont="1" applyAlignment="1">
      <alignment horizontal="right" vertical="center"/>
    </xf>
    <xf numFmtId="165" fontId="23" fillId="0" borderId="22" xfId="0" applyNumberFormat="1" applyFont="1" applyBorder="1" applyAlignment="1">
      <alignment horizontal="right" vertical="center"/>
    </xf>
    <xf numFmtId="0" fontId="32" fillId="10" borderId="43" xfId="5" applyFont="1" applyFill="1" applyBorder="1" applyAlignment="1">
      <alignment horizontal="right" vertical="center"/>
    </xf>
    <xf numFmtId="0" fontId="57" fillId="8" borderId="0" xfId="5" applyFont="1" applyFill="1" applyAlignment="1">
      <alignment horizontal="right" vertical="center"/>
    </xf>
    <xf numFmtId="0" fontId="49" fillId="0" borderId="0" xfId="5" applyFont="1"/>
    <xf numFmtId="0" fontId="32" fillId="0" borderId="28" xfId="5" applyFont="1" applyBorder="1" applyAlignment="1">
      <alignment horizontal="right"/>
    </xf>
    <xf numFmtId="165" fontId="24" fillId="0" borderId="0" xfId="0" applyNumberFormat="1" applyFont="1" applyAlignment="1">
      <alignment vertical="center"/>
    </xf>
    <xf numFmtId="165" fontId="66" fillId="16" borderId="0" xfId="5" applyNumberFormat="1" applyFont="1" applyFill="1" applyAlignment="1">
      <alignment vertical="center"/>
    </xf>
    <xf numFmtId="0" fontId="0" fillId="0" borderId="0" xfId="0" applyAlignment="1">
      <alignment horizontal="right"/>
    </xf>
    <xf numFmtId="167" fontId="30" fillId="0" borderId="0" xfId="5" applyNumberFormat="1" applyFont="1"/>
    <xf numFmtId="10" fontId="32" fillId="8" borderId="0" xfId="5" applyNumberFormat="1" applyFont="1" applyFill="1" applyAlignment="1">
      <alignment horizontal="right" vertical="center"/>
    </xf>
    <xf numFmtId="3" fontId="34" fillId="0" borderId="0" xfId="5" applyNumberFormat="1" applyFont="1"/>
    <xf numFmtId="10" fontId="34" fillId="0" borderId="0" xfId="5" applyNumberFormat="1" applyFont="1"/>
    <xf numFmtId="5" fontId="24" fillId="0" borderId="0" xfId="0" applyNumberFormat="1" applyFont="1" applyAlignment="1">
      <alignment vertical="center"/>
    </xf>
    <xf numFmtId="0" fontId="82" fillId="8" borderId="0" xfId="5" applyFont="1" applyFill="1" applyAlignment="1">
      <alignment horizontal="left" vertical="center"/>
    </xf>
    <xf numFmtId="165" fontId="80" fillId="16" borderId="1" xfId="5" applyNumberFormat="1" applyFont="1" applyFill="1" applyBorder="1" applyAlignment="1">
      <alignment vertical="center"/>
    </xf>
    <xf numFmtId="0" fontId="87" fillId="0" borderId="0" xfId="31" applyFont="1" applyAlignment="1" applyProtection="1">
      <alignment vertical="center"/>
      <protection locked="0"/>
    </xf>
    <xf numFmtId="0" fontId="15" fillId="0" borderId="0" xfId="31" applyFont="1" applyAlignment="1" applyProtection="1">
      <alignment horizontal="right" vertical="center"/>
      <protection locked="0"/>
    </xf>
    <xf numFmtId="0" fontId="4" fillId="0" borderId="0" xfId="31"/>
    <xf numFmtId="0" fontId="4" fillId="0" borderId="0" xfId="31" applyAlignment="1" applyProtection="1">
      <alignment vertical="center"/>
      <protection locked="0"/>
    </xf>
    <xf numFmtId="0" fontId="4" fillId="0" borderId="0" xfId="31" applyAlignment="1">
      <alignment vertical="center"/>
    </xf>
    <xf numFmtId="0" fontId="22" fillId="0" borderId="0" xfId="31" applyFont="1" applyAlignment="1" applyProtection="1">
      <alignment horizontal="right" vertical="center"/>
      <protection locked="0"/>
    </xf>
    <xf numFmtId="0" fontId="26" fillId="0" borderId="0" xfId="31" applyFont="1" applyAlignment="1" applyProtection="1">
      <alignment vertical="center"/>
      <protection locked="0"/>
    </xf>
    <xf numFmtId="0" fontId="26" fillId="0" borderId="0" xfId="31" applyFont="1" applyAlignment="1">
      <alignment vertical="center"/>
    </xf>
    <xf numFmtId="0" fontId="74" fillId="0" borderId="25" xfId="31" applyFont="1" applyBorder="1" applyAlignment="1" applyProtection="1">
      <alignment horizontal="right"/>
      <protection locked="0"/>
    </xf>
    <xf numFmtId="0" fontId="88" fillId="0" borderId="0" xfId="31" applyFont="1" applyAlignment="1">
      <alignment vertical="center"/>
    </xf>
    <xf numFmtId="164" fontId="22" fillId="2" borderId="16" xfId="29" quotePrefix="1" applyFont="1" applyBorder="1" applyAlignment="1" applyProtection="1">
      <alignment vertical="center"/>
      <protection locked="0"/>
    </xf>
    <xf numFmtId="164" fontId="22" fillId="2" borderId="16" xfId="29" applyFont="1" applyBorder="1" applyAlignment="1" applyProtection="1">
      <alignment vertical="center"/>
      <protection locked="0"/>
    </xf>
    <xf numFmtId="164" fontId="22" fillId="2" borderId="15" xfId="29" applyFont="1" applyBorder="1" applyAlignment="1" applyProtection="1">
      <alignment vertical="center"/>
      <protection locked="0"/>
    </xf>
    <xf numFmtId="164" fontId="22" fillId="2" borderId="14" xfId="29" applyFont="1" applyBorder="1" applyAlignment="1" applyProtection="1">
      <alignment vertical="center"/>
      <protection locked="0"/>
    </xf>
    <xf numFmtId="164" fontId="22" fillId="2" borderId="47" xfId="29" applyFont="1" applyBorder="1" applyAlignment="1" applyProtection="1">
      <alignment vertical="center"/>
      <protection locked="0"/>
    </xf>
    <xf numFmtId="3" fontId="22" fillId="0" borderId="15" xfId="33" quotePrefix="1" applyNumberFormat="1" applyFont="1" applyBorder="1" applyAlignment="1" applyProtection="1">
      <alignment vertical="center"/>
      <protection locked="0"/>
    </xf>
    <xf numFmtId="3" fontId="22" fillId="0" borderId="15" xfId="33" applyNumberFormat="1" applyFont="1" applyBorder="1" applyAlignment="1" applyProtection="1">
      <alignment vertical="center"/>
      <protection locked="0"/>
    </xf>
    <xf numFmtId="3" fontId="22" fillId="0" borderId="47" xfId="33" applyNumberFormat="1" applyFont="1" applyBorder="1" applyAlignment="1" applyProtection="1">
      <alignment vertical="center"/>
      <protection locked="0"/>
    </xf>
    <xf numFmtId="3" fontId="22" fillId="0" borderId="14" xfId="33" applyNumberFormat="1" applyFont="1" applyBorder="1" applyAlignment="1" applyProtection="1">
      <alignment vertical="center"/>
      <protection locked="0"/>
    </xf>
    <xf numFmtId="9" fontId="77" fillId="0" borderId="47" xfId="38" applyFont="1" applyBorder="1" applyAlignment="1" applyProtection="1">
      <alignment vertical="center"/>
      <protection locked="0"/>
    </xf>
    <xf numFmtId="9" fontId="77" fillId="0" borderId="15" xfId="38" applyFont="1" applyBorder="1" applyAlignment="1" applyProtection="1">
      <alignment vertical="center"/>
      <protection locked="0"/>
    </xf>
    <xf numFmtId="9" fontId="77" fillId="0" borderId="14" xfId="38" applyFont="1" applyBorder="1" applyAlignment="1" applyProtection="1">
      <alignment vertical="center"/>
      <protection locked="0"/>
    </xf>
    <xf numFmtId="9" fontId="22" fillId="0" borderId="15" xfId="38" applyFont="1" applyBorder="1" applyAlignment="1" applyProtection="1">
      <alignment vertical="center"/>
      <protection locked="0"/>
    </xf>
    <xf numFmtId="9" fontId="22" fillId="0" borderId="14" xfId="38" applyFont="1" applyBorder="1" applyAlignment="1" applyProtection="1">
      <alignment vertical="center"/>
      <protection locked="0"/>
    </xf>
    <xf numFmtId="9" fontId="22" fillId="0" borderId="47" xfId="38" applyFont="1" applyBorder="1" applyAlignment="1" applyProtection="1">
      <alignment vertical="center"/>
      <protection locked="0"/>
    </xf>
    <xf numFmtId="167" fontId="22" fillId="0" borderId="15" xfId="36" quotePrefix="1" applyFont="1" applyBorder="1" applyAlignment="1" applyProtection="1">
      <alignment vertical="center"/>
      <protection locked="0"/>
    </xf>
    <xf numFmtId="167" fontId="22" fillId="0" borderId="15" xfId="36" applyFont="1" applyBorder="1" applyAlignment="1" applyProtection="1">
      <alignment vertical="center"/>
      <protection locked="0"/>
    </xf>
    <xf numFmtId="167" fontId="22" fillId="0" borderId="47" xfId="36" applyFont="1" applyBorder="1" applyAlignment="1" applyProtection="1">
      <alignment vertical="center"/>
      <protection locked="0"/>
    </xf>
    <xf numFmtId="167" fontId="22" fillId="0" borderId="14" xfId="36" applyFont="1" applyBorder="1" applyAlignment="1" applyProtection="1">
      <alignment vertical="center"/>
      <protection locked="0"/>
    </xf>
    <xf numFmtId="167" fontId="22" fillId="0" borderId="16" xfId="36" quotePrefix="1" applyFont="1" applyBorder="1" applyAlignment="1" applyProtection="1">
      <alignment vertical="center"/>
      <protection locked="0"/>
    </xf>
    <xf numFmtId="167" fontId="22" fillId="0" borderId="29" xfId="36" applyFont="1" applyBorder="1" applyAlignment="1" applyProtection="1">
      <alignment vertical="center"/>
      <protection locked="0"/>
    </xf>
    <xf numFmtId="167" fontId="22" fillId="0" borderId="46" xfId="36" applyFont="1" applyBorder="1" applyAlignment="1" applyProtection="1">
      <alignment vertical="center"/>
      <protection locked="0"/>
    </xf>
    <xf numFmtId="167" fontId="22" fillId="0" borderId="30" xfId="36" applyFont="1" applyBorder="1" applyAlignment="1" applyProtection="1">
      <alignment vertical="center"/>
      <protection locked="0"/>
    </xf>
    <xf numFmtId="167" fontId="22" fillId="0" borderId="31" xfId="36" applyFont="1" applyBorder="1" applyAlignment="1" applyProtection="1">
      <alignment vertical="center"/>
      <protection locked="0"/>
    </xf>
    <xf numFmtId="0" fontId="21" fillId="0" borderId="22" xfId="31" applyFont="1" applyBorder="1" applyAlignment="1" applyProtection="1">
      <alignment horizontal="right" wrapText="1"/>
      <protection locked="0"/>
    </xf>
    <xf numFmtId="0" fontId="21" fillId="0" borderId="22" xfId="31" applyFont="1" applyBorder="1" applyAlignment="1">
      <alignment horizontal="right" wrapText="1"/>
    </xf>
    <xf numFmtId="0" fontId="75" fillId="0" borderId="0" xfId="5" applyFont="1"/>
    <xf numFmtId="0" fontId="75" fillId="0" borderId="0" xfId="5" applyFont="1" applyAlignment="1">
      <alignment vertical="center"/>
    </xf>
    <xf numFmtId="0" fontId="75" fillId="0" borderId="0" xfId="5" applyFont="1" applyAlignment="1">
      <alignment horizontal="right" vertical="center"/>
    </xf>
    <xf numFmtId="5" fontId="93" fillId="8" borderId="0" xfId="5" applyNumberFormat="1" applyFont="1" applyFill="1" applyAlignment="1">
      <alignment vertical="center"/>
    </xf>
    <xf numFmtId="5" fontId="93" fillId="0" borderId="0" xfId="5" applyNumberFormat="1" applyFont="1" applyAlignment="1">
      <alignment vertical="center"/>
    </xf>
    <xf numFmtId="9" fontId="94" fillId="0" borderId="0" xfId="5" applyNumberFormat="1" applyFont="1" applyAlignment="1">
      <alignment vertical="center"/>
    </xf>
    <xf numFmtId="5" fontId="94" fillId="0" borderId="0" xfId="5" applyNumberFormat="1" applyFont="1" applyAlignment="1">
      <alignment vertical="center"/>
    </xf>
    <xf numFmtId="5" fontId="95" fillId="0" borderId="0" xfId="5" applyNumberFormat="1" applyFont="1" applyAlignment="1">
      <alignment vertical="center"/>
    </xf>
    <xf numFmtId="5" fontId="93" fillId="8" borderId="0" xfId="5" applyNumberFormat="1" applyFont="1" applyFill="1" applyAlignment="1">
      <alignment horizontal="right" vertical="center"/>
    </xf>
    <xf numFmtId="0" fontId="75" fillId="0" borderId="0" xfId="5" applyFont="1" applyAlignment="1">
      <alignment horizontal="right"/>
    </xf>
    <xf numFmtId="0" fontId="74" fillId="0" borderId="0" xfId="31" applyFont="1" applyAlignment="1" applyProtection="1">
      <alignment horizontal="right" vertical="center"/>
      <protection locked="0"/>
    </xf>
    <xf numFmtId="0" fontId="53" fillId="0" borderId="38" xfId="31" applyFont="1" applyBorder="1" applyAlignment="1">
      <alignment horizontal="right" vertical="center"/>
    </xf>
    <xf numFmtId="0" fontId="56" fillId="0" borderId="0" xfId="31" applyFont="1" applyAlignment="1" applyProtection="1">
      <alignment horizontal="right" vertical="center"/>
      <protection locked="0"/>
    </xf>
    <xf numFmtId="0" fontId="21" fillId="0" borderId="0" xfId="31" applyFont="1" applyAlignment="1">
      <alignment horizontal="right" wrapText="1"/>
    </xf>
    <xf numFmtId="164" fontId="26" fillId="0" borderId="0" xfId="0" applyNumberFormat="1" applyFont="1"/>
    <xf numFmtId="164" fontId="81" fillId="0" borderId="0" xfId="31" applyNumberFormat="1" applyFont="1"/>
    <xf numFmtId="164" fontId="81" fillId="0" borderId="0" xfId="0" applyNumberFormat="1" applyFont="1"/>
    <xf numFmtId="164" fontId="81" fillId="0" borderId="0" xfId="31" applyNumberFormat="1" applyFont="1" applyAlignment="1" applyProtection="1">
      <alignment vertical="center"/>
      <protection locked="0"/>
    </xf>
    <xf numFmtId="164" fontId="81" fillId="0" borderId="0" xfId="31" applyNumberFormat="1" applyFont="1" applyProtection="1">
      <protection locked="0"/>
    </xf>
    <xf numFmtId="164" fontId="77" fillId="0" borderId="0" xfId="31" applyNumberFormat="1" applyFont="1" applyAlignment="1" applyProtection="1">
      <alignment horizontal="right" vertical="center"/>
      <protection locked="0"/>
    </xf>
    <xf numFmtId="165" fontId="16" fillId="0" borderId="22" xfId="0" applyNumberFormat="1" applyFont="1" applyBorder="1" applyAlignment="1">
      <alignment vertical="center"/>
    </xf>
    <xf numFmtId="164" fontId="23" fillId="5" borderId="5" xfId="0" applyNumberFormat="1" applyFont="1" applyFill="1" applyBorder="1" applyAlignment="1">
      <alignment horizontal="right" vertical="center"/>
    </xf>
    <xf numFmtId="164" fontId="23" fillId="5" borderId="7" xfId="0" applyNumberFormat="1" applyFont="1" applyFill="1" applyBorder="1" applyAlignment="1">
      <alignment horizontal="right" vertical="center"/>
    </xf>
    <xf numFmtId="0" fontId="88" fillId="0" borderId="0" xfId="0" applyFont="1" applyAlignment="1">
      <alignment vertical="center"/>
    </xf>
    <xf numFmtId="0" fontId="10" fillId="0" borderId="0" xfId="0" applyFont="1" applyAlignment="1">
      <alignment horizontal="center"/>
    </xf>
    <xf numFmtId="0" fontId="22" fillId="0" borderId="0" xfId="0" applyFont="1" applyAlignment="1">
      <alignment vertical="center"/>
    </xf>
    <xf numFmtId="164" fontId="34" fillId="0" borderId="0" xfId="5" applyNumberFormat="1" applyFont="1"/>
    <xf numFmtId="0" fontId="100" fillId="0" borderId="0" xfId="0" applyFont="1" applyAlignment="1">
      <alignment vertical="center"/>
    </xf>
    <xf numFmtId="0" fontId="101" fillId="0" borderId="0" xfId="0" applyFont="1" applyAlignment="1">
      <alignment vertical="center"/>
    </xf>
    <xf numFmtId="0" fontId="102" fillId="0" borderId="0" xfId="0" applyFont="1" applyAlignment="1">
      <alignment vertical="center"/>
    </xf>
    <xf numFmtId="0" fontId="103" fillId="0" borderId="0" xfId="31" applyFont="1" applyAlignment="1" applyProtection="1">
      <alignment horizontal="right" vertical="center"/>
      <protection locked="0"/>
    </xf>
    <xf numFmtId="165" fontId="23" fillId="0" borderId="61" xfId="0" applyNumberFormat="1" applyFont="1" applyBorder="1" applyAlignment="1">
      <alignment horizontal="right"/>
    </xf>
    <xf numFmtId="0" fontId="21" fillId="4" borderId="17" xfId="31" applyFont="1" applyFill="1" applyBorder="1" applyAlignment="1" applyProtection="1">
      <alignment horizontal="right" wrapText="1"/>
      <protection locked="0"/>
    </xf>
    <xf numFmtId="0" fontId="25" fillId="0" borderId="25" xfId="31" applyFont="1" applyBorder="1" applyAlignment="1" applyProtection="1">
      <alignment horizontal="right" vertical="center"/>
      <protection locked="0"/>
    </xf>
    <xf numFmtId="0" fontId="80" fillId="0" borderId="0" xfId="31" applyFont="1" applyAlignment="1" applyProtection="1">
      <alignment horizontal="right" vertical="center"/>
      <protection locked="0"/>
    </xf>
    <xf numFmtId="0" fontId="25" fillId="0" borderId="51" xfId="31" applyFont="1" applyBorder="1" applyAlignment="1" applyProtection="1">
      <alignment horizontal="right" vertical="center"/>
      <protection locked="0"/>
    </xf>
    <xf numFmtId="0" fontId="25" fillId="0" borderId="46" xfId="31" applyFont="1" applyBorder="1" applyAlignment="1" applyProtection="1">
      <alignment horizontal="right" vertical="center"/>
      <protection locked="0"/>
    </xf>
    <xf numFmtId="164" fontId="25" fillId="0" borderId="0" xfId="0" applyNumberFormat="1" applyFont="1" applyAlignment="1">
      <alignment vertical="center"/>
    </xf>
    <xf numFmtId="0" fontId="25" fillId="0" borderId="0" xfId="31" applyFont="1" applyAlignment="1" applyProtection="1">
      <alignment vertical="center"/>
      <protection locked="0"/>
    </xf>
    <xf numFmtId="0" fontId="25" fillId="0" borderId="30" xfId="31" applyFont="1" applyBorder="1" applyAlignment="1" applyProtection="1">
      <alignment horizontal="right" vertical="center"/>
      <protection locked="0"/>
    </xf>
    <xf numFmtId="0" fontId="25" fillId="0" borderId="0" xfId="31" applyFont="1" applyAlignment="1" applyProtection="1">
      <alignment horizontal="right" vertical="center"/>
      <protection locked="0"/>
    </xf>
    <xf numFmtId="164" fontId="77" fillId="2" borderId="74" xfId="29" quotePrefix="1" applyFont="1" applyBorder="1" applyAlignment="1" applyProtection="1">
      <alignment vertical="center"/>
      <protection locked="0"/>
    </xf>
    <xf numFmtId="164" fontId="22" fillId="2" borderId="75" xfId="29" applyFont="1" applyBorder="1" applyAlignment="1" applyProtection="1">
      <alignment vertical="center"/>
      <protection locked="0"/>
    </xf>
    <xf numFmtId="164" fontId="22" fillId="2" borderId="76" xfId="29" applyFont="1" applyBorder="1" applyAlignment="1" applyProtection="1">
      <alignment vertical="center"/>
      <protection locked="0"/>
    </xf>
    <xf numFmtId="164" fontId="22" fillId="2" borderId="77" xfId="29" applyFont="1" applyBorder="1" applyAlignment="1" applyProtection="1">
      <alignment vertical="center"/>
      <protection locked="0"/>
    </xf>
    <xf numFmtId="164" fontId="22" fillId="2" borderId="78" xfId="29" applyFont="1" applyBorder="1" applyAlignment="1" applyProtection="1">
      <alignment vertical="center"/>
      <protection locked="0"/>
    </xf>
    <xf numFmtId="164" fontId="22" fillId="2" borderId="79" xfId="29" applyFont="1" applyBorder="1" applyAlignment="1" applyProtection="1">
      <alignment vertical="center"/>
      <protection locked="0"/>
    </xf>
    <xf numFmtId="164" fontId="22" fillId="2" borderId="80" xfId="29" applyFont="1" applyBorder="1" applyAlignment="1" applyProtection="1">
      <alignment vertical="center"/>
      <protection locked="0"/>
    </xf>
    <xf numFmtId="164" fontId="22" fillId="2" borderId="81" xfId="29" applyFont="1" applyBorder="1" applyAlignment="1" applyProtection="1">
      <alignment vertical="center"/>
      <protection locked="0"/>
    </xf>
    <xf numFmtId="164" fontId="22" fillId="2" borderId="82" xfId="29" applyFont="1" applyBorder="1" applyAlignment="1" applyProtection="1">
      <alignment vertical="center"/>
      <protection locked="0"/>
    </xf>
    <xf numFmtId="164" fontId="22" fillId="2" borderId="83" xfId="29" applyFont="1" applyBorder="1" applyAlignment="1" applyProtection="1">
      <alignment vertical="center"/>
      <protection locked="0"/>
    </xf>
    <xf numFmtId="5" fontId="48" fillId="0" borderId="0" xfId="5" applyNumberFormat="1" applyFont="1" applyAlignment="1">
      <alignment horizontal="right" vertical="center"/>
    </xf>
    <xf numFmtId="0" fontId="106" fillId="0" borderId="0" xfId="5" applyFont="1" applyAlignment="1">
      <alignment vertical="center"/>
    </xf>
    <xf numFmtId="0" fontId="46" fillId="0" borderId="0" xfId="0" applyFont="1"/>
    <xf numFmtId="0" fontId="109" fillId="0" borderId="0" xfId="5" applyFont="1" applyAlignment="1">
      <alignment vertical="center"/>
    </xf>
    <xf numFmtId="6" fontId="24" fillId="0" borderId="0" xfId="0" applyNumberFormat="1" applyFont="1" applyAlignment="1">
      <alignment vertical="center"/>
    </xf>
    <xf numFmtId="6" fontId="24" fillId="0" borderId="22" xfId="0" applyNumberFormat="1" applyFont="1" applyBorder="1" applyAlignment="1">
      <alignment vertical="center"/>
    </xf>
    <xf numFmtId="6" fontId="24" fillId="0" borderId="88" xfId="0" applyNumberFormat="1" applyFont="1" applyBorder="1" applyAlignment="1">
      <alignment vertical="center"/>
    </xf>
    <xf numFmtId="6" fontId="24" fillId="0" borderId="87" xfId="0" applyNumberFormat="1" applyFont="1" applyBorder="1" applyAlignment="1">
      <alignment vertical="center"/>
    </xf>
    <xf numFmtId="0" fontId="16" fillId="20" borderId="2" xfId="0" applyFont="1" applyFill="1" applyBorder="1" applyAlignment="1">
      <alignment horizontal="center" vertical="center"/>
    </xf>
    <xf numFmtId="6" fontId="24" fillId="0" borderId="49" xfId="0" applyNumberFormat="1" applyFont="1" applyBorder="1" applyAlignment="1">
      <alignment vertical="center"/>
    </xf>
    <xf numFmtId="6" fontId="24" fillId="0" borderId="57" xfId="0" applyNumberFormat="1" applyFont="1" applyBorder="1" applyAlignment="1">
      <alignment vertical="center"/>
    </xf>
    <xf numFmtId="0" fontId="111" fillId="0" borderId="88" xfId="0" applyFont="1" applyBorder="1" applyAlignment="1">
      <alignment horizontal="right" vertical="center"/>
    </xf>
    <xf numFmtId="0" fontId="111" fillId="0" borderId="0" xfId="0" applyFont="1" applyAlignment="1">
      <alignment horizontal="right" vertical="center"/>
    </xf>
    <xf numFmtId="0" fontId="111" fillId="0" borderId="49" xfId="0" applyFont="1" applyBorder="1" applyAlignment="1">
      <alignment horizontal="right" vertical="center"/>
    </xf>
    <xf numFmtId="0" fontId="111" fillId="0" borderId="59" xfId="0" applyFont="1" applyBorder="1" applyAlignment="1">
      <alignment horizontal="right" vertical="center"/>
    </xf>
    <xf numFmtId="0" fontId="112" fillId="0" borderId="0" xfId="0" applyFont="1" applyAlignment="1">
      <alignment horizontal="right" vertical="center"/>
    </xf>
    <xf numFmtId="0" fontId="111" fillId="0" borderId="87" xfId="0" applyFont="1" applyBorder="1" applyAlignment="1">
      <alignment horizontal="right" vertical="center"/>
    </xf>
    <xf numFmtId="0" fontId="111" fillId="0" borderId="57" xfId="0" applyFont="1" applyBorder="1" applyAlignment="1">
      <alignment horizontal="right" vertical="center"/>
    </xf>
    <xf numFmtId="0" fontId="112" fillId="0" borderId="57" xfId="0" applyFont="1" applyBorder="1" applyAlignment="1">
      <alignment vertical="center"/>
    </xf>
    <xf numFmtId="6" fontId="24" fillId="0" borderId="89" xfId="0" applyNumberFormat="1" applyFont="1" applyBorder="1" applyAlignment="1">
      <alignment vertical="center"/>
    </xf>
    <xf numFmtId="6" fontId="24" fillId="0" borderId="56" xfId="0" applyNumberFormat="1" applyFont="1" applyBorder="1" applyAlignment="1">
      <alignment vertical="center"/>
    </xf>
    <xf numFmtId="6" fontId="24" fillId="0" borderId="23" xfId="0" applyNumberFormat="1" applyFont="1" applyBorder="1" applyAlignment="1">
      <alignment vertical="center"/>
    </xf>
    <xf numFmtId="6" fontId="24" fillId="0" borderId="60" xfId="0" applyNumberFormat="1" applyFont="1" applyBorder="1" applyAlignment="1">
      <alignment vertical="center"/>
    </xf>
    <xf numFmtId="5" fontId="23" fillId="0" borderId="56" xfId="0" applyNumberFormat="1" applyFont="1" applyBorder="1" applyAlignment="1">
      <alignment vertical="center"/>
    </xf>
    <xf numFmtId="5" fontId="23" fillId="0" borderId="23" xfId="0" applyNumberFormat="1" applyFont="1" applyBorder="1" applyAlignment="1">
      <alignment vertical="center"/>
    </xf>
    <xf numFmtId="0" fontId="0" fillId="0" borderId="26" xfId="0" applyBorder="1" applyAlignment="1">
      <alignment vertical="center"/>
    </xf>
    <xf numFmtId="0" fontId="96" fillId="0" borderId="0" xfId="0" applyFont="1" applyAlignment="1">
      <alignment vertical="center"/>
    </xf>
    <xf numFmtId="6" fontId="24" fillId="0" borderId="59" xfId="0" applyNumberFormat="1" applyFont="1" applyBorder="1" applyAlignment="1">
      <alignment vertical="center"/>
    </xf>
    <xf numFmtId="5" fontId="23" fillId="0" borderId="49" xfId="0" applyNumberFormat="1" applyFont="1" applyBorder="1" applyAlignment="1">
      <alignment vertical="center"/>
    </xf>
    <xf numFmtId="5" fontId="23" fillId="0" borderId="0" xfId="0" applyNumberFormat="1" applyFont="1" applyAlignment="1">
      <alignment vertical="center"/>
    </xf>
    <xf numFmtId="0" fontId="0" fillId="0" borderId="25" xfId="0" applyBorder="1" applyAlignment="1">
      <alignment vertical="center"/>
    </xf>
    <xf numFmtId="6" fontId="24" fillId="0" borderId="58" xfId="0" applyNumberFormat="1" applyFont="1" applyBorder="1" applyAlignment="1">
      <alignment vertical="center"/>
    </xf>
    <xf numFmtId="5" fontId="23" fillId="0" borderId="57" xfId="0" applyNumberFormat="1" applyFont="1" applyBorder="1" applyAlignment="1">
      <alignment vertical="center"/>
    </xf>
    <xf numFmtId="5" fontId="23" fillId="0" borderId="22" xfId="0" applyNumberFormat="1" applyFont="1" applyBorder="1" applyAlignment="1">
      <alignment vertical="center"/>
    </xf>
    <xf numFmtId="0" fontId="79" fillId="0" borderId="0" xfId="0" applyFont="1" applyAlignment="1">
      <alignment vertical="center"/>
    </xf>
    <xf numFmtId="0" fontId="0" fillId="0" borderId="52" xfId="0" applyBorder="1" applyAlignment="1">
      <alignment vertical="center"/>
    </xf>
    <xf numFmtId="164" fontId="113" fillId="0" borderId="0" xfId="47" applyNumberFormat="1" applyFont="1" applyAlignment="1">
      <alignment horizontal="left" vertical="center" indent="1"/>
    </xf>
    <xf numFmtId="0" fontId="21" fillId="0" borderId="1" xfId="0" applyFont="1" applyBorder="1" applyAlignment="1">
      <alignment horizontal="right" vertical="center"/>
    </xf>
    <xf numFmtId="0" fontId="114" fillId="8" borderId="0" xfId="5" applyFont="1" applyFill="1" applyAlignment="1">
      <alignment horizontal="left"/>
    </xf>
    <xf numFmtId="10" fontId="115" fillId="0" borderId="0" xfId="5" applyNumberFormat="1" applyFont="1" applyAlignment="1">
      <alignment vertical="center"/>
    </xf>
    <xf numFmtId="164" fontId="32" fillId="11" borderId="92" xfId="5" applyNumberFormat="1" applyFont="1" applyFill="1" applyBorder="1" applyAlignment="1">
      <alignment horizontal="right" vertical="center"/>
    </xf>
    <xf numFmtId="164" fontId="32" fillId="12" borderId="92" xfId="5" applyNumberFormat="1" applyFont="1" applyFill="1" applyBorder="1" applyAlignment="1">
      <alignment horizontal="right" vertical="center"/>
    </xf>
    <xf numFmtId="164" fontId="32" fillId="12" borderId="93" xfId="5" applyNumberFormat="1" applyFont="1" applyFill="1" applyBorder="1" applyAlignment="1">
      <alignment horizontal="right" vertical="center"/>
    </xf>
    <xf numFmtId="10" fontId="32" fillId="12" borderId="90" xfId="5" applyNumberFormat="1" applyFont="1" applyFill="1" applyBorder="1" applyAlignment="1">
      <alignment horizontal="right" vertical="center"/>
    </xf>
    <xf numFmtId="10" fontId="32" fillId="12" borderId="91" xfId="5" applyNumberFormat="1" applyFont="1" applyFill="1" applyBorder="1" applyAlignment="1">
      <alignment horizontal="right" vertical="center"/>
    </xf>
    <xf numFmtId="0" fontId="32" fillId="10" borderId="94" xfId="5" applyFont="1" applyFill="1" applyBorder="1" applyAlignment="1">
      <alignment horizontal="right" vertical="center"/>
    </xf>
    <xf numFmtId="164" fontId="32" fillId="12" borderId="95" xfId="5" applyNumberFormat="1" applyFont="1" applyFill="1" applyBorder="1" applyAlignment="1">
      <alignment vertical="center"/>
    </xf>
    <xf numFmtId="165" fontId="32" fillId="12" borderId="95" xfId="5" applyNumberFormat="1" applyFont="1" applyFill="1" applyBorder="1" applyAlignment="1">
      <alignment vertical="center"/>
    </xf>
    <xf numFmtId="164" fontId="32" fillId="12" borderId="96" xfId="5" applyNumberFormat="1" applyFont="1" applyFill="1" applyBorder="1" applyAlignment="1">
      <alignment horizontal="right" vertical="center"/>
    </xf>
    <xf numFmtId="10" fontId="32" fillId="12" borderId="97" xfId="5" applyNumberFormat="1" applyFont="1" applyFill="1" applyBorder="1" applyAlignment="1">
      <alignment horizontal="right" vertical="center"/>
    </xf>
    <xf numFmtId="0" fontId="32" fillId="10" borderId="98" xfId="5" applyFont="1" applyFill="1" applyBorder="1" applyAlignment="1">
      <alignment horizontal="right" vertical="center"/>
    </xf>
    <xf numFmtId="164" fontId="32" fillId="11" borderId="99" xfId="5" applyNumberFormat="1" applyFont="1" applyFill="1" applyBorder="1" applyAlignment="1">
      <alignment vertical="center"/>
    </xf>
    <xf numFmtId="164" fontId="32" fillId="11" borderId="100" xfId="5" applyNumberFormat="1" applyFont="1" applyFill="1" applyBorder="1" applyAlignment="1">
      <alignment horizontal="right" vertical="center"/>
    </xf>
    <xf numFmtId="10" fontId="32" fillId="11" borderId="101" xfId="5" applyNumberFormat="1" applyFont="1" applyFill="1" applyBorder="1" applyAlignment="1">
      <alignment horizontal="right" vertical="center"/>
    </xf>
    <xf numFmtId="0" fontId="32" fillId="10" borderId="102" xfId="5" applyFont="1" applyFill="1" applyBorder="1" applyAlignment="1">
      <alignment horizontal="right" vertical="center"/>
    </xf>
    <xf numFmtId="10" fontId="32" fillId="11" borderId="103" xfId="5" applyNumberFormat="1" applyFont="1" applyFill="1" applyBorder="1" applyAlignment="1">
      <alignment horizontal="right" vertical="center"/>
    </xf>
    <xf numFmtId="0" fontId="32" fillId="10" borderId="104" xfId="5" applyFont="1" applyFill="1" applyBorder="1" applyAlignment="1">
      <alignment horizontal="right" vertical="center"/>
    </xf>
    <xf numFmtId="164" fontId="32" fillId="11" borderId="105" xfId="5" applyNumberFormat="1" applyFont="1" applyFill="1" applyBorder="1" applyAlignment="1">
      <alignment vertical="center"/>
    </xf>
    <xf numFmtId="164" fontId="32" fillId="11" borderId="106" xfId="5" applyNumberFormat="1" applyFont="1" applyFill="1" applyBorder="1" applyAlignment="1">
      <alignment horizontal="right" vertical="center"/>
    </xf>
    <xf numFmtId="10" fontId="32" fillId="11" borderId="107" xfId="5" applyNumberFormat="1" applyFont="1" applyFill="1" applyBorder="1" applyAlignment="1">
      <alignment horizontal="right" vertical="center"/>
    </xf>
    <xf numFmtId="10" fontId="30" fillId="0" borderId="0" xfId="5" applyNumberFormat="1" applyFont="1"/>
    <xf numFmtId="0" fontId="115" fillId="0" borderId="0" xfId="5" applyFont="1" applyAlignment="1">
      <alignment horizontal="right"/>
    </xf>
    <xf numFmtId="0" fontId="115" fillId="2" borderId="0" xfId="5" applyFont="1" applyFill="1" applyAlignment="1">
      <alignment horizontal="right"/>
    </xf>
    <xf numFmtId="0" fontId="115" fillId="2" borderId="0" xfId="5" applyFont="1" applyFill="1"/>
    <xf numFmtId="164" fontId="115" fillId="8" borderId="0" xfId="5" applyNumberFormat="1" applyFont="1" applyFill="1" applyAlignment="1">
      <alignment horizontal="right" vertical="center"/>
    </xf>
    <xf numFmtId="164" fontId="116" fillId="8" borderId="1" xfId="5" applyNumberFormat="1" applyFont="1" applyFill="1" applyBorder="1" applyAlignment="1">
      <alignment horizontal="right" vertical="center"/>
    </xf>
    <xf numFmtId="0" fontId="116" fillId="2" borderId="1" xfId="5" applyFont="1" applyFill="1" applyBorder="1" applyAlignment="1">
      <alignment horizontal="right"/>
    </xf>
    <xf numFmtId="0" fontId="115" fillId="8" borderId="0" xfId="5" applyFont="1" applyFill="1" applyAlignment="1">
      <alignment horizontal="right" vertical="center"/>
    </xf>
    <xf numFmtId="0" fontId="31" fillId="8" borderId="0" xfId="5" applyFont="1" applyFill="1" applyAlignment="1">
      <alignment horizontal="right" vertical="center"/>
    </xf>
    <xf numFmtId="164" fontId="115" fillId="2" borderId="0" xfId="5" applyNumberFormat="1" applyFont="1" applyFill="1"/>
    <xf numFmtId="6" fontId="115" fillId="8" borderId="0" xfId="5" applyNumberFormat="1" applyFont="1" applyFill="1" applyAlignment="1">
      <alignment horizontal="right" vertical="center"/>
    </xf>
    <xf numFmtId="9" fontId="115" fillId="8" borderId="0" xfId="5" applyNumberFormat="1" applyFont="1" applyFill="1" applyAlignment="1">
      <alignment horizontal="right" vertical="center"/>
    </xf>
    <xf numFmtId="0" fontId="30" fillId="0" borderId="0" xfId="5" applyFont="1" applyAlignment="1">
      <alignment horizontal="right" vertical="center"/>
    </xf>
    <xf numFmtId="3" fontId="30" fillId="0" borderId="0" xfId="5" applyNumberFormat="1" applyFont="1" applyAlignment="1">
      <alignment vertical="center"/>
    </xf>
    <xf numFmtId="10" fontId="30" fillId="0" borderId="0" xfId="5" applyNumberFormat="1" applyFont="1" applyAlignment="1">
      <alignment vertical="center"/>
    </xf>
    <xf numFmtId="164" fontId="32" fillId="0" borderId="0" xfId="5" applyNumberFormat="1" applyFont="1" applyAlignment="1">
      <alignment vertical="center"/>
    </xf>
    <xf numFmtId="164" fontId="32" fillId="0" borderId="0" xfId="5" applyNumberFormat="1" applyFont="1" applyAlignment="1">
      <alignment horizontal="right" vertical="center"/>
    </xf>
    <xf numFmtId="0" fontId="30" fillId="8" borderId="0" xfId="5" applyFont="1" applyFill="1" applyAlignment="1">
      <alignment horizontal="right" vertical="center"/>
    </xf>
    <xf numFmtId="8" fontId="30" fillId="8" borderId="0" xfId="5" applyNumberFormat="1" applyFont="1" applyFill="1" applyAlignment="1">
      <alignment horizontal="right" vertical="center"/>
    </xf>
    <xf numFmtId="3" fontId="30" fillId="8" borderId="0" xfId="5" applyNumberFormat="1" applyFont="1" applyFill="1" applyAlignment="1">
      <alignment horizontal="right" vertical="center"/>
    </xf>
    <xf numFmtId="0" fontId="32" fillId="0" borderId="28" xfId="5" applyFont="1" applyBorder="1" applyAlignment="1">
      <alignment horizontal="right" vertical="center"/>
    </xf>
    <xf numFmtId="1" fontId="24" fillId="0" borderId="0" xfId="0" applyNumberFormat="1" applyFont="1" applyAlignment="1">
      <alignment vertical="center"/>
    </xf>
    <xf numFmtId="6" fontId="24" fillId="0" borderId="0" xfId="0" applyNumberFormat="1" applyFont="1" applyAlignment="1">
      <alignment horizontal="right" vertical="center"/>
    </xf>
    <xf numFmtId="0" fontId="32" fillId="0" borderId="1" xfId="5" applyFont="1" applyBorder="1" applyAlignment="1">
      <alignment horizontal="right" vertical="center"/>
    </xf>
    <xf numFmtId="0" fontId="23" fillId="0" borderId="1" xfId="0" applyFont="1" applyBorder="1" applyAlignment="1">
      <alignment horizontal="right" vertical="center"/>
    </xf>
    <xf numFmtId="170" fontId="24" fillId="0" borderId="0" xfId="0" applyNumberFormat="1" applyFont="1" applyAlignment="1">
      <alignment vertical="center"/>
    </xf>
    <xf numFmtId="164" fontId="32" fillId="0" borderId="11" xfId="5" applyNumberFormat="1" applyFont="1" applyBorder="1" applyAlignment="1">
      <alignment vertical="center"/>
    </xf>
    <xf numFmtId="170" fontId="23" fillId="0" borderId="11" xfId="0" applyNumberFormat="1" applyFont="1" applyBorder="1" applyAlignment="1">
      <alignment vertical="center"/>
    </xf>
    <xf numFmtId="6" fontId="23" fillId="0" borderId="11" xfId="0" applyNumberFormat="1" applyFont="1" applyBorder="1" applyAlignment="1">
      <alignment horizontal="right" vertical="center"/>
    </xf>
    <xf numFmtId="170" fontId="93" fillId="0" borderId="11" xfId="5" applyNumberFormat="1" applyFont="1" applyBorder="1" applyAlignment="1">
      <alignment vertical="center"/>
    </xf>
    <xf numFmtId="0" fontId="32" fillId="0" borderId="11" xfId="5" applyFont="1" applyBorder="1" applyAlignment="1">
      <alignment vertical="center"/>
    </xf>
    <xf numFmtId="5" fontId="121" fillId="0" borderId="0" xfId="5" applyNumberFormat="1" applyFont="1" applyAlignment="1">
      <alignment horizontal="right" vertical="center"/>
    </xf>
    <xf numFmtId="5" fontId="121" fillId="8" borderId="0" xfId="5" applyNumberFormat="1" applyFont="1" applyFill="1" applyAlignment="1">
      <alignment vertical="center"/>
    </xf>
    <xf numFmtId="0" fontId="123" fillId="0" borderId="0" xfId="0" applyFont="1" applyAlignment="1">
      <alignment vertical="center"/>
    </xf>
    <xf numFmtId="0" fontId="123" fillId="0" borderId="0" xfId="0" applyFont="1"/>
    <xf numFmtId="0" fontId="23" fillId="0" borderId="1" xfId="0" applyFont="1" applyBorder="1" applyAlignment="1">
      <alignment horizontal="right"/>
    </xf>
    <xf numFmtId="1" fontId="30" fillId="8" borderId="0" xfId="5" applyNumberFormat="1" applyFont="1" applyFill="1" applyAlignment="1">
      <alignment horizontal="right" vertical="center"/>
    </xf>
    <xf numFmtId="164" fontId="0" fillId="0" borderId="0" xfId="0" applyNumberFormat="1" applyAlignment="1">
      <alignment vertical="center"/>
    </xf>
    <xf numFmtId="0" fontId="96" fillId="0" borderId="0" xfId="0" applyFont="1"/>
    <xf numFmtId="5" fontId="52" fillId="0" borderId="0" xfId="0" applyNumberFormat="1" applyFont="1" applyAlignment="1">
      <alignment vertical="center"/>
    </xf>
    <xf numFmtId="3" fontId="24" fillId="0" borderId="0" xfId="0" applyNumberFormat="1" applyFont="1" applyAlignment="1">
      <alignment horizontal="right"/>
    </xf>
    <xf numFmtId="5" fontId="24" fillId="0" borderId="0" xfId="0" applyNumberFormat="1" applyFont="1" applyAlignment="1">
      <alignment horizontal="right"/>
    </xf>
    <xf numFmtId="166" fontId="24" fillId="0" borderId="0" xfId="41" applyNumberFormat="1" applyFont="1" applyAlignment="1">
      <alignment horizontal="right"/>
    </xf>
    <xf numFmtId="164" fontId="24" fillId="0" borderId="0" xfId="41" applyNumberFormat="1" applyFont="1" applyAlignment="1">
      <alignment horizontal="right"/>
    </xf>
    <xf numFmtId="164" fontId="23" fillId="0" borderId="0" xfId="41" applyNumberFormat="1" applyFont="1" applyAlignment="1">
      <alignment horizontal="right"/>
    </xf>
    <xf numFmtId="165" fontId="45" fillId="0" borderId="22" xfId="0" applyNumberFormat="1" applyFont="1" applyBorder="1" applyAlignment="1">
      <alignment horizontal="right" vertical="center"/>
    </xf>
    <xf numFmtId="0" fontId="45" fillId="5" borderId="3" xfId="0" applyFont="1" applyFill="1" applyBorder="1" applyAlignment="1">
      <alignment vertical="center"/>
    </xf>
    <xf numFmtId="164" fontId="45" fillId="5" borderId="4" xfId="0" applyNumberFormat="1" applyFont="1" applyFill="1" applyBorder="1" applyAlignment="1">
      <alignment vertical="center"/>
    </xf>
    <xf numFmtId="1" fontId="45" fillId="5" borderId="4" xfId="0" applyNumberFormat="1" applyFont="1" applyFill="1" applyBorder="1" applyAlignment="1">
      <alignment vertical="center"/>
    </xf>
    <xf numFmtId="9" fontId="45" fillId="5" borderId="4" xfId="0" applyNumberFormat="1" applyFont="1" applyFill="1" applyBorder="1" applyAlignment="1">
      <alignment vertical="center"/>
    </xf>
    <xf numFmtId="10" fontId="45" fillId="5" borderId="5" xfId="0" applyNumberFormat="1" applyFont="1" applyFill="1" applyBorder="1" applyAlignment="1">
      <alignment vertical="center"/>
    </xf>
    <xf numFmtId="0" fontId="45" fillId="5" borderId="6" xfId="0" applyFont="1" applyFill="1" applyBorder="1" applyAlignment="1">
      <alignment vertical="center"/>
    </xf>
    <xf numFmtId="164" fontId="45" fillId="5" borderId="2" xfId="0" applyNumberFormat="1" applyFont="1" applyFill="1" applyBorder="1" applyAlignment="1">
      <alignment vertical="center"/>
    </xf>
    <xf numFmtId="1" fontId="45" fillId="5" borderId="2" xfId="0" applyNumberFormat="1" applyFont="1" applyFill="1" applyBorder="1" applyAlignment="1">
      <alignment vertical="center"/>
    </xf>
    <xf numFmtId="9" fontId="45" fillId="5" borderId="2" xfId="0" applyNumberFormat="1" applyFont="1" applyFill="1" applyBorder="1" applyAlignment="1">
      <alignment vertical="center"/>
    </xf>
    <xf numFmtId="10" fontId="45" fillId="5" borderId="7" xfId="0" applyNumberFormat="1" applyFont="1" applyFill="1" applyBorder="1" applyAlignment="1">
      <alignment vertical="center"/>
    </xf>
    <xf numFmtId="0" fontId="45" fillId="5" borderId="8" xfId="0" applyFont="1" applyFill="1" applyBorder="1" applyAlignment="1">
      <alignment vertical="center"/>
    </xf>
    <xf numFmtId="164" fontId="45" fillId="5" borderId="9" xfId="0" applyNumberFormat="1" applyFont="1" applyFill="1" applyBorder="1" applyAlignment="1">
      <alignment vertical="center"/>
    </xf>
    <xf numFmtId="1" fontId="45" fillId="5" borderId="9" xfId="0" applyNumberFormat="1" applyFont="1" applyFill="1" applyBorder="1" applyAlignment="1">
      <alignment vertical="center"/>
    </xf>
    <xf numFmtId="9" fontId="45" fillId="5" borderId="9" xfId="0" applyNumberFormat="1" applyFont="1" applyFill="1" applyBorder="1" applyAlignment="1">
      <alignment vertical="center"/>
    </xf>
    <xf numFmtId="10" fontId="45" fillId="5" borderId="10" xfId="0" applyNumberFormat="1" applyFont="1" applyFill="1" applyBorder="1" applyAlignment="1">
      <alignment vertical="center"/>
    </xf>
    <xf numFmtId="0" fontId="24" fillId="0" borderId="0" xfId="0" applyFont="1" applyAlignment="1">
      <alignment horizontal="left" vertical="center"/>
    </xf>
    <xf numFmtId="5" fontId="23" fillId="0" borderId="0" xfId="0" applyNumberFormat="1" applyFont="1" applyAlignment="1">
      <alignment horizontal="right" vertical="center"/>
    </xf>
    <xf numFmtId="5" fontId="24" fillId="0" borderId="0" xfId="0" applyNumberFormat="1" applyFont="1" applyAlignment="1">
      <alignment horizontal="right" vertical="center"/>
    </xf>
    <xf numFmtId="169" fontId="120" fillId="0" borderId="0" xfId="0" applyNumberFormat="1" applyFont="1" applyAlignment="1">
      <alignment horizontal="right" vertical="center"/>
    </xf>
    <xf numFmtId="0" fontId="0" fillId="0" borderId="0" xfId="0" applyAlignment="1">
      <alignment horizontal="right" vertical="center"/>
    </xf>
    <xf numFmtId="164" fontId="115" fillId="2" borderId="0" xfId="5" applyNumberFormat="1" applyFont="1" applyFill="1" applyAlignment="1">
      <alignment horizontal="right" vertical="center"/>
    </xf>
    <xf numFmtId="164" fontId="115" fillId="2" borderId="0" xfId="5" applyNumberFormat="1" applyFont="1" applyFill="1" applyAlignment="1">
      <alignment vertical="center"/>
    </xf>
    <xf numFmtId="164" fontId="115" fillId="0" borderId="0" xfId="5" applyNumberFormat="1" applyFont="1" applyAlignment="1">
      <alignment vertical="center"/>
    </xf>
    <xf numFmtId="3" fontId="24" fillId="0" borderId="0" xfId="0" applyNumberFormat="1" applyFont="1" applyAlignment="1">
      <alignment horizontal="right" vertical="center"/>
    </xf>
    <xf numFmtId="0" fontId="21" fillId="0" borderId="0" xfId="0" applyFont="1" applyAlignment="1">
      <alignment vertical="center"/>
    </xf>
    <xf numFmtId="10" fontId="25" fillId="0" borderId="39" xfId="35" applyFont="1" applyBorder="1" applyAlignment="1" applyProtection="1">
      <alignment vertical="center"/>
      <protection locked="0"/>
    </xf>
    <xf numFmtId="4" fontId="25" fillId="0" borderId="26" xfId="33" applyFont="1" applyBorder="1" applyAlignment="1" applyProtection="1">
      <alignment vertical="center"/>
      <protection locked="0"/>
    </xf>
    <xf numFmtId="10" fontId="25" fillId="0" borderId="48" xfId="35" applyFont="1" applyBorder="1" applyAlignment="1" applyProtection="1">
      <alignment vertical="center"/>
      <protection locked="0"/>
    </xf>
    <xf numFmtId="4" fontId="25" fillId="0" borderId="25" xfId="33" applyFont="1" applyBorder="1" applyAlignment="1" applyProtection="1">
      <alignment vertical="center"/>
      <protection locked="0"/>
    </xf>
    <xf numFmtId="10" fontId="25" fillId="0" borderId="55" xfId="35" applyFont="1" applyBorder="1" applyAlignment="1" applyProtection="1">
      <alignment vertical="center"/>
      <protection locked="0"/>
    </xf>
    <xf numFmtId="4" fontId="25" fillId="0" borderId="46" xfId="33" applyFont="1" applyBorder="1" applyAlignment="1" applyProtection="1">
      <alignment vertical="center"/>
      <protection locked="0"/>
    </xf>
    <xf numFmtId="10" fontId="25" fillId="0" borderId="54" xfId="35" applyFont="1" applyBorder="1" applyAlignment="1" applyProtection="1">
      <alignment vertical="center"/>
      <protection locked="0"/>
    </xf>
    <xf numFmtId="4" fontId="25" fillId="0" borderId="52" xfId="33" applyFont="1" applyBorder="1" applyAlignment="1" applyProtection="1">
      <alignment vertical="center"/>
      <protection locked="0"/>
    </xf>
    <xf numFmtId="0" fontId="110" fillId="0" borderId="0" xfId="0" applyFont="1"/>
    <xf numFmtId="0" fontId="110" fillId="0" borderId="0" xfId="0" applyFont="1" applyAlignment="1">
      <alignment vertical="center"/>
    </xf>
    <xf numFmtId="164" fontId="126" fillId="8" borderId="0" xfId="5" applyNumberFormat="1" applyFont="1" applyFill="1"/>
    <xf numFmtId="165" fontId="26" fillId="0" borderId="0" xfId="0" applyNumberFormat="1" applyFont="1" applyAlignment="1">
      <alignment vertical="center"/>
    </xf>
    <xf numFmtId="0" fontId="25" fillId="0" borderId="140" xfId="0" applyFont="1" applyBorder="1" applyAlignment="1">
      <alignment vertical="center"/>
    </xf>
    <xf numFmtId="0" fontId="59" fillId="0" borderId="140" xfId="0" applyFont="1" applyBorder="1" applyAlignment="1">
      <alignment vertical="center"/>
    </xf>
    <xf numFmtId="0" fontId="59" fillId="0" borderId="140" xfId="0" applyFont="1" applyBorder="1"/>
    <xf numFmtId="0" fontId="26" fillId="0" borderId="140" xfId="0" applyFont="1" applyBorder="1" applyAlignment="1">
      <alignment vertical="center"/>
    </xf>
    <xf numFmtId="0" fontId="25" fillId="0" borderId="140" xfId="0" applyFont="1" applyBorder="1" applyAlignment="1">
      <alignment horizontal="right" vertical="center"/>
    </xf>
    <xf numFmtId="0" fontId="25" fillId="2" borderId="140" xfId="0" applyFont="1" applyFill="1" applyBorder="1" applyAlignment="1">
      <alignment vertical="center"/>
    </xf>
    <xf numFmtId="0" fontId="25" fillId="0" borderId="140" xfId="0" applyFont="1" applyBorder="1"/>
    <xf numFmtId="0" fontId="71" fillId="0" borderId="140" xfId="0" applyFont="1" applyBorder="1" applyAlignment="1">
      <alignment vertical="center"/>
    </xf>
    <xf numFmtId="0" fontId="10" fillId="0" borderId="140" xfId="0" applyFont="1" applyBorder="1"/>
    <xf numFmtId="164" fontId="21" fillId="2" borderId="126" xfId="0" applyNumberFormat="1" applyFont="1" applyFill="1" applyBorder="1" applyAlignment="1">
      <alignment vertical="center"/>
    </xf>
    <xf numFmtId="164" fontId="21" fillId="2" borderId="113" xfId="0" applyNumberFormat="1" applyFont="1" applyFill="1" applyBorder="1" applyAlignment="1">
      <alignment vertical="center"/>
    </xf>
    <xf numFmtId="0" fontId="23" fillId="5" borderId="112" xfId="0" applyFont="1" applyFill="1" applyBorder="1" applyAlignment="1">
      <alignment vertical="center"/>
    </xf>
    <xf numFmtId="164" fontId="23" fillId="5" borderId="141" xfId="0" applyNumberFormat="1" applyFont="1" applyFill="1" applyBorder="1" applyAlignment="1">
      <alignment vertical="center"/>
    </xf>
    <xf numFmtId="165" fontId="23" fillId="5" borderId="141" xfId="0" applyNumberFormat="1" applyFont="1" applyFill="1" applyBorder="1" applyAlignment="1">
      <alignment vertical="center"/>
    </xf>
    <xf numFmtId="0" fontId="24" fillId="0" borderId="140" xfId="0" applyFont="1" applyBorder="1" applyAlignment="1">
      <alignment vertical="center"/>
    </xf>
    <xf numFmtId="0" fontId="45" fillId="4" borderId="112" xfId="0" applyFont="1" applyFill="1" applyBorder="1" applyAlignment="1">
      <alignment vertical="center"/>
    </xf>
    <xf numFmtId="164" fontId="45" fillId="4" borderId="141" xfId="0" applyNumberFormat="1" applyFont="1" applyFill="1" applyBorder="1" applyAlignment="1">
      <alignment vertical="center"/>
    </xf>
    <xf numFmtId="165" fontId="45" fillId="4" borderId="141" xfId="0" applyNumberFormat="1" applyFont="1" applyFill="1" applyBorder="1" applyAlignment="1">
      <alignment vertical="center"/>
    </xf>
    <xf numFmtId="164" fontId="45" fillId="4" borderId="150" xfId="0" applyNumberFormat="1" applyFont="1" applyFill="1" applyBorder="1" applyAlignment="1">
      <alignment vertical="center"/>
    </xf>
    <xf numFmtId="9" fontId="45" fillId="4" borderId="63" xfId="0" applyNumberFormat="1" applyFont="1" applyFill="1" applyBorder="1" applyAlignment="1">
      <alignment horizontal="right" vertical="center"/>
    </xf>
    <xf numFmtId="164" fontId="45" fillId="4" borderId="112" xfId="0" applyNumberFormat="1" applyFont="1" applyFill="1" applyBorder="1" applyAlignment="1">
      <alignment vertical="center"/>
    </xf>
    <xf numFmtId="9" fontId="23" fillId="5" borderId="150" xfId="0" applyNumberFormat="1" applyFont="1" applyFill="1" applyBorder="1" applyAlignment="1">
      <alignment vertical="center"/>
    </xf>
    <xf numFmtId="164" fontId="23" fillId="5" borderId="112" xfId="0" applyNumberFormat="1" applyFont="1" applyFill="1" applyBorder="1" applyAlignment="1">
      <alignment horizontal="right" vertical="center"/>
    </xf>
    <xf numFmtId="164" fontId="23" fillId="5" borderId="141" xfId="0" applyNumberFormat="1" applyFont="1" applyFill="1" applyBorder="1" applyAlignment="1">
      <alignment horizontal="right" vertical="center"/>
    </xf>
    <xf numFmtId="164" fontId="23" fillId="5" borderId="150" xfId="0" applyNumberFormat="1" applyFont="1" applyFill="1" applyBorder="1" applyAlignment="1">
      <alignment horizontal="right" vertical="center"/>
    </xf>
    <xf numFmtId="164" fontId="23" fillId="0" borderId="140" xfId="0" applyNumberFormat="1" applyFont="1" applyBorder="1" applyAlignment="1">
      <alignment vertical="center"/>
    </xf>
    <xf numFmtId="0" fontId="61" fillId="8" borderId="0" xfId="5" applyFont="1" applyFill="1" applyAlignment="1">
      <alignment horizontal="left" vertical="center"/>
    </xf>
    <xf numFmtId="165" fontId="21" fillId="0" borderId="0" xfId="0" applyNumberFormat="1" applyFont="1" applyAlignment="1">
      <alignment horizontal="right" vertical="center"/>
    </xf>
    <xf numFmtId="0" fontId="22" fillId="0" borderId="0" xfId="0" applyFont="1" applyAlignment="1">
      <alignment horizontal="right" vertical="center"/>
    </xf>
    <xf numFmtId="5" fontId="26" fillId="0" borderId="0" xfId="0" applyNumberFormat="1" applyFont="1" applyAlignment="1">
      <alignment vertical="center"/>
    </xf>
    <xf numFmtId="165" fontId="22" fillId="0" borderId="0" xfId="31" applyNumberFormat="1" applyFont="1" applyAlignment="1">
      <alignment horizontal="right" vertical="center"/>
    </xf>
    <xf numFmtId="164" fontId="22" fillId="2" borderId="16" xfId="29" applyFont="1" applyBorder="1" applyAlignment="1" applyProtection="1">
      <alignment vertical="center"/>
    </xf>
    <xf numFmtId="165" fontId="22" fillId="0" borderId="25" xfId="31" applyNumberFormat="1" applyFont="1" applyBorder="1" applyAlignment="1">
      <alignment horizontal="right" vertical="center"/>
    </xf>
    <xf numFmtId="165" fontId="89" fillId="0" borderId="25" xfId="31" applyNumberFormat="1" applyFont="1" applyBorder="1" applyAlignment="1">
      <alignment horizontal="right" vertical="center"/>
    </xf>
    <xf numFmtId="164" fontId="22" fillId="2" borderId="0" xfId="29" applyFont="1" applyBorder="1" applyAlignment="1" applyProtection="1">
      <alignment vertical="center"/>
    </xf>
    <xf numFmtId="164" fontId="22" fillId="0" borderId="0" xfId="31" applyNumberFormat="1" applyFont="1" applyAlignment="1">
      <alignment vertical="center"/>
    </xf>
    <xf numFmtId="10" fontId="30" fillId="0" borderId="0" xfId="5" applyNumberFormat="1" applyFont="1" applyAlignment="1">
      <alignment horizontal="right" vertical="center"/>
    </xf>
    <xf numFmtId="164" fontId="24" fillId="0" borderId="0" xfId="0" applyNumberFormat="1" applyFont="1" applyAlignment="1">
      <alignment horizontal="right" vertical="center"/>
    </xf>
    <xf numFmtId="165" fontId="24" fillId="0" borderId="0" xfId="0" applyNumberFormat="1" applyFont="1"/>
    <xf numFmtId="0" fontId="22" fillId="0" borderId="1" xfId="0" applyFont="1" applyBorder="1" applyAlignment="1">
      <alignment horizontal="right" vertical="center"/>
    </xf>
    <xf numFmtId="37" fontId="26" fillId="0" borderId="0" xfId="41" applyNumberFormat="1" applyFont="1" applyAlignment="1">
      <alignment vertical="center"/>
    </xf>
    <xf numFmtId="167" fontId="26" fillId="0" borderId="0" xfId="0" applyNumberFormat="1" applyFont="1" applyAlignment="1">
      <alignment vertical="center"/>
    </xf>
    <xf numFmtId="165" fontId="22" fillId="0" borderId="22" xfId="0" applyNumberFormat="1" applyFont="1" applyBorder="1" applyAlignment="1">
      <alignment horizontal="right" vertical="center"/>
    </xf>
    <xf numFmtId="165" fontId="22" fillId="0" borderId="1" xfId="0" applyNumberFormat="1" applyFont="1" applyBorder="1" applyAlignment="1">
      <alignment vertical="center"/>
    </xf>
    <xf numFmtId="0" fontId="2" fillId="0" borderId="0" xfId="31" applyFont="1" applyAlignment="1" applyProtection="1">
      <alignment vertical="center"/>
      <protection locked="0"/>
    </xf>
    <xf numFmtId="164" fontId="93" fillId="8" borderId="0" xfId="5" applyNumberFormat="1" applyFont="1" applyFill="1" applyAlignment="1">
      <alignment horizontal="right" vertical="center"/>
    </xf>
    <xf numFmtId="165" fontId="110" fillId="0" borderId="49" xfId="0" applyNumberFormat="1" applyFont="1" applyBorder="1" applyAlignment="1">
      <alignment horizontal="right" vertical="center"/>
    </xf>
    <xf numFmtId="5" fontId="24" fillId="0" borderId="0" xfId="0" applyNumberFormat="1" applyFont="1"/>
    <xf numFmtId="165" fontId="91" fillId="0" borderId="25" xfId="31" applyNumberFormat="1" applyFont="1" applyBorder="1" applyAlignment="1">
      <alignment horizontal="right" vertical="center"/>
    </xf>
    <xf numFmtId="165" fontId="92" fillId="0" borderId="25" xfId="31" applyNumberFormat="1" applyFont="1" applyBorder="1" applyAlignment="1">
      <alignment horizontal="right" vertical="center"/>
    </xf>
    <xf numFmtId="5" fontId="36" fillId="0" borderId="0" xfId="5" applyNumberFormat="1" applyFont="1" applyAlignment="1">
      <alignment horizontal="right" vertical="center"/>
    </xf>
    <xf numFmtId="0" fontId="22" fillId="0" borderId="0" xfId="0" applyFont="1"/>
    <xf numFmtId="5" fontId="37" fillId="0" borderId="0" xfId="5" applyNumberFormat="1" applyFont="1" applyAlignment="1">
      <alignment horizontal="right" vertical="center"/>
    </xf>
    <xf numFmtId="0" fontId="107" fillId="0" borderId="0" xfId="0" quotePrefix="1" applyFont="1" applyAlignment="1">
      <alignment horizontal="right"/>
    </xf>
    <xf numFmtId="0" fontId="107" fillId="0" borderId="0" xfId="0" applyFont="1"/>
    <xf numFmtId="5" fontId="36" fillId="0" borderId="0" xfId="5" applyNumberFormat="1" applyFont="1" applyAlignment="1">
      <alignment vertical="center"/>
    </xf>
    <xf numFmtId="5" fontId="37" fillId="0" borderId="0" xfId="5" applyNumberFormat="1" applyFont="1" applyAlignment="1">
      <alignment vertical="center"/>
    </xf>
    <xf numFmtId="5" fontId="37" fillId="17" borderId="0" xfId="5" applyNumberFormat="1" applyFont="1" applyFill="1" applyAlignment="1">
      <alignment vertical="center"/>
    </xf>
    <xf numFmtId="5" fontId="66" fillId="17" borderId="0" xfId="5" applyNumberFormat="1" applyFont="1" applyFill="1" applyAlignment="1">
      <alignment vertical="center"/>
    </xf>
    <xf numFmtId="0" fontId="108" fillId="0" borderId="0" xfId="0" applyFont="1"/>
    <xf numFmtId="5" fontId="36" fillId="0" borderId="11" xfId="5" applyNumberFormat="1" applyFont="1" applyBorder="1" applyAlignment="1">
      <alignment vertical="center"/>
    </xf>
    <xf numFmtId="5" fontId="37" fillId="17" borderId="1" xfId="5" applyNumberFormat="1" applyFont="1" applyFill="1" applyBorder="1" applyAlignment="1">
      <alignment vertical="center"/>
    </xf>
    <xf numFmtId="5" fontId="36" fillId="0" borderId="36" xfId="5" applyNumberFormat="1" applyFont="1" applyBorder="1" applyAlignment="1">
      <alignment vertical="center"/>
    </xf>
    <xf numFmtId="169" fontId="98" fillId="0" borderId="0" xfId="0" applyNumberFormat="1" applyFont="1" applyAlignment="1">
      <alignment horizontal="right" vertical="center"/>
    </xf>
    <xf numFmtId="0" fontId="99" fillId="0" borderId="0" xfId="0" applyFont="1" applyAlignment="1">
      <alignment vertical="center"/>
    </xf>
    <xf numFmtId="0" fontId="90" fillId="0" borderId="0" xfId="0" applyFont="1" applyAlignment="1">
      <alignment horizontal="left" vertical="center"/>
    </xf>
    <xf numFmtId="169" fontId="105" fillId="0" borderId="0" xfId="0" applyNumberFormat="1" applyFont="1" applyAlignment="1">
      <alignment horizontal="right" vertical="center"/>
    </xf>
    <xf numFmtId="0" fontId="37" fillId="0" borderId="0" xfId="5" applyFont="1" applyAlignment="1">
      <alignment vertical="center"/>
    </xf>
    <xf numFmtId="0" fontId="36" fillId="0" borderId="0" xfId="5" applyFont="1" applyAlignment="1">
      <alignment horizontal="right" vertical="center"/>
    </xf>
    <xf numFmtId="0" fontId="25" fillId="0" borderId="0" xfId="31" applyFont="1"/>
    <xf numFmtId="0" fontId="37" fillId="0" borderId="0" xfId="5" applyFont="1" applyAlignment="1">
      <alignment horizontal="right"/>
    </xf>
    <xf numFmtId="0" fontId="21" fillId="0" borderId="0" xfId="31" applyFont="1" applyAlignment="1">
      <alignment horizontal="right"/>
    </xf>
    <xf numFmtId="0" fontId="25" fillId="0" borderId="0" xfId="31" applyFont="1" applyAlignment="1">
      <alignment vertical="center"/>
    </xf>
    <xf numFmtId="164" fontId="37" fillId="0" borderId="0" xfId="5" applyNumberFormat="1" applyFont="1" applyAlignment="1">
      <alignment vertical="center"/>
    </xf>
    <xf numFmtId="164" fontId="36" fillId="0" borderId="0" xfId="5" applyNumberFormat="1" applyFont="1" applyAlignment="1">
      <alignment vertical="center"/>
    </xf>
    <xf numFmtId="0" fontId="21" fillId="0" borderId="0" xfId="31" applyFont="1" applyAlignment="1">
      <alignment horizontal="right" vertical="center"/>
    </xf>
    <xf numFmtId="0" fontId="21" fillId="6" borderId="24" xfId="31" applyFont="1" applyFill="1" applyBorder="1" applyAlignment="1">
      <alignment horizontal="centerContinuous" vertical="center"/>
    </xf>
    <xf numFmtId="0" fontId="25" fillId="6" borderId="21" xfId="31" applyFont="1" applyFill="1" applyBorder="1" applyAlignment="1">
      <alignment horizontal="centerContinuous" vertical="center"/>
    </xf>
    <xf numFmtId="0" fontId="21" fillId="6" borderId="37" xfId="31" applyFont="1" applyFill="1" applyBorder="1" applyAlignment="1">
      <alignment horizontal="right" vertical="center"/>
    </xf>
    <xf numFmtId="0" fontId="21" fillId="6" borderId="19" xfId="31" applyFont="1" applyFill="1" applyBorder="1" applyAlignment="1">
      <alignment horizontal="right" vertical="center"/>
    </xf>
    <xf numFmtId="0" fontId="36" fillId="0" borderId="22" xfId="5" applyFont="1" applyBorder="1" applyAlignment="1">
      <alignment horizontal="right" vertical="center"/>
    </xf>
    <xf numFmtId="165" fontId="27" fillId="0" borderId="25" xfId="31" applyNumberFormat="1" applyFont="1" applyBorder="1" applyAlignment="1">
      <alignment horizontal="right" vertical="center"/>
    </xf>
    <xf numFmtId="0" fontId="90" fillId="6" borderId="50" xfId="31" applyFont="1" applyFill="1" applyBorder="1" applyAlignment="1">
      <alignment horizontal="centerContinuous" vertical="center"/>
    </xf>
    <xf numFmtId="0" fontId="21" fillId="6" borderId="51" xfId="31" applyFont="1" applyFill="1" applyBorder="1" applyAlignment="1">
      <alignment horizontal="centerContinuous" vertical="center"/>
    </xf>
    <xf numFmtId="3" fontId="37" fillId="0" borderId="23" xfId="5" applyNumberFormat="1" applyFont="1" applyBorder="1" applyAlignment="1">
      <alignment vertical="center"/>
    </xf>
    <xf numFmtId="1" fontId="37" fillId="0" borderId="23" xfId="5" applyNumberFormat="1" applyFont="1" applyBorder="1" applyAlignment="1">
      <alignment vertical="center"/>
    </xf>
    <xf numFmtId="1" fontId="37" fillId="0" borderId="56" xfId="5" applyNumberFormat="1" applyFont="1" applyBorder="1" applyAlignment="1">
      <alignment vertical="center"/>
    </xf>
    <xf numFmtId="6" fontId="37" fillId="0" borderId="23" xfId="5" applyNumberFormat="1" applyFont="1" applyBorder="1" applyAlignment="1">
      <alignment vertical="center"/>
    </xf>
    <xf numFmtId="6" fontId="37" fillId="0" borderId="26" xfId="5" applyNumberFormat="1" applyFont="1" applyBorder="1" applyAlignment="1">
      <alignment vertical="center"/>
    </xf>
    <xf numFmtId="3" fontId="37" fillId="2" borderId="48" xfId="5" applyNumberFormat="1" applyFont="1" applyFill="1" applyBorder="1" applyAlignment="1">
      <alignment vertical="center"/>
    </xf>
    <xf numFmtId="3" fontId="37" fillId="0" borderId="0" xfId="5" applyNumberFormat="1" applyFont="1" applyAlignment="1">
      <alignment vertical="center"/>
    </xf>
    <xf numFmtId="1" fontId="37" fillId="0" borderId="0" xfId="5" applyNumberFormat="1" applyFont="1" applyAlignment="1">
      <alignment vertical="center"/>
    </xf>
    <xf numFmtId="1" fontId="37" fillId="0" borderId="49" xfId="5" applyNumberFormat="1" applyFont="1" applyBorder="1" applyAlignment="1">
      <alignment vertical="center"/>
    </xf>
    <xf numFmtId="6" fontId="37" fillId="0" borderId="0" xfId="5" applyNumberFormat="1" applyFont="1" applyAlignment="1">
      <alignment vertical="center"/>
    </xf>
    <xf numFmtId="6" fontId="37" fillId="0" borderId="25" xfId="5" applyNumberFormat="1" applyFont="1" applyBorder="1" applyAlignment="1">
      <alignment vertical="center"/>
    </xf>
    <xf numFmtId="3" fontId="37" fillId="0" borderId="49" xfId="5" applyNumberFormat="1" applyFont="1" applyBorder="1" applyAlignment="1">
      <alignment vertical="center"/>
    </xf>
    <xf numFmtId="3" fontId="37" fillId="2" borderId="55" xfId="5" applyNumberFormat="1" applyFont="1" applyFill="1" applyBorder="1" applyAlignment="1">
      <alignment vertical="center"/>
    </xf>
    <xf numFmtId="3" fontId="37" fillId="0" borderId="1" xfId="5" applyNumberFormat="1" applyFont="1" applyBorder="1" applyAlignment="1">
      <alignment vertical="center"/>
    </xf>
    <xf numFmtId="3" fontId="37" fillId="0" borderId="53" xfId="5" applyNumberFormat="1" applyFont="1" applyBorder="1" applyAlignment="1">
      <alignment vertical="center"/>
    </xf>
    <xf numFmtId="6" fontId="37" fillId="0" borderId="1" xfId="5" applyNumberFormat="1" applyFont="1" applyBorder="1" applyAlignment="1">
      <alignment vertical="center"/>
    </xf>
    <xf numFmtId="6" fontId="37" fillId="0" borderId="46" xfId="5" applyNumberFormat="1" applyFont="1" applyBorder="1" applyAlignment="1">
      <alignment vertical="center"/>
    </xf>
    <xf numFmtId="3" fontId="37" fillId="2" borderId="54" xfId="5" applyNumberFormat="1" applyFont="1" applyFill="1" applyBorder="1" applyAlignment="1">
      <alignment vertical="center"/>
    </xf>
    <xf numFmtId="3" fontId="37" fillId="0" borderId="22" xfId="5" applyNumberFormat="1" applyFont="1" applyBorder="1" applyAlignment="1">
      <alignment vertical="center"/>
    </xf>
    <xf numFmtId="3" fontId="37" fillId="0" borderId="57" xfId="5" applyNumberFormat="1" applyFont="1" applyBorder="1" applyAlignment="1">
      <alignment vertical="center"/>
    </xf>
    <xf numFmtId="6" fontId="37" fillId="0" borderId="22" xfId="5" applyNumberFormat="1" applyFont="1" applyBorder="1" applyAlignment="1">
      <alignment vertical="center"/>
    </xf>
    <xf numFmtId="6" fontId="37" fillId="0" borderId="52" xfId="5" applyNumberFormat="1" applyFont="1" applyBorder="1" applyAlignment="1">
      <alignment vertical="center"/>
    </xf>
    <xf numFmtId="0" fontId="21" fillId="0" borderId="0" xfId="31" applyFont="1" applyAlignment="1">
      <alignment vertical="center"/>
    </xf>
    <xf numFmtId="3" fontId="36" fillId="0" borderId="0" xfId="5" applyNumberFormat="1" applyFont="1" applyAlignment="1">
      <alignment vertical="center"/>
    </xf>
    <xf numFmtId="6" fontId="36" fillId="0" borderId="0" xfId="5" applyNumberFormat="1" applyFont="1" applyAlignment="1">
      <alignment vertical="center"/>
    </xf>
    <xf numFmtId="0" fontId="21" fillId="0" borderId="0" xfId="0" applyFont="1" applyAlignment="1">
      <alignment horizontal="center"/>
    </xf>
    <xf numFmtId="0" fontId="125" fillId="0" borderId="0" xfId="0" applyFont="1" applyAlignment="1">
      <alignment vertical="center"/>
    </xf>
    <xf numFmtId="0" fontId="103" fillId="0" borderId="0" xfId="31" applyFont="1" applyAlignment="1">
      <alignment horizontal="right" vertical="center"/>
    </xf>
    <xf numFmtId="0" fontId="23" fillId="2" borderId="0" xfId="3" applyFont="1" applyFill="1" applyAlignment="1">
      <alignment horizontal="right"/>
    </xf>
    <xf numFmtId="0" fontId="25" fillId="0" borderId="0" xfId="0" quotePrefix="1" applyFont="1" applyAlignment="1">
      <alignment horizontal="right" vertical="center"/>
    </xf>
    <xf numFmtId="0" fontId="104" fillId="0" borderId="0" xfId="0" applyFont="1" applyAlignment="1">
      <alignment vertical="center"/>
    </xf>
    <xf numFmtId="0" fontId="10" fillId="0" borderId="140" xfId="0" applyFont="1" applyBorder="1" applyAlignment="1">
      <alignment vertical="center"/>
    </xf>
    <xf numFmtId="164" fontId="26" fillId="0" borderId="140" xfId="0" applyNumberFormat="1" applyFont="1" applyBorder="1" applyAlignment="1">
      <alignment vertical="center"/>
    </xf>
    <xf numFmtId="0" fontId="52" fillId="0" borderId="0" xfId="9" applyFont="1" applyAlignment="1">
      <alignment vertical="center"/>
    </xf>
    <xf numFmtId="0" fontId="16" fillId="0" borderId="0" xfId="0" applyFont="1"/>
    <xf numFmtId="0" fontId="71" fillId="2" borderId="0" xfId="0" applyFont="1" applyFill="1" applyAlignment="1">
      <alignment vertical="center"/>
    </xf>
    <xf numFmtId="0" fontId="23" fillId="0" borderId="0" xfId="0" applyFont="1" applyAlignment="1">
      <alignment horizontal="center"/>
    </xf>
    <xf numFmtId="0" fontId="21" fillId="3" borderId="17" xfId="27" applyFont="1" applyFill="1" applyBorder="1" applyAlignment="1">
      <alignment horizontal="right" vertical="center" wrapText="1"/>
      <protection locked="0"/>
    </xf>
    <xf numFmtId="167" fontId="21" fillId="3" borderId="47" xfId="25" applyFont="1" applyFill="1" applyBorder="1" applyAlignment="1">
      <alignment vertical="center"/>
      <protection locked="0"/>
    </xf>
    <xf numFmtId="167" fontId="21" fillId="3" borderId="16" xfId="25" applyFont="1" applyFill="1" applyBorder="1" applyAlignment="1">
      <alignment vertical="center"/>
      <protection locked="0"/>
    </xf>
    <xf numFmtId="167" fontId="21" fillId="3" borderId="65" xfId="25" applyFont="1" applyFill="1" applyBorder="1" applyAlignment="1">
      <alignment vertical="center"/>
      <protection locked="0"/>
    </xf>
    <xf numFmtId="167" fontId="21" fillId="3" borderId="64" xfId="25" applyFont="1" applyFill="1" applyBorder="1" applyAlignment="1">
      <alignment vertical="center"/>
      <protection locked="0"/>
    </xf>
    <xf numFmtId="167" fontId="21" fillId="3" borderId="15" xfId="25" applyFont="1" applyFill="1" applyBorder="1" applyAlignment="1">
      <alignment vertical="center"/>
      <protection locked="0"/>
    </xf>
    <xf numFmtId="10" fontId="21" fillId="3" borderId="62" xfId="4" applyFont="1" applyFill="1" applyBorder="1" applyAlignment="1">
      <alignment vertical="center"/>
      <protection locked="0"/>
    </xf>
    <xf numFmtId="10" fontId="21" fillId="3" borderId="15" xfId="4" applyFont="1" applyFill="1" applyBorder="1" applyAlignment="1">
      <alignment vertical="center"/>
      <protection locked="0"/>
    </xf>
    <xf numFmtId="10" fontId="21" fillId="3" borderId="65" xfId="4" applyFont="1" applyFill="1" applyBorder="1" applyAlignment="1">
      <alignment vertical="center"/>
      <protection locked="0"/>
    </xf>
    <xf numFmtId="3" fontId="21" fillId="3" borderId="47" xfId="26" applyFont="1" applyFill="1" applyBorder="1" applyAlignment="1">
      <alignment vertical="center"/>
      <protection locked="0"/>
    </xf>
    <xf numFmtId="3" fontId="21" fillId="3" borderId="65" xfId="26" applyFont="1" applyFill="1" applyBorder="1" applyAlignment="1">
      <alignment vertical="center"/>
      <protection locked="0"/>
    </xf>
    <xf numFmtId="3" fontId="21" fillId="3" borderId="27" xfId="26" applyFont="1" applyFill="1" applyBorder="1" applyAlignment="1">
      <alignment vertical="center"/>
      <protection locked="0"/>
    </xf>
    <xf numFmtId="165" fontId="21" fillId="3" borderId="16" xfId="27" applyNumberFormat="1" applyFont="1" applyFill="1" applyBorder="1" applyAlignment="1">
      <alignment horizontal="right" vertical="center"/>
      <protection locked="0"/>
    </xf>
    <xf numFmtId="3" fontId="21" fillId="3" borderId="16" xfId="27" applyNumberFormat="1" applyFont="1" applyFill="1" applyBorder="1" applyAlignment="1">
      <alignment horizontal="right" vertical="center"/>
      <protection locked="0"/>
    </xf>
    <xf numFmtId="165" fontId="21" fillId="3" borderId="15" xfId="28" applyNumberFormat="1" applyFont="1" applyFill="1" applyBorder="1" applyAlignment="1">
      <alignment vertical="center"/>
      <protection locked="0"/>
    </xf>
    <xf numFmtId="3" fontId="21" fillId="3" borderId="15" xfId="28" applyNumberFormat="1" applyFont="1" applyFill="1" applyBorder="1" applyAlignment="1">
      <alignment vertical="center"/>
      <protection locked="0"/>
    </xf>
    <xf numFmtId="3" fontId="21" fillId="3" borderId="65" xfId="28" applyNumberFormat="1" applyFont="1" applyFill="1" applyBorder="1" applyAlignment="1">
      <alignment vertical="center"/>
      <protection locked="0"/>
    </xf>
    <xf numFmtId="0" fontId="21" fillId="3" borderId="45" xfId="27" applyFont="1" applyFill="1" applyBorder="1" applyAlignment="1">
      <alignment horizontal="right" vertical="center"/>
      <protection locked="0"/>
    </xf>
    <xf numFmtId="0" fontId="21" fillId="3" borderId="47" xfId="4" applyNumberFormat="1" applyFont="1" applyFill="1" applyBorder="1" applyAlignment="1">
      <alignment horizontal="right" vertical="center"/>
      <protection locked="0"/>
    </xf>
    <xf numFmtId="0" fontId="21" fillId="3" borderId="73" xfId="0" applyFont="1" applyFill="1" applyBorder="1" applyAlignment="1" applyProtection="1">
      <alignment horizontal="right" vertical="center"/>
      <protection locked="0"/>
    </xf>
    <xf numFmtId="164" fontId="21" fillId="3" borderId="117" xfId="0" applyNumberFormat="1" applyFont="1" applyFill="1" applyBorder="1" applyAlignment="1" applyProtection="1">
      <alignment vertical="center"/>
      <protection locked="0"/>
    </xf>
    <xf numFmtId="164" fontId="21" fillId="3" borderId="123" xfId="0" applyNumberFormat="1" applyFont="1" applyFill="1" applyBorder="1" applyAlignment="1" applyProtection="1">
      <alignment vertical="center"/>
      <protection locked="0"/>
    </xf>
    <xf numFmtId="164" fontId="21" fillId="3" borderId="135" xfId="0" applyNumberFormat="1" applyFont="1" applyFill="1" applyBorder="1" applyAlignment="1" applyProtection="1">
      <alignment vertical="center"/>
      <protection locked="0"/>
    </xf>
    <xf numFmtId="165" fontId="21" fillId="3" borderId="136" xfId="0" applyNumberFormat="1" applyFont="1" applyFill="1" applyBorder="1" applyAlignment="1" applyProtection="1">
      <alignment vertical="center"/>
      <protection locked="0"/>
    </xf>
    <xf numFmtId="1" fontId="22" fillId="3" borderId="68" xfId="0" applyNumberFormat="1" applyFont="1" applyFill="1" applyBorder="1" applyAlignment="1" applyProtection="1">
      <alignment vertical="center"/>
      <protection locked="0"/>
    </xf>
    <xf numFmtId="9" fontId="21" fillId="3" borderId="119" xfId="0" applyNumberFormat="1" applyFont="1" applyFill="1" applyBorder="1" applyAlignment="1" applyProtection="1">
      <alignment vertical="center"/>
      <protection locked="0"/>
    </xf>
    <xf numFmtId="1" fontId="21" fillId="3" borderId="135" xfId="0" applyNumberFormat="1" applyFont="1" applyFill="1" applyBorder="1" applyAlignment="1" applyProtection="1">
      <alignment vertical="center"/>
      <protection locked="0"/>
    </xf>
    <xf numFmtId="1" fontId="22" fillId="3" borderId="67" xfId="0" applyNumberFormat="1" applyFont="1" applyFill="1" applyBorder="1" applyAlignment="1" applyProtection="1">
      <alignment vertical="center"/>
      <protection locked="0"/>
    </xf>
    <xf numFmtId="9" fontId="21" fillId="3" borderId="125" xfId="0" applyNumberFormat="1" applyFont="1" applyFill="1" applyBorder="1" applyAlignment="1" applyProtection="1">
      <alignment vertical="center"/>
      <protection locked="0"/>
    </xf>
    <xf numFmtId="9" fontId="21" fillId="3" borderId="126" xfId="0" applyNumberFormat="1" applyFont="1" applyFill="1" applyBorder="1" applyAlignment="1" applyProtection="1">
      <alignment horizontal="right" vertical="center"/>
      <protection locked="0"/>
    </xf>
    <xf numFmtId="9" fontId="21" fillId="3" borderId="113" xfId="0" applyNumberFormat="1" applyFont="1" applyFill="1" applyBorder="1" applyAlignment="1" applyProtection="1">
      <alignment horizontal="right" vertical="center"/>
      <protection locked="0"/>
    </xf>
    <xf numFmtId="164" fontId="21" fillId="3" borderId="128" xfId="0" applyNumberFormat="1" applyFont="1" applyFill="1" applyBorder="1" applyAlignment="1" applyProtection="1">
      <alignment vertical="center"/>
      <protection locked="0"/>
    </xf>
    <xf numFmtId="164" fontId="21" fillId="3" borderId="118" xfId="0" applyNumberFormat="1" applyFont="1" applyFill="1" applyBorder="1" applyAlignment="1" applyProtection="1">
      <alignment vertical="center"/>
      <protection locked="0"/>
    </xf>
    <xf numFmtId="164" fontId="21" fillId="3" borderId="119" xfId="0" applyNumberFormat="1" applyFont="1" applyFill="1" applyBorder="1" applyAlignment="1" applyProtection="1">
      <alignment vertical="center"/>
      <protection locked="0"/>
    </xf>
    <xf numFmtId="164" fontId="21" fillId="3" borderId="129" xfId="0" applyNumberFormat="1" applyFont="1" applyFill="1" applyBorder="1" applyAlignment="1" applyProtection="1">
      <alignment vertical="center"/>
      <protection locked="0"/>
    </xf>
    <xf numFmtId="164" fontId="21" fillId="3" borderId="124" xfId="0" applyNumberFormat="1" applyFont="1" applyFill="1" applyBorder="1" applyAlignment="1" applyProtection="1">
      <alignment vertical="center"/>
      <protection locked="0"/>
    </xf>
    <xf numFmtId="164" fontId="21" fillId="3" borderId="125" xfId="0" applyNumberFormat="1" applyFont="1" applyFill="1" applyBorder="1" applyAlignment="1" applyProtection="1">
      <alignment vertical="center"/>
      <protection locked="0"/>
    </xf>
    <xf numFmtId="164" fontId="21" fillId="3" borderId="139" xfId="0" applyNumberFormat="1" applyFont="1" applyFill="1" applyBorder="1" applyAlignment="1" applyProtection="1">
      <alignment vertical="center"/>
      <protection locked="0"/>
    </xf>
    <xf numFmtId="164" fontId="21" fillId="3" borderId="136" xfId="0" applyNumberFormat="1" applyFont="1" applyFill="1" applyBorder="1" applyAlignment="1" applyProtection="1">
      <alignment vertical="center"/>
      <protection locked="0"/>
    </xf>
    <xf numFmtId="164" fontId="21" fillId="3" borderId="138" xfId="0" applyNumberFormat="1" applyFont="1" applyFill="1" applyBorder="1" applyAlignment="1" applyProtection="1">
      <alignment vertical="center"/>
      <protection locked="0"/>
    </xf>
    <xf numFmtId="0" fontId="21" fillId="3" borderId="119" xfId="0" applyFont="1" applyFill="1" applyBorder="1" applyAlignment="1" applyProtection="1">
      <alignment vertical="center"/>
      <protection locked="0"/>
    </xf>
    <xf numFmtId="0" fontId="21" fillId="3" borderId="138" xfId="0" applyFont="1" applyFill="1" applyBorder="1" applyAlignment="1" applyProtection="1">
      <alignment vertical="center"/>
      <protection locked="0"/>
    </xf>
    <xf numFmtId="0" fontId="61" fillId="12" borderId="5" xfId="5" applyFont="1" applyFill="1" applyBorder="1" applyAlignment="1" applyProtection="1">
      <alignment horizontal="right" vertical="center"/>
      <protection locked="0"/>
    </xf>
    <xf numFmtId="0" fontId="61" fillId="12" borderId="7" xfId="5" applyFont="1" applyFill="1" applyBorder="1" applyAlignment="1" applyProtection="1">
      <alignment horizontal="right" vertical="center"/>
      <protection locked="0"/>
    </xf>
    <xf numFmtId="0" fontId="61" fillId="12" borderId="10" xfId="5" applyFont="1" applyFill="1" applyBorder="1" applyAlignment="1" applyProtection="1">
      <alignment horizontal="right" vertical="center"/>
      <protection locked="0"/>
    </xf>
    <xf numFmtId="164" fontId="21" fillId="3" borderId="145" xfId="0" applyNumberFormat="1" applyFont="1" applyFill="1" applyBorder="1" applyAlignment="1" applyProtection="1">
      <alignment vertical="center"/>
      <protection locked="0"/>
    </xf>
    <xf numFmtId="165" fontId="21" fillId="3" borderId="143" xfId="0" applyNumberFormat="1" applyFont="1" applyFill="1" applyBorder="1" applyAlignment="1" applyProtection="1">
      <alignment horizontal="right" vertical="center"/>
      <protection locked="0"/>
    </xf>
    <xf numFmtId="10" fontId="21" fillId="3" borderId="144" xfId="0" applyNumberFormat="1" applyFont="1" applyFill="1" applyBorder="1" applyAlignment="1" applyProtection="1">
      <alignment horizontal="right" vertical="center"/>
      <protection locked="0"/>
    </xf>
    <xf numFmtId="165" fontId="21" fillId="3" borderId="136" xfId="0" applyNumberFormat="1" applyFont="1" applyFill="1" applyBorder="1" applyAlignment="1" applyProtection="1">
      <alignment horizontal="right" vertical="center"/>
      <protection locked="0"/>
    </xf>
    <xf numFmtId="10" fontId="21" fillId="3" borderId="147" xfId="0" applyNumberFormat="1" applyFont="1" applyFill="1" applyBorder="1" applyAlignment="1" applyProtection="1">
      <alignment horizontal="right" vertical="center"/>
      <protection locked="0"/>
    </xf>
    <xf numFmtId="165" fontId="21" fillId="3" borderId="118" xfId="0" applyNumberFormat="1" applyFont="1" applyFill="1" applyBorder="1" applyAlignment="1" applyProtection="1">
      <alignment horizontal="right" vertical="center"/>
      <protection locked="0"/>
    </xf>
    <xf numFmtId="10" fontId="21" fillId="3" borderId="118" xfId="0" applyNumberFormat="1" applyFont="1" applyFill="1" applyBorder="1" applyAlignment="1" applyProtection="1">
      <alignment horizontal="right" vertical="center"/>
      <protection locked="0"/>
    </xf>
    <xf numFmtId="10" fontId="21" fillId="3" borderId="116" xfId="0" applyNumberFormat="1" applyFont="1" applyFill="1" applyBorder="1" applyAlignment="1" applyProtection="1">
      <alignment vertical="center"/>
      <protection locked="0"/>
    </xf>
    <xf numFmtId="165" fontId="21" fillId="3" borderId="124" xfId="0" applyNumberFormat="1" applyFont="1" applyFill="1" applyBorder="1" applyAlignment="1" applyProtection="1">
      <alignment horizontal="right" vertical="center"/>
      <protection locked="0"/>
    </xf>
    <xf numFmtId="10" fontId="21" fillId="3" borderId="124" xfId="0" applyNumberFormat="1" applyFont="1" applyFill="1" applyBorder="1" applyAlignment="1" applyProtection="1">
      <alignment horizontal="right" vertical="center"/>
      <protection locked="0"/>
    </xf>
    <xf numFmtId="10" fontId="21" fillId="3" borderId="122" xfId="0" applyNumberFormat="1" applyFont="1" applyFill="1" applyBorder="1" applyAlignment="1" applyProtection="1">
      <alignment vertical="center"/>
      <protection locked="0"/>
    </xf>
    <xf numFmtId="164" fontId="21" fillId="3" borderId="130" xfId="0" applyNumberFormat="1" applyFont="1" applyFill="1" applyBorder="1" applyAlignment="1" applyProtection="1">
      <alignment vertical="center"/>
      <protection locked="0"/>
    </xf>
    <xf numFmtId="165" fontId="21" fillId="3" borderId="127" xfId="0" applyNumberFormat="1" applyFont="1" applyFill="1" applyBorder="1" applyAlignment="1" applyProtection="1">
      <alignment horizontal="right" vertical="center"/>
      <protection locked="0"/>
    </xf>
    <xf numFmtId="10" fontId="21" fillId="3" borderId="127" xfId="0" applyNumberFormat="1" applyFont="1" applyFill="1" applyBorder="1" applyAlignment="1" applyProtection="1">
      <alignment horizontal="right" vertical="center"/>
      <protection locked="0"/>
    </xf>
    <xf numFmtId="164" fontId="21" fillId="3" borderId="127" xfId="0" applyNumberFormat="1" applyFont="1" applyFill="1" applyBorder="1" applyAlignment="1" applyProtection="1">
      <alignment vertical="center"/>
      <protection locked="0"/>
    </xf>
    <xf numFmtId="10" fontId="21" fillId="3" borderId="149" xfId="0" applyNumberFormat="1" applyFont="1" applyFill="1" applyBorder="1" applyAlignment="1" applyProtection="1">
      <alignment vertical="center"/>
      <protection locked="0"/>
    </xf>
    <xf numFmtId="0" fontId="21" fillId="4" borderId="67" xfId="0" applyFont="1" applyFill="1" applyBorder="1" applyAlignment="1" applyProtection="1">
      <alignment horizontal="right" vertical="center"/>
      <protection locked="0"/>
    </xf>
    <xf numFmtId="0" fontId="21" fillId="4" borderId="70" xfId="0" applyFont="1" applyFill="1" applyBorder="1" applyAlignment="1" applyProtection="1">
      <alignment horizontal="right" vertical="center"/>
      <protection locked="0"/>
    </xf>
    <xf numFmtId="164" fontId="36" fillId="12" borderId="110" xfId="5" applyNumberFormat="1" applyFont="1" applyFill="1" applyBorder="1" applyAlignment="1" applyProtection="1">
      <alignment vertical="center"/>
      <protection locked="0"/>
    </xf>
    <xf numFmtId="164" fontId="36" fillId="12" borderId="111" xfId="5" applyNumberFormat="1" applyFont="1" applyFill="1" applyBorder="1" applyAlignment="1" applyProtection="1">
      <alignment vertical="center"/>
      <protection locked="0"/>
    </xf>
    <xf numFmtId="3" fontId="36" fillId="12" borderId="71" xfId="5" applyNumberFormat="1" applyFont="1" applyFill="1" applyBorder="1" applyAlignment="1" applyProtection="1">
      <alignment vertical="center"/>
      <protection locked="0"/>
    </xf>
    <xf numFmtId="3" fontId="36" fillId="12" borderId="66" xfId="5" applyNumberFormat="1" applyFont="1" applyFill="1" applyBorder="1" applyAlignment="1" applyProtection="1">
      <alignment vertical="center"/>
      <protection locked="0"/>
    </xf>
    <xf numFmtId="10" fontId="36" fillId="12" borderId="72" xfId="5" applyNumberFormat="1" applyFont="1" applyFill="1" applyBorder="1" applyAlignment="1" applyProtection="1">
      <alignment vertical="center"/>
      <protection locked="0"/>
    </xf>
    <xf numFmtId="10" fontId="36" fillId="12" borderId="69" xfId="5" applyNumberFormat="1" applyFont="1" applyFill="1" applyBorder="1" applyAlignment="1" applyProtection="1">
      <alignment vertical="center"/>
      <protection locked="0"/>
    </xf>
    <xf numFmtId="0" fontId="53" fillId="0" borderId="0" xfId="31" applyFont="1" applyAlignment="1">
      <alignment horizontal="right" wrapText="1"/>
    </xf>
    <xf numFmtId="165" fontId="91" fillId="0" borderId="0" xfId="31" applyNumberFormat="1" applyFont="1" applyAlignment="1">
      <alignment horizontal="right" vertical="center"/>
    </xf>
    <xf numFmtId="165" fontId="92" fillId="0" borderId="0" xfId="31" applyNumberFormat="1" applyFont="1" applyAlignment="1">
      <alignment horizontal="right" vertical="center"/>
    </xf>
    <xf numFmtId="164" fontId="16" fillId="0" borderId="0" xfId="31" applyNumberFormat="1" applyFont="1" applyAlignment="1">
      <alignment vertical="center"/>
    </xf>
    <xf numFmtId="164" fontId="77" fillId="6" borderId="16" xfId="31" quotePrefix="1" applyNumberFormat="1" applyFont="1" applyFill="1" applyBorder="1" applyAlignment="1">
      <alignment vertical="center"/>
    </xf>
    <xf numFmtId="164" fontId="77" fillId="6" borderId="16" xfId="31" applyNumberFormat="1" applyFont="1" applyFill="1" applyBorder="1" applyAlignment="1">
      <alignment vertical="center"/>
    </xf>
    <xf numFmtId="4" fontId="22" fillId="6" borderId="16" xfId="31" applyNumberFormat="1" applyFont="1" applyFill="1" applyBorder="1" applyAlignment="1">
      <alignment vertical="center"/>
    </xf>
    <xf numFmtId="0" fontId="22" fillId="0" borderId="0" xfId="31" quotePrefix="1" applyFont="1" applyAlignment="1">
      <alignment horizontal="left" vertical="center"/>
    </xf>
    <xf numFmtId="166" fontId="9" fillId="0" borderId="0" xfId="37" applyNumberFormat="1" applyFont="1" applyAlignment="1" applyProtection="1">
      <alignment vertical="center"/>
    </xf>
    <xf numFmtId="0" fontId="78" fillId="0" borderId="0" xfId="31" applyFont="1" applyAlignment="1">
      <alignment horizontal="right" vertical="center"/>
    </xf>
    <xf numFmtId="0" fontId="25" fillId="0" borderId="0" xfId="0" applyFont="1" applyAlignment="1" applyProtection="1">
      <alignment vertical="center"/>
      <protection locked="0"/>
    </xf>
    <xf numFmtId="164" fontId="50" fillId="2" borderId="16" xfId="29" quotePrefix="1" applyFont="1" applyBorder="1" applyAlignment="1" applyProtection="1">
      <alignment vertical="center"/>
      <protection locked="0"/>
    </xf>
    <xf numFmtId="5" fontId="37" fillId="19" borderId="16" xfId="5" applyNumberFormat="1" applyFont="1" applyFill="1" applyBorder="1" applyAlignment="1" applyProtection="1">
      <alignment vertical="center"/>
      <protection locked="0"/>
    </xf>
    <xf numFmtId="5" fontId="37" fillId="19" borderId="15" xfId="5" applyNumberFormat="1" applyFont="1" applyFill="1" applyBorder="1" applyAlignment="1" applyProtection="1">
      <alignment vertical="center"/>
      <protection locked="0"/>
    </xf>
    <xf numFmtId="5" fontId="37" fillId="19" borderId="14" xfId="5" applyNumberFormat="1" applyFont="1" applyFill="1" applyBorder="1" applyAlignment="1" applyProtection="1">
      <alignment vertical="center"/>
      <protection locked="0"/>
    </xf>
    <xf numFmtId="5" fontId="37" fillId="19" borderId="17" xfId="5" applyNumberFormat="1" applyFont="1" applyFill="1" applyBorder="1" applyAlignment="1" applyProtection="1">
      <alignment vertical="center"/>
      <protection locked="0"/>
    </xf>
    <xf numFmtId="5" fontId="37" fillId="0" borderId="0" xfId="5" applyNumberFormat="1" applyFont="1" applyAlignment="1">
      <alignment horizontal="right"/>
    </xf>
    <xf numFmtId="5" fontId="37" fillId="17" borderId="0" xfId="5" applyNumberFormat="1" applyFont="1" applyFill="1"/>
    <xf numFmtId="0" fontId="25" fillId="0" borderId="0" xfId="31" applyFont="1" applyAlignment="1">
      <alignment horizontal="right"/>
    </xf>
    <xf numFmtId="10" fontId="25" fillId="0" borderId="154" xfId="35" applyFont="1" applyBorder="1" applyAlignment="1" applyProtection="1">
      <alignment vertical="center"/>
      <protection locked="0"/>
    </xf>
    <xf numFmtId="4" fontId="25" fillId="0" borderId="155" xfId="33" applyFont="1" applyBorder="1" applyAlignment="1" applyProtection="1">
      <alignment vertical="center"/>
      <protection locked="0"/>
    </xf>
    <xf numFmtId="10" fontId="25" fillId="0" borderId="156" xfId="35" applyFont="1" applyBorder="1" applyAlignment="1" applyProtection="1">
      <alignment vertical="center"/>
      <protection locked="0"/>
    </xf>
    <xf numFmtId="4" fontId="25" fillId="0" borderId="157" xfId="33" applyFont="1" applyBorder="1" applyAlignment="1" applyProtection="1">
      <alignment vertical="center"/>
      <protection locked="0"/>
    </xf>
    <xf numFmtId="3" fontId="37" fillId="0" borderId="0" xfId="5" quotePrefix="1" applyNumberFormat="1" applyFont="1" applyAlignment="1">
      <alignment vertical="center"/>
    </xf>
    <xf numFmtId="6" fontId="37" fillId="0" borderId="26" xfId="5" quotePrefix="1" applyNumberFormat="1" applyFont="1" applyBorder="1" applyAlignment="1">
      <alignment vertical="center"/>
    </xf>
    <xf numFmtId="3" fontId="125" fillId="0" borderId="0" xfId="0" applyNumberFormat="1" applyFont="1" applyAlignment="1">
      <alignment vertical="center"/>
    </xf>
    <xf numFmtId="3" fontId="37" fillId="0" borderId="158" xfId="5" applyNumberFormat="1" applyFont="1" applyBorder="1" applyAlignment="1">
      <alignment vertical="center"/>
    </xf>
    <xf numFmtId="3" fontId="37" fillId="2" borderId="39" xfId="5" quotePrefix="1" applyNumberFormat="1" applyFont="1" applyFill="1" applyBorder="1" applyAlignment="1">
      <alignment vertical="center"/>
    </xf>
    <xf numFmtId="165" fontId="36" fillId="3" borderId="16" xfId="5" applyNumberFormat="1" applyFont="1" applyFill="1" applyBorder="1" applyAlignment="1" applyProtection="1">
      <alignment vertical="center"/>
      <protection locked="0"/>
    </xf>
    <xf numFmtId="1" fontId="36" fillId="3" borderId="15" xfId="5" applyNumberFormat="1" applyFont="1" applyFill="1" applyBorder="1" applyAlignment="1" applyProtection="1">
      <alignment vertical="center"/>
      <protection locked="0"/>
    </xf>
    <xf numFmtId="167" fontId="36" fillId="3" borderId="15" xfId="5" applyNumberFormat="1" applyFont="1" applyFill="1" applyBorder="1" applyAlignment="1" applyProtection="1">
      <alignment vertical="center"/>
      <protection locked="0"/>
    </xf>
    <xf numFmtId="9" fontId="36" fillId="3" borderId="14" xfId="5" applyNumberFormat="1" applyFont="1" applyFill="1" applyBorder="1" applyAlignment="1" applyProtection="1">
      <alignment vertical="center"/>
      <protection locked="0"/>
    </xf>
    <xf numFmtId="10" fontId="21" fillId="3" borderId="3" xfId="4" applyFont="1" applyFill="1" applyBorder="1" applyAlignment="1">
      <alignment horizontal="right"/>
      <protection locked="0"/>
    </xf>
    <xf numFmtId="1" fontId="21" fillId="3" borderId="5" xfId="28" applyNumberFormat="1" applyFont="1" applyFill="1" applyBorder="1" applyAlignment="1">
      <alignment horizontal="right"/>
      <protection locked="0"/>
    </xf>
    <xf numFmtId="10" fontId="21" fillId="3" borderId="6" xfId="4" applyFont="1" applyFill="1" applyBorder="1" applyAlignment="1">
      <protection locked="0"/>
    </xf>
    <xf numFmtId="1" fontId="21" fillId="3" borderId="7" xfId="28" applyNumberFormat="1" applyFont="1" applyFill="1" applyBorder="1" applyAlignment="1">
      <protection locked="0"/>
    </xf>
    <xf numFmtId="10" fontId="21" fillId="3" borderId="8" xfId="4" applyFont="1" applyFill="1" applyBorder="1" applyAlignment="1">
      <protection locked="0"/>
    </xf>
    <xf numFmtId="1" fontId="21" fillId="3" borderId="10" xfId="28" applyNumberFormat="1" applyFont="1" applyFill="1" applyBorder="1" applyAlignment="1">
      <protection locked="0"/>
    </xf>
    <xf numFmtId="164" fontId="16" fillId="0" borderId="11" xfId="0" applyNumberFormat="1" applyFont="1" applyBorder="1" applyAlignment="1">
      <alignment vertical="center"/>
    </xf>
    <xf numFmtId="164" fontId="22" fillId="0" borderId="11" xfId="0" applyNumberFormat="1" applyFont="1" applyBorder="1" applyAlignment="1">
      <alignment vertical="center"/>
    </xf>
    <xf numFmtId="37" fontId="22" fillId="0" borderId="11" xfId="41" applyNumberFormat="1" applyFont="1" applyBorder="1" applyAlignment="1">
      <alignment vertical="center"/>
    </xf>
    <xf numFmtId="37" fontId="26" fillId="0" borderId="0" xfId="0" applyNumberFormat="1" applyFont="1" applyAlignment="1">
      <alignment vertical="center"/>
    </xf>
    <xf numFmtId="167" fontId="22" fillId="0" borderId="18" xfId="0" applyNumberFormat="1" applyFont="1" applyBorder="1" applyAlignment="1">
      <alignment vertical="center"/>
    </xf>
    <xf numFmtId="0" fontId="56" fillId="0" borderId="0" xfId="0" applyFont="1" applyAlignment="1">
      <alignment horizontal="right" vertical="center"/>
    </xf>
    <xf numFmtId="164" fontId="56" fillId="0" borderId="0" xfId="0" applyNumberFormat="1" applyFont="1" applyAlignment="1">
      <alignment vertical="center"/>
    </xf>
    <xf numFmtId="0" fontId="127" fillId="0" borderId="0" xfId="0" applyFont="1" applyAlignment="1">
      <alignment horizontal="right" vertical="center"/>
    </xf>
    <xf numFmtId="164" fontId="127" fillId="0" borderId="0" xfId="0" applyNumberFormat="1" applyFont="1" applyAlignment="1">
      <alignment vertical="center"/>
    </xf>
    <xf numFmtId="167" fontId="56" fillId="0" borderId="0" xfId="0" applyNumberFormat="1" applyFont="1" applyAlignment="1">
      <alignment vertical="center"/>
    </xf>
    <xf numFmtId="0" fontId="127" fillId="0" borderId="0" xfId="0" applyFont="1" applyAlignment="1">
      <alignment horizontal="center" vertical="center"/>
    </xf>
    <xf numFmtId="9" fontId="56" fillId="0" borderId="0" xfId="0" applyNumberFormat="1" applyFont="1" applyAlignment="1">
      <alignment vertical="center"/>
    </xf>
    <xf numFmtId="171" fontId="56" fillId="0" borderId="0" xfId="0" applyNumberFormat="1" applyFont="1" applyAlignment="1">
      <alignment horizontal="right" vertical="center"/>
    </xf>
    <xf numFmtId="0" fontId="128" fillId="0" borderId="0" xfId="0" applyFont="1" applyAlignment="1" applyProtection="1">
      <alignment horizontal="center" vertical="center"/>
      <protection locked="0"/>
    </xf>
    <xf numFmtId="2" fontId="24" fillId="0" borderId="0" xfId="0" applyNumberFormat="1" applyFont="1" applyAlignment="1">
      <alignment vertical="center"/>
    </xf>
    <xf numFmtId="0" fontId="23" fillId="0" borderId="11" xfId="0" applyFont="1" applyBorder="1" applyAlignment="1">
      <alignment horizontal="right" vertical="center"/>
    </xf>
    <xf numFmtId="5" fontId="23" fillId="0" borderId="11" xfId="0" applyNumberFormat="1" applyFont="1" applyBorder="1" applyAlignment="1">
      <alignment vertical="center"/>
    </xf>
    <xf numFmtId="0" fontId="122" fillId="0" borderId="0" xfId="0" applyFont="1" applyAlignment="1">
      <alignment horizontal="left"/>
    </xf>
    <xf numFmtId="0" fontId="129" fillId="0" borderId="0" xfId="0" applyFont="1" applyAlignment="1" applyProtection="1">
      <alignment horizontal="left" vertical="center"/>
      <protection locked="0"/>
    </xf>
    <xf numFmtId="169" fontId="129" fillId="0" borderId="0" xfId="0" applyNumberFormat="1" applyFont="1" applyAlignment="1" applyProtection="1">
      <alignment horizontal="left" vertical="center"/>
      <protection locked="0"/>
    </xf>
    <xf numFmtId="10" fontId="129" fillId="0" borderId="0" xfId="0" applyNumberFormat="1" applyFont="1" applyAlignment="1" applyProtection="1">
      <alignment horizontal="left" vertical="center"/>
      <protection locked="0"/>
    </xf>
    <xf numFmtId="0" fontId="129" fillId="0" borderId="0" xfId="0" applyFont="1" applyAlignment="1" applyProtection="1">
      <alignment horizontal="left" vertical="center" indent="1"/>
      <protection locked="0"/>
    </xf>
    <xf numFmtId="165" fontId="23" fillId="0" borderId="0" xfId="0" applyNumberFormat="1" applyFont="1" applyAlignment="1">
      <alignment vertical="center"/>
    </xf>
    <xf numFmtId="0" fontId="129" fillId="0" borderId="0" xfId="0" applyFont="1" applyAlignment="1" applyProtection="1">
      <alignment horizontal="center"/>
      <protection locked="0"/>
    </xf>
    <xf numFmtId="0" fontId="130" fillId="0" borderId="0" xfId="0" applyFont="1" applyProtection="1">
      <protection locked="0"/>
    </xf>
    <xf numFmtId="0" fontId="94" fillId="0" borderId="0" xfId="0" applyFont="1" applyAlignment="1" applyProtection="1">
      <alignment horizontal="right" vertical="center"/>
      <protection locked="0"/>
    </xf>
    <xf numFmtId="0" fontId="130" fillId="0" borderId="0" xfId="0" applyFont="1" applyAlignment="1" applyProtection="1">
      <alignment horizontal="right" vertical="center"/>
      <protection locked="0"/>
    </xf>
    <xf numFmtId="0" fontId="130" fillId="0" borderId="0" xfId="0" applyFont="1" applyAlignment="1" applyProtection="1">
      <alignment horizontal="right"/>
      <protection locked="0"/>
    </xf>
    <xf numFmtId="0" fontId="130" fillId="0" borderId="0" xfId="0" applyFont="1" applyAlignment="1" applyProtection="1">
      <alignment vertical="center"/>
      <protection locked="0"/>
    </xf>
    <xf numFmtId="5" fontId="131" fillId="0" borderId="0" xfId="32" applyFont="1" applyBorder="1" applyAlignment="1" applyProtection="1">
      <alignment vertical="center"/>
      <protection locked="0"/>
    </xf>
    <xf numFmtId="5" fontId="132" fillId="0" borderId="159" xfId="32" applyFont="1" applyBorder="1" applyAlignment="1" applyProtection="1">
      <alignment vertical="center"/>
      <protection locked="0"/>
    </xf>
    <xf numFmtId="37" fontId="94" fillId="0" borderId="0" xfId="0" applyNumberFormat="1" applyFont="1" applyAlignment="1" applyProtection="1">
      <alignment vertical="center"/>
      <protection locked="0"/>
    </xf>
    <xf numFmtId="5" fontId="131" fillId="0" borderId="159" xfId="32" applyFont="1" applyBorder="1" applyAlignment="1" applyProtection="1">
      <alignment vertical="center"/>
      <protection locked="0"/>
    </xf>
    <xf numFmtId="3" fontId="130" fillId="0" borderId="0" xfId="0" applyNumberFormat="1" applyFont="1" applyAlignment="1" applyProtection="1">
      <alignment vertical="center"/>
      <protection locked="0"/>
    </xf>
    <xf numFmtId="5" fontId="94" fillId="0" borderId="0" xfId="0" applyNumberFormat="1" applyFont="1" applyAlignment="1" applyProtection="1">
      <alignment vertical="center"/>
      <protection locked="0"/>
    </xf>
    <xf numFmtId="5" fontId="130" fillId="0" borderId="0" xfId="0" applyNumberFormat="1" applyFont="1" applyAlignment="1" applyProtection="1">
      <alignment vertical="center"/>
      <protection locked="0"/>
    </xf>
    <xf numFmtId="3" fontId="130" fillId="0" borderId="0" xfId="0" applyNumberFormat="1" applyFont="1" applyProtection="1">
      <protection locked="0"/>
    </xf>
    <xf numFmtId="5" fontId="94" fillId="0" borderId="18" xfId="0" applyNumberFormat="1" applyFont="1" applyBorder="1" applyAlignment="1" applyProtection="1">
      <alignment vertical="center"/>
      <protection locked="0"/>
    </xf>
    <xf numFmtId="5" fontId="131" fillId="0" borderId="1" xfId="32" applyFont="1" applyBorder="1" applyAlignment="1" applyProtection="1">
      <alignment vertical="center"/>
      <protection locked="0"/>
    </xf>
    <xf numFmtId="0" fontId="133" fillId="0" borderId="0" xfId="0" applyFont="1" applyAlignment="1" applyProtection="1">
      <alignment horizontal="left" vertical="center" indent="1"/>
      <protection locked="0"/>
    </xf>
    <xf numFmtId="0" fontId="133" fillId="0" borderId="0" xfId="0" applyFont="1" applyAlignment="1" applyProtection="1">
      <alignment horizontal="left" vertical="center"/>
      <protection locked="0"/>
    </xf>
    <xf numFmtId="169" fontId="134" fillId="0" borderId="0" xfId="0" applyNumberFormat="1" applyFont="1" applyAlignment="1" applyProtection="1">
      <alignment horizontal="left" vertical="center" indent="1"/>
      <protection locked="0"/>
    </xf>
    <xf numFmtId="172" fontId="133" fillId="0" borderId="0" xfId="0" applyNumberFormat="1" applyFont="1" applyAlignment="1" applyProtection="1">
      <alignment horizontal="left" vertical="center" indent="1"/>
      <protection locked="0"/>
    </xf>
    <xf numFmtId="0" fontId="135" fillId="0" borderId="0" xfId="0" applyFont="1" applyAlignment="1">
      <alignment horizontal="left" indent="1"/>
    </xf>
    <xf numFmtId="169" fontId="133" fillId="0" borderId="0" xfId="0" applyNumberFormat="1" applyFont="1" applyAlignment="1" applyProtection="1">
      <alignment horizontal="left" vertical="center" indent="1"/>
      <protection locked="0"/>
    </xf>
    <xf numFmtId="10" fontId="133" fillId="0" borderId="0" xfId="0" applyNumberFormat="1" applyFont="1" applyAlignment="1" applyProtection="1">
      <alignment horizontal="left" vertical="center"/>
      <protection locked="0"/>
    </xf>
    <xf numFmtId="0" fontId="119" fillId="0" borderId="0" xfId="0" applyFont="1" applyProtection="1">
      <protection locked="0"/>
    </xf>
    <xf numFmtId="0" fontId="119" fillId="0" borderId="0" xfId="0" applyFont="1" applyAlignment="1" applyProtection="1">
      <alignment vertical="center"/>
      <protection locked="0"/>
    </xf>
    <xf numFmtId="0" fontId="136" fillId="0" borderId="0" xfId="0" applyFont="1"/>
    <xf numFmtId="9" fontId="24" fillId="0" borderId="0" xfId="0" applyNumberFormat="1" applyFont="1"/>
    <xf numFmtId="169" fontId="24" fillId="0" borderId="0" xfId="0" applyNumberFormat="1" applyFont="1" applyAlignment="1">
      <alignment horizontal="right" vertical="center"/>
    </xf>
    <xf numFmtId="0" fontId="46" fillId="0" borderId="140" xfId="0" applyFont="1" applyBorder="1" applyAlignment="1">
      <alignment vertical="center"/>
    </xf>
    <xf numFmtId="167" fontId="43" fillId="0" borderId="0" xfId="0" applyNumberFormat="1" applyFont="1"/>
    <xf numFmtId="10" fontId="24" fillId="0" borderId="0" xfId="0" applyNumberFormat="1" applyFont="1" applyAlignment="1">
      <alignment vertical="center"/>
    </xf>
    <xf numFmtId="0" fontId="32" fillId="8" borderId="0" xfId="5" quotePrefix="1" applyFont="1" applyFill="1" applyAlignment="1">
      <alignment horizontal="right" vertical="center"/>
    </xf>
    <xf numFmtId="0" fontId="142" fillId="0" borderId="0" xfId="0" applyFont="1" applyAlignment="1">
      <alignment vertical="center"/>
    </xf>
    <xf numFmtId="0" fontId="143" fillId="0" borderId="0" xfId="50" applyFont="1"/>
    <xf numFmtId="0" fontId="146" fillId="0" borderId="0" xfId="50" applyFont="1"/>
    <xf numFmtId="0" fontId="145" fillId="0" borderId="0" xfId="50" applyFont="1"/>
    <xf numFmtId="0" fontId="139" fillId="2" borderId="0" xfId="0" applyFont="1" applyFill="1"/>
    <xf numFmtId="0" fontId="110" fillId="2" borderId="0" xfId="0" applyFont="1" applyFill="1"/>
    <xf numFmtId="0" fontId="43" fillId="2" borderId="0" xfId="0" applyFont="1" applyFill="1"/>
    <xf numFmtId="0" fontId="43" fillId="2" borderId="0" xfId="0" applyFont="1" applyFill="1" applyAlignment="1">
      <alignment horizontal="right" vertical="center"/>
    </xf>
    <xf numFmtId="0" fontId="43" fillId="2" borderId="0" xfId="0" applyFont="1" applyFill="1" applyAlignment="1">
      <alignment horizontal="center"/>
    </xf>
    <xf numFmtId="173" fontId="139" fillId="2" borderId="39" xfId="0" applyNumberFormat="1" applyFont="1" applyFill="1" applyBorder="1"/>
    <xf numFmtId="173" fontId="139" fillId="2" borderId="23" xfId="0" applyNumberFormat="1" applyFont="1" applyFill="1" applyBorder="1"/>
    <xf numFmtId="173" fontId="139" fillId="2" borderId="26" xfId="0" applyNumberFormat="1" applyFont="1" applyFill="1" applyBorder="1"/>
    <xf numFmtId="173" fontId="139" fillId="2" borderId="54" xfId="0" applyNumberFormat="1" applyFont="1" applyFill="1" applyBorder="1"/>
    <xf numFmtId="173" fontId="139" fillId="2" borderId="22" xfId="0" applyNumberFormat="1" applyFont="1" applyFill="1" applyBorder="1"/>
    <xf numFmtId="173" fontId="139" fillId="2" borderId="52" xfId="0" applyNumberFormat="1" applyFont="1" applyFill="1" applyBorder="1"/>
    <xf numFmtId="0" fontId="26" fillId="2" borderId="0" xfId="0" applyFont="1" applyFill="1" applyAlignment="1">
      <alignment vertical="center"/>
    </xf>
    <xf numFmtId="0" fontId="138" fillId="2" borderId="0" xfId="0" applyFont="1" applyFill="1" applyAlignment="1">
      <alignment vertical="center"/>
    </xf>
    <xf numFmtId="6" fontId="21" fillId="2" borderId="0" xfId="0" applyNumberFormat="1" applyFont="1" applyFill="1" applyAlignment="1">
      <alignment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horizontal="right" vertical="center"/>
    </xf>
    <xf numFmtId="0" fontId="25" fillId="2" borderId="0" xfId="0" applyFont="1" applyFill="1" applyAlignment="1">
      <alignment horizontal="right" vertical="center"/>
    </xf>
    <xf numFmtId="0" fontId="21" fillId="2" borderId="0" xfId="0" applyFont="1" applyFill="1" applyAlignment="1">
      <alignment horizontal="right" vertical="center"/>
    </xf>
    <xf numFmtId="5" fontId="50" fillId="2" borderId="0" xfId="0" applyNumberFormat="1" applyFont="1" applyFill="1" applyAlignment="1">
      <alignment horizontal="right" vertical="center"/>
    </xf>
    <xf numFmtId="5" fontId="26" fillId="2" borderId="0" xfId="0" applyNumberFormat="1" applyFont="1" applyFill="1" applyAlignment="1">
      <alignment horizontal="right" vertical="center"/>
    </xf>
    <xf numFmtId="0" fontId="26" fillId="2" borderId="0" xfId="0" applyFont="1" applyFill="1" applyAlignment="1">
      <alignment horizontal="right"/>
    </xf>
    <xf numFmtId="0" fontId="50" fillId="2" borderId="0" xfId="0" applyFont="1" applyFill="1" applyAlignment="1">
      <alignment vertical="center"/>
    </xf>
    <xf numFmtId="0" fontId="50" fillId="2" borderId="0" xfId="0" applyFont="1" applyFill="1" applyAlignment="1">
      <alignment horizontal="right" vertical="center"/>
    </xf>
    <xf numFmtId="0" fontId="101" fillId="2" borderId="0" xfId="0" applyFont="1" applyFill="1" applyAlignment="1">
      <alignment horizontal="right" vertical="center"/>
    </xf>
    <xf numFmtId="0" fontId="101" fillId="2" borderId="0" xfId="0" applyFont="1" applyFill="1" applyAlignment="1">
      <alignment vertical="center"/>
    </xf>
    <xf numFmtId="0" fontId="102" fillId="2" borderId="0" xfId="0" applyFont="1" applyFill="1" applyAlignment="1">
      <alignment horizontal="right" vertical="center"/>
    </xf>
    <xf numFmtId="3" fontId="25" fillId="0" borderId="0" xfId="0" applyNumberFormat="1" applyFont="1" applyAlignment="1">
      <alignment vertical="center"/>
    </xf>
    <xf numFmtId="165" fontId="23" fillId="0" borderId="1" xfId="0" applyNumberFormat="1" applyFont="1" applyBorder="1" applyAlignment="1">
      <alignment horizontal="right" vertical="center"/>
    </xf>
    <xf numFmtId="164" fontId="30" fillId="0" borderId="0" xfId="5" applyNumberFormat="1" applyFont="1" applyAlignment="1">
      <alignment horizontal="right" vertical="center"/>
    </xf>
    <xf numFmtId="9" fontId="30" fillId="0" borderId="0" xfId="5" applyNumberFormat="1" applyFont="1" applyAlignment="1">
      <alignment vertical="center"/>
    </xf>
    <xf numFmtId="171" fontId="22" fillId="0" borderId="18" xfId="0" applyNumberFormat="1" applyFont="1" applyBorder="1" applyAlignment="1">
      <alignment vertical="center"/>
    </xf>
    <xf numFmtId="3" fontId="26" fillId="0" borderId="0" xfId="0" applyNumberFormat="1" applyFont="1" applyAlignment="1">
      <alignment vertical="center"/>
    </xf>
    <xf numFmtId="0" fontId="10" fillId="0" borderId="0" xfId="0" applyFont="1" applyAlignment="1">
      <alignment horizontal="centerContinuous"/>
    </xf>
    <xf numFmtId="0" fontId="10" fillId="3" borderId="37" xfId="0" applyFont="1" applyFill="1" applyBorder="1" applyAlignment="1">
      <alignment horizontal="centerContinuous" vertical="center"/>
    </xf>
    <xf numFmtId="0" fontId="10" fillId="3" borderId="38" xfId="0" applyFont="1" applyFill="1" applyBorder="1" applyAlignment="1">
      <alignment horizontal="centerContinuous" vertical="center"/>
    </xf>
    <xf numFmtId="0" fontId="10" fillId="3" borderId="19" xfId="0" applyFont="1" applyFill="1" applyBorder="1" applyAlignment="1">
      <alignment horizontal="centerContinuous" vertical="center"/>
    </xf>
    <xf numFmtId="0" fontId="10" fillId="18" borderId="37" xfId="0" applyFont="1" applyFill="1" applyBorder="1" applyAlignment="1">
      <alignment horizontal="centerContinuous" vertical="center"/>
    </xf>
    <xf numFmtId="0" fontId="10" fillId="18" borderId="38" xfId="0" applyFont="1" applyFill="1" applyBorder="1" applyAlignment="1">
      <alignment horizontal="centerContinuous" vertical="center"/>
    </xf>
    <xf numFmtId="0" fontId="10" fillId="18" borderId="19" xfId="0" applyFont="1" applyFill="1" applyBorder="1" applyAlignment="1">
      <alignment horizontal="centerContinuous" vertical="center"/>
    </xf>
    <xf numFmtId="9" fontId="22" fillId="18" borderId="17" xfId="0" applyNumberFormat="1" applyFont="1" applyFill="1" applyBorder="1" applyAlignment="1">
      <alignment vertical="center"/>
    </xf>
    <xf numFmtId="0" fontId="25" fillId="0" borderId="0" xfId="0" applyFont="1" applyAlignment="1">
      <alignment horizontal="right"/>
    </xf>
    <xf numFmtId="0" fontId="21" fillId="2" borderId="0" xfId="31" applyFont="1" applyFill="1" applyAlignment="1" applyProtection="1">
      <alignment horizontal="right" vertical="center"/>
      <protection locked="0"/>
    </xf>
    <xf numFmtId="164" fontId="37" fillId="0" borderId="0" xfId="39" applyNumberFormat="1" applyFont="1" applyAlignment="1" applyProtection="1">
      <alignment horizontal="right" vertical="center"/>
      <protection locked="0"/>
    </xf>
    <xf numFmtId="164" fontId="21" fillId="3" borderId="160" xfId="0" applyNumberFormat="1" applyFont="1" applyFill="1" applyBorder="1" applyAlignment="1" applyProtection="1">
      <alignment vertical="center"/>
      <protection locked="0"/>
    </xf>
    <xf numFmtId="164" fontId="21" fillId="3" borderId="162" xfId="0" applyNumberFormat="1" applyFont="1" applyFill="1" applyBorder="1" applyAlignment="1" applyProtection="1">
      <alignment vertical="center"/>
      <protection locked="0"/>
    </xf>
    <xf numFmtId="164" fontId="21" fillId="3" borderId="161" xfId="0" applyNumberFormat="1" applyFont="1" applyFill="1" applyBorder="1" applyAlignment="1" applyProtection="1">
      <alignment vertical="center"/>
      <protection locked="0"/>
    </xf>
    <xf numFmtId="0" fontId="110" fillId="2" borderId="0" xfId="0" applyFont="1" applyFill="1" applyAlignment="1">
      <alignment horizontal="right" vertical="center"/>
    </xf>
    <xf numFmtId="1" fontId="126" fillId="8" borderId="0" xfId="5" applyNumberFormat="1" applyFont="1" applyFill="1" applyAlignment="1">
      <alignment horizontal="right" vertical="center"/>
    </xf>
    <xf numFmtId="9" fontId="30" fillId="0" borderId="0" xfId="5" applyNumberFormat="1" applyFont="1" applyAlignment="1">
      <alignment horizontal="right" vertical="center"/>
    </xf>
    <xf numFmtId="0" fontId="94" fillId="0" borderId="0" xfId="0" applyFont="1" applyAlignment="1" applyProtection="1">
      <alignment horizontal="right"/>
      <protection locked="0"/>
    </xf>
    <xf numFmtId="0" fontId="150" fillId="0" borderId="0" xfId="0" applyFont="1" applyAlignment="1" applyProtection="1">
      <alignment horizontal="left" vertical="center"/>
      <protection locked="0"/>
    </xf>
    <xf numFmtId="0" fontId="94" fillId="0" borderId="0" xfId="0" applyFont="1" applyProtection="1">
      <protection locked="0"/>
    </xf>
    <xf numFmtId="0" fontId="94" fillId="0" borderId="0" xfId="0" applyFont="1" applyAlignment="1" applyProtection="1">
      <alignment vertical="center"/>
      <protection locked="0"/>
    </xf>
    <xf numFmtId="0" fontId="151" fillId="0" borderId="0" xfId="0" applyFont="1" applyAlignment="1" applyProtection="1">
      <alignment horizontal="right"/>
      <protection locked="0"/>
    </xf>
    <xf numFmtId="0" fontId="152" fillId="0" borderId="0" xfId="0" applyFont="1" applyAlignment="1" applyProtection="1">
      <alignment horizontal="right"/>
      <protection locked="0"/>
    </xf>
    <xf numFmtId="0" fontId="23" fillId="0" borderId="18" xfId="0" applyFont="1" applyBorder="1" applyAlignment="1">
      <alignment horizontal="right"/>
    </xf>
    <xf numFmtId="0" fontId="129" fillId="0" borderId="0" xfId="0" applyFont="1" applyAlignment="1" applyProtection="1">
      <alignment horizontal="right" vertical="center"/>
      <protection locked="0"/>
    </xf>
    <xf numFmtId="165" fontId="22" fillId="0" borderId="18" xfId="0" applyNumberFormat="1" applyFont="1" applyBorder="1" applyAlignment="1">
      <alignment horizontal="right" vertical="center"/>
    </xf>
    <xf numFmtId="0" fontId="133" fillId="0" borderId="0" xfId="0" applyFont="1" applyAlignment="1" applyProtection="1">
      <alignment horizontal="right" vertical="center"/>
      <protection locked="0"/>
    </xf>
    <xf numFmtId="0" fontId="119" fillId="0" borderId="0" xfId="0" applyFont="1" applyAlignment="1" applyProtection="1">
      <alignment horizontal="right"/>
      <protection locked="0"/>
    </xf>
    <xf numFmtId="165" fontId="110" fillId="0" borderId="53" xfId="0" applyNumberFormat="1" applyFont="1" applyBorder="1" applyAlignment="1">
      <alignment horizontal="right" vertical="center"/>
    </xf>
    <xf numFmtId="176" fontId="24" fillId="0" borderId="0" xfId="0" applyNumberFormat="1" applyFont="1" applyAlignment="1">
      <alignment vertical="center"/>
    </xf>
    <xf numFmtId="176" fontId="24" fillId="0" borderId="0" xfId="0" applyNumberFormat="1" applyFont="1"/>
    <xf numFmtId="176" fontId="24" fillId="0" borderId="1" xfId="0" applyNumberFormat="1" applyFont="1" applyBorder="1" applyAlignment="1">
      <alignment vertical="center"/>
    </xf>
    <xf numFmtId="0" fontId="52" fillId="2" borderId="0" xfId="0" applyFont="1" applyFill="1" applyAlignment="1">
      <alignment vertical="center"/>
    </xf>
    <xf numFmtId="0" fontId="53" fillId="2" borderId="0" xfId="0" applyFont="1" applyFill="1" applyAlignment="1">
      <alignment horizontal="right" vertical="center"/>
    </xf>
    <xf numFmtId="9" fontId="53" fillId="2" borderId="0" xfId="0" applyNumberFormat="1" applyFont="1" applyFill="1" applyAlignment="1" applyProtection="1">
      <alignment horizontal="right" vertical="center"/>
      <protection locked="0"/>
    </xf>
    <xf numFmtId="9" fontId="53" fillId="2" borderId="0" xfId="0" applyNumberFormat="1" applyFont="1" applyFill="1" applyAlignment="1" applyProtection="1">
      <alignment vertical="center"/>
      <protection locked="0"/>
    </xf>
    <xf numFmtId="5" fontId="102" fillId="2" borderId="165" xfId="0" applyNumberFormat="1" applyFont="1" applyFill="1" applyBorder="1" applyAlignment="1">
      <alignment vertical="center"/>
    </xf>
    <xf numFmtId="5" fontId="102" fillId="2" borderId="163" xfId="0" applyNumberFormat="1" applyFont="1" applyFill="1" applyBorder="1" applyAlignment="1">
      <alignment vertical="center"/>
    </xf>
    <xf numFmtId="5" fontId="27" fillId="2" borderId="166" xfId="0" applyNumberFormat="1" applyFont="1" applyFill="1" applyBorder="1" applyAlignment="1">
      <alignment vertical="center"/>
    </xf>
    <xf numFmtId="164" fontId="26" fillId="2" borderId="0" xfId="0" applyNumberFormat="1" applyFont="1" applyFill="1" applyAlignment="1">
      <alignment vertical="center"/>
    </xf>
    <xf numFmtId="0" fontId="4" fillId="2" borderId="0" xfId="31" applyFill="1" applyAlignment="1" applyProtection="1">
      <alignment vertical="center"/>
      <protection locked="0"/>
    </xf>
    <xf numFmtId="0" fontId="80" fillId="0" borderId="163" xfId="31" applyFont="1" applyBorder="1" applyAlignment="1" applyProtection="1">
      <alignment horizontal="right" vertical="center" wrapText="1"/>
      <protection locked="0"/>
    </xf>
    <xf numFmtId="0" fontId="21" fillId="0" borderId="163" xfId="31" applyFont="1" applyBorder="1" applyAlignment="1" applyProtection="1">
      <alignment horizontal="right" vertical="center" wrapText="1"/>
      <protection locked="0"/>
    </xf>
    <xf numFmtId="0" fontId="21" fillId="0" borderId="163" xfId="31" applyFont="1" applyBorder="1" applyAlignment="1">
      <alignment horizontal="right" vertical="center" wrapText="1"/>
    </xf>
    <xf numFmtId="9" fontId="21" fillId="3" borderId="167" xfId="0" applyNumberFormat="1" applyFont="1" applyFill="1" applyBorder="1" applyAlignment="1" applyProtection="1">
      <alignment vertical="center"/>
      <protection locked="0"/>
    </xf>
    <xf numFmtId="9" fontId="21" fillId="3" borderId="147" xfId="0" applyNumberFormat="1" applyFont="1" applyFill="1" applyBorder="1" applyAlignment="1" applyProtection="1">
      <alignment vertical="center"/>
      <protection locked="0"/>
    </xf>
    <xf numFmtId="0" fontId="10" fillId="0" borderId="0" xfId="0" applyFont="1" applyAlignment="1">
      <alignment horizontal="right" vertical="center"/>
    </xf>
    <xf numFmtId="0" fontId="120" fillId="0" borderId="0" xfId="0" applyFont="1" applyAlignment="1">
      <alignment horizontal="right" vertical="center"/>
    </xf>
    <xf numFmtId="0" fontId="153" fillId="0" borderId="0" xfId="0" applyFont="1" applyAlignment="1">
      <alignment vertical="center"/>
    </xf>
    <xf numFmtId="3" fontId="22" fillId="2" borderId="0" xfId="29" applyNumberFormat="1" applyFont="1" applyBorder="1" applyAlignment="1" applyProtection="1">
      <alignment vertical="center"/>
    </xf>
    <xf numFmtId="3" fontId="22" fillId="0" borderId="0" xfId="31" applyNumberFormat="1" applyFont="1" applyAlignment="1">
      <alignment vertical="center"/>
    </xf>
    <xf numFmtId="0" fontId="21" fillId="4" borderId="0" xfId="31" applyFont="1" applyFill="1" applyAlignment="1">
      <alignment horizontal="right" wrapText="1"/>
    </xf>
    <xf numFmtId="0" fontId="78" fillId="0" borderId="0" xfId="31" applyFont="1"/>
    <xf numFmtId="0" fontId="21" fillId="4" borderId="0" xfId="31" applyFont="1" applyFill="1" applyAlignment="1">
      <alignment horizontal="right" vertical="center" wrapText="1"/>
    </xf>
    <xf numFmtId="164" fontId="81" fillId="0" borderId="0" xfId="0" applyNumberFormat="1" applyFont="1" applyAlignment="1">
      <alignment vertical="center"/>
    </xf>
    <xf numFmtId="0" fontId="36" fillId="0" borderId="0" xfId="5" applyFont="1" applyAlignment="1">
      <alignment vertical="center"/>
    </xf>
    <xf numFmtId="0" fontId="21" fillId="0" borderId="0" xfId="31" applyFont="1"/>
    <xf numFmtId="164" fontId="36" fillId="0" borderId="0" xfId="39" applyNumberFormat="1" applyFont="1" applyBorder="1" applyAlignment="1" applyProtection="1">
      <alignment horizontal="right" vertical="center"/>
      <protection locked="0"/>
    </xf>
    <xf numFmtId="164" fontId="21" fillId="0" borderId="0" xfId="31" applyNumberFormat="1" applyFont="1" applyAlignment="1" applyProtection="1">
      <alignment vertical="center"/>
      <protection locked="0"/>
    </xf>
    <xf numFmtId="164" fontId="37" fillId="0" borderId="163" xfId="39" applyNumberFormat="1" applyFont="1" applyBorder="1" applyAlignment="1" applyProtection="1">
      <alignment horizontal="right" vertical="center"/>
      <protection locked="0"/>
    </xf>
    <xf numFmtId="164" fontId="36" fillId="0" borderId="0" xfId="5" applyNumberFormat="1" applyFont="1" applyAlignment="1">
      <alignment horizontal="right" vertical="center"/>
    </xf>
    <xf numFmtId="0" fontId="36" fillId="0" borderId="163" xfId="5" applyFont="1" applyBorder="1" applyAlignment="1">
      <alignment horizontal="right" vertical="center"/>
    </xf>
    <xf numFmtId="0" fontId="21" fillId="0" borderId="163" xfId="31" applyFont="1" applyBorder="1" applyAlignment="1">
      <alignment horizontal="right" vertical="center"/>
    </xf>
    <xf numFmtId="5" fontId="154" fillId="0" borderId="0" xfId="5" applyNumberFormat="1" applyFont="1" applyAlignment="1">
      <alignment horizontal="right" vertical="center"/>
    </xf>
    <xf numFmtId="5" fontId="155" fillId="0" borderId="0" xfId="5" applyNumberFormat="1" applyFont="1" applyAlignment="1">
      <alignment horizontal="right" vertical="center"/>
    </xf>
    <xf numFmtId="3" fontId="22" fillId="2" borderId="79" xfId="29" applyNumberFormat="1" applyFont="1" applyBorder="1" applyAlignment="1" applyProtection="1">
      <alignment vertical="center"/>
      <protection locked="0"/>
    </xf>
    <xf numFmtId="3" fontId="22" fillId="2" borderId="47" xfId="29" applyNumberFormat="1" applyFont="1" applyBorder="1" applyAlignment="1" applyProtection="1">
      <alignment vertical="center"/>
      <protection locked="0"/>
    </xf>
    <xf numFmtId="3" fontId="22" fillId="2" borderId="80" xfId="29" applyNumberFormat="1" applyFont="1" applyBorder="1" applyAlignment="1" applyProtection="1">
      <alignment vertical="center"/>
      <protection locked="0"/>
    </xf>
    <xf numFmtId="3" fontId="22" fillId="2" borderId="77" xfId="29" applyNumberFormat="1" applyFont="1" applyBorder="1" applyAlignment="1" applyProtection="1">
      <alignment vertical="center"/>
      <protection locked="0"/>
    </xf>
    <xf numFmtId="3" fontId="22" fillId="2" borderId="15" xfId="29" applyNumberFormat="1" applyFont="1" applyBorder="1" applyAlignment="1" applyProtection="1">
      <alignment vertical="center"/>
      <protection locked="0"/>
    </xf>
    <xf numFmtId="3" fontId="22" fillId="2" borderId="78" xfId="29" applyNumberFormat="1" applyFont="1" applyBorder="1" applyAlignment="1" applyProtection="1">
      <alignment vertical="center"/>
      <protection locked="0"/>
    </xf>
    <xf numFmtId="3" fontId="22" fillId="2" borderId="81" xfId="29" applyNumberFormat="1" applyFont="1" applyBorder="1" applyAlignment="1" applyProtection="1">
      <alignment vertical="center"/>
      <protection locked="0"/>
    </xf>
    <xf numFmtId="3" fontId="22" fillId="2" borderId="82" xfId="29" applyNumberFormat="1" applyFont="1" applyBorder="1" applyAlignment="1" applyProtection="1">
      <alignment vertical="center"/>
      <protection locked="0"/>
    </xf>
    <xf numFmtId="3" fontId="22" fillId="2" borderId="83" xfId="29" applyNumberFormat="1" applyFont="1" applyBorder="1" applyAlignment="1" applyProtection="1">
      <alignment vertical="center"/>
      <protection locked="0"/>
    </xf>
    <xf numFmtId="3" fontId="78" fillId="0" borderId="0" xfId="31" applyNumberFormat="1" applyFont="1"/>
    <xf numFmtId="9" fontId="22" fillId="2" borderId="79" xfId="29" applyNumberFormat="1" applyFont="1" applyBorder="1" applyAlignment="1" applyProtection="1">
      <alignment vertical="center"/>
      <protection locked="0"/>
    </xf>
    <xf numFmtId="9" fontId="22" fillId="2" borderId="47" xfId="29" applyNumberFormat="1" applyFont="1" applyBorder="1" applyAlignment="1" applyProtection="1">
      <alignment vertical="center"/>
      <protection locked="0"/>
    </xf>
    <xf numFmtId="9" fontId="22" fillId="2" borderId="80" xfId="29" applyNumberFormat="1" applyFont="1" applyBorder="1" applyAlignment="1" applyProtection="1">
      <alignment vertical="center"/>
      <protection locked="0"/>
    </xf>
    <xf numFmtId="9" fontId="22" fillId="2" borderId="77" xfId="29" applyNumberFormat="1" applyFont="1" applyBorder="1" applyAlignment="1" applyProtection="1">
      <alignment vertical="center"/>
      <protection locked="0"/>
    </xf>
    <xf numFmtId="9" fontId="22" fillId="2" borderId="15" xfId="29" applyNumberFormat="1" applyFont="1" applyBorder="1" applyAlignment="1" applyProtection="1">
      <alignment vertical="center"/>
      <protection locked="0"/>
    </xf>
    <xf numFmtId="9" fontId="22" fillId="2" borderId="78" xfId="29" applyNumberFormat="1" applyFont="1" applyBorder="1" applyAlignment="1" applyProtection="1">
      <alignment vertical="center"/>
      <protection locked="0"/>
    </xf>
    <xf numFmtId="9" fontId="22" fillId="2" borderId="81" xfId="29" applyNumberFormat="1" applyFont="1" applyBorder="1" applyAlignment="1" applyProtection="1">
      <alignment vertical="center"/>
      <protection locked="0"/>
    </xf>
    <xf numFmtId="9" fontId="22" fillId="2" borderId="82" xfId="29" applyNumberFormat="1" applyFont="1" applyBorder="1" applyAlignment="1" applyProtection="1">
      <alignment vertical="center"/>
      <protection locked="0"/>
    </xf>
    <xf numFmtId="9" fontId="22" fillId="2" borderId="83" xfId="29" applyNumberFormat="1" applyFont="1" applyBorder="1" applyAlignment="1" applyProtection="1">
      <alignment vertical="center"/>
      <protection locked="0"/>
    </xf>
    <xf numFmtId="9" fontId="78" fillId="0" borderId="0" xfId="31" applyNumberFormat="1" applyFont="1"/>
    <xf numFmtId="9" fontId="22" fillId="2" borderId="0" xfId="29" applyNumberFormat="1" applyFont="1" applyBorder="1" applyAlignment="1" applyProtection="1">
      <alignment vertical="center"/>
    </xf>
    <xf numFmtId="9" fontId="22" fillId="0" borderId="0" xfId="31" applyNumberFormat="1" applyFont="1" applyAlignment="1">
      <alignment vertical="center"/>
    </xf>
    <xf numFmtId="167" fontId="22" fillId="2" borderId="79" xfId="29" applyNumberFormat="1" applyFont="1" applyBorder="1" applyAlignment="1" applyProtection="1">
      <alignment vertical="center"/>
      <protection locked="0"/>
    </xf>
    <xf numFmtId="167" fontId="22" fillId="2" borderId="47" xfId="29" applyNumberFormat="1" applyFont="1" applyBorder="1" applyAlignment="1" applyProtection="1">
      <alignment vertical="center"/>
      <protection locked="0"/>
    </xf>
    <xf numFmtId="167" fontId="22" fillId="2" borderId="80" xfId="29" applyNumberFormat="1" applyFont="1" applyBorder="1" applyAlignment="1" applyProtection="1">
      <alignment vertical="center"/>
      <protection locked="0"/>
    </xf>
    <xf numFmtId="167" fontId="22" fillId="2" borderId="77" xfId="29" applyNumberFormat="1" applyFont="1" applyBorder="1" applyAlignment="1" applyProtection="1">
      <alignment vertical="center"/>
      <protection locked="0"/>
    </xf>
    <xf numFmtId="167" fontId="22" fillId="2" borderId="15" xfId="29" applyNumberFormat="1" applyFont="1" applyBorder="1" applyAlignment="1" applyProtection="1">
      <alignment vertical="center"/>
      <protection locked="0"/>
    </xf>
    <xf numFmtId="167" fontId="22" fillId="2" borderId="78" xfId="29" applyNumberFormat="1" applyFont="1" applyBorder="1" applyAlignment="1" applyProtection="1">
      <alignment vertical="center"/>
      <protection locked="0"/>
    </xf>
    <xf numFmtId="167" fontId="22" fillId="2" borderId="81" xfId="29" applyNumberFormat="1" applyFont="1" applyBorder="1" applyAlignment="1" applyProtection="1">
      <alignment vertical="center"/>
      <protection locked="0"/>
    </xf>
    <xf numFmtId="167" fontId="22" fillId="2" borderId="82" xfId="29" applyNumberFormat="1" applyFont="1" applyBorder="1" applyAlignment="1" applyProtection="1">
      <alignment vertical="center"/>
      <protection locked="0"/>
    </xf>
    <xf numFmtId="167" fontId="22" fillId="2" borderId="83" xfId="29" applyNumberFormat="1" applyFont="1" applyBorder="1" applyAlignment="1" applyProtection="1">
      <alignment vertical="center"/>
      <protection locked="0"/>
    </xf>
    <xf numFmtId="167" fontId="78" fillId="0" borderId="0" xfId="31" applyNumberFormat="1" applyFont="1"/>
    <xf numFmtId="167" fontId="22" fillId="2" borderId="0" xfId="29" applyNumberFormat="1" applyFont="1" applyBorder="1" applyAlignment="1" applyProtection="1">
      <alignment vertical="center"/>
    </xf>
    <xf numFmtId="167" fontId="22" fillId="0" borderId="0" xfId="31" applyNumberFormat="1" applyFont="1" applyAlignment="1">
      <alignment vertical="center"/>
    </xf>
    <xf numFmtId="6" fontId="23" fillId="0" borderId="0" xfId="0" applyNumberFormat="1" applyFont="1" applyAlignment="1">
      <alignment vertical="center"/>
    </xf>
    <xf numFmtId="0" fontId="15" fillId="0" borderId="0" xfId="0" applyFont="1" applyAlignment="1">
      <alignment vertical="center"/>
    </xf>
    <xf numFmtId="0" fontId="111" fillId="0" borderId="22" xfId="0" applyFont="1" applyBorder="1" applyAlignment="1">
      <alignment horizontal="right" vertical="center"/>
    </xf>
    <xf numFmtId="0" fontId="0" fillId="2" borderId="0" xfId="0" applyFill="1"/>
    <xf numFmtId="0" fontId="23" fillId="0" borderId="0" xfId="0" applyFont="1" applyAlignment="1">
      <alignment horizontal="left" vertical="center"/>
    </xf>
    <xf numFmtId="165" fontId="23" fillId="0" borderId="0" xfId="0" applyNumberFormat="1" applyFont="1" applyAlignment="1">
      <alignment horizontal="left" vertical="center"/>
    </xf>
    <xf numFmtId="164" fontId="26" fillId="0" borderId="0" xfId="0" applyNumberFormat="1" applyFont="1" applyAlignment="1">
      <alignment horizontal="right" vertical="center"/>
    </xf>
    <xf numFmtId="164" fontId="22" fillId="0" borderId="11" xfId="0" applyNumberFormat="1" applyFont="1" applyBorder="1" applyAlignment="1">
      <alignment horizontal="right" vertical="center"/>
    </xf>
    <xf numFmtId="10" fontId="26" fillId="0" borderId="0" xfId="0" applyNumberFormat="1" applyFont="1" applyAlignment="1">
      <alignment vertical="center"/>
    </xf>
    <xf numFmtId="5" fontId="26" fillId="0" borderId="0" xfId="0" applyNumberFormat="1" applyFont="1" applyAlignment="1">
      <alignment horizontal="right" vertical="center"/>
    </xf>
    <xf numFmtId="0" fontId="124" fillId="0" borderId="163" xfId="0" applyFont="1" applyBorder="1" applyAlignment="1">
      <alignment horizontal="right" vertical="center"/>
    </xf>
    <xf numFmtId="3" fontId="24" fillId="0" borderId="163" xfId="0" applyNumberFormat="1" applyFont="1" applyBorder="1" applyAlignment="1">
      <alignment horizontal="right" vertical="center"/>
    </xf>
    <xf numFmtId="5" fontId="24" fillId="0" borderId="163" xfId="0" applyNumberFormat="1" applyFont="1" applyBorder="1" applyAlignment="1">
      <alignment horizontal="right" vertical="center"/>
    </xf>
    <xf numFmtId="5" fontId="23" fillId="0" borderId="163" xfId="0" applyNumberFormat="1" applyFont="1" applyBorder="1" applyAlignment="1">
      <alignment horizontal="right" vertical="center"/>
    </xf>
    <xf numFmtId="5" fontId="23" fillId="0" borderId="166" xfId="0" applyNumberFormat="1" applyFont="1" applyBorder="1" applyAlignment="1">
      <alignment horizontal="right" vertical="center"/>
    </xf>
    <xf numFmtId="0" fontId="26" fillId="0" borderId="169" xfId="0" applyFont="1" applyBorder="1" applyAlignment="1">
      <alignment horizontal="right" vertical="center"/>
    </xf>
    <xf numFmtId="5" fontId="26" fillId="0" borderId="169" xfId="0" applyNumberFormat="1" applyFont="1" applyBorder="1" applyAlignment="1">
      <alignment vertical="center"/>
    </xf>
    <xf numFmtId="3" fontId="22" fillId="0" borderId="0" xfId="0" applyNumberFormat="1" applyFont="1" applyAlignment="1">
      <alignment vertical="center"/>
    </xf>
    <xf numFmtId="3" fontId="26" fillId="0" borderId="1" xfId="0" applyNumberFormat="1" applyFont="1" applyBorder="1" applyAlignment="1">
      <alignment vertical="center"/>
    </xf>
    <xf numFmtId="0" fontId="50" fillId="2" borderId="0" xfId="0" applyFont="1" applyFill="1" applyAlignment="1">
      <alignment horizontal="right"/>
    </xf>
    <xf numFmtId="0" fontId="26" fillId="2" borderId="0" xfId="0" applyFont="1" applyFill="1" applyAlignment="1">
      <alignment vertical="top"/>
    </xf>
    <xf numFmtId="0" fontId="50" fillId="2" borderId="0" xfId="0" applyFont="1" applyFill="1" applyAlignment="1">
      <alignment horizontal="right" vertical="top"/>
    </xf>
    <xf numFmtId="5" fontId="27" fillId="2" borderId="165" xfId="0" applyNumberFormat="1" applyFont="1" applyFill="1" applyBorder="1" applyAlignment="1">
      <alignment vertical="top"/>
    </xf>
    <xf numFmtId="6" fontId="21" fillId="2" borderId="0" xfId="0" applyNumberFormat="1" applyFont="1" applyFill="1" applyAlignment="1">
      <alignment vertical="top"/>
    </xf>
    <xf numFmtId="0" fontId="25" fillId="2" borderId="0" xfId="0" applyFont="1" applyFill="1" applyAlignment="1">
      <alignment vertical="top"/>
    </xf>
    <xf numFmtId="0" fontId="27" fillId="2" borderId="0" xfId="0" applyFont="1" applyFill="1" applyAlignment="1">
      <alignment horizontal="right" vertical="top"/>
    </xf>
    <xf numFmtId="0" fontId="26" fillId="0" borderId="0" xfId="0" applyFont="1" applyAlignment="1">
      <alignment vertical="top"/>
    </xf>
    <xf numFmtId="0" fontId="26" fillId="2" borderId="0" xfId="0" applyFont="1" applyFill="1" applyAlignment="1">
      <alignment horizontal="right" vertical="top"/>
    </xf>
    <xf numFmtId="164" fontId="158" fillId="2" borderId="0" xfId="0" applyNumberFormat="1" applyFont="1" applyFill="1" applyAlignment="1">
      <alignment vertical="center"/>
    </xf>
    <xf numFmtId="5" fontId="66" fillId="2" borderId="165" xfId="0" applyNumberFormat="1" applyFont="1" applyFill="1" applyBorder="1" applyAlignment="1">
      <alignment horizontal="right" vertical="center"/>
    </xf>
    <xf numFmtId="0" fontId="159" fillId="2" borderId="0" xfId="0" applyFont="1" applyFill="1" applyAlignment="1">
      <alignment horizontal="center" vertical="center"/>
    </xf>
    <xf numFmtId="0" fontId="157" fillId="2" borderId="0" xfId="0" applyFont="1" applyFill="1" applyAlignment="1">
      <alignment horizontal="center" vertical="center"/>
    </xf>
    <xf numFmtId="5" fontId="23" fillId="0" borderId="0" xfId="0" applyNumberFormat="1" applyFont="1" applyAlignment="1">
      <alignment horizontal="right"/>
    </xf>
    <xf numFmtId="5" fontId="23" fillId="0" borderId="172" xfId="0" applyNumberFormat="1" applyFont="1" applyBorder="1" applyAlignment="1">
      <alignment horizontal="right"/>
    </xf>
    <xf numFmtId="5" fontId="23" fillId="0" borderId="171" xfId="0" applyNumberFormat="1" applyFont="1" applyBorder="1" applyAlignment="1">
      <alignment horizontal="right"/>
    </xf>
    <xf numFmtId="5" fontId="23" fillId="0" borderId="173" xfId="0" applyNumberFormat="1" applyFont="1" applyBorder="1" applyAlignment="1">
      <alignment horizontal="right"/>
    </xf>
    <xf numFmtId="5" fontId="23" fillId="0" borderId="172" xfId="0" applyNumberFormat="1" applyFont="1" applyBorder="1"/>
    <xf numFmtId="5" fontId="23" fillId="0" borderId="173" xfId="0" applyNumberFormat="1" applyFont="1" applyBorder="1"/>
    <xf numFmtId="5" fontId="35" fillId="0" borderId="173" xfId="5" applyNumberFormat="1" applyFont="1" applyBorder="1" applyAlignment="1">
      <alignment vertical="center"/>
    </xf>
    <xf numFmtId="5" fontId="23" fillId="0" borderId="0" xfId="0" applyNumberFormat="1" applyFont="1"/>
    <xf numFmtId="0" fontId="53" fillId="0" borderId="0" xfId="0" quotePrefix="1" applyFont="1" applyAlignment="1">
      <alignment horizontal="right" vertical="center"/>
    </xf>
    <xf numFmtId="5" fontId="53" fillId="0" borderId="0" xfId="0" applyNumberFormat="1" applyFont="1" applyAlignment="1">
      <alignment horizontal="right" vertical="center"/>
    </xf>
    <xf numFmtId="5" fontId="53" fillId="0" borderId="0" xfId="0" applyNumberFormat="1" applyFont="1" applyAlignment="1">
      <alignment vertical="center"/>
    </xf>
    <xf numFmtId="5" fontId="52" fillId="0" borderId="0" xfId="0" applyNumberFormat="1" applyFont="1" applyAlignment="1">
      <alignment horizontal="right" vertical="center"/>
    </xf>
    <xf numFmtId="5" fontId="52" fillId="0" borderId="0" xfId="0" applyNumberFormat="1" applyFont="1" applyAlignment="1">
      <alignment horizontal="center" vertical="center"/>
    </xf>
    <xf numFmtId="6" fontId="52" fillId="0" borderId="0" xfId="0" applyNumberFormat="1" applyFont="1" applyAlignment="1">
      <alignment horizontal="right" vertical="center"/>
    </xf>
    <xf numFmtId="6" fontId="53" fillId="0" borderId="0" xfId="0" applyNumberFormat="1" applyFont="1" applyAlignment="1">
      <alignment horizontal="right" vertical="center"/>
    </xf>
    <xf numFmtId="167" fontId="53" fillId="0" borderId="0" xfId="0" applyNumberFormat="1" applyFont="1" applyAlignment="1">
      <alignment vertical="center"/>
    </xf>
    <xf numFmtId="167" fontId="52" fillId="0" borderId="0" xfId="0" applyNumberFormat="1" applyFont="1" applyAlignment="1">
      <alignment vertical="center"/>
    </xf>
    <xf numFmtId="0" fontId="10" fillId="0" borderId="0" xfId="0" applyFont="1" applyAlignment="1">
      <alignment horizontal="right"/>
    </xf>
    <xf numFmtId="0" fontId="146" fillId="0" borderId="0" xfId="50" applyFont="1" applyAlignment="1">
      <alignment vertical="center"/>
    </xf>
    <xf numFmtId="0" fontId="145" fillId="0" borderId="0" xfId="50" applyFont="1" applyAlignment="1">
      <alignment vertical="center"/>
    </xf>
    <xf numFmtId="0" fontId="143" fillId="0" borderId="0" xfId="50" applyFont="1" applyAlignment="1">
      <alignment vertical="center"/>
    </xf>
    <xf numFmtId="0" fontId="146" fillId="0" borderId="0" xfId="50" applyFont="1" applyAlignment="1">
      <alignment horizontal="right" vertical="center"/>
    </xf>
    <xf numFmtId="0" fontId="146" fillId="0" borderId="0" xfId="50" applyFont="1" applyAlignment="1">
      <alignment horizontal="left" vertical="center"/>
    </xf>
    <xf numFmtId="10" fontId="145" fillId="0" borderId="0" xfId="53" applyNumberFormat="1" applyFont="1" applyFill="1" applyBorder="1" applyAlignment="1">
      <alignment vertical="center"/>
    </xf>
    <xf numFmtId="0" fontId="145" fillId="0" borderId="0" xfId="53" applyNumberFormat="1" applyFont="1" applyFill="1" applyBorder="1" applyAlignment="1">
      <alignment vertical="center"/>
    </xf>
    <xf numFmtId="0" fontId="146" fillId="2" borderId="0" xfId="50" applyFont="1" applyFill="1" applyAlignment="1">
      <alignment vertical="center"/>
    </xf>
    <xf numFmtId="0" fontId="145" fillId="2" borderId="0" xfId="50" applyFont="1" applyFill="1" applyAlignment="1">
      <alignment vertical="center"/>
    </xf>
    <xf numFmtId="0" fontId="145" fillId="2" borderId="0" xfId="53" applyNumberFormat="1" applyFont="1" applyFill="1" applyBorder="1" applyAlignment="1">
      <alignment vertical="center"/>
    </xf>
    <xf numFmtId="10" fontId="145" fillId="2" borderId="0" xfId="53" applyNumberFormat="1" applyFont="1" applyFill="1" applyBorder="1" applyAlignment="1">
      <alignment vertical="center"/>
    </xf>
    <xf numFmtId="0" fontId="143" fillId="2" borderId="0" xfId="50" applyFont="1" applyFill="1" applyAlignment="1">
      <alignment vertical="center"/>
    </xf>
    <xf numFmtId="175" fontId="145" fillId="0" borderId="0" xfId="52" applyNumberFormat="1" applyFont="1" applyFill="1" applyBorder="1" applyAlignment="1">
      <alignment vertical="center"/>
    </xf>
    <xf numFmtId="0" fontId="145" fillId="0" borderId="0" xfId="51" applyNumberFormat="1" applyFont="1" applyFill="1" applyBorder="1" applyAlignment="1">
      <alignment vertical="center"/>
    </xf>
    <xf numFmtId="166" fontId="145" fillId="0" borderId="0" xfId="51" applyNumberFormat="1" applyFont="1" applyFill="1" applyBorder="1" applyAlignment="1">
      <alignment vertical="center"/>
    </xf>
    <xf numFmtId="0" fontId="145" fillId="0" borderId="0" xfId="51" applyNumberFormat="1" applyFont="1" applyFill="1" applyBorder="1" applyAlignment="1">
      <alignment horizontal="left" vertical="center"/>
    </xf>
    <xf numFmtId="166" fontId="145" fillId="2" borderId="0" xfId="51" applyNumberFormat="1" applyFont="1" applyFill="1" applyBorder="1" applyAlignment="1">
      <alignment vertical="center"/>
    </xf>
    <xf numFmtId="0" fontId="145" fillId="2" borderId="0" xfId="51" applyNumberFormat="1" applyFont="1" applyFill="1" applyBorder="1" applyAlignment="1">
      <alignment vertical="center"/>
    </xf>
    <xf numFmtId="43" fontId="145" fillId="0" borderId="0" xfId="51" applyFont="1" applyFill="1" applyBorder="1" applyAlignment="1">
      <alignment vertical="center"/>
    </xf>
    <xf numFmtId="44" fontId="145" fillId="2" borderId="0" xfId="52" applyFont="1" applyFill="1" applyBorder="1" applyAlignment="1">
      <alignment vertical="center"/>
    </xf>
    <xf numFmtId="0" fontId="30" fillId="0" borderId="0" xfId="50" applyFont="1"/>
    <xf numFmtId="0" fontId="30" fillId="0" borderId="0" xfId="50" applyFont="1" applyAlignment="1">
      <alignment vertical="center"/>
    </xf>
    <xf numFmtId="0" fontId="161" fillId="0" borderId="0" xfId="50" applyFont="1"/>
    <xf numFmtId="0" fontId="131" fillId="0" borderId="0" xfId="50" applyFont="1"/>
    <xf numFmtId="0" fontId="161" fillId="0" borderId="0" xfId="50" applyFont="1" applyAlignment="1">
      <alignment vertical="center"/>
    </xf>
    <xf numFmtId="0" fontId="131" fillId="0" borderId="0" xfId="50" applyFont="1" applyAlignment="1">
      <alignment horizontal="right" vertical="center"/>
    </xf>
    <xf numFmtId="0" fontId="161" fillId="0" borderId="0" xfId="50" applyFont="1" applyAlignment="1">
      <alignment horizontal="right" vertical="center"/>
    </xf>
    <xf numFmtId="177" fontId="68" fillId="12" borderId="16" xfId="5" applyNumberFormat="1" applyFont="1" applyFill="1" applyBorder="1" applyAlignment="1" applyProtection="1">
      <alignment vertical="center"/>
      <protection locked="0"/>
    </xf>
    <xf numFmtId="177" fontId="68" fillId="12" borderId="15" xfId="5" applyNumberFormat="1" applyFont="1" applyFill="1" applyBorder="1" applyAlignment="1" applyProtection="1">
      <alignment vertical="center"/>
      <protection locked="0"/>
    </xf>
    <xf numFmtId="177" fontId="68" fillId="12" borderId="27" xfId="5" applyNumberFormat="1" applyFont="1" applyFill="1" applyBorder="1" applyAlignment="1" applyProtection="1">
      <alignment vertical="center"/>
      <protection locked="0"/>
    </xf>
    <xf numFmtId="164" fontId="68" fillId="12" borderId="17" xfId="5" applyNumberFormat="1" applyFont="1" applyFill="1" applyBorder="1" applyAlignment="1" applyProtection="1">
      <alignment vertical="center"/>
      <protection locked="0"/>
    </xf>
    <xf numFmtId="173" fontId="161" fillId="0" borderId="37" xfId="50" applyNumberFormat="1" applyFont="1" applyBorder="1" applyAlignment="1">
      <alignment vertical="center"/>
    </xf>
    <xf numFmtId="173" fontId="161" fillId="0" borderId="38" xfId="50" applyNumberFormat="1" applyFont="1" applyBorder="1" applyAlignment="1">
      <alignment vertical="center"/>
    </xf>
    <xf numFmtId="173" fontId="161" fillId="0" borderId="19" xfId="50" applyNumberFormat="1" applyFont="1" applyBorder="1" applyAlignment="1">
      <alignment vertical="center"/>
    </xf>
    <xf numFmtId="173" fontId="161" fillId="0" borderId="39" xfId="50" applyNumberFormat="1" applyFont="1" applyBorder="1" applyAlignment="1">
      <alignment vertical="center"/>
    </xf>
    <xf numFmtId="173" fontId="161" fillId="0" borderId="23" xfId="50" applyNumberFormat="1" applyFont="1" applyBorder="1" applyAlignment="1">
      <alignment vertical="center"/>
    </xf>
    <xf numFmtId="173" fontId="161" fillId="0" borderId="48" xfId="50" applyNumberFormat="1" applyFont="1" applyBorder="1" applyAlignment="1">
      <alignment vertical="center"/>
    </xf>
    <xf numFmtId="173" fontId="161" fillId="0" borderId="0" xfId="50" applyNumberFormat="1" applyFont="1" applyAlignment="1">
      <alignment vertical="center"/>
    </xf>
    <xf numFmtId="173" fontId="161" fillId="0" borderId="54" xfId="50" applyNumberFormat="1" applyFont="1" applyBorder="1" applyAlignment="1">
      <alignment vertical="center"/>
    </xf>
    <xf numFmtId="173" fontId="161" fillId="0" borderId="22" xfId="50" applyNumberFormat="1" applyFont="1" applyBorder="1" applyAlignment="1">
      <alignment vertical="center"/>
    </xf>
    <xf numFmtId="173" fontId="161" fillId="0" borderId="26" xfId="50" applyNumberFormat="1" applyFont="1" applyBorder="1" applyAlignment="1">
      <alignment vertical="center"/>
    </xf>
    <xf numFmtId="0" fontId="30" fillId="0" borderId="0" xfId="50" applyFont="1" applyAlignment="1">
      <alignment horizontal="center"/>
    </xf>
    <xf numFmtId="0" fontId="161" fillId="0" borderId="0" xfId="50" applyFont="1" applyAlignment="1">
      <alignment horizontal="center"/>
    </xf>
    <xf numFmtId="0" fontId="131" fillId="0" borderId="0" xfId="50" applyFont="1" applyAlignment="1">
      <alignment horizontal="center"/>
    </xf>
    <xf numFmtId="0" fontId="131" fillId="0" borderId="1" xfId="50" applyFont="1" applyBorder="1" applyAlignment="1">
      <alignment horizontal="center" vertical="center"/>
    </xf>
    <xf numFmtId="0" fontId="161" fillId="0" borderId="0" xfId="50" applyFont="1" applyAlignment="1">
      <alignment horizontal="center" vertical="center"/>
    </xf>
    <xf numFmtId="5" fontId="161" fillId="0" borderId="0" xfId="50" applyNumberFormat="1" applyFont="1" applyAlignment="1">
      <alignment horizontal="center" vertical="center"/>
    </xf>
    <xf numFmtId="0" fontId="30" fillId="0" borderId="0" xfId="50" applyFont="1" applyAlignment="1">
      <alignment horizontal="center" vertical="center"/>
    </xf>
    <xf numFmtId="0" fontId="131" fillId="0" borderId="0" xfId="50" applyFont="1" applyAlignment="1">
      <alignment horizontal="center" vertical="center"/>
    </xf>
    <xf numFmtId="0" fontId="162" fillId="0" borderId="0" xfId="50" applyFont="1" applyAlignment="1">
      <alignment horizontal="right" vertical="center"/>
    </xf>
    <xf numFmtId="10" fontId="161" fillId="0" borderId="0" xfId="50" applyNumberFormat="1" applyFont="1" applyAlignment="1">
      <alignment horizontal="center" vertical="center"/>
    </xf>
    <xf numFmtId="169" fontId="161" fillId="0" borderId="0" xfId="50" applyNumberFormat="1" applyFont="1" applyAlignment="1">
      <alignment horizontal="center" vertical="center"/>
    </xf>
    <xf numFmtId="171" fontId="161" fillId="0" borderId="0" xfId="50" applyNumberFormat="1" applyFont="1" applyAlignment="1">
      <alignment horizontal="center" vertical="center"/>
    </xf>
    <xf numFmtId="167" fontId="161" fillId="0" borderId="0" xfId="50" applyNumberFormat="1" applyFont="1" applyAlignment="1">
      <alignment horizontal="center" vertical="center"/>
    </xf>
    <xf numFmtId="164" fontId="161" fillId="0" borderId="0" xfId="50" applyNumberFormat="1" applyFont="1" applyAlignment="1">
      <alignment horizontal="center" vertical="center"/>
    </xf>
    <xf numFmtId="9" fontId="14" fillId="0" borderId="0" xfId="5" applyNumberFormat="1" applyAlignment="1">
      <alignment vertical="center"/>
    </xf>
    <xf numFmtId="0" fontId="163" fillId="0" borderId="0" xfId="0" applyFont="1"/>
    <xf numFmtId="10" fontId="14" fillId="0" borderId="0" xfId="5" applyNumberFormat="1" applyAlignment="1">
      <alignment vertical="center"/>
    </xf>
    <xf numFmtId="173" fontId="131" fillId="0" borderId="0" xfId="50" applyNumberFormat="1" applyFont="1"/>
    <xf numFmtId="173" fontId="32" fillId="0" borderId="0" xfId="50" applyNumberFormat="1" applyFont="1" applyAlignment="1">
      <alignment horizontal="center"/>
    </xf>
    <xf numFmtId="173" fontId="32" fillId="0" borderId="0" xfId="50" applyNumberFormat="1" applyFont="1"/>
    <xf numFmtId="10" fontId="24" fillId="0" borderId="0" xfId="0" applyNumberFormat="1" applyFont="1"/>
    <xf numFmtId="0" fontId="161" fillId="2" borderId="0" xfId="50" applyFont="1" applyFill="1" applyAlignment="1">
      <alignment horizontal="center" vertical="center"/>
    </xf>
    <xf numFmtId="164" fontId="94" fillId="2" borderId="0" xfId="50" applyNumberFormat="1" applyFont="1" applyFill="1" applyAlignment="1">
      <alignment horizontal="right" vertical="center"/>
    </xf>
    <xf numFmtId="5" fontId="131" fillId="0" borderId="0" xfId="50" applyNumberFormat="1" applyFont="1" applyAlignment="1">
      <alignment horizontal="right" vertical="center"/>
    </xf>
    <xf numFmtId="9" fontId="131" fillId="0" borderId="0" xfId="50" applyNumberFormat="1" applyFont="1" applyAlignment="1">
      <alignment horizontal="right" vertical="center"/>
    </xf>
    <xf numFmtId="0" fontId="145" fillId="2" borderId="0" xfId="51" applyNumberFormat="1" applyFont="1" applyFill="1" applyBorder="1" applyAlignment="1">
      <alignment horizontal="center" vertical="center"/>
    </xf>
    <xf numFmtId="0" fontId="165" fillId="0" borderId="0" xfId="50" applyFont="1" applyAlignment="1">
      <alignment vertical="center"/>
    </xf>
    <xf numFmtId="173" fontId="30" fillId="0" borderId="23" xfId="50" applyNumberFormat="1" applyFont="1" applyBorder="1" applyAlignment="1">
      <alignment vertical="center"/>
    </xf>
    <xf numFmtId="173" fontId="30" fillId="0" borderId="0" xfId="50" applyNumberFormat="1" applyFont="1" applyAlignment="1">
      <alignment vertical="center"/>
    </xf>
    <xf numFmtId="173" fontId="30" fillId="0" borderId="25" xfId="50" applyNumberFormat="1" applyFont="1" applyBorder="1" applyAlignment="1">
      <alignment vertical="center"/>
    </xf>
    <xf numFmtId="173" fontId="30" fillId="0" borderId="22" xfId="50" applyNumberFormat="1" applyFont="1" applyBorder="1" applyAlignment="1">
      <alignment vertical="center"/>
    </xf>
    <xf numFmtId="173" fontId="30" fillId="0" borderId="52" xfId="50" applyNumberFormat="1" applyFont="1" applyBorder="1" applyAlignment="1">
      <alignment vertical="center"/>
    </xf>
    <xf numFmtId="0" fontId="130" fillId="0" borderId="0" xfId="0" applyFont="1" applyAlignment="1">
      <alignment horizontal="right"/>
    </xf>
    <xf numFmtId="173" fontId="166" fillId="0" borderId="0" xfId="50" applyNumberFormat="1" applyFont="1" applyAlignment="1">
      <alignment vertical="center"/>
    </xf>
    <xf numFmtId="169" fontId="161" fillId="5" borderId="0" xfId="50" applyNumberFormat="1" applyFont="1" applyFill="1" applyAlignment="1">
      <alignment horizontal="center" vertical="center"/>
    </xf>
    <xf numFmtId="164" fontId="68" fillId="12" borderId="0" xfId="5" applyNumberFormat="1" applyFont="1" applyFill="1" applyAlignment="1" applyProtection="1">
      <alignment vertical="center"/>
      <protection locked="0"/>
    </xf>
    <xf numFmtId="173" fontId="167" fillId="0" borderId="0" xfId="50" applyNumberFormat="1" applyFont="1" applyAlignment="1">
      <alignment horizontal="center"/>
    </xf>
    <xf numFmtId="10" fontId="68" fillId="9" borderId="29" xfId="5" applyNumberFormat="1" applyFont="1" applyFill="1" applyBorder="1" applyAlignment="1" applyProtection="1">
      <alignment vertical="center"/>
      <protection locked="0"/>
    </xf>
    <xf numFmtId="10" fontId="68" fillId="9" borderId="3" xfId="5" applyNumberFormat="1" applyFont="1" applyFill="1" applyBorder="1" applyAlignment="1" applyProtection="1">
      <alignment vertical="center"/>
      <protection locked="0"/>
    </xf>
    <xf numFmtId="164" fontId="68" fillId="16" borderId="0" xfId="5" applyNumberFormat="1" applyFont="1" applyFill="1" applyAlignment="1" applyProtection="1">
      <alignment vertical="center"/>
      <protection locked="0"/>
    </xf>
    <xf numFmtId="0" fontId="169" fillId="0" borderId="0" xfId="50" applyFont="1" applyAlignment="1">
      <alignment horizontal="center" vertical="center"/>
    </xf>
    <xf numFmtId="1" fontId="21" fillId="3" borderId="68" xfId="0" applyNumberFormat="1" applyFont="1" applyFill="1" applyBorder="1" applyAlignment="1" applyProtection="1">
      <alignment vertical="center"/>
      <protection locked="0"/>
    </xf>
    <xf numFmtId="164" fontId="21" fillId="3" borderId="179" xfId="0" applyNumberFormat="1" applyFont="1" applyFill="1" applyBorder="1" applyAlignment="1" applyProtection="1">
      <alignment vertical="center"/>
      <protection locked="0"/>
    </xf>
    <xf numFmtId="9" fontId="21" fillId="3" borderId="182" xfId="0" applyNumberFormat="1" applyFont="1" applyFill="1" applyBorder="1" applyAlignment="1" applyProtection="1">
      <alignment horizontal="right" vertical="center"/>
      <protection locked="0"/>
    </xf>
    <xf numFmtId="9" fontId="21" fillId="3" borderId="183" xfId="0" applyNumberFormat="1" applyFont="1" applyFill="1" applyBorder="1" applyAlignment="1" applyProtection="1">
      <alignment horizontal="right" vertical="center"/>
      <protection locked="0"/>
    </xf>
    <xf numFmtId="0" fontId="170" fillId="0" borderId="0" xfId="0" applyFont="1" applyAlignment="1">
      <alignment horizontal="right" vertical="center"/>
    </xf>
    <xf numFmtId="0" fontId="171" fillId="0" borderId="0" xfId="0" applyFont="1" applyAlignment="1">
      <alignment vertical="center"/>
    </xf>
    <xf numFmtId="0" fontId="24" fillId="0" borderId="0" xfId="0" applyFont="1" applyAlignment="1">
      <alignment horizontal="center"/>
    </xf>
    <xf numFmtId="10" fontId="68" fillId="9" borderId="6" xfId="5" applyNumberFormat="1" applyFont="1" applyFill="1" applyBorder="1" applyAlignment="1" applyProtection="1">
      <alignment vertical="center"/>
      <protection locked="0"/>
    </xf>
    <xf numFmtId="10" fontId="68" fillId="9" borderId="30" xfId="5" applyNumberFormat="1" applyFont="1" applyFill="1" applyBorder="1" applyAlignment="1" applyProtection="1">
      <alignment vertical="center"/>
      <protection locked="0"/>
    </xf>
    <xf numFmtId="10" fontId="68" fillId="9" borderId="174" xfId="5" applyNumberFormat="1" applyFont="1" applyFill="1" applyBorder="1" applyAlignment="1" applyProtection="1">
      <alignment vertical="center"/>
      <protection locked="0"/>
    </xf>
    <xf numFmtId="10" fontId="68" fillId="9" borderId="52" xfId="5" applyNumberFormat="1" applyFont="1" applyFill="1" applyBorder="1" applyAlignment="1" applyProtection="1">
      <alignment vertical="center"/>
      <protection locked="0"/>
    </xf>
    <xf numFmtId="164" fontId="68" fillId="9" borderId="3" xfId="5" applyNumberFormat="1" applyFont="1" applyFill="1" applyBorder="1" applyAlignment="1" applyProtection="1">
      <alignment vertical="center"/>
      <protection locked="0"/>
    </xf>
    <xf numFmtId="164" fontId="68" fillId="9" borderId="5" xfId="5" applyNumberFormat="1" applyFont="1" applyFill="1" applyBorder="1" applyAlignment="1" applyProtection="1">
      <alignment vertical="center"/>
      <protection locked="0"/>
    </xf>
    <xf numFmtId="164" fontId="68" fillId="9" borderId="6" xfId="5" applyNumberFormat="1" applyFont="1" applyFill="1" applyBorder="1" applyAlignment="1" applyProtection="1">
      <alignment vertical="center"/>
      <protection locked="0"/>
    </xf>
    <xf numFmtId="164" fontId="68" fillId="9" borderId="7" xfId="5" applyNumberFormat="1" applyFont="1" applyFill="1" applyBorder="1" applyAlignment="1" applyProtection="1">
      <alignment vertical="center"/>
      <protection locked="0"/>
    </xf>
    <xf numFmtId="164" fontId="68" fillId="9" borderId="8" xfId="5" applyNumberFormat="1" applyFont="1" applyFill="1" applyBorder="1" applyAlignment="1" applyProtection="1">
      <alignment vertical="center"/>
      <protection locked="0"/>
    </xf>
    <xf numFmtId="164" fontId="68" fillId="9" borderId="10" xfId="5" applyNumberFormat="1" applyFont="1" applyFill="1" applyBorder="1" applyAlignment="1" applyProtection="1">
      <alignment vertical="center"/>
      <protection locked="0"/>
    </xf>
    <xf numFmtId="167" fontId="68" fillId="9" borderId="3" xfId="5" applyNumberFormat="1" applyFont="1" applyFill="1" applyBorder="1" applyAlignment="1" applyProtection="1">
      <alignment vertical="center"/>
      <protection locked="0"/>
    </xf>
    <xf numFmtId="167" fontId="68" fillId="9" borderId="29" xfId="5" applyNumberFormat="1" applyFont="1" applyFill="1" applyBorder="1" applyAlignment="1" applyProtection="1">
      <alignment vertical="center"/>
      <protection locked="0"/>
    </xf>
    <xf numFmtId="167" fontId="68" fillId="9" borderId="6" xfId="5" applyNumberFormat="1" applyFont="1" applyFill="1" applyBorder="1" applyAlignment="1" applyProtection="1">
      <alignment vertical="center"/>
      <protection locked="0"/>
    </xf>
    <xf numFmtId="167" fontId="68" fillId="9" borderId="30" xfId="5" applyNumberFormat="1" applyFont="1" applyFill="1" applyBorder="1" applyAlignment="1" applyProtection="1">
      <alignment vertical="center"/>
      <protection locked="0"/>
    </xf>
    <xf numFmtId="177" fontId="68" fillId="9" borderId="174" xfId="5" applyNumberFormat="1" applyFont="1" applyFill="1" applyBorder="1" applyAlignment="1" applyProtection="1">
      <alignment vertical="center"/>
      <protection locked="0"/>
    </xf>
    <xf numFmtId="177" fontId="68" fillId="9" borderId="52" xfId="5" applyNumberFormat="1" applyFont="1" applyFill="1" applyBorder="1" applyAlignment="1" applyProtection="1">
      <alignment vertical="center"/>
      <protection locked="0"/>
    </xf>
    <xf numFmtId="10" fontId="68" fillId="9" borderId="181" xfId="5" applyNumberFormat="1" applyFont="1" applyFill="1" applyBorder="1" applyAlignment="1" applyProtection="1">
      <alignment vertical="center"/>
      <protection locked="0"/>
    </xf>
    <xf numFmtId="10" fontId="68" fillId="9" borderId="86" xfId="5" applyNumberFormat="1" applyFont="1" applyFill="1" applyBorder="1" applyAlignment="1" applyProtection="1">
      <alignment vertical="center"/>
      <protection locked="0"/>
    </xf>
    <xf numFmtId="0" fontId="131" fillId="0" borderId="84" xfId="50" applyFont="1" applyBorder="1" applyAlignment="1">
      <alignment horizontal="center" vertical="center"/>
    </xf>
    <xf numFmtId="3" fontId="68" fillId="12" borderId="73" xfId="5" applyNumberFormat="1" applyFont="1" applyFill="1" applyBorder="1" applyAlignment="1" applyProtection="1">
      <alignment vertical="center"/>
      <protection locked="0"/>
    </xf>
    <xf numFmtId="5" fontId="43" fillId="0" borderId="0" xfId="0" applyNumberFormat="1" applyFont="1"/>
    <xf numFmtId="0" fontId="171" fillId="0" borderId="0" xfId="0" applyFont="1" applyAlignment="1">
      <alignment horizontal="right"/>
    </xf>
    <xf numFmtId="165" fontId="21" fillId="3" borderId="15" xfId="28" applyNumberFormat="1" applyFont="1" applyFill="1" applyBorder="1" applyAlignment="1">
      <alignment horizontal="right" vertical="center"/>
      <protection locked="0"/>
    </xf>
    <xf numFmtId="0" fontId="24" fillId="0" borderId="0" xfId="0" quotePrefix="1" applyFont="1"/>
    <xf numFmtId="5" fontId="24" fillId="0" borderId="1" xfId="0" applyNumberFormat="1" applyFont="1" applyBorder="1" applyAlignment="1">
      <alignment vertical="center"/>
    </xf>
    <xf numFmtId="5" fontId="24" fillId="0" borderId="0" xfId="0" applyNumberFormat="1" applyFont="1" applyAlignment="1">
      <alignment horizontal="center" vertical="center"/>
    </xf>
    <xf numFmtId="5" fontId="23" fillId="0" borderId="18" xfId="0" applyNumberFormat="1" applyFont="1" applyBorder="1" applyAlignment="1">
      <alignment vertical="center"/>
    </xf>
    <xf numFmtId="6" fontId="23" fillId="0" borderId="0" xfId="0" applyNumberFormat="1" applyFont="1" applyAlignment="1">
      <alignment horizontal="center" vertical="center"/>
    </xf>
    <xf numFmtId="167" fontId="21" fillId="3" borderId="185" xfId="25" applyFont="1" applyFill="1" applyBorder="1" applyAlignment="1">
      <alignment vertical="center"/>
      <protection locked="0"/>
    </xf>
    <xf numFmtId="10" fontId="21" fillId="3" borderId="185" xfId="25" applyNumberFormat="1" applyFont="1" applyFill="1" applyBorder="1" applyAlignment="1">
      <alignment vertical="center"/>
      <protection locked="0"/>
    </xf>
    <xf numFmtId="10" fontId="21" fillId="3" borderId="64" xfId="25" applyNumberFormat="1" applyFont="1" applyFill="1" applyBorder="1" applyAlignment="1">
      <alignment vertical="center"/>
      <protection locked="0"/>
    </xf>
    <xf numFmtId="10" fontId="21" fillId="3" borderId="64" xfId="4" applyFont="1" applyFill="1" applyBorder="1" applyAlignment="1">
      <alignment vertical="center"/>
      <protection locked="0"/>
    </xf>
    <xf numFmtId="0" fontId="147" fillId="0" borderId="0" xfId="0" applyFont="1" applyAlignment="1">
      <alignment horizontal="left" vertical="center"/>
    </xf>
    <xf numFmtId="167" fontId="21" fillId="0" borderId="0" xfId="0" applyNumberFormat="1" applyFont="1" applyAlignment="1">
      <alignment vertical="center"/>
    </xf>
    <xf numFmtId="0" fontId="88" fillId="2" borderId="0" xfId="0" applyFont="1" applyFill="1" applyAlignment="1">
      <alignment vertical="center"/>
    </xf>
    <xf numFmtId="0" fontId="52" fillId="0" borderId="0" xfId="0" applyFont="1"/>
    <xf numFmtId="0" fontId="174" fillId="0" borderId="0" xfId="0" applyFont="1" applyAlignment="1">
      <alignment vertical="center"/>
    </xf>
    <xf numFmtId="0" fontId="173" fillId="2" borderId="0" xfId="0" applyFont="1" applyFill="1" applyAlignment="1">
      <alignment horizontal="center" vertical="center"/>
    </xf>
    <xf numFmtId="0" fontId="127" fillId="2" borderId="0" xfId="0" applyFont="1" applyFill="1" applyAlignment="1">
      <alignment horizontal="center" vertical="top"/>
    </xf>
    <xf numFmtId="0" fontId="175" fillId="0" borderId="0" xfId="0" applyFont="1" applyAlignment="1">
      <alignment vertical="center"/>
    </xf>
    <xf numFmtId="0" fontId="88" fillId="0" borderId="0" xfId="0" applyFont="1" applyAlignment="1">
      <alignment vertical="top"/>
    </xf>
    <xf numFmtId="164" fontId="106" fillId="0" borderId="0" xfId="5" applyNumberFormat="1" applyFont="1" applyAlignment="1">
      <alignment vertical="center"/>
    </xf>
    <xf numFmtId="9" fontId="176" fillId="0" borderId="0" xfId="5" applyNumberFormat="1" applyFont="1" applyAlignment="1">
      <alignment vertical="center"/>
    </xf>
    <xf numFmtId="9" fontId="21" fillId="3" borderId="137" xfId="0" applyNumberFormat="1" applyFont="1" applyFill="1" applyBorder="1" applyAlignment="1" applyProtection="1">
      <alignment horizontal="right" vertical="center"/>
      <protection locked="0"/>
    </xf>
    <xf numFmtId="9" fontId="21" fillId="3" borderId="184" xfId="0" applyNumberFormat="1" applyFont="1" applyFill="1" applyBorder="1" applyAlignment="1" applyProtection="1">
      <alignment horizontal="right" vertical="center"/>
      <protection locked="0"/>
    </xf>
    <xf numFmtId="169" fontId="21" fillId="3" borderId="137" xfId="0" applyNumberFormat="1" applyFont="1" applyFill="1" applyBorder="1" applyAlignment="1" applyProtection="1">
      <alignment horizontal="right" vertical="center"/>
      <protection locked="0"/>
    </xf>
    <xf numFmtId="169" fontId="25" fillId="0" borderId="140" xfId="0" applyNumberFormat="1" applyFont="1" applyBorder="1" applyAlignment="1">
      <alignment horizontal="right" vertical="center"/>
    </xf>
    <xf numFmtId="9" fontId="25" fillId="0" borderId="140" xfId="0" applyNumberFormat="1" applyFont="1" applyBorder="1" applyAlignment="1">
      <alignment horizontal="right" vertical="center"/>
    </xf>
    <xf numFmtId="9" fontId="52" fillId="2" borderId="0" xfId="0" applyNumberFormat="1" applyFont="1" applyFill="1" applyAlignment="1">
      <alignment horizontal="right" vertical="center"/>
    </xf>
    <xf numFmtId="1" fontId="21" fillId="3" borderId="117" xfId="0" applyNumberFormat="1" applyFont="1" applyFill="1" applyBorder="1" applyAlignment="1" applyProtection="1">
      <alignment horizontal="right" vertical="center"/>
      <protection locked="0"/>
    </xf>
    <xf numFmtId="1" fontId="21" fillId="3" borderId="135" xfId="0" applyNumberFormat="1" applyFont="1" applyFill="1" applyBorder="1" applyAlignment="1" applyProtection="1">
      <alignment horizontal="right" vertical="center"/>
      <protection locked="0"/>
    </xf>
    <xf numFmtId="169" fontId="21" fillId="3" borderId="131" xfId="0" applyNumberFormat="1" applyFont="1" applyFill="1" applyBorder="1" applyAlignment="1" applyProtection="1">
      <alignment horizontal="right" vertical="center"/>
      <protection locked="0"/>
    </xf>
    <xf numFmtId="165" fontId="45" fillId="5" borderId="4" xfId="0" applyNumberFormat="1" applyFont="1" applyFill="1" applyBorder="1" applyAlignment="1">
      <alignment horizontal="right" vertical="center"/>
    </xf>
    <xf numFmtId="165" fontId="45" fillId="5" borderId="2" xfId="0" applyNumberFormat="1" applyFont="1" applyFill="1" applyBorder="1" applyAlignment="1">
      <alignment horizontal="right" vertical="center"/>
    </xf>
    <xf numFmtId="165" fontId="45" fillId="5" borderId="9" xfId="0" applyNumberFormat="1" applyFont="1" applyFill="1" applyBorder="1" applyAlignment="1">
      <alignment horizontal="right" vertical="center"/>
    </xf>
    <xf numFmtId="169" fontId="21" fillId="3" borderId="118" xfId="0" applyNumberFormat="1" applyFont="1" applyFill="1" applyBorder="1" applyAlignment="1" applyProtection="1">
      <alignment horizontal="right" vertical="center"/>
      <protection locked="0"/>
    </xf>
    <xf numFmtId="165" fontId="23" fillId="5" borderId="4" xfId="0" applyNumberFormat="1" applyFont="1" applyFill="1" applyBorder="1" applyAlignment="1">
      <alignment horizontal="right" vertical="center"/>
    </xf>
    <xf numFmtId="165" fontId="23" fillId="5" borderId="5" xfId="0" applyNumberFormat="1" applyFont="1" applyFill="1" applyBorder="1" applyAlignment="1">
      <alignment horizontal="right" vertical="center"/>
    </xf>
    <xf numFmtId="165" fontId="23" fillId="5" borderId="2" xfId="0" applyNumberFormat="1" applyFont="1" applyFill="1" applyBorder="1" applyAlignment="1">
      <alignment horizontal="right" vertical="center"/>
    </xf>
    <xf numFmtId="165" fontId="23" fillId="5" borderId="7" xfId="0" applyNumberFormat="1" applyFont="1" applyFill="1" applyBorder="1" applyAlignment="1">
      <alignment horizontal="right" vertical="center"/>
    </xf>
    <xf numFmtId="165" fontId="23" fillId="5" borderId="141" xfId="0" applyNumberFormat="1" applyFont="1" applyFill="1" applyBorder="1" applyAlignment="1">
      <alignment horizontal="right" vertical="center"/>
    </xf>
    <xf numFmtId="165" fontId="23" fillId="5" borderId="150" xfId="0" applyNumberFormat="1" applyFont="1" applyFill="1" applyBorder="1" applyAlignment="1">
      <alignment horizontal="right" vertical="center"/>
    </xf>
    <xf numFmtId="0" fontId="90" fillId="0" borderId="0" xfId="31" applyFont="1" applyAlignment="1" applyProtection="1">
      <alignment horizontal="right" vertical="center"/>
      <protection locked="0"/>
    </xf>
    <xf numFmtId="0" fontId="26" fillId="0" borderId="140" xfId="0" applyFont="1" applyBorder="1" applyAlignment="1">
      <alignment horizontal="right" vertical="center"/>
    </xf>
    <xf numFmtId="165" fontId="21" fillId="3" borderId="144" xfId="0" applyNumberFormat="1" applyFont="1" applyFill="1" applyBorder="1" applyAlignment="1" applyProtection="1">
      <alignment horizontal="right" vertical="center"/>
      <protection locked="0"/>
    </xf>
    <xf numFmtId="165" fontId="21" fillId="3" borderId="168" xfId="0" applyNumberFormat="1" applyFont="1" applyFill="1" applyBorder="1" applyAlignment="1" applyProtection="1">
      <alignment horizontal="right" vertical="center"/>
      <protection locked="0"/>
    </xf>
    <xf numFmtId="165" fontId="21" fillId="3" borderId="177" xfId="0" applyNumberFormat="1" applyFont="1" applyFill="1" applyBorder="1" applyAlignment="1" applyProtection="1">
      <alignment horizontal="right" vertical="center"/>
      <protection locked="0"/>
    </xf>
    <xf numFmtId="165" fontId="21" fillId="3" borderId="180" xfId="0" applyNumberFormat="1" applyFont="1" applyFill="1" applyBorder="1" applyAlignment="1" applyProtection="1">
      <alignment horizontal="right" vertical="center"/>
      <protection locked="0"/>
    </xf>
    <xf numFmtId="0" fontId="81" fillId="0" borderId="0" xfId="0" applyFont="1"/>
    <xf numFmtId="164" fontId="80" fillId="3" borderId="188" xfId="31" applyNumberFormat="1" applyFont="1" applyFill="1" applyBorder="1"/>
    <xf numFmtId="164" fontId="80" fillId="3" borderId="191" xfId="31" applyNumberFormat="1" applyFont="1" applyFill="1" applyBorder="1"/>
    <xf numFmtId="164" fontId="80" fillId="3" borderId="9" xfId="0" applyNumberFormat="1" applyFont="1" applyFill="1" applyBorder="1" applyAlignment="1">
      <alignment vertical="center"/>
    </xf>
    <xf numFmtId="164" fontId="80" fillId="3" borderId="9" xfId="31" applyNumberFormat="1" applyFont="1" applyFill="1" applyBorder="1"/>
    <xf numFmtId="164" fontId="80" fillId="3" borderId="10" xfId="0" applyNumberFormat="1" applyFont="1" applyFill="1" applyBorder="1" applyAlignment="1">
      <alignment vertical="center"/>
    </xf>
    <xf numFmtId="164" fontId="80" fillId="0" borderId="0" xfId="0" applyNumberFormat="1" applyFont="1" applyAlignment="1">
      <alignment vertical="center"/>
    </xf>
    <xf numFmtId="0" fontId="21" fillId="3" borderId="187" xfId="0" applyFont="1" applyFill="1" applyBorder="1" applyAlignment="1" applyProtection="1">
      <alignment vertical="center"/>
      <protection locked="0"/>
    </xf>
    <xf numFmtId="0" fontId="21" fillId="3" borderId="188" xfId="0" applyFont="1" applyFill="1" applyBorder="1" applyAlignment="1" applyProtection="1">
      <alignment vertical="center"/>
      <protection locked="0"/>
    </xf>
    <xf numFmtId="0" fontId="21" fillId="3" borderId="189" xfId="0" applyFont="1" applyFill="1" applyBorder="1" applyAlignment="1" applyProtection="1">
      <alignment vertical="center"/>
      <protection locked="0"/>
    </xf>
    <xf numFmtId="0" fontId="25" fillId="3" borderId="190" xfId="0" applyFont="1" applyFill="1" applyBorder="1" applyAlignment="1" applyProtection="1">
      <alignment vertical="center"/>
      <protection locked="0"/>
    </xf>
    <xf numFmtId="0" fontId="25" fillId="3" borderId="191" xfId="0" applyFont="1" applyFill="1" applyBorder="1" applyAlignment="1" applyProtection="1">
      <alignment vertical="center"/>
      <protection locked="0"/>
    </xf>
    <xf numFmtId="0" fontId="25" fillId="3" borderId="192" xfId="0" applyFont="1" applyFill="1" applyBorder="1" applyAlignment="1" applyProtection="1">
      <alignment vertical="center"/>
      <protection locked="0"/>
    </xf>
    <xf numFmtId="0" fontId="25" fillId="3" borderId="8" xfId="0" applyFont="1" applyFill="1" applyBorder="1" applyAlignment="1" applyProtection="1">
      <alignment vertical="center"/>
      <protection locked="0"/>
    </xf>
    <xf numFmtId="0" fontId="25" fillId="3" borderId="9" xfId="0" applyFont="1" applyFill="1" applyBorder="1" applyAlignment="1" applyProtection="1">
      <alignment vertical="center"/>
      <protection locked="0"/>
    </xf>
    <xf numFmtId="0" fontId="25" fillId="3" borderId="10" xfId="0" applyFont="1" applyFill="1" applyBorder="1" applyAlignment="1" applyProtection="1">
      <alignment vertical="center"/>
      <protection locked="0"/>
    </xf>
    <xf numFmtId="164" fontId="80" fillId="3" borderId="187" xfId="0" applyNumberFormat="1" applyFont="1" applyFill="1" applyBorder="1"/>
    <xf numFmtId="164" fontId="80" fillId="3" borderId="188" xfId="0" applyNumberFormat="1" applyFont="1" applyFill="1" applyBorder="1" applyAlignment="1">
      <alignment vertical="center"/>
    </xf>
    <xf numFmtId="164" fontId="80" fillId="3" borderId="188" xfId="0" applyNumberFormat="1" applyFont="1" applyFill="1" applyBorder="1"/>
    <xf numFmtId="164" fontId="80" fillId="3" borderId="189" xfId="0" applyNumberFormat="1" applyFont="1" applyFill="1" applyBorder="1" applyAlignment="1">
      <alignment vertical="center"/>
    </xf>
    <xf numFmtId="164" fontId="80" fillId="3" borderId="190" xfId="0" applyNumberFormat="1" applyFont="1" applyFill="1" applyBorder="1"/>
    <xf numFmtId="164" fontId="80" fillId="3" borderId="191" xfId="0" applyNumberFormat="1" applyFont="1" applyFill="1" applyBorder="1" applyAlignment="1">
      <alignment vertical="center"/>
    </xf>
    <xf numFmtId="164" fontId="80" fillId="3" borderId="191" xfId="0" applyNumberFormat="1" applyFont="1" applyFill="1" applyBorder="1"/>
    <xf numFmtId="164" fontId="80" fillId="3" borderId="192" xfId="0" applyNumberFormat="1" applyFont="1" applyFill="1" applyBorder="1" applyAlignment="1">
      <alignment vertical="center"/>
    </xf>
    <xf numFmtId="164" fontId="80" fillId="3" borderId="8" xfId="0" applyNumberFormat="1" applyFont="1" applyFill="1" applyBorder="1" applyAlignment="1">
      <alignment vertical="center"/>
    </xf>
    <xf numFmtId="164" fontId="80" fillId="3" borderId="9" xfId="0" applyNumberFormat="1" applyFont="1" applyFill="1" applyBorder="1"/>
    <xf numFmtId="10" fontId="21" fillId="3" borderId="136" xfId="0" applyNumberFormat="1" applyFont="1" applyFill="1" applyBorder="1" applyAlignment="1" applyProtection="1">
      <alignment horizontal="right" vertical="center"/>
      <protection locked="0"/>
    </xf>
    <xf numFmtId="0" fontId="90" fillId="0" borderId="0" xfId="31" applyFont="1" applyAlignment="1">
      <alignment horizontal="right"/>
    </xf>
    <xf numFmtId="0" fontId="52" fillId="2" borderId="0" xfId="0" applyFont="1" applyFill="1"/>
    <xf numFmtId="10" fontId="21" fillId="3" borderId="134" xfId="0" applyNumberFormat="1" applyFont="1" applyFill="1" applyBorder="1" applyAlignment="1" applyProtection="1">
      <alignment vertical="center"/>
      <protection locked="0"/>
    </xf>
    <xf numFmtId="164" fontId="21" fillId="2" borderId="193" xfId="0" applyNumberFormat="1" applyFont="1" applyFill="1" applyBorder="1" applyAlignment="1">
      <alignment vertical="center"/>
    </xf>
    <xf numFmtId="164" fontId="21" fillId="2" borderId="142" xfId="0" applyNumberFormat="1" applyFont="1" applyFill="1" applyBorder="1" applyAlignment="1">
      <alignment vertical="center"/>
    </xf>
    <xf numFmtId="164" fontId="21" fillId="2" borderId="143" xfId="0" applyNumberFormat="1" applyFont="1" applyFill="1" applyBorder="1" applyAlignment="1">
      <alignment vertical="center"/>
    </xf>
    <xf numFmtId="164" fontId="21" fillId="2" borderId="144" xfId="0" applyNumberFormat="1" applyFont="1" applyFill="1" applyBorder="1" applyAlignment="1">
      <alignment vertical="center"/>
    </xf>
    <xf numFmtId="164" fontId="21" fillId="2" borderId="174" xfId="0" applyNumberFormat="1" applyFont="1" applyFill="1" applyBorder="1" applyAlignment="1">
      <alignment vertical="center"/>
    </xf>
    <xf numFmtId="164" fontId="21" fillId="2" borderId="58" xfId="0" applyNumberFormat="1" applyFont="1" applyFill="1" applyBorder="1" applyAlignment="1">
      <alignment vertical="center"/>
    </xf>
    <xf numFmtId="164" fontId="21" fillId="2" borderId="186" xfId="0" applyNumberFormat="1" applyFont="1" applyFill="1" applyBorder="1" applyAlignment="1">
      <alignment vertical="center"/>
    </xf>
    <xf numFmtId="164" fontId="21" fillId="2" borderId="146" xfId="0" applyNumberFormat="1" applyFont="1" applyFill="1" applyBorder="1" applyAlignment="1">
      <alignment vertical="center"/>
    </xf>
    <xf numFmtId="164" fontId="21" fillId="2" borderId="136" xfId="0" applyNumberFormat="1" applyFont="1" applyFill="1" applyBorder="1" applyAlignment="1">
      <alignment vertical="center"/>
    </xf>
    <xf numFmtId="164" fontId="21" fillId="2" borderId="147" xfId="0" applyNumberFormat="1" applyFont="1" applyFill="1" applyBorder="1" applyAlignment="1">
      <alignment vertical="center"/>
    </xf>
    <xf numFmtId="5" fontId="177" fillId="0" borderId="0" xfId="5" applyNumberFormat="1" applyFont="1" applyAlignment="1">
      <alignment horizontal="right" vertical="center"/>
    </xf>
    <xf numFmtId="5" fontId="45" fillId="0" borderId="0" xfId="5" applyNumberFormat="1" applyFont="1" applyAlignment="1">
      <alignment horizontal="right" vertical="center"/>
    </xf>
    <xf numFmtId="164" fontId="71" fillId="0" borderId="0" xfId="0" applyNumberFormat="1" applyFont="1" applyAlignment="1">
      <alignment horizontal="right" vertical="center"/>
    </xf>
    <xf numFmtId="5" fontId="23" fillId="0" borderId="11" xfId="0" applyNumberFormat="1" applyFont="1" applyBorder="1" applyAlignment="1">
      <alignment horizontal="right" vertical="center"/>
    </xf>
    <xf numFmtId="0" fontId="31" fillId="0" borderId="0" xfId="5" applyFont="1" applyAlignment="1">
      <alignment horizontal="right"/>
    </xf>
    <xf numFmtId="165" fontId="93" fillId="0" borderId="0" xfId="0" applyNumberFormat="1" applyFont="1" applyAlignment="1">
      <alignment horizontal="right" vertical="center"/>
    </xf>
    <xf numFmtId="164" fontId="34" fillId="8" borderId="34" xfId="5" applyNumberFormat="1" applyFont="1" applyFill="1" applyBorder="1" applyAlignment="1">
      <alignment horizontal="right"/>
    </xf>
    <xf numFmtId="164" fontId="35" fillId="8" borderId="34" xfId="5" applyNumberFormat="1" applyFont="1" applyFill="1" applyBorder="1" applyAlignment="1">
      <alignment horizontal="right"/>
    </xf>
    <xf numFmtId="164" fontId="126" fillId="8" borderId="0" xfId="5" applyNumberFormat="1" applyFont="1" applyFill="1" applyAlignment="1">
      <alignment horizontal="right"/>
    </xf>
    <xf numFmtId="164" fontId="35" fillId="0" borderId="0" xfId="5" applyNumberFormat="1" applyFont="1" applyAlignment="1">
      <alignment horizontal="right"/>
    </xf>
    <xf numFmtId="164" fontId="38" fillId="0" borderId="0" xfId="5" applyNumberFormat="1" applyFont="1" applyAlignment="1">
      <alignment horizontal="right"/>
    </xf>
    <xf numFmtId="0" fontId="20" fillId="0" borderId="0" xfId="0" applyFont="1" applyAlignment="1">
      <alignment horizontal="right" vertical="center"/>
    </xf>
    <xf numFmtId="0" fontId="12" fillId="0" borderId="0" xfId="0" applyFont="1" applyAlignment="1">
      <alignment horizontal="right" vertical="center"/>
    </xf>
    <xf numFmtId="165" fontId="16" fillId="0" borderId="0" xfId="0" applyNumberFormat="1" applyFont="1" applyAlignment="1">
      <alignment horizontal="right" vertical="center"/>
    </xf>
    <xf numFmtId="165" fontId="16" fillId="0" borderId="22" xfId="0" applyNumberFormat="1" applyFont="1" applyBorder="1" applyAlignment="1">
      <alignment horizontal="right" vertical="center"/>
    </xf>
    <xf numFmtId="164" fontId="45" fillId="4" borderId="4" xfId="0" applyNumberFormat="1" applyFont="1" applyFill="1" applyBorder="1" applyAlignment="1">
      <alignment horizontal="right" vertical="center"/>
    </xf>
    <xf numFmtId="164" fontId="45" fillId="4" borderId="5" xfId="0" applyNumberFormat="1" applyFont="1" applyFill="1" applyBorder="1" applyAlignment="1">
      <alignment horizontal="right" vertical="center"/>
    </xf>
    <xf numFmtId="164" fontId="45" fillId="4" borderId="2" xfId="0" applyNumberFormat="1" applyFont="1" applyFill="1" applyBorder="1" applyAlignment="1">
      <alignment horizontal="right" vertical="center"/>
    </xf>
    <xf numFmtId="164" fontId="45" fillId="4" borderId="7" xfId="0" applyNumberFormat="1" applyFont="1" applyFill="1" applyBorder="1" applyAlignment="1">
      <alignment horizontal="right" vertical="center"/>
    </xf>
    <xf numFmtId="164" fontId="45" fillId="4" borderId="141" xfId="0" applyNumberFormat="1" applyFont="1" applyFill="1" applyBorder="1" applyAlignment="1">
      <alignment horizontal="right" vertical="center"/>
    </xf>
    <xf numFmtId="164" fontId="45" fillId="4" borderId="150" xfId="0" applyNumberFormat="1" applyFont="1" applyFill="1" applyBorder="1" applyAlignment="1">
      <alignment horizontal="right" vertical="center"/>
    </xf>
    <xf numFmtId="164" fontId="16" fillId="0" borderId="11" xfId="0" applyNumberFormat="1" applyFont="1" applyBorder="1" applyAlignment="1">
      <alignment horizontal="right" vertical="center"/>
    </xf>
    <xf numFmtId="164" fontId="0" fillId="0" borderId="0" xfId="0" applyNumberFormat="1" applyAlignment="1">
      <alignment horizontal="right" vertical="center"/>
    </xf>
    <xf numFmtId="164" fontId="24" fillId="0" borderId="0" xfId="0" quotePrefix="1" applyNumberFormat="1" applyFont="1" applyAlignment="1">
      <alignment horizontal="right" vertical="center"/>
    </xf>
    <xf numFmtId="164" fontId="23" fillId="0" borderId="140" xfId="0" applyNumberFormat="1" applyFont="1" applyBorder="1" applyAlignment="1">
      <alignment horizontal="right" vertical="center"/>
    </xf>
    <xf numFmtId="164" fontId="23" fillId="0" borderId="23" xfId="0" applyNumberFormat="1" applyFont="1" applyBorder="1" applyAlignment="1">
      <alignment horizontal="right" vertical="center"/>
    </xf>
    <xf numFmtId="164" fontId="23" fillId="0" borderId="0" xfId="0" applyNumberFormat="1" applyFont="1" applyAlignment="1">
      <alignment horizontal="right" vertical="center"/>
    </xf>
    <xf numFmtId="0" fontId="54" fillId="0" borderId="0" xfId="0" applyFont="1" applyAlignment="1">
      <alignment horizontal="right" vertical="center"/>
    </xf>
    <xf numFmtId="0" fontId="31" fillId="0" borderId="0" xfId="5" applyFont="1" applyAlignment="1">
      <alignment horizontal="right" vertical="center"/>
    </xf>
    <xf numFmtId="165" fontId="80" fillId="16" borderId="1" xfId="5" applyNumberFormat="1" applyFont="1" applyFill="1" applyBorder="1" applyAlignment="1">
      <alignment horizontal="right" vertical="center"/>
    </xf>
    <xf numFmtId="10" fontId="30" fillId="0" borderId="0" xfId="5" applyNumberFormat="1" applyFont="1" applyAlignment="1">
      <alignment horizontal="right"/>
    </xf>
    <xf numFmtId="0" fontId="14" fillId="0" borderId="0" xfId="5" applyAlignment="1">
      <alignment horizontal="right" vertical="center"/>
    </xf>
    <xf numFmtId="164" fontId="32" fillId="0" borderId="11" xfId="5" applyNumberFormat="1" applyFont="1" applyBorder="1" applyAlignment="1">
      <alignment horizontal="right" vertical="center"/>
    </xf>
    <xf numFmtId="164" fontId="14" fillId="0" borderId="0" xfId="5" applyNumberFormat="1" applyAlignment="1">
      <alignment horizontal="right" vertical="center"/>
    </xf>
    <xf numFmtId="165" fontId="66" fillId="16" borderId="0" xfId="5" applyNumberFormat="1" applyFont="1" applyFill="1" applyAlignment="1">
      <alignment horizontal="right" vertical="center"/>
    </xf>
    <xf numFmtId="0" fontId="13" fillId="0" borderId="0" xfId="5" applyFont="1" applyAlignment="1">
      <alignment horizontal="right" vertical="center"/>
    </xf>
    <xf numFmtId="3" fontId="34" fillId="0" borderId="0" xfId="5" applyNumberFormat="1" applyFont="1" applyAlignment="1">
      <alignment horizontal="right" vertical="center"/>
    </xf>
    <xf numFmtId="10" fontId="34" fillId="0" borderId="0" xfId="5" applyNumberFormat="1" applyFont="1" applyAlignment="1">
      <alignment horizontal="right" vertical="center"/>
    </xf>
    <xf numFmtId="167" fontId="30" fillId="0" borderId="0" xfId="5" applyNumberFormat="1" applyFont="1" applyAlignment="1">
      <alignment horizontal="right" vertical="center"/>
    </xf>
    <xf numFmtId="165" fontId="80" fillId="16" borderId="0" xfId="5" applyNumberFormat="1" applyFont="1" applyFill="1" applyAlignment="1">
      <alignment horizontal="right" vertical="center"/>
    </xf>
    <xf numFmtId="165" fontId="36" fillId="12" borderId="71" xfId="5" applyNumberFormat="1" applyFont="1" applyFill="1" applyBorder="1" applyAlignment="1" applyProtection="1">
      <alignment horizontal="right" vertical="center"/>
      <protection locked="0"/>
    </xf>
    <xf numFmtId="165" fontId="36" fillId="12" borderId="66" xfId="5" applyNumberFormat="1" applyFont="1" applyFill="1" applyBorder="1" applyAlignment="1" applyProtection="1">
      <alignment horizontal="right" vertical="center"/>
      <protection locked="0"/>
    </xf>
    <xf numFmtId="164" fontId="30" fillId="8" borderId="0" xfId="5" applyNumberFormat="1" applyFont="1" applyFill="1" applyAlignment="1">
      <alignment horizontal="right" vertical="center"/>
    </xf>
    <xf numFmtId="164" fontId="32" fillId="8" borderId="0" xfId="5" applyNumberFormat="1" applyFont="1" applyFill="1" applyAlignment="1">
      <alignment horizontal="right" vertical="center"/>
    </xf>
    <xf numFmtId="165" fontId="45" fillId="16" borderId="0" xfId="5" applyNumberFormat="1" applyFont="1" applyFill="1" applyAlignment="1">
      <alignment horizontal="right" vertical="center"/>
    </xf>
    <xf numFmtId="165" fontId="30" fillId="0" borderId="0" xfId="5" applyNumberFormat="1" applyFont="1"/>
    <xf numFmtId="0" fontId="40" fillId="8" borderId="0" xfId="5" applyFont="1" applyFill="1" applyAlignment="1">
      <alignment horizontal="right" vertical="center"/>
    </xf>
    <xf numFmtId="164" fontId="34" fillId="8" borderId="34" xfId="5" applyNumberFormat="1" applyFont="1" applyFill="1" applyBorder="1" applyAlignment="1">
      <alignment vertical="center"/>
    </xf>
    <xf numFmtId="164" fontId="34" fillId="8" borderId="34" xfId="5" applyNumberFormat="1" applyFont="1" applyFill="1" applyBorder="1" applyAlignment="1">
      <alignment horizontal="right" vertical="center"/>
    </xf>
    <xf numFmtId="164" fontId="34" fillId="8" borderId="0" xfId="5" applyNumberFormat="1" applyFont="1" applyFill="1" applyAlignment="1">
      <alignment horizontal="right" vertical="center"/>
    </xf>
    <xf numFmtId="164" fontId="35" fillId="8" borderId="34" xfId="5" applyNumberFormat="1" applyFont="1" applyFill="1" applyBorder="1" applyAlignment="1">
      <alignment horizontal="right" vertical="center"/>
    </xf>
    <xf numFmtId="0" fontId="34" fillId="8" borderId="0" xfId="5" applyFont="1" applyFill="1" applyAlignment="1">
      <alignment vertical="center"/>
    </xf>
    <xf numFmtId="164" fontId="35" fillId="8" borderId="0" xfId="5" applyNumberFormat="1" applyFont="1" applyFill="1" applyAlignment="1">
      <alignment horizontal="right" vertical="center"/>
    </xf>
    <xf numFmtId="164" fontId="126" fillId="8" borderId="0" xfId="5" applyNumberFormat="1" applyFont="1" applyFill="1" applyAlignment="1">
      <alignment horizontal="right" vertical="center"/>
    </xf>
    <xf numFmtId="165" fontId="32" fillId="0" borderId="32" xfId="5" applyNumberFormat="1" applyFont="1" applyBorder="1" applyAlignment="1">
      <alignment horizontal="right" vertical="center"/>
    </xf>
    <xf numFmtId="164" fontId="35" fillId="0" borderId="0" xfId="5" applyNumberFormat="1" applyFont="1" applyAlignment="1">
      <alignment vertical="center"/>
    </xf>
    <xf numFmtId="164" fontId="35" fillId="0" borderId="0" xfId="5" applyNumberFormat="1" applyFont="1" applyAlignment="1">
      <alignment horizontal="right" vertical="center"/>
    </xf>
    <xf numFmtId="164" fontId="38" fillId="0" borderId="0" xfId="5" applyNumberFormat="1" applyFont="1" applyAlignment="1">
      <alignment horizontal="right" vertical="center"/>
    </xf>
    <xf numFmtId="0" fontId="87" fillId="0" borderId="0" xfId="0" applyFont="1" applyAlignment="1">
      <alignment horizontal="right" vertical="center"/>
    </xf>
    <xf numFmtId="0" fontId="85" fillId="0" borderId="22" xfId="5" applyFont="1" applyBorder="1" applyAlignment="1">
      <alignment horizontal="right" vertical="center"/>
    </xf>
    <xf numFmtId="164" fontId="85" fillId="0" borderId="0" xfId="5" applyNumberFormat="1" applyFont="1" applyAlignment="1">
      <alignment vertical="center"/>
    </xf>
    <xf numFmtId="164" fontId="31" fillId="0" borderId="0" xfId="5" applyNumberFormat="1" applyFont="1" applyAlignment="1">
      <alignment horizontal="right" vertical="center"/>
    </xf>
    <xf numFmtId="0" fontId="83" fillId="0" borderId="0" xfId="5" applyFont="1" applyAlignment="1">
      <alignment horizontal="right" vertical="center"/>
    </xf>
    <xf numFmtId="0" fontId="84" fillId="0" borderId="0" xfId="5" applyFont="1" applyAlignment="1">
      <alignment horizontal="right" vertical="center"/>
    </xf>
    <xf numFmtId="164" fontId="83" fillId="0" borderId="0" xfId="5" applyNumberFormat="1" applyFont="1" applyAlignment="1">
      <alignment horizontal="right" vertical="center"/>
    </xf>
    <xf numFmtId="1" fontId="30" fillId="0" borderId="0" xfId="5" applyNumberFormat="1" applyFont="1" applyAlignment="1">
      <alignment horizontal="right" vertical="center"/>
    </xf>
    <xf numFmtId="164" fontId="32" fillId="0" borderId="0" xfId="5" quotePrefix="1" applyNumberFormat="1" applyFont="1" applyAlignment="1">
      <alignment horizontal="right" vertical="center"/>
    </xf>
    <xf numFmtId="164" fontId="30" fillId="0" borderId="0" xfId="5" quotePrefix="1" applyNumberFormat="1" applyFont="1" applyAlignment="1">
      <alignment horizontal="right" vertical="center"/>
    </xf>
    <xf numFmtId="3" fontId="30" fillId="0" borderId="0" xfId="5" applyNumberFormat="1" applyFont="1" applyAlignment="1">
      <alignment horizontal="right" vertical="center"/>
    </xf>
    <xf numFmtId="164" fontId="117" fillId="0" borderId="0" xfId="5" applyNumberFormat="1" applyFont="1" applyAlignment="1">
      <alignment horizontal="right" vertical="center"/>
    </xf>
    <xf numFmtId="0" fontId="2" fillId="0" borderId="0" xfId="0" applyFont="1" applyAlignment="1">
      <alignment horizontal="right" vertical="center"/>
    </xf>
    <xf numFmtId="0" fontId="64" fillId="0" borderId="0" xfId="5" applyFont="1" applyAlignment="1">
      <alignment horizontal="right" vertical="center"/>
    </xf>
    <xf numFmtId="0" fontId="57" fillId="0" borderId="0" xfId="5" applyFont="1" applyAlignment="1">
      <alignment horizontal="right" vertical="center"/>
    </xf>
    <xf numFmtId="0" fontId="43" fillId="0" borderId="0" xfId="5" applyFont="1" applyAlignment="1">
      <alignment horizontal="right" vertical="center"/>
    </xf>
    <xf numFmtId="0" fontId="115" fillId="0" borderId="0" xfId="5" applyFont="1" applyAlignment="1">
      <alignment horizontal="right" vertical="center"/>
    </xf>
    <xf numFmtId="0" fontId="115" fillId="0" borderId="0" xfId="5" applyFont="1" applyAlignment="1">
      <alignment vertical="center"/>
    </xf>
    <xf numFmtId="0" fontId="115" fillId="2" borderId="0" xfId="5" applyFont="1" applyFill="1" applyAlignment="1">
      <alignment vertical="center"/>
    </xf>
    <xf numFmtId="3" fontId="115" fillId="2" borderId="0" xfId="5" applyNumberFormat="1" applyFont="1" applyFill="1" applyAlignment="1">
      <alignment vertical="center"/>
    </xf>
    <xf numFmtId="0" fontId="115" fillId="2" borderId="0" xfId="5" applyFont="1" applyFill="1" applyAlignment="1">
      <alignment horizontal="right" vertical="center"/>
    </xf>
    <xf numFmtId="0" fontId="116" fillId="2" borderId="1" xfId="5" applyFont="1" applyFill="1" applyBorder="1" applyAlignment="1">
      <alignment horizontal="right" vertical="center"/>
    </xf>
    <xf numFmtId="0" fontId="118" fillId="0" borderId="0" xfId="5" applyFont="1" applyAlignment="1">
      <alignment vertical="center"/>
    </xf>
    <xf numFmtId="3" fontId="115" fillId="0" borderId="0" xfId="5" applyNumberFormat="1" applyFont="1" applyAlignment="1">
      <alignment vertical="center"/>
    </xf>
    <xf numFmtId="2" fontId="30" fillId="0" borderId="0" xfId="5" applyNumberFormat="1" applyFont="1" applyAlignment="1">
      <alignment vertical="center"/>
    </xf>
    <xf numFmtId="164" fontId="23" fillId="0" borderId="11" xfId="0" applyNumberFormat="1" applyFont="1" applyBorder="1" applyAlignment="1">
      <alignment horizontal="right" vertical="center"/>
    </xf>
    <xf numFmtId="0" fontId="149" fillId="0" borderId="0" xfId="0" applyFont="1" applyAlignment="1">
      <alignment vertical="center"/>
    </xf>
    <xf numFmtId="5" fontId="48" fillId="0" borderId="0" xfId="5" applyNumberFormat="1" applyFont="1" applyAlignment="1">
      <alignment vertical="center"/>
    </xf>
    <xf numFmtId="164" fontId="23" fillId="0" borderId="11" xfId="0" applyNumberFormat="1" applyFont="1" applyBorder="1" applyAlignment="1">
      <alignment vertical="center"/>
    </xf>
    <xf numFmtId="165" fontId="32" fillId="11" borderId="99" xfId="5" applyNumberFormat="1" applyFont="1" applyFill="1" applyBorder="1" applyAlignment="1">
      <alignment horizontal="right" vertical="center"/>
    </xf>
    <xf numFmtId="165" fontId="32" fillId="11" borderId="41" xfId="5" applyNumberFormat="1" applyFont="1" applyFill="1" applyBorder="1" applyAlignment="1">
      <alignment horizontal="right" vertical="center"/>
    </xf>
    <xf numFmtId="165" fontId="32" fillId="11" borderId="105" xfId="5" applyNumberFormat="1" applyFont="1" applyFill="1" applyBorder="1" applyAlignment="1">
      <alignment horizontal="right" vertical="center"/>
    </xf>
    <xf numFmtId="165" fontId="54" fillId="0" borderId="0" xfId="0" applyNumberFormat="1" applyFont="1" applyAlignment="1">
      <alignment horizontal="right" vertical="center"/>
    </xf>
    <xf numFmtId="178" fontId="25" fillId="0" borderId="0" xfId="0" applyNumberFormat="1" applyFont="1" applyAlignment="1">
      <alignment horizontal="right"/>
    </xf>
    <xf numFmtId="178" fontId="25" fillId="0" borderId="25" xfId="31" applyNumberFormat="1" applyFont="1" applyBorder="1" applyAlignment="1" applyProtection="1">
      <alignment horizontal="right" vertical="center"/>
      <protection locked="0"/>
    </xf>
    <xf numFmtId="179" fontId="24" fillId="0" borderId="0" xfId="0" applyNumberFormat="1" applyFont="1" applyAlignment="1">
      <alignment horizontal="right" vertical="center"/>
    </xf>
    <xf numFmtId="178" fontId="24" fillId="0" borderId="0" xfId="0" applyNumberFormat="1" applyFont="1" applyAlignment="1">
      <alignment horizontal="right" vertical="center"/>
    </xf>
    <xf numFmtId="0" fontId="32" fillId="8" borderId="1" xfId="5" applyFont="1" applyFill="1" applyBorder="1" applyAlignment="1">
      <alignment horizontal="right" vertical="center"/>
    </xf>
    <xf numFmtId="164" fontId="32" fillId="8" borderId="1" xfId="5" applyNumberFormat="1" applyFont="1" applyFill="1" applyBorder="1" applyAlignment="1">
      <alignment horizontal="right" vertical="center"/>
    </xf>
    <xf numFmtId="5" fontId="66" fillId="0" borderId="0" xfId="5" applyNumberFormat="1" applyFont="1" applyAlignment="1">
      <alignment horizontal="right" vertical="center"/>
    </xf>
    <xf numFmtId="5" fontId="48" fillId="8" borderId="0" xfId="5" applyNumberFormat="1" applyFont="1" applyFill="1" applyAlignment="1">
      <alignment horizontal="right" vertical="center"/>
    </xf>
    <xf numFmtId="5" fontId="106" fillId="0" borderId="0" xfId="5" applyNumberFormat="1" applyFont="1" applyAlignment="1">
      <alignment vertical="center"/>
    </xf>
    <xf numFmtId="5" fontId="57" fillId="0" borderId="34" xfId="5" applyNumberFormat="1" applyFont="1" applyBorder="1" applyAlignment="1">
      <alignment vertical="center"/>
    </xf>
    <xf numFmtId="5" fontId="57" fillId="0" borderId="36" xfId="5" applyNumberFormat="1" applyFont="1" applyBorder="1" applyAlignment="1">
      <alignment vertical="center"/>
    </xf>
    <xf numFmtId="5" fontId="51" fillId="0" borderId="0" xfId="5" applyNumberFormat="1" applyFont="1" applyAlignment="1">
      <alignment vertical="center"/>
    </xf>
    <xf numFmtId="5" fontId="71" fillId="0" borderId="0" xfId="0" applyNumberFormat="1" applyFont="1" applyAlignment="1">
      <alignment vertical="center"/>
    </xf>
    <xf numFmtId="2" fontId="71" fillId="0" borderId="0" xfId="0" applyNumberFormat="1" applyFont="1" applyAlignment="1">
      <alignment vertical="center"/>
    </xf>
    <xf numFmtId="165" fontId="71" fillId="0" borderId="0" xfId="0" applyNumberFormat="1" applyFont="1" applyAlignment="1">
      <alignment vertical="center"/>
    </xf>
    <xf numFmtId="1" fontId="71" fillId="0" borderId="0" xfId="0" applyNumberFormat="1" applyFont="1" applyAlignment="1">
      <alignment horizontal="right" vertical="center" indent="2"/>
    </xf>
    <xf numFmtId="5" fontId="26" fillId="0" borderId="169" xfId="0" applyNumberFormat="1" applyFont="1" applyBorder="1" applyAlignment="1">
      <alignment horizontal="right" vertical="center"/>
    </xf>
    <xf numFmtId="9" fontId="26" fillId="0" borderId="169" xfId="0" applyNumberFormat="1" applyFont="1" applyBorder="1" applyAlignment="1">
      <alignment horizontal="right" vertical="center"/>
    </xf>
    <xf numFmtId="170" fontId="130" fillId="0" borderId="0" xfId="5" applyNumberFormat="1" applyFont="1" applyAlignment="1">
      <alignment horizontal="right" vertical="center"/>
    </xf>
    <xf numFmtId="0" fontId="96" fillId="0" borderId="0" xfId="0" applyFont="1" applyAlignment="1">
      <alignment horizontal="right" vertical="center"/>
    </xf>
    <xf numFmtId="3" fontId="21" fillId="3" borderId="47" xfId="28" applyNumberFormat="1" applyFont="1" applyFill="1" applyBorder="1" applyAlignment="1">
      <alignment vertical="center"/>
      <protection locked="0"/>
    </xf>
    <xf numFmtId="3" fontId="21" fillId="3" borderId="15" xfId="25" applyNumberFormat="1" applyFont="1" applyFill="1" applyBorder="1" applyAlignment="1">
      <alignment vertical="center"/>
      <protection locked="0"/>
    </xf>
    <xf numFmtId="3" fontId="21" fillId="3" borderId="185" xfId="25" applyNumberFormat="1" applyFont="1" applyFill="1" applyBorder="1" applyAlignment="1">
      <alignment vertical="center"/>
      <protection locked="0"/>
    </xf>
    <xf numFmtId="165" fontId="22" fillId="3" borderId="14" xfId="0" applyNumberFormat="1" applyFont="1" applyFill="1" applyBorder="1" applyAlignment="1">
      <alignment horizontal="right" vertical="center"/>
    </xf>
    <xf numFmtId="0" fontId="0" fillId="0" borderId="49" xfId="0" applyBorder="1"/>
    <xf numFmtId="5" fontId="23" fillId="0" borderId="195" xfId="0" applyNumberFormat="1" applyFont="1" applyBorder="1"/>
    <xf numFmtId="0" fontId="178" fillId="0" borderId="0" xfId="0" applyFont="1" applyAlignment="1">
      <alignment horizontal="left" vertical="center"/>
    </xf>
    <xf numFmtId="10" fontId="21" fillId="3" borderId="197" xfId="4" applyFont="1" applyFill="1" applyBorder="1" applyAlignment="1">
      <protection locked="0"/>
    </xf>
    <xf numFmtId="1" fontId="21" fillId="3" borderId="196" xfId="28" applyNumberFormat="1" applyFont="1" applyFill="1" applyBorder="1" applyAlignment="1">
      <protection locked="0"/>
    </xf>
    <xf numFmtId="164" fontId="22" fillId="2" borderId="198" xfId="29" applyFont="1" applyBorder="1" applyAlignment="1" applyProtection="1">
      <alignment vertical="center"/>
      <protection locked="0"/>
    </xf>
    <xf numFmtId="164" fontId="22" fillId="2" borderId="46" xfId="29" applyFont="1" applyBorder="1" applyAlignment="1" applyProtection="1">
      <alignment vertical="center"/>
      <protection locked="0"/>
    </xf>
    <xf numFmtId="164" fontId="22" fillId="2" borderId="2" xfId="29" applyFont="1" applyBorder="1" applyAlignment="1" applyProtection="1">
      <alignment vertical="center"/>
      <protection locked="0"/>
    </xf>
    <xf numFmtId="0" fontId="56" fillId="0" borderId="0" xfId="0" applyFont="1"/>
    <xf numFmtId="178" fontId="25" fillId="0" borderId="0" xfId="0" applyNumberFormat="1" applyFont="1" applyAlignment="1">
      <alignment horizontal="right" vertical="center"/>
    </xf>
    <xf numFmtId="1" fontId="21" fillId="3" borderId="65" xfId="4" applyNumberFormat="1" applyFont="1" applyFill="1" applyBorder="1" applyAlignment="1">
      <alignment vertical="center"/>
      <protection locked="0"/>
    </xf>
    <xf numFmtId="0" fontId="21" fillId="3" borderId="199" xfId="0" applyFont="1" applyFill="1" applyBorder="1" applyAlignment="1" applyProtection="1">
      <alignment vertical="center"/>
      <protection locked="0"/>
    </xf>
    <xf numFmtId="0" fontId="25" fillId="3" borderId="200" xfId="0" applyFont="1" applyFill="1" applyBorder="1" applyAlignment="1" applyProtection="1">
      <alignment vertical="center"/>
      <protection locked="0"/>
    </xf>
    <xf numFmtId="0" fontId="25" fillId="3" borderId="109" xfId="0" applyFont="1" applyFill="1" applyBorder="1" applyAlignment="1" applyProtection="1">
      <alignment vertical="center"/>
      <protection locked="0"/>
    </xf>
    <xf numFmtId="164" fontId="80" fillId="3" borderId="199" xfId="0" applyNumberFormat="1" applyFont="1" applyFill="1" applyBorder="1" applyAlignment="1">
      <alignment vertical="center"/>
    </xf>
    <xf numFmtId="164" fontId="80" fillId="3" borderId="200" xfId="0" applyNumberFormat="1" applyFont="1" applyFill="1" applyBorder="1" applyAlignment="1">
      <alignment vertical="center"/>
    </xf>
    <xf numFmtId="164" fontId="80" fillId="3" borderId="109" xfId="0" applyNumberFormat="1" applyFont="1" applyFill="1" applyBorder="1" applyAlignment="1">
      <alignment vertical="center"/>
    </xf>
    <xf numFmtId="165" fontId="24" fillId="0" borderId="0" xfId="0" applyNumberFormat="1" applyFont="1" applyAlignment="1">
      <alignment horizontal="right"/>
    </xf>
    <xf numFmtId="0" fontId="79" fillId="0" borderId="0" xfId="0" applyFont="1"/>
    <xf numFmtId="0" fontId="179" fillId="0" borderId="0" xfId="0" quotePrefix="1" applyFont="1" applyAlignment="1">
      <alignment horizontal="left" vertical="center"/>
    </xf>
    <xf numFmtId="0" fontId="179" fillId="0" borderId="0" xfId="0" quotePrefix="1" applyFont="1" applyAlignment="1">
      <alignment horizontal="right" vertical="center"/>
    </xf>
    <xf numFmtId="5" fontId="179" fillId="0" borderId="0" xfId="0" applyNumberFormat="1" applyFont="1" applyAlignment="1">
      <alignment vertical="center"/>
    </xf>
    <xf numFmtId="5" fontId="71" fillId="0" borderId="0" xfId="0" applyNumberFormat="1" applyFont="1" applyAlignment="1">
      <alignment horizontal="right" vertical="center"/>
    </xf>
    <xf numFmtId="3" fontId="24" fillId="5" borderId="0" xfId="0" applyNumberFormat="1" applyFont="1" applyFill="1" applyAlignment="1">
      <alignment horizontal="right"/>
    </xf>
    <xf numFmtId="0" fontId="23" fillId="5" borderId="0" xfId="0" applyFont="1" applyFill="1" applyAlignment="1">
      <alignment horizontal="right" vertical="center"/>
    </xf>
    <xf numFmtId="0" fontId="24" fillId="5" borderId="0" xfId="0" applyFont="1" applyFill="1" applyAlignment="1">
      <alignment horizontal="right" vertical="center"/>
    </xf>
    <xf numFmtId="5" fontId="24" fillId="5" borderId="0" xfId="0" applyNumberFormat="1" applyFont="1" applyFill="1" applyAlignment="1">
      <alignment horizontal="right" vertical="center"/>
    </xf>
    <xf numFmtId="164" fontId="180" fillId="2" borderId="0" xfId="47" quotePrefix="1" applyNumberFormat="1" applyFont="1" applyFill="1" applyAlignment="1">
      <alignment horizontal="left" vertical="center" indent="1"/>
    </xf>
    <xf numFmtId="164" fontId="180" fillId="2" borderId="0" xfId="47" applyNumberFormat="1" applyFont="1" applyFill="1" applyAlignment="1">
      <alignment horizontal="left" vertical="center" indent="1"/>
    </xf>
    <xf numFmtId="0" fontId="24" fillId="5" borderId="0" xfId="0" applyFont="1" applyFill="1" applyAlignment="1">
      <alignment vertical="center"/>
    </xf>
    <xf numFmtId="0" fontId="170" fillId="5" borderId="0" xfId="0" applyFont="1" applyFill="1" applyAlignment="1">
      <alignment horizontal="right" vertical="center"/>
    </xf>
    <xf numFmtId="0" fontId="0" fillId="5" borderId="0" xfId="0" applyFill="1" applyAlignment="1">
      <alignment vertical="center"/>
    </xf>
    <xf numFmtId="178" fontId="23" fillId="0" borderId="61" xfId="0" applyNumberFormat="1" applyFont="1" applyBorder="1" applyAlignment="1">
      <alignment horizontal="right"/>
    </xf>
    <xf numFmtId="0" fontId="181" fillId="0" borderId="0" xfId="5" applyFont="1" applyAlignment="1">
      <alignment vertical="center"/>
    </xf>
    <xf numFmtId="164" fontId="35" fillId="8" borderId="11" xfId="5" applyNumberFormat="1" applyFont="1" applyFill="1" applyBorder="1" applyAlignment="1">
      <alignment vertical="center"/>
    </xf>
    <xf numFmtId="0" fontId="26" fillId="0" borderId="164" xfId="0" applyFont="1" applyBorder="1" applyAlignment="1">
      <alignment horizontal="right" vertical="center"/>
    </xf>
    <xf numFmtId="5" fontId="26" fillId="0" borderId="164" xfId="0" applyNumberFormat="1" applyFont="1" applyBorder="1" applyAlignment="1">
      <alignment vertical="center"/>
    </xf>
    <xf numFmtId="5" fontId="26" fillId="0" borderId="164" xfId="0" applyNumberFormat="1" applyFont="1" applyBorder="1" applyAlignment="1">
      <alignment horizontal="right" vertical="center"/>
    </xf>
    <xf numFmtId="9" fontId="26" fillId="0" borderId="164" xfId="0" applyNumberFormat="1" applyFont="1" applyBorder="1" applyAlignment="1">
      <alignment horizontal="right" vertical="center"/>
    </xf>
    <xf numFmtId="10" fontId="26" fillId="0" borderId="164" xfId="0" applyNumberFormat="1" applyFont="1" applyBorder="1" applyAlignment="1">
      <alignment vertical="center"/>
    </xf>
    <xf numFmtId="170" fontId="81" fillId="0" borderId="164" xfId="0" applyNumberFormat="1" applyFont="1" applyBorder="1" applyAlignment="1">
      <alignment horizontal="right" vertical="center"/>
    </xf>
    <xf numFmtId="170" fontId="130" fillId="0" borderId="164" xfId="5" applyNumberFormat="1" applyFont="1" applyBorder="1" applyAlignment="1">
      <alignment horizontal="right" vertical="center"/>
    </xf>
    <xf numFmtId="0" fontId="77" fillId="0" borderId="11" xfId="0" applyFont="1" applyBorder="1" applyAlignment="1">
      <alignment horizontal="right" vertical="center"/>
    </xf>
    <xf numFmtId="5" fontId="77" fillId="0" borderId="11" xfId="0" applyNumberFormat="1" applyFont="1" applyBorder="1" applyAlignment="1">
      <alignment vertical="center"/>
    </xf>
    <xf numFmtId="6" fontId="24" fillId="0" borderId="56" xfId="0" applyNumberFormat="1" applyFont="1" applyBorder="1" applyAlignment="1">
      <alignment horizontal="right" vertical="center"/>
    </xf>
    <xf numFmtId="6" fontId="24" fillId="0" borderId="49" xfId="0" applyNumberFormat="1" applyFont="1" applyBorder="1" applyAlignment="1">
      <alignment horizontal="right" vertical="center"/>
    </xf>
    <xf numFmtId="0" fontId="0" fillId="0" borderId="201" xfId="0" applyBorder="1" applyAlignment="1">
      <alignment vertical="center"/>
    </xf>
    <xf numFmtId="178" fontId="21" fillId="0" borderId="163" xfId="31" applyNumberFormat="1" applyFont="1" applyBorder="1" applyAlignment="1">
      <alignment horizontal="right" vertical="center"/>
    </xf>
    <xf numFmtId="178" fontId="37" fillId="0" borderId="0" xfId="5" applyNumberFormat="1" applyFont="1" applyAlignment="1">
      <alignment horizontal="right" vertical="center"/>
    </xf>
    <xf numFmtId="3" fontId="66" fillId="2" borderId="39" xfId="5" quotePrefix="1" applyNumberFormat="1" applyFont="1" applyFill="1" applyBorder="1" applyAlignment="1">
      <alignment vertical="center"/>
    </xf>
    <xf numFmtId="0" fontId="20" fillId="0" borderId="0" xfId="0" applyFont="1"/>
    <xf numFmtId="178" fontId="22" fillId="0" borderId="1" xfId="0" applyNumberFormat="1" applyFont="1" applyBorder="1" applyAlignment="1">
      <alignment horizontal="right" vertical="center"/>
    </xf>
    <xf numFmtId="0" fontId="182" fillId="0" borderId="0" xfId="0" applyFont="1" applyAlignment="1">
      <alignment vertical="center"/>
    </xf>
    <xf numFmtId="178" fontId="110" fillId="2" borderId="0" xfId="0" applyNumberFormat="1" applyFont="1" applyFill="1"/>
    <xf numFmtId="178" fontId="124" fillId="0" borderId="163" xfId="0" applyNumberFormat="1" applyFont="1" applyBorder="1" applyAlignment="1">
      <alignment horizontal="right" vertical="center"/>
    </xf>
    <xf numFmtId="0" fontId="64" fillId="0" borderId="0" xfId="0" applyFont="1" applyAlignment="1">
      <alignment horizontal="right"/>
    </xf>
    <xf numFmtId="5" fontId="43" fillId="0" borderId="0" xfId="0" applyNumberFormat="1" applyFont="1" applyAlignment="1">
      <alignment horizontal="left"/>
    </xf>
    <xf numFmtId="5" fontId="43" fillId="0" borderId="0" xfId="0" applyNumberFormat="1" applyFont="1" applyAlignment="1">
      <alignment horizontal="right"/>
    </xf>
    <xf numFmtId="0" fontId="64" fillId="0" borderId="1" xfId="0" applyFont="1" applyBorder="1"/>
    <xf numFmtId="0" fontId="43" fillId="0" borderId="0" xfId="0" applyFont="1" applyAlignment="1">
      <alignment horizontal="right"/>
    </xf>
    <xf numFmtId="166" fontId="43" fillId="0" borderId="0" xfId="41" applyNumberFormat="1" applyFont="1" applyAlignment="1">
      <alignment horizontal="right"/>
    </xf>
    <xf numFmtId="164" fontId="64" fillId="0" borderId="0" xfId="41" applyNumberFormat="1" applyFont="1" applyAlignment="1">
      <alignment horizontal="right"/>
    </xf>
    <xf numFmtId="10" fontId="21" fillId="3" borderId="13" xfId="4" applyFont="1" applyFill="1" applyBorder="1" applyAlignment="1">
      <protection locked="0"/>
    </xf>
    <xf numFmtId="10" fontId="21" fillId="3" borderId="12" xfId="4" applyFont="1" applyFill="1" applyBorder="1" applyAlignment="1">
      <protection locked="0"/>
    </xf>
    <xf numFmtId="10" fontId="21" fillId="3" borderId="20" xfId="4" applyFont="1" applyFill="1" applyBorder="1" applyAlignment="1">
      <protection locked="0"/>
    </xf>
    <xf numFmtId="0" fontId="80" fillId="0" borderId="0" xfId="0" applyFont="1" applyAlignment="1">
      <alignment vertical="center"/>
    </xf>
    <xf numFmtId="167" fontId="21" fillId="3" borderId="82" xfId="25" applyFont="1" applyFill="1" applyBorder="1" applyAlignment="1">
      <alignment vertical="center"/>
      <protection locked="0"/>
    </xf>
    <xf numFmtId="1" fontId="22" fillId="3" borderId="73" xfId="0" applyNumberFormat="1" applyFont="1" applyFill="1" applyBorder="1" applyAlignment="1" applyProtection="1">
      <alignment vertical="center"/>
      <protection locked="0"/>
    </xf>
    <xf numFmtId="164" fontId="37" fillId="5" borderId="0" xfId="5" applyNumberFormat="1" applyFont="1" applyFill="1" applyAlignment="1">
      <alignment vertical="center"/>
    </xf>
    <xf numFmtId="0" fontId="46" fillId="0" borderId="0" xfId="0" applyFont="1" applyAlignment="1">
      <alignment horizontal="right" vertical="center"/>
    </xf>
    <xf numFmtId="17" fontId="24" fillId="0" borderId="0" xfId="0" applyNumberFormat="1" applyFont="1" applyAlignment="1">
      <alignment horizontal="right" vertical="center"/>
    </xf>
    <xf numFmtId="17" fontId="24" fillId="0" borderId="0" xfId="0" applyNumberFormat="1" applyFont="1"/>
    <xf numFmtId="0" fontId="2" fillId="0" borderId="0" xfId="0" applyFont="1"/>
    <xf numFmtId="0" fontId="2" fillId="0" borderId="0" xfId="0" applyFont="1" applyAlignment="1">
      <alignment horizontal="right"/>
    </xf>
    <xf numFmtId="0" fontId="54" fillId="0" borderId="0" xfId="0" applyFont="1"/>
    <xf numFmtId="165" fontId="24" fillId="0" borderId="16" xfId="0" applyNumberFormat="1" applyFont="1" applyBorder="1" applyAlignment="1">
      <alignment horizontal="right"/>
    </xf>
    <xf numFmtId="0" fontId="71" fillId="0" borderId="0" xfId="0" applyFont="1" applyAlignment="1">
      <alignment horizontal="right" vertical="center"/>
    </xf>
    <xf numFmtId="169" fontId="185" fillId="0" borderId="0" xfId="0" applyNumberFormat="1" applyFont="1" applyAlignment="1">
      <alignment horizontal="left" vertical="center" indent="1"/>
    </xf>
    <xf numFmtId="0" fontId="179" fillId="0" borderId="0" xfId="0" applyFont="1" applyAlignment="1">
      <alignment horizontal="right" vertical="center"/>
    </xf>
    <xf numFmtId="164" fontId="179" fillId="0" borderId="0" xfId="0" applyNumberFormat="1" applyFont="1" applyAlignment="1">
      <alignment horizontal="right" vertical="center"/>
    </xf>
    <xf numFmtId="169" fontId="26" fillId="0" borderId="163" xfId="0" applyNumberFormat="1" applyFont="1" applyBorder="1" applyAlignment="1">
      <alignment vertical="center"/>
    </xf>
    <xf numFmtId="169" fontId="26" fillId="0" borderId="164" xfId="0" applyNumberFormat="1" applyFont="1" applyBorder="1" applyAlignment="1">
      <alignment vertical="center"/>
    </xf>
    <xf numFmtId="169" fontId="0" fillId="0" borderId="0" xfId="0" applyNumberFormat="1" applyAlignment="1">
      <alignment vertical="center"/>
    </xf>
    <xf numFmtId="169" fontId="26" fillId="0" borderId="0" xfId="0" applyNumberFormat="1" applyFont="1" applyAlignment="1">
      <alignment horizontal="right" vertical="center"/>
    </xf>
    <xf numFmtId="169" fontId="22" fillId="0" borderId="11" xfId="0" applyNumberFormat="1" applyFont="1" applyBorder="1" applyAlignment="1">
      <alignment horizontal="right" vertical="center"/>
    </xf>
    <xf numFmtId="0" fontId="72" fillId="0" borderId="0" xfId="47"/>
    <xf numFmtId="178" fontId="23" fillId="0" borderId="1" xfId="0" applyNumberFormat="1" applyFont="1" applyBorder="1" applyAlignment="1">
      <alignment horizontal="right"/>
    </xf>
    <xf numFmtId="5" fontId="24" fillId="0" borderId="11" xfId="0" applyNumberFormat="1" applyFont="1" applyBorder="1" applyAlignment="1">
      <alignment vertical="center"/>
    </xf>
    <xf numFmtId="169" fontId="108" fillId="0" borderId="0" xfId="0" applyNumberFormat="1" applyFont="1" applyAlignment="1">
      <alignment horizontal="right" vertical="center"/>
    </xf>
    <xf numFmtId="5" fontId="23" fillId="0" borderId="1" xfId="0" applyNumberFormat="1" applyFont="1" applyBorder="1" applyAlignment="1">
      <alignment horizontal="right" vertical="center"/>
    </xf>
    <xf numFmtId="5" fontId="23" fillId="0" borderId="18" xfId="0" applyNumberFormat="1" applyFont="1" applyBorder="1" applyAlignment="1">
      <alignment horizontal="right" vertical="center"/>
    </xf>
    <xf numFmtId="5" fontId="24" fillId="0" borderId="18" xfId="0" applyNumberFormat="1" applyFont="1" applyBorder="1" applyAlignment="1">
      <alignment vertical="center"/>
    </xf>
    <xf numFmtId="165" fontId="23" fillId="0" borderId="1" xfId="0" applyNumberFormat="1" applyFont="1" applyBorder="1"/>
    <xf numFmtId="169" fontId="108" fillId="5" borderId="0" xfId="0" applyNumberFormat="1" applyFont="1" applyFill="1" applyAlignment="1">
      <alignment horizontal="right" vertical="center"/>
    </xf>
    <xf numFmtId="1" fontId="130" fillId="0" borderId="0" xfId="0" applyNumberFormat="1" applyFont="1" applyAlignment="1" applyProtection="1">
      <alignment horizontal="right" vertical="center"/>
      <protection locked="0"/>
    </xf>
    <xf numFmtId="0" fontId="172" fillId="0" borderId="0" xfId="0" applyFont="1"/>
    <xf numFmtId="178" fontId="23" fillId="0" borderId="171" xfId="0" applyNumberFormat="1" applyFont="1" applyBorder="1" applyAlignment="1">
      <alignment horizontal="right"/>
    </xf>
    <xf numFmtId="0" fontId="130" fillId="0" borderId="0" xfId="50" applyFont="1" applyAlignment="1">
      <alignment vertical="center"/>
    </xf>
    <xf numFmtId="0" fontId="130" fillId="0" borderId="0" xfId="50" applyFont="1" applyAlignment="1">
      <alignment horizontal="center" vertical="center"/>
    </xf>
    <xf numFmtId="164" fontId="130" fillId="0" borderId="0" xfId="50" applyNumberFormat="1" applyFont="1" applyAlignment="1">
      <alignment horizontal="center" vertical="center"/>
    </xf>
    <xf numFmtId="164" fontId="130" fillId="0" borderId="0" xfId="50" applyNumberFormat="1" applyFont="1" applyAlignment="1">
      <alignment horizontal="right" vertical="center"/>
    </xf>
    <xf numFmtId="0" fontId="130" fillId="0" borderId="0" xfId="50" applyFont="1" applyAlignment="1">
      <alignment horizontal="right" vertical="center"/>
    </xf>
    <xf numFmtId="10" fontId="130" fillId="0" borderId="0" xfId="50" applyNumberFormat="1" applyFont="1" applyAlignment="1">
      <alignment horizontal="center" vertical="center"/>
    </xf>
    <xf numFmtId="169" fontId="24" fillId="0" borderId="0" xfId="0" applyNumberFormat="1" applyFont="1"/>
    <xf numFmtId="0" fontId="56" fillId="2" borderId="0" xfId="0" applyFont="1" applyFill="1" applyAlignment="1">
      <alignment vertical="center"/>
    </xf>
    <xf numFmtId="165" fontId="186" fillId="2" borderId="0" xfId="0" applyNumberFormat="1" applyFont="1" applyFill="1" applyAlignment="1">
      <alignment horizontal="left" vertical="center"/>
    </xf>
    <xf numFmtId="169" fontId="186" fillId="2" borderId="0" xfId="0" applyNumberFormat="1" applyFont="1" applyFill="1" applyAlignment="1">
      <alignment horizontal="left" vertical="center"/>
    </xf>
    <xf numFmtId="6" fontId="186" fillId="2" borderId="0" xfId="0" applyNumberFormat="1" applyFont="1" applyFill="1" applyAlignment="1">
      <alignment horizontal="left" vertical="center"/>
    </xf>
    <xf numFmtId="164" fontId="186" fillId="2" borderId="0" xfId="0" applyNumberFormat="1" applyFont="1" applyFill="1" applyAlignment="1">
      <alignment horizontal="left" vertical="center"/>
    </xf>
    <xf numFmtId="5" fontId="186" fillId="2" borderId="0" xfId="0" applyNumberFormat="1" applyFont="1" applyFill="1" applyAlignment="1">
      <alignment horizontal="left"/>
    </xf>
    <xf numFmtId="169" fontId="21" fillId="3" borderId="181" xfId="0" applyNumberFormat="1" applyFont="1" applyFill="1" applyBorder="1" applyAlignment="1">
      <alignment vertical="center"/>
    </xf>
    <xf numFmtId="169" fontId="21" fillId="3" borderId="161" xfId="0" applyNumberFormat="1" applyFont="1" applyFill="1" applyBorder="1" applyAlignment="1">
      <alignment vertical="center"/>
    </xf>
    <xf numFmtId="165" fontId="21" fillId="3" borderId="73" xfId="0" applyNumberFormat="1" applyFont="1" applyFill="1" applyBorder="1" applyAlignment="1" applyProtection="1">
      <alignment horizontal="left" vertical="center"/>
      <protection locked="0"/>
    </xf>
    <xf numFmtId="0" fontId="90" fillId="0" borderId="0" xfId="0" applyFont="1" applyAlignment="1">
      <alignment horizontal="right" vertical="center"/>
    </xf>
    <xf numFmtId="164" fontId="90" fillId="0" borderId="0" xfId="0" applyNumberFormat="1" applyFont="1" applyAlignment="1">
      <alignment horizontal="right" vertical="center"/>
    </xf>
    <xf numFmtId="0" fontId="88" fillId="2" borderId="0" xfId="0" applyFont="1" applyFill="1" applyAlignment="1">
      <alignment vertical="top"/>
    </xf>
    <xf numFmtId="0" fontId="56" fillId="2" borderId="0" xfId="0" applyFont="1" applyFill="1"/>
    <xf numFmtId="0" fontId="56" fillId="2" borderId="0" xfId="0" applyFont="1" applyFill="1" applyAlignment="1">
      <alignment vertical="top"/>
    </xf>
    <xf numFmtId="0" fontId="56" fillId="0" borderId="0" xfId="0" applyFont="1" applyAlignment="1">
      <alignment vertical="top"/>
    </xf>
    <xf numFmtId="0" fontId="77" fillId="0" borderId="0" xfId="31" applyFont="1" applyAlignment="1">
      <alignment horizontal="right" vertical="center"/>
    </xf>
    <xf numFmtId="0" fontId="56" fillId="2" borderId="0" xfId="0" quotePrefix="1" applyFont="1" applyFill="1" applyAlignment="1">
      <alignment vertical="center"/>
    </xf>
    <xf numFmtId="0" fontId="56" fillId="2" borderId="0" xfId="0" applyFont="1" applyFill="1" applyAlignment="1">
      <alignment horizontal="left"/>
    </xf>
    <xf numFmtId="178" fontId="56" fillId="2" borderId="0" xfId="0" applyNumberFormat="1" applyFont="1" applyFill="1" applyAlignment="1">
      <alignment vertical="center"/>
    </xf>
    <xf numFmtId="0" fontId="56" fillId="2" borderId="49" xfId="0" applyFont="1" applyFill="1" applyBorder="1" applyAlignment="1">
      <alignment vertical="center"/>
    </xf>
    <xf numFmtId="0" fontId="56" fillId="2" borderId="49" xfId="0" applyFont="1" applyFill="1" applyBorder="1" applyAlignment="1">
      <alignment vertical="top"/>
    </xf>
    <xf numFmtId="178" fontId="56" fillId="0" borderId="0" xfId="0" applyNumberFormat="1" applyFont="1" applyAlignment="1">
      <alignment vertical="top"/>
    </xf>
    <xf numFmtId="178" fontId="56" fillId="2" borderId="0" xfId="0" applyNumberFormat="1" applyFont="1" applyFill="1" applyAlignment="1">
      <alignment vertical="top"/>
    </xf>
    <xf numFmtId="164" fontId="0" fillId="0" borderId="0" xfId="0" applyNumberFormat="1"/>
    <xf numFmtId="3" fontId="21" fillId="3" borderId="17" xfId="26" applyFont="1" applyFill="1" applyBorder="1" applyAlignment="1">
      <alignment vertical="center"/>
      <protection locked="0"/>
    </xf>
    <xf numFmtId="0" fontId="187" fillId="0" borderId="0" xfId="0" applyFont="1" applyAlignment="1">
      <alignment vertical="center"/>
    </xf>
    <xf numFmtId="0" fontId="188" fillId="0" borderId="0" xfId="47" applyFont="1" applyProtection="1"/>
    <xf numFmtId="164" fontId="188" fillId="2" borderId="0" xfId="47" quotePrefix="1" applyNumberFormat="1" applyFont="1" applyFill="1" applyAlignment="1">
      <alignment horizontal="left" vertical="center" indent="1"/>
    </xf>
    <xf numFmtId="0" fontId="10" fillId="0" borderId="0" xfId="0" applyFont="1" applyAlignment="1">
      <alignment horizontal="center" vertical="center"/>
    </xf>
    <xf numFmtId="0" fontId="25" fillId="0" borderId="23" xfId="0" quotePrefix="1" applyFont="1" applyBorder="1" applyAlignment="1">
      <alignment horizontal="right" vertical="center"/>
    </xf>
    <xf numFmtId="0" fontId="53" fillId="0" borderId="0" xfId="31" applyFont="1" applyAlignment="1">
      <alignment horizontal="right" vertical="center"/>
    </xf>
    <xf numFmtId="0" fontId="53" fillId="2" borderId="0" xfId="0" applyFont="1" applyFill="1" applyAlignment="1" applyProtection="1">
      <alignment horizontal="right" vertical="center"/>
      <protection locked="0"/>
    </xf>
    <xf numFmtId="164" fontId="80" fillId="0" borderId="23" xfId="0" applyNumberFormat="1" applyFont="1" applyBorder="1" applyAlignment="1">
      <alignment vertical="center"/>
    </xf>
    <xf numFmtId="0" fontId="53" fillId="2" borderId="0" xfId="31" applyFont="1" applyFill="1" applyAlignment="1">
      <alignment horizontal="right" vertical="center"/>
    </xf>
    <xf numFmtId="0" fontId="104" fillId="0" borderId="0" xfId="0" applyFont="1"/>
    <xf numFmtId="10" fontId="80" fillId="0" borderId="0" xfId="3" applyNumberFormat="1" applyFont="1" applyAlignment="1">
      <alignment horizontal="right"/>
    </xf>
    <xf numFmtId="0" fontId="53" fillId="2" borderId="0" xfId="31" applyFont="1" applyFill="1" applyAlignment="1" applyProtection="1">
      <alignment horizontal="right" vertical="center"/>
      <protection locked="0"/>
    </xf>
    <xf numFmtId="9" fontId="21" fillId="3" borderId="17" xfId="0" applyNumberFormat="1" applyFont="1" applyFill="1" applyBorder="1" applyAlignment="1" applyProtection="1">
      <alignment horizontal="right" vertical="center"/>
      <protection locked="0"/>
    </xf>
    <xf numFmtId="0" fontId="189" fillId="0" borderId="0" xfId="0" applyFont="1" applyAlignment="1">
      <alignment horizontal="right" vertical="center"/>
    </xf>
    <xf numFmtId="0" fontId="88" fillId="2" borderId="0" xfId="0" applyFont="1" applyFill="1" applyAlignment="1" applyProtection="1">
      <alignment vertical="center"/>
      <protection locked="0"/>
    </xf>
    <xf numFmtId="0" fontId="88" fillId="2" borderId="0" xfId="0" applyFont="1" applyFill="1"/>
    <xf numFmtId="0" fontId="179" fillId="2" borderId="73" xfId="0" quotePrefix="1" applyFont="1" applyFill="1" applyBorder="1" applyAlignment="1" applyProtection="1">
      <alignment horizontal="left" vertical="center"/>
      <protection locked="0"/>
    </xf>
    <xf numFmtId="0" fontId="26" fillId="0" borderId="0" xfId="0" quotePrefix="1" applyFont="1"/>
    <xf numFmtId="0" fontId="191" fillId="2" borderId="0" xfId="0" applyFont="1" applyFill="1" applyAlignment="1">
      <alignment horizontal="center" vertical="center"/>
    </xf>
    <xf numFmtId="0" fontId="190" fillId="2" borderId="0" xfId="0" applyFont="1" applyFill="1" applyAlignment="1">
      <alignment horizontal="center" vertical="top"/>
    </xf>
    <xf numFmtId="0" fontId="190" fillId="2" borderId="0" xfId="0" applyFont="1" applyFill="1"/>
    <xf numFmtId="0" fontId="27" fillId="0" borderId="0" xfId="0" applyFont="1" applyAlignment="1">
      <alignment horizontal="right"/>
    </xf>
    <xf numFmtId="164" fontId="21" fillId="0" borderId="1" xfId="0" applyNumberFormat="1" applyFont="1" applyBorder="1" applyAlignment="1">
      <alignment horizontal="right" vertical="center"/>
    </xf>
    <xf numFmtId="171" fontId="52" fillId="0" borderId="0" xfId="0" applyNumberFormat="1" applyFont="1" applyAlignment="1">
      <alignment horizontal="right" vertical="center"/>
    </xf>
    <xf numFmtId="6" fontId="188" fillId="0" borderId="18" xfId="0" applyNumberFormat="1" applyFont="1" applyBorder="1" applyAlignment="1">
      <alignment horizontal="right" vertical="center"/>
    </xf>
    <xf numFmtId="0" fontId="135" fillId="0" borderId="0" xfId="0" applyFont="1" applyAlignment="1">
      <alignment horizontal="left" vertical="center"/>
    </xf>
    <xf numFmtId="0" fontId="135" fillId="0" borderId="0" xfId="0" applyFont="1" applyAlignment="1">
      <alignment horizontal="right" vertical="center"/>
    </xf>
    <xf numFmtId="178" fontId="21" fillId="0" borderId="0" xfId="0" applyNumberFormat="1" applyFont="1" applyAlignment="1">
      <alignment horizontal="right" vertical="center"/>
    </xf>
    <xf numFmtId="179" fontId="25" fillId="0" borderId="0" xfId="0" applyNumberFormat="1" applyFont="1" applyAlignment="1">
      <alignment vertical="center"/>
    </xf>
    <xf numFmtId="5" fontId="25" fillId="5" borderId="3" xfId="0" applyNumberFormat="1" applyFont="1" applyFill="1" applyBorder="1" applyAlignment="1">
      <alignment vertical="center"/>
    </xf>
    <xf numFmtId="5" fontId="25" fillId="5" borderId="4" xfId="0" applyNumberFormat="1" applyFont="1" applyFill="1" applyBorder="1" applyAlignment="1">
      <alignment vertical="center"/>
    </xf>
    <xf numFmtId="5" fontId="25" fillId="5" borderId="5" xfId="0" applyNumberFormat="1" applyFont="1" applyFill="1" applyBorder="1" applyAlignment="1">
      <alignment vertical="center"/>
    </xf>
    <xf numFmtId="5" fontId="25" fillId="5" borderId="108" xfId="0" applyNumberFormat="1" applyFont="1" applyFill="1" applyBorder="1" applyAlignment="1">
      <alignment vertical="center"/>
    </xf>
    <xf numFmtId="5" fontId="25" fillId="5" borderId="6" xfId="0" applyNumberFormat="1" applyFont="1" applyFill="1" applyBorder="1" applyAlignment="1">
      <alignment vertical="center"/>
    </xf>
    <xf numFmtId="5" fontId="25" fillId="5" borderId="2" xfId="0" applyNumberFormat="1" applyFont="1" applyFill="1" applyBorder="1" applyAlignment="1">
      <alignment vertical="center"/>
    </xf>
    <xf numFmtId="5" fontId="25" fillId="5" borderId="7" xfId="0" applyNumberFormat="1" applyFont="1" applyFill="1" applyBorder="1" applyAlignment="1">
      <alignment vertical="center"/>
    </xf>
    <xf numFmtId="5" fontId="25" fillId="5" borderId="21" xfId="0" applyNumberFormat="1" applyFont="1" applyFill="1" applyBorder="1" applyAlignment="1">
      <alignment vertical="center"/>
    </xf>
    <xf numFmtId="5" fontId="25" fillId="5" borderId="8" xfId="0" applyNumberFormat="1" applyFont="1" applyFill="1" applyBorder="1" applyAlignment="1">
      <alignment vertical="center"/>
    </xf>
    <xf numFmtId="5" fontId="25" fillId="5" borderId="9" xfId="0" applyNumberFormat="1" applyFont="1" applyFill="1" applyBorder="1" applyAlignment="1">
      <alignment vertical="center"/>
    </xf>
    <xf numFmtId="5" fontId="25" fillId="5" borderId="10" xfId="0" applyNumberFormat="1" applyFont="1" applyFill="1" applyBorder="1" applyAlignment="1">
      <alignment vertical="center"/>
    </xf>
    <xf numFmtId="5" fontId="25" fillId="5" borderId="109" xfId="0" applyNumberFormat="1" applyFont="1" applyFill="1" applyBorder="1" applyAlignment="1">
      <alignment vertical="center"/>
    </xf>
    <xf numFmtId="0" fontId="192" fillId="0" borderId="0" xfId="0" applyFont="1"/>
    <xf numFmtId="0" fontId="193" fillId="0" borderId="0" xfId="0" applyFont="1"/>
    <xf numFmtId="0" fontId="194" fillId="0" borderId="0" xfId="0" applyFont="1"/>
    <xf numFmtId="169" fontId="21" fillId="3" borderId="13" xfId="0" applyNumberFormat="1" applyFont="1" applyFill="1" applyBorder="1" applyAlignment="1" applyProtection="1">
      <alignment horizontal="right"/>
      <protection locked="0"/>
    </xf>
    <xf numFmtId="169" fontId="21" fillId="3" borderId="12" xfId="0" applyNumberFormat="1" applyFont="1" applyFill="1" applyBorder="1" applyAlignment="1" applyProtection="1">
      <alignment horizontal="right"/>
      <protection locked="0"/>
    </xf>
    <xf numFmtId="169" fontId="21" fillId="3" borderId="20" xfId="0" applyNumberFormat="1" applyFont="1" applyFill="1" applyBorder="1" applyAlignment="1" applyProtection="1">
      <alignment horizontal="right"/>
      <protection locked="0"/>
    </xf>
    <xf numFmtId="5" fontId="186" fillId="2" borderId="0" xfId="0" applyNumberFormat="1" applyFont="1" applyFill="1" applyAlignment="1">
      <alignment horizontal="left" vertical="top"/>
    </xf>
    <xf numFmtId="0" fontId="148" fillId="2" borderId="0" xfId="0" applyFont="1" applyFill="1" applyAlignment="1">
      <alignment vertical="center"/>
    </xf>
    <xf numFmtId="5" fontId="140" fillId="2" borderId="0" xfId="0" applyNumberFormat="1" applyFont="1" applyFill="1" applyAlignment="1">
      <alignment vertical="center"/>
    </xf>
    <xf numFmtId="5" fontId="140" fillId="2" borderId="0" xfId="0" applyNumberFormat="1" applyFont="1" applyFill="1" applyAlignment="1">
      <alignment horizontal="right" vertical="center"/>
    </xf>
    <xf numFmtId="164" fontId="140" fillId="2" borderId="0" xfId="0" applyNumberFormat="1" applyFont="1" applyFill="1" applyAlignment="1">
      <alignment vertical="center"/>
    </xf>
    <xf numFmtId="0" fontId="156" fillId="2" borderId="0" xfId="0" applyFont="1" applyFill="1" applyAlignment="1">
      <alignment vertical="center"/>
    </xf>
    <xf numFmtId="0" fontId="141" fillId="2" borderId="0" xfId="0" applyFont="1" applyFill="1" applyAlignment="1">
      <alignment vertical="center"/>
    </xf>
    <xf numFmtId="178" fontId="50" fillId="2" borderId="0" xfId="0" quotePrefix="1" applyNumberFormat="1" applyFont="1" applyFill="1" applyAlignment="1">
      <alignment horizontal="right" vertical="center"/>
    </xf>
    <xf numFmtId="5" fontId="27" fillId="2" borderId="0" xfId="0" applyNumberFormat="1" applyFont="1" applyFill="1" applyAlignment="1">
      <alignment vertical="center"/>
    </xf>
    <xf numFmtId="5" fontId="102" fillId="2" borderId="0" xfId="0" applyNumberFormat="1" applyFont="1" applyFill="1" applyAlignment="1">
      <alignment horizontal="right" vertical="center"/>
    </xf>
    <xf numFmtId="5" fontId="102" fillId="2" borderId="0" xfId="0" applyNumberFormat="1" applyFont="1" applyFill="1" applyAlignment="1">
      <alignment vertical="center"/>
    </xf>
    <xf numFmtId="5" fontId="102" fillId="2" borderId="0" xfId="0" applyNumberFormat="1" applyFont="1" applyFill="1" applyAlignment="1">
      <alignment horizontal="center" vertical="center"/>
    </xf>
    <xf numFmtId="5" fontId="27" fillId="2" borderId="202" xfId="0" applyNumberFormat="1" applyFont="1" applyFill="1" applyBorder="1" applyAlignment="1">
      <alignment vertical="center"/>
    </xf>
    <xf numFmtId="5" fontId="27" fillId="2" borderId="203" xfId="0" applyNumberFormat="1" applyFont="1" applyFill="1" applyBorder="1" applyAlignment="1">
      <alignment vertical="center"/>
    </xf>
    <xf numFmtId="5" fontId="27" fillId="2" borderId="204" xfId="0" applyNumberFormat="1" applyFont="1" applyFill="1" applyBorder="1" applyAlignment="1">
      <alignment vertical="center"/>
    </xf>
    <xf numFmtId="5" fontId="102" fillId="2" borderId="205" xfId="0" applyNumberFormat="1" applyFont="1" applyFill="1" applyBorder="1" applyAlignment="1">
      <alignment vertical="center"/>
    </xf>
    <xf numFmtId="5" fontId="102" fillId="2" borderId="206" xfId="0" applyNumberFormat="1" applyFont="1" applyFill="1" applyBorder="1" applyAlignment="1">
      <alignment horizontal="right" vertical="center"/>
    </xf>
    <xf numFmtId="5" fontId="27" fillId="2" borderId="207" xfId="0" applyNumberFormat="1" applyFont="1" applyFill="1" applyBorder="1" applyAlignment="1">
      <alignment vertical="center"/>
    </xf>
    <xf numFmtId="5" fontId="27" fillId="2" borderId="208" xfId="0" applyNumberFormat="1" applyFont="1" applyFill="1" applyBorder="1" applyAlignment="1">
      <alignment vertical="center"/>
    </xf>
    <xf numFmtId="5" fontId="102" fillId="2" borderId="207" xfId="0" applyNumberFormat="1" applyFont="1" applyFill="1" applyBorder="1" applyAlignment="1">
      <alignment horizontal="right" vertical="center"/>
    </xf>
    <xf numFmtId="5" fontId="102" fillId="2" borderId="208" xfId="0" applyNumberFormat="1" applyFont="1" applyFill="1" applyBorder="1" applyAlignment="1">
      <alignment horizontal="right" vertical="center"/>
    </xf>
    <xf numFmtId="5" fontId="102" fillId="2" borderId="207" xfId="0" applyNumberFormat="1" applyFont="1" applyFill="1" applyBorder="1" applyAlignment="1">
      <alignment vertical="center"/>
    </xf>
    <xf numFmtId="5" fontId="102" fillId="2" borderId="208" xfId="0" applyNumberFormat="1" applyFont="1" applyFill="1" applyBorder="1" applyAlignment="1">
      <alignment vertical="center"/>
    </xf>
    <xf numFmtId="5" fontId="102" fillId="2" borderId="209" xfId="0" applyNumberFormat="1" applyFont="1" applyFill="1" applyBorder="1" applyAlignment="1">
      <alignment vertical="center"/>
    </xf>
    <xf numFmtId="5" fontId="102" fillId="2" borderId="210" xfId="0" applyNumberFormat="1" applyFont="1" applyFill="1" applyBorder="1" applyAlignment="1">
      <alignment vertical="center"/>
    </xf>
    <xf numFmtId="5" fontId="27" fillId="2" borderId="205" xfId="0" applyNumberFormat="1" applyFont="1" applyFill="1" applyBorder="1" applyAlignment="1">
      <alignment vertical="top"/>
    </xf>
    <xf numFmtId="5" fontId="27" fillId="2" borderId="206" xfId="0" applyNumberFormat="1" applyFont="1" applyFill="1" applyBorder="1" applyAlignment="1">
      <alignment vertical="top"/>
    </xf>
    <xf numFmtId="5" fontId="102" fillId="2" borderId="207" xfId="0" applyNumberFormat="1" applyFont="1" applyFill="1" applyBorder="1" applyAlignment="1">
      <alignment horizontal="center" vertical="center"/>
    </xf>
    <xf numFmtId="5" fontId="27" fillId="2" borderId="211" xfId="0" applyNumberFormat="1" applyFont="1" applyFill="1" applyBorder="1" applyAlignment="1">
      <alignment vertical="center"/>
    </xf>
    <xf numFmtId="5" fontId="27" fillId="2" borderId="212" xfId="0" applyNumberFormat="1" applyFont="1" applyFill="1" applyBorder="1" applyAlignment="1">
      <alignment vertical="center"/>
    </xf>
    <xf numFmtId="5" fontId="102" fillId="2" borderId="206" xfId="0" applyNumberFormat="1" applyFont="1" applyFill="1" applyBorder="1" applyAlignment="1">
      <alignment vertical="center"/>
    </xf>
    <xf numFmtId="0" fontId="19" fillId="0" borderId="0" xfId="0" applyFont="1" applyAlignment="1">
      <alignment vertical="center"/>
    </xf>
    <xf numFmtId="165" fontId="52" fillId="0" borderId="0" xfId="0" applyNumberFormat="1" applyFont="1" applyAlignment="1">
      <alignment horizontal="right" vertical="center"/>
    </xf>
    <xf numFmtId="164" fontId="52" fillId="0" borderId="0" xfId="0" applyNumberFormat="1" applyFont="1" applyAlignment="1">
      <alignment horizontal="right" vertical="center"/>
    </xf>
    <xf numFmtId="165" fontId="43" fillId="0" borderId="0" xfId="0" applyNumberFormat="1" applyFont="1" applyAlignment="1">
      <alignment vertical="center"/>
    </xf>
    <xf numFmtId="165" fontId="43" fillId="0" borderId="0" xfId="0" applyNumberFormat="1" applyFont="1" applyAlignment="1">
      <alignment horizontal="right" vertical="center"/>
    </xf>
    <xf numFmtId="0" fontId="43" fillId="0" borderId="0" xfId="0" applyFont="1" applyAlignment="1">
      <alignment horizontal="left" vertical="center"/>
    </xf>
    <xf numFmtId="0" fontId="56" fillId="0" borderId="0" xfId="31" applyFont="1" applyAlignment="1">
      <alignment vertical="center"/>
    </xf>
    <xf numFmtId="0" fontId="19" fillId="0" borderId="0" xfId="31" applyFont="1" applyAlignment="1">
      <alignment horizontal="right" vertical="center"/>
    </xf>
    <xf numFmtId="0" fontId="56" fillId="0" borderId="0" xfId="31" applyFont="1" applyAlignment="1">
      <alignment horizontal="right" vertical="center"/>
    </xf>
    <xf numFmtId="165" fontId="56" fillId="0" borderId="0" xfId="31" applyNumberFormat="1" applyFont="1" applyAlignment="1">
      <alignment vertical="center"/>
    </xf>
    <xf numFmtId="6" fontId="56" fillId="0" borderId="0" xfId="31" applyNumberFormat="1" applyFont="1" applyAlignment="1">
      <alignment horizontal="right" vertical="center"/>
    </xf>
    <xf numFmtId="3" fontId="56" fillId="0" borderId="0" xfId="0" applyNumberFormat="1" applyFont="1"/>
    <xf numFmtId="0" fontId="64" fillId="0" borderId="1" xfId="0" applyFont="1" applyBorder="1" applyAlignment="1">
      <alignment horizontal="right"/>
    </xf>
    <xf numFmtId="0" fontId="19" fillId="0" borderId="0" xfId="0" applyFont="1"/>
    <xf numFmtId="6" fontId="43" fillId="0" borderId="0" xfId="0" applyNumberFormat="1" applyFont="1"/>
    <xf numFmtId="0" fontId="195" fillId="8" borderId="0" xfId="5" applyFont="1" applyFill="1" applyAlignment="1">
      <alignment horizontal="right" vertical="center"/>
    </xf>
    <xf numFmtId="0" fontId="49" fillId="8" borderId="0" xfId="5" applyFont="1" applyFill="1" applyAlignment="1">
      <alignment vertical="center"/>
    </xf>
    <xf numFmtId="0" fontId="73" fillId="0" borderId="0" xfId="5" applyFont="1" applyAlignment="1">
      <alignment vertical="center"/>
    </xf>
    <xf numFmtId="165" fontId="57" fillId="0" borderId="0" xfId="0" applyNumberFormat="1" applyFont="1" applyAlignment="1">
      <alignment horizontal="right" vertical="center"/>
    </xf>
    <xf numFmtId="0" fontId="49" fillId="8" borderId="0" xfId="5" applyFont="1" applyFill="1" applyAlignment="1">
      <alignment horizontal="right" vertical="center"/>
    </xf>
    <xf numFmtId="164" fontId="49" fillId="8" borderId="34" xfId="5" applyNumberFormat="1" applyFont="1" applyFill="1" applyBorder="1" applyAlignment="1">
      <alignment vertical="center"/>
    </xf>
    <xf numFmtId="164" fontId="49" fillId="8" borderId="34" xfId="5" applyNumberFormat="1" applyFont="1" applyFill="1" applyBorder="1" applyAlignment="1">
      <alignment horizontal="right" vertical="center"/>
    </xf>
    <xf numFmtId="164" fontId="49" fillId="8" borderId="0" xfId="5" applyNumberFormat="1" applyFont="1" applyFill="1" applyAlignment="1">
      <alignment horizontal="right" vertical="center"/>
    </xf>
    <xf numFmtId="0" fontId="64" fillId="0" borderId="22" xfId="0" applyFont="1" applyBorder="1" applyAlignment="1">
      <alignment horizontal="right" vertical="center"/>
    </xf>
    <xf numFmtId="10" fontId="64" fillId="0" borderId="0" xfId="3" applyNumberFormat="1" applyFont="1"/>
    <xf numFmtId="164" fontId="57" fillId="8" borderId="34" xfId="5" applyNumberFormat="1" applyFont="1" applyFill="1" applyBorder="1" applyAlignment="1">
      <alignment horizontal="right" vertical="center"/>
    </xf>
    <xf numFmtId="165" fontId="57" fillId="0" borderId="32" xfId="5" applyNumberFormat="1" applyFont="1" applyBorder="1" applyAlignment="1">
      <alignment horizontal="right" vertical="center"/>
    </xf>
    <xf numFmtId="164" fontId="57" fillId="8" borderId="0" xfId="5" applyNumberFormat="1" applyFont="1" applyFill="1" applyAlignment="1">
      <alignment horizontal="right" vertical="center"/>
    </xf>
    <xf numFmtId="0" fontId="19" fillId="0" borderId="0" xfId="0" applyFont="1" applyAlignment="1">
      <alignment horizontal="right"/>
    </xf>
    <xf numFmtId="0" fontId="2" fillId="0" borderId="0" xfId="48"/>
    <xf numFmtId="0" fontId="196" fillId="0" borderId="0" xfId="48" applyFont="1"/>
    <xf numFmtId="0" fontId="24" fillId="0" borderId="0" xfId="48" applyFont="1"/>
    <xf numFmtId="0" fontId="46" fillId="0" borderId="0" xfId="48" applyFont="1"/>
    <xf numFmtId="0" fontId="197" fillId="0" borderId="0" xfId="48" applyFont="1"/>
    <xf numFmtId="0" fontId="43" fillId="0" borderId="0" xfId="48" applyFont="1"/>
    <xf numFmtId="5" fontId="43" fillId="0" borderId="0" xfId="48" applyNumberFormat="1" applyFont="1"/>
    <xf numFmtId="0" fontId="19" fillId="0" borderId="0" xfId="48" applyFont="1"/>
    <xf numFmtId="0" fontId="198" fillId="0" borderId="0" xfId="48" applyFont="1"/>
    <xf numFmtId="0" fontId="199" fillId="0" borderId="0" xfId="48" applyFont="1"/>
    <xf numFmtId="0" fontId="200" fillId="0" borderId="0" xfId="48" applyFont="1"/>
    <xf numFmtId="0" fontId="23" fillId="0" borderId="0" xfId="48" applyFont="1"/>
    <xf numFmtId="0" fontId="201" fillId="0" borderId="0" xfId="0" applyFont="1" applyAlignment="1">
      <alignment horizontal="right" vertical="center"/>
    </xf>
    <xf numFmtId="0" fontId="201" fillId="0" borderId="0" xfId="0" applyFont="1" applyAlignment="1">
      <alignment vertical="center"/>
    </xf>
    <xf numFmtId="0" fontId="202" fillId="0" borderId="0" xfId="0" applyFont="1" applyAlignment="1">
      <alignment vertical="center"/>
    </xf>
    <xf numFmtId="0" fontId="202" fillId="0" borderId="0" xfId="0" applyFont="1" applyAlignment="1">
      <alignment horizontal="right" vertical="center"/>
    </xf>
    <xf numFmtId="5" fontId="188" fillId="0" borderId="0" xfId="6" applyNumberFormat="1" applyFont="1" applyAlignment="1">
      <alignment horizontal="right" vertical="center"/>
    </xf>
    <xf numFmtId="165" fontId="203" fillId="0" borderId="1" xfId="0" applyNumberFormat="1" applyFont="1" applyBorder="1" applyAlignment="1">
      <alignment vertical="center"/>
    </xf>
    <xf numFmtId="2" fontId="201" fillId="0" borderId="0" xfId="0" applyNumberFormat="1" applyFont="1" applyAlignment="1">
      <alignment vertical="center"/>
    </xf>
    <xf numFmtId="5" fontId="201" fillId="0" borderId="0" xfId="0" applyNumberFormat="1" applyFont="1" applyAlignment="1">
      <alignment vertical="center"/>
    </xf>
    <xf numFmtId="0" fontId="201" fillId="0" borderId="0" xfId="0" applyFont="1"/>
    <xf numFmtId="5" fontId="201" fillId="0" borderId="0" xfId="0" applyNumberFormat="1" applyFont="1" applyAlignment="1">
      <alignment horizontal="right" vertical="center"/>
    </xf>
    <xf numFmtId="164" fontId="204" fillId="0" borderId="0" xfId="0" applyNumberFormat="1" applyFont="1"/>
    <xf numFmtId="0" fontId="201" fillId="0" borderId="0" xfId="0" quotePrefix="1" applyFont="1" applyAlignment="1">
      <alignment vertical="center"/>
    </xf>
    <xf numFmtId="165" fontId="203" fillId="0" borderId="18" xfId="0" applyNumberFormat="1" applyFont="1" applyBorder="1" applyAlignment="1">
      <alignment vertical="center"/>
    </xf>
    <xf numFmtId="0" fontId="203" fillId="0" borderId="0" xfId="0" applyFont="1" applyAlignment="1">
      <alignment horizontal="right" vertical="center"/>
    </xf>
    <xf numFmtId="3" fontId="201" fillId="0" borderId="0" xfId="41" applyNumberFormat="1" applyFont="1" applyAlignment="1" applyProtection="1">
      <alignment horizontal="right" wrapText="1"/>
    </xf>
    <xf numFmtId="3" fontId="201" fillId="0" borderId="0" xfId="41" applyNumberFormat="1" applyFont="1" applyAlignment="1" applyProtection="1">
      <alignment horizontal="right" vertical="center" wrapText="1"/>
    </xf>
    <xf numFmtId="3" fontId="201" fillId="0" borderId="0" xfId="41" applyNumberFormat="1" applyFont="1" applyAlignment="1" applyProtection="1">
      <alignment horizontal="right" vertical="center"/>
    </xf>
    <xf numFmtId="3" fontId="201" fillId="0" borderId="0" xfId="41" applyNumberFormat="1" applyFont="1" applyAlignment="1">
      <alignment horizontal="right" vertical="center"/>
    </xf>
    <xf numFmtId="3" fontId="201" fillId="0" borderId="0" xfId="0" applyNumberFormat="1" applyFont="1"/>
    <xf numFmtId="3" fontId="201" fillId="0" borderId="0" xfId="31" applyNumberFormat="1" applyFont="1"/>
    <xf numFmtId="3" fontId="201" fillId="0" borderId="0" xfId="0" applyNumberFormat="1" applyFont="1" applyAlignment="1">
      <alignment vertical="center"/>
    </xf>
    <xf numFmtId="3" fontId="201" fillId="0" borderId="0" xfId="0" applyNumberFormat="1" applyFont="1" applyAlignment="1">
      <alignment horizontal="right" vertical="center"/>
    </xf>
    <xf numFmtId="0" fontId="203" fillId="0" borderId="11" xfId="0" applyFont="1" applyBorder="1" applyAlignment="1">
      <alignment horizontal="right" vertical="center"/>
    </xf>
    <xf numFmtId="3" fontId="203" fillId="0" borderId="11" xfId="0" applyNumberFormat="1" applyFont="1" applyBorder="1" applyAlignment="1">
      <alignment vertical="center"/>
    </xf>
    <xf numFmtId="3" fontId="203" fillId="0" borderId="11" xfId="0" applyNumberFormat="1" applyFont="1" applyBorder="1" applyAlignment="1">
      <alignment horizontal="right" vertical="center"/>
    </xf>
    <xf numFmtId="165" fontId="203" fillId="0" borderId="1" xfId="0" applyNumberFormat="1" applyFont="1" applyBorder="1" applyAlignment="1">
      <alignment horizontal="right" vertical="center"/>
    </xf>
    <xf numFmtId="164" fontId="201" fillId="0" borderId="0" xfId="0" applyNumberFormat="1" applyFont="1"/>
    <xf numFmtId="164" fontId="201" fillId="0" borderId="0" xfId="31" applyNumberFormat="1" applyFont="1"/>
    <xf numFmtId="164" fontId="201" fillId="0" borderId="0" xfId="0" applyNumberFormat="1" applyFont="1" applyAlignment="1">
      <alignment vertical="center"/>
    </xf>
    <xf numFmtId="164" fontId="201" fillId="0" borderId="0" xfId="0" applyNumberFormat="1" applyFont="1" applyAlignment="1">
      <alignment horizontal="right" vertical="center"/>
    </xf>
    <xf numFmtId="5" fontId="203" fillId="0" borderId="11" xfId="0" applyNumberFormat="1" applyFont="1" applyBorder="1" applyAlignment="1">
      <alignment vertical="center"/>
    </xf>
    <xf numFmtId="5" fontId="203" fillId="0" borderId="11" xfId="0" applyNumberFormat="1" applyFont="1" applyBorder="1" applyAlignment="1">
      <alignment horizontal="right" vertical="center"/>
    </xf>
    <xf numFmtId="165" fontId="204" fillId="0" borderId="0" xfId="0" applyNumberFormat="1" applyFont="1" applyAlignment="1">
      <alignment horizontal="right" vertical="center"/>
    </xf>
    <xf numFmtId="165" fontId="201" fillId="0" borderId="0" xfId="0" applyNumberFormat="1" applyFont="1" applyAlignment="1">
      <alignment vertical="center"/>
    </xf>
    <xf numFmtId="165" fontId="201" fillId="0" borderId="0" xfId="0" applyNumberFormat="1" applyFont="1" applyAlignment="1">
      <alignment horizontal="right" vertical="center"/>
    </xf>
    <xf numFmtId="0" fontId="205" fillId="0" borderId="0" xfId="6" applyFont="1" applyAlignment="1">
      <alignment horizontal="right" vertical="center"/>
    </xf>
    <xf numFmtId="5" fontId="202" fillId="0" borderId="0" xfId="0" applyNumberFormat="1" applyFont="1" applyAlignment="1">
      <alignment vertical="center"/>
    </xf>
    <xf numFmtId="5" fontId="202" fillId="0" borderId="0" xfId="0" applyNumberFormat="1" applyFont="1" applyAlignment="1">
      <alignment horizontal="right" vertical="center"/>
    </xf>
    <xf numFmtId="0" fontId="84" fillId="0" borderId="0" xfId="5" applyFont="1" applyAlignment="1">
      <alignment vertical="center"/>
    </xf>
    <xf numFmtId="7" fontId="84" fillId="0" borderId="0" xfId="5" applyNumberFormat="1" applyFont="1" applyAlignment="1">
      <alignment vertical="center"/>
    </xf>
    <xf numFmtId="5" fontId="84" fillId="0" borderId="0" xfId="5" applyNumberFormat="1" applyFont="1" applyAlignment="1">
      <alignment vertical="center"/>
    </xf>
    <xf numFmtId="5" fontId="84" fillId="0" borderId="0" xfId="5" applyNumberFormat="1" applyFont="1" applyAlignment="1">
      <alignment horizontal="right" vertical="center"/>
    </xf>
    <xf numFmtId="165" fontId="84" fillId="0" borderId="0" xfId="5" applyNumberFormat="1" applyFont="1" applyAlignment="1">
      <alignment vertical="center"/>
    </xf>
    <xf numFmtId="165" fontId="84" fillId="0" borderId="0" xfId="5" applyNumberFormat="1" applyFont="1" applyAlignment="1">
      <alignment horizontal="right" vertical="center"/>
    </xf>
    <xf numFmtId="174" fontId="201" fillId="0" borderId="0" xfId="5" applyNumberFormat="1" applyFont="1" applyAlignment="1">
      <alignment vertical="center"/>
    </xf>
    <xf numFmtId="164" fontId="201" fillId="0" borderId="0" xfId="5" applyNumberFormat="1" applyFont="1" applyAlignment="1">
      <alignment vertical="center"/>
    </xf>
    <xf numFmtId="0" fontId="206" fillId="0" borderId="0" xfId="5" applyFont="1" applyAlignment="1">
      <alignment vertical="center"/>
    </xf>
    <xf numFmtId="0" fontId="206" fillId="0" borderId="0" xfId="5" applyFont="1" applyAlignment="1">
      <alignment horizontal="right" vertical="center"/>
    </xf>
    <xf numFmtId="164" fontId="84" fillId="0" borderId="0" xfId="5" applyNumberFormat="1" applyFont="1" applyAlignment="1">
      <alignment vertical="center"/>
    </xf>
    <xf numFmtId="0" fontId="207" fillId="0" borderId="0" xfId="0" applyFont="1" applyAlignment="1">
      <alignment horizontal="right" vertical="center"/>
    </xf>
    <xf numFmtId="9" fontId="205" fillId="0" borderId="0" xfId="6" applyNumberFormat="1" applyFont="1" applyAlignment="1">
      <alignment horizontal="left" vertical="center"/>
    </xf>
    <xf numFmtId="0" fontId="208" fillId="0" borderId="0" xfId="0" applyFont="1" applyAlignment="1">
      <alignment horizontal="right" vertical="center"/>
    </xf>
    <xf numFmtId="14" fontId="202" fillId="0" borderId="0" xfId="0" applyNumberFormat="1" applyFont="1" applyAlignment="1">
      <alignment vertical="center"/>
    </xf>
    <xf numFmtId="165" fontId="208" fillId="0" borderId="1" xfId="0" applyNumberFormat="1" applyFont="1" applyBorder="1" applyAlignment="1">
      <alignment horizontal="right" vertical="center"/>
    </xf>
    <xf numFmtId="0" fontId="201" fillId="0" borderId="0" xfId="0" applyFont="1" applyAlignment="1">
      <alignment horizontal="left" vertical="center"/>
    </xf>
    <xf numFmtId="0" fontId="202" fillId="0" borderId="0" xfId="0" applyFont="1" applyAlignment="1">
      <alignment horizontal="left" vertical="center"/>
    </xf>
    <xf numFmtId="165" fontId="202" fillId="0" borderId="0" xfId="0" applyNumberFormat="1" applyFont="1" applyAlignment="1">
      <alignment vertical="center"/>
    </xf>
    <xf numFmtId="165" fontId="202" fillId="0" borderId="0" xfId="0" applyNumberFormat="1" applyFont="1" applyAlignment="1">
      <alignment horizontal="right" vertical="center"/>
    </xf>
    <xf numFmtId="5" fontId="202" fillId="0" borderId="0" xfId="0" quotePrefix="1" applyNumberFormat="1" applyFont="1" applyAlignment="1">
      <alignment vertical="center"/>
    </xf>
    <xf numFmtId="5" fontId="202" fillId="0" borderId="0" xfId="0" quotePrefix="1" applyNumberFormat="1" applyFont="1" applyAlignment="1">
      <alignment horizontal="right" vertical="center"/>
    </xf>
    <xf numFmtId="5" fontId="208" fillId="0" borderId="0" xfId="0" applyNumberFormat="1" applyFont="1" applyAlignment="1">
      <alignment vertical="center"/>
    </xf>
    <xf numFmtId="5" fontId="208" fillId="0" borderId="0" xfId="0" applyNumberFormat="1" applyFont="1" applyAlignment="1">
      <alignment horizontal="right" vertical="center"/>
    </xf>
    <xf numFmtId="0" fontId="202" fillId="0" borderId="0" xfId="31" applyFont="1"/>
    <xf numFmtId="0" fontId="207" fillId="0" borderId="0" xfId="31" applyFont="1"/>
    <xf numFmtId="0" fontId="207" fillId="0" borderId="0" xfId="31" applyFont="1" applyAlignment="1">
      <alignment vertical="center"/>
    </xf>
    <xf numFmtId="0" fontId="202" fillId="0" borderId="0" xfId="31" applyFont="1" applyAlignment="1">
      <alignment vertical="center"/>
    </xf>
    <xf numFmtId="0" fontId="202" fillId="0" borderId="0" xfId="31" applyFont="1" applyAlignment="1">
      <alignment horizontal="right" vertical="center"/>
    </xf>
    <xf numFmtId="1" fontId="201" fillId="0" borderId="0" xfId="0" applyNumberFormat="1" applyFont="1" applyAlignment="1">
      <alignment vertical="center"/>
    </xf>
    <xf numFmtId="0" fontId="207" fillId="0" borderId="0" xfId="31" applyFont="1" applyAlignment="1">
      <alignment horizontal="right" vertical="center"/>
    </xf>
    <xf numFmtId="165" fontId="183" fillId="0" borderId="1" xfId="0" applyNumberFormat="1" applyFont="1" applyBorder="1" applyAlignment="1">
      <alignment vertical="center"/>
    </xf>
    <xf numFmtId="165" fontId="207" fillId="0" borderId="0" xfId="31" applyNumberFormat="1" applyFont="1" applyAlignment="1">
      <alignment vertical="center"/>
    </xf>
    <xf numFmtId="6" fontId="207" fillId="0" borderId="0" xfId="31" applyNumberFormat="1" applyFont="1" applyAlignment="1">
      <alignment vertical="center"/>
    </xf>
    <xf numFmtId="6" fontId="207" fillId="0" borderId="0" xfId="31" applyNumberFormat="1" applyFont="1" applyAlignment="1">
      <alignment horizontal="right" vertical="center"/>
    </xf>
    <xf numFmtId="0" fontId="24" fillId="0" borderId="0" xfId="0" quotePrefix="1" applyFont="1" applyAlignment="1">
      <alignment horizontal="right"/>
    </xf>
    <xf numFmtId="1" fontId="24" fillId="0" borderId="0" xfId="0" applyNumberFormat="1" applyFont="1"/>
    <xf numFmtId="0" fontId="23" fillId="3" borderId="17" xfId="0" applyFont="1" applyFill="1" applyBorder="1"/>
    <xf numFmtId="0" fontId="24" fillId="26" borderId="17" xfId="0" applyFont="1" applyFill="1" applyBorder="1"/>
    <xf numFmtId="5" fontId="24" fillId="0" borderId="0" xfId="0" applyNumberFormat="1" applyFont="1" applyAlignment="1">
      <alignment horizontal="left"/>
    </xf>
    <xf numFmtId="0" fontId="23" fillId="2" borderId="0" xfId="0" applyFont="1" applyFill="1" applyAlignment="1">
      <alignment horizontal="right" vertical="center"/>
    </xf>
    <xf numFmtId="164" fontId="23" fillId="2" borderId="0" xfId="0" applyNumberFormat="1" applyFont="1" applyFill="1" applyAlignment="1">
      <alignment horizontal="left" vertical="center"/>
    </xf>
    <xf numFmtId="165" fontId="23" fillId="0" borderId="17" xfId="0" applyNumberFormat="1" applyFont="1" applyBorder="1"/>
    <xf numFmtId="178" fontId="23" fillId="0" borderId="0" xfId="0" quotePrefix="1" applyNumberFormat="1" applyFont="1" applyAlignment="1">
      <alignment horizontal="right"/>
    </xf>
    <xf numFmtId="178" fontId="24" fillId="0" borderId="0" xfId="0" applyNumberFormat="1" applyFont="1"/>
    <xf numFmtId="178" fontId="24" fillId="0" borderId="0" xfId="0" quotePrefix="1" applyNumberFormat="1" applyFont="1" applyAlignment="1">
      <alignment horizontal="right"/>
    </xf>
    <xf numFmtId="178" fontId="24" fillId="0" borderId="0" xfId="0" applyNumberFormat="1" applyFont="1" applyAlignment="1">
      <alignment horizontal="right"/>
    </xf>
    <xf numFmtId="165" fontId="22" fillId="2" borderId="163" xfId="0" applyNumberFormat="1" applyFont="1" applyFill="1" applyBorder="1" applyAlignment="1">
      <alignment horizontal="right" vertical="center"/>
    </xf>
    <xf numFmtId="165" fontId="22" fillId="2" borderId="170" xfId="0" applyNumberFormat="1" applyFont="1" applyFill="1" applyBorder="1" applyAlignment="1">
      <alignment horizontal="right" vertical="center"/>
    </xf>
    <xf numFmtId="164" fontId="26" fillId="2" borderId="194" xfId="0" applyNumberFormat="1" applyFont="1" applyFill="1" applyBorder="1" applyAlignment="1">
      <alignment horizontal="right" vertical="center"/>
    </xf>
    <xf numFmtId="5" fontId="22" fillId="0" borderId="0" xfId="0" applyNumberFormat="1" applyFont="1" applyAlignment="1">
      <alignment vertical="center"/>
    </xf>
    <xf numFmtId="5" fontId="22" fillId="2" borderId="166" xfId="0" applyNumberFormat="1" applyFont="1" applyFill="1" applyBorder="1" applyAlignment="1">
      <alignment vertical="center"/>
    </xf>
    <xf numFmtId="0" fontId="89" fillId="2" borderId="0" xfId="0" applyFont="1" applyFill="1" applyAlignment="1">
      <alignment horizontal="center"/>
    </xf>
    <xf numFmtId="5" fontId="1" fillId="0" borderId="0" xfId="5" applyNumberFormat="1" applyFont="1" applyAlignment="1">
      <alignment horizontal="right" vertical="center"/>
    </xf>
    <xf numFmtId="0" fontId="22" fillId="2" borderId="0" xfId="0" applyFont="1" applyFill="1" applyAlignment="1">
      <alignment horizontal="center" vertical="center"/>
    </xf>
    <xf numFmtId="5" fontId="1" fillId="8" borderId="0" xfId="5" applyNumberFormat="1" applyFont="1" applyFill="1" applyAlignment="1">
      <alignment vertical="center"/>
    </xf>
    <xf numFmtId="0" fontId="209" fillId="0" borderId="0" xfId="31" applyFont="1" applyAlignment="1">
      <alignment horizontal="right" vertical="center"/>
    </xf>
    <xf numFmtId="0" fontId="21" fillId="3" borderId="86" xfId="0" applyFont="1" applyFill="1" applyBorder="1" applyAlignment="1" applyProtection="1">
      <alignment horizontal="right" vertical="center"/>
      <protection locked="0"/>
    </xf>
    <xf numFmtId="179" fontId="24" fillId="0" borderId="0" xfId="0" applyNumberFormat="1" applyFont="1"/>
    <xf numFmtId="0" fontId="23" fillId="0" borderId="84" xfId="0" applyFont="1" applyBorder="1" applyAlignment="1">
      <alignment horizontal="right"/>
    </xf>
    <xf numFmtId="5" fontId="1" fillId="0" borderId="0" xfId="5" applyNumberFormat="1" applyFont="1" applyAlignment="1">
      <alignment horizontal="left" vertical="center"/>
    </xf>
    <xf numFmtId="2" fontId="24" fillId="0" borderId="0" xfId="0" applyNumberFormat="1" applyFont="1"/>
    <xf numFmtId="0" fontId="23" fillId="0" borderId="0" xfId="0" quotePrefix="1" applyFont="1" applyAlignment="1">
      <alignment horizontal="right"/>
    </xf>
    <xf numFmtId="0" fontId="24" fillId="27" borderId="140" xfId="9" applyFont="1" applyFill="1" applyBorder="1" applyAlignment="1">
      <alignment vertical="center"/>
    </xf>
    <xf numFmtId="170" fontId="26" fillId="0" borderId="164" xfId="0" applyNumberFormat="1" applyFont="1" applyBorder="1" applyAlignment="1">
      <alignment horizontal="right" vertical="center"/>
    </xf>
    <xf numFmtId="170" fontId="26" fillId="0" borderId="0" xfId="0" applyNumberFormat="1" applyFont="1" applyAlignment="1">
      <alignment horizontal="right" vertical="center"/>
    </xf>
    <xf numFmtId="10" fontId="22" fillId="0" borderId="11" xfId="0" applyNumberFormat="1" applyFont="1" applyBorder="1" applyAlignment="1">
      <alignment vertical="center"/>
    </xf>
    <xf numFmtId="5" fontId="22" fillId="0" borderId="11" xfId="0" applyNumberFormat="1" applyFont="1" applyBorder="1" applyAlignment="1">
      <alignment horizontal="right" vertical="center"/>
    </xf>
    <xf numFmtId="164" fontId="24" fillId="0" borderId="0" xfId="0" applyNumberFormat="1" applyFont="1" applyAlignment="1">
      <alignment horizontal="right"/>
    </xf>
    <xf numFmtId="5" fontId="54" fillId="0" borderId="0" xfId="0" applyNumberFormat="1" applyFont="1" applyAlignment="1">
      <alignment vertical="center"/>
    </xf>
    <xf numFmtId="165" fontId="81" fillId="0" borderId="0" xfId="31" applyNumberFormat="1" applyFont="1" applyAlignment="1">
      <alignment vertical="center"/>
    </xf>
    <xf numFmtId="0" fontId="81" fillId="0" borderId="0" xfId="31" applyFont="1" applyAlignment="1">
      <alignment vertical="center"/>
    </xf>
    <xf numFmtId="0" fontId="81" fillId="0" borderId="0" xfId="31" applyFont="1" applyAlignment="1">
      <alignment horizontal="right" vertical="center"/>
    </xf>
    <xf numFmtId="6" fontId="81" fillId="0" borderId="0" xfId="31" applyNumberFormat="1" applyFont="1" applyAlignment="1">
      <alignment horizontal="right" vertical="center"/>
    </xf>
    <xf numFmtId="0" fontId="87" fillId="0" borderId="0" xfId="31" applyFont="1" applyAlignment="1">
      <alignment horizontal="right" vertical="center"/>
    </xf>
    <xf numFmtId="0" fontId="81" fillId="0" borderId="1" xfId="31" applyFont="1" applyBorder="1" applyAlignment="1">
      <alignment vertical="center"/>
    </xf>
    <xf numFmtId="0" fontId="81" fillId="0" borderId="1" xfId="31" applyFont="1" applyBorder="1" applyAlignment="1">
      <alignment horizontal="right" vertical="center"/>
    </xf>
    <xf numFmtId="0" fontId="87" fillId="0" borderId="1" xfId="31" applyFont="1" applyBorder="1" applyAlignment="1">
      <alignment horizontal="right" vertical="center"/>
    </xf>
    <xf numFmtId="6" fontId="81" fillId="0" borderId="1" xfId="31" applyNumberFormat="1" applyFont="1" applyBorder="1" applyAlignment="1">
      <alignment horizontal="right" vertical="center"/>
    </xf>
    <xf numFmtId="164" fontId="66" fillId="0" borderId="0" xfId="31" applyNumberFormat="1" applyFont="1"/>
    <xf numFmtId="164" fontId="81" fillId="0" borderId="0" xfId="0" applyNumberFormat="1" applyFont="1" applyAlignment="1">
      <alignment horizontal="right" vertical="center"/>
    </xf>
    <xf numFmtId="164" fontId="81" fillId="0" borderId="0" xfId="31" applyNumberFormat="1" applyFont="1" applyAlignment="1">
      <alignment vertical="center"/>
    </xf>
    <xf numFmtId="164" fontId="81" fillId="0" borderId="0" xfId="31" applyNumberFormat="1" applyFont="1" applyAlignment="1">
      <alignment horizontal="right" vertical="center"/>
    </xf>
    <xf numFmtId="0" fontId="87" fillId="0" borderId="0" xfId="0" applyFont="1" applyAlignment="1">
      <alignment vertical="center"/>
    </xf>
    <xf numFmtId="0" fontId="77" fillId="0" borderId="1" xfId="0" applyFont="1" applyBorder="1"/>
    <xf numFmtId="0" fontId="77" fillId="0" borderId="1" xfId="0" applyFont="1" applyBorder="1" applyAlignment="1">
      <alignment vertical="center"/>
    </xf>
    <xf numFmtId="0" fontId="77" fillId="0" borderId="1" xfId="0" applyFont="1" applyBorder="1" applyAlignment="1">
      <alignment horizontal="right" vertical="center"/>
    </xf>
    <xf numFmtId="0" fontId="81" fillId="0" borderId="0" xfId="0" applyFont="1" applyAlignment="1">
      <alignment horizontal="right"/>
    </xf>
    <xf numFmtId="166" fontId="81" fillId="0" borderId="0" xfId="41" applyNumberFormat="1" applyFont="1"/>
    <xf numFmtId="166" fontId="81" fillId="0" borderId="0" xfId="41" applyNumberFormat="1" applyFont="1" applyAlignment="1">
      <alignment vertical="center"/>
    </xf>
    <xf numFmtId="166" fontId="81" fillId="0" borderId="0" xfId="41" applyNumberFormat="1" applyFont="1" applyAlignment="1">
      <alignment horizontal="right" vertical="center"/>
    </xf>
    <xf numFmtId="0" fontId="81" fillId="0" borderId="0" xfId="0" applyFont="1" applyAlignment="1">
      <alignment vertical="center"/>
    </xf>
    <xf numFmtId="0" fontId="81" fillId="0" borderId="0" xfId="0" applyFont="1" applyAlignment="1">
      <alignment horizontal="right" vertical="center"/>
    </xf>
    <xf numFmtId="164" fontId="77" fillId="0" borderId="11" xfId="31" applyNumberFormat="1" applyFont="1" applyBorder="1"/>
    <xf numFmtId="164" fontId="77" fillId="0" borderId="11" xfId="31" applyNumberFormat="1" applyFont="1" applyBorder="1" applyAlignment="1">
      <alignment vertical="center"/>
    </xf>
    <xf numFmtId="164" fontId="77" fillId="0" borderId="11" xfId="31" applyNumberFormat="1" applyFont="1" applyBorder="1" applyAlignment="1">
      <alignment horizontal="right" vertical="center"/>
    </xf>
    <xf numFmtId="0" fontId="87" fillId="0" borderId="0" xfId="0" applyFont="1"/>
    <xf numFmtId="14" fontId="210" fillId="8" borderId="0" xfId="5" applyNumberFormat="1" applyFont="1" applyFill="1" applyAlignment="1">
      <alignment horizontal="right"/>
    </xf>
    <xf numFmtId="0" fontId="210" fillId="8" borderId="0" xfId="5" applyFont="1" applyFill="1"/>
    <xf numFmtId="0" fontId="210" fillId="0" borderId="0" xfId="5" applyFont="1" applyAlignment="1">
      <alignment horizontal="center"/>
    </xf>
    <xf numFmtId="0" fontId="210" fillId="0" borderId="0" xfId="5" applyFont="1"/>
    <xf numFmtId="0" fontId="210" fillId="8" borderId="0" xfId="5" applyFont="1" applyFill="1" applyAlignment="1">
      <alignment vertical="center"/>
    </xf>
    <xf numFmtId="0" fontId="210" fillId="8" borderId="0" xfId="5" applyFont="1" applyFill="1" applyAlignment="1">
      <alignment horizontal="right" vertical="center"/>
    </xf>
    <xf numFmtId="0" fontId="30" fillId="8" borderId="0" xfId="5" applyFont="1" applyFill="1"/>
    <xf numFmtId="14" fontId="30" fillId="8" borderId="0" xfId="5" applyNumberFormat="1" applyFont="1" applyFill="1" applyAlignment="1">
      <alignment horizontal="right"/>
    </xf>
    <xf numFmtId="164" fontId="30" fillId="8" borderId="0" xfId="5" applyNumberFormat="1" applyFont="1" applyFill="1" applyAlignment="1">
      <alignment horizontal="right"/>
    </xf>
    <xf numFmtId="0" fontId="30" fillId="0" borderId="0" xfId="5" applyFont="1" applyAlignment="1">
      <alignment horizontal="center"/>
    </xf>
    <xf numFmtId="0" fontId="30" fillId="8" borderId="0" xfId="5" applyFont="1" applyFill="1" applyAlignment="1">
      <alignment vertical="center"/>
    </xf>
    <xf numFmtId="0" fontId="210" fillId="8" borderId="0" xfId="5" applyFont="1" applyFill="1" applyAlignment="1">
      <alignment horizontal="right"/>
    </xf>
    <xf numFmtId="164" fontId="210" fillId="8" borderId="0" xfId="5" applyNumberFormat="1" applyFont="1" applyFill="1" applyAlignment="1">
      <alignment horizontal="right"/>
    </xf>
    <xf numFmtId="0" fontId="131" fillId="8" borderId="0" xfId="5" applyFont="1" applyFill="1" applyAlignment="1">
      <alignment horizontal="right" vertical="center"/>
    </xf>
    <xf numFmtId="0" fontId="131" fillId="8" borderId="0" xfId="5" applyFont="1" applyFill="1" applyAlignment="1">
      <alignment horizontal="left" vertical="center"/>
    </xf>
    <xf numFmtId="164" fontId="131" fillId="8" borderId="0" xfId="5" applyNumberFormat="1" applyFont="1" applyFill="1" applyAlignment="1">
      <alignment horizontal="left" vertical="center"/>
    </xf>
    <xf numFmtId="167" fontId="161" fillId="8" borderId="0" xfId="5" applyNumberFormat="1" applyFont="1" applyFill="1" applyAlignment="1">
      <alignment horizontal="left" vertical="center"/>
    </xf>
    <xf numFmtId="164" fontId="131" fillId="8" borderId="0" xfId="5" applyNumberFormat="1" applyFont="1" applyFill="1" applyAlignment="1">
      <alignment horizontal="right" vertical="center"/>
    </xf>
    <xf numFmtId="165" fontId="32" fillId="0" borderId="0" xfId="0" applyNumberFormat="1" applyFont="1" applyAlignment="1">
      <alignment horizontal="right" vertical="center"/>
    </xf>
    <xf numFmtId="0" fontId="161" fillId="8" borderId="0" xfId="5" applyFont="1" applyFill="1" applyAlignment="1">
      <alignment vertical="center"/>
    </xf>
    <xf numFmtId="0" fontId="131" fillId="9" borderId="3" xfId="5" applyFont="1" applyFill="1" applyBorder="1" applyAlignment="1">
      <alignment vertical="center"/>
    </xf>
    <xf numFmtId="164" fontId="131" fillId="9" borderId="4" xfId="5" applyNumberFormat="1" applyFont="1" applyFill="1" applyBorder="1" applyAlignment="1">
      <alignment vertical="center"/>
    </xf>
    <xf numFmtId="165" fontId="131" fillId="9" borderId="4" xfId="5" applyNumberFormat="1" applyFont="1" applyFill="1" applyBorder="1" applyAlignment="1">
      <alignment horizontal="right" vertical="center"/>
    </xf>
    <xf numFmtId="3" fontId="131" fillId="9" borderId="5" xfId="5" applyNumberFormat="1" applyFont="1" applyFill="1" applyBorder="1" applyAlignment="1">
      <alignment horizontal="right" vertical="center"/>
    </xf>
    <xf numFmtId="0" fontId="131" fillId="14" borderId="3" xfId="5" applyFont="1" applyFill="1" applyBorder="1" applyAlignment="1">
      <alignment vertical="center"/>
    </xf>
    <xf numFmtId="17" fontId="30" fillId="8" borderId="0" xfId="5" applyNumberFormat="1" applyFont="1" applyFill="1" applyAlignment="1">
      <alignment vertical="center"/>
    </xf>
    <xf numFmtId="164" fontId="30" fillId="8" borderId="33" xfId="5" applyNumberFormat="1" applyFont="1" applyFill="1" applyBorder="1" applyAlignment="1">
      <alignment vertical="center"/>
    </xf>
    <xf numFmtId="164" fontId="30" fillId="8" borderId="34" xfId="5" applyNumberFormat="1" applyFont="1" applyFill="1" applyBorder="1" applyAlignment="1">
      <alignment vertical="center"/>
    </xf>
    <xf numFmtId="164" fontId="30" fillId="8" borderId="34" xfId="5" applyNumberFormat="1" applyFont="1" applyFill="1" applyBorder="1" applyAlignment="1">
      <alignment horizontal="right" vertical="center"/>
    </xf>
    <xf numFmtId="0" fontId="131" fillId="9" borderId="6" xfId="5" applyFont="1" applyFill="1" applyBorder="1" applyAlignment="1">
      <alignment vertical="center"/>
    </xf>
    <xf numFmtId="164" fontId="131" fillId="9" borderId="2" xfId="5" applyNumberFormat="1" applyFont="1" applyFill="1" applyBorder="1" applyAlignment="1">
      <alignment vertical="center"/>
    </xf>
    <xf numFmtId="165" fontId="131" fillId="9" borderId="2" xfId="5" applyNumberFormat="1" applyFont="1" applyFill="1" applyBorder="1" applyAlignment="1">
      <alignment horizontal="right" vertical="center"/>
    </xf>
    <xf numFmtId="3" fontId="131" fillId="9" borderId="7" xfId="5" applyNumberFormat="1" applyFont="1" applyFill="1" applyBorder="1" applyAlignment="1">
      <alignment horizontal="right" vertical="center"/>
    </xf>
    <xf numFmtId="0" fontId="131" fillId="14" borderId="6" xfId="5" applyFont="1" applyFill="1" applyBorder="1" applyAlignment="1">
      <alignment vertical="center"/>
    </xf>
    <xf numFmtId="164" fontId="30" fillId="8" borderId="35" xfId="5" applyNumberFormat="1" applyFont="1" applyFill="1" applyBorder="1" applyAlignment="1">
      <alignment vertical="center"/>
    </xf>
    <xf numFmtId="164" fontId="30" fillId="8" borderId="0" xfId="5" applyNumberFormat="1" applyFont="1" applyFill="1" applyAlignment="1">
      <alignment vertical="center"/>
    </xf>
    <xf numFmtId="0" fontId="131" fillId="15" borderId="6" xfId="5" applyFont="1" applyFill="1" applyBorder="1" applyAlignment="1">
      <alignment vertical="center"/>
    </xf>
    <xf numFmtId="164" fontId="131" fillId="12" borderId="2" xfId="5" applyNumberFormat="1" applyFont="1" applyFill="1" applyBorder="1" applyAlignment="1">
      <alignment vertical="center"/>
    </xf>
    <xf numFmtId="165" fontId="131" fillId="12" borderId="2" xfId="5" applyNumberFormat="1" applyFont="1" applyFill="1" applyBorder="1" applyAlignment="1">
      <alignment horizontal="right" vertical="center"/>
    </xf>
    <xf numFmtId="3" fontId="131" fillId="12" borderId="7" xfId="5" applyNumberFormat="1" applyFont="1" applyFill="1" applyBorder="1" applyAlignment="1">
      <alignment horizontal="right" vertical="center"/>
    </xf>
    <xf numFmtId="165" fontId="131" fillId="9" borderId="2" xfId="5" applyNumberFormat="1" applyFont="1" applyFill="1" applyBorder="1" applyAlignment="1">
      <alignment vertical="center"/>
    </xf>
    <xf numFmtId="0" fontId="131" fillId="9" borderId="112" xfId="5" applyFont="1" applyFill="1" applyBorder="1" applyAlignment="1">
      <alignment vertical="center"/>
    </xf>
    <xf numFmtId="164" fontId="131" fillId="9" borderId="141" xfId="5" applyNumberFormat="1" applyFont="1" applyFill="1" applyBorder="1" applyAlignment="1">
      <alignment vertical="center"/>
    </xf>
    <xf numFmtId="165" fontId="131" fillId="9" borderId="141" xfId="5" applyNumberFormat="1" applyFont="1" applyFill="1" applyBorder="1" applyAlignment="1">
      <alignment vertical="center"/>
    </xf>
    <xf numFmtId="3" fontId="131" fillId="9" borderId="150" xfId="5" applyNumberFormat="1" applyFont="1" applyFill="1" applyBorder="1" applyAlignment="1">
      <alignment horizontal="right" vertical="center"/>
    </xf>
    <xf numFmtId="0" fontId="131" fillId="15" borderId="112" xfId="5" applyFont="1" applyFill="1" applyBorder="1" applyAlignment="1">
      <alignment vertical="center"/>
    </xf>
    <xf numFmtId="164" fontId="131" fillId="12" borderId="141" xfId="5" applyNumberFormat="1" applyFont="1" applyFill="1" applyBorder="1" applyAlignment="1">
      <alignment vertical="center"/>
    </xf>
    <xf numFmtId="165" fontId="131" fillId="12" borderId="141" xfId="5" applyNumberFormat="1" applyFont="1" applyFill="1" applyBorder="1" applyAlignment="1">
      <alignment horizontal="right" vertical="center"/>
    </xf>
    <xf numFmtId="3" fontId="131" fillId="12" borderId="150" xfId="5" applyNumberFormat="1" applyFont="1" applyFill="1" applyBorder="1" applyAlignment="1">
      <alignment horizontal="right" vertical="center"/>
    </xf>
    <xf numFmtId="0" fontId="30" fillId="8" borderId="140" xfId="5" applyFont="1" applyFill="1" applyBorder="1"/>
    <xf numFmtId="14" fontId="30" fillId="8" borderId="140" xfId="5" applyNumberFormat="1" applyFont="1" applyFill="1" applyBorder="1" applyAlignment="1">
      <alignment horizontal="right"/>
    </xf>
    <xf numFmtId="167" fontId="30" fillId="8" borderId="0" xfId="5" applyNumberFormat="1" applyFont="1" applyFill="1" applyAlignment="1">
      <alignment horizontal="right"/>
    </xf>
    <xf numFmtId="0" fontId="30" fillId="0" borderId="140" xfId="5" applyFont="1" applyBorder="1" applyAlignment="1">
      <alignment horizontal="center"/>
    </xf>
    <xf numFmtId="0" fontId="30" fillId="0" borderId="140" xfId="5" applyFont="1" applyBorder="1"/>
    <xf numFmtId="164" fontId="32" fillId="8" borderId="34" xfId="5" applyNumberFormat="1" applyFont="1" applyFill="1" applyBorder="1" applyAlignment="1">
      <alignment vertical="center"/>
    </xf>
    <xf numFmtId="164" fontId="32" fillId="8" borderId="34" xfId="5" applyNumberFormat="1" applyFont="1" applyFill="1" applyBorder="1" applyAlignment="1">
      <alignment horizontal="right" vertical="center"/>
    </xf>
    <xf numFmtId="0" fontId="13" fillId="0" borderId="0" xfId="5" applyFont="1"/>
    <xf numFmtId="0" fontId="13" fillId="8" borderId="0" xfId="5" applyFont="1" applyFill="1"/>
    <xf numFmtId="14" fontId="13" fillId="8" borderId="0" xfId="5" applyNumberFormat="1" applyFont="1" applyFill="1" applyAlignment="1">
      <alignment horizontal="right"/>
    </xf>
    <xf numFmtId="167" fontId="13" fillId="8" borderId="0" xfId="5" applyNumberFormat="1" applyFont="1" applyFill="1" applyAlignment="1">
      <alignment horizontal="right"/>
    </xf>
    <xf numFmtId="0" fontId="13" fillId="0" borderId="0" xfId="5" applyFont="1" applyAlignment="1">
      <alignment horizontal="center"/>
    </xf>
    <xf numFmtId="0" fontId="13" fillId="8" borderId="0" xfId="5" applyFont="1" applyFill="1" applyAlignment="1">
      <alignment vertical="center"/>
    </xf>
    <xf numFmtId="164" fontId="13" fillId="8" borderId="0" xfId="5" applyNumberFormat="1" applyFont="1" applyFill="1" applyAlignment="1">
      <alignment horizontal="right"/>
    </xf>
    <xf numFmtId="3" fontId="13" fillId="8" borderId="0" xfId="5" applyNumberFormat="1" applyFont="1" applyFill="1" applyAlignment="1">
      <alignment horizontal="center"/>
    </xf>
    <xf numFmtId="3" fontId="13" fillId="8" borderId="0" xfId="5" applyNumberFormat="1" applyFont="1" applyFill="1" applyAlignment="1">
      <alignment horizontal="center" vertical="center"/>
    </xf>
    <xf numFmtId="164" fontId="32" fillId="8" borderId="0" xfId="5" applyNumberFormat="1" applyFont="1" applyFill="1" applyAlignment="1">
      <alignment vertical="center"/>
    </xf>
    <xf numFmtId="0" fontId="32" fillId="8" borderId="0" xfId="5" applyFont="1" applyFill="1" applyAlignment="1">
      <alignment vertical="center"/>
    </xf>
    <xf numFmtId="164" fontId="32" fillId="8" borderId="11" xfId="5" applyNumberFormat="1" applyFont="1" applyFill="1" applyBorder="1" applyAlignment="1">
      <alignment vertical="center"/>
    </xf>
    <xf numFmtId="0" fontId="211" fillId="0" borderId="0" xfId="5" applyFont="1"/>
    <xf numFmtId="0" fontId="211" fillId="0" borderId="0" xfId="5" applyFont="1" applyAlignment="1">
      <alignment vertical="center"/>
    </xf>
    <xf numFmtId="164" fontId="210" fillId="0" borderId="0" xfId="5" applyNumberFormat="1" applyFont="1" applyAlignment="1">
      <alignment vertical="center"/>
    </xf>
    <xf numFmtId="164" fontId="210" fillId="0" borderId="0" xfId="5" applyNumberFormat="1" applyFont="1" applyAlignment="1">
      <alignment horizontal="right" vertical="center"/>
    </xf>
    <xf numFmtId="164" fontId="165" fillId="0" borderId="0" xfId="5" applyNumberFormat="1" applyFont="1" applyAlignment="1">
      <alignment horizontal="right" vertical="center"/>
    </xf>
    <xf numFmtId="0" fontId="80" fillId="0" borderId="0" xfId="0" applyFont="1" applyAlignment="1">
      <alignment horizontal="right" vertical="center"/>
    </xf>
    <xf numFmtId="165" fontId="177" fillId="0" borderId="0" xfId="0" applyNumberFormat="1" applyFont="1" applyAlignment="1">
      <alignment vertical="center"/>
    </xf>
    <xf numFmtId="0" fontId="87" fillId="0" borderId="140" xfId="0" applyFont="1" applyBorder="1" applyAlignment="1">
      <alignment vertical="center"/>
    </xf>
    <xf numFmtId="9" fontId="177" fillId="0" borderId="140" xfId="0" applyNumberFormat="1" applyFont="1" applyBorder="1" applyAlignment="1">
      <alignment horizontal="right" vertical="center"/>
    </xf>
    <xf numFmtId="0" fontId="177" fillId="0" borderId="140" xfId="0" applyFont="1" applyBorder="1" applyAlignment="1">
      <alignment horizontal="right" vertical="center"/>
    </xf>
    <xf numFmtId="0" fontId="87" fillId="0" borderId="140" xfId="0" applyFont="1" applyBorder="1" applyAlignment="1">
      <alignment horizontal="right" vertical="center"/>
    </xf>
    <xf numFmtId="9" fontId="177" fillId="0" borderId="0" xfId="0" applyNumberFormat="1" applyFont="1" applyAlignment="1">
      <alignment horizontal="right" vertical="center"/>
    </xf>
    <xf numFmtId="0" fontId="177" fillId="0" borderId="0" xfId="0" applyFont="1" applyAlignment="1">
      <alignment horizontal="right" vertical="center"/>
    </xf>
    <xf numFmtId="164" fontId="87" fillId="0" borderId="0" xfId="0" applyNumberFormat="1" applyFont="1" applyAlignment="1">
      <alignment vertical="center"/>
    </xf>
    <xf numFmtId="164" fontId="87" fillId="0" borderId="0" xfId="0" applyNumberFormat="1" applyFont="1" applyAlignment="1">
      <alignment horizontal="right" vertical="center"/>
    </xf>
    <xf numFmtId="9" fontId="96" fillId="0" borderId="0" xfId="0" applyNumberFormat="1" applyFont="1" applyAlignment="1">
      <alignment vertical="center"/>
    </xf>
    <xf numFmtId="0" fontId="74" fillId="0" borderId="0" xfId="0" applyFont="1" applyAlignment="1">
      <alignment horizontal="right" vertical="center"/>
    </xf>
    <xf numFmtId="0" fontId="177" fillId="0" borderId="0" xfId="0" applyFont="1" applyAlignment="1">
      <alignment horizontal="right"/>
    </xf>
    <xf numFmtId="9" fontId="87" fillId="0" borderId="0" xfId="0" applyNumberFormat="1" applyFont="1" applyAlignment="1">
      <alignment vertical="center"/>
    </xf>
    <xf numFmtId="9" fontId="80" fillId="0" borderId="0" xfId="0" applyNumberFormat="1" applyFont="1" applyAlignment="1">
      <alignment horizontal="right" vertical="center"/>
    </xf>
    <xf numFmtId="165" fontId="45" fillId="0" borderId="0" xfId="0" applyNumberFormat="1" applyFont="1" applyAlignment="1">
      <alignment horizontal="right" vertical="center"/>
    </xf>
    <xf numFmtId="165" fontId="45" fillId="5" borderId="4" xfId="0" applyNumberFormat="1" applyFont="1" applyFill="1" applyBorder="1" applyAlignment="1">
      <alignment vertical="center"/>
    </xf>
    <xf numFmtId="9" fontId="45" fillId="5" borderId="5" xfId="0" applyNumberFormat="1" applyFont="1" applyFill="1" applyBorder="1" applyAlignment="1">
      <alignment vertical="center"/>
    </xf>
    <xf numFmtId="165" fontId="54" fillId="0" borderId="0" xfId="0" applyNumberFormat="1" applyFont="1" applyAlignment="1">
      <alignment vertical="center"/>
    </xf>
    <xf numFmtId="164" fontId="45" fillId="5" borderId="3" xfId="0" applyNumberFormat="1" applyFont="1" applyFill="1" applyBorder="1" applyAlignment="1">
      <alignment horizontal="right" vertical="center"/>
    </xf>
    <xf numFmtId="164" fontId="45" fillId="5" borderId="4" xfId="0" applyNumberFormat="1" applyFont="1" applyFill="1" applyBorder="1" applyAlignment="1">
      <alignment horizontal="right" vertical="center"/>
    </xf>
    <xf numFmtId="165" fontId="45" fillId="5" borderId="2" xfId="0" applyNumberFormat="1" applyFont="1" applyFill="1" applyBorder="1" applyAlignment="1">
      <alignment vertical="center"/>
    </xf>
    <xf numFmtId="9" fontId="45" fillId="5" borderId="7" xfId="0" applyNumberFormat="1" applyFont="1" applyFill="1" applyBorder="1" applyAlignment="1">
      <alignment vertical="center"/>
    </xf>
    <xf numFmtId="164" fontId="45" fillId="5" borderId="6" xfId="0" applyNumberFormat="1" applyFont="1" applyFill="1" applyBorder="1" applyAlignment="1">
      <alignment horizontal="right" vertical="center"/>
    </xf>
    <xf numFmtId="164" fontId="45" fillId="5" borderId="2" xfId="0" applyNumberFormat="1" applyFont="1" applyFill="1" applyBorder="1" applyAlignment="1">
      <alignment horizontal="right" vertical="center"/>
    </xf>
    <xf numFmtId="3" fontId="21" fillId="3" borderId="27" xfId="25" applyNumberFormat="1" applyFont="1" applyFill="1" applyBorder="1" applyAlignment="1">
      <alignment vertical="center"/>
      <protection locked="0"/>
    </xf>
    <xf numFmtId="0" fontId="213" fillId="0" borderId="0" xfId="0" applyFont="1" applyAlignment="1">
      <alignment vertical="center"/>
    </xf>
    <xf numFmtId="0" fontId="103" fillId="0" borderId="0" xfId="0" applyFont="1" applyAlignment="1">
      <alignment vertical="center"/>
    </xf>
    <xf numFmtId="6" fontId="27" fillId="2" borderId="207" xfId="0" applyNumberFormat="1" applyFont="1" applyFill="1" applyBorder="1"/>
    <xf numFmtId="6" fontId="27" fillId="2" borderId="0" xfId="0" applyNumberFormat="1" applyFont="1" applyFill="1"/>
    <xf numFmtId="6" fontId="27" fillId="2" borderId="208" xfId="0" applyNumberFormat="1" applyFont="1" applyFill="1" applyBorder="1"/>
    <xf numFmtId="6" fontId="27" fillId="2" borderId="0" xfId="0" applyNumberFormat="1" applyFont="1" applyFill="1" applyAlignment="1">
      <alignment horizontal="right"/>
    </xf>
    <xf numFmtId="6" fontId="27" fillId="2" borderId="213" xfId="0" applyNumberFormat="1" applyFont="1" applyFill="1" applyBorder="1" applyAlignment="1">
      <alignment vertical="top"/>
    </xf>
    <xf numFmtId="6" fontId="27" fillId="2" borderId="121" xfId="0" applyNumberFormat="1" applyFont="1" applyFill="1" applyBorder="1" applyAlignment="1">
      <alignment vertical="top"/>
    </xf>
    <xf numFmtId="6" fontId="27" fillId="2" borderId="214" xfId="0" applyNumberFormat="1" applyFont="1" applyFill="1" applyBorder="1" applyAlignment="1">
      <alignment vertical="top"/>
    </xf>
    <xf numFmtId="6" fontId="27" fillId="2" borderId="0" xfId="0" applyNumberFormat="1" applyFont="1" applyFill="1" applyAlignment="1">
      <alignment horizontal="right" vertical="top"/>
    </xf>
    <xf numFmtId="165" fontId="111" fillId="0" borderId="0" xfId="31" applyNumberFormat="1" applyFont="1" applyAlignment="1">
      <alignment horizontal="right" vertical="center"/>
    </xf>
    <xf numFmtId="178" fontId="23" fillId="0" borderId="0" xfId="0" quotePrefix="1" applyNumberFormat="1" applyFont="1" applyAlignment="1">
      <alignment horizontal="right" vertical="center"/>
    </xf>
    <xf numFmtId="179" fontId="26" fillId="0" borderId="0" xfId="0" applyNumberFormat="1" applyFont="1" applyAlignment="1">
      <alignment vertical="center"/>
    </xf>
    <xf numFmtId="5" fontId="22" fillId="0" borderId="3" xfId="0" applyNumberFormat="1" applyFont="1" applyBorder="1" applyAlignment="1">
      <alignment vertical="center"/>
    </xf>
    <xf numFmtId="5" fontId="22" fillId="0" borderId="4" xfId="0" applyNumberFormat="1" applyFont="1" applyBorder="1" applyAlignment="1">
      <alignment vertical="center"/>
    </xf>
    <xf numFmtId="5" fontId="22" fillId="0" borderId="5" xfId="0" applyNumberFormat="1" applyFont="1" applyBorder="1" applyAlignment="1">
      <alignment vertical="center"/>
    </xf>
    <xf numFmtId="5" fontId="22" fillId="0" borderId="6" xfId="0" applyNumberFormat="1" applyFont="1" applyBorder="1" applyAlignment="1">
      <alignment vertical="center"/>
    </xf>
    <xf numFmtId="5" fontId="22" fillId="0" borderId="2" xfId="0" applyNumberFormat="1" applyFont="1" applyBorder="1" applyAlignment="1">
      <alignment vertical="center"/>
    </xf>
    <xf numFmtId="5" fontId="22" fillId="0" borderId="7" xfId="0" applyNumberFormat="1" applyFont="1" applyBorder="1" applyAlignment="1">
      <alignment vertical="center"/>
    </xf>
    <xf numFmtId="5" fontId="22" fillId="0" borderId="8" xfId="0" applyNumberFormat="1" applyFont="1" applyBorder="1" applyAlignment="1">
      <alignment vertical="center"/>
    </xf>
    <xf numFmtId="5" fontId="22" fillId="0" borderId="9" xfId="0" applyNumberFormat="1" applyFont="1" applyBorder="1" applyAlignment="1">
      <alignment vertical="center"/>
    </xf>
    <xf numFmtId="5" fontId="22" fillId="0" borderId="10" xfId="0" applyNumberFormat="1" applyFont="1" applyBorder="1" applyAlignment="1">
      <alignment vertical="center"/>
    </xf>
    <xf numFmtId="0" fontId="23" fillId="5" borderId="24" xfId="0" applyFont="1" applyFill="1" applyBorder="1" applyAlignment="1">
      <alignment vertical="center"/>
    </xf>
    <xf numFmtId="0" fontId="23" fillId="5" borderId="21" xfId="0" applyFont="1" applyFill="1" applyBorder="1" applyAlignment="1">
      <alignment vertical="center"/>
    </xf>
    <xf numFmtId="5" fontId="22" fillId="3" borderId="3" xfId="0" applyNumberFormat="1" applyFont="1" applyFill="1" applyBorder="1" applyAlignment="1">
      <alignment vertical="center"/>
    </xf>
    <xf numFmtId="5" fontId="22" fillId="3" borderId="4" xfId="0" applyNumberFormat="1" applyFont="1" applyFill="1" applyBorder="1" applyAlignment="1">
      <alignment vertical="center"/>
    </xf>
    <xf numFmtId="5" fontId="22" fillId="3" borderId="5" xfId="0" applyNumberFormat="1" applyFont="1" applyFill="1" applyBorder="1" applyAlignment="1">
      <alignment vertical="center"/>
    </xf>
    <xf numFmtId="5" fontId="22" fillId="3" borderId="6" xfId="0" applyNumberFormat="1" applyFont="1" applyFill="1" applyBorder="1" applyAlignment="1">
      <alignment vertical="center"/>
    </xf>
    <xf numFmtId="5" fontId="22" fillId="3" borderId="2" xfId="0" applyNumberFormat="1" applyFont="1" applyFill="1" applyBorder="1" applyAlignment="1">
      <alignment vertical="center"/>
    </xf>
    <xf numFmtId="5" fontId="22" fillId="3" borderId="7" xfId="0" applyNumberFormat="1" applyFont="1" applyFill="1" applyBorder="1" applyAlignment="1">
      <alignment vertical="center"/>
    </xf>
    <xf numFmtId="5" fontId="22" fillId="3" borderId="8" xfId="0" applyNumberFormat="1" applyFont="1" applyFill="1" applyBorder="1" applyAlignment="1">
      <alignment vertical="center"/>
    </xf>
    <xf numFmtId="5" fontId="22" fillId="3" borderId="9" xfId="0" applyNumberFormat="1" applyFont="1" applyFill="1" applyBorder="1" applyAlignment="1">
      <alignment vertical="center"/>
    </xf>
    <xf numFmtId="5" fontId="22" fillId="3" borderId="10" xfId="0" applyNumberFormat="1" applyFont="1" applyFill="1" applyBorder="1" applyAlignment="1">
      <alignment vertical="center"/>
    </xf>
    <xf numFmtId="0" fontId="23" fillId="5" borderId="1" xfId="0" applyFont="1" applyFill="1" applyBorder="1" applyAlignment="1">
      <alignment horizontal="center" vertical="center"/>
    </xf>
    <xf numFmtId="5" fontId="22" fillId="0" borderId="108" xfId="0" applyNumberFormat="1" applyFont="1" applyBorder="1" applyAlignment="1">
      <alignment vertical="center"/>
    </xf>
    <xf numFmtId="5" fontId="22" fillId="0" borderId="21" xfId="0" applyNumberFormat="1" applyFont="1" applyBorder="1" applyAlignment="1">
      <alignment vertical="center"/>
    </xf>
    <xf numFmtId="5" fontId="22" fillId="0" borderId="109" xfId="0" applyNumberFormat="1" applyFont="1" applyBorder="1" applyAlignment="1">
      <alignment vertical="center"/>
    </xf>
    <xf numFmtId="5" fontId="22" fillId="3" borderId="108" xfId="0" applyNumberFormat="1" applyFont="1" applyFill="1" applyBorder="1" applyAlignment="1">
      <alignment vertical="center"/>
    </xf>
    <xf numFmtId="5" fontId="22" fillId="3" borderId="21" xfId="0" applyNumberFormat="1" applyFont="1" applyFill="1" applyBorder="1" applyAlignment="1">
      <alignment vertical="center"/>
    </xf>
    <xf numFmtId="5" fontId="22" fillId="3" borderId="109" xfId="0" applyNumberFormat="1" applyFont="1" applyFill="1" applyBorder="1" applyAlignment="1">
      <alignment vertical="center"/>
    </xf>
    <xf numFmtId="0" fontId="56" fillId="0" borderId="23" xfId="31" applyFont="1" applyBorder="1" applyAlignment="1">
      <alignment horizontal="right" vertical="center"/>
    </xf>
    <xf numFmtId="3" fontId="22" fillId="0" borderId="16" xfId="33" quotePrefix="1" applyNumberFormat="1" applyFont="1" applyBorder="1" applyAlignment="1" applyProtection="1">
      <alignment vertical="center"/>
      <protection locked="0"/>
    </xf>
    <xf numFmtId="3" fontId="22" fillId="0" borderId="16" xfId="33" applyNumberFormat="1" applyFont="1" applyBorder="1" applyAlignment="1" applyProtection="1">
      <alignment vertical="center"/>
      <protection locked="0"/>
    </xf>
    <xf numFmtId="167" fontId="22" fillId="0" borderId="16" xfId="36" applyFont="1" applyBorder="1" applyAlignment="1" applyProtection="1">
      <alignment vertical="center"/>
      <protection locked="0"/>
    </xf>
    <xf numFmtId="0" fontId="21" fillId="3" borderId="16" xfId="0" applyFont="1" applyFill="1" applyBorder="1" applyAlignment="1" applyProtection="1">
      <alignment horizontal="right" vertical="center"/>
      <protection locked="0"/>
    </xf>
    <xf numFmtId="17" fontId="21" fillId="3" borderId="14" xfId="0" applyNumberFormat="1" applyFont="1" applyFill="1" applyBorder="1" applyAlignment="1" applyProtection="1">
      <alignment horizontal="right" vertical="center"/>
      <protection locked="0"/>
    </xf>
    <xf numFmtId="2" fontId="21" fillId="3" borderId="17" xfId="0" applyNumberFormat="1" applyFont="1" applyFill="1" applyBorder="1" applyAlignment="1" applyProtection="1">
      <alignment horizontal="right" vertical="center"/>
      <protection locked="0"/>
    </xf>
    <xf numFmtId="164" fontId="21" fillId="3" borderId="73" xfId="0" applyNumberFormat="1" applyFont="1" applyFill="1" applyBorder="1" applyAlignment="1" applyProtection="1">
      <alignment horizontal="right" vertical="center"/>
      <protection locked="0"/>
    </xf>
    <xf numFmtId="9" fontId="77" fillId="0" borderId="47" xfId="38" quotePrefix="1" applyFont="1" applyBorder="1" applyAlignment="1" applyProtection="1">
      <alignment vertical="center"/>
      <protection locked="0"/>
    </xf>
    <xf numFmtId="0" fontId="56" fillId="2" borderId="0" xfId="0" applyFont="1" applyFill="1" applyAlignment="1" applyProtection="1">
      <alignment vertical="center"/>
      <protection locked="0"/>
    </xf>
    <xf numFmtId="0" fontId="127" fillId="2" borderId="0" xfId="0" applyFont="1" applyFill="1" applyAlignment="1" applyProtection="1">
      <alignment vertical="center"/>
      <protection locked="0"/>
    </xf>
    <xf numFmtId="0" fontId="190" fillId="2" borderId="0" xfId="0" applyFont="1" applyFill="1" applyAlignment="1" applyProtection="1">
      <alignment vertical="center"/>
      <protection locked="0"/>
    </xf>
    <xf numFmtId="0" fontId="183" fillId="2" borderId="0" xfId="0" applyFont="1" applyFill="1" applyAlignment="1" applyProtection="1">
      <alignment vertical="center"/>
      <protection locked="0"/>
    </xf>
    <xf numFmtId="0" fontId="56" fillId="2" borderId="2" xfId="0" applyFont="1" applyFill="1" applyBorder="1" applyAlignment="1" applyProtection="1">
      <alignment vertical="center"/>
      <protection locked="0"/>
    </xf>
    <xf numFmtId="0" fontId="127" fillId="2" borderId="2" xfId="0" applyFont="1" applyFill="1" applyBorder="1" applyAlignment="1" applyProtection="1">
      <alignment vertical="center"/>
      <protection locked="0"/>
    </xf>
    <xf numFmtId="0" fontId="190" fillId="2" borderId="2" xfId="0" applyFont="1" applyFill="1" applyBorder="1" applyAlignment="1" applyProtection="1">
      <alignment vertical="center"/>
      <protection locked="0"/>
    </xf>
    <xf numFmtId="0" fontId="56" fillId="2" borderId="0" xfId="0" applyFont="1" applyFill="1" applyProtection="1">
      <protection locked="0"/>
    </xf>
    <xf numFmtId="0" fontId="88" fillId="2" borderId="0" xfId="0" applyFont="1" applyFill="1" applyProtection="1">
      <protection locked="0"/>
    </xf>
    <xf numFmtId="0" fontId="88" fillId="0" borderId="0" xfId="0" applyFont="1" applyAlignment="1" applyProtection="1">
      <alignment vertical="center"/>
      <protection locked="0"/>
    </xf>
    <xf numFmtId="0" fontId="26" fillId="2" borderId="0" xfId="0" applyFont="1" applyFill="1" applyAlignment="1" applyProtection="1">
      <alignment vertical="center"/>
      <protection locked="0"/>
    </xf>
    <xf numFmtId="0" fontId="56" fillId="2" borderId="0" xfId="0" applyFont="1" applyFill="1" applyAlignment="1" applyProtection="1">
      <alignment vertical="top"/>
      <protection locked="0"/>
    </xf>
    <xf numFmtId="0" fontId="88" fillId="2" borderId="0" xfId="0" applyFont="1" applyFill="1" applyAlignment="1" applyProtection="1">
      <alignment vertical="top"/>
      <protection locked="0"/>
    </xf>
    <xf numFmtId="0" fontId="26" fillId="2" borderId="0" xfId="0" applyFont="1" applyFill="1" applyAlignment="1" applyProtection="1">
      <alignment vertical="top"/>
      <protection locked="0"/>
    </xf>
    <xf numFmtId="0" fontId="183" fillId="2" borderId="0" xfId="0" applyFont="1" applyFill="1" applyAlignment="1" applyProtection="1">
      <alignment vertical="top"/>
      <protection locked="0"/>
    </xf>
    <xf numFmtId="0" fontId="190" fillId="2" borderId="0" xfId="0" applyFont="1" applyFill="1" applyAlignment="1" applyProtection="1">
      <alignment vertical="top"/>
      <protection locked="0"/>
    </xf>
    <xf numFmtId="0" fontId="26" fillId="0" borderId="0" xfId="0" applyFont="1" applyAlignment="1" applyProtection="1">
      <alignment vertical="top"/>
      <protection locked="0"/>
    </xf>
    <xf numFmtId="0" fontId="56" fillId="0" borderId="0" xfId="0" applyFont="1" applyAlignment="1" applyProtection="1">
      <alignment vertical="top"/>
      <protection locked="0"/>
    </xf>
    <xf numFmtId="0" fontId="88" fillId="0" borderId="0" xfId="0" applyFont="1" applyAlignment="1" applyProtection="1">
      <alignment vertical="top"/>
      <protection locked="0"/>
    </xf>
    <xf numFmtId="9" fontId="22" fillId="3" borderId="17" xfId="0" applyNumberFormat="1" applyFont="1" applyFill="1" applyBorder="1" applyAlignment="1" applyProtection="1">
      <alignment vertical="center"/>
      <protection locked="0"/>
    </xf>
    <xf numFmtId="0" fontId="24" fillId="0" borderId="0" xfId="55" applyFont="1"/>
    <xf numFmtId="0" fontId="23" fillId="0" borderId="0" xfId="55" applyFont="1"/>
    <xf numFmtId="0" fontId="16" fillId="0" borderId="0" xfId="55" applyFont="1"/>
    <xf numFmtId="0" fontId="23" fillId="0" borderId="151" xfId="55" applyFont="1" applyBorder="1"/>
    <xf numFmtId="0" fontId="24" fillId="0" borderId="215" xfId="55" applyFont="1" applyBorder="1"/>
    <xf numFmtId="0" fontId="24" fillId="0" borderId="29" xfId="55" applyFont="1" applyBorder="1"/>
    <xf numFmtId="0" fontId="23" fillId="5" borderId="54" xfId="55" applyFont="1" applyFill="1" applyBorder="1"/>
    <xf numFmtId="0" fontId="24" fillId="5" borderId="22" xfId="55" applyFont="1" applyFill="1" applyBorder="1"/>
    <xf numFmtId="0" fontId="24" fillId="5" borderId="52" xfId="55" applyFont="1" applyFill="1" applyBorder="1"/>
    <xf numFmtId="0" fontId="23" fillId="0" borderId="48" xfId="55" applyFont="1" applyBorder="1"/>
    <xf numFmtId="0" fontId="24" fillId="0" borderId="25" xfId="55" applyFont="1" applyBorder="1"/>
    <xf numFmtId="0" fontId="23" fillId="5" borderId="48" xfId="55" applyFont="1" applyFill="1" applyBorder="1"/>
    <xf numFmtId="0" fontId="24" fillId="5" borderId="0" xfId="55" applyFont="1" applyFill="1"/>
    <xf numFmtId="0" fontId="24" fillId="5" borderId="25" xfId="55" applyFont="1" applyFill="1" applyBorder="1"/>
    <xf numFmtId="0" fontId="23" fillId="0" borderId="54" xfId="55" applyFont="1" applyBorder="1"/>
    <xf numFmtId="0" fontId="24" fillId="0" borderId="22" xfId="55" applyFont="1" applyBorder="1"/>
    <xf numFmtId="0" fontId="24" fillId="0" borderId="52" xfId="55" applyFont="1" applyBorder="1"/>
    <xf numFmtId="0" fontId="208" fillId="0" borderId="0" xfId="48" applyFont="1" applyAlignment="1">
      <alignment horizontal="right" vertical="center"/>
    </xf>
    <xf numFmtId="0" fontId="100" fillId="0" borderId="0" xfId="0" applyFont="1" applyAlignment="1">
      <alignment horizontal="left" vertical="center"/>
    </xf>
    <xf numFmtId="0" fontId="10" fillId="0" borderId="0" xfId="0" applyFont="1" applyAlignment="1">
      <alignment horizontal="left"/>
    </xf>
    <xf numFmtId="0" fontId="78" fillId="0" borderId="0" xfId="31" applyFont="1" applyAlignment="1">
      <alignment horizontal="right"/>
    </xf>
    <xf numFmtId="0" fontId="172" fillId="0" borderId="0" xfId="0" applyFont="1" applyAlignment="1">
      <alignment horizontal="center"/>
    </xf>
    <xf numFmtId="0" fontId="1" fillId="0" borderId="0" xfId="5" applyFont="1" applyAlignment="1">
      <alignment vertical="center"/>
    </xf>
    <xf numFmtId="5" fontId="1" fillId="0" borderId="0" xfId="5" applyNumberFormat="1" applyFont="1" applyAlignment="1">
      <alignment vertical="center"/>
    </xf>
    <xf numFmtId="5" fontId="1" fillId="2" borderId="0" xfId="5" applyNumberFormat="1" applyFont="1" applyFill="1" applyAlignment="1">
      <alignment horizontal="right" vertical="center"/>
    </xf>
    <xf numFmtId="0" fontId="2" fillId="0" borderId="0" xfId="0" applyFont="1" applyAlignment="1">
      <alignment vertical="center"/>
    </xf>
    <xf numFmtId="0" fontId="2" fillId="0" borderId="25" xfId="0" applyFont="1" applyBorder="1" applyAlignment="1">
      <alignment horizontal="right" vertical="center"/>
    </xf>
    <xf numFmtId="164" fontId="2" fillId="0" borderId="0" xfId="0" quotePrefix="1" applyNumberFormat="1" applyFont="1" applyAlignment="1">
      <alignment horizontal="right" vertical="center"/>
    </xf>
    <xf numFmtId="164" fontId="2" fillId="0" borderId="0" xfId="0" quotePrefix="1" applyNumberFormat="1" applyFont="1" applyAlignment="1">
      <alignment vertical="center"/>
    </xf>
    <xf numFmtId="0" fontId="2" fillId="0" borderId="140" xfId="0" applyFont="1" applyBorder="1" applyAlignment="1">
      <alignment horizontal="right" vertical="center"/>
    </xf>
    <xf numFmtId="164" fontId="2" fillId="0" borderId="0" xfId="0" applyNumberFormat="1" applyFont="1" applyAlignment="1">
      <alignment horizontal="right" vertical="center"/>
    </xf>
    <xf numFmtId="164" fontId="2" fillId="0" borderId="0" xfId="0" applyNumberFormat="1" applyFont="1"/>
    <xf numFmtId="164" fontId="2" fillId="0" borderId="0" xfId="0" applyNumberFormat="1" applyFont="1" applyAlignment="1">
      <alignment vertical="center"/>
    </xf>
    <xf numFmtId="170" fontId="1" fillId="0" borderId="0" xfId="5" applyNumberFormat="1" applyFont="1" applyAlignment="1">
      <alignment vertical="center"/>
    </xf>
    <xf numFmtId="9" fontId="2" fillId="0" borderId="0" xfId="0" applyNumberFormat="1" applyFont="1" applyAlignment="1">
      <alignment vertical="center"/>
    </xf>
    <xf numFmtId="0" fontId="1" fillId="0" borderId="0" xfId="5" applyFont="1" applyAlignment="1">
      <alignment horizontal="right" vertical="center"/>
    </xf>
    <xf numFmtId="165" fontId="1" fillId="0" borderId="0" xfId="5" applyNumberFormat="1" applyFont="1" applyAlignment="1">
      <alignment vertical="center"/>
    </xf>
    <xf numFmtId="9" fontId="1" fillId="0" borderId="0" xfId="5" applyNumberFormat="1" applyFont="1" applyAlignment="1">
      <alignment vertical="center"/>
    </xf>
    <xf numFmtId="3" fontId="1" fillId="0" borderId="0" xfId="5" applyNumberFormat="1" applyFont="1" applyAlignment="1">
      <alignment vertical="center"/>
    </xf>
    <xf numFmtId="0" fontId="1" fillId="0" borderId="0" xfId="5" applyFont="1" applyAlignment="1">
      <alignment horizontal="right"/>
    </xf>
    <xf numFmtId="167" fontId="1" fillId="0" borderId="0" xfId="5" applyNumberFormat="1" applyFont="1" applyAlignment="1">
      <alignment horizontal="right"/>
    </xf>
    <xf numFmtId="0" fontId="1" fillId="0" borderId="0" xfId="5" applyFont="1"/>
    <xf numFmtId="167" fontId="1" fillId="0" borderId="0" xfId="5" applyNumberFormat="1" applyFont="1" applyAlignment="1">
      <alignment horizontal="right" vertical="center"/>
    </xf>
    <xf numFmtId="0" fontId="1" fillId="0" borderId="0" xfId="0" applyFont="1" applyProtection="1">
      <protection locked="0"/>
    </xf>
    <xf numFmtId="0" fontId="1" fillId="0" borderId="0" xfId="0" applyFont="1"/>
    <xf numFmtId="0" fontId="1" fillId="0" borderId="0" xfId="0" applyFont="1" applyAlignment="1" applyProtection="1">
      <alignment horizontal="right"/>
      <protection locked="0"/>
    </xf>
    <xf numFmtId="0" fontId="1" fillId="0" borderId="0" xfId="0" applyFont="1" applyAlignment="1" applyProtection="1">
      <alignment vertical="center"/>
      <protection locked="0"/>
    </xf>
    <xf numFmtId="0" fontId="1" fillId="0" borderId="0" xfId="50" applyFont="1" applyAlignment="1">
      <alignment vertical="center"/>
    </xf>
    <xf numFmtId="9" fontId="1" fillId="0" borderId="0" xfId="50" applyNumberFormat="1" applyFont="1" applyAlignment="1">
      <alignment vertical="center"/>
    </xf>
    <xf numFmtId="0" fontId="1" fillId="0" borderId="0" xfId="50" applyFont="1" applyAlignment="1">
      <alignment horizontal="center" vertical="center"/>
    </xf>
    <xf numFmtId="0" fontId="100" fillId="0" borderId="0" xfId="0" applyFont="1" applyAlignment="1">
      <alignment horizontal="left" vertical="center"/>
    </xf>
    <xf numFmtId="0" fontId="78" fillId="0" borderId="0" xfId="31" applyFont="1" applyAlignment="1">
      <alignment horizontal="right"/>
    </xf>
    <xf numFmtId="0" fontId="21" fillId="4" borderId="132" xfId="0" applyFont="1" applyFill="1" applyBorder="1" applyAlignment="1" applyProtection="1">
      <alignment horizontal="left" vertical="center"/>
      <protection locked="0"/>
    </xf>
    <xf numFmtId="0" fontId="21" fillId="4" borderId="133" xfId="0" applyFont="1" applyFill="1" applyBorder="1" applyAlignment="1" applyProtection="1">
      <alignment horizontal="left" vertical="center"/>
      <protection locked="0"/>
    </xf>
    <xf numFmtId="0" fontId="21" fillId="4" borderId="134" xfId="0" applyFont="1" applyFill="1" applyBorder="1" applyAlignment="1" applyProtection="1">
      <alignment horizontal="left" vertical="center"/>
      <protection locked="0"/>
    </xf>
    <xf numFmtId="0" fontId="21" fillId="4" borderId="114" xfId="0" applyFont="1" applyFill="1" applyBorder="1" applyAlignment="1" applyProtection="1">
      <alignment horizontal="left" vertical="center"/>
      <protection locked="0"/>
    </xf>
    <xf numFmtId="0" fontId="21" fillId="4" borderId="115" xfId="0" applyFont="1" applyFill="1" applyBorder="1" applyAlignment="1" applyProtection="1">
      <alignment horizontal="left" vertical="center"/>
      <protection locked="0"/>
    </xf>
    <xf numFmtId="0" fontId="21" fillId="4" borderId="116" xfId="0" applyFont="1" applyFill="1" applyBorder="1" applyAlignment="1" applyProtection="1">
      <alignment horizontal="left" vertical="center"/>
      <protection locked="0"/>
    </xf>
    <xf numFmtId="0" fontId="21" fillId="4" borderId="146" xfId="0" applyFont="1" applyFill="1" applyBorder="1" applyAlignment="1" applyProtection="1">
      <alignment horizontal="left" vertical="center"/>
      <protection locked="0"/>
    </xf>
    <xf numFmtId="0" fontId="21" fillId="4" borderId="136" xfId="0" applyFont="1" applyFill="1" applyBorder="1" applyAlignment="1" applyProtection="1">
      <alignment horizontal="left" vertical="center"/>
      <protection locked="0"/>
    </xf>
    <xf numFmtId="0" fontId="21" fillId="4" borderId="147" xfId="0" applyFont="1" applyFill="1" applyBorder="1" applyAlignment="1" applyProtection="1">
      <alignment horizontal="left" vertical="center"/>
      <protection locked="0"/>
    </xf>
    <xf numFmtId="0" fontId="21" fillId="4" borderId="120" xfId="0" applyFont="1" applyFill="1" applyBorder="1" applyAlignment="1" applyProtection="1">
      <alignment horizontal="left" vertical="center"/>
      <protection locked="0"/>
    </xf>
    <xf numFmtId="0" fontId="21" fillId="4" borderId="121" xfId="0" applyFont="1" applyFill="1" applyBorder="1" applyAlignment="1" applyProtection="1">
      <alignment horizontal="left" vertical="center"/>
      <protection locked="0"/>
    </xf>
    <xf numFmtId="0" fontId="21" fillId="4" borderId="122" xfId="0" applyFont="1" applyFill="1" applyBorder="1" applyAlignment="1" applyProtection="1">
      <alignment horizontal="left" vertical="center"/>
      <protection locked="0"/>
    </xf>
    <xf numFmtId="0" fontId="80" fillId="4" borderId="132" xfId="0" applyFont="1" applyFill="1" applyBorder="1" applyAlignment="1" applyProtection="1">
      <alignment horizontal="left" vertical="center"/>
      <protection locked="0"/>
    </xf>
    <xf numFmtId="0" fontId="80" fillId="4" borderId="133" xfId="0" applyFont="1" applyFill="1" applyBorder="1" applyAlignment="1" applyProtection="1">
      <alignment horizontal="left" vertical="center"/>
      <protection locked="0"/>
    </xf>
    <xf numFmtId="0" fontId="80" fillId="4" borderId="134" xfId="0" applyFont="1" applyFill="1" applyBorder="1" applyAlignment="1" applyProtection="1">
      <alignment horizontal="left" vertical="center"/>
      <protection locked="0"/>
    </xf>
    <xf numFmtId="0" fontId="10" fillId="0" borderId="0" xfId="0" applyFont="1" applyAlignment="1">
      <alignment horizontal="left"/>
    </xf>
    <xf numFmtId="0" fontId="21" fillId="4" borderId="142" xfId="0" applyFont="1" applyFill="1" applyBorder="1" applyAlignment="1" applyProtection="1">
      <alignment horizontal="left" vertical="center"/>
      <protection locked="0"/>
    </xf>
    <xf numFmtId="0" fontId="21" fillId="4" borderId="143" xfId="0" applyFont="1" applyFill="1" applyBorder="1" applyAlignment="1" applyProtection="1">
      <alignment horizontal="left" vertical="center"/>
      <protection locked="0"/>
    </xf>
    <xf numFmtId="0" fontId="21" fillId="4" borderId="144" xfId="0" applyFont="1" applyFill="1" applyBorder="1" applyAlignment="1" applyProtection="1">
      <alignment horizontal="left" vertical="center"/>
      <protection locked="0"/>
    </xf>
    <xf numFmtId="0" fontId="80" fillId="4" borderId="114" xfId="0" applyFont="1" applyFill="1" applyBorder="1" applyAlignment="1" applyProtection="1">
      <alignment horizontal="left" vertical="center"/>
      <protection locked="0"/>
    </xf>
    <xf numFmtId="0" fontId="80" fillId="4" borderId="115" xfId="0" applyFont="1" applyFill="1" applyBorder="1" applyAlignment="1" applyProtection="1">
      <alignment horizontal="left" vertical="center"/>
      <protection locked="0"/>
    </xf>
    <xf numFmtId="0" fontId="80" fillId="4" borderId="116" xfId="0" applyFont="1" applyFill="1" applyBorder="1" applyAlignment="1" applyProtection="1">
      <alignment horizontal="left" vertical="center"/>
      <protection locked="0"/>
    </xf>
    <xf numFmtId="0" fontId="36" fillId="24" borderId="24" xfId="5" applyFont="1" applyFill="1" applyBorder="1" applyAlignment="1">
      <alignment horizontal="center" vertical="center"/>
    </xf>
    <xf numFmtId="0" fontId="36" fillId="24" borderId="40" xfId="5" applyFont="1" applyFill="1" applyBorder="1" applyAlignment="1">
      <alignment horizontal="center" vertical="center"/>
    </xf>
    <xf numFmtId="0" fontId="36" fillId="24" borderId="21" xfId="5" applyFont="1" applyFill="1" applyBorder="1" applyAlignment="1">
      <alignment horizontal="center" vertical="center"/>
    </xf>
    <xf numFmtId="6" fontId="21" fillId="2" borderId="0" xfId="0" applyNumberFormat="1" applyFont="1" applyFill="1" applyAlignment="1">
      <alignment horizontal="right" vertical="center"/>
    </xf>
    <xf numFmtId="165" fontId="22" fillId="2" borderId="0" xfId="0" applyNumberFormat="1" applyFont="1" applyFill="1" applyAlignment="1">
      <alignment horizontal="right" vertical="center"/>
    </xf>
    <xf numFmtId="0" fontId="21" fillId="3" borderId="85" xfId="0" applyFont="1" applyFill="1" applyBorder="1" applyAlignment="1" applyProtection="1">
      <alignment horizontal="left" vertical="center"/>
      <protection locked="0"/>
    </xf>
    <xf numFmtId="0" fontId="21" fillId="3" borderId="86" xfId="0" applyFont="1" applyFill="1" applyBorder="1" applyAlignment="1" applyProtection="1">
      <alignment horizontal="left" vertical="center"/>
      <protection locked="0"/>
    </xf>
    <xf numFmtId="0" fontId="21" fillId="0" borderId="0" xfId="31" applyFont="1" applyAlignment="1">
      <alignment horizontal="center" wrapText="1"/>
    </xf>
    <xf numFmtId="5" fontId="27" fillId="2" borderId="0" xfId="0" applyNumberFormat="1" applyFont="1" applyFill="1" applyAlignment="1">
      <alignment horizontal="right"/>
    </xf>
    <xf numFmtId="0" fontId="27" fillId="2" borderId="0" xfId="0" applyFont="1" applyFill="1" applyAlignment="1">
      <alignment horizontal="right"/>
    </xf>
    <xf numFmtId="168" fontId="27" fillId="25" borderId="0" xfId="5" applyNumberFormat="1" applyFont="1" applyFill="1" applyAlignment="1">
      <alignment horizontal="right"/>
    </xf>
    <xf numFmtId="168" fontId="27" fillId="25" borderId="0" xfId="5" applyNumberFormat="1" applyFont="1" applyFill="1" applyAlignment="1">
      <alignment horizontal="right" vertical="top"/>
    </xf>
    <xf numFmtId="0" fontId="21" fillId="5" borderId="175" xfId="0" applyFont="1" applyFill="1" applyBorder="1" applyAlignment="1" applyProtection="1">
      <alignment horizontal="left" vertical="center"/>
      <protection locked="0"/>
    </xf>
    <xf numFmtId="0" fontId="21" fillId="5" borderId="124" xfId="0" applyFont="1" applyFill="1" applyBorder="1" applyAlignment="1" applyProtection="1">
      <alignment horizontal="left" vertical="center"/>
      <protection locked="0"/>
    </xf>
    <xf numFmtId="0" fontId="21" fillId="5" borderId="125" xfId="0" applyFont="1" applyFill="1" applyBorder="1" applyAlignment="1" applyProtection="1">
      <alignment horizontal="left" vertical="center"/>
      <protection locked="0"/>
    </xf>
    <xf numFmtId="0" fontId="21" fillId="5" borderId="176" xfId="0" applyFont="1" applyFill="1" applyBorder="1" applyAlignment="1" applyProtection="1">
      <alignment horizontal="left" vertical="center"/>
      <protection locked="0"/>
    </xf>
    <xf numFmtId="0" fontId="21" fillId="5" borderId="177" xfId="0" applyFont="1" applyFill="1" applyBorder="1" applyAlignment="1" applyProtection="1">
      <alignment horizontal="left" vertical="center"/>
      <protection locked="0"/>
    </xf>
    <xf numFmtId="0" fontId="21" fillId="5" borderId="178" xfId="0" applyFont="1" applyFill="1" applyBorder="1" applyAlignment="1" applyProtection="1">
      <alignment horizontal="left" vertical="center"/>
      <protection locked="0"/>
    </xf>
    <xf numFmtId="38" fontId="22" fillId="2" borderId="0" xfId="0" applyNumberFormat="1" applyFont="1" applyFill="1" applyAlignment="1">
      <alignment horizontal="right" vertical="top"/>
    </xf>
    <xf numFmtId="0" fontId="36" fillId="22" borderId="24" xfId="5" applyFont="1" applyFill="1" applyBorder="1" applyAlignment="1">
      <alignment horizontal="center" vertical="center"/>
    </xf>
    <xf numFmtId="0" fontId="36" fillId="22" borderId="40" xfId="5" applyFont="1" applyFill="1" applyBorder="1" applyAlignment="1">
      <alignment horizontal="center" vertical="center"/>
    </xf>
    <xf numFmtId="0" fontId="36" fillId="22" borderId="21" xfId="5" applyFont="1" applyFill="1" applyBorder="1" applyAlignment="1">
      <alignment horizontal="center" vertical="center"/>
    </xf>
    <xf numFmtId="0" fontId="21" fillId="6" borderId="24" xfId="31" applyFont="1" applyFill="1" applyBorder="1" applyAlignment="1">
      <alignment horizontal="center" vertical="center"/>
    </xf>
    <xf numFmtId="0" fontId="21" fillId="6" borderId="21" xfId="31" applyFont="1" applyFill="1" applyBorder="1" applyAlignment="1">
      <alignment horizontal="center" vertical="center"/>
    </xf>
    <xf numFmtId="0" fontId="21" fillId="5" borderId="24" xfId="31" applyFont="1" applyFill="1" applyBorder="1" applyAlignment="1">
      <alignment horizontal="center"/>
    </xf>
    <xf numFmtId="0" fontId="21" fillId="5" borderId="21" xfId="31" applyFont="1" applyFill="1" applyBorder="1" applyAlignment="1">
      <alignment horizontal="center"/>
    </xf>
    <xf numFmtId="0" fontId="61" fillId="23" borderId="153" xfId="5" applyFont="1" applyFill="1" applyBorder="1" applyAlignment="1" applyProtection="1">
      <alignment horizontal="left" vertical="center"/>
      <protection locked="0"/>
    </xf>
    <xf numFmtId="0" fontId="61" fillId="23" borderId="109" xfId="5" applyFont="1" applyFill="1" applyBorder="1" applyAlignment="1" applyProtection="1">
      <alignment horizontal="left" vertical="center"/>
      <protection locked="0"/>
    </xf>
    <xf numFmtId="0" fontId="21" fillId="4" borderId="148" xfId="0" applyFont="1" applyFill="1" applyBorder="1" applyAlignment="1" applyProtection="1">
      <alignment horizontal="left" vertical="center"/>
      <protection locked="0"/>
    </xf>
    <xf numFmtId="0" fontId="21" fillId="4" borderId="61" xfId="0" applyFont="1" applyFill="1" applyBorder="1" applyAlignment="1" applyProtection="1">
      <alignment horizontal="left" vertical="center"/>
      <protection locked="0"/>
    </xf>
    <xf numFmtId="0" fontId="21" fillId="4" borderId="149" xfId="0" applyFont="1" applyFill="1" applyBorder="1" applyAlignment="1" applyProtection="1">
      <alignment horizontal="left" vertical="center"/>
      <protection locked="0"/>
    </xf>
    <xf numFmtId="0" fontId="61" fillId="23" borderId="152" xfId="5" applyFont="1" applyFill="1" applyBorder="1" applyAlignment="1" applyProtection="1">
      <alignment horizontal="left" vertical="center"/>
      <protection locked="0"/>
    </xf>
    <xf numFmtId="0" fontId="61" fillId="23" borderId="21" xfId="5" applyFont="1" applyFill="1" applyBorder="1" applyAlignment="1" applyProtection="1">
      <alignment horizontal="left" vertical="center"/>
      <protection locked="0"/>
    </xf>
    <xf numFmtId="0" fontId="61" fillId="23" borderId="151" xfId="5" applyFont="1" applyFill="1" applyBorder="1" applyAlignment="1" applyProtection="1">
      <alignment horizontal="left" vertical="center"/>
      <protection locked="0"/>
    </xf>
    <xf numFmtId="0" fontId="61" fillId="23" borderId="108" xfId="5" applyFont="1" applyFill="1" applyBorder="1" applyAlignment="1" applyProtection="1">
      <alignment horizontal="left" vertical="center"/>
      <protection locked="0"/>
    </xf>
    <xf numFmtId="5" fontId="41" fillId="0" borderId="0" xfId="5" applyNumberFormat="1" applyFont="1" applyAlignment="1">
      <alignment horizontal="right"/>
    </xf>
    <xf numFmtId="0" fontId="18" fillId="0" borderId="0" xfId="0" applyFont="1" applyAlignment="1">
      <alignment horizontal="left" vertical="center"/>
    </xf>
    <xf numFmtId="0" fontId="30" fillId="0" borderId="0" xfId="5" applyFont="1" applyAlignment="1">
      <alignment horizontal="center" vertical="center"/>
    </xf>
    <xf numFmtId="0" fontId="82" fillId="8" borderId="0" xfId="5" applyFont="1" applyFill="1" applyAlignment="1">
      <alignment horizontal="center"/>
    </xf>
    <xf numFmtId="0" fontId="212" fillId="0" borderId="0" xfId="0" applyFont="1" applyAlignment="1">
      <alignment horizontal="left" vertical="center"/>
    </xf>
    <xf numFmtId="0" fontId="15" fillId="21" borderId="24" xfId="0" applyFont="1" applyFill="1" applyBorder="1" applyAlignment="1">
      <alignment horizontal="center" vertical="center"/>
    </xf>
    <xf numFmtId="0" fontId="15" fillId="21" borderId="40" xfId="0" applyFont="1" applyFill="1" applyBorder="1" applyAlignment="1">
      <alignment horizontal="center" vertical="center"/>
    </xf>
    <xf numFmtId="0" fontId="15" fillId="21" borderId="21" xfId="0" applyFont="1" applyFill="1" applyBorder="1" applyAlignment="1">
      <alignment horizontal="center" vertical="center"/>
    </xf>
    <xf numFmtId="0" fontId="15" fillId="22" borderId="24" xfId="0" applyFont="1" applyFill="1" applyBorder="1" applyAlignment="1">
      <alignment horizontal="center" vertical="center"/>
    </xf>
    <xf numFmtId="0" fontId="15" fillId="22" borderId="40" xfId="0" applyFont="1" applyFill="1" applyBorder="1" applyAlignment="1">
      <alignment horizontal="center" vertical="center"/>
    </xf>
    <xf numFmtId="0" fontId="15" fillId="22" borderId="21" xfId="0" applyFont="1" applyFill="1" applyBorder="1" applyAlignment="1">
      <alignment horizontal="center" vertical="center"/>
    </xf>
    <xf numFmtId="0" fontId="16" fillId="20" borderId="24" xfId="0" applyFont="1" applyFill="1" applyBorder="1" applyAlignment="1">
      <alignment horizontal="center" vertical="center"/>
    </xf>
    <xf numFmtId="0" fontId="16" fillId="20" borderId="40" xfId="0" applyFont="1" applyFill="1" applyBorder="1" applyAlignment="1">
      <alignment horizontal="center" vertical="center"/>
    </xf>
    <xf numFmtId="0" fontId="16" fillId="20" borderId="21" xfId="0" applyFont="1" applyFill="1" applyBorder="1" applyAlignment="1">
      <alignment horizontal="center" vertical="center"/>
    </xf>
    <xf numFmtId="0" fontId="15" fillId="5" borderId="24" xfId="0" applyFont="1" applyFill="1" applyBorder="1" applyAlignment="1">
      <alignment horizontal="center" vertical="center"/>
    </xf>
    <xf numFmtId="0" fontId="15" fillId="5" borderId="40" xfId="0" applyFont="1" applyFill="1" applyBorder="1" applyAlignment="1">
      <alignment horizontal="center" vertical="center"/>
    </xf>
    <xf numFmtId="0" fontId="15" fillId="5" borderId="21" xfId="0" applyFont="1" applyFill="1" applyBorder="1" applyAlignment="1">
      <alignment horizontal="center" vertical="center"/>
    </xf>
    <xf numFmtId="0" fontId="16" fillId="18" borderId="24" xfId="0" applyFont="1" applyFill="1" applyBorder="1" applyAlignment="1">
      <alignment horizontal="center" vertical="center"/>
    </xf>
    <xf numFmtId="0" fontId="16" fillId="18" borderId="21" xfId="0" applyFont="1" applyFill="1" applyBorder="1" applyAlignment="1">
      <alignment horizontal="center" vertical="center"/>
    </xf>
    <xf numFmtId="0" fontId="16" fillId="18" borderId="40" xfId="0" applyFont="1" applyFill="1" applyBorder="1" applyAlignment="1">
      <alignment horizontal="center" vertical="center"/>
    </xf>
    <xf numFmtId="0" fontId="23" fillId="5" borderId="24" xfId="0" applyFont="1" applyFill="1" applyBorder="1" applyAlignment="1">
      <alignment horizontal="center" vertical="center"/>
    </xf>
    <xf numFmtId="0" fontId="23" fillId="5" borderId="21" xfId="0" applyFont="1" applyFill="1" applyBorder="1" applyAlignment="1">
      <alignment horizontal="center" vertical="center"/>
    </xf>
    <xf numFmtId="173" fontId="139" fillId="2" borderId="9" xfId="0" applyNumberFormat="1" applyFont="1" applyFill="1" applyBorder="1" applyAlignment="1">
      <alignment horizontal="center"/>
    </xf>
    <xf numFmtId="173" fontId="139" fillId="2" borderId="10" xfId="0" applyNumberFormat="1" applyFont="1" applyFill="1" applyBorder="1" applyAlignment="1">
      <alignment horizontal="center"/>
    </xf>
    <xf numFmtId="173" fontId="139" fillId="2" borderId="2" xfId="0" applyNumberFormat="1" applyFont="1" applyFill="1" applyBorder="1" applyAlignment="1">
      <alignment horizontal="center"/>
    </xf>
    <xf numFmtId="173" fontId="139" fillId="2" borderId="7" xfId="0" applyNumberFormat="1" applyFont="1" applyFill="1" applyBorder="1" applyAlignment="1">
      <alignment horizontal="center"/>
    </xf>
    <xf numFmtId="173" fontId="139" fillId="2" borderId="8" xfId="0" applyNumberFormat="1" applyFont="1" applyFill="1" applyBorder="1" applyAlignment="1">
      <alignment horizontal="center"/>
    </xf>
    <xf numFmtId="173" fontId="139" fillId="2" borderId="6" xfId="0" applyNumberFormat="1" applyFont="1" applyFill="1" applyBorder="1" applyAlignment="1">
      <alignment horizontal="center"/>
    </xf>
    <xf numFmtId="173" fontId="139" fillId="2" borderId="4" xfId="0" applyNumberFormat="1" applyFont="1" applyFill="1" applyBorder="1" applyAlignment="1">
      <alignment horizontal="center"/>
    </xf>
    <xf numFmtId="173" fontId="139" fillId="2" borderId="5" xfId="0" applyNumberFormat="1" applyFont="1" applyFill="1" applyBorder="1" applyAlignment="1">
      <alignment horizontal="center"/>
    </xf>
    <xf numFmtId="173" fontId="139" fillId="2" borderId="3" xfId="0" applyNumberFormat="1" applyFont="1" applyFill="1" applyBorder="1" applyAlignment="1">
      <alignment horizontal="center"/>
    </xf>
    <xf numFmtId="0" fontId="107" fillId="2" borderId="0" xfId="0" applyFont="1" applyFill="1" applyAlignment="1">
      <alignment horizontal="left"/>
    </xf>
    <xf numFmtId="178" fontId="124" fillId="2" borderId="0" xfId="41" applyNumberFormat="1" applyFont="1" applyFill="1" applyBorder="1" applyAlignment="1">
      <alignment horizontal="right"/>
    </xf>
    <xf numFmtId="0" fontId="184" fillId="0" borderId="0" xfId="0" applyFont="1" applyAlignment="1">
      <alignment horizontal="left" vertical="top"/>
    </xf>
    <xf numFmtId="0" fontId="124" fillId="0" borderId="0" xfId="0" applyFont="1" applyAlignment="1">
      <alignment horizontal="left" vertical="top"/>
    </xf>
    <xf numFmtId="0" fontId="78" fillId="0" borderId="0" xfId="0" applyFont="1" applyAlignment="1">
      <alignment horizontal="left"/>
    </xf>
    <xf numFmtId="0" fontId="172" fillId="0" borderId="0" xfId="0" applyFont="1" applyAlignment="1">
      <alignment horizontal="center" vertical="top"/>
    </xf>
    <xf numFmtId="0" fontId="172" fillId="0" borderId="0" xfId="0" applyFont="1" applyAlignment="1">
      <alignment horizontal="center"/>
    </xf>
    <xf numFmtId="10" fontId="168" fillId="0" borderId="4" xfId="50" applyNumberFormat="1" applyFont="1" applyBorder="1" applyAlignment="1">
      <alignment horizontal="right" vertical="center"/>
    </xf>
    <xf numFmtId="10" fontId="168" fillId="0" borderId="5" xfId="50" applyNumberFormat="1" applyFont="1" applyBorder="1" applyAlignment="1">
      <alignment horizontal="right" vertical="center"/>
    </xf>
    <xf numFmtId="164" fontId="168" fillId="2" borderId="8" xfId="50" applyNumberFormat="1" applyFont="1" applyFill="1" applyBorder="1" applyAlignment="1">
      <alignment horizontal="right" vertical="center"/>
    </xf>
    <xf numFmtId="164" fontId="168" fillId="2" borderId="9" xfId="50" applyNumberFormat="1" applyFont="1" applyFill="1" applyBorder="1" applyAlignment="1">
      <alignment horizontal="right" vertical="center"/>
    </xf>
    <xf numFmtId="164" fontId="168" fillId="2" borderId="10" xfId="50" applyNumberFormat="1" applyFont="1" applyFill="1" applyBorder="1" applyAlignment="1">
      <alignment horizontal="right" vertical="center"/>
    </xf>
    <xf numFmtId="178" fontId="164" fillId="2" borderId="0" xfId="50" applyNumberFormat="1" applyFont="1" applyFill="1" applyAlignment="1">
      <alignment horizontal="right"/>
    </xf>
    <xf numFmtId="164" fontId="168" fillId="0" borderId="3" xfId="50" applyNumberFormat="1" applyFont="1" applyBorder="1" applyAlignment="1">
      <alignment horizontal="right" vertical="center"/>
    </xf>
    <xf numFmtId="164" fontId="168" fillId="0" borderId="4" xfId="50" applyNumberFormat="1" applyFont="1" applyBorder="1" applyAlignment="1">
      <alignment horizontal="right" vertical="center"/>
    </xf>
    <xf numFmtId="164" fontId="168" fillId="5" borderId="6" xfId="50" applyNumberFormat="1" applyFont="1" applyFill="1" applyBorder="1" applyAlignment="1">
      <alignment horizontal="right" vertical="center"/>
    </xf>
    <xf numFmtId="164" fontId="168" fillId="5" borderId="2" xfId="50" applyNumberFormat="1" applyFont="1" applyFill="1" applyBorder="1" applyAlignment="1">
      <alignment horizontal="right" vertical="center"/>
    </xf>
    <xf numFmtId="169" fontId="168" fillId="0" borderId="2" xfId="50" applyNumberFormat="1" applyFont="1" applyBorder="1" applyAlignment="1">
      <alignment horizontal="right" vertical="center"/>
    </xf>
    <xf numFmtId="10" fontId="168" fillId="0" borderId="6" xfId="50" applyNumberFormat="1" applyFont="1" applyBorder="1" applyAlignment="1">
      <alignment horizontal="right" vertical="center"/>
    </xf>
    <xf numFmtId="10" fontId="168" fillId="0" borderId="2" xfId="50" applyNumberFormat="1" applyFont="1" applyBorder="1" applyAlignment="1">
      <alignment horizontal="right" vertical="center"/>
    </xf>
    <xf numFmtId="10" fontId="168" fillId="0" borderId="3" xfId="50" applyNumberFormat="1" applyFont="1" applyBorder="1" applyAlignment="1">
      <alignment horizontal="right" vertical="center"/>
    </xf>
    <xf numFmtId="10" fontId="168" fillId="0" borderId="7" xfId="50" applyNumberFormat="1" applyFont="1" applyBorder="1" applyAlignment="1">
      <alignment horizontal="right" vertical="center"/>
    </xf>
    <xf numFmtId="10" fontId="168" fillId="0" borderId="8" xfId="50" applyNumberFormat="1" applyFont="1" applyBorder="1" applyAlignment="1">
      <alignment horizontal="right" vertical="center"/>
    </xf>
    <xf numFmtId="10" fontId="168" fillId="0" borderId="9" xfId="50" applyNumberFormat="1" applyFont="1" applyBorder="1" applyAlignment="1">
      <alignment horizontal="right" vertical="center"/>
    </xf>
    <xf numFmtId="171" fontId="168" fillId="0" borderId="9" xfId="50" applyNumberFormat="1" applyFont="1" applyBorder="1" applyAlignment="1">
      <alignment horizontal="right" vertical="center"/>
    </xf>
    <xf numFmtId="167" fontId="168" fillId="0" borderId="4" xfId="50" applyNumberFormat="1" applyFont="1" applyBorder="1" applyAlignment="1">
      <alignment horizontal="right" vertical="center"/>
    </xf>
    <xf numFmtId="167" fontId="168" fillId="0" borderId="2" xfId="50" applyNumberFormat="1" applyFont="1" applyBorder="1" applyAlignment="1">
      <alignment horizontal="right" vertical="center"/>
    </xf>
    <xf numFmtId="167" fontId="168" fillId="0" borderId="5" xfId="50" applyNumberFormat="1" applyFont="1" applyBorder="1" applyAlignment="1">
      <alignment horizontal="right" vertical="center"/>
    </xf>
    <xf numFmtId="167" fontId="168" fillId="0" borderId="7" xfId="50" applyNumberFormat="1" applyFont="1" applyBorder="1" applyAlignment="1">
      <alignment horizontal="right" vertical="center"/>
    </xf>
    <xf numFmtId="171" fontId="168" fillId="0" borderId="10" xfId="50" applyNumberFormat="1" applyFont="1" applyBorder="1" applyAlignment="1">
      <alignment horizontal="right" vertical="center"/>
    </xf>
    <xf numFmtId="167" fontId="168" fillId="0" borderId="3" xfId="50" applyNumberFormat="1" applyFont="1" applyBorder="1" applyAlignment="1">
      <alignment horizontal="right" vertical="center"/>
    </xf>
    <xf numFmtId="167" fontId="168" fillId="0" borderId="6" xfId="50" applyNumberFormat="1" applyFont="1" applyBorder="1" applyAlignment="1">
      <alignment horizontal="right" vertical="center"/>
    </xf>
    <xf numFmtId="169" fontId="168" fillId="0" borderId="9" xfId="50" applyNumberFormat="1" applyFont="1" applyBorder="1" applyAlignment="1">
      <alignment horizontal="right" vertical="center"/>
    </xf>
    <xf numFmtId="169" fontId="168" fillId="0" borderId="10" xfId="50" applyNumberFormat="1" applyFont="1" applyBorder="1" applyAlignment="1">
      <alignment horizontal="right" vertical="center"/>
    </xf>
    <xf numFmtId="171" fontId="168" fillId="0" borderId="8" xfId="50" applyNumberFormat="1" applyFont="1" applyBorder="1" applyAlignment="1">
      <alignment horizontal="right" vertical="center"/>
    </xf>
    <xf numFmtId="164" fontId="168" fillId="2" borderId="2" xfId="50" applyNumberFormat="1" applyFont="1" applyFill="1" applyBorder="1" applyAlignment="1">
      <alignment horizontal="right" vertical="center"/>
    </xf>
    <xf numFmtId="164" fontId="168" fillId="2" borderId="7" xfId="50" applyNumberFormat="1" applyFont="1" applyFill="1" applyBorder="1" applyAlignment="1">
      <alignment horizontal="right" vertical="center"/>
    </xf>
    <xf numFmtId="10" fontId="168" fillId="0" borderId="10" xfId="50" applyNumberFormat="1" applyFont="1" applyBorder="1" applyAlignment="1">
      <alignment horizontal="right" vertical="center"/>
    </xf>
    <xf numFmtId="169" fontId="168" fillId="2" borderId="6" xfId="50" applyNumberFormat="1" applyFont="1" applyFill="1" applyBorder="1" applyAlignment="1">
      <alignment horizontal="right" vertical="center"/>
    </xf>
    <xf numFmtId="169" fontId="168" fillId="2" borderId="2" xfId="50" applyNumberFormat="1" applyFont="1" applyFill="1" applyBorder="1" applyAlignment="1">
      <alignment horizontal="right" vertical="center"/>
    </xf>
    <xf numFmtId="169" fontId="168" fillId="0" borderId="7" xfId="50" applyNumberFormat="1" applyFont="1" applyBorder="1" applyAlignment="1">
      <alignment horizontal="right" vertical="center"/>
    </xf>
    <xf numFmtId="169" fontId="168" fillId="2" borderId="8" xfId="50" applyNumberFormat="1" applyFont="1" applyFill="1" applyBorder="1" applyAlignment="1">
      <alignment horizontal="right" vertical="center"/>
    </xf>
    <xf numFmtId="169" fontId="168" fillId="2" borderId="9" xfId="50" applyNumberFormat="1" applyFont="1" applyFill="1" applyBorder="1" applyAlignment="1">
      <alignment horizontal="right" vertical="center"/>
    </xf>
    <xf numFmtId="0" fontId="131" fillId="5" borderId="37" xfId="50" applyFont="1" applyFill="1" applyBorder="1" applyAlignment="1">
      <alignment horizontal="center" vertical="center"/>
    </xf>
    <xf numFmtId="0" fontId="131" fillId="5" borderId="38" xfId="50" applyFont="1" applyFill="1" applyBorder="1" applyAlignment="1">
      <alignment horizontal="center" vertical="center"/>
    </xf>
    <xf numFmtId="0" fontId="131" fillId="5" borderId="19" xfId="50" applyFont="1" applyFill="1" applyBorder="1" applyAlignment="1">
      <alignment horizontal="center" vertical="center"/>
    </xf>
    <xf numFmtId="164" fontId="168" fillId="2" borderId="6" xfId="50" applyNumberFormat="1" applyFont="1" applyFill="1" applyBorder="1" applyAlignment="1">
      <alignment horizontal="right" vertical="center"/>
    </xf>
    <xf numFmtId="164" fontId="168" fillId="0" borderId="5" xfId="50" applyNumberFormat="1" applyFont="1" applyBorder="1" applyAlignment="1">
      <alignment horizontal="right" vertical="center"/>
    </xf>
    <xf numFmtId="169" fontId="168" fillId="0" borderId="4" xfId="50" applyNumberFormat="1" applyFont="1" applyBorder="1" applyAlignment="1">
      <alignment horizontal="right" vertical="center"/>
    </xf>
    <xf numFmtId="169" fontId="168" fillId="0" borderId="5" xfId="50" applyNumberFormat="1" applyFont="1" applyBorder="1" applyAlignment="1">
      <alignment horizontal="right" vertical="center"/>
    </xf>
    <xf numFmtId="164" fontId="168" fillId="5" borderId="8" xfId="50" applyNumberFormat="1" applyFont="1" applyFill="1" applyBorder="1" applyAlignment="1">
      <alignment horizontal="right" vertical="center"/>
    </xf>
    <xf numFmtId="164" fontId="168" fillId="5" borderId="9" xfId="50" applyNumberFormat="1" applyFont="1" applyFill="1" applyBorder="1" applyAlignment="1">
      <alignment horizontal="right" vertical="center"/>
    </xf>
    <xf numFmtId="164" fontId="168" fillId="5" borderId="3" xfId="50" applyNumberFormat="1" applyFont="1" applyFill="1" applyBorder="1" applyAlignment="1">
      <alignment horizontal="right" vertical="center"/>
    </xf>
    <xf numFmtId="164" fontId="168" fillId="5" borderId="4" xfId="50" applyNumberFormat="1" applyFont="1" applyFill="1" applyBorder="1" applyAlignment="1">
      <alignment horizontal="right" vertical="center"/>
    </xf>
    <xf numFmtId="9" fontId="168" fillId="0" borderId="4" xfId="50" applyNumberFormat="1" applyFont="1" applyBorder="1" applyAlignment="1">
      <alignment horizontal="right" vertical="center"/>
    </xf>
    <xf numFmtId="164" fontId="164" fillId="5" borderId="3" xfId="50" applyNumberFormat="1" applyFont="1" applyFill="1" applyBorder="1" applyAlignment="1">
      <alignment horizontal="right" vertical="center"/>
    </xf>
    <xf numFmtId="164" fontId="164" fillId="5" borderId="4" xfId="50" applyNumberFormat="1" applyFont="1" applyFill="1" applyBorder="1" applyAlignment="1">
      <alignment horizontal="right" vertical="center"/>
    </xf>
    <xf numFmtId="169" fontId="164" fillId="5" borderId="4" xfId="50" applyNumberFormat="1" applyFont="1" applyFill="1" applyBorder="1" applyAlignment="1">
      <alignment horizontal="right" vertical="center"/>
    </xf>
    <xf numFmtId="169" fontId="164" fillId="5" borderId="5" xfId="50" applyNumberFormat="1" applyFont="1" applyFill="1" applyBorder="1" applyAlignment="1">
      <alignment horizontal="right" vertical="center"/>
    </xf>
    <xf numFmtId="0" fontId="160" fillId="0" borderId="0" xfId="0" applyFont="1" applyAlignment="1">
      <alignment horizontal="right"/>
    </xf>
  </cellXfs>
  <cellStyles count="56">
    <cellStyle name="Comma" xfId="41" builtinId="3"/>
    <cellStyle name="Comma 2" xfId="12" xr:uid="{00000000-0005-0000-0000-000001000000}"/>
    <cellStyle name="Comma 2 2" xfId="8" xr:uid="{00000000-0005-0000-0000-000002000000}"/>
    <cellStyle name="Comma 2 3" xfId="19" xr:uid="{00000000-0005-0000-0000-000003000000}"/>
    <cellStyle name="Comma 3" xfId="37" xr:uid="{DFC6A02B-21C8-43A4-9E39-EE99567DC564}"/>
    <cellStyle name="Comma 4" xfId="43" xr:uid="{047FFC7A-2D43-49D2-9C14-ACC4E0F4EAA4}"/>
    <cellStyle name="Comma 5" xfId="51" xr:uid="{AE6083E8-D6C4-4A20-A78C-F63486A0BCC7}"/>
    <cellStyle name="Currency 2" xfId="45" xr:uid="{2C95F286-9F2A-40AF-813C-A5E9FDFA1502}"/>
    <cellStyle name="Currency 3" xfId="52" xr:uid="{50914A88-8021-4859-A20F-0D11D4C3EB0D}"/>
    <cellStyle name="Followed Hyperlink" xfId="16" builtinId="9" hidden="1"/>
    <cellStyle name="Followed Hyperlink" xfId="22" builtinId="9" hidden="1"/>
    <cellStyle name="Followed Hyperlink" xfId="24" builtinId="9" hidden="1"/>
    <cellStyle name="Followed Hyperlink" xfId="15" builtinId="9" hidden="1"/>
    <cellStyle name="Followed Hyperlink" xfId="14" builtinId="9" hidden="1"/>
    <cellStyle name="Hyperlink" xfId="23" builtinId="8" hidden="1"/>
    <cellStyle name="Hyperlink" xfId="21" builtinId="8" hidden="1"/>
    <cellStyle name="Hyperlink" xfId="47" builtinId="8"/>
    <cellStyle name="Hyperlink 2" xfId="49" xr:uid="{00C47294-3954-412C-8975-885EAE5E14D6}"/>
    <cellStyle name="Input#" xfId="26" xr:uid="{9BAEB0A2-B31F-454E-B622-DCE66C04C2AC}"/>
    <cellStyle name="Input#Dec" xfId="28" xr:uid="{536EC188-6521-478A-A2E2-35DBDA09A35A}"/>
    <cellStyle name="Input$ 3" xfId="7" xr:uid="{00000000-0005-0000-0000-00000C000000}"/>
    <cellStyle name="Input$Dec" xfId="25" xr:uid="{BCB77BD9-4DA1-41CD-962D-0640383ACD6C}"/>
    <cellStyle name="Input% 2" xfId="4" xr:uid="{00000000-0005-0000-0000-00000B000000}"/>
    <cellStyle name="InputText" xfId="27" xr:uid="{7D172D3C-8E36-411D-85AE-BFC422F51274}"/>
    <cellStyle name="Normal" xfId="0" builtinId="0"/>
    <cellStyle name="Normal 10" xfId="44" xr:uid="{13EC9988-74B5-447E-849F-38D3CD0D49F4}"/>
    <cellStyle name="Normal 11" xfId="50" xr:uid="{89944F51-419E-496F-AB71-3D126E6734A3}"/>
    <cellStyle name="Normal 12" xfId="54" xr:uid="{D06BC719-4CFD-40BA-897D-82879FC5D046}"/>
    <cellStyle name="Normal 2" xfId="2" xr:uid="{00000000-0005-0000-0000-00000E000000}"/>
    <cellStyle name="Normal 2 2" xfId="30" xr:uid="{70C5B202-488E-462E-A79E-AAF457EC7514}"/>
    <cellStyle name="Normal 2 3" xfId="55" xr:uid="{17C42F15-6812-4F11-A225-10319B662C22}"/>
    <cellStyle name="Normal 3" xfId="3" xr:uid="{00000000-0005-0000-0000-00000F000000}"/>
    <cellStyle name="Normal 4" xfId="5" xr:uid="{00000000-0005-0000-0000-000010000000}"/>
    <cellStyle name="Normal 4 2" xfId="6" xr:uid="{00000000-0005-0000-0000-000011000000}"/>
    <cellStyle name="Normal 5" xfId="9" xr:uid="{00000000-0005-0000-0000-000012000000}"/>
    <cellStyle name="Normal 6" xfId="10" xr:uid="{00000000-0005-0000-0000-000013000000}"/>
    <cellStyle name="Normal 6 2" xfId="18" xr:uid="{00000000-0005-0000-0000-000014000000}"/>
    <cellStyle name="Normal 6 3" xfId="42" xr:uid="{45E87B52-48BF-4837-AFF3-814EB8263488}"/>
    <cellStyle name="Normal 7" xfId="11" xr:uid="{00000000-0005-0000-0000-000015000000}"/>
    <cellStyle name="Normal 7 2" xfId="17" xr:uid="{00000000-0005-0000-0000-000016000000}"/>
    <cellStyle name="Normal 8" xfId="31" xr:uid="{D8AD4451-4D63-416E-955D-48F2C6B2D187}"/>
    <cellStyle name="Normal 9" xfId="48" xr:uid="{8B5EA445-8D7F-40C3-AC36-1D2FDF3FB911}"/>
    <cellStyle name="Output#" xfId="34" xr:uid="{63CE70C3-7753-42F2-88D3-F7F79153C810}"/>
    <cellStyle name="Output#Dec" xfId="33" xr:uid="{677B746C-513C-4A87-84E7-9A4C524D3329}"/>
    <cellStyle name="Output$" xfId="29" xr:uid="{B589366B-95DA-4FF9-A773-9130181B76B0}"/>
    <cellStyle name="Output$()" xfId="32" xr:uid="{D033E84B-E8D3-4FE7-937B-FA18F3BE7DAB}"/>
    <cellStyle name="Output$Dec" xfId="36" xr:uid="{FF1F27E5-A502-45E2-A614-21BA915FA4C2}"/>
    <cellStyle name="Output%" xfId="38" xr:uid="{0235E08D-6EBE-4BB4-9DEE-EAD04AA03171}"/>
    <cellStyle name="Output%Dec" xfId="35" xr:uid="{F48A2A43-3123-4271-80E7-DEFBE093159A}"/>
    <cellStyle name="Percent 2" xfId="1" xr:uid="{00000000-0005-0000-0000-000017000000}"/>
    <cellStyle name="Percent 2 2" xfId="46" xr:uid="{2BCB4B7F-780F-4AC7-829D-A4692B3FF86B}"/>
    <cellStyle name="Percent 3" xfId="13" xr:uid="{00000000-0005-0000-0000-000018000000}"/>
    <cellStyle name="Percent 3 2" xfId="20" xr:uid="{00000000-0005-0000-0000-000019000000}"/>
    <cellStyle name="Percent 4" xfId="53" xr:uid="{47B318D6-3830-4F40-806B-581BB8F410C2}"/>
    <cellStyle name="Reports$BoldNotBold" xfId="39" xr:uid="{2BFCB744-83AD-4734-B632-7D0BCA6D8A1B}"/>
    <cellStyle name="TableNotBold" xfId="40" xr:uid="{B2DA42FC-A72F-4A53-94ED-F0FCB17EE09C}"/>
  </cellStyles>
  <dxfs count="445">
    <dxf>
      <font>
        <color theme="0"/>
      </font>
      <border>
        <left/>
        <right/>
        <top/>
        <bottom/>
        <vertical/>
        <horizontal/>
      </border>
    </dxf>
    <dxf>
      <font>
        <color theme="0"/>
      </font>
      <border>
        <left/>
        <right/>
        <top/>
        <bottom/>
        <vertical/>
        <horizontal/>
      </border>
    </dxf>
    <dxf>
      <font>
        <color theme="0"/>
      </font>
      <fill>
        <patternFill>
          <bgColor theme="0"/>
        </patternFill>
      </fill>
      <border>
        <left/>
        <right/>
        <top/>
        <bottom/>
        <vertical/>
        <horizontal/>
      </border>
    </dxf>
    <dxf>
      <font>
        <color theme="0"/>
      </font>
      <border>
        <left/>
        <right/>
        <top/>
        <bottom/>
        <vertical/>
        <horizontal/>
      </border>
    </dxf>
    <dxf>
      <font>
        <color theme="0"/>
      </font>
      <border>
        <left/>
        <right/>
        <top/>
        <bottom/>
        <vertical/>
        <horizontal/>
      </border>
    </dxf>
    <dxf>
      <font>
        <color theme="0"/>
      </font>
      <border>
        <left/>
        <right/>
        <top/>
        <bottom/>
        <vertical/>
        <horizontal/>
      </border>
    </dxf>
    <dxf>
      <font>
        <color theme="0"/>
      </font>
      <fill>
        <patternFill>
          <bgColor theme="0"/>
        </patternFill>
      </fill>
    </dxf>
    <dxf>
      <font>
        <b/>
        <i val="0"/>
        <color rgb="FFFFFF00"/>
      </font>
      <fill>
        <patternFill>
          <bgColor rgb="FFD33033"/>
        </patternFill>
      </fill>
    </dxf>
    <dxf>
      <font>
        <b/>
        <i val="0"/>
        <color rgb="FFFFFF00"/>
      </font>
      <fill>
        <patternFill>
          <bgColor rgb="FF339933"/>
        </patternFill>
      </fill>
    </dxf>
    <dxf>
      <font>
        <b/>
        <i val="0"/>
        <color rgb="FFFFFF00"/>
      </font>
      <fill>
        <patternFill>
          <bgColor rgb="FFD33033"/>
        </patternFill>
      </fill>
    </dxf>
    <dxf>
      <font>
        <b/>
        <i val="0"/>
        <color rgb="FFFFFF00"/>
      </font>
      <fill>
        <patternFill>
          <bgColor rgb="FF339933"/>
        </patternFill>
      </fill>
    </dxf>
    <dxf>
      <font>
        <b/>
        <i val="0"/>
        <color rgb="FFFFFF00"/>
      </font>
      <fill>
        <patternFill>
          <bgColor rgb="FFD33033"/>
        </patternFill>
      </fill>
    </dxf>
    <dxf>
      <font>
        <b/>
        <i val="0"/>
        <color rgb="FFFFFF00"/>
      </font>
      <fill>
        <patternFill>
          <bgColor rgb="FF339933"/>
        </patternFill>
      </fill>
    </dxf>
    <dxf>
      <font>
        <color theme="0"/>
      </font>
      <fill>
        <patternFill>
          <bgColor theme="0"/>
        </patternFill>
      </fill>
    </dxf>
    <dxf>
      <font>
        <b/>
        <i val="0"/>
        <color rgb="FFFFFF00"/>
      </font>
      <fill>
        <patternFill>
          <bgColor rgb="FFD33033"/>
        </patternFill>
      </fill>
    </dxf>
    <dxf>
      <font>
        <b/>
        <i val="0"/>
        <color rgb="FFFFFF00"/>
      </font>
      <fill>
        <patternFill>
          <bgColor rgb="FF339933"/>
        </patternFill>
      </fill>
    </dxf>
    <dxf>
      <font>
        <color theme="0"/>
      </font>
      <fill>
        <patternFill>
          <bgColor theme="0"/>
        </patternFill>
      </fill>
    </dxf>
    <dxf>
      <font>
        <b/>
        <i val="0"/>
        <color rgb="FFFFFF00"/>
      </font>
      <fill>
        <patternFill>
          <bgColor rgb="FFD33033"/>
        </patternFill>
      </fill>
    </dxf>
    <dxf>
      <font>
        <b/>
        <i val="0"/>
        <color rgb="FFFFFF00"/>
      </font>
      <fill>
        <patternFill>
          <bgColor rgb="FF339933"/>
        </patternFill>
      </fill>
    </dxf>
    <dxf>
      <font>
        <color theme="0"/>
      </font>
      <fill>
        <patternFill>
          <bgColor theme="0"/>
        </patternFill>
      </fill>
    </dxf>
    <dxf>
      <font>
        <b/>
        <i val="0"/>
        <color rgb="FF339933"/>
      </font>
    </dxf>
    <dxf>
      <font>
        <b/>
        <i val="0"/>
        <color rgb="FF339933"/>
      </font>
    </dxf>
    <dxf>
      <font>
        <b/>
        <i val="0"/>
        <color rgb="FF339933"/>
      </font>
    </dxf>
    <dxf>
      <font>
        <b/>
        <i val="0"/>
        <color rgb="FF339933"/>
      </font>
    </dxf>
    <dxf>
      <font>
        <b/>
        <i val="0"/>
        <color rgb="FF339933"/>
      </font>
    </dxf>
    <dxf>
      <font>
        <b/>
        <i val="0"/>
        <color rgb="FFFF0000"/>
      </font>
    </dxf>
    <dxf>
      <font>
        <b/>
        <i val="0"/>
        <color rgb="FF339933"/>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ill>
        <patternFill>
          <bgColor theme="9" tint="-0.24994659260841701"/>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499984740745262"/>
      </font>
    </dxf>
    <dxf>
      <font>
        <color theme="0"/>
      </font>
      <fill>
        <patternFill>
          <bgColor theme="0"/>
        </patternFill>
      </fill>
      <border>
        <left/>
        <right/>
        <top/>
        <bottom/>
        <vertical/>
        <horizontal/>
      </border>
    </dxf>
    <dxf>
      <font>
        <color theme="0" tint="-0.499984740745262"/>
      </font>
    </dxf>
    <dxf>
      <font>
        <color rgb="FFFFFF99"/>
      </font>
      <fill>
        <patternFill>
          <bgColor theme="1" tint="0.34998626667073579"/>
        </patternFill>
      </fill>
    </dxf>
    <dxf>
      <font>
        <color theme="1" tint="0.34998626667073579"/>
      </font>
      <fill>
        <patternFill>
          <bgColor theme="1" tint="0.34998626667073579"/>
        </patternFill>
      </fill>
    </dxf>
    <dxf>
      <font>
        <color rgb="FFFFFF99"/>
      </font>
      <fill>
        <patternFill>
          <bgColor theme="1" tint="0.34998626667073579"/>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9" tint="0.59996337778862885"/>
        </patternFill>
      </fill>
    </dxf>
    <dxf>
      <font>
        <color theme="0"/>
      </font>
    </dxf>
    <dxf>
      <font>
        <color theme="2"/>
      </font>
      <fill>
        <patternFill>
          <bgColor theme="2"/>
        </patternFill>
      </fill>
    </dxf>
    <dxf>
      <font>
        <color theme="0"/>
      </font>
    </dxf>
    <dxf>
      <font>
        <color theme="2"/>
      </font>
      <fill>
        <patternFill>
          <bgColor theme="2"/>
        </patternFill>
      </fill>
    </dxf>
    <dxf>
      <font>
        <color rgb="FF00B0F0"/>
      </font>
      <fill>
        <patternFill>
          <bgColor theme="1" tint="0.34998626667073579"/>
        </patternFill>
      </fill>
    </dxf>
    <dxf>
      <font>
        <b val="0"/>
        <i/>
        <color theme="1" tint="0.499984740745262"/>
      </font>
    </dxf>
    <dxf>
      <font>
        <color theme="0"/>
      </font>
      <fill>
        <patternFill>
          <bgColor theme="0"/>
        </patternFill>
      </fill>
      <border>
        <left/>
        <right/>
        <top/>
        <bottom/>
        <vertical/>
        <horizontal/>
      </border>
    </dxf>
    <dxf>
      <font>
        <b/>
        <i val="0"/>
        <color theme="0"/>
      </font>
      <fill>
        <patternFill>
          <bgColor theme="1" tint="0.34998626667073579"/>
        </patternFill>
      </fill>
    </dxf>
    <dxf>
      <font>
        <color theme="0"/>
      </font>
      <border>
        <left/>
        <right/>
        <top/>
        <bottom/>
        <vertical/>
        <horizontal/>
      </border>
    </dxf>
    <dxf>
      <font>
        <color theme="0"/>
      </font>
      <border>
        <left/>
        <right/>
        <top/>
        <bottom/>
        <vertical/>
        <horizontal/>
      </border>
    </dxf>
    <dxf>
      <font>
        <color theme="1" tint="0.34998626667073579"/>
      </font>
      <fill>
        <patternFill>
          <bgColor theme="1" tint="0.34998626667073579"/>
        </patternFill>
      </fill>
    </dxf>
    <dxf>
      <font>
        <color theme="0"/>
      </font>
      <fill>
        <patternFill>
          <bgColor theme="0"/>
        </patternFill>
      </fill>
      <border>
        <right/>
        <top/>
        <bottom/>
        <vertical/>
        <horizontal/>
      </border>
    </dxf>
    <dxf>
      <font>
        <color theme="0"/>
      </font>
      <fill>
        <patternFill>
          <bgColor theme="0"/>
        </patternFill>
      </fill>
      <border>
        <left/>
        <right/>
        <top/>
        <bottom/>
        <vertical/>
        <horizontal/>
      </border>
    </dxf>
    <dxf>
      <border>
        <right style="thin">
          <color auto="1"/>
        </right>
        <vertical/>
        <horizontal/>
      </border>
    </dxf>
    <dxf>
      <font>
        <b/>
        <i val="0"/>
        <color rgb="FF0000FF"/>
      </font>
      <fill>
        <patternFill>
          <bgColor rgb="FFFFFF00"/>
        </patternFill>
      </fill>
    </dxf>
    <dxf>
      <font>
        <color theme="1" tint="0.499984740745262"/>
      </font>
    </dxf>
    <dxf>
      <font>
        <color theme="0"/>
      </font>
    </dxf>
    <dxf>
      <font>
        <color theme="0"/>
      </font>
    </dxf>
    <dxf>
      <font>
        <color theme="0" tint="-0.499984740745262"/>
      </font>
    </dxf>
    <dxf>
      <font>
        <color theme="0" tint="-4.9989318521683403E-2"/>
      </font>
      <fill>
        <patternFill>
          <bgColor theme="0" tint="-4.9989318521683403E-2"/>
        </patternFill>
      </fill>
      <border>
        <left style="thin">
          <color auto="1"/>
        </left>
        <right style="thin">
          <color auto="1"/>
        </right>
        <top style="thin">
          <color auto="1"/>
        </top>
        <bottom style="thin">
          <color auto="1"/>
        </bottom>
      </border>
    </dxf>
    <dxf>
      <fill>
        <patternFill>
          <bgColor theme="9" tint="0.79998168889431442"/>
        </patternFill>
      </fill>
    </dxf>
    <dxf>
      <font>
        <color theme="0" tint="-0.499984740745262"/>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b/>
        <i val="0"/>
      </font>
      <border>
        <top style="thin">
          <color auto="1"/>
        </top>
        <vertical/>
        <horizontal/>
      </border>
    </dxf>
    <dxf>
      <font>
        <color theme="0"/>
      </font>
      <border>
        <left/>
        <right/>
        <top/>
        <bottom/>
        <vertical/>
        <horizontal/>
      </border>
    </dxf>
    <dxf>
      <font>
        <color theme="0"/>
      </font>
      <fill>
        <patternFill>
          <bgColor theme="0"/>
        </patternFill>
      </fill>
      <border>
        <left/>
        <right/>
        <top/>
        <bottom/>
      </border>
    </dxf>
    <dxf>
      <font>
        <b/>
        <i val="0"/>
      </font>
    </dxf>
    <dxf>
      <font>
        <color rgb="FFFFFF99"/>
      </font>
      <fill>
        <patternFill>
          <bgColor theme="1" tint="0.34998626667073579"/>
        </patternFill>
      </fill>
    </dxf>
    <dxf>
      <font>
        <color theme="0"/>
      </font>
      <fill>
        <patternFill>
          <bgColor theme="0"/>
        </patternFill>
      </fill>
      <border>
        <right/>
        <top/>
        <bottom/>
      </border>
    </dxf>
    <dxf>
      <border>
        <right/>
        <vertical/>
        <horizontal/>
      </border>
    </dxf>
    <dxf>
      <border>
        <right style="thin">
          <color auto="1"/>
        </right>
        <vertical/>
        <horizontal/>
      </border>
    </dxf>
    <dxf>
      <font>
        <color rgb="FF00B050"/>
      </font>
      <fill>
        <patternFill>
          <bgColor rgb="FF63BE7B"/>
        </patternFill>
      </fill>
    </dxf>
    <dxf>
      <font>
        <color rgb="FFC00000"/>
      </font>
      <fill>
        <patternFill>
          <bgColor rgb="FFC63030"/>
        </patternFill>
      </fill>
    </dxf>
    <dxf>
      <font>
        <color theme="0"/>
      </font>
      <fill>
        <patternFill>
          <bgColor theme="0"/>
        </patternFill>
      </fill>
    </dxf>
    <dxf>
      <fill>
        <patternFill>
          <bgColor rgb="FF63BE7B"/>
        </patternFill>
      </fill>
    </dxf>
    <dxf>
      <fill>
        <patternFill>
          <bgColor rgb="FFF75B5F"/>
        </patternFill>
      </fill>
    </dxf>
    <dxf>
      <font>
        <color theme="0"/>
      </font>
      <border>
        <left/>
        <right/>
        <top/>
        <bottom/>
        <vertical/>
        <horizontal/>
      </border>
    </dxf>
    <dxf>
      <font>
        <color theme="0"/>
      </font>
      <fill>
        <patternFill>
          <bgColor theme="1" tint="0.34998626667073579"/>
        </patternFill>
      </fill>
    </dxf>
    <dxf>
      <fill>
        <patternFill>
          <bgColor rgb="FFFF7C80"/>
        </patternFill>
      </fill>
    </dxf>
    <dxf>
      <fill>
        <patternFill>
          <bgColor rgb="FF92D050"/>
        </patternFill>
      </fill>
    </dxf>
    <dxf>
      <font>
        <color theme="0"/>
      </font>
      <fill>
        <patternFill>
          <bgColor theme="0"/>
        </patternFill>
      </fill>
      <border>
        <right/>
        <top/>
        <bottom/>
        <vertical/>
        <horizontal/>
      </border>
    </dxf>
    <dxf>
      <border>
        <right style="thin">
          <color auto="1"/>
        </right>
        <vertical/>
        <horizontal/>
      </border>
    </dxf>
    <dxf>
      <fill>
        <patternFill>
          <bgColor theme="9" tint="0.79998168889431442"/>
        </patternFill>
      </fill>
    </dxf>
    <dxf>
      <font>
        <color rgb="FFC00000"/>
      </font>
    </dxf>
    <dxf>
      <font>
        <color theme="0"/>
      </font>
      <fill>
        <patternFill>
          <bgColor theme="0"/>
        </patternFill>
      </fill>
      <border>
        <right/>
        <top/>
        <bottom/>
        <vertical/>
        <horizontal/>
      </border>
    </dxf>
    <dxf>
      <border>
        <right style="thin">
          <color auto="1"/>
        </right>
        <vertical/>
        <horizontal/>
      </border>
    </dxf>
    <dxf>
      <fill>
        <patternFill>
          <bgColor rgb="FFFF7C80"/>
        </patternFill>
      </fill>
    </dxf>
    <dxf>
      <fill>
        <patternFill>
          <bgColor rgb="FF92D050"/>
        </patternFill>
      </fill>
    </dxf>
    <dxf>
      <font>
        <color rgb="FFC00000"/>
      </font>
    </dxf>
    <dxf>
      <font>
        <color rgb="FFC00000"/>
      </font>
    </dxf>
    <dxf>
      <font>
        <b/>
        <i val="0"/>
        <color theme="1" tint="0.34998626667073579"/>
      </font>
      <fill>
        <patternFill>
          <bgColor theme="1" tint="0.34998626667073579"/>
        </patternFill>
      </fill>
    </dxf>
    <dxf>
      <font>
        <color theme="0"/>
      </font>
      <fill>
        <patternFill>
          <bgColor theme="0"/>
        </patternFill>
      </fill>
      <border>
        <left/>
        <right/>
        <top/>
        <bottom/>
        <vertical/>
        <horizontal/>
      </border>
    </dxf>
    <dxf>
      <font>
        <b/>
        <i val="0"/>
        <color theme="0"/>
      </font>
      <fill>
        <patternFill>
          <bgColor theme="1" tint="0.34998626667073579"/>
        </patternFill>
      </fill>
      <border>
        <left/>
        <right/>
        <top/>
        <bottom/>
        <vertical/>
        <horizontal/>
      </border>
    </dxf>
    <dxf>
      <font>
        <b val="0"/>
        <i val="0"/>
        <color theme="1" tint="0.34998626667073579"/>
      </font>
      <fill>
        <patternFill>
          <bgColor theme="1" tint="0.34998626667073579"/>
        </patternFill>
      </fill>
      <border>
        <left/>
        <right/>
        <top/>
        <bottom/>
        <vertical/>
        <horizontal/>
      </border>
    </dxf>
    <dxf>
      <font>
        <b val="0"/>
        <i val="0"/>
        <color auto="1"/>
      </font>
      <fill>
        <patternFill>
          <bgColor theme="0"/>
        </patternFill>
      </fill>
      <border>
        <left/>
        <right/>
        <top/>
        <bottom/>
        <vertical/>
        <horizontal/>
      </border>
    </dxf>
    <dxf>
      <font>
        <b/>
        <i val="0"/>
      </font>
    </dxf>
    <dxf>
      <font>
        <b/>
        <i val="0"/>
        <color theme="0"/>
      </font>
      <fill>
        <patternFill>
          <bgColor theme="1" tint="0.34998626667073579"/>
        </patternFill>
      </fill>
    </dxf>
    <dxf>
      <fill>
        <patternFill>
          <bgColor rgb="FFFF7C80"/>
        </patternFill>
      </fill>
    </dxf>
    <dxf>
      <fill>
        <patternFill>
          <bgColor rgb="FF92D050"/>
        </patternFill>
      </fill>
    </dxf>
    <dxf>
      <font>
        <color theme="0"/>
      </font>
      <fill>
        <patternFill>
          <bgColor theme="0"/>
        </patternFill>
      </fill>
      <border>
        <left/>
        <right/>
        <bottom/>
        <vertical/>
        <horizontal/>
      </border>
    </dxf>
    <dxf>
      <font>
        <color theme="1" tint="0.34998626667073579"/>
      </font>
      <fill>
        <patternFill>
          <bgColor theme="1" tint="0.34998626667073579"/>
        </patternFill>
      </fill>
      <border>
        <left/>
        <right/>
        <bottom/>
        <vertical/>
        <horizontal/>
      </border>
    </dxf>
    <dxf>
      <font>
        <color rgb="FF00CC66"/>
      </font>
    </dxf>
    <dxf>
      <font>
        <color theme="0"/>
      </font>
    </dxf>
    <dxf>
      <font>
        <color theme="0"/>
      </font>
    </dxf>
    <dxf>
      <font>
        <color theme="0"/>
      </font>
    </dxf>
    <dxf>
      <font>
        <color theme="0"/>
      </font>
    </dxf>
    <dxf>
      <font>
        <color theme="0"/>
      </font>
    </dxf>
    <dxf>
      <font>
        <b/>
        <i val="0"/>
      </font>
    </dxf>
    <dxf>
      <font>
        <color theme="0"/>
      </font>
    </dxf>
    <dxf>
      <font>
        <color theme="0"/>
      </font>
      <fill>
        <patternFill>
          <bgColor theme="0"/>
        </patternFill>
      </fill>
      <border>
        <left/>
        <right/>
        <top/>
        <bottom/>
        <vertical/>
        <horizontal/>
      </border>
    </dxf>
    <dxf>
      <font>
        <b/>
        <i val="0"/>
      </font>
    </dxf>
    <dxf>
      <fill>
        <patternFill>
          <bgColor theme="1" tint="0.34998626667073579"/>
        </patternFill>
      </fill>
    </dxf>
    <dxf>
      <font>
        <color theme="0"/>
      </font>
      <border>
        <left/>
        <right/>
        <top/>
        <bottom/>
        <vertical/>
        <horizontal/>
      </border>
    </dxf>
    <dxf>
      <font>
        <b/>
        <i val="0"/>
        <color rgb="FF0000FF"/>
      </font>
    </dxf>
    <dxf>
      <font>
        <b/>
        <i val="0"/>
        <color rgb="FF0000FF"/>
      </font>
    </dxf>
    <dxf>
      <font>
        <color theme="0" tint="-0.499984740745262"/>
      </font>
    </dxf>
    <dxf>
      <font>
        <color rgb="FFCCECFF"/>
      </font>
      <fill>
        <patternFill>
          <bgColor theme="1" tint="0.34998626667073579"/>
        </patternFill>
      </fill>
    </dxf>
    <dxf>
      <font>
        <color theme="0"/>
      </font>
      <fill>
        <patternFill>
          <bgColor theme="1" tint="0.34998626667073579"/>
        </patternFill>
      </fill>
    </dxf>
    <dxf>
      <font>
        <color theme="0"/>
      </font>
      <fill>
        <patternFill>
          <bgColor theme="0"/>
        </patternFill>
      </fill>
      <border>
        <left/>
        <right/>
        <top/>
        <bottom/>
        <vertical/>
        <horizontal/>
      </border>
    </dxf>
    <dxf>
      <font>
        <b/>
        <i val="0"/>
        <color rgb="FF0000FF"/>
      </font>
      <fill>
        <patternFill>
          <bgColor rgb="FFFFFF00"/>
        </patternFill>
      </fill>
    </dxf>
    <dxf>
      <font>
        <b/>
        <i val="0"/>
        <color rgb="FF0000FF"/>
      </font>
      <fill>
        <patternFill>
          <bgColor rgb="FFFFFF00"/>
        </patternFill>
      </fill>
    </dxf>
    <dxf>
      <font>
        <color theme="0"/>
      </font>
      <fill>
        <patternFill>
          <bgColor theme="0"/>
        </patternFill>
      </fill>
      <border>
        <left/>
        <right/>
        <top/>
        <bottom/>
        <vertical/>
        <horizontal/>
      </border>
    </dxf>
    <dxf>
      <font>
        <b/>
        <i val="0"/>
      </font>
      <border>
        <top style="thin">
          <color auto="1"/>
        </top>
        <vertical/>
        <horizontal/>
      </border>
    </dxf>
    <dxf>
      <font>
        <color theme="0"/>
      </font>
      <fill>
        <patternFill>
          <bgColor theme="0"/>
        </patternFill>
      </fill>
      <border>
        <left/>
        <right/>
        <top/>
        <bottom/>
        <vertical/>
        <horizontal/>
      </border>
    </dxf>
    <dxf>
      <font>
        <color theme="0"/>
      </font>
      <border>
        <left/>
        <right/>
        <top/>
        <bottom/>
        <vertical/>
        <horizontal/>
      </border>
    </dxf>
    <dxf>
      <font>
        <color theme="0"/>
      </font>
    </dxf>
    <dxf>
      <font>
        <color theme="0"/>
      </font>
    </dxf>
    <dxf>
      <font>
        <color rgb="FFFFFFFF"/>
      </font>
      <fill>
        <patternFill patternType="solid">
          <fgColor rgb="FFFFFFFF"/>
          <bgColor rgb="FFFFFFFF"/>
        </patternFill>
      </fill>
    </dxf>
    <dxf>
      <font>
        <color rgb="FFFFFFFF"/>
      </font>
      <fill>
        <patternFill patternType="solid">
          <fgColor rgb="FFFFFFFF"/>
          <bgColor rgb="FFFFFFFF"/>
        </patternFill>
      </fill>
    </dxf>
    <dxf>
      <font>
        <color theme="0"/>
      </font>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theme="0"/>
      </font>
    </dxf>
    <dxf>
      <font>
        <color rgb="FFFFFFFF"/>
      </font>
      <fill>
        <patternFill patternType="solid">
          <fgColor rgb="FFFFFFFF"/>
          <bgColor rgb="FFFFFFFF"/>
        </patternFill>
      </fill>
    </dxf>
    <dxf>
      <font>
        <color theme="0"/>
      </font>
    </dxf>
    <dxf>
      <font>
        <color rgb="FFFFFFFF"/>
      </font>
      <fill>
        <patternFill patternType="solid">
          <fgColor rgb="FFFFFFFF"/>
          <bgColor rgb="FFFFFFFF"/>
        </patternFill>
      </fill>
    </dxf>
    <dxf>
      <font>
        <color theme="0"/>
      </font>
    </dxf>
    <dxf>
      <font>
        <color rgb="FFFFFFFF"/>
      </font>
      <fill>
        <patternFill patternType="solid">
          <fgColor rgb="FFFFFFFF"/>
          <bgColor rgb="FFFFFFFF"/>
        </patternFill>
      </fill>
    </dxf>
    <dxf>
      <font>
        <color theme="0"/>
      </font>
    </dxf>
    <dxf>
      <font>
        <color rgb="FFFFFFFF"/>
      </font>
      <fill>
        <patternFill patternType="solid">
          <fgColor rgb="FFFFFFFF"/>
          <bgColor rgb="FFFFFFFF"/>
        </patternFill>
      </fill>
    </dxf>
    <dxf>
      <font>
        <color rgb="FFFFFFFF"/>
      </font>
      <fill>
        <patternFill patternType="solid">
          <fgColor rgb="FFFFFFFF"/>
          <bgColor rgb="FFFFFFFF"/>
        </patternFill>
      </fill>
    </dxf>
    <dxf>
      <font>
        <color rgb="FFFFFFFF"/>
      </font>
      <fill>
        <patternFill patternType="solid">
          <fgColor rgb="FFFFFFFF"/>
          <bgColor rgb="FFFFFFFF"/>
        </patternFill>
      </fill>
    </dxf>
    <dxf>
      <font>
        <color theme="0"/>
      </font>
    </dxf>
    <dxf>
      <font>
        <color theme="0"/>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1" tint="0.24994659260841701"/>
      </font>
    </dxf>
    <dxf>
      <font>
        <color theme="0"/>
      </font>
    </dxf>
    <dxf>
      <font>
        <color theme="0"/>
      </font>
      <fill>
        <patternFill>
          <bgColor theme="0"/>
        </patternFill>
      </fill>
      <border>
        <left/>
        <right/>
        <top/>
        <bottom/>
        <vertical/>
        <horizontal/>
      </border>
    </dxf>
    <dxf>
      <font>
        <color theme="1" tint="0.24994659260841701"/>
      </font>
    </dxf>
    <dxf>
      <font>
        <color theme="1" tint="0.24994659260841701"/>
      </font>
    </dxf>
    <dxf>
      <font>
        <color theme="1" tint="0.24994659260841701"/>
      </font>
    </dxf>
    <dxf>
      <font>
        <color theme="1" tint="0.24994659260841701"/>
      </font>
    </dxf>
    <dxf>
      <font>
        <color theme="1" tint="0.24994659260841701"/>
      </font>
    </dxf>
    <dxf>
      <font>
        <color theme="1" tint="0.24994659260841701"/>
      </font>
    </dxf>
    <dxf>
      <font>
        <color theme="1" tint="0.24994659260841701"/>
      </font>
    </dxf>
    <dxf>
      <font>
        <color theme="1" tint="0.24994659260841701"/>
      </font>
    </dxf>
    <dxf>
      <font>
        <color theme="2" tint="-0.499984740745262"/>
      </font>
    </dxf>
    <dxf>
      <font>
        <color theme="0"/>
      </font>
    </dxf>
    <dxf>
      <font>
        <b/>
        <i val="0"/>
        <color rgb="FFC00000"/>
      </font>
    </dxf>
    <dxf>
      <font>
        <b/>
        <i val="0"/>
        <color rgb="FFC00000"/>
      </font>
    </dxf>
    <dxf>
      <font>
        <b/>
        <i val="0"/>
        <color rgb="FFC00000"/>
      </font>
    </dxf>
    <dxf>
      <font>
        <color rgb="FFFF0000"/>
      </font>
    </dxf>
    <dxf>
      <font>
        <b/>
        <i val="0"/>
        <color rgb="FFC00000"/>
      </font>
    </dxf>
    <dxf>
      <font>
        <b/>
        <i val="0"/>
        <color rgb="FFC00000"/>
      </font>
    </dxf>
    <dxf>
      <font>
        <b/>
        <i val="0"/>
        <color rgb="FFC00000"/>
      </font>
    </dxf>
    <dxf>
      <font>
        <b/>
        <i val="0"/>
        <color rgb="FFC00000"/>
      </font>
    </dxf>
    <dxf>
      <fill>
        <patternFill>
          <bgColor rgb="FFFFFF00"/>
        </patternFill>
      </fill>
    </dxf>
    <dxf>
      <fill>
        <patternFill>
          <bgColor theme="9" tint="0.59996337778862885"/>
        </patternFill>
      </fill>
    </dxf>
    <dxf>
      <font>
        <b/>
        <i val="0"/>
        <color theme="1"/>
      </font>
    </dxf>
    <dxf>
      <font>
        <color theme="0"/>
      </font>
      <fill>
        <patternFill>
          <bgColor theme="1" tint="0.34998626667073579"/>
        </patternFill>
      </fill>
    </dxf>
    <dxf>
      <font>
        <color theme="1" tint="0.34998626667073579"/>
      </font>
      <fill>
        <patternFill>
          <bgColor theme="1" tint="0.34998626667073579"/>
        </patternFill>
      </fill>
    </dxf>
    <dxf>
      <font>
        <color theme="0"/>
      </font>
      <fill>
        <patternFill>
          <bgColor theme="0"/>
        </patternFill>
      </fill>
    </dxf>
    <dxf>
      <font>
        <color auto="1"/>
      </font>
      <fill>
        <patternFill>
          <bgColor theme="0"/>
        </patternFill>
      </fill>
    </dxf>
    <dxf>
      <font>
        <color theme="0"/>
      </font>
    </dxf>
    <dxf>
      <font>
        <color theme="0"/>
      </font>
      <fill>
        <patternFill>
          <bgColor theme="0"/>
        </patternFill>
      </fill>
      <border>
        <right/>
        <top/>
        <bottom/>
      </border>
    </dxf>
    <dxf>
      <font>
        <color theme="0"/>
      </font>
      <fill>
        <patternFill>
          <bgColor theme="0"/>
        </patternFill>
      </fill>
      <border>
        <right/>
        <top/>
        <bottom/>
        <vertical/>
        <horizontal/>
      </border>
    </dxf>
    <dxf>
      <border>
        <right style="thin">
          <color auto="1"/>
        </right>
        <vertical/>
        <horizontal/>
      </border>
    </dxf>
    <dxf>
      <border>
        <right style="thin">
          <color auto="1"/>
        </right>
        <vertical/>
        <horizontal/>
      </border>
    </dxf>
    <dxf>
      <font>
        <color theme="0"/>
      </font>
      <fill>
        <patternFill>
          <bgColor theme="0"/>
        </patternFill>
      </fill>
      <border>
        <right/>
        <top/>
        <bottom/>
      </border>
    </dxf>
    <dxf>
      <font>
        <color theme="0"/>
      </font>
      <fill>
        <patternFill>
          <bgColor theme="0"/>
        </patternFill>
      </fill>
    </dxf>
    <dxf>
      <font>
        <color auto="1"/>
      </font>
      <fill>
        <patternFill>
          <bgColor theme="0"/>
        </patternFill>
      </fill>
    </dxf>
    <dxf>
      <font>
        <color theme="0"/>
      </font>
      <fill>
        <patternFill>
          <bgColor theme="1" tint="0.34998626667073579"/>
        </patternFill>
      </fill>
    </dxf>
    <dxf>
      <font>
        <color theme="0"/>
      </font>
      <fill>
        <patternFill>
          <bgColor theme="0"/>
        </patternFill>
      </fill>
      <border>
        <right/>
        <top/>
        <bottom/>
        <vertical/>
        <horizontal/>
      </border>
    </dxf>
    <dxf>
      <font>
        <color theme="4" tint="0.79998168889431442"/>
      </font>
    </dxf>
    <dxf>
      <font>
        <color theme="0"/>
      </font>
    </dxf>
    <dxf>
      <font>
        <color theme="0" tint="-0.24994659260841701"/>
      </font>
      <fill>
        <patternFill>
          <bgColor theme="0" tint="-0.24994659260841701"/>
        </patternFill>
      </fill>
    </dxf>
    <dxf>
      <border>
        <bottom style="thin">
          <color auto="1"/>
        </bottom>
        <vertical/>
        <horizontal/>
      </border>
    </dxf>
    <dxf>
      <font>
        <color theme="0"/>
      </font>
      <fill>
        <patternFill>
          <bgColor theme="0"/>
        </patternFill>
      </fill>
      <border>
        <left/>
        <right/>
        <top/>
        <bottom/>
        <vertical/>
        <horizontal/>
      </border>
    </dxf>
    <dxf>
      <font>
        <color auto="1"/>
      </font>
      <fill>
        <patternFill>
          <bgColor theme="0"/>
        </patternFill>
      </fill>
    </dxf>
    <dxf>
      <font>
        <color theme="0"/>
      </font>
      <fill>
        <patternFill>
          <bgColor theme="0"/>
        </patternFill>
      </fill>
    </dxf>
    <dxf>
      <font>
        <color theme="1" tint="0.34998626667073579"/>
      </font>
      <fill>
        <patternFill>
          <bgColor theme="1" tint="0.34998626667073579"/>
        </patternFill>
      </fill>
    </dxf>
    <dxf>
      <font>
        <color theme="0"/>
      </font>
      <fill>
        <patternFill>
          <bgColor theme="1" tint="0.34998626667073579"/>
        </patternFill>
      </fill>
    </dxf>
    <dxf>
      <font>
        <color theme="0"/>
      </font>
    </dxf>
    <dxf>
      <font>
        <color theme="0"/>
      </font>
    </dxf>
    <dxf>
      <border>
        <bottom style="thin">
          <color auto="1"/>
        </bottom>
        <vertical/>
        <horizontal/>
      </border>
    </dxf>
    <dxf>
      <font>
        <color theme="0"/>
      </font>
      <fill>
        <patternFill>
          <bgColor theme="0"/>
        </patternFill>
      </fill>
      <border>
        <left/>
        <right/>
        <top/>
        <bottom/>
        <vertical/>
        <horizontal/>
      </border>
    </dxf>
    <dxf>
      <font>
        <color theme="0" tint="-0.24994659260841701"/>
      </font>
      <fill>
        <patternFill>
          <bgColor theme="0" tint="-0.24994659260841701"/>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1" tint="0.34998626667073579"/>
      </font>
      <fill>
        <patternFill>
          <bgColor theme="1" tint="0.34998626667073579"/>
        </patternFill>
      </fill>
      <border>
        <left/>
        <right/>
        <top/>
        <bottom/>
        <vertical/>
        <horizontal/>
      </border>
    </dxf>
    <dxf>
      <font>
        <color theme="0"/>
      </font>
    </dxf>
    <dxf>
      <font>
        <color theme="0"/>
      </font>
      <fill>
        <patternFill>
          <bgColor theme="0"/>
        </patternFill>
      </fill>
    </dxf>
    <dxf>
      <font>
        <color theme="1" tint="0.34998626667073579"/>
      </font>
      <fill>
        <patternFill>
          <bgColor theme="1" tint="0.34998626667073579"/>
        </patternFill>
      </fill>
    </dxf>
    <dxf>
      <font>
        <color theme="1"/>
      </font>
      <fill>
        <patternFill>
          <bgColor theme="0"/>
        </patternFill>
      </fill>
    </dxf>
    <dxf>
      <font>
        <color theme="0"/>
      </font>
      <fill>
        <patternFill>
          <bgColor theme="0"/>
        </patternFill>
      </fill>
      <border>
        <left/>
        <right/>
        <top/>
        <bottom/>
        <vertical/>
        <horizontal/>
      </border>
    </dxf>
    <dxf>
      <font>
        <color theme="0"/>
      </font>
    </dxf>
    <dxf>
      <font>
        <color theme="0"/>
      </font>
    </dxf>
    <dxf>
      <font>
        <color theme="0"/>
      </font>
      <fill>
        <patternFill>
          <bgColor theme="0"/>
        </patternFill>
      </fill>
      <border>
        <left/>
        <right/>
        <top/>
        <bottom/>
        <vertical/>
        <horizontal/>
      </border>
    </dxf>
    <dxf>
      <font>
        <color theme="1" tint="0.34998626667073579"/>
      </font>
      <fill>
        <patternFill>
          <bgColor theme="1" tint="0.34998626667073579"/>
        </patternFill>
      </fill>
      <border>
        <left/>
        <right/>
        <top/>
        <bottom/>
        <vertical/>
        <horizontal/>
      </border>
    </dxf>
    <dxf>
      <font>
        <color theme="0"/>
      </font>
    </dxf>
    <dxf>
      <font>
        <color theme="0" tint="-0.24994659260841701"/>
      </font>
      <fill>
        <patternFill>
          <bgColor theme="0" tint="-0.24994659260841701"/>
        </patternFill>
      </fill>
    </dxf>
    <dxf>
      <border>
        <bottom style="thin">
          <color auto="1"/>
        </bottom>
        <vertical/>
        <horizontal/>
      </border>
    </dxf>
    <dxf>
      <font>
        <color theme="4" tint="0.79998168889431442"/>
      </font>
    </dxf>
    <dxf>
      <font>
        <color theme="0"/>
      </font>
      <fill>
        <patternFill>
          <bgColor theme="0"/>
        </patternFill>
      </fill>
      <border>
        <left/>
        <right/>
        <top/>
        <bottom/>
        <vertical/>
        <horizontal/>
      </border>
    </dxf>
    <dxf>
      <font>
        <color theme="0" tint="-0.24994659260841701"/>
      </font>
      <fill>
        <patternFill>
          <bgColor theme="0" tint="-0.24994659260841701"/>
        </patternFill>
      </fill>
    </dxf>
    <dxf>
      <font>
        <color theme="4" tint="0.79998168889431442"/>
      </font>
    </dxf>
    <dxf>
      <font>
        <color theme="0" tint="-0.24994659260841701"/>
      </font>
      <fill>
        <patternFill>
          <bgColor theme="0" tint="-0.24994659260841701"/>
        </patternFill>
      </fill>
    </dxf>
    <dxf>
      <border>
        <bottom style="thin">
          <color auto="1"/>
        </bottom>
        <vertical/>
        <horizontal/>
      </border>
    </dxf>
    <dxf>
      <font>
        <color theme="0"/>
      </font>
      <fill>
        <patternFill>
          <bgColor theme="0"/>
        </patternFill>
      </fill>
      <border>
        <left/>
        <right/>
        <top/>
        <bottom/>
        <vertical/>
        <horizontal/>
      </border>
    </dxf>
    <dxf>
      <font>
        <color theme="1" tint="0.34998626667073579"/>
      </font>
      <fill>
        <patternFill>
          <bgColor theme="1" tint="0.34998626667073579"/>
        </patternFill>
      </fill>
    </dxf>
    <dxf>
      <font>
        <color theme="0"/>
      </font>
      <fill>
        <patternFill>
          <bgColor theme="0"/>
        </patternFill>
      </fill>
    </dxf>
    <dxf>
      <font>
        <color auto="1"/>
      </font>
      <fill>
        <patternFill>
          <bgColor theme="0"/>
        </patternFill>
      </fill>
    </dxf>
    <dxf>
      <font>
        <color theme="0"/>
      </font>
      <fill>
        <patternFill>
          <bgColor theme="1" tint="0.34998626667073579"/>
        </patternFill>
      </fill>
    </dxf>
    <dxf>
      <font>
        <color theme="0"/>
      </font>
    </dxf>
    <dxf>
      <font>
        <color theme="0"/>
      </font>
      <fill>
        <patternFill>
          <bgColor theme="0"/>
        </patternFill>
      </fill>
      <border>
        <left/>
        <right/>
        <top/>
        <bottom/>
        <vertical/>
        <horizontal/>
      </border>
    </dxf>
    <dxf>
      <font>
        <color theme="0"/>
      </font>
    </dxf>
    <dxf>
      <font>
        <color theme="0"/>
      </font>
    </dxf>
    <dxf>
      <border>
        <bottom style="thin">
          <color auto="1"/>
        </bottom>
        <vertical/>
        <horizontal/>
      </border>
    </dxf>
    <dxf>
      <font>
        <color theme="0" tint="-0.499984740745262"/>
      </font>
    </dxf>
    <dxf>
      <font>
        <color theme="0"/>
      </font>
      <fill>
        <patternFill>
          <bgColor theme="0"/>
        </patternFill>
      </fill>
      <border>
        <left/>
        <right/>
        <top/>
        <bottom/>
        <vertical/>
        <horizontal/>
      </border>
    </dxf>
    <dxf>
      <font>
        <b/>
        <i val="0"/>
        <color theme="0"/>
      </font>
      <fill>
        <patternFill>
          <bgColor theme="1" tint="0.34998626667073579"/>
        </patternFill>
      </fill>
    </dxf>
    <dxf>
      <font>
        <color theme="0"/>
      </font>
      <fill>
        <patternFill>
          <bgColor theme="0"/>
        </patternFill>
      </fill>
      <border>
        <left/>
        <right/>
        <top/>
        <bottom/>
        <vertical/>
        <horizontal/>
      </border>
    </dxf>
    <dxf>
      <font>
        <color theme="1" tint="0.34998626667073579"/>
      </font>
      <fill>
        <patternFill>
          <bgColor theme="1" tint="0.34998626667073579"/>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bottom/>
        <vertical/>
        <horizontal/>
      </border>
    </dxf>
    <dxf>
      <font>
        <color theme="1" tint="0.34998626667073579"/>
      </font>
      <fill>
        <patternFill>
          <bgColor theme="1" tint="0.34998626667073579"/>
        </patternFill>
      </fill>
      <border>
        <left/>
        <right/>
        <bottom/>
        <vertical/>
        <horizontal/>
      </border>
    </dxf>
    <dxf>
      <font>
        <color theme="0"/>
      </font>
      <fill>
        <patternFill>
          <bgColor theme="0"/>
        </patternFill>
      </fill>
    </dxf>
    <dxf>
      <font>
        <color auto="1"/>
      </font>
      <fill>
        <patternFill>
          <bgColor theme="0"/>
        </patternFill>
      </fill>
    </dxf>
    <dxf>
      <font>
        <color theme="1" tint="0.34998626667073579"/>
      </font>
      <fill>
        <patternFill>
          <bgColor theme="1" tint="0.34998626667073579"/>
        </patternFill>
      </fill>
    </dxf>
    <dxf>
      <font>
        <color theme="0"/>
      </font>
      <fill>
        <patternFill>
          <bgColor theme="1" tint="0.34998626667073579"/>
        </patternFill>
      </fill>
    </dxf>
    <dxf>
      <font>
        <color theme="0"/>
      </font>
      <fill>
        <patternFill>
          <bgColor theme="0"/>
        </patternFill>
      </fill>
    </dxf>
    <dxf>
      <font>
        <color theme="0" tint="-0.24994659260841701"/>
      </font>
      <fill>
        <patternFill>
          <bgColor theme="0" tint="-0.24994659260841701"/>
        </patternFill>
      </fill>
    </dxf>
    <dxf>
      <border>
        <bottom style="thin">
          <color auto="1"/>
        </bottom>
        <vertical/>
        <horizontal/>
      </border>
    </dxf>
    <dxf>
      <font>
        <color theme="0"/>
      </font>
      <fill>
        <patternFill>
          <bgColor theme="0"/>
        </patternFill>
      </fill>
      <border>
        <left/>
        <right/>
        <top/>
        <bottom/>
      </border>
    </dxf>
    <dxf>
      <font>
        <color theme="0" tint="-0.24994659260841701"/>
      </font>
      <fill>
        <patternFill>
          <bgColor theme="0" tint="-0.24994659260841701"/>
        </patternFill>
      </fill>
    </dxf>
    <dxf>
      <border>
        <bottom style="thin">
          <color auto="1"/>
        </bottom>
        <vertical/>
        <horizontal/>
      </border>
    </dxf>
    <dxf>
      <font>
        <color theme="0"/>
      </font>
      <fill>
        <patternFill>
          <bgColor theme="0"/>
        </patternFill>
      </fill>
      <border>
        <left/>
        <right/>
        <top/>
        <bottom/>
      </border>
    </dxf>
    <dxf>
      <font>
        <color auto="1"/>
      </font>
      <fill>
        <patternFill>
          <bgColor theme="0"/>
        </patternFill>
      </fill>
    </dxf>
    <dxf>
      <font>
        <color auto="1"/>
      </font>
      <fill>
        <patternFill>
          <bgColor theme="0"/>
        </patternFill>
      </fill>
    </dxf>
    <dxf>
      <border>
        <bottom style="thin">
          <color auto="1"/>
        </bottom>
        <vertical/>
        <horizontal/>
      </border>
    </dxf>
    <dxf>
      <border>
        <bottom style="thin">
          <color auto="1"/>
        </bottom>
        <vertical/>
        <horizontal/>
      </border>
    </dxf>
    <dxf>
      <font>
        <color theme="1" tint="0.34998626667073579"/>
      </font>
      <fill>
        <patternFill>
          <bgColor theme="1" tint="0.34998626667073579"/>
        </patternFill>
      </fill>
    </dxf>
    <dxf>
      <font>
        <color auto="1"/>
      </font>
      <fill>
        <patternFill>
          <bgColor theme="0"/>
        </patternFill>
      </fill>
    </dxf>
    <dxf>
      <font>
        <color theme="0"/>
      </font>
      <fill>
        <patternFill>
          <bgColor theme="0"/>
        </patternFill>
      </fill>
    </dxf>
    <dxf>
      <font>
        <color theme="0"/>
      </font>
      <fill>
        <patternFill>
          <bgColor theme="1" tint="0.34998626667073579"/>
        </patternFill>
      </fill>
    </dxf>
    <dxf>
      <font>
        <color theme="0"/>
      </font>
      <fill>
        <patternFill>
          <bgColor theme="0"/>
        </patternFill>
      </fill>
    </dxf>
    <dxf>
      <font>
        <color theme="1" tint="0.34998626667073579"/>
      </font>
      <fill>
        <patternFill>
          <bgColor theme="1" tint="0.34998626667073579"/>
        </patternFill>
      </fill>
    </dxf>
    <dxf>
      <font>
        <color theme="0"/>
      </font>
      <fill>
        <patternFill>
          <bgColor theme="1" tint="0.34998626667073579"/>
        </patternFill>
      </fill>
    </dxf>
    <dxf>
      <font>
        <color auto="1"/>
      </font>
      <fill>
        <patternFill>
          <bgColor theme="0"/>
        </patternFill>
      </fill>
    </dxf>
    <dxf>
      <font>
        <color theme="0"/>
      </font>
      <fill>
        <patternFill>
          <bgColor theme="1" tint="0.34998626667073579"/>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1" tint="0.34998626667073579"/>
        </patternFill>
      </fill>
    </dxf>
    <dxf>
      <font>
        <color theme="1" tint="0.24994659260841701"/>
      </font>
      <fill>
        <patternFill>
          <bgColor theme="1" tint="0.34998626667073579"/>
        </patternFill>
      </fill>
    </dxf>
    <dxf>
      <font>
        <color theme="0" tint="-0.499984740745262"/>
      </font>
    </dxf>
    <dxf>
      <font>
        <color auto="1"/>
      </font>
    </dxf>
    <dxf>
      <font>
        <color theme="0"/>
      </font>
    </dxf>
    <dxf>
      <font>
        <color theme="1" tint="0.34998626667073579"/>
      </font>
      <fill>
        <patternFill>
          <bgColor theme="1" tint="0.34998626667073579"/>
        </patternFill>
      </fill>
    </dxf>
    <dxf>
      <font>
        <color theme="0" tint="-0.499984740745262"/>
      </font>
    </dxf>
    <dxf>
      <font>
        <color theme="1" tint="0.24994659260841701"/>
      </font>
      <fill>
        <patternFill>
          <bgColor theme="1" tint="0.34998626667073579"/>
        </patternFill>
      </fill>
    </dxf>
    <dxf>
      <font>
        <color auto="1"/>
      </font>
    </dxf>
    <dxf>
      <font>
        <color theme="0"/>
      </font>
    </dxf>
    <dxf>
      <font>
        <color theme="1" tint="0.34998626667073579"/>
      </font>
      <fill>
        <patternFill>
          <bgColor theme="1" tint="0.34998626667073579"/>
        </patternFill>
      </fill>
    </dxf>
    <dxf>
      <font>
        <color theme="0"/>
      </font>
      <fill>
        <patternFill>
          <bgColor theme="1" tint="0.34998626667073579"/>
        </patternFill>
      </fill>
    </dxf>
    <dxf>
      <fill>
        <patternFill>
          <bgColor theme="9" tint="0.79998168889431442"/>
        </patternFill>
      </fill>
    </dxf>
    <dxf>
      <font>
        <color theme="0"/>
      </font>
      <fill>
        <patternFill>
          <bgColor theme="1" tint="0.34998626667073579"/>
        </patternFill>
      </fill>
    </dxf>
    <dxf>
      <font>
        <color theme="4" tint="0.79998168889431442"/>
      </font>
    </dxf>
    <dxf>
      <font>
        <color rgb="FFFF9999"/>
      </font>
      <fill>
        <patternFill>
          <bgColor theme="1" tint="0.34998626667073579"/>
        </patternFill>
      </fill>
    </dxf>
    <dxf>
      <font>
        <b/>
        <i val="0"/>
        <color rgb="FFFF0000"/>
      </font>
    </dxf>
    <dxf>
      <font>
        <color rgb="FFCCECFF"/>
      </font>
      <fill>
        <patternFill>
          <bgColor theme="1" tint="0.34998626667073579"/>
        </patternFill>
      </fill>
    </dxf>
    <dxf>
      <font>
        <color theme="0"/>
      </font>
    </dxf>
    <dxf>
      <font>
        <color theme="4" tint="0.79998168889431442"/>
      </font>
      <fill>
        <patternFill>
          <bgColor theme="4" tint="0.79998168889431442"/>
        </patternFill>
      </fill>
    </dxf>
    <dxf>
      <font>
        <color theme="0"/>
      </font>
    </dxf>
    <dxf>
      <font>
        <color theme="0"/>
      </font>
      <border>
        <left/>
        <right/>
        <top/>
        <bottom/>
        <vertical/>
        <horizontal/>
      </border>
    </dxf>
    <dxf>
      <font>
        <color theme="0"/>
      </font>
      <border>
        <left/>
        <right/>
        <top/>
        <bottom/>
        <vertical/>
        <horizontal/>
      </border>
    </dxf>
    <dxf>
      <font>
        <color theme="1" tint="0.34998626667073579"/>
      </font>
      <fill>
        <patternFill>
          <bgColor theme="1" tint="0.34998626667073579"/>
        </patternFill>
      </fill>
    </dxf>
    <dxf>
      <font>
        <color theme="0"/>
      </font>
    </dxf>
    <dxf>
      <font>
        <color theme="0"/>
      </font>
    </dxf>
    <dxf>
      <fill>
        <patternFill>
          <bgColor theme="9" tint="0.79998168889431442"/>
        </patternFill>
      </fill>
    </dxf>
    <dxf>
      <font>
        <color theme="0"/>
      </font>
      <fill>
        <patternFill>
          <bgColor theme="0"/>
        </patternFill>
      </fill>
      <border>
        <right/>
        <top/>
        <bottom/>
        <vertical/>
        <horizontal/>
      </border>
    </dxf>
    <dxf>
      <font>
        <color theme="0"/>
      </font>
      <fill>
        <patternFill>
          <bgColor theme="0"/>
        </patternFill>
      </fill>
      <border>
        <left/>
        <right/>
        <top/>
        <bottom/>
        <vertical/>
        <horizontal/>
      </border>
    </dxf>
    <dxf>
      <font>
        <color theme="0"/>
      </font>
      <fill>
        <patternFill>
          <bgColor theme="0"/>
        </patternFill>
      </fill>
      <border>
        <right/>
        <top/>
        <bottom/>
        <vertical/>
        <horizontal/>
      </border>
    </dxf>
    <dxf>
      <font>
        <color theme="0"/>
      </font>
      <fill>
        <patternFill>
          <bgColor theme="1" tint="0.34998626667073579"/>
        </patternFill>
      </fill>
    </dxf>
    <dxf>
      <font>
        <color theme="0"/>
      </font>
      <fill>
        <patternFill>
          <bgColor theme="1" tint="0.34998626667073579"/>
        </patternFill>
      </fill>
    </dxf>
    <dxf>
      <fill>
        <patternFill>
          <bgColor theme="9" tint="0.79998168889431442"/>
        </patternFill>
      </fill>
    </dxf>
    <dxf>
      <fill>
        <patternFill>
          <bgColor theme="9" tint="0.79998168889431442"/>
        </patternFill>
      </fill>
    </dxf>
    <dxf>
      <border>
        <right/>
        <vertical/>
        <horizontal/>
      </border>
    </dxf>
    <dxf>
      <font>
        <color theme="0"/>
      </font>
      <fill>
        <patternFill>
          <bgColor theme="0"/>
        </patternFill>
      </fill>
      <border>
        <right/>
        <top/>
        <bottom/>
        <vertical/>
        <horizontal/>
      </border>
    </dxf>
    <dxf>
      <font>
        <color theme="1" tint="0.34998626667073579"/>
      </font>
      <fill>
        <patternFill>
          <bgColor theme="1" tint="0.34998626667073579"/>
        </patternFill>
      </fill>
      <border>
        <left/>
        <right/>
        <top/>
        <bottom/>
        <vertical/>
        <horizontal/>
      </border>
    </dxf>
    <dxf>
      <font>
        <color theme="0"/>
      </font>
      <border>
        <left/>
        <right/>
        <top/>
        <bottom/>
        <vertical/>
        <horizontal/>
      </border>
    </dxf>
    <dxf>
      <font>
        <color theme="0"/>
      </font>
      <fill>
        <patternFill>
          <bgColor theme="0"/>
        </patternFill>
      </fill>
      <border>
        <right/>
        <top/>
        <bottom/>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ont>
        <color theme="0"/>
      </font>
      <fill>
        <patternFill>
          <bgColor theme="0"/>
        </patternFill>
      </fill>
      <border>
        <right/>
        <top/>
      </border>
    </dxf>
    <dxf>
      <font>
        <color theme="1" tint="0.34998626667073579"/>
      </font>
      <fill>
        <patternFill>
          <bgColor theme="1" tint="0.34998626667073579"/>
        </patternFill>
      </fill>
    </dxf>
    <dxf>
      <fill>
        <patternFill>
          <bgColor theme="9" tint="0.79998168889431442"/>
        </patternFill>
      </fill>
    </dxf>
    <dxf>
      <font>
        <color theme="0"/>
      </font>
    </dxf>
    <dxf>
      <font>
        <color theme="0"/>
      </font>
      <fill>
        <patternFill>
          <bgColor theme="0"/>
        </patternFill>
      </fill>
    </dxf>
    <dxf>
      <font>
        <color theme="0"/>
      </font>
      <fill>
        <patternFill>
          <bgColor theme="0"/>
        </patternFill>
      </fill>
    </dxf>
    <dxf>
      <font>
        <color theme="0"/>
      </font>
    </dxf>
    <dxf>
      <font>
        <color theme="0"/>
      </font>
    </dxf>
    <dxf>
      <font>
        <color theme="0"/>
      </font>
    </dxf>
    <dxf>
      <font>
        <color theme="0"/>
      </font>
      <fill>
        <patternFill>
          <bgColor theme="0"/>
        </patternFill>
      </fill>
    </dxf>
    <dxf>
      <font>
        <color theme="0"/>
      </font>
      <fill>
        <patternFill>
          <bgColor theme="0"/>
        </patternFill>
      </fill>
    </dxf>
    <dxf>
      <font>
        <color theme="1" tint="0.34998626667073579"/>
      </font>
      <fill>
        <patternFill>
          <bgColor theme="1" tint="0.34998626667073579"/>
        </patternFill>
      </fill>
    </dxf>
    <dxf>
      <font>
        <color theme="1" tint="0.34998626667073579"/>
      </font>
      <fill>
        <patternFill>
          <bgColor theme="1" tint="0.34998626667073579"/>
        </patternFill>
      </fill>
    </dxf>
    <dxf>
      <font>
        <color theme="0"/>
      </font>
      <border>
        <left/>
        <right/>
        <top/>
        <bottom/>
        <vertical/>
        <horizontal/>
      </border>
    </dxf>
    <dxf>
      <font>
        <b/>
        <i val="0"/>
      </font>
      <border>
        <top style="thin">
          <color auto="1"/>
        </top>
        <vertical/>
        <horizontal/>
      </border>
    </dxf>
    <dxf>
      <font>
        <color theme="0"/>
      </font>
      <fill>
        <patternFill>
          <bgColor theme="0"/>
        </patternFill>
      </fill>
      <border>
        <left/>
        <right/>
        <bottom/>
        <vertical/>
        <horizontal/>
      </border>
    </dxf>
    <dxf>
      <font>
        <color theme="4" tint="0.79998168889431442"/>
      </font>
    </dxf>
    <dxf>
      <border>
        <bottom style="thin">
          <color auto="1"/>
        </bottom>
        <vertical/>
        <horizontal/>
      </border>
    </dxf>
    <dxf>
      <font>
        <color theme="4" tint="0.79998168889431442"/>
      </font>
    </dxf>
    <dxf>
      <fill>
        <patternFill>
          <bgColor theme="9" tint="0.79998168889431442"/>
        </patternFill>
      </fill>
    </dxf>
    <dxf>
      <fill>
        <patternFill>
          <bgColor theme="9" tint="0.79998168889431442"/>
        </patternFill>
      </fill>
    </dxf>
    <dxf>
      <font>
        <color theme="4" tint="0.79998168889431442"/>
      </font>
    </dxf>
    <dxf>
      <font>
        <color theme="0"/>
      </font>
      <fill>
        <patternFill>
          <bgColor theme="0"/>
        </patternFill>
      </fill>
      <border>
        <left/>
        <right/>
        <top/>
        <vertical/>
        <horizontal/>
      </border>
    </dxf>
    <dxf>
      <font>
        <color theme="0"/>
      </font>
      <fill>
        <patternFill>
          <bgColor theme="0"/>
        </patternFill>
      </fill>
      <border>
        <left/>
        <right/>
        <bottom/>
        <vertical/>
        <horizontal/>
      </border>
    </dxf>
    <dxf>
      <border>
        <bottom style="thin">
          <color auto="1"/>
        </bottom>
        <vertical/>
        <horizontal/>
      </border>
    </dxf>
    <dxf>
      <fill>
        <patternFill>
          <bgColor theme="9" tint="0.79998168889431442"/>
        </patternFill>
      </fill>
    </dxf>
    <dxf>
      <fill>
        <patternFill>
          <bgColor theme="9" tint="0.79998168889431442"/>
        </patternFill>
      </fill>
    </dxf>
    <dxf>
      <font>
        <color theme="4" tint="0.79998168889431442"/>
      </font>
    </dxf>
    <dxf>
      <font>
        <color theme="0"/>
      </font>
      <fill>
        <patternFill>
          <bgColor theme="0"/>
        </patternFill>
      </fill>
      <border>
        <right/>
        <top/>
        <bottom/>
        <vertical/>
        <horizontal/>
      </border>
    </dxf>
    <dxf>
      <border>
        <right style="thin">
          <color auto="1"/>
        </right>
        <vertical/>
        <horizontal/>
      </border>
    </dxf>
    <dxf>
      <border>
        <bottom style="thin">
          <color auto="1"/>
        </bottom>
        <vertical/>
        <horizontal/>
      </border>
    </dxf>
    <dxf>
      <font>
        <color theme="0"/>
      </font>
      <fill>
        <patternFill>
          <bgColor theme="0"/>
        </patternFill>
      </fill>
      <border>
        <left/>
        <right/>
        <top/>
        <bottom/>
        <vertical/>
        <horizontal/>
      </border>
    </dxf>
    <dxf>
      <font>
        <color theme="1" tint="0.34998626667073579"/>
      </font>
      <fill>
        <patternFill>
          <bgColor theme="1" tint="0.34998626667073579"/>
        </patternFill>
      </fill>
      <border>
        <left/>
        <right/>
        <top/>
        <bottom/>
        <vertical/>
        <horizontal/>
      </border>
    </dxf>
    <dxf>
      <font>
        <color theme="0" tint="-0.24994659260841701"/>
      </font>
      <fill>
        <patternFill>
          <bgColor theme="0" tint="-0.24994659260841701"/>
        </patternFill>
      </fill>
    </dxf>
    <dxf>
      <border>
        <bottom style="thin">
          <color auto="1"/>
        </bottom>
        <vertical/>
        <horizontal/>
      </border>
    </dxf>
    <dxf>
      <border>
        <bottom style="thin">
          <color auto="1"/>
        </bottom>
        <vertical/>
        <horizontal/>
      </border>
    </dxf>
    <dxf>
      <border>
        <bottom style="thin">
          <color auto="1"/>
        </bottom>
        <vertical/>
        <horizontal/>
      </border>
    </dxf>
    <dxf>
      <font>
        <color rgb="FFFF5050"/>
      </font>
    </dxf>
    <dxf>
      <font>
        <color theme="0"/>
      </font>
      <border>
        <left/>
        <right/>
        <top/>
        <bottom/>
        <vertical/>
        <horizontal/>
      </border>
    </dxf>
    <dxf>
      <font>
        <color theme="0"/>
      </font>
      <border>
        <left/>
        <right/>
        <top/>
        <bottom/>
        <vertical/>
        <horizontal/>
      </border>
    </dxf>
    <dxf>
      <font>
        <color theme="0"/>
      </font>
      <fill>
        <patternFill>
          <bgColor theme="0"/>
        </patternFill>
      </fill>
      <border>
        <left/>
        <right/>
        <top/>
        <bottom/>
        <vertical/>
        <horizontal/>
      </border>
    </dxf>
    <dxf>
      <font>
        <color theme="1" tint="0.34998626667073579"/>
      </font>
      <fill>
        <patternFill>
          <bgColor theme="1" tint="0.34998626667073579"/>
        </patternFill>
      </fill>
    </dxf>
    <dxf>
      <font>
        <color theme="0"/>
      </font>
      <fill>
        <patternFill>
          <bgColor theme="1" tint="0.34998626667073579"/>
        </patternFill>
      </fill>
    </dxf>
    <dxf>
      <border>
        <bottom style="thin">
          <color auto="1"/>
        </bottom>
        <vertical/>
        <horizontal/>
      </border>
    </dxf>
    <dxf>
      <font>
        <color theme="1" tint="0.34998626667073579"/>
      </font>
      <fill>
        <patternFill>
          <bgColor theme="1" tint="0.34998626667073579"/>
        </patternFill>
      </fill>
      <border>
        <left/>
        <right/>
        <bottom/>
        <vertical/>
        <horizontal/>
      </border>
    </dxf>
    <dxf>
      <font>
        <color theme="0"/>
      </font>
      <fill>
        <patternFill>
          <bgColor theme="0"/>
        </patternFill>
      </fill>
      <border>
        <left/>
        <right/>
        <bottom/>
        <vertical/>
        <horizontal/>
      </border>
    </dxf>
    <dxf>
      <font>
        <color theme="0"/>
      </font>
    </dxf>
    <dxf>
      <font>
        <color theme="0"/>
      </font>
    </dxf>
    <dxf>
      <font>
        <color theme="0"/>
      </font>
      <fill>
        <patternFill>
          <bgColor theme="0"/>
        </patternFill>
      </fill>
      <border>
        <left/>
        <right/>
        <bottom/>
        <vertical/>
        <horizontal/>
      </border>
    </dxf>
    <dxf>
      <font>
        <color theme="4" tint="0.79998168889431442"/>
      </font>
    </dxf>
    <dxf>
      <fill>
        <patternFill>
          <bgColor theme="9" tint="0.79998168889431442"/>
        </patternFill>
      </fill>
    </dxf>
    <dxf>
      <font>
        <color theme="1" tint="0.34998626667073579"/>
      </font>
      <fill>
        <patternFill>
          <bgColor theme="1" tint="0.34998626667073579"/>
        </patternFill>
      </fill>
      <border>
        <right/>
        <top/>
        <bottom/>
        <vertical/>
        <horizontal/>
      </border>
    </dxf>
    <dxf>
      <font>
        <color theme="0"/>
      </font>
      <fill>
        <patternFill>
          <bgColor theme="0"/>
        </patternFill>
      </fill>
      <border>
        <right/>
        <top/>
        <bottom/>
        <vertical/>
        <horizontal/>
      </border>
    </dxf>
    <dxf>
      <border>
        <right style="thin">
          <color auto="1"/>
        </right>
        <vertical/>
        <horizontal/>
      </border>
    </dxf>
    <dxf>
      <font>
        <color theme="0"/>
      </font>
      <fill>
        <patternFill>
          <bgColor theme="1" tint="0.34998626667073579"/>
        </patternFill>
      </fill>
    </dxf>
    <dxf>
      <font>
        <color theme="0"/>
      </font>
      <fill>
        <patternFill>
          <bgColor theme="1" tint="0.34998626667073579"/>
        </patternFill>
      </fill>
    </dxf>
    <dxf>
      <border>
        <left/>
        <right/>
        <vertical/>
        <horizontal/>
      </border>
    </dxf>
    <dxf>
      <border>
        <left/>
        <right/>
        <vertical/>
        <horizontal/>
      </border>
    </dxf>
    <dxf>
      <border>
        <left/>
        <right/>
        <vertical/>
        <horizontal/>
      </border>
    </dxf>
    <dxf>
      <border>
        <left/>
        <right/>
        <vertical/>
        <horizontal/>
      </border>
    </dxf>
    <dxf>
      <border>
        <left/>
        <right/>
        <vertical/>
        <horizontal/>
      </border>
    </dxf>
    <dxf>
      <border>
        <left/>
        <right/>
        <vertical/>
        <horizontal/>
      </border>
    </dxf>
    <dxf>
      <border>
        <left/>
        <right/>
        <vertical/>
        <horizontal/>
      </border>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ont>
        <color theme="0"/>
      </font>
      <fill>
        <patternFill>
          <bgColor theme="0"/>
        </patternFill>
      </fill>
      <border>
        <right/>
        <top/>
        <bottom/>
        <vertical/>
        <horizontal/>
      </border>
    </dxf>
    <dxf>
      <fill>
        <patternFill>
          <bgColor theme="9" tint="0.79998168889431442"/>
        </patternFill>
      </fill>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1" tint="0.34998626667073579"/>
      </font>
      <fill>
        <patternFill>
          <bgColor theme="1" tint="0.34998626667073579"/>
        </patternFill>
      </fill>
      <border>
        <left/>
        <right/>
        <bottom/>
        <vertical/>
        <horizontal/>
      </border>
    </dxf>
    <dxf>
      <font>
        <color theme="0"/>
      </font>
      <fill>
        <patternFill>
          <bgColor theme="0"/>
        </patternFill>
      </fill>
      <border>
        <left/>
        <right/>
        <bottom/>
        <vertical/>
        <horizontal/>
      </border>
    </dxf>
    <dxf>
      <font>
        <color theme="1" tint="0.34998626667073579"/>
      </font>
      <fill>
        <patternFill>
          <bgColor theme="1" tint="0.34998626667073579"/>
        </patternFill>
      </fill>
      <border>
        <left/>
        <right/>
        <bottom/>
        <vertical/>
        <horizontal/>
      </border>
    </dxf>
    <dxf>
      <font>
        <color theme="0"/>
      </font>
    </dxf>
    <dxf>
      <font>
        <color theme="1" tint="0.34998626667073579"/>
      </font>
      <fill>
        <patternFill>
          <bgColor theme="1" tint="0.34998626667073579"/>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top/>
        <bottom/>
        <vertical/>
        <horizontal/>
      </border>
    </dxf>
    <dxf>
      <font>
        <color theme="0"/>
      </font>
      <fill>
        <patternFill>
          <bgColor theme="0"/>
        </patternFill>
      </fill>
      <border>
        <left/>
        <right/>
        <bottom/>
        <vertical/>
        <horizontal/>
      </border>
    </dxf>
    <dxf>
      <font>
        <color theme="1" tint="0.34998626667073579"/>
      </font>
      <fill>
        <patternFill>
          <bgColor theme="1" tint="0.34998626667073579"/>
        </patternFill>
      </fill>
      <border>
        <left/>
        <right/>
        <bottom/>
        <vertical/>
        <horizontal/>
      </border>
    </dxf>
    <dxf>
      <font>
        <color theme="1" tint="0.34998626667073579"/>
      </font>
      <fill>
        <patternFill>
          <bgColor theme="1" tint="0.34998626667073579"/>
        </patternFill>
      </fill>
      <border>
        <left/>
        <right/>
        <bottom/>
        <vertical/>
        <horizontal/>
      </border>
    </dxf>
    <dxf>
      <font>
        <color theme="0"/>
      </font>
      <fill>
        <patternFill>
          <bgColor theme="0"/>
        </patternFill>
      </fill>
      <border>
        <left/>
        <right/>
        <bottom/>
        <vertical/>
        <horizontal/>
      </border>
    </dxf>
    <dxf>
      <font>
        <color theme="1" tint="0.34998626667073579"/>
      </font>
      <fill>
        <patternFill>
          <bgColor theme="1" tint="0.34998626667073579"/>
        </patternFill>
      </fill>
      <border>
        <left/>
        <right/>
        <bottom/>
        <vertical/>
        <horizontal/>
      </border>
    </dxf>
    <dxf>
      <font>
        <color theme="0"/>
      </font>
      <fill>
        <patternFill>
          <bgColor theme="0"/>
        </patternFill>
      </fill>
      <border>
        <left/>
        <right/>
        <bottom/>
        <vertical/>
        <horizontal/>
      </border>
    </dxf>
    <dxf>
      <font>
        <color theme="1" tint="0.34998626667073579"/>
      </font>
      <fill>
        <patternFill>
          <bgColor theme="1" tint="0.34998626667073579"/>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1" tint="0.34998626667073579"/>
      </font>
      <fill>
        <patternFill>
          <bgColor theme="1" tint="0.34998626667073579"/>
        </patternFill>
      </fill>
      <border>
        <left/>
        <right/>
        <bottom/>
        <vertical/>
        <horizontal/>
      </border>
    </dxf>
    <dxf>
      <font>
        <color theme="0"/>
      </font>
      <fill>
        <patternFill>
          <bgColor theme="0"/>
        </patternFill>
      </fill>
      <border>
        <left/>
        <right/>
        <bottom/>
        <vertical/>
        <horizontal/>
      </border>
    </dxf>
    <dxf>
      <font>
        <color theme="1" tint="0.34998626667073579"/>
      </font>
      <fill>
        <patternFill>
          <bgColor theme="1" tint="0.34998626667073579"/>
        </patternFill>
      </fill>
      <border>
        <left/>
        <right/>
        <bottom/>
        <vertical/>
        <horizontal/>
      </border>
    </dxf>
    <dxf>
      <font>
        <color theme="0"/>
      </font>
      <border>
        <right/>
        <vertical/>
        <horizontal/>
      </border>
    </dxf>
    <dxf>
      <font>
        <b/>
        <i val="0"/>
        <color rgb="FFFF0000"/>
      </font>
    </dxf>
    <dxf>
      <font>
        <color theme="0" tint="-0.499984740745262"/>
      </font>
    </dxf>
    <dxf>
      <font>
        <b/>
        <i val="0"/>
        <color rgb="FFFF0000"/>
      </font>
    </dxf>
    <dxf>
      <font>
        <color theme="0" tint="-0.499984740745262"/>
      </font>
    </dxf>
    <dxf>
      <font>
        <b/>
        <i val="0"/>
        <color rgb="FFFF0000"/>
      </font>
    </dxf>
    <dxf>
      <font>
        <b/>
        <i val="0"/>
        <color rgb="FFFF0000"/>
      </font>
    </dxf>
    <dxf>
      <font>
        <color theme="0" tint="-0.499984740745262"/>
      </font>
    </dxf>
    <dxf>
      <font>
        <b/>
        <i val="0"/>
        <color rgb="FFFF0000"/>
      </font>
    </dxf>
    <dxf>
      <font>
        <color theme="0" tint="-0.499984740745262"/>
      </font>
    </dxf>
    <dxf>
      <font>
        <b/>
        <i val="0"/>
        <strike val="0"/>
        <color rgb="FFFF0000"/>
      </font>
    </dxf>
    <dxf>
      <font>
        <color theme="0" tint="-0.499984740745262"/>
      </font>
    </dxf>
    <dxf>
      <font>
        <b/>
        <i val="0"/>
        <color rgb="FFFF0000"/>
      </font>
    </dxf>
    <dxf>
      <font>
        <color theme="0" tint="-0.499984740745262"/>
      </font>
    </dxf>
    <dxf>
      <font>
        <b/>
        <i val="0"/>
        <color rgb="FFFF0000"/>
      </font>
    </dxf>
    <dxf>
      <font>
        <color theme="0" tint="-0.499984740745262"/>
      </font>
    </dxf>
    <dxf>
      <font>
        <color theme="0"/>
      </font>
      <fill>
        <patternFill>
          <bgColor theme="0"/>
        </patternFill>
      </fill>
      <border>
        <left/>
        <right/>
        <bottom/>
        <vertical/>
        <horizontal/>
      </border>
    </dxf>
    <dxf>
      <font>
        <b/>
        <i val="0"/>
        <color theme="0"/>
      </font>
      <fill>
        <patternFill>
          <bgColor theme="1" tint="0.34998626667073579"/>
        </patternFill>
      </fill>
    </dxf>
    <dxf>
      <font>
        <color theme="0"/>
      </font>
      <border>
        <left/>
        <right/>
        <top/>
        <bottom/>
        <vertical/>
        <horizontal/>
      </border>
    </dxf>
    <dxf>
      <font>
        <color theme="0"/>
      </font>
      <border>
        <left/>
        <right/>
        <top/>
        <bottom/>
        <vertical/>
        <horizontal/>
      </border>
    </dxf>
    <dxf>
      <font>
        <b/>
        <i val="0"/>
        <color theme="0"/>
      </font>
      <fill>
        <patternFill>
          <bgColor theme="1" tint="0.34998626667073579"/>
        </patternFill>
      </fill>
    </dxf>
    <dxf>
      <font>
        <b/>
        <i val="0"/>
        <color theme="0"/>
      </font>
      <fill>
        <patternFill>
          <bgColor theme="1" tint="0.34998626667073579"/>
        </patternFill>
      </fill>
    </dxf>
    <dxf>
      <font>
        <b/>
        <i val="0"/>
        <color theme="0"/>
      </font>
      <fill>
        <patternFill>
          <bgColor theme="1" tint="0.34998626667073579"/>
        </patternFill>
      </fill>
    </dxf>
    <dxf>
      <font>
        <b/>
        <i val="0"/>
        <color theme="0"/>
      </font>
      <fill>
        <patternFill>
          <bgColor theme="1" tint="0.34998626667073579"/>
        </patternFill>
      </fill>
    </dxf>
    <dxf>
      <font>
        <color theme="0"/>
      </font>
      <border>
        <left/>
        <right/>
        <top/>
        <bottom/>
        <vertical/>
        <horizontal/>
      </border>
    </dxf>
    <dxf>
      <font>
        <color theme="0"/>
      </font>
      <border>
        <left/>
        <right/>
        <top/>
        <bottom/>
        <vertical/>
        <horizontal/>
      </border>
    </dxf>
    <dxf>
      <font>
        <color theme="0"/>
      </font>
      <border>
        <left/>
        <right/>
        <top/>
        <bottom/>
        <vertical/>
        <horizontal/>
      </border>
    </dxf>
    <dxf>
      <font>
        <color theme="0"/>
      </font>
      <fill>
        <patternFill>
          <bgColor theme="1" tint="0.34998626667073579"/>
        </patternFill>
      </fill>
    </dxf>
    <dxf>
      <font>
        <color theme="1" tint="0.34998626667073579"/>
      </font>
      <fill>
        <patternFill>
          <bgColor theme="1" tint="0.34998626667073579"/>
        </patternFill>
      </fill>
    </dxf>
    <dxf>
      <font>
        <b/>
        <color theme="1"/>
      </font>
      <border>
        <bottom style="thin">
          <color theme="4"/>
        </bottom>
        <vertical/>
        <horizontal/>
      </border>
    </dxf>
    <dxf>
      <font>
        <color theme="0"/>
      </font>
      <fill>
        <patternFill>
          <bgColor theme="1"/>
        </patternFill>
      </fill>
      <border>
        <left style="thin">
          <color theme="4"/>
        </left>
        <right style="thin">
          <color theme="4"/>
        </right>
        <top style="thin">
          <color theme="4"/>
        </top>
        <bottom style="thin">
          <color theme="4"/>
        </bottom>
        <vertical/>
        <horizontal/>
      </border>
    </dxf>
    <dxf>
      <font>
        <b/>
        <color theme="1"/>
      </font>
      <border>
        <bottom style="thin">
          <color theme="4"/>
        </bottom>
        <vertical/>
        <horizontal/>
      </border>
    </dxf>
    <dxf>
      <font>
        <color theme="1"/>
      </font>
      <fill>
        <patternFill>
          <bgColor theme="1"/>
        </patternFill>
      </fill>
      <border>
        <left style="thin">
          <color theme="4"/>
        </left>
        <right style="thin">
          <color theme="4"/>
        </right>
        <top style="thin">
          <color theme="4"/>
        </top>
        <bottom style="thin">
          <color theme="4"/>
        </bottom>
        <vertical/>
        <horizontal/>
      </border>
    </dxf>
    <dxf>
      <font>
        <b/>
        <color theme="1"/>
      </font>
      <border>
        <bottom style="thin">
          <color theme="4"/>
        </bottom>
        <vertical/>
        <horizontal/>
      </border>
    </dxf>
    <dxf>
      <font>
        <b/>
        <i val="0"/>
        <sz val="10"/>
        <color theme="1"/>
        <name val="Calibri"/>
        <family val="2"/>
        <scheme val="minor"/>
      </font>
      <fill>
        <patternFill>
          <bgColor theme="1"/>
        </patternFill>
      </fill>
      <border diagonalUp="0" diagonalDown="0">
        <left/>
        <right/>
        <top/>
        <bottom/>
        <vertical/>
        <horizontal/>
      </border>
    </dxf>
  </dxfs>
  <tableStyles count="3" defaultTableStyle="TableStyleMedium2" defaultPivotStyle="PivotStyleLight16">
    <tableStyle name="EZ" pivot="0" table="0" count="10" xr9:uid="{2EA721A2-8F16-4C5C-AF60-F0A74A41DD5F}">
      <tableStyleElement type="wholeTable" dxfId="444"/>
      <tableStyleElement type="headerRow" dxfId="443"/>
    </tableStyle>
    <tableStyle name="SlicerStyleLight1 2" pivot="0" table="0" count="10" xr9:uid="{67D2AD8C-A1C6-4F5C-A489-2764A3A08D4F}">
      <tableStyleElement type="wholeTable" dxfId="442"/>
      <tableStyleElement type="headerRow" dxfId="441"/>
    </tableStyle>
    <tableStyle name="SlicerStyleLight1 2 2" pivot="0" table="0" count="10" xr9:uid="{0763B05F-F541-4BCB-9985-647471595F3F}">
      <tableStyleElement type="wholeTable" dxfId="440"/>
      <tableStyleElement type="headerRow" dxfId="439"/>
    </tableStyle>
  </tableStyles>
  <colors>
    <mruColors>
      <color rgb="FFFF7C80"/>
      <color rgb="FF0000FF"/>
      <color rgb="FF0000CC"/>
      <color rgb="FF000000"/>
      <color rgb="FF3366FF"/>
      <color rgb="FF0066FF"/>
      <color rgb="FF990033"/>
      <color rgb="FF339933"/>
      <color rgb="FFF2B800"/>
      <color rgb="FFFF6699"/>
    </mruColors>
  </colors>
  <extLst>
    <ext xmlns:x14="http://schemas.microsoft.com/office/spreadsheetml/2009/9/main" uri="{46F421CA-312F-682f-3DD2-61675219B42D}">
      <x14:dxfs count="24">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9" tint="0.39994506668294322"/>
            </pattern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4" tint="0.79998168889431442"/>
              <bgColor theme="4" tint="0.79998168889431442"/>
            </patternFill>
          </fill>
          <border>
            <left style="thin">
              <color rgb="FFCCCCCC"/>
            </left>
            <right style="thin">
              <color rgb="FFCCCCCC"/>
            </right>
            <top style="thin">
              <color rgb="FFCCCCCC"/>
            </top>
            <bottom style="thin">
              <color rgb="FFCCCCCC"/>
            </bottom>
            <vertical/>
            <horizontal/>
          </border>
        </dxf>
        <dxf>
          <font>
            <sz val="10"/>
            <color theme="1"/>
          </font>
          <fill>
            <patternFill patternType="solid">
              <fgColor theme="4" tint="0.59999389629810485"/>
              <bgColor theme="7" tint="0.79998168889431442"/>
            </patternFill>
          </fill>
          <border>
            <left style="thin">
              <color rgb="FF999999"/>
            </left>
            <right style="thin">
              <color rgb="FF999999"/>
            </right>
            <top style="thin">
              <color rgb="FF999999"/>
            </top>
            <bottom style="thin">
              <color rgb="FF999999"/>
            </bottom>
            <vertical/>
            <horizontal/>
          </border>
        </dxf>
        <dxf>
          <font>
            <color theme="0"/>
          </font>
          <fill>
            <patternFill patternType="solid">
              <fgColor rgb="FFFFFFFF"/>
              <bgColor theme="1"/>
            </patternFill>
          </fill>
          <border>
            <left style="thin">
              <color rgb="FFE0E0E0"/>
            </left>
            <right style="thin">
              <color rgb="FFE0E0E0"/>
            </right>
            <top style="thin">
              <color rgb="FFE0E0E0"/>
            </top>
            <bottom style="thin">
              <color rgb="FFE0E0E0"/>
            </bottom>
            <vertical/>
            <horizontal/>
          </border>
        </dxf>
        <dxf>
          <font>
            <color theme="0"/>
          </font>
          <fill>
            <patternFill patternType="solid">
              <fgColor rgb="FFFFFFFF"/>
              <bgColor theme="1"/>
            </pattern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4" tint="0.79998168889431442"/>
              <bgColor theme="4"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4" tint="0.59999389629810485"/>
              <bgColor theme="4"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4" tint="0.79998168889431442"/>
              <bgColor theme="4"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4" tint="0.59999389629810485"/>
              <bgColor theme="4"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1">
        <x14:slicerStyle name="EZ">
          <x14:slicerStyleElements>
            <x14:slicerStyleElement type="unselectedItemWithData" dxfId="23"/>
            <x14:slicerStyleElement type="unselectedItemWithNoData" dxfId="22"/>
            <x14:slicerStyleElement type="selectedItemWithData" dxfId="21"/>
            <x14:slicerStyleElement type="selectedItemWithNoData" dxfId="20"/>
            <x14:slicerStyleElement type="hoveredUnselectedItemWithData" dxfId="19"/>
            <x14:slicerStyleElement type="hoveredSelectedItemWithData" dxfId="18"/>
            <x14:slicerStyleElement type="hoveredUnselectedItemWithNoData" dxfId="17"/>
            <x14:slicerStyleElement type="hoveredSelectedItemWithNoData" dxfId="16"/>
          </x14:slicerStyleElements>
        </x14:slicerStyle>
        <x14:slicerStyle name="SlicerStyleLight1 2">
          <x14:slicerStyleElements>
            <x14:slicerStyleElement type="unselectedItemWithData" dxfId="15"/>
            <x14:slicerStyleElement type="unselectedItemWithNoData" dxfId="14"/>
            <x14:slicerStyleElement type="selectedItemWithData" dxfId="13"/>
            <x14:slicerStyleElement type="selectedItemWithNoData" dxfId="12"/>
            <x14:slicerStyleElement type="hoveredUnselectedItemWithData" dxfId="11"/>
            <x14:slicerStyleElement type="hoveredSelectedItemWithData" dxfId="10"/>
            <x14:slicerStyleElement type="hoveredUnselectedItemWithNoData" dxfId="9"/>
            <x14:slicerStyleElement type="hoveredSelectedItemWithNoData" dxfId="8"/>
          </x14:slicerStyleElements>
        </x14:slicerStyle>
        <x14:slicerStyle name="SlicerStyleLight1 2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2.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3.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4.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5.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6.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7.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8.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20.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21.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1.3873797025371828E-2"/>
          <c:y val="4.3754824764551488E-3"/>
          <c:w val="0.98612625802727039"/>
          <c:h val="0.92711619516615795"/>
        </c:manualLayout>
      </c:layout>
      <c:barChart>
        <c:barDir val="col"/>
        <c:grouping val="clustered"/>
        <c:varyColors val="0"/>
        <c:ser>
          <c:idx val="0"/>
          <c:order val="0"/>
          <c:spPr>
            <a:solidFill>
              <a:srgbClr val="009900"/>
            </a:solidFill>
            <a:ln>
              <a:solidFill>
                <a:schemeClr val="tx1"/>
              </a:solidFill>
              <a:bevel/>
            </a:ln>
            <a:effectLst>
              <a:glow>
                <a:schemeClr val="accent1"/>
              </a:glow>
              <a:outerShdw blurRad="40005" dist="22860" dir="5400000" algn="ctr" rotWithShape="0">
                <a:srgbClr val="000000">
                  <a:alpha val="35000"/>
                </a:srgbClr>
              </a:outerShdw>
            </a:effectLst>
            <a:scene3d>
              <a:camera prst="orthographicFront"/>
              <a:lightRig rig="threePt" dir="t">
                <a:rot lat="0" lon="0" rev="1200000"/>
              </a:lightRig>
            </a:scene3d>
            <a:sp3d>
              <a:bevelT w="63500" h="25400"/>
              <a:bevelB w="63500" h="25400"/>
            </a:sp3d>
          </c:spPr>
          <c:invertIfNegative val="0"/>
          <c:dPt>
            <c:idx val="58"/>
            <c:invertIfNegative val="0"/>
            <c:bubble3D val="0"/>
            <c:spPr>
              <a:solidFill>
                <a:srgbClr val="009900"/>
              </a:solidFill>
              <a:ln>
                <a:solidFill>
                  <a:schemeClr val="tx1"/>
                </a:solidFill>
                <a:bevel/>
              </a:ln>
              <a:effectLst>
                <a:glow>
                  <a:schemeClr val="accent1">
                    <a:alpha val="96000"/>
                  </a:schemeClr>
                </a:glow>
                <a:outerShdw blurRad="40005" dist="22860" dir="5400000" algn="ctr" rotWithShape="0">
                  <a:srgbClr val="000000">
                    <a:alpha val="35000"/>
                  </a:srgbClr>
                </a:outerShdw>
              </a:effectLst>
              <a:scene3d>
                <a:camera prst="orthographicFront"/>
                <a:lightRig rig="threePt" dir="t">
                  <a:rot lat="0" lon="0" rev="1200000"/>
                </a:lightRig>
              </a:scene3d>
              <a:sp3d>
                <a:bevelT w="63500" h="25400"/>
                <a:bevelB w="63500" h="25400"/>
              </a:sp3d>
            </c:spPr>
            <c:extLst>
              <c:ext xmlns:c16="http://schemas.microsoft.com/office/drawing/2014/chart" uri="{C3380CC4-5D6E-409C-BE32-E72D297353CC}">
                <c16:uniqueId val="{00000001-5A77-4B0F-9439-FB433262B742}"/>
              </c:ext>
            </c:extLst>
          </c:dPt>
          <c:cat>
            <c:numRef>
              <c:f>Calcs!$I$64:$BP$64</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Calcs!$I$65:$BP$65</c:f>
              <c:numCache>
                <c:formatCode>"$"#,##0_);\("$"#,##0\)</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extLst>
            <c:ext xmlns:c16="http://schemas.microsoft.com/office/drawing/2014/chart" uri="{C3380CC4-5D6E-409C-BE32-E72D297353CC}">
              <c16:uniqueId val="{00000002-5A77-4B0F-9439-FB433262B742}"/>
            </c:ext>
          </c:extLst>
        </c:ser>
        <c:ser>
          <c:idx val="1"/>
          <c:order val="1"/>
          <c:spPr>
            <a:solidFill>
              <a:srgbClr val="C63030"/>
            </a:solidFill>
            <a:ln cap="flat">
              <a:solidFill>
                <a:schemeClr val="tx1"/>
              </a:solidFill>
              <a:bevel/>
            </a:ln>
            <a:effectLst>
              <a:outerShdw blurRad="40005" dist="22860" dir="5400000" algn="ctr" rotWithShape="0">
                <a:srgbClr val="000000">
                  <a:alpha val="35000"/>
                </a:srgbClr>
              </a:outerShdw>
            </a:effectLst>
            <a:scene3d>
              <a:camera prst="orthographicFront"/>
              <a:lightRig rig="threePt" dir="t">
                <a:rot lat="0" lon="0" rev="1200000"/>
              </a:lightRig>
            </a:scene3d>
            <a:sp3d>
              <a:bevelT w="63500" h="25400"/>
              <a:bevelB w="63500" h="25400"/>
            </a:sp3d>
          </c:spPr>
          <c:invertIfNegative val="0"/>
          <c:dPt>
            <c:idx val="2"/>
            <c:invertIfNegative val="0"/>
            <c:bubble3D val="0"/>
            <c:extLst>
              <c:ext xmlns:c16="http://schemas.microsoft.com/office/drawing/2014/chart" uri="{C3380CC4-5D6E-409C-BE32-E72D297353CC}">
                <c16:uniqueId val="{00000003-5A77-4B0F-9439-FB433262B742}"/>
              </c:ext>
            </c:extLst>
          </c:dPt>
          <c:cat>
            <c:numRef>
              <c:f>Calcs!$I$64:$BP$64</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Calcs!$I$66:$BP$66</c:f>
              <c:numCache>
                <c:formatCode>"$"#,##0_);\("$"#,##0\)</c:formatCode>
                <c:ptCount val="6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numCache>
            </c:numRef>
          </c:val>
          <c:extLst>
            <c:ext xmlns:c16="http://schemas.microsoft.com/office/drawing/2014/chart" uri="{C3380CC4-5D6E-409C-BE32-E72D297353CC}">
              <c16:uniqueId val="{00000004-5A77-4B0F-9439-FB433262B742}"/>
            </c:ext>
          </c:extLst>
        </c:ser>
        <c:ser>
          <c:idx val="2"/>
          <c:order val="2"/>
          <c:spPr>
            <a:solidFill>
              <a:srgbClr val="00B0F0"/>
            </a:solidFill>
            <a:ln>
              <a:solidFill>
                <a:schemeClr val="tx1"/>
              </a:solidFill>
              <a:bevel/>
            </a:ln>
            <a:scene3d>
              <a:camera prst="orthographicFront"/>
              <a:lightRig rig="threePt" dir="t"/>
            </a:scene3d>
            <a:sp3d>
              <a:bevelT w="63500" h="25400"/>
              <a:bevelB w="63500" h="25400"/>
            </a:sp3d>
          </c:spPr>
          <c:invertIfNegative val="0"/>
          <c:dPt>
            <c:idx val="59"/>
            <c:invertIfNegative val="0"/>
            <c:bubble3D val="0"/>
            <c:spPr>
              <a:solidFill>
                <a:srgbClr val="00B0F0"/>
              </a:solidFill>
              <a:ln w="19050">
                <a:solidFill>
                  <a:schemeClr val="tx1"/>
                </a:solidFill>
                <a:bevel/>
              </a:ln>
              <a:effectLst>
                <a:glow>
                  <a:schemeClr val="accent1"/>
                </a:glow>
                <a:outerShdw blurRad="40005" dist="22860" dir="5400000" algn="ctr" rotWithShape="0">
                  <a:srgbClr val="000000">
                    <a:alpha val="35000"/>
                  </a:srgbClr>
                </a:outerShdw>
              </a:effectLst>
              <a:scene3d>
                <a:camera prst="orthographicFront"/>
                <a:lightRig rig="threePt" dir="t"/>
              </a:scene3d>
              <a:sp3d>
                <a:bevelT w="63500" h="25400"/>
                <a:bevelB w="63500" h="25400"/>
              </a:sp3d>
            </c:spPr>
            <c:extLst>
              <c:ext xmlns:c16="http://schemas.microsoft.com/office/drawing/2014/chart" uri="{C3380CC4-5D6E-409C-BE32-E72D297353CC}">
                <c16:uniqueId val="{00000006-5A77-4B0F-9439-FB433262B742}"/>
              </c:ext>
            </c:extLst>
          </c:dPt>
          <c:cat>
            <c:numRef>
              <c:f>Calcs!$I$64:$BP$64</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Calcs!$I$67:$BP$67</c:f>
              <c:numCache>
                <c:formatCode>"$"#,##0_);\("$"#,##0\)</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extLst>
            <c:ext xmlns:c16="http://schemas.microsoft.com/office/drawing/2014/chart" uri="{C3380CC4-5D6E-409C-BE32-E72D297353CC}">
              <c16:uniqueId val="{00000007-5A77-4B0F-9439-FB433262B742}"/>
            </c:ext>
          </c:extLst>
        </c:ser>
        <c:ser>
          <c:idx val="3"/>
          <c:order val="3"/>
          <c:spPr>
            <a:solidFill>
              <a:srgbClr val="FF9900"/>
            </a:solidFill>
            <a:ln>
              <a:solidFill>
                <a:schemeClr val="tx1"/>
              </a:solidFill>
              <a:bevel/>
            </a:ln>
            <a:effectLst>
              <a:outerShdw blurRad="40005" dist="22860" dir="5400000" algn="ctr" rotWithShape="0">
                <a:srgbClr val="000000">
                  <a:alpha val="35000"/>
                </a:srgbClr>
              </a:outerShdw>
            </a:effectLst>
            <a:scene3d>
              <a:camera prst="orthographicFront"/>
              <a:lightRig rig="threePt" dir="t"/>
            </a:scene3d>
            <a:sp3d>
              <a:bevelT w="63500" h="25400"/>
              <a:bevelB w="63500" h="25400"/>
            </a:sp3d>
          </c:spPr>
          <c:invertIfNegative val="0"/>
          <c:dPt>
            <c:idx val="2"/>
            <c:invertIfNegative val="0"/>
            <c:bubble3D val="0"/>
            <c:spPr>
              <a:solidFill>
                <a:srgbClr val="FF9900"/>
              </a:solidFill>
              <a:ln w="19050" cap="rnd">
                <a:solidFill>
                  <a:schemeClr val="tx1"/>
                </a:solidFill>
                <a:bevel/>
              </a:ln>
              <a:effectLst>
                <a:glow>
                  <a:schemeClr val="accent1"/>
                </a:glow>
                <a:outerShdw blurRad="40005" dist="22860" dir="5400000" algn="ctr" rotWithShape="0">
                  <a:srgbClr val="000000">
                    <a:alpha val="35000"/>
                  </a:srgbClr>
                </a:outerShdw>
                <a:softEdge rad="0"/>
              </a:effectLst>
              <a:scene3d>
                <a:camera prst="orthographicFront"/>
                <a:lightRig rig="threePt" dir="t"/>
              </a:scene3d>
              <a:sp3d>
                <a:bevelT w="63500" h="25400"/>
                <a:bevelB w="63500" h="25400"/>
              </a:sp3d>
            </c:spPr>
            <c:extLst>
              <c:ext xmlns:c16="http://schemas.microsoft.com/office/drawing/2014/chart" uri="{C3380CC4-5D6E-409C-BE32-E72D297353CC}">
                <c16:uniqueId val="{00000009-5A77-4B0F-9439-FB433262B742}"/>
              </c:ext>
            </c:extLst>
          </c:dPt>
          <c:dPt>
            <c:idx val="21"/>
            <c:invertIfNegative val="0"/>
            <c:bubble3D val="0"/>
            <c:extLst>
              <c:ext xmlns:c16="http://schemas.microsoft.com/office/drawing/2014/chart" uri="{C3380CC4-5D6E-409C-BE32-E72D297353CC}">
                <c16:uniqueId val="{0000000A-5A77-4B0F-9439-FB433262B742}"/>
              </c:ext>
            </c:extLst>
          </c:dPt>
          <c:cat>
            <c:numRef>
              <c:f>Calcs!$I$64:$BP$64</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Calcs!$I$68:$BP$68</c:f>
              <c:numCache>
                <c:formatCode>"$"#,##0_);\("$"#,##0\)</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extLst>
            <c:ext xmlns:c16="http://schemas.microsoft.com/office/drawing/2014/chart" uri="{C3380CC4-5D6E-409C-BE32-E72D297353CC}">
              <c16:uniqueId val="{0000000B-5A77-4B0F-9439-FB433262B742}"/>
            </c:ext>
          </c:extLst>
        </c:ser>
        <c:dLbls>
          <c:showLegendKey val="0"/>
          <c:showVal val="0"/>
          <c:showCatName val="0"/>
          <c:showSerName val="0"/>
          <c:showPercent val="0"/>
          <c:showBubbleSize val="0"/>
        </c:dLbls>
        <c:gapWidth val="62"/>
        <c:overlap val="92"/>
        <c:axId val="361267672"/>
        <c:axId val="361269240"/>
      </c:barChart>
      <c:dateAx>
        <c:axId val="361267672"/>
        <c:scaling>
          <c:orientation val="minMax"/>
        </c:scaling>
        <c:delete val="1"/>
        <c:axPos val="b"/>
        <c:numFmt formatCode="[$-409]mmm\-yy;@" sourceLinked="1"/>
        <c:majorTickMark val="out"/>
        <c:minorTickMark val="none"/>
        <c:tickLblPos val="nextTo"/>
        <c:crossAx val="361269240"/>
        <c:crosses val="autoZero"/>
        <c:auto val="1"/>
        <c:lblOffset val="100"/>
        <c:baseTimeUnit val="months"/>
      </c:dateAx>
      <c:valAx>
        <c:axId val="361269240"/>
        <c:scaling>
          <c:orientation val="minMax"/>
        </c:scaling>
        <c:delete val="0"/>
        <c:axPos val="l"/>
        <c:majorGridlines>
          <c:spPr>
            <a:ln>
              <a:noFill/>
            </a:ln>
          </c:spPr>
        </c:majorGridlines>
        <c:numFmt formatCode="&quot;$&quot;#,##0_);\(&quot;$&quot;#,##0\)" sourceLinked="1"/>
        <c:majorTickMark val="out"/>
        <c:minorTickMark val="none"/>
        <c:tickLblPos val="nextTo"/>
        <c:spPr>
          <a:ln>
            <a:noFill/>
          </a:ln>
        </c:spPr>
        <c:txPr>
          <a:bodyPr/>
          <a:lstStyle/>
          <a:p>
            <a:pPr>
              <a:defRPr sz="800" b="1">
                <a:solidFill>
                  <a:schemeClr val="tx1">
                    <a:lumMod val="75000"/>
                    <a:lumOff val="25000"/>
                  </a:schemeClr>
                </a:solidFill>
              </a:defRPr>
            </a:pPr>
            <a:endParaRPr lang="en-US"/>
          </a:p>
        </c:txPr>
        <c:crossAx val="361267672"/>
        <c:crosses val="autoZero"/>
        <c:crossBetween val="between"/>
      </c:valAx>
      <c:spPr>
        <a:noFill/>
        <a:ln>
          <a:noFill/>
        </a:ln>
      </c:spPr>
    </c:plotArea>
    <c:plotVisOnly val="1"/>
    <c:dispBlanksAs val="zero"/>
    <c:showDLblsOverMax val="0"/>
  </c:chart>
  <c:spPr>
    <a:noFill/>
    <a:ln>
      <a:noFill/>
    </a:ln>
  </c:sp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022003499562555"/>
          <c:y val="5.4105552982347795E-2"/>
          <c:w val="0.82700218722659657"/>
          <c:h val="0.72403681406649378"/>
        </c:manualLayout>
      </c:layout>
      <c:barChart>
        <c:barDir val="col"/>
        <c:grouping val="clustered"/>
        <c:varyColors val="0"/>
        <c:ser>
          <c:idx val="0"/>
          <c:order val="0"/>
          <c:tx>
            <c:strRef>
              <c:f>Infrastructure!$BP$36</c:f>
              <c:strCache>
                <c:ptCount val="1"/>
                <c:pt idx="0">
                  <c:v>Revenue</c:v>
                </c:pt>
              </c:strCache>
            </c:strRef>
          </c:tx>
          <c:spPr>
            <a:solidFill>
              <a:srgbClr val="3366FF"/>
            </a:solidFill>
            <a:ln w="25400">
              <a:solidFill>
                <a:schemeClr val="tx1"/>
              </a:solidFill>
            </a:ln>
            <a:effectLst>
              <a:glow>
                <a:schemeClr val="accent4"/>
              </a:glow>
              <a:softEdge rad="0"/>
            </a:effectLst>
            <a:scene3d>
              <a:camera prst="orthographicFront"/>
              <a:lightRig rig="threePt" dir="t"/>
            </a:scene3d>
            <a:sp3d>
              <a:bevelT w="25400" h="63500"/>
            </a:sp3d>
          </c:spPr>
          <c:invertIfNegative val="0"/>
          <c:cat>
            <c:strRef>
              <c:f>Infrastructure!$BQ$35:$BU$35</c:f>
              <c:strCache>
                <c:ptCount val="5"/>
                <c:pt idx="0">
                  <c:v>Year 1</c:v>
                </c:pt>
                <c:pt idx="1">
                  <c:v>Year 2</c:v>
                </c:pt>
                <c:pt idx="2">
                  <c:v>Year 3</c:v>
                </c:pt>
                <c:pt idx="3">
                  <c:v>Year 4</c:v>
                </c:pt>
                <c:pt idx="4">
                  <c:v>Year 5</c:v>
                </c:pt>
              </c:strCache>
            </c:strRef>
          </c:cat>
          <c:val>
            <c:numRef>
              <c:f>Infrastructure!$BQ$36:$BU$36</c:f>
              <c:numCache>
                <c:formatCode>"$"#,##0_);\("$"#,##0\)</c:formatCode>
                <c:ptCount val="5"/>
                <c:pt idx="0">
                  <c:v>0</c:v>
                </c:pt>
                <c:pt idx="1">
                  <c:v>0</c:v>
                </c:pt>
                <c:pt idx="2">
                  <c:v>0</c:v>
                </c:pt>
                <c:pt idx="3" formatCode="General">
                  <c:v>0</c:v>
                </c:pt>
                <c:pt idx="4" formatCode="General">
                  <c:v>0</c:v>
                </c:pt>
              </c:numCache>
            </c:numRef>
          </c:val>
          <c:extLst>
            <c:ext xmlns:c16="http://schemas.microsoft.com/office/drawing/2014/chart" uri="{C3380CC4-5D6E-409C-BE32-E72D297353CC}">
              <c16:uniqueId val="{00000000-2D51-4F9E-A64D-240C586D430E}"/>
            </c:ext>
          </c:extLst>
        </c:ser>
        <c:ser>
          <c:idx val="1"/>
          <c:order val="1"/>
          <c:tx>
            <c:strRef>
              <c:f>Infrastructure!$BP$37</c:f>
              <c:strCache>
                <c:ptCount val="1"/>
                <c:pt idx="0">
                  <c:v>Expenses</c:v>
                </c:pt>
              </c:strCache>
            </c:strRef>
          </c:tx>
          <c:spPr>
            <a:solidFill>
              <a:srgbClr val="CC7900"/>
            </a:solidFill>
            <a:ln w="25400">
              <a:solidFill>
                <a:schemeClr val="tx1"/>
              </a:solidFill>
            </a:ln>
            <a:effectLst/>
          </c:spPr>
          <c:invertIfNegative val="0"/>
          <c:cat>
            <c:strRef>
              <c:f>Infrastructure!$BQ$35:$BU$35</c:f>
              <c:strCache>
                <c:ptCount val="5"/>
                <c:pt idx="0">
                  <c:v>Year 1</c:v>
                </c:pt>
                <c:pt idx="1">
                  <c:v>Year 2</c:v>
                </c:pt>
                <c:pt idx="2">
                  <c:v>Year 3</c:v>
                </c:pt>
                <c:pt idx="3">
                  <c:v>Year 4</c:v>
                </c:pt>
                <c:pt idx="4">
                  <c:v>Year 5</c:v>
                </c:pt>
              </c:strCache>
            </c:strRef>
          </c:cat>
          <c:val>
            <c:numRef>
              <c:f>Infrastructure!$BQ$37:$BU$37</c:f>
              <c:numCache>
                <c:formatCode>"$"#,##0_);\("$"#,##0\)</c:formatCode>
                <c:ptCount val="5"/>
                <c:pt idx="0">
                  <c:v>0</c:v>
                </c:pt>
                <c:pt idx="1">
                  <c:v>0</c:v>
                </c:pt>
                <c:pt idx="2">
                  <c:v>0</c:v>
                </c:pt>
                <c:pt idx="3" formatCode="General">
                  <c:v>0</c:v>
                </c:pt>
                <c:pt idx="4" formatCode="General">
                  <c:v>0</c:v>
                </c:pt>
              </c:numCache>
            </c:numRef>
          </c:val>
          <c:extLst>
            <c:ext xmlns:c16="http://schemas.microsoft.com/office/drawing/2014/chart" uri="{C3380CC4-5D6E-409C-BE32-E72D297353CC}">
              <c16:uniqueId val="{00000001-2D51-4F9E-A64D-240C586D430E}"/>
            </c:ext>
          </c:extLst>
        </c:ser>
        <c:ser>
          <c:idx val="2"/>
          <c:order val="2"/>
          <c:tx>
            <c:strRef>
              <c:f>Infrastructure!$BP$38</c:f>
              <c:strCache>
                <c:ptCount val="1"/>
                <c:pt idx="0">
                  <c:v>Net Income (Loss)</c:v>
                </c:pt>
              </c:strCache>
            </c:strRef>
          </c:tx>
          <c:spPr>
            <a:solidFill>
              <a:srgbClr val="00B050"/>
            </a:solidFill>
            <a:ln w="25400">
              <a:solidFill>
                <a:schemeClr val="tx1"/>
              </a:solidFill>
            </a:ln>
            <a:effectLst/>
          </c:spPr>
          <c:invertIfNegative val="1"/>
          <c:cat>
            <c:strRef>
              <c:f>Infrastructure!$BQ$35:$BU$35</c:f>
              <c:strCache>
                <c:ptCount val="5"/>
                <c:pt idx="0">
                  <c:v>Year 1</c:v>
                </c:pt>
                <c:pt idx="1">
                  <c:v>Year 2</c:v>
                </c:pt>
                <c:pt idx="2">
                  <c:v>Year 3</c:v>
                </c:pt>
                <c:pt idx="3">
                  <c:v>Year 4</c:v>
                </c:pt>
                <c:pt idx="4">
                  <c:v>Year 5</c:v>
                </c:pt>
              </c:strCache>
            </c:strRef>
          </c:cat>
          <c:val>
            <c:numRef>
              <c:f>Infrastructure!$BQ$38:$BU$38</c:f>
              <c:numCache>
                <c:formatCode>"$"#,##0_);\("$"#,##0\)</c:formatCode>
                <c:ptCount val="5"/>
                <c:pt idx="0">
                  <c:v>0</c:v>
                </c:pt>
                <c:pt idx="1">
                  <c:v>0</c:v>
                </c:pt>
                <c:pt idx="2">
                  <c:v>0</c:v>
                </c:pt>
                <c:pt idx="3" formatCode="General">
                  <c:v>0</c:v>
                </c:pt>
                <c:pt idx="4" formatCode="General">
                  <c:v>0</c:v>
                </c:pt>
              </c:numCache>
            </c:numRef>
          </c:val>
          <c:extLst>
            <c:ext xmlns:c14="http://schemas.microsoft.com/office/drawing/2007/8/2/chart" uri="{6F2FDCE9-48DA-4B69-8628-5D25D57E5C99}">
              <c14:invertSolidFillFmt>
                <c14:spPr xmlns:c14="http://schemas.microsoft.com/office/drawing/2007/8/2/chart">
                  <a:solidFill>
                    <a:srgbClr val="B43651"/>
                  </a:solidFill>
                  <a:ln w="25400">
                    <a:solidFill>
                      <a:schemeClr val="tx1"/>
                    </a:solidFill>
                  </a:ln>
                  <a:effectLst/>
                </c14:spPr>
              </c14:invertSolidFillFmt>
            </c:ext>
            <c:ext xmlns:c16="http://schemas.microsoft.com/office/drawing/2014/chart" uri="{C3380CC4-5D6E-409C-BE32-E72D297353CC}">
              <c16:uniqueId val="{00000002-2D51-4F9E-A64D-240C586D430E}"/>
            </c:ext>
          </c:extLst>
        </c:ser>
        <c:dLbls>
          <c:showLegendKey val="0"/>
          <c:showVal val="0"/>
          <c:showCatName val="0"/>
          <c:showSerName val="0"/>
          <c:showPercent val="0"/>
          <c:showBubbleSize val="0"/>
        </c:dLbls>
        <c:gapWidth val="225"/>
        <c:overlap val="-33"/>
        <c:axId val="1326108703"/>
        <c:axId val="1326108287"/>
      </c:barChart>
      <c:catAx>
        <c:axId val="1326108703"/>
        <c:scaling>
          <c:orientation val="minMax"/>
        </c:scaling>
        <c:delete val="1"/>
        <c:axPos val="b"/>
        <c:numFmt formatCode="General" sourceLinked="1"/>
        <c:majorTickMark val="none"/>
        <c:minorTickMark val="none"/>
        <c:tickLblPos val="nextTo"/>
        <c:crossAx val="1326108287"/>
        <c:crosses val="autoZero"/>
        <c:auto val="1"/>
        <c:lblAlgn val="ctr"/>
        <c:lblOffset val="100"/>
        <c:noMultiLvlLbl val="1"/>
      </c:catAx>
      <c:valAx>
        <c:axId val="1326108287"/>
        <c:scaling>
          <c:orientation val="minMax"/>
        </c:scaling>
        <c:delete val="0"/>
        <c:axPos val="l"/>
        <c:majorGridlines>
          <c:spPr>
            <a:ln w="3175" cap="flat" cmpd="sng" algn="ctr">
              <a:noFill/>
              <a:round/>
            </a:ln>
            <a:effectLst/>
          </c:spPr>
        </c:majorGridlines>
        <c:numFmt formatCode="&quot;$&quot;#,##0_);\(&quot;$&quot;#,##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chemeClr val="tx1">
                    <a:lumMod val="75000"/>
                    <a:lumOff val="25000"/>
                  </a:schemeClr>
                </a:solidFill>
                <a:latin typeface="+mn-lt"/>
                <a:ea typeface="+mn-ea"/>
                <a:cs typeface="+mn-cs"/>
              </a:defRPr>
            </a:pPr>
            <a:endParaRPr lang="en-US"/>
          </a:p>
        </c:txPr>
        <c:crossAx val="132610870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1"/>
          <c:order val="0"/>
          <c:spPr>
            <a:ln w="28575" cap="rnd">
              <a:solidFill>
                <a:schemeClr val="accent2"/>
              </a:solidFill>
              <a:round/>
            </a:ln>
            <a:effectLst/>
          </c:spPr>
          <c:marker>
            <c:symbol val="none"/>
          </c:marker>
          <c:val>
            <c:numRef>
              <c:f>Infrastructure!$BQ$36:$BQ$38</c:f>
              <c:numCache>
                <c:formatCode>"$"#,##0_);\("$"#,##0\)</c:formatCode>
                <c:ptCount val="3"/>
                <c:pt idx="0">
                  <c:v>0</c:v>
                </c:pt>
                <c:pt idx="1">
                  <c:v>0</c:v>
                </c:pt>
                <c:pt idx="2">
                  <c:v>0</c:v>
                </c:pt>
              </c:numCache>
            </c:numRef>
          </c:val>
          <c:smooth val="0"/>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1-8D85-4A8F-9155-CDEC607B5826}"/>
            </c:ext>
          </c:extLst>
        </c:ser>
        <c:ser>
          <c:idx val="2"/>
          <c:order val="1"/>
          <c:spPr>
            <a:ln w="28575" cap="rnd">
              <a:solidFill>
                <a:schemeClr val="accent3"/>
              </a:solidFill>
              <a:round/>
            </a:ln>
            <a:effectLst/>
          </c:spPr>
          <c:marker>
            <c:symbol val="none"/>
          </c:marker>
          <c:val>
            <c:numRef>
              <c:f>Infrastructure!$BR$36:$BR$38</c:f>
              <c:numCache>
                <c:formatCode>"$"#,##0_);\("$"#,##0\)</c:formatCode>
                <c:ptCount val="3"/>
                <c:pt idx="0">
                  <c:v>0</c:v>
                </c:pt>
                <c:pt idx="1">
                  <c:v>0</c:v>
                </c:pt>
                <c:pt idx="2">
                  <c:v>0</c:v>
                </c:pt>
              </c:numCache>
            </c:numRef>
          </c:val>
          <c:smooth val="0"/>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2-8D85-4A8F-9155-CDEC607B5826}"/>
            </c:ext>
          </c:extLst>
        </c:ser>
        <c:ser>
          <c:idx val="3"/>
          <c:order val="2"/>
          <c:spPr>
            <a:ln w="28575" cap="rnd">
              <a:solidFill>
                <a:schemeClr val="accent4"/>
              </a:solidFill>
              <a:round/>
            </a:ln>
            <a:effectLst/>
          </c:spPr>
          <c:marker>
            <c:symbol val="none"/>
          </c:marker>
          <c:val>
            <c:numRef>
              <c:f>Infrastructure!$BS$36:$BS$38</c:f>
              <c:numCache>
                <c:formatCode>"$"#,##0_);\("$"#,##0\)</c:formatCode>
                <c:ptCount val="3"/>
                <c:pt idx="0">
                  <c:v>0</c:v>
                </c:pt>
                <c:pt idx="1">
                  <c:v>0</c:v>
                </c:pt>
                <c:pt idx="2">
                  <c:v>0</c:v>
                </c:pt>
              </c:numCache>
            </c:numRef>
          </c:val>
          <c:smooth val="0"/>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0-1F8A-48C0-8B4E-C8A641A684C9}"/>
            </c:ext>
          </c:extLst>
        </c:ser>
        <c:dLbls>
          <c:showLegendKey val="0"/>
          <c:showVal val="0"/>
          <c:showCatName val="0"/>
          <c:showSerName val="0"/>
          <c:showPercent val="0"/>
          <c:showBubbleSize val="0"/>
        </c:dLbls>
        <c:smooth val="0"/>
        <c:axId val="1454109695"/>
        <c:axId val="1454100959"/>
      </c:lineChart>
      <c:catAx>
        <c:axId val="14541096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54100959"/>
        <c:crosses val="autoZero"/>
        <c:auto val="1"/>
        <c:lblAlgn val="ctr"/>
        <c:lblOffset val="100"/>
        <c:noMultiLvlLbl val="0"/>
      </c:catAx>
      <c:valAx>
        <c:axId val="1454100959"/>
        <c:scaling>
          <c:orientation val="minMax"/>
        </c:scaling>
        <c:delete val="0"/>
        <c:axPos val="l"/>
        <c:majorGridlines>
          <c:spPr>
            <a:ln w="9525" cap="flat" cmpd="sng" algn="ctr">
              <a:solidFill>
                <a:schemeClr val="tx1">
                  <a:lumMod val="15000"/>
                  <a:lumOff val="85000"/>
                </a:schemeClr>
              </a:solidFill>
              <a:round/>
            </a:ln>
            <a:effectLst/>
          </c:spPr>
        </c:majorGridlines>
        <c:numFmt formatCode="&quot;$&quot;#,##0_);\(&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54109695"/>
        <c:crosses val="autoZero"/>
        <c:crossBetween val="between"/>
      </c:valAx>
      <c:spPr>
        <a:noFill/>
        <a:ln w="25400">
          <a:noFill/>
        </a:ln>
        <a:effectLst/>
      </c:spPr>
    </c:plotArea>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Infrastructure!$BP$36</c:f>
              <c:strCache>
                <c:ptCount val="1"/>
                <c:pt idx="0">
                  <c:v>Revenue</c:v>
                </c:pt>
              </c:strCache>
            </c:strRef>
          </c:tx>
          <c:spPr>
            <a:ln w="28575" cap="rnd">
              <a:solidFill>
                <a:schemeClr val="accent1"/>
              </a:solidFill>
              <a:round/>
            </a:ln>
            <a:effectLst/>
          </c:spPr>
          <c:marker>
            <c:symbol val="none"/>
          </c:marker>
          <c:cat>
            <c:strRef>
              <c:f>Infrastructure!$BQ$35:$BU$35</c:f>
              <c:strCache>
                <c:ptCount val="5"/>
                <c:pt idx="0">
                  <c:v>Year 1</c:v>
                </c:pt>
                <c:pt idx="1">
                  <c:v>Year 2</c:v>
                </c:pt>
                <c:pt idx="2">
                  <c:v>Year 3</c:v>
                </c:pt>
                <c:pt idx="3">
                  <c:v>Year 4</c:v>
                </c:pt>
                <c:pt idx="4">
                  <c:v>Year 5</c:v>
                </c:pt>
              </c:strCache>
            </c:strRef>
          </c:cat>
          <c:val>
            <c:numRef>
              <c:f>Infrastructure!$BQ$36:$BU$36</c:f>
              <c:numCache>
                <c:formatCode>"$"#,##0_);\("$"#,##0\)</c:formatCode>
                <c:ptCount val="5"/>
                <c:pt idx="0">
                  <c:v>0</c:v>
                </c:pt>
                <c:pt idx="1">
                  <c:v>0</c:v>
                </c:pt>
                <c:pt idx="2">
                  <c:v>0</c:v>
                </c:pt>
                <c:pt idx="3" formatCode="General">
                  <c:v>0</c:v>
                </c:pt>
                <c:pt idx="4" formatCode="General">
                  <c:v>0</c:v>
                </c:pt>
              </c:numCache>
            </c:numRef>
          </c:val>
          <c:smooth val="0"/>
          <c:extLst>
            <c:ext xmlns:c16="http://schemas.microsoft.com/office/drawing/2014/chart" uri="{C3380CC4-5D6E-409C-BE32-E72D297353CC}">
              <c16:uniqueId val="{00000000-547D-41D8-991C-98155E1B26CD}"/>
            </c:ext>
          </c:extLst>
        </c:ser>
        <c:ser>
          <c:idx val="1"/>
          <c:order val="1"/>
          <c:tx>
            <c:strRef>
              <c:f>Infrastructure!$BP$37</c:f>
              <c:strCache>
                <c:ptCount val="1"/>
                <c:pt idx="0">
                  <c:v>Expenses</c:v>
                </c:pt>
              </c:strCache>
            </c:strRef>
          </c:tx>
          <c:spPr>
            <a:ln w="28575" cap="rnd">
              <a:solidFill>
                <a:schemeClr val="accent2"/>
              </a:solidFill>
              <a:round/>
            </a:ln>
            <a:effectLst/>
          </c:spPr>
          <c:marker>
            <c:symbol val="none"/>
          </c:marker>
          <c:cat>
            <c:strRef>
              <c:f>Infrastructure!$BQ$35:$BU$35</c:f>
              <c:strCache>
                <c:ptCount val="5"/>
                <c:pt idx="0">
                  <c:v>Year 1</c:v>
                </c:pt>
                <c:pt idx="1">
                  <c:v>Year 2</c:v>
                </c:pt>
                <c:pt idx="2">
                  <c:v>Year 3</c:v>
                </c:pt>
                <c:pt idx="3">
                  <c:v>Year 4</c:v>
                </c:pt>
                <c:pt idx="4">
                  <c:v>Year 5</c:v>
                </c:pt>
              </c:strCache>
            </c:strRef>
          </c:cat>
          <c:val>
            <c:numRef>
              <c:f>Infrastructure!$BQ$37:$BU$37</c:f>
              <c:numCache>
                <c:formatCode>"$"#,##0_);\("$"#,##0\)</c:formatCode>
                <c:ptCount val="5"/>
                <c:pt idx="0">
                  <c:v>0</c:v>
                </c:pt>
                <c:pt idx="1">
                  <c:v>0</c:v>
                </c:pt>
                <c:pt idx="2">
                  <c:v>0</c:v>
                </c:pt>
                <c:pt idx="3" formatCode="General">
                  <c:v>0</c:v>
                </c:pt>
                <c:pt idx="4" formatCode="General">
                  <c:v>0</c:v>
                </c:pt>
              </c:numCache>
            </c:numRef>
          </c:val>
          <c:smooth val="0"/>
          <c:extLst>
            <c:ext xmlns:c16="http://schemas.microsoft.com/office/drawing/2014/chart" uri="{C3380CC4-5D6E-409C-BE32-E72D297353CC}">
              <c16:uniqueId val="{00000001-547D-41D8-991C-98155E1B26CD}"/>
            </c:ext>
          </c:extLst>
        </c:ser>
        <c:ser>
          <c:idx val="2"/>
          <c:order val="2"/>
          <c:tx>
            <c:strRef>
              <c:f>Infrastructure!$BP$38</c:f>
              <c:strCache>
                <c:ptCount val="1"/>
                <c:pt idx="0">
                  <c:v>Net Income (Loss)</c:v>
                </c:pt>
              </c:strCache>
            </c:strRef>
          </c:tx>
          <c:spPr>
            <a:ln w="28575" cap="rnd">
              <a:solidFill>
                <a:schemeClr val="accent3"/>
              </a:solidFill>
              <a:round/>
            </a:ln>
            <a:effectLst/>
          </c:spPr>
          <c:marker>
            <c:symbol val="none"/>
          </c:marker>
          <c:cat>
            <c:strRef>
              <c:f>Infrastructure!$BQ$35:$BU$35</c:f>
              <c:strCache>
                <c:ptCount val="5"/>
                <c:pt idx="0">
                  <c:v>Year 1</c:v>
                </c:pt>
                <c:pt idx="1">
                  <c:v>Year 2</c:v>
                </c:pt>
                <c:pt idx="2">
                  <c:v>Year 3</c:v>
                </c:pt>
                <c:pt idx="3">
                  <c:v>Year 4</c:v>
                </c:pt>
                <c:pt idx="4">
                  <c:v>Year 5</c:v>
                </c:pt>
              </c:strCache>
            </c:strRef>
          </c:cat>
          <c:val>
            <c:numRef>
              <c:f>Infrastructure!$BQ$38:$BU$38</c:f>
              <c:numCache>
                <c:formatCode>"$"#,##0_);\("$"#,##0\)</c:formatCode>
                <c:ptCount val="5"/>
                <c:pt idx="0">
                  <c:v>0</c:v>
                </c:pt>
                <c:pt idx="1">
                  <c:v>0</c:v>
                </c:pt>
                <c:pt idx="2">
                  <c:v>0</c:v>
                </c:pt>
                <c:pt idx="3" formatCode="General">
                  <c:v>0</c:v>
                </c:pt>
                <c:pt idx="4" formatCode="General">
                  <c:v>0</c:v>
                </c:pt>
              </c:numCache>
            </c:numRef>
          </c:val>
          <c:smooth val="0"/>
          <c:extLst>
            <c:ext xmlns:c16="http://schemas.microsoft.com/office/drawing/2014/chart" uri="{C3380CC4-5D6E-409C-BE32-E72D297353CC}">
              <c16:uniqueId val="{00000002-547D-41D8-991C-98155E1B26CD}"/>
            </c:ext>
          </c:extLst>
        </c:ser>
        <c:dLbls>
          <c:showLegendKey val="0"/>
          <c:showVal val="0"/>
          <c:showCatName val="0"/>
          <c:showSerName val="0"/>
          <c:showPercent val="0"/>
          <c:showBubbleSize val="0"/>
        </c:dLbls>
        <c:smooth val="0"/>
        <c:axId val="185132448"/>
        <c:axId val="185148672"/>
      </c:lineChart>
      <c:catAx>
        <c:axId val="185132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5148672"/>
        <c:crosses val="autoZero"/>
        <c:auto val="1"/>
        <c:lblAlgn val="ctr"/>
        <c:lblOffset val="100"/>
        <c:noMultiLvlLbl val="1"/>
      </c:catAx>
      <c:valAx>
        <c:axId val="18514867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_);\(&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51324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none"/>
          </c:marker>
          <c:cat>
            <c:strRef>
              <c:f>Infrastructure!$BQ$35:$BU$35</c:f>
              <c:strCache>
                <c:ptCount val="5"/>
                <c:pt idx="0">
                  <c:v>Year 1</c:v>
                </c:pt>
                <c:pt idx="1">
                  <c:v>Year 2</c:v>
                </c:pt>
                <c:pt idx="2">
                  <c:v>Year 3</c:v>
                </c:pt>
                <c:pt idx="3">
                  <c:v>Year 4</c:v>
                </c:pt>
                <c:pt idx="4">
                  <c:v>Year 5</c:v>
                </c:pt>
              </c:strCache>
            </c:strRef>
          </c:cat>
          <c:val>
            <c:numRef>
              <c:f>Infrastructure!$BQ$36:$BU$36</c:f>
              <c:numCache>
                <c:formatCode>"$"#,##0_);\("$"#,##0\)</c:formatCode>
                <c:ptCount val="5"/>
                <c:pt idx="0">
                  <c:v>0</c:v>
                </c:pt>
                <c:pt idx="1">
                  <c:v>0</c:v>
                </c:pt>
                <c:pt idx="2">
                  <c:v>0</c:v>
                </c:pt>
                <c:pt idx="3" formatCode="General">
                  <c:v>0</c:v>
                </c:pt>
                <c:pt idx="4" formatCode="General">
                  <c:v>0</c:v>
                </c:pt>
              </c:numCache>
            </c:numRef>
          </c:val>
          <c:smooth val="0"/>
          <c:extLst>
            <c:ext xmlns:c16="http://schemas.microsoft.com/office/drawing/2014/chart" uri="{C3380CC4-5D6E-409C-BE32-E72D297353CC}">
              <c16:uniqueId val="{00000000-4FBC-47BB-A4C9-7957771AFDED}"/>
            </c:ext>
          </c:extLst>
        </c:ser>
        <c:ser>
          <c:idx val="1"/>
          <c:order val="1"/>
          <c:spPr>
            <a:ln w="28575" cap="rnd">
              <a:solidFill>
                <a:schemeClr val="accent2"/>
              </a:solidFill>
              <a:round/>
            </a:ln>
            <a:effectLst/>
          </c:spPr>
          <c:marker>
            <c:symbol val="none"/>
          </c:marker>
          <c:cat>
            <c:strRef>
              <c:f>Infrastructure!$BQ$35:$BU$35</c:f>
              <c:strCache>
                <c:ptCount val="5"/>
                <c:pt idx="0">
                  <c:v>Year 1</c:v>
                </c:pt>
                <c:pt idx="1">
                  <c:v>Year 2</c:v>
                </c:pt>
                <c:pt idx="2">
                  <c:v>Year 3</c:v>
                </c:pt>
                <c:pt idx="3">
                  <c:v>Year 4</c:v>
                </c:pt>
                <c:pt idx="4">
                  <c:v>Year 5</c:v>
                </c:pt>
              </c:strCache>
            </c:strRef>
          </c:cat>
          <c:val>
            <c:numRef>
              <c:f>Infrastructure!$BQ$37:$BU$37</c:f>
              <c:numCache>
                <c:formatCode>"$"#,##0_);\("$"#,##0\)</c:formatCode>
                <c:ptCount val="5"/>
                <c:pt idx="0">
                  <c:v>0</c:v>
                </c:pt>
                <c:pt idx="1">
                  <c:v>0</c:v>
                </c:pt>
                <c:pt idx="2">
                  <c:v>0</c:v>
                </c:pt>
                <c:pt idx="3" formatCode="General">
                  <c:v>0</c:v>
                </c:pt>
                <c:pt idx="4" formatCode="General">
                  <c:v>0</c:v>
                </c:pt>
              </c:numCache>
            </c:numRef>
          </c:val>
          <c:smooth val="0"/>
          <c:extLst>
            <c:ext xmlns:c16="http://schemas.microsoft.com/office/drawing/2014/chart" uri="{C3380CC4-5D6E-409C-BE32-E72D297353CC}">
              <c16:uniqueId val="{00000001-4FBC-47BB-A4C9-7957771AFDED}"/>
            </c:ext>
          </c:extLst>
        </c:ser>
        <c:ser>
          <c:idx val="2"/>
          <c:order val="2"/>
          <c:spPr>
            <a:ln w="28575" cap="rnd">
              <a:solidFill>
                <a:schemeClr val="accent3"/>
              </a:solidFill>
              <a:round/>
            </a:ln>
            <a:effectLst/>
          </c:spPr>
          <c:marker>
            <c:symbol val="none"/>
          </c:marker>
          <c:cat>
            <c:strRef>
              <c:f>Infrastructure!$BQ$35:$BU$35</c:f>
              <c:strCache>
                <c:ptCount val="5"/>
                <c:pt idx="0">
                  <c:v>Year 1</c:v>
                </c:pt>
                <c:pt idx="1">
                  <c:v>Year 2</c:v>
                </c:pt>
                <c:pt idx="2">
                  <c:v>Year 3</c:v>
                </c:pt>
                <c:pt idx="3">
                  <c:v>Year 4</c:v>
                </c:pt>
                <c:pt idx="4">
                  <c:v>Year 5</c:v>
                </c:pt>
              </c:strCache>
            </c:strRef>
          </c:cat>
          <c:val>
            <c:numRef>
              <c:f>Infrastructure!$BQ$38:$BU$38</c:f>
              <c:numCache>
                <c:formatCode>"$"#,##0_);\("$"#,##0\)</c:formatCode>
                <c:ptCount val="5"/>
                <c:pt idx="0">
                  <c:v>0</c:v>
                </c:pt>
                <c:pt idx="1">
                  <c:v>0</c:v>
                </c:pt>
                <c:pt idx="2">
                  <c:v>0</c:v>
                </c:pt>
                <c:pt idx="3" formatCode="General">
                  <c:v>0</c:v>
                </c:pt>
                <c:pt idx="4" formatCode="General">
                  <c:v>0</c:v>
                </c:pt>
              </c:numCache>
            </c:numRef>
          </c:val>
          <c:smooth val="0"/>
          <c:extLst>
            <c:ext xmlns:c16="http://schemas.microsoft.com/office/drawing/2014/chart" uri="{C3380CC4-5D6E-409C-BE32-E72D297353CC}">
              <c16:uniqueId val="{00000002-4FBC-47BB-A4C9-7957771AFDED}"/>
            </c:ext>
          </c:extLst>
        </c:ser>
        <c:dLbls>
          <c:showLegendKey val="0"/>
          <c:showVal val="0"/>
          <c:showCatName val="0"/>
          <c:showSerName val="0"/>
          <c:showPercent val="0"/>
          <c:showBubbleSize val="0"/>
        </c:dLbls>
        <c:smooth val="0"/>
        <c:axId val="1343364576"/>
        <c:axId val="567219488"/>
      </c:lineChart>
      <c:catAx>
        <c:axId val="1343364576"/>
        <c:scaling>
          <c:orientation val="minMax"/>
        </c:scaling>
        <c:delete val="1"/>
        <c:axPos val="b"/>
        <c:numFmt formatCode="General" sourceLinked="1"/>
        <c:majorTickMark val="none"/>
        <c:minorTickMark val="none"/>
        <c:tickLblPos val="nextTo"/>
        <c:crossAx val="567219488"/>
        <c:crosses val="autoZero"/>
        <c:auto val="1"/>
        <c:lblAlgn val="ctr"/>
        <c:lblOffset val="100"/>
        <c:noMultiLvlLbl val="1"/>
      </c:catAx>
      <c:valAx>
        <c:axId val="567219488"/>
        <c:scaling>
          <c:orientation val="minMax"/>
        </c:scaling>
        <c:delete val="0"/>
        <c:axPos val="l"/>
        <c:majorGridlines>
          <c:spPr>
            <a:ln w="9525" cap="flat" cmpd="sng" algn="ctr">
              <a:solidFill>
                <a:schemeClr val="tx1">
                  <a:lumMod val="15000"/>
                  <a:lumOff val="85000"/>
                </a:schemeClr>
              </a:solidFill>
              <a:round/>
            </a:ln>
            <a:effectLst/>
          </c:spPr>
        </c:majorGridlines>
        <c:numFmt formatCode="&quot;$&quot;#,##0_);\(&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433645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'Street View'!$AV$1</c:f>
          <c:strCache>
            <c:ptCount val="1"/>
            <c:pt idx="0">
              <c:v> Cash Flow</c:v>
            </c:pt>
          </c:strCache>
        </c:strRef>
      </c:tx>
      <c:layout>
        <c:manualLayout>
          <c:xMode val="edge"/>
          <c:yMode val="edge"/>
          <c:x val="0.40077979957096349"/>
          <c:y val="8.2520549128889745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4.7127984756351236E-2"/>
          <c:y val="0.12350301891275936"/>
          <c:w val="0.94387956566157971"/>
          <c:h val="0.71742155687329212"/>
        </c:manualLayout>
      </c:layout>
      <c:barChart>
        <c:barDir val="col"/>
        <c:grouping val="clustered"/>
        <c:varyColors val="0"/>
        <c:ser>
          <c:idx val="0"/>
          <c:order val="0"/>
          <c:spPr>
            <a:solidFill>
              <a:srgbClr val="008000"/>
            </a:solidFill>
            <a:ln w="19050">
              <a:solidFill>
                <a:schemeClr val="tx1"/>
              </a:solidFill>
            </a:ln>
            <a:effectLst/>
          </c:spPr>
          <c:invertIfNegative val="1"/>
          <c:cat>
            <c:numRef>
              <c:f>Calcs!$I$28:$BP$28</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Calcs!$I$29:$BP$29</c:f>
              <c:numCache>
                <c:formatCode>"$"#,##0_);\("$"#,##0\)</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extLst>
            <c:ext xmlns:c14="http://schemas.microsoft.com/office/drawing/2007/8/2/chart" uri="{6F2FDCE9-48DA-4B69-8628-5D25D57E5C99}">
              <c14:invertSolidFillFmt>
                <c14:spPr xmlns:c14="http://schemas.microsoft.com/office/drawing/2007/8/2/chart">
                  <a:solidFill>
                    <a:srgbClr val="C00000"/>
                  </a:solidFill>
                  <a:ln w="19050">
                    <a:solidFill>
                      <a:schemeClr val="tx1"/>
                    </a:solidFill>
                  </a:ln>
                  <a:effectLst/>
                </c14:spPr>
              </c14:invertSolidFillFmt>
            </c:ext>
            <c:ext xmlns:c16="http://schemas.microsoft.com/office/drawing/2014/chart" uri="{C3380CC4-5D6E-409C-BE32-E72D297353CC}">
              <c16:uniqueId val="{00000000-1B2A-4D0C-A15C-32E2B25D662E}"/>
            </c:ext>
          </c:extLst>
        </c:ser>
        <c:dLbls>
          <c:showLegendKey val="0"/>
          <c:showVal val="0"/>
          <c:showCatName val="0"/>
          <c:showSerName val="0"/>
          <c:showPercent val="0"/>
          <c:showBubbleSize val="0"/>
        </c:dLbls>
        <c:gapWidth val="130"/>
        <c:overlap val="-27"/>
        <c:axId val="697891599"/>
        <c:axId val="697888687"/>
      </c:barChart>
      <c:dateAx>
        <c:axId val="697891599"/>
        <c:scaling>
          <c:orientation val="minMax"/>
        </c:scaling>
        <c:delete val="0"/>
        <c:axPos val="b"/>
        <c:numFmt formatCode="[$-409]mmm\-yy;@"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bg2">
                    <a:lumMod val="75000"/>
                  </a:schemeClr>
                </a:solidFill>
                <a:latin typeface="+mn-lt"/>
                <a:ea typeface="+mn-ea"/>
                <a:cs typeface="+mn-cs"/>
              </a:defRPr>
            </a:pPr>
            <a:endParaRPr lang="en-US"/>
          </a:p>
        </c:txPr>
        <c:crossAx val="697888687"/>
        <c:crosses val="autoZero"/>
        <c:auto val="1"/>
        <c:lblOffset val="100"/>
        <c:baseTimeUnit val="months"/>
      </c:dateAx>
      <c:valAx>
        <c:axId val="697888687"/>
        <c:scaling>
          <c:orientation val="minMax"/>
        </c:scaling>
        <c:delete val="0"/>
        <c:axPos val="l"/>
        <c:majorGridlines>
          <c:spPr>
            <a:ln w="0" cap="flat" cmpd="sng" algn="ctr">
              <a:solidFill>
                <a:schemeClr val="bg2"/>
              </a:solidFill>
              <a:round/>
            </a:ln>
            <a:effectLst/>
          </c:spPr>
        </c:majorGridlines>
        <c:numFmt formatCode="&quot;$&quot;#,##0_);\(&quot;$&quot;#,##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bg2">
                    <a:lumMod val="75000"/>
                  </a:schemeClr>
                </a:solidFill>
                <a:latin typeface="+mn-lt"/>
                <a:ea typeface="+mn-ea"/>
                <a:cs typeface="+mn-cs"/>
              </a:defRPr>
            </a:pPr>
            <a:endParaRPr lang="en-US"/>
          </a:p>
        </c:txPr>
        <c:crossAx val="697891599"/>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b="1">
          <a:solidFill>
            <a:schemeClr val="bg2">
              <a:lumMod val="90000"/>
            </a:schemeClr>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4.6160343859865088E-2"/>
          <c:y val="4.3591426071741032E-2"/>
          <c:w val="0.95247623360312794"/>
          <c:h val="0.92711619516615795"/>
        </c:manualLayout>
      </c:layout>
      <c:barChart>
        <c:barDir val="col"/>
        <c:grouping val="clustered"/>
        <c:varyColors val="0"/>
        <c:ser>
          <c:idx val="0"/>
          <c:order val="0"/>
          <c:spPr>
            <a:solidFill>
              <a:srgbClr val="009900"/>
            </a:solidFill>
            <a:ln>
              <a:solidFill>
                <a:schemeClr val="tx1"/>
              </a:solidFill>
              <a:bevel/>
            </a:ln>
            <a:effectLst>
              <a:glow>
                <a:schemeClr val="accent1"/>
              </a:glow>
              <a:outerShdw blurRad="40005" dist="22860" dir="5400000" algn="ctr" rotWithShape="0">
                <a:srgbClr val="000000">
                  <a:alpha val="35000"/>
                </a:srgbClr>
              </a:outerShdw>
            </a:effectLst>
            <a:scene3d>
              <a:camera prst="orthographicFront"/>
              <a:lightRig rig="threePt" dir="t">
                <a:rot lat="0" lon="0" rev="1200000"/>
              </a:lightRig>
            </a:scene3d>
            <a:sp3d>
              <a:bevelT w="63500" h="25400"/>
              <a:bevelB w="63500" h="25400"/>
            </a:sp3d>
          </c:spPr>
          <c:invertIfNegative val="0"/>
          <c:dPt>
            <c:idx val="58"/>
            <c:invertIfNegative val="0"/>
            <c:bubble3D val="0"/>
            <c:spPr>
              <a:solidFill>
                <a:srgbClr val="009900"/>
              </a:solidFill>
              <a:ln>
                <a:solidFill>
                  <a:schemeClr val="tx1"/>
                </a:solidFill>
                <a:bevel/>
              </a:ln>
              <a:effectLst>
                <a:glow>
                  <a:schemeClr val="accent1">
                    <a:alpha val="96000"/>
                  </a:schemeClr>
                </a:glow>
                <a:outerShdw blurRad="40005" dist="22860" dir="5400000" algn="ctr" rotWithShape="0">
                  <a:srgbClr val="000000">
                    <a:alpha val="35000"/>
                  </a:srgbClr>
                </a:outerShdw>
              </a:effectLst>
              <a:scene3d>
                <a:camera prst="orthographicFront"/>
                <a:lightRig rig="threePt" dir="t">
                  <a:rot lat="0" lon="0" rev="1200000"/>
                </a:lightRig>
              </a:scene3d>
              <a:sp3d>
                <a:bevelT w="63500" h="25400"/>
                <a:bevelB w="63500" h="25400"/>
              </a:sp3d>
            </c:spPr>
            <c:extLst>
              <c:ext xmlns:c16="http://schemas.microsoft.com/office/drawing/2014/chart" uri="{C3380CC4-5D6E-409C-BE32-E72D297353CC}">
                <c16:uniqueId val="{00000001-8762-40B6-9AB9-89A7D7954B03}"/>
              </c:ext>
            </c:extLst>
          </c:dPt>
          <c:cat>
            <c:numRef>
              <c:f>Calcs!$I$64:$BP$64</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Calcs!$I$65:$BP$65</c:f>
              <c:numCache>
                <c:formatCode>"$"#,##0_);\("$"#,##0\)</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extLst>
            <c:ext xmlns:c16="http://schemas.microsoft.com/office/drawing/2014/chart" uri="{C3380CC4-5D6E-409C-BE32-E72D297353CC}">
              <c16:uniqueId val="{00000002-8762-40B6-9AB9-89A7D7954B03}"/>
            </c:ext>
          </c:extLst>
        </c:ser>
        <c:ser>
          <c:idx val="1"/>
          <c:order val="1"/>
          <c:spPr>
            <a:solidFill>
              <a:srgbClr val="C63030"/>
            </a:solidFill>
            <a:ln cap="flat">
              <a:solidFill>
                <a:schemeClr val="tx1"/>
              </a:solidFill>
              <a:bevel/>
            </a:ln>
            <a:effectLst>
              <a:outerShdw blurRad="40005" dir="5400000" algn="ctr" rotWithShape="0">
                <a:srgbClr val="000000">
                  <a:alpha val="35000"/>
                </a:srgbClr>
              </a:outerShdw>
            </a:effectLst>
            <a:scene3d>
              <a:camera prst="orthographicFront"/>
              <a:lightRig rig="threePt" dir="t">
                <a:rot lat="0" lon="0" rev="1200000"/>
              </a:lightRig>
            </a:scene3d>
            <a:sp3d>
              <a:bevelT w="63500" h="25400"/>
              <a:bevelB w="63500" h="25400"/>
            </a:sp3d>
          </c:spPr>
          <c:invertIfNegative val="0"/>
          <c:dPt>
            <c:idx val="2"/>
            <c:invertIfNegative val="0"/>
            <c:bubble3D val="0"/>
            <c:extLst>
              <c:ext xmlns:c16="http://schemas.microsoft.com/office/drawing/2014/chart" uri="{C3380CC4-5D6E-409C-BE32-E72D297353CC}">
                <c16:uniqueId val="{00000003-8762-40B6-9AB9-89A7D7954B03}"/>
              </c:ext>
            </c:extLst>
          </c:dPt>
          <c:cat>
            <c:numRef>
              <c:f>Calcs!$I$64:$BP$64</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Calcs!$I$66:$BP$66</c:f>
              <c:numCache>
                <c:formatCode>"$"#,##0_);\("$"#,##0\)</c:formatCode>
                <c:ptCount val="6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numCache>
            </c:numRef>
          </c:val>
          <c:extLst>
            <c:ext xmlns:c16="http://schemas.microsoft.com/office/drawing/2014/chart" uri="{C3380CC4-5D6E-409C-BE32-E72D297353CC}">
              <c16:uniqueId val="{00000004-8762-40B6-9AB9-89A7D7954B03}"/>
            </c:ext>
          </c:extLst>
        </c:ser>
        <c:ser>
          <c:idx val="2"/>
          <c:order val="2"/>
          <c:spPr>
            <a:solidFill>
              <a:srgbClr val="00B0F0"/>
            </a:solidFill>
            <a:ln>
              <a:solidFill>
                <a:schemeClr val="tx1"/>
              </a:solidFill>
              <a:bevel/>
            </a:ln>
            <a:scene3d>
              <a:camera prst="orthographicFront"/>
              <a:lightRig rig="threePt" dir="t"/>
            </a:scene3d>
            <a:sp3d>
              <a:bevelT w="63500" h="25400"/>
              <a:bevelB w="63500" h="25400"/>
            </a:sp3d>
          </c:spPr>
          <c:invertIfNegative val="0"/>
          <c:dPt>
            <c:idx val="59"/>
            <c:invertIfNegative val="0"/>
            <c:bubble3D val="0"/>
            <c:spPr>
              <a:solidFill>
                <a:srgbClr val="00B0F0"/>
              </a:solidFill>
              <a:ln w="19050">
                <a:solidFill>
                  <a:schemeClr val="tx1"/>
                </a:solidFill>
                <a:bevel/>
              </a:ln>
              <a:effectLst>
                <a:glow>
                  <a:schemeClr val="accent1"/>
                </a:glow>
                <a:outerShdw blurRad="40005" dist="22860" dir="5400000" algn="ctr" rotWithShape="0">
                  <a:srgbClr val="000000">
                    <a:alpha val="35000"/>
                  </a:srgbClr>
                </a:outerShdw>
              </a:effectLst>
              <a:scene3d>
                <a:camera prst="orthographicFront"/>
                <a:lightRig rig="threePt" dir="t"/>
              </a:scene3d>
              <a:sp3d>
                <a:bevelT w="63500" h="25400"/>
                <a:bevelB w="63500" h="25400"/>
              </a:sp3d>
            </c:spPr>
            <c:extLst>
              <c:ext xmlns:c16="http://schemas.microsoft.com/office/drawing/2014/chart" uri="{C3380CC4-5D6E-409C-BE32-E72D297353CC}">
                <c16:uniqueId val="{00000006-8762-40B6-9AB9-89A7D7954B03}"/>
              </c:ext>
            </c:extLst>
          </c:dPt>
          <c:cat>
            <c:numRef>
              <c:f>Calcs!$I$64:$BP$64</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Calcs!$I$67:$BP$67</c:f>
              <c:numCache>
                <c:formatCode>"$"#,##0_);\("$"#,##0\)</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extLst>
            <c:ext xmlns:c16="http://schemas.microsoft.com/office/drawing/2014/chart" uri="{C3380CC4-5D6E-409C-BE32-E72D297353CC}">
              <c16:uniqueId val="{00000007-8762-40B6-9AB9-89A7D7954B03}"/>
            </c:ext>
          </c:extLst>
        </c:ser>
        <c:ser>
          <c:idx val="3"/>
          <c:order val="3"/>
          <c:spPr>
            <a:solidFill>
              <a:srgbClr val="FF9900"/>
            </a:solidFill>
            <a:ln>
              <a:solidFill>
                <a:schemeClr val="tx1"/>
              </a:solidFill>
              <a:bevel/>
            </a:ln>
            <a:effectLst>
              <a:outerShdw blurRad="40005" dist="22860" dir="5400000" algn="ctr" rotWithShape="0">
                <a:srgbClr val="000000">
                  <a:alpha val="35000"/>
                </a:srgbClr>
              </a:outerShdw>
            </a:effectLst>
            <a:scene3d>
              <a:camera prst="orthographicFront"/>
              <a:lightRig rig="threePt" dir="t"/>
            </a:scene3d>
            <a:sp3d>
              <a:bevelT w="63500" h="25400"/>
              <a:bevelB w="63500" h="25400"/>
            </a:sp3d>
          </c:spPr>
          <c:invertIfNegative val="0"/>
          <c:dPt>
            <c:idx val="2"/>
            <c:invertIfNegative val="0"/>
            <c:bubble3D val="0"/>
            <c:spPr>
              <a:solidFill>
                <a:srgbClr val="FF9900"/>
              </a:solidFill>
              <a:ln w="19050" cap="rnd">
                <a:solidFill>
                  <a:schemeClr val="tx1"/>
                </a:solidFill>
                <a:bevel/>
              </a:ln>
              <a:effectLst>
                <a:glow>
                  <a:schemeClr val="accent1"/>
                </a:glow>
                <a:outerShdw blurRad="40005" dist="22860" dir="5400000" algn="ctr" rotWithShape="0">
                  <a:srgbClr val="000000">
                    <a:alpha val="35000"/>
                  </a:srgbClr>
                </a:outerShdw>
                <a:softEdge rad="0"/>
              </a:effectLst>
              <a:scene3d>
                <a:camera prst="orthographicFront"/>
                <a:lightRig rig="threePt" dir="t"/>
              </a:scene3d>
              <a:sp3d>
                <a:bevelT w="63500" h="25400"/>
                <a:bevelB w="63500" h="25400"/>
              </a:sp3d>
            </c:spPr>
            <c:extLst>
              <c:ext xmlns:c16="http://schemas.microsoft.com/office/drawing/2014/chart" uri="{C3380CC4-5D6E-409C-BE32-E72D297353CC}">
                <c16:uniqueId val="{00000009-8762-40B6-9AB9-89A7D7954B03}"/>
              </c:ext>
            </c:extLst>
          </c:dPt>
          <c:dPt>
            <c:idx val="21"/>
            <c:invertIfNegative val="0"/>
            <c:bubble3D val="0"/>
            <c:extLst>
              <c:ext xmlns:c16="http://schemas.microsoft.com/office/drawing/2014/chart" uri="{C3380CC4-5D6E-409C-BE32-E72D297353CC}">
                <c16:uniqueId val="{0000000A-8762-40B6-9AB9-89A7D7954B03}"/>
              </c:ext>
            </c:extLst>
          </c:dPt>
          <c:cat>
            <c:numRef>
              <c:f>Calcs!$I$64:$BP$64</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Calcs!$I$68:$BP$68</c:f>
              <c:numCache>
                <c:formatCode>"$"#,##0_);\("$"#,##0\)</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extLst>
            <c:ext xmlns:c16="http://schemas.microsoft.com/office/drawing/2014/chart" uri="{C3380CC4-5D6E-409C-BE32-E72D297353CC}">
              <c16:uniqueId val="{0000000B-8762-40B6-9AB9-89A7D7954B03}"/>
            </c:ext>
          </c:extLst>
        </c:ser>
        <c:dLbls>
          <c:showLegendKey val="0"/>
          <c:showVal val="0"/>
          <c:showCatName val="0"/>
          <c:showSerName val="0"/>
          <c:showPercent val="0"/>
          <c:showBubbleSize val="0"/>
        </c:dLbls>
        <c:gapWidth val="40"/>
        <c:overlap val="100"/>
        <c:axId val="361267672"/>
        <c:axId val="361269240"/>
      </c:barChart>
      <c:dateAx>
        <c:axId val="361267672"/>
        <c:scaling>
          <c:orientation val="minMax"/>
        </c:scaling>
        <c:delete val="0"/>
        <c:axPos val="b"/>
        <c:numFmt formatCode="[$-409]mmm\-yy;@" sourceLinked="1"/>
        <c:majorTickMark val="out"/>
        <c:minorTickMark val="none"/>
        <c:tickLblPos val="low"/>
        <c:txPr>
          <a:bodyPr/>
          <a:lstStyle/>
          <a:p>
            <a:pPr>
              <a:defRPr sz="800" b="0"/>
            </a:pPr>
            <a:endParaRPr lang="en-US"/>
          </a:p>
        </c:txPr>
        <c:crossAx val="361269240"/>
        <c:crosses val="autoZero"/>
        <c:auto val="1"/>
        <c:lblOffset val="100"/>
        <c:baseTimeUnit val="months"/>
      </c:dateAx>
      <c:valAx>
        <c:axId val="361269240"/>
        <c:scaling>
          <c:orientation val="minMax"/>
        </c:scaling>
        <c:delete val="0"/>
        <c:axPos val="l"/>
        <c:majorGridlines>
          <c:spPr>
            <a:ln>
              <a:solidFill>
                <a:schemeClr val="bg2">
                  <a:lumMod val="75000"/>
                </a:schemeClr>
              </a:solidFill>
            </a:ln>
          </c:spPr>
        </c:majorGridlines>
        <c:numFmt formatCode="&quot;$&quot;#,##0_);\(&quot;$&quot;#,##0\)" sourceLinked="1"/>
        <c:majorTickMark val="out"/>
        <c:minorTickMark val="none"/>
        <c:tickLblPos val="nextTo"/>
        <c:txPr>
          <a:bodyPr/>
          <a:lstStyle/>
          <a:p>
            <a:pPr>
              <a:defRPr sz="900"/>
            </a:pPr>
            <a:endParaRPr lang="en-US"/>
          </a:p>
        </c:txPr>
        <c:crossAx val="361267672"/>
        <c:crosses val="autoZero"/>
        <c:crossBetween val="between"/>
      </c:valAx>
      <c:spPr>
        <a:noFill/>
        <a:ln>
          <a:noFill/>
        </a:ln>
      </c:spPr>
    </c:plotArea>
    <c:plotVisOnly val="1"/>
    <c:dispBlanksAs val="zero"/>
    <c:showDLblsOverMax val="0"/>
  </c:chart>
  <c:spPr>
    <a:noFill/>
    <a:ln>
      <a:noFill/>
    </a:ln>
  </c:spPr>
  <c:txPr>
    <a:bodyPr/>
    <a:lstStyle/>
    <a:p>
      <a:pPr>
        <a:defRPr b="1"/>
      </a:pPr>
      <a:endParaRPr lang="en-US"/>
    </a:p>
  </c:txPr>
  <c:printSettings>
    <c:headerFooter/>
    <c:pageMargins b="0.75" l="0.7" r="0.7" t="0.75" header="0.3" footer="0.3"/>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4.6160343859865088E-2"/>
          <c:y val="4.3591426071741032E-2"/>
          <c:w val="0.95247623360312794"/>
          <c:h val="0.92711619516615795"/>
        </c:manualLayout>
      </c:layout>
      <c:barChart>
        <c:barDir val="col"/>
        <c:grouping val="clustered"/>
        <c:varyColors val="0"/>
        <c:ser>
          <c:idx val="0"/>
          <c:order val="0"/>
          <c:spPr>
            <a:solidFill>
              <a:srgbClr val="009900"/>
            </a:solidFill>
            <a:ln>
              <a:solidFill>
                <a:schemeClr val="tx1"/>
              </a:solidFill>
              <a:bevel/>
            </a:ln>
            <a:effectLst>
              <a:glow>
                <a:schemeClr val="accent1"/>
              </a:glow>
              <a:outerShdw blurRad="40005" dist="22860" dir="5400000" algn="ctr" rotWithShape="0">
                <a:srgbClr val="000000">
                  <a:alpha val="35000"/>
                </a:srgbClr>
              </a:outerShdw>
            </a:effectLst>
            <a:scene3d>
              <a:camera prst="orthographicFront"/>
              <a:lightRig rig="threePt" dir="t">
                <a:rot lat="0" lon="0" rev="1200000"/>
              </a:lightRig>
            </a:scene3d>
            <a:sp3d>
              <a:bevelT w="63500" h="25400"/>
              <a:bevelB w="63500" h="25400"/>
            </a:sp3d>
          </c:spPr>
          <c:invertIfNegative val="0"/>
          <c:dPt>
            <c:idx val="58"/>
            <c:invertIfNegative val="0"/>
            <c:bubble3D val="0"/>
            <c:spPr>
              <a:solidFill>
                <a:srgbClr val="009900"/>
              </a:solidFill>
              <a:ln>
                <a:solidFill>
                  <a:schemeClr val="tx1"/>
                </a:solidFill>
                <a:bevel/>
              </a:ln>
              <a:effectLst>
                <a:glow>
                  <a:schemeClr val="accent1">
                    <a:alpha val="96000"/>
                  </a:schemeClr>
                </a:glow>
                <a:outerShdw blurRad="40005" dist="22860" dir="5400000" algn="ctr" rotWithShape="0">
                  <a:srgbClr val="000000">
                    <a:alpha val="35000"/>
                  </a:srgbClr>
                </a:outerShdw>
              </a:effectLst>
              <a:scene3d>
                <a:camera prst="orthographicFront"/>
                <a:lightRig rig="threePt" dir="t">
                  <a:rot lat="0" lon="0" rev="1200000"/>
                </a:lightRig>
              </a:scene3d>
              <a:sp3d>
                <a:bevelT w="63500" h="25400"/>
                <a:bevelB w="63500" h="25400"/>
              </a:sp3d>
            </c:spPr>
            <c:extLst>
              <c:ext xmlns:c16="http://schemas.microsoft.com/office/drawing/2014/chart" uri="{C3380CC4-5D6E-409C-BE32-E72D297353CC}">
                <c16:uniqueId val="{00000001-97E2-474E-B39B-80212F5627CA}"/>
              </c:ext>
            </c:extLst>
          </c:dPt>
          <c:cat>
            <c:numRef>
              <c:f>Calcs!$I$64:$BP$64</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Calcs!$I$65:$BP$65</c:f>
              <c:numCache>
                <c:formatCode>"$"#,##0_);\("$"#,##0\)</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extLst>
            <c:ext xmlns:c16="http://schemas.microsoft.com/office/drawing/2014/chart" uri="{C3380CC4-5D6E-409C-BE32-E72D297353CC}">
              <c16:uniqueId val="{00000002-97E2-474E-B39B-80212F5627CA}"/>
            </c:ext>
          </c:extLst>
        </c:ser>
        <c:ser>
          <c:idx val="1"/>
          <c:order val="1"/>
          <c:spPr>
            <a:solidFill>
              <a:srgbClr val="C63030"/>
            </a:solidFill>
            <a:ln cap="flat">
              <a:solidFill>
                <a:schemeClr val="tx1"/>
              </a:solidFill>
              <a:bevel/>
            </a:ln>
            <a:effectLst>
              <a:outerShdw blurRad="40005" dir="5400000" algn="ctr" rotWithShape="0">
                <a:srgbClr val="000000">
                  <a:alpha val="35000"/>
                </a:srgbClr>
              </a:outerShdw>
            </a:effectLst>
            <a:scene3d>
              <a:camera prst="orthographicFront"/>
              <a:lightRig rig="threePt" dir="t">
                <a:rot lat="0" lon="0" rev="1200000"/>
              </a:lightRig>
            </a:scene3d>
            <a:sp3d>
              <a:bevelT w="63500" h="25400"/>
              <a:bevelB w="63500" h="25400"/>
            </a:sp3d>
          </c:spPr>
          <c:invertIfNegative val="0"/>
          <c:dPt>
            <c:idx val="2"/>
            <c:invertIfNegative val="0"/>
            <c:bubble3D val="0"/>
            <c:extLst>
              <c:ext xmlns:c16="http://schemas.microsoft.com/office/drawing/2014/chart" uri="{C3380CC4-5D6E-409C-BE32-E72D297353CC}">
                <c16:uniqueId val="{00000003-97E2-474E-B39B-80212F5627CA}"/>
              </c:ext>
            </c:extLst>
          </c:dPt>
          <c:cat>
            <c:numRef>
              <c:f>Calcs!$I$64:$BP$64</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Calcs!$I$66:$BP$66</c:f>
              <c:numCache>
                <c:formatCode>"$"#,##0_);\("$"#,##0\)</c:formatCode>
                <c:ptCount val="6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numCache>
            </c:numRef>
          </c:val>
          <c:extLst>
            <c:ext xmlns:c16="http://schemas.microsoft.com/office/drawing/2014/chart" uri="{C3380CC4-5D6E-409C-BE32-E72D297353CC}">
              <c16:uniqueId val="{00000004-97E2-474E-B39B-80212F5627CA}"/>
            </c:ext>
          </c:extLst>
        </c:ser>
        <c:ser>
          <c:idx val="2"/>
          <c:order val="2"/>
          <c:spPr>
            <a:solidFill>
              <a:srgbClr val="00B0F0"/>
            </a:solidFill>
            <a:ln>
              <a:solidFill>
                <a:schemeClr val="tx1"/>
              </a:solidFill>
              <a:bevel/>
            </a:ln>
            <a:scene3d>
              <a:camera prst="orthographicFront"/>
              <a:lightRig rig="threePt" dir="t"/>
            </a:scene3d>
            <a:sp3d>
              <a:bevelT w="63500" h="25400"/>
              <a:bevelB w="63500" h="25400"/>
            </a:sp3d>
          </c:spPr>
          <c:invertIfNegative val="0"/>
          <c:dPt>
            <c:idx val="59"/>
            <c:invertIfNegative val="0"/>
            <c:bubble3D val="0"/>
            <c:spPr>
              <a:solidFill>
                <a:srgbClr val="00B0F0"/>
              </a:solidFill>
              <a:ln w="19050">
                <a:solidFill>
                  <a:schemeClr val="tx1"/>
                </a:solidFill>
                <a:bevel/>
              </a:ln>
              <a:effectLst>
                <a:glow>
                  <a:schemeClr val="accent1"/>
                </a:glow>
                <a:outerShdw blurRad="40005" dist="22860" dir="5400000" algn="ctr" rotWithShape="0">
                  <a:srgbClr val="000000">
                    <a:alpha val="35000"/>
                  </a:srgbClr>
                </a:outerShdw>
              </a:effectLst>
              <a:scene3d>
                <a:camera prst="orthographicFront"/>
                <a:lightRig rig="threePt" dir="t"/>
              </a:scene3d>
              <a:sp3d>
                <a:bevelT w="63500" h="25400"/>
                <a:bevelB w="63500" h="25400"/>
              </a:sp3d>
            </c:spPr>
            <c:extLst>
              <c:ext xmlns:c16="http://schemas.microsoft.com/office/drawing/2014/chart" uri="{C3380CC4-5D6E-409C-BE32-E72D297353CC}">
                <c16:uniqueId val="{00000006-97E2-474E-B39B-80212F5627CA}"/>
              </c:ext>
            </c:extLst>
          </c:dPt>
          <c:cat>
            <c:numRef>
              <c:f>Calcs!$I$64:$BP$64</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Calcs!$I$67:$BP$67</c:f>
              <c:numCache>
                <c:formatCode>"$"#,##0_);\("$"#,##0\)</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extLst>
            <c:ext xmlns:c16="http://schemas.microsoft.com/office/drawing/2014/chart" uri="{C3380CC4-5D6E-409C-BE32-E72D297353CC}">
              <c16:uniqueId val="{00000007-97E2-474E-B39B-80212F5627CA}"/>
            </c:ext>
          </c:extLst>
        </c:ser>
        <c:ser>
          <c:idx val="3"/>
          <c:order val="3"/>
          <c:spPr>
            <a:solidFill>
              <a:srgbClr val="FF9900"/>
            </a:solidFill>
            <a:ln>
              <a:solidFill>
                <a:schemeClr val="tx1"/>
              </a:solidFill>
              <a:bevel/>
            </a:ln>
            <a:effectLst>
              <a:outerShdw blurRad="40005" dist="22860" dir="5400000" algn="ctr" rotWithShape="0">
                <a:srgbClr val="000000">
                  <a:alpha val="35000"/>
                </a:srgbClr>
              </a:outerShdw>
            </a:effectLst>
            <a:scene3d>
              <a:camera prst="orthographicFront"/>
              <a:lightRig rig="threePt" dir="t"/>
            </a:scene3d>
            <a:sp3d>
              <a:bevelT w="63500" h="25400"/>
              <a:bevelB w="63500" h="25400"/>
            </a:sp3d>
          </c:spPr>
          <c:invertIfNegative val="0"/>
          <c:dPt>
            <c:idx val="2"/>
            <c:invertIfNegative val="0"/>
            <c:bubble3D val="0"/>
            <c:spPr>
              <a:solidFill>
                <a:srgbClr val="FF9900"/>
              </a:solidFill>
              <a:ln w="19050" cap="rnd">
                <a:solidFill>
                  <a:schemeClr val="tx1"/>
                </a:solidFill>
                <a:bevel/>
              </a:ln>
              <a:effectLst>
                <a:glow>
                  <a:schemeClr val="accent1"/>
                </a:glow>
                <a:outerShdw blurRad="40005" dist="22860" dir="5400000" algn="ctr" rotWithShape="0">
                  <a:srgbClr val="000000">
                    <a:alpha val="35000"/>
                  </a:srgbClr>
                </a:outerShdw>
                <a:softEdge rad="0"/>
              </a:effectLst>
              <a:scene3d>
                <a:camera prst="orthographicFront"/>
                <a:lightRig rig="threePt" dir="t"/>
              </a:scene3d>
              <a:sp3d>
                <a:bevelT w="63500" h="25400"/>
                <a:bevelB w="63500" h="25400"/>
              </a:sp3d>
            </c:spPr>
            <c:extLst>
              <c:ext xmlns:c16="http://schemas.microsoft.com/office/drawing/2014/chart" uri="{C3380CC4-5D6E-409C-BE32-E72D297353CC}">
                <c16:uniqueId val="{00000009-97E2-474E-B39B-80212F5627CA}"/>
              </c:ext>
            </c:extLst>
          </c:dPt>
          <c:dPt>
            <c:idx val="21"/>
            <c:invertIfNegative val="0"/>
            <c:bubble3D val="0"/>
            <c:extLst>
              <c:ext xmlns:c16="http://schemas.microsoft.com/office/drawing/2014/chart" uri="{C3380CC4-5D6E-409C-BE32-E72D297353CC}">
                <c16:uniqueId val="{0000000A-97E2-474E-B39B-80212F5627CA}"/>
              </c:ext>
            </c:extLst>
          </c:dPt>
          <c:cat>
            <c:numRef>
              <c:f>Calcs!$I$64:$BP$64</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Calcs!$I$68:$BP$68</c:f>
              <c:numCache>
                <c:formatCode>"$"#,##0_);\("$"#,##0\)</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extLst>
            <c:ext xmlns:c16="http://schemas.microsoft.com/office/drawing/2014/chart" uri="{C3380CC4-5D6E-409C-BE32-E72D297353CC}">
              <c16:uniqueId val="{0000000B-97E2-474E-B39B-80212F5627CA}"/>
            </c:ext>
          </c:extLst>
        </c:ser>
        <c:dLbls>
          <c:showLegendKey val="0"/>
          <c:showVal val="0"/>
          <c:showCatName val="0"/>
          <c:showSerName val="0"/>
          <c:showPercent val="0"/>
          <c:showBubbleSize val="0"/>
        </c:dLbls>
        <c:gapWidth val="40"/>
        <c:overlap val="100"/>
        <c:axId val="361267672"/>
        <c:axId val="361269240"/>
      </c:barChart>
      <c:dateAx>
        <c:axId val="361267672"/>
        <c:scaling>
          <c:orientation val="minMax"/>
        </c:scaling>
        <c:delete val="0"/>
        <c:axPos val="b"/>
        <c:numFmt formatCode="[$-409]mmm\-yy;@" sourceLinked="1"/>
        <c:majorTickMark val="out"/>
        <c:minorTickMark val="none"/>
        <c:tickLblPos val="low"/>
        <c:txPr>
          <a:bodyPr/>
          <a:lstStyle/>
          <a:p>
            <a:pPr>
              <a:defRPr sz="800" b="0"/>
            </a:pPr>
            <a:endParaRPr lang="en-US"/>
          </a:p>
        </c:txPr>
        <c:crossAx val="361269240"/>
        <c:crosses val="autoZero"/>
        <c:auto val="1"/>
        <c:lblOffset val="100"/>
        <c:baseTimeUnit val="months"/>
      </c:dateAx>
      <c:valAx>
        <c:axId val="361269240"/>
        <c:scaling>
          <c:orientation val="minMax"/>
        </c:scaling>
        <c:delete val="0"/>
        <c:axPos val="l"/>
        <c:majorGridlines>
          <c:spPr>
            <a:ln>
              <a:solidFill>
                <a:schemeClr val="bg2">
                  <a:lumMod val="75000"/>
                </a:schemeClr>
              </a:solidFill>
            </a:ln>
          </c:spPr>
        </c:majorGridlines>
        <c:numFmt formatCode="&quot;$&quot;#,##0_);\(&quot;$&quot;#,##0\)" sourceLinked="1"/>
        <c:majorTickMark val="out"/>
        <c:minorTickMark val="none"/>
        <c:tickLblPos val="nextTo"/>
        <c:txPr>
          <a:bodyPr/>
          <a:lstStyle/>
          <a:p>
            <a:pPr>
              <a:defRPr sz="900"/>
            </a:pPr>
            <a:endParaRPr lang="en-US"/>
          </a:p>
        </c:txPr>
        <c:crossAx val="361267672"/>
        <c:crosses val="autoZero"/>
        <c:crossBetween val="between"/>
      </c:valAx>
      <c:spPr>
        <a:noFill/>
        <a:ln>
          <a:noFill/>
        </a:ln>
      </c:spPr>
    </c:plotArea>
    <c:plotVisOnly val="1"/>
    <c:dispBlanksAs val="zero"/>
    <c:showDLblsOverMax val="0"/>
  </c:chart>
  <c:spPr>
    <a:noFill/>
    <a:ln>
      <a:noFill/>
    </a:ln>
  </c:spPr>
  <c:txPr>
    <a:bodyPr/>
    <a:lstStyle/>
    <a:p>
      <a:pPr>
        <a:defRPr b="1"/>
      </a:pPr>
      <a:endParaRPr lang="en-US"/>
    </a:p>
  </c:txPr>
  <c:printSettings>
    <c:headerFooter/>
    <c:pageMargins b="0.75" l="0.7" r="0.7" t="0.75"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4.6160343859865088E-2"/>
          <c:y val="4.3591426071741032E-2"/>
          <c:w val="0.95247623360312794"/>
          <c:h val="0.92711619516615795"/>
        </c:manualLayout>
      </c:layout>
      <c:barChart>
        <c:barDir val="col"/>
        <c:grouping val="clustered"/>
        <c:varyColors val="0"/>
        <c:ser>
          <c:idx val="0"/>
          <c:order val="0"/>
          <c:spPr>
            <a:solidFill>
              <a:srgbClr val="009900"/>
            </a:solidFill>
            <a:ln>
              <a:solidFill>
                <a:schemeClr val="tx1"/>
              </a:solidFill>
              <a:bevel/>
            </a:ln>
            <a:effectLst>
              <a:glow>
                <a:schemeClr val="accent1"/>
              </a:glow>
              <a:outerShdw blurRad="40005" dist="22860" dir="5400000" algn="ctr" rotWithShape="0">
                <a:srgbClr val="000000">
                  <a:alpha val="35000"/>
                </a:srgbClr>
              </a:outerShdw>
            </a:effectLst>
            <a:scene3d>
              <a:camera prst="orthographicFront"/>
              <a:lightRig rig="threePt" dir="t">
                <a:rot lat="0" lon="0" rev="1200000"/>
              </a:lightRig>
            </a:scene3d>
            <a:sp3d>
              <a:bevelT w="63500" h="25400"/>
              <a:bevelB w="63500" h="25400"/>
            </a:sp3d>
          </c:spPr>
          <c:invertIfNegative val="0"/>
          <c:dPt>
            <c:idx val="58"/>
            <c:invertIfNegative val="0"/>
            <c:bubble3D val="0"/>
            <c:spPr>
              <a:solidFill>
                <a:srgbClr val="009900"/>
              </a:solidFill>
              <a:ln>
                <a:solidFill>
                  <a:schemeClr val="tx1"/>
                </a:solidFill>
                <a:bevel/>
              </a:ln>
              <a:effectLst>
                <a:glow>
                  <a:schemeClr val="accent1">
                    <a:alpha val="96000"/>
                  </a:schemeClr>
                </a:glow>
                <a:outerShdw blurRad="40005" dist="22860" dir="5400000" algn="ctr" rotWithShape="0">
                  <a:srgbClr val="000000">
                    <a:alpha val="35000"/>
                  </a:srgbClr>
                </a:outerShdw>
              </a:effectLst>
              <a:scene3d>
                <a:camera prst="orthographicFront"/>
                <a:lightRig rig="threePt" dir="t">
                  <a:rot lat="0" lon="0" rev="1200000"/>
                </a:lightRig>
              </a:scene3d>
              <a:sp3d>
                <a:bevelT w="63500" h="25400"/>
                <a:bevelB w="63500" h="25400"/>
              </a:sp3d>
            </c:spPr>
            <c:extLst>
              <c:ext xmlns:c16="http://schemas.microsoft.com/office/drawing/2014/chart" uri="{C3380CC4-5D6E-409C-BE32-E72D297353CC}">
                <c16:uniqueId val="{00000001-1F35-4C69-9F75-41A7EB06A46D}"/>
              </c:ext>
            </c:extLst>
          </c:dPt>
          <c:cat>
            <c:numRef>
              <c:f>Calcs!$I$112:$BP$112</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Calcs!$I$113:$BP$113</c:f>
              <c:numCache>
                <c:formatCode>"$"#,##0_);\("$"#,##0\)</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1000000</c:v>
                </c:pt>
                <c:pt idx="15">
                  <c:v>1000000</c:v>
                </c:pt>
                <c:pt idx="16">
                  <c:v>1000000</c:v>
                </c:pt>
                <c:pt idx="17">
                  <c:v>1000000</c:v>
                </c:pt>
                <c:pt idx="18">
                  <c:v>1000000</c:v>
                </c:pt>
                <c:pt idx="19">
                  <c:v>1000000</c:v>
                </c:pt>
                <c:pt idx="20">
                  <c:v>1000000</c:v>
                </c:pt>
                <c:pt idx="21">
                  <c:v>1000000</c:v>
                </c:pt>
                <c:pt idx="22">
                  <c:v>1000000</c:v>
                </c:pt>
                <c:pt idx="23">
                  <c:v>1000000</c:v>
                </c:pt>
                <c:pt idx="24">
                  <c:v>1000000</c:v>
                </c:pt>
                <c:pt idx="25">
                  <c:v>1000000</c:v>
                </c:pt>
                <c:pt idx="26">
                  <c:v>1000000</c:v>
                </c:pt>
                <c:pt idx="27">
                  <c:v>1000000</c:v>
                </c:pt>
                <c:pt idx="28">
                  <c:v>1000000</c:v>
                </c:pt>
                <c:pt idx="29">
                  <c:v>1000000</c:v>
                </c:pt>
                <c:pt idx="30">
                  <c:v>1000000</c:v>
                </c:pt>
                <c:pt idx="31">
                  <c:v>1000000</c:v>
                </c:pt>
                <c:pt idx="32">
                  <c:v>1000000</c:v>
                </c:pt>
                <c:pt idx="33">
                  <c:v>1000000</c:v>
                </c:pt>
                <c:pt idx="34">
                  <c:v>1000000</c:v>
                </c:pt>
                <c:pt idx="35">
                  <c:v>1000000</c:v>
                </c:pt>
                <c:pt idx="36">
                  <c:v>1000000</c:v>
                </c:pt>
                <c:pt idx="37">
                  <c:v>1000000</c:v>
                </c:pt>
                <c:pt idx="38">
                  <c:v>1000000</c:v>
                </c:pt>
                <c:pt idx="39">
                  <c:v>1000000</c:v>
                </c:pt>
                <c:pt idx="40">
                  <c:v>1000000</c:v>
                </c:pt>
                <c:pt idx="41">
                  <c:v>1000000</c:v>
                </c:pt>
                <c:pt idx="42">
                  <c:v>1000000</c:v>
                </c:pt>
                <c:pt idx="43">
                  <c:v>1000000</c:v>
                </c:pt>
                <c:pt idx="44">
                  <c:v>1000000</c:v>
                </c:pt>
                <c:pt idx="45">
                  <c:v>1000000</c:v>
                </c:pt>
                <c:pt idx="46">
                  <c:v>1000000</c:v>
                </c:pt>
                <c:pt idx="47">
                  <c:v>1000000</c:v>
                </c:pt>
                <c:pt idx="48">
                  <c:v>1000000</c:v>
                </c:pt>
                <c:pt idx="49">
                  <c:v>1000000</c:v>
                </c:pt>
                <c:pt idx="50">
                  <c:v>1000000</c:v>
                </c:pt>
                <c:pt idx="51">
                  <c:v>1000000</c:v>
                </c:pt>
                <c:pt idx="52">
                  <c:v>1000000</c:v>
                </c:pt>
                <c:pt idx="53">
                  <c:v>1000000</c:v>
                </c:pt>
                <c:pt idx="54">
                  <c:v>1000000</c:v>
                </c:pt>
                <c:pt idx="55">
                  <c:v>1000000</c:v>
                </c:pt>
                <c:pt idx="56">
                  <c:v>1000000</c:v>
                </c:pt>
                <c:pt idx="57">
                  <c:v>1000000</c:v>
                </c:pt>
                <c:pt idx="58">
                  <c:v>1000000</c:v>
                </c:pt>
                <c:pt idx="59">
                  <c:v>1000000</c:v>
                </c:pt>
              </c:numCache>
            </c:numRef>
          </c:val>
          <c:extLst>
            <c:ext xmlns:c16="http://schemas.microsoft.com/office/drawing/2014/chart" uri="{C3380CC4-5D6E-409C-BE32-E72D297353CC}">
              <c16:uniqueId val="{00000002-1F35-4C69-9F75-41A7EB06A46D}"/>
            </c:ext>
          </c:extLst>
        </c:ser>
        <c:ser>
          <c:idx val="1"/>
          <c:order val="1"/>
          <c:spPr>
            <a:solidFill>
              <a:srgbClr val="C63030"/>
            </a:solidFill>
            <a:ln cap="flat">
              <a:solidFill>
                <a:schemeClr val="tx1"/>
              </a:solidFill>
              <a:bevel/>
            </a:ln>
            <a:effectLst>
              <a:outerShdw blurRad="40005" dir="5400000" algn="ctr" rotWithShape="0">
                <a:srgbClr val="000000">
                  <a:alpha val="35000"/>
                </a:srgbClr>
              </a:outerShdw>
            </a:effectLst>
            <a:scene3d>
              <a:camera prst="orthographicFront"/>
              <a:lightRig rig="threePt" dir="t">
                <a:rot lat="0" lon="0" rev="1200000"/>
              </a:lightRig>
            </a:scene3d>
            <a:sp3d>
              <a:bevelT w="63500" h="25400"/>
              <a:bevelB w="63500" h="25400"/>
            </a:sp3d>
          </c:spPr>
          <c:invertIfNegative val="0"/>
          <c:dPt>
            <c:idx val="2"/>
            <c:invertIfNegative val="0"/>
            <c:bubble3D val="0"/>
            <c:extLst>
              <c:ext xmlns:c16="http://schemas.microsoft.com/office/drawing/2014/chart" uri="{C3380CC4-5D6E-409C-BE32-E72D297353CC}">
                <c16:uniqueId val="{00000003-1F35-4C69-9F75-41A7EB06A46D}"/>
              </c:ext>
            </c:extLst>
          </c:dPt>
          <c:cat>
            <c:numRef>
              <c:f>Calcs!$I$112:$BP$112</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Calcs!$I$114:$BP$114</c:f>
              <c:numCache>
                <c:formatCode>"$"#,##0_);\("$"#,##0\)</c:formatCode>
                <c:ptCount val="6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numCache>
            </c:numRef>
          </c:val>
          <c:extLst>
            <c:ext xmlns:c16="http://schemas.microsoft.com/office/drawing/2014/chart" uri="{C3380CC4-5D6E-409C-BE32-E72D297353CC}">
              <c16:uniqueId val="{00000004-1F35-4C69-9F75-41A7EB06A46D}"/>
            </c:ext>
          </c:extLst>
        </c:ser>
        <c:ser>
          <c:idx val="2"/>
          <c:order val="2"/>
          <c:spPr>
            <a:solidFill>
              <a:srgbClr val="00B0F0"/>
            </a:solidFill>
            <a:ln>
              <a:solidFill>
                <a:schemeClr val="tx1"/>
              </a:solidFill>
              <a:bevel/>
            </a:ln>
            <a:scene3d>
              <a:camera prst="orthographicFront"/>
              <a:lightRig rig="threePt" dir="t"/>
            </a:scene3d>
            <a:sp3d>
              <a:bevelT w="63500" h="25400"/>
              <a:bevelB w="63500" h="25400"/>
            </a:sp3d>
          </c:spPr>
          <c:invertIfNegative val="0"/>
          <c:dPt>
            <c:idx val="59"/>
            <c:invertIfNegative val="0"/>
            <c:bubble3D val="0"/>
            <c:spPr>
              <a:solidFill>
                <a:srgbClr val="00B0F0"/>
              </a:solidFill>
              <a:ln w="19050">
                <a:solidFill>
                  <a:schemeClr val="tx1"/>
                </a:solidFill>
                <a:bevel/>
              </a:ln>
              <a:effectLst>
                <a:glow>
                  <a:schemeClr val="accent1"/>
                </a:glow>
                <a:outerShdw blurRad="40005" dist="22860" dir="5400000" algn="ctr" rotWithShape="0">
                  <a:srgbClr val="000000">
                    <a:alpha val="35000"/>
                  </a:srgbClr>
                </a:outerShdw>
              </a:effectLst>
              <a:scene3d>
                <a:camera prst="orthographicFront"/>
                <a:lightRig rig="threePt" dir="t"/>
              </a:scene3d>
              <a:sp3d>
                <a:bevelT w="63500" h="25400"/>
                <a:bevelB w="63500" h="25400"/>
              </a:sp3d>
            </c:spPr>
            <c:extLst>
              <c:ext xmlns:c16="http://schemas.microsoft.com/office/drawing/2014/chart" uri="{C3380CC4-5D6E-409C-BE32-E72D297353CC}">
                <c16:uniqueId val="{00000006-1F35-4C69-9F75-41A7EB06A46D}"/>
              </c:ext>
            </c:extLst>
          </c:dPt>
          <c:cat>
            <c:numRef>
              <c:f>Calcs!$I$112:$BP$112</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Calcs!$I$115:$BP$115</c:f>
              <c:numCache>
                <c:formatCode>"$"#,##0_);\("$"#,##0\)</c:formatCode>
                <c:ptCount val="6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1000000</c:v>
                </c:pt>
                <c:pt idx="15">
                  <c:v>1000000</c:v>
                </c:pt>
                <c:pt idx="16">
                  <c:v>1000000</c:v>
                </c:pt>
                <c:pt idx="17">
                  <c:v>1000000</c:v>
                </c:pt>
                <c:pt idx="18">
                  <c:v>1000000</c:v>
                </c:pt>
                <c:pt idx="19">
                  <c:v>1000000</c:v>
                </c:pt>
                <c:pt idx="20">
                  <c:v>1000000</c:v>
                </c:pt>
                <c:pt idx="21">
                  <c:v>1000000</c:v>
                </c:pt>
                <c:pt idx="22">
                  <c:v>1000000</c:v>
                </c:pt>
                <c:pt idx="23">
                  <c:v>1000000</c:v>
                </c:pt>
                <c:pt idx="24">
                  <c:v>1000000</c:v>
                </c:pt>
                <c:pt idx="25">
                  <c:v>1000000</c:v>
                </c:pt>
                <c:pt idx="26">
                  <c:v>1000000</c:v>
                </c:pt>
                <c:pt idx="27">
                  <c:v>1000000</c:v>
                </c:pt>
                <c:pt idx="28">
                  <c:v>1000000</c:v>
                </c:pt>
                <c:pt idx="29">
                  <c:v>1000000</c:v>
                </c:pt>
                <c:pt idx="30">
                  <c:v>1000000</c:v>
                </c:pt>
                <c:pt idx="31">
                  <c:v>1000000</c:v>
                </c:pt>
                <c:pt idx="32">
                  <c:v>1000000</c:v>
                </c:pt>
                <c:pt idx="33">
                  <c:v>1000000</c:v>
                </c:pt>
                <c:pt idx="34">
                  <c:v>1000000</c:v>
                </c:pt>
                <c:pt idx="35">
                  <c:v>1000000</c:v>
                </c:pt>
                <c:pt idx="36">
                  <c:v>1000000</c:v>
                </c:pt>
                <c:pt idx="37">
                  <c:v>1000000</c:v>
                </c:pt>
                <c:pt idx="38">
                  <c:v>1000000</c:v>
                </c:pt>
                <c:pt idx="39">
                  <c:v>1000000</c:v>
                </c:pt>
                <c:pt idx="40">
                  <c:v>1000000</c:v>
                </c:pt>
                <c:pt idx="41">
                  <c:v>1000000</c:v>
                </c:pt>
                <c:pt idx="42">
                  <c:v>1000000</c:v>
                </c:pt>
                <c:pt idx="43">
                  <c:v>1000000</c:v>
                </c:pt>
                <c:pt idx="44">
                  <c:v>1000000</c:v>
                </c:pt>
                <c:pt idx="45">
                  <c:v>1000000</c:v>
                </c:pt>
                <c:pt idx="46">
                  <c:v>1000000</c:v>
                </c:pt>
                <c:pt idx="47">
                  <c:v>1000000</c:v>
                </c:pt>
                <c:pt idx="48">
                  <c:v>1000000</c:v>
                </c:pt>
                <c:pt idx="49">
                  <c:v>1000000</c:v>
                </c:pt>
                <c:pt idx="50">
                  <c:v>1000000</c:v>
                </c:pt>
                <c:pt idx="51">
                  <c:v>1000000</c:v>
                </c:pt>
                <c:pt idx="52">
                  <c:v>1000000</c:v>
                </c:pt>
                <c:pt idx="53">
                  <c:v>1000000</c:v>
                </c:pt>
                <c:pt idx="54">
                  <c:v>1000000</c:v>
                </c:pt>
                <c:pt idx="55">
                  <c:v>1000000</c:v>
                </c:pt>
                <c:pt idx="56">
                  <c:v>1000000</c:v>
                </c:pt>
                <c:pt idx="57">
                  <c:v>1000000</c:v>
                </c:pt>
                <c:pt idx="58">
                  <c:v>1000000</c:v>
                </c:pt>
                <c:pt idx="59">
                  <c:v>1000000</c:v>
                </c:pt>
              </c:numCache>
            </c:numRef>
          </c:val>
          <c:extLst>
            <c:ext xmlns:c16="http://schemas.microsoft.com/office/drawing/2014/chart" uri="{C3380CC4-5D6E-409C-BE32-E72D297353CC}">
              <c16:uniqueId val="{00000007-1F35-4C69-9F75-41A7EB06A46D}"/>
            </c:ext>
          </c:extLst>
        </c:ser>
        <c:ser>
          <c:idx val="3"/>
          <c:order val="3"/>
          <c:spPr>
            <a:solidFill>
              <a:srgbClr val="FF9900"/>
            </a:solidFill>
            <a:ln>
              <a:solidFill>
                <a:schemeClr val="tx1"/>
              </a:solidFill>
              <a:bevel/>
            </a:ln>
            <a:effectLst>
              <a:outerShdw blurRad="40005" dist="22860" dir="5400000" algn="ctr" rotWithShape="0">
                <a:srgbClr val="000000">
                  <a:alpha val="35000"/>
                </a:srgbClr>
              </a:outerShdw>
            </a:effectLst>
            <a:scene3d>
              <a:camera prst="orthographicFront"/>
              <a:lightRig rig="threePt" dir="t"/>
            </a:scene3d>
            <a:sp3d>
              <a:bevelT w="63500" h="25400"/>
              <a:bevelB w="63500" h="25400"/>
            </a:sp3d>
          </c:spPr>
          <c:invertIfNegative val="0"/>
          <c:dPt>
            <c:idx val="2"/>
            <c:invertIfNegative val="0"/>
            <c:bubble3D val="0"/>
            <c:spPr>
              <a:solidFill>
                <a:srgbClr val="FF9900"/>
              </a:solidFill>
              <a:ln w="19050" cap="rnd">
                <a:solidFill>
                  <a:schemeClr val="tx1"/>
                </a:solidFill>
                <a:bevel/>
              </a:ln>
              <a:effectLst>
                <a:glow>
                  <a:schemeClr val="accent1"/>
                </a:glow>
                <a:outerShdw blurRad="40005" dist="22860" dir="5400000" algn="ctr" rotWithShape="0">
                  <a:srgbClr val="000000">
                    <a:alpha val="35000"/>
                  </a:srgbClr>
                </a:outerShdw>
                <a:softEdge rad="0"/>
              </a:effectLst>
              <a:scene3d>
                <a:camera prst="orthographicFront"/>
                <a:lightRig rig="threePt" dir="t"/>
              </a:scene3d>
              <a:sp3d>
                <a:bevelT w="63500" h="25400"/>
                <a:bevelB w="63500" h="25400"/>
              </a:sp3d>
            </c:spPr>
            <c:extLst>
              <c:ext xmlns:c16="http://schemas.microsoft.com/office/drawing/2014/chart" uri="{C3380CC4-5D6E-409C-BE32-E72D297353CC}">
                <c16:uniqueId val="{00000009-1F35-4C69-9F75-41A7EB06A46D}"/>
              </c:ext>
            </c:extLst>
          </c:dPt>
          <c:dPt>
            <c:idx val="21"/>
            <c:invertIfNegative val="0"/>
            <c:bubble3D val="0"/>
            <c:extLst>
              <c:ext xmlns:c16="http://schemas.microsoft.com/office/drawing/2014/chart" uri="{C3380CC4-5D6E-409C-BE32-E72D297353CC}">
                <c16:uniqueId val="{0000000A-1F35-4C69-9F75-41A7EB06A46D}"/>
              </c:ext>
            </c:extLst>
          </c:dPt>
          <c:cat>
            <c:numRef>
              <c:f>Calcs!$I$112:$BP$112</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Calcs!$I$116:$BP$116</c:f>
              <c:numCache>
                <c:formatCode>"$"#,##0_);\("$"#,##0\)</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numCache>
            </c:numRef>
          </c:val>
          <c:extLst>
            <c:ext xmlns:c16="http://schemas.microsoft.com/office/drawing/2014/chart" uri="{C3380CC4-5D6E-409C-BE32-E72D297353CC}">
              <c16:uniqueId val="{0000000B-1F35-4C69-9F75-41A7EB06A46D}"/>
            </c:ext>
          </c:extLst>
        </c:ser>
        <c:dLbls>
          <c:showLegendKey val="0"/>
          <c:showVal val="0"/>
          <c:showCatName val="0"/>
          <c:showSerName val="0"/>
          <c:showPercent val="0"/>
          <c:showBubbleSize val="0"/>
        </c:dLbls>
        <c:gapWidth val="40"/>
        <c:overlap val="100"/>
        <c:axId val="361267672"/>
        <c:axId val="361269240"/>
      </c:barChart>
      <c:dateAx>
        <c:axId val="361267672"/>
        <c:scaling>
          <c:orientation val="minMax"/>
        </c:scaling>
        <c:delete val="0"/>
        <c:axPos val="b"/>
        <c:numFmt formatCode="[$-409]mmm\-yy;@" sourceLinked="1"/>
        <c:majorTickMark val="out"/>
        <c:minorTickMark val="none"/>
        <c:tickLblPos val="low"/>
        <c:txPr>
          <a:bodyPr/>
          <a:lstStyle/>
          <a:p>
            <a:pPr>
              <a:defRPr sz="800" b="0"/>
            </a:pPr>
            <a:endParaRPr lang="en-US"/>
          </a:p>
        </c:txPr>
        <c:crossAx val="361269240"/>
        <c:crosses val="autoZero"/>
        <c:auto val="1"/>
        <c:lblOffset val="100"/>
        <c:baseTimeUnit val="months"/>
      </c:dateAx>
      <c:valAx>
        <c:axId val="361269240"/>
        <c:scaling>
          <c:orientation val="minMax"/>
        </c:scaling>
        <c:delete val="0"/>
        <c:axPos val="l"/>
        <c:majorGridlines>
          <c:spPr>
            <a:ln>
              <a:solidFill>
                <a:schemeClr val="bg2">
                  <a:lumMod val="75000"/>
                </a:schemeClr>
              </a:solidFill>
            </a:ln>
          </c:spPr>
        </c:majorGridlines>
        <c:numFmt formatCode="&quot;$&quot;#,##0_);\(&quot;$&quot;#,##0\)" sourceLinked="1"/>
        <c:majorTickMark val="out"/>
        <c:minorTickMark val="none"/>
        <c:tickLblPos val="nextTo"/>
        <c:txPr>
          <a:bodyPr/>
          <a:lstStyle/>
          <a:p>
            <a:pPr>
              <a:defRPr sz="900"/>
            </a:pPr>
            <a:endParaRPr lang="en-US"/>
          </a:p>
        </c:txPr>
        <c:crossAx val="361267672"/>
        <c:crosses val="autoZero"/>
        <c:crossBetween val="between"/>
      </c:valAx>
      <c:spPr>
        <a:noFill/>
        <a:ln>
          <a:noFill/>
        </a:ln>
      </c:spPr>
    </c:plotArea>
    <c:plotVisOnly val="1"/>
    <c:dispBlanksAs val="zero"/>
    <c:showDLblsOverMax val="0"/>
  </c:chart>
  <c:spPr>
    <a:noFill/>
    <a:ln>
      <a:noFill/>
    </a:ln>
  </c:spPr>
  <c:txPr>
    <a:bodyPr/>
    <a:lstStyle/>
    <a:p>
      <a:pPr>
        <a:defRPr b="1"/>
      </a:pPr>
      <a:endParaRPr lang="en-US"/>
    </a:p>
  </c:txPr>
  <c:printSettings>
    <c:headerFooter/>
    <c:pageMargins b="0.75" l="0.7" r="0.7" t="0.75" header="0.3" footer="0.3"/>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8.318180973840756E-3"/>
          <c:y val="4.3591426071741032E-2"/>
          <c:w val="0.98554249757754264"/>
          <c:h val="0.92711619516615795"/>
        </c:manualLayout>
      </c:layout>
      <c:barChart>
        <c:barDir val="col"/>
        <c:grouping val="clustered"/>
        <c:varyColors val="0"/>
        <c:ser>
          <c:idx val="0"/>
          <c:order val="0"/>
          <c:spPr>
            <a:solidFill>
              <a:srgbClr val="009900"/>
            </a:solidFill>
            <a:ln>
              <a:solidFill>
                <a:schemeClr val="tx1"/>
              </a:solidFill>
              <a:bevel/>
            </a:ln>
            <a:effectLst>
              <a:glow>
                <a:schemeClr val="accent1"/>
              </a:glow>
              <a:outerShdw blurRad="40005" dist="22860" dir="5400000" algn="ctr" rotWithShape="0">
                <a:srgbClr val="000000">
                  <a:alpha val="35000"/>
                </a:srgbClr>
              </a:outerShdw>
            </a:effectLst>
            <a:scene3d>
              <a:camera prst="orthographicFront"/>
              <a:lightRig rig="threePt" dir="t">
                <a:rot lat="0" lon="0" rev="1200000"/>
              </a:lightRig>
            </a:scene3d>
            <a:sp3d>
              <a:bevelT w="63500" h="25400"/>
              <a:bevelB w="63500" h="25400"/>
            </a:sp3d>
          </c:spPr>
          <c:invertIfNegative val="0"/>
          <c:dPt>
            <c:idx val="58"/>
            <c:invertIfNegative val="0"/>
            <c:bubble3D val="0"/>
            <c:spPr>
              <a:solidFill>
                <a:srgbClr val="009900"/>
              </a:solidFill>
              <a:ln>
                <a:solidFill>
                  <a:schemeClr val="tx1"/>
                </a:solidFill>
                <a:bevel/>
              </a:ln>
              <a:effectLst>
                <a:glow>
                  <a:schemeClr val="accent1">
                    <a:alpha val="96000"/>
                  </a:schemeClr>
                </a:glow>
                <a:outerShdw blurRad="40005" dist="22860" dir="5400000" algn="ctr" rotWithShape="0">
                  <a:srgbClr val="000000">
                    <a:alpha val="35000"/>
                  </a:srgbClr>
                </a:outerShdw>
              </a:effectLst>
              <a:scene3d>
                <a:camera prst="orthographicFront"/>
                <a:lightRig rig="threePt" dir="t">
                  <a:rot lat="0" lon="0" rev="1200000"/>
                </a:lightRig>
              </a:scene3d>
              <a:sp3d>
                <a:bevelT w="63500" h="25400"/>
                <a:bevelB w="63500" h="25400"/>
              </a:sp3d>
            </c:spPr>
            <c:extLst>
              <c:ext xmlns:c16="http://schemas.microsoft.com/office/drawing/2014/chart" uri="{C3380CC4-5D6E-409C-BE32-E72D297353CC}">
                <c16:uniqueId val="{00000001-7C0C-40D9-B7D2-3E4A92E79866}"/>
              </c:ext>
            </c:extLst>
          </c:dPt>
          <c:cat>
            <c:numRef>
              <c:f>Calcs!$I$70:$BP$70</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Calcs!$I$71:$BP$71</c:f>
              <c:numCache>
                <c:formatCode>"$"#,##0_);\("$"#,##0\)</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extLst>
            <c:ext xmlns:c16="http://schemas.microsoft.com/office/drawing/2014/chart" uri="{C3380CC4-5D6E-409C-BE32-E72D297353CC}">
              <c16:uniqueId val="{00000002-7C0C-40D9-B7D2-3E4A92E79866}"/>
            </c:ext>
          </c:extLst>
        </c:ser>
        <c:ser>
          <c:idx val="1"/>
          <c:order val="1"/>
          <c:spPr>
            <a:solidFill>
              <a:srgbClr val="C63030"/>
            </a:solidFill>
            <a:ln cap="flat">
              <a:solidFill>
                <a:schemeClr val="tx1"/>
              </a:solidFill>
              <a:bevel/>
            </a:ln>
            <a:effectLst>
              <a:outerShdw blurRad="40005" dir="5400000" algn="ctr" rotWithShape="0">
                <a:srgbClr val="000000">
                  <a:alpha val="35000"/>
                </a:srgbClr>
              </a:outerShdw>
            </a:effectLst>
            <a:scene3d>
              <a:camera prst="orthographicFront"/>
              <a:lightRig rig="threePt" dir="t">
                <a:rot lat="0" lon="0" rev="1200000"/>
              </a:lightRig>
            </a:scene3d>
            <a:sp3d>
              <a:bevelT w="63500" h="25400"/>
              <a:bevelB w="63500" h="25400"/>
            </a:sp3d>
          </c:spPr>
          <c:invertIfNegative val="0"/>
          <c:dPt>
            <c:idx val="2"/>
            <c:invertIfNegative val="0"/>
            <c:bubble3D val="0"/>
            <c:extLst>
              <c:ext xmlns:c16="http://schemas.microsoft.com/office/drawing/2014/chart" uri="{C3380CC4-5D6E-409C-BE32-E72D297353CC}">
                <c16:uniqueId val="{00000003-7C0C-40D9-B7D2-3E4A92E79866}"/>
              </c:ext>
            </c:extLst>
          </c:dPt>
          <c:cat>
            <c:numRef>
              <c:f>Calcs!$I$70:$BP$70</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Calcs!$I$72:$BP$72</c:f>
              <c:numCache>
                <c:formatCode>"$"#,##0_);\("$"#,##0\)</c:formatCode>
                <c:ptCount val="6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numCache>
            </c:numRef>
          </c:val>
          <c:extLst>
            <c:ext xmlns:c16="http://schemas.microsoft.com/office/drawing/2014/chart" uri="{C3380CC4-5D6E-409C-BE32-E72D297353CC}">
              <c16:uniqueId val="{00000004-7C0C-40D9-B7D2-3E4A92E79866}"/>
            </c:ext>
          </c:extLst>
        </c:ser>
        <c:ser>
          <c:idx val="2"/>
          <c:order val="2"/>
          <c:spPr>
            <a:solidFill>
              <a:srgbClr val="00B0F0"/>
            </a:solidFill>
            <a:ln>
              <a:solidFill>
                <a:schemeClr val="tx1"/>
              </a:solidFill>
              <a:bevel/>
            </a:ln>
            <a:scene3d>
              <a:camera prst="orthographicFront"/>
              <a:lightRig rig="threePt" dir="t"/>
            </a:scene3d>
            <a:sp3d>
              <a:bevelT w="63500" h="25400"/>
              <a:bevelB w="63500" h="25400"/>
            </a:sp3d>
          </c:spPr>
          <c:invertIfNegative val="0"/>
          <c:dPt>
            <c:idx val="59"/>
            <c:invertIfNegative val="0"/>
            <c:bubble3D val="0"/>
            <c:spPr>
              <a:solidFill>
                <a:srgbClr val="00B0F0"/>
              </a:solidFill>
              <a:ln w="19050">
                <a:solidFill>
                  <a:schemeClr val="tx1"/>
                </a:solidFill>
                <a:bevel/>
              </a:ln>
              <a:effectLst>
                <a:glow>
                  <a:schemeClr val="accent1"/>
                </a:glow>
                <a:outerShdw blurRad="40005" dist="22860" dir="5400000" algn="ctr" rotWithShape="0">
                  <a:srgbClr val="000000">
                    <a:alpha val="35000"/>
                  </a:srgbClr>
                </a:outerShdw>
              </a:effectLst>
              <a:scene3d>
                <a:camera prst="orthographicFront"/>
                <a:lightRig rig="threePt" dir="t"/>
              </a:scene3d>
              <a:sp3d>
                <a:bevelT w="63500" h="25400"/>
                <a:bevelB w="63500" h="25400"/>
              </a:sp3d>
            </c:spPr>
            <c:extLst>
              <c:ext xmlns:c16="http://schemas.microsoft.com/office/drawing/2014/chart" uri="{C3380CC4-5D6E-409C-BE32-E72D297353CC}">
                <c16:uniqueId val="{00000006-7C0C-40D9-B7D2-3E4A92E79866}"/>
              </c:ext>
            </c:extLst>
          </c:dPt>
          <c:cat>
            <c:numRef>
              <c:f>Calcs!$I$70:$BP$70</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Calcs!$I$73:$BP$73</c:f>
              <c:numCache>
                <c:formatCode>"$"#,##0_);\("$"#,##0\)</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extLst>
            <c:ext xmlns:c16="http://schemas.microsoft.com/office/drawing/2014/chart" uri="{C3380CC4-5D6E-409C-BE32-E72D297353CC}">
              <c16:uniqueId val="{00000007-7C0C-40D9-B7D2-3E4A92E79866}"/>
            </c:ext>
          </c:extLst>
        </c:ser>
        <c:ser>
          <c:idx val="3"/>
          <c:order val="3"/>
          <c:spPr>
            <a:solidFill>
              <a:srgbClr val="FF9900"/>
            </a:solidFill>
            <a:ln>
              <a:solidFill>
                <a:schemeClr val="tx1"/>
              </a:solidFill>
              <a:bevel/>
            </a:ln>
            <a:effectLst>
              <a:outerShdw blurRad="40005" dist="22860" dir="5400000" algn="ctr" rotWithShape="0">
                <a:srgbClr val="000000">
                  <a:alpha val="35000"/>
                </a:srgbClr>
              </a:outerShdw>
            </a:effectLst>
            <a:scene3d>
              <a:camera prst="orthographicFront"/>
              <a:lightRig rig="threePt" dir="t"/>
            </a:scene3d>
            <a:sp3d>
              <a:bevelT w="63500" h="25400"/>
              <a:bevelB w="63500" h="25400"/>
            </a:sp3d>
          </c:spPr>
          <c:invertIfNegative val="0"/>
          <c:dPt>
            <c:idx val="2"/>
            <c:invertIfNegative val="0"/>
            <c:bubble3D val="0"/>
            <c:spPr>
              <a:solidFill>
                <a:srgbClr val="FF9900"/>
              </a:solidFill>
              <a:ln w="19050" cap="rnd">
                <a:solidFill>
                  <a:schemeClr val="tx1"/>
                </a:solidFill>
                <a:bevel/>
              </a:ln>
              <a:effectLst>
                <a:glow>
                  <a:schemeClr val="accent1"/>
                </a:glow>
                <a:outerShdw blurRad="40005" dist="22860" dir="5400000" algn="ctr" rotWithShape="0">
                  <a:srgbClr val="000000">
                    <a:alpha val="35000"/>
                  </a:srgbClr>
                </a:outerShdw>
                <a:softEdge rad="0"/>
              </a:effectLst>
              <a:scene3d>
                <a:camera prst="orthographicFront"/>
                <a:lightRig rig="threePt" dir="t"/>
              </a:scene3d>
              <a:sp3d>
                <a:bevelT w="63500" h="25400"/>
                <a:bevelB w="63500" h="25400"/>
              </a:sp3d>
            </c:spPr>
            <c:extLst>
              <c:ext xmlns:c16="http://schemas.microsoft.com/office/drawing/2014/chart" uri="{C3380CC4-5D6E-409C-BE32-E72D297353CC}">
                <c16:uniqueId val="{00000009-7C0C-40D9-B7D2-3E4A92E79866}"/>
              </c:ext>
            </c:extLst>
          </c:dPt>
          <c:dPt>
            <c:idx val="21"/>
            <c:invertIfNegative val="0"/>
            <c:bubble3D val="0"/>
            <c:extLst>
              <c:ext xmlns:c16="http://schemas.microsoft.com/office/drawing/2014/chart" uri="{C3380CC4-5D6E-409C-BE32-E72D297353CC}">
                <c16:uniqueId val="{0000000A-7C0C-40D9-B7D2-3E4A92E79866}"/>
              </c:ext>
            </c:extLst>
          </c:dPt>
          <c:cat>
            <c:numRef>
              <c:f>Calcs!$I$70:$BP$70</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Calcs!$I$74:$BP$74</c:f>
              <c:numCache>
                <c:formatCode>"$"#,##0_);\("$"#,##0\)</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extLst>
            <c:ext xmlns:c16="http://schemas.microsoft.com/office/drawing/2014/chart" uri="{C3380CC4-5D6E-409C-BE32-E72D297353CC}">
              <c16:uniqueId val="{0000000B-7C0C-40D9-B7D2-3E4A92E79866}"/>
            </c:ext>
          </c:extLst>
        </c:ser>
        <c:dLbls>
          <c:showLegendKey val="0"/>
          <c:showVal val="0"/>
          <c:showCatName val="0"/>
          <c:showSerName val="0"/>
          <c:showPercent val="0"/>
          <c:showBubbleSize val="0"/>
        </c:dLbls>
        <c:gapWidth val="40"/>
        <c:overlap val="100"/>
        <c:axId val="361267672"/>
        <c:axId val="361269240"/>
      </c:barChart>
      <c:dateAx>
        <c:axId val="361267672"/>
        <c:scaling>
          <c:orientation val="minMax"/>
        </c:scaling>
        <c:delete val="0"/>
        <c:axPos val="b"/>
        <c:numFmt formatCode="[$-409]mmm\-yy;@" sourceLinked="1"/>
        <c:majorTickMark val="out"/>
        <c:minorTickMark val="none"/>
        <c:tickLblPos val="low"/>
        <c:txPr>
          <a:bodyPr/>
          <a:lstStyle/>
          <a:p>
            <a:pPr>
              <a:defRPr sz="800"/>
            </a:pPr>
            <a:endParaRPr lang="en-US"/>
          </a:p>
        </c:txPr>
        <c:crossAx val="361269240"/>
        <c:crosses val="autoZero"/>
        <c:auto val="1"/>
        <c:lblOffset val="100"/>
        <c:baseTimeUnit val="months"/>
      </c:dateAx>
      <c:valAx>
        <c:axId val="361269240"/>
        <c:scaling>
          <c:orientation val="minMax"/>
        </c:scaling>
        <c:delete val="0"/>
        <c:axPos val="l"/>
        <c:majorGridlines>
          <c:spPr>
            <a:ln>
              <a:solidFill>
                <a:schemeClr val="bg2">
                  <a:lumMod val="75000"/>
                </a:schemeClr>
              </a:solidFill>
            </a:ln>
          </c:spPr>
        </c:majorGridlines>
        <c:numFmt formatCode="&quot;$&quot;#,##0_);\(&quot;$&quot;#,##0\)" sourceLinked="1"/>
        <c:majorTickMark val="out"/>
        <c:minorTickMark val="none"/>
        <c:tickLblPos val="nextTo"/>
        <c:crossAx val="361267672"/>
        <c:crosses val="autoZero"/>
        <c:crossBetween val="between"/>
      </c:valAx>
      <c:spPr>
        <a:noFill/>
        <a:ln>
          <a:noFill/>
        </a:ln>
      </c:spPr>
    </c:plotArea>
    <c:plotVisOnly val="1"/>
    <c:dispBlanksAs val="zero"/>
    <c:showDLblsOverMax val="0"/>
  </c:chart>
  <c:spPr>
    <a:noFill/>
    <a:ln>
      <a:noFill/>
    </a:ln>
  </c:spPr>
  <c:txPr>
    <a:bodyPr/>
    <a:lstStyle/>
    <a:p>
      <a:pPr>
        <a:defRPr b="1"/>
      </a:pPr>
      <a:endParaRPr lang="en-US"/>
    </a:p>
  </c:txPr>
  <c:printSettings>
    <c:headerFooter/>
    <c:pageMargins b="0.75" l="0.7" r="0.7" t="0.75" header="0.3" footer="0.3"/>
    <c:pageSetup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8.318180973840756E-3"/>
          <c:y val="4.3591426071741032E-2"/>
          <c:w val="0.98554249757754264"/>
          <c:h val="0.92711619516615795"/>
        </c:manualLayout>
      </c:layout>
      <c:barChart>
        <c:barDir val="col"/>
        <c:grouping val="clustered"/>
        <c:varyColors val="0"/>
        <c:ser>
          <c:idx val="0"/>
          <c:order val="0"/>
          <c:spPr>
            <a:solidFill>
              <a:srgbClr val="009900"/>
            </a:solidFill>
            <a:ln>
              <a:solidFill>
                <a:schemeClr val="tx1"/>
              </a:solidFill>
              <a:bevel/>
            </a:ln>
            <a:effectLst>
              <a:glow>
                <a:schemeClr val="accent1"/>
              </a:glow>
              <a:outerShdw blurRad="40005" dist="22860" dir="5400000" algn="ctr" rotWithShape="0">
                <a:srgbClr val="000000">
                  <a:alpha val="35000"/>
                </a:srgbClr>
              </a:outerShdw>
            </a:effectLst>
            <a:scene3d>
              <a:camera prst="orthographicFront"/>
              <a:lightRig rig="threePt" dir="t">
                <a:rot lat="0" lon="0" rev="1200000"/>
              </a:lightRig>
            </a:scene3d>
            <a:sp3d>
              <a:bevelT w="63500" h="25400"/>
              <a:bevelB w="63500" h="25400"/>
            </a:sp3d>
          </c:spPr>
          <c:invertIfNegative val="0"/>
          <c:dPt>
            <c:idx val="58"/>
            <c:invertIfNegative val="0"/>
            <c:bubble3D val="0"/>
            <c:spPr>
              <a:solidFill>
                <a:srgbClr val="009900"/>
              </a:solidFill>
              <a:ln>
                <a:solidFill>
                  <a:schemeClr val="tx1"/>
                </a:solidFill>
                <a:bevel/>
              </a:ln>
              <a:effectLst>
                <a:glow>
                  <a:schemeClr val="accent1">
                    <a:alpha val="96000"/>
                  </a:schemeClr>
                </a:glow>
                <a:outerShdw blurRad="40005" dist="22860" dir="5400000" algn="ctr" rotWithShape="0">
                  <a:srgbClr val="000000">
                    <a:alpha val="35000"/>
                  </a:srgbClr>
                </a:outerShdw>
              </a:effectLst>
              <a:scene3d>
                <a:camera prst="orthographicFront"/>
                <a:lightRig rig="threePt" dir="t">
                  <a:rot lat="0" lon="0" rev="1200000"/>
                </a:lightRig>
              </a:scene3d>
              <a:sp3d>
                <a:bevelT w="63500" h="25400"/>
                <a:bevelB w="63500" h="25400"/>
              </a:sp3d>
            </c:spPr>
            <c:extLst>
              <c:ext xmlns:c16="http://schemas.microsoft.com/office/drawing/2014/chart" uri="{C3380CC4-5D6E-409C-BE32-E72D297353CC}">
                <c16:uniqueId val="{00000001-FE99-44ED-971F-912BF123AA9B}"/>
              </c:ext>
            </c:extLst>
          </c:dPt>
          <c:cat>
            <c:numRef>
              <c:f>Calcs!$I$83:$BP$83</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Calcs!$I$84:$BP$84</c:f>
              <c:numCache>
                <c:formatCode>"$"#,##0_);\("$"#,##0\)</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extLst>
            <c:ext xmlns:c16="http://schemas.microsoft.com/office/drawing/2014/chart" uri="{C3380CC4-5D6E-409C-BE32-E72D297353CC}">
              <c16:uniqueId val="{00000002-FE99-44ED-971F-912BF123AA9B}"/>
            </c:ext>
          </c:extLst>
        </c:ser>
        <c:ser>
          <c:idx val="1"/>
          <c:order val="1"/>
          <c:spPr>
            <a:solidFill>
              <a:srgbClr val="C63030"/>
            </a:solidFill>
            <a:ln cap="flat">
              <a:solidFill>
                <a:schemeClr val="tx1"/>
              </a:solidFill>
              <a:bevel/>
            </a:ln>
            <a:effectLst>
              <a:outerShdw blurRad="40005" dir="5400000" algn="ctr" rotWithShape="0">
                <a:srgbClr val="000000">
                  <a:alpha val="35000"/>
                </a:srgbClr>
              </a:outerShdw>
            </a:effectLst>
            <a:scene3d>
              <a:camera prst="orthographicFront"/>
              <a:lightRig rig="threePt" dir="t">
                <a:rot lat="0" lon="0" rev="1200000"/>
              </a:lightRig>
            </a:scene3d>
            <a:sp3d>
              <a:bevelT w="63500" h="25400"/>
              <a:bevelB w="63500" h="25400"/>
            </a:sp3d>
          </c:spPr>
          <c:invertIfNegative val="0"/>
          <c:dPt>
            <c:idx val="2"/>
            <c:invertIfNegative val="0"/>
            <c:bubble3D val="0"/>
            <c:extLst>
              <c:ext xmlns:c16="http://schemas.microsoft.com/office/drawing/2014/chart" uri="{C3380CC4-5D6E-409C-BE32-E72D297353CC}">
                <c16:uniqueId val="{00000003-FE99-44ED-971F-912BF123AA9B}"/>
              </c:ext>
            </c:extLst>
          </c:dPt>
          <c:cat>
            <c:numRef>
              <c:f>Calcs!$I$83:$BP$83</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Calcs!$I$85:$BP$85</c:f>
              <c:numCache>
                <c:formatCode>"$"#,##0_);\("$"#,##0\)</c:formatCode>
                <c:ptCount val="6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numCache>
            </c:numRef>
          </c:val>
          <c:extLst>
            <c:ext xmlns:c16="http://schemas.microsoft.com/office/drawing/2014/chart" uri="{C3380CC4-5D6E-409C-BE32-E72D297353CC}">
              <c16:uniqueId val="{00000004-FE99-44ED-971F-912BF123AA9B}"/>
            </c:ext>
          </c:extLst>
        </c:ser>
        <c:ser>
          <c:idx val="2"/>
          <c:order val="2"/>
          <c:spPr>
            <a:solidFill>
              <a:srgbClr val="00B0F0"/>
            </a:solidFill>
            <a:ln>
              <a:solidFill>
                <a:schemeClr val="tx1"/>
              </a:solidFill>
              <a:bevel/>
            </a:ln>
            <a:scene3d>
              <a:camera prst="orthographicFront"/>
              <a:lightRig rig="threePt" dir="t"/>
            </a:scene3d>
            <a:sp3d>
              <a:bevelT w="63500" h="25400"/>
              <a:bevelB w="63500" h="25400"/>
            </a:sp3d>
          </c:spPr>
          <c:invertIfNegative val="0"/>
          <c:dPt>
            <c:idx val="59"/>
            <c:invertIfNegative val="0"/>
            <c:bubble3D val="0"/>
            <c:spPr>
              <a:solidFill>
                <a:srgbClr val="00B0F0"/>
              </a:solidFill>
              <a:ln w="19050">
                <a:solidFill>
                  <a:schemeClr val="tx1"/>
                </a:solidFill>
                <a:bevel/>
              </a:ln>
              <a:effectLst>
                <a:glow>
                  <a:schemeClr val="accent1"/>
                </a:glow>
                <a:outerShdw blurRad="40005" dist="22860" dir="5400000" algn="ctr" rotWithShape="0">
                  <a:srgbClr val="000000">
                    <a:alpha val="35000"/>
                  </a:srgbClr>
                </a:outerShdw>
              </a:effectLst>
              <a:scene3d>
                <a:camera prst="orthographicFront"/>
                <a:lightRig rig="threePt" dir="t"/>
              </a:scene3d>
              <a:sp3d>
                <a:bevelT w="63500" h="25400"/>
                <a:bevelB w="63500" h="25400"/>
              </a:sp3d>
            </c:spPr>
            <c:extLst>
              <c:ext xmlns:c16="http://schemas.microsoft.com/office/drawing/2014/chart" uri="{C3380CC4-5D6E-409C-BE32-E72D297353CC}">
                <c16:uniqueId val="{00000006-FE99-44ED-971F-912BF123AA9B}"/>
              </c:ext>
            </c:extLst>
          </c:dPt>
          <c:cat>
            <c:numRef>
              <c:f>Calcs!$I$83:$BP$83</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Calcs!$I$86:$BP$86</c:f>
              <c:numCache>
                <c:formatCode>"$"#,##0_);\("$"#,##0\)</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extLst>
            <c:ext xmlns:c16="http://schemas.microsoft.com/office/drawing/2014/chart" uri="{C3380CC4-5D6E-409C-BE32-E72D297353CC}">
              <c16:uniqueId val="{00000007-FE99-44ED-971F-912BF123AA9B}"/>
            </c:ext>
          </c:extLst>
        </c:ser>
        <c:ser>
          <c:idx val="3"/>
          <c:order val="3"/>
          <c:spPr>
            <a:solidFill>
              <a:srgbClr val="FF9900"/>
            </a:solidFill>
            <a:ln>
              <a:solidFill>
                <a:schemeClr val="tx1"/>
              </a:solidFill>
              <a:bevel/>
            </a:ln>
            <a:effectLst>
              <a:outerShdw blurRad="40005" dist="22860" dir="5400000" algn="ctr" rotWithShape="0">
                <a:srgbClr val="000000">
                  <a:alpha val="35000"/>
                </a:srgbClr>
              </a:outerShdw>
            </a:effectLst>
            <a:scene3d>
              <a:camera prst="orthographicFront"/>
              <a:lightRig rig="threePt" dir="t"/>
            </a:scene3d>
            <a:sp3d>
              <a:bevelT w="63500" h="25400"/>
              <a:bevelB w="63500" h="25400"/>
            </a:sp3d>
          </c:spPr>
          <c:invertIfNegative val="0"/>
          <c:dPt>
            <c:idx val="2"/>
            <c:invertIfNegative val="0"/>
            <c:bubble3D val="0"/>
            <c:spPr>
              <a:solidFill>
                <a:srgbClr val="FF9900"/>
              </a:solidFill>
              <a:ln w="19050" cap="rnd">
                <a:solidFill>
                  <a:schemeClr val="tx1"/>
                </a:solidFill>
                <a:bevel/>
              </a:ln>
              <a:effectLst>
                <a:glow>
                  <a:schemeClr val="accent1"/>
                </a:glow>
                <a:outerShdw blurRad="40005" dist="22860" dir="5400000" algn="ctr" rotWithShape="0">
                  <a:srgbClr val="000000">
                    <a:alpha val="35000"/>
                  </a:srgbClr>
                </a:outerShdw>
                <a:softEdge rad="0"/>
              </a:effectLst>
              <a:scene3d>
                <a:camera prst="orthographicFront"/>
                <a:lightRig rig="threePt" dir="t"/>
              </a:scene3d>
              <a:sp3d>
                <a:bevelT w="63500" h="25400"/>
                <a:bevelB w="63500" h="25400"/>
              </a:sp3d>
            </c:spPr>
            <c:extLst>
              <c:ext xmlns:c16="http://schemas.microsoft.com/office/drawing/2014/chart" uri="{C3380CC4-5D6E-409C-BE32-E72D297353CC}">
                <c16:uniqueId val="{00000009-FE99-44ED-971F-912BF123AA9B}"/>
              </c:ext>
            </c:extLst>
          </c:dPt>
          <c:dPt>
            <c:idx val="21"/>
            <c:invertIfNegative val="0"/>
            <c:bubble3D val="0"/>
            <c:extLst>
              <c:ext xmlns:c16="http://schemas.microsoft.com/office/drawing/2014/chart" uri="{C3380CC4-5D6E-409C-BE32-E72D297353CC}">
                <c16:uniqueId val="{0000000A-FE99-44ED-971F-912BF123AA9B}"/>
              </c:ext>
            </c:extLst>
          </c:dPt>
          <c:cat>
            <c:numRef>
              <c:f>Calcs!$I$83:$BP$83</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Calcs!$I$87:$BP$87</c:f>
              <c:numCache>
                <c:formatCode>"$"#,##0_);\("$"#,##0\)</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extLst>
            <c:ext xmlns:c16="http://schemas.microsoft.com/office/drawing/2014/chart" uri="{C3380CC4-5D6E-409C-BE32-E72D297353CC}">
              <c16:uniqueId val="{0000000B-FE99-44ED-971F-912BF123AA9B}"/>
            </c:ext>
          </c:extLst>
        </c:ser>
        <c:dLbls>
          <c:showLegendKey val="0"/>
          <c:showVal val="0"/>
          <c:showCatName val="0"/>
          <c:showSerName val="0"/>
          <c:showPercent val="0"/>
          <c:showBubbleSize val="0"/>
        </c:dLbls>
        <c:gapWidth val="40"/>
        <c:overlap val="100"/>
        <c:axId val="361267672"/>
        <c:axId val="361269240"/>
      </c:barChart>
      <c:dateAx>
        <c:axId val="361267672"/>
        <c:scaling>
          <c:orientation val="minMax"/>
        </c:scaling>
        <c:delete val="0"/>
        <c:axPos val="b"/>
        <c:numFmt formatCode="[$-409]mmm\-yy;@" sourceLinked="1"/>
        <c:majorTickMark val="out"/>
        <c:minorTickMark val="none"/>
        <c:tickLblPos val="low"/>
        <c:txPr>
          <a:bodyPr/>
          <a:lstStyle/>
          <a:p>
            <a:pPr>
              <a:defRPr sz="800"/>
            </a:pPr>
            <a:endParaRPr lang="en-US"/>
          </a:p>
        </c:txPr>
        <c:crossAx val="361269240"/>
        <c:crosses val="autoZero"/>
        <c:auto val="1"/>
        <c:lblOffset val="100"/>
        <c:baseTimeUnit val="months"/>
      </c:dateAx>
      <c:valAx>
        <c:axId val="361269240"/>
        <c:scaling>
          <c:orientation val="minMax"/>
        </c:scaling>
        <c:delete val="0"/>
        <c:axPos val="l"/>
        <c:majorGridlines>
          <c:spPr>
            <a:ln>
              <a:solidFill>
                <a:schemeClr val="bg2">
                  <a:lumMod val="75000"/>
                </a:schemeClr>
              </a:solidFill>
            </a:ln>
          </c:spPr>
        </c:majorGridlines>
        <c:numFmt formatCode="&quot;$&quot;#,##0_);\(&quot;$&quot;#,##0\)" sourceLinked="1"/>
        <c:majorTickMark val="out"/>
        <c:minorTickMark val="none"/>
        <c:tickLblPos val="nextTo"/>
        <c:crossAx val="361267672"/>
        <c:crosses val="autoZero"/>
        <c:crossBetween val="between"/>
      </c:valAx>
      <c:spPr>
        <a:noFill/>
        <a:ln>
          <a:noFill/>
        </a:ln>
      </c:spPr>
    </c:plotArea>
    <c:plotVisOnly val="1"/>
    <c:dispBlanksAs val="zero"/>
    <c:showDLblsOverMax val="0"/>
  </c:chart>
  <c:spPr>
    <a:noFill/>
    <a:ln>
      <a:noFill/>
    </a:ln>
  </c:spPr>
  <c:txPr>
    <a:bodyPr/>
    <a:lstStyle/>
    <a:p>
      <a:pPr>
        <a:defRPr b="1"/>
      </a:pPr>
      <a:endParaRPr lang="en-US"/>
    </a:p>
  </c:txPr>
  <c:printSettings>
    <c:headerFooter/>
    <c:pageMargins b="0.75" l="0.7" r="0.7" t="0.75" header="0.3" footer="0.3"/>
    <c:pageSetup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EA1B-4D22-98C9-543ACAEE68DB}"/>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EA1B-4D22-98C9-543ACAEE68DB}"/>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EA1B-4D22-98C9-543ACAEE68DB}"/>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EA1B-4D22-98C9-543ACAEE68DB}"/>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EA1B-4D22-98C9-543ACAEE68DB}"/>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EA1B-4D22-98C9-543ACAEE68DB}"/>
              </c:ext>
            </c:extLst>
          </c:dPt>
          <c:cat>
            <c:strRef>
              <c:f>'Sources &amp; Uses'!$N$159:$N$164</c:f>
              <c:strCache>
                <c:ptCount val="6"/>
                <c:pt idx="0">
                  <c:v>Convertible Notes</c:v>
                </c:pt>
                <c:pt idx="1">
                  <c:v>Loans</c:v>
                </c:pt>
                <c:pt idx="2">
                  <c:v>SAFES</c:v>
                </c:pt>
                <c:pt idx="3">
                  <c:v>Investment</c:v>
                </c:pt>
                <c:pt idx="4">
                  <c:v>0 Revenue</c:v>
                </c:pt>
                <c:pt idx="5">
                  <c:v>Subscription Revenue</c:v>
                </c:pt>
              </c:strCache>
            </c:strRef>
          </c:cat>
          <c:val>
            <c:numRef>
              <c:f>'Sources &amp; Uses'!$O$159:$O$164</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B867-4E5A-B4C0-779638DA468A}"/>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EBC4-40E4-B1CA-99EBA7122222}"/>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EBC4-40E4-B1CA-99EBA7122222}"/>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EBC4-40E4-B1CA-99EBA7122222}"/>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EBC4-40E4-B1CA-99EBA7122222}"/>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EBC4-40E4-B1CA-99EBA7122222}"/>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EBC4-40E4-B1CA-99EBA7122222}"/>
              </c:ext>
            </c:extLst>
          </c:dPt>
          <c:cat>
            <c:strRef>
              <c:f>'Sources &amp; Uses'!$N$152:$N$157</c:f>
              <c:strCache>
                <c:ptCount val="6"/>
                <c:pt idx="0">
                  <c:v>Convertible Notes</c:v>
                </c:pt>
                <c:pt idx="1">
                  <c:v>Loans</c:v>
                </c:pt>
                <c:pt idx="2">
                  <c:v>SAFES</c:v>
                </c:pt>
                <c:pt idx="3">
                  <c:v>Investment</c:v>
                </c:pt>
                <c:pt idx="4">
                  <c:v> Revenue</c:v>
                </c:pt>
                <c:pt idx="5">
                  <c:v>Subscription Revenue</c:v>
                </c:pt>
              </c:strCache>
            </c:strRef>
          </c:cat>
          <c:val>
            <c:numRef>
              <c:f>'Sources &amp; Uses'!$O$152:$O$157</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C-EBC4-40E4-B1CA-99EBA7122222}"/>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2C56-4E63-97A9-FF1837BD39BD}"/>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2C56-4E63-97A9-FF1837BD39BD}"/>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2C56-4E63-97A9-FF1837BD39BD}"/>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2C56-4E63-97A9-FF1837BD39BD}"/>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2C56-4E63-97A9-FF1837BD39BD}"/>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2C56-4E63-97A9-FF1837BD39BD}"/>
              </c:ext>
            </c:extLst>
          </c:dPt>
          <c:cat>
            <c:strRef>
              <c:f>'Sources &amp; Uses'!$N$145:$N$150</c:f>
              <c:strCache>
                <c:ptCount val="6"/>
                <c:pt idx="0">
                  <c:v>Convertible Notes</c:v>
                </c:pt>
                <c:pt idx="1">
                  <c:v>Loans</c:v>
                </c:pt>
                <c:pt idx="2">
                  <c:v>SAFES</c:v>
                </c:pt>
                <c:pt idx="3">
                  <c:v>Investment</c:v>
                </c:pt>
                <c:pt idx="4">
                  <c:v> Revenue</c:v>
                </c:pt>
                <c:pt idx="5">
                  <c:v>Subscription Revenue</c:v>
                </c:pt>
              </c:strCache>
            </c:strRef>
          </c:cat>
          <c:val>
            <c:numRef>
              <c:f>'Sources &amp; Uses'!$O$145:$O$150</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C-2C56-4E63-97A9-FF1837BD39BD}"/>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5B2A-48A1-BE69-F3A8D3040A63}"/>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5B2A-48A1-BE69-F3A8D3040A63}"/>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5B2A-48A1-BE69-F3A8D3040A63}"/>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5B2A-48A1-BE69-F3A8D3040A63}"/>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5B2A-48A1-BE69-F3A8D3040A63}"/>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5B2A-48A1-BE69-F3A8D3040A63}"/>
              </c:ext>
            </c:extLst>
          </c:dPt>
          <c:cat>
            <c:strRef>
              <c:f>'Sources &amp; Uses'!$Q$160:$Q$162</c:f>
              <c:strCache>
                <c:ptCount val="3"/>
                <c:pt idx="0">
                  <c:v>Debt</c:v>
                </c:pt>
                <c:pt idx="1">
                  <c:v>Equity</c:v>
                </c:pt>
                <c:pt idx="2">
                  <c:v>Revenue</c:v>
                </c:pt>
              </c:strCache>
            </c:strRef>
          </c:cat>
          <c:val>
            <c:numRef>
              <c:f>'Sources &amp; Uses'!$R$160:$R$162</c:f>
              <c:numCache>
                <c:formatCode>0%</c:formatCode>
                <c:ptCount val="3"/>
                <c:pt idx="0">
                  <c:v>0</c:v>
                </c:pt>
                <c:pt idx="1">
                  <c:v>0</c:v>
                </c:pt>
                <c:pt idx="2">
                  <c:v>0</c:v>
                </c:pt>
              </c:numCache>
            </c:numRef>
          </c:val>
          <c:extLst>
            <c:ext xmlns:c16="http://schemas.microsoft.com/office/drawing/2014/chart" uri="{C3380CC4-5D6E-409C-BE32-E72D297353CC}">
              <c16:uniqueId val="{0000000C-5B2A-48A1-BE69-F3A8D3040A63}"/>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483-41F6-8D72-939CB846E9A4}"/>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483-41F6-8D72-939CB846E9A4}"/>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483-41F6-8D72-939CB846E9A4}"/>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483-41F6-8D72-939CB846E9A4}"/>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483-41F6-8D72-939CB846E9A4}"/>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483-41F6-8D72-939CB846E9A4}"/>
              </c:ext>
            </c:extLst>
          </c:dPt>
          <c:cat>
            <c:strRef>
              <c:f>'Sources &amp; Uses'!$Q$153:$Q$155</c:f>
              <c:strCache>
                <c:ptCount val="3"/>
                <c:pt idx="0">
                  <c:v>Debt</c:v>
                </c:pt>
                <c:pt idx="1">
                  <c:v>Equity</c:v>
                </c:pt>
                <c:pt idx="2">
                  <c:v>Revenue</c:v>
                </c:pt>
              </c:strCache>
            </c:strRef>
          </c:cat>
          <c:val>
            <c:numRef>
              <c:f>'Sources &amp; Uses'!$R$153:$R$155</c:f>
              <c:numCache>
                <c:formatCode>0%</c:formatCode>
                <c:ptCount val="3"/>
                <c:pt idx="0">
                  <c:v>0</c:v>
                </c:pt>
                <c:pt idx="1">
                  <c:v>0</c:v>
                </c:pt>
                <c:pt idx="2">
                  <c:v>0</c:v>
                </c:pt>
              </c:numCache>
            </c:numRef>
          </c:val>
          <c:extLst>
            <c:ext xmlns:c16="http://schemas.microsoft.com/office/drawing/2014/chart" uri="{C3380CC4-5D6E-409C-BE32-E72D297353CC}">
              <c16:uniqueId val="{0000000C-D483-41F6-8D72-939CB846E9A4}"/>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E83-453A-8B5B-58F20DE8FC5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E83-453A-8B5B-58F20DE8FC5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E83-453A-8B5B-58F20DE8FC5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E83-453A-8B5B-58F20DE8FC5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E83-453A-8B5B-58F20DE8FC5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E83-453A-8B5B-58F20DE8FC50}"/>
              </c:ext>
            </c:extLst>
          </c:dPt>
          <c:cat>
            <c:strRef>
              <c:f>'Sources &amp; Uses'!$Q$145:$Q$147</c:f>
              <c:strCache>
                <c:ptCount val="3"/>
                <c:pt idx="0">
                  <c:v>Debt</c:v>
                </c:pt>
                <c:pt idx="1">
                  <c:v>Equity</c:v>
                </c:pt>
                <c:pt idx="2">
                  <c:v>Revenue</c:v>
                </c:pt>
              </c:strCache>
            </c:strRef>
          </c:cat>
          <c:val>
            <c:numRef>
              <c:f>'Sources &amp; Uses'!$R$145:$R$147</c:f>
              <c:numCache>
                <c:formatCode>0%</c:formatCode>
                <c:ptCount val="3"/>
                <c:pt idx="0">
                  <c:v>0</c:v>
                </c:pt>
                <c:pt idx="1">
                  <c:v>0</c:v>
                </c:pt>
                <c:pt idx="2">
                  <c:v>0</c:v>
                </c:pt>
              </c:numCache>
            </c:numRef>
          </c:val>
          <c:extLst>
            <c:ext xmlns:c16="http://schemas.microsoft.com/office/drawing/2014/chart" uri="{C3380CC4-5D6E-409C-BE32-E72D297353CC}">
              <c16:uniqueId val="{0000000C-FE83-453A-8B5B-58F20DE8FC50}"/>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Infrastructure!$BP$28</c:f>
              <c:strCache>
                <c:ptCount val="1"/>
                <c:pt idx="0">
                  <c:v>$0 </c:v>
                </c:pt>
              </c:strCache>
            </c:strRef>
          </c:tx>
          <c:spPr>
            <a:solidFill>
              <a:srgbClr val="0066FF"/>
            </a:solidFill>
            <a:ln>
              <a:noFill/>
            </a:ln>
            <a:effectLst/>
          </c:spPr>
          <c:invertIfNegative val="0"/>
          <c:cat>
            <c:strRef>
              <c:f>Infrastructure!$BQ$27:$BU$27</c:f>
              <c:strCache>
                <c:ptCount val="5"/>
                <c:pt idx="3">
                  <c:v>0</c:v>
                </c:pt>
                <c:pt idx="4">
                  <c:v>0</c:v>
                </c:pt>
              </c:strCache>
            </c:strRef>
          </c:cat>
          <c:val>
            <c:numRef>
              <c:f>Infrastructure!$BQ$28:$BU$28</c:f>
              <c:numCache>
                <c:formatCode>"$"#,##0_);\("$"#,##0\)</c:formatCode>
                <c:ptCount val="5"/>
                <c:pt idx="0">
                  <c:v>0</c:v>
                </c:pt>
                <c:pt idx="1">
                  <c:v>0</c:v>
                </c:pt>
                <c:pt idx="2">
                  <c:v>0</c:v>
                </c:pt>
                <c:pt idx="3">
                  <c:v>0</c:v>
                </c:pt>
                <c:pt idx="4">
                  <c:v>0</c:v>
                </c:pt>
              </c:numCache>
            </c:numRef>
          </c:val>
          <c:extLst>
            <c:ext xmlns:c16="http://schemas.microsoft.com/office/drawing/2014/chart" uri="{C3380CC4-5D6E-409C-BE32-E72D297353CC}">
              <c16:uniqueId val="{00000000-4FAD-4F78-AF27-0BE95AC75E7E}"/>
            </c:ext>
          </c:extLst>
        </c:ser>
        <c:ser>
          <c:idx val="1"/>
          <c:order val="1"/>
          <c:tx>
            <c:strRef>
              <c:f>Infrastructure!$BP$29</c:f>
              <c:strCache>
                <c:ptCount val="1"/>
              </c:strCache>
            </c:strRef>
          </c:tx>
          <c:spPr>
            <a:solidFill>
              <a:srgbClr val="FF00FF"/>
            </a:solidFill>
            <a:ln>
              <a:noFill/>
            </a:ln>
            <a:effectLst/>
          </c:spPr>
          <c:invertIfNegative val="0"/>
          <c:cat>
            <c:strRef>
              <c:f>Infrastructure!$BQ$27:$BU$27</c:f>
              <c:strCache>
                <c:ptCount val="5"/>
                <c:pt idx="3">
                  <c:v>0</c:v>
                </c:pt>
                <c:pt idx="4">
                  <c:v>0</c:v>
                </c:pt>
              </c:strCache>
            </c:strRef>
          </c:cat>
          <c:val>
            <c:numRef>
              <c:f>Infrastructure!$BQ$29:$BU$29</c:f>
              <c:numCache>
                <c:formatCode>"$"#,##0_);\("$"#,##0\)</c:formatCode>
                <c:ptCount val="5"/>
                <c:pt idx="0">
                  <c:v>0</c:v>
                </c:pt>
                <c:pt idx="1">
                  <c:v>0</c:v>
                </c:pt>
                <c:pt idx="2">
                  <c:v>0</c:v>
                </c:pt>
                <c:pt idx="3">
                  <c:v>0</c:v>
                </c:pt>
                <c:pt idx="4">
                  <c:v>0</c:v>
                </c:pt>
              </c:numCache>
            </c:numRef>
          </c:val>
          <c:extLst>
            <c:ext xmlns:c16="http://schemas.microsoft.com/office/drawing/2014/chart" uri="{C3380CC4-5D6E-409C-BE32-E72D297353CC}">
              <c16:uniqueId val="{00000001-4FAD-4F78-AF27-0BE95AC75E7E}"/>
            </c:ext>
          </c:extLst>
        </c:ser>
        <c:ser>
          <c:idx val="2"/>
          <c:order val="2"/>
          <c:tx>
            <c:strRef>
              <c:f>Infrastructure!$BP$30</c:f>
              <c:strCache>
                <c:ptCount val="1"/>
              </c:strCache>
            </c:strRef>
          </c:tx>
          <c:spPr>
            <a:solidFill>
              <a:srgbClr val="00CC66"/>
            </a:solidFill>
            <a:ln>
              <a:noFill/>
            </a:ln>
            <a:effectLst/>
          </c:spPr>
          <c:invertIfNegative val="0"/>
          <c:cat>
            <c:strRef>
              <c:f>Infrastructure!$BQ$27:$BU$27</c:f>
              <c:strCache>
                <c:ptCount val="5"/>
                <c:pt idx="3">
                  <c:v>0</c:v>
                </c:pt>
                <c:pt idx="4">
                  <c:v>0</c:v>
                </c:pt>
              </c:strCache>
            </c:strRef>
          </c:cat>
          <c:val>
            <c:numRef>
              <c:f>Infrastructure!$BQ$30:$BU$30</c:f>
              <c:numCache>
                <c:formatCode>"$"#,##0_);\("$"#,##0\)</c:formatCode>
                <c:ptCount val="5"/>
                <c:pt idx="0">
                  <c:v>0</c:v>
                </c:pt>
                <c:pt idx="1">
                  <c:v>0</c:v>
                </c:pt>
                <c:pt idx="2">
                  <c:v>0</c:v>
                </c:pt>
                <c:pt idx="3">
                  <c:v>0</c:v>
                </c:pt>
                <c:pt idx="4">
                  <c:v>0</c:v>
                </c:pt>
              </c:numCache>
            </c:numRef>
          </c:val>
          <c:extLst>
            <c:ext xmlns:c16="http://schemas.microsoft.com/office/drawing/2014/chart" uri="{C3380CC4-5D6E-409C-BE32-E72D297353CC}">
              <c16:uniqueId val="{00000002-4FAD-4F78-AF27-0BE95AC75E7E}"/>
            </c:ext>
          </c:extLst>
        </c:ser>
        <c:dLbls>
          <c:showLegendKey val="0"/>
          <c:showVal val="0"/>
          <c:showCatName val="0"/>
          <c:showSerName val="0"/>
          <c:showPercent val="0"/>
          <c:showBubbleSize val="0"/>
        </c:dLbls>
        <c:gapWidth val="219"/>
        <c:overlap val="-27"/>
        <c:axId val="661283455"/>
        <c:axId val="661269727"/>
      </c:barChart>
      <c:catAx>
        <c:axId val="6612834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rgbClr val="FFFF00"/>
                </a:solidFill>
                <a:latin typeface="+mn-lt"/>
                <a:ea typeface="+mn-ea"/>
                <a:cs typeface="+mn-cs"/>
              </a:defRPr>
            </a:pPr>
            <a:endParaRPr lang="en-US"/>
          </a:p>
        </c:txPr>
        <c:crossAx val="661269727"/>
        <c:crosses val="autoZero"/>
        <c:auto val="1"/>
        <c:lblAlgn val="ctr"/>
        <c:lblOffset val="100"/>
        <c:noMultiLvlLbl val="0"/>
      </c:catAx>
      <c:valAx>
        <c:axId val="661269727"/>
        <c:scaling>
          <c:orientation val="minMax"/>
        </c:scaling>
        <c:delete val="0"/>
        <c:axPos val="l"/>
        <c:majorGridlines>
          <c:spPr>
            <a:ln w="9525" cap="flat" cmpd="sng" algn="ctr">
              <a:solidFill>
                <a:schemeClr val="tx1">
                  <a:lumMod val="15000"/>
                  <a:lumOff val="85000"/>
                </a:schemeClr>
              </a:solidFill>
              <a:round/>
            </a:ln>
            <a:effectLst/>
          </c:spPr>
        </c:majorGridlines>
        <c:numFmt formatCode="&quot;$&quot;#,##0_);\(&quot;$&quot;#,##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rgbClr val="FFFF00"/>
                </a:solidFill>
                <a:latin typeface="+mn-lt"/>
                <a:ea typeface="+mn-ea"/>
                <a:cs typeface="+mn-cs"/>
              </a:defRPr>
            </a:pPr>
            <a:endParaRPr lang="en-US"/>
          </a:p>
        </c:txPr>
        <c:crossAx val="66128345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rgbClr val="FFFF00"/>
              </a:solidFill>
              <a:latin typeface="+mn-lt"/>
              <a:ea typeface="+mn-ea"/>
              <a:cs typeface="+mn-cs"/>
            </a:defRPr>
          </a:pPr>
          <a:endParaRPr lang="en-US"/>
        </a:p>
      </c:txPr>
    </c:legend>
    <c:plotVisOnly val="1"/>
    <c:dispBlanksAs val="gap"/>
    <c:showDLblsOverMax val="0"/>
  </c:chart>
  <c:spPr>
    <a:gradFill>
      <a:gsLst>
        <a:gs pos="100000">
          <a:schemeClr val="accent1">
            <a:lumMod val="45000"/>
            <a:lumOff val="55000"/>
          </a:schemeClr>
        </a:gs>
        <a:gs pos="82000">
          <a:schemeClr val="tx1"/>
        </a:gs>
      </a:gsLst>
      <a:lin ang="5400000" scaled="1"/>
    </a:gradFill>
    <a:ln w="31750" cap="flat" cmpd="sng" algn="ctr">
      <a:solidFill>
        <a:srgbClr val="0066FF"/>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1.3873797025371828E-2"/>
          <c:y val="4.3754824764551488E-3"/>
          <c:w val="0.98554249757754264"/>
          <c:h val="0.92711619516615795"/>
        </c:manualLayout>
      </c:layout>
      <c:barChart>
        <c:barDir val="col"/>
        <c:grouping val="clustered"/>
        <c:varyColors val="0"/>
        <c:ser>
          <c:idx val="0"/>
          <c:order val="0"/>
          <c:spPr>
            <a:solidFill>
              <a:srgbClr val="009900"/>
            </a:solidFill>
            <a:ln>
              <a:solidFill>
                <a:schemeClr val="tx1"/>
              </a:solidFill>
              <a:bevel/>
            </a:ln>
            <a:effectLst>
              <a:glow>
                <a:schemeClr val="accent1"/>
              </a:glow>
              <a:outerShdw blurRad="40005" dist="22860" dir="5400000" algn="ctr" rotWithShape="0">
                <a:srgbClr val="000000">
                  <a:alpha val="35000"/>
                </a:srgbClr>
              </a:outerShdw>
            </a:effectLst>
            <a:scene3d>
              <a:camera prst="orthographicFront"/>
              <a:lightRig rig="threePt" dir="t">
                <a:rot lat="0" lon="0" rev="1200000"/>
              </a:lightRig>
            </a:scene3d>
            <a:sp3d>
              <a:bevelT w="63500" h="25400"/>
              <a:bevelB w="63500" h="25400"/>
            </a:sp3d>
          </c:spPr>
          <c:invertIfNegative val="0"/>
          <c:dPt>
            <c:idx val="58"/>
            <c:invertIfNegative val="0"/>
            <c:bubble3D val="0"/>
            <c:spPr>
              <a:solidFill>
                <a:srgbClr val="009900"/>
              </a:solidFill>
              <a:ln>
                <a:solidFill>
                  <a:schemeClr val="tx1"/>
                </a:solidFill>
                <a:bevel/>
              </a:ln>
              <a:effectLst>
                <a:glow>
                  <a:schemeClr val="accent1">
                    <a:alpha val="96000"/>
                  </a:schemeClr>
                </a:glow>
                <a:outerShdw blurRad="40005" dist="22860" dir="5400000" algn="ctr" rotWithShape="0">
                  <a:srgbClr val="000000">
                    <a:alpha val="35000"/>
                  </a:srgbClr>
                </a:outerShdw>
              </a:effectLst>
              <a:scene3d>
                <a:camera prst="orthographicFront"/>
                <a:lightRig rig="threePt" dir="t">
                  <a:rot lat="0" lon="0" rev="1200000"/>
                </a:lightRig>
              </a:scene3d>
              <a:sp3d>
                <a:bevelT w="63500" h="25400"/>
                <a:bevelB w="63500" h="25400"/>
              </a:sp3d>
            </c:spPr>
            <c:extLst>
              <c:ext xmlns:c16="http://schemas.microsoft.com/office/drawing/2014/chart" uri="{C3380CC4-5D6E-409C-BE32-E72D297353CC}">
                <c16:uniqueId val="{00000001-56ED-4034-84D6-39BA3D211961}"/>
              </c:ext>
            </c:extLst>
          </c:dPt>
          <c:cat>
            <c:numRef>
              <c:f>Calcs!$I$64:$BP$64</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Calcs!$I$65:$BP$65</c:f>
              <c:numCache>
                <c:formatCode>"$"#,##0_);\("$"#,##0\)</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extLst>
            <c:ext xmlns:c16="http://schemas.microsoft.com/office/drawing/2014/chart" uri="{C3380CC4-5D6E-409C-BE32-E72D297353CC}">
              <c16:uniqueId val="{00000002-56ED-4034-84D6-39BA3D211961}"/>
            </c:ext>
          </c:extLst>
        </c:ser>
        <c:ser>
          <c:idx val="1"/>
          <c:order val="1"/>
          <c:spPr>
            <a:solidFill>
              <a:srgbClr val="C63030"/>
            </a:solidFill>
            <a:ln cap="flat">
              <a:solidFill>
                <a:schemeClr val="tx1"/>
              </a:solidFill>
              <a:bevel/>
            </a:ln>
            <a:effectLst>
              <a:outerShdw blurRad="40005" dist="22860" dir="5400000" algn="ctr" rotWithShape="0">
                <a:srgbClr val="000000">
                  <a:alpha val="35000"/>
                </a:srgbClr>
              </a:outerShdw>
            </a:effectLst>
            <a:scene3d>
              <a:camera prst="orthographicFront"/>
              <a:lightRig rig="threePt" dir="t">
                <a:rot lat="0" lon="0" rev="1200000"/>
              </a:lightRig>
            </a:scene3d>
            <a:sp3d>
              <a:bevelT w="63500" h="25400"/>
              <a:bevelB w="63500" h="25400"/>
            </a:sp3d>
          </c:spPr>
          <c:invertIfNegative val="0"/>
          <c:dPt>
            <c:idx val="2"/>
            <c:invertIfNegative val="0"/>
            <c:bubble3D val="0"/>
            <c:extLst>
              <c:ext xmlns:c16="http://schemas.microsoft.com/office/drawing/2014/chart" uri="{C3380CC4-5D6E-409C-BE32-E72D297353CC}">
                <c16:uniqueId val="{00000003-56ED-4034-84D6-39BA3D211961}"/>
              </c:ext>
            </c:extLst>
          </c:dPt>
          <c:cat>
            <c:numRef>
              <c:f>Calcs!$I$64:$BP$64</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Calcs!$I$66:$BP$66</c:f>
              <c:numCache>
                <c:formatCode>"$"#,##0_);\("$"#,##0\)</c:formatCode>
                <c:ptCount val="6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numCache>
            </c:numRef>
          </c:val>
          <c:extLst>
            <c:ext xmlns:c16="http://schemas.microsoft.com/office/drawing/2014/chart" uri="{C3380CC4-5D6E-409C-BE32-E72D297353CC}">
              <c16:uniqueId val="{00000004-56ED-4034-84D6-39BA3D211961}"/>
            </c:ext>
          </c:extLst>
        </c:ser>
        <c:ser>
          <c:idx val="2"/>
          <c:order val="2"/>
          <c:spPr>
            <a:solidFill>
              <a:srgbClr val="00B0F0"/>
            </a:solidFill>
            <a:ln>
              <a:solidFill>
                <a:schemeClr val="tx1"/>
              </a:solidFill>
              <a:bevel/>
            </a:ln>
            <a:scene3d>
              <a:camera prst="orthographicFront"/>
              <a:lightRig rig="threePt" dir="t"/>
            </a:scene3d>
            <a:sp3d>
              <a:bevelT w="63500" h="25400"/>
              <a:bevelB w="63500" h="25400"/>
            </a:sp3d>
          </c:spPr>
          <c:invertIfNegative val="0"/>
          <c:dPt>
            <c:idx val="59"/>
            <c:invertIfNegative val="0"/>
            <c:bubble3D val="0"/>
            <c:spPr>
              <a:solidFill>
                <a:srgbClr val="00B0F0"/>
              </a:solidFill>
              <a:ln w="19050">
                <a:solidFill>
                  <a:schemeClr val="tx1"/>
                </a:solidFill>
                <a:bevel/>
              </a:ln>
              <a:effectLst>
                <a:glow>
                  <a:schemeClr val="accent1"/>
                </a:glow>
                <a:outerShdw blurRad="40005" dist="22860" dir="5400000" algn="ctr" rotWithShape="0">
                  <a:srgbClr val="000000">
                    <a:alpha val="35000"/>
                  </a:srgbClr>
                </a:outerShdw>
              </a:effectLst>
              <a:scene3d>
                <a:camera prst="orthographicFront"/>
                <a:lightRig rig="threePt" dir="t"/>
              </a:scene3d>
              <a:sp3d>
                <a:bevelT w="63500" h="25400"/>
                <a:bevelB w="63500" h="25400"/>
              </a:sp3d>
            </c:spPr>
            <c:extLst>
              <c:ext xmlns:c16="http://schemas.microsoft.com/office/drawing/2014/chart" uri="{C3380CC4-5D6E-409C-BE32-E72D297353CC}">
                <c16:uniqueId val="{00000006-56ED-4034-84D6-39BA3D211961}"/>
              </c:ext>
            </c:extLst>
          </c:dPt>
          <c:cat>
            <c:numRef>
              <c:f>Calcs!$I$64:$BP$64</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Calcs!$I$67:$BP$67</c:f>
              <c:numCache>
                <c:formatCode>"$"#,##0_);\("$"#,##0\)</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extLst>
            <c:ext xmlns:c16="http://schemas.microsoft.com/office/drawing/2014/chart" uri="{C3380CC4-5D6E-409C-BE32-E72D297353CC}">
              <c16:uniqueId val="{00000007-56ED-4034-84D6-39BA3D211961}"/>
            </c:ext>
          </c:extLst>
        </c:ser>
        <c:ser>
          <c:idx val="3"/>
          <c:order val="3"/>
          <c:spPr>
            <a:solidFill>
              <a:srgbClr val="FF9900"/>
            </a:solidFill>
            <a:ln>
              <a:solidFill>
                <a:schemeClr val="tx1"/>
              </a:solidFill>
              <a:bevel/>
            </a:ln>
            <a:effectLst>
              <a:outerShdw blurRad="40005" dist="22860" dir="5400000" algn="ctr" rotWithShape="0">
                <a:srgbClr val="000000">
                  <a:alpha val="35000"/>
                </a:srgbClr>
              </a:outerShdw>
            </a:effectLst>
            <a:scene3d>
              <a:camera prst="orthographicFront"/>
              <a:lightRig rig="threePt" dir="t"/>
            </a:scene3d>
            <a:sp3d>
              <a:bevelT w="63500" h="25400"/>
              <a:bevelB w="63500" h="25400"/>
            </a:sp3d>
          </c:spPr>
          <c:invertIfNegative val="0"/>
          <c:dPt>
            <c:idx val="2"/>
            <c:invertIfNegative val="0"/>
            <c:bubble3D val="0"/>
            <c:spPr>
              <a:solidFill>
                <a:srgbClr val="FF9900"/>
              </a:solidFill>
              <a:ln w="19050" cap="rnd">
                <a:solidFill>
                  <a:schemeClr val="tx1"/>
                </a:solidFill>
                <a:bevel/>
              </a:ln>
              <a:effectLst>
                <a:glow>
                  <a:schemeClr val="accent1"/>
                </a:glow>
                <a:outerShdw blurRad="40005" dist="22860" dir="5400000" algn="ctr" rotWithShape="0">
                  <a:srgbClr val="000000">
                    <a:alpha val="35000"/>
                  </a:srgbClr>
                </a:outerShdw>
                <a:softEdge rad="0"/>
              </a:effectLst>
              <a:scene3d>
                <a:camera prst="orthographicFront"/>
                <a:lightRig rig="threePt" dir="t"/>
              </a:scene3d>
              <a:sp3d>
                <a:bevelT w="63500" h="25400"/>
                <a:bevelB w="63500" h="25400"/>
              </a:sp3d>
            </c:spPr>
            <c:extLst>
              <c:ext xmlns:c16="http://schemas.microsoft.com/office/drawing/2014/chart" uri="{C3380CC4-5D6E-409C-BE32-E72D297353CC}">
                <c16:uniqueId val="{00000009-56ED-4034-84D6-39BA3D211961}"/>
              </c:ext>
            </c:extLst>
          </c:dPt>
          <c:dPt>
            <c:idx val="21"/>
            <c:invertIfNegative val="0"/>
            <c:bubble3D val="0"/>
            <c:extLst>
              <c:ext xmlns:c16="http://schemas.microsoft.com/office/drawing/2014/chart" uri="{C3380CC4-5D6E-409C-BE32-E72D297353CC}">
                <c16:uniqueId val="{0000000A-56ED-4034-84D6-39BA3D211961}"/>
              </c:ext>
            </c:extLst>
          </c:dPt>
          <c:cat>
            <c:numRef>
              <c:f>Calcs!$I$64:$BP$64</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Calcs!$I$68:$BP$68</c:f>
              <c:numCache>
                <c:formatCode>"$"#,##0_);\("$"#,##0\)</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extLst>
            <c:ext xmlns:c16="http://schemas.microsoft.com/office/drawing/2014/chart" uri="{C3380CC4-5D6E-409C-BE32-E72D297353CC}">
              <c16:uniqueId val="{0000000B-56ED-4034-84D6-39BA3D211961}"/>
            </c:ext>
          </c:extLst>
        </c:ser>
        <c:dLbls>
          <c:showLegendKey val="0"/>
          <c:showVal val="0"/>
          <c:showCatName val="0"/>
          <c:showSerName val="0"/>
          <c:showPercent val="0"/>
          <c:showBubbleSize val="0"/>
        </c:dLbls>
        <c:gapWidth val="40"/>
        <c:overlap val="100"/>
        <c:axId val="361267672"/>
        <c:axId val="361269240"/>
      </c:barChart>
      <c:dateAx>
        <c:axId val="361267672"/>
        <c:scaling>
          <c:orientation val="minMax"/>
        </c:scaling>
        <c:delete val="1"/>
        <c:axPos val="b"/>
        <c:numFmt formatCode="[$-409]mmm\-yy;@" sourceLinked="1"/>
        <c:majorTickMark val="none"/>
        <c:minorTickMark val="none"/>
        <c:tickLblPos val="low"/>
        <c:crossAx val="361269240"/>
        <c:crosses val="autoZero"/>
        <c:auto val="1"/>
        <c:lblOffset val="100"/>
        <c:baseTimeUnit val="months"/>
      </c:dateAx>
      <c:valAx>
        <c:axId val="361269240"/>
        <c:scaling>
          <c:orientation val="minMax"/>
        </c:scaling>
        <c:delete val="1"/>
        <c:axPos val="l"/>
        <c:majorGridlines>
          <c:spPr>
            <a:ln>
              <a:noFill/>
            </a:ln>
          </c:spPr>
        </c:majorGridlines>
        <c:numFmt formatCode="&quot;$&quot;#,##0_);\(&quot;$&quot;#,##0\)" sourceLinked="1"/>
        <c:majorTickMark val="none"/>
        <c:minorTickMark val="none"/>
        <c:tickLblPos val="nextTo"/>
        <c:crossAx val="361267672"/>
        <c:crosses val="autoZero"/>
        <c:crossBetween val="between"/>
      </c:valAx>
      <c:spPr>
        <a:noFill/>
        <a:ln>
          <a:noFill/>
        </a:ln>
      </c:spPr>
    </c:plotArea>
    <c:plotVisOnly val="1"/>
    <c:dispBlanksAs val="zero"/>
    <c:showDLblsOverMax val="0"/>
  </c:chart>
  <c:spPr>
    <a:noFill/>
    <a:ln>
      <a:noFill/>
    </a:ln>
  </c:spPr>
  <c:printSettings>
    <c:headerFooter/>
    <c:pageMargins b="0.75" l="0.7" r="0.7" t="0.75" header="0.3" footer="0.3"/>
    <c:pageSetup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022003499562555"/>
          <c:y val="5.4105552982347795E-2"/>
          <c:w val="0.82700218722659657"/>
          <c:h val="0.90256098502393078"/>
        </c:manualLayout>
      </c:layout>
      <c:barChart>
        <c:barDir val="col"/>
        <c:grouping val="clustered"/>
        <c:varyColors val="0"/>
        <c:ser>
          <c:idx val="0"/>
          <c:order val="0"/>
          <c:tx>
            <c:strRef>
              <c:f>Infrastructure!$BP$36</c:f>
              <c:strCache>
                <c:ptCount val="1"/>
                <c:pt idx="0">
                  <c:v>Revenue</c:v>
                </c:pt>
              </c:strCache>
            </c:strRef>
          </c:tx>
          <c:spPr>
            <a:solidFill>
              <a:srgbClr val="3366FF"/>
            </a:solidFill>
            <a:ln w="22225">
              <a:solidFill>
                <a:schemeClr val="tx1"/>
              </a:solidFill>
            </a:ln>
            <a:effectLst>
              <a:glow>
                <a:schemeClr val="accent4"/>
              </a:glow>
              <a:softEdge rad="0"/>
            </a:effectLst>
            <a:scene3d>
              <a:camera prst="orthographicFront"/>
              <a:lightRig rig="threePt" dir="t"/>
            </a:scene3d>
            <a:sp3d>
              <a:bevelT w="25400" h="63500"/>
            </a:sp3d>
          </c:spPr>
          <c:invertIfNegative val="0"/>
          <c:cat>
            <c:strRef>
              <c:f>Infrastructure!$BQ$35:$BU$35</c:f>
              <c:strCache>
                <c:ptCount val="5"/>
                <c:pt idx="0">
                  <c:v>Year 1</c:v>
                </c:pt>
                <c:pt idx="1">
                  <c:v>Year 2</c:v>
                </c:pt>
                <c:pt idx="2">
                  <c:v>Year 3</c:v>
                </c:pt>
                <c:pt idx="3">
                  <c:v>Year 4</c:v>
                </c:pt>
                <c:pt idx="4">
                  <c:v>Year 5</c:v>
                </c:pt>
              </c:strCache>
            </c:strRef>
          </c:cat>
          <c:val>
            <c:numRef>
              <c:f>Infrastructure!$BQ$36:$BU$36</c:f>
              <c:numCache>
                <c:formatCode>"$"#,##0_);\("$"#,##0\)</c:formatCode>
                <c:ptCount val="5"/>
                <c:pt idx="0">
                  <c:v>0</c:v>
                </c:pt>
                <c:pt idx="1">
                  <c:v>0</c:v>
                </c:pt>
                <c:pt idx="2">
                  <c:v>0</c:v>
                </c:pt>
                <c:pt idx="3" formatCode="General">
                  <c:v>0</c:v>
                </c:pt>
                <c:pt idx="4" formatCode="General">
                  <c:v>0</c:v>
                </c:pt>
              </c:numCache>
            </c:numRef>
          </c:val>
          <c:extLst>
            <c:ext xmlns:c16="http://schemas.microsoft.com/office/drawing/2014/chart" uri="{C3380CC4-5D6E-409C-BE32-E72D297353CC}">
              <c16:uniqueId val="{00000000-27B0-4FAD-AA87-E1EF6E0F3DE2}"/>
            </c:ext>
          </c:extLst>
        </c:ser>
        <c:ser>
          <c:idx val="1"/>
          <c:order val="1"/>
          <c:tx>
            <c:strRef>
              <c:f>Infrastructure!$BP$37</c:f>
              <c:strCache>
                <c:ptCount val="1"/>
                <c:pt idx="0">
                  <c:v>Expenses</c:v>
                </c:pt>
              </c:strCache>
            </c:strRef>
          </c:tx>
          <c:spPr>
            <a:solidFill>
              <a:srgbClr val="CC7900"/>
            </a:solidFill>
            <a:ln w="22225">
              <a:solidFill>
                <a:schemeClr val="tx1"/>
              </a:solidFill>
            </a:ln>
            <a:effectLst/>
          </c:spPr>
          <c:invertIfNegative val="0"/>
          <c:cat>
            <c:strRef>
              <c:f>Infrastructure!$BQ$35:$BU$35</c:f>
              <c:strCache>
                <c:ptCount val="5"/>
                <c:pt idx="0">
                  <c:v>Year 1</c:v>
                </c:pt>
                <c:pt idx="1">
                  <c:v>Year 2</c:v>
                </c:pt>
                <c:pt idx="2">
                  <c:v>Year 3</c:v>
                </c:pt>
                <c:pt idx="3">
                  <c:v>Year 4</c:v>
                </c:pt>
                <c:pt idx="4">
                  <c:v>Year 5</c:v>
                </c:pt>
              </c:strCache>
            </c:strRef>
          </c:cat>
          <c:val>
            <c:numRef>
              <c:f>Infrastructure!$BQ$37:$BU$37</c:f>
              <c:numCache>
                <c:formatCode>"$"#,##0_);\("$"#,##0\)</c:formatCode>
                <c:ptCount val="5"/>
                <c:pt idx="0">
                  <c:v>0</c:v>
                </c:pt>
                <c:pt idx="1">
                  <c:v>0</c:v>
                </c:pt>
                <c:pt idx="2">
                  <c:v>0</c:v>
                </c:pt>
                <c:pt idx="3" formatCode="General">
                  <c:v>0</c:v>
                </c:pt>
                <c:pt idx="4" formatCode="General">
                  <c:v>0</c:v>
                </c:pt>
              </c:numCache>
            </c:numRef>
          </c:val>
          <c:extLst>
            <c:ext xmlns:c16="http://schemas.microsoft.com/office/drawing/2014/chart" uri="{C3380CC4-5D6E-409C-BE32-E72D297353CC}">
              <c16:uniqueId val="{00000001-27B0-4FAD-AA87-E1EF6E0F3DE2}"/>
            </c:ext>
          </c:extLst>
        </c:ser>
        <c:ser>
          <c:idx val="2"/>
          <c:order val="2"/>
          <c:tx>
            <c:strRef>
              <c:f>Infrastructure!$BP$38</c:f>
              <c:strCache>
                <c:ptCount val="1"/>
                <c:pt idx="0">
                  <c:v>Net Income (Loss)</c:v>
                </c:pt>
              </c:strCache>
            </c:strRef>
          </c:tx>
          <c:spPr>
            <a:solidFill>
              <a:srgbClr val="00B050"/>
            </a:solidFill>
            <a:ln w="22225">
              <a:solidFill>
                <a:schemeClr val="tx1"/>
              </a:solidFill>
            </a:ln>
            <a:effectLst/>
          </c:spPr>
          <c:invertIfNegative val="1"/>
          <c:cat>
            <c:strRef>
              <c:f>Infrastructure!$BQ$35:$BU$35</c:f>
              <c:strCache>
                <c:ptCount val="5"/>
                <c:pt idx="0">
                  <c:v>Year 1</c:v>
                </c:pt>
                <c:pt idx="1">
                  <c:v>Year 2</c:v>
                </c:pt>
                <c:pt idx="2">
                  <c:v>Year 3</c:v>
                </c:pt>
                <c:pt idx="3">
                  <c:v>Year 4</c:v>
                </c:pt>
                <c:pt idx="4">
                  <c:v>Year 5</c:v>
                </c:pt>
              </c:strCache>
            </c:strRef>
          </c:cat>
          <c:val>
            <c:numRef>
              <c:f>Infrastructure!$BQ$38:$BU$38</c:f>
              <c:numCache>
                <c:formatCode>"$"#,##0_);\("$"#,##0\)</c:formatCode>
                <c:ptCount val="5"/>
                <c:pt idx="0">
                  <c:v>0</c:v>
                </c:pt>
                <c:pt idx="1">
                  <c:v>0</c:v>
                </c:pt>
                <c:pt idx="2">
                  <c:v>0</c:v>
                </c:pt>
                <c:pt idx="3" formatCode="General">
                  <c:v>0</c:v>
                </c:pt>
                <c:pt idx="4" formatCode="General">
                  <c:v>0</c:v>
                </c:pt>
              </c:numCache>
            </c:numRef>
          </c:val>
          <c:extLst>
            <c:ext xmlns:c14="http://schemas.microsoft.com/office/drawing/2007/8/2/chart" uri="{6F2FDCE9-48DA-4B69-8628-5D25D57E5C99}">
              <c14:invertSolidFillFmt>
                <c14:spPr xmlns:c14="http://schemas.microsoft.com/office/drawing/2007/8/2/chart">
                  <a:solidFill>
                    <a:srgbClr val="B43651"/>
                  </a:solidFill>
                  <a:ln w="22225">
                    <a:solidFill>
                      <a:schemeClr val="tx1"/>
                    </a:solidFill>
                  </a:ln>
                  <a:effectLst/>
                </c14:spPr>
              </c14:invertSolidFillFmt>
            </c:ext>
            <c:ext xmlns:c16="http://schemas.microsoft.com/office/drawing/2014/chart" uri="{C3380CC4-5D6E-409C-BE32-E72D297353CC}">
              <c16:uniqueId val="{00000002-27B0-4FAD-AA87-E1EF6E0F3DE2}"/>
            </c:ext>
          </c:extLst>
        </c:ser>
        <c:dLbls>
          <c:showLegendKey val="0"/>
          <c:showVal val="0"/>
          <c:showCatName val="0"/>
          <c:showSerName val="0"/>
          <c:showPercent val="0"/>
          <c:showBubbleSize val="0"/>
        </c:dLbls>
        <c:gapWidth val="219"/>
        <c:overlap val="-27"/>
        <c:axId val="1326108703"/>
        <c:axId val="1326108287"/>
      </c:barChart>
      <c:catAx>
        <c:axId val="1326108703"/>
        <c:scaling>
          <c:orientation val="minMax"/>
        </c:scaling>
        <c:delete val="1"/>
        <c:axPos val="b"/>
        <c:numFmt formatCode="General" sourceLinked="1"/>
        <c:majorTickMark val="none"/>
        <c:minorTickMark val="none"/>
        <c:tickLblPos val="nextTo"/>
        <c:crossAx val="1326108287"/>
        <c:crosses val="autoZero"/>
        <c:auto val="1"/>
        <c:lblAlgn val="ctr"/>
        <c:lblOffset val="100"/>
        <c:noMultiLvlLbl val="1"/>
      </c:catAx>
      <c:valAx>
        <c:axId val="1326108287"/>
        <c:scaling>
          <c:orientation val="minMax"/>
        </c:scaling>
        <c:delete val="0"/>
        <c:axPos val="l"/>
        <c:majorGridlines>
          <c:spPr>
            <a:ln w="3175" cap="flat" cmpd="sng" algn="ctr">
              <a:solidFill>
                <a:schemeClr val="tx1">
                  <a:lumMod val="15000"/>
                  <a:lumOff val="85000"/>
                  <a:alpha val="56000"/>
                </a:schemeClr>
              </a:solidFill>
              <a:round/>
            </a:ln>
            <a:effectLst/>
          </c:spPr>
        </c:majorGridlines>
        <c:numFmt formatCode="&quot;$&quot;#,##0_);\(&quot;$&quot;#,##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rgbClr val="6699FF"/>
                </a:solidFill>
                <a:latin typeface="+mn-lt"/>
                <a:ea typeface="+mn-ea"/>
                <a:cs typeface="+mn-cs"/>
              </a:defRPr>
            </a:pPr>
            <a:endParaRPr lang="en-US"/>
          </a:p>
        </c:txPr>
        <c:crossAx val="132610870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164758580766271"/>
          <c:y val="5.4105323990464499E-2"/>
          <c:w val="0.82700218722659657"/>
          <c:h val="0.90256098502393078"/>
        </c:manualLayout>
      </c:layout>
      <c:barChart>
        <c:barDir val="col"/>
        <c:grouping val="clustered"/>
        <c:varyColors val="0"/>
        <c:ser>
          <c:idx val="0"/>
          <c:order val="0"/>
          <c:tx>
            <c:strRef>
              <c:f>Infrastructure!$BP$36</c:f>
              <c:strCache>
                <c:ptCount val="1"/>
                <c:pt idx="0">
                  <c:v>Revenue</c:v>
                </c:pt>
              </c:strCache>
            </c:strRef>
          </c:tx>
          <c:spPr>
            <a:solidFill>
              <a:srgbClr val="3366FF"/>
            </a:solidFill>
            <a:ln w="25400">
              <a:solidFill>
                <a:schemeClr val="tx1"/>
              </a:solidFill>
            </a:ln>
            <a:effectLst>
              <a:glow>
                <a:schemeClr val="accent4"/>
              </a:glow>
              <a:softEdge rad="0"/>
            </a:effectLst>
            <a:scene3d>
              <a:camera prst="orthographicFront"/>
              <a:lightRig rig="threePt" dir="t"/>
            </a:scene3d>
            <a:sp3d>
              <a:bevelT w="25400" h="63500"/>
            </a:sp3d>
          </c:spPr>
          <c:invertIfNegative val="0"/>
          <c:cat>
            <c:strRef>
              <c:f>Infrastructure!$BQ$35:$BU$35</c:f>
              <c:strCache>
                <c:ptCount val="5"/>
                <c:pt idx="0">
                  <c:v>Year 1</c:v>
                </c:pt>
                <c:pt idx="1">
                  <c:v>Year 2</c:v>
                </c:pt>
                <c:pt idx="2">
                  <c:v>Year 3</c:v>
                </c:pt>
                <c:pt idx="3">
                  <c:v>Year 4</c:v>
                </c:pt>
                <c:pt idx="4">
                  <c:v>Year 5</c:v>
                </c:pt>
              </c:strCache>
            </c:strRef>
          </c:cat>
          <c:val>
            <c:numRef>
              <c:f>Infrastructure!$BQ$36:$BU$36</c:f>
              <c:numCache>
                <c:formatCode>"$"#,##0_);\("$"#,##0\)</c:formatCode>
                <c:ptCount val="5"/>
                <c:pt idx="0">
                  <c:v>0</c:v>
                </c:pt>
                <c:pt idx="1">
                  <c:v>0</c:v>
                </c:pt>
                <c:pt idx="2">
                  <c:v>0</c:v>
                </c:pt>
                <c:pt idx="3" formatCode="General">
                  <c:v>0</c:v>
                </c:pt>
                <c:pt idx="4" formatCode="General">
                  <c:v>0</c:v>
                </c:pt>
              </c:numCache>
            </c:numRef>
          </c:val>
          <c:extLst>
            <c:ext xmlns:c16="http://schemas.microsoft.com/office/drawing/2014/chart" uri="{C3380CC4-5D6E-409C-BE32-E72D297353CC}">
              <c16:uniqueId val="{00000000-7316-4967-8619-A5BDF70A0563}"/>
            </c:ext>
          </c:extLst>
        </c:ser>
        <c:ser>
          <c:idx val="1"/>
          <c:order val="1"/>
          <c:tx>
            <c:strRef>
              <c:f>Infrastructure!$BP$37</c:f>
              <c:strCache>
                <c:ptCount val="1"/>
                <c:pt idx="0">
                  <c:v>Expenses</c:v>
                </c:pt>
              </c:strCache>
            </c:strRef>
          </c:tx>
          <c:spPr>
            <a:solidFill>
              <a:srgbClr val="CC7900"/>
            </a:solidFill>
            <a:ln w="25400">
              <a:solidFill>
                <a:schemeClr val="tx1"/>
              </a:solidFill>
            </a:ln>
            <a:effectLst/>
          </c:spPr>
          <c:invertIfNegative val="0"/>
          <c:cat>
            <c:strRef>
              <c:f>Infrastructure!$BQ$35:$BU$35</c:f>
              <c:strCache>
                <c:ptCount val="5"/>
                <c:pt idx="0">
                  <c:v>Year 1</c:v>
                </c:pt>
                <c:pt idx="1">
                  <c:v>Year 2</c:v>
                </c:pt>
                <c:pt idx="2">
                  <c:v>Year 3</c:v>
                </c:pt>
                <c:pt idx="3">
                  <c:v>Year 4</c:v>
                </c:pt>
                <c:pt idx="4">
                  <c:v>Year 5</c:v>
                </c:pt>
              </c:strCache>
            </c:strRef>
          </c:cat>
          <c:val>
            <c:numRef>
              <c:f>Infrastructure!$BQ$37:$BU$37</c:f>
              <c:numCache>
                <c:formatCode>"$"#,##0_);\("$"#,##0\)</c:formatCode>
                <c:ptCount val="5"/>
                <c:pt idx="0">
                  <c:v>0</c:v>
                </c:pt>
                <c:pt idx="1">
                  <c:v>0</c:v>
                </c:pt>
                <c:pt idx="2">
                  <c:v>0</c:v>
                </c:pt>
                <c:pt idx="3" formatCode="General">
                  <c:v>0</c:v>
                </c:pt>
                <c:pt idx="4" formatCode="General">
                  <c:v>0</c:v>
                </c:pt>
              </c:numCache>
            </c:numRef>
          </c:val>
          <c:extLst>
            <c:ext xmlns:c16="http://schemas.microsoft.com/office/drawing/2014/chart" uri="{C3380CC4-5D6E-409C-BE32-E72D297353CC}">
              <c16:uniqueId val="{00000001-7316-4967-8619-A5BDF70A0563}"/>
            </c:ext>
          </c:extLst>
        </c:ser>
        <c:ser>
          <c:idx val="2"/>
          <c:order val="2"/>
          <c:tx>
            <c:strRef>
              <c:f>Infrastructure!$BP$38</c:f>
              <c:strCache>
                <c:ptCount val="1"/>
                <c:pt idx="0">
                  <c:v>Net Income (Loss)</c:v>
                </c:pt>
              </c:strCache>
            </c:strRef>
          </c:tx>
          <c:spPr>
            <a:solidFill>
              <a:srgbClr val="00B050"/>
            </a:solidFill>
            <a:ln w="25400">
              <a:solidFill>
                <a:schemeClr val="tx1"/>
              </a:solidFill>
            </a:ln>
            <a:effectLst/>
          </c:spPr>
          <c:invertIfNegative val="1"/>
          <c:cat>
            <c:strRef>
              <c:f>Infrastructure!$BQ$35:$BU$35</c:f>
              <c:strCache>
                <c:ptCount val="5"/>
                <c:pt idx="0">
                  <c:v>Year 1</c:v>
                </c:pt>
                <c:pt idx="1">
                  <c:v>Year 2</c:v>
                </c:pt>
                <c:pt idx="2">
                  <c:v>Year 3</c:v>
                </c:pt>
                <c:pt idx="3">
                  <c:v>Year 4</c:v>
                </c:pt>
                <c:pt idx="4">
                  <c:v>Year 5</c:v>
                </c:pt>
              </c:strCache>
            </c:strRef>
          </c:cat>
          <c:val>
            <c:numRef>
              <c:f>Infrastructure!$BQ$38:$BU$38</c:f>
              <c:numCache>
                <c:formatCode>"$"#,##0_);\("$"#,##0\)</c:formatCode>
                <c:ptCount val="5"/>
                <c:pt idx="0">
                  <c:v>0</c:v>
                </c:pt>
                <c:pt idx="1">
                  <c:v>0</c:v>
                </c:pt>
                <c:pt idx="2">
                  <c:v>0</c:v>
                </c:pt>
                <c:pt idx="3" formatCode="General">
                  <c:v>0</c:v>
                </c:pt>
                <c:pt idx="4" formatCode="General">
                  <c:v>0</c:v>
                </c:pt>
              </c:numCache>
            </c:numRef>
          </c:val>
          <c:extLst>
            <c:ext xmlns:c14="http://schemas.microsoft.com/office/drawing/2007/8/2/chart" uri="{6F2FDCE9-48DA-4B69-8628-5D25D57E5C99}">
              <c14:invertSolidFillFmt>
                <c14:spPr xmlns:c14="http://schemas.microsoft.com/office/drawing/2007/8/2/chart">
                  <a:solidFill>
                    <a:srgbClr val="B43651"/>
                  </a:solidFill>
                  <a:ln w="25400">
                    <a:solidFill>
                      <a:schemeClr val="tx1"/>
                    </a:solidFill>
                  </a:ln>
                  <a:effectLst/>
                </c14:spPr>
              </c14:invertSolidFillFmt>
            </c:ext>
            <c:ext xmlns:c16="http://schemas.microsoft.com/office/drawing/2014/chart" uri="{C3380CC4-5D6E-409C-BE32-E72D297353CC}">
              <c16:uniqueId val="{00000002-7316-4967-8619-A5BDF70A0563}"/>
            </c:ext>
          </c:extLst>
        </c:ser>
        <c:dLbls>
          <c:showLegendKey val="0"/>
          <c:showVal val="0"/>
          <c:showCatName val="0"/>
          <c:showSerName val="0"/>
          <c:showPercent val="0"/>
          <c:showBubbleSize val="0"/>
        </c:dLbls>
        <c:gapWidth val="219"/>
        <c:overlap val="-27"/>
        <c:axId val="1326108703"/>
        <c:axId val="1326108287"/>
      </c:barChart>
      <c:catAx>
        <c:axId val="1326108703"/>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75000"/>
                    <a:lumOff val="25000"/>
                  </a:schemeClr>
                </a:solidFill>
                <a:latin typeface="+mn-lt"/>
                <a:ea typeface="+mn-ea"/>
                <a:cs typeface="+mn-cs"/>
              </a:defRPr>
            </a:pPr>
            <a:endParaRPr lang="en-US"/>
          </a:p>
        </c:txPr>
        <c:crossAx val="1326108287"/>
        <c:crosses val="autoZero"/>
        <c:auto val="1"/>
        <c:lblAlgn val="ctr"/>
        <c:lblOffset val="100"/>
        <c:noMultiLvlLbl val="1"/>
      </c:catAx>
      <c:valAx>
        <c:axId val="1326108287"/>
        <c:scaling>
          <c:orientation val="minMax"/>
        </c:scaling>
        <c:delete val="0"/>
        <c:axPos val="l"/>
        <c:majorGridlines>
          <c:spPr>
            <a:ln w="3175" cap="flat" cmpd="sng" algn="ctr">
              <a:solidFill>
                <a:schemeClr val="tx1">
                  <a:lumMod val="15000"/>
                  <a:lumOff val="85000"/>
                  <a:alpha val="56000"/>
                </a:schemeClr>
              </a:solidFill>
              <a:round/>
            </a:ln>
            <a:effectLst/>
          </c:spPr>
        </c:majorGridlines>
        <c:numFmt formatCode="&quot;$&quot;#,##0_);\(&quot;$&quot;#,##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32610870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8.0762836300138738E-2"/>
          <c:y val="0.1229068970582919"/>
          <c:w val="0.9192371636998613"/>
          <c:h val="0.662183895403884"/>
        </c:manualLayout>
      </c:layout>
      <c:barChart>
        <c:barDir val="col"/>
        <c:grouping val="clustered"/>
        <c:varyColors val="0"/>
        <c:ser>
          <c:idx val="0"/>
          <c:order val="0"/>
          <c:spPr>
            <a:solidFill>
              <a:srgbClr val="009900"/>
            </a:solidFill>
            <a:ln>
              <a:solidFill>
                <a:schemeClr val="tx1"/>
              </a:solidFill>
              <a:bevel/>
            </a:ln>
            <a:effectLst>
              <a:glow>
                <a:schemeClr val="accent1"/>
              </a:glow>
              <a:outerShdw blurRad="40005" dist="22860" dir="5400000" algn="ctr" rotWithShape="0">
                <a:srgbClr val="000000">
                  <a:alpha val="35000"/>
                </a:srgbClr>
              </a:outerShdw>
            </a:effectLst>
            <a:scene3d>
              <a:camera prst="orthographicFront"/>
              <a:lightRig rig="threePt" dir="t">
                <a:rot lat="0" lon="0" rev="1200000"/>
              </a:lightRig>
            </a:scene3d>
            <a:sp3d>
              <a:bevelT w="63500" h="25400"/>
            </a:sp3d>
          </c:spPr>
          <c:invertIfNegative val="0"/>
          <c:dPt>
            <c:idx val="58"/>
            <c:invertIfNegative val="0"/>
            <c:bubble3D val="0"/>
            <c:spPr>
              <a:solidFill>
                <a:srgbClr val="009900"/>
              </a:solidFill>
              <a:ln>
                <a:solidFill>
                  <a:schemeClr val="tx1"/>
                </a:solidFill>
                <a:bevel/>
              </a:ln>
              <a:effectLst>
                <a:glow>
                  <a:schemeClr val="accent1">
                    <a:alpha val="96000"/>
                  </a:schemeClr>
                </a:glow>
                <a:outerShdw blurRad="40005" dist="22860" dir="5400000" algn="ctr" rotWithShape="0">
                  <a:srgbClr val="000000">
                    <a:alpha val="35000"/>
                  </a:srgbClr>
                </a:outerShdw>
              </a:effectLst>
              <a:scene3d>
                <a:camera prst="orthographicFront"/>
                <a:lightRig rig="threePt" dir="t">
                  <a:rot lat="0" lon="0" rev="1200000"/>
                </a:lightRig>
              </a:scene3d>
              <a:sp3d>
                <a:bevelT w="63500" h="25400"/>
                <a:bevelB w="63500" h="25400"/>
              </a:sp3d>
            </c:spPr>
            <c:extLst>
              <c:ext xmlns:c16="http://schemas.microsoft.com/office/drawing/2014/chart" uri="{C3380CC4-5D6E-409C-BE32-E72D297353CC}">
                <c16:uniqueId val="{00000001-BCC3-4B54-9FA7-F1053609FE74}"/>
              </c:ext>
            </c:extLst>
          </c:dPt>
          <c:cat>
            <c:numRef>
              <c:f>Calcs!$I$64:$BP$64</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Calcs!$I$65:$BP$65</c:f>
              <c:numCache>
                <c:formatCode>"$"#,##0_);\("$"#,##0\)</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extLst>
            <c:ext xmlns:c16="http://schemas.microsoft.com/office/drawing/2014/chart" uri="{C3380CC4-5D6E-409C-BE32-E72D297353CC}">
              <c16:uniqueId val="{00000002-BCC3-4B54-9FA7-F1053609FE74}"/>
            </c:ext>
          </c:extLst>
        </c:ser>
        <c:ser>
          <c:idx val="1"/>
          <c:order val="1"/>
          <c:spPr>
            <a:solidFill>
              <a:srgbClr val="C63030"/>
            </a:solidFill>
            <a:ln cap="flat">
              <a:solidFill>
                <a:schemeClr val="tx1"/>
              </a:solidFill>
              <a:bevel/>
            </a:ln>
            <a:effectLst>
              <a:outerShdw blurRad="40005" dist="22860" dir="5400000" algn="ctr" rotWithShape="0">
                <a:srgbClr val="000000">
                  <a:alpha val="35000"/>
                </a:srgbClr>
              </a:outerShdw>
            </a:effectLst>
            <a:scene3d>
              <a:camera prst="orthographicFront"/>
              <a:lightRig rig="threePt" dir="t">
                <a:rot lat="0" lon="0" rev="1200000"/>
              </a:lightRig>
            </a:scene3d>
            <a:sp3d>
              <a:bevelT w="63500" h="25400"/>
              <a:bevelB w="63500" h="25400"/>
            </a:sp3d>
          </c:spPr>
          <c:invertIfNegative val="0"/>
          <c:dPt>
            <c:idx val="2"/>
            <c:invertIfNegative val="0"/>
            <c:bubble3D val="0"/>
            <c:extLst>
              <c:ext xmlns:c16="http://schemas.microsoft.com/office/drawing/2014/chart" uri="{C3380CC4-5D6E-409C-BE32-E72D297353CC}">
                <c16:uniqueId val="{00000003-BCC3-4B54-9FA7-F1053609FE74}"/>
              </c:ext>
            </c:extLst>
          </c:dPt>
          <c:cat>
            <c:numRef>
              <c:f>Calcs!$I$64:$BP$64</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Calcs!$I$66:$BP$66</c:f>
              <c:numCache>
                <c:formatCode>"$"#,##0_);\("$"#,##0\)</c:formatCode>
                <c:ptCount val="6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numCache>
            </c:numRef>
          </c:val>
          <c:extLst>
            <c:ext xmlns:c16="http://schemas.microsoft.com/office/drawing/2014/chart" uri="{C3380CC4-5D6E-409C-BE32-E72D297353CC}">
              <c16:uniqueId val="{00000004-BCC3-4B54-9FA7-F1053609FE74}"/>
            </c:ext>
          </c:extLst>
        </c:ser>
        <c:ser>
          <c:idx val="2"/>
          <c:order val="2"/>
          <c:spPr>
            <a:solidFill>
              <a:srgbClr val="00B0F0"/>
            </a:solidFill>
            <a:ln>
              <a:solidFill>
                <a:schemeClr val="tx1"/>
              </a:solidFill>
              <a:bevel/>
            </a:ln>
          </c:spPr>
          <c:invertIfNegative val="0"/>
          <c:dPt>
            <c:idx val="59"/>
            <c:invertIfNegative val="0"/>
            <c:bubble3D val="0"/>
            <c:spPr>
              <a:solidFill>
                <a:srgbClr val="00B0F0"/>
              </a:solidFill>
              <a:ln w="19050">
                <a:solidFill>
                  <a:schemeClr val="tx1"/>
                </a:solidFill>
                <a:bevel/>
              </a:ln>
              <a:effectLst>
                <a:glow>
                  <a:schemeClr val="accent1"/>
                </a:glow>
                <a:outerShdw blurRad="40005" dist="22860" dir="5400000" algn="ctr" rotWithShape="0">
                  <a:srgbClr val="000000">
                    <a:alpha val="35000"/>
                  </a:srgbClr>
                </a:outerShdw>
              </a:effectLst>
              <a:scene3d>
                <a:camera prst="orthographicFront"/>
                <a:lightRig rig="threePt" dir="t">
                  <a:rot lat="0" lon="0" rev="1200000"/>
                </a:lightRig>
              </a:scene3d>
              <a:sp3d>
                <a:bevelT w="63500" h="25400"/>
                <a:bevelB w="63500" h="25400"/>
              </a:sp3d>
            </c:spPr>
            <c:extLst>
              <c:ext xmlns:c16="http://schemas.microsoft.com/office/drawing/2014/chart" uri="{C3380CC4-5D6E-409C-BE32-E72D297353CC}">
                <c16:uniqueId val="{00000006-BCC3-4B54-9FA7-F1053609FE74}"/>
              </c:ext>
            </c:extLst>
          </c:dPt>
          <c:cat>
            <c:numRef>
              <c:f>Calcs!$I$64:$BP$64</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Calcs!$I$67:$BP$67</c:f>
              <c:numCache>
                <c:formatCode>"$"#,##0_);\("$"#,##0\)</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extLst>
            <c:ext xmlns:c16="http://schemas.microsoft.com/office/drawing/2014/chart" uri="{C3380CC4-5D6E-409C-BE32-E72D297353CC}">
              <c16:uniqueId val="{00000007-BCC3-4B54-9FA7-F1053609FE74}"/>
            </c:ext>
          </c:extLst>
        </c:ser>
        <c:ser>
          <c:idx val="3"/>
          <c:order val="3"/>
          <c:spPr>
            <a:solidFill>
              <a:srgbClr val="FF9900"/>
            </a:solidFill>
            <a:ln>
              <a:solidFill>
                <a:schemeClr val="tx1"/>
              </a:solidFill>
              <a:bevel/>
            </a:ln>
            <a:effectLst>
              <a:outerShdw blurRad="40005" dist="22860" dir="5400000" algn="ctr" rotWithShape="0">
                <a:srgbClr val="000000">
                  <a:alpha val="35000"/>
                </a:srgbClr>
              </a:outerShdw>
            </a:effectLst>
            <a:scene3d>
              <a:camera prst="orthographicFront"/>
              <a:lightRig rig="threePt" dir="t"/>
            </a:scene3d>
            <a:sp3d>
              <a:bevelT w="63500" h="25400"/>
            </a:sp3d>
          </c:spPr>
          <c:invertIfNegative val="0"/>
          <c:dPt>
            <c:idx val="2"/>
            <c:invertIfNegative val="0"/>
            <c:bubble3D val="0"/>
            <c:spPr>
              <a:solidFill>
                <a:srgbClr val="FF9900"/>
              </a:solidFill>
              <a:ln w="19050" cap="rnd">
                <a:solidFill>
                  <a:schemeClr val="tx1"/>
                </a:solidFill>
                <a:bevel/>
              </a:ln>
              <a:effectLst>
                <a:glow>
                  <a:schemeClr val="accent1"/>
                </a:glow>
                <a:outerShdw blurRad="40005" dist="22860" dir="5400000" algn="ctr" rotWithShape="0">
                  <a:srgbClr val="000000">
                    <a:alpha val="35000"/>
                  </a:srgbClr>
                </a:outerShdw>
                <a:softEdge rad="0"/>
              </a:effectLst>
              <a:scene3d>
                <a:camera prst="orthographicFront"/>
                <a:lightRig rig="threePt" dir="t">
                  <a:rot lat="0" lon="0" rev="1200000"/>
                </a:lightRig>
              </a:scene3d>
              <a:sp3d>
                <a:bevelT w="63500" h="25400"/>
                <a:bevelB w="63500" h="25400"/>
              </a:sp3d>
            </c:spPr>
            <c:extLst>
              <c:ext xmlns:c16="http://schemas.microsoft.com/office/drawing/2014/chart" uri="{C3380CC4-5D6E-409C-BE32-E72D297353CC}">
                <c16:uniqueId val="{00000009-BCC3-4B54-9FA7-F1053609FE74}"/>
              </c:ext>
            </c:extLst>
          </c:dPt>
          <c:dPt>
            <c:idx val="21"/>
            <c:invertIfNegative val="0"/>
            <c:bubble3D val="0"/>
            <c:extLst>
              <c:ext xmlns:c16="http://schemas.microsoft.com/office/drawing/2014/chart" uri="{C3380CC4-5D6E-409C-BE32-E72D297353CC}">
                <c16:uniqueId val="{0000000A-BCC3-4B54-9FA7-F1053609FE74}"/>
              </c:ext>
            </c:extLst>
          </c:dPt>
          <c:cat>
            <c:numRef>
              <c:f>Calcs!$I$64:$BP$64</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Calcs!$I$68:$BP$68</c:f>
              <c:numCache>
                <c:formatCode>"$"#,##0_);\("$"#,##0\)</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extLst>
            <c:ext xmlns:c16="http://schemas.microsoft.com/office/drawing/2014/chart" uri="{C3380CC4-5D6E-409C-BE32-E72D297353CC}">
              <c16:uniqueId val="{0000000B-BCC3-4B54-9FA7-F1053609FE74}"/>
            </c:ext>
          </c:extLst>
        </c:ser>
        <c:dLbls>
          <c:showLegendKey val="0"/>
          <c:showVal val="0"/>
          <c:showCatName val="0"/>
          <c:showSerName val="0"/>
          <c:showPercent val="0"/>
          <c:showBubbleSize val="0"/>
        </c:dLbls>
        <c:gapWidth val="40"/>
        <c:overlap val="100"/>
        <c:axId val="361267672"/>
        <c:axId val="361269240"/>
      </c:barChart>
      <c:dateAx>
        <c:axId val="361267672"/>
        <c:scaling>
          <c:orientation val="minMax"/>
        </c:scaling>
        <c:delete val="0"/>
        <c:axPos val="b"/>
        <c:numFmt formatCode="[$-409]mmm\-yy;@" sourceLinked="1"/>
        <c:majorTickMark val="out"/>
        <c:minorTickMark val="none"/>
        <c:tickLblPos val="low"/>
        <c:txPr>
          <a:bodyPr/>
          <a:lstStyle/>
          <a:p>
            <a:pPr>
              <a:defRPr sz="900" b="1">
                <a:solidFill>
                  <a:schemeClr val="tx1">
                    <a:lumMod val="65000"/>
                    <a:lumOff val="35000"/>
                  </a:schemeClr>
                </a:solidFill>
              </a:defRPr>
            </a:pPr>
            <a:endParaRPr lang="en-US"/>
          </a:p>
        </c:txPr>
        <c:crossAx val="361269240"/>
        <c:crosses val="autoZero"/>
        <c:auto val="1"/>
        <c:lblOffset val="100"/>
        <c:baseTimeUnit val="months"/>
      </c:dateAx>
      <c:valAx>
        <c:axId val="361269240"/>
        <c:scaling>
          <c:orientation val="minMax"/>
        </c:scaling>
        <c:delete val="0"/>
        <c:axPos val="l"/>
        <c:majorGridlines>
          <c:spPr>
            <a:ln>
              <a:noFill/>
            </a:ln>
          </c:spPr>
        </c:majorGridlines>
        <c:numFmt formatCode="&quot;$&quot;#,##0_);\(&quot;$&quot;#,##0\)" sourceLinked="1"/>
        <c:majorTickMark val="none"/>
        <c:minorTickMark val="none"/>
        <c:tickLblPos val="nextTo"/>
        <c:spPr>
          <a:ln>
            <a:noFill/>
          </a:ln>
        </c:spPr>
        <c:txPr>
          <a:bodyPr/>
          <a:lstStyle/>
          <a:p>
            <a:pPr>
              <a:defRPr sz="900" b="1" i="0" baseline="0">
                <a:solidFill>
                  <a:schemeClr val="tx1">
                    <a:lumMod val="65000"/>
                    <a:lumOff val="35000"/>
                  </a:schemeClr>
                </a:solidFill>
                <a:latin typeface="Calibri" panose="020F0502020204030204" pitchFamily="34" charset="0"/>
              </a:defRPr>
            </a:pPr>
            <a:endParaRPr lang="en-US"/>
          </a:p>
        </c:txPr>
        <c:crossAx val="361267672"/>
        <c:crosses val="autoZero"/>
        <c:crossBetween val="between"/>
      </c:valAx>
      <c:spPr>
        <a:noFill/>
        <a:ln>
          <a:noFill/>
        </a:ln>
      </c:spPr>
    </c:plotArea>
    <c:plotVisOnly val="0"/>
    <c:dispBlanksAs val="gap"/>
    <c:showDLblsOverMax val="0"/>
  </c:chart>
  <c:spPr>
    <a:noFill/>
    <a:ln>
      <a:noFill/>
    </a:ln>
  </c:spPr>
  <c:printSettings>
    <c:headerFooter/>
    <c:pageMargins b="0.75" l="0.7" r="0.7" t="0.75" header="0.3" footer="0.3"/>
    <c:pageSetup orientation="portrait"/>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8.0762836300138738E-2"/>
          <c:y val="0.1229068970582919"/>
          <c:w val="0.9192371636998613"/>
          <c:h val="0.662183895403884"/>
        </c:manualLayout>
      </c:layout>
      <c:barChart>
        <c:barDir val="col"/>
        <c:grouping val="clustered"/>
        <c:varyColors val="0"/>
        <c:ser>
          <c:idx val="0"/>
          <c:order val="0"/>
          <c:spPr>
            <a:solidFill>
              <a:srgbClr val="009900"/>
            </a:solidFill>
            <a:ln>
              <a:solidFill>
                <a:schemeClr val="tx1"/>
              </a:solidFill>
              <a:bevel/>
            </a:ln>
            <a:effectLst>
              <a:glow>
                <a:schemeClr val="accent1"/>
              </a:glow>
              <a:outerShdw blurRad="40005" dist="22860" dir="5400000" algn="ctr" rotWithShape="0">
                <a:srgbClr val="000000">
                  <a:alpha val="35000"/>
                </a:srgbClr>
              </a:outerShdw>
            </a:effectLst>
            <a:scene3d>
              <a:camera prst="orthographicFront"/>
              <a:lightRig rig="threePt" dir="t">
                <a:rot lat="0" lon="0" rev="1200000"/>
              </a:lightRig>
            </a:scene3d>
            <a:sp3d>
              <a:bevelT w="63500" h="25400"/>
            </a:sp3d>
          </c:spPr>
          <c:invertIfNegative val="0"/>
          <c:dPt>
            <c:idx val="58"/>
            <c:invertIfNegative val="0"/>
            <c:bubble3D val="0"/>
            <c:spPr>
              <a:solidFill>
                <a:srgbClr val="009900"/>
              </a:solidFill>
              <a:ln>
                <a:solidFill>
                  <a:schemeClr val="tx1"/>
                </a:solidFill>
                <a:bevel/>
              </a:ln>
              <a:effectLst>
                <a:glow>
                  <a:schemeClr val="accent1">
                    <a:alpha val="96000"/>
                  </a:schemeClr>
                </a:glow>
                <a:outerShdw blurRad="40005" dist="22860" dir="5400000" algn="ctr" rotWithShape="0">
                  <a:srgbClr val="000000">
                    <a:alpha val="35000"/>
                  </a:srgbClr>
                </a:outerShdw>
              </a:effectLst>
              <a:scene3d>
                <a:camera prst="orthographicFront"/>
                <a:lightRig rig="threePt" dir="t">
                  <a:rot lat="0" lon="0" rev="1200000"/>
                </a:lightRig>
              </a:scene3d>
              <a:sp3d>
                <a:bevelT w="63500" h="25400"/>
                <a:bevelB w="63500" h="25400"/>
              </a:sp3d>
            </c:spPr>
            <c:extLst>
              <c:ext xmlns:c16="http://schemas.microsoft.com/office/drawing/2014/chart" uri="{C3380CC4-5D6E-409C-BE32-E72D297353CC}">
                <c16:uniqueId val="{00000001-C711-4622-97B9-A2E614DDB6FF}"/>
              </c:ext>
            </c:extLst>
          </c:dPt>
          <c:cat>
            <c:numRef>
              <c:f>Calcs!$I$70:$BP$70</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Calcs!$I$71:$BP$71</c:f>
              <c:numCache>
                <c:formatCode>"$"#,##0_);\("$"#,##0\)</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extLst>
            <c:ext xmlns:c16="http://schemas.microsoft.com/office/drawing/2014/chart" uri="{C3380CC4-5D6E-409C-BE32-E72D297353CC}">
              <c16:uniqueId val="{00000002-C711-4622-97B9-A2E614DDB6FF}"/>
            </c:ext>
          </c:extLst>
        </c:ser>
        <c:ser>
          <c:idx val="1"/>
          <c:order val="1"/>
          <c:spPr>
            <a:solidFill>
              <a:srgbClr val="C63030"/>
            </a:solidFill>
            <a:ln cap="flat">
              <a:solidFill>
                <a:schemeClr val="tx1"/>
              </a:solidFill>
              <a:bevel/>
            </a:ln>
            <a:effectLst>
              <a:outerShdw blurRad="40005" dist="22860" dir="5400000" algn="ctr" rotWithShape="0">
                <a:srgbClr val="000000">
                  <a:alpha val="35000"/>
                </a:srgbClr>
              </a:outerShdw>
            </a:effectLst>
            <a:scene3d>
              <a:camera prst="orthographicFront"/>
              <a:lightRig rig="threePt" dir="t">
                <a:rot lat="0" lon="0" rev="1200000"/>
              </a:lightRig>
            </a:scene3d>
            <a:sp3d>
              <a:bevelT w="63500" h="25400"/>
              <a:bevelB w="63500" h="25400"/>
            </a:sp3d>
          </c:spPr>
          <c:invertIfNegative val="0"/>
          <c:dPt>
            <c:idx val="2"/>
            <c:invertIfNegative val="0"/>
            <c:bubble3D val="0"/>
            <c:extLst>
              <c:ext xmlns:c16="http://schemas.microsoft.com/office/drawing/2014/chart" uri="{C3380CC4-5D6E-409C-BE32-E72D297353CC}">
                <c16:uniqueId val="{00000003-C711-4622-97B9-A2E614DDB6FF}"/>
              </c:ext>
            </c:extLst>
          </c:dPt>
          <c:cat>
            <c:numRef>
              <c:f>Calcs!$I$70:$BP$70</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Calcs!$I$72:$BP$72</c:f>
              <c:numCache>
                <c:formatCode>"$"#,##0_);\("$"#,##0\)</c:formatCode>
                <c:ptCount val="6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numCache>
            </c:numRef>
          </c:val>
          <c:extLst>
            <c:ext xmlns:c16="http://schemas.microsoft.com/office/drawing/2014/chart" uri="{C3380CC4-5D6E-409C-BE32-E72D297353CC}">
              <c16:uniqueId val="{00000004-C711-4622-97B9-A2E614DDB6FF}"/>
            </c:ext>
          </c:extLst>
        </c:ser>
        <c:ser>
          <c:idx val="2"/>
          <c:order val="2"/>
          <c:spPr>
            <a:solidFill>
              <a:srgbClr val="00B0F0"/>
            </a:solidFill>
            <a:ln>
              <a:solidFill>
                <a:schemeClr val="tx1"/>
              </a:solidFill>
              <a:bevel/>
            </a:ln>
          </c:spPr>
          <c:invertIfNegative val="0"/>
          <c:dPt>
            <c:idx val="59"/>
            <c:invertIfNegative val="0"/>
            <c:bubble3D val="0"/>
            <c:spPr>
              <a:solidFill>
                <a:srgbClr val="00B0F0"/>
              </a:solidFill>
              <a:ln w="19050">
                <a:solidFill>
                  <a:schemeClr val="tx1"/>
                </a:solidFill>
                <a:bevel/>
              </a:ln>
              <a:effectLst>
                <a:glow>
                  <a:schemeClr val="accent1"/>
                </a:glow>
                <a:outerShdw blurRad="40005" dist="22860" dir="5400000" algn="ctr" rotWithShape="0">
                  <a:srgbClr val="000000">
                    <a:alpha val="35000"/>
                  </a:srgbClr>
                </a:outerShdw>
              </a:effectLst>
              <a:scene3d>
                <a:camera prst="orthographicFront"/>
                <a:lightRig rig="threePt" dir="t">
                  <a:rot lat="0" lon="0" rev="1200000"/>
                </a:lightRig>
              </a:scene3d>
              <a:sp3d>
                <a:bevelT w="63500" h="25400"/>
                <a:bevelB w="63500" h="25400"/>
              </a:sp3d>
            </c:spPr>
            <c:extLst>
              <c:ext xmlns:c16="http://schemas.microsoft.com/office/drawing/2014/chart" uri="{C3380CC4-5D6E-409C-BE32-E72D297353CC}">
                <c16:uniqueId val="{00000006-C711-4622-97B9-A2E614DDB6FF}"/>
              </c:ext>
            </c:extLst>
          </c:dPt>
          <c:cat>
            <c:numRef>
              <c:f>Calcs!$I$70:$BP$70</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Calcs!$I$73:$BP$73</c:f>
              <c:numCache>
                <c:formatCode>"$"#,##0_);\("$"#,##0\)</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extLst>
            <c:ext xmlns:c16="http://schemas.microsoft.com/office/drawing/2014/chart" uri="{C3380CC4-5D6E-409C-BE32-E72D297353CC}">
              <c16:uniqueId val="{00000007-C711-4622-97B9-A2E614DDB6FF}"/>
            </c:ext>
          </c:extLst>
        </c:ser>
        <c:ser>
          <c:idx val="3"/>
          <c:order val="3"/>
          <c:spPr>
            <a:solidFill>
              <a:srgbClr val="FF9900"/>
            </a:solidFill>
            <a:ln>
              <a:solidFill>
                <a:schemeClr val="tx1"/>
              </a:solidFill>
              <a:bevel/>
            </a:ln>
            <a:effectLst>
              <a:outerShdw blurRad="40005" dist="22860" dir="5400000" algn="ctr" rotWithShape="0">
                <a:srgbClr val="000000">
                  <a:alpha val="35000"/>
                </a:srgbClr>
              </a:outerShdw>
            </a:effectLst>
            <a:scene3d>
              <a:camera prst="orthographicFront"/>
              <a:lightRig rig="threePt" dir="t"/>
            </a:scene3d>
            <a:sp3d>
              <a:bevelT w="63500" h="25400"/>
            </a:sp3d>
          </c:spPr>
          <c:invertIfNegative val="0"/>
          <c:dPt>
            <c:idx val="2"/>
            <c:invertIfNegative val="0"/>
            <c:bubble3D val="0"/>
            <c:spPr>
              <a:solidFill>
                <a:srgbClr val="FF9900"/>
              </a:solidFill>
              <a:ln w="19050" cap="rnd">
                <a:solidFill>
                  <a:schemeClr val="tx1"/>
                </a:solidFill>
                <a:bevel/>
              </a:ln>
              <a:effectLst>
                <a:glow>
                  <a:schemeClr val="accent1"/>
                </a:glow>
                <a:outerShdw blurRad="40005" dist="22860" dir="5400000" algn="ctr" rotWithShape="0">
                  <a:srgbClr val="000000">
                    <a:alpha val="35000"/>
                  </a:srgbClr>
                </a:outerShdw>
                <a:softEdge rad="0"/>
              </a:effectLst>
              <a:scene3d>
                <a:camera prst="orthographicFront"/>
                <a:lightRig rig="threePt" dir="t">
                  <a:rot lat="0" lon="0" rev="1200000"/>
                </a:lightRig>
              </a:scene3d>
              <a:sp3d>
                <a:bevelT w="63500" h="25400"/>
                <a:bevelB w="63500" h="25400"/>
              </a:sp3d>
            </c:spPr>
            <c:extLst>
              <c:ext xmlns:c16="http://schemas.microsoft.com/office/drawing/2014/chart" uri="{C3380CC4-5D6E-409C-BE32-E72D297353CC}">
                <c16:uniqueId val="{00000009-C711-4622-97B9-A2E614DDB6FF}"/>
              </c:ext>
            </c:extLst>
          </c:dPt>
          <c:dPt>
            <c:idx val="21"/>
            <c:invertIfNegative val="0"/>
            <c:bubble3D val="0"/>
            <c:extLst>
              <c:ext xmlns:c16="http://schemas.microsoft.com/office/drawing/2014/chart" uri="{C3380CC4-5D6E-409C-BE32-E72D297353CC}">
                <c16:uniqueId val="{0000000A-C711-4622-97B9-A2E614DDB6FF}"/>
              </c:ext>
            </c:extLst>
          </c:dPt>
          <c:cat>
            <c:numRef>
              <c:f>Calcs!$I$70:$BP$70</c:f>
              <c:numCache>
                <c:formatCode>[$-409]mmm\-yy;@</c:formatCode>
                <c:ptCount val="60"/>
                <c:pt idx="0">
                  <c:v>0</c:v>
                </c:pt>
                <c:pt idx="1">
                  <c:v>59</c:v>
                </c:pt>
                <c:pt idx="2">
                  <c:v>91</c:v>
                </c:pt>
                <c:pt idx="3">
                  <c:v>121</c:v>
                </c:pt>
                <c:pt idx="4">
                  <c:v>152</c:v>
                </c:pt>
                <c:pt idx="5">
                  <c:v>182</c:v>
                </c:pt>
                <c:pt idx="6">
                  <c:v>213</c:v>
                </c:pt>
                <c:pt idx="7">
                  <c:v>244</c:v>
                </c:pt>
                <c:pt idx="8">
                  <c:v>274</c:v>
                </c:pt>
                <c:pt idx="9">
                  <c:v>305</c:v>
                </c:pt>
                <c:pt idx="10">
                  <c:v>335</c:v>
                </c:pt>
                <c:pt idx="11">
                  <c:v>366</c:v>
                </c:pt>
                <c:pt idx="12">
                  <c:v>397</c:v>
                </c:pt>
                <c:pt idx="13">
                  <c:v>425</c:v>
                </c:pt>
                <c:pt idx="14">
                  <c:v>456</c:v>
                </c:pt>
                <c:pt idx="15">
                  <c:v>486</c:v>
                </c:pt>
                <c:pt idx="16">
                  <c:v>517</c:v>
                </c:pt>
                <c:pt idx="17">
                  <c:v>547</c:v>
                </c:pt>
                <c:pt idx="18">
                  <c:v>578</c:v>
                </c:pt>
                <c:pt idx="19">
                  <c:v>609</c:v>
                </c:pt>
                <c:pt idx="20">
                  <c:v>639</c:v>
                </c:pt>
                <c:pt idx="21">
                  <c:v>670</c:v>
                </c:pt>
                <c:pt idx="22">
                  <c:v>700</c:v>
                </c:pt>
                <c:pt idx="23">
                  <c:v>731</c:v>
                </c:pt>
                <c:pt idx="24">
                  <c:v>762</c:v>
                </c:pt>
                <c:pt idx="25">
                  <c:v>790</c:v>
                </c:pt>
                <c:pt idx="26">
                  <c:v>821</c:v>
                </c:pt>
                <c:pt idx="27">
                  <c:v>851</c:v>
                </c:pt>
                <c:pt idx="28">
                  <c:v>882</c:v>
                </c:pt>
                <c:pt idx="29">
                  <c:v>912</c:v>
                </c:pt>
                <c:pt idx="30">
                  <c:v>943</c:v>
                </c:pt>
                <c:pt idx="31">
                  <c:v>974</c:v>
                </c:pt>
                <c:pt idx="32">
                  <c:v>1004</c:v>
                </c:pt>
                <c:pt idx="33">
                  <c:v>1035</c:v>
                </c:pt>
                <c:pt idx="34">
                  <c:v>1065</c:v>
                </c:pt>
                <c:pt idx="35">
                  <c:v>1096</c:v>
                </c:pt>
                <c:pt idx="36">
                  <c:v>1127</c:v>
                </c:pt>
                <c:pt idx="37">
                  <c:v>1155</c:v>
                </c:pt>
                <c:pt idx="38">
                  <c:v>1186</c:v>
                </c:pt>
                <c:pt idx="39">
                  <c:v>1216</c:v>
                </c:pt>
                <c:pt idx="40">
                  <c:v>1247</c:v>
                </c:pt>
                <c:pt idx="41">
                  <c:v>1277</c:v>
                </c:pt>
                <c:pt idx="42">
                  <c:v>1308</c:v>
                </c:pt>
                <c:pt idx="43">
                  <c:v>1339</c:v>
                </c:pt>
                <c:pt idx="44">
                  <c:v>1369</c:v>
                </c:pt>
                <c:pt idx="45">
                  <c:v>1400</c:v>
                </c:pt>
                <c:pt idx="46">
                  <c:v>1430</c:v>
                </c:pt>
                <c:pt idx="47">
                  <c:v>1461</c:v>
                </c:pt>
                <c:pt idx="48">
                  <c:v>1492</c:v>
                </c:pt>
                <c:pt idx="49">
                  <c:v>1521</c:v>
                </c:pt>
                <c:pt idx="50">
                  <c:v>1552</c:v>
                </c:pt>
                <c:pt idx="51">
                  <c:v>1582</c:v>
                </c:pt>
                <c:pt idx="52">
                  <c:v>1613</c:v>
                </c:pt>
                <c:pt idx="53">
                  <c:v>1643</c:v>
                </c:pt>
                <c:pt idx="54">
                  <c:v>1674</c:v>
                </c:pt>
                <c:pt idx="55">
                  <c:v>1705</c:v>
                </c:pt>
                <c:pt idx="56">
                  <c:v>1735</c:v>
                </c:pt>
                <c:pt idx="57">
                  <c:v>1766</c:v>
                </c:pt>
                <c:pt idx="58">
                  <c:v>1796</c:v>
                </c:pt>
                <c:pt idx="59">
                  <c:v>1827</c:v>
                </c:pt>
              </c:numCache>
            </c:numRef>
          </c:cat>
          <c:val>
            <c:numRef>
              <c:f>Calcs!$I$74:$BP$74</c:f>
              <c:numCache>
                <c:formatCode>"$"#,##0_);\("$"#,##0\)</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extLst>
            <c:ext xmlns:c16="http://schemas.microsoft.com/office/drawing/2014/chart" uri="{C3380CC4-5D6E-409C-BE32-E72D297353CC}">
              <c16:uniqueId val="{0000000B-C711-4622-97B9-A2E614DDB6FF}"/>
            </c:ext>
          </c:extLst>
        </c:ser>
        <c:dLbls>
          <c:showLegendKey val="0"/>
          <c:showVal val="0"/>
          <c:showCatName val="0"/>
          <c:showSerName val="0"/>
          <c:showPercent val="0"/>
          <c:showBubbleSize val="0"/>
        </c:dLbls>
        <c:gapWidth val="40"/>
        <c:overlap val="100"/>
        <c:axId val="361267672"/>
        <c:axId val="361269240"/>
      </c:barChart>
      <c:dateAx>
        <c:axId val="361267672"/>
        <c:scaling>
          <c:orientation val="minMax"/>
        </c:scaling>
        <c:delete val="0"/>
        <c:axPos val="b"/>
        <c:numFmt formatCode="[$-409]mmm\-yy;@" sourceLinked="1"/>
        <c:majorTickMark val="out"/>
        <c:minorTickMark val="none"/>
        <c:tickLblPos val="low"/>
        <c:txPr>
          <a:bodyPr/>
          <a:lstStyle/>
          <a:p>
            <a:pPr>
              <a:defRPr b="1">
                <a:solidFill>
                  <a:schemeClr val="tx1">
                    <a:lumMod val="65000"/>
                    <a:lumOff val="35000"/>
                  </a:schemeClr>
                </a:solidFill>
              </a:defRPr>
            </a:pPr>
            <a:endParaRPr lang="en-US"/>
          </a:p>
        </c:txPr>
        <c:crossAx val="361269240"/>
        <c:crosses val="autoZero"/>
        <c:auto val="1"/>
        <c:lblOffset val="100"/>
        <c:baseTimeUnit val="months"/>
      </c:dateAx>
      <c:valAx>
        <c:axId val="361269240"/>
        <c:scaling>
          <c:orientation val="minMax"/>
        </c:scaling>
        <c:delete val="0"/>
        <c:axPos val="l"/>
        <c:majorGridlines>
          <c:spPr>
            <a:ln>
              <a:noFill/>
            </a:ln>
          </c:spPr>
        </c:majorGridlines>
        <c:numFmt formatCode="&quot;$&quot;#,##0_);\(&quot;$&quot;#,##0\)" sourceLinked="1"/>
        <c:majorTickMark val="none"/>
        <c:minorTickMark val="none"/>
        <c:tickLblPos val="nextTo"/>
        <c:spPr>
          <a:ln>
            <a:noFill/>
          </a:ln>
        </c:spPr>
        <c:txPr>
          <a:bodyPr/>
          <a:lstStyle/>
          <a:p>
            <a:pPr>
              <a:defRPr sz="900" b="1" i="0" baseline="0">
                <a:solidFill>
                  <a:schemeClr val="tx1">
                    <a:lumMod val="65000"/>
                    <a:lumOff val="35000"/>
                  </a:schemeClr>
                </a:solidFill>
                <a:latin typeface="Calibri" panose="020F0502020204030204" pitchFamily="34" charset="0"/>
              </a:defRPr>
            </a:pPr>
            <a:endParaRPr lang="en-US"/>
          </a:p>
        </c:txPr>
        <c:crossAx val="361267672"/>
        <c:crosses val="autoZero"/>
        <c:crossBetween val="between"/>
      </c:valAx>
      <c:spPr>
        <a:noFill/>
        <a:ln>
          <a:noFill/>
        </a:ln>
      </c:spPr>
    </c:plotArea>
    <c:plotVisOnly val="0"/>
    <c:dispBlanksAs val="gap"/>
    <c:showDLblsOverMax val="0"/>
  </c:chart>
  <c:spPr>
    <a:noFill/>
    <a:ln>
      <a:noFill/>
    </a:ln>
  </c:spPr>
  <c:printSettings>
    <c:headerFooter/>
    <c:pageMargins b="0.75" l="0.7" r="0.7" t="0.75" header="0.3" footer="0.3"/>
    <c:pageSetup orientation="portrait"/>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_xlchart.v2.0</cx:f>
      </cx:strDim>
      <cx:numDim type="val">
        <cx:f>_xlchart.v2.1</cx:f>
      </cx:numDim>
    </cx:data>
  </cx:chartData>
  <cx:chart>
    <cx:plotArea>
      <cx:plotAreaRegion>
        <cx:plotSurface>
          <cx:spPr>
            <a:ln>
              <a:noFill/>
            </a:ln>
          </cx:spPr>
        </cx:plotSurface>
        <cx:series layoutId="funnel" uniqueId="{BED5FB00-33BB-438C-BC1F-F56DAF7503DD}">
          <cx:dataPt idx="0">
            <cx:spPr>
              <a:solidFill>
                <a:srgbClr val="380165"/>
              </a:solidFill>
            </cx:spPr>
          </cx:dataPt>
          <cx:dataPt idx="1">
            <cx:spPr>
              <a:solidFill>
                <a:srgbClr val="3399FF"/>
              </a:solidFill>
            </cx:spPr>
          </cx:dataPt>
          <cx:dataPt idx="2">
            <cx:spPr>
              <a:solidFill>
                <a:srgbClr val="339933"/>
              </a:solidFill>
            </cx:spPr>
          </cx:dataPt>
          <cx:dataPt idx="3">
            <cx:spPr>
              <a:solidFill>
                <a:srgbClr val="F2B800"/>
              </a:solidFill>
            </cx:spPr>
          </cx:dataPt>
          <cx:dataPt idx="4">
            <cx:spPr>
              <a:solidFill>
                <a:srgbClr val="FF6699"/>
              </a:solidFill>
            </cx:spPr>
          </cx:dataPt>
          <cx:dataLabels>
            <cx:txPr>
              <a:bodyPr spcFirstLastPara="1" vertOverflow="ellipsis" horzOverflow="overflow" wrap="square" lIns="0" tIns="0" rIns="0" bIns="0" anchor="ctr" anchorCtr="1"/>
              <a:lstStyle/>
              <a:p>
                <a:pPr algn="ctr" rtl="0">
                  <a:defRPr sz="1200" b="1">
                    <a:solidFill>
                      <a:schemeClr val="bg1"/>
                    </a:solidFill>
                  </a:defRPr>
                </a:pPr>
                <a:endParaRPr lang="en-US" sz="1200" b="1" i="0" u="none" strike="noStrike" baseline="0">
                  <a:solidFill>
                    <a:schemeClr val="bg1"/>
                  </a:solidFill>
                  <a:latin typeface="Calibri"/>
                </a:endParaRPr>
              </a:p>
            </cx:txPr>
            <cx:visibility seriesName="0" categoryName="0" value="1"/>
          </cx:dataLabels>
          <cx:dataId val="0"/>
        </cx:series>
      </cx:plotAreaRegion>
      <cx:axis id="0">
        <cx:catScaling gapWidth="0.0599999987"/>
        <cx:tickLabels/>
        <cx:spPr>
          <a:ln>
            <a:noFill/>
          </a:ln>
        </cx:spPr>
        <cx:txPr>
          <a:bodyPr spcFirstLastPara="1" vertOverflow="ellipsis" horzOverflow="overflow" wrap="square" lIns="0" tIns="0" rIns="0" bIns="0" anchor="ctr" anchorCtr="1"/>
          <a:lstStyle/>
          <a:p>
            <a:pPr algn="ctr" rtl="0">
              <a:defRPr sz="1050" b="1"/>
            </a:pPr>
            <a:endParaRPr lang="en-US" sz="1050" b="1" i="0" u="none" strike="noStrike" baseline="0">
              <a:solidFill>
                <a:sysClr val="windowText" lastClr="000000">
                  <a:lumMod val="65000"/>
                  <a:lumOff val="35000"/>
                </a:sysClr>
              </a:solidFill>
              <a:latin typeface="Calibri"/>
            </a:endParaRPr>
          </a:p>
        </cx:txPr>
      </cx:axis>
    </cx:plotArea>
  </cx:chart>
  <cx:spPr>
    <a:ln>
      <a:noFill/>
    </a:ln>
  </cx:spPr>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419">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Radio" checked="Checked" firstButton="1" fmlaLink="$CY$3"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Radio" lockText="1"/>
</file>

<file path=xl/ctrlProps/ctrlProp6.xml><?xml version="1.0" encoding="utf-8"?>
<formControlPr xmlns="http://schemas.microsoft.com/office/spreadsheetml/2009/9/main" objectType="GBox"/>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Radio" firstButton="1" fmlaLink="$CY$5" lockText="1"/>
</file>

<file path=xl/ctrlProps/ctrlProp10.xml><?xml version="1.0" encoding="utf-8"?>
<formControlPr xmlns="http://schemas.microsoft.com/office/spreadsheetml/2009/9/main" objectType="Radio" lockText="1"/>
</file>

<file path=xl/ctrlProps/ctrlProp11.xml><?xml version="1.0" encoding="utf-8"?>
<formControlPr xmlns="http://schemas.microsoft.com/office/spreadsheetml/2009/9/main" objectType="Radio" firstButton="1" fmlaLink="$DJ$3" lockText="1"/>
</file>

<file path=xl/ctrlProps/ctrlProp12.xml><?xml version="1.0" encoding="utf-8"?>
<formControlPr xmlns="http://schemas.microsoft.com/office/spreadsheetml/2009/9/main" objectType="GBox" noThreeD="1"/>
</file>

<file path=xl/ctrlProps/ctrlProp13.xml><?xml version="1.0" encoding="utf-8"?>
<formControlPr xmlns="http://schemas.microsoft.com/office/spreadsheetml/2009/9/main" objectType="Radio" firstButton="1" fmlaLink="$CY$7" lockText="1"/>
</file>

<file path=xl/ctrlProps/ctrlProp14.xml><?xml version="1.0" encoding="utf-8"?>
<formControlPr xmlns="http://schemas.microsoft.com/office/spreadsheetml/2009/9/main" objectType="Radio" checked="Checked" lockText="1"/>
</file>

<file path=xl/ctrlProps/ctrlProp15.xml><?xml version="1.0" encoding="utf-8"?>
<formControlPr xmlns="http://schemas.microsoft.com/office/spreadsheetml/2009/9/main" objectType="GBox"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Radio" firstButton="1" fmlaLink="$DJ$3" lockText="1"/>
</file>

<file path=xl/ctrlProps/ctrlProp19.xml><?xml version="1.0" encoding="utf-8"?>
<formControlPr xmlns="http://schemas.microsoft.com/office/spreadsheetml/2009/9/main" objectType="Radio" lockText="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GBox" noThreeD="1"/>
</file>

<file path=xl/ctrlProps/ctrlProp22.xml><?xml version="1.0" encoding="utf-8"?>
<formControlPr xmlns="http://schemas.microsoft.com/office/spreadsheetml/2009/9/main" objectType="Radio" firstButton="1" fmlaLink="$DM$3" lockText="1"/>
</file>

<file path=xl/ctrlProps/ctrlProp23.xml><?xml version="1.0" encoding="utf-8"?>
<formControlPr xmlns="http://schemas.microsoft.com/office/spreadsheetml/2009/9/main" objectType="Radio" checked="Checked" lockText="1"/>
</file>

<file path=xl/ctrlProps/ctrlProp24.xml><?xml version="1.0" encoding="utf-8"?>
<formControlPr xmlns="http://schemas.microsoft.com/office/spreadsheetml/2009/9/main" objectType="GBox" noThreeD="1"/>
</file>

<file path=xl/ctrlProps/ctrlProp25.xml><?xml version="1.0" encoding="utf-8"?>
<formControlPr xmlns="http://schemas.microsoft.com/office/spreadsheetml/2009/9/main" objectType="Radio" firstButton="1" fmlaLink="$DV$3" lockText="1"/>
</file>

<file path=xl/ctrlProps/ctrlProp26.xml><?xml version="1.0" encoding="utf-8"?>
<formControlPr xmlns="http://schemas.microsoft.com/office/spreadsheetml/2009/9/main" objectType="Radio" checked="Checked" lockText="1"/>
</file>

<file path=xl/ctrlProps/ctrlProp27.xml><?xml version="1.0" encoding="utf-8"?>
<formControlPr xmlns="http://schemas.microsoft.com/office/spreadsheetml/2009/9/main" objectType="GBox" noThreeD="1"/>
</file>

<file path=xl/ctrlProps/ctrlProp28.xml><?xml version="1.0" encoding="utf-8"?>
<formControlPr xmlns="http://schemas.microsoft.com/office/spreadsheetml/2009/9/main" objectType="Radio" firstButton="1" fmlaLink="$DY$3" lockText="1"/>
</file>

<file path=xl/ctrlProps/ctrlProp29.xml><?xml version="1.0" encoding="utf-8"?>
<formControlPr xmlns="http://schemas.microsoft.com/office/spreadsheetml/2009/9/main" objectType="Radio" checked="Checked" lockText="1"/>
</file>

<file path=xl/ctrlProps/ctrlProp30.xml><?xml version="1.0" encoding="utf-8"?>
<formControlPr xmlns="http://schemas.microsoft.com/office/spreadsheetml/2009/9/main" objectType="Radio" checked="Checked" firstButton="1" fmlaLink="$CY$4" lockText="1"/>
</file>

<file path=xl/ctrlProps/ctrlProp31.xml><?xml version="1.0" encoding="utf-8"?>
<formControlPr xmlns="http://schemas.microsoft.com/office/spreadsheetml/2009/9/main" objectType="Radio" lockText="1"/>
</file>

<file path=xl/ctrlProps/ctrlProp32.xml><?xml version="1.0" encoding="utf-8"?>
<formControlPr xmlns="http://schemas.microsoft.com/office/spreadsheetml/2009/9/main" objectType="Radio" firstButton="1" fmlaLink="$CE$5" lockText="1"/>
</file>

<file path=xl/ctrlProps/ctrlProp33.xml><?xml version="1.0" encoding="utf-8"?>
<formControlPr xmlns="http://schemas.microsoft.com/office/spreadsheetml/2009/9/main" objectType="Radio" checked="Checked" lockText="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Radio" firstButton="1" fmlaLink="$DP$3" lockText="1"/>
</file>

<file path=xl/ctrlProps/ctrlProp36.xml><?xml version="1.0" encoding="utf-8"?>
<formControlPr xmlns="http://schemas.microsoft.com/office/spreadsheetml/2009/9/main" objectType="Radio" checked="Checked" lockText="1"/>
</file>

<file path=xl/ctrlProps/ctrlProp37.xml><?xml version="1.0" encoding="utf-8"?>
<formControlPr xmlns="http://schemas.microsoft.com/office/spreadsheetml/2009/9/main" objectType="GBox" noThreeD="1"/>
</file>

<file path=xl/ctrlProps/ctrlProp38.xml><?xml version="1.0" encoding="utf-8"?>
<formControlPr xmlns="http://schemas.microsoft.com/office/spreadsheetml/2009/9/main" objectType="Radio" firstButton="1" fmlaLink="$DS$3" lockText="1"/>
</file>

<file path=xl/ctrlProps/ctrlProp39.xml><?xml version="1.0" encoding="utf-8"?>
<formControlPr xmlns="http://schemas.microsoft.com/office/spreadsheetml/2009/9/main" objectType="Radio" checked="Checked" lockText="1"/>
</file>

<file path=xl/ctrlProps/ctrlProp40.xml><?xml version="1.0" encoding="utf-8"?>
<formControlPr xmlns="http://schemas.microsoft.com/office/spreadsheetml/2009/9/main" objectType="Scroll" dx="22" fmlaLink="$J$21" max="100" page="10" val="0"/>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5.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microsoft.com/office/2014/relationships/chartEx" Target="../charts/chartEx1.xml"/><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8.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7.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6.png"/><Relationship Id="rId30" Type="http://schemas.openxmlformats.org/officeDocument/2006/relationships/image" Target="../media/image29.png"/></Relationships>
</file>

<file path=xl/drawings/_rels/drawing2.xml.rels><?xml version="1.0" encoding="UTF-8" standalone="yes"?>
<Relationships xmlns="http://schemas.openxmlformats.org/package/2006/relationships"><Relationship Id="rId26" Type="http://schemas.openxmlformats.org/officeDocument/2006/relationships/image" Target="../media/image56.png"/><Relationship Id="rId21" Type="http://schemas.openxmlformats.org/officeDocument/2006/relationships/image" Target="../media/image51.png"/><Relationship Id="rId42" Type="http://schemas.openxmlformats.org/officeDocument/2006/relationships/image" Target="../media/image72.png"/><Relationship Id="rId47" Type="http://schemas.openxmlformats.org/officeDocument/2006/relationships/image" Target="../media/image77.png"/><Relationship Id="rId63" Type="http://schemas.openxmlformats.org/officeDocument/2006/relationships/image" Target="../media/image93.png"/><Relationship Id="rId68" Type="http://schemas.openxmlformats.org/officeDocument/2006/relationships/image" Target="../media/image98.png"/><Relationship Id="rId7" Type="http://schemas.openxmlformats.org/officeDocument/2006/relationships/image" Target="../media/image37.png"/><Relationship Id="rId71" Type="http://schemas.openxmlformats.org/officeDocument/2006/relationships/image" Target="../media/image101.png"/><Relationship Id="rId2" Type="http://schemas.openxmlformats.org/officeDocument/2006/relationships/image" Target="../media/image32.png"/><Relationship Id="rId16" Type="http://schemas.openxmlformats.org/officeDocument/2006/relationships/image" Target="../media/image46.png"/><Relationship Id="rId29" Type="http://schemas.openxmlformats.org/officeDocument/2006/relationships/image" Target="../media/image59.png"/><Relationship Id="rId11" Type="http://schemas.openxmlformats.org/officeDocument/2006/relationships/image" Target="../media/image41.png"/><Relationship Id="rId24" Type="http://schemas.openxmlformats.org/officeDocument/2006/relationships/image" Target="../media/image54.png"/><Relationship Id="rId32" Type="http://schemas.openxmlformats.org/officeDocument/2006/relationships/image" Target="../media/image62.png"/><Relationship Id="rId37" Type="http://schemas.openxmlformats.org/officeDocument/2006/relationships/image" Target="../media/image67.png"/><Relationship Id="rId40" Type="http://schemas.openxmlformats.org/officeDocument/2006/relationships/image" Target="../media/image70.png"/><Relationship Id="rId45" Type="http://schemas.openxmlformats.org/officeDocument/2006/relationships/image" Target="../media/image75.png"/><Relationship Id="rId53" Type="http://schemas.openxmlformats.org/officeDocument/2006/relationships/image" Target="../media/image83.png"/><Relationship Id="rId58" Type="http://schemas.openxmlformats.org/officeDocument/2006/relationships/image" Target="../media/image88.png"/><Relationship Id="rId66" Type="http://schemas.openxmlformats.org/officeDocument/2006/relationships/image" Target="../media/image96.png"/><Relationship Id="rId5" Type="http://schemas.openxmlformats.org/officeDocument/2006/relationships/image" Target="../media/image35.png"/><Relationship Id="rId61" Type="http://schemas.openxmlformats.org/officeDocument/2006/relationships/image" Target="../media/image91.png"/><Relationship Id="rId19" Type="http://schemas.openxmlformats.org/officeDocument/2006/relationships/image" Target="../media/image49.png"/><Relationship Id="rId14" Type="http://schemas.openxmlformats.org/officeDocument/2006/relationships/image" Target="../media/image44.png"/><Relationship Id="rId22" Type="http://schemas.openxmlformats.org/officeDocument/2006/relationships/image" Target="../media/image52.png"/><Relationship Id="rId27" Type="http://schemas.openxmlformats.org/officeDocument/2006/relationships/image" Target="../media/image57.png"/><Relationship Id="rId30" Type="http://schemas.openxmlformats.org/officeDocument/2006/relationships/image" Target="../media/image60.png"/><Relationship Id="rId35" Type="http://schemas.openxmlformats.org/officeDocument/2006/relationships/image" Target="../media/image65.png"/><Relationship Id="rId43" Type="http://schemas.openxmlformats.org/officeDocument/2006/relationships/image" Target="../media/image73.png"/><Relationship Id="rId48" Type="http://schemas.openxmlformats.org/officeDocument/2006/relationships/image" Target="../media/image78.png"/><Relationship Id="rId56" Type="http://schemas.openxmlformats.org/officeDocument/2006/relationships/image" Target="../media/image86.png"/><Relationship Id="rId64" Type="http://schemas.openxmlformats.org/officeDocument/2006/relationships/image" Target="../media/image94.png"/><Relationship Id="rId69" Type="http://schemas.openxmlformats.org/officeDocument/2006/relationships/image" Target="../media/image99.png"/><Relationship Id="rId8" Type="http://schemas.openxmlformats.org/officeDocument/2006/relationships/image" Target="../media/image38.png"/><Relationship Id="rId51" Type="http://schemas.openxmlformats.org/officeDocument/2006/relationships/image" Target="../media/image81.png"/><Relationship Id="rId3" Type="http://schemas.openxmlformats.org/officeDocument/2006/relationships/image" Target="../media/image33.png"/><Relationship Id="rId12" Type="http://schemas.openxmlformats.org/officeDocument/2006/relationships/image" Target="../media/image42.png"/><Relationship Id="rId17" Type="http://schemas.openxmlformats.org/officeDocument/2006/relationships/image" Target="../media/image47.png"/><Relationship Id="rId25" Type="http://schemas.openxmlformats.org/officeDocument/2006/relationships/image" Target="../media/image55.png"/><Relationship Id="rId33" Type="http://schemas.openxmlformats.org/officeDocument/2006/relationships/image" Target="../media/image63.png"/><Relationship Id="rId38" Type="http://schemas.openxmlformats.org/officeDocument/2006/relationships/image" Target="../media/image68.png"/><Relationship Id="rId46" Type="http://schemas.openxmlformats.org/officeDocument/2006/relationships/image" Target="../media/image76.png"/><Relationship Id="rId59" Type="http://schemas.openxmlformats.org/officeDocument/2006/relationships/image" Target="../media/image89.png"/><Relationship Id="rId67" Type="http://schemas.openxmlformats.org/officeDocument/2006/relationships/image" Target="../media/image97.png"/><Relationship Id="rId20" Type="http://schemas.openxmlformats.org/officeDocument/2006/relationships/image" Target="../media/image50.png"/><Relationship Id="rId41" Type="http://schemas.openxmlformats.org/officeDocument/2006/relationships/image" Target="../media/image71.png"/><Relationship Id="rId54" Type="http://schemas.openxmlformats.org/officeDocument/2006/relationships/image" Target="../media/image84.png"/><Relationship Id="rId62" Type="http://schemas.openxmlformats.org/officeDocument/2006/relationships/image" Target="../media/image92.png"/><Relationship Id="rId70" Type="http://schemas.openxmlformats.org/officeDocument/2006/relationships/image" Target="../media/image100.png"/><Relationship Id="rId1" Type="http://schemas.openxmlformats.org/officeDocument/2006/relationships/image" Target="../media/image31.png"/><Relationship Id="rId6" Type="http://schemas.openxmlformats.org/officeDocument/2006/relationships/image" Target="../media/image36.png"/><Relationship Id="rId15" Type="http://schemas.openxmlformats.org/officeDocument/2006/relationships/image" Target="../media/image45.png"/><Relationship Id="rId23" Type="http://schemas.openxmlformats.org/officeDocument/2006/relationships/image" Target="../media/image53.png"/><Relationship Id="rId28" Type="http://schemas.openxmlformats.org/officeDocument/2006/relationships/image" Target="../media/image58.png"/><Relationship Id="rId36" Type="http://schemas.openxmlformats.org/officeDocument/2006/relationships/image" Target="../media/image66.png"/><Relationship Id="rId49" Type="http://schemas.openxmlformats.org/officeDocument/2006/relationships/image" Target="../media/image79.png"/><Relationship Id="rId57" Type="http://schemas.openxmlformats.org/officeDocument/2006/relationships/image" Target="../media/image87.png"/><Relationship Id="rId10" Type="http://schemas.openxmlformats.org/officeDocument/2006/relationships/image" Target="../media/image40.png"/><Relationship Id="rId31" Type="http://schemas.openxmlformats.org/officeDocument/2006/relationships/image" Target="../media/image61.png"/><Relationship Id="rId44" Type="http://schemas.openxmlformats.org/officeDocument/2006/relationships/image" Target="../media/image74.png"/><Relationship Id="rId52" Type="http://schemas.openxmlformats.org/officeDocument/2006/relationships/image" Target="../media/image82.png"/><Relationship Id="rId60" Type="http://schemas.openxmlformats.org/officeDocument/2006/relationships/image" Target="../media/image90.png"/><Relationship Id="rId65" Type="http://schemas.openxmlformats.org/officeDocument/2006/relationships/image" Target="../media/image95.png"/><Relationship Id="rId4" Type="http://schemas.openxmlformats.org/officeDocument/2006/relationships/image" Target="../media/image34.png"/><Relationship Id="rId9" Type="http://schemas.openxmlformats.org/officeDocument/2006/relationships/image" Target="../media/image39.png"/><Relationship Id="rId13" Type="http://schemas.openxmlformats.org/officeDocument/2006/relationships/image" Target="../media/image43.png"/><Relationship Id="rId18" Type="http://schemas.openxmlformats.org/officeDocument/2006/relationships/image" Target="../media/image48.png"/><Relationship Id="rId39" Type="http://schemas.openxmlformats.org/officeDocument/2006/relationships/image" Target="../media/image69.png"/><Relationship Id="rId34" Type="http://schemas.openxmlformats.org/officeDocument/2006/relationships/image" Target="../media/image64.png"/><Relationship Id="rId50" Type="http://schemas.openxmlformats.org/officeDocument/2006/relationships/image" Target="../media/image80.png"/><Relationship Id="rId55" Type="http://schemas.openxmlformats.org/officeDocument/2006/relationships/image" Target="../media/image85.png"/></Relationships>
</file>

<file path=xl/drawings/_rels/drawing3.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32.png"/><Relationship Id="rId5" Type="http://schemas.openxmlformats.org/officeDocument/2006/relationships/hyperlink" Target="#RecurringRevenue"/><Relationship Id="rId4" Type="http://schemas.openxmlformats.org/officeDocument/2006/relationships/hyperlink" Target="#HistoricalsRange"/></Relationships>
</file>

<file path=xl/drawings/_rels/drawing4.xml.rels><?xml version="1.0" encoding="UTF-8" standalone="yes"?>
<Relationships xmlns="http://schemas.openxmlformats.org/package/2006/relationships"><Relationship Id="rId1" Type="http://schemas.openxmlformats.org/officeDocument/2006/relationships/image" Target="../media/image102.png"/></Relationships>
</file>

<file path=xl/drawings/_rels/drawing5.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chart" Target="../charts/chart10.xml"/></Relationships>
</file>

<file path=xl/drawings/_rels/drawing9.xml.rels><?xml version="1.0" encoding="UTF-8" standalone="yes"?>
<Relationships xmlns="http://schemas.openxmlformats.org/package/2006/relationships"><Relationship Id="rId1" Type="http://schemas.openxmlformats.org/officeDocument/2006/relationships/image" Target="../media/image103.png"/></Relationships>
</file>

<file path=xl/drawings/_rels/drawing10.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chart" Target="../charts/chart13.xml"/><Relationship Id="rId1" Type="http://schemas.openxmlformats.org/officeDocument/2006/relationships/chart" Target="../charts/chart12.xml"/><Relationship Id="rId6" Type="http://schemas.openxmlformats.org/officeDocument/2006/relationships/chart" Target="../charts/chart17.xml"/><Relationship Id="rId5" Type="http://schemas.openxmlformats.org/officeDocument/2006/relationships/chart" Target="../charts/chart16.xml"/><Relationship Id="rId4" Type="http://schemas.openxmlformats.org/officeDocument/2006/relationships/chart" Target="../charts/chart15.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20.xml"/><Relationship Id="rId2" Type="http://schemas.openxmlformats.org/officeDocument/2006/relationships/chart" Target="../charts/chart19.xml"/><Relationship Id="rId1" Type="http://schemas.openxmlformats.org/officeDocument/2006/relationships/chart" Target="../charts/chart18.xml"/><Relationship Id="rId6" Type="http://schemas.openxmlformats.org/officeDocument/2006/relationships/chart" Target="../charts/chart23.xml"/><Relationship Id="rId5" Type="http://schemas.openxmlformats.org/officeDocument/2006/relationships/chart" Target="../charts/chart22.xml"/><Relationship Id="rId4" Type="http://schemas.openxmlformats.org/officeDocument/2006/relationships/chart" Target="../charts/chart21.xml"/></Relationships>
</file>

<file path=xl/drawings/drawing1.xml><?xml version="1.0" encoding="utf-8"?>
<xdr:wsDr xmlns:xdr="http://schemas.openxmlformats.org/drawingml/2006/spreadsheetDrawing" xmlns:a="http://schemas.openxmlformats.org/drawingml/2006/main">
  <xdr:twoCellAnchor>
    <xdr:from>
      <xdr:col>2</xdr:col>
      <xdr:colOff>464683</xdr:colOff>
      <xdr:row>7</xdr:row>
      <xdr:rowOff>76200</xdr:rowOff>
    </xdr:from>
    <xdr:to>
      <xdr:col>17</xdr:col>
      <xdr:colOff>481745</xdr:colOff>
      <xdr:row>75</xdr:row>
      <xdr:rowOff>24093</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836283" y="1409700"/>
          <a:ext cx="10304062" cy="129018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2800" b="1">
              <a:solidFill>
                <a:srgbClr val="0000FF"/>
              </a:solidFill>
            </a:rPr>
            <a:t>Accounting</a:t>
          </a:r>
          <a:r>
            <a:rPr lang="en-US" sz="2800" b="1" baseline="0">
              <a:solidFill>
                <a:srgbClr val="0000FF"/>
              </a:solidFill>
            </a:rPr>
            <a:t> 101 </a:t>
          </a:r>
          <a:endParaRPr lang="en-US" sz="2800" b="1">
            <a:solidFill>
              <a:srgbClr val="0000FF"/>
            </a:solidFill>
          </a:endParaRPr>
        </a:p>
        <a:p>
          <a:endParaRPr lang="en-US" sz="1100" b="1">
            <a:solidFill>
              <a:srgbClr val="0000FF"/>
            </a:solidFill>
          </a:endParaRPr>
        </a:p>
        <a:p>
          <a:r>
            <a:rPr lang="en-US" sz="1400" b="1">
              <a:solidFill>
                <a:srgbClr val="0000FF"/>
              </a:solidFill>
            </a:rPr>
            <a:t>What is Accounting? (Adapted</a:t>
          </a:r>
          <a:r>
            <a:rPr lang="en-US" sz="1400" b="1" baseline="0">
              <a:solidFill>
                <a:srgbClr val="0000FF"/>
              </a:solidFill>
            </a:rPr>
            <a:t> from Paul Hynek's course at Pepperdine University in Malibu, CA)</a:t>
          </a:r>
          <a:endParaRPr lang="en-US" sz="1400" b="1">
            <a:solidFill>
              <a:srgbClr val="0000FF"/>
            </a:solidFill>
          </a:endParaRPr>
        </a:p>
        <a:p>
          <a:endParaRPr lang="en-US" sz="1400" b="1">
            <a:solidFill>
              <a:srgbClr val="0000FF"/>
            </a:solidFill>
          </a:endParaRPr>
        </a:p>
        <a:p>
          <a:r>
            <a:rPr lang="en-US" sz="1100" b="1">
              <a:solidFill>
                <a:schemeClr val="tx1">
                  <a:lumMod val="85000"/>
                  <a:lumOff val="15000"/>
                </a:schemeClr>
              </a:solidFill>
            </a:rPr>
            <a:t>Right off the bat, let's</a:t>
          </a:r>
          <a:r>
            <a:rPr lang="en-US" sz="1100" b="1" baseline="0">
              <a:solidFill>
                <a:schemeClr val="tx1">
                  <a:lumMod val="85000"/>
                  <a:lumOff val="15000"/>
                </a:schemeClr>
              </a:solidFill>
            </a:rPr>
            <a:t> dispel a few myths:</a:t>
          </a:r>
        </a:p>
        <a:p>
          <a:endParaRPr lang="en-US" sz="1100" b="1" baseline="0">
            <a:solidFill>
              <a:schemeClr val="tx1">
                <a:lumMod val="85000"/>
                <a:lumOff val="15000"/>
              </a:schemeClr>
            </a:solidFill>
          </a:endParaRPr>
        </a:p>
        <a:p>
          <a:r>
            <a:rPr lang="en-US" sz="1100" b="1" baseline="0">
              <a:solidFill>
                <a:schemeClr val="tx1">
                  <a:lumMod val="85000"/>
                  <a:lumOff val="15000"/>
                </a:schemeClr>
              </a:solidFill>
            </a:rPr>
            <a:t>1. You need a CPA to understand accounting.</a:t>
          </a:r>
        </a:p>
        <a:p>
          <a:r>
            <a:rPr lang="en-US" sz="1100" b="1" baseline="0">
              <a:solidFill>
                <a:schemeClr val="tx1">
                  <a:lumMod val="85000"/>
                  <a:lumOff val="15000"/>
                </a:schemeClr>
              </a:solidFill>
            </a:rPr>
            <a:t>2. You can hire someone to do the accounting for your projections and your business, so you don't need to know this stuff.</a:t>
          </a:r>
        </a:p>
        <a:p>
          <a:r>
            <a:rPr lang="en-US" sz="1100" b="1" baseline="0">
              <a:solidFill>
                <a:schemeClr val="tx1">
                  <a:lumMod val="85000"/>
                  <a:lumOff val="15000"/>
                </a:schemeClr>
              </a:solidFill>
            </a:rPr>
            <a:t>3. It takes way too long to learn enough to make it worth your time.</a:t>
          </a:r>
        </a:p>
        <a:p>
          <a:endParaRPr lang="en-US" sz="1100" b="1" baseline="0">
            <a:solidFill>
              <a:schemeClr val="tx1">
                <a:lumMod val="85000"/>
                <a:lumOff val="15000"/>
              </a:schemeClr>
            </a:solidFill>
          </a:endParaRPr>
        </a:p>
        <a:p>
          <a:r>
            <a:rPr lang="en-US" sz="1100" b="1" baseline="0">
              <a:solidFill>
                <a:schemeClr val="tx1">
                  <a:lumMod val="85000"/>
                  <a:lumOff val="15000"/>
                </a:schemeClr>
              </a:solidFill>
            </a:rPr>
            <a:t>By reading these short instructions and using EZ Numbers, you'll quickly learn the important basics about accounting, and be able to sit in front of investors and walk them through your financial projections - without having that deer in the headlights look.</a:t>
          </a:r>
        </a:p>
        <a:p>
          <a:endParaRPr lang="en-US" sz="1100" b="1" baseline="0">
            <a:solidFill>
              <a:schemeClr val="tx1">
                <a:lumMod val="85000"/>
                <a:lumOff val="15000"/>
              </a:schemeClr>
            </a:solidFill>
          </a:endParaRPr>
        </a:p>
        <a:p>
          <a:r>
            <a:rPr lang="en-US" sz="1100" b="1" baseline="0">
              <a:solidFill>
                <a:schemeClr val="tx1">
                  <a:lumMod val="85000"/>
                  <a:lumOff val="15000"/>
                </a:schemeClr>
              </a:solidFill>
            </a:rPr>
            <a:t>That's the Good News.</a:t>
          </a:r>
        </a:p>
        <a:p>
          <a:br>
            <a:rPr lang="en-US" sz="1100" b="1" baseline="0">
              <a:solidFill>
                <a:schemeClr val="tx1">
                  <a:lumMod val="85000"/>
                  <a:lumOff val="15000"/>
                </a:schemeClr>
              </a:solidFill>
            </a:rPr>
          </a:br>
          <a:r>
            <a:rPr lang="en-US" sz="1100" b="1" baseline="0">
              <a:solidFill>
                <a:schemeClr val="tx1">
                  <a:lumMod val="85000"/>
                  <a:lumOff val="15000"/>
                </a:schemeClr>
              </a:solidFill>
            </a:rPr>
            <a:t>The Bad News - well, that's the Better News. Because there ain't any Bad News.</a:t>
          </a:r>
        </a:p>
        <a:p>
          <a:endParaRPr lang="en-US" sz="1100" b="1" baseline="0">
            <a:solidFill>
              <a:schemeClr val="tx1">
                <a:lumMod val="85000"/>
                <a:lumOff val="15000"/>
              </a:schemeClr>
            </a:solidFill>
          </a:endParaRPr>
        </a:p>
        <a:p>
          <a:r>
            <a:rPr lang="en-US" sz="1100" b="1" baseline="0">
              <a:solidFill>
                <a:schemeClr val="tx1">
                  <a:lumMod val="85000"/>
                  <a:lumOff val="15000"/>
                </a:schemeClr>
              </a:solidFill>
            </a:rPr>
            <a:t>Now let's jump in.</a:t>
          </a:r>
        </a:p>
        <a:p>
          <a:br>
            <a:rPr lang="en-US" sz="1100" b="1" baseline="0">
              <a:solidFill>
                <a:schemeClr val="tx1">
                  <a:lumMod val="85000"/>
                  <a:lumOff val="15000"/>
                </a:schemeClr>
              </a:solidFill>
            </a:rPr>
          </a:br>
          <a:r>
            <a:rPr lang="en-US" sz="1100" b="1" baseline="0">
              <a:solidFill>
                <a:schemeClr val="tx1">
                  <a:lumMod val="85000"/>
                  <a:lumOff val="15000"/>
                </a:schemeClr>
              </a:solidFill>
            </a:rPr>
            <a:t>What is accounting?</a:t>
          </a:r>
          <a:br>
            <a:rPr lang="en-US" sz="1100" b="1" baseline="0">
              <a:solidFill>
                <a:sysClr val="windowText" lastClr="000000"/>
              </a:solidFill>
            </a:rPr>
          </a:br>
          <a:endParaRPr lang="en-US" sz="1400" b="1">
            <a:solidFill>
              <a:srgbClr val="0000FF"/>
            </a:solidFill>
          </a:endParaRPr>
        </a:p>
        <a:p>
          <a:r>
            <a:rPr lang="en-US" sz="1200" b="1" baseline="0">
              <a:solidFill>
                <a:srgbClr val="0000FF"/>
              </a:solidFill>
              <a:effectLst/>
              <a:latin typeface="+mn-lt"/>
              <a:ea typeface="+mn-ea"/>
              <a:cs typeface="+mn-cs"/>
            </a:rPr>
            <a:t>Accounting is the language of business</a:t>
          </a:r>
          <a:r>
            <a:rPr lang="en-US" sz="1100" b="1" baseline="0">
              <a:solidFill>
                <a:srgbClr val="0000FF"/>
              </a:solidFill>
              <a:effectLst/>
              <a:latin typeface="+mn-lt"/>
              <a:ea typeface="+mn-ea"/>
              <a:cs typeface="+mn-cs"/>
            </a:rPr>
            <a:t>. </a:t>
          </a:r>
        </a:p>
        <a:p>
          <a:endParaRPr lang="en-US" sz="1100" b="1" baseline="0">
            <a:solidFill>
              <a:srgbClr val="0000FF"/>
            </a:solidFill>
            <a:effectLst/>
            <a:latin typeface="+mn-lt"/>
            <a:ea typeface="+mn-ea"/>
            <a:cs typeface="+mn-cs"/>
          </a:endParaRPr>
        </a:p>
        <a:p>
          <a:r>
            <a:rPr lang="en-US" sz="1100" b="1" baseline="0">
              <a:solidFill>
                <a:schemeClr val="tx1">
                  <a:lumMod val="85000"/>
                  <a:lumOff val="15000"/>
                </a:schemeClr>
              </a:solidFill>
              <a:effectLst/>
              <a:latin typeface="+mn-lt"/>
              <a:ea typeface="+mn-ea"/>
              <a:cs typeface="+mn-cs"/>
            </a:rPr>
            <a:t>It's not boring or complex. It'st just numbers put into agreed-upon categories. From the Lebombo Bone in 44,000 BC until today, accounting has seen an ever increasing focus on accurately and transparently communicating financial information both internally and externally.</a:t>
          </a:r>
        </a:p>
        <a:p>
          <a:endParaRPr lang="en-US" sz="1100" b="1" baseline="0">
            <a:solidFill>
              <a:schemeClr val="tx1"/>
            </a:solidFill>
            <a:effectLst/>
            <a:latin typeface="+mn-lt"/>
            <a:ea typeface="+mn-ea"/>
            <a:cs typeface="+mn-cs"/>
          </a:endParaRPr>
        </a:p>
        <a:p>
          <a:r>
            <a:rPr lang="en-US" sz="1100" b="1" baseline="0">
              <a:solidFill>
                <a:schemeClr val="tx1">
                  <a:lumMod val="85000"/>
                  <a:lumOff val="15000"/>
                </a:schemeClr>
              </a:solidFill>
              <a:effectLst/>
              <a:latin typeface="+mn-lt"/>
              <a:ea typeface="+mn-ea"/>
              <a:cs typeface="+mn-cs"/>
            </a:rPr>
            <a:t>Accounting is about creating transparency and trust in the financials you're given.</a:t>
          </a:r>
        </a:p>
        <a:p>
          <a:endParaRPr lang="en-US" sz="1100" b="1" baseline="0">
            <a:solidFill>
              <a:schemeClr val="tx1"/>
            </a:solidFill>
            <a:effectLst/>
            <a:latin typeface="+mn-lt"/>
            <a:ea typeface="+mn-ea"/>
            <a:cs typeface="+mn-cs"/>
          </a:endParaRPr>
        </a:p>
        <a:p>
          <a:r>
            <a:rPr lang="en-US" sz="1100" b="1" baseline="0">
              <a:solidFill>
                <a:srgbClr val="0000FF"/>
              </a:solidFill>
              <a:effectLst/>
              <a:latin typeface="+mn-lt"/>
              <a:ea typeface="+mn-ea"/>
              <a:cs typeface="+mn-cs"/>
            </a:rPr>
            <a:t>Bookkeeping / Accounting / Auditing </a:t>
          </a:r>
        </a:p>
        <a:p>
          <a:endParaRPr lang="en-US" sz="1100" b="1" baseline="0">
            <a:solidFill>
              <a:schemeClr val="tx1"/>
            </a:solidFill>
            <a:effectLst/>
            <a:latin typeface="+mn-lt"/>
            <a:ea typeface="+mn-ea"/>
            <a:cs typeface="+mn-cs"/>
          </a:endParaRPr>
        </a:p>
        <a:p>
          <a:r>
            <a:rPr lang="en-US" sz="1100" b="1" baseline="0">
              <a:solidFill>
                <a:schemeClr val="tx1">
                  <a:lumMod val="85000"/>
                  <a:lumOff val="15000"/>
                </a:schemeClr>
              </a:solidFill>
              <a:effectLst/>
              <a:latin typeface="+mn-lt"/>
              <a:ea typeface="+mn-ea"/>
              <a:cs typeface="+mn-cs"/>
            </a:rPr>
            <a:t>Bookeeping is </a:t>
          </a:r>
          <a:r>
            <a:rPr lang="en-US" sz="1100" b="1" baseline="0">
              <a:solidFill>
                <a:srgbClr val="0000FF"/>
              </a:solidFill>
              <a:effectLst/>
              <a:latin typeface="+mn-lt"/>
              <a:ea typeface="+mn-ea"/>
              <a:cs typeface="+mn-cs"/>
            </a:rPr>
            <a:t>Recording  (Entering the data)</a:t>
          </a:r>
        </a:p>
        <a:p>
          <a:endParaRPr lang="en-US" sz="1100" b="1" baseline="0">
            <a:solidFill>
              <a:schemeClr val="tx1"/>
            </a:solidFill>
            <a:effectLst/>
            <a:latin typeface="+mn-lt"/>
            <a:ea typeface="+mn-ea"/>
            <a:cs typeface="+mn-cs"/>
          </a:endParaRPr>
        </a:p>
        <a:p>
          <a:r>
            <a:rPr lang="en-US" sz="1100" b="1" baseline="0">
              <a:solidFill>
                <a:schemeClr val="tx1">
                  <a:lumMod val="85000"/>
                  <a:lumOff val="15000"/>
                </a:schemeClr>
              </a:solidFill>
              <a:effectLst/>
              <a:latin typeface="+mn-lt"/>
              <a:ea typeface="+mn-ea"/>
              <a:cs typeface="+mn-cs"/>
            </a:rPr>
            <a:t>Accounting is </a:t>
          </a:r>
          <a:r>
            <a:rPr lang="en-US" sz="1100" b="1" baseline="0">
              <a:solidFill>
                <a:srgbClr val="0000FF"/>
              </a:solidFill>
              <a:effectLst/>
              <a:latin typeface="+mn-lt"/>
              <a:ea typeface="+mn-ea"/>
              <a:cs typeface="+mn-cs"/>
            </a:rPr>
            <a:t>Communicating  (Analyzing and correcting the numbers)</a:t>
          </a:r>
        </a:p>
        <a:p>
          <a:endParaRPr lang="en-US" sz="1100" b="1" baseline="0">
            <a:solidFill>
              <a:schemeClr val="tx1"/>
            </a:solidFill>
            <a:effectLst/>
            <a:latin typeface="+mn-lt"/>
            <a:ea typeface="+mn-ea"/>
            <a:cs typeface="+mn-cs"/>
          </a:endParaRPr>
        </a:p>
        <a:p>
          <a:r>
            <a:rPr lang="en-US" sz="1100" b="1" baseline="0">
              <a:solidFill>
                <a:schemeClr val="tx1">
                  <a:lumMod val="85000"/>
                  <a:lumOff val="15000"/>
                </a:schemeClr>
              </a:solidFill>
              <a:effectLst/>
              <a:latin typeface="+mn-lt"/>
              <a:ea typeface="+mn-ea"/>
              <a:cs typeface="+mn-cs"/>
            </a:rPr>
            <a:t>Auditing is </a:t>
          </a:r>
          <a:r>
            <a:rPr lang="en-US" sz="1100" b="1" baseline="0">
              <a:solidFill>
                <a:srgbClr val="0000FF"/>
              </a:solidFill>
              <a:effectLst/>
              <a:latin typeface="+mn-lt"/>
              <a:ea typeface="+mn-ea"/>
              <a:cs typeface="+mn-cs"/>
            </a:rPr>
            <a:t>Verifying  (Independently confirming the numbers.)</a:t>
          </a:r>
        </a:p>
        <a:p>
          <a:endParaRPr lang="en-US" sz="1100" b="1" baseline="0">
            <a:solidFill>
              <a:srgbClr val="0000FF"/>
            </a:solidFill>
            <a:effectLst/>
            <a:latin typeface="+mn-lt"/>
            <a:ea typeface="+mn-ea"/>
            <a:cs typeface="+mn-cs"/>
          </a:endParaRPr>
        </a:p>
        <a:p>
          <a:r>
            <a:rPr lang="en-US" sz="1100" b="1" baseline="0">
              <a:solidFill>
                <a:schemeClr val="tx1">
                  <a:lumMod val="85000"/>
                  <a:lumOff val="15000"/>
                </a:schemeClr>
              </a:solidFill>
              <a:effectLst/>
              <a:latin typeface="+mn-lt"/>
              <a:ea typeface="+mn-ea"/>
              <a:cs typeface="+mn-cs"/>
            </a:rPr>
            <a:t>The guiding principles behind accounting are known as </a:t>
          </a:r>
          <a:r>
            <a:rPr lang="en-US" sz="1100" b="1" baseline="0">
              <a:solidFill>
                <a:srgbClr val="0000FF"/>
              </a:solidFill>
              <a:effectLst/>
              <a:latin typeface="+mn-lt"/>
              <a:ea typeface="+mn-ea"/>
              <a:cs typeface="+mn-cs"/>
            </a:rPr>
            <a:t>Generally Accepted Accounting Principles</a:t>
          </a:r>
          <a:r>
            <a:rPr lang="en-US" sz="1100" b="1" baseline="0">
              <a:solidFill>
                <a:schemeClr val="tx1"/>
              </a:solidFill>
              <a:effectLst/>
              <a:latin typeface="+mn-lt"/>
              <a:ea typeface="+mn-ea"/>
              <a:cs typeface="+mn-cs"/>
            </a:rPr>
            <a:t>, or </a:t>
          </a:r>
          <a:r>
            <a:rPr lang="en-US" sz="1100" b="1" baseline="0">
              <a:solidFill>
                <a:srgbClr val="0000FF"/>
              </a:solidFill>
              <a:effectLst/>
              <a:latin typeface="+mn-lt"/>
              <a:ea typeface="+mn-ea"/>
              <a:cs typeface="+mn-cs"/>
            </a:rPr>
            <a:t>GAAP</a:t>
          </a:r>
          <a:r>
            <a:rPr lang="en-US" sz="1100" b="1" baseline="0">
              <a:solidFill>
                <a:schemeClr val="tx1">
                  <a:lumMod val="75000"/>
                  <a:lumOff val="25000"/>
                </a:schemeClr>
              </a:solidFill>
              <a:effectLst/>
              <a:latin typeface="+mn-lt"/>
              <a:ea typeface="+mn-ea"/>
              <a:cs typeface="+mn-cs"/>
            </a:rPr>
            <a:t>. </a:t>
          </a:r>
          <a:r>
            <a:rPr lang="en-US" sz="1100" b="1" baseline="0">
              <a:solidFill>
                <a:schemeClr val="tx1">
                  <a:lumMod val="85000"/>
                  <a:lumOff val="15000"/>
                </a:schemeClr>
              </a:solidFill>
              <a:effectLst/>
              <a:latin typeface="+mn-lt"/>
              <a:ea typeface="+mn-ea"/>
              <a:cs typeface="+mn-cs"/>
            </a:rPr>
            <a:t>GAAP is typically a set of 12 conventions used by accounting professionals, so that financial statements compiled by different companies or non-profits can be compared, since they used the same basic conventions. </a:t>
          </a:r>
        </a:p>
        <a:p>
          <a:endParaRPr lang="en-US" sz="1100" b="1" baseline="0">
            <a:solidFill>
              <a:schemeClr val="tx1">
                <a:lumMod val="85000"/>
                <a:lumOff val="15000"/>
              </a:schemeClr>
            </a:solidFill>
            <a:effectLst/>
            <a:latin typeface="+mn-lt"/>
            <a:ea typeface="+mn-ea"/>
            <a:cs typeface="+mn-cs"/>
          </a:endParaRPr>
        </a:p>
        <a:p>
          <a:r>
            <a:rPr lang="en-US" sz="1100" b="1" baseline="0">
              <a:solidFill>
                <a:schemeClr val="tx1">
                  <a:lumMod val="85000"/>
                  <a:lumOff val="15000"/>
                </a:schemeClr>
              </a:solidFill>
              <a:effectLst/>
              <a:latin typeface="+mn-lt"/>
              <a:ea typeface="+mn-ea"/>
              <a:cs typeface="+mn-cs"/>
            </a:rPr>
            <a:t>Perhaps the most important of these guidelines is </a:t>
          </a:r>
          <a:r>
            <a:rPr lang="en-US" sz="1100" b="1" baseline="0">
              <a:solidFill>
                <a:srgbClr val="0000FF"/>
              </a:solidFill>
              <a:effectLst/>
              <a:latin typeface="+mn-lt"/>
              <a:ea typeface="+mn-ea"/>
              <a:cs typeface="+mn-cs"/>
            </a:rPr>
            <a:t>Conservatism</a:t>
          </a:r>
          <a:r>
            <a:rPr lang="en-US" sz="1100" b="1" baseline="0">
              <a:solidFill>
                <a:schemeClr val="tx1">
                  <a:lumMod val="75000"/>
                  <a:lumOff val="25000"/>
                </a:schemeClr>
              </a:solidFill>
              <a:effectLst/>
              <a:latin typeface="+mn-lt"/>
              <a:ea typeface="+mn-ea"/>
              <a:cs typeface="+mn-cs"/>
            </a:rPr>
            <a:t>.  </a:t>
          </a:r>
          <a:r>
            <a:rPr lang="en-US" sz="1100" b="1" baseline="0">
              <a:solidFill>
                <a:schemeClr val="tx1">
                  <a:lumMod val="85000"/>
                  <a:lumOff val="15000"/>
                </a:schemeClr>
              </a:solidFill>
              <a:effectLst/>
              <a:latin typeface="+mn-lt"/>
              <a:ea typeface="+mn-ea"/>
              <a:cs typeface="+mn-cs"/>
            </a:rPr>
            <a:t>What this means in accounting for your startup projections is:</a:t>
          </a:r>
        </a:p>
        <a:p>
          <a:endParaRPr lang="en-US" sz="1100" b="1" baseline="0">
            <a:solidFill>
              <a:schemeClr val="tx1">
                <a:lumMod val="85000"/>
                <a:lumOff val="15000"/>
              </a:schemeClr>
            </a:solidFill>
            <a:effectLst/>
            <a:latin typeface="+mn-lt"/>
            <a:ea typeface="+mn-ea"/>
            <a:cs typeface="+mn-cs"/>
          </a:endParaRPr>
        </a:p>
        <a:p>
          <a:r>
            <a:rPr lang="en-US" sz="1100" b="1" baseline="0">
              <a:solidFill>
                <a:schemeClr val="tx1">
                  <a:lumMod val="85000"/>
                  <a:lumOff val="15000"/>
                </a:schemeClr>
              </a:solidFill>
              <a:effectLst/>
              <a:latin typeface="+mn-lt"/>
              <a:ea typeface="+mn-ea"/>
              <a:cs typeface="+mn-cs"/>
            </a:rPr>
            <a:t>-Stay on the low side when projecting Revenues</a:t>
          </a:r>
        </a:p>
        <a:p>
          <a:r>
            <a:rPr lang="en-US" sz="1100" b="1" baseline="0">
              <a:solidFill>
                <a:schemeClr val="tx1">
                  <a:lumMod val="85000"/>
                  <a:lumOff val="15000"/>
                </a:schemeClr>
              </a:solidFill>
              <a:effectLst/>
              <a:latin typeface="+mn-lt"/>
              <a:ea typeface="+mn-ea"/>
              <a:cs typeface="+mn-cs"/>
            </a:rPr>
            <a:t>-Stay on the high side when projecting Expenses</a:t>
          </a:r>
        </a:p>
        <a:p>
          <a:endParaRPr lang="en-US" sz="1100" b="1" baseline="0">
            <a:solidFill>
              <a:schemeClr val="tx1">
                <a:lumMod val="75000"/>
                <a:lumOff val="25000"/>
              </a:schemeClr>
            </a:solidFill>
            <a:effectLst/>
            <a:latin typeface="+mn-lt"/>
            <a:ea typeface="+mn-ea"/>
            <a:cs typeface="+mn-cs"/>
          </a:endParaRPr>
        </a:p>
        <a:p>
          <a:r>
            <a:rPr lang="en-US" sz="1100" b="1" baseline="0">
              <a:solidFill>
                <a:schemeClr val="tx1">
                  <a:lumMod val="85000"/>
                  <a:lumOff val="15000"/>
                </a:schemeClr>
              </a:solidFill>
              <a:effectLst/>
              <a:latin typeface="+mn-lt"/>
              <a:ea typeface="+mn-ea"/>
              <a:cs typeface="+mn-cs"/>
            </a:rPr>
            <a:t>Another important one to know is</a:t>
          </a:r>
          <a:r>
            <a:rPr lang="en-US" sz="1100" b="1" baseline="0">
              <a:solidFill>
                <a:schemeClr val="tx1">
                  <a:lumMod val="75000"/>
                  <a:lumOff val="25000"/>
                </a:schemeClr>
              </a:solidFill>
              <a:effectLst/>
              <a:latin typeface="+mn-lt"/>
              <a:ea typeface="+mn-ea"/>
              <a:cs typeface="+mn-cs"/>
            </a:rPr>
            <a:t> </a:t>
          </a:r>
          <a:r>
            <a:rPr lang="en-US" sz="1100" b="1" baseline="0">
              <a:solidFill>
                <a:srgbClr val="0000FF"/>
              </a:solidFill>
              <a:effectLst/>
              <a:latin typeface="+mn-lt"/>
              <a:ea typeface="+mn-ea"/>
              <a:cs typeface="+mn-cs"/>
            </a:rPr>
            <a:t>Matching</a:t>
          </a:r>
          <a:r>
            <a:rPr lang="en-US" sz="1100" b="1" baseline="0">
              <a:solidFill>
                <a:schemeClr val="tx1">
                  <a:lumMod val="75000"/>
                  <a:lumOff val="25000"/>
                </a:schemeClr>
              </a:solidFill>
              <a:effectLst/>
              <a:latin typeface="+mn-lt"/>
              <a:ea typeface="+mn-ea"/>
              <a:cs typeface="+mn-cs"/>
            </a:rPr>
            <a:t>. </a:t>
          </a:r>
          <a:r>
            <a:rPr lang="en-US" sz="1100" b="1" baseline="0">
              <a:solidFill>
                <a:schemeClr val="tx1">
                  <a:lumMod val="85000"/>
                  <a:lumOff val="15000"/>
                </a:schemeClr>
              </a:solidFill>
              <a:effectLst/>
              <a:latin typeface="+mn-lt"/>
              <a:ea typeface="+mn-ea"/>
              <a:cs typeface="+mn-cs"/>
            </a:rPr>
            <a:t>With Matching, we recognize revenues and related expenses in the same period.</a:t>
          </a:r>
        </a:p>
        <a:p>
          <a:endParaRPr lang="en-US" sz="1100" b="1" baseline="0">
            <a:solidFill>
              <a:schemeClr val="tx1">
                <a:lumMod val="85000"/>
                <a:lumOff val="15000"/>
              </a:schemeClr>
            </a:solidFill>
            <a:effectLst/>
            <a:latin typeface="+mn-lt"/>
            <a:ea typeface="+mn-ea"/>
            <a:cs typeface="+mn-cs"/>
          </a:endParaRPr>
        </a:p>
        <a:p>
          <a:r>
            <a:rPr lang="en-US" sz="1100" b="1" baseline="0">
              <a:solidFill>
                <a:schemeClr val="tx1">
                  <a:lumMod val="85000"/>
                  <a:lumOff val="15000"/>
                </a:schemeClr>
              </a:solidFill>
              <a:effectLst/>
              <a:latin typeface="+mn-lt"/>
              <a:ea typeface="+mn-ea"/>
              <a:cs typeface="+mn-cs"/>
            </a:rPr>
            <a:t>One of the main examples of Matching is Depreciation for Tangible Assets, and Amortization for Intangible Assets. If you buy equipment for $70,000, but it has a useful life of 7 years, if you put the whole $70,000 on the P&amp;L in the year you buy it, it creates a distorted view of your profit in that year, since you're absorbing the cost of an item that will contribute to profit for the next 6 years after this year. So instead, we Depreciate the item over the 7 years, recording $10,000 in each year. That way you match the expense of the item with the revenues it helps creates. It's the same concept with Amortization for Intangible Assets.</a:t>
          </a:r>
        </a:p>
        <a:p>
          <a:endParaRPr lang="en-US" sz="1100" b="1" baseline="0">
            <a:solidFill>
              <a:schemeClr val="tx1">
                <a:lumMod val="75000"/>
                <a:lumOff val="25000"/>
              </a:schemeClr>
            </a:solidFill>
            <a:effectLst/>
            <a:latin typeface="+mn-lt"/>
            <a:ea typeface="+mn-ea"/>
            <a:cs typeface="+mn-cs"/>
          </a:endParaRPr>
        </a:p>
        <a:p>
          <a:r>
            <a:rPr lang="en-US" sz="1100" b="1" baseline="0">
              <a:solidFill>
                <a:srgbClr val="0000FF"/>
              </a:solidFill>
              <a:effectLst/>
              <a:latin typeface="+mn-lt"/>
              <a:ea typeface="+mn-ea"/>
              <a:cs typeface="+mn-cs"/>
            </a:rPr>
            <a:t>Cash Method vs. Accrual</a:t>
          </a:r>
        </a:p>
        <a:p>
          <a:endParaRPr lang="en-US" sz="1100" b="1" baseline="0">
            <a:solidFill>
              <a:schemeClr val="tx1">
                <a:lumMod val="75000"/>
                <a:lumOff val="25000"/>
              </a:schemeClr>
            </a:solidFill>
            <a:effectLst/>
            <a:latin typeface="+mn-lt"/>
            <a:ea typeface="+mn-ea"/>
            <a:cs typeface="+mn-cs"/>
          </a:endParaRPr>
        </a:p>
        <a:p>
          <a:r>
            <a:rPr lang="en-US" sz="1100" b="1" baseline="0">
              <a:solidFill>
                <a:schemeClr val="tx1">
                  <a:lumMod val="85000"/>
                  <a:lumOff val="15000"/>
                </a:schemeClr>
              </a:solidFill>
              <a:effectLst/>
              <a:latin typeface="+mn-lt"/>
              <a:ea typeface="+mn-ea"/>
              <a:cs typeface="+mn-cs"/>
            </a:rPr>
            <a:t>There are two basic methods in accounting:</a:t>
          </a:r>
        </a:p>
        <a:p>
          <a:br>
            <a:rPr lang="en-US" sz="1100" b="1" baseline="0">
              <a:solidFill>
                <a:schemeClr val="tx1">
                  <a:lumMod val="75000"/>
                  <a:lumOff val="25000"/>
                </a:schemeClr>
              </a:solidFill>
              <a:effectLst/>
              <a:latin typeface="+mn-lt"/>
              <a:ea typeface="+mn-ea"/>
              <a:cs typeface="+mn-cs"/>
            </a:rPr>
          </a:br>
          <a:r>
            <a:rPr lang="en-US" sz="1100" b="1" baseline="0">
              <a:solidFill>
                <a:srgbClr val="0000FF"/>
              </a:solidFill>
              <a:effectLst/>
              <a:latin typeface="+mn-lt"/>
              <a:ea typeface="+mn-ea"/>
              <a:cs typeface="+mn-cs"/>
            </a:rPr>
            <a:t>Cash Method </a:t>
          </a:r>
          <a:r>
            <a:rPr lang="en-US" sz="1100" b="1" baseline="0">
              <a:solidFill>
                <a:schemeClr val="tx1">
                  <a:lumMod val="75000"/>
                  <a:lumOff val="25000"/>
                </a:schemeClr>
              </a:solidFill>
              <a:effectLst/>
              <a:latin typeface="+mn-lt"/>
              <a:ea typeface="+mn-ea"/>
              <a:cs typeface="+mn-cs"/>
            </a:rPr>
            <a:t>- </a:t>
          </a:r>
          <a:r>
            <a:rPr lang="en-US" sz="1100" b="1" baseline="0">
              <a:solidFill>
                <a:schemeClr val="tx1">
                  <a:lumMod val="85000"/>
                  <a:lumOff val="15000"/>
                </a:schemeClr>
              </a:solidFill>
              <a:effectLst/>
              <a:latin typeface="+mn-lt"/>
              <a:ea typeface="+mn-ea"/>
              <a:cs typeface="+mn-cs"/>
            </a:rPr>
            <a:t>This is the simplest method and is typically used by new and small businesses. WIth the Cash Method you recognize revenue and expenses when cash changes hands. So if you sign a big contract, you don't enter a transaction until you receive the first cash. However with the </a:t>
          </a:r>
          <a:r>
            <a:rPr lang="en-US" sz="1100" b="1" baseline="0">
              <a:solidFill>
                <a:srgbClr val="0000FF"/>
              </a:solidFill>
              <a:effectLst/>
              <a:latin typeface="+mn-lt"/>
              <a:ea typeface="+mn-ea"/>
              <a:cs typeface="+mn-cs"/>
            </a:rPr>
            <a:t>Accrual Method</a:t>
          </a:r>
          <a:r>
            <a:rPr lang="en-US" sz="1100" b="1" baseline="0">
              <a:solidFill>
                <a:schemeClr val="tx1">
                  <a:lumMod val="75000"/>
                  <a:lumOff val="25000"/>
                </a:schemeClr>
              </a:solidFill>
              <a:effectLst/>
              <a:latin typeface="+mn-lt"/>
              <a:ea typeface="+mn-ea"/>
              <a:cs typeface="+mn-cs"/>
            </a:rPr>
            <a:t>,</a:t>
          </a:r>
          <a:r>
            <a:rPr lang="en-US" sz="1100" b="1" baseline="0">
              <a:solidFill>
                <a:schemeClr val="tx1">
                  <a:lumMod val="85000"/>
                  <a:lumOff val="15000"/>
                </a:schemeClr>
              </a:solidFill>
              <a:effectLst/>
              <a:latin typeface="+mn-lt"/>
              <a:ea typeface="+mn-ea"/>
              <a:cs typeface="+mn-cs"/>
            </a:rPr>
            <a:t> you recognize the revenue when you sign the contract, and expenses when you incur the obligation.</a:t>
          </a:r>
        </a:p>
        <a:p>
          <a:endParaRPr lang="en-US" sz="1100" b="1" baseline="0">
            <a:solidFill>
              <a:schemeClr val="tx1">
                <a:lumMod val="85000"/>
                <a:lumOff val="15000"/>
              </a:schemeClr>
            </a:solidFill>
            <a:effectLst/>
            <a:latin typeface="+mn-lt"/>
            <a:ea typeface="+mn-ea"/>
            <a:cs typeface="+mn-cs"/>
          </a:endParaRPr>
        </a:p>
        <a:p>
          <a:r>
            <a:rPr lang="en-US" sz="1100" b="1" baseline="0">
              <a:solidFill>
                <a:schemeClr val="tx1">
                  <a:lumMod val="85000"/>
                  <a:lumOff val="15000"/>
                </a:schemeClr>
              </a:solidFill>
              <a:effectLst/>
              <a:latin typeface="+mn-lt"/>
              <a:ea typeface="+mn-ea"/>
              <a:cs typeface="+mn-cs"/>
            </a:rPr>
            <a:t>EZ Numbers uses the Accrual Method, because that is what investors and banks will want to see.</a:t>
          </a:r>
        </a:p>
        <a:p>
          <a:endParaRPr lang="en-US" sz="1100" b="1" baseline="0">
            <a:solidFill>
              <a:schemeClr val="tx1">
                <a:lumMod val="75000"/>
                <a:lumOff val="25000"/>
              </a:schemeClr>
            </a:solidFill>
            <a:effectLst/>
            <a:latin typeface="+mn-lt"/>
            <a:ea typeface="+mn-ea"/>
            <a:cs typeface="+mn-cs"/>
          </a:endParaRPr>
        </a:p>
        <a:p>
          <a:r>
            <a:rPr lang="en-US" sz="1100" b="1" baseline="0">
              <a:solidFill>
                <a:schemeClr val="tx1">
                  <a:lumMod val="85000"/>
                  <a:lumOff val="15000"/>
                </a:schemeClr>
              </a:solidFill>
              <a:effectLst/>
              <a:latin typeface="+mn-lt"/>
              <a:ea typeface="+mn-ea"/>
              <a:cs typeface="+mn-cs"/>
            </a:rPr>
            <a:t>This leads to </a:t>
          </a:r>
          <a:r>
            <a:rPr lang="en-US" sz="1100" b="1" baseline="0">
              <a:solidFill>
                <a:srgbClr val="0000FF"/>
              </a:solidFill>
              <a:effectLst/>
              <a:latin typeface="+mn-lt"/>
              <a:ea typeface="+mn-ea"/>
              <a:cs typeface="+mn-cs"/>
            </a:rPr>
            <a:t>Accounts Receivable </a:t>
          </a:r>
          <a:r>
            <a:rPr lang="en-US" sz="1100" b="1" baseline="0">
              <a:solidFill>
                <a:schemeClr val="tx1">
                  <a:lumMod val="85000"/>
                  <a:lumOff val="15000"/>
                </a:schemeClr>
              </a:solidFill>
              <a:effectLst/>
              <a:latin typeface="+mn-lt"/>
              <a:ea typeface="+mn-ea"/>
              <a:cs typeface="+mn-cs"/>
            </a:rPr>
            <a:t>(AR) and </a:t>
          </a:r>
          <a:r>
            <a:rPr lang="en-US" sz="1100" b="1" baseline="0">
              <a:solidFill>
                <a:srgbClr val="0000FF"/>
              </a:solidFill>
              <a:effectLst/>
              <a:latin typeface="+mn-lt"/>
              <a:ea typeface="+mn-ea"/>
              <a:cs typeface="+mn-cs"/>
            </a:rPr>
            <a:t>Accounts Payable </a:t>
          </a:r>
          <a:r>
            <a:rPr lang="en-US" sz="1100" b="1" baseline="0">
              <a:solidFill>
                <a:schemeClr val="tx1">
                  <a:lumMod val="85000"/>
                  <a:lumOff val="15000"/>
                </a:schemeClr>
              </a:solidFill>
              <a:effectLst/>
              <a:latin typeface="+mn-lt"/>
              <a:ea typeface="+mn-ea"/>
              <a:cs typeface="+mn-cs"/>
            </a:rPr>
            <a:t>(AP). Accounts Receivable is money that your customers or clients owe you for a product or service they may have already received, and Accounts Payable is money you owe to vendors for products or services you may have already received. </a:t>
          </a:r>
        </a:p>
        <a:p>
          <a:endParaRPr lang="en-US" sz="1100" b="1" baseline="0">
            <a:solidFill>
              <a:schemeClr val="tx1">
                <a:lumMod val="75000"/>
                <a:lumOff val="25000"/>
              </a:schemeClr>
            </a:solidFill>
            <a:effectLst/>
            <a:latin typeface="+mn-lt"/>
            <a:ea typeface="+mn-ea"/>
            <a:cs typeface="+mn-cs"/>
          </a:endParaRPr>
        </a:p>
        <a:p>
          <a:r>
            <a:rPr lang="en-US" sz="1100" b="1" baseline="0">
              <a:solidFill>
                <a:schemeClr val="tx1">
                  <a:lumMod val="75000"/>
                  <a:lumOff val="25000"/>
                </a:schemeClr>
              </a:solidFill>
              <a:effectLst/>
              <a:latin typeface="+mn-lt"/>
              <a:ea typeface="+mn-ea"/>
              <a:cs typeface="+mn-cs"/>
            </a:rPr>
            <a:t>Receivables and Payables are two reasons why:</a:t>
          </a:r>
        </a:p>
        <a:p>
          <a:endParaRPr lang="en-US" sz="1100" b="1" baseline="0">
            <a:solidFill>
              <a:schemeClr val="tx1">
                <a:lumMod val="75000"/>
                <a:lumOff val="25000"/>
              </a:schemeClr>
            </a:solidFill>
            <a:effectLst/>
            <a:latin typeface="+mn-lt"/>
            <a:ea typeface="+mn-ea"/>
            <a:cs typeface="+mn-cs"/>
          </a:endParaRPr>
        </a:p>
        <a:p>
          <a:r>
            <a:rPr lang="en-US" sz="1400" b="1" i="1" baseline="0">
              <a:solidFill>
                <a:srgbClr val="0000FF"/>
              </a:solidFill>
              <a:effectLst/>
              <a:latin typeface="+mn-lt"/>
              <a:ea typeface="+mn-ea"/>
              <a:cs typeface="+mn-cs"/>
            </a:rPr>
            <a:t>CASH IS NOT PROFIT</a:t>
          </a:r>
        </a:p>
        <a:p>
          <a:endParaRPr lang="en-US" sz="1100" b="1" baseline="0">
            <a:solidFill>
              <a:schemeClr val="tx1">
                <a:lumMod val="75000"/>
                <a:lumOff val="25000"/>
              </a:schemeClr>
            </a:solidFill>
            <a:effectLst/>
            <a:latin typeface="+mn-lt"/>
            <a:ea typeface="+mn-ea"/>
            <a:cs typeface="+mn-cs"/>
          </a:endParaRPr>
        </a:p>
        <a:p>
          <a:r>
            <a:rPr lang="en-US" sz="1100" b="1" baseline="0">
              <a:solidFill>
                <a:schemeClr val="tx1">
                  <a:lumMod val="75000"/>
                  <a:lumOff val="25000"/>
                </a:schemeClr>
              </a:solidFill>
              <a:effectLst/>
              <a:latin typeface="+mn-lt"/>
              <a:ea typeface="+mn-ea"/>
              <a:cs typeface="+mn-cs"/>
            </a:rPr>
            <a:t>We will go over this thoroughly.</a:t>
          </a:r>
        </a:p>
        <a:p>
          <a:endParaRPr lang="en-US" sz="1100" b="1" baseline="0">
            <a:solidFill>
              <a:schemeClr val="tx1">
                <a:lumMod val="75000"/>
                <a:lumOff val="25000"/>
              </a:schemeClr>
            </a:solidFill>
            <a:effectLst/>
            <a:latin typeface="+mn-lt"/>
            <a:ea typeface="+mn-ea"/>
            <a:cs typeface="+mn-cs"/>
          </a:endParaRPr>
        </a:p>
        <a:p>
          <a:r>
            <a:rPr lang="en-US" sz="1100" b="1" baseline="0">
              <a:solidFill>
                <a:schemeClr val="tx1">
                  <a:lumMod val="75000"/>
                  <a:lumOff val="25000"/>
                </a:schemeClr>
              </a:solidFill>
              <a:effectLst/>
              <a:latin typeface="+mn-lt"/>
              <a:ea typeface="+mn-ea"/>
              <a:cs typeface="+mn-cs"/>
            </a:rPr>
            <a:t>Now let's see accounting in action with a lemonade stand.</a:t>
          </a:r>
          <a:endParaRPr lang="en-US" sz="1400" b="1">
            <a:solidFill>
              <a:schemeClr val="tx1">
                <a:lumMod val="75000"/>
                <a:lumOff val="25000"/>
              </a:schemeClr>
            </a:solidFill>
          </a:endParaRPr>
        </a:p>
        <a:p>
          <a:endParaRPr lang="en-US" sz="1400" b="1">
            <a:solidFill>
              <a:srgbClr val="0000FF"/>
            </a:solidFill>
          </a:endParaRPr>
        </a:p>
        <a:p>
          <a:endParaRPr lang="en-US" sz="1400" b="1">
            <a:solidFill>
              <a:srgbClr val="0000FF"/>
            </a:solidFill>
          </a:endParaRPr>
        </a:p>
        <a:p>
          <a:endParaRPr lang="en-US" sz="1100" b="1">
            <a:solidFill>
              <a:srgbClr val="0000FF"/>
            </a:solidFill>
          </a:endParaRPr>
        </a:p>
        <a:p>
          <a:endParaRPr lang="en-US" sz="1100" b="1">
            <a:solidFill>
              <a:srgbClr val="0000FF"/>
            </a:solidFill>
          </a:endParaRPr>
        </a:p>
        <a:p>
          <a:endParaRPr lang="en-US" sz="1100" b="1">
            <a:solidFill>
              <a:srgbClr val="0000FF"/>
            </a:solidFill>
          </a:endParaRPr>
        </a:p>
        <a:p>
          <a:endParaRPr lang="en-US" sz="1100" b="1">
            <a:solidFill>
              <a:srgbClr val="0000FF"/>
            </a:solidFill>
          </a:endParaRPr>
        </a:p>
        <a:p>
          <a:endParaRPr lang="en-US" sz="1100"/>
        </a:p>
      </xdr:txBody>
    </xdr:sp>
    <xdr:clientData/>
  </xdr:twoCellAnchor>
  <xdr:twoCellAnchor>
    <xdr:from>
      <xdr:col>29</xdr:col>
      <xdr:colOff>74081</xdr:colOff>
      <xdr:row>75</xdr:row>
      <xdr:rowOff>46029</xdr:rowOff>
    </xdr:from>
    <xdr:to>
      <xdr:col>31</xdr:col>
      <xdr:colOff>441074</xdr:colOff>
      <xdr:row>81</xdr:row>
      <xdr:rowOff>20108</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9962281" y="14333529"/>
          <a:ext cx="1738593" cy="1221854"/>
        </a:xfrm>
        <a:prstGeom prst="rect">
          <a:avLst/>
        </a:prstGeom>
      </xdr:spPr>
    </xdr:pic>
    <xdr:clientData/>
  </xdr:twoCellAnchor>
  <xdr:twoCellAnchor>
    <xdr:from>
      <xdr:col>21</xdr:col>
      <xdr:colOff>403025</xdr:colOff>
      <xdr:row>94</xdr:row>
      <xdr:rowOff>11274</xdr:rowOff>
    </xdr:from>
    <xdr:to>
      <xdr:col>24</xdr:col>
      <xdr:colOff>105683</xdr:colOff>
      <xdr:row>102</xdr:row>
      <xdr:rowOff>76223</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14804825" y="18023049"/>
          <a:ext cx="1760058" cy="1588949"/>
        </a:xfrm>
        <a:prstGeom prst="rect">
          <a:avLst/>
        </a:prstGeom>
      </xdr:spPr>
    </xdr:pic>
    <xdr:clientData/>
  </xdr:twoCellAnchor>
  <xdr:twoCellAnchor>
    <xdr:from>
      <xdr:col>28</xdr:col>
      <xdr:colOff>162078</xdr:colOff>
      <xdr:row>94</xdr:row>
      <xdr:rowOff>139447</xdr:rowOff>
    </xdr:from>
    <xdr:to>
      <xdr:col>37</xdr:col>
      <xdr:colOff>117882</xdr:colOff>
      <xdr:row>98</xdr:row>
      <xdr:rowOff>90067</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3"/>
        <a:stretch>
          <a:fillRect/>
        </a:stretch>
      </xdr:blipFill>
      <xdr:spPr>
        <a:xfrm>
          <a:off x="19364478" y="18151222"/>
          <a:ext cx="6128004" cy="712620"/>
        </a:xfrm>
        <a:prstGeom prst="rect">
          <a:avLst/>
        </a:prstGeom>
      </xdr:spPr>
    </xdr:pic>
    <xdr:clientData/>
  </xdr:twoCellAnchor>
  <xdr:twoCellAnchor>
    <xdr:from>
      <xdr:col>31</xdr:col>
      <xdr:colOff>202637</xdr:colOff>
      <xdr:row>85</xdr:row>
      <xdr:rowOff>55554</xdr:rowOff>
    </xdr:from>
    <xdr:to>
      <xdr:col>33</xdr:col>
      <xdr:colOff>569630</xdr:colOff>
      <xdr:row>91</xdr:row>
      <xdr:rowOff>29633</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21462437" y="16352829"/>
          <a:ext cx="1738593" cy="1117079"/>
        </a:xfrm>
        <a:prstGeom prst="rect">
          <a:avLst/>
        </a:prstGeom>
      </xdr:spPr>
    </xdr:pic>
    <xdr:clientData/>
  </xdr:twoCellAnchor>
  <xdr:twoCellAnchor>
    <xdr:from>
      <xdr:col>22</xdr:col>
      <xdr:colOff>348049</xdr:colOff>
      <xdr:row>103</xdr:row>
      <xdr:rowOff>190072</xdr:rowOff>
    </xdr:from>
    <xdr:to>
      <xdr:col>25</xdr:col>
      <xdr:colOff>50707</xdr:colOff>
      <xdr:row>109</xdr:row>
      <xdr:rowOff>29332</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4"/>
        <a:stretch>
          <a:fillRect/>
        </a:stretch>
      </xdr:blipFill>
      <xdr:spPr>
        <a:xfrm>
          <a:off x="15435649" y="19916347"/>
          <a:ext cx="1760058" cy="982260"/>
        </a:xfrm>
        <a:prstGeom prst="rect">
          <a:avLst/>
        </a:prstGeom>
      </xdr:spPr>
    </xdr:pic>
    <xdr:clientData/>
  </xdr:twoCellAnchor>
  <xdr:twoCellAnchor>
    <xdr:from>
      <xdr:col>29</xdr:col>
      <xdr:colOff>436332</xdr:colOff>
      <xdr:row>105</xdr:row>
      <xdr:rowOff>163674</xdr:rowOff>
    </xdr:from>
    <xdr:to>
      <xdr:col>32</xdr:col>
      <xdr:colOff>138990</xdr:colOff>
      <xdr:row>114</xdr:row>
      <xdr:rowOff>38123</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2"/>
        <a:stretch>
          <a:fillRect/>
        </a:stretch>
      </xdr:blipFill>
      <xdr:spPr>
        <a:xfrm>
          <a:off x="20324532" y="20270949"/>
          <a:ext cx="1760058" cy="1588949"/>
        </a:xfrm>
        <a:prstGeom prst="rect">
          <a:avLst/>
        </a:prstGeom>
      </xdr:spPr>
    </xdr:pic>
    <xdr:clientData/>
  </xdr:twoCellAnchor>
  <xdr:oneCellAnchor>
    <xdr:from>
      <xdr:col>37</xdr:col>
      <xdr:colOff>57150</xdr:colOff>
      <xdr:row>84</xdr:row>
      <xdr:rowOff>9525</xdr:rowOff>
    </xdr:from>
    <xdr:ext cx="672685" cy="374141"/>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25431750" y="16116300"/>
          <a:ext cx="672685"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800" b="1" u="sng">
              <a:solidFill>
                <a:srgbClr val="0000FF"/>
              </a:solidFill>
            </a:rPr>
            <a:t>Sales</a:t>
          </a:r>
        </a:p>
      </xdr:txBody>
    </xdr:sp>
    <xdr:clientData/>
  </xdr:oneCellAnchor>
  <xdr:twoCellAnchor>
    <xdr:from>
      <xdr:col>36</xdr:col>
      <xdr:colOff>272862</xdr:colOff>
      <xdr:row>85</xdr:row>
      <xdr:rowOff>133350</xdr:rowOff>
    </xdr:from>
    <xdr:to>
      <xdr:col>37</xdr:col>
      <xdr:colOff>190753</xdr:colOff>
      <xdr:row>90</xdr:row>
      <xdr:rowOff>82896</xdr:rowOff>
    </xdr:to>
    <xdr:grpSp>
      <xdr:nvGrpSpPr>
        <xdr:cNvPr id="10" name="Group 9">
          <a:extLst>
            <a:ext uri="{FF2B5EF4-FFF2-40B4-BE49-F238E27FC236}">
              <a16:creationId xmlns:a16="http://schemas.microsoft.com/office/drawing/2014/main" id="{00000000-0008-0000-0000-00000A000000}"/>
            </a:ext>
          </a:extLst>
        </xdr:cNvPr>
        <xdr:cNvGrpSpPr/>
      </xdr:nvGrpSpPr>
      <xdr:grpSpPr>
        <a:xfrm>
          <a:off x="23564662" y="15589250"/>
          <a:ext cx="603691" cy="933796"/>
          <a:chOff x="24961662" y="16430625"/>
          <a:chExt cx="603691" cy="902046"/>
        </a:xfrm>
      </xdr:grpSpPr>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25001096" y="16430625"/>
            <a:ext cx="564257"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US" sz="1400" b="1">
                <a:solidFill>
                  <a:schemeClr val="tx1">
                    <a:lumMod val="75000"/>
                    <a:lumOff val="25000"/>
                  </a:schemeClr>
                </a:solidFill>
                <a:latin typeface="+mn-lt"/>
              </a:rPr>
              <a:t>Sales</a:t>
            </a:r>
          </a:p>
        </xdr:txBody>
      </xdr:sp>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25059894" y="16725900"/>
            <a:ext cx="505459"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US" sz="1400" b="1">
                <a:solidFill>
                  <a:schemeClr val="tx1">
                    <a:lumMod val="75000"/>
                    <a:lumOff val="25000"/>
                  </a:schemeClr>
                </a:solidFill>
                <a:latin typeface="+mn-lt"/>
              </a:rPr>
              <a:t>Cost</a:t>
            </a:r>
          </a:p>
        </xdr:txBody>
      </xdr:sp>
      <xdr:sp macro="" textlink="">
        <xdr:nvSpPr>
          <xdr:cNvPr id="13" name="TextBox 12">
            <a:extLst>
              <a:ext uri="{FF2B5EF4-FFF2-40B4-BE49-F238E27FC236}">
                <a16:creationId xmlns:a16="http://schemas.microsoft.com/office/drawing/2014/main" id="{00000000-0008-0000-0000-00000D000000}"/>
              </a:ext>
            </a:extLst>
          </xdr:cNvPr>
          <xdr:cNvSpPr txBox="1"/>
        </xdr:nvSpPr>
        <xdr:spPr>
          <a:xfrm>
            <a:off x="24961662" y="17021175"/>
            <a:ext cx="60369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US" sz="1400" b="1">
                <a:solidFill>
                  <a:schemeClr val="tx1">
                    <a:lumMod val="75000"/>
                    <a:lumOff val="25000"/>
                  </a:schemeClr>
                </a:solidFill>
                <a:latin typeface="+mn-lt"/>
              </a:rPr>
              <a:t>Profit</a:t>
            </a:r>
          </a:p>
        </xdr:txBody>
      </xdr:sp>
    </xdr:grpSp>
    <xdr:clientData/>
  </xdr:twoCellAnchor>
  <xdr:twoCellAnchor>
    <xdr:from>
      <xdr:col>37</xdr:col>
      <xdr:colOff>666577</xdr:colOff>
      <xdr:row>85</xdr:row>
      <xdr:rowOff>133350</xdr:rowOff>
    </xdr:from>
    <xdr:to>
      <xdr:col>38</xdr:col>
      <xdr:colOff>438403</xdr:colOff>
      <xdr:row>90</xdr:row>
      <xdr:rowOff>82896</xdr:rowOff>
    </xdr:to>
    <xdr:grpSp>
      <xdr:nvGrpSpPr>
        <xdr:cNvPr id="14" name="Group 13">
          <a:extLst>
            <a:ext uri="{FF2B5EF4-FFF2-40B4-BE49-F238E27FC236}">
              <a16:creationId xmlns:a16="http://schemas.microsoft.com/office/drawing/2014/main" id="{00000000-0008-0000-0000-00000E000000}"/>
            </a:ext>
          </a:extLst>
        </xdr:cNvPr>
        <xdr:cNvGrpSpPr/>
      </xdr:nvGrpSpPr>
      <xdr:grpSpPr>
        <a:xfrm>
          <a:off x="24644177" y="15589250"/>
          <a:ext cx="457626" cy="933796"/>
          <a:chOff x="25107727" y="16430625"/>
          <a:chExt cx="457626" cy="902046"/>
        </a:xfrm>
      </xdr:grpSpPr>
      <xdr:sp macro="" textlink="">
        <xdr:nvSpPr>
          <xdr:cNvPr id="15" name="TextBox 14">
            <a:extLst>
              <a:ext uri="{FF2B5EF4-FFF2-40B4-BE49-F238E27FC236}">
                <a16:creationId xmlns:a16="http://schemas.microsoft.com/office/drawing/2014/main" id="{00000000-0008-0000-0000-00000F000000}"/>
              </a:ext>
            </a:extLst>
          </xdr:cNvPr>
          <xdr:cNvSpPr txBox="1"/>
        </xdr:nvSpPr>
        <xdr:spPr>
          <a:xfrm>
            <a:off x="25107727" y="16430625"/>
            <a:ext cx="45762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US" sz="1400" b="1">
                <a:solidFill>
                  <a:sysClr val="windowText" lastClr="000000"/>
                </a:solidFill>
                <a:latin typeface="+mn-lt"/>
              </a:rPr>
              <a:t>$30</a:t>
            </a:r>
          </a:p>
        </xdr:txBody>
      </xdr:sp>
      <xdr:sp macro="" textlink="">
        <xdr:nvSpPr>
          <xdr:cNvPr id="16" name="TextBox 15">
            <a:extLst>
              <a:ext uri="{FF2B5EF4-FFF2-40B4-BE49-F238E27FC236}">
                <a16:creationId xmlns:a16="http://schemas.microsoft.com/office/drawing/2014/main" id="{00000000-0008-0000-0000-000010000000}"/>
              </a:ext>
            </a:extLst>
          </xdr:cNvPr>
          <xdr:cNvSpPr txBox="1"/>
        </xdr:nvSpPr>
        <xdr:spPr>
          <a:xfrm>
            <a:off x="25107727" y="16725900"/>
            <a:ext cx="45762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US" sz="1400" b="1" u="sng">
                <a:solidFill>
                  <a:sysClr val="windowText" lastClr="000000"/>
                </a:solidFill>
                <a:latin typeface="+mn-lt"/>
              </a:rPr>
              <a:t>$10</a:t>
            </a:r>
          </a:p>
        </xdr:txBody>
      </xdr:sp>
      <xdr:sp macro="" textlink="">
        <xdr:nvSpPr>
          <xdr:cNvPr id="17" name="TextBox 16">
            <a:extLst>
              <a:ext uri="{FF2B5EF4-FFF2-40B4-BE49-F238E27FC236}">
                <a16:creationId xmlns:a16="http://schemas.microsoft.com/office/drawing/2014/main" id="{00000000-0008-0000-0000-000011000000}"/>
              </a:ext>
            </a:extLst>
          </xdr:cNvPr>
          <xdr:cNvSpPr txBox="1"/>
        </xdr:nvSpPr>
        <xdr:spPr>
          <a:xfrm>
            <a:off x="25107727" y="17021175"/>
            <a:ext cx="45762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US" sz="1400" b="1">
                <a:solidFill>
                  <a:sysClr val="windowText" lastClr="000000"/>
                </a:solidFill>
                <a:latin typeface="+mn-lt"/>
              </a:rPr>
              <a:t>$20</a:t>
            </a:r>
          </a:p>
        </xdr:txBody>
      </xdr:sp>
    </xdr:grpSp>
    <xdr:clientData/>
  </xdr:twoCellAnchor>
  <xdr:oneCellAnchor>
    <xdr:from>
      <xdr:col>43</xdr:col>
      <xdr:colOff>470088</xdr:colOff>
      <xdr:row>84</xdr:row>
      <xdr:rowOff>0</xdr:rowOff>
    </xdr:from>
    <xdr:ext cx="636713" cy="374141"/>
    <xdr:sp macro="" textlink="">
      <xdr:nvSpPr>
        <xdr:cNvPr id="18" name="TextBox 17">
          <a:extLst>
            <a:ext uri="{FF2B5EF4-FFF2-40B4-BE49-F238E27FC236}">
              <a16:creationId xmlns:a16="http://schemas.microsoft.com/office/drawing/2014/main" id="{00000000-0008-0000-0000-000012000000}"/>
            </a:ext>
          </a:extLst>
        </xdr:cNvPr>
        <xdr:cNvSpPr txBox="1"/>
      </xdr:nvSpPr>
      <xdr:spPr>
        <a:xfrm>
          <a:off x="29959488" y="16106775"/>
          <a:ext cx="636713"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800" b="1" u="sng">
              <a:solidFill>
                <a:srgbClr val="0000FF"/>
              </a:solidFill>
            </a:rPr>
            <a:t>Cash</a:t>
          </a:r>
        </a:p>
      </xdr:txBody>
    </xdr:sp>
    <xdr:clientData/>
  </xdr:oneCellAnchor>
  <xdr:twoCellAnchor>
    <xdr:from>
      <xdr:col>43</xdr:col>
      <xdr:colOff>0</xdr:colOff>
      <xdr:row>85</xdr:row>
      <xdr:rowOff>123825</xdr:rowOff>
    </xdr:from>
    <xdr:to>
      <xdr:col>43</xdr:col>
      <xdr:colOff>603691</xdr:colOff>
      <xdr:row>90</xdr:row>
      <xdr:rowOff>73371</xdr:rowOff>
    </xdr:to>
    <xdr:grpSp>
      <xdr:nvGrpSpPr>
        <xdr:cNvPr id="19" name="Group 18">
          <a:extLst>
            <a:ext uri="{FF2B5EF4-FFF2-40B4-BE49-F238E27FC236}">
              <a16:creationId xmlns:a16="http://schemas.microsoft.com/office/drawing/2014/main" id="{00000000-0008-0000-0000-000013000000}"/>
            </a:ext>
          </a:extLst>
        </xdr:cNvPr>
        <xdr:cNvGrpSpPr/>
      </xdr:nvGrpSpPr>
      <xdr:grpSpPr>
        <a:xfrm>
          <a:off x="28092400" y="15579725"/>
          <a:ext cx="603691" cy="933796"/>
          <a:chOff x="24961662" y="16430625"/>
          <a:chExt cx="603691" cy="902046"/>
        </a:xfrm>
      </xdr:grpSpPr>
      <xdr:sp macro="" textlink="">
        <xdr:nvSpPr>
          <xdr:cNvPr id="20" name="TextBox 19">
            <a:extLst>
              <a:ext uri="{FF2B5EF4-FFF2-40B4-BE49-F238E27FC236}">
                <a16:creationId xmlns:a16="http://schemas.microsoft.com/office/drawing/2014/main" id="{00000000-0008-0000-0000-000014000000}"/>
              </a:ext>
            </a:extLst>
          </xdr:cNvPr>
          <xdr:cNvSpPr txBox="1"/>
        </xdr:nvSpPr>
        <xdr:spPr>
          <a:xfrm>
            <a:off x="25029052" y="16430625"/>
            <a:ext cx="53630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US" sz="1400" b="1">
                <a:solidFill>
                  <a:schemeClr val="tx1">
                    <a:lumMod val="75000"/>
                    <a:lumOff val="25000"/>
                  </a:schemeClr>
                </a:solidFill>
                <a:latin typeface="+mn-lt"/>
              </a:rPr>
              <a:t>Cash</a:t>
            </a:r>
          </a:p>
        </xdr:txBody>
      </xdr:sp>
      <xdr:sp macro="" textlink="">
        <xdr:nvSpPr>
          <xdr:cNvPr id="21" name="TextBox 20">
            <a:extLst>
              <a:ext uri="{FF2B5EF4-FFF2-40B4-BE49-F238E27FC236}">
                <a16:creationId xmlns:a16="http://schemas.microsoft.com/office/drawing/2014/main" id="{00000000-0008-0000-0000-000015000000}"/>
              </a:ext>
            </a:extLst>
          </xdr:cNvPr>
          <xdr:cNvSpPr txBox="1"/>
        </xdr:nvSpPr>
        <xdr:spPr>
          <a:xfrm>
            <a:off x="25059894" y="16725900"/>
            <a:ext cx="505459"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US" sz="1400" b="1">
                <a:solidFill>
                  <a:schemeClr val="tx1">
                    <a:lumMod val="75000"/>
                    <a:lumOff val="25000"/>
                  </a:schemeClr>
                </a:solidFill>
                <a:latin typeface="+mn-lt"/>
              </a:rPr>
              <a:t>Cost</a:t>
            </a:r>
          </a:p>
        </xdr:txBody>
      </xdr:sp>
      <xdr:sp macro="" textlink="">
        <xdr:nvSpPr>
          <xdr:cNvPr id="22" name="TextBox 21">
            <a:extLst>
              <a:ext uri="{FF2B5EF4-FFF2-40B4-BE49-F238E27FC236}">
                <a16:creationId xmlns:a16="http://schemas.microsoft.com/office/drawing/2014/main" id="{00000000-0008-0000-0000-000016000000}"/>
              </a:ext>
            </a:extLst>
          </xdr:cNvPr>
          <xdr:cNvSpPr txBox="1"/>
        </xdr:nvSpPr>
        <xdr:spPr>
          <a:xfrm>
            <a:off x="24961662" y="17021175"/>
            <a:ext cx="60369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US" sz="1400" b="1">
                <a:solidFill>
                  <a:schemeClr val="tx1">
                    <a:lumMod val="75000"/>
                    <a:lumOff val="25000"/>
                  </a:schemeClr>
                </a:solidFill>
                <a:latin typeface="+mn-lt"/>
              </a:rPr>
              <a:t>Profit</a:t>
            </a:r>
          </a:p>
        </xdr:txBody>
      </xdr:sp>
    </xdr:grpSp>
    <xdr:clientData/>
  </xdr:twoCellAnchor>
  <xdr:twoCellAnchor>
    <xdr:from>
      <xdr:col>44</xdr:col>
      <xdr:colOff>393715</xdr:colOff>
      <xdr:row>85</xdr:row>
      <xdr:rowOff>123825</xdr:rowOff>
    </xdr:from>
    <xdr:to>
      <xdr:col>45</xdr:col>
      <xdr:colOff>165541</xdr:colOff>
      <xdr:row>90</xdr:row>
      <xdr:rowOff>73371</xdr:rowOff>
    </xdr:to>
    <xdr:grpSp>
      <xdr:nvGrpSpPr>
        <xdr:cNvPr id="23" name="Group 22">
          <a:extLst>
            <a:ext uri="{FF2B5EF4-FFF2-40B4-BE49-F238E27FC236}">
              <a16:creationId xmlns:a16="http://schemas.microsoft.com/office/drawing/2014/main" id="{00000000-0008-0000-0000-000017000000}"/>
            </a:ext>
          </a:extLst>
        </xdr:cNvPr>
        <xdr:cNvGrpSpPr/>
      </xdr:nvGrpSpPr>
      <xdr:grpSpPr>
        <a:xfrm>
          <a:off x="29171915" y="15579725"/>
          <a:ext cx="457626" cy="933796"/>
          <a:chOff x="25107727" y="16430625"/>
          <a:chExt cx="457626" cy="902046"/>
        </a:xfrm>
      </xdr:grpSpPr>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25198713" y="16430625"/>
            <a:ext cx="366640"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US" sz="1400" b="1">
                <a:solidFill>
                  <a:sysClr val="windowText" lastClr="000000"/>
                </a:solidFill>
                <a:latin typeface="+mn-lt"/>
              </a:rPr>
              <a:t>$0</a:t>
            </a:r>
          </a:p>
        </xdr:txBody>
      </xdr:sp>
      <xdr:sp macro="" textlink="">
        <xdr:nvSpPr>
          <xdr:cNvPr id="25" name="TextBox 24">
            <a:extLst>
              <a:ext uri="{FF2B5EF4-FFF2-40B4-BE49-F238E27FC236}">
                <a16:creationId xmlns:a16="http://schemas.microsoft.com/office/drawing/2014/main" id="{00000000-0008-0000-0000-000019000000}"/>
              </a:ext>
            </a:extLst>
          </xdr:cNvPr>
          <xdr:cNvSpPr txBox="1"/>
        </xdr:nvSpPr>
        <xdr:spPr>
          <a:xfrm>
            <a:off x="25107727" y="16725900"/>
            <a:ext cx="45762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US" sz="1400" b="1" u="sng">
                <a:solidFill>
                  <a:sysClr val="windowText" lastClr="000000"/>
                </a:solidFill>
                <a:latin typeface="+mn-lt"/>
              </a:rPr>
              <a:t>$10</a:t>
            </a:r>
          </a:p>
        </xdr:txBody>
      </xdr:sp>
      <xdr:sp macro="" textlink="">
        <xdr:nvSpPr>
          <xdr:cNvPr id="26" name="TextBox 25">
            <a:extLst>
              <a:ext uri="{FF2B5EF4-FFF2-40B4-BE49-F238E27FC236}">
                <a16:creationId xmlns:a16="http://schemas.microsoft.com/office/drawing/2014/main" id="{00000000-0008-0000-0000-00001A000000}"/>
              </a:ext>
            </a:extLst>
          </xdr:cNvPr>
          <xdr:cNvSpPr txBox="1"/>
        </xdr:nvSpPr>
        <xdr:spPr>
          <a:xfrm>
            <a:off x="25107727" y="17021175"/>
            <a:ext cx="45762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US" sz="1400" b="1">
                <a:solidFill>
                  <a:sysClr val="windowText" lastClr="000000"/>
                </a:solidFill>
                <a:latin typeface="+mn-lt"/>
              </a:rPr>
              <a:t>$20</a:t>
            </a:r>
          </a:p>
        </xdr:txBody>
      </xdr:sp>
    </xdr:grpSp>
    <xdr:clientData/>
  </xdr:twoCellAnchor>
  <xdr:oneCellAnchor>
    <xdr:from>
      <xdr:col>47</xdr:col>
      <xdr:colOff>470088</xdr:colOff>
      <xdr:row>84</xdr:row>
      <xdr:rowOff>0</xdr:rowOff>
    </xdr:from>
    <xdr:ext cx="636713" cy="374141"/>
    <xdr:sp macro="" textlink="">
      <xdr:nvSpPr>
        <xdr:cNvPr id="27" name="TextBox 26">
          <a:extLst>
            <a:ext uri="{FF2B5EF4-FFF2-40B4-BE49-F238E27FC236}">
              <a16:creationId xmlns:a16="http://schemas.microsoft.com/office/drawing/2014/main" id="{00000000-0008-0000-0000-00001B000000}"/>
            </a:ext>
          </a:extLst>
        </xdr:cNvPr>
        <xdr:cNvSpPr txBox="1"/>
      </xdr:nvSpPr>
      <xdr:spPr>
        <a:xfrm>
          <a:off x="32702688" y="16106775"/>
          <a:ext cx="636713"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800" b="1" u="sng">
              <a:solidFill>
                <a:srgbClr val="0000FF"/>
              </a:solidFill>
            </a:rPr>
            <a:t>Cash</a:t>
          </a:r>
        </a:p>
      </xdr:txBody>
    </xdr:sp>
    <xdr:clientData/>
  </xdr:oneCellAnchor>
  <xdr:twoCellAnchor>
    <xdr:from>
      <xdr:col>47</xdr:col>
      <xdr:colOff>57258</xdr:colOff>
      <xdr:row>85</xdr:row>
      <xdr:rowOff>123825</xdr:rowOff>
    </xdr:from>
    <xdr:to>
      <xdr:col>47</xdr:col>
      <xdr:colOff>603691</xdr:colOff>
      <xdr:row>87</xdr:row>
      <xdr:rowOff>54321</xdr:rowOff>
    </xdr:to>
    <xdr:sp macro="" textlink="">
      <xdr:nvSpPr>
        <xdr:cNvPr id="28" name="TextBox 27">
          <a:extLst>
            <a:ext uri="{FF2B5EF4-FFF2-40B4-BE49-F238E27FC236}">
              <a16:creationId xmlns:a16="http://schemas.microsoft.com/office/drawing/2014/main" id="{00000000-0008-0000-0000-00001C000000}"/>
            </a:ext>
          </a:extLst>
        </xdr:cNvPr>
        <xdr:cNvSpPr txBox="1"/>
      </xdr:nvSpPr>
      <xdr:spPr>
        <a:xfrm>
          <a:off x="32289858" y="16421100"/>
          <a:ext cx="546433"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en-US" sz="1400" b="1">
              <a:solidFill>
                <a:schemeClr val="tx1">
                  <a:lumMod val="75000"/>
                  <a:lumOff val="25000"/>
                </a:schemeClr>
              </a:solidFill>
              <a:latin typeface="+mn-lt"/>
            </a:rPr>
            <a:t>Start</a:t>
          </a:r>
        </a:p>
      </xdr:txBody>
    </xdr:sp>
    <xdr:clientData/>
  </xdr:twoCellAnchor>
  <xdr:twoCellAnchor>
    <xdr:from>
      <xdr:col>47</xdr:col>
      <xdr:colOff>61619</xdr:colOff>
      <xdr:row>87</xdr:row>
      <xdr:rowOff>38100</xdr:rowOff>
    </xdr:from>
    <xdr:to>
      <xdr:col>47</xdr:col>
      <xdr:colOff>603691</xdr:colOff>
      <xdr:row>88</xdr:row>
      <xdr:rowOff>159096</xdr:rowOff>
    </xdr:to>
    <xdr:sp macro="" textlink="">
      <xdr:nvSpPr>
        <xdr:cNvPr id="29" name="TextBox 28">
          <a:extLst>
            <a:ext uri="{FF2B5EF4-FFF2-40B4-BE49-F238E27FC236}">
              <a16:creationId xmlns:a16="http://schemas.microsoft.com/office/drawing/2014/main" id="{00000000-0008-0000-0000-00001D000000}"/>
            </a:ext>
          </a:extLst>
        </xdr:cNvPr>
        <xdr:cNvSpPr txBox="1"/>
      </xdr:nvSpPr>
      <xdr:spPr>
        <a:xfrm>
          <a:off x="32294219" y="16716375"/>
          <a:ext cx="54207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en-US" sz="1400" b="1">
              <a:solidFill>
                <a:schemeClr val="tx1">
                  <a:lumMod val="75000"/>
                  <a:lumOff val="25000"/>
                </a:schemeClr>
              </a:solidFill>
              <a:latin typeface="+mn-lt"/>
            </a:rPr>
            <a:t>Loan</a:t>
          </a:r>
        </a:p>
      </xdr:txBody>
    </xdr:sp>
    <xdr:clientData/>
  </xdr:twoCellAnchor>
  <xdr:twoCellAnchor>
    <xdr:from>
      <xdr:col>47</xdr:col>
      <xdr:colOff>0</xdr:colOff>
      <xdr:row>88</xdr:row>
      <xdr:rowOff>38100</xdr:rowOff>
    </xdr:from>
    <xdr:to>
      <xdr:col>47</xdr:col>
      <xdr:colOff>603691</xdr:colOff>
      <xdr:row>89</xdr:row>
      <xdr:rowOff>159096</xdr:rowOff>
    </xdr:to>
    <xdr:sp macro="" textlink="">
      <xdr:nvSpPr>
        <xdr:cNvPr id="30" name="TextBox 29">
          <a:extLst>
            <a:ext uri="{FF2B5EF4-FFF2-40B4-BE49-F238E27FC236}">
              <a16:creationId xmlns:a16="http://schemas.microsoft.com/office/drawing/2014/main" id="{00000000-0008-0000-0000-00001E000000}"/>
            </a:ext>
          </a:extLst>
        </xdr:cNvPr>
        <xdr:cNvSpPr txBox="1"/>
      </xdr:nvSpPr>
      <xdr:spPr>
        <a:xfrm>
          <a:off x="32232600" y="16906875"/>
          <a:ext cx="60369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en-US" sz="1400" b="1">
              <a:solidFill>
                <a:schemeClr val="tx1">
                  <a:lumMod val="75000"/>
                  <a:lumOff val="25000"/>
                </a:schemeClr>
              </a:solidFill>
              <a:latin typeface="+mn-lt"/>
            </a:rPr>
            <a:t>Profit</a:t>
          </a:r>
        </a:p>
      </xdr:txBody>
    </xdr:sp>
    <xdr:clientData/>
  </xdr:twoCellAnchor>
  <xdr:twoCellAnchor>
    <xdr:from>
      <xdr:col>48</xdr:col>
      <xdr:colOff>484701</xdr:colOff>
      <xdr:row>85</xdr:row>
      <xdr:rowOff>123825</xdr:rowOff>
    </xdr:from>
    <xdr:to>
      <xdr:col>49</xdr:col>
      <xdr:colOff>165541</xdr:colOff>
      <xdr:row>87</xdr:row>
      <xdr:rowOff>54321</xdr:rowOff>
    </xdr:to>
    <xdr:sp macro="" textlink="">
      <xdr:nvSpPr>
        <xdr:cNvPr id="31" name="TextBox 30">
          <a:extLst>
            <a:ext uri="{FF2B5EF4-FFF2-40B4-BE49-F238E27FC236}">
              <a16:creationId xmlns:a16="http://schemas.microsoft.com/office/drawing/2014/main" id="{00000000-0008-0000-0000-00001F000000}"/>
            </a:ext>
          </a:extLst>
        </xdr:cNvPr>
        <xdr:cNvSpPr txBox="1"/>
      </xdr:nvSpPr>
      <xdr:spPr>
        <a:xfrm>
          <a:off x="33403101" y="16421100"/>
          <a:ext cx="366640"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en-US" sz="1400" b="1">
              <a:solidFill>
                <a:sysClr val="windowText" lastClr="000000"/>
              </a:solidFill>
              <a:latin typeface="+mn-lt"/>
            </a:rPr>
            <a:t>$0</a:t>
          </a:r>
        </a:p>
      </xdr:txBody>
    </xdr:sp>
    <xdr:clientData/>
  </xdr:twoCellAnchor>
  <xdr:twoCellAnchor>
    <xdr:from>
      <xdr:col>48</xdr:col>
      <xdr:colOff>393715</xdr:colOff>
      <xdr:row>87</xdr:row>
      <xdr:rowOff>38100</xdr:rowOff>
    </xdr:from>
    <xdr:to>
      <xdr:col>49</xdr:col>
      <xdr:colOff>165541</xdr:colOff>
      <xdr:row>88</xdr:row>
      <xdr:rowOff>159096</xdr:rowOff>
    </xdr:to>
    <xdr:sp macro="" textlink="">
      <xdr:nvSpPr>
        <xdr:cNvPr id="32" name="TextBox 31">
          <a:extLst>
            <a:ext uri="{FF2B5EF4-FFF2-40B4-BE49-F238E27FC236}">
              <a16:creationId xmlns:a16="http://schemas.microsoft.com/office/drawing/2014/main" id="{00000000-0008-0000-0000-000020000000}"/>
            </a:ext>
          </a:extLst>
        </xdr:cNvPr>
        <xdr:cNvSpPr txBox="1"/>
      </xdr:nvSpPr>
      <xdr:spPr>
        <a:xfrm>
          <a:off x="33312115" y="16716375"/>
          <a:ext cx="45762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en-US" sz="1400" b="1" u="none">
              <a:solidFill>
                <a:sysClr val="windowText" lastClr="000000"/>
              </a:solidFill>
              <a:latin typeface="+mn-lt"/>
            </a:rPr>
            <a:t>$15</a:t>
          </a:r>
        </a:p>
      </xdr:txBody>
    </xdr:sp>
    <xdr:clientData/>
  </xdr:twoCellAnchor>
  <xdr:twoCellAnchor>
    <xdr:from>
      <xdr:col>48</xdr:col>
      <xdr:colOff>393715</xdr:colOff>
      <xdr:row>88</xdr:row>
      <xdr:rowOff>38100</xdr:rowOff>
    </xdr:from>
    <xdr:to>
      <xdr:col>49</xdr:col>
      <xdr:colOff>165541</xdr:colOff>
      <xdr:row>89</xdr:row>
      <xdr:rowOff>159096</xdr:rowOff>
    </xdr:to>
    <xdr:sp macro="" textlink="">
      <xdr:nvSpPr>
        <xdr:cNvPr id="33" name="TextBox 32">
          <a:extLst>
            <a:ext uri="{FF2B5EF4-FFF2-40B4-BE49-F238E27FC236}">
              <a16:creationId xmlns:a16="http://schemas.microsoft.com/office/drawing/2014/main" id="{00000000-0008-0000-0000-000021000000}"/>
            </a:ext>
          </a:extLst>
        </xdr:cNvPr>
        <xdr:cNvSpPr txBox="1"/>
      </xdr:nvSpPr>
      <xdr:spPr>
        <a:xfrm>
          <a:off x="33312115" y="16906875"/>
          <a:ext cx="45762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en-US" sz="1400" b="1">
              <a:solidFill>
                <a:sysClr val="windowText" lastClr="000000"/>
              </a:solidFill>
              <a:latin typeface="+mn-lt"/>
            </a:rPr>
            <a:t>$20</a:t>
          </a:r>
        </a:p>
      </xdr:txBody>
    </xdr:sp>
    <xdr:clientData/>
  </xdr:twoCellAnchor>
  <xdr:twoCellAnchor>
    <xdr:from>
      <xdr:col>47</xdr:col>
      <xdr:colOff>9525</xdr:colOff>
      <xdr:row>89</xdr:row>
      <xdr:rowOff>152400</xdr:rowOff>
    </xdr:from>
    <xdr:to>
      <xdr:col>47</xdr:col>
      <xdr:colOff>613216</xdr:colOff>
      <xdr:row>91</xdr:row>
      <xdr:rowOff>82896</xdr:rowOff>
    </xdr:to>
    <xdr:sp macro="" textlink="">
      <xdr:nvSpPr>
        <xdr:cNvPr id="34" name="TextBox 33">
          <a:extLst>
            <a:ext uri="{FF2B5EF4-FFF2-40B4-BE49-F238E27FC236}">
              <a16:creationId xmlns:a16="http://schemas.microsoft.com/office/drawing/2014/main" id="{00000000-0008-0000-0000-000022000000}"/>
            </a:ext>
          </a:extLst>
        </xdr:cNvPr>
        <xdr:cNvSpPr txBox="1"/>
      </xdr:nvSpPr>
      <xdr:spPr>
        <a:xfrm>
          <a:off x="32242125" y="17211675"/>
          <a:ext cx="60369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en-US" sz="1400" b="1">
              <a:solidFill>
                <a:schemeClr val="tx1">
                  <a:lumMod val="75000"/>
                  <a:lumOff val="25000"/>
                </a:schemeClr>
              </a:solidFill>
              <a:latin typeface="+mn-lt"/>
            </a:rPr>
            <a:t>End</a:t>
          </a:r>
        </a:p>
      </xdr:txBody>
    </xdr:sp>
    <xdr:clientData/>
  </xdr:twoCellAnchor>
  <xdr:twoCellAnchor>
    <xdr:from>
      <xdr:col>48</xdr:col>
      <xdr:colOff>403240</xdr:colOff>
      <xdr:row>89</xdr:row>
      <xdr:rowOff>152400</xdr:rowOff>
    </xdr:from>
    <xdr:to>
      <xdr:col>49</xdr:col>
      <xdr:colOff>175066</xdr:colOff>
      <xdr:row>91</xdr:row>
      <xdr:rowOff>82896</xdr:rowOff>
    </xdr:to>
    <xdr:sp macro="" textlink="">
      <xdr:nvSpPr>
        <xdr:cNvPr id="35" name="TextBox 34">
          <a:extLst>
            <a:ext uri="{FF2B5EF4-FFF2-40B4-BE49-F238E27FC236}">
              <a16:creationId xmlns:a16="http://schemas.microsoft.com/office/drawing/2014/main" id="{00000000-0008-0000-0000-000023000000}"/>
            </a:ext>
          </a:extLst>
        </xdr:cNvPr>
        <xdr:cNvSpPr txBox="1"/>
      </xdr:nvSpPr>
      <xdr:spPr>
        <a:xfrm>
          <a:off x="33321640" y="17211675"/>
          <a:ext cx="45762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en-US" sz="1400" b="1" u="dbl">
              <a:solidFill>
                <a:sysClr val="windowText" lastClr="000000"/>
              </a:solidFill>
              <a:latin typeface="+mn-lt"/>
            </a:rPr>
            <a:t>$35</a:t>
          </a:r>
        </a:p>
      </xdr:txBody>
    </xdr:sp>
    <xdr:clientData/>
  </xdr:twoCellAnchor>
  <xdr:oneCellAnchor>
    <xdr:from>
      <xdr:col>42</xdr:col>
      <xdr:colOff>31938</xdr:colOff>
      <xdr:row>96</xdr:row>
      <xdr:rowOff>0</xdr:rowOff>
    </xdr:from>
    <xdr:ext cx="1532856" cy="374141"/>
    <xdr:sp macro="" textlink="">
      <xdr:nvSpPr>
        <xdr:cNvPr id="36" name="TextBox 35">
          <a:extLst>
            <a:ext uri="{FF2B5EF4-FFF2-40B4-BE49-F238E27FC236}">
              <a16:creationId xmlns:a16="http://schemas.microsoft.com/office/drawing/2014/main" id="{00000000-0008-0000-0000-000024000000}"/>
            </a:ext>
          </a:extLst>
        </xdr:cNvPr>
        <xdr:cNvSpPr txBox="1"/>
      </xdr:nvSpPr>
      <xdr:spPr>
        <a:xfrm>
          <a:off x="28835538" y="18392775"/>
          <a:ext cx="1532856"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800" b="1" u="sng">
              <a:solidFill>
                <a:srgbClr val="0000FF"/>
              </a:solidFill>
            </a:rPr>
            <a:t>Balance</a:t>
          </a:r>
          <a:r>
            <a:rPr lang="en-US" sz="1800" b="1" u="sng" baseline="0">
              <a:solidFill>
                <a:srgbClr val="0000FF"/>
              </a:solidFill>
            </a:rPr>
            <a:t> Sheet</a:t>
          </a:r>
          <a:endParaRPr lang="en-US" sz="1800" b="1" u="sng">
            <a:solidFill>
              <a:srgbClr val="0000FF"/>
            </a:solidFill>
          </a:endParaRPr>
        </a:p>
      </xdr:txBody>
    </xdr:sp>
    <xdr:clientData/>
  </xdr:oneCellAnchor>
  <xdr:twoCellAnchor>
    <xdr:from>
      <xdr:col>39</xdr:col>
      <xdr:colOff>568466</xdr:colOff>
      <xdr:row>97</xdr:row>
      <xdr:rowOff>123825</xdr:rowOff>
    </xdr:from>
    <xdr:to>
      <xdr:col>42</xdr:col>
      <xdr:colOff>603691</xdr:colOff>
      <xdr:row>99</xdr:row>
      <xdr:rowOff>54321</xdr:rowOff>
    </xdr:to>
    <xdr:sp macro="" textlink="">
      <xdr:nvSpPr>
        <xdr:cNvPr id="37" name="TextBox 36">
          <a:extLst>
            <a:ext uri="{FF2B5EF4-FFF2-40B4-BE49-F238E27FC236}">
              <a16:creationId xmlns:a16="http://schemas.microsoft.com/office/drawing/2014/main" id="{00000000-0008-0000-0000-000025000000}"/>
            </a:ext>
          </a:extLst>
        </xdr:cNvPr>
        <xdr:cNvSpPr txBox="1"/>
      </xdr:nvSpPr>
      <xdr:spPr>
        <a:xfrm>
          <a:off x="27314666" y="18707100"/>
          <a:ext cx="2092625"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en-US" sz="1400" b="1">
              <a:solidFill>
                <a:schemeClr val="tx1"/>
              </a:solidFill>
              <a:latin typeface="+mn-lt"/>
            </a:rPr>
            <a:t>Assets</a:t>
          </a:r>
        </a:p>
      </xdr:txBody>
    </xdr:sp>
    <xdr:clientData/>
  </xdr:twoCellAnchor>
  <xdr:twoCellAnchor>
    <xdr:from>
      <xdr:col>38</xdr:col>
      <xdr:colOff>418845</xdr:colOff>
      <xdr:row>99</xdr:row>
      <xdr:rowOff>133350</xdr:rowOff>
    </xdr:from>
    <xdr:to>
      <xdr:col>42</xdr:col>
      <xdr:colOff>603691</xdr:colOff>
      <xdr:row>101</xdr:row>
      <xdr:rowOff>63846</xdr:rowOff>
    </xdr:to>
    <xdr:sp macro="" textlink="">
      <xdr:nvSpPr>
        <xdr:cNvPr id="38" name="TextBox 37">
          <a:extLst>
            <a:ext uri="{FF2B5EF4-FFF2-40B4-BE49-F238E27FC236}">
              <a16:creationId xmlns:a16="http://schemas.microsoft.com/office/drawing/2014/main" id="{00000000-0008-0000-0000-000026000000}"/>
            </a:ext>
          </a:extLst>
        </xdr:cNvPr>
        <xdr:cNvSpPr txBox="1"/>
      </xdr:nvSpPr>
      <xdr:spPr>
        <a:xfrm>
          <a:off x="26479245" y="19097625"/>
          <a:ext cx="292804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en-US" sz="1400" b="1">
              <a:solidFill>
                <a:schemeClr val="tx1">
                  <a:lumMod val="75000"/>
                  <a:lumOff val="25000"/>
                </a:schemeClr>
              </a:solidFill>
              <a:latin typeface="+mn-lt"/>
            </a:rPr>
            <a:t>Liabilities</a:t>
          </a:r>
        </a:p>
      </xdr:txBody>
    </xdr:sp>
    <xdr:clientData/>
  </xdr:twoCellAnchor>
  <xdr:twoCellAnchor>
    <xdr:from>
      <xdr:col>38</xdr:col>
      <xdr:colOff>347351</xdr:colOff>
      <xdr:row>100</xdr:row>
      <xdr:rowOff>171450</xdr:rowOff>
    </xdr:from>
    <xdr:to>
      <xdr:col>42</xdr:col>
      <xdr:colOff>603691</xdr:colOff>
      <xdr:row>102</xdr:row>
      <xdr:rowOff>101946</xdr:rowOff>
    </xdr:to>
    <xdr:sp macro="" textlink="">
      <xdr:nvSpPr>
        <xdr:cNvPr id="39" name="TextBox 38">
          <a:extLst>
            <a:ext uri="{FF2B5EF4-FFF2-40B4-BE49-F238E27FC236}">
              <a16:creationId xmlns:a16="http://schemas.microsoft.com/office/drawing/2014/main" id="{00000000-0008-0000-0000-000027000000}"/>
            </a:ext>
          </a:extLst>
        </xdr:cNvPr>
        <xdr:cNvSpPr txBox="1"/>
      </xdr:nvSpPr>
      <xdr:spPr>
        <a:xfrm>
          <a:off x="26407751" y="19326225"/>
          <a:ext cx="2999540"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en-US" sz="1400" b="1">
              <a:solidFill>
                <a:schemeClr val="tx1">
                  <a:lumMod val="75000"/>
                  <a:lumOff val="25000"/>
                </a:schemeClr>
              </a:solidFill>
              <a:latin typeface="+mn-lt"/>
            </a:rPr>
            <a:t>Owners'</a:t>
          </a:r>
          <a:r>
            <a:rPr lang="en-US" sz="1400" b="1" baseline="0">
              <a:solidFill>
                <a:schemeClr val="tx1">
                  <a:lumMod val="75000"/>
                  <a:lumOff val="25000"/>
                </a:schemeClr>
              </a:solidFill>
              <a:latin typeface="+mn-lt"/>
            </a:rPr>
            <a:t> Equity</a:t>
          </a:r>
          <a:endParaRPr lang="en-US" sz="1400" b="1">
            <a:solidFill>
              <a:schemeClr val="tx1">
                <a:lumMod val="75000"/>
                <a:lumOff val="25000"/>
              </a:schemeClr>
            </a:solidFill>
            <a:latin typeface="+mn-lt"/>
          </a:endParaRPr>
        </a:p>
      </xdr:txBody>
    </xdr:sp>
    <xdr:clientData/>
  </xdr:twoCellAnchor>
  <xdr:twoCellAnchor>
    <xdr:from>
      <xdr:col>43</xdr:col>
      <xdr:colOff>393715</xdr:colOff>
      <xdr:row>97</xdr:row>
      <xdr:rowOff>123825</xdr:rowOff>
    </xdr:from>
    <xdr:to>
      <xdr:col>44</xdr:col>
      <xdr:colOff>165541</xdr:colOff>
      <xdr:row>99</xdr:row>
      <xdr:rowOff>54321</xdr:rowOff>
    </xdr:to>
    <xdr:sp macro="" textlink="">
      <xdr:nvSpPr>
        <xdr:cNvPr id="40" name="TextBox 39">
          <a:extLst>
            <a:ext uri="{FF2B5EF4-FFF2-40B4-BE49-F238E27FC236}">
              <a16:creationId xmlns:a16="http://schemas.microsoft.com/office/drawing/2014/main" id="{00000000-0008-0000-0000-000028000000}"/>
            </a:ext>
          </a:extLst>
        </xdr:cNvPr>
        <xdr:cNvSpPr txBox="1"/>
      </xdr:nvSpPr>
      <xdr:spPr>
        <a:xfrm>
          <a:off x="29883115" y="18707100"/>
          <a:ext cx="45762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en-US" sz="1400" b="1">
              <a:solidFill>
                <a:sysClr val="windowText" lastClr="000000"/>
              </a:solidFill>
              <a:latin typeface="+mn-lt"/>
            </a:rPr>
            <a:t>$35</a:t>
          </a:r>
        </a:p>
      </xdr:txBody>
    </xdr:sp>
    <xdr:clientData/>
  </xdr:twoCellAnchor>
  <xdr:twoCellAnchor>
    <xdr:from>
      <xdr:col>43</xdr:col>
      <xdr:colOff>393715</xdr:colOff>
      <xdr:row>99</xdr:row>
      <xdr:rowOff>133350</xdr:rowOff>
    </xdr:from>
    <xdr:to>
      <xdr:col>44</xdr:col>
      <xdr:colOff>165541</xdr:colOff>
      <xdr:row>101</xdr:row>
      <xdr:rowOff>63846</xdr:rowOff>
    </xdr:to>
    <xdr:sp macro="" textlink="">
      <xdr:nvSpPr>
        <xdr:cNvPr id="41" name="TextBox 40">
          <a:extLst>
            <a:ext uri="{FF2B5EF4-FFF2-40B4-BE49-F238E27FC236}">
              <a16:creationId xmlns:a16="http://schemas.microsoft.com/office/drawing/2014/main" id="{00000000-0008-0000-0000-000029000000}"/>
            </a:ext>
          </a:extLst>
        </xdr:cNvPr>
        <xdr:cNvSpPr txBox="1"/>
      </xdr:nvSpPr>
      <xdr:spPr>
        <a:xfrm>
          <a:off x="29883115" y="19097625"/>
          <a:ext cx="45762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en-US" sz="1400" b="1" u="none">
              <a:solidFill>
                <a:sysClr val="windowText" lastClr="000000"/>
              </a:solidFill>
              <a:latin typeface="+mn-lt"/>
            </a:rPr>
            <a:t>$15</a:t>
          </a:r>
        </a:p>
      </xdr:txBody>
    </xdr:sp>
    <xdr:clientData/>
  </xdr:twoCellAnchor>
  <xdr:twoCellAnchor>
    <xdr:from>
      <xdr:col>43</xdr:col>
      <xdr:colOff>393715</xdr:colOff>
      <xdr:row>100</xdr:row>
      <xdr:rowOff>171450</xdr:rowOff>
    </xdr:from>
    <xdr:to>
      <xdr:col>44</xdr:col>
      <xdr:colOff>165541</xdr:colOff>
      <xdr:row>102</xdr:row>
      <xdr:rowOff>101946</xdr:rowOff>
    </xdr:to>
    <xdr:sp macro="" textlink="">
      <xdr:nvSpPr>
        <xdr:cNvPr id="42" name="TextBox 41">
          <a:extLst>
            <a:ext uri="{FF2B5EF4-FFF2-40B4-BE49-F238E27FC236}">
              <a16:creationId xmlns:a16="http://schemas.microsoft.com/office/drawing/2014/main" id="{00000000-0008-0000-0000-00002A000000}"/>
            </a:ext>
          </a:extLst>
        </xdr:cNvPr>
        <xdr:cNvSpPr txBox="1"/>
      </xdr:nvSpPr>
      <xdr:spPr>
        <a:xfrm>
          <a:off x="29883115" y="19326225"/>
          <a:ext cx="45762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en-US" sz="1400" b="1" u="sng">
              <a:solidFill>
                <a:sysClr val="windowText" lastClr="000000"/>
              </a:solidFill>
              <a:latin typeface="+mn-lt"/>
            </a:rPr>
            <a:t>$20</a:t>
          </a:r>
        </a:p>
      </xdr:txBody>
    </xdr:sp>
    <xdr:clientData/>
  </xdr:twoCellAnchor>
  <xdr:twoCellAnchor>
    <xdr:from>
      <xdr:col>38</xdr:col>
      <xdr:colOff>352425</xdr:colOff>
      <xdr:row>102</xdr:row>
      <xdr:rowOff>19050</xdr:rowOff>
    </xdr:from>
    <xdr:to>
      <xdr:col>42</xdr:col>
      <xdr:colOff>608765</xdr:colOff>
      <xdr:row>103</xdr:row>
      <xdr:rowOff>140046</xdr:rowOff>
    </xdr:to>
    <xdr:sp macro="" textlink="">
      <xdr:nvSpPr>
        <xdr:cNvPr id="43" name="TextBox 42">
          <a:extLst>
            <a:ext uri="{FF2B5EF4-FFF2-40B4-BE49-F238E27FC236}">
              <a16:creationId xmlns:a16="http://schemas.microsoft.com/office/drawing/2014/main" id="{00000000-0008-0000-0000-00002B000000}"/>
            </a:ext>
          </a:extLst>
        </xdr:cNvPr>
        <xdr:cNvSpPr txBox="1"/>
      </xdr:nvSpPr>
      <xdr:spPr>
        <a:xfrm>
          <a:off x="26412825" y="19554825"/>
          <a:ext cx="2999540"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en-US" sz="1400" b="1">
              <a:solidFill>
                <a:schemeClr val="tx1"/>
              </a:solidFill>
              <a:latin typeface="+mn-lt"/>
            </a:rPr>
            <a:t>Liabilities</a:t>
          </a:r>
          <a:r>
            <a:rPr lang="en-US" sz="1400" b="1" baseline="0">
              <a:solidFill>
                <a:schemeClr val="tx1"/>
              </a:solidFill>
              <a:latin typeface="+mn-lt"/>
            </a:rPr>
            <a:t> &amp; Owners' Equity</a:t>
          </a:r>
          <a:endParaRPr lang="en-US" sz="1400" b="1">
            <a:solidFill>
              <a:schemeClr val="tx1"/>
            </a:solidFill>
            <a:latin typeface="+mn-lt"/>
          </a:endParaRPr>
        </a:p>
      </xdr:txBody>
    </xdr:sp>
    <xdr:clientData/>
  </xdr:twoCellAnchor>
  <xdr:twoCellAnchor>
    <xdr:from>
      <xdr:col>43</xdr:col>
      <xdr:colOff>398789</xdr:colOff>
      <xdr:row>102</xdr:row>
      <xdr:rowOff>19050</xdr:rowOff>
    </xdr:from>
    <xdr:to>
      <xdr:col>44</xdr:col>
      <xdr:colOff>170615</xdr:colOff>
      <xdr:row>103</xdr:row>
      <xdr:rowOff>140046</xdr:rowOff>
    </xdr:to>
    <xdr:sp macro="" textlink="">
      <xdr:nvSpPr>
        <xdr:cNvPr id="44" name="TextBox 43">
          <a:extLst>
            <a:ext uri="{FF2B5EF4-FFF2-40B4-BE49-F238E27FC236}">
              <a16:creationId xmlns:a16="http://schemas.microsoft.com/office/drawing/2014/main" id="{00000000-0008-0000-0000-00002C000000}"/>
            </a:ext>
          </a:extLst>
        </xdr:cNvPr>
        <xdr:cNvSpPr txBox="1"/>
      </xdr:nvSpPr>
      <xdr:spPr>
        <a:xfrm>
          <a:off x="29888189" y="19554825"/>
          <a:ext cx="45762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en-US" sz="1400" b="1">
              <a:solidFill>
                <a:sysClr val="windowText" lastClr="000000"/>
              </a:solidFill>
              <a:latin typeface="+mn-lt"/>
            </a:rPr>
            <a:t>$35</a:t>
          </a:r>
        </a:p>
      </xdr:txBody>
    </xdr:sp>
    <xdr:clientData/>
  </xdr:twoCellAnchor>
  <xdr:oneCellAnchor>
    <xdr:from>
      <xdr:col>53</xdr:col>
      <xdr:colOff>155763</xdr:colOff>
      <xdr:row>77</xdr:row>
      <xdr:rowOff>190500</xdr:rowOff>
    </xdr:from>
    <xdr:ext cx="1275157" cy="990600"/>
    <xdr:sp macro="" textlink="">
      <xdr:nvSpPr>
        <xdr:cNvPr id="45" name="TextBox 44">
          <a:extLst>
            <a:ext uri="{FF2B5EF4-FFF2-40B4-BE49-F238E27FC236}">
              <a16:creationId xmlns:a16="http://schemas.microsoft.com/office/drawing/2014/main" id="{00000000-0008-0000-0000-00002D000000}"/>
            </a:ext>
          </a:extLst>
        </xdr:cNvPr>
        <xdr:cNvSpPr txBox="1"/>
      </xdr:nvSpPr>
      <xdr:spPr>
        <a:xfrm>
          <a:off x="36503163" y="14859000"/>
          <a:ext cx="1275157" cy="990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lang="en-US" sz="1800" b="1">
              <a:solidFill>
                <a:schemeClr val="tx1">
                  <a:lumMod val="75000"/>
                  <a:lumOff val="25000"/>
                </a:schemeClr>
              </a:solidFill>
            </a:rPr>
            <a:t>Sales </a:t>
          </a:r>
        </a:p>
        <a:p>
          <a:pPr algn="ctr"/>
          <a:r>
            <a:rPr lang="en-US" sz="1800" b="1">
              <a:solidFill>
                <a:schemeClr val="tx1">
                  <a:lumMod val="75000"/>
                  <a:lumOff val="25000"/>
                </a:schemeClr>
              </a:solidFill>
            </a:rPr>
            <a:t>= </a:t>
          </a:r>
        </a:p>
        <a:p>
          <a:pPr algn="ctr"/>
          <a:r>
            <a:rPr lang="en-US" sz="1800" b="1" u="sng">
              <a:solidFill>
                <a:srgbClr val="0000FF"/>
              </a:solidFill>
            </a:rPr>
            <a:t>P&amp;L</a:t>
          </a:r>
        </a:p>
      </xdr:txBody>
    </xdr:sp>
    <xdr:clientData/>
  </xdr:oneCellAnchor>
  <xdr:twoCellAnchor>
    <xdr:from>
      <xdr:col>53</xdr:col>
      <xdr:colOff>0</xdr:colOff>
      <xdr:row>81</xdr:row>
      <xdr:rowOff>123825</xdr:rowOff>
    </xdr:from>
    <xdr:to>
      <xdr:col>53</xdr:col>
      <xdr:colOff>603691</xdr:colOff>
      <xdr:row>86</xdr:row>
      <xdr:rowOff>73371</xdr:rowOff>
    </xdr:to>
    <xdr:grpSp>
      <xdr:nvGrpSpPr>
        <xdr:cNvPr id="46" name="Group 45">
          <a:extLst>
            <a:ext uri="{FF2B5EF4-FFF2-40B4-BE49-F238E27FC236}">
              <a16:creationId xmlns:a16="http://schemas.microsoft.com/office/drawing/2014/main" id="{00000000-0008-0000-0000-00002E000000}"/>
            </a:ext>
          </a:extLst>
        </xdr:cNvPr>
        <xdr:cNvGrpSpPr/>
      </xdr:nvGrpSpPr>
      <xdr:grpSpPr>
        <a:xfrm>
          <a:off x="34950400" y="14792325"/>
          <a:ext cx="603691" cy="933796"/>
          <a:chOff x="24961662" y="16430625"/>
          <a:chExt cx="603691" cy="902046"/>
        </a:xfrm>
      </xdr:grpSpPr>
      <xdr:sp macro="" textlink="">
        <xdr:nvSpPr>
          <xdr:cNvPr id="47" name="TextBox 46">
            <a:extLst>
              <a:ext uri="{FF2B5EF4-FFF2-40B4-BE49-F238E27FC236}">
                <a16:creationId xmlns:a16="http://schemas.microsoft.com/office/drawing/2014/main" id="{00000000-0008-0000-0000-00002F000000}"/>
              </a:ext>
            </a:extLst>
          </xdr:cNvPr>
          <xdr:cNvSpPr txBox="1"/>
        </xdr:nvSpPr>
        <xdr:spPr>
          <a:xfrm>
            <a:off x="25001096" y="16430625"/>
            <a:ext cx="564257"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US" sz="1400" b="1">
                <a:solidFill>
                  <a:schemeClr val="bg1">
                    <a:lumMod val="50000"/>
                  </a:schemeClr>
                </a:solidFill>
                <a:latin typeface="+mn-lt"/>
              </a:rPr>
              <a:t>Sales</a:t>
            </a:r>
          </a:p>
        </xdr:txBody>
      </xdr:sp>
      <xdr:sp macro="" textlink="">
        <xdr:nvSpPr>
          <xdr:cNvPr id="48" name="TextBox 47">
            <a:extLst>
              <a:ext uri="{FF2B5EF4-FFF2-40B4-BE49-F238E27FC236}">
                <a16:creationId xmlns:a16="http://schemas.microsoft.com/office/drawing/2014/main" id="{00000000-0008-0000-0000-000030000000}"/>
              </a:ext>
            </a:extLst>
          </xdr:cNvPr>
          <xdr:cNvSpPr txBox="1"/>
        </xdr:nvSpPr>
        <xdr:spPr>
          <a:xfrm>
            <a:off x="25059894" y="16725900"/>
            <a:ext cx="505459"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US" sz="1400" b="1">
                <a:solidFill>
                  <a:schemeClr val="bg1">
                    <a:lumMod val="50000"/>
                  </a:schemeClr>
                </a:solidFill>
                <a:latin typeface="+mn-lt"/>
              </a:rPr>
              <a:t>Cost</a:t>
            </a:r>
          </a:p>
        </xdr:txBody>
      </xdr:sp>
      <xdr:sp macro="" textlink="">
        <xdr:nvSpPr>
          <xdr:cNvPr id="49" name="TextBox 48">
            <a:extLst>
              <a:ext uri="{FF2B5EF4-FFF2-40B4-BE49-F238E27FC236}">
                <a16:creationId xmlns:a16="http://schemas.microsoft.com/office/drawing/2014/main" id="{00000000-0008-0000-0000-000031000000}"/>
              </a:ext>
            </a:extLst>
          </xdr:cNvPr>
          <xdr:cNvSpPr txBox="1"/>
        </xdr:nvSpPr>
        <xdr:spPr>
          <a:xfrm>
            <a:off x="24961662" y="17021175"/>
            <a:ext cx="60369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US" sz="1400" b="1">
                <a:solidFill>
                  <a:schemeClr val="bg1">
                    <a:lumMod val="50000"/>
                  </a:schemeClr>
                </a:solidFill>
                <a:latin typeface="+mn-lt"/>
              </a:rPr>
              <a:t>Profit</a:t>
            </a:r>
          </a:p>
        </xdr:txBody>
      </xdr:sp>
    </xdr:grpSp>
    <xdr:clientData/>
  </xdr:twoCellAnchor>
  <xdr:twoCellAnchor>
    <xdr:from>
      <xdr:col>54</xdr:col>
      <xdr:colOff>393715</xdr:colOff>
      <xdr:row>81</xdr:row>
      <xdr:rowOff>123825</xdr:rowOff>
    </xdr:from>
    <xdr:to>
      <xdr:col>55</xdr:col>
      <xdr:colOff>165541</xdr:colOff>
      <xdr:row>86</xdr:row>
      <xdr:rowOff>73371</xdr:rowOff>
    </xdr:to>
    <xdr:grpSp>
      <xdr:nvGrpSpPr>
        <xdr:cNvPr id="50" name="Group 49">
          <a:extLst>
            <a:ext uri="{FF2B5EF4-FFF2-40B4-BE49-F238E27FC236}">
              <a16:creationId xmlns:a16="http://schemas.microsoft.com/office/drawing/2014/main" id="{00000000-0008-0000-0000-000032000000}"/>
            </a:ext>
          </a:extLst>
        </xdr:cNvPr>
        <xdr:cNvGrpSpPr/>
      </xdr:nvGrpSpPr>
      <xdr:grpSpPr>
        <a:xfrm>
          <a:off x="36029915" y="14792325"/>
          <a:ext cx="457626" cy="933796"/>
          <a:chOff x="25107727" y="16430625"/>
          <a:chExt cx="457626" cy="902046"/>
        </a:xfrm>
      </xdr:grpSpPr>
      <xdr:sp macro="" textlink="">
        <xdr:nvSpPr>
          <xdr:cNvPr id="51" name="TextBox 50">
            <a:extLst>
              <a:ext uri="{FF2B5EF4-FFF2-40B4-BE49-F238E27FC236}">
                <a16:creationId xmlns:a16="http://schemas.microsoft.com/office/drawing/2014/main" id="{00000000-0008-0000-0000-000033000000}"/>
              </a:ext>
            </a:extLst>
          </xdr:cNvPr>
          <xdr:cNvSpPr txBox="1"/>
        </xdr:nvSpPr>
        <xdr:spPr>
          <a:xfrm>
            <a:off x="25107727" y="16430625"/>
            <a:ext cx="45762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US" sz="1400" b="1">
                <a:solidFill>
                  <a:schemeClr val="bg1">
                    <a:lumMod val="50000"/>
                  </a:schemeClr>
                </a:solidFill>
                <a:latin typeface="+mn-lt"/>
              </a:rPr>
              <a:t>$30</a:t>
            </a:r>
          </a:p>
        </xdr:txBody>
      </xdr:sp>
      <xdr:sp macro="" textlink="">
        <xdr:nvSpPr>
          <xdr:cNvPr id="52" name="TextBox 51">
            <a:extLst>
              <a:ext uri="{FF2B5EF4-FFF2-40B4-BE49-F238E27FC236}">
                <a16:creationId xmlns:a16="http://schemas.microsoft.com/office/drawing/2014/main" id="{00000000-0008-0000-0000-000034000000}"/>
              </a:ext>
            </a:extLst>
          </xdr:cNvPr>
          <xdr:cNvSpPr txBox="1"/>
        </xdr:nvSpPr>
        <xdr:spPr>
          <a:xfrm>
            <a:off x="25107727" y="16725900"/>
            <a:ext cx="45762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US" sz="1400" b="1" u="sng">
                <a:solidFill>
                  <a:schemeClr val="bg1">
                    <a:lumMod val="50000"/>
                  </a:schemeClr>
                </a:solidFill>
                <a:latin typeface="+mn-lt"/>
              </a:rPr>
              <a:t>$10</a:t>
            </a:r>
          </a:p>
        </xdr:txBody>
      </xdr:sp>
      <xdr:sp macro="" textlink="">
        <xdr:nvSpPr>
          <xdr:cNvPr id="53" name="TextBox 52">
            <a:extLst>
              <a:ext uri="{FF2B5EF4-FFF2-40B4-BE49-F238E27FC236}">
                <a16:creationId xmlns:a16="http://schemas.microsoft.com/office/drawing/2014/main" id="{00000000-0008-0000-0000-000035000000}"/>
              </a:ext>
            </a:extLst>
          </xdr:cNvPr>
          <xdr:cNvSpPr txBox="1"/>
        </xdr:nvSpPr>
        <xdr:spPr>
          <a:xfrm>
            <a:off x="25107727" y="17021175"/>
            <a:ext cx="45762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US" sz="1400" b="1">
                <a:solidFill>
                  <a:schemeClr val="bg1">
                    <a:lumMod val="50000"/>
                  </a:schemeClr>
                </a:solidFill>
                <a:latin typeface="+mn-lt"/>
              </a:rPr>
              <a:t>$20</a:t>
            </a:r>
          </a:p>
        </xdr:txBody>
      </xdr:sp>
    </xdr:grpSp>
    <xdr:clientData/>
  </xdr:twoCellAnchor>
  <xdr:oneCellAnchor>
    <xdr:from>
      <xdr:col>56</xdr:col>
      <xdr:colOff>498663</xdr:colOff>
      <xdr:row>77</xdr:row>
      <xdr:rowOff>104775</xdr:rowOff>
    </xdr:from>
    <xdr:ext cx="1818959" cy="1047750"/>
    <xdr:sp macro="" textlink="">
      <xdr:nvSpPr>
        <xdr:cNvPr id="54" name="TextBox 53">
          <a:extLst>
            <a:ext uri="{FF2B5EF4-FFF2-40B4-BE49-F238E27FC236}">
              <a16:creationId xmlns:a16="http://schemas.microsoft.com/office/drawing/2014/main" id="{00000000-0008-0000-0000-000036000000}"/>
            </a:ext>
          </a:extLst>
        </xdr:cNvPr>
        <xdr:cNvSpPr txBox="1"/>
      </xdr:nvSpPr>
      <xdr:spPr>
        <a:xfrm>
          <a:off x="38903463" y="14773275"/>
          <a:ext cx="1818959" cy="1047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lang="en-US" sz="1800" b="1">
              <a:solidFill>
                <a:schemeClr val="tx1">
                  <a:lumMod val="75000"/>
                  <a:lumOff val="25000"/>
                </a:schemeClr>
              </a:solidFill>
            </a:rPr>
            <a:t>Cash </a:t>
          </a:r>
        </a:p>
        <a:p>
          <a:pPr algn="ctr"/>
          <a:r>
            <a:rPr lang="en-US" sz="1800" b="1">
              <a:solidFill>
                <a:schemeClr val="tx1">
                  <a:lumMod val="75000"/>
                  <a:lumOff val="25000"/>
                </a:schemeClr>
              </a:solidFill>
            </a:rPr>
            <a:t>= </a:t>
          </a:r>
        </a:p>
        <a:p>
          <a:pPr algn="ctr"/>
          <a:r>
            <a:rPr lang="en-US" sz="1800" b="1" u="sng">
              <a:solidFill>
                <a:srgbClr val="0000FF"/>
              </a:solidFill>
            </a:rPr>
            <a:t>Cash</a:t>
          </a:r>
          <a:r>
            <a:rPr lang="en-US" sz="1800" b="1" u="sng" baseline="0">
              <a:solidFill>
                <a:srgbClr val="0000FF"/>
              </a:solidFill>
            </a:rPr>
            <a:t> Flow</a:t>
          </a:r>
          <a:endParaRPr lang="en-US" sz="1800" b="1" u="sng">
            <a:solidFill>
              <a:srgbClr val="0000FF"/>
            </a:solidFill>
          </a:endParaRPr>
        </a:p>
      </xdr:txBody>
    </xdr:sp>
    <xdr:clientData/>
  </xdr:oneCellAnchor>
  <xdr:twoCellAnchor>
    <xdr:from>
      <xdr:col>56</xdr:col>
      <xdr:colOff>619233</xdr:colOff>
      <xdr:row>81</xdr:row>
      <xdr:rowOff>57150</xdr:rowOff>
    </xdr:from>
    <xdr:to>
      <xdr:col>57</xdr:col>
      <xdr:colOff>479866</xdr:colOff>
      <xdr:row>82</xdr:row>
      <xdr:rowOff>178146</xdr:rowOff>
    </xdr:to>
    <xdr:sp macro="" textlink="">
      <xdr:nvSpPr>
        <xdr:cNvPr id="55" name="TextBox 54">
          <a:extLst>
            <a:ext uri="{FF2B5EF4-FFF2-40B4-BE49-F238E27FC236}">
              <a16:creationId xmlns:a16="http://schemas.microsoft.com/office/drawing/2014/main" id="{00000000-0008-0000-0000-000037000000}"/>
            </a:ext>
          </a:extLst>
        </xdr:cNvPr>
        <xdr:cNvSpPr txBox="1"/>
      </xdr:nvSpPr>
      <xdr:spPr>
        <a:xfrm>
          <a:off x="39024033" y="15592425"/>
          <a:ext cx="546433"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en-US" sz="1400" b="1">
              <a:solidFill>
                <a:schemeClr val="bg1">
                  <a:lumMod val="50000"/>
                </a:schemeClr>
              </a:solidFill>
              <a:latin typeface="+mn-lt"/>
            </a:rPr>
            <a:t>Start</a:t>
          </a:r>
        </a:p>
      </xdr:txBody>
    </xdr:sp>
    <xdr:clientData/>
  </xdr:twoCellAnchor>
  <xdr:twoCellAnchor>
    <xdr:from>
      <xdr:col>56</xdr:col>
      <xdr:colOff>623594</xdr:colOff>
      <xdr:row>82</xdr:row>
      <xdr:rowOff>161925</xdr:rowOff>
    </xdr:from>
    <xdr:to>
      <xdr:col>57</xdr:col>
      <xdr:colOff>479866</xdr:colOff>
      <xdr:row>84</xdr:row>
      <xdr:rowOff>92421</xdr:rowOff>
    </xdr:to>
    <xdr:sp macro="" textlink="">
      <xdr:nvSpPr>
        <xdr:cNvPr id="56" name="TextBox 55">
          <a:extLst>
            <a:ext uri="{FF2B5EF4-FFF2-40B4-BE49-F238E27FC236}">
              <a16:creationId xmlns:a16="http://schemas.microsoft.com/office/drawing/2014/main" id="{00000000-0008-0000-0000-000038000000}"/>
            </a:ext>
          </a:extLst>
        </xdr:cNvPr>
        <xdr:cNvSpPr txBox="1"/>
      </xdr:nvSpPr>
      <xdr:spPr>
        <a:xfrm>
          <a:off x="39028394" y="15887700"/>
          <a:ext cx="54207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en-US" sz="1400" b="1">
              <a:solidFill>
                <a:schemeClr val="bg1">
                  <a:lumMod val="50000"/>
                </a:schemeClr>
              </a:solidFill>
              <a:latin typeface="+mn-lt"/>
            </a:rPr>
            <a:t>Loan</a:t>
          </a:r>
        </a:p>
      </xdr:txBody>
    </xdr:sp>
    <xdr:clientData/>
  </xdr:twoCellAnchor>
  <xdr:twoCellAnchor>
    <xdr:from>
      <xdr:col>56</xdr:col>
      <xdr:colOff>561975</xdr:colOff>
      <xdr:row>83</xdr:row>
      <xdr:rowOff>161925</xdr:rowOff>
    </xdr:from>
    <xdr:to>
      <xdr:col>57</xdr:col>
      <xdr:colOff>479866</xdr:colOff>
      <xdr:row>85</xdr:row>
      <xdr:rowOff>92421</xdr:rowOff>
    </xdr:to>
    <xdr:sp macro="" textlink="">
      <xdr:nvSpPr>
        <xdr:cNvPr id="57" name="TextBox 56">
          <a:extLst>
            <a:ext uri="{FF2B5EF4-FFF2-40B4-BE49-F238E27FC236}">
              <a16:creationId xmlns:a16="http://schemas.microsoft.com/office/drawing/2014/main" id="{00000000-0008-0000-0000-000039000000}"/>
            </a:ext>
          </a:extLst>
        </xdr:cNvPr>
        <xdr:cNvSpPr txBox="1"/>
      </xdr:nvSpPr>
      <xdr:spPr>
        <a:xfrm>
          <a:off x="38966775" y="16078200"/>
          <a:ext cx="60369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en-US" sz="1400" b="1">
              <a:solidFill>
                <a:schemeClr val="bg1">
                  <a:lumMod val="50000"/>
                </a:schemeClr>
              </a:solidFill>
              <a:latin typeface="+mn-lt"/>
            </a:rPr>
            <a:t>Profit</a:t>
          </a:r>
        </a:p>
      </xdr:txBody>
    </xdr:sp>
    <xdr:clientData/>
  </xdr:twoCellAnchor>
  <xdr:twoCellAnchor>
    <xdr:from>
      <xdr:col>58</xdr:col>
      <xdr:colOff>269890</xdr:colOff>
      <xdr:row>82</xdr:row>
      <xdr:rowOff>161925</xdr:rowOff>
    </xdr:from>
    <xdr:to>
      <xdr:col>59</xdr:col>
      <xdr:colOff>41716</xdr:colOff>
      <xdr:row>84</xdr:row>
      <xdr:rowOff>92421</xdr:rowOff>
    </xdr:to>
    <xdr:sp macro="" textlink="">
      <xdr:nvSpPr>
        <xdr:cNvPr id="58" name="TextBox 57">
          <a:extLst>
            <a:ext uri="{FF2B5EF4-FFF2-40B4-BE49-F238E27FC236}">
              <a16:creationId xmlns:a16="http://schemas.microsoft.com/office/drawing/2014/main" id="{00000000-0008-0000-0000-00003A000000}"/>
            </a:ext>
          </a:extLst>
        </xdr:cNvPr>
        <xdr:cNvSpPr txBox="1"/>
      </xdr:nvSpPr>
      <xdr:spPr>
        <a:xfrm>
          <a:off x="40046290" y="15887700"/>
          <a:ext cx="45762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en-US" sz="1400" b="1" u="none">
              <a:solidFill>
                <a:schemeClr val="bg1">
                  <a:lumMod val="50000"/>
                </a:schemeClr>
              </a:solidFill>
              <a:latin typeface="+mn-lt"/>
            </a:rPr>
            <a:t>$15</a:t>
          </a:r>
        </a:p>
      </xdr:txBody>
    </xdr:sp>
    <xdr:clientData/>
  </xdr:twoCellAnchor>
  <xdr:twoCellAnchor>
    <xdr:from>
      <xdr:col>58</xdr:col>
      <xdr:colOff>269890</xdr:colOff>
      <xdr:row>83</xdr:row>
      <xdr:rowOff>161925</xdr:rowOff>
    </xdr:from>
    <xdr:to>
      <xdr:col>59</xdr:col>
      <xdr:colOff>41716</xdr:colOff>
      <xdr:row>85</xdr:row>
      <xdr:rowOff>92421</xdr:rowOff>
    </xdr:to>
    <xdr:sp macro="" textlink="">
      <xdr:nvSpPr>
        <xdr:cNvPr id="59" name="TextBox 58">
          <a:extLst>
            <a:ext uri="{FF2B5EF4-FFF2-40B4-BE49-F238E27FC236}">
              <a16:creationId xmlns:a16="http://schemas.microsoft.com/office/drawing/2014/main" id="{00000000-0008-0000-0000-00003B000000}"/>
            </a:ext>
          </a:extLst>
        </xdr:cNvPr>
        <xdr:cNvSpPr txBox="1"/>
      </xdr:nvSpPr>
      <xdr:spPr>
        <a:xfrm>
          <a:off x="40046290" y="16078200"/>
          <a:ext cx="45762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en-US" sz="1400" b="1">
              <a:solidFill>
                <a:schemeClr val="bg1">
                  <a:lumMod val="50000"/>
                </a:schemeClr>
              </a:solidFill>
              <a:latin typeface="+mn-lt"/>
            </a:rPr>
            <a:t>$20</a:t>
          </a:r>
        </a:p>
      </xdr:txBody>
    </xdr:sp>
    <xdr:clientData/>
  </xdr:twoCellAnchor>
  <xdr:twoCellAnchor>
    <xdr:from>
      <xdr:col>56</xdr:col>
      <xdr:colOff>571500</xdr:colOff>
      <xdr:row>85</xdr:row>
      <xdr:rowOff>85725</xdr:rowOff>
    </xdr:from>
    <xdr:to>
      <xdr:col>57</xdr:col>
      <xdr:colOff>489391</xdr:colOff>
      <xdr:row>87</xdr:row>
      <xdr:rowOff>16221</xdr:rowOff>
    </xdr:to>
    <xdr:sp macro="" textlink="">
      <xdr:nvSpPr>
        <xdr:cNvPr id="60" name="TextBox 59">
          <a:extLst>
            <a:ext uri="{FF2B5EF4-FFF2-40B4-BE49-F238E27FC236}">
              <a16:creationId xmlns:a16="http://schemas.microsoft.com/office/drawing/2014/main" id="{00000000-0008-0000-0000-00003C000000}"/>
            </a:ext>
          </a:extLst>
        </xdr:cNvPr>
        <xdr:cNvSpPr txBox="1"/>
      </xdr:nvSpPr>
      <xdr:spPr>
        <a:xfrm>
          <a:off x="38976300" y="16383000"/>
          <a:ext cx="60369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en-US" sz="1400" b="1">
              <a:solidFill>
                <a:schemeClr val="bg1">
                  <a:lumMod val="50000"/>
                </a:schemeClr>
              </a:solidFill>
              <a:latin typeface="+mn-lt"/>
            </a:rPr>
            <a:t>End</a:t>
          </a:r>
        </a:p>
      </xdr:txBody>
    </xdr:sp>
    <xdr:clientData/>
  </xdr:twoCellAnchor>
  <xdr:twoCellAnchor>
    <xdr:from>
      <xdr:col>58</xdr:col>
      <xdr:colOff>279415</xdr:colOff>
      <xdr:row>85</xdr:row>
      <xdr:rowOff>85725</xdr:rowOff>
    </xdr:from>
    <xdr:to>
      <xdr:col>59</xdr:col>
      <xdr:colOff>51241</xdr:colOff>
      <xdr:row>87</xdr:row>
      <xdr:rowOff>16221</xdr:rowOff>
    </xdr:to>
    <xdr:sp macro="" textlink="">
      <xdr:nvSpPr>
        <xdr:cNvPr id="61" name="TextBox 60">
          <a:extLst>
            <a:ext uri="{FF2B5EF4-FFF2-40B4-BE49-F238E27FC236}">
              <a16:creationId xmlns:a16="http://schemas.microsoft.com/office/drawing/2014/main" id="{00000000-0008-0000-0000-00003D000000}"/>
            </a:ext>
          </a:extLst>
        </xdr:cNvPr>
        <xdr:cNvSpPr txBox="1"/>
      </xdr:nvSpPr>
      <xdr:spPr>
        <a:xfrm>
          <a:off x="40055815" y="16383000"/>
          <a:ext cx="45762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en-US" sz="1400" b="1" u="dbl">
              <a:solidFill>
                <a:schemeClr val="bg1">
                  <a:lumMod val="50000"/>
                </a:schemeClr>
              </a:solidFill>
              <a:latin typeface="+mn-lt"/>
            </a:rPr>
            <a:t>$35</a:t>
          </a:r>
        </a:p>
      </xdr:txBody>
    </xdr:sp>
    <xdr:clientData/>
  </xdr:twoCellAnchor>
  <xdr:oneCellAnchor>
    <xdr:from>
      <xdr:col>64</xdr:col>
      <xdr:colOff>579937</xdr:colOff>
      <xdr:row>77</xdr:row>
      <xdr:rowOff>104776</xdr:rowOff>
    </xdr:from>
    <xdr:ext cx="2211311" cy="942974"/>
    <xdr:sp macro="" textlink="">
      <xdr:nvSpPr>
        <xdr:cNvPr id="62" name="TextBox 61">
          <a:extLst>
            <a:ext uri="{FF2B5EF4-FFF2-40B4-BE49-F238E27FC236}">
              <a16:creationId xmlns:a16="http://schemas.microsoft.com/office/drawing/2014/main" id="{00000000-0008-0000-0000-00003E000000}"/>
            </a:ext>
          </a:extLst>
        </xdr:cNvPr>
        <xdr:cNvSpPr txBox="1"/>
      </xdr:nvSpPr>
      <xdr:spPr>
        <a:xfrm>
          <a:off x="44471137" y="14773276"/>
          <a:ext cx="2211311" cy="9429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lang="en-US" sz="1800" b="1">
              <a:solidFill>
                <a:schemeClr val="tx1">
                  <a:lumMod val="75000"/>
                  <a:lumOff val="25000"/>
                </a:schemeClr>
              </a:solidFill>
            </a:rPr>
            <a:t>Stuff </a:t>
          </a:r>
        </a:p>
        <a:p>
          <a:pPr algn="ctr"/>
          <a:r>
            <a:rPr lang="en-US" sz="1800" b="1">
              <a:solidFill>
                <a:schemeClr val="tx1">
                  <a:lumMod val="75000"/>
                  <a:lumOff val="25000"/>
                </a:schemeClr>
              </a:solidFill>
            </a:rPr>
            <a:t>= </a:t>
          </a:r>
        </a:p>
        <a:p>
          <a:pPr algn="ctr"/>
          <a:r>
            <a:rPr lang="en-US" sz="1800" b="1" u="sng">
              <a:solidFill>
                <a:srgbClr val="0000FF"/>
              </a:solidFill>
            </a:rPr>
            <a:t>Balance</a:t>
          </a:r>
          <a:r>
            <a:rPr lang="en-US" sz="1800" b="1" u="sng" baseline="0">
              <a:solidFill>
                <a:srgbClr val="0000FF"/>
              </a:solidFill>
            </a:rPr>
            <a:t> Sheet</a:t>
          </a:r>
          <a:endParaRPr lang="en-US" sz="1800" b="1" u="sng">
            <a:solidFill>
              <a:srgbClr val="0000FF"/>
            </a:solidFill>
          </a:endParaRPr>
        </a:p>
      </xdr:txBody>
    </xdr:sp>
    <xdr:clientData/>
  </xdr:oneCellAnchor>
  <xdr:twoCellAnchor>
    <xdr:from>
      <xdr:col>63</xdr:col>
      <xdr:colOff>221115</xdr:colOff>
      <xdr:row>81</xdr:row>
      <xdr:rowOff>123825</xdr:rowOff>
    </xdr:from>
    <xdr:to>
      <xdr:col>66</xdr:col>
      <xdr:colOff>256340</xdr:colOff>
      <xdr:row>83</xdr:row>
      <xdr:rowOff>54321</xdr:rowOff>
    </xdr:to>
    <xdr:sp macro="" textlink="">
      <xdr:nvSpPr>
        <xdr:cNvPr id="63" name="TextBox 62">
          <a:extLst>
            <a:ext uri="{FF2B5EF4-FFF2-40B4-BE49-F238E27FC236}">
              <a16:creationId xmlns:a16="http://schemas.microsoft.com/office/drawing/2014/main" id="{00000000-0008-0000-0000-00003F000000}"/>
            </a:ext>
          </a:extLst>
        </xdr:cNvPr>
        <xdr:cNvSpPr txBox="1"/>
      </xdr:nvSpPr>
      <xdr:spPr>
        <a:xfrm>
          <a:off x="43426515" y="15659100"/>
          <a:ext cx="2092625"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en-US" sz="1400" b="1">
              <a:solidFill>
                <a:schemeClr val="bg1">
                  <a:lumMod val="50000"/>
                </a:schemeClr>
              </a:solidFill>
              <a:latin typeface="+mn-lt"/>
            </a:rPr>
            <a:t>What the Company</a:t>
          </a:r>
          <a:r>
            <a:rPr lang="en-US" sz="1400" b="1" baseline="0">
              <a:solidFill>
                <a:schemeClr val="bg1">
                  <a:lumMod val="50000"/>
                </a:schemeClr>
              </a:solidFill>
              <a:latin typeface="+mn-lt"/>
            </a:rPr>
            <a:t> Owns</a:t>
          </a:r>
          <a:endParaRPr lang="en-US" sz="1400" b="1">
            <a:solidFill>
              <a:schemeClr val="bg1">
                <a:lumMod val="50000"/>
              </a:schemeClr>
            </a:solidFill>
            <a:latin typeface="+mn-lt"/>
          </a:endParaRPr>
        </a:p>
      </xdr:txBody>
    </xdr:sp>
    <xdr:clientData/>
  </xdr:twoCellAnchor>
  <xdr:twoCellAnchor>
    <xdr:from>
      <xdr:col>62</xdr:col>
      <xdr:colOff>71494</xdr:colOff>
      <xdr:row>83</xdr:row>
      <xdr:rowOff>133350</xdr:rowOff>
    </xdr:from>
    <xdr:to>
      <xdr:col>66</xdr:col>
      <xdr:colOff>256340</xdr:colOff>
      <xdr:row>85</xdr:row>
      <xdr:rowOff>63846</xdr:rowOff>
    </xdr:to>
    <xdr:sp macro="" textlink="">
      <xdr:nvSpPr>
        <xdr:cNvPr id="64" name="TextBox 63">
          <a:extLst>
            <a:ext uri="{FF2B5EF4-FFF2-40B4-BE49-F238E27FC236}">
              <a16:creationId xmlns:a16="http://schemas.microsoft.com/office/drawing/2014/main" id="{00000000-0008-0000-0000-000040000000}"/>
            </a:ext>
          </a:extLst>
        </xdr:cNvPr>
        <xdr:cNvSpPr txBox="1"/>
      </xdr:nvSpPr>
      <xdr:spPr>
        <a:xfrm>
          <a:off x="42591094" y="16049625"/>
          <a:ext cx="292804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en-US" sz="1400" b="1">
              <a:solidFill>
                <a:schemeClr val="bg1">
                  <a:lumMod val="50000"/>
                </a:schemeClr>
              </a:solidFill>
              <a:latin typeface="+mn-lt"/>
            </a:rPr>
            <a:t>What</a:t>
          </a:r>
          <a:r>
            <a:rPr lang="en-US" sz="1400" b="1" baseline="0">
              <a:solidFill>
                <a:schemeClr val="bg1">
                  <a:lumMod val="50000"/>
                </a:schemeClr>
              </a:solidFill>
              <a:latin typeface="+mn-lt"/>
            </a:rPr>
            <a:t> the Company Owes - Others</a:t>
          </a:r>
          <a:endParaRPr lang="en-US" sz="1400" b="1">
            <a:solidFill>
              <a:schemeClr val="bg1">
                <a:lumMod val="50000"/>
              </a:schemeClr>
            </a:solidFill>
            <a:latin typeface="+mn-lt"/>
          </a:endParaRPr>
        </a:p>
      </xdr:txBody>
    </xdr:sp>
    <xdr:clientData/>
  </xdr:twoCellAnchor>
  <xdr:twoCellAnchor>
    <xdr:from>
      <xdr:col>62</xdr:col>
      <xdr:colOff>0</xdr:colOff>
      <xdr:row>84</xdr:row>
      <xdr:rowOff>171450</xdr:rowOff>
    </xdr:from>
    <xdr:to>
      <xdr:col>66</xdr:col>
      <xdr:colOff>256340</xdr:colOff>
      <xdr:row>86</xdr:row>
      <xdr:rowOff>101946</xdr:rowOff>
    </xdr:to>
    <xdr:sp macro="" textlink="">
      <xdr:nvSpPr>
        <xdr:cNvPr id="65" name="TextBox 64">
          <a:extLst>
            <a:ext uri="{FF2B5EF4-FFF2-40B4-BE49-F238E27FC236}">
              <a16:creationId xmlns:a16="http://schemas.microsoft.com/office/drawing/2014/main" id="{00000000-0008-0000-0000-000041000000}"/>
            </a:ext>
          </a:extLst>
        </xdr:cNvPr>
        <xdr:cNvSpPr txBox="1"/>
      </xdr:nvSpPr>
      <xdr:spPr>
        <a:xfrm>
          <a:off x="42519600" y="16278225"/>
          <a:ext cx="2999540"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en-US" sz="1400" b="1">
              <a:solidFill>
                <a:schemeClr val="bg1">
                  <a:lumMod val="50000"/>
                </a:schemeClr>
              </a:solidFill>
              <a:latin typeface="+mn-lt"/>
            </a:rPr>
            <a:t>What the Company</a:t>
          </a:r>
          <a:r>
            <a:rPr lang="en-US" sz="1400" b="1" baseline="0">
              <a:solidFill>
                <a:schemeClr val="bg1">
                  <a:lumMod val="50000"/>
                </a:schemeClr>
              </a:solidFill>
              <a:latin typeface="+mn-lt"/>
            </a:rPr>
            <a:t> Owes - to Owners</a:t>
          </a:r>
          <a:endParaRPr lang="en-US" sz="1400" b="1">
            <a:solidFill>
              <a:schemeClr val="bg1">
                <a:lumMod val="50000"/>
              </a:schemeClr>
            </a:solidFill>
            <a:latin typeface="+mn-lt"/>
          </a:endParaRPr>
        </a:p>
      </xdr:txBody>
    </xdr:sp>
    <xdr:clientData/>
  </xdr:twoCellAnchor>
  <xdr:twoCellAnchor>
    <xdr:from>
      <xdr:col>67</xdr:col>
      <xdr:colOff>46364</xdr:colOff>
      <xdr:row>81</xdr:row>
      <xdr:rowOff>123825</xdr:rowOff>
    </xdr:from>
    <xdr:to>
      <xdr:col>67</xdr:col>
      <xdr:colOff>503990</xdr:colOff>
      <xdr:row>83</xdr:row>
      <xdr:rowOff>54321</xdr:rowOff>
    </xdr:to>
    <xdr:sp macro="" textlink="">
      <xdr:nvSpPr>
        <xdr:cNvPr id="66" name="TextBox 65">
          <a:extLst>
            <a:ext uri="{FF2B5EF4-FFF2-40B4-BE49-F238E27FC236}">
              <a16:creationId xmlns:a16="http://schemas.microsoft.com/office/drawing/2014/main" id="{00000000-0008-0000-0000-000042000000}"/>
            </a:ext>
          </a:extLst>
        </xdr:cNvPr>
        <xdr:cNvSpPr txBox="1"/>
      </xdr:nvSpPr>
      <xdr:spPr>
        <a:xfrm>
          <a:off x="45994964" y="15659100"/>
          <a:ext cx="45762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en-US" sz="1400" b="1">
              <a:solidFill>
                <a:schemeClr val="bg1">
                  <a:lumMod val="50000"/>
                </a:schemeClr>
              </a:solidFill>
              <a:latin typeface="+mn-lt"/>
            </a:rPr>
            <a:t>$35</a:t>
          </a:r>
        </a:p>
      </xdr:txBody>
    </xdr:sp>
    <xdr:clientData/>
  </xdr:twoCellAnchor>
  <xdr:twoCellAnchor>
    <xdr:from>
      <xdr:col>67</xdr:col>
      <xdr:colOff>46364</xdr:colOff>
      <xdr:row>83</xdr:row>
      <xdr:rowOff>133350</xdr:rowOff>
    </xdr:from>
    <xdr:to>
      <xdr:col>67</xdr:col>
      <xdr:colOff>503990</xdr:colOff>
      <xdr:row>85</xdr:row>
      <xdr:rowOff>63846</xdr:rowOff>
    </xdr:to>
    <xdr:sp macro="" textlink="">
      <xdr:nvSpPr>
        <xdr:cNvPr id="67" name="TextBox 66">
          <a:extLst>
            <a:ext uri="{FF2B5EF4-FFF2-40B4-BE49-F238E27FC236}">
              <a16:creationId xmlns:a16="http://schemas.microsoft.com/office/drawing/2014/main" id="{00000000-0008-0000-0000-000043000000}"/>
            </a:ext>
          </a:extLst>
        </xdr:cNvPr>
        <xdr:cNvSpPr txBox="1"/>
      </xdr:nvSpPr>
      <xdr:spPr>
        <a:xfrm>
          <a:off x="45994964" y="16049625"/>
          <a:ext cx="45762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en-US" sz="1400" b="1" u="none">
              <a:solidFill>
                <a:schemeClr val="bg1">
                  <a:lumMod val="50000"/>
                </a:schemeClr>
              </a:solidFill>
              <a:latin typeface="+mn-lt"/>
            </a:rPr>
            <a:t>$15</a:t>
          </a:r>
        </a:p>
      </xdr:txBody>
    </xdr:sp>
    <xdr:clientData/>
  </xdr:twoCellAnchor>
  <xdr:twoCellAnchor>
    <xdr:from>
      <xdr:col>67</xdr:col>
      <xdr:colOff>46364</xdr:colOff>
      <xdr:row>84</xdr:row>
      <xdr:rowOff>171450</xdr:rowOff>
    </xdr:from>
    <xdr:to>
      <xdr:col>67</xdr:col>
      <xdr:colOff>503990</xdr:colOff>
      <xdr:row>86</xdr:row>
      <xdr:rowOff>101946</xdr:rowOff>
    </xdr:to>
    <xdr:sp macro="" textlink="">
      <xdr:nvSpPr>
        <xdr:cNvPr id="68" name="TextBox 67">
          <a:extLst>
            <a:ext uri="{FF2B5EF4-FFF2-40B4-BE49-F238E27FC236}">
              <a16:creationId xmlns:a16="http://schemas.microsoft.com/office/drawing/2014/main" id="{00000000-0008-0000-0000-000044000000}"/>
            </a:ext>
          </a:extLst>
        </xdr:cNvPr>
        <xdr:cNvSpPr txBox="1"/>
      </xdr:nvSpPr>
      <xdr:spPr>
        <a:xfrm>
          <a:off x="45994964" y="16278225"/>
          <a:ext cx="45762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en-US" sz="1400" b="1" u="sng">
              <a:solidFill>
                <a:schemeClr val="bg1">
                  <a:lumMod val="50000"/>
                </a:schemeClr>
              </a:solidFill>
              <a:latin typeface="+mn-lt"/>
            </a:rPr>
            <a:t>$20</a:t>
          </a:r>
        </a:p>
      </xdr:txBody>
    </xdr:sp>
    <xdr:clientData/>
  </xdr:twoCellAnchor>
  <xdr:twoCellAnchor>
    <xdr:from>
      <xdr:col>62</xdr:col>
      <xdr:colOff>5074</xdr:colOff>
      <xdr:row>86</xdr:row>
      <xdr:rowOff>19050</xdr:rowOff>
    </xdr:from>
    <xdr:to>
      <xdr:col>66</xdr:col>
      <xdr:colOff>261414</xdr:colOff>
      <xdr:row>87</xdr:row>
      <xdr:rowOff>140046</xdr:rowOff>
    </xdr:to>
    <xdr:sp macro="" textlink="">
      <xdr:nvSpPr>
        <xdr:cNvPr id="69" name="TextBox 68">
          <a:extLst>
            <a:ext uri="{FF2B5EF4-FFF2-40B4-BE49-F238E27FC236}">
              <a16:creationId xmlns:a16="http://schemas.microsoft.com/office/drawing/2014/main" id="{00000000-0008-0000-0000-000045000000}"/>
            </a:ext>
          </a:extLst>
        </xdr:cNvPr>
        <xdr:cNvSpPr txBox="1"/>
      </xdr:nvSpPr>
      <xdr:spPr>
        <a:xfrm>
          <a:off x="42524674" y="16506825"/>
          <a:ext cx="2999540"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en-US" sz="1400" b="1">
              <a:solidFill>
                <a:schemeClr val="bg1">
                  <a:lumMod val="50000"/>
                </a:schemeClr>
              </a:solidFill>
              <a:latin typeface="+mn-lt"/>
            </a:rPr>
            <a:t>What the Company</a:t>
          </a:r>
          <a:r>
            <a:rPr lang="en-US" sz="1400" b="1" baseline="0">
              <a:solidFill>
                <a:schemeClr val="bg1">
                  <a:lumMod val="50000"/>
                </a:schemeClr>
              </a:solidFill>
              <a:latin typeface="+mn-lt"/>
            </a:rPr>
            <a:t> Owes - Total</a:t>
          </a:r>
          <a:endParaRPr lang="en-US" sz="1400" b="1">
            <a:solidFill>
              <a:schemeClr val="bg1">
                <a:lumMod val="50000"/>
              </a:schemeClr>
            </a:solidFill>
            <a:latin typeface="+mn-lt"/>
          </a:endParaRPr>
        </a:p>
      </xdr:txBody>
    </xdr:sp>
    <xdr:clientData/>
  </xdr:twoCellAnchor>
  <xdr:twoCellAnchor>
    <xdr:from>
      <xdr:col>67</xdr:col>
      <xdr:colOff>51438</xdr:colOff>
      <xdr:row>86</xdr:row>
      <xdr:rowOff>19050</xdr:rowOff>
    </xdr:from>
    <xdr:to>
      <xdr:col>67</xdr:col>
      <xdr:colOff>509064</xdr:colOff>
      <xdr:row>87</xdr:row>
      <xdr:rowOff>140046</xdr:rowOff>
    </xdr:to>
    <xdr:sp macro="" textlink="">
      <xdr:nvSpPr>
        <xdr:cNvPr id="70" name="TextBox 69">
          <a:extLst>
            <a:ext uri="{FF2B5EF4-FFF2-40B4-BE49-F238E27FC236}">
              <a16:creationId xmlns:a16="http://schemas.microsoft.com/office/drawing/2014/main" id="{00000000-0008-0000-0000-000046000000}"/>
            </a:ext>
          </a:extLst>
        </xdr:cNvPr>
        <xdr:cNvSpPr txBox="1"/>
      </xdr:nvSpPr>
      <xdr:spPr>
        <a:xfrm>
          <a:off x="46000038" y="16506825"/>
          <a:ext cx="45762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en-US" sz="1400" b="1">
              <a:solidFill>
                <a:schemeClr val="bg1">
                  <a:lumMod val="50000"/>
                </a:schemeClr>
              </a:solidFill>
              <a:latin typeface="+mn-lt"/>
            </a:rPr>
            <a:t>$35</a:t>
          </a:r>
        </a:p>
      </xdr:txBody>
    </xdr:sp>
    <xdr:clientData/>
  </xdr:twoCellAnchor>
  <xdr:twoCellAnchor>
    <xdr:from>
      <xdr:col>58</xdr:col>
      <xdr:colOff>314325</xdr:colOff>
      <xdr:row>81</xdr:row>
      <xdr:rowOff>57150</xdr:rowOff>
    </xdr:from>
    <xdr:to>
      <xdr:col>58</xdr:col>
      <xdr:colOff>680965</xdr:colOff>
      <xdr:row>82</xdr:row>
      <xdr:rowOff>178146</xdr:rowOff>
    </xdr:to>
    <xdr:sp macro="" textlink="">
      <xdr:nvSpPr>
        <xdr:cNvPr id="71" name="TextBox 70">
          <a:extLst>
            <a:ext uri="{FF2B5EF4-FFF2-40B4-BE49-F238E27FC236}">
              <a16:creationId xmlns:a16="http://schemas.microsoft.com/office/drawing/2014/main" id="{00000000-0008-0000-0000-000047000000}"/>
            </a:ext>
          </a:extLst>
        </xdr:cNvPr>
        <xdr:cNvSpPr txBox="1"/>
      </xdr:nvSpPr>
      <xdr:spPr>
        <a:xfrm>
          <a:off x="40090725" y="15592425"/>
          <a:ext cx="366640"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en-US" sz="1400" b="1">
              <a:solidFill>
                <a:schemeClr val="bg1">
                  <a:lumMod val="50000"/>
                </a:schemeClr>
              </a:solidFill>
              <a:latin typeface="+mn-lt"/>
            </a:rPr>
            <a:t>$0</a:t>
          </a:r>
        </a:p>
      </xdr:txBody>
    </xdr:sp>
    <xdr:clientData/>
  </xdr:twoCellAnchor>
  <xdr:twoCellAnchor editAs="oneCell">
    <xdr:from>
      <xdr:col>53</xdr:col>
      <xdr:colOff>47625</xdr:colOff>
      <xdr:row>90</xdr:row>
      <xdr:rowOff>152400</xdr:rowOff>
    </xdr:from>
    <xdr:to>
      <xdr:col>55</xdr:col>
      <xdr:colOff>76025</xdr:colOff>
      <xdr:row>99</xdr:row>
      <xdr:rowOff>28376</xdr:rowOff>
    </xdr:to>
    <xdr:pic>
      <xdr:nvPicPr>
        <xdr:cNvPr id="72" name="Picture 71">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5"/>
        <a:stretch>
          <a:fillRect/>
        </a:stretch>
      </xdr:blipFill>
      <xdr:spPr>
        <a:xfrm>
          <a:off x="36395025" y="17402175"/>
          <a:ext cx="1400000" cy="1590476"/>
        </a:xfrm>
        <a:prstGeom prst="rect">
          <a:avLst/>
        </a:prstGeom>
      </xdr:spPr>
    </xdr:pic>
    <xdr:clientData/>
  </xdr:twoCellAnchor>
  <xdr:twoCellAnchor editAs="oneCell">
    <xdr:from>
      <xdr:col>56</xdr:col>
      <xdr:colOff>9525</xdr:colOff>
      <xdr:row>90</xdr:row>
      <xdr:rowOff>161925</xdr:rowOff>
    </xdr:from>
    <xdr:to>
      <xdr:col>58</xdr:col>
      <xdr:colOff>66496</xdr:colOff>
      <xdr:row>100</xdr:row>
      <xdr:rowOff>123592</xdr:rowOff>
    </xdr:to>
    <xdr:pic>
      <xdr:nvPicPr>
        <xdr:cNvPr id="73" name="Picture 72">
          <a:extLst>
            <a:ext uri="{FF2B5EF4-FFF2-40B4-BE49-F238E27FC236}">
              <a16:creationId xmlns:a16="http://schemas.microsoft.com/office/drawing/2014/main" id="{00000000-0008-0000-0000-000049000000}"/>
            </a:ext>
          </a:extLst>
        </xdr:cNvPr>
        <xdr:cNvPicPr>
          <a:picLocks noChangeAspect="1"/>
        </xdr:cNvPicPr>
      </xdr:nvPicPr>
      <xdr:blipFill>
        <a:blip xmlns:r="http://schemas.openxmlformats.org/officeDocument/2006/relationships" r:embed="rId6"/>
        <a:stretch>
          <a:fillRect/>
        </a:stretch>
      </xdr:blipFill>
      <xdr:spPr>
        <a:xfrm>
          <a:off x="38414325" y="17411700"/>
          <a:ext cx="1428571" cy="1866667"/>
        </a:xfrm>
        <a:prstGeom prst="rect">
          <a:avLst/>
        </a:prstGeom>
      </xdr:spPr>
    </xdr:pic>
    <xdr:clientData/>
  </xdr:twoCellAnchor>
  <xdr:twoCellAnchor editAs="oneCell">
    <xdr:from>
      <xdr:col>51</xdr:col>
      <xdr:colOff>38100</xdr:colOff>
      <xdr:row>104</xdr:row>
      <xdr:rowOff>76200</xdr:rowOff>
    </xdr:from>
    <xdr:to>
      <xdr:col>56</xdr:col>
      <xdr:colOff>399576</xdr:colOff>
      <xdr:row>114</xdr:row>
      <xdr:rowOff>104533</xdr:rowOff>
    </xdr:to>
    <xdr:pic>
      <xdr:nvPicPr>
        <xdr:cNvPr id="74" name="Picture 73">
          <a:extLst>
            <a:ext uri="{FF2B5EF4-FFF2-40B4-BE49-F238E27FC236}">
              <a16:creationId xmlns:a16="http://schemas.microsoft.com/office/drawing/2014/main" id="{00000000-0008-0000-0000-00004A000000}"/>
            </a:ext>
          </a:extLst>
        </xdr:cNvPr>
        <xdr:cNvPicPr>
          <a:picLocks noChangeAspect="1"/>
        </xdr:cNvPicPr>
      </xdr:nvPicPr>
      <xdr:blipFill>
        <a:blip xmlns:r="http://schemas.openxmlformats.org/officeDocument/2006/relationships" r:embed="rId7"/>
        <a:stretch>
          <a:fillRect/>
        </a:stretch>
      </xdr:blipFill>
      <xdr:spPr>
        <a:xfrm>
          <a:off x="35013900" y="19992975"/>
          <a:ext cx="3790476" cy="1933333"/>
        </a:xfrm>
        <a:prstGeom prst="rect">
          <a:avLst/>
        </a:prstGeom>
      </xdr:spPr>
    </xdr:pic>
    <xdr:clientData/>
  </xdr:twoCellAnchor>
  <xdr:twoCellAnchor>
    <xdr:from>
      <xdr:col>42</xdr:col>
      <xdr:colOff>190500</xdr:colOff>
      <xdr:row>76</xdr:row>
      <xdr:rowOff>114300</xdr:rowOff>
    </xdr:from>
    <xdr:to>
      <xdr:col>45</xdr:col>
      <xdr:colOff>397564</xdr:colOff>
      <xdr:row>81</xdr:row>
      <xdr:rowOff>97064</xdr:rowOff>
    </xdr:to>
    <xdr:pic>
      <xdr:nvPicPr>
        <xdr:cNvPr id="75" name="Picture 74">
          <a:extLst>
            <a:ext uri="{FF2B5EF4-FFF2-40B4-BE49-F238E27FC236}">
              <a16:creationId xmlns:a16="http://schemas.microsoft.com/office/drawing/2014/main" id="{00000000-0008-0000-0000-00004B000000}"/>
            </a:ext>
          </a:extLst>
        </xdr:cNvPr>
        <xdr:cNvPicPr>
          <a:picLocks noChangeAspect="1"/>
        </xdr:cNvPicPr>
      </xdr:nvPicPr>
      <xdr:blipFill>
        <a:blip xmlns:r="http://schemas.openxmlformats.org/officeDocument/2006/relationships" r:embed="rId8"/>
        <a:stretch>
          <a:fillRect/>
        </a:stretch>
      </xdr:blipFill>
      <xdr:spPr>
        <a:xfrm>
          <a:off x="28994100" y="14592300"/>
          <a:ext cx="2264464" cy="1040039"/>
        </a:xfrm>
        <a:prstGeom prst="rect">
          <a:avLst/>
        </a:prstGeom>
      </xdr:spPr>
    </xdr:pic>
    <xdr:clientData/>
  </xdr:twoCellAnchor>
  <xdr:twoCellAnchor>
    <xdr:from>
      <xdr:col>39</xdr:col>
      <xdr:colOff>0</xdr:colOff>
      <xdr:row>62</xdr:row>
      <xdr:rowOff>0</xdr:rowOff>
    </xdr:from>
    <xdr:to>
      <xdr:col>41</xdr:col>
      <xdr:colOff>165541</xdr:colOff>
      <xdr:row>68</xdr:row>
      <xdr:rowOff>73371</xdr:rowOff>
    </xdr:to>
    <xdr:grpSp>
      <xdr:nvGrpSpPr>
        <xdr:cNvPr id="76" name="Group 75">
          <a:extLst>
            <a:ext uri="{FF2B5EF4-FFF2-40B4-BE49-F238E27FC236}">
              <a16:creationId xmlns:a16="http://schemas.microsoft.com/office/drawing/2014/main" id="{00000000-0008-0000-0000-00004C000000}"/>
            </a:ext>
          </a:extLst>
        </xdr:cNvPr>
        <xdr:cNvGrpSpPr/>
      </xdr:nvGrpSpPr>
      <xdr:grpSpPr>
        <a:xfrm>
          <a:off x="25349200" y="10826750"/>
          <a:ext cx="1537141" cy="1254471"/>
          <a:chOff x="26746200" y="11811000"/>
          <a:chExt cx="1537141" cy="1216371"/>
        </a:xfrm>
      </xdr:grpSpPr>
      <xdr:sp macro="" textlink="">
        <xdr:nvSpPr>
          <xdr:cNvPr id="77" name="TextBox 76">
            <a:extLst>
              <a:ext uri="{FF2B5EF4-FFF2-40B4-BE49-F238E27FC236}">
                <a16:creationId xmlns:a16="http://schemas.microsoft.com/office/drawing/2014/main" id="{00000000-0008-0000-0000-00004D000000}"/>
              </a:ext>
            </a:extLst>
          </xdr:cNvPr>
          <xdr:cNvSpPr txBox="1"/>
        </xdr:nvSpPr>
        <xdr:spPr>
          <a:xfrm>
            <a:off x="27216288" y="11811000"/>
            <a:ext cx="672685"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800" b="1" u="sng">
                <a:solidFill>
                  <a:srgbClr val="0000FF"/>
                </a:solidFill>
              </a:rPr>
              <a:t>Sales</a:t>
            </a:r>
          </a:p>
        </xdr:txBody>
      </xdr:sp>
      <xdr:grpSp>
        <xdr:nvGrpSpPr>
          <xdr:cNvPr id="78" name="Group 77">
            <a:extLst>
              <a:ext uri="{FF2B5EF4-FFF2-40B4-BE49-F238E27FC236}">
                <a16:creationId xmlns:a16="http://schemas.microsoft.com/office/drawing/2014/main" id="{00000000-0008-0000-0000-00004E000000}"/>
              </a:ext>
            </a:extLst>
          </xdr:cNvPr>
          <xdr:cNvGrpSpPr/>
        </xdr:nvGrpSpPr>
        <xdr:grpSpPr>
          <a:xfrm>
            <a:off x="26746200" y="12125325"/>
            <a:ext cx="603691" cy="902046"/>
            <a:chOff x="24961662" y="16430625"/>
            <a:chExt cx="603691" cy="902046"/>
          </a:xfrm>
        </xdr:grpSpPr>
        <xdr:sp macro="" textlink="">
          <xdr:nvSpPr>
            <xdr:cNvPr id="83" name="TextBox 82">
              <a:extLst>
                <a:ext uri="{FF2B5EF4-FFF2-40B4-BE49-F238E27FC236}">
                  <a16:creationId xmlns:a16="http://schemas.microsoft.com/office/drawing/2014/main" id="{00000000-0008-0000-0000-000053000000}"/>
                </a:ext>
              </a:extLst>
            </xdr:cNvPr>
            <xdr:cNvSpPr txBox="1"/>
          </xdr:nvSpPr>
          <xdr:spPr>
            <a:xfrm>
              <a:off x="25001096" y="16430625"/>
              <a:ext cx="564257"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US" sz="1400" b="1">
                  <a:solidFill>
                    <a:schemeClr val="tx1">
                      <a:lumMod val="75000"/>
                      <a:lumOff val="25000"/>
                    </a:schemeClr>
                  </a:solidFill>
                  <a:latin typeface="+mn-lt"/>
                </a:rPr>
                <a:t>Sales</a:t>
              </a:r>
            </a:p>
          </xdr:txBody>
        </xdr:sp>
        <xdr:sp macro="" textlink="">
          <xdr:nvSpPr>
            <xdr:cNvPr id="84" name="TextBox 83">
              <a:extLst>
                <a:ext uri="{FF2B5EF4-FFF2-40B4-BE49-F238E27FC236}">
                  <a16:creationId xmlns:a16="http://schemas.microsoft.com/office/drawing/2014/main" id="{00000000-0008-0000-0000-000054000000}"/>
                </a:ext>
              </a:extLst>
            </xdr:cNvPr>
            <xdr:cNvSpPr txBox="1"/>
          </xdr:nvSpPr>
          <xdr:spPr>
            <a:xfrm>
              <a:off x="25059894" y="16725900"/>
              <a:ext cx="505459"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US" sz="1400" b="1">
                  <a:solidFill>
                    <a:schemeClr val="tx1">
                      <a:lumMod val="75000"/>
                      <a:lumOff val="25000"/>
                    </a:schemeClr>
                  </a:solidFill>
                  <a:latin typeface="+mn-lt"/>
                </a:rPr>
                <a:t>Cost</a:t>
              </a:r>
            </a:p>
          </xdr:txBody>
        </xdr:sp>
        <xdr:sp macro="" textlink="">
          <xdr:nvSpPr>
            <xdr:cNvPr id="85" name="TextBox 84">
              <a:extLst>
                <a:ext uri="{FF2B5EF4-FFF2-40B4-BE49-F238E27FC236}">
                  <a16:creationId xmlns:a16="http://schemas.microsoft.com/office/drawing/2014/main" id="{00000000-0008-0000-0000-000055000000}"/>
                </a:ext>
              </a:extLst>
            </xdr:cNvPr>
            <xdr:cNvSpPr txBox="1"/>
          </xdr:nvSpPr>
          <xdr:spPr>
            <a:xfrm>
              <a:off x="24961662" y="17021175"/>
              <a:ext cx="60369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US" sz="1400" b="1">
                  <a:solidFill>
                    <a:schemeClr val="tx1">
                      <a:lumMod val="75000"/>
                      <a:lumOff val="25000"/>
                    </a:schemeClr>
                  </a:solidFill>
                  <a:latin typeface="+mn-lt"/>
                </a:rPr>
                <a:t>Profit</a:t>
              </a:r>
            </a:p>
          </xdr:txBody>
        </xdr:sp>
      </xdr:grpSp>
      <xdr:grpSp>
        <xdr:nvGrpSpPr>
          <xdr:cNvPr id="79" name="Group 78">
            <a:extLst>
              <a:ext uri="{FF2B5EF4-FFF2-40B4-BE49-F238E27FC236}">
                <a16:creationId xmlns:a16="http://schemas.microsoft.com/office/drawing/2014/main" id="{00000000-0008-0000-0000-00004F000000}"/>
              </a:ext>
            </a:extLst>
          </xdr:cNvPr>
          <xdr:cNvGrpSpPr/>
        </xdr:nvGrpSpPr>
        <xdr:grpSpPr>
          <a:xfrm>
            <a:off x="27825715" y="12125325"/>
            <a:ext cx="457626" cy="902046"/>
            <a:chOff x="25107727" y="16430625"/>
            <a:chExt cx="457626" cy="902046"/>
          </a:xfrm>
        </xdr:grpSpPr>
        <xdr:sp macro="" textlink="">
          <xdr:nvSpPr>
            <xdr:cNvPr id="80" name="TextBox 79">
              <a:extLst>
                <a:ext uri="{FF2B5EF4-FFF2-40B4-BE49-F238E27FC236}">
                  <a16:creationId xmlns:a16="http://schemas.microsoft.com/office/drawing/2014/main" id="{00000000-0008-0000-0000-000050000000}"/>
                </a:ext>
              </a:extLst>
            </xdr:cNvPr>
            <xdr:cNvSpPr txBox="1"/>
          </xdr:nvSpPr>
          <xdr:spPr>
            <a:xfrm>
              <a:off x="25107727" y="16430625"/>
              <a:ext cx="45762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US" sz="1400" b="1">
                  <a:solidFill>
                    <a:sysClr val="windowText" lastClr="000000"/>
                  </a:solidFill>
                  <a:latin typeface="+mn-lt"/>
                </a:rPr>
                <a:t>$30</a:t>
              </a:r>
            </a:p>
          </xdr:txBody>
        </xdr:sp>
        <xdr:sp macro="" textlink="">
          <xdr:nvSpPr>
            <xdr:cNvPr id="81" name="TextBox 80">
              <a:extLst>
                <a:ext uri="{FF2B5EF4-FFF2-40B4-BE49-F238E27FC236}">
                  <a16:creationId xmlns:a16="http://schemas.microsoft.com/office/drawing/2014/main" id="{00000000-0008-0000-0000-000051000000}"/>
                </a:ext>
              </a:extLst>
            </xdr:cNvPr>
            <xdr:cNvSpPr txBox="1"/>
          </xdr:nvSpPr>
          <xdr:spPr>
            <a:xfrm>
              <a:off x="25107727" y="16725900"/>
              <a:ext cx="45762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US" sz="1400" b="1" u="sng">
                  <a:solidFill>
                    <a:sysClr val="windowText" lastClr="000000"/>
                  </a:solidFill>
                  <a:latin typeface="+mn-lt"/>
                </a:rPr>
                <a:t>$10</a:t>
              </a:r>
            </a:p>
          </xdr:txBody>
        </xdr:sp>
        <xdr:sp macro="" textlink="">
          <xdr:nvSpPr>
            <xdr:cNvPr id="82" name="TextBox 81">
              <a:extLst>
                <a:ext uri="{FF2B5EF4-FFF2-40B4-BE49-F238E27FC236}">
                  <a16:creationId xmlns:a16="http://schemas.microsoft.com/office/drawing/2014/main" id="{00000000-0008-0000-0000-000052000000}"/>
                </a:ext>
              </a:extLst>
            </xdr:cNvPr>
            <xdr:cNvSpPr txBox="1"/>
          </xdr:nvSpPr>
          <xdr:spPr>
            <a:xfrm>
              <a:off x="25107727" y="17021175"/>
              <a:ext cx="45762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US" sz="1400" b="1">
                  <a:solidFill>
                    <a:sysClr val="windowText" lastClr="000000"/>
                  </a:solidFill>
                  <a:latin typeface="+mn-lt"/>
                </a:rPr>
                <a:t>$20</a:t>
              </a:r>
            </a:p>
          </xdr:txBody>
        </xdr:sp>
      </xdr:grpSp>
    </xdr:grpSp>
    <xdr:clientData/>
  </xdr:twoCellAnchor>
  <xdr:twoCellAnchor>
    <xdr:from>
      <xdr:col>42</xdr:col>
      <xdr:colOff>663052</xdr:colOff>
      <xdr:row>62</xdr:row>
      <xdr:rowOff>0</xdr:rowOff>
    </xdr:from>
    <xdr:to>
      <xdr:col>46</xdr:col>
      <xdr:colOff>298891</xdr:colOff>
      <xdr:row>68</xdr:row>
      <xdr:rowOff>73371</xdr:rowOff>
    </xdr:to>
    <xdr:grpSp>
      <xdr:nvGrpSpPr>
        <xdr:cNvPr id="86" name="Group 85">
          <a:extLst>
            <a:ext uri="{FF2B5EF4-FFF2-40B4-BE49-F238E27FC236}">
              <a16:creationId xmlns:a16="http://schemas.microsoft.com/office/drawing/2014/main" id="{00000000-0008-0000-0000-000056000000}"/>
            </a:ext>
          </a:extLst>
        </xdr:cNvPr>
        <xdr:cNvGrpSpPr/>
      </xdr:nvGrpSpPr>
      <xdr:grpSpPr>
        <a:xfrm>
          <a:off x="28069652" y="10826750"/>
          <a:ext cx="2379039" cy="1254471"/>
          <a:chOff x="29333302" y="12001500"/>
          <a:chExt cx="2379039" cy="1216371"/>
        </a:xfrm>
      </xdr:grpSpPr>
      <xdr:sp macro="" textlink="">
        <xdr:nvSpPr>
          <xdr:cNvPr id="87" name="TextBox 86">
            <a:extLst>
              <a:ext uri="{FF2B5EF4-FFF2-40B4-BE49-F238E27FC236}">
                <a16:creationId xmlns:a16="http://schemas.microsoft.com/office/drawing/2014/main" id="{00000000-0008-0000-0000-000057000000}"/>
              </a:ext>
            </a:extLst>
          </xdr:cNvPr>
          <xdr:cNvSpPr txBox="1"/>
        </xdr:nvSpPr>
        <xdr:spPr>
          <a:xfrm>
            <a:off x="30645288" y="12001500"/>
            <a:ext cx="567784"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800" b="1" u="sng">
                <a:solidFill>
                  <a:srgbClr val="0000FF"/>
                </a:solidFill>
              </a:rPr>
              <a:t>P&amp;L</a:t>
            </a:r>
          </a:p>
        </xdr:txBody>
      </xdr:sp>
      <xdr:grpSp>
        <xdr:nvGrpSpPr>
          <xdr:cNvPr id="88" name="Group 87">
            <a:extLst>
              <a:ext uri="{FF2B5EF4-FFF2-40B4-BE49-F238E27FC236}">
                <a16:creationId xmlns:a16="http://schemas.microsoft.com/office/drawing/2014/main" id="{00000000-0008-0000-0000-000058000000}"/>
              </a:ext>
            </a:extLst>
          </xdr:cNvPr>
          <xdr:cNvGrpSpPr/>
        </xdr:nvGrpSpPr>
        <xdr:grpSpPr>
          <a:xfrm>
            <a:off x="29333302" y="12315825"/>
            <a:ext cx="1445589" cy="902046"/>
            <a:chOff x="24119764" y="16430625"/>
            <a:chExt cx="1445589" cy="902046"/>
          </a:xfrm>
        </xdr:grpSpPr>
        <xdr:sp macro="" textlink="">
          <xdr:nvSpPr>
            <xdr:cNvPr id="93" name="TextBox 92">
              <a:extLst>
                <a:ext uri="{FF2B5EF4-FFF2-40B4-BE49-F238E27FC236}">
                  <a16:creationId xmlns:a16="http://schemas.microsoft.com/office/drawing/2014/main" id="{00000000-0008-0000-0000-00005D000000}"/>
                </a:ext>
              </a:extLst>
            </xdr:cNvPr>
            <xdr:cNvSpPr txBox="1"/>
          </xdr:nvSpPr>
          <xdr:spPr>
            <a:xfrm>
              <a:off x="24730701" y="16430625"/>
              <a:ext cx="83465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US" sz="1400" b="1">
                  <a:solidFill>
                    <a:schemeClr val="tx1">
                      <a:lumMod val="75000"/>
                      <a:lumOff val="25000"/>
                    </a:schemeClr>
                  </a:solidFill>
                  <a:latin typeface="+mn-lt"/>
                </a:rPr>
                <a:t>Revenue</a:t>
              </a:r>
            </a:p>
          </xdr:txBody>
        </xdr:sp>
        <xdr:sp macro="" textlink="">
          <xdr:nvSpPr>
            <xdr:cNvPr id="94" name="TextBox 93">
              <a:extLst>
                <a:ext uri="{FF2B5EF4-FFF2-40B4-BE49-F238E27FC236}">
                  <a16:creationId xmlns:a16="http://schemas.microsoft.com/office/drawing/2014/main" id="{00000000-0008-0000-0000-00005E000000}"/>
                </a:ext>
              </a:extLst>
            </xdr:cNvPr>
            <xdr:cNvSpPr txBox="1"/>
          </xdr:nvSpPr>
          <xdr:spPr>
            <a:xfrm>
              <a:off x="24119764" y="16725900"/>
              <a:ext cx="1445589"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US" sz="1400" b="1">
                  <a:solidFill>
                    <a:schemeClr val="tx1">
                      <a:lumMod val="75000"/>
                      <a:lumOff val="25000"/>
                    </a:schemeClr>
                  </a:solidFill>
                  <a:latin typeface="+mn-lt"/>
                </a:rPr>
                <a:t>COGS / Expenses</a:t>
              </a:r>
            </a:p>
          </xdr:txBody>
        </xdr:sp>
        <xdr:sp macro="" textlink="">
          <xdr:nvSpPr>
            <xdr:cNvPr id="95" name="TextBox 94">
              <a:extLst>
                <a:ext uri="{FF2B5EF4-FFF2-40B4-BE49-F238E27FC236}">
                  <a16:creationId xmlns:a16="http://schemas.microsoft.com/office/drawing/2014/main" id="{00000000-0008-0000-0000-00005F000000}"/>
                </a:ext>
              </a:extLst>
            </xdr:cNvPr>
            <xdr:cNvSpPr txBox="1"/>
          </xdr:nvSpPr>
          <xdr:spPr>
            <a:xfrm>
              <a:off x="24516861" y="17021175"/>
              <a:ext cx="104849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US" sz="1400" b="1">
                  <a:solidFill>
                    <a:schemeClr val="tx1">
                      <a:lumMod val="75000"/>
                      <a:lumOff val="25000"/>
                    </a:schemeClr>
                  </a:solidFill>
                  <a:latin typeface="+mn-lt"/>
                </a:rPr>
                <a:t>Net Income</a:t>
              </a:r>
            </a:p>
          </xdr:txBody>
        </xdr:sp>
      </xdr:grpSp>
      <xdr:grpSp>
        <xdr:nvGrpSpPr>
          <xdr:cNvPr id="89" name="Group 88">
            <a:extLst>
              <a:ext uri="{FF2B5EF4-FFF2-40B4-BE49-F238E27FC236}">
                <a16:creationId xmlns:a16="http://schemas.microsoft.com/office/drawing/2014/main" id="{00000000-0008-0000-0000-000059000000}"/>
              </a:ext>
            </a:extLst>
          </xdr:cNvPr>
          <xdr:cNvGrpSpPr/>
        </xdr:nvGrpSpPr>
        <xdr:grpSpPr>
          <a:xfrm>
            <a:off x="31254715" y="12315825"/>
            <a:ext cx="457626" cy="902046"/>
            <a:chOff x="25107727" y="16430625"/>
            <a:chExt cx="457626" cy="902046"/>
          </a:xfrm>
        </xdr:grpSpPr>
        <xdr:sp macro="" textlink="">
          <xdr:nvSpPr>
            <xdr:cNvPr id="90" name="TextBox 89">
              <a:extLst>
                <a:ext uri="{FF2B5EF4-FFF2-40B4-BE49-F238E27FC236}">
                  <a16:creationId xmlns:a16="http://schemas.microsoft.com/office/drawing/2014/main" id="{00000000-0008-0000-0000-00005A000000}"/>
                </a:ext>
              </a:extLst>
            </xdr:cNvPr>
            <xdr:cNvSpPr txBox="1"/>
          </xdr:nvSpPr>
          <xdr:spPr>
            <a:xfrm>
              <a:off x="25107727" y="16430625"/>
              <a:ext cx="45762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US" sz="1400" b="1">
                  <a:solidFill>
                    <a:sysClr val="windowText" lastClr="000000"/>
                  </a:solidFill>
                  <a:latin typeface="+mn-lt"/>
                </a:rPr>
                <a:t>$30</a:t>
              </a:r>
            </a:p>
          </xdr:txBody>
        </xdr:sp>
        <xdr:sp macro="" textlink="">
          <xdr:nvSpPr>
            <xdr:cNvPr id="91" name="TextBox 90">
              <a:extLst>
                <a:ext uri="{FF2B5EF4-FFF2-40B4-BE49-F238E27FC236}">
                  <a16:creationId xmlns:a16="http://schemas.microsoft.com/office/drawing/2014/main" id="{00000000-0008-0000-0000-00005B000000}"/>
                </a:ext>
              </a:extLst>
            </xdr:cNvPr>
            <xdr:cNvSpPr txBox="1"/>
          </xdr:nvSpPr>
          <xdr:spPr>
            <a:xfrm>
              <a:off x="25107727" y="16725900"/>
              <a:ext cx="45762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US" sz="1400" b="1" u="sng">
                  <a:solidFill>
                    <a:sysClr val="windowText" lastClr="000000"/>
                  </a:solidFill>
                  <a:latin typeface="+mn-lt"/>
                </a:rPr>
                <a:t>$10</a:t>
              </a:r>
            </a:p>
          </xdr:txBody>
        </xdr:sp>
        <xdr:sp macro="" textlink="">
          <xdr:nvSpPr>
            <xdr:cNvPr id="92" name="TextBox 91">
              <a:extLst>
                <a:ext uri="{FF2B5EF4-FFF2-40B4-BE49-F238E27FC236}">
                  <a16:creationId xmlns:a16="http://schemas.microsoft.com/office/drawing/2014/main" id="{00000000-0008-0000-0000-00005C000000}"/>
                </a:ext>
              </a:extLst>
            </xdr:cNvPr>
            <xdr:cNvSpPr txBox="1"/>
          </xdr:nvSpPr>
          <xdr:spPr>
            <a:xfrm>
              <a:off x="25107727" y="17021175"/>
              <a:ext cx="45762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US" sz="1400" b="1">
                  <a:solidFill>
                    <a:sysClr val="windowText" lastClr="000000"/>
                  </a:solidFill>
                  <a:latin typeface="+mn-lt"/>
                </a:rPr>
                <a:t>$20</a:t>
              </a:r>
            </a:p>
          </xdr:txBody>
        </xdr:sp>
      </xdr:grpSp>
    </xdr:grpSp>
    <xdr:clientData/>
  </xdr:twoCellAnchor>
  <xdr:twoCellAnchor>
    <xdr:from>
      <xdr:col>41</xdr:col>
      <xdr:colOff>381000</xdr:colOff>
      <xdr:row>65</xdr:row>
      <xdr:rowOff>9525</xdr:rowOff>
    </xdr:from>
    <xdr:to>
      <xdr:col>42</xdr:col>
      <xdr:colOff>457200</xdr:colOff>
      <xdr:row>66</xdr:row>
      <xdr:rowOff>38100</xdr:rowOff>
    </xdr:to>
    <xdr:sp macro="" textlink="">
      <xdr:nvSpPr>
        <xdr:cNvPr id="96" name="Arrow: Right 95">
          <a:extLst>
            <a:ext uri="{FF2B5EF4-FFF2-40B4-BE49-F238E27FC236}">
              <a16:creationId xmlns:a16="http://schemas.microsoft.com/office/drawing/2014/main" id="{00000000-0008-0000-0000-000060000000}"/>
            </a:ext>
          </a:extLst>
        </xdr:cNvPr>
        <xdr:cNvSpPr/>
      </xdr:nvSpPr>
      <xdr:spPr>
        <a:xfrm>
          <a:off x="28498800" y="12392025"/>
          <a:ext cx="762000" cy="219075"/>
        </a:xfrm>
        <a:prstGeom prst="rightArrow">
          <a:avLst/>
        </a:prstGeom>
        <a:solidFill>
          <a:srgbClr val="0000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59</xdr:col>
      <xdr:colOff>161925</xdr:colOff>
      <xdr:row>107</xdr:row>
      <xdr:rowOff>76200</xdr:rowOff>
    </xdr:from>
    <xdr:to>
      <xdr:col>64</xdr:col>
      <xdr:colOff>220843</xdr:colOff>
      <xdr:row>114</xdr:row>
      <xdr:rowOff>129420</xdr:rowOff>
    </xdr:to>
    <xdr:pic>
      <xdr:nvPicPr>
        <xdr:cNvPr id="97" name="Picture 96">
          <a:extLst>
            <a:ext uri="{FF2B5EF4-FFF2-40B4-BE49-F238E27FC236}">
              <a16:creationId xmlns:a16="http://schemas.microsoft.com/office/drawing/2014/main" id="{00000000-0008-0000-0000-000061000000}"/>
            </a:ext>
          </a:extLst>
        </xdr:cNvPr>
        <xdr:cNvPicPr>
          <a:picLocks noChangeAspect="1"/>
        </xdr:cNvPicPr>
      </xdr:nvPicPr>
      <xdr:blipFill>
        <a:blip xmlns:r="http://schemas.openxmlformats.org/officeDocument/2006/relationships" r:embed="rId9"/>
        <a:stretch>
          <a:fillRect/>
        </a:stretch>
      </xdr:blipFill>
      <xdr:spPr>
        <a:xfrm>
          <a:off x="40624125" y="20564475"/>
          <a:ext cx="3487918" cy="1386720"/>
        </a:xfrm>
        <a:prstGeom prst="rect">
          <a:avLst/>
        </a:prstGeom>
      </xdr:spPr>
    </xdr:pic>
    <xdr:clientData/>
  </xdr:twoCellAnchor>
  <xdr:twoCellAnchor>
    <xdr:from>
      <xdr:col>2</xdr:col>
      <xdr:colOff>28575</xdr:colOff>
      <xdr:row>76</xdr:row>
      <xdr:rowOff>43047</xdr:rowOff>
    </xdr:from>
    <xdr:to>
      <xdr:col>17</xdr:col>
      <xdr:colOff>375078</xdr:colOff>
      <xdr:row>329</xdr:row>
      <xdr:rowOff>57150</xdr:rowOff>
    </xdr:to>
    <xdr:grpSp>
      <xdr:nvGrpSpPr>
        <xdr:cNvPr id="98" name="Group 97">
          <a:extLst>
            <a:ext uri="{FF2B5EF4-FFF2-40B4-BE49-F238E27FC236}">
              <a16:creationId xmlns:a16="http://schemas.microsoft.com/office/drawing/2014/main" id="{00000000-0008-0000-0000-000062000000}"/>
            </a:ext>
          </a:extLst>
        </xdr:cNvPr>
        <xdr:cNvGrpSpPr/>
      </xdr:nvGrpSpPr>
      <xdr:grpSpPr>
        <a:xfrm>
          <a:off x="28575" y="13625697"/>
          <a:ext cx="10633503" cy="49918753"/>
          <a:chOff x="1400175" y="14521047"/>
          <a:chExt cx="10633503" cy="48315378"/>
        </a:xfrm>
      </xdr:grpSpPr>
      <xdr:sp macro="" textlink="">
        <xdr:nvSpPr>
          <xdr:cNvPr id="99" name="TextBox 98">
            <a:extLst>
              <a:ext uri="{FF2B5EF4-FFF2-40B4-BE49-F238E27FC236}">
                <a16:creationId xmlns:a16="http://schemas.microsoft.com/office/drawing/2014/main" id="{00000000-0008-0000-0000-000063000000}"/>
              </a:ext>
            </a:extLst>
          </xdr:cNvPr>
          <xdr:cNvSpPr txBox="1"/>
        </xdr:nvSpPr>
        <xdr:spPr>
          <a:xfrm>
            <a:off x="1883908" y="15274048"/>
            <a:ext cx="10149770" cy="47562377"/>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800" b="1" baseline="0">
                <a:solidFill>
                  <a:srgbClr val="0000FF"/>
                </a:solidFill>
              </a:rPr>
              <a:t>Lemonade Stand</a:t>
            </a:r>
          </a:p>
          <a:p>
            <a:pPr algn="l"/>
            <a:endParaRPr lang="en-US" sz="1200" b="1" baseline="0">
              <a:solidFill>
                <a:schemeClr val="tx1">
                  <a:lumMod val="75000"/>
                  <a:lumOff val="25000"/>
                </a:schemeClr>
              </a:solidFill>
            </a:endParaRPr>
          </a:p>
          <a:p>
            <a:pPr algn="l"/>
            <a:r>
              <a:rPr lang="en-US" sz="1200" b="1" baseline="0">
                <a:solidFill>
                  <a:schemeClr val="tx1">
                    <a:lumMod val="75000"/>
                    <a:lumOff val="25000"/>
                  </a:schemeClr>
                </a:solidFill>
              </a:rPr>
              <a:t>Let's assume we're 10 years old, and want to have a lemonade stand on a sunny Saturday afternoon. </a:t>
            </a:r>
          </a:p>
          <a:p>
            <a:pPr algn="l"/>
            <a:endParaRPr lang="en-US" sz="1200" b="1" baseline="0">
              <a:solidFill>
                <a:schemeClr val="tx1">
                  <a:lumMod val="75000"/>
                  <a:lumOff val="25000"/>
                </a:schemeClr>
              </a:solidFill>
            </a:endParaRPr>
          </a:p>
          <a:p>
            <a:pPr algn="l"/>
            <a:r>
              <a:rPr lang="en-US" sz="1200" b="1" baseline="0">
                <a:solidFill>
                  <a:schemeClr val="tx1">
                    <a:lumMod val="75000"/>
                    <a:lumOff val="25000"/>
                  </a:schemeClr>
                </a:solidFill>
              </a:rPr>
              <a:t>We don't have any money, and so we borrow $15 from Mom to get lemons, sweetener, cups, etc. Our total cost for supplies is $10. We have a good day, and sell 30 cups of lemonade for $1 each. We don't have anything left over. </a:t>
            </a:r>
          </a:p>
          <a:p>
            <a:pPr algn="l"/>
            <a:endParaRPr lang="en-US" sz="1200" b="1" baseline="0">
              <a:solidFill>
                <a:schemeClr val="tx1">
                  <a:lumMod val="75000"/>
                  <a:lumOff val="25000"/>
                </a:schemeClr>
              </a:solidFill>
            </a:endParaRPr>
          </a:p>
          <a:p>
            <a:pPr algn="l"/>
            <a:r>
              <a:rPr lang="en-US" sz="1200" b="1" baseline="0">
                <a:solidFill>
                  <a:schemeClr val="tx1">
                    <a:lumMod val="75000"/>
                    <a:lumOff val="25000"/>
                  </a:schemeClr>
                </a:solidFill>
              </a:rPr>
              <a:t>How do we record what happened with our little business?</a:t>
            </a:r>
          </a:p>
          <a:p>
            <a:pPr algn="l"/>
            <a:endParaRPr lang="en-US" sz="1200" b="1" baseline="0">
              <a:solidFill>
                <a:schemeClr val="tx1">
                  <a:lumMod val="75000"/>
                  <a:lumOff val="25000"/>
                </a:schemeClr>
              </a:solidFill>
            </a:endParaRPr>
          </a:p>
          <a:p>
            <a:pPr algn="l"/>
            <a:r>
              <a:rPr lang="en-US" sz="1200" b="1" baseline="0">
                <a:solidFill>
                  <a:schemeClr val="tx1">
                    <a:lumMod val="75000"/>
                    <a:lumOff val="25000"/>
                  </a:schemeClr>
                </a:solidFill>
              </a:rPr>
              <a:t>Let's look at our sales:</a:t>
            </a:r>
          </a:p>
          <a:p>
            <a:pPr algn="l"/>
            <a:endParaRPr lang="en-US" sz="1200" b="1" baseline="0">
              <a:solidFill>
                <a:schemeClr val="tx1">
                  <a:lumMod val="75000"/>
                  <a:lumOff val="25000"/>
                </a:schemeClr>
              </a:solidFill>
            </a:endParaRPr>
          </a:p>
          <a:p>
            <a:pPr algn="l"/>
            <a:endParaRPr lang="en-US" sz="1200" b="1" baseline="0">
              <a:solidFill>
                <a:schemeClr val="tx1">
                  <a:lumMod val="75000"/>
                  <a:lumOff val="25000"/>
                </a:schemeClr>
              </a:solidFill>
            </a:endParaRPr>
          </a:p>
          <a:p>
            <a:pPr algn="l"/>
            <a:endParaRPr lang="en-US" sz="1200" b="1" baseline="0">
              <a:solidFill>
                <a:schemeClr val="tx1">
                  <a:lumMod val="75000"/>
                  <a:lumOff val="25000"/>
                </a:schemeClr>
              </a:solidFill>
            </a:endParaRPr>
          </a:p>
          <a:p>
            <a:pPr algn="l"/>
            <a:endParaRPr lang="en-US" sz="1200" b="1" baseline="0">
              <a:solidFill>
                <a:schemeClr val="tx1">
                  <a:lumMod val="75000"/>
                  <a:lumOff val="25000"/>
                </a:schemeClr>
              </a:solidFill>
            </a:endParaRPr>
          </a:p>
          <a:p>
            <a:pPr algn="l"/>
            <a:endParaRPr lang="en-US" sz="1200" b="1" baseline="0">
              <a:solidFill>
                <a:schemeClr val="tx1">
                  <a:lumMod val="75000"/>
                  <a:lumOff val="25000"/>
                </a:schemeClr>
              </a:solidFill>
            </a:endParaRPr>
          </a:p>
          <a:p>
            <a:pPr algn="l"/>
            <a:endParaRPr lang="en-US" sz="1200" b="1" baseline="0">
              <a:solidFill>
                <a:schemeClr val="tx1">
                  <a:lumMod val="75000"/>
                  <a:lumOff val="25000"/>
                </a:schemeClr>
              </a:solidFill>
            </a:endParaRPr>
          </a:p>
          <a:p>
            <a:pPr algn="l"/>
            <a:endParaRPr lang="en-US" sz="1200" b="1" baseline="0">
              <a:solidFill>
                <a:schemeClr val="tx1">
                  <a:lumMod val="75000"/>
                  <a:lumOff val="25000"/>
                </a:schemeClr>
              </a:solidFill>
            </a:endParaRPr>
          </a:p>
          <a:p>
            <a:pPr algn="l"/>
            <a:r>
              <a:rPr lang="en-US" sz="1200" b="1" baseline="0">
                <a:solidFill>
                  <a:schemeClr val="tx1">
                    <a:lumMod val="75000"/>
                    <a:lumOff val="25000"/>
                  </a:schemeClr>
                </a:solidFill>
              </a:rPr>
              <a:t>Pretty straightforward. We made $30, we spent $10, so we wind up with a profit of $20. Not a bad day's start to our burgeoning citrus empire.</a:t>
            </a:r>
          </a:p>
          <a:p>
            <a:pPr algn="l"/>
            <a:endParaRPr lang="en-US" sz="1200" b="1" baseline="0">
              <a:solidFill>
                <a:schemeClr val="tx1">
                  <a:lumMod val="75000"/>
                  <a:lumOff val="25000"/>
                </a:schemeClr>
              </a:solidFill>
            </a:endParaRPr>
          </a:p>
          <a:p>
            <a:pPr algn="l"/>
            <a:r>
              <a:rPr lang="en-US" sz="1200" b="1" baseline="0">
                <a:solidFill>
                  <a:schemeClr val="tx1">
                    <a:lumMod val="75000"/>
                    <a:lumOff val="25000"/>
                  </a:schemeClr>
                </a:solidFill>
              </a:rPr>
              <a:t>That said, it doesn't tell us about the money we borrowed from Mom. That's because there's no place to put this loan alongside our sales results. </a:t>
            </a:r>
          </a:p>
          <a:p>
            <a:pPr algn="l"/>
            <a:endParaRPr lang="en-US" sz="1200" b="1" baseline="0">
              <a:solidFill>
                <a:schemeClr val="tx1">
                  <a:lumMod val="75000"/>
                  <a:lumOff val="25000"/>
                </a:schemeClr>
              </a:solidFill>
            </a:endParaRPr>
          </a:p>
          <a:p>
            <a:pPr algn="l"/>
            <a:r>
              <a:rPr lang="en-US" sz="1200" b="1" baseline="0">
                <a:solidFill>
                  <a:schemeClr val="tx1">
                    <a:lumMod val="75000"/>
                    <a:lumOff val="25000"/>
                  </a:schemeClr>
                </a:solidFill>
              </a:rPr>
              <a:t>So we need another look. Let's call this one Cash. When we started the day, we had lemonade stand empire dreams, but before we went and got the $15 from Mom, we didn't have any money.</a:t>
            </a:r>
          </a:p>
          <a:p>
            <a:pPr algn="l"/>
            <a:endParaRPr lang="en-US" sz="1200" b="1" baseline="0">
              <a:solidFill>
                <a:schemeClr val="tx1">
                  <a:lumMod val="75000"/>
                  <a:lumOff val="25000"/>
                </a:schemeClr>
              </a:solidFill>
            </a:endParaRPr>
          </a:p>
          <a:p>
            <a:pPr algn="l"/>
            <a:r>
              <a:rPr lang="en-US" sz="1200" b="1" baseline="0">
                <a:solidFill>
                  <a:schemeClr val="tx1">
                    <a:lumMod val="75000"/>
                    <a:lumOff val="25000"/>
                  </a:schemeClr>
                </a:solidFill>
              </a:rPr>
              <a:t>So our Cash situation before we talked to Mom was, well, pretty simple:</a:t>
            </a:r>
          </a:p>
          <a:p>
            <a:pPr algn="l"/>
            <a:endParaRPr lang="en-US" sz="1200" b="1" baseline="0">
              <a:solidFill>
                <a:schemeClr val="tx1">
                  <a:lumMod val="75000"/>
                  <a:lumOff val="25000"/>
                </a:schemeClr>
              </a:solidFill>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r>
              <a:rPr lang="en-US" sz="1100" b="1" baseline="0">
                <a:solidFill>
                  <a:schemeClr val="tx1">
                    <a:lumMod val="75000"/>
                    <a:lumOff val="25000"/>
                  </a:schemeClr>
                </a:solidFill>
                <a:effectLst/>
                <a:latin typeface="+mn-lt"/>
                <a:ea typeface="+mn-ea"/>
                <a:cs typeface="+mn-cs"/>
              </a:rPr>
              <a:t>Yikes!</a:t>
            </a:r>
          </a:p>
          <a:p>
            <a:endParaRPr lang="en-US" sz="1100" b="1" baseline="0">
              <a:solidFill>
                <a:schemeClr val="tx1">
                  <a:lumMod val="75000"/>
                  <a:lumOff val="25000"/>
                </a:schemeClr>
              </a:solidFill>
              <a:effectLst/>
              <a:latin typeface="+mn-lt"/>
              <a:ea typeface="+mn-ea"/>
              <a:cs typeface="+mn-cs"/>
            </a:endParaRPr>
          </a:p>
          <a:p>
            <a:r>
              <a:rPr lang="en-US" sz="1100" b="1" baseline="0">
                <a:solidFill>
                  <a:schemeClr val="tx1">
                    <a:lumMod val="75000"/>
                    <a:lumOff val="25000"/>
                  </a:schemeClr>
                </a:solidFill>
                <a:effectLst/>
                <a:latin typeface="+mn-lt"/>
                <a:ea typeface="+mn-ea"/>
                <a:cs typeface="+mn-cs"/>
              </a:rPr>
              <a:t>But after we pitched Mom on our revolutionarily disruptive idea, our cash situation looked like this:</a:t>
            </a: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r>
              <a:rPr lang="en-US" sz="1100" b="1" baseline="0">
                <a:solidFill>
                  <a:schemeClr val="tx1">
                    <a:lumMod val="75000"/>
                    <a:lumOff val="25000"/>
                  </a:schemeClr>
                </a:solidFill>
                <a:effectLst/>
                <a:latin typeface="+mn-lt"/>
                <a:ea typeface="+mn-ea"/>
                <a:cs typeface="+mn-cs"/>
              </a:rPr>
              <a:t>At the end of the day, we also had the $20 profit leftover from our Sales, so along with the money we got from Mom, we have $35 cash:</a:t>
            </a: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r>
              <a:rPr lang="en-US" sz="1100" b="1" baseline="0">
                <a:solidFill>
                  <a:schemeClr val="tx1">
                    <a:lumMod val="75000"/>
                    <a:lumOff val="25000"/>
                  </a:schemeClr>
                </a:solidFill>
                <a:effectLst/>
                <a:latin typeface="+mn-lt"/>
                <a:ea typeface="+mn-ea"/>
                <a:cs typeface="+mn-cs"/>
              </a:rPr>
              <a:t>See how our cash amount is different than our profit? Here, again, it's because we don't mark down the loan from Mom when we're talking about Sales. But we do when we're talking about cash.</a:t>
            </a:r>
          </a:p>
          <a:p>
            <a:endParaRPr lang="en-US" sz="1100" b="1" baseline="0">
              <a:solidFill>
                <a:schemeClr val="tx1">
                  <a:lumMod val="75000"/>
                  <a:lumOff val="25000"/>
                </a:schemeClr>
              </a:solidFill>
              <a:effectLst/>
              <a:latin typeface="+mn-lt"/>
              <a:ea typeface="+mn-ea"/>
              <a:cs typeface="+mn-cs"/>
            </a:endParaRPr>
          </a:p>
          <a:p>
            <a:r>
              <a:rPr lang="en-US" sz="1100" b="1" baseline="0">
                <a:solidFill>
                  <a:schemeClr val="tx1">
                    <a:lumMod val="75000"/>
                    <a:lumOff val="25000"/>
                  </a:schemeClr>
                </a:solidFill>
                <a:effectLst/>
                <a:latin typeface="+mn-lt"/>
                <a:ea typeface="+mn-ea"/>
                <a:cs typeface="+mn-cs"/>
              </a:rPr>
              <a:t>But what about paying Mom back? We still don't have anything to show that. So let's make a third look at our business, and call it Stuff. Stuff we have, Stuff we need to do.</a:t>
            </a:r>
          </a:p>
          <a:p>
            <a:endParaRPr lang="en-US" sz="1100" b="1" baseline="0">
              <a:solidFill>
                <a:schemeClr val="tx1">
                  <a:lumMod val="75000"/>
                  <a:lumOff val="25000"/>
                </a:schemeClr>
              </a:solidFill>
              <a:effectLst/>
              <a:latin typeface="+mn-lt"/>
              <a:ea typeface="+mn-ea"/>
              <a:cs typeface="+mn-cs"/>
            </a:endParaRPr>
          </a:p>
          <a:p>
            <a:r>
              <a:rPr lang="en-US" sz="1100" b="1" baseline="0">
                <a:solidFill>
                  <a:schemeClr val="tx1">
                    <a:lumMod val="75000"/>
                    <a:lumOff val="25000"/>
                  </a:schemeClr>
                </a:solidFill>
                <a:effectLst/>
                <a:latin typeface="+mn-lt"/>
                <a:ea typeface="+mn-ea"/>
                <a:cs typeface="+mn-cs"/>
              </a:rPr>
              <a:t>First, we'll look at the Stuff our business owns. In this case, it's pretty simple. Since we used up all of our lemons and supplies, the only thing the business has is the cash amount of $35 from the loan and the profit:</a:t>
            </a: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r>
              <a:rPr lang="en-US" sz="1100" b="1" baseline="0">
                <a:solidFill>
                  <a:schemeClr val="tx1">
                    <a:lumMod val="75000"/>
                    <a:lumOff val="25000"/>
                  </a:schemeClr>
                </a:solidFill>
                <a:effectLst/>
                <a:latin typeface="+mn-lt"/>
                <a:ea typeface="+mn-ea"/>
                <a:cs typeface="+mn-cs"/>
              </a:rPr>
              <a:t>	</a:t>
            </a: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r>
              <a:rPr lang="en-US" sz="1100" b="1" baseline="0">
                <a:solidFill>
                  <a:schemeClr val="tx1">
                    <a:lumMod val="75000"/>
                    <a:lumOff val="25000"/>
                  </a:schemeClr>
                </a:solidFill>
                <a:effectLst/>
                <a:latin typeface="+mn-lt"/>
                <a:ea typeface="+mn-ea"/>
                <a:cs typeface="+mn-cs"/>
              </a:rPr>
              <a:t>But now for the loan, we also need to look at what the company owes to Mom:</a:t>
            </a: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r>
              <a:rPr lang="en-US" sz="1100" b="1" baseline="0">
                <a:solidFill>
                  <a:schemeClr val="tx1">
                    <a:lumMod val="75000"/>
                    <a:lumOff val="25000"/>
                  </a:schemeClr>
                </a:solidFill>
                <a:effectLst/>
                <a:latin typeface="+mn-lt"/>
                <a:ea typeface="+mn-ea"/>
                <a:cs typeface="+mn-cs"/>
              </a:rPr>
              <a:t>So here we see what our company has, and what it needs to pay other people. Now comes the last part. </a:t>
            </a:r>
          </a:p>
          <a:p>
            <a:endParaRPr lang="en-US" sz="1100" b="1" baseline="0">
              <a:solidFill>
                <a:schemeClr val="tx1">
                  <a:lumMod val="75000"/>
                  <a:lumOff val="25000"/>
                </a:schemeClr>
              </a:solidFill>
              <a:effectLst/>
              <a:latin typeface="+mn-lt"/>
              <a:ea typeface="+mn-ea"/>
              <a:cs typeface="+mn-cs"/>
            </a:endParaRPr>
          </a:p>
          <a:p>
            <a:r>
              <a:rPr lang="en-US" sz="1100" b="1" baseline="0">
                <a:solidFill>
                  <a:schemeClr val="tx1">
                    <a:lumMod val="75000"/>
                    <a:lumOff val="25000"/>
                  </a:schemeClr>
                </a:solidFill>
                <a:effectLst/>
                <a:latin typeface="+mn-lt"/>
                <a:ea typeface="+mn-ea"/>
                <a:cs typeface="+mn-cs"/>
              </a:rPr>
              <a:t>Because we're looking at this as a business, we need to consider what happens with the $20 profit - the money leftover from sales. Think of this as the net worth of the company after paying everyone what they're owed. Because the business is treated as a separate entity than us the owner, we can look at this as money that the company owes to us, the owner. Let's combine this with what the company owns, and the money the business owes to Mom:</a:t>
            </a: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lumMod val="75000"/>
                  <a:lumOff val="2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lumMod val="75000"/>
                  <a:lumOff val="2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lumMod val="75000"/>
                  <a:lumOff val="2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lumMod val="75000"/>
                  <a:lumOff val="2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lumMod val="75000"/>
                  <a:lumOff val="2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lumMod val="75000"/>
                  <a:lumOff val="2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lumMod val="75000"/>
                  <a:lumOff val="2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lumMod val="75000"/>
                  <a:lumOff val="2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lumMod val="75000"/>
                  <a:lumOff val="2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tx1">
                    <a:lumMod val="75000"/>
                    <a:lumOff val="25000"/>
                  </a:schemeClr>
                </a:solidFill>
                <a:effectLst/>
                <a:latin typeface="+mn-lt"/>
                <a:ea typeface="+mn-ea"/>
                <a:cs typeface="+mn-cs"/>
              </a:rPr>
              <a:t>Notice how what the company Owns equals what the company owes.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lumMod val="75000"/>
                  <a:lumOff val="2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lumMod val="75000"/>
                  <a:lumOff val="2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lumMod val="75000"/>
                  <a:lumOff val="2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lumMod val="75000"/>
                  <a:lumOff val="2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lumMod val="75000"/>
                  <a:lumOff val="2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lumMod val="75000"/>
                  <a:lumOff val="2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lumMod val="75000"/>
                  <a:lumOff val="2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lumMod val="75000"/>
                  <a:lumOff val="2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lumMod val="75000"/>
                  <a:lumOff val="2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lumMod val="75000"/>
                  <a:lumOff val="2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lumMod val="75000"/>
                  <a:lumOff val="2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lumMod val="75000"/>
                  <a:lumOff val="2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tx1">
                    <a:lumMod val="75000"/>
                    <a:lumOff val="25000"/>
                  </a:schemeClr>
                </a:solidFill>
                <a:effectLst/>
                <a:latin typeface="+mn-lt"/>
                <a:ea typeface="+mn-ea"/>
                <a:cs typeface="+mn-cs"/>
              </a:rPr>
              <a:t>This is always the case, because what the company owes to the owners is simply what's leftover after paying everyone else. Even if the company owes more than it has - in that case what it owes to the owners would be a negative amount.</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lumMod val="75000"/>
                  <a:lumOff val="2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tx1">
                    <a:lumMod val="75000"/>
                    <a:lumOff val="25000"/>
                  </a:schemeClr>
                </a:solidFill>
                <a:effectLst/>
                <a:latin typeface="+mn-lt"/>
                <a:ea typeface="+mn-ea"/>
                <a:cs typeface="+mn-cs"/>
              </a:rPr>
              <a:t>Now let's dress up Sales, Cash, and Stuff with what we normally call them:</a:t>
            </a: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a:solidFill>
                <a:schemeClr val="tx1">
                  <a:lumMod val="75000"/>
                  <a:lumOff val="25000"/>
                </a:schemeClr>
              </a:solidFill>
              <a:effectLst/>
            </a:endParaRPr>
          </a:p>
          <a:p>
            <a:endParaRPr lang="en-US" b="1">
              <a:solidFill>
                <a:schemeClr val="tx1">
                  <a:lumMod val="75000"/>
                  <a:lumOff val="25000"/>
                </a:schemeClr>
              </a:solidFill>
              <a:effectLst/>
            </a:endParaRPr>
          </a:p>
          <a:p>
            <a:endParaRPr lang="en-US" b="1" baseline="0">
              <a:solidFill>
                <a:schemeClr val="tx1">
                  <a:lumMod val="75000"/>
                  <a:lumOff val="25000"/>
                </a:schemeClr>
              </a:solidFill>
              <a:effectLst/>
            </a:endParaRPr>
          </a:p>
          <a:p>
            <a:endParaRPr lang="en-US" b="1" baseline="0">
              <a:solidFill>
                <a:schemeClr val="tx1">
                  <a:lumMod val="75000"/>
                  <a:lumOff val="25000"/>
                </a:schemeClr>
              </a:solidFill>
              <a:effectLst/>
            </a:endParaRPr>
          </a:p>
          <a:p>
            <a:endParaRPr lang="en-US" b="1" baseline="0">
              <a:solidFill>
                <a:schemeClr val="tx1">
                  <a:lumMod val="75000"/>
                  <a:lumOff val="25000"/>
                </a:schemeClr>
              </a:solidFill>
              <a:effectLst/>
            </a:endParaRPr>
          </a:p>
          <a:p>
            <a:r>
              <a:rPr lang="en-US" b="1" baseline="0">
                <a:solidFill>
                  <a:schemeClr val="tx1">
                    <a:lumMod val="75000"/>
                    <a:lumOff val="25000"/>
                  </a:schemeClr>
                </a:solidFill>
                <a:effectLst/>
              </a:rPr>
              <a:t>You see, there's nothing magical about a Profit &amp; Loss, Cash Flow Statement, and Balance Sheet. They are three different lenses for looking at any company or non-profit.</a:t>
            </a:r>
          </a:p>
          <a:p>
            <a:endParaRPr lang="en-US" b="1" baseline="0">
              <a:solidFill>
                <a:schemeClr val="tx1">
                  <a:lumMod val="75000"/>
                  <a:lumOff val="25000"/>
                </a:schemeClr>
              </a:solidFill>
              <a:effectLst/>
            </a:endParaRPr>
          </a:p>
          <a:p>
            <a:r>
              <a:rPr lang="en-US" b="1" baseline="0">
                <a:solidFill>
                  <a:schemeClr val="tx1">
                    <a:lumMod val="75000"/>
                    <a:lumOff val="25000"/>
                  </a:schemeClr>
                </a:solidFill>
                <a:effectLst/>
              </a:rPr>
              <a:t>P&amp;L - Sales and operations. Think of it as what has already happened.  The Past.</a:t>
            </a:r>
          </a:p>
          <a:p>
            <a:endParaRPr lang="en-US" b="1" baseline="0">
              <a:solidFill>
                <a:schemeClr val="tx1">
                  <a:lumMod val="75000"/>
                  <a:lumOff val="25000"/>
                </a:schemeClr>
              </a:solidFill>
              <a:effectLst/>
            </a:endParaRPr>
          </a:p>
          <a:p>
            <a:r>
              <a:rPr lang="en-US" b="1" baseline="0">
                <a:solidFill>
                  <a:schemeClr val="tx1">
                    <a:lumMod val="75000"/>
                    <a:lumOff val="25000"/>
                  </a:schemeClr>
                </a:solidFill>
                <a:effectLst/>
              </a:rPr>
              <a:t>Cash Flow - Cash. It's the present situation.  The Present.</a:t>
            </a:r>
          </a:p>
          <a:p>
            <a:endParaRPr lang="en-US" b="1" baseline="0">
              <a:solidFill>
                <a:schemeClr val="tx1">
                  <a:lumMod val="75000"/>
                  <a:lumOff val="25000"/>
                </a:schemeClr>
              </a:solidFill>
              <a:effectLst/>
            </a:endParaRPr>
          </a:p>
          <a:p>
            <a:r>
              <a:rPr lang="en-US" b="1" baseline="0">
                <a:solidFill>
                  <a:schemeClr val="tx1">
                    <a:lumMod val="75000"/>
                    <a:lumOff val="25000"/>
                  </a:schemeClr>
                </a:solidFill>
                <a:effectLst/>
              </a:rPr>
              <a:t>Balance Sheet - What the company has an needs to do. It's a look at the future.  The Future.</a:t>
            </a:r>
          </a:p>
          <a:p>
            <a:endParaRPr lang="en-US" b="1" baseline="0">
              <a:solidFill>
                <a:schemeClr val="tx1">
                  <a:lumMod val="75000"/>
                  <a:lumOff val="25000"/>
                </a:schemeClr>
              </a:solidFill>
              <a:effectLst/>
            </a:endParaRPr>
          </a:p>
          <a:p>
            <a:endParaRPr lang="en-US" b="1" baseline="0">
              <a:solidFill>
                <a:schemeClr val="tx1">
                  <a:lumMod val="75000"/>
                  <a:lumOff val="25000"/>
                </a:schemeClr>
              </a:solidFill>
              <a:effectLst/>
            </a:endParaRPr>
          </a:p>
          <a:p>
            <a:r>
              <a:rPr lang="en-US" b="1" baseline="0">
                <a:solidFill>
                  <a:schemeClr val="tx1">
                    <a:lumMod val="75000"/>
                    <a:lumOff val="25000"/>
                  </a:schemeClr>
                </a:solidFill>
                <a:effectLst/>
              </a:rPr>
              <a:t>When I move to a new city, I don't really have a strong feel for the geography until I walk around. I think it's the same thing with financial statements - we've all seen many of them, but until you make them from scratch and break them down to their simplest forms, it's hard to really understand them.</a:t>
            </a:r>
          </a:p>
          <a:p>
            <a:endParaRPr lang="en-US" b="1" baseline="0">
              <a:solidFill>
                <a:schemeClr val="tx1">
                  <a:lumMod val="75000"/>
                  <a:lumOff val="25000"/>
                </a:schemeClr>
              </a:solidFill>
              <a:effectLst/>
            </a:endParaRPr>
          </a:p>
          <a:p>
            <a:r>
              <a:rPr lang="en-US" b="1" baseline="0">
                <a:solidFill>
                  <a:schemeClr val="tx1">
                    <a:lumMod val="75000"/>
                    <a:lumOff val="25000"/>
                  </a:schemeClr>
                </a:solidFill>
                <a:effectLst/>
              </a:rPr>
              <a:t>I've walked thousands of people through the Lemonade Stand, and I hope it's helped clear things up a bit for you.</a:t>
            </a:r>
          </a:p>
          <a:p>
            <a:endParaRPr lang="en-US" b="1" baseline="0">
              <a:solidFill>
                <a:schemeClr val="tx1">
                  <a:lumMod val="75000"/>
                  <a:lumOff val="25000"/>
                </a:schemeClr>
              </a:solidFill>
              <a:effectLst/>
            </a:endParaRPr>
          </a:p>
          <a:p>
            <a:endParaRPr lang="en-US" b="1" baseline="0">
              <a:solidFill>
                <a:schemeClr val="tx1">
                  <a:lumMod val="75000"/>
                  <a:lumOff val="25000"/>
                </a:schemeClr>
              </a:solidFill>
              <a:effectLst/>
            </a:endParaRPr>
          </a:p>
          <a:p>
            <a:r>
              <a:rPr lang="en-US" sz="1800" b="1" u="sng" baseline="0">
                <a:solidFill>
                  <a:srgbClr val="0000FF"/>
                </a:solidFill>
                <a:effectLst/>
              </a:rPr>
              <a:t>Financial Statements #1</a:t>
            </a:r>
          </a:p>
          <a:p>
            <a:endParaRPr lang="en-US" sz="1400" b="1" u="sng" baseline="0">
              <a:solidFill>
                <a:schemeClr val="tx1">
                  <a:lumMod val="75000"/>
                  <a:lumOff val="25000"/>
                </a:schemeClr>
              </a:solidFill>
              <a:effectLst/>
            </a:endParaRPr>
          </a:p>
          <a:p>
            <a:r>
              <a:rPr lang="en-US" sz="1400" b="1" u="sng" baseline="0">
                <a:solidFill>
                  <a:srgbClr val="0000FF"/>
                </a:solidFill>
                <a:effectLst/>
              </a:rPr>
              <a:t>P&amp;L</a:t>
            </a:r>
          </a:p>
          <a:p>
            <a:r>
              <a:rPr lang="en-US" b="1" baseline="0">
                <a:solidFill>
                  <a:schemeClr val="tx1">
                    <a:lumMod val="75000"/>
                    <a:lumOff val="25000"/>
                  </a:schemeClr>
                </a:solidFill>
                <a:effectLst/>
              </a:rPr>
              <a:t>This looks at sales - what you sold in a given period, what it cost to make your sales, expenses, and if there's anything left over, your profit. And just like we have the fancier name of P&amp;L for Sales, we have different words for what goes on there as well.</a:t>
            </a:r>
          </a:p>
          <a:p>
            <a:endParaRPr lang="en-US" b="1" baseline="0">
              <a:solidFill>
                <a:schemeClr val="tx1">
                  <a:lumMod val="75000"/>
                  <a:lumOff val="25000"/>
                </a:schemeClr>
              </a:solidFill>
              <a:effectLst/>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r>
              <a:rPr lang="en-US" sz="1100" b="1" baseline="0">
                <a:solidFill>
                  <a:schemeClr val="tx1">
                    <a:lumMod val="75000"/>
                    <a:lumOff val="25000"/>
                  </a:schemeClr>
                </a:solidFill>
                <a:effectLst/>
                <a:latin typeface="+mn-lt"/>
                <a:ea typeface="+mn-ea"/>
                <a:cs typeface="+mn-cs"/>
              </a:rPr>
              <a:t>Sales we call Revenue. We'll talk more about COGS and Expenses. And notice that Profit is now Net Income. We've all heard profit all our lives, why do we call it Net Income on the P&amp;L? In accounting and finance, we have lots of different terms for the same thing - to help confuse people who aren't familiar with it, so we can keep our jobs! And it gets crazier - even the word finance is pronounced differently by those who work in it. Instead of "fighnance" it's  pronounced "fin-ance." </a:t>
            </a:r>
          </a:p>
          <a:p>
            <a:endParaRPr lang="en-US" sz="1100" b="1" baseline="0">
              <a:solidFill>
                <a:schemeClr val="tx1">
                  <a:lumMod val="75000"/>
                  <a:lumOff val="25000"/>
                </a:schemeClr>
              </a:solidFill>
              <a:effectLst/>
              <a:latin typeface="+mn-lt"/>
              <a:ea typeface="+mn-ea"/>
              <a:cs typeface="+mn-cs"/>
            </a:endParaRPr>
          </a:p>
          <a:p>
            <a:r>
              <a:rPr lang="en-US" sz="1100" b="1" baseline="0">
                <a:solidFill>
                  <a:schemeClr val="tx1">
                    <a:lumMod val="75000"/>
                    <a:lumOff val="25000"/>
                  </a:schemeClr>
                </a:solidFill>
                <a:effectLst/>
                <a:latin typeface="+mn-lt"/>
                <a:ea typeface="+mn-ea"/>
                <a:cs typeface="+mn-cs"/>
              </a:rPr>
              <a:t>Accounting and finance aren't hard at all, but they are intentionally intimidating to keep people out. </a:t>
            </a: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r>
              <a:rPr lang="en-US" sz="1400" b="1" u="sng" baseline="0">
                <a:solidFill>
                  <a:srgbClr val="0000FF"/>
                </a:solidFill>
                <a:effectLst/>
                <a:latin typeface="+mn-lt"/>
                <a:ea typeface="+mn-ea"/>
                <a:cs typeface="+mn-cs"/>
              </a:rPr>
              <a:t>Cash Flow</a:t>
            </a:r>
          </a:p>
          <a:p>
            <a:r>
              <a:rPr lang="en-US" sz="1100" b="1" baseline="0">
                <a:solidFill>
                  <a:schemeClr val="tx1">
                    <a:lumMod val="75000"/>
                    <a:lumOff val="25000"/>
                  </a:schemeClr>
                </a:solidFill>
                <a:effectLst/>
                <a:latin typeface="+mn-lt"/>
                <a:ea typeface="+mn-ea"/>
                <a:cs typeface="+mn-cs"/>
              </a:rPr>
              <a:t>Cash Flow hasn't changed it's name much, as it's very straightforward - cash.</a:t>
            </a: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r>
              <a:rPr lang="en-US" sz="1100" b="1" baseline="0">
                <a:solidFill>
                  <a:schemeClr val="tx1">
                    <a:lumMod val="75000"/>
                    <a:lumOff val="25000"/>
                  </a:schemeClr>
                </a:solidFill>
                <a:effectLst/>
                <a:latin typeface="+mn-lt"/>
                <a:ea typeface="+mn-ea"/>
                <a:cs typeface="+mn-cs"/>
              </a:rPr>
              <a:t>We'll deal with different names on Cash Flow in Financial Statements #2. </a:t>
            </a:r>
          </a:p>
          <a:p>
            <a:endParaRPr lang="en-US" sz="1100" b="1" baseline="0">
              <a:solidFill>
                <a:schemeClr val="tx1">
                  <a:lumMod val="75000"/>
                  <a:lumOff val="25000"/>
                </a:schemeClr>
              </a:solidFill>
              <a:effectLst/>
              <a:latin typeface="+mn-lt"/>
              <a:ea typeface="+mn-ea"/>
              <a:cs typeface="+mn-cs"/>
            </a:endParaRPr>
          </a:p>
          <a:p>
            <a:r>
              <a:rPr lang="en-US" sz="1100" b="1" baseline="0">
                <a:solidFill>
                  <a:schemeClr val="tx1">
                    <a:lumMod val="75000"/>
                    <a:lumOff val="25000"/>
                  </a:schemeClr>
                </a:solidFill>
                <a:effectLst/>
                <a:latin typeface="+mn-lt"/>
                <a:ea typeface="+mn-ea"/>
                <a:cs typeface="+mn-cs"/>
              </a:rPr>
              <a:t>For now, there are three essential things to know about Cash Flow:</a:t>
            </a:r>
          </a:p>
          <a:p>
            <a:endParaRPr lang="en-US" sz="1100" b="1" baseline="0">
              <a:solidFill>
                <a:schemeClr val="tx1">
                  <a:lumMod val="75000"/>
                  <a:lumOff val="25000"/>
                </a:schemeClr>
              </a:solidFill>
              <a:effectLst/>
              <a:latin typeface="+mn-lt"/>
              <a:ea typeface="+mn-ea"/>
              <a:cs typeface="+mn-cs"/>
            </a:endParaRPr>
          </a:p>
          <a:p>
            <a:r>
              <a:rPr lang="en-US" sz="1100" b="1" baseline="0">
                <a:solidFill>
                  <a:schemeClr val="tx1">
                    <a:lumMod val="75000"/>
                    <a:lumOff val="25000"/>
                  </a:schemeClr>
                </a:solidFill>
                <a:effectLst/>
                <a:latin typeface="+mn-lt"/>
                <a:ea typeface="+mn-ea"/>
                <a:cs typeface="+mn-cs"/>
              </a:rPr>
              <a:t>1. Cash is not profit</a:t>
            </a:r>
          </a:p>
          <a:p>
            <a:r>
              <a:rPr lang="en-US" sz="1100" b="1" baseline="0">
                <a:solidFill>
                  <a:schemeClr val="tx1">
                    <a:lumMod val="75000"/>
                    <a:lumOff val="25000"/>
                  </a:schemeClr>
                </a:solidFill>
                <a:effectLst/>
                <a:latin typeface="+mn-lt"/>
                <a:ea typeface="+mn-ea"/>
                <a:cs typeface="+mn-cs"/>
              </a:rPr>
              <a:t>This is critical! Even in our simple Lemonade Stand example, we see that we have $20 in profit, but $35 in cash. Profit (oops, Net Income) is one part of cash, but not the only one, and often the least important one.</a:t>
            </a:r>
          </a:p>
          <a:p>
            <a:endParaRPr lang="en-US" sz="1100" b="1" baseline="0">
              <a:solidFill>
                <a:schemeClr val="tx1">
                  <a:lumMod val="75000"/>
                  <a:lumOff val="25000"/>
                </a:schemeClr>
              </a:solidFill>
              <a:effectLst/>
              <a:latin typeface="+mn-lt"/>
              <a:ea typeface="+mn-ea"/>
              <a:cs typeface="+mn-cs"/>
            </a:endParaRPr>
          </a:p>
          <a:p>
            <a:r>
              <a:rPr lang="en-US" sz="1100" b="1" baseline="0">
                <a:solidFill>
                  <a:schemeClr val="tx1">
                    <a:lumMod val="75000"/>
                    <a:lumOff val="25000"/>
                  </a:schemeClr>
                </a:solidFill>
                <a:effectLst/>
                <a:latin typeface="+mn-lt"/>
                <a:ea typeface="+mn-ea"/>
                <a:cs typeface="+mn-cs"/>
              </a:rPr>
              <a:t>2. CASH IS NOT PROFIT</a:t>
            </a:r>
          </a:p>
          <a:p>
            <a:r>
              <a:rPr lang="en-US" sz="1100" b="1" baseline="0">
                <a:solidFill>
                  <a:schemeClr val="tx1">
                    <a:lumMod val="75000"/>
                    <a:lumOff val="25000"/>
                  </a:schemeClr>
                </a:solidFill>
                <a:effectLst/>
                <a:latin typeface="+mn-lt"/>
                <a:ea typeface="+mn-ea"/>
                <a:cs typeface="+mn-cs"/>
              </a:rPr>
              <a:t>I don't remember if we've covered this already or not, but if so, it bears repeating. We'll go over the main reasons why in Financial Statements #2, but we've already seen one of them - debt. Another one is investment.</a:t>
            </a:r>
          </a:p>
          <a:p>
            <a:endParaRPr lang="en-US" sz="1100" b="1" baseline="0">
              <a:solidFill>
                <a:schemeClr val="tx1">
                  <a:lumMod val="75000"/>
                  <a:lumOff val="25000"/>
                </a:schemeClr>
              </a:solidFill>
              <a:effectLst/>
              <a:latin typeface="+mn-lt"/>
              <a:ea typeface="+mn-ea"/>
              <a:cs typeface="+mn-cs"/>
            </a:endParaRPr>
          </a:p>
          <a:p>
            <a:r>
              <a:rPr lang="en-US" sz="1400" b="1" baseline="0">
                <a:solidFill>
                  <a:srgbClr val="FF0000"/>
                </a:solidFill>
                <a:effectLst/>
                <a:latin typeface="+mn-lt"/>
                <a:ea typeface="+mn-ea"/>
                <a:cs typeface="+mn-cs"/>
              </a:rPr>
              <a:t>3. CASH IS NOT PROFIT</a:t>
            </a:r>
          </a:p>
          <a:p>
            <a:r>
              <a:rPr lang="en-US" sz="1100" b="1" baseline="0">
                <a:solidFill>
                  <a:schemeClr val="tx1">
                    <a:lumMod val="75000"/>
                    <a:lumOff val="25000"/>
                  </a:schemeClr>
                </a:solidFill>
                <a:effectLst/>
                <a:latin typeface="+mn-lt"/>
                <a:ea typeface="+mn-ea"/>
                <a:cs typeface="+mn-cs"/>
              </a:rPr>
              <a:t>In fact, when we see the more fleshed out Cash Flow in Financial Statements #2, we'll see that the whole reason for the Cash Flow Statement is to translate between Profit and Cash.</a:t>
            </a:r>
          </a:p>
          <a:p>
            <a:endParaRPr lang="en-US" sz="1100" b="1" baseline="0">
              <a:solidFill>
                <a:schemeClr val="tx1">
                  <a:lumMod val="75000"/>
                  <a:lumOff val="25000"/>
                </a:schemeClr>
              </a:solidFill>
              <a:effectLst/>
              <a:latin typeface="+mn-lt"/>
              <a:ea typeface="+mn-ea"/>
              <a:cs typeface="+mn-cs"/>
            </a:endParaRPr>
          </a:p>
          <a:p>
            <a:endParaRPr lang="en-US" sz="1100" b="1" u="sng" baseline="0">
              <a:solidFill>
                <a:schemeClr val="tx1">
                  <a:lumMod val="75000"/>
                  <a:lumOff val="25000"/>
                </a:schemeClr>
              </a:solidFill>
              <a:effectLst/>
              <a:latin typeface="+mn-lt"/>
              <a:ea typeface="+mn-ea"/>
              <a:cs typeface="+mn-cs"/>
            </a:endParaRPr>
          </a:p>
          <a:p>
            <a:r>
              <a:rPr lang="en-US" sz="1400" b="1" u="sng" baseline="0">
                <a:solidFill>
                  <a:srgbClr val="0000FF"/>
                </a:solidFill>
                <a:effectLst/>
                <a:latin typeface="+mn-lt"/>
                <a:ea typeface="+mn-ea"/>
                <a:cs typeface="+mn-cs"/>
              </a:rPr>
              <a:t>Balance Sheet</a:t>
            </a:r>
          </a:p>
          <a:p>
            <a:r>
              <a:rPr lang="en-US" sz="1100" b="1" baseline="0">
                <a:solidFill>
                  <a:schemeClr val="tx1">
                    <a:lumMod val="75000"/>
                    <a:lumOff val="25000"/>
                  </a:schemeClr>
                </a:solidFill>
                <a:effectLst/>
                <a:latin typeface="+mn-lt"/>
                <a:ea typeface="+mn-ea"/>
                <a:cs typeface="+mn-cs"/>
              </a:rPr>
              <a:t>We've seen that: </a:t>
            </a:r>
          </a:p>
          <a:p>
            <a:endParaRPr lang="en-US" sz="1100" b="1" baseline="0">
              <a:solidFill>
                <a:schemeClr val="tx1">
                  <a:lumMod val="75000"/>
                  <a:lumOff val="25000"/>
                </a:schemeClr>
              </a:solidFill>
              <a:effectLst/>
              <a:latin typeface="+mn-lt"/>
              <a:ea typeface="+mn-ea"/>
              <a:cs typeface="+mn-cs"/>
            </a:endParaRPr>
          </a:p>
          <a:p>
            <a:r>
              <a:rPr lang="en-US" sz="1100" b="1" baseline="0">
                <a:solidFill>
                  <a:schemeClr val="tx1">
                    <a:lumMod val="75000"/>
                    <a:lumOff val="25000"/>
                  </a:schemeClr>
                </a:solidFill>
                <a:effectLst/>
                <a:latin typeface="+mn-lt"/>
                <a:ea typeface="+mn-ea"/>
                <a:cs typeface="+mn-cs"/>
              </a:rPr>
              <a:t>What the Company Owns = What the Company Owes</a:t>
            </a:r>
          </a:p>
          <a:p>
            <a:endParaRPr lang="en-US" sz="1100" b="1" baseline="0">
              <a:solidFill>
                <a:schemeClr val="tx1">
                  <a:lumMod val="75000"/>
                  <a:lumOff val="25000"/>
                </a:schemeClr>
              </a:solidFill>
              <a:effectLst/>
              <a:latin typeface="+mn-lt"/>
              <a:ea typeface="+mn-ea"/>
              <a:cs typeface="+mn-cs"/>
            </a:endParaRPr>
          </a:p>
          <a:p>
            <a:r>
              <a:rPr lang="en-US" sz="1100" b="1" baseline="0">
                <a:solidFill>
                  <a:schemeClr val="tx1">
                    <a:lumMod val="75000"/>
                    <a:lumOff val="25000"/>
                  </a:schemeClr>
                </a:solidFill>
                <a:effectLst/>
                <a:latin typeface="+mn-lt"/>
                <a:ea typeface="+mn-ea"/>
                <a:cs typeface="+mn-cs"/>
              </a:rPr>
              <a:t>In the early days of accounting, what the company Owned was on the left, and what the company Owed was on the right. And since they're always equal, it got the name Balance Sheet. </a:t>
            </a:r>
          </a:p>
          <a:p>
            <a:endParaRPr lang="en-US" sz="1100" b="1" baseline="0">
              <a:solidFill>
                <a:schemeClr val="tx1">
                  <a:lumMod val="75000"/>
                  <a:lumOff val="25000"/>
                </a:schemeClr>
              </a:solidFill>
              <a:effectLst/>
              <a:latin typeface="+mn-lt"/>
              <a:ea typeface="+mn-ea"/>
              <a:cs typeface="+mn-cs"/>
            </a:endParaRPr>
          </a:p>
          <a:p>
            <a:r>
              <a:rPr lang="en-US" sz="1100" b="1" baseline="0">
                <a:solidFill>
                  <a:schemeClr val="tx1">
                    <a:lumMod val="75000"/>
                    <a:lumOff val="25000"/>
                  </a:schemeClr>
                </a:solidFill>
                <a:effectLst/>
                <a:latin typeface="+mn-lt"/>
                <a:ea typeface="+mn-ea"/>
                <a:cs typeface="+mn-cs"/>
              </a:rPr>
              <a:t>Here we're going to need to change some more names.</a:t>
            </a:r>
          </a:p>
          <a:p>
            <a:pPr marL="0" marR="0" lvl="0" indent="0" defTabSz="914400" eaLnBrk="1" fontAlgn="auto" latinLnBrk="0" hangingPunct="1">
              <a:lnSpc>
                <a:spcPct val="100000"/>
              </a:lnSpc>
              <a:spcBef>
                <a:spcPts val="0"/>
              </a:spcBef>
              <a:spcAft>
                <a:spcPts val="0"/>
              </a:spcAft>
              <a:buClrTx/>
              <a:buSzTx/>
              <a:buFontTx/>
              <a:buNone/>
              <a:tabLst/>
              <a:defRPr/>
            </a:pPr>
            <a:br>
              <a:rPr lang="en-US" sz="1100" b="1" baseline="0">
                <a:solidFill>
                  <a:schemeClr val="tx1">
                    <a:lumMod val="75000"/>
                    <a:lumOff val="25000"/>
                  </a:schemeClr>
                </a:solidFill>
                <a:effectLst/>
                <a:latin typeface="+mn-lt"/>
                <a:ea typeface="+mn-ea"/>
                <a:cs typeface="+mn-cs"/>
              </a:rPr>
            </a:br>
            <a:r>
              <a:rPr lang="en-US" sz="1100" b="1" baseline="0">
                <a:solidFill>
                  <a:schemeClr val="tx1">
                    <a:lumMod val="75000"/>
                    <a:lumOff val="25000"/>
                  </a:schemeClr>
                </a:solidFill>
                <a:effectLst/>
                <a:latin typeface="+mn-lt"/>
                <a:ea typeface="+mn-ea"/>
                <a:cs typeface="+mn-cs"/>
              </a:rPr>
              <a:t>The dressed up name for What the Company Owns is "Assets." Assets can be tangible - computers, equipment, land, etc., or intangible - patents, licenses, etc.</a:t>
            </a:r>
          </a:p>
          <a:p>
            <a:pPr marL="0" marR="0" lvl="0" indent="0" defTabSz="914400" eaLnBrk="1" fontAlgn="auto" latinLnBrk="0" hangingPunct="1">
              <a:lnSpc>
                <a:spcPct val="100000"/>
              </a:lnSpc>
              <a:spcBef>
                <a:spcPts val="0"/>
              </a:spcBef>
              <a:spcAft>
                <a:spcPts val="0"/>
              </a:spcAft>
              <a:buClrTx/>
              <a:buSzTx/>
              <a:buFontTx/>
              <a:buNone/>
              <a:tabLst/>
              <a:defRPr/>
            </a:pPr>
            <a:endParaRPr lang="en-US">
              <a:solidFill>
                <a:schemeClr val="tx1">
                  <a:lumMod val="75000"/>
                  <a:lumOff val="25000"/>
                </a:schemeClr>
              </a:solidFill>
              <a:effectLst/>
            </a:endParaRPr>
          </a:p>
          <a:p>
            <a:r>
              <a:rPr lang="en-US" sz="1100" b="1" baseline="0">
                <a:solidFill>
                  <a:schemeClr val="tx1">
                    <a:lumMod val="75000"/>
                    <a:lumOff val="25000"/>
                  </a:schemeClr>
                </a:solidFill>
                <a:effectLst/>
                <a:latin typeface="+mn-lt"/>
                <a:ea typeface="+mn-ea"/>
                <a:cs typeface="+mn-cs"/>
              </a:rPr>
              <a:t>We'll go through the different kinds of Assets in Financial Statements #2. </a:t>
            </a:r>
          </a:p>
          <a:p>
            <a:endParaRPr lang="en-US" sz="1100" b="1" baseline="0">
              <a:solidFill>
                <a:schemeClr val="tx1">
                  <a:lumMod val="75000"/>
                  <a:lumOff val="25000"/>
                </a:schemeClr>
              </a:solidFill>
              <a:effectLst/>
              <a:latin typeface="+mn-lt"/>
              <a:ea typeface="+mn-ea"/>
              <a:cs typeface="+mn-cs"/>
            </a:endParaRPr>
          </a:p>
          <a:p>
            <a:r>
              <a:rPr lang="en-US" sz="1100" b="1" baseline="0">
                <a:solidFill>
                  <a:schemeClr val="tx1">
                    <a:lumMod val="75000"/>
                    <a:lumOff val="25000"/>
                  </a:schemeClr>
                </a:solidFill>
                <a:effectLst/>
                <a:latin typeface="+mn-lt"/>
                <a:ea typeface="+mn-ea"/>
                <a:cs typeface="+mn-cs"/>
              </a:rPr>
              <a:t>What the Company Owes - to Others is called "Liabilities." These are specific amounts owed by a specific date to a third party. For example, if we had received the lemons and gotten an invoice for them, that would be a Liability. </a:t>
            </a:r>
          </a:p>
          <a:p>
            <a:endParaRPr lang="en-US" sz="1100" b="1" baseline="0">
              <a:solidFill>
                <a:schemeClr val="tx1">
                  <a:lumMod val="75000"/>
                  <a:lumOff val="25000"/>
                </a:schemeClr>
              </a:solidFill>
              <a:effectLst/>
              <a:latin typeface="+mn-lt"/>
              <a:ea typeface="+mn-ea"/>
              <a:cs typeface="+mn-cs"/>
            </a:endParaRPr>
          </a:p>
          <a:p>
            <a:r>
              <a:rPr lang="en-US" sz="1100" b="1" baseline="0">
                <a:solidFill>
                  <a:schemeClr val="tx1">
                    <a:lumMod val="75000"/>
                    <a:lumOff val="25000"/>
                  </a:schemeClr>
                </a:solidFill>
                <a:effectLst/>
                <a:latin typeface="+mn-lt"/>
                <a:ea typeface="+mn-ea"/>
                <a:cs typeface="+mn-cs"/>
              </a:rPr>
              <a:t>So now we have Assets = Liabilities and What the Company Owes - to Owners.</a:t>
            </a:r>
          </a:p>
          <a:p>
            <a:endParaRPr lang="en-US" sz="1100" b="1" baseline="0">
              <a:solidFill>
                <a:schemeClr val="tx1">
                  <a:lumMod val="75000"/>
                  <a:lumOff val="25000"/>
                </a:schemeClr>
              </a:solidFill>
              <a:effectLst/>
              <a:latin typeface="+mn-lt"/>
              <a:ea typeface="+mn-ea"/>
              <a:cs typeface="+mn-cs"/>
            </a:endParaRPr>
          </a:p>
          <a:p>
            <a:r>
              <a:rPr lang="en-US" sz="1100" b="1" baseline="0">
                <a:solidFill>
                  <a:schemeClr val="tx1">
                    <a:lumMod val="75000"/>
                    <a:lumOff val="25000"/>
                  </a:schemeClr>
                </a:solidFill>
                <a:effectLst/>
                <a:latin typeface="+mn-lt"/>
                <a:ea typeface="+mn-ea"/>
                <a:cs typeface="+mn-cs"/>
              </a:rPr>
              <a:t>What the Company Owes - to Owners is basically Net Income (Loss). It's the reason the owners started the company. There's no fixed law on when and how much the company will pay the Owners, since the Owners are the ones who decide. So it's similar to a LIability in that money will be paid out, but it doesn't have a specific amount or date. We call What the Company Owes - to Owners: Owner's Equity. It's basically the Net Worth of the company from a "book" point of view.</a:t>
            </a:r>
          </a:p>
          <a:p>
            <a:endParaRPr lang="en-US" sz="1100" b="1" baseline="0">
              <a:solidFill>
                <a:schemeClr val="tx1">
                  <a:lumMod val="75000"/>
                  <a:lumOff val="25000"/>
                </a:schemeClr>
              </a:solidFill>
              <a:effectLst/>
              <a:latin typeface="+mn-lt"/>
              <a:ea typeface="+mn-ea"/>
              <a:cs typeface="+mn-cs"/>
            </a:endParaRPr>
          </a:p>
          <a:p>
            <a:r>
              <a:rPr lang="en-US" sz="1100" b="1" baseline="0">
                <a:solidFill>
                  <a:schemeClr val="tx1">
                    <a:lumMod val="75000"/>
                    <a:lumOff val="25000"/>
                  </a:schemeClr>
                </a:solidFill>
                <a:effectLst/>
                <a:latin typeface="+mn-lt"/>
                <a:ea typeface="+mn-ea"/>
                <a:cs typeface="+mn-cs"/>
              </a:rPr>
              <a:t>So now our simple equation of What the Company Owns = What the Company Owes - to Others  + What the Company Owes - to Owners, becomes:</a:t>
            </a:r>
          </a:p>
          <a:p>
            <a:pPr algn="ctr"/>
            <a:endParaRPr lang="en-US" sz="1400" b="1" baseline="0">
              <a:solidFill>
                <a:schemeClr val="tx1">
                  <a:lumMod val="75000"/>
                  <a:lumOff val="25000"/>
                </a:schemeClr>
              </a:solidFill>
              <a:effectLst/>
              <a:latin typeface="+mn-lt"/>
              <a:ea typeface="+mn-ea"/>
              <a:cs typeface="+mn-cs"/>
            </a:endParaRPr>
          </a:p>
          <a:p>
            <a:pPr algn="l"/>
            <a:r>
              <a:rPr lang="en-US" sz="1800" b="1" baseline="0">
                <a:solidFill>
                  <a:srgbClr val="0000FF"/>
                </a:solidFill>
                <a:effectLst/>
                <a:latin typeface="+mn-lt"/>
                <a:ea typeface="+mn-ea"/>
                <a:cs typeface="+mn-cs"/>
              </a:rPr>
              <a:t>Assets = Liabilities + Owners' Equity</a:t>
            </a:r>
          </a:p>
          <a:p>
            <a:endParaRPr lang="en-US" sz="1100" b="1" baseline="0">
              <a:solidFill>
                <a:schemeClr val="tx1">
                  <a:lumMod val="75000"/>
                  <a:lumOff val="2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tx1">
                    <a:lumMod val="75000"/>
                    <a:lumOff val="25000"/>
                  </a:schemeClr>
                </a:solidFill>
                <a:effectLst/>
                <a:latin typeface="+mn-lt"/>
                <a:ea typeface="+mn-ea"/>
                <a:cs typeface="+mn-cs"/>
              </a:rPr>
              <a:t>This is known as the "Accounting Equation." It's the central concept in accounting. And it's a handy summary of the Balance Sheet.</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lumMod val="75000"/>
                  <a:lumOff val="2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tx1">
                    <a:lumMod val="75000"/>
                    <a:lumOff val="25000"/>
                  </a:schemeClr>
                </a:solidFill>
                <a:effectLst/>
                <a:latin typeface="+mn-lt"/>
                <a:ea typeface="+mn-ea"/>
                <a:cs typeface="+mn-cs"/>
              </a:rPr>
              <a:t>In my class at Pepperdine I drum this home every single class. It's really the embodiment of accounting, and specifically the Balance Sheet, in one simple phrase. I have them shout it out like maniacs when guest speakers come.</a:t>
            </a:r>
            <a:endParaRPr lang="en-US">
              <a:solidFill>
                <a:schemeClr val="tx1">
                  <a:lumMod val="75000"/>
                  <a:lumOff val="25000"/>
                </a:schemeClr>
              </a:solidFill>
              <a:effectLst/>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r>
              <a:rPr lang="en-US" sz="1100" b="1" baseline="0">
                <a:solidFill>
                  <a:schemeClr val="tx1">
                    <a:lumMod val="75000"/>
                    <a:lumOff val="25000"/>
                  </a:schemeClr>
                </a:solidFill>
                <a:effectLst/>
                <a:latin typeface="+mn-lt"/>
                <a:ea typeface="+mn-ea"/>
                <a:cs typeface="+mn-cs"/>
              </a:rPr>
              <a:t>And here's the Balance Sheet in work clothes:</a:t>
            </a: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r>
              <a:rPr lang="en-US" sz="1100" b="1" baseline="0">
                <a:solidFill>
                  <a:schemeClr val="tx1">
                    <a:lumMod val="75000"/>
                    <a:lumOff val="25000"/>
                  </a:schemeClr>
                </a:solidFill>
                <a:effectLst/>
                <a:latin typeface="+mn-lt"/>
                <a:ea typeface="+mn-ea"/>
                <a:cs typeface="+mn-cs"/>
              </a:rPr>
              <a:t>And here are all three financial statements:</a:t>
            </a: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400" b="1" u="sng" baseline="0">
              <a:solidFill>
                <a:schemeClr val="tx1">
                  <a:lumMod val="75000"/>
                  <a:lumOff val="25000"/>
                </a:schemeClr>
              </a:solidFill>
              <a:effectLst/>
              <a:latin typeface="+mn-lt"/>
              <a:ea typeface="+mn-ea"/>
              <a:cs typeface="+mn-cs"/>
            </a:endParaRPr>
          </a:p>
          <a:p>
            <a:r>
              <a:rPr lang="en-US" sz="1400" b="1" u="sng" baseline="0">
                <a:solidFill>
                  <a:srgbClr val="0000FF"/>
                </a:solidFill>
                <a:effectLst/>
                <a:latin typeface="+mn-lt"/>
                <a:ea typeface="+mn-ea"/>
                <a:cs typeface="+mn-cs"/>
              </a:rPr>
              <a:t>What the Three Financial Statements Tell Us:</a:t>
            </a:r>
          </a:p>
          <a:p>
            <a:endParaRPr lang="en-US" sz="1100" b="1" baseline="0">
              <a:solidFill>
                <a:schemeClr val="tx1">
                  <a:lumMod val="75000"/>
                  <a:lumOff val="25000"/>
                </a:schemeClr>
              </a:solidFill>
              <a:effectLst/>
              <a:latin typeface="+mn-lt"/>
              <a:ea typeface="+mn-ea"/>
              <a:cs typeface="+mn-cs"/>
            </a:endParaRPr>
          </a:p>
          <a:p>
            <a:r>
              <a:rPr lang="en-US" b="1">
                <a:solidFill>
                  <a:schemeClr val="tx1">
                    <a:lumMod val="75000"/>
                    <a:lumOff val="25000"/>
                  </a:schemeClr>
                </a:solidFill>
                <a:effectLst/>
              </a:rPr>
              <a:t>The</a:t>
            </a:r>
            <a:r>
              <a:rPr lang="en-US" b="1" baseline="0">
                <a:solidFill>
                  <a:schemeClr val="tx1">
                    <a:lumMod val="75000"/>
                    <a:lumOff val="25000"/>
                  </a:schemeClr>
                </a:solidFill>
                <a:effectLst/>
              </a:rPr>
              <a:t> P&amp;L shows us our sales info - how much money we made, what it cost, and what's left over. Sales, or "Revenue" is known as the "Top Line" it's, well, on the tip of P&amp;L. And "Bottom Line" is Net Income, as it's on the bottom. But it's just one angle, and it doesn't show us our cash position.</a:t>
            </a:r>
          </a:p>
          <a:p>
            <a:endParaRPr lang="en-US" b="1" baseline="0">
              <a:solidFill>
                <a:schemeClr val="tx1">
                  <a:lumMod val="75000"/>
                  <a:lumOff val="25000"/>
                </a:schemeClr>
              </a:solidFill>
              <a:effectLst/>
            </a:endParaRPr>
          </a:p>
          <a:p>
            <a:r>
              <a:rPr lang="en-US" b="1" baseline="0">
                <a:solidFill>
                  <a:schemeClr val="tx1">
                    <a:lumMod val="75000"/>
                    <a:lumOff val="25000"/>
                  </a:schemeClr>
                </a:solidFill>
                <a:effectLst/>
              </a:rPr>
              <a:t>Cash Flow is what we look at to see where cash went and where it came from, and how much we have. But it doesn't show us what we own or what we need to pay, so it doesn't help show where money will go.</a:t>
            </a:r>
          </a:p>
          <a:p>
            <a:endParaRPr lang="en-US" b="1" baseline="0">
              <a:solidFill>
                <a:schemeClr val="tx1">
                  <a:lumMod val="75000"/>
                  <a:lumOff val="25000"/>
                </a:schemeClr>
              </a:solidFill>
              <a:effectLst/>
            </a:endParaRPr>
          </a:p>
          <a:p>
            <a:r>
              <a:rPr lang="en-US" b="1" baseline="0">
                <a:solidFill>
                  <a:schemeClr val="tx1">
                    <a:lumMod val="75000"/>
                    <a:lumOff val="25000"/>
                  </a:schemeClr>
                </a:solidFill>
                <a:effectLst/>
              </a:rPr>
              <a:t>The Balance Sheet is what tells us what we have, and how much we need to pay to whom.</a:t>
            </a:r>
          </a:p>
          <a:p>
            <a:endParaRPr lang="en-US" b="1" baseline="0">
              <a:solidFill>
                <a:schemeClr val="tx1">
                  <a:lumMod val="75000"/>
                  <a:lumOff val="25000"/>
                </a:schemeClr>
              </a:solidFill>
              <a:effectLst/>
            </a:endParaRPr>
          </a:p>
          <a:p>
            <a:r>
              <a:rPr lang="en-US" b="1" baseline="0">
                <a:solidFill>
                  <a:schemeClr val="tx1">
                    <a:lumMod val="75000"/>
                    <a:lumOff val="25000"/>
                  </a:schemeClr>
                </a:solidFill>
                <a:effectLst/>
              </a:rPr>
              <a:t>When you combine the P&amp;L, Cash Flow, and Balance Sheet, you have a 360 degree view of a business - sales, cash, and own / owe.</a:t>
            </a:r>
          </a:p>
          <a:p>
            <a:endParaRPr lang="en-US" b="1" baseline="0">
              <a:solidFill>
                <a:schemeClr val="tx1">
                  <a:lumMod val="75000"/>
                  <a:lumOff val="25000"/>
                </a:schemeClr>
              </a:solidFill>
              <a:effectLst/>
            </a:endParaRPr>
          </a:p>
          <a:p>
            <a:r>
              <a:rPr lang="en-US" b="1" baseline="0">
                <a:solidFill>
                  <a:schemeClr val="tx1">
                    <a:lumMod val="75000"/>
                    <a:lumOff val="25000"/>
                  </a:schemeClr>
                </a:solidFill>
                <a:effectLst/>
              </a:rPr>
              <a:t>Another way to look at it is:</a:t>
            </a:r>
          </a:p>
          <a:p>
            <a:endParaRPr lang="en-US" b="1" baseline="0">
              <a:solidFill>
                <a:schemeClr val="tx1">
                  <a:lumMod val="75000"/>
                  <a:lumOff val="25000"/>
                </a:schemeClr>
              </a:solidFill>
              <a:effectLst/>
            </a:endParaRPr>
          </a:p>
          <a:p>
            <a:r>
              <a:rPr lang="en-US" b="1" baseline="0">
                <a:solidFill>
                  <a:srgbClr val="0000FF"/>
                </a:solidFill>
                <a:effectLst/>
              </a:rPr>
              <a:t>P&amp;L: 	   Past</a:t>
            </a:r>
            <a:br>
              <a:rPr lang="en-US" b="1" baseline="0">
                <a:solidFill>
                  <a:srgbClr val="0000FF"/>
                </a:solidFill>
                <a:effectLst/>
              </a:rPr>
            </a:br>
            <a:r>
              <a:rPr lang="en-US" b="1" baseline="0">
                <a:solidFill>
                  <a:srgbClr val="0000FF"/>
                </a:solidFill>
                <a:effectLst/>
              </a:rPr>
              <a:t>Cash Flow:	   Present</a:t>
            </a:r>
          </a:p>
          <a:p>
            <a:r>
              <a:rPr lang="en-US" b="1" baseline="0">
                <a:solidFill>
                  <a:srgbClr val="0000FF"/>
                </a:solidFill>
                <a:effectLst/>
              </a:rPr>
              <a:t>Balance Sheet:	   Future</a:t>
            </a:r>
          </a:p>
          <a:p>
            <a:endParaRPr lang="en-US" b="1" baseline="0">
              <a:solidFill>
                <a:schemeClr val="tx1">
                  <a:lumMod val="75000"/>
                  <a:lumOff val="25000"/>
                </a:schemeClr>
              </a:solidFill>
              <a:effectLst/>
            </a:endParaRPr>
          </a:p>
          <a:p>
            <a:r>
              <a:rPr lang="en-US" b="1" baseline="0">
                <a:solidFill>
                  <a:schemeClr val="tx1">
                    <a:lumMod val="75000"/>
                    <a:lumOff val="25000"/>
                  </a:schemeClr>
                </a:solidFill>
                <a:effectLst/>
              </a:rPr>
              <a:t>That's it - the three financial statements. Every business, school, non-profit uses them, or should. </a:t>
            </a:r>
          </a:p>
          <a:p>
            <a:endParaRPr lang="en-US" b="1" baseline="0">
              <a:solidFill>
                <a:schemeClr val="tx1">
                  <a:lumMod val="75000"/>
                  <a:lumOff val="25000"/>
                </a:schemeClr>
              </a:solidFill>
              <a:effectLst/>
            </a:endParaRPr>
          </a:p>
          <a:p>
            <a:r>
              <a:rPr lang="en-US" b="1" baseline="0">
                <a:solidFill>
                  <a:schemeClr val="tx1">
                    <a:lumMod val="75000"/>
                    <a:lumOff val="25000"/>
                  </a:schemeClr>
                </a:solidFill>
                <a:effectLst/>
              </a:rPr>
              <a:t>Yes, they get a lot more complex, but these are the basic principles .</a:t>
            </a:r>
            <a:endParaRPr lang="en-US" b="1">
              <a:solidFill>
                <a:schemeClr val="tx1">
                  <a:lumMod val="75000"/>
                  <a:lumOff val="25000"/>
                </a:schemeClr>
              </a:solidFill>
              <a:effectLst/>
            </a:endParaRPr>
          </a:p>
          <a:p>
            <a:endParaRPr lang="en-US" b="1">
              <a:solidFill>
                <a:schemeClr val="tx1">
                  <a:lumMod val="75000"/>
                  <a:lumOff val="25000"/>
                </a:schemeClr>
              </a:solidFill>
              <a:effectLst/>
            </a:endParaRPr>
          </a:p>
          <a:p>
            <a:endParaRPr lang="en-US" b="1" baseline="0">
              <a:solidFill>
                <a:schemeClr val="tx1">
                  <a:lumMod val="75000"/>
                  <a:lumOff val="25000"/>
                </a:schemeClr>
              </a:solidFill>
              <a:effectLst/>
            </a:endParaRPr>
          </a:p>
          <a:p>
            <a:endParaRPr lang="en-US" b="1" baseline="0">
              <a:solidFill>
                <a:schemeClr val="tx1">
                  <a:lumMod val="75000"/>
                  <a:lumOff val="25000"/>
                </a:schemeClr>
              </a:solidFill>
              <a:effectLst/>
            </a:endParaRPr>
          </a:p>
          <a:p>
            <a:endParaRPr lang="en-US" b="1" baseline="0">
              <a:solidFill>
                <a:schemeClr val="tx1">
                  <a:lumMod val="75000"/>
                  <a:lumOff val="25000"/>
                </a:schemeClr>
              </a:solidFill>
              <a:effectLst/>
            </a:endParaRPr>
          </a:p>
          <a:p>
            <a:endParaRPr lang="en-US" b="1" baseline="0">
              <a:solidFill>
                <a:schemeClr val="tx1">
                  <a:lumMod val="75000"/>
                  <a:lumOff val="25000"/>
                </a:schemeClr>
              </a:solidFill>
              <a:effectLst/>
            </a:endParaRPr>
          </a:p>
          <a:p>
            <a:endParaRPr lang="en-US" b="1">
              <a:solidFill>
                <a:schemeClr val="tx1">
                  <a:lumMod val="75000"/>
                  <a:lumOff val="25000"/>
                </a:schemeClr>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lumMod val="75000"/>
                  <a:lumOff val="2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lumMod val="75000"/>
                  <a:lumOff val="2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lumMod val="75000"/>
                  <a:lumOff val="2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lumMod val="75000"/>
                  <a:lumOff val="2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solidFill>
                <a:schemeClr val="tx1">
                  <a:lumMod val="75000"/>
                  <a:lumOff val="25000"/>
                </a:schemeClr>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solidFill>
                <a:schemeClr val="tx1">
                  <a:lumMod val="75000"/>
                  <a:lumOff val="25000"/>
                </a:schemeClr>
              </a:solidFill>
              <a:effectLst/>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a:solidFill>
                <a:schemeClr val="tx1">
                  <a:lumMod val="75000"/>
                  <a:lumOff val="25000"/>
                </a:schemeClr>
              </a:solidFill>
              <a:effectLst/>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a:solidFill>
                <a:schemeClr val="tx1">
                  <a:lumMod val="75000"/>
                  <a:lumOff val="25000"/>
                </a:schemeClr>
              </a:solidFill>
              <a:effectLst/>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a:solidFill>
                <a:schemeClr val="tx1">
                  <a:lumMod val="75000"/>
                  <a:lumOff val="25000"/>
                </a:schemeClr>
              </a:solidFill>
              <a:effectLst/>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200">
              <a:solidFill>
                <a:schemeClr val="tx1">
                  <a:lumMod val="75000"/>
                  <a:lumOff val="25000"/>
                </a:schemeClr>
              </a:solidFill>
              <a:effectLst/>
            </a:endParaRPr>
          </a:p>
          <a:p>
            <a:endParaRPr lang="en-US" sz="1200" b="1" baseline="0">
              <a:solidFill>
                <a:schemeClr val="tx1">
                  <a:lumMod val="75000"/>
                  <a:lumOff val="25000"/>
                </a:schemeClr>
              </a:solidFill>
            </a:endParaRPr>
          </a:p>
          <a:p>
            <a:pPr algn="l"/>
            <a:endParaRPr lang="en-US" sz="1200" b="1" baseline="0">
              <a:solidFill>
                <a:schemeClr val="tx1">
                  <a:lumMod val="75000"/>
                  <a:lumOff val="25000"/>
                </a:schemeClr>
              </a:solidFill>
            </a:endParaRPr>
          </a:p>
          <a:p>
            <a:pPr algn="l"/>
            <a:r>
              <a:rPr lang="en-US" sz="1200" b="1" baseline="0">
                <a:solidFill>
                  <a:schemeClr val="tx1">
                    <a:lumMod val="75000"/>
                    <a:lumOff val="25000"/>
                  </a:schemeClr>
                </a:solidFill>
              </a:rPr>
              <a:t> </a:t>
            </a:r>
          </a:p>
          <a:p>
            <a:pPr algn="l"/>
            <a:endParaRPr lang="en-US" sz="1200" b="1" baseline="0">
              <a:solidFill>
                <a:schemeClr val="tx1">
                  <a:lumMod val="75000"/>
                  <a:lumOff val="25000"/>
                </a:schemeClr>
              </a:solidFill>
            </a:endParaRPr>
          </a:p>
          <a:p>
            <a:pPr algn="l"/>
            <a:r>
              <a:rPr lang="en-US" sz="1200" b="1" baseline="0">
                <a:solidFill>
                  <a:schemeClr val="tx1">
                    <a:lumMod val="75000"/>
                    <a:lumOff val="25000"/>
                  </a:schemeClr>
                </a:solidFill>
              </a:rPr>
              <a:t>   			</a:t>
            </a:r>
          </a:p>
          <a:p>
            <a:endParaRPr lang="en-US" sz="1100" baseline="0">
              <a:solidFill>
                <a:schemeClr val="tx1">
                  <a:lumMod val="75000"/>
                  <a:lumOff val="25000"/>
                </a:schemeClr>
              </a:solidFill>
            </a:endParaRPr>
          </a:p>
          <a:p>
            <a:endParaRPr lang="en-US" sz="1100">
              <a:solidFill>
                <a:schemeClr val="tx1">
                  <a:lumMod val="75000"/>
                  <a:lumOff val="25000"/>
                </a:schemeClr>
              </a:solidFill>
            </a:endParaRPr>
          </a:p>
        </xdr:txBody>
      </xdr:sp>
      <xdr:grpSp>
        <xdr:nvGrpSpPr>
          <xdr:cNvPr id="100" name="Group 99">
            <a:extLst>
              <a:ext uri="{FF2B5EF4-FFF2-40B4-BE49-F238E27FC236}">
                <a16:creationId xmlns:a16="http://schemas.microsoft.com/office/drawing/2014/main" id="{00000000-0008-0000-0000-000064000000}"/>
              </a:ext>
            </a:extLst>
          </xdr:cNvPr>
          <xdr:cNvGrpSpPr>
            <a:grpSpLocks noChangeAspect="1"/>
          </xdr:cNvGrpSpPr>
        </xdr:nvGrpSpPr>
        <xdr:grpSpPr>
          <a:xfrm>
            <a:off x="3838576" y="14521047"/>
            <a:ext cx="788276" cy="1042411"/>
            <a:chOff x="10222407" y="13525500"/>
            <a:chExt cx="2923809" cy="3477805"/>
          </a:xfrm>
        </xdr:grpSpPr>
        <xdr:pic>
          <xdr:nvPicPr>
            <xdr:cNvPr id="116" name="Picture 115">
              <a:extLst>
                <a:ext uri="{FF2B5EF4-FFF2-40B4-BE49-F238E27FC236}">
                  <a16:creationId xmlns:a16="http://schemas.microsoft.com/office/drawing/2014/main" id="{00000000-0008-0000-0000-000074000000}"/>
                </a:ext>
              </a:extLst>
            </xdr:cNvPr>
            <xdr:cNvPicPr>
              <a:picLocks/>
            </xdr:cNvPicPr>
          </xdr:nvPicPr>
          <xdr:blipFill>
            <a:blip xmlns:r="http://schemas.openxmlformats.org/officeDocument/2006/relationships" r:embed="rId10"/>
            <a:stretch>
              <a:fillRect/>
            </a:stretch>
          </xdr:blipFill>
          <xdr:spPr>
            <a:xfrm>
              <a:off x="10222407" y="13860448"/>
              <a:ext cx="2923809" cy="3142857"/>
            </a:xfrm>
            <a:prstGeom prst="rect">
              <a:avLst/>
            </a:prstGeom>
          </xdr:spPr>
        </xdr:pic>
        <xdr:pic>
          <xdr:nvPicPr>
            <xdr:cNvPr id="117" name="Picture 116">
              <a:extLst>
                <a:ext uri="{FF2B5EF4-FFF2-40B4-BE49-F238E27FC236}">
                  <a16:creationId xmlns:a16="http://schemas.microsoft.com/office/drawing/2014/main" id="{00000000-0008-0000-0000-000075000000}"/>
                </a:ext>
              </a:extLst>
            </xdr:cNvPr>
            <xdr:cNvPicPr>
              <a:picLocks noChangeAspect="1"/>
            </xdr:cNvPicPr>
          </xdr:nvPicPr>
          <xdr:blipFill>
            <a:blip xmlns:r="http://schemas.openxmlformats.org/officeDocument/2006/relationships" r:embed="rId11"/>
            <a:stretch>
              <a:fillRect/>
            </a:stretch>
          </xdr:blipFill>
          <xdr:spPr>
            <a:xfrm>
              <a:off x="10829925" y="13525500"/>
              <a:ext cx="847619" cy="276190"/>
            </a:xfrm>
            <a:prstGeom prst="rect">
              <a:avLst/>
            </a:prstGeom>
          </xdr:spPr>
        </xdr:pic>
      </xdr:grpSp>
      <xdr:pic>
        <xdr:nvPicPr>
          <xdr:cNvPr id="101" name="Picture 100">
            <a:extLst>
              <a:ext uri="{FF2B5EF4-FFF2-40B4-BE49-F238E27FC236}">
                <a16:creationId xmlns:a16="http://schemas.microsoft.com/office/drawing/2014/main" id="{00000000-0008-0000-0000-000065000000}"/>
              </a:ext>
            </a:extLst>
          </xdr:cNvPr>
          <xdr:cNvPicPr>
            <a:picLocks noChangeAspect="1"/>
          </xdr:cNvPicPr>
        </xdr:nvPicPr>
        <xdr:blipFill>
          <a:blip xmlns:r="http://schemas.openxmlformats.org/officeDocument/2006/relationships" r:embed="rId12"/>
          <a:stretch>
            <a:fillRect/>
          </a:stretch>
        </xdr:blipFill>
        <xdr:spPr>
          <a:xfrm>
            <a:off x="3819525" y="17135475"/>
            <a:ext cx="1438095" cy="1123810"/>
          </a:xfrm>
          <a:prstGeom prst="rect">
            <a:avLst/>
          </a:prstGeom>
        </xdr:spPr>
      </xdr:pic>
      <xdr:pic>
        <xdr:nvPicPr>
          <xdr:cNvPr id="102" name="Picture 101">
            <a:extLst>
              <a:ext uri="{FF2B5EF4-FFF2-40B4-BE49-F238E27FC236}">
                <a16:creationId xmlns:a16="http://schemas.microsoft.com/office/drawing/2014/main" id="{00000000-0008-0000-0000-000066000000}"/>
              </a:ext>
            </a:extLst>
          </xdr:cNvPr>
          <xdr:cNvPicPr>
            <a:picLocks noChangeAspect="1"/>
          </xdr:cNvPicPr>
        </xdr:nvPicPr>
        <xdr:blipFill>
          <a:blip xmlns:r="http://schemas.openxmlformats.org/officeDocument/2006/relationships" r:embed="rId13"/>
          <a:stretch>
            <a:fillRect/>
          </a:stretch>
        </xdr:blipFill>
        <xdr:spPr>
          <a:xfrm>
            <a:off x="3829050" y="20373975"/>
            <a:ext cx="1428571" cy="552381"/>
          </a:xfrm>
          <a:prstGeom prst="rect">
            <a:avLst/>
          </a:prstGeom>
        </xdr:spPr>
      </xdr:pic>
      <xdr:pic>
        <xdr:nvPicPr>
          <xdr:cNvPr id="103" name="Picture 102">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14"/>
          <a:stretch>
            <a:fillRect/>
          </a:stretch>
        </xdr:blipFill>
        <xdr:spPr>
          <a:xfrm>
            <a:off x="3800475" y="21917025"/>
            <a:ext cx="1495238" cy="790476"/>
          </a:xfrm>
          <a:prstGeom prst="rect">
            <a:avLst/>
          </a:prstGeom>
        </xdr:spPr>
      </xdr:pic>
      <xdr:pic>
        <xdr:nvPicPr>
          <xdr:cNvPr id="104" name="Picture 103">
            <a:extLst>
              <a:ext uri="{FF2B5EF4-FFF2-40B4-BE49-F238E27FC236}">
                <a16:creationId xmlns:a16="http://schemas.microsoft.com/office/drawing/2014/main" id="{00000000-0008-0000-0000-000068000000}"/>
              </a:ext>
            </a:extLst>
          </xdr:cNvPr>
          <xdr:cNvPicPr>
            <a:picLocks noChangeAspect="1"/>
          </xdr:cNvPicPr>
        </xdr:nvPicPr>
        <xdr:blipFill>
          <a:blip xmlns:r="http://schemas.openxmlformats.org/officeDocument/2006/relationships" r:embed="rId15"/>
          <a:stretch>
            <a:fillRect/>
          </a:stretch>
        </xdr:blipFill>
        <xdr:spPr>
          <a:xfrm>
            <a:off x="3848100" y="23421975"/>
            <a:ext cx="1495238" cy="1333333"/>
          </a:xfrm>
          <a:prstGeom prst="rect">
            <a:avLst/>
          </a:prstGeom>
        </xdr:spPr>
      </xdr:pic>
      <xdr:pic>
        <xdr:nvPicPr>
          <xdr:cNvPr id="105" name="Picture 104">
            <a:extLst>
              <a:ext uri="{FF2B5EF4-FFF2-40B4-BE49-F238E27FC236}">
                <a16:creationId xmlns:a16="http://schemas.microsoft.com/office/drawing/2014/main" id="{00000000-0008-0000-0000-000069000000}"/>
              </a:ext>
            </a:extLst>
          </xdr:cNvPr>
          <xdr:cNvPicPr>
            <a:picLocks noChangeAspect="1"/>
          </xdr:cNvPicPr>
        </xdr:nvPicPr>
        <xdr:blipFill>
          <a:blip xmlns:r="http://schemas.openxmlformats.org/officeDocument/2006/relationships" r:embed="rId16"/>
          <a:stretch>
            <a:fillRect/>
          </a:stretch>
        </xdr:blipFill>
        <xdr:spPr>
          <a:xfrm>
            <a:off x="2295525" y="26489025"/>
            <a:ext cx="3047619" cy="533333"/>
          </a:xfrm>
          <a:prstGeom prst="rect">
            <a:avLst/>
          </a:prstGeom>
        </xdr:spPr>
      </xdr:pic>
      <xdr:pic>
        <xdr:nvPicPr>
          <xdr:cNvPr id="106" name="Picture 105">
            <a:extLst>
              <a:ext uri="{FF2B5EF4-FFF2-40B4-BE49-F238E27FC236}">
                <a16:creationId xmlns:a16="http://schemas.microsoft.com/office/drawing/2014/main" id="{00000000-0008-0000-0000-00006A000000}"/>
              </a:ext>
            </a:extLst>
          </xdr:cNvPr>
          <xdr:cNvPicPr>
            <a:picLocks noChangeAspect="1"/>
          </xdr:cNvPicPr>
        </xdr:nvPicPr>
        <xdr:blipFill>
          <a:blip xmlns:r="http://schemas.openxmlformats.org/officeDocument/2006/relationships" r:embed="rId17"/>
          <a:stretch>
            <a:fillRect/>
          </a:stretch>
        </xdr:blipFill>
        <xdr:spPr>
          <a:xfrm>
            <a:off x="1704975" y="27574875"/>
            <a:ext cx="3514286" cy="923810"/>
          </a:xfrm>
          <a:prstGeom prst="rect">
            <a:avLst/>
          </a:prstGeom>
        </xdr:spPr>
      </xdr:pic>
      <xdr:pic>
        <xdr:nvPicPr>
          <xdr:cNvPr id="107" name="Picture 106">
            <a:extLst>
              <a:ext uri="{FF2B5EF4-FFF2-40B4-BE49-F238E27FC236}">
                <a16:creationId xmlns:a16="http://schemas.microsoft.com/office/drawing/2014/main" id="{00000000-0008-0000-0000-00006B000000}"/>
              </a:ext>
            </a:extLst>
          </xdr:cNvPr>
          <xdr:cNvPicPr>
            <a:picLocks noChangeAspect="1"/>
          </xdr:cNvPicPr>
        </xdr:nvPicPr>
        <xdr:blipFill>
          <a:blip xmlns:r="http://schemas.openxmlformats.org/officeDocument/2006/relationships" r:embed="rId18"/>
          <a:stretch>
            <a:fillRect/>
          </a:stretch>
        </xdr:blipFill>
        <xdr:spPr>
          <a:xfrm>
            <a:off x="1428750" y="29937075"/>
            <a:ext cx="3809524" cy="1123810"/>
          </a:xfrm>
          <a:prstGeom prst="rect">
            <a:avLst/>
          </a:prstGeom>
        </xdr:spPr>
      </xdr:pic>
      <xdr:pic>
        <xdr:nvPicPr>
          <xdr:cNvPr id="108" name="Picture 107">
            <a:extLst>
              <a:ext uri="{FF2B5EF4-FFF2-40B4-BE49-F238E27FC236}">
                <a16:creationId xmlns:a16="http://schemas.microsoft.com/office/drawing/2014/main" id="{00000000-0008-0000-0000-00006C000000}"/>
              </a:ext>
            </a:extLst>
          </xdr:cNvPr>
          <xdr:cNvPicPr>
            <a:picLocks noChangeAspect="1"/>
          </xdr:cNvPicPr>
        </xdr:nvPicPr>
        <xdr:blipFill>
          <a:blip xmlns:r="http://schemas.openxmlformats.org/officeDocument/2006/relationships" r:embed="rId19"/>
          <a:stretch>
            <a:fillRect/>
          </a:stretch>
        </xdr:blipFill>
        <xdr:spPr>
          <a:xfrm>
            <a:off x="1400175" y="31956375"/>
            <a:ext cx="3857143" cy="1352381"/>
          </a:xfrm>
          <a:prstGeom prst="rect">
            <a:avLst/>
          </a:prstGeom>
        </xdr:spPr>
      </xdr:pic>
      <xdr:pic>
        <xdr:nvPicPr>
          <xdr:cNvPr id="109" name="Picture 108">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20"/>
          <a:stretch>
            <a:fillRect/>
          </a:stretch>
        </xdr:blipFill>
        <xdr:spPr>
          <a:xfrm>
            <a:off x="2381250" y="34699575"/>
            <a:ext cx="7876190" cy="2057143"/>
          </a:xfrm>
          <a:prstGeom prst="rect">
            <a:avLst/>
          </a:prstGeom>
        </xdr:spPr>
      </xdr:pic>
      <xdr:pic>
        <xdr:nvPicPr>
          <xdr:cNvPr id="110" name="Picture 109">
            <a:extLst>
              <a:ext uri="{FF2B5EF4-FFF2-40B4-BE49-F238E27FC236}">
                <a16:creationId xmlns:a16="http://schemas.microsoft.com/office/drawing/2014/main" id="{00000000-0008-0000-0000-00006E000000}"/>
              </a:ext>
            </a:extLst>
          </xdr:cNvPr>
          <xdr:cNvPicPr>
            <a:picLocks noChangeAspect="1"/>
          </xdr:cNvPicPr>
        </xdr:nvPicPr>
        <xdr:blipFill>
          <a:blip xmlns:r="http://schemas.openxmlformats.org/officeDocument/2006/relationships" r:embed="rId21"/>
          <a:stretch>
            <a:fillRect/>
          </a:stretch>
        </xdr:blipFill>
        <xdr:spPr>
          <a:xfrm>
            <a:off x="2705100" y="40957500"/>
            <a:ext cx="5171429" cy="1304762"/>
          </a:xfrm>
          <a:prstGeom prst="rect">
            <a:avLst/>
          </a:prstGeom>
        </xdr:spPr>
      </xdr:pic>
      <xdr:pic>
        <xdr:nvPicPr>
          <xdr:cNvPr id="111" name="Picture 110">
            <a:extLst>
              <a:ext uri="{FF2B5EF4-FFF2-40B4-BE49-F238E27FC236}">
                <a16:creationId xmlns:a16="http://schemas.microsoft.com/office/drawing/2014/main" id="{00000000-0008-0000-0000-00006F000000}"/>
              </a:ext>
            </a:extLst>
          </xdr:cNvPr>
          <xdr:cNvPicPr>
            <a:picLocks noChangeAspect="1"/>
          </xdr:cNvPicPr>
        </xdr:nvPicPr>
        <xdr:blipFill>
          <a:blip xmlns:r="http://schemas.openxmlformats.org/officeDocument/2006/relationships" r:embed="rId22"/>
          <a:stretch>
            <a:fillRect/>
          </a:stretch>
        </xdr:blipFill>
        <xdr:spPr>
          <a:xfrm>
            <a:off x="3762375" y="44367450"/>
            <a:ext cx="1609524" cy="1400000"/>
          </a:xfrm>
          <a:prstGeom prst="rect">
            <a:avLst/>
          </a:prstGeom>
        </xdr:spPr>
      </xdr:pic>
      <xdr:pic>
        <xdr:nvPicPr>
          <xdr:cNvPr id="112" name="Picture 111">
            <a:extLst>
              <a:ext uri="{FF2B5EF4-FFF2-40B4-BE49-F238E27FC236}">
                <a16:creationId xmlns:a16="http://schemas.microsoft.com/office/drawing/2014/main" id="{00000000-0008-0000-0000-000070000000}"/>
              </a:ext>
            </a:extLst>
          </xdr:cNvPr>
          <xdr:cNvPicPr>
            <a:picLocks noChangeAspect="1"/>
          </xdr:cNvPicPr>
        </xdr:nvPicPr>
        <xdr:blipFill>
          <a:blip xmlns:r="http://schemas.openxmlformats.org/officeDocument/2006/relationships" r:embed="rId23"/>
          <a:stretch>
            <a:fillRect/>
          </a:stretch>
        </xdr:blipFill>
        <xdr:spPr>
          <a:xfrm>
            <a:off x="2114550" y="55225950"/>
            <a:ext cx="3066667" cy="1380952"/>
          </a:xfrm>
          <a:prstGeom prst="rect">
            <a:avLst/>
          </a:prstGeom>
        </xdr:spPr>
      </xdr:pic>
      <xdr:pic>
        <xdr:nvPicPr>
          <xdr:cNvPr id="113" name="Picture 112">
            <a:extLst>
              <a:ext uri="{FF2B5EF4-FFF2-40B4-BE49-F238E27FC236}">
                <a16:creationId xmlns:a16="http://schemas.microsoft.com/office/drawing/2014/main" id="{00000000-0008-0000-0000-000071000000}"/>
              </a:ext>
            </a:extLst>
          </xdr:cNvPr>
          <xdr:cNvPicPr>
            <a:picLocks noChangeAspect="1"/>
          </xdr:cNvPicPr>
        </xdr:nvPicPr>
        <xdr:blipFill>
          <a:blip xmlns:r="http://schemas.openxmlformats.org/officeDocument/2006/relationships" r:embed="rId24"/>
          <a:stretch>
            <a:fillRect/>
          </a:stretch>
        </xdr:blipFill>
        <xdr:spPr>
          <a:xfrm>
            <a:off x="1752600" y="57540525"/>
            <a:ext cx="2266667" cy="1142857"/>
          </a:xfrm>
          <a:prstGeom prst="rect">
            <a:avLst/>
          </a:prstGeom>
        </xdr:spPr>
      </xdr:pic>
      <xdr:pic>
        <xdr:nvPicPr>
          <xdr:cNvPr id="114" name="Picture 113">
            <a:extLst>
              <a:ext uri="{FF2B5EF4-FFF2-40B4-BE49-F238E27FC236}">
                <a16:creationId xmlns:a16="http://schemas.microsoft.com/office/drawing/2014/main" id="{00000000-0008-0000-0000-000072000000}"/>
              </a:ext>
            </a:extLst>
          </xdr:cNvPr>
          <xdr:cNvPicPr>
            <a:picLocks noChangeAspect="1"/>
          </xdr:cNvPicPr>
        </xdr:nvPicPr>
        <xdr:blipFill>
          <a:blip xmlns:r="http://schemas.openxmlformats.org/officeDocument/2006/relationships" r:embed="rId22"/>
          <a:stretch>
            <a:fillRect/>
          </a:stretch>
        </xdr:blipFill>
        <xdr:spPr>
          <a:xfrm>
            <a:off x="4724400" y="57502425"/>
            <a:ext cx="1609524" cy="1400000"/>
          </a:xfrm>
          <a:prstGeom prst="rect">
            <a:avLst/>
          </a:prstGeom>
        </xdr:spPr>
      </xdr:pic>
      <xdr:pic>
        <xdr:nvPicPr>
          <xdr:cNvPr id="115" name="Picture 114">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23"/>
          <a:stretch>
            <a:fillRect/>
          </a:stretch>
        </xdr:blipFill>
        <xdr:spPr>
          <a:xfrm>
            <a:off x="6572250" y="57550050"/>
            <a:ext cx="3066667" cy="1380952"/>
          </a:xfrm>
          <a:prstGeom prst="rect">
            <a:avLst/>
          </a:prstGeom>
        </xdr:spPr>
      </xdr:pic>
    </xdr:grpSp>
    <xdr:clientData/>
  </xdr:twoCellAnchor>
  <xdr:twoCellAnchor>
    <xdr:from>
      <xdr:col>2</xdr:col>
      <xdr:colOff>133350</xdr:colOff>
      <xdr:row>329</xdr:row>
      <xdr:rowOff>133349</xdr:rowOff>
    </xdr:from>
    <xdr:to>
      <xdr:col>17</xdr:col>
      <xdr:colOff>533398</xdr:colOff>
      <xdr:row>462</xdr:row>
      <xdr:rowOff>76492</xdr:rowOff>
    </xdr:to>
    <xdr:grpSp>
      <xdr:nvGrpSpPr>
        <xdr:cNvPr id="118" name="Group 117">
          <a:extLst>
            <a:ext uri="{FF2B5EF4-FFF2-40B4-BE49-F238E27FC236}">
              <a16:creationId xmlns:a16="http://schemas.microsoft.com/office/drawing/2014/main" id="{00000000-0008-0000-0000-000076000000}"/>
            </a:ext>
          </a:extLst>
        </xdr:cNvPr>
        <xdr:cNvGrpSpPr/>
      </xdr:nvGrpSpPr>
      <xdr:grpSpPr>
        <a:xfrm>
          <a:off x="133350" y="63620649"/>
          <a:ext cx="10687048" cy="26124193"/>
          <a:chOff x="1504950" y="62912624"/>
          <a:chExt cx="10687048" cy="25279643"/>
        </a:xfrm>
      </xdr:grpSpPr>
      <xdr:sp macro="" textlink="">
        <xdr:nvSpPr>
          <xdr:cNvPr id="119" name="TextBox 118">
            <a:extLst>
              <a:ext uri="{FF2B5EF4-FFF2-40B4-BE49-F238E27FC236}">
                <a16:creationId xmlns:a16="http://schemas.microsoft.com/office/drawing/2014/main" id="{00000000-0008-0000-0000-000077000000}"/>
              </a:ext>
            </a:extLst>
          </xdr:cNvPr>
          <xdr:cNvSpPr txBox="1"/>
        </xdr:nvSpPr>
        <xdr:spPr>
          <a:xfrm>
            <a:off x="1895475" y="62912624"/>
            <a:ext cx="9061450" cy="169354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800" b="1" u="sng">
                <a:solidFill>
                  <a:srgbClr val="0000FF"/>
                </a:solidFill>
              </a:rPr>
              <a:t>Financial</a:t>
            </a:r>
            <a:r>
              <a:rPr lang="en-US" sz="1800" b="1" u="sng" baseline="0">
                <a:solidFill>
                  <a:srgbClr val="0000FF"/>
                </a:solidFill>
              </a:rPr>
              <a:t> Statements #2</a:t>
            </a:r>
          </a:p>
          <a:p>
            <a:endParaRPr lang="en-US" sz="2400" b="1" u="sng" baseline="0">
              <a:solidFill>
                <a:srgbClr val="0000FF"/>
              </a:solidFill>
            </a:endParaRPr>
          </a:p>
          <a:p>
            <a:r>
              <a:rPr lang="en-US" sz="1400" b="1" u="sng">
                <a:solidFill>
                  <a:srgbClr val="0000FF"/>
                </a:solidFill>
              </a:rPr>
              <a:t>P&amp;L</a:t>
            </a:r>
          </a:p>
          <a:p>
            <a:endParaRPr lang="en-US" sz="1100" b="1">
              <a:solidFill>
                <a:srgbClr val="0000FF"/>
              </a:solidFill>
            </a:endParaRPr>
          </a:p>
          <a:p>
            <a:r>
              <a:rPr lang="en-US" sz="1100"/>
              <a:t>The </a:t>
            </a:r>
            <a:r>
              <a:rPr lang="en-US" sz="1100" baseline="0"/>
              <a:t>Profit &amp; Loss, aka Income Statement, is a summary of your sales, and what it cost to create the sales over a particular period of time - usually a month, quarter, or year.</a:t>
            </a:r>
          </a:p>
          <a:p>
            <a:endParaRPr lang="en-US" sz="1100" baseline="0"/>
          </a:p>
          <a:p>
            <a:r>
              <a:rPr lang="en-US" sz="1100" baseline="0"/>
              <a:t>The P&amp;L is like a funnel - the numbers get smaller and smaller as you go down from the Top Line - Revenue, to the Bottom Line - Net Income.</a:t>
            </a:r>
          </a:p>
          <a:p>
            <a:endParaRPr lang="en-US" sz="1100" baseline="0"/>
          </a:p>
          <a:p>
            <a:endParaRPr lang="en-US" sz="1100" baseline="0"/>
          </a:p>
          <a:p>
            <a:endParaRPr lang="en-US" sz="1100" baseline="0"/>
          </a:p>
          <a:p>
            <a:endParaRPr lang="en-US" sz="1100" baseline="0"/>
          </a:p>
          <a:p>
            <a:endParaRPr lang="en-US" sz="1100" baseline="0"/>
          </a:p>
          <a:p>
            <a:endParaRPr lang="en-US" sz="1100" baseline="0"/>
          </a:p>
          <a:p>
            <a:endParaRPr lang="en-US" sz="1100" baseline="0"/>
          </a:p>
          <a:p>
            <a:endParaRPr lang="en-US" sz="1100" baseline="0"/>
          </a:p>
          <a:p>
            <a:endParaRPr lang="en-US" sz="1100" baseline="0"/>
          </a:p>
          <a:p>
            <a:endParaRPr lang="en-US" sz="1100" baseline="0"/>
          </a:p>
          <a:p>
            <a:endParaRPr lang="en-US" sz="1100" baseline="0"/>
          </a:p>
          <a:p>
            <a:endParaRPr lang="en-US" sz="1100" baseline="0"/>
          </a:p>
          <a:p>
            <a:endParaRPr lang="en-US" sz="1100" baseline="0"/>
          </a:p>
          <a:p>
            <a:endParaRPr lang="en-US" sz="1100" baseline="0"/>
          </a:p>
          <a:p>
            <a:endParaRPr lang="en-US" sz="1100" baseline="0"/>
          </a:p>
          <a:p>
            <a:endParaRPr lang="en-US" sz="1100" baseline="0"/>
          </a:p>
          <a:p>
            <a:endParaRPr lang="en-US" sz="1100" baseline="0"/>
          </a:p>
          <a:p>
            <a:endParaRPr lang="en-US" sz="1100" baseline="0"/>
          </a:p>
          <a:p>
            <a:endParaRPr lang="en-US" sz="1100" baseline="0"/>
          </a:p>
          <a:p>
            <a:endParaRPr lang="en-US" sz="1100" baseline="0"/>
          </a:p>
          <a:p>
            <a:endParaRPr lang="en-US" sz="1100" baseline="0"/>
          </a:p>
          <a:p>
            <a:r>
              <a:rPr lang="en-US" sz="1100" b="0" baseline="0"/>
              <a:t>The P&amp;L shows your Net Income - </a:t>
            </a:r>
            <a:r>
              <a:rPr lang="en-US" sz="1100" b="1" baseline="0"/>
              <a:t>which only exists on paper.  It is not the same as cash. </a:t>
            </a:r>
            <a:r>
              <a:rPr lang="en-US" sz="1100" b="0" baseline="0"/>
              <a:t>Unprofitable companies can be worth billions of dollars - e.g. Uber.  Profitable companies go bankrupt everyday - bankrupt doesn't mean you aren't profitable , it means you run out of cash.</a:t>
            </a:r>
          </a:p>
          <a:p>
            <a:endParaRPr lang="en-US" sz="1100" b="0" baseline="0"/>
          </a:p>
          <a:p>
            <a:r>
              <a:rPr lang="en-US" sz="1100" b="1" baseline="0"/>
              <a:t>Think of the P&amp;L as the past.</a:t>
            </a:r>
          </a:p>
          <a:p>
            <a:endParaRPr lang="en-US" sz="1100" b="1" baseline="0"/>
          </a:p>
          <a:p>
            <a:r>
              <a:rPr lang="en-US" sz="1100" b="1" baseline="0">
                <a:solidFill>
                  <a:srgbClr val="0000FF"/>
                </a:solidFill>
              </a:rPr>
              <a:t>Here are the main areas of the Profit &amp; Loss Statement:</a:t>
            </a:r>
          </a:p>
          <a:p>
            <a:endParaRPr lang="en-US" sz="1100" b="1" baseline="0">
              <a:solidFill>
                <a:srgbClr val="0000FF"/>
              </a:solidFill>
            </a:endParaRPr>
          </a:p>
          <a:p>
            <a:r>
              <a:rPr lang="en-US" sz="1100" b="1" baseline="0">
                <a:solidFill>
                  <a:srgbClr val="0000FF"/>
                </a:solidFill>
              </a:rPr>
              <a:t>Revenue</a:t>
            </a:r>
            <a:br>
              <a:rPr lang="en-US" sz="1100" b="1" baseline="0">
                <a:solidFill>
                  <a:schemeClr val="tx1">
                    <a:lumMod val="75000"/>
                    <a:lumOff val="25000"/>
                  </a:schemeClr>
                </a:solidFill>
              </a:rPr>
            </a:br>
            <a:r>
              <a:rPr lang="en-US" sz="1100" b="1" baseline="0">
                <a:solidFill>
                  <a:schemeClr val="tx1">
                    <a:lumMod val="75000"/>
                    <a:lumOff val="25000"/>
                  </a:schemeClr>
                </a:solidFill>
              </a:rPr>
              <a:t>Your income from your sales. Note, if you have annual Recurring Revenue, only the portion that is "earned" in the current month will appear in that month. The rest will go to the Deferred Revenue section on the Balance Sheet.</a:t>
            </a:r>
          </a:p>
          <a:p>
            <a:endParaRPr lang="en-US" sz="1100" b="1" baseline="0">
              <a:solidFill>
                <a:srgbClr val="0000FF"/>
              </a:solidFill>
            </a:endParaRPr>
          </a:p>
          <a:p>
            <a:r>
              <a:rPr lang="en-US" sz="1100" b="1" baseline="0">
                <a:solidFill>
                  <a:srgbClr val="0000FF"/>
                </a:solidFill>
              </a:rPr>
              <a:t>Bad Debt / Returns: </a:t>
            </a:r>
            <a:r>
              <a:rPr lang="en-US" sz="1100" b="1" baseline="0">
                <a:solidFill>
                  <a:schemeClr val="tx1">
                    <a:lumMod val="75000"/>
                    <a:lumOff val="25000"/>
                  </a:schemeClr>
                </a:solidFill>
              </a:rPr>
              <a:t>The returns you have on your sales and the money from sales you project that you won't be able to collect. Retail businesses almost always have Returns, whereas wholesale and consulting businesses may have Bad Debt.</a:t>
            </a:r>
          </a:p>
          <a:p>
            <a:endParaRPr lang="en-US" sz="1100" b="1" baseline="0">
              <a:solidFill>
                <a:schemeClr val="tx1">
                  <a:lumMod val="75000"/>
                  <a:lumOff val="25000"/>
                </a:schemeClr>
              </a:solidFill>
            </a:endParaRPr>
          </a:p>
          <a:p>
            <a:r>
              <a:rPr lang="en-US" sz="1100" b="1" baseline="0">
                <a:solidFill>
                  <a:srgbClr val="0000FF"/>
                </a:solidFill>
              </a:rPr>
              <a:t>Net Revenue</a:t>
            </a:r>
          </a:p>
          <a:p>
            <a:r>
              <a:rPr lang="en-US" sz="1100" b="1" baseline="0">
                <a:solidFill>
                  <a:schemeClr val="tx1">
                    <a:lumMod val="75000"/>
                    <a:lumOff val="25000"/>
                  </a:schemeClr>
                </a:solidFill>
              </a:rPr>
              <a:t>This is simply your Revenue minus your Bad Debt / Returns. </a:t>
            </a:r>
          </a:p>
          <a:p>
            <a:endParaRPr lang="en-US" sz="1100" b="1" baseline="0">
              <a:solidFill>
                <a:schemeClr val="tx1">
                  <a:lumMod val="75000"/>
                  <a:lumOff val="25000"/>
                </a:schemeClr>
              </a:solidFill>
            </a:endParaRPr>
          </a:p>
          <a:p>
            <a:r>
              <a:rPr lang="en-US" sz="1100" b="1" baseline="0">
                <a:solidFill>
                  <a:srgbClr val="0000FF"/>
                </a:solidFill>
              </a:rPr>
              <a:t>COGS (Cost of Goods Sold)</a:t>
            </a:r>
          </a:p>
          <a:p>
            <a:r>
              <a:rPr lang="en-US" sz="1100" b="1" baseline="0">
                <a:solidFill>
                  <a:schemeClr val="tx1">
                    <a:lumMod val="75000"/>
                    <a:lumOff val="25000"/>
                  </a:schemeClr>
                </a:solidFill>
              </a:rPr>
              <a:t>These are the costs you incur when making a sale, such as the cost of your product. Or if you have a service business, it could be the cost of your time. Then it would be called "Cost of Sales." This is different from Sales &amp; Marketing Expenses which you pay before making a sale, and don't correspond one-to-one with your sales.</a:t>
            </a:r>
          </a:p>
          <a:p>
            <a:endParaRPr lang="en-US" sz="1100" b="1" baseline="0">
              <a:solidFill>
                <a:schemeClr val="tx1">
                  <a:lumMod val="75000"/>
                  <a:lumOff val="25000"/>
                </a:schemeClr>
              </a:solidFill>
            </a:endParaRPr>
          </a:p>
          <a:p>
            <a:r>
              <a:rPr lang="en-US" sz="1100" b="1" baseline="0">
                <a:solidFill>
                  <a:srgbClr val="0000FF"/>
                </a:solidFill>
              </a:rPr>
              <a:t>Gross Profit</a:t>
            </a:r>
          </a:p>
          <a:p>
            <a:r>
              <a:rPr lang="en-US" sz="1100" b="1" baseline="0">
                <a:solidFill>
                  <a:schemeClr val="tx1">
                    <a:lumMod val="75000"/>
                    <a:lumOff val="25000"/>
                  </a:schemeClr>
                </a:solidFill>
              </a:rPr>
              <a:t>Subtract COGS from your Net Revenue and you have Gross Profit. If your Gross Profit is too low, you won't have enough money to pay for Sales &amp; Marketing and Operating Expenses.</a:t>
            </a:r>
          </a:p>
          <a:p>
            <a:endParaRPr lang="en-US" sz="1100" b="1" baseline="0">
              <a:solidFill>
                <a:schemeClr val="tx1">
                  <a:lumMod val="75000"/>
                  <a:lumOff val="25000"/>
                </a:schemeClr>
              </a:solidFill>
            </a:endParaRPr>
          </a:p>
          <a:p>
            <a:r>
              <a:rPr lang="en-US" sz="1100" b="1" baseline="0">
                <a:solidFill>
                  <a:srgbClr val="0000FF"/>
                </a:solidFill>
                <a:effectLst/>
                <a:latin typeface="+mn-lt"/>
                <a:ea typeface="+mn-ea"/>
                <a:cs typeface="+mn-cs"/>
              </a:rPr>
              <a:t>Gross Margin</a:t>
            </a:r>
            <a:endParaRPr lang="en-US">
              <a:solidFill>
                <a:srgbClr val="0000FF"/>
              </a:solidFill>
              <a:effectLst/>
            </a:endParaRPr>
          </a:p>
          <a:p>
            <a:r>
              <a:rPr lang="en-US" sz="1100" b="1" baseline="0">
                <a:solidFill>
                  <a:schemeClr val="tx1">
                    <a:lumMod val="75000"/>
                    <a:lumOff val="25000"/>
                  </a:schemeClr>
                </a:solidFill>
                <a:effectLst/>
                <a:latin typeface="+mn-lt"/>
                <a:ea typeface="+mn-ea"/>
                <a:cs typeface="+mn-cs"/>
              </a:rPr>
              <a:t>Gross Profit divided by Net Revenue. This expressed as a percentage. One of the most important ratios to determine the viability of your business.</a:t>
            </a:r>
          </a:p>
          <a:p>
            <a:endParaRPr lang="en-US" sz="1100" b="1" baseline="0">
              <a:solidFill>
                <a:schemeClr val="tx1">
                  <a:lumMod val="75000"/>
                  <a:lumOff val="25000"/>
                </a:schemeClr>
              </a:solidFill>
              <a:effectLst/>
              <a:latin typeface="+mn-lt"/>
              <a:ea typeface="+mn-ea"/>
              <a:cs typeface="+mn-cs"/>
            </a:endParaRPr>
          </a:p>
          <a:p>
            <a:r>
              <a:rPr lang="en-US" sz="1100" b="1">
                <a:solidFill>
                  <a:srgbClr val="0000FF"/>
                </a:solidFill>
                <a:effectLst/>
                <a:latin typeface="+mn-lt"/>
                <a:ea typeface="+mn-ea"/>
                <a:cs typeface="+mn-cs"/>
              </a:rPr>
              <a:t>Sales &amp; Marketing</a:t>
            </a:r>
            <a:r>
              <a:rPr lang="en-US" sz="1100" b="1" baseline="0">
                <a:solidFill>
                  <a:srgbClr val="0000FF"/>
                </a:solidFill>
                <a:effectLst/>
                <a:latin typeface="+mn-lt"/>
                <a:ea typeface="+mn-ea"/>
                <a:cs typeface="+mn-cs"/>
              </a:rPr>
              <a:t> Expenses</a:t>
            </a:r>
            <a:endParaRPr lang="en-US">
              <a:solidFill>
                <a:srgbClr val="0000FF"/>
              </a:solidFill>
              <a:effectLst/>
            </a:endParaRPr>
          </a:p>
          <a:p>
            <a:r>
              <a:rPr lang="en-US" sz="1100" b="1">
                <a:solidFill>
                  <a:schemeClr val="tx1">
                    <a:lumMod val="75000"/>
                    <a:lumOff val="25000"/>
                  </a:schemeClr>
                </a:solidFill>
                <a:effectLst/>
                <a:latin typeface="+mn-lt"/>
                <a:ea typeface="+mn-ea"/>
                <a:cs typeface="+mn-cs"/>
              </a:rPr>
              <a:t>Pretty self-explanatory. As the old saying goes:</a:t>
            </a:r>
            <a:r>
              <a:rPr lang="en-US" sz="1100" b="1" baseline="0">
                <a:solidFill>
                  <a:schemeClr val="tx1">
                    <a:lumMod val="75000"/>
                    <a:lumOff val="25000"/>
                  </a:schemeClr>
                </a:solidFill>
                <a:effectLst/>
                <a:latin typeface="+mn-lt"/>
                <a:ea typeface="+mn-ea"/>
                <a:cs typeface="+mn-cs"/>
              </a:rPr>
              <a:t> "I know half of my advertising budget is a waste of money. I just don't know which half."</a:t>
            </a:r>
          </a:p>
          <a:p>
            <a:endParaRPr lang="en-US" sz="1100" b="1" baseline="0">
              <a:solidFill>
                <a:schemeClr val="tx1">
                  <a:lumMod val="75000"/>
                  <a:lumOff val="25000"/>
                </a:schemeClr>
              </a:solidFill>
              <a:effectLst/>
              <a:latin typeface="+mn-lt"/>
              <a:ea typeface="+mn-ea"/>
              <a:cs typeface="+mn-cs"/>
            </a:endParaRPr>
          </a:p>
          <a:p>
            <a:r>
              <a:rPr lang="en-US" sz="1100" b="1" baseline="0">
                <a:solidFill>
                  <a:srgbClr val="0000FF"/>
                </a:solidFill>
                <a:effectLst/>
                <a:latin typeface="+mn-lt"/>
                <a:ea typeface="+mn-ea"/>
                <a:cs typeface="+mn-cs"/>
              </a:rPr>
              <a:t>Operating Expenses</a:t>
            </a:r>
          </a:p>
          <a:p>
            <a:r>
              <a:rPr lang="en-US" sz="1100" b="1" baseline="0">
                <a:solidFill>
                  <a:schemeClr val="tx1">
                    <a:lumMod val="75000"/>
                    <a:lumOff val="25000"/>
                  </a:schemeClr>
                </a:solidFill>
                <a:effectLst/>
                <a:latin typeface="+mn-lt"/>
                <a:ea typeface="+mn-ea"/>
                <a:cs typeface="+mn-cs"/>
              </a:rPr>
              <a:t>Also called "Fixed Expenses." These are expenses you incur whether or not you have sales - such as Salaries, Rent, Insurance, etc. Many startups underestimate how many Operating Expenses they will have, and how much they will be.</a:t>
            </a:r>
          </a:p>
          <a:p>
            <a:endParaRPr lang="en-US" sz="1100" b="1" baseline="0">
              <a:solidFill>
                <a:schemeClr val="tx1">
                  <a:lumMod val="75000"/>
                  <a:lumOff val="25000"/>
                </a:schemeClr>
              </a:solidFill>
              <a:effectLst/>
              <a:latin typeface="+mn-lt"/>
              <a:ea typeface="+mn-ea"/>
              <a:cs typeface="+mn-cs"/>
            </a:endParaRPr>
          </a:p>
          <a:p>
            <a:r>
              <a:rPr lang="en-US" sz="1100" b="1" baseline="0">
                <a:solidFill>
                  <a:srgbClr val="0000FF"/>
                </a:solidFill>
                <a:effectLst/>
                <a:latin typeface="+mn-lt"/>
                <a:ea typeface="+mn-ea"/>
                <a:cs typeface="+mn-cs"/>
              </a:rPr>
              <a:t>EBITDA</a:t>
            </a:r>
          </a:p>
          <a:p>
            <a:r>
              <a:rPr lang="en-US" sz="1100" b="1" baseline="0">
                <a:solidFill>
                  <a:srgbClr val="0000FF"/>
                </a:solidFill>
                <a:effectLst/>
                <a:latin typeface="+mn-lt"/>
                <a:ea typeface="+mn-ea"/>
                <a:cs typeface="+mn-cs"/>
              </a:rPr>
              <a:t>E</a:t>
            </a:r>
            <a:r>
              <a:rPr lang="en-US" sz="1100" b="1" baseline="0">
                <a:solidFill>
                  <a:schemeClr val="tx1">
                    <a:lumMod val="75000"/>
                    <a:lumOff val="25000"/>
                  </a:schemeClr>
                </a:solidFill>
                <a:effectLst/>
                <a:latin typeface="+mn-lt"/>
                <a:ea typeface="+mn-ea"/>
                <a:cs typeface="+mn-cs"/>
              </a:rPr>
              <a:t>arnings </a:t>
            </a:r>
            <a:r>
              <a:rPr lang="en-US" sz="1100" b="1" baseline="0">
                <a:solidFill>
                  <a:srgbClr val="0000FF"/>
                </a:solidFill>
                <a:effectLst/>
                <a:latin typeface="+mn-lt"/>
                <a:ea typeface="+mn-ea"/>
                <a:cs typeface="+mn-cs"/>
              </a:rPr>
              <a:t>B</a:t>
            </a:r>
            <a:r>
              <a:rPr lang="en-US" sz="1100" b="1" baseline="0">
                <a:solidFill>
                  <a:schemeClr val="tx1">
                    <a:lumMod val="75000"/>
                    <a:lumOff val="25000"/>
                  </a:schemeClr>
                </a:solidFill>
                <a:effectLst/>
                <a:latin typeface="+mn-lt"/>
                <a:ea typeface="+mn-ea"/>
                <a:cs typeface="+mn-cs"/>
              </a:rPr>
              <a:t>efore </a:t>
            </a:r>
            <a:r>
              <a:rPr lang="en-US" sz="1100" b="1" baseline="0">
                <a:solidFill>
                  <a:srgbClr val="0000FF"/>
                </a:solidFill>
                <a:effectLst/>
                <a:latin typeface="+mn-lt"/>
                <a:ea typeface="+mn-ea"/>
                <a:cs typeface="+mn-cs"/>
              </a:rPr>
              <a:t>I</a:t>
            </a:r>
            <a:r>
              <a:rPr lang="en-US" sz="1100" b="1" baseline="0">
                <a:solidFill>
                  <a:schemeClr val="tx1">
                    <a:lumMod val="75000"/>
                    <a:lumOff val="25000"/>
                  </a:schemeClr>
                </a:solidFill>
                <a:effectLst/>
                <a:latin typeface="+mn-lt"/>
                <a:ea typeface="+mn-ea"/>
                <a:cs typeface="+mn-cs"/>
              </a:rPr>
              <a:t>nterest, </a:t>
            </a:r>
            <a:r>
              <a:rPr lang="en-US" sz="1100" b="1" baseline="0">
                <a:solidFill>
                  <a:srgbClr val="0000FF"/>
                </a:solidFill>
                <a:effectLst/>
                <a:latin typeface="+mn-lt"/>
                <a:ea typeface="+mn-ea"/>
                <a:cs typeface="+mn-cs"/>
              </a:rPr>
              <a:t>T</a:t>
            </a:r>
            <a:r>
              <a:rPr lang="en-US" sz="1100" b="1" baseline="0">
                <a:solidFill>
                  <a:schemeClr val="tx1">
                    <a:lumMod val="75000"/>
                    <a:lumOff val="25000"/>
                  </a:schemeClr>
                </a:solidFill>
                <a:effectLst/>
                <a:latin typeface="+mn-lt"/>
                <a:ea typeface="+mn-ea"/>
                <a:cs typeface="+mn-cs"/>
              </a:rPr>
              <a:t>axes, </a:t>
            </a:r>
            <a:r>
              <a:rPr lang="en-US" sz="1100" b="1" baseline="0">
                <a:solidFill>
                  <a:srgbClr val="0000FF"/>
                </a:solidFill>
                <a:effectLst/>
                <a:latin typeface="+mn-lt"/>
                <a:ea typeface="+mn-ea"/>
                <a:cs typeface="+mn-cs"/>
              </a:rPr>
              <a:t>D</a:t>
            </a:r>
            <a:r>
              <a:rPr lang="en-US" sz="1100" b="1" baseline="0">
                <a:solidFill>
                  <a:schemeClr val="tx1">
                    <a:lumMod val="75000"/>
                    <a:lumOff val="25000"/>
                  </a:schemeClr>
                </a:solidFill>
                <a:effectLst/>
                <a:latin typeface="+mn-lt"/>
                <a:ea typeface="+mn-ea"/>
                <a:cs typeface="+mn-cs"/>
              </a:rPr>
              <a:t>epreciation, and </a:t>
            </a:r>
            <a:r>
              <a:rPr lang="en-US" sz="1100" b="1" baseline="0">
                <a:solidFill>
                  <a:srgbClr val="0000FF"/>
                </a:solidFill>
                <a:effectLst/>
                <a:latin typeface="+mn-lt"/>
                <a:ea typeface="+mn-ea"/>
                <a:cs typeface="+mn-cs"/>
              </a:rPr>
              <a:t>A</a:t>
            </a:r>
            <a:r>
              <a:rPr lang="en-US" sz="1100" b="1" baseline="0">
                <a:solidFill>
                  <a:schemeClr val="tx1">
                    <a:lumMod val="75000"/>
                    <a:lumOff val="25000"/>
                  </a:schemeClr>
                </a:solidFill>
                <a:effectLst/>
                <a:latin typeface="+mn-lt"/>
                <a:ea typeface="+mn-ea"/>
                <a:cs typeface="+mn-cs"/>
              </a:rPr>
              <a:t>mortization</a:t>
            </a:r>
          </a:p>
          <a:p>
            <a:r>
              <a:rPr lang="en-US" sz="1100" b="1" baseline="0">
                <a:solidFill>
                  <a:schemeClr val="tx1">
                    <a:lumMod val="75000"/>
                    <a:lumOff val="25000"/>
                  </a:schemeClr>
                </a:solidFill>
                <a:effectLst/>
                <a:latin typeface="+mn-lt"/>
                <a:ea typeface="+mn-ea"/>
                <a:cs typeface="+mn-cs"/>
              </a:rPr>
              <a:t>Also known as Operating Income. EBITDA is Gross Profit minus Sales &amp; Marketing Expenses minus Operating Expenses.</a:t>
            </a:r>
          </a:p>
          <a:p>
            <a:endParaRPr lang="en-US" sz="1100" b="1" baseline="0">
              <a:solidFill>
                <a:schemeClr val="tx1">
                  <a:lumMod val="75000"/>
                  <a:lumOff val="25000"/>
                </a:schemeClr>
              </a:solidFill>
              <a:effectLst/>
              <a:latin typeface="+mn-lt"/>
              <a:ea typeface="+mn-ea"/>
              <a:cs typeface="+mn-cs"/>
            </a:endParaRPr>
          </a:p>
          <a:p>
            <a:r>
              <a:rPr lang="en-US" sz="1100" b="1" baseline="0">
                <a:solidFill>
                  <a:srgbClr val="0000FF"/>
                </a:solidFill>
                <a:effectLst/>
                <a:latin typeface="+mn-lt"/>
                <a:ea typeface="+mn-ea"/>
                <a:cs typeface="+mn-cs"/>
              </a:rPr>
              <a:t>Interest Expense</a:t>
            </a:r>
          </a:p>
          <a:p>
            <a:r>
              <a:rPr lang="en-US" sz="1100" b="1" baseline="0">
                <a:solidFill>
                  <a:schemeClr val="tx1">
                    <a:lumMod val="75000"/>
                    <a:lumOff val="25000"/>
                  </a:schemeClr>
                </a:solidFill>
                <a:effectLst/>
                <a:latin typeface="+mn-lt"/>
                <a:ea typeface="+mn-ea"/>
                <a:cs typeface="+mn-cs"/>
              </a:rPr>
              <a:t>This is the interest on any loans you have. Here at EZ Numbers, we're often asked by loan payments as a whole don't appear on the P&amp;L. Think back to the Lemonade Stand. That $15 loan from Mom wasn't part of Sales. Loans coming in or going out don't go on the P&amp;L. But the amount you pay in interest does go on the P&amp;L, because it's viewed as essentially the cost of business of getting the loan.</a:t>
            </a:r>
          </a:p>
          <a:p>
            <a:endParaRPr lang="en-US" sz="1100" b="1" baseline="0">
              <a:solidFill>
                <a:schemeClr val="tx1">
                  <a:lumMod val="75000"/>
                  <a:lumOff val="25000"/>
                </a:schemeClr>
              </a:solidFill>
              <a:effectLst/>
              <a:latin typeface="+mn-lt"/>
              <a:ea typeface="+mn-ea"/>
              <a:cs typeface="+mn-cs"/>
            </a:endParaRPr>
          </a:p>
          <a:p>
            <a:r>
              <a:rPr lang="en-US" sz="1100" b="1" baseline="0">
                <a:solidFill>
                  <a:srgbClr val="0000FF"/>
                </a:solidFill>
                <a:effectLst/>
                <a:latin typeface="+mn-lt"/>
                <a:ea typeface="+mn-ea"/>
                <a:cs typeface="+mn-cs"/>
              </a:rPr>
              <a:t>Taxes</a:t>
            </a:r>
          </a:p>
          <a:p>
            <a:r>
              <a:rPr lang="en-US" sz="1100" b="1" baseline="0">
                <a:solidFill>
                  <a:schemeClr val="tx1">
                    <a:lumMod val="75000"/>
                    <a:lumOff val="25000"/>
                  </a:schemeClr>
                </a:solidFill>
                <a:effectLst/>
                <a:latin typeface="+mn-lt"/>
                <a:ea typeface="+mn-ea"/>
                <a:cs typeface="+mn-cs"/>
              </a:rPr>
              <a:t>If your company is a C Corp, taxes will appear here, as a flat 21% of your Taxable Income, which is EBITDA minus Interest Expense, Depreciation, and Amortization. If you have a loss in early periods, or in your Historicals, it will offset future Taxable Income. So you may not see Taxes appear in the first year in which you have positive Net Income.</a:t>
            </a:r>
          </a:p>
          <a:p>
            <a:endParaRPr lang="en-US" sz="1100" b="1" baseline="0">
              <a:solidFill>
                <a:schemeClr val="tx1">
                  <a:lumMod val="75000"/>
                  <a:lumOff val="25000"/>
                </a:schemeClr>
              </a:solidFill>
              <a:effectLst/>
              <a:latin typeface="+mn-lt"/>
              <a:ea typeface="+mn-ea"/>
              <a:cs typeface="+mn-cs"/>
            </a:endParaRPr>
          </a:p>
          <a:p>
            <a:r>
              <a:rPr lang="en-US" sz="1100" b="1" baseline="0">
                <a:solidFill>
                  <a:srgbClr val="0000FF"/>
                </a:solidFill>
                <a:effectLst/>
                <a:latin typeface="+mn-lt"/>
                <a:ea typeface="+mn-ea"/>
                <a:cs typeface="+mn-cs"/>
              </a:rPr>
              <a:t>Depreciation</a:t>
            </a:r>
          </a:p>
          <a:p>
            <a:r>
              <a:rPr lang="en-US" sz="1100" b="1" baseline="0">
                <a:solidFill>
                  <a:schemeClr val="tx1">
                    <a:lumMod val="75000"/>
                    <a:lumOff val="25000"/>
                  </a:schemeClr>
                </a:solidFill>
                <a:effectLst/>
                <a:latin typeface="+mn-lt"/>
                <a:ea typeface="+mn-ea"/>
                <a:cs typeface="+mn-cs"/>
              </a:rPr>
              <a:t>Let's say you buy a fancy Italian lemon press. It costs $5,000, and you expect that it will last for five years. If you put the whole $5,000 cost on the P&amp;L in that month and year, it will distort your profitability, by decreasing your profit in that first year. So since you use this equipment or other Tangible Asset  for five years, we "Capitalize" it and only put one fifth of the cost on the P&amp;L in each year. This doesn't affect Cash, though, since you still spent the whole $5,000. We'll see this on Cash Flow. </a:t>
            </a:r>
          </a:p>
          <a:p>
            <a:endParaRPr lang="en-US" sz="1100" b="1" baseline="0">
              <a:solidFill>
                <a:schemeClr val="tx1">
                  <a:lumMod val="75000"/>
                  <a:lumOff val="25000"/>
                </a:schemeClr>
              </a:solidFill>
              <a:effectLst/>
              <a:latin typeface="+mn-lt"/>
              <a:ea typeface="+mn-ea"/>
              <a:cs typeface="+mn-cs"/>
            </a:endParaRPr>
          </a:p>
          <a:p>
            <a:r>
              <a:rPr lang="en-US" sz="1100" b="1" baseline="0">
                <a:solidFill>
                  <a:srgbClr val="0000FF"/>
                </a:solidFill>
                <a:effectLst/>
                <a:latin typeface="+mn-lt"/>
                <a:ea typeface="+mn-ea"/>
                <a:cs typeface="+mn-cs"/>
              </a:rPr>
              <a:t>Amortization</a:t>
            </a:r>
          </a:p>
          <a:p>
            <a:r>
              <a:rPr lang="en-US" sz="1100" b="1" baseline="0">
                <a:solidFill>
                  <a:schemeClr val="tx1">
                    <a:lumMod val="75000"/>
                    <a:lumOff val="25000"/>
                  </a:schemeClr>
                </a:solidFill>
                <a:effectLst/>
                <a:latin typeface="+mn-lt"/>
                <a:ea typeface="+mn-ea"/>
                <a:cs typeface="+mn-cs"/>
              </a:rPr>
              <a:t>Similar to Depreciation, Amortization is for Intangible assets like Patents, Trademarks, etc.</a:t>
            </a:r>
            <a:endParaRPr lang="en-US" sz="1100" b="1" baseline="0"/>
          </a:p>
          <a:p>
            <a:endParaRPr lang="en-US" sz="1100" b="1" baseline="0"/>
          </a:p>
          <a:p>
            <a:r>
              <a:rPr lang="en-US" sz="1100" b="1" baseline="0">
                <a:solidFill>
                  <a:srgbClr val="0000FF"/>
                </a:solidFill>
              </a:rPr>
              <a:t>Net Income / (Loss)</a:t>
            </a:r>
          </a:p>
          <a:p>
            <a:r>
              <a:rPr lang="en-US" sz="1100" b="1" baseline="0">
                <a:solidFill>
                  <a:schemeClr val="tx1">
                    <a:lumMod val="75000"/>
                    <a:lumOff val="25000"/>
                  </a:schemeClr>
                </a:solidFill>
              </a:rPr>
              <a:t>Subtract ITDA - Interest, Taxes, Depreciation, and Amortization from EBITDA and you wind up with Net Income, or Net Loss it's negative. Also known as Profit, or Earnings. This is the "bottom line."</a:t>
            </a:r>
          </a:p>
          <a:p>
            <a:endParaRPr lang="en-US" sz="1100" b="1" baseline="0">
              <a:solidFill>
                <a:schemeClr val="tx1">
                  <a:lumMod val="75000"/>
                  <a:lumOff val="25000"/>
                </a:schemeClr>
              </a:solidFill>
            </a:endParaRPr>
          </a:p>
          <a:p>
            <a:r>
              <a:rPr lang="en-US" sz="1100" b="1" baseline="0">
                <a:solidFill>
                  <a:schemeClr val="tx1">
                    <a:lumMod val="75000"/>
                    <a:lumOff val="25000"/>
                  </a:schemeClr>
                </a:solidFill>
              </a:rPr>
              <a:t>As we talked about in Accounting 101, remember - Profit is not Cash! The Net Income on your P&amp;L is warm and fuzzy theoretical number, but it's only on paper. To see what our actual cash amount is, we need the Cash Flow.</a:t>
            </a:r>
          </a:p>
          <a:p>
            <a:endParaRPr lang="en-US" sz="1100" b="1" baseline="0">
              <a:solidFill>
                <a:schemeClr val="tx1">
                  <a:lumMod val="75000"/>
                  <a:lumOff val="25000"/>
                </a:schemeClr>
              </a:solidFill>
            </a:endParaRPr>
          </a:p>
          <a:p>
            <a:r>
              <a:rPr lang="en-US" sz="1100" b="1" baseline="0">
                <a:solidFill>
                  <a:schemeClr val="tx1">
                    <a:lumMod val="75000"/>
                    <a:lumOff val="25000"/>
                  </a:schemeClr>
                </a:solidFill>
              </a:rPr>
              <a:t>Now let's look at a sample P&amp;L created with EZ Numbers:</a:t>
            </a:r>
          </a:p>
          <a:p>
            <a:endParaRPr lang="en-US" sz="1100" b="1" baseline="0">
              <a:solidFill>
                <a:schemeClr val="tx1">
                  <a:lumMod val="75000"/>
                  <a:lumOff val="25000"/>
                </a:schemeClr>
              </a:solidFill>
            </a:endParaRPr>
          </a:p>
          <a:p>
            <a:endParaRPr lang="en-US" sz="1100" b="1" baseline="0"/>
          </a:p>
          <a:p>
            <a:endParaRPr lang="en-US" sz="1100" b="1" baseline="0"/>
          </a:p>
          <a:p>
            <a:endParaRPr lang="en-US" sz="1100" b="1" baseline="0"/>
          </a:p>
          <a:p>
            <a:endParaRPr lang="en-US" sz="1100" b="1" baseline="0"/>
          </a:p>
          <a:p>
            <a:endParaRPr lang="en-US" sz="1100" b="1" baseline="0"/>
          </a:p>
          <a:p>
            <a:endParaRPr lang="en-US" sz="1100" b="1" baseline="0"/>
          </a:p>
          <a:p>
            <a:endParaRPr lang="en-US" sz="1100" b="1" baseline="0"/>
          </a:p>
          <a:p>
            <a:endParaRPr lang="en-US" sz="1100" b="1" baseline="0"/>
          </a:p>
          <a:p>
            <a:endParaRPr lang="en-US" sz="1100" b="1" baseline="0"/>
          </a:p>
          <a:p>
            <a:endParaRPr lang="en-US" sz="1100" b="1" baseline="0"/>
          </a:p>
          <a:p>
            <a:endParaRPr lang="en-US" sz="1100" b="0" baseline="0"/>
          </a:p>
          <a:p>
            <a:endParaRPr lang="en-US" sz="1100" b="0"/>
          </a:p>
        </xdr:txBody>
      </xdr:sp>
      <xdr:grpSp>
        <xdr:nvGrpSpPr>
          <xdr:cNvPr id="120" name="Group 119">
            <a:extLst>
              <a:ext uri="{FF2B5EF4-FFF2-40B4-BE49-F238E27FC236}">
                <a16:creationId xmlns:a16="http://schemas.microsoft.com/office/drawing/2014/main" id="{00000000-0008-0000-0000-000078000000}"/>
              </a:ext>
            </a:extLst>
          </xdr:cNvPr>
          <xdr:cNvGrpSpPr/>
        </xdr:nvGrpSpPr>
        <xdr:grpSpPr>
          <a:xfrm>
            <a:off x="3176587" y="64960500"/>
            <a:ext cx="4572000" cy="2990850"/>
            <a:chOff x="3214687" y="65141475"/>
            <a:chExt cx="4572000" cy="2990850"/>
          </a:xfrm>
        </xdr:grpSpPr>
        <mc:AlternateContent xmlns:mc="http://schemas.openxmlformats.org/markup-compatibility/2006">
          <mc:Choice xmlns:cx2="http://schemas.microsoft.com/office/drawing/2015/10/21/chartex" Requires="cx2">
            <xdr:graphicFrame macro="">
              <xdr:nvGraphicFramePr>
                <xdr:cNvPr id="162" name="Chart 161">
                  <a:extLst>
                    <a:ext uri="{FF2B5EF4-FFF2-40B4-BE49-F238E27FC236}">
                      <a16:creationId xmlns:a16="http://schemas.microsoft.com/office/drawing/2014/main" id="{00000000-0008-0000-0000-0000A2000000}"/>
                    </a:ext>
                  </a:extLst>
                </xdr:cNvPr>
                <xdr:cNvGraphicFramePr/>
              </xdr:nvGraphicFramePr>
              <xdr:xfrm>
                <a:off x="3214687" y="65389125"/>
                <a:ext cx="4572000" cy="2743200"/>
              </xdr:xfrm>
              <a:graphic>
                <a:graphicData uri="http://schemas.microsoft.com/office/drawing/2014/chartex">
                  <cx:chart xmlns:cx="http://schemas.microsoft.com/office/drawing/2014/chartex" xmlns:r="http://schemas.openxmlformats.org/officeDocument/2006/relationships" r:id="rId25"/>
                </a:graphicData>
              </a:graphic>
            </xdr:graphicFrame>
          </mc:Choice>
          <mc:Fallback>
            <xdr:sp macro="" textlink="">
              <xdr:nvSpPr>
                <xdr:cNvPr id="0" name=""/>
                <xdr:cNvSpPr>
                  <a:spLocks noTextEdit="1"/>
                </xdr:cNvSpPr>
              </xdr:nvSpPr>
              <xdr:spPr>
                <a:xfrm>
                  <a:off x="3214687" y="65389125"/>
                  <a:ext cx="4572000" cy="2743200"/>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sp macro="" textlink="">
          <xdr:nvSpPr>
            <xdr:cNvPr id="163" name="TextBox 162">
              <a:extLst>
                <a:ext uri="{FF2B5EF4-FFF2-40B4-BE49-F238E27FC236}">
                  <a16:creationId xmlns:a16="http://schemas.microsoft.com/office/drawing/2014/main" id="{00000000-0008-0000-0000-0000A3000000}"/>
                </a:ext>
              </a:extLst>
            </xdr:cNvPr>
            <xdr:cNvSpPr txBox="1"/>
          </xdr:nvSpPr>
          <xdr:spPr>
            <a:xfrm>
              <a:off x="5267325" y="65141475"/>
              <a:ext cx="1270412"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800" b="1">
                  <a:solidFill>
                    <a:schemeClr val="tx1">
                      <a:lumMod val="75000"/>
                      <a:lumOff val="25000"/>
                    </a:schemeClr>
                  </a:solidFill>
                </a:rPr>
                <a:t>P&amp;L Funnel</a:t>
              </a:r>
            </a:p>
          </xdr:txBody>
        </xdr:sp>
      </xdr:grpSp>
      <xdr:grpSp>
        <xdr:nvGrpSpPr>
          <xdr:cNvPr id="121" name="Group 120">
            <a:extLst>
              <a:ext uri="{FF2B5EF4-FFF2-40B4-BE49-F238E27FC236}">
                <a16:creationId xmlns:a16="http://schemas.microsoft.com/office/drawing/2014/main" id="{00000000-0008-0000-0000-000079000000}"/>
              </a:ext>
            </a:extLst>
          </xdr:cNvPr>
          <xdr:cNvGrpSpPr/>
        </xdr:nvGrpSpPr>
        <xdr:grpSpPr>
          <a:xfrm>
            <a:off x="1504950" y="79895700"/>
            <a:ext cx="10687048" cy="8296567"/>
            <a:chOff x="1504950" y="79771875"/>
            <a:chExt cx="10687048" cy="8296567"/>
          </a:xfrm>
        </xdr:grpSpPr>
        <xdr:grpSp>
          <xdr:nvGrpSpPr>
            <xdr:cNvPr id="122" name="Group 121">
              <a:extLst>
                <a:ext uri="{FF2B5EF4-FFF2-40B4-BE49-F238E27FC236}">
                  <a16:creationId xmlns:a16="http://schemas.microsoft.com/office/drawing/2014/main" id="{00000000-0008-0000-0000-00007A000000}"/>
                </a:ext>
              </a:extLst>
            </xdr:cNvPr>
            <xdr:cNvGrpSpPr/>
          </xdr:nvGrpSpPr>
          <xdr:grpSpPr>
            <a:xfrm>
              <a:off x="1504950" y="79886175"/>
              <a:ext cx="10687048" cy="8182267"/>
              <a:chOff x="1504950" y="79667100"/>
              <a:chExt cx="10687048" cy="8182267"/>
            </a:xfrm>
          </xdr:grpSpPr>
          <xdr:grpSp>
            <xdr:nvGrpSpPr>
              <xdr:cNvPr id="125" name="Group 124">
                <a:extLst>
                  <a:ext uri="{FF2B5EF4-FFF2-40B4-BE49-F238E27FC236}">
                    <a16:creationId xmlns:a16="http://schemas.microsoft.com/office/drawing/2014/main" id="{00000000-0008-0000-0000-00007D000000}"/>
                  </a:ext>
                </a:extLst>
              </xdr:cNvPr>
              <xdr:cNvGrpSpPr/>
            </xdr:nvGrpSpPr>
            <xdr:grpSpPr>
              <a:xfrm>
                <a:off x="1504950" y="80019525"/>
                <a:ext cx="10687048" cy="7829842"/>
                <a:chOff x="4543425" y="69923025"/>
                <a:chExt cx="10687048" cy="7829842"/>
              </a:xfrm>
            </xdr:grpSpPr>
            <xdr:grpSp>
              <xdr:nvGrpSpPr>
                <xdr:cNvPr id="127" name="Group 126">
                  <a:extLst>
                    <a:ext uri="{FF2B5EF4-FFF2-40B4-BE49-F238E27FC236}">
                      <a16:creationId xmlns:a16="http://schemas.microsoft.com/office/drawing/2014/main" id="{00000000-0008-0000-0000-00007F000000}"/>
                    </a:ext>
                  </a:extLst>
                </xdr:cNvPr>
                <xdr:cNvGrpSpPr/>
              </xdr:nvGrpSpPr>
              <xdr:grpSpPr>
                <a:xfrm>
                  <a:off x="4543425" y="69923025"/>
                  <a:ext cx="10687048" cy="7829842"/>
                  <a:chOff x="4543425" y="69923025"/>
                  <a:chExt cx="10687048" cy="7829842"/>
                </a:xfrm>
              </xdr:grpSpPr>
              <xdr:pic>
                <xdr:nvPicPr>
                  <xdr:cNvPr id="129" name="Picture 128">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26"/>
                  <a:stretch>
                    <a:fillRect/>
                  </a:stretch>
                </xdr:blipFill>
                <xdr:spPr>
                  <a:xfrm>
                    <a:off x="4543425" y="69942075"/>
                    <a:ext cx="2676190" cy="7438095"/>
                  </a:xfrm>
                  <a:prstGeom prst="rect">
                    <a:avLst/>
                  </a:prstGeom>
                </xdr:spPr>
              </xdr:pic>
              <xdr:grpSp>
                <xdr:nvGrpSpPr>
                  <xdr:cNvPr id="130" name="Group 129">
                    <a:extLst>
                      <a:ext uri="{FF2B5EF4-FFF2-40B4-BE49-F238E27FC236}">
                        <a16:creationId xmlns:a16="http://schemas.microsoft.com/office/drawing/2014/main" id="{00000000-0008-0000-0000-000082000000}"/>
                      </a:ext>
                    </a:extLst>
                  </xdr:cNvPr>
                  <xdr:cNvGrpSpPr/>
                </xdr:nvGrpSpPr>
                <xdr:grpSpPr>
                  <a:xfrm>
                    <a:off x="8356730" y="69923025"/>
                    <a:ext cx="6873743" cy="7829842"/>
                    <a:chOff x="8356730" y="69923025"/>
                    <a:chExt cx="6873743" cy="7829842"/>
                  </a:xfrm>
                </xdr:grpSpPr>
                <xdr:sp macro="" textlink="">
                  <xdr:nvSpPr>
                    <xdr:cNvPr id="147" name="TextBox 146">
                      <a:extLst>
                        <a:ext uri="{FF2B5EF4-FFF2-40B4-BE49-F238E27FC236}">
                          <a16:creationId xmlns:a16="http://schemas.microsoft.com/office/drawing/2014/main" id="{00000000-0008-0000-0000-000093000000}"/>
                        </a:ext>
                      </a:extLst>
                    </xdr:cNvPr>
                    <xdr:cNvSpPr txBox="1"/>
                  </xdr:nvSpPr>
                  <xdr:spPr>
                    <a:xfrm>
                      <a:off x="8356730" y="73383601"/>
                      <a:ext cx="6111741" cy="10838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rPr>
                        <a:t>Sales &amp; Marketing</a:t>
                      </a:r>
                      <a:r>
                        <a:rPr lang="en-US" sz="1100" b="1" baseline="0">
                          <a:solidFill>
                            <a:srgbClr val="0000FF"/>
                          </a:solidFill>
                        </a:rPr>
                        <a:t> Expenses</a:t>
                      </a:r>
                    </a:p>
                    <a:p>
                      <a:r>
                        <a:rPr lang="en-US" sz="1100" b="1">
                          <a:solidFill>
                            <a:schemeClr val="tx1">
                              <a:lumMod val="75000"/>
                              <a:lumOff val="25000"/>
                            </a:schemeClr>
                          </a:solidFill>
                        </a:rPr>
                        <a:t>These come</a:t>
                      </a:r>
                      <a:r>
                        <a:rPr lang="en-US" sz="1100" b="1" baseline="0">
                          <a:solidFill>
                            <a:schemeClr val="tx1">
                              <a:lumMod val="75000"/>
                              <a:lumOff val="25000"/>
                            </a:schemeClr>
                          </a:solidFill>
                        </a:rPr>
                        <a:t> from Expenses. Unlike COGS, Sales &amp; Marketing Expenses are costs you incur before generating a sale, whether a sale is made or not.</a:t>
                      </a:r>
                      <a:endParaRPr lang="en-US" sz="1100" b="1">
                        <a:solidFill>
                          <a:schemeClr val="tx1">
                            <a:lumMod val="75000"/>
                            <a:lumOff val="25000"/>
                          </a:schemeClr>
                        </a:solidFill>
                      </a:endParaRPr>
                    </a:p>
                  </xdr:txBody>
                </xdr:sp>
                <xdr:sp macro="" textlink="">
                  <xdr:nvSpPr>
                    <xdr:cNvPr id="148" name="TextBox 147">
                      <a:extLst>
                        <a:ext uri="{FF2B5EF4-FFF2-40B4-BE49-F238E27FC236}">
                          <a16:creationId xmlns:a16="http://schemas.microsoft.com/office/drawing/2014/main" id="{00000000-0008-0000-0000-000094000000}"/>
                        </a:ext>
                      </a:extLst>
                    </xdr:cNvPr>
                    <xdr:cNvSpPr txBox="1"/>
                  </xdr:nvSpPr>
                  <xdr:spPr>
                    <a:xfrm>
                      <a:off x="8356730" y="74567473"/>
                      <a:ext cx="4189492" cy="4657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rPr>
                        <a:t>Operating </a:t>
                      </a:r>
                      <a:r>
                        <a:rPr lang="en-US" sz="1100" b="1" baseline="0">
                          <a:solidFill>
                            <a:srgbClr val="0000FF"/>
                          </a:solidFill>
                        </a:rPr>
                        <a:t>Expenses</a:t>
                      </a:r>
                    </a:p>
                    <a:p>
                      <a:r>
                        <a:rPr lang="en-US" sz="1100" b="1">
                          <a:solidFill>
                            <a:schemeClr val="tx1">
                              <a:lumMod val="75000"/>
                              <a:lumOff val="25000"/>
                            </a:schemeClr>
                          </a:solidFill>
                        </a:rPr>
                        <a:t>These are general expenses like</a:t>
                      </a:r>
                      <a:r>
                        <a:rPr lang="en-US" sz="1100" b="1" baseline="0">
                          <a:solidFill>
                            <a:schemeClr val="tx1">
                              <a:lumMod val="75000"/>
                              <a:lumOff val="25000"/>
                            </a:schemeClr>
                          </a:solidFill>
                        </a:rPr>
                        <a:t> Rent, Insurance, Accounting, etc. </a:t>
                      </a:r>
                      <a:endParaRPr lang="en-US" sz="1100" b="1">
                        <a:solidFill>
                          <a:schemeClr val="tx1">
                            <a:lumMod val="75000"/>
                            <a:lumOff val="25000"/>
                          </a:schemeClr>
                        </a:solidFill>
                      </a:endParaRPr>
                    </a:p>
                  </xdr:txBody>
                </xdr:sp>
                <xdr:sp macro="" textlink="">
                  <xdr:nvSpPr>
                    <xdr:cNvPr id="149" name="TextBox 148">
                      <a:extLst>
                        <a:ext uri="{FF2B5EF4-FFF2-40B4-BE49-F238E27FC236}">
                          <a16:creationId xmlns:a16="http://schemas.microsoft.com/office/drawing/2014/main" id="{00000000-0008-0000-0000-000095000000}"/>
                        </a:ext>
                      </a:extLst>
                    </xdr:cNvPr>
                    <xdr:cNvSpPr txBox="1"/>
                  </xdr:nvSpPr>
                  <xdr:spPr>
                    <a:xfrm>
                      <a:off x="8356730" y="75416127"/>
                      <a:ext cx="5259495" cy="6359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rPr>
                        <a:t>EBITDA (Earnings Before Interest, Taxes, Depreciation, and Amortization)</a:t>
                      </a:r>
                    </a:p>
                    <a:p>
                      <a:r>
                        <a:rPr lang="en-US" sz="1100" b="1" baseline="0">
                          <a:solidFill>
                            <a:srgbClr val="0000FF"/>
                          </a:solidFill>
                        </a:rPr>
                        <a:t>EBITDA = Gross Profit - Sales &amp; Marketing Expenses - Operating Expenses</a:t>
                      </a:r>
                    </a:p>
                    <a:p>
                      <a:r>
                        <a:rPr lang="en-US" sz="1100" b="1">
                          <a:solidFill>
                            <a:schemeClr val="tx1">
                              <a:lumMod val="75000"/>
                              <a:lumOff val="25000"/>
                            </a:schemeClr>
                          </a:solidFill>
                        </a:rPr>
                        <a:t>Also known</a:t>
                      </a:r>
                      <a:r>
                        <a:rPr lang="en-US" sz="1100" b="1" baseline="0">
                          <a:solidFill>
                            <a:schemeClr val="tx1">
                              <a:lumMod val="75000"/>
                              <a:lumOff val="25000"/>
                            </a:schemeClr>
                          </a:solidFill>
                        </a:rPr>
                        <a:t> as "Operating Income."</a:t>
                      </a:r>
                      <a:endParaRPr lang="en-US" sz="1100" b="1">
                        <a:solidFill>
                          <a:schemeClr val="tx1">
                            <a:lumMod val="75000"/>
                            <a:lumOff val="25000"/>
                          </a:schemeClr>
                        </a:solidFill>
                      </a:endParaRPr>
                    </a:p>
                  </xdr:txBody>
                </xdr:sp>
                <xdr:sp macro="" textlink="">
                  <xdr:nvSpPr>
                    <xdr:cNvPr id="150" name="TextBox 149">
                      <a:extLst>
                        <a:ext uri="{FF2B5EF4-FFF2-40B4-BE49-F238E27FC236}">
                          <a16:creationId xmlns:a16="http://schemas.microsoft.com/office/drawing/2014/main" id="{00000000-0008-0000-0000-000096000000}"/>
                        </a:ext>
                      </a:extLst>
                    </xdr:cNvPr>
                    <xdr:cNvSpPr txBox="1"/>
                  </xdr:nvSpPr>
                  <xdr:spPr>
                    <a:xfrm>
                      <a:off x="8356730" y="76182423"/>
                      <a:ext cx="6084483" cy="265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chemeClr val="tx1">
                              <a:lumMod val="75000"/>
                              <a:lumOff val="25000"/>
                            </a:schemeClr>
                          </a:solidFill>
                          <a:effectLst/>
                          <a:latin typeface="+mn-lt"/>
                          <a:ea typeface="+mn-ea"/>
                          <a:cs typeface="+mn-cs"/>
                        </a:rPr>
                        <a:t>The</a:t>
                      </a:r>
                      <a:r>
                        <a:rPr lang="en-US" sz="1100" b="1" baseline="0">
                          <a:solidFill>
                            <a:schemeClr val="tx1">
                              <a:lumMod val="75000"/>
                              <a:lumOff val="25000"/>
                            </a:schemeClr>
                          </a:solidFill>
                          <a:effectLst/>
                          <a:latin typeface="+mn-lt"/>
                          <a:ea typeface="+mn-ea"/>
                          <a:cs typeface="+mn-cs"/>
                        </a:rPr>
                        <a:t> Interest portion of loan payments you make. Note, only the interest portion goes on the P&amp;L. </a:t>
                      </a:r>
                      <a:endParaRPr lang="en-US" sz="1100" b="1" baseline="0">
                        <a:solidFill>
                          <a:schemeClr val="tx1">
                            <a:lumMod val="75000"/>
                            <a:lumOff val="25000"/>
                          </a:schemeClr>
                        </a:solidFill>
                      </a:endParaRPr>
                    </a:p>
                  </xdr:txBody>
                </xdr:sp>
                <xdr:sp macro="" textlink="">
                  <xdr:nvSpPr>
                    <xdr:cNvPr id="151" name="TextBox 150">
                      <a:extLst>
                        <a:ext uri="{FF2B5EF4-FFF2-40B4-BE49-F238E27FC236}">
                          <a16:creationId xmlns:a16="http://schemas.microsoft.com/office/drawing/2014/main" id="{00000000-0008-0000-0000-000097000000}"/>
                        </a:ext>
                      </a:extLst>
                    </xdr:cNvPr>
                    <xdr:cNvSpPr txBox="1"/>
                  </xdr:nvSpPr>
                  <xdr:spPr>
                    <a:xfrm>
                      <a:off x="8356730" y="76376279"/>
                      <a:ext cx="5930767" cy="242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baseline="0">
                          <a:solidFill>
                            <a:schemeClr val="tx1">
                              <a:lumMod val="75000"/>
                              <a:lumOff val="25000"/>
                            </a:schemeClr>
                          </a:solidFill>
                          <a:effectLst/>
                          <a:latin typeface="+mn-lt"/>
                          <a:ea typeface="+mn-ea"/>
                          <a:cs typeface="+mn-cs"/>
                        </a:rPr>
                        <a:t>The current 21% flate rate if your company is a C Corp. Note, you may pay state taxes as well.</a:t>
                      </a:r>
                      <a:endParaRPr lang="en-US" sz="1100" b="1" baseline="0">
                        <a:solidFill>
                          <a:schemeClr val="tx1">
                            <a:lumMod val="75000"/>
                            <a:lumOff val="25000"/>
                          </a:schemeClr>
                        </a:solidFill>
                      </a:endParaRPr>
                    </a:p>
                  </xdr:txBody>
                </xdr:sp>
                <xdr:sp macro="" textlink="">
                  <xdr:nvSpPr>
                    <xdr:cNvPr id="152" name="TextBox 151">
                      <a:extLst>
                        <a:ext uri="{FF2B5EF4-FFF2-40B4-BE49-F238E27FC236}">
                          <a16:creationId xmlns:a16="http://schemas.microsoft.com/office/drawing/2014/main" id="{00000000-0008-0000-0000-000098000000}"/>
                        </a:ext>
                      </a:extLst>
                    </xdr:cNvPr>
                    <xdr:cNvSpPr txBox="1"/>
                  </xdr:nvSpPr>
                  <xdr:spPr>
                    <a:xfrm>
                      <a:off x="8356730" y="76567957"/>
                      <a:ext cx="6873743" cy="2225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chemeClr val="tx1">
                              <a:lumMod val="75000"/>
                              <a:lumOff val="25000"/>
                            </a:schemeClr>
                          </a:solidFill>
                          <a:effectLst/>
                          <a:latin typeface="+mn-lt"/>
                          <a:ea typeface="+mn-ea"/>
                          <a:cs typeface="+mn-cs"/>
                        </a:rPr>
                        <a:t>The </a:t>
                      </a:r>
                      <a:r>
                        <a:rPr lang="en-US" sz="1100" b="1" baseline="0">
                          <a:solidFill>
                            <a:schemeClr val="tx1">
                              <a:lumMod val="75000"/>
                              <a:lumOff val="25000"/>
                            </a:schemeClr>
                          </a:solidFill>
                          <a:effectLst/>
                          <a:latin typeface="+mn-lt"/>
                          <a:ea typeface="+mn-ea"/>
                          <a:cs typeface="+mn-cs"/>
                        </a:rPr>
                        <a:t>amount of your Tangible Assets (Computers, Furniture, etc.) that is effectively used up in the given period.</a:t>
                      </a:r>
                      <a:endParaRPr lang="en-US" sz="1100" b="1" baseline="0">
                        <a:solidFill>
                          <a:schemeClr val="tx1">
                            <a:lumMod val="75000"/>
                            <a:lumOff val="25000"/>
                          </a:schemeClr>
                        </a:solidFill>
                      </a:endParaRPr>
                    </a:p>
                  </xdr:txBody>
                </xdr:sp>
                <xdr:sp macro="" textlink="">
                  <xdr:nvSpPr>
                    <xdr:cNvPr id="153" name="TextBox 152">
                      <a:extLst>
                        <a:ext uri="{FF2B5EF4-FFF2-40B4-BE49-F238E27FC236}">
                          <a16:creationId xmlns:a16="http://schemas.microsoft.com/office/drawing/2014/main" id="{00000000-0008-0000-0000-000099000000}"/>
                        </a:ext>
                      </a:extLst>
                    </xdr:cNvPr>
                    <xdr:cNvSpPr txBox="1"/>
                  </xdr:nvSpPr>
                  <xdr:spPr>
                    <a:xfrm>
                      <a:off x="8356730" y="76754686"/>
                      <a:ext cx="6749919" cy="2454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chemeClr val="tx1">
                              <a:lumMod val="75000"/>
                              <a:lumOff val="25000"/>
                            </a:schemeClr>
                          </a:solidFill>
                          <a:effectLst/>
                          <a:latin typeface="+mn-lt"/>
                          <a:ea typeface="+mn-ea"/>
                          <a:cs typeface="+mn-cs"/>
                        </a:rPr>
                        <a:t>The amount of your Intangible</a:t>
                      </a:r>
                      <a:r>
                        <a:rPr lang="en-US" sz="1100" b="1" baseline="0">
                          <a:solidFill>
                            <a:schemeClr val="tx1">
                              <a:lumMod val="75000"/>
                              <a:lumOff val="25000"/>
                            </a:schemeClr>
                          </a:solidFill>
                          <a:effectLst/>
                          <a:latin typeface="+mn-lt"/>
                          <a:ea typeface="+mn-ea"/>
                          <a:cs typeface="+mn-cs"/>
                        </a:rPr>
                        <a:t> Assets (Patents, trademarks, etc.) that is effectively used up in the given period.</a:t>
                      </a:r>
                      <a:endParaRPr lang="en-US" sz="1100" b="1" baseline="0">
                        <a:solidFill>
                          <a:schemeClr val="tx1">
                            <a:lumMod val="75000"/>
                            <a:lumOff val="25000"/>
                          </a:schemeClr>
                        </a:solidFill>
                      </a:endParaRPr>
                    </a:p>
                  </xdr:txBody>
                </xdr:sp>
                <xdr:sp macro="" textlink="">
                  <xdr:nvSpPr>
                    <xdr:cNvPr id="154" name="TextBox 153">
                      <a:extLst>
                        <a:ext uri="{FF2B5EF4-FFF2-40B4-BE49-F238E27FC236}">
                          <a16:creationId xmlns:a16="http://schemas.microsoft.com/office/drawing/2014/main" id="{00000000-0008-0000-0000-00009A000000}"/>
                        </a:ext>
                      </a:extLst>
                    </xdr:cNvPr>
                    <xdr:cNvSpPr txBox="1"/>
                  </xdr:nvSpPr>
                  <xdr:spPr>
                    <a:xfrm>
                      <a:off x="8356730" y="77066274"/>
                      <a:ext cx="6559420" cy="45770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Net</a:t>
                      </a:r>
                      <a:r>
                        <a:rPr lang="en-US" sz="1100" b="1" baseline="0">
                          <a:solidFill>
                            <a:srgbClr val="0000FF"/>
                          </a:solidFill>
                          <a:effectLst/>
                          <a:latin typeface="+mn-lt"/>
                          <a:ea typeface="+mn-ea"/>
                          <a:cs typeface="+mn-cs"/>
                        </a:rPr>
                        <a:t> Income = EBITDA - Taxes - Interest - Depreciation - Amortization</a:t>
                      </a:r>
                    </a:p>
                    <a:p>
                      <a:r>
                        <a:rPr lang="en-US" sz="1100" b="1" baseline="0">
                          <a:solidFill>
                            <a:schemeClr val="tx1">
                              <a:lumMod val="75000"/>
                              <a:lumOff val="25000"/>
                            </a:schemeClr>
                          </a:solidFill>
                          <a:effectLst/>
                          <a:latin typeface="+mn-lt"/>
                          <a:ea typeface="+mn-ea"/>
                          <a:cs typeface="+mn-cs"/>
                        </a:rPr>
                        <a:t>Also known as Profit. Commonly referred to as the Bottom Line, since it is the bottom line on the P&amp;L.</a:t>
                      </a:r>
                      <a:endParaRPr lang="en-US" sz="1100" b="1" baseline="0">
                        <a:solidFill>
                          <a:schemeClr val="tx1">
                            <a:lumMod val="75000"/>
                            <a:lumOff val="25000"/>
                          </a:schemeClr>
                        </a:solidFill>
                      </a:endParaRPr>
                    </a:p>
                  </xdr:txBody>
                </xdr:sp>
                <xdr:sp macro="" textlink="">
                  <xdr:nvSpPr>
                    <xdr:cNvPr id="155" name="TextBox 154">
                      <a:extLst>
                        <a:ext uri="{FF2B5EF4-FFF2-40B4-BE49-F238E27FC236}">
                          <a16:creationId xmlns:a16="http://schemas.microsoft.com/office/drawing/2014/main" id="{00000000-0008-0000-0000-00009B000000}"/>
                        </a:ext>
                      </a:extLst>
                    </xdr:cNvPr>
                    <xdr:cNvSpPr txBox="1"/>
                  </xdr:nvSpPr>
                  <xdr:spPr>
                    <a:xfrm>
                      <a:off x="8356730" y="77511013"/>
                      <a:ext cx="6149845" cy="24185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Profit Margin = Net Income / Revenue. </a:t>
                      </a:r>
                      <a:r>
                        <a:rPr lang="en-US" sz="1100" b="1">
                          <a:solidFill>
                            <a:schemeClr val="tx1">
                              <a:lumMod val="75000"/>
                              <a:lumOff val="25000"/>
                            </a:schemeClr>
                          </a:solidFill>
                          <a:effectLst/>
                          <a:latin typeface="+mn-lt"/>
                          <a:ea typeface="+mn-ea"/>
                          <a:cs typeface="+mn-cs"/>
                        </a:rPr>
                        <a:t>This will display if it Net</a:t>
                      </a:r>
                      <a:r>
                        <a:rPr lang="en-US" sz="1100" b="1" baseline="0">
                          <a:solidFill>
                            <a:schemeClr val="tx1">
                              <a:lumMod val="75000"/>
                              <a:lumOff val="25000"/>
                            </a:schemeClr>
                          </a:solidFill>
                          <a:effectLst/>
                          <a:latin typeface="+mn-lt"/>
                          <a:ea typeface="+mn-ea"/>
                          <a:cs typeface="+mn-cs"/>
                        </a:rPr>
                        <a:t> Income is positive.</a:t>
                      </a:r>
                      <a:endParaRPr lang="en-US" sz="1100" b="1" baseline="0">
                        <a:solidFill>
                          <a:schemeClr val="tx1">
                            <a:lumMod val="75000"/>
                            <a:lumOff val="25000"/>
                          </a:schemeClr>
                        </a:solidFill>
                      </a:endParaRPr>
                    </a:p>
                  </xdr:txBody>
                </xdr:sp>
                <xdr:sp macro="" textlink="">
                  <xdr:nvSpPr>
                    <xdr:cNvPr id="156" name="TextBox 155">
                      <a:extLst>
                        <a:ext uri="{FF2B5EF4-FFF2-40B4-BE49-F238E27FC236}">
                          <a16:creationId xmlns:a16="http://schemas.microsoft.com/office/drawing/2014/main" id="{00000000-0008-0000-0000-00009C000000}"/>
                        </a:ext>
                      </a:extLst>
                    </xdr:cNvPr>
                    <xdr:cNvSpPr txBox="1"/>
                  </xdr:nvSpPr>
                  <xdr:spPr>
                    <a:xfrm>
                      <a:off x="8356730" y="72587811"/>
                      <a:ext cx="4917533" cy="9136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rPr>
                        <a:t>Gross Margin = Gross</a:t>
                      </a:r>
                      <a:r>
                        <a:rPr lang="en-US" sz="1100" b="1" baseline="0">
                          <a:solidFill>
                            <a:srgbClr val="0000FF"/>
                          </a:solidFill>
                        </a:rPr>
                        <a:t> Profit / Revenue</a:t>
                      </a:r>
                    </a:p>
                    <a:p>
                      <a:r>
                        <a:rPr lang="en-US" sz="1100" b="1" baseline="0">
                          <a:solidFill>
                            <a:schemeClr val="tx1">
                              <a:lumMod val="75000"/>
                              <a:lumOff val="25000"/>
                            </a:schemeClr>
                          </a:solidFill>
                        </a:rPr>
                        <a:t>Gross Margin is Gross Profit expressed as a ratio. Ratios are helpful in quickly analyzing businesses, as you can compare businesses of different sizes.</a:t>
                      </a:r>
                      <a:endParaRPr lang="en-US" sz="1100" b="1">
                        <a:solidFill>
                          <a:schemeClr val="tx1">
                            <a:lumMod val="75000"/>
                            <a:lumOff val="25000"/>
                          </a:schemeClr>
                        </a:solidFill>
                      </a:endParaRPr>
                    </a:p>
                  </xdr:txBody>
                </xdr:sp>
                <xdr:sp macro="" textlink="">
                  <xdr:nvSpPr>
                    <xdr:cNvPr id="157" name="TextBox 156">
                      <a:extLst>
                        <a:ext uri="{FF2B5EF4-FFF2-40B4-BE49-F238E27FC236}">
                          <a16:creationId xmlns:a16="http://schemas.microsoft.com/office/drawing/2014/main" id="{00000000-0008-0000-0000-00009D000000}"/>
                        </a:ext>
                      </a:extLst>
                    </xdr:cNvPr>
                    <xdr:cNvSpPr txBox="1"/>
                  </xdr:nvSpPr>
                  <xdr:spPr>
                    <a:xfrm>
                      <a:off x="8356730" y="69923025"/>
                      <a:ext cx="5444957" cy="5334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rPr>
                        <a:t>Revenue</a:t>
                      </a:r>
                      <a:endParaRPr lang="en-US" sz="1100" b="1" baseline="0">
                        <a:solidFill>
                          <a:srgbClr val="0000FF"/>
                        </a:solidFill>
                      </a:endParaRPr>
                    </a:p>
                    <a:p>
                      <a:r>
                        <a:rPr lang="en-US" sz="1100" b="1" baseline="0">
                          <a:solidFill>
                            <a:schemeClr val="tx1">
                              <a:lumMod val="75000"/>
                              <a:lumOff val="25000"/>
                            </a:schemeClr>
                          </a:solidFill>
                        </a:rPr>
                        <a:t>These are one-time sales from Products / Sales</a:t>
                      </a:r>
                    </a:p>
                  </xdr:txBody>
                </xdr:sp>
                <xdr:sp macro="" textlink="">
                  <xdr:nvSpPr>
                    <xdr:cNvPr id="158" name="TextBox 157">
                      <a:extLst>
                        <a:ext uri="{FF2B5EF4-FFF2-40B4-BE49-F238E27FC236}">
                          <a16:creationId xmlns:a16="http://schemas.microsoft.com/office/drawing/2014/main" id="{00000000-0008-0000-0000-00009E000000}"/>
                        </a:ext>
                      </a:extLst>
                    </xdr:cNvPr>
                    <xdr:cNvSpPr txBox="1"/>
                  </xdr:nvSpPr>
                  <xdr:spPr>
                    <a:xfrm>
                      <a:off x="8356730" y="71470968"/>
                      <a:ext cx="5772150" cy="623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b="1">
                          <a:solidFill>
                            <a:srgbClr val="0000FF"/>
                          </a:solidFill>
                        </a:rPr>
                        <a:t>COGS = Cost</a:t>
                      </a:r>
                      <a:r>
                        <a:rPr lang="en-US" sz="1100" b="1" baseline="0">
                          <a:solidFill>
                            <a:srgbClr val="0000FF"/>
                          </a:solidFill>
                        </a:rPr>
                        <a:t> of Goods Sold</a:t>
                      </a:r>
                    </a:p>
                    <a:p>
                      <a:pPr algn="l"/>
                      <a:r>
                        <a:rPr lang="en-US" sz="1100" b="1" baseline="0">
                          <a:solidFill>
                            <a:schemeClr val="tx1">
                              <a:lumMod val="75000"/>
                              <a:lumOff val="25000"/>
                            </a:schemeClr>
                          </a:solidFill>
                        </a:rPr>
                        <a:t>These also come from </a:t>
                      </a:r>
                      <a:r>
                        <a:rPr lang="en-US" sz="1100" b="1" baseline="0">
                          <a:solidFill>
                            <a:schemeClr val="tx1">
                              <a:lumMod val="75000"/>
                              <a:lumOff val="25000"/>
                            </a:schemeClr>
                          </a:solidFill>
                          <a:effectLst/>
                          <a:latin typeface="+mn-lt"/>
                          <a:ea typeface="+mn-ea"/>
                          <a:cs typeface="+mn-cs"/>
                        </a:rPr>
                        <a:t>Products / Services and Recurring Revenue</a:t>
                      </a:r>
                      <a:r>
                        <a:rPr lang="en-US" sz="1100" b="1" baseline="0">
                          <a:solidFill>
                            <a:schemeClr val="tx1"/>
                          </a:solidFill>
                          <a:effectLst/>
                          <a:latin typeface="+mn-lt"/>
                          <a:ea typeface="+mn-ea"/>
                          <a:cs typeface="+mn-cs"/>
                        </a:rPr>
                        <a:t>. </a:t>
                      </a:r>
                      <a:r>
                        <a:rPr lang="en-US" sz="1100" b="1" baseline="0">
                          <a:solidFill>
                            <a:schemeClr val="tx1">
                              <a:lumMod val="75000"/>
                              <a:lumOff val="25000"/>
                            </a:schemeClr>
                          </a:solidFill>
                          <a:effectLst/>
                          <a:latin typeface="+mn-lt"/>
                          <a:ea typeface="+mn-ea"/>
                          <a:cs typeface="+mn-cs"/>
                        </a:rPr>
                        <a:t>These</a:t>
                      </a:r>
                      <a:r>
                        <a:rPr lang="en-US" sz="1100" b="1" baseline="0">
                          <a:solidFill>
                            <a:schemeClr val="tx1"/>
                          </a:solidFill>
                          <a:effectLst/>
                          <a:latin typeface="+mn-lt"/>
                          <a:ea typeface="+mn-ea"/>
                          <a:cs typeface="+mn-cs"/>
                        </a:rPr>
                        <a:t> </a:t>
                      </a:r>
                      <a:r>
                        <a:rPr lang="en-US" sz="1100" b="1" baseline="0">
                          <a:solidFill>
                            <a:schemeClr val="tx1">
                              <a:lumMod val="75000"/>
                              <a:lumOff val="25000"/>
                            </a:schemeClr>
                          </a:solidFill>
                        </a:rPr>
                        <a:t>are the costs you incur to complete a sale. If you're selling coffee, your COGS would include coffee beans, cups, etc. </a:t>
                      </a:r>
                      <a:endParaRPr lang="en-US" sz="1100" b="1">
                        <a:solidFill>
                          <a:schemeClr val="tx1">
                            <a:lumMod val="75000"/>
                            <a:lumOff val="25000"/>
                          </a:schemeClr>
                        </a:solidFill>
                      </a:endParaRPr>
                    </a:p>
                  </xdr:txBody>
                </xdr:sp>
                <xdr:sp macro="" textlink="">
                  <xdr:nvSpPr>
                    <xdr:cNvPr id="159" name="TextBox 158">
                      <a:extLst>
                        <a:ext uri="{FF2B5EF4-FFF2-40B4-BE49-F238E27FC236}">
                          <a16:creationId xmlns:a16="http://schemas.microsoft.com/office/drawing/2014/main" id="{00000000-0008-0000-0000-00009F000000}"/>
                        </a:ext>
                      </a:extLst>
                    </xdr:cNvPr>
                    <xdr:cNvSpPr txBox="1"/>
                  </xdr:nvSpPr>
                  <xdr:spPr>
                    <a:xfrm>
                      <a:off x="8356730" y="72132787"/>
                      <a:ext cx="4322755" cy="4477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100" b="1" baseline="0">
                          <a:solidFill>
                            <a:srgbClr val="0000FF"/>
                          </a:solidFill>
                        </a:rPr>
                        <a:t>Gross Profit = Revenue - COGS</a:t>
                      </a:r>
                    </a:p>
                    <a:p>
                      <a:pPr algn="l"/>
                      <a:r>
                        <a:rPr lang="en-US" sz="1100" b="1" baseline="0">
                          <a:solidFill>
                            <a:schemeClr val="tx1">
                              <a:lumMod val="75000"/>
                              <a:lumOff val="25000"/>
                            </a:schemeClr>
                          </a:solidFill>
                          <a:effectLst/>
                          <a:latin typeface="+mn-lt"/>
                          <a:ea typeface="+mn-ea"/>
                          <a:cs typeface="+mn-cs"/>
                        </a:rPr>
                        <a:t>How much money you have left after making a sale. </a:t>
                      </a:r>
                      <a:endParaRPr lang="en-US" sz="1100" b="1">
                        <a:solidFill>
                          <a:schemeClr val="tx1">
                            <a:lumMod val="75000"/>
                            <a:lumOff val="25000"/>
                          </a:schemeClr>
                        </a:solidFill>
                      </a:endParaRPr>
                    </a:p>
                  </xdr:txBody>
                </xdr:sp>
                <xdr:sp macro="" textlink="">
                  <xdr:nvSpPr>
                    <xdr:cNvPr id="160" name="TextBox 159">
                      <a:extLst>
                        <a:ext uri="{FF2B5EF4-FFF2-40B4-BE49-F238E27FC236}">
                          <a16:creationId xmlns:a16="http://schemas.microsoft.com/office/drawing/2014/main" id="{00000000-0008-0000-0000-0000A0000000}"/>
                        </a:ext>
                      </a:extLst>
                    </xdr:cNvPr>
                    <xdr:cNvSpPr txBox="1"/>
                  </xdr:nvSpPr>
                  <xdr:spPr>
                    <a:xfrm>
                      <a:off x="8356730" y="70589775"/>
                      <a:ext cx="5444957" cy="228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baseline="0">
                          <a:solidFill>
                            <a:srgbClr val="0000FF"/>
                          </a:solidFill>
                        </a:rPr>
                        <a:t>Bad Debt / Returns</a:t>
                      </a:r>
                    </a:p>
                  </xdr:txBody>
                </xdr:sp>
                <xdr:sp macro="" textlink="">
                  <xdr:nvSpPr>
                    <xdr:cNvPr id="161" name="TextBox 160">
                      <a:extLst>
                        <a:ext uri="{FF2B5EF4-FFF2-40B4-BE49-F238E27FC236}">
                          <a16:creationId xmlns:a16="http://schemas.microsoft.com/office/drawing/2014/main" id="{00000000-0008-0000-0000-0000A1000000}"/>
                        </a:ext>
                      </a:extLst>
                    </xdr:cNvPr>
                    <xdr:cNvSpPr txBox="1"/>
                  </xdr:nvSpPr>
                  <xdr:spPr>
                    <a:xfrm>
                      <a:off x="8356730" y="71018400"/>
                      <a:ext cx="5444957" cy="26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rPr>
                        <a:t>Net Revenue</a:t>
                      </a:r>
                      <a:r>
                        <a:rPr lang="en-US" sz="1100" b="1" baseline="0">
                          <a:solidFill>
                            <a:srgbClr val="0000FF"/>
                          </a:solidFill>
                        </a:rPr>
                        <a:t> = Revenue minus Bad Debt / Returns</a:t>
                      </a:r>
                    </a:p>
                  </xdr:txBody>
                </xdr:sp>
              </xdr:grpSp>
              <xdr:grpSp>
                <xdr:nvGrpSpPr>
                  <xdr:cNvPr id="131" name="Group 130">
                    <a:extLst>
                      <a:ext uri="{FF2B5EF4-FFF2-40B4-BE49-F238E27FC236}">
                        <a16:creationId xmlns:a16="http://schemas.microsoft.com/office/drawing/2014/main" id="{00000000-0008-0000-0000-000083000000}"/>
                      </a:ext>
                    </a:extLst>
                  </xdr:cNvPr>
                  <xdr:cNvGrpSpPr/>
                </xdr:nvGrpSpPr>
                <xdr:grpSpPr>
                  <a:xfrm>
                    <a:off x="7157136" y="70123050"/>
                    <a:ext cx="1262964" cy="7505700"/>
                    <a:chOff x="7157136" y="70123050"/>
                    <a:chExt cx="1262964" cy="7505700"/>
                  </a:xfrm>
                </xdr:grpSpPr>
                <xdr:cxnSp macro="">
                  <xdr:nvCxnSpPr>
                    <xdr:cNvPr id="132" name="Straight Arrow Connector 131">
                      <a:extLst>
                        <a:ext uri="{FF2B5EF4-FFF2-40B4-BE49-F238E27FC236}">
                          <a16:creationId xmlns:a16="http://schemas.microsoft.com/office/drawing/2014/main" id="{00000000-0008-0000-0000-000084000000}"/>
                        </a:ext>
                      </a:extLst>
                    </xdr:cNvPr>
                    <xdr:cNvCxnSpPr/>
                  </xdr:nvCxnSpPr>
                  <xdr:spPr>
                    <a:xfrm flipH="1">
                      <a:off x="7157136" y="74749870"/>
                      <a:ext cx="1225296" cy="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33" name="Straight Arrow Connector 132">
                      <a:extLst>
                        <a:ext uri="{FF2B5EF4-FFF2-40B4-BE49-F238E27FC236}">
                          <a16:creationId xmlns:a16="http://schemas.microsoft.com/office/drawing/2014/main" id="{00000000-0008-0000-0000-000085000000}"/>
                        </a:ext>
                      </a:extLst>
                    </xdr:cNvPr>
                    <xdr:cNvCxnSpPr/>
                  </xdr:nvCxnSpPr>
                  <xdr:spPr>
                    <a:xfrm flipH="1" flipV="1">
                      <a:off x="7157136" y="77205393"/>
                      <a:ext cx="1199594" cy="89732"/>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34" name="Straight Arrow Connector 133">
                      <a:extLst>
                        <a:ext uri="{FF2B5EF4-FFF2-40B4-BE49-F238E27FC236}">
                          <a16:creationId xmlns:a16="http://schemas.microsoft.com/office/drawing/2014/main" id="{00000000-0008-0000-0000-000086000000}"/>
                        </a:ext>
                      </a:extLst>
                    </xdr:cNvPr>
                    <xdr:cNvCxnSpPr/>
                  </xdr:nvCxnSpPr>
                  <xdr:spPr>
                    <a:xfrm flipH="1">
                      <a:off x="7157136" y="76323825"/>
                      <a:ext cx="1235953" cy="132697"/>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35" name="Straight Arrow Connector 134">
                      <a:extLst>
                        <a:ext uri="{FF2B5EF4-FFF2-40B4-BE49-F238E27FC236}">
                          <a16:creationId xmlns:a16="http://schemas.microsoft.com/office/drawing/2014/main" id="{00000000-0008-0000-0000-000087000000}"/>
                        </a:ext>
                      </a:extLst>
                    </xdr:cNvPr>
                    <xdr:cNvCxnSpPr/>
                  </xdr:nvCxnSpPr>
                  <xdr:spPr>
                    <a:xfrm flipH="1" flipV="1">
                      <a:off x="7232055" y="72323325"/>
                      <a:ext cx="1143000" cy="6667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36" name="Straight Arrow Connector 135">
                      <a:extLst>
                        <a:ext uri="{FF2B5EF4-FFF2-40B4-BE49-F238E27FC236}">
                          <a16:creationId xmlns:a16="http://schemas.microsoft.com/office/drawing/2014/main" id="{00000000-0008-0000-0000-000088000000}"/>
                        </a:ext>
                      </a:extLst>
                    </xdr:cNvPr>
                    <xdr:cNvCxnSpPr/>
                  </xdr:nvCxnSpPr>
                  <xdr:spPr>
                    <a:xfrm flipH="1" flipV="1">
                      <a:off x="7232055" y="72562039"/>
                      <a:ext cx="1188045" cy="208961"/>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37" name="Straight Arrow Connector 136">
                      <a:extLst>
                        <a:ext uri="{FF2B5EF4-FFF2-40B4-BE49-F238E27FC236}">
                          <a16:creationId xmlns:a16="http://schemas.microsoft.com/office/drawing/2014/main" id="{00000000-0008-0000-0000-000089000000}"/>
                        </a:ext>
                      </a:extLst>
                    </xdr:cNvPr>
                    <xdr:cNvCxnSpPr/>
                  </xdr:nvCxnSpPr>
                  <xdr:spPr>
                    <a:xfrm flipH="1">
                      <a:off x="7232055" y="70123050"/>
                      <a:ext cx="1123950" cy="49530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38" name="Straight Arrow Connector 137">
                      <a:extLst>
                        <a:ext uri="{FF2B5EF4-FFF2-40B4-BE49-F238E27FC236}">
                          <a16:creationId xmlns:a16="http://schemas.microsoft.com/office/drawing/2014/main" id="{00000000-0008-0000-0000-00008A000000}"/>
                        </a:ext>
                      </a:extLst>
                    </xdr:cNvPr>
                    <xdr:cNvCxnSpPr/>
                  </xdr:nvCxnSpPr>
                  <xdr:spPr>
                    <a:xfrm flipH="1" flipV="1">
                      <a:off x="7232055" y="73094850"/>
                      <a:ext cx="1140420" cy="48577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39" name="Straight Arrow Connector 138">
                      <a:extLst>
                        <a:ext uri="{FF2B5EF4-FFF2-40B4-BE49-F238E27FC236}">
                          <a16:creationId xmlns:a16="http://schemas.microsoft.com/office/drawing/2014/main" id="{00000000-0008-0000-0000-00008B000000}"/>
                        </a:ext>
                      </a:extLst>
                    </xdr:cNvPr>
                    <xdr:cNvCxnSpPr/>
                  </xdr:nvCxnSpPr>
                  <xdr:spPr>
                    <a:xfrm flipH="1">
                      <a:off x="7232055" y="70732650"/>
                      <a:ext cx="1143000" cy="23812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40" name="Straight Arrow Connector 139">
                      <a:extLst>
                        <a:ext uri="{FF2B5EF4-FFF2-40B4-BE49-F238E27FC236}">
                          <a16:creationId xmlns:a16="http://schemas.microsoft.com/office/drawing/2014/main" id="{00000000-0008-0000-0000-00008C000000}"/>
                        </a:ext>
                      </a:extLst>
                    </xdr:cNvPr>
                    <xdr:cNvCxnSpPr/>
                  </xdr:nvCxnSpPr>
                  <xdr:spPr>
                    <a:xfrm flipH="1">
                      <a:off x="7232055" y="71161275"/>
                      <a:ext cx="1133475" cy="1905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41" name="Straight Arrow Connector 140">
                      <a:extLst>
                        <a:ext uri="{FF2B5EF4-FFF2-40B4-BE49-F238E27FC236}">
                          <a16:creationId xmlns:a16="http://schemas.microsoft.com/office/drawing/2014/main" id="{00000000-0008-0000-0000-00008D000000}"/>
                        </a:ext>
                      </a:extLst>
                    </xdr:cNvPr>
                    <xdr:cNvCxnSpPr/>
                  </xdr:nvCxnSpPr>
                  <xdr:spPr>
                    <a:xfrm flipH="1" flipV="1">
                      <a:off x="7232055" y="71770875"/>
                      <a:ext cx="1152525" cy="1905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42" name="Straight Arrow Connector 141">
                      <a:extLst>
                        <a:ext uri="{FF2B5EF4-FFF2-40B4-BE49-F238E27FC236}">
                          <a16:creationId xmlns:a16="http://schemas.microsoft.com/office/drawing/2014/main" id="{00000000-0008-0000-0000-00008E000000}"/>
                        </a:ext>
                      </a:extLst>
                    </xdr:cNvPr>
                    <xdr:cNvCxnSpPr/>
                  </xdr:nvCxnSpPr>
                  <xdr:spPr>
                    <a:xfrm flipH="1">
                      <a:off x="7157136" y="75695175"/>
                      <a:ext cx="1224864" cy="44767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43" name="Straight Arrow Connector 142">
                      <a:extLst>
                        <a:ext uri="{FF2B5EF4-FFF2-40B4-BE49-F238E27FC236}">
                          <a16:creationId xmlns:a16="http://schemas.microsoft.com/office/drawing/2014/main" id="{00000000-0008-0000-0000-00008F000000}"/>
                        </a:ext>
                      </a:extLst>
                    </xdr:cNvPr>
                    <xdr:cNvCxnSpPr/>
                  </xdr:nvCxnSpPr>
                  <xdr:spPr>
                    <a:xfrm flipH="1">
                      <a:off x="7157136" y="76495275"/>
                      <a:ext cx="1235953" cy="132697"/>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44" name="Straight Arrow Connector 143">
                      <a:extLst>
                        <a:ext uri="{FF2B5EF4-FFF2-40B4-BE49-F238E27FC236}">
                          <a16:creationId xmlns:a16="http://schemas.microsoft.com/office/drawing/2014/main" id="{00000000-0008-0000-0000-000090000000}"/>
                        </a:ext>
                      </a:extLst>
                    </xdr:cNvPr>
                    <xdr:cNvCxnSpPr/>
                  </xdr:nvCxnSpPr>
                  <xdr:spPr>
                    <a:xfrm flipH="1">
                      <a:off x="7157136" y="76685775"/>
                      <a:ext cx="1235953" cy="132697"/>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45" name="Straight Arrow Connector 144">
                      <a:extLst>
                        <a:ext uri="{FF2B5EF4-FFF2-40B4-BE49-F238E27FC236}">
                          <a16:creationId xmlns:a16="http://schemas.microsoft.com/office/drawing/2014/main" id="{00000000-0008-0000-0000-000091000000}"/>
                        </a:ext>
                      </a:extLst>
                    </xdr:cNvPr>
                    <xdr:cNvCxnSpPr/>
                  </xdr:nvCxnSpPr>
                  <xdr:spPr>
                    <a:xfrm flipH="1">
                      <a:off x="7157136" y="76923900"/>
                      <a:ext cx="1234389" cy="56497"/>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46" name="Straight Arrow Connector 145">
                      <a:extLst>
                        <a:ext uri="{FF2B5EF4-FFF2-40B4-BE49-F238E27FC236}">
                          <a16:creationId xmlns:a16="http://schemas.microsoft.com/office/drawing/2014/main" id="{00000000-0008-0000-0000-000092000000}"/>
                        </a:ext>
                      </a:extLst>
                    </xdr:cNvPr>
                    <xdr:cNvCxnSpPr/>
                  </xdr:nvCxnSpPr>
                  <xdr:spPr>
                    <a:xfrm flipH="1" flipV="1">
                      <a:off x="7157136" y="77428725"/>
                      <a:ext cx="1167714" cy="20002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grpSp>
            </xdr:grpSp>
            <xdr:pic>
              <xdr:nvPicPr>
                <xdr:cNvPr id="128" name="Picture 127">
                  <a:extLst>
                    <a:ext uri="{FF2B5EF4-FFF2-40B4-BE49-F238E27FC236}">
                      <a16:creationId xmlns:a16="http://schemas.microsoft.com/office/drawing/2014/main" id="{00000000-0008-0000-0000-000080000000}"/>
                    </a:ext>
                  </a:extLst>
                </xdr:cNvPr>
                <xdr:cNvPicPr>
                  <a:picLocks noChangeAspect="1"/>
                </xdr:cNvPicPr>
              </xdr:nvPicPr>
              <xdr:blipFill>
                <a:blip xmlns:r="http://schemas.openxmlformats.org/officeDocument/2006/relationships" r:embed="rId27"/>
                <a:stretch>
                  <a:fillRect/>
                </a:stretch>
              </xdr:blipFill>
              <xdr:spPr>
                <a:xfrm>
                  <a:off x="6734175" y="72428100"/>
                  <a:ext cx="314325" cy="152915"/>
                </a:xfrm>
                <a:prstGeom prst="rect">
                  <a:avLst/>
                </a:prstGeom>
              </xdr:spPr>
            </xdr:pic>
          </xdr:grpSp>
          <xdr:pic>
            <xdr:nvPicPr>
              <xdr:cNvPr id="126" name="Picture 125">
                <a:extLst>
                  <a:ext uri="{FF2B5EF4-FFF2-40B4-BE49-F238E27FC236}">
                    <a16:creationId xmlns:a16="http://schemas.microsoft.com/office/drawing/2014/main" id="{00000000-0008-0000-0000-00007E000000}"/>
                  </a:ext>
                </a:extLst>
              </xdr:cNvPr>
              <xdr:cNvPicPr>
                <a:picLocks noChangeAspect="1"/>
              </xdr:cNvPicPr>
            </xdr:nvPicPr>
            <xdr:blipFill>
              <a:blip xmlns:r="http://schemas.openxmlformats.org/officeDocument/2006/relationships" r:embed="rId28"/>
              <a:stretch>
                <a:fillRect/>
              </a:stretch>
            </xdr:blipFill>
            <xdr:spPr>
              <a:xfrm>
                <a:off x="1590675" y="79667100"/>
                <a:ext cx="2600000" cy="1638095"/>
              </a:xfrm>
              <a:prstGeom prst="rect">
                <a:avLst/>
              </a:prstGeom>
            </xdr:spPr>
          </xdr:pic>
        </xdr:grpSp>
        <xdr:cxnSp macro="">
          <xdr:nvCxnSpPr>
            <xdr:cNvPr id="123" name="Straight Arrow Connector 122">
              <a:extLst>
                <a:ext uri="{FF2B5EF4-FFF2-40B4-BE49-F238E27FC236}">
                  <a16:creationId xmlns:a16="http://schemas.microsoft.com/office/drawing/2014/main" id="{00000000-0008-0000-0000-00007B000000}"/>
                </a:ext>
              </a:extLst>
            </xdr:cNvPr>
            <xdr:cNvCxnSpPr/>
          </xdr:nvCxnSpPr>
          <xdr:spPr>
            <a:xfrm flipH="1">
              <a:off x="4200525" y="80038575"/>
              <a:ext cx="1123950" cy="49530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24" name="TextBox 123">
              <a:extLst>
                <a:ext uri="{FF2B5EF4-FFF2-40B4-BE49-F238E27FC236}">
                  <a16:creationId xmlns:a16="http://schemas.microsoft.com/office/drawing/2014/main" id="{00000000-0008-0000-0000-00007C000000}"/>
                </a:ext>
              </a:extLst>
            </xdr:cNvPr>
            <xdr:cNvSpPr txBox="1"/>
          </xdr:nvSpPr>
          <xdr:spPr>
            <a:xfrm>
              <a:off x="5324475" y="79771875"/>
              <a:ext cx="5638800" cy="5334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rPr>
                <a:t>Subscription</a:t>
              </a:r>
              <a:r>
                <a:rPr lang="en-US" sz="1100" b="1" baseline="0">
                  <a:solidFill>
                    <a:srgbClr val="0000FF"/>
                  </a:solidFill>
                </a:rPr>
                <a:t> Revenue</a:t>
              </a:r>
            </a:p>
            <a:p>
              <a:r>
                <a:rPr lang="en-US" sz="1100" b="1" baseline="0">
                  <a:solidFill>
                    <a:schemeClr val="tx1">
                      <a:lumMod val="75000"/>
                      <a:lumOff val="25000"/>
                    </a:schemeClr>
                  </a:solidFill>
                </a:rPr>
                <a:t>Earned Revenue from each month of annual Recurring Revenue, and monthly subsciption income.</a:t>
              </a:r>
            </a:p>
          </xdr:txBody>
        </xdr:sp>
      </xdr:grpSp>
    </xdr:grpSp>
    <xdr:clientData/>
  </xdr:twoCellAnchor>
  <xdr:twoCellAnchor>
    <xdr:from>
      <xdr:col>2</xdr:col>
      <xdr:colOff>352425</xdr:colOff>
      <xdr:row>463</xdr:row>
      <xdr:rowOff>142876</xdr:rowOff>
    </xdr:from>
    <xdr:to>
      <xdr:col>18</xdr:col>
      <xdr:colOff>504349</xdr:colOff>
      <xdr:row>572</xdr:row>
      <xdr:rowOff>56735</xdr:rowOff>
    </xdr:to>
    <xdr:grpSp>
      <xdr:nvGrpSpPr>
        <xdr:cNvPr id="164" name="Group 163">
          <a:extLst>
            <a:ext uri="{FF2B5EF4-FFF2-40B4-BE49-F238E27FC236}">
              <a16:creationId xmlns:a16="http://schemas.microsoft.com/office/drawing/2014/main" id="{00000000-0008-0000-0000-0000A4000000}"/>
            </a:ext>
          </a:extLst>
        </xdr:cNvPr>
        <xdr:cNvGrpSpPr/>
      </xdr:nvGrpSpPr>
      <xdr:grpSpPr>
        <a:xfrm>
          <a:off x="352425" y="90008076"/>
          <a:ext cx="11099324" cy="21370509"/>
          <a:chOff x="1724025" y="88449151"/>
          <a:chExt cx="11124724" cy="20678359"/>
        </a:xfrm>
      </xdr:grpSpPr>
      <xdr:sp macro="" textlink="">
        <xdr:nvSpPr>
          <xdr:cNvPr id="165" name="TextBox 164">
            <a:extLst>
              <a:ext uri="{FF2B5EF4-FFF2-40B4-BE49-F238E27FC236}">
                <a16:creationId xmlns:a16="http://schemas.microsoft.com/office/drawing/2014/main" id="{00000000-0008-0000-0000-0000A5000000}"/>
              </a:ext>
            </a:extLst>
          </xdr:cNvPr>
          <xdr:cNvSpPr txBox="1"/>
        </xdr:nvSpPr>
        <xdr:spPr>
          <a:xfrm>
            <a:off x="1895475" y="88449151"/>
            <a:ext cx="9061450" cy="15373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400" b="1" u="sng">
                <a:solidFill>
                  <a:srgbClr val="0000FF"/>
                </a:solidFill>
              </a:rPr>
              <a:t>Cash Flow</a:t>
            </a:r>
          </a:p>
          <a:p>
            <a:endParaRPr lang="en-US" sz="1100" b="1">
              <a:solidFill>
                <a:srgbClr val="0000FF"/>
              </a:solidFill>
            </a:endParaRPr>
          </a:p>
          <a:p>
            <a:r>
              <a:rPr lang="en-US" sz="1100" b="1">
                <a:solidFill>
                  <a:schemeClr val="tx1">
                    <a:lumMod val="75000"/>
                    <a:lumOff val="25000"/>
                  </a:schemeClr>
                </a:solidFill>
              </a:rPr>
              <a:t>The Cash Flow</a:t>
            </a:r>
            <a:r>
              <a:rPr lang="en-US" sz="1100" b="1" baseline="0">
                <a:solidFill>
                  <a:schemeClr val="tx1">
                    <a:lumMod val="75000"/>
                    <a:lumOff val="25000"/>
                  </a:schemeClr>
                </a:solidFill>
              </a:rPr>
              <a:t> Statement has one purpose - translate from Net Income on top from the P&amp;L to actual cash on the bottom.</a:t>
            </a:r>
          </a:p>
          <a:p>
            <a:endParaRPr lang="en-US" sz="1100" b="1" baseline="0">
              <a:solidFill>
                <a:schemeClr val="tx1">
                  <a:lumMod val="75000"/>
                  <a:lumOff val="25000"/>
                </a:schemeClr>
              </a:solidFill>
            </a:endParaRPr>
          </a:p>
          <a:p>
            <a:r>
              <a:rPr lang="en-US" sz="1100" b="1" baseline="0">
                <a:solidFill>
                  <a:schemeClr val="tx1">
                    <a:lumMod val="75000"/>
                    <a:lumOff val="25000"/>
                  </a:schemeClr>
                </a:solidFill>
              </a:rPr>
              <a:t>There are three basic categories on the Cash Flow:</a:t>
            </a:r>
          </a:p>
          <a:p>
            <a:endParaRPr lang="en-US" sz="1100" b="1" baseline="0">
              <a:solidFill>
                <a:srgbClr val="0000FF"/>
              </a:solidFill>
            </a:endParaRPr>
          </a:p>
          <a:p>
            <a:r>
              <a:rPr lang="en-US" sz="1100" b="1" baseline="0">
                <a:solidFill>
                  <a:srgbClr val="0000FF"/>
                </a:solidFill>
              </a:rPr>
              <a:t>Operating Activities</a:t>
            </a:r>
          </a:p>
          <a:p>
            <a:r>
              <a:rPr lang="en-US" sz="1100" b="1" baseline="0">
                <a:solidFill>
                  <a:srgbClr val="0000FF"/>
                </a:solidFill>
              </a:rPr>
              <a:t>Investing Activities</a:t>
            </a:r>
          </a:p>
          <a:p>
            <a:r>
              <a:rPr lang="en-US" sz="1100" b="1" baseline="0">
                <a:solidFill>
                  <a:srgbClr val="0000FF"/>
                </a:solidFill>
              </a:rPr>
              <a:t>Financing Actitivities</a:t>
            </a:r>
          </a:p>
          <a:p>
            <a:endParaRPr lang="en-US" sz="1100" b="1" baseline="0">
              <a:solidFill>
                <a:srgbClr val="0000FF"/>
              </a:solidFill>
            </a:endParaRPr>
          </a:p>
          <a:p>
            <a:r>
              <a:rPr lang="en-US" sz="1100" b="1" baseline="0">
                <a:solidFill>
                  <a:schemeClr val="tx1">
                    <a:lumMod val="75000"/>
                    <a:lumOff val="25000"/>
                  </a:schemeClr>
                </a:solidFill>
              </a:rPr>
              <a:t>From the top to the bottom:</a:t>
            </a:r>
          </a:p>
          <a:p>
            <a:endParaRPr lang="en-US" sz="1100" b="1" baseline="0">
              <a:solidFill>
                <a:schemeClr val="tx1">
                  <a:lumMod val="75000"/>
                  <a:lumOff val="25000"/>
                </a:schemeClr>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u="sng" baseline="0">
                <a:solidFill>
                  <a:srgbClr val="0000FF"/>
                </a:solidFill>
                <a:effectLst/>
                <a:latin typeface="+mn-lt"/>
                <a:ea typeface="+mn-ea"/>
                <a:cs typeface="+mn-cs"/>
              </a:rPr>
              <a:t>Operating Activities</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tx1"/>
                </a:solidFill>
                <a:effectLst/>
                <a:latin typeface="+mn-lt"/>
                <a:ea typeface="+mn-ea"/>
                <a:cs typeface="+mn-cs"/>
              </a:rPr>
              <a:t>These are the standard things your business does in the normal course of operations.</a:t>
            </a:r>
            <a:endParaRPr lang="en-US">
              <a:effectLst/>
            </a:endParaRPr>
          </a:p>
          <a:p>
            <a:endParaRPr lang="en-US" sz="1100" b="1" baseline="0">
              <a:solidFill>
                <a:srgbClr val="0000FF"/>
              </a:solidFill>
            </a:endParaRPr>
          </a:p>
          <a:p>
            <a:r>
              <a:rPr lang="en-US" sz="1100" b="1" baseline="0">
                <a:solidFill>
                  <a:srgbClr val="0000FF"/>
                </a:solidFill>
              </a:rPr>
              <a:t>Net Income</a:t>
            </a:r>
          </a:p>
          <a:p>
            <a:r>
              <a:rPr lang="en-US" sz="1100" b="1" baseline="0">
                <a:solidFill>
                  <a:schemeClr val="tx1">
                    <a:lumMod val="75000"/>
                    <a:lumOff val="25000"/>
                  </a:schemeClr>
                </a:solidFill>
              </a:rPr>
              <a:t>This comes right from the P&amp;L.</a:t>
            </a:r>
          </a:p>
          <a:p>
            <a:endParaRPr lang="en-US" sz="1100" b="1" baseline="0">
              <a:solidFill>
                <a:schemeClr val="tx1">
                  <a:lumMod val="75000"/>
                  <a:lumOff val="25000"/>
                </a:schemeClr>
              </a:solidFill>
            </a:endParaRPr>
          </a:p>
          <a:p>
            <a:r>
              <a:rPr lang="en-US" sz="1100" b="1" baseline="0">
                <a:solidFill>
                  <a:srgbClr val="0000FF"/>
                </a:solidFill>
              </a:rPr>
              <a:t>Depreciation &amp; Amortization</a:t>
            </a:r>
          </a:p>
          <a:p>
            <a:r>
              <a:rPr lang="en-US" sz="1100" b="1" baseline="0">
                <a:solidFill>
                  <a:schemeClr val="tx1">
                    <a:lumMod val="75000"/>
                    <a:lumOff val="25000"/>
                  </a:schemeClr>
                </a:solidFill>
              </a:rPr>
              <a:t>This can be a little confusing. Remember that expensive Tangible and Intangible Assets are Depreciated and Amortized so that only a certain amount appears on each P&amp;L. But the money has already been spent, we'll see in the Investing Activities section. So if Cash Flow accounts for all the money going out at the beginning, and then the P&amp;L adds each periodic amount on top of that - since the amounts on the P&amp;L go into Net Income which is also on Cash Flow, we are then double counting this money. So here on Cash Flow we add back Depreciation and Amortization, since the amounts on the P&amp;L didn't really get paid to anyone else. This another reason why Profit isn't Cash.</a:t>
            </a:r>
          </a:p>
          <a:p>
            <a:endParaRPr lang="en-US" sz="1100" b="1" baseline="0">
              <a:solidFill>
                <a:schemeClr val="tx1">
                  <a:lumMod val="75000"/>
                  <a:lumOff val="25000"/>
                </a:schemeClr>
              </a:solidFill>
            </a:endParaRPr>
          </a:p>
          <a:p>
            <a:r>
              <a:rPr lang="en-US" sz="1100" b="1" baseline="0">
                <a:solidFill>
                  <a:srgbClr val="0000FF"/>
                </a:solidFill>
              </a:rPr>
              <a:t>Receivables</a:t>
            </a:r>
          </a:p>
          <a:p>
            <a:r>
              <a:rPr lang="en-US" sz="1100" b="1" baseline="0">
                <a:solidFill>
                  <a:schemeClr val="tx1">
                    <a:lumMod val="75000"/>
                    <a:lumOff val="25000"/>
                  </a:schemeClr>
                </a:solidFill>
              </a:rPr>
              <a:t>Many times when you sell your products or services, you don't collect your payment right away. The most common situation is what is known as "Net 30," meaning that the customer or client has 30 days to pay you. This is called a Receivable, Accounts Receivable, or A/R.  Think of Receivables as zero interest loans you make to customers. Because a Receivable indicates that you haven't yet received money that's shown as a sales on the P&amp;L, we need to subtract this from cash to account for it, and it will appear as a negative amount in parentheses.</a:t>
            </a:r>
          </a:p>
          <a:p>
            <a:endParaRPr lang="en-US" sz="1100" b="1" baseline="0">
              <a:solidFill>
                <a:schemeClr val="tx1">
                  <a:lumMod val="75000"/>
                  <a:lumOff val="25000"/>
                </a:schemeClr>
              </a:solidFill>
            </a:endParaRPr>
          </a:p>
          <a:p>
            <a:r>
              <a:rPr lang="en-US" sz="1100" b="1" baseline="0">
                <a:solidFill>
                  <a:srgbClr val="0000FF"/>
                </a:solidFill>
                <a:effectLst/>
                <a:latin typeface="+mn-lt"/>
                <a:ea typeface="+mn-ea"/>
                <a:cs typeface="+mn-cs"/>
              </a:rPr>
              <a:t>Accrued Interest</a:t>
            </a:r>
            <a:endParaRPr lang="en-US">
              <a:solidFill>
                <a:srgbClr val="0000FF"/>
              </a:solidFill>
              <a:effectLst/>
            </a:endParaRPr>
          </a:p>
          <a:p>
            <a:r>
              <a:rPr lang="en-US" sz="1100" b="1" baseline="0">
                <a:solidFill>
                  <a:schemeClr val="tx1">
                    <a:lumMod val="75000"/>
                    <a:lumOff val="25000"/>
                  </a:schemeClr>
                </a:solidFill>
                <a:effectLst/>
                <a:latin typeface="+mn-lt"/>
                <a:ea typeface="+mn-ea"/>
                <a:cs typeface="+mn-cs"/>
              </a:rPr>
              <a:t>If you have a Convertible Note, this is the interest that accrues but is not paid out before the Convertible Note is converted into equity.</a:t>
            </a:r>
            <a:endParaRPr lang="en-US" sz="1100" b="1" baseline="0">
              <a:solidFill>
                <a:schemeClr val="tx1">
                  <a:lumMod val="75000"/>
                  <a:lumOff val="25000"/>
                </a:schemeClr>
              </a:solidFill>
            </a:endParaRPr>
          </a:p>
          <a:p>
            <a:endParaRPr lang="en-US" sz="1100" b="1" baseline="0">
              <a:solidFill>
                <a:schemeClr val="tx1">
                  <a:lumMod val="75000"/>
                  <a:lumOff val="25000"/>
                </a:schemeClr>
              </a:solidFill>
            </a:endParaRPr>
          </a:p>
          <a:p>
            <a:r>
              <a:rPr lang="en-US" sz="1100" b="1" baseline="0">
                <a:solidFill>
                  <a:srgbClr val="0000FF"/>
                </a:solidFill>
              </a:rPr>
              <a:t>Payables</a:t>
            </a:r>
          </a:p>
          <a:p>
            <a:r>
              <a:rPr lang="en-US" sz="1100" b="1" baseline="0">
                <a:solidFill>
                  <a:schemeClr val="tx1">
                    <a:lumMod val="75000"/>
                    <a:lumOff val="25000"/>
                  </a:schemeClr>
                </a:solidFill>
              </a:rPr>
              <a:t>Payables are, not suprisingly, the opposite of Receivables. When your company buys items or services and doesn't pay right away, it's an Accounts Payable. Payable, or A/P. And since we haven't yet shelled out the money for something we already have, we add this amount back to cash, because that money hasn't yet left our account. So it's shown as a positive amount on Cash Flow.</a:t>
            </a:r>
          </a:p>
          <a:p>
            <a:endParaRPr lang="en-US" sz="1100" b="1" baseline="0">
              <a:solidFill>
                <a:schemeClr val="tx1">
                  <a:lumMod val="75000"/>
                  <a:lumOff val="25000"/>
                </a:schemeClr>
              </a:solidFill>
            </a:endParaRPr>
          </a:p>
          <a:p>
            <a:r>
              <a:rPr lang="en-US" sz="1100" b="1" baseline="0">
                <a:solidFill>
                  <a:srgbClr val="0000FF"/>
                </a:solidFill>
                <a:effectLst/>
                <a:latin typeface="+mn-lt"/>
                <a:ea typeface="+mn-ea"/>
                <a:cs typeface="+mn-cs"/>
              </a:rPr>
              <a:t>Inventory </a:t>
            </a:r>
            <a:endParaRPr lang="en-US">
              <a:solidFill>
                <a:srgbClr val="0000FF"/>
              </a:solidFill>
              <a:effectLst/>
            </a:endParaRPr>
          </a:p>
          <a:p>
            <a:r>
              <a:rPr lang="en-US" sz="1100" b="1" baseline="0">
                <a:solidFill>
                  <a:schemeClr val="tx1">
                    <a:lumMod val="75000"/>
                    <a:lumOff val="25000"/>
                  </a:schemeClr>
                </a:solidFill>
                <a:effectLst/>
                <a:latin typeface="+mn-lt"/>
                <a:ea typeface="+mn-ea"/>
                <a:cs typeface="+mn-cs"/>
              </a:rPr>
              <a:t>When you buy materials and products to sell, it's called Inventory. And when you buy Inventory, it costs you money, so purchases of Inventory will appear in parentheses on Cash Flow, since it subtracts from your cash balance. Once you sell the inventory, it's called COGS on the P&amp;L. EZ Numbers automatically does this calculation for you.</a:t>
            </a:r>
            <a:endParaRPr lang="en-US" sz="1100" b="0" baseline="0">
              <a:solidFill>
                <a:schemeClr val="tx1">
                  <a:lumMod val="75000"/>
                  <a:lumOff val="25000"/>
                </a:schemeClr>
              </a:solidFill>
              <a:effectLst/>
              <a:latin typeface="+mn-lt"/>
              <a:ea typeface="+mn-ea"/>
              <a:cs typeface="+mn-cs"/>
            </a:endParaRPr>
          </a:p>
          <a:p>
            <a:endParaRPr lang="en-US" sz="1100" b="0" baseline="0">
              <a:solidFill>
                <a:schemeClr val="tx1">
                  <a:lumMod val="75000"/>
                  <a:lumOff val="25000"/>
                </a:schemeClr>
              </a:solidFill>
              <a:effectLst/>
              <a:latin typeface="+mn-lt"/>
              <a:ea typeface="+mn-ea"/>
              <a:cs typeface="+mn-cs"/>
            </a:endParaRPr>
          </a:p>
          <a:p>
            <a:r>
              <a:rPr lang="en-US" sz="1100" b="1" baseline="0">
                <a:solidFill>
                  <a:srgbClr val="0000FF"/>
                </a:solidFill>
                <a:effectLst/>
                <a:latin typeface="+mn-lt"/>
                <a:ea typeface="+mn-ea"/>
                <a:cs typeface="+mn-cs"/>
              </a:rPr>
              <a:t>Deferred Revenue</a:t>
            </a:r>
          </a:p>
          <a:p>
            <a:r>
              <a:rPr lang="en-US" sz="1100" b="1" baseline="0">
                <a:solidFill>
                  <a:schemeClr val="tx1">
                    <a:lumMod val="75000"/>
                    <a:lumOff val="25000"/>
                  </a:schemeClr>
                </a:solidFill>
                <a:effectLst/>
                <a:latin typeface="+mn-lt"/>
                <a:ea typeface="+mn-ea"/>
                <a:cs typeface="+mn-cs"/>
              </a:rPr>
              <a:t>If you have Annual Subscriptions, you can't recognize the revenue from monthls in the future even though you have received the cash. The money from future months is called Deferred Revenue.</a:t>
            </a:r>
            <a:endParaRPr lang="en-US" sz="1100" b="1" baseline="0">
              <a:solidFill>
                <a:schemeClr val="tx1">
                  <a:lumMod val="75000"/>
                  <a:lumOff val="25000"/>
                </a:schemeClr>
              </a:solidFill>
            </a:endParaRPr>
          </a:p>
          <a:p>
            <a:endParaRPr lang="en-US" sz="1100" b="1" baseline="0">
              <a:solidFill>
                <a:schemeClr val="tx1">
                  <a:lumMod val="75000"/>
                  <a:lumOff val="25000"/>
                </a:schemeClr>
              </a:solidFill>
            </a:endParaRPr>
          </a:p>
          <a:p>
            <a:pPr eaLnBrk="1" fontAlgn="auto" latinLnBrk="0" hangingPunct="1"/>
            <a:r>
              <a:rPr lang="en-US" sz="1200" b="1" u="sng" baseline="0">
                <a:solidFill>
                  <a:srgbClr val="0000FF"/>
                </a:solidFill>
                <a:effectLst/>
                <a:latin typeface="+mn-lt"/>
                <a:ea typeface="+mn-ea"/>
                <a:cs typeface="+mn-cs"/>
              </a:rPr>
              <a:t>Investing Activities</a:t>
            </a:r>
            <a:endParaRPr lang="en-US" sz="1200">
              <a:solidFill>
                <a:srgbClr val="0000FF"/>
              </a:solidFill>
              <a:effectLst/>
            </a:endParaRPr>
          </a:p>
          <a:p>
            <a:pPr eaLnBrk="1" fontAlgn="auto" latinLnBrk="0" hangingPunct="1"/>
            <a:r>
              <a:rPr lang="en-US" sz="1100" b="1" baseline="0">
                <a:solidFill>
                  <a:schemeClr val="tx1">
                    <a:lumMod val="75000"/>
                    <a:lumOff val="25000"/>
                  </a:schemeClr>
                </a:solidFill>
                <a:effectLst/>
                <a:latin typeface="+mn-lt"/>
                <a:ea typeface="+mn-ea"/>
                <a:cs typeface="+mn-cs"/>
              </a:rPr>
              <a:t>These are things your company invests in, not money from investors, that's called Financing.</a:t>
            </a:r>
            <a:endParaRPr lang="en-US">
              <a:solidFill>
                <a:schemeClr val="tx1">
                  <a:lumMod val="75000"/>
                  <a:lumOff val="25000"/>
                </a:schemeClr>
              </a:solidFill>
              <a:effectLst/>
            </a:endParaRPr>
          </a:p>
          <a:p>
            <a:endParaRPr lang="en-US" sz="1100" b="1" baseline="0">
              <a:solidFill>
                <a:schemeClr val="tx1">
                  <a:lumMod val="75000"/>
                  <a:lumOff val="25000"/>
                </a:schemeClr>
              </a:solidFill>
            </a:endParaRPr>
          </a:p>
          <a:p>
            <a:r>
              <a:rPr lang="en-US" sz="1100" b="1" baseline="0">
                <a:solidFill>
                  <a:srgbClr val="0000FF"/>
                </a:solidFill>
                <a:effectLst/>
                <a:latin typeface="+mn-lt"/>
                <a:ea typeface="+mn-ea"/>
                <a:cs typeface="+mn-cs"/>
              </a:rPr>
              <a:t>Fixed Assets</a:t>
            </a:r>
            <a:endParaRPr lang="en-US">
              <a:solidFill>
                <a:srgbClr val="0000FF"/>
              </a:solidFill>
              <a:effectLst/>
            </a:endParaRPr>
          </a:p>
          <a:p>
            <a:r>
              <a:rPr lang="en-US" sz="1100" b="1" baseline="0">
                <a:solidFill>
                  <a:schemeClr val="tx1">
                    <a:lumMod val="75000"/>
                    <a:lumOff val="25000"/>
                  </a:schemeClr>
                </a:solidFill>
                <a:effectLst/>
                <a:latin typeface="+mn-lt"/>
                <a:ea typeface="+mn-ea"/>
                <a:cs typeface="+mn-cs"/>
              </a:rPr>
              <a:t>Fixed Assets is just another name for Tangible Assets. Here on Cash Flow, as mentioned, if we buy some equipment, we record the money as leaving our account, so it's shown as a negative amount in parentheses.</a:t>
            </a:r>
            <a:endParaRPr lang="en-US">
              <a:solidFill>
                <a:schemeClr val="tx1">
                  <a:lumMod val="75000"/>
                  <a:lumOff val="25000"/>
                </a:schemeClr>
              </a:solidFill>
              <a:effectLst/>
            </a:endParaRPr>
          </a:p>
          <a:p>
            <a:endParaRPr lang="en-US" sz="1100" b="1" baseline="0">
              <a:solidFill>
                <a:srgbClr val="0000FF"/>
              </a:solidFill>
            </a:endParaRPr>
          </a:p>
          <a:p>
            <a:r>
              <a:rPr lang="en-US" sz="1100" b="1" baseline="0">
                <a:solidFill>
                  <a:srgbClr val="0000FF"/>
                </a:solidFill>
              </a:rPr>
              <a:t>Intangible Assets</a:t>
            </a:r>
          </a:p>
          <a:p>
            <a:r>
              <a:rPr lang="en-US" sz="1100" b="1" baseline="0">
                <a:solidFill>
                  <a:schemeClr val="tx1">
                    <a:lumMod val="75000"/>
                    <a:lumOff val="25000"/>
                  </a:schemeClr>
                </a:solidFill>
              </a:rPr>
              <a:t>The same convention as with Fixed Assets, a negative amount in parentheses. Note, we don't record how much money a patent might be worth, just the expenses we incurred in obtaining a patent ot trademark, such as legal and government filing fees.</a:t>
            </a:r>
          </a:p>
          <a:p>
            <a:endParaRPr lang="en-US" sz="1100" b="1" baseline="0">
              <a:solidFill>
                <a:schemeClr val="tx1">
                  <a:lumMod val="75000"/>
                  <a:lumOff val="25000"/>
                </a:schemeClr>
              </a:solidFill>
            </a:endParaRPr>
          </a:p>
          <a:p>
            <a:endParaRPr lang="en-US" sz="1100" b="1" baseline="0">
              <a:solidFill>
                <a:schemeClr val="tx1">
                  <a:lumMod val="75000"/>
                  <a:lumOff val="25000"/>
                </a:schemeClr>
              </a:solidFill>
            </a:endParaRPr>
          </a:p>
          <a:p>
            <a:pPr eaLnBrk="1" fontAlgn="auto" latinLnBrk="0" hangingPunct="1"/>
            <a:r>
              <a:rPr lang="en-US" sz="1200" b="1" u="sng" baseline="0">
                <a:solidFill>
                  <a:srgbClr val="0000FF"/>
                </a:solidFill>
                <a:effectLst/>
                <a:latin typeface="+mn-lt"/>
                <a:ea typeface="+mn-ea"/>
                <a:cs typeface="+mn-cs"/>
              </a:rPr>
              <a:t>Financing Activities</a:t>
            </a:r>
            <a:endParaRPr lang="en-US" sz="1200">
              <a:solidFill>
                <a:srgbClr val="0000FF"/>
              </a:solidFill>
              <a:effectLst/>
            </a:endParaRPr>
          </a:p>
          <a:p>
            <a:pPr eaLnBrk="1" fontAlgn="auto" latinLnBrk="0" hangingPunct="1"/>
            <a:r>
              <a:rPr lang="en-US" sz="1100" b="1" baseline="0">
                <a:solidFill>
                  <a:schemeClr val="tx1">
                    <a:lumMod val="75000"/>
                    <a:lumOff val="25000"/>
                  </a:schemeClr>
                </a:solidFill>
                <a:effectLst/>
                <a:latin typeface="+mn-lt"/>
                <a:ea typeface="+mn-ea"/>
                <a:cs typeface="+mn-cs"/>
              </a:rPr>
              <a:t>Money that your company receives or pays out for loans and investment is shown in this section.</a:t>
            </a:r>
          </a:p>
          <a:p>
            <a:pPr eaLnBrk="1" fontAlgn="auto" latinLnBrk="0" hangingPunct="1"/>
            <a:endParaRPr lang="en-US" sz="1100" b="1" baseline="0">
              <a:solidFill>
                <a:schemeClr val="tx1">
                  <a:lumMod val="75000"/>
                  <a:lumOff val="25000"/>
                </a:schemeClr>
              </a:solidFill>
              <a:effectLst/>
              <a:latin typeface="+mn-lt"/>
              <a:ea typeface="+mn-ea"/>
              <a:cs typeface="+mn-cs"/>
            </a:endParaRPr>
          </a:p>
          <a:p>
            <a:pPr eaLnBrk="1" fontAlgn="auto" latinLnBrk="0" hangingPunct="1"/>
            <a:r>
              <a:rPr lang="en-US" b="1">
                <a:solidFill>
                  <a:srgbClr val="0000FF"/>
                </a:solidFill>
                <a:effectLst/>
              </a:rPr>
              <a:t>Equity</a:t>
            </a:r>
            <a:r>
              <a:rPr lang="en-US" b="1" baseline="0">
                <a:solidFill>
                  <a:srgbClr val="0000FF"/>
                </a:solidFill>
                <a:effectLst/>
              </a:rPr>
              <a:t> - Preferred and Common</a:t>
            </a:r>
          </a:p>
          <a:p>
            <a:pPr eaLnBrk="1" fontAlgn="auto" latinLnBrk="0" hangingPunct="1"/>
            <a:r>
              <a:rPr lang="en-US" b="1">
                <a:solidFill>
                  <a:schemeClr val="tx1">
                    <a:lumMod val="75000"/>
                    <a:lumOff val="25000"/>
                  </a:schemeClr>
                </a:solidFill>
                <a:effectLst/>
              </a:rPr>
              <a:t>Preferred</a:t>
            </a:r>
            <a:r>
              <a:rPr lang="en-US" b="1" baseline="0">
                <a:solidFill>
                  <a:schemeClr val="tx1">
                    <a:lumMod val="75000"/>
                    <a:lumOff val="25000"/>
                  </a:schemeClr>
                </a:solidFill>
                <a:effectLst/>
              </a:rPr>
              <a:t> Equity is typically what your investors will receive. Common is usually what founders get. So when you receive investment from investors, it will usually be a positive amount shown as Preferred Equity. </a:t>
            </a:r>
          </a:p>
          <a:p>
            <a:pPr eaLnBrk="1" fontAlgn="auto" latinLnBrk="0" hangingPunct="1"/>
            <a:endParaRPr lang="en-US" b="1" baseline="0">
              <a:solidFill>
                <a:schemeClr val="tx1">
                  <a:lumMod val="75000"/>
                  <a:lumOff val="25000"/>
                </a:schemeClr>
              </a:solidFill>
              <a:effectLst/>
            </a:endParaRPr>
          </a:p>
          <a:p>
            <a:pPr eaLnBrk="1" fontAlgn="auto" latinLnBrk="0" hangingPunct="1"/>
            <a:r>
              <a:rPr lang="en-US" b="1" baseline="0">
                <a:solidFill>
                  <a:schemeClr val="tx1">
                    <a:lumMod val="75000"/>
                    <a:lumOff val="25000"/>
                  </a:schemeClr>
                </a:solidFill>
                <a:effectLst/>
              </a:rPr>
              <a:t>EZ Numbers offers SAFE's (Simple Agreement for Fast Equity). These will be shown under Preferred Equity. If you're not already familiar with SAFEs and Convertible Notes, please read about them in the </a:t>
            </a:r>
            <a:r>
              <a:rPr lang="en-US" b="1" baseline="0">
                <a:solidFill>
                  <a:srgbClr val="0000FF"/>
                </a:solidFill>
                <a:effectLst/>
              </a:rPr>
              <a:t>Raising Money </a:t>
            </a:r>
            <a:r>
              <a:rPr lang="en-US" b="1" baseline="0">
                <a:solidFill>
                  <a:schemeClr val="tx1">
                    <a:lumMod val="75000"/>
                    <a:lumOff val="25000"/>
                  </a:schemeClr>
                </a:solidFill>
                <a:effectLst/>
              </a:rPr>
              <a:t>section. They are one of the most common and easiest way to raise your initial investment.</a:t>
            </a:r>
          </a:p>
          <a:p>
            <a:pPr eaLnBrk="1" fontAlgn="auto" latinLnBrk="0" hangingPunct="1"/>
            <a:endParaRPr lang="en-US" b="1" baseline="0">
              <a:solidFill>
                <a:schemeClr val="tx1">
                  <a:lumMod val="75000"/>
                  <a:lumOff val="25000"/>
                </a:schemeClr>
              </a:solidFill>
              <a:effectLst/>
            </a:endParaRPr>
          </a:p>
          <a:p>
            <a:pPr eaLnBrk="1" fontAlgn="auto" latinLnBrk="0" hangingPunct="1"/>
            <a:r>
              <a:rPr lang="en-US" b="1" baseline="0">
                <a:solidFill>
                  <a:srgbClr val="0000FF"/>
                </a:solidFill>
                <a:effectLst/>
              </a:rPr>
              <a:t>Inc. / (Dec) in Debt (Short and Long Term)</a:t>
            </a:r>
            <a:endParaRPr lang="en-US" b="1">
              <a:solidFill>
                <a:srgbClr val="0000FF"/>
              </a:solidFill>
              <a:effectLst/>
            </a:endParaRPr>
          </a:p>
          <a:p>
            <a:r>
              <a:rPr lang="en-US" sz="1100" b="1" baseline="0">
                <a:solidFill>
                  <a:schemeClr val="tx1">
                    <a:lumMod val="75000"/>
                    <a:lumOff val="25000"/>
                  </a:schemeClr>
                </a:solidFill>
              </a:rPr>
              <a:t>Short-Term Debt are loans that are less than 12 months long. More than 12 months is Long-Term Debt. </a:t>
            </a:r>
          </a:p>
          <a:p>
            <a:endParaRPr lang="en-US" sz="1100" b="1" baseline="0">
              <a:solidFill>
                <a:schemeClr val="tx1">
                  <a:lumMod val="75000"/>
                  <a:lumOff val="25000"/>
                </a:schemeClr>
              </a:solidFill>
            </a:endParaRPr>
          </a:p>
          <a:p>
            <a:r>
              <a:rPr lang="en-US" sz="1100" b="1" baseline="0">
                <a:solidFill>
                  <a:schemeClr val="tx1">
                    <a:lumMod val="75000"/>
                    <a:lumOff val="25000"/>
                  </a:schemeClr>
                </a:solidFill>
              </a:rPr>
              <a:t>When you receive a loan, it will show as a positive amount on Cash Flow. When you make payments, the principal amount will show as a negative amount, and the interest portion will go on the P&amp;L.</a:t>
            </a:r>
          </a:p>
          <a:p>
            <a:endParaRPr lang="en-US" sz="1100" b="1" baseline="0">
              <a:solidFill>
                <a:schemeClr val="tx1">
                  <a:lumMod val="75000"/>
                  <a:lumOff val="25000"/>
                </a:schemeClr>
              </a:solidFill>
            </a:endParaRPr>
          </a:p>
          <a:p>
            <a:r>
              <a:rPr lang="en-US" sz="1100" b="1" baseline="0">
                <a:solidFill>
                  <a:schemeClr val="tx1">
                    <a:lumMod val="75000"/>
                    <a:lumOff val="25000"/>
                  </a:schemeClr>
                </a:solidFill>
              </a:rPr>
              <a:t>The other component here is "</a:t>
            </a:r>
            <a:r>
              <a:rPr lang="en-US" sz="1100" b="1" baseline="0">
                <a:solidFill>
                  <a:srgbClr val="0000FF"/>
                </a:solidFill>
              </a:rPr>
              <a:t>Current Portion of Long-Term Debt</a:t>
            </a:r>
            <a:r>
              <a:rPr lang="en-US" sz="1100" b="1" baseline="0">
                <a:solidFill>
                  <a:schemeClr val="tx1">
                    <a:lumMod val="75000"/>
                    <a:lumOff val="25000"/>
                  </a:schemeClr>
                </a:solidFill>
              </a:rPr>
              <a:t>." When you have a Long-Term Loan, the amount of principal payments that you'll make over the next 11 months will automatically be shown as Current Portion of Long-Term Debt, and your Long-Term Debt balance will reflect that as well.</a:t>
            </a:r>
          </a:p>
          <a:p>
            <a:endParaRPr lang="en-US" sz="1100" b="1" baseline="0">
              <a:solidFill>
                <a:schemeClr val="tx1">
                  <a:lumMod val="75000"/>
                  <a:lumOff val="25000"/>
                </a:schemeClr>
              </a:solidFill>
            </a:endParaRPr>
          </a:p>
          <a:p>
            <a:r>
              <a:rPr lang="en-US" sz="1100" b="1" baseline="0">
                <a:solidFill>
                  <a:srgbClr val="0000FF"/>
                </a:solidFill>
              </a:rPr>
              <a:t>Net Changes in Cash Flow</a:t>
            </a:r>
          </a:p>
          <a:p>
            <a:r>
              <a:rPr lang="en-US" sz="1100" b="1" baseline="0">
                <a:solidFill>
                  <a:schemeClr val="tx1">
                    <a:lumMod val="75000"/>
                    <a:lumOff val="25000"/>
                  </a:schemeClr>
                </a:solidFill>
              </a:rPr>
              <a:t>This adds up the totals from Operating, Investing, and Financing Activities.</a:t>
            </a:r>
          </a:p>
          <a:p>
            <a:endParaRPr lang="en-US" sz="1100" b="1" baseline="0">
              <a:solidFill>
                <a:schemeClr val="tx1">
                  <a:lumMod val="75000"/>
                  <a:lumOff val="25000"/>
                </a:schemeClr>
              </a:solidFill>
            </a:endParaRPr>
          </a:p>
          <a:p>
            <a:r>
              <a:rPr lang="en-US" sz="1100" b="1" baseline="0">
                <a:solidFill>
                  <a:srgbClr val="0000FF"/>
                </a:solidFill>
              </a:rPr>
              <a:t>Beginning of Period</a:t>
            </a:r>
          </a:p>
          <a:p>
            <a:r>
              <a:rPr lang="en-US" sz="1100" b="1" baseline="0">
                <a:solidFill>
                  <a:schemeClr val="tx1">
                    <a:lumMod val="75000"/>
                    <a:lumOff val="25000"/>
                  </a:schemeClr>
                </a:solidFill>
              </a:rPr>
              <a:t>How much cash you had at the beginning of the month or year.</a:t>
            </a:r>
          </a:p>
          <a:p>
            <a:endParaRPr lang="en-US" sz="1100" b="1" baseline="0">
              <a:solidFill>
                <a:schemeClr val="tx1">
                  <a:lumMod val="75000"/>
                  <a:lumOff val="25000"/>
                </a:schemeClr>
              </a:solidFill>
            </a:endParaRPr>
          </a:p>
          <a:p>
            <a:r>
              <a:rPr lang="en-US" sz="1100" b="1" baseline="0">
                <a:solidFill>
                  <a:srgbClr val="0000FF"/>
                </a:solidFill>
              </a:rPr>
              <a:t>End of Period</a:t>
            </a:r>
          </a:p>
          <a:p>
            <a:r>
              <a:rPr lang="en-US" sz="1100" b="1" baseline="0">
                <a:solidFill>
                  <a:schemeClr val="tx1">
                    <a:lumMod val="75000"/>
                    <a:lumOff val="25000"/>
                  </a:schemeClr>
                </a:solidFill>
              </a:rPr>
              <a:t>We made it to the end! We now see the actual cash amount. The translation from profit on the P&amp;L is complete.</a:t>
            </a:r>
          </a:p>
          <a:p>
            <a:endParaRPr lang="en-US" sz="1100" b="1" baseline="0">
              <a:solidFill>
                <a:schemeClr val="tx1">
                  <a:lumMod val="75000"/>
                  <a:lumOff val="25000"/>
                </a:schemeClr>
              </a:solidFill>
            </a:endParaRPr>
          </a:p>
          <a:p>
            <a:r>
              <a:rPr lang="en-US" sz="1100" b="1" baseline="0">
                <a:solidFill>
                  <a:schemeClr val="tx1">
                    <a:lumMod val="75000"/>
                    <a:lumOff val="25000"/>
                  </a:schemeClr>
                </a:solidFill>
              </a:rPr>
              <a:t>Now let's look at a Cash Flow Statement:</a:t>
            </a:r>
          </a:p>
          <a:p>
            <a:endParaRPr lang="en-US" sz="1100" b="1" baseline="0">
              <a:solidFill>
                <a:schemeClr val="tx1">
                  <a:lumMod val="75000"/>
                  <a:lumOff val="25000"/>
                </a:schemeClr>
              </a:solidFill>
            </a:endParaRPr>
          </a:p>
          <a:p>
            <a:endParaRPr lang="en-US" sz="1100" b="1" baseline="0">
              <a:solidFill>
                <a:schemeClr val="tx1">
                  <a:lumMod val="75000"/>
                  <a:lumOff val="25000"/>
                </a:schemeClr>
              </a:solidFill>
            </a:endParaRPr>
          </a:p>
          <a:p>
            <a:endParaRPr lang="en-US" sz="1100" b="1" baseline="0">
              <a:solidFill>
                <a:srgbClr val="0000FF"/>
              </a:solidFill>
            </a:endParaRPr>
          </a:p>
          <a:p>
            <a:endParaRPr lang="en-US" sz="1100" b="1" baseline="0">
              <a:solidFill>
                <a:srgbClr val="0000FF"/>
              </a:solidFill>
            </a:endParaRPr>
          </a:p>
          <a:p>
            <a:endParaRPr lang="en-US" sz="1100" b="1" baseline="0">
              <a:solidFill>
                <a:schemeClr val="tx1">
                  <a:lumMod val="75000"/>
                  <a:lumOff val="25000"/>
                </a:schemeClr>
              </a:solidFill>
            </a:endParaRPr>
          </a:p>
          <a:p>
            <a:endParaRPr lang="en-US" sz="1100" b="1" baseline="0">
              <a:solidFill>
                <a:schemeClr val="tx1">
                  <a:lumMod val="75000"/>
                  <a:lumOff val="25000"/>
                </a:schemeClr>
              </a:solidFill>
            </a:endParaRPr>
          </a:p>
          <a:p>
            <a:endParaRPr lang="en-US" sz="1100" baseline="0"/>
          </a:p>
          <a:p>
            <a:endParaRPr lang="en-US" sz="1100" baseline="0"/>
          </a:p>
          <a:p>
            <a:endParaRPr lang="en-US" sz="1100" baseline="0"/>
          </a:p>
          <a:p>
            <a:endParaRPr lang="en-US" sz="1100" baseline="0"/>
          </a:p>
          <a:p>
            <a:endParaRPr lang="en-US" sz="1100" baseline="0"/>
          </a:p>
          <a:p>
            <a:endParaRPr lang="en-US" sz="1100" baseline="0"/>
          </a:p>
          <a:p>
            <a:endParaRPr lang="en-US" sz="1100" baseline="0"/>
          </a:p>
          <a:p>
            <a:endParaRPr lang="en-US" sz="1100" baseline="0"/>
          </a:p>
          <a:p>
            <a:endParaRPr lang="en-US" sz="1100" baseline="0"/>
          </a:p>
          <a:p>
            <a:endParaRPr lang="en-US" sz="1100" baseline="0"/>
          </a:p>
          <a:p>
            <a:endParaRPr lang="en-US" sz="1100" baseline="0"/>
          </a:p>
          <a:p>
            <a:endParaRPr lang="en-US" sz="1100" baseline="0"/>
          </a:p>
          <a:p>
            <a:endParaRPr lang="en-US" sz="1100" baseline="0"/>
          </a:p>
          <a:p>
            <a:endParaRPr lang="en-US" sz="1100" baseline="0"/>
          </a:p>
          <a:p>
            <a:endParaRPr lang="en-US" sz="1100" baseline="0"/>
          </a:p>
          <a:p>
            <a:endParaRPr lang="en-US" sz="1100" baseline="0"/>
          </a:p>
          <a:p>
            <a:endParaRPr lang="en-US" sz="1100" baseline="0"/>
          </a:p>
          <a:p>
            <a:endParaRPr lang="en-US" sz="1100" baseline="0"/>
          </a:p>
          <a:p>
            <a:endParaRPr lang="en-US" sz="1100" baseline="0"/>
          </a:p>
          <a:p>
            <a:endParaRPr lang="en-US" sz="1100" baseline="0"/>
          </a:p>
          <a:p>
            <a:endParaRPr lang="en-US" sz="1100" baseline="0"/>
          </a:p>
          <a:p>
            <a:r>
              <a:rPr lang="en-US" sz="1100" b="0" baseline="0"/>
              <a:t>The P&amp;L shows your Net Income - </a:t>
            </a:r>
            <a:r>
              <a:rPr lang="en-US" sz="1100" b="1" baseline="0"/>
              <a:t>which only exists on paper.  It is not the same as cash. </a:t>
            </a:r>
            <a:r>
              <a:rPr lang="en-US" sz="1100" b="0" baseline="0"/>
              <a:t>Unprofitable companies can be worth billions of dollars - e.g. Uber.  Profitable companies go bankrupt everyday - bankrupt doesn't mean you aren't profitable , it means you run out of cash.</a:t>
            </a:r>
          </a:p>
          <a:p>
            <a:endParaRPr lang="en-US" sz="1100" b="0" baseline="0"/>
          </a:p>
          <a:p>
            <a:r>
              <a:rPr lang="en-US" sz="1100" b="1" baseline="0"/>
              <a:t>Think of the P&amp;L as the past.</a:t>
            </a:r>
          </a:p>
          <a:p>
            <a:endParaRPr lang="en-US" sz="1100" b="1" baseline="0"/>
          </a:p>
          <a:p>
            <a:r>
              <a:rPr lang="en-US" sz="1100" b="1" baseline="0">
                <a:solidFill>
                  <a:srgbClr val="0000FF"/>
                </a:solidFill>
              </a:rPr>
              <a:t>Here are the main areas of the Profit &amp; Loss Statement:</a:t>
            </a:r>
          </a:p>
          <a:p>
            <a:endParaRPr lang="en-US" sz="1100" b="1" baseline="0">
              <a:solidFill>
                <a:srgbClr val="0000FF"/>
              </a:solidFill>
            </a:endParaRPr>
          </a:p>
          <a:p>
            <a:r>
              <a:rPr lang="en-US" sz="1100" b="1" baseline="0">
                <a:solidFill>
                  <a:srgbClr val="0000FF"/>
                </a:solidFill>
              </a:rPr>
              <a:t>Revenue</a:t>
            </a:r>
            <a:br>
              <a:rPr lang="en-US" sz="1100" b="1" baseline="0">
                <a:solidFill>
                  <a:schemeClr val="tx1">
                    <a:lumMod val="75000"/>
                    <a:lumOff val="25000"/>
                  </a:schemeClr>
                </a:solidFill>
              </a:rPr>
            </a:br>
            <a:r>
              <a:rPr lang="en-US" sz="1100" b="1" baseline="0">
                <a:solidFill>
                  <a:schemeClr val="tx1">
                    <a:lumMod val="75000"/>
                    <a:lumOff val="25000"/>
                  </a:schemeClr>
                </a:solidFill>
              </a:rPr>
              <a:t>Your income from your sales. Note, if you have annual Recurring Revenue, only the portion that is "earned" in the current month will appear in that month. The rest will go to the Deferred Revenue section on the Balance Sheet.</a:t>
            </a:r>
          </a:p>
          <a:p>
            <a:endParaRPr lang="en-US" sz="1100" b="1" baseline="0">
              <a:solidFill>
                <a:srgbClr val="0000FF"/>
              </a:solidFill>
            </a:endParaRPr>
          </a:p>
          <a:p>
            <a:r>
              <a:rPr lang="en-US" sz="1100" b="1" baseline="0">
                <a:solidFill>
                  <a:srgbClr val="0000FF"/>
                </a:solidFill>
              </a:rPr>
              <a:t>Bad Debt / Returns: </a:t>
            </a:r>
            <a:r>
              <a:rPr lang="en-US" sz="1100" b="1" baseline="0">
                <a:solidFill>
                  <a:schemeClr val="tx1">
                    <a:lumMod val="75000"/>
                    <a:lumOff val="25000"/>
                  </a:schemeClr>
                </a:solidFill>
              </a:rPr>
              <a:t>The returns you have on your sales and the money from sales you project that you won't be able to collect. Retail businesses almost always have Returns, whereas wholesale and consulting businesses may have Bad Debt.</a:t>
            </a:r>
          </a:p>
          <a:p>
            <a:endParaRPr lang="en-US" sz="1100" b="1" baseline="0">
              <a:solidFill>
                <a:schemeClr val="tx1">
                  <a:lumMod val="75000"/>
                  <a:lumOff val="25000"/>
                </a:schemeClr>
              </a:solidFill>
            </a:endParaRPr>
          </a:p>
          <a:p>
            <a:r>
              <a:rPr lang="en-US" sz="1100" b="1" baseline="0">
                <a:solidFill>
                  <a:srgbClr val="0000FF"/>
                </a:solidFill>
              </a:rPr>
              <a:t>Net Revenue</a:t>
            </a:r>
          </a:p>
          <a:p>
            <a:r>
              <a:rPr lang="en-US" sz="1100" b="1" baseline="0">
                <a:solidFill>
                  <a:schemeClr val="tx1">
                    <a:lumMod val="75000"/>
                    <a:lumOff val="25000"/>
                  </a:schemeClr>
                </a:solidFill>
              </a:rPr>
              <a:t>This is simply your Revenue minus your Bad Debt / Returns. </a:t>
            </a:r>
          </a:p>
          <a:p>
            <a:endParaRPr lang="en-US" sz="1100" b="1" baseline="0">
              <a:solidFill>
                <a:schemeClr val="tx1">
                  <a:lumMod val="75000"/>
                  <a:lumOff val="25000"/>
                </a:schemeClr>
              </a:solidFill>
            </a:endParaRPr>
          </a:p>
          <a:p>
            <a:r>
              <a:rPr lang="en-US" sz="1100" b="1" baseline="0">
                <a:solidFill>
                  <a:srgbClr val="0000FF"/>
                </a:solidFill>
              </a:rPr>
              <a:t>COGS (Cost of Goods Sold)</a:t>
            </a:r>
          </a:p>
          <a:p>
            <a:r>
              <a:rPr lang="en-US" sz="1100" b="1" baseline="0">
                <a:solidFill>
                  <a:schemeClr val="tx1">
                    <a:lumMod val="75000"/>
                    <a:lumOff val="25000"/>
                  </a:schemeClr>
                </a:solidFill>
              </a:rPr>
              <a:t>These are the costs you incur when making a sale, such as the cost of your product. Or if you have a service business, it could be the cost of your time. Then it would be called "Cost of Sales." This is different from Sales &amp; Marketing Expenses which you pay before making a sale, and don't correspond one-to-one with your sales.</a:t>
            </a:r>
          </a:p>
          <a:p>
            <a:endParaRPr lang="en-US" sz="1100" b="1" baseline="0">
              <a:solidFill>
                <a:schemeClr val="tx1">
                  <a:lumMod val="75000"/>
                  <a:lumOff val="25000"/>
                </a:schemeClr>
              </a:solidFill>
            </a:endParaRPr>
          </a:p>
          <a:p>
            <a:r>
              <a:rPr lang="en-US" sz="1100" b="1" baseline="0">
                <a:solidFill>
                  <a:srgbClr val="0000FF"/>
                </a:solidFill>
              </a:rPr>
              <a:t>Gross Profit</a:t>
            </a:r>
          </a:p>
          <a:p>
            <a:r>
              <a:rPr lang="en-US" sz="1100" b="1" baseline="0">
                <a:solidFill>
                  <a:schemeClr val="tx1">
                    <a:lumMod val="75000"/>
                    <a:lumOff val="25000"/>
                  </a:schemeClr>
                </a:solidFill>
              </a:rPr>
              <a:t>Subtract COGS from your Net Revenue and you have Gross Profit. If your Gross Profit is too low, you won't have enough money to pay for Sales &amp; Marketing and Operating Expenses.</a:t>
            </a:r>
          </a:p>
          <a:p>
            <a:endParaRPr lang="en-US" sz="1100" b="1" baseline="0">
              <a:solidFill>
                <a:schemeClr val="tx1">
                  <a:lumMod val="75000"/>
                  <a:lumOff val="25000"/>
                </a:schemeClr>
              </a:solidFill>
            </a:endParaRPr>
          </a:p>
          <a:p>
            <a:r>
              <a:rPr lang="en-US" sz="1100" b="1" baseline="0">
                <a:solidFill>
                  <a:srgbClr val="0000FF"/>
                </a:solidFill>
                <a:effectLst/>
                <a:latin typeface="+mn-lt"/>
                <a:ea typeface="+mn-ea"/>
                <a:cs typeface="+mn-cs"/>
              </a:rPr>
              <a:t>Gross Margin</a:t>
            </a:r>
            <a:endParaRPr lang="en-US">
              <a:solidFill>
                <a:srgbClr val="0000FF"/>
              </a:solidFill>
              <a:effectLst/>
            </a:endParaRPr>
          </a:p>
          <a:p>
            <a:r>
              <a:rPr lang="en-US" sz="1100" b="1" baseline="0">
                <a:solidFill>
                  <a:schemeClr val="tx1">
                    <a:lumMod val="75000"/>
                    <a:lumOff val="25000"/>
                  </a:schemeClr>
                </a:solidFill>
                <a:effectLst/>
                <a:latin typeface="+mn-lt"/>
                <a:ea typeface="+mn-ea"/>
                <a:cs typeface="+mn-cs"/>
              </a:rPr>
              <a:t>Gross Profit divided by Net Revenue. This expressed as a percentage. One of the most important ratios to determine the viability of your business.</a:t>
            </a:r>
          </a:p>
          <a:p>
            <a:endParaRPr lang="en-US" sz="1100" b="1" baseline="0">
              <a:solidFill>
                <a:schemeClr val="tx1">
                  <a:lumMod val="75000"/>
                  <a:lumOff val="25000"/>
                </a:schemeClr>
              </a:solidFill>
              <a:effectLst/>
              <a:latin typeface="+mn-lt"/>
              <a:ea typeface="+mn-ea"/>
              <a:cs typeface="+mn-cs"/>
            </a:endParaRPr>
          </a:p>
          <a:p>
            <a:r>
              <a:rPr lang="en-US" sz="1100" b="1">
                <a:solidFill>
                  <a:srgbClr val="0000FF"/>
                </a:solidFill>
                <a:effectLst/>
                <a:latin typeface="+mn-lt"/>
                <a:ea typeface="+mn-ea"/>
                <a:cs typeface="+mn-cs"/>
              </a:rPr>
              <a:t>Sales &amp; Marketing</a:t>
            </a:r>
            <a:r>
              <a:rPr lang="en-US" sz="1100" b="1" baseline="0">
                <a:solidFill>
                  <a:srgbClr val="0000FF"/>
                </a:solidFill>
                <a:effectLst/>
                <a:latin typeface="+mn-lt"/>
                <a:ea typeface="+mn-ea"/>
                <a:cs typeface="+mn-cs"/>
              </a:rPr>
              <a:t> Expenses</a:t>
            </a:r>
            <a:endParaRPr lang="en-US">
              <a:solidFill>
                <a:srgbClr val="0000FF"/>
              </a:solidFill>
              <a:effectLst/>
            </a:endParaRPr>
          </a:p>
          <a:p>
            <a:r>
              <a:rPr lang="en-US" sz="1100" b="1">
                <a:solidFill>
                  <a:schemeClr val="tx1">
                    <a:lumMod val="75000"/>
                    <a:lumOff val="25000"/>
                  </a:schemeClr>
                </a:solidFill>
                <a:effectLst/>
                <a:latin typeface="+mn-lt"/>
                <a:ea typeface="+mn-ea"/>
                <a:cs typeface="+mn-cs"/>
              </a:rPr>
              <a:t>Pretty self-explanatory. As the old saying goes:</a:t>
            </a:r>
            <a:r>
              <a:rPr lang="en-US" sz="1100" b="1" baseline="0">
                <a:solidFill>
                  <a:schemeClr val="tx1">
                    <a:lumMod val="75000"/>
                    <a:lumOff val="25000"/>
                  </a:schemeClr>
                </a:solidFill>
                <a:effectLst/>
                <a:latin typeface="+mn-lt"/>
                <a:ea typeface="+mn-ea"/>
                <a:cs typeface="+mn-cs"/>
              </a:rPr>
              <a:t> "I know half of my advertising budget is a waste of money. I just don't know which half."</a:t>
            </a:r>
          </a:p>
          <a:p>
            <a:endParaRPr lang="en-US" sz="1100" b="1" baseline="0">
              <a:solidFill>
                <a:schemeClr val="tx1">
                  <a:lumMod val="75000"/>
                  <a:lumOff val="25000"/>
                </a:schemeClr>
              </a:solidFill>
              <a:effectLst/>
              <a:latin typeface="+mn-lt"/>
              <a:ea typeface="+mn-ea"/>
              <a:cs typeface="+mn-cs"/>
            </a:endParaRPr>
          </a:p>
          <a:p>
            <a:r>
              <a:rPr lang="en-US" sz="1100" b="1" baseline="0">
                <a:solidFill>
                  <a:srgbClr val="0000FF"/>
                </a:solidFill>
                <a:effectLst/>
                <a:latin typeface="+mn-lt"/>
                <a:ea typeface="+mn-ea"/>
                <a:cs typeface="+mn-cs"/>
              </a:rPr>
              <a:t>Operating Expenses</a:t>
            </a:r>
          </a:p>
          <a:p>
            <a:r>
              <a:rPr lang="en-US" sz="1100" b="1" baseline="0">
                <a:solidFill>
                  <a:schemeClr val="tx1">
                    <a:lumMod val="75000"/>
                    <a:lumOff val="25000"/>
                  </a:schemeClr>
                </a:solidFill>
                <a:effectLst/>
                <a:latin typeface="+mn-lt"/>
                <a:ea typeface="+mn-ea"/>
                <a:cs typeface="+mn-cs"/>
              </a:rPr>
              <a:t>Also called "Fixed Expenses." These are expenses you incur whether or not you have sales - such as Salaries, Rent, Insurance, etc. Many startups underestimate how many Operating Expenses they will have, and how much they will be.</a:t>
            </a:r>
          </a:p>
          <a:p>
            <a:endParaRPr lang="en-US" sz="1100" b="1" baseline="0">
              <a:solidFill>
                <a:schemeClr val="tx1">
                  <a:lumMod val="75000"/>
                  <a:lumOff val="25000"/>
                </a:schemeClr>
              </a:solidFill>
              <a:effectLst/>
              <a:latin typeface="+mn-lt"/>
              <a:ea typeface="+mn-ea"/>
              <a:cs typeface="+mn-cs"/>
            </a:endParaRPr>
          </a:p>
          <a:p>
            <a:r>
              <a:rPr lang="en-US" sz="1100" b="1" baseline="0">
                <a:solidFill>
                  <a:srgbClr val="0000FF"/>
                </a:solidFill>
                <a:effectLst/>
                <a:latin typeface="+mn-lt"/>
                <a:ea typeface="+mn-ea"/>
                <a:cs typeface="+mn-cs"/>
              </a:rPr>
              <a:t>EBITDA</a:t>
            </a:r>
          </a:p>
          <a:p>
            <a:r>
              <a:rPr lang="en-US" sz="1100" b="1" baseline="0">
                <a:solidFill>
                  <a:srgbClr val="0000FF"/>
                </a:solidFill>
                <a:effectLst/>
                <a:latin typeface="+mn-lt"/>
                <a:ea typeface="+mn-ea"/>
                <a:cs typeface="+mn-cs"/>
              </a:rPr>
              <a:t>E</a:t>
            </a:r>
            <a:r>
              <a:rPr lang="en-US" sz="1100" b="1" baseline="0">
                <a:solidFill>
                  <a:schemeClr val="tx1">
                    <a:lumMod val="75000"/>
                    <a:lumOff val="25000"/>
                  </a:schemeClr>
                </a:solidFill>
                <a:effectLst/>
                <a:latin typeface="+mn-lt"/>
                <a:ea typeface="+mn-ea"/>
                <a:cs typeface="+mn-cs"/>
              </a:rPr>
              <a:t>arnings </a:t>
            </a:r>
            <a:r>
              <a:rPr lang="en-US" sz="1100" b="1" baseline="0">
                <a:solidFill>
                  <a:srgbClr val="0000FF"/>
                </a:solidFill>
                <a:effectLst/>
                <a:latin typeface="+mn-lt"/>
                <a:ea typeface="+mn-ea"/>
                <a:cs typeface="+mn-cs"/>
              </a:rPr>
              <a:t>B</a:t>
            </a:r>
            <a:r>
              <a:rPr lang="en-US" sz="1100" b="1" baseline="0">
                <a:solidFill>
                  <a:schemeClr val="tx1">
                    <a:lumMod val="75000"/>
                    <a:lumOff val="25000"/>
                  </a:schemeClr>
                </a:solidFill>
                <a:effectLst/>
                <a:latin typeface="+mn-lt"/>
                <a:ea typeface="+mn-ea"/>
                <a:cs typeface="+mn-cs"/>
              </a:rPr>
              <a:t>efore </a:t>
            </a:r>
            <a:r>
              <a:rPr lang="en-US" sz="1100" b="1" baseline="0">
                <a:solidFill>
                  <a:srgbClr val="0000FF"/>
                </a:solidFill>
                <a:effectLst/>
                <a:latin typeface="+mn-lt"/>
                <a:ea typeface="+mn-ea"/>
                <a:cs typeface="+mn-cs"/>
              </a:rPr>
              <a:t>I</a:t>
            </a:r>
            <a:r>
              <a:rPr lang="en-US" sz="1100" b="1" baseline="0">
                <a:solidFill>
                  <a:schemeClr val="tx1">
                    <a:lumMod val="75000"/>
                    <a:lumOff val="25000"/>
                  </a:schemeClr>
                </a:solidFill>
                <a:effectLst/>
                <a:latin typeface="+mn-lt"/>
                <a:ea typeface="+mn-ea"/>
                <a:cs typeface="+mn-cs"/>
              </a:rPr>
              <a:t>nterest, </a:t>
            </a:r>
            <a:r>
              <a:rPr lang="en-US" sz="1100" b="1" baseline="0">
                <a:solidFill>
                  <a:srgbClr val="0000FF"/>
                </a:solidFill>
                <a:effectLst/>
                <a:latin typeface="+mn-lt"/>
                <a:ea typeface="+mn-ea"/>
                <a:cs typeface="+mn-cs"/>
              </a:rPr>
              <a:t>T</a:t>
            </a:r>
            <a:r>
              <a:rPr lang="en-US" sz="1100" b="1" baseline="0">
                <a:solidFill>
                  <a:schemeClr val="tx1">
                    <a:lumMod val="75000"/>
                    <a:lumOff val="25000"/>
                  </a:schemeClr>
                </a:solidFill>
                <a:effectLst/>
                <a:latin typeface="+mn-lt"/>
                <a:ea typeface="+mn-ea"/>
                <a:cs typeface="+mn-cs"/>
              </a:rPr>
              <a:t>axes, </a:t>
            </a:r>
            <a:r>
              <a:rPr lang="en-US" sz="1100" b="1" baseline="0">
                <a:solidFill>
                  <a:srgbClr val="0000FF"/>
                </a:solidFill>
                <a:effectLst/>
                <a:latin typeface="+mn-lt"/>
                <a:ea typeface="+mn-ea"/>
                <a:cs typeface="+mn-cs"/>
              </a:rPr>
              <a:t>D</a:t>
            </a:r>
            <a:r>
              <a:rPr lang="en-US" sz="1100" b="1" baseline="0">
                <a:solidFill>
                  <a:schemeClr val="tx1">
                    <a:lumMod val="75000"/>
                    <a:lumOff val="25000"/>
                  </a:schemeClr>
                </a:solidFill>
                <a:effectLst/>
                <a:latin typeface="+mn-lt"/>
                <a:ea typeface="+mn-ea"/>
                <a:cs typeface="+mn-cs"/>
              </a:rPr>
              <a:t>epreciation, and </a:t>
            </a:r>
            <a:r>
              <a:rPr lang="en-US" sz="1100" b="1" baseline="0">
                <a:solidFill>
                  <a:srgbClr val="0000FF"/>
                </a:solidFill>
                <a:effectLst/>
                <a:latin typeface="+mn-lt"/>
                <a:ea typeface="+mn-ea"/>
                <a:cs typeface="+mn-cs"/>
              </a:rPr>
              <a:t>A</a:t>
            </a:r>
            <a:r>
              <a:rPr lang="en-US" sz="1100" b="1" baseline="0">
                <a:solidFill>
                  <a:schemeClr val="tx1">
                    <a:lumMod val="75000"/>
                    <a:lumOff val="25000"/>
                  </a:schemeClr>
                </a:solidFill>
                <a:effectLst/>
                <a:latin typeface="+mn-lt"/>
                <a:ea typeface="+mn-ea"/>
                <a:cs typeface="+mn-cs"/>
              </a:rPr>
              <a:t>mortization</a:t>
            </a:r>
          </a:p>
          <a:p>
            <a:r>
              <a:rPr lang="en-US" sz="1100" b="1" baseline="0">
                <a:solidFill>
                  <a:schemeClr val="tx1">
                    <a:lumMod val="75000"/>
                    <a:lumOff val="25000"/>
                  </a:schemeClr>
                </a:solidFill>
                <a:effectLst/>
                <a:latin typeface="+mn-lt"/>
                <a:ea typeface="+mn-ea"/>
                <a:cs typeface="+mn-cs"/>
              </a:rPr>
              <a:t>Also known as Operating Income. EBITDA is Gross Profit minus Sales &amp; Marketing Expenses minus Operating Expenses.</a:t>
            </a:r>
          </a:p>
          <a:p>
            <a:endParaRPr lang="en-US" sz="1100" b="1" baseline="0">
              <a:solidFill>
                <a:schemeClr val="tx1">
                  <a:lumMod val="75000"/>
                  <a:lumOff val="25000"/>
                </a:schemeClr>
              </a:solidFill>
              <a:effectLst/>
              <a:latin typeface="+mn-lt"/>
              <a:ea typeface="+mn-ea"/>
              <a:cs typeface="+mn-cs"/>
            </a:endParaRPr>
          </a:p>
          <a:p>
            <a:r>
              <a:rPr lang="en-US" sz="1100" b="1" baseline="0">
                <a:solidFill>
                  <a:srgbClr val="0000FF"/>
                </a:solidFill>
                <a:effectLst/>
                <a:latin typeface="+mn-lt"/>
                <a:ea typeface="+mn-ea"/>
                <a:cs typeface="+mn-cs"/>
              </a:rPr>
              <a:t>Interest Expense</a:t>
            </a:r>
          </a:p>
          <a:p>
            <a:r>
              <a:rPr lang="en-US" sz="1100" b="1" baseline="0">
                <a:solidFill>
                  <a:schemeClr val="tx1">
                    <a:lumMod val="75000"/>
                    <a:lumOff val="25000"/>
                  </a:schemeClr>
                </a:solidFill>
                <a:effectLst/>
                <a:latin typeface="+mn-lt"/>
                <a:ea typeface="+mn-ea"/>
                <a:cs typeface="+mn-cs"/>
              </a:rPr>
              <a:t>This is the interest on any loans you have. Here at EZ Numbers, we're often asked by loan payments as a whole don't appear on the P&amp;L. Think back to the Lemonade Stand. That $15 loan from Mom wasn't part of Sales. Loans coming in or going out don't go on the P&amp;L. But the amount you pay in interest does go on the P&amp;L, because it's viewed as essentially the cost of business of getting the loan.</a:t>
            </a:r>
          </a:p>
          <a:p>
            <a:endParaRPr lang="en-US" sz="1100" b="1" baseline="0">
              <a:solidFill>
                <a:schemeClr val="tx1">
                  <a:lumMod val="75000"/>
                  <a:lumOff val="25000"/>
                </a:schemeClr>
              </a:solidFill>
              <a:effectLst/>
              <a:latin typeface="+mn-lt"/>
              <a:ea typeface="+mn-ea"/>
              <a:cs typeface="+mn-cs"/>
            </a:endParaRPr>
          </a:p>
          <a:p>
            <a:r>
              <a:rPr lang="en-US" sz="1100" b="1" baseline="0">
                <a:solidFill>
                  <a:srgbClr val="0000FF"/>
                </a:solidFill>
                <a:effectLst/>
                <a:latin typeface="+mn-lt"/>
                <a:ea typeface="+mn-ea"/>
                <a:cs typeface="+mn-cs"/>
              </a:rPr>
              <a:t>Taxes</a:t>
            </a:r>
          </a:p>
          <a:p>
            <a:r>
              <a:rPr lang="en-US" sz="1100" b="1" baseline="0">
                <a:solidFill>
                  <a:schemeClr val="tx1">
                    <a:lumMod val="75000"/>
                    <a:lumOff val="25000"/>
                  </a:schemeClr>
                </a:solidFill>
                <a:effectLst/>
                <a:latin typeface="+mn-lt"/>
                <a:ea typeface="+mn-ea"/>
                <a:cs typeface="+mn-cs"/>
              </a:rPr>
              <a:t>If your company is a C Corp, taxes will appear here, as a flat 21% of your Taxable Income, which is EBITDA minus Interest Expense, Depreciation, and Amortization. If you have a loss in early periods, or in your Historicals, it will offset future Taxable Income. So you may not see Taxes appear in the first year in which you have positive Net Income.</a:t>
            </a:r>
          </a:p>
          <a:p>
            <a:endParaRPr lang="en-US" sz="1100" b="1" baseline="0">
              <a:solidFill>
                <a:schemeClr val="tx1">
                  <a:lumMod val="75000"/>
                  <a:lumOff val="25000"/>
                </a:schemeClr>
              </a:solidFill>
              <a:effectLst/>
              <a:latin typeface="+mn-lt"/>
              <a:ea typeface="+mn-ea"/>
              <a:cs typeface="+mn-cs"/>
            </a:endParaRPr>
          </a:p>
          <a:p>
            <a:r>
              <a:rPr lang="en-US" sz="1100" b="1" baseline="0">
                <a:solidFill>
                  <a:srgbClr val="0000FF"/>
                </a:solidFill>
                <a:effectLst/>
                <a:latin typeface="+mn-lt"/>
                <a:ea typeface="+mn-ea"/>
                <a:cs typeface="+mn-cs"/>
              </a:rPr>
              <a:t>Depreciation</a:t>
            </a:r>
          </a:p>
          <a:p>
            <a:r>
              <a:rPr lang="en-US" sz="1100" b="1" baseline="0">
                <a:solidFill>
                  <a:schemeClr val="tx1">
                    <a:lumMod val="75000"/>
                    <a:lumOff val="25000"/>
                  </a:schemeClr>
                </a:solidFill>
                <a:effectLst/>
                <a:latin typeface="+mn-lt"/>
                <a:ea typeface="+mn-ea"/>
                <a:cs typeface="+mn-cs"/>
              </a:rPr>
              <a:t>Let's say you buy a fancy Italian lemon press. It costs $5,000, and you expect that it will last for five years. If you put the whole $5,000 cost on the P&amp;L in that month and year, it will distort your profitability, by decreasing your profit in that first year. So since you use this equipment or other Tangible Asset  for five years, we "Capitalize" it and only put one fifth of the cost on the P&amp;L in each year. This doesn't affect Cash, though, since you still spent the whole $5,000. We'll see this on Cash Flow. </a:t>
            </a:r>
          </a:p>
          <a:p>
            <a:endParaRPr lang="en-US" sz="1100" b="1" baseline="0">
              <a:solidFill>
                <a:schemeClr val="tx1">
                  <a:lumMod val="75000"/>
                  <a:lumOff val="25000"/>
                </a:schemeClr>
              </a:solidFill>
              <a:effectLst/>
              <a:latin typeface="+mn-lt"/>
              <a:ea typeface="+mn-ea"/>
              <a:cs typeface="+mn-cs"/>
            </a:endParaRPr>
          </a:p>
          <a:p>
            <a:r>
              <a:rPr lang="en-US" sz="1100" b="1" baseline="0">
                <a:solidFill>
                  <a:srgbClr val="0000FF"/>
                </a:solidFill>
                <a:effectLst/>
                <a:latin typeface="+mn-lt"/>
                <a:ea typeface="+mn-ea"/>
                <a:cs typeface="+mn-cs"/>
              </a:rPr>
              <a:t>Amortization</a:t>
            </a:r>
          </a:p>
          <a:p>
            <a:r>
              <a:rPr lang="en-US" sz="1100" b="1" baseline="0">
                <a:solidFill>
                  <a:schemeClr val="tx1">
                    <a:lumMod val="75000"/>
                    <a:lumOff val="25000"/>
                  </a:schemeClr>
                </a:solidFill>
                <a:effectLst/>
                <a:latin typeface="+mn-lt"/>
                <a:ea typeface="+mn-ea"/>
                <a:cs typeface="+mn-cs"/>
              </a:rPr>
              <a:t>Similar to Depreciation, Amortization is for Intangible assets like Patents, Trademarks, etc.</a:t>
            </a:r>
            <a:endParaRPr lang="en-US" sz="1100" b="1" baseline="0"/>
          </a:p>
          <a:p>
            <a:endParaRPr lang="en-US" sz="1100" b="1" baseline="0"/>
          </a:p>
          <a:p>
            <a:r>
              <a:rPr lang="en-US" sz="1100" b="1" baseline="0">
                <a:solidFill>
                  <a:srgbClr val="0000FF"/>
                </a:solidFill>
              </a:rPr>
              <a:t>Net Income / (Loss)</a:t>
            </a:r>
          </a:p>
          <a:p>
            <a:r>
              <a:rPr lang="en-US" sz="1100" b="1" baseline="0">
                <a:solidFill>
                  <a:schemeClr val="tx1">
                    <a:lumMod val="75000"/>
                    <a:lumOff val="25000"/>
                  </a:schemeClr>
                </a:solidFill>
              </a:rPr>
              <a:t>Subtract ITDA - Interest, Taxes, Depreciation, and Amortization from EBITDA and you wind up with Net Income, or Net Loss it's negative. Also known as Profit, or Earnings. This is the "bottom line."</a:t>
            </a:r>
          </a:p>
          <a:p>
            <a:endParaRPr lang="en-US" sz="1100" b="1" baseline="0">
              <a:solidFill>
                <a:schemeClr val="tx1">
                  <a:lumMod val="75000"/>
                  <a:lumOff val="25000"/>
                </a:schemeClr>
              </a:solidFill>
            </a:endParaRPr>
          </a:p>
          <a:p>
            <a:r>
              <a:rPr lang="en-US" sz="1100" b="1" baseline="0">
                <a:solidFill>
                  <a:schemeClr val="tx1">
                    <a:lumMod val="75000"/>
                    <a:lumOff val="25000"/>
                  </a:schemeClr>
                </a:solidFill>
              </a:rPr>
              <a:t>Now let's look at a sample P&amp;L created with EZ Numbers:</a:t>
            </a:r>
          </a:p>
          <a:p>
            <a:endParaRPr lang="en-US" sz="1100" b="1" baseline="0">
              <a:solidFill>
                <a:schemeClr val="tx1">
                  <a:lumMod val="75000"/>
                  <a:lumOff val="25000"/>
                </a:schemeClr>
              </a:solidFill>
            </a:endParaRPr>
          </a:p>
          <a:p>
            <a:endParaRPr lang="en-US" sz="1100" b="1" baseline="0"/>
          </a:p>
          <a:p>
            <a:endParaRPr lang="en-US" sz="1100" b="1" baseline="0"/>
          </a:p>
          <a:p>
            <a:endParaRPr lang="en-US" sz="1100" b="1" baseline="0"/>
          </a:p>
          <a:p>
            <a:endParaRPr lang="en-US" sz="1100" b="1" baseline="0"/>
          </a:p>
          <a:p>
            <a:endParaRPr lang="en-US" sz="1100" b="1" baseline="0"/>
          </a:p>
          <a:p>
            <a:endParaRPr lang="en-US" sz="1100" b="1" baseline="0"/>
          </a:p>
          <a:p>
            <a:endParaRPr lang="en-US" sz="1100" b="1" baseline="0"/>
          </a:p>
          <a:p>
            <a:endParaRPr lang="en-US" sz="1100" b="1" baseline="0"/>
          </a:p>
          <a:p>
            <a:endParaRPr lang="en-US" sz="1100" b="1" baseline="0"/>
          </a:p>
          <a:p>
            <a:endParaRPr lang="en-US" sz="1100" b="1" baseline="0"/>
          </a:p>
          <a:p>
            <a:endParaRPr lang="en-US" sz="1100" b="0" baseline="0"/>
          </a:p>
          <a:p>
            <a:endParaRPr lang="en-US" sz="1100" b="0"/>
          </a:p>
        </xdr:txBody>
      </xdr:sp>
      <xdr:grpSp>
        <xdr:nvGrpSpPr>
          <xdr:cNvPr id="166" name="Group 165">
            <a:extLst>
              <a:ext uri="{FF2B5EF4-FFF2-40B4-BE49-F238E27FC236}">
                <a16:creationId xmlns:a16="http://schemas.microsoft.com/office/drawing/2014/main" id="{00000000-0008-0000-0000-0000A6000000}"/>
              </a:ext>
            </a:extLst>
          </xdr:cNvPr>
          <xdr:cNvGrpSpPr/>
        </xdr:nvGrpSpPr>
        <xdr:grpSpPr>
          <a:xfrm>
            <a:off x="1724025" y="104032050"/>
            <a:ext cx="11124724" cy="5095460"/>
            <a:chOff x="13773150" y="87391875"/>
            <a:chExt cx="11124724" cy="5095460"/>
          </a:xfrm>
        </xdr:grpSpPr>
        <xdr:pic>
          <xdr:nvPicPr>
            <xdr:cNvPr id="167" name="Picture 166">
              <a:extLst>
                <a:ext uri="{FF2B5EF4-FFF2-40B4-BE49-F238E27FC236}">
                  <a16:creationId xmlns:a16="http://schemas.microsoft.com/office/drawing/2014/main" id="{00000000-0008-0000-0000-0000A7000000}"/>
                </a:ext>
              </a:extLst>
            </xdr:cNvPr>
            <xdr:cNvPicPr>
              <a:picLocks noChangeAspect="1"/>
            </xdr:cNvPicPr>
          </xdr:nvPicPr>
          <xdr:blipFill>
            <a:blip xmlns:r="http://schemas.openxmlformats.org/officeDocument/2006/relationships" r:embed="rId29"/>
            <a:stretch>
              <a:fillRect/>
            </a:stretch>
          </xdr:blipFill>
          <xdr:spPr>
            <a:xfrm>
              <a:off x="13906500" y="87963375"/>
              <a:ext cx="2457143" cy="4504762"/>
            </a:xfrm>
            <a:prstGeom prst="rect">
              <a:avLst/>
            </a:prstGeom>
          </xdr:spPr>
        </xdr:pic>
        <xdr:grpSp>
          <xdr:nvGrpSpPr>
            <xdr:cNvPr id="168" name="Group 167">
              <a:extLst>
                <a:ext uri="{FF2B5EF4-FFF2-40B4-BE49-F238E27FC236}">
                  <a16:creationId xmlns:a16="http://schemas.microsoft.com/office/drawing/2014/main" id="{00000000-0008-0000-0000-0000A8000000}"/>
                </a:ext>
              </a:extLst>
            </xdr:cNvPr>
            <xdr:cNvGrpSpPr/>
          </xdr:nvGrpSpPr>
          <xdr:grpSpPr>
            <a:xfrm>
              <a:off x="17002125" y="87391875"/>
              <a:ext cx="7895749" cy="5095460"/>
              <a:chOff x="17002125" y="87391875"/>
              <a:chExt cx="7895749" cy="5095460"/>
            </a:xfrm>
          </xdr:grpSpPr>
          <xdr:sp macro="" textlink="">
            <xdr:nvSpPr>
              <xdr:cNvPr id="190" name="TextBox 189">
                <a:extLst>
                  <a:ext uri="{FF2B5EF4-FFF2-40B4-BE49-F238E27FC236}">
                    <a16:creationId xmlns:a16="http://schemas.microsoft.com/office/drawing/2014/main" id="{00000000-0008-0000-0000-0000BE000000}"/>
                  </a:ext>
                </a:extLst>
              </xdr:cNvPr>
              <xdr:cNvSpPr txBox="1"/>
            </xdr:nvSpPr>
            <xdr:spPr>
              <a:xfrm>
                <a:off x="17002125" y="88488288"/>
                <a:ext cx="5980914" cy="437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Receivables - </a:t>
                </a:r>
                <a:r>
                  <a:rPr lang="en-US" sz="1100" b="1" baseline="0">
                    <a:solidFill>
                      <a:schemeClr val="tx1">
                        <a:lumMod val="75000"/>
                        <a:lumOff val="25000"/>
                      </a:schemeClr>
                    </a:solidFill>
                    <a:effectLst/>
                    <a:latin typeface="+mn-lt"/>
                    <a:ea typeface="+mn-ea"/>
                    <a:cs typeface="+mn-cs"/>
                  </a:rPr>
                  <a:t>The money you're waiting on from your customers. Note, this is the change in your AR from the prior period, not the the amount of Receivables you have, that's on the Balance Sheet. </a:t>
                </a:r>
                <a:endParaRPr lang="en-US" sz="1100" b="1" baseline="0">
                  <a:solidFill>
                    <a:schemeClr val="tx1">
                      <a:lumMod val="75000"/>
                      <a:lumOff val="25000"/>
                    </a:schemeClr>
                  </a:solidFill>
                </a:endParaRPr>
              </a:p>
            </xdr:txBody>
          </xdr:sp>
          <xdr:sp macro="" textlink="">
            <xdr:nvSpPr>
              <xdr:cNvPr id="191" name="TextBox 190">
                <a:extLst>
                  <a:ext uri="{FF2B5EF4-FFF2-40B4-BE49-F238E27FC236}">
                    <a16:creationId xmlns:a16="http://schemas.microsoft.com/office/drawing/2014/main" id="{00000000-0008-0000-0000-0000BF000000}"/>
                  </a:ext>
                </a:extLst>
              </xdr:cNvPr>
              <xdr:cNvSpPr txBox="1"/>
            </xdr:nvSpPr>
            <xdr:spPr>
              <a:xfrm>
                <a:off x="17002125" y="90231546"/>
                <a:ext cx="6130636" cy="2800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Fixed Assets - </a:t>
                </a:r>
                <a:r>
                  <a:rPr lang="en-US" sz="1100" b="1" baseline="0">
                    <a:solidFill>
                      <a:schemeClr val="tx1">
                        <a:lumMod val="75000"/>
                        <a:lumOff val="25000"/>
                      </a:schemeClr>
                    </a:solidFill>
                    <a:effectLst/>
                    <a:latin typeface="+mn-lt"/>
                    <a:ea typeface="+mn-ea"/>
                    <a:cs typeface="+mn-cs"/>
                  </a:rPr>
                  <a:t>These are the costs for the Tangible Assets you purchase - equipement, furniture, etc. </a:t>
                </a:r>
                <a:endParaRPr lang="en-US" sz="1100" b="1" baseline="0">
                  <a:solidFill>
                    <a:schemeClr val="tx1">
                      <a:lumMod val="75000"/>
                      <a:lumOff val="25000"/>
                    </a:schemeClr>
                  </a:solidFill>
                </a:endParaRPr>
              </a:p>
            </xdr:txBody>
          </xdr:sp>
          <xdr:sp macro="" textlink="">
            <xdr:nvSpPr>
              <xdr:cNvPr id="192" name="TextBox 191">
                <a:extLst>
                  <a:ext uri="{FF2B5EF4-FFF2-40B4-BE49-F238E27FC236}">
                    <a16:creationId xmlns:a16="http://schemas.microsoft.com/office/drawing/2014/main" id="{00000000-0008-0000-0000-0000C0000000}"/>
                  </a:ext>
                </a:extLst>
              </xdr:cNvPr>
              <xdr:cNvSpPr txBox="1"/>
            </xdr:nvSpPr>
            <xdr:spPr>
              <a:xfrm>
                <a:off x="17002125" y="87391875"/>
                <a:ext cx="5421129" cy="2865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Net Income</a:t>
                </a:r>
                <a:r>
                  <a:rPr lang="en-US" sz="1100" b="1" baseline="0">
                    <a:solidFill>
                      <a:srgbClr val="0000FF"/>
                    </a:solidFill>
                    <a:effectLst/>
                    <a:latin typeface="+mn-lt"/>
                    <a:ea typeface="+mn-ea"/>
                    <a:cs typeface="+mn-cs"/>
                  </a:rPr>
                  <a:t> - </a:t>
                </a:r>
                <a:r>
                  <a:rPr lang="en-US" sz="1100" b="1" baseline="0">
                    <a:solidFill>
                      <a:schemeClr val="tx1">
                        <a:lumMod val="75000"/>
                        <a:lumOff val="25000"/>
                      </a:schemeClr>
                    </a:solidFill>
                    <a:effectLst/>
                    <a:latin typeface="+mn-lt"/>
                    <a:ea typeface="+mn-ea"/>
                    <a:cs typeface="+mn-cs"/>
                  </a:rPr>
                  <a:t>Note how the Bottom Line from the P&amp;L is the top line on Cash Flow.</a:t>
                </a:r>
                <a:endParaRPr lang="en-US" sz="1100" b="1" baseline="0">
                  <a:solidFill>
                    <a:schemeClr val="tx1">
                      <a:lumMod val="75000"/>
                      <a:lumOff val="25000"/>
                    </a:schemeClr>
                  </a:solidFill>
                </a:endParaRPr>
              </a:p>
            </xdr:txBody>
          </xdr:sp>
          <xdr:sp macro="" textlink="">
            <xdr:nvSpPr>
              <xdr:cNvPr id="193" name="TextBox 192">
                <a:extLst>
                  <a:ext uri="{FF2B5EF4-FFF2-40B4-BE49-F238E27FC236}">
                    <a16:creationId xmlns:a16="http://schemas.microsoft.com/office/drawing/2014/main" id="{00000000-0008-0000-0000-0000C1000000}"/>
                  </a:ext>
                </a:extLst>
              </xdr:cNvPr>
              <xdr:cNvSpPr txBox="1"/>
            </xdr:nvSpPr>
            <xdr:spPr>
              <a:xfrm>
                <a:off x="17002125" y="87681988"/>
                <a:ext cx="5482774" cy="886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Depreciation and Amortization</a:t>
                </a:r>
                <a:r>
                  <a:rPr lang="en-US" sz="1100" b="1" baseline="0">
                    <a:solidFill>
                      <a:srgbClr val="0000FF"/>
                    </a:solidFill>
                    <a:effectLst/>
                    <a:latin typeface="+mn-lt"/>
                    <a:ea typeface="+mn-ea"/>
                    <a:cs typeface="+mn-cs"/>
                  </a:rPr>
                  <a:t> - </a:t>
                </a:r>
                <a:r>
                  <a:rPr lang="en-US" sz="1100" b="1" baseline="0">
                    <a:solidFill>
                      <a:schemeClr val="tx1">
                        <a:lumMod val="75000"/>
                        <a:lumOff val="25000"/>
                      </a:schemeClr>
                    </a:solidFill>
                    <a:effectLst/>
                    <a:latin typeface="+mn-lt"/>
                    <a:ea typeface="+mn-ea"/>
                    <a:cs typeface="+mn-cs"/>
                  </a:rPr>
                  <a:t>These are the same amounts as on the P&amp;L.  They are added back on Cash Flow, because unlike Taxes and Interest - Depreciation and Amortization aren't actually paid to anyone - they're simply the amount of the expense for an item that Cash Flow has already fully recorded that appears on the P&amp;L in that period.</a:t>
                </a:r>
                <a:endParaRPr lang="en-US" sz="1100" b="1" baseline="0">
                  <a:solidFill>
                    <a:schemeClr val="tx1">
                      <a:lumMod val="75000"/>
                      <a:lumOff val="25000"/>
                    </a:schemeClr>
                  </a:solidFill>
                </a:endParaRPr>
              </a:p>
            </xdr:txBody>
          </xdr:sp>
          <xdr:sp macro="" textlink="">
            <xdr:nvSpPr>
              <xdr:cNvPr id="194" name="TextBox 193">
                <a:extLst>
                  <a:ext uri="{FF2B5EF4-FFF2-40B4-BE49-F238E27FC236}">
                    <a16:creationId xmlns:a16="http://schemas.microsoft.com/office/drawing/2014/main" id="{00000000-0008-0000-0000-0000C2000000}"/>
                  </a:ext>
                </a:extLst>
              </xdr:cNvPr>
              <xdr:cNvSpPr txBox="1"/>
            </xdr:nvSpPr>
            <xdr:spPr>
              <a:xfrm>
                <a:off x="17002125" y="89537370"/>
                <a:ext cx="7281232" cy="44530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Inventory - </a:t>
                </a:r>
                <a:r>
                  <a:rPr lang="en-US" sz="1100" b="1" baseline="0">
                    <a:solidFill>
                      <a:schemeClr val="tx1">
                        <a:lumMod val="75000"/>
                        <a:lumOff val="25000"/>
                      </a:schemeClr>
                    </a:solidFill>
                    <a:effectLst/>
                    <a:latin typeface="+mn-lt"/>
                    <a:ea typeface="+mn-ea"/>
                    <a:cs typeface="+mn-cs"/>
                  </a:rPr>
                  <a:t>When you purchase inventory, this shows as a negative amount (in parentheses) on Cash Flow. It's positive when it goes down on the Balance Sheet as that indicates that amount of inventory has become Cost of Goods Sold. </a:t>
                </a:r>
                <a:endParaRPr lang="en-US" sz="1100" b="1" baseline="0">
                  <a:solidFill>
                    <a:schemeClr val="tx1">
                      <a:lumMod val="75000"/>
                      <a:lumOff val="25000"/>
                    </a:schemeClr>
                  </a:solidFill>
                </a:endParaRPr>
              </a:p>
            </xdr:txBody>
          </xdr:sp>
          <xdr:sp macro="" textlink="">
            <xdr:nvSpPr>
              <xdr:cNvPr id="195" name="TextBox 194">
                <a:extLst>
                  <a:ext uri="{FF2B5EF4-FFF2-40B4-BE49-F238E27FC236}">
                    <a16:creationId xmlns:a16="http://schemas.microsoft.com/office/drawing/2014/main" id="{00000000-0008-0000-0000-0000C3000000}"/>
                  </a:ext>
                </a:extLst>
              </xdr:cNvPr>
              <xdr:cNvSpPr txBox="1"/>
            </xdr:nvSpPr>
            <xdr:spPr>
              <a:xfrm>
                <a:off x="17002125" y="88937474"/>
                <a:ext cx="7895749" cy="4942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Payables - </a:t>
                </a:r>
                <a:r>
                  <a:rPr lang="en-US" sz="1100" b="1" baseline="0">
                    <a:solidFill>
                      <a:schemeClr val="tx1">
                        <a:lumMod val="75000"/>
                        <a:lumOff val="25000"/>
                      </a:schemeClr>
                    </a:solidFill>
                    <a:effectLst/>
                    <a:latin typeface="+mn-lt"/>
                    <a:ea typeface="+mn-ea"/>
                    <a:cs typeface="+mn-cs"/>
                  </a:rPr>
                  <a:t>The money you haven't yet paid to your vendors. Like with AR, this is the change from last month. It's a positive amount since it's already expenses on the P&amp;L, so you add it back to the Cash Flow since you haven't paid it yet and it's still in your bank.</a:t>
                </a:r>
                <a:endParaRPr lang="en-US" sz="1100" b="1" baseline="0">
                  <a:solidFill>
                    <a:schemeClr val="tx1">
                      <a:lumMod val="75000"/>
                      <a:lumOff val="25000"/>
                    </a:schemeClr>
                  </a:solidFill>
                </a:endParaRPr>
              </a:p>
            </xdr:txBody>
          </xdr:sp>
          <xdr:sp macro="" textlink="">
            <xdr:nvSpPr>
              <xdr:cNvPr id="196" name="TextBox 195">
                <a:extLst>
                  <a:ext uri="{FF2B5EF4-FFF2-40B4-BE49-F238E27FC236}">
                    <a16:creationId xmlns:a16="http://schemas.microsoft.com/office/drawing/2014/main" id="{00000000-0008-0000-0000-0000C4000000}"/>
                  </a:ext>
                </a:extLst>
              </xdr:cNvPr>
              <xdr:cNvSpPr txBox="1"/>
            </xdr:nvSpPr>
            <xdr:spPr>
              <a:xfrm>
                <a:off x="17002125" y="90418787"/>
                <a:ext cx="7413499" cy="2800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Intangible</a:t>
                </a:r>
                <a:r>
                  <a:rPr lang="en-US" sz="1100" b="1" baseline="0">
                    <a:solidFill>
                      <a:srgbClr val="0000FF"/>
                    </a:solidFill>
                    <a:effectLst/>
                    <a:latin typeface="+mn-lt"/>
                    <a:ea typeface="+mn-ea"/>
                    <a:cs typeface="+mn-cs"/>
                  </a:rPr>
                  <a:t> </a:t>
                </a:r>
                <a:r>
                  <a:rPr lang="en-US" sz="1100" b="1">
                    <a:solidFill>
                      <a:srgbClr val="0000FF"/>
                    </a:solidFill>
                    <a:effectLst/>
                    <a:latin typeface="+mn-lt"/>
                    <a:ea typeface="+mn-ea"/>
                    <a:cs typeface="+mn-cs"/>
                  </a:rPr>
                  <a:t>Assets - </a:t>
                </a:r>
                <a:r>
                  <a:rPr lang="en-US" sz="1100" b="1" baseline="0">
                    <a:solidFill>
                      <a:schemeClr val="tx1">
                        <a:lumMod val="75000"/>
                        <a:lumOff val="25000"/>
                      </a:schemeClr>
                    </a:solidFill>
                    <a:effectLst/>
                    <a:latin typeface="+mn-lt"/>
                    <a:ea typeface="+mn-ea"/>
                    <a:cs typeface="+mn-cs"/>
                  </a:rPr>
                  <a:t>These are the costs for the Intangible Assets you purchase - patents, trademarks, etc.</a:t>
                </a:r>
                <a:endParaRPr lang="en-US" sz="1100" b="1" baseline="0">
                  <a:solidFill>
                    <a:schemeClr val="tx1">
                      <a:lumMod val="75000"/>
                      <a:lumOff val="25000"/>
                    </a:schemeClr>
                  </a:solidFill>
                </a:endParaRPr>
              </a:p>
            </xdr:txBody>
          </xdr:sp>
          <xdr:sp macro="" textlink="">
            <xdr:nvSpPr>
              <xdr:cNvPr id="197" name="TextBox 196">
                <a:extLst>
                  <a:ext uri="{FF2B5EF4-FFF2-40B4-BE49-F238E27FC236}">
                    <a16:creationId xmlns:a16="http://schemas.microsoft.com/office/drawing/2014/main" id="{00000000-0008-0000-0000-0000C5000000}"/>
                  </a:ext>
                </a:extLst>
              </xdr:cNvPr>
              <xdr:cNvSpPr txBox="1"/>
            </xdr:nvSpPr>
            <xdr:spPr>
              <a:xfrm>
                <a:off x="17002125" y="90946206"/>
                <a:ext cx="3371153" cy="2175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Preferred Stock - </a:t>
                </a:r>
                <a:r>
                  <a:rPr lang="en-US" sz="1100" b="1" baseline="0">
                    <a:solidFill>
                      <a:schemeClr val="tx1">
                        <a:lumMod val="75000"/>
                        <a:lumOff val="25000"/>
                      </a:schemeClr>
                    </a:solidFill>
                    <a:effectLst/>
                    <a:latin typeface="+mn-lt"/>
                    <a:ea typeface="+mn-ea"/>
                    <a:cs typeface="+mn-cs"/>
                  </a:rPr>
                  <a:t>Typically for investors, not founders.</a:t>
                </a:r>
                <a:endParaRPr lang="en-US" sz="1100" b="1" baseline="0">
                  <a:solidFill>
                    <a:schemeClr val="tx1">
                      <a:lumMod val="75000"/>
                      <a:lumOff val="25000"/>
                    </a:schemeClr>
                  </a:solidFill>
                </a:endParaRPr>
              </a:p>
            </xdr:txBody>
          </xdr:sp>
          <xdr:sp macro="" textlink="">
            <xdr:nvSpPr>
              <xdr:cNvPr id="198" name="TextBox 197">
                <a:extLst>
                  <a:ext uri="{FF2B5EF4-FFF2-40B4-BE49-F238E27FC236}">
                    <a16:creationId xmlns:a16="http://schemas.microsoft.com/office/drawing/2014/main" id="{00000000-0008-0000-0000-0000C6000000}"/>
                  </a:ext>
                </a:extLst>
              </xdr:cNvPr>
              <xdr:cNvSpPr txBox="1"/>
            </xdr:nvSpPr>
            <xdr:spPr>
              <a:xfrm>
                <a:off x="17002125" y="91109644"/>
                <a:ext cx="7413499" cy="2800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Common Stock - </a:t>
                </a:r>
                <a:r>
                  <a:rPr lang="en-US" sz="1100" b="1" baseline="0">
                    <a:solidFill>
                      <a:schemeClr val="tx1">
                        <a:lumMod val="75000"/>
                        <a:lumOff val="25000"/>
                      </a:schemeClr>
                    </a:solidFill>
                    <a:effectLst/>
                    <a:latin typeface="+mn-lt"/>
                    <a:ea typeface="+mn-ea"/>
                    <a:cs typeface="+mn-cs"/>
                  </a:rPr>
                  <a:t>This is usually the stock that founders own, sometimes investors.</a:t>
                </a:r>
                <a:endParaRPr lang="en-US" sz="1100" b="1" baseline="0">
                  <a:solidFill>
                    <a:schemeClr val="tx1">
                      <a:lumMod val="75000"/>
                      <a:lumOff val="25000"/>
                    </a:schemeClr>
                  </a:solidFill>
                </a:endParaRPr>
              </a:p>
            </xdr:txBody>
          </xdr:sp>
          <xdr:sp macro="" textlink="">
            <xdr:nvSpPr>
              <xdr:cNvPr id="199" name="TextBox 198">
                <a:extLst>
                  <a:ext uri="{FF2B5EF4-FFF2-40B4-BE49-F238E27FC236}">
                    <a16:creationId xmlns:a16="http://schemas.microsoft.com/office/drawing/2014/main" id="{00000000-0008-0000-0000-0000C7000000}"/>
                  </a:ext>
                </a:extLst>
              </xdr:cNvPr>
              <xdr:cNvSpPr txBox="1"/>
            </xdr:nvSpPr>
            <xdr:spPr>
              <a:xfrm>
                <a:off x="17002125" y="91268290"/>
                <a:ext cx="7413499" cy="6574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Inc. (Dec.) in Long-Term Debt - </a:t>
                </a:r>
                <a:r>
                  <a:rPr lang="en-US" sz="1100" b="1" baseline="0">
                    <a:solidFill>
                      <a:schemeClr val="tx1">
                        <a:lumMod val="75000"/>
                        <a:lumOff val="25000"/>
                      </a:schemeClr>
                    </a:solidFill>
                    <a:effectLst/>
                    <a:latin typeface="+mn-lt"/>
                    <a:ea typeface="+mn-ea"/>
                    <a:cs typeface="+mn-cs"/>
                  </a:rPr>
                  <a:t>The net amount you have received in loans, and how much principal you have paid out combined during the period. Remember, this does not include interest expenses, which are on the P&amp;L. Short-Term is less than one year, Long-Term is more that one year.</a:t>
                </a:r>
                <a:endParaRPr lang="en-US" sz="1100" b="1" baseline="0">
                  <a:solidFill>
                    <a:schemeClr val="tx1">
                      <a:lumMod val="75000"/>
                      <a:lumOff val="25000"/>
                    </a:schemeClr>
                  </a:solidFill>
                </a:endParaRPr>
              </a:p>
            </xdr:txBody>
          </xdr:sp>
          <xdr:sp macro="" textlink="">
            <xdr:nvSpPr>
              <xdr:cNvPr id="200" name="TextBox 199">
                <a:extLst>
                  <a:ext uri="{FF2B5EF4-FFF2-40B4-BE49-F238E27FC236}">
                    <a16:creationId xmlns:a16="http://schemas.microsoft.com/office/drawing/2014/main" id="{00000000-0008-0000-0000-0000C8000000}"/>
                  </a:ext>
                </a:extLst>
              </xdr:cNvPr>
              <xdr:cNvSpPr txBox="1"/>
            </xdr:nvSpPr>
            <xdr:spPr>
              <a:xfrm>
                <a:off x="17002125" y="91800819"/>
                <a:ext cx="7413499" cy="2965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Net Changes in Cash Flow - </a:t>
                </a:r>
                <a:r>
                  <a:rPr lang="en-US" sz="1100" b="1" baseline="0">
                    <a:solidFill>
                      <a:schemeClr val="tx1">
                        <a:lumMod val="75000"/>
                        <a:lumOff val="25000"/>
                      </a:schemeClr>
                    </a:solidFill>
                    <a:effectLst/>
                    <a:latin typeface="+mn-lt"/>
                    <a:ea typeface="+mn-ea"/>
                    <a:cs typeface="+mn-cs"/>
                  </a:rPr>
                  <a:t>The net amount when you add Operating, Investing, and Financial Activities. </a:t>
                </a:r>
                <a:endParaRPr lang="en-US" sz="1100" b="1" baseline="0">
                  <a:solidFill>
                    <a:schemeClr val="tx1">
                      <a:lumMod val="75000"/>
                      <a:lumOff val="25000"/>
                    </a:schemeClr>
                  </a:solidFill>
                </a:endParaRPr>
              </a:p>
            </xdr:txBody>
          </xdr:sp>
          <xdr:sp macro="" textlink="">
            <xdr:nvSpPr>
              <xdr:cNvPr id="201" name="TextBox 200">
                <a:extLst>
                  <a:ext uri="{FF2B5EF4-FFF2-40B4-BE49-F238E27FC236}">
                    <a16:creationId xmlns:a16="http://schemas.microsoft.com/office/drawing/2014/main" id="{00000000-0008-0000-0000-0000C9000000}"/>
                  </a:ext>
                </a:extLst>
              </xdr:cNvPr>
              <xdr:cNvSpPr txBox="1"/>
            </xdr:nvSpPr>
            <xdr:spPr>
              <a:xfrm>
                <a:off x="17002125" y="92015497"/>
                <a:ext cx="7413499" cy="2965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Beginning of Period </a:t>
                </a:r>
                <a:r>
                  <a:rPr lang="en-US" sz="1100" b="1">
                    <a:solidFill>
                      <a:schemeClr val="tx1">
                        <a:lumMod val="75000"/>
                        <a:lumOff val="25000"/>
                      </a:schemeClr>
                    </a:solidFill>
                    <a:effectLst/>
                    <a:latin typeface="+mn-lt"/>
                    <a:ea typeface="+mn-ea"/>
                    <a:cs typeface="+mn-cs"/>
                  </a:rPr>
                  <a:t>- </a:t>
                </a:r>
                <a:r>
                  <a:rPr lang="en-US" sz="1100" b="1" baseline="0">
                    <a:solidFill>
                      <a:schemeClr val="tx1">
                        <a:lumMod val="75000"/>
                        <a:lumOff val="25000"/>
                      </a:schemeClr>
                    </a:solidFill>
                    <a:effectLst/>
                    <a:latin typeface="+mn-lt"/>
                    <a:ea typeface="+mn-ea"/>
                    <a:cs typeface="+mn-cs"/>
                  </a:rPr>
                  <a:t>The amount of cash you had to start with in this period.</a:t>
                </a:r>
                <a:endParaRPr lang="en-US" sz="1100" b="1" baseline="0">
                  <a:solidFill>
                    <a:schemeClr val="tx1">
                      <a:lumMod val="75000"/>
                      <a:lumOff val="25000"/>
                    </a:schemeClr>
                  </a:solidFill>
                </a:endParaRPr>
              </a:p>
            </xdr:txBody>
          </xdr:sp>
          <xdr:sp macro="" textlink="">
            <xdr:nvSpPr>
              <xdr:cNvPr id="202" name="TextBox 201">
                <a:extLst>
                  <a:ext uri="{FF2B5EF4-FFF2-40B4-BE49-F238E27FC236}">
                    <a16:creationId xmlns:a16="http://schemas.microsoft.com/office/drawing/2014/main" id="{00000000-0008-0000-0000-0000CA000000}"/>
                  </a:ext>
                </a:extLst>
              </xdr:cNvPr>
              <xdr:cNvSpPr txBox="1"/>
            </xdr:nvSpPr>
            <xdr:spPr>
              <a:xfrm>
                <a:off x="17002125" y="92190792"/>
                <a:ext cx="4854077" cy="2965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End of Period </a:t>
                </a:r>
                <a:r>
                  <a:rPr lang="en-US" sz="1100" b="1">
                    <a:solidFill>
                      <a:schemeClr val="tx1">
                        <a:lumMod val="75000"/>
                        <a:lumOff val="25000"/>
                      </a:schemeClr>
                    </a:solidFill>
                    <a:effectLst/>
                    <a:latin typeface="+mn-lt"/>
                    <a:ea typeface="+mn-ea"/>
                    <a:cs typeface="+mn-cs"/>
                  </a:rPr>
                  <a:t>- </a:t>
                </a:r>
                <a:r>
                  <a:rPr lang="en-US" sz="1100" b="1" baseline="0">
                    <a:solidFill>
                      <a:schemeClr val="tx1">
                        <a:lumMod val="75000"/>
                        <a:lumOff val="25000"/>
                      </a:schemeClr>
                    </a:solidFill>
                    <a:effectLst/>
                    <a:latin typeface="+mn-lt"/>
                    <a:ea typeface="+mn-ea"/>
                    <a:cs typeface="+mn-cs"/>
                  </a:rPr>
                  <a:t>This should be your actual cash balance at the end of the period.</a:t>
                </a:r>
                <a:endParaRPr lang="en-US" sz="1100" b="1" baseline="0">
                  <a:solidFill>
                    <a:schemeClr val="tx1">
                      <a:lumMod val="75000"/>
                      <a:lumOff val="25000"/>
                    </a:schemeClr>
                  </a:solidFill>
                </a:endParaRPr>
              </a:p>
            </xdr:txBody>
          </xdr:sp>
          <xdr:sp macro="" textlink="">
            <xdr:nvSpPr>
              <xdr:cNvPr id="203" name="TextBox 202">
                <a:extLst>
                  <a:ext uri="{FF2B5EF4-FFF2-40B4-BE49-F238E27FC236}">
                    <a16:creationId xmlns:a16="http://schemas.microsoft.com/office/drawing/2014/main" id="{00000000-0008-0000-0000-0000CB000000}"/>
                  </a:ext>
                </a:extLst>
              </xdr:cNvPr>
              <xdr:cNvSpPr txBox="1"/>
            </xdr:nvSpPr>
            <xdr:spPr>
              <a:xfrm>
                <a:off x="17002125" y="89344500"/>
                <a:ext cx="7895749" cy="247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Accrued Interest</a:t>
                </a:r>
                <a:r>
                  <a:rPr lang="en-US" sz="1100" b="1" baseline="0">
                    <a:solidFill>
                      <a:srgbClr val="0000FF"/>
                    </a:solidFill>
                    <a:effectLst/>
                    <a:latin typeface="+mn-lt"/>
                    <a:ea typeface="+mn-ea"/>
                    <a:cs typeface="+mn-cs"/>
                  </a:rPr>
                  <a:t> - </a:t>
                </a:r>
                <a:r>
                  <a:rPr lang="en-US" sz="1100" b="1" baseline="0">
                    <a:solidFill>
                      <a:schemeClr val="tx1">
                        <a:lumMod val="75000"/>
                        <a:lumOff val="25000"/>
                      </a:schemeClr>
                    </a:solidFill>
                    <a:effectLst/>
                    <a:latin typeface="+mn-lt"/>
                    <a:ea typeface="+mn-ea"/>
                    <a:cs typeface="+mn-cs"/>
                  </a:rPr>
                  <a:t>Interest that accrues but is not paid out on Convertible Notes before they become equity.</a:t>
                </a:r>
                <a:endParaRPr lang="en-US" sz="1100" b="1" baseline="0">
                  <a:solidFill>
                    <a:schemeClr val="tx1">
                      <a:lumMod val="75000"/>
                      <a:lumOff val="25000"/>
                    </a:schemeClr>
                  </a:solidFill>
                </a:endParaRPr>
              </a:p>
            </xdr:txBody>
          </xdr:sp>
          <xdr:sp macro="" textlink="">
            <xdr:nvSpPr>
              <xdr:cNvPr id="204" name="TextBox 203">
                <a:extLst>
                  <a:ext uri="{FF2B5EF4-FFF2-40B4-BE49-F238E27FC236}">
                    <a16:creationId xmlns:a16="http://schemas.microsoft.com/office/drawing/2014/main" id="{00000000-0008-0000-0000-0000CC000000}"/>
                  </a:ext>
                </a:extLst>
              </xdr:cNvPr>
              <xdr:cNvSpPr txBox="1"/>
            </xdr:nvSpPr>
            <xdr:spPr>
              <a:xfrm>
                <a:off x="17002125" y="89896950"/>
                <a:ext cx="7281232"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Deferred Revenue - </a:t>
                </a:r>
                <a:r>
                  <a:rPr lang="en-US" sz="1100" b="1">
                    <a:solidFill>
                      <a:schemeClr val="tx1">
                        <a:lumMod val="75000"/>
                        <a:lumOff val="25000"/>
                      </a:schemeClr>
                    </a:solidFill>
                    <a:effectLst/>
                    <a:latin typeface="+mn-lt"/>
                    <a:ea typeface="+mn-ea"/>
                    <a:cs typeface="+mn-cs"/>
                  </a:rPr>
                  <a:t>The</a:t>
                </a:r>
                <a:r>
                  <a:rPr lang="en-US" sz="1100" b="1" baseline="0">
                    <a:solidFill>
                      <a:schemeClr val="tx1">
                        <a:lumMod val="75000"/>
                        <a:lumOff val="25000"/>
                      </a:schemeClr>
                    </a:solidFill>
                    <a:effectLst/>
                    <a:latin typeface="+mn-lt"/>
                    <a:ea typeface="+mn-ea"/>
                    <a:cs typeface="+mn-cs"/>
                  </a:rPr>
                  <a:t> amount of annual Subscription Revenue that hasn't yet been earned.</a:t>
                </a:r>
                <a:endParaRPr lang="en-US" sz="1100" b="1" baseline="0">
                  <a:solidFill>
                    <a:schemeClr val="tx1">
                      <a:lumMod val="75000"/>
                      <a:lumOff val="25000"/>
                    </a:schemeClr>
                  </a:solidFill>
                </a:endParaRPr>
              </a:p>
            </xdr:txBody>
          </xdr:sp>
        </xdr:grpSp>
        <xdr:grpSp>
          <xdr:nvGrpSpPr>
            <xdr:cNvPr id="169" name="Group 168">
              <a:extLst>
                <a:ext uri="{FF2B5EF4-FFF2-40B4-BE49-F238E27FC236}">
                  <a16:creationId xmlns:a16="http://schemas.microsoft.com/office/drawing/2014/main" id="{00000000-0008-0000-0000-0000A9000000}"/>
                </a:ext>
              </a:extLst>
            </xdr:cNvPr>
            <xdr:cNvGrpSpPr/>
          </xdr:nvGrpSpPr>
          <xdr:grpSpPr>
            <a:xfrm>
              <a:off x="13773150" y="87544663"/>
              <a:ext cx="3295650" cy="4783207"/>
              <a:chOff x="13773150" y="87544663"/>
              <a:chExt cx="3295650" cy="4783207"/>
            </a:xfrm>
          </xdr:grpSpPr>
          <xdr:grpSp>
            <xdr:nvGrpSpPr>
              <xdr:cNvPr id="170" name="Group 169">
                <a:extLst>
                  <a:ext uri="{FF2B5EF4-FFF2-40B4-BE49-F238E27FC236}">
                    <a16:creationId xmlns:a16="http://schemas.microsoft.com/office/drawing/2014/main" id="{00000000-0008-0000-0000-0000AA000000}"/>
                  </a:ext>
                </a:extLst>
              </xdr:cNvPr>
              <xdr:cNvGrpSpPr/>
            </xdr:nvGrpSpPr>
            <xdr:grpSpPr>
              <a:xfrm>
                <a:off x="13773150" y="88388509"/>
                <a:ext cx="13904" cy="3360506"/>
                <a:chOff x="13801725" y="88388509"/>
                <a:chExt cx="13904" cy="3360506"/>
              </a:xfrm>
            </xdr:grpSpPr>
            <xdr:cxnSp macro="">
              <xdr:nvCxnSpPr>
                <xdr:cNvPr id="187" name="Straight Connector 186">
                  <a:extLst>
                    <a:ext uri="{FF2B5EF4-FFF2-40B4-BE49-F238E27FC236}">
                      <a16:creationId xmlns:a16="http://schemas.microsoft.com/office/drawing/2014/main" id="{00000000-0008-0000-0000-0000BB000000}"/>
                    </a:ext>
                  </a:extLst>
                </xdr:cNvPr>
                <xdr:cNvCxnSpPr/>
              </xdr:nvCxnSpPr>
              <xdr:spPr>
                <a:xfrm flipV="1">
                  <a:off x="13806070" y="88388509"/>
                  <a:ext cx="9559" cy="1645920"/>
                </a:xfrm>
                <a:prstGeom prst="line">
                  <a:avLst/>
                </a:prstGeom>
                <a:ln w="38100">
                  <a:solidFill>
                    <a:srgbClr val="0000FF"/>
                  </a:solidFill>
                </a:ln>
              </xdr:spPr>
              <xdr:style>
                <a:lnRef idx="1">
                  <a:schemeClr val="accent1"/>
                </a:lnRef>
                <a:fillRef idx="0">
                  <a:schemeClr val="accent1"/>
                </a:fillRef>
                <a:effectRef idx="0">
                  <a:schemeClr val="accent1"/>
                </a:effectRef>
                <a:fontRef idx="minor">
                  <a:schemeClr val="tx1"/>
                </a:fontRef>
              </xdr:style>
            </xdr:cxnSp>
            <xdr:cxnSp macro="">
              <xdr:nvCxnSpPr>
                <xdr:cNvPr id="188" name="Straight Connector 187">
                  <a:extLst>
                    <a:ext uri="{FF2B5EF4-FFF2-40B4-BE49-F238E27FC236}">
                      <a16:creationId xmlns:a16="http://schemas.microsoft.com/office/drawing/2014/main" id="{00000000-0008-0000-0000-0000BC000000}"/>
                    </a:ext>
                  </a:extLst>
                </xdr:cNvPr>
                <xdr:cNvCxnSpPr/>
              </xdr:nvCxnSpPr>
              <xdr:spPr>
                <a:xfrm flipV="1">
                  <a:off x="13801725" y="90168869"/>
                  <a:ext cx="0" cy="566928"/>
                </a:xfrm>
                <a:prstGeom prst="line">
                  <a:avLst/>
                </a:prstGeom>
                <a:ln w="38100">
                  <a:solidFill>
                    <a:srgbClr val="009900"/>
                  </a:solidFill>
                </a:ln>
              </xdr:spPr>
              <xdr:style>
                <a:lnRef idx="1">
                  <a:schemeClr val="accent1"/>
                </a:lnRef>
                <a:fillRef idx="0">
                  <a:schemeClr val="accent1"/>
                </a:fillRef>
                <a:effectRef idx="0">
                  <a:schemeClr val="accent1"/>
                </a:effectRef>
                <a:fontRef idx="minor">
                  <a:schemeClr val="tx1"/>
                </a:fontRef>
              </xdr:style>
            </xdr:cxnSp>
            <xdr:cxnSp macro="">
              <xdr:nvCxnSpPr>
                <xdr:cNvPr id="189" name="Straight Connector 188">
                  <a:extLst>
                    <a:ext uri="{FF2B5EF4-FFF2-40B4-BE49-F238E27FC236}">
                      <a16:creationId xmlns:a16="http://schemas.microsoft.com/office/drawing/2014/main" id="{00000000-0008-0000-0000-0000BD000000}"/>
                    </a:ext>
                  </a:extLst>
                </xdr:cNvPr>
                <xdr:cNvCxnSpPr/>
              </xdr:nvCxnSpPr>
              <xdr:spPr>
                <a:xfrm flipV="1">
                  <a:off x="13801725" y="90880335"/>
                  <a:ext cx="0" cy="868680"/>
                </a:xfrm>
                <a:prstGeom prst="line">
                  <a:avLst/>
                </a:prstGeom>
                <a:ln w="38100">
                  <a:solidFill>
                    <a:srgbClr val="993366"/>
                  </a:solidFill>
                </a:ln>
              </xdr:spPr>
              <xdr:style>
                <a:lnRef idx="1">
                  <a:schemeClr val="accent1"/>
                </a:lnRef>
                <a:fillRef idx="0">
                  <a:schemeClr val="accent1"/>
                </a:fillRef>
                <a:effectRef idx="0">
                  <a:schemeClr val="accent1"/>
                </a:effectRef>
                <a:fontRef idx="minor">
                  <a:schemeClr val="tx1"/>
                </a:fontRef>
              </xdr:style>
            </xdr:cxnSp>
          </xdr:grpSp>
          <xdr:cxnSp macro="">
            <xdr:nvCxnSpPr>
              <xdr:cNvPr id="171" name="Straight Arrow Connector 170">
                <a:extLst>
                  <a:ext uri="{FF2B5EF4-FFF2-40B4-BE49-F238E27FC236}">
                    <a16:creationId xmlns:a16="http://schemas.microsoft.com/office/drawing/2014/main" id="{00000000-0008-0000-0000-0000AB000000}"/>
                  </a:ext>
                </a:extLst>
              </xdr:cNvPr>
              <xdr:cNvCxnSpPr/>
            </xdr:nvCxnSpPr>
            <xdr:spPr>
              <a:xfrm flipH="1">
                <a:off x="16301508" y="87544663"/>
                <a:ext cx="725141" cy="1099256"/>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72" name="Straight Arrow Connector 171">
                <a:extLst>
                  <a:ext uri="{FF2B5EF4-FFF2-40B4-BE49-F238E27FC236}">
                    <a16:creationId xmlns:a16="http://schemas.microsoft.com/office/drawing/2014/main" id="{00000000-0008-0000-0000-0000AC000000}"/>
                  </a:ext>
                </a:extLst>
              </xdr:cNvPr>
              <xdr:cNvCxnSpPr/>
            </xdr:nvCxnSpPr>
            <xdr:spPr>
              <a:xfrm flipH="1">
                <a:off x="16311033" y="88139546"/>
                <a:ext cx="733021" cy="796972"/>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73" name="Straight Arrow Connector 172">
                <a:extLst>
                  <a:ext uri="{FF2B5EF4-FFF2-40B4-BE49-F238E27FC236}">
                    <a16:creationId xmlns:a16="http://schemas.microsoft.com/office/drawing/2014/main" id="{00000000-0008-0000-0000-0000AD000000}"/>
                  </a:ext>
                </a:extLst>
              </xdr:cNvPr>
              <xdr:cNvCxnSpPr/>
            </xdr:nvCxnSpPr>
            <xdr:spPr>
              <a:xfrm flipH="1">
                <a:off x="16311033" y="89203644"/>
                <a:ext cx="671839" cy="144679"/>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74" name="Straight Arrow Connector 173">
                <a:extLst>
                  <a:ext uri="{FF2B5EF4-FFF2-40B4-BE49-F238E27FC236}">
                    <a16:creationId xmlns:a16="http://schemas.microsoft.com/office/drawing/2014/main" id="{00000000-0008-0000-0000-0000AE000000}"/>
                  </a:ext>
                </a:extLst>
              </xdr:cNvPr>
              <xdr:cNvCxnSpPr>
                <a:stCxn id="190" idx="1"/>
              </xdr:cNvCxnSpPr>
            </xdr:nvCxnSpPr>
            <xdr:spPr>
              <a:xfrm flipH="1">
                <a:off x="16322286" y="88706844"/>
                <a:ext cx="679839" cy="479103"/>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75" name="Straight Arrow Connector 174">
                <a:extLst>
                  <a:ext uri="{FF2B5EF4-FFF2-40B4-BE49-F238E27FC236}">
                    <a16:creationId xmlns:a16="http://schemas.microsoft.com/office/drawing/2014/main" id="{00000000-0008-0000-0000-0000AF000000}"/>
                  </a:ext>
                </a:extLst>
              </xdr:cNvPr>
              <xdr:cNvCxnSpPr/>
            </xdr:nvCxnSpPr>
            <xdr:spPr>
              <a:xfrm flipH="1">
                <a:off x="16272933" y="89696925"/>
                <a:ext cx="729192" cy="204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76" name="Straight Arrow Connector 175">
                <a:extLst>
                  <a:ext uri="{FF2B5EF4-FFF2-40B4-BE49-F238E27FC236}">
                    <a16:creationId xmlns:a16="http://schemas.microsoft.com/office/drawing/2014/main" id="{00000000-0008-0000-0000-0000B0000000}"/>
                  </a:ext>
                </a:extLst>
              </xdr:cNvPr>
              <xdr:cNvCxnSpPr>
                <a:stCxn id="203" idx="1"/>
              </xdr:cNvCxnSpPr>
            </xdr:nvCxnSpPr>
            <xdr:spPr>
              <a:xfrm flipH="1">
                <a:off x="16278225" y="89468325"/>
                <a:ext cx="723900" cy="41923"/>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77" name="Straight Arrow Connector 176">
                <a:extLst>
                  <a:ext uri="{FF2B5EF4-FFF2-40B4-BE49-F238E27FC236}">
                    <a16:creationId xmlns:a16="http://schemas.microsoft.com/office/drawing/2014/main" id="{00000000-0008-0000-0000-0000B1000000}"/>
                  </a:ext>
                </a:extLst>
              </xdr:cNvPr>
              <xdr:cNvCxnSpPr/>
            </xdr:nvCxnSpPr>
            <xdr:spPr>
              <a:xfrm flipH="1" flipV="1">
                <a:off x="16287750" y="89832320"/>
                <a:ext cx="752475" cy="16940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78" name="Straight Arrow Connector 177">
                <a:extLst>
                  <a:ext uri="{FF2B5EF4-FFF2-40B4-BE49-F238E27FC236}">
                    <a16:creationId xmlns:a16="http://schemas.microsoft.com/office/drawing/2014/main" id="{00000000-0008-0000-0000-0000B2000000}"/>
                  </a:ext>
                </a:extLst>
              </xdr:cNvPr>
              <xdr:cNvCxnSpPr/>
            </xdr:nvCxnSpPr>
            <xdr:spPr>
              <a:xfrm flipH="1">
                <a:off x="16335375" y="90554175"/>
                <a:ext cx="729192" cy="204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79" name="Straight Arrow Connector 178">
                <a:extLst>
                  <a:ext uri="{FF2B5EF4-FFF2-40B4-BE49-F238E27FC236}">
                    <a16:creationId xmlns:a16="http://schemas.microsoft.com/office/drawing/2014/main" id="{00000000-0008-0000-0000-0000B3000000}"/>
                  </a:ext>
                </a:extLst>
              </xdr:cNvPr>
              <xdr:cNvCxnSpPr/>
            </xdr:nvCxnSpPr>
            <xdr:spPr>
              <a:xfrm flipH="1">
                <a:off x="16335375" y="90363675"/>
                <a:ext cx="733425" cy="3823"/>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80" name="Straight Arrow Connector 179">
                <a:extLst>
                  <a:ext uri="{FF2B5EF4-FFF2-40B4-BE49-F238E27FC236}">
                    <a16:creationId xmlns:a16="http://schemas.microsoft.com/office/drawing/2014/main" id="{00000000-0008-0000-0000-0000B4000000}"/>
                  </a:ext>
                </a:extLst>
              </xdr:cNvPr>
              <xdr:cNvCxnSpPr/>
            </xdr:nvCxnSpPr>
            <xdr:spPr>
              <a:xfrm flipH="1">
                <a:off x="16335375" y="91239975"/>
                <a:ext cx="722376" cy="204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81" name="Straight Arrow Connector 180">
                <a:extLst>
                  <a:ext uri="{FF2B5EF4-FFF2-40B4-BE49-F238E27FC236}">
                    <a16:creationId xmlns:a16="http://schemas.microsoft.com/office/drawing/2014/main" id="{00000000-0008-0000-0000-0000B5000000}"/>
                  </a:ext>
                </a:extLst>
              </xdr:cNvPr>
              <xdr:cNvCxnSpPr/>
            </xdr:nvCxnSpPr>
            <xdr:spPr>
              <a:xfrm flipH="1">
                <a:off x="16335375" y="91078050"/>
                <a:ext cx="722376" cy="3823"/>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82" name="Straight Arrow Connector 181">
                <a:extLst>
                  <a:ext uri="{FF2B5EF4-FFF2-40B4-BE49-F238E27FC236}">
                    <a16:creationId xmlns:a16="http://schemas.microsoft.com/office/drawing/2014/main" id="{00000000-0008-0000-0000-0000B6000000}"/>
                  </a:ext>
                </a:extLst>
              </xdr:cNvPr>
              <xdr:cNvCxnSpPr/>
            </xdr:nvCxnSpPr>
            <xdr:spPr>
              <a:xfrm flipH="1">
                <a:off x="16335375" y="91554300"/>
                <a:ext cx="722376" cy="204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83" name="Straight Arrow Connector 182">
                <a:extLst>
                  <a:ext uri="{FF2B5EF4-FFF2-40B4-BE49-F238E27FC236}">
                    <a16:creationId xmlns:a16="http://schemas.microsoft.com/office/drawing/2014/main" id="{00000000-0008-0000-0000-0000B7000000}"/>
                  </a:ext>
                </a:extLst>
              </xdr:cNvPr>
              <xdr:cNvCxnSpPr/>
            </xdr:nvCxnSpPr>
            <xdr:spPr>
              <a:xfrm flipH="1">
                <a:off x="16335375" y="91401900"/>
                <a:ext cx="722376" cy="3823"/>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84" name="Straight Arrow Connector 183">
                <a:extLst>
                  <a:ext uri="{FF2B5EF4-FFF2-40B4-BE49-F238E27FC236}">
                    <a16:creationId xmlns:a16="http://schemas.microsoft.com/office/drawing/2014/main" id="{00000000-0008-0000-0000-0000B8000000}"/>
                  </a:ext>
                </a:extLst>
              </xdr:cNvPr>
              <xdr:cNvCxnSpPr/>
            </xdr:nvCxnSpPr>
            <xdr:spPr>
              <a:xfrm flipH="1">
                <a:off x="16335375" y="91944825"/>
                <a:ext cx="722376" cy="204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85" name="Straight Arrow Connector 184">
                <a:extLst>
                  <a:ext uri="{FF2B5EF4-FFF2-40B4-BE49-F238E27FC236}">
                    <a16:creationId xmlns:a16="http://schemas.microsoft.com/office/drawing/2014/main" id="{00000000-0008-0000-0000-0000B9000000}"/>
                  </a:ext>
                </a:extLst>
              </xdr:cNvPr>
              <xdr:cNvCxnSpPr/>
            </xdr:nvCxnSpPr>
            <xdr:spPr>
              <a:xfrm flipH="1">
                <a:off x="16335375" y="92154375"/>
                <a:ext cx="722376" cy="204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86" name="Straight Arrow Connector 185">
                <a:extLst>
                  <a:ext uri="{FF2B5EF4-FFF2-40B4-BE49-F238E27FC236}">
                    <a16:creationId xmlns:a16="http://schemas.microsoft.com/office/drawing/2014/main" id="{00000000-0008-0000-0000-0000BA000000}"/>
                  </a:ext>
                </a:extLst>
              </xdr:cNvPr>
              <xdr:cNvCxnSpPr/>
            </xdr:nvCxnSpPr>
            <xdr:spPr>
              <a:xfrm flipH="1">
                <a:off x="16335375" y="92325825"/>
                <a:ext cx="722376" cy="204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grpSp>
      </xdr:grpSp>
    </xdr:grpSp>
    <xdr:clientData/>
  </xdr:twoCellAnchor>
  <xdr:twoCellAnchor>
    <xdr:from>
      <xdr:col>1</xdr:col>
      <xdr:colOff>609600</xdr:colOff>
      <xdr:row>574</xdr:row>
      <xdr:rowOff>171450</xdr:rowOff>
    </xdr:from>
    <xdr:to>
      <xdr:col>23</xdr:col>
      <xdr:colOff>619125</xdr:colOff>
      <xdr:row>632</xdr:row>
      <xdr:rowOff>47625</xdr:rowOff>
    </xdr:to>
    <xdr:grpSp>
      <xdr:nvGrpSpPr>
        <xdr:cNvPr id="205" name="Group 204">
          <a:extLst>
            <a:ext uri="{FF2B5EF4-FFF2-40B4-BE49-F238E27FC236}">
              <a16:creationId xmlns:a16="http://schemas.microsoft.com/office/drawing/2014/main" id="{00000000-0008-0000-0000-0000CD000000}"/>
            </a:ext>
          </a:extLst>
        </xdr:cNvPr>
        <xdr:cNvGrpSpPr/>
      </xdr:nvGrpSpPr>
      <xdr:grpSpPr>
        <a:xfrm>
          <a:off x="0" y="111887000"/>
          <a:ext cx="14995525" cy="11293475"/>
          <a:chOff x="1295400" y="109623225"/>
          <a:chExt cx="15097125" cy="10925175"/>
        </a:xfrm>
      </xdr:grpSpPr>
      <xdr:sp macro="" textlink="">
        <xdr:nvSpPr>
          <xdr:cNvPr id="206" name="TextBox 205">
            <a:extLst>
              <a:ext uri="{FF2B5EF4-FFF2-40B4-BE49-F238E27FC236}">
                <a16:creationId xmlns:a16="http://schemas.microsoft.com/office/drawing/2014/main" id="{00000000-0008-0000-0000-0000CE000000}"/>
              </a:ext>
            </a:extLst>
          </xdr:cNvPr>
          <xdr:cNvSpPr txBox="1"/>
        </xdr:nvSpPr>
        <xdr:spPr>
          <a:xfrm>
            <a:off x="1895475" y="109623225"/>
            <a:ext cx="9092406" cy="32480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400" b="1" u="sng">
                <a:solidFill>
                  <a:srgbClr val="0000FF"/>
                </a:solidFill>
              </a:rPr>
              <a:t>Balance</a:t>
            </a:r>
            <a:r>
              <a:rPr lang="en-US" sz="1400" b="1" u="sng" baseline="0">
                <a:solidFill>
                  <a:srgbClr val="0000FF"/>
                </a:solidFill>
              </a:rPr>
              <a:t> Sheet </a:t>
            </a:r>
            <a:endParaRPr lang="en-US" sz="1400" b="0" u="sng" baseline="0">
              <a:solidFill>
                <a:schemeClr val="tx1"/>
              </a:solidFill>
            </a:endParaRPr>
          </a:p>
          <a:p>
            <a:endParaRPr lang="en-US" sz="1100" b="0" baseline="0">
              <a:solidFill>
                <a:schemeClr val="tx1"/>
              </a:solidFill>
            </a:endParaRPr>
          </a:p>
          <a:p>
            <a:r>
              <a:rPr lang="en-US" sz="1100"/>
              <a:t>The</a:t>
            </a:r>
            <a:r>
              <a:rPr lang="en-US" sz="1100" baseline="0"/>
              <a:t> Balance Sheet s</a:t>
            </a:r>
            <a:r>
              <a:rPr lang="en-US" sz="1100"/>
              <a:t>hows</a:t>
            </a:r>
            <a:r>
              <a:rPr lang="en-US" sz="1100" baseline="0"/>
              <a:t> you what the company owns - Assets - and what it owes to others - Liabilities - and what it owes to the owners - Owners' Equity. </a:t>
            </a:r>
            <a:r>
              <a:rPr lang="en-US" sz="1100" baseline="0">
                <a:solidFill>
                  <a:schemeClr val="tx1"/>
                </a:solidFill>
                <a:effectLst/>
                <a:latin typeface="+mn-lt"/>
                <a:ea typeface="+mn-ea"/>
                <a:cs typeface="+mn-cs"/>
              </a:rPr>
              <a:t>Think of Owners' Equity as what's left over after subtracting the Liabilities from the Assets. </a:t>
            </a:r>
            <a:endParaRPr lang="en-US" sz="1100" baseline="0"/>
          </a:p>
          <a:p>
            <a:endParaRPr lang="en-US" sz="1100" baseline="0"/>
          </a:p>
          <a:p>
            <a:r>
              <a:rPr lang="en-US" sz="1100" baseline="0"/>
              <a:t>The Balance Sheet is the expression of the most fundamental concept in accounting - the Accounting Equation:</a:t>
            </a:r>
          </a:p>
          <a:p>
            <a:endParaRPr lang="en-US" sz="1100" baseline="0"/>
          </a:p>
          <a:p>
            <a:r>
              <a:rPr lang="en-US" sz="1400" b="1" baseline="0">
                <a:solidFill>
                  <a:srgbClr val="0000FF"/>
                </a:solidFill>
              </a:rPr>
              <a:t>Assets = LIabilities + Owners' Equity</a:t>
            </a:r>
          </a:p>
          <a:p>
            <a:endParaRPr lang="en-US" sz="1100" baseline="0"/>
          </a:p>
          <a:p>
            <a:r>
              <a:rPr lang="en-US" sz="1100" baseline="0"/>
              <a:t>They are called Balance Sheets because they used to have Assets on the left, and Liabilities and Owner's Equity on the right.</a:t>
            </a:r>
          </a:p>
          <a:p>
            <a:endParaRPr lang="en-US" sz="1100" baseline="0"/>
          </a:p>
          <a:p>
            <a:r>
              <a:rPr lang="en-US" sz="1100" baseline="0"/>
              <a:t>A useful convention on the Balance Sheet in both the Assets and Liabilities sections is that current items are shown on top so that you can easily find them.  Loans are considered to be Short-Term if they are less than 12 months, and Long Term if they're longer. </a:t>
            </a:r>
          </a:p>
          <a:p>
            <a:endParaRPr lang="en-US" sz="1100" baseline="0"/>
          </a:p>
          <a:p>
            <a:r>
              <a:rPr lang="en-US" sz="1100" baseline="0"/>
              <a:t>The P&amp;L shows your sales, the Cash Flow shows your cash, and the Balance Sheet shows your obligations.</a:t>
            </a:r>
          </a:p>
          <a:p>
            <a:br>
              <a:rPr lang="en-US" sz="1100" baseline="0"/>
            </a:br>
            <a:r>
              <a:rPr lang="en-US" sz="1100" b="1" baseline="0"/>
              <a:t>Thnk of the Balance Sheet as the future.</a:t>
            </a:r>
          </a:p>
        </xdr:txBody>
      </xdr:sp>
      <xdr:grpSp>
        <xdr:nvGrpSpPr>
          <xdr:cNvPr id="207" name="Group 206">
            <a:extLst>
              <a:ext uri="{FF2B5EF4-FFF2-40B4-BE49-F238E27FC236}">
                <a16:creationId xmlns:a16="http://schemas.microsoft.com/office/drawing/2014/main" id="{00000000-0008-0000-0000-0000CF000000}"/>
              </a:ext>
            </a:extLst>
          </xdr:cNvPr>
          <xdr:cNvGrpSpPr/>
        </xdr:nvGrpSpPr>
        <xdr:grpSpPr>
          <a:xfrm>
            <a:off x="1295400" y="113080800"/>
            <a:ext cx="15097125" cy="7467600"/>
            <a:chOff x="1295400" y="113080800"/>
            <a:chExt cx="15097125" cy="7467600"/>
          </a:xfrm>
        </xdr:grpSpPr>
        <xdr:pic>
          <xdr:nvPicPr>
            <xdr:cNvPr id="208" name="Picture 207">
              <a:extLst>
                <a:ext uri="{FF2B5EF4-FFF2-40B4-BE49-F238E27FC236}">
                  <a16:creationId xmlns:a16="http://schemas.microsoft.com/office/drawing/2014/main" id="{00000000-0008-0000-0000-0000D0000000}"/>
                </a:ext>
              </a:extLst>
            </xdr:cNvPr>
            <xdr:cNvPicPr>
              <a:picLocks noChangeAspect="1"/>
            </xdr:cNvPicPr>
          </xdr:nvPicPr>
          <xdr:blipFill>
            <a:blip xmlns:r="http://schemas.openxmlformats.org/officeDocument/2006/relationships" r:embed="rId30"/>
            <a:stretch>
              <a:fillRect/>
            </a:stretch>
          </xdr:blipFill>
          <xdr:spPr>
            <a:xfrm>
              <a:off x="1295400" y="113080800"/>
              <a:ext cx="3057143" cy="6704762"/>
            </a:xfrm>
            <a:prstGeom prst="rect">
              <a:avLst/>
            </a:prstGeom>
          </xdr:spPr>
        </xdr:pic>
        <xdr:grpSp>
          <xdr:nvGrpSpPr>
            <xdr:cNvPr id="209" name="Group 208">
              <a:extLst>
                <a:ext uri="{FF2B5EF4-FFF2-40B4-BE49-F238E27FC236}">
                  <a16:creationId xmlns:a16="http://schemas.microsoft.com/office/drawing/2014/main" id="{00000000-0008-0000-0000-0000D1000000}"/>
                </a:ext>
              </a:extLst>
            </xdr:cNvPr>
            <xdr:cNvGrpSpPr/>
          </xdr:nvGrpSpPr>
          <xdr:grpSpPr>
            <a:xfrm>
              <a:off x="4343400" y="113542300"/>
              <a:ext cx="784081" cy="6586541"/>
              <a:chOff x="4343400" y="113542300"/>
              <a:chExt cx="784081" cy="6586541"/>
            </a:xfrm>
          </xdr:grpSpPr>
          <xdr:cxnSp macro="">
            <xdr:nvCxnSpPr>
              <xdr:cNvPr id="237" name="Straight Arrow Connector 236">
                <a:extLst>
                  <a:ext uri="{FF2B5EF4-FFF2-40B4-BE49-F238E27FC236}">
                    <a16:creationId xmlns:a16="http://schemas.microsoft.com/office/drawing/2014/main" id="{00000000-0008-0000-0000-0000ED000000}"/>
                  </a:ext>
                </a:extLst>
              </xdr:cNvPr>
              <xdr:cNvCxnSpPr/>
            </xdr:nvCxnSpPr>
            <xdr:spPr>
              <a:xfrm flipH="1">
                <a:off x="4343400" y="113542300"/>
                <a:ext cx="784081" cy="420221"/>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38" name="Straight Arrow Connector 237">
                <a:extLst>
                  <a:ext uri="{FF2B5EF4-FFF2-40B4-BE49-F238E27FC236}">
                    <a16:creationId xmlns:a16="http://schemas.microsoft.com/office/drawing/2014/main" id="{00000000-0008-0000-0000-0000EE000000}"/>
                  </a:ext>
                </a:extLst>
              </xdr:cNvPr>
              <xdr:cNvCxnSpPr/>
            </xdr:nvCxnSpPr>
            <xdr:spPr>
              <a:xfrm flipH="1">
                <a:off x="4352311" y="113803660"/>
                <a:ext cx="730619" cy="32546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39" name="Straight Arrow Connector 238">
                <a:extLst>
                  <a:ext uri="{FF2B5EF4-FFF2-40B4-BE49-F238E27FC236}">
                    <a16:creationId xmlns:a16="http://schemas.microsoft.com/office/drawing/2014/main" id="{00000000-0008-0000-0000-0000EF000000}"/>
                  </a:ext>
                </a:extLst>
              </xdr:cNvPr>
              <xdr:cNvCxnSpPr/>
            </xdr:nvCxnSpPr>
            <xdr:spPr>
              <a:xfrm flipH="1">
                <a:off x="4352311" y="114068875"/>
                <a:ext cx="721710" cy="24719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40" name="Straight Arrow Connector 239">
                <a:extLst>
                  <a:ext uri="{FF2B5EF4-FFF2-40B4-BE49-F238E27FC236}">
                    <a16:creationId xmlns:a16="http://schemas.microsoft.com/office/drawing/2014/main" id="{00000000-0008-0000-0000-0000F0000000}"/>
                  </a:ext>
                </a:extLst>
              </xdr:cNvPr>
              <xdr:cNvCxnSpPr/>
            </xdr:nvCxnSpPr>
            <xdr:spPr>
              <a:xfrm flipH="1">
                <a:off x="4352311" y="114545886"/>
                <a:ext cx="748440" cy="90638"/>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41" name="Straight Arrow Connector 240">
                <a:extLst>
                  <a:ext uri="{FF2B5EF4-FFF2-40B4-BE49-F238E27FC236}">
                    <a16:creationId xmlns:a16="http://schemas.microsoft.com/office/drawing/2014/main" id="{00000000-0008-0000-0000-0000F1000000}"/>
                  </a:ext>
                </a:extLst>
              </xdr:cNvPr>
              <xdr:cNvCxnSpPr/>
            </xdr:nvCxnSpPr>
            <xdr:spPr>
              <a:xfrm flipH="1" flipV="1">
                <a:off x="4352311" y="115002162"/>
                <a:ext cx="748440" cy="7"/>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42" name="Straight Arrow Connector 241">
                <a:extLst>
                  <a:ext uri="{FF2B5EF4-FFF2-40B4-BE49-F238E27FC236}">
                    <a16:creationId xmlns:a16="http://schemas.microsoft.com/office/drawing/2014/main" id="{00000000-0008-0000-0000-0000F2000000}"/>
                  </a:ext>
                </a:extLst>
              </xdr:cNvPr>
              <xdr:cNvCxnSpPr/>
            </xdr:nvCxnSpPr>
            <xdr:spPr>
              <a:xfrm flipH="1">
                <a:off x="4352311" y="114806991"/>
                <a:ext cx="748440" cy="16473"/>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43" name="Straight Arrow Connector 242">
                <a:extLst>
                  <a:ext uri="{FF2B5EF4-FFF2-40B4-BE49-F238E27FC236}">
                    <a16:creationId xmlns:a16="http://schemas.microsoft.com/office/drawing/2014/main" id="{00000000-0008-0000-0000-0000F3000000}"/>
                  </a:ext>
                </a:extLst>
              </xdr:cNvPr>
              <xdr:cNvCxnSpPr/>
            </xdr:nvCxnSpPr>
            <xdr:spPr>
              <a:xfrm flipH="1" flipV="1">
                <a:off x="4352311" y="115367052"/>
                <a:ext cx="748440" cy="7"/>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44" name="Straight Arrow Connector 243">
                <a:extLst>
                  <a:ext uri="{FF2B5EF4-FFF2-40B4-BE49-F238E27FC236}">
                    <a16:creationId xmlns:a16="http://schemas.microsoft.com/office/drawing/2014/main" id="{00000000-0008-0000-0000-0000F4000000}"/>
                  </a:ext>
                </a:extLst>
              </xdr:cNvPr>
              <xdr:cNvCxnSpPr/>
            </xdr:nvCxnSpPr>
            <xdr:spPr>
              <a:xfrm flipH="1" flipV="1">
                <a:off x="4352311" y="115548322"/>
                <a:ext cx="748440" cy="7"/>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45" name="Straight Arrow Connector 244">
                <a:extLst>
                  <a:ext uri="{FF2B5EF4-FFF2-40B4-BE49-F238E27FC236}">
                    <a16:creationId xmlns:a16="http://schemas.microsoft.com/office/drawing/2014/main" id="{00000000-0008-0000-0000-0000F5000000}"/>
                  </a:ext>
                </a:extLst>
              </xdr:cNvPr>
              <xdr:cNvCxnSpPr/>
            </xdr:nvCxnSpPr>
            <xdr:spPr>
              <a:xfrm flipH="1" flipV="1">
                <a:off x="4352311" y="115728308"/>
                <a:ext cx="748440" cy="7"/>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46" name="Straight Arrow Connector 245">
                <a:extLst>
                  <a:ext uri="{FF2B5EF4-FFF2-40B4-BE49-F238E27FC236}">
                    <a16:creationId xmlns:a16="http://schemas.microsoft.com/office/drawing/2014/main" id="{00000000-0008-0000-0000-0000F6000000}"/>
                  </a:ext>
                </a:extLst>
              </xdr:cNvPr>
              <xdr:cNvCxnSpPr/>
            </xdr:nvCxnSpPr>
            <xdr:spPr>
              <a:xfrm flipH="1" flipV="1">
                <a:off x="4352925" y="116290725"/>
                <a:ext cx="747826" cy="169193"/>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47" name="Straight Arrow Connector 246">
                <a:extLst>
                  <a:ext uri="{FF2B5EF4-FFF2-40B4-BE49-F238E27FC236}">
                    <a16:creationId xmlns:a16="http://schemas.microsoft.com/office/drawing/2014/main" id="{00000000-0008-0000-0000-0000F7000000}"/>
                  </a:ext>
                </a:extLst>
              </xdr:cNvPr>
              <xdr:cNvCxnSpPr/>
            </xdr:nvCxnSpPr>
            <xdr:spPr>
              <a:xfrm flipH="1" flipV="1">
                <a:off x="4352311" y="116951206"/>
                <a:ext cx="748440" cy="7"/>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48" name="Straight Arrow Connector 247">
                <a:extLst>
                  <a:ext uri="{FF2B5EF4-FFF2-40B4-BE49-F238E27FC236}">
                    <a16:creationId xmlns:a16="http://schemas.microsoft.com/office/drawing/2014/main" id="{00000000-0008-0000-0000-0000F8000000}"/>
                  </a:ext>
                </a:extLst>
              </xdr:cNvPr>
              <xdr:cNvCxnSpPr/>
            </xdr:nvCxnSpPr>
            <xdr:spPr>
              <a:xfrm flipH="1" flipV="1">
                <a:off x="4352311" y="118134242"/>
                <a:ext cx="748440" cy="7"/>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49" name="Straight Arrow Connector 248">
                <a:extLst>
                  <a:ext uri="{FF2B5EF4-FFF2-40B4-BE49-F238E27FC236}">
                    <a16:creationId xmlns:a16="http://schemas.microsoft.com/office/drawing/2014/main" id="{00000000-0008-0000-0000-0000F9000000}"/>
                  </a:ext>
                </a:extLst>
              </xdr:cNvPr>
              <xdr:cNvCxnSpPr/>
            </xdr:nvCxnSpPr>
            <xdr:spPr>
              <a:xfrm flipH="1" flipV="1">
                <a:off x="4352311" y="118876650"/>
                <a:ext cx="748440" cy="7"/>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50" name="Straight Arrow Connector 249">
                <a:extLst>
                  <a:ext uri="{FF2B5EF4-FFF2-40B4-BE49-F238E27FC236}">
                    <a16:creationId xmlns:a16="http://schemas.microsoft.com/office/drawing/2014/main" id="{00000000-0008-0000-0000-0000FA000000}"/>
                  </a:ext>
                </a:extLst>
              </xdr:cNvPr>
              <xdr:cNvCxnSpPr/>
            </xdr:nvCxnSpPr>
            <xdr:spPr>
              <a:xfrm flipH="1" flipV="1">
                <a:off x="4352311" y="119066156"/>
                <a:ext cx="748440" cy="7"/>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51" name="Straight Arrow Connector 250">
                <a:extLst>
                  <a:ext uri="{FF2B5EF4-FFF2-40B4-BE49-F238E27FC236}">
                    <a16:creationId xmlns:a16="http://schemas.microsoft.com/office/drawing/2014/main" id="{00000000-0008-0000-0000-0000FB000000}"/>
                  </a:ext>
                </a:extLst>
              </xdr:cNvPr>
              <xdr:cNvCxnSpPr/>
            </xdr:nvCxnSpPr>
            <xdr:spPr>
              <a:xfrm flipH="1" flipV="1">
                <a:off x="4352311" y="119263916"/>
                <a:ext cx="748440" cy="7"/>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52" name="Straight Arrow Connector 251">
                <a:extLst>
                  <a:ext uri="{FF2B5EF4-FFF2-40B4-BE49-F238E27FC236}">
                    <a16:creationId xmlns:a16="http://schemas.microsoft.com/office/drawing/2014/main" id="{00000000-0008-0000-0000-0000FC000000}"/>
                  </a:ext>
                </a:extLst>
              </xdr:cNvPr>
              <xdr:cNvCxnSpPr/>
            </xdr:nvCxnSpPr>
            <xdr:spPr>
              <a:xfrm flipH="1" flipV="1">
                <a:off x="4352313" y="119494628"/>
                <a:ext cx="730617" cy="238946"/>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53" name="Straight Arrow Connector 252">
                <a:extLst>
                  <a:ext uri="{FF2B5EF4-FFF2-40B4-BE49-F238E27FC236}">
                    <a16:creationId xmlns:a16="http://schemas.microsoft.com/office/drawing/2014/main" id="{00000000-0008-0000-0000-0000FD000000}"/>
                  </a:ext>
                </a:extLst>
              </xdr:cNvPr>
              <xdr:cNvCxnSpPr/>
            </xdr:nvCxnSpPr>
            <xdr:spPr>
              <a:xfrm flipH="1" flipV="1">
                <a:off x="4389238" y="119736776"/>
                <a:ext cx="711513" cy="39206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54" name="Straight Arrow Connector 253">
                <a:extLst>
                  <a:ext uri="{FF2B5EF4-FFF2-40B4-BE49-F238E27FC236}">
                    <a16:creationId xmlns:a16="http://schemas.microsoft.com/office/drawing/2014/main" id="{00000000-0008-0000-0000-0000FE000000}"/>
                  </a:ext>
                </a:extLst>
              </xdr:cNvPr>
              <xdr:cNvCxnSpPr/>
            </xdr:nvCxnSpPr>
            <xdr:spPr>
              <a:xfrm flipH="1" flipV="1">
                <a:off x="4371975" y="116052600"/>
                <a:ext cx="728776" cy="63872"/>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55" name="Straight Arrow Connector 254">
                <a:extLst>
                  <a:ext uri="{FF2B5EF4-FFF2-40B4-BE49-F238E27FC236}">
                    <a16:creationId xmlns:a16="http://schemas.microsoft.com/office/drawing/2014/main" id="{00000000-0008-0000-0000-0000FF000000}"/>
                  </a:ext>
                </a:extLst>
              </xdr:cNvPr>
              <xdr:cNvCxnSpPr/>
            </xdr:nvCxnSpPr>
            <xdr:spPr>
              <a:xfrm flipH="1" flipV="1">
                <a:off x="4352311" y="115906915"/>
                <a:ext cx="748440" cy="7"/>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56" name="Straight Arrow Connector 255">
                <a:extLst>
                  <a:ext uri="{FF2B5EF4-FFF2-40B4-BE49-F238E27FC236}">
                    <a16:creationId xmlns:a16="http://schemas.microsoft.com/office/drawing/2014/main" id="{00000000-0008-0000-0000-000000010000}"/>
                  </a:ext>
                </a:extLst>
              </xdr:cNvPr>
              <xdr:cNvCxnSpPr/>
            </xdr:nvCxnSpPr>
            <xdr:spPr>
              <a:xfrm flipH="1" flipV="1">
                <a:off x="4352311" y="117112744"/>
                <a:ext cx="748440" cy="7"/>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57" name="Straight Arrow Connector 256">
                <a:extLst>
                  <a:ext uri="{FF2B5EF4-FFF2-40B4-BE49-F238E27FC236}">
                    <a16:creationId xmlns:a16="http://schemas.microsoft.com/office/drawing/2014/main" id="{00000000-0008-0000-0000-000001010000}"/>
                  </a:ext>
                </a:extLst>
              </xdr:cNvPr>
              <xdr:cNvCxnSpPr/>
            </xdr:nvCxnSpPr>
            <xdr:spPr>
              <a:xfrm flipH="1" flipV="1">
                <a:off x="4352311" y="117284194"/>
                <a:ext cx="748440" cy="7"/>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58" name="Straight Arrow Connector 257">
                <a:extLst>
                  <a:ext uri="{FF2B5EF4-FFF2-40B4-BE49-F238E27FC236}">
                    <a16:creationId xmlns:a16="http://schemas.microsoft.com/office/drawing/2014/main" id="{00000000-0008-0000-0000-000002010000}"/>
                  </a:ext>
                </a:extLst>
              </xdr:cNvPr>
              <xdr:cNvCxnSpPr/>
            </xdr:nvCxnSpPr>
            <xdr:spPr>
              <a:xfrm flipH="1" flipV="1">
                <a:off x="4352311" y="117446119"/>
                <a:ext cx="748440" cy="7"/>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59" name="Straight Arrow Connector 258">
                <a:extLst>
                  <a:ext uri="{FF2B5EF4-FFF2-40B4-BE49-F238E27FC236}">
                    <a16:creationId xmlns:a16="http://schemas.microsoft.com/office/drawing/2014/main" id="{00000000-0008-0000-0000-000003010000}"/>
                  </a:ext>
                </a:extLst>
              </xdr:cNvPr>
              <xdr:cNvCxnSpPr/>
            </xdr:nvCxnSpPr>
            <xdr:spPr>
              <a:xfrm flipH="1" flipV="1">
                <a:off x="4352311" y="117598519"/>
                <a:ext cx="748440" cy="7"/>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60" name="Straight Arrow Connector 259">
                <a:extLst>
                  <a:ext uri="{FF2B5EF4-FFF2-40B4-BE49-F238E27FC236}">
                    <a16:creationId xmlns:a16="http://schemas.microsoft.com/office/drawing/2014/main" id="{00000000-0008-0000-0000-000004010000}"/>
                  </a:ext>
                </a:extLst>
              </xdr:cNvPr>
              <xdr:cNvCxnSpPr/>
            </xdr:nvCxnSpPr>
            <xdr:spPr>
              <a:xfrm flipH="1" flipV="1">
                <a:off x="4352311" y="117760958"/>
                <a:ext cx="748440" cy="7"/>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61" name="Straight Arrow Connector 260">
                <a:extLst>
                  <a:ext uri="{FF2B5EF4-FFF2-40B4-BE49-F238E27FC236}">
                    <a16:creationId xmlns:a16="http://schemas.microsoft.com/office/drawing/2014/main" id="{00000000-0008-0000-0000-000005010000}"/>
                  </a:ext>
                </a:extLst>
              </xdr:cNvPr>
              <xdr:cNvCxnSpPr/>
            </xdr:nvCxnSpPr>
            <xdr:spPr>
              <a:xfrm flipH="1" flipV="1">
                <a:off x="4352311" y="118514727"/>
                <a:ext cx="748440" cy="7"/>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grpSp>
        <xdr:grpSp>
          <xdr:nvGrpSpPr>
            <xdr:cNvPr id="210" name="Group 209">
              <a:extLst>
                <a:ext uri="{FF2B5EF4-FFF2-40B4-BE49-F238E27FC236}">
                  <a16:creationId xmlns:a16="http://schemas.microsoft.com/office/drawing/2014/main" id="{00000000-0008-0000-0000-0000D2000000}"/>
                </a:ext>
              </a:extLst>
            </xdr:cNvPr>
            <xdr:cNvGrpSpPr/>
          </xdr:nvGrpSpPr>
          <xdr:grpSpPr>
            <a:xfrm>
              <a:off x="5074014" y="113295113"/>
              <a:ext cx="11318511" cy="7253287"/>
              <a:chOff x="5074014" y="113295113"/>
              <a:chExt cx="11318511" cy="7253287"/>
            </a:xfrm>
          </xdr:grpSpPr>
          <xdr:sp macro="" textlink="">
            <xdr:nvSpPr>
              <xdr:cNvPr id="211" name="TextBox 210">
                <a:extLst>
                  <a:ext uri="{FF2B5EF4-FFF2-40B4-BE49-F238E27FC236}">
                    <a16:creationId xmlns:a16="http://schemas.microsoft.com/office/drawing/2014/main" id="{00000000-0008-0000-0000-0000D3000000}"/>
                  </a:ext>
                </a:extLst>
              </xdr:cNvPr>
              <xdr:cNvSpPr txBox="1"/>
            </xdr:nvSpPr>
            <xdr:spPr>
              <a:xfrm>
                <a:off x="5074015" y="117281325"/>
                <a:ext cx="9034768" cy="2554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Current Portion Long-Term</a:t>
                </a:r>
                <a:r>
                  <a:rPr lang="en-US" sz="1100" b="1" baseline="0">
                    <a:solidFill>
                      <a:srgbClr val="0000FF"/>
                    </a:solidFill>
                    <a:effectLst/>
                    <a:latin typeface="+mn-lt"/>
                    <a:ea typeface="+mn-ea"/>
                    <a:cs typeface="+mn-cs"/>
                  </a:rPr>
                  <a:t> Debt </a:t>
                </a:r>
                <a:r>
                  <a:rPr lang="en-US" sz="1100" b="1">
                    <a:solidFill>
                      <a:srgbClr val="0000FF"/>
                    </a:solidFill>
                    <a:effectLst/>
                    <a:latin typeface="+mn-lt"/>
                    <a:ea typeface="+mn-ea"/>
                    <a:cs typeface="+mn-cs"/>
                  </a:rPr>
                  <a:t>: </a:t>
                </a:r>
                <a:r>
                  <a:rPr lang="en-US" sz="1100" b="1">
                    <a:solidFill>
                      <a:schemeClr val="tx1">
                        <a:lumMod val="75000"/>
                        <a:lumOff val="25000"/>
                      </a:schemeClr>
                    </a:solidFill>
                    <a:effectLst/>
                    <a:latin typeface="+mn-lt"/>
                    <a:ea typeface="+mn-ea"/>
                    <a:cs typeface="+mn-cs"/>
                  </a:rPr>
                  <a:t>The amount of principal</a:t>
                </a:r>
                <a:r>
                  <a:rPr lang="en-US" sz="1100" b="1" baseline="0">
                    <a:solidFill>
                      <a:schemeClr val="tx1">
                        <a:lumMod val="75000"/>
                        <a:lumOff val="25000"/>
                      </a:schemeClr>
                    </a:solidFill>
                    <a:effectLst/>
                    <a:latin typeface="+mn-lt"/>
                    <a:ea typeface="+mn-ea"/>
                    <a:cs typeface="+mn-cs"/>
                  </a:rPr>
                  <a:t> that is due in the next 11 months on your Long-Term debt.</a:t>
                </a:r>
              </a:p>
              <a:p>
                <a:endParaRPr lang="en-US" sz="1100" b="1" baseline="0">
                  <a:solidFill>
                    <a:schemeClr val="tx1">
                      <a:lumMod val="75000"/>
                      <a:lumOff val="25000"/>
                    </a:schemeClr>
                  </a:solidFill>
                </a:endParaRPr>
              </a:p>
            </xdr:txBody>
          </xdr:sp>
          <xdr:grpSp>
            <xdr:nvGrpSpPr>
              <xdr:cNvPr id="212" name="Group 211">
                <a:extLst>
                  <a:ext uri="{FF2B5EF4-FFF2-40B4-BE49-F238E27FC236}">
                    <a16:creationId xmlns:a16="http://schemas.microsoft.com/office/drawing/2014/main" id="{00000000-0008-0000-0000-0000D4000000}"/>
                  </a:ext>
                </a:extLst>
              </xdr:cNvPr>
              <xdr:cNvGrpSpPr/>
            </xdr:nvGrpSpPr>
            <xdr:grpSpPr>
              <a:xfrm>
                <a:off x="5074014" y="113295113"/>
                <a:ext cx="11318511" cy="7253287"/>
                <a:chOff x="5074014" y="113295113"/>
                <a:chExt cx="11318511" cy="7253287"/>
              </a:xfrm>
            </xdr:grpSpPr>
            <xdr:sp macro="" textlink="">
              <xdr:nvSpPr>
                <xdr:cNvPr id="213" name="TextBox 212">
                  <a:extLst>
                    <a:ext uri="{FF2B5EF4-FFF2-40B4-BE49-F238E27FC236}">
                      <a16:creationId xmlns:a16="http://schemas.microsoft.com/office/drawing/2014/main" id="{00000000-0008-0000-0000-0000D5000000}"/>
                    </a:ext>
                  </a:extLst>
                </xdr:cNvPr>
                <xdr:cNvSpPr txBox="1"/>
              </xdr:nvSpPr>
              <xdr:spPr>
                <a:xfrm>
                  <a:off x="5082929" y="113295113"/>
                  <a:ext cx="11309596" cy="2714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Cash</a:t>
                  </a:r>
                  <a:r>
                    <a:rPr lang="en-US" sz="1100" b="1" baseline="0">
                      <a:solidFill>
                        <a:srgbClr val="0000FF"/>
                      </a:solidFill>
                      <a:effectLst/>
                      <a:latin typeface="+mn-lt"/>
                      <a:ea typeface="+mn-ea"/>
                      <a:cs typeface="+mn-cs"/>
                    </a:rPr>
                    <a:t> &amp; Equivalents </a:t>
                  </a:r>
                  <a:r>
                    <a:rPr lang="en-US" sz="1100" b="1">
                      <a:solidFill>
                        <a:srgbClr val="0000FF"/>
                      </a:solidFill>
                      <a:effectLst/>
                      <a:latin typeface="+mn-lt"/>
                      <a:ea typeface="+mn-ea"/>
                      <a:cs typeface="+mn-cs"/>
                    </a:rPr>
                    <a:t>- </a:t>
                  </a:r>
                  <a:r>
                    <a:rPr lang="en-US" sz="1100" b="1">
                      <a:solidFill>
                        <a:schemeClr val="tx1">
                          <a:lumMod val="75000"/>
                          <a:lumOff val="25000"/>
                        </a:schemeClr>
                      </a:solidFill>
                      <a:effectLst/>
                      <a:latin typeface="+mn-lt"/>
                      <a:ea typeface="+mn-ea"/>
                      <a:cs typeface="+mn-cs"/>
                    </a:rPr>
                    <a:t>This is the End Period</a:t>
                  </a:r>
                  <a:r>
                    <a:rPr lang="en-US" sz="1100" b="1" baseline="0">
                      <a:solidFill>
                        <a:schemeClr val="tx1">
                          <a:lumMod val="75000"/>
                          <a:lumOff val="25000"/>
                        </a:schemeClr>
                      </a:solidFill>
                      <a:effectLst/>
                      <a:latin typeface="+mn-lt"/>
                      <a:ea typeface="+mn-ea"/>
                      <a:cs typeface="+mn-cs"/>
                    </a:rPr>
                    <a:t> cash balance from the Cash Flow. It's how much you have in cash and stocks, etc.</a:t>
                  </a:r>
                  <a:endParaRPr lang="en-US" sz="1100" b="1" baseline="0">
                    <a:solidFill>
                      <a:schemeClr val="tx1">
                        <a:lumMod val="75000"/>
                        <a:lumOff val="25000"/>
                      </a:schemeClr>
                    </a:solidFill>
                  </a:endParaRPr>
                </a:p>
              </xdr:txBody>
            </xdr:sp>
            <xdr:sp macro="" textlink="">
              <xdr:nvSpPr>
                <xdr:cNvPr id="214" name="TextBox 213">
                  <a:extLst>
                    <a:ext uri="{FF2B5EF4-FFF2-40B4-BE49-F238E27FC236}">
                      <a16:creationId xmlns:a16="http://schemas.microsoft.com/office/drawing/2014/main" id="{00000000-0008-0000-0000-0000D6000000}"/>
                    </a:ext>
                  </a:extLst>
                </xdr:cNvPr>
                <xdr:cNvSpPr txBox="1"/>
              </xdr:nvSpPr>
              <xdr:spPr>
                <a:xfrm>
                  <a:off x="5082929" y="113637846"/>
                  <a:ext cx="8382550" cy="2554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Accounts Receivable</a:t>
                  </a:r>
                  <a:r>
                    <a:rPr lang="en-US" sz="1100" b="1" baseline="0">
                      <a:solidFill>
                        <a:srgbClr val="0000FF"/>
                      </a:solidFill>
                      <a:effectLst/>
                      <a:latin typeface="+mn-lt"/>
                      <a:ea typeface="+mn-ea"/>
                      <a:cs typeface="+mn-cs"/>
                    </a:rPr>
                    <a:t> </a:t>
                  </a:r>
                  <a:r>
                    <a:rPr lang="en-US" sz="1100" b="1">
                      <a:solidFill>
                        <a:srgbClr val="0000FF"/>
                      </a:solidFill>
                      <a:effectLst/>
                      <a:latin typeface="+mn-lt"/>
                      <a:ea typeface="+mn-ea"/>
                      <a:cs typeface="+mn-cs"/>
                    </a:rPr>
                    <a:t>- </a:t>
                  </a:r>
                  <a:r>
                    <a:rPr lang="en-US" sz="1100" b="1">
                      <a:solidFill>
                        <a:schemeClr val="tx1">
                          <a:lumMod val="75000"/>
                          <a:lumOff val="25000"/>
                        </a:schemeClr>
                      </a:solidFill>
                      <a:effectLst/>
                      <a:latin typeface="+mn-lt"/>
                      <a:ea typeface="+mn-ea"/>
                      <a:cs typeface="+mn-cs"/>
                    </a:rPr>
                    <a:t>This is the total amount of Receivables</a:t>
                  </a:r>
                  <a:r>
                    <a:rPr lang="en-US" sz="1100" b="1" baseline="0">
                      <a:solidFill>
                        <a:schemeClr val="tx1">
                          <a:lumMod val="75000"/>
                          <a:lumOff val="25000"/>
                        </a:schemeClr>
                      </a:solidFill>
                      <a:effectLst/>
                      <a:latin typeface="+mn-lt"/>
                      <a:ea typeface="+mn-ea"/>
                      <a:cs typeface="+mn-cs"/>
                    </a:rPr>
                    <a:t> you are waiting to collect from your customers.</a:t>
                  </a:r>
                  <a:endParaRPr lang="en-US" sz="1100" b="1" baseline="0">
                    <a:solidFill>
                      <a:schemeClr val="tx1">
                        <a:lumMod val="75000"/>
                        <a:lumOff val="25000"/>
                      </a:schemeClr>
                    </a:solidFill>
                  </a:endParaRPr>
                </a:p>
              </xdr:txBody>
            </xdr:sp>
            <xdr:sp macro="" textlink="">
              <xdr:nvSpPr>
                <xdr:cNvPr id="215" name="TextBox 214">
                  <a:extLst>
                    <a:ext uri="{FF2B5EF4-FFF2-40B4-BE49-F238E27FC236}">
                      <a16:creationId xmlns:a16="http://schemas.microsoft.com/office/drawing/2014/main" id="{00000000-0008-0000-0000-0000D7000000}"/>
                    </a:ext>
                  </a:extLst>
                </xdr:cNvPr>
                <xdr:cNvSpPr txBox="1"/>
              </xdr:nvSpPr>
              <xdr:spPr>
                <a:xfrm>
                  <a:off x="5082929" y="113901508"/>
                  <a:ext cx="8382550" cy="27190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Inventory</a:t>
                  </a:r>
                  <a:r>
                    <a:rPr lang="en-US" sz="1100" b="1" baseline="0">
                      <a:solidFill>
                        <a:srgbClr val="0000FF"/>
                      </a:solidFill>
                      <a:effectLst/>
                      <a:latin typeface="+mn-lt"/>
                      <a:ea typeface="+mn-ea"/>
                      <a:cs typeface="+mn-cs"/>
                    </a:rPr>
                    <a:t> </a:t>
                  </a:r>
                  <a:r>
                    <a:rPr lang="en-US" sz="1100" b="1">
                      <a:solidFill>
                        <a:srgbClr val="0000FF"/>
                      </a:solidFill>
                      <a:effectLst/>
                      <a:latin typeface="+mn-lt"/>
                      <a:ea typeface="+mn-ea"/>
                      <a:cs typeface="+mn-cs"/>
                    </a:rPr>
                    <a:t>- </a:t>
                  </a:r>
                  <a:r>
                    <a:rPr lang="en-US" sz="1100" b="1">
                      <a:solidFill>
                        <a:schemeClr val="tx1">
                          <a:lumMod val="75000"/>
                          <a:lumOff val="25000"/>
                        </a:schemeClr>
                      </a:solidFill>
                      <a:effectLst/>
                      <a:latin typeface="+mn-lt"/>
                      <a:ea typeface="+mn-ea"/>
                      <a:cs typeface="+mn-cs"/>
                    </a:rPr>
                    <a:t>The dollar amount of inventory you currently</a:t>
                  </a:r>
                  <a:r>
                    <a:rPr lang="en-US" sz="1100" b="1" baseline="0">
                      <a:solidFill>
                        <a:schemeClr val="tx1">
                          <a:lumMod val="75000"/>
                          <a:lumOff val="25000"/>
                        </a:schemeClr>
                      </a:solidFill>
                      <a:effectLst/>
                      <a:latin typeface="+mn-lt"/>
                      <a:ea typeface="+mn-ea"/>
                      <a:cs typeface="+mn-cs"/>
                    </a:rPr>
                    <a:t> have in possession.</a:t>
                  </a:r>
                  <a:endParaRPr lang="en-US" sz="1100" b="1" baseline="0">
                    <a:solidFill>
                      <a:schemeClr val="tx1">
                        <a:lumMod val="75000"/>
                        <a:lumOff val="25000"/>
                      </a:schemeClr>
                    </a:solidFill>
                  </a:endParaRPr>
                </a:p>
              </xdr:txBody>
            </xdr:sp>
            <xdr:sp macro="" textlink="">
              <xdr:nvSpPr>
                <xdr:cNvPr id="216" name="TextBox 215">
                  <a:extLst>
                    <a:ext uri="{FF2B5EF4-FFF2-40B4-BE49-F238E27FC236}">
                      <a16:creationId xmlns:a16="http://schemas.microsoft.com/office/drawing/2014/main" id="{00000000-0008-0000-0000-0000D8000000}"/>
                    </a:ext>
                  </a:extLst>
                </xdr:cNvPr>
                <xdr:cNvSpPr txBox="1"/>
              </xdr:nvSpPr>
              <xdr:spPr>
                <a:xfrm>
                  <a:off x="5082929" y="114395013"/>
                  <a:ext cx="8382550" cy="27190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Intangible Assets</a:t>
                  </a:r>
                  <a:r>
                    <a:rPr lang="en-US" sz="1100" b="1" baseline="0">
                      <a:solidFill>
                        <a:srgbClr val="0000FF"/>
                      </a:solidFill>
                      <a:effectLst/>
                      <a:latin typeface="+mn-lt"/>
                      <a:ea typeface="+mn-ea"/>
                      <a:cs typeface="+mn-cs"/>
                    </a:rPr>
                    <a:t> </a:t>
                  </a:r>
                  <a:r>
                    <a:rPr lang="en-US" sz="1100" b="1">
                      <a:solidFill>
                        <a:srgbClr val="0000FF"/>
                      </a:solidFill>
                      <a:effectLst/>
                      <a:latin typeface="+mn-lt"/>
                      <a:ea typeface="+mn-ea"/>
                      <a:cs typeface="+mn-cs"/>
                    </a:rPr>
                    <a:t>- </a:t>
                  </a:r>
                  <a:r>
                    <a:rPr lang="en-US" sz="1100" b="1">
                      <a:solidFill>
                        <a:schemeClr val="tx1">
                          <a:lumMod val="75000"/>
                          <a:lumOff val="25000"/>
                        </a:schemeClr>
                      </a:solidFill>
                      <a:effectLst/>
                      <a:latin typeface="+mn-lt"/>
                      <a:ea typeface="+mn-ea"/>
                      <a:cs typeface="+mn-cs"/>
                    </a:rPr>
                    <a:t>This amount you originally</a:t>
                  </a:r>
                  <a:r>
                    <a:rPr lang="en-US" sz="1100" b="1" baseline="0">
                      <a:solidFill>
                        <a:schemeClr val="tx1">
                          <a:lumMod val="75000"/>
                          <a:lumOff val="25000"/>
                        </a:schemeClr>
                      </a:solidFill>
                      <a:effectLst/>
                      <a:latin typeface="+mn-lt"/>
                      <a:ea typeface="+mn-ea"/>
                      <a:cs typeface="+mn-cs"/>
                    </a:rPr>
                    <a:t> paid for all Intangible Assets such as trademarks, licenses, patents, etc.</a:t>
                  </a:r>
                  <a:endParaRPr lang="en-US" sz="1100" b="1" baseline="0">
                    <a:solidFill>
                      <a:schemeClr val="tx1">
                        <a:lumMod val="75000"/>
                        <a:lumOff val="25000"/>
                      </a:schemeClr>
                    </a:solidFill>
                  </a:endParaRPr>
                </a:p>
              </xdr:txBody>
            </xdr:sp>
            <xdr:sp macro="" textlink="">
              <xdr:nvSpPr>
                <xdr:cNvPr id="217" name="TextBox 216">
                  <a:extLst>
                    <a:ext uri="{FF2B5EF4-FFF2-40B4-BE49-F238E27FC236}">
                      <a16:creationId xmlns:a16="http://schemas.microsoft.com/office/drawing/2014/main" id="{00000000-0008-0000-0000-0000D9000000}"/>
                    </a:ext>
                  </a:extLst>
                </xdr:cNvPr>
                <xdr:cNvSpPr txBox="1"/>
              </xdr:nvSpPr>
              <xdr:spPr>
                <a:xfrm>
                  <a:off x="5082929" y="114657395"/>
                  <a:ext cx="8382550" cy="27190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Accumulated</a:t>
                  </a:r>
                  <a:r>
                    <a:rPr lang="en-US" sz="1100" b="1" baseline="0">
                      <a:solidFill>
                        <a:srgbClr val="0000FF"/>
                      </a:solidFill>
                      <a:effectLst/>
                      <a:latin typeface="+mn-lt"/>
                      <a:ea typeface="+mn-ea"/>
                      <a:cs typeface="+mn-cs"/>
                    </a:rPr>
                    <a:t> Amortization </a:t>
                  </a:r>
                  <a:r>
                    <a:rPr lang="en-US" sz="1100" b="1">
                      <a:solidFill>
                        <a:srgbClr val="0000FF"/>
                      </a:solidFill>
                      <a:effectLst/>
                      <a:latin typeface="+mn-lt"/>
                      <a:ea typeface="+mn-ea"/>
                      <a:cs typeface="+mn-cs"/>
                    </a:rPr>
                    <a:t>- </a:t>
                  </a:r>
                  <a:r>
                    <a:rPr lang="en-US" sz="1100" b="1">
                      <a:solidFill>
                        <a:schemeClr val="tx1">
                          <a:lumMod val="75000"/>
                          <a:lumOff val="25000"/>
                        </a:schemeClr>
                      </a:solidFill>
                      <a:effectLst/>
                      <a:latin typeface="+mn-lt"/>
                      <a:ea typeface="+mn-ea"/>
                      <a:cs typeface="+mn-cs"/>
                    </a:rPr>
                    <a:t>The</a:t>
                  </a:r>
                  <a:r>
                    <a:rPr lang="en-US" sz="1100" b="1" baseline="0">
                      <a:solidFill>
                        <a:schemeClr val="tx1">
                          <a:lumMod val="75000"/>
                          <a:lumOff val="25000"/>
                        </a:schemeClr>
                      </a:solidFill>
                      <a:effectLst/>
                      <a:latin typeface="+mn-lt"/>
                      <a:ea typeface="+mn-ea"/>
                      <a:cs typeface="+mn-cs"/>
                    </a:rPr>
                    <a:t> total amount you have amortized from all of your Intangible Assets.</a:t>
                  </a:r>
                </a:p>
                <a:p>
                  <a:endParaRPr lang="en-US" sz="1100" b="1" baseline="0">
                    <a:solidFill>
                      <a:schemeClr val="tx1">
                        <a:lumMod val="75000"/>
                        <a:lumOff val="25000"/>
                      </a:schemeClr>
                    </a:solidFill>
                  </a:endParaRPr>
                </a:p>
              </xdr:txBody>
            </xdr:sp>
            <xdr:sp macro="" textlink="">
              <xdr:nvSpPr>
                <xdr:cNvPr id="218" name="TextBox 217">
                  <a:extLst>
                    <a:ext uri="{FF2B5EF4-FFF2-40B4-BE49-F238E27FC236}">
                      <a16:creationId xmlns:a16="http://schemas.microsoft.com/office/drawing/2014/main" id="{00000000-0008-0000-0000-0000DA000000}"/>
                    </a:ext>
                  </a:extLst>
                </xdr:cNvPr>
                <xdr:cNvSpPr txBox="1"/>
              </xdr:nvSpPr>
              <xdr:spPr>
                <a:xfrm>
                  <a:off x="5074016" y="114871622"/>
                  <a:ext cx="8382550" cy="27190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Net Intangible Assets - </a:t>
                  </a:r>
                  <a:r>
                    <a:rPr lang="en-US" sz="1100" b="1">
                      <a:solidFill>
                        <a:schemeClr val="tx1">
                          <a:lumMod val="75000"/>
                          <a:lumOff val="25000"/>
                        </a:schemeClr>
                      </a:solidFill>
                      <a:effectLst/>
                      <a:latin typeface="+mn-lt"/>
                      <a:ea typeface="+mn-ea"/>
                      <a:cs typeface="+mn-cs"/>
                    </a:rPr>
                    <a:t>The</a:t>
                  </a:r>
                  <a:r>
                    <a:rPr lang="en-US" sz="1100" b="1" baseline="0">
                      <a:solidFill>
                        <a:schemeClr val="tx1">
                          <a:lumMod val="75000"/>
                          <a:lumOff val="25000"/>
                        </a:schemeClr>
                      </a:solidFill>
                      <a:effectLst/>
                      <a:latin typeface="+mn-lt"/>
                      <a:ea typeface="+mn-ea"/>
                      <a:cs typeface="+mn-cs"/>
                    </a:rPr>
                    <a:t> amount you paid for your Intangible Assets minus Accumulated Amortization.</a:t>
                  </a:r>
                </a:p>
                <a:p>
                  <a:endParaRPr lang="en-US" sz="1100" b="1" baseline="0">
                    <a:solidFill>
                      <a:schemeClr val="tx1">
                        <a:lumMod val="75000"/>
                        <a:lumOff val="25000"/>
                      </a:schemeClr>
                    </a:solidFill>
                  </a:endParaRPr>
                </a:p>
              </xdr:txBody>
            </xdr:sp>
            <xdr:sp macro="" textlink="">
              <xdr:nvSpPr>
                <xdr:cNvPr id="219" name="TextBox 218">
                  <a:extLst>
                    <a:ext uri="{FF2B5EF4-FFF2-40B4-BE49-F238E27FC236}">
                      <a16:creationId xmlns:a16="http://schemas.microsoft.com/office/drawing/2014/main" id="{00000000-0008-0000-0000-0000DB000000}"/>
                    </a:ext>
                  </a:extLst>
                </xdr:cNvPr>
                <xdr:cNvSpPr txBox="1"/>
              </xdr:nvSpPr>
              <xdr:spPr>
                <a:xfrm>
                  <a:off x="5074016" y="115218740"/>
                  <a:ext cx="8382550" cy="27190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Computers - </a:t>
                  </a:r>
                  <a:r>
                    <a:rPr lang="en-US" sz="1100" b="1">
                      <a:solidFill>
                        <a:schemeClr val="tx1">
                          <a:lumMod val="75000"/>
                          <a:lumOff val="25000"/>
                        </a:schemeClr>
                      </a:solidFill>
                      <a:effectLst/>
                      <a:latin typeface="+mn-lt"/>
                      <a:ea typeface="+mn-ea"/>
                      <a:cs typeface="+mn-cs"/>
                    </a:rPr>
                    <a:t>The</a:t>
                  </a:r>
                  <a:r>
                    <a:rPr lang="en-US" sz="1100" b="1" baseline="0">
                      <a:solidFill>
                        <a:schemeClr val="tx1">
                          <a:lumMod val="75000"/>
                          <a:lumOff val="25000"/>
                        </a:schemeClr>
                      </a:solidFill>
                      <a:effectLst/>
                      <a:latin typeface="+mn-lt"/>
                      <a:ea typeface="+mn-ea"/>
                      <a:cs typeface="+mn-cs"/>
                    </a:rPr>
                    <a:t> amount you originally paid for all our computers. Typically depreciated over 5 years.</a:t>
                  </a:r>
                </a:p>
                <a:p>
                  <a:endParaRPr lang="en-US" sz="1100" b="1" baseline="0">
                    <a:solidFill>
                      <a:schemeClr val="tx1">
                        <a:lumMod val="75000"/>
                        <a:lumOff val="25000"/>
                      </a:schemeClr>
                    </a:solidFill>
                  </a:endParaRPr>
                </a:p>
              </xdr:txBody>
            </xdr:sp>
            <xdr:sp macro="" textlink="">
              <xdr:nvSpPr>
                <xdr:cNvPr id="220" name="TextBox 219">
                  <a:extLst>
                    <a:ext uri="{FF2B5EF4-FFF2-40B4-BE49-F238E27FC236}">
                      <a16:creationId xmlns:a16="http://schemas.microsoft.com/office/drawing/2014/main" id="{00000000-0008-0000-0000-0000DC000000}"/>
                    </a:ext>
                  </a:extLst>
                </xdr:cNvPr>
                <xdr:cNvSpPr txBox="1"/>
              </xdr:nvSpPr>
              <xdr:spPr>
                <a:xfrm>
                  <a:off x="5074016" y="115400009"/>
                  <a:ext cx="8382550" cy="27190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FF&amp;E - </a:t>
                  </a:r>
                  <a:r>
                    <a:rPr lang="en-US" sz="1100" b="1">
                      <a:solidFill>
                        <a:schemeClr val="tx1">
                          <a:lumMod val="75000"/>
                          <a:lumOff val="25000"/>
                        </a:schemeClr>
                      </a:solidFill>
                      <a:effectLst/>
                      <a:latin typeface="+mn-lt"/>
                      <a:ea typeface="+mn-ea"/>
                      <a:cs typeface="+mn-cs"/>
                    </a:rPr>
                    <a:t>The amount you originally</a:t>
                  </a:r>
                  <a:r>
                    <a:rPr lang="en-US" sz="1100" b="1" baseline="0">
                      <a:solidFill>
                        <a:schemeClr val="tx1">
                          <a:lumMod val="75000"/>
                          <a:lumOff val="25000"/>
                        </a:schemeClr>
                      </a:solidFill>
                      <a:effectLst/>
                      <a:latin typeface="+mn-lt"/>
                      <a:ea typeface="+mn-ea"/>
                      <a:cs typeface="+mn-cs"/>
                    </a:rPr>
                    <a:t> paid for all Furniture, Fixtures, and Equipment. Typically depreciated over 7 years.</a:t>
                  </a:r>
                </a:p>
                <a:p>
                  <a:endParaRPr lang="en-US" sz="1100" b="1" baseline="0">
                    <a:solidFill>
                      <a:schemeClr val="tx1">
                        <a:lumMod val="75000"/>
                        <a:lumOff val="25000"/>
                      </a:schemeClr>
                    </a:solidFill>
                  </a:endParaRPr>
                </a:p>
              </xdr:txBody>
            </xdr:sp>
            <xdr:sp macro="" textlink="">
              <xdr:nvSpPr>
                <xdr:cNvPr id="221" name="TextBox 220">
                  <a:extLst>
                    <a:ext uri="{FF2B5EF4-FFF2-40B4-BE49-F238E27FC236}">
                      <a16:creationId xmlns:a16="http://schemas.microsoft.com/office/drawing/2014/main" id="{00000000-0008-0000-0000-0000DD000000}"/>
                    </a:ext>
                  </a:extLst>
                </xdr:cNvPr>
                <xdr:cNvSpPr txBox="1"/>
              </xdr:nvSpPr>
              <xdr:spPr>
                <a:xfrm>
                  <a:off x="5074015" y="115579995"/>
                  <a:ext cx="9034768" cy="27190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Leasehold</a:t>
                  </a:r>
                  <a:r>
                    <a:rPr lang="en-US" sz="1100" b="1" baseline="0">
                      <a:solidFill>
                        <a:srgbClr val="0000FF"/>
                      </a:solidFill>
                      <a:effectLst/>
                      <a:latin typeface="+mn-lt"/>
                      <a:ea typeface="+mn-ea"/>
                      <a:cs typeface="+mn-cs"/>
                    </a:rPr>
                    <a:t> Improvements </a:t>
                  </a:r>
                  <a:r>
                    <a:rPr lang="en-US" sz="1100" b="1">
                      <a:solidFill>
                        <a:srgbClr val="0000FF"/>
                      </a:solidFill>
                      <a:effectLst/>
                      <a:latin typeface="+mn-lt"/>
                      <a:ea typeface="+mn-ea"/>
                      <a:cs typeface="+mn-cs"/>
                    </a:rPr>
                    <a:t>- </a:t>
                  </a:r>
                  <a:r>
                    <a:rPr lang="en-US" sz="1100" b="1">
                      <a:solidFill>
                        <a:schemeClr val="tx1">
                          <a:lumMod val="75000"/>
                          <a:lumOff val="25000"/>
                        </a:schemeClr>
                      </a:solidFill>
                      <a:effectLst/>
                      <a:latin typeface="+mn-lt"/>
                      <a:ea typeface="+mn-ea"/>
                      <a:cs typeface="+mn-cs"/>
                    </a:rPr>
                    <a:t>The amount you originally</a:t>
                  </a:r>
                  <a:r>
                    <a:rPr lang="en-US" sz="1100" b="1" baseline="0">
                      <a:solidFill>
                        <a:schemeClr val="tx1">
                          <a:lumMod val="75000"/>
                          <a:lumOff val="25000"/>
                        </a:schemeClr>
                      </a:solidFill>
                      <a:effectLst/>
                      <a:latin typeface="+mn-lt"/>
                      <a:ea typeface="+mn-ea"/>
                      <a:cs typeface="+mn-cs"/>
                    </a:rPr>
                    <a:t> paid for improvements to your premises. Typically depreciated over 15 years.</a:t>
                  </a:r>
                </a:p>
                <a:p>
                  <a:endParaRPr lang="en-US" sz="1100" b="1" baseline="0">
                    <a:solidFill>
                      <a:schemeClr val="tx1">
                        <a:lumMod val="75000"/>
                        <a:lumOff val="25000"/>
                      </a:schemeClr>
                    </a:solidFill>
                  </a:endParaRPr>
                </a:p>
              </xdr:txBody>
            </xdr:sp>
            <xdr:sp macro="" textlink="">
              <xdr:nvSpPr>
                <xdr:cNvPr id="222" name="TextBox 221">
                  <a:extLst>
                    <a:ext uri="{FF2B5EF4-FFF2-40B4-BE49-F238E27FC236}">
                      <a16:creationId xmlns:a16="http://schemas.microsoft.com/office/drawing/2014/main" id="{00000000-0008-0000-0000-0000DE000000}"/>
                    </a:ext>
                  </a:extLst>
                </xdr:cNvPr>
                <xdr:cNvSpPr txBox="1"/>
              </xdr:nvSpPr>
              <xdr:spPr>
                <a:xfrm>
                  <a:off x="5074015" y="116229185"/>
                  <a:ext cx="9034768" cy="4779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Total Assets: </a:t>
                  </a:r>
                  <a:r>
                    <a:rPr lang="en-US" sz="1100" b="1">
                      <a:solidFill>
                        <a:schemeClr val="tx1">
                          <a:lumMod val="75000"/>
                          <a:lumOff val="25000"/>
                        </a:schemeClr>
                      </a:solidFill>
                      <a:effectLst/>
                      <a:latin typeface="+mn-lt"/>
                      <a:ea typeface="+mn-ea"/>
                      <a:cs typeface="+mn-cs"/>
                    </a:rPr>
                    <a:t>The combined</a:t>
                  </a:r>
                  <a:r>
                    <a:rPr lang="en-US" sz="1100" b="1" baseline="0">
                      <a:solidFill>
                        <a:schemeClr val="tx1">
                          <a:lumMod val="75000"/>
                          <a:lumOff val="25000"/>
                        </a:schemeClr>
                      </a:solidFill>
                      <a:effectLst/>
                      <a:latin typeface="+mn-lt"/>
                      <a:ea typeface="+mn-ea"/>
                      <a:cs typeface="+mn-cs"/>
                    </a:rPr>
                    <a:t> amount of your Current Assets, Net Intangible Assets, and Net Fixed Assets.  </a:t>
                  </a:r>
                  <a:br>
                    <a:rPr lang="en-US" sz="1100" b="1" baseline="0">
                      <a:solidFill>
                        <a:schemeClr val="tx1">
                          <a:lumMod val="75000"/>
                          <a:lumOff val="25000"/>
                        </a:schemeClr>
                      </a:solidFill>
                      <a:effectLst/>
                      <a:latin typeface="+mn-lt"/>
                      <a:ea typeface="+mn-ea"/>
                      <a:cs typeface="+mn-cs"/>
                    </a:rPr>
                  </a:br>
                  <a:r>
                    <a:rPr lang="en-US" sz="1100" b="1">
                      <a:solidFill>
                        <a:schemeClr val="tx1">
                          <a:lumMod val="75000"/>
                          <a:lumOff val="25000"/>
                        </a:schemeClr>
                      </a:solidFill>
                      <a:effectLst/>
                      <a:latin typeface="+mn-lt"/>
                      <a:ea typeface="+mn-ea"/>
                      <a:cs typeface="+mn-cs"/>
                    </a:rPr>
                    <a:t>The first half of your</a:t>
                  </a:r>
                  <a:r>
                    <a:rPr lang="en-US" sz="1100" b="1" baseline="0">
                      <a:solidFill>
                        <a:schemeClr val="tx1">
                          <a:lumMod val="75000"/>
                          <a:lumOff val="25000"/>
                        </a:schemeClr>
                      </a:solidFill>
                      <a:effectLst/>
                      <a:latin typeface="+mn-lt"/>
                      <a:ea typeface="+mn-ea"/>
                      <a:cs typeface="+mn-cs"/>
                    </a:rPr>
                    <a:t> company's Accounting Equation.</a:t>
                  </a:r>
                </a:p>
                <a:p>
                  <a:endParaRPr lang="en-US" sz="1100" b="1" baseline="0">
                    <a:solidFill>
                      <a:schemeClr val="tx1">
                        <a:lumMod val="75000"/>
                        <a:lumOff val="25000"/>
                      </a:schemeClr>
                    </a:solidFill>
                  </a:endParaRPr>
                </a:p>
              </xdr:txBody>
            </xdr:sp>
            <xdr:sp macro="" textlink="">
              <xdr:nvSpPr>
                <xdr:cNvPr id="223" name="TextBox 222">
                  <a:extLst>
                    <a:ext uri="{FF2B5EF4-FFF2-40B4-BE49-F238E27FC236}">
                      <a16:creationId xmlns:a16="http://schemas.microsoft.com/office/drawing/2014/main" id="{00000000-0008-0000-0000-0000DF000000}"/>
                    </a:ext>
                  </a:extLst>
                </xdr:cNvPr>
                <xdr:cNvSpPr txBox="1"/>
              </xdr:nvSpPr>
              <xdr:spPr>
                <a:xfrm>
                  <a:off x="5074015" y="116786412"/>
                  <a:ext cx="9034768" cy="2554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Accounts Payable</a:t>
                  </a:r>
                  <a:r>
                    <a:rPr lang="en-US" sz="1100" b="1" baseline="0">
                      <a:solidFill>
                        <a:srgbClr val="0000FF"/>
                      </a:solidFill>
                      <a:effectLst/>
                      <a:latin typeface="+mn-lt"/>
                      <a:ea typeface="+mn-ea"/>
                      <a:cs typeface="+mn-cs"/>
                    </a:rPr>
                    <a:t> </a:t>
                  </a:r>
                  <a:r>
                    <a:rPr lang="en-US" sz="1100" b="1">
                      <a:solidFill>
                        <a:srgbClr val="0000FF"/>
                      </a:solidFill>
                      <a:effectLst/>
                      <a:latin typeface="+mn-lt"/>
                      <a:ea typeface="+mn-ea"/>
                      <a:cs typeface="+mn-cs"/>
                    </a:rPr>
                    <a:t>: </a:t>
                  </a:r>
                  <a:r>
                    <a:rPr lang="en-US" sz="1100" b="1">
                      <a:solidFill>
                        <a:schemeClr val="tx1">
                          <a:lumMod val="75000"/>
                          <a:lumOff val="25000"/>
                        </a:schemeClr>
                      </a:solidFill>
                      <a:effectLst/>
                      <a:latin typeface="+mn-lt"/>
                      <a:ea typeface="+mn-ea"/>
                      <a:cs typeface="+mn-cs"/>
                    </a:rPr>
                    <a:t>The total amount</a:t>
                  </a:r>
                  <a:r>
                    <a:rPr lang="en-US" sz="1100" b="1" baseline="0">
                      <a:solidFill>
                        <a:schemeClr val="tx1">
                          <a:lumMod val="75000"/>
                          <a:lumOff val="25000"/>
                        </a:schemeClr>
                      </a:solidFill>
                      <a:effectLst/>
                      <a:latin typeface="+mn-lt"/>
                      <a:ea typeface="+mn-ea"/>
                      <a:cs typeface="+mn-cs"/>
                    </a:rPr>
                    <a:t> you owe all of your vendors.</a:t>
                  </a:r>
                </a:p>
                <a:p>
                  <a:endParaRPr lang="en-US" sz="1100" b="1" baseline="0">
                    <a:solidFill>
                      <a:schemeClr val="tx1">
                        <a:lumMod val="75000"/>
                        <a:lumOff val="25000"/>
                      </a:schemeClr>
                    </a:solidFill>
                  </a:endParaRPr>
                </a:p>
              </xdr:txBody>
            </xdr:sp>
            <xdr:sp macro="" textlink="">
              <xdr:nvSpPr>
                <xdr:cNvPr id="224" name="TextBox 223">
                  <a:extLst>
                    <a:ext uri="{FF2B5EF4-FFF2-40B4-BE49-F238E27FC236}">
                      <a16:creationId xmlns:a16="http://schemas.microsoft.com/office/drawing/2014/main" id="{00000000-0008-0000-0000-0000E0000000}"/>
                    </a:ext>
                  </a:extLst>
                </xdr:cNvPr>
                <xdr:cNvSpPr txBox="1"/>
              </xdr:nvSpPr>
              <xdr:spPr>
                <a:xfrm>
                  <a:off x="5074015" y="117977165"/>
                  <a:ext cx="9034768" cy="3042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Long-Term</a:t>
                  </a:r>
                  <a:r>
                    <a:rPr lang="en-US" sz="1100" b="1" baseline="0">
                      <a:solidFill>
                        <a:srgbClr val="0000FF"/>
                      </a:solidFill>
                      <a:effectLst/>
                      <a:latin typeface="+mn-lt"/>
                      <a:ea typeface="+mn-ea"/>
                      <a:cs typeface="+mn-cs"/>
                    </a:rPr>
                    <a:t> Debt</a:t>
                  </a:r>
                  <a:r>
                    <a:rPr lang="en-US" sz="1100" b="1">
                      <a:solidFill>
                        <a:srgbClr val="0000FF"/>
                      </a:solidFill>
                      <a:effectLst/>
                      <a:latin typeface="+mn-lt"/>
                      <a:ea typeface="+mn-ea"/>
                      <a:cs typeface="+mn-cs"/>
                    </a:rPr>
                    <a:t>: </a:t>
                  </a:r>
                  <a:r>
                    <a:rPr lang="en-US" sz="1100" b="1">
                      <a:solidFill>
                        <a:schemeClr val="tx1">
                          <a:lumMod val="75000"/>
                          <a:lumOff val="25000"/>
                        </a:schemeClr>
                      </a:solidFill>
                      <a:effectLst/>
                      <a:latin typeface="+mn-lt"/>
                      <a:ea typeface="+mn-ea"/>
                      <a:cs typeface="+mn-cs"/>
                    </a:rPr>
                    <a:t>The balance</a:t>
                  </a:r>
                  <a:r>
                    <a:rPr lang="en-US" sz="1100" b="1" baseline="0">
                      <a:solidFill>
                        <a:schemeClr val="tx1">
                          <a:lumMod val="75000"/>
                          <a:lumOff val="25000"/>
                        </a:schemeClr>
                      </a:solidFill>
                      <a:effectLst/>
                      <a:latin typeface="+mn-lt"/>
                      <a:ea typeface="+mn-ea"/>
                      <a:cs typeface="+mn-cs"/>
                    </a:rPr>
                    <a:t> of your debt over 12 months, minus the Current Portion.</a:t>
                  </a:r>
                </a:p>
                <a:p>
                  <a:endParaRPr lang="en-US" sz="1100" b="1" baseline="0">
                    <a:solidFill>
                      <a:schemeClr val="tx1">
                        <a:lumMod val="75000"/>
                        <a:lumOff val="25000"/>
                      </a:schemeClr>
                    </a:solidFill>
                  </a:endParaRPr>
                </a:p>
              </xdr:txBody>
            </xdr:sp>
            <xdr:sp macro="" textlink="">
              <xdr:nvSpPr>
                <xdr:cNvPr id="225" name="TextBox 224">
                  <a:extLst>
                    <a:ext uri="{FF2B5EF4-FFF2-40B4-BE49-F238E27FC236}">
                      <a16:creationId xmlns:a16="http://schemas.microsoft.com/office/drawing/2014/main" id="{00000000-0008-0000-0000-0000E1000000}"/>
                    </a:ext>
                  </a:extLst>
                </xdr:cNvPr>
                <xdr:cNvSpPr txBox="1"/>
              </xdr:nvSpPr>
              <xdr:spPr>
                <a:xfrm>
                  <a:off x="5074015" y="118728346"/>
                  <a:ext cx="10843503" cy="2966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Preferred (Stock,</a:t>
                  </a:r>
                  <a:r>
                    <a:rPr lang="en-US" sz="1100" b="1" baseline="0">
                      <a:solidFill>
                        <a:srgbClr val="0000FF"/>
                      </a:solidFill>
                      <a:effectLst/>
                      <a:latin typeface="+mn-lt"/>
                      <a:ea typeface="+mn-ea"/>
                      <a:cs typeface="+mn-cs"/>
                    </a:rPr>
                    <a:t> Shares, or Membership Interest for C Corps, S Corps, and LLCs respectively)</a:t>
                  </a:r>
                  <a:r>
                    <a:rPr lang="en-US" sz="1100" b="1">
                      <a:solidFill>
                        <a:srgbClr val="0000FF"/>
                      </a:solidFill>
                      <a:effectLst/>
                      <a:latin typeface="+mn-lt"/>
                      <a:ea typeface="+mn-ea"/>
                      <a:cs typeface="+mn-cs"/>
                    </a:rPr>
                    <a:t>: </a:t>
                  </a:r>
                  <a:r>
                    <a:rPr lang="en-US" sz="1100" b="1">
                      <a:solidFill>
                        <a:schemeClr val="tx1">
                          <a:lumMod val="75000"/>
                          <a:lumOff val="25000"/>
                        </a:schemeClr>
                      </a:solidFill>
                      <a:effectLst/>
                      <a:latin typeface="+mn-lt"/>
                      <a:ea typeface="+mn-ea"/>
                      <a:cs typeface="+mn-cs"/>
                    </a:rPr>
                    <a:t>The</a:t>
                  </a:r>
                  <a:r>
                    <a:rPr lang="en-US" sz="1100" b="1" baseline="0">
                      <a:solidFill>
                        <a:schemeClr val="tx1">
                          <a:lumMod val="75000"/>
                          <a:lumOff val="25000"/>
                        </a:schemeClr>
                      </a:solidFill>
                      <a:effectLst/>
                      <a:latin typeface="+mn-lt"/>
                      <a:ea typeface="+mn-ea"/>
                      <a:cs typeface="+mn-cs"/>
                    </a:rPr>
                    <a:t> dollar amount of your Preferred investments. Usually investors.</a:t>
                  </a:r>
                  <a:endParaRPr lang="en-US" sz="1100" b="1" baseline="0">
                    <a:solidFill>
                      <a:schemeClr val="tx1">
                        <a:lumMod val="75000"/>
                        <a:lumOff val="25000"/>
                      </a:schemeClr>
                    </a:solidFill>
                  </a:endParaRPr>
                </a:p>
              </xdr:txBody>
            </xdr:sp>
            <xdr:sp macro="" textlink="">
              <xdr:nvSpPr>
                <xdr:cNvPr id="226" name="TextBox 225">
                  <a:extLst>
                    <a:ext uri="{FF2B5EF4-FFF2-40B4-BE49-F238E27FC236}">
                      <a16:creationId xmlns:a16="http://schemas.microsoft.com/office/drawing/2014/main" id="{00000000-0008-0000-0000-0000E2000000}"/>
                    </a:ext>
                  </a:extLst>
                </xdr:cNvPr>
                <xdr:cNvSpPr txBox="1"/>
              </xdr:nvSpPr>
              <xdr:spPr>
                <a:xfrm>
                  <a:off x="5074015" y="118926093"/>
                  <a:ext cx="11137535" cy="2966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Common (Stock,</a:t>
                  </a:r>
                  <a:r>
                    <a:rPr lang="en-US" sz="1100" b="1" baseline="0">
                      <a:solidFill>
                        <a:srgbClr val="0000FF"/>
                      </a:solidFill>
                      <a:effectLst/>
                      <a:latin typeface="+mn-lt"/>
                      <a:ea typeface="+mn-ea"/>
                      <a:cs typeface="+mn-cs"/>
                    </a:rPr>
                    <a:t> Shares, or Membership Interest for C Corps, S Corps, and LLCs respectively)</a:t>
                  </a:r>
                  <a:r>
                    <a:rPr lang="en-US" sz="1100" b="1">
                      <a:solidFill>
                        <a:srgbClr val="0000FF"/>
                      </a:solidFill>
                      <a:effectLst/>
                      <a:latin typeface="+mn-lt"/>
                      <a:ea typeface="+mn-ea"/>
                      <a:cs typeface="+mn-cs"/>
                    </a:rPr>
                    <a:t>: </a:t>
                  </a:r>
                  <a:r>
                    <a:rPr lang="en-US" sz="1100" b="1">
                      <a:solidFill>
                        <a:schemeClr val="tx1">
                          <a:lumMod val="75000"/>
                          <a:lumOff val="25000"/>
                        </a:schemeClr>
                      </a:solidFill>
                      <a:effectLst/>
                      <a:latin typeface="+mn-lt"/>
                      <a:ea typeface="+mn-ea"/>
                      <a:cs typeface="+mn-cs"/>
                    </a:rPr>
                    <a:t>The</a:t>
                  </a:r>
                  <a:r>
                    <a:rPr lang="en-US" sz="1100" b="1" baseline="0">
                      <a:solidFill>
                        <a:schemeClr val="tx1">
                          <a:lumMod val="75000"/>
                          <a:lumOff val="25000"/>
                        </a:schemeClr>
                      </a:solidFill>
                      <a:effectLst/>
                      <a:latin typeface="+mn-lt"/>
                      <a:ea typeface="+mn-ea"/>
                      <a:cs typeface="+mn-cs"/>
                    </a:rPr>
                    <a:t> dollar amount of your Common investments. Mostly founders.</a:t>
                  </a:r>
                  <a:endParaRPr lang="en-US" sz="1100" b="1" baseline="0">
                    <a:solidFill>
                      <a:schemeClr val="tx1">
                        <a:lumMod val="75000"/>
                        <a:lumOff val="25000"/>
                      </a:schemeClr>
                    </a:solidFill>
                  </a:endParaRPr>
                </a:p>
              </xdr:txBody>
            </xdr:sp>
            <xdr:sp macro="" textlink="">
              <xdr:nvSpPr>
                <xdr:cNvPr id="227" name="TextBox 226">
                  <a:extLst>
                    <a:ext uri="{FF2B5EF4-FFF2-40B4-BE49-F238E27FC236}">
                      <a16:creationId xmlns:a16="http://schemas.microsoft.com/office/drawing/2014/main" id="{00000000-0008-0000-0000-0000E3000000}"/>
                    </a:ext>
                  </a:extLst>
                </xdr:cNvPr>
                <xdr:cNvSpPr txBox="1"/>
              </xdr:nvSpPr>
              <xdr:spPr>
                <a:xfrm>
                  <a:off x="5074015" y="119123844"/>
                  <a:ext cx="11137535" cy="46141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Retained</a:t>
                  </a:r>
                  <a:r>
                    <a:rPr lang="en-US" sz="1100" b="1" baseline="0">
                      <a:solidFill>
                        <a:srgbClr val="0000FF"/>
                      </a:solidFill>
                      <a:effectLst/>
                      <a:latin typeface="+mn-lt"/>
                      <a:ea typeface="+mn-ea"/>
                      <a:cs typeface="+mn-cs"/>
                    </a:rPr>
                    <a:t> Earnings: </a:t>
                  </a:r>
                  <a:r>
                    <a:rPr lang="en-US" sz="1100" b="1" baseline="0">
                      <a:solidFill>
                        <a:schemeClr val="tx1">
                          <a:lumMod val="75000"/>
                          <a:lumOff val="25000"/>
                        </a:schemeClr>
                      </a:solidFill>
                      <a:effectLst/>
                      <a:latin typeface="+mn-lt"/>
                      <a:ea typeface="+mn-ea"/>
                      <a:cs typeface="+mn-cs"/>
                    </a:rPr>
                    <a:t>This is one of the coolest things on your financial statements. Retained Earnings is the sum total of all the Net Income or Net Loss you've had since you started the company, minus all the money you've ever paid to investors (owners) in the form of Dividends or Distributions.</a:t>
                  </a:r>
                  <a:endParaRPr lang="en-US" sz="1100" b="1" baseline="0">
                    <a:solidFill>
                      <a:schemeClr val="tx1">
                        <a:lumMod val="75000"/>
                        <a:lumOff val="25000"/>
                      </a:schemeClr>
                    </a:solidFill>
                  </a:endParaRPr>
                </a:p>
              </xdr:txBody>
            </xdr:sp>
            <xdr:sp macro="" textlink="">
              <xdr:nvSpPr>
                <xdr:cNvPr id="228" name="TextBox 227">
                  <a:extLst>
                    <a:ext uri="{FF2B5EF4-FFF2-40B4-BE49-F238E27FC236}">
                      <a16:creationId xmlns:a16="http://schemas.microsoft.com/office/drawing/2014/main" id="{00000000-0008-0000-0000-0000E4000000}"/>
                    </a:ext>
                  </a:extLst>
                </xdr:cNvPr>
                <xdr:cNvSpPr txBox="1"/>
              </xdr:nvSpPr>
              <xdr:spPr>
                <a:xfrm>
                  <a:off x="5074015" y="119544059"/>
                  <a:ext cx="11137535" cy="32439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Total Equity</a:t>
                  </a:r>
                  <a:r>
                    <a:rPr lang="en-US" sz="1100" b="1" baseline="0">
                      <a:solidFill>
                        <a:srgbClr val="0000FF"/>
                      </a:solidFill>
                      <a:effectLst/>
                      <a:latin typeface="+mn-lt"/>
                      <a:ea typeface="+mn-ea"/>
                      <a:cs typeface="+mn-cs"/>
                    </a:rPr>
                    <a:t>: </a:t>
                  </a:r>
                  <a:r>
                    <a:rPr lang="en-US" sz="1100" b="1" baseline="0">
                      <a:solidFill>
                        <a:schemeClr val="tx1">
                          <a:lumMod val="75000"/>
                          <a:lumOff val="25000"/>
                        </a:schemeClr>
                      </a:solidFill>
                      <a:effectLst/>
                      <a:latin typeface="+mn-lt"/>
                      <a:ea typeface="+mn-ea"/>
                      <a:cs typeface="+mn-cs"/>
                    </a:rPr>
                    <a:t>This is the total of all the Stock / Shares / Membership Interest plus Retained Earnings.</a:t>
                  </a:r>
                  <a:endParaRPr lang="en-US" sz="1100" b="1" baseline="0">
                    <a:solidFill>
                      <a:schemeClr val="tx1">
                        <a:lumMod val="75000"/>
                        <a:lumOff val="25000"/>
                      </a:schemeClr>
                    </a:solidFill>
                  </a:endParaRPr>
                </a:p>
              </xdr:txBody>
            </xdr:sp>
            <xdr:sp macro="" textlink="">
              <xdr:nvSpPr>
                <xdr:cNvPr id="229" name="TextBox 228">
                  <a:extLst>
                    <a:ext uri="{FF2B5EF4-FFF2-40B4-BE49-F238E27FC236}">
                      <a16:creationId xmlns:a16="http://schemas.microsoft.com/office/drawing/2014/main" id="{00000000-0008-0000-0000-0000E5000000}"/>
                    </a:ext>
                  </a:extLst>
                </xdr:cNvPr>
                <xdr:cNvSpPr txBox="1"/>
              </xdr:nvSpPr>
              <xdr:spPr>
                <a:xfrm>
                  <a:off x="5074015" y="119914610"/>
                  <a:ext cx="8458794" cy="6337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Total</a:t>
                  </a:r>
                  <a:r>
                    <a:rPr lang="en-US" sz="1100" b="1" baseline="0">
                      <a:solidFill>
                        <a:srgbClr val="0000FF"/>
                      </a:solidFill>
                      <a:effectLst/>
                      <a:latin typeface="+mn-lt"/>
                      <a:ea typeface="+mn-ea"/>
                      <a:cs typeface="+mn-cs"/>
                    </a:rPr>
                    <a:t> Liabilities and: Stockholders' Equity (C Corp) / Shareholders's Equity (S Corp) / Membership Interest: (LLC)</a:t>
                  </a:r>
                </a:p>
                <a:p>
                  <a:r>
                    <a:rPr lang="en-US" sz="1100" b="1" baseline="0">
                      <a:solidFill>
                        <a:schemeClr val="tx1">
                          <a:lumMod val="75000"/>
                          <a:lumOff val="25000"/>
                        </a:schemeClr>
                      </a:solidFill>
                      <a:effectLst/>
                      <a:latin typeface="+mn-lt"/>
                      <a:ea typeface="+mn-ea"/>
                      <a:cs typeface="+mn-cs"/>
                    </a:rPr>
                    <a:t>The combined amount of yoru Current Liabilities, Long-Term Liabilities, and Equity or Membership Interest. The total amount that the company owes to others and owners. The second half of your company's Accounting Equation.</a:t>
                  </a:r>
                  <a:endParaRPr lang="en-US" sz="1100" b="1" baseline="0">
                    <a:solidFill>
                      <a:schemeClr val="tx1">
                        <a:lumMod val="75000"/>
                        <a:lumOff val="25000"/>
                      </a:schemeClr>
                    </a:solidFill>
                  </a:endParaRPr>
                </a:p>
              </xdr:txBody>
            </xdr:sp>
            <xdr:sp macro="" textlink="">
              <xdr:nvSpPr>
                <xdr:cNvPr id="230" name="TextBox 229">
                  <a:extLst>
                    <a:ext uri="{FF2B5EF4-FFF2-40B4-BE49-F238E27FC236}">
                      <a16:creationId xmlns:a16="http://schemas.microsoft.com/office/drawing/2014/main" id="{00000000-0008-0000-0000-0000E6000000}"/>
                    </a:ext>
                  </a:extLst>
                </xdr:cNvPr>
                <xdr:cNvSpPr txBox="1"/>
              </xdr:nvSpPr>
              <xdr:spPr>
                <a:xfrm>
                  <a:off x="5074015" y="115985925"/>
                  <a:ext cx="8382550" cy="27190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Net</a:t>
                  </a:r>
                  <a:r>
                    <a:rPr lang="en-US" sz="1100" b="1" baseline="0">
                      <a:solidFill>
                        <a:srgbClr val="0000FF"/>
                      </a:solidFill>
                      <a:effectLst/>
                      <a:latin typeface="+mn-lt"/>
                      <a:ea typeface="+mn-ea"/>
                      <a:cs typeface="+mn-cs"/>
                    </a:rPr>
                    <a:t> Fixed</a:t>
                  </a:r>
                  <a:r>
                    <a:rPr lang="en-US" sz="1100" b="1">
                      <a:solidFill>
                        <a:srgbClr val="0000FF"/>
                      </a:solidFill>
                      <a:effectLst/>
                      <a:latin typeface="+mn-lt"/>
                      <a:ea typeface="+mn-ea"/>
                      <a:cs typeface="+mn-cs"/>
                    </a:rPr>
                    <a:t> Assets - </a:t>
                  </a:r>
                  <a:r>
                    <a:rPr lang="en-US" sz="1100" b="1">
                      <a:solidFill>
                        <a:schemeClr val="tx1">
                          <a:lumMod val="75000"/>
                          <a:lumOff val="25000"/>
                        </a:schemeClr>
                      </a:solidFill>
                      <a:effectLst/>
                      <a:latin typeface="+mn-lt"/>
                      <a:ea typeface="+mn-ea"/>
                      <a:cs typeface="+mn-cs"/>
                    </a:rPr>
                    <a:t>The</a:t>
                  </a:r>
                  <a:r>
                    <a:rPr lang="en-US" sz="1100" b="1" baseline="0">
                      <a:solidFill>
                        <a:schemeClr val="tx1">
                          <a:lumMod val="75000"/>
                          <a:lumOff val="25000"/>
                        </a:schemeClr>
                      </a:solidFill>
                      <a:effectLst/>
                      <a:latin typeface="+mn-lt"/>
                      <a:ea typeface="+mn-ea"/>
                      <a:cs typeface="+mn-cs"/>
                    </a:rPr>
                    <a:t> amount you paid for your Fixed (Tangible) Assets minus Accumulated Depreciation.</a:t>
                  </a:r>
                </a:p>
                <a:p>
                  <a:endParaRPr lang="en-US" sz="1100" b="1" baseline="0">
                    <a:solidFill>
                      <a:schemeClr val="tx1">
                        <a:lumMod val="75000"/>
                        <a:lumOff val="25000"/>
                      </a:schemeClr>
                    </a:solidFill>
                  </a:endParaRPr>
                </a:p>
              </xdr:txBody>
            </xdr:sp>
            <xdr:sp macro="" textlink="">
              <xdr:nvSpPr>
                <xdr:cNvPr id="231" name="TextBox 230">
                  <a:extLst>
                    <a:ext uri="{FF2B5EF4-FFF2-40B4-BE49-F238E27FC236}">
                      <a16:creationId xmlns:a16="http://schemas.microsoft.com/office/drawing/2014/main" id="{00000000-0008-0000-0000-0000E7000000}"/>
                    </a:ext>
                  </a:extLst>
                </xdr:cNvPr>
                <xdr:cNvSpPr txBox="1"/>
              </xdr:nvSpPr>
              <xdr:spPr>
                <a:xfrm>
                  <a:off x="5074015" y="115776375"/>
                  <a:ext cx="8382550" cy="27190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Accumulated Depreciation - </a:t>
                  </a:r>
                  <a:r>
                    <a:rPr lang="en-US" sz="1100" b="1">
                      <a:solidFill>
                        <a:schemeClr val="tx1">
                          <a:lumMod val="75000"/>
                          <a:lumOff val="25000"/>
                        </a:schemeClr>
                      </a:solidFill>
                      <a:effectLst/>
                      <a:latin typeface="+mn-lt"/>
                      <a:ea typeface="+mn-ea"/>
                      <a:cs typeface="+mn-cs"/>
                    </a:rPr>
                    <a:t>The</a:t>
                  </a:r>
                  <a:r>
                    <a:rPr lang="en-US" sz="1100" b="1" baseline="0">
                      <a:solidFill>
                        <a:schemeClr val="tx1">
                          <a:lumMod val="75000"/>
                          <a:lumOff val="25000"/>
                        </a:schemeClr>
                      </a:solidFill>
                      <a:effectLst/>
                      <a:latin typeface="+mn-lt"/>
                      <a:ea typeface="+mn-ea"/>
                      <a:cs typeface="+mn-cs"/>
                    </a:rPr>
                    <a:t> amount of Depreciation until this point.</a:t>
                  </a:r>
                </a:p>
                <a:p>
                  <a:endParaRPr lang="en-US" sz="1100" b="1" baseline="0">
                    <a:solidFill>
                      <a:schemeClr val="tx1">
                        <a:lumMod val="75000"/>
                        <a:lumOff val="25000"/>
                      </a:schemeClr>
                    </a:solidFill>
                  </a:endParaRPr>
                </a:p>
              </xdr:txBody>
            </xdr:sp>
            <xdr:sp macro="" textlink="">
              <xdr:nvSpPr>
                <xdr:cNvPr id="232" name="TextBox 231">
                  <a:extLst>
                    <a:ext uri="{FF2B5EF4-FFF2-40B4-BE49-F238E27FC236}">
                      <a16:creationId xmlns:a16="http://schemas.microsoft.com/office/drawing/2014/main" id="{00000000-0008-0000-0000-0000E8000000}"/>
                    </a:ext>
                  </a:extLst>
                </xdr:cNvPr>
                <xdr:cNvSpPr txBox="1"/>
              </xdr:nvSpPr>
              <xdr:spPr>
                <a:xfrm>
                  <a:off x="5074015" y="116947950"/>
                  <a:ext cx="9034768" cy="2554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Accrued Interest : </a:t>
                  </a:r>
                  <a:r>
                    <a:rPr lang="en-US" sz="1100" b="1">
                      <a:solidFill>
                        <a:schemeClr val="tx1">
                          <a:lumMod val="75000"/>
                          <a:lumOff val="25000"/>
                        </a:schemeClr>
                      </a:solidFill>
                      <a:effectLst/>
                      <a:latin typeface="+mn-lt"/>
                      <a:ea typeface="+mn-ea"/>
                      <a:cs typeface="+mn-cs"/>
                    </a:rPr>
                    <a:t>The</a:t>
                  </a:r>
                  <a:r>
                    <a:rPr lang="en-US" sz="1100" b="1" baseline="0">
                      <a:solidFill>
                        <a:schemeClr val="tx1">
                          <a:lumMod val="75000"/>
                          <a:lumOff val="25000"/>
                        </a:schemeClr>
                      </a:solidFill>
                      <a:effectLst/>
                      <a:latin typeface="+mn-lt"/>
                      <a:ea typeface="+mn-ea"/>
                      <a:cs typeface="+mn-cs"/>
                    </a:rPr>
                    <a:t> interest that has accrued on Convertible Notes that haven't yet converted.</a:t>
                  </a:r>
                </a:p>
                <a:p>
                  <a:endParaRPr lang="en-US" sz="1100" b="1" baseline="0">
                    <a:solidFill>
                      <a:schemeClr val="tx1">
                        <a:lumMod val="75000"/>
                        <a:lumOff val="25000"/>
                      </a:schemeClr>
                    </a:solidFill>
                  </a:endParaRPr>
                </a:p>
              </xdr:txBody>
            </xdr:sp>
            <xdr:sp macro="" textlink="">
              <xdr:nvSpPr>
                <xdr:cNvPr id="233" name="TextBox 232">
                  <a:extLst>
                    <a:ext uri="{FF2B5EF4-FFF2-40B4-BE49-F238E27FC236}">
                      <a16:creationId xmlns:a16="http://schemas.microsoft.com/office/drawing/2014/main" id="{00000000-0008-0000-0000-0000E9000000}"/>
                    </a:ext>
                  </a:extLst>
                </xdr:cNvPr>
                <xdr:cNvSpPr txBox="1"/>
              </xdr:nvSpPr>
              <xdr:spPr>
                <a:xfrm>
                  <a:off x="5074015" y="117119400"/>
                  <a:ext cx="9034768" cy="2554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Short-Term</a:t>
                  </a:r>
                  <a:r>
                    <a:rPr lang="en-US" sz="1100" b="1" baseline="0">
                      <a:solidFill>
                        <a:srgbClr val="0000FF"/>
                      </a:solidFill>
                      <a:effectLst/>
                      <a:latin typeface="+mn-lt"/>
                      <a:ea typeface="+mn-ea"/>
                      <a:cs typeface="+mn-cs"/>
                    </a:rPr>
                    <a:t> Debt </a:t>
                  </a:r>
                  <a:r>
                    <a:rPr lang="en-US" sz="1100" b="1">
                      <a:solidFill>
                        <a:srgbClr val="0000FF"/>
                      </a:solidFill>
                      <a:effectLst/>
                      <a:latin typeface="+mn-lt"/>
                      <a:ea typeface="+mn-ea"/>
                      <a:cs typeface="+mn-cs"/>
                    </a:rPr>
                    <a:t>: </a:t>
                  </a:r>
                  <a:r>
                    <a:rPr lang="en-US" sz="1100" b="1">
                      <a:solidFill>
                        <a:schemeClr val="tx1">
                          <a:lumMod val="75000"/>
                          <a:lumOff val="25000"/>
                        </a:schemeClr>
                      </a:solidFill>
                      <a:effectLst/>
                      <a:latin typeface="+mn-lt"/>
                      <a:ea typeface="+mn-ea"/>
                      <a:cs typeface="+mn-cs"/>
                    </a:rPr>
                    <a:t>The balance of debt for loans that were under</a:t>
                  </a:r>
                  <a:r>
                    <a:rPr lang="en-US" sz="1100" b="1" baseline="0">
                      <a:solidFill>
                        <a:schemeClr val="tx1">
                          <a:lumMod val="75000"/>
                          <a:lumOff val="25000"/>
                        </a:schemeClr>
                      </a:solidFill>
                      <a:effectLst/>
                      <a:latin typeface="+mn-lt"/>
                      <a:ea typeface="+mn-ea"/>
                      <a:cs typeface="+mn-cs"/>
                    </a:rPr>
                    <a:t> 12 months and outstanding Convertible Notes.</a:t>
                  </a:r>
                </a:p>
                <a:p>
                  <a:endParaRPr lang="en-US" sz="1100" b="1" baseline="0">
                    <a:solidFill>
                      <a:schemeClr val="tx1">
                        <a:lumMod val="75000"/>
                        <a:lumOff val="25000"/>
                      </a:schemeClr>
                    </a:solidFill>
                  </a:endParaRPr>
                </a:p>
              </xdr:txBody>
            </xdr:sp>
            <xdr:sp macro="" textlink="">
              <xdr:nvSpPr>
                <xdr:cNvPr id="234" name="TextBox 233">
                  <a:extLst>
                    <a:ext uri="{FF2B5EF4-FFF2-40B4-BE49-F238E27FC236}">
                      <a16:creationId xmlns:a16="http://schemas.microsoft.com/office/drawing/2014/main" id="{00000000-0008-0000-0000-0000EA000000}"/>
                    </a:ext>
                  </a:extLst>
                </xdr:cNvPr>
                <xdr:cNvSpPr txBox="1"/>
              </xdr:nvSpPr>
              <xdr:spPr>
                <a:xfrm>
                  <a:off x="5074014" y="117433725"/>
                  <a:ext cx="9175385" cy="2554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Deferred Revenue: </a:t>
                  </a:r>
                  <a:r>
                    <a:rPr lang="en-US" sz="1100" b="1">
                      <a:solidFill>
                        <a:schemeClr val="tx1">
                          <a:lumMod val="75000"/>
                          <a:lumOff val="25000"/>
                        </a:schemeClr>
                      </a:solidFill>
                      <a:effectLst/>
                      <a:latin typeface="+mn-lt"/>
                      <a:ea typeface="+mn-ea"/>
                      <a:cs typeface="+mn-cs"/>
                    </a:rPr>
                    <a:t>The total amount of future months</a:t>
                  </a:r>
                  <a:r>
                    <a:rPr lang="en-US" sz="1100" b="1" baseline="0">
                      <a:solidFill>
                        <a:schemeClr val="tx1">
                          <a:lumMod val="75000"/>
                          <a:lumOff val="25000"/>
                        </a:schemeClr>
                      </a:solidFill>
                      <a:effectLst/>
                      <a:latin typeface="+mn-lt"/>
                      <a:ea typeface="+mn-ea"/>
                      <a:cs typeface="+mn-cs"/>
                    </a:rPr>
                    <a:t> revenue on your annual subscriptions. It's a liability because it's a company obligation to perform. </a:t>
                  </a:r>
                </a:p>
                <a:p>
                  <a:endParaRPr lang="en-US" sz="1100" b="1" baseline="0">
                    <a:solidFill>
                      <a:schemeClr val="tx1">
                        <a:lumMod val="75000"/>
                        <a:lumOff val="25000"/>
                      </a:schemeClr>
                    </a:solidFill>
                  </a:endParaRPr>
                </a:p>
              </xdr:txBody>
            </xdr:sp>
            <xdr:sp macro="" textlink="">
              <xdr:nvSpPr>
                <xdr:cNvPr id="235" name="TextBox 234">
                  <a:extLst>
                    <a:ext uri="{FF2B5EF4-FFF2-40B4-BE49-F238E27FC236}">
                      <a16:creationId xmlns:a16="http://schemas.microsoft.com/office/drawing/2014/main" id="{00000000-0008-0000-0000-0000EB000000}"/>
                    </a:ext>
                  </a:extLst>
                </xdr:cNvPr>
                <xdr:cNvSpPr txBox="1"/>
              </xdr:nvSpPr>
              <xdr:spPr>
                <a:xfrm>
                  <a:off x="5074015" y="117596164"/>
                  <a:ext cx="9034768" cy="2554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Total Current</a:t>
                  </a:r>
                  <a:r>
                    <a:rPr lang="en-US" sz="1100" b="1" baseline="0">
                      <a:solidFill>
                        <a:srgbClr val="0000FF"/>
                      </a:solidFill>
                      <a:effectLst/>
                      <a:latin typeface="+mn-lt"/>
                      <a:ea typeface="+mn-ea"/>
                      <a:cs typeface="+mn-cs"/>
                    </a:rPr>
                    <a:t> Liabilities </a:t>
                  </a:r>
                  <a:r>
                    <a:rPr lang="en-US" sz="1100" b="1">
                      <a:solidFill>
                        <a:srgbClr val="0000FF"/>
                      </a:solidFill>
                      <a:effectLst/>
                      <a:latin typeface="+mn-lt"/>
                      <a:ea typeface="+mn-ea"/>
                      <a:cs typeface="+mn-cs"/>
                    </a:rPr>
                    <a:t>: </a:t>
                  </a:r>
                  <a:r>
                    <a:rPr lang="en-US" sz="1100" b="1">
                      <a:solidFill>
                        <a:schemeClr val="tx1">
                          <a:lumMod val="75000"/>
                          <a:lumOff val="25000"/>
                        </a:schemeClr>
                      </a:solidFill>
                      <a:effectLst/>
                      <a:latin typeface="+mn-lt"/>
                      <a:ea typeface="+mn-ea"/>
                      <a:cs typeface="+mn-cs"/>
                    </a:rPr>
                    <a:t>The total amount</a:t>
                  </a:r>
                  <a:r>
                    <a:rPr lang="en-US" sz="1100" b="1" baseline="0">
                      <a:solidFill>
                        <a:schemeClr val="tx1">
                          <a:lumMod val="75000"/>
                          <a:lumOff val="25000"/>
                        </a:schemeClr>
                      </a:solidFill>
                      <a:effectLst/>
                      <a:latin typeface="+mn-lt"/>
                      <a:ea typeface="+mn-ea"/>
                      <a:cs typeface="+mn-cs"/>
                    </a:rPr>
                    <a:t> of all your Current Liabilities.</a:t>
                  </a:r>
                </a:p>
                <a:p>
                  <a:endParaRPr lang="en-US" sz="1100" b="1" baseline="0">
                    <a:solidFill>
                      <a:schemeClr val="tx1">
                        <a:lumMod val="75000"/>
                        <a:lumOff val="25000"/>
                      </a:schemeClr>
                    </a:solidFill>
                  </a:endParaRPr>
                </a:p>
              </xdr:txBody>
            </xdr:sp>
            <xdr:sp macro="" textlink="">
              <xdr:nvSpPr>
                <xdr:cNvPr id="236" name="TextBox 235">
                  <a:extLst>
                    <a:ext uri="{FF2B5EF4-FFF2-40B4-BE49-F238E27FC236}">
                      <a16:creationId xmlns:a16="http://schemas.microsoft.com/office/drawing/2014/main" id="{00000000-0008-0000-0000-0000EC000000}"/>
                    </a:ext>
                  </a:extLst>
                </xdr:cNvPr>
                <xdr:cNvSpPr txBox="1"/>
              </xdr:nvSpPr>
              <xdr:spPr>
                <a:xfrm>
                  <a:off x="5074015" y="118357650"/>
                  <a:ext cx="9034768" cy="3042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FF"/>
                      </a:solidFill>
                      <a:effectLst/>
                      <a:latin typeface="+mn-lt"/>
                      <a:ea typeface="+mn-ea"/>
                      <a:cs typeface="+mn-cs"/>
                    </a:rPr>
                    <a:t>Total Liabilities</a:t>
                  </a:r>
                  <a:r>
                    <a:rPr lang="en-US" sz="1100" b="1" baseline="0">
                      <a:solidFill>
                        <a:srgbClr val="0000FF"/>
                      </a:solidFill>
                      <a:effectLst/>
                      <a:latin typeface="+mn-lt"/>
                      <a:ea typeface="+mn-ea"/>
                      <a:cs typeface="+mn-cs"/>
                    </a:rPr>
                    <a:t> </a:t>
                  </a:r>
                  <a:r>
                    <a:rPr lang="en-US" sz="1100" b="1">
                      <a:solidFill>
                        <a:srgbClr val="0000FF"/>
                      </a:solidFill>
                      <a:effectLst/>
                      <a:latin typeface="+mn-lt"/>
                      <a:ea typeface="+mn-ea"/>
                      <a:cs typeface="+mn-cs"/>
                    </a:rPr>
                    <a:t>: </a:t>
                  </a:r>
                  <a:r>
                    <a:rPr lang="en-US" sz="1100" b="1">
                      <a:solidFill>
                        <a:schemeClr val="tx1">
                          <a:lumMod val="75000"/>
                          <a:lumOff val="25000"/>
                        </a:schemeClr>
                      </a:solidFill>
                      <a:effectLst/>
                      <a:latin typeface="+mn-lt"/>
                      <a:ea typeface="+mn-ea"/>
                      <a:cs typeface="+mn-cs"/>
                    </a:rPr>
                    <a:t>The</a:t>
                  </a:r>
                  <a:r>
                    <a:rPr lang="en-US" sz="1100" b="1" baseline="0">
                      <a:solidFill>
                        <a:schemeClr val="tx1">
                          <a:lumMod val="75000"/>
                          <a:lumOff val="25000"/>
                        </a:schemeClr>
                      </a:solidFill>
                      <a:effectLst/>
                      <a:latin typeface="+mn-lt"/>
                      <a:ea typeface="+mn-ea"/>
                      <a:cs typeface="+mn-cs"/>
                    </a:rPr>
                    <a:t> total of Current and Long-Term Liabilities.</a:t>
                  </a:r>
                </a:p>
                <a:p>
                  <a:endParaRPr lang="en-US" sz="1100" b="1" baseline="0">
                    <a:solidFill>
                      <a:schemeClr val="tx1">
                        <a:lumMod val="75000"/>
                        <a:lumOff val="25000"/>
                      </a:schemeClr>
                    </a:solidFill>
                  </a:endParaRPr>
                </a:p>
              </xdr:txBody>
            </xdr:sp>
          </xdr:grpSp>
        </xdr:grpSp>
      </xdr:grpSp>
    </xdr:grpSp>
    <xdr:clientData/>
  </xdr:twoCellAnchor>
  <xdr:twoCellAnchor>
    <xdr:from>
      <xdr:col>27</xdr:col>
      <xdr:colOff>190500</xdr:colOff>
      <xdr:row>678</xdr:row>
      <xdr:rowOff>180975</xdr:rowOff>
    </xdr:from>
    <xdr:to>
      <xdr:col>28</xdr:col>
      <xdr:colOff>676275</xdr:colOff>
      <xdr:row>689</xdr:row>
      <xdr:rowOff>66675</xdr:rowOff>
    </xdr:to>
    <xdr:cxnSp macro="">
      <xdr:nvCxnSpPr>
        <xdr:cNvPr id="262" name="Straight Arrow Connector 261">
          <a:extLst>
            <a:ext uri="{FF2B5EF4-FFF2-40B4-BE49-F238E27FC236}">
              <a16:creationId xmlns:a16="http://schemas.microsoft.com/office/drawing/2014/main" id="{00000000-0008-0000-0000-000006010000}"/>
            </a:ext>
          </a:extLst>
        </xdr:cNvPr>
        <xdr:cNvCxnSpPr/>
      </xdr:nvCxnSpPr>
      <xdr:spPr>
        <a:xfrm flipV="1">
          <a:off x="18707100" y="129444750"/>
          <a:ext cx="1171575" cy="1981200"/>
        </a:xfrm>
        <a:prstGeom prst="straightConnector1">
          <a:avLst/>
        </a:prstGeom>
        <a:ln w="19050">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180975</xdr:colOff>
      <xdr:row>678</xdr:row>
      <xdr:rowOff>180975</xdr:rowOff>
    </xdr:from>
    <xdr:to>
      <xdr:col>31</xdr:col>
      <xdr:colOff>666750</xdr:colOff>
      <xdr:row>689</xdr:row>
      <xdr:rowOff>66675</xdr:rowOff>
    </xdr:to>
    <xdr:cxnSp macro="">
      <xdr:nvCxnSpPr>
        <xdr:cNvPr id="263" name="Straight Arrow Connector 262">
          <a:extLst>
            <a:ext uri="{FF2B5EF4-FFF2-40B4-BE49-F238E27FC236}">
              <a16:creationId xmlns:a16="http://schemas.microsoft.com/office/drawing/2014/main" id="{00000000-0008-0000-0000-000007010000}"/>
            </a:ext>
          </a:extLst>
        </xdr:cNvPr>
        <xdr:cNvCxnSpPr/>
      </xdr:nvCxnSpPr>
      <xdr:spPr>
        <a:xfrm flipV="1">
          <a:off x="20754975" y="129444750"/>
          <a:ext cx="1171575" cy="1981200"/>
        </a:xfrm>
        <a:prstGeom prst="straightConnector1">
          <a:avLst/>
        </a:prstGeom>
        <a:ln w="19050">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361951</xdr:colOff>
      <xdr:row>634</xdr:row>
      <xdr:rowOff>28575</xdr:rowOff>
    </xdr:from>
    <xdr:to>
      <xdr:col>16</xdr:col>
      <xdr:colOff>15081</xdr:colOff>
      <xdr:row>697</xdr:row>
      <xdr:rowOff>47625</xdr:rowOff>
    </xdr:to>
    <xdr:grpSp>
      <xdr:nvGrpSpPr>
        <xdr:cNvPr id="264" name="Group 263">
          <a:extLst>
            <a:ext uri="{FF2B5EF4-FFF2-40B4-BE49-F238E27FC236}">
              <a16:creationId xmlns:a16="http://schemas.microsoft.com/office/drawing/2014/main" id="{00000000-0008-0000-0000-000008010000}"/>
            </a:ext>
          </a:extLst>
        </xdr:cNvPr>
        <xdr:cNvGrpSpPr/>
      </xdr:nvGrpSpPr>
      <xdr:grpSpPr>
        <a:xfrm>
          <a:off x="361951" y="123555125"/>
          <a:ext cx="9254330" cy="12420600"/>
          <a:chOff x="1733551" y="120910350"/>
          <a:chExt cx="9254330" cy="12020550"/>
        </a:xfrm>
      </xdr:grpSpPr>
      <xdr:grpSp>
        <xdr:nvGrpSpPr>
          <xdr:cNvPr id="265" name="Group 264">
            <a:extLst>
              <a:ext uri="{FF2B5EF4-FFF2-40B4-BE49-F238E27FC236}">
                <a16:creationId xmlns:a16="http://schemas.microsoft.com/office/drawing/2014/main" id="{00000000-0008-0000-0000-000009010000}"/>
              </a:ext>
            </a:extLst>
          </xdr:cNvPr>
          <xdr:cNvGrpSpPr/>
        </xdr:nvGrpSpPr>
        <xdr:grpSpPr>
          <a:xfrm>
            <a:off x="1733551" y="120910350"/>
            <a:ext cx="9254330" cy="12020550"/>
            <a:chOff x="1733551" y="120910350"/>
            <a:chExt cx="9254330" cy="12020550"/>
          </a:xfrm>
        </xdr:grpSpPr>
        <xdr:sp macro="" textlink="">
          <xdr:nvSpPr>
            <xdr:cNvPr id="267" name="TextBox 266">
              <a:extLst>
                <a:ext uri="{FF2B5EF4-FFF2-40B4-BE49-F238E27FC236}">
                  <a16:creationId xmlns:a16="http://schemas.microsoft.com/office/drawing/2014/main" id="{00000000-0008-0000-0000-00000B010000}"/>
                </a:ext>
              </a:extLst>
            </xdr:cNvPr>
            <xdr:cNvSpPr txBox="1"/>
          </xdr:nvSpPr>
          <xdr:spPr>
            <a:xfrm>
              <a:off x="1895475" y="120910350"/>
              <a:ext cx="9092406" cy="12020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400" b="1" u="sng">
                  <a:solidFill>
                    <a:srgbClr val="0000FF"/>
                  </a:solidFill>
                </a:rPr>
                <a:t>Putting it All Together</a:t>
              </a:r>
              <a:endParaRPr lang="en-US" sz="1400" b="0" u="sng" baseline="0">
                <a:solidFill>
                  <a:schemeClr val="tx1"/>
                </a:solidFill>
              </a:endParaRPr>
            </a:p>
            <a:p>
              <a:endParaRPr lang="en-US" sz="1100" b="0" baseline="0">
                <a:solidFill>
                  <a:schemeClr val="tx1"/>
                </a:solidFill>
              </a:endParaRPr>
            </a:p>
            <a:p>
              <a:r>
                <a:rPr lang="en-US" sz="1100" b="1">
                  <a:solidFill>
                    <a:schemeClr val="tx1">
                      <a:lumMod val="75000"/>
                      <a:lumOff val="25000"/>
                    </a:schemeClr>
                  </a:solidFill>
                </a:rPr>
                <a:t>Now we have our three financial statements.</a:t>
              </a: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baseline="0">
                <a:solidFill>
                  <a:schemeClr val="tx1"/>
                </a:solidFill>
              </a:endParaRPr>
            </a:p>
            <a:p>
              <a:endParaRPr lang="en-US" sz="1100" b="1" baseline="0">
                <a:solidFill>
                  <a:schemeClr val="tx1"/>
                </a:solidFill>
              </a:endParaRPr>
            </a:p>
            <a:p>
              <a:r>
                <a:rPr lang="en-US" sz="1100" b="1" baseline="0">
                  <a:solidFill>
                    <a:schemeClr val="tx1">
                      <a:lumMod val="75000"/>
                      <a:lumOff val="25000"/>
                    </a:schemeClr>
                  </a:solidFill>
                </a:rPr>
                <a:t>Although as we've seen, they do different things:</a:t>
              </a:r>
            </a:p>
            <a:p>
              <a:endParaRPr lang="en-US" sz="1100" b="1" baseline="0">
                <a:solidFill>
                  <a:schemeClr val="tx1">
                    <a:lumMod val="75000"/>
                    <a:lumOff val="25000"/>
                  </a:schemeClr>
                </a:solidFill>
              </a:endParaRPr>
            </a:p>
            <a:p>
              <a:r>
                <a:rPr lang="en-US" sz="1100" b="1" baseline="0">
                  <a:solidFill>
                    <a:srgbClr val="0000FF"/>
                  </a:solidFill>
                </a:rPr>
                <a:t>P&amp;L </a:t>
              </a:r>
              <a:r>
                <a:rPr lang="en-US" sz="1100" b="1" baseline="0">
                  <a:solidFill>
                    <a:schemeClr val="tx1">
                      <a:lumMod val="75000"/>
                      <a:lumOff val="25000"/>
                    </a:schemeClr>
                  </a:solidFill>
                </a:rPr>
                <a:t>- Sales - Past</a:t>
              </a:r>
            </a:p>
            <a:p>
              <a:r>
                <a:rPr lang="en-US" sz="1100" b="1" baseline="0">
                  <a:solidFill>
                    <a:srgbClr val="0000FF"/>
                  </a:solidFill>
                </a:rPr>
                <a:t>Cash</a:t>
              </a:r>
              <a:r>
                <a:rPr lang="en-US" sz="1100" b="1" baseline="0">
                  <a:solidFill>
                    <a:schemeClr val="tx1">
                      <a:lumMod val="75000"/>
                      <a:lumOff val="25000"/>
                    </a:schemeClr>
                  </a:solidFill>
                </a:rPr>
                <a:t> - Cash - Present</a:t>
              </a:r>
            </a:p>
            <a:p>
              <a:r>
                <a:rPr lang="en-US" sz="1100" b="1" baseline="0">
                  <a:solidFill>
                    <a:srgbClr val="0000FF"/>
                  </a:solidFill>
                </a:rPr>
                <a:t>Balance Sheet </a:t>
              </a:r>
              <a:r>
                <a:rPr lang="en-US" sz="1100" b="1" baseline="0">
                  <a:solidFill>
                    <a:schemeClr val="tx1">
                      <a:lumMod val="75000"/>
                      <a:lumOff val="25000"/>
                    </a:schemeClr>
                  </a:solidFill>
                </a:rPr>
                <a:t>- Stuff - Future</a:t>
              </a:r>
            </a:p>
            <a:p>
              <a:endParaRPr lang="en-US" sz="1100" b="1" baseline="0">
                <a:solidFill>
                  <a:schemeClr val="tx1">
                    <a:lumMod val="75000"/>
                    <a:lumOff val="25000"/>
                  </a:schemeClr>
                </a:solidFill>
              </a:endParaRPr>
            </a:p>
            <a:p>
              <a:r>
                <a:rPr lang="en-US" sz="1100" b="1" baseline="0">
                  <a:solidFill>
                    <a:schemeClr val="tx1">
                      <a:lumMod val="75000"/>
                      <a:lumOff val="25000"/>
                    </a:schemeClr>
                  </a:solidFill>
                </a:rPr>
                <a:t>They're all connected, however. </a:t>
              </a:r>
            </a:p>
            <a:p>
              <a:endParaRPr lang="en-US" sz="1100" b="1" baseline="0">
                <a:solidFill>
                  <a:schemeClr val="tx1">
                    <a:lumMod val="75000"/>
                    <a:lumOff val="25000"/>
                  </a:schemeClr>
                </a:solidFill>
              </a:endParaRPr>
            </a:p>
            <a:p>
              <a:r>
                <a:rPr lang="en-US" sz="1100" b="1" baseline="0">
                  <a:solidFill>
                    <a:schemeClr val="tx1">
                      <a:lumMod val="75000"/>
                      <a:lumOff val="25000"/>
                    </a:schemeClr>
                  </a:solidFill>
                </a:rPr>
                <a:t>In fact, Cash Flow is really simply that period's differences from the last periods amounts on the Balance Sheet.</a:t>
              </a:r>
            </a:p>
            <a:p>
              <a:endParaRPr lang="en-US" sz="1100" b="1" baseline="0">
                <a:solidFill>
                  <a:schemeClr val="tx1">
                    <a:lumMod val="75000"/>
                    <a:lumOff val="25000"/>
                  </a:schemeClr>
                </a:solidFill>
              </a:endParaRPr>
            </a:p>
            <a:p>
              <a:r>
                <a:rPr lang="en-US" sz="1100" b="1" baseline="0">
                  <a:solidFill>
                    <a:schemeClr val="tx1">
                      <a:lumMod val="75000"/>
                      <a:lumOff val="25000"/>
                    </a:schemeClr>
                  </a:solidFill>
                </a:rPr>
                <a:t>Another way they're all connected is what I call the Waterfall.</a:t>
              </a:r>
            </a:p>
            <a:p>
              <a:endParaRPr lang="en-US" sz="1100" b="1" baseline="0">
                <a:solidFill>
                  <a:schemeClr val="tx1">
                    <a:lumMod val="75000"/>
                    <a:lumOff val="25000"/>
                  </a:schemeClr>
                </a:solidFill>
              </a:endParaRPr>
            </a:p>
            <a:p>
              <a:r>
                <a:rPr lang="en-US" sz="1100" b="1" baseline="0">
                  <a:solidFill>
                    <a:schemeClr val="tx1">
                      <a:lumMod val="75000"/>
                      <a:lumOff val="25000"/>
                    </a:schemeClr>
                  </a:solidFill>
                </a:rPr>
                <a:t>The bottom line on the P&amp;L is the top line on Cash Flow. The bottom line on Cash Flow is the top line on the Balance Sheet.</a:t>
              </a:r>
              <a:endParaRPr lang="en-US" sz="1100" b="1">
                <a:solidFill>
                  <a:schemeClr val="tx1">
                    <a:lumMod val="75000"/>
                    <a:lumOff val="25000"/>
                  </a:schemeClr>
                </a:solidFill>
              </a:endParaRPr>
            </a:p>
          </xdr:txBody>
        </xdr:sp>
        <xdr:grpSp>
          <xdr:nvGrpSpPr>
            <xdr:cNvPr id="268" name="Group 267">
              <a:extLst>
                <a:ext uri="{FF2B5EF4-FFF2-40B4-BE49-F238E27FC236}">
                  <a16:creationId xmlns:a16="http://schemas.microsoft.com/office/drawing/2014/main" id="{00000000-0008-0000-0000-00000C010000}"/>
                </a:ext>
              </a:extLst>
            </xdr:cNvPr>
            <xdr:cNvGrpSpPr>
              <a:grpSpLocks noChangeAspect="1"/>
            </xdr:cNvGrpSpPr>
          </xdr:nvGrpSpPr>
          <xdr:grpSpPr>
            <a:xfrm>
              <a:off x="1733551" y="121748550"/>
              <a:ext cx="5561941" cy="4952070"/>
              <a:chOff x="17125950" y="117929025"/>
              <a:chExt cx="9095993" cy="7533345"/>
            </a:xfrm>
          </xdr:grpSpPr>
          <xdr:pic>
            <xdr:nvPicPr>
              <xdr:cNvPr id="269" name="Picture 268">
                <a:extLst>
                  <a:ext uri="{FF2B5EF4-FFF2-40B4-BE49-F238E27FC236}">
                    <a16:creationId xmlns:a16="http://schemas.microsoft.com/office/drawing/2014/main" id="{00000000-0008-0000-0000-00000D010000}"/>
                  </a:ext>
                </a:extLst>
              </xdr:cNvPr>
              <xdr:cNvPicPr>
                <a:picLocks noChangeAspect="1"/>
              </xdr:cNvPicPr>
            </xdr:nvPicPr>
            <xdr:blipFill>
              <a:blip xmlns:r="http://schemas.openxmlformats.org/officeDocument/2006/relationships" r:embed="rId30"/>
              <a:stretch>
                <a:fillRect/>
              </a:stretch>
            </xdr:blipFill>
            <xdr:spPr>
              <a:xfrm>
                <a:off x="23164800" y="117929025"/>
                <a:ext cx="3057143" cy="6704762"/>
              </a:xfrm>
              <a:prstGeom prst="rect">
                <a:avLst/>
              </a:prstGeom>
            </xdr:spPr>
          </xdr:pic>
          <xdr:pic>
            <xdr:nvPicPr>
              <xdr:cNvPr id="270" name="Picture 269">
                <a:extLst>
                  <a:ext uri="{FF2B5EF4-FFF2-40B4-BE49-F238E27FC236}">
                    <a16:creationId xmlns:a16="http://schemas.microsoft.com/office/drawing/2014/main" id="{00000000-0008-0000-0000-00000E010000}"/>
                  </a:ext>
                </a:extLst>
              </xdr:cNvPr>
              <xdr:cNvPicPr>
                <a:picLocks noChangeAspect="1"/>
              </xdr:cNvPicPr>
            </xdr:nvPicPr>
            <xdr:blipFill>
              <a:blip xmlns:r="http://schemas.openxmlformats.org/officeDocument/2006/relationships" r:embed="rId29"/>
              <a:stretch>
                <a:fillRect/>
              </a:stretch>
            </xdr:blipFill>
            <xdr:spPr>
              <a:xfrm>
                <a:off x="20459700" y="117976649"/>
                <a:ext cx="2457143" cy="4504763"/>
              </a:xfrm>
              <a:prstGeom prst="rect">
                <a:avLst/>
              </a:prstGeom>
            </xdr:spPr>
          </xdr:pic>
          <xdr:pic>
            <xdr:nvPicPr>
              <xdr:cNvPr id="271" name="Picture 270">
                <a:extLst>
                  <a:ext uri="{FF2B5EF4-FFF2-40B4-BE49-F238E27FC236}">
                    <a16:creationId xmlns:a16="http://schemas.microsoft.com/office/drawing/2014/main" id="{00000000-0008-0000-0000-00000F010000}"/>
                  </a:ext>
                </a:extLst>
              </xdr:cNvPr>
              <xdr:cNvPicPr>
                <a:picLocks noChangeAspect="1"/>
              </xdr:cNvPicPr>
            </xdr:nvPicPr>
            <xdr:blipFill>
              <a:blip xmlns:r="http://schemas.openxmlformats.org/officeDocument/2006/relationships" r:embed="rId26"/>
              <a:stretch>
                <a:fillRect/>
              </a:stretch>
            </xdr:blipFill>
            <xdr:spPr>
              <a:xfrm>
                <a:off x="17125950" y="118024275"/>
                <a:ext cx="2676190" cy="7438095"/>
              </a:xfrm>
              <a:prstGeom prst="rect">
                <a:avLst/>
              </a:prstGeom>
            </xdr:spPr>
          </xdr:pic>
        </xdr:grpSp>
      </xdr:grpSp>
      <xdr:pic>
        <xdr:nvPicPr>
          <xdr:cNvPr id="266" name="Picture 265">
            <a:extLst>
              <a:ext uri="{FF2B5EF4-FFF2-40B4-BE49-F238E27FC236}">
                <a16:creationId xmlns:a16="http://schemas.microsoft.com/office/drawing/2014/main" id="{00000000-0008-0000-0000-00000A010000}"/>
              </a:ext>
            </a:extLst>
          </xdr:cNvPr>
          <xdr:cNvPicPr>
            <a:picLocks noChangeAspect="1"/>
          </xdr:cNvPicPr>
        </xdr:nvPicPr>
        <xdr:blipFill>
          <a:blip xmlns:r="http://schemas.openxmlformats.org/officeDocument/2006/relationships" r:embed="rId31"/>
          <a:stretch>
            <a:fillRect/>
          </a:stretch>
        </xdr:blipFill>
        <xdr:spPr>
          <a:xfrm>
            <a:off x="1981200" y="129482850"/>
            <a:ext cx="5438095" cy="3171429"/>
          </a:xfrm>
          <a:prstGeom prst="rect">
            <a:avLst/>
          </a:prstGeom>
        </xdr:spPr>
      </xdr:pic>
    </xdr:grpSp>
    <xdr:clientData/>
  </xdr:twoCellAnchor>
  <xdr:twoCellAnchor>
    <xdr:from>
      <xdr:col>7</xdr:col>
      <xdr:colOff>438151</xdr:colOff>
      <xdr:row>767</xdr:row>
      <xdr:rowOff>47625</xdr:rowOff>
    </xdr:from>
    <xdr:to>
      <xdr:col>21</xdr:col>
      <xdr:colOff>91281</xdr:colOff>
      <xdr:row>830</xdr:row>
      <xdr:rowOff>66675</xdr:rowOff>
    </xdr:to>
    <xdr:grpSp>
      <xdr:nvGrpSpPr>
        <xdr:cNvPr id="272" name="Group 271">
          <a:extLst>
            <a:ext uri="{FF2B5EF4-FFF2-40B4-BE49-F238E27FC236}">
              <a16:creationId xmlns:a16="http://schemas.microsoft.com/office/drawing/2014/main" id="{00000000-0008-0000-0000-000010010000}"/>
            </a:ext>
          </a:extLst>
        </xdr:cNvPr>
        <xdr:cNvGrpSpPr/>
      </xdr:nvGrpSpPr>
      <xdr:grpSpPr>
        <a:xfrm>
          <a:off x="3867151" y="149755225"/>
          <a:ext cx="9228930" cy="12420600"/>
          <a:chOff x="1733551" y="120910350"/>
          <a:chExt cx="9254330" cy="12020550"/>
        </a:xfrm>
      </xdr:grpSpPr>
      <xdr:grpSp>
        <xdr:nvGrpSpPr>
          <xdr:cNvPr id="273" name="Group 272">
            <a:extLst>
              <a:ext uri="{FF2B5EF4-FFF2-40B4-BE49-F238E27FC236}">
                <a16:creationId xmlns:a16="http://schemas.microsoft.com/office/drawing/2014/main" id="{00000000-0008-0000-0000-000011010000}"/>
              </a:ext>
            </a:extLst>
          </xdr:cNvPr>
          <xdr:cNvGrpSpPr/>
        </xdr:nvGrpSpPr>
        <xdr:grpSpPr>
          <a:xfrm>
            <a:off x="1733551" y="120910350"/>
            <a:ext cx="9254330" cy="12020550"/>
            <a:chOff x="1733551" y="120910350"/>
            <a:chExt cx="9254330" cy="12020550"/>
          </a:xfrm>
        </xdr:grpSpPr>
        <xdr:sp macro="" textlink="">
          <xdr:nvSpPr>
            <xdr:cNvPr id="275" name="TextBox 274">
              <a:extLst>
                <a:ext uri="{FF2B5EF4-FFF2-40B4-BE49-F238E27FC236}">
                  <a16:creationId xmlns:a16="http://schemas.microsoft.com/office/drawing/2014/main" id="{00000000-0008-0000-0000-000013010000}"/>
                </a:ext>
              </a:extLst>
            </xdr:cNvPr>
            <xdr:cNvSpPr txBox="1"/>
          </xdr:nvSpPr>
          <xdr:spPr>
            <a:xfrm>
              <a:off x="1895475" y="120910350"/>
              <a:ext cx="9092406" cy="12020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400" b="1" u="sng">
                  <a:solidFill>
                    <a:srgbClr val="0000FF"/>
                  </a:solidFill>
                </a:rPr>
                <a:t>Putting it All Together</a:t>
              </a:r>
              <a:endParaRPr lang="en-US" sz="1400" b="0" u="sng" baseline="0">
                <a:solidFill>
                  <a:schemeClr val="tx1"/>
                </a:solidFill>
              </a:endParaRPr>
            </a:p>
            <a:p>
              <a:endParaRPr lang="en-US" sz="1100" b="0" baseline="0">
                <a:solidFill>
                  <a:schemeClr val="tx1"/>
                </a:solidFill>
              </a:endParaRPr>
            </a:p>
            <a:p>
              <a:r>
                <a:rPr lang="en-US" sz="1100" b="1">
                  <a:solidFill>
                    <a:schemeClr val="tx1">
                      <a:lumMod val="75000"/>
                      <a:lumOff val="25000"/>
                    </a:schemeClr>
                  </a:solidFill>
                </a:rPr>
                <a:t>Now we have our three financial statements.</a:t>
              </a: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a:solidFill>
                  <a:schemeClr val="tx1">
                    <a:lumMod val="75000"/>
                    <a:lumOff val="25000"/>
                  </a:schemeClr>
                </a:solidFill>
              </a:endParaRPr>
            </a:p>
            <a:p>
              <a:endParaRPr lang="en-US" sz="1100" b="1" baseline="0">
                <a:solidFill>
                  <a:schemeClr val="tx1"/>
                </a:solidFill>
              </a:endParaRPr>
            </a:p>
            <a:p>
              <a:endParaRPr lang="en-US" sz="1100" b="1" baseline="0">
                <a:solidFill>
                  <a:schemeClr val="tx1"/>
                </a:solidFill>
              </a:endParaRPr>
            </a:p>
            <a:p>
              <a:r>
                <a:rPr lang="en-US" sz="1100" b="1" baseline="0">
                  <a:solidFill>
                    <a:schemeClr val="tx1">
                      <a:lumMod val="75000"/>
                      <a:lumOff val="25000"/>
                    </a:schemeClr>
                  </a:solidFill>
                </a:rPr>
                <a:t>Although as we've seen, they do different things:</a:t>
              </a:r>
            </a:p>
            <a:p>
              <a:endParaRPr lang="en-US" sz="1100" b="1" baseline="0">
                <a:solidFill>
                  <a:schemeClr val="tx1">
                    <a:lumMod val="75000"/>
                    <a:lumOff val="25000"/>
                  </a:schemeClr>
                </a:solidFill>
              </a:endParaRPr>
            </a:p>
            <a:p>
              <a:r>
                <a:rPr lang="en-US" sz="1100" b="1" baseline="0">
                  <a:solidFill>
                    <a:srgbClr val="0000FF"/>
                  </a:solidFill>
                </a:rPr>
                <a:t>P&amp;L </a:t>
              </a:r>
              <a:r>
                <a:rPr lang="en-US" sz="1100" b="1" baseline="0">
                  <a:solidFill>
                    <a:schemeClr val="tx1">
                      <a:lumMod val="75000"/>
                      <a:lumOff val="25000"/>
                    </a:schemeClr>
                  </a:solidFill>
                </a:rPr>
                <a:t>- Sales - Past</a:t>
              </a:r>
            </a:p>
            <a:p>
              <a:r>
                <a:rPr lang="en-US" sz="1100" b="1" baseline="0">
                  <a:solidFill>
                    <a:srgbClr val="0000FF"/>
                  </a:solidFill>
                </a:rPr>
                <a:t>Cash</a:t>
              </a:r>
              <a:r>
                <a:rPr lang="en-US" sz="1100" b="1" baseline="0">
                  <a:solidFill>
                    <a:schemeClr val="tx1">
                      <a:lumMod val="75000"/>
                      <a:lumOff val="25000"/>
                    </a:schemeClr>
                  </a:solidFill>
                </a:rPr>
                <a:t> - Cash - Present</a:t>
              </a:r>
            </a:p>
            <a:p>
              <a:r>
                <a:rPr lang="en-US" sz="1100" b="1" baseline="0">
                  <a:solidFill>
                    <a:srgbClr val="0000FF"/>
                  </a:solidFill>
                </a:rPr>
                <a:t>Balance Sheet </a:t>
              </a:r>
              <a:r>
                <a:rPr lang="en-US" sz="1100" b="1" baseline="0">
                  <a:solidFill>
                    <a:schemeClr val="tx1">
                      <a:lumMod val="75000"/>
                      <a:lumOff val="25000"/>
                    </a:schemeClr>
                  </a:solidFill>
                </a:rPr>
                <a:t>- Stuff - Future</a:t>
              </a:r>
            </a:p>
            <a:p>
              <a:endParaRPr lang="en-US" sz="1100" b="1" baseline="0">
                <a:solidFill>
                  <a:schemeClr val="tx1">
                    <a:lumMod val="75000"/>
                    <a:lumOff val="25000"/>
                  </a:schemeClr>
                </a:solidFill>
              </a:endParaRPr>
            </a:p>
            <a:p>
              <a:r>
                <a:rPr lang="en-US" sz="1100" b="1" baseline="0">
                  <a:solidFill>
                    <a:schemeClr val="tx1">
                      <a:lumMod val="75000"/>
                      <a:lumOff val="25000"/>
                    </a:schemeClr>
                  </a:solidFill>
                </a:rPr>
                <a:t>They're all connected, however. </a:t>
              </a:r>
            </a:p>
            <a:p>
              <a:endParaRPr lang="en-US" sz="1100" b="1" baseline="0">
                <a:solidFill>
                  <a:schemeClr val="tx1">
                    <a:lumMod val="75000"/>
                    <a:lumOff val="25000"/>
                  </a:schemeClr>
                </a:solidFill>
              </a:endParaRPr>
            </a:p>
            <a:p>
              <a:r>
                <a:rPr lang="en-US" sz="1100" b="1" baseline="0">
                  <a:solidFill>
                    <a:schemeClr val="tx1">
                      <a:lumMod val="75000"/>
                      <a:lumOff val="25000"/>
                    </a:schemeClr>
                  </a:solidFill>
                </a:rPr>
                <a:t>In fact, Cash Flow is really simply that period's differences from the last periods amounts on the Balance Sheet.</a:t>
              </a:r>
            </a:p>
            <a:p>
              <a:endParaRPr lang="en-US" sz="1100" b="1" baseline="0">
                <a:solidFill>
                  <a:schemeClr val="tx1">
                    <a:lumMod val="75000"/>
                    <a:lumOff val="25000"/>
                  </a:schemeClr>
                </a:solidFill>
              </a:endParaRPr>
            </a:p>
            <a:p>
              <a:r>
                <a:rPr lang="en-US" sz="1100" b="1" baseline="0">
                  <a:solidFill>
                    <a:schemeClr val="tx1">
                      <a:lumMod val="75000"/>
                      <a:lumOff val="25000"/>
                    </a:schemeClr>
                  </a:solidFill>
                </a:rPr>
                <a:t>Another way they're all connected is what I call the Waterfall.</a:t>
              </a:r>
            </a:p>
            <a:p>
              <a:endParaRPr lang="en-US" sz="1100" b="1" baseline="0">
                <a:solidFill>
                  <a:schemeClr val="tx1">
                    <a:lumMod val="75000"/>
                    <a:lumOff val="25000"/>
                  </a:schemeClr>
                </a:solidFill>
              </a:endParaRPr>
            </a:p>
            <a:p>
              <a:r>
                <a:rPr lang="en-US" sz="1100" b="1" baseline="0">
                  <a:solidFill>
                    <a:schemeClr val="tx1">
                      <a:lumMod val="75000"/>
                      <a:lumOff val="25000"/>
                    </a:schemeClr>
                  </a:solidFill>
                </a:rPr>
                <a:t>The bottom line on the P&amp;L is the top line on Cash Flow. The bottom line on Cash Flow is the top line on the Balance Sheet.</a:t>
              </a:r>
              <a:endParaRPr lang="en-US" sz="1100" b="1">
                <a:solidFill>
                  <a:schemeClr val="tx1">
                    <a:lumMod val="75000"/>
                    <a:lumOff val="25000"/>
                  </a:schemeClr>
                </a:solidFill>
              </a:endParaRPr>
            </a:p>
          </xdr:txBody>
        </xdr:sp>
        <xdr:grpSp>
          <xdr:nvGrpSpPr>
            <xdr:cNvPr id="276" name="Group 275">
              <a:extLst>
                <a:ext uri="{FF2B5EF4-FFF2-40B4-BE49-F238E27FC236}">
                  <a16:creationId xmlns:a16="http://schemas.microsoft.com/office/drawing/2014/main" id="{00000000-0008-0000-0000-000014010000}"/>
                </a:ext>
              </a:extLst>
            </xdr:cNvPr>
            <xdr:cNvGrpSpPr>
              <a:grpSpLocks noChangeAspect="1"/>
            </xdr:cNvGrpSpPr>
          </xdr:nvGrpSpPr>
          <xdr:grpSpPr>
            <a:xfrm>
              <a:off x="1733551" y="121748550"/>
              <a:ext cx="5561941" cy="4952070"/>
              <a:chOff x="17125950" y="117929025"/>
              <a:chExt cx="9095993" cy="7533345"/>
            </a:xfrm>
          </xdr:grpSpPr>
          <xdr:pic>
            <xdr:nvPicPr>
              <xdr:cNvPr id="277" name="Picture 276">
                <a:extLst>
                  <a:ext uri="{FF2B5EF4-FFF2-40B4-BE49-F238E27FC236}">
                    <a16:creationId xmlns:a16="http://schemas.microsoft.com/office/drawing/2014/main" id="{00000000-0008-0000-0000-000015010000}"/>
                  </a:ext>
                </a:extLst>
              </xdr:cNvPr>
              <xdr:cNvPicPr>
                <a:picLocks noChangeAspect="1"/>
              </xdr:cNvPicPr>
            </xdr:nvPicPr>
            <xdr:blipFill>
              <a:blip xmlns:r="http://schemas.openxmlformats.org/officeDocument/2006/relationships" r:embed="rId30"/>
              <a:stretch>
                <a:fillRect/>
              </a:stretch>
            </xdr:blipFill>
            <xdr:spPr>
              <a:xfrm>
                <a:off x="23164800" y="117929025"/>
                <a:ext cx="3057143" cy="6704762"/>
              </a:xfrm>
              <a:prstGeom prst="rect">
                <a:avLst/>
              </a:prstGeom>
            </xdr:spPr>
          </xdr:pic>
          <xdr:pic>
            <xdr:nvPicPr>
              <xdr:cNvPr id="278" name="Picture 277">
                <a:extLst>
                  <a:ext uri="{FF2B5EF4-FFF2-40B4-BE49-F238E27FC236}">
                    <a16:creationId xmlns:a16="http://schemas.microsoft.com/office/drawing/2014/main" id="{00000000-0008-0000-0000-000016010000}"/>
                  </a:ext>
                </a:extLst>
              </xdr:cNvPr>
              <xdr:cNvPicPr>
                <a:picLocks noChangeAspect="1"/>
              </xdr:cNvPicPr>
            </xdr:nvPicPr>
            <xdr:blipFill>
              <a:blip xmlns:r="http://schemas.openxmlformats.org/officeDocument/2006/relationships" r:embed="rId29"/>
              <a:stretch>
                <a:fillRect/>
              </a:stretch>
            </xdr:blipFill>
            <xdr:spPr>
              <a:xfrm>
                <a:off x="20459700" y="117976649"/>
                <a:ext cx="2457143" cy="4504763"/>
              </a:xfrm>
              <a:prstGeom prst="rect">
                <a:avLst/>
              </a:prstGeom>
            </xdr:spPr>
          </xdr:pic>
          <xdr:pic>
            <xdr:nvPicPr>
              <xdr:cNvPr id="279" name="Picture 278">
                <a:extLst>
                  <a:ext uri="{FF2B5EF4-FFF2-40B4-BE49-F238E27FC236}">
                    <a16:creationId xmlns:a16="http://schemas.microsoft.com/office/drawing/2014/main" id="{00000000-0008-0000-0000-000017010000}"/>
                  </a:ext>
                </a:extLst>
              </xdr:cNvPr>
              <xdr:cNvPicPr>
                <a:picLocks noChangeAspect="1"/>
              </xdr:cNvPicPr>
            </xdr:nvPicPr>
            <xdr:blipFill>
              <a:blip xmlns:r="http://schemas.openxmlformats.org/officeDocument/2006/relationships" r:embed="rId26"/>
              <a:stretch>
                <a:fillRect/>
              </a:stretch>
            </xdr:blipFill>
            <xdr:spPr>
              <a:xfrm>
                <a:off x="17125950" y="118024275"/>
                <a:ext cx="2676190" cy="7438095"/>
              </a:xfrm>
              <a:prstGeom prst="rect">
                <a:avLst/>
              </a:prstGeom>
            </xdr:spPr>
          </xdr:pic>
        </xdr:grpSp>
      </xdr:grpSp>
      <xdr:pic>
        <xdr:nvPicPr>
          <xdr:cNvPr id="274" name="Picture 273">
            <a:extLst>
              <a:ext uri="{FF2B5EF4-FFF2-40B4-BE49-F238E27FC236}">
                <a16:creationId xmlns:a16="http://schemas.microsoft.com/office/drawing/2014/main" id="{00000000-0008-0000-0000-000012010000}"/>
              </a:ext>
            </a:extLst>
          </xdr:cNvPr>
          <xdr:cNvPicPr>
            <a:picLocks noChangeAspect="1"/>
          </xdr:cNvPicPr>
        </xdr:nvPicPr>
        <xdr:blipFill>
          <a:blip xmlns:r="http://schemas.openxmlformats.org/officeDocument/2006/relationships" r:embed="rId31"/>
          <a:stretch>
            <a:fillRect/>
          </a:stretch>
        </xdr:blipFill>
        <xdr:spPr>
          <a:xfrm>
            <a:off x="1981200" y="129482850"/>
            <a:ext cx="5438095" cy="3171429"/>
          </a:xfrm>
          <a:prstGeom prst="rect">
            <a:avLst/>
          </a:prstGeom>
        </xdr:spPr>
      </xdr:pic>
    </xdr:grpSp>
    <xdr:clientData/>
  </xdr:twoCellAnchor>
  <xdr:twoCellAnchor>
    <xdr:from>
      <xdr:col>23</xdr:col>
      <xdr:colOff>581025</xdr:colOff>
      <xdr:row>662</xdr:row>
      <xdr:rowOff>171450</xdr:rowOff>
    </xdr:from>
    <xdr:to>
      <xdr:col>38</xdr:col>
      <xdr:colOff>57150</xdr:colOff>
      <xdr:row>696</xdr:row>
      <xdr:rowOff>152400</xdr:rowOff>
    </xdr:to>
    <xdr:sp macro="" textlink="">
      <xdr:nvSpPr>
        <xdr:cNvPr id="280" name="Rectangle 279">
          <a:extLst>
            <a:ext uri="{FF2B5EF4-FFF2-40B4-BE49-F238E27FC236}">
              <a16:creationId xmlns:a16="http://schemas.microsoft.com/office/drawing/2014/main" id="{00000000-0008-0000-0000-000018010000}"/>
            </a:ext>
          </a:extLst>
        </xdr:cNvPr>
        <xdr:cNvSpPr/>
      </xdr:nvSpPr>
      <xdr:spPr>
        <a:xfrm>
          <a:off x="16354425" y="126387225"/>
          <a:ext cx="9763125" cy="6457950"/>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628650</xdr:colOff>
      <xdr:row>8</xdr:row>
      <xdr:rowOff>161923</xdr:rowOff>
    </xdr:from>
    <xdr:to>
      <xdr:col>50</xdr:col>
      <xdr:colOff>352425</xdr:colOff>
      <xdr:row>120</xdr:row>
      <xdr:rowOff>95249</xdr:rowOff>
    </xdr:to>
    <xdr:sp macro="" textlink="">
      <xdr:nvSpPr>
        <xdr:cNvPr id="281" name="Rectangle 280">
          <a:extLst>
            <a:ext uri="{FF2B5EF4-FFF2-40B4-BE49-F238E27FC236}">
              <a16:creationId xmlns:a16="http://schemas.microsoft.com/office/drawing/2014/main" id="{00000000-0008-0000-0000-000019010000}"/>
            </a:ext>
          </a:extLst>
        </xdr:cNvPr>
        <xdr:cNvSpPr/>
      </xdr:nvSpPr>
      <xdr:spPr>
        <a:xfrm>
          <a:off x="14344650" y="1685923"/>
          <a:ext cx="20297775" cy="21374101"/>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34</xdr:col>
      <xdr:colOff>419100</xdr:colOff>
      <xdr:row>602</xdr:row>
      <xdr:rowOff>85725</xdr:rowOff>
    </xdr:from>
    <xdr:to>
      <xdr:col>44</xdr:col>
      <xdr:colOff>113576</xdr:colOff>
      <xdr:row>613</xdr:row>
      <xdr:rowOff>56892</xdr:rowOff>
    </xdr:to>
    <xdr:pic>
      <xdr:nvPicPr>
        <xdr:cNvPr id="2" name="Picture 1">
          <a:extLst>
            <a:ext uri="{FF2B5EF4-FFF2-40B4-BE49-F238E27FC236}">
              <a16:creationId xmlns:a16="http://schemas.microsoft.com/office/drawing/2014/main" id="{2695197C-C952-4C6F-B1F9-A691B24B11B6}"/>
            </a:ext>
          </a:extLst>
        </xdr:cNvPr>
        <xdr:cNvPicPr>
          <a:picLocks noChangeAspect="1"/>
        </xdr:cNvPicPr>
      </xdr:nvPicPr>
      <xdr:blipFill>
        <a:blip xmlns:r="http://schemas.openxmlformats.org/officeDocument/2006/relationships" r:embed="rId1"/>
        <a:stretch>
          <a:fillRect/>
        </a:stretch>
      </xdr:blipFill>
      <xdr:spPr>
        <a:xfrm>
          <a:off x="24422100" y="114795300"/>
          <a:ext cx="5790476" cy="2066667"/>
        </a:xfrm>
        <a:prstGeom prst="rect">
          <a:avLst/>
        </a:prstGeom>
      </xdr:spPr>
    </xdr:pic>
    <xdr:clientData/>
  </xdr:twoCellAnchor>
  <xdr:twoCellAnchor>
    <xdr:from>
      <xdr:col>39</xdr:col>
      <xdr:colOff>436102</xdr:colOff>
      <xdr:row>25</xdr:row>
      <xdr:rowOff>133350</xdr:rowOff>
    </xdr:from>
    <xdr:to>
      <xdr:col>41</xdr:col>
      <xdr:colOff>158507</xdr:colOff>
      <xdr:row>28</xdr:row>
      <xdr:rowOff>30856</xdr:rowOff>
    </xdr:to>
    <xdr:cxnSp macro="">
      <xdr:nvCxnSpPr>
        <xdr:cNvPr id="3" name="Straight Arrow Connector 2">
          <a:extLst>
            <a:ext uri="{FF2B5EF4-FFF2-40B4-BE49-F238E27FC236}">
              <a16:creationId xmlns:a16="http://schemas.microsoft.com/office/drawing/2014/main" id="{7471AB6A-CACF-4DF6-A48F-3281A5515598}"/>
            </a:ext>
          </a:extLst>
        </xdr:cNvPr>
        <xdr:cNvCxnSpPr/>
      </xdr:nvCxnSpPr>
      <xdr:spPr>
        <a:xfrm flipH="1" flipV="1">
          <a:off x="27487102" y="4924425"/>
          <a:ext cx="941605" cy="469006"/>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60410</xdr:colOff>
      <xdr:row>26</xdr:row>
      <xdr:rowOff>157557</xdr:rowOff>
    </xdr:from>
    <xdr:to>
      <xdr:col>43</xdr:col>
      <xdr:colOff>473085</xdr:colOff>
      <xdr:row>29</xdr:row>
      <xdr:rowOff>75983</xdr:rowOff>
    </xdr:to>
    <xdr:sp macro="" textlink="">
      <xdr:nvSpPr>
        <xdr:cNvPr id="4" name="TextBox 3">
          <a:extLst>
            <a:ext uri="{FF2B5EF4-FFF2-40B4-BE49-F238E27FC236}">
              <a16:creationId xmlns:a16="http://schemas.microsoft.com/office/drawing/2014/main" id="{2A08C292-E3B6-4C30-B360-16F245E3F09B}"/>
            </a:ext>
          </a:extLst>
        </xdr:cNvPr>
        <xdr:cNvSpPr txBox="1"/>
      </xdr:nvSpPr>
      <xdr:spPr>
        <a:xfrm>
          <a:off x="28330610" y="5139132"/>
          <a:ext cx="1631875" cy="4899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a:solidFill>
                <a:srgbClr val="0000FF"/>
              </a:solidFill>
            </a:rPr>
            <a:t>The number of days</a:t>
          </a:r>
          <a:r>
            <a:rPr lang="en-US" sz="1100" b="1" baseline="0">
              <a:solidFill>
                <a:srgbClr val="0000FF"/>
              </a:solidFill>
            </a:rPr>
            <a:t> of Accounts Receivable</a:t>
          </a:r>
          <a:r>
            <a:rPr lang="en-US" sz="1100" b="1">
              <a:solidFill>
                <a:srgbClr val="0000FF"/>
              </a:solidFill>
            </a:rPr>
            <a:t> </a:t>
          </a:r>
        </a:p>
      </xdr:txBody>
    </xdr:sp>
    <xdr:clientData/>
  </xdr:twoCellAnchor>
  <xdr:twoCellAnchor>
    <xdr:from>
      <xdr:col>31</xdr:col>
      <xdr:colOff>552450</xdr:colOff>
      <xdr:row>30</xdr:row>
      <xdr:rowOff>153597</xdr:rowOff>
    </xdr:from>
    <xdr:to>
      <xdr:col>32</xdr:col>
      <xdr:colOff>252468</xdr:colOff>
      <xdr:row>40</xdr:row>
      <xdr:rowOff>93182</xdr:rowOff>
    </xdr:to>
    <xdr:sp macro="" textlink="">
      <xdr:nvSpPr>
        <xdr:cNvPr id="5" name="Left Brace 4">
          <a:extLst>
            <a:ext uri="{FF2B5EF4-FFF2-40B4-BE49-F238E27FC236}">
              <a16:creationId xmlns:a16="http://schemas.microsoft.com/office/drawing/2014/main" id="{B5391CF0-5D63-42C5-AF65-BBFCA0757646}"/>
            </a:ext>
          </a:extLst>
        </xdr:cNvPr>
        <xdr:cNvSpPr/>
      </xdr:nvSpPr>
      <xdr:spPr>
        <a:xfrm rot="10800000">
          <a:off x="22726650" y="5897172"/>
          <a:ext cx="309618" cy="1844585"/>
        </a:xfrm>
        <a:prstGeom prst="leftBrace">
          <a:avLst>
            <a:gd name="adj1" fmla="val 8333"/>
            <a:gd name="adj2" fmla="val 50405"/>
          </a:avLst>
        </a:prstGeom>
        <a:ln w="38100">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editAs="oneCell">
    <xdr:from>
      <xdr:col>0</xdr:col>
      <xdr:colOff>46568</xdr:colOff>
      <xdr:row>0</xdr:row>
      <xdr:rowOff>36919</xdr:rowOff>
    </xdr:from>
    <xdr:to>
      <xdr:col>1</xdr:col>
      <xdr:colOff>423793</xdr:colOff>
      <xdr:row>1</xdr:row>
      <xdr:rowOff>76201</xdr:rowOff>
    </xdr:to>
    <xdr:pic>
      <xdr:nvPicPr>
        <xdr:cNvPr id="6" name="Picture 5">
          <a:extLst>
            <a:ext uri="{FF2B5EF4-FFF2-40B4-BE49-F238E27FC236}">
              <a16:creationId xmlns:a16="http://schemas.microsoft.com/office/drawing/2014/main" id="{9B821427-5260-4406-ABE2-71BC1E93E890}"/>
            </a:ext>
          </a:extLst>
        </xdr:cNvPr>
        <xdr:cNvPicPr>
          <a:picLocks noChangeAspect="1"/>
        </xdr:cNvPicPr>
      </xdr:nvPicPr>
      <xdr:blipFill>
        <a:blip xmlns:r="http://schemas.openxmlformats.org/officeDocument/2006/relationships" r:embed="rId2"/>
        <a:stretch>
          <a:fillRect/>
        </a:stretch>
      </xdr:blipFill>
      <xdr:spPr>
        <a:xfrm>
          <a:off x="46568" y="36919"/>
          <a:ext cx="986825" cy="229782"/>
        </a:xfrm>
        <a:prstGeom prst="rect">
          <a:avLst/>
        </a:prstGeom>
      </xdr:spPr>
    </xdr:pic>
    <xdr:clientData/>
  </xdr:twoCellAnchor>
  <xdr:twoCellAnchor>
    <xdr:from>
      <xdr:col>1</xdr:col>
      <xdr:colOff>0</xdr:colOff>
      <xdr:row>2</xdr:row>
      <xdr:rowOff>123825</xdr:rowOff>
    </xdr:from>
    <xdr:to>
      <xdr:col>15</xdr:col>
      <xdr:colOff>527050</xdr:colOff>
      <xdr:row>336</xdr:row>
      <xdr:rowOff>104775</xdr:rowOff>
    </xdr:to>
    <xdr:sp macro="" textlink="">
      <xdr:nvSpPr>
        <xdr:cNvPr id="7" name="TextBox 6">
          <a:extLst>
            <a:ext uri="{FF2B5EF4-FFF2-40B4-BE49-F238E27FC236}">
              <a16:creationId xmlns:a16="http://schemas.microsoft.com/office/drawing/2014/main" id="{6FB8950D-3122-4731-B473-D939CA2D628E}"/>
            </a:ext>
          </a:extLst>
        </xdr:cNvPr>
        <xdr:cNvSpPr txBox="1"/>
      </xdr:nvSpPr>
      <xdr:spPr>
        <a:xfrm>
          <a:off x="609600" y="504825"/>
          <a:ext cx="9061450" cy="63636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800" b="1" u="sng">
              <a:solidFill>
                <a:srgbClr val="0000FF"/>
              </a:solidFill>
            </a:rPr>
            <a:t>Instructions</a:t>
          </a:r>
        </a:p>
        <a:p>
          <a:endParaRPr lang="en-US" sz="1800" b="1" u="sng">
            <a:solidFill>
              <a:srgbClr val="0000FF"/>
            </a:solidFill>
          </a:endParaRPr>
        </a:p>
        <a:p>
          <a:r>
            <a:rPr lang="en-US" sz="1100" b="1" u="none">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rPr>
            <a:t>Welcome to EZ Numbers!</a:t>
          </a:r>
        </a:p>
        <a:p>
          <a:endParaRPr lang="en-US" sz="1100" b="1" u="none">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endParaRPr>
        </a:p>
        <a:p>
          <a:r>
            <a:rPr lang="en-US" sz="1100" b="1" u="none">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rPr>
            <a:t>We're</a:t>
          </a:r>
          <a:r>
            <a:rPr lang="en-US" sz="1100" b="1" u="none" baseline="0">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rPr>
            <a:t> here to turn the financial projections part of your startup work from something that you may feel to be difficult or even painful to something, well, easy, and informative and predictive. </a:t>
          </a:r>
          <a:br>
            <a:rPr lang="en-US" sz="1100" b="1" u="none" baseline="0">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rPr>
          </a:br>
          <a:br>
            <a:rPr lang="en-US" sz="1100" b="1" u="none" baseline="0">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rPr>
          </a:br>
          <a:r>
            <a:rPr lang="en-US" sz="1100" b="1" u="none" baseline="0">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rPr>
            <a:t>Financial projections aren't just for investors or banks, they're for you. Until *you* make *your* numbers, your business isn't a business, it's a hobby.</a:t>
          </a:r>
        </a:p>
        <a:p>
          <a:endParaRPr lang="en-US" sz="1100" b="1" u="none" baseline="0">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endParaRPr>
        </a:p>
        <a:p>
          <a:r>
            <a:rPr lang="en-US" sz="1100" b="1" u="none" baseline="0">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rPr>
            <a:t>EZ Numbers works on PC and Mac. It's pretty straightforward, but there are some general conventions that we'll go through, and then specific instructions for each sheet. </a:t>
          </a:r>
        </a:p>
        <a:p>
          <a:endParaRPr lang="en-US" sz="1100" b="1" u="none" baseline="0">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endParaRPr>
        </a:p>
        <a:p>
          <a:r>
            <a:rPr lang="en-US" sz="1100" b="1" u="none" baseline="0">
              <a:solidFill>
                <a:srgbClr val="0000FF"/>
              </a:solidFill>
              <a:latin typeface="Calibri" panose="020F0502020204030204" pitchFamily="34" charset="0"/>
              <a:ea typeface="Calibri" panose="020F0502020204030204" pitchFamily="34" charset="0"/>
              <a:cs typeface="Calibri" panose="020F0502020204030204" pitchFamily="34" charset="0"/>
            </a:rPr>
            <a:t>Structure</a:t>
          </a:r>
        </a:p>
        <a:p>
          <a:r>
            <a:rPr lang="en-US" sz="1100" b="1" u="none" baseline="0">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rPr>
            <a:t>After this Instructions sheet, there's the Input sheet which is the only sheet you enter your info on. All of the other sheets are made automatically for you:</a:t>
          </a:r>
        </a:p>
        <a:p>
          <a:endParaRPr lang="en-US" sz="1100" b="1" u="none" baseline="0">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endParaRPr>
        </a:p>
        <a:p>
          <a:endParaRPr lang="en-US" sz="1100" b="1" u="none" baseline="0">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endParaRPr>
        </a:p>
        <a:p>
          <a:endParaRPr lang="en-US" sz="1100" b="1" u="none" baseline="0">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endParaRPr>
        </a:p>
        <a:p>
          <a:endParaRPr lang="en-US" sz="1100" b="1" u="none" baseline="0">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endParaRPr>
        </a:p>
        <a:p>
          <a:endParaRPr lang="en-US" sz="1100" b="1" u="none" baseline="0">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endParaRPr>
        </a:p>
        <a:p>
          <a:endParaRPr lang="en-US" sz="1100" b="1" u="none" baseline="0">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endParaRPr>
        </a:p>
        <a:p>
          <a:endParaRPr lang="en-US" sz="1100" b="1" u="none" baseline="0">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endParaRPr>
        </a:p>
        <a:p>
          <a:endParaRPr lang="en-US" sz="1100" b="1" u="none" baseline="0">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endParaRPr>
        </a:p>
        <a:p>
          <a:endParaRPr lang="en-US" sz="1100" b="1" u="none" baseline="0">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endParaRPr>
        </a:p>
        <a:p>
          <a:endParaRPr lang="en-US" sz="1100" b="1" u="none" baseline="0">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endParaRPr>
        </a:p>
        <a:p>
          <a:endParaRPr lang="en-US" sz="1100" b="1" u="none" baseline="0">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endParaRPr>
        </a:p>
        <a:p>
          <a:endParaRPr lang="en-US" sz="1100" b="1" u="none" baseline="0">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endParaRPr>
        </a:p>
        <a:p>
          <a:endParaRPr lang="en-US" sz="1100" b="1" u="none" baseline="0">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endParaRPr>
        </a:p>
        <a:p>
          <a:endParaRPr lang="en-US" sz="1100" b="1" u="none" baseline="0">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endParaRPr>
        </a:p>
        <a:p>
          <a:endParaRPr lang="en-US" sz="1100" b="1" u="none" baseline="0">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endParaRPr>
        </a:p>
        <a:p>
          <a:endParaRPr lang="en-US" sz="1400" b="1" u="none" baseline="0">
            <a:solidFill>
              <a:srgbClr val="0000FF"/>
            </a:solidFill>
            <a:latin typeface="Calibri" panose="020F0502020204030204" pitchFamily="34" charset="0"/>
            <a:ea typeface="Calibri" panose="020F0502020204030204" pitchFamily="34" charset="0"/>
            <a:cs typeface="Calibri" panose="020F0502020204030204" pitchFamily="34" charset="0"/>
          </a:endParaRPr>
        </a:p>
        <a:p>
          <a:r>
            <a:rPr lang="en-US" sz="1400" b="1" u="none" baseline="0">
              <a:solidFill>
                <a:srgbClr val="0000FF"/>
              </a:solidFill>
              <a:latin typeface="Calibri" panose="020F0502020204030204" pitchFamily="34" charset="0"/>
              <a:ea typeface="Calibri" panose="020F0502020204030204" pitchFamily="34" charset="0"/>
              <a:cs typeface="Calibri" panose="020F0502020204030204" pitchFamily="34" charset="0"/>
            </a:rPr>
            <a:t>Overall Conventions</a:t>
          </a:r>
          <a:endParaRPr lang="en-US" sz="1100" b="1" u="none" baseline="0">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endParaRPr>
        </a:p>
        <a:p>
          <a:endParaRPr lang="en-US" sz="1100" b="1" u="none" baseline="0">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0000FF"/>
              </a:solidFill>
              <a:effectLst/>
              <a:latin typeface="+mn-lt"/>
              <a:ea typeface="+mn-ea"/>
              <a:cs typeface="+mn-cs"/>
            </a:rPr>
            <a:t>Input Cells Are Blue Then Turn Green When You Enter Numbers in Them</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tx1"/>
              </a:solidFill>
              <a:effectLst/>
              <a:latin typeface="+mn-lt"/>
              <a:ea typeface="+mn-ea"/>
              <a:cs typeface="+mn-cs"/>
            </a:rPr>
            <a:t>The Input sheet is the *only* sheet where you enter your information.</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tx1"/>
              </a:solidFill>
              <a:effectLst/>
              <a:latin typeface="+mn-lt"/>
              <a:ea typeface="+mn-ea"/>
              <a:cs typeface="+mn-cs"/>
            </a:rPr>
            <a:t>There are gray cells for labels, and blue cells for numbers. When you enter numbers in the blue cells, they will turn green:</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solidFill>
            <a:effectLst/>
            <a:latin typeface="+mn-lt"/>
            <a:ea typeface="+mn-ea"/>
            <a:cs typeface="+mn-cs"/>
          </a:endParaRPr>
        </a:p>
        <a:p>
          <a:r>
            <a:rPr lang="en-US" sz="1100" b="1" baseline="0">
              <a:solidFill>
                <a:srgbClr val="0000FF"/>
              </a:solidFill>
              <a:effectLst/>
              <a:latin typeface="+mn-lt"/>
              <a:ea typeface="+mn-ea"/>
              <a:cs typeface="+mn-cs"/>
            </a:rPr>
            <a:t>Display / Hide Rows on Input and Financials sheets</a:t>
          </a:r>
        </a:p>
        <a:p>
          <a:r>
            <a:rPr lang="en-US" sz="1100" b="1" baseline="0">
              <a:solidFill>
                <a:schemeClr val="tx1">
                  <a:lumMod val="75000"/>
                  <a:lumOff val="25000"/>
                </a:schemeClr>
              </a:solidFill>
              <a:effectLst/>
              <a:latin typeface="+mn-lt"/>
              <a:ea typeface="+mn-ea"/>
              <a:cs typeface="+mn-cs"/>
            </a:rPr>
            <a:t>On the Input sheet, for Personnel, Expenses, CapEx, and Financing, you can select the number of rows you need. As the default setting, </a:t>
          </a:r>
        </a:p>
        <a:p>
          <a:r>
            <a:rPr lang="en-US" sz="1100" b="1" baseline="0">
              <a:solidFill>
                <a:schemeClr val="tx1">
                  <a:lumMod val="75000"/>
                  <a:lumOff val="25000"/>
                </a:schemeClr>
              </a:solidFill>
              <a:effectLst/>
              <a:latin typeface="+mn-lt"/>
              <a:ea typeface="+mn-ea"/>
              <a:cs typeface="+mn-cs"/>
            </a:rPr>
            <a:t>EZ will show three or five items in each category. If you select more than are currently displayed, you'll see the red text under the </a:t>
          </a:r>
        </a:p>
        <a:p>
          <a:r>
            <a:rPr lang="en-US" sz="1100" b="1" baseline="0">
              <a:solidFill>
                <a:schemeClr val="tx1">
                  <a:lumMod val="75000"/>
                  <a:lumOff val="25000"/>
                </a:schemeClr>
              </a:solidFill>
              <a:effectLst/>
              <a:latin typeface="+mn-lt"/>
              <a:ea typeface="+mn-ea"/>
              <a:cs typeface="+mn-cs"/>
            </a:rPr>
            <a:t>section title as seen below:</a:t>
          </a: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r>
            <a:rPr lang="en-US" sz="1100" b="1" baseline="0">
              <a:solidFill>
                <a:schemeClr val="tx1">
                  <a:lumMod val="75000"/>
                  <a:lumOff val="25000"/>
                </a:schemeClr>
              </a:solidFill>
              <a:effectLst/>
              <a:latin typeface="+mn-lt"/>
              <a:ea typeface="+mn-ea"/>
              <a:cs typeface="+mn-cs"/>
            </a:rPr>
            <a:t>And note how there's a gap between rows 91 and 99.</a:t>
          </a:r>
        </a:p>
        <a:p>
          <a:endParaRPr lang="en-US" sz="1100" b="1" baseline="0">
            <a:solidFill>
              <a:schemeClr val="tx1">
                <a:lumMod val="75000"/>
                <a:lumOff val="25000"/>
              </a:schemeClr>
            </a:solidFill>
            <a:effectLst/>
            <a:latin typeface="+mn-lt"/>
            <a:ea typeface="+mn-ea"/>
            <a:cs typeface="+mn-cs"/>
          </a:endParaRPr>
        </a:p>
        <a:p>
          <a:r>
            <a:rPr lang="en-US" sz="1100" b="1" baseline="0">
              <a:solidFill>
                <a:schemeClr val="tx1">
                  <a:lumMod val="75000"/>
                  <a:lumOff val="25000"/>
                </a:schemeClr>
              </a:solidFill>
              <a:effectLst/>
              <a:latin typeface="+mn-lt"/>
              <a:ea typeface="+mn-ea"/>
              <a:cs typeface="+mn-cs"/>
            </a:rPr>
            <a:t>This means that you need to unhide rows to display the number you selected. If you don't know how to Hide / Display, it's easy.</a:t>
          </a:r>
        </a:p>
        <a:p>
          <a:endParaRPr lang="en-US" sz="1100" b="1" baseline="0">
            <a:solidFill>
              <a:schemeClr val="tx1">
                <a:lumMod val="75000"/>
                <a:lumOff val="25000"/>
              </a:schemeClr>
            </a:solidFill>
            <a:effectLst/>
            <a:latin typeface="+mn-lt"/>
            <a:ea typeface="+mn-ea"/>
            <a:cs typeface="+mn-cs"/>
          </a:endParaRPr>
        </a:p>
        <a:p>
          <a:r>
            <a:rPr lang="en-US" sz="1100" b="1" baseline="0">
              <a:solidFill>
                <a:schemeClr val="tx1">
                  <a:lumMod val="75000"/>
                  <a:lumOff val="25000"/>
                </a:schemeClr>
              </a:solidFill>
              <a:effectLst/>
              <a:latin typeface="+mn-lt"/>
              <a:ea typeface="+mn-ea"/>
              <a:cs typeface="+mn-cs"/>
            </a:rPr>
            <a:t>Position the cursor over the 91, hold down the left mouse button, and drag down until row 99 is selected as well like shown below:</a:t>
          </a: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r>
            <a:rPr lang="en-US" sz="1100" b="1" baseline="0">
              <a:solidFill>
                <a:schemeClr val="tx1">
                  <a:lumMod val="75000"/>
                  <a:lumOff val="25000"/>
                </a:schemeClr>
              </a:solidFill>
              <a:effectLst/>
              <a:latin typeface="+mn-lt"/>
              <a:ea typeface="+mn-ea"/>
              <a:cs typeface="+mn-cs"/>
            </a:rPr>
            <a:t>Then right click the mouse, and move the cursor down to "Unhide"</a:t>
          </a: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sz="1100" b="1" baseline="0">
            <a:solidFill>
              <a:schemeClr val="tx1">
                <a:lumMod val="75000"/>
                <a:lumOff val="25000"/>
              </a:schemeClr>
            </a:solidFill>
            <a:effectLst/>
            <a:latin typeface="+mn-lt"/>
            <a:ea typeface="+mn-ea"/>
            <a:cs typeface="+mn-cs"/>
          </a:endParaRPr>
        </a:p>
        <a:p>
          <a:endParaRPr lang="en-US">
            <a:solidFill>
              <a:schemeClr val="tx1">
                <a:lumMod val="75000"/>
                <a:lumOff val="25000"/>
              </a:schemeClr>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u="none">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endParaRPr>
        </a:p>
        <a:p>
          <a:endParaRPr lang="en-US" sz="1800" b="1" u="sng">
            <a:solidFill>
              <a:srgbClr val="0000FF"/>
            </a:solidFill>
          </a:endParaRPr>
        </a:p>
        <a:p>
          <a:pPr algn="l"/>
          <a:endParaRPr lang="en-US" sz="1100" b="1" i="1" baseline="0">
            <a:solidFill>
              <a:schemeClr val="tx1">
                <a:lumMod val="75000"/>
                <a:lumOff val="25000"/>
              </a:schemeClr>
            </a:solidFill>
            <a:effectLst/>
            <a:latin typeface="+mn-lt"/>
            <a:ea typeface="+mn-ea"/>
            <a:cs typeface="+mn-cs"/>
          </a:endParaRPr>
        </a:p>
        <a:p>
          <a:pPr algn="l"/>
          <a:r>
            <a:rPr lang="en-US" sz="1050" b="1" i="0" baseline="0">
              <a:solidFill>
                <a:schemeClr val="tx1">
                  <a:lumMod val="75000"/>
                  <a:lumOff val="25000"/>
                </a:schemeClr>
              </a:solidFill>
              <a:effectLst/>
              <a:latin typeface="+mn-lt"/>
              <a:ea typeface="+mn-ea"/>
              <a:cs typeface="+mn-cs"/>
            </a:rPr>
            <a:t>The hidden rows will now be displayed as shown below. </a:t>
          </a:r>
        </a:p>
        <a:p>
          <a:pPr algn="l"/>
          <a:endParaRPr lang="en-US" sz="1050" b="1" i="0" baseline="0">
            <a:solidFill>
              <a:schemeClr val="tx1">
                <a:lumMod val="75000"/>
                <a:lumOff val="25000"/>
              </a:schemeClr>
            </a:solidFill>
            <a:effectLst/>
            <a:latin typeface="+mn-lt"/>
            <a:ea typeface="+mn-ea"/>
            <a:cs typeface="+mn-cs"/>
          </a:endParaRPr>
        </a:p>
        <a:p>
          <a:pPr algn="l"/>
          <a:r>
            <a:rPr lang="en-US" sz="1050" b="1" i="0" baseline="0">
              <a:solidFill>
                <a:schemeClr val="tx1">
                  <a:lumMod val="75000"/>
                  <a:lumOff val="25000"/>
                </a:schemeClr>
              </a:solidFill>
              <a:effectLst/>
              <a:latin typeface="+mn-lt"/>
              <a:ea typeface="+mn-ea"/>
              <a:cs typeface="+mn-cs"/>
            </a:rPr>
            <a:t>And since we're now displaying more than the 5 rows that are selected, EZ Numbers will let you know that you can hide the rows that are more than are what you selected:</a:t>
          </a: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r>
            <a:rPr lang="en-US" sz="1050" b="1" i="0" baseline="0">
              <a:solidFill>
                <a:schemeClr val="tx1">
                  <a:lumMod val="75000"/>
                  <a:lumOff val="25000"/>
                </a:schemeClr>
              </a:solidFill>
              <a:effectLst/>
              <a:latin typeface="+mn-lt"/>
              <a:ea typeface="+mn-ea"/>
              <a:cs typeface="+mn-cs"/>
            </a:rPr>
            <a:t>To hide the rows, position the cursor in this case over the number 94, left click and hold, and then drag down until the 98:</a:t>
          </a: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r>
            <a:rPr lang="en-US" sz="1050" b="1" i="0" baseline="0">
              <a:solidFill>
                <a:schemeClr val="tx1">
                  <a:lumMod val="75000"/>
                  <a:lumOff val="25000"/>
                </a:schemeClr>
              </a:solidFill>
              <a:effectLst/>
              <a:latin typeface="+mn-lt"/>
              <a:ea typeface="+mn-ea"/>
              <a:cs typeface="+mn-cs"/>
            </a:rPr>
            <a:t>Then right click and move the cursor down and select Hide:</a:t>
          </a: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r>
            <a:rPr lang="en-US" sz="1050" b="1" i="0" baseline="0">
              <a:solidFill>
                <a:srgbClr val="0000FF"/>
              </a:solidFill>
              <a:effectLst/>
              <a:latin typeface="+mn-lt"/>
              <a:ea typeface="+mn-ea"/>
              <a:cs typeface="+mn-cs"/>
            </a:rPr>
            <a:t>Financials Sheet</a:t>
          </a:r>
        </a:p>
        <a:p>
          <a:pPr algn="l"/>
          <a:r>
            <a:rPr lang="en-US" sz="1050" b="1" i="0" baseline="0">
              <a:solidFill>
                <a:schemeClr val="tx1">
                  <a:lumMod val="75000"/>
                  <a:lumOff val="25000"/>
                </a:schemeClr>
              </a:solidFill>
              <a:effectLst/>
              <a:latin typeface="+mn-lt"/>
              <a:ea typeface="+mn-ea"/>
              <a:cs typeface="+mn-cs"/>
            </a:rPr>
            <a:t>The only other sheet where you may want to Hide and Display rows is the Financials sheet.</a:t>
          </a:r>
        </a:p>
        <a:p>
          <a:pPr algn="l"/>
          <a:br>
            <a:rPr lang="en-US" sz="1050" b="1" i="0" baseline="0">
              <a:solidFill>
                <a:schemeClr val="tx1">
                  <a:lumMod val="75000"/>
                  <a:lumOff val="25000"/>
                </a:schemeClr>
              </a:solidFill>
              <a:effectLst/>
              <a:latin typeface="+mn-lt"/>
              <a:ea typeface="+mn-ea"/>
              <a:cs typeface="+mn-cs"/>
            </a:rPr>
          </a:br>
          <a:r>
            <a:rPr lang="en-US" sz="1050" b="1" i="0" baseline="0">
              <a:solidFill>
                <a:schemeClr val="tx1">
                  <a:lumMod val="75000"/>
                  <a:lumOff val="25000"/>
                </a:schemeClr>
              </a:solidFill>
              <a:effectLst/>
              <a:latin typeface="+mn-lt"/>
              <a:ea typeface="+mn-ea"/>
              <a:cs typeface="+mn-cs"/>
            </a:rPr>
            <a:t>When you see this green color on the left, it means you can hide those rows, since there are no values in those rows:</a:t>
          </a: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r>
            <a:rPr lang="en-US" sz="1050" b="1" i="0" baseline="0">
              <a:solidFill>
                <a:schemeClr val="tx1">
                  <a:lumMod val="75000"/>
                  <a:lumOff val="25000"/>
                </a:schemeClr>
              </a:solidFill>
              <a:effectLst/>
              <a:latin typeface="+mn-lt"/>
              <a:ea typeface="+mn-ea"/>
              <a:cs typeface="+mn-cs"/>
            </a:rPr>
            <a:t>Alternatively, if there are hidden rows that have values, EZ Numbers will alert you by displaying the Title and Total in red:</a:t>
          </a: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pPr algn="l"/>
          <a:endParaRPr lang="en-US" sz="1050" b="1" i="0" baseline="0">
            <a:solidFill>
              <a:schemeClr val="tx1">
                <a:lumMod val="75000"/>
                <a:lumOff val="25000"/>
              </a:schemeClr>
            </a:solidFill>
            <a:effectLst/>
            <a:latin typeface="+mn-lt"/>
            <a:ea typeface="+mn-ea"/>
            <a:cs typeface="+mn-cs"/>
          </a:endParaRPr>
        </a:p>
        <a:p>
          <a:endParaRPr lang="en-US" sz="1100" b="1" i="0" baseline="0">
            <a:solidFill>
              <a:schemeClr val="tx1">
                <a:lumMod val="75000"/>
                <a:lumOff val="25000"/>
              </a:schemeClr>
            </a:solidFill>
            <a:effectLst/>
            <a:latin typeface="+mn-lt"/>
            <a:ea typeface="+mn-ea"/>
            <a:cs typeface="+mn-cs"/>
          </a:endParaRPr>
        </a:p>
        <a:p>
          <a:endParaRPr lang="en-US" sz="1100" b="1" i="0" baseline="0">
            <a:solidFill>
              <a:schemeClr val="tx1">
                <a:lumMod val="75000"/>
                <a:lumOff val="25000"/>
              </a:schemeClr>
            </a:solidFill>
            <a:effectLst/>
            <a:latin typeface="+mn-lt"/>
            <a:ea typeface="+mn-ea"/>
            <a:cs typeface="+mn-cs"/>
          </a:endParaRPr>
        </a:p>
        <a:p>
          <a:endParaRPr lang="en-US" sz="1100" b="1" i="0" baseline="0">
            <a:solidFill>
              <a:schemeClr val="tx1">
                <a:lumMod val="75000"/>
                <a:lumOff val="25000"/>
              </a:schemeClr>
            </a:solidFill>
            <a:effectLst/>
            <a:latin typeface="+mn-lt"/>
            <a:ea typeface="+mn-ea"/>
            <a:cs typeface="+mn-cs"/>
          </a:endParaRPr>
        </a:p>
        <a:p>
          <a:endParaRPr lang="en-US" sz="1100" b="1" i="0" baseline="0">
            <a:solidFill>
              <a:schemeClr val="tx1">
                <a:lumMod val="75000"/>
                <a:lumOff val="25000"/>
              </a:schemeClr>
            </a:solidFill>
            <a:effectLst/>
            <a:latin typeface="+mn-lt"/>
            <a:ea typeface="+mn-ea"/>
            <a:cs typeface="+mn-cs"/>
          </a:endParaRPr>
        </a:p>
        <a:p>
          <a:endParaRPr lang="en-US" sz="1100" b="1" i="0" u="none" strike="noStrike" baseline="0">
            <a:solidFill>
              <a:schemeClr val="tx1">
                <a:lumMod val="75000"/>
                <a:lumOff val="25000"/>
              </a:schemeClr>
            </a:solidFill>
            <a:effectLst/>
            <a:latin typeface="+mn-lt"/>
            <a:ea typeface="+mn-ea"/>
            <a:cs typeface="+mn-cs"/>
          </a:endParaRPr>
        </a:p>
        <a:p>
          <a:endParaRPr lang="en-US" sz="1100" b="1" i="0" u="none" strike="noStrike" baseline="0">
            <a:solidFill>
              <a:schemeClr val="tx1">
                <a:lumMod val="75000"/>
                <a:lumOff val="25000"/>
              </a:schemeClr>
            </a:solidFill>
            <a:latin typeface="+mn-lt"/>
            <a:ea typeface="+mn-ea"/>
            <a:cs typeface="+mn-cs"/>
          </a:endParaRPr>
        </a:p>
        <a:p>
          <a:endParaRPr lang="en-US" sz="1100" b="1" i="0" u="none" strike="noStrike" baseline="0">
            <a:solidFill>
              <a:schemeClr val="tx1">
                <a:lumMod val="75000"/>
                <a:lumOff val="25000"/>
              </a:schemeClr>
            </a:solidFill>
            <a:latin typeface="+mn-lt"/>
            <a:ea typeface="+mn-ea"/>
            <a:cs typeface="+mn-cs"/>
          </a:endParaRPr>
        </a:p>
        <a:p>
          <a:r>
            <a:rPr lang="en-US" sz="1100" b="1" i="0" u="none" strike="noStrike" baseline="0">
              <a:solidFill>
                <a:schemeClr val="tx1">
                  <a:lumMod val="75000"/>
                  <a:lumOff val="25000"/>
                </a:schemeClr>
              </a:solidFill>
              <a:latin typeface="+mn-lt"/>
              <a:ea typeface="+mn-ea"/>
              <a:cs typeface="+mn-cs"/>
            </a:rPr>
            <a:t>-</a:t>
          </a:r>
        </a:p>
        <a:p>
          <a:endParaRPr lang="en-US" sz="1100" b="1" i="0" u="none" strike="noStrike" baseline="0">
            <a:solidFill>
              <a:schemeClr val="tx1">
                <a:lumMod val="75000"/>
                <a:lumOff val="25000"/>
              </a:schemeClr>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600" b="1" baseline="0">
              <a:solidFill>
                <a:srgbClr val="0000FF"/>
              </a:solidFill>
              <a:effectLst/>
              <a:latin typeface="+mn-lt"/>
              <a:ea typeface="+mn-ea"/>
              <a:cs typeface="+mn-cs"/>
            </a:rPr>
            <a:t>Sheet Instructions</a:t>
          </a:r>
          <a:endParaRPr lang="en-US" sz="1600">
            <a:solidFill>
              <a:srgbClr val="0000FF"/>
            </a:solidFill>
            <a:effectLst/>
          </a:endParaRPr>
        </a:p>
        <a:p>
          <a:endParaRPr lang="en-US" sz="1100" b="1" i="0" u="none" strike="noStrike" baseline="0">
            <a:solidFill>
              <a:schemeClr val="tx1">
                <a:lumMod val="75000"/>
                <a:lumOff val="25000"/>
              </a:schemeClr>
            </a:solidFill>
            <a:latin typeface="+mn-lt"/>
            <a:ea typeface="+mn-ea"/>
            <a:cs typeface="+mn-cs"/>
          </a:endParaRPr>
        </a:p>
        <a:p>
          <a:r>
            <a:rPr lang="en-US" sz="1400" b="1" i="0" u="none" strike="noStrike" baseline="0">
              <a:solidFill>
                <a:srgbClr val="0000FF"/>
              </a:solidFill>
              <a:latin typeface="+mn-lt"/>
              <a:ea typeface="+mn-ea"/>
              <a:cs typeface="+mn-cs"/>
            </a:rPr>
            <a:t>Input</a:t>
          </a:r>
        </a:p>
        <a:p>
          <a:r>
            <a:rPr lang="en-US" sz="1100" b="1" i="0" baseline="0">
              <a:solidFill>
                <a:schemeClr val="tx1"/>
              </a:solidFill>
              <a:effectLst/>
              <a:latin typeface="+mn-lt"/>
              <a:ea typeface="+mn-ea"/>
              <a:cs typeface="+mn-cs"/>
            </a:rPr>
            <a:t>As mentioned, the Input sheet is the only sheet where you need to enter your info. These are the sections on the Input sheet:</a:t>
          </a:r>
        </a:p>
        <a:p>
          <a:endParaRPr lang="en-US" sz="1100" b="1" i="0" u="none" strike="noStrike" baseline="0">
            <a:solidFill>
              <a:schemeClr val="tx1"/>
            </a:solidFill>
            <a:effectLst/>
            <a:latin typeface="+mn-lt"/>
            <a:ea typeface="+mn-ea"/>
            <a:cs typeface="+mn-cs"/>
          </a:endParaRPr>
        </a:p>
        <a:p>
          <a:r>
            <a:rPr lang="en-US" sz="1100" b="1" i="0" u="none" strike="noStrike" baseline="0">
              <a:solidFill>
                <a:schemeClr val="tx1"/>
              </a:solidFill>
              <a:effectLst/>
              <a:latin typeface="+mn-lt"/>
              <a:ea typeface="+mn-ea"/>
              <a:cs typeface="+mn-cs"/>
            </a:rPr>
            <a:t>Company</a:t>
          </a:r>
        </a:p>
        <a:p>
          <a:r>
            <a:rPr lang="en-US" sz="1100" b="1" i="0" u="none" strike="noStrike" baseline="0">
              <a:solidFill>
                <a:schemeClr val="tx1"/>
              </a:solidFill>
              <a:effectLst/>
              <a:latin typeface="+mn-lt"/>
              <a:ea typeface="+mn-ea"/>
              <a:cs typeface="+mn-cs"/>
            </a:rPr>
            <a:t>Sales</a:t>
          </a:r>
        </a:p>
        <a:p>
          <a:r>
            <a:rPr lang="en-US" sz="1100" b="1" i="0" u="none" strike="noStrike" baseline="0">
              <a:solidFill>
                <a:schemeClr val="tx1"/>
              </a:solidFill>
              <a:effectLst/>
              <a:latin typeface="+mn-lt"/>
              <a:ea typeface="+mn-ea"/>
              <a:cs typeface="+mn-cs"/>
            </a:rPr>
            <a:t>Personnel</a:t>
          </a:r>
        </a:p>
        <a:p>
          <a:r>
            <a:rPr lang="en-US" sz="1100" b="1" i="0" u="none" strike="noStrike" baseline="0">
              <a:solidFill>
                <a:schemeClr val="tx1"/>
              </a:solidFill>
              <a:effectLst/>
              <a:latin typeface="+mn-lt"/>
              <a:ea typeface="+mn-ea"/>
              <a:cs typeface="+mn-cs"/>
            </a:rPr>
            <a:t>Expenses</a:t>
          </a:r>
        </a:p>
        <a:p>
          <a:r>
            <a:rPr lang="en-US" sz="1100" b="1" i="0" u="none" strike="noStrike" baseline="0">
              <a:solidFill>
                <a:schemeClr val="tx1"/>
              </a:solidFill>
              <a:effectLst/>
              <a:latin typeface="+mn-lt"/>
              <a:ea typeface="+mn-ea"/>
              <a:cs typeface="+mn-cs"/>
            </a:rPr>
            <a:t>CapEx</a:t>
          </a:r>
        </a:p>
        <a:p>
          <a:r>
            <a:rPr lang="en-US" sz="1100" b="1" i="0" u="none" strike="noStrike" baseline="0">
              <a:solidFill>
                <a:schemeClr val="tx1"/>
              </a:solidFill>
              <a:effectLst/>
              <a:latin typeface="+mn-lt"/>
              <a:ea typeface="+mn-ea"/>
              <a:cs typeface="+mn-cs"/>
            </a:rPr>
            <a:t>Financing</a:t>
          </a:r>
        </a:p>
        <a:p>
          <a:endParaRPr lang="en-US" sz="1100" b="1" i="0" u="none" strike="noStrike" baseline="0">
            <a:solidFill>
              <a:schemeClr val="tx1"/>
            </a:solidFill>
            <a:effectLst/>
            <a:latin typeface="+mn-lt"/>
            <a:ea typeface="+mn-ea"/>
            <a:cs typeface="+mn-cs"/>
          </a:endParaRPr>
        </a:p>
        <a:p>
          <a:r>
            <a:rPr lang="en-US" sz="1100" b="1" i="0" u="none" strike="noStrike" baseline="0">
              <a:solidFill>
                <a:srgbClr val="0000FF"/>
              </a:solidFill>
              <a:effectLst/>
              <a:latin typeface="+mn-lt"/>
              <a:ea typeface="+mn-ea"/>
              <a:cs typeface="+mn-cs"/>
            </a:rPr>
            <a:t>Dashboard</a:t>
          </a:r>
        </a:p>
        <a:p>
          <a:r>
            <a:rPr lang="en-US" sz="1100" b="1" i="0" u="none" strike="noStrike" baseline="0">
              <a:solidFill>
                <a:schemeClr val="tx1"/>
              </a:solidFill>
              <a:effectLst/>
              <a:latin typeface="+mn-lt"/>
              <a:ea typeface="+mn-ea"/>
              <a:cs typeface="+mn-cs"/>
            </a:rPr>
            <a:t>Here you select Three or Five Years. </a:t>
          </a:r>
        </a:p>
        <a:p>
          <a:endParaRPr lang="en-US" sz="1100" b="1" i="0" u="none" strike="noStrike" baseline="0">
            <a:solidFill>
              <a:schemeClr val="tx1"/>
            </a:solidFill>
            <a:effectLst/>
            <a:latin typeface="+mn-lt"/>
            <a:ea typeface="+mn-ea"/>
            <a:cs typeface="+mn-cs"/>
          </a:endParaRPr>
        </a:p>
        <a:p>
          <a:r>
            <a:rPr lang="en-US" sz="1100" b="1" i="0" u="none" strike="noStrike" baseline="0">
              <a:solidFill>
                <a:schemeClr val="tx1"/>
              </a:solidFill>
              <a:effectLst/>
              <a:latin typeface="+mn-lt"/>
              <a:ea typeface="+mn-ea"/>
              <a:cs typeface="+mn-cs"/>
            </a:rPr>
            <a:t>Here's part of the magic of EZ Numbers. Because all of your input is on this sheet, and you rarely need to scroll right, You have a mini P&amp;L, Key Indicators, and Cash Flow and P&amp;L charts that you can see update in real time with every single entry you make. This real time feedback loop is a huge part of the learning process. </a:t>
          </a:r>
        </a:p>
        <a:p>
          <a:endParaRPr lang="en-US" sz="1100" b="1" i="0" u="none" strike="noStrike" baseline="0">
            <a:solidFill>
              <a:schemeClr val="tx1"/>
            </a:solidFill>
            <a:effectLst/>
            <a:latin typeface="+mn-lt"/>
            <a:ea typeface="+mn-ea"/>
            <a:cs typeface="+mn-cs"/>
          </a:endParaRPr>
        </a:p>
        <a:p>
          <a:endParaRPr lang="en-US" sz="1100" b="1" i="0" u="none" strike="noStrike" baseline="0">
            <a:solidFill>
              <a:schemeClr val="tx1"/>
            </a:solidFill>
            <a:effectLst/>
            <a:latin typeface="+mn-lt"/>
            <a:ea typeface="+mn-ea"/>
            <a:cs typeface="+mn-cs"/>
          </a:endParaRPr>
        </a:p>
        <a:p>
          <a:endParaRPr lang="en-US" sz="1100" b="1" i="0" u="none" strike="noStrike" baseline="0">
            <a:solidFill>
              <a:schemeClr val="tx1"/>
            </a:solidFill>
            <a:effectLst/>
            <a:latin typeface="+mn-lt"/>
            <a:ea typeface="+mn-ea"/>
            <a:cs typeface="+mn-cs"/>
          </a:endParaRPr>
        </a:p>
        <a:p>
          <a:endParaRPr lang="en-US" sz="1100" b="1" i="0" u="none" strike="noStrike" baseline="0">
            <a:solidFill>
              <a:schemeClr val="tx1"/>
            </a:solidFill>
            <a:effectLst/>
            <a:latin typeface="+mn-lt"/>
            <a:ea typeface="+mn-ea"/>
            <a:cs typeface="+mn-cs"/>
          </a:endParaRPr>
        </a:p>
        <a:p>
          <a:endParaRPr lang="en-US" sz="1100" b="1" i="0" u="none" strike="noStrike" baseline="0">
            <a:solidFill>
              <a:schemeClr val="tx1"/>
            </a:solidFill>
            <a:effectLst/>
            <a:latin typeface="+mn-lt"/>
            <a:ea typeface="+mn-ea"/>
            <a:cs typeface="+mn-cs"/>
          </a:endParaRPr>
        </a:p>
        <a:p>
          <a:endParaRPr lang="en-US" sz="1100" b="1" i="0" u="none" strike="noStrike" baseline="0">
            <a:solidFill>
              <a:schemeClr val="tx1"/>
            </a:solidFill>
            <a:effectLst/>
            <a:latin typeface="+mn-lt"/>
            <a:ea typeface="+mn-ea"/>
            <a:cs typeface="+mn-cs"/>
          </a:endParaRPr>
        </a:p>
        <a:p>
          <a:endParaRPr lang="en-US" sz="1100" b="1" i="0" u="none" strike="noStrike" baseline="0">
            <a:solidFill>
              <a:schemeClr val="tx1"/>
            </a:solidFill>
            <a:effectLst/>
            <a:latin typeface="+mn-lt"/>
            <a:ea typeface="+mn-ea"/>
            <a:cs typeface="+mn-cs"/>
          </a:endParaRPr>
        </a:p>
        <a:p>
          <a:endParaRPr lang="en-US" sz="1100" b="1" i="0" u="none" strike="noStrike" baseline="0">
            <a:solidFill>
              <a:schemeClr val="tx1"/>
            </a:solidFill>
            <a:effectLst/>
            <a:latin typeface="+mn-lt"/>
            <a:ea typeface="+mn-ea"/>
            <a:cs typeface="+mn-cs"/>
          </a:endParaRPr>
        </a:p>
        <a:p>
          <a:endParaRPr lang="en-US" sz="1100" b="1" i="0" u="none" strike="noStrike" baseline="0">
            <a:solidFill>
              <a:schemeClr val="tx1"/>
            </a:solidFill>
            <a:effectLst/>
            <a:latin typeface="+mn-lt"/>
            <a:ea typeface="+mn-ea"/>
            <a:cs typeface="+mn-cs"/>
          </a:endParaRPr>
        </a:p>
        <a:p>
          <a:endParaRPr lang="en-US" sz="1100" b="1" i="0" u="none" strike="noStrike" baseline="0">
            <a:solidFill>
              <a:schemeClr val="tx1"/>
            </a:solidFill>
            <a:effectLst/>
            <a:latin typeface="+mn-lt"/>
            <a:ea typeface="+mn-ea"/>
            <a:cs typeface="+mn-cs"/>
          </a:endParaRPr>
        </a:p>
        <a:p>
          <a:endParaRPr lang="en-US" sz="1100" b="1" i="0" u="none" strike="noStrike" baseline="0">
            <a:solidFill>
              <a:schemeClr val="tx1"/>
            </a:solidFill>
            <a:effectLst/>
            <a:latin typeface="+mn-lt"/>
            <a:ea typeface="+mn-ea"/>
            <a:cs typeface="+mn-cs"/>
          </a:endParaRPr>
        </a:p>
        <a:p>
          <a:endParaRPr lang="en-US" sz="1100" b="1" i="0" u="none" strike="noStrike" baseline="0">
            <a:solidFill>
              <a:schemeClr val="tx1"/>
            </a:solidFill>
            <a:effectLst/>
            <a:latin typeface="+mn-lt"/>
            <a:ea typeface="+mn-ea"/>
            <a:cs typeface="+mn-cs"/>
          </a:endParaRPr>
        </a:p>
        <a:p>
          <a:endParaRPr lang="en-US" sz="1100" b="1" i="0" u="none" strike="noStrike" baseline="0">
            <a:solidFill>
              <a:schemeClr val="tx1"/>
            </a:solidFill>
            <a:effectLst/>
            <a:latin typeface="+mn-lt"/>
            <a:ea typeface="+mn-ea"/>
            <a:cs typeface="+mn-cs"/>
          </a:endParaRPr>
        </a:p>
        <a:p>
          <a:endParaRPr lang="en-US" sz="1100" b="1" i="0" u="none" strike="noStrike" baseline="0">
            <a:solidFill>
              <a:schemeClr val="tx1"/>
            </a:solidFill>
            <a:effectLst/>
            <a:latin typeface="+mn-lt"/>
            <a:ea typeface="+mn-ea"/>
            <a:cs typeface="+mn-cs"/>
          </a:endParaRPr>
        </a:p>
        <a:p>
          <a:endParaRPr lang="en-US" sz="1100" b="1" i="0" u="none" strike="noStrike" baseline="0">
            <a:solidFill>
              <a:schemeClr val="tx1"/>
            </a:solidFill>
            <a:effectLst/>
            <a:latin typeface="+mn-lt"/>
            <a:ea typeface="+mn-ea"/>
            <a:cs typeface="+mn-cs"/>
          </a:endParaRPr>
        </a:p>
        <a:p>
          <a:endParaRPr lang="en-US" sz="1100" b="1" i="0" u="none" strike="noStrike" baseline="0">
            <a:solidFill>
              <a:schemeClr val="tx1"/>
            </a:solidFill>
            <a:effectLst/>
            <a:latin typeface="+mn-lt"/>
            <a:ea typeface="+mn-ea"/>
            <a:cs typeface="+mn-cs"/>
          </a:endParaRPr>
        </a:p>
        <a:p>
          <a:endParaRPr lang="en-US" sz="1100" b="1" i="0" u="none" strike="noStrike" baseline="0">
            <a:solidFill>
              <a:schemeClr val="tx1"/>
            </a:solidFill>
            <a:effectLst/>
            <a:latin typeface="+mn-lt"/>
            <a:ea typeface="+mn-ea"/>
            <a:cs typeface="+mn-cs"/>
          </a:endParaRPr>
        </a:p>
        <a:p>
          <a:endParaRPr lang="en-US" sz="1100" b="1" i="0" u="none" strike="noStrike" baseline="0">
            <a:solidFill>
              <a:schemeClr val="tx1"/>
            </a:solidFill>
            <a:effectLst/>
            <a:latin typeface="+mn-lt"/>
            <a:ea typeface="+mn-ea"/>
            <a:cs typeface="+mn-cs"/>
          </a:endParaRPr>
        </a:p>
        <a:p>
          <a:endParaRPr lang="en-US" sz="1100" b="1" i="0" u="none" strike="noStrike" baseline="0">
            <a:solidFill>
              <a:schemeClr val="tx1"/>
            </a:solidFill>
            <a:effectLst/>
            <a:latin typeface="+mn-lt"/>
            <a:ea typeface="+mn-ea"/>
            <a:cs typeface="+mn-cs"/>
          </a:endParaRPr>
        </a:p>
        <a:p>
          <a:endParaRPr lang="en-US" sz="1100" b="1" i="0" u="none" strike="noStrike" baseline="0">
            <a:solidFill>
              <a:schemeClr val="tx1"/>
            </a:solidFill>
            <a:effectLst/>
            <a:latin typeface="+mn-lt"/>
            <a:ea typeface="+mn-ea"/>
            <a:cs typeface="+mn-cs"/>
          </a:endParaRPr>
        </a:p>
        <a:p>
          <a:endParaRPr lang="en-US" sz="1100" b="1" i="0" u="none" strike="noStrike" baseline="0">
            <a:solidFill>
              <a:schemeClr val="tx1"/>
            </a:solidFill>
            <a:effectLst/>
            <a:latin typeface="+mn-lt"/>
            <a:ea typeface="+mn-ea"/>
            <a:cs typeface="+mn-cs"/>
          </a:endParaRPr>
        </a:p>
        <a:p>
          <a:endParaRPr lang="en-US" sz="1100" b="1" i="0" u="none" strike="noStrike" baseline="0">
            <a:solidFill>
              <a:schemeClr val="tx1"/>
            </a:solidFill>
            <a:effectLst/>
            <a:latin typeface="+mn-lt"/>
            <a:ea typeface="+mn-ea"/>
            <a:cs typeface="+mn-cs"/>
          </a:endParaRPr>
        </a:p>
        <a:p>
          <a:endParaRPr lang="en-US" sz="1100" b="1" i="0" u="none" strike="noStrike" baseline="0">
            <a:solidFill>
              <a:schemeClr val="tx1"/>
            </a:solidFill>
            <a:effectLst/>
            <a:latin typeface="+mn-lt"/>
            <a:ea typeface="+mn-ea"/>
            <a:cs typeface="+mn-cs"/>
          </a:endParaRPr>
        </a:p>
        <a:p>
          <a:endParaRPr lang="en-US" sz="1400" b="1" i="0" u="none" strike="noStrike" baseline="0">
            <a:solidFill>
              <a:srgbClr val="0000FF"/>
            </a:solidFill>
            <a:latin typeface="+mn-lt"/>
            <a:ea typeface="+mn-ea"/>
            <a:cs typeface="+mn-cs"/>
          </a:endParaRPr>
        </a:p>
        <a:p>
          <a:r>
            <a:rPr lang="en-US" sz="1400" b="1" i="0" u="none" strike="noStrike" baseline="0">
              <a:solidFill>
                <a:srgbClr val="0000FF"/>
              </a:solidFill>
              <a:latin typeface="+mn-lt"/>
              <a:ea typeface="+mn-ea"/>
              <a:cs typeface="+mn-cs"/>
            </a:rPr>
            <a:t>Section Instructions</a:t>
          </a:r>
        </a:p>
        <a:p>
          <a:endParaRPr lang="en-US" sz="1100" b="1" i="0" u="none" strike="noStrike" baseline="0">
            <a:solidFill>
              <a:schemeClr val="tx1">
                <a:lumMod val="75000"/>
                <a:lumOff val="25000"/>
              </a:schemeClr>
            </a:solidFill>
            <a:latin typeface="+mn-lt"/>
            <a:ea typeface="+mn-ea"/>
            <a:cs typeface="+mn-cs"/>
          </a:endParaRPr>
        </a:p>
        <a:p>
          <a:endParaRPr lang="en-US" sz="1100" b="1" i="0" u="none" strike="noStrike" baseline="0">
            <a:solidFill>
              <a:schemeClr val="tx1">
                <a:lumMod val="75000"/>
                <a:lumOff val="25000"/>
              </a:schemeClr>
            </a:solidFill>
            <a:latin typeface="+mn-lt"/>
            <a:ea typeface="+mn-ea"/>
            <a:cs typeface="+mn-cs"/>
          </a:endParaRPr>
        </a:p>
        <a:p>
          <a:endParaRPr lang="en-US" sz="1100" b="1" i="0" u="none" strike="noStrike" baseline="0">
            <a:solidFill>
              <a:schemeClr val="tx1">
                <a:lumMod val="75000"/>
                <a:lumOff val="25000"/>
              </a:schemeClr>
            </a:solidFill>
            <a:latin typeface="+mn-lt"/>
            <a:ea typeface="+mn-ea"/>
            <a:cs typeface="+mn-cs"/>
          </a:endParaRPr>
        </a:p>
        <a:p>
          <a:endParaRPr lang="en-US" sz="1100" b="1" i="0" u="none" strike="noStrike" baseline="0">
            <a:solidFill>
              <a:schemeClr val="tx1">
                <a:lumMod val="75000"/>
                <a:lumOff val="25000"/>
              </a:schemeClr>
            </a:solidFill>
            <a:latin typeface="+mn-lt"/>
            <a:ea typeface="+mn-ea"/>
            <a:cs typeface="+mn-cs"/>
          </a:endParaRPr>
        </a:p>
        <a:p>
          <a:endParaRPr lang="en-US" sz="1100" b="1" i="0" u="none" strike="noStrike" baseline="0">
            <a:solidFill>
              <a:schemeClr val="tx1">
                <a:lumMod val="75000"/>
                <a:lumOff val="25000"/>
              </a:schemeClr>
            </a:solidFill>
            <a:latin typeface="+mn-lt"/>
            <a:ea typeface="+mn-ea"/>
            <a:cs typeface="+mn-cs"/>
          </a:endParaRPr>
        </a:p>
        <a:p>
          <a:endParaRPr lang="en-US" sz="1100" b="1" i="0" u="none" strike="noStrike" baseline="0">
            <a:solidFill>
              <a:schemeClr val="tx1">
                <a:lumMod val="75000"/>
                <a:lumOff val="25000"/>
              </a:schemeClr>
            </a:solidFill>
            <a:latin typeface="+mn-lt"/>
            <a:ea typeface="+mn-ea"/>
            <a:cs typeface="+mn-cs"/>
          </a:endParaRPr>
        </a:p>
        <a:p>
          <a:endParaRPr lang="en-US" sz="1100" b="1" i="0" u="none" strike="noStrike" baseline="0">
            <a:solidFill>
              <a:schemeClr val="tx1">
                <a:lumMod val="75000"/>
                <a:lumOff val="25000"/>
              </a:schemeClr>
            </a:solidFill>
            <a:latin typeface="+mn-lt"/>
            <a:ea typeface="+mn-ea"/>
            <a:cs typeface="+mn-cs"/>
          </a:endParaRPr>
        </a:p>
        <a:p>
          <a:endParaRPr lang="en-US" sz="1100" b="1" i="0" u="none" strike="noStrike" baseline="0">
            <a:solidFill>
              <a:schemeClr val="tx1">
                <a:lumMod val="75000"/>
                <a:lumOff val="25000"/>
              </a:schemeClr>
            </a:solidFill>
            <a:latin typeface="+mn-lt"/>
            <a:ea typeface="+mn-ea"/>
            <a:cs typeface="+mn-cs"/>
          </a:endParaRPr>
        </a:p>
        <a:p>
          <a:endParaRPr lang="en-US" sz="1100" b="1" i="0" u="none" strike="noStrike" baseline="0">
            <a:solidFill>
              <a:schemeClr val="tx1">
                <a:lumMod val="75000"/>
                <a:lumOff val="25000"/>
              </a:schemeClr>
            </a:solidFill>
            <a:latin typeface="+mn-lt"/>
            <a:ea typeface="+mn-ea"/>
            <a:cs typeface="+mn-cs"/>
          </a:endParaRPr>
        </a:p>
        <a:p>
          <a:endParaRPr lang="en-US" sz="1100" b="1" i="0" u="none" strike="noStrike" baseline="0">
            <a:solidFill>
              <a:schemeClr val="tx1">
                <a:lumMod val="75000"/>
                <a:lumOff val="25000"/>
              </a:schemeClr>
            </a:solidFill>
            <a:latin typeface="+mn-lt"/>
            <a:ea typeface="+mn-ea"/>
            <a:cs typeface="+mn-cs"/>
          </a:endParaRPr>
        </a:p>
        <a:p>
          <a:endParaRPr lang="en-US" sz="1100" b="1" i="0" u="none" strike="noStrike" baseline="0">
            <a:solidFill>
              <a:schemeClr val="tx1">
                <a:lumMod val="75000"/>
                <a:lumOff val="25000"/>
              </a:schemeClr>
            </a:solidFill>
            <a:latin typeface="+mn-lt"/>
            <a:ea typeface="+mn-ea"/>
            <a:cs typeface="+mn-cs"/>
          </a:endParaRPr>
        </a:p>
        <a:p>
          <a:endParaRPr lang="en-US" sz="1100" b="1" i="0" u="none" strike="noStrike" baseline="0">
            <a:solidFill>
              <a:schemeClr val="tx1">
                <a:lumMod val="75000"/>
                <a:lumOff val="25000"/>
              </a:schemeClr>
            </a:solidFill>
            <a:latin typeface="+mn-lt"/>
            <a:ea typeface="+mn-ea"/>
            <a:cs typeface="+mn-cs"/>
          </a:endParaRPr>
        </a:p>
        <a:p>
          <a:endParaRPr lang="en-US" sz="1100" b="1" i="0" u="none" strike="noStrike" baseline="0">
            <a:solidFill>
              <a:schemeClr val="tx1">
                <a:lumMod val="75000"/>
                <a:lumOff val="25000"/>
              </a:schemeClr>
            </a:solidFill>
            <a:latin typeface="+mn-lt"/>
            <a:ea typeface="+mn-ea"/>
            <a:cs typeface="+mn-cs"/>
          </a:endParaRPr>
        </a:p>
        <a:p>
          <a:endParaRPr lang="en-US" sz="1100" b="1" i="0" u="none" strike="noStrike" baseline="0">
            <a:solidFill>
              <a:schemeClr val="tx1">
                <a:lumMod val="75000"/>
                <a:lumOff val="25000"/>
              </a:schemeClr>
            </a:solidFill>
            <a:latin typeface="+mn-lt"/>
            <a:ea typeface="+mn-ea"/>
            <a:cs typeface="+mn-cs"/>
          </a:endParaRPr>
        </a:p>
        <a:p>
          <a:endParaRPr lang="en-US" sz="1100" b="1" i="0" u="none" strike="noStrike" baseline="0">
            <a:solidFill>
              <a:schemeClr val="tx1">
                <a:lumMod val="75000"/>
                <a:lumOff val="25000"/>
              </a:schemeClr>
            </a:solidFill>
            <a:latin typeface="+mn-lt"/>
            <a:ea typeface="+mn-ea"/>
            <a:cs typeface="+mn-cs"/>
          </a:endParaRPr>
        </a:p>
        <a:p>
          <a:endParaRPr lang="en-US" sz="1100" b="1" i="0" u="none" strike="noStrike" baseline="0">
            <a:solidFill>
              <a:schemeClr val="tx1">
                <a:lumMod val="75000"/>
                <a:lumOff val="25000"/>
              </a:schemeClr>
            </a:solidFill>
            <a:latin typeface="+mn-lt"/>
            <a:ea typeface="+mn-ea"/>
            <a:cs typeface="+mn-cs"/>
          </a:endParaRPr>
        </a:p>
        <a:p>
          <a:endParaRPr lang="en-US" sz="1100" b="1" i="0" u="none" strike="noStrike" baseline="0">
            <a:solidFill>
              <a:schemeClr val="tx1">
                <a:lumMod val="75000"/>
                <a:lumOff val="25000"/>
              </a:schemeClr>
            </a:solidFill>
            <a:latin typeface="+mn-lt"/>
            <a:ea typeface="+mn-ea"/>
            <a:cs typeface="+mn-cs"/>
          </a:endParaRPr>
        </a:p>
        <a:p>
          <a:endParaRPr lang="en-US" sz="1100" b="1" i="0" u="none" strike="noStrike" baseline="0">
            <a:solidFill>
              <a:schemeClr val="tx1">
                <a:lumMod val="75000"/>
                <a:lumOff val="25000"/>
              </a:schemeClr>
            </a:solidFill>
            <a:latin typeface="+mn-lt"/>
            <a:ea typeface="+mn-ea"/>
            <a:cs typeface="+mn-cs"/>
          </a:endParaRPr>
        </a:p>
        <a:p>
          <a:endParaRPr lang="en-US" sz="1100" b="1" i="0" u="none" strike="noStrike" baseline="0">
            <a:solidFill>
              <a:schemeClr val="tx1">
                <a:lumMod val="75000"/>
                <a:lumOff val="25000"/>
              </a:schemeClr>
            </a:solidFill>
            <a:latin typeface="+mn-lt"/>
            <a:ea typeface="+mn-ea"/>
            <a:cs typeface="+mn-cs"/>
          </a:endParaRPr>
        </a:p>
        <a:p>
          <a:endParaRPr lang="en-US" sz="1100" b="1" i="0" u="none" strike="noStrike" baseline="0">
            <a:solidFill>
              <a:schemeClr val="tx1">
                <a:lumMod val="75000"/>
                <a:lumOff val="25000"/>
              </a:schemeClr>
            </a:solidFill>
            <a:latin typeface="+mn-lt"/>
            <a:ea typeface="+mn-ea"/>
            <a:cs typeface="+mn-cs"/>
          </a:endParaRPr>
        </a:p>
        <a:p>
          <a:r>
            <a:rPr lang="en-US" sz="1100" b="1" i="0" u="none" strike="noStrike" baseline="0">
              <a:solidFill>
                <a:srgbClr val="0000FF"/>
              </a:solidFill>
              <a:latin typeface="+mn-lt"/>
              <a:ea typeface="+mn-ea"/>
              <a:cs typeface="+mn-cs"/>
            </a:rPr>
            <a:t>Company Notes:</a:t>
          </a:r>
        </a:p>
        <a:p>
          <a:r>
            <a:rPr lang="en-US" sz="1100" b="1" i="0" u="none" strike="noStrike" baseline="0">
              <a:solidFill>
                <a:schemeClr val="tx1">
                  <a:lumMod val="75000"/>
                  <a:lumOff val="25000"/>
                </a:schemeClr>
              </a:solidFill>
              <a:latin typeface="+mn-lt"/>
              <a:ea typeface="+mn-ea"/>
              <a:cs typeface="+mn-cs"/>
            </a:rPr>
            <a:t>*You can select any month to start your projections. People often make it coincide with when they start making revenue. You can summarize all transactions prior to this in the Historicals section. The later you make the Start Month, the more growth you can capture in your projections period. </a:t>
          </a:r>
        </a:p>
        <a:p>
          <a:r>
            <a:rPr lang="en-US" sz="1100" b="1" i="0" u="none" strike="noStrike" baseline="0">
              <a:solidFill>
                <a:schemeClr val="tx1">
                  <a:lumMod val="75000"/>
                  <a:lumOff val="25000"/>
                </a:schemeClr>
              </a:solidFill>
              <a:latin typeface="+mn-lt"/>
              <a:ea typeface="+mn-ea"/>
              <a:cs typeface="+mn-cs"/>
            </a:rPr>
            <a:t>*You can toggle between Three and Five Years. It's hard enough to predict what will happen in the next three years, all the more to have a good idea what will happen beyond that. </a:t>
          </a:r>
        </a:p>
        <a:p>
          <a:endParaRPr lang="en-US" sz="1100" b="1" i="0" u="none" strike="noStrike" baseline="0">
            <a:solidFill>
              <a:schemeClr val="tx1">
                <a:lumMod val="75000"/>
                <a:lumOff val="25000"/>
              </a:schemeClr>
            </a:solidFill>
            <a:latin typeface="+mn-lt"/>
            <a:ea typeface="+mn-ea"/>
            <a:cs typeface="+mn-cs"/>
          </a:endParaRPr>
        </a:p>
        <a:p>
          <a:pPr algn="ctr"/>
          <a:r>
            <a:rPr lang="en-US" sz="1100" b="1" i="1" u="none" strike="noStrike" baseline="0">
              <a:solidFill>
                <a:srgbClr val="0000FF"/>
              </a:solidFill>
              <a:latin typeface="+mn-lt"/>
              <a:ea typeface="+mn-ea"/>
              <a:cs typeface="+mn-cs"/>
            </a:rPr>
            <a:t>Lenders typically only need three years, investors often want five years.</a:t>
          </a:r>
        </a:p>
        <a:p>
          <a:endParaRPr lang="en-US" sz="1100" b="1" i="0" u="none" strike="noStrike" baseline="0">
            <a:solidFill>
              <a:schemeClr val="tx1">
                <a:lumMod val="75000"/>
                <a:lumOff val="25000"/>
              </a:schemeClr>
            </a:solidFill>
            <a:latin typeface="+mn-lt"/>
            <a:ea typeface="+mn-ea"/>
            <a:cs typeface="+mn-cs"/>
          </a:endParaRPr>
        </a:p>
        <a:p>
          <a:r>
            <a:rPr lang="en-US" sz="1100" b="1" i="0" u="none" strike="noStrike" baseline="0">
              <a:solidFill>
                <a:schemeClr val="tx1">
                  <a:lumMod val="75000"/>
                  <a:lumOff val="25000"/>
                </a:schemeClr>
              </a:solidFill>
              <a:latin typeface="+mn-lt"/>
              <a:ea typeface="+mn-ea"/>
              <a:cs typeface="+mn-cs"/>
            </a:rPr>
            <a:t>*EZ Numbers lets you pick between four different types of entity. C Corps is the only taxed entity. The other difference is the labels on the Balance Sheet and Cash Flow statements.</a:t>
          </a:r>
        </a:p>
        <a:p>
          <a:endParaRPr lang="en-US" sz="1100" b="1" i="0" u="none" strike="noStrike" baseline="0">
            <a:solidFill>
              <a:schemeClr val="tx1">
                <a:lumMod val="75000"/>
                <a:lumOff val="25000"/>
              </a:schemeClr>
            </a:solidFill>
            <a:latin typeface="+mn-lt"/>
            <a:ea typeface="+mn-ea"/>
            <a:cs typeface="+mn-cs"/>
          </a:endParaRPr>
        </a:p>
        <a:p>
          <a:r>
            <a:rPr lang="en-US" sz="1100" b="1" i="0" u="none" strike="noStrike" baseline="0">
              <a:solidFill>
                <a:schemeClr val="tx1">
                  <a:lumMod val="75000"/>
                  <a:lumOff val="25000"/>
                </a:schemeClr>
              </a:solidFill>
              <a:latin typeface="+mn-lt"/>
              <a:ea typeface="+mn-ea"/>
              <a:cs typeface="+mn-cs"/>
            </a:rPr>
            <a:t>C Corp - Stockholders, Equity</a:t>
          </a:r>
        </a:p>
        <a:p>
          <a:r>
            <a:rPr lang="en-US" sz="1100" b="1" i="0" u="none" strike="noStrike" baseline="0">
              <a:solidFill>
                <a:schemeClr val="tx1">
                  <a:lumMod val="75000"/>
                  <a:lumOff val="25000"/>
                </a:schemeClr>
              </a:solidFill>
              <a:latin typeface="+mn-lt"/>
              <a:ea typeface="+mn-ea"/>
              <a:cs typeface="+mn-cs"/>
            </a:rPr>
            <a:t>S Corp - Shareholders, Equity</a:t>
          </a:r>
        </a:p>
        <a:p>
          <a:r>
            <a:rPr lang="en-US" sz="1100" b="1" i="0" u="none" strike="noStrike" baseline="0">
              <a:solidFill>
                <a:schemeClr val="tx1">
                  <a:lumMod val="75000"/>
                  <a:lumOff val="25000"/>
                </a:schemeClr>
              </a:solidFill>
              <a:latin typeface="+mn-lt"/>
              <a:ea typeface="+mn-ea"/>
              <a:cs typeface="+mn-cs"/>
            </a:rPr>
            <a:t>LLC - Members, Capital</a:t>
          </a:r>
        </a:p>
        <a:p>
          <a:r>
            <a:rPr lang="en-US" sz="1100" b="1" i="0" u="none" strike="noStrike" baseline="0">
              <a:solidFill>
                <a:schemeClr val="tx1">
                  <a:lumMod val="75000"/>
                  <a:lumOff val="25000"/>
                </a:schemeClr>
              </a:solidFill>
              <a:latin typeface="+mn-lt"/>
              <a:ea typeface="+mn-ea"/>
              <a:cs typeface="+mn-cs"/>
            </a:rPr>
            <a:t>Non-Profit - Equity</a:t>
          </a:r>
        </a:p>
        <a:p>
          <a:endParaRPr lang="en-US" sz="1100" b="1" i="0" u="none" strike="noStrike" baseline="0">
            <a:solidFill>
              <a:schemeClr val="tx1">
                <a:lumMod val="75000"/>
                <a:lumOff val="25000"/>
              </a:schemeClr>
            </a:solidFill>
            <a:latin typeface="+mn-lt"/>
            <a:ea typeface="+mn-ea"/>
            <a:cs typeface="+mn-cs"/>
          </a:endParaRPr>
        </a:p>
        <a:p>
          <a:r>
            <a:rPr lang="en-US" sz="1100" b="1" i="0" u="none" strike="noStrike" baseline="0">
              <a:solidFill>
                <a:srgbClr val="0000FF"/>
              </a:solidFill>
              <a:latin typeface="+mn-lt"/>
              <a:ea typeface="+mn-ea"/>
              <a:cs typeface="+mn-cs"/>
            </a:rPr>
            <a:t>Notes on Non-Profits</a:t>
          </a:r>
        </a:p>
        <a:p>
          <a:r>
            <a:rPr lang="en-US" sz="1100" b="1" i="0" u="none" strike="noStrike" baseline="0">
              <a:solidFill>
                <a:schemeClr val="tx1">
                  <a:lumMod val="75000"/>
                  <a:lumOff val="25000"/>
                </a:schemeClr>
              </a:solidFill>
              <a:latin typeface="+mn-lt"/>
              <a:ea typeface="+mn-ea"/>
              <a:cs typeface="+mn-cs"/>
            </a:rPr>
            <a:t>Not all non-profits are tax exempt, but EZ Numbers assumes that your non-profit is tax exempt.</a:t>
          </a:r>
        </a:p>
        <a:p>
          <a:endParaRPr lang="en-US" sz="1100" b="1" i="0" u="none" strike="noStrike" baseline="0">
            <a:solidFill>
              <a:schemeClr val="tx1">
                <a:lumMod val="75000"/>
                <a:lumOff val="25000"/>
              </a:schemeClr>
            </a:solidFill>
            <a:latin typeface="+mn-lt"/>
            <a:ea typeface="+mn-ea"/>
            <a:cs typeface="+mn-cs"/>
          </a:endParaRPr>
        </a:p>
        <a:p>
          <a:r>
            <a:rPr lang="en-US" sz="1100" b="1" i="0" u="none" strike="noStrike" baseline="0">
              <a:solidFill>
                <a:schemeClr val="tx1">
                  <a:lumMod val="75000"/>
                  <a:lumOff val="25000"/>
                </a:schemeClr>
              </a:solidFill>
              <a:latin typeface="+mn-lt"/>
              <a:ea typeface="+mn-ea"/>
              <a:cs typeface="+mn-cs"/>
            </a:rPr>
            <a:t>There are a lot of misconceptions about non-profits. All businesses, whether for profit or non-profit, need cash. Many non-profits don't only get donations, they have sales and generate revenue. The day-to-day operations can be very similar. Tne name "Non-Profit" is I feel misleading, as non-profits do indeed attempt to generate Profit, or Net Income. A more accurate name would be "Non-Owner," as the only real difference (apart from potential tax exemption) is that the profits don't belong to the shareholders, because there are no shareholders. All profits stay in the entity.</a:t>
          </a:r>
        </a:p>
        <a:p>
          <a:endParaRPr lang="en-US" sz="1100" b="1" i="0" u="none" strike="noStrike" baseline="0">
            <a:solidFill>
              <a:srgbClr val="0000FF"/>
            </a:solidFill>
            <a:latin typeface="+mn-lt"/>
            <a:ea typeface="+mn-ea"/>
            <a:cs typeface="+mn-cs"/>
          </a:endParaRPr>
        </a:p>
        <a:p>
          <a:r>
            <a:rPr lang="en-US" sz="1100" b="1" i="0" u="none" strike="noStrike" baseline="0">
              <a:solidFill>
                <a:srgbClr val="0000FF"/>
              </a:solidFill>
              <a:latin typeface="+mn-lt"/>
              <a:ea typeface="+mn-ea"/>
              <a:cs typeface="+mn-cs"/>
            </a:rPr>
            <a:t>Not sure whether to create a for profit or non-profit?</a:t>
          </a:r>
        </a:p>
        <a:p>
          <a:r>
            <a:rPr lang="en-US" sz="1100" b="1" i="0" u="none" strike="noStrike" baseline="0">
              <a:solidFill>
                <a:schemeClr val="tx1">
                  <a:lumMod val="75000"/>
                  <a:lumOff val="25000"/>
                </a:schemeClr>
              </a:solidFill>
              <a:latin typeface="+mn-lt"/>
              <a:ea typeface="+mn-ea"/>
              <a:cs typeface="+mn-cs"/>
            </a:rPr>
            <a:t>For profits and non-profits do the same two things, but in reverse order.</a:t>
          </a:r>
        </a:p>
        <a:p>
          <a:endParaRPr lang="en-US" sz="1100" b="1" i="0" u="none" strike="noStrike" baseline="0">
            <a:solidFill>
              <a:schemeClr val="tx1">
                <a:lumMod val="75000"/>
                <a:lumOff val="25000"/>
              </a:schemeClr>
            </a:solidFill>
            <a:latin typeface="+mn-lt"/>
            <a:ea typeface="+mn-ea"/>
            <a:cs typeface="+mn-cs"/>
          </a:endParaRPr>
        </a:p>
        <a:p>
          <a:r>
            <a:rPr lang="en-US" sz="1100" b="1" i="0" u="none" strike="noStrike" baseline="0">
              <a:solidFill>
                <a:srgbClr val="0000FF"/>
              </a:solidFill>
              <a:latin typeface="+mn-lt"/>
              <a:ea typeface="+mn-ea"/>
              <a:cs typeface="+mn-cs"/>
            </a:rPr>
            <a:t>For Profits</a:t>
          </a:r>
        </a:p>
        <a:p>
          <a:r>
            <a:rPr lang="en-US" sz="1100" b="1" i="0" u="none" strike="noStrike" baseline="0">
              <a:solidFill>
                <a:schemeClr val="tx1">
                  <a:lumMod val="75000"/>
                  <a:lumOff val="25000"/>
                </a:schemeClr>
              </a:solidFill>
              <a:latin typeface="+mn-lt"/>
              <a:ea typeface="+mn-ea"/>
              <a:cs typeface="+mn-cs"/>
            </a:rPr>
            <a:t>Solve a problem to make money.</a:t>
          </a:r>
        </a:p>
        <a:p>
          <a:endParaRPr lang="en-US" sz="1100" b="1" i="0" u="none" strike="noStrike" baseline="0">
            <a:solidFill>
              <a:schemeClr val="tx1">
                <a:lumMod val="75000"/>
                <a:lumOff val="25000"/>
              </a:schemeClr>
            </a:solidFill>
            <a:latin typeface="+mn-lt"/>
            <a:ea typeface="+mn-ea"/>
            <a:cs typeface="+mn-cs"/>
          </a:endParaRPr>
        </a:p>
        <a:p>
          <a:r>
            <a:rPr lang="en-US" sz="1100" b="1" i="0" u="none" strike="noStrike" baseline="0">
              <a:solidFill>
                <a:srgbClr val="0000FF"/>
              </a:solidFill>
              <a:latin typeface="+mn-lt"/>
              <a:ea typeface="+mn-ea"/>
              <a:cs typeface="+mn-cs"/>
            </a:rPr>
            <a:t>Non-Profits</a:t>
          </a:r>
        </a:p>
        <a:p>
          <a:r>
            <a:rPr lang="en-US" sz="1100" b="1" i="0" u="none" strike="noStrike" baseline="0">
              <a:solidFill>
                <a:schemeClr val="tx1">
                  <a:lumMod val="75000"/>
                  <a:lumOff val="25000"/>
                </a:schemeClr>
              </a:solidFill>
              <a:latin typeface="+mn-lt"/>
              <a:ea typeface="+mn-ea"/>
              <a:cs typeface="+mn-cs"/>
            </a:rPr>
            <a:t>Raise money to solve a problem. </a:t>
          </a:r>
        </a:p>
        <a:p>
          <a:endParaRPr lang="en-US" sz="1100" b="1" i="0" u="none" strike="noStrike" baseline="0">
            <a:solidFill>
              <a:schemeClr val="tx1">
                <a:lumMod val="75000"/>
                <a:lumOff val="25000"/>
              </a:schemeClr>
            </a:solidFill>
            <a:latin typeface="+mn-lt"/>
            <a:ea typeface="+mn-ea"/>
            <a:cs typeface="+mn-cs"/>
          </a:endParaRPr>
        </a:p>
        <a:p>
          <a:endParaRPr lang="en-US" sz="1100" b="1" i="0" u="none" strike="noStrike" baseline="0">
            <a:solidFill>
              <a:schemeClr val="tx1">
                <a:lumMod val="75000"/>
                <a:lumOff val="25000"/>
              </a:schemeClr>
            </a:solidFill>
            <a:latin typeface="+mn-lt"/>
            <a:ea typeface="+mn-ea"/>
            <a:cs typeface="+mn-cs"/>
          </a:endParaRPr>
        </a:p>
        <a:p>
          <a:r>
            <a:rPr lang="en-US" sz="1400" b="1" i="0" u="none" strike="noStrike" baseline="0">
              <a:solidFill>
                <a:srgbClr val="0000FF"/>
              </a:solidFill>
              <a:latin typeface="+mn-lt"/>
              <a:ea typeface="+mn-ea"/>
              <a:cs typeface="+mn-cs"/>
            </a:rPr>
            <a:t>Historicals</a:t>
          </a:r>
        </a:p>
        <a:p>
          <a:r>
            <a:rPr lang="en-US" sz="1100" b="1" i="0" u="none" strike="noStrike" baseline="0">
              <a:solidFill>
                <a:schemeClr val="tx1">
                  <a:lumMod val="75000"/>
                  <a:lumOff val="25000"/>
                </a:schemeClr>
              </a:solidFill>
              <a:latin typeface="+mn-lt"/>
              <a:ea typeface="+mn-ea"/>
              <a:cs typeface="+mn-cs"/>
            </a:rPr>
            <a:t>This is where all your transactions go that occur before the start of your projections. You only need to make entries in the blue cells. The other ones are automatic - for instance, if you enter a loan or investment, you can select a month before your Start Month, and the current amounts in the month before your Start Month will populate automatically here in Historicals.</a:t>
          </a:r>
        </a:p>
        <a:p>
          <a:endParaRPr lang="en-US" sz="1100" b="1" i="0" u="none" strike="noStrike" baseline="0">
            <a:solidFill>
              <a:schemeClr val="tx1">
                <a:lumMod val="75000"/>
                <a:lumOff val="25000"/>
              </a:schemeClr>
            </a:solidFill>
            <a:latin typeface="+mn-lt"/>
            <a:ea typeface="+mn-ea"/>
            <a:cs typeface="+mn-cs"/>
          </a:endParaRPr>
        </a:p>
        <a:p>
          <a:r>
            <a:rPr lang="en-US" sz="1100" b="1" i="0" u="none" strike="noStrike" baseline="0">
              <a:solidFill>
                <a:schemeClr val="tx1">
                  <a:lumMod val="75000"/>
                  <a:lumOff val="25000"/>
                </a:schemeClr>
              </a:solidFill>
              <a:latin typeface="+mn-lt"/>
              <a:ea typeface="+mn-ea"/>
              <a:cs typeface="+mn-cs"/>
            </a:rPr>
            <a:t>The other handy feature is that just like with the Balance Sheet on the Financials sheet in your projections period, the EZ Numbers Historicals Balance Sheet will balance automatically after you've made your entries.</a:t>
          </a:r>
        </a:p>
        <a:p>
          <a:endParaRPr lang="en-US" sz="1100" b="1" i="0" u="none" strike="noStrike" baseline="0">
            <a:solidFill>
              <a:schemeClr val="tx1">
                <a:lumMod val="75000"/>
                <a:lumOff val="25000"/>
              </a:schemeClr>
            </a:solidFill>
            <a:latin typeface="+mn-lt"/>
            <a:ea typeface="+mn-ea"/>
            <a:cs typeface="+mn-cs"/>
          </a:endParaRPr>
        </a:p>
        <a:p>
          <a:r>
            <a:rPr lang="en-US" sz="1100" b="1" i="0" u="none" strike="noStrike" baseline="0">
              <a:solidFill>
                <a:schemeClr val="tx1">
                  <a:lumMod val="75000"/>
                  <a:lumOff val="25000"/>
                </a:schemeClr>
              </a:solidFill>
              <a:latin typeface="+mn-lt"/>
              <a:ea typeface="+mn-ea"/>
              <a:cs typeface="+mn-cs"/>
            </a:rPr>
            <a:t>If you don't understand the items on this Balance Sheet, please review the Accounting section.</a:t>
          </a:r>
        </a:p>
        <a:p>
          <a:endParaRPr lang="en-US" sz="1100" b="1" i="0" u="none" strike="noStrike" baseline="0">
            <a:solidFill>
              <a:schemeClr val="tx1">
                <a:lumMod val="75000"/>
                <a:lumOff val="25000"/>
              </a:schemeClr>
            </a:solidFill>
            <a:latin typeface="+mn-lt"/>
            <a:ea typeface="+mn-ea"/>
            <a:cs typeface="+mn-cs"/>
          </a:endParaRPr>
        </a:p>
        <a:p>
          <a:endParaRPr lang="en-US" sz="1100" b="1" i="0" u="none" strike="noStrike" baseline="0">
            <a:solidFill>
              <a:schemeClr val="tx1">
                <a:lumMod val="75000"/>
                <a:lumOff val="25000"/>
              </a:schemeClr>
            </a:solidFill>
            <a:latin typeface="+mn-lt"/>
            <a:ea typeface="+mn-ea"/>
            <a:cs typeface="+mn-cs"/>
          </a:endParaRPr>
        </a:p>
        <a:p>
          <a:endParaRPr lang="en-US" sz="1100" b="1" i="0" u="none" strike="noStrike" baseline="0">
            <a:solidFill>
              <a:schemeClr val="tx1">
                <a:lumMod val="75000"/>
                <a:lumOff val="25000"/>
              </a:schemeClr>
            </a:solidFill>
            <a:latin typeface="+mn-lt"/>
            <a:ea typeface="+mn-ea"/>
            <a:cs typeface="+mn-cs"/>
          </a:endParaRPr>
        </a:p>
        <a:p>
          <a:endParaRPr lang="en-US" sz="1100" b="1" i="0" u="none" strike="noStrike" baseline="0">
            <a:solidFill>
              <a:schemeClr val="tx1">
                <a:lumMod val="75000"/>
                <a:lumOff val="25000"/>
              </a:schemeClr>
            </a:solidFill>
            <a:latin typeface="+mn-lt"/>
            <a:ea typeface="+mn-ea"/>
            <a:cs typeface="+mn-cs"/>
          </a:endParaRPr>
        </a:p>
      </xdr:txBody>
    </xdr:sp>
    <xdr:clientData/>
  </xdr:twoCellAnchor>
  <xdr:twoCellAnchor>
    <xdr:from>
      <xdr:col>30</xdr:col>
      <xdr:colOff>533400</xdr:colOff>
      <xdr:row>22</xdr:row>
      <xdr:rowOff>57150</xdr:rowOff>
    </xdr:from>
    <xdr:to>
      <xdr:col>39</xdr:col>
      <xdr:colOff>180333</xdr:colOff>
      <xdr:row>26</xdr:row>
      <xdr:rowOff>152293</xdr:rowOff>
    </xdr:to>
    <xdr:pic>
      <xdr:nvPicPr>
        <xdr:cNvPr id="8" name="Picture 7">
          <a:extLst>
            <a:ext uri="{FF2B5EF4-FFF2-40B4-BE49-F238E27FC236}">
              <a16:creationId xmlns:a16="http://schemas.microsoft.com/office/drawing/2014/main" id="{86386441-5210-4337-B3FE-5630CC7670B0}"/>
            </a:ext>
          </a:extLst>
        </xdr:cNvPr>
        <xdr:cNvPicPr>
          <a:picLocks noChangeAspect="1"/>
        </xdr:cNvPicPr>
      </xdr:nvPicPr>
      <xdr:blipFill>
        <a:blip xmlns:r="http://schemas.openxmlformats.org/officeDocument/2006/relationships" r:embed="rId3"/>
        <a:stretch>
          <a:fillRect/>
        </a:stretch>
      </xdr:blipFill>
      <xdr:spPr>
        <a:xfrm>
          <a:off x="22098000" y="4276725"/>
          <a:ext cx="5133333" cy="857143"/>
        </a:xfrm>
        <a:prstGeom prst="rect">
          <a:avLst/>
        </a:prstGeom>
      </xdr:spPr>
    </xdr:pic>
    <xdr:clientData/>
  </xdr:twoCellAnchor>
  <xdr:twoCellAnchor>
    <xdr:from>
      <xdr:col>18</xdr:col>
      <xdr:colOff>428625</xdr:colOff>
      <xdr:row>29</xdr:row>
      <xdr:rowOff>133350</xdr:rowOff>
    </xdr:from>
    <xdr:to>
      <xdr:col>21</xdr:col>
      <xdr:colOff>3810000</xdr:colOff>
      <xdr:row>30</xdr:row>
      <xdr:rowOff>76200</xdr:rowOff>
    </xdr:to>
    <xdr:sp macro="" textlink="">
      <xdr:nvSpPr>
        <xdr:cNvPr id="9" name="Rectangle 8">
          <a:extLst>
            <a:ext uri="{FF2B5EF4-FFF2-40B4-BE49-F238E27FC236}">
              <a16:creationId xmlns:a16="http://schemas.microsoft.com/office/drawing/2014/main" id="{8C05EAE2-FADE-4736-B77A-FCD5EFF944EB}"/>
            </a:ext>
          </a:extLst>
        </xdr:cNvPr>
        <xdr:cNvSpPr/>
      </xdr:nvSpPr>
      <xdr:spPr>
        <a:xfrm>
          <a:off x="11401425" y="5686425"/>
          <a:ext cx="5210175" cy="133350"/>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57150</xdr:colOff>
      <xdr:row>36</xdr:row>
      <xdr:rowOff>66675</xdr:rowOff>
    </xdr:from>
    <xdr:to>
      <xdr:col>10</xdr:col>
      <xdr:colOff>266064</xdr:colOff>
      <xdr:row>40</xdr:row>
      <xdr:rowOff>171352</xdr:rowOff>
    </xdr:to>
    <xdr:grpSp>
      <xdr:nvGrpSpPr>
        <xdr:cNvPr id="10" name="Group 9">
          <a:extLst>
            <a:ext uri="{FF2B5EF4-FFF2-40B4-BE49-F238E27FC236}">
              <a16:creationId xmlns:a16="http://schemas.microsoft.com/office/drawing/2014/main" id="{CEF49B65-84EB-4C71-B907-2FE5C44DD99F}"/>
            </a:ext>
          </a:extLst>
        </xdr:cNvPr>
        <xdr:cNvGrpSpPr/>
      </xdr:nvGrpSpPr>
      <xdr:grpSpPr>
        <a:xfrm>
          <a:off x="1428750" y="6715125"/>
          <a:ext cx="5695314" cy="841277"/>
          <a:chOff x="12534900" y="6591300"/>
          <a:chExt cx="5085714" cy="866677"/>
        </a:xfrm>
      </xdr:grpSpPr>
      <xdr:pic>
        <xdr:nvPicPr>
          <xdr:cNvPr id="11" name="Picture 10">
            <a:extLst>
              <a:ext uri="{FF2B5EF4-FFF2-40B4-BE49-F238E27FC236}">
                <a16:creationId xmlns:a16="http://schemas.microsoft.com/office/drawing/2014/main" id="{567F8511-9AEC-A1AE-373F-ABF95A86524C}"/>
              </a:ext>
            </a:extLst>
          </xdr:cNvPr>
          <xdr:cNvPicPr>
            <a:picLocks noChangeAspect="1"/>
          </xdr:cNvPicPr>
        </xdr:nvPicPr>
        <xdr:blipFill>
          <a:blip xmlns:r="http://schemas.openxmlformats.org/officeDocument/2006/relationships" r:embed="rId4"/>
          <a:stretch>
            <a:fillRect/>
          </a:stretch>
        </xdr:blipFill>
        <xdr:spPr>
          <a:xfrm>
            <a:off x="12534900" y="6677025"/>
            <a:ext cx="5085714" cy="780952"/>
          </a:xfrm>
          <a:prstGeom prst="rect">
            <a:avLst/>
          </a:prstGeom>
        </xdr:spPr>
      </xdr:pic>
      <xdr:sp macro="" textlink="">
        <xdr:nvSpPr>
          <xdr:cNvPr id="12" name="Rectangle 11">
            <a:extLst>
              <a:ext uri="{FF2B5EF4-FFF2-40B4-BE49-F238E27FC236}">
                <a16:creationId xmlns:a16="http://schemas.microsoft.com/office/drawing/2014/main" id="{E905AED5-2387-7E64-8513-9316DFC43889}"/>
              </a:ext>
            </a:extLst>
          </xdr:cNvPr>
          <xdr:cNvSpPr/>
        </xdr:nvSpPr>
        <xdr:spPr>
          <a:xfrm>
            <a:off x="16773525" y="6591300"/>
            <a:ext cx="533400" cy="228600"/>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1</xdr:col>
      <xdr:colOff>342900</xdr:colOff>
      <xdr:row>16</xdr:row>
      <xdr:rowOff>123825</xdr:rowOff>
    </xdr:from>
    <xdr:to>
      <xdr:col>10</xdr:col>
      <xdr:colOff>85071</xdr:colOff>
      <xdr:row>29</xdr:row>
      <xdr:rowOff>28276</xdr:rowOff>
    </xdr:to>
    <xdr:pic>
      <xdr:nvPicPr>
        <xdr:cNvPr id="13" name="Picture 12">
          <a:extLst>
            <a:ext uri="{FF2B5EF4-FFF2-40B4-BE49-F238E27FC236}">
              <a16:creationId xmlns:a16="http://schemas.microsoft.com/office/drawing/2014/main" id="{557FE82A-F058-4DA9-8243-4BCAD6D824FE}"/>
            </a:ext>
          </a:extLst>
        </xdr:cNvPr>
        <xdr:cNvPicPr>
          <a:picLocks noChangeAspect="1"/>
        </xdr:cNvPicPr>
      </xdr:nvPicPr>
      <xdr:blipFill>
        <a:blip xmlns:r="http://schemas.openxmlformats.org/officeDocument/2006/relationships" r:embed="rId5"/>
        <a:stretch>
          <a:fillRect/>
        </a:stretch>
      </xdr:blipFill>
      <xdr:spPr>
        <a:xfrm>
          <a:off x="1028700" y="3190875"/>
          <a:ext cx="5914371" cy="2390476"/>
        </a:xfrm>
        <a:prstGeom prst="rect">
          <a:avLst/>
        </a:prstGeom>
      </xdr:spPr>
    </xdr:pic>
    <xdr:clientData/>
  </xdr:twoCellAnchor>
  <xdr:twoCellAnchor>
    <xdr:from>
      <xdr:col>30</xdr:col>
      <xdr:colOff>266700</xdr:colOff>
      <xdr:row>42</xdr:row>
      <xdr:rowOff>85725</xdr:rowOff>
    </xdr:from>
    <xdr:to>
      <xdr:col>42</xdr:col>
      <xdr:colOff>494357</xdr:colOff>
      <xdr:row>47</xdr:row>
      <xdr:rowOff>18939</xdr:rowOff>
    </xdr:to>
    <xdr:pic>
      <xdr:nvPicPr>
        <xdr:cNvPr id="14" name="Picture 13">
          <a:extLst>
            <a:ext uri="{FF2B5EF4-FFF2-40B4-BE49-F238E27FC236}">
              <a16:creationId xmlns:a16="http://schemas.microsoft.com/office/drawing/2014/main" id="{E9975325-72BE-452C-BE47-F302D41D59CB}"/>
            </a:ext>
          </a:extLst>
        </xdr:cNvPr>
        <xdr:cNvPicPr>
          <a:picLocks noChangeAspect="1"/>
        </xdr:cNvPicPr>
      </xdr:nvPicPr>
      <xdr:blipFill>
        <a:blip xmlns:r="http://schemas.openxmlformats.org/officeDocument/2006/relationships" r:embed="rId6"/>
        <a:stretch>
          <a:fillRect/>
        </a:stretch>
      </xdr:blipFill>
      <xdr:spPr>
        <a:xfrm>
          <a:off x="21831300" y="8115300"/>
          <a:ext cx="7542857" cy="885714"/>
        </a:xfrm>
        <a:prstGeom prst="rect">
          <a:avLst/>
        </a:prstGeom>
      </xdr:spPr>
    </xdr:pic>
    <xdr:clientData/>
  </xdr:twoCellAnchor>
  <xdr:twoCellAnchor editAs="oneCell">
    <xdr:from>
      <xdr:col>1</xdr:col>
      <xdr:colOff>209550</xdr:colOff>
      <xdr:row>61</xdr:row>
      <xdr:rowOff>133350</xdr:rowOff>
    </xdr:from>
    <xdr:to>
      <xdr:col>13</xdr:col>
      <xdr:colOff>513398</xdr:colOff>
      <xdr:row>64</xdr:row>
      <xdr:rowOff>47564</xdr:rowOff>
    </xdr:to>
    <xdr:pic>
      <xdr:nvPicPr>
        <xdr:cNvPr id="15" name="Picture 14">
          <a:extLst>
            <a:ext uri="{FF2B5EF4-FFF2-40B4-BE49-F238E27FC236}">
              <a16:creationId xmlns:a16="http://schemas.microsoft.com/office/drawing/2014/main" id="{A1D9E826-3918-4E65-9574-DB622F100F5A}"/>
            </a:ext>
          </a:extLst>
        </xdr:cNvPr>
        <xdr:cNvPicPr>
          <a:picLocks noChangeAspect="1"/>
        </xdr:cNvPicPr>
      </xdr:nvPicPr>
      <xdr:blipFill>
        <a:blip xmlns:r="http://schemas.openxmlformats.org/officeDocument/2006/relationships" r:embed="rId7"/>
        <a:stretch>
          <a:fillRect/>
        </a:stretch>
      </xdr:blipFill>
      <xdr:spPr>
        <a:xfrm>
          <a:off x="819150" y="11782425"/>
          <a:ext cx="7619048" cy="485714"/>
        </a:xfrm>
        <a:prstGeom prst="rect">
          <a:avLst/>
        </a:prstGeom>
      </xdr:spPr>
    </xdr:pic>
    <xdr:clientData/>
  </xdr:twoCellAnchor>
  <xdr:twoCellAnchor editAs="oneCell">
    <xdr:from>
      <xdr:col>3</xdr:col>
      <xdr:colOff>523875</xdr:colOff>
      <xdr:row>68</xdr:row>
      <xdr:rowOff>0</xdr:rowOff>
    </xdr:from>
    <xdr:to>
      <xdr:col>7</xdr:col>
      <xdr:colOff>380713</xdr:colOff>
      <xdr:row>87</xdr:row>
      <xdr:rowOff>161452</xdr:rowOff>
    </xdr:to>
    <xdr:pic>
      <xdr:nvPicPr>
        <xdr:cNvPr id="16" name="Picture 15">
          <a:extLst>
            <a:ext uri="{FF2B5EF4-FFF2-40B4-BE49-F238E27FC236}">
              <a16:creationId xmlns:a16="http://schemas.microsoft.com/office/drawing/2014/main" id="{66020221-38A0-4EC5-82C7-52B559FBBB6C}"/>
            </a:ext>
          </a:extLst>
        </xdr:cNvPr>
        <xdr:cNvPicPr>
          <a:picLocks noChangeAspect="1"/>
        </xdr:cNvPicPr>
      </xdr:nvPicPr>
      <xdr:blipFill>
        <a:blip xmlns:r="http://schemas.openxmlformats.org/officeDocument/2006/relationships" r:embed="rId8"/>
        <a:stretch>
          <a:fillRect/>
        </a:stretch>
      </xdr:blipFill>
      <xdr:spPr>
        <a:xfrm>
          <a:off x="2352675" y="12982575"/>
          <a:ext cx="2295238" cy="3780952"/>
        </a:xfrm>
        <a:prstGeom prst="rect">
          <a:avLst/>
        </a:prstGeom>
      </xdr:spPr>
    </xdr:pic>
    <xdr:clientData/>
  </xdr:twoCellAnchor>
  <xdr:twoCellAnchor>
    <xdr:from>
      <xdr:col>1</xdr:col>
      <xdr:colOff>390525</xdr:colOff>
      <xdr:row>45</xdr:row>
      <xdr:rowOff>66675</xdr:rowOff>
    </xdr:from>
    <xdr:to>
      <xdr:col>13</xdr:col>
      <xdr:colOff>589611</xdr:colOff>
      <xdr:row>54</xdr:row>
      <xdr:rowOff>171450</xdr:rowOff>
    </xdr:to>
    <xdr:grpSp>
      <xdr:nvGrpSpPr>
        <xdr:cNvPr id="17" name="Group 16">
          <a:extLst>
            <a:ext uri="{FF2B5EF4-FFF2-40B4-BE49-F238E27FC236}">
              <a16:creationId xmlns:a16="http://schemas.microsoft.com/office/drawing/2014/main" id="{A4000B15-2436-42E5-A20F-25AD69F1B257}"/>
            </a:ext>
          </a:extLst>
        </xdr:cNvPr>
        <xdr:cNvGrpSpPr/>
      </xdr:nvGrpSpPr>
      <xdr:grpSpPr>
        <a:xfrm>
          <a:off x="1076325" y="8372475"/>
          <a:ext cx="8428686" cy="1762125"/>
          <a:chOff x="1000125" y="8915400"/>
          <a:chExt cx="7514286" cy="1819275"/>
        </a:xfrm>
      </xdr:grpSpPr>
      <xdr:grpSp>
        <xdr:nvGrpSpPr>
          <xdr:cNvPr id="18" name="Group 17">
            <a:extLst>
              <a:ext uri="{FF2B5EF4-FFF2-40B4-BE49-F238E27FC236}">
                <a16:creationId xmlns:a16="http://schemas.microsoft.com/office/drawing/2014/main" id="{7E6148D5-0B17-0EF0-3BCE-ECA09C954188}"/>
              </a:ext>
            </a:extLst>
          </xdr:cNvPr>
          <xdr:cNvGrpSpPr/>
        </xdr:nvGrpSpPr>
        <xdr:grpSpPr>
          <a:xfrm>
            <a:off x="1000125" y="9267825"/>
            <a:ext cx="7514286" cy="1161917"/>
            <a:chOff x="1000125" y="9267825"/>
            <a:chExt cx="7514286" cy="1161917"/>
          </a:xfrm>
        </xdr:grpSpPr>
        <xdr:grpSp>
          <xdr:nvGrpSpPr>
            <xdr:cNvPr id="24" name="Group 23">
              <a:extLst>
                <a:ext uri="{FF2B5EF4-FFF2-40B4-BE49-F238E27FC236}">
                  <a16:creationId xmlns:a16="http://schemas.microsoft.com/office/drawing/2014/main" id="{1EF41F0F-BEE6-0020-23EB-70FD504DD30A}"/>
                </a:ext>
              </a:extLst>
            </xdr:cNvPr>
            <xdr:cNvGrpSpPr/>
          </xdr:nvGrpSpPr>
          <xdr:grpSpPr>
            <a:xfrm>
              <a:off x="1000125" y="9267825"/>
              <a:ext cx="7514286" cy="1161917"/>
              <a:chOff x="10972800" y="10220325"/>
              <a:chExt cx="7514286" cy="1161917"/>
            </a:xfrm>
          </xdr:grpSpPr>
          <xdr:pic>
            <xdr:nvPicPr>
              <xdr:cNvPr id="26" name="Picture 25">
                <a:extLst>
                  <a:ext uri="{FF2B5EF4-FFF2-40B4-BE49-F238E27FC236}">
                    <a16:creationId xmlns:a16="http://schemas.microsoft.com/office/drawing/2014/main" id="{D342F70E-0A17-04E6-76BB-5AF6931636E3}"/>
                  </a:ext>
                </a:extLst>
              </xdr:cNvPr>
              <xdr:cNvPicPr>
                <a:picLocks noChangeAspect="1"/>
              </xdr:cNvPicPr>
            </xdr:nvPicPr>
            <xdr:blipFill>
              <a:blip xmlns:r="http://schemas.openxmlformats.org/officeDocument/2006/relationships" r:embed="rId9"/>
              <a:stretch>
                <a:fillRect/>
              </a:stretch>
            </xdr:blipFill>
            <xdr:spPr>
              <a:xfrm>
                <a:off x="10972800" y="10315575"/>
                <a:ext cx="7514286" cy="1066667"/>
              </a:xfrm>
              <a:prstGeom prst="rect">
                <a:avLst/>
              </a:prstGeom>
            </xdr:spPr>
          </xdr:pic>
          <xdr:sp macro="" textlink="">
            <xdr:nvSpPr>
              <xdr:cNvPr id="27" name="Rectangle 26">
                <a:extLst>
                  <a:ext uri="{FF2B5EF4-FFF2-40B4-BE49-F238E27FC236}">
                    <a16:creationId xmlns:a16="http://schemas.microsoft.com/office/drawing/2014/main" id="{9E273527-5657-BBFC-0A9B-CE3F9129D1B0}"/>
                  </a:ext>
                </a:extLst>
              </xdr:cNvPr>
              <xdr:cNvSpPr/>
            </xdr:nvSpPr>
            <xdr:spPr>
              <a:xfrm>
                <a:off x="17659350" y="10220325"/>
                <a:ext cx="533400" cy="228600"/>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sp macro="" textlink="">
          <xdr:nvSpPr>
            <xdr:cNvPr id="25" name="Rectangle 24">
              <a:extLst>
                <a:ext uri="{FF2B5EF4-FFF2-40B4-BE49-F238E27FC236}">
                  <a16:creationId xmlns:a16="http://schemas.microsoft.com/office/drawing/2014/main" id="{84A733DC-A63A-DC44-77E7-3B9E7F97CF25}"/>
                </a:ext>
              </a:extLst>
            </xdr:cNvPr>
            <xdr:cNvSpPr/>
          </xdr:nvSpPr>
          <xdr:spPr>
            <a:xfrm>
              <a:off x="1352550" y="9382125"/>
              <a:ext cx="1114425" cy="276225"/>
            </a:xfrm>
            <a:prstGeom prst="rect">
              <a:avLst/>
            </a:prstGeom>
            <a:solidFill>
              <a:srgbClr val="FFFFFF">
                <a:alpha val="61176"/>
              </a:srgbClr>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xnSp macro="">
        <xdr:nvCxnSpPr>
          <xdr:cNvPr id="19" name="Straight Arrow Connector 18">
            <a:extLst>
              <a:ext uri="{FF2B5EF4-FFF2-40B4-BE49-F238E27FC236}">
                <a16:creationId xmlns:a16="http://schemas.microsoft.com/office/drawing/2014/main" id="{E42169A1-48F0-57B4-86E0-FED5BE4D8727}"/>
              </a:ext>
            </a:extLst>
          </xdr:cNvPr>
          <xdr:cNvCxnSpPr/>
        </xdr:nvCxnSpPr>
        <xdr:spPr>
          <a:xfrm flipH="1">
            <a:off x="1752600" y="9077325"/>
            <a:ext cx="314325" cy="619125"/>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0" name="Straight Arrow Connector 19">
            <a:extLst>
              <a:ext uri="{FF2B5EF4-FFF2-40B4-BE49-F238E27FC236}">
                <a16:creationId xmlns:a16="http://schemas.microsoft.com/office/drawing/2014/main" id="{3EE02D39-52D2-7034-1970-1B5D6E47C525}"/>
              </a:ext>
            </a:extLst>
          </xdr:cNvPr>
          <xdr:cNvCxnSpPr/>
        </xdr:nvCxnSpPr>
        <xdr:spPr>
          <a:xfrm flipH="1" flipV="1">
            <a:off x="1485900" y="10144125"/>
            <a:ext cx="2124075" cy="590550"/>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1" name="Left Brace 20">
            <a:extLst>
              <a:ext uri="{FF2B5EF4-FFF2-40B4-BE49-F238E27FC236}">
                <a16:creationId xmlns:a16="http://schemas.microsoft.com/office/drawing/2014/main" id="{A1F79AF7-D603-AD62-53CB-AC1F70419F67}"/>
              </a:ext>
            </a:extLst>
          </xdr:cNvPr>
          <xdr:cNvSpPr/>
        </xdr:nvSpPr>
        <xdr:spPr>
          <a:xfrm rot="10800000">
            <a:off x="1266824" y="10020299"/>
            <a:ext cx="161925" cy="200026"/>
          </a:xfrm>
          <a:prstGeom prst="leftBrace">
            <a:avLst>
              <a:gd name="adj1" fmla="val 8333"/>
              <a:gd name="adj2" fmla="val 50405"/>
            </a:avLst>
          </a:prstGeom>
          <a:ln w="28575">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solidFill>
                <a:srgbClr val="C00000"/>
              </a:solidFill>
            </a:endParaRPr>
          </a:p>
        </xdr:txBody>
      </xdr:sp>
      <xdr:cxnSp macro="">
        <xdr:nvCxnSpPr>
          <xdr:cNvPr id="22" name="Straight Arrow Connector 21">
            <a:extLst>
              <a:ext uri="{FF2B5EF4-FFF2-40B4-BE49-F238E27FC236}">
                <a16:creationId xmlns:a16="http://schemas.microsoft.com/office/drawing/2014/main" id="{FB09EC70-9E09-03B7-BFB3-33F1E103C7BA}"/>
              </a:ext>
            </a:extLst>
          </xdr:cNvPr>
          <xdr:cNvCxnSpPr/>
        </xdr:nvCxnSpPr>
        <xdr:spPr>
          <a:xfrm>
            <a:off x="4533900" y="9239250"/>
            <a:ext cx="1343025" cy="352425"/>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3" name="TextBox 22">
            <a:extLst>
              <a:ext uri="{FF2B5EF4-FFF2-40B4-BE49-F238E27FC236}">
                <a16:creationId xmlns:a16="http://schemas.microsoft.com/office/drawing/2014/main" id="{56076CDE-57C0-8491-3D7B-45A3233F1FB0}"/>
              </a:ext>
            </a:extLst>
          </xdr:cNvPr>
          <xdr:cNvSpPr txBox="1"/>
        </xdr:nvSpPr>
        <xdr:spPr>
          <a:xfrm>
            <a:off x="2981325" y="8915400"/>
            <a:ext cx="1722074" cy="4053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000" b="1">
                <a:solidFill>
                  <a:schemeClr val="tx1">
                    <a:lumMod val="75000"/>
                    <a:lumOff val="25000"/>
                  </a:schemeClr>
                </a:solidFill>
              </a:rPr>
              <a:t>Here is where you select the </a:t>
            </a:r>
          </a:p>
          <a:p>
            <a:r>
              <a:rPr lang="en-US" sz="1000" b="1">
                <a:solidFill>
                  <a:schemeClr val="tx1">
                    <a:lumMod val="75000"/>
                    <a:lumOff val="25000"/>
                  </a:schemeClr>
                </a:solidFill>
              </a:rPr>
              <a:t>number of rows to display:</a:t>
            </a:r>
          </a:p>
        </xdr:txBody>
      </xdr:sp>
    </xdr:grpSp>
    <xdr:clientData/>
  </xdr:twoCellAnchor>
  <xdr:twoCellAnchor>
    <xdr:from>
      <xdr:col>1</xdr:col>
      <xdr:colOff>438150</xdr:colOff>
      <xdr:row>92</xdr:row>
      <xdr:rowOff>114300</xdr:rowOff>
    </xdr:from>
    <xdr:to>
      <xdr:col>14</xdr:col>
      <xdr:colOff>84778</xdr:colOff>
      <xdr:row>105</xdr:row>
      <xdr:rowOff>75932</xdr:rowOff>
    </xdr:to>
    <xdr:grpSp>
      <xdr:nvGrpSpPr>
        <xdr:cNvPr id="28" name="Group 27">
          <a:extLst>
            <a:ext uri="{FF2B5EF4-FFF2-40B4-BE49-F238E27FC236}">
              <a16:creationId xmlns:a16="http://schemas.microsoft.com/office/drawing/2014/main" id="{03A36F7C-76A5-407E-9847-DB106F80F056}"/>
            </a:ext>
          </a:extLst>
        </xdr:cNvPr>
        <xdr:cNvGrpSpPr/>
      </xdr:nvGrpSpPr>
      <xdr:grpSpPr>
        <a:xfrm>
          <a:off x="1123950" y="17075150"/>
          <a:ext cx="8562028" cy="2355582"/>
          <a:chOff x="1047750" y="17668875"/>
          <a:chExt cx="7571428" cy="2438132"/>
        </a:xfrm>
      </xdr:grpSpPr>
      <xdr:grpSp>
        <xdr:nvGrpSpPr>
          <xdr:cNvPr id="29" name="Group 28">
            <a:extLst>
              <a:ext uri="{FF2B5EF4-FFF2-40B4-BE49-F238E27FC236}">
                <a16:creationId xmlns:a16="http://schemas.microsoft.com/office/drawing/2014/main" id="{F2E144E1-7695-1219-00C4-448BEBE6AC0A}"/>
              </a:ext>
            </a:extLst>
          </xdr:cNvPr>
          <xdr:cNvGrpSpPr/>
        </xdr:nvGrpSpPr>
        <xdr:grpSpPr>
          <a:xfrm>
            <a:off x="1047750" y="17878425"/>
            <a:ext cx="7571428" cy="2228582"/>
            <a:chOff x="1047750" y="17878425"/>
            <a:chExt cx="7571428" cy="2228582"/>
          </a:xfrm>
        </xdr:grpSpPr>
        <xdr:grpSp>
          <xdr:nvGrpSpPr>
            <xdr:cNvPr id="31" name="Group 30">
              <a:extLst>
                <a:ext uri="{FF2B5EF4-FFF2-40B4-BE49-F238E27FC236}">
                  <a16:creationId xmlns:a16="http://schemas.microsoft.com/office/drawing/2014/main" id="{EECC95E9-5FE9-EAC9-ED3C-8375BCB66F13}"/>
                </a:ext>
              </a:extLst>
            </xdr:cNvPr>
            <xdr:cNvGrpSpPr/>
          </xdr:nvGrpSpPr>
          <xdr:grpSpPr>
            <a:xfrm>
              <a:off x="1047750" y="17878425"/>
              <a:ext cx="7571428" cy="2228582"/>
              <a:chOff x="7686675" y="14716125"/>
              <a:chExt cx="7571428" cy="2228582"/>
            </a:xfrm>
          </xdr:grpSpPr>
          <xdr:pic>
            <xdr:nvPicPr>
              <xdr:cNvPr id="33" name="Picture 32">
                <a:extLst>
                  <a:ext uri="{FF2B5EF4-FFF2-40B4-BE49-F238E27FC236}">
                    <a16:creationId xmlns:a16="http://schemas.microsoft.com/office/drawing/2014/main" id="{30897088-401A-47A7-B28B-1490A2405FB6}"/>
                  </a:ext>
                </a:extLst>
              </xdr:cNvPr>
              <xdr:cNvPicPr>
                <a:picLocks noChangeAspect="1"/>
              </xdr:cNvPicPr>
            </xdr:nvPicPr>
            <xdr:blipFill>
              <a:blip xmlns:r="http://schemas.openxmlformats.org/officeDocument/2006/relationships" r:embed="rId10"/>
              <a:stretch>
                <a:fillRect/>
              </a:stretch>
            </xdr:blipFill>
            <xdr:spPr>
              <a:xfrm>
                <a:off x="7686675" y="14801850"/>
                <a:ext cx="7571428" cy="2142857"/>
              </a:xfrm>
              <a:prstGeom prst="rect">
                <a:avLst/>
              </a:prstGeom>
            </xdr:spPr>
          </xdr:pic>
          <xdr:sp macro="" textlink="">
            <xdr:nvSpPr>
              <xdr:cNvPr id="34" name="Rectangle 33">
                <a:extLst>
                  <a:ext uri="{FF2B5EF4-FFF2-40B4-BE49-F238E27FC236}">
                    <a16:creationId xmlns:a16="http://schemas.microsoft.com/office/drawing/2014/main" id="{564F4524-5BFB-76EC-A78F-10647965CD9C}"/>
                  </a:ext>
                </a:extLst>
              </xdr:cNvPr>
              <xdr:cNvSpPr/>
            </xdr:nvSpPr>
            <xdr:spPr>
              <a:xfrm>
                <a:off x="14335125" y="14716125"/>
                <a:ext cx="533400" cy="228600"/>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sp macro="" textlink="">
          <xdr:nvSpPr>
            <xdr:cNvPr id="32" name="Rectangle 31">
              <a:extLst>
                <a:ext uri="{FF2B5EF4-FFF2-40B4-BE49-F238E27FC236}">
                  <a16:creationId xmlns:a16="http://schemas.microsoft.com/office/drawing/2014/main" id="{839EFB2E-7ECD-FA06-27C6-9EF6F9C18646}"/>
                </a:ext>
              </a:extLst>
            </xdr:cNvPr>
            <xdr:cNvSpPr/>
          </xdr:nvSpPr>
          <xdr:spPr>
            <a:xfrm>
              <a:off x="1390650" y="18030825"/>
              <a:ext cx="1114425" cy="276225"/>
            </a:xfrm>
            <a:prstGeom prst="rect">
              <a:avLst/>
            </a:prstGeom>
            <a:solidFill>
              <a:srgbClr val="FFFFFF">
                <a:alpha val="61176"/>
              </a:srgbClr>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xnSp macro="">
        <xdr:nvCxnSpPr>
          <xdr:cNvPr id="30" name="Straight Arrow Connector 29">
            <a:extLst>
              <a:ext uri="{FF2B5EF4-FFF2-40B4-BE49-F238E27FC236}">
                <a16:creationId xmlns:a16="http://schemas.microsoft.com/office/drawing/2014/main" id="{E961EDFA-49E5-5260-9775-B563AA8901AF}"/>
              </a:ext>
            </a:extLst>
          </xdr:cNvPr>
          <xdr:cNvCxnSpPr/>
        </xdr:nvCxnSpPr>
        <xdr:spPr>
          <a:xfrm>
            <a:off x="1457325" y="17668875"/>
            <a:ext cx="314325" cy="1381125"/>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457200</xdr:colOff>
      <xdr:row>108</xdr:row>
      <xdr:rowOff>161925</xdr:rowOff>
    </xdr:from>
    <xdr:to>
      <xdr:col>14</xdr:col>
      <xdr:colOff>46686</xdr:colOff>
      <xdr:row>120</xdr:row>
      <xdr:rowOff>104508</xdr:rowOff>
    </xdr:to>
    <xdr:grpSp>
      <xdr:nvGrpSpPr>
        <xdr:cNvPr id="35" name="Group 34">
          <a:extLst>
            <a:ext uri="{FF2B5EF4-FFF2-40B4-BE49-F238E27FC236}">
              <a16:creationId xmlns:a16="http://schemas.microsoft.com/office/drawing/2014/main" id="{DD6BBDA5-041A-401D-A580-86B4D9318720}"/>
            </a:ext>
          </a:extLst>
        </xdr:cNvPr>
        <xdr:cNvGrpSpPr/>
      </xdr:nvGrpSpPr>
      <xdr:grpSpPr>
        <a:xfrm>
          <a:off x="1143000" y="20069175"/>
          <a:ext cx="8504886" cy="2152383"/>
          <a:chOff x="10896600" y="21088350"/>
          <a:chExt cx="7514286" cy="2228583"/>
        </a:xfrm>
      </xdr:grpSpPr>
      <xdr:pic>
        <xdr:nvPicPr>
          <xdr:cNvPr id="36" name="Picture 35">
            <a:extLst>
              <a:ext uri="{FF2B5EF4-FFF2-40B4-BE49-F238E27FC236}">
                <a16:creationId xmlns:a16="http://schemas.microsoft.com/office/drawing/2014/main" id="{0923116E-9862-7B5C-C530-190A76088935}"/>
              </a:ext>
            </a:extLst>
          </xdr:cNvPr>
          <xdr:cNvPicPr>
            <a:picLocks noChangeAspect="1"/>
          </xdr:cNvPicPr>
        </xdr:nvPicPr>
        <xdr:blipFill>
          <a:blip xmlns:r="http://schemas.openxmlformats.org/officeDocument/2006/relationships" r:embed="rId11"/>
          <a:stretch>
            <a:fillRect/>
          </a:stretch>
        </xdr:blipFill>
        <xdr:spPr>
          <a:xfrm>
            <a:off x="10896600" y="21183600"/>
            <a:ext cx="7514286" cy="2133333"/>
          </a:xfrm>
          <a:prstGeom prst="rect">
            <a:avLst/>
          </a:prstGeom>
        </xdr:spPr>
      </xdr:pic>
      <xdr:sp macro="" textlink="">
        <xdr:nvSpPr>
          <xdr:cNvPr id="37" name="Rectangle 36">
            <a:extLst>
              <a:ext uri="{FF2B5EF4-FFF2-40B4-BE49-F238E27FC236}">
                <a16:creationId xmlns:a16="http://schemas.microsoft.com/office/drawing/2014/main" id="{8DC644DA-CA1B-D9D3-A925-B561A602C850}"/>
              </a:ext>
            </a:extLst>
          </xdr:cNvPr>
          <xdr:cNvSpPr/>
        </xdr:nvSpPr>
        <xdr:spPr>
          <a:xfrm>
            <a:off x="17573625" y="21088350"/>
            <a:ext cx="533400" cy="228600"/>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2</xdr:col>
      <xdr:colOff>238125</xdr:colOff>
      <xdr:row>123</xdr:row>
      <xdr:rowOff>47625</xdr:rowOff>
    </xdr:from>
    <xdr:to>
      <xdr:col>5</xdr:col>
      <xdr:colOff>580754</xdr:colOff>
      <xdr:row>141</xdr:row>
      <xdr:rowOff>85292</xdr:rowOff>
    </xdr:to>
    <xdr:pic>
      <xdr:nvPicPr>
        <xdr:cNvPr id="38" name="Picture 37">
          <a:extLst>
            <a:ext uri="{FF2B5EF4-FFF2-40B4-BE49-F238E27FC236}">
              <a16:creationId xmlns:a16="http://schemas.microsoft.com/office/drawing/2014/main" id="{35BFFA40-1C25-4981-9399-B0F1A320C020}"/>
            </a:ext>
          </a:extLst>
        </xdr:cNvPr>
        <xdr:cNvPicPr>
          <a:picLocks noChangeAspect="1"/>
        </xdr:cNvPicPr>
      </xdr:nvPicPr>
      <xdr:blipFill>
        <a:blip xmlns:r="http://schemas.openxmlformats.org/officeDocument/2006/relationships" r:embed="rId12"/>
        <a:stretch>
          <a:fillRect/>
        </a:stretch>
      </xdr:blipFill>
      <xdr:spPr>
        <a:xfrm>
          <a:off x="1457325" y="23507700"/>
          <a:ext cx="2171429" cy="3466667"/>
        </a:xfrm>
        <a:prstGeom prst="rect">
          <a:avLst/>
        </a:prstGeom>
      </xdr:spPr>
    </xdr:pic>
    <xdr:clientData/>
  </xdr:twoCellAnchor>
  <xdr:twoCellAnchor editAs="oneCell">
    <xdr:from>
      <xdr:col>1</xdr:col>
      <xdr:colOff>352425</xdr:colOff>
      <xdr:row>147</xdr:row>
      <xdr:rowOff>85725</xdr:rowOff>
    </xdr:from>
    <xdr:to>
      <xdr:col>14</xdr:col>
      <xdr:colOff>170482</xdr:colOff>
      <xdr:row>156</xdr:row>
      <xdr:rowOff>56939</xdr:rowOff>
    </xdr:to>
    <xdr:pic>
      <xdr:nvPicPr>
        <xdr:cNvPr id="39" name="Picture 38">
          <a:extLst>
            <a:ext uri="{FF2B5EF4-FFF2-40B4-BE49-F238E27FC236}">
              <a16:creationId xmlns:a16="http://schemas.microsoft.com/office/drawing/2014/main" id="{F42742BC-9E53-4EB9-BAC9-6FF9AE4DB2A8}"/>
            </a:ext>
          </a:extLst>
        </xdr:cNvPr>
        <xdr:cNvPicPr>
          <a:picLocks noChangeAspect="1"/>
        </xdr:cNvPicPr>
      </xdr:nvPicPr>
      <xdr:blipFill>
        <a:blip xmlns:r="http://schemas.openxmlformats.org/officeDocument/2006/relationships" r:embed="rId13"/>
        <a:stretch>
          <a:fillRect/>
        </a:stretch>
      </xdr:blipFill>
      <xdr:spPr>
        <a:xfrm>
          <a:off x="962025" y="28117800"/>
          <a:ext cx="7742857" cy="1685714"/>
        </a:xfrm>
        <a:prstGeom prst="rect">
          <a:avLst/>
        </a:prstGeom>
      </xdr:spPr>
    </xdr:pic>
    <xdr:clientData/>
  </xdr:twoCellAnchor>
  <xdr:twoCellAnchor editAs="oneCell">
    <xdr:from>
      <xdr:col>1</xdr:col>
      <xdr:colOff>381000</xdr:colOff>
      <xdr:row>160</xdr:row>
      <xdr:rowOff>133350</xdr:rowOff>
    </xdr:from>
    <xdr:to>
      <xdr:col>14</xdr:col>
      <xdr:colOff>141914</xdr:colOff>
      <xdr:row>169</xdr:row>
      <xdr:rowOff>114088</xdr:rowOff>
    </xdr:to>
    <xdr:pic>
      <xdr:nvPicPr>
        <xdr:cNvPr id="40" name="Picture 39">
          <a:extLst>
            <a:ext uri="{FF2B5EF4-FFF2-40B4-BE49-F238E27FC236}">
              <a16:creationId xmlns:a16="http://schemas.microsoft.com/office/drawing/2014/main" id="{F71711AD-1EB6-4A04-8657-E53BEE8C16B3}"/>
            </a:ext>
          </a:extLst>
        </xdr:cNvPr>
        <xdr:cNvPicPr>
          <a:picLocks noChangeAspect="1"/>
        </xdr:cNvPicPr>
      </xdr:nvPicPr>
      <xdr:blipFill>
        <a:blip xmlns:r="http://schemas.openxmlformats.org/officeDocument/2006/relationships" r:embed="rId14"/>
        <a:stretch>
          <a:fillRect/>
        </a:stretch>
      </xdr:blipFill>
      <xdr:spPr>
        <a:xfrm>
          <a:off x="990600" y="30641925"/>
          <a:ext cx="7685714" cy="1695238"/>
        </a:xfrm>
        <a:prstGeom prst="rect">
          <a:avLst/>
        </a:prstGeom>
      </xdr:spPr>
    </xdr:pic>
    <xdr:clientData/>
  </xdr:twoCellAnchor>
  <xdr:twoCellAnchor editAs="oneCell">
    <xdr:from>
      <xdr:col>1</xdr:col>
      <xdr:colOff>314325</xdr:colOff>
      <xdr:row>189</xdr:row>
      <xdr:rowOff>57150</xdr:rowOff>
    </xdr:from>
    <xdr:to>
      <xdr:col>14</xdr:col>
      <xdr:colOff>227620</xdr:colOff>
      <xdr:row>197</xdr:row>
      <xdr:rowOff>180769</xdr:rowOff>
    </xdr:to>
    <xdr:pic>
      <xdr:nvPicPr>
        <xdr:cNvPr id="41" name="Picture 40">
          <a:extLst>
            <a:ext uri="{FF2B5EF4-FFF2-40B4-BE49-F238E27FC236}">
              <a16:creationId xmlns:a16="http://schemas.microsoft.com/office/drawing/2014/main" id="{6D3A3B37-6455-497E-8FE2-CD19E3E22B29}"/>
            </a:ext>
          </a:extLst>
        </xdr:cNvPr>
        <xdr:cNvPicPr>
          <a:picLocks noChangeAspect="1"/>
        </xdr:cNvPicPr>
      </xdr:nvPicPr>
      <xdr:blipFill>
        <a:blip xmlns:r="http://schemas.openxmlformats.org/officeDocument/2006/relationships" r:embed="rId15"/>
        <a:stretch>
          <a:fillRect/>
        </a:stretch>
      </xdr:blipFill>
      <xdr:spPr>
        <a:xfrm>
          <a:off x="923925" y="36090225"/>
          <a:ext cx="7838095" cy="1647619"/>
        </a:xfrm>
        <a:prstGeom prst="rect">
          <a:avLst/>
        </a:prstGeom>
      </xdr:spPr>
    </xdr:pic>
    <xdr:clientData/>
  </xdr:twoCellAnchor>
  <xdr:twoCellAnchor editAs="oneCell">
    <xdr:from>
      <xdr:col>1</xdr:col>
      <xdr:colOff>323850</xdr:colOff>
      <xdr:row>200</xdr:row>
      <xdr:rowOff>7189</xdr:rowOff>
    </xdr:from>
    <xdr:to>
      <xdr:col>14</xdr:col>
      <xdr:colOff>409575</xdr:colOff>
      <xdr:row>207</xdr:row>
      <xdr:rowOff>95044</xdr:rowOff>
    </xdr:to>
    <xdr:pic>
      <xdr:nvPicPr>
        <xdr:cNvPr id="42" name="Picture 41">
          <a:extLst>
            <a:ext uri="{FF2B5EF4-FFF2-40B4-BE49-F238E27FC236}">
              <a16:creationId xmlns:a16="http://schemas.microsoft.com/office/drawing/2014/main" id="{64028C12-C41A-481B-9441-B463506F2AB4}"/>
            </a:ext>
          </a:extLst>
        </xdr:cNvPr>
        <xdr:cNvPicPr>
          <a:picLocks noChangeAspect="1"/>
        </xdr:cNvPicPr>
      </xdr:nvPicPr>
      <xdr:blipFill>
        <a:blip xmlns:r="http://schemas.openxmlformats.org/officeDocument/2006/relationships" r:embed="rId16"/>
        <a:stretch>
          <a:fillRect/>
        </a:stretch>
      </xdr:blipFill>
      <xdr:spPr>
        <a:xfrm>
          <a:off x="933450" y="38135764"/>
          <a:ext cx="8010525" cy="1421355"/>
        </a:xfrm>
        <a:prstGeom prst="rect">
          <a:avLst/>
        </a:prstGeom>
      </xdr:spPr>
    </xdr:pic>
    <xdr:clientData/>
  </xdr:twoCellAnchor>
  <xdr:twoCellAnchor>
    <xdr:from>
      <xdr:col>34</xdr:col>
      <xdr:colOff>142875</xdr:colOff>
      <xdr:row>205</xdr:row>
      <xdr:rowOff>161925</xdr:rowOff>
    </xdr:from>
    <xdr:to>
      <xdr:col>45</xdr:col>
      <xdr:colOff>495300</xdr:colOff>
      <xdr:row>221</xdr:row>
      <xdr:rowOff>47625</xdr:rowOff>
    </xdr:to>
    <xdr:grpSp>
      <xdr:nvGrpSpPr>
        <xdr:cNvPr id="43" name="Group 42">
          <a:extLst>
            <a:ext uri="{FF2B5EF4-FFF2-40B4-BE49-F238E27FC236}">
              <a16:creationId xmlns:a16="http://schemas.microsoft.com/office/drawing/2014/main" id="{05C52AFE-AA09-43B9-A504-51A4AB997230}"/>
            </a:ext>
          </a:extLst>
        </xdr:cNvPr>
        <xdr:cNvGrpSpPr/>
      </xdr:nvGrpSpPr>
      <xdr:grpSpPr>
        <a:xfrm>
          <a:off x="26660475" y="37931725"/>
          <a:ext cx="7896225" cy="2832100"/>
          <a:chOff x="11020425" y="39281100"/>
          <a:chExt cx="7058025" cy="2933700"/>
        </a:xfrm>
      </xdr:grpSpPr>
      <xdr:pic>
        <xdr:nvPicPr>
          <xdr:cNvPr id="44" name="Picture 43">
            <a:extLst>
              <a:ext uri="{FF2B5EF4-FFF2-40B4-BE49-F238E27FC236}">
                <a16:creationId xmlns:a16="http://schemas.microsoft.com/office/drawing/2014/main" id="{3D033827-57A1-5F8C-02DD-F9A39D6AB588}"/>
              </a:ext>
            </a:extLst>
          </xdr:cNvPr>
          <xdr:cNvPicPr>
            <a:picLocks noChangeAspect="1"/>
          </xdr:cNvPicPr>
        </xdr:nvPicPr>
        <xdr:blipFill>
          <a:blip xmlns:r="http://schemas.openxmlformats.org/officeDocument/2006/relationships" r:embed="rId17"/>
          <a:stretch>
            <a:fillRect/>
          </a:stretch>
        </xdr:blipFill>
        <xdr:spPr>
          <a:xfrm>
            <a:off x="11020425" y="39871650"/>
            <a:ext cx="4752381" cy="1590476"/>
          </a:xfrm>
          <a:prstGeom prst="rect">
            <a:avLst/>
          </a:prstGeom>
        </xdr:spPr>
      </xdr:pic>
      <xdr:cxnSp macro="">
        <xdr:nvCxnSpPr>
          <xdr:cNvPr id="45" name="Straight Arrow Connector 44">
            <a:extLst>
              <a:ext uri="{FF2B5EF4-FFF2-40B4-BE49-F238E27FC236}">
                <a16:creationId xmlns:a16="http://schemas.microsoft.com/office/drawing/2014/main" id="{765E46B4-48FA-9928-58B8-0D1293FF4DE6}"/>
              </a:ext>
            </a:extLst>
          </xdr:cNvPr>
          <xdr:cNvCxnSpPr/>
        </xdr:nvCxnSpPr>
        <xdr:spPr>
          <a:xfrm>
            <a:off x="13420725" y="39519225"/>
            <a:ext cx="9525" cy="50631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46" name="TextBox 45">
            <a:extLst>
              <a:ext uri="{FF2B5EF4-FFF2-40B4-BE49-F238E27FC236}">
                <a16:creationId xmlns:a16="http://schemas.microsoft.com/office/drawing/2014/main" id="{93BE6C40-E989-1B40-809D-F549228050F0}"/>
              </a:ext>
            </a:extLst>
          </xdr:cNvPr>
          <xdr:cNvSpPr txBox="1"/>
        </xdr:nvSpPr>
        <xdr:spPr>
          <a:xfrm>
            <a:off x="12530699" y="39281100"/>
            <a:ext cx="1699651" cy="2698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100" b="1">
                <a:solidFill>
                  <a:srgbClr val="0000FF"/>
                </a:solidFill>
              </a:rPr>
              <a:t>The name of your company</a:t>
            </a:r>
          </a:p>
        </xdr:txBody>
      </xdr:sp>
      <xdr:cxnSp macro="">
        <xdr:nvCxnSpPr>
          <xdr:cNvPr id="47" name="Straight Arrow Connector 46">
            <a:extLst>
              <a:ext uri="{FF2B5EF4-FFF2-40B4-BE49-F238E27FC236}">
                <a16:creationId xmlns:a16="http://schemas.microsoft.com/office/drawing/2014/main" id="{0BA5CC9F-7066-E754-E589-8525C7453D20}"/>
              </a:ext>
            </a:extLst>
          </xdr:cNvPr>
          <xdr:cNvCxnSpPr/>
        </xdr:nvCxnSpPr>
        <xdr:spPr>
          <a:xfrm flipV="1">
            <a:off x="12782550" y="40530360"/>
            <a:ext cx="457200" cy="23664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48" name="TextBox 47">
            <a:extLst>
              <a:ext uri="{FF2B5EF4-FFF2-40B4-BE49-F238E27FC236}">
                <a16:creationId xmlns:a16="http://schemas.microsoft.com/office/drawing/2014/main" id="{D8AC46A5-579B-1A75-AADF-AC1975C73F8A}"/>
              </a:ext>
            </a:extLst>
          </xdr:cNvPr>
          <xdr:cNvSpPr txBox="1"/>
        </xdr:nvSpPr>
        <xdr:spPr>
          <a:xfrm>
            <a:off x="11639551" y="40519350"/>
            <a:ext cx="1238249" cy="457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lang="en-US" sz="1100" b="1">
                <a:solidFill>
                  <a:srgbClr val="0000FF"/>
                </a:solidFill>
              </a:rPr>
              <a:t>The start month of </a:t>
            </a:r>
          </a:p>
          <a:p>
            <a:pPr algn="ctr"/>
            <a:r>
              <a:rPr lang="en-US" sz="1100" b="1">
                <a:solidFill>
                  <a:srgbClr val="0000FF"/>
                </a:solidFill>
              </a:rPr>
              <a:t>your projections</a:t>
            </a:r>
          </a:p>
        </xdr:txBody>
      </xdr:sp>
      <xdr:cxnSp macro="">
        <xdr:nvCxnSpPr>
          <xdr:cNvPr id="49" name="Straight Arrow Connector 48">
            <a:extLst>
              <a:ext uri="{FF2B5EF4-FFF2-40B4-BE49-F238E27FC236}">
                <a16:creationId xmlns:a16="http://schemas.microsoft.com/office/drawing/2014/main" id="{2330AA48-860E-CE29-B567-F618078FEA76}"/>
              </a:ext>
            </a:extLst>
          </xdr:cNvPr>
          <xdr:cNvCxnSpPr/>
        </xdr:nvCxnSpPr>
        <xdr:spPr>
          <a:xfrm flipH="1">
            <a:off x="15078075" y="39833550"/>
            <a:ext cx="514350" cy="50631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50" name="TextBox 49">
            <a:extLst>
              <a:ext uri="{FF2B5EF4-FFF2-40B4-BE49-F238E27FC236}">
                <a16:creationId xmlns:a16="http://schemas.microsoft.com/office/drawing/2014/main" id="{BB8E63AD-EE7B-2CA1-9480-B26B590732B5}"/>
              </a:ext>
            </a:extLst>
          </xdr:cNvPr>
          <xdr:cNvSpPr txBox="1"/>
        </xdr:nvSpPr>
        <xdr:spPr>
          <a:xfrm>
            <a:off x="14559524" y="39385875"/>
            <a:ext cx="2261626" cy="495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lang="en-US" sz="1100" b="1">
                <a:solidFill>
                  <a:srgbClr val="0000FF"/>
                </a:solidFill>
              </a:rPr>
              <a:t>If you have transactions before</a:t>
            </a:r>
            <a:r>
              <a:rPr lang="en-US" sz="1100" b="1" baseline="0">
                <a:solidFill>
                  <a:srgbClr val="0000FF"/>
                </a:solidFill>
              </a:rPr>
              <a:t> the </a:t>
            </a:r>
          </a:p>
          <a:p>
            <a:pPr algn="ctr"/>
            <a:r>
              <a:rPr lang="en-US" sz="1100" b="1" baseline="0">
                <a:solidFill>
                  <a:srgbClr val="0000FF"/>
                </a:solidFill>
              </a:rPr>
              <a:t>start month of your projections</a:t>
            </a:r>
            <a:endParaRPr lang="en-US" sz="1100" b="1">
              <a:solidFill>
                <a:srgbClr val="0000FF"/>
              </a:solidFill>
            </a:endParaRPr>
          </a:p>
        </xdr:txBody>
      </xdr:sp>
      <xdr:cxnSp macro="">
        <xdr:nvCxnSpPr>
          <xdr:cNvPr id="51" name="Straight Arrow Connector 50">
            <a:extLst>
              <a:ext uri="{FF2B5EF4-FFF2-40B4-BE49-F238E27FC236}">
                <a16:creationId xmlns:a16="http://schemas.microsoft.com/office/drawing/2014/main" id="{EC2A2467-0972-AF5E-8CC9-C47884BE4B21}"/>
              </a:ext>
            </a:extLst>
          </xdr:cNvPr>
          <xdr:cNvCxnSpPr/>
        </xdr:nvCxnSpPr>
        <xdr:spPr>
          <a:xfrm flipH="1">
            <a:off x="15563850" y="40338375"/>
            <a:ext cx="1066800" cy="18246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52" name="TextBox 51">
            <a:extLst>
              <a:ext uri="{FF2B5EF4-FFF2-40B4-BE49-F238E27FC236}">
                <a16:creationId xmlns:a16="http://schemas.microsoft.com/office/drawing/2014/main" id="{61957D09-6463-FA67-22C6-C93D07296C30}"/>
              </a:ext>
            </a:extLst>
          </xdr:cNvPr>
          <xdr:cNvSpPr txBox="1"/>
        </xdr:nvSpPr>
        <xdr:spPr>
          <a:xfrm>
            <a:off x="16583025" y="40014525"/>
            <a:ext cx="1495425" cy="495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lang="en-US" sz="1100" b="1">
                <a:solidFill>
                  <a:srgbClr val="0000FF"/>
                </a:solidFill>
              </a:rPr>
              <a:t>Click this link to enter </a:t>
            </a:r>
          </a:p>
          <a:p>
            <a:pPr algn="ctr"/>
            <a:r>
              <a:rPr lang="en-US" sz="1100" b="1">
                <a:solidFill>
                  <a:srgbClr val="0000FF"/>
                </a:solidFill>
              </a:rPr>
              <a:t>your</a:t>
            </a:r>
            <a:r>
              <a:rPr lang="en-US" sz="1100" b="1" baseline="0">
                <a:solidFill>
                  <a:srgbClr val="0000FF"/>
                </a:solidFill>
              </a:rPr>
              <a:t> Historical info</a:t>
            </a:r>
            <a:endParaRPr lang="en-US" sz="1100" b="1">
              <a:solidFill>
                <a:srgbClr val="0000FF"/>
              </a:solidFill>
            </a:endParaRPr>
          </a:p>
        </xdr:txBody>
      </xdr:sp>
      <xdr:cxnSp macro="">
        <xdr:nvCxnSpPr>
          <xdr:cNvPr id="53" name="Straight Arrow Connector 52">
            <a:extLst>
              <a:ext uri="{FF2B5EF4-FFF2-40B4-BE49-F238E27FC236}">
                <a16:creationId xmlns:a16="http://schemas.microsoft.com/office/drawing/2014/main" id="{9DE04B09-A918-2D0E-FA98-428407026E03}"/>
              </a:ext>
            </a:extLst>
          </xdr:cNvPr>
          <xdr:cNvCxnSpPr/>
        </xdr:nvCxnSpPr>
        <xdr:spPr>
          <a:xfrm flipV="1">
            <a:off x="12744450" y="41159010"/>
            <a:ext cx="457200" cy="23664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54" name="TextBox 53">
            <a:extLst>
              <a:ext uri="{FF2B5EF4-FFF2-40B4-BE49-F238E27FC236}">
                <a16:creationId xmlns:a16="http://schemas.microsoft.com/office/drawing/2014/main" id="{272B811E-AE68-135E-6A71-A40CA7573B53}"/>
              </a:ext>
            </a:extLst>
          </xdr:cNvPr>
          <xdr:cNvSpPr txBox="1"/>
        </xdr:nvSpPr>
        <xdr:spPr>
          <a:xfrm>
            <a:off x="11353800" y="41157525"/>
            <a:ext cx="1447799" cy="457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lang="en-US" sz="1100" b="1">
                <a:solidFill>
                  <a:srgbClr val="0000FF"/>
                </a:solidFill>
              </a:rPr>
              <a:t>What</a:t>
            </a:r>
            <a:r>
              <a:rPr lang="en-US" sz="1100" b="1" baseline="0">
                <a:solidFill>
                  <a:srgbClr val="0000FF"/>
                </a:solidFill>
              </a:rPr>
              <a:t> type of company </a:t>
            </a:r>
          </a:p>
          <a:p>
            <a:pPr algn="ctr"/>
            <a:r>
              <a:rPr lang="en-US" sz="1100" b="1" baseline="0">
                <a:solidFill>
                  <a:srgbClr val="0000FF"/>
                </a:solidFill>
              </a:rPr>
              <a:t>you have</a:t>
            </a:r>
            <a:endParaRPr lang="en-US" sz="1100" b="1">
              <a:solidFill>
                <a:srgbClr val="0000FF"/>
              </a:solidFill>
            </a:endParaRPr>
          </a:p>
        </xdr:txBody>
      </xdr:sp>
      <xdr:cxnSp macro="">
        <xdr:nvCxnSpPr>
          <xdr:cNvPr id="55" name="Straight Arrow Connector 54">
            <a:extLst>
              <a:ext uri="{FF2B5EF4-FFF2-40B4-BE49-F238E27FC236}">
                <a16:creationId xmlns:a16="http://schemas.microsoft.com/office/drawing/2014/main" id="{1D80BCF0-2C24-DEB5-A47D-492CC1268421}"/>
              </a:ext>
            </a:extLst>
          </xdr:cNvPr>
          <xdr:cNvCxnSpPr/>
        </xdr:nvCxnSpPr>
        <xdr:spPr>
          <a:xfrm flipH="1" flipV="1">
            <a:off x="14925675" y="41195625"/>
            <a:ext cx="304800" cy="32385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56" name="TextBox 55">
            <a:extLst>
              <a:ext uri="{FF2B5EF4-FFF2-40B4-BE49-F238E27FC236}">
                <a16:creationId xmlns:a16="http://schemas.microsoft.com/office/drawing/2014/main" id="{88D720A2-A3A2-BBC3-2440-3E78FA0F357E}"/>
              </a:ext>
            </a:extLst>
          </xdr:cNvPr>
          <xdr:cNvSpPr txBox="1"/>
        </xdr:nvSpPr>
        <xdr:spPr>
          <a:xfrm>
            <a:off x="14325601" y="41509950"/>
            <a:ext cx="2124074" cy="7048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lang="en-US" sz="1100" b="1">
                <a:solidFill>
                  <a:srgbClr val="0000FF"/>
                </a:solidFill>
              </a:rPr>
              <a:t>For C Corps only.</a:t>
            </a:r>
          </a:p>
          <a:p>
            <a:pPr algn="ctr"/>
            <a:r>
              <a:rPr lang="en-US" sz="1100" b="1">
                <a:solidFill>
                  <a:srgbClr val="0000FF"/>
                </a:solidFill>
              </a:rPr>
              <a:t>21% federal</a:t>
            </a:r>
            <a:r>
              <a:rPr lang="en-US" sz="1100" b="1" baseline="0">
                <a:solidFill>
                  <a:srgbClr val="0000FF"/>
                </a:solidFill>
              </a:rPr>
              <a:t> tax rate, enter an </a:t>
            </a:r>
          </a:p>
          <a:p>
            <a:pPr algn="ctr"/>
            <a:r>
              <a:rPr lang="en-US" sz="1100" b="1" baseline="0">
                <a:solidFill>
                  <a:srgbClr val="0000FF"/>
                </a:solidFill>
              </a:rPr>
              <a:t>estimate for the state of domicile</a:t>
            </a:r>
            <a:endParaRPr lang="en-US" sz="1100" b="1">
              <a:solidFill>
                <a:srgbClr val="0000FF"/>
              </a:solidFill>
            </a:endParaRPr>
          </a:p>
        </xdr:txBody>
      </xdr:sp>
    </xdr:grpSp>
    <xdr:clientData/>
  </xdr:twoCellAnchor>
  <xdr:twoCellAnchor editAs="oneCell">
    <xdr:from>
      <xdr:col>1</xdr:col>
      <xdr:colOff>571500</xdr:colOff>
      <xdr:row>212</xdr:row>
      <xdr:rowOff>57150</xdr:rowOff>
    </xdr:from>
    <xdr:to>
      <xdr:col>13</xdr:col>
      <xdr:colOff>237252</xdr:colOff>
      <xdr:row>227</xdr:row>
      <xdr:rowOff>113936</xdr:rowOff>
    </xdr:to>
    <xdr:pic>
      <xdr:nvPicPr>
        <xdr:cNvPr id="57" name="Picture 56">
          <a:extLst>
            <a:ext uri="{FF2B5EF4-FFF2-40B4-BE49-F238E27FC236}">
              <a16:creationId xmlns:a16="http://schemas.microsoft.com/office/drawing/2014/main" id="{8C0B58B8-C7CF-4DC7-97A8-6EB1DAC01BA7}"/>
            </a:ext>
          </a:extLst>
        </xdr:cNvPr>
        <xdr:cNvPicPr>
          <a:picLocks noChangeAspect="1"/>
        </xdr:cNvPicPr>
      </xdr:nvPicPr>
      <xdr:blipFill>
        <a:blip xmlns:r="http://schemas.openxmlformats.org/officeDocument/2006/relationships" r:embed="rId18"/>
        <a:stretch>
          <a:fillRect/>
        </a:stretch>
      </xdr:blipFill>
      <xdr:spPr>
        <a:xfrm>
          <a:off x="1181100" y="40471725"/>
          <a:ext cx="6980952" cy="2914286"/>
        </a:xfrm>
        <a:prstGeom prst="rect">
          <a:avLst/>
        </a:prstGeom>
      </xdr:spPr>
    </xdr:pic>
    <xdr:clientData/>
  </xdr:twoCellAnchor>
  <xdr:twoCellAnchor>
    <xdr:from>
      <xdr:col>1</xdr:col>
      <xdr:colOff>466725</xdr:colOff>
      <xdr:row>271</xdr:row>
      <xdr:rowOff>85725</xdr:rowOff>
    </xdr:from>
    <xdr:to>
      <xdr:col>14</xdr:col>
      <xdr:colOff>132401</xdr:colOff>
      <xdr:row>305</xdr:row>
      <xdr:rowOff>57118</xdr:rowOff>
    </xdr:to>
    <xdr:grpSp>
      <xdr:nvGrpSpPr>
        <xdr:cNvPr id="58" name="Group 57">
          <a:extLst>
            <a:ext uri="{FF2B5EF4-FFF2-40B4-BE49-F238E27FC236}">
              <a16:creationId xmlns:a16="http://schemas.microsoft.com/office/drawing/2014/main" id="{3674CA90-D19B-4D47-B88F-0B70A886C3C7}"/>
            </a:ext>
          </a:extLst>
        </xdr:cNvPr>
        <xdr:cNvGrpSpPr/>
      </xdr:nvGrpSpPr>
      <xdr:grpSpPr>
        <a:xfrm>
          <a:off x="1152525" y="50009425"/>
          <a:ext cx="8581076" cy="6232493"/>
          <a:chOff x="12801600" y="47272575"/>
          <a:chExt cx="7590476" cy="6448393"/>
        </a:xfrm>
      </xdr:grpSpPr>
      <xdr:pic>
        <xdr:nvPicPr>
          <xdr:cNvPr id="59" name="Picture 58">
            <a:extLst>
              <a:ext uri="{FF2B5EF4-FFF2-40B4-BE49-F238E27FC236}">
                <a16:creationId xmlns:a16="http://schemas.microsoft.com/office/drawing/2014/main" id="{0C8EBB04-05D4-1766-FCD8-D29BAB2904EA}"/>
              </a:ext>
            </a:extLst>
          </xdr:cNvPr>
          <xdr:cNvPicPr>
            <a:picLocks noChangeAspect="1"/>
          </xdr:cNvPicPr>
        </xdr:nvPicPr>
        <xdr:blipFill>
          <a:blip xmlns:r="http://schemas.openxmlformats.org/officeDocument/2006/relationships" r:embed="rId19"/>
          <a:stretch>
            <a:fillRect/>
          </a:stretch>
        </xdr:blipFill>
        <xdr:spPr>
          <a:xfrm>
            <a:off x="12801600" y="47272575"/>
            <a:ext cx="7590476" cy="6209524"/>
          </a:xfrm>
          <a:prstGeom prst="rect">
            <a:avLst/>
          </a:prstGeom>
        </xdr:spPr>
      </xdr:pic>
      <xdr:pic>
        <xdr:nvPicPr>
          <xdr:cNvPr id="60" name="Picture 59">
            <a:extLst>
              <a:ext uri="{FF2B5EF4-FFF2-40B4-BE49-F238E27FC236}">
                <a16:creationId xmlns:a16="http://schemas.microsoft.com/office/drawing/2014/main" id="{8F4DC156-6A41-C84F-BD8C-9F0326478646}"/>
              </a:ext>
            </a:extLst>
          </xdr:cNvPr>
          <xdr:cNvPicPr>
            <a:picLocks noChangeAspect="1"/>
          </xdr:cNvPicPr>
        </xdr:nvPicPr>
        <xdr:blipFill>
          <a:blip xmlns:r="http://schemas.openxmlformats.org/officeDocument/2006/relationships" r:embed="rId20"/>
          <a:stretch>
            <a:fillRect/>
          </a:stretch>
        </xdr:blipFill>
        <xdr:spPr>
          <a:xfrm>
            <a:off x="13954125" y="53463825"/>
            <a:ext cx="1666667" cy="257143"/>
          </a:xfrm>
          <a:prstGeom prst="rect">
            <a:avLst/>
          </a:prstGeom>
        </xdr:spPr>
      </xdr:pic>
    </xdr:grpSp>
    <xdr:clientData/>
  </xdr:twoCellAnchor>
  <xdr:twoCellAnchor>
    <xdr:from>
      <xdr:col>29</xdr:col>
      <xdr:colOff>238125</xdr:colOff>
      <xdr:row>305</xdr:row>
      <xdr:rowOff>28575</xdr:rowOff>
    </xdr:from>
    <xdr:to>
      <xdr:col>45</xdr:col>
      <xdr:colOff>147076</xdr:colOff>
      <xdr:row>335</xdr:row>
      <xdr:rowOff>76200</xdr:rowOff>
    </xdr:to>
    <xdr:grpSp>
      <xdr:nvGrpSpPr>
        <xdr:cNvPr id="61" name="Group 60">
          <a:extLst>
            <a:ext uri="{FF2B5EF4-FFF2-40B4-BE49-F238E27FC236}">
              <a16:creationId xmlns:a16="http://schemas.microsoft.com/office/drawing/2014/main" id="{23CEE5FE-9107-4FBB-AABC-2DDF8420B87C}"/>
            </a:ext>
          </a:extLst>
        </xdr:cNvPr>
        <xdr:cNvGrpSpPr/>
      </xdr:nvGrpSpPr>
      <xdr:grpSpPr>
        <a:xfrm>
          <a:off x="23326725" y="56213375"/>
          <a:ext cx="10881751" cy="5572125"/>
          <a:chOff x="8229600" y="57883425"/>
          <a:chExt cx="9662551" cy="5762625"/>
        </a:xfrm>
      </xdr:grpSpPr>
      <xdr:grpSp>
        <xdr:nvGrpSpPr>
          <xdr:cNvPr id="62" name="Group 61">
            <a:extLst>
              <a:ext uri="{FF2B5EF4-FFF2-40B4-BE49-F238E27FC236}">
                <a16:creationId xmlns:a16="http://schemas.microsoft.com/office/drawing/2014/main" id="{9BB0CBF2-42B6-6005-D1AF-1E3716D2062A}"/>
              </a:ext>
            </a:extLst>
          </xdr:cNvPr>
          <xdr:cNvGrpSpPr/>
        </xdr:nvGrpSpPr>
        <xdr:grpSpPr>
          <a:xfrm>
            <a:off x="10001250" y="58512075"/>
            <a:ext cx="6352659" cy="4876190"/>
            <a:chOff x="10001250" y="58512075"/>
            <a:chExt cx="6352659" cy="4876190"/>
          </a:xfrm>
        </xdr:grpSpPr>
        <xdr:grpSp>
          <xdr:nvGrpSpPr>
            <xdr:cNvPr id="88" name="Group 87">
              <a:extLst>
                <a:ext uri="{FF2B5EF4-FFF2-40B4-BE49-F238E27FC236}">
                  <a16:creationId xmlns:a16="http://schemas.microsoft.com/office/drawing/2014/main" id="{0E074964-4FE6-4C20-AE46-9F2B68DC0327}"/>
                </a:ext>
              </a:extLst>
            </xdr:cNvPr>
            <xdr:cNvGrpSpPr/>
          </xdr:nvGrpSpPr>
          <xdr:grpSpPr>
            <a:xfrm>
              <a:off x="10001250" y="58512075"/>
              <a:ext cx="6352659" cy="4876190"/>
              <a:chOff x="10001250" y="58512075"/>
              <a:chExt cx="6352659" cy="4876190"/>
            </a:xfrm>
          </xdr:grpSpPr>
          <xdr:grpSp>
            <xdr:nvGrpSpPr>
              <xdr:cNvPr id="90" name="Group 89">
                <a:extLst>
                  <a:ext uri="{FF2B5EF4-FFF2-40B4-BE49-F238E27FC236}">
                    <a16:creationId xmlns:a16="http://schemas.microsoft.com/office/drawing/2014/main" id="{AC24AA6A-832D-DE4F-60D1-23D91C064B49}"/>
                  </a:ext>
                </a:extLst>
              </xdr:cNvPr>
              <xdr:cNvGrpSpPr/>
            </xdr:nvGrpSpPr>
            <xdr:grpSpPr>
              <a:xfrm>
                <a:off x="10001250" y="58512075"/>
                <a:ext cx="6342857" cy="4876190"/>
                <a:chOff x="10001250" y="58512075"/>
                <a:chExt cx="6342857" cy="4876190"/>
              </a:xfrm>
            </xdr:grpSpPr>
            <xdr:pic>
              <xdr:nvPicPr>
                <xdr:cNvPr id="92" name="Picture 91">
                  <a:extLst>
                    <a:ext uri="{FF2B5EF4-FFF2-40B4-BE49-F238E27FC236}">
                      <a16:creationId xmlns:a16="http://schemas.microsoft.com/office/drawing/2014/main" id="{01CCBBAE-73C2-40CE-27BC-59F74CF144F8}"/>
                    </a:ext>
                  </a:extLst>
                </xdr:cNvPr>
                <xdr:cNvPicPr>
                  <a:picLocks noChangeAspect="1"/>
                </xdr:cNvPicPr>
              </xdr:nvPicPr>
              <xdr:blipFill>
                <a:blip xmlns:r="http://schemas.openxmlformats.org/officeDocument/2006/relationships" r:embed="rId21"/>
                <a:stretch>
                  <a:fillRect/>
                </a:stretch>
              </xdr:blipFill>
              <xdr:spPr>
                <a:xfrm>
                  <a:off x="10001250" y="58512075"/>
                  <a:ext cx="6342857" cy="4876190"/>
                </a:xfrm>
                <a:prstGeom prst="rect">
                  <a:avLst/>
                </a:prstGeom>
              </xdr:spPr>
            </xdr:pic>
            <xdr:pic>
              <xdr:nvPicPr>
                <xdr:cNvPr id="93" name="Picture 92">
                  <a:extLst>
                    <a:ext uri="{FF2B5EF4-FFF2-40B4-BE49-F238E27FC236}">
                      <a16:creationId xmlns:a16="http://schemas.microsoft.com/office/drawing/2014/main" id="{38034585-E0B6-7BC4-E2B3-0A9910526246}"/>
                    </a:ext>
                  </a:extLst>
                </xdr:cNvPr>
                <xdr:cNvPicPr>
                  <a:picLocks noChangeAspect="1"/>
                </xdr:cNvPicPr>
              </xdr:nvPicPr>
              <xdr:blipFill>
                <a:blip xmlns:r="http://schemas.openxmlformats.org/officeDocument/2006/relationships" r:embed="rId22"/>
                <a:stretch>
                  <a:fillRect/>
                </a:stretch>
              </xdr:blipFill>
              <xdr:spPr>
                <a:xfrm>
                  <a:off x="13963650" y="58683525"/>
                  <a:ext cx="1476190" cy="800000"/>
                </a:xfrm>
                <a:prstGeom prst="rect">
                  <a:avLst/>
                </a:prstGeom>
              </xdr:spPr>
            </xdr:pic>
          </xdr:grpSp>
          <xdr:pic>
            <xdr:nvPicPr>
              <xdr:cNvPr id="91" name="Picture 90">
                <a:extLst>
                  <a:ext uri="{FF2B5EF4-FFF2-40B4-BE49-F238E27FC236}">
                    <a16:creationId xmlns:a16="http://schemas.microsoft.com/office/drawing/2014/main" id="{36A26ABD-7C1E-6BA6-1E19-00E5B398267C}"/>
                  </a:ext>
                </a:extLst>
              </xdr:cNvPr>
              <xdr:cNvPicPr>
                <a:picLocks noChangeAspect="1"/>
              </xdr:cNvPicPr>
            </xdr:nvPicPr>
            <xdr:blipFill>
              <a:blip xmlns:r="http://schemas.openxmlformats.org/officeDocument/2006/relationships" r:embed="rId23"/>
              <a:stretch>
                <a:fillRect/>
              </a:stretch>
            </xdr:blipFill>
            <xdr:spPr>
              <a:xfrm>
                <a:off x="12230100" y="60017025"/>
                <a:ext cx="4123809" cy="438095"/>
              </a:xfrm>
              <a:prstGeom prst="rect">
                <a:avLst/>
              </a:prstGeom>
            </xdr:spPr>
          </xdr:pic>
        </xdr:grpSp>
        <xdr:pic>
          <xdr:nvPicPr>
            <xdr:cNvPr id="89" name="Picture 88">
              <a:extLst>
                <a:ext uri="{FF2B5EF4-FFF2-40B4-BE49-F238E27FC236}">
                  <a16:creationId xmlns:a16="http://schemas.microsoft.com/office/drawing/2014/main" id="{ED881557-E081-6B66-72EC-D9DB6A45D6AA}"/>
                </a:ext>
              </a:extLst>
            </xdr:cNvPr>
            <xdr:cNvPicPr>
              <a:picLocks noChangeAspect="1"/>
            </xdr:cNvPicPr>
          </xdr:nvPicPr>
          <xdr:blipFill>
            <a:blip xmlns:r="http://schemas.openxmlformats.org/officeDocument/2006/relationships" r:embed="rId24"/>
            <a:stretch>
              <a:fillRect/>
            </a:stretch>
          </xdr:blipFill>
          <xdr:spPr>
            <a:xfrm>
              <a:off x="12201525" y="60559950"/>
              <a:ext cx="4123809" cy="219048"/>
            </a:xfrm>
            <a:prstGeom prst="rect">
              <a:avLst/>
            </a:prstGeom>
          </xdr:spPr>
        </xdr:pic>
      </xdr:grpSp>
      <xdr:sp macro="" textlink="">
        <xdr:nvSpPr>
          <xdr:cNvPr id="63" name="TextBox 62">
            <a:extLst>
              <a:ext uri="{FF2B5EF4-FFF2-40B4-BE49-F238E27FC236}">
                <a16:creationId xmlns:a16="http://schemas.microsoft.com/office/drawing/2014/main" id="{9327DA46-B142-7633-72D0-49EEC7957A1E}"/>
              </a:ext>
            </a:extLst>
          </xdr:cNvPr>
          <xdr:cNvSpPr txBox="1"/>
        </xdr:nvSpPr>
        <xdr:spPr>
          <a:xfrm>
            <a:off x="12030075" y="57883425"/>
            <a:ext cx="3371850" cy="628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lang="en-US" sz="1400" b="1">
                <a:solidFill>
                  <a:schemeClr val="tx1">
                    <a:lumMod val="75000"/>
                    <a:lumOff val="25000"/>
                  </a:schemeClr>
                </a:solidFill>
              </a:rPr>
              <a:t>You</a:t>
            </a:r>
            <a:r>
              <a:rPr lang="en-US" sz="1400" b="1" baseline="0">
                <a:solidFill>
                  <a:schemeClr val="tx1">
                    <a:lumMod val="75000"/>
                    <a:lumOff val="25000"/>
                  </a:schemeClr>
                </a:solidFill>
              </a:rPr>
              <a:t> can have both one-time sales - </a:t>
            </a:r>
          </a:p>
          <a:p>
            <a:pPr algn="ctr"/>
            <a:r>
              <a:rPr lang="en-US" sz="1400" b="1" baseline="0">
                <a:solidFill>
                  <a:schemeClr val="tx1">
                    <a:lumMod val="75000"/>
                    <a:lumOff val="25000"/>
                  </a:schemeClr>
                </a:solidFill>
              </a:rPr>
              <a:t>Products / Services, and Recurring Sales.</a:t>
            </a:r>
            <a:endParaRPr lang="en-US" sz="1400" b="1">
              <a:solidFill>
                <a:schemeClr val="tx1">
                  <a:lumMod val="75000"/>
                  <a:lumOff val="25000"/>
                </a:schemeClr>
              </a:solidFill>
            </a:endParaRPr>
          </a:p>
        </xdr:txBody>
      </xdr:sp>
      <xdr:cxnSp macro="">
        <xdr:nvCxnSpPr>
          <xdr:cNvPr id="64" name="Straight Arrow Connector 63">
            <a:extLst>
              <a:ext uri="{FF2B5EF4-FFF2-40B4-BE49-F238E27FC236}">
                <a16:creationId xmlns:a16="http://schemas.microsoft.com/office/drawing/2014/main" id="{5E54787F-BAE0-F221-207A-F138F2E65075}"/>
              </a:ext>
            </a:extLst>
          </xdr:cNvPr>
          <xdr:cNvCxnSpPr/>
        </xdr:nvCxnSpPr>
        <xdr:spPr>
          <a:xfrm>
            <a:off x="11462776" y="59131200"/>
            <a:ext cx="776849" cy="19050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65" name="TextBox 64">
            <a:extLst>
              <a:ext uri="{FF2B5EF4-FFF2-40B4-BE49-F238E27FC236}">
                <a16:creationId xmlns:a16="http://schemas.microsoft.com/office/drawing/2014/main" id="{DDDDC280-C5F5-A859-6DB2-32660FF07BE7}"/>
              </a:ext>
            </a:extLst>
          </xdr:cNvPr>
          <xdr:cNvSpPr txBox="1"/>
        </xdr:nvSpPr>
        <xdr:spPr>
          <a:xfrm>
            <a:off x="9944101" y="58883550"/>
            <a:ext cx="2109226" cy="2698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100" b="1">
                <a:solidFill>
                  <a:srgbClr val="0000FF"/>
                </a:solidFill>
              </a:rPr>
              <a:t>Select Products and/or</a:t>
            </a:r>
            <a:r>
              <a:rPr lang="en-US" sz="1100" b="1" baseline="0">
                <a:solidFill>
                  <a:srgbClr val="0000FF"/>
                </a:solidFill>
              </a:rPr>
              <a:t> Services</a:t>
            </a:r>
            <a:endParaRPr lang="en-US" sz="1100" b="1">
              <a:solidFill>
                <a:srgbClr val="0000FF"/>
              </a:solidFill>
            </a:endParaRPr>
          </a:p>
        </xdr:txBody>
      </xdr:sp>
      <xdr:cxnSp macro="">
        <xdr:nvCxnSpPr>
          <xdr:cNvPr id="66" name="Straight Arrow Connector 65">
            <a:extLst>
              <a:ext uri="{FF2B5EF4-FFF2-40B4-BE49-F238E27FC236}">
                <a16:creationId xmlns:a16="http://schemas.microsoft.com/office/drawing/2014/main" id="{D4D023C5-6525-5147-3FAF-9D2B5E8E3E8B}"/>
              </a:ext>
            </a:extLst>
          </xdr:cNvPr>
          <xdr:cNvCxnSpPr/>
        </xdr:nvCxnSpPr>
        <xdr:spPr>
          <a:xfrm flipH="1">
            <a:off x="15373350" y="58578750"/>
            <a:ext cx="699525" cy="60007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67" name="TextBox 66">
            <a:extLst>
              <a:ext uri="{FF2B5EF4-FFF2-40B4-BE49-F238E27FC236}">
                <a16:creationId xmlns:a16="http://schemas.microsoft.com/office/drawing/2014/main" id="{C794A5CE-BABF-5696-9FB1-F4267C193E49}"/>
              </a:ext>
            </a:extLst>
          </xdr:cNvPr>
          <xdr:cNvSpPr txBox="1"/>
        </xdr:nvSpPr>
        <xdr:spPr>
          <a:xfrm>
            <a:off x="15782925" y="58197750"/>
            <a:ext cx="2109226" cy="4381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lang="en-US" sz="1100" b="1">
                <a:solidFill>
                  <a:srgbClr val="0000FF"/>
                </a:solidFill>
              </a:rPr>
              <a:t>If you have Recurring sales, </a:t>
            </a:r>
          </a:p>
          <a:p>
            <a:pPr algn="ctr"/>
            <a:r>
              <a:rPr lang="en-US" sz="1100" b="1">
                <a:solidFill>
                  <a:srgbClr val="0000FF"/>
                </a:solidFill>
              </a:rPr>
              <a:t>click the</a:t>
            </a:r>
            <a:r>
              <a:rPr lang="en-US" sz="1100" b="1" baseline="0">
                <a:solidFill>
                  <a:srgbClr val="0000FF"/>
                </a:solidFill>
              </a:rPr>
              <a:t> link that appears</a:t>
            </a:r>
            <a:endParaRPr lang="en-US" sz="1100" b="1">
              <a:solidFill>
                <a:srgbClr val="0000FF"/>
              </a:solidFill>
            </a:endParaRPr>
          </a:p>
        </xdr:txBody>
      </xdr:sp>
      <xdr:cxnSp macro="">
        <xdr:nvCxnSpPr>
          <xdr:cNvPr id="68" name="Straight Arrow Connector 67">
            <a:extLst>
              <a:ext uri="{FF2B5EF4-FFF2-40B4-BE49-F238E27FC236}">
                <a16:creationId xmlns:a16="http://schemas.microsoft.com/office/drawing/2014/main" id="{FEA4EE0E-9E45-568B-5792-9B7F96735683}"/>
              </a:ext>
            </a:extLst>
          </xdr:cNvPr>
          <xdr:cNvCxnSpPr/>
        </xdr:nvCxnSpPr>
        <xdr:spPr>
          <a:xfrm>
            <a:off x="11420475" y="59597925"/>
            <a:ext cx="776849" cy="19050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69" name="TextBox 68">
            <a:extLst>
              <a:ext uri="{FF2B5EF4-FFF2-40B4-BE49-F238E27FC236}">
                <a16:creationId xmlns:a16="http://schemas.microsoft.com/office/drawing/2014/main" id="{02326F0E-CC55-4815-8747-789587E87BF5}"/>
              </a:ext>
            </a:extLst>
          </xdr:cNvPr>
          <xdr:cNvSpPr txBox="1"/>
        </xdr:nvSpPr>
        <xdr:spPr>
          <a:xfrm>
            <a:off x="9877426" y="59312174"/>
            <a:ext cx="2109226" cy="5619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lang="en-US" sz="1100" b="1">
                <a:solidFill>
                  <a:srgbClr val="0000FF"/>
                </a:solidFill>
              </a:rPr>
              <a:t>You can have up to 24 one</a:t>
            </a:r>
            <a:r>
              <a:rPr lang="en-US" sz="1100" b="1" baseline="0">
                <a:solidFill>
                  <a:srgbClr val="0000FF"/>
                </a:solidFill>
              </a:rPr>
              <a:t> time </a:t>
            </a:r>
          </a:p>
          <a:p>
            <a:pPr algn="ctr"/>
            <a:r>
              <a:rPr lang="en-US" sz="1100" b="1" baseline="0">
                <a:solidFill>
                  <a:srgbClr val="0000FF"/>
                </a:solidFill>
              </a:rPr>
              <a:t>sales items</a:t>
            </a:r>
            <a:endParaRPr lang="en-US" sz="1100" b="1">
              <a:solidFill>
                <a:srgbClr val="0000FF"/>
              </a:solidFill>
            </a:endParaRPr>
          </a:p>
        </xdr:txBody>
      </xdr:sp>
      <xdr:cxnSp macro="">
        <xdr:nvCxnSpPr>
          <xdr:cNvPr id="70" name="Straight Arrow Connector 69">
            <a:extLst>
              <a:ext uri="{FF2B5EF4-FFF2-40B4-BE49-F238E27FC236}">
                <a16:creationId xmlns:a16="http://schemas.microsoft.com/office/drawing/2014/main" id="{15B996F8-9D6A-6993-D145-DF51EE0B5291}"/>
              </a:ext>
            </a:extLst>
          </xdr:cNvPr>
          <xdr:cNvCxnSpPr/>
        </xdr:nvCxnSpPr>
        <xdr:spPr>
          <a:xfrm flipV="1">
            <a:off x="10791825" y="60207525"/>
            <a:ext cx="1310249" cy="1905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71" name="TextBox 70">
            <a:extLst>
              <a:ext uri="{FF2B5EF4-FFF2-40B4-BE49-F238E27FC236}">
                <a16:creationId xmlns:a16="http://schemas.microsoft.com/office/drawing/2014/main" id="{185B31F9-9852-5728-59DF-196CCE992F58}"/>
              </a:ext>
            </a:extLst>
          </xdr:cNvPr>
          <xdr:cNvSpPr txBox="1"/>
        </xdr:nvSpPr>
        <xdr:spPr>
          <a:xfrm>
            <a:off x="8896350" y="59893200"/>
            <a:ext cx="2257425" cy="4857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a:solidFill>
                  <a:srgbClr val="0000FF"/>
                </a:solidFill>
              </a:rPr>
              <a:t>Enter the item</a:t>
            </a:r>
            <a:r>
              <a:rPr lang="en-US" sz="1100" b="1" baseline="0">
                <a:solidFill>
                  <a:srgbClr val="0000FF"/>
                </a:solidFill>
              </a:rPr>
              <a:t> name here, and it will appear on the P&amp;L</a:t>
            </a:r>
          </a:p>
        </xdr:txBody>
      </xdr:sp>
      <xdr:cxnSp macro="">
        <xdr:nvCxnSpPr>
          <xdr:cNvPr id="72" name="Straight Arrow Connector 71">
            <a:extLst>
              <a:ext uri="{FF2B5EF4-FFF2-40B4-BE49-F238E27FC236}">
                <a16:creationId xmlns:a16="http://schemas.microsoft.com/office/drawing/2014/main" id="{C35137D8-A97F-707E-6A1E-9E1543D4CFAE}"/>
              </a:ext>
            </a:extLst>
          </xdr:cNvPr>
          <xdr:cNvCxnSpPr/>
        </xdr:nvCxnSpPr>
        <xdr:spPr>
          <a:xfrm flipV="1">
            <a:off x="10448925" y="60674250"/>
            <a:ext cx="1310249" cy="1905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73" name="TextBox 72">
            <a:extLst>
              <a:ext uri="{FF2B5EF4-FFF2-40B4-BE49-F238E27FC236}">
                <a16:creationId xmlns:a16="http://schemas.microsoft.com/office/drawing/2014/main" id="{1B910A05-1F03-43F6-E96C-63CDCDDCE0D2}"/>
              </a:ext>
            </a:extLst>
          </xdr:cNvPr>
          <xdr:cNvSpPr txBox="1"/>
        </xdr:nvSpPr>
        <xdr:spPr>
          <a:xfrm>
            <a:off x="8286750" y="60436125"/>
            <a:ext cx="2257425" cy="4857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a:solidFill>
                  <a:srgbClr val="0000FF"/>
                </a:solidFill>
              </a:rPr>
              <a:t>You can group</a:t>
            </a:r>
            <a:r>
              <a:rPr lang="en-US" sz="1100" b="1" baseline="0">
                <a:solidFill>
                  <a:srgbClr val="0000FF"/>
                </a:solidFill>
              </a:rPr>
              <a:t> items in Categories, and these will appear on the P&amp;L</a:t>
            </a:r>
          </a:p>
        </xdr:txBody>
      </xdr:sp>
      <xdr:cxnSp macro="">
        <xdr:nvCxnSpPr>
          <xdr:cNvPr id="74" name="Straight Arrow Connector 73">
            <a:extLst>
              <a:ext uri="{FF2B5EF4-FFF2-40B4-BE49-F238E27FC236}">
                <a16:creationId xmlns:a16="http://schemas.microsoft.com/office/drawing/2014/main" id="{CC677C15-2EE1-EA15-7F32-F5083F40B934}"/>
              </a:ext>
            </a:extLst>
          </xdr:cNvPr>
          <xdr:cNvCxnSpPr/>
        </xdr:nvCxnSpPr>
        <xdr:spPr>
          <a:xfrm flipV="1">
            <a:off x="10563225" y="61274325"/>
            <a:ext cx="1310249" cy="1905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75" name="TextBox 74">
            <a:extLst>
              <a:ext uri="{FF2B5EF4-FFF2-40B4-BE49-F238E27FC236}">
                <a16:creationId xmlns:a16="http://schemas.microsoft.com/office/drawing/2014/main" id="{BB4878A5-CF84-AB50-5D38-3AF070109052}"/>
              </a:ext>
            </a:extLst>
          </xdr:cNvPr>
          <xdr:cNvSpPr txBox="1"/>
        </xdr:nvSpPr>
        <xdr:spPr>
          <a:xfrm>
            <a:off x="9048751" y="61026675"/>
            <a:ext cx="1676400" cy="4857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a:solidFill>
                  <a:srgbClr val="0000FF"/>
                </a:solidFill>
              </a:rPr>
              <a:t>The price you sell</a:t>
            </a:r>
            <a:r>
              <a:rPr lang="en-US" sz="1100" b="1" baseline="0">
                <a:solidFill>
                  <a:srgbClr val="0000FF"/>
                </a:solidFill>
              </a:rPr>
              <a:t> your item for in each year</a:t>
            </a:r>
          </a:p>
        </xdr:txBody>
      </xdr:sp>
      <xdr:cxnSp macro="">
        <xdr:nvCxnSpPr>
          <xdr:cNvPr id="76" name="Straight Arrow Connector 75">
            <a:extLst>
              <a:ext uri="{FF2B5EF4-FFF2-40B4-BE49-F238E27FC236}">
                <a16:creationId xmlns:a16="http://schemas.microsoft.com/office/drawing/2014/main" id="{5CE4A212-8C63-E655-95B3-BDEC67FC852B}"/>
              </a:ext>
            </a:extLst>
          </xdr:cNvPr>
          <xdr:cNvCxnSpPr/>
        </xdr:nvCxnSpPr>
        <xdr:spPr>
          <a:xfrm>
            <a:off x="10477500" y="61817250"/>
            <a:ext cx="1405498" cy="11430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77" name="TextBox 76">
            <a:extLst>
              <a:ext uri="{FF2B5EF4-FFF2-40B4-BE49-F238E27FC236}">
                <a16:creationId xmlns:a16="http://schemas.microsoft.com/office/drawing/2014/main" id="{86FC6946-00D5-1CCE-1405-9D39137553B2}"/>
              </a:ext>
            </a:extLst>
          </xdr:cNvPr>
          <xdr:cNvSpPr txBox="1"/>
        </xdr:nvSpPr>
        <xdr:spPr>
          <a:xfrm>
            <a:off x="8953500" y="61541025"/>
            <a:ext cx="1676400" cy="4857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a:solidFill>
                  <a:srgbClr val="0000FF"/>
                </a:solidFill>
              </a:rPr>
              <a:t>The cost you pay</a:t>
            </a:r>
            <a:r>
              <a:rPr lang="en-US" sz="1100" b="1" baseline="0">
                <a:solidFill>
                  <a:srgbClr val="0000FF"/>
                </a:solidFill>
              </a:rPr>
              <a:t> for each item for in each year</a:t>
            </a:r>
          </a:p>
        </xdr:txBody>
      </xdr:sp>
      <xdr:cxnSp macro="">
        <xdr:nvCxnSpPr>
          <xdr:cNvPr id="78" name="Straight Arrow Connector 77">
            <a:extLst>
              <a:ext uri="{FF2B5EF4-FFF2-40B4-BE49-F238E27FC236}">
                <a16:creationId xmlns:a16="http://schemas.microsoft.com/office/drawing/2014/main" id="{2AFBFAF6-90BD-BDD8-73A3-CACA4D0C3BAD}"/>
              </a:ext>
            </a:extLst>
          </xdr:cNvPr>
          <xdr:cNvCxnSpPr/>
        </xdr:nvCxnSpPr>
        <xdr:spPr>
          <a:xfrm>
            <a:off x="10077450" y="62293500"/>
            <a:ext cx="1253099" cy="20002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79" name="TextBox 78">
            <a:extLst>
              <a:ext uri="{FF2B5EF4-FFF2-40B4-BE49-F238E27FC236}">
                <a16:creationId xmlns:a16="http://schemas.microsoft.com/office/drawing/2014/main" id="{B226CE0C-41A8-BAA4-7FF3-ADD18DA090D1}"/>
              </a:ext>
            </a:extLst>
          </xdr:cNvPr>
          <xdr:cNvSpPr txBox="1"/>
        </xdr:nvSpPr>
        <xdr:spPr>
          <a:xfrm>
            <a:off x="8229600" y="61941075"/>
            <a:ext cx="1914525" cy="4857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a:solidFill>
                  <a:srgbClr val="0000FF"/>
                </a:solidFill>
              </a:rPr>
              <a:t>This is subracted</a:t>
            </a:r>
            <a:r>
              <a:rPr lang="en-US" sz="1100" b="1" baseline="0">
                <a:solidFill>
                  <a:srgbClr val="0000FF"/>
                </a:solidFill>
              </a:rPr>
              <a:t> from Revenue to give Net Revenue</a:t>
            </a:r>
          </a:p>
        </xdr:txBody>
      </xdr:sp>
      <xdr:sp macro="" textlink="">
        <xdr:nvSpPr>
          <xdr:cNvPr id="80" name="TextBox 79">
            <a:extLst>
              <a:ext uri="{FF2B5EF4-FFF2-40B4-BE49-F238E27FC236}">
                <a16:creationId xmlns:a16="http://schemas.microsoft.com/office/drawing/2014/main" id="{AFEDB9AC-21D9-A738-38B0-B04CA463CDE6}"/>
              </a:ext>
            </a:extLst>
          </xdr:cNvPr>
          <xdr:cNvSpPr txBox="1"/>
        </xdr:nvSpPr>
        <xdr:spPr>
          <a:xfrm>
            <a:off x="8477250" y="62379225"/>
            <a:ext cx="1914525"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a:solidFill>
                  <a:srgbClr val="0000FF"/>
                </a:solidFill>
              </a:rPr>
              <a:t>Paid to your salespeople</a:t>
            </a:r>
            <a:endParaRPr lang="en-US" sz="1100" b="1" baseline="0">
              <a:solidFill>
                <a:srgbClr val="0000FF"/>
              </a:solidFill>
            </a:endParaRPr>
          </a:p>
        </xdr:txBody>
      </xdr:sp>
      <xdr:cxnSp macro="">
        <xdr:nvCxnSpPr>
          <xdr:cNvPr id="81" name="Straight Arrow Connector 80">
            <a:extLst>
              <a:ext uri="{FF2B5EF4-FFF2-40B4-BE49-F238E27FC236}">
                <a16:creationId xmlns:a16="http://schemas.microsoft.com/office/drawing/2014/main" id="{08356F42-3E7F-80C0-CE4F-2E4A0C2F5782}"/>
              </a:ext>
            </a:extLst>
          </xdr:cNvPr>
          <xdr:cNvCxnSpPr/>
        </xdr:nvCxnSpPr>
        <xdr:spPr>
          <a:xfrm>
            <a:off x="10191750" y="62550675"/>
            <a:ext cx="1376924" cy="9525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82" name="Straight Arrow Connector 81">
            <a:extLst>
              <a:ext uri="{FF2B5EF4-FFF2-40B4-BE49-F238E27FC236}">
                <a16:creationId xmlns:a16="http://schemas.microsoft.com/office/drawing/2014/main" id="{762E6A63-C0F6-D893-5AB6-17F78F5ACCF0}"/>
              </a:ext>
            </a:extLst>
          </xdr:cNvPr>
          <xdr:cNvCxnSpPr/>
        </xdr:nvCxnSpPr>
        <xdr:spPr>
          <a:xfrm>
            <a:off x="10115550" y="62788800"/>
            <a:ext cx="1214999" cy="2857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83" name="TextBox 82">
            <a:extLst>
              <a:ext uri="{FF2B5EF4-FFF2-40B4-BE49-F238E27FC236}">
                <a16:creationId xmlns:a16="http://schemas.microsoft.com/office/drawing/2014/main" id="{24B94B67-EE5F-A060-62D8-E477E028BFFD}"/>
              </a:ext>
            </a:extLst>
          </xdr:cNvPr>
          <xdr:cNvSpPr txBox="1"/>
        </xdr:nvSpPr>
        <xdr:spPr>
          <a:xfrm>
            <a:off x="8582025" y="62884050"/>
            <a:ext cx="2457450"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a:solidFill>
                  <a:srgbClr val="0000FF"/>
                </a:solidFill>
              </a:rPr>
              <a:t>Your terms for being</a:t>
            </a:r>
            <a:r>
              <a:rPr lang="en-US" sz="1100" b="1" baseline="0">
                <a:solidFill>
                  <a:srgbClr val="0000FF"/>
                </a:solidFill>
              </a:rPr>
              <a:t> paid and paying</a:t>
            </a:r>
          </a:p>
        </xdr:txBody>
      </xdr:sp>
      <xdr:sp macro="" textlink="">
        <xdr:nvSpPr>
          <xdr:cNvPr id="84" name="Left Brace 83">
            <a:extLst>
              <a:ext uri="{FF2B5EF4-FFF2-40B4-BE49-F238E27FC236}">
                <a16:creationId xmlns:a16="http://schemas.microsoft.com/office/drawing/2014/main" id="{7CBF4B04-B92E-5C50-226C-E179974926C1}"/>
              </a:ext>
            </a:extLst>
          </xdr:cNvPr>
          <xdr:cNvSpPr/>
        </xdr:nvSpPr>
        <xdr:spPr>
          <a:xfrm>
            <a:off x="10925175" y="62884051"/>
            <a:ext cx="304800" cy="285750"/>
          </a:xfrm>
          <a:prstGeom prst="leftBrace">
            <a:avLst/>
          </a:prstGeom>
          <a:ln w="28575">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85" name="TextBox 84">
            <a:extLst>
              <a:ext uri="{FF2B5EF4-FFF2-40B4-BE49-F238E27FC236}">
                <a16:creationId xmlns:a16="http://schemas.microsoft.com/office/drawing/2014/main" id="{3E821FB1-BF95-BBFC-D561-C8A65D511976}"/>
              </a:ext>
            </a:extLst>
          </xdr:cNvPr>
          <xdr:cNvSpPr txBox="1"/>
        </xdr:nvSpPr>
        <xdr:spPr>
          <a:xfrm>
            <a:off x="8353425" y="62626875"/>
            <a:ext cx="1914525"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a:solidFill>
                  <a:srgbClr val="0000FF"/>
                </a:solidFill>
              </a:rPr>
              <a:t>If you have royalties</a:t>
            </a:r>
            <a:r>
              <a:rPr lang="en-US" sz="1100" b="1" baseline="0">
                <a:solidFill>
                  <a:srgbClr val="0000FF"/>
                </a:solidFill>
              </a:rPr>
              <a:t> to pay</a:t>
            </a:r>
          </a:p>
        </xdr:txBody>
      </xdr:sp>
      <xdr:cxnSp macro="">
        <xdr:nvCxnSpPr>
          <xdr:cNvPr id="86" name="Straight Arrow Connector 85">
            <a:extLst>
              <a:ext uri="{FF2B5EF4-FFF2-40B4-BE49-F238E27FC236}">
                <a16:creationId xmlns:a16="http://schemas.microsoft.com/office/drawing/2014/main" id="{C0672DA9-1FEA-E995-3A03-2BCB48BFBB23}"/>
              </a:ext>
            </a:extLst>
          </xdr:cNvPr>
          <xdr:cNvCxnSpPr/>
        </xdr:nvCxnSpPr>
        <xdr:spPr>
          <a:xfrm flipV="1">
            <a:off x="10277475" y="63274575"/>
            <a:ext cx="1234049" cy="9525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87" name="TextBox 86">
            <a:extLst>
              <a:ext uri="{FF2B5EF4-FFF2-40B4-BE49-F238E27FC236}">
                <a16:creationId xmlns:a16="http://schemas.microsoft.com/office/drawing/2014/main" id="{46DEA30E-7229-5B76-F95B-598153A62464}"/>
              </a:ext>
            </a:extLst>
          </xdr:cNvPr>
          <xdr:cNvSpPr txBox="1"/>
        </xdr:nvSpPr>
        <xdr:spPr>
          <a:xfrm>
            <a:off x="8343900" y="63207900"/>
            <a:ext cx="2095500" cy="4381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a:solidFill>
                  <a:srgbClr val="0000FF"/>
                </a:solidFill>
              </a:rPr>
              <a:t>How long you hold inventory before you sell it</a:t>
            </a:r>
            <a:endParaRPr lang="en-US" sz="1100" b="1" baseline="0">
              <a:solidFill>
                <a:srgbClr val="0000FF"/>
              </a:solidFill>
            </a:endParaRPr>
          </a:p>
        </xdr:txBody>
      </xdr:sp>
    </xdr:grpSp>
    <xdr:clientData/>
  </xdr:twoCellAnchor>
  <xdr:twoCellAnchor editAs="oneCell">
    <xdr:from>
      <xdr:col>2</xdr:col>
      <xdr:colOff>257175</xdr:colOff>
      <xdr:row>306</xdr:row>
      <xdr:rowOff>152400</xdr:rowOff>
    </xdr:from>
    <xdr:to>
      <xdr:col>17</xdr:col>
      <xdr:colOff>541746</xdr:colOff>
      <xdr:row>337</xdr:row>
      <xdr:rowOff>18329</xdr:rowOff>
    </xdr:to>
    <xdr:pic>
      <xdr:nvPicPr>
        <xdr:cNvPr id="94" name="Picture 93">
          <a:extLst>
            <a:ext uri="{FF2B5EF4-FFF2-40B4-BE49-F238E27FC236}">
              <a16:creationId xmlns:a16="http://schemas.microsoft.com/office/drawing/2014/main" id="{61BF45CC-A44B-4D90-98BA-3EA27A623376}"/>
            </a:ext>
          </a:extLst>
        </xdr:cNvPr>
        <xdr:cNvPicPr>
          <a:picLocks noChangeAspect="1"/>
        </xdr:cNvPicPr>
      </xdr:nvPicPr>
      <xdr:blipFill>
        <a:blip xmlns:r="http://schemas.openxmlformats.org/officeDocument/2006/relationships" r:embed="rId25"/>
        <a:stretch>
          <a:fillRect/>
        </a:stretch>
      </xdr:blipFill>
      <xdr:spPr>
        <a:xfrm>
          <a:off x="1476375" y="58473975"/>
          <a:ext cx="9428571" cy="5771429"/>
        </a:xfrm>
        <a:prstGeom prst="rect">
          <a:avLst/>
        </a:prstGeom>
      </xdr:spPr>
    </xdr:pic>
    <xdr:clientData/>
  </xdr:twoCellAnchor>
  <xdr:twoCellAnchor>
    <xdr:from>
      <xdr:col>27</xdr:col>
      <xdr:colOff>95250</xdr:colOff>
      <xdr:row>337</xdr:row>
      <xdr:rowOff>9525</xdr:rowOff>
    </xdr:from>
    <xdr:to>
      <xdr:col>44</xdr:col>
      <xdr:colOff>66029</xdr:colOff>
      <xdr:row>359</xdr:row>
      <xdr:rowOff>161443</xdr:rowOff>
    </xdr:to>
    <xdr:grpSp>
      <xdr:nvGrpSpPr>
        <xdr:cNvPr id="95" name="Group 94">
          <a:extLst>
            <a:ext uri="{FF2B5EF4-FFF2-40B4-BE49-F238E27FC236}">
              <a16:creationId xmlns:a16="http://schemas.microsoft.com/office/drawing/2014/main" id="{A144D7C3-74CF-45E8-A8BC-8A9CA23DC494}"/>
            </a:ext>
          </a:extLst>
        </xdr:cNvPr>
        <xdr:cNvGrpSpPr/>
      </xdr:nvGrpSpPr>
      <xdr:grpSpPr>
        <a:xfrm>
          <a:off x="21812250" y="62087125"/>
          <a:ext cx="11629379" cy="4203218"/>
          <a:chOff x="9639300" y="63941325"/>
          <a:chExt cx="10333979" cy="4342918"/>
        </a:xfrm>
      </xdr:grpSpPr>
      <xdr:pic>
        <xdr:nvPicPr>
          <xdr:cNvPr id="96" name="Picture 95">
            <a:extLst>
              <a:ext uri="{FF2B5EF4-FFF2-40B4-BE49-F238E27FC236}">
                <a16:creationId xmlns:a16="http://schemas.microsoft.com/office/drawing/2014/main" id="{70B7720C-64B9-234F-9B12-6034C24E36FC}"/>
              </a:ext>
            </a:extLst>
          </xdr:cNvPr>
          <xdr:cNvPicPr>
            <a:picLocks noChangeAspect="1"/>
          </xdr:cNvPicPr>
        </xdr:nvPicPr>
        <xdr:blipFill>
          <a:blip xmlns:r="http://schemas.openxmlformats.org/officeDocument/2006/relationships" r:embed="rId26"/>
          <a:stretch>
            <a:fillRect/>
          </a:stretch>
        </xdr:blipFill>
        <xdr:spPr>
          <a:xfrm>
            <a:off x="14801850" y="64427100"/>
            <a:ext cx="5171429" cy="3857143"/>
          </a:xfrm>
          <a:prstGeom prst="rect">
            <a:avLst/>
          </a:prstGeom>
        </xdr:spPr>
      </xdr:pic>
      <xdr:sp macro="" textlink="">
        <xdr:nvSpPr>
          <xdr:cNvPr id="97" name="TextBox 96">
            <a:extLst>
              <a:ext uri="{FF2B5EF4-FFF2-40B4-BE49-F238E27FC236}">
                <a16:creationId xmlns:a16="http://schemas.microsoft.com/office/drawing/2014/main" id="{B145C2B1-BD4A-BC3E-BFCE-D8F434601BA7}"/>
              </a:ext>
            </a:extLst>
          </xdr:cNvPr>
          <xdr:cNvSpPr txBox="1"/>
        </xdr:nvSpPr>
        <xdr:spPr>
          <a:xfrm>
            <a:off x="16144875" y="63941325"/>
            <a:ext cx="3371850" cy="3333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lang="en-US" sz="1400" b="1">
                <a:solidFill>
                  <a:schemeClr val="tx1">
                    <a:lumMod val="75000"/>
                    <a:lumOff val="25000"/>
                  </a:schemeClr>
                </a:solidFill>
              </a:rPr>
              <a:t>Here you determine</a:t>
            </a:r>
            <a:r>
              <a:rPr lang="en-US" sz="1400" b="1" baseline="0">
                <a:solidFill>
                  <a:schemeClr val="tx1">
                    <a:lumMod val="75000"/>
                    <a:lumOff val="25000"/>
                  </a:schemeClr>
                </a:solidFill>
              </a:rPr>
              <a:t> how sales growth</a:t>
            </a:r>
            <a:endParaRPr lang="en-US" sz="1400" b="1">
              <a:solidFill>
                <a:schemeClr val="tx1">
                  <a:lumMod val="75000"/>
                  <a:lumOff val="25000"/>
                </a:schemeClr>
              </a:solidFill>
            </a:endParaRPr>
          </a:p>
        </xdr:txBody>
      </xdr:sp>
      <xdr:sp macro="" textlink="">
        <xdr:nvSpPr>
          <xdr:cNvPr id="98" name="TextBox 97">
            <a:extLst>
              <a:ext uri="{FF2B5EF4-FFF2-40B4-BE49-F238E27FC236}">
                <a16:creationId xmlns:a16="http://schemas.microsoft.com/office/drawing/2014/main" id="{46BBC970-9131-95F6-5D7D-6C35618DFEF4}"/>
              </a:ext>
            </a:extLst>
          </xdr:cNvPr>
          <xdr:cNvSpPr txBox="1"/>
        </xdr:nvSpPr>
        <xdr:spPr>
          <a:xfrm>
            <a:off x="11268076" y="64427100"/>
            <a:ext cx="2419350"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en-US" sz="1100" b="1">
                <a:solidFill>
                  <a:srgbClr val="0000FF"/>
                </a:solidFill>
              </a:rPr>
              <a:t>When your sales start for each item</a:t>
            </a:r>
            <a:endParaRPr lang="en-US" sz="1100" b="1" baseline="0">
              <a:solidFill>
                <a:srgbClr val="0000FF"/>
              </a:solidFill>
            </a:endParaRPr>
          </a:p>
        </xdr:txBody>
      </xdr:sp>
      <xdr:cxnSp macro="">
        <xdr:nvCxnSpPr>
          <xdr:cNvPr id="99" name="Straight Arrow Connector 98">
            <a:extLst>
              <a:ext uri="{FF2B5EF4-FFF2-40B4-BE49-F238E27FC236}">
                <a16:creationId xmlns:a16="http://schemas.microsoft.com/office/drawing/2014/main" id="{B5E60A7F-52A5-7373-8884-9667B75223D8}"/>
              </a:ext>
            </a:extLst>
          </xdr:cNvPr>
          <xdr:cNvCxnSpPr/>
        </xdr:nvCxnSpPr>
        <xdr:spPr>
          <a:xfrm>
            <a:off x="13639800" y="64589025"/>
            <a:ext cx="1376924" cy="9525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00" name="TextBox 99">
            <a:extLst>
              <a:ext uri="{FF2B5EF4-FFF2-40B4-BE49-F238E27FC236}">
                <a16:creationId xmlns:a16="http://schemas.microsoft.com/office/drawing/2014/main" id="{A3ADC9D8-CB88-2A90-A704-6A12C2FC5519}"/>
              </a:ext>
            </a:extLst>
          </xdr:cNvPr>
          <xdr:cNvSpPr txBox="1"/>
        </xdr:nvSpPr>
        <xdr:spPr>
          <a:xfrm>
            <a:off x="11277600" y="64589025"/>
            <a:ext cx="2419350"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en-US" sz="1100" b="1">
                <a:solidFill>
                  <a:srgbClr val="0000FF"/>
                </a:solidFill>
              </a:rPr>
              <a:t>If you discontinue</a:t>
            </a:r>
            <a:r>
              <a:rPr lang="en-US" sz="1100" b="1" baseline="0">
                <a:solidFill>
                  <a:srgbClr val="0000FF"/>
                </a:solidFill>
              </a:rPr>
              <a:t> sales</a:t>
            </a:r>
          </a:p>
        </xdr:txBody>
      </xdr:sp>
      <xdr:cxnSp macro="">
        <xdr:nvCxnSpPr>
          <xdr:cNvPr id="101" name="Straight Arrow Connector 100">
            <a:extLst>
              <a:ext uri="{FF2B5EF4-FFF2-40B4-BE49-F238E27FC236}">
                <a16:creationId xmlns:a16="http://schemas.microsoft.com/office/drawing/2014/main" id="{C2914724-3486-FB45-6122-EBF760821F9B}"/>
              </a:ext>
            </a:extLst>
          </xdr:cNvPr>
          <xdr:cNvCxnSpPr/>
        </xdr:nvCxnSpPr>
        <xdr:spPr>
          <a:xfrm>
            <a:off x="13630275" y="64741425"/>
            <a:ext cx="1376924" cy="9525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02" name="TextBox 101">
            <a:extLst>
              <a:ext uri="{FF2B5EF4-FFF2-40B4-BE49-F238E27FC236}">
                <a16:creationId xmlns:a16="http://schemas.microsoft.com/office/drawing/2014/main" id="{F3560D6A-D993-5E25-AD41-01072FC0671B}"/>
              </a:ext>
            </a:extLst>
          </xdr:cNvPr>
          <xdr:cNvSpPr txBox="1"/>
        </xdr:nvSpPr>
        <xdr:spPr>
          <a:xfrm>
            <a:off x="11287125" y="64770000"/>
            <a:ext cx="2419350"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en-US" sz="1100" b="1">
                <a:solidFill>
                  <a:srgbClr val="0000FF"/>
                </a:solidFill>
              </a:rPr>
              <a:t>The sales</a:t>
            </a:r>
            <a:r>
              <a:rPr lang="en-US" sz="1100" b="1" baseline="0">
                <a:solidFill>
                  <a:srgbClr val="0000FF"/>
                </a:solidFill>
              </a:rPr>
              <a:t> quantity in the first month</a:t>
            </a:r>
          </a:p>
        </xdr:txBody>
      </xdr:sp>
      <xdr:cxnSp macro="">
        <xdr:nvCxnSpPr>
          <xdr:cNvPr id="103" name="Straight Arrow Connector 102">
            <a:extLst>
              <a:ext uri="{FF2B5EF4-FFF2-40B4-BE49-F238E27FC236}">
                <a16:creationId xmlns:a16="http://schemas.microsoft.com/office/drawing/2014/main" id="{A54AED58-BDD2-08ED-5E1D-44F36D2787CB}"/>
              </a:ext>
            </a:extLst>
          </xdr:cNvPr>
          <xdr:cNvCxnSpPr/>
        </xdr:nvCxnSpPr>
        <xdr:spPr>
          <a:xfrm>
            <a:off x="13668375" y="64898588"/>
            <a:ext cx="1214999" cy="90487"/>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04" name="TextBox 103">
            <a:extLst>
              <a:ext uri="{FF2B5EF4-FFF2-40B4-BE49-F238E27FC236}">
                <a16:creationId xmlns:a16="http://schemas.microsoft.com/office/drawing/2014/main" id="{5B1C7695-2421-9DAB-90ED-4AE458FF483F}"/>
              </a:ext>
            </a:extLst>
          </xdr:cNvPr>
          <xdr:cNvSpPr txBox="1"/>
        </xdr:nvSpPr>
        <xdr:spPr>
          <a:xfrm>
            <a:off x="9639300" y="65027175"/>
            <a:ext cx="4095750"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en-US" sz="1100" b="1">
                <a:solidFill>
                  <a:srgbClr val="0000FF"/>
                </a:solidFill>
              </a:rPr>
              <a:t>Your sales can grow monthly, quarterly,</a:t>
            </a:r>
            <a:r>
              <a:rPr lang="en-US" sz="1100" b="1" baseline="0">
                <a:solidFill>
                  <a:srgbClr val="0000FF"/>
                </a:solidFill>
              </a:rPr>
              <a:t> or annually</a:t>
            </a:r>
          </a:p>
        </xdr:txBody>
      </xdr:sp>
      <xdr:cxnSp macro="">
        <xdr:nvCxnSpPr>
          <xdr:cNvPr id="105" name="Straight Arrow Connector 104">
            <a:extLst>
              <a:ext uri="{FF2B5EF4-FFF2-40B4-BE49-F238E27FC236}">
                <a16:creationId xmlns:a16="http://schemas.microsoft.com/office/drawing/2014/main" id="{2E610A03-3250-6582-5EA6-0B23449BE408}"/>
              </a:ext>
            </a:extLst>
          </xdr:cNvPr>
          <xdr:cNvCxnSpPr/>
        </xdr:nvCxnSpPr>
        <xdr:spPr>
          <a:xfrm flipV="1">
            <a:off x="13696950" y="65151000"/>
            <a:ext cx="1167374" cy="14288"/>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06" name="Left Brace 105">
            <a:extLst>
              <a:ext uri="{FF2B5EF4-FFF2-40B4-BE49-F238E27FC236}">
                <a16:creationId xmlns:a16="http://schemas.microsoft.com/office/drawing/2014/main" id="{DAD65ED3-3982-CE7B-611E-75688E38DF7B}"/>
              </a:ext>
            </a:extLst>
          </xdr:cNvPr>
          <xdr:cNvSpPr/>
        </xdr:nvSpPr>
        <xdr:spPr>
          <a:xfrm>
            <a:off x="14525625" y="65265300"/>
            <a:ext cx="304800" cy="723900"/>
          </a:xfrm>
          <a:prstGeom prst="leftBrace">
            <a:avLst/>
          </a:prstGeom>
          <a:ln w="28575">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07" name="TextBox 106">
            <a:extLst>
              <a:ext uri="{FF2B5EF4-FFF2-40B4-BE49-F238E27FC236}">
                <a16:creationId xmlns:a16="http://schemas.microsoft.com/office/drawing/2014/main" id="{69720FC0-378C-7504-D2EA-C41AE6655CDF}"/>
              </a:ext>
            </a:extLst>
          </xdr:cNvPr>
          <xdr:cNvSpPr txBox="1"/>
        </xdr:nvSpPr>
        <xdr:spPr>
          <a:xfrm>
            <a:off x="10467975" y="65484375"/>
            <a:ext cx="4095750"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en-US" sz="1100" b="1">
                <a:solidFill>
                  <a:srgbClr val="0000FF"/>
                </a:solidFill>
              </a:rPr>
              <a:t>The percentage growth</a:t>
            </a:r>
            <a:r>
              <a:rPr lang="en-US" sz="1100" b="1" baseline="0">
                <a:solidFill>
                  <a:srgbClr val="0000FF"/>
                </a:solidFill>
              </a:rPr>
              <a:t> in each period in each year</a:t>
            </a:r>
          </a:p>
        </xdr:txBody>
      </xdr:sp>
      <xdr:sp macro="" textlink="">
        <xdr:nvSpPr>
          <xdr:cNvPr id="108" name="Left Brace 107">
            <a:extLst>
              <a:ext uri="{FF2B5EF4-FFF2-40B4-BE49-F238E27FC236}">
                <a16:creationId xmlns:a16="http://schemas.microsoft.com/office/drawing/2014/main" id="{B85FB139-A7C5-30D5-113E-75A47F6D8392}"/>
              </a:ext>
            </a:extLst>
          </xdr:cNvPr>
          <xdr:cNvSpPr/>
        </xdr:nvSpPr>
        <xdr:spPr>
          <a:xfrm>
            <a:off x="14525625" y="66046350"/>
            <a:ext cx="304800" cy="723900"/>
          </a:xfrm>
          <a:prstGeom prst="leftBrace">
            <a:avLst/>
          </a:prstGeom>
          <a:ln w="28575">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09" name="TextBox 108">
            <a:extLst>
              <a:ext uri="{FF2B5EF4-FFF2-40B4-BE49-F238E27FC236}">
                <a16:creationId xmlns:a16="http://schemas.microsoft.com/office/drawing/2014/main" id="{346C80FA-9B69-9E9B-B296-AC65E8C04EC4}"/>
              </a:ext>
            </a:extLst>
          </xdr:cNvPr>
          <xdr:cNvSpPr txBox="1"/>
        </xdr:nvSpPr>
        <xdr:spPr>
          <a:xfrm>
            <a:off x="10467975" y="66265425"/>
            <a:ext cx="4095750"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en-US" sz="1100" b="1">
                <a:solidFill>
                  <a:srgbClr val="0000FF"/>
                </a:solidFill>
              </a:rPr>
              <a:t>The number growth</a:t>
            </a:r>
            <a:r>
              <a:rPr lang="en-US" sz="1100" b="1" baseline="0">
                <a:solidFill>
                  <a:srgbClr val="0000FF"/>
                </a:solidFill>
              </a:rPr>
              <a:t> in each period in each year</a:t>
            </a:r>
          </a:p>
        </xdr:txBody>
      </xdr:sp>
      <xdr:sp macro="" textlink="">
        <xdr:nvSpPr>
          <xdr:cNvPr id="110" name="Left Brace 109">
            <a:extLst>
              <a:ext uri="{FF2B5EF4-FFF2-40B4-BE49-F238E27FC236}">
                <a16:creationId xmlns:a16="http://schemas.microsoft.com/office/drawing/2014/main" id="{8F73D9E9-655A-C13F-C99A-3805BB91C643}"/>
              </a:ext>
            </a:extLst>
          </xdr:cNvPr>
          <xdr:cNvSpPr/>
        </xdr:nvSpPr>
        <xdr:spPr>
          <a:xfrm>
            <a:off x="14535150" y="67141725"/>
            <a:ext cx="304800" cy="1047750"/>
          </a:xfrm>
          <a:prstGeom prst="leftBrace">
            <a:avLst/>
          </a:prstGeom>
          <a:ln w="28575">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11" name="TextBox 110">
            <a:extLst>
              <a:ext uri="{FF2B5EF4-FFF2-40B4-BE49-F238E27FC236}">
                <a16:creationId xmlns:a16="http://schemas.microsoft.com/office/drawing/2014/main" id="{2C81822A-7E77-595B-46FA-8865EDCC827A}"/>
              </a:ext>
            </a:extLst>
          </xdr:cNvPr>
          <xdr:cNvSpPr txBox="1"/>
        </xdr:nvSpPr>
        <xdr:spPr>
          <a:xfrm>
            <a:off x="10477500" y="67513200"/>
            <a:ext cx="4095750"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en-US" sz="1100" b="1">
                <a:solidFill>
                  <a:srgbClr val="0000FF"/>
                </a:solidFill>
              </a:rPr>
              <a:t>Revenue</a:t>
            </a:r>
            <a:r>
              <a:rPr lang="en-US" sz="1100" b="1" baseline="0">
                <a:solidFill>
                  <a:srgbClr val="0000FF"/>
                </a:solidFill>
              </a:rPr>
              <a:t> summary per item per year</a:t>
            </a:r>
          </a:p>
        </xdr:txBody>
      </xdr:sp>
    </xdr:grpSp>
    <xdr:clientData/>
  </xdr:twoCellAnchor>
  <xdr:twoCellAnchor editAs="oneCell">
    <xdr:from>
      <xdr:col>0</xdr:col>
      <xdr:colOff>200025</xdr:colOff>
      <xdr:row>337</xdr:row>
      <xdr:rowOff>57150</xdr:rowOff>
    </xdr:from>
    <xdr:to>
      <xdr:col>15</xdr:col>
      <xdr:colOff>494120</xdr:colOff>
      <xdr:row>360</xdr:row>
      <xdr:rowOff>85174</xdr:rowOff>
    </xdr:to>
    <xdr:pic>
      <xdr:nvPicPr>
        <xdr:cNvPr id="112" name="Picture 111">
          <a:extLst>
            <a:ext uri="{FF2B5EF4-FFF2-40B4-BE49-F238E27FC236}">
              <a16:creationId xmlns:a16="http://schemas.microsoft.com/office/drawing/2014/main" id="{90722896-4ED0-4DFC-82F4-C659C794F748}"/>
            </a:ext>
          </a:extLst>
        </xdr:cNvPr>
        <xdr:cNvPicPr>
          <a:picLocks noChangeAspect="1"/>
        </xdr:cNvPicPr>
      </xdr:nvPicPr>
      <xdr:blipFill>
        <a:blip xmlns:r="http://schemas.openxmlformats.org/officeDocument/2006/relationships" r:embed="rId27"/>
        <a:stretch>
          <a:fillRect/>
        </a:stretch>
      </xdr:blipFill>
      <xdr:spPr>
        <a:xfrm>
          <a:off x="200025" y="64284225"/>
          <a:ext cx="9438095" cy="4409524"/>
        </a:xfrm>
        <a:prstGeom prst="rect">
          <a:avLst/>
        </a:prstGeom>
      </xdr:spPr>
    </xdr:pic>
    <xdr:clientData/>
  </xdr:twoCellAnchor>
  <xdr:twoCellAnchor>
    <xdr:from>
      <xdr:col>31</xdr:col>
      <xdr:colOff>523875</xdr:colOff>
      <xdr:row>366</xdr:row>
      <xdr:rowOff>9525</xdr:rowOff>
    </xdr:from>
    <xdr:to>
      <xdr:col>52</xdr:col>
      <xdr:colOff>579873</xdr:colOff>
      <xdr:row>384</xdr:row>
      <xdr:rowOff>18694</xdr:rowOff>
    </xdr:to>
    <xdr:grpSp>
      <xdr:nvGrpSpPr>
        <xdr:cNvPr id="113" name="Group 112">
          <a:extLst>
            <a:ext uri="{FF2B5EF4-FFF2-40B4-BE49-F238E27FC236}">
              <a16:creationId xmlns:a16="http://schemas.microsoft.com/office/drawing/2014/main" id="{7747AAD7-054D-4A28-81B3-CE39BF64CB50}"/>
            </a:ext>
          </a:extLst>
        </xdr:cNvPr>
        <xdr:cNvGrpSpPr/>
      </xdr:nvGrpSpPr>
      <xdr:grpSpPr>
        <a:xfrm>
          <a:off x="24984075" y="67427475"/>
          <a:ext cx="14457798" cy="3323869"/>
          <a:chOff x="10925175" y="69408675"/>
          <a:chExt cx="12857598" cy="3438169"/>
        </a:xfrm>
      </xdr:grpSpPr>
      <xdr:grpSp>
        <xdr:nvGrpSpPr>
          <xdr:cNvPr id="114" name="Group 113">
            <a:extLst>
              <a:ext uri="{FF2B5EF4-FFF2-40B4-BE49-F238E27FC236}">
                <a16:creationId xmlns:a16="http://schemas.microsoft.com/office/drawing/2014/main" id="{4AFD328B-8871-876D-DB7F-9015F941404F}"/>
              </a:ext>
            </a:extLst>
          </xdr:cNvPr>
          <xdr:cNvGrpSpPr/>
        </xdr:nvGrpSpPr>
        <xdr:grpSpPr>
          <a:xfrm>
            <a:off x="10982325" y="69408675"/>
            <a:ext cx="12800448" cy="3438169"/>
            <a:chOff x="10982325" y="69408675"/>
            <a:chExt cx="12800448" cy="3438169"/>
          </a:xfrm>
        </xdr:grpSpPr>
        <xdr:grpSp>
          <xdr:nvGrpSpPr>
            <xdr:cNvPr id="119" name="Group 118">
              <a:extLst>
                <a:ext uri="{FF2B5EF4-FFF2-40B4-BE49-F238E27FC236}">
                  <a16:creationId xmlns:a16="http://schemas.microsoft.com/office/drawing/2014/main" id="{527C0606-9EC0-8B79-DCDC-39BDD464CDF6}"/>
                </a:ext>
              </a:extLst>
            </xdr:cNvPr>
            <xdr:cNvGrpSpPr/>
          </xdr:nvGrpSpPr>
          <xdr:grpSpPr>
            <a:xfrm>
              <a:off x="14563725" y="69951600"/>
              <a:ext cx="9219048" cy="2895244"/>
              <a:chOff x="15354300" y="69027675"/>
              <a:chExt cx="9219048" cy="2895244"/>
            </a:xfrm>
          </xdr:grpSpPr>
          <xdr:pic>
            <xdr:nvPicPr>
              <xdr:cNvPr id="131" name="Picture 130">
                <a:extLst>
                  <a:ext uri="{FF2B5EF4-FFF2-40B4-BE49-F238E27FC236}">
                    <a16:creationId xmlns:a16="http://schemas.microsoft.com/office/drawing/2014/main" id="{6C6FE948-4A3D-DBA7-A508-6058BE299B0A}"/>
                  </a:ext>
                </a:extLst>
              </xdr:cNvPr>
              <xdr:cNvPicPr>
                <a:picLocks noChangeAspect="1"/>
              </xdr:cNvPicPr>
            </xdr:nvPicPr>
            <xdr:blipFill>
              <a:blip xmlns:r="http://schemas.openxmlformats.org/officeDocument/2006/relationships" r:embed="rId28"/>
              <a:stretch>
                <a:fillRect/>
              </a:stretch>
            </xdr:blipFill>
            <xdr:spPr>
              <a:xfrm>
                <a:off x="15354300" y="69075300"/>
                <a:ext cx="9219048" cy="2847619"/>
              </a:xfrm>
              <a:prstGeom prst="rect">
                <a:avLst/>
              </a:prstGeom>
            </xdr:spPr>
          </xdr:pic>
          <xdr:sp macro="" textlink="">
            <xdr:nvSpPr>
              <xdr:cNvPr id="132" name="Rectangle 131">
                <a:extLst>
                  <a:ext uri="{FF2B5EF4-FFF2-40B4-BE49-F238E27FC236}">
                    <a16:creationId xmlns:a16="http://schemas.microsoft.com/office/drawing/2014/main" id="{5CB47FEF-E7D4-50C1-44AB-685D74A78967}"/>
                  </a:ext>
                </a:extLst>
              </xdr:cNvPr>
              <xdr:cNvSpPr/>
            </xdr:nvSpPr>
            <xdr:spPr>
              <a:xfrm>
                <a:off x="17259300" y="69027675"/>
                <a:ext cx="723900" cy="276225"/>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sp macro="" textlink="">
          <xdr:nvSpPr>
            <xdr:cNvPr id="120" name="TextBox 119">
              <a:extLst>
                <a:ext uri="{FF2B5EF4-FFF2-40B4-BE49-F238E27FC236}">
                  <a16:creationId xmlns:a16="http://schemas.microsoft.com/office/drawing/2014/main" id="{B1F08ED1-9CBB-4AA1-18F5-9AA1184C4407}"/>
                </a:ext>
              </a:extLst>
            </xdr:cNvPr>
            <xdr:cNvSpPr txBox="1"/>
          </xdr:nvSpPr>
          <xdr:spPr>
            <a:xfrm>
              <a:off x="13392150" y="69408675"/>
              <a:ext cx="3371850" cy="3333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lang="en-US" sz="1800" b="1">
                  <a:solidFill>
                    <a:schemeClr val="tx1">
                      <a:lumMod val="75000"/>
                      <a:lumOff val="25000"/>
                    </a:schemeClr>
                  </a:solidFill>
                </a:rPr>
                <a:t>Recurring Revenue</a:t>
              </a:r>
            </a:p>
          </xdr:txBody>
        </xdr:sp>
        <xdr:sp macro="" textlink="">
          <xdr:nvSpPr>
            <xdr:cNvPr id="121" name="TextBox 120">
              <a:extLst>
                <a:ext uri="{FF2B5EF4-FFF2-40B4-BE49-F238E27FC236}">
                  <a16:creationId xmlns:a16="http://schemas.microsoft.com/office/drawing/2014/main" id="{34C066E4-9D4D-3237-97D5-B1474334A1C9}"/>
                </a:ext>
              </a:extLst>
            </xdr:cNvPr>
            <xdr:cNvSpPr txBox="1"/>
          </xdr:nvSpPr>
          <xdr:spPr>
            <a:xfrm>
              <a:off x="10982325" y="70065900"/>
              <a:ext cx="2419350" cy="685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en-US" sz="1100" b="1">
                  <a:solidFill>
                    <a:srgbClr val="0000FF"/>
                  </a:solidFill>
                </a:rPr>
                <a:t>You can select</a:t>
              </a:r>
              <a:r>
                <a:rPr lang="en-US" sz="1100" b="1" baseline="0">
                  <a:solidFill>
                    <a:srgbClr val="0000FF"/>
                  </a:solidFill>
                </a:rPr>
                <a:t> Monthly, Annual, or Both. if you select Both, another model will appear to the right</a:t>
              </a:r>
            </a:p>
          </xdr:txBody>
        </xdr:sp>
        <xdr:cxnSp macro="">
          <xdr:nvCxnSpPr>
            <xdr:cNvPr id="122" name="Straight Arrow Connector 121">
              <a:extLst>
                <a:ext uri="{FF2B5EF4-FFF2-40B4-BE49-F238E27FC236}">
                  <a16:creationId xmlns:a16="http://schemas.microsoft.com/office/drawing/2014/main" id="{66B610FB-1AB1-4750-AC39-18518E0FC03B}"/>
                </a:ext>
              </a:extLst>
            </xdr:cNvPr>
            <xdr:cNvCxnSpPr/>
          </xdr:nvCxnSpPr>
          <xdr:spPr>
            <a:xfrm>
              <a:off x="13373099" y="70399275"/>
              <a:ext cx="1376924" cy="9525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23" name="TextBox 122">
              <a:extLst>
                <a:ext uri="{FF2B5EF4-FFF2-40B4-BE49-F238E27FC236}">
                  <a16:creationId xmlns:a16="http://schemas.microsoft.com/office/drawing/2014/main" id="{B8E9EBB1-126C-9D5A-C227-67995C712A24}"/>
                </a:ext>
              </a:extLst>
            </xdr:cNvPr>
            <xdr:cNvSpPr txBox="1"/>
          </xdr:nvSpPr>
          <xdr:spPr>
            <a:xfrm>
              <a:off x="11239500" y="70675500"/>
              <a:ext cx="2419350"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en-US" sz="1100" b="1">
                  <a:solidFill>
                    <a:srgbClr val="0000FF"/>
                  </a:solidFill>
                </a:rPr>
                <a:t>The month your subscriptions</a:t>
              </a:r>
              <a:r>
                <a:rPr lang="en-US" sz="1100" b="1" baseline="0">
                  <a:solidFill>
                    <a:srgbClr val="0000FF"/>
                  </a:solidFill>
                </a:rPr>
                <a:t> start</a:t>
              </a:r>
            </a:p>
          </xdr:txBody>
        </xdr:sp>
        <xdr:cxnSp macro="">
          <xdr:nvCxnSpPr>
            <xdr:cNvPr id="124" name="Straight Arrow Connector 123">
              <a:extLst>
                <a:ext uri="{FF2B5EF4-FFF2-40B4-BE49-F238E27FC236}">
                  <a16:creationId xmlns:a16="http://schemas.microsoft.com/office/drawing/2014/main" id="{7E6023D2-F841-430D-CAFF-CEF1E8B1AFA4}"/>
                </a:ext>
              </a:extLst>
            </xdr:cNvPr>
            <xdr:cNvCxnSpPr>
              <a:stCxn id="123" idx="3"/>
            </xdr:cNvCxnSpPr>
          </xdr:nvCxnSpPr>
          <xdr:spPr>
            <a:xfrm>
              <a:off x="13658850" y="70813613"/>
              <a:ext cx="1348348" cy="176212"/>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5" name="Straight Arrow Connector 124">
              <a:extLst>
                <a:ext uri="{FF2B5EF4-FFF2-40B4-BE49-F238E27FC236}">
                  <a16:creationId xmlns:a16="http://schemas.microsoft.com/office/drawing/2014/main" id="{9ABECA20-9161-BC6C-1606-3A0F23234D14}"/>
                </a:ext>
              </a:extLst>
            </xdr:cNvPr>
            <xdr:cNvCxnSpPr/>
          </xdr:nvCxnSpPr>
          <xdr:spPr>
            <a:xfrm>
              <a:off x="13601700" y="71051738"/>
              <a:ext cx="1310248" cy="80962"/>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26" name="TextBox 125">
              <a:extLst>
                <a:ext uri="{FF2B5EF4-FFF2-40B4-BE49-F238E27FC236}">
                  <a16:creationId xmlns:a16="http://schemas.microsoft.com/office/drawing/2014/main" id="{21A30A3D-A153-C90C-457C-5EFDCB769C25}"/>
                </a:ext>
              </a:extLst>
            </xdr:cNvPr>
            <xdr:cNvSpPr txBox="1"/>
          </xdr:nvSpPr>
          <xdr:spPr>
            <a:xfrm>
              <a:off x="11029950" y="70913625"/>
              <a:ext cx="2638425"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en-US" sz="1100" b="1">
                  <a:solidFill>
                    <a:srgbClr val="0000FF"/>
                  </a:solidFill>
                </a:rPr>
                <a:t>How many subscribers in your</a:t>
              </a:r>
              <a:r>
                <a:rPr lang="en-US" sz="1100" b="1" baseline="0">
                  <a:solidFill>
                    <a:srgbClr val="0000FF"/>
                  </a:solidFill>
                </a:rPr>
                <a:t> first month</a:t>
              </a:r>
            </a:p>
          </xdr:txBody>
        </xdr:sp>
        <xdr:sp macro="" textlink="">
          <xdr:nvSpPr>
            <xdr:cNvPr id="127" name="TextBox 126">
              <a:extLst>
                <a:ext uri="{FF2B5EF4-FFF2-40B4-BE49-F238E27FC236}">
                  <a16:creationId xmlns:a16="http://schemas.microsoft.com/office/drawing/2014/main" id="{182AE06A-CB87-12B1-2051-B5827529BEE8}"/>
                </a:ext>
              </a:extLst>
            </xdr:cNvPr>
            <xdr:cNvSpPr txBox="1"/>
          </xdr:nvSpPr>
          <xdr:spPr>
            <a:xfrm>
              <a:off x="11029950" y="71132700"/>
              <a:ext cx="2638425"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en-US" sz="1100" b="1">
                  <a:solidFill>
                    <a:srgbClr val="0000FF"/>
                  </a:solidFill>
                </a:rPr>
                <a:t>The</a:t>
              </a:r>
              <a:r>
                <a:rPr lang="en-US" sz="1100" b="1" baseline="0">
                  <a:solidFill>
                    <a:srgbClr val="0000FF"/>
                  </a:solidFill>
                </a:rPr>
                <a:t> fee per month or year</a:t>
              </a:r>
            </a:p>
          </xdr:txBody>
        </xdr:sp>
        <xdr:cxnSp macro="">
          <xdr:nvCxnSpPr>
            <xdr:cNvPr id="128" name="Straight Arrow Connector 127">
              <a:extLst>
                <a:ext uri="{FF2B5EF4-FFF2-40B4-BE49-F238E27FC236}">
                  <a16:creationId xmlns:a16="http://schemas.microsoft.com/office/drawing/2014/main" id="{B576A6FB-246F-9FBB-BA36-3CC747CB6B4F}"/>
                </a:ext>
              </a:extLst>
            </xdr:cNvPr>
            <xdr:cNvCxnSpPr>
              <a:stCxn id="127" idx="3"/>
            </xdr:cNvCxnSpPr>
          </xdr:nvCxnSpPr>
          <xdr:spPr>
            <a:xfrm>
              <a:off x="13668375" y="71270813"/>
              <a:ext cx="1043548" cy="28574"/>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9" name="Straight Arrow Connector 128">
              <a:extLst>
                <a:ext uri="{FF2B5EF4-FFF2-40B4-BE49-F238E27FC236}">
                  <a16:creationId xmlns:a16="http://schemas.microsoft.com/office/drawing/2014/main" id="{7F8AC012-50E0-3157-E93D-7C0B248B3805}"/>
                </a:ext>
              </a:extLst>
            </xdr:cNvPr>
            <xdr:cNvCxnSpPr>
              <a:stCxn id="130" idx="3"/>
            </xdr:cNvCxnSpPr>
          </xdr:nvCxnSpPr>
          <xdr:spPr>
            <a:xfrm flipV="1">
              <a:off x="13687425" y="71456549"/>
              <a:ext cx="1557898" cy="133351"/>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0" name="TextBox 129">
              <a:extLst>
                <a:ext uri="{FF2B5EF4-FFF2-40B4-BE49-F238E27FC236}">
                  <a16:creationId xmlns:a16="http://schemas.microsoft.com/office/drawing/2014/main" id="{B5C1966E-FBCC-C86D-DF49-358CC730D03B}"/>
                </a:ext>
              </a:extLst>
            </xdr:cNvPr>
            <xdr:cNvSpPr txBox="1"/>
          </xdr:nvSpPr>
          <xdr:spPr>
            <a:xfrm>
              <a:off x="11049000" y="71332725"/>
              <a:ext cx="2638425" cy="514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en-US" sz="1100" b="1">
                  <a:solidFill>
                    <a:srgbClr val="0000FF"/>
                  </a:solidFill>
                </a:rPr>
                <a:t>The percentage of subscribers</a:t>
              </a:r>
              <a:r>
                <a:rPr lang="en-US" sz="1100" b="1" baseline="0">
                  <a:solidFill>
                    <a:srgbClr val="0000FF"/>
                  </a:solidFill>
                </a:rPr>
                <a:t> </a:t>
              </a:r>
            </a:p>
            <a:p>
              <a:pPr algn="r"/>
              <a:r>
                <a:rPr lang="en-US" sz="1100" b="1" baseline="0">
                  <a:solidFill>
                    <a:srgbClr val="0000FF"/>
                  </a:solidFill>
                </a:rPr>
                <a:t>who drop out each month or year</a:t>
              </a:r>
            </a:p>
          </xdr:txBody>
        </xdr:sp>
      </xdr:grpSp>
      <xdr:sp macro="" textlink="">
        <xdr:nvSpPr>
          <xdr:cNvPr id="115" name="Left Brace 114">
            <a:extLst>
              <a:ext uri="{FF2B5EF4-FFF2-40B4-BE49-F238E27FC236}">
                <a16:creationId xmlns:a16="http://schemas.microsoft.com/office/drawing/2014/main" id="{73BA4FB7-4403-1907-7B64-3ECB8672CBDA}"/>
              </a:ext>
            </a:extLst>
          </xdr:cNvPr>
          <xdr:cNvSpPr/>
        </xdr:nvSpPr>
        <xdr:spPr>
          <a:xfrm>
            <a:off x="14982825" y="71685150"/>
            <a:ext cx="304800" cy="1047750"/>
          </a:xfrm>
          <a:prstGeom prst="leftBrace">
            <a:avLst/>
          </a:prstGeom>
          <a:ln w="28575">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16" name="TextBox 115">
            <a:extLst>
              <a:ext uri="{FF2B5EF4-FFF2-40B4-BE49-F238E27FC236}">
                <a16:creationId xmlns:a16="http://schemas.microsoft.com/office/drawing/2014/main" id="{30728201-0C55-78D7-FC7F-2DC39A3EB0DA}"/>
              </a:ext>
            </a:extLst>
          </xdr:cNvPr>
          <xdr:cNvSpPr txBox="1"/>
        </xdr:nvSpPr>
        <xdr:spPr>
          <a:xfrm>
            <a:off x="10925175" y="72056625"/>
            <a:ext cx="4095750"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en-US" sz="1100" b="1">
                <a:solidFill>
                  <a:srgbClr val="0000FF"/>
                </a:solidFill>
              </a:rPr>
              <a:t>The percentage or</a:t>
            </a:r>
            <a:r>
              <a:rPr lang="en-US" sz="1100" b="1" baseline="0">
                <a:solidFill>
                  <a:srgbClr val="0000FF"/>
                </a:solidFill>
              </a:rPr>
              <a:t> number growth per month or year in each year</a:t>
            </a:r>
          </a:p>
        </xdr:txBody>
      </xdr:sp>
      <xdr:sp macro="" textlink="">
        <xdr:nvSpPr>
          <xdr:cNvPr id="117" name="TextBox 116">
            <a:extLst>
              <a:ext uri="{FF2B5EF4-FFF2-40B4-BE49-F238E27FC236}">
                <a16:creationId xmlns:a16="http://schemas.microsoft.com/office/drawing/2014/main" id="{E6D3D9C0-183B-EC0B-AC37-13DED26D33CF}"/>
              </a:ext>
            </a:extLst>
          </xdr:cNvPr>
          <xdr:cNvSpPr txBox="1"/>
        </xdr:nvSpPr>
        <xdr:spPr>
          <a:xfrm>
            <a:off x="17478375" y="71104125"/>
            <a:ext cx="2638425"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en-US" sz="1100" b="1">
                <a:solidFill>
                  <a:srgbClr val="0000FF"/>
                </a:solidFill>
              </a:rPr>
              <a:t>Annual revenue summary</a:t>
            </a:r>
            <a:endParaRPr lang="en-US" sz="1100" b="1" baseline="0">
              <a:solidFill>
                <a:srgbClr val="0000FF"/>
              </a:solidFill>
            </a:endParaRPr>
          </a:p>
        </xdr:txBody>
      </xdr:sp>
      <xdr:cxnSp macro="">
        <xdr:nvCxnSpPr>
          <xdr:cNvPr id="118" name="Straight Arrow Connector 117">
            <a:extLst>
              <a:ext uri="{FF2B5EF4-FFF2-40B4-BE49-F238E27FC236}">
                <a16:creationId xmlns:a16="http://schemas.microsoft.com/office/drawing/2014/main" id="{3501B998-AF11-11D3-AE58-E245F7FBF0EC}"/>
              </a:ext>
            </a:extLst>
          </xdr:cNvPr>
          <xdr:cNvCxnSpPr/>
        </xdr:nvCxnSpPr>
        <xdr:spPr>
          <a:xfrm>
            <a:off x="20097750" y="71280338"/>
            <a:ext cx="1047750" cy="471487"/>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2</xdr:col>
      <xdr:colOff>419100</xdr:colOff>
      <xdr:row>361</xdr:row>
      <xdr:rowOff>133350</xdr:rowOff>
    </xdr:from>
    <xdr:to>
      <xdr:col>12</xdr:col>
      <xdr:colOff>570719</xdr:colOff>
      <xdr:row>379</xdr:row>
      <xdr:rowOff>28159</xdr:rowOff>
    </xdr:to>
    <xdr:pic>
      <xdr:nvPicPr>
        <xdr:cNvPr id="133" name="Picture 132">
          <a:extLst>
            <a:ext uri="{FF2B5EF4-FFF2-40B4-BE49-F238E27FC236}">
              <a16:creationId xmlns:a16="http://schemas.microsoft.com/office/drawing/2014/main" id="{D5162DAC-CB1B-4674-830E-42FA527E7F40}"/>
            </a:ext>
          </a:extLst>
        </xdr:cNvPr>
        <xdr:cNvPicPr>
          <a:picLocks noChangeAspect="1"/>
        </xdr:cNvPicPr>
      </xdr:nvPicPr>
      <xdr:blipFill>
        <a:blip xmlns:r="http://schemas.openxmlformats.org/officeDocument/2006/relationships" r:embed="rId29"/>
        <a:stretch>
          <a:fillRect/>
        </a:stretch>
      </xdr:blipFill>
      <xdr:spPr>
        <a:xfrm>
          <a:off x="1638300" y="68932425"/>
          <a:ext cx="6247619" cy="3323809"/>
        </a:xfrm>
        <a:prstGeom prst="rect">
          <a:avLst/>
        </a:prstGeom>
      </xdr:spPr>
    </xdr:pic>
    <xdr:clientData/>
  </xdr:twoCellAnchor>
  <xdr:twoCellAnchor editAs="oneCell">
    <xdr:from>
      <xdr:col>4</xdr:col>
      <xdr:colOff>0</xdr:colOff>
      <xdr:row>379</xdr:row>
      <xdr:rowOff>171450</xdr:rowOff>
    </xdr:from>
    <xdr:to>
      <xdr:col>13</xdr:col>
      <xdr:colOff>285029</xdr:colOff>
      <xdr:row>385</xdr:row>
      <xdr:rowOff>85593</xdr:rowOff>
    </xdr:to>
    <xdr:pic>
      <xdr:nvPicPr>
        <xdr:cNvPr id="134" name="Picture 133">
          <a:extLst>
            <a:ext uri="{FF2B5EF4-FFF2-40B4-BE49-F238E27FC236}">
              <a16:creationId xmlns:a16="http://schemas.microsoft.com/office/drawing/2014/main" id="{89ADA7CF-ADA2-4ED5-8BA8-7A9D8EAFDD6C}"/>
            </a:ext>
          </a:extLst>
        </xdr:cNvPr>
        <xdr:cNvPicPr>
          <a:picLocks noChangeAspect="1"/>
        </xdr:cNvPicPr>
      </xdr:nvPicPr>
      <xdr:blipFill>
        <a:blip xmlns:r="http://schemas.openxmlformats.org/officeDocument/2006/relationships" r:embed="rId30"/>
        <a:stretch>
          <a:fillRect/>
        </a:stretch>
      </xdr:blipFill>
      <xdr:spPr>
        <a:xfrm>
          <a:off x="2438400" y="72399525"/>
          <a:ext cx="5771429" cy="1057143"/>
        </a:xfrm>
        <a:prstGeom prst="rect">
          <a:avLst/>
        </a:prstGeom>
      </xdr:spPr>
    </xdr:pic>
    <xdr:clientData/>
  </xdr:twoCellAnchor>
  <xdr:twoCellAnchor editAs="oneCell">
    <xdr:from>
      <xdr:col>0</xdr:col>
      <xdr:colOff>542925</xdr:colOff>
      <xdr:row>393</xdr:row>
      <xdr:rowOff>0</xdr:rowOff>
    </xdr:from>
    <xdr:to>
      <xdr:col>12</xdr:col>
      <xdr:colOff>475344</xdr:colOff>
      <xdr:row>402</xdr:row>
      <xdr:rowOff>190262</xdr:rowOff>
    </xdr:to>
    <xdr:pic>
      <xdr:nvPicPr>
        <xdr:cNvPr id="135" name="Picture 134">
          <a:extLst>
            <a:ext uri="{FF2B5EF4-FFF2-40B4-BE49-F238E27FC236}">
              <a16:creationId xmlns:a16="http://schemas.microsoft.com/office/drawing/2014/main" id="{3C8B13F0-EA46-4E8B-8B8A-65CBB30B06F7}"/>
            </a:ext>
          </a:extLst>
        </xdr:cNvPr>
        <xdr:cNvPicPr>
          <a:picLocks noChangeAspect="1"/>
        </xdr:cNvPicPr>
      </xdr:nvPicPr>
      <xdr:blipFill>
        <a:blip xmlns:r="http://schemas.openxmlformats.org/officeDocument/2006/relationships" r:embed="rId31"/>
        <a:stretch>
          <a:fillRect/>
        </a:stretch>
      </xdr:blipFill>
      <xdr:spPr>
        <a:xfrm>
          <a:off x="542925" y="74895075"/>
          <a:ext cx="7247619" cy="1904762"/>
        </a:xfrm>
        <a:prstGeom prst="rect">
          <a:avLst/>
        </a:prstGeom>
      </xdr:spPr>
    </xdr:pic>
    <xdr:clientData/>
  </xdr:twoCellAnchor>
  <xdr:twoCellAnchor>
    <xdr:from>
      <xdr:col>34</xdr:col>
      <xdr:colOff>390525</xdr:colOff>
      <xdr:row>399</xdr:row>
      <xdr:rowOff>57150</xdr:rowOff>
    </xdr:from>
    <xdr:to>
      <xdr:col>42</xdr:col>
      <xdr:colOff>580392</xdr:colOff>
      <xdr:row>413</xdr:row>
      <xdr:rowOff>85521</xdr:rowOff>
    </xdr:to>
    <xdr:grpSp>
      <xdr:nvGrpSpPr>
        <xdr:cNvPr id="136" name="Group 135">
          <a:extLst>
            <a:ext uri="{FF2B5EF4-FFF2-40B4-BE49-F238E27FC236}">
              <a16:creationId xmlns:a16="http://schemas.microsoft.com/office/drawing/2014/main" id="{39FD529F-4C11-4807-A2E0-2958EB997E4A}"/>
            </a:ext>
          </a:extLst>
        </xdr:cNvPr>
        <xdr:cNvGrpSpPr/>
      </xdr:nvGrpSpPr>
      <xdr:grpSpPr>
        <a:xfrm>
          <a:off x="26908125" y="73552050"/>
          <a:ext cx="5676267" cy="2606471"/>
          <a:chOff x="13258800" y="76342875"/>
          <a:chExt cx="5066667" cy="2695371"/>
        </a:xfrm>
      </xdr:grpSpPr>
      <xdr:pic>
        <xdr:nvPicPr>
          <xdr:cNvPr id="137" name="Picture 136">
            <a:extLst>
              <a:ext uri="{FF2B5EF4-FFF2-40B4-BE49-F238E27FC236}">
                <a16:creationId xmlns:a16="http://schemas.microsoft.com/office/drawing/2014/main" id="{44FA55AA-AD43-3894-77F6-C48FD521E2FF}"/>
              </a:ext>
            </a:extLst>
          </xdr:cNvPr>
          <xdr:cNvPicPr>
            <a:picLocks noChangeAspect="1"/>
          </xdr:cNvPicPr>
        </xdr:nvPicPr>
        <xdr:blipFill>
          <a:blip xmlns:r="http://schemas.openxmlformats.org/officeDocument/2006/relationships" r:embed="rId32"/>
          <a:stretch>
            <a:fillRect/>
          </a:stretch>
        </xdr:blipFill>
        <xdr:spPr>
          <a:xfrm>
            <a:off x="13258800" y="76342875"/>
            <a:ext cx="5066667" cy="952381"/>
          </a:xfrm>
          <a:prstGeom prst="rect">
            <a:avLst/>
          </a:prstGeom>
        </xdr:spPr>
      </xdr:pic>
      <xdr:pic>
        <xdr:nvPicPr>
          <xdr:cNvPr id="138" name="Picture 137">
            <a:extLst>
              <a:ext uri="{FF2B5EF4-FFF2-40B4-BE49-F238E27FC236}">
                <a16:creationId xmlns:a16="http://schemas.microsoft.com/office/drawing/2014/main" id="{49D52E4D-7A98-349B-AA76-33AC94754502}"/>
              </a:ext>
            </a:extLst>
          </xdr:cNvPr>
          <xdr:cNvPicPr>
            <a:picLocks noChangeAspect="1"/>
          </xdr:cNvPicPr>
        </xdr:nvPicPr>
        <xdr:blipFill>
          <a:blip xmlns:r="http://schemas.openxmlformats.org/officeDocument/2006/relationships" r:embed="rId33"/>
          <a:stretch>
            <a:fillRect/>
          </a:stretch>
        </xdr:blipFill>
        <xdr:spPr>
          <a:xfrm>
            <a:off x="13258800" y="77409675"/>
            <a:ext cx="5057143" cy="1628571"/>
          </a:xfrm>
          <a:prstGeom prst="rect">
            <a:avLst/>
          </a:prstGeom>
        </xdr:spPr>
      </xdr:pic>
    </xdr:grpSp>
    <xdr:clientData/>
  </xdr:twoCellAnchor>
  <xdr:twoCellAnchor>
    <xdr:from>
      <xdr:col>31</xdr:col>
      <xdr:colOff>66675</xdr:colOff>
      <xdr:row>384</xdr:row>
      <xdr:rowOff>104775</xdr:rowOff>
    </xdr:from>
    <xdr:to>
      <xdr:col>43</xdr:col>
      <xdr:colOff>352424</xdr:colOff>
      <xdr:row>399</xdr:row>
      <xdr:rowOff>104632</xdr:rowOff>
    </xdr:to>
    <xdr:grpSp>
      <xdr:nvGrpSpPr>
        <xdr:cNvPr id="139" name="Group 138">
          <a:extLst>
            <a:ext uri="{FF2B5EF4-FFF2-40B4-BE49-F238E27FC236}">
              <a16:creationId xmlns:a16="http://schemas.microsoft.com/office/drawing/2014/main" id="{750152D9-5680-4C48-A6EB-31797E3C3EBA}"/>
            </a:ext>
          </a:extLst>
        </xdr:cNvPr>
        <xdr:cNvGrpSpPr/>
      </xdr:nvGrpSpPr>
      <xdr:grpSpPr>
        <a:xfrm>
          <a:off x="24526875" y="70837425"/>
          <a:ext cx="8515349" cy="2762107"/>
          <a:chOff x="11620500" y="72513825"/>
          <a:chExt cx="7600949" cy="2857357"/>
        </a:xfrm>
      </xdr:grpSpPr>
      <xdr:grpSp>
        <xdr:nvGrpSpPr>
          <xdr:cNvPr id="140" name="Group 139">
            <a:extLst>
              <a:ext uri="{FF2B5EF4-FFF2-40B4-BE49-F238E27FC236}">
                <a16:creationId xmlns:a16="http://schemas.microsoft.com/office/drawing/2014/main" id="{3403ABE2-7AE4-A079-2360-BD1A48F28919}"/>
              </a:ext>
            </a:extLst>
          </xdr:cNvPr>
          <xdr:cNvGrpSpPr/>
        </xdr:nvGrpSpPr>
        <xdr:grpSpPr>
          <a:xfrm>
            <a:off x="11620500" y="74133075"/>
            <a:ext cx="7314286" cy="1238107"/>
            <a:chOff x="11401425" y="73456800"/>
            <a:chExt cx="7314286" cy="1238107"/>
          </a:xfrm>
        </xdr:grpSpPr>
        <xdr:pic>
          <xdr:nvPicPr>
            <xdr:cNvPr id="154" name="Picture 153">
              <a:extLst>
                <a:ext uri="{FF2B5EF4-FFF2-40B4-BE49-F238E27FC236}">
                  <a16:creationId xmlns:a16="http://schemas.microsoft.com/office/drawing/2014/main" id="{C591FB5E-1B6B-8240-E9EE-DD67D9802F76}"/>
                </a:ext>
              </a:extLst>
            </xdr:cNvPr>
            <xdr:cNvPicPr>
              <a:picLocks noChangeAspect="1"/>
            </xdr:cNvPicPr>
          </xdr:nvPicPr>
          <xdr:blipFill>
            <a:blip xmlns:r="http://schemas.openxmlformats.org/officeDocument/2006/relationships" r:embed="rId34"/>
            <a:stretch>
              <a:fillRect/>
            </a:stretch>
          </xdr:blipFill>
          <xdr:spPr>
            <a:xfrm>
              <a:off x="11401425" y="73552050"/>
              <a:ext cx="7314286" cy="1142857"/>
            </a:xfrm>
            <a:prstGeom prst="rect">
              <a:avLst/>
            </a:prstGeom>
          </xdr:spPr>
        </xdr:pic>
        <xdr:sp macro="" textlink="">
          <xdr:nvSpPr>
            <xdr:cNvPr id="155" name="Rectangle 154">
              <a:extLst>
                <a:ext uri="{FF2B5EF4-FFF2-40B4-BE49-F238E27FC236}">
                  <a16:creationId xmlns:a16="http://schemas.microsoft.com/office/drawing/2014/main" id="{3053A4A1-BC58-467E-832D-AFEA3D80ABF2}"/>
                </a:ext>
              </a:extLst>
            </xdr:cNvPr>
            <xdr:cNvSpPr/>
          </xdr:nvSpPr>
          <xdr:spPr>
            <a:xfrm>
              <a:off x="17849850" y="73456800"/>
              <a:ext cx="457200" cy="209550"/>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sp macro="" textlink="">
        <xdr:nvSpPr>
          <xdr:cNvPr id="141" name="TextBox 140">
            <a:extLst>
              <a:ext uri="{FF2B5EF4-FFF2-40B4-BE49-F238E27FC236}">
                <a16:creationId xmlns:a16="http://schemas.microsoft.com/office/drawing/2014/main" id="{4D88C067-A638-C659-8E1F-1A4AB9748AEE}"/>
              </a:ext>
            </a:extLst>
          </xdr:cNvPr>
          <xdr:cNvSpPr txBox="1"/>
        </xdr:nvSpPr>
        <xdr:spPr>
          <a:xfrm>
            <a:off x="14735175" y="73771125"/>
            <a:ext cx="3371850" cy="3333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lang="en-US" sz="1800" b="1">
                <a:solidFill>
                  <a:schemeClr val="tx1">
                    <a:lumMod val="75000"/>
                    <a:lumOff val="25000"/>
                  </a:schemeClr>
                </a:solidFill>
              </a:rPr>
              <a:t>Consultants</a:t>
            </a:r>
          </a:p>
        </xdr:txBody>
      </xdr:sp>
      <xdr:cxnSp macro="">
        <xdr:nvCxnSpPr>
          <xdr:cNvPr id="142" name="Straight Arrow Connector 141">
            <a:extLst>
              <a:ext uri="{FF2B5EF4-FFF2-40B4-BE49-F238E27FC236}">
                <a16:creationId xmlns:a16="http://schemas.microsoft.com/office/drawing/2014/main" id="{B8847F6F-3259-C83A-53E3-1BD559DFD3BE}"/>
              </a:ext>
            </a:extLst>
          </xdr:cNvPr>
          <xdr:cNvCxnSpPr/>
        </xdr:nvCxnSpPr>
        <xdr:spPr>
          <a:xfrm>
            <a:off x="14611350" y="73961625"/>
            <a:ext cx="866775" cy="39052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43" name="TextBox 142">
            <a:extLst>
              <a:ext uri="{FF2B5EF4-FFF2-40B4-BE49-F238E27FC236}">
                <a16:creationId xmlns:a16="http://schemas.microsoft.com/office/drawing/2014/main" id="{2D0DED65-2A16-2A69-3C87-9842FBDE6C2F}"/>
              </a:ext>
            </a:extLst>
          </xdr:cNvPr>
          <xdr:cNvSpPr txBox="1"/>
        </xdr:nvSpPr>
        <xdr:spPr>
          <a:xfrm>
            <a:off x="12963525" y="73704450"/>
            <a:ext cx="2638425"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en-US" sz="1100" b="1">
                <a:solidFill>
                  <a:srgbClr val="0000FF"/>
                </a:solidFill>
              </a:rPr>
              <a:t>The number of consultants</a:t>
            </a:r>
            <a:r>
              <a:rPr lang="en-US" sz="1100" b="1" baseline="0">
                <a:solidFill>
                  <a:srgbClr val="0000FF"/>
                </a:solidFill>
              </a:rPr>
              <a:t> you'll have</a:t>
            </a:r>
          </a:p>
        </xdr:txBody>
      </xdr:sp>
      <xdr:cxnSp macro="">
        <xdr:nvCxnSpPr>
          <xdr:cNvPr id="144" name="Straight Arrow Connector 143">
            <a:extLst>
              <a:ext uri="{FF2B5EF4-FFF2-40B4-BE49-F238E27FC236}">
                <a16:creationId xmlns:a16="http://schemas.microsoft.com/office/drawing/2014/main" id="{2FA565F2-506C-D3F8-AF79-06F115FB4A36}"/>
              </a:ext>
            </a:extLst>
          </xdr:cNvPr>
          <xdr:cNvCxnSpPr/>
        </xdr:nvCxnSpPr>
        <xdr:spPr>
          <a:xfrm flipV="1">
            <a:off x="13068300" y="74704574"/>
            <a:ext cx="710173" cy="171451"/>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45" name="TextBox 144">
            <a:extLst>
              <a:ext uri="{FF2B5EF4-FFF2-40B4-BE49-F238E27FC236}">
                <a16:creationId xmlns:a16="http://schemas.microsoft.com/office/drawing/2014/main" id="{7B5B6B6B-831A-9307-0704-6DCC5BB494D7}"/>
              </a:ext>
            </a:extLst>
          </xdr:cNvPr>
          <xdr:cNvSpPr txBox="1"/>
        </xdr:nvSpPr>
        <xdr:spPr>
          <a:xfrm>
            <a:off x="12534900" y="74723625"/>
            <a:ext cx="581025"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en-US" sz="1100" b="1">
                <a:solidFill>
                  <a:srgbClr val="0000FF"/>
                </a:solidFill>
              </a:rPr>
              <a:t>Title</a:t>
            </a:r>
            <a:endParaRPr lang="en-US" sz="1100" b="1" baseline="0">
              <a:solidFill>
                <a:srgbClr val="0000FF"/>
              </a:solidFill>
            </a:endParaRPr>
          </a:p>
        </xdr:txBody>
      </xdr:sp>
      <xdr:cxnSp macro="">
        <xdr:nvCxnSpPr>
          <xdr:cNvPr id="146" name="Straight Arrow Connector 145">
            <a:extLst>
              <a:ext uri="{FF2B5EF4-FFF2-40B4-BE49-F238E27FC236}">
                <a16:creationId xmlns:a16="http://schemas.microsoft.com/office/drawing/2014/main" id="{3BBA9C29-1E8B-83A5-8290-A9E92951CC16}"/>
              </a:ext>
            </a:extLst>
          </xdr:cNvPr>
          <xdr:cNvCxnSpPr/>
        </xdr:nvCxnSpPr>
        <xdr:spPr>
          <a:xfrm flipH="1">
            <a:off x="17087850" y="73685400"/>
            <a:ext cx="133350" cy="66675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47" name="TextBox 146">
            <a:extLst>
              <a:ext uri="{FF2B5EF4-FFF2-40B4-BE49-F238E27FC236}">
                <a16:creationId xmlns:a16="http://schemas.microsoft.com/office/drawing/2014/main" id="{FAD6A2CC-546B-BC95-5B54-3A3F88626E7A}"/>
              </a:ext>
            </a:extLst>
          </xdr:cNvPr>
          <xdr:cNvSpPr txBox="1"/>
        </xdr:nvSpPr>
        <xdr:spPr>
          <a:xfrm>
            <a:off x="16411575" y="73428225"/>
            <a:ext cx="1333500"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en-US" sz="1100" b="1">
                <a:solidFill>
                  <a:srgbClr val="0000FF"/>
                </a:solidFill>
              </a:rPr>
              <a:t>The monthly fee</a:t>
            </a:r>
            <a:endParaRPr lang="en-US" sz="1100" b="1" baseline="0">
              <a:solidFill>
                <a:srgbClr val="0000FF"/>
              </a:solidFill>
            </a:endParaRPr>
          </a:p>
        </xdr:txBody>
      </xdr:sp>
      <xdr:cxnSp macro="">
        <xdr:nvCxnSpPr>
          <xdr:cNvPr id="148" name="Straight Arrow Connector 147">
            <a:extLst>
              <a:ext uri="{FF2B5EF4-FFF2-40B4-BE49-F238E27FC236}">
                <a16:creationId xmlns:a16="http://schemas.microsoft.com/office/drawing/2014/main" id="{5B1BC24A-6CA7-A5C6-C277-464688A720EA}"/>
              </a:ext>
            </a:extLst>
          </xdr:cNvPr>
          <xdr:cNvCxnSpPr/>
        </xdr:nvCxnSpPr>
        <xdr:spPr>
          <a:xfrm flipH="1">
            <a:off x="17887950" y="73937813"/>
            <a:ext cx="219075" cy="423862"/>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49" name="TextBox 148">
            <a:extLst>
              <a:ext uri="{FF2B5EF4-FFF2-40B4-BE49-F238E27FC236}">
                <a16:creationId xmlns:a16="http://schemas.microsoft.com/office/drawing/2014/main" id="{9C57ABE6-C7A5-8687-7036-3E5E8A7B6CE9}"/>
              </a:ext>
            </a:extLst>
          </xdr:cNvPr>
          <xdr:cNvSpPr txBox="1"/>
        </xdr:nvSpPr>
        <xdr:spPr>
          <a:xfrm>
            <a:off x="17221200" y="73704450"/>
            <a:ext cx="1752600"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en-US" sz="1100" b="1">
                <a:solidFill>
                  <a:srgbClr val="0000FF"/>
                </a:solidFill>
              </a:rPr>
              <a:t>The start and end months</a:t>
            </a:r>
            <a:endParaRPr lang="en-US" sz="1100" b="1" baseline="0">
              <a:solidFill>
                <a:srgbClr val="0000FF"/>
              </a:solidFill>
            </a:endParaRPr>
          </a:p>
        </xdr:txBody>
      </xdr:sp>
      <xdr:cxnSp macro="">
        <xdr:nvCxnSpPr>
          <xdr:cNvPr id="150" name="Straight Arrow Connector 149">
            <a:extLst>
              <a:ext uri="{FF2B5EF4-FFF2-40B4-BE49-F238E27FC236}">
                <a16:creationId xmlns:a16="http://schemas.microsoft.com/office/drawing/2014/main" id="{6D56E169-F9C9-3D24-E4DC-CCD2496A49A2}"/>
              </a:ext>
            </a:extLst>
          </xdr:cNvPr>
          <xdr:cNvCxnSpPr/>
        </xdr:nvCxnSpPr>
        <xdr:spPr>
          <a:xfrm>
            <a:off x="18202275" y="73937813"/>
            <a:ext cx="209550" cy="414337"/>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51" name="TextBox 150">
            <a:extLst>
              <a:ext uri="{FF2B5EF4-FFF2-40B4-BE49-F238E27FC236}">
                <a16:creationId xmlns:a16="http://schemas.microsoft.com/office/drawing/2014/main" id="{76174EB4-28EA-8974-9F6B-7730DF73A973}"/>
              </a:ext>
            </a:extLst>
          </xdr:cNvPr>
          <xdr:cNvSpPr txBox="1"/>
        </xdr:nvSpPr>
        <xdr:spPr>
          <a:xfrm>
            <a:off x="17611724" y="72513825"/>
            <a:ext cx="1609725" cy="476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a:solidFill>
                  <a:srgbClr val="0000FF"/>
                </a:solidFill>
              </a:rPr>
              <a:t>Click Show to see monthly</a:t>
            </a:r>
            <a:r>
              <a:rPr lang="en-US" sz="1100" b="1" baseline="0">
                <a:solidFill>
                  <a:srgbClr val="0000FF"/>
                </a:solidFill>
              </a:rPr>
              <a:t> Consultant fees</a:t>
            </a:r>
          </a:p>
        </xdr:txBody>
      </xdr:sp>
      <xdr:pic>
        <xdr:nvPicPr>
          <xdr:cNvPr id="152" name="Picture 151">
            <a:extLst>
              <a:ext uri="{FF2B5EF4-FFF2-40B4-BE49-F238E27FC236}">
                <a16:creationId xmlns:a16="http://schemas.microsoft.com/office/drawing/2014/main" id="{C6742121-6EB8-589D-7B6F-896F18AC1A62}"/>
              </a:ext>
            </a:extLst>
          </xdr:cNvPr>
          <xdr:cNvPicPr>
            <a:picLocks noChangeAspect="1"/>
          </xdr:cNvPicPr>
        </xdr:nvPicPr>
        <xdr:blipFill>
          <a:blip xmlns:r="http://schemas.openxmlformats.org/officeDocument/2006/relationships" r:embed="rId35"/>
          <a:stretch>
            <a:fillRect/>
          </a:stretch>
        </xdr:blipFill>
        <xdr:spPr>
          <a:xfrm>
            <a:off x="18116550" y="73199625"/>
            <a:ext cx="761905" cy="466667"/>
          </a:xfrm>
          <a:prstGeom prst="rect">
            <a:avLst/>
          </a:prstGeom>
        </xdr:spPr>
      </xdr:pic>
      <xdr:cxnSp macro="">
        <xdr:nvCxnSpPr>
          <xdr:cNvPr id="153" name="Straight Arrow Connector 152">
            <a:extLst>
              <a:ext uri="{FF2B5EF4-FFF2-40B4-BE49-F238E27FC236}">
                <a16:creationId xmlns:a16="http://schemas.microsoft.com/office/drawing/2014/main" id="{5B82D5FD-8992-B115-8CD2-2D9FB5A3251E}"/>
              </a:ext>
            </a:extLst>
          </xdr:cNvPr>
          <xdr:cNvCxnSpPr/>
        </xdr:nvCxnSpPr>
        <xdr:spPr>
          <a:xfrm flipH="1">
            <a:off x="18411778" y="72904350"/>
            <a:ext cx="19097" cy="35242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4</xdr:col>
      <xdr:colOff>47625</xdr:colOff>
      <xdr:row>403</xdr:row>
      <xdr:rowOff>66675</xdr:rowOff>
    </xdr:from>
    <xdr:to>
      <xdr:col>12</xdr:col>
      <xdr:colOff>466063</xdr:colOff>
      <xdr:row>412</xdr:row>
      <xdr:rowOff>28365</xdr:rowOff>
    </xdr:to>
    <xdr:pic>
      <xdr:nvPicPr>
        <xdr:cNvPr id="156" name="Picture 155">
          <a:extLst>
            <a:ext uri="{FF2B5EF4-FFF2-40B4-BE49-F238E27FC236}">
              <a16:creationId xmlns:a16="http://schemas.microsoft.com/office/drawing/2014/main" id="{94BA198D-EBCC-4EB4-9CBE-677E1C93B8BD}"/>
            </a:ext>
          </a:extLst>
        </xdr:cNvPr>
        <xdr:cNvPicPr>
          <a:picLocks noChangeAspect="1"/>
        </xdr:cNvPicPr>
      </xdr:nvPicPr>
      <xdr:blipFill>
        <a:blip xmlns:r="http://schemas.openxmlformats.org/officeDocument/2006/relationships" r:embed="rId36"/>
        <a:stretch>
          <a:fillRect/>
        </a:stretch>
      </xdr:blipFill>
      <xdr:spPr>
        <a:xfrm>
          <a:off x="2486025" y="76866750"/>
          <a:ext cx="5295238" cy="1676190"/>
        </a:xfrm>
        <a:prstGeom prst="rect">
          <a:avLst/>
        </a:prstGeom>
      </xdr:spPr>
    </xdr:pic>
    <xdr:clientData/>
  </xdr:twoCellAnchor>
  <xdr:twoCellAnchor>
    <xdr:from>
      <xdr:col>10</xdr:col>
      <xdr:colOff>266700</xdr:colOff>
      <xdr:row>388</xdr:row>
      <xdr:rowOff>9525</xdr:rowOff>
    </xdr:from>
    <xdr:to>
      <xdr:col>13</xdr:col>
      <xdr:colOff>47625</xdr:colOff>
      <xdr:row>390</xdr:row>
      <xdr:rowOff>104775</xdr:rowOff>
    </xdr:to>
    <xdr:sp macro="" textlink="">
      <xdr:nvSpPr>
        <xdr:cNvPr id="157" name="TextBox 156">
          <a:extLst>
            <a:ext uri="{FF2B5EF4-FFF2-40B4-BE49-F238E27FC236}">
              <a16:creationId xmlns:a16="http://schemas.microsoft.com/office/drawing/2014/main" id="{23C4AB0A-D976-4A82-A606-568557EC2B2E}"/>
            </a:ext>
          </a:extLst>
        </xdr:cNvPr>
        <xdr:cNvSpPr txBox="1"/>
      </xdr:nvSpPr>
      <xdr:spPr>
        <a:xfrm>
          <a:off x="6362700" y="73952100"/>
          <a:ext cx="1609725" cy="476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a:solidFill>
                <a:srgbClr val="0000FF"/>
              </a:solidFill>
            </a:rPr>
            <a:t>Click Show to see monthly</a:t>
          </a:r>
          <a:r>
            <a:rPr lang="en-US" sz="1100" b="1" baseline="0">
              <a:solidFill>
                <a:srgbClr val="0000FF"/>
              </a:solidFill>
            </a:rPr>
            <a:t> Consultant fees</a:t>
          </a:r>
        </a:p>
      </xdr:txBody>
    </xdr:sp>
    <xdr:clientData/>
  </xdr:twoCellAnchor>
  <xdr:twoCellAnchor editAs="oneCell">
    <xdr:from>
      <xdr:col>11</xdr:col>
      <xdr:colOff>161926</xdr:colOff>
      <xdr:row>391</xdr:row>
      <xdr:rowOff>123825</xdr:rowOff>
    </xdr:from>
    <xdr:to>
      <xdr:col>12</xdr:col>
      <xdr:colOff>314231</xdr:colOff>
      <xdr:row>394</xdr:row>
      <xdr:rowOff>18992</xdr:rowOff>
    </xdr:to>
    <xdr:pic>
      <xdr:nvPicPr>
        <xdr:cNvPr id="158" name="Picture 157">
          <a:extLst>
            <a:ext uri="{FF2B5EF4-FFF2-40B4-BE49-F238E27FC236}">
              <a16:creationId xmlns:a16="http://schemas.microsoft.com/office/drawing/2014/main" id="{09869152-D06F-4133-9F3A-86B16EDC62EC}"/>
            </a:ext>
          </a:extLst>
        </xdr:cNvPr>
        <xdr:cNvPicPr>
          <a:picLocks noChangeAspect="1"/>
        </xdr:cNvPicPr>
      </xdr:nvPicPr>
      <xdr:blipFill>
        <a:blip xmlns:r="http://schemas.openxmlformats.org/officeDocument/2006/relationships" r:embed="rId35"/>
        <a:stretch>
          <a:fillRect/>
        </a:stretch>
      </xdr:blipFill>
      <xdr:spPr>
        <a:xfrm>
          <a:off x="6867526" y="74637900"/>
          <a:ext cx="761905" cy="466667"/>
        </a:xfrm>
        <a:prstGeom prst="rect">
          <a:avLst/>
        </a:prstGeom>
      </xdr:spPr>
    </xdr:pic>
    <xdr:clientData/>
  </xdr:twoCellAnchor>
  <xdr:twoCellAnchor>
    <xdr:from>
      <xdr:col>11</xdr:col>
      <xdr:colOff>457154</xdr:colOff>
      <xdr:row>390</xdr:row>
      <xdr:rowOff>19050</xdr:rowOff>
    </xdr:from>
    <xdr:to>
      <xdr:col>11</xdr:col>
      <xdr:colOff>476251</xdr:colOff>
      <xdr:row>391</xdr:row>
      <xdr:rowOff>180975</xdr:rowOff>
    </xdr:to>
    <xdr:cxnSp macro="">
      <xdr:nvCxnSpPr>
        <xdr:cNvPr id="159" name="Straight Arrow Connector 158">
          <a:extLst>
            <a:ext uri="{FF2B5EF4-FFF2-40B4-BE49-F238E27FC236}">
              <a16:creationId xmlns:a16="http://schemas.microsoft.com/office/drawing/2014/main" id="{5D78C95E-1B6E-4767-9BCD-DE88C96ADC20}"/>
            </a:ext>
          </a:extLst>
        </xdr:cNvPr>
        <xdr:cNvCxnSpPr/>
      </xdr:nvCxnSpPr>
      <xdr:spPr>
        <a:xfrm flipH="1">
          <a:off x="7162754" y="74342625"/>
          <a:ext cx="19097" cy="35242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238125</xdr:colOff>
      <xdr:row>433</xdr:row>
      <xdr:rowOff>104775</xdr:rowOff>
    </xdr:from>
    <xdr:to>
      <xdr:col>49</xdr:col>
      <xdr:colOff>284372</xdr:colOff>
      <xdr:row>452</xdr:row>
      <xdr:rowOff>75762</xdr:rowOff>
    </xdr:to>
    <xdr:grpSp>
      <xdr:nvGrpSpPr>
        <xdr:cNvPr id="160" name="Group 159">
          <a:extLst>
            <a:ext uri="{FF2B5EF4-FFF2-40B4-BE49-F238E27FC236}">
              <a16:creationId xmlns:a16="http://schemas.microsoft.com/office/drawing/2014/main" id="{ED72986B-B5AB-44B6-8B55-35833901FEE7}"/>
            </a:ext>
          </a:extLst>
        </xdr:cNvPr>
        <xdr:cNvGrpSpPr/>
      </xdr:nvGrpSpPr>
      <xdr:grpSpPr>
        <a:xfrm>
          <a:off x="24698325" y="79860775"/>
          <a:ext cx="12390647" cy="3469837"/>
          <a:chOff x="12411075" y="82915125"/>
          <a:chExt cx="11019047" cy="3590487"/>
        </a:xfrm>
      </xdr:grpSpPr>
      <xdr:pic>
        <xdr:nvPicPr>
          <xdr:cNvPr id="161" name="Picture 160">
            <a:extLst>
              <a:ext uri="{FF2B5EF4-FFF2-40B4-BE49-F238E27FC236}">
                <a16:creationId xmlns:a16="http://schemas.microsoft.com/office/drawing/2014/main" id="{0355C2CB-9AF5-8CC8-D2C7-58B965AD3171}"/>
              </a:ext>
            </a:extLst>
          </xdr:cNvPr>
          <xdr:cNvPicPr>
            <a:picLocks noChangeAspect="1"/>
          </xdr:cNvPicPr>
        </xdr:nvPicPr>
        <xdr:blipFill>
          <a:blip xmlns:r="http://schemas.openxmlformats.org/officeDocument/2006/relationships" r:embed="rId37"/>
          <a:stretch>
            <a:fillRect/>
          </a:stretch>
        </xdr:blipFill>
        <xdr:spPr>
          <a:xfrm>
            <a:off x="12411075" y="83000850"/>
            <a:ext cx="11019047" cy="3504762"/>
          </a:xfrm>
          <a:prstGeom prst="rect">
            <a:avLst/>
          </a:prstGeom>
        </xdr:spPr>
      </xdr:pic>
      <xdr:sp macro="" textlink="">
        <xdr:nvSpPr>
          <xdr:cNvPr id="162" name="Rectangle 161">
            <a:extLst>
              <a:ext uri="{FF2B5EF4-FFF2-40B4-BE49-F238E27FC236}">
                <a16:creationId xmlns:a16="http://schemas.microsoft.com/office/drawing/2014/main" id="{A54CBC49-AF4F-EE05-1EE1-205C52F72BD6}"/>
              </a:ext>
            </a:extLst>
          </xdr:cNvPr>
          <xdr:cNvSpPr/>
        </xdr:nvSpPr>
        <xdr:spPr>
          <a:xfrm>
            <a:off x="14201774" y="82915125"/>
            <a:ext cx="5553075" cy="352426"/>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xdr:from>
      <xdr:col>0</xdr:col>
      <xdr:colOff>247650</xdr:colOff>
      <xdr:row>411</xdr:row>
      <xdr:rowOff>47625</xdr:rowOff>
    </xdr:from>
    <xdr:to>
      <xdr:col>18</xdr:col>
      <xdr:colOff>293897</xdr:colOff>
      <xdr:row>430</xdr:row>
      <xdr:rowOff>18612</xdr:rowOff>
    </xdr:to>
    <xdr:grpSp>
      <xdr:nvGrpSpPr>
        <xdr:cNvPr id="163" name="Group 162">
          <a:extLst>
            <a:ext uri="{FF2B5EF4-FFF2-40B4-BE49-F238E27FC236}">
              <a16:creationId xmlns:a16="http://schemas.microsoft.com/office/drawing/2014/main" id="{70DBB5CA-8AFD-439A-94FC-ECC6B48FAA2E}"/>
            </a:ext>
          </a:extLst>
        </xdr:cNvPr>
        <xdr:cNvGrpSpPr/>
      </xdr:nvGrpSpPr>
      <xdr:grpSpPr>
        <a:xfrm>
          <a:off x="247650" y="75752325"/>
          <a:ext cx="12390647" cy="3469837"/>
          <a:chOff x="12411075" y="82915125"/>
          <a:chExt cx="11019047" cy="3590487"/>
        </a:xfrm>
      </xdr:grpSpPr>
      <xdr:pic>
        <xdr:nvPicPr>
          <xdr:cNvPr id="164" name="Picture 163">
            <a:extLst>
              <a:ext uri="{FF2B5EF4-FFF2-40B4-BE49-F238E27FC236}">
                <a16:creationId xmlns:a16="http://schemas.microsoft.com/office/drawing/2014/main" id="{CC6549CB-17B1-4FE6-B37F-78CAB8CFE191}"/>
              </a:ext>
            </a:extLst>
          </xdr:cNvPr>
          <xdr:cNvPicPr>
            <a:picLocks noChangeAspect="1"/>
          </xdr:cNvPicPr>
        </xdr:nvPicPr>
        <xdr:blipFill>
          <a:blip xmlns:r="http://schemas.openxmlformats.org/officeDocument/2006/relationships" r:embed="rId37"/>
          <a:stretch>
            <a:fillRect/>
          </a:stretch>
        </xdr:blipFill>
        <xdr:spPr>
          <a:xfrm>
            <a:off x="12411075" y="83000850"/>
            <a:ext cx="11019047" cy="3504762"/>
          </a:xfrm>
          <a:prstGeom prst="rect">
            <a:avLst/>
          </a:prstGeom>
        </xdr:spPr>
      </xdr:pic>
      <xdr:sp macro="" textlink="">
        <xdr:nvSpPr>
          <xdr:cNvPr id="165" name="Rectangle 164">
            <a:extLst>
              <a:ext uri="{FF2B5EF4-FFF2-40B4-BE49-F238E27FC236}">
                <a16:creationId xmlns:a16="http://schemas.microsoft.com/office/drawing/2014/main" id="{B3FF5A54-3786-AE3E-BB9F-FFF79F3C43FE}"/>
              </a:ext>
            </a:extLst>
          </xdr:cNvPr>
          <xdr:cNvSpPr/>
        </xdr:nvSpPr>
        <xdr:spPr>
          <a:xfrm>
            <a:off x="14201774" y="82915125"/>
            <a:ext cx="5553075" cy="352426"/>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editAs="oneCell">
    <xdr:from>
      <xdr:col>2</xdr:col>
      <xdr:colOff>161925</xdr:colOff>
      <xdr:row>430</xdr:row>
      <xdr:rowOff>123825</xdr:rowOff>
    </xdr:from>
    <xdr:to>
      <xdr:col>10</xdr:col>
      <xdr:colOff>285125</xdr:colOff>
      <xdr:row>442</xdr:row>
      <xdr:rowOff>104492</xdr:rowOff>
    </xdr:to>
    <xdr:pic>
      <xdr:nvPicPr>
        <xdr:cNvPr id="166" name="Picture 165">
          <a:extLst>
            <a:ext uri="{FF2B5EF4-FFF2-40B4-BE49-F238E27FC236}">
              <a16:creationId xmlns:a16="http://schemas.microsoft.com/office/drawing/2014/main" id="{F5297BE2-20EC-4F0E-83FA-9FB1F3B4AD77}"/>
            </a:ext>
          </a:extLst>
        </xdr:cNvPr>
        <xdr:cNvPicPr>
          <a:picLocks noChangeAspect="1"/>
        </xdr:cNvPicPr>
      </xdr:nvPicPr>
      <xdr:blipFill>
        <a:blip xmlns:r="http://schemas.openxmlformats.org/officeDocument/2006/relationships" r:embed="rId38"/>
        <a:stretch>
          <a:fillRect/>
        </a:stretch>
      </xdr:blipFill>
      <xdr:spPr>
        <a:xfrm>
          <a:off x="1381125" y="82067400"/>
          <a:ext cx="5000000" cy="2266667"/>
        </a:xfrm>
        <a:prstGeom prst="rect">
          <a:avLst/>
        </a:prstGeom>
      </xdr:spPr>
    </xdr:pic>
    <xdr:clientData/>
  </xdr:twoCellAnchor>
  <xdr:twoCellAnchor>
    <xdr:from>
      <xdr:col>30</xdr:col>
      <xdr:colOff>342900</xdr:colOff>
      <xdr:row>413</xdr:row>
      <xdr:rowOff>171450</xdr:rowOff>
    </xdr:from>
    <xdr:to>
      <xdr:col>49</xdr:col>
      <xdr:colOff>55911</xdr:colOff>
      <xdr:row>432</xdr:row>
      <xdr:rowOff>37752</xdr:rowOff>
    </xdr:to>
    <xdr:grpSp>
      <xdr:nvGrpSpPr>
        <xdr:cNvPr id="167" name="Group 166">
          <a:extLst>
            <a:ext uri="{FF2B5EF4-FFF2-40B4-BE49-F238E27FC236}">
              <a16:creationId xmlns:a16="http://schemas.microsoft.com/office/drawing/2014/main" id="{FFBAFF13-CDBE-456A-B40D-36FD16919B95}"/>
            </a:ext>
          </a:extLst>
        </xdr:cNvPr>
        <xdr:cNvGrpSpPr/>
      </xdr:nvGrpSpPr>
      <xdr:grpSpPr>
        <a:xfrm>
          <a:off x="24117300" y="76244450"/>
          <a:ext cx="12743211" cy="3365152"/>
          <a:chOff x="10763250" y="78800325"/>
          <a:chExt cx="11295411" cy="3485802"/>
        </a:xfrm>
      </xdr:grpSpPr>
      <xdr:pic>
        <xdr:nvPicPr>
          <xdr:cNvPr id="168" name="Picture 167">
            <a:extLst>
              <a:ext uri="{FF2B5EF4-FFF2-40B4-BE49-F238E27FC236}">
                <a16:creationId xmlns:a16="http://schemas.microsoft.com/office/drawing/2014/main" id="{A2FB1C6B-9716-AAD2-3D79-780B2864E23F}"/>
              </a:ext>
            </a:extLst>
          </xdr:cNvPr>
          <xdr:cNvPicPr>
            <a:picLocks noChangeAspect="1"/>
          </xdr:cNvPicPr>
        </xdr:nvPicPr>
        <xdr:blipFill>
          <a:blip xmlns:r="http://schemas.openxmlformats.org/officeDocument/2006/relationships" r:embed="rId39"/>
          <a:stretch>
            <a:fillRect/>
          </a:stretch>
        </xdr:blipFill>
        <xdr:spPr>
          <a:xfrm>
            <a:off x="12144375" y="79505175"/>
            <a:ext cx="9914286" cy="2780952"/>
          </a:xfrm>
          <a:prstGeom prst="rect">
            <a:avLst/>
          </a:prstGeom>
        </xdr:spPr>
      </xdr:pic>
      <xdr:cxnSp macro="">
        <xdr:nvCxnSpPr>
          <xdr:cNvPr id="169" name="Straight Arrow Connector 168">
            <a:extLst>
              <a:ext uri="{FF2B5EF4-FFF2-40B4-BE49-F238E27FC236}">
                <a16:creationId xmlns:a16="http://schemas.microsoft.com/office/drawing/2014/main" id="{576E0405-1C63-A555-9FD9-D5430CD6D4E7}"/>
              </a:ext>
            </a:extLst>
          </xdr:cNvPr>
          <xdr:cNvCxnSpPr/>
        </xdr:nvCxnSpPr>
        <xdr:spPr>
          <a:xfrm flipV="1">
            <a:off x="11496675" y="81419700"/>
            <a:ext cx="710173" cy="171451"/>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70" name="Straight Arrow Connector 169">
            <a:extLst>
              <a:ext uri="{FF2B5EF4-FFF2-40B4-BE49-F238E27FC236}">
                <a16:creationId xmlns:a16="http://schemas.microsoft.com/office/drawing/2014/main" id="{966A7A13-29DD-0207-5166-E298816F0963}"/>
              </a:ext>
            </a:extLst>
          </xdr:cNvPr>
          <xdr:cNvCxnSpPr/>
        </xdr:nvCxnSpPr>
        <xdr:spPr>
          <a:xfrm>
            <a:off x="13087350" y="80143350"/>
            <a:ext cx="866775" cy="39052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71" name="TextBox 170">
            <a:extLst>
              <a:ext uri="{FF2B5EF4-FFF2-40B4-BE49-F238E27FC236}">
                <a16:creationId xmlns:a16="http://schemas.microsoft.com/office/drawing/2014/main" id="{6748EF8B-CA81-76CC-B8BB-35A12FEF4310}"/>
              </a:ext>
            </a:extLst>
          </xdr:cNvPr>
          <xdr:cNvSpPr txBox="1"/>
        </xdr:nvSpPr>
        <xdr:spPr>
          <a:xfrm>
            <a:off x="11144250" y="79714725"/>
            <a:ext cx="3514725" cy="523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a:solidFill>
                  <a:srgbClr val="0000FF"/>
                </a:solidFill>
              </a:rPr>
              <a:t>Number of employees.</a:t>
            </a:r>
            <a:r>
              <a:rPr lang="en-US" sz="1100" b="1" baseline="0">
                <a:solidFill>
                  <a:srgbClr val="0000FF"/>
                </a:solidFill>
              </a:rPr>
              <a:t> </a:t>
            </a:r>
          </a:p>
          <a:p>
            <a:pPr algn="ctr"/>
            <a:r>
              <a:rPr lang="en-US" sz="1100" b="1" baseline="0">
                <a:solidFill>
                  <a:srgbClr val="0000FF"/>
                </a:solidFill>
              </a:rPr>
              <a:t>(Note: You can have more than one headcount)</a:t>
            </a:r>
          </a:p>
        </xdr:txBody>
      </xdr:sp>
      <xdr:cxnSp macro="">
        <xdr:nvCxnSpPr>
          <xdr:cNvPr id="172" name="Straight Arrow Connector 171">
            <a:extLst>
              <a:ext uri="{FF2B5EF4-FFF2-40B4-BE49-F238E27FC236}">
                <a16:creationId xmlns:a16="http://schemas.microsoft.com/office/drawing/2014/main" id="{0B928C56-828B-204F-8E12-FD1FDEA8BDBD}"/>
              </a:ext>
            </a:extLst>
          </xdr:cNvPr>
          <xdr:cNvCxnSpPr/>
        </xdr:nvCxnSpPr>
        <xdr:spPr>
          <a:xfrm>
            <a:off x="14658975" y="79743300"/>
            <a:ext cx="609600" cy="82867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73" name="TextBox 172">
            <a:extLst>
              <a:ext uri="{FF2B5EF4-FFF2-40B4-BE49-F238E27FC236}">
                <a16:creationId xmlns:a16="http://schemas.microsoft.com/office/drawing/2014/main" id="{1EE4067E-FE8F-A9D6-6512-CBC0487FE676}"/>
              </a:ext>
            </a:extLst>
          </xdr:cNvPr>
          <xdr:cNvSpPr txBox="1"/>
        </xdr:nvSpPr>
        <xdr:spPr>
          <a:xfrm>
            <a:off x="13173075" y="79486125"/>
            <a:ext cx="2638425"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a:solidFill>
                  <a:srgbClr val="0000FF"/>
                </a:solidFill>
              </a:rPr>
              <a:t>Monthly gross salary</a:t>
            </a:r>
            <a:endParaRPr lang="en-US" sz="1100" b="1" baseline="0">
              <a:solidFill>
                <a:srgbClr val="0000FF"/>
              </a:solidFill>
            </a:endParaRPr>
          </a:p>
        </xdr:txBody>
      </xdr:sp>
      <xdr:cxnSp macro="">
        <xdr:nvCxnSpPr>
          <xdr:cNvPr id="174" name="Straight Arrow Connector 173">
            <a:extLst>
              <a:ext uri="{FF2B5EF4-FFF2-40B4-BE49-F238E27FC236}">
                <a16:creationId xmlns:a16="http://schemas.microsoft.com/office/drawing/2014/main" id="{779FE9C8-22E3-8CA0-CD28-D6CAF8959249}"/>
              </a:ext>
            </a:extLst>
          </xdr:cNvPr>
          <xdr:cNvCxnSpPr/>
        </xdr:nvCxnSpPr>
        <xdr:spPr>
          <a:xfrm flipH="1">
            <a:off x="16011525" y="80195738"/>
            <a:ext cx="219075" cy="423862"/>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75" name="TextBox 174">
            <a:extLst>
              <a:ext uri="{FF2B5EF4-FFF2-40B4-BE49-F238E27FC236}">
                <a16:creationId xmlns:a16="http://schemas.microsoft.com/office/drawing/2014/main" id="{50739B1D-F51F-4A86-0C5F-71A6107A2E06}"/>
              </a:ext>
            </a:extLst>
          </xdr:cNvPr>
          <xdr:cNvSpPr txBox="1"/>
        </xdr:nvSpPr>
        <xdr:spPr>
          <a:xfrm>
            <a:off x="15344775" y="79962375"/>
            <a:ext cx="1752600"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en-US" sz="1100" b="1">
                <a:solidFill>
                  <a:srgbClr val="0000FF"/>
                </a:solidFill>
              </a:rPr>
              <a:t>The start and end months</a:t>
            </a:r>
            <a:endParaRPr lang="en-US" sz="1100" b="1" baseline="0">
              <a:solidFill>
                <a:srgbClr val="0000FF"/>
              </a:solidFill>
            </a:endParaRPr>
          </a:p>
        </xdr:txBody>
      </xdr:sp>
      <xdr:cxnSp macro="">
        <xdr:nvCxnSpPr>
          <xdr:cNvPr id="176" name="Straight Arrow Connector 175">
            <a:extLst>
              <a:ext uri="{FF2B5EF4-FFF2-40B4-BE49-F238E27FC236}">
                <a16:creationId xmlns:a16="http://schemas.microsoft.com/office/drawing/2014/main" id="{7305883C-619E-C6A7-3101-52E0E81AC97D}"/>
              </a:ext>
            </a:extLst>
          </xdr:cNvPr>
          <xdr:cNvCxnSpPr/>
        </xdr:nvCxnSpPr>
        <xdr:spPr>
          <a:xfrm>
            <a:off x="16325850" y="80195738"/>
            <a:ext cx="209550" cy="414337"/>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77" name="TextBox 176">
            <a:extLst>
              <a:ext uri="{FF2B5EF4-FFF2-40B4-BE49-F238E27FC236}">
                <a16:creationId xmlns:a16="http://schemas.microsoft.com/office/drawing/2014/main" id="{FE03F0E1-1ADF-5B36-70E9-A73F05816113}"/>
              </a:ext>
            </a:extLst>
          </xdr:cNvPr>
          <xdr:cNvSpPr txBox="1"/>
        </xdr:nvSpPr>
        <xdr:spPr>
          <a:xfrm>
            <a:off x="16659225" y="79238475"/>
            <a:ext cx="1609725" cy="476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a:solidFill>
                  <a:srgbClr val="0000FF"/>
                </a:solidFill>
              </a:rPr>
              <a:t>Click Show to see Headcount</a:t>
            </a:r>
            <a:endParaRPr lang="en-US" sz="1100" b="1" baseline="0">
              <a:solidFill>
                <a:srgbClr val="0000FF"/>
              </a:solidFill>
            </a:endParaRPr>
          </a:p>
        </xdr:txBody>
      </xdr:sp>
      <xdr:cxnSp macro="">
        <xdr:nvCxnSpPr>
          <xdr:cNvPr id="178" name="Straight Arrow Connector 177">
            <a:extLst>
              <a:ext uri="{FF2B5EF4-FFF2-40B4-BE49-F238E27FC236}">
                <a16:creationId xmlns:a16="http://schemas.microsoft.com/office/drawing/2014/main" id="{7BD1E226-AE5E-9014-F2E4-C956E755BC2D}"/>
              </a:ext>
            </a:extLst>
          </xdr:cNvPr>
          <xdr:cNvCxnSpPr/>
        </xdr:nvCxnSpPr>
        <xdr:spPr>
          <a:xfrm flipH="1">
            <a:off x="17459279" y="79629000"/>
            <a:ext cx="19097" cy="35242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79" name="Left Brace 178">
            <a:extLst>
              <a:ext uri="{FF2B5EF4-FFF2-40B4-BE49-F238E27FC236}">
                <a16:creationId xmlns:a16="http://schemas.microsoft.com/office/drawing/2014/main" id="{BED8E305-ED5A-FA8E-B8E3-14708909EC74}"/>
              </a:ext>
            </a:extLst>
          </xdr:cNvPr>
          <xdr:cNvSpPr/>
        </xdr:nvSpPr>
        <xdr:spPr>
          <a:xfrm rot="5400000">
            <a:off x="19526250" y="77771626"/>
            <a:ext cx="304800" cy="3181349"/>
          </a:xfrm>
          <a:prstGeom prst="leftBrace">
            <a:avLst/>
          </a:prstGeom>
          <a:ln w="28575">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80" name="TextBox 179">
            <a:extLst>
              <a:ext uri="{FF2B5EF4-FFF2-40B4-BE49-F238E27FC236}">
                <a16:creationId xmlns:a16="http://schemas.microsoft.com/office/drawing/2014/main" id="{120D8169-549D-202A-45ED-915B5EEAE3AA}"/>
              </a:ext>
            </a:extLst>
          </xdr:cNvPr>
          <xdr:cNvSpPr txBox="1"/>
        </xdr:nvSpPr>
        <xdr:spPr>
          <a:xfrm>
            <a:off x="18554700" y="78800325"/>
            <a:ext cx="2257425" cy="476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a:solidFill>
                  <a:srgbClr val="0000FF"/>
                </a:solidFill>
              </a:rPr>
              <a:t>Payroll Taxes,</a:t>
            </a:r>
            <a:r>
              <a:rPr lang="en-US" sz="1100" b="1" baseline="0">
                <a:solidFill>
                  <a:srgbClr val="0000FF"/>
                </a:solidFill>
              </a:rPr>
              <a:t> Benefits,</a:t>
            </a:r>
          </a:p>
          <a:p>
            <a:pPr algn="ctr"/>
            <a:r>
              <a:rPr lang="en-US" sz="1100" b="1" baseline="0">
                <a:solidFill>
                  <a:srgbClr val="0000FF"/>
                </a:solidFill>
              </a:rPr>
              <a:t>Annual Raise and Recruiter Fees</a:t>
            </a:r>
          </a:p>
        </xdr:txBody>
      </xdr:sp>
      <xdr:sp macro="" textlink="">
        <xdr:nvSpPr>
          <xdr:cNvPr id="181" name="TextBox 180">
            <a:extLst>
              <a:ext uri="{FF2B5EF4-FFF2-40B4-BE49-F238E27FC236}">
                <a16:creationId xmlns:a16="http://schemas.microsoft.com/office/drawing/2014/main" id="{D4815294-EF35-CE09-559A-5B1B0F80ECCB}"/>
              </a:ext>
            </a:extLst>
          </xdr:cNvPr>
          <xdr:cNvSpPr txBox="1"/>
        </xdr:nvSpPr>
        <xdr:spPr>
          <a:xfrm>
            <a:off x="10763250" y="81438751"/>
            <a:ext cx="781051"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en-US" sz="1100" b="1">
                <a:solidFill>
                  <a:srgbClr val="0000FF"/>
                </a:solidFill>
              </a:rPr>
              <a:t>Title</a:t>
            </a:r>
            <a:endParaRPr lang="en-US" sz="1100" b="1" baseline="0">
              <a:solidFill>
                <a:srgbClr val="0000FF"/>
              </a:solidFill>
            </a:endParaRPr>
          </a:p>
        </xdr:txBody>
      </xdr:sp>
    </xdr:grpSp>
    <xdr:clientData/>
  </xdr:twoCellAnchor>
  <xdr:twoCellAnchor>
    <xdr:from>
      <xdr:col>33</xdr:col>
      <xdr:colOff>457200</xdr:colOff>
      <xdr:row>454</xdr:row>
      <xdr:rowOff>57150</xdr:rowOff>
    </xdr:from>
    <xdr:to>
      <xdr:col>50</xdr:col>
      <xdr:colOff>161925</xdr:colOff>
      <xdr:row>467</xdr:row>
      <xdr:rowOff>114098</xdr:rowOff>
    </xdr:to>
    <xdr:grpSp>
      <xdr:nvGrpSpPr>
        <xdr:cNvPr id="182" name="Group 181">
          <a:extLst>
            <a:ext uri="{FF2B5EF4-FFF2-40B4-BE49-F238E27FC236}">
              <a16:creationId xmlns:a16="http://schemas.microsoft.com/office/drawing/2014/main" id="{B3F4D326-964A-4AC2-9A45-C0CE343F7025}"/>
            </a:ext>
          </a:extLst>
        </xdr:cNvPr>
        <xdr:cNvGrpSpPr/>
      </xdr:nvGrpSpPr>
      <xdr:grpSpPr>
        <a:xfrm>
          <a:off x="26289000" y="83680300"/>
          <a:ext cx="11363325" cy="2450898"/>
          <a:chOff x="20135850" y="86458425"/>
          <a:chExt cx="10067925" cy="2533448"/>
        </a:xfrm>
      </xdr:grpSpPr>
      <xdr:pic>
        <xdr:nvPicPr>
          <xdr:cNvPr id="183" name="Picture 182">
            <a:extLst>
              <a:ext uri="{FF2B5EF4-FFF2-40B4-BE49-F238E27FC236}">
                <a16:creationId xmlns:a16="http://schemas.microsoft.com/office/drawing/2014/main" id="{BE41B0A1-E297-02CD-900A-58F0118231D3}"/>
              </a:ext>
            </a:extLst>
          </xdr:cNvPr>
          <xdr:cNvPicPr>
            <a:picLocks noChangeAspect="1"/>
          </xdr:cNvPicPr>
        </xdr:nvPicPr>
        <xdr:blipFill>
          <a:blip xmlns:r="http://schemas.openxmlformats.org/officeDocument/2006/relationships" r:embed="rId40"/>
          <a:stretch>
            <a:fillRect/>
          </a:stretch>
        </xdr:blipFill>
        <xdr:spPr>
          <a:xfrm>
            <a:off x="20135850" y="87372825"/>
            <a:ext cx="8761905" cy="1619048"/>
          </a:xfrm>
          <a:prstGeom prst="rect">
            <a:avLst/>
          </a:prstGeom>
        </xdr:spPr>
      </xdr:pic>
      <xdr:cxnSp macro="">
        <xdr:nvCxnSpPr>
          <xdr:cNvPr id="184" name="Straight Arrow Connector 183">
            <a:extLst>
              <a:ext uri="{FF2B5EF4-FFF2-40B4-BE49-F238E27FC236}">
                <a16:creationId xmlns:a16="http://schemas.microsoft.com/office/drawing/2014/main" id="{CE430F1C-ABB9-3C20-D24D-39373D93855C}"/>
              </a:ext>
            </a:extLst>
          </xdr:cNvPr>
          <xdr:cNvCxnSpPr/>
        </xdr:nvCxnSpPr>
        <xdr:spPr>
          <a:xfrm flipV="1">
            <a:off x="21516975" y="88515825"/>
            <a:ext cx="710173" cy="171451"/>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85" name="TextBox 184">
            <a:extLst>
              <a:ext uri="{FF2B5EF4-FFF2-40B4-BE49-F238E27FC236}">
                <a16:creationId xmlns:a16="http://schemas.microsoft.com/office/drawing/2014/main" id="{45A581F0-3AA5-71BD-998C-6D2BDBB5CA10}"/>
              </a:ext>
            </a:extLst>
          </xdr:cNvPr>
          <xdr:cNvSpPr txBox="1"/>
        </xdr:nvSpPr>
        <xdr:spPr>
          <a:xfrm>
            <a:off x="20412076" y="88534876"/>
            <a:ext cx="1152526"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en-US" sz="1100" b="1">
                <a:solidFill>
                  <a:srgbClr val="0000FF"/>
                </a:solidFill>
              </a:rPr>
              <a:t>Expense Item</a:t>
            </a:r>
            <a:endParaRPr lang="en-US" sz="1100" b="1" baseline="0">
              <a:solidFill>
                <a:srgbClr val="0000FF"/>
              </a:solidFill>
            </a:endParaRPr>
          </a:p>
        </xdr:txBody>
      </xdr:sp>
      <xdr:sp macro="" textlink="">
        <xdr:nvSpPr>
          <xdr:cNvPr id="186" name="TextBox 185">
            <a:extLst>
              <a:ext uri="{FF2B5EF4-FFF2-40B4-BE49-F238E27FC236}">
                <a16:creationId xmlns:a16="http://schemas.microsoft.com/office/drawing/2014/main" id="{1A111D54-1319-FE18-BED5-24ACF4FDE7E7}"/>
              </a:ext>
            </a:extLst>
          </xdr:cNvPr>
          <xdr:cNvSpPr txBox="1"/>
        </xdr:nvSpPr>
        <xdr:spPr>
          <a:xfrm>
            <a:off x="24050625" y="86458425"/>
            <a:ext cx="3371850" cy="3333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lang="en-US" sz="1800" b="1">
                <a:solidFill>
                  <a:schemeClr val="tx1">
                    <a:lumMod val="75000"/>
                    <a:lumOff val="25000"/>
                  </a:schemeClr>
                </a:solidFill>
              </a:rPr>
              <a:t>Sales &amp; Marketing</a:t>
            </a:r>
          </a:p>
        </xdr:txBody>
      </xdr:sp>
      <xdr:cxnSp macro="">
        <xdr:nvCxnSpPr>
          <xdr:cNvPr id="187" name="Straight Arrow Connector 186">
            <a:extLst>
              <a:ext uri="{FF2B5EF4-FFF2-40B4-BE49-F238E27FC236}">
                <a16:creationId xmlns:a16="http://schemas.microsoft.com/office/drawing/2014/main" id="{EE78A2B6-4645-ED5A-D685-3381352A4A33}"/>
              </a:ext>
            </a:extLst>
          </xdr:cNvPr>
          <xdr:cNvCxnSpPr/>
        </xdr:nvCxnSpPr>
        <xdr:spPr>
          <a:xfrm>
            <a:off x="23193375" y="87029925"/>
            <a:ext cx="1409700" cy="82867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88" name="TextBox 187">
            <a:extLst>
              <a:ext uri="{FF2B5EF4-FFF2-40B4-BE49-F238E27FC236}">
                <a16:creationId xmlns:a16="http://schemas.microsoft.com/office/drawing/2014/main" id="{C9D95559-7F8F-A8AC-BDA0-B8CC4F1C7DCF}"/>
              </a:ext>
            </a:extLst>
          </xdr:cNvPr>
          <xdr:cNvSpPr txBox="1"/>
        </xdr:nvSpPr>
        <xdr:spPr>
          <a:xfrm>
            <a:off x="22183726" y="86782275"/>
            <a:ext cx="1714500"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a:solidFill>
                  <a:srgbClr val="0000FF"/>
                </a:solidFill>
              </a:rPr>
              <a:t>The number of expenses</a:t>
            </a:r>
            <a:endParaRPr lang="en-US" sz="1100" b="1" baseline="0">
              <a:solidFill>
                <a:srgbClr val="0000FF"/>
              </a:solidFill>
            </a:endParaRPr>
          </a:p>
        </xdr:txBody>
      </xdr:sp>
      <xdr:cxnSp macro="">
        <xdr:nvCxnSpPr>
          <xdr:cNvPr id="189" name="Straight Arrow Connector 188">
            <a:extLst>
              <a:ext uri="{FF2B5EF4-FFF2-40B4-BE49-F238E27FC236}">
                <a16:creationId xmlns:a16="http://schemas.microsoft.com/office/drawing/2014/main" id="{37DFC763-7FC8-1C23-F560-073CB0D65299}"/>
              </a:ext>
            </a:extLst>
          </xdr:cNvPr>
          <xdr:cNvCxnSpPr>
            <a:stCxn id="190" idx="2"/>
          </xdr:cNvCxnSpPr>
        </xdr:nvCxnSpPr>
        <xdr:spPr>
          <a:xfrm>
            <a:off x="24965025" y="87277575"/>
            <a:ext cx="295275" cy="71437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90" name="TextBox 189">
            <a:extLst>
              <a:ext uri="{FF2B5EF4-FFF2-40B4-BE49-F238E27FC236}">
                <a16:creationId xmlns:a16="http://schemas.microsoft.com/office/drawing/2014/main" id="{4135BEC3-06DF-A92C-D9B2-2E4E312EB1F0}"/>
              </a:ext>
            </a:extLst>
          </xdr:cNvPr>
          <xdr:cNvSpPr txBox="1"/>
        </xdr:nvSpPr>
        <xdr:spPr>
          <a:xfrm>
            <a:off x="24107775" y="86801325"/>
            <a:ext cx="1714500" cy="476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a:solidFill>
                  <a:srgbClr val="0000FF"/>
                </a:solidFill>
              </a:rPr>
              <a:t>You can set</a:t>
            </a:r>
            <a:r>
              <a:rPr lang="en-US" sz="1100" b="1" baseline="0">
                <a:solidFill>
                  <a:srgbClr val="0000FF"/>
                </a:solidFill>
              </a:rPr>
              <a:t> it to a percentage of sales</a:t>
            </a:r>
          </a:p>
        </xdr:txBody>
      </xdr:sp>
      <xdr:cxnSp macro="">
        <xdr:nvCxnSpPr>
          <xdr:cNvPr id="191" name="Straight Arrow Connector 190">
            <a:extLst>
              <a:ext uri="{FF2B5EF4-FFF2-40B4-BE49-F238E27FC236}">
                <a16:creationId xmlns:a16="http://schemas.microsoft.com/office/drawing/2014/main" id="{BEAB09FE-3E2D-D29C-F6FD-007C38600940}"/>
              </a:ext>
            </a:extLst>
          </xdr:cNvPr>
          <xdr:cNvCxnSpPr/>
        </xdr:nvCxnSpPr>
        <xdr:spPr>
          <a:xfrm>
            <a:off x="25927050" y="87610950"/>
            <a:ext cx="180975" cy="40957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92" name="TextBox 191">
            <a:extLst>
              <a:ext uri="{FF2B5EF4-FFF2-40B4-BE49-F238E27FC236}">
                <a16:creationId xmlns:a16="http://schemas.microsoft.com/office/drawing/2014/main" id="{567EC70E-376A-BD61-C4F7-E6E9A472CB53}"/>
              </a:ext>
            </a:extLst>
          </xdr:cNvPr>
          <xdr:cNvSpPr txBox="1"/>
        </xdr:nvSpPr>
        <xdr:spPr>
          <a:xfrm>
            <a:off x="25193625" y="87372825"/>
            <a:ext cx="1323975"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baseline="0">
                <a:solidFill>
                  <a:srgbClr val="0000FF"/>
                </a:solidFill>
              </a:rPr>
              <a:t>Amount per month</a:t>
            </a:r>
          </a:p>
        </xdr:txBody>
      </xdr:sp>
      <xdr:cxnSp macro="">
        <xdr:nvCxnSpPr>
          <xdr:cNvPr id="193" name="Straight Arrow Connector 192">
            <a:extLst>
              <a:ext uri="{FF2B5EF4-FFF2-40B4-BE49-F238E27FC236}">
                <a16:creationId xmlns:a16="http://schemas.microsoft.com/office/drawing/2014/main" id="{40DCFE50-E6D9-E1E4-369F-C10F70674237}"/>
              </a:ext>
            </a:extLst>
          </xdr:cNvPr>
          <xdr:cNvCxnSpPr>
            <a:stCxn id="194" idx="2"/>
          </xdr:cNvCxnSpPr>
        </xdr:nvCxnSpPr>
        <xdr:spPr>
          <a:xfrm flipH="1">
            <a:off x="27012900" y="87410925"/>
            <a:ext cx="209550" cy="50482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94" name="TextBox 193">
            <a:extLst>
              <a:ext uri="{FF2B5EF4-FFF2-40B4-BE49-F238E27FC236}">
                <a16:creationId xmlns:a16="http://schemas.microsoft.com/office/drawing/2014/main" id="{3B8D9E4E-7741-A254-E916-1D68A8306CAB}"/>
              </a:ext>
            </a:extLst>
          </xdr:cNvPr>
          <xdr:cNvSpPr txBox="1"/>
        </xdr:nvSpPr>
        <xdr:spPr>
          <a:xfrm>
            <a:off x="26346150" y="87134700"/>
            <a:ext cx="1752600"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en-US" sz="1100" b="1">
                <a:solidFill>
                  <a:srgbClr val="0000FF"/>
                </a:solidFill>
              </a:rPr>
              <a:t>The start and end months</a:t>
            </a:r>
            <a:endParaRPr lang="en-US" sz="1100" b="1" baseline="0">
              <a:solidFill>
                <a:srgbClr val="0000FF"/>
              </a:solidFill>
            </a:endParaRPr>
          </a:p>
        </xdr:txBody>
      </xdr:sp>
      <xdr:cxnSp macro="">
        <xdr:nvCxnSpPr>
          <xdr:cNvPr id="195" name="Straight Arrow Connector 194">
            <a:extLst>
              <a:ext uri="{FF2B5EF4-FFF2-40B4-BE49-F238E27FC236}">
                <a16:creationId xmlns:a16="http://schemas.microsoft.com/office/drawing/2014/main" id="{820F29C0-1074-6435-D5BD-DAD030B66281}"/>
              </a:ext>
            </a:extLst>
          </xdr:cNvPr>
          <xdr:cNvCxnSpPr/>
        </xdr:nvCxnSpPr>
        <xdr:spPr>
          <a:xfrm>
            <a:off x="27346275" y="87410925"/>
            <a:ext cx="190500" cy="49530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96" name="TextBox 195">
            <a:extLst>
              <a:ext uri="{FF2B5EF4-FFF2-40B4-BE49-F238E27FC236}">
                <a16:creationId xmlns:a16="http://schemas.microsoft.com/office/drawing/2014/main" id="{13E7C220-36AE-79F7-858E-BC1F133F464D}"/>
              </a:ext>
            </a:extLst>
          </xdr:cNvPr>
          <xdr:cNvSpPr txBox="1"/>
        </xdr:nvSpPr>
        <xdr:spPr>
          <a:xfrm>
            <a:off x="27851100" y="86725125"/>
            <a:ext cx="1609725" cy="476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a:solidFill>
                  <a:srgbClr val="0000FF"/>
                </a:solidFill>
              </a:rPr>
              <a:t>Click Show to see </a:t>
            </a:r>
          </a:p>
          <a:p>
            <a:pPr algn="ctr"/>
            <a:r>
              <a:rPr lang="en-US" sz="1100" b="1">
                <a:solidFill>
                  <a:srgbClr val="0000FF"/>
                </a:solidFill>
              </a:rPr>
              <a:t>One-Time Expenses</a:t>
            </a:r>
            <a:endParaRPr lang="en-US" sz="1100" b="1" baseline="0">
              <a:solidFill>
                <a:srgbClr val="0000FF"/>
              </a:solidFill>
            </a:endParaRPr>
          </a:p>
        </xdr:txBody>
      </xdr:sp>
      <xdr:cxnSp macro="">
        <xdr:nvCxnSpPr>
          <xdr:cNvPr id="197" name="Straight Arrow Connector 196">
            <a:extLst>
              <a:ext uri="{FF2B5EF4-FFF2-40B4-BE49-F238E27FC236}">
                <a16:creationId xmlns:a16="http://schemas.microsoft.com/office/drawing/2014/main" id="{B6B4F37F-95F1-482E-C9F9-615717A8F702}"/>
              </a:ext>
            </a:extLst>
          </xdr:cNvPr>
          <xdr:cNvCxnSpPr/>
        </xdr:nvCxnSpPr>
        <xdr:spPr>
          <a:xfrm flipH="1">
            <a:off x="28346400" y="87144225"/>
            <a:ext cx="323851" cy="32385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98" name="Straight Arrow Connector 197">
            <a:extLst>
              <a:ext uri="{FF2B5EF4-FFF2-40B4-BE49-F238E27FC236}">
                <a16:creationId xmlns:a16="http://schemas.microsoft.com/office/drawing/2014/main" id="{16BC289C-59F0-BD6A-3E65-9389151508EE}"/>
              </a:ext>
            </a:extLst>
          </xdr:cNvPr>
          <xdr:cNvCxnSpPr/>
        </xdr:nvCxnSpPr>
        <xdr:spPr>
          <a:xfrm flipH="1">
            <a:off x="28784550" y="87687150"/>
            <a:ext cx="447675" cy="31432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99" name="TextBox 198">
            <a:extLst>
              <a:ext uri="{FF2B5EF4-FFF2-40B4-BE49-F238E27FC236}">
                <a16:creationId xmlns:a16="http://schemas.microsoft.com/office/drawing/2014/main" id="{7B98DC24-86EF-CBC0-E379-288D0830EF23}"/>
              </a:ext>
            </a:extLst>
          </xdr:cNvPr>
          <xdr:cNvSpPr txBox="1"/>
        </xdr:nvSpPr>
        <xdr:spPr>
          <a:xfrm>
            <a:off x="28879800" y="87420450"/>
            <a:ext cx="1323975"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baseline="0">
                <a:solidFill>
                  <a:srgbClr val="0000FF"/>
                </a:solidFill>
              </a:rPr>
              <a:t>Annual % increase</a:t>
            </a:r>
          </a:p>
        </xdr:txBody>
      </xdr:sp>
    </xdr:grpSp>
    <xdr:clientData/>
  </xdr:twoCellAnchor>
  <xdr:twoCellAnchor editAs="oneCell">
    <xdr:from>
      <xdr:col>0</xdr:col>
      <xdr:colOff>114300</xdr:colOff>
      <xdr:row>445</xdr:row>
      <xdr:rowOff>0</xdr:rowOff>
    </xdr:from>
    <xdr:to>
      <xdr:col>16</xdr:col>
      <xdr:colOff>351176</xdr:colOff>
      <xdr:row>457</xdr:row>
      <xdr:rowOff>171143</xdr:rowOff>
    </xdr:to>
    <xdr:pic>
      <xdr:nvPicPr>
        <xdr:cNvPr id="200" name="Picture 199">
          <a:extLst>
            <a:ext uri="{FF2B5EF4-FFF2-40B4-BE49-F238E27FC236}">
              <a16:creationId xmlns:a16="http://schemas.microsoft.com/office/drawing/2014/main" id="{257BC093-ADF0-43E6-8E7E-D0F7009209BB}"/>
            </a:ext>
          </a:extLst>
        </xdr:cNvPr>
        <xdr:cNvPicPr>
          <a:picLocks noChangeAspect="1"/>
        </xdr:cNvPicPr>
      </xdr:nvPicPr>
      <xdr:blipFill>
        <a:blip xmlns:r="http://schemas.openxmlformats.org/officeDocument/2006/relationships" r:embed="rId41"/>
        <a:stretch>
          <a:fillRect/>
        </a:stretch>
      </xdr:blipFill>
      <xdr:spPr>
        <a:xfrm>
          <a:off x="114300" y="84801075"/>
          <a:ext cx="9990476" cy="2457143"/>
        </a:xfrm>
        <a:prstGeom prst="rect">
          <a:avLst/>
        </a:prstGeom>
      </xdr:spPr>
    </xdr:pic>
    <xdr:clientData/>
  </xdr:twoCellAnchor>
  <xdr:twoCellAnchor>
    <xdr:from>
      <xdr:col>35</xdr:col>
      <xdr:colOff>304800</xdr:colOff>
      <xdr:row>469</xdr:row>
      <xdr:rowOff>76200</xdr:rowOff>
    </xdr:from>
    <xdr:to>
      <xdr:col>50</xdr:col>
      <xdr:colOff>238125</xdr:colOff>
      <xdr:row>483</xdr:row>
      <xdr:rowOff>114073</xdr:rowOff>
    </xdr:to>
    <xdr:grpSp>
      <xdr:nvGrpSpPr>
        <xdr:cNvPr id="201" name="Group 200">
          <a:extLst>
            <a:ext uri="{FF2B5EF4-FFF2-40B4-BE49-F238E27FC236}">
              <a16:creationId xmlns:a16="http://schemas.microsoft.com/office/drawing/2014/main" id="{53ECF20A-737C-4B7B-AF69-96612C96B208}"/>
            </a:ext>
          </a:extLst>
        </xdr:cNvPr>
        <xdr:cNvGrpSpPr/>
      </xdr:nvGrpSpPr>
      <xdr:grpSpPr>
        <a:xfrm>
          <a:off x="27508200" y="86461600"/>
          <a:ext cx="10220325" cy="2615973"/>
          <a:chOff x="21659850" y="89592150"/>
          <a:chExt cx="9077325" cy="2704873"/>
        </a:xfrm>
      </xdr:grpSpPr>
      <xdr:grpSp>
        <xdr:nvGrpSpPr>
          <xdr:cNvPr id="202" name="Group 201">
            <a:extLst>
              <a:ext uri="{FF2B5EF4-FFF2-40B4-BE49-F238E27FC236}">
                <a16:creationId xmlns:a16="http://schemas.microsoft.com/office/drawing/2014/main" id="{18827E85-E50B-59D7-F359-732A91A3712E}"/>
              </a:ext>
            </a:extLst>
          </xdr:cNvPr>
          <xdr:cNvGrpSpPr/>
        </xdr:nvGrpSpPr>
        <xdr:grpSpPr>
          <a:xfrm>
            <a:off x="21659850" y="89858850"/>
            <a:ext cx="9077325" cy="2438173"/>
            <a:chOff x="21659850" y="89858850"/>
            <a:chExt cx="9077325" cy="2438173"/>
          </a:xfrm>
        </xdr:grpSpPr>
        <xdr:pic>
          <xdr:nvPicPr>
            <xdr:cNvPr id="204" name="Picture 203">
              <a:extLst>
                <a:ext uri="{FF2B5EF4-FFF2-40B4-BE49-F238E27FC236}">
                  <a16:creationId xmlns:a16="http://schemas.microsoft.com/office/drawing/2014/main" id="{78ED5D12-E151-5FC8-3D5A-35BE76BADDF9}"/>
                </a:ext>
              </a:extLst>
            </xdr:cNvPr>
            <xdr:cNvPicPr>
              <a:picLocks noChangeAspect="1"/>
            </xdr:cNvPicPr>
          </xdr:nvPicPr>
          <xdr:blipFill>
            <a:blip xmlns:r="http://schemas.openxmlformats.org/officeDocument/2006/relationships" r:embed="rId42"/>
            <a:stretch>
              <a:fillRect/>
            </a:stretch>
          </xdr:blipFill>
          <xdr:spPr>
            <a:xfrm>
              <a:off x="23402925" y="90477975"/>
              <a:ext cx="6009524" cy="1819048"/>
            </a:xfrm>
            <a:prstGeom prst="rect">
              <a:avLst/>
            </a:prstGeom>
          </xdr:spPr>
        </xdr:pic>
        <xdr:cxnSp macro="">
          <xdr:nvCxnSpPr>
            <xdr:cNvPr id="205" name="Straight Arrow Connector 204">
              <a:extLst>
                <a:ext uri="{FF2B5EF4-FFF2-40B4-BE49-F238E27FC236}">
                  <a16:creationId xmlns:a16="http://schemas.microsoft.com/office/drawing/2014/main" id="{22EA4888-5A9C-E85C-0356-8B2512E3A76C}"/>
                </a:ext>
              </a:extLst>
            </xdr:cNvPr>
            <xdr:cNvCxnSpPr/>
          </xdr:nvCxnSpPr>
          <xdr:spPr>
            <a:xfrm flipV="1">
              <a:off x="22764749" y="91792425"/>
              <a:ext cx="710173" cy="171451"/>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06" name="TextBox 205">
              <a:extLst>
                <a:ext uri="{FF2B5EF4-FFF2-40B4-BE49-F238E27FC236}">
                  <a16:creationId xmlns:a16="http://schemas.microsoft.com/office/drawing/2014/main" id="{042A8EBD-A7F5-71EE-2EBE-6C676218D3EF}"/>
                </a:ext>
              </a:extLst>
            </xdr:cNvPr>
            <xdr:cNvSpPr txBox="1"/>
          </xdr:nvSpPr>
          <xdr:spPr>
            <a:xfrm>
              <a:off x="21659850" y="91811476"/>
              <a:ext cx="1152526"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en-US" sz="1100" b="1">
                  <a:solidFill>
                    <a:srgbClr val="0000FF"/>
                  </a:solidFill>
                </a:rPr>
                <a:t>Expense Item</a:t>
              </a:r>
              <a:endParaRPr lang="en-US" sz="1100" b="1" baseline="0">
                <a:solidFill>
                  <a:srgbClr val="0000FF"/>
                </a:solidFill>
              </a:endParaRPr>
            </a:p>
          </xdr:txBody>
        </xdr:sp>
        <xdr:cxnSp macro="">
          <xdr:nvCxnSpPr>
            <xdr:cNvPr id="207" name="Straight Arrow Connector 206">
              <a:extLst>
                <a:ext uri="{FF2B5EF4-FFF2-40B4-BE49-F238E27FC236}">
                  <a16:creationId xmlns:a16="http://schemas.microsoft.com/office/drawing/2014/main" id="{AF0CBB91-4D53-8E03-8B2A-E9529E9354AA}"/>
                </a:ext>
              </a:extLst>
            </xdr:cNvPr>
            <xdr:cNvCxnSpPr/>
          </xdr:nvCxnSpPr>
          <xdr:spPr>
            <a:xfrm>
              <a:off x="24488774" y="90125550"/>
              <a:ext cx="1409700" cy="82867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08" name="TextBox 207">
              <a:extLst>
                <a:ext uri="{FF2B5EF4-FFF2-40B4-BE49-F238E27FC236}">
                  <a16:creationId xmlns:a16="http://schemas.microsoft.com/office/drawing/2014/main" id="{F143EC7E-A550-AFB0-A7E7-561D9B6BDC21}"/>
                </a:ext>
              </a:extLst>
            </xdr:cNvPr>
            <xdr:cNvSpPr txBox="1"/>
          </xdr:nvSpPr>
          <xdr:spPr>
            <a:xfrm>
              <a:off x="23479125" y="89877900"/>
              <a:ext cx="1714500"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a:solidFill>
                    <a:srgbClr val="0000FF"/>
                  </a:solidFill>
                </a:rPr>
                <a:t>The number of expenses</a:t>
              </a:r>
              <a:endParaRPr lang="en-US" sz="1100" b="1" baseline="0">
                <a:solidFill>
                  <a:srgbClr val="0000FF"/>
                </a:solidFill>
              </a:endParaRPr>
            </a:p>
          </xdr:txBody>
        </xdr:sp>
        <xdr:cxnSp macro="">
          <xdr:nvCxnSpPr>
            <xdr:cNvPr id="209" name="Straight Arrow Connector 208">
              <a:extLst>
                <a:ext uri="{FF2B5EF4-FFF2-40B4-BE49-F238E27FC236}">
                  <a16:creationId xmlns:a16="http://schemas.microsoft.com/office/drawing/2014/main" id="{C508A03C-ACA2-D525-82BE-078F3CC94B01}"/>
                </a:ext>
              </a:extLst>
            </xdr:cNvPr>
            <xdr:cNvCxnSpPr/>
          </xdr:nvCxnSpPr>
          <xdr:spPr>
            <a:xfrm>
              <a:off x="26374725" y="90697050"/>
              <a:ext cx="180975" cy="40957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10" name="TextBox 209">
              <a:extLst>
                <a:ext uri="{FF2B5EF4-FFF2-40B4-BE49-F238E27FC236}">
                  <a16:creationId xmlns:a16="http://schemas.microsoft.com/office/drawing/2014/main" id="{BF509A48-3AFB-6118-AE72-6AD9D4259373}"/>
                </a:ext>
              </a:extLst>
            </xdr:cNvPr>
            <xdr:cNvSpPr txBox="1"/>
          </xdr:nvSpPr>
          <xdr:spPr>
            <a:xfrm>
              <a:off x="25641300" y="90458925"/>
              <a:ext cx="1323975"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baseline="0">
                  <a:solidFill>
                    <a:srgbClr val="0000FF"/>
                  </a:solidFill>
                </a:rPr>
                <a:t>Amount per month</a:t>
              </a:r>
            </a:p>
          </xdr:txBody>
        </xdr:sp>
        <xdr:cxnSp macro="">
          <xdr:nvCxnSpPr>
            <xdr:cNvPr id="211" name="Straight Arrow Connector 210">
              <a:extLst>
                <a:ext uri="{FF2B5EF4-FFF2-40B4-BE49-F238E27FC236}">
                  <a16:creationId xmlns:a16="http://schemas.microsoft.com/office/drawing/2014/main" id="{21F9178A-7932-EC62-4C09-362930B48233}"/>
                </a:ext>
              </a:extLst>
            </xdr:cNvPr>
            <xdr:cNvCxnSpPr>
              <a:stCxn id="212" idx="2"/>
            </xdr:cNvCxnSpPr>
          </xdr:nvCxnSpPr>
          <xdr:spPr>
            <a:xfrm flipH="1">
              <a:off x="27555825" y="90611325"/>
              <a:ext cx="209550" cy="50482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12" name="TextBox 211">
              <a:extLst>
                <a:ext uri="{FF2B5EF4-FFF2-40B4-BE49-F238E27FC236}">
                  <a16:creationId xmlns:a16="http://schemas.microsoft.com/office/drawing/2014/main" id="{4E8A6337-9CF0-4385-C7A4-C4C64527B0F1}"/>
                </a:ext>
              </a:extLst>
            </xdr:cNvPr>
            <xdr:cNvSpPr txBox="1"/>
          </xdr:nvSpPr>
          <xdr:spPr>
            <a:xfrm>
              <a:off x="26889075" y="90335100"/>
              <a:ext cx="1752600"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en-US" sz="1100" b="1">
                  <a:solidFill>
                    <a:srgbClr val="0000FF"/>
                  </a:solidFill>
                </a:rPr>
                <a:t>The start and end months</a:t>
              </a:r>
              <a:endParaRPr lang="en-US" sz="1100" b="1" baseline="0">
                <a:solidFill>
                  <a:srgbClr val="0000FF"/>
                </a:solidFill>
              </a:endParaRPr>
            </a:p>
          </xdr:txBody>
        </xdr:sp>
        <xdr:cxnSp macro="">
          <xdr:nvCxnSpPr>
            <xdr:cNvPr id="213" name="Straight Arrow Connector 212">
              <a:extLst>
                <a:ext uri="{FF2B5EF4-FFF2-40B4-BE49-F238E27FC236}">
                  <a16:creationId xmlns:a16="http://schemas.microsoft.com/office/drawing/2014/main" id="{7F4D3B8C-C80B-A769-DA2C-303C735717A3}"/>
                </a:ext>
              </a:extLst>
            </xdr:cNvPr>
            <xdr:cNvCxnSpPr/>
          </xdr:nvCxnSpPr>
          <xdr:spPr>
            <a:xfrm>
              <a:off x="27889200" y="90611325"/>
              <a:ext cx="190500" cy="49530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14" name="TextBox 213">
              <a:extLst>
                <a:ext uri="{FF2B5EF4-FFF2-40B4-BE49-F238E27FC236}">
                  <a16:creationId xmlns:a16="http://schemas.microsoft.com/office/drawing/2014/main" id="{A914ED5A-C2A9-D66C-1CDE-F819B5BB9522}"/>
                </a:ext>
              </a:extLst>
            </xdr:cNvPr>
            <xdr:cNvSpPr txBox="1"/>
          </xdr:nvSpPr>
          <xdr:spPr>
            <a:xfrm>
              <a:off x="28384500" y="89858850"/>
              <a:ext cx="1609725" cy="476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a:solidFill>
                    <a:srgbClr val="0000FF"/>
                  </a:solidFill>
                </a:rPr>
                <a:t>Click Show to see </a:t>
              </a:r>
            </a:p>
            <a:p>
              <a:pPr algn="ctr"/>
              <a:r>
                <a:rPr lang="en-US" sz="1100" b="1">
                  <a:solidFill>
                    <a:srgbClr val="0000FF"/>
                  </a:solidFill>
                </a:rPr>
                <a:t>One-Time Expenses</a:t>
              </a:r>
              <a:endParaRPr lang="en-US" sz="1100" b="1" baseline="0">
                <a:solidFill>
                  <a:srgbClr val="0000FF"/>
                </a:solidFill>
              </a:endParaRPr>
            </a:p>
          </xdr:txBody>
        </xdr:sp>
        <xdr:cxnSp macro="">
          <xdr:nvCxnSpPr>
            <xdr:cNvPr id="215" name="Straight Arrow Connector 214">
              <a:extLst>
                <a:ext uri="{FF2B5EF4-FFF2-40B4-BE49-F238E27FC236}">
                  <a16:creationId xmlns:a16="http://schemas.microsoft.com/office/drawing/2014/main" id="{F2744F5F-97DB-6277-2720-2130611DB6C3}"/>
                </a:ext>
              </a:extLst>
            </xdr:cNvPr>
            <xdr:cNvCxnSpPr/>
          </xdr:nvCxnSpPr>
          <xdr:spPr>
            <a:xfrm flipH="1">
              <a:off x="28879800" y="90277950"/>
              <a:ext cx="323851" cy="32385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16" name="Straight Arrow Connector 215">
              <a:extLst>
                <a:ext uri="{FF2B5EF4-FFF2-40B4-BE49-F238E27FC236}">
                  <a16:creationId xmlns:a16="http://schemas.microsoft.com/office/drawing/2014/main" id="{F090EC36-1FD1-B580-5B85-E8B9E11BF953}"/>
                </a:ext>
              </a:extLst>
            </xdr:cNvPr>
            <xdr:cNvCxnSpPr/>
          </xdr:nvCxnSpPr>
          <xdr:spPr>
            <a:xfrm flipH="1">
              <a:off x="29317950" y="90820875"/>
              <a:ext cx="447675" cy="31432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17" name="TextBox 216">
              <a:extLst>
                <a:ext uri="{FF2B5EF4-FFF2-40B4-BE49-F238E27FC236}">
                  <a16:creationId xmlns:a16="http://schemas.microsoft.com/office/drawing/2014/main" id="{C9E2C784-09DB-D1C7-4312-A6553C627F1F}"/>
                </a:ext>
              </a:extLst>
            </xdr:cNvPr>
            <xdr:cNvSpPr txBox="1"/>
          </xdr:nvSpPr>
          <xdr:spPr>
            <a:xfrm>
              <a:off x="29413200" y="90554175"/>
              <a:ext cx="1323975"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baseline="0">
                  <a:solidFill>
                    <a:srgbClr val="0000FF"/>
                  </a:solidFill>
                </a:rPr>
                <a:t>Annual % increase</a:t>
              </a:r>
            </a:p>
          </xdr:txBody>
        </xdr:sp>
      </xdr:grpSp>
      <xdr:sp macro="" textlink="">
        <xdr:nvSpPr>
          <xdr:cNvPr id="203" name="TextBox 202">
            <a:extLst>
              <a:ext uri="{FF2B5EF4-FFF2-40B4-BE49-F238E27FC236}">
                <a16:creationId xmlns:a16="http://schemas.microsoft.com/office/drawing/2014/main" id="{2C94AE3B-76A4-B9FB-B5E7-2544F2431414}"/>
              </a:ext>
            </a:extLst>
          </xdr:cNvPr>
          <xdr:cNvSpPr txBox="1"/>
        </xdr:nvSpPr>
        <xdr:spPr>
          <a:xfrm>
            <a:off x="25184100" y="89592150"/>
            <a:ext cx="3371850" cy="3333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lang="en-US" sz="1800" b="1">
                <a:solidFill>
                  <a:schemeClr val="tx1">
                    <a:lumMod val="75000"/>
                    <a:lumOff val="25000"/>
                  </a:schemeClr>
                </a:solidFill>
              </a:rPr>
              <a:t>Operating</a:t>
            </a:r>
            <a:r>
              <a:rPr lang="en-US" sz="1800" b="1" baseline="0">
                <a:solidFill>
                  <a:schemeClr val="tx1">
                    <a:lumMod val="75000"/>
                    <a:lumOff val="25000"/>
                  </a:schemeClr>
                </a:solidFill>
              </a:rPr>
              <a:t> Expenses</a:t>
            </a:r>
            <a:endParaRPr lang="en-US" sz="1800" b="1">
              <a:solidFill>
                <a:schemeClr val="tx1">
                  <a:lumMod val="75000"/>
                  <a:lumOff val="25000"/>
                </a:schemeClr>
              </a:solidFill>
            </a:endParaRPr>
          </a:p>
        </xdr:txBody>
      </xdr:sp>
    </xdr:grpSp>
    <xdr:clientData/>
  </xdr:twoCellAnchor>
  <xdr:twoCellAnchor editAs="oneCell">
    <xdr:from>
      <xdr:col>0</xdr:col>
      <xdr:colOff>476250</xdr:colOff>
      <xdr:row>459</xdr:row>
      <xdr:rowOff>152400</xdr:rowOff>
    </xdr:from>
    <xdr:to>
      <xdr:col>15</xdr:col>
      <xdr:colOff>170345</xdr:colOff>
      <xdr:row>474</xdr:row>
      <xdr:rowOff>66329</xdr:rowOff>
    </xdr:to>
    <xdr:pic>
      <xdr:nvPicPr>
        <xdr:cNvPr id="218" name="Picture 217">
          <a:extLst>
            <a:ext uri="{FF2B5EF4-FFF2-40B4-BE49-F238E27FC236}">
              <a16:creationId xmlns:a16="http://schemas.microsoft.com/office/drawing/2014/main" id="{6EAC5E54-A9B8-45E8-94D0-16E1D461BC53}"/>
            </a:ext>
          </a:extLst>
        </xdr:cNvPr>
        <xdr:cNvPicPr>
          <a:picLocks noChangeAspect="1"/>
        </xdr:cNvPicPr>
      </xdr:nvPicPr>
      <xdr:blipFill>
        <a:blip xmlns:r="http://schemas.openxmlformats.org/officeDocument/2006/relationships" r:embed="rId43"/>
        <a:stretch>
          <a:fillRect/>
        </a:stretch>
      </xdr:blipFill>
      <xdr:spPr>
        <a:xfrm>
          <a:off x="476250" y="87620475"/>
          <a:ext cx="8838095" cy="2771429"/>
        </a:xfrm>
        <a:prstGeom prst="rect">
          <a:avLst/>
        </a:prstGeom>
      </xdr:spPr>
    </xdr:pic>
    <xdr:clientData/>
  </xdr:twoCellAnchor>
  <xdr:twoCellAnchor editAs="oneCell">
    <xdr:from>
      <xdr:col>5</xdr:col>
      <xdr:colOff>504825</xdr:colOff>
      <xdr:row>475</xdr:row>
      <xdr:rowOff>47625</xdr:rowOff>
    </xdr:from>
    <xdr:to>
      <xdr:col>10</xdr:col>
      <xdr:colOff>113968</xdr:colOff>
      <xdr:row>489</xdr:row>
      <xdr:rowOff>133006</xdr:rowOff>
    </xdr:to>
    <xdr:pic>
      <xdr:nvPicPr>
        <xdr:cNvPr id="219" name="Picture 218">
          <a:extLst>
            <a:ext uri="{FF2B5EF4-FFF2-40B4-BE49-F238E27FC236}">
              <a16:creationId xmlns:a16="http://schemas.microsoft.com/office/drawing/2014/main" id="{9BE3C80F-D654-40B3-BBE6-D542BAE15895}"/>
            </a:ext>
          </a:extLst>
        </xdr:cNvPr>
        <xdr:cNvPicPr>
          <a:picLocks noChangeAspect="1"/>
        </xdr:cNvPicPr>
      </xdr:nvPicPr>
      <xdr:blipFill>
        <a:blip xmlns:r="http://schemas.openxmlformats.org/officeDocument/2006/relationships" r:embed="rId44"/>
        <a:stretch>
          <a:fillRect/>
        </a:stretch>
      </xdr:blipFill>
      <xdr:spPr>
        <a:xfrm>
          <a:off x="3552825" y="90563700"/>
          <a:ext cx="2657143" cy="2752381"/>
        </a:xfrm>
        <a:prstGeom prst="rect">
          <a:avLst/>
        </a:prstGeom>
      </xdr:spPr>
    </xdr:pic>
    <xdr:clientData/>
  </xdr:twoCellAnchor>
  <xdr:twoCellAnchor>
    <xdr:from>
      <xdr:col>36</xdr:col>
      <xdr:colOff>542925</xdr:colOff>
      <xdr:row>486</xdr:row>
      <xdr:rowOff>114301</xdr:rowOff>
    </xdr:from>
    <xdr:to>
      <xdr:col>54</xdr:col>
      <xdr:colOff>17744</xdr:colOff>
      <xdr:row>498</xdr:row>
      <xdr:rowOff>190352</xdr:rowOff>
    </xdr:to>
    <xdr:grpSp>
      <xdr:nvGrpSpPr>
        <xdr:cNvPr id="220" name="Group 219">
          <a:extLst>
            <a:ext uri="{FF2B5EF4-FFF2-40B4-BE49-F238E27FC236}">
              <a16:creationId xmlns:a16="http://schemas.microsoft.com/office/drawing/2014/main" id="{F1F8BF94-2E93-4B2C-B149-A1797768017B}"/>
            </a:ext>
          </a:extLst>
        </xdr:cNvPr>
        <xdr:cNvGrpSpPr/>
      </xdr:nvGrpSpPr>
      <xdr:grpSpPr>
        <a:xfrm>
          <a:off x="28432125" y="89630251"/>
          <a:ext cx="11819219" cy="2279501"/>
          <a:chOff x="24688800" y="92725876"/>
          <a:chExt cx="10447619" cy="2362051"/>
        </a:xfrm>
      </xdr:grpSpPr>
      <xdr:pic>
        <xdr:nvPicPr>
          <xdr:cNvPr id="221" name="Picture 220">
            <a:extLst>
              <a:ext uri="{FF2B5EF4-FFF2-40B4-BE49-F238E27FC236}">
                <a16:creationId xmlns:a16="http://schemas.microsoft.com/office/drawing/2014/main" id="{6585EF26-7812-2042-6ADB-402EDBAA3684}"/>
              </a:ext>
            </a:extLst>
          </xdr:cNvPr>
          <xdr:cNvPicPr>
            <a:picLocks noChangeAspect="1"/>
          </xdr:cNvPicPr>
        </xdr:nvPicPr>
        <xdr:blipFill>
          <a:blip xmlns:r="http://schemas.openxmlformats.org/officeDocument/2006/relationships" r:embed="rId45"/>
          <a:stretch>
            <a:fillRect/>
          </a:stretch>
        </xdr:blipFill>
        <xdr:spPr>
          <a:xfrm>
            <a:off x="24688800" y="93906975"/>
            <a:ext cx="10447619" cy="1180952"/>
          </a:xfrm>
          <a:prstGeom prst="rect">
            <a:avLst/>
          </a:prstGeom>
        </xdr:spPr>
      </xdr:pic>
      <xdr:cxnSp macro="">
        <xdr:nvCxnSpPr>
          <xdr:cNvPr id="222" name="Straight Arrow Connector 221">
            <a:extLst>
              <a:ext uri="{FF2B5EF4-FFF2-40B4-BE49-F238E27FC236}">
                <a16:creationId xmlns:a16="http://schemas.microsoft.com/office/drawing/2014/main" id="{8385F013-C5D2-6295-A55A-19DCC02C8F37}"/>
              </a:ext>
            </a:extLst>
          </xdr:cNvPr>
          <xdr:cNvCxnSpPr/>
        </xdr:nvCxnSpPr>
        <xdr:spPr>
          <a:xfrm flipV="1">
            <a:off x="26088974" y="94592775"/>
            <a:ext cx="710173" cy="171451"/>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23" name="TextBox 222">
            <a:extLst>
              <a:ext uri="{FF2B5EF4-FFF2-40B4-BE49-F238E27FC236}">
                <a16:creationId xmlns:a16="http://schemas.microsoft.com/office/drawing/2014/main" id="{49FC6CAA-66C8-E495-4704-B3291D007790}"/>
              </a:ext>
            </a:extLst>
          </xdr:cNvPr>
          <xdr:cNvSpPr txBox="1"/>
        </xdr:nvSpPr>
        <xdr:spPr>
          <a:xfrm>
            <a:off x="24984075" y="94611826"/>
            <a:ext cx="1152526"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en-US" sz="1100" b="1">
                <a:solidFill>
                  <a:srgbClr val="0000FF"/>
                </a:solidFill>
              </a:rPr>
              <a:t>Fixed Asset</a:t>
            </a:r>
            <a:r>
              <a:rPr lang="en-US" sz="1100" b="1" baseline="0">
                <a:solidFill>
                  <a:srgbClr val="0000FF"/>
                </a:solidFill>
              </a:rPr>
              <a:t> item</a:t>
            </a:r>
          </a:p>
        </xdr:txBody>
      </xdr:sp>
      <xdr:cxnSp macro="">
        <xdr:nvCxnSpPr>
          <xdr:cNvPr id="224" name="Straight Arrow Connector 223">
            <a:extLst>
              <a:ext uri="{FF2B5EF4-FFF2-40B4-BE49-F238E27FC236}">
                <a16:creationId xmlns:a16="http://schemas.microsoft.com/office/drawing/2014/main" id="{D1EFEB7C-A152-77B0-3257-C53852DF1F51}"/>
              </a:ext>
            </a:extLst>
          </xdr:cNvPr>
          <xdr:cNvCxnSpPr/>
        </xdr:nvCxnSpPr>
        <xdr:spPr>
          <a:xfrm>
            <a:off x="28394025" y="93583125"/>
            <a:ext cx="457199" cy="41910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25" name="TextBox 224">
            <a:extLst>
              <a:ext uri="{FF2B5EF4-FFF2-40B4-BE49-F238E27FC236}">
                <a16:creationId xmlns:a16="http://schemas.microsoft.com/office/drawing/2014/main" id="{51C543AB-E35F-BBAF-6FB2-D0CC36D4A4EB}"/>
              </a:ext>
            </a:extLst>
          </xdr:cNvPr>
          <xdr:cNvSpPr txBox="1"/>
        </xdr:nvSpPr>
        <xdr:spPr>
          <a:xfrm>
            <a:off x="27412950" y="93325950"/>
            <a:ext cx="1714500"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a:solidFill>
                  <a:srgbClr val="0000FF"/>
                </a:solidFill>
              </a:rPr>
              <a:t>The number of expenses</a:t>
            </a:r>
            <a:endParaRPr lang="en-US" sz="1100" b="1" baseline="0">
              <a:solidFill>
                <a:srgbClr val="0000FF"/>
              </a:solidFill>
            </a:endParaRPr>
          </a:p>
        </xdr:txBody>
      </xdr:sp>
      <xdr:cxnSp macro="">
        <xdr:nvCxnSpPr>
          <xdr:cNvPr id="226" name="Straight Arrow Connector 225">
            <a:extLst>
              <a:ext uri="{FF2B5EF4-FFF2-40B4-BE49-F238E27FC236}">
                <a16:creationId xmlns:a16="http://schemas.microsoft.com/office/drawing/2014/main" id="{244A809B-B484-A911-BC2F-2A09A83351A1}"/>
              </a:ext>
            </a:extLst>
          </xdr:cNvPr>
          <xdr:cNvCxnSpPr/>
        </xdr:nvCxnSpPr>
        <xdr:spPr>
          <a:xfrm>
            <a:off x="29832300" y="93668850"/>
            <a:ext cx="180975" cy="40957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27" name="TextBox 226">
            <a:extLst>
              <a:ext uri="{FF2B5EF4-FFF2-40B4-BE49-F238E27FC236}">
                <a16:creationId xmlns:a16="http://schemas.microsoft.com/office/drawing/2014/main" id="{CC8A2152-2B9A-DCD8-6923-F6E5F88DDB14}"/>
              </a:ext>
            </a:extLst>
          </xdr:cNvPr>
          <xdr:cNvSpPr txBox="1"/>
        </xdr:nvSpPr>
        <xdr:spPr>
          <a:xfrm>
            <a:off x="29098875" y="93430725"/>
            <a:ext cx="1323975"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baseline="0">
                <a:solidFill>
                  <a:srgbClr val="0000FF"/>
                </a:solidFill>
              </a:rPr>
              <a:t>Cost of item</a:t>
            </a:r>
          </a:p>
        </xdr:txBody>
      </xdr:sp>
      <xdr:cxnSp macro="">
        <xdr:nvCxnSpPr>
          <xdr:cNvPr id="228" name="Straight Arrow Connector 227">
            <a:extLst>
              <a:ext uri="{FF2B5EF4-FFF2-40B4-BE49-F238E27FC236}">
                <a16:creationId xmlns:a16="http://schemas.microsoft.com/office/drawing/2014/main" id="{ABAFCA58-CD66-7F1C-8ED2-98B2EDB70390}"/>
              </a:ext>
            </a:extLst>
          </xdr:cNvPr>
          <xdr:cNvCxnSpPr/>
        </xdr:nvCxnSpPr>
        <xdr:spPr>
          <a:xfrm>
            <a:off x="30594300" y="93364050"/>
            <a:ext cx="257175" cy="69532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29" name="TextBox 228">
            <a:extLst>
              <a:ext uri="{FF2B5EF4-FFF2-40B4-BE49-F238E27FC236}">
                <a16:creationId xmlns:a16="http://schemas.microsoft.com/office/drawing/2014/main" id="{CC390E77-32E8-C5DC-0FA3-3EB48DA37671}"/>
              </a:ext>
            </a:extLst>
          </xdr:cNvPr>
          <xdr:cNvSpPr txBox="1"/>
        </xdr:nvSpPr>
        <xdr:spPr>
          <a:xfrm>
            <a:off x="29879925" y="93106875"/>
            <a:ext cx="1323975"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baseline="0">
                <a:solidFill>
                  <a:srgbClr val="0000FF"/>
                </a:solidFill>
              </a:rPr>
              <a:t>Month of purchase</a:t>
            </a:r>
          </a:p>
        </xdr:txBody>
      </xdr:sp>
      <xdr:cxnSp macro="">
        <xdr:nvCxnSpPr>
          <xdr:cNvPr id="230" name="Straight Arrow Connector 229">
            <a:extLst>
              <a:ext uri="{FF2B5EF4-FFF2-40B4-BE49-F238E27FC236}">
                <a16:creationId xmlns:a16="http://schemas.microsoft.com/office/drawing/2014/main" id="{5A76A114-069D-7B65-325F-D0F8DACDB11F}"/>
              </a:ext>
            </a:extLst>
          </xdr:cNvPr>
          <xdr:cNvCxnSpPr/>
        </xdr:nvCxnSpPr>
        <xdr:spPr>
          <a:xfrm flipH="1">
            <a:off x="31613475" y="93630750"/>
            <a:ext cx="114300" cy="43815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31" name="TextBox 230">
            <a:extLst>
              <a:ext uri="{FF2B5EF4-FFF2-40B4-BE49-F238E27FC236}">
                <a16:creationId xmlns:a16="http://schemas.microsoft.com/office/drawing/2014/main" id="{D7077A10-75F4-8107-100F-3E5AA7380B6E}"/>
              </a:ext>
            </a:extLst>
          </xdr:cNvPr>
          <xdr:cNvSpPr txBox="1"/>
        </xdr:nvSpPr>
        <xdr:spPr>
          <a:xfrm>
            <a:off x="30918150" y="93373575"/>
            <a:ext cx="1657350"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baseline="0">
                <a:solidFill>
                  <a:srgbClr val="0000FF"/>
                </a:solidFill>
              </a:rPr>
              <a:t>Depreciation period</a:t>
            </a:r>
          </a:p>
        </xdr:txBody>
      </xdr:sp>
      <xdr:sp macro="" textlink="">
        <xdr:nvSpPr>
          <xdr:cNvPr id="232" name="Left Brace 231">
            <a:extLst>
              <a:ext uri="{FF2B5EF4-FFF2-40B4-BE49-F238E27FC236}">
                <a16:creationId xmlns:a16="http://schemas.microsoft.com/office/drawing/2014/main" id="{F087838F-E59F-317A-E722-DF918FE8FDCD}"/>
              </a:ext>
            </a:extLst>
          </xdr:cNvPr>
          <xdr:cNvSpPr/>
        </xdr:nvSpPr>
        <xdr:spPr>
          <a:xfrm rot="5400000">
            <a:off x="33480376" y="92525852"/>
            <a:ext cx="723898" cy="2343150"/>
          </a:xfrm>
          <a:prstGeom prst="leftBrace">
            <a:avLst>
              <a:gd name="adj1" fmla="val 8333"/>
              <a:gd name="adj2" fmla="val 52071"/>
            </a:avLst>
          </a:prstGeom>
          <a:ln w="28575">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233" name="TextBox 232">
            <a:extLst>
              <a:ext uri="{FF2B5EF4-FFF2-40B4-BE49-F238E27FC236}">
                <a16:creationId xmlns:a16="http://schemas.microsoft.com/office/drawing/2014/main" id="{CB2EE198-967D-8E64-0F7E-FB2602D22E85}"/>
              </a:ext>
            </a:extLst>
          </xdr:cNvPr>
          <xdr:cNvSpPr txBox="1"/>
        </xdr:nvSpPr>
        <xdr:spPr>
          <a:xfrm>
            <a:off x="32689800" y="92725876"/>
            <a:ext cx="2257425" cy="6953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a:solidFill>
                  <a:srgbClr val="0000FF"/>
                </a:solidFill>
              </a:rPr>
              <a:t>You can name how</a:t>
            </a:r>
            <a:r>
              <a:rPr lang="en-US" sz="1100" b="1" baseline="0">
                <a:solidFill>
                  <a:srgbClr val="0000FF"/>
                </a:solidFill>
              </a:rPr>
              <a:t> the </a:t>
            </a:r>
          </a:p>
          <a:p>
            <a:pPr algn="ctr"/>
            <a:r>
              <a:rPr lang="en-US" sz="1100" b="1" baseline="0">
                <a:solidFill>
                  <a:srgbClr val="0000FF"/>
                </a:solidFill>
              </a:rPr>
              <a:t>category appears on the P&amp;L </a:t>
            </a:r>
          </a:p>
          <a:p>
            <a:pPr algn="ctr"/>
            <a:r>
              <a:rPr lang="en-US" sz="1100" b="1" baseline="0">
                <a:solidFill>
                  <a:srgbClr val="0000FF"/>
                </a:solidFill>
              </a:rPr>
              <a:t>and the years of depreciation</a:t>
            </a:r>
          </a:p>
        </xdr:txBody>
      </xdr:sp>
    </xdr:grpSp>
    <xdr:clientData/>
  </xdr:twoCellAnchor>
  <xdr:twoCellAnchor>
    <xdr:from>
      <xdr:col>42</xdr:col>
      <xdr:colOff>266700</xdr:colOff>
      <xdr:row>486</xdr:row>
      <xdr:rowOff>66675</xdr:rowOff>
    </xdr:from>
    <xdr:to>
      <xdr:col>47</xdr:col>
      <xdr:colOff>590550</xdr:colOff>
      <xdr:row>488</xdr:row>
      <xdr:rowOff>19050</xdr:rowOff>
    </xdr:to>
    <xdr:sp macro="" textlink="">
      <xdr:nvSpPr>
        <xdr:cNvPr id="234" name="TextBox 233">
          <a:extLst>
            <a:ext uri="{FF2B5EF4-FFF2-40B4-BE49-F238E27FC236}">
              <a16:creationId xmlns:a16="http://schemas.microsoft.com/office/drawing/2014/main" id="{C4EE779E-54E1-45FF-92B9-E9BDEE73501F}"/>
            </a:ext>
          </a:extLst>
        </xdr:cNvPr>
        <xdr:cNvSpPr txBox="1"/>
      </xdr:nvSpPr>
      <xdr:spPr>
        <a:xfrm>
          <a:off x="29146500" y="92678250"/>
          <a:ext cx="3371850" cy="3333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lang="en-US" sz="1800" b="1">
              <a:solidFill>
                <a:schemeClr val="tx1">
                  <a:lumMod val="75000"/>
                  <a:lumOff val="25000"/>
                </a:schemeClr>
              </a:solidFill>
            </a:rPr>
            <a:t>Tangible</a:t>
          </a:r>
          <a:r>
            <a:rPr lang="en-US" sz="1800" b="1" baseline="0">
              <a:solidFill>
                <a:schemeClr val="tx1">
                  <a:lumMod val="75000"/>
                  <a:lumOff val="25000"/>
                </a:schemeClr>
              </a:solidFill>
            </a:rPr>
            <a:t> (Fixed) Assets</a:t>
          </a:r>
          <a:endParaRPr lang="en-US" sz="1800" b="1">
            <a:solidFill>
              <a:schemeClr val="tx1">
                <a:lumMod val="75000"/>
                <a:lumOff val="25000"/>
              </a:schemeClr>
            </a:solidFill>
          </a:endParaRPr>
        </a:p>
      </xdr:txBody>
    </xdr:sp>
    <xdr:clientData/>
  </xdr:twoCellAnchor>
  <xdr:twoCellAnchor editAs="oneCell">
    <xdr:from>
      <xdr:col>0</xdr:col>
      <xdr:colOff>76200</xdr:colOff>
      <xdr:row>493</xdr:row>
      <xdr:rowOff>161925</xdr:rowOff>
    </xdr:from>
    <xdr:to>
      <xdr:col>17</xdr:col>
      <xdr:colOff>103476</xdr:colOff>
      <xdr:row>506</xdr:row>
      <xdr:rowOff>47330</xdr:rowOff>
    </xdr:to>
    <xdr:pic>
      <xdr:nvPicPr>
        <xdr:cNvPr id="235" name="Picture 234">
          <a:extLst>
            <a:ext uri="{FF2B5EF4-FFF2-40B4-BE49-F238E27FC236}">
              <a16:creationId xmlns:a16="http://schemas.microsoft.com/office/drawing/2014/main" id="{323A6EF4-360F-491D-9141-751CD038B2F0}"/>
            </a:ext>
          </a:extLst>
        </xdr:cNvPr>
        <xdr:cNvPicPr>
          <a:picLocks noChangeAspect="1"/>
        </xdr:cNvPicPr>
      </xdr:nvPicPr>
      <xdr:blipFill>
        <a:blip xmlns:r="http://schemas.openxmlformats.org/officeDocument/2006/relationships" r:embed="rId46"/>
        <a:stretch>
          <a:fillRect/>
        </a:stretch>
      </xdr:blipFill>
      <xdr:spPr>
        <a:xfrm>
          <a:off x="76200" y="94107000"/>
          <a:ext cx="10390476" cy="2361905"/>
        </a:xfrm>
        <a:prstGeom prst="rect">
          <a:avLst/>
        </a:prstGeom>
      </xdr:spPr>
    </xdr:pic>
    <xdr:clientData/>
  </xdr:twoCellAnchor>
  <xdr:twoCellAnchor>
    <xdr:from>
      <xdr:col>38</xdr:col>
      <xdr:colOff>19050</xdr:colOff>
      <xdr:row>502</xdr:row>
      <xdr:rowOff>133350</xdr:rowOff>
    </xdr:from>
    <xdr:to>
      <xdr:col>50</xdr:col>
      <xdr:colOff>295275</xdr:colOff>
      <xdr:row>513</xdr:row>
      <xdr:rowOff>104776</xdr:rowOff>
    </xdr:to>
    <xdr:grpSp>
      <xdr:nvGrpSpPr>
        <xdr:cNvPr id="236" name="Group 235">
          <a:extLst>
            <a:ext uri="{FF2B5EF4-FFF2-40B4-BE49-F238E27FC236}">
              <a16:creationId xmlns:a16="http://schemas.microsoft.com/office/drawing/2014/main" id="{0C85D855-4F48-4D85-9752-FA284C2C5E4D}"/>
            </a:ext>
          </a:extLst>
        </xdr:cNvPr>
        <xdr:cNvGrpSpPr/>
      </xdr:nvGrpSpPr>
      <xdr:grpSpPr>
        <a:xfrm>
          <a:off x="29279850" y="92595700"/>
          <a:ext cx="8505825" cy="1997076"/>
          <a:chOff x="26460450" y="95792925"/>
          <a:chExt cx="7591425" cy="2066926"/>
        </a:xfrm>
      </xdr:grpSpPr>
      <xdr:pic>
        <xdr:nvPicPr>
          <xdr:cNvPr id="237" name="Picture 236">
            <a:extLst>
              <a:ext uri="{FF2B5EF4-FFF2-40B4-BE49-F238E27FC236}">
                <a16:creationId xmlns:a16="http://schemas.microsoft.com/office/drawing/2014/main" id="{B213BD12-61D8-58C9-FF90-48DDAEE7E57B}"/>
              </a:ext>
            </a:extLst>
          </xdr:cNvPr>
          <xdr:cNvPicPr>
            <a:picLocks noChangeAspect="1"/>
          </xdr:cNvPicPr>
        </xdr:nvPicPr>
        <xdr:blipFill>
          <a:blip xmlns:r="http://schemas.openxmlformats.org/officeDocument/2006/relationships" r:embed="rId47"/>
          <a:stretch>
            <a:fillRect/>
          </a:stretch>
        </xdr:blipFill>
        <xdr:spPr>
          <a:xfrm>
            <a:off x="28308300" y="96888300"/>
            <a:ext cx="5104762" cy="876190"/>
          </a:xfrm>
          <a:prstGeom prst="rect">
            <a:avLst/>
          </a:prstGeom>
        </xdr:spPr>
      </xdr:pic>
      <xdr:sp macro="" textlink="">
        <xdr:nvSpPr>
          <xdr:cNvPr id="238" name="TextBox 237">
            <a:extLst>
              <a:ext uri="{FF2B5EF4-FFF2-40B4-BE49-F238E27FC236}">
                <a16:creationId xmlns:a16="http://schemas.microsoft.com/office/drawing/2014/main" id="{059D3E17-1082-3BE8-510A-96ABCC4D62BA}"/>
              </a:ext>
            </a:extLst>
          </xdr:cNvPr>
          <xdr:cNvSpPr txBox="1"/>
        </xdr:nvSpPr>
        <xdr:spPr>
          <a:xfrm>
            <a:off x="29156025" y="95792925"/>
            <a:ext cx="3371850" cy="3333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lang="en-US" sz="1800" b="1">
                <a:solidFill>
                  <a:schemeClr val="tx1">
                    <a:lumMod val="75000"/>
                    <a:lumOff val="25000"/>
                  </a:schemeClr>
                </a:solidFill>
              </a:rPr>
              <a:t>Intangible</a:t>
            </a:r>
            <a:r>
              <a:rPr lang="en-US" sz="1800" b="1" baseline="0">
                <a:solidFill>
                  <a:schemeClr val="tx1">
                    <a:lumMod val="75000"/>
                    <a:lumOff val="25000"/>
                  </a:schemeClr>
                </a:solidFill>
              </a:rPr>
              <a:t> Assets</a:t>
            </a:r>
            <a:endParaRPr lang="en-US" sz="1800" b="1">
              <a:solidFill>
                <a:schemeClr val="tx1">
                  <a:lumMod val="75000"/>
                  <a:lumOff val="25000"/>
                </a:schemeClr>
              </a:solidFill>
            </a:endParaRPr>
          </a:p>
        </xdr:txBody>
      </xdr:sp>
      <xdr:cxnSp macro="">
        <xdr:nvCxnSpPr>
          <xdr:cNvPr id="239" name="Straight Arrow Connector 238">
            <a:extLst>
              <a:ext uri="{FF2B5EF4-FFF2-40B4-BE49-F238E27FC236}">
                <a16:creationId xmlns:a16="http://schemas.microsoft.com/office/drawing/2014/main" id="{D832114C-BD2D-C055-6961-996A7F584382}"/>
              </a:ext>
            </a:extLst>
          </xdr:cNvPr>
          <xdr:cNvCxnSpPr/>
        </xdr:nvCxnSpPr>
        <xdr:spPr>
          <a:xfrm flipV="1">
            <a:off x="27565349" y="97564575"/>
            <a:ext cx="710173" cy="171451"/>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40" name="TextBox 239">
            <a:extLst>
              <a:ext uri="{FF2B5EF4-FFF2-40B4-BE49-F238E27FC236}">
                <a16:creationId xmlns:a16="http://schemas.microsoft.com/office/drawing/2014/main" id="{2870E8FE-F8C9-1E9F-1C91-E3C1B65780A1}"/>
              </a:ext>
            </a:extLst>
          </xdr:cNvPr>
          <xdr:cNvSpPr txBox="1"/>
        </xdr:nvSpPr>
        <xdr:spPr>
          <a:xfrm>
            <a:off x="26460450" y="97583626"/>
            <a:ext cx="1152526"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en-US" sz="1100" b="1">
                <a:solidFill>
                  <a:srgbClr val="0000FF"/>
                </a:solidFill>
              </a:rPr>
              <a:t>Fixed Asset</a:t>
            </a:r>
            <a:r>
              <a:rPr lang="en-US" sz="1100" b="1" baseline="0">
                <a:solidFill>
                  <a:srgbClr val="0000FF"/>
                </a:solidFill>
              </a:rPr>
              <a:t> item</a:t>
            </a:r>
          </a:p>
        </xdr:txBody>
      </xdr:sp>
      <xdr:cxnSp macro="">
        <xdr:nvCxnSpPr>
          <xdr:cNvPr id="241" name="Straight Arrow Connector 240">
            <a:extLst>
              <a:ext uri="{FF2B5EF4-FFF2-40B4-BE49-F238E27FC236}">
                <a16:creationId xmlns:a16="http://schemas.microsoft.com/office/drawing/2014/main" id="{AA23BB6A-875D-C759-06BB-4B53529F5381}"/>
              </a:ext>
            </a:extLst>
          </xdr:cNvPr>
          <xdr:cNvCxnSpPr/>
        </xdr:nvCxnSpPr>
        <xdr:spPr>
          <a:xfrm>
            <a:off x="29870400" y="96554925"/>
            <a:ext cx="457199" cy="41910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42" name="TextBox 241">
            <a:extLst>
              <a:ext uri="{FF2B5EF4-FFF2-40B4-BE49-F238E27FC236}">
                <a16:creationId xmlns:a16="http://schemas.microsoft.com/office/drawing/2014/main" id="{622CD6EC-A74E-9BE8-8602-38E74AE86A6E}"/>
              </a:ext>
            </a:extLst>
          </xdr:cNvPr>
          <xdr:cNvSpPr txBox="1"/>
        </xdr:nvSpPr>
        <xdr:spPr>
          <a:xfrm>
            <a:off x="28889325" y="96297750"/>
            <a:ext cx="1714500"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a:solidFill>
                  <a:srgbClr val="0000FF"/>
                </a:solidFill>
              </a:rPr>
              <a:t>The number of expenses</a:t>
            </a:r>
            <a:endParaRPr lang="en-US" sz="1100" b="1" baseline="0">
              <a:solidFill>
                <a:srgbClr val="0000FF"/>
              </a:solidFill>
            </a:endParaRPr>
          </a:p>
        </xdr:txBody>
      </xdr:sp>
      <xdr:cxnSp macro="">
        <xdr:nvCxnSpPr>
          <xdr:cNvPr id="243" name="Straight Arrow Connector 242">
            <a:extLst>
              <a:ext uri="{FF2B5EF4-FFF2-40B4-BE49-F238E27FC236}">
                <a16:creationId xmlns:a16="http://schemas.microsoft.com/office/drawing/2014/main" id="{D87A07E8-B8FA-05DB-1A3F-55BBEBDAF3EC}"/>
              </a:ext>
            </a:extLst>
          </xdr:cNvPr>
          <xdr:cNvCxnSpPr/>
        </xdr:nvCxnSpPr>
        <xdr:spPr>
          <a:xfrm>
            <a:off x="31308675" y="96640650"/>
            <a:ext cx="180975" cy="40957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44" name="TextBox 243">
            <a:extLst>
              <a:ext uri="{FF2B5EF4-FFF2-40B4-BE49-F238E27FC236}">
                <a16:creationId xmlns:a16="http://schemas.microsoft.com/office/drawing/2014/main" id="{7381495F-D4CA-F889-3E9A-3EC7265E1369}"/>
              </a:ext>
            </a:extLst>
          </xdr:cNvPr>
          <xdr:cNvSpPr txBox="1"/>
        </xdr:nvSpPr>
        <xdr:spPr>
          <a:xfrm>
            <a:off x="30575250" y="96402525"/>
            <a:ext cx="1323975"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baseline="0">
                <a:solidFill>
                  <a:srgbClr val="0000FF"/>
                </a:solidFill>
              </a:rPr>
              <a:t>Cost of item</a:t>
            </a:r>
          </a:p>
        </xdr:txBody>
      </xdr:sp>
      <xdr:cxnSp macro="">
        <xdr:nvCxnSpPr>
          <xdr:cNvPr id="245" name="Straight Arrow Connector 244">
            <a:extLst>
              <a:ext uri="{FF2B5EF4-FFF2-40B4-BE49-F238E27FC236}">
                <a16:creationId xmlns:a16="http://schemas.microsoft.com/office/drawing/2014/main" id="{EDF7BB1A-9F57-E6EA-785B-00450BE983DA}"/>
              </a:ext>
            </a:extLst>
          </xdr:cNvPr>
          <xdr:cNvCxnSpPr/>
        </xdr:nvCxnSpPr>
        <xdr:spPr>
          <a:xfrm>
            <a:off x="32070675" y="96335850"/>
            <a:ext cx="257175" cy="69532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46" name="TextBox 245">
            <a:extLst>
              <a:ext uri="{FF2B5EF4-FFF2-40B4-BE49-F238E27FC236}">
                <a16:creationId xmlns:a16="http://schemas.microsoft.com/office/drawing/2014/main" id="{750680F1-44CC-255F-D500-9F5517F6AB9B}"/>
              </a:ext>
            </a:extLst>
          </xdr:cNvPr>
          <xdr:cNvSpPr txBox="1"/>
        </xdr:nvSpPr>
        <xdr:spPr>
          <a:xfrm>
            <a:off x="31356300" y="96078675"/>
            <a:ext cx="1323975"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baseline="0">
                <a:solidFill>
                  <a:srgbClr val="0000FF"/>
                </a:solidFill>
              </a:rPr>
              <a:t>Month of purchase</a:t>
            </a:r>
          </a:p>
        </xdr:txBody>
      </xdr:sp>
      <xdr:cxnSp macro="">
        <xdr:nvCxnSpPr>
          <xdr:cNvPr id="247" name="Straight Arrow Connector 246">
            <a:extLst>
              <a:ext uri="{FF2B5EF4-FFF2-40B4-BE49-F238E27FC236}">
                <a16:creationId xmlns:a16="http://schemas.microsoft.com/office/drawing/2014/main" id="{F486D057-21EC-9742-A16B-AD1E76E11D47}"/>
              </a:ext>
            </a:extLst>
          </xdr:cNvPr>
          <xdr:cNvCxnSpPr/>
        </xdr:nvCxnSpPr>
        <xdr:spPr>
          <a:xfrm flipH="1">
            <a:off x="33089850" y="96602550"/>
            <a:ext cx="114300" cy="43815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48" name="TextBox 247">
            <a:extLst>
              <a:ext uri="{FF2B5EF4-FFF2-40B4-BE49-F238E27FC236}">
                <a16:creationId xmlns:a16="http://schemas.microsoft.com/office/drawing/2014/main" id="{AC21B9D9-64AC-ACFE-2350-A290CFD912D1}"/>
              </a:ext>
            </a:extLst>
          </xdr:cNvPr>
          <xdr:cNvSpPr txBox="1"/>
        </xdr:nvSpPr>
        <xdr:spPr>
          <a:xfrm>
            <a:off x="32394525" y="96345375"/>
            <a:ext cx="1657350"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baseline="0">
                <a:solidFill>
                  <a:srgbClr val="0000FF"/>
                </a:solidFill>
              </a:rPr>
              <a:t>Amortization period</a:t>
            </a:r>
          </a:p>
        </xdr:txBody>
      </xdr:sp>
    </xdr:grpSp>
    <xdr:clientData/>
  </xdr:twoCellAnchor>
  <xdr:twoCellAnchor editAs="oneCell">
    <xdr:from>
      <xdr:col>0</xdr:col>
      <xdr:colOff>352425</xdr:colOff>
      <xdr:row>508</xdr:row>
      <xdr:rowOff>133350</xdr:rowOff>
    </xdr:from>
    <xdr:to>
      <xdr:col>12</xdr:col>
      <xdr:colOff>399130</xdr:colOff>
      <xdr:row>518</xdr:row>
      <xdr:rowOff>171207</xdr:rowOff>
    </xdr:to>
    <xdr:pic>
      <xdr:nvPicPr>
        <xdr:cNvPr id="249" name="Picture 248">
          <a:extLst>
            <a:ext uri="{FF2B5EF4-FFF2-40B4-BE49-F238E27FC236}">
              <a16:creationId xmlns:a16="http://schemas.microsoft.com/office/drawing/2014/main" id="{A23238C5-1DA8-4CAB-8B4A-8A0388EF1F01}"/>
            </a:ext>
          </a:extLst>
        </xdr:cNvPr>
        <xdr:cNvPicPr>
          <a:picLocks noChangeAspect="1"/>
        </xdr:cNvPicPr>
      </xdr:nvPicPr>
      <xdr:blipFill>
        <a:blip xmlns:r="http://schemas.openxmlformats.org/officeDocument/2006/relationships" r:embed="rId48"/>
        <a:stretch>
          <a:fillRect/>
        </a:stretch>
      </xdr:blipFill>
      <xdr:spPr>
        <a:xfrm>
          <a:off x="352425" y="96935925"/>
          <a:ext cx="7361905" cy="1942857"/>
        </a:xfrm>
        <a:prstGeom prst="rect">
          <a:avLst/>
        </a:prstGeom>
      </xdr:spPr>
    </xdr:pic>
    <xdr:clientData/>
  </xdr:twoCellAnchor>
  <xdr:twoCellAnchor>
    <xdr:from>
      <xdr:col>41</xdr:col>
      <xdr:colOff>161925</xdr:colOff>
      <xdr:row>516</xdr:row>
      <xdr:rowOff>161925</xdr:rowOff>
    </xdr:from>
    <xdr:to>
      <xdr:col>56</xdr:col>
      <xdr:colOff>581025</xdr:colOff>
      <xdr:row>530</xdr:row>
      <xdr:rowOff>142682</xdr:rowOff>
    </xdr:to>
    <xdr:grpSp>
      <xdr:nvGrpSpPr>
        <xdr:cNvPr id="250" name="Group 249">
          <a:extLst>
            <a:ext uri="{FF2B5EF4-FFF2-40B4-BE49-F238E27FC236}">
              <a16:creationId xmlns:a16="http://schemas.microsoft.com/office/drawing/2014/main" id="{D25CDECE-ABE1-46E0-9C08-BE5A492C8EB9}"/>
            </a:ext>
          </a:extLst>
        </xdr:cNvPr>
        <xdr:cNvGrpSpPr/>
      </xdr:nvGrpSpPr>
      <xdr:grpSpPr>
        <a:xfrm>
          <a:off x="31480125" y="95202375"/>
          <a:ext cx="10706100" cy="2558857"/>
          <a:chOff x="26670000" y="98059875"/>
          <a:chExt cx="9563100" cy="2647757"/>
        </a:xfrm>
      </xdr:grpSpPr>
      <xdr:pic>
        <xdr:nvPicPr>
          <xdr:cNvPr id="251" name="Picture 250">
            <a:extLst>
              <a:ext uri="{FF2B5EF4-FFF2-40B4-BE49-F238E27FC236}">
                <a16:creationId xmlns:a16="http://schemas.microsoft.com/office/drawing/2014/main" id="{115CBC60-145D-8C11-E3AA-E8143B700E10}"/>
              </a:ext>
            </a:extLst>
          </xdr:cNvPr>
          <xdr:cNvPicPr>
            <a:picLocks noChangeAspect="1"/>
          </xdr:cNvPicPr>
        </xdr:nvPicPr>
        <xdr:blipFill>
          <a:blip xmlns:r="http://schemas.openxmlformats.org/officeDocument/2006/relationships" r:embed="rId49"/>
          <a:stretch>
            <a:fillRect/>
          </a:stretch>
        </xdr:blipFill>
        <xdr:spPr>
          <a:xfrm>
            <a:off x="26670000" y="99164775"/>
            <a:ext cx="8009524" cy="1542857"/>
          </a:xfrm>
          <a:prstGeom prst="rect">
            <a:avLst/>
          </a:prstGeom>
        </xdr:spPr>
      </xdr:pic>
      <xdr:cxnSp macro="">
        <xdr:nvCxnSpPr>
          <xdr:cNvPr id="252" name="Straight Arrow Connector 251">
            <a:extLst>
              <a:ext uri="{FF2B5EF4-FFF2-40B4-BE49-F238E27FC236}">
                <a16:creationId xmlns:a16="http://schemas.microsoft.com/office/drawing/2014/main" id="{B6F72345-C9F2-E3E6-6228-077B2D25290C}"/>
              </a:ext>
            </a:extLst>
          </xdr:cNvPr>
          <xdr:cNvCxnSpPr/>
        </xdr:nvCxnSpPr>
        <xdr:spPr>
          <a:xfrm flipV="1">
            <a:off x="27993974" y="100164900"/>
            <a:ext cx="710173" cy="171451"/>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53" name="TextBox 252">
            <a:extLst>
              <a:ext uri="{FF2B5EF4-FFF2-40B4-BE49-F238E27FC236}">
                <a16:creationId xmlns:a16="http://schemas.microsoft.com/office/drawing/2014/main" id="{739C6632-6E1D-354A-0645-FC8A8C28D658}"/>
              </a:ext>
            </a:extLst>
          </xdr:cNvPr>
          <xdr:cNvSpPr txBox="1"/>
        </xdr:nvSpPr>
        <xdr:spPr>
          <a:xfrm>
            <a:off x="26889075" y="100183951"/>
            <a:ext cx="1152526"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en-US" sz="1100" b="1">
                <a:solidFill>
                  <a:srgbClr val="0000FF"/>
                </a:solidFill>
              </a:rPr>
              <a:t>Investor name</a:t>
            </a:r>
            <a:endParaRPr lang="en-US" sz="1100" b="1" baseline="0">
              <a:solidFill>
                <a:srgbClr val="0000FF"/>
              </a:solidFill>
            </a:endParaRPr>
          </a:p>
        </xdr:txBody>
      </xdr:sp>
      <xdr:cxnSp macro="">
        <xdr:nvCxnSpPr>
          <xdr:cNvPr id="254" name="Straight Arrow Connector 253">
            <a:extLst>
              <a:ext uri="{FF2B5EF4-FFF2-40B4-BE49-F238E27FC236}">
                <a16:creationId xmlns:a16="http://schemas.microsoft.com/office/drawing/2014/main" id="{CBFFAF1D-6CBF-F7DD-9AEF-0ACB86A128FC}"/>
              </a:ext>
            </a:extLst>
          </xdr:cNvPr>
          <xdr:cNvCxnSpPr/>
        </xdr:nvCxnSpPr>
        <xdr:spPr>
          <a:xfrm>
            <a:off x="30375225" y="99164775"/>
            <a:ext cx="457199" cy="41910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55" name="TextBox 254">
            <a:extLst>
              <a:ext uri="{FF2B5EF4-FFF2-40B4-BE49-F238E27FC236}">
                <a16:creationId xmlns:a16="http://schemas.microsoft.com/office/drawing/2014/main" id="{B63C0794-FDD8-EA35-40F5-C7D7022A84BE}"/>
              </a:ext>
            </a:extLst>
          </xdr:cNvPr>
          <xdr:cNvSpPr txBox="1"/>
        </xdr:nvSpPr>
        <xdr:spPr>
          <a:xfrm>
            <a:off x="29394150" y="98907600"/>
            <a:ext cx="1714500"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a:solidFill>
                  <a:srgbClr val="0000FF"/>
                </a:solidFill>
              </a:rPr>
              <a:t>The number of investors</a:t>
            </a:r>
            <a:endParaRPr lang="en-US" sz="1100" b="1" baseline="0">
              <a:solidFill>
                <a:srgbClr val="0000FF"/>
              </a:solidFill>
            </a:endParaRPr>
          </a:p>
        </xdr:txBody>
      </xdr:sp>
      <xdr:cxnSp macro="">
        <xdr:nvCxnSpPr>
          <xdr:cNvPr id="256" name="Straight Arrow Connector 255">
            <a:extLst>
              <a:ext uri="{FF2B5EF4-FFF2-40B4-BE49-F238E27FC236}">
                <a16:creationId xmlns:a16="http://schemas.microsoft.com/office/drawing/2014/main" id="{F147F8E9-3A55-285C-E923-290D2198FFFB}"/>
              </a:ext>
            </a:extLst>
          </xdr:cNvPr>
          <xdr:cNvCxnSpPr/>
        </xdr:nvCxnSpPr>
        <xdr:spPr>
          <a:xfrm>
            <a:off x="31632525" y="99240975"/>
            <a:ext cx="180975" cy="40957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57" name="TextBox 256">
            <a:extLst>
              <a:ext uri="{FF2B5EF4-FFF2-40B4-BE49-F238E27FC236}">
                <a16:creationId xmlns:a16="http://schemas.microsoft.com/office/drawing/2014/main" id="{09912F8E-6ED0-C57A-F5F4-D81C690527F3}"/>
              </a:ext>
            </a:extLst>
          </xdr:cNvPr>
          <xdr:cNvSpPr txBox="1"/>
        </xdr:nvSpPr>
        <xdr:spPr>
          <a:xfrm>
            <a:off x="30889575" y="98802825"/>
            <a:ext cx="1323975" cy="495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baseline="0">
                <a:solidFill>
                  <a:srgbClr val="0000FF"/>
                </a:solidFill>
              </a:rPr>
              <a:t>Amount of investment</a:t>
            </a:r>
          </a:p>
        </xdr:txBody>
      </xdr:sp>
      <xdr:cxnSp macro="">
        <xdr:nvCxnSpPr>
          <xdr:cNvPr id="258" name="Straight Arrow Connector 257">
            <a:extLst>
              <a:ext uri="{FF2B5EF4-FFF2-40B4-BE49-F238E27FC236}">
                <a16:creationId xmlns:a16="http://schemas.microsoft.com/office/drawing/2014/main" id="{F2E27443-658B-77D6-DE98-7394DB7204DD}"/>
              </a:ext>
            </a:extLst>
          </xdr:cNvPr>
          <xdr:cNvCxnSpPr/>
        </xdr:nvCxnSpPr>
        <xdr:spPr>
          <a:xfrm>
            <a:off x="32394525" y="98936175"/>
            <a:ext cx="257175" cy="69532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59" name="TextBox 258">
            <a:extLst>
              <a:ext uri="{FF2B5EF4-FFF2-40B4-BE49-F238E27FC236}">
                <a16:creationId xmlns:a16="http://schemas.microsoft.com/office/drawing/2014/main" id="{AF40B08A-7CA7-1121-2B70-995AC88F053B}"/>
              </a:ext>
            </a:extLst>
          </xdr:cNvPr>
          <xdr:cNvSpPr txBox="1"/>
        </xdr:nvSpPr>
        <xdr:spPr>
          <a:xfrm>
            <a:off x="31680150" y="98507550"/>
            <a:ext cx="1323975" cy="4476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baseline="0">
                <a:solidFill>
                  <a:srgbClr val="0000FF"/>
                </a:solidFill>
              </a:rPr>
              <a:t>Month of investment</a:t>
            </a:r>
          </a:p>
        </xdr:txBody>
      </xdr:sp>
      <xdr:cxnSp macro="">
        <xdr:nvCxnSpPr>
          <xdr:cNvPr id="260" name="Straight Arrow Connector 259">
            <a:extLst>
              <a:ext uri="{FF2B5EF4-FFF2-40B4-BE49-F238E27FC236}">
                <a16:creationId xmlns:a16="http://schemas.microsoft.com/office/drawing/2014/main" id="{07D3061B-046B-BACF-7809-37079E3EA262}"/>
              </a:ext>
            </a:extLst>
          </xdr:cNvPr>
          <xdr:cNvCxnSpPr/>
        </xdr:nvCxnSpPr>
        <xdr:spPr>
          <a:xfrm>
            <a:off x="33385125" y="98498025"/>
            <a:ext cx="104775" cy="75247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61" name="TextBox 260">
            <a:extLst>
              <a:ext uri="{FF2B5EF4-FFF2-40B4-BE49-F238E27FC236}">
                <a16:creationId xmlns:a16="http://schemas.microsoft.com/office/drawing/2014/main" id="{7E87171A-D6B1-CABD-9DF0-B55BF43B9DC1}"/>
              </a:ext>
            </a:extLst>
          </xdr:cNvPr>
          <xdr:cNvSpPr txBox="1"/>
        </xdr:nvSpPr>
        <xdr:spPr>
          <a:xfrm>
            <a:off x="32689800" y="98059875"/>
            <a:ext cx="1323975" cy="4476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baseline="0">
                <a:solidFill>
                  <a:srgbClr val="0000FF"/>
                </a:solidFill>
              </a:rPr>
              <a:t>Used for </a:t>
            </a:r>
          </a:p>
          <a:p>
            <a:pPr algn="ctr"/>
            <a:r>
              <a:rPr lang="en-US" sz="1100" b="1" baseline="0">
                <a:solidFill>
                  <a:srgbClr val="0000FF"/>
                </a:solidFill>
              </a:rPr>
              <a:t>Net Present Value</a:t>
            </a:r>
          </a:p>
        </xdr:txBody>
      </xdr:sp>
      <xdr:sp macro="" textlink="">
        <xdr:nvSpPr>
          <xdr:cNvPr id="262" name="TextBox 261">
            <a:extLst>
              <a:ext uri="{FF2B5EF4-FFF2-40B4-BE49-F238E27FC236}">
                <a16:creationId xmlns:a16="http://schemas.microsoft.com/office/drawing/2014/main" id="{8D4B53D8-6107-76F3-3EED-9C3AA5872F31}"/>
              </a:ext>
            </a:extLst>
          </xdr:cNvPr>
          <xdr:cNvSpPr txBox="1"/>
        </xdr:nvSpPr>
        <xdr:spPr>
          <a:xfrm>
            <a:off x="33823275" y="98488500"/>
            <a:ext cx="1609725" cy="476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a:solidFill>
                  <a:srgbClr val="0000FF"/>
                </a:solidFill>
              </a:rPr>
              <a:t>Click Show to see </a:t>
            </a:r>
          </a:p>
          <a:p>
            <a:pPr algn="ctr"/>
            <a:r>
              <a:rPr lang="en-US" sz="1100" b="1">
                <a:solidFill>
                  <a:srgbClr val="0000FF"/>
                </a:solidFill>
              </a:rPr>
              <a:t>SAFES</a:t>
            </a:r>
            <a:endParaRPr lang="en-US" sz="1100" b="1" baseline="0">
              <a:solidFill>
                <a:srgbClr val="0000FF"/>
              </a:solidFill>
            </a:endParaRPr>
          </a:p>
        </xdr:txBody>
      </xdr:sp>
      <xdr:cxnSp macro="">
        <xdr:nvCxnSpPr>
          <xdr:cNvPr id="263" name="Straight Arrow Connector 262">
            <a:extLst>
              <a:ext uri="{FF2B5EF4-FFF2-40B4-BE49-F238E27FC236}">
                <a16:creationId xmlns:a16="http://schemas.microsoft.com/office/drawing/2014/main" id="{49AF32FC-B581-666A-01FA-181FB66C3851}"/>
              </a:ext>
            </a:extLst>
          </xdr:cNvPr>
          <xdr:cNvCxnSpPr/>
        </xdr:nvCxnSpPr>
        <xdr:spPr>
          <a:xfrm flipH="1">
            <a:off x="34318575" y="98907600"/>
            <a:ext cx="323851" cy="32385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64" name="Straight Arrow Connector 263">
            <a:extLst>
              <a:ext uri="{FF2B5EF4-FFF2-40B4-BE49-F238E27FC236}">
                <a16:creationId xmlns:a16="http://schemas.microsoft.com/office/drawing/2014/main" id="{4F7C487E-EA78-BC31-AB2F-BBCDC57C86ED}"/>
              </a:ext>
            </a:extLst>
          </xdr:cNvPr>
          <xdr:cNvCxnSpPr/>
        </xdr:nvCxnSpPr>
        <xdr:spPr>
          <a:xfrm flipH="1">
            <a:off x="34613850" y="99460050"/>
            <a:ext cx="628650" cy="33337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65" name="TextBox 264">
            <a:extLst>
              <a:ext uri="{FF2B5EF4-FFF2-40B4-BE49-F238E27FC236}">
                <a16:creationId xmlns:a16="http://schemas.microsoft.com/office/drawing/2014/main" id="{ECB061F8-D07A-030E-BA9F-8BD55D865510}"/>
              </a:ext>
            </a:extLst>
          </xdr:cNvPr>
          <xdr:cNvSpPr txBox="1"/>
        </xdr:nvSpPr>
        <xdr:spPr>
          <a:xfrm>
            <a:off x="34623375" y="99021900"/>
            <a:ext cx="1609725" cy="476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a:solidFill>
                  <a:srgbClr val="0000FF"/>
                </a:solidFill>
              </a:rPr>
              <a:t>Ending ownership percentage</a:t>
            </a:r>
            <a:endParaRPr lang="en-US" sz="1100" b="1" baseline="0">
              <a:solidFill>
                <a:srgbClr val="0000FF"/>
              </a:solidFill>
            </a:endParaRPr>
          </a:p>
        </xdr:txBody>
      </xdr:sp>
    </xdr:grpSp>
    <xdr:clientData/>
  </xdr:twoCellAnchor>
  <xdr:twoCellAnchor editAs="oneCell">
    <xdr:from>
      <xdr:col>0</xdr:col>
      <xdr:colOff>76200</xdr:colOff>
      <xdr:row>521</xdr:row>
      <xdr:rowOff>0</xdr:rowOff>
    </xdr:from>
    <xdr:to>
      <xdr:col>15</xdr:col>
      <xdr:colOff>284581</xdr:colOff>
      <xdr:row>534</xdr:row>
      <xdr:rowOff>113976</xdr:rowOff>
    </xdr:to>
    <xdr:pic>
      <xdr:nvPicPr>
        <xdr:cNvPr id="266" name="Picture 265">
          <a:extLst>
            <a:ext uri="{FF2B5EF4-FFF2-40B4-BE49-F238E27FC236}">
              <a16:creationId xmlns:a16="http://schemas.microsoft.com/office/drawing/2014/main" id="{C47635D4-8AB3-4564-82EC-BBAB921611B9}"/>
            </a:ext>
          </a:extLst>
        </xdr:cNvPr>
        <xdr:cNvPicPr>
          <a:picLocks noChangeAspect="1"/>
        </xdr:cNvPicPr>
      </xdr:nvPicPr>
      <xdr:blipFill>
        <a:blip xmlns:r="http://schemas.openxmlformats.org/officeDocument/2006/relationships" r:embed="rId50"/>
        <a:stretch>
          <a:fillRect/>
        </a:stretch>
      </xdr:blipFill>
      <xdr:spPr>
        <a:xfrm>
          <a:off x="76200" y="99279075"/>
          <a:ext cx="9352381" cy="2590476"/>
        </a:xfrm>
        <a:prstGeom prst="rect">
          <a:avLst/>
        </a:prstGeom>
      </xdr:spPr>
    </xdr:pic>
    <xdr:clientData/>
  </xdr:twoCellAnchor>
  <xdr:twoCellAnchor>
    <xdr:from>
      <xdr:col>45</xdr:col>
      <xdr:colOff>0</xdr:colOff>
      <xdr:row>532</xdr:row>
      <xdr:rowOff>66675</xdr:rowOff>
    </xdr:from>
    <xdr:to>
      <xdr:col>55</xdr:col>
      <xdr:colOff>66675</xdr:colOff>
      <xdr:row>534</xdr:row>
      <xdr:rowOff>19050</xdr:rowOff>
    </xdr:to>
    <xdr:sp macro="" textlink="">
      <xdr:nvSpPr>
        <xdr:cNvPr id="267" name="TextBox 266">
          <a:extLst>
            <a:ext uri="{FF2B5EF4-FFF2-40B4-BE49-F238E27FC236}">
              <a16:creationId xmlns:a16="http://schemas.microsoft.com/office/drawing/2014/main" id="{B142F3E0-7330-40A1-9C6E-F5DA495C93DE}"/>
            </a:ext>
          </a:extLst>
        </xdr:cNvPr>
        <xdr:cNvSpPr txBox="1"/>
      </xdr:nvSpPr>
      <xdr:spPr>
        <a:xfrm>
          <a:off x="30708600" y="101441250"/>
          <a:ext cx="6162675" cy="3333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lang="en-US" sz="1800" b="1">
              <a:solidFill>
                <a:schemeClr val="tx1">
                  <a:lumMod val="75000"/>
                  <a:lumOff val="25000"/>
                </a:schemeClr>
              </a:solidFill>
            </a:rPr>
            <a:t>(For an</a:t>
          </a:r>
          <a:r>
            <a:rPr lang="en-US" sz="1800" b="1" baseline="0">
              <a:solidFill>
                <a:schemeClr val="tx1">
                  <a:lumMod val="75000"/>
                  <a:lumOff val="25000"/>
                </a:schemeClr>
              </a:solidFill>
            </a:rPr>
            <a:t> explanation of SAFES, see the Financing Section)</a:t>
          </a:r>
          <a:endParaRPr lang="en-US" sz="1800" b="1">
            <a:solidFill>
              <a:schemeClr val="tx1">
                <a:lumMod val="75000"/>
                <a:lumOff val="25000"/>
              </a:schemeClr>
            </a:solidFill>
          </a:endParaRPr>
        </a:p>
      </xdr:txBody>
    </xdr:sp>
    <xdr:clientData/>
  </xdr:twoCellAnchor>
  <xdr:twoCellAnchor>
    <xdr:from>
      <xdr:col>39</xdr:col>
      <xdr:colOff>209550</xdr:colOff>
      <xdr:row>534</xdr:row>
      <xdr:rowOff>133350</xdr:rowOff>
    </xdr:from>
    <xdr:to>
      <xdr:col>59</xdr:col>
      <xdr:colOff>219075</xdr:colOff>
      <xdr:row>545</xdr:row>
      <xdr:rowOff>142876</xdr:rowOff>
    </xdr:to>
    <xdr:grpSp>
      <xdr:nvGrpSpPr>
        <xdr:cNvPr id="268" name="Group 267">
          <a:extLst>
            <a:ext uri="{FF2B5EF4-FFF2-40B4-BE49-F238E27FC236}">
              <a16:creationId xmlns:a16="http://schemas.microsoft.com/office/drawing/2014/main" id="{E4072710-BDA7-4F2C-A82F-A3297D9D167B}"/>
            </a:ext>
          </a:extLst>
        </xdr:cNvPr>
        <xdr:cNvGrpSpPr/>
      </xdr:nvGrpSpPr>
      <xdr:grpSpPr>
        <a:xfrm>
          <a:off x="30156150" y="98488500"/>
          <a:ext cx="13725525" cy="2035176"/>
          <a:chOff x="27308175" y="101603175"/>
          <a:chExt cx="12201525" cy="2105026"/>
        </a:xfrm>
      </xdr:grpSpPr>
      <xdr:pic>
        <xdr:nvPicPr>
          <xdr:cNvPr id="269" name="Picture 268">
            <a:extLst>
              <a:ext uri="{FF2B5EF4-FFF2-40B4-BE49-F238E27FC236}">
                <a16:creationId xmlns:a16="http://schemas.microsoft.com/office/drawing/2014/main" id="{23D554E2-A4F4-E3B5-EE56-49723E679882}"/>
              </a:ext>
            </a:extLst>
          </xdr:cNvPr>
          <xdr:cNvPicPr>
            <a:picLocks noChangeAspect="1"/>
          </xdr:cNvPicPr>
        </xdr:nvPicPr>
        <xdr:blipFill>
          <a:blip xmlns:r="http://schemas.openxmlformats.org/officeDocument/2006/relationships" r:embed="rId51"/>
          <a:stretch>
            <a:fillRect/>
          </a:stretch>
        </xdr:blipFill>
        <xdr:spPr>
          <a:xfrm>
            <a:off x="29070300" y="102860475"/>
            <a:ext cx="9971428" cy="838095"/>
          </a:xfrm>
          <a:prstGeom prst="rect">
            <a:avLst/>
          </a:prstGeom>
        </xdr:spPr>
      </xdr:pic>
      <xdr:cxnSp macro="">
        <xdr:nvCxnSpPr>
          <xdr:cNvPr id="270" name="Straight Arrow Connector 269">
            <a:extLst>
              <a:ext uri="{FF2B5EF4-FFF2-40B4-BE49-F238E27FC236}">
                <a16:creationId xmlns:a16="http://schemas.microsoft.com/office/drawing/2014/main" id="{97D1E6E0-ECBB-F8AE-98EB-FAE415ECEF6C}"/>
              </a:ext>
            </a:extLst>
          </xdr:cNvPr>
          <xdr:cNvCxnSpPr/>
        </xdr:nvCxnSpPr>
        <xdr:spPr>
          <a:xfrm flipV="1">
            <a:off x="28413074" y="103412925"/>
            <a:ext cx="710173" cy="171451"/>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71" name="TextBox 270">
            <a:extLst>
              <a:ext uri="{FF2B5EF4-FFF2-40B4-BE49-F238E27FC236}">
                <a16:creationId xmlns:a16="http://schemas.microsoft.com/office/drawing/2014/main" id="{77E9D3A6-BC1F-0B81-F233-ADC396706A07}"/>
              </a:ext>
            </a:extLst>
          </xdr:cNvPr>
          <xdr:cNvSpPr txBox="1"/>
        </xdr:nvSpPr>
        <xdr:spPr>
          <a:xfrm>
            <a:off x="27308175" y="103431976"/>
            <a:ext cx="1152526"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en-US" sz="1100" b="1">
                <a:solidFill>
                  <a:srgbClr val="0000FF"/>
                </a:solidFill>
              </a:rPr>
              <a:t>Investor name</a:t>
            </a:r>
            <a:endParaRPr lang="en-US" sz="1100" b="1" baseline="0">
              <a:solidFill>
                <a:srgbClr val="0000FF"/>
              </a:solidFill>
            </a:endParaRPr>
          </a:p>
        </xdr:txBody>
      </xdr:sp>
      <xdr:cxnSp macro="">
        <xdr:nvCxnSpPr>
          <xdr:cNvPr id="272" name="Straight Arrow Connector 271">
            <a:extLst>
              <a:ext uri="{FF2B5EF4-FFF2-40B4-BE49-F238E27FC236}">
                <a16:creationId xmlns:a16="http://schemas.microsoft.com/office/drawing/2014/main" id="{E1D40597-5C1F-66FF-F16C-5D743F194D08}"/>
              </a:ext>
            </a:extLst>
          </xdr:cNvPr>
          <xdr:cNvCxnSpPr/>
        </xdr:nvCxnSpPr>
        <xdr:spPr>
          <a:xfrm>
            <a:off x="30565725" y="102536625"/>
            <a:ext cx="457199" cy="41910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73" name="TextBox 272">
            <a:extLst>
              <a:ext uri="{FF2B5EF4-FFF2-40B4-BE49-F238E27FC236}">
                <a16:creationId xmlns:a16="http://schemas.microsoft.com/office/drawing/2014/main" id="{55E57BEA-5B79-83A1-7787-FB457A539529}"/>
              </a:ext>
            </a:extLst>
          </xdr:cNvPr>
          <xdr:cNvSpPr txBox="1"/>
        </xdr:nvSpPr>
        <xdr:spPr>
          <a:xfrm>
            <a:off x="29584650" y="102279450"/>
            <a:ext cx="1714500"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a:solidFill>
                  <a:srgbClr val="0000FF"/>
                </a:solidFill>
              </a:rPr>
              <a:t>The number of SAFES</a:t>
            </a:r>
            <a:endParaRPr lang="en-US" sz="1100" b="1" baseline="0">
              <a:solidFill>
                <a:srgbClr val="0000FF"/>
              </a:solidFill>
            </a:endParaRPr>
          </a:p>
        </xdr:txBody>
      </xdr:sp>
      <xdr:cxnSp macro="">
        <xdr:nvCxnSpPr>
          <xdr:cNvPr id="274" name="Straight Arrow Connector 273">
            <a:extLst>
              <a:ext uri="{FF2B5EF4-FFF2-40B4-BE49-F238E27FC236}">
                <a16:creationId xmlns:a16="http://schemas.microsoft.com/office/drawing/2014/main" id="{BC63362A-2302-5E90-AFED-2CA420D1A911}"/>
              </a:ext>
            </a:extLst>
          </xdr:cNvPr>
          <xdr:cNvCxnSpPr/>
        </xdr:nvCxnSpPr>
        <xdr:spPr>
          <a:xfrm>
            <a:off x="32070675" y="102574725"/>
            <a:ext cx="180975" cy="40957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75" name="TextBox 274">
            <a:extLst>
              <a:ext uri="{FF2B5EF4-FFF2-40B4-BE49-F238E27FC236}">
                <a16:creationId xmlns:a16="http://schemas.microsoft.com/office/drawing/2014/main" id="{4212016C-9489-318C-24CF-F2CDEC339BD4}"/>
              </a:ext>
            </a:extLst>
          </xdr:cNvPr>
          <xdr:cNvSpPr txBox="1"/>
        </xdr:nvSpPr>
        <xdr:spPr>
          <a:xfrm>
            <a:off x="31337250" y="102298500"/>
            <a:ext cx="1323975"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baseline="0">
                <a:solidFill>
                  <a:srgbClr val="0000FF"/>
                </a:solidFill>
              </a:rPr>
              <a:t>Amount of SAFE</a:t>
            </a:r>
          </a:p>
        </xdr:txBody>
      </xdr:sp>
      <xdr:cxnSp macro="">
        <xdr:nvCxnSpPr>
          <xdr:cNvPr id="276" name="Straight Arrow Connector 275">
            <a:extLst>
              <a:ext uri="{FF2B5EF4-FFF2-40B4-BE49-F238E27FC236}">
                <a16:creationId xmlns:a16="http://schemas.microsoft.com/office/drawing/2014/main" id="{A7A81FF9-3BFB-87E3-E697-B06BE53ABD9C}"/>
              </a:ext>
            </a:extLst>
          </xdr:cNvPr>
          <xdr:cNvCxnSpPr>
            <a:stCxn id="277" idx="2"/>
          </xdr:cNvCxnSpPr>
        </xdr:nvCxnSpPr>
        <xdr:spPr>
          <a:xfrm>
            <a:off x="32794576" y="102327075"/>
            <a:ext cx="361949" cy="65722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77" name="TextBox 276">
            <a:extLst>
              <a:ext uri="{FF2B5EF4-FFF2-40B4-BE49-F238E27FC236}">
                <a16:creationId xmlns:a16="http://schemas.microsoft.com/office/drawing/2014/main" id="{386AB0E0-F9B4-7EDE-F881-4CD1D053DE7D}"/>
              </a:ext>
            </a:extLst>
          </xdr:cNvPr>
          <xdr:cNvSpPr txBox="1"/>
        </xdr:nvSpPr>
        <xdr:spPr>
          <a:xfrm>
            <a:off x="32013526" y="102069900"/>
            <a:ext cx="1562100"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baseline="0">
                <a:solidFill>
                  <a:srgbClr val="0000FF"/>
                </a:solidFill>
              </a:rPr>
              <a:t>Month SAFE invested</a:t>
            </a:r>
          </a:p>
        </xdr:txBody>
      </xdr:sp>
      <xdr:cxnSp macro="">
        <xdr:nvCxnSpPr>
          <xdr:cNvPr id="278" name="Straight Arrow Connector 277">
            <a:extLst>
              <a:ext uri="{FF2B5EF4-FFF2-40B4-BE49-F238E27FC236}">
                <a16:creationId xmlns:a16="http://schemas.microsoft.com/office/drawing/2014/main" id="{02F457AB-F347-35AF-5163-0A163DCFD21E}"/>
              </a:ext>
            </a:extLst>
          </xdr:cNvPr>
          <xdr:cNvCxnSpPr/>
        </xdr:nvCxnSpPr>
        <xdr:spPr>
          <a:xfrm>
            <a:off x="33861375" y="102012750"/>
            <a:ext cx="138112" cy="100965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79" name="TextBox 278">
            <a:extLst>
              <a:ext uri="{FF2B5EF4-FFF2-40B4-BE49-F238E27FC236}">
                <a16:creationId xmlns:a16="http://schemas.microsoft.com/office/drawing/2014/main" id="{9405C93E-6800-DF1B-7334-15546F442B9B}"/>
              </a:ext>
            </a:extLst>
          </xdr:cNvPr>
          <xdr:cNvSpPr txBox="1"/>
        </xdr:nvSpPr>
        <xdr:spPr>
          <a:xfrm>
            <a:off x="32899350" y="101603175"/>
            <a:ext cx="1819275" cy="476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baseline="0">
                <a:solidFill>
                  <a:srgbClr val="0000FF"/>
                </a:solidFill>
              </a:rPr>
              <a:t>Month of conversion to fixed price equity</a:t>
            </a:r>
          </a:p>
        </xdr:txBody>
      </xdr:sp>
      <xdr:cxnSp macro="">
        <xdr:nvCxnSpPr>
          <xdr:cNvPr id="280" name="Straight Arrow Connector 279">
            <a:extLst>
              <a:ext uri="{FF2B5EF4-FFF2-40B4-BE49-F238E27FC236}">
                <a16:creationId xmlns:a16="http://schemas.microsoft.com/office/drawing/2014/main" id="{E33A803D-FB6A-6430-2B9D-EAC03963A5AF}"/>
              </a:ext>
            </a:extLst>
          </xdr:cNvPr>
          <xdr:cNvCxnSpPr/>
        </xdr:nvCxnSpPr>
        <xdr:spPr>
          <a:xfrm>
            <a:off x="34547175" y="102603300"/>
            <a:ext cx="180975" cy="40957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81" name="TextBox 280">
            <a:extLst>
              <a:ext uri="{FF2B5EF4-FFF2-40B4-BE49-F238E27FC236}">
                <a16:creationId xmlns:a16="http://schemas.microsoft.com/office/drawing/2014/main" id="{8B80CDBE-6CFC-A9C7-529E-8C619D0DA989}"/>
              </a:ext>
            </a:extLst>
          </xdr:cNvPr>
          <xdr:cNvSpPr txBox="1"/>
        </xdr:nvSpPr>
        <xdr:spPr>
          <a:xfrm>
            <a:off x="33909000" y="102165150"/>
            <a:ext cx="1323975" cy="4857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baseline="0">
                <a:solidFill>
                  <a:srgbClr val="0000FF"/>
                </a:solidFill>
              </a:rPr>
              <a:t>Discount Rate for early investment</a:t>
            </a:r>
          </a:p>
        </xdr:txBody>
      </xdr:sp>
      <xdr:cxnSp macro="">
        <xdr:nvCxnSpPr>
          <xdr:cNvPr id="282" name="Straight Arrow Connector 281">
            <a:extLst>
              <a:ext uri="{FF2B5EF4-FFF2-40B4-BE49-F238E27FC236}">
                <a16:creationId xmlns:a16="http://schemas.microsoft.com/office/drawing/2014/main" id="{A9BF7C8B-CC49-7B7D-2904-1FDE78C18EEE}"/>
              </a:ext>
            </a:extLst>
          </xdr:cNvPr>
          <xdr:cNvCxnSpPr/>
        </xdr:nvCxnSpPr>
        <xdr:spPr>
          <a:xfrm>
            <a:off x="35480625" y="102069900"/>
            <a:ext cx="0" cy="94297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83" name="TextBox 282">
            <a:extLst>
              <a:ext uri="{FF2B5EF4-FFF2-40B4-BE49-F238E27FC236}">
                <a16:creationId xmlns:a16="http://schemas.microsoft.com/office/drawing/2014/main" id="{54AC5FA8-69CD-146B-22E1-A97DE47DD00E}"/>
              </a:ext>
            </a:extLst>
          </xdr:cNvPr>
          <xdr:cNvSpPr txBox="1"/>
        </xdr:nvSpPr>
        <xdr:spPr>
          <a:xfrm>
            <a:off x="34556700" y="101641275"/>
            <a:ext cx="1790700" cy="4857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baseline="0">
                <a:solidFill>
                  <a:srgbClr val="0000FF"/>
                </a:solidFill>
              </a:rPr>
              <a:t>Investor's maximum valuation upon conversion</a:t>
            </a:r>
          </a:p>
        </xdr:txBody>
      </xdr:sp>
      <xdr:cxnSp macro="">
        <xdr:nvCxnSpPr>
          <xdr:cNvPr id="284" name="Straight Arrow Connector 283">
            <a:extLst>
              <a:ext uri="{FF2B5EF4-FFF2-40B4-BE49-F238E27FC236}">
                <a16:creationId xmlns:a16="http://schemas.microsoft.com/office/drawing/2014/main" id="{AED02D37-5BC5-5556-393D-5334847E2B76}"/>
              </a:ext>
            </a:extLst>
          </xdr:cNvPr>
          <xdr:cNvCxnSpPr/>
        </xdr:nvCxnSpPr>
        <xdr:spPr>
          <a:xfrm>
            <a:off x="36299775" y="102517575"/>
            <a:ext cx="38100" cy="49530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85" name="TextBox 284">
            <a:extLst>
              <a:ext uri="{FF2B5EF4-FFF2-40B4-BE49-F238E27FC236}">
                <a16:creationId xmlns:a16="http://schemas.microsoft.com/office/drawing/2014/main" id="{E5300574-4404-8E37-F1B7-F986472C1EBC}"/>
              </a:ext>
            </a:extLst>
          </xdr:cNvPr>
          <xdr:cNvSpPr txBox="1"/>
        </xdr:nvSpPr>
        <xdr:spPr>
          <a:xfrm>
            <a:off x="35633025" y="102079426"/>
            <a:ext cx="1323975" cy="4381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baseline="0">
                <a:solidFill>
                  <a:srgbClr val="0000FF"/>
                </a:solidFill>
              </a:rPr>
              <a:t>Final company valuation</a:t>
            </a:r>
          </a:p>
        </xdr:txBody>
      </xdr:sp>
      <xdr:cxnSp macro="">
        <xdr:nvCxnSpPr>
          <xdr:cNvPr id="286" name="Straight Arrow Connector 285">
            <a:extLst>
              <a:ext uri="{FF2B5EF4-FFF2-40B4-BE49-F238E27FC236}">
                <a16:creationId xmlns:a16="http://schemas.microsoft.com/office/drawing/2014/main" id="{4C5C4705-DEE5-F3AA-076F-DABE3ADE2EAB}"/>
              </a:ext>
            </a:extLst>
          </xdr:cNvPr>
          <xdr:cNvCxnSpPr/>
        </xdr:nvCxnSpPr>
        <xdr:spPr>
          <a:xfrm flipH="1">
            <a:off x="37023675" y="102660450"/>
            <a:ext cx="628650" cy="33337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87" name="TextBox 286">
            <a:extLst>
              <a:ext uri="{FF2B5EF4-FFF2-40B4-BE49-F238E27FC236}">
                <a16:creationId xmlns:a16="http://schemas.microsoft.com/office/drawing/2014/main" id="{2C717BC1-A79D-A545-1DDA-F9D07662F308}"/>
              </a:ext>
            </a:extLst>
          </xdr:cNvPr>
          <xdr:cNvSpPr txBox="1"/>
        </xdr:nvSpPr>
        <xdr:spPr>
          <a:xfrm>
            <a:off x="37033200" y="102222300"/>
            <a:ext cx="1609725" cy="476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a:solidFill>
                  <a:srgbClr val="0000FF"/>
                </a:solidFill>
              </a:rPr>
              <a:t>Ending ownership percentage</a:t>
            </a:r>
            <a:endParaRPr lang="en-US" sz="1100" b="1" baseline="0">
              <a:solidFill>
                <a:srgbClr val="0000FF"/>
              </a:solidFill>
            </a:endParaRPr>
          </a:p>
        </xdr:txBody>
      </xdr:sp>
      <xdr:cxnSp macro="">
        <xdr:nvCxnSpPr>
          <xdr:cNvPr id="288" name="Straight Arrow Connector 287">
            <a:extLst>
              <a:ext uri="{FF2B5EF4-FFF2-40B4-BE49-F238E27FC236}">
                <a16:creationId xmlns:a16="http://schemas.microsoft.com/office/drawing/2014/main" id="{09CC5932-870E-2EF8-92B5-EDF337E693EF}"/>
              </a:ext>
            </a:extLst>
          </xdr:cNvPr>
          <xdr:cNvCxnSpPr/>
        </xdr:nvCxnSpPr>
        <xdr:spPr>
          <a:xfrm>
            <a:off x="38604825" y="102165150"/>
            <a:ext cx="152400" cy="86677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89" name="TextBox 288">
            <a:extLst>
              <a:ext uri="{FF2B5EF4-FFF2-40B4-BE49-F238E27FC236}">
                <a16:creationId xmlns:a16="http://schemas.microsoft.com/office/drawing/2014/main" id="{18B133F4-C3D7-E741-3963-99DC3DFD7208}"/>
              </a:ext>
            </a:extLst>
          </xdr:cNvPr>
          <xdr:cNvSpPr txBox="1"/>
        </xdr:nvSpPr>
        <xdr:spPr>
          <a:xfrm>
            <a:off x="37719000" y="101727000"/>
            <a:ext cx="1790700" cy="4381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baseline="0">
                <a:solidFill>
                  <a:srgbClr val="0000FF"/>
                </a:solidFill>
              </a:rPr>
              <a:t>Final calculated valuation upon conversion</a:t>
            </a:r>
          </a:p>
        </xdr:txBody>
      </xdr:sp>
    </xdr:grpSp>
    <xdr:clientData/>
  </xdr:twoCellAnchor>
  <xdr:twoCellAnchor>
    <xdr:from>
      <xdr:col>41</xdr:col>
      <xdr:colOff>95250</xdr:colOff>
      <xdr:row>550</xdr:row>
      <xdr:rowOff>104775</xdr:rowOff>
    </xdr:from>
    <xdr:to>
      <xdr:col>55</xdr:col>
      <xdr:colOff>171450</xdr:colOff>
      <xdr:row>562</xdr:row>
      <xdr:rowOff>66481</xdr:rowOff>
    </xdr:to>
    <xdr:grpSp>
      <xdr:nvGrpSpPr>
        <xdr:cNvPr id="290" name="Group 289">
          <a:extLst>
            <a:ext uri="{FF2B5EF4-FFF2-40B4-BE49-F238E27FC236}">
              <a16:creationId xmlns:a16="http://schemas.microsoft.com/office/drawing/2014/main" id="{1CA1C47F-4525-418C-BBDE-16CE744A61A1}"/>
            </a:ext>
          </a:extLst>
        </xdr:cNvPr>
        <xdr:cNvGrpSpPr/>
      </xdr:nvGrpSpPr>
      <xdr:grpSpPr>
        <a:xfrm>
          <a:off x="31413450" y="101406325"/>
          <a:ext cx="9677400" cy="2171506"/>
          <a:chOff x="27384375" y="104632125"/>
          <a:chExt cx="8610600" cy="2247706"/>
        </a:xfrm>
      </xdr:grpSpPr>
      <xdr:pic>
        <xdr:nvPicPr>
          <xdr:cNvPr id="291" name="Picture 290">
            <a:extLst>
              <a:ext uri="{FF2B5EF4-FFF2-40B4-BE49-F238E27FC236}">
                <a16:creationId xmlns:a16="http://schemas.microsoft.com/office/drawing/2014/main" id="{F778F147-0FFC-17AB-D70F-6770DCB4BA74}"/>
              </a:ext>
            </a:extLst>
          </xdr:cNvPr>
          <xdr:cNvPicPr>
            <a:picLocks noChangeAspect="1"/>
          </xdr:cNvPicPr>
        </xdr:nvPicPr>
        <xdr:blipFill>
          <a:blip xmlns:r="http://schemas.openxmlformats.org/officeDocument/2006/relationships" r:embed="rId52"/>
          <a:stretch>
            <a:fillRect/>
          </a:stretch>
        </xdr:blipFill>
        <xdr:spPr>
          <a:xfrm>
            <a:off x="31108650" y="105327450"/>
            <a:ext cx="4314286" cy="1552381"/>
          </a:xfrm>
          <a:prstGeom prst="rect">
            <a:avLst/>
          </a:prstGeom>
        </xdr:spPr>
      </xdr:pic>
      <xdr:cxnSp macro="">
        <xdr:nvCxnSpPr>
          <xdr:cNvPr id="292" name="Straight Arrow Connector 291">
            <a:extLst>
              <a:ext uri="{FF2B5EF4-FFF2-40B4-BE49-F238E27FC236}">
                <a16:creationId xmlns:a16="http://schemas.microsoft.com/office/drawing/2014/main" id="{0C6EFDF6-7212-6A3D-CD7B-B404AAC82ABC}"/>
              </a:ext>
            </a:extLst>
          </xdr:cNvPr>
          <xdr:cNvCxnSpPr/>
        </xdr:nvCxnSpPr>
        <xdr:spPr>
          <a:xfrm>
            <a:off x="32470725" y="105194100"/>
            <a:ext cx="457199" cy="41910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93" name="TextBox 292">
            <a:extLst>
              <a:ext uri="{FF2B5EF4-FFF2-40B4-BE49-F238E27FC236}">
                <a16:creationId xmlns:a16="http://schemas.microsoft.com/office/drawing/2014/main" id="{704BB171-0957-CA98-DAB0-5F37D15F09A3}"/>
              </a:ext>
            </a:extLst>
          </xdr:cNvPr>
          <xdr:cNvSpPr txBox="1"/>
        </xdr:nvSpPr>
        <xdr:spPr>
          <a:xfrm>
            <a:off x="31489650" y="104936925"/>
            <a:ext cx="1714500"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a:solidFill>
                  <a:srgbClr val="0000FF"/>
                </a:solidFill>
              </a:rPr>
              <a:t>The number of loans</a:t>
            </a:r>
            <a:endParaRPr lang="en-US" sz="1100" b="1" baseline="0">
              <a:solidFill>
                <a:srgbClr val="0000FF"/>
              </a:solidFill>
            </a:endParaRPr>
          </a:p>
        </xdr:txBody>
      </xdr:sp>
      <xdr:sp macro="" textlink="">
        <xdr:nvSpPr>
          <xdr:cNvPr id="294" name="TextBox 293">
            <a:extLst>
              <a:ext uri="{FF2B5EF4-FFF2-40B4-BE49-F238E27FC236}">
                <a16:creationId xmlns:a16="http://schemas.microsoft.com/office/drawing/2014/main" id="{4658E311-902F-EDEA-E239-31F37CF78189}"/>
              </a:ext>
            </a:extLst>
          </xdr:cNvPr>
          <xdr:cNvSpPr txBox="1"/>
        </xdr:nvSpPr>
        <xdr:spPr>
          <a:xfrm>
            <a:off x="34385250" y="104632125"/>
            <a:ext cx="1609725" cy="476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a:solidFill>
                  <a:srgbClr val="0000FF"/>
                </a:solidFill>
              </a:rPr>
              <a:t>Click Show to see </a:t>
            </a:r>
          </a:p>
          <a:p>
            <a:pPr algn="ctr"/>
            <a:r>
              <a:rPr lang="en-US" sz="1100" b="1">
                <a:solidFill>
                  <a:srgbClr val="0000FF"/>
                </a:solidFill>
              </a:rPr>
              <a:t>Convertible</a:t>
            </a:r>
            <a:r>
              <a:rPr lang="en-US" sz="1100" b="1" baseline="0">
                <a:solidFill>
                  <a:srgbClr val="0000FF"/>
                </a:solidFill>
              </a:rPr>
              <a:t> Notes</a:t>
            </a:r>
          </a:p>
        </xdr:txBody>
      </xdr:sp>
      <xdr:cxnSp macro="">
        <xdr:nvCxnSpPr>
          <xdr:cNvPr id="295" name="Straight Arrow Connector 294">
            <a:extLst>
              <a:ext uri="{FF2B5EF4-FFF2-40B4-BE49-F238E27FC236}">
                <a16:creationId xmlns:a16="http://schemas.microsoft.com/office/drawing/2014/main" id="{E27F237B-0783-46AE-36BF-2BE6FA1AACE2}"/>
              </a:ext>
            </a:extLst>
          </xdr:cNvPr>
          <xdr:cNvCxnSpPr/>
        </xdr:nvCxnSpPr>
        <xdr:spPr>
          <a:xfrm flipH="1">
            <a:off x="34880550" y="105051225"/>
            <a:ext cx="323851" cy="32385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96" name="TextBox 295">
            <a:extLst>
              <a:ext uri="{FF2B5EF4-FFF2-40B4-BE49-F238E27FC236}">
                <a16:creationId xmlns:a16="http://schemas.microsoft.com/office/drawing/2014/main" id="{81199326-2DD9-187D-320E-0A5B8600D1C9}"/>
              </a:ext>
            </a:extLst>
          </xdr:cNvPr>
          <xdr:cNvSpPr txBox="1"/>
        </xdr:nvSpPr>
        <xdr:spPr>
          <a:xfrm>
            <a:off x="27593925" y="105937050"/>
            <a:ext cx="2419350"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en-US" sz="1100" b="1">
                <a:solidFill>
                  <a:srgbClr val="0000FF"/>
                </a:solidFill>
              </a:rPr>
              <a:t>The amount of each loan</a:t>
            </a:r>
            <a:endParaRPr lang="en-US" sz="1100" b="1" baseline="0">
              <a:solidFill>
                <a:srgbClr val="0000FF"/>
              </a:solidFill>
            </a:endParaRPr>
          </a:p>
        </xdr:txBody>
      </xdr:sp>
      <xdr:cxnSp macro="">
        <xdr:nvCxnSpPr>
          <xdr:cNvPr id="297" name="Straight Arrow Connector 296">
            <a:extLst>
              <a:ext uri="{FF2B5EF4-FFF2-40B4-BE49-F238E27FC236}">
                <a16:creationId xmlns:a16="http://schemas.microsoft.com/office/drawing/2014/main" id="{2F00CA04-AE56-AA1E-D9DD-D04A75FC1767}"/>
              </a:ext>
            </a:extLst>
          </xdr:cNvPr>
          <xdr:cNvCxnSpPr>
            <a:stCxn id="296" idx="3"/>
          </xdr:cNvCxnSpPr>
        </xdr:nvCxnSpPr>
        <xdr:spPr>
          <a:xfrm>
            <a:off x="30013275" y="106075163"/>
            <a:ext cx="1329298" cy="185737"/>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98" name="Straight Arrow Connector 297">
            <a:extLst>
              <a:ext uri="{FF2B5EF4-FFF2-40B4-BE49-F238E27FC236}">
                <a16:creationId xmlns:a16="http://schemas.microsoft.com/office/drawing/2014/main" id="{91068A4F-747F-9898-4410-E94AD093B5A5}"/>
              </a:ext>
            </a:extLst>
          </xdr:cNvPr>
          <xdr:cNvCxnSpPr/>
        </xdr:nvCxnSpPr>
        <xdr:spPr>
          <a:xfrm>
            <a:off x="30051375" y="106365675"/>
            <a:ext cx="1119748" cy="4762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99" name="TextBox 298">
            <a:extLst>
              <a:ext uri="{FF2B5EF4-FFF2-40B4-BE49-F238E27FC236}">
                <a16:creationId xmlns:a16="http://schemas.microsoft.com/office/drawing/2014/main" id="{4F49877C-9089-77C7-A4D9-BBEB96171EB4}"/>
              </a:ext>
            </a:extLst>
          </xdr:cNvPr>
          <xdr:cNvSpPr txBox="1"/>
        </xdr:nvSpPr>
        <xdr:spPr>
          <a:xfrm>
            <a:off x="27384375" y="106203750"/>
            <a:ext cx="2638425"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en-US" sz="1100" b="1">
                <a:solidFill>
                  <a:srgbClr val="0000FF"/>
                </a:solidFill>
              </a:rPr>
              <a:t>The month the loan</a:t>
            </a:r>
            <a:r>
              <a:rPr lang="en-US" sz="1100" b="1" baseline="0">
                <a:solidFill>
                  <a:srgbClr val="0000FF"/>
                </a:solidFill>
              </a:rPr>
              <a:t> starts</a:t>
            </a:r>
          </a:p>
        </xdr:txBody>
      </xdr:sp>
      <xdr:sp macro="" textlink="">
        <xdr:nvSpPr>
          <xdr:cNvPr id="300" name="TextBox 299">
            <a:extLst>
              <a:ext uri="{FF2B5EF4-FFF2-40B4-BE49-F238E27FC236}">
                <a16:creationId xmlns:a16="http://schemas.microsoft.com/office/drawing/2014/main" id="{969FDB5C-020B-708E-E02C-A1DB3B9C3CB2}"/>
              </a:ext>
            </a:extLst>
          </xdr:cNvPr>
          <xdr:cNvSpPr txBox="1"/>
        </xdr:nvSpPr>
        <xdr:spPr>
          <a:xfrm>
            <a:off x="27393900" y="106384725"/>
            <a:ext cx="2638425"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en-US" sz="1100" b="1">
                <a:solidFill>
                  <a:srgbClr val="0000FF"/>
                </a:solidFill>
              </a:rPr>
              <a:t>How many</a:t>
            </a:r>
            <a:r>
              <a:rPr lang="en-US" sz="1100" b="1" baseline="0">
                <a:solidFill>
                  <a:srgbClr val="0000FF"/>
                </a:solidFill>
              </a:rPr>
              <a:t> months the loan lasts</a:t>
            </a:r>
          </a:p>
        </xdr:txBody>
      </xdr:sp>
      <xdr:cxnSp macro="">
        <xdr:nvCxnSpPr>
          <xdr:cNvPr id="301" name="Straight Arrow Connector 300">
            <a:extLst>
              <a:ext uri="{FF2B5EF4-FFF2-40B4-BE49-F238E27FC236}">
                <a16:creationId xmlns:a16="http://schemas.microsoft.com/office/drawing/2014/main" id="{926A4348-970C-C3FB-CDD3-F88F1F57A6A6}"/>
              </a:ext>
            </a:extLst>
          </xdr:cNvPr>
          <xdr:cNvCxnSpPr/>
        </xdr:nvCxnSpPr>
        <xdr:spPr>
          <a:xfrm>
            <a:off x="30060900" y="106546650"/>
            <a:ext cx="1281673" cy="23812"/>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302" name="Straight Arrow Connector 301">
            <a:extLst>
              <a:ext uri="{FF2B5EF4-FFF2-40B4-BE49-F238E27FC236}">
                <a16:creationId xmlns:a16="http://schemas.microsoft.com/office/drawing/2014/main" id="{A3F21E42-CCC2-D1C8-913A-32E85F9F019D}"/>
              </a:ext>
            </a:extLst>
          </xdr:cNvPr>
          <xdr:cNvCxnSpPr/>
        </xdr:nvCxnSpPr>
        <xdr:spPr>
          <a:xfrm>
            <a:off x="30051375" y="106689525"/>
            <a:ext cx="1253098" cy="19049"/>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303" name="TextBox 302">
            <a:extLst>
              <a:ext uri="{FF2B5EF4-FFF2-40B4-BE49-F238E27FC236}">
                <a16:creationId xmlns:a16="http://schemas.microsoft.com/office/drawing/2014/main" id="{BE402FB1-5E07-4C70-EFB3-EF1B0A6F076D}"/>
              </a:ext>
            </a:extLst>
          </xdr:cNvPr>
          <xdr:cNvSpPr txBox="1"/>
        </xdr:nvSpPr>
        <xdr:spPr>
          <a:xfrm>
            <a:off x="28813125" y="106546650"/>
            <a:ext cx="1209675" cy="247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en-US" sz="1100" b="1" baseline="0">
                <a:solidFill>
                  <a:srgbClr val="0000FF"/>
                </a:solidFill>
              </a:rPr>
              <a:t>The interest rate</a:t>
            </a:r>
          </a:p>
        </xdr:txBody>
      </xdr:sp>
    </xdr:grpSp>
    <xdr:clientData/>
  </xdr:twoCellAnchor>
  <xdr:twoCellAnchor editAs="oneCell">
    <xdr:from>
      <xdr:col>1</xdr:col>
      <xdr:colOff>447675</xdr:colOff>
      <xdr:row>552</xdr:row>
      <xdr:rowOff>123825</xdr:rowOff>
    </xdr:from>
    <xdr:to>
      <xdr:col>14</xdr:col>
      <xdr:colOff>303827</xdr:colOff>
      <xdr:row>564</xdr:row>
      <xdr:rowOff>56873</xdr:rowOff>
    </xdr:to>
    <xdr:pic>
      <xdr:nvPicPr>
        <xdr:cNvPr id="304" name="Picture 303">
          <a:extLst>
            <a:ext uri="{FF2B5EF4-FFF2-40B4-BE49-F238E27FC236}">
              <a16:creationId xmlns:a16="http://schemas.microsoft.com/office/drawing/2014/main" id="{E3764554-1C10-41A1-A1BC-991523E7A9BC}"/>
            </a:ext>
          </a:extLst>
        </xdr:cNvPr>
        <xdr:cNvPicPr>
          <a:picLocks noChangeAspect="1"/>
        </xdr:cNvPicPr>
      </xdr:nvPicPr>
      <xdr:blipFill>
        <a:blip xmlns:r="http://schemas.openxmlformats.org/officeDocument/2006/relationships" r:embed="rId53"/>
        <a:stretch>
          <a:fillRect/>
        </a:stretch>
      </xdr:blipFill>
      <xdr:spPr>
        <a:xfrm>
          <a:off x="1057275" y="105308400"/>
          <a:ext cx="7780952" cy="2219048"/>
        </a:xfrm>
        <a:prstGeom prst="rect">
          <a:avLst/>
        </a:prstGeom>
      </xdr:spPr>
    </xdr:pic>
    <xdr:clientData/>
  </xdr:twoCellAnchor>
  <xdr:twoCellAnchor editAs="oneCell">
    <xdr:from>
      <xdr:col>0</xdr:col>
      <xdr:colOff>66675</xdr:colOff>
      <xdr:row>536</xdr:row>
      <xdr:rowOff>114300</xdr:rowOff>
    </xdr:from>
    <xdr:to>
      <xdr:col>19</xdr:col>
      <xdr:colOff>484275</xdr:colOff>
      <xdr:row>550</xdr:row>
      <xdr:rowOff>9205</xdr:rowOff>
    </xdr:to>
    <xdr:pic>
      <xdr:nvPicPr>
        <xdr:cNvPr id="305" name="Picture 304">
          <a:extLst>
            <a:ext uri="{FF2B5EF4-FFF2-40B4-BE49-F238E27FC236}">
              <a16:creationId xmlns:a16="http://schemas.microsoft.com/office/drawing/2014/main" id="{E8002923-B264-428F-BBEB-34408E9617C8}"/>
            </a:ext>
          </a:extLst>
        </xdr:cNvPr>
        <xdr:cNvPicPr>
          <a:picLocks noChangeAspect="1"/>
        </xdr:cNvPicPr>
      </xdr:nvPicPr>
      <xdr:blipFill>
        <a:blip xmlns:r="http://schemas.openxmlformats.org/officeDocument/2006/relationships" r:embed="rId54"/>
        <a:stretch>
          <a:fillRect/>
        </a:stretch>
      </xdr:blipFill>
      <xdr:spPr>
        <a:xfrm>
          <a:off x="66675" y="102250875"/>
          <a:ext cx="12000000" cy="2561905"/>
        </a:xfrm>
        <a:prstGeom prst="rect">
          <a:avLst/>
        </a:prstGeom>
      </xdr:spPr>
    </xdr:pic>
    <xdr:clientData/>
  </xdr:twoCellAnchor>
  <xdr:twoCellAnchor>
    <xdr:from>
      <xdr:col>38</xdr:col>
      <xdr:colOff>381000</xdr:colOff>
      <xdr:row>570</xdr:row>
      <xdr:rowOff>57150</xdr:rowOff>
    </xdr:from>
    <xdr:to>
      <xdr:col>62</xdr:col>
      <xdr:colOff>304800</xdr:colOff>
      <xdr:row>585</xdr:row>
      <xdr:rowOff>28458</xdr:rowOff>
    </xdr:to>
    <xdr:grpSp>
      <xdr:nvGrpSpPr>
        <xdr:cNvPr id="306" name="Group 305">
          <a:extLst>
            <a:ext uri="{FF2B5EF4-FFF2-40B4-BE49-F238E27FC236}">
              <a16:creationId xmlns:a16="http://schemas.microsoft.com/office/drawing/2014/main" id="{D2C8696D-EED4-441D-941D-ECD767F35583}"/>
            </a:ext>
          </a:extLst>
        </xdr:cNvPr>
        <xdr:cNvGrpSpPr/>
      </xdr:nvGrpSpPr>
      <xdr:grpSpPr>
        <a:xfrm>
          <a:off x="29641800" y="105041700"/>
          <a:ext cx="16383000" cy="2733558"/>
          <a:chOff x="26822400" y="108670725"/>
          <a:chExt cx="14554200" cy="2828808"/>
        </a:xfrm>
      </xdr:grpSpPr>
      <xdr:sp macro="" textlink="">
        <xdr:nvSpPr>
          <xdr:cNvPr id="307" name="TextBox 306">
            <a:extLst>
              <a:ext uri="{FF2B5EF4-FFF2-40B4-BE49-F238E27FC236}">
                <a16:creationId xmlns:a16="http://schemas.microsoft.com/office/drawing/2014/main" id="{4C8BCB37-ED4A-A38D-5CE3-8FF511BE5FB4}"/>
              </a:ext>
            </a:extLst>
          </xdr:cNvPr>
          <xdr:cNvSpPr txBox="1"/>
        </xdr:nvSpPr>
        <xdr:spPr>
          <a:xfrm>
            <a:off x="30375226" y="108670725"/>
            <a:ext cx="6648450" cy="3333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lang="en-US" sz="1800" b="1">
                <a:solidFill>
                  <a:schemeClr val="tx1">
                    <a:lumMod val="75000"/>
                    <a:lumOff val="25000"/>
                  </a:schemeClr>
                </a:solidFill>
              </a:rPr>
              <a:t>(For an</a:t>
            </a:r>
            <a:r>
              <a:rPr lang="en-US" sz="1800" b="1" baseline="0">
                <a:solidFill>
                  <a:schemeClr val="tx1">
                    <a:lumMod val="75000"/>
                    <a:lumOff val="25000"/>
                  </a:schemeClr>
                </a:solidFill>
              </a:rPr>
              <a:t> explanation of Convertible Notes, see the Financing Section)</a:t>
            </a:r>
            <a:endParaRPr lang="en-US" sz="1800" b="1">
              <a:solidFill>
                <a:schemeClr val="tx1">
                  <a:lumMod val="75000"/>
                  <a:lumOff val="25000"/>
                </a:schemeClr>
              </a:solidFill>
            </a:endParaRPr>
          </a:p>
        </xdr:txBody>
      </xdr:sp>
      <xdr:grpSp>
        <xdr:nvGrpSpPr>
          <xdr:cNvPr id="308" name="Group 307">
            <a:extLst>
              <a:ext uri="{FF2B5EF4-FFF2-40B4-BE49-F238E27FC236}">
                <a16:creationId xmlns:a16="http://schemas.microsoft.com/office/drawing/2014/main" id="{36EC9419-F53C-8682-5482-B581530F0F84}"/>
              </a:ext>
            </a:extLst>
          </xdr:cNvPr>
          <xdr:cNvGrpSpPr/>
        </xdr:nvGrpSpPr>
        <xdr:grpSpPr>
          <a:xfrm>
            <a:off x="26822400" y="109185075"/>
            <a:ext cx="14554200" cy="2314458"/>
            <a:chOff x="26650950" y="108184950"/>
            <a:chExt cx="14554200" cy="2314458"/>
          </a:xfrm>
        </xdr:grpSpPr>
        <xdr:pic>
          <xdr:nvPicPr>
            <xdr:cNvPr id="309" name="Picture 308">
              <a:extLst>
                <a:ext uri="{FF2B5EF4-FFF2-40B4-BE49-F238E27FC236}">
                  <a16:creationId xmlns:a16="http://schemas.microsoft.com/office/drawing/2014/main" id="{F6E2A8F8-6379-5762-73C0-5AEB6FF23C4E}"/>
                </a:ext>
              </a:extLst>
            </xdr:cNvPr>
            <xdr:cNvPicPr>
              <a:picLocks noChangeAspect="1"/>
            </xdr:cNvPicPr>
          </xdr:nvPicPr>
          <xdr:blipFill>
            <a:blip xmlns:r="http://schemas.openxmlformats.org/officeDocument/2006/relationships" r:embed="rId55"/>
            <a:stretch>
              <a:fillRect/>
            </a:stretch>
          </xdr:blipFill>
          <xdr:spPr>
            <a:xfrm>
              <a:off x="28460700" y="109566075"/>
              <a:ext cx="12361905" cy="933333"/>
            </a:xfrm>
            <a:prstGeom prst="rect">
              <a:avLst/>
            </a:prstGeom>
          </xdr:spPr>
        </xdr:pic>
        <xdr:cxnSp macro="">
          <xdr:nvCxnSpPr>
            <xdr:cNvPr id="310" name="Straight Arrow Connector 309">
              <a:extLst>
                <a:ext uri="{FF2B5EF4-FFF2-40B4-BE49-F238E27FC236}">
                  <a16:creationId xmlns:a16="http://schemas.microsoft.com/office/drawing/2014/main" id="{D5D8DDA3-C6B5-567D-6660-EBF034ECA3B0}"/>
                </a:ext>
              </a:extLst>
            </xdr:cNvPr>
            <xdr:cNvCxnSpPr/>
          </xdr:nvCxnSpPr>
          <xdr:spPr>
            <a:xfrm flipV="1">
              <a:off x="27755849" y="110147100"/>
              <a:ext cx="710173" cy="171451"/>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311" name="TextBox 310">
              <a:extLst>
                <a:ext uri="{FF2B5EF4-FFF2-40B4-BE49-F238E27FC236}">
                  <a16:creationId xmlns:a16="http://schemas.microsoft.com/office/drawing/2014/main" id="{B11EAB19-3894-54D0-9F8F-0F18A954712C}"/>
                </a:ext>
              </a:extLst>
            </xdr:cNvPr>
            <xdr:cNvSpPr txBox="1"/>
          </xdr:nvSpPr>
          <xdr:spPr>
            <a:xfrm>
              <a:off x="26650950" y="110166151"/>
              <a:ext cx="1152526"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en-US" sz="1100" b="1">
                  <a:solidFill>
                    <a:srgbClr val="0000FF"/>
                  </a:solidFill>
                </a:rPr>
                <a:t>Investor name</a:t>
              </a:r>
              <a:endParaRPr lang="en-US" sz="1100" b="1" baseline="0">
                <a:solidFill>
                  <a:srgbClr val="0000FF"/>
                </a:solidFill>
              </a:endParaRPr>
            </a:p>
          </xdr:txBody>
        </xdr:sp>
        <xdr:cxnSp macro="">
          <xdr:nvCxnSpPr>
            <xdr:cNvPr id="312" name="Straight Arrow Connector 311">
              <a:extLst>
                <a:ext uri="{FF2B5EF4-FFF2-40B4-BE49-F238E27FC236}">
                  <a16:creationId xmlns:a16="http://schemas.microsoft.com/office/drawing/2014/main" id="{0ED06EC4-54A5-E17A-086B-3E969FE0BA8D}"/>
                </a:ext>
              </a:extLst>
            </xdr:cNvPr>
            <xdr:cNvCxnSpPr/>
          </xdr:nvCxnSpPr>
          <xdr:spPr>
            <a:xfrm>
              <a:off x="30108525" y="109270800"/>
              <a:ext cx="457199" cy="41910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313" name="TextBox 312">
              <a:extLst>
                <a:ext uri="{FF2B5EF4-FFF2-40B4-BE49-F238E27FC236}">
                  <a16:creationId xmlns:a16="http://schemas.microsoft.com/office/drawing/2014/main" id="{9A992938-84CC-86EC-D9A0-66869FF28648}"/>
                </a:ext>
              </a:extLst>
            </xdr:cNvPr>
            <xdr:cNvSpPr txBox="1"/>
          </xdr:nvSpPr>
          <xdr:spPr>
            <a:xfrm>
              <a:off x="28736925" y="109013625"/>
              <a:ext cx="2105025"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a:solidFill>
                    <a:srgbClr val="0000FF"/>
                  </a:solidFill>
                </a:rPr>
                <a:t>The number of convertible notes</a:t>
              </a:r>
              <a:endParaRPr lang="en-US" sz="1100" b="1" baseline="0">
                <a:solidFill>
                  <a:srgbClr val="0000FF"/>
                </a:solidFill>
              </a:endParaRPr>
            </a:p>
          </xdr:txBody>
        </xdr:sp>
        <xdr:cxnSp macro="">
          <xdr:nvCxnSpPr>
            <xdr:cNvPr id="314" name="Straight Arrow Connector 313">
              <a:extLst>
                <a:ext uri="{FF2B5EF4-FFF2-40B4-BE49-F238E27FC236}">
                  <a16:creationId xmlns:a16="http://schemas.microsoft.com/office/drawing/2014/main" id="{BB1F3C20-9E8A-0C95-56B8-C247F5AA6BBA}"/>
                </a:ext>
              </a:extLst>
            </xdr:cNvPr>
            <xdr:cNvCxnSpPr/>
          </xdr:nvCxnSpPr>
          <xdr:spPr>
            <a:xfrm>
              <a:off x="31499175" y="109347000"/>
              <a:ext cx="180975" cy="40957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315" name="TextBox 314">
              <a:extLst>
                <a:ext uri="{FF2B5EF4-FFF2-40B4-BE49-F238E27FC236}">
                  <a16:creationId xmlns:a16="http://schemas.microsoft.com/office/drawing/2014/main" id="{C180D20D-702E-51CE-71FF-7EEC89C58E62}"/>
                </a:ext>
              </a:extLst>
            </xdr:cNvPr>
            <xdr:cNvSpPr txBox="1"/>
          </xdr:nvSpPr>
          <xdr:spPr>
            <a:xfrm>
              <a:off x="30765750" y="109070775"/>
              <a:ext cx="1323975"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baseline="0">
                  <a:solidFill>
                    <a:srgbClr val="0000FF"/>
                  </a:solidFill>
                </a:rPr>
                <a:t>Amount of note</a:t>
              </a:r>
            </a:p>
          </xdr:txBody>
        </xdr:sp>
        <xdr:cxnSp macro="">
          <xdr:nvCxnSpPr>
            <xdr:cNvPr id="316" name="Straight Arrow Connector 315">
              <a:extLst>
                <a:ext uri="{FF2B5EF4-FFF2-40B4-BE49-F238E27FC236}">
                  <a16:creationId xmlns:a16="http://schemas.microsoft.com/office/drawing/2014/main" id="{359ED8D6-565A-9037-A56E-BB39CFE4EF72}"/>
                </a:ext>
              </a:extLst>
            </xdr:cNvPr>
            <xdr:cNvCxnSpPr>
              <a:stCxn id="317" idx="2"/>
            </xdr:cNvCxnSpPr>
          </xdr:nvCxnSpPr>
          <xdr:spPr>
            <a:xfrm>
              <a:off x="32165925" y="109070775"/>
              <a:ext cx="361949" cy="65722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317" name="TextBox 316">
              <a:extLst>
                <a:ext uri="{FF2B5EF4-FFF2-40B4-BE49-F238E27FC236}">
                  <a16:creationId xmlns:a16="http://schemas.microsoft.com/office/drawing/2014/main" id="{D72D6C33-43BB-A61A-7644-600FCA089B55}"/>
                </a:ext>
              </a:extLst>
            </xdr:cNvPr>
            <xdr:cNvSpPr txBox="1"/>
          </xdr:nvSpPr>
          <xdr:spPr>
            <a:xfrm>
              <a:off x="31384875" y="108813600"/>
              <a:ext cx="1562100"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baseline="0">
                  <a:solidFill>
                    <a:srgbClr val="0000FF"/>
                  </a:solidFill>
                </a:rPr>
                <a:t>Month note invested</a:t>
              </a:r>
            </a:p>
          </xdr:txBody>
        </xdr:sp>
        <xdr:cxnSp macro="">
          <xdr:nvCxnSpPr>
            <xdr:cNvPr id="318" name="Straight Arrow Connector 317">
              <a:extLst>
                <a:ext uri="{FF2B5EF4-FFF2-40B4-BE49-F238E27FC236}">
                  <a16:creationId xmlns:a16="http://schemas.microsoft.com/office/drawing/2014/main" id="{84710FB5-C13B-E775-4CA9-35CB78907580}"/>
                </a:ext>
              </a:extLst>
            </xdr:cNvPr>
            <xdr:cNvCxnSpPr/>
          </xdr:nvCxnSpPr>
          <xdr:spPr>
            <a:xfrm>
              <a:off x="33185100" y="108765975"/>
              <a:ext cx="138112" cy="100965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319" name="TextBox 318">
              <a:extLst>
                <a:ext uri="{FF2B5EF4-FFF2-40B4-BE49-F238E27FC236}">
                  <a16:creationId xmlns:a16="http://schemas.microsoft.com/office/drawing/2014/main" id="{782F6449-2E95-DA60-CE60-A00251E8E631}"/>
                </a:ext>
              </a:extLst>
            </xdr:cNvPr>
            <xdr:cNvSpPr txBox="1"/>
          </xdr:nvSpPr>
          <xdr:spPr>
            <a:xfrm>
              <a:off x="32223075" y="108356400"/>
              <a:ext cx="1819275" cy="476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baseline="0">
                  <a:solidFill>
                    <a:srgbClr val="0000FF"/>
                  </a:solidFill>
                </a:rPr>
                <a:t>Month of conversion to fixed price equity</a:t>
              </a:r>
            </a:p>
          </xdr:txBody>
        </xdr:sp>
        <xdr:cxnSp macro="">
          <xdr:nvCxnSpPr>
            <xdr:cNvPr id="320" name="Straight Arrow Connector 319">
              <a:extLst>
                <a:ext uri="{FF2B5EF4-FFF2-40B4-BE49-F238E27FC236}">
                  <a16:creationId xmlns:a16="http://schemas.microsoft.com/office/drawing/2014/main" id="{784732D1-6B76-4446-482B-7EDEFC8B5723}"/>
                </a:ext>
              </a:extLst>
            </xdr:cNvPr>
            <xdr:cNvCxnSpPr/>
          </xdr:nvCxnSpPr>
          <xdr:spPr>
            <a:xfrm>
              <a:off x="34080450" y="109308900"/>
              <a:ext cx="42862" cy="43815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321" name="TextBox 320">
              <a:extLst>
                <a:ext uri="{FF2B5EF4-FFF2-40B4-BE49-F238E27FC236}">
                  <a16:creationId xmlns:a16="http://schemas.microsoft.com/office/drawing/2014/main" id="{D1C41859-266B-E294-092C-98BD5E245C41}"/>
                </a:ext>
              </a:extLst>
            </xdr:cNvPr>
            <xdr:cNvSpPr txBox="1"/>
          </xdr:nvSpPr>
          <xdr:spPr>
            <a:xfrm>
              <a:off x="33166050" y="108880275"/>
              <a:ext cx="1819275" cy="476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baseline="0">
                  <a:solidFill>
                    <a:srgbClr val="0000FF"/>
                  </a:solidFill>
                </a:rPr>
                <a:t>Interest that accrues </a:t>
              </a:r>
            </a:p>
            <a:p>
              <a:pPr algn="ctr"/>
              <a:r>
                <a:rPr lang="en-US" sz="1100" b="1" baseline="0">
                  <a:solidFill>
                    <a:srgbClr val="0000FF"/>
                  </a:solidFill>
                </a:rPr>
                <a:t>until conversion</a:t>
              </a:r>
            </a:p>
          </xdr:txBody>
        </xdr:sp>
        <xdr:cxnSp macro="">
          <xdr:nvCxnSpPr>
            <xdr:cNvPr id="322" name="Straight Arrow Connector 321">
              <a:extLst>
                <a:ext uri="{FF2B5EF4-FFF2-40B4-BE49-F238E27FC236}">
                  <a16:creationId xmlns:a16="http://schemas.microsoft.com/office/drawing/2014/main" id="{D1E6FDC3-C26A-D27A-6D4C-F181CE5EADDE}"/>
                </a:ext>
              </a:extLst>
            </xdr:cNvPr>
            <xdr:cNvCxnSpPr>
              <a:stCxn id="323" idx="2"/>
            </xdr:cNvCxnSpPr>
          </xdr:nvCxnSpPr>
          <xdr:spPr>
            <a:xfrm>
              <a:off x="34847213" y="108851700"/>
              <a:ext cx="52387" cy="91440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323" name="TextBox 322">
              <a:extLst>
                <a:ext uri="{FF2B5EF4-FFF2-40B4-BE49-F238E27FC236}">
                  <a16:creationId xmlns:a16="http://schemas.microsoft.com/office/drawing/2014/main" id="{6F9E9E2D-EE56-3B73-9D23-CC6AB23AE5E8}"/>
                </a:ext>
              </a:extLst>
            </xdr:cNvPr>
            <xdr:cNvSpPr txBox="1"/>
          </xdr:nvSpPr>
          <xdr:spPr>
            <a:xfrm>
              <a:off x="34185225" y="108365925"/>
              <a:ext cx="1323975" cy="4857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baseline="0">
                  <a:solidFill>
                    <a:srgbClr val="0000FF"/>
                  </a:solidFill>
                </a:rPr>
                <a:t>Discount Rate for early investment</a:t>
              </a:r>
            </a:p>
          </xdr:txBody>
        </xdr:sp>
        <xdr:cxnSp macro="">
          <xdr:nvCxnSpPr>
            <xdr:cNvPr id="324" name="Straight Arrow Connector 323">
              <a:extLst>
                <a:ext uri="{FF2B5EF4-FFF2-40B4-BE49-F238E27FC236}">
                  <a16:creationId xmlns:a16="http://schemas.microsoft.com/office/drawing/2014/main" id="{28B23345-8ECA-D25F-D387-55A4231F4342}"/>
                </a:ext>
              </a:extLst>
            </xdr:cNvPr>
            <xdr:cNvCxnSpPr/>
          </xdr:nvCxnSpPr>
          <xdr:spPr>
            <a:xfrm flipH="1">
              <a:off x="35690175" y="108575475"/>
              <a:ext cx="390525" cy="117157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325" name="TextBox 324">
              <a:extLst>
                <a:ext uri="{FF2B5EF4-FFF2-40B4-BE49-F238E27FC236}">
                  <a16:creationId xmlns:a16="http://schemas.microsoft.com/office/drawing/2014/main" id="{114B6A20-0DF9-110B-6866-2A5C2B2DAF10}"/>
                </a:ext>
              </a:extLst>
            </xdr:cNvPr>
            <xdr:cNvSpPr txBox="1"/>
          </xdr:nvSpPr>
          <xdr:spPr>
            <a:xfrm>
              <a:off x="35442525" y="108184950"/>
              <a:ext cx="1790700" cy="4857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baseline="0">
                  <a:solidFill>
                    <a:srgbClr val="0000FF"/>
                  </a:solidFill>
                </a:rPr>
                <a:t>Investor's maximum valuation upon conversion</a:t>
              </a:r>
            </a:p>
          </xdr:txBody>
        </xdr:sp>
        <xdr:cxnSp macro="">
          <xdr:nvCxnSpPr>
            <xdr:cNvPr id="326" name="Straight Arrow Connector 325">
              <a:extLst>
                <a:ext uri="{FF2B5EF4-FFF2-40B4-BE49-F238E27FC236}">
                  <a16:creationId xmlns:a16="http://schemas.microsoft.com/office/drawing/2014/main" id="{62428A18-86DF-63EB-42CA-21C5E0E70186}"/>
                </a:ext>
              </a:extLst>
            </xdr:cNvPr>
            <xdr:cNvCxnSpPr/>
          </xdr:nvCxnSpPr>
          <xdr:spPr>
            <a:xfrm>
              <a:off x="36509325" y="109251750"/>
              <a:ext cx="38100" cy="49530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327" name="TextBox 326">
              <a:extLst>
                <a:ext uri="{FF2B5EF4-FFF2-40B4-BE49-F238E27FC236}">
                  <a16:creationId xmlns:a16="http://schemas.microsoft.com/office/drawing/2014/main" id="{69D66338-982C-9AAA-CDB1-9F68AE7645AE}"/>
                </a:ext>
              </a:extLst>
            </xdr:cNvPr>
            <xdr:cNvSpPr txBox="1"/>
          </xdr:nvSpPr>
          <xdr:spPr>
            <a:xfrm>
              <a:off x="35842575" y="108813601"/>
              <a:ext cx="1323975" cy="4381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baseline="0">
                  <a:solidFill>
                    <a:srgbClr val="0000FF"/>
                  </a:solidFill>
                </a:rPr>
                <a:t>Final company valuation</a:t>
              </a:r>
            </a:p>
          </xdr:txBody>
        </xdr:sp>
        <xdr:cxnSp macro="">
          <xdr:nvCxnSpPr>
            <xdr:cNvPr id="328" name="Straight Arrow Connector 327">
              <a:extLst>
                <a:ext uri="{FF2B5EF4-FFF2-40B4-BE49-F238E27FC236}">
                  <a16:creationId xmlns:a16="http://schemas.microsoft.com/office/drawing/2014/main" id="{8356EB72-D080-BAB2-6F37-85D5CA295AD6}"/>
                </a:ext>
              </a:extLst>
            </xdr:cNvPr>
            <xdr:cNvCxnSpPr/>
          </xdr:nvCxnSpPr>
          <xdr:spPr>
            <a:xfrm flipH="1">
              <a:off x="37233225" y="109394625"/>
              <a:ext cx="628650" cy="33337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329" name="TextBox 328">
              <a:extLst>
                <a:ext uri="{FF2B5EF4-FFF2-40B4-BE49-F238E27FC236}">
                  <a16:creationId xmlns:a16="http://schemas.microsoft.com/office/drawing/2014/main" id="{DD0F02B0-4F91-CD25-6F2D-FCA7193A57A3}"/>
                </a:ext>
              </a:extLst>
            </xdr:cNvPr>
            <xdr:cNvSpPr txBox="1"/>
          </xdr:nvSpPr>
          <xdr:spPr>
            <a:xfrm>
              <a:off x="37242750" y="108956475"/>
              <a:ext cx="1609725" cy="476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a:solidFill>
                    <a:srgbClr val="0000FF"/>
                  </a:solidFill>
                </a:rPr>
                <a:t>Ending ownership percentage</a:t>
              </a:r>
              <a:endParaRPr lang="en-US" sz="1100" b="1" baseline="0">
                <a:solidFill>
                  <a:srgbClr val="0000FF"/>
                </a:solidFill>
              </a:endParaRPr>
            </a:p>
          </xdr:txBody>
        </xdr:sp>
        <xdr:cxnSp macro="">
          <xdr:nvCxnSpPr>
            <xdr:cNvPr id="330" name="Straight Arrow Connector 329">
              <a:extLst>
                <a:ext uri="{FF2B5EF4-FFF2-40B4-BE49-F238E27FC236}">
                  <a16:creationId xmlns:a16="http://schemas.microsoft.com/office/drawing/2014/main" id="{553E238F-41C4-BD4C-9021-851D3AE6485A}"/>
                </a:ext>
              </a:extLst>
            </xdr:cNvPr>
            <xdr:cNvCxnSpPr/>
          </xdr:nvCxnSpPr>
          <xdr:spPr>
            <a:xfrm>
              <a:off x="38681025" y="108918375"/>
              <a:ext cx="152400" cy="86677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331" name="TextBox 330">
              <a:extLst>
                <a:ext uri="{FF2B5EF4-FFF2-40B4-BE49-F238E27FC236}">
                  <a16:creationId xmlns:a16="http://schemas.microsoft.com/office/drawing/2014/main" id="{450A1F9A-0179-D308-3612-42A029045E13}"/>
                </a:ext>
              </a:extLst>
            </xdr:cNvPr>
            <xdr:cNvSpPr txBox="1"/>
          </xdr:nvSpPr>
          <xdr:spPr>
            <a:xfrm>
              <a:off x="37795200" y="108480225"/>
              <a:ext cx="1790700" cy="4381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baseline="0">
                  <a:solidFill>
                    <a:srgbClr val="0000FF"/>
                  </a:solidFill>
                </a:rPr>
                <a:t>Final calculated valuation upon conversion</a:t>
              </a:r>
            </a:p>
          </xdr:txBody>
        </xdr:sp>
        <xdr:cxnSp macro="">
          <xdr:nvCxnSpPr>
            <xdr:cNvPr id="332" name="Straight Arrow Connector 331">
              <a:extLst>
                <a:ext uri="{FF2B5EF4-FFF2-40B4-BE49-F238E27FC236}">
                  <a16:creationId xmlns:a16="http://schemas.microsoft.com/office/drawing/2014/main" id="{D77E7A57-4AF5-FCB3-83E6-35BF0846802E}"/>
                </a:ext>
              </a:extLst>
            </xdr:cNvPr>
            <xdr:cNvCxnSpPr/>
          </xdr:nvCxnSpPr>
          <xdr:spPr>
            <a:xfrm>
              <a:off x="39452550" y="109366050"/>
              <a:ext cx="180975" cy="409575"/>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333" name="TextBox 332">
              <a:extLst>
                <a:ext uri="{FF2B5EF4-FFF2-40B4-BE49-F238E27FC236}">
                  <a16:creationId xmlns:a16="http://schemas.microsoft.com/office/drawing/2014/main" id="{E414F322-E375-BC5D-B97F-6504997446DF}"/>
                </a:ext>
              </a:extLst>
            </xdr:cNvPr>
            <xdr:cNvSpPr txBox="1"/>
          </xdr:nvSpPr>
          <xdr:spPr>
            <a:xfrm>
              <a:off x="38719125" y="109089825"/>
              <a:ext cx="1323975"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baseline="0">
                  <a:solidFill>
                    <a:srgbClr val="0000FF"/>
                  </a:solidFill>
                </a:rPr>
                <a:t>Amount of interest</a:t>
              </a:r>
            </a:p>
          </xdr:txBody>
        </xdr:sp>
        <xdr:cxnSp macro="">
          <xdr:nvCxnSpPr>
            <xdr:cNvPr id="334" name="Straight Arrow Connector 333">
              <a:extLst>
                <a:ext uri="{FF2B5EF4-FFF2-40B4-BE49-F238E27FC236}">
                  <a16:creationId xmlns:a16="http://schemas.microsoft.com/office/drawing/2014/main" id="{130309CD-0A35-753D-6F79-DDF3A1B495B0}"/>
                </a:ext>
              </a:extLst>
            </xdr:cNvPr>
            <xdr:cNvCxnSpPr>
              <a:stCxn id="335" idx="2"/>
            </xdr:cNvCxnSpPr>
          </xdr:nvCxnSpPr>
          <xdr:spPr>
            <a:xfrm>
              <a:off x="40552688" y="109232700"/>
              <a:ext cx="52387" cy="552450"/>
            </a:xfrm>
            <a:prstGeom prst="straightConnector1">
              <a:avLst/>
            </a:prstGeom>
            <a:ln w="3810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335" name="TextBox 334">
              <a:extLst>
                <a:ext uri="{FF2B5EF4-FFF2-40B4-BE49-F238E27FC236}">
                  <a16:creationId xmlns:a16="http://schemas.microsoft.com/office/drawing/2014/main" id="{6D49295D-8327-A722-8594-F4817C4F3A68}"/>
                </a:ext>
              </a:extLst>
            </xdr:cNvPr>
            <xdr:cNvSpPr txBox="1"/>
          </xdr:nvSpPr>
          <xdr:spPr>
            <a:xfrm>
              <a:off x="39900225" y="108746925"/>
              <a:ext cx="1304925" cy="4857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baseline="0">
                  <a:solidFill>
                    <a:srgbClr val="0000FF"/>
                  </a:solidFill>
                </a:rPr>
                <a:t>Total amount upon conversion</a:t>
              </a:r>
            </a:p>
          </xdr:txBody>
        </xdr:sp>
      </xdr:grpSp>
    </xdr:grpSp>
    <xdr:clientData/>
  </xdr:twoCellAnchor>
  <xdr:twoCellAnchor editAs="oneCell">
    <xdr:from>
      <xdr:col>0</xdr:col>
      <xdr:colOff>104775</xdr:colOff>
      <xdr:row>566</xdr:row>
      <xdr:rowOff>171450</xdr:rowOff>
    </xdr:from>
    <xdr:to>
      <xdr:col>21</xdr:col>
      <xdr:colOff>1798413</xdr:colOff>
      <xdr:row>581</xdr:row>
      <xdr:rowOff>142521</xdr:rowOff>
    </xdr:to>
    <xdr:pic>
      <xdr:nvPicPr>
        <xdr:cNvPr id="336" name="Picture 335">
          <a:extLst>
            <a:ext uri="{FF2B5EF4-FFF2-40B4-BE49-F238E27FC236}">
              <a16:creationId xmlns:a16="http://schemas.microsoft.com/office/drawing/2014/main" id="{48BC1992-522D-4F78-9F45-9EDD0E23ED0B}"/>
            </a:ext>
          </a:extLst>
        </xdr:cNvPr>
        <xdr:cNvPicPr>
          <a:picLocks noChangeAspect="1"/>
        </xdr:cNvPicPr>
      </xdr:nvPicPr>
      <xdr:blipFill>
        <a:blip xmlns:r="http://schemas.openxmlformats.org/officeDocument/2006/relationships" r:embed="rId56"/>
        <a:stretch>
          <a:fillRect/>
        </a:stretch>
      </xdr:blipFill>
      <xdr:spPr>
        <a:xfrm>
          <a:off x="104775" y="108023025"/>
          <a:ext cx="14495238" cy="2828571"/>
        </a:xfrm>
        <a:prstGeom prst="rect">
          <a:avLst/>
        </a:prstGeom>
      </xdr:spPr>
    </xdr:pic>
    <xdr:clientData/>
  </xdr:twoCellAnchor>
  <xdr:twoCellAnchor>
    <xdr:from>
      <xdr:col>5</xdr:col>
      <xdr:colOff>353785</xdr:colOff>
      <xdr:row>584</xdr:row>
      <xdr:rowOff>119742</xdr:rowOff>
    </xdr:from>
    <xdr:to>
      <xdr:col>19</xdr:col>
      <xdr:colOff>27214</xdr:colOff>
      <xdr:row>588</xdr:row>
      <xdr:rowOff>68036</xdr:rowOff>
    </xdr:to>
    <xdr:sp macro="" textlink="">
      <xdr:nvSpPr>
        <xdr:cNvPr id="337" name="TextBox 336">
          <a:extLst>
            <a:ext uri="{FF2B5EF4-FFF2-40B4-BE49-F238E27FC236}">
              <a16:creationId xmlns:a16="http://schemas.microsoft.com/office/drawing/2014/main" id="{CFC6AD5E-1010-4ED3-BEC6-6E9E9A860EA4}"/>
            </a:ext>
          </a:extLst>
        </xdr:cNvPr>
        <xdr:cNvSpPr txBox="1"/>
      </xdr:nvSpPr>
      <xdr:spPr>
        <a:xfrm>
          <a:off x="3401785" y="111400317"/>
          <a:ext cx="8207829" cy="7102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800" b="1">
              <a:solidFill>
                <a:schemeClr val="tx1">
                  <a:lumMod val="75000"/>
                  <a:lumOff val="25000"/>
                </a:schemeClr>
              </a:solidFill>
            </a:rPr>
            <a:t>(For</a:t>
          </a:r>
          <a:r>
            <a:rPr lang="en-US" sz="1800" b="1" baseline="0">
              <a:solidFill>
                <a:schemeClr val="tx1">
                  <a:lumMod val="75000"/>
                  <a:lumOff val="25000"/>
                </a:schemeClr>
              </a:solidFill>
            </a:rPr>
            <a:t> each of the following sections, you can see the formula results. You can overwrite the formula results with your own custom manual numbers.</a:t>
          </a:r>
          <a:endParaRPr lang="en-US" sz="1800" b="1">
            <a:solidFill>
              <a:schemeClr val="tx1">
                <a:lumMod val="75000"/>
                <a:lumOff val="25000"/>
              </a:schemeClr>
            </a:solidFill>
          </a:endParaRPr>
        </a:p>
      </xdr:txBody>
    </xdr:sp>
    <xdr:clientData/>
  </xdr:twoCellAnchor>
  <xdr:twoCellAnchor editAs="oneCell">
    <xdr:from>
      <xdr:col>36</xdr:col>
      <xdr:colOff>95250</xdr:colOff>
      <xdr:row>591</xdr:row>
      <xdr:rowOff>9525</xdr:rowOff>
    </xdr:from>
    <xdr:to>
      <xdr:col>44</xdr:col>
      <xdr:colOff>113688</xdr:colOff>
      <xdr:row>602</xdr:row>
      <xdr:rowOff>18787</xdr:rowOff>
    </xdr:to>
    <xdr:pic>
      <xdr:nvPicPr>
        <xdr:cNvPr id="338" name="Picture 337">
          <a:extLst>
            <a:ext uri="{FF2B5EF4-FFF2-40B4-BE49-F238E27FC236}">
              <a16:creationId xmlns:a16="http://schemas.microsoft.com/office/drawing/2014/main" id="{7A39D780-A62E-46E9-AD8B-16A9934B20C8}"/>
            </a:ext>
          </a:extLst>
        </xdr:cNvPr>
        <xdr:cNvPicPr>
          <a:picLocks noChangeAspect="1"/>
        </xdr:cNvPicPr>
      </xdr:nvPicPr>
      <xdr:blipFill>
        <a:blip xmlns:r="http://schemas.openxmlformats.org/officeDocument/2006/relationships" r:embed="rId57"/>
        <a:stretch>
          <a:fillRect/>
        </a:stretch>
      </xdr:blipFill>
      <xdr:spPr>
        <a:xfrm>
          <a:off x="25317450" y="112623600"/>
          <a:ext cx="4895238" cy="2104762"/>
        </a:xfrm>
        <a:prstGeom prst="rect">
          <a:avLst/>
        </a:prstGeom>
      </xdr:spPr>
    </xdr:pic>
    <xdr:clientData/>
  </xdr:twoCellAnchor>
  <xdr:twoCellAnchor editAs="oneCell">
    <xdr:from>
      <xdr:col>46</xdr:col>
      <xdr:colOff>361950</xdr:colOff>
      <xdr:row>591</xdr:row>
      <xdr:rowOff>19050</xdr:rowOff>
    </xdr:from>
    <xdr:to>
      <xdr:col>54</xdr:col>
      <xdr:colOff>37531</xdr:colOff>
      <xdr:row>602</xdr:row>
      <xdr:rowOff>18788</xdr:rowOff>
    </xdr:to>
    <xdr:pic>
      <xdr:nvPicPr>
        <xdr:cNvPr id="339" name="Picture 338">
          <a:extLst>
            <a:ext uri="{FF2B5EF4-FFF2-40B4-BE49-F238E27FC236}">
              <a16:creationId xmlns:a16="http://schemas.microsoft.com/office/drawing/2014/main" id="{2D31E622-2E28-409B-9FC3-7184FE42B829}"/>
            </a:ext>
          </a:extLst>
        </xdr:cNvPr>
        <xdr:cNvPicPr>
          <a:picLocks noChangeAspect="1"/>
        </xdr:cNvPicPr>
      </xdr:nvPicPr>
      <xdr:blipFill>
        <a:blip xmlns:r="http://schemas.openxmlformats.org/officeDocument/2006/relationships" r:embed="rId58"/>
        <a:stretch>
          <a:fillRect/>
        </a:stretch>
      </xdr:blipFill>
      <xdr:spPr>
        <a:xfrm>
          <a:off x="31680150" y="112633125"/>
          <a:ext cx="4552381" cy="2095238"/>
        </a:xfrm>
        <a:prstGeom prst="rect">
          <a:avLst/>
        </a:prstGeom>
      </xdr:spPr>
    </xdr:pic>
    <xdr:clientData/>
  </xdr:twoCellAnchor>
  <xdr:twoCellAnchor editAs="oneCell">
    <xdr:from>
      <xdr:col>44</xdr:col>
      <xdr:colOff>600075</xdr:colOff>
      <xdr:row>602</xdr:row>
      <xdr:rowOff>47625</xdr:rowOff>
    </xdr:from>
    <xdr:to>
      <xdr:col>54</xdr:col>
      <xdr:colOff>46932</xdr:colOff>
      <xdr:row>613</xdr:row>
      <xdr:rowOff>56887</xdr:rowOff>
    </xdr:to>
    <xdr:pic>
      <xdr:nvPicPr>
        <xdr:cNvPr id="340" name="Picture 339">
          <a:extLst>
            <a:ext uri="{FF2B5EF4-FFF2-40B4-BE49-F238E27FC236}">
              <a16:creationId xmlns:a16="http://schemas.microsoft.com/office/drawing/2014/main" id="{5C4AA136-71CD-4DF6-AD03-C1808449B9AC}"/>
            </a:ext>
          </a:extLst>
        </xdr:cNvPr>
        <xdr:cNvPicPr>
          <a:picLocks noChangeAspect="1"/>
        </xdr:cNvPicPr>
      </xdr:nvPicPr>
      <xdr:blipFill>
        <a:blip xmlns:r="http://schemas.openxmlformats.org/officeDocument/2006/relationships" r:embed="rId59"/>
        <a:stretch>
          <a:fillRect/>
        </a:stretch>
      </xdr:blipFill>
      <xdr:spPr>
        <a:xfrm>
          <a:off x="30699075" y="114757200"/>
          <a:ext cx="5542857" cy="2104762"/>
        </a:xfrm>
        <a:prstGeom prst="rect">
          <a:avLst/>
        </a:prstGeom>
      </xdr:spPr>
    </xdr:pic>
    <xdr:clientData/>
  </xdr:twoCellAnchor>
  <xdr:twoCellAnchor editAs="oneCell">
    <xdr:from>
      <xdr:col>36</xdr:col>
      <xdr:colOff>142875</xdr:colOff>
      <xdr:row>614</xdr:row>
      <xdr:rowOff>28575</xdr:rowOff>
    </xdr:from>
    <xdr:to>
      <xdr:col>44</xdr:col>
      <xdr:colOff>151789</xdr:colOff>
      <xdr:row>625</xdr:row>
      <xdr:rowOff>37837</xdr:rowOff>
    </xdr:to>
    <xdr:pic>
      <xdr:nvPicPr>
        <xdr:cNvPr id="341" name="Picture 340">
          <a:extLst>
            <a:ext uri="{FF2B5EF4-FFF2-40B4-BE49-F238E27FC236}">
              <a16:creationId xmlns:a16="http://schemas.microsoft.com/office/drawing/2014/main" id="{9CFD8130-908B-4965-BF41-5FD8FB3F2930}"/>
            </a:ext>
          </a:extLst>
        </xdr:cNvPr>
        <xdr:cNvPicPr>
          <a:picLocks noChangeAspect="1"/>
        </xdr:cNvPicPr>
      </xdr:nvPicPr>
      <xdr:blipFill>
        <a:blip xmlns:r="http://schemas.openxmlformats.org/officeDocument/2006/relationships" r:embed="rId60"/>
        <a:stretch>
          <a:fillRect/>
        </a:stretch>
      </xdr:blipFill>
      <xdr:spPr>
        <a:xfrm>
          <a:off x="25365075" y="117024150"/>
          <a:ext cx="4885714" cy="2104762"/>
        </a:xfrm>
        <a:prstGeom prst="rect">
          <a:avLst/>
        </a:prstGeom>
      </xdr:spPr>
    </xdr:pic>
    <xdr:clientData/>
  </xdr:twoCellAnchor>
  <xdr:twoCellAnchor editAs="oneCell">
    <xdr:from>
      <xdr:col>44</xdr:col>
      <xdr:colOff>561975</xdr:colOff>
      <xdr:row>614</xdr:row>
      <xdr:rowOff>38100</xdr:rowOff>
    </xdr:from>
    <xdr:to>
      <xdr:col>54</xdr:col>
      <xdr:colOff>37404</xdr:colOff>
      <xdr:row>625</xdr:row>
      <xdr:rowOff>28314</xdr:rowOff>
    </xdr:to>
    <xdr:pic>
      <xdr:nvPicPr>
        <xdr:cNvPr id="342" name="Picture 341">
          <a:extLst>
            <a:ext uri="{FF2B5EF4-FFF2-40B4-BE49-F238E27FC236}">
              <a16:creationId xmlns:a16="http://schemas.microsoft.com/office/drawing/2014/main" id="{CC000665-5705-41F4-8323-0EB3EB74FBB4}"/>
            </a:ext>
          </a:extLst>
        </xdr:cNvPr>
        <xdr:cNvPicPr>
          <a:picLocks noChangeAspect="1"/>
        </xdr:cNvPicPr>
      </xdr:nvPicPr>
      <xdr:blipFill>
        <a:blip xmlns:r="http://schemas.openxmlformats.org/officeDocument/2006/relationships" r:embed="rId61"/>
        <a:stretch>
          <a:fillRect/>
        </a:stretch>
      </xdr:blipFill>
      <xdr:spPr>
        <a:xfrm>
          <a:off x="30660975" y="117033675"/>
          <a:ext cx="5571429" cy="2085714"/>
        </a:xfrm>
        <a:prstGeom prst="rect">
          <a:avLst/>
        </a:prstGeom>
      </xdr:spPr>
    </xdr:pic>
    <xdr:clientData/>
  </xdr:twoCellAnchor>
  <xdr:twoCellAnchor editAs="oneCell">
    <xdr:from>
      <xdr:col>55</xdr:col>
      <xdr:colOff>19050</xdr:colOff>
      <xdr:row>614</xdr:row>
      <xdr:rowOff>57150</xdr:rowOff>
    </xdr:from>
    <xdr:to>
      <xdr:col>63</xdr:col>
      <xdr:colOff>304155</xdr:colOff>
      <xdr:row>625</xdr:row>
      <xdr:rowOff>28317</xdr:rowOff>
    </xdr:to>
    <xdr:pic>
      <xdr:nvPicPr>
        <xdr:cNvPr id="343" name="Picture 342">
          <a:extLst>
            <a:ext uri="{FF2B5EF4-FFF2-40B4-BE49-F238E27FC236}">
              <a16:creationId xmlns:a16="http://schemas.microsoft.com/office/drawing/2014/main" id="{EFC7FBA4-E321-488B-B2B1-895871767BAF}"/>
            </a:ext>
          </a:extLst>
        </xdr:cNvPr>
        <xdr:cNvPicPr>
          <a:picLocks noChangeAspect="1"/>
        </xdr:cNvPicPr>
      </xdr:nvPicPr>
      <xdr:blipFill>
        <a:blip xmlns:r="http://schemas.openxmlformats.org/officeDocument/2006/relationships" r:embed="rId62"/>
        <a:stretch>
          <a:fillRect/>
        </a:stretch>
      </xdr:blipFill>
      <xdr:spPr>
        <a:xfrm>
          <a:off x="36823650" y="117052725"/>
          <a:ext cx="5161905" cy="2066667"/>
        </a:xfrm>
        <a:prstGeom prst="rect">
          <a:avLst/>
        </a:prstGeom>
      </xdr:spPr>
    </xdr:pic>
    <xdr:clientData/>
  </xdr:twoCellAnchor>
  <xdr:twoCellAnchor editAs="oneCell">
    <xdr:from>
      <xdr:col>34</xdr:col>
      <xdr:colOff>571500</xdr:colOff>
      <xdr:row>625</xdr:row>
      <xdr:rowOff>123825</xdr:rowOff>
    </xdr:from>
    <xdr:to>
      <xdr:col>44</xdr:col>
      <xdr:colOff>104071</xdr:colOff>
      <xdr:row>636</xdr:row>
      <xdr:rowOff>142611</xdr:rowOff>
    </xdr:to>
    <xdr:pic>
      <xdr:nvPicPr>
        <xdr:cNvPr id="344" name="Picture 343">
          <a:extLst>
            <a:ext uri="{FF2B5EF4-FFF2-40B4-BE49-F238E27FC236}">
              <a16:creationId xmlns:a16="http://schemas.microsoft.com/office/drawing/2014/main" id="{736589C0-D880-4EFD-806C-2913B5261229}"/>
            </a:ext>
          </a:extLst>
        </xdr:cNvPr>
        <xdr:cNvPicPr>
          <a:picLocks noChangeAspect="1"/>
        </xdr:cNvPicPr>
      </xdr:nvPicPr>
      <xdr:blipFill>
        <a:blip xmlns:r="http://schemas.openxmlformats.org/officeDocument/2006/relationships" r:embed="rId63"/>
        <a:stretch>
          <a:fillRect/>
        </a:stretch>
      </xdr:blipFill>
      <xdr:spPr>
        <a:xfrm>
          <a:off x="24574500" y="119214900"/>
          <a:ext cx="5628571" cy="2114286"/>
        </a:xfrm>
        <a:prstGeom prst="rect">
          <a:avLst/>
        </a:prstGeom>
      </xdr:spPr>
    </xdr:pic>
    <xdr:clientData/>
  </xdr:twoCellAnchor>
  <xdr:twoCellAnchor editAs="oneCell">
    <xdr:from>
      <xdr:col>45</xdr:col>
      <xdr:colOff>447675</xdr:colOff>
      <xdr:row>625</xdr:row>
      <xdr:rowOff>142875</xdr:rowOff>
    </xdr:from>
    <xdr:to>
      <xdr:col>54</xdr:col>
      <xdr:colOff>46989</xdr:colOff>
      <xdr:row>636</xdr:row>
      <xdr:rowOff>152137</xdr:rowOff>
    </xdr:to>
    <xdr:pic>
      <xdr:nvPicPr>
        <xdr:cNvPr id="345" name="Picture 344">
          <a:extLst>
            <a:ext uri="{FF2B5EF4-FFF2-40B4-BE49-F238E27FC236}">
              <a16:creationId xmlns:a16="http://schemas.microsoft.com/office/drawing/2014/main" id="{6DC2DE8B-23DB-4B3F-BD56-C2A609DAFEA2}"/>
            </a:ext>
          </a:extLst>
        </xdr:cNvPr>
        <xdr:cNvPicPr>
          <a:picLocks noChangeAspect="1"/>
        </xdr:cNvPicPr>
      </xdr:nvPicPr>
      <xdr:blipFill>
        <a:blip xmlns:r="http://schemas.openxmlformats.org/officeDocument/2006/relationships" r:embed="rId64"/>
        <a:stretch>
          <a:fillRect/>
        </a:stretch>
      </xdr:blipFill>
      <xdr:spPr>
        <a:xfrm>
          <a:off x="31156275" y="119233950"/>
          <a:ext cx="5085714" cy="2104762"/>
        </a:xfrm>
        <a:prstGeom prst="rect">
          <a:avLst/>
        </a:prstGeom>
      </xdr:spPr>
    </xdr:pic>
    <xdr:clientData/>
  </xdr:twoCellAnchor>
  <xdr:twoCellAnchor editAs="oneCell">
    <xdr:from>
      <xdr:col>55</xdr:col>
      <xdr:colOff>352425</xdr:colOff>
      <xdr:row>625</xdr:row>
      <xdr:rowOff>114300</xdr:rowOff>
    </xdr:from>
    <xdr:to>
      <xdr:col>63</xdr:col>
      <xdr:colOff>294673</xdr:colOff>
      <xdr:row>636</xdr:row>
      <xdr:rowOff>152133</xdr:rowOff>
    </xdr:to>
    <xdr:pic>
      <xdr:nvPicPr>
        <xdr:cNvPr id="346" name="Picture 345">
          <a:extLst>
            <a:ext uri="{FF2B5EF4-FFF2-40B4-BE49-F238E27FC236}">
              <a16:creationId xmlns:a16="http://schemas.microsoft.com/office/drawing/2014/main" id="{7D7F7042-3C82-4E4A-B68C-524776BA6883}"/>
            </a:ext>
          </a:extLst>
        </xdr:cNvPr>
        <xdr:cNvPicPr>
          <a:picLocks noChangeAspect="1"/>
        </xdr:cNvPicPr>
      </xdr:nvPicPr>
      <xdr:blipFill>
        <a:blip xmlns:r="http://schemas.openxmlformats.org/officeDocument/2006/relationships" r:embed="rId65"/>
        <a:stretch>
          <a:fillRect/>
        </a:stretch>
      </xdr:blipFill>
      <xdr:spPr>
        <a:xfrm>
          <a:off x="37157025" y="119205375"/>
          <a:ext cx="4819048" cy="2133333"/>
        </a:xfrm>
        <a:prstGeom prst="rect">
          <a:avLst/>
        </a:prstGeom>
      </xdr:spPr>
    </xdr:pic>
    <xdr:clientData/>
  </xdr:twoCellAnchor>
  <xdr:twoCellAnchor editAs="oneCell">
    <xdr:from>
      <xdr:col>36</xdr:col>
      <xdr:colOff>85725</xdr:colOff>
      <xdr:row>638</xdr:row>
      <xdr:rowOff>38100</xdr:rowOff>
    </xdr:from>
    <xdr:to>
      <xdr:col>44</xdr:col>
      <xdr:colOff>113687</xdr:colOff>
      <xdr:row>649</xdr:row>
      <xdr:rowOff>56886</xdr:rowOff>
    </xdr:to>
    <xdr:pic>
      <xdr:nvPicPr>
        <xdr:cNvPr id="347" name="Picture 346">
          <a:extLst>
            <a:ext uri="{FF2B5EF4-FFF2-40B4-BE49-F238E27FC236}">
              <a16:creationId xmlns:a16="http://schemas.microsoft.com/office/drawing/2014/main" id="{BC0DD119-09E8-4FC4-BC58-D6180304AAF3}"/>
            </a:ext>
          </a:extLst>
        </xdr:cNvPr>
        <xdr:cNvPicPr>
          <a:picLocks noChangeAspect="1"/>
        </xdr:cNvPicPr>
      </xdr:nvPicPr>
      <xdr:blipFill>
        <a:blip xmlns:r="http://schemas.openxmlformats.org/officeDocument/2006/relationships" r:embed="rId66"/>
        <a:stretch>
          <a:fillRect/>
        </a:stretch>
      </xdr:blipFill>
      <xdr:spPr>
        <a:xfrm>
          <a:off x="25307925" y="121605675"/>
          <a:ext cx="4904762" cy="2114286"/>
        </a:xfrm>
        <a:prstGeom prst="rect">
          <a:avLst/>
        </a:prstGeom>
      </xdr:spPr>
    </xdr:pic>
    <xdr:clientData/>
  </xdr:twoCellAnchor>
  <xdr:twoCellAnchor editAs="oneCell">
    <xdr:from>
      <xdr:col>44</xdr:col>
      <xdr:colOff>361950</xdr:colOff>
      <xdr:row>638</xdr:row>
      <xdr:rowOff>38100</xdr:rowOff>
    </xdr:from>
    <xdr:to>
      <xdr:col>54</xdr:col>
      <xdr:colOff>27855</xdr:colOff>
      <xdr:row>649</xdr:row>
      <xdr:rowOff>47362</xdr:rowOff>
    </xdr:to>
    <xdr:pic>
      <xdr:nvPicPr>
        <xdr:cNvPr id="348" name="Picture 347">
          <a:extLst>
            <a:ext uri="{FF2B5EF4-FFF2-40B4-BE49-F238E27FC236}">
              <a16:creationId xmlns:a16="http://schemas.microsoft.com/office/drawing/2014/main" id="{CE85D5B2-B0DE-42C1-A773-7EC23387B8A5}"/>
            </a:ext>
          </a:extLst>
        </xdr:cNvPr>
        <xdr:cNvPicPr>
          <a:picLocks noChangeAspect="1"/>
        </xdr:cNvPicPr>
      </xdr:nvPicPr>
      <xdr:blipFill>
        <a:blip xmlns:r="http://schemas.openxmlformats.org/officeDocument/2006/relationships" r:embed="rId67"/>
        <a:stretch>
          <a:fillRect/>
        </a:stretch>
      </xdr:blipFill>
      <xdr:spPr>
        <a:xfrm>
          <a:off x="30460950" y="121605675"/>
          <a:ext cx="5761905" cy="2104762"/>
        </a:xfrm>
        <a:prstGeom prst="rect">
          <a:avLst/>
        </a:prstGeom>
      </xdr:spPr>
    </xdr:pic>
    <xdr:clientData/>
  </xdr:twoCellAnchor>
  <xdr:twoCellAnchor editAs="oneCell">
    <xdr:from>
      <xdr:col>54</xdr:col>
      <xdr:colOff>209550</xdr:colOff>
      <xdr:row>638</xdr:row>
      <xdr:rowOff>47625</xdr:rowOff>
    </xdr:from>
    <xdr:to>
      <xdr:col>63</xdr:col>
      <xdr:colOff>294579</xdr:colOff>
      <xdr:row>649</xdr:row>
      <xdr:rowOff>56887</xdr:rowOff>
    </xdr:to>
    <xdr:pic>
      <xdr:nvPicPr>
        <xdr:cNvPr id="349" name="Picture 348">
          <a:extLst>
            <a:ext uri="{FF2B5EF4-FFF2-40B4-BE49-F238E27FC236}">
              <a16:creationId xmlns:a16="http://schemas.microsoft.com/office/drawing/2014/main" id="{2C4FAF91-E6B1-4B35-A3FA-0B334EA65855}"/>
            </a:ext>
          </a:extLst>
        </xdr:cNvPr>
        <xdr:cNvPicPr>
          <a:picLocks noChangeAspect="1"/>
        </xdr:cNvPicPr>
      </xdr:nvPicPr>
      <xdr:blipFill>
        <a:blip xmlns:r="http://schemas.openxmlformats.org/officeDocument/2006/relationships" r:embed="rId68"/>
        <a:stretch>
          <a:fillRect/>
        </a:stretch>
      </xdr:blipFill>
      <xdr:spPr>
        <a:xfrm>
          <a:off x="36404550" y="121615200"/>
          <a:ext cx="5571429" cy="2104762"/>
        </a:xfrm>
        <a:prstGeom prst="rect">
          <a:avLst/>
        </a:prstGeom>
      </xdr:spPr>
    </xdr:pic>
    <xdr:clientData/>
  </xdr:twoCellAnchor>
  <xdr:twoCellAnchor editAs="oneCell">
    <xdr:from>
      <xdr:col>55</xdr:col>
      <xdr:colOff>276225</xdr:colOff>
      <xdr:row>602</xdr:row>
      <xdr:rowOff>47625</xdr:rowOff>
    </xdr:from>
    <xdr:to>
      <xdr:col>63</xdr:col>
      <xdr:colOff>304187</xdr:colOff>
      <xdr:row>613</xdr:row>
      <xdr:rowOff>66411</xdr:rowOff>
    </xdr:to>
    <xdr:pic>
      <xdr:nvPicPr>
        <xdr:cNvPr id="350" name="Picture 349">
          <a:extLst>
            <a:ext uri="{FF2B5EF4-FFF2-40B4-BE49-F238E27FC236}">
              <a16:creationId xmlns:a16="http://schemas.microsoft.com/office/drawing/2014/main" id="{EB62B543-D14E-49A6-8912-1DB8845E09E2}"/>
            </a:ext>
          </a:extLst>
        </xdr:cNvPr>
        <xdr:cNvPicPr>
          <a:picLocks noChangeAspect="1"/>
        </xdr:cNvPicPr>
      </xdr:nvPicPr>
      <xdr:blipFill>
        <a:blip xmlns:r="http://schemas.openxmlformats.org/officeDocument/2006/relationships" r:embed="rId69"/>
        <a:stretch>
          <a:fillRect/>
        </a:stretch>
      </xdr:blipFill>
      <xdr:spPr>
        <a:xfrm>
          <a:off x="37080825" y="114757200"/>
          <a:ext cx="4904762" cy="2114286"/>
        </a:xfrm>
        <a:prstGeom prst="rect">
          <a:avLst/>
        </a:prstGeom>
      </xdr:spPr>
    </xdr:pic>
    <xdr:clientData/>
  </xdr:twoCellAnchor>
  <xdr:twoCellAnchor editAs="oneCell">
    <xdr:from>
      <xdr:col>55</xdr:col>
      <xdr:colOff>76200</xdr:colOff>
      <xdr:row>591</xdr:row>
      <xdr:rowOff>28575</xdr:rowOff>
    </xdr:from>
    <xdr:to>
      <xdr:col>63</xdr:col>
      <xdr:colOff>304162</xdr:colOff>
      <xdr:row>602</xdr:row>
      <xdr:rowOff>18789</xdr:rowOff>
    </xdr:to>
    <xdr:pic>
      <xdr:nvPicPr>
        <xdr:cNvPr id="351" name="Picture 350">
          <a:extLst>
            <a:ext uri="{FF2B5EF4-FFF2-40B4-BE49-F238E27FC236}">
              <a16:creationId xmlns:a16="http://schemas.microsoft.com/office/drawing/2014/main" id="{B4200818-5470-45CD-84E5-2CD21BD902A8}"/>
            </a:ext>
          </a:extLst>
        </xdr:cNvPr>
        <xdr:cNvPicPr>
          <a:picLocks noChangeAspect="1"/>
        </xdr:cNvPicPr>
      </xdr:nvPicPr>
      <xdr:blipFill>
        <a:blip xmlns:r="http://schemas.openxmlformats.org/officeDocument/2006/relationships" r:embed="rId70"/>
        <a:stretch>
          <a:fillRect/>
        </a:stretch>
      </xdr:blipFill>
      <xdr:spPr>
        <a:xfrm>
          <a:off x="36880800" y="112642650"/>
          <a:ext cx="5104762" cy="2085714"/>
        </a:xfrm>
        <a:prstGeom prst="rect">
          <a:avLst/>
        </a:prstGeom>
      </xdr:spPr>
    </xdr:pic>
    <xdr:clientData/>
  </xdr:twoCellAnchor>
  <xdr:twoCellAnchor editAs="oneCell">
    <xdr:from>
      <xdr:col>1</xdr:col>
      <xdr:colOff>503465</xdr:colOff>
      <xdr:row>589</xdr:row>
      <xdr:rowOff>27214</xdr:rowOff>
    </xdr:from>
    <xdr:to>
      <xdr:col>21</xdr:col>
      <xdr:colOff>1592036</xdr:colOff>
      <xdr:row>633</xdr:row>
      <xdr:rowOff>37156</xdr:rowOff>
    </xdr:to>
    <xdr:pic>
      <xdr:nvPicPr>
        <xdr:cNvPr id="352" name="Picture 351">
          <a:extLst>
            <a:ext uri="{FF2B5EF4-FFF2-40B4-BE49-F238E27FC236}">
              <a16:creationId xmlns:a16="http://schemas.microsoft.com/office/drawing/2014/main" id="{82E84287-57FF-443B-83FD-E01644338269}"/>
            </a:ext>
          </a:extLst>
        </xdr:cNvPr>
        <xdr:cNvPicPr>
          <a:picLocks noChangeAspect="1"/>
        </xdr:cNvPicPr>
      </xdr:nvPicPr>
      <xdr:blipFill>
        <a:blip xmlns:r="http://schemas.openxmlformats.org/officeDocument/2006/relationships" r:embed="rId71"/>
        <a:stretch>
          <a:fillRect/>
        </a:stretch>
      </xdr:blipFill>
      <xdr:spPr>
        <a:xfrm>
          <a:off x="1113065" y="112260289"/>
          <a:ext cx="13280571" cy="83919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31750</xdr:colOff>
          <xdr:row>18</xdr:row>
          <xdr:rowOff>50800</xdr:rowOff>
        </xdr:from>
        <xdr:to>
          <xdr:col>5</xdr:col>
          <xdr:colOff>107950</xdr:colOff>
          <xdr:row>21</xdr:row>
          <xdr:rowOff>127000</xdr:rowOff>
        </xdr:to>
        <xdr:sp macro="" textlink="">
          <xdr:nvSpPr>
            <xdr:cNvPr id="1088" name="Group Box 64" hidden="1">
              <a:extLst>
                <a:ext uri="{63B3BB69-23CF-44E3-9099-C40C66FF867C}">
                  <a14:compatExt spid="_x0000_s1088"/>
                </a:ext>
                <a:ext uri="{FF2B5EF4-FFF2-40B4-BE49-F238E27FC236}">
                  <a16:creationId xmlns:a16="http://schemas.microsoft.com/office/drawing/2014/main" id="{00000000-0008-0000-0200-000040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19</xdr:row>
          <xdr:rowOff>19050</xdr:rowOff>
        </xdr:from>
        <xdr:to>
          <xdr:col>4</xdr:col>
          <xdr:colOff>400050</xdr:colOff>
          <xdr:row>21</xdr:row>
          <xdr:rowOff>133350</xdr:rowOff>
        </xdr:to>
        <xdr:sp macro="" textlink="">
          <xdr:nvSpPr>
            <xdr:cNvPr id="1086" name="Group Box 62" hidden="1">
              <a:extLst>
                <a:ext uri="{63B3BB69-23CF-44E3-9099-C40C66FF867C}">
                  <a14:compatExt spid="_x0000_s1086"/>
                </a:ext>
                <a:ext uri="{FF2B5EF4-FFF2-40B4-BE49-F238E27FC236}">
                  <a16:creationId xmlns:a16="http://schemas.microsoft.com/office/drawing/2014/main" id="{00000000-0008-0000-0200-00003E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0</xdr:col>
      <xdr:colOff>0</xdr:colOff>
      <xdr:row>1529</xdr:row>
      <xdr:rowOff>21167</xdr:rowOff>
    </xdr:from>
    <xdr:to>
      <xdr:col>1</xdr:col>
      <xdr:colOff>104775</xdr:colOff>
      <xdr:row>1580</xdr:row>
      <xdr:rowOff>59267</xdr:rowOff>
    </xdr:to>
    <xdr:sp macro="" textlink="">
      <xdr:nvSpPr>
        <xdr:cNvPr id="5" name="Rectangle 4">
          <a:extLst>
            <a:ext uri="{FF2B5EF4-FFF2-40B4-BE49-F238E27FC236}">
              <a16:creationId xmlns:a16="http://schemas.microsoft.com/office/drawing/2014/main" id="{00000000-0008-0000-0100-000005000000}"/>
            </a:ext>
          </a:extLst>
        </xdr:cNvPr>
        <xdr:cNvSpPr/>
      </xdr:nvSpPr>
      <xdr:spPr>
        <a:xfrm>
          <a:off x="0" y="226093867"/>
          <a:ext cx="180975" cy="682413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1303</xdr:row>
      <xdr:rowOff>28575</xdr:rowOff>
    </xdr:from>
    <xdr:to>
      <xdr:col>1</xdr:col>
      <xdr:colOff>0</xdr:colOff>
      <xdr:row>1404</xdr:row>
      <xdr:rowOff>95250</xdr:rowOff>
    </xdr:to>
    <xdr:sp macro="" textlink="">
      <xdr:nvSpPr>
        <xdr:cNvPr id="3" name="Rectangle 2">
          <a:extLst>
            <a:ext uri="{FF2B5EF4-FFF2-40B4-BE49-F238E27FC236}">
              <a16:creationId xmlns:a16="http://schemas.microsoft.com/office/drawing/2014/main" id="{00000000-0008-0000-0100-000003000000}"/>
            </a:ext>
          </a:extLst>
        </xdr:cNvPr>
        <xdr:cNvSpPr/>
      </xdr:nvSpPr>
      <xdr:spPr>
        <a:xfrm flipH="1">
          <a:off x="0" y="178984275"/>
          <a:ext cx="76200" cy="13096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46568</xdr:colOff>
      <xdr:row>0</xdr:row>
      <xdr:rowOff>36919</xdr:rowOff>
    </xdr:from>
    <xdr:to>
      <xdr:col>1</xdr:col>
      <xdr:colOff>961955</xdr:colOff>
      <xdr:row>2</xdr:row>
      <xdr:rowOff>57151</xdr:rowOff>
    </xdr:to>
    <xdr:pic>
      <xdr:nvPicPr>
        <xdr:cNvPr id="10" name="Picture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1"/>
        <a:stretch>
          <a:fillRect/>
        </a:stretch>
      </xdr:blipFill>
      <xdr:spPr>
        <a:xfrm>
          <a:off x="46568" y="36919"/>
          <a:ext cx="986825" cy="229782"/>
        </a:xfrm>
        <a:prstGeom prst="rect">
          <a:avLst/>
        </a:prstGeom>
      </xdr:spPr>
    </xdr:pic>
    <xdr:clientData/>
  </xdr:twoCellAnchor>
  <xdr:twoCellAnchor editAs="oneCell">
    <xdr:from>
      <xdr:col>10</xdr:col>
      <xdr:colOff>57150</xdr:colOff>
      <xdr:row>1</xdr:row>
      <xdr:rowOff>104774</xdr:rowOff>
    </xdr:from>
    <xdr:to>
      <xdr:col>15</xdr:col>
      <xdr:colOff>600075</xdr:colOff>
      <xdr:row>14</xdr:row>
      <xdr:rowOff>9525</xdr:rowOff>
    </xdr:to>
    <xdr:graphicFrame macro="">
      <xdr:nvGraphicFramePr>
        <xdr:cNvPr id="4" name="g">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733425</xdr:colOff>
      <xdr:row>1</xdr:row>
      <xdr:rowOff>38100</xdr:rowOff>
    </xdr:from>
    <xdr:to>
      <xdr:col>21</xdr:col>
      <xdr:colOff>465963</xdr:colOff>
      <xdr:row>14</xdr:row>
      <xdr:rowOff>30480</xdr:rowOff>
    </xdr:to>
    <xdr:graphicFrame macro="">
      <xdr:nvGraphicFramePr>
        <xdr:cNvPr id="7" name="Chart 6">
          <a:extLst>
            <a:ext uri="{FF2B5EF4-FFF2-40B4-BE49-F238E27FC236}">
              <a16:creationId xmlns:a16="http://schemas.microsoft.com/office/drawing/2014/main" id="{00000000-0008-0000-01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10</xdr:col>
      <xdr:colOff>133350</xdr:colOff>
      <xdr:row>0</xdr:row>
      <xdr:rowOff>0</xdr:rowOff>
    </xdr:from>
    <xdr:ext cx="4467225" cy="238125"/>
    <xdr:sp macro="" textlink="CT4">
      <xdr:nvSpPr>
        <xdr:cNvPr id="9" name="TextBox 8">
          <a:extLst>
            <a:ext uri="{FF2B5EF4-FFF2-40B4-BE49-F238E27FC236}">
              <a16:creationId xmlns:a16="http://schemas.microsoft.com/office/drawing/2014/main" id="{00000000-0008-0000-0100-000009000000}"/>
            </a:ext>
          </a:extLst>
        </xdr:cNvPr>
        <xdr:cNvSpPr txBox="1"/>
      </xdr:nvSpPr>
      <xdr:spPr>
        <a:xfrm>
          <a:off x="8115300" y="0"/>
          <a:ext cx="4467225" cy="2381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909C3C86-26D8-4075-905B-C9ADF7AE876E}" type="TxLink">
            <a:rPr lang="en-US" sz="1100" b="1" i="0" u="none" strike="noStrike">
              <a:solidFill>
                <a:schemeClr val="tx1">
                  <a:lumMod val="75000"/>
                  <a:lumOff val="25000"/>
                </a:schemeClr>
              </a:solidFill>
              <a:latin typeface="Calibri"/>
              <a:ea typeface="Calibri"/>
              <a:cs typeface="Calibri"/>
            </a:rPr>
            <a:pPr algn="ctr"/>
            <a:t>Cash</a:t>
          </a:fld>
          <a:endParaRPr lang="en-US" sz="1400" b="1">
            <a:solidFill>
              <a:schemeClr val="tx1">
                <a:lumMod val="75000"/>
                <a:lumOff val="25000"/>
              </a:schemeClr>
            </a:solidFill>
          </a:endParaRPr>
        </a:p>
      </xdr:txBody>
    </xdr:sp>
    <xdr:clientData/>
  </xdr:oneCellAnchor>
  <xdr:oneCellAnchor>
    <xdr:from>
      <xdr:col>17</xdr:col>
      <xdr:colOff>66675</xdr:colOff>
      <xdr:row>12</xdr:row>
      <xdr:rowOff>66675</xdr:rowOff>
    </xdr:from>
    <xdr:ext cx="409575" cy="342786"/>
    <xdr:sp macro="" textlink="$BM$12">
      <xdr:nvSpPr>
        <xdr:cNvPr id="12" name="TextBox 11">
          <a:extLst>
            <a:ext uri="{FF2B5EF4-FFF2-40B4-BE49-F238E27FC236}">
              <a16:creationId xmlns:a16="http://schemas.microsoft.com/office/drawing/2014/main" id="{00000000-0008-0000-0100-00000C000000}"/>
            </a:ext>
          </a:extLst>
        </xdr:cNvPr>
        <xdr:cNvSpPr txBox="1"/>
      </xdr:nvSpPr>
      <xdr:spPr>
        <a:xfrm>
          <a:off x="13668375" y="1419225"/>
          <a:ext cx="409575"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fld id="{C78DE358-90C0-4B86-B7AF-117C88D0737C}" type="TxLink">
            <a:rPr lang="en-US" sz="800" b="1" i="0" u="none" strike="noStrike">
              <a:solidFill>
                <a:schemeClr val="tx1">
                  <a:lumMod val="75000"/>
                  <a:lumOff val="25000"/>
                </a:schemeClr>
              </a:solidFill>
              <a:latin typeface="Calibri"/>
              <a:cs typeface="Calibri"/>
            </a:rPr>
            <a:pPr/>
            <a:t>Year 1</a:t>
          </a:fld>
          <a:endParaRPr lang="en-US" sz="1050" b="1">
            <a:solidFill>
              <a:schemeClr val="tx1">
                <a:lumMod val="75000"/>
                <a:lumOff val="25000"/>
              </a:schemeClr>
            </a:solidFill>
          </a:endParaRPr>
        </a:p>
      </xdr:txBody>
    </xdr:sp>
    <xdr:clientData/>
  </xdr:oneCellAnchor>
  <xdr:oneCellAnchor>
    <xdr:from>
      <xdr:col>18</xdr:col>
      <xdr:colOff>28574</xdr:colOff>
      <xdr:row>12</xdr:row>
      <xdr:rowOff>66675</xdr:rowOff>
    </xdr:from>
    <xdr:ext cx="581025" cy="217560"/>
    <xdr:sp macro="" textlink="$BN$12">
      <xdr:nvSpPr>
        <xdr:cNvPr id="14" name="TextBox 13">
          <a:extLst>
            <a:ext uri="{FF2B5EF4-FFF2-40B4-BE49-F238E27FC236}">
              <a16:creationId xmlns:a16="http://schemas.microsoft.com/office/drawing/2014/main" id="{00000000-0008-0000-0100-00000E000000}"/>
            </a:ext>
          </a:extLst>
        </xdr:cNvPr>
        <xdr:cNvSpPr txBox="1"/>
      </xdr:nvSpPr>
      <xdr:spPr>
        <a:xfrm>
          <a:off x="14487524" y="1371600"/>
          <a:ext cx="581025"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fld id="{90FF5D4C-B0FF-477E-B366-EF93EDC55338}" type="TxLink">
            <a:rPr lang="en-US" sz="800" b="1" i="0" u="none" strike="noStrike">
              <a:solidFill>
                <a:schemeClr val="tx1">
                  <a:lumMod val="75000"/>
                  <a:lumOff val="25000"/>
                </a:schemeClr>
              </a:solidFill>
              <a:latin typeface="Calibri"/>
              <a:cs typeface="Calibri"/>
            </a:rPr>
            <a:pPr/>
            <a:t>Year 2</a:t>
          </a:fld>
          <a:endParaRPr lang="en-US" sz="1050" b="1">
            <a:solidFill>
              <a:schemeClr val="tx1">
                <a:lumMod val="75000"/>
                <a:lumOff val="25000"/>
              </a:schemeClr>
            </a:solidFill>
          </a:endParaRPr>
        </a:p>
      </xdr:txBody>
    </xdr:sp>
    <xdr:clientData/>
  </xdr:oneCellAnchor>
  <xdr:oneCellAnchor>
    <xdr:from>
      <xdr:col>18</xdr:col>
      <xdr:colOff>790575</xdr:colOff>
      <xdr:row>12</xdr:row>
      <xdr:rowOff>66675</xdr:rowOff>
    </xdr:from>
    <xdr:ext cx="533400" cy="217560"/>
    <xdr:sp macro="" textlink="$BO$12">
      <xdr:nvSpPr>
        <xdr:cNvPr id="15" name="TextBox 14">
          <a:extLst>
            <a:ext uri="{FF2B5EF4-FFF2-40B4-BE49-F238E27FC236}">
              <a16:creationId xmlns:a16="http://schemas.microsoft.com/office/drawing/2014/main" id="{00000000-0008-0000-0100-00000F000000}"/>
            </a:ext>
          </a:extLst>
        </xdr:cNvPr>
        <xdr:cNvSpPr txBox="1"/>
      </xdr:nvSpPr>
      <xdr:spPr>
        <a:xfrm>
          <a:off x="15249525" y="1371600"/>
          <a:ext cx="53340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fld id="{6985F4DA-C4C4-434F-810C-069043C031D3}" type="TxLink">
            <a:rPr lang="en-US" sz="800" b="1" i="0" u="none" strike="noStrike">
              <a:solidFill>
                <a:schemeClr val="tx1">
                  <a:lumMod val="75000"/>
                  <a:lumOff val="25000"/>
                </a:schemeClr>
              </a:solidFill>
              <a:latin typeface="Calibri"/>
              <a:cs typeface="Calibri"/>
            </a:rPr>
            <a:pPr/>
            <a:t>Year 3</a:t>
          </a:fld>
          <a:endParaRPr lang="en-US" sz="1050" b="1">
            <a:solidFill>
              <a:schemeClr val="tx1">
                <a:lumMod val="75000"/>
                <a:lumOff val="25000"/>
              </a:schemeClr>
            </a:solidFill>
          </a:endParaRPr>
        </a:p>
      </xdr:txBody>
    </xdr:sp>
    <xdr:clientData/>
  </xdr:oneCellAnchor>
  <xdr:oneCellAnchor>
    <xdr:from>
      <xdr:col>19</xdr:col>
      <xdr:colOff>752475</xdr:colOff>
      <xdr:row>12</xdr:row>
      <xdr:rowOff>66675</xdr:rowOff>
    </xdr:from>
    <xdr:ext cx="495300" cy="217560"/>
    <xdr:sp macro="" textlink="$BP$12">
      <xdr:nvSpPr>
        <xdr:cNvPr id="18" name="TextBox 17">
          <a:extLst>
            <a:ext uri="{FF2B5EF4-FFF2-40B4-BE49-F238E27FC236}">
              <a16:creationId xmlns:a16="http://schemas.microsoft.com/office/drawing/2014/main" id="{00000000-0008-0000-0100-000012000000}"/>
            </a:ext>
          </a:extLst>
        </xdr:cNvPr>
        <xdr:cNvSpPr txBox="1"/>
      </xdr:nvSpPr>
      <xdr:spPr>
        <a:xfrm>
          <a:off x="16021050" y="1371600"/>
          <a:ext cx="49530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fld id="{706585F8-C234-4730-A3CF-2BBFF207865D}" type="TxLink">
            <a:rPr lang="en-US" sz="800" b="1" i="0" u="none" strike="noStrike">
              <a:solidFill>
                <a:schemeClr val="tx1">
                  <a:lumMod val="75000"/>
                  <a:lumOff val="25000"/>
                </a:schemeClr>
              </a:solidFill>
              <a:latin typeface="Calibri"/>
              <a:cs typeface="Calibri"/>
            </a:rPr>
            <a:pPr/>
            <a:t>Year 4</a:t>
          </a:fld>
          <a:endParaRPr lang="en-US" sz="1050" b="1">
            <a:solidFill>
              <a:schemeClr val="tx1">
                <a:lumMod val="75000"/>
                <a:lumOff val="25000"/>
              </a:schemeClr>
            </a:solidFill>
          </a:endParaRPr>
        </a:p>
      </xdr:txBody>
    </xdr:sp>
    <xdr:clientData/>
  </xdr:oneCellAnchor>
  <xdr:oneCellAnchor>
    <xdr:from>
      <xdr:col>20</xdr:col>
      <xdr:colOff>695325</xdr:colOff>
      <xdr:row>12</xdr:row>
      <xdr:rowOff>66675</xdr:rowOff>
    </xdr:from>
    <xdr:ext cx="495300" cy="217560"/>
    <xdr:sp macro="" textlink="$BQ$12">
      <xdr:nvSpPr>
        <xdr:cNvPr id="19" name="TextBox 18">
          <a:extLst>
            <a:ext uri="{FF2B5EF4-FFF2-40B4-BE49-F238E27FC236}">
              <a16:creationId xmlns:a16="http://schemas.microsoft.com/office/drawing/2014/main" id="{00000000-0008-0000-0100-000013000000}"/>
            </a:ext>
          </a:extLst>
        </xdr:cNvPr>
        <xdr:cNvSpPr txBox="1"/>
      </xdr:nvSpPr>
      <xdr:spPr>
        <a:xfrm>
          <a:off x="16773525" y="1371600"/>
          <a:ext cx="49530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fld id="{2D0422AE-1C94-4F30-A0E4-04B3EC195064}" type="TxLink">
            <a:rPr lang="en-US" sz="800" b="1" i="0" u="none" strike="noStrike">
              <a:solidFill>
                <a:schemeClr val="tx1">
                  <a:lumMod val="75000"/>
                  <a:lumOff val="25000"/>
                </a:schemeClr>
              </a:solidFill>
              <a:latin typeface="Calibri"/>
              <a:cs typeface="Calibri"/>
            </a:rPr>
            <a:pPr/>
            <a:t>Year 5</a:t>
          </a:fld>
          <a:endParaRPr lang="en-US" sz="1050" b="1">
            <a:solidFill>
              <a:schemeClr val="tx1">
                <a:lumMod val="75000"/>
                <a:lumOff val="25000"/>
              </a:schemeClr>
            </a:solidFill>
          </a:endParaRPr>
        </a:p>
      </xdr:txBody>
    </xdr:sp>
    <xdr:clientData/>
  </xdr:oneCellAnchor>
  <xdr:oneCellAnchor>
    <xdr:from>
      <xdr:col>16</xdr:col>
      <xdr:colOff>609600</xdr:colOff>
      <xdr:row>0</xdr:row>
      <xdr:rowOff>19050</xdr:rowOff>
    </xdr:from>
    <xdr:ext cx="3686175" cy="219075"/>
    <xdr:sp macro="" textlink="CT5">
      <xdr:nvSpPr>
        <xdr:cNvPr id="6" name="TextBox 5">
          <a:extLst>
            <a:ext uri="{FF2B5EF4-FFF2-40B4-BE49-F238E27FC236}">
              <a16:creationId xmlns:a16="http://schemas.microsoft.com/office/drawing/2014/main" id="{00000000-0008-0000-0100-000006000000}"/>
            </a:ext>
          </a:extLst>
        </xdr:cNvPr>
        <xdr:cNvSpPr txBox="1"/>
      </xdr:nvSpPr>
      <xdr:spPr>
        <a:xfrm>
          <a:off x="13449300" y="19050"/>
          <a:ext cx="3686175" cy="2190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BE61934C-51F3-4A2F-A65B-3007D75B0476}" type="TxLink">
            <a:rPr lang="en-US" sz="1100" b="1" i="0" u="none" strike="noStrike">
              <a:solidFill>
                <a:schemeClr val="tx1">
                  <a:lumMod val="75000"/>
                  <a:lumOff val="25000"/>
                </a:schemeClr>
              </a:solidFill>
              <a:latin typeface="Calibri"/>
              <a:ea typeface="Calibri"/>
              <a:cs typeface="Calibri"/>
            </a:rPr>
            <a:pPr algn="ctr"/>
            <a:t>P&amp;L</a:t>
          </a:fld>
          <a:endParaRPr lang="en-US" sz="1800" b="1">
            <a:solidFill>
              <a:schemeClr val="tx1">
                <a:lumMod val="75000"/>
                <a:lumOff val="25000"/>
              </a:schemeClr>
            </a:solidFill>
          </a:endParaRPr>
        </a:p>
      </xdr:txBody>
    </xdr:sp>
    <xdr:clientData/>
  </xdr:oneCellAnchor>
  <xdr:oneCellAnchor>
    <xdr:from>
      <xdr:col>71</xdr:col>
      <xdr:colOff>28575</xdr:colOff>
      <xdr:row>11</xdr:row>
      <xdr:rowOff>47625</xdr:rowOff>
    </xdr:from>
    <xdr:ext cx="3019425" cy="233205"/>
    <xdr:sp macro="" textlink="$AB$19">
      <xdr:nvSpPr>
        <xdr:cNvPr id="21" name="TextBox 20">
          <a:extLst>
            <a:ext uri="{FF2B5EF4-FFF2-40B4-BE49-F238E27FC236}">
              <a16:creationId xmlns:a16="http://schemas.microsoft.com/office/drawing/2014/main" id="{00000000-0008-0000-0100-000015000000}"/>
            </a:ext>
          </a:extLst>
        </xdr:cNvPr>
        <xdr:cNvSpPr txBox="1"/>
      </xdr:nvSpPr>
      <xdr:spPr>
        <a:xfrm>
          <a:off x="28251150" y="1219200"/>
          <a:ext cx="3019425"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fld id="{1122468F-5A04-499B-A33F-6EEDBD421ECD}" type="TxLink">
            <a:rPr lang="en-US" sz="900" b="0" i="0" u="none" strike="noStrike">
              <a:solidFill>
                <a:srgbClr val="000000"/>
              </a:solidFill>
              <a:latin typeface="Calibri"/>
              <a:cs typeface="Calibri"/>
            </a:rPr>
            <a:pPr/>
            <a:t> </a:t>
          </a:fld>
          <a:endParaRPr lang="en-US" sz="800" b="1">
            <a:solidFill>
              <a:srgbClr val="C00000"/>
            </a:solidFill>
          </a:endParaRPr>
        </a:p>
      </xdr:txBody>
    </xdr:sp>
    <xdr:clientData/>
  </xdr:oneCellAnchor>
  <xdr:twoCellAnchor>
    <xdr:from>
      <xdr:col>2</xdr:col>
      <xdr:colOff>990600</xdr:colOff>
      <xdr:row>0</xdr:row>
      <xdr:rowOff>0</xdr:rowOff>
    </xdr:from>
    <xdr:to>
      <xdr:col>8</xdr:col>
      <xdr:colOff>76200</xdr:colOff>
      <xdr:row>14</xdr:row>
      <xdr:rowOff>0</xdr:rowOff>
    </xdr:to>
    <xdr:sp macro="" textlink="Infrastructure!BI44">
      <xdr:nvSpPr>
        <xdr:cNvPr id="13" name="TextBox 12">
          <a:extLst>
            <a:ext uri="{FF2B5EF4-FFF2-40B4-BE49-F238E27FC236}">
              <a16:creationId xmlns:a16="http://schemas.microsoft.com/office/drawing/2014/main" id="{00000000-0008-0000-0100-00000D000000}"/>
            </a:ext>
          </a:extLst>
        </xdr:cNvPr>
        <xdr:cNvSpPr txBox="1"/>
      </xdr:nvSpPr>
      <xdr:spPr>
        <a:xfrm>
          <a:off x="2305050" y="0"/>
          <a:ext cx="4133850" cy="1638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A2AE1638-B0F7-4FFB-B357-41B2AD0F117E}" type="TxLink">
            <a:rPr lang="en-US" sz="1600" b="1" i="1" u="none" strike="noStrike">
              <a:solidFill>
                <a:schemeClr val="tx1">
                  <a:lumMod val="50000"/>
                  <a:lumOff val="50000"/>
                </a:schemeClr>
              </a:solidFill>
              <a:latin typeface="Calibri"/>
              <a:ea typeface="Calibri"/>
              <a:cs typeface="Calibri"/>
            </a:rPr>
            <a:pPr algn="ctr"/>
            <a:t>Once you start entering your info, your numbers will appear here.</a:t>
          </a:fld>
          <a:endParaRPr lang="en-US" sz="2000" b="1" i="1">
            <a:solidFill>
              <a:schemeClr val="tx1">
                <a:lumMod val="50000"/>
                <a:lumOff val="50000"/>
              </a:schemeClr>
            </a:solidFill>
          </a:endParaRPr>
        </a:p>
      </xdr:txBody>
    </xdr:sp>
    <xdr:clientData/>
  </xdr:twoCellAnchor>
  <xdr:twoCellAnchor>
    <xdr:from>
      <xdr:col>0</xdr:col>
      <xdr:colOff>0</xdr:colOff>
      <xdr:row>16</xdr:row>
      <xdr:rowOff>9525</xdr:rowOff>
    </xdr:from>
    <xdr:to>
      <xdr:col>1</xdr:col>
      <xdr:colOff>19050</xdr:colOff>
      <xdr:row>33</xdr:row>
      <xdr:rowOff>104775</xdr:rowOff>
    </xdr:to>
    <xdr:sp macro="" textlink="">
      <xdr:nvSpPr>
        <xdr:cNvPr id="20" name="Rectangle 19">
          <a:extLst>
            <a:ext uri="{FF2B5EF4-FFF2-40B4-BE49-F238E27FC236}">
              <a16:creationId xmlns:a16="http://schemas.microsoft.com/office/drawing/2014/main" id="{00000000-0008-0000-0100-000014000000}"/>
            </a:ext>
          </a:extLst>
        </xdr:cNvPr>
        <xdr:cNvSpPr/>
      </xdr:nvSpPr>
      <xdr:spPr>
        <a:xfrm>
          <a:off x="0" y="1685925"/>
          <a:ext cx="95250" cy="259080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30</xdr:col>
      <xdr:colOff>123825</xdr:colOff>
      <xdr:row>20</xdr:row>
      <xdr:rowOff>9525</xdr:rowOff>
    </xdr:from>
    <xdr:to>
      <xdr:col>32</xdr:col>
      <xdr:colOff>57150</xdr:colOff>
      <xdr:row>21</xdr:row>
      <xdr:rowOff>76200</xdr:rowOff>
    </xdr:to>
    <xdr:sp macro="" textlink="">
      <xdr:nvSpPr>
        <xdr:cNvPr id="24" name="Rectangle 23">
          <a:hlinkClick xmlns:r="http://schemas.openxmlformats.org/officeDocument/2006/relationships" r:id="rId4"/>
          <a:extLst>
            <a:ext uri="{FF2B5EF4-FFF2-40B4-BE49-F238E27FC236}">
              <a16:creationId xmlns:a16="http://schemas.microsoft.com/office/drawing/2014/main" id="{00000000-0008-0000-0100-000018000000}"/>
            </a:ext>
          </a:extLst>
        </xdr:cNvPr>
        <xdr:cNvSpPr/>
      </xdr:nvSpPr>
      <xdr:spPr>
        <a:xfrm>
          <a:off x="24298275" y="2324100"/>
          <a:ext cx="1552575" cy="2190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17</xdr:col>
      <xdr:colOff>295275</xdr:colOff>
      <xdr:row>12</xdr:row>
      <xdr:rowOff>66675</xdr:rowOff>
    </xdr:from>
    <xdr:ext cx="523875" cy="217560"/>
    <xdr:sp macro="" textlink="$BM$13">
      <xdr:nvSpPr>
        <xdr:cNvPr id="2" name="TextBox 1">
          <a:extLst>
            <a:ext uri="{FF2B5EF4-FFF2-40B4-BE49-F238E27FC236}">
              <a16:creationId xmlns:a16="http://schemas.microsoft.com/office/drawing/2014/main" id="{00000000-0008-0000-0100-000002000000}"/>
            </a:ext>
          </a:extLst>
        </xdr:cNvPr>
        <xdr:cNvSpPr txBox="1"/>
      </xdr:nvSpPr>
      <xdr:spPr>
        <a:xfrm>
          <a:off x="13944600" y="1371600"/>
          <a:ext cx="523875"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fld id="{7C96F307-5A99-4688-BCF5-CCC78CF55634}" type="TxLink">
            <a:rPr lang="en-US" sz="800" b="1" i="0" u="none" strike="noStrike">
              <a:solidFill>
                <a:schemeClr val="tx1">
                  <a:lumMod val="75000"/>
                  <a:lumOff val="25000"/>
                </a:schemeClr>
              </a:solidFill>
              <a:latin typeface="Calibri"/>
              <a:ea typeface="Calibri"/>
              <a:cs typeface="Calibri"/>
            </a:rPr>
            <a:pPr/>
            <a:t> </a:t>
          </a:fld>
          <a:endParaRPr lang="en-US" sz="1000" b="1">
            <a:solidFill>
              <a:schemeClr val="tx1">
                <a:lumMod val="75000"/>
                <a:lumOff val="25000"/>
              </a:schemeClr>
            </a:solidFill>
          </a:endParaRPr>
        </a:p>
      </xdr:txBody>
    </xdr:sp>
    <xdr:clientData/>
  </xdr:oneCellAnchor>
  <xdr:oneCellAnchor>
    <xdr:from>
      <xdr:col>18</xdr:col>
      <xdr:colOff>781049</xdr:colOff>
      <xdr:row>12</xdr:row>
      <xdr:rowOff>66675</xdr:rowOff>
    </xdr:from>
    <xdr:ext cx="581025" cy="217560"/>
    <xdr:sp macro="" textlink="$BN$13">
      <xdr:nvSpPr>
        <xdr:cNvPr id="16" name="TextBox 15">
          <a:extLst>
            <a:ext uri="{FF2B5EF4-FFF2-40B4-BE49-F238E27FC236}">
              <a16:creationId xmlns:a16="http://schemas.microsoft.com/office/drawing/2014/main" id="{00000000-0008-0000-0100-000010000000}"/>
            </a:ext>
          </a:extLst>
        </xdr:cNvPr>
        <xdr:cNvSpPr txBox="1"/>
      </xdr:nvSpPr>
      <xdr:spPr>
        <a:xfrm>
          <a:off x="15239999" y="1371600"/>
          <a:ext cx="581025"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fld id="{9E35E50E-41FC-4FAE-ADA5-1BB227BC71A4}" type="TxLink">
            <a:rPr lang="en-US" sz="800" b="1" i="0" u="none" strike="noStrike">
              <a:solidFill>
                <a:schemeClr val="tx1">
                  <a:lumMod val="75000"/>
                  <a:lumOff val="25000"/>
                </a:schemeClr>
              </a:solidFill>
              <a:latin typeface="Calibri"/>
              <a:ea typeface="Calibri"/>
              <a:cs typeface="Calibri"/>
            </a:rPr>
            <a:pPr/>
            <a:t> </a:t>
          </a:fld>
          <a:endParaRPr lang="en-US" sz="1000" b="1">
            <a:solidFill>
              <a:schemeClr val="tx1">
                <a:lumMod val="75000"/>
                <a:lumOff val="25000"/>
              </a:schemeClr>
            </a:solidFill>
          </a:endParaRPr>
        </a:p>
      </xdr:txBody>
    </xdr:sp>
    <xdr:clientData/>
  </xdr:oneCellAnchor>
  <xdr:oneCellAnchor>
    <xdr:from>
      <xdr:col>20</xdr:col>
      <xdr:colOff>438150</xdr:colOff>
      <xdr:row>12</xdr:row>
      <xdr:rowOff>66675</xdr:rowOff>
    </xdr:from>
    <xdr:ext cx="533400" cy="217560"/>
    <xdr:sp macro="" textlink="$BO$13">
      <xdr:nvSpPr>
        <xdr:cNvPr id="22" name="TextBox 21">
          <a:extLst>
            <a:ext uri="{FF2B5EF4-FFF2-40B4-BE49-F238E27FC236}">
              <a16:creationId xmlns:a16="http://schemas.microsoft.com/office/drawing/2014/main" id="{00000000-0008-0000-0100-000016000000}"/>
            </a:ext>
          </a:extLst>
        </xdr:cNvPr>
        <xdr:cNvSpPr txBox="1"/>
      </xdr:nvSpPr>
      <xdr:spPr>
        <a:xfrm>
          <a:off x="16516350" y="1371600"/>
          <a:ext cx="53340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fld id="{A0EC1523-E897-4A79-842D-9A0CAF5BDF2B}" type="TxLink">
            <a:rPr lang="en-US" sz="800" b="1" i="0" u="none" strike="noStrike">
              <a:solidFill>
                <a:schemeClr val="tx1">
                  <a:lumMod val="75000"/>
                  <a:lumOff val="25000"/>
                </a:schemeClr>
              </a:solidFill>
              <a:latin typeface="Calibri"/>
              <a:ea typeface="Calibri"/>
              <a:cs typeface="Calibri"/>
            </a:rPr>
            <a:pPr/>
            <a:t> </a:t>
          </a:fld>
          <a:endParaRPr lang="en-US" sz="1000" b="1">
            <a:solidFill>
              <a:schemeClr val="tx1">
                <a:lumMod val="75000"/>
                <a:lumOff val="25000"/>
              </a:schemeClr>
            </a:solidFill>
          </a:endParaRPr>
        </a:p>
      </xdr:txBody>
    </xdr:sp>
    <xdr:clientData/>
  </xdr:oneCellAnchor>
  <xdr:oneCellAnchor>
    <xdr:from>
      <xdr:col>18</xdr:col>
      <xdr:colOff>47625</xdr:colOff>
      <xdr:row>13</xdr:row>
      <xdr:rowOff>28575</xdr:rowOff>
    </xdr:from>
    <xdr:ext cx="1890518" cy="217560"/>
    <xdr:sp macro="" textlink="">
      <xdr:nvSpPr>
        <xdr:cNvPr id="26" name="TextBox 25">
          <a:extLst>
            <a:ext uri="{FF2B5EF4-FFF2-40B4-BE49-F238E27FC236}">
              <a16:creationId xmlns:a16="http://schemas.microsoft.com/office/drawing/2014/main" id="{00000000-0008-0000-0100-00001A000000}"/>
            </a:ext>
          </a:extLst>
        </xdr:cNvPr>
        <xdr:cNvSpPr txBox="1"/>
      </xdr:nvSpPr>
      <xdr:spPr>
        <a:xfrm>
          <a:off x="14506575" y="1495425"/>
          <a:ext cx="1890518"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800" b="1">
              <a:solidFill>
                <a:srgbClr val="0066FF"/>
              </a:solidFill>
            </a:rPr>
            <a:t>Revenue</a:t>
          </a:r>
          <a:r>
            <a:rPr lang="en-US" sz="800" b="1" baseline="0"/>
            <a:t> / </a:t>
          </a:r>
          <a:r>
            <a:rPr lang="en-US" sz="800" b="1" baseline="0">
              <a:solidFill>
                <a:schemeClr val="accent2">
                  <a:lumMod val="50000"/>
                </a:schemeClr>
              </a:solidFill>
            </a:rPr>
            <a:t>Expenses</a:t>
          </a:r>
          <a:r>
            <a:rPr lang="en-US" sz="800" b="1" baseline="0"/>
            <a:t> / </a:t>
          </a:r>
          <a:r>
            <a:rPr lang="en-US" sz="800" b="1" baseline="0">
              <a:solidFill>
                <a:srgbClr val="339933"/>
              </a:solidFill>
            </a:rPr>
            <a:t>Net Income </a:t>
          </a:r>
          <a:r>
            <a:rPr lang="en-US" sz="800" b="1" baseline="0">
              <a:solidFill>
                <a:srgbClr val="990033"/>
              </a:solidFill>
            </a:rPr>
            <a:t>(Loss)</a:t>
          </a:r>
          <a:endParaRPr lang="en-US" sz="800" b="1">
            <a:solidFill>
              <a:srgbClr val="990033"/>
            </a:solidFill>
          </a:endParaRPr>
        </a:p>
      </xdr:txBody>
    </xdr:sp>
    <xdr:clientData/>
  </xdr:oneCellAnchor>
  <xdr:twoCellAnchor>
    <xdr:from>
      <xdr:col>3</xdr:col>
      <xdr:colOff>66675</xdr:colOff>
      <xdr:row>21</xdr:row>
      <xdr:rowOff>142875</xdr:rowOff>
    </xdr:from>
    <xdr:to>
      <xdr:col>3</xdr:col>
      <xdr:colOff>695325</xdr:colOff>
      <xdr:row>23</xdr:row>
      <xdr:rowOff>55635</xdr:rowOff>
    </xdr:to>
    <xdr:grpSp>
      <xdr:nvGrpSpPr>
        <xdr:cNvPr id="8" name="Group 7">
          <a:extLst>
            <a:ext uri="{FF2B5EF4-FFF2-40B4-BE49-F238E27FC236}">
              <a16:creationId xmlns:a16="http://schemas.microsoft.com/office/drawing/2014/main" id="{00000000-0008-0000-0100-000008000000}"/>
            </a:ext>
          </a:extLst>
        </xdr:cNvPr>
        <xdr:cNvGrpSpPr/>
      </xdr:nvGrpSpPr>
      <xdr:grpSpPr>
        <a:xfrm>
          <a:off x="2378075" y="2708275"/>
          <a:ext cx="628650" cy="217560"/>
          <a:chOff x="2381250" y="2600325"/>
          <a:chExt cx="628650" cy="217560"/>
        </a:xfrm>
      </xdr:grpSpPr>
      <xdr:sp macro="" textlink="$CU$6">
        <xdr:nvSpPr>
          <xdr:cNvPr id="39" name="TextBox 38">
            <a:extLst>
              <a:ext uri="{FF2B5EF4-FFF2-40B4-BE49-F238E27FC236}">
                <a16:creationId xmlns:a16="http://schemas.microsoft.com/office/drawing/2014/main" id="{00000000-0008-0000-0100-000027000000}"/>
              </a:ext>
            </a:extLst>
          </xdr:cNvPr>
          <xdr:cNvSpPr txBox="1"/>
        </xdr:nvSpPr>
        <xdr:spPr>
          <a:xfrm>
            <a:off x="2381250" y="2600325"/>
            <a:ext cx="62865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fld id="{3196E725-7268-48C3-B8A8-8DFA3B6AB51B}" type="TxLink">
              <a:rPr lang="en-US" sz="800" b="1" i="0" u="none" strike="noStrike">
                <a:solidFill>
                  <a:schemeClr val="tx1">
                    <a:lumMod val="65000"/>
                    <a:lumOff val="35000"/>
                  </a:schemeClr>
                </a:solidFill>
                <a:latin typeface="Calibri"/>
                <a:ea typeface="Calibri"/>
                <a:cs typeface="Calibri"/>
              </a:rPr>
              <a:pPr/>
              <a:t> </a:t>
            </a:fld>
            <a:endParaRPr lang="en-US" sz="700" b="1">
              <a:solidFill>
                <a:schemeClr val="tx1">
                  <a:lumMod val="65000"/>
                  <a:lumOff val="35000"/>
                </a:schemeClr>
              </a:solidFill>
              <a:latin typeface="Calibri" panose="020F0502020204030204" pitchFamily="34" charset="0"/>
              <a:ea typeface="Calibri" panose="020F0502020204030204" pitchFamily="34" charset="0"/>
              <a:cs typeface="Calibri" panose="020F0502020204030204" pitchFamily="34" charset="0"/>
            </a:endParaRPr>
          </a:p>
        </xdr:txBody>
      </xdr:sp>
      <xdr:sp macro="" textlink="$CV$6">
        <xdr:nvSpPr>
          <xdr:cNvPr id="40" name="TextBox 39">
            <a:extLst>
              <a:ext uri="{FF2B5EF4-FFF2-40B4-BE49-F238E27FC236}">
                <a16:creationId xmlns:a16="http://schemas.microsoft.com/office/drawing/2014/main" id="{00000000-0008-0000-0100-000028000000}"/>
              </a:ext>
            </a:extLst>
          </xdr:cNvPr>
          <xdr:cNvSpPr txBox="1"/>
        </xdr:nvSpPr>
        <xdr:spPr>
          <a:xfrm>
            <a:off x="2381250" y="2600325"/>
            <a:ext cx="51435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fld id="{3D258648-2C9B-4813-A7BE-FE4248EC7962}" type="TxLink">
              <a:rPr lang="en-US" sz="800" b="1" i="0" u="none" strike="noStrike">
                <a:solidFill>
                  <a:srgbClr val="0000FF"/>
                </a:solidFill>
                <a:latin typeface="Calibri"/>
                <a:ea typeface="Calibri"/>
                <a:cs typeface="Calibri"/>
              </a:rPr>
              <a:pPr/>
              <a:t>C Corp</a:t>
            </a:fld>
            <a:endParaRPr lang="en-US" sz="700" b="1">
              <a:solidFill>
                <a:srgbClr val="0000FF"/>
              </a:solidFill>
              <a:latin typeface="Calibri" panose="020F0502020204030204" pitchFamily="34" charset="0"/>
              <a:ea typeface="Calibri" panose="020F0502020204030204" pitchFamily="34" charset="0"/>
              <a:cs typeface="Calibri" panose="020F0502020204030204" pitchFamily="34" charset="0"/>
            </a:endParaRPr>
          </a:p>
        </xdr:txBody>
      </xdr:sp>
    </xdr:grpSp>
    <xdr:clientData/>
  </xdr:twoCellAnchor>
  <xdr:twoCellAnchor>
    <xdr:from>
      <xdr:col>3</xdr:col>
      <xdr:colOff>66675</xdr:colOff>
      <xdr:row>22</xdr:row>
      <xdr:rowOff>142880</xdr:rowOff>
    </xdr:from>
    <xdr:to>
      <xdr:col>4</xdr:col>
      <xdr:colOff>47625</xdr:colOff>
      <xdr:row>24</xdr:row>
      <xdr:rowOff>59084</xdr:rowOff>
    </xdr:to>
    <xdr:grpSp>
      <xdr:nvGrpSpPr>
        <xdr:cNvPr id="48" name="Group 47">
          <a:extLst>
            <a:ext uri="{FF2B5EF4-FFF2-40B4-BE49-F238E27FC236}">
              <a16:creationId xmlns:a16="http://schemas.microsoft.com/office/drawing/2014/main" id="{00000000-0008-0000-0100-000030000000}"/>
            </a:ext>
          </a:extLst>
        </xdr:cNvPr>
        <xdr:cNvGrpSpPr/>
      </xdr:nvGrpSpPr>
      <xdr:grpSpPr>
        <a:xfrm>
          <a:off x="2378075" y="2860680"/>
          <a:ext cx="787400" cy="221004"/>
          <a:chOff x="9324975" y="3076575"/>
          <a:chExt cx="790575" cy="221059"/>
        </a:xfrm>
      </xdr:grpSpPr>
      <xdr:sp macro="" textlink="$CU$7">
        <xdr:nvSpPr>
          <xdr:cNvPr id="41" name="TextBox 40">
            <a:extLst>
              <a:ext uri="{FF2B5EF4-FFF2-40B4-BE49-F238E27FC236}">
                <a16:creationId xmlns:a16="http://schemas.microsoft.com/office/drawing/2014/main" id="{00000000-0008-0000-0100-000029000000}"/>
              </a:ext>
            </a:extLst>
          </xdr:cNvPr>
          <xdr:cNvSpPr txBox="1"/>
        </xdr:nvSpPr>
        <xdr:spPr>
          <a:xfrm>
            <a:off x="9324975" y="3076575"/>
            <a:ext cx="590550" cy="2210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fld id="{DF53F683-B7AA-429C-B0B4-17D831F0C4AC}" type="TxLink">
              <a:rPr lang="en-US" sz="800" b="1" i="0" u="none" strike="noStrike">
                <a:solidFill>
                  <a:schemeClr val="tx1">
                    <a:lumMod val="65000"/>
                    <a:lumOff val="35000"/>
                  </a:schemeClr>
                </a:solidFill>
                <a:latin typeface="Calibri"/>
                <a:ea typeface="Calibri"/>
                <a:cs typeface="Calibri"/>
              </a:rPr>
              <a:pPr/>
              <a:t>LLC</a:t>
            </a:fld>
            <a:endParaRPr lang="en-US" sz="700" b="1">
              <a:solidFill>
                <a:schemeClr val="tx1">
                  <a:lumMod val="65000"/>
                  <a:lumOff val="35000"/>
                </a:schemeClr>
              </a:solidFill>
              <a:latin typeface="Calibri" panose="020F0502020204030204" pitchFamily="34" charset="0"/>
              <a:ea typeface="Calibri" panose="020F0502020204030204" pitchFamily="34" charset="0"/>
              <a:cs typeface="Calibri" panose="020F0502020204030204" pitchFamily="34" charset="0"/>
            </a:endParaRPr>
          </a:p>
        </xdr:txBody>
      </xdr:sp>
      <xdr:sp macro="" textlink="$CV$7">
        <xdr:nvSpPr>
          <xdr:cNvPr id="42" name="TextBox 41">
            <a:extLst>
              <a:ext uri="{FF2B5EF4-FFF2-40B4-BE49-F238E27FC236}">
                <a16:creationId xmlns:a16="http://schemas.microsoft.com/office/drawing/2014/main" id="{00000000-0008-0000-0100-00002A000000}"/>
              </a:ext>
            </a:extLst>
          </xdr:cNvPr>
          <xdr:cNvSpPr txBox="1"/>
        </xdr:nvSpPr>
        <xdr:spPr>
          <a:xfrm>
            <a:off x="9324975" y="3076575"/>
            <a:ext cx="790575" cy="2210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fld id="{F6F2A0C3-35F3-4172-9E20-78B6A20BE14A}" type="TxLink">
              <a:rPr lang="en-US" sz="800" b="1" i="0" u="none" strike="noStrike">
                <a:solidFill>
                  <a:srgbClr val="0000FF"/>
                </a:solidFill>
                <a:latin typeface="Calibri"/>
                <a:ea typeface="Calibri"/>
                <a:cs typeface="Calibri"/>
              </a:rPr>
              <a:pPr/>
              <a:t> </a:t>
            </a:fld>
            <a:endParaRPr lang="en-US" sz="700" b="1">
              <a:solidFill>
                <a:srgbClr val="0000FF"/>
              </a:solidFill>
              <a:latin typeface="Calibri" panose="020F0502020204030204" pitchFamily="34" charset="0"/>
              <a:ea typeface="Calibri" panose="020F0502020204030204" pitchFamily="34" charset="0"/>
              <a:cs typeface="Calibri" panose="020F0502020204030204" pitchFamily="34" charset="0"/>
            </a:endParaRPr>
          </a:p>
        </xdr:txBody>
      </xdr:sp>
    </xdr:grpSp>
    <xdr:clientData/>
  </xdr:twoCellAnchor>
  <xdr:twoCellAnchor>
    <xdr:from>
      <xdr:col>3</xdr:col>
      <xdr:colOff>66675</xdr:colOff>
      <xdr:row>23</xdr:row>
      <xdr:rowOff>142881</xdr:rowOff>
    </xdr:from>
    <xdr:to>
      <xdr:col>3</xdr:col>
      <xdr:colOff>609600</xdr:colOff>
      <xdr:row>25</xdr:row>
      <xdr:rowOff>59085</xdr:rowOff>
    </xdr:to>
    <xdr:grpSp>
      <xdr:nvGrpSpPr>
        <xdr:cNvPr id="49" name="Group 48">
          <a:extLst>
            <a:ext uri="{FF2B5EF4-FFF2-40B4-BE49-F238E27FC236}">
              <a16:creationId xmlns:a16="http://schemas.microsoft.com/office/drawing/2014/main" id="{00000000-0008-0000-0100-000031000000}"/>
            </a:ext>
          </a:extLst>
        </xdr:cNvPr>
        <xdr:cNvGrpSpPr/>
      </xdr:nvGrpSpPr>
      <xdr:grpSpPr>
        <a:xfrm>
          <a:off x="2378075" y="3013081"/>
          <a:ext cx="542925" cy="221004"/>
          <a:chOff x="9324975" y="3228975"/>
          <a:chExt cx="542925" cy="221059"/>
        </a:xfrm>
      </xdr:grpSpPr>
      <xdr:sp macro="" textlink="$CU$8">
        <xdr:nvSpPr>
          <xdr:cNvPr id="43" name="TextBox 42">
            <a:extLst>
              <a:ext uri="{FF2B5EF4-FFF2-40B4-BE49-F238E27FC236}">
                <a16:creationId xmlns:a16="http://schemas.microsoft.com/office/drawing/2014/main" id="{00000000-0008-0000-0100-00002B000000}"/>
              </a:ext>
            </a:extLst>
          </xdr:cNvPr>
          <xdr:cNvSpPr txBox="1"/>
        </xdr:nvSpPr>
        <xdr:spPr>
          <a:xfrm>
            <a:off x="9324975" y="3228975"/>
            <a:ext cx="542925" cy="2210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fld id="{6DC1230C-500B-40C8-A7CC-1CC5F098A8A0}" type="TxLink">
              <a:rPr lang="en-US" sz="800" b="1" i="0" u="none" strike="noStrike">
                <a:solidFill>
                  <a:schemeClr val="tx1">
                    <a:lumMod val="65000"/>
                    <a:lumOff val="35000"/>
                  </a:schemeClr>
                </a:solidFill>
                <a:latin typeface="Calibri"/>
                <a:ea typeface="Calibri"/>
                <a:cs typeface="Calibri"/>
              </a:rPr>
              <a:pPr/>
              <a:t>S Corp</a:t>
            </a:fld>
            <a:endParaRPr lang="en-US" sz="700" b="1">
              <a:solidFill>
                <a:schemeClr val="tx1">
                  <a:lumMod val="65000"/>
                  <a:lumOff val="35000"/>
                </a:schemeClr>
              </a:solidFill>
              <a:latin typeface="Calibri" panose="020F0502020204030204" pitchFamily="34" charset="0"/>
              <a:ea typeface="Calibri" panose="020F0502020204030204" pitchFamily="34" charset="0"/>
              <a:cs typeface="Calibri" panose="020F0502020204030204" pitchFamily="34" charset="0"/>
            </a:endParaRPr>
          </a:p>
        </xdr:txBody>
      </xdr:sp>
      <xdr:sp macro="" textlink="$CV$8">
        <xdr:nvSpPr>
          <xdr:cNvPr id="44" name="TextBox 43">
            <a:extLst>
              <a:ext uri="{FF2B5EF4-FFF2-40B4-BE49-F238E27FC236}">
                <a16:creationId xmlns:a16="http://schemas.microsoft.com/office/drawing/2014/main" id="{00000000-0008-0000-0100-00002C000000}"/>
              </a:ext>
            </a:extLst>
          </xdr:cNvPr>
          <xdr:cNvSpPr txBox="1"/>
        </xdr:nvSpPr>
        <xdr:spPr>
          <a:xfrm>
            <a:off x="9324975" y="3228975"/>
            <a:ext cx="533400" cy="2210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fld id="{AFC163E6-835D-438C-B015-C10E92D8DB27}" type="TxLink">
              <a:rPr lang="en-US" sz="800" b="1" i="0" u="none" strike="noStrike">
                <a:solidFill>
                  <a:srgbClr val="0000FF"/>
                </a:solidFill>
                <a:latin typeface="Calibri"/>
                <a:ea typeface="Calibri"/>
                <a:cs typeface="Calibri"/>
              </a:rPr>
              <a:pPr/>
              <a:t> </a:t>
            </a:fld>
            <a:endParaRPr lang="en-US" sz="700" b="1">
              <a:solidFill>
                <a:srgbClr val="0000FF"/>
              </a:solidFill>
              <a:latin typeface="Calibri" panose="020F0502020204030204" pitchFamily="34" charset="0"/>
              <a:ea typeface="Calibri" panose="020F0502020204030204" pitchFamily="34" charset="0"/>
              <a:cs typeface="Calibri" panose="020F0502020204030204" pitchFamily="34" charset="0"/>
            </a:endParaRPr>
          </a:p>
        </xdr:txBody>
      </xdr:sp>
    </xdr:grpSp>
    <xdr:clientData/>
  </xdr:twoCellAnchor>
  <xdr:twoCellAnchor>
    <xdr:from>
      <xdr:col>3</xdr:col>
      <xdr:colOff>66675</xdr:colOff>
      <xdr:row>25</xdr:row>
      <xdr:rowOff>0</xdr:rowOff>
    </xdr:from>
    <xdr:to>
      <xdr:col>4</xdr:col>
      <xdr:colOff>114300</xdr:colOff>
      <xdr:row>26</xdr:row>
      <xdr:rowOff>65160</xdr:rowOff>
    </xdr:to>
    <xdr:grpSp>
      <xdr:nvGrpSpPr>
        <xdr:cNvPr id="54" name="Group 53">
          <a:extLst>
            <a:ext uri="{FF2B5EF4-FFF2-40B4-BE49-F238E27FC236}">
              <a16:creationId xmlns:a16="http://schemas.microsoft.com/office/drawing/2014/main" id="{00000000-0008-0000-0100-000036000000}"/>
            </a:ext>
          </a:extLst>
        </xdr:cNvPr>
        <xdr:cNvGrpSpPr/>
      </xdr:nvGrpSpPr>
      <xdr:grpSpPr>
        <a:xfrm>
          <a:off x="2378075" y="3175000"/>
          <a:ext cx="854075" cy="217560"/>
          <a:chOff x="2381250" y="3067050"/>
          <a:chExt cx="857250" cy="217560"/>
        </a:xfrm>
      </xdr:grpSpPr>
      <xdr:sp macro="" textlink="$CU$9">
        <xdr:nvSpPr>
          <xdr:cNvPr id="45" name="TextBox 44">
            <a:extLst>
              <a:ext uri="{FF2B5EF4-FFF2-40B4-BE49-F238E27FC236}">
                <a16:creationId xmlns:a16="http://schemas.microsoft.com/office/drawing/2014/main" id="{00000000-0008-0000-0100-00002D000000}"/>
              </a:ext>
            </a:extLst>
          </xdr:cNvPr>
          <xdr:cNvSpPr txBox="1"/>
        </xdr:nvSpPr>
        <xdr:spPr>
          <a:xfrm>
            <a:off x="2381250" y="3067050"/>
            <a:ext cx="85725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fld id="{902C7C0C-944D-499C-917F-149184B5D319}" type="TxLink">
              <a:rPr lang="en-US" sz="800" b="1" i="0" u="none" strike="noStrike">
                <a:solidFill>
                  <a:schemeClr val="tx1">
                    <a:lumMod val="65000"/>
                    <a:lumOff val="35000"/>
                  </a:schemeClr>
                </a:solidFill>
                <a:latin typeface="Calibri"/>
                <a:ea typeface="Calibri"/>
                <a:cs typeface="Calibri"/>
              </a:rPr>
              <a:pPr/>
              <a:t>Non-Profit</a:t>
            </a:fld>
            <a:endParaRPr lang="en-US" sz="700" b="1">
              <a:solidFill>
                <a:schemeClr val="tx1">
                  <a:lumMod val="65000"/>
                  <a:lumOff val="35000"/>
                </a:schemeClr>
              </a:solidFill>
              <a:latin typeface="Calibri" panose="020F0502020204030204" pitchFamily="34" charset="0"/>
              <a:ea typeface="Calibri" panose="020F0502020204030204" pitchFamily="34" charset="0"/>
              <a:cs typeface="Calibri" panose="020F0502020204030204" pitchFamily="34" charset="0"/>
            </a:endParaRPr>
          </a:p>
        </xdr:txBody>
      </xdr:sp>
      <xdr:sp macro="" textlink="$CV$9">
        <xdr:nvSpPr>
          <xdr:cNvPr id="46" name="TextBox 45">
            <a:extLst>
              <a:ext uri="{FF2B5EF4-FFF2-40B4-BE49-F238E27FC236}">
                <a16:creationId xmlns:a16="http://schemas.microsoft.com/office/drawing/2014/main" id="{00000000-0008-0000-0100-00002E000000}"/>
              </a:ext>
            </a:extLst>
          </xdr:cNvPr>
          <xdr:cNvSpPr txBox="1"/>
        </xdr:nvSpPr>
        <xdr:spPr>
          <a:xfrm>
            <a:off x="2381250" y="3067050"/>
            <a:ext cx="76200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fld id="{CA3BC7E9-C96E-422F-B32F-E8AFA30576C9}" type="TxLink">
              <a:rPr lang="en-US" sz="800" b="1" i="0" u="none" strike="noStrike">
                <a:solidFill>
                  <a:srgbClr val="0000FF"/>
                </a:solidFill>
                <a:latin typeface="Calibri"/>
                <a:ea typeface="Calibri"/>
                <a:cs typeface="Calibri"/>
              </a:rPr>
              <a:pPr/>
              <a:t> </a:t>
            </a:fld>
            <a:endParaRPr lang="en-US" sz="700" b="1">
              <a:solidFill>
                <a:srgbClr val="0000FF"/>
              </a:solidFill>
              <a:latin typeface="Calibri" panose="020F0502020204030204" pitchFamily="34" charset="0"/>
              <a:ea typeface="Calibri" panose="020F0502020204030204" pitchFamily="34" charset="0"/>
              <a:cs typeface="Calibri" panose="020F0502020204030204" pitchFamily="34" charset="0"/>
            </a:endParaRPr>
          </a:p>
        </xdr:txBody>
      </xdr:sp>
    </xdr:grpSp>
    <xdr:clientData/>
  </xdr:twoCellAnchor>
  <mc:AlternateContent xmlns:mc="http://schemas.openxmlformats.org/markup-compatibility/2006">
    <mc:Choice xmlns:a14="http://schemas.microsoft.com/office/drawing/2010/main" Requires="a14">
      <xdr:twoCellAnchor editAs="oneCell">
        <xdr:from>
          <xdr:col>2</xdr:col>
          <xdr:colOff>965200</xdr:colOff>
          <xdr:row>22</xdr:row>
          <xdr:rowOff>12700</xdr:rowOff>
        </xdr:from>
        <xdr:to>
          <xdr:col>3</xdr:col>
          <xdr:colOff>184150</xdr:colOff>
          <xdr:row>23</xdr:row>
          <xdr:rowOff>38100</xdr:rowOff>
        </xdr:to>
        <xdr:sp macro="" textlink="">
          <xdr:nvSpPr>
            <xdr:cNvPr id="1041" name="Option Button 17" hidden="1">
              <a:extLst>
                <a:ext uri="{63B3BB69-23CF-44E3-9099-C40C66FF867C}">
                  <a14:compatExt spid="_x0000_s1041"/>
                </a:ext>
                <a:ext uri="{FF2B5EF4-FFF2-40B4-BE49-F238E27FC236}">
                  <a16:creationId xmlns:a16="http://schemas.microsoft.com/office/drawing/2014/main" id="{00000000-0008-0000-02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965200</xdr:colOff>
          <xdr:row>23</xdr:row>
          <xdr:rowOff>12700</xdr:rowOff>
        </xdr:from>
        <xdr:to>
          <xdr:col>3</xdr:col>
          <xdr:colOff>203200</xdr:colOff>
          <xdr:row>24</xdr:row>
          <xdr:rowOff>38100</xdr:rowOff>
        </xdr:to>
        <xdr:sp macro="" textlink="">
          <xdr:nvSpPr>
            <xdr:cNvPr id="1042" name="Option Button 18" hidden="1">
              <a:extLst>
                <a:ext uri="{63B3BB69-23CF-44E3-9099-C40C66FF867C}">
                  <a14:compatExt spid="_x0000_s1042"/>
                </a:ext>
                <a:ext uri="{FF2B5EF4-FFF2-40B4-BE49-F238E27FC236}">
                  <a16:creationId xmlns:a16="http://schemas.microsoft.com/office/drawing/2014/main" id="{00000000-0008-0000-02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965200</xdr:colOff>
          <xdr:row>24</xdr:row>
          <xdr:rowOff>0</xdr:rowOff>
        </xdr:from>
        <xdr:to>
          <xdr:col>3</xdr:col>
          <xdr:colOff>152400</xdr:colOff>
          <xdr:row>25</xdr:row>
          <xdr:rowOff>50800</xdr:rowOff>
        </xdr:to>
        <xdr:sp macro="" textlink="">
          <xdr:nvSpPr>
            <xdr:cNvPr id="1043" name="Option Button 19" hidden="1">
              <a:extLst>
                <a:ext uri="{63B3BB69-23CF-44E3-9099-C40C66FF867C}">
                  <a14:compatExt spid="_x0000_s1043"/>
                </a:ext>
                <a:ext uri="{FF2B5EF4-FFF2-40B4-BE49-F238E27FC236}">
                  <a16:creationId xmlns:a16="http://schemas.microsoft.com/office/drawing/2014/main" id="{00000000-0008-0000-02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965200</xdr:colOff>
          <xdr:row>24</xdr:row>
          <xdr:rowOff>146050</xdr:rowOff>
        </xdr:from>
        <xdr:to>
          <xdr:col>3</xdr:col>
          <xdr:colOff>152400</xdr:colOff>
          <xdr:row>26</xdr:row>
          <xdr:rowOff>57150</xdr:rowOff>
        </xdr:to>
        <xdr:sp macro="" textlink="">
          <xdr:nvSpPr>
            <xdr:cNvPr id="1044" name="Option Button 20" hidden="1">
              <a:extLst>
                <a:ext uri="{63B3BB69-23CF-44E3-9099-C40C66FF867C}">
                  <a14:compatExt spid="_x0000_s1044"/>
                </a:ext>
                <a:ext uri="{FF2B5EF4-FFF2-40B4-BE49-F238E27FC236}">
                  <a16:creationId xmlns:a16="http://schemas.microsoft.com/office/drawing/2014/main" id="{00000000-0008-0000-02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831850</xdr:colOff>
          <xdr:row>21</xdr:row>
          <xdr:rowOff>133350</xdr:rowOff>
        </xdr:from>
        <xdr:to>
          <xdr:col>3</xdr:col>
          <xdr:colOff>660400</xdr:colOff>
          <xdr:row>27</xdr:row>
          <xdr:rowOff>12700</xdr:rowOff>
        </xdr:to>
        <xdr:sp macro="" textlink="">
          <xdr:nvSpPr>
            <xdr:cNvPr id="1064" name="Group Box 40" hidden="1">
              <a:extLst>
                <a:ext uri="{63B3BB69-23CF-44E3-9099-C40C66FF867C}">
                  <a14:compatExt spid="_x0000_s1064"/>
                </a:ext>
                <a:ext uri="{FF2B5EF4-FFF2-40B4-BE49-F238E27FC236}">
                  <a16:creationId xmlns:a16="http://schemas.microsoft.com/office/drawing/2014/main" id="{00000000-0008-0000-0200-000028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2</xdr:col>
      <xdr:colOff>828675</xdr:colOff>
      <xdr:row>21</xdr:row>
      <xdr:rowOff>133349</xdr:rowOff>
    </xdr:from>
    <xdr:to>
      <xdr:col>3</xdr:col>
      <xdr:colOff>647699</xdr:colOff>
      <xdr:row>26</xdr:row>
      <xdr:rowOff>123825</xdr:rowOff>
    </xdr:to>
    <xdr:sp macro="" textlink="">
      <xdr:nvSpPr>
        <xdr:cNvPr id="29" name="Rectangle 28">
          <a:extLst>
            <a:ext uri="{FF2B5EF4-FFF2-40B4-BE49-F238E27FC236}">
              <a16:creationId xmlns:a16="http://schemas.microsoft.com/office/drawing/2014/main" id="{00000000-0008-0000-0100-00001D000000}"/>
            </a:ext>
          </a:extLst>
        </xdr:cNvPr>
        <xdr:cNvSpPr/>
      </xdr:nvSpPr>
      <xdr:spPr>
        <a:xfrm>
          <a:off x="2143125" y="2600324"/>
          <a:ext cx="819149" cy="752476"/>
        </a:xfrm>
        <a:prstGeom prst="rect">
          <a:avLst/>
        </a:prstGeom>
        <a:noFill/>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790575</xdr:colOff>
      <xdr:row>26</xdr:row>
      <xdr:rowOff>142875</xdr:rowOff>
    </xdr:from>
    <xdr:to>
      <xdr:col>3</xdr:col>
      <xdr:colOff>666750</xdr:colOff>
      <xdr:row>26</xdr:row>
      <xdr:rowOff>142875</xdr:rowOff>
    </xdr:to>
    <xdr:cxnSp macro="">
      <xdr:nvCxnSpPr>
        <xdr:cNvPr id="33" name="Straight Connector 32">
          <a:extLst>
            <a:ext uri="{FF2B5EF4-FFF2-40B4-BE49-F238E27FC236}">
              <a16:creationId xmlns:a16="http://schemas.microsoft.com/office/drawing/2014/main" id="{00000000-0008-0000-0100-000021000000}"/>
            </a:ext>
          </a:extLst>
        </xdr:cNvPr>
        <xdr:cNvCxnSpPr/>
      </xdr:nvCxnSpPr>
      <xdr:spPr>
        <a:xfrm>
          <a:off x="2105025" y="3371850"/>
          <a:ext cx="876300" cy="0"/>
        </a:xfrm>
        <a:prstGeom prst="line">
          <a:avLst/>
        </a:prstGeom>
        <a:ln w="38100">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723900</xdr:colOff>
      <xdr:row>24</xdr:row>
      <xdr:rowOff>38100</xdr:rowOff>
    </xdr:from>
    <xdr:to>
      <xdr:col>4</xdr:col>
      <xdr:colOff>280035</xdr:colOff>
      <xdr:row>24</xdr:row>
      <xdr:rowOff>38100</xdr:rowOff>
    </xdr:to>
    <xdr:cxnSp macro="">
      <xdr:nvCxnSpPr>
        <xdr:cNvPr id="35" name="Straight Connector 34">
          <a:extLst>
            <a:ext uri="{FF2B5EF4-FFF2-40B4-BE49-F238E27FC236}">
              <a16:creationId xmlns:a16="http://schemas.microsoft.com/office/drawing/2014/main" id="{00000000-0008-0000-0100-000023000000}"/>
            </a:ext>
          </a:extLst>
        </xdr:cNvPr>
        <xdr:cNvCxnSpPr/>
      </xdr:nvCxnSpPr>
      <xdr:spPr>
        <a:xfrm>
          <a:off x="3038475" y="2962275"/>
          <a:ext cx="365760" cy="0"/>
        </a:xfrm>
        <a:prstGeom prst="line">
          <a:avLst/>
        </a:prstGeom>
        <a:ln w="38100">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704850</xdr:colOff>
      <xdr:row>26</xdr:row>
      <xdr:rowOff>95250</xdr:rowOff>
    </xdr:from>
    <xdr:to>
      <xdr:col>4</xdr:col>
      <xdr:colOff>260985</xdr:colOff>
      <xdr:row>26</xdr:row>
      <xdr:rowOff>95250</xdr:rowOff>
    </xdr:to>
    <xdr:cxnSp macro="">
      <xdr:nvCxnSpPr>
        <xdr:cNvPr id="50" name="Straight Connector 49">
          <a:extLst>
            <a:ext uri="{FF2B5EF4-FFF2-40B4-BE49-F238E27FC236}">
              <a16:creationId xmlns:a16="http://schemas.microsoft.com/office/drawing/2014/main" id="{00000000-0008-0000-0100-000032000000}"/>
            </a:ext>
          </a:extLst>
        </xdr:cNvPr>
        <xdr:cNvCxnSpPr/>
      </xdr:nvCxnSpPr>
      <xdr:spPr>
        <a:xfrm>
          <a:off x="3019425" y="3324225"/>
          <a:ext cx="365760" cy="0"/>
        </a:xfrm>
        <a:prstGeom prst="line">
          <a:avLst/>
        </a:prstGeom>
        <a:ln w="38100">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723900</xdr:colOff>
      <xdr:row>24</xdr:row>
      <xdr:rowOff>57150</xdr:rowOff>
    </xdr:from>
    <xdr:to>
      <xdr:col>3</xdr:col>
      <xdr:colOff>733425</xdr:colOff>
      <xdr:row>26</xdr:row>
      <xdr:rowOff>76200</xdr:rowOff>
    </xdr:to>
    <xdr:cxnSp macro="">
      <xdr:nvCxnSpPr>
        <xdr:cNvPr id="51" name="Straight Connector 50">
          <a:extLst>
            <a:ext uri="{FF2B5EF4-FFF2-40B4-BE49-F238E27FC236}">
              <a16:creationId xmlns:a16="http://schemas.microsoft.com/office/drawing/2014/main" id="{00000000-0008-0000-0100-000033000000}"/>
            </a:ext>
          </a:extLst>
        </xdr:cNvPr>
        <xdr:cNvCxnSpPr/>
      </xdr:nvCxnSpPr>
      <xdr:spPr>
        <a:xfrm flipH="1" flipV="1">
          <a:off x="3038475" y="2981325"/>
          <a:ext cx="9525" cy="323850"/>
        </a:xfrm>
        <a:prstGeom prst="line">
          <a:avLst/>
        </a:prstGeom>
        <a:ln w="38100">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933450</xdr:colOff>
      <xdr:row>20</xdr:row>
      <xdr:rowOff>142875</xdr:rowOff>
    </xdr:from>
    <xdr:to>
      <xdr:col>3</xdr:col>
      <xdr:colOff>749639</xdr:colOff>
      <xdr:row>22</xdr:row>
      <xdr:rowOff>55635</xdr:rowOff>
    </xdr:to>
    <xdr:sp macro="" textlink="">
      <xdr:nvSpPr>
        <xdr:cNvPr id="52" name="TextBox 51">
          <a:extLst>
            <a:ext uri="{FF2B5EF4-FFF2-40B4-BE49-F238E27FC236}">
              <a16:creationId xmlns:a16="http://schemas.microsoft.com/office/drawing/2014/main" id="{00000000-0008-0000-0100-000034000000}"/>
            </a:ext>
          </a:extLst>
        </xdr:cNvPr>
        <xdr:cNvSpPr txBox="1"/>
      </xdr:nvSpPr>
      <xdr:spPr>
        <a:xfrm>
          <a:off x="2247900" y="2457450"/>
          <a:ext cx="816314"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800" b="1" u="none">
              <a:solidFill>
                <a:schemeClr val="tx1">
                  <a:lumMod val="75000"/>
                  <a:lumOff val="25000"/>
                </a:schemeClr>
              </a:solidFill>
              <a:latin typeface="+mn-lt"/>
            </a:rPr>
            <a:t>Company</a:t>
          </a:r>
          <a:r>
            <a:rPr lang="en-US" sz="800" b="1" u="none" baseline="0">
              <a:solidFill>
                <a:schemeClr val="tx1">
                  <a:lumMod val="75000"/>
                  <a:lumOff val="25000"/>
                </a:schemeClr>
              </a:solidFill>
              <a:latin typeface="+mn-lt"/>
            </a:rPr>
            <a:t> Type</a:t>
          </a:r>
        </a:p>
      </xdr:txBody>
    </xdr:sp>
    <xdr:clientData/>
  </xdr:twoCellAnchor>
  <xdr:twoCellAnchor>
    <xdr:from>
      <xdr:col>1</xdr:col>
      <xdr:colOff>333375</xdr:colOff>
      <xdr:row>4</xdr:row>
      <xdr:rowOff>95250</xdr:rowOff>
    </xdr:from>
    <xdr:to>
      <xdr:col>1</xdr:col>
      <xdr:colOff>346262</xdr:colOff>
      <xdr:row>8</xdr:row>
      <xdr:rowOff>123825</xdr:rowOff>
    </xdr:to>
    <xdr:cxnSp macro="">
      <xdr:nvCxnSpPr>
        <xdr:cNvPr id="55" name="Straight Connector 54">
          <a:extLst>
            <a:ext uri="{FF2B5EF4-FFF2-40B4-BE49-F238E27FC236}">
              <a16:creationId xmlns:a16="http://schemas.microsoft.com/office/drawing/2014/main" id="{00000000-0008-0000-0100-000037000000}"/>
            </a:ext>
          </a:extLst>
        </xdr:cNvPr>
        <xdr:cNvCxnSpPr/>
      </xdr:nvCxnSpPr>
      <xdr:spPr>
        <a:xfrm flipH="1" flipV="1">
          <a:off x="409575" y="571500"/>
          <a:ext cx="12887" cy="438150"/>
        </a:xfrm>
        <a:prstGeom prst="line">
          <a:avLst/>
        </a:prstGeom>
        <a:ln w="38100">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4</xdr:row>
      <xdr:rowOff>104775</xdr:rowOff>
    </xdr:from>
    <xdr:to>
      <xdr:col>1</xdr:col>
      <xdr:colOff>365760</xdr:colOff>
      <xdr:row>4</xdr:row>
      <xdr:rowOff>104775</xdr:rowOff>
    </xdr:to>
    <xdr:cxnSp macro="">
      <xdr:nvCxnSpPr>
        <xdr:cNvPr id="62" name="Straight Connector 61">
          <a:extLst>
            <a:ext uri="{FF2B5EF4-FFF2-40B4-BE49-F238E27FC236}">
              <a16:creationId xmlns:a16="http://schemas.microsoft.com/office/drawing/2014/main" id="{00000000-0008-0000-0100-00003E000000}"/>
            </a:ext>
          </a:extLst>
        </xdr:cNvPr>
        <xdr:cNvCxnSpPr/>
      </xdr:nvCxnSpPr>
      <xdr:spPr>
        <a:xfrm>
          <a:off x="76200" y="581025"/>
          <a:ext cx="365760" cy="0"/>
        </a:xfrm>
        <a:prstGeom prst="line">
          <a:avLst/>
        </a:prstGeom>
        <a:ln w="38100">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xdr:col>
          <xdr:colOff>114300</xdr:colOff>
          <xdr:row>4</xdr:row>
          <xdr:rowOff>114300</xdr:rowOff>
        </xdr:from>
        <xdr:to>
          <xdr:col>1</xdr:col>
          <xdr:colOff>419100</xdr:colOff>
          <xdr:row>9</xdr:row>
          <xdr:rowOff>0</xdr:rowOff>
        </xdr:to>
        <xdr:sp macro="" textlink="">
          <xdr:nvSpPr>
            <xdr:cNvPr id="1066" name="Group Box 42" descr="&#10;" hidden="1">
              <a:extLst>
                <a:ext uri="{63B3BB69-23CF-44E3-9099-C40C66FF867C}">
                  <a14:compatExt spid="_x0000_s1066"/>
                </a:ext>
                <a:ext uri="{FF2B5EF4-FFF2-40B4-BE49-F238E27FC236}">
                  <a16:creationId xmlns:a16="http://schemas.microsoft.com/office/drawing/2014/main" id="{00000000-0008-0000-0200-00002A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1</xdr:col>
      <xdr:colOff>38100</xdr:colOff>
      <xdr:row>4</xdr:row>
      <xdr:rowOff>76200</xdr:rowOff>
    </xdr:from>
    <xdr:to>
      <xdr:col>1</xdr:col>
      <xdr:colOff>476250</xdr:colOff>
      <xdr:row>10</xdr:row>
      <xdr:rowOff>38100</xdr:rowOff>
    </xdr:to>
    <xdr:sp macro="" textlink="">
      <xdr:nvSpPr>
        <xdr:cNvPr id="53" name="Rectangle 52">
          <a:extLst>
            <a:ext uri="{FF2B5EF4-FFF2-40B4-BE49-F238E27FC236}">
              <a16:creationId xmlns:a16="http://schemas.microsoft.com/office/drawing/2014/main" id="{00000000-0008-0000-0100-000035000000}"/>
            </a:ext>
          </a:extLst>
        </xdr:cNvPr>
        <xdr:cNvSpPr/>
      </xdr:nvSpPr>
      <xdr:spPr>
        <a:xfrm>
          <a:off x="114300" y="552450"/>
          <a:ext cx="438150" cy="523875"/>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276225</xdr:colOff>
      <xdr:row>6</xdr:row>
      <xdr:rowOff>1070</xdr:rowOff>
    </xdr:from>
    <xdr:to>
      <xdr:col>1</xdr:col>
      <xdr:colOff>1228725</xdr:colOff>
      <xdr:row>7</xdr:row>
      <xdr:rowOff>96191</xdr:rowOff>
    </xdr:to>
    <xdr:grpSp>
      <xdr:nvGrpSpPr>
        <xdr:cNvPr id="31" name="Group 30">
          <a:extLst>
            <a:ext uri="{FF2B5EF4-FFF2-40B4-BE49-F238E27FC236}">
              <a16:creationId xmlns:a16="http://schemas.microsoft.com/office/drawing/2014/main" id="{00000000-0008-0000-0100-00001F000000}"/>
            </a:ext>
          </a:extLst>
        </xdr:cNvPr>
        <xdr:cNvGrpSpPr/>
      </xdr:nvGrpSpPr>
      <xdr:grpSpPr>
        <a:xfrm>
          <a:off x="352425" y="636070"/>
          <a:ext cx="952500" cy="234821"/>
          <a:chOff x="352425" y="619125"/>
          <a:chExt cx="952500" cy="225409"/>
        </a:xfrm>
      </xdr:grpSpPr>
      <xdr:sp macro="" textlink="$CE$6">
        <xdr:nvSpPr>
          <xdr:cNvPr id="25" name="TextBox 24">
            <a:extLst>
              <a:ext uri="{FF2B5EF4-FFF2-40B4-BE49-F238E27FC236}">
                <a16:creationId xmlns:a16="http://schemas.microsoft.com/office/drawing/2014/main" id="{00000000-0008-0000-0100-000019000000}"/>
              </a:ext>
            </a:extLst>
          </xdr:cNvPr>
          <xdr:cNvSpPr txBox="1"/>
        </xdr:nvSpPr>
        <xdr:spPr>
          <a:xfrm>
            <a:off x="352425" y="619125"/>
            <a:ext cx="800100" cy="2254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fld id="{13409434-80EE-4D12-83FA-88D111FBF2E6}" type="TxLink">
              <a:rPr lang="en-US" sz="900" b="1" i="0" u="none" strike="noStrike">
                <a:solidFill>
                  <a:schemeClr val="tx1">
                    <a:lumMod val="50000"/>
                    <a:lumOff val="50000"/>
                  </a:schemeClr>
                </a:solidFill>
                <a:latin typeface="Calibri"/>
                <a:ea typeface="Calibri"/>
                <a:cs typeface="Calibri"/>
              </a:rPr>
              <a:pPr/>
              <a:t>Three Years</a:t>
            </a:fld>
            <a:endParaRPr lang="en-US" sz="1000" b="1">
              <a:solidFill>
                <a:schemeClr val="tx1">
                  <a:lumMod val="50000"/>
                  <a:lumOff val="50000"/>
                </a:schemeClr>
              </a:solidFill>
            </a:endParaRPr>
          </a:p>
        </xdr:txBody>
      </xdr:sp>
      <xdr:sp macro="" textlink="$CE$7">
        <xdr:nvSpPr>
          <xdr:cNvPr id="28" name="TextBox 27">
            <a:extLst>
              <a:ext uri="{FF2B5EF4-FFF2-40B4-BE49-F238E27FC236}">
                <a16:creationId xmlns:a16="http://schemas.microsoft.com/office/drawing/2014/main" id="{00000000-0008-0000-0100-00001C000000}"/>
              </a:ext>
            </a:extLst>
          </xdr:cNvPr>
          <xdr:cNvSpPr txBox="1"/>
        </xdr:nvSpPr>
        <xdr:spPr>
          <a:xfrm>
            <a:off x="352425" y="619125"/>
            <a:ext cx="952500" cy="2254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fld id="{7C3A698A-17E2-4056-AEA1-A62EBAC358D6}" type="TxLink">
              <a:rPr lang="en-US" sz="900" b="1" i="0" u="none" strike="noStrike">
                <a:solidFill>
                  <a:srgbClr val="0000FF"/>
                </a:solidFill>
                <a:latin typeface="Calibri"/>
                <a:ea typeface="Calibri"/>
                <a:cs typeface="Calibri"/>
              </a:rPr>
              <a:pPr/>
              <a:t> </a:t>
            </a:fld>
            <a:endParaRPr lang="en-US" sz="900" b="1">
              <a:solidFill>
                <a:srgbClr val="0000FF"/>
              </a:solidFill>
            </a:endParaRPr>
          </a:p>
        </xdr:txBody>
      </xdr:sp>
    </xdr:grpSp>
    <xdr:clientData/>
  </xdr:twoCellAnchor>
  <xdr:twoCellAnchor>
    <xdr:from>
      <xdr:col>1</xdr:col>
      <xdr:colOff>276225</xdr:colOff>
      <xdr:row>7</xdr:row>
      <xdr:rowOff>28575</xdr:rowOff>
    </xdr:from>
    <xdr:to>
      <xdr:col>1</xdr:col>
      <xdr:colOff>1104900</xdr:colOff>
      <xdr:row>8</xdr:row>
      <xdr:rowOff>128430</xdr:rowOff>
    </xdr:to>
    <xdr:grpSp>
      <xdr:nvGrpSpPr>
        <xdr:cNvPr id="34" name="Group 33">
          <a:extLst>
            <a:ext uri="{FF2B5EF4-FFF2-40B4-BE49-F238E27FC236}">
              <a16:creationId xmlns:a16="http://schemas.microsoft.com/office/drawing/2014/main" id="{00000000-0008-0000-0100-000022000000}"/>
            </a:ext>
          </a:extLst>
        </xdr:cNvPr>
        <xdr:cNvGrpSpPr/>
      </xdr:nvGrpSpPr>
      <xdr:grpSpPr>
        <a:xfrm>
          <a:off x="352425" y="803275"/>
          <a:ext cx="828675" cy="239555"/>
          <a:chOff x="16078200" y="4010025"/>
          <a:chExt cx="828675" cy="233205"/>
        </a:xfrm>
      </xdr:grpSpPr>
      <xdr:sp macro="" textlink="">
        <xdr:nvSpPr>
          <xdr:cNvPr id="27" name="TextBox 26">
            <a:extLst>
              <a:ext uri="{FF2B5EF4-FFF2-40B4-BE49-F238E27FC236}">
                <a16:creationId xmlns:a16="http://schemas.microsoft.com/office/drawing/2014/main" id="{00000000-0008-0000-0100-00001B000000}"/>
              </a:ext>
            </a:extLst>
          </xdr:cNvPr>
          <xdr:cNvSpPr txBox="1"/>
        </xdr:nvSpPr>
        <xdr:spPr>
          <a:xfrm>
            <a:off x="16078200" y="4010025"/>
            <a:ext cx="666914"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900" b="1">
                <a:solidFill>
                  <a:schemeClr val="tx1">
                    <a:lumMod val="50000"/>
                    <a:lumOff val="50000"/>
                  </a:schemeClr>
                </a:solidFill>
                <a:latin typeface="Calibri" panose="020F0502020204030204" pitchFamily="34" charset="0"/>
                <a:ea typeface="Calibri" panose="020F0502020204030204" pitchFamily="34" charset="0"/>
                <a:cs typeface="Calibri" panose="020F0502020204030204" pitchFamily="34" charset="0"/>
              </a:rPr>
              <a:t>Five Years</a:t>
            </a:r>
          </a:p>
        </xdr:txBody>
      </xdr:sp>
      <xdr:sp macro="" textlink="$CE$9">
        <xdr:nvSpPr>
          <xdr:cNvPr id="30" name="TextBox 29">
            <a:extLst>
              <a:ext uri="{FF2B5EF4-FFF2-40B4-BE49-F238E27FC236}">
                <a16:creationId xmlns:a16="http://schemas.microsoft.com/office/drawing/2014/main" id="{00000000-0008-0000-0100-00001E000000}"/>
              </a:ext>
            </a:extLst>
          </xdr:cNvPr>
          <xdr:cNvSpPr txBox="1"/>
        </xdr:nvSpPr>
        <xdr:spPr>
          <a:xfrm>
            <a:off x="16078200" y="4010025"/>
            <a:ext cx="828675"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fld id="{35198DCD-EF73-4934-8320-711FC35636F0}" type="TxLink">
              <a:rPr lang="en-US" sz="900" b="1" i="0" u="none" strike="noStrike">
                <a:solidFill>
                  <a:srgbClr val="0000FF"/>
                </a:solidFill>
                <a:latin typeface="Calibri"/>
                <a:ea typeface="Calibri"/>
                <a:cs typeface="Calibri"/>
              </a:rPr>
              <a:pPr/>
              <a:t>Five Years</a:t>
            </a:fld>
            <a:endParaRPr lang="en-US" sz="900" b="1">
              <a:solidFill>
                <a:srgbClr val="0000FF"/>
              </a:solidFill>
            </a:endParaRPr>
          </a:p>
        </xdr:txBody>
      </xdr:sp>
    </xdr:grpSp>
    <xdr:clientData/>
  </xdr:twoCellAnchor>
  <xdr:oneCellAnchor>
    <xdr:from>
      <xdr:col>1</xdr:col>
      <xdr:colOff>266700</xdr:colOff>
      <xdr:row>3</xdr:row>
      <xdr:rowOff>47625</xdr:rowOff>
    </xdr:from>
    <xdr:ext cx="591059" cy="248851"/>
    <xdr:sp macro="" textlink="">
      <xdr:nvSpPr>
        <xdr:cNvPr id="38" name="TextBox 37">
          <a:extLst>
            <a:ext uri="{FF2B5EF4-FFF2-40B4-BE49-F238E27FC236}">
              <a16:creationId xmlns:a16="http://schemas.microsoft.com/office/drawing/2014/main" id="{00000000-0008-0000-0100-000026000000}"/>
            </a:ext>
          </a:extLst>
        </xdr:cNvPr>
        <xdr:cNvSpPr txBox="1"/>
      </xdr:nvSpPr>
      <xdr:spPr>
        <a:xfrm>
          <a:off x="342900" y="390525"/>
          <a:ext cx="591059"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000" b="1" u="sng"/>
            <a:t>Version</a:t>
          </a:r>
        </a:p>
      </xdr:txBody>
    </xdr:sp>
    <xdr:clientData/>
  </xdr:oneCellAnchor>
  <mc:AlternateContent xmlns:mc="http://schemas.openxmlformats.org/markup-compatibility/2006">
    <mc:Choice xmlns:a14="http://schemas.microsoft.com/office/drawing/2010/main" Requires="a14">
      <xdr:twoCellAnchor editAs="oneCell">
        <xdr:from>
          <xdr:col>2</xdr:col>
          <xdr:colOff>895350</xdr:colOff>
          <xdr:row>30</xdr:row>
          <xdr:rowOff>171450</xdr:rowOff>
        </xdr:from>
        <xdr:to>
          <xdr:col>3</xdr:col>
          <xdr:colOff>190500</xdr:colOff>
          <xdr:row>31</xdr:row>
          <xdr:rowOff>19050</xdr:rowOff>
        </xdr:to>
        <xdr:sp macro="" textlink="">
          <xdr:nvSpPr>
            <xdr:cNvPr id="1067" name="Group Box 43" hidden="1">
              <a:extLst>
                <a:ext uri="{63B3BB69-23CF-44E3-9099-C40C66FF867C}">
                  <a14:compatExt spid="_x0000_s1067"/>
                </a:ext>
                <a:ext uri="{FF2B5EF4-FFF2-40B4-BE49-F238E27FC236}">
                  <a16:creationId xmlns:a16="http://schemas.microsoft.com/office/drawing/2014/main" id="{00000000-0008-0000-0200-00002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2</xdr:col>
      <xdr:colOff>742950</xdr:colOff>
      <xdr:row>30</xdr:row>
      <xdr:rowOff>152400</xdr:rowOff>
    </xdr:from>
    <xdr:to>
      <xdr:col>3</xdr:col>
      <xdr:colOff>209550</xdr:colOff>
      <xdr:row>31</xdr:row>
      <xdr:rowOff>85725</xdr:rowOff>
    </xdr:to>
    <xdr:sp macro="" textlink="">
      <xdr:nvSpPr>
        <xdr:cNvPr id="1036" name="Rectangle 1035">
          <a:extLst>
            <a:ext uri="{FF2B5EF4-FFF2-40B4-BE49-F238E27FC236}">
              <a16:creationId xmlns:a16="http://schemas.microsoft.com/office/drawing/2014/main" id="{00000000-0008-0000-0100-00000C040000}"/>
            </a:ext>
          </a:extLst>
        </xdr:cNvPr>
        <xdr:cNvSpPr/>
      </xdr:nvSpPr>
      <xdr:spPr>
        <a:xfrm>
          <a:off x="2057400" y="3819525"/>
          <a:ext cx="466725" cy="609600"/>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76200</xdr:colOff>
          <xdr:row>30</xdr:row>
          <xdr:rowOff>76200</xdr:rowOff>
        </xdr:from>
        <xdr:to>
          <xdr:col>5</xdr:col>
          <xdr:colOff>800100</xdr:colOff>
          <xdr:row>31</xdr:row>
          <xdr:rowOff>19050</xdr:rowOff>
        </xdr:to>
        <xdr:sp macro="" textlink="">
          <xdr:nvSpPr>
            <xdr:cNvPr id="1072" name="Group Box 48" hidden="1">
              <a:extLst>
                <a:ext uri="{63B3BB69-23CF-44E3-9099-C40C66FF867C}">
                  <a14:compatExt spid="_x0000_s1072"/>
                </a:ext>
                <a:ext uri="{FF2B5EF4-FFF2-40B4-BE49-F238E27FC236}">
                  <a16:creationId xmlns:a16="http://schemas.microsoft.com/office/drawing/2014/main" id="{00000000-0008-0000-0200-000030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4</xdr:col>
      <xdr:colOff>676275</xdr:colOff>
      <xdr:row>30</xdr:row>
      <xdr:rowOff>9525</xdr:rowOff>
    </xdr:from>
    <xdr:to>
      <xdr:col>6</xdr:col>
      <xdr:colOff>419100</xdr:colOff>
      <xdr:row>32</xdr:row>
      <xdr:rowOff>38100</xdr:rowOff>
    </xdr:to>
    <xdr:sp macro="" textlink="">
      <xdr:nvSpPr>
        <xdr:cNvPr id="1039" name="Rectangle 1038">
          <a:extLst>
            <a:ext uri="{FF2B5EF4-FFF2-40B4-BE49-F238E27FC236}">
              <a16:creationId xmlns:a16="http://schemas.microsoft.com/office/drawing/2014/main" id="{00000000-0008-0000-0100-00000F040000}"/>
            </a:ext>
          </a:extLst>
        </xdr:cNvPr>
        <xdr:cNvSpPr/>
      </xdr:nvSpPr>
      <xdr:spPr>
        <a:xfrm>
          <a:off x="3800475" y="3676650"/>
          <a:ext cx="1362075" cy="857250"/>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146050</xdr:colOff>
          <xdr:row>30</xdr:row>
          <xdr:rowOff>146050</xdr:rowOff>
        </xdr:from>
        <xdr:to>
          <xdr:col>5</xdr:col>
          <xdr:colOff>355600</xdr:colOff>
          <xdr:row>30</xdr:row>
          <xdr:rowOff>342900</xdr:rowOff>
        </xdr:to>
        <xdr:sp macro="" textlink="">
          <xdr:nvSpPr>
            <xdr:cNvPr id="1073" name="Option Button 49" hidden="1">
              <a:extLst>
                <a:ext uri="{63B3BB69-23CF-44E3-9099-C40C66FF867C}">
                  <a14:compatExt spid="_x0000_s1073"/>
                </a:ext>
                <a:ext uri="{FF2B5EF4-FFF2-40B4-BE49-F238E27FC236}">
                  <a16:creationId xmlns:a16="http://schemas.microsoft.com/office/drawing/2014/main" id="{00000000-0008-0000-02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30</xdr:row>
          <xdr:rowOff>304800</xdr:rowOff>
        </xdr:from>
        <xdr:to>
          <xdr:col>5</xdr:col>
          <xdr:colOff>336550</xdr:colOff>
          <xdr:row>30</xdr:row>
          <xdr:rowOff>488950</xdr:rowOff>
        </xdr:to>
        <xdr:sp macro="" textlink="">
          <xdr:nvSpPr>
            <xdr:cNvPr id="1074" name="Option Button 50" hidden="1">
              <a:extLst>
                <a:ext uri="{63B3BB69-23CF-44E3-9099-C40C66FF867C}">
                  <a14:compatExt spid="_x0000_s1074"/>
                </a:ext>
                <a:ext uri="{FF2B5EF4-FFF2-40B4-BE49-F238E27FC236}">
                  <a16:creationId xmlns:a16="http://schemas.microsoft.com/office/drawing/2014/main" id="{00000000-0008-0000-02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104775</xdr:colOff>
      <xdr:row>30</xdr:row>
      <xdr:rowOff>0</xdr:rowOff>
    </xdr:from>
    <xdr:to>
      <xdr:col>6</xdr:col>
      <xdr:colOff>438150</xdr:colOff>
      <xdr:row>30</xdr:row>
      <xdr:rowOff>180975</xdr:rowOff>
    </xdr:to>
    <xdr:sp macro="" textlink="">
      <xdr:nvSpPr>
        <xdr:cNvPr id="1040" name="TextBox 1039">
          <a:extLst>
            <a:ext uri="{FF2B5EF4-FFF2-40B4-BE49-F238E27FC236}">
              <a16:creationId xmlns:a16="http://schemas.microsoft.com/office/drawing/2014/main" id="{00000000-0008-0000-0100-000010040000}"/>
            </a:ext>
          </a:extLst>
        </xdr:cNvPr>
        <xdr:cNvSpPr txBox="1"/>
      </xdr:nvSpPr>
      <xdr:spPr>
        <a:xfrm>
          <a:off x="4038600" y="3667125"/>
          <a:ext cx="1143000" cy="1809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800" b="1" u="none">
              <a:solidFill>
                <a:schemeClr val="tx1">
                  <a:lumMod val="75000"/>
                  <a:lumOff val="25000"/>
                </a:schemeClr>
              </a:solidFill>
              <a:latin typeface="+mn-lt"/>
            </a:rPr>
            <a:t>Subscription Model?</a:t>
          </a:r>
          <a:endParaRPr lang="en-US" sz="800" b="1" u="none" baseline="0">
            <a:solidFill>
              <a:schemeClr val="tx1">
                <a:lumMod val="75000"/>
                <a:lumOff val="25000"/>
              </a:schemeClr>
            </a:solidFill>
            <a:latin typeface="+mn-lt"/>
          </a:endParaRPr>
        </a:p>
      </xdr:txBody>
    </xdr:sp>
    <xdr:clientData/>
  </xdr:twoCellAnchor>
  <xdr:twoCellAnchor>
    <xdr:from>
      <xdr:col>5</xdr:col>
      <xdr:colOff>257175</xdr:colOff>
      <xdr:row>30</xdr:row>
      <xdr:rowOff>144781</xdr:rowOff>
    </xdr:from>
    <xdr:to>
      <xdr:col>5</xdr:col>
      <xdr:colOff>695325</xdr:colOff>
      <xdr:row>30</xdr:row>
      <xdr:rowOff>352425</xdr:rowOff>
    </xdr:to>
    <xdr:grpSp>
      <xdr:nvGrpSpPr>
        <xdr:cNvPr id="1049" name="Group 1048">
          <a:extLst>
            <a:ext uri="{FF2B5EF4-FFF2-40B4-BE49-F238E27FC236}">
              <a16:creationId xmlns:a16="http://schemas.microsoft.com/office/drawing/2014/main" id="{00000000-0008-0000-0100-000019040000}"/>
            </a:ext>
          </a:extLst>
        </xdr:cNvPr>
        <xdr:cNvGrpSpPr/>
      </xdr:nvGrpSpPr>
      <xdr:grpSpPr>
        <a:xfrm>
          <a:off x="4181475" y="3929381"/>
          <a:ext cx="438150" cy="207644"/>
          <a:chOff x="8934450" y="3773806"/>
          <a:chExt cx="438150" cy="207644"/>
        </a:xfrm>
        <a:noFill/>
      </xdr:grpSpPr>
      <xdr:sp macro="" textlink="DH2">
        <xdr:nvSpPr>
          <xdr:cNvPr id="1045" name="TextBox 1044">
            <a:extLst>
              <a:ext uri="{FF2B5EF4-FFF2-40B4-BE49-F238E27FC236}">
                <a16:creationId xmlns:a16="http://schemas.microsoft.com/office/drawing/2014/main" id="{00000000-0008-0000-0100-000015040000}"/>
              </a:ext>
            </a:extLst>
          </xdr:cNvPr>
          <xdr:cNvSpPr txBox="1"/>
        </xdr:nvSpPr>
        <xdr:spPr>
          <a:xfrm>
            <a:off x="8934450" y="3773806"/>
            <a:ext cx="438150" cy="207644"/>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02CDE889-27A0-4643-8A12-E0D4B6CBA191}" type="TxLink">
              <a:rPr lang="en-US" sz="800" b="1" i="0" u="none" strike="noStrike">
                <a:solidFill>
                  <a:schemeClr val="tx1">
                    <a:lumMod val="65000"/>
                    <a:lumOff val="35000"/>
                  </a:schemeClr>
                </a:solidFill>
                <a:latin typeface="Calibri"/>
                <a:ea typeface="Calibri"/>
                <a:cs typeface="Calibri"/>
              </a:rPr>
              <a:pPr/>
              <a:t>Yes</a:t>
            </a:fld>
            <a:endParaRPr lang="en-US" sz="1050" b="1">
              <a:solidFill>
                <a:schemeClr val="tx1">
                  <a:lumMod val="65000"/>
                  <a:lumOff val="35000"/>
                </a:schemeClr>
              </a:solidFill>
            </a:endParaRPr>
          </a:p>
        </xdr:txBody>
      </xdr:sp>
      <xdr:sp macro="" textlink="DI2">
        <xdr:nvSpPr>
          <xdr:cNvPr id="1047" name="TextBox 1046">
            <a:extLst>
              <a:ext uri="{FF2B5EF4-FFF2-40B4-BE49-F238E27FC236}">
                <a16:creationId xmlns:a16="http://schemas.microsoft.com/office/drawing/2014/main" id="{00000000-0008-0000-0100-000017040000}"/>
              </a:ext>
            </a:extLst>
          </xdr:cNvPr>
          <xdr:cNvSpPr txBox="1"/>
        </xdr:nvSpPr>
        <xdr:spPr>
          <a:xfrm>
            <a:off x="8934450" y="3773806"/>
            <a:ext cx="438150" cy="207644"/>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06CF98E5-E950-4A72-9785-CE2CF49702AE}" type="TxLink">
              <a:rPr lang="en-US" sz="800" b="1" i="0" u="none" strike="noStrike">
                <a:solidFill>
                  <a:srgbClr val="0000FF"/>
                </a:solidFill>
                <a:latin typeface="Calibri"/>
                <a:ea typeface="Calibri"/>
                <a:cs typeface="Calibri"/>
              </a:rPr>
              <a:pPr/>
              <a:t> </a:t>
            </a:fld>
            <a:endParaRPr lang="en-US" sz="1050" b="1">
              <a:solidFill>
                <a:srgbClr val="0000FF"/>
              </a:solidFill>
            </a:endParaRPr>
          </a:p>
        </xdr:txBody>
      </xdr:sp>
    </xdr:grpSp>
    <xdr:clientData/>
  </xdr:twoCellAnchor>
  <xdr:twoCellAnchor>
    <xdr:from>
      <xdr:col>5</xdr:col>
      <xdr:colOff>257175</xdr:colOff>
      <xdr:row>30</xdr:row>
      <xdr:rowOff>306706</xdr:rowOff>
    </xdr:from>
    <xdr:to>
      <xdr:col>5</xdr:col>
      <xdr:colOff>695325</xdr:colOff>
      <xdr:row>30</xdr:row>
      <xdr:rowOff>514350</xdr:rowOff>
    </xdr:to>
    <xdr:grpSp>
      <xdr:nvGrpSpPr>
        <xdr:cNvPr id="1050" name="Group 1049">
          <a:extLst>
            <a:ext uri="{FF2B5EF4-FFF2-40B4-BE49-F238E27FC236}">
              <a16:creationId xmlns:a16="http://schemas.microsoft.com/office/drawing/2014/main" id="{00000000-0008-0000-0100-00001A040000}"/>
            </a:ext>
          </a:extLst>
        </xdr:cNvPr>
        <xdr:cNvGrpSpPr/>
      </xdr:nvGrpSpPr>
      <xdr:grpSpPr>
        <a:xfrm>
          <a:off x="4181475" y="4091306"/>
          <a:ext cx="438150" cy="207644"/>
          <a:chOff x="8934450" y="4059556"/>
          <a:chExt cx="438150" cy="207644"/>
        </a:xfrm>
        <a:noFill/>
      </xdr:grpSpPr>
      <xdr:sp macro="" textlink="DH3">
        <xdr:nvSpPr>
          <xdr:cNvPr id="1046" name="TextBox 1045">
            <a:extLst>
              <a:ext uri="{FF2B5EF4-FFF2-40B4-BE49-F238E27FC236}">
                <a16:creationId xmlns:a16="http://schemas.microsoft.com/office/drawing/2014/main" id="{00000000-0008-0000-0100-000016040000}"/>
              </a:ext>
            </a:extLst>
          </xdr:cNvPr>
          <xdr:cNvSpPr txBox="1"/>
        </xdr:nvSpPr>
        <xdr:spPr>
          <a:xfrm>
            <a:off x="8934450" y="4059556"/>
            <a:ext cx="438150" cy="207644"/>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14F30FB0-DE41-4828-8264-8171BB2DE0A3}" type="TxLink">
              <a:rPr lang="en-US" sz="800" b="1" i="0" u="none" strike="noStrike">
                <a:solidFill>
                  <a:schemeClr val="tx1">
                    <a:lumMod val="65000"/>
                    <a:lumOff val="35000"/>
                  </a:schemeClr>
                </a:solidFill>
                <a:latin typeface="Calibri"/>
                <a:ea typeface="Calibri"/>
                <a:cs typeface="Calibri"/>
              </a:rPr>
              <a:pPr/>
              <a:t> </a:t>
            </a:fld>
            <a:endParaRPr lang="en-US" sz="1050" b="1">
              <a:solidFill>
                <a:schemeClr val="tx1">
                  <a:lumMod val="65000"/>
                  <a:lumOff val="35000"/>
                </a:schemeClr>
              </a:solidFill>
            </a:endParaRPr>
          </a:p>
        </xdr:txBody>
      </xdr:sp>
      <xdr:sp macro="" textlink="DI3">
        <xdr:nvSpPr>
          <xdr:cNvPr id="1048" name="TextBox 1047">
            <a:extLst>
              <a:ext uri="{FF2B5EF4-FFF2-40B4-BE49-F238E27FC236}">
                <a16:creationId xmlns:a16="http://schemas.microsoft.com/office/drawing/2014/main" id="{00000000-0008-0000-0100-000018040000}"/>
              </a:ext>
            </a:extLst>
          </xdr:cNvPr>
          <xdr:cNvSpPr txBox="1"/>
        </xdr:nvSpPr>
        <xdr:spPr>
          <a:xfrm>
            <a:off x="8934450" y="4059556"/>
            <a:ext cx="438150" cy="207644"/>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06156A4F-9052-43A8-8236-8CE3D545954C}" type="TxLink">
              <a:rPr lang="en-US" sz="800" b="1" i="0" u="none" strike="noStrike">
                <a:solidFill>
                  <a:srgbClr val="0000FF"/>
                </a:solidFill>
                <a:latin typeface="Calibri"/>
                <a:ea typeface="Calibri"/>
                <a:cs typeface="Calibri"/>
              </a:rPr>
              <a:pPr/>
              <a:t>No</a:t>
            </a:fld>
            <a:endParaRPr lang="en-US" sz="1050" b="1">
              <a:solidFill>
                <a:srgbClr val="0000FF"/>
              </a:solidFill>
            </a:endParaRPr>
          </a:p>
        </xdr:txBody>
      </xdr:sp>
    </xdr:grpSp>
    <xdr:clientData/>
  </xdr:twoCellAnchor>
  <xdr:twoCellAnchor>
    <xdr:from>
      <xdr:col>5</xdr:col>
      <xdr:colOff>619125</xdr:colOff>
      <xdr:row>30</xdr:row>
      <xdr:rowOff>142875</xdr:rowOff>
    </xdr:from>
    <xdr:to>
      <xdr:col>7</xdr:col>
      <xdr:colOff>295275</xdr:colOff>
      <xdr:row>30</xdr:row>
      <xdr:rowOff>323850</xdr:rowOff>
    </xdr:to>
    <xdr:sp macro="" textlink="DH4">
      <xdr:nvSpPr>
        <xdr:cNvPr id="1054" name="TextBox 1053">
          <a:hlinkClick xmlns:r="http://schemas.openxmlformats.org/officeDocument/2006/relationships" r:id="rId5"/>
          <a:extLst>
            <a:ext uri="{FF2B5EF4-FFF2-40B4-BE49-F238E27FC236}">
              <a16:creationId xmlns:a16="http://schemas.microsoft.com/office/drawing/2014/main" id="{00000000-0008-0000-0100-00001E040000}"/>
            </a:ext>
          </a:extLst>
        </xdr:cNvPr>
        <xdr:cNvSpPr txBox="1"/>
      </xdr:nvSpPr>
      <xdr:spPr>
        <a:xfrm>
          <a:off x="4552950" y="3810000"/>
          <a:ext cx="1295400"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5305933-A5A5-47F6-918B-F4CD60423C61}" type="TxLink">
            <a:rPr lang="en-US" sz="800" b="1" i="0" u="none" strike="noStrike">
              <a:solidFill>
                <a:srgbClr val="0000FF"/>
              </a:solidFill>
              <a:latin typeface="Calibri"/>
              <a:ea typeface="Calibri"/>
              <a:cs typeface="Calibri"/>
            </a:rPr>
            <a:pPr/>
            <a:t> </a:t>
          </a:fld>
          <a:endParaRPr lang="en-US" sz="1050" b="1">
            <a:solidFill>
              <a:srgbClr val="0000FF"/>
            </a:solidFill>
          </a:endParaRPr>
        </a:p>
      </xdr:txBody>
    </xdr:sp>
    <xdr:clientData/>
  </xdr:twoCellAnchor>
  <mc:AlternateContent xmlns:mc="http://schemas.openxmlformats.org/markup-compatibility/2006">
    <mc:Choice xmlns:a14="http://schemas.microsoft.com/office/drawing/2010/main" Requires="a14">
      <xdr:twoCellAnchor editAs="oneCell">
        <xdr:from>
          <xdr:col>4</xdr:col>
          <xdr:colOff>69850</xdr:colOff>
          <xdr:row>18</xdr:row>
          <xdr:rowOff>38100</xdr:rowOff>
        </xdr:from>
        <xdr:to>
          <xdr:col>5</xdr:col>
          <xdr:colOff>508000</xdr:colOff>
          <xdr:row>21</xdr:row>
          <xdr:rowOff>127000</xdr:rowOff>
        </xdr:to>
        <xdr:sp macro="" textlink="">
          <xdr:nvSpPr>
            <xdr:cNvPr id="1080" name="Group Box 56" hidden="1">
              <a:extLst>
                <a:ext uri="{63B3BB69-23CF-44E3-9099-C40C66FF867C}">
                  <a14:compatExt spid="_x0000_s1080"/>
                </a:ext>
                <a:ext uri="{FF2B5EF4-FFF2-40B4-BE49-F238E27FC236}">
                  <a16:creationId xmlns:a16="http://schemas.microsoft.com/office/drawing/2014/main" id="{00000000-0008-0000-0200-000038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4</xdr:col>
      <xdr:colOff>28574</xdr:colOff>
      <xdr:row>18</xdr:row>
      <xdr:rowOff>24217</xdr:rowOff>
    </xdr:from>
    <xdr:to>
      <xdr:col>5</xdr:col>
      <xdr:colOff>752474</xdr:colOff>
      <xdr:row>22</xdr:row>
      <xdr:rowOff>4199</xdr:rowOff>
    </xdr:to>
    <xdr:sp macro="" textlink="">
      <xdr:nvSpPr>
        <xdr:cNvPr id="23" name="Rectangle 22">
          <a:extLst>
            <a:ext uri="{FF2B5EF4-FFF2-40B4-BE49-F238E27FC236}">
              <a16:creationId xmlns:a16="http://schemas.microsoft.com/office/drawing/2014/main" id="{00000000-0008-0000-0100-000017000000}"/>
            </a:ext>
          </a:extLst>
        </xdr:cNvPr>
        <xdr:cNvSpPr/>
      </xdr:nvSpPr>
      <xdr:spPr>
        <a:xfrm>
          <a:off x="3144379" y="2106802"/>
          <a:ext cx="1531103" cy="593456"/>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4</xdr:col>
      <xdr:colOff>152400</xdr:colOff>
      <xdr:row>18</xdr:row>
      <xdr:rowOff>66675</xdr:rowOff>
    </xdr:from>
    <xdr:ext cx="933461" cy="171450"/>
    <xdr:sp macro="" textlink="">
      <xdr:nvSpPr>
        <xdr:cNvPr id="11" name="TextBox 10">
          <a:extLst>
            <a:ext uri="{FF2B5EF4-FFF2-40B4-BE49-F238E27FC236}">
              <a16:creationId xmlns:a16="http://schemas.microsoft.com/office/drawing/2014/main" id="{00000000-0008-0000-0100-00000B000000}"/>
            </a:ext>
          </a:extLst>
        </xdr:cNvPr>
        <xdr:cNvSpPr txBox="1"/>
      </xdr:nvSpPr>
      <xdr:spPr>
        <a:xfrm>
          <a:off x="3276600" y="2076450"/>
          <a:ext cx="933461" cy="1714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800" b="1">
              <a:solidFill>
                <a:schemeClr val="tx1">
                  <a:lumMod val="75000"/>
                  <a:lumOff val="25000"/>
                </a:schemeClr>
              </a:solidFill>
            </a:rPr>
            <a:t>Show</a:t>
          </a:r>
          <a:r>
            <a:rPr lang="en-US" sz="800" b="1" baseline="0">
              <a:solidFill>
                <a:schemeClr val="tx1">
                  <a:lumMod val="75000"/>
                  <a:lumOff val="25000"/>
                </a:schemeClr>
              </a:solidFill>
            </a:rPr>
            <a:t> Historicals?</a:t>
          </a:r>
          <a:endParaRPr lang="en-US" sz="800" b="1">
            <a:solidFill>
              <a:schemeClr val="tx1">
                <a:lumMod val="75000"/>
                <a:lumOff val="25000"/>
              </a:schemeClr>
            </a:solidFill>
          </a:endParaRPr>
        </a:p>
      </xdr:txBody>
    </xdr:sp>
    <xdr:clientData/>
  </xdr:oneCellAnchor>
  <xdr:oneCellAnchor>
    <xdr:from>
      <xdr:col>4</xdr:col>
      <xdr:colOff>666751</xdr:colOff>
      <xdr:row>19</xdr:row>
      <xdr:rowOff>47625</xdr:rowOff>
    </xdr:from>
    <xdr:ext cx="971550" cy="209550"/>
    <xdr:sp macro="" textlink="DC8">
      <xdr:nvSpPr>
        <xdr:cNvPr id="1027" name="TextBox 1026">
          <a:hlinkClick xmlns:r="http://schemas.openxmlformats.org/officeDocument/2006/relationships" r:id="rId4"/>
          <a:extLst>
            <a:ext uri="{FF2B5EF4-FFF2-40B4-BE49-F238E27FC236}">
              <a16:creationId xmlns:a16="http://schemas.microsoft.com/office/drawing/2014/main" id="{00000000-0008-0000-0100-000003040000}"/>
            </a:ext>
          </a:extLst>
        </xdr:cNvPr>
        <xdr:cNvSpPr txBox="1"/>
      </xdr:nvSpPr>
      <xdr:spPr>
        <a:xfrm>
          <a:off x="3790951" y="2209800"/>
          <a:ext cx="971550" cy="209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fld id="{DC83A30F-D316-4495-8199-C3B7D2E913D8}" type="TxLink">
            <a:rPr lang="en-US" sz="800" b="1" i="0" u="none" strike="noStrike">
              <a:solidFill>
                <a:srgbClr val="0000FF"/>
              </a:solidFill>
              <a:latin typeface="Calibri"/>
              <a:ea typeface="Calibri"/>
              <a:cs typeface="Calibri"/>
            </a:rPr>
            <a:pPr/>
            <a:t>Go to Historicals</a:t>
          </a:fld>
          <a:endParaRPr lang="en-US" sz="1000" b="1" i="0">
            <a:solidFill>
              <a:srgbClr val="0000FF"/>
            </a:solidFill>
          </a:endParaRPr>
        </a:p>
      </xdr:txBody>
    </xdr:sp>
    <xdr:clientData/>
  </xdr:oneCellAnchor>
  <xdr:twoCellAnchor>
    <xdr:from>
      <xdr:col>4</xdr:col>
      <xdr:colOff>295275</xdr:colOff>
      <xdr:row>20</xdr:row>
      <xdr:rowOff>66675</xdr:rowOff>
    </xdr:from>
    <xdr:to>
      <xdr:col>4</xdr:col>
      <xdr:colOff>676275</xdr:colOff>
      <xdr:row>21</xdr:row>
      <xdr:rowOff>142875</xdr:rowOff>
    </xdr:to>
    <xdr:grpSp>
      <xdr:nvGrpSpPr>
        <xdr:cNvPr id="36" name="Group 35">
          <a:extLst>
            <a:ext uri="{FF2B5EF4-FFF2-40B4-BE49-F238E27FC236}">
              <a16:creationId xmlns:a16="http://schemas.microsoft.com/office/drawing/2014/main" id="{00000000-0008-0000-0100-000024000000}"/>
            </a:ext>
          </a:extLst>
        </xdr:cNvPr>
        <xdr:cNvGrpSpPr/>
      </xdr:nvGrpSpPr>
      <xdr:grpSpPr>
        <a:xfrm>
          <a:off x="3413125" y="2479675"/>
          <a:ext cx="381000" cy="228600"/>
          <a:chOff x="11534775" y="3209925"/>
          <a:chExt cx="381000" cy="228600"/>
        </a:xfrm>
      </xdr:grpSpPr>
      <xdr:sp macro="" textlink="$CR$11">
        <xdr:nvSpPr>
          <xdr:cNvPr id="57" name="TextBox 56">
            <a:extLst>
              <a:ext uri="{FF2B5EF4-FFF2-40B4-BE49-F238E27FC236}">
                <a16:creationId xmlns:a16="http://schemas.microsoft.com/office/drawing/2014/main" id="{00000000-0008-0000-0100-000039000000}"/>
              </a:ext>
            </a:extLst>
          </xdr:cNvPr>
          <xdr:cNvSpPr txBox="1"/>
        </xdr:nvSpPr>
        <xdr:spPr>
          <a:xfrm>
            <a:off x="11534775" y="3209925"/>
            <a:ext cx="381000" cy="228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fld id="{9B596E11-E2E9-4873-8225-121B20C4CD8A}" type="TxLink">
              <a:rPr lang="en-US" sz="800" b="1" i="0" u="none" strike="noStrike">
                <a:solidFill>
                  <a:schemeClr val="tx1">
                    <a:lumMod val="65000"/>
                    <a:lumOff val="35000"/>
                  </a:schemeClr>
                </a:solidFill>
                <a:latin typeface="Calibri"/>
                <a:ea typeface="Calibri"/>
                <a:cs typeface="Calibri"/>
              </a:rPr>
              <a:pPr/>
              <a:t>No</a:t>
            </a:fld>
            <a:endParaRPr lang="en-US" sz="600" b="1">
              <a:solidFill>
                <a:schemeClr val="tx1">
                  <a:lumMod val="65000"/>
                  <a:lumOff val="35000"/>
                </a:schemeClr>
              </a:solidFill>
              <a:latin typeface="Calibri" panose="020F0502020204030204" pitchFamily="34" charset="0"/>
              <a:ea typeface="Calibri" panose="020F0502020204030204" pitchFamily="34" charset="0"/>
              <a:cs typeface="Calibri" panose="020F0502020204030204" pitchFamily="34" charset="0"/>
            </a:endParaRPr>
          </a:p>
        </xdr:txBody>
      </xdr:sp>
      <xdr:sp macro="" textlink="$CS$11">
        <xdr:nvSpPr>
          <xdr:cNvPr id="59" name="TextBox 58">
            <a:extLst>
              <a:ext uri="{FF2B5EF4-FFF2-40B4-BE49-F238E27FC236}">
                <a16:creationId xmlns:a16="http://schemas.microsoft.com/office/drawing/2014/main" id="{00000000-0008-0000-0100-00003B000000}"/>
              </a:ext>
            </a:extLst>
          </xdr:cNvPr>
          <xdr:cNvSpPr txBox="1"/>
        </xdr:nvSpPr>
        <xdr:spPr>
          <a:xfrm>
            <a:off x="11534775" y="3209925"/>
            <a:ext cx="381000" cy="2000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fld id="{A656BE10-B606-4FB5-8291-C8EEF5E4978D}" type="TxLink">
              <a:rPr lang="en-US" sz="800" b="1" i="0" u="none" strike="noStrike">
                <a:solidFill>
                  <a:srgbClr val="0000FF"/>
                </a:solidFill>
                <a:latin typeface="Calibri"/>
                <a:ea typeface="Calibri"/>
                <a:cs typeface="Calibri"/>
              </a:rPr>
              <a:pPr/>
              <a:t> </a:t>
            </a:fld>
            <a:endParaRPr lang="en-US" sz="600" b="1">
              <a:solidFill>
                <a:srgbClr val="0000FF"/>
              </a:solidFill>
              <a:latin typeface="Calibri" panose="020F0502020204030204" pitchFamily="34" charset="0"/>
              <a:ea typeface="Calibri" panose="020F0502020204030204" pitchFamily="34" charset="0"/>
              <a:cs typeface="Calibri" panose="020F0502020204030204" pitchFamily="34" charset="0"/>
            </a:endParaRPr>
          </a:p>
        </xdr:txBody>
      </xdr:sp>
    </xdr:grpSp>
    <xdr:clientData/>
  </xdr:twoCellAnchor>
  <xdr:twoCellAnchor>
    <xdr:from>
      <xdr:col>4</xdr:col>
      <xdr:colOff>295275</xdr:colOff>
      <xdr:row>19</xdr:row>
      <xdr:rowOff>47625</xdr:rowOff>
    </xdr:from>
    <xdr:to>
      <xdr:col>4</xdr:col>
      <xdr:colOff>733425</xdr:colOff>
      <xdr:row>20</xdr:row>
      <xdr:rowOff>104775</xdr:rowOff>
    </xdr:to>
    <xdr:grpSp>
      <xdr:nvGrpSpPr>
        <xdr:cNvPr id="32" name="Group 31">
          <a:extLst>
            <a:ext uri="{FF2B5EF4-FFF2-40B4-BE49-F238E27FC236}">
              <a16:creationId xmlns:a16="http://schemas.microsoft.com/office/drawing/2014/main" id="{00000000-0008-0000-0100-000020000000}"/>
            </a:ext>
          </a:extLst>
        </xdr:cNvPr>
        <xdr:cNvGrpSpPr/>
      </xdr:nvGrpSpPr>
      <xdr:grpSpPr>
        <a:xfrm>
          <a:off x="3413125" y="2308225"/>
          <a:ext cx="438150" cy="209550"/>
          <a:chOff x="11553825" y="2838450"/>
          <a:chExt cx="438150" cy="209550"/>
        </a:xfrm>
      </xdr:grpSpPr>
      <xdr:sp macro="" textlink="$CR$12">
        <xdr:nvSpPr>
          <xdr:cNvPr id="56" name="TextBox 55">
            <a:extLst>
              <a:ext uri="{FF2B5EF4-FFF2-40B4-BE49-F238E27FC236}">
                <a16:creationId xmlns:a16="http://schemas.microsoft.com/office/drawing/2014/main" id="{00000000-0008-0000-0100-000038000000}"/>
              </a:ext>
            </a:extLst>
          </xdr:cNvPr>
          <xdr:cNvSpPr txBox="1"/>
        </xdr:nvSpPr>
        <xdr:spPr>
          <a:xfrm>
            <a:off x="11553825" y="2838450"/>
            <a:ext cx="438150" cy="209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fld id="{56B79262-41AA-4BE5-933C-ED32FF061AED}" type="TxLink">
              <a:rPr lang="en-US" sz="800" b="1" i="0" u="none" strike="noStrike">
                <a:solidFill>
                  <a:schemeClr val="tx1">
                    <a:lumMod val="65000"/>
                    <a:lumOff val="35000"/>
                  </a:schemeClr>
                </a:solidFill>
                <a:latin typeface="Calibri"/>
                <a:ea typeface="Calibri"/>
                <a:cs typeface="Calibri"/>
              </a:rPr>
              <a:pPr/>
              <a:t> </a:t>
            </a:fld>
            <a:endParaRPr lang="en-US" sz="600" b="1">
              <a:solidFill>
                <a:schemeClr val="tx1">
                  <a:lumMod val="65000"/>
                  <a:lumOff val="35000"/>
                </a:schemeClr>
              </a:solidFill>
              <a:latin typeface="Calibri" panose="020F0502020204030204" pitchFamily="34" charset="0"/>
              <a:ea typeface="Calibri" panose="020F0502020204030204" pitchFamily="34" charset="0"/>
              <a:cs typeface="Calibri" panose="020F0502020204030204" pitchFamily="34" charset="0"/>
            </a:endParaRPr>
          </a:p>
        </xdr:txBody>
      </xdr:sp>
      <xdr:sp macro="" textlink="$CS$12">
        <xdr:nvSpPr>
          <xdr:cNvPr id="58" name="TextBox 57">
            <a:extLst>
              <a:ext uri="{FF2B5EF4-FFF2-40B4-BE49-F238E27FC236}">
                <a16:creationId xmlns:a16="http://schemas.microsoft.com/office/drawing/2014/main" id="{00000000-0008-0000-0100-00003A000000}"/>
              </a:ext>
            </a:extLst>
          </xdr:cNvPr>
          <xdr:cNvSpPr txBox="1"/>
        </xdr:nvSpPr>
        <xdr:spPr>
          <a:xfrm>
            <a:off x="11553825" y="2838450"/>
            <a:ext cx="390525" cy="1809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fld id="{A6D085EE-2A4F-49E1-9C7D-B29A19806E3E}" type="TxLink">
              <a:rPr lang="en-US" sz="800" b="1" i="0" u="none" strike="noStrike">
                <a:solidFill>
                  <a:srgbClr val="0000FF"/>
                </a:solidFill>
                <a:latin typeface="Calibri"/>
                <a:ea typeface="Calibri"/>
                <a:cs typeface="Calibri"/>
              </a:rPr>
              <a:pPr/>
              <a:t>Yes</a:t>
            </a:fld>
            <a:endParaRPr lang="en-US" sz="600" b="1">
              <a:solidFill>
                <a:srgbClr val="0000FF"/>
              </a:solidFill>
              <a:latin typeface="Calibri" panose="020F0502020204030204" pitchFamily="34" charset="0"/>
              <a:ea typeface="Calibri" panose="020F0502020204030204" pitchFamily="34" charset="0"/>
              <a:cs typeface="Calibri" panose="020F0502020204030204" pitchFamily="34" charset="0"/>
            </a:endParaRPr>
          </a:p>
        </xdr:txBody>
      </xdr:sp>
    </xdr:grpSp>
    <xdr:clientData/>
  </xdr:twoCellAnchor>
  <mc:AlternateContent xmlns:mc="http://schemas.openxmlformats.org/markup-compatibility/2006">
    <mc:Choice xmlns:a14="http://schemas.microsoft.com/office/drawing/2010/main" Requires="a14">
      <xdr:twoCellAnchor editAs="oneCell">
        <xdr:from>
          <xdr:col>7</xdr:col>
          <xdr:colOff>609600</xdr:colOff>
          <xdr:row>83</xdr:row>
          <xdr:rowOff>38100</xdr:rowOff>
        </xdr:from>
        <xdr:to>
          <xdr:col>9</xdr:col>
          <xdr:colOff>184150</xdr:colOff>
          <xdr:row>86</xdr:row>
          <xdr:rowOff>133350</xdr:rowOff>
        </xdr:to>
        <xdr:sp macro="" textlink="">
          <xdr:nvSpPr>
            <xdr:cNvPr id="1089" name="Group Box 65" hidden="1">
              <a:extLst>
                <a:ext uri="{63B3BB69-23CF-44E3-9099-C40C66FF867C}">
                  <a14:compatExt spid="_x0000_s1089"/>
                </a:ext>
                <a:ext uri="{FF2B5EF4-FFF2-40B4-BE49-F238E27FC236}">
                  <a16:creationId xmlns:a16="http://schemas.microsoft.com/office/drawing/2014/main" id="{00000000-0008-0000-0200-00004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908050</xdr:colOff>
          <xdr:row>30</xdr:row>
          <xdr:rowOff>12700</xdr:rowOff>
        </xdr:from>
        <xdr:to>
          <xdr:col>4</xdr:col>
          <xdr:colOff>209550</xdr:colOff>
          <xdr:row>30</xdr:row>
          <xdr:rowOff>647700</xdr:rowOff>
        </xdr:to>
        <xdr:sp macro="" textlink="">
          <xdr:nvSpPr>
            <xdr:cNvPr id="1105" name="Group Box 81" hidden="1">
              <a:extLst>
                <a:ext uri="{63B3BB69-23CF-44E3-9099-C40C66FF867C}">
                  <a14:compatExt spid="_x0000_s1105"/>
                </a:ext>
                <a:ext uri="{FF2B5EF4-FFF2-40B4-BE49-F238E27FC236}">
                  <a16:creationId xmlns:a16="http://schemas.microsoft.com/office/drawing/2014/main" id="{00000000-0008-0000-0200-00005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2</xdr:col>
      <xdr:colOff>752475</xdr:colOff>
      <xdr:row>29</xdr:row>
      <xdr:rowOff>19050</xdr:rowOff>
    </xdr:from>
    <xdr:to>
      <xdr:col>4</xdr:col>
      <xdr:colOff>323850</xdr:colOff>
      <xdr:row>30</xdr:row>
      <xdr:rowOff>647700</xdr:rowOff>
    </xdr:to>
    <xdr:sp macro="" textlink="">
      <xdr:nvSpPr>
        <xdr:cNvPr id="1083" name="Rectangle 1082">
          <a:extLst>
            <a:ext uri="{FF2B5EF4-FFF2-40B4-BE49-F238E27FC236}">
              <a16:creationId xmlns:a16="http://schemas.microsoft.com/office/drawing/2014/main" id="{00000000-0008-0000-0100-00003B040000}"/>
            </a:ext>
          </a:extLst>
        </xdr:cNvPr>
        <xdr:cNvSpPr/>
      </xdr:nvSpPr>
      <xdr:spPr>
        <a:xfrm>
          <a:off x="2066925" y="3609975"/>
          <a:ext cx="1381125" cy="704850"/>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933450</xdr:colOff>
      <xdr:row>30</xdr:row>
      <xdr:rowOff>0</xdr:rowOff>
    </xdr:from>
    <xdr:to>
      <xdr:col>4</xdr:col>
      <xdr:colOff>266700</xdr:colOff>
      <xdr:row>30</xdr:row>
      <xdr:rowOff>180975</xdr:rowOff>
    </xdr:to>
    <xdr:sp macro="" textlink="">
      <xdr:nvSpPr>
        <xdr:cNvPr id="1029" name="TextBox 1028">
          <a:extLst>
            <a:ext uri="{FF2B5EF4-FFF2-40B4-BE49-F238E27FC236}">
              <a16:creationId xmlns:a16="http://schemas.microsoft.com/office/drawing/2014/main" id="{00000000-0008-0000-0100-000005040000}"/>
            </a:ext>
          </a:extLst>
        </xdr:cNvPr>
        <xdr:cNvSpPr txBox="1"/>
      </xdr:nvSpPr>
      <xdr:spPr>
        <a:xfrm>
          <a:off x="2247900" y="3667125"/>
          <a:ext cx="1143000" cy="1809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800" b="1" u="none">
              <a:solidFill>
                <a:schemeClr val="tx1">
                  <a:lumMod val="75000"/>
                  <a:lumOff val="25000"/>
                </a:schemeClr>
              </a:solidFill>
              <a:latin typeface="+mn-lt"/>
            </a:rPr>
            <a:t>Products / Services</a:t>
          </a:r>
          <a:endParaRPr lang="en-US" sz="800" b="1" u="none" baseline="0">
            <a:solidFill>
              <a:schemeClr val="tx1">
                <a:lumMod val="75000"/>
                <a:lumOff val="25000"/>
              </a:schemeClr>
            </a:solidFill>
            <a:latin typeface="+mn-lt"/>
          </a:endParaRPr>
        </a:p>
      </xdr:txBody>
    </xdr:sp>
    <xdr:clientData/>
  </xdr:twoCellAnchor>
  <xdr:twoCellAnchor>
    <xdr:from>
      <xdr:col>3</xdr:col>
      <xdr:colOff>66675</xdr:colOff>
      <xdr:row>30</xdr:row>
      <xdr:rowOff>142875</xdr:rowOff>
    </xdr:from>
    <xdr:to>
      <xdr:col>3</xdr:col>
      <xdr:colOff>723900</xdr:colOff>
      <xdr:row>30</xdr:row>
      <xdr:rowOff>360435</xdr:rowOff>
    </xdr:to>
    <xdr:grpSp>
      <xdr:nvGrpSpPr>
        <xdr:cNvPr id="1032" name="Group 1031">
          <a:extLst>
            <a:ext uri="{FF2B5EF4-FFF2-40B4-BE49-F238E27FC236}">
              <a16:creationId xmlns:a16="http://schemas.microsoft.com/office/drawing/2014/main" id="{00000000-0008-0000-0100-000008040000}"/>
            </a:ext>
          </a:extLst>
        </xdr:cNvPr>
        <xdr:cNvGrpSpPr/>
      </xdr:nvGrpSpPr>
      <xdr:grpSpPr>
        <a:xfrm>
          <a:off x="2378075" y="3927475"/>
          <a:ext cx="657225" cy="217560"/>
          <a:chOff x="9496425" y="4419600"/>
          <a:chExt cx="657225" cy="217560"/>
        </a:xfrm>
      </xdr:grpSpPr>
      <xdr:sp macro="" textlink="DE2">
        <xdr:nvSpPr>
          <xdr:cNvPr id="17" name="TextBox 16">
            <a:extLst>
              <a:ext uri="{FF2B5EF4-FFF2-40B4-BE49-F238E27FC236}">
                <a16:creationId xmlns:a16="http://schemas.microsoft.com/office/drawing/2014/main" id="{00000000-0008-0000-0100-000011000000}"/>
              </a:ext>
            </a:extLst>
          </xdr:cNvPr>
          <xdr:cNvSpPr txBox="1"/>
        </xdr:nvSpPr>
        <xdr:spPr>
          <a:xfrm>
            <a:off x="9496425" y="4419600"/>
            <a:ext cx="60960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fld id="{E1125384-43BD-4EAD-865F-2F49C4FDAD1B}" type="TxLink">
              <a:rPr lang="en-US" sz="800" b="1" i="0" u="none" strike="noStrike">
                <a:solidFill>
                  <a:schemeClr val="tx1">
                    <a:lumMod val="50000"/>
                    <a:lumOff val="50000"/>
                  </a:schemeClr>
                </a:solidFill>
                <a:latin typeface="Calibri"/>
                <a:ea typeface="Calibri"/>
                <a:cs typeface="Calibri"/>
              </a:rPr>
              <a:pPr/>
              <a:t>Products</a:t>
            </a:fld>
            <a:endParaRPr lang="en-US" sz="1050" b="1">
              <a:solidFill>
                <a:schemeClr val="tx1">
                  <a:lumMod val="50000"/>
                  <a:lumOff val="50000"/>
                </a:schemeClr>
              </a:solidFill>
            </a:endParaRPr>
          </a:p>
        </xdr:txBody>
      </xdr:sp>
      <xdr:sp macro="" textlink="DF2">
        <xdr:nvSpPr>
          <xdr:cNvPr id="61" name="TextBox 60">
            <a:extLst>
              <a:ext uri="{FF2B5EF4-FFF2-40B4-BE49-F238E27FC236}">
                <a16:creationId xmlns:a16="http://schemas.microsoft.com/office/drawing/2014/main" id="{00000000-0008-0000-0100-00003D000000}"/>
              </a:ext>
            </a:extLst>
          </xdr:cNvPr>
          <xdr:cNvSpPr txBox="1"/>
        </xdr:nvSpPr>
        <xdr:spPr>
          <a:xfrm>
            <a:off x="9496425" y="4419600"/>
            <a:ext cx="657225"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fld id="{CE7148E9-1FAF-4FD2-8B3E-97DD4E9F315B}" type="TxLink">
              <a:rPr lang="en-US" sz="800" b="1" i="0" u="none" strike="noStrike">
                <a:solidFill>
                  <a:srgbClr val="0000FF"/>
                </a:solidFill>
                <a:latin typeface="Calibri"/>
                <a:ea typeface="Calibri"/>
                <a:cs typeface="Calibri"/>
              </a:rPr>
              <a:pPr/>
              <a:t> </a:t>
            </a:fld>
            <a:endParaRPr lang="en-US" sz="1050" b="1">
              <a:solidFill>
                <a:srgbClr val="0000FF"/>
              </a:solidFill>
            </a:endParaRPr>
          </a:p>
        </xdr:txBody>
      </xdr:sp>
    </xdr:grpSp>
    <xdr:clientData/>
  </xdr:twoCellAnchor>
  <xdr:twoCellAnchor>
    <xdr:from>
      <xdr:col>3</xdr:col>
      <xdr:colOff>66675</xdr:colOff>
      <xdr:row>30</xdr:row>
      <xdr:rowOff>457199</xdr:rowOff>
    </xdr:from>
    <xdr:to>
      <xdr:col>3</xdr:col>
      <xdr:colOff>561975</xdr:colOff>
      <xdr:row>30</xdr:row>
      <xdr:rowOff>674759</xdr:rowOff>
    </xdr:to>
    <xdr:grpSp>
      <xdr:nvGrpSpPr>
        <xdr:cNvPr id="1035" name="Group 1034">
          <a:extLst>
            <a:ext uri="{FF2B5EF4-FFF2-40B4-BE49-F238E27FC236}">
              <a16:creationId xmlns:a16="http://schemas.microsoft.com/office/drawing/2014/main" id="{00000000-0008-0000-0100-00000B040000}"/>
            </a:ext>
          </a:extLst>
        </xdr:cNvPr>
        <xdr:cNvGrpSpPr/>
      </xdr:nvGrpSpPr>
      <xdr:grpSpPr>
        <a:xfrm>
          <a:off x="2378075" y="4241799"/>
          <a:ext cx="495300" cy="217560"/>
          <a:chOff x="9286875" y="4772024"/>
          <a:chExt cx="495300" cy="357420"/>
        </a:xfrm>
      </xdr:grpSpPr>
      <xdr:sp macro="" textlink="DE4">
        <xdr:nvSpPr>
          <xdr:cNvPr id="60" name="TextBox 59">
            <a:extLst>
              <a:ext uri="{FF2B5EF4-FFF2-40B4-BE49-F238E27FC236}">
                <a16:creationId xmlns:a16="http://schemas.microsoft.com/office/drawing/2014/main" id="{00000000-0008-0000-0100-00003C000000}"/>
              </a:ext>
            </a:extLst>
          </xdr:cNvPr>
          <xdr:cNvSpPr txBox="1"/>
        </xdr:nvSpPr>
        <xdr:spPr>
          <a:xfrm>
            <a:off x="9286875" y="4772024"/>
            <a:ext cx="495300" cy="3574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fld id="{C56F3C2B-DC90-4AB9-BE01-41CE698A10AF}" type="TxLink">
              <a:rPr lang="en-US" sz="800" b="1" i="0" u="none" strike="noStrike">
                <a:solidFill>
                  <a:schemeClr val="tx1">
                    <a:lumMod val="50000"/>
                    <a:lumOff val="50000"/>
                  </a:schemeClr>
                </a:solidFill>
                <a:latin typeface="Calibri"/>
                <a:ea typeface="Calibri"/>
                <a:cs typeface="Calibri"/>
              </a:rPr>
              <a:pPr/>
              <a:t>Both</a:t>
            </a:fld>
            <a:endParaRPr lang="en-US" sz="1050" b="1">
              <a:solidFill>
                <a:schemeClr val="tx1">
                  <a:lumMod val="50000"/>
                  <a:lumOff val="50000"/>
                </a:schemeClr>
              </a:solidFill>
            </a:endParaRPr>
          </a:p>
        </xdr:txBody>
      </xdr:sp>
      <xdr:sp macro="" textlink="DF4">
        <xdr:nvSpPr>
          <xdr:cNvPr id="1025" name="TextBox 1024">
            <a:extLst>
              <a:ext uri="{FF2B5EF4-FFF2-40B4-BE49-F238E27FC236}">
                <a16:creationId xmlns:a16="http://schemas.microsoft.com/office/drawing/2014/main" id="{00000000-0008-0000-0100-000001040000}"/>
              </a:ext>
            </a:extLst>
          </xdr:cNvPr>
          <xdr:cNvSpPr txBox="1"/>
        </xdr:nvSpPr>
        <xdr:spPr>
          <a:xfrm>
            <a:off x="9286875" y="4772024"/>
            <a:ext cx="419100" cy="3574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fld id="{8D0890DE-3E9B-4072-8A54-A18D39C9F927}" type="TxLink">
              <a:rPr lang="en-US" sz="800" b="1" i="0" u="none" strike="noStrike">
                <a:solidFill>
                  <a:srgbClr val="0000FF"/>
                </a:solidFill>
                <a:latin typeface="Calibri"/>
                <a:ea typeface="Calibri"/>
                <a:cs typeface="Calibri"/>
              </a:rPr>
              <a:pPr/>
              <a:t> </a:t>
            </a:fld>
            <a:endParaRPr lang="en-US" sz="1050" b="1">
              <a:solidFill>
                <a:srgbClr val="0000FF"/>
              </a:solidFill>
            </a:endParaRPr>
          </a:p>
        </xdr:txBody>
      </xdr:sp>
    </xdr:grpSp>
    <xdr:clientData/>
  </xdr:twoCellAnchor>
  <xdr:twoCellAnchor>
    <xdr:from>
      <xdr:col>3</xdr:col>
      <xdr:colOff>66675</xdr:colOff>
      <xdr:row>30</xdr:row>
      <xdr:rowOff>295274</xdr:rowOff>
    </xdr:from>
    <xdr:to>
      <xdr:col>3</xdr:col>
      <xdr:colOff>771525</xdr:colOff>
      <xdr:row>30</xdr:row>
      <xdr:rowOff>514349</xdr:rowOff>
    </xdr:to>
    <xdr:grpSp>
      <xdr:nvGrpSpPr>
        <xdr:cNvPr id="1034" name="Group 1033">
          <a:extLst>
            <a:ext uri="{FF2B5EF4-FFF2-40B4-BE49-F238E27FC236}">
              <a16:creationId xmlns:a16="http://schemas.microsoft.com/office/drawing/2014/main" id="{00000000-0008-0000-0100-00000A040000}"/>
            </a:ext>
          </a:extLst>
        </xdr:cNvPr>
        <xdr:cNvGrpSpPr/>
      </xdr:nvGrpSpPr>
      <xdr:grpSpPr>
        <a:xfrm>
          <a:off x="2378075" y="4079874"/>
          <a:ext cx="704850" cy="219075"/>
          <a:chOff x="9286875" y="4600574"/>
          <a:chExt cx="704850" cy="219075"/>
        </a:xfrm>
      </xdr:grpSpPr>
      <xdr:sp macro="" textlink="DE3">
        <xdr:nvSpPr>
          <xdr:cNvPr id="47" name="TextBox 46">
            <a:extLst>
              <a:ext uri="{FF2B5EF4-FFF2-40B4-BE49-F238E27FC236}">
                <a16:creationId xmlns:a16="http://schemas.microsoft.com/office/drawing/2014/main" id="{00000000-0008-0000-0100-00002F000000}"/>
              </a:ext>
            </a:extLst>
          </xdr:cNvPr>
          <xdr:cNvSpPr txBox="1"/>
        </xdr:nvSpPr>
        <xdr:spPr>
          <a:xfrm>
            <a:off x="9286875" y="4600574"/>
            <a:ext cx="704850" cy="2190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fld id="{1C88077F-6BB2-454D-BDC7-A2E500E3E9B8}" type="TxLink">
              <a:rPr lang="en-US" sz="800" b="1" i="0" u="none" strike="noStrike">
                <a:solidFill>
                  <a:schemeClr val="tx1">
                    <a:lumMod val="50000"/>
                    <a:lumOff val="50000"/>
                  </a:schemeClr>
                </a:solidFill>
                <a:latin typeface="Calibri"/>
                <a:ea typeface="Calibri"/>
                <a:cs typeface="Calibri"/>
              </a:rPr>
              <a:pPr/>
              <a:t>Services</a:t>
            </a:fld>
            <a:endParaRPr lang="en-US" sz="1050" b="1">
              <a:solidFill>
                <a:schemeClr val="tx1">
                  <a:lumMod val="50000"/>
                  <a:lumOff val="50000"/>
                </a:schemeClr>
              </a:solidFill>
            </a:endParaRPr>
          </a:p>
        </xdr:txBody>
      </xdr:sp>
      <xdr:sp macro="" textlink="DF3">
        <xdr:nvSpPr>
          <xdr:cNvPr id="1024" name="TextBox 1023">
            <a:extLst>
              <a:ext uri="{FF2B5EF4-FFF2-40B4-BE49-F238E27FC236}">
                <a16:creationId xmlns:a16="http://schemas.microsoft.com/office/drawing/2014/main" id="{00000000-0008-0000-0100-000000040000}"/>
              </a:ext>
            </a:extLst>
          </xdr:cNvPr>
          <xdr:cNvSpPr txBox="1"/>
        </xdr:nvSpPr>
        <xdr:spPr>
          <a:xfrm>
            <a:off x="9286875" y="4600574"/>
            <a:ext cx="62865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fld id="{ED430588-6E9B-4325-9EA2-0867DA71CACE}" type="TxLink">
              <a:rPr lang="en-US" sz="800" b="1" i="0" u="none" strike="noStrike">
                <a:solidFill>
                  <a:srgbClr val="0000FF"/>
                </a:solidFill>
                <a:latin typeface="Calibri"/>
                <a:ea typeface="Calibri"/>
                <a:cs typeface="Calibri"/>
              </a:rPr>
              <a:pPr/>
              <a:t> </a:t>
            </a:fld>
            <a:endParaRPr lang="en-US" sz="1050" b="1">
              <a:solidFill>
                <a:srgbClr val="0000FF"/>
              </a:solidFill>
            </a:endParaRPr>
          </a:p>
        </xdr:txBody>
      </xdr:sp>
    </xdr:grpSp>
    <xdr:clientData/>
  </xdr:twoCellAnchor>
  <mc:AlternateContent xmlns:mc="http://schemas.openxmlformats.org/markup-compatibility/2006">
    <mc:Choice xmlns:a14="http://schemas.microsoft.com/office/drawing/2010/main" Requires="a14">
      <xdr:twoCellAnchor>
        <xdr:from>
          <xdr:col>2</xdr:col>
          <xdr:colOff>955246</xdr:colOff>
          <xdr:row>30</xdr:row>
          <xdr:rowOff>169190</xdr:rowOff>
        </xdr:from>
        <xdr:to>
          <xdr:col>3</xdr:col>
          <xdr:colOff>260732</xdr:colOff>
          <xdr:row>31</xdr:row>
          <xdr:rowOff>7265</xdr:rowOff>
        </xdr:to>
        <xdr:grpSp>
          <xdr:nvGrpSpPr>
            <xdr:cNvPr id="1028" name="Group 1027">
              <a:extLst>
                <a:ext uri="{FF2B5EF4-FFF2-40B4-BE49-F238E27FC236}">
                  <a16:creationId xmlns:a16="http://schemas.microsoft.com/office/drawing/2014/main" id="{00000000-0008-0000-0100-000004040000}"/>
                </a:ext>
              </a:extLst>
            </xdr:cNvPr>
            <xdr:cNvGrpSpPr/>
          </xdr:nvGrpSpPr>
          <xdr:grpSpPr>
            <a:xfrm>
              <a:off x="2269696" y="3953790"/>
              <a:ext cx="302436" cy="511175"/>
              <a:chOff x="3533776" y="3800467"/>
              <a:chExt cx="304814" cy="514356"/>
            </a:xfrm>
          </xdr:grpSpPr>
          <xdr:sp macro="" textlink="">
            <xdr:nvSpPr>
              <xdr:cNvPr id="1069" name="Option Button 45" hidden="1">
                <a:extLst>
                  <a:ext uri="{63B3BB69-23CF-44E3-9099-C40C66FF867C}">
                    <a14:compatExt spid="_x0000_s1069"/>
                  </a:ext>
                  <a:ext uri="{FF2B5EF4-FFF2-40B4-BE49-F238E27FC236}">
                    <a16:creationId xmlns:a16="http://schemas.microsoft.com/office/drawing/2014/main" id="{00000000-0008-0000-0200-00002D040000}"/>
                  </a:ext>
                </a:extLst>
              </xdr:cNvPr>
              <xdr:cNvSpPr/>
            </xdr:nvSpPr>
            <xdr:spPr bwMode="auto">
              <a:xfrm>
                <a:off x="3533791" y="3800467"/>
                <a:ext cx="304799"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70" name="Option Button 46" hidden="1">
                <a:extLst>
                  <a:ext uri="{63B3BB69-23CF-44E3-9099-C40C66FF867C}">
                    <a14:compatExt spid="_x0000_s1070"/>
                  </a:ext>
                  <a:ext uri="{FF2B5EF4-FFF2-40B4-BE49-F238E27FC236}">
                    <a16:creationId xmlns:a16="http://schemas.microsoft.com/office/drawing/2014/main" id="{00000000-0008-0000-0200-00002E040000}"/>
                  </a:ext>
                </a:extLst>
              </xdr:cNvPr>
              <xdr:cNvSpPr/>
            </xdr:nvSpPr>
            <xdr:spPr bwMode="auto">
              <a:xfrm>
                <a:off x="3533776" y="3962400"/>
                <a:ext cx="26670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71" name="Option Button 47" hidden="1">
                <a:extLst>
                  <a:ext uri="{63B3BB69-23CF-44E3-9099-C40C66FF867C}">
                    <a14:compatExt spid="_x0000_s1071"/>
                  </a:ext>
                  <a:ext uri="{FF2B5EF4-FFF2-40B4-BE49-F238E27FC236}">
                    <a16:creationId xmlns:a16="http://schemas.microsoft.com/office/drawing/2014/main" id="{00000000-0008-0000-0200-00002F040000}"/>
                  </a:ext>
                </a:extLst>
              </xdr:cNvPr>
              <xdr:cNvSpPr/>
            </xdr:nvSpPr>
            <xdr:spPr bwMode="auto">
              <a:xfrm>
                <a:off x="3533776" y="4124324"/>
                <a:ext cx="285750" cy="1904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twoCellAnchor>
    <xdr:from>
      <xdr:col>7</xdr:col>
      <xdr:colOff>571500</xdr:colOff>
      <xdr:row>82</xdr:row>
      <xdr:rowOff>133350</xdr:rowOff>
    </xdr:from>
    <xdr:to>
      <xdr:col>9</xdr:col>
      <xdr:colOff>504825</xdr:colOff>
      <xdr:row>87</xdr:row>
      <xdr:rowOff>28575</xdr:rowOff>
    </xdr:to>
    <xdr:sp macro="" textlink="">
      <xdr:nvSpPr>
        <xdr:cNvPr id="1076" name="Rectangle 1075">
          <a:extLst>
            <a:ext uri="{FF2B5EF4-FFF2-40B4-BE49-F238E27FC236}">
              <a16:creationId xmlns:a16="http://schemas.microsoft.com/office/drawing/2014/main" id="{00000000-0008-0000-0100-000034040000}"/>
            </a:ext>
          </a:extLst>
        </xdr:cNvPr>
        <xdr:cNvSpPr/>
      </xdr:nvSpPr>
      <xdr:spPr>
        <a:xfrm>
          <a:off x="6124575" y="11753850"/>
          <a:ext cx="1552575" cy="657225"/>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8</xdr:col>
      <xdr:colOff>47625</xdr:colOff>
      <xdr:row>83</xdr:row>
      <xdr:rowOff>85725</xdr:rowOff>
    </xdr:from>
    <xdr:ext cx="933461" cy="171450"/>
    <xdr:sp macro="" textlink="">
      <xdr:nvSpPr>
        <xdr:cNvPr id="1038" name="TextBox 1037">
          <a:extLst>
            <a:ext uri="{FF2B5EF4-FFF2-40B4-BE49-F238E27FC236}">
              <a16:creationId xmlns:a16="http://schemas.microsoft.com/office/drawing/2014/main" id="{00000000-0008-0000-0100-00000E040000}"/>
            </a:ext>
          </a:extLst>
        </xdr:cNvPr>
        <xdr:cNvSpPr txBox="1"/>
      </xdr:nvSpPr>
      <xdr:spPr>
        <a:xfrm>
          <a:off x="6410325" y="11858625"/>
          <a:ext cx="933461" cy="17145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800" b="1">
              <a:solidFill>
                <a:schemeClr val="tx1">
                  <a:lumMod val="75000"/>
                  <a:lumOff val="25000"/>
                </a:schemeClr>
              </a:solidFill>
            </a:rPr>
            <a:t>Consultant Fees</a:t>
          </a:r>
        </a:p>
      </xdr:txBody>
    </xdr:sp>
    <xdr:clientData/>
  </xdr:oneCellAnchor>
  <xdr:twoCellAnchor>
    <xdr:from>
      <xdr:col>8</xdr:col>
      <xdr:colOff>190500</xdr:colOff>
      <xdr:row>84</xdr:row>
      <xdr:rowOff>140740</xdr:rowOff>
    </xdr:from>
    <xdr:to>
      <xdr:col>9</xdr:col>
      <xdr:colOff>38100</xdr:colOff>
      <xdr:row>86</xdr:row>
      <xdr:rowOff>61084</xdr:rowOff>
    </xdr:to>
    <xdr:grpSp>
      <xdr:nvGrpSpPr>
        <xdr:cNvPr id="1059" name="Group 1058">
          <a:extLst>
            <a:ext uri="{FF2B5EF4-FFF2-40B4-BE49-F238E27FC236}">
              <a16:creationId xmlns:a16="http://schemas.microsoft.com/office/drawing/2014/main" id="{00000000-0008-0000-0100-000023040000}"/>
            </a:ext>
          </a:extLst>
        </xdr:cNvPr>
        <xdr:cNvGrpSpPr/>
      </xdr:nvGrpSpPr>
      <xdr:grpSpPr>
        <a:xfrm>
          <a:off x="6534150" y="12173990"/>
          <a:ext cx="654050" cy="225144"/>
          <a:chOff x="8724900" y="10134600"/>
          <a:chExt cx="447675" cy="141858"/>
        </a:xfrm>
      </xdr:grpSpPr>
      <xdr:sp macro="" textlink="DK3">
        <xdr:nvSpPr>
          <xdr:cNvPr id="1026" name="TextBox 1025">
            <a:extLst>
              <a:ext uri="{FF2B5EF4-FFF2-40B4-BE49-F238E27FC236}">
                <a16:creationId xmlns:a16="http://schemas.microsoft.com/office/drawing/2014/main" id="{00000000-0008-0000-0100-000002040000}"/>
              </a:ext>
            </a:extLst>
          </xdr:cNvPr>
          <xdr:cNvSpPr txBox="1"/>
        </xdr:nvSpPr>
        <xdr:spPr>
          <a:xfrm>
            <a:off x="8724900" y="10134600"/>
            <a:ext cx="409575" cy="1418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fld id="{172202D6-7709-4497-A30E-57405455F3E9}" type="TxLink">
              <a:rPr lang="en-US" sz="800" b="1" i="0" u="none" strike="noStrike">
                <a:solidFill>
                  <a:schemeClr val="tx1">
                    <a:lumMod val="65000"/>
                    <a:lumOff val="35000"/>
                  </a:schemeClr>
                </a:solidFill>
                <a:latin typeface="Calibri"/>
                <a:ea typeface="Calibri"/>
                <a:cs typeface="Calibri"/>
              </a:rPr>
              <a:pPr/>
              <a:t>Show</a:t>
            </a:fld>
            <a:endParaRPr lang="en-US" sz="1050">
              <a:solidFill>
                <a:schemeClr val="tx1">
                  <a:lumMod val="65000"/>
                  <a:lumOff val="35000"/>
                </a:schemeClr>
              </a:solidFill>
            </a:endParaRPr>
          </a:p>
        </xdr:txBody>
      </xdr:sp>
      <xdr:sp macro="" textlink="DL3">
        <xdr:nvSpPr>
          <xdr:cNvPr id="1057" name="TextBox 1056">
            <a:extLst>
              <a:ext uri="{FF2B5EF4-FFF2-40B4-BE49-F238E27FC236}">
                <a16:creationId xmlns:a16="http://schemas.microsoft.com/office/drawing/2014/main" id="{00000000-0008-0000-0100-000021040000}"/>
              </a:ext>
            </a:extLst>
          </xdr:cNvPr>
          <xdr:cNvSpPr txBox="1"/>
        </xdr:nvSpPr>
        <xdr:spPr>
          <a:xfrm>
            <a:off x="8724900" y="10134600"/>
            <a:ext cx="447675" cy="1418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fld id="{02C68220-50CA-4C09-A041-B144F2CCDFAC}" type="TxLink">
              <a:rPr lang="en-US" sz="800" b="1" i="0" u="none" strike="noStrike">
                <a:solidFill>
                  <a:srgbClr val="0000FF"/>
                </a:solidFill>
                <a:latin typeface="Calibri"/>
                <a:ea typeface="Calibri"/>
                <a:cs typeface="Calibri"/>
              </a:rPr>
              <a:pPr/>
              <a:t> </a:t>
            </a:fld>
            <a:endParaRPr lang="en-US" sz="1050"/>
          </a:p>
        </xdr:txBody>
      </xdr:sp>
    </xdr:grpSp>
    <xdr:clientData/>
  </xdr:twoCellAnchor>
  <xdr:twoCellAnchor>
    <xdr:from>
      <xdr:col>8</xdr:col>
      <xdr:colOff>190500</xdr:colOff>
      <xdr:row>85</xdr:row>
      <xdr:rowOff>140772</xdr:rowOff>
    </xdr:from>
    <xdr:to>
      <xdr:col>8</xdr:col>
      <xdr:colOff>685800</xdr:colOff>
      <xdr:row>87</xdr:row>
      <xdr:rowOff>55254</xdr:rowOff>
    </xdr:to>
    <xdr:grpSp>
      <xdr:nvGrpSpPr>
        <xdr:cNvPr id="1060" name="Group 1059">
          <a:extLst>
            <a:ext uri="{FF2B5EF4-FFF2-40B4-BE49-F238E27FC236}">
              <a16:creationId xmlns:a16="http://schemas.microsoft.com/office/drawing/2014/main" id="{00000000-0008-0000-0100-000024040000}"/>
            </a:ext>
          </a:extLst>
        </xdr:cNvPr>
        <xdr:cNvGrpSpPr/>
      </xdr:nvGrpSpPr>
      <xdr:grpSpPr>
        <a:xfrm>
          <a:off x="6534150" y="12326422"/>
          <a:ext cx="495300" cy="219282"/>
          <a:chOff x="8715375" y="10401300"/>
          <a:chExt cx="495300" cy="217560"/>
        </a:xfrm>
      </xdr:grpSpPr>
      <xdr:sp macro="" textlink="DK4">
        <xdr:nvSpPr>
          <xdr:cNvPr id="1037" name="TextBox 1036">
            <a:extLst>
              <a:ext uri="{FF2B5EF4-FFF2-40B4-BE49-F238E27FC236}">
                <a16:creationId xmlns:a16="http://schemas.microsoft.com/office/drawing/2014/main" id="{00000000-0008-0000-0100-00000D040000}"/>
              </a:ext>
            </a:extLst>
          </xdr:cNvPr>
          <xdr:cNvSpPr txBox="1"/>
        </xdr:nvSpPr>
        <xdr:spPr>
          <a:xfrm>
            <a:off x="8715375" y="10401300"/>
            <a:ext cx="49530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fld id="{D49C9D14-94BD-40FB-BF23-BA3A5B7C6E72}" type="TxLink">
              <a:rPr lang="en-US" sz="800" b="1" i="0" u="none" strike="noStrike">
                <a:solidFill>
                  <a:schemeClr val="tx1">
                    <a:lumMod val="65000"/>
                    <a:lumOff val="35000"/>
                  </a:schemeClr>
                </a:solidFill>
                <a:latin typeface="Calibri"/>
                <a:ea typeface="Calibri"/>
                <a:cs typeface="Calibri"/>
              </a:rPr>
              <a:pPr/>
              <a:t>Hide</a:t>
            </a:fld>
            <a:endParaRPr lang="en-US" sz="1050">
              <a:solidFill>
                <a:schemeClr val="tx1">
                  <a:lumMod val="65000"/>
                  <a:lumOff val="35000"/>
                </a:schemeClr>
              </a:solidFill>
            </a:endParaRPr>
          </a:p>
        </xdr:txBody>
      </xdr:sp>
      <xdr:sp macro="" textlink="DL4">
        <xdr:nvSpPr>
          <xdr:cNvPr id="1058" name="TextBox 1057">
            <a:extLst>
              <a:ext uri="{FF2B5EF4-FFF2-40B4-BE49-F238E27FC236}">
                <a16:creationId xmlns:a16="http://schemas.microsoft.com/office/drawing/2014/main" id="{00000000-0008-0000-0100-000022040000}"/>
              </a:ext>
            </a:extLst>
          </xdr:cNvPr>
          <xdr:cNvSpPr txBox="1"/>
        </xdr:nvSpPr>
        <xdr:spPr>
          <a:xfrm>
            <a:off x="8715375" y="10401300"/>
            <a:ext cx="49530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fld id="{C843D169-8AB0-4379-AEFA-E673DD224E49}" type="TxLink">
              <a:rPr lang="en-US" sz="800" b="1" i="0" u="none" strike="noStrike">
                <a:solidFill>
                  <a:srgbClr val="0000FF"/>
                </a:solidFill>
                <a:latin typeface="Calibri"/>
                <a:ea typeface="Calibri"/>
                <a:cs typeface="Calibri"/>
              </a:rPr>
              <a:pPr/>
              <a:t> </a:t>
            </a:fld>
            <a:endParaRPr lang="en-US" sz="1050"/>
          </a:p>
        </xdr:txBody>
      </xdr:sp>
    </xdr:grpSp>
    <xdr:clientData/>
  </xdr:twoCellAnchor>
  <mc:AlternateContent xmlns:mc="http://schemas.openxmlformats.org/markup-compatibility/2006">
    <mc:Choice xmlns:a14="http://schemas.microsoft.com/office/drawing/2010/main" Requires="a14">
      <xdr:twoCellAnchor>
        <xdr:from>
          <xdr:col>8</xdr:col>
          <xdr:colOff>67644</xdr:colOff>
          <xdr:row>85</xdr:row>
          <xdr:rowOff>21288</xdr:rowOff>
        </xdr:from>
        <xdr:to>
          <xdr:col>8</xdr:col>
          <xdr:colOff>305769</xdr:colOff>
          <xdr:row>87</xdr:row>
          <xdr:rowOff>32715</xdr:rowOff>
        </xdr:to>
        <xdr:grpSp>
          <xdr:nvGrpSpPr>
            <xdr:cNvPr id="1062" name="Group 1061">
              <a:extLst>
                <a:ext uri="{FF2B5EF4-FFF2-40B4-BE49-F238E27FC236}">
                  <a16:creationId xmlns:a16="http://schemas.microsoft.com/office/drawing/2014/main" id="{00000000-0008-0000-0100-000026040000}"/>
                </a:ext>
              </a:extLst>
            </xdr:cNvPr>
            <xdr:cNvGrpSpPr/>
          </xdr:nvGrpSpPr>
          <xdr:grpSpPr>
            <a:xfrm>
              <a:off x="6411294" y="12206938"/>
              <a:ext cx="238125" cy="316227"/>
              <a:chOff x="9010650" y="11992126"/>
              <a:chExt cx="238125" cy="323704"/>
            </a:xfrm>
          </xdr:grpSpPr>
          <xdr:sp macro="" textlink="">
            <xdr:nvSpPr>
              <xdr:cNvPr id="1090" name="Option Button 66" hidden="1">
                <a:extLst>
                  <a:ext uri="{63B3BB69-23CF-44E3-9099-C40C66FF867C}">
                    <a14:compatExt spid="_x0000_s1090"/>
                  </a:ext>
                  <a:ext uri="{FF2B5EF4-FFF2-40B4-BE49-F238E27FC236}">
                    <a16:creationId xmlns:a16="http://schemas.microsoft.com/office/drawing/2014/main" id="{00000000-0008-0000-0200-000042040000}"/>
                  </a:ext>
                </a:extLst>
              </xdr:cNvPr>
              <xdr:cNvSpPr/>
            </xdr:nvSpPr>
            <xdr:spPr bwMode="auto">
              <a:xfrm>
                <a:off x="9010650" y="11992126"/>
                <a:ext cx="238124" cy="1714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91" name="Option Button 67" hidden="1">
                <a:extLst>
                  <a:ext uri="{63B3BB69-23CF-44E3-9099-C40C66FF867C}">
                    <a14:compatExt spid="_x0000_s1091"/>
                  </a:ext>
                  <a:ext uri="{FF2B5EF4-FFF2-40B4-BE49-F238E27FC236}">
                    <a16:creationId xmlns:a16="http://schemas.microsoft.com/office/drawing/2014/main" id="{00000000-0008-0000-0200-000043040000}"/>
                  </a:ext>
                </a:extLst>
              </xdr:cNvPr>
              <xdr:cNvSpPr/>
            </xdr:nvSpPr>
            <xdr:spPr bwMode="auto">
              <a:xfrm>
                <a:off x="9010650" y="12144380"/>
                <a:ext cx="238125" cy="1714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762000</xdr:colOff>
          <xdr:row>102</xdr:row>
          <xdr:rowOff>57150</xdr:rowOff>
        </xdr:from>
        <xdr:to>
          <xdr:col>9</xdr:col>
          <xdr:colOff>488950</xdr:colOff>
          <xdr:row>105</xdr:row>
          <xdr:rowOff>95250</xdr:rowOff>
        </xdr:to>
        <xdr:sp macro="" textlink="">
          <xdr:nvSpPr>
            <xdr:cNvPr id="1114" name="Group Box 90" hidden="1">
              <a:extLst>
                <a:ext uri="{63B3BB69-23CF-44E3-9099-C40C66FF867C}">
                  <a14:compatExt spid="_x0000_s1114"/>
                </a:ext>
                <a:ext uri="{FF2B5EF4-FFF2-40B4-BE49-F238E27FC236}">
                  <a16:creationId xmlns:a16="http://schemas.microsoft.com/office/drawing/2014/main" id="{00000000-0008-0000-0200-00005A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8</xdr:col>
      <xdr:colOff>742950</xdr:colOff>
      <xdr:row>102</xdr:row>
      <xdr:rowOff>0</xdr:rowOff>
    </xdr:from>
    <xdr:to>
      <xdr:col>9</xdr:col>
      <xdr:colOff>542925</xdr:colOff>
      <xdr:row>106</xdr:row>
      <xdr:rowOff>19050</xdr:rowOff>
    </xdr:to>
    <xdr:sp macro="" textlink="">
      <xdr:nvSpPr>
        <xdr:cNvPr id="1112" name="Rectangle 1111">
          <a:extLst>
            <a:ext uri="{FF2B5EF4-FFF2-40B4-BE49-F238E27FC236}">
              <a16:creationId xmlns:a16="http://schemas.microsoft.com/office/drawing/2014/main" id="{00000000-0008-0000-0100-000058040000}"/>
            </a:ext>
          </a:extLst>
        </xdr:cNvPr>
        <xdr:cNvSpPr/>
      </xdr:nvSpPr>
      <xdr:spPr>
        <a:xfrm>
          <a:off x="7105650" y="13906500"/>
          <a:ext cx="609600" cy="628650"/>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8</xdr:col>
      <xdr:colOff>790575</xdr:colOff>
      <xdr:row>101</xdr:row>
      <xdr:rowOff>133350</xdr:rowOff>
    </xdr:from>
    <xdr:ext cx="619125" cy="209550"/>
    <xdr:sp macro="" textlink="">
      <xdr:nvSpPr>
        <xdr:cNvPr id="1051" name="TextBox 1050">
          <a:extLst>
            <a:ext uri="{FF2B5EF4-FFF2-40B4-BE49-F238E27FC236}">
              <a16:creationId xmlns:a16="http://schemas.microsoft.com/office/drawing/2014/main" id="{00000000-0008-0000-0100-00001B040000}"/>
            </a:ext>
          </a:extLst>
        </xdr:cNvPr>
        <xdr:cNvSpPr txBox="1"/>
      </xdr:nvSpPr>
      <xdr:spPr>
        <a:xfrm>
          <a:off x="7153275" y="13887450"/>
          <a:ext cx="619125" cy="209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800" b="1">
              <a:solidFill>
                <a:schemeClr val="tx1">
                  <a:lumMod val="75000"/>
                  <a:lumOff val="25000"/>
                </a:schemeClr>
              </a:solidFill>
            </a:rPr>
            <a:t>Headcount</a:t>
          </a:r>
        </a:p>
      </xdr:txBody>
    </xdr:sp>
    <xdr:clientData/>
  </xdr:oneCellAnchor>
  <xdr:twoCellAnchor>
    <xdr:from>
      <xdr:col>9</xdr:col>
      <xdr:colOff>123825</xdr:colOff>
      <xdr:row>103</xdr:row>
      <xdr:rowOff>138753</xdr:rowOff>
    </xdr:from>
    <xdr:to>
      <xdr:col>9</xdr:col>
      <xdr:colOff>619125</xdr:colOff>
      <xdr:row>105</xdr:row>
      <xdr:rowOff>51513</xdr:rowOff>
    </xdr:to>
    <xdr:grpSp>
      <xdr:nvGrpSpPr>
        <xdr:cNvPr id="1111" name="Group 1110">
          <a:extLst>
            <a:ext uri="{FF2B5EF4-FFF2-40B4-BE49-F238E27FC236}">
              <a16:creationId xmlns:a16="http://schemas.microsoft.com/office/drawing/2014/main" id="{00000000-0008-0000-0100-000057040000}"/>
            </a:ext>
          </a:extLst>
        </xdr:cNvPr>
        <xdr:cNvGrpSpPr/>
      </xdr:nvGrpSpPr>
      <xdr:grpSpPr>
        <a:xfrm>
          <a:off x="7273925" y="14305603"/>
          <a:ext cx="495300" cy="217560"/>
          <a:chOff x="8515350" y="10763272"/>
          <a:chExt cx="495300" cy="217560"/>
        </a:xfrm>
      </xdr:grpSpPr>
      <xdr:sp macro="" textlink="DN4">
        <xdr:nvSpPr>
          <xdr:cNvPr id="1087" name="TextBox 1086">
            <a:extLst>
              <a:ext uri="{FF2B5EF4-FFF2-40B4-BE49-F238E27FC236}">
                <a16:creationId xmlns:a16="http://schemas.microsoft.com/office/drawing/2014/main" id="{00000000-0008-0000-0100-00003F040000}"/>
              </a:ext>
            </a:extLst>
          </xdr:cNvPr>
          <xdr:cNvSpPr txBox="1"/>
        </xdr:nvSpPr>
        <xdr:spPr>
          <a:xfrm>
            <a:off x="8515350" y="10763272"/>
            <a:ext cx="49530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fld id="{C3BA12D0-FADE-439C-9C89-B0447A65F098}" type="TxLink">
              <a:rPr lang="en-US" sz="800" b="1" i="0" u="none" strike="noStrike">
                <a:solidFill>
                  <a:schemeClr val="tx1">
                    <a:lumMod val="65000"/>
                    <a:lumOff val="35000"/>
                  </a:schemeClr>
                </a:solidFill>
                <a:latin typeface="Calibri"/>
                <a:ea typeface="Calibri"/>
                <a:cs typeface="Calibri"/>
              </a:rPr>
              <a:pPr/>
              <a:t> </a:t>
            </a:fld>
            <a:endParaRPr lang="en-US" sz="1000">
              <a:solidFill>
                <a:schemeClr val="tx1">
                  <a:lumMod val="65000"/>
                  <a:lumOff val="35000"/>
                </a:schemeClr>
              </a:solidFill>
            </a:endParaRPr>
          </a:p>
        </xdr:txBody>
      </xdr:sp>
      <xdr:sp macro="" textlink="DO4">
        <xdr:nvSpPr>
          <xdr:cNvPr id="1104" name="TextBox 1103">
            <a:extLst>
              <a:ext uri="{FF2B5EF4-FFF2-40B4-BE49-F238E27FC236}">
                <a16:creationId xmlns:a16="http://schemas.microsoft.com/office/drawing/2014/main" id="{00000000-0008-0000-0100-000050040000}"/>
              </a:ext>
            </a:extLst>
          </xdr:cNvPr>
          <xdr:cNvSpPr txBox="1"/>
        </xdr:nvSpPr>
        <xdr:spPr>
          <a:xfrm>
            <a:off x="8515350" y="10763272"/>
            <a:ext cx="49530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fld id="{0AE37322-818B-4F1B-88FE-48B81A0226C0}" type="TxLink">
              <a:rPr lang="en-US" sz="800" b="1" i="0" u="none" strike="noStrike">
                <a:solidFill>
                  <a:srgbClr val="0000FF"/>
                </a:solidFill>
                <a:latin typeface="Calibri"/>
                <a:ea typeface="Calibri"/>
                <a:cs typeface="Calibri"/>
              </a:rPr>
              <a:pPr/>
              <a:t>Hide</a:t>
            </a:fld>
            <a:endParaRPr lang="en-US" sz="1000">
              <a:solidFill>
                <a:srgbClr val="0000FF"/>
              </a:solidFill>
            </a:endParaRPr>
          </a:p>
        </xdr:txBody>
      </xdr:sp>
    </xdr:grpSp>
    <xdr:clientData/>
  </xdr:twoCellAnchor>
  <xdr:twoCellAnchor>
    <xdr:from>
      <xdr:col>9</xdr:col>
      <xdr:colOff>114300</xdr:colOff>
      <xdr:row>102</xdr:row>
      <xdr:rowOff>129200</xdr:rowOff>
    </xdr:from>
    <xdr:to>
      <xdr:col>9</xdr:col>
      <xdr:colOff>715591</xdr:colOff>
      <xdr:row>104</xdr:row>
      <xdr:rowOff>57605</xdr:rowOff>
    </xdr:to>
    <xdr:grpSp>
      <xdr:nvGrpSpPr>
        <xdr:cNvPr id="1107" name="Group 1106">
          <a:extLst>
            <a:ext uri="{FF2B5EF4-FFF2-40B4-BE49-F238E27FC236}">
              <a16:creationId xmlns:a16="http://schemas.microsoft.com/office/drawing/2014/main" id="{00000000-0008-0000-0100-000053040000}"/>
            </a:ext>
          </a:extLst>
        </xdr:cNvPr>
        <xdr:cNvGrpSpPr/>
      </xdr:nvGrpSpPr>
      <xdr:grpSpPr>
        <a:xfrm>
          <a:off x="7264400" y="14143650"/>
          <a:ext cx="601291" cy="233205"/>
          <a:chOff x="8505825" y="10572744"/>
          <a:chExt cx="601291" cy="233205"/>
        </a:xfrm>
      </xdr:grpSpPr>
      <xdr:sp macro="" textlink="DO3">
        <xdr:nvSpPr>
          <xdr:cNvPr id="1082" name="TextBox 1081">
            <a:extLst>
              <a:ext uri="{FF2B5EF4-FFF2-40B4-BE49-F238E27FC236}">
                <a16:creationId xmlns:a16="http://schemas.microsoft.com/office/drawing/2014/main" id="{00000000-0008-0000-0100-00003A040000}"/>
              </a:ext>
            </a:extLst>
          </xdr:cNvPr>
          <xdr:cNvSpPr txBox="1"/>
        </xdr:nvSpPr>
        <xdr:spPr>
          <a:xfrm>
            <a:off x="8505825" y="10572744"/>
            <a:ext cx="60129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fld id="{306DBF07-3D1E-48A3-BEB1-3ACEC5E3331F}" type="TxLink">
              <a:rPr lang="en-US" sz="800" b="1" i="0" u="none" strike="noStrike">
                <a:solidFill>
                  <a:srgbClr val="0000FF"/>
                </a:solidFill>
                <a:latin typeface="Calibri"/>
                <a:ea typeface="Calibri"/>
                <a:cs typeface="Calibri"/>
              </a:rPr>
              <a:pPr/>
              <a:t> </a:t>
            </a:fld>
            <a:endParaRPr lang="en-US" sz="1000">
              <a:solidFill>
                <a:schemeClr val="tx1">
                  <a:lumMod val="65000"/>
                  <a:lumOff val="35000"/>
                </a:schemeClr>
              </a:solidFill>
            </a:endParaRPr>
          </a:p>
        </xdr:txBody>
      </xdr:sp>
      <xdr:sp macro="" textlink="DN3">
        <xdr:nvSpPr>
          <xdr:cNvPr id="1106" name="TextBox 1105">
            <a:extLst>
              <a:ext uri="{FF2B5EF4-FFF2-40B4-BE49-F238E27FC236}">
                <a16:creationId xmlns:a16="http://schemas.microsoft.com/office/drawing/2014/main" id="{00000000-0008-0000-0100-000052040000}"/>
              </a:ext>
            </a:extLst>
          </xdr:cNvPr>
          <xdr:cNvSpPr txBox="1"/>
        </xdr:nvSpPr>
        <xdr:spPr>
          <a:xfrm>
            <a:off x="8505825" y="10572744"/>
            <a:ext cx="60129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fld id="{DF769C04-E411-46FA-A568-87E8E0841559}" type="TxLink">
              <a:rPr lang="en-US" sz="800" b="1" i="0" u="none" strike="noStrike">
                <a:solidFill>
                  <a:schemeClr val="tx1">
                    <a:lumMod val="65000"/>
                    <a:lumOff val="35000"/>
                  </a:schemeClr>
                </a:solidFill>
                <a:latin typeface="Calibri"/>
                <a:ea typeface="Calibri"/>
                <a:cs typeface="Calibri"/>
              </a:rPr>
              <a:pPr/>
              <a:t>Show</a:t>
            </a:fld>
            <a:endParaRPr lang="en-US" sz="1000">
              <a:solidFill>
                <a:schemeClr val="tx1">
                  <a:lumMod val="65000"/>
                  <a:lumOff val="35000"/>
                </a:schemeClr>
              </a:solidFill>
            </a:endParaRPr>
          </a:p>
        </xdr:txBody>
      </xdr:sp>
    </xdr:grpSp>
    <xdr:clientData/>
  </xdr:twoCellAnchor>
  <mc:AlternateContent xmlns:mc="http://schemas.openxmlformats.org/markup-compatibility/2006">
    <mc:Choice xmlns:a14="http://schemas.microsoft.com/office/drawing/2010/main" Requires="a14">
      <xdr:twoCellAnchor editAs="oneCell">
        <xdr:from>
          <xdr:col>9</xdr:col>
          <xdr:colOff>12700</xdr:colOff>
          <xdr:row>102</xdr:row>
          <xdr:rowOff>146050</xdr:rowOff>
        </xdr:from>
        <xdr:to>
          <xdr:col>9</xdr:col>
          <xdr:colOff>209550</xdr:colOff>
          <xdr:row>104</xdr:row>
          <xdr:rowOff>31750</xdr:rowOff>
        </xdr:to>
        <xdr:sp macro="" textlink="">
          <xdr:nvSpPr>
            <xdr:cNvPr id="1115" name="Option Button 91" hidden="1">
              <a:extLst>
                <a:ext uri="{63B3BB69-23CF-44E3-9099-C40C66FF867C}">
                  <a14:compatExt spid="_x0000_s1115"/>
                </a:ext>
                <a:ext uri="{FF2B5EF4-FFF2-40B4-BE49-F238E27FC236}">
                  <a16:creationId xmlns:a16="http://schemas.microsoft.com/office/drawing/2014/main" id="{00000000-0008-0000-02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103</xdr:row>
          <xdr:rowOff>114300</xdr:rowOff>
        </xdr:from>
        <xdr:to>
          <xdr:col>9</xdr:col>
          <xdr:colOff>241300</xdr:colOff>
          <xdr:row>105</xdr:row>
          <xdr:rowOff>57150</xdr:rowOff>
        </xdr:to>
        <xdr:sp macro="" textlink="">
          <xdr:nvSpPr>
            <xdr:cNvPr id="1116" name="Option Button 92" hidden="1">
              <a:extLst>
                <a:ext uri="{63B3BB69-23CF-44E3-9099-C40C66FF867C}">
                  <a14:compatExt spid="_x0000_s1116"/>
                </a:ext>
                <a:ext uri="{FF2B5EF4-FFF2-40B4-BE49-F238E27FC236}">
                  <a16:creationId xmlns:a16="http://schemas.microsoft.com/office/drawing/2014/main" id="{00000000-0008-0000-02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552450</xdr:colOff>
          <xdr:row>161</xdr:row>
          <xdr:rowOff>12700</xdr:rowOff>
        </xdr:from>
        <xdr:to>
          <xdr:col>11</xdr:col>
          <xdr:colOff>203200</xdr:colOff>
          <xdr:row>164</xdr:row>
          <xdr:rowOff>127000</xdr:rowOff>
        </xdr:to>
        <xdr:sp macro="" textlink="">
          <xdr:nvSpPr>
            <xdr:cNvPr id="1120" name="Group Box 96" hidden="1">
              <a:extLst>
                <a:ext uri="{63B3BB69-23CF-44E3-9099-C40C66FF867C}">
                  <a14:compatExt spid="_x0000_s1120"/>
                </a:ext>
                <a:ext uri="{FF2B5EF4-FFF2-40B4-BE49-F238E27FC236}">
                  <a16:creationId xmlns:a16="http://schemas.microsoft.com/office/drawing/2014/main" id="{00000000-0008-0000-0200-000060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9</xdr:col>
      <xdr:colOff>428625</xdr:colOff>
      <xdr:row>160</xdr:row>
      <xdr:rowOff>133350</xdr:rowOff>
    </xdr:from>
    <xdr:to>
      <xdr:col>11</xdr:col>
      <xdr:colOff>361950</xdr:colOff>
      <xdr:row>165</xdr:row>
      <xdr:rowOff>28575</xdr:rowOff>
    </xdr:to>
    <xdr:sp macro="" textlink="">
      <xdr:nvSpPr>
        <xdr:cNvPr id="1129" name="Rectangle 1128">
          <a:extLst>
            <a:ext uri="{FF2B5EF4-FFF2-40B4-BE49-F238E27FC236}">
              <a16:creationId xmlns:a16="http://schemas.microsoft.com/office/drawing/2014/main" id="{00000000-0008-0000-0100-000069040000}"/>
            </a:ext>
          </a:extLst>
        </xdr:cNvPr>
        <xdr:cNvSpPr/>
      </xdr:nvSpPr>
      <xdr:spPr>
        <a:xfrm>
          <a:off x="7600950" y="16021050"/>
          <a:ext cx="1552575" cy="657225"/>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9</xdr:col>
      <xdr:colOff>695325</xdr:colOff>
      <xdr:row>161</xdr:row>
      <xdr:rowOff>47624</xdr:rowOff>
    </xdr:from>
    <xdr:ext cx="1009650" cy="219075"/>
    <xdr:sp macro="" textlink="">
      <xdr:nvSpPr>
        <xdr:cNvPr id="1113" name="TextBox 1112">
          <a:extLst>
            <a:ext uri="{FF2B5EF4-FFF2-40B4-BE49-F238E27FC236}">
              <a16:creationId xmlns:a16="http://schemas.microsoft.com/office/drawing/2014/main" id="{00000000-0008-0000-0100-000059040000}"/>
            </a:ext>
          </a:extLst>
        </xdr:cNvPr>
        <xdr:cNvSpPr txBox="1"/>
      </xdr:nvSpPr>
      <xdr:spPr>
        <a:xfrm>
          <a:off x="7867650" y="16087724"/>
          <a:ext cx="1009650" cy="2190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800" b="1">
              <a:solidFill>
                <a:schemeClr val="tx1">
                  <a:lumMod val="75000"/>
                  <a:lumOff val="25000"/>
                </a:schemeClr>
              </a:solidFill>
            </a:rPr>
            <a:t>One-Time</a:t>
          </a:r>
          <a:r>
            <a:rPr lang="en-US" sz="800" b="1" baseline="0">
              <a:solidFill>
                <a:schemeClr val="tx1">
                  <a:lumMod val="75000"/>
                  <a:lumOff val="25000"/>
                </a:schemeClr>
              </a:solidFill>
            </a:rPr>
            <a:t> Expenses</a:t>
          </a:r>
          <a:endParaRPr lang="en-US" sz="800" b="1">
            <a:solidFill>
              <a:schemeClr val="tx1">
                <a:lumMod val="75000"/>
                <a:lumOff val="25000"/>
              </a:schemeClr>
            </a:solidFill>
          </a:endParaRPr>
        </a:p>
      </xdr:txBody>
    </xdr:sp>
    <xdr:clientData/>
  </xdr:oneCellAnchor>
  <xdr:twoCellAnchor>
    <xdr:from>
      <xdr:col>10</xdr:col>
      <xdr:colOff>19050</xdr:colOff>
      <xdr:row>162</xdr:row>
      <xdr:rowOff>38100</xdr:rowOff>
    </xdr:from>
    <xdr:to>
      <xdr:col>10</xdr:col>
      <xdr:colOff>620341</xdr:colOff>
      <xdr:row>163</xdr:row>
      <xdr:rowOff>118905</xdr:rowOff>
    </xdr:to>
    <xdr:grpSp>
      <xdr:nvGrpSpPr>
        <xdr:cNvPr id="1127" name="Group 1126">
          <a:extLst>
            <a:ext uri="{FF2B5EF4-FFF2-40B4-BE49-F238E27FC236}">
              <a16:creationId xmlns:a16="http://schemas.microsoft.com/office/drawing/2014/main" id="{00000000-0008-0000-0100-000067040000}"/>
            </a:ext>
          </a:extLst>
        </xdr:cNvPr>
        <xdr:cNvGrpSpPr/>
      </xdr:nvGrpSpPr>
      <xdr:grpSpPr>
        <a:xfrm>
          <a:off x="7975600" y="20148550"/>
          <a:ext cx="601291" cy="233205"/>
          <a:chOff x="11220450" y="16011525"/>
          <a:chExt cx="601291" cy="233205"/>
        </a:xfrm>
      </xdr:grpSpPr>
      <xdr:sp macro="" textlink="DQ3">
        <xdr:nvSpPr>
          <xdr:cNvPr id="1124" name="TextBox 1123">
            <a:extLst>
              <a:ext uri="{FF2B5EF4-FFF2-40B4-BE49-F238E27FC236}">
                <a16:creationId xmlns:a16="http://schemas.microsoft.com/office/drawing/2014/main" id="{00000000-0008-0000-0100-000064040000}"/>
              </a:ext>
            </a:extLst>
          </xdr:cNvPr>
          <xdr:cNvSpPr txBox="1"/>
        </xdr:nvSpPr>
        <xdr:spPr>
          <a:xfrm>
            <a:off x="11220450" y="16011525"/>
            <a:ext cx="60129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fld id="{3D0612EC-B36B-4EBF-AF74-D732032ECCE5}" type="TxLink">
              <a:rPr lang="en-US" sz="800" b="1" i="0" u="none" strike="noStrike">
                <a:solidFill>
                  <a:schemeClr val="tx1">
                    <a:lumMod val="65000"/>
                    <a:lumOff val="35000"/>
                  </a:schemeClr>
                </a:solidFill>
                <a:latin typeface="Calibri"/>
                <a:ea typeface="Calibri"/>
                <a:cs typeface="Calibri"/>
              </a:rPr>
              <a:pPr/>
              <a:t>Show</a:t>
            </a:fld>
            <a:endParaRPr lang="en-US" sz="900">
              <a:solidFill>
                <a:schemeClr val="tx1">
                  <a:lumMod val="65000"/>
                  <a:lumOff val="35000"/>
                </a:schemeClr>
              </a:solidFill>
            </a:endParaRPr>
          </a:p>
        </xdr:txBody>
      </xdr:sp>
      <xdr:sp macro="" textlink="DR3">
        <xdr:nvSpPr>
          <xdr:cNvPr id="1125" name="TextBox 1124">
            <a:extLst>
              <a:ext uri="{FF2B5EF4-FFF2-40B4-BE49-F238E27FC236}">
                <a16:creationId xmlns:a16="http://schemas.microsoft.com/office/drawing/2014/main" id="{00000000-0008-0000-0100-000065040000}"/>
              </a:ext>
            </a:extLst>
          </xdr:cNvPr>
          <xdr:cNvSpPr txBox="1"/>
        </xdr:nvSpPr>
        <xdr:spPr>
          <a:xfrm>
            <a:off x="11220450" y="16011525"/>
            <a:ext cx="60129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fld id="{A58F8AA9-A1BC-410C-B036-3AA9AC0BC076}" type="TxLink">
              <a:rPr lang="en-US" sz="800" b="1" i="0" u="none" strike="noStrike">
                <a:solidFill>
                  <a:srgbClr val="0000FF"/>
                </a:solidFill>
                <a:latin typeface="Calibri"/>
                <a:ea typeface="Calibri"/>
                <a:cs typeface="Calibri"/>
              </a:rPr>
              <a:pPr/>
              <a:t> </a:t>
            </a:fld>
            <a:endParaRPr lang="en-US" sz="900">
              <a:solidFill>
                <a:srgbClr val="0000FF"/>
              </a:solidFill>
            </a:endParaRPr>
          </a:p>
        </xdr:txBody>
      </xdr:sp>
    </xdr:grpSp>
    <xdr:clientData/>
  </xdr:twoCellAnchor>
  <xdr:twoCellAnchor>
    <xdr:from>
      <xdr:col>10</xdr:col>
      <xdr:colOff>28575</xdr:colOff>
      <xdr:row>163</xdr:row>
      <xdr:rowOff>33984</xdr:rowOff>
    </xdr:from>
    <xdr:to>
      <xdr:col>10</xdr:col>
      <xdr:colOff>523875</xdr:colOff>
      <xdr:row>164</xdr:row>
      <xdr:rowOff>99144</xdr:rowOff>
    </xdr:to>
    <xdr:grpSp>
      <xdr:nvGrpSpPr>
        <xdr:cNvPr id="1128" name="Group 1127">
          <a:extLst>
            <a:ext uri="{FF2B5EF4-FFF2-40B4-BE49-F238E27FC236}">
              <a16:creationId xmlns:a16="http://schemas.microsoft.com/office/drawing/2014/main" id="{00000000-0008-0000-0100-000068040000}"/>
            </a:ext>
          </a:extLst>
        </xdr:cNvPr>
        <xdr:cNvGrpSpPr/>
      </xdr:nvGrpSpPr>
      <xdr:grpSpPr>
        <a:xfrm>
          <a:off x="7985125" y="20296834"/>
          <a:ext cx="495300" cy="217560"/>
          <a:chOff x="11229975" y="16202053"/>
          <a:chExt cx="495300" cy="217560"/>
        </a:xfrm>
      </xdr:grpSpPr>
      <xdr:sp macro="" textlink="DQ4">
        <xdr:nvSpPr>
          <xdr:cNvPr id="1118" name="TextBox 1117">
            <a:extLst>
              <a:ext uri="{FF2B5EF4-FFF2-40B4-BE49-F238E27FC236}">
                <a16:creationId xmlns:a16="http://schemas.microsoft.com/office/drawing/2014/main" id="{00000000-0008-0000-0100-00005E040000}"/>
              </a:ext>
            </a:extLst>
          </xdr:cNvPr>
          <xdr:cNvSpPr txBox="1"/>
        </xdr:nvSpPr>
        <xdr:spPr>
          <a:xfrm>
            <a:off x="11229975" y="16202053"/>
            <a:ext cx="49530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fld id="{304BBD19-D74B-4B66-A792-1CDA883A37D2}" type="TxLink">
              <a:rPr lang="en-US" sz="800" b="1" i="0" u="none" strike="noStrike">
                <a:solidFill>
                  <a:schemeClr val="tx1">
                    <a:lumMod val="65000"/>
                    <a:lumOff val="35000"/>
                  </a:schemeClr>
                </a:solidFill>
                <a:latin typeface="Calibri"/>
                <a:ea typeface="Calibri"/>
                <a:cs typeface="Calibri"/>
              </a:rPr>
              <a:pPr/>
              <a:t> </a:t>
            </a:fld>
            <a:endParaRPr lang="en-US" sz="900">
              <a:solidFill>
                <a:schemeClr val="tx1">
                  <a:lumMod val="65000"/>
                  <a:lumOff val="35000"/>
                </a:schemeClr>
              </a:solidFill>
            </a:endParaRPr>
          </a:p>
        </xdr:txBody>
      </xdr:sp>
      <xdr:sp macro="" textlink="DR4">
        <xdr:nvSpPr>
          <xdr:cNvPr id="1119" name="TextBox 1118">
            <a:extLst>
              <a:ext uri="{FF2B5EF4-FFF2-40B4-BE49-F238E27FC236}">
                <a16:creationId xmlns:a16="http://schemas.microsoft.com/office/drawing/2014/main" id="{00000000-0008-0000-0100-00005F040000}"/>
              </a:ext>
            </a:extLst>
          </xdr:cNvPr>
          <xdr:cNvSpPr txBox="1"/>
        </xdr:nvSpPr>
        <xdr:spPr>
          <a:xfrm>
            <a:off x="11229975" y="16202053"/>
            <a:ext cx="49530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fld id="{F26F9713-20FB-435D-A90B-18D33352141B}" type="TxLink">
              <a:rPr lang="en-US" sz="800" b="1" i="0" u="none" strike="noStrike">
                <a:solidFill>
                  <a:srgbClr val="0000FF"/>
                </a:solidFill>
                <a:latin typeface="Calibri"/>
                <a:ea typeface="Calibri"/>
                <a:cs typeface="Calibri"/>
              </a:rPr>
              <a:pPr/>
              <a:t>Hide</a:t>
            </a:fld>
            <a:endParaRPr lang="en-US" sz="900">
              <a:solidFill>
                <a:srgbClr val="0000FF"/>
              </a:solidFill>
            </a:endParaRPr>
          </a:p>
        </xdr:txBody>
      </xdr:sp>
    </xdr:grpSp>
    <xdr:clientData/>
  </xdr:twoCellAnchor>
  <mc:AlternateContent xmlns:mc="http://schemas.openxmlformats.org/markup-compatibility/2006">
    <mc:Choice xmlns:a14="http://schemas.microsoft.com/office/drawing/2010/main" Requires="a14">
      <xdr:twoCellAnchor editAs="oneCell">
        <xdr:from>
          <xdr:col>8</xdr:col>
          <xdr:colOff>685800</xdr:colOff>
          <xdr:row>178</xdr:row>
          <xdr:rowOff>31750</xdr:rowOff>
        </xdr:from>
        <xdr:to>
          <xdr:col>10</xdr:col>
          <xdr:colOff>323850</xdr:colOff>
          <xdr:row>181</xdr:row>
          <xdr:rowOff>114300</xdr:rowOff>
        </xdr:to>
        <xdr:sp macro="" textlink="">
          <xdr:nvSpPr>
            <xdr:cNvPr id="1126" name="Group Box 102" hidden="1">
              <a:extLst>
                <a:ext uri="{63B3BB69-23CF-44E3-9099-C40C66FF867C}">
                  <a14:compatExt spid="_x0000_s1126"/>
                </a:ext>
                <a:ext uri="{FF2B5EF4-FFF2-40B4-BE49-F238E27FC236}">
                  <a16:creationId xmlns:a16="http://schemas.microsoft.com/office/drawing/2014/main" id="{00000000-0008-0000-0200-00006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8</xdr:col>
      <xdr:colOff>523875</xdr:colOff>
      <xdr:row>177</xdr:row>
      <xdr:rowOff>142875</xdr:rowOff>
    </xdr:from>
    <xdr:to>
      <xdr:col>10</xdr:col>
      <xdr:colOff>457200</xdr:colOff>
      <xdr:row>182</xdr:row>
      <xdr:rowOff>38100</xdr:rowOff>
    </xdr:to>
    <xdr:sp macro="" textlink="">
      <xdr:nvSpPr>
        <xdr:cNvPr id="1142" name="Rectangle 1141">
          <a:extLst>
            <a:ext uri="{FF2B5EF4-FFF2-40B4-BE49-F238E27FC236}">
              <a16:creationId xmlns:a16="http://schemas.microsoft.com/office/drawing/2014/main" id="{00000000-0008-0000-0100-000076040000}"/>
            </a:ext>
          </a:extLst>
        </xdr:cNvPr>
        <xdr:cNvSpPr/>
      </xdr:nvSpPr>
      <xdr:spPr>
        <a:xfrm>
          <a:off x="6886575" y="17859375"/>
          <a:ext cx="1552575" cy="657225"/>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8</xdr:col>
      <xdr:colOff>723900</xdr:colOff>
      <xdr:row>178</xdr:row>
      <xdr:rowOff>47624</xdr:rowOff>
    </xdr:from>
    <xdr:ext cx="1009650" cy="219075"/>
    <xdr:sp macro="" textlink="">
      <xdr:nvSpPr>
        <xdr:cNvPr id="1133" name="TextBox 1132">
          <a:extLst>
            <a:ext uri="{FF2B5EF4-FFF2-40B4-BE49-F238E27FC236}">
              <a16:creationId xmlns:a16="http://schemas.microsoft.com/office/drawing/2014/main" id="{00000000-0008-0000-0100-00006D040000}"/>
            </a:ext>
          </a:extLst>
        </xdr:cNvPr>
        <xdr:cNvSpPr txBox="1"/>
      </xdr:nvSpPr>
      <xdr:spPr>
        <a:xfrm>
          <a:off x="7086600" y="17916524"/>
          <a:ext cx="1009650" cy="2190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800" b="1">
              <a:solidFill>
                <a:schemeClr val="tx1">
                  <a:lumMod val="75000"/>
                  <a:lumOff val="25000"/>
                </a:schemeClr>
              </a:solidFill>
            </a:rPr>
            <a:t>One-Time</a:t>
          </a:r>
          <a:r>
            <a:rPr lang="en-US" sz="800" b="1" baseline="0">
              <a:solidFill>
                <a:schemeClr val="tx1">
                  <a:lumMod val="75000"/>
                  <a:lumOff val="25000"/>
                </a:schemeClr>
              </a:solidFill>
            </a:rPr>
            <a:t> Expenses</a:t>
          </a:r>
          <a:endParaRPr lang="en-US" sz="800" b="1">
            <a:solidFill>
              <a:schemeClr val="tx1">
                <a:lumMod val="75000"/>
                <a:lumOff val="25000"/>
              </a:schemeClr>
            </a:solidFill>
          </a:endParaRPr>
        </a:p>
      </xdr:txBody>
    </xdr:sp>
    <xdr:clientData/>
  </xdr:oneCellAnchor>
  <xdr:twoCellAnchor>
    <xdr:from>
      <xdr:col>9</xdr:col>
      <xdr:colOff>47625</xdr:colOff>
      <xdr:row>179</xdr:row>
      <xdr:rowOff>47625</xdr:rowOff>
    </xdr:from>
    <xdr:to>
      <xdr:col>9</xdr:col>
      <xdr:colOff>648916</xdr:colOff>
      <xdr:row>180</xdr:row>
      <xdr:rowOff>128430</xdr:rowOff>
    </xdr:to>
    <xdr:grpSp>
      <xdr:nvGrpSpPr>
        <xdr:cNvPr id="1140" name="Group 1139">
          <a:extLst>
            <a:ext uri="{FF2B5EF4-FFF2-40B4-BE49-F238E27FC236}">
              <a16:creationId xmlns:a16="http://schemas.microsoft.com/office/drawing/2014/main" id="{00000000-0008-0000-0100-000074040000}"/>
            </a:ext>
          </a:extLst>
        </xdr:cNvPr>
        <xdr:cNvGrpSpPr/>
      </xdr:nvGrpSpPr>
      <xdr:grpSpPr>
        <a:xfrm>
          <a:off x="7197725" y="21986875"/>
          <a:ext cx="601291" cy="233205"/>
          <a:chOff x="10372725" y="17983200"/>
          <a:chExt cx="601291" cy="233205"/>
        </a:xfrm>
      </xdr:grpSpPr>
      <xdr:sp macro="" textlink="DU3">
        <xdr:nvSpPr>
          <xdr:cNvPr id="1138" name="TextBox 1137">
            <a:extLst>
              <a:ext uri="{FF2B5EF4-FFF2-40B4-BE49-F238E27FC236}">
                <a16:creationId xmlns:a16="http://schemas.microsoft.com/office/drawing/2014/main" id="{00000000-0008-0000-0100-000072040000}"/>
              </a:ext>
            </a:extLst>
          </xdr:cNvPr>
          <xdr:cNvSpPr txBox="1"/>
        </xdr:nvSpPr>
        <xdr:spPr>
          <a:xfrm>
            <a:off x="10372725" y="17983200"/>
            <a:ext cx="60129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fld id="{B78CC297-645D-4D9F-87A2-AAD5A171C0C6}" type="TxLink">
              <a:rPr lang="en-US" sz="800" b="1" i="0" u="none" strike="noStrike">
                <a:solidFill>
                  <a:srgbClr val="0000FF"/>
                </a:solidFill>
                <a:latin typeface="Calibri"/>
                <a:ea typeface="Calibri"/>
                <a:cs typeface="Calibri"/>
              </a:rPr>
              <a:pPr/>
              <a:t> </a:t>
            </a:fld>
            <a:endParaRPr lang="en-US" sz="800">
              <a:solidFill>
                <a:srgbClr val="0000FF"/>
              </a:solidFill>
            </a:endParaRPr>
          </a:p>
        </xdr:txBody>
      </xdr:sp>
      <xdr:sp macro="" textlink="DT3">
        <xdr:nvSpPr>
          <xdr:cNvPr id="1139" name="TextBox 1138">
            <a:extLst>
              <a:ext uri="{FF2B5EF4-FFF2-40B4-BE49-F238E27FC236}">
                <a16:creationId xmlns:a16="http://schemas.microsoft.com/office/drawing/2014/main" id="{00000000-0008-0000-0100-000073040000}"/>
              </a:ext>
            </a:extLst>
          </xdr:cNvPr>
          <xdr:cNvSpPr txBox="1"/>
        </xdr:nvSpPr>
        <xdr:spPr>
          <a:xfrm>
            <a:off x="10372725" y="17983200"/>
            <a:ext cx="60129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fld id="{FE0C5A0D-80AE-4E51-9C8E-C15689C5BA7E}" type="TxLink">
              <a:rPr lang="en-US" sz="800" b="1" i="0" u="none" strike="noStrike">
                <a:solidFill>
                  <a:schemeClr val="tx1">
                    <a:lumMod val="75000"/>
                    <a:lumOff val="25000"/>
                  </a:schemeClr>
                </a:solidFill>
                <a:latin typeface="Calibri"/>
                <a:ea typeface="Calibri"/>
                <a:cs typeface="Calibri"/>
              </a:rPr>
              <a:pPr/>
              <a:t>Show</a:t>
            </a:fld>
            <a:endParaRPr lang="en-US" sz="800">
              <a:solidFill>
                <a:schemeClr val="tx1">
                  <a:lumMod val="75000"/>
                  <a:lumOff val="25000"/>
                </a:schemeClr>
              </a:solidFill>
            </a:endParaRPr>
          </a:p>
        </xdr:txBody>
      </xdr:sp>
    </xdr:grpSp>
    <xdr:clientData/>
  </xdr:twoCellAnchor>
  <xdr:twoCellAnchor>
    <xdr:from>
      <xdr:col>9</xdr:col>
      <xdr:colOff>47625</xdr:colOff>
      <xdr:row>180</xdr:row>
      <xdr:rowOff>47625</xdr:rowOff>
    </xdr:from>
    <xdr:to>
      <xdr:col>9</xdr:col>
      <xdr:colOff>542925</xdr:colOff>
      <xdr:row>181</xdr:row>
      <xdr:rowOff>112785</xdr:rowOff>
    </xdr:to>
    <xdr:grpSp>
      <xdr:nvGrpSpPr>
        <xdr:cNvPr id="1141" name="Group 1140">
          <a:extLst>
            <a:ext uri="{FF2B5EF4-FFF2-40B4-BE49-F238E27FC236}">
              <a16:creationId xmlns:a16="http://schemas.microsoft.com/office/drawing/2014/main" id="{00000000-0008-0000-0100-000075040000}"/>
            </a:ext>
          </a:extLst>
        </xdr:cNvPr>
        <xdr:cNvGrpSpPr/>
      </xdr:nvGrpSpPr>
      <xdr:grpSpPr>
        <a:xfrm>
          <a:off x="7197725" y="22139275"/>
          <a:ext cx="495300" cy="217560"/>
          <a:chOff x="10410825" y="18164175"/>
          <a:chExt cx="495300" cy="217560"/>
        </a:xfrm>
      </xdr:grpSpPr>
      <xdr:sp macro="" textlink="DT4">
        <xdr:nvSpPr>
          <xdr:cNvPr id="1135" name="TextBox 1134">
            <a:extLst>
              <a:ext uri="{FF2B5EF4-FFF2-40B4-BE49-F238E27FC236}">
                <a16:creationId xmlns:a16="http://schemas.microsoft.com/office/drawing/2014/main" id="{00000000-0008-0000-0100-00006F040000}"/>
              </a:ext>
            </a:extLst>
          </xdr:cNvPr>
          <xdr:cNvSpPr txBox="1"/>
        </xdr:nvSpPr>
        <xdr:spPr>
          <a:xfrm>
            <a:off x="10410825" y="18164175"/>
            <a:ext cx="49530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fld id="{CA1A0DBC-8EBB-4172-A875-71FC0D53E9F6}" type="TxLink">
              <a:rPr lang="en-US" sz="800" b="1" i="0" u="none" strike="noStrike">
                <a:solidFill>
                  <a:schemeClr val="tx1">
                    <a:lumMod val="75000"/>
                    <a:lumOff val="25000"/>
                  </a:schemeClr>
                </a:solidFill>
                <a:latin typeface="Calibri"/>
                <a:ea typeface="Calibri"/>
                <a:cs typeface="Calibri"/>
              </a:rPr>
              <a:pPr/>
              <a:t> </a:t>
            </a:fld>
            <a:endParaRPr lang="en-US" sz="800">
              <a:solidFill>
                <a:schemeClr val="tx1">
                  <a:lumMod val="75000"/>
                  <a:lumOff val="25000"/>
                </a:schemeClr>
              </a:solidFill>
            </a:endParaRPr>
          </a:p>
        </xdr:txBody>
      </xdr:sp>
      <xdr:sp macro="" textlink="DU4">
        <xdr:nvSpPr>
          <xdr:cNvPr id="1136" name="TextBox 1135">
            <a:extLst>
              <a:ext uri="{FF2B5EF4-FFF2-40B4-BE49-F238E27FC236}">
                <a16:creationId xmlns:a16="http://schemas.microsoft.com/office/drawing/2014/main" id="{00000000-0008-0000-0100-000070040000}"/>
              </a:ext>
            </a:extLst>
          </xdr:cNvPr>
          <xdr:cNvSpPr txBox="1"/>
        </xdr:nvSpPr>
        <xdr:spPr>
          <a:xfrm>
            <a:off x="10410825" y="18164175"/>
            <a:ext cx="49530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fld id="{4E0D7AA3-1F66-4C1A-8711-0A1960B76A52}" type="TxLink">
              <a:rPr lang="en-US" sz="800" b="1" i="0" u="none" strike="noStrike">
                <a:solidFill>
                  <a:srgbClr val="0000FF"/>
                </a:solidFill>
                <a:latin typeface="Calibri"/>
                <a:ea typeface="Calibri"/>
                <a:cs typeface="Calibri"/>
              </a:rPr>
              <a:pPr/>
              <a:t>Hide</a:t>
            </a:fld>
            <a:endParaRPr lang="en-US" sz="800">
              <a:solidFill>
                <a:srgbClr val="0000FF"/>
              </a:solidFill>
            </a:endParaRPr>
          </a:p>
        </xdr:txBody>
      </xdr:sp>
    </xdr:grpSp>
    <xdr:clientData/>
  </xdr:twoCellAnchor>
  <mc:AlternateContent xmlns:mc="http://schemas.openxmlformats.org/markup-compatibility/2006">
    <mc:Choice xmlns:a14="http://schemas.microsoft.com/office/drawing/2010/main" Requires="a14">
      <xdr:twoCellAnchor editAs="oneCell">
        <xdr:from>
          <xdr:col>8</xdr:col>
          <xdr:colOff>755650</xdr:colOff>
          <xdr:row>179</xdr:row>
          <xdr:rowOff>38100</xdr:rowOff>
        </xdr:from>
        <xdr:to>
          <xdr:col>9</xdr:col>
          <xdr:colOff>247650</xdr:colOff>
          <xdr:row>180</xdr:row>
          <xdr:rowOff>107950</xdr:rowOff>
        </xdr:to>
        <xdr:sp macro="" textlink="">
          <xdr:nvSpPr>
            <xdr:cNvPr id="1053" name="Option Button 103" hidden="1">
              <a:extLst>
                <a:ext uri="{63B3BB69-23CF-44E3-9099-C40C66FF867C}">
                  <a14:compatExt spid="_x0000_s1127"/>
                </a:ext>
                <a:ext uri="{FF2B5EF4-FFF2-40B4-BE49-F238E27FC236}">
                  <a16:creationId xmlns:a16="http://schemas.microsoft.com/office/drawing/2014/main" id="{00000000-0008-0000-02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755650</xdr:colOff>
          <xdr:row>180</xdr:row>
          <xdr:rowOff>38100</xdr:rowOff>
        </xdr:from>
        <xdr:to>
          <xdr:col>9</xdr:col>
          <xdr:colOff>323850</xdr:colOff>
          <xdr:row>181</xdr:row>
          <xdr:rowOff>107950</xdr:rowOff>
        </xdr:to>
        <xdr:sp macro="" textlink="">
          <xdr:nvSpPr>
            <xdr:cNvPr id="1055" name="Option Button 104" hidden="1">
              <a:extLst>
                <a:ext uri="{63B3BB69-23CF-44E3-9099-C40C66FF867C}">
                  <a14:compatExt spid="_x0000_s1128"/>
                </a:ext>
                <a:ext uri="{FF2B5EF4-FFF2-40B4-BE49-F238E27FC236}">
                  <a16:creationId xmlns:a16="http://schemas.microsoft.com/office/drawing/2014/main" id="{00000000-0008-0000-02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273</xdr:row>
          <xdr:rowOff>76200</xdr:rowOff>
        </xdr:from>
        <xdr:to>
          <xdr:col>10</xdr:col>
          <xdr:colOff>438150</xdr:colOff>
          <xdr:row>276</xdr:row>
          <xdr:rowOff>95250</xdr:rowOff>
        </xdr:to>
        <xdr:sp macro="" textlink="">
          <xdr:nvSpPr>
            <xdr:cNvPr id="1130" name="Group Box 106" hidden="1">
              <a:extLst>
                <a:ext uri="{63B3BB69-23CF-44E3-9099-C40C66FF867C}">
                  <a14:compatExt spid="_x0000_s1130"/>
                </a:ext>
                <a:ext uri="{FF2B5EF4-FFF2-40B4-BE49-F238E27FC236}">
                  <a16:creationId xmlns:a16="http://schemas.microsoft.com/office/drawing/2014/main" id="{00000000-0008-0000-0200-00006A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9</xdr:col>
      <xdr:colOff>47625</xdr:colOff>
      <xdr:row>272</xdr:row>
      <xdr:rowOff>104775</xdr:rowOff>
    </xdr:from>
    <xdr:to>
      <xdr:col>10</xdr:col>
      <xdr:colOff>790575</xdr:colOff>
      <xdr:row>277</xdr:row>
      <xdr:rowOff>0</xdr:rowOff>
    </xdr:to>
    <xdr:sp macro="" textlink="">
      <xdr:nvSpPr>
        <xdr:cNvPr id="1159" name="Rectangle 1158">
          <a:extLst>
            <a:ext uri="{FF2B5EF4-FFF2-40B4-BE49-F238E27FC236}">
              <a16:creationId xmlns:a16="http://schemas.microsoft.com/office/drawing/2014/main" id="{00000000-0008-0000-0100-000087040000}"/>
            </a:ext>
          </a:extLst>
        </xdr:cNvPr>
        <xdr:cNvSpPr/>
      </xdr:nvSpPr>
      <xdr:spPr>
        <a:xfrm>
          <a:off x="7219950" y="22393275"/>
          <a:ext cx="1552575" cy="657225"/>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9</xdr:col>
      <xdr:colOff>152400</xdr:colOff>
      <xdr:row>273</xdr:row>
      <xdr:rowOff>28575</xdr:rowOff>
    </xdr:from>
    <xdr:ext cx="1009650" cy="219075"/>
    <xdr:sp macro="" textlink="">
      <xdr:nvSpPr>
        <xdr:cNvPr id="1146" name="TextBox 1145">
          <a:extLst>
            <a:ext uri="{FF2B5EF4-FFF2-40B4-BE49-F238E27FC236}">
              <a16:creationId xmlns:a16="http://schemas.microsoft.com/office/drawing/2014/main" id="{00000000-0008-0000-0100-00007A040000}"/>
            </a:ext>
          </a:extLst>
        </xdr:cNvPr>
        <xdr:cNvSpPr txBox="1"/>
      </xdr:nvSpPr>
      <xdr:spPr>
        <a:xfrm>
          <a:off x="7324725" y="22469475"/>
          <a:ext cx="1009650" cy="2190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800" b="1">
              <a:solidFill>
                <a:schemeClr val="tx1">
                  <a:lumMod val="75000"/>
                  <a:lumOff val="25000"/>
                </a:schemeClr>
              </a:solidFill>
            </a:rPr>
            <a:t>SAFES</a:t>
          </a:r>
        </a:p>
      </xdr:txBody>
    </xdr:sp>
    <xdr:clientData/>
  </xdr:oneCellAnchor>
  <xdr:twoCellAnchor>
    <xdr:from>
      <xdr:col>9</xdr:col>
      <xdr:colOff>295275</xdr:colOff>
      <xdr:row>274</xdr:row>
      <xdr:rowOff>19050</xdr:rowOff>
    </xdr:from>
    <xdr:to>
      <xdr:col>10</xdr:col>
      <xdr:colOff>86941</xdr:colOff>
      <xdr:row>275</xdr:row>
      <xdr:rowOff>99855</xdr:rowOff>
    </xdr:to>
    <xdr:grpSp>
      <xdr:nvGrpSpPr>
        <xdr:cNvPr id="1158" name="Group 1157">
          <a:extLst>
            <a:ext uri="{FF2B5EF4-FFF2-40B4-BE49-F238E27FC236}">
              <a16:creationId xmlns:a16="http://schemas.microsoft.com/office/drawing/2014/main" id="{00000000-0008-0000-0100-000086040000}"/>
            </a:ext>
          </a:extLst>
        </xdr:cNvPr>
        <xdr:cNvGrpSpPr/>
      </xdr:nvGrpSpPr>
      <xdr:grpSpPr>
        <a:xfrm>
          <a:off x="7445375" y="26987500"/>
          <a:ext cx="598116" cy="233205"/>
          <a:chOff x="9229725" y="22202775"/>
          <a:chExt cx="601291" cy="233205"/>
        </a:xfrm>
      </xdr:grpSpPr>
      <xdr:sp macro="" textlink="DW3">
        <xdr:nvSpPr>
          <xdr:cNvPr id="1148" name="TextBox 1147">
            <a:extLst>
              <a:ext uri="{FF2B5EF4-FFF2-40B4-BE49-F238E27FC236}">
                <a16:creationId xmlns:a16="http://schemas.microsoft.com/office/drawing/2014/main" id="{00000000-0008-0000-0100-00007C040000}"/>
              </a:ext>
            </a:extLst>
          </xdr:cNvPr>
          <xdr:cNvSpPr txBox="1"/>
        </xdr:nvSpPr>
        <xdr:spPr>
          <a:xfrm>
            <a:off x="9229725" y="22202775"/>
            <a:ext cx="60129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fld id="{0423C8FC-4529-4C97-9F6C-5C24A3B32926}" type="TxLink">
              <a:rPr lang="en-US" sz="800" b="1" i="0" u="none" strike="noStrike">
                <a:solidFill>
                  <a:schemeClr val="tx1">
                    <a:lumMod val="75000"/>
                    <a:lumOff val="25000"/>
                  </a:schemeClr>
                </a:solidFill>
                <a:latin typeface="Calibri"/>
                <a:ea typeface="Calibri"/>
                <a:cs typeface="Calibri"/>
              </a:rPr>
              <a:pPr/>
              <a:t>Show</a:t>
            </a:fld>
            <a:endParaRPr lang="en-US" sz="800">
              <a:solidFill>
                <a:schemeClr val="tx1">
                  <a:lumMod val="75000"/>
                  <a:lumOff val="25000"/>
                </a:schemeClr>
              </a:solidFill>
            </a:endParaRPr>
          </a:p>
        </xdr:txBody>
      </xdr:sp>
      <xdr:sp macro="" textlink="DX3">
        <xdr:nvSpPr>
          <xdr:cNvPr id="1149" name="TextBox 1148">
            <a:extLst>
              <a:ext uri="{FF2B5EF4-FFF2-40B4-BE49-F238E27FC236}">
                <a16:creationId xmlns:a16="http://schemas.microsoft.com/office/drawing/2014/main" id="{00000000-0008-0000-0100-00007D040000}"/>
              </a:ext>
            </a:extLst>
          </xdr:cNvPr>
          <xdr:cNvSpPr txBox="1"/>
        </xdr:nvSpPr>
        <xdr:spPr>
          <a:xfrm>
            <a:off x="9229725" y="22202775"/>
            <a:ext cx="60129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fld id="{210970C5-3774-447E-B28C-C619EED5B68E}" type="TxLink">
              <a:rPr lang="en-US" sz="800" b="1" i="0" u="none" strike="noStrike">
                <a:solidFill>
                  <a:srgbClr val="0000FF"/>
                </a:solidFill>
                <a:latin typeface="Calibri"/>
                <a:ea typeface="Calibri"/>
                <a:cs typeface="Calibri"/>
              </a:rPr>
              <a:pPr/>
              <a:t> </a:t>
            </a:fld>
            <a:endParaRPr lang="en-US" sz="800">
              <a:solidFill>
                <a:srgbClr val="0000FF"/>
              </a:solidFill>
            </a:endParaRPr>
          </a:p>
        </xdr:txBody>
      </xdr:sp>
    </xdr:grpSp>
    <xdr:clientData/>
  </xdr:twoCellAnchor>
  <xdr:twoCellAnchor>
    <xdr:from>
      <xdr:col>9</xdr:col>
      <xdr:colOff>295275</xdr:colOff>
      <xdr:row>275</xdr:row>
      <xdr:rowOff>28575</xdr:rowOff>
    </xdr:from>
    <xdr:to>
      <xdr:col>9</xdr:col>
      <xdr:colOff>790575</xdr:colOff>
      <xdr:row>276</xdr:row>
      <xdr:rowOff>93735</xdr:rowOff>
    </xdr:to>
    <xdr:grpSp>
      <xdr:nvGrpSpPr>
        <xdr:cNvPr id="1157" name="Group 1156">
          <a:extLst>
            <a:ext uri="{FF2B5EF4-FFF2-40B4-BE49-F238E27FC236}">
              <a16:creationId xmlns:a16="http://schemas.microsoft.com/office/drawing/2014/main" id="{00000000-0008-0000-0100-000085040000}"/>
            </a:ext>
          </a:extLst>
        </xdr:cNvPr>
        <xdr:cNvGrpSpPr/>
      </xdr:nvGrpSpPr>
      <xdr:grpSpPr>
        <a:xfrm>
          <a:off x="7445375" y="27149425"/>
          <a:ext cx="495300" cy="217560"/>
          <a:chOff x="8905875" y="21983700"/>
          <a:chExt cx="495300" cy="217560"/>
        </a:xfrm>
      </xdr:grpSpPr>
      <xdr:sp macro="" textlink="DW4">
        <xdr:nvSpPr>
          <xdr:cNvPr id="1151" name="TextBox 1150">
            <a:extLst>
              <a:ext uri="{FF2B5EF4-FFF2-40B4-BE49-F238E27FC236}">
                <a16:creationId xmlns:a16="http://schemas.microsoft.com/office/drawing/2014/main" id="{00000000-0008-0000-0100-00007F040000}"/>
              </a:ext>
            </a:extLst>
          </xdr:cNvPr>
          <xdr:cNvSpPr txBox="1"/>
        </xdr:nvSpPr>
        <xdr:spPr>
          <a:xfrm>
            <a:off x="8905875" y="21983700"/>
            <a:ext cx="49530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fld id="{C2191FD1-F03D-4492-BA37-130FCC792F58}" type="TxLink">
              <a:rPr lang="en-US" sz="800" b="1" i="0" u="none" strike="noStrike">
                <a:solidFill>
                  <a:schemeClr val="tx1">
                    <a:lumMod val="75000"/>
                    <a:lumOff val="25000"/>
                  </a:schemeClr>
                </a:solidFill>
                <a:latin typeface="Calibri"/>
                <a:ea typeface="Calibri"/>
                <a:cs typeface="Calibri"/>
              </a:rPr>
              <a:pPr/>
              <a:t> </a:t>
            </a:fld>
            <a:endParaRPr lang="en-US" sz="700">
              <a:solidFill>
                <a:schemeClr val="tx1">
                  <a:lumMod val="75000"/>
                  <a:lumOff val="25000"/>
                </a:schemeClr>
              </a:solidFill>
            </a:endParaRPr>
          </a:p>
        </xdr:txBody>
      </xdr:sp>
      <xdr:sp macro="" textlink="DX4">
        <xdr:nvSpPr>
          <xdr:cNvPr id="1153" name="TextBox 1152">
            <a:extLst>
              <a:ext uri="{FF2B5EF4-FFF2-40B4-BE49-F238E27FC236}">
                <a16:creationId xmlns:a16="http://schemas.microsoft.com/office/drawing/2014/main" id="{00000000-0008-0000-0100-000081040000}"/>
              </a:ext>
            </a:extLst>
          </xdr:cNvPr>
          <xdr:cNvSpPr txBox="1"/>
        </xdr:nvSpPr>
        <xdr:spPr>
          <a:xfrm>
            <a:off x="8905875" y="21983700"/>
            <a:ext cx="49530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fld id="{3B4384F3-5A95-4954-AD48-A6A321E49547}" type="TxLink">
              <a:rPr lang="en-US" sz="800" b="1" i="0" u="none" strike="noStrike">
                <a:solidFill>
                  <a:srgbClr val="0000FF"/>
                </a:solidFill>
                <a:latin typeface="Calibri"/>
                <a:ea typeface="Calibri"/>
                <a:cs typeface="Calibri"/>
              </a:rPr>
              <a:pPr/>
              <a:t>Hide</a:t>
            </a:fld>
            <a:endParaRPr lang="en-US" sz="800">
              <a:solidFill>
                <a:srgbClr val="0000FF"/>
              </a:solidFill>
            </a:endParaRPr>
          </a:p>
        </xdr:txBody>
      </xdr:sp>
    </xdr:grpSp>
    <xdr:clientData/>
  </xdr:twoCellAnchor>
  <mc:AlternateContent xmlns:mc="http://schemas.openxmlformats.org/markup-compatibility/2006">
    <mc:Choice xmlns:a14="http://schemas.microsoft.com/office/drawing/2010/main" Requires="a14">
      <xdr:twoCellAnchor editAs="oneCell">
        <xdr:from>
          <xdr:col>9</xdr:col>
          <xdr:colOff>190500</xdr:colOff>
          <xdr:row>274</xdr:row>
          <xdr:rowOff>19050</xdr:rowOff>
        </xdr:from>
        <xdr:to>
          <xdr:col>9</xdr:col>
          <xdr:colOff>438150</xdr:colOff>
          <xdr:row>275</xdr:row>
          <xdr:rowOff>69850</xdr:rowOff>
        </xdr:to>
        <xdr:sp macro="" textlink="">
          <xdr:nvSpPr>
            <xdr:cNvPr id="1131" name="Option Button 107" hidden="1">
              <a:extLst>
                <a:ext uri="{63B3BB69-23CF-44E3-9099-C40C66FF867C}">
                  <a14:compatExt spid="_x0000_s1131"/>
                </a:ext>
                <a:ext uri="{FF2B5EF4-FFF2-40B4-BE49-F238E27FC236}">
                  <a16:creationId xmlns:a16="http://schemas.microsoft.com/office/drawing/2014/main" id="{00000000-0008-0000-02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275</xdr:row>
          <xdr:rowOff>12700</xdr:rowOff>
        </xdr:from>
        <xdr:to>
          <xdr:col>9</xdr:col>
          <xdr:colOff>495300</xdr:colOff>
          <xdr:row>276</xdr:row>
          <xdr:rowOff>76200</xdr:rowOff>
        </xdr:to>
        <xdr:sp macro="" textlink="">
          <xdr:nvSpPr>
            <xdr:cNvPr id="1134" name="Option Button 110" hidden="1">
              <a:extLst>
                <a:ext uri="{63B3BB69-23CF-44E3-9099-C40C66FF867C}">
                  <a14:compatExt spid="_x0000_s1134"/>
                </a:ext>
                <a:ext uri="{FF2B5EF4-FFF2-40B4-BE49-F238E27FC236}">
                  <a16:creationId xmlns:a16="http://schemas.microsoft.com/office/drawing/2014/main" id="{00000000-0008-0000-02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165100</xdr:colOff>
          <xdr:row>290</xdr:row>
          <xdr:rowOff>19050</xdr:rowOff>
        </xdr:from>
        <xdr:to>
          <xdr:col>7</xdr:col>
          <xdr:colOff>514350</xdr:colOff>
          <xdr:row>294</xdr:row>
          <xdr:rowOff>88900</xdr:rowOff>
        </xdr:to>
        <xdr:sp macro="" textlink="">
          <xdr:nvSpPr>
            <xdr:cNvPr id="37" name="Group Box 114" hidden="1">
              <a:extLst>
                <a:ext uri="{63B3BB69-23CF-44E3-9099-C40C66FF867C}">
                  <a14:compatExt spid="_x0000_s1138"/>
                </a:ext>
                <a:ext uri="{FF2B5EF4-FFF2-40B4-BE49-F238E27FC236}">
                  <a16:creationId xmlns:a16="http://schemas.microsoft.com/office/drawing/2014/main" id="{00000000-0008-0000-0200-0000250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6</xdr:col>
      <xdr:colOff>66675</xdr:colOff>
      <xdr:row>289</xdr:row>
      <xdr:rowOff>142875</xdr:rowOff>
    </xdr:from>
    <xdr:to>
      <xdr:col>8</xdr:col>
      <xdr:colOff>0</xdr:colOff>
      <xdr:row>294</xdr:row>
      <xdr:rowOff>114300</xdr:rowOff>
    </xdr:to>
    <xdr:sp macro="" textlink="">
      <xdr:nvSpPr>
        <xdr:cNvPr id="1172" name="Rectangle 1171">
          <a:extLst>
            <a:ext uri="{FF2B5EF4-FFF2-40B4-BE49-F238E27FC236}">
              <a16:creationId xmlns:a16="http://schemas.microsoft.com/office/drawing/2014/main" id="{00000000-0008-0000-0100-000094040000}"/>
            </a:ext>
          </a:extLst>
        </xdr:cNvPr>
        <xdr:cNvSpPr/>
      </xdr:nvSpPr>
      <xdr:spPr>
        <a:xfrm>
          <a:off x="4810125" y="24260175"/>
          <a:ext cx="1552575" cy="733425"/>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6</xdr:col>
      <xdr:colOff>304800</xdr:colOff>
      <xdr:row>290</xdr:row>
      <xdr:rowOff>66675</xdr:rowOff>
    </xdr:from>
    <xdr:ext cx="1009650" cy="219075"/>
    <xdr:sp macro="" textlink="">
      <xdr:nvSpPr>
        <xdr:cNvPr id="1167" name="TextBox 1166">
          <a:extLst>
            <a:ext uri="{FF2B5EF4-FFF2-40B4-BE49-F238E27FC236}">
              <a16:creationId xmlns:a16="http://schemas.microsoft.com/office/drawing/2014/main" id="{00000000-0008-0000-0100-00008F040000}"/>
            </a:ext>
          </a:extLst>
        </xdr:cNvPr>
        <xdr:cNvSpPr txBox="1"/>
      </xdr:nvSpPr>
      <xdr:spPr>
        <a:xfrm>
          <a:off x="5048250" y="24336375"/>
          <a:ext cx="1009650" cy="2190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800" b="1">
              <a:solidFill>
                <a:schemeClr val="tx1">
                  <a:lumMod val="75000"/>
                  <a:lumOff val="25000"/>
                </a:schemeClr>
              </a:solidFill>
            </a:rPr>
            <a:t>Convertible Notes</a:t>
          </a:r>
        </a:p>
      </xdr:txBody>
    </xdr:sp>
    <xdr:clientData/>
  </xdr:oneCellAnchor>
  <xdr:twoCellAnchor>
    <xdr:from>
      <xdr:col>6</xdr:col>
      <xdr:colOff>457200</xdr:colOff>
      <xdr:row>291</xdr:row>
      <xdr:rowOff>76200</xdr:rowOff>
    </xdr:from>
    <xdr:to>
      <xdr:col>7</xdr:col>
      <xdr:colOff>248866</xdr:colOff>
      <xdr:row>293</xdr:row>
      <xdr:rowOff>4605</xdr:rowOff>
    </xdr:to>
    <xdr:grpSp>
      <xdr:nvGrpSpPr>
        <xdr:cNvPr id="1170" name="Group 1169">
          <a:extLst>
            <a:ext uri="{FF2B5EF4-FFF2-40B4-BE49-F238E27FC236}">
              <a16:creationId xmlns:a16="http://schemas.microsoft.com/office/drawing/2014/main" id="{00000000-0008-0000-0100-000092040000}"/>
            </a:ext>
          </a:extLst>
        </xdr:cNvPr>
        <xdr:cNvGrpSpPr/>
      </xdr:nvGrpSpPr>
      <xdr:grpSpPr>
        <a:xfrm>
          <a:off x="5187950" y="28873450"/>
          <a:ext cx="598116" cy="233205"/>
          <a:chOff x="7172325" y="24269700"/>
          <a:chExt cx="601291" cy="233205"/>
        </a:xfrm>
      </xdr:grpSpPr>
      <xdr:sp macro="" textlink="DZ3">
        <xdr:nvSpPr>
          <xdr:cNvPr id="1161" name="TextBox 1160">
            <a:extLst>
              <a:ext uri="{FF2B5EF4-FFF2-40B4-BE49-F238E27FC236}">
                <a16:creationId xmlns:a16="http://schemas.microsoft.com/office/drawing/2014/main" id="{00000000-0008-0000-0100-000089040000}"/>
              </a:ext>
            </a:extLst>
          </xdr:cNvPr>
          <xdr:cNvSpPr txBox="1"/>
        </xdr:nvSpPr>
        <xdr:spPr>
          <a:xfrm>
            <a:off x="7172325" y="24269700"/>
            <a:ext cx="60129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fld id="{B8BEB693-3510-463D-9F94-0B10928760B9}" type="TxLink">
              <a:rPr lang="en-US" sz="800" b="1" i="0" u="none" strike="noStrike">
                <a:solidFill>
                  <a:schemeClr val="tx1">
                    <a:lumMod val="75000"/>
                    <a:lumOff val="25000"/>
                  </a:schemeClr>
                </a:solidFill>
                <a:latin typeface="Calibri"/>
                <a:ea typeface="Calibri"/>
                <a:cs typeface="Calibri"/>
              </a:rPr>
              <a:pPr/>
              <a:t>Show</a:t>
            </a:fld>
            <a:endParaRPr lang="en-US" sz="800">
              <a:solidFill>
                <a:schemeClr val="tx1">
                  <a:lumMod val="75000"/>
                  <a:lumOff val="25000"/>
                </a:schemeClr>
              </a:solidFill>
            </a:endParaRPr>
          </a:p>
        </xdr:txBody>
      </xdr:sp>
      <xdr:sp macro="" textlink="EA3">
        <xdr:nvSpPr>
          <xdr:cNvPr id="1162" name="TextBox 1161">
            <a:extLst>
              <a:ext uri="{FF2B5EF4-FFF2-40B4-BE49-F238E27FC236}">
                <a16:creationId xmlns:a16="http://schemas.microsoft.com/office/drawing/2014/main" id="{00000000-0008-0000-0100-00008A040000}"/>
              </a:ext>
            </a:extLst>
          </xdr:cNvPr>
          <xdr:cNvSpPr txBox="1"/>
        </xdr:nvSpPr>
        <xdr:spPr>
          <a:xfrm>
            <a:off x="7172325" y="24269700"/>
            <a:ext cx="60129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fld id="{D067F785-DB2D-455D-932D-5361316CE936}" type="TxLink">
              <a:rPr lang="en-US" sz="800" b="1" i="0" u="none" strike="noStrike">
                <a:solidFill>
                  <a:srgbClr val="0000FF"/>
                </a:solidFill>
                <a:latin typeface="Calibri"/>
                <a:ea typeface="Calibri"/>
                <a:cs typeface="Calibri"/>
              </a:rPr>
              <a:pPr/>
              <a:t> </a:t>
            </a:fld>
            <a:endParaRPr lang="en-US" sz="800">
              <a:solidFill>
                <a:srgbClr val="0000FF"/>
              </a:solidFill>
            </a:endParaRPr>
          </a:p>
        </xdr:txBody>
      </xdr:sp>
    </xdr:grpSp>
    <xdr:clientData/>
  </xdr:twoCellAnchor>
  <xdr:twoCellAnchor>
    <xdr:from>
      <xdr:col>6</xdr:col>
      <xdr:colOff>457200</xdr:colOff>
      <xdr:row>292</xdr:row>
      <xdr:rowOff>85725</xdr:rowOff>
    </xdr:from>
    <xdr:to>
      <xdr:col>7</xdr:col>
      <xdr:colOff>142875</xdr:colOff>
      <xdr:row>293</xdr:row>
      <xdr:rowOff>150885</xdr:rowOff>
    </xdr:to>
    <xdr:grpSp>
      <xdr:nvGrpSpPr>
        <xdr:cNvPr id="1171" name="Group 1170">
          <a:extLst>
            <a:ext uri="{FF2B5EF4-FFF2-40B4-BE49-F238E27FC236}">
              <a16:creationId xmlns:a16="http://schemas.microsoft.com/office/drawing/2014/main" id="{00000000-0008-0000-0100-000093040000}"/>
            </a:ext>
          </a:extLst>
        </xdr:cNvPr>
        <xdr:cNvGrpSpPr/>
      </xdr:nvGrpSpPr>
      <xdr:grpSpPr>
        <a:xfrm>
          <a:off x="5187950" y="29035375"/>
          <a:ext cx="492125" cy="217560"/>
          <a:chOff x="7172325" y="24431625"/>
          <a:chExt cx="495300" cy="217560"/>
        </a:xfrm>
      </xdr:grpSpPr>
      <xdr:sp macro="" textlink="DZ4">
        <xdr:nvSpPr>
          <xdr:cNvPr id="1164" name="TextBox 1163">
            <a:extLst>
              <a:ext uri="{FF2B5EF4-FFF2-40B4-BE49-F238E27FC236}">
                <a16:creationId xmlns:a16="http://schemas.microsoft.com/office/drawing/2014/main" id="{00000000-0008-0000-0100-00008C040000}"/>
              </a:ext>
            </a:extLst>
          </xdr:cNvPr>
          <xdr:cNvSpPr txBox="1"/>
        </xdr:nvSpPr>
        <xdr:spPr>
          <a:xfrm>
            <a:off x="7172325" y="24431625"/>
            <a:ext cx="49530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fld id="{700A4FC3-362B-4E80-93BC-396B27C5704E}" type="TxLink">
              <a:rPr lang="en-US" sz="800" b="1" i="0" u="none" strike="noStrike">
                <a:solidFill>
                  <a:schemeClr val="tx1">
                    <a:lumMod val="75000"/>
                    <a:lumOff val="25000"/>
                  </a:schemeClr>
                </a:solidFill>
                <a:latin typeface="Calibri"/>
                <a:ea typeface="Calibri"/>
                <a:cs typeface="Calibri"/>
              </a:rPr>
              <a:pPr/>
              <a:t> </a:t>
            </a:fld>
            <a:endParaRPr lang="en-US" sz="800">
              <a:solidFill>
                <a:schemeClr val="tx1">
                  <a:lumMod val="75000"/>
                  <a:lumOff val="25000"/>
                </a:schemeClr>
              </a:solidFill>
            </a:endParaRPr>
          </a:p>
        </xdr:txBody>
      </xdr:sp>
      <xdr:sp macro="" textlink="EA4">
        <xdr:nvSpPr>
          <xdr:cNvPr id="1165" name="TextBox 1164">
            <a:extLst>
              <a:ext uri="{FF2B5EF4-FFF2-40B4-BE49-F238E27FC236}">
                <a16:creationId xmlns:a16="http://schemas.microsoft.com/office/drawing/2014/main" id="{00000000-0008-0000-0100-00008D040000}"/>
              </a:ext>
            </a:extLst>
          </xdr:cNvPr>
          <xdr:cNvSpPr txBox="1"/>
        </xdr:nvSpPr>
        <xdr:spPr>
          <a:xfrm>
            <a:off x="7172325" y="24431625"/>
            <a:ext cx="495300"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fld id="{26ABD836-9BFE-4D96-81EF-134CD5B29E57}" type="TxLink">
              <a:rPr lang="en-US" sz="800" b="1" i="0" u="none" strike="noStrike">
                <a:solidFill>
                  <a:srgbClr val="0000FF"/>
                </a:solidFill>
                <a:latin typeface="Calibri"/>
                <a:ea typeface="Calibri"/>
                <a:cs typeface="Calibri"/>
              </a:rPr>
              <a:pPr/>
              <a:t>Hide</a:t>
            </a:fld>
            <a:endParaRPr lang="en-US" sz="800">
              <a:solidFill>
                <a:srgbClr val="0000FF"/>
              </a:solidFill>
            </a:endParaRPr>
          </a:p>
        </xdr:txBody>
      </xdr:sp>
    </xdr:grpSp>
    <xdr:clientData/>
  </xdr:twoCellAnchor>
  <mc:AlternateContent xmlns:mc="http://schemas.openxmlformats.org/markup-compatibility/2006">
    <mc:Choice xmlns:a14="http://schemas.microsoft.com/office/drawing/2010/main" Requires="a14">
      <xdr:twoCellAnchor editAs="oneCell">
        <xdr:from>
          <xdr:col>6</xdr:col>
          <xdr:colOff>342900</xdr:colOff>
          <xdr:row>291</xdr:row>
          <xdr:rowOff>76200</xdr:rowOff>
        </xdr:from>
        <xdr:to>
          <xdr:col>6</xdr:col>
          <xdr:colOff>609600</xdr:colOff>
          <xdr:row>292</xdr:row>
          <xdr:rowOff>133350</xdr:rowOff>
        </xdr:to>
        <xdr:sp macro="" textlink="">
          <xdr:nvSpPr>
            <xdr:cNvPr id="63" name="Option Button 116" hidden="1">
              <a:extLst>
                <a:ext uri="{63B3BB69-23CF-44E3-9099-C40C66FF867C}">
                  <a14:compatExt spid="_x0000_s1140"/>
                </a:ext>
                <a:ext uri="{FF2B5EF4-FFF2-40B4-BE49-F238E27FC236}">
                  <a16:creationId xmlns:a16="http://schemas.microsoft.com/office/drawing/2014/main" id="{00000000-0008-0000-0200-00003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292</xdr:row>
          <xdr:rowOff>69850</xdr:rowOff>
        </xdr:from>
        <xdr:to>
          <xdr:col>6</xdr:col>
          <xdr:colOff>647700</xdr:colOff>
          <xdr:row>293</xdr:row>
          <xdr:rowOff>133350</xdr:rowOff>
        </xdr:to>
        <xdr:sp macro="" textlink="">
          <xdr:nvSpPr>
            <xdr:cNvPr id="1052" name="Option Button 115" hidden="1">
              <a:extLst>
                <a:ext uri="{63B3BB69-23CF-44E3-9099-C40C66FF867C}">
                  <a14:compatExt spid="_x0000_s1139"/>
                </a:ext>
                <a:ext uri="{FF2B5EF4-FFF2-40B4-BE49-F238E27FC236}">
                  <a16:creationId xmlns:a16="http://schemas.microsoft.com/office/drawing/2014/main" id="{00000000-0008-0000-02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162</xdr:row>
          <xdr:rowOff>31750</xdr:rowOff>
        </xdr:from>
        <xdr:to>
          <xdr:col>10</xdr:col>
          <xdr:colOff>222250</xdr:colOff>
          <xdr:row>163</xdr:row>
          <xdr:rowOff>95250</xdr:rowOff>
        </xdr:to>
        <xdr:sp macro="" textlink="">
          <xdr:nvSpPr>
            <xdr:cNvPr id="1121" name="Option Button 97" hidden="1">
              <a:extLst>
                <a:ext uri="{63B3BB69-23CF-44E3-9099-C40C66FF867C}">
                  <a14:compatExt spid="_x0000_s1121"/>
                </a:ext>
                <a:ext uri="{FF2B5EF4-FFF2-40B4-BE49-F238E27FC236}">
                  <a16:creationId xmlns:a16="http://schemas.microsoft.com/office/drawing/2014/main" id="{00000000-0008-0000-02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723900</xdr:colOff>
          <xdr:row>163</xdr:row>
          <xdr:rowOff>19050</xdr:rowOff>
        </xdr:from>
        <xdr:to>
          <xdr:col>10</xdr:col>
          <xdr:colOff>342900</xdr:colOff>
          <xdr:row>164</xdr:row>
          <xdr:rowOff>114300</xdr:rowOff>
        </xdr:to>
        <xdr:sp macro="" textlink="">
          <xdr:nvSpPr>
            <xdr:cNvPr id="1122" name="Option Button 98" hidden="1">
              <a:extLst>
                <a:ext uri="{63B3BB69-23CF-44E3-9099-C40C66FF867C}">
                  <a14:compatExt spid="_x0000_s1122"/>
                </a:ext>
                <a:ext uri="{FF2B5EF4-FFF2-40B4-BE49-F238E27FC236}">
                  <a16:creationId xmlns:a16="http://schemas.microsoft.com/office/drawing/2014/main" id="{00000000-0008-0000-02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6</xdr:row>
          <xdr:rowOff>12700</xdr:rowOff>
        </xdr:from>
        <xdr:to>
          <xdr:col>1</xdr:col>
          <xdr:colOff>393700</xdr:colOff>
          <xdr:row>7</xdr:row>
          <xdr:rowOff>88900</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2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7</xdr:row>
          <xdr:rowOff>31750</xdr:rowOff>
        </xdr:from>
        <xdr:to>
          <xdr:col>1</xdr:col>
          <xdr:colOff>323850</xdr:colOff>
          <xdr:row>8</xdr:row>
          <xdr:rowOff>107950</xdr:rowOff>
        </xdr:to>
        <xdr:sp macro="" textlink="">
          <xdr:nvSpPr>
            <xdr:cNvPr id="1030" name="Option Button 6" descr="Three Years&#10;Five Years" hidden="1">
              <a:extLst>
                <a:ext uri="{63B3BB69-23CF-44E3-9099-C40C66FF867C}">
                  <a14:compatExt spid="_x0000_s1030"/>
                </a:ext>
                <a:ext uri="{FF2B5EF4-FFF2-40B4-BE49-F238E27FC236}">
                  <a16:creationId xmlns:a16="http://schemas.microsoft.com/office/drawing/2014/main" id="{00000000-0008-0000-0200-000006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191631</xdr:colOff>
          <xdr:row>19</xdr:row>
          <xdr:rowOff>92837</xdr:rowOff>
        </xdr:from>
        <xdr:to>
          <xdr:col>4</xdr:col>
          <xdr:colOff>420231</xdr:colOff>
          <xdr:row>21</xdr:row>
          <xdr:rowOff>123352</xdr:rowOff>
        </xdr:to>
        <xdr:grpSp>
          <xdr:nvGrpSpPr>
            <xdr:cNvPr id="1031" name="Group 1030">
              <a:extLst>
                <a:ext uri="{FF2B5EF4-FFF2-40B4-BE49-F238E27FC236}">
                  <a16:creationId xmlns:a16="http://schemas.microsoft.com/office/drawing/2014/main" id="{00000000-0008-0000-0100-000007040000}"/>
                </a:ext>
              </a:extLst>
            </xdr:cNvPr>
            <xdr:cNvGrpSpPr/>
          </xdr:nvGrpSpPr>
          <xdr:grpSpPr>
            <a:xfrm>
              <a:off x="3309481" y="2353437"/>
              <a:ext cx="228600" cy="335315"/>
              <a:chOff x="3162301" y="2228813"/>
              <a:chExt cx="228600" cy="333364"/>
            </a:xfrm>
          </xdr:grpSpPr>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200-000037040000}"/>
                  </a:ext>
                </a:extLst>
              </xdr:cNvPr>
              <xdr:cNvSpPr/>
            </xdr:nvSpPr>
            <xdr:spPr bwMode="auto">
              <a:xfrm>
                <a:off x="3162301" y="2228813"/>
                <a:ext cx="228600" cy="18096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78" name="Option Button 54" hidden="1">
                <a:extLst>
                  <a:ext uri="{63B3BB69-23CF-44E3-9099-C40C66FF867C}">
                    <a14:compatExt spid="_x0000_s1078"/>
                  </a:ext>
                  <a:ext uri="{FF2B5EF4-FFF2-40B4-BE49-F238E27FC236}">
                    <a16:creationId xmlns:a16="http://schemas.microsoft.com/office/drawing/2014/main" id="{00000000-0008-0000-0200-000036040000}"/>
                  </a:ext>
                </a:extLst>
              </xdr:cNvPr>
              <xdr:cNvSpPr/>
            </xdr:nvSpPr>
            <xdr:spPr bwMode="auto">
              <a:xfrm>
                <a:off x="3162301" y="2400253"/>
                <a:ext cx="219075" cy="1619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oneCellAnchor>
    <xdr:from>
      <xdr:col>3</xdr:col>
      <xdr:colOff>0</xdr:colOff>
      <xdr:row>1531</xdr:row>
      <xdr:rowOff>66675</xdr:rowOff>
    </xdr:from>
    <xdr:ext cx="959815" cy="311496"/>
    <xdr:sp macro="" textlink="">
      <xdr:nvSpPr>
        <xdr:cNvPr id="1056" name="TextBox 1055">
          <a:extLst>
            <a:ext uri="{FF2B5EF4-FFF2-40B4-BE49-F238E27FC236}">
              <a16:creationId xmlns:a16="http://schemas.microsoft.com/office/drawing/2014/main" id="{B3B23D44-786C-6C71-8FE8-075925B3B394}"/>
            </a:ext>
          </a:extLst>
        </xdr:cNvPr>
        <xdr:cNvSpPr txBox="1"/>
      </xdr:nvSpPr>
      <xdr:spPr>
        <a:xfrm>
          <a:off x="2314575" y="213645750"/>
          <a:ext cx="959815"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400" b="1"/>
            <a:t>Historicals</a:t>
          </a:r>
        </a:p>
      </xdr:txBody>
    </xdr:sp>
    <xdr:clientData/>
  </xdr:oneCellAnchor>
  <xdr:twoCellAnchor editAs="oneCell">
    <xdr:from>
      <xdr:col>3</xdr:col>
      <xdr:colOff>656526</xdr:colOff>
      <xdr:row>22</xdr:row>
      <xdr:rowOff>37667</xdr:rowOff>
    </xdr:from>
    <xdr:to>
      <xdr:col>3</xdr:col>
      <xdr:colOff>764153</xdr:colOff>
      <xdr:row>27</xdr:row>
      <xdr:rowOff>21523</xdr:rowOff>
    </xdr:to>
    <xdr:sp macro="" textlink="">
      <xdr:nvSpPr>
        <xdr:cNvPr id="1065" name="Rectangle 1064">
          <a:extLst>
            <a:ext uri="{FF2B5EF4-FFF2-40B4-BE49-F238E27FC236}">
              <a16:creationId xmlns:a16="http://schemas.microsoft.com/office/drawing/2014/main" id="{3E960DB1-4721-1268-7918-6B801420E2C7}"/>
            </a:ext>
          </a:extLst>
        </xdr:cNvPr>
        <xdr:cNvSpPr/>
      </xdr:nvSpPr>
      <xdr:spPr>
        <a:xfrm>
          <a:off x="2965128" y="2749870"/>
          <a:ext cx="107627" cy="737246"/>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779469</xdr:colOff>
      <xdr:row>32</xdr:row>
      <xdr:rowOff>76200</xdr:rowOff>
    </xdr:from>
    <xdr:to>
      <xdr:col>17</xdr:col>
      <xdr:colOff>160344</xdr:colOff>
      <xdr:row>47</xdr:row>
      <xdr:rowOff>95250</xdr:rowOff>
    </xdr:to>
    <mc:AlternateContent xmlns:mc="http://schemas.openxmlformats.org/markup-compatibility/2006">
      <mc:Choice xmlns:am3d="http://schemas.microsoft.com/office/drawing/2017/model3d" Requires="am3d">
        <xdr:graphicFrame macro="">
          <xdr:nvGraphicFramePr>
            <xdr:cNvPr id="3" name="3D Model 2" descr="Treasure chest">
              <a:extLst>
                <a:ext uri="{FF2B5EF4-FFF2-40B4-BE49-F238E27FC236}">
                  <a16:creationId xmlns:a16="http://schemas.microsoft.com/office/drawing/2014/main" id="{00000000-0008-0000-0300-000003000000}"/>
                </a:ext>
              </a:extLst>
            </xdr:cNvPr>
            <xdr:cNvGraphicFramePr>
              <a:graphicFrameLocks noChangeAspect="1"/>
            </xdr:cNvGraphicFramePr>
          </xdr:nvGraphicFramePr>
          <xdr:xfrm>
            <a:off x="0" y="0"/>
            <a:ext cx="0" cy="0"/>
          </xdr:xfrm>
          <a:graphic>
            <a:graphicData uri="http://schemas.microsoft.com/office/drawing/2017/model3d">
              <am3d:model3d xmlns:r="http://schemas.openxmlformats.org/officeDocument/2006/relationships">
                <am3d:spPr>
                  <a:xfrm>
                    <a:off x="0" y="0"/>
                    <a:ext cx="2257425" cy="2305050"/>
                  </a:xfrm>
                  <a:prstGeom prst="rect">
                    <a:avLst/>
                  </a:prstGeom>
                </am3d:spPr>
                <am3d:camera>
                  <am3d:pos x="0" y="0" z="64378123"/>
                  <am3d:up dx="0" dy="36000000" dz="0"/>
                  <am3d:lookAt x="0" y="0" z="0"/>
                  <am3d:perspective fov="2700000"/>
                </am3d:camera>
                <am3d:trans>
                  <am3d:meterPerModelUnit n="182686" d="1000000"/>
                  <am3d:preTrans dx="-44331" dy="-13174775" dz="0"/>
                  <am3d:scale>
                    <am3d:sx n="1000000" d="1000000"/>
                    <am3d:sy n="1000000" d="1000000"/>
                    <am3d:sz n="1000000" d="1000000"/>
                  </am3d:scale>
                  <am3d:rot ax="1015306" ay="251176" az="76331"/>
                  <am3d:postTrans dx="0" dy="0" dz="0"/>
                </am3d:trans>
                <am3d:raster rName="Office3DRenderer" rVer="16.0.8326">
                  <am3d:blip r:embed="rId1"/>
                </am3d:raster>
                <am3d:objViewport viewportSz="2772966"/>
                <am3d:ambientLight>
                  <am3d:clr>
                    <a:scrgbClr r="50000" g="50000" b="50000"/>
                  </am3d:clr>
                  <am3d:illuminance n="500000" d="1000000"/>
                </am3d:ambientLight>
                <am3d:ptLight rad="0">
                  <am3d:clr>
                    <a:scrgbClr r="100000" g="75000" b="50000"/>
                  </am3d:clr>
                  <am3d:intensity n="9765625" d="1000000"/>
                  <am3d:pos x="21959998" y="70920001" z="16344003"/>
                </am3d:ptLight>
                <am3d:ptLight rad="0">
                  <am3d:clr>
                    <a:scrgbClr r="40000" g="60000" b="95000"/>
                  </am3d:clr>
                  <am3d:intensity n="12250000" d="1000000"/>
                  <am3d:pos x="-37964106" y="51130435" z="57631972"/>
                </am3d:ptLight>
                <am3d:ptLight rad="0">
                  <am3d:clr>
                    <a:scrgbClr r="86837" g="72700" b="100000"/>
                  </am3d:clr>
                  <am3d:intensity n="3125000" d="1000000"/>
                  <am3d:pos x="-37739122" y="58056624" z="-34769649"/>
                </am3d:ptLight>
              </am3d:model3d>
            </a:graphicData>
          </a:graphic>
        </xdr:graphicFrame>
      </mc:Choice>
      <mc:Fallback>
        <xdr:pic>
          <xdr:nvPicPr>
            <xdr:cNvPr id="3" name="3D Model 2" descr="Treasure chest">
              <a:extLst>
                <a:ext uri="{FF2B5EF4-FFF2-40B4-BE49-F238E27FC236}">
                  <a16:creationId xmlns:a16="http://schemas.microsoft.com/office/drawing/2014/main" id="{00000000-0008-0000-0300-000003000000}"/>
                </a:ext>
              </a:extLst>
            </xdr:cNvPr>
            <xdr:cNvPicPr>
              <a:picLocks noGrp="1" noRot="1" noChangeAspect="1" noMove="1" noResize="1" noEditPoints="1" noAdjustHandles="1" noChangeArrowheads="1" noChangeShapeType="1" noCrop="1"/>
            </xdr:cNvPicPr>
          </xdr:nvPicPr>
          <xdr:blipFill>
            <a:blip xmlns:r="http://schemas.openxmlformats.org/officeDocument/2006/relationships" r:embed="rId1"/>
            <a:stretch>
              <a:fillRect/>
            </a:stretch>
          </xdr:blipFill>
          <xdr:spPr>
            <a:xfrm>
              <a:off x="14660569" y="4953000"/>
              <a:ext cx="2257425" cy="2305050"/>
            </a:xfrm>
            <a:prstGeom prst="rect">
              <a:avLst/>
            </a:prstGeom>
          </xdr:spPr>
        </xdr:pic>
      </mc:Fallback>
    </mc:AlternateContent>
    <xdr:clientData/>
  </xdr:twoCellAnchor>
</xdr:wsDr>
</file>

<file path=xl/drawings/drawing5.xml><?xml version="1.0" encoding="utf-8"?>
<xdr:wsDr xmlns:xdr="http://schemas.openxmlformats.org/drawingml/2006/spreadsheetDrawing" xmlns:a="http://schemas.openxmlformats.org/drawingml/2006/main">
  <xdr:twoCellAnchor>
    <xdr:from>
      <xdr:col>45</xdr:col>
      <xdr:colOff>495300</xdr:colOff>
      <xdr:row>17</xdr:row>
      <xdr:rowOff>57150</xdr:rowOff>
    </xdr:from>
    <xdr:to>
      <xdr:col>52</xdr:col>
      <xdr:colOff>400050</xdr:colOff>
      <xdr:row>31</xdr:row>
      <xdr:rowOff>0</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64</xdr:col>
      <xdr:colOff>566737</xdr:colOff>
      <xdr:row>42</xdr:row>
      <xdr:rowOff>142875</xdr:rowOff>
    </xdr:from>
    <xdr:to>
      <xdr:col>71</xdr:col>
      <xdr:colOff>14287</xdr:colOff>
      <xdr:row>56</xdr:row>
      <xdr:rowOff>142875</xdr:rowOff>
    </xdr:to>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271462</xdr:colOff>
      <xdr:row>45</xdr:row>
      <xdr:rowOff>128587</xdr:rowOff>
    </xdr:from>
    <xdr:to>
      <xdr:col>73</xdr:col>
      <xdr:colOff>347662</xdr:colOff>
      <xdr:row>59</xdr:row>
      <xdr:rowOff>71437</xdr:rowOff>
    </xdr:to>
    <xdr:graphicFrame macro="">
      <xdr:nvGraphicFramePr>
        <xdr:cNvPr id="6" name="Chart 5">
          <a:extLst>
            <a:ext uri="{FF2B5EF4-FFF2-40B4-BE49-F238E27FC236}">
              <a16:creationId xmlns:a16="http://schemas.microsoft.com/office/drawing/2014/main" id="{00000000-0008-0000-04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mc:AlternateContent xmlns:mc="http://schemas.openxmlformats.org/markup-compatibility/2006">
    <mc:Choice xmlns:a14="http://schemas.microsoft.com/office/drawing/2010/main" Requires="a14">
      <xdr:twoCellAnchor editAs="oneCell">
        <xdr:from>
          <xdr:col>12</xdr:col>
          <xdr:colOff>647700</xdr:colOff>
          <xdr:row>33</xdr:row>
          <xdr:rowOff>0</xdr:rowOff>
        </xdr:from>
        <xdr:to>
          <xdr:col>13</xdr:col>
          <xdr:colOff>355600</xdr:colOff>
          <xdr:row>39</xdr:row>
          <xdr:rowOff>152400</xdr:rowOff>
        </xdr:to>
        <xdr:sp macro="" textlink="">
          <xdr:nvSpPr>
            <xdr:cNvPr id="3073" name="Scroll Bar 1" hidden="1">
              <a:extLst>
                <a:ext uri="{63B3BB69-23CF-44E3-9099-C40C66FF867C}">
                  <a14:compatExt spid="_x0000_s3073"/>
                </a:ext>
                <a:ext uri="{FF2B5EF4-FFF2-40B4-BE49-F238E27FC236}">
                  <a16:creationId xmlns:a16="http://schemas.microsoft.com/office/drawing/2014/main" id="{00000000-0008-0000-0500-000001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xdr:from>
      <xdr:col>0</xdr:col>
      <xdr:colOff>0</xdr:colOff>
      <xdr:row>0</xdr:row>
      <xdr:rowOff>0</xdr:rowOff>
    </xdr:from>
    <xdr:to>
      <xdr:col>27</xdr:col>
      <xdr:colOff>628650</xdr:colOff>
      <xdr:row>40</xdr:row>
      <xdr:rowOff>95250</xdr:rowOff>
    </xdr:to>
    <xdr:sp macro="" textlink="">
      <xdr:nvSpPr>
        <xdr:cNvPr id="5" name="Rectangle 4">
          <a:extLst>
            <a:ext uri="{FF2B5EF4-FFF2-40B4-BE49-F238E27FC236}">
              <a16:creationId xmlns:a16="http://schemas.microsoft.com/office/drawing/2014/main" id="{19A82B4D-35D0-E918-E669-90D8FE466141}"/>
            </a:ext>
          </a:extLst>
        </xdr:cNvPr>
        <xdr:cNvSpPr/>
      </xdr:nvSpPr>
      <xdr:spPr>
        <a:xfrm>
          <a:off x="0" y="0"/>
          <a:ext cx="19812000" cy="6877050"/>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10</xdr:col>
      <xdr:colOff>581025</xdr:colOff>
      <xdr:row>127</xdr:row>
      <xdr:rowOff>93133</xdr:rowOff>
    </xdr:from>
    <xdr:to>
      <xdr:col>33</xdr:col>
      <xdr:colOff>627591</xdr:colOff>
      <xdr:row>139</xdr:row>
      <xdr:rowOff>7408</xdr:rowOff>
    </xdr:to>
    <xdr:graphicFrame macro="">
      <xdr:nvGraphicFramePr>
        <xdr:cNvPr id="6" name="Chart 5">
          <a:extLst>
            <a:ext uri="{FF2B5EF4-FFF2-40B4-BE49-F238E27FC236}">
              <a16:creationId xmlns:a16="http://schemas.microsoft.com/office/drawing/2014/main" id="{00000000-0008-0000-05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xdr:col>
      <xdr:colOff>95250</xdr:colOff>
      <xdr:row>0</xdr:row>
      <xdr:rowOff>104775</xdr:rowOff>
    </xdr:from>
    <xdr:to>
      <xdr:col>26</xdr:col>
      <xdr:colOff>38100</xdr:colOff>
      <xdr:row>14</xdr:row>
      <xdr:rowOff>142875</xdr:rowOff>
    </xdr:to>
    <xdr:graphicFrame macro="">
      <xdr:nvGraphicFramePr>
        <xdr:cNvPr id="2" name="g">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11</xdr:col>
      <xdr:colOff>295275</xdr:colOff>
      <xdr:row>0</xdr:row>
      <xdr:rowOff>57150</xdr:rowOff>
    </xdr:from>
    <xdr:ext cx="1040670" cy="342786"/>
    <xdr:sp macro="" textlink="">
      <xdr:nvSpPr>
        <xdr:cNvPr id="3" name="TextBox 2">
          <a:extLst>
            <a:ext uri="{FF2B5EF4-FFF2-40B4-BE49-F238E27FC236}">
              <a16:creationId xmlns:a16="http://schemas.microsoft.com/office/drawing/2014/main" id="{00000000-0008-0000-0500-000003000000}"/>
            </a:ext>
          </a:extLst>
        </xdr:cNvPr>
        <xdr:cNvSpPr txBox="1"/>
      </xdr:nvSpPr>
      <xdr:spPr>
        <a:xfrm>
          <a:off x="7286625" y="57150"/>
          <a:ext cx="1040670" cy="342786"/>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600" b="1">
              <a:solidFill>
                <a:schemeClr val="tx1">
                  <a:lumMod val="95000"/>
                  <a:lumOff val="5000"/>
                </a:schemeClr>
              </a:solidFill>
            </a:rPr>
            <a:t>Cash Flow</a:t>
          </a:r>
        </a:p>
      </xdr:txBody>
    </xdr:sp>
    <xdr:clientData/>
  </xdr:oneCellAnchor>
</xdr:wsDr>
</file>

<file path=xl/drawings/drawing7.xml><?xml version="1.0" encoding="utf-8"?>
<xdr:wsDr xmlns:xdr="http://schemas.openxmlformats.org/drawingml/2006/spreadsheetDrawing" xmlns:a="http://schemas.openxmlformats.org/drawingml/2006/main">
  <xdr:twoCellAnchor editAs="absolute">
    <xdr:from>
      <xdr:col>0</xdr:col>
      <xdr:colOff>104775</xdr:colOff>
      <xdr:row>3</xdr:row>
      <xdr:rowOff>104776</xdr:rowOff>
    </xdr:from>
    <xdr:to>
      <xdr:col>9</xdr:col>
      <xdr:colOff>666750</xdr:colOff>
      <xdr:row>18</xdr:row>
      <xdr:rowOff>1</xdr:rowOff>
    </xdr:to>
    <xdr:graphicFrame macro="">
      <xdr:nvGraphicFramePr>
        <xdr:cNvPr id="2" name="g">
          <a:extLst>
            <a:ext uri="{FF2B5EF4-FFF2-40B4-BE49-F238E27FC236}">
              <a16:creationId xmlns:a16="http://schemas.microsoft.com/office/drawing/2014/main" id="{6E13921F-E682-445A-B472-509A1412FD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18</xdr:col>
      <xdr:colOff>38100</xdr:colOff>
      <xdr:row>3</xdr:row>
      <xdr:rowOff>104776</xdr:rowOff>
    </xdr:from>
    <xdr:to>
      <xdr:col>23</xdr:col>
      <xdr:colOff>723899</xdr:colOff>
      <xdr:row>18</xdr:row>
      <xdr:rowOff>1</xdr:rowOff>
    </xdr:to>
    <xdr:graphicFrame macro="">
      <xdr:nvGraphicFramePr>
        <xdr:cNvPr id="4" name="g">
          <a:extLst>
            <a:ext uri="{FF2B5EF4-FFF2-40B4-BE49-F238E27FC236}">
              <a16:creationId xmlns:a16="http://schemas.microsoft.com/office/drawing/2014/main" id="{6F017EA1-4012-4DAE-B520-65DD4C75F4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6</xdr:col>
      <xdr:colOff>304800</xdr:colOff>
      <xdr:row>0</xdr:row>
      <xdr:rowOff>0</xdr:rowOff>
    </xdr:from>
    <xdr:ext cx="184731" cy="264560"/>
    <xdr:sp macro="" textlink="">
      <xdr:nvSpPr>
        <xdr:cNvPr id="5" name="TextBox 4">
          <a:extLst>
            <a:ext uri="{FF2B5EF4-FFF2-40B4-BE49-F238E27FC236}">
              <a16:creationId xmlns:a16="http://schemas.microsoft.com/office/drawing/2014/main" id="{38ECEC8C-6FA5-064C-2BC6-CE5777C21ACC}"/>
            </a:ext>
          </a:extLst>
        </xdr:cNvPr>
        <xdr:cNvSpPr txBox="1"/>
      </xdr:nvSpPr>
      <xdr:spPr>
        <a:xfrm>
          <a:off x="2543175" y="295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4</xdr:col>
      <xdr:colOff>590550</xdr:colOff>
      <xdr:row>0</xdr:row>
      <xdr:rowOff>47625</xdr:rowOff>
    </xdr:from>
    <xdr:ext cx="2734018" cy="342786"/>
    <xdr:sp macro="" textlink="">
      <xdr:nvSpPr>
        <xdr:cNvPr id="6" name="TextBox 5">
          <a:extLst>
            <a:ext uri="{FF2B5EF4-FFF2-40B4-BE49-F238E27FC236}">
              <a16:creationId xmlns:a16="http://schemas.microsoft.com/office/drawing/2014/main" id="{33E0381D-F7FA-05AF-794A-14AB8BDD3EFB}"/>
            </a:ext>
          </a:extLst>
        </xdr:cNvPr>
        <xdr:cNvSpPr txBox="1"/>
      </xdr:nvSpPr>
      <xdr:spPr>
        <a:xfrm>
          <a:off x="714375" y="371475"/>
          <a:ext cx="2734018"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600" b="1">
              <a:solidFill>
                <a:schemeClr val="tx1">
                  <a:lumMod val="75000"/>
                  <a:lumOff val="25000"/>
                </a:schemeClr>
              </a:solidFill>
            </a:rPr>
            <a:t>Current</a:t>
          </a:r>
          <a:r>
            <a:rPr lang="en-US" sz="1600" b="1" baseline="0">
              <a:solidFill>
                <a:schemeClr val="tx1">
                  <a:lumMod val="75000"/>
                  <a:lumOff val="25000"/>
                </a:schemeClr>
              </a:solidFill>
            </a:rPr>
            <a:t> Model Cash Balances</a:t>
          </a:r>
          <a:endParaRPr lang="en-US" sz="1600" b="1">
            <a:solidFill>
              <a:schemeClr val="tx1">
                <a:lumMod val="75000"/>
                <a:lumOff val="25000"/>
              </a:schemeClr>
            </a:solidFill>
          </a:endParaRPr>
        </a:p>
      </xdr:txBody>
    </xdr:sp>
    <xdr:clientData/>
  </xdr:oneCellAnchor>
  <xdr:oneCellAnchor>
    <xdr:from>
      <xdr:col>11</xdr:col>
      <xdr:colOff>419100</xdr:colOff>
      <xdr:row>0</xdr:row>
      <xdr:rowOff>57150</xdr:rowOff>
    </xdr:from>
    <xdr:ext cx="1773884" cy="342786"/>
    <xdr:sp macro="" textlink="">
      <xdr:nvSpPr>
        <xdr:cNvPr id="7" name="TextBox 6">
          <a:extLst>
            <a:ext uri="{FF2B5EF4-FFF2-40B4-BE49-F238E27FC236}">
              <a16:creationId xmlns:a16="http://schemas.microsoft.com/office/drawing/2014/main" id="{F77C5686-0DC7-4800-BFE6-F08623210915}"/>
            </a:ext>
          </a:extLst>
        </xdr:cNvPr>
        <xdr:cNvSpPr txBox="1"/>
      </xdr:nvSpPr>
      <xdr:spPr>
        <a:xfrm>
          <a:off x="5419725" y="381000"/>
          <a:ext cx="1773884"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600" b="1">
              <a:solidFill>
                <a:schemeClr val="tx1">
                  <a:lumMod val="75000"/>
                  <a:lumOff val="25000"/>
                </a:schemeClr>
              </a:solidFill>
            </a:rPr>
            <a:t>Financing Sandbox</a:t>
          </a:r>
        </a:p>
      </xdr:txBody>
    </xdr:sp>
    <xdr:clientData/>
  </xdr:oneCellAnchor>
  <xdr:oneCellAnchor>
    <xdr:from>
      <xdr:col>18</xdr:col>
      <xdr:colOff>676275</xdr:colOff>
      <xdr:row>0</xdr:row>
      <xdr:rowOff>57150</xdr:rowOff>
    </xdr:from>
    <xdr:ext cx="3636958" cy="342786"/>
    <xdr:sp macro="" textlink="">
      <xdr:nvSpPr>
        <xdr:cNvPr id="8" name="TextBox 7">
          <a:extLst>
            <a:ext uri="{FF2B5EF4-FFF2-40B4-BE49-F238E27FC236}">
              <a16:creationId xmlns:a16="http://schemas.microsoft.com/office/drawing/2014/main" id="{4622F648-8D75-4DAF-B297-6AFA84ACB84C}"/>
            </a:ext>
          </a:extLst>
        </xdr:cNvPr>
        <xdr:cNvSpPr txBox="1"/>
      </xdr:nvSpPr>
      <xdr:spPr>
        <a:xfrm>
          <a:off x="10601325" y="381000"/>
          <a:ext cx="3636958"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600" b="1">
              <a:solidFill>
                <a:schemeClr val="tx1">
                  <a:lumMod val="75000"/>
                  <a:lumOff val="25000"/>
                </a:schemeClr>
              </a:solidFill>
            </a:rPr>
            <a:t>Cash Balances With Additional Financing</a:t>
          </a:r>
        </a:p>
      </xdr:txBody>
    </xdr:sp>
    <xdr:clientData/>
  </xdr:oneCellAnchor>
</xdr:wsDr>
</file>

<file path=xl/drawings/drawing8.xml><?xml version="1.0" encoding="utf-8"?>
<xdr:wsDr xmlns:xdr="http://schemas.openxmlformats.org/drawingml/2006/spreadsheetDrawing" xmlns:a="http://schemas.openxmlformats.org/drawingml/2006/main">
  <xdr:twoCellAnchor editAs="absolute">
    <xdr:from>
      <xdr:col>1</xdr:col>
      <xdr:colOff>123825</xdr:colOff>
      <xdr:row>1</xdr:row>
      <xdr:rowOff>85726</xdr:rowOff>
    </xdr:from>
    <xdr:to>
      <xdr:col>65</xdr:col>
      <xdr:colOff>28575</xdr:colOff>
      <xdr:row>26</xdr:row>
      <xdr:rowOff>104775</xdr:rowOff>
    </xdr:to>
    <xdr:graphicFrame macro="">
      <xdr:nvGraphicFramePr>
        <xdr:cNvPr id="3" name="g">
          <a:extLst>
            <a:ext uri="{FF2B5EF4-FFF2-40B4-BE49-F238E27FC236}">
              <a16:creationId xmlns:a16="http://schemas.microsoft.com/office/drawing/2014/main" i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16</xdr:col>
      <xdr:colOff>123824</xdr:colOff>
      <xdr:row>0</xdr:row>
      <xdr:rowOff>15875</xdr:rowOff>
    </xdr:from>
    <xdr:to>
      <xdr:col>46</xdr:col>
      <xdr:colOff>66675</xdr:colOff>
      <xdr:row>2</xdr:row>
      <xdr:rowOff>34811</xdr:rowOff>
    </xdr:to>
    <xdr:sp macro="" textlink="$EI$1">
      <xdr:nvSpPr>
        <xdr:cNvPr id="5" name="TextBox 4">
          <a:extLst>
            <a:ext uri="{FF2B5EF4-FFF2-40B4-BE49-F238E27FC236}">
              <a16:creationId xmlns:a16="http://schemas.microsoft.com/office/drawing/2014/main" id="{00000000-0008-0000-0700-000005000000}"/>
            </a:ext>
          </a:extLst>
        </xdr:cNvPr>
        <xdr:cNvSpPr txBox="1"/>
      </xdr:nvSpPr>
      <xdr:spPr>
        <a:xfrm>
          <a:off x="3381374" y="15875"/>
          <a:ext cx="3943351"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fld id="{A38466B8-9636-4589-884D-AF26EAABBE25}" type="TxLink">
            <a:rPr lang="en-US" sz="1600" b="1" i="0" u="none" strike="noStrike">
              <a:solidFill>
                <a:schemeClr val="tx1">
                  <a:lumMod val="75000"/>
                  <a:lumOff val="25000"/>
                </a:schemeClr>
              </a:solidFill>
              <a:latin typeface="Calibri"/>
              <a:cs typeface="Calibri"/>
            </a:rPr>
            <a:pPr algn="ctr"/>
            <a:t>Breakeven: No Breakeven</a:t>
          </a:fld>
          <a:endParaRPr lang="en-US" sz="2000" b="1">
            <a:solidFill>
              <a:schemeClr val="tx1">
                <a:lumMod val="75000"/>
                <a:lumOff val="25000"/>
              </a:schemeClr>
            </a:solidFill>
          </a:endParaRPr>
        </a:p>
      </xdr:txBody>
    </xdr:sp>
    <xdr:clientData/>
  </xdr:twoCellAnchor>
  <xdr:twoCellAnchor editAs="absolute">
    <xdr:from>
      <xdr:col>9</xdr:col>
      <xdr:colOff>0</xdr:colOff>
      <xdr:row>87</xdr:row>
      <xdr:rowOff>0</xdr:rowOff>
    </xdr:from>
    <xdr:to>
      <xdr:col>76</xdr:col>
      <xdr:colOff>76200</xdr:colOff>
      <xdr:row>112</xdr:row>
      <xdr:rowOff>19049</xdr:rowOff>
    </xdr:to>
    <xdr:graphicFrame macro="">
      <xdr:nvGraphicFramePr>
        <xdr:cNvPr id="4" name="g">
          <a:extLst>
            <a:ext uri="{FF2B5EF4-FFF2-40B4-BE49-F238E27FC236}">
              <a16:creationId xmlns:a16="http://schemas.microsoft.com/office/drawing/2014/main" id="{00000000-0008-0000-07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44</xdr:col>
      <xdr:colOff>46872</xdr:colOff>
      <xdr:row>0</xdr:row>
      <xdr:rowOff>57150</xdr:rowOff>
    </xdr:from>
    <xdr:ext cx="2044149" cy="248851"/>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7038222" y="57150"/>
          <a:ext cx="2044149"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000" b="1" i="1">
              <a:solidFill>
                <a:schemeClr val="tx1">
                  <a:lumMod val="50000"/>
                  <a:lumOff val="50000"/>
                </a:schemeClr>
              </a:solidFill>
            </a:rPr>
            <a:t>(Positive Accumulated Net Income)</a:t>
          </a: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9</xdr:col>
      <xdr:colOff>200025</xdr:colOff>
      <xdr:row>34</xdr:row>
      <xdr:rowOff>19050</xdr:rowOff>
    </xdr:from>
    <xdr:ext cx="6391814" cy="264560"/>
    <xdr:sp macro="" textlink="">
      <xdr:nvSpPr>
        <xdr:cNvPr id="2" name="TextBox 1">
          <a:extLst>
            <a:ext uri="{FF2B5EF4-FFF2-40B4-BE49-F238E27FC236}">
              <a16:creationId xmlns:a16="http://schemas.microsoft.com/office/drawing/2014/main" id="{00000000-0008-0000-0900-000002000000}"/>
            </a:ext>
          </a:extLst>
        </xdr:cNvPr>
        <xdr:cNvSpPr txBox="1"/>
      </xdr:nvSpPr>
      <xdr:spPr>
        <a:xfrm>
          <a:off x="10248900" y="5762625"/>
          <a:ext cx="639181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i="1">
              <a:solidFill>
                <a:schemeClr val="tx1">
                  <a:lumMod val="75000"/>
                  <a:lumOff val="25000"/>
                </a:schemeClr>
              </a:solidFill>
            </a:rPr>
            <a:t>(For an average monthly burn rate, select the values in the months you want, and see the</a:t>
          </a:r>
          <a:r>
            <a:rPr lang="en-US" sz="1100" b="1" i="1" baseline="0">
              <a:solidFill>
                <a:schemeClr val="tx1">
                  <a:lumMod val="75000"/>
                  <a:lumOff val="25000"/>
                </a:schemeClr>
              </a:solidFill>
            </a:rPr>
            <a:t> average below.)</a:t>
          </a:r>
          <a:endParaRPr lang="en-US" sz="1100" b="1" i="1">
            <a:solidFill>
              <a:schemeClr val="tx1">
                <a:lumMod val="75000"/>
                <a:lumOff val="25000"/>
              </a:schemeClr>
            </a:solidFill>
          </a:endParaRPr>
        </a:p>
      </xdr:txBody>
    </xdr:sp>
    <xdr:clientData/>
  </xdr:oneCellAnchor>
  <xdr:twoCellAnchor editAs="oneCell">
    <xdr:from>
      <xdr:col>11</xdr:col>
      <xdr:colOff>314325</xdr:colOff>
      <xdr:row>36</xdr:row>
      <xdr:rowOff>9525</xdr:rowOff>
    </xdr:from>
    <xdr:to>
      <xdr:col>14</xdr:col>
      <xdr:colOff>75901</xdr:colOff>
      <xdr:row>38</xdr:row>
      <xdr:rowOff>161865</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12115800" y="6076950"/>
          <a:ext cx="2390476" cy="47619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20</xdr:col>
      <xdr:colOff>42862</xdr:colOff>
      <xdr:row>148</xdr:row>
      <xdr:rowOff>85725</xdr:rowOff>
    </xdr:from>
    <xdr:to>
      <xdr:col>25</xdr:col>
      <xdr:colOff>490537</xdr:colOff>
      <xdr:row>165</xdr:row>
      <xdr:rowOff>76200</xdr:rowOff>
    </xdr:to>
    <xdr:graphicFrame macro="">
      <xdr:nvGraphicFramePr>
        <xdr:cNvPr id="7" name="Chart 6">
          <a:extLst>
            <a:ext uri="{FF2B5EF4-FFF2-40B4-BE49-F238E27FC236}">
              <a16:creationId xmlns:a16="http://schemas.microsoft.com/office/drawing/2014/main" id="{00000000-0008-0000-0B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19050</xdr:colOff>
      <xdr:row>130</xdr:row>
      <xdr:rowOff>133350</xdr:rowOff>
    </xdr:from>
    <xdr:to>
      <xdr:col>25</xdr:col>
      <xdr:colOff>466725</xdr:colOff>
      <xdr:row>147</xdr:row>
      <xdr:rowOff>123825</xdr:rowOff>
    </xdr:to>
    <xdr:graphicFrame macro="">
      <xdr:nvGraphicFramePr>
        <xdr:cNvPr id="8" name="Chart 7">
          <a:extLst>
            <a:ext uri="{FF2B5EF4-FFF2-40B4-BE49-F238E27FC236}">
              <a16:creationId xmlns:a16="http://schemas.microsoft.com/office/drawing/2014/main" id="{00000000-0008-0000-0B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20</xdr:col>
      <xdr:colOff>0</xdr:colOff>
      <xdr:row>113</xdr:row>
      <xdr:rowOff>0</xdr:rowOff>
    </xdr:from>
    <xdr:to>
      <xdr:col>25</xdr:col>
      <xdr:colOff>447675</xdr:colOff>
      <xdr:row>129</xdr:row>
      <xdr:rowOff>152400</xdr:rowOff>
    </xdr:to>
    <xdr:graphicFrame macro="">
      <xdr:nvGraphicFramePr>
        <xdr:cNvPr id="9" name="Chart 8">
          <a:extLst>
            <a:ext uri="{FF2B5EF4-FFF2-40B4-BE49-F238E27FC236}">
              <a16:creationId xmlns:a16="http://schemas.microsoft.com/office/drawing/2014/main" id="{00000000-0008-0000-0B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26</xdr:col>
      <xdr:colOff>428625</xdr:colOff>
      <xdr:row>150</xdr:row>
      <xdr:rowOff>28575</xdr:rowOff>
    </xdr:from>
    <xdr:to>
      <xdr:col>33</xdr:col>
      <xdr:colOff>200025</xdr:colOff>
      <xdr:row>167</xdr:row>
      <xdr:rowOff>19050</xdr:rowOff>
    </xdr:to>
    <xdr:graphicFrame macro="">
      <xdr:nvGraphicFramePr>
        <xdr:cNvPr id="10" name="Chart 9">
          <a:extLst>
            <a:ext uri="{FF2B5EF4-FFF2-40B4-BE49-F238E27FC236}">
              <a16:creationId xmlns:a16="http://schemas.microsoft.com/office/drawing/2014/main" id="{00000000-0008-0000-0B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26</xdr:col>
      <xdr:colOff>504825</xdr:colOff>
      <xdr:row>131</xdr:row>
      <xdr:rowOff>114300</xdr:rowOff>
    </xdr:from>
    <xdr:to>
      <xdr:col>33</xdr:col>
      <xdr:colOff>276225</xdr:colOff>
      <xdr:row>148</xdr:row>
      <xdr:rowOff>104775</xdr:rowOff>
    </xdr:to>
    <xdr:graphicFrame macro="">
      <xdr:nvGraphicFramePr>
        <xdr:cNvPr id="11" name="Chart 10">
          <a:extLst>
            <a:ext uri="{FF2B5EF4-FFF2-40B4-BE49-F238E27FC236}">
              <a16:creationId xmlns:a16="http://schemas.microsoft.com/office/drawing/2014/main" id="{00000000-0008-0000-0B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26</xdr:col>
      <xdr:colOff>381000</xdr:colOff>
      <xdr:row>113</xdr:row>
      <xdr:rowOff>9525</xdr:rowOff>
    </xdr:from>
    <xdr:to>
      <xdr:col>33</xdr:col>
      <xdr:colOff>152400</xdr:colOff>
      <xdr:row>130</xdr:row>
      <xdr:rowOff>0</xdr:rowOff>
    </xdr:to>
    <xdr:graphicFrame macro="">
      <xdr:nvGraphicFramePr>
        <xdr:cNvPr id="12" name="Chart 11">
          <a:extLst>
            <a:ext uri="{FF2B5EF4-FFF2-40B4-BE49-F238E27FC236}">
              <a16:creationId xmlns:a16="http://schemas.microsoft.com/office/drawing/2014/main" id="{00000000-0008-0000-0B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96</xdr:col>
      <xdr:colOff>0</xdr:colOff>
      <xdr:row>23</xdr:row>
      <xdr:rowOff>0</xdr:rowOff>
    </xdr:from>
    <xdr:to>
      <xdr:col>96</xdr:col>
      <xdr:colOff>323850</xdr:colOff>
      <xdr:row>24</xdr:row>
      <xdr:rowOff>146050</xdr:rowOff>
    </xdr:to>
    <xdr:sp macro="" textlink="Reports!$BC$8">
      <xdr:nvSpPr>
        <xdr:cNvPr id="2" name="TextBox 1">
          <a:extLst>
            <a:ext uri="{FF2B5EF4-FFF2-40B4-BE49-F238E27FC236}">
              <a16:creationId xmlns:a16="http://schemas.microsoft.com/office/drawing/2014/main" id="{00000000-0008-0000-0C00-000002000000}"/>
            </a:ext>
          </a:extLst>
        </xdr:cNvPr>
        <xdr:cNvSpPr txBox="1"/>
      </xdr:nvSpPr>
      <xdr:spPr>
        <a:xfrm>
          <a:off x="15232063" y="3762375"/>
          <a:ext cx="32385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11C44DB8-71AD-44F7-ACEC-61E1B98924F0}" type="TxLink">
            <a:rPr lang="en-US" sz="1200" b="0" i="0" u="none" strike="noStrike">
              <a:solidFill>
                <a:srgbClr val="000000"/>
              </a:solidFill>
              <a:latin typeface="Calibri"/>
              <a:ea typeface="Calibri"/>
              <a:cs typeface="Calibri"/>
            </a:rPr>
            <a:pPr/>
            <a:t>🎉</a:t>
          </a:fld>
          <a:endParaRPr lang="en-US" sz="1400"/>
        </a:p>
      </xdr:txBody>
    </xdr:sp>
    <xdr:clientData/>
  </xdr:twoCellAnchor>
  <xdr:twoCellAnchor>
    <xdr:from>
      <xdr:col>44</xdr:col>
      <xdr:colOff>57149</xdr:colOff>
      <xdr:row>46</xdr:row>
      <xdr:rowOff>57150</xdr:rowOff>
    </xdr:from>
    <xdr:to>
      <xdr:col>49</xdr:col>
      <xdr:colOff>47625</xdr:colOff>
      <xdr:row>48</xdr:row>
      <xdr:rowOff>9525</xdr:rowOff>
    </xdr:to>
    <xdr:sp macro="" textlink="$X$17">
      <xdr:nvSpPr>
        <xdr:cNvPr id="3" name="TextBox 2">
          <a:extLst>
            <a:ext uri="{FF2B5EF4-FFF2-40B4-BE49-F238E27FC236}">
              <a16:creationId xmlns:a16="http://schemas.microsoft.com/office/drawing/2014/main" id="{00000000-0008-0000-0C00-000003000000}"/>
            </a:ext>
          </a:extLst>
        </xdr:cNvPr>
        <xdr:cNvSpPr txBox="1"/>
      </xdr:nvSpPr>
      <xdr:spPr>
        <a:xfrm>
          <a:off x="7867649" y="7639050"/>
          <a:ext cx="323851" cy="276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9398DC68-6F47-423B-8CE3-3A9E8ACDAEB9}" type="TxLink">
            <a:rPr lang="en-US" sz="1000" b="1" i="0" u="none" strike="noStrike">
              <a:solidFill>
                <a:srgbClr val="FF0000"/>
              </a:solidFill>
              <a:latin typeface="Calibri"/>
              <a:ea typeface="Calibri"/>
              <a:cs typeface="Calibri"/>
            </a:rPr>
            <a:pPr/>
            <a:t> </a:t>
          </a:fld>
          <a:endParaRPr lang="en-US" sz="1100">
            <a:solidFill>
              <a:srgbClr val="FF0000"/>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238125</xdr:colOff>
      <xdr:row>138</xdr:row>
      <xdr:rowOff>0</xdr:rowOff>
    </xdr:from>
    <xdr:to>
      <xdr:col>9</xdr:col>
      <xdr:colOff>9525</xdr:colOff>
      <xdr:row>154</xdr:row>
      <xdr:rowOff>152400</xdr:rowOff>
    </xdr:to>
    <xdr:graphicFrame macro="">
      <xdr:nvGraphicFramePr>
        <xdr:cNvPr id="3" name="Chart 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31</xdr:col>
      <xdr:colOff>0</xdr:colOff>
      <xdr:row>141</xdr:row>
      <xdr:rowOff>161924</xdr:rowOff>
    </xdr:from>
    <xdr:to>
      <xdr:col>39</xdr:col>
      <xdr:colOff>0</xdr:colOff>
      <xdr:row>151</xdr:row>
      <xdr:rowOff>133349</xdr:rowOff>
    </xdr:to>
    <xdr:graphicFrame macro="">
      <xdr:nvGraphicFramePr>
        <xdr:cNvPr id="36" name="g">
          <a:extLst>
            <a:ext uri="{FF2B5EF4-FFF2-40B4-BE49-F238E27FC236}">
              <a16:creationId xmlns:a16="http://schemas.microsoft.com/office/drawing/2014/main" id="{00000000-0008-0000-0D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30</xdr:col>
      <xdr:colOff>323850</xdr:colOff>
      <xdr:row>156</xdr:row>
      <xdr:rowOff>133350</xdr:rowOff>
    </xdr:from>
    <xdr:to>
      <xdr:col>37</xdr:col>
      <xdr:colOff>113538</xdr:colOff>
      <xdr:row>166</xdr:row>
      <xdr:rowOff>68580</xdr:rowOff>
    </xdr:to>
    <xdr:graphicFrame macro="">
      <xdr:nvGraphicFramePr>
        <xdr:cNvPr id="37" name="Chart 36">
          <a:extLst>
            <a:ext uri="{FF2B5EF4-FFF2-40B4-BE49-F238E27FC236}">
              <a16:creationId xmlns:a16="http://schemas.microsoft.com/office/drawing/2014/main" id="{00000000-0008-0000-0D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809624</xdr:colOff>
      <xdr:row>1</xdr:row>
      <xdr:rowOff>66675</xdr:rowOff>
    </xdr:from>
    <xdr:to>
      <xdr:col>21</xdr:col>
      <xdr:colOff>457200</xdr:colOff>
      <xdr:row>16</xdr:row>
      <xdr:rowOff>133350</xdr:rowOff>
    </xdr:to>
    <xdr:graphicFrame macro="">
      <xdr:nvGraphicFramePr>
        <xdr:cNvPr id="40" name="Chart 39">
          <a:extLst>
            <a:ext uri="{FF2B5EF4-FFF2-40B4-BE49-F238E27FC236}">
              <a16:creationId xmlns:a16="http://schemas.microsoft.com/office/drawing/2014/main" id="{00000000-0008-0000-0D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8</xdr:col>
      <xdr:colOff>800100</xdr:colOff>
      <xdr:row>17</xdr:row>
      <xdr:rowOff>80374</xdr:rowOff>
    </xdr:from>
    <xdr:to>
      <xdr:col>21</xdr:col>
      <xdr:colOff>505587</xdr:colOff>
      <xdr:row>34</xdr:row>
      <xdr:rowOff>133350</xdr:rowOff>
    </xdr:to>
    <xdr:grpSp>
      <xdr:nvGrpSpPr>
        <xdr:cNvPr id="42" name="Group 41">
          <a:extLst>
            <a:ext uri="{FF2B5EF4-FFF2-40B4-BE49-F238E27FC236}">
              <a16:creationId xmlns:a16="http://schemas.microsoft.com/office/drawing/2014/main" id="{00000000-0008-0000-0D00-00002A000000}"/>
            </a:ext>
          </a:extLst>
        </xdr:cNvPr>
        <xdr:cNvGrpSpPr/>
      </xdr:nvGrpSpPr>
      <xdr:grpSpPr>
        <a:xfrm>
          <a:off x="8235950" y="2512424"/>
          <a:ext cx="8589137" cy="2688226"/>
          <a:chOff x="6410325" y="959408"/>
          <a:chExt cx="8897112" cy="2421966"/>
        </a:xfrm>
      </xdr:grpSpPr>
      <xdr:graphicFrame macro="">
        <xdr:nvGraphicFramePr>
          <xdr:cNvPr id="39" name="g">
            <a:extLst>
              <a:ext uri="{FF2B5EF4-FFF2-40B4-BE49-F238E27FC236}">
                <a16:creationId xmlns:a16="http://schemas.microsoft.com/office/drawing/2014/main" id="{00000000-0008-0000-0D00-000027000000}"/>
              </a:ext>
            </a:extLst>
          </xdr:cNvPr>
          <xdr:cNvGraphicFramePr>
            <a:graphicFrameLocks/>
          </xdr:cNvGraphicFramePr>
        </xdr:nvGraphicFramePr>
        <xdr:xfrm>
          <a:off x="6410325" y="990599"/>
          <a:ext cx="8897112" cy="2390775"/>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41" name="TextBox 40">
            <a:extLst>
              <a:ext uri="{FF2B5EF4-FFF2-40B4-BE49-F238E27FC236}">
                <a16:creationId xmlns:a16="http://schemas.microsoft.com/office/drawing/2014/main" id="{00000000-0008-0000-0D00-000029000000}"/>
              </a:ext>
            </a:extLst>
          </xdr:cNvPr>
          <xdr:cNvSpPr txBox="1"/>
        </xdr:nvSpPr>
        <xdr:spPr>
          <a:xfrm>
            <a:off x="10106025" y="959408"/>
            <a:ext cx="1910588"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400" b="1">
                <a:solidFill>
                  <a:schemeClr val="tx1">
                    <a:lumMod val="75000"/>
                    <a:lumOff val="25000"/>
                  </a:schemeClr>
                </a:solidFill>
              </a:rPr>
              <a:t>Monthly</a:t>
            </a:r>
            <a:r>
              <a:rPr lang="en-US" sz="1400" b="1" baseline="0">
                <a:solidFill>
                  <a:schemeClr val="tx1">
                    <a:lumMod val="75000"/>
                    <a:lumOff val="25000"/>
                  </a:schemeClr>
                </a:solidFill>
              </a:rPr>
              <a:t> Cash Balances</a:t>
            </a:r>
          </a:p>
        </xdr:txBody>
      </xdr:sp>
    </xdr:grpSp>
    <xdr:clientData/>
  </xdr:twoCellAnchor>
  <xdr:twoCellAnchor>
    <xdr:from>
      <xdr:col>13</xdr:col>
      <xdr:colOff>314324</xdr:colOff>
      <xdr:row>0</xdr:row>
      <xdr:rowOff>66675</xdr:rowOff>
    </xdr:from>
    <xdr:to>
      <xdr:col>16</xdr:col>
      <xdr:colOff>361844</xdr:colOff>
      <xdr:row>2</xdr:row>
      <xdr:rowOff>16221</xdr:rowOff>
    </xdr:to>
    <xdr:sp macro="" textlink="">
      <xdr:nvSpPr>
        <xdr:cNvPr id="43" name="TextBox 42">
          <a:extLst>
            <a:ext uri="{FF2B5EF4-FFF2-40B4-BE49-F238E27FC236}">
              <a16:creationId xmlns:a16="http://schemas.microsoft.com/office/drawing/2014/main" id="{00000000-0008-0000-0D00-00002B000000}"/>
            </a:ext>
          </a:extLst>
        </xdr:cNvPr>
        <xdr:cNvSpPr txBox="1"/>
      </xdr:nvSpPr>
      <xdr:spPr>
        <a:xfrm>
          <a:off x="11163299" y="66675"/>
          <a:ext cx="2104920"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lang="en-US" sz="1400" b="1">
              <a:solidFill>
                <a:schemeClr val="tx1">
                  <a:lumMod val="75000"/>
                  <a:lumOff val="25000"/>
                </a:schemeClr>
              </a:solidFill>
            </a:rPr>
            <a:t>P&amp;L</a:t>
          </a:r>
          <a:endParaRPr lang="en-US" sz="1400" b="1" baseline="0">
            <a:solidFill>
              <a:schemeClr val="tx1">
                <a:lumMod val="75000"/>
                <a:lumOff val="25000"/>
              </a:schemeClr>
            </a:solidFill>
          </a:endParaRPr>
        </a:p>
      </xdr:txBody>
    </xdr:sp>
    <xdr:clientData/>
  </xdr:twoCellAnchor>
  <xdr:twoCellAnchor>
    <xdr:from>
      <xdr:col>8</xdr:col>
      <xdr:colOff>781050</xdr:colOff>
      <xdr:row>36</xdr:row>
      <xdr:rowOff>57150</xdr:rowOff>
    </xdr:from>
    <xdr:to>
      <xdr:col>21</xdr:col>
      <xdr:colOff>486537</xdr:colOff>
      <xdr:row>54</xdr:row>
      <xdr:rowOff>91076</xdr:rowOff>
    </xdr:to>
    <xdr:grpSp>
      <xdr:nvGrpSpPr>
        <xdr:cNvPr id="44" name="Group 43">
          <a:extLst>
            <a:ext uri="{FF2B5EF4-FFF2-40B4-BE49-F238E27FC236}">
              <a16:creationId xmlns:a16="http://schemas.microsoft.com/office/drawing/2014/main" id="{00000000-0008-0000-0D00-00002C000000}"/>
            </a:ext>
          </a:extLst>
        </xdr:cNvPr>
        <xdr:cNvGrpSpPr/>
      </xdr:nvGrpSpPr>
      <xdr:grpSpPr>
        <a:xfrm>
          <a:off x="8216900" y="5454650"/>
          <a:ext cx="8589137" cy="2700926"/>
          <a:chOff x="6410325" y="959408"/>
          <a:chExt cx="8897112" cy="2421966"/>
        </a:xfrm>
      </xdr:grpSpPr>
      <xdr:graphicFrame macro="">
        <xdr:nvGraphicFramePr>
          <xdr:cNvPr id="45" name="g">
            <a:extLst>
              <a:ext uri="{FF2B5EF4-FFF2-40B4-BE49-F238E27FC236}">
                <a16:creationId xmlns:a16="http://schemas.microsoft.com/office/drawing/2014/main" id="{00000000-0008-0000-0D00-00002D000000}"/>
              </a:ext>
            </a:extLst>
          </xdr:cNvPr>
          <xdr:cNvGraphicFramePr>
            <a:graphicFrameLocks/>
          </xdr:cNvGraphicFramePr>
        </xdr:nvGraphicFramePr>
        <xdr:xfrm>
          <a:off x="6410325" y="990599"/>
          <a:ext cx="8897112" cy="2390775"/>
        </xdr:xfrm>
        <a:graphic>
          <a:graphicData uri="http://schemas.openxmlformats.org/drawingml/2006/chart">
            <c:chart xmlns:c="http://schemas.openxmlformats.org/drawingml/2006/chart" xmlns:r="http://schemas.openxmlformats.org/officeDocument/2006/relationships" r:id="rId6"/>
          </a:graphicData>
        </a:graphic>
      </xdr:graphicFrame>
      <xdr:sp macro="" textlink="">
        <xdr:nvSpPr>
          <xdr:cNvPr id="46" name="TextBox 45">
            <a:extLst>
              <a:ext uri="{FF2B5EF4-FFF2-40B4-BE49-F238E27FC236}">
                <a16:creationId xmlns:a16="http://schemas.microsoft.com/office/drawing/2014/main" id="{00000000-0008-0000-0D00-00002E000000}"/>
              </a:ext>
            </a:extLst>
          </xdr:cNvPr>
          <xdr:cNvSpPr txBox="1"/>
        </xdr:nvSpPr>
        <xdr:spPr>
          <a:xfrm>
            <a:off x="10391775" y="959408"/>
            <a:ext cx="976486" cy="2863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400" b="1">
                <a:solidFill>
                  <a:schemeClr val="tx1">
                    <a:lumMod val="75000"/>
                    <a:lumOff val="25000"/>
                  </a:schemeClr>
                </a:solidFill>
              </a:rPr>
              <a:t>Breakeven</a:t>
            </a:r>
          </a:p>
        </xdr:txBody>
      </xdr:sp>
    </xdr:grpSp>
    <xdr:clientData/>
  </xdr:twoCellAnchor>
  <xdr:oneCellAnchor>
    <xdr:from>
      <xdr:col>55</xdr:col>
      <xdr:colOff>295275</xdr:colOff>
      <xdr:row>19</xdr:row>
      <xdr:rowOff>152400</xdr:rowOff>
    </xdr:from>
    <xdr:ext cx="322845" cy="230641"/>
    <xdr:sp macro="" textlink="$BC$14">
      <xdr:nvSpPr>
        <xdr:cNvPr id="2" name="TextBox 1">
          <a:extLst>
            <a:ext uri="{FF2B5EF4-FFF2-40B4-BE49-F238E27FC236}">
              <a16:creationId xmlns:a16="http://schemas.microsoft.com/office/drawing/2014/main" id="{00000000-0008-0000-0D00-000002000000}"/>
            </a:ext>
          </a:extLst>
        </xdr:cNvPr>
        <xdr:cNvSpPr txBox="1"/>
      </xdr:nvSpPr>
      <xdr:spPr>
        <a:xfrm>
          <a:off x="31365825" y="2362200"/>
          <a:ext cx="322845" cy="2306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547F21CA-0A73-49FF-8F3A-DE6B487FBBC0}" type="TxLink">
            <a:rPr lang="en-US" sz="800" b="1" i="0" u="none" strike="noStrike">
              <a:solidFill>
                <a:srgbClr val="FF0000"/>
              </a:solidFill>
              <a:latin typeface="Calibri"/>
              <a:ea typeface="Calibri"/>
              <a:cs typeface="Calibri"/>
            </a:rPr>
            <a:pPr/>
            <a:t>❌</a:t>
          </a:fld>
          <a:endParaRPr lang="en-US" sz="1000" b="1"/>
        </a:p>
      </xdr:txBody>
    </xdr:sp>
    <xdr:clientData/>
  </xdr:oneCellAnchor>
  <xdr:oneCellAnchor>
    <xdr:from>
      <xdr:col>55</xdr:col>
      <xdr:colOff>628650</xdr:colOff>
      <xdr:row>19</xdr:row>
      <xdr:rowOff>142875</xdr:rowOff>
    </xdr:from>
    <xdr:ext cx="322845" cy="230641"/>
    <xdr:sp macro="" textlink="$BC$16">
      <xdr:nvSpPr>
        <xdr:cNvPr id="4" name="TextBox 3">
          <a:extLst>
            <a:ext uri="{FF2B5EF4-FFF2-40B4-BE49-F238E27FC236}">
              <a16:creationId xmlns:a16="http://schemas.microsoft.com/office/drawing/2014/main" id="{00000000-0008-0000-0D00-000004000000}"/>
            </a:ext>
          </a:extLst>
        </xdr:cNvPr>
        <xdr:cNvSpPr txBox="1"/>
      </xdr:nvSpPr>
      <xdr:spPr>
        <a:xfrm>
          <a:off x="31699200" y="2352675"/>
          <a:ext cx="322845" cy="2306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DF43EA56-9CB6-4A25-AB5A-9C5F5C208C28}" type="TxLink">
            <a:rPr lang="en-US" sz="800" b="1" i="0" u="none" strike="noStrike">
              <a:solidFill>
                <a:srgbClr val="33CC33"/>
              </a:solidFill>
              <a:latin typeface="Calibri"/>
              <a:ea typeface="Calibri"/>
              <a:cs typeface="Calibri"/>
            </a:rPr>
            <a:pPr/>
            <a:t>✔️</a:t>
          </a:fld>
          <a:endParaRPr lang="en-US" sz="1100">
            <a:solidFill>
              <a:srgbClr val="33CC33"/>
            </a:solidFill>
          </a:endParaRPr>
        </a:p>
      </xdr:txBody>
    </xdr:sp>
    <xdr:clientData/>
  </xdr:oneCellAnchor>
  <xdr:oneCellAnchor>
    <xdr:from>
      <xdr:col>55</xdr:col>
      <xdr:colOff>76200</xdr:colOff>
      <xdr:row>19</xdr:row>
      <xdr:rowOff>142875</xdr:rowOff>
    </xdr:from>
    <xdr:ext cx="343107" cy="247825"/>
    <xdr:sp macro="" textlink="$BC$18">
      <xdr:nvSpPr>
        <xdr:cNvPr id="5" name="TextBox 4">
          <a:extLst>
            <a:ext uri="{FF2B5EF4-FFF2-40B4-BE49-F238E27FC236}">
              <a16:creationId xmlns:a16="http://schemas.microsoft.com/office/drawing/2014/main" id="{00000000-0008-0000-0D00-000005000000}"/>
            </a:ext>
          </a:extLst>
        </xdr:cNvPr>
        <xdr:cNvSpPr txBox="1"/>
      </xdr:nvSpPr>
      <xdr:spPr>
        <a:xfrm>
          <a:off x="31146750" y="2352675"/>
          <a:ext cx="343107" cy="247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1C5DF944-6131-4A04-8F65-031D70EF0FB0}" type="TxLink">
            <a:rPr lang="en-US" sz="900" b="1" i="0" u="none" strike="noStrike">
              <a:solidFill>
                <a:srgbClr val="33CC33"/>
              </a:solidFill>
              <a:latin typeface="Calibri"/>
              <a:ea typeface="Calibri"/>
              <a:cs typeface="Calibri"/>
            </a:rPr>
            <a:pPr/>
            <a:t>✅</a:t>
          </a:fld>
          <a:endParaRPr lang="en-US" sz="1200" b="1"/>
        </a:p>
      </xdr:txBody>
    </xdr:sp>
    <xdr:clientData/>
  </xdr:oneCellAnchor>
  <xdr:twoCellAnchor>
    <xdr:from>
      <xdr:col>54</xdr:col>
      <xdr:colOff>152400</xdr:colOff>
      <xdr:row>24</xdr:row>
      <xdr:rowOff>123825</xdr:rowOff>
    </xdr:from>
    <xdr:to>
      <xdr:col>54</xdr:col>
      <xdr:colOff>390525</xdr:colOff>
      <xdr:row>26</xdr:row>
      <xdr:rowOff>57150</xdr:rowOff>
    </xdr:to>
    <xdr:sp macro="" textlink="$BD$14">
      <xdr:nvSpPr>
        <xdr:cNvPr id="6" name="TextBox 5">
          <a:extLst>
            <a:ext uri="{FF2B5EF4-FFF2-40B4-BE49-F238E27FC236}">
              <a16:creationId xmlns:a16="http://schemas.microsoft.com/office/drawing/2014/main" id="{00000000-0008-0000-0D00-000006000000}"/>
            </a:ext>
          </a:extLst>
        </xdr:cNvPr>
        <xdr:cNvSpPr txBox="1"/>
      </xdr:nvSpPr>
      <xdr:spPr>
        <a:xfrm>
          <a:off x="30060900" y="3143250"/>
          <a:ext cx="238125" cy="29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5F809790-3044-408A-99FC-A411FC0874C5}" type="TxLink">
            <a:rPr lang="en-US" sz="1000" b="0" i="0" u="none" strike="noStrike">
              <a:solidFill>
                <a:srgbClr val="33CC33"/>
              </a:solidFill>
              <a:latin typeface="Calibri"/>
              <a:ea typeface="Calibri"/>
              <a:cs typeface="Calibri"/>
            </a:rPr>
            <a:pPr/>
            <a:t>❌</a:t>
          </a:fld>
          <a:endParaRPr lang="en-US" sz="1100"/>
        </a:p>
      </xdr:txBody>
    </xdr:sp>
    <xdr:clientData/>
  </xdr:twoCellAnchor>
  <xdr:twoCellAnchor>
    <xdr:from>
      <xdr:col>53</xdr:col>
      <xdr:colOff>180975</xdr:colOff>
      <xdr:row>14</xdr:row>
      <xdr:rowOff>142875</xdr:rowOff>
    </xdr:from>
    <xdr:to>
      <xdr:col>54</xdr:col>
      <xdr:colOff>0</xdr:colOff>
      <xdr:row>17</xdr:row>
      <xdr:rowOff>47625</xdr:rowOff>
    </xdr:to>
    <xdr:sp macro="" textlink="$BB$28">
      <xdr:nvSpPr>
        <xdr:cNvPr id="7" name="TextBox 6">
          <a:extLst>
            <a:ext uri="{FF2B5EF4-FFF2-40B4-BE49-F238E27FC236}">
              <a16:creationId xmlns:a16="http://schemas.microsoft.com/office/drawing/2014/main" id="{00000000-0008-0000-0D00-000007000000}"/>
            </a:ext>
          </a:extLst>
        </xdr:cNvPr>
        <xdr:cNvSpPr txBox="1"/>
      </xdr:nvSpPr>
      <xdr:spPr>
        <a:xfrm>
          <a:off x="41328975" y="2028825"/>
          <a:ext cx="504825" cy="390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E42678E3-BDEC-449F-B300-390EA1D48A26}" type="TxLink">
            <a:rPr lang="en-US" sz="800" b="1" i="0" u="none" strike="noStrike">
              <a:solidFill>
                <a:srgbClr val="000000"/>
              </a:solidFill>
              <a:latin typeface="Calibri"/>
              <a:ea typeface="Calibri"/>
              <a:cs typeface="Calibri"/>
            </a:rPr>
            <a:pPr/>
            <a:t>📗</a:t>
          </a:fld>
          <a:endParaRPr lang="en-US" sz="1100"/>
        </a:p>
      </xdr:txBody>
    </xdr:sp>
    <xdr:clientData/>
  </xdr:twoCellAnchor>
  <xdr:twoCellAnchor>
    <xdr:from>
      <xdr:col>56</xdr:col>
      <xdr:colOff>276225</xdr:colOff>
      <xdr:row>14</xdr:row>
      <xdr:rowOff>28575</xdr:rowOff>
    </xdr:from>
    <xdr:to>
      <xdr:col>57</xdr:col>
      <xdr:colOff>114300</xdr:colOff>
      <xdr:row>16</xdr:row>
      <xdr:rowOff>95250</xdr:rowOff>
    </xdr:to>
    <xdr:sp macro="" textlink="$BB$29">
      <xdr:nvSpPr>
        <xdr:cNvPr id="8" name="TextBox 7">
          <a:extLst>
            <a:ext uri="{FF2B5EF4-FFF2-40B4-BE49-F238E27FC236}">
              <a16:creationId xmlns:a16="http://schemas.microsoft.com/office/drawing/2014/main" id="{00000000-0008-0000-0D00-000008000000}"/>
            </a:ext>
          </a:extLst>
        </xdr:cNvPr>
        <xdr:cNvSpPr txBox="1"/>
      </xdr:nvSpPr>
      <xdr:spPr>
        <a:xfrm>
          <a:off x="43481625" y="1914525"/>
          <a:ext cx="523875" cy="390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9A98D763-2947-4115-A850-9F426F6D8C16}" type="TxLink">
            <a:rPr lang="en-US" sz="800" b="1" i="0" u="none" strike="noStrike">
              <a:solidFill>
                <a:srgbClr val="000000"/>
              </a:solidFill>
              <a:latin typeface="Calibri"/>
              <a:ea typeface="Calibri"/>
              <a:cs typeface="Calibri"/>
            </a:rPr>
            <a:pPr/>
            <a:t>📕</a:t>
          </a:fld>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1005" row="1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A811774-7C3C-4921-ADA4-329426D635F1}">
  <we:reference id="wa104380862" version="3.0.0.0" store="en-US" storeType="OMEX"/>
  <we:alternateReferences>
    <we:reference id="WA104380862" version="3.0.0.0" store="WA104380862"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_xldudf_SCRIPTLAB_BLANKSNIPPET4_ADD10</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2" Type="http://schemas.openxmlformats.org/officeDocument/2006/relationships/drawing" Target="../drawings/drawing3.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trlProp" Target="../ctrlProps/ctrlProp40.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6F303-3FA4-4EAB-A4DD-4698B4C7E6D5}">
  <sheetPr codeName="Sheet2"/>
  <dimension ref="R1:AL700"/>
  <sheetViews>
    <sheetView topLeftCell="C8" workbookViewId="0"/>
  </sheetViews>
  <sheetFormatPr defaultColWidth="9" defaultRowHeight="15.5" x14ac:dyDescent="0.35"/>
  <cols>
    <col min="1" max="2" width="0" style="1464" hidden="1" customWidth="1"/>
    <col min="3" max="17" width="9" style="1464"/>
    <col min="18" max="18" width="8.6640625" customWidth="1"/>
    <col min="19" max="16384" width="9" style="1464"/>
  </cols>
  <sheetData>
    <row r="1" hidden="1" x14ac:dyDescent="0.35"/>
    <row r="2" hidden="1" x14ac:dyDescent="0.35"/>
    <row r="3" hidden="1" x14ac:dyDescent="0.35"/>
    <row r="4" hidden="1" x14ac:dyDescent="0.35"/>
    <row r="5" hidden="1" x14ac:dyDescent="0.35"/>
    <row r="6" hidden="1" x14ac:dyDescent="0.35"/>
    <row r="7" hidden="1" x14ac:dyDescent="0.35"/>
    <row r="78" spans="37:38" ht="23.5" x14ac:dyDescent="0.55000000000000004">
      <c r="AL78" s="1465" t="s">
        <v>0</v>
      </c>
    </row>
    <row r="79" spans="37:38" x14ac:dyDescent="0.35">
      <c r="AK79" s="1464" t="s">
        <v>0</v>
      </c>
    </row>
    <row r="80" spans="37:38" x14ac:dyDescent="0.35">
      <c r="AK80" s="1464" t="s">
        <v>1</v>
      </c>
    </row>
    <row r="81" spans="37:37" x14ac:dyDescent="0.35">
      <c r="AK81" s="1464" t="s">
        <v>2</v>
      </c>
    </row>
    <row r="328" spans="19:23" x14ac:dyDescent="0.35">
      <c r="S328" s="1466"/>
      <c r="T328" s="1466"/>
      <c r="U328" s="1466"/>
      <c r="V328" s="1466"/>
    </row>
    <row r="329" spans="19:23" x14ac:dyDescent="0.35">
      <c r="S329" s="1467"/>
      <c r="T329" s="1467"/>
      <c r="U329" s="1467"/>
      <c r="V329" s="1467"/>
      <c r="W329" s="1468"/>
    </row>
    <row r="330" spans="19:23" x14ac:dyDescent="0.35">
      <c r="S330" s="1467"/>
      <c r="T330" s="1469"/>
      <c r="U330" s="1469"/>
      <c r="V330" s="1469"/>
      <c r="W330" s="1468"/>
    </row>
    <row r="331" spans="19:23" x14ac:dyDescent="0.35">
      <c r="S331" s="1467"/>
      <c r="T331" s="1469" t="s">
        <v>3</v>
      </c>
      <c r="U331" s="1470">
        <v>654068</v>
      </c>
      <c r="V331" s="1471"/>
      <c r="W331" s="1468"/>
    </row>
    <row r="332" spans="19:23" x14ac:dyDescent="0.35">
      <c r="S332" s="1467"/>
      <c r="T332" s="1469" t="s">
        <v>4</v>
      </c>
      <c r="U332" s="1470">
        <v>585432</v>
      </c>
      <c r="V332" s="1471"/>
      <c r="W332" s="1468"/>
    </row>
    <row r="333" spans="19:23" x14ac:dyDescent="0.35">
      <c r="S333" s="1467"/>
      <c r="T333" s="1469" t="s">
        <v>5</v>
      </c>
      <c r="U333" s="1470">
        <v>345654</v>
      </c>
      <c r="V333" s="1471"/>
      <c r="W333" s="1468"/>
    </row>
    <row r="334" spans="19:23" x14ac:dyDescent="0.35">
      <c r="S334" s="1467"/>
      <c r="T334" s="1469" t="s">
        <v>6</v>
      </c>
      <c r="U334" s="1470">
        <v>220500</v>
      </c>
      <c r="V334" s="1471"/>
      <c r="W334" s="1468"/>
    </row>
    <row r="335" spans="19:23" x14ac:dyDescent="0.35">
      <c r="S335" s="1467"/>
      <c r="T335" s="1469" t="s">
        <v>7</v>
      </c>
      <c r="U335" s="1470">
        <v>155456</v>
      </c>
      <c r="V335" s="1471"/>
      <c r="W335" s="1468"/>
    </row>
    <row r="336" spans="19:23" x14ac:dyDescent="0.35">
      <c r="S336" s="1467"/>
      <c r="T336" s="1469"/>
      <c r="U336" s="1469"/>
      <c r="V336" s="1469"/>
      <c r="W336" s="1468"/>
    </row>
    <row r="337" spans="19:23" x14ac:dyDescent="0.35">
      <c r="S337" s="1467"/>
      <c r="T337" s="1469"/>
      <c r="U337" s="1469"/>
      <c r="V337" s="1469"/>
      <c r="W337" s="1468"/>
    </row>
    <row r="338" spans="19:23" x14ac:dyDescent="0.35">
      <c r="S338" s="1467"/>
      <c r="T338" s="1469"/>
      <c r="U338" s="1469"/>
      <c r="V338" s="1469"/>
      <c r="W338" s="1468"/>
    </row>
    <row r="339" spans="19:23" x14ac:dyDescent="0.35">
      <c r="S339" s="1468"/>
      <c r="T339" s="1468"/>
      <c r="U339" s="1468"/>
      <c r="V339" s="1468"/>
      <c r="W339" s="1468"/>
    </row>
    <row r="340" spans="19:23" x14ac:dyDescent="0.35">
      <c r="S340" s="1468"/>
      <c r="T340" s="1468"/>
      <c r="U340" s="1468"/>
      <c r="V340" s="1468"/>
      <c r="W340" s="1468"/>
    </row>
    <row r="671" spans="32:32" x14ac:dyDescent="0.35">
      <c r="AF671" s="1466" t="s">
        <v>7</v>
      </c>
    </row>
    <row r="675" spans="26:37" x14ac:dyDescent="0.35">
      <c r="Z675" s="1466"/>
      <c r="AA675" s="1466"/>
      <c r="AB675" s="1466"/>
      <c r="AC675" s="1466"/>
      <c r="AD675" s="1466"/>
      <c r="AE675" s="1466"/>
      <c r="AF675" s="1466"/>
      <c r="AG675" s="1466"/>
      <c r="AI675" s="1466"/>
      <c r="AJ675" s="1466"/>
    </row>
    <row r="676" spans="26:37" x14ac:dyDescent="0.35">
      <c r="Z676" s="1466"/>
      <c r="AA676" s="1466"/>
      <c r="AB676" s="1466"/>
      <c r="AC676" s="1466"/>
      <c r="AD676" s="1466"/>
      <c r="AE676" s="1466"/>
      <c r="AF676" s="1466"/>
      <c r="AG676" s="1466"/>
      <c r="AH676" s="1466"/>
      <c r="AI676" s="1466"/>
      <c r="AJ676" s="1466"/>
      <c r="AK676" s="1466"/>
    </row>
    <row r="677" spans="26:37" x14ac:dyDescent="0.35">
      <c r="Z677" s="1466"/>
      <c r="AA677" s="1472" t="s">
        <v>8</v>
      </c>
      <c r="AB677" s="1473"/>
      <c r="AC677" s="1473"/>
      <c r="AD677" s="1472" t="s">
        <v>9</v>
      </c>
      <c r="AE677" s="1473"/>
      <c r="AF677" s="1473"/>
      <c r="AG677" s="1472" t="s">
        <v>10</v>
      </c>
      <c r="AH677" s="1466"/>
      <c r="AI677" s="1466"/>
      <c r="AJ677" s="1466"/>
      <c r="AK677" s="1466"/>
    </row>
    <row r="678" spans="26:37" x14ac:dyDescent="0.35">
      <c r="Z678" s="1466"/>
      <c r="AA678" s="1466"/>
      <c r="AB678" s="1466"/>
      <c r="AC678" s="1466"/>
      <c r="AD678" s="1466"/>
      <c r="AE678" s="1466"/>
      <c r="AF678" s="1466"/>
      <c r="AG678" s="1466"/>
      <c r="AH678" s="1466"/>
      <c r="AI678" s="1466"/>
      <c r="AJ678" s="1466"/>
      <c r="AK678" s="1466"/>
    </row>
    <row r="679" spans="26:37" x14ac:dyDescent="0.35">
      <c r="Z679" s="1466"/>
      <c r="AA679" s="1466" t="s">
        <v>3</v>
      </c>
      <c r="AB679" s="1466"/>
      <c r="AC679" s="1466"/>
      <c r="AD679" s="1474" t="s">
        <v>7</v>
      </c>
      <c r="AE679" s="1466"/>
      <c r="AF679" s="1466"/>
      <c r="AG679" s="1474" t="s">
        <v>11</v>
      </c>
      <c r="AH679" s="1466"/>
      <c r="AI679" s="1466"/>
      <c r="AJ679" s="1466"/>
      <c r="AK679" s="1466"/>
    </row>
    <row r="680" spans="26:37" x14ac:dyDescent="0.35">
      <c r="Z680" s="1466"/>
      <c r="AA680" s="1466" t="s">
        <v>12</v>
      </c>
      <c r="AB680" s="1466"/>
      <c r="AC680" s="1466"/>
      <c r="AD680" s="1466"/>
      <c r="AE680" s="1466"/>
      <c r="AF680" s="1466"/>
      <c r="AG680" s="1466" t="s">
        <v>13</v>
      </c>
      <c r="AH680" s="1466"/>
      <c r="AI680" s="1466"/>
      <c r="AJ680" s="1466"/>
      <c r="AK680" s="1466"/>
    </row>
    <row r="681" spans="26:37" x14ac:dyDescent="0.35">
      <c r="Z681" s="1466"/>
      <c r="AA681" s="1466" t="s">
        <v>5</v>
      </c>
      <c r="AB681" s="1466"/>
      <c r="AC681" s="1466"/>
      <c r="AD681" s="1466" t="s">
        <v>14</v>
      </c>
      <c r="AE681" s="1466"/>
      <c r="AF681" s="1466"/>
      <c r="AG681" s="1466" t="s">
        <v>15</v>
      </c>
      <c r="AH681" s="1466"/>
      <c r="AI681" s="1466"/>
      <c r="AJ681" s="1466"/>
      <c r="AK681" s="1466"/>
    </row>
    <row r="682" spans="26:37" x14ac:dyDescent="0.35">
      <c r="Z682" s="1466"/>
      <c r="AA682" s="1466"/>
      <c r="AB682" s="1466"/>
      <c r="AC682" s="1466"/>
      <c r="AD682" s="1466" t="s">
        <v>16</v>
      </c>
      <c r="AE682" s="1466"/>
      <c r="AF682" s="1466"/>
      <c r="AG682" s="1466" t="s">
        <v>17</v>
      </c>
      <c r="AH682" s="1466"/>
      <c r="AI682" s="1466"/>
      <c r="AJ682" s="1466"/>
      <c r="AK682" s="1466"/>
    </row>
    <row r="683" spans="26:37" x14ac:dyDescent="0.35">
      <c r="Z683" s="1466"/>
      <c r="AA683" s="1466" t="s">
        <v>18</v>
      </c>
      <c r="AB683" s="1466"/>
      <c r="AC683" s="1466"/>
      <c r="AD683" s="1466" t="s">
        <v>15</v>
      </c>
      <c r="AE683" s="1466"/>
      <c r="AF683" s="1466"/>
      <c r="AG683" s="1466"/>
      <c r="AH683" s="1466"/>
      <c r="AI683" s="1466"/>
      <c r="AJ683" s="1466"/>
      <c r="AK683" s="1466"/>
    </row>
    <row r="684" spans="26:37" x14ac:dyDescent="0.35">
      <c r="Z684" s="1466"/>
      <c r="AA684" s="1466" t="s">
        <v>19</v>
      </c>
      <c r="AB684" s="1466"/>
      <c r="AC684" s="1466"/>
      <c r="AD684" s="1475" t="s">
        <v>20</v>
      </c>
      <c r="AE684" s="1466"/>
      <c r="AF684" s="1466"/>
      <c r="AG684" s="1466" t="s">
        <v>21</v>
      </c>
      <c r="AH684" s="1466"/>
      <c r="AI684" s="1466"/>
      <c r="AJ684" s="1466"/>
      <c r="AK684" s="1466"/>
    </row>
    <row r="685" spans="26:37" x14ac:dyDescent="0.35">
      <c r="Z685" s="1466"/>
      <c r="AA685" s="1466"/>
      <c r="AB685" s="1466"/>
      <c r="AC685" s="1466"/>
      <c r="AD685" s="1475" t="s">
        <v>22</v>
      </c>
      <c r="AE685" s="1466"/>
      <c r="AF685" s="1466"/>
      <c r="AG685" s="1466" t="s">
        <v>23</v>
      </c>
      <c r="AH685" s="1466"/>
      <c r="AI685" s="1466"/>
      <c r="AJ685" s="1466"/>
      <c r="AK685" s="1466"/>
    </row>
    <row r="686" spans="26:37" x14ac:dyDescent="0.35">
      <c r="Z686" s="1466"/>
      <c r="AA686" s="1466" t="s">
        <v>6</v>
      </c>
      <c r="AB686" s="1466"/>
      <c r="AC686" s="1466"/>
      <c r="AD686" s="1475" t="s">
        <v>24</v>
      </c>
      <c r="AE686" s="1466"/>
      <c r="AF686" s="1466"/>
      <c r="AG686" s="1466"/>
      <c r="AH686" s="1466"/>
      <c r="AI686" s="1466"/>
      <c r="AJ686" s="1466"/>
      <c r="AK686" s="1466"/>
    </row>
    <row r="687" spans="26:37" x14ac:dyDescent="0.35">
      <c r="Z687" s="1466"/>
      <c r="AA687" s="1466"/>
      <c r="AB687" s="1466"/>
      <c r="AC687" s="1466"/>
      <c r="AD687" s="1475"/>
      <c r="AE687" s="1466"/>
      <c r="AF687" s="1466"/>
      <c r="AG687" s="1466" t="s">
        <v>25</v>
      </c>
      <c r="AH687" s="1466"/>
      <c r="AI687" s="1466"/>
      <c r="AJ687" s="1466"/>
      <c r="AK687" s="1466"/>
    </row>
    <row r="688" spans="26:37" x14ac:dyDescent="0.35">
      <c r="Z688" s="1466"/>
      <c r="AA688" s="1466" t="s">
        <v>26</v>
      </c>
      <c r="AB688" s="1466"/>
      <c r="AC688" s="1466"/>
      <c r="AD688" s="1466" t="s">
        <v>27</v>
      </c>
      <c r="AE688" s="1466"/>
      <c r="AF688" s="1466"/>
      <c r="AG688" s="1466"/>
      <c r="AH688" s="1466"/>
      <c r="AI688" s="1466"/>
      <c r="AJ688" s="1466"/>
      <c r="AK688" s="1466"/>
    </row>
    <row r="689" spans="26:37" x14ac:dyDescent="0.35">
      <c r="Z689" s="1466"/>
      <c r="AA689" s="1466"/>
      <c r="AB689" s="1466"/>
      <c r="AC689" s="1466"/>
      <c r="AD689" s="1466"/>
      <c r="AE689" s="1466"/>
      <c r="AF689" s="1466"/>
      <c r="AG689" s="1466" t="s">
        <v>28</v>
      </c>
      <c r="AH689" s="1466"/>
      <c r="AI689" s="1466"/>
      <c r="AJ689" s="1466"/>
      <c r="AK689" s="1466"/>
    </row>
    <row r="690" spans="26:37" x14ac:dyDescent="0.35">
      <c r="Z690" s="1466"/>
      <c r="AA690" s="1474" t="s">
        <v>7</v>
      </c>
      <c r="AB690" s="1466"/>
      <c r="AC690" s="1466"/>
      <c r="AD690" s="1474" t="s">
        <v>29</v>
      </c>
      <c r="AE690" s="1466"/>
      <c r="AF690" s="1466"/>
      <c r="AG690" s="1466" t="s">
        <v>30</v>
      </c>
      <c r="AH690" s="1466"/>
      <c r="AI690" s="1466"/>
      <c r="AJ690" s="1466"/>
      <c r="AK690" s="1466"/>
    </row>
    <row r="691" spans="26:37" x14ac:dyDescent="0.35">
      <c r="Z691" s="1466"/>
      <c r="AA691" s="1466"/>
      <c r="AB691" s="1466"/>
      <c r="AC691" s="1466"/>
      <c r="AE691" s="1466"/>
      <c r="AF691" s="1466"/>
      <c r="AG691" s="1466"/>
      <c r="AH691" s="1466"/>
      <c r="AI691" s="1466"/>
      <c r="AJ691" s="1466"/>
      <c r="AK691" s="1466"/>
    </row>
    <row r="692" spans="26:37" x14ac:dyDescent="0.35">
      <c r="Z692" s="1466"/>
      <c r="AA692" s="1466"/>
      <c r="AB692" s="1466"/>
      <c r="AC692" s="1466"/>
      <c r="AE692" s="1466"/>
      <c r="AF692" s="1466"/>
      <c r="AG692" s="1466" t="s">
        <v>31</v>
      </c>
      <c r="AH692" s="1466"/>
      <c r="AI692" s="1466"/>
      <c r="AJ692" s="1466"/>
      <c r="AK692" s="1466"/>
    </row>
    <row r="693" spans="26:37" x14ac:dyDescent="0.35">
      <c r="Z693" s="1466"/>
      <c r="AA693" s="1466"/>
      <c r="AB693" s="1466"/>
      <c r="AC693" s="1466"/>
      <c r="AE693" s="1466"/>
      <c r="AF693" s="1466"/>
      <c r="AG693" s="1466"/>
      <c r="AH693" s="1466"/>
      <c r="AI693" s="1466"/>
      <c r="AJ693" s="1466"/>
      <c r="AK693" s="1466"/>
    </row>
    <row r="694" spans="26:37" x14ac:dyDescent="0.35">
      <c r="Z694" s="1466"/>
      <c r="AA694" s="1466"/>
      <c r="AB694" s="1466"/>
      <c r="AC694" s="1466"/>
      <c r="AE694" s="1466"/>
      <c r="AF694" s="1466"/>
      <c r="AG694" s="1466"/>
      <c r="AH694" s="1466"/>
      <c r="AI694" s="1466"/>
      <c r="AJ694" s="1466"/>
      <c r="AK694" s="1466"/>
    </row>
    <row r="695" spans="26:37" x14ac:dyDescent="0.35">
      <c r="Z695" s="1466"/>
      <c r="AA695" s="1466"/>
      <c r="AB695" s="1466"/>
      <c r="AC695" s="1466"/>
      <c r="AE695" s="1466"/>
      <c r="AF695" s="1466"/>
      <c r="AG695" s="1466"/>
      <c r="AH695" s="1466"/>
      <c r="AI695" s="1466"/>
      <c r="AJ695" s="1466"/>
      <c r="AK695" s="1466"/>
    </row>
    <row r="696" spans="26:37" x14ac:dyDescent="0.35">
      <c r="Z696" s="1466"/>
      <c r="AA696" s="1466"/>
      <c r="AB696" s="1466"/>
      <c r="AC696" s="1466"/>
      <c r="AE696" s="1466"/>
      <c r="AF696" s="1466"/>
      <c r="AG696" s="1466"/>
      <c r="AH696" s="1466"/>
      <c r="AI696" s="1466"/>
      <c r="AJ696" s="1466"/>
      <c r="AK696" s="1466"/>
    </row>
    <row r="697" spans="26:37" x14ac:dyDescent="0.35">
      <c r="Z697" s="1466"/>
      <c r="AA697" s="1466"/>
      <c r="AB697" s="1466"/>
      <c r="AC697" s="1466"/>
      <c r="AE697" s="1466"/>
      <c r="AF697" s="1466"/>
      <c r="AG697" s="1466"/>
      <c r="AH697" s="1466"/>
      <c r="AI697" s="1466"/>
      <c r="AJ697" s="1466"/>
      <c r="AK697" s="1466"/>
    </row>
    <row r="698" spans="26:37" x14ac:dyDescent="0.35">
      <c r="Z698" s="1466"/>
      <c r="AA698" s="1466"/>
      <c r="AB698" s="1466"/>
      <c r="AC698" s="1466"/>
      <c r="AD698" s="1466"/>
      <c r="AE698" s="1466"/>
      <c r="AF698" s="1466"/>
      <c r="AG698" s="1466"/>
      <c r="AH698" s="1466"/>
      <c r="AI698" s="1466"/>
      <c r="AJ698" s="1466"/>
    </row>
    <row r="699" spans="26:37" x14ac:dyDescent="0.35">
      <c r="Z699" s="1466"/>
      <c r="AA699" s="1466"/>
      <c r="AB699" s="1466"/>
      <c r="AC699" s="1466"/>
      <c r="AD699" s="1466"/>
      <c r="AE699" s="1466"/>
      <c r="AF699" s="1466"/>
      <c r="AG699" s="1466"/>
      <c r="AH699" s="1466"/>
      <c r="AI699" s="1466"/>
      <c r="AJ699" s="1466"/>
    </row>
    <row r="700" spans="26:37" x14ac:dyDescent="0.35">
      <c r="Z700" s="1466"/>
      <c r="AA700" s="1466"/>
      <c r="AB700" s="1466"/>
      <c r="AC700" s="1466"/>
      <c r="AD700" s="1466"/>
      <c r="AE700" s="1466"/>
      <c r="AF700" s="1466"/>
      <c r="AG700" s="1466"/>
      <c r="AH700" s="1466"/>
      <c r="AI700" s="1466"/>
      <c r="AJ700" s="1466"/>
    </row>
  </sheetData>
  <sheetProtection algorithmName="SHA-512" hashValue="FhjbQhz0Euln2rRNKUThYpaARbLOKoHhGhPEgGgSr3uMzSE89feqIcXmihPylQupjeNJH87kP1EO0+FOzvIfmg==" saltValue="AwSOhbrqlh1Jgdb4n6/8pA==" spinCount="100000" sheet="1" objects="1" scenarios="1" selectLockedCells="1" selectUnlockedCells="1"/>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CF039-2AE1-40AC-A129-292887DC7723}">
  <sheetPr codeName="Sheet5"/>
  <dimension ref="H6:AI386"/>
  <sheetViews>
    <sheetView showGridLines="0" showRowColHeaders="0" topLeftCell="A4" zoomScaleNormal="100" workbookViewId="0">
      <selection activeCell="S7" sqref="S7"/>
    </sheetView>
  </sheetViews>
  <sheetFormatPr defaultColWidth="9" defaultRowHeight="14.5" x14ac:dyDescent="0.35"/>
  <cols>
    <col min="1" max="21" width="9" style="1464"/>
    <col min="22" max="22" width="51" style="1464" customWidth="1"/>
    <col min="23" max="16384" width="9" style="1464"/>
  </cols>
  <sheetData>
    <row r="6" spans="8:35" x14ac:dyDescent="0.35">
      <c r="H6" s="1779"/>
      <c r="W6" s="1779"/>
      <c r="X6" s="1779"/>
      <c r="AG6" s="1780" t="s">
        <v>32</v>
      </c>
      <c r="AH6" s="1779"/>
      <c r="AI6" s="1779"/>
    </row>
    <row r="7" spans="8:35" ht="15" thickBot="1" x14ac:dyDescent="0.4">
      <c r="H7" s="1779"/>
      <c r="W7" s="1779"/>
      <c r="X7" s="1779"/>
      <c r="AG7" s="1781" t="s">
        <v>33</v>
      </c>
      <c r="AH7" s="1781"/>
      <c r="AI7" s="1781" t="s">
        <v>34</v>
      </c>
    </row>
    <row r="8" spans="8:35" x14ac:dyDescent="0.35">
      <c r="H8" s="1779"/>
      <c r="W8" s="1779"/>
      <c r="X8" s="1779"/>
      <c r="AG8" s="1782" t="s">
        <v>35</v>
      </c>
      <c r="AH8" s="1783"/>
      <c r="AI8" s="1784" t="s">
        <v>36</v>
      </c>
    </row>
    <row r="9" spans="8:35" ht="15" thickBot="1" x14ac:dyDescent="0.4">
      <c r="H9" s="1779"/>
      <c r="W9" s="1779"/>
      <c r="X9" s="1779"/>
      <c r="AG9" s="1785" t="s">
        <v>37</v>
      </c>
      <c r="AH9" s="1786"/>
      <c r="AI9" s="1787" t="s">
        <v>38</v>
      </c>
    </row>
    <row r="10" spans="8:35" x14ac:dyDescent="0.35">
      <c r="H10" s="1779"/>
      <c r="W10" s="1779"/>
      <c r="X10" s="1779"/>
      <c r="AG10" s="1788" t="s">
        <v>39</v>
      </c>
      <c r="AH10" s="1779"/>
      <c r="AI10" s="1789" t="s">
        <v>40</v>
      </c>
    </row>
    <row r="11" spans="8:35" x14ac:dyDescent="0.35">
      <c r="H11" s="1779"/>
      <c r="W11" s="1779"/>
      <c r="X11" s="1779"/>
      <c r="AG11" s="1790" t="s">
        <v>41</v>
      </c>
      <c r="AH11" s="1791"/>
      <c r="AI11" s="1792" t="s">
        <v>42</v>
      </c>
    </row>
    <row r="12" spans="8:35" x14ac:dyDescent="0.35">
      <c r="H12" s="1779"/>
      <c r="W12" s="1779"/>
      <c r="X12" s="1779"/>
      <c r="AG12" s="1788" t="s">
        <v>43</v>
      </c>
      <c r="AH12" s="1779"/>
      <c r="AI12" s="1789" t="s">
        <v>44</v>
      </c>
    </row>
    <row r="13" spans="8:35" x14ac:dyDescent="0.35">
      <c r="H13" s="1779"/>
      <c r="W13" s="1779"/>
      <c r="X13" s="1779"/>
      <c r="AG13" s="1790" t="s">
        <v>45</v>
      </c>
      <c r="AH13" s="1791"/>
      <c r="AI13" s="1792" t="s">
        <v>46</v>
      </c>
    </row>
    <row r="14" spans="8:35" x14ac:dyDescent="0.35">
      <c r="H14" s="1779"/>
      <c r="W14" s="1779"/>
      <c r="X14" s="1779"/>
      <c r="AG14" s="1788" t="s">
        <v>47</v>
      </c>
      <c r="AH14" s="1779"/>
      <c r="AI14" s="1789" t="s">
        <v>48</v>
      </c>
    </row>
    <row r="15" spans="8:35" x14ac:dyDescent="0.35">
      <c r="H15" s="1779"/>
      <c r="W15" s="1779"/>
      <c r="X15" s="1779"/>
      <c r="AG15" s="1790" t="s">
        <v>49</v>
      </c>
      <c r="AH15" s="1791"/>
      <c r="AI15" s="1792" t="s">
        <v>50</v>
      </c>
    </row>
    <row r="16" spans="8:35" x14ac:dyDescent="0.35">
      <c r="H16" s="1779"/>
      <c r="W16" s="1779"/>
      <c r="X16" s="1779"/>
      <c r="AG16" s="1788" t="s">
        <v>51</v>
      </c>
      <c r="AH16" s="1779"/>
      <c r="AI16" s="1789" t="s">
        <v>52</v>
      </c>
    </row>
    <row r="17" spans="8:35" x14ac:dyDescent="0.35">
      <c r="H17" s="1779"/>
      <c r="X17" s="1779"/>
      <c r="AG17" s="1790" t="s">
        <v>53</v>
      </c>
      <c r="AH17" s="1791"/>
      <c r="AI17" s="1792" t="s">
        <v>54</v>
      </c>
    </row>
    <row r="18" spans="8:35" ht="15" thickBot="1" x14ac:dyDescent="0.4">
      <c r="H18" s="1779"/>
      <c r="W18" s="1779"/>
      <c r="X18" s="1779"/>
      <c r="AG18" s="1793" t="s">
        <v>55</v>
      </c>
      <c r="AH18" s="1794"/>
      <c r="AI18" s="1795" t="s">
        <v>56</v>
      </c>
    </row>
    <row r="20" spans="8:35" x14ac:dyDescent="0.35">
      <c r="H20" s="1779"/>
      <c r="T20" s="1779"/>
      <c r="U20" s="1779"/>
      <c r="V20" s="1779"/>
      <c r="W20" s="1779"/>
      <c r="X20" s="1779"/>
    </row>
    <row r="21" spans="8:35" x14ac:dyDescent="0.35">
      <c r="H21" s="1779"/>
      <c r="T21" s="1779"/>
      <c r="U21" s="1779"/>
      <c r="V21" s="1779"/>
      <c r="W21" s="1779"/>
      <c r="X21" s="1779"/>
    </row>
    <row r="22" spans="8:35" x14ac:dyDescent="0.35">
      <c r="H22" s="1779"/>
      <c r="T22" s="1779"/>
      <c r="U22" s="1779"/>
      <c r="V22" s="1779"/>
      <c r="W22" s="1779"/>
      <c r="X22" s="1779"/>
    </row>
    <row r="23" spans="8:35" x14ac:dyDescent="0.35">
      <c r="H23" s="1779"/>
      <c r="T23" s="1779"/>
      <c r="U23" s="1779"/>
      <c r="V23" s="1779"/>
      <c r="W23" s="1779"/>
      <c r="X23" s="1779"/>
    </row>
    <row r="24" spans="8:35" x14ac:dyDescent="0.35">
      <c r="H24" s="1779"/>
      <c r="T24" s="1779"/>
      <c r="U24" s="1779"/>
      <c r="V24" s="1779"/>
      <c r="W24" s="1779"/>
      <c r="X24" s="1779"/>
    </row>
    <row r="25" spans="8:35" x14ac:dyDescent="0.35">
      <c r="H25" s="1779"/>
      <c r="T25" s="1779"/>
      <c r="U25" s="1779"/>
      <c r="V25" s="1779"/>
      <c r="W25" s="1779"/>
      <c r="X25" s="1779"/>
    </row>
    <row r="386" spans="22:22" x14ac:dyDescent="0.35">
      <c r="V386" s="1796"/>
    </row>
  </sheetData>
  <sheetProtection algorithmName="SHA-512" hashValue="ZEzQUA9HqI3WAlzOn3eU80F71T6DIjwShg396kdid720DHh1ndhHw7T3je6OyYC6EudXWHSMC0dqokqn1htACg==" saltValue="LjV2VDjHbfttOPpfSfJceQ==" spinCount="100000" sheet="1" objects="1" scenarios="1" selectLockedCells="1" selectUnlockedCell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theme="0" tint="-4.9989318521683403E-2"/>
    <pageSetUpPr autoPageBreaks="0"/>
  </sheetPr>
  <dimension ref="A1:FW1614"/>
  <sheetViews>
    <sheetView showGridLines="0" tabSelected="1" zoomScaleNormal="100" workbookViewId="0">
      <pane ySplit="16" topLeftCell="A17" activePane="bottomLeft" state="frozen"/>
      <selection pane="bottomLeft" activeCell="H109" sqref="H109:I132"/>
    </sheetView>
  </sheetViews>
  <sheetFormatPr defaultColWidth="8.75" defaultRowHeight="12" x14ac:dyDescent="0.3"/>
  <cols>
    <col min="1" max="1" width="1" style="4" customWidth="1"/>
    <col min="2" max="2" width="16.25" style="4" customWidth="1"/>
    <col min="3" max="3" width="13.08203125" style="4" customWidth="1"/>
    <col min="4" max="75" width="10.58203125" style="4" customWidth="1"/>
    <col min="76" max="76" width="8.58203125" style="4" customWidth="1"/>
    <col min="77" max="85" width="7.58203125" style="4" customWidth="1"/>
    <col min="86" max="90" width="8.58203125" style="4" customWidth="1"/>
    <col min="91" max="174" width="10.58203125" style="4" customWidth="1"/>
    <col min="175" max="16384" width="8.75" style="4"/>
  </cols>
  <sheetData>
    <row r="1" spans="1:173" s="5" customFormat="1" ht="4.5" customHeight="1" x14ac:dyDescent="0.35">
      <c r="A1" s="745"/>
      <c r="B1" s="746"/>
      <c r="C1" s="746"/>
      <c r="D1" s="758"/>
      <c r="E1" s="759"/>
      <c r="F1" s="759"/>
      <c r="G1" s="759"/>
      <c r="H1" s="759"/>
      <c r="I1" s="745"/>
      <c r="J1" s="747"/>
      <c r="K1" s="745"/>
      <c r="L1" s="747"/>
      <c r="M1" s="745"/>
      <c r="N1" s="745"/>
      <c r="O1" s="745"/>
      <c r="P1" s="745"/>
      <c r="Q1" s="748"/>
      <c r="R1" s="745"/>
      <c r="S1" s="745"/>
      <c r="T1" s="745"/>
      <c r="U1" s="745"/>
      <c r="V1" s="745"/>
      <c r="W1" s="745"/>
      <c r="X1" s="745"/>
      <c r="Y1" s="745"/>
      <c r="Z1" s="745"/>
      <c r="AA1" s="745"/>
      <c r="AB1" s="745"/>
      <c r="AC1" s="745"/>
      <c r="AD1" s="745"/>
      <c r="AE1" s="745"/>
      <c r="AF1" s="745"/>
      <c r="AG1" s="745"/>
      <c r="AH1" s="745"/>
      <c r="AQ1" s="108"/>
      <c r="AR1" s="108"/>
      <c r="AS1" s="108"/>
      <c r="AT1" s="108"/>
      <c r="AU1" s="108"/>
      <c r="AV1" s="108"/>
      <c r="AW1" s="108"/>
      <c r="AX1" s="108"/>
      <c r="AY1" s="108"/>
      <c r="AZ1" s="108"/>
      <c r="BA1" s="108"/>
      <c r="BB1" s="108"/>
      <c r="BC1" s="108"/>
      <c r="BD1" s="108"/>
      <c r="BE1" s="108"/>
      <c r="BK1" s="108"/>
      <c r="BL1" s="108"/>
      <c r="BM1" s="108"/>
      <c r="BN1" s="108"/>
      <c r="BO1" s="108"/>
      <c r="BP1" s="108"/>
      <c r="BQ1" s="108"/>
      <c r="BR1" s="108"/>
      <c r="BS1" s="108"/>
      <c r="BT1" s="108"/>
      <c r="BU1" s="108"/>
      <c r="BV1" s="108"/>
      <c r="BW1" s="108"/>
      <c r="BX1" s="108"/>
      <c r="BY1" s="108"/>
      <c r="BZ1" s="108"/>
      <c r="CA1" s="108"/>
      <c r="CB1" s="108"/>
      <c r="CC1" s="108"/>
      <c r="CD1" s="108"/>
      <c r="CE1" s="108"/>
      <c r="CF1" s="108"/>
      <c r="CG1" s="108"/>
      <c r="CH1" s="108"/>
      <c r="CI1" s="108"/>
      <c r="CJ1" s="108"/>
      <c r="CK1" s="108"/>
      <c r="CL1" s="108"/>
      <c r="CM1" s="108"/>
      <c r="CN1" s="108"/>
      <c r="CO1" s="108"/>
      <c r="CP1" s="108"/>
      <c r="CQ1" s="108"/>
      <c r="CR1" s="108"/>
      <c r="CS1" s="108"/>
      <c r="CT1" s="108"/>
      <c r="CU1" s="108"/>
      <c r="CV1" s="108"/>
      <c r="CW1" s="108"/>
      <c r="CX1" s="108"/>
      <c r="CY1" s="108"/>
      <c r="CZ1" s="108"/>
      <c r="DA1" s="108"/>
      <c r="DB1" s="108"/>
      <c r="DC1" s="108"/>
      <c r="DD1" s="108"/>
      <c r="DE1" s="108"/>
      <c r="DF1" s="108"/>
      <c r="DG1" s="108"/>
      <c r="DH1" s="108"/>
      <c r="DI1" s="108"/>
      <c r="DJ1" s="108"/>
      <c r="DK1" s="108"/>
      <c r="DL1" s="108"/>
      <c r="DM1" s="108"/>
      <c r="DN1" s="108"/>
      <c r="DO1" s="108"/>
      <c r="DP1" s="108"/>
      <c r="DQ1" s="108"/>
      <c r="DR1" s="108"/>
      <c r="DS1" s="108"/>
      <c r="DT1" s="108"/>
      <c r="DU1" s="108"/>
      <c r="DV1" s="108"/>
      <c r="DW1" s="108"/>
      <c r="DX1" s="108"/>
      <c r="DY1" s="108"/>
      <c r="DZ1" s="108"/>
      <c r="EA1" s="108"/>
    </row>
    <row r="2" spans="1:173" s="5" customFormat="1" ht="12" customHeight="1" thickBot="1" x14ac:dyDescent="0.4">
      <c r="A2" s="745"/>
      <c r="B2" s="746"/>
      <c r="C2" s="760"/>
      <c r="D2" s="1411" t="str">
        <f>TEXT(Infrastructure!H9,"yyyy"&amp;" ")</f>
        <v>Year 1</v>
      </c>
      <c r="E2" s="1411" t="str">
        <f>TEXT(Infrastructure!I9,"yyyy"&amp;" ")</f>
        <v>Year 2</v>
      </c>
      <c r="F2" s="1411" t="str">
        <f>TEXT(Infrastructure!J9,"yyyy"&amp;" ")</f>
        <v>Year 3</v>
      </c>
      <c r="G2" s="1411" t="str">
        <f>TEXT(Infrastructure!K9,"yyyy"&amp;" ")</f>
        <v>Year 4</v>
      </c>
      <c r="H2" s="1411" t="str">
        <f>TEXT(Infrastructure!L9,"yyyy"&amp;" ")</f>
        <v>Year 5</v>
      </c>
      <c r="I2" s="750" t="str">
        <f>IF(Infrastructure!BL$39=0,"","Launch")</f>
        <v/>
      </c>
      <c r="J2" s="1333" t="str">
        <f>IF(SUM(Financials!Q63:BQ63)=0,"",IF(OR(Infrastructure!BL$39=0,Infrastructure!BK28=0),"Not Yet",IF(Calcs!B23=0,"Mon 1",Calcs!$B$23)))</f>
        <v/>
      </c>
      <c r="K2" s="745"/>
      <c r="L2" s="747"/>
      <c r="M2" s="745"/>
      <c r="N2" s="745"/>
      <c r="O2" s="745"/>
      <c r="P2" s="745"/>
      <c r="Q2" s="745"/>
      <c r="R2" s="745"/>
      <c r="S2" s="745"/>
      <c r="T2" s="745"/>
      <c r="U2" s="745"/>
      <c r="V2" s="745"/>
      <c r="W2" s="745"/>
      <c r="X2" s="745"/>
      <c r="Y2" s="745"/>
      <c r="Z2" s="745"/>
      <c r="AA2" s="745"/>
      <c r="AB2" s="745"/>
      <c r="AC2" s="745"/>
      <c r="AD2" s="745"/>
      <c r="AE2" s="745"/>
      <c r="AF2" s="745"/>
      <c r="AG2" s="745"/>
      <c r="AH2" s="745"/>
      <c r="AI2" s="745"/>
      <c r="AJ2" s="745"/>
      <c r="AK2" s="745"/>
      <c r="AL2" s="745"/>
      <c r="AM2" s="745"/>
      <c r="AN2" s="745"/>
      <c r="AO2" s="745"/>
      <c r="AP2" s="745"/>
      <c r="AQ2" s="745"/>
      <c r="AR2" s="745"/>
      <c r="AS2" s="745"/>
      <c r="AT2" s="1332"/>
      <c r="AU2" s="1332"/>
      <c r="AV2" s="1332"/>
      <c r="AW2" s="108"/>
      <c r="AX2" s="108"/>
      <c r="AY2" s="108"/>
      <c r="AZ2" s="108"/>
      <c r="BA2" s="108" t="s">
        <v>57</v>
      </c>
      <c r="BB2" s="108"/>
      <c r="BC2" s="108"/>
      <c r="BD2" s="108"/>
      <c r="BE2" s="108"/>
      <c r="BF2" s="276"/>
      <c r="BG2" s="276"/>
      <c r="BH2" s="276"/>
      <c r="BI2" s="276"/>
      <c r="BJ2" s="276"/>
      <c r="BK2" s="1332"/>
      <c r="BL2" s="1345" t="s">
        <v>8</v>
      </c>
      <c r="BM2" s="1332" t="str">
        <f>IF(OR(Financials!$BQ178=Input!$D$1576,SUM('Street View'!X22:X81)=0),"","P&amp;L")</f>
        <v/>
      </c>
      <c r="BN2" s="1332" t="str">
        <f>IF(OR(Financials!$BQ178=Input!$D$1576,SUM('Street View'!X22:X81)=0),"","Cash Flow")</f>
        <v/>
      </c>
      <c r="BO2" s="1332"/>
      <c r="BP2" s="1332"/>
      <c r="BQ2" s="1332"/>
      <c r="BR2" s="1332"/>
      <c r="BS2" s="1332"/>
      <c r="BT2" s="1332"/>
      <c r="BU2" s="1332"/>
      <c r="BV2" s="1332"/>
      <c r="BW2" s="1332"/>
      <c r="BX2" s="1332"/>
      <c r="BY2" s="1332"/>
      <c r="BZ2" s="1332"/>
      <c r="CA2" s="1039"/>
      <c r="CB2" s="1039"/>
      <c r="CC2" s="1039"/>
      <c r="CD2" s="1039"/>
      <c r="CE2" s="1039"/>
      <c r="CF2" s="1039"/>
      <c r="CG2" s="1039"/>
      <c r="CH2" s="1039"/>
      <c r="CI2" s="1039"/>
      <c r="CJ2" s="1039"/>
      <c r="CK2" s="1039"/>
      <c r="CL2" s="1332"/>
      <c r="CM2" s="1332"/>
      <c r="CN2" s="1759"/>
      <c r="CO2" s="1759"/>
      <c r="CP2" s="1759"/>
      <c r="CQ2" s="1759"/>
      <c r="CR2" s="1759"/>
      <c r="CS2" s="1759"/>
      <c r="CT2" s="1759"/>
      <c r="CU2" s="1759"/>
      <c r="CV2" s="1371"/>
      <c r="CW2" s="1371"/>
      <c r="CX2" s="1371"/>
      <c r="CY2" s="1371"/>
      <c r="CZ2" s="1371"/>
      <c r="DA2" s="1371"/>
      <c r="DB2" s="1371"/>
      <c r="DC2" s="1371"/>
      <c r="DD2" s="1371"/>
      <c r="DE2" s="1371" t="str">
        <f>IF($CY$5&lt;&gt;1,"Products","")</f>
        <v>Products</v>
      </c>
      <c r="DF2" s="1759" t="str">
        <f>IF($CY$5=1,"Products","")</f>
        <v/>
      </c>
      <c r="DG2" s="1759"/>
      <c r="DH2" s="1759" t="str">
        <f>IF($CY$7&lt;&gt;1,"Yes","")</f>
        <v>Yes</v>
      </c>
      <c r="DI2" s="1759" t="str">
        <f>IF($CY$7=1,"Yes","")</f>
        <v/>
      </c>
      <c r="DJ2" s="1759"/>
      <c r="DK2" s="1760" t="s">
        <v>58</v>
      </c>
      <c r="DL2" s="1760"/>
      <c r="DM2" s="1760"/>
      <c r="DN2" s="1760" t="s">
        <v>59</v>
      </c>
      <c r="DO2" s="1760"/>
      <c r="DP2" s="1760"/>
      <c r="DQ2" s="1760" t="s">
        <v>60</v>
      </c>
      <c r="DR2" s="1760"/>
      <c r="DS2" s="1760"/>
      <c r="DT2" s="1760" t="s">
        <v>61</v>
      </c>
      <c r="DU2" s="1760"/>
      <c r="DV2" s="1760"/>
      <c r="DW2" s="1760" t="s">
        <v>62</v>
      </c>
      <c r="DX2" s="1760"/>
      <c r="DY2" s="1761"/>
      <c r="DZ2" s="1761" t="s">
        <v>63</v>
      </c>
      <c r="EA2" s="1761"/>
      <c r="EB2" s="1762"/>
      <c r="EC2" s="1762"/>
      <c r="ED2" s="1371"/>
      <c r="EE2" s="1759"/>
      <c r="EF2" s="1759"/>
      <c r="EG2" s="1332"/>
      <c r="EH2" s="1332"/>
      <c r="EI2" s="1332"/>
      <c r="EJ2" s="1332"/>
      <c r="EK2" s="1332"/>
      <c r="EL2" s="1332"/>
      <c r="EM2" s="1332"/>
      <c r="EN2" s="1332"/>
      <c r="EO2" s="1332"/>
      <c r="EP2" s="1332"/>
      <c r="EQ2" s="1332"/>
      <c r="ER2" s="1332"/>
      <c r="ES2" s="1332"/>
      <c r="ET2" s="1332"/>
      <c r="EU2" s="1332"/>
      <c r="EV2" s="1332"/>
      <c r="EW2" s="1332"/>
      <c r="EX2" s="1332"/>
      <c r="EY2" s="1332"/>
      <c r="EZ2" s="1332"/>
      <c r="FA2" s="1332"/>
      <c r="FB2" s="1332"/>
      <c r="FC2" s="1332"/>
      <c r="FD2" s="1332"/>
      <c r="FE2" s="1351"/>
      <c r="FF2" s="276"/>
      <c r="FG2" s="276"/>
      <c r="FH2" s="276"/>
      <c r="FI2" s="276"/>
      <c r="FJ2" s="276"/>
      <c r="FK2" s="276"/>
      <c r="FL2" s="276"/>
      <c r="FM2" s="276"/>
      <c r="FN2" s="276"/>
      <c r="FO2" s="276"/>
      <c r="FP2" s="276"/>
      <c r="FQ2" s="276"/>
    </row>
    <row r="3" spans="1:173" s="5" customFormat="1" ht="11.15" customHeight="1" x14ac:dyDescent="0.3">
      <c r="A3" s="745"/>
      <c r="B3" s="746"/>
      <c r="C3" s="757" t="str">
        <f>Infrastructure!BE28</f>
        <v xml:space="preserve">Revenue </v>
      </c>
      <c r="D3" s="1416">
        <f>IFERROR(Infrastructure!BF28,"")</f>
        <v>0</v>
      </c>
      <c r="E3" s="1417">
        <f>IFERROR(Infrastructure!BG28,"")</f>
        <v>0</v>
      </c>
      <c r="F3" s="1418">
        <f>IFERROR(Infrastructure!BH28,"")</f>
        <v>0</v>
      </c>
      <c r="G3" s="1417">
        <f>IFERROR(Infrastructure!BI28,"")</f>
        <v>0</v>
      </c>
      <c r="H3" s="1418">
        <f>IFERROR(Infrastructure!BJ28,"")</f>
        <v>0</v>
      </c>
      <c r="I3" s="750" t="str">
        <f>IF(Infrastructure!BL$39=0,"","Breakeven")</f>
        <v/>
      </c>
      <c r="J3" s="1333" t="str">
        <f>IF(Infrastructure!BL$39=0,"",Calcs!$C$23)</f>
        <v/>
      </c>
      <c r="K3" s="745"/>
      <c r="L3" s="747"/>
      <c r="M3" s="745"/>
      <c r="N3" s="745"/>
      <c r="O3" s="745"/>
      <c r="P3" s="1861"/>
      <c r="Q3" s="1862"/>
      <c r="R3" s="745"/>
      <c r="S3" s="745"/>
      <c r="T3" s="745"/>
      <c r="U3" s="745"/>
      <c r="V3" s="745"/>
      <c r="W3" s="749"/>
      <c r="X3" s="749"/>
      <c r="Y3" s="745"/>
      <c r="Z3" s="749"/>
      <c r="AA3" s="749"/>
      <c r="AB3" s="749"/>
      <c r="AC3" s="749"/>
      <c r="AD3" s="749"/>
      <c r="AE3" s="749"/>
      <c r="AF3" s="749"/>
      <c r="AG3" s="749"/>
      <c r="AH3" s="749"/>
      <c r="AI3" s="749"/>
      <c r="AJ3" s="749"/>
      <c r="AK3" s="749"/>
      <c r="AL3" s="749"/>
      <c r="AM3" s="749"/>
      <c r="AN3" s="749"/>
      <c r="AO3" s="749"/>
      <c r="AP3" s="749"/>
      <c r="AQ3" s="749"/>
      <c r="AR3" s="749"/>
      <c r="AS3" s="749"/>
      <c r="AT3" s="1344"/>
      <c r="AU3" s="1344"/>
      <c r="AV3" s="1344"/>
      <c r="AW3" s="108"/>
      <c r="AX3" s="108"/>
      <c r="AY3" s="108"/>
      <c r="AZ3" s="108"/>
      <c r="BA3" s="108"/>
      <c r="BB3" s="108"/>
      <c r="BC3" s="108"/>
      <c r="BD3" s="108"/>
      <c r="BE3" s="108"/>
      <c r="BF3" s="276"/>
      <c r="BG3" s="276"/>
      <c r="BH3" s="276"/>
      <c r="BI3" s="276"/>
      <c r="BJ3" s="276"/>
      <c r="BK3" s="1344" t="str">
        <f>IF(X3&gt;0,"Big time problems","")</f>
        <v/>
      </c>
      <c r="BL3" s="1345" t="s">
        <v>8</v>
      </c>
      <c r="BM3" s="1332"/>
      <c r="BN3" s="1332"/>
      <c r="BO3" s="1332"/>
      <c r="BP3" s="1332"/>
      <c r="BQ3" s="1332"/>
      <c r="BR3" s="1332"/>
      <c r="BS3" s="1332"/>
      <c r="BT3" s="1332"/>
      <c r="BU3" s="1332"/>
      <c r="BV3" s="1332"/>
      <c r="BW3" s="1332"/>
      <c r="BX3" s="1332"/>
      <c r="BY3" s="1332"/>
      <c r="BZ3" s="1332"/>
      <c r="CA3" s="1039"/>
      <c r="CB3" s="1039"/>
      <c r="CC3" s="1039"/>
      <c r="CD3" s="1372"/>
      <c r="CE3" s="1375" t="s">
        <v>64</v>
      </c>
      <c r="CF3" s="1372"/>
      <c r="CG3" s="1039"/>
      <c r="CH3" s="1039"/>
      <c r="CI3" s="1039"/>
      <c r="CJ3" s="1039"/>
      <c r="CK3" s="1039"/>
      <c r="CL3" s="1332"/>
      <c r="CM3" s="1332"/>
      <c r="CN3" s="1759"/>
      <c r="CO3" s="1759"/>
      <c r="CP3" s="1759"/>
      <c r="CQ3" s="1759"/>
      <c r="CR3" s="1759"/>
      <c r="CS3" s="1759"/>
      <c r="CT3" s="1759"/>
      <c r="CU3" s="1759"/>
      <c r="CV3" s="1371"/>
      <c r="CW3" s="1371"/>
      <c r="CX3" s="1371"/>
      <c r="CY3" s="1371">
        <v>1</v>
      </c>
      <c r="CZ3" s="1371" t="s">
        <v>65</v>
      </c>
      <c r="DA3" s="1371"/>
      <c r="DB3" s="1371"/>
      <c r="DC3" s="1371"/>
      <c r="DD3" s="1371"/>
      <c r="DE3" s="1371" t="str">
        <f>IF($CY$5&lt;&gt;2,"Services","")</f>
        <v>Services</v>
      </c>
      <c r="DF3" s="1759" t="str">
        <f>IF($CY$5=2,"Services","")</f>
        <v/>
      </c>
      <c r="DG3" s="1759"/>
      <c r="DH3" s="1759" t="str">
        <f>IF($CY$7&lt;&gt;2,"No","")</f>
        <v/>
      </c>
      <c r="DI3" s="1759" t="str">
        <f>IF($CY$7=2,"No","")</f>
        <v>No</v>
      </c>
      <c r="DJ3" s="1763">
        <v>0</v>
      </c>
      <c r="DK3" s="1760" t="str">
        <f>IF(DJ3&lt;&gt;1,"Show","")</f>
        <v>Show</v>
      </c>
      <c r="DL3" s="1760" t="str">
        <f>IF(DJ3=1,"Show","")</f>
        <v/>
      </c>
      <c r="DM3" s="1764">
        <v>2</v>
      </c>
      <c r="DN3" s="1760" t="str">
        <f>IF(DM3&lt;&gt;1,"Show","")</f>
        <v>Show</v>
      </c>
      <c r="DO3" s="1760" t="str">
        <f>IF(DM3=1,"Show","")</f>
        <v/>
      </c>
      <c r="DP3" s="1764">
        <v>2</v>
      </c>
      <c r="DQ3" s="1760" t="str">
        <f>IF(DP3&lt;&gt;1,"Show","")</f>
        <v>Show</v>
      </c>
      <c r="DR3" s="1760" t="str">
        <f>IF(DP3=1,"Show","")</f>
        <v/>
      </c>
      <c r="DS3" s="1764">
        <v>2</v>
      </c>
      <c r="DT3" s="1760" t="str">
        <f>IF(DS3&lt;&gt;1,"Show","")</f>
        <v>Show</v>
      </c>
      <c r="DU3" s="1760" t="str">
        <f>IF(DS3=1,"Show","")</f>
        <v/>
      </c>
      <c r="DV3" s="1764">
        <v>2</v>
      </c>
      <c r="DW3" s="1760" t="str">
        <f>IF(DV3&lt;&gt;1,"Show","")</f>
        <v>Show</v>
      </c>
      <c r="DX3" s="1760" t="str">
        <f>IF(DV3=1,"Show","")</f>
        <v/>
      </c>
      <c r="DY3" s="1765">
        <v>2</v>
      </c>
      <c r="DZ3" s="1761" t="str">
        <f>IF(DY3&lt;&gt;1,"Show","")</f>
        <v>Show</v>
      </c>
      <c r="EA3" s="1761" t="str">
        <f>IF(DY3=1,"Show","")</f>
        <v/>
      </c>
      <c r="EB3" s="1762"/>
      <c r="EC3" s="1762"/>
      <c r="ED3" s="1371"/>
      <c r="EE3" s="1759"/>
      <c r="EF3" s="1759"/>
      <c r="EG3" s="1332"/>
      <c r="EH3" s="1332"/>
      <c r="EI3" s="1332"/>
      <c r="EJ3" s="1332"/>
      <c r="EK3" s="1332"/>
      <c r="EL3" s="1332"/>
      <c r="EM3" s="1332"/>
      <c r="EN3" s="1332"/>
      <c r="EO3" s="1332"/>
      <c r="EP3" s="1332"/>
      <c r="EQ3" s="1332"/>
      <c r="ER3" s="1332"/>
      <c r="ES3" s="1332"/>
      <c r="ET3" s="1332"/>
      <c r="EU3" s="1332"/>
      <c r="EV3" s="1332"/>
      <c r="EW3" s="1332"/>
      <c r="EX3" s="1332"/>
      <c r="EY3" s="1332"/>
      <c r="EZ3" s="1332"/>
      <c r="FA3" s="1332"/>
      <c r="FB3" s="1332"/>
      <c r="FC3" s="1332"/>
      <c r="FD3" s="1332"/>
      <c r="FE3" s="1351"/>
      <c r="FF3" s="276"/>
      <c r="FG3" s="276"/>
      <c r="FH3" s="276"/>
      <c r="FI3" s="276"/>
      <c r="FJ3" s="276"/>
      <c r="FK3" s="276"/>
      <c r="FL3" s="276"/>
      <c r="FM3" s="276"/>
      <c r="FN3" s="276"/>
      <c r="FO3" s="276"/>
      <c r="FP3" s="276"/>
      <c r="FQ3" s="276"/>
    </row>
    <row r="4" spans="1:173" s="5" customFormat="1" ht="11.15" customHeight="1" thickBot="1" x14ac:dyDescent="0.35">
      <c r="A4" s="745"/>
      <c r="C4" s="758" t="str">
        <f>Infrastructure!BE29</f>
        <v xml:space="preserve">COGS </v>
      </c>
      <c r="D4" s="1419">
        <f>IFERROR(Infrastructure!BF29,"")</f>
        <v>0</v>
      </c>
      <c r="E4" s="803">
        <f>IFERROR(Infrastructure!BG29,"")</f>
        <v>0</v>
      </c>
      <c r="F4" s="1434">
        <f>IFERROR(Infrastructure!BH29,"")</f>
        <v>0</v>
      </c>
      <c r="G4" s="895">
        <f>IFERROR(Infrastructure!BI29,"")</f>
        <v>0</v>
      </c>
      <c r="H4" s="1420">
        <f>IFERROR(Infrastructure!BJ29,"")</f>
        <v>0</v>
      </c>
      <c r="I4" s="750" t="str">
        <f>IF(Infrastructure!BL$39=0,"",IF(Years="Five","5 Year CAGR","3 Year CAGR"))</f>
        <v/>
      </c>
      <c r="J4" s="1334" t="str">
        <f>Infrastructure!BJ22</f>
        <v/>
      </c>
      <c r="K4" s="745"/>
      <c r="L4" s="747"/>
      <c r="M4" s="745"/>
      <c r="N4" s="745"/>
      <c r="O4" s="745"/>
      <c r="P4" s="1863"/>
      <c r="Q4" s="1863"/>
      <c r="R4" s="745"/>
      <c r="S4" s="745"/>
      <c r="T4" s="745"/>
      <c r="U4" s="745"/>
      <c r="V4" s="745"/>
      <c r="W4" s="749"/>
      <c r="X4" s="749"/>
      <c r="Y4" s="745"/>
      <c r="Z4" s="749"/>
      <c r="AA4" s="749"/>
      <c r="AB4" s="749"/>
      <c r="AC4" s="749"/>
      <c r="AD4" s="749"/>
      <c r="AE4" s="749"/>
      <c r="AF4" s="749"/>
      <c r="AG4" s="749"/>
      <c r="AH4" s="749"/>
      <c r="AI4" s="749"/>
      <c r="AJ4" s="749"/>
      <c r="AK4" s="749"/>
      <c r="AL4" s="749"/>
      <c r="AM4" s="749"/>
      <c r="AN4" s="749"/>
      <c r="AO4" s="749"/>
      <c r="AP4" s="749"/>
      <c r="AQ4" s="749"/>
      <c r="AR4" s="749"/>
      <c r="AS4" s="749"/>
      <c r="AT4" s="1344"/>
      <c r="AU4" s="1344"/>
      <c r="AV4" s="1344"/>
      <c r="AW4" s="108"/>
      <c r="AX4" s="108"/>
      <c r="AY4" s="108"/>
      <c r="AZ4" s="108"/>
      <c r="BA4" s="108"/>
      <c r="BB4" s="108"/>
      <c r="BC4" s="108"/>
      <c r="BD4" s="108"/>
      <c r="BE4" s="108"/>
      <c r="BF4" s="276"/>
      <c r="BG4" s="276"/>
      <c r="BH4" s="276"/>
      <c r="BI4" s="276"/>
      <c r="BJ4" s="276"/>
      <c r="BK4" s="1332"/>
      <c r="BL4" s="1332"/>
      <c r="BM4" s="1332"/>
      <c r="BN4" s="1332"/>
      <c r="BO4" s="1332"/>
      <c r="BP4" s="1332"/>
      <c r="BQ4" s="1344"/>
      <c r="BR4" s="1344"/>
      <c r="BS4" s="1332" t="s">
        <v>3</v>
      </c>
      <c r="BT4" s="1348" t="s">
        <v>66</v>
      </c>
      <c r="BU4" s="1332" t="s">
        <v>67</v>
      </c>
      <c r="BV4" s="1348" t="s">
        <v>66</v>
      </c>
      <c r="BW4" s="1332" t="s">
        <v>7</v>
      </c>
      <c r="BX4" s="1043" t="s">
        <v>68</v>
      </c>
      <c r="BY4" s="1348" t="s">
        <v>69</v>
      </c>
      <c r="BZ4" s="1332"/>
      <c r="CA4" s="1039"/>
      <c r="CB4" s="1039"/>
      <c r="CC4" s="1039"/>
      <c r="CD4" s="1372"/>
      <c r="CE4" s="1376" t="str">
        <f>IF(CE5=1,"Three","Five")</f>
        <v>Five</v>
      </c>
      <c r="CF4" s="1372"/>
      <c r="CG4" s="1039"/>
      <c r="CH4" s="1039"/>
      <c r="CI4" s="1039"/>
      <c r="CJ4" s="1039"/>
      <c r="CK4" s="1039"/>
      <c r="CL4" s="1332"/>
      <c r="CM4" s="1332"/>
      <c r="CN4" s="1759"/>
      <c r="CO4" s="1759"/>
      <c r="CP4" s="1759"/>
      <c r="CQ4" s="1759"/>
      <c r="CR4" s="1766"/>
      <c r="CS4" s="1766"/>
      <c r="CT4" s="1767" t="str">
        <f>IF($D$18&lt;&gt;"",$D$18&amp;" Cash","Cash")</f>
        <v>Cash</v>
      </c>
      <c r="CU4" s="1766"/>
      <c r="CV4" s="1767"/>
      <c r="CW4" s="1767"/>
      <c r="CX4" s="1767"/>
      <c r="CY4" s="1371">
        <v>1</v>
      </c>
      <c r="CZ4" s="1371" t="s">
        <v>70</v>
      </c>
      <c r="DA4" s="1371"/>
      <c r="DB4" s="1371"/>
      <c r="DC4" s="1371"/>
      <c r="DD4" s="1371"/>
      <c r="DE4" s="1371" t="str">
        <f>IF($CY$5&lt;&gt;3,"Both","")</f>
        <v>Both</v>
      </c>
      <c r="DF4" s="1759" t="str">
        <f>IF($CY$5=3,"Both","")</f>
        <v/>
      </c>
      <c r="DG4" s="1759"/>
      <c r="DH4" s="1759" t="str">
        <f>IF(CY7=1,"Go to Subscriptions","")</f>
        <v/>
      </c>
      <c r="DI4" s="1759"/>
      <c r="DJ4" s="1759"/>
      <c r="DK4" s="1760" t="str">
        <f>IF(DJ3&lt;&gt;2,"Hide","")</f>
        <v>Hide</v>
      </c>
      <c r="DL4" s="1760" t="str">
        <f>IF(DJ3=2,"Hide","")</f>
        <v/>
      </c>
      <c r="DM4" s="1760"/>
      <c r="DN4" s="1760" t="str">
        <f>IF(DM3&lt;&gt;2,"Hide","")</f>
        <v/>
      </c>
      <c r="DO4" s="1760" t="str">
        <f>IF(DM3=2,"Hide","")</f>
        <v>Hide</v>
      </c>
      <c r="DP4" s="1760"/>
      <c r="DQ4" s="1760" t="str">
        <f>IF(DP3&lt;&gt;2,"Hide","")</f>
        <v/>
      </c>
      <c r="DR4" s="1760" t="str">
        <f>IF(DP3=2,"Hide","")</f>
        <v>Hide</v>
      </c>
      <c r="DS4" s="1760"/>
      <c r="DT4" s="1760" t="str">
        <f>IF(DS3&lt;&gt;2,"Hide","")</f>
        <v/>
      </c>
      <c r="DU4" s="1760" t="str">
        <f>IF(DS3=2,"Hide","")</f>
        <v>Hide</v>
      </c>
      <c r="DV4" s="1760"/>
      <c r="DW4" s="1760" t="str">
        <f>IF(DV3&lt;&gt;2,"Hide","")</f>
        <v/>
      </c>
      <c r="DX4" s="1760" t="str">
        <f>IF(DV3=2,"Hide","")</f>
        <v>Hide</v>
      </c>
      <c r="DY4" s="1761"/>
      <c r="DZ4" s="1761" t="str">
        <f>IF(DY3&lt;&gt;2,"Hide","")</f>
        <v/>
      </c>
      <c r="EA4" s="1761" t="str">
        <f>IF(DY3=2,"Hide","")</f>
        <v>Hide</v>
      </c>
      <c r="EB4" s="1762"/>
      <c r="EC4" s="1762"/>
      <c r="ED4" s="1371"/>
      <c r="EE4" s="1759"/>
      <c r="EF4" s="1759"/>
      <c r="EG4" s="1332"/>
      <c r="EH4" s="1332"/>
      <c r="EI4" s="1332"/>
      <c r="EJ4" s="1332"/>
      <c r="EK4" s="1332"/>
      <c r="EL4" s="1332"/>
      <c r="EM4" s="1332"/>
      <c r="EN4" s="1332"/>
      <c r="EO4" s="1332"/>
      <c r="EP4" s="1332"/>
      <c r="EQ4" s="1332"/>
      <c r="ER4" s="1332"/>
      <c r="ES4" s="1332"/>
      <c r="ET4" s="1332"/>
      <c r="EU4" s="1332"/>
      <c r="EV4" s="1332"/>
      <c r="EW4" s="1332"/>
      <c r="EX4" s="1332"/>
      <c r="EY4" s="1332"/>
      <c r="EZ4" s="1332"/>
      <c r="FA4" s="1332"/>
      <c r="FB4" s="1332"/>
      <c r="FC4" s="1332"/>
      <c r="FD4" s="1332"/>
      <c r="FE4" s="1351"/>
      <c r="FF4" s="276"/>
      <c r="FG4" s="276"/>
      <c r="FH4" s="276"/>
      <c r="FI4" s="276"/>
      <c r="FJ4" s="276"/>
      <c r="FK4" s="276"/>
      <c r="FL4" s="276"/>
      <c r="FM4" s="276"/>
      <c r="FN4" s="276"/>
      <c r="FO4" s="276"/>
      <c r="FP4" s="276"/>
      <c r="FQ4" s="276"/>
    </row>
    <row r="5" spans="1:173" s="5" customFormat="1" ht="11.15" customHeight="1" thickTop="1" thickBot="1" x14ac:dyDescent="0.35">
      <c r="A5" s="745"/>
      <c r="C5" s="757" t="str">
        <f>Infrastructure!BE30</f>
        <v xml:space="preserve">Gross Profit </v>
      </c>
      <c r="D5" s="1421">
        <f>IFERROR(Infrastructure!BF30,"")</f>
        <v>0</v>
      </c>
      <c r="E5" s="1412">
        <f>IFERROR(Infrastructure!BG30,"")</f>
        <v>0</v>
      </c>
      <c r="F5" s="1422">
        <f>IFERROR(Infrastructure!BH30,"")</f>
        <v>0</v>
      </c>
      <c r="G5" s="1412">
        <f>IFERROR(Infrastructure!BI30,"")</f>
        <v>0</v>
      </c>
      <c r="H5" s="1422">
        <f>IFERROR(Infrastructure!BJ30,"")</f>
        <v>0</v>
      </c>
      <c r="K5" s="745"/>
      <c r="L5" s="747"/>
      <c r="M5" s="745"/>
      <c r="N5" s="745"/>
      <c r="O5" s="745"/>
      <c r="P5" s="1862"/>
      <c r="Q5" s="1862"/>
      <c r="R5" s="745"/>
      <c r="S5" s="745"/>
      <c r="T5" s="745"/>
      <c r="U5" s="745"/>
      <c r="V5" s="745"/>
      <c r="W5" s="749"/>
      <c r="X5" s="749"/>
      <c r="Y5" s="745"/>
      <c r="Z5" s="745"/>
      <c r="AA5" s="745"/>
      <c r="AB5" s="745"/>
      <c r="AC5" s="745"/>
      <c r="AD5" s="745"/>
      <c r="AE5" s="745"/>
      <c r="AF5" s="745"/>
      <c r="AG5" s="745"/>
      <c r="AH5" s="745"/>
      <c r="AI5" s="745"/>
      <c r="AJ5" s="745"/>
      <c r="AK5" s="745"/>
      <c r="AL5" s="745"/>
      <c r="AM5" s="745"/>
      <c r="AN5" s="745"/>
      <c r="AO5" s="745"/>
      <c r="AP5" s="745"/>
      <c r="AQ5" s="745"/>
      <c r="AR5" s="745"/>
      <c r="AS5" s="745"/>
      <c r="AT5" s="1332"/>
      <c r="AU5" s="1332"/>
      <c r="AV5" s="1332"/>
      <c r="AW5" s="108"/>
      <c r="AX5" s="108"/>
      <c r="AY5" s="108"/>
      <c r="AZ5" s="108"/>
      <c r="BA5" s="108"/>
      <c r="BB5" s="108"/>
      <c r="BC5" s="108"/>
      <c r="BD5" s="108"/>
      <c r="BE5" s="108"/>
      <c r="BF5" s="276"/>
      <c r="BG5" s="276"/>
      <c r="BH5" s="276"/>
      <c r="BI5" s="276"/>
      <c r="BJ5" s="276"/>
      <c r="BK5" s="1344"/>
      <c r="BL5" s="1332"/>
      <c r="BM5" s="1332"/>
      <c r="BN5" s="1332"/>
      <c r="BO5" s="1332"/>
      <c r="BP5" s="1332"/>
      <c r="BQ5" s="1344"/>
      <c r="BR5" s="1344"/>
      <c r="BS5" s="1332"/>
      <c r="BT5" s="1332"/>
      <c r="BU5" s="1332"/>
      <c r="BV5" s="1332"/>
      <c r="BW5" s="1332"/>
      <c r="BX5" s="1332"/>
      <c r="BY5" s="1332"/>
      <c r="BZ5" s="1332"/>
      <c r="CA5" s="1039"/>
      <c r="CB5" s="1039"/>
      <c r="CC5" s="1039"/>
      <c r="CD5" s="1372"/>
      <c r="CE5" s="1371">
        <v>2</v>
      </c>
      <c r="CF5" s="1372"/>
      <c r="CG5" s="1039"/>
      <c r="CH5" s="1039"/>
      <c r="CI5" s="1039"/>
      <c r="CJ5" s="1039"/>
      <c r="CK5" s="1039"/>
      <c r="CL5" s="1332"/>
      <c r="CM5" s="1332"/>
      <c r="CN5" s="1759"/>
      <c r="CO5" s="1759"/>
      <c r="CP5" s="1759"/>
      <c r="CQ5" s="1759"/>
      <c r="CR5" s="1759"/>
      <c r="CS5" s="1759"/>
      <c r="CT5" s="1767" t="str">
        <f>IF($D$18&lt;&gt;"",$D$18&amp;" P&amp;L","P&amp;L")</f>
        <v>P&amp;L</v>
      </c>
      <c r="CU5" s="1766"/>
      <c r="CV5" s="1767"/>
      <c r="CW5" s="1767"/>
      <c r="CX5" s="1767"/>
      <c r="CY5" s="1371">
        <v>0</v>
      </c>
      <c r="CZ5" s="1371" t="s">
        <v>71</v>
      </c>
      <c r="DA5" s="1768"/>
      <c r="DB5" s="1371"/>
      <c r="DC5" s="1373" t="str">
        <f>IF(CompanyType=0,1,VLOOKUP(CompanyType,CW6:CX9,2,FALSE))</f>
        <v>C Corp</v>
      </c>
      <c r="DD5" s="1371"/>
      <c r="DE5" s="1768"/>
      <c r="DF5" s="1759"/>
      <c r="DG5" s="1759"/>
      <c r="DH5" s="1759"/>
      <c r="DI5" s="1759"/>
      <c r="DJ5" s="1759"/>
      <c r="DK5" s="1760"/>
      <c r="DL5" s="1760"/>
      <c r="DM5" s="1760"/>
      <c r="DN5" s="1760"/>
      <c r="DO5" s="1760"/>
      <c r="DP5" s="1760"/>
      <c r="DQ5" s="1760"/>
      <c r="DR5" s="1760"/>
      <c r="DS5" s="1760"/>
      <c r="DT5" s="1760"/>
      <c r="DU5" s="1760"/>
      <c r="DV5" s="1760"/>
      <c r="DW5" s="1760"/>
      <c r="DX5" s="1760"/>
      <c r="DY5" s="1761"/>
      <c r="DZ5" s="1761"/>
      <c r="EA5" s="1761"/>
      <c r="EB5" s="1762"/>
      <c r="EC5" s="1762"/>
      <c r="ED5" s="1371"/>
      <c r="EE5" s="1759"/>
      <c r="EF5" s="1759"/>
      <c r="EG5" s="1332"/>
      <c r="EH5" s="1332"/>
      <c r="EI5" s="1332"/>
      <c r="EJ5" s="1332"/>
      <c r="EK5" s="1332"/>
      <c r="EL5" s="1332"/>
      <c r="EM5" s="1332"/>
      <c r="EN5" s="1332"/>
      <c r="EO5" s="1332"/>
      <c r="EP5" s="1332"/>
      <c r="EQ5" s="1332"/>
      <c r="ER5" s="1332"/>
      <c r="ES5" s="1332"/>
      <c r="ET5" s="1332"/>
      <c r="EU5" s="1332"/>
      <c r="EV5" s="1332"/>
      <c r="EW5" s="1332"/>
      <c r="EX5" s="1332"/>
      <c r="EY5" s="1332"/>
      <c r="EZ5" s="1332"/>
      <c r="FA5" s="1332"/>
      <c r="FB5" s="1332"/>
      <c r="FC5" s="1332"/>
      <c r="FD5" s="1332"/>
      <c r="FE5" s="1351"/>
      <c r="FF5" s="276"/>
      <c r="FG5" s="276"/>
      <c r="FH5" s="276"/>
      <c r="FI5" s="276"/>
      <c r="FJ5" s="276"/>
      <c r="FK5" s="276"/>
      <c r="FL5" s="276"/>
      <c r="FM5" s="276"/>
      <c r="FN5" s="276"/>
      <c r="FO5" s="276"/>
      <c r="FP5" s="276"/>
      <c r="FQ5" s="276"/>
    </row>
    <row r="6" spans="1:173" s="5" customFormat="1" ht="0.75" customHeight="1" x14ac:dyDescent="0.3">
      <c r="A6" s="745"/>
      <c r="B6" s="896"/>
      <c r="C6" s="759"/>
      <c r="D6" s="1423"/>
      <c r="E6" s="1413"/>
      <c r="F6" s="1424"/>
      <c r="G6" s="1413"/>
      <c r="H6" s="1424"/>
      <c r="I6" s="750">
        <f>IF(Infrastructure!AL$45&gt;0,"",Infrastructure!AL33)</f>
        <v>0</v>
      </c>
      <c r="J6" s="1333"/>
      <c r="K6" s="745"/>
      <c r="L6" s="747"/>
      <c r="M6" s="745"/>
      <c r="N6" s="745"/>
      <c r="O6" s="750"/>
      <c r="P6" s="750"/>
      <c r="Q6" s="751"/>
      <c r="R6" s="745"/>
      <c r="S6" s="745"/>
      <c r="T6" s="745"/>
      <c r="U6" s="745"/>
      <c r="V6" s="745"/>
      <c r="W6" s="749"/>
      <c r="X6" s="749"/>
      <c r="Y6" s="745"/>
      <c r="Z6" s="745"/>
      <c r="AA6" s="745"/>
      <c r="AB6" s="745"/>
      <c r="AC6" s="745"/>
      <c r="AD6" s="745"/>
      <c r="AE6" s="745"/>
      <c r="AF6" s="745"/>
      <c r="AG6" s="745"/>
      <c r="AH6" s="745"/>
      <c r="AI6" s="745"/>
      <c r="AJ6" s="745"/>
      <c r="AK6" s="745"/>
      <c r="AL6" s="745"/>
      <c r="AM6" s="745"/>
      <c r="AN6" s="745"/>
      <c r="AO6" s="745"/>
      <c r="AP6" s="745"/>
      <c r="AQ6" s="745"/>
      <c r="AR6" s="745"/>
      <c r="AS6" s="745"/>
      <c r="AT6" s="1332"/>
      <c r="AU6" s="1332"/>
      <c r="AV6" s="1332"/>
      <c r="AW6" s="108"/>
      <c r="AX6" s="108"/>
      <c r="AY6" s="108"/>
      <c r="AZ6" s="108"/>
      <c r="BA6" s="108"/>
      <c r="BB6" s="108"/>
      <c r="BC6" s="108"/>
      <c r="BD6" s="108"/>
      <c r="BE6" s="108"/>
      <c r="BF6" s="276"/>
      <c r="BG6" s="276"/>
      <c r="BH6" s="276"/>
      <c r="BI6" s="276"/>
      <c r="BJ6" s="276"/>
      <c r="BK6" s="1344"/>
      <c r="BL6" s="1332"/>
      <c r="BM6" s="1332"/>
      <c r="BN6" s="1332"/>
      <c r="BO6" s="1332"/>
      <c r="BP6" s="1332"/>
      <c r="BQ6" s="1332" t="s">
        <v>72</v>
      </c>
      <c r="BR6" s="1344"/>
      <c r="BS6" s="1332" t="str">
        <f>IF(AND(Years="Three",Mode="Light"),BS$4,"")</f>
        <v/>
      </c>
      <c r="BT6" s="1332" t="str">
        <f>IF(AND(Years="Three",Mode="Light"),BT$4,"")</f>
        <v/>
      </c>
      <c r="BU6" s="1332" t="str">
        <f>IF(AND(Years="Three",Mode="Light"),BU$4,"")</f>
        <v/>
      </c>
      <c r="BV6" s="1332" t="str">
        <f>IF(AND(Years="Three",Mode="Light"),BV$4,"")</f>
        <v/>
      </c>
      <c r="BW6" s="1332" t="str">
        <f>IF(AND(Years="Three",Mode="Light"),BW$4,"")</f>
        <v/>
      </c>
      <c r="BX6" s="1332" t="str">
        <f>IF(AND(Years="Three",Mode="Light"),BX$4,"")</f>
        <v/>
      </c>
      <c r="BY6" s="1332" t="str">
        <f>IF(AND(Years="Three",Mode="Light"),BY$4,"")</f>
        <v/>
      </c>
      <c r="BZ6" s="1332"/>
      <c r="CA6" s="1039"/>
      <c r="CB6" s="1039"/>
      <c r="CC6" s="1039"/>
      <c r="CD6" s="1372">
        <v>1</v>
      </c>
      <c r="CE6" s="1372" t="str">
        <f>IF(Years="Five","Three Years","")</f>
        <v>Three Years</v>
      </c>
      <c r="CF6" s="1372"/>
      <c r="CG6" s="1039"/>
      <c r="CH6" s="1039"/>
      <c r="CI6" s="1039"/>
      <c r="CJ6" s="1039"/>
      <c r="CK6" s="1039"/>
      <c r="CL6" s="1332"/>
      <c r="CM6" s="1332"/>
      <c r="CN6" s="1759"/>
      <c r="CO6" s="1759"/>
      <c r="CP6" s="1759"/>
      <c r="CQ6" s="1759"/>
      <c r="CR6" s="1759"/>
      <c r="CS6" s="1759"/>
      <c r="CT6" s="1766"/>
      <c r="CU6" s="1766" t="str">
        <f>IF(CompanyType&lt;&gt;1,"C Corp","")</f>
        <v/>
      </c>
      <c r="CV6" s="1767" t="str">
        <f>IF(CompanyType=1,"C Corp","")</f>
        <v>C Corp</v>
      </c>
      <c r="CW6" s="1371">
        <v>1</v>
      </c>
      <c r="CX6" s="1767" t="s">
        <v>73</v>
      </c>
      <c r="CY6" s="1371"/>
      <c r="CZ6" s="1371"/>
      <c r="DA6" s="1371"/>
      <c r="DB6" s="1371"/>
      <c r="DC6" s="1371"/>
      <c r="DD6" s="1371"/>
      <c r="DE6" s="1371" t="s">
        <v>74</v>
      </c>
      <c r="DF6" s="1769"/>
      <c r="DG6" s="1769"/>
      <c r="DH6" s="1769"/>
      <c r="DI6" s="1769"/>
      <c r="DJ6" s="1371"/>
      <c r="DK6" s="1762"/>
      <c r="DL6" s="1762"/>
      <c r="DM6" s="1762"/>
      <c r="DN6" s="1762"/>
      <c r="DO6" s="1762"/>
      <c r="DP6" s="1762"/>
      <c r="DQ6" s="1762"/>
      <c r="DR6" s="1762"/>
      <c r="DS6" s="1762"/>
      <c r="DT6" s="1762"/>
      <c r="DU6" s="1762"/>
      <c r="DV6" s="1762"/>
      <c r="DW6" s="1762"/>
      <c r="DX6" s="1762"/>
      <c r="DY6" s="1761"/>
      <c r="DZ6" s="1761"/>
      <c r="EA6" s="1761"/>
      <c r="EB6" s="1762"/>
      <c r="EC6" s="1762"/>
      <c r="ED6" s="1371"/>
      <c r="EE6" s="1759"/>
      <c r="EF6" s="1759"/>
      <c r="EG6" s="1332"/>
      <c r="EH6" s="1332"/>
      <c r="EI6" s="1332"/>
      <c r="EJ6" s="1332"/>
      <c r="EK6" s="1332"/>
      <c r="EL6" s="1332"/>
      <c r="EM6" s="1332"/>
      <c r="EN6" s="1332"/>
      <c r="EO6" s="1332"/>
      <c r="EP6" s="1332"/>
      <c r="EQ6" s="1332"/>
      <c r="ER6" s="1332"/>
      <c r="ES6" s="1332"/>
      <c r="ET6" s="1332"/>
      <c r="EU6" s="1332"/>
      <c r="EV6" s="1332"/>
      <c r="EW6" s="1332"/>
      <c r="EX6" s="1332"/>
      <c r="EY6" s="1332"/>
      <c r="EZ6" s="1332"/>
      <c r="FA6" s="1332"/>
      <c r="FB6" s="1332"/>
      <c r="FC6" s="1332"/>
      <c r="FD6" s="1332"/>
      <c r="FE6" s="1351"/>
      <c r="FF6" s="276"/>
      <c r="FG6" s="276"/>
      <c r="FH6" s="276"/>
      <c r="FI6" s="276"/>
      <c r="FJ6" s="276"/>
      <c r="FK6" s="276"/>
      <c r="FL6" s="276"/>
      <c r="FM6" s="276"/>
      <c r="FN6" s="276"/>
      <c r="FO6" s="276"/>
      <c r="FP6" s="276"/>
      <c r="FQ6" s="276"/>
    </row>
    <row r="7" spans="1:173" s="5" customFormat="1" ht="11.15" customHeight="1" x14ac:dyDescent="0.3">
      <c r="A7" s="745"/>
      <c r="C7" s="758" t="str">
        <f>Infrastructure!BE32</f>
        <v xml:space="preserve">S&amp;M Expenses </v>
      </c>
      <c r="D7" s="1425">
        <f>IFERROR(Infrastructure!BF32,"")</f>
        <v>0</v>
      </c>
      <c r="E7" s="1414">
        <f>IFERROR(Infrastructure!BG32,"")</f>
        <v>0</v>
      </c>
      <c r="F7" s="1426">
        <f>IFERROR(Infrastructure!BH32,"")</f>
        <v>0</v>
      </c>
      <c r="G7" s="1414">
        <f>IFERROR(Infrastructure!BI32,"")</f>
        <v>0</v>
      </c>
      <c r="H7" s="1426">
        <f>IFERROR(Infrastructure!BJ32,"")</f>
        <v>0</v>
      </c>
      <c r="I7" s="750" t="str">
        <f>IF(Infrastructure!BL$39=0,"","Investment")</f>
        <v/>
      </c>
      <c r="J7" s="1335" t="str">
        <f>IF(Infrastructure!BL$39=0,"",Calcs!D58+Calcs!D54+Calcs!D46)</f>
        <v/>
      </c>
      <c r="K7" s="745"/>
      <c r="L7" s="747"/>
      <c r="M7" s="745"/>
      <c r="N7" s="745"/>
      <c r="O7" s="752"/>
      <c r="P7" s="1856"/>
      <c r="Q7" s="1856"/>
      <c r="R7" s="745"/>
      <c r="S7" s="745"/>
      <c r="T7" s="745"/>
      <c r="U7" s="745"/>
      <c r="V7" s="745"/>
      <c r="W7" s="749"/>
      <c r="X7" s="749"/>
      <c r="Y7" s="745"/>
      <c r="Z7" s="745"/>
      <c r="AA7" s="745"/>
      <c r="AB7" s="745"/>
      <c r="AC7" s="745"/>
      <c r="AD7" s="745"/>
      <c r="AE7" s="745"/>
      <c r="AF7" s="745"/>
      <c r="AG7" s="745"/>
      <c r="AH7" s="745"/>
      <c r="AI7" s="745"/>
      <c r="AJ7" s="745"/>
      <c r="AK7" s="745"/>
      <c r="AL7" s="745"/>
      <c r="AM7" s="745"/>
      <c r="AN7" s="745"/>
      <c r="AO7" s="745"/>
      <c r="AP7" s="745"/>
      <c r="AQ7" s="745"/>
      <c r="AR7" s="745"/>
      <c r="AS7" s="745"/>
      <c r="AT7" s="1332"/>
      <c r="AU7" s="1332"/>
      <c r="AV7" s="1332"/>
      <c r="AW7" s="108"/>
      <c r="AX7" s="108"/>
      <c r="AY7" s="108"/>
      <c r="AZ7" s="108"/>
      <c r="BA7" s="108"/>
      <c r="BB7" s="108"/>
      <c r="BC7" s="108"/>
      <c r="BD7" s="108"/>
      <c r="BE7" s="108"/>
      <c r="BF7" s="276"/>
      <c r="BG7" s="276"/>
      <c r="BH7" s="276"/>
      <c r="BI7" s="276"/>
      <c r="BJ7" s="276"/>
      <c r="BK7" s="1344"/>
      <c r="BL7" s="1332"/>
      <c r="BM7" s="1332"/>
      <c r="BN7" s="1332"/>
      <c r="BO7" s="1332"/>
      <c r="BP7" s="1332"/>
      <c r="BQ7" s="1344" t="s">
        <v>72</v>
      </c>
      <c r="BR7" s="1344"/>
      <c r="BS7" s="1332" t="str">
        <f>IF(AND(Years="Three",Mode="Dark"),BS$4,"")</f>
        <v/>
      </c>
      <c r="BT7" s="1332" t="str">
        <f>IF(AND(Years="Three",Mode="Dark"),BT$4,"")</f>
        <v/>
      </c>
      <c r="BU7" s="1332" t="str">
        <f>IF(AND(Years="Three",Mode="Dark"),BU$4,"")</f>
        <v/>
      </c>
      <c r="BV7" s="1332" t="str">
        <f>IF(AND(Years="Three",Mode="Dark"),BV$4,"")</f>
        <v/>
      </c>
      <c r="BW7" s="1332" t="str">
        <f>IF(AND(Years="Three",Mode="Dark"),BW$4,"")</f>
        <v/>
      </c>
      <c r="BX7" s="1332" t="str">
        <f>IF(AND(Years="Three",Mode="Dark"),BX$4,"")</f>
        <v/>
      </c>
      <c r="BY7" s="1332" t="str">
        <f>IF(AND(Years="Three",Mode="Dark"),BY$4,"")</f>
        <v/>
      </c>
      <c r="BZ7" s="1332"/>
      <c r="CA7" s="1039"/>
      <c r="CB7" s="1039"/>
      <c r="CC7" s="1039"/>
      <c r="CD7" s="1372">
        <v>2</v>
      </c>
      <c r="CE7" s="1377" t="str">
        <f>IF(Years="Three","Three Years","")</f>
        <v/>
      </c>
      <c r="CF7" s="1372"/>
      <c r="CG7" s="1039"/>
      <c r="CH7" s="1039"/>
      <c r="CI7" s="1039"/>
      <c r="CJ7" s="1039"/>
      <c r="CK7" s="1039"/>
      <c r="CL7" s="1332"/>
      <c r="CM7" s="1332"/>
      <c r="CN7" s="1759"/>
      <c r="CO7" s="1759"/>
      <c r="CP7" s="1759"/>
      <c r="CQ7" s="1766"/>
      <c r="CR7" s="1759"/>
      <c r="CS7" s="1759"/>
      <c r="CT7" s="1766"/>
      <c r="CU7" s="1766" t="str">
        <f>IF(CompanyType&lt;&gt;2,"LLC","")</f>
        <v>LLC</v>
      </c>
      <c r="CV7" s="1767" t="str">
        <f>IF(CompanyType=2,"LLC","")</f>
        <v/>
      </c>
      <c r="CW7" s="1371">
        <v>2</v>
      </c>
      <c r="CX7" s="1767" t="s">
        <v>75</v>
      </c>
      <c r="CY7" s="1371">
        <v>2</v>
      </c>
      <c r="CZ7" s="1371"/>
      <c r="DA7" s="1371"/>
      <c r="DB7" s="1371"/>
      <c r="DC7" s="1371"/>
      <c r="DD7" s="1371"/>
      <c r="DE7" s="1371"/>
      <c r="DF7" s="1769"/>
      <c r="DG7" s="1769"/>
      <c r="DH7" s="1769"/>
      <c r="DI7" s="1769"/>
      <c r="DJ7" s="1371"/>
      <c r="DK7" s="1762"/>
      <c r="DL7" s="1762"/>
      <c r="DM7" s="1762"/>
      <c r="DN7" s="1762"/>
      <c r="DO7" s="1762"/>
      <c r="DP7" s="1762"/>
      <c r="DQ7" s="1762"/>
      <c r="DR7" s="1762"/>
      <c r="DS7" s="1762"/>
      <c r="DT7" s="1762"/>
      <c r="DU7" s="1762"/>
      <c r="DV7" s="1762"/>
      <c r="DW7" s="1762"/>
      <c r="DX7" s="1762"/>
      <c r="DY7" s="1761"/>
      <c r="DZ7" s="1761"/>
      <c r="EA7" s="1761"/>
      <c r="EB7" s="1762"/>
      <c r="EC7" s="1762"/>
      <c r="ED7" s="1371"/>
      <c r="EE7" s="1759"/>
      <c r="EF7" s="1759"/>
      <c r="EG7" s="1332"/>
      <c r="EH7" s="1332"/>
      <c r="EI7" s="1332"/>
      <c r="EJ7" s="1332"/>
      <c r="EK7" s="1332"/>
      <c r="EL7" s="1332"/>
      <c r="EM7" s="1332"/>
      <c r="EN7" s="1332"/>
      <c r="EO7" s="1332"/>
      <c r="EP7" s="1332"/>
      <c r="EQ7" s="1332"/>
      <c r="ER7" s="1332"/>
      <c r="ES7" s="1332"/>
      <c r="ET7" s="1332"/>
      <c r="EU7" s="1332"/>
      <c r="EV7" s="1332"/>
      <c r="EW7" s="1332"/>
      <c r="EX7" s="1332"/>
      <c r="EY7" s="1332"/>
      <c r="EZ7" s="1332"/>
      <c r="FA7" s="1332"/>
      <c r="FB7" s="1332"/>
      <c r="FC7" s="1332"/>
      <c r="FD7" s="1332"/>
      <c r="FE7" s="1351"/>
      <c r="FF7" s="276"/>
      <c r="FG7" s="276"/>
      <c r="FH7" s="276"/>
      <c r="FI7" s="276"/>
      <c r="FJ7" s="276"/>
      <c r="FK7" s="276"/>
      <c r="FL7" s="276"/>
      <c r="FM7" s="276"/>
      <c r="FN7" s="276"/>
      <c r="FO7" s="276"/>
      <c r="FP7" s="276"/>
      <c r="FQ7" s="276"/>
    </row>
    <row r="8" spans="1:173" s="5" customFormat="1" ht="11.15" customHeight="1" x14ac:dyDescent="0.3">
      <c r="A8" s="745"/>
      <c r="C8" s="758" t="str">
        <f>Infrastructure!BE33</f>
        <v xml:space="preserve">Oper. Expenses </v>
      </c>
      <c r="D8" s="1427">
        <f>IFERROR(Infrastructure!BF33,"")</f>
        <v>0</v>
      </c>
      <c r="E8" s="804">
        <f>IFERROR(Infrastructure!BG33,"")</f>
        <v>0</v>
      </c>
      <c r="F8" s="1428">
        <f>IFERROR(Infrastructure!BH33,"")</f>
        <v>0</v>
      </c>
      <c r="G8" s="804">
        <f>IFERROR(Infrastructure!BI33,"")</f>
        <v>0</v>
      </c>
      <c r="H8" s="1428">
        <f>IFERROR(Infrastructure!BJ33,"")</f>
        <v>0</v>
      </c>
      <c r="I8" s="750" t="str">
        <f>IF(Infrastructure!BL$39=0,"","Debt")</f>
        <v/>
      </c>
      <c r="J8" s="1336" t="str">
        <f>IF(Infrastructure!BL$39=0,"",Calcs!D50)</f>
        <v/>
      </c>
      <c r="K8" s="745"/>
      <c r="L8" s="747"/>
      <c r="M8" s="745"/>
      <c r="N8" s="745"/>
      <c r="O8" s="745"/>
      <c r="P8" s="745"/>
      <c r="Q8" s="745"/>
      <c r="R8" s="745"/>
      <c r="S8" s="745"/>
      <c r="T8" s="745"/>
      <c r="U8" s="745"/>
      <c r="V8" s="745"/>
      <c r="W8" s="749"/>
      <c r="X8" s="749"/>
      <c r="Y8" s="745"/>
      <c r="Z8" s="745"/>
      <c r="AA8" s="745"/>
      <c r="AB8" s="745"/>
      <c r="AC8" s="745"/>
      <c r="AD8" s="745"/>
      <c r="AE8" s="745"/>
      <c r="AF8" s="745"/>
      <c r="AG8" s="745"/>
      <c r="AH8" s="745"/>
      <c r="AI8" s="745"/>
      <c r="AJ8" s="745"/>
      <c r="AK8" s="745"/>
      <c r="AL8" s="745"/>
      <c r="AM8" s="745"/>
      <c r="AN8" s="745"/>
      <c r="AO8" s="745"/>
      <c r="AP8" s="745"/>
      <c r="AQ8" s="745"/>
      <c r="AR8" s="745"/>
      <c r="AS8" s="745"/>
      <c r="AT8" s="1332"/>
      <c r="AU8" s="1332"/>
      <c r="AV8" s="1332"/>
      <c r="AW8" s="108"/>
      <c r="AX8" s="108"/>
      <c r="AY8" s="108"/>
      <c r="AZ8" s="108"/>
      <c r="BA8" s="108"/>
      <c r="BB8" s="108"/>
      <c r="BC8" s="108"/>
      <c r="BD8" s="108"/>
      <c r="BE8" s="108"/>
      <c r="BF8" s="276"/>
      <c r="BG8" s="276"/>
      <c r="BH8" s="276"/>
      <c r="BI8" s="276"/>
      <c r="BJ8" s="276"/>
      <c r="BK8" s="1332"/>
      <c r="BL8" s="1332"/>
      <c r="BM8" s="1332"/>
      <c r="BN8" s="1332"/>
      <c r="BO8" s="1332"/>
      <c r="BP8" s="1332"/>
      <c r="BQ8" s="1344" t="s">
        <v>76</v>
      </c>
      <c r="BR8" s="1344"/>
      <c r="BS8" s="1332" t="str">
        <f>IF(AND(Years="Five",Mode="Light"),BS$4,"")</f>
        <v>Revenue</v>
      </c>
      <c r="BT8" s="1332" t="str">
        <f>IF(AND(Years="Five",Mode="Light"),BT$4,"")</f>
        <v>/</v>
      </c>
      <c r="BU8" s="1332" t="str">
        <f>IF(AND(Years="Five",Mode="Light"),BU$4,"")</f>
        <v>Expenses</v>
      </c>
      <c r="BV8" s="1332" t="str">
        <f>IF(AND(Years="Five",Mode="Light"),BV$4,"")</f>
        <v>/</v>
      </c>
      <c r="BW8" s="1332" t="str">
        <f>IF(AND(Years="Five",Mode="Light"),BW$4,"")</f>
        <v>Net Income</v>
      </c>
      <c r="BX8" s="1332" t="str">
        <f>IF(AND(Years="Five",Mode="Light"),BX$4,"")</f>
        <v>Light</v>
      </c>
      <c r="BY8" s="1332" t="str">
        <f>IF(AND(Years="Five",Mode="Light"),BY$4,"")</f>
        <v>(Loss)</v>
      </c>
      <c r="BZ8" s="1332"/>
      <c r="CA8" s="1039"/>
      <c r="CB8" s="1039"/>
      <c r="CC8" s="1039"/>
      <c r="CD8" s="1372">
        <v>3</v>
      </c>
      <c r="CE8" s="1372" t="str">
        <f>IF(Years="Five","","Five Years")</f>
        <v/>
      </c>
      <c r="CF8" s="1372"/>
      <c r="CG8" s="1039"/>
      <c r="CH8" s="1039"/>
      <c r="CI8" s="1039"/>
      <c r="CJ8" s="1039"/>
      <c r="CK8" s="1039"/>
      <c r="CL8" s="1332"/>
      <c r="CM8" s="1332"/>
      <c r="CN8" s="1759"/>
      <c r="CO8" s="1759"/>
      <c r="CP8" s="1759"/>
      <c r="CQ8" s="1766"/>
      <c r="CR8" s="1766"/>
      <c r="CS8" s="1766"/>
      <c r="CT8" s="1766"/>
      <c r="CU8" s="1766" t="str">
        <f>IF(CompanyType&lt;&gt;3,"S Corp","")</f>
        <v>S Corp</v>
      </c>
      <c r="CV8" s="1767" t="str">
        <f>IF(CompanyType=3,"S Corp","")</f>
        <v/>
      </c>
      <c r="CW8" s="1371">
        <v>3</v>
      </c>
      <c r="CX8" s="1767" t="s">
        <v>77</v>
      </c>
      <c r="CY8" s="1371">
        <v>0</v>
      </c>
      <c r="CZ8" s="1371" t="s">
        <v>78</v>
      </c>
      <c r="DA8" s="1371"/>
      <c r="DB8" s="1371"/>
      <c r="DC8" s="1371" t="str">
        <f>IF(CY4=1,"Go to Historicals","")</f>
        <v>Go to Historicals</v>
      </c>
      <c r="DD8" s="1371"/>
      <c r="DE8" s="1371"/>
      <c r="DF8" s="1769"/>
      <c r="DG8" s="1769"/>
      <c r="DH8" s="1769"/>
      <c r="DI8" s="1769"/>
      <c r="DJ8" s="1371"/>
      <c r="DK8" s="1762"/>
      <c r="DL8" s="1762"/>
      <c r="DM8" s="1762"/>
      <c r="DN8" s="1762"/>
      <c r="DO8" s="1762"/>
      <c r="DP8" s="1762"/>
      <c r="DQ8" s="1762"/>
      <c r="DR8" s="1762"/>
      <c r="DS8" s="1762"/>
      <c r="DT8" s="1762"/>
      <c r="DU8" s="1762"/>
      <c r="DV8" s="1762"/>
      <c r="DW8" s="1762"/>
      <c r="DX8" s="1762"/>
      <c r="DY8" s="1761"/>
      <c r="DZ8" s="1761"/>
      <c r="EA8" s="1761"/>
      <c r="EB8" s="1762"/>
      <c r="EC8" s="1762"/>
      <c r="ED8" s="1371"/>
      <c r="EE8" s="1759"/>
      <c r="EF8" s="1759"/>
      <c r="EG8" s="1332"/>
      <c r="EH8" s="1332"/>
      <c r="EI8" s="1332"/>
      <c r="EJ8" s="1332"/>
      <c r="EK8" s="1332"/>
      <c r="EL8" s="1332"/>
      <c r="EM8" s="1332"/>
      <c r="EN8" s="1332"/>
      <c r="EO8" s="1332"/>
      <c r="EP8" s="1332"/>
      <c r="EQ8" s="1332"/>
      <c r="ER8" s="1332"/>
      <c r="ES8" s="1332"/>
      <c r="ET8" s="1332"/>
      <c r="EU8" s="1332"/>
      <c r="EV8" s="1332"/>
      <c r="EW8" s="1332"/>
      <c r="EX8" s="1332"/>
      <c r="EY8" s="1332"/>
      <c r="EZ8" s="1332"/>
      <c r="FA8" s="1332"/>
      <c r="FB8" s="1332"/>
      <c r="FC8" s="1332"/>
      <c r="FD8" s="1332"/>
      <c r="FE8" s="1351"/>
      <c r="FF8" s="276"/>
      <c r="FG8" s="276"/>
      <c r="FH8" s="276"/>
      <c r="FI8" s="276"/>
      <c r="FJ8" s="276"/>
      <c r="FK8" s="276"/>
      <c r="FL8" s="276"/>
      <c r="FM8" s="276"/>
      <c r="FN8" s="276"/>
      <c r="FO8" s="276"/>
      <c r="FP8" s="276"/>
      <c r="FQ8" s="276"/>
    </row>
    <row r="9" spans="1:173" s="892" customFormat="1" ht="11.15" customHeight="1" thickBot="1" x14ac:dyDescent="0.35">
      <c r="A9" s="886"/>
      <c r="C9" s="887" t="str">
        <f>Infrastructure!BE34</f>
        <v xml:space="preserve">EBITDA </v>
      </c>
      <c r="D9" s="1429">
        <f>IFERROR(Infrastructure!BF34,"")</f>
        <v>0</v>
      </c>
      <c r="E9" s="888">
        <f>IFERROR(Infrastructure!BG34,"")</f>
        <v>0</v>
      </c>
      <c r="F9" s="1430">
        <f>IFERROR(Infrastructure!BH34,"")</f>
        <v>0</v>
      </c>
      <c r="G9" s="888">
        <f>IFERROR(Infrastructure!BI34,"")</f>
        <v>0</v>
      </c>
      <c r="H9" s="1430">
        <f>IFERROR(Infrastructure!BJ34,"")</f>
        <v>0</v>
      </c>
      <c r="I9" s="750" t="s">
        <v>79</v>
      </c>
      <c r="J9" s="1336" t="str">
        <f>IF(Investors!C12&gt;0,Investors!C12,"")</f>
        <v/>
      </c>
      <c r="K9" s="886"/>
      <c r="L9" s="889"/>
      <c r="M9" s="886"/>
      <c r="N9" s="890"/>
      <c r="O9" s="891"/>
      <c r="P9" s="1864"/>
      <c r="Q9" s="1864"/>
      <c r="R9" s="886"/>
      <c r="S9" s="886"/>
      <c r="T9" s="886"/>
      <c r="U9" s="886"/>
      <c r="V9" s="886"/>
      <c r="W9" s="886"/>
      <c r="X9" s="886"/>
      <c r="Y9" s="886"/>
      <c r="Z9" s="886"/>
      <c r="AA9" s="886"/>
      <c r="AB9" s="886"/>
      <c r="AC9" s="886"/>
      <c r="AD9" s="886"/>
      <c r="AE9" s="886"/>
      <c r="AF9" s="886"/>
      <c r="AG9" s="886"/>
      <c r="AH9" s="886"/>
      <c r="AI9" s="886"/>
      <c r="AJ9" s="886"/>
      <c r="AK9" s="886"/>
      <c r="AL9" s="886"/>
      <c r="AM9" s="886"/>
      <c r="AN9" s="886"/>
      <c r="AO9" s="886"/>
      <c r="AP9" s="886"/>
      <c r="AQ9" s="886"/>
      <c r="AR9" s="886"/>
      <c r="AS9" s="886"/>
      <c r="AT9" s="1345"/>
      <c r="AU9" s="1345"/>
      <c r="AV9" s="1345"/>
      <c r="AW9" s="1346"/>
      <c r="AX9" s="1346"/>
      <c r="AY9" s="1346"/>
      <c r="AZ9" s="1346"/>
      <c r="BA9" s="1346"/>
      <c r="BB9" s="1346"/>
      <c r="BC9" s="1346"/>
      <c r="BD9" s="1346"/>
      <c r="BE9" s="1346"/>
      <c r="BF9" s="1045"/>
      <c r="BG9" s="1045"/>
      <c r="BH9" s="1045"/>
      <c r="BI9" s="1045"/>
      <c r="BJ9" s="1045"/>
      <c r="BK9" s="1345"/>
      <c r="BL9" s="1345"/>
      <c r="BM9" s="1345"/>
      <c r="BN9" s="1345"/>
      <c r="BO9" s="1345"/>
      <c r="BP9" s="1345"/>
      <c r="BQ9" s="1344" t="s">
        <v>76</v>
      </c>
      <c r="BR9" s="1344"/>
      <c r="BS9" s="1332" t="str">
        <f>IF(AND(Years="Five",Mode="Dark"),BS$4,"")</f>
        <v/>
      </c>
      <c r="BT9" s="1332" t="str">
        <f>IF(AND(Years="Five",Mode="Dark"),BT$4,"")</f>
        <v/>
      </c>
      <c r="BU9" s="1332" t="str">
        <f>IF(AND(Years="Five",Mode="Dark"),BU$4,"")</f>
        <v/>
      </c>
      <c r="BV9" s="1332" t="str">
        <f>IF(AND(Years="Five",Mode="Dark"),BV$4,"")</f>
        <v/>
      </c>
      <c r="BW9" s="1332" t="str">
        <f>IF(AND(Years="Five",Mode="Dark"),BW$4,"")</f>
        <v/>
      </c>
      <c r="BX9" s="1332" t="str">
        <f>IF(AND(Years="Five",Mode="Dark"),BX$4,"")</f>
        <v/>
      </c>
      <c r="BY9" s="1332" t="str">
        <f>IF(AND(Years="Five",Mode="Dark"),BY$4,"")</f>
        <v/>
      </c>
      <c r="BZ9" s="1345"/>
      <c r="CA9" s="1343"/>
      <c r="CB9" s="1343"/>
      <c r="CC9" s="1343"/>
      <c r="CD9" s="1372">
        <v>4</v>
      </c>
      <c r="CE9" s="1372" t="str">
        <f>IF(Years="Five","Five Years","")</f>
        <v>Five Years</v>
      </c>
      <c r="CF9" s="1372"/>
      <c r="CG9" s="1343"/>
      <c r="CH9" s="1343"/>
      <c r="CI9" s="1343"/>
      <c r="CJ9" s="1343"/>
      <c r="CK9" s="1343"/>
      <c r="CL9" s="1345"/>
      <c r="CM9" s="1345"/>
      <c r="CN9" s="1770"/>
      <c r="CO9" s="1770"/>
      <c r="CP9" s="1770"/>
      <c r="CQ9" s="1766"/>
      <c r="CR9" s="1759"/>
      <c r="CS9" s="1759"/>
      <c r="CT9" s="1766"/>
      <c r="CU9" s="1766" t="str">
        <f>IF(CompanyType&lt;&gt;4,"Non-Profit","")</f>
        <v>Non-Profit</v>
      </c>
      <c r="CV9" s="1767" t="str">
        <f>IF(CompanyType=4,"Non-Profit","")</f>
        <v/>
      </c>
      <c r="CW9" s="1371">
        <v>4</v>
      </c>
      <c r="CX9" s="1767" t="s">
        <v>80</v>
      </c>
      <c r="CY9" s="1371"/>
      <c r="CZ9" s="1371"/>
      <c r="DA9" s="1371"/>
      <c r="DB9" s="1771"/>
      <c r="DC9" s="1771"/>
      <c r="DD9" s="1771"/>
      <c r="DE9" s="1771"/>
      <c r="DF9" s="1772"/>
      <c r="DG9" s="1772"/>
      <c r="DH9" s="1772"/>
      <c r="DI9" s="1772"/>
      <c r="DJ9" s="1771"/>
      <c r="DK9" s="1773"/>
      <c r="DL9" s="1773"/>
      <c r="DM9" s="1773"/>
      <c r="DN9" s="1773"/>
      <c r="DO9" s="1773"/>
      <c r="DP9" s="1773"/>
      <c r="DQ9" s="1773"/>
      <c r="DR9" s="1773"/>
      <c r="DS9" s="1773"/>
      <c r="DT9" s="1773"/>
      <c r="DU9" s="1773"/>
      <c r="DV9" s="1773"/>
      <c r="DW9" s="1773"/>
      <c r="DX9" s="1773"/>
      <c r="DY9" s="1774"/>
      <c r="DZ9" s="1774"/>
      <c r="EA9" s="1774"/>
      <c r="EB9" s="1773"/>
      <c r="EC9" s="1773"/>
      <c r="ED9" s="1771"/>
      <c r="EE9" s="1770"/>
      <c r="EF9" s="1770"/>
      <c r="EG9" s="1345"/>
      <c r="EH9" s="1345"/>
      <c r="EI9" s="1345"/>
      <c r="EJ9" s="1345"/>
      <c r="EK9" s="1345"/>
      <c r="EL9" s="1345"/>
      <c r="EM9" s="1345"/>
      <c r="EN9" s="1345"/>
      <c r="EO9" s="1345"/>
      <c r="EP9" s="1345"/>
      <c r="EQ9" s="1345"/>
      <c r="ER9" s="1345"/>
      <c r="ES9" s="1345"/>
      <c r="ET9" s="1345"/>
      <c r="EU9" s="1345"/>
      <c r="EV9" s="1345"/>
      <c r="EW9" s="1345"/>
      <c r="EX9" s="1345"/>
      <c r="EY9" s="1345"/>
      <c r="EZ9" s="1345"/>
      <c r="FA9" s="1345"/>
      <c r="FB9" s="1345"/>
      <c r="FC9" s="1345"/>
      <c r="FD9" s="1345"/>
      <c r="FE9" s="1352"/>
      <c r="FF9" s="1045"/>
      <c r="FG9" s="1045"/>
      <c r="FH9" s="1045"/>
      <c r="FI9" s="1045"/>
      <c r="FJ9" s="1045"/>
      <c r="FK9" s="1045"/>
      <c r="FL9" s="1045"/>
      <c r="FM9" s="1045"/>
      <c r="FN9" s="1045"/>
      <c r="FO9" s="1045"/>
      <c r="FP9" s="1045"/>
      <c r="FQ9" s="1045"/>
    </row>
    <row r="10" spans="1:173" s="5" customFormat="1" ht="1.5" customHeight="1" thickTop="1" x14ac:dyDescent="0.3">
      <c r="A10" s="745"/>
      <c r="B10" s="897"/>
      <c r="C10" s="759"/>
      <c r="D10" s="1431"/>
      <c r="E10" s="1413"/>
      <c r="F10" s="1424"/>
      <c r="G10" s="1415"/>
      <c r="H10" s="1424"/>
      <c r="K10" s="745"/>
      <c r="L10" s="747"/>
      <c r="M10" s="745"/>
      <c r="N10" s="745"/>
      <c r="O10" s="745"/>
      <c r="P10" s="753"/>
      <c r="Q10" s="754"/>
      <c r="R10" s="745"/>
      <c r="S10" s="745"/>
      <c r="T10" s="745"/>
      <c r="U10" s="745"/>
      <c r="V10" s="745"/>
      <c r="W10" s="749"/>
      <c r="X10" s="755"/>
      <c r="Y10" s="745"/>
      <c r="Z10" s="745"/>
      <c r="AA10" s="745"/>
      <c r="AB10" s="745"/>
      <c r="AC10" s="745"/>
      <c r="AD10" s="745"/>
      <c r="AE10" s="745"/>
      <c r="AF10" s="745"/>
      <c r="AG10" s="745"/>
      <c r="AH10" s="745"/>
      <c r="AI10" s="745"/>
      <c r="AJ10" s="745"/>
      <c r="AK10" s="745"/>
      <c r="AL10" s="745"/>
      <c r="AM10" s="745"/>
      <c r="AN10" s="745"/>
      <c r="AO10" s="745"/>
      <c r="AP10" s="745"/>
      <c r="AQ10" s="745"/>
      <c r="AR10" s="745"/>
      <c r="AS10" s="745"/>
      <c r="AT10" s="1332"/>
      <c r="AU10" s="1332"/>
      <c r="AV10" s="1332"/>
      <c r="AW10" s="108"/>
      <c r="AX10" s="108"/>
      <c r="AY10" s="108"/>
      <c r="AZ10" s="108"/>
      <c r="BA10" s="108"/>
      <c r="BB10" s="108"/>
      <c r="BC10" s="108"/>
      <c r="BD10" s="108"/>
      <c r="BE10" s="108"/>
      <c r="BF10" s="276"/>
      <c r="BG10" s="276"/>
      <c r="BH10" s="276"/>
      <c r="BI10" s="276"/>
      <c r="BJ10" s="276"/>
      <c r="BK10" s="1349"/>
      <c r="BL10" s="1332"/>
      <c r="BM10" s="1332"/>
      <c r="BN10" s="1332"/>
      <c r="BO10" s="1332"/>
      <c r="BP10" s="1332"/>
      <c r="BQ10" s="1332"/>
      <c r="BR10" s="1332"/>
      <c r="BS10" s="1332"/>
      <c r="BT10" s="1332"/>
      <c r="BU10" s="1332"/>
      <c r="BV10" s="1332"/>
      <c r="BW10" s="1332"/>
      <c r="BX10" s="1332"/>
      <c r="BY10" s="1332"/>
      <c r="BZ10" s="1332"/>
      <c r="CA10" s="1039"/>
      <c r="CB10" s="1039"/>
      <c r="CC10" s="1039"/>
      <c r="CD10" s="1039"/>
      <c r="CE10" s="1039"/>
      <c r="CF10" s="1039"/>
      <c r="CG10" s="1039"/>
      <c r="CH10" s="1039"/>
      <c r="CI10" s="1039"/>
      <c r="CJ10" s="1039"/>
      <c r="CK10" s="1039"/>
      <c r="CL10" s="1332"/>
      <c r="CM10" s="1332"/>
      <c r="CN10" s="1759"/>
      <c r="CO10" s="1759"/>
      <c r="CP10" s="1759"/>
      <c r="CQ10" s="1759"/>
      <c r="CR10" s="1759"/>
      <c r="CS10" s="1759"/>
      <c r="CT10" s="1759"/>
      <c r="CU10" s="1759"/>
      <c r="CV10" s="1371"/>
      <c r="CW10" s="1371"/>
      <c r="CX10" s="1371"/>
      <c r="CY10" s="1371"/>
      <c r="CZ10" s="1371"/>
      <c r="DA10" s="1371"/>
      <c r="DB10" s="1371"/>
      <c r="DC10" s="1371"/>
      <c r="DD10" s="1371"/>
      <c r="DE10" s="1371"/>
      <c r="DF10" s="1769"/>
      <c r="DG10" s="1769"/>
      <c r="DH10" s="1769"/>
      <c r="DI10" s="1769"/>
      <c r="DJ10" s="1371"/>
      <c r="DK10" s="1762"/>
      <c r="DL10" s="1762"/>
      <c r="DM10" s="1762"/>
      <c r="DN10" s="1762"/>
      <c r="DO10" s="1762"/>
      <c r="DP10" s="1762"/>
      <c r="DQ10" s="1762"/>
      <c r="DR10" s="1762"/>
      <c r="DS10" s="1762"/>
      <c r="DT10" s="1762"/>
      <c r="DU10" s="1762"/>
      <c r="DV10" s="1762"/>
      <c r="DW10" s="1762"/>
      <c r="DX10" s="1762"/>
      <c r="DY10" s="1762"/>
      <c r="DZ10" s="1762"/>
      <c r="EA10" s="1762"/>
      <c r="EB10" s="1762"/>
      <c r="EC10" s="1762"/>
      <c r="ED10" s="1371"/>
      <c r="EE10" s="1759"/>
      <c r="EF10" s="1759"/>
      <c r="EG10" s="1332"/>
      <c r="EH10" s="1332"/>
      <c r="EI10" s="1332"/>
      <c r="EJ10" s="1332"/>
      <c r="EK10" s="1332"/>
      <c r="EL10" s="1332"/>
      <c r="EM10" s="1332"/>
      <c r="EN10" s="1332"/>
      <c r="EO10" s="1332"/>
      <c r="EP10" s="1332"/>
      <c r="EQ10" s="1332"/>
      <c r="ER10" s="1332"/>
      <c r="ES10" s="1332"/>
      <c r="ET10" s="1332"/>
      <c r="EU10" s="1332"/>
      <c r="EV10" s="1332"/>
      <c r="EW10" s="1332"/>
      <c r="EX10" s="1332"/>
      <c r="EY10" s="1332"/>
      <c r="EZ10" s="1332"/>
      <c r="FA10" s="1332"/>
      <c r="FB10" s="1332"/>
      <c r="FC10" s="1332"/>
      <c r="FD10" s="1332"/>
      <c r="FE10" s="1351"/>
      <c r="FF10" s="276"/>
      <c r="FG10" s="276"/>
      <c r="FH10" s="276"/>
      <c r="FI10" s="276"/>
      <c r="FJ10" s="276"/>
      <c r="FK10" s="276"/>
      <c r="FL10" s="276"/>
      <c r="FM10" s="276"/>
      <c r="FN10" s="276"/>
      <c r="FO10" s="276"/>
      <c r="FP10" s="276"/>
      <c r="FQ10" s="276"/>
    </row>
    <row r="11" spans="1:173" s="5" customFormat="1" ht="11.15" customHeight="1" x14ac:dyDescent="0.3">
      <c r="A11" s="745"/>
      <c r="B11" s="897"/>
      <c r="C11" s="758" t="str">
        <f>Infrastructure!BE36</f>
        <v xml:space="preserve">Int. Tax. Dep. Amo. </v>
      </c>
      <c r="D11" s="1425">
        <f>IFERROR(Infrastructure!BF36,"")</f>
        <v>0</v>
      </c>
      <c r="E11" s="1414">
        <f>IFERROR(Infrastructure!BG36,"")</f>
        <v>0</v>
      </c>
      <c r="F11" s="1426">
        <f>IFERROR(Infrastructure!BH36,"")</f>
        <v>0</v>
      </c>
      <c r="G11" s="1414">
        <f>IFERROR(Infrastructure!BI36,"")</f>
        <v>0</v>
      </c>
      <c r="H11" s="1426">
        <f>IFERROR(Infrastructure!BJ36,"")</f>
        <v>0</v>
      </c>
      <c r="K11" s="745"/>
      <c r="L11" s="747"/>
      <c r="M11" s="745"/>
      <c r="N11" s="745"/>
      <c r="O11" s="745"/>
      <c r="P11" s="745"/>
      <c r="Q11" s="745"/>
      <c r="R11" s="745"/>
      <c r="T11" s="745"/>
      <c r="U11" s="745"/>
      <c r="V11" s="745"/>
      <c r="W11" s="749"/>
      <c r="X11" s="755"/>
      <c r="Y11" s="745"/>
      <c r="Z11" s="745"/>
      <c r="AA11" s="745"/>
      <c r="AB11" s="745"/>
      <c r="AC11" s="745"/>
      <c r="AD11" s="745"/>
      <c r="AE11" s="745"/>
      <c r="AF11" s="745"/>
      <c r="AG11" s="745"/>
      <c r="AH11" s="745"/>
      <c r="AI11" s="745"/>
      <c r="AJ11" s="745"/>
      <c r="AK11" s="745"/>
      <c r="AL11" s="745"/>
      <c r="AM11" s="745"/>
      <c r="AN11" s="745"/>
      <c r="AO11" s="745"/>
      <c r="AP11" s="745"/>
      <c r="AQ11" s="745"/>
      <c r="AR11" s="745"/>
      <c r="AS11" s="745"/>
      <c r="AT11" s="1332"/>
      <c r="AU11" s="1236" t="s">
        <v>81</v>
      </c>
      <c r="AV11" s="1332"/>
      <c r="AW11" s="108"/>
      <c r="AX11" s="108"/>
      <c r="AY11" s="108"/>
      <c r="AZ11" s="108"/>
      <c r="BA11" s="108"/>
      <c r="BB11" s="108"/>
      <c r="BC11" s="108"/>
      <c r="BD11" s="108"/>
      <c r="BE11" s="108"/>
      <c r="BF11" s="276"/>
      <c r="BG11" s="276"/>
      <c r="BH11" s="276"/>
      <c r="BI11" s="276"/>
      <c r="BJ11" s="276"/>
      <c r="BK11" s="1349"/>
      <c r="BL11" s="1332"/>
      <c r="BM11" s="1332"/>
      <c r="BN11" s="1332"/>
      <c r="BO11" s="1332"/>
      <c r="BP11" s="1332"/>
      <c r="BQ11" s="1332"/>
      <c r="BR11" s="1332"/>
      <c r="BS11" s="1332"/>
      <c r="BT11" s="1332"/>
      <c r="BU11" s="1332"/>
      <c r="BV11" s="1332"/>
      <c r="BW11" s="1332"/>
      <c r="BX11" s="1332"/>
      <c r="BY11" s="1332"/>
      <c r="BZ11" s="1332"/>
      <c r="CA11" s="1039"/>
      <c r="CB11" s="1039"/>
      <c r="CC11" s="1039"/>
      <c r="CD11" s="1039"/>
      <c r="CE11" s="1039"/>
      <c r="CF11" s="1039"/>
      <c r="CG11" s="1039"/>
      <c r="CH11" s="1039"/>
      <c r="CI11" s="1039"/>
      <c r="CJ11" s="1039"/>
      <c r="CK11" s="1039"/>
      <c r="CL11" s="1332"/>
      <c r="CM11" s="1332"/>
      <c r="CN11" s="1759"/>
      <c r="CO11" s="1759"/>
      <c r="CP11" s="1759"/>
      <c r="CQ11" s="1759"/>
      <c r="CR11" s="1766" t="str">
        <f>IF($CY$4=2,"","No")</f>
        <v>No</v>
      </c>
      <c r="CS11" s="1766" t="str">
        <f>IF($CY$4&lt;&gt;2,"","No")</f>
        <v/>
      </c>
      <c r="CT11" s="1759"/>
      <c r="CU11" s="1759"/>
      <c r="CV11" s="1371"/>
      <c r="CW11" s="1371"/>
      <c r="CX11" s="1371"/>
      <c r="CY11" s="1371"/>
      <c r="CZ11" s="1371" t="str">
        <f>IF(CY5=1,"Number of Products ",IF(CY5=2,"Number of Services ","Number of Products / Services "))</f>
        <v xml:space="preserve">Number of Products / Services </v>
      </c>
      <c r="DA11" s="1371"/>
      <c r="DB11" s="1371"/>
      <c r="DC11" s="1371"/>
      <c r="DD11" s="1371"/>
      <c r="DE11" s="1371"/>
      <c r="DF11" s="1769"/>
      <c r="DG11" s="1769"/>
      <c r="DH11" s="1769"/>
      <c r="DI11" s="1769"/>
      <c r="DJ11" s="1371"/>
      <c r="DK11" s="1762"/>
      <c r="DL11" s="1762"/>
      <c r="DM11" s="1762"/>
      <c r="DN11" s="1762"/>
      <c r="DO11" s="1762"/>
      <c r="DP11" s="1762"/>
      <c r="DQ11" s="1762"/>
      <c r="DR11" s="1762"/>
      <c r="DS11" s="1762"/>
      <c r="DT11" s="1762"/>
      <c r="DU11" s="1762"/>
      <c r="DV11" s="1762"/>
      <c r="DW11" s="1762"/>
      <c r="DX11" s="1762"/>
      <c r="DY11" s="1762"/>
      <c r="DZ11" s="1762"/>
      <c r="EA11" s="1762"/>
      <c r="EB11" s="1762"/>
      <c r="EC11" s="1762"/>
      <c r="ED11" s="1371"/>
      <c r="EE11" s="1759"/>
      <c r="EF11" s="1759"/>
      <c r="EG11" s="1332"/>
      <c r="EH11" s="1332"/>
      <c r="EI11" s="1332"/>
      <c r="EJ11" s="1332"/>
      <c r="EK11" s="1332"/>
      <c r="EL11" s="1332"/>
      <c r="EM11" s="1332"/>
      <c r="EN11" s="1332"/>
      <c r="EO11" s="1332"/>
      <c r="EP11" s="1332"/>
      <c r="EQ11" s="1332"/>
      <c r="ER11" s="1332"/>
      <c r="ES11" s="1332"/>
      <c r="ET11" s="1332"/>
      <c r="EU11" s="1332"/>
      <c r="EV11" s="1332"/>
      <c r="EW11" s="1332"/>
      <c r="EX11" s="1332"/>
      <c r="EY11" s="1332"/>
      <c r="EZ11" s="1332"/>
      <c r="FA11" s="1332"/>
      <c r="FB11" s="1332"/>
      <c r="FC11" s="1332"/>
      <c r="FD11" s="1332"/>
      <c r="FE11" s="1351"/>
      <c r="FF11" s="276"/>
      <c r="FG11" s="276"/>
      <c r="FH11" s="276"/>
      <c r="FI11" s="276"/>
      <c r="FJ11" s="276"/>
      <c r="FK11" s="276"/>
      <c r="FL11" s="276"/>
      <c r="FM11" s="276"/>
      <c r="FN11" s="276"/>
      <c r="FO11" s="276"/>
      <c r="FP11" s="276"/>
      <c r="FQ11" s="276"/>
    </row>
    <row r="12" spans="1:173" s="5" customFormat="1" ht="11.15" customHeight="1" thickBot="1" x14ac:dyDescent="0.35">
      <c r="A12" s="745"/>
      <c r="B12" s="1042" t="s">
        <v>82</v>
      </c>
      <c r="C12" s="757" t="str">
        <f>Infrastructure!BE37</f>
        <v xml:space="preserve">Net  Income </v>
      </c>
      <c r="D12" s="1432">
        <f>IFERROR(Infrastructure!BF37,"")</f>
        <v>0</v>
      </c>
      <c r="E12" s="805">
        <f>IFERROR(Infrastructure!BG37,"")</f>
        <v>0</v>
      </c>
      <c r="F12" s="1433">
        <f>IFERROR(Infrastructure!BH37,"")</f>
        <v>0</v>
      </c>
      <c r="G12" s="805">
        <f>IFERROR(Infrastructure!BI37,"")</f>
        <v>0</v>
      </c>
      <c r="H12" s="1433">
        <f>IFERROR(Infrastructure!BJ37,"")</f>
        <v>0</v>
      </c>
      <c r="I12" s="750" t="str">
        <f>IF(Infrastructure!BL$39=0,"","Cash Out")</f>
        <v/>
      </c>
      <c r="J12" s="1333" t="str">
        <f>IFERROR(IF(Infrastructure!BL$39=0,"",Calcs!G59),"None")</f>
        <v/>
      </c>
      <c r="K12" s="745"/>
      <c r="L12" s="747"/>
      <c r="M12" s="745"/>
      <c r="N12" s="745"/>
      <c r="O12" s="745"/>
      <c r="P12" s="1857"/>
      <c r="Q12" s="1857"/>
      <c r="R12" s="756"/>
      <c r="S12" s="745"/>
      <c r="T12" s="745"/>
      <c r="U12" s="745"/>
      <c r="V12" s="745"/>
      <c r="W12" s="749"/>
      <c r="X12" s="755"/>
      <c r="Y12" s="749"/>
      <c r="Z12" s="749"/>
      <c r="AA12" s="749"/>
      <c r="AB12" s="749"/>
      <c r="AC12" s="749"/>
      <c r="AD12" s="749"/>
      <c r="AE12" s="749"/>
      <c r="AF12" s="749"/>
      <c r="AG12" s="749"/>
      <c r="AH12" s="749"/>
      <c r="AI12" s="749"/>
      <c r="AJ12" s="749"/>
      <c r="AK12" s="749"/>
      <c r="AL12" s="749"/>
      <c r="AM12" s="749"/>
      <c r="AN12" s="749"/>
      <c r="AO12" s="749"/>
      <c r="AP12" s="749"/>
      <c r="AQ12" s="749"/>
      <c r="AR12" s="749"/>
      <c r="AS12" s="749"/>
      <c r="AT12" s="1344"/>
      <c r="AU12" s="1236" t="s">
        <v>83</v>
      </c>
      <c r="AV12" s="1344"/>
      <c r="AW12" s="108"/>
      <c r="AX12" s="108"/>
      <c r="AY12" s="108"/>
      <c r="AZ12" s="108"/>
      <c r="BA12" s="108"/>
      <c r="BB12" s="108"/>
      <c r="BC12" s="108"/>
      <c r="BD12" s="108"/>
      <c r="BE12" s="108"/>
      <c r="BF12" s="276"/>
      <c r="BG12" s="276"/>
      <c r="BH12" s="276"/>
      <c r="BI12" s="276"/>
      <c r="BJ12" s="276"/>
      <c r="BK12" s="1344"/>
      <c r="BL12" s="1344"/>
      <c r="BM12" s="1350" t="str">
        <f>IF(Years="Five",Infrastructure!H9,"")</f>
        <v>Year 1</v>
      </c>
      <c r="BN12" s="1350" t="str">
        <f>IF(Years="Five",Infrastructure!I9,"")</f>
        <v>Year 2</v>
      </c>
      <c r="BO12" s="1350" t="str">
        <f>IF(Years="Five",Infrastructure!J9,"")</f>
        <v>Year 3</v>
      </c>
      <c r="BP12" s="1350" t="str">
        <f>IF(Years="Five",Infrastructure!K9,"")</f>
        <v>Year 4</v>
      </c>
      <c r="BQ12" s="1350" t="str">
        <f>IF(Years="Five",Infrastructure!L9,"")</f>
        <v>Year 5</v>
      </c>
      <c r="BR12" s="1332"/>
      <c r="BS12" s="1332"/>
      <c r="BT12" s="1332"/>
      <c r="BU12" s="1332"/>
      <c r="BV12" s="1332"/>
      <c r="BW12" s="1332"/>
      <c r="BX12" s="1332"/>
      <c r="BY12" s="1332"/>
      <c r="BZ12" s="1332"/>
      <c r="CA12" s="1039"/>
      <c r="CB12" s="1039"/>
      <c r="CC12" s="1039"/>
      <c r="CD12" s="1039"/>
      <c r="CE12" s="1039"/>
      <c r="CF12" s="1039"/>
      <c r="CG12" s="1039"/>
      <c r="CH12" s="1039"/>
      <c r="CI12" s="1039"/>
      <c r="CJ12" s="1039"/>
      <c r="CK12" s="1039"/>
      <c r="CL12" s="1332"/>
      <c r="CM12" s="1332"/>
      <c r="CN12" s="1759"/>
      <c r="CO12" s="1759"/>
      <c r="CP12" s="1759"/>
      <c r="CQ12" s="1759"/>
      <c r="CR12" s="1766" t="str">
        <f>IF($CY$4=1,"","Yes")</f>
        <v/>
      </c>
      <c r="CS12" s="1766" t="str">
        <f>IF($CY$4&lt;&gt;1,"","Yes")</f>
        <v>Yes</v>
      </c>
      <c r="CT12" s="1759"/>
      <c r="CU12" s="1759"/>
      <c r="CV12" s="1371"/>
      <c r="CW12" s="1371"/>
      <c r="CX12" s="1371"/>
      <c r="CY12" s="1371"/>
      <c r="CZ12" s="1371"/>
      <c r="DA12" s="1371"/>
      <c r="DB12" s="1371"/>
      <c r="DC12" s="1371"/>
      <c r="DD12" s="1371"/>
      <c r="DE12" s="1371"/>
      <c r="DF12" s="1769"/>
      <c r="DG12" s="1769"/>
      <c r="DH12" s="1769"/>
      <c r="DI12" s="1769"/>
      <c r="DJ12" s="1371"/>
      <c r="DK12" s="1762"/>
      <c r="DL12" s="1762"/>
      <c r="DM12" s="1762"/>
      <c r="DN12" s="1762"/>
      <c r="DO12" s="1762"/>
      <c r="DP12" s="1762"/>
      <c r="DQ12" s="1762"/>
      <c r="DR12" s="1762"/>
      <c r="DS12" s="1762"/>
      <c r="DT12" s="1762"/>
      <c r="DU12" s="1762"/>
      <c r="DV12" s="1762"/>
      <c r="DW12" s="1762"/>
      <c r="DX12" s="1762"/>
      <c r="DY12" s="1762"/>
      <c r="DZ12" s="1762"/>
      <c r="EA12" s="1762"/>
      <c r="EB12" s="1762"/>
      <c r="EC12" s="1762"/>
      <c r="ED12" s="1759"/>
      <c r="EE12" s="1759"/>
      <c r="EF12" s="1759"/>
      <c r="EG12" s="1332"/>
      <c r="EH12" s="1332"/>
      <c r="EI12" s="1332"/>
      <c r="EJ12" s="1332"/>
      <c r="EK12" s="1332"/>
      <c r="EL12" s="1332"/>
      <c r="EM12" s="1332"/>
      <c r="EN12" s="1332"/>
      <c r="EO12" s="1332"/>
      <c r="EP12" s="1332"/>
      <c r="EQ12" s="1332"/>
      <c r="ER12" s="1332"/>
      <c r="ES12" s="1332"/>
      <c r="ET12" s="1332"/>
      <c r="EU12" s="1332"/>
      <c r="EV12" s="1332"/>
      <c r="EW12" s="1332"/>
      <c r="EX12" s="1332"/>
      <c r="EY12" s="1332"/>
      <c r="EZ12" s="1332"/>
      <c r="FA12" s="1332"/>
      <c r="FB12" s="1332"/>
      <c r="FC12" s="1332"/>
      <c r="FD12" s="1332"/>
      <c r="FE12" s="1351"/>
      <c r="FF12" s="276"/>
      <c r="FG12" s="276"/>
      <c r="FH12" s="276"/>
      <c r="FI12" s="276"/>
      <c r="FJ12" s="276"/>
      <c r="FK12" s="276"/>
      <c r="FL12" s="276"/>
      <c r="FM12" s="276"/>
      <c r="FN12" s="276"/>
      <c r="FO12" s="276"/>
      <c r="FP12" s="276"/>
      <c r="FQ12" s="276"/>
    </row>
    <row r="13" spans="1:173" s="892" customFormat="1" ht="13" customHeight="1" thickTop="1" x14ac:dyDescent="0.3">
      <c r="A13" s="886"/>
      <c r="C13" s="885" t="str">
        <f>"Least Cash"&amp;" "</f>
        <v xml:space="preserve">Least Cash </v>
      </c>
      <c r="D13" s="1712" t="str">
        <f>IFERROR(Infrastructure!BF39,"")</f>
        <v/>
      </c>
      <c r="E13" s="1713" t="str">
        <f>IFERROR(Infrastructure!BG39,"")</f>
        <v/>
      </c>
      <c r="F13" s="1714" t="str">
        <f>IFERROR(Infrastructure!BH39,"")</f>
        <v/>
      </c>
      <c r="G13" s="1713" t="str">
        <f>IFERROR(Infrastructure!BI39,"")</f>
        <v/>
      </c>
      <c r="H13" s="1714" t="str">
        <f>IFERROR(Infrastructure!BJ39,"")</f>
        <v/>
      </c>
      <c r="I13" s="1715" t="str">
        <f>IF(Infrastructure!BL$39=0,"","Min. Cash")</f>
        <v/>
      </c>
      <c r="J13" s="1337" t="str">
        <f>IF(Infrastructure!BL$39=0,"",IF(Years="Five",MIN(Calcs!I29:BP29),MIN(Calcs!I29:AR29)))</f>
        <v/>
      </c>
      <c r="K13" s="886"/>
      <c r="L13" s="889"/>
      <c r="M13" s="886"/>
      <c r="N13" s="886"/>
      <c r="O13" s="886"/>
      <c r="P13" s="1871"/>
      <c r="Q13" s="1871"/>
      <c r="R13" s="886"/>
      <c r="S13" s="886"/>
      <c r="T13" s="886"/>
      <c r="U13" s="886"/>
      <c r="V13" s="886"/>
      <c r="W13" s="886"/>
      <c r="X13" s="893"/>
      <c r="Y13" s="886"/>
      <c r="Z13" s="886"/>
      <c r="AA13" s="886"/>
      <c r="AB13" s="886"/>
      <c r="AC13" s="886"/>
      <c r="AD13" s="886"/>
      <c r="AE13" s="886"/>
      <c r="AF13" s="886"/>
      <c r="AG13" s="886"/>
      <c r="AH13" s="886"/>
      <c r="AI13" s="886"/>
      <c r="AJ13" s="886"/>
      <c r="AK13" s="886"/>
      <c r="AL13" s="886"/>
      <c r="AM13" s="886"/>
      <c r="AN13" s="886"/>
      <c r="AO13" s="886"/>
      <c r="AP13" s="886"/>
      <c r="AQ13" s="886"/>
      <c r="AR13" s="886"/>
      <c r="AS13" s="886"/>
      <c r="AT13" s="1345"/>
      <c r="AU13" s="1345"/>
      <c r="AV13" s="1345"/>
      <c r="AW13" s="1346"/>
      <c r="AX13" s="1346"/>
      <c r="AY13" s="1346"/>
      <c r="AZ13" s="1346"/>
      <c r="BA13" s="1346"/>
      <c r="BB13" s="1346"/>
      <c r="BC13" s="1346"/>
      <c r="BD13" s="1346"/>
      <c r="BE13" s="1346"/>
      <c r="BF13" s="1045"/>
      <c r="BG13" s="1045"/>
      <c r="BH13" s="1045"/>
      <c r="BI13" s="1045"/>
      <c r="BJ13" s="1045"/>
      <c r="BK13" s="1343"/>
      <c r="BL13" s="1345"/>
      <c r="BM13" s="1353" t="str">
        <f>IF(Years="Three",Infrastructure!H9,"")</f>
        <v/>
      </c>
      <c r="BN13" s="1353" t="str">
        <f>IF(Years="Three",Infrastructure!I9,"")</f>
        <v/>
      </c>
      <c r="BO13" s="1354" t="str">
        <f>IF(Years="Three",Infrastructure!J9,"")</f>
        <v/>
      </c>
      <c r="BP13" s="1343"/>
      <c r="BQ13" s="1343"/>
      <c r="BR13" s="1343"/>
      <c r="BS13" s="1045"/>
      <c r="BT13" s="1045"/>
      <c r="BU13" s="1045"/>
      <c r="BV13" s="1045"/>
      <c r="BW13" s="1045"/>
      <c r="BX13" s="1045"/>
      <c r="BY13" s="1045"/>
      <c r="BZ13" s="1045"/>
      <c r="CA13" s="1045"/>
      <c r="CB13" s="1045"/>
      <c r="CC13" s="1045"/>
      <c r="CD13" s="1045"/>
      <c r="CE13" s="1045"/>
      <c r="CF13" s="1045"/>
      <c r="CG13" s="1045"/>
      <c r="CH13" s="1045"/>
      <c r="CI13" s="1045"/>
      <c r="CJ13" s="1045"/>
      <c r="CK13" s="1045"/>
      <c r="CN13" s="1775"/>
      <c r="CO13" s="1775"/>
      <c r="CP13" s="1775"/>
      <c r="CQ13" s="1776"/>
      <c r="CR13" s="1776"/>
      <c r="CS13" s="1776"/>
      <c r="CT13" s="1776"/>
      <c r="CU13" s="1776"/>
      <c r="CV13" s="1777"/>
      <c r="CW13" s="1777"/>
      <c r="CX13" s="1777"/>
      <c r="CY13" s="1777"/>
      <c r="CZ13" s="1777"/>
      <c r="DA13" s="1777"/>
      <c r="DB13" s="1777"/>
      <c r="DC13" s="1777"/>
      <c r="DD13" s="1777"/>
      <c r="DE13" s="1777"/>
      <c r="DF13" s="1775"/>
      <c r="DG13" s="1775"/>
      <c r="DH13" s="1775"/>
      <c r="DI13" s="1775"/>
      <c r="DJ13" s="1777"/>
      <c r="DK13" s="1777"/>
      <c r="DL13" s="1777"/>
      <c r="DM13" s="1777"/>
      <c r="DN13" s="1777"/>
      <c r="DO13" s="1777"/>
      <c r="DP13" s="1777"/>
      <c r="DQ13" s="1777"/>
      <c r="DR13" s="1777"/>
      <c r="DS13" s="1777"/>
      <c r="DT13" s="1777"/>
      <c r="DU13" s="1777"/>
      <c r="DV13" s="1777"/>
      <c r="DW13" s="1777"/>
      <c r="DX13" s="1777"/>
      <c r="DY13" s="1777"/>
      <c r="DZ13" s="1777"/>
      <c r="EA13" s="1777"/>
      <c r="EB13" s="1777"/>
      <c r="EC13" s="1777"/>
      <c r="ED13" s="1777"/>
      <c r="EE13" s="1777"/>
      <c r="EF13" s="1777"/>
      <c r="EG13" s="1045"/>
      <c r="EH13" s="1045"/>
      <c r="EI13" s="1045"/>
      <c r="EJ13" s="1045"/>
      <c r="EK13" s="1045"/>
      <c r="EL13" s="1045"/>
      <c r="EM13" s="1045"/>
      <c r="EN13" s="1045"/>
      <c r="EO13" s="1045"/>
      <c r="EP13" s="1045"/>
      <c r="EQ13" s="1045"/>
      <c r="ER13" s="1045"/>
      <c r="ES13" s="1045"/>
      <c r="ET13" s="1045"/>
      <c r="EU13" s="1045"/>
      <c r="EV13" s="1045"/>
      <c r="EW13" s="1045"/>
      <c r="EX13" s="1045"/>
      <c r="EY13" s="1045"/>
      <c r="EZ13" s="1045"/>
      <c r="FA13" s="1045"/>
      <c r="FB13" s="1045"/>
      <c r="FC13" s="1045"/>
      <c r="FD13" s="1045"/>
      <c r="FE13" s="1045"/>
      <c r="FF13" s="1045"/>
      <c r="FG13" s="1045"/>
      <c r="FH13" s="1045"/>
      <c r="FI13" s="1045"/>
      <c r="FJ13" s="1045"/>
      <c r="FK13" s="1045"/>
      <c r="FL13" s="1045"/>
      <c r="FM13" s="1045"/>
      <c r="FN13" s="1045"/>
      <c r="FO13" s="1045"/>
      <c r="FP13" s="1045"/>
      <c r="FQ13" s="1045"/>
    </row>
    <row r="14" spans="1:173" s="5" customFormat="1" ht="13.5" customHeight="1" thickBot="1" x14ac:dyDescent="0.4">
      <c r="A14" s="745"/>
      <c r="B14" s="887"/>
      <c r="C14" s="887" t="str">
        <f>Infrastructure!BE40</f>
        <v xml:space="preserve">Year End Cash </v>
      </c>
      <c r="D14" s="1716" t="str">
        <f>IFERROR(Infrastructure!BF40,"")</f>
        <v/>
      </c>
      <c r="E14" s="1717" t="str">
        <f>IFERROR(Infrastructure!BG40,"")</f>
        <v/>
      </c>
      <c r="F14" s="1718" t="str">
        <f>IFERROR(Infrastructure!BH40,"")</f>
        <v/>
      </c>
      <c r="G14" s="1717" t="str">
        <f>IFERROR(Infrastructure!BI40,"")</f>
        <v/>
      </c>
      <c r="H14" s="1718" t="str">
        <f>IFERROR(Infrastructure!BJ40,"")</f>
        <v/>
      </c>
      <c r="I14" s="1719" t="str">
        <f>IF(Infrastructure!BL$39=0,"","Max. Cash")</f>
        <v/>
      </c>
      <c r="J14" s="1404" t="str">
        <f>IF(Infrastructure!BL$39=0,"",IF(Years="Five",MAX(Calcs!I29:BP29),MAX(Calcs!I29:AR29)))</f>
        <v/>
      </c>
      <c r="K14" s="745"/>
      <c r="L14" s="747"/>
      <c r="M14" s="745"/>
      <c r="N14" s="745"/>
      <c r="O14" s="745"/>
      <c r="P14" s="745"/>
      <c r="Q14" s="745"/>
      <c r="R14" s="745"/>
      <c r="S14" s="745"/>
      <c r="T14" s="745"/>
      <c r="U14" s="745"/>
      <c r="V14" s="745"/>
      <c r="W14" s="745"/>
      <c r="X14" s="745"/>
      <c r="Y14" s="745"/>
      <c r="Z14" s="745"/>
      <c r="AA14" s="745"/>
      <c r="AB14" s="745"/>
      <c r="AC14" s="745"/>
      <c r="AD14" s="745"/>
      <c r="AE14" s="745"/>
      <c r="AF14" s="745"/>
      <c r="AG14" s="745"/>
      <c r="AH14" s="745"/>
      <c r="AI14" s="745"/>
      <c r="AJ14" s="745"/>
      <c r="AK14" s="745"/>
      <c r="AL14" s="745"/>
      <c r="AM14" s="745"/>
      <c r="AN14" s="745"/>
      <c r="AO14" s="745"/>
      <c r="AP14" s="745"/>
      <c r="AQ14" s="745"/>
      <c r="AR14" s="745"/>
      <c r="AS14" s="745"/>
      <c r="AT14" s="745"/>
      <c r="AU14" s="745"/>
      <c r="AV14" s="745"/>
      <c r="BK14" s="1332"/>
      <c r="BL14" s="1332"/>
      <c r="BM14" s="1332"/>
      <c r="BN14" s="1332"/>
      <c r="BO14" s="1332"/>
      <c r="BP14" s="1332"/>
      <c r="BQ14" s="1332"/>
      <c r="BR14" s="1332"/>
      <c r="BS14" s="108"/>
      <c r="BT14" s="108"/>
      <c r="BU14" s="108"/>
      <c r="BV14" s="108"/>
      <c r="BW14" s="108"/>
      <c r="BX14" s="108"/>
      <c r="BY14" s="108"/>
      <c r="BZ14" s="108"/>
      <c r="CA14" s="108"/>
      <c r="CB14" s="108"/>
      <c r="CC14" s="108"/>
      <c r="CQ14" s="108"/>
      <c r="CR14" s="108"/>
      <c r="CS14" s="108"/>
      <c r="CT14" s="108"/>
      <c r="CU14" s="108"/>
      <c r="CV14" s="108"/>
      <c r="CW14" s="108"/>
      <c r="CX14" s="108"/>
      <c r="CY14" s="108"/>
      <c r="CZ14" s="108"/>
      <c r="DA14" s="108"/>
      <c r="DB14" s="108"/>
      <c r="DC14" s="108"/>
      <c r="DD14" s="108"/>
      <c r="DJ14" s="276"/>
      <c r="DK14" s="276"/>
      <c r="DL14" s="276"/>
      <c r="DM14" s="276"/>
      <c r="DN14" s="276"/>
      <c r="DO14" s="276"/>
      <c r="DP14" s="276"/>
      <c r="DQ14" s="276"/>
      <c r="DR14" s="276"/>
      <c r="DS14" s="276"/>
      <c r="DT14" s="276"/>
      <c r="DU14" s="276"/>
      <c r="DV14" s="276"/>
      <c r="DW14" s="276"/>
      <c r="DX14" s="276"/>
      <c r="DY14" s="276"/>
      <c r="DZ14" s="276"/>
      <c r="EA14" s="276"/>
      <c r="EB14" s="276"/>
      <c r="EC14" s="276"/>
      <c r="ED14" s="276"/>
      <c r="EE14" s="276"/>
      <c r="EF14" s="276"/>
      <c r="EG14" s="276"/>
      <c r="EH14" s="276"/>
      <c r="EI14" s="276"/>
      <c r="EJ14" s="276"/>
      <c r="EK14" s="276"/>
      <c r="EL14" s="276"/>
      <c r="EM14" s="276"/>
      <c r="EN14" s="276"/>
      <c r="EO14" s="276"/>
      <c r="EP14" s="276"/>
      <c r="EQ14" s="276"/>
      <c r="ER14" s="276"/>
      <c r="ES14" s="276"/>
      <c r="ET14" s="276"/>
      <c r="EU14" s="276"/>
      <c r="EV14" s="276"/>
      <c r="EW14" s="276"/>
      <c r="EX14" s="276"/>
      <c r="EY14" s="276"/>
      <c r="EZ14" s="276"/>
      <c r="FA14" s="276"/>
      <c r="FB14" s="276"/>
      <c r="FC14" s="276"/>
      <c r="FD14" s="276"/>
      <c r="FE14" s="276"/>
      <c r="FF14" s="276"/>
      <c r="FG14" s="276"/>
      <c r="FH14" s="276"/>
      <c r="FI14" s="276"/>
      <c r="FJ14" s="276"/>
      <c r="FK14" s="276"/>
      <c r="FL14" s="276"/>
      <c r="FM14" s="276"/>
      <c r="FN14" s="276"/>
      <c r="FO14" s="276"/>
      <c r="FP14" s="276"/>
      <c r="FQ14" s="276"/>
    </row>
    <row r="15" spans="1:173" s="5" customFormat="1" ht="3" customHeight="1" x14ac:dyDescent="0.3">
      <c r="A15" s="745"/>
      <c r="B15" s="746"/>
      <c r="C15" s="1405"/>
      <c r="D15" s="1406"/>
      <c r="E15" s="1407"/>
      <c r="F15" s="1406"/>
      <c r="G15" s="1406"/>
      <c r="H15" s="1406"/>
      <c r="I15" s="1408"/>
      <c r="J15" s="745"/>
      <c r="K15" s="745"/>
      <c r="L15" s="749"/>
      <c r="M15" s="749"/>
      <c r="N15" s="749"/>
      <c r="O15" s="749"/>
      <c r="P15" s="749"/>
      <c r="Q15" s="749"/>
      <c r="R15" s="749"/>
      <c r="S15" s="749"/>
      <c r="T15" s="749"/>
      <c r="U15" s="749"/>
      <c r="V15" s="749"/>
      <c r="W15" s="749"/>
      <c r="X15" s="749"/>
      <c r="Y15" s="749"/>
      <c r="Z15" s="749"/>
      <c r="AA15" s="749"/>
      <c r="AB15" s="749"/>
      <c r="AC15" s="749"/>
      <c r="AD15" s="749"/>
      <c r="AE15" s="749"/>
      <c r="AF15" s="749"/>
      <c r="AG15" s="749"/>
      <c r="AH15" s="749"/>
      <c r="AI15" s="749"/>
      <c r="AJ15" s="749"/>
      <c r="AK15" s="749"/>
      <c r="AL15" s="749"/>
      <c r="AM15" s="4"/>
      <c r="AN15" s="4"/>
      <c r="AO15" s="4"/>
      <c r="AP15" s="4"/>
      <c r="CQ15" s="108"/>
      <c r="CR15" s="108"/>
      <c r="CS15" s="108"/>
      <c r="CT15" s="108"/>
      <c r="CU15" s="108"/>
      <c r="CV15" s="108"/>
      <c r="CW15" s="108"/>
      <c r="CX15" s="108"/>
      <c r="CY15" s="108"/>
      <c r="CZ15" s="108"/>
      <c r="DA15" s="108"/>
      <c r="DB15" s="108"/>
      <c r="DC15" s="108"/>
      <c r="DD15" s="108"/>
      <c r="DE15" s="276"/>
      <c r="DF15" s="276"/>
      <c r="DG15" s="276"/>
      <c r="DH15" s="276"/>
      <c r="DI15" s="276"/>
      <c r="DJ15" s="276"/>
      <c r="DK15" s="276"/>
      <c r="DL15" s="276"/>
      <c r="DM15" s="276"/>
      <c r="DN15" s="276"/>
      <c r="DO15" s="276"/>
      <c r="DP15" s="276"/>
      <c r="DQ15" s="276"/>
      <c r="DR15" s="276"/>
      <c r="DS15" s="276"/>
      <c r="DT15" s="276"/>
      <c r="DU15" s="276"/>
      <c r="DV15" s="276"/>
      <c r="DW15" s="276"/>
      <c r="DX15" s="276"/>
      <c r="DY15" s="276"/>
      <c r="DZ15" s="276"/>
      <c r="EA15" s="276"/>
      <c r="EB15" s="276"/>
      <c r="EC15" s="276"/>
      <c r="ED15" s="276"/>
      <c r="EE15" s="276"/>
      <c r="EF15" s="276"/>
      <c r="EG15" s="276"/>
      <c r="EH15" s="276"/>
      <c r="EI15" s="276"/>
      <c r="EJ15" s="276"/>
      <c r="EK15" s="276"/>
      <c r="EL15" s="276"/>
      <c r="EM15" s="276"/>
      <c r="EN15" s="276"/>
      <c r="EO15" s="276"/>
      <c r="EP15" s="276"/>
      <c r="EQ15" s="276"/>
      <c r="ER15" s="276"/>
      <c r="ES15" s="276"/>
      <c r="ET15" s="276"/>
      <c r="EU15" s="276"/>
      <c r="EV15" s="276"/>
      <c r="EW15" s="276"/>
      <c r="EX15" s="276"/>
      <c r="EY15" s="276"/>
      <c r="EZ15" s="276"/>
      <c r="FA15" s="276"/>
      <c r="FB15" s="276"/>
      <c r="FC15" s="276"/>
      <c r="FD15" s="276"/>
      <c r="FE15" s="276"/>
      <c r="FF15" s="276"/>
      <c r="FG15" s="276"/>
      <c r="FH15" s="276"/>
      <c r="FI15" s="276"/>
      <c r="FJ15" s="276"/>
      <c r="FK15" s="276"/>
      <c r="FL15" s="276"/>
      <c r="FM15" s="276"/>
      <c r="FN15" s="276"/>
      <c r="FO15" s="276"/>
      <c r="FP15" s="276"/>
      <c r="FQ15" s="276"/>
    </row>
    <row r="16" spans="1:173" s="5" customFormat="1" ht="18" hidden="1" customHeight="1" x14ac:dyDescent="0.3">
      <c r="A16" s="745"/>
      <c r="B16" s="1409"/>
      <c r="C16" s="1410"/>
      <c r="D16" s="1407"/>
      <c r="E16" s="1406"/>
      <c r="F16" s="1406"/>
      <c r="G16" s="1406"/>
      <c r="H16" s="1406"/>
      <c r="I16" s="1408"/>
      <c r="J16" s="745"/>
      <c r="K16" s="745"/>
      <c r="L16" s="749"/>
      <c r="M16" s="749"/>
      <c r="N16" s="749"/>
      <c r="O16" s="749"/>
      <c r="P16" s="749"/>
      <c r="Q16" s="749"/>
      <c r="R16" s="749"/>
      <c r="S16" s="749"/>
      <c r="T16" s="749"/>
      <c r="U16" s="749"/>
      <c r="V16" s="749"/>
      <c r="W16" s="749"/>
      <c r="X16" s="749"/>
      <c r="Y16" s="749"/>
      <c r="Z16" s="749"/>
      <c r="AA16" s="749"/>
      <c r="AB16" s="749"/>
      <c r="AC16" s="749"/>
      <c r="AD16" s="749"/>
      <c r="AE16" s="749"/>
      <c r="AF16" s="749"/>
      <c r="AG16" s="749"/>
      <c r="AH16" s="749"/>
      <c r="AI16" s="749"/>
      <c r="AJ16" s="749"/>
      <c r="AK16" s="749"/>
      <c r="AL16" s="749"/>
      <c r="AM16" s="4"/>
      <c r="AN16" s="4"/>
      <c r="AO16" s="4"/>
      <c r="AP16" s="4"/>
      <c r="CQ16" s="108"/>
      <c r="CR16" s="108"/>
      <c r="CS16" s="108"/>
      <c r="CT16" s="108"/>
      <c r="CU16" s="108"/>
      <c r="CV16" s="108"/>
      <c r="CW16" s="108"/>
      <c r="CX16" s="108"/>
      <c r="CY16" s="108"/>
      <c r="CZ16" s="108"/>
      <c r="DA16" s="108"/>
      <c r="DB16" s="108"/>
      <c r="DC16" s="108"/>
      <c r="DD16" s="108"/>
      <c r="DE16" s="276"/>
      <c r="DF16" s="276"/>
      <c r="DG16" s="276"/>
      <c r="DH16" s="276"/>
      <c r="DI16" s="276"/>
      <c r="DJ16" s="276"/>
      <c r="DK16" s="276"/>
      <c r="DL16" s="276"/>
      <c r="DM16" s="276"/>
      <c r="DN16" s="276"/>
      <c r="DO16" s="276"/>
      <c r="DP16" s="276"/>
      <c r="DQ16" s="276"/>
      <c r="DR16" s="276"/>
      <c r="DS16" s="276"/>
      <c r="DT16" s="276"/>
      <c r="DU16" s="276"/>
      <c r="DV16" s="276"/>
      <c r="DW16" s="276"/>
      <c r="DX16" s="276"/>
      <c r="DY16" s="276"/>
      <c r="DZ16" s="276"/>
      <c r="EA16" s="276"/>
      <c r="EB16" s="276"/>
      <c r="EC16" s="276"/>
      <c r="ED16" s="276"/>
      <c r="EE16" s="276"/>
      <c r="EF16" s="276"/>
      <c r="EG16" s="276"/>
      <c r="EH16" s="276"/>
      <c r="EI16" s="276"/>
      <c r="EJ16" s="276"/>
      <c r="EK16" s="276"/>
      <c r="EL16" s="276"/>
      <c r="EM16" s="276"/>
      <c r="EN16" s="276"/>
      <c r="EO16" s="276"/>
      <c r="EP16" s="276"/>
      <c r="EQ16" s="276"/>
      <c r="ER16" s="276"/>
      <c r="ES16" s="276"/>
      <c r="ET16" s="276"/>
      <c r="EU16" s="276"/>
      <c r="EV16" s="276"/>
      <c r="EW16" s="276"/>
      <c r="EX16" s="276"/>
      <c r="EY16" s="276"/>
      <c r="EZ16" s="276"/>
      <c r="FA16" s="276"/>
      <c r="FB16" s="276"/>
      <c r="FC16" s="276"/>
      <c r="FD16" s="276"/>
      <c r="FE16" s="276"/>
      <c r="FF16" s="276"/>
      <c r="FG16" s="276"/>
      <c r="FH16" s="276"/>
      <c r="FI16" s="276"/>
      <c r="FJ16" s="276"/>
      <c r="FK16" s="276"/>
      <c r="FL16" s="276"/>
      <c r="FM16" s="276"/>
      <c r="FN16" s="276"/>
      <c r="FO16" s="276"/>
      <c r="FP16" s="276"/>
      <c r="FQ16" s="276"/>
    </row>
    <row r="17" spans="1:173" s="5" customFormat="1" ht="18" customHeight="1" thickBot="1" x14ac:dyDescent="0.35">
      <c r="A17" s="1829"/>
      <c r="B17" s="1829" t="s">
        <v>84</v>
      </c>
      <c r="C17" s="16"/>
      <c r="D17" s="6"/>
      <c r="E17" s="7"/>
      <c r="F17" s="7"/>
      <c r="G17" s="7"/>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CQ17" s="108"/>
      <c r="CR17" s="108"/>
      <c r="CS17" s="108"/>
      <c r="CT17" s="108"/>
      <c r="CU17" s="108"/>
      <c r="CV17" s="108"/>
      <c r="CW17" s="108"/>
      <c r="CX17" s="108"/>
      <c r="CY17" s="108"/>
      <c r="CZ17" s="108"/>
      <c r="DA17" s="108"/>
      <c r="DB17" s="108"/>
      <c r="DC17" s="108"/>
      <c r="DD17" s="108"/>
      <c r="DE17" s="276"/>
      <c r="DF17" s="276"/>
      <c r="DG17" s="276"/>
      <c r="DH17" s="276"/>
      <c r="DI17" s="276"/>
      <c r="DJ17" s="276"/>
      <c r="DK17" s="276"/>
      <c r="DL17" s="276"/>
      <c r="DM17" s="276"/>
      <c r="DN17" s="276"/>
      <c r="DO17" s="276"/>
      <c r="DP17" s="276"/>
      <c r="DQ17" s="276"/>
      <c r="DR17" s="276"/>
      <c r="DS17" s="276"/>
      <c r="DT17" s="276"/>
      <c r="DU17" s="276"/>
      <c r="DV17" s="276"/>
      <c r="DW17" s="276"/>
      <c r="DX17" s="276"/>
      <c r="DY17" s="276"/>
      <c r="DZ17" s="276"/>
      <c r="EA17" s="276"/>
      <c r="EB17" s="276"/>
      <c r="EC17" s="276"/>
      <c r="ED17" s="276"/>
      <c r="EE17" s="276"/>
      <c r="EF17" s="276"/>
      <c r="EG17" s="276"/>
      <c r="EH17" s="276"/>
      <c r="EI17" s="276"/>
      <c r="EJ17" s="276"/>
      <c r="EK17" s="276"/>
      <c r="EL17" s="276"/>
      <c r="EM17" s="276"/>
      <c r="EN17" s="276"/>
      <c r="EO17" s="276"/>
      <c r="EP17" s="276"/>
      <c r="EQ17" s="276"/>
      <c r="ER17" s="276"/>
      <c r="ES17" s="276"/>
      <c r="ET17" s="276"/>
      <c r="EU17" s="276"/>
      <c r="EV17" s="276"/>
      <c r="EW17" s="276"/>
      <c r="EX17" s="276"/>
      <c r="EY17" s="276"/>
      <c r="EZ17" s="276"/>
      <c r="FA17" s="276"/>
      <c r="FB17" s="276"/>
      <c r="FC17" s="276"/>
      <c r="FD17" s="276"/>
      <c r="FE17" s="276"/>
      <c r="FF17" s="276"/>
      <c r="FG17" s="276"/>
      <c r="FH17" s="276"/>
      <c r="FI17" s="276"/>
      <c r="FJ17" s="276"/>
      <c r="FK17" s="276"/>
      <c r="FL17" s="276"/>
      <c r="FM17" s="276"/>
      <c r="FN17" s="276"/>
      <c r="FO17" s="276"/>
      <c r="FP17" s="276"/>
      <c r="FQ17" s="276"/>
    </row>
    <row r="18" spans="1:173" s="5" customFormat="1" ht="12" customHeight="1" thickBot="1" x14ac:dyDescent="0.35">
      <c r="A18" s="1829"/>
      <c r="B18" s="1829"/>
      <c r="C18" s="9" t="s">
        <v>85</v>
      </c>
      <c r="D18" s="1858" t="inlineStr">
        <is>
          <t>Alta Vista Coffee Roasters</t>
        </is>
      </c>
      <c r="E18" s="1859"/>
      <c r="F18" s="775"/>
      <c r="G18" s="7"/>
      <c r="M18" s="4"/>
      <c r="N18" s="4"/>
      <c r="O18" s="4"/>
      <c r="P18" s="4"/>
      <c r="Q18" s="4"/>
      <c r="R18" s="4"/>
      <c r="S18" s="4"/>
      <c r="T18" s="4"/>
      <c r="U18" s="4"/>
      <c r="V18" s="4"/>
      <c r="Z18" s="4"/>
      <c r="AA18" s="4"/>
      <c r="AB18" s="4"/>
      <c r="AC18" s="4"/>
      <c r="AD18" s="4"/>
      <c r="AE18" s="4"/>
      <c r="AF18" s="4"/>
      <c r="AG18" s="4"/>
      <c r="AH18" s="4"/>
      <c r="AI18" s="4"/>
      <c r="AJ18" s="4"/>
      <c r="AK18" s="4"/>
      <c r="AL18" s="4"/>
      <c r="AM18" s="4"/>
      <c r="AN18" s="4"/>
      <c r="AO18" s="4"/>
      <c r="AP18" s="4"/>
      <c r="CQ18" s="108"/>
      <c r="CR18" s="108"/>
      <c r="CS18" s="108"/>
      <c r="CT18" s="108"/>
      <c r="CU18" s="108"/>
      <c r="CV18" s="108"/>
      <c r="CW18" s="108"/>
      <c r="CX18" s="108"/>
      <c r="CY18" s="108"/>
      <c r="CZ18" s="108"/>
      <c r="DA18" s="108"/>
      <c r="DB18" s="108"/>
      <c r="DC18" s="108"/>
      <c r="DD18" s="108"/>
      <c r="DE18" s="276"/>
      <c r="DF18" s="276"/>
      <c r="DG18" s="276"/>
      <c r="DH18" s="276"/>
      <c r="DI18" s="276"/>
      <c r="DJ18" s="276"/>
      <c r="DK18" s="276"/>
      <c r="DL18" s="276"/>
      <c r="DM18" s="276"/>
      <c r="DN18" s="276"/>
      <c r="DO18" s="276"/>
      <c r="DP18" s="276"/>
      <c r="DQ18" s="276"/>
      <c r="DR18" s="276"/>
      <c r="DS18" s="276"/>
      <c r="DT18" s="276"/>
      <c r="DU18" s="276"/>
      <c r="DV18" s="276"/>
      <c r="DW18" s="276"/>
      <c r="DX18" s="276"/>
      <c r="DY18" s="276"/>
      <c r="DZ18" s="276"/>
      <c r="EA18" s="276"/>
      <c r="EB18" s="276"/>
      <c r="EC18" s="276"/>
      <c r="ED18" s="276"/>
      <c r="EE18" s="276"/>
      <c r="EF18" s="276"/>
      <c r="EG18" s="276"/>
      <c r="EH18" s="276"/>
      <c r="EI18" s="276"/>
      <c r="EJ18" s="276"/>
      <c r="EK18" s="276"/>
      <c r="EL18" s="276"/>
      <c r="EM18" s="276"/>
      <c r="EN18" s="276"/>
      <c r="EO18" s="276"/>
      <c r="EP18" s="276"/>
      <c r="EQ18" s="276"/>
      <c r="ER18" s="276"/>
      <c r="ES18" s="276"/>
      <c r="ET18" s="276"/>
      <c r="EU18" s="276"/>
      <c r="EV18" s="276"/>
      <c r="EW18" s="276"/>
      <c r="EX18" s="276"/>
      <c r="EY18" s="276"/>
      <c r="EZ18" s="276"/>
      <c r="FA18" s="276"/>
      <c r="FB18" s="276"/>
      <c r="FC18" s="276"/>
      <c r="FD18" s="276"/>
      <c r="FE18" s="276"/>
      <c r="FF18" s="276"/>
      <c r="FG18" s="276"/>
      <c r="FH18" s="276"/>
      <c r="FI18" s="276"/>
      <c r="FJ18" s="276"/>
      <c r="FK18" s="276"/>
      <c r="FL18" s="276"/>
      <c r="FM18" s="276"/>
      <c r="FN18" s="276"/>
      <c r="FO18" s="276"/>
      <c r="FP18" s="276"/>
      <c r="FQ18" s="276"/>
    </row>
    <row r="19" spans="1:173" s="5" customFormat="1" ht="12" customHeight="1" thickBot="1" x14ac:dyDescent="0.35">
      <c r="C19" s="8"/>
      <c r="D19" s="8"/>
      <c r="E19" s="8"/>
      <c r="M19" s="4"/>
      <c r="N19" s="4"/>
      <c r="Z19" s="4"/>
      <c r="AA19" s="4"/>
      <c r="AB19" s="745"/>
      <c r="AC19" s="745"/>
      <c r="AD19" s="745"/>
      <c r="AE19" s="745"/>
      <c r="AF19" s="745"/>
      <c r="AG19" s="745"/>
      <c r="AH19" s="745"/>
      <c r="AI19" s="4"/>
      <c r="AJ19" s="4"/>
      <c r="AK19" s="4"/>
      <c r="AL19" s="4"/>
      <c r="AM19" s="4"/>
      <c r="AN19" s="4"/>
      <c r="AO19" s="4"/>
      <c r="AP19" s="4"/>
      <c r="CQ19" s="108"/>
      <c r="CR19" s="108"/>
      <c r="CS19" s="108"/>
      <c r="CT19" s="108"/>
      <c r="CU19" s="108"/>
      <c r="CV19" s="108"/>
      <c r="CW19" s="108"/>
      <c r="CX19" s="108"/>
      <c r="CY19" s="108"/>
      <c r="CZ19" s="108"/>
      <c r="DA19" s="108"/>
      <c r="DB19" s="108"/>
      <c r="DC19" s="108"/>
      <c r="DD19" s="108"/>
      <c r="DE19" s="276"/>
      <c r="DF19" s="276"/>
      <c r="DG19" s="276"/>
      <c r="DH19" s="276"/>
      <c r="DI19" s="276"/>
      <c r="DJ19" s="276"/>
      <c r="DK19" s="276"/>
      <c r="DL19" s="276"/>
      <c r="DM19" s="276"/>
      <c r="DN19" s="276"/>
      <c r="DO19" s="276"/>
      <c r="DP19" s="276"/>
      <c r="DQ19" s="276"/>
      <c r="DR19" s="276"/>
      <c r="DS19" s="276"/>
      <c r="DT19" s="276"/>
      <c r="DU19" s="276"/>
      <c r="DV19" s="276"/>
      <c r="DW19" s="276"/>
      <c r="DX19" s="276"/>
      <c r="DY19" s="276"/>
      <c r="DZ19" s="276"/>
      <c r="EA19" s="276"/>
      <c r="EB19" s="276"/>
      <c r="EC19" s="276"/>
      <c r="ED19" s="276"/>
      <c r="EE19" s="276"/>
      <c r="EF19" s="276"/>
      <c r="EG19" s="276"/>
      <c r="EH19" s="276"/>
      <c r="EI19" s="276"/>
      <c r="EJ19" s="276"/>
      <c r="EK19" s="276"/>
      <c r="EL19" s="276"/>
      <c r="EM19" s="276"/>
      <c r="EN19" s="276"/>
      <c r="EO19" s="276"/>
      <c r="EP19" s="276"/>
      <c r="EQ19" s="276"/>
      <c r="ER19" s="276"/>
      <c r="ES19" s="276"/>
      <c r="ET19" s="276"/>
      <c r="EU19" s="276"/>
      <c r="EV19" s="276"/>
      <c r="EW19" s="276"/>
      <c r="EX19" s="276"/>
      <c r="EY19" s="276"/>
      <c r="EZ19" s="276"/>
      <c r="FA19" s="276"/>
      <c r="FB19" s="276"/>
      <c r="FC19" s="276"/>
      <c r="FD19" s="276"/>
      <c r="FE19" s="276"/>
      <c r="FF19" s="276"/>
      <c r="FG19" s="276"/>
      <c r="FH19" s="276"/>
      <c r="FI19" s="276"/>
      <c r="FJ19" s="276"/>
      <c r="FK19" s="276"/>
      <c r="FL19" s="276"/>
      <c r="FM19" s="276"/>
      <c r="FN19" s="276"/>
      <c r="FO19" s="276"/>
      <c r="FP19" s="276"/>
      <c r="FQ19" s="276"/>
    </row>
    <row r="20" spans="1:173" s="5" customFormat="1" ht="12" customHeight="1" thickBot="1" x14ac:dyDescent="0.35">
      <c r="C20" s="9" t="s">
        <v>86</v>
      </c>
      <c r="D20" s="1340">
        <v>46418</v>
      </c>
      <c r="E20" s="8"/>
      <c r="L20" s="4"/>
      <c r="M20" s="4"/>
      <c r="N20" s="4"/>
      <c r="Z20" s="4"/>
      <c r="AA20" s="4"/>
      <c r="AB20" s="745"/>
      <c r="AC20" s="745"/>
      <c r="AD20" s="745"/>
      <c r="AE20" s="745"/>
      <c r="AF20" s="745"/>
      <c r="AG20" s="745"/>
      <c r="AH20" s="745"/>
      <c r="AI20" s="4"/>
      <c r="AJ20" s="4"/>
      <c r="AK20" s="4"/>
      <c r="AL20" s="4"/>
      <c r="AM20" s="4"/>
      <c r="AN20" s="4"/>
      <c r="AO20" s="4"/>
      <c r="AP20" s="4"/>
      <c r="CQ20" s="108"/>
      <c r="CR20" s="108" t="s">
        <v>87</v>
      </c>
      <c r="CS20" s="108"/>
      <c r="CT20" s="108"/>
      <c r="CU20" s="108"/>
      <c r="CV20" s="108"/>
      <c r="CW20" s="108"/>
      <c r="CX20" s="108"/>
      <c r="CY20" s="108"/>
      <c r="CZ20" s="108"/>
      <c r="DA20" s="108"/>
      <c r="DB20" s="108"/>
      <c r="DC20" s="108"/>
      <c r="DD20" s="108"/>
      <c r="DE20" s="276"/>
      <c r="DF20" s="276"/>
      <c r="DG20" s="276"/>
      <c r="DH20" s="276"/>
      <c r="DI20" s="276"/>
      <c r="DJ20" s="276"/>
      <c r="DK20" s="276"/>
      <c r="DL20" s="276"/>
      <c r="DM20" s="276"/>
      <c r="DN20" s="276"/>
      <c r="DO20" s="276"/>
      <c r="DP20" s="276"/>
      <c r="DQ20" s="276"/>
      <c r="DR20" s="276"/>
      <c r="DS20" s="276"/>
      <c r="DT20" s="276"/>
      <c r="DU20" s="276"/>
      <c r="DV20" s="276"/>
      <c r="DW20" s="276"/>
      <c r="DX20" s="276"/>
      <c r="DY20" s="276"/>
      <c r="DZ20" s="276"/>
      <c r="EA20" s="276"/>
      <c r="EB20" s="276"/>
      <c r="EC20" s="276"/>
      <c r="ED20" s="276"/>
      <c r="EE20" s="276"/>
      <c r="EF20" s="276"/>
      <c r="EG20" s="276"/>
      <c r="EH20" s="276"/>
      <c r="EI20" s="276"/>
      <c r="EJ20" s="276"/>
      <c r="EK20" s="276"/>
      <c r="EL20" s="276"/>
      <c r="EM20" s="276"/>
      <c r="EN20" s="276"/>
      <c r="EO20" s="276"/>
      <c r="EP20" s="276"/>
      <c r="EQ20" s="276"/>
      <c r="ER20" s="276"/>
      <c r="ES20" s="276"/>
      <c r="ET20" s="276"/>
      <c r="EU20" s="276"/>
      <c r="EV20" s="276"/>
      <c r="EW20" s="276"/>
      <c r="EX20" s="276"/>
      <c r="EY20" s="276"/>
      <c r="EZ20" s="276"/>
      <c r="FA20" s="276"/>
      <c r="FB20" s="276"/>
      <c r="FC20" s="276"/>
      <c r="FD20" s="276"/>
      <c r="FE20" s="276"/>
      <c r="FF20" s="276"/>
      <c r="FG20" s="276"/>
      <c r="FH20" s="276"/>
      <c r="FI20" s="276"/>
      <c r="FJ20" s="276"/>
      <c r="FK20" s="276"/>
      <c r="FL20" s="276"/>
      <c r="FM20" s="276"/>
      <c r="FN20" s="276"/>
      <c r="FO20" s="276"/>
      <c r="FP20" s="276"/>
      <c r="FQ20" s="276"/>
    </row>
    <row r="21" spans="1:173" s="5" customFormat="1" ht="12" customHeight="1" x14ac:dyDescent="0.3">
      <c r="E21" s="8"/>
      <c r="L21" s="4"/>
      <c r="M21" s="4"/>
      <c r="N21" s="4"/>
      <c r="Z21" s="4"/>
      <c r="AA21" s="4"/>
      <c r="AC21" s="745"/>
      <c r="AD21" s="8"/>
      <c r="AE21" s="1037" t="str">
        <f>IF(OR(Infrastructure!AL45&gt;0,D20="",AD21="",AC23&lt;&gt;""),"",IF(Infrastructure!W128&lt;&gt;"","   "&amp;Infrastructure!Y18,""))</f>
        <v/>
      </c>
      <c r="AF21" s="745"/>
      <c r="AG21" s="745"/>
      <c r="AH21" s="745"/>
      <c r="AI21" s="4"/>
      <c r="AJ21" s="4"/>
      <c r="AK21" s="4"/>
      <c r="AL21" s="4"/>
      <c r="AM21" s="4"/>
      <c r="AN21" s="4"/>
      <c r="AO21" s="4"/>
      <c r="AP21" s="4"/>
      <c r="CQ21" s="108"/>
      <c r="CR21" s="108"/>
      <c r="CS21" s="108"/>
      <c r="CT21" s="108"/>
      <c r="CU21" s="108"/>
      <c r="CV21" s="108"/>
      <c r="CW21" s="108"/>
      <c r="CX21" s="108"/>
      <c r="CY21" s="108"/>
      <c r="CZ21" s="108"/>
      <c r="DA21" s="108"/>
      <c r="DB21" s="108"/>
      <c r="DC21" s="108"/>
      <c r="DD21" s="108"/>
      <c r="DE21" s="276"/>
      <c r="DF21" s="276"/>
      <c r="DG21" s="276"/>
      <c r="DH21" s="276"/>
      <c r="DI21" s="276"/>
      <c r="DJ21" s="276"/>
      <c r="DK21" s="276"/>
      <c r="DL21" s="276"/>
      <c r="DM21" s="276"/>
      <c r="DN21" s="276"/>
      <c r="DO21" s="276"/>
      <c r="DP21" s="276"/>
      <c r="DQ21" s="276"/>
      <c r="DR21" s="276"/>
      <c r="DS21" s="276"/>
      <c r="DT21" s="276"/>
      <c r="DU21" s="276"/>
      <c r="DV21" s="276"/>
      <c r="DW21" s="276"/>
      <c r="DX21" s="276"/>
      <c r="DY21" s="276"/>
      <c r="DZ21" s="276"/>
      <c r="EA21" s="276"/>
      <c r="EB21" s="276"/>
      <c r="EC21" s="276"/>
      <c r="ED21" s="276"/>
      <c r="EE21" s="276"/>
      <c r="EF21" s="276"/>
      <c r="EG21" s="276"/>
      <c r="EH21" s="276"/>
      <c r="EI21" s="276"/>
      <c r="EJ21" s="276"/>
      <c r="EK21" s="276"/>
      <c r="EL21" s="276"/>
      <c r="EM21" s="276"/>
      <c r="EN21" s="276"/>
      <c r="EO21" s="276"/>
      <c r="EP21" s="276"/>
      <c r="EQ21" s="276"/>
      <c r="ER21" s="276"/>
      <c r="ES21" s="276"/>
      <c r="ET21" s="276"/>
      <c r="EU21" s="276"/>
      <c r="EV21" s="276"/>
      <c r="EW21" s="276"/>
      <c r="EX21" s="276"/>
      <c r="EY21" s="276"/>
      <c r="EZ21" s="276"/>
      <c r="FA21" s="276"/>
      <c r="FB21" s="276"/>
      <c r="FC21" s="276"/>
      <c r="FD21" s="276"/>
      <c r="FE21" s="276"/>
      <c r="FF21" s="276"/>
      <c r="FG21" s="276"/>
      <c r="FH21" s="276"/>
      <c r="FI21" s="276"/>
      <c r="FJ21" s="276"/>
      <c r="FK21" s="276"/>
      <c r="FL21" s="276"/>
      <c r="FM21" s="276"/>
      <c r="FN21" s="276"/>
      <c r="FO21" s="276"/>
      <c r="FP21" s="276"/>
      <c r="FQ21" s="276"/>
    </row>
    <row r="22" spans="1:173" s="5" customFormat="1" ht="12" customHeight="1" x14ac:dyDescent="0.3">
      <c r="L22" s="4"/>
      <c r="M22" s="4"/>
      <c r="N22" s="4"/>
      <c r="Z22" s="4"/>
      <c r="AA22" s="4"/>
      <c r="AC22" s="745"/>
      <c r="AD22" s="8"/>
      <c r="AE22" s="806"/>
      <c r="AF22" s="745"/>
      <c r="AG22" s="745"/>
      <c r="AH22" s="745"/>
      <c r="AI22" s="4"/>
      <c r="AJ22" s="4"/>
      <c r="AK22" s="4"/>
      <c r="AL22" s="4"/>
      <c r="AM22" s="4"/>
      <c r="AN22" s="4"/>
      <c r="AO22" s="4"/>
      <c r="AP22" s="4"/>
      <c r="CQ22" s="108"/>
      <c r="CR22" s="108"/>
      <c r="CS22" s="108"/>
      <c r="CT22" s="108"/>
      <c r="CU22" s="108"/>
      <c r="CV22" s="108"/>
      <c r="CW22" s="108"/>
      <c r="CX22" s="108"/>
      <c r="CY22" s="108"/>
      <c r="CZ22" s="108"/>
      <c r="DA22" s="108"/>
      <c r="DB22" s="108"/>
      <c r="DC22" s="108"/>
      <c r="DD22" s="108"/>
      <c r="DE22" s="276"/>
      <c r="DF22" s="276"/>
      <c r="DG22" s="276"/>
      <c r="DH22" s="276"/>
      <c r="DI22" s="276"/>
      <c r="DJ22" s="276"/>
      <c r="DK22" s="276"/>
      <c r="DL22" s="276"/>
      <c r="DM22" s="276"/>
      <c r="DN22" s="276"/>
      <c r="DO22" s="276"/>
      <c r="DP22" s="276"/>
      <c r="DQ22" s="276"/>
      <c r="DR22" s="276"/>
      <c r="DS22" s="276"/>
      <c r="DT22" s="276"/>
      <c r="DU22" s="276"/>
      <c r="DV22" s="276"/>
      <c r="DW22" s="276"/>
      <c r="DX22" s="276"/>
      <c r="DY22" s="276"/>
      <c r="DZ22" s="276"/>
      <c r="EA22" s="276"/>
      <c r="EB22" s="276"/>
      <c r="EC22" s="276"/>
      <c r="ED22" s="276"/>
      <c r="EE22" s="276"/>
      <c r="EF22" s="276"/>
      <c r="EG22" s="276"/>
      <c r="EH22" s="276"/>
      <c r="EI22" s="276"/>
      <c r="EJ22" s="276"/>
      <c r="EK22" s="276"/>
      <c r="EL22" s="276"/>
      <c r="EM22" s="276"/>
      <c r="EN22" s="276"/>
      <c r="EO22" s="276"/>
      <c r="EP22" s="276"/>
      <c r="EQ22" s="276"/>
      <c r="ER22" s="276"/>
      <c r="ES22" s="276"/>
      <c r="ET22" s="276"/>
      <c r="EU22" s="276"/>
      <c r="EV22" s="276"/>
      <c r="EW22" s="276"/>
      <c r="EX22" s="276"/>
      <c r="EY22" s="276"/>
      <c r="EZ22" s="276"/>
      <c r="FA22" s="276"/>
      <c r="FB22" s="276"/>
      <c r="FC22" s="276"/>
      <c r="FD22" s="276"/>
      <c r="FE22" s="276"/>
      <c r="FF22" s="276"/>
      <c r="FG22" s="276"/>
      <c r="FH22" s="276"/>
      <c r="FI22" s="276"/>
      <c r="FJ22" s="276"/>
      <c r="FK22" s="276"/>
      <c r="FL22" s="276"/>
      <c r="FM22" s="276"/>
      <c r="FN22" s="276"/>
      <c r="FO22" s="276"/>
      <c r="FP22" s="276"/>
      <c r="FQ22" s="276"/>
    </row>
    <row r="23" spans="1:173" s="5" customFormat="1" ht="12" customHeight="1" thickBot="1" x14ac:dyDescent="0.35">
      <c r="E23" s="1341" t="s">
        <v>88</v>
      </c>
      <c r="F23" s="1342" t="s">
        <v>89</v>
      </c>
      <c r="H23" s="745"/>
      <c r="L23" s="4"/>
      <c r="M23" s="4"/>
      <c r="N23" s="4"/>
      <c r="Z23" s="4"/>
      <c r="AA23" s="4"/>
      <c r="AC23" s="745"/>
      <c r="AF23" s="745"/>
      <c r="AG23" s="745"/>
      <c r="AH23" s="745"/>
      <c r="AI23" s="4"/>
      <c r="AJ23" s="4"/>
      <c r="AK23" s="4"/>
      <c r="AL23" s="4"/>
      <c r="AM23" s="4"/>
      <c r="AN23" s="4"/>
      <c r="AO23" s="4"/>
      <c r="AP23" s="4"/>
      <c r="CQ23" s="108"/>
      <c r="CR23" s="1370"/>
      <c r="CS23" s="108"/>
      <c r="CT23" s="108"/>
      <c r="CU23" s="108"/>
      <c r="CV23" s="108"/>
      <c r="CW23" s="108"/>
      <c r="CX23" s="108"/>
      <c r="CY23" s="108"/>
      <c r="CZ23" s="108"/>
      <c r="DA23" s="108"/>
      <c r="DB23" s="108"/>
      <c r="DC23" s="108"/>
      <c r="DD23" s="108"/>
      <c r="DE23" s="276"/>
      <c r="DF23" s="276"/>
      <c r="DG23" s="276"/>
      <c r="DH23" s="276"/>
      <c r="DI23" s="276"/>
      <c r="DJ23" s="276"/>
      <c r="DK23" s="276"/>
      <c r="DL23" s="276"/>
      <c r="DM23" s="276"/>
      <c r="DN23" s="276"/>
      <c r="DO23" s="276"/>
      <c r="DP23" s="276"/>
      <c r="DQ23" s="276"/>
      <c r="DR23" s="276"/>
      <c r="DS23" s="276"/>
      <c r="DT23" s="276"/>
      <c r="DU23" s="276"/>
      <c r="DV23" s="276"/>
      <c r="DW23" s="276"/>
      <c r="DX23" s="276"/>
      <c r="DY23" s="276"/>
      <c r="DZ23" s="276"/>
      <c r="EA23" s="276"/>
      <c r="EB23" s="276"/>
      <c r="EC23" s="276"/>
      <c r="ED23" s="276"/>
      <c r="EE23" s="276"/>
      <c r="EF23" s="276"/>
      <c r="EG23" s="276"/>
      <c r="EH23" s="276"/>
      <c r="EI23" s="276"/>
      <c r="EJ23" s="276"/>
      <c r="EK23" s="276"/>
      <c r="EL23" s="276"/>
      <c r="EM23" s="276"/>
      <c r="EN23" s="276"/>
      <c r="EO23" s="276"/>
      <c r="EP23" s="276"/>
      <c r="EQ23" s="276"/>
      <c r="ER23" s="276"/>
      <c r="ES23" s="276"/>
      <c r="ET23" s="276"/>
      <c r="EU23" s="276"/>
      <c r="EV23" s="276"/>
      <c r="EW23" s="276"/>
      <c r="EX23" s="276"/>
      <c r="EY23" s="276"/>
      <c r="EZ23" s="276"/>
      <c r="FA23" s="276"/>
      <c r="FB23" s="276"/>
      <c r="FC23" s="276"/>
      <c r="FD23" s="276"/>
      <c r="FE23" s="276"/>
      <c r="FF23" s="276"/>
      <c r="FG23" s="276"/>
      <c r="FH23" s="276"/>
      <c r="FI23" s="276"/>
      <c r="FJ23" s="276"/>
      <c r="FK23" s="276"/>
      <c r="FL23" s="276"/>
      <c r="FM23" s="276"/>
      <c r="FN23" s="276"/>
      <c r="FO23" s="276"/>
      <c r="FP23" s="276"/>
      <c r="FQ23" s="276"/>
    </row>
    <row r="24" spans="1:173" s="5" customFormat="1" ht="12" customHeight="1" thickBot="1" x14ac:dyDescent="0.35">
      <c r="E24" s="1338">
        <v>0.21</v>
      </c>
      <c r="F24" s="1339">
        <v>0.05</v>
      </c>
      <c r="H24" s="745"/>
      <c r="L24" s="4"/>
      <c r="M24" s="1374"/>
      <c r="N24" s="4"/>
      <c r="Z24" s="4"/>
      <c r="AA24" s="4"/>
      <c r="AC24" s="745"/>
      <c r="AD24" s="745"/>
      <c r="AE24" s="745"/>
      <c r="AF24" s="745"/>
      <c r="AG24" s="745"/>
      <c r="AH24" s="745"/>
      <c r="AI24" s="4"/>
      <c r="AJ24" s="4"/>
      <c r="AK24" s="4"/>
      <c r="AL24" s="4"/>
      <c r="AM24" s="4"/>
      <c r="AN24" s="4"/>
      <c r="AO24" s="4"/>
      <c r="AP24" s="4"/>
      <c r="CR24" s="1357"/>
      <c r="CY24" s="276"/>
      <c r="CZ24" s="276"/>
      <c r="DA24" s="276"/>
      <c r="DB24" s="276"/>
      <c r="DC24" s="276"/>
      <c r="DD24" s="276"/>
      <c r="DE24" s="276"/>
      <c r="DF24" s="276"/>
      <c r="DG24" s="276"/>
      <c r="DH24" s="276"/>
      <c r="DI24" s="276"/>
      <c r="DJ24" s="276"/>
      <c r="DK24" s="276"/>
      <c r="DL24" s="276"/>
      <c r="DM24" s="276"/>
      <c r="DN24" s="276"/>
      <c r="DO24" s="276"/>
      <c r="DP24" s="276"/>
      <c r="DQ24" s="276"/>
      <c r="DR24" s="276"/>
      <c r="DS24" s="276"/>
      <c r="DT24" s="276"/>
      <c r="DU24" s="276"/>
      <c r="DV24" s="276"/>
      <c r="DW24" s="276"/>
      <c r="DX24" s="276"/>
      <c r="DY24" s="276"/>
      <c r="DZ24" s="276"/>
      <c r="EA24" s="276"/>
      <c r="EB24" s="276"/>
      <c r="EC24" s="276"/>
      <c r="ED24" s="276"/>
      <c r="EE24" s="276"/>
      <c r="EF24" s="276"/>
      <c r="EG24" s="276"/>
      <c r="EH24" s="276"/>
      <c r="EI24" s="276"/>
      <c r="EJ24" s="276"/>
      <c r="EK24" s="276"/>
      <c r="EL24" s="276"/>
      <c r="EM24" s="276"/>
      <c r="EN24" s="276"/>
      <c r="EO24" s="276"/>
      <c r="EP24" s="276"/>
      <c r="EQ24" s="276"/>
      <c r="ER24" s="276"/>
      <c r="ES24" s="276"/>
      <c r="ET24" s="276"/>
      <c r="EU24" s="276"/>
      <c r="EV24" s="276"/>
      <c r="EW24" s="276"/>
      <c r="EX24" s="276"/>
      <c r="EY24" s="276"/>
      <c r="EZ24" s="276"/>
      <c r="FA24" s="276"/>
      <c r="FB24" s="276"/>
      <c r="FC24" s="276"/>
      <c r="FD24" s="276"/>
      <c r="FE24" s="276"/>
      <c r="FF24" s="276"/>
      <c r="FG24" s="276"/>
      <c r="FH24" s="276"/>
      <c r="FI24" s="276"/>
      <c r="FJ24" s="276"/>
      <c r="FK24" s="276"/>
      <c r="FL24" s="276"/>
      <c r="FM24" s="276"/>
      <c r="FN24" s="276"/>
      <c r="FO24" s="276"/>
      <c r="FP24" s="276"/>
      <c r="FQ24" s="276"/>
    </row>
    <row r="25" spans="1:173" s="5" customFormat="1" ht="12" customHeight="1" x14ac:dyDescent="0.3">
      <c r="E25" s="8"/>
      <c r="F25" s="1039"/>
      <c r="G25" s="745"/>
      <c r="H25" s="745"/>
      <c r="L25" s="4"/>
      <c r="M25" s="4"/>
      <c r="N25" s="4"/>
      <c r="P25" s="4"/>
      <c r="Q25" s="4"/>
      <c r="R25" s="4"/>
      <c r="S25" s="4"/>
      <c r="T25" s="4"/>
      <c r="U25" s="4"/>
      <c r="V25" s="4"/>
      <c r="W25" s="4"/>
      <c r="X25" s="4"/>
      <c r="Y25" s="4"/>
      <c r="Z25" s="4"/>
      <c r="AA25" s="4"/>
      <c r="AC25" s="745"/>
      <c r="AD25" s="745"/>
      <c r="AE25" s="745"/>
      <c r="AF25" s="745"/>
      <c r="AG25" s="745"/>
      <c r="AH25" s="745"/>
      <c r="AI25" s="4"/>
      <c r="AJ25" s="4"/>
      <c r="AK25" s="4"/>
      <c r="AL25" s="4"/>
      <c r="AM25" s="4"/>
      <c r="AN25" s="4"/>
      <c r="AO25" s="4"/>
      <c r="AP25" s="4"/>
      <c r="CY25" s="276"/>
      <c r="CZ25" s="276"/>
      <c r="DA25" s="276"/>
      <c r="DB25" s="276"/>
      <c r="DC25" s="276"/>
      <c r="DD25" s="276"/>
      <c r="DE25" s="276"/>
      <c r="DF25" s="276"/>
      <c r="DG25" s="276"/>
      <c r="DH25" s="276"/>
      <c r="DI25" s="276"/>
      <c r="DJ25" s="276"/>
      <c r="DK25" s="276"/>
      <c r="DL25" s="276"/>
      <c r="DM25" s="276"/>
      <c r="DN25" s="276"/>
      <c r="DO25" s="276"/>
      <c r="DP25" s="276"/>
      <c r="DQ25" s="276"/>
      <c r="DR25" s="276"/>
      <c r="DS25" s="276"/>
      <c r="DT25" s="276"/>
      <c r="DU25" s="276"/>
      <c r="DV25" s="276"/>
      <c r="DW25" s="276"/>
      <c r="DX25" s="276"/>
      <c r="DY25" s="276"/>
      <c r="DZ25" s="276"/>
      <c r="EA25" s="276"/>
      <c r="EB25" s="276"/>
      <c r="EC25" s="276"/>
      <c r="ED25" s="276"/>
      <c r="EE25" s="276"/>
      <c r="EF25" s="276"/>
      <c r="EG25" s="276"/>
      <c r="EH25" s="276"/>
      <c r="EI25" s="276"/>
      <c r="EJ25" s="276"/>
      <c r="EK25" s="276"/>
      <c r="EL25" s="276"/>
      <c r="EM25" s="276"/>
      <c r="EN25" s="276"/>
      <c r="EO25" s="276"/>
      <c r="EP25" s="276"/>
      <c r="EQ25" s="276"/>
      <c r="ER25" s="276"/>
      <c r="ES25" s="276"/>
      <c r="ET25" s="276"/>
      <c r="EU25" s="276"/>
      <c r="EV25" s="276"/>
      <c r="EW25" s="276"/>
      <c r="EX25" s="276"/>
      <c r="EY25" s="276"/>
      <c r="EZ25" s="276"/>
      <c r="FA25" s="276"/>
      <c r="FB25" s="276"/>
      <c r="FC25" s="276"/>
      <c r="FD25" s="276"/>
      <c r="FE25" s="276"/>
      <c r="FF25" s="276"/>
      <c r="FG25" s="276"/>
      <c r="FH25" s="276"/>
      <c r="FI25" s="276"/>
      <c r="FJ25" s="276"/>
      <c r="FK25" s="276"/>
      <c r="FL25" s="276"/>
      <c r="FM25" s="276"/>
      <c r="FN25" s="276"/>
      <c r="FO25" s="276"/>
      <c r="FP25" s="276"/>
      <c r="FQ25" s="276"/>
    </row>
    <row r="26" spans="1:173" s="5" customFormat="1" ht="12" customHeight="1" x14ac:dyDescent="0.3">
      <c r="E26" s="8"/>
      <c r="F26" s="1256"/>
      <c r="G26" s="745"/>
      <c r="H26" s="745"/>
      <c r="L26" s="4"/>
      <c r="M26" s="4"/>
      <c r="N26" s="4"/>
      <c r="O26" s="4"/>
      <c r="P26" s="4"/>
      <c r="Q26" s="4"/>
      <c r="R26" s="498"/>
      <c r="S26" s="4"/>
      <c r="T26" s="4"/>
      <c r="U26" s="4"/>
      <c r="V26" s="4"/>
      <c r="W26" s="4"/>
      <c r="X26" s="4"/>
      <c r="Y26" s="4"/>
      <c r="Z26" s="4"/>
      <c r="AA26" s="4"/>
      <c r="AC26" s="4"/>
      <c r="AD26" s="4"/>
      <c r="AE26" s="4"/>
      <c r="AF26" s="4"/>
      <c r="AG26" s="4"/>
      <c r="AH26" s="4"/>
      <c r="AI26" s="4"/>
      <c r="AJ26" s="4"/>
      <c r="AK26" s="4"/>
      <c r="AL26" s="4"/>
      <c r="AM26" s="4"/>
      <c r="AN26" s="4"/>
      <c r="AO26" s="4"/>
      <c r="AP26" s="4"/>
      <c r="CY26" s="276"/>
      <c r="CZ26" s="276"/>
      <c r="DA26" s="276"/>
      <c r="DB26" s="276"/>
      <c r="DC26" s="276"/>
      <c r="DD26" s="276"/>
      <c r="DE26" s="276"/>
      <c r="DF26" s="276"/>
      <c r="DG26" s="276"/>
      <c r="DH26" s="276"/>
      <c r="DI26" s="276"/>
      <c r="DJ26" s="276"/>
      <c r="DK26" s="276"/>
      <c r="DL26" s="276"/>
      <c r="DM26" s="276"/>
      <c r="DN26" s="276"/>
      <c r="DO26" s="276"/>
      <c r="DP26" s="276"/>
      <c r="DQ26" s="276"/>
      <c r="DR26" s="276"/>
      <c r="DS26" s="276"/>
      <c r="DT26" s="276"/>
      <c r="DU26" s="276"/>
      <c r="DV26" s="276"/>
      <c r="DW26" s="276"/>
      <c r="DX26" s="276"/>
      <c r="DY26" s="276"/>
      <c r="DZ26" s="276"/>
      <c r="EA26" s="276"/>
      <c r="EB26" s="276"/>
      <c r="EC26" s="276"/>
      <c r="ED26" s="276"/>
      <c r="EE26" s="276"/>
      <c r="EF26" s="276"/>
      <c r="EG26" s="276"/>
      <c r="EH26" s="276"/>
      <c r="EI26" s="276"/>
      <c r="EJ26" s="276"/>
      <c r="EK26" s="276"/>
      <c r="EL26" s="276"/>
      <c r="EM26" s="276"/>
      <c r="EN26" s="276"/>
      <c r="EO26" s="276"/>
      <c r="EP26" s="276"/>
      <c r="EQ26" s="276"/>
      <c r="ER26" s="276"/>
      <c r="ES26" s="276"/>
      <c r="ET26" s="276"/>
      <c r="EU26" s="276"/>
      <c r="EV26" s="276"/>
      <c r="EW26" s="276"/>
      <c r="EX26" s="276"/>
      <c r="EY26" s="276"/>
      <c r="EZ26" s="276"/>
      <c r="FA26" s="276"/>
      <c r="FB26" s="276"/>
      <c r="FC26" s="276"/>
      <c r="FD26" s="276"/>
      <c r="FE26" s="276"/>
      <c r="FF26" s="276"/>
      <c r="FG26" s="276"/>
      <c r="FH26" s="276"/>
      <c r="FI26" s="276"/>
      <c r="FJ26" s="276"/>
      <c r="FK26" s="276"/>
      <c r="FL26" s="276"/>
      <c r="FM26" s="276"/>
      <c r="FN26" s="276"/>
      <c r="FO26" s="276"/>
      <c r="FP26" s="276"/>
      <c r="FQ26" s="276"/>
    </row>
    <row r="27" spans="1:173" s="5" customFormat="1" ht="12" customHeight="1" x14ac:dyDescent="0.3">
      <c r="A27" s="1829"/>
      <c r="B27" s="1829" t="s">
        <v>0</v>
      </c>
      <c r="C27" s="16"/>
      <c r="D27" s="6"/>
      <c r="E27" s="7"/>
      <c r="F27" s="806"/>
      <c r="G27" s="806"/>
      <c r="H27" s="806"/>
      <c r="I27" s="7"/>
      <c r="J27" s="5" t="s">
        <v>90</v>
      </c>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CY27" s="276"/>
      <c r="CZ27" s="276"/>
      <c r="DA27" s="276"/>
      <c r="DB27" s="276"/>
      <c r="DC27" s="276"/>
      <c r="DD27" s="276"/>
      <c r="DE27" s="276"/>
      <c r="DF27" s="276"/>
      <c r="DG27" s="276"/>
      <c r="DH27" s="276"/>
      <c r="DI27" s="276"/>
      <c r="DJ27" s="276"/>
      <c r="DK27" s="276"/>
      <c r="DL27" s="276"/>
      <c r="DM27" s="276"/>
      <c r="DN27" s="276"/>
      <c r="DO27" s="276"/>
      <c r="DP27" s="276"/>
      <c r="DQ27" s="276"/>
      <c r="DR27" s="276"/>
      <c r="DS27" s="276"/>
      <c r="DT27" s="276"/>
      <c r="DU27" s="276"/>
      <c r="DV27" s="276"/>
      <c r="DW27" s="276"/>
      <c r="DX27" s="276"/>
      <c r="DY27" s="276"/>
      <c r="DZ27" s="276"/>
      <c r="EA27" s="276"/>
      <c r="EB27" s="276"/>
      <c r="EC27" s="276"/>
      <c r="ED27" s="276"/>
      <c r="EE27" s="276"/>
      <c r="EF27" s="276"/>
      <c r="EG27" s="276"/>
      <c r="EH27" s="276"/>
      <c r="EI27" s="276"/>
      <c r="EJ27" s="276"/>
      <c r="EK27" s="276"/>
      <c r="EL27" s="276"/>
      <c r="EM27" s="276"/>
      <c r="EN27" s="276"/>
      <c r="EO27" s="276"/>
      <c r="EP27" s="276"/>
      <c r="EQ27" s="276"/>
      <c r="ER27" s="276"/>
      <c r="ES27" s="276"/>
      <c r="ET27" s="276"/>
      <c r="EU27" s="276"/>
      <c r="EV27" s="276"/>
      <c r="EW27" s="276"/>
      <c r="EX27" s="276"/>
      <c r="EY27" s="276"/>
      <c r="EZ27" s="276"/>
      <c r="FA27" s="276"/>
      <c r="FB27" s="276"/>
      <c r="FC27" s="276"/>
      <c r="FD27" s="276"/>
      <c r="FE27" s="276"/>
      <c r="FF27" s="276"/>
      <c r="FG27" s="276"/>
      <c r="FH27" s="276"/>
      <c r="FI27" s="276"/>
      <c r="FJ27" s="276"/>
      <c r="FK27" s="276"/>
      <c r="FL27" s="276"/>
      <c r="FM27" s="276"/>
      <c r="FN27" s="276"/>
      <c r="FO27" s="276"/>
      <c r="FP27" s="276"/>
      <c r="FQ27" s="276"/>
    </row>
    <row r="28" spans="1:173" s="5" customFormat="1" ht="5.15" customHeight="1" x14ac:dyDescent="0.3">
      <c r="A28" s="1829"/>
      <c r="B28" s="1829"/>
      <c r="C28" s="16"/>
      <c r="D28" s="6"/>
      <c r="E28" s="7"/>
      <c r="F28" s="806"/>
      <c r="G28" s="806"/>
      <c r="H28" s="806"/>
      <c r="I28" s="7"/>
      <c r="L28" s="207"/>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CY28" s="276"/>
      <c r="CZ28" s="276"/>
      <c r="DA28" s="276"/>
      <c r="DB28" s="276"/>
      <c r="DC28" s="276"/>
      <c r="DD28" s="276"/>
      <c r="DE28" s="276"/>
      <c r="DF28" s="276"/>
      <c r="DG28" s="276"/>
      <c r="DH28" s="276"/>
      <c r="DI28" s="276"/>
      <c r="DJ28" s="276"/>
      <c r="DK28" s="276"/>
      <c r="DL28" s="276"/>
      <c r="DM28" s="276"/>
      <c r="DN28" s="276"/>
      <c r="DO28" s="276"/>
      <c r="DP28" s="276"/>
      <c r="DQ28" s="276"/>
      <c r="DR28" s="276"/>
      <c r="DS28" s="276"/>
      <c r="DT28" s="276"/>
      <c r="DU28" s="276"/>
      <c r="DV28" s="276"/>
      <c r="DW28" s="276"/>
      <c r="DX28" s="276"/>
      <c r="DY28" s="276"/>
      <c r="DZ28" s="276"/>
      <c r="EA28" s="276"/>
      <c r="EB28" s="276"/>
      <c r="EC28" s="276"/>
      <c r="ED28" s="276"/>
      <c r="EE28" s="276"/>
      <c r="EF28" s="276"/>
      <c r="EG28" s="276"/>
      <c r="EH28" s="276"/>
      <c r="EI28" s="276"/>
      <c r="EJ28" s="276"/>
      <c r="EK28" s="276"/>
      <c r="EL28" s="276"/>
      <c r="EM28" s="276"/>
      <c r="EN28" s="276"/>
      <c r="EO28" s="276"/>
      <c r="EP28" s="276"/>
      <c r="EQ28" s="276"/>
      <c r="ER28" s="276"/>
      <c r="ES28" s="276"/>
      <c r="ET28" s="276"/>
      <c r="EU28" s="276"/>
      <c r="EV28" s="276"/>
      <c r="EW28" s="276"/>
      <c r="EX28" s="276"/>
      <c r="EY28" s="276"/>
      <c r="EZ28" s="276"/>
      <c r="FA28" s="276"/>
      <c r="FB28" s="276"/>
      <c r="FC28" s="276"/>
      <c r="FD28" s="276"/>
      <c r="FE28" s="276"/>
      <c r="FF28" s="276"/>
      <c r="FG28" s="276"/>
      <c r="FH28" s="276"/>
      <c r="FI28" s="276"/>
      <c r="FJ28" s="276"/>
      <c r="FK28" s="276"/>
      <c r="FL28" s="276"/>
      <c r="FM28" s="276"/>
      <c r="FN28" s="276"/>
      <c r="FO28" s="276"/>
      <c r="FP28" s="276"/>
      <c r="FQ28" s="276"/>
    </row>
    <row r="29" spans="1:173" s="5" customFormat="1" ht="17.25" customHeight="1" x14ac:dyDescent="0.3">
      <c r="A29" s="1797"/>
      <c r="B29" s="1797"/>
      <c r="D29" s="1360" t="s">
        <v>91</v>
      </c>
      <c r="F29" s="17" t="s">
        <v>92</v>
      </c>
      <c r="G29" s="1255"/>
      <c r="H29" s="806"/>
      <c r="I29" s="7"/>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CY29" s="276"/>
      <c r="CZ29" s="276"/>
      <c r="DA29" s="276"/>
      <c r="DB29" s="276"/>
      <c r="DC29" s="276"/>
      <c r="DD29" s="276"/>
      <c r="DE29" s="276"/>
      <c r="DF29" s="276"/>
      <c r="DG29" s="276"/>
      <c r="DH29" s="276"/>
      <c r="DI29" s="276"/>
      <c r="DJ29" s="276"/>
      <c r="DK29" s="276"/>
      <c r="DL29" s="276"/>
      <c r="DM29" s="276"/>
      <c r="DN29" s="276"/>
      <c r="DO29" s="276"/>
      <c r="DP29" s="276"/>
      <c r="DQ29" s="276"/>
      <c r="DR29" s="276"/>
      <c r="DS29" s="276"/>
      <c r="DT29" s="276"/>
      <c r="DU29" s="276"/>
      <c r="DV29" s="276"/>
      <c r="DW29" s="276"/>
      <c r="DX29" s="276"/>
      <c r="DY29" s="276"/>
      <c r="DZ29" s="276"/>
      <c r="EA29" s="276"/>
      <c r="EB29" s="276"/>
      <c r="EC29" s="276"/>
      <c r="ED29" s="276"/>
      <c r="EE29" s="276"/>
      <c r="EF29" s="276"/>
      <c r="EG29" s="276"/>
      <c r="EH29" s="276"/>
      <c r="EI29" s="276"/>
      <c r="EJ29" s="276"/>
      <c r="EK29" s="276"/>
      <c r="EL29" s="276"/>
      <c r="EM29" s="276"/>
      <c r="EN29" s="276"/>
      <c r="EO29" s="276"/>
      <c r="EP29" s="276"/>
      <c r="EQ29" s="276"/>
      <c r="ER29" s="276"/>
      <c r="ES29" s="276"/>
      <c r="ET29" s="276"/>
      <c r="EU29" s="276"/>
      <c r="EV29" s="276"/>
      <c r="EW29" s="276"/>
      <c r="EX29" s="276"/>
      <c r="EY29" s="276"/>
      <c r="EZ29" s="276"/>
      <c r="FA29" s="276"/>
      <c r="FB29" s="276"/>
      <c r="FC29" s="276"/>
      <c r="FD29" s="276"/>
      <c r="FE29" s="276"/>
      <c r="FF29" s="276"/>
      <c r="FG29" s="276"/>
      <c r="FH29" s="276"/>
      <c r="FI29" s="276"/>
      <c r="FJ29" s="276"/>
      <c r="FK29" s="276"/>
      <c r="FL29" s="276"/>
      <c r="FM29" s="276"/>
      <c r="FN29" s="276"/>
      <c r="FO29" s="276"/>
      <c r="FP29" s="276"/>
      <c r="FQ29" s="276"/>
    </row>
    <row r="30" spans="1:173" s="5" customFormat="1" ht="2.25" customHeight="1" x14ac:dyDescent="0.3">
      <c r="A30" s="1797"/>
      <c r="B30" s="1797"/>
      <c r="C30" s="16"/>
      <c r="D30" s="6"/>
      <c r="E30" s="7"/>
      <c r="F30" s="806"/>
      <c r="G30" s="806"/>
      <c r="H30" s="806"/>
      <c r="I30" s="7"/>
      <c r="L30" s="4"/>
      <c r="M30" s="4"/>
      <c r="N30" s="4" t="s">
        <v>93</v>
      </c>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CY30" s="276"/>
      <c r="CZ30" s="276"/>
      <c r="DA30" s="276"/>
      <c r="DB30" s="276"/>
      <c r="DC30" s="276"/>
      <c r="DD30" s="276"/>
      <c r="DE30" s="276"/>
      <c r="DF30" s="276"/>
      <c r="DG30" s="276"/>
      <c r="DH30" s="276"/>
      <c r="DI30" s="276"/>
      <c r="DJ30" s="276"/>
      <c r="DK30" s="276"/>
      <c r="DL30" s="276"/>
      <c r="DM30" s="276"/>
      <c r="DN30" s="276"/>
      <c r="DO30" s="276"/>
      <c r="DP30" s="276"/>
      <c r="DQ30" s="276"/>
      <c r="DR30" s="276"/>
      <c r="DS30" s="276"/>
      <c r="DT30" s="276"/>
      <c r="DU30" s="276"/>
      <c r="DV30" s="276"/>
      <c r="DW30" s="276"/>
      <c r="DX30" s="276"/>
      <c r="DY30" s="276"/>
      <c r="DZ30" s="276"/>
      <c r="EA30" s="276"/>
      <c r="EB30" s="276"/>
      <c r="EC30" s="276"/>
      <c r="ED30" s="276"/>
      <c r="EE30" s="276"/>
      <c r="EF30" s="276"/>
      <c r="EG30" s="276"/>
      <c r="EH30" s="276"/>
      <c r="EI30" s="276"/>
      <c r="EJ30" s="276"/>
      <c r="EK30" s="276"/>
      <c r="EL30" s="276"/>
      <c r="EM30" s="276"/>
      <c r="EN30" s="276"/>
      <c r="EO30" s="276"/>
      <c r="EP30" s="276"/>
      <c r="EQ30" s="276"/>
      <c r="ER30" s="276"/>
      <c r="ES30" s="276"/>
      <c r="ET30" s="276"/>
      <c r="EU30" s="276"/>
      <c r="EV30" s="276"/>
      <c r="EW30" s="276"/>
      <c r="EX30" s="276"/>
      <c r="EY30" s="276"/>
      <c r="EZ30" s="276"/>
      <c r="FA30" s="276"/>
      <c r="FB30" s="276"/>
      <c r="FC30" s="276"/>
      <c r="FD30" s="276"/>
      <c r="FE30" s="276"/>
      <c r="FF30" s="276"/>
      <c r="FG30" s="276"/>
      <c r="FH30" s="276"/>
      <c r="FI30" s="276"/>
      <c r="FJ30" s="276"/>
      <c r="FK30" s="276"/>
      <c r="FL30" s="276"/>
      <c r="FM30" s="276"/>
      <c r="FN30" s="276"/>
      <c r="FO30" s="276"/>
      <c r="FP30" s="276"/>
      <c r="FQ30" s="276"/>
    </row>
    <row r="31" spans="1:173" s="5" customFormat="1" ht="53.25" customHeight="1" x14ac:dyDescent="0.3">
      <c r="A31" s="1797"/>
      <c r="B31" s="1797"/>
      <c r="C31" s="16"/>
      <c r="D31" s="6"/>
      <c r="E31" s="7"/>
      <c r="F31" s="806"/>
      <c r="G31" s="1255"/>
      <c r="H31" s="806"/>
      <c r="I31" s="7"/>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CY31" s="276"/>
      <c r="CZ31" s="276"/>
      <c r="DA31" s="276"/>
      <c r="DB31" s="276"/>
      <c r="DC31" s="276"/>
      <c r="DD31" s="276"/>
      <c r="DE31" s="276"/>
      <c r="DF31" s="276"/>
      <c r="DG31" s="276"/>
      <c r="DH31" s="276"/>
      <c r="DI31" s="276"/>
      <c r="DJ31" s="276"/>
      <c r="DK31" s="276"/>
      <c r="DL31" s="276"/>
      <c r="DM31" s="276"/>
      <c r="DN31" s="276"/>
      <c r="DO31" s="276"/>
      <c r="DP31" s="276"/>
      <c r="DQ31" s="276"/>
      <c r="DR31" s="276"/>
      <c r="DS31" s="276"/>
      <c r="DT31" s="276"/>
      <c r="DU31" s="276"/>
      <c r="DV31" s="276"/>
      <c r="DW31" s="276"/>
      <c r="DX31" s="276"/>
      <c r="DY31" s="276"/>
      <c r="DZ31" s="276"/>
      <c r="EA31" s="276"/>
      <c r="EB31" s="276"/>
      <c r="EC31" s="276"/>
      <c r="ED31" s="276"/>
      <c r="EE31" s="276"/>
      <c r="EF31" s="276"/>
      <c r="EG31" s="276"/>
      <c r="EH31" s="276"/>
      <c r="EI31" s="276"/>
      <c r="EJ31" s="276"/>
      <c r="EK31" s="276"/>
      <c r="EL31" s="276"/>
      <c r="EM31" s="276"/>
      <c r="EN31" s="276"/>
      <c r="EO31" s="276"/>
      <c r="EP31" s="276"/>
      <c r="EQ31" s="276"/>
      <c r="ER31" s="276"/>
      <c r="ES31" s="276"/>
      <c r="ET31" s="276"/>
      <c r="EU31" s="276"/>
      <c r="EV31" s="276"/>
      <c r="EW31" s="276"/>
      <c r="EX31" s="276"/>
      <c r="EY31" s="276"/>
      <c r="EZ31" s="276"/>
      <c r="FA31" s="276"/>
      <c r="FB31" s="276"/>
      <c r="FC31" s="276"/>
      <c r="FD31" s="276"/>
      <c r="FE31" s="276"/>
      <c r="FF31" s="276"/>
      <c r="FG31" s="276"/>
      <c r="FH31" s="276"/>
      <c r="FI31" s="276"/>
      <c r="FJ31" s="276"/>
      <c r="FK31" s="276"/>
      <c r="FL31" s="276"/>
      <c r="FM31" s="276"/>
      <c r="FN31" s="276"/>
      <c r="FO31" s="276"/>
      <c r="FP31" s="276"/>
      <c r="FQ31" s="276"/>
    </row>
    <row r="32" spans="1:173" s="5" customFormat="1" ht="12" customHeight="1" thickBot="1" x14ac:dyDescent="0.35">
      <c r="C32" s="16"/>
      <c r="D32" s="283" t="s">
        <v>94</v>
      </c>
      <c r="E32" s="7"/>
      <c r="F32" s="806"/>
      <c r="G32" s="806"/>
      <c r="H32" s="806"/>
      <c r="I32" s="7"/>
      <c r="L32" s="4"/>
      <c r="M32" s="4"/>
      <c r="N32" s="4"/>
      <c r="O32" s="4"/>
      <c r="P32" s="4"/>
      <c r="Q32" s="4"/>
      <c r="R32" s="4"/>
      <c r="S32" s="4"/>
      <c r="T32" s="4"/>
      <c r="U32" s="4"/>
      <c r="V32" s="4"/>
      <c r="W32" s="4"/>
      <c r="X32" s="4"/>
      <c r="Y32" s="4"/>
      <c r="Z32" s="4"/>
      <c r="AA32" s="4"/>
      <c r="AB32" s="4"/>
      <c r="AC32" s="4"/>
      <c r="AF32" s="108"/>
      <c r="AJ32" s="4"/>
      <c r="AK32" s="4"/>
      <c r="AL32" s="4"/>
      <c r="AM32" s="4"/>
      <c r="AN32" s="4"/>
      <c r="AO32" s="4"/>
      <c r="AP32" s="4"/>
      <c r="CY32" s="276"/>
      <c r="CZ32" s="276"/>
      <c r="DA32" s="276"/>
      <c r="DB32" s="276"/>
      <c r="DC32" s="276"/>
      <c r="DD32" s="276"/>
      <c r="DE32" s="276"/>
      <c r="DF32" s="276"/>
      <c r="DG32" s="276"/>
      <c r="DH32" s="276"/>
      <c r="DI32" s="276"/>
      <c r="DJ32" s="276"/>
      <c r="DK32" s="276"/>
      <c r="DL32" s="276"/>
      <c r="DM32" s="276"/>
      <c r="DN32" s="276"/>
      <c r="DO32" s="276"/>
      <c r="DP32" s="276"/>
      <c r="DQ32" s="276"/>
      <c r="DR32" s="276"/>
      <c r="DS32" s="276"/>
      <c r="DT32" s="276"/>
      <c r="DU32" s="276"/>
      <c r="DV32" s="276"/>
      <c r="DW32" s="276"/>
      <c r="DX32" s="276"/>
      <c r="DY32" s="276"/>
      <c r="DZ32" s="276"/>
      <c r="EA32" s="276"/>
      <c r="EB32" s="276"/>
      <c r="EC32" s="276"/>
      <c r="ED32" s="276"/>
      <c r="EE32" s="276"/>
      <c r="EF32" s="276"/>
      <c r="EG32" s="276"/>
      <c r="EH32" s="276"/>
      <c r="EI32" s="276"/>
      <c r="EJ32" s="276"/>
      <c r="EK32" s="276"/>
      <c r="EL32" s="276"/>
      <c r="EM32" s="276"/>
      <c r="EN32" s="276"/>
      <c r="EO32" s="276"/>
      <c r="EP32" s="276"/>
      <c r="EQ32" s="276"/>
      <c r="ER32" s="276"/>
      <c r="ES32" s="276"/>
      <c r="ET32" s="276"/>
      <c r="EU32" s="276"/>
      <c r="EV32" s="276"/>
      <c r="EW32" s="276"/>
      <c r="EX32" s="276"/>
      <c r="EY32" s="276"/>
      <c r="EZ32" s="276"/>
      <c r="FA32" s="276"/>
      <c r="FB32" s="276"/>
      <c r="FC32" s="276"/>
      <c r="FD32" s="276"/>
      <c r="FE32" s="276"/>
      <c r="FF32" s="276"/>
      <c r="FG32" s="276"/>
      <c r="FH32" s="276"/>
      <c r="FI32" s="276"/>
      <c r="FJ32" s="276"/>
      <c r="FK32" s="276"/>
      <c r="FL32" s="276"/>
      <c r="FM32" s="276"/>
      <c r="FN32" s="276"/>
      <c r="FO32" s="276"/>
      <c r="FP32" s="276"/>
      <c r="FQ32" s="276"/>
    </row>
    <row r="33" spans="3:173" s="5" customFormat="1" ht="12" customHeight="1" thickBot="1" x14ac:dyDescent="0.4">
      <c r="C33" s="293" t="str">
        <f>CZ11</f>
        <v xml:space="preserve">Number of Products / Services </v>
      </c>
      <c r="D33" s="1356">
        <v>3</v>
      </c>
      <c r="G33" s="807"/>
      <c r="H33" s="807"/>
      <c r="I33" s="220"/>
      <c r="J33" s="220"/>
      <c r="K33" s="220"/>
      <c r="L33" s="220"/>
      <c r="M33" s="220"/>
      <c r="N33" s="220"/>
      <c r="O33" s="220"/>
      <c r="P33" s="220"/>
      <c r="Q33" s="220"/>
      <c r="R33" s="220"/>
      <c r="S33" s="220"/>
      <c r="T33" s="220"/>
      <c r="U33" s="220"/>
      <c r="V33" s="220"/>
      <c r="W33" s="220"/>
      <c r="X33" s="220"/>
      <c r="Y33" s="220"/>
      <c r="Z33" s="220"/>
      <c r="AA33" s="220"/>
      <c r="AB33" s="220"/>
      <c r="CY33" s="276"/>
      <c r="CZ33" s="276"/>
      <c r="DA33" s="276"/>
      <c r="DB33" s="276"/>
      <c r="DC33" s="276"/>
      <c r="DD33" s="276"/>
      <c r="DE33" s="276"/>
      <c r="DF33" s="276"/>
      <c r="DG33" s="276"/>
      <c r="DH33" s="276"/>
      <c r="DI33" s="276"/>
      <c r="DJ33" s="276"/>
      <c r="DK33" s="276"/>
      <c r="DL33" s="276"/>
      <c r="DM33" s="276"/>
      <c r="DN33" s="276"/>
      <c r="DO33" s="276"/>
      <c r="DP33" s="276"/>
      <c r="DQ33" s="276"/>
      <c r="DR33" s="276"/>
      <c r="DS33" s="276"/>
      <c r="DT33" s="276"/>
      <c r="DU33" s="276"/>
      <c r="DV33" s="276"/>
      <c r="DW33" s="276"/>
      <c r="DX33" s="276"/>
      <c r="DY33" s="276"/>
      <c r="DZ33" s="276"/>
      <c r="EA33" s="276"/>
      <c r="EB33" s="276"/>
      <c r="EC33" s="276"/>
      <c r="ED33" s="276"/>
      <c r="EE33" s="276"/>
      <c r="EF33" s="276"/>
      <c r="EG33" s="276"/>
      <c r="EH33" s="276"/>
      <c r="EI33" s="276"/>
      <c r="EJ33" s="276"/>
      <c r="EK33" s="276"/>
      <c r="EL33" s="276"/>
      <c r="EM33" s="276"/>
      <c r="EN33" s="276"/>
      <c r="EO33" s="276"/>
      <c r="EP33" s="276"/>
      <c r="EQ33" s="276"/>
      <c r="ER33" s="276"/>
      <c r="ES33" s="276"/>
      <c r="ET33" s="276"/>
      <c r="EU33" s="276"/>
      <c r="EV33" s="276"/>
      <c r="EW33" s="276"/>
      <c r="EX33" s="276"/>
      <c r="EY33" s="276"/>
      <c r="EZ33" s="276"/>
      <c r="FA33" s="276"/>
      <c r="FB33" s="276"/>
      <c r="FC33" s="276"/>
      <c r="FD33" s="276"/>
      <c r="FE33" s="276"/>
      <c r="FF33" s="276"/>
      <c r="FG33" s="276"/>
      <c r="FH33" s="276"/>
      <c r="FI33" s="276"/>
      <c r="FJ33" s="276"/>
      <c r="FK33" s="276"/>
      <c r="FL33" s="276"/>
      <c r="FM33" s="276"/>
      <c r="FN33" s="276"/>
      <c r="FO33" s="276"/>
      <c r="FP33" s="276"/>
      <c r="FQ33" s="276"/>
    </row>
    <row r="34" spans="3:173" s="5" customFormat="1" ht="12" hidden="1" customHeight="1" x14ac:dyDescent="0.35">
      <c r="F34" s="807"/>
      <c r="G34" s="807"/>
      <c r="H34" s="807"/>
      <c r="I34" s="220"/>
      <c r="J34" s="220"/>
      <c r="K34" s="220"/>
      <c r="L34" s="220"/>
      <c r="M34" s="220"/>
      <c r="N34" s="220"/>
      <c r="O34" s="220"/>
      <c r="P34" s="220"/>
      <c r="Q34" s="220"/>
      <c r="R34" s="220"/>
      <c r="S34" s="220"/>
      <c r="T34" s="220"/>
      <c r="U34" s="220"/>
      <c r="V34" s="220"/>
      <c r="W34" s="220"/>
      <c r="X34" s="220"/>
      <c r="Y34" s="220"/>
      <c r="Z34" s="220"/>
      <c r="AA34" s="220"/>
      <c r="AB34" s="220"/>
    </row>
    <row r="35" spans="3:173" s="5" customFormat="1" ht="12" hidden="1" customHeight="1" x14ac:dyDescent="0.35">
      <c r="E35" s="340"/>
      <c r="F35" s="220"/>
      <c r="G35" s="220"/>
      <c r="H35" s="220"/>
      <c r="I35" s="220"/>
      <c r="J35" s="220"/>
      <c r="K35" s="220"/>
      <c r="L35" s="220"/>
      <c r="M35" s="220"/>
      <c r="N35" s="220"/>
      <c r="O35" s="220"/>
      <c r="P35" s="220"/>
      <c r="Q35" s="220"/>
      <c r="R35" s="220"/>
      <c r="S35" s="220"/>
      <c r="T35" s="220"/>
      <c r="U35" s="220"/>
      <c r="V35" s="220"/>
      <c r="W35" s="220"/>
      <c r="X35" s="220"/>
      <c r="Y35" s="220"/>
      <c r="Z35" s="220"/>
      <c r="AA35" s="220"/>
      <c r="AB35" s="220"/>
    </row>
    <row r="36" spans="3:173" s="5" customFormat="1" ht="12" customHeight="1" thickBot="1" x14ac:dyDescent="0.3">
      <c r="C36" s="491"/>
      <c r="D36" s="265" t="s">
        <v>95</v>
      </c>
      <c r="E36" s="265" t="s">
        <v>96</v>
      </c>
      <c r="F36" s="265" t="s">
        <v>97</v>
      </c>
      <c r="G36" s="265" t="s">
        <v>98</v>
      </c>
      <c r="H36" s="265" t="s">
        <v>99</v>
      </c>
      <c r="I36" s="265" t="s">
        <v>100</v>
      </c>
      <c r="J36" s="265" t="s">
        <v>101</v>
      </c>
      <c r="K36" s="265" t="s">
        <v>102</v>
      </c>
      <c r="L36" s="265" t="s">
        <v>103</v>
      </c>
      <c r="M36" s="265" t="s">
        <v>104</v>
      </c>
      <c r="N36" s="265" t="s">
        <v>105</v>
      </c>
      <c r="O36" s="265" t="s">
        <v>106</v>
      </c>
      <c r="P36" s="265" t="s">
        <v>107</v>
      </c>
      <c r="Q36" s="265" t="s">
        <v>108</v>
      </c>
      <c r="R36" s="265" t="s">
        <v>109</v>
      </c>
      <c r="S36" s="265" t="s">
        <v>110</v>
      </c>
      <c r="T36" s="265" t="s">
        <v>111</v>
      </c>
      <c r="U36" s="265" t="s">
        <v>112</v>
      </c>
      <c r="V36" s="265" t="s">
        <v>113</v>
      </c>
      <c r="W36" s="265" t="s">
        <v>114</v>
      </c>
      <c r="X36" s="265" t="s">
        <v>115</v>
      </c>
      <c r="Y36" s="265" t="s">
        <v>116</v>
      </c>
      <c r="Z36" s="265" t="s">
        <v>117</v>
      </c>
      <c r="AA36" s="265" t="s">
        <v>118</v>
      </c>
      <c r="AB36" s="265" t="s">
        <v>119</v>
      </c>
      <c r="CV36" s="266"/>
      <c r="CW36" s="266"/>
      <c r="CX36" s="266"/>
    </row>
    <row r="37" spans="3:173" s="5" customFormat="1" ht="27" customHeight="1" thickBot="1" x14ac:dyDescent="0.4">
      <c r="C37" s="225" t="str">
        <f>IF(CY5=1,"Product ",IF(CY5=2,"Service ","Product / Service "))</f>
        <v xml:space="preserve">Product / Service </v>
      </c>
      <c r="D37" s="285" t="inlineStr">
        <is>
          <t>Retail Bags 12oz</t>
        </is>
      </c>
      <c r="E37" s="285" t="inlineStr">
        <is>
          <t>Wholesale 5lb</t>
        </is>
      </c>
      <c r="F37" s="285" t="inlineStr">
        <is>
          <t>Cafe Drinks</t>
        </is>
      </c>
      <c r="G37" s="285" t="s">
        <v>98</v>
      </c>
      <c r="H37" s="285" t="s">
        <v>99</v>
      </c>
      <c r="I37" s="285" t="s">
        <v>100</v>
      </c>
      <c r="J37" s="285" t="s">
        <v>101</v>
      </c>
      <c r="K37" s="285" t="s">
        <v>102</v>
      </c>
      <c r="L37" s="285" t="s">
        <v>103</v>
      </c>
      <c r="M37" s="285" t="s">
        <v>104</v>
      </c>
      <c r="N37" s="285" t="s">
        <v>105</v>
      </c>
      <c r="O37" s="285" t="s">
        <v>106</v>
      </c>
      <c r="P37" s="285" t="s">
        <v>107</v>
      </c>
      <c r="Q37" s="285" t="s">
        <v>108</v>
      </c>
      <c r="R37" s="285" t="s">
        <v>109</v>
      </c>
      <c r="S37" s="285" t="s">
        <v>110</v>
      </c>
      <c r="T37" s="285" t="s">
        <v>111</v>
      </c>
      <c r="U37" s="285" t="s">
        <v>112</v>
      </c>
      <c r="V37" s="285" t="s">
        <v>113</v>
      </c>
      <c r="W37" s="285" t="s">
        <v>114</v>
      </c>
      <c r="X37" s="285" t="s">
        <v>115</v>
      </c>
      <c r="Y37" s="285" t="s">
        <v>116</v>
      </c>
      <c r="Z37" s="285" t="s">
        <v>117</v>
      </c>
      <c r="AA37" s="285" t="s">
        <v>118</v>
      </c>
      <c r="AB37" s="285" t="s">
        <v>119</v>
      </c>
    </row>
    <row r="38" spans="3:173" s="5" customFormat="1" ht="12" customHeight="1" thickBot="1" x14ac:dyDescent="0.4">
      <c r="C38" s="263"/>
      <c r="D38" s="265">
        <v>1</v>
      </c>
      <c r="E38" s="265">
        <v>2</v>
      </c>
      <c r="F38" s="265">
        <v>3</v>
      </c>
      <c r="G38" s="265">
        <v>4</v>
      </c>
      <c r="H38" s="265">
        <v>5</v>
      </c>
      <c r="I38" s="265">
        <v>6</v>
      </c>
      <c r="J38" s="265">
        <v>7</v>
      </c>
      <c r="K38" s="265">
        <v>8</v>
      </c>
      <c r="L38" s="265">
        <v>9</v>
      </c>
      <c r="M38" s="265">
        <v>10</v>
      </c>
      <c r="N38" s="265">
        <v>11</v>
      </c>
      <c r="O38" s="265">
        <v>12</v>
      </c>
      <c r="P38" s="265">
        <v>13</v>
      </c>
      <c r="Q38" s="265">
        <v>14</v>
      </c>
      <c r="R38" s="265">
        <v>15</v>
      </c>
      <c r="S38" s="265">
        <v>16</v>
      </c>
      <c r="T38" s="265">
        <v>17</v>
      </c>
      <c r="U38" s="265">
        <v>18</v>
      </c>
      <c r="V38" s="265">
        <v>19</v>
      </c>
      <c r="W38" s="265">
        <v>20</v>
      </c>
      <c r="X38" s="265">
        <v>21</v>
      </c>
      <c r="Y38" s="265">
        <v>22</v>
      </c>
      <c r="Z38" s="265">
        <v>23</v>
      </c>
      <c r="AA38" s="265">
        <v>24</v>
      </c>
      <c r="AB38" s="265">
        <v>25</v>
      </c>
    </row>
    <row r="39" spans="3:173" s="5" customFormat="1" ht="12" customHeight="1" thickBot="1" x14ac:dyDescent="0.4">
      <c r="C39" s="293" t="s">
        <v>120</v>
      </c>
      <c r="D39" s="568"/>
      <c r="E39" s="568"/>
      <c r="F39" s="568"/>
      <c r="G39" s="568"/>
      <c r="H39" s="568"/>
      <c r="I39" s="568"/>
      <c r="J39" s="568"/>
      <c r="K39" s="568"/>
      <c r="L39" s="568"/>
      <c r="M39" s="568"/>
      <c r="N39" s="568"/>
      <c r="O39" s="568"/>
      <c r="P39" s="568"/>
      <c r="Q39" s="568"/>
      <c r="R39" s="568"/>
      <c r="S39" s="568"/>
      <c r="T39" s="568"/>
      <c r="U39" s="568"/>
      <c r="V39" s="568"/>
      <c r="W39" s="568"/>
      <c r="X39" s="568"/>
      <c r="Y39" s="568"/>
      <c r="Z39" s="568"/>
      <c r="AA39" s="568"/>
      <c r="AB39" s="568"/>
    </row>
    <row r="40" spans="3:173" s="5" customFormat="1" ht="12" customHeight="1" thickBot="1" x14ac:dyDescent="0.4">
      <c r="C40" s="287"/>
      <c r="D40" s="264" t="str">
        <f>IF(D39="",D37,D39)</f>
        <v>Item 1</v>
      </c>
      <c r="E40" s="264" t="str">
        <f>IF(E39="",E37,E39)</f>
        <v>Item 2</v>
      </c>
      <c r="F40" s="264" t="str">
        <f>IF(F39="",F37,F39)</f>
        <v>Item 3</v>
      </c>
      <c r="G40" s="264" t="str">
        <f>IF(G39="",G37,G39)</f>
        <v>Item 4</v>
      </c>
      <c r="H40" s="264" t="str">
        <f>IF(H39="",H37,H39)</f>
        <v>Item 5</v>
      </c>
      <c r="I40" s="264" t="str">
        <f>IF(I39="",I37,I39)</f>
        <v>Item 6</v>
      </c>
      <c r="J40" s="264" t="str">
        <f>IF(J39="",J37,J39)</f>
        <v>Item 7</v>
      </c>
      <c r="K40" s="264" t="str">
        <f>IF(K39="",K37,K39)</f>
        <v>Item 8</v>
      </c>
      <c r="L40" s="264" t="str">
        <f>IF(L39="",L37,L39)</f>
        <v>Item 9</v>
      </c>
      <c r="M40" s="264" t="str">
        <f>IF(M39="",M37,M39)</f>
        <v>Item 10</v>
      </c>
      <c r="N40" s="264" t="str">
        <f>IF(N39="",N37,N39)</f>
        <v>Item 11</v>
      </c>
      <c r="O40" s="264" t="str">
        <f>IF(O39="",O37,O39)</f>
        <v>Item 12</v>
      </c>
      <c r="P40" s="264" t="str">
        <f>IF(P39="",P37,P39)</f>
        <v>Item 13</v>
      </c>
      <c r="Q40" s="264" t="str">
        <f>IF(Q39="",Q37,Q39)</f>
        <v>Item 14</v>
      </c>
      <c r="R40" s="264" t="str">
        <f>IF(R39="",R37,R39)</f>
        <v>Item 15</v>
      </c>
      <c r="S40" s="264" t="str">
        <f>IF(S39="",S37,S39)</f>
        <v>Item 16</v>
      </c>
      <c r="T40" s="264" t="str">
        <f>IF(T39="",T37,T39)</f>
        <v>Item 17</v>
      </c>
      <c r="U40" s="264" t="str">
        <f>IF(U39="",U37,U39)</f>
        <v>Item 18</v>
      </c>
      <c r="V40" s="264" t="str">
        <f>IF(V39="",V37,V39)</f>
        <v>Item 19</v>
      </c>
      <c r="W40" s="264" t="str">
        <f>IF(W39="",W37,W39)</f>
        <v>Item 20</v>
      </c>
      <c r="X40" s="264" t="str">
        <f>IF(X39="",X37,X39)</f>
        <v>Item 21</v>
      </c>
      <c r="Y40" s="264" t="str">
        <f>IF(Y39="",Y37,Y39)</f>
        <v>Item 22</v>
      </c>
      <c r="Z40" s="264" t="str">
        <f>IF(Z39="",Z37,Z39)</f>
        <v>Item 23</v>
      </c>
      <c r="AA40" s="264" t="str">
        <f>IF(AA39="",AA37,AA39)</f>
        <v>Item 24</v>
      </c>
      <c r="AB40" s="264" t="str">
        <f>IF(AB39="",AB37,AB39)</f>
        <v>Item 25</v>
      </c>
    </row>
    <row r="41" spans="3:173" s="5" customFormat="1" x14ac:dyDescent="0.35">
      <c r="C41" s="1237" t="str">
        <f>TEXT(Infrastructure!G23,"#,##0;;@")&amp;TEXT(Infrastructure!I17,"yyyy;;@")</f>
        <v>Your Selling Price - Year 1</v>
      </c>
      <c r="D41" s="570">
        <v>18.0</v>
      </c>
      <c r="E41" s="569">
        <v>55.0</v>
      </c>
      <c r="F41" s="569">
        <v>5.5</v>
      </c>
      <c r="G41" s="569"/>
      <c r="H41" s="569"/>
      <c r="I41" s="569"/>
      <c r="J41" s="569"/>
      <c r="K41" s="569"/>
      <c r="L41" s="569"/>
      <c r="M41" s="569"/>
      <c r="N41" s="569"/>
      <c r="O41" s="569"/>
      <c r="P41" s="569"/>
      <c r="Q41" s="569"/>
      <c r="R41" s="569"/>
      <c r="S41" s="569"/>
      <c r="T41" s="569"/>
      <c r="U41" s="569"/>
      <c r="V41" s="569"/>
      <c r="W41" s="569"/>
      <c r="X41" s="569"/>
      <c r="Y41" s="569"/>
      <c r="Z41" s="569">
        <v>0</v>
      </c>
      <c r="AA41" s="569">
        <v>0</v>
      </c>
      <c r="AB41" s="570">
        <v>0</v>
      </c>
    </row>
    <row r="42" spans="3:173" s="5" customFormat="1" x14ac:dyDescent="0.35">
      <c r="C42" s="1237" t="str">
        <f>Infrastructure!I18</f>
        <v>Year 2</v>
      </c>
      <c r="D42" s="569">
        <f>D41</f>
        <v>0</v>
      </c>
      <c r="E42" s="569">
        <f>E41</f>
        <v>0</v>
      </c>
      <c r="F42" s="569">
        <f>F41</f>
        <v>0</v>
      </c>
      <c r="G42" s="569">
        <f>G41</f>
        <v>0</v>
      </c>
      <c r="H42" s="569">
        <f>H41</f>
        <v>0</v>
      </c>
      <c r="I42" s="569">
        <f>I41</f>
        <v>0</v>
      </c>
      <c r="J42" s="569">
        <f>J41</f>
        <v>0</v>
      </c>
      <c r="K42" s="569">
        <f>K41</f>
        <v>0</v>
      </c>
      <c r="L42" s="569">
        <f>L41</f>
        <v>0</v>
      </c>
      <c r="M42" s="569">
        <f>M41</f>
        <v>0</v>
      </c>
      <c r="N42" s="569">
        <f>N41</f>
        <v>0</v>
      </c>
      <c r="O42" s="569">
        <f>O41</f>
        <v>0</v>
      </c>
      <c r="P42" s="569">
        <f>P41</f>
        <v>0</v>
      </c>
      <c r="Q42" s="569">
        <f>Q41</f>
        <v>0</v>
      </c>
      <c r="R42" s="569">
        <f>R41</f>
        <v>0</v>
      </c>
      <c r="S42" s="569">
        <f>S41</f>
        <v>0</v>
      </c>
      <c r="T42" s="569">
        <f>T41</f>
        <v>0</v>
      </c>
      <c r="U42" s="569">
        <f>U41</f>
        <v>0</v>
      </c>
      <c r="V42" s="569">
        <f>V41</f>
        <v>0</v>
      </c>
      <c r="W42" s="569">
        <f>W41</f>
        <v>0</v>
      </c>
      <c r="X42" s="569">
        <f>X41</f>
        <v>0</v>
      </c>
      <c r="Y42" s="569">
        <f>Y41</f>
        <v>0</v>
      </c>
      <c r="Z42" s="569">
        <f>Z41</f>
        <v>0</v>
      </c>
      <c r="AA42" s="569">
        <f>AA41</f>
        <v>0</v>
      </c>
      <c r="AB42" s="569">
        <f>AB41</f>
        <v>0</v>
      </c>
    </row>
    <row r="43" spans="3:173" s="5" customFormat="1" ht="12" customHeight="1" thickBot="1" x14ac:dyDescent="0.4">
      <c r="C43" s="1237" t="str">
        <f>Infrastructure!I19</f>
        <v>Year 3</v>
      </c>
      <c r="D43" s="571">
        <f>D42</f>
        <v>0</v>
      </c>
      <c r="E43" s="571">
        <f>E42</f>
        <v>0</v>
      </c>
      <c r="F43" s="571">
        <f>F42</f>
        <v>0</v>
      </c>
      <c r="G43" s="571">
        <f>G42</f>
        <v>0</v>
      </c>
      <c r="H43" s="571">
        <f>H42</f>
        <v>0</v>
      </c>
      <c r="I43" s="571">
        <f>I42</f>
        <v>0</v>
      </c>
      <c r="J43" s="571">
        <f>J42</f>
        <v>0</v>
      </c>
      <c r="K43" s="571">
        <f>K42</f>
        <v>0</v>
      </c>
      <c r="L43" s="571">
        <f>L42</f>
        <v>0</v>
      </c>
      <c r="M43" s="571">
        <f>M42</f>
        <v>0</v>
      </c>
      <c r="N43" s="571">
        <f>N42</f>
        <v>0</v>
      </c>
      <c r="O43" s="571">
        <f>O42</f>
        <v>0</v>
      </c>
      <c r="P43" s="571">
        <f>P42</f>
        <v>0</v>
      </c>
      <c r="Q43" s="571">
        <f>Q42</f>
        <v>0</v>
      </c>
      <c r="R43" s="571">
        <f>R42</f>
        <v>0</v>
      </c>
      <c r="S43" s="571">
        <f>S42</f>
        <v>0</v>
      </c>
      <c r="T43" s="571">
        <f>T42</f>
        <v>0</v>
      </c>
      <c r="U43" s="571">
        <f>U42</f>
        <v>0</v>
      </c>
      <c r="V43" s="571">
        <f>V42</f>
        <v>0</v>
      </c>
      <c r="W43" s="571">
        <f>W42</f>
        <v>0</v>
      </c>
      <c r="X43" s="571">
        <f>X42</f>
        <v>0</v>
      </c>
      <c r="Y43" s="571">
        <f>Y42</f>
        <v>0</v>
      </c>
      <c r="Z43" s="571">
        <f>Z42</f>
        <v>0</v>
      </c>
      <c r="AA43" s="571">
        <f>AA42</f>
        <v>0</v>
      </c>
      <c r="AB43" s="1294">
        <f>AB42</f>
        <v>0</v>
      </c>
    </row>
    <row r="44" spans="3:173" s="5" customFormat="1" x14ac:dyDescent="0.35">
      <c r="C44" s="1237" t="str">
        <f>Infrastructure!I20</f>
        <v>Year 4</v>
      </c>
      <c r="D44" s="573">
        <f>D43</f>
        <v>0</v>
      </c>
      <c r="E44" s="573">
        <f>E43</f>
        <v>0</v>
      </c>
      <c r="F44" s="573">
        <f>F43</f>
        <v>0</v>
      </c>
      <c r="G44" s="573">
        <f>G43</f>
        <v>0</v>
      </c>
      <c r="H44" s="573">
        <f>H43</f>
        <v>0</v>
      </c>
      <c r="I44" s="573">
        <f>I43</f>
        <v>0</v>
      </c>
      <c r="J44" s="573">
        <f>J43</f>
        <v>0</v>
      </c>
      <c r="K44" s="573">
        <f>K43</f>
        <v>0</v>
      </c>
      <c r="L44" s="573">
        <f>L43</f>
        <v>0</v>
      </c>
      <c r="M44" s="573">
        <f>M43</f>
        <v>0</v>
      </c>
      <c r="N44" s="573">
        <f>N43</f>
        <v>0</v>
      </c>
      <c r="O44" s="573">
        <f>O43</f>
        <v>0</v>
      </c>
      <c r="P44" s="573">
        <f>P43</f>
        <v>0</v>
      </c>
      <c r="Q44" s="573">
        <f>Q43</f>
        <v>0</v>
      </c>
      <c r="R44" s="573">
        <f>R43</f>
        <v>0</v>
      </c>
      <c r="S44" s="573">
        <f>S43</f>
        <v>0</v>
      </c>
      <c r="T44" s="573">
        <f>T43</f>
        <v>0</v>
      </c>
      <c r="U44" s="573">
        <f>U43</f>
        <v>0</v>
      </c>
      <c r="V44" s="573">
        <f>V43</f>
        <v>0</v>
      </c>
      <c r="W44" s="573">
        <f>W43</f>
        <v>0</v>
      </c>
      <c r="X44" s="573">
        <f>X43</f>
        <v>0</v>
      </c>
      <c r="Y44" s="573">
        <f>Y43</f>
        <v>0</v>
      </c>
      <c r="Z44" s="573">
        <f>Z43</f>
        <v>0</v>
      </c>
      <c r="AA44" s="573">
        <f>AA43</f>
        <v>0</v>
      </c>
      <c r="AB44" s="569">
        <f>AB43</f>
        <v>0</v>
      </c>
    </row>
    <row r="45" spans="3:173" s="5" customFormat="1" ht="12" customHeight="1" thickBot="1" x14ac:dyDescent="0.4">
      <c r="C45" s="1237" t="str">
        <f>Infrastructure!I21</f>
        <v>Year 5</v>
      </c>
      <c r="D45" s="1033">
        <f>D44</f>
        <v>0</v>
      </c>
      <c r="E45" s="1033">
        <f>E44</f>
        <v>0</v>
      </c>
      <c r="F45" s="1033">
        <f>F44</f>
        <v>0</v>
      </c>
      <c r="G45" s="1033">
        <f>G44</f>
        <v>0</v>
      </c>
      <c r="H45" s="1033">
        <f>H44</f>
        <v>0</v>
      </c>
      <c r="I45" s="1033">
        <f>I44</f>
        <v>0</v>
      </c>
      <c r="J45" s="1033">
        <f>J44</f>
        <v>0</v>
      </c>
      <c r="K45" s="1033">
        <f>K44</f>
        <v>0</v>
      </c>
      <c r="L45" s="1033">
        <f>L44</f>
        <v>0</v>
      </c>
      <c r="M45" s="1033">
        <f>M44</f>
        <v>0</v>
      </c>
      <c r="N45" s="1033">
        <f>N44</f>
        <v>0</v>
      </c>
      <c r="O45" s="1033">
        <f>O44</f>
        <v>0</v>
      </c>
      <c r="P45" s="1033">
        <f>P44</f>
        <v>0</v>
      </c>
      <c r="Q45" s="1033">
        <f>Q44</f>
        <v>0</v>
      </c>
      <c r="R45" s="1033">
        <f>R44</f>
        <v>0</v>
      </c>
      <c r="S45" s="1033">
        <f>S44</f>
        <v>0</v>
      </c>
      <c r="T45" s="1033">
        <f>T44</f>
        <v>0</v>
      </c>
      <c r="U45" s="1033">
        <f>U44</f>
        <v>0</v>
      </c>
      <c r="V45" s="1033">
        <f>V44</f>
        <v>0</v>
      </c>
      <c r="W45" s="1033">
        <f>W44</f>
        <v>0</v>
      </c>
      <c r="X45" s="1033">
        <f>X44</f>
        <v>0</v>
      </c>
      <c r="Y45" s="1033">
        <f>Y44</f>
        <v>0</v>
      </c>
      <c r="Z45" s="1033">
        <f>Z44</f>
        <v>0</v>
      </c>
      <c r="AA45" s="1033">
        <f>AA44</f>
        <v>0</v>
      </c>
      <c r="AB45" s="569">
        <f>AB44</f>
        <v>0</v>
      </c>
    </row>
    <row r="46" spans="3:173" s="5" customFormat="1" x14ac:dyDescent="0.35">
      <c r="C46" s="1237" t="str">
        <f>TEXT(Infrastructure!G24,"#,##0;;@")&amp;TEXT(Infrastructure!I17,"yyyy;;@")</f>
        <v>Your Cost - Year 1</v>
      </c>
      <c r="D46" s="572">
        <v>6.5</v>
      </c>
      <c r="E46" s="572">
        <v>28.0</v>
      </c>
      <c r="F46" s="572">
        <v>1.4</v>
      </c>
      <c r="G46" s="572"/>
      <c r="H46" s="572"/>
      <c r="I46" s="572"/>
      <c r="J46" s="572"/>
      <c r="K46" s="572"/>
      <c r="L46" s="572"/>
      <c r="M46" s="572"/>
      <c r="N46" s="572"/>
      <c r="O46" s="572"/>
      <c r="P46" s="572"/>
      <c r="Q46" s="572"/>
      <c r="R46" s="572"/>
      <c r="S46" s="572"/>
      <c r="T46" s="572"/>
      <c r="U46" s="572"/>
      <c r="V46" s="572"/>
      <c r="W46" s="572"/>
      <c r="X46" s="572"/>
      <c r="Y46" s="572"/>
      <c r="Z46" s="572">
        <v>0</v>
      </c>
      <c r="AA46" s="572">
        <v>0</v>
      </c>
      <c r="AB46" s="569">
        <v>0</v>
      </c>
    </row>
    <row r="47" spans="3:173" s="5" customFormat="1" x14ac:dyDescent="0.35">
      <c r="C47" s="1237" t="str">
        <f>C42</f>
        <v>Year 2</v>
      </c>
      <c r="D47" s="573">
        <f>D46</f>
        <v>0</v>
      </c>
      <c r="E47" s="573">
        <f>E46</f>
        <v>0</v>
      </c>
      <c r="F47" s="573">
        <f>F46</f>
        <v>0</v>
      </c>
      <c r="G47" s="573">
        <f>G46</f>
        <v>0</v>
      </c>
      <c r="H47" s="573">
        <f>H46</f>
        <v>0</v>
      </c>
      <c r="I47" s="573">
        <f>I46</f>
        <v>0</v>
      </c>
      <c r="J47" s="573">
        <f>J46</f>
        <v>0</v>
      </c>
      <c r="K47" s="573">
        <f>K46</f>
        <v>0</v>
      </c>
      <c r="L47" s="573">
        <f>L46</f>
        <v>0</v>
      </c>
      <c r="M47" s="573">
        <f>M46</f>
        <v>0</v>
      </c>
      <c r="N47" s="573">
        <f>N46</f>
        <v>0</v>
      </c>
      <c r="O47" s="573">
        <f>O46</f>
        <v>0</v>
      </c>
      <c r="P47" s="573">
        <f>P46</f>
        <v>0</v>
      </c>
      <c r="Q47" s="573">
        <f>Q46</f>
        <v>0</v>
      </c>
      <c r="R47" s="573">
        <f>R46</f>
        <v>0</v>
      </c>
      <c r="S47" s="573">
        <f>S46</f>
        <v>0</v>
      </c>
      <c r="T47" s="573">
        <f>T46</f>
        <v>0</v>
      </c>
      <c r="U47" s="573">
        <f>U46</f>
        <v>0</v>
      </c>
      <c r="V47" s="573">
        <f>V46</f>
        <v>0</v>
      </c>
      <c r="W47" s="573">
        <f>W46</f>
        <v>0</v>
      </c>
      <c r="X47" s="573">
        <f>X46</f>
        <v>0</v>
      </c>
      <c r="Y47" s="573">
        <f>Y46</f>
        <v>0</v>
      </c>
      <c r="Z47" s="573">
        <f>Z46</f>
        <v>0</v>
      </c>
      <c r="AA47" s="573">
        <f>AA46</f>
        <v>0</v>
      </c>
      <c r="AB47" s="569">
        <f>AB46</f>
        <v>0</v>
      </c>
    </row>
    <row r="48" spans="3:173" s="5" customFormat="1" ht="12" customHeight="1" thickBot="1" x14ac:dyDescent="0.4">
      <c r="C48" s="1237" t="str">
        <f>C43</f>
        <v>Year 3</v>
      </c>
      <c r="D48" s="571">
        <f>D47</f>
        <v>0</v>
      </c>
      <c r="E48" s="571">
        <f>E47</f>
        <v>0</v>
      </c>
      <c r="F48" s="571">
        <f>F47</f>
        <v>0</v>
      </c>
      <c r="G48" s="571">
        <f>G47</f>
        <v>0</v>
      </c>
      <c r="H48" s="571">
        <f>H47</f>
        <v>0</v>
      </c>
      <c r="I48" s="571">
        <f>I47</f>
        <v>0</v>
      </c>
      <c r="J48" s="571">
        <f>J47</f>
        <v>0</v>
      </c>
      <c r="K48" s="571">
        <f>K47</f>
        <v>0</v>
      </c>
      <c r="L48" s="571">
        <f>L47</f>
        <v>0</v>
      </c>
      <c r="M48" s="571">
        <f>M47</f>
        <v>0</v>
      </c>
      <c r="N48" s="571">
        <f>N47</f>
        <v>0</v>
      </c>
      <c r="O48" s="571">
        <f>O47</f>
        <v>0</v>
      </c>
      <c r="P48" s="571">
        <f>P47</f>
        <v>0</v>
      </c>
      <c r="Q48" s="571">
        <f>Q47</f>
        <v>0</v>
      </c>
      <c r="R48" s="571">
        <f>R47</f>
        <v>0</v>
      </c>
      <c r="S48" s="571">
        <f>S47</f>
        <v>0</v>
      </c>
      <c r="T48" s="571">
        <f>T47</f>
        <v>0</v>
      </c>
      <c r="U48" s="571">
        <f>U47</f>
        <v>0</v>
      </c>
      <c r="V48" s="571">
        <f>V47</f>
        <v>0</v>
      </c>
      <c r="W48" s="571">
        <f>W47</f>
        <v>0</v>
      </c>
      <c r="X48" s="571">
        <f>X47</f>
        <v>0</v>
      </c>
      <c r="Y48" s="571">
        <f>Y47</f>
        <v>0</v>
      </c>
      <c r="Z48" s="571">
        <f>Z47</f>
        <v>0</v>
      </c>
      <c r="AA48" s="571">
        <f>AA47</f>
        <v>0</v>
      </c>
      <c r="AB48" s="1294">
        <f>AB47</f>
        <v>0</v>
      </c>
    </row>
    <row r="49" spans="3:42" s="5" customFormat="1" x14ac:dyDescent="0.35">
      <c r="C49" s="1237" t="str">
        <f>C44</f>
        <v>Year 4</v>
      </c>
      <c r="D49" s="573">
        <f>D48</f>
        <v>0</v>
      </c>
      <c r="E49" s="573">
        <f>E48</f>
        <v>0</v>
      </c>
      <c r="F49" s="573">
        <f>F48</f>
        <v>0</v>
      </c>
      <c r="G49" s="573">
        <f>G48</f>
        <v>0</v>
      </c>
      <c r="H49" s="573">
        <f>H48</f>
        <v>0</v>
      </c>
      <c r="I49" s="573">
        <f>I48</f>
        <v>0</v>
      </c>
      <c r="J49" s="573">
        <f>J48</f>
        <v>0</v>
      </c>
      <c r="K49" s="573">
        <f>K48</f>
        <v>0</v>
      </c>
      <c r="L49" s="573">
        <f>L48</f>
        <v>0</v>
      </c>
      <c r="M49" s="573">
        <f>M48</f>
        <v>0</v>
      </c>
      <c r="N49" s="573">
        <f>N48</f>
        <v>0</v>
      </c>
      <c r="O49" s="573">
        <f>O48</f>
        <v>0</v>
      </c>
      <c r="P49" s="573">
        <f>P48</f>
        <v>0</v>
      </c>
      <c r="Q49" s="573">
        <f>Q48</f>
        <v>0</v>
      </c>
      <c r="R49" s="573">
        <f>R48</f>
        <v>0</v>
      </c>
      <c r="S49" s="573">
        <f>S48</f>
        <v>0</v>
      </c>
      <c r="T49" s="573">
        <f>T48</f>
        <v>0</v>
      </c>
      <c r="U49" s="573">
        <f>U48</f>
        <v>0</v>
      </c>
      <c r="V49" s="573">
        <f>V48</f>
        <v>0</v>
      </c>
      <c r="W49" s="573">
        <f>W48</f>
        <v>0</v>
      </c>
      <c r="X49" s="573">
        <f>X48</f>
        <v>0</v>
      </c>
      <c r="Y49" s="573">
        <f>Y48</f>
        <v>0</v>
      </c>
      <c r="Z49" s="573">
        <f>Z48</f>
        <v>0</v>
      </c>
      <c r="AA49" s="573">
        <f>AA48</f>
        <v>0</v>
      </c>
      <c r="AB49" s="569">
        <f>AB48</f>
        <v>0</v>
      </c>
    </row>
    <row r="50" spans="3:42" s="5" customFormat="1" ht="12" customHeight="1" thickBot="1" x14ac:dyDescent="0.4">
      <c r="C50" s="1237" t="str">
        <f>C45</f>
        <v>Year 5</v>
      </c>
      <c r="D50" s="1033">
        <f>D49</f>
        <v>0</v>
      </c>
      <c r="E50" s="1033">
        <f>E49</f>
        <v>0</v>
      </c>
      <c r="F50" s="1033">
        <f>F49</f>
        <v>0</v>
      </c>
      <c r="G50" s="1033">
        <f>G49</f>
        <v>0</v>
      </c>
      <c r="H50" s="1033">
        <f>H49</f>
        <v>0</v>
      </c>
      <c r="I50" s="1033">
        <f>I49</f>
        <v>0</v>
      </c>
      <c r="J50" s="1033">
        <f>J49</f>
        <v>0</v>
      </c>
      <c r="K50" s="1033">
        <f>K49</f>
        <v>0</v>
      </c>
      <c r="L50" s="1033">
        <f>L49</f>
        <v>0</v>
      </c>
      <c r="M50" s="1033">
        <f>M49</f>
        <v>0</v>
      </c>
      <c r="N50" s="1033">
        <f>N49</f>
        <v>0</v>
      </c>
      <c r="O50" s="1033">
        <f>O49</f>
        <v>0</v>
      </c>
      <c r="P50" s="1033">
        <f>P49</f>
        <v>0</v>
      </c>
      <c r="Q50" s="1033">
        <f>Q49</f>
        <v>0</v>
      </c>
      <c r="R50" s="1033">
        <f>R49</f>
        <v>0</v>
      </c>
      <c r="S50" s="1033">
        <f>S49</f>
        <v>0</v>
      </c>
      <c r="T50" s="1033">
        <f>T49</f>
        <v>0</v>
      </c>
      <c r="U50" s="1033">
        <f>U49</f>
        <v>0</v>
      </c>
      <c r="V50" s="1033">
        <f>V49</f>
        <v>0</v>
      </c>
      <c r="W50" s="1033">
        <f>W49</f>
        <v>0</v>
      </c>
      <c r="X50" s="1033">
        <f>X49</f>
        <v>0</v>
      </c>
      <c r="Y50" s="1033">
        <f>Y49</f>
        <v>0</v>
      </c>
      <c r="Z50" s="1033">
        <f>Z49</f>
        <v>0</v>
      </c>
      <c r="AA50" s="1033">
        <f>AA49</f>
        <v>0</v>
      </c>
      <c r="AB50" s="569">
        <f>AB49</f>
        <v>0</v>
      </c>
    </row>
    <row r="51" spans="3:42" s="5" customFormat="1" x14ac:dyDescent="0.35">
      <c r="C51" s="288" t="s">
        <v>121</v>
      </c>
      <c r="D51" s="574"/>
      <c r="E51" s="574"/>
      <c r="F51" s="574"/>
      <c r="G51" s="574"/>
      <c r="H51" s="574"/>
      <c r="I51" s="574"/>
      <c r="J51" s="574"/>
      <c r="K51" s="574"/>
      <c r="L51" s="574"/>
      <c r="M51" s="574"/>
      <c r="N51" s="574"/>
      <c r="O51" s="574"/>
      <c r="P51" s="574"/>
      <c r="Q51" s="574"/>
      <c r="R51" s="574"/>
      <c r="S51" s="574"/>
      <c r="T51" s="574"/>
      <c r="U51" s="574"/>
      <c r="V51" s="574"/>
      <c r="W51" s="574"/>
      <c r="X51" s="574"/>
      <c r="Y51" s="574"/>
      <c r="Z51" s="574"/>
      <c r="AA51" s="574"/>
      <c r="AB51" s="574"/>
    </row>
    <row r="52" spans="3:42" s="5" customFormat="1" ht="12" customHeight="1" x14ac:dyDescent="0.35">
      <c r="C52" s="286" t="s">
        <v>122</v>
      </c>
      <c r="D52" s="575"/>
      <c r="E52" s="575"/>
      <c r="F52" s="575"/>
      <c r="G52" s="575"/>
      <c r="H52" s="575"/>
      <c r="I52" s="575"/>
      <c r="J52" s="575"/>
      <c r="K52" s="575"/>
      <c r="L52" s="575"/>
      <c r="M52" s="575"/>
      <c r="N52" s="575"/>
      <c r="O52" s="575"/>
      <c r="P52" s="575"/>
      <c r="Q52" s="575"/>
      <c r="R52" s="575"/>
      <c r="S52" s="575"/>
      <c r="T52" s="575"/>
      <c r="U52" s="575"/>
      <c r="V52" s="575"/>
      <c r="W52" s="575"/>
      <c r="X52" s="575"/>
      <c r="Y52" s="575"/>
      <c r="Z52" s="575"/>
      <c r="AA52" s="575"/>
      <c r="AB52" s="575"/>
    </row>
    <row r="53" spans="3:42" s="5" customFormat="1" ht="12" customHeight="1" thickBot="1" x14ac:dyDescent="0.4">
      <c r="C53" s="289" t="s">
        <v>123</v>
      </c>
      <c r="D53" s="576"/>
      <c r="E53" s="576"/>
      <c r="F53" s="576"/>
      <c r="G53" s="576"/>
      <c r="H53" s="576"/>
      <c r="I53" s="576"/>
      <c r="J53" s="576"/>
      <c r="K53" s="576"/>
      <c r="L53" s="576"/>
      <c r="M53" s="576"/>
      <c r="N53" s="576"/>
      <c r="O53" s="576"/>
      <c r="P53" s="576"/>
      <c r="Q53" s="576"/>
      <c r="R53" s="576"/>
      <c r="S53" s="576"/>
      <c r="T53" s="576"/>
      <c r="U53" s="576"/>
      <c r="V53" s="576"/>
      <c r="W53" s="576"/>
      <c r="X53" s="576"/>
      <c r="Y53" s="576"/>
      <c r="Z53" s="576"/>
      <c r="AA53" s="576"/>
      <c r="AB53" s="576"/>
    </row>
    <row r="54" spans="3:42" s="5" customFormat="1" x14ac:dyDescent="0.35">
      <c r="C54" s="286" t="s">
        <v>124</v>
      </c>
      <c r="D54" s="577">
        <v>0</v>
      </c>
      <c r="E54" s="577">
        <v>30</v>
      </c>
      <c r="F54" s="577">
        <v>0</v>
      </c>
      <c r="G54" s="577"/>
      <c r="H54" s="577"/>
      <c r="I54" s="577"/>
      <c r="J54" s="577"/>
      <c r="K54" s="577"/>
      <c r="L54" s="577"/>
      <c r="M54" s="577"/>
      <c r="N54" s="577"/>
      <c r="O54" s="577"/>
      <c r="P54" s="577"/>
      <c r="Q54" s="577"/>
      <c r="R54" s="577"/>
      <c r="S54" s="577"/>
      <c r="T54" s="577"/>
      <c r="U54" s="577"/>
      <c r="V54" s="577"/>
      <c r="W54" s="577"/>
      <c r="X54" s="577"/>
      <c r="Y54" s="577"/>
      <c r="Z54" s="577"/>
      <c r="AA54" s="577"/>
      <c r="AB54" s="577"/>
    </row>
    <row r="55" spans="3:42" s="5" customFormat="1" ht="12" customHeight="1" thickBot="1" x14ac:dyDescent="0.4">
      <c r="C55" s="289" t="s">
        <v>125</v>
      </c>
      <c r="D55" s="578">
        <v>15</v>
      </c>
      <c r="E55" s="578">
        <v>30</v>
      </c>
      <c r="F55" s="578">
        <v>15</v>
      </c>
      <c r="G55" s="578"/>
      <c r="H55" s="578"/>
      <c r="I55" s="578"/>
      <c r="J55" s="578"/>
      <c r="K55" s="578"/>
      <c r="L55" s="578"/>
      <c r="M55" s="578"/>
      <c r="N55" s="578"/>
      <c r="O55" s="578"/>
      <c r="P55" s="578"/>
      <c r="Q55" s="578"/>
      <c r="R55" s="578"/>
      <c r="S55" s="578"/>
      <c r="T55" s="578"/>
      <c r="U55" s="578"/>
      <c r="V55" s="578"/>
      <c r="W55" s="578"/>
      <c r="X55" s="578"/>
      <c r="Y55" s="578"/>
      <c r="Z55" s="578"/>
      <c r="AA55" s="578"/>
      <c r="AB55" s="578"/>
    </row>
    <row r="56" spans="3:42" s="5" customFormat="1" ht="12" customHeight="1" thickBot="1" x14ac:dyDescent="0.4">
      <c r="C56" s="286" t="s">
        <v>126</v>
      </c>
      <c r="D56" s="579">
        <v>30</v>
      </c>
      <c r="E56" s="579">
        <v>45</v>
      </c>
      <c r="F56" s="579">
        <v>15</v>
      </c>
      <c r="G56" s="579"/>
      <c r="H56" s="579"/>
      <c r="I56" s="579"/>
      <c r="J56" s="579"/>
      <c r="K56" s="579"/>
      <c r="L56" s="579"/>
      <c r="M56" s="579"/>
      <c r="N56" s="579"/>
      <c r="O56" s="579"/>
      <c r="P56" s="579"/>
      <c r="Q56" s="579"/>
      <c r="R56" s="579"/>
      <c r="S56" s="579"/>
      <c r="T56" s="579"/>
      <c r="U56" s="579"/>
      <c r="V56" s="579"/>
      <c r="W56" s="579"/>
      <c r="X56" s="579"/>
      <c r="Y56" s="579"/>
      <c r="Z56" s="579"/>
      <c r="AA56" s="579"/>
      <c r="AB56" s="579"/>
    </row>
    <row r="57" spans="3:42" s="5" customFormat="1" ht="12" hidden="1" customHeight="1" x14ac:dyDescent="0.35">
      <c r="C57" s="8"/>
      <c r="D57" s="9"/>
      <c r="E57" s="9"/>
      <c r="F57" s="9"/>
      <c r="G57" s="9"/>
      <c r="H57" s="9"/>
      <c r="I57" s="9"/>
      <c r="J57" s="9"/>
      <c r="K57" s="9"/>
      <c r="L57" s="9"/>
      <c r="M57" s="9"/>
      <c r="N57" s="9"/>
      <c r="O57" s="9"/>
      <c r="P57" s="9"/>
      <c r="Q57" s="9"/>
      <c r="R57" s="9"/>
      <c r="S57" s="9"/>
      <c r="T57" s="9"/>
      <c r="U57" s="9"/>
      <c r="V57" s="9"/>
      <c r="W57" s="9"/>
      <c r="X57" s="9"/>
      <c r="Y57" s="9"/>
      <c r="Z57" s="9"/>
      <c r="AA57" s="9"/>
      <c r="AB57" s="9"/>
    </row>
    <row r="58" spans="3:42" s="5" customFormat="1" ht="12" hidden="1" customHeight="1" x14ac:dyDescent="0.35">
      <c r="C58" s="8"/>
      <c r="D58" s="9"/>
      <c r="E58" s="290"/>
      <c r="F58" s="290"/>
      <c r="G58" s="290"/>
      <c r="H58" s="290"/>
      <c r="I58" s="290"/>
      <c r="J58" s="290"/>
      <c r="K58" s="290"/>
      <c r="L58" s="290"/>
      <c r="M58" s="290"/>
      <c r="N58" s="290"/>
      <c r="O58" s="290"/>
      <c r="P58" s="290"/>
      <c r="Q58" s="290"/>
      <c r="R58" s="290"/>
      <c r="S58" s="290"/>
      <c r="T58" s="290"/>
      <c r="U58" s="290"/>
      <c r="V58" s="290"/>
      <c r="W58" s="290"/>
      <c r="X58" s="290"/>
      <c r="Y58" s="290"/>
      <c r="Z58" s="290"/>
      <c r="AA58" s="290"/>
      <c r="AB58" s="8"/>
    </row>
    <row r="59" spans="3:42" s="5" customFormat="1" ht="17.25" customHeight="1" thickBot="1" x14ac:dyDescent="0.3">
      <c r="C59" s="291"/>
      <c r="D59" s="252" t="str">
        <f>IF(Input!D37&lt;&gt;"",D37,D36)</f>
        <v>Item 1</v>
      </c>
      <c r="E59" s="251" t="str">
        <f>IF(Input!E37&lt;&gt;"",E37,E36)</f>
        <v>Item 2</v>
      </c>
      <c r="F59" s="251" t="str">
        <f>IF(Input!F37&lt;&gt;"",F37,F36)</f>
        <v>Item 3</v>
      </c>
      <c r="G59" s="251" t="str">
        <f>IF(Input!G37&lt;&gt;"",G37,G36)</f>
        <v>Item 4</v>
      </c>
      <c r="H59" s="251" t="str">
        <f>IF(Input!H37&lt;&gt;"",H37,H36)</f>
        <v>Item 5</v>
      </c>
      <c r="I59" s="251" t="str">
        <f>IF(Input!I37&lt;&gt;"",I37,I36)</f>
        <v>Item 6</v>
      </c>
      <c r="J59" s="251" t="str">
        <f>IF(Input!J37&lt;&gt;"",J37,J36)</f>
        <v>Item 7</v>
      </c>
      <c r="K59" s="251" t="str">
        <f>IF(Input!K37&lt;&gt;"",K37,K36)</f>
        <v>Item 8</v>
      </c>
      <c r="L59" s="251" t="str">
        <f>IF(Input!L37&lt;&gt;"",L37,L36)</f>
        <v>Item 9</v>
      </c>
      <c r="M59" s="251" t="str">
        <f>IF(Input!M37&lt;&gt;"",M37,M36)</f>
        <v>Item 10</v>
      </c>
      <c r="N59" s="251" t="str">
        <f>IF(Input!N37&lt;&gt;"",N37,N36)</f>
        <v>Item 11</v>
      </c>
      <c r="O59" s="251" t="str">
        <f>IF(Input!O37&lt;&gt;"",O37,O36)</f>
        <v>Item 12</v>
      </c>
      <c r="P59" s="251" t="str">
        <f>IF(Input!P37&lt;&gt;"",P37,P36)</f>
        <v>Item 13</v>
      </c>
      <c r="Q59" s="251" t="str">
        <f>IF(Input!Q37&lt;&gt;"",Q37,Q36)</f>
        <v>Item 14</v>
      </c>
      <c r="R59" s="251" t="str">
        <f>IF(Input!R37&lt;&gt;"",R37,R36)</f>
        <v>Item 15</v>
      </c>
      <c r="S59" s="251" t="str">
        <f>IF(Input!S37&lt;&gt;"",S37,S36)</f>
        <v>Item 16</v>
      </c>
      <c r="T59" s="251" t="str">
        <f>IF(Input!T37&lt;&gt;"",T37,T36)</f>
        <v>Item 17</v>
      </c>
      <c r="U59" s="251" t="str">
        <f>IF(Input!U37&lt;&gt;"",U37,U36)</f>
        <v>Item 18</v>
      </c>
      <c r="V59" s="251" t="str">
        <f>IF(Input!V37&lt;&gt;"",V37,V36)</f>
        <v>Item 19</v>
      </c>
      <c r="W59" s="251" t="str">
        <f>IF(Input!W37&lt;&gt;"",W37,W36)</f>
        <v>Item 20</v>
      </c>
      <c r="X59" s="251" t="str">
        <f>IF(Input!X37&lt;&gt;"",X37,X36)</f>
        <v>Item 21</v>
      </c>
      <c r="Y59" s="251" t="str">
        <f>IF(Input!Y37&lt;&gt;"",Y37,Y36)</f>
        <v>Item 22</v>
      </c>
      <c r="Z59" s="251" t="str">
        <f>IF(Input!Z37&lt;&gt;"",Z37,Z36)</f>
        <v>Item 23</v>
      </c>
      <c r="AA59" s="251" t="str">
        <f>IF(Input!AA37&lt;&gt;"",AA37,AA36)</f>
        <v>Item 24</v>
      </c>
      <c r="AB59" s="251" t="str">
        <f>IF(Input!AB37&lt;&gt;"",AB37,AB36)</f>
        <v>Item 25</v>
      </c>
    </row>
    <row r="60" spans="3:42" s="5" customFormat="1" x14ac:dyDescent="0.35">
      <c r="C60" s="286" t="s">
        <v>127</v>
      </c>
      <c r="D60" s="580">
        <v>46418</v>
      </c>
      <c r="E60" s="580">
        <v>46507</v>
      </c>
      <c r="F60" s="580">
        <v>46418</v>
      </c>
      <c r="G60" s="580"/>
      <c r="H60" s="580"/>
      <c r="I60" s="580"/>
      <c r="J60" s="580"/>
      <c r="K60" s="580"/>
      <c r="L60" s="580"/>
      <c r="M60" s="580"/>
      <c r="N60" s="580"/>
      <c r="O60" s="580"/>
      <c r="P60" s="580"/>
      <c r="Q60" s="580"/>
      <c r="R60" s="580"/>
      <c r="S60" s="580"/>
      <c r="T60" s="580"/>
      <c r="U60" s="580"/>
      <c r="V60" s="580"/>
      <c r="W60" s="580"/>
      <c r="X60" s="580"/>
      <c r="Y60" s="580"/>
      <c r="Z60" s="580"/>
      <c r="AA60" s="580"/>
      <c r="AB60" s="581"/>
      <c r="AC60" s="108"/>
    </row>
    <row r="61" spans="3:42" s="5" customFormat="1" x14ac:dyDescent="0.35">
      <c r="C61" s="289" t="s">
        <v>128</v>
      </c>
      <c r="D61" s="1027">
        <v>48213</v>
      </c>
      <c r="E61" s="582">
        <v>48213</v>
      </c>
      <c r="F61" s="582">
        <v>48213</v>
      </c>
      <c r="G61" s="582"/>
      <c r="H61" s="582"/>
      <c r="I61" s="582"/>
      <c r="J61" s="582"/>
      <c r="K61" s="582"/>
      <c r="L61" s="582"/>
      <c r="M61" s="582"/>
      <c r="N61" s="582"/>
      <c r="O61" s="582"/>
      <c r="P61" s="582"/>
      <c r="Q61" s="582"/>
      <c r="R61" s="582"/>
      <c r="S61" s="582"/>
      <c r="T61" s="582"/>
      <c r="U61" s="582"/>
      <c r="V61" s="582"/>
      <c r="W61" s="582"/>
      <c r="X61" s="582"/>
      <c r="Y61" s="582"/>
      <c r="Z61" s="582"/>
      <c r="AA61" s="582"/>
      <c r="AB61" s="583"/>
      <c r="AC61" s="108"/>
    </row>
    <row r="62" spans="3:42" s="5" customFormat="1" ht="12" customHeight="1" thickBot="1" x14ac:dyDescent="0.4">
      <c r="C62" s="286" t="s">
        <v>129</v>
      </c>
      <c r="D62" s="584">
        <v>400</v>
      </c>
      <c r="E62" s="584">
        <v>80</v>
      </c>
      <c r="F62" s="584">
        <v>2500</v>
      </c>
      <c r="G62" s="584"/>
      <c r="H62" s="584"/>
      <c r="I62" s="584"/>
      <c r="J62" s="584"/>
      <c r="K62" s="584"/>
      <c r="L62" s="584"/>
      <c r="M62" s="584"/>
      <c r="N62" s="584"/>
      <c r="O62" s="584"/>
      <c r="P62" s="584"/>
      <c r="Q62" s="584"/>
      <c r="R62" s="584"/>
      <c r="S62" s="584"/>
      <c r="T62" s="584"/>
      <c r="U62" s="584"/>
      <c r="V62" s="584"/>
      <c r="W62" s="584"/>
      <c r="X62" s="584"/>
      <c r="Y62" s="584"/>
      <c r="Z62" s="584"/>
      <c r="AA62" s="584"/>
      <c r="AB62" s="584"/>
      <c r="AC62" s="108"/>
    </row>
    <row r="63" spans="3:42" s="5" customFormat="1" x14ac:dyDescent="0.3">
      <c r="C63" s="292" t="s">
        <v>130</v>
      </c>
      <c r="D63" s="585" t="inlineStr">
        <is>
          <t>Monthly</t>
        </is>
      </c>
      <c r="E63" s="586" t="inlineStr">
        <is>
          <t>Monthly</t>
        </is>
      </c>
      <c r="F63" s="586" t="inlineStr">
        <is>
          <t>Monthly</t>
        </is>
      </c>
      <c r="G63" s="586"/>
      <c r="H63" s="586"/>
      <c r="I63" s="586"/>
      <c r="J63" s="586"/>
      <c r="K63" s="586"/>
      <c r="L63" s="586"/>
      <c r="M63" s="586"/>
      <c r="N63" s="586"/>
      <c r="O63" s="586"/>
      <c r="P63" s="586"/>
      <c r="Q63" s="586"/>
      <c r="R63" s="586"/>
      <c r="S63" s="586"/>
      <c r="T63" s="586"/>
      <c r="U63" s="586"/>
      <c r="V63" s="586"/>
      <c r="W63" s="586"/>
      <c r="X63" s="586"/>
      <c r="Y63" s="586"/>
      <c r="Z63" s="586"/>
      <c r="AA63" s="586"/>
      <c r="AB63" s="586"/>
      <c r="AC63" s="108"/>
      <c r="AD63" s="4"/>
      <c r="AE63" s="4"/>
      <c r="AF63" s="4"/>
      <c r="AG63" s="4"/>
      <c r="AH63" s="4"/>
      <c r="AI63" s="4"/>
      <c r="AJ63" s="4"/>
      <c r="AK63" s="4"/>
      <c r="AL63" s="4"/>
      <c r="AM63" s="4"/>
      <c r="AN63" s="4"/>
      <c r="AO63" s="4"/>
      <c r="AP63" s="4"/>
    </row>
    <row r="64" spans="3:42" s="5" customFormat="1" x14ac:dyDescent="0.3">
      <c r="C64" s="286" t="str">
        <f>TEXT(Infrastructure!G25,"#,##0;;@")&amp;TEXT(Infrastructure!I17,"yyyy;;@")</f>
        <v>Percentage - Year 1</v>
      </c>
      <c r="D64" s="575">
        <v>0.05</v>
      </c>
      <c r="E64" s="575">
        <v>0.07</v>
      </c>
      <c r="F64" s="575">
        <v>0.04</v>
      </c>
      <c r="G64" s="575"/>
      <c r="H64" s="575"/>
      <c r="I64" s="575"/>
      <c r="J64" s="575"/>
      <c r="K64" s="575"/>
      <c r="L64" s="575"/>
      <c r="M64" s="575"/>
      <c r="N64" s="575"/>
      <c r="O64" s="575"/>
      <c r="P64" s="575"/>
      <c r="Q64" s="575"/>
      <c r="R64" s="575"/>
      <c r="S64" s="575"/>
      <c r="T64" s="575"/>
      <c r="U64" s="575"/>
      <c r="V64" s="575"/>
      <c r="W64" s="575"/>
      <c r="X64" s="575"/>
      <c r="Y64" s="575"/>
      <c r="Z64" s="575"/>
      <c r="AA64" s="575"/>
      <c r="AB64" s="575"/>
      <c r="AC64" s="108"/>
      <c r="AD64" s="4"/>
      <c r="AE64" s="4"/>
      <c r="AF64" s="4"/>
      <c r="AG64" s="4"/>
      <c r="AH64" s="4"/>
      <c r="AI64" s="4"/>
      <c r="AJ64" s="4"/>
      <c r="AK64" s="4"/>
      <c r="AL64" s="4"/>
      <c r="AM64" s="4"/>
      <c r="AN64" s="4"/>
      <c r="AO64" s="4"/>
      <c r="AP64" s="4"/>
    </row>
    <row r="65" spans="3:42" s="5" customFormat="1" x14ac:dyDescent="0.3">
      <c r="C65" s="1205" t="str">
        <f>C42</f>
        <v>Year 2</v>
      </c>
      <c r="D65" s="575">
        <v>0.03</v>
      </c>
      <c r="E65" s="575">
        <v>0.04</v>
      </c>
      <c r="F65" s="575">
        <v>0.025</v>
      </c>
      <c r="G65" s="575">
        <f>G64</f>
        <v>0</v>
      </c>
      <c r="H65" s="575">
        <f>H64</f>
        <v>0</v>
      </c>
      <c r="I65" s="575">
        <f>I64</f>
        <v>0</v>
      </c>
      <c r="J65" s="575">
        <f>J64</f>
        <v>0</v>
      </c>
      <c r="K65" s="575">
        <f>K64</f>
        <v>0</v>
      </c>
      <c r="L65" s="575">
        <f>L64</f>
        <v>0</v>
      </c>
      <c r="M65" s="575">
        <f>M64</f>
        <v>0</v>
      </c>
      <c r="N65" s="575">
        <f>N64</f>
        <v>0</v>
      </c>
      <c r="O65" s="575">
        <f>O64</f>
        <v>0</v>
      </c>
      <c r="P65" s="575">
        <f>P64</f>
        <v>0</v>
      </c>
      <c r="Q65" s="575">
        <f>Q64</f>
        <v>0</v>
      </c>
      <c r="R65" s="575">
        <f>R64</f>
        <v>0</v>
      </c>
      <c r="S65" s="575">
        <f>S64</f>
        <v>0</v>
      </c>
      <c r="T65" s="575">
        <f>T64</f>
        <v>0</v>
      </c>
      <c r="U65" s="575">
        <f>U64</f>
        <v>0</v>
      </c>
      <c r="V65" s="575">
        <f>V64</f>
        <v>0</v>
      </c>
      <c r="W65" s="575">
        <f>W64</f>
        <v>0</v>
      </c>
      <c r="X65" s="575">
        <f>X64</f>
        <v>0</v>
      </c>
      <c r="Y65" s="575">
        <f>Y64</f>
        <v>0</v>
      </c>
      <c r="Z65" s="575">
        <f>Z64</f>
        <v>0</v>
      </c>
      <c r="AA65" s="575">
        <f>AA64</f>
        <v>0</v>
      </c>
      <c r="AB65" s="575">
        <f>AB64</f>
        <v>0</v>
      </c>
      <c r="AC65" s="108"/>
      <c r="AD65" s="4"/>
      <c r="AE65" s="4"/>
      <c r="AF65" s="4"/>
      <c r="AG65" s="4"/>
      <c r="AH65" s="4"/>
      <c r="AI65" s="4"/>
      <c r="AJ65" s="4"/>
      <c r="AK65" s="4"/>
      <c r="AL65" s="4"/>
      <c r="AM65" s="4"/>
      <c r="AN65" s="4"/>
      <c r="AO65" s="4"/>
      <c r="AP65" s="4"/>
    </row>
    <row r="66" spans="3:42" s="5" customFormat="1" ht="12" customHeight="1" thickBot="1" x14ac:dyDescent="0.35">
      <c r="C66" s="1205" t="str">
        <f>C43</f>
        <v>Year 3</v>
      </c>
      <c r="D66" s="576">
        <v>0.02</v>
      </c>
      <c r="E66" s="576">
        <v>0.03</v>
      </c>
      <c r="F66" s="576">
        <v>0.02</v>
      </c>
      <c r="G66" s="576">
        <f>G65</f>
        <v>0</v>
      </c>
      <c r="H66" s="576">
        <f>H65</f>
        <v>0</v>
      </c>
      <c r="I66" s="576">
        <f>I65</f>
        <v>0</v>
      </c>
      <c r="J66" s="576">
        <f>J65</f>
        <v>0</v>
      </c>
      <c r="K66" s="576">
        <f>K65</f>
        <v>0</v>
      </c>
      <c r="L66" s="576">
        <f>L65</f>
        <v>0</v>
      </c>
      <c r="M66" s="576">
        <f>M65</f>
        <v>0</v>
      </c>
      <c r="N66" s="576">
        <f>N65</f>
        <v>0</v>
      </c>
      <c r="O66" s="576">
        <f>O65</f>
        <v>0</v>
      </c>
      <c r="P66" s="576">
        <f>P65</f>
        <v>0</v>
      </c>
      <c r="Q66" s="576">
        <f>Q65</f>
        <v>0</v>
      </c>
      <c r="R66" s="576">
        <f>R65</f>
        <v>0</v>
      </c>
      <c r="S66" s="576">
        <f>S65</f>
        <v>0</v>
      </c>
      <c r="T66" s="576">
        <f>T65</f>
        <v>0</v>
      </c>
      <c r="U66" s="576">
        <f>U65</f>
        <v>0</v>
      </c>
      <c r="V66" s="576">
        <f>V65</f>
        <v>0</v>
      </c>
      <c r="W66" s="576">
        <f>W65</f>
        <v>0</v>
      </c>
      <c r="X66" s="576">
        <f>X65</f>
        <v>0</v>
      </c>
      <c r="Y66" s="576">
        <f>Y65</f>
        <v>0</v>
      </c>
      <c r="Z66" s="576">
        <f>Z65</f>
        <v>0</v>
      </c>
      <c r="AA66" s="576">
        <f>AA65</f>
        <v>0</v>
      </c>
      <c r="AB66" s="576">
        <f>AB65</f>
        <v>0</v>
      </c>
      <c r="AC66" s="108"/>
      <c r="AD66" s="4"/>
      <c r="AE66" s="4"/>
      <c r="AF66" s="4"/>
      <c r="AG66" s="4"/>
      <c r="AH66" s="4"/>
      <c r="AI66" s="4"/>
      <c r="AJ66" s="4"/>
      <c r="AK66" s="4"/>
      <c r="AL66" s="4"/>
      <c r="AM66" s="4"/>
      <c r="AN66" s="4"/>
      <c r="AO66" s="4"/>
      <c r="AP66" s="4"/>
    </row>
    <row r="67" spans="3:42" s="5" customFormat="1" x14ac:dyDescent="0.3">
      <c r="C67" s="1205" t="str">
        <f>C44</f>
        <v>Year 4</v>
      </c>
      <c r="D67" s="1035">
        <v>0.015</v>
      </c>
      <c r="E67" s="1035">
        <v>0.02</v>
      </c>
      <c r="F67" s="1035">
        <v>0.015</v>
      </c>
      <c r="G67" s="1035">
        <f>G66</f>
        <v>0</v>
      </c>
      <c r="H67" s="1035">
        <f>H66</f>
        <v>0</v>
      </c>
      <c r="I67" s="1035">
        <f>I66</f>
        <v>0</v>
      </c>
      <c r="J67" s="1035">
        <f>J66</f>
        <v>0</v>
      </c>
      <c r="K67" s="1035">
        <f>K66</f>
        <v>0</v>
      </c>
      <c r="L67" s="1035">
        <f>L66</f>
        <v>0</v>
      </c>
      <c r="M67" s="1035">
        <f>M66</f>
        <v>0</v>
      </c>
      <c r="N67" s="1035">
        <f>N66</f>
        <v>0</v>
      </c>
      <c r="O67" s="1035">
        <f>O66</f>
        <v>0</v>
      </c>
      <c r="P67" s="1035">
        <f>P66</f>
        <v>0</v>
      </c>
      <c r="Q67" s="1035">
        <f>Q66</f>
        <v>0</v>
      </c>
      <c r="R67" s="1035">
        <f>R66</f>
        <v>0</v>
      </c>
      <c r="S67" s="1035">
        <f>S66</f>
        <v>0</v>
      </c>
      <c r="T67" s="1035">
        <f>T66</f>
        <v>0</v>
      </c>
      <c r="U67" s="1035">
        <f>U66</f>
        <v>0</v>
      </c>
      <c r="V67" s="1035">
        <f>V66</f>
        <v>0</v>
      </c>
      <c r="W67" s="1035">
        <f>W66</f>
        <v>0</v>
      </c>
      <c r="X67" s="1035">
        <f>X66</f>
        <v>0</v>
      </c>
      <c r="Y67" s="1035">
        <f>Y66</f>
        <v>0</v>
      </c>
      <c r="Z67" s="1035">
        <f>Z66</f>
        <v>0</v>
      </c>
      <c r="AA67" s="1035">
        <f>AA66</f>
        <v>0</v>
      </c>
      <c r="AB67" s="1036">
        <f>AB66</f>
        <v>0</v>
      </c>
      <c r="AC67" s="108"/>
      <c r="AD67" s="4"/>
      <c r="AE67" s="4"/>
      <c r="AF67" s="4"/>
      <c r="AG67" s="4"/>
      <c r="AH67" s="4"/>
      <c r="AI67" s="4"/>
      <c r="AJ67" s="4"/>
      <c r="AK67" s="4"/>
      <c r="AL67" s="4"/>
      <c r="AM67" s="4"/>
      <c r="AN67" s="4"/>
      <c r="AO67" s="4"/>
      <c r="AP67" s="4"/>
    </row>
    <row r="68" spans="3:42" s="5" customFormat="1" ht="12" customHeight="1" thickBot="1" x14ac:dyDescent="0.35">
      <c r="C68" s="1205" t="str">
        <f>C45</f>
        <v>Year 5</v>
      </c>
      <c r="D68" s="1034">
        <v>0.01</v>
      </c>
      <c r="E68" s="1034">
        <v>0.015</v>
      </c>
      <c r="F68" s="1034">
        <v>0.01</v>
      </c>
      <c r="G68" s="1034">
        <f>G67</f>
        <v>0</v>
      </c>
      <c r="H68" s="1034">
        <f>H67</f>
        <v>0</v>
      </c>
      <c r="I68" s="1034">
        <f>I67</f>
        <v>0</v>
      </c>
      <c r="J68" s="1034">
        <f>J67</f>
        <v>0</v>
      </c>
      <c r="K68" s="1034">
        <f>K67</f>
        <v>0</v>
      </c>
      <c r="L68" s="1034">
        <f>L67</f>
        <v>0</v>
      </c>
      <c r="M68" s="1034">
        <f>M67</f>
        <v>0</v>
      </c>
      <c r="N68" s="1034">
        <f>N67</f>
        <v>0</v>
      </c>
      <c r="O68" s="1034">
        <f>O67</f>
        <v>0</v>
      </c>
      <c r="P68" s="1034">
        <f>P67</f>
        <v>0</v>
      </c>
      <c r="Q68" s="1034">
        <f>Q67</f>
        <v>0</v>
      </c>
      <c r="R68" s="1034">
        <f>R67</f>
        <v>0</v>
      </c>
      <c r="S68" s="1034">
        <f>S67</f>
        <v>0</v>
      </c>
      <c r="T68" s="1034">
        <f>T67</f>
        <v>0</v>
      </c>
      <c r="U68" s="1034">
        <f>U67</f>
        <v>0</v>
      </c>
      <c r="V68" s="1034">
        <f>V67</f>
        <v>0</v>
      </c>
      <c r="W68" s="1034">
        <f>W67</f>
        <v>0</v>
      </c>
      <c r="X68" s="1034">
        <f>X67</f>
        <v>0</v>
      </c>
      <c r="Y68" s="1034">
        <f>Y67</f>
        <v>0</v>
      </c>
      <c r="Z68" s="1034">
        <f>Z67</f>
        <v>0</v>
      </c>
      <c r="AA68" s="1034">
        <f>AA67</f>
        <v>0</v>
      </c>
      <c r="AB68" s="1034">
        <f>AB67</f>
        <v>0</v>
      </c>
      <c r="AC68" s="108"/>
      <c r="AD68" s="4"/>
      <c r="AE68" s="4"/>
      <c r="AF68" s="4"/>
      <c r="AG68" s="4"/>
      <c r="AH68" s="4"/>
      <c r="AI68" s="4"/>
      <c r="AJ68" s="4"/>
      <c r="AK68" s="4"/>
      <c r="AL68" s="4"/>
      <c r="AM68" s="4"/>
      <c r="AN68" s="4"/>
      <c r="AO68" s="4"/>
      <c r="AP68" s="4"/>
    </row>
    <row r="69" spans="3:42" s="5" customFormat="1" x14ac:dyDescent="0.3">
      <c r="C69" s="286" t="str">
        <f>TEXT(Infrastructure!G26,"#,##0;;@")&amp;TEXT(Infrastructure!I17,"yyyy;;@")</f>
        <v>Number - Year 1</v>
      </c>
      <c r="D69" s="1224"/>
      <c r="E69" s="1224"/>
      <c r="F69" s="1224"/>
      <c r="G69" s="1224"/>
      <c r="H69" s="1224"/>
      <c r="I69" s="1224"/>
      <c r="J69" s="1224"/>
      <c r="K69" s="1224"/>
      <c r="L69" s="1224"/>
      <c r="M69" s="1224"/>
      <c r="N69" s="1224"/>
      <c r="O69" s="1224"/>
      <c r="P69" s="1224"/>
      <c r="Q69" s="1224"/>
      <c r="R69" s="1224"/>
      <c r="S69" s="1224"/>
      <c r="T69" s="1224"/>
      <c r="U69" s="1224"/>
      <c r="V69" s="1224"/>
      <c r="W69" s="1224"/>
      <c r="X69" s="1224"/>
      <c r="Y69" s="1224"/>
      <c r="Z69" s="1224"/>
      <c r="AA69" s="1224"/>
      <c r="AB69" s="1224"/>
      <c r="AC69" s="108"/>
      <c r="AD69" s="4"/>
      <c r="AE69" s="4"/>
      <c r="AF69" s="4"/>
      <c r="AG69" s="4"/>
      <c r="AH69" s="4"/>
      <c r="AI69" s="4"/>
      <c r="AJ69" s="4"/>
      <c r="AK69" s="4"/>
      <c r="AL69" s="4"/>
      <c r="AM69" s="4"/>
      <c r="AN69" s="4"/>
      <c r="AO69" s="4"/>
      <c r="AP69" s="4"/>
    </row>
    <row r="70" spans="3:42" s="5" customFormat="1" x14ac:dyDescent="0.3">
      <c r="C70" s="1205" t="str">
        <f>C65</f>
        <v>Year 2</v>
      </c>
      <c r="D70" s="583">
        <f>D69</f>
        <v>0</v>
      </c>
      <c r="E70" s="583">
        <f>E69</f>
        <v>0</v>
      </c>
      <c r="F70" s="583">
        <f>F69</f>
        <v>0</v>
      </c>
      <c r="G70" s="583">
        <f>G69</f>
        <v>0</v>
      </c>
      <c r="H70" s="583">
        <f>H69</f>
        <v>0</v>
      </c>
      <c r="I70" s="583">
        <f>I69</f>
        <v>0</v>
      </c>
      <c r="J70" s="583">
        <f>J69</f>
        <v>0</v>
      </c>
      <c r="K70" s="583">
        <f>K69</f>
        <v>0</v>
      </c>
      <c r="L70" s="583">
        <f>L69</f>
        <v>0</v>
      </c>
      <c r="M70" s="583">
        <f>M69</f>
        <v>0</v>
      </c>
      <c r="N70" s="583">
        <f>N69</f>
        <v>0</v>
      </c>
      <c r="O70" s="583">
        <f>O69</f>
        <v>0</v>
      </c>
      <c r="P70" s="583">
        <f>P69</f>
        <v>0</v>
      </c>
      <c r="Q70" s="583">
        <f>Q69</f>
        <v>0</v>
      </c>
      <c r="R70" s="583">
        <f>R69</f>
        <v>0</v>
      </c>
      <c r="S70" s="583">
        <f>S69</f>
        <v>0</v>
      </c>
      <c r="T70" s="583">
        <f>T69</f>
        <v>0</v>
      </c>
      <c r="U70" s="583">
        <f>U69</f>
        <v>0</v>
      </c>
      <c r="V70" s="583">
        <f>V69</f>
        <v>0</v>
      </c>
      <c r="W70" s="583">
        <f>W69</f>
        <v>0</v>
      </c>
      <c r="X70" s="583">
        <f>X69</f>
        <v>0</v>
      </c>
      <c r="Y70" s="583">
        <f>Y69</f>
        <v>0</v>
      </c>
      <c r="Z70" s="583">
        <f>Z69</f>
        <v>0</v>
      </c>
      <c r="AA70" s="583">
        <f>AA69</f>
        <v>0</v>
      </c>
      <c r="AB70" s="583">
        <f>AB69</f>
        <v>0</v>
      </c>
      <c r="AC70" s="108"/>
      <c r="AD70" s="4"/>
      <c r="AE70" s="4"/>
      <c r="AF70" s="4"/>
      <c r="AG70" s="4"/>
      <c r="AH70" s="4"/>
      <c r="AI70" s="4"/>
      <c r="AJ70" s="4"/>
      <c r="AK70" s="4"/>
      <c r="AL70" s="4"/>
      <c r="AM70" s="4"/>
      <c r="AN70" s="4"/>
      <c r="AO70" s="4"/>
      <c r="AP70" s="4"/>
    </row>
    <row r="71" spans="3:42" s="5" customFormat="1" ht="12.5" thickBot="1" x14ac:dyDescent="0.35">
      <c r="C71" s="1205" t="str">
        <f>C66</f>
        <v>Year 3</v>
      </c>
      <c r="D71" s="1238">
        <f>D70</f>
        <v>0</v>
      </c>
      <c r="E71" s="1238">
        <f>E70</f>
        <v>0</v>
      </c>
      <c r="F71" s="1238">
        <f>F70</f>
        <v>0</v>
      </c>
      <c r="G71" s="1238">
        <f>G70</f>
        <v>0</v>
      </c>
      <c r="H71" s="1238">
        <f>H70</f>
        <v>0</v>
      </c>
      <c r="I71" s="1238">
        <f>I70</f>
        <v>0</v>
      </c>
      <c r="J71" s="1238">
        <f>J70</f>
        <v>0</v>
      </c>
      <c r="K71" s="1238">
        <f>K70</f>
        <v>0</v>
      </c>
      <c r="L71" s="1238">
        <f>L70</f>
        <v>0</v>
      </c>
      <c r="M71" s="1238">
        <f>M70</f>
        <v>0</v>
      </c>
      <c r="N71" s="1238">
        <f>N70</f>
        <v>0</v>
      </c>
      <c r="O71" s="1238">
        <f>O70</f>
        <v>0</v>
      </c>
      <c r="P71" s="1238">
        <f>P70</f>
        <v>0</v>
      </c>
      <c r="Q71" s="1238">
        <f>Q70</f>
        <v>0</v>
      </c>
      <c r="R71" s="1238">
        <f>R70</f>
        <v>0</v>
      </c>
      <c r="S71" s="1238">
        <f>S70</f>
        <v>0</v>
      </c>
      <c r="T71" s="1238">
        <f>T70</f>
        <v>0</v>
      </c>
      <c r="U71" s="1238">
        <f>U70</f>
        <v>0</v>
      </c>
      <c r="V71" s="1238">
        <f>V70</f>
        <v>0</v>
      </c>
      <c r="W71" s="1238">
        <f>W70</f>
        <v>0</v>
      </c>
      <c r="X71" s="1238">
        <f>X70</f>
        <v>0</v>
      </c>
      <c r="Y71" s="1238">
        <f>Y70</f>
        <v>0</v>
      </c>
      <c r="Z71" s="1238">
        <f>Z70</f>
        <v>0</v>
      </c>
      <c r="AA71" s="1238">
        <f>AA70</f>
        <v>0</v>
      </c>
      <c r="AB71" s="1238">
        <f>AB70</f>
        <v>0</v>
      </c>
      <c r="AC71" s="108"/>
      <c r="AD71" s="4"/>
      <c r="AE71" s="4"/>
      <c r="AF71" s="4"/>
      <c r="AG71" s="4"/>
      <c r="AH71" s="4"/>
      <c r="AI71" s="4"/>
      <c r="AJ71" s="4"/>
      <c r="AK71" s="4"/>
      <c r="AL71" s="4"/>
      <c r="AM71" s="4"/>
      <c r="AN71" s="4"/>
      <c r="AO71" s="4"/>
      <c r="AP71" s="4"/>
    </row>
    <row r="72" spans="3:42" s="5" customFormat="1" x14ac:dyDescent="0.3">
      <c r="C72" s="1205" t="str">
        <f>C67</f>
        <v>Year 4</v>
      </c>
      <c r="D72" s="1225">
        <f>D71</f>
        <v>0</v>
      </c>
      <c r="E72" s="1225">
        <f>E71</f>
        <v>0</v>
      </c>
      <c r="F72" s="1225">
        <f>F71</f>
        <v>0</v>
      </c>
      <c r="G72" s="1225">
        <f>G71</f>
        <v>0</v>
      </c>
      <c r="H72" s="1225">
        <f>H71</f>
        <v>0</v>
      </c>
      <c r="I72" s="1225">
        <f>I71</f>
        <v>0</v>
      </c>
      <c r="J72" s="1225">
        <f>J71</f>
        <v>0</v>
      </c>
      <c r="K72" s="1225">
        <f>K71</f>
        <v>0</v>
      </c>
      <c r="L72" s="1225">
        <f>L71</f>
        <v>0</v>
      </c>
      <c r="M72" s="1225">
        <f>M71</f>
        <v>0</v>
      </c>
      <c r="N72" s="1225">
        <f>N71</f>
        <v>0</v>
      </c>
      <c r="O72" s="1225">
        <f>O71</f>
        <v>0</v>
      </c>
      <c r="P72" s="1225">
        <f>P71</f>
        <v>0</v>
      </c>
      <c r="Q72" s="1225">
        <f>Q71</f>
        <v>0</v>
      </c>
      <c r="R72" s="1225">
        <f>R71</f>
        <v>0</v>
      </c>
      <c r="S72" s="1225">
        <f>S71</f>
        <v>0</v>
      </c>
      <c r="T72" s="1225">
        <f>T71</f>
        <v>0</v>
      </c>
      <c r="U72" s="1225">
        <f>U71</f>
        <v>0</v>
      </c>
      <c r="V72" s="1225">
        <f>V71</f>
        <v>0</v>
      </c>
      <c r="W72" s="1225">
        <f>W71</f>
        <v>0</v>
      </c>
      <c r="X72" s="1225">
        <f>X71</f>
        <v>0</v>
      </c>
      <c r="Y72" s="1225">
        <f>Y71</f>
        <v>0</v>
      </c>
      <c r="Z72" s="1225">
        <f>Z71</f>
        <v>0</v>
      </c>
      <c r="AA72" s="1225">
        <f>AA71</f>
        <v>0</v>
      </c>
      <c r="AB72" s="1225">
        <f>AB71</f>
        <v>0</v>
      </c>
      <c r="AC72" s="108"/>
      <c r="AD72" s="4"/>
      <c r="AE72" s="4"/>
      <c r="AF72" s="4"/>
      <c r="AG72" s="4"/>
      <c r="AH72" s="4"/>
      <c r="AI72" s="4"/>
      <c r="AJ72" s="4"/>
      <c r="AK72" s="4"/>
      <c r="AL72" s="4"/>
      <c r="AM72" s="4"/>
      <c r="AN72" s="4"/>
      <c r="AO72" s="4"/>
      <c r="AP72" s="4"/>
    </row>
    <row r="73" spans="3:42" s="5" customFormat="1" ht="12" customHeight="1" thickBot="1" x14ac:dyDescent="0.35">
      <c r="C73" s="1205" t="str">
        <f>C68</f>
        <v>Year 5</v>
      </c>
      <c r="D73" s="1709">
        <f>D72</f>
        <v>0</v>
      </c>
      <c r="E73" s="1226">
        <f>E72</f>
        <v>0</v>
      </c>
      <c r="F73" s="1226">
        <f>F72</f>
        <v>0</v>
      </c>
      <c r="G73" s="1226">
        <f>G72</f>
        <v>0</v>
      </c>
      <c r="H73" s="1226">
        <f>H72</f>
        <v>0</v>
      </c>
      <c r="I73" s="1226">
        <f>I72</f>
        <v>0</v>
      </c>
      <c r="J73" s="1226">
        <f>J72</f>
        <v>0</v>
      </c>
      <c r="K73" s="1226">
        <f>K72</f>
        <v>0</v>
      </c>
      <c r="L73" s="1226">
        <f>L72</f>
        <v>0</v>
      </c>
      <c r="M73" s="1226">
        <f>M72</f>
        <v>0</v>
      </c>
      <c r="N73" s="1226">
        <f>N72</f>
        <v>0</v>
      </c>
      <c r="O73" s="1226">
        <f>O72</f>
        <v>0</v>
      </c>
      <c r="P73" s="1226">
        <f>P72</f>
        <v>0</v>
      </c>
      <c r="Q73" s="1226">
        <f>Q72</f>
        <v>0</v>
      </c>
      <c r="R73" s="1226">
        <f>R72</f>
        <v>0</v>
      </c>
      <c r="S73" s="1226">
        <f>S72</f>
        <v>0</v>
      </c>
      <c r="T73" s="1226">
        <f>T72</f>
        <v>0</v>
      </c>
      <c r="U73" s="1226">
        <f>U72</f>
        <v>0</v>
      </c>
      <c r="V73" s="1226">
        <f>V72</f>
        <v>0</v>
      </c>
      <c r="W73" s="1226">
        <f>W72</f>
        <v>0</v>
      </c>
      <c r="X73" s="1226">
        <f>X72</f>
        <v>0</v>
      </c>
      <c r="Y73" s="1226">
        <f>Y72</f>
        <v>0</v>
      </c>
      <c r="Z73" s="1226">
        <f>Z72</f>
        <v>0</v>
      </c>
      <c r="AA73" s="1226">
        <f>AA72</f>
        <v>0</v>
      </c>
      <c r="AB73" s="1226">
        <f>AB72</f>
        <v>0</v>
      </c>
      <c r="AC73" s="108"/>
      <c r="AD73" s="4"/>
      <c r="AE73" s="4"/>
      <c r="AF73" s="4"/>
      <c r="AG73" s="4"/>
      <c r="AH73" s="4"/>
      <c r="AI73" s="4"/>
      <c r="AJ73" s="4"/>
      <c r="AK73" s="4"/>
      <c r="AL73" s="4"/>
      <c r="AM73" s="4"/>
      <c r="AN73" s="4"/>
      <c r="AO73" s="4"/>
      <c r="AP73" s="4"/>
    </row>
    <row r="74" spans="3:42" s="5" customFormat="1" ht="12" customHeight="1" x14ac:dyDescent="0.3">
      <c r="C74" s="222"/>
      <c r="D74" s="1750" t="str">
        <f t="array" ref="D74">INDEX($D$40:$AB$40, MATCH(0, COUNTIF($C74:C$474, $D$40:$AB$40), 0))</f>
        <v>Item 1</v>
      </c>
      <c r="E74" s="1750" t="str">
        <f t="array" ref="E74">INDEX($D$40:$AB$40, MATCH(0, COUNTIF($C74:D$474, $D$40:$AB$40), 0))</f>
        <v>Item 2</v>
      </c>
      <c r="F74" s="1750" t="str">
        <f t="array" ref="F74">INDEX($D$40:$AB$40, MATCH(0, COUNTIF($C74:E$474, $D$40:$AB$40), 0))</f>
        <v>Item 3</v>
      </c>
      <c r="G74" s="1750" t="str">
        <f t="array" ref="G74">INDEX($D$40:$AB$40, MATCH(0, COUNTIF($C74:F$474, $D$40:$AB$40), 0))</f>
        <v>Item 4</v>
      </c>
      <c r="H74" s="1750" t="str">
        <f t="array" ref="H74">INDEX($D$40:$AB$40, MATCH(0, COUNTIF($C74:G$474, $D$40:$AB$40), 0))</f>
        <v>Item 5</v>
      </c>
      <c r="I74" s="1750" t="str">
        <f t="array" ref="I74">INDEX($D$40:$AB$40, MATCH(0, COUNTIF($C74:H$474, $D$40:$AB$40), 0))</f>
        <v>Item 6</v>
      </c>
      <c r="J74" s="1750" t="str">
        <f t="array" ref="J74">INDEX($D$40:$AB$40, MATCH(0, COUNTIF($C74:I$474, $D$40:$AB$40), 0))</f>
        <v>Item 7</v>
      </c>
      <c r="K74" s="1750" t="str">
        <f t="array" ref="K74">INDEX($D$40:$AB$40, MATCH(0, COUNTIF($C74:J$474, $D$40:$AB$40), 0))</f>
        <v>Item 8</v>
      </c>
      <c r="L74" s="1750" t="str">
        <f t="array" ref="L74">INDEX($D$40:$AB$40, MATCH(0, COUNTIF($C74:K$474, $D$40:$AB$40), 0))</f>
        <v>Item 9</v>
      </c>
      <c r="M74" s="1750" t="str">
        <f t="array" ref="M74">INDEX($D$40:$AB$40, MATCH(0, COUNTIF($C74:L$474, $D$40:$AB$40), 0))</f>
        <v>Item 10</v>
      </c>
      <c r="N74" s="1750" t="str">
        <f t="array" ref="N74">INDEX($D$40:$AB$40, MATCH(0, COUNTIF($C74:M$474, $D$40:$AB$40), 0))</f>
        <v>Item 11</v>
      </c>
      <c r="O74" s="1750" t="str">
        <f t="array" ref="O74">INDEX($D$40:$AB$40, MATCH(0, COUNTIF($C74:N$474, $D$40:$AB$40), 0))</f>
        <v>Item 12</v>
      </c>
      <c r="P74" s="1750" t="str">
        <f t="array" ref="P74">INDEX($D$40:$AB$40, MATCH(0, COUNTIF($C74:O$474, $D$40:$AB$40), 0))</f>
        <v>Item 13</v>
      </c>
      <c r="Q74" s="1750" t="str">
        <f t="array" ref="Q74">INDEX($D$40:$AB$40, MATCH(0, COUNTIF($C74:P$474, $D$40:$AB$40), 0))</f>
        <v>Item 14</v>
      </c>
      <c r="R74" s="1750" t="str">
        <f t="array" ref="R74">INDEX($D$40:$AB$40, MATCH(0, COUNTIF($C74:Q$474, $D$40:$AB$40), 0))</f>
        <v>Item 15</v>
      </c>
      <c r="S74" s="1750" t="str">
        <f t="array" ref="S74">INDEX($D$40:$AB$40, MATCH(0, COUNTIF($C74:R$474, $D$40:$AB$40), 0))</f>
        <v>Item 16</v>
      </c>
      <c r="T74" s="1750" t="str">
        <f t="array" ref="T74">INDEX($D$40:$AB$40, MATCH(0, COUNTIF($C74:S$474, $D$40:$AB$40), 0))</f>
        <v>Item 17</v>
      </c>
      <c r="U74" s="1750" t="str">
        <f t="array" ref="U74">INDEX($D$40:$AB$40, MATCH(0, COUNTIF($C74:T$474, $D$40:$AB$40), 0))</f>
        <v>Item 18</v>
      </c>
      <c r="V74" s="1750" t="str">
        <f t="array" ref="V74">INDEX($D$40:$AB$40, MATCH(0, COUNTIF($C74:U$474, $D$40:$AB$40), 0))</f>
        <v>Item 19</v>
      </c>
      <c r="W74" s="1750" t="str">
        <f t="array" ref="W74">INDEX($D$40:$AB$40, MATCH(0, COUNTIF($C74:V$474, $D$40:$AB$40), 0))</f>
        <v>Item 20</v>
      </c>
      <c r="X74" s="1750" t="str">
        <f t="array" ref="X74">INDEX($D$40:$AB$40, MATCH(0, COUNTIF($C74:W$474, $D$40:$AB$40), 0))</f>
        <v>Item 21</v>
      </c>
      <c r="Y74" s="1750" t="str">
        <f t="array" ref="Y74">INDEX($D$40:$AB$40, MATCH(0, COUNTIF($C74:X$474, $D$40:$AB$40), 0))</f>
        <v>Item 22</v>
      </c>
      <c r="Z74" s="1750" t="str">
        <f t="array" ref="Z74">INDEX($D$40:$AB$40, MATCH(0, COUNTIF($C74:Y$474, $D$40:$AB$40), 0))</f>
        <v>Item 23</v>
      </c>
      <c r="AA74" s="1750" t="str">
        <f t="array" ref="AA74">INDEX($D$40:$AB$40, MATCH(0, COUNTIF($C74:Z$474, $D$40:$AB$40), 0))</f>
        <v>Item 24</v>
      </c>
      <c r="AB74" s="1750" t="str">
        <f t="array" ref="AB74">INDEX($D$40:$AB$40, MATCH(0, COUNTIF($C74:AA$474, $D$40:$AB$40), 0))</f>
        <v>Item 25</v>
      </c>
      <c r="AC74" s="1236"/>
      <c r="AD74" s="4"/>
      <c r="AE74" s="4"/>
      <c r="AF74" s="4"/>
      <c r="AG74" s="4"/>
      <c r="AH74" s="4"/>
      <c r="AI74" s="4"/>
      <c r="AJ74" s="4"/>
      <c r="AK74" s="4"/>
      <c r="AL74" s="4"/>
      <c r="AM74" s="4"/>
      <c r="AN74" s="4"/>
      <c r="AO74" s="4"/>
      <c r="AP74" s="4"/>
    </row>
    <row r="75" spans="3:42" s="5" customFormat="1" ht="12" hidden="1" customHeight="1" x14ac:dyDescent="0.3">
      <c r="C75" s="223"/>
      <c r="D75" s="221"/>
      <c r="E75" s="224"/>
      <c r="F75" s="224"/>
      <c r="G75" s="224"/>
      <c r="H75" s="224"/>
      <c r="I75" s="224"/>
      <c r="J75" s="224"/>
      <c r="K75" s="224"/>
      <c r="L75" s="226"/>
      <c r="M75" s="226"/>
      <c r="N75" s="226"/>
      <c r="O75" s="226"/>
      <c r="P75" s="226"/>
      <c r="Q75" s="226"/>
      <c r="R75" s="224"/>
      <c r="S75" s="224"/>
      <c r="T75" s="221"/>
      <c r="U75" s="221"/>
      <c r="V75" s="221"/>
      <c r="W75" s="221"/>
      <c r="X75" s="221"/>
      <c r="Y75" s="221"/>
      <c r="Z75" s="221"/>
      <c r="AA75" s="221"/>
      <c r="AB75" s="221"/>
      <c r="AC75" s="1236"/>
      <c r="AD75" s="4"/>
      <c r="AE75" s="4"/>
      <c r="AF75" s="4"/>
      <c r="AG75" s="4"/>
      <c r="AH75" s="4"/>
      <c r="AI75" s="4"/>
      <c r="AJ75" s="4"/>
      <c r="AK75" s="4"/>
      <c r="AL75" s="4"/>
      <c r="AM75" s="4"/>
      <c r="AN75" s="4"/>
      <c r="AO75" s="4"/>
      <c r="AP75" s="4"/>
    </row>
    <row r="76" spans="3:42" s="5" customFormat="1" ht="12" customHeight="1" x14ac:dyDescent="0.3">
      <c r="C76" s="218"/>
      <c r="D76" s="218"/>
      <c r="E76" s="218"/>
      <c r="F76" s="218"/>
      <c r="G76" s="218"/>
      <c r="H76" s="218"/>
      <c r="I76" s="218"/>
      <c r="J76" s="218"/>
      <c r="K76" s="218"/>
      <c r="L76" s="218"/>
      <c r="M76" s="218"/>
      <c r="N76" s="218"/>
      <c r="O76" s="218"/>
      <c r="P76" s="218"/>
      <c r="Q76" s="218"/>
      <c r="R76" s="218"/>
      <c r="S76" s="218"/>
      <c r="T76" s="218"/>
      <c r="U76" s="218"/>
      <c r="V76" s="218"/>
      <c r="W76" s="218"/>
      <c r="X76" s="218"/>
      <c r="Y76" s="218"/>
      <c r="Z76" s="218"/>
      <c r="AA76" s="218"/>
      <c r="AB76" s="218"/>
      <c r="AC76" s="1236"/>
      <c r="AD76" s="4"/>
      <c r="AE76" s="4"/>
      <c r="AF76" s="4"/>
      <c r="AG76" s="4"/>
      <c r="AH76" s="4"/>
      <c r="AI76" s="4"/>
      <c r="AJ76" s="4"/>
      <c r="AK76" s="4"/>
      <c r="AL76" s="4"/>
      <c r="AM76" s="4"/>
      <c r="AN76" s="4"/>
      <c r="AO76" s="4"/>
      <c r="AP76" s="4"/>
    </row>
    <row r="77" spans="3:42" s="5" customFormat="1" ht="12" customHeight="1" x14ac:dyDescent="0.3">
      <c r="C77" s="218" t="s">
        <v>3</v>
      </c>
      <c r="D77" s="808" t="str">
        <f>D59</f>
        <v>Item 1</v>
      </c>
      <c r="E77" s="809" t="str">
        <f>E59</f>
        <v>Item 2</v>
      </c>
      <c r="F77" s="809" t="str">
        <f>F59</f>
        <v>Item 3</v>
      </c>
      <c r="G77" s="810" t="str">
        <f>G59</f>
        <v>Item 4</v>
      </c>
      <c r="H77" s="810" t="str">
        <f>H59</f>
        <v>Item 5</v>
      </c>
      <c r="I77" s="810" t="str">
        <f>I59</f>
        <v>Item 6</v>
      </c>
      <c r="J77" s="810" t="str">
        <f>J59</f>
        <v>Item 7</v>
      </c>
      <c r="K77" s="810" t="str">
        <f>K59</f>
        <v>Item 8</v>
      </c>
      <c r="L77" s="810" t="str">
        <f>L59</f>
        <v>Item 9</v>
      </c>
      <c r="M77" s="810" t="str">
        <f>M59</f>
        <v>Item 10</v>
      </c>
      <c r="N77" s="810" t="str">
        <f>N59</f>
        <v>Item 11</v>
      </c>
      <c r="O77" s="810" t="str">
        <f>O59</f>
        <v>Item 12</v>
      </c>
      <c r="P77" s="810" t="str">
        <f>P59</f>
        <v>Item 13</v>
      </c>
      <c r="Q77" s="810" t="str">
        <f>Q59</f>
        <v>Item 14</v>
      </c>
      <c r="R77" s="810" t="str">
        <f>R59</f>
        <v>Item 15</v>
      </c>
      <c r="S77" s="810" t="str">
        <f>S59</f>
        <v>Item 16</v>
      </c>
      <c r="T77" s="810" t="str">
        <f>T59</f>
        <v>Item 17</v>
      </c>
      <c r="U77" s="810" t="str">
        <f>U59</f>
        <v>Item 18</v>
      </c>
      <c r="V77" s="810" t="str">
        <f>V59</f>
        <v>Item 19</v>
      </c>
      <c r="W77" s="810" t="str">
        <f>W59</f>
        <v>Item 20</v>
      </c>
      <c r="X77" s="810" t="str">
        <f>X59</f>
        <v>Item 21</v>
      </c>
      <c r="Y77" s="810" t="str">
        <f>Y59</f>
        <v>Item 22</v>
      </c>
      <c r="Z77" s="810" t="str">
        <f>Z59</f>
        <v>Item 23</v>
      </c>
      <c r="AA77" s="810" t="str">
        <f>AA59</f>
        <v>Item 24</v>
      </c>
      <c r="AB77" s="810" t="str">
        <f>AB59</f>
        <v>Item 25</v>
      </c>
      <c r="AC77" s="4"/>
      <c r="AD77" s="4"/>
      <c r="AE77" s="4"/>
      <c r="AF77" s="4"/>
      <c r="AG77" s="4"/>
      <c r="AH77" s="4"/>
      <c r="AI77" s="4"/>
      <c r="AJ77" s="4"/>
      <c r="AK77" s="4"/>
      <c r="AL77" s="4"/>
      <c r="AM77" s="4"/>
      <c r="AN77" s="4"/>
      <c r="AO77" s="4"/>
      <c r="AP77" s="4"/>
    </row>
    <row r="78" spans="3:42" s="5" customFormat="1" x14ac:dyDescent="0.3">
      <c r="C78" s="1204" t="str">
        <f>Infrastructure!I17</f>
        <v>Year 1</v>
      </c>
      <c r="D78" s="777">
        <f>SUM(Input!D340:D351)</f>
        <v>0</v>
      </c>
      <c r="E78" s="777">
        <f>SUM(Input!E340:E351)</f>
        <v>0</v>
      </c>
      <c r="F78" s="777">
        <f>SUM(Input!F340:F351)</f>
        <v>0</v>
      </c>
      <c r="G78" s="777">
        <f>SUM(Input!G340:G351)</f>
        <v>0</v>
      </c>
      <c r="H78" s="777">
        <f>SUM(Input!H340:H351)</f>
        <v>0</v>
      </c>
      <c r="I78" s="777">
        <f>SUM(Input!I340:I351)</f>
        <v>0</v>
      </c>
      <c r="J78" s="777">
        <f>SUM(Input!J340:J351)</f>
        <v>0</v>
      </c>
      <c r="K78" s="777">
        <f>SUM(Input!K340:K351)</f>
        <v>0</v>
      </c>
      <c r="L78" s="777">
        <f>SUM(Input!L340:L351)</f>
        <v>0</v>
      </c>
      <c r="M78" s="777">
        <f>SUM(Input!M340:M351)</f>
        <v>0</v>
      </c>
      <c r="N78" s="777">
        <f>SUM(Input!N340:N351)</f>
        <v>0</v>
      </c>
      <c r="O78" s="777">
        <f>SUM(Input!O340:O351)</f>
        <v>0</v>
      </c>
      <c r="P78" s="777">
        <f>SUM(Input!P340:P351)</f>
        <v>0</v>
      </c>
      <c r="Q78" s="777">
        <f>SUM(Input!Q340:Q351)</f>
        <v>0</v>
      </c>
      <c r="R78" s="777">
        <f>SUM(Input!R340:R351)</f>
        <v>0</v>
      </c>
      <c r="S78" s="777">
        <f>SUM(Input!S340:S351)</f>
        <v>0</v>
      </c>
      <c r="T78" s="777">
        <f>SUM(Input!T340:T351)</f>
        <v>0</v>
      </c>
      <c r="U78" s="777">
        <f>SUM(Input!U340:U351)</f>
        <v>0</v>
      </c>
      <c r="V78" s="777">
        <f>SUM(Input!V340:V351)</f>
        <v>0</v>
      </c>
      <c r="W78" s="777">
        <f>SUM(Input!W340:W351)</f>
        <v>0</v>
      </c>
      <c r="X78" s="777">
        <f>SUM(Input!X340:X351)</f>
        <v>0</v>
      </c>
      <c r="Y78" s="777">
        <f>SUM(Input!Y340:Y351)</f>
        <v>0</v>
      </c>
      <c r="Z78" s="777">
        <f>SUM(Input!Z340:Z351)</f>
        <v>0</v>
      </c>
      <c r="AA78" s="777">
        <f>SUM(Input!AA340:AA351)</f>
        <v>0</v>
      </c>
      <c r="AB78" s="777">
        <f>SUM(Input!AB340:AB351)</f>
        <v>0</v>
      </c>
      <c r="AC78" s="4"/>
      <c r="AD78" s="4"/>
      <c r="AE78" s="4"/>
      <c r="AF78" s="4"/>
      <c r="AG78" s="4"/>
      <c r="AH78" s="4"/>
      <c r="AI78" s="4"/>
      <c r="AJ78" s="4"/>
      <c r="AK78" s="4"/>
      <c r="AL78" s="4"/>
      <c r="AM78" s="4"/>
      <c r="AN78" s="4"/>
      <c r="AO78" s="4"/>
      <c r="AP78" s="4"/>
    </row>
    <row r="79" spans="3:42" s="5" customFormat="1" x14ac:dyDescent="0.3">
      <c r="C79" s="1204" t="str">
        <f>Infrastructure!I18</f>
        <v>Year 2</v>
      </c>
      <c r="D79" s="777">
        <f>SUM(Input!D352:D363)</f>
        <v>0</v>
      </c>
      <c r="E79" s="777">
        <f>SUM(Input!E352:E363)</f>
        <v>0</v>
      </c>
      <c r="F79" s="777">
        <f>SUM(Input!F352:F363)</f>
        <v>0</v>
      </c>
      <c r="G79" s="777">
        <f>SUM(Input!G352:G363)</f>
        <v>0</v>
      </c>
      <c r="H79" s="777">
        <f>SUM(Input!H352:H363)</f>
        <v>0</v>
      </c>
      <c r="I79" s="777">
        <f>SUM(Input!I352:I363)</f>
        <v>0</v>
      </c>
      <c r="J79" s="777">
        <f>SUM(Input!J352:J363)</f>
        <v>0</v>
      </c>
      <c r="K79" s="777">
        <f>SUM(Input!K352:K363)</f>
        <v>0</v>
      </c>
      <c r="L79" s="777">
        <f>SUM(Input!L352:L363)</f>
        <v>0</v>
      </c>
      <c r="M79" s="777">
        <f>SUM(Input!M352:M363)</f>
        <v>0</v>
      </c>
      <c r="N79" s="777">
        <f>SUM(Input!N352:N363)</f>
        <v>0</v>
      </c>
      <c r="O79" s="777">
        <f>SUM(Input!O352:O363)</f>
        <v>0</v>
      </c>
      <c r="P79" s="777">
        <f>SUM(Input!P352:P363)</f>
        <v>0</v>
      </c>
      <c r="Q79" s="777">
        <f>SUM(Input!Q352:Q363)</f>
        <v>0</v>
      </c>
      <c r="R79" s="777">
        <f>SUM(Input!R352:R363)</f>
        <v>0</v>
      </c>
      <c r="S79" s="777">
        <f>SUM(Input!S352:S363)</f>
        <v>0</v>
      </c>
      <c r="T79" s="777">
        <f>SUM(Input!T352:T363)</f>
        <v>0</v>
      </c>
      <c r="U79" s="777">
        <f>SUM(Input!U352:U363)</f>
        <v>0</v>
      </c>
      <c r="V79" s="777">
        <f>SUM(Input!V352:V363)</f>
        <v>0</v>
      </c>
      <c r="W79" s="777">
        <f>SUM(Input!W352:W363)</f>
        <v>0</v>
      </c>
      <c r="X79" s="777">
        <f>SUM(Input!X352:X363)</f>
        <v>0</v>
      </c>
      <c r="Y79" s="777">
        <f>SUM(Input!Y352:Y363)</f>
        <v>0</v>
      </c>
      <c r="Z79" s="777">
        <f>SUM(Input!Z352:Z363)</f>
        <v>0</v>
      </c>
      <c r="AA79" s="777">
        <f>SUM(Input!AA352:AA363)</f>
        <v>0</v>
      </c>
      <c r="AB79" s="777">
        <f>SUM(Input!AB352:AB363)</f>
        <v>0</v>
      </c>
      <c r="AC79" s="4"/>
      <c r="AD79" s="4"/>
      <c r="AE79" s="4"/>
      <c r="AF79" s="4"/>
      <c r="AG79" s="4"/>
      <c r="AH79" s="4"/>
      <c r="AI79" s="4"/>
      <c r="AJ79" s="4"/>
      <c r="AK79" s="4"/>
      <c r="AL79" s="4"/>
      <c r="AM79" s="4"/>
      <c r="AN79" s="4"/>
      <c r="AO79" s="4"/>
      <c r="AP79" s="4"/>
    </row>
    <row r="80" spans="3:42" s="5" customFormat="1" x14ac:dyDescent="0.3">
      <c r="C80" s="1204" t="str">
        <f>Infrastructure!I19</f>
        <v>Year 3</v>
      </c>
      <c r="D80" s="777">
        <f>SUM(Input!D364:D375)</f>
        <v>0</v>
      </c>
      <c r="E80" s="777">
        <f>SUM(Input!E364:E375)</f>
        <v>0</v>
      </c>
      <c r="F80" s="777">
        <f>SUM(Input!F364:F375)</f>
        <v>0</v>
      </c>
      <c r="G80" s="777">
        <f>SUM(Input!G364:G375)</f>
        <v>0</v>
      </c>
      <c r="H80" s="777">
        <f>SUM(Input!H364:H375)</f>
        <v>0</v>
      </c>
      <c r="I80" s="777">
        <f>SUM(Input!I364:I375)</f>
        <v>0</v>
      </c>
      <c r="J80" s="777">
        <f>SUM(Input!J364:J375)</f>
        <v>0</v>
      </c>
      <c r="K80" s="777">
        <f>SUM(Input!K364:K375)</f>
        <v>0</v>
      </c>
      <c r="L80" s="777">
        <f>SUM(Input!L364:L375)</f>
        <v>0</v>
      </c>
      <c r="M80" s="777">
        <f>SUM(Input!M364:M375)</f>
        <v>0</v>
      </c>
      <c r="N80" s="777">
        <f>SUM(Input!N364:N375)</f>
        <v>0</v>
      </c>
      <c r="O80" s="777">
        <f>SUM(Input!O364:O375)</f>
        <v>0</v>
      </c>
      <c r="P80" s="777">
        <f>SUM(Input!P364:P375)</f>
        <v>0</v>
      </c>
      <c r="Q80" s="777">
        <f>SUM(Input!Q364:Q375)</f>
        <v>0</v>
      </c>
      <c r="R80" s="777">
        <f>SUM(Input!R364:R375)</f>
        <v>0</v>
      </c>
      <c r="S80" s="777">
        <f>SUM(Input!S364:S375)</f>
        <v>0</v>
      </c>
      <c r="T80" s="777">
        <f>SUM(Input!T364:T375)</f>
        <v>0</v>
      </c>
      <c r="U80" s="777">
        <f>SUM(Input!U364:U375)</f>
        <v>0</v>
      </c>
      <c r="V80" s="777">
        <f>SUM(Input!V364:V375)</f>
        <v>0</v>
      </c>
      <c r="W80" s="777">
        <f>SUM(Input!W364:W375)</f>
        <v>0</v>
      </c>
      <c r="X80" s="777">
        <f>SUM(Input!X364:X375)</f>
        <v>0</v>
      </c>
      <c r="Y80" s="777">
        <f>SUM(Input!Y364:Y375)</f>
        <v>0</v>
      </c>
      <c r="Z80" s="777">
        <f>SUM(Input!Z364:Z375)</f>
        <v>0</v>
      </c>
      <c r="AA80" s="777">
        <f>SUM(Input!AA364:AA375)</f>
        <v>0</v>
      </c>
      <c r="AB80" s="777">
        <f>SUM(Input!AB364:AB375)</f>
        <v>0</v>
      </c>
      <c r="AC80" s="4"/>
      <c r="AD80" s="4"/>
      <c r="AE80" s="4"/>
      <c r="AF80" s="4"/>
      <c r="AG80" s="4"/>
      <c r="AH80" s="4"/>
      <c r="AI80" s="4"/>
      <c r="AJ80" s="4"/>
      <c r="AK80" s="4"/>
      <c r="AL80" s="4"/>
      <c r="AM80" s="4"/>
      <c r="AN80" s="4"/>
      <c r="AO80" s="4"/>
      <c r="AP80" s="4"/>
    </row>
    <row r="81" spans="1:179" s="5" customFormat="1" x14ac:dyDescent="0.3">
      <c r="C81" s="1204" t="str">
        <f>Infrastructure!I20</f>
        <v>Year 4</v>
      </c>
      <c r="D81" s="777">
        <f>IF(Years="Three",SUM(D78:D80),SUM(Input!D376:D387))</f>
        <v>0</v>
      </c>
      <c r="E81" s="777">
        <f>IF(Years="Three",SUM(E78:E80),SUM(Input!E376:E387))</f>
        <v>0</v>
      </c>
      <c r="F81" s="777">
        <f>IF(Years="Three",SUM(F78:F80),SUM(Input!F376:F387))</f>
        <v>0</v>
      </c>
      <c r="G81" s="777">
        <f>IF(Years="Three",SUM(G78:G80),SUM(Input!G376:G387))</f>
        <v>0</v>
      </c>
      <c r="H81" s="777">
        <f>IF(Years="Three",SUM(H78:H80),SUM(Input!H376:H387))</f>
        <v>0</v>
      </c>
      <c r="I81" s="777">
        <f>IF(Years="Three",SUM(I78:I80),SUM(Input!I376:I387))</f>
        <v>0</v>
      </c>
      <c r="J81" s="777">
        <f>IF(Years="Three",SUM(J78:J80),SUM(Input!J376:J387))</f>
        <v>0</v>
      </c>
      <c r="K81" s="777">
        <f>IF(Years="Three",SUM(K78:K80),SUM(Input!K376:K387))</f>
        <v>0</v>
      </c>
      <c r="L81" s="777">
        <f>IF(Years="Three",SUM(L78:L80),SUM(Input!L376:L387))</f>
        <v>0</v>
      </c>
      <c r="M81" s="777">
        <f>IF(Years="Three",SUM(M78:M80),SUM(Input!M376:M387))</f>
        <v>0</v>
      </c>
      <c r="N81" s="777">
        <f>IF(Years="Three",SUM(N78:N80),SUM(Input!N376:N387))</f>
        <v>0</v>
      </c>
      <c r="O81" s="777">
        <f>IF(Years="Three",SUM(O78:O80),SUM(Input!O376:O387))</f>
        <v>0</v>
      </c>
      <c r="P81" s="777">
        <f>IF(Years="Three",SUM(P78:P80),SUM(Input!P376:P387))</f>
        <v>0</v>
      </c>
      <c r="Q81" s="777">
        <f>IF(Years="Three",SUM(Q78:Q80),SUM(Input!Q376:Q387))</f>
        <v>0</v>
      </c>
      <c r="R81" s="777">
        <f>IF(Years="Three",SUM(R78:R80),SUM(Input!R376:R387))</f>
        <v>0</v>
      </c>
      <c r="S81" s="777">
        <f>IF(Years="Three",SUM(S78:S80),SUM(Input!S376:S387))</f>
        <v>0</v>
      </c>
      <c r="T81" s="777">
        <f>IF(Years="Three",SUM(T78:T80),SUM(Input!T376:T387))</f>
        <v>0</v>
      </c>
      <c r="U81" s="777">
        <f>IF(Years="Three",SUM(U78:U80),SUM(Input!U376:U387))</f>
        <v>0</v>
      </c>
      <c r="V81" s="777">
        <f>IF(Years="Three",SUM(V78:V80),SUM(Input!V376:V387))</f>
        <v>0</v>
      </c>
      <c r="W81" s="777">
        <f>IF(Years="Three",SUM(W78:W80),SUM(Input!W376:W387))</f>
        <v>0</v>
      </c>
      <c r="X81" s="777">
        <f>IF(Years="Three",SUM(X78:X80),SUM(Input!X376:X387))</f>
        <v>0</v>
      </c>
      <c r="Y81" s="777">
        <f>IF(Years="Three",SUM(Y78:Y80),SUM(Input!Y376:Y387))</f>
        <v>0</v>
      </c>
      <c r="Z81" s="777">
        <f>IF(Years="Three",SUM(Z78:Z80),SUM(Input!Z376:Z387))</f>
        <v>0</v>
      </c>
      <c r="AA81" s="777">
        <f>IF(Years="Three",SUM(AA78:AA80),SUM(Input!AA376:AA387))</f>
        <v>0</v>
      </c>
      <c r="AB81" s="777">
        <f>IF(Years="Three",SUM(AB78:AB80),SUM(Input!AB376:AB387))</f>
        <v>0</v>
      </c>
      <c r="AC81" s="4"/>
      <c r="AD81" s="4"/>
      <c r="AE81" s="4"/>
      <c r="AF81" s="4"/>
      <c r="AG81" s="4"/>
      <c r="AH81" s="4"/>
      <c r="AI81" s="4"/>
      <c r="AJ81" s="4"/>
      <c r="AK81" s="4"/>
      <c r="AL81" s="4"/>
      <c r="AM81" s="4"/>
      <c r="AN81" s="4"/>
      <c r="AO81" s="4"/>
      <c r="AP81" s="4"/>
    </row>
    <row r="82" spans="1:179" s="5" customFormat="1" x14ac:dyDescent="0.3">
      <c r="C82" s="1204" t="str">
        <f>Infrastructure!I21</f>
        <v>Year 5</v>
      </c>
      <c r="D82" s="826">
        <f>SUM(Input!D388:D399)</f>
        <v>0</v>
      </c>
      <c r="E82" s="826">
        <f>SUM(Input!E388:E399)</f>
        <v>0</v>
      </c>
      <c r="F82" s="826">
        <f>SUM(Input!F388:F399)</f>
        <v>0</v>
      </c>
      <c r="G82" s="826">
        <f>SUM(Input!G388:G399)</f>
        <v>0</v>
      </c>
      <c r="H82" s="826">
        <f>SUM(Input!H388:H399)</f>
        <v>0</v>
      </c>
      <c r="I82" s="826">
        <f>SUM(Input!I388:I399)</f>
        <v>0</v>
      </c>
      <c r="J82" s="826">
        <f>SUM(Input!J388:J399)</f>
        <v>0</v>
      </c>
      <c r="K82" s="826">
        <f>SUM(Input!K388:K399)</f>
        <v>0</v>
      </c>
      <c r="L82" s="826">
        <f>SUM(Input!L388:L399)</f>
        <v>0</v>
      </c>
      <c r="M82" s="826">
        <f>SUM(Input!M388:M399)</f>
        <v>0</v>
      </c>
      <c r="N82" s="826">
        <f>SUM(Input!N388:N399)</f>
        <v>0</v>
      </c>
      <c r="O82" s="826">
        <f>SUM(Input!O388:O399)</f>
        <v>0</v>
      </c>
      <c r="P82" s="826">
        <f>SUM(Input!P388:P399)</f>
        <v>0</v>
      </c>
      <c r="Q82" s="826">
        <f>SUM(Input!Q388:Q399)</f>
        <v>0</v>
      </c>
      <c r="R82" s="826">
        <f>SUM(Input!R388:R399)</f>
        <v>0</v>
      </c>
      <c r="S82" s="826">
        <f>SUM(Input!S388:S399)</f>
        <v>0</v>
      </c>
      <c r="T82" s="826">
        <f>SUM(Input!T388:T399)</f>
        <v>0</v>
      </c>
      <c r="U82" s="826">
        <f>SUM(Input!U388:U399)</f>
        <v>0</v>
      </c>
      <c r="V82" s="826">
        <f>SUM(Input!V388:V399)</f>
        <v>0</v>
      </c>
      <c r="W82" s="826">
        <f>SUM(Input!W388:W399)</f>
        <v>0</v>
      </c>
      <c r="X82" s="826">
        <f>SUM(Input!X388:X399)</f>
        <v>0</v>
      </c>
      <c r="Y82" s="826">
        <f>SUM(Input!Y388:Y399)</f>
        <v>0</v>
      </c>
      <c r="Z82" s="826">
        <f>SUM(Input!Z388:Z399)</f>
        <v>0</v>
      </c>
      <c r="AA82" s="826">
        <f>SUM(Input!AA388:AA399)</f>
        <v>0</v>
      </c>
      <c r="AB82" s="826">
        <f>SUM(Input!AB388:AB399)</f>
        <v>0</v>
      </c>
      <c r="AC82" s="4"/>
      <c r="AD82" s="4"/>
      <c r="AE82" s="4"/>
      <c r="AF82" s="4"/>
      <c r="AG82" s="4"/>
      <c r="AH82" s="4"/>
      <c r="AI82" s="4"/>
      <c r="AJ82" s="4"/>
      <c r="AK82" s="4"/>
      <c r="AL82" s="4"/>
      <c r="AM82" s="4"/>
      <c r="AN82" s="4"/>
      <c r="AO82" s="4"/>
      <c r="AP82" s="4"/>
    </row>
    <row r="83" spans="1:179" s="5" customFormat="1" x14ac:dyDescent="0.3">
      <c r="A83" s="108"/>
      <c r="C83" s="776" t="s">
        <v>131</v>
      </c>
      <c r="D83" s="824">
        <f>SUM(D78:D82)</f>
        <v>0</v>
      </c>
      <c r="E83" s="825">
        <f>SUM(E78:E82)</f>
        <v>0</v>
      </c>
      <c r="F83" s="825">
        <f>SUM(F78:F82)</f>
        <v>0</v>
      </c>
      <c r="G83" s="825">
        <f>SUM(G78:G82)</f>
        <v>0</v>
      </c>
      <c r="H83" s="825">
        <f>SUM(H78:H82)</f>
        <v>0</v>
      </c>
      <c r="I83" s="825">
        <f>SUM(I78:I82)</f>
        <v>0</v>
      </c>
      <c r="J83" s="825">
        <f>SUM(J78:J82)</f>
        <v>0</v>
      </c>
      <c r="K83" s="825">
        <f>SUM(K78:K82)</f>
        <v>0</v>
      </c>
      <c r="L83" s="825">
        <f>SUM(L78:L82)</f>
        <v>0</v>
      </c>
      <c r="M83" s="825">
        <f>SUM(M78:M82)</f>
        <v>0</v>
      </c>
      <c r="N83" s="825">
        <f>SUM(N78:N82)</f>
        <v>0</v>
      </c>
      <c r="O83" s="825">
        <f>SUM(O78:O82)</f>
        <v>0</v>
      </c>
      <c r="P83" s="825">
        <f>SUM(P78:P82)</f>
        <v>0</v>
      </c>
      <c r="Q83" s="825">
        <f>SUM(Q78:Q82)</f>
        <v>0</v>
      </c>
      <c r="R83" s="825">
        <f>SUM(R78:R82)</f>
        <v>0</v>
      </c>
      <c r="S83" s="825">
        <f>SUM(S78:S82)</f>
        <v>0</v>
      </c>
      <c r="T83" s="825">
        <f>SUM(T78:T82)</f>
        <v>0</v>
      </c>
      <c r="U83" s="825">
        <f>SUM(U78:U82)</f>
        <v>0</v>
      </c>
      <c r="V83" s="825">
        <f>SUM(V78:V82)</f>
        <v>0</v>
      </c>
      <c r="W83" s="825">
        <f>SUM(W78:W82)</f>
        <v>0</v>
      </c>
      <c r="X83" s="825">
        <f>SUM(X78:X82)</f>
        <v>0</v>
      </c>
      <c r="Y83" s="825">
        <f>SUM(Y78:Y82)</f>
        <v>0</v>
      </c>
      <c r="Z83" s="825">
        <f>SUM(Z78:Z82)</f>
        <v>0</v>
      </c>
      <c r="AA83" s="825">
        <f>SUM(AA78:AA82)</f>
        <v>0</v>
      </c>
      <c r="AB83" s="825">
        <f>SUM(AB78:AB82)</f>
        <v>0</v>
      </c>
      <c r="AC83" s="4"/>
      <c r="AD83" s="4"/>
      <c r="AE83" s="4"/>
      <c r="AF83" s="4"/>
      <c r="AG83" s="4"/>
      <c r="AH83" s="4"/>
      <c r="AI83" s="4"/>
      <c r="AJ83" s="4"/>
      <c r="AK83" s="4"/>
      <c r="AL83" s="4"/>
      <c r="AM83" s="4"/>
      <c r="AN83" s="4"/>
      <c r="AO83" s="4"/>
      <c r="AP83" s="4"/>
    </row>
    <row r="84" spans="1:179" s="5" customFormat="1" x14ac:dyDescent="0.3">
      <c r="A84" s="108"/>
      <c r="C84" s="8"/>
      <c r="D84" s="513" t="str">
        <f>IF(AND(D83&gt;0,SUM($D83:$AB83)&gt;0),D83/SUM($D83:$AB83),"")</f>
        <v/>
      </c>
      <c r="E84" s="513" t="str">
        <f>IF(AND(E83&gt;0,SUM($D83:$AB83)&gt;0),E83/SUM($D83:$AB83),"")</f>
        <v/>
      </c>
      <c r="F84" s="513" t="str">
        <f>IF(AND(F83&gt;0,SUM($D83:$AB83)&gt;0),F83/SUM($D83:$AB83),"")</f>
        <v/>
      </c>
      <c r="G84" s="513" t="str">
        <f>IF(AND(G83&gt;0,SUM($D83:$AB83)&gt;0),G83/SUM($D83:$AB83),"")</f>
        <v/>
      </c>
      <c r="H84" s="513" t="str">
        <f>IF(AND(H83&gt;0,SUM($D83:$AB83)&gt;0),H83/SUM($D83:$AB83),"")</f>
        <v/>
      </c>
      <c r="I84" s="513" t="str">
        <f>IF(AND(I83&gt;0,SUM($D83:$AB83)&gt;0),I83/SUM($D83:$AB83),"")</f>
        <v/>
      </c>
      <c r="J84" s="513" t="str">
        <f>IF(AND(J83&gt;0,SUM($D83:$AB83)&gt;0),J83/SUM($D83:$AB83),"")</f>
        <v/>
      </c>
      <c r="K84" s="513"/>
      <c r="L84" s="513" t="str">
        <f>IF(AND(L83&gt;0,SUM($D83:$AB83)&gt;0),L83/SUM($D83:$AB83),"")</f>
        <v/>
      </c>
      <c r="M84" s="513" t="str">
        <f>IF(AND(M83&gt;0,SUM($D83:$AB83)&gt;0),M83/SUM($D83:$AB83),"")</f>
        <v/>
      </c>
      <c r="N84" s="513" t="str">
        <f>IF(AND(N83&gt;0,SUM($D83:$AB83)&gt;0),N83/SUM($D83:$AB83),"")</f>
        <v/>
      </c>
      <c r="O84" s="513" t="str">
        <f>IF(AND(O83&gt;0,SUM($D83:$AB83)&gt;0),O83/SUM($D83:$AB83),"")</f>
        <v/>
      </c>
      <c r="P84" s="513" t="str">
        <f>IF(AND(P83&gt;0,SUM($D83:$AB83)&gt;0),P83/SUM($D83:$AB83),"")</f>
        <v/>
      </c>
      <c r="Q84" s="557"/>
      <c r="R84" s="557"/>
      <c r="S84" s="557"/>
      <c r="T84" s="557"/>
      <c r="U84" s="557"/>
      <c r="V84" s="557"/>
      <c r="W84" s="8"/>
      <c r="X84" s="513" t="str">
        <f>IF(AND(X83&gt;0,SUM($D83:$AB83)&gt;0),X83/SUM($D83:$AB83),"")</f>
        <v/>
      </c>
      <c r="Y84" s="513" t="str">
        <f>IF(AND(Y83&gt;0,SUM($D83:$AB83)&gt;0),Y83/SUM($D83:$AB83),"")</f>
        <v/>
      </c>
      <c r="Z84" s="513" t="str">
        <f>IF(AND(Z83&gt;0,SUM($D83:$AB83)&gt;0),Z83/SUM($D83:$AB83),"")</f>
        <v/>
      </c>
      <c r="AA84" s="513" t="str">
        <f>IF(AND(AA83&gt;0,SUM($D83:$AB83)&gt;0),AA83/SUM($D83:$AB83),"")</f>
        <v/>
      </c>
      <c r="AB84" s="513" t="str">
        <f>IF(AND(AB83&gt;0,SUM($D83:$AB83)&gt;0),AB83/SUM($D83:$AB83),"")</f>
        <v/>
      </c>
      <c r="AC84" s="4"/>
      <c r="AD84" s="4"/>
      <c r="AE84" s="4"/>
      <c r="AF84" s="4"/>
      <c r="AG84" s="4"/>
      <c r="AH84" s="4"/>
      <c r="AI84" s="4"/>
      <c r="AJ84" s="4"/>
      <c r="AK84" s="4"/>
      <c r="AL84" s="4"/>
      <c r="AM84" s="4"/>
      <c r="AN84" s="4"/>
      <c r="AO84" s="4"/>
      <c r="AP84" s="4"/>
    </row>
    <row r="85" spans="1:179" s="5" customFormat="1" x14ac:dyDescent="0.3">
      <c r="A85" s="108"/>
      <c r="I85" s="1362" t="s">
        <v>132</v>
      </c>
      <c r="Y85" s="4"/>
      <c r="Z85" s="4"/>
      <c r="AA85" s="4"/>
      <c r="AB85" s="4"/>
      <c r="AC85" s="4"/>
      <c r="AD85" s="4"/>
      <c r="AE85" s="4"/>
      <c r="AF85" s="4"/>
      <c r="AG85" s="4"/>
      <c r="AH85" s="4"/>
      <c r="AI85" s="4"/>
      <c r="AJ85" s="4"/>
      <c r="AK85" s="4"/>
      <c r="AL85" s="4"/>
      <c r="AM85" s="4"/>
      <c r="AN85" s="4"/>
      <c r="AO85" s="4"/>
      <c r="AP85" s="4"/>
    </row>
    <row r="86" spans="1:179" s="5" customFormat="1" ht="12" customHeight="1" x14ac:dyDescent="0.3">
      <c r="A86" s="108"/>
      <c r="B86" s="8"/>
      <c r="C86" s="8"/>
      <c r="D86" s="556"/>
      <c r="E86" s="8"/>
      <c r="F86" s="8"/>
      <c r="G86" s="290"/>
      <c r="H86" s="8"/>
      <c r="I86" s="1363" t="str">
        <f>IF(CY8=1,"Yes","No")</f>
        <v>No</v>
      </c>
      <c r="J86" s="8"/>
      <c r="K86" s="8"/>
      <c r="M86" s="516"/>
      <c r="N86" s="11"/>
      <c r="O86" s="11"/>
      <c r="P86" s="561" t="s">
        <v>133</v>
      </c>
      <c r="Q86" s="557"/>
      <c r="R86" s="557"/>
      <c r="S86" s="662"/>
      <c r="T86" s="557"/>
      <c r="U86" s="557"/>
      <c r="W86" s="8"/>
      <c r="Z86" s="4"/>
      <c r="AA86" s="4"/>
      <c r="AB86" s="4"/>
      <c r="AC86" s="516"/>
      <c r="AD86" s="516"/>
      <c r="AE86" s="516"/>
      <c r="AF86" s="516"/>
      <c r="AG86" s="516"/>
      <c r="AH86" s="516"/>
      <c r="AI86" s="516"/>
      <c r="AJ86" s="4"/>
      <c r="CB86" s="276"/>
      <c r="CC86" s="276"/>
      <c r="CD86" s="276"/>
      <c r="CE86" s="276"/>
      <c r="CF86" s="276"/>
      <c r="CG86" s="276"/>
      <c r="CH86" s="276"/>
      <c r="CI86" s="276"/>
      <c r="CJ86" s="276"/>
      <c r="CK86" s="276"/>
      <c r="CL86" s="276"/>
      <c r="CM86" s="276"/>
      <c r="CN86" s="276"/>
      <c r="CO86" s="276"/>
      <c r="CP86" s="276"/>
      <c r="CQ86" s="276"/>
      <c r="CR86" s="276"/>
      <c r="CS86" s="276"/>
      <c r="CT86" s="276"/>
      <c r="CU86" s="276"/>
      <c r="CV86" s="276"/>
      <c r="CW86" s="276"/>
      <c r="CX86" s="276"/>
      <c r="CY86" s="276"/>
      <c r="CZ86" s="276"/>
      <c r="DA86" s="276"/>
      <c r="DB86" s="276"/>
      <c r="DC86" s="276"/>
      <c r="DD86" s="276"/>
      <c r="DE86" s="276"/>
      <c r="DF86" s="276"/>
      <c r="DG86" s="276"/>
      <c r="DH86" s="276"/>
      <c r="DI86" s="276"/>
      <c r="DJ86" s="276"/>
      <c r="DK86" s="276"/>
      <c r="DL86" s="276"/>
      <c r="DM86" s="276"/>
      <c r="DN86" s="276"/>
      <c r="DO86" s="276"/>
      <c r="DP86" s="276"/>
      <c r="DQ86" s="276"/>
      <c r="DR86" s="276"/>
      <c r="DS86" s="276"/>
      <c r="DT86" s="276"/>
      <c r="DU86" s="276"/>
      <c r="DV86" s="276"/>
      <c r="DW86" s="276"/>
      <c r="DX86" s="276"/>
      <c r="DY86" s="276"/>
      <c r="DZ86" s="276"/>
      <c r="EA86" s="276"/>
      <c r="EB86" s="276"/>
      <c r="EC86" s="276"/>
      <c r="ED86" s="276"/>
      <c r="EE86" s="276"/>
      <c r="EF86" s="276"/>
      <c r="EG86" s="276"/>
      <c r="EH86" s="276"/>
      <c r="EI86" s="276"/>
      <c r="EJ86" s="276"/>
      <c r="EK86" s="276"/>
      <c r="EL86" s="276"/>
      <c r="EM86" s="276"/>
      <c r="EN86" s="276"/>
      <c r="EO86" s="276"/>
    </row>
    <row r="87" spans="1:179" s="5" customFormat="1" ht="12" customHeight="1" thickBot="1" x14ac:dyDescent="0.35">
      <c r="A87" s="108"/>
      <c r="B87" s="1829" t="s">
        <v>134</v>
      </c>
      <c r="C87" s="8"/>
      <c r="D87" s="8"/>
      <c r="E87" s="8"/>
      <c r="F87" s="558" t="s">
        <v>135</v>
      </c>
      <c r="G87" s="7"/>
      <c r="H87" s="8"/>
      <c r="I87" s="8"/>
      <c r="J87" s="799"/>
      <c r="L87" s="8"/>
      <c r="M87" s="516"/>
      <c r="O87" s="559"/>
      <c r="P87" s="511"/>
      <c r="Q87" s="511"/>
      <c r="R87" s="511"/>
      <c r="S87" s="511"/>
      <c r="T87" s="511"/>
      <c r="U87" s="511"/>
      <c r="V87" s="511"/>
      <c r="Z87" s="4"/>
      <c r="AA87" s="4"/>
      <c r="AB87" s="4"/>
      <c r="AC87" s="516"/>
      <c r="AD87" s="516"/>
      <c r="AE87" s="516"/>
      <c r="AF87" s="516"/>
      <c r="AG87" s="516"/>
      <c r="AH87" s="516"/>
      <c r="AI87" s="516"/>
      <c r="AJ87" s="4"/>
      <c r="CC87" s="276"/>
      <c r="CD87" s="276"/>
      <c r="CE87" s="276"/>
      <c r="CF87" s="276"/>
      <c r="CG87" s="276"/>
      <c r="CH87" s="276"/>
      <c r="CI87" s="276"/>
      <c r="CJ87" s="276"/>
      <c r="CK87" s="276"/>
      <c r="CL87" s="276"/>
      <c r="CM87" s="276"/>
      <c r="CN87" s="276"/>
      <c r="CO87" s="276"/>
      <c r="CP87" s="276"/>
      <c r="CQ87" s="276"/>
      <c r="CR87" s="276"/>
      <c r="CS87" s="276"/>
      <c r="CT87" s="276"/>
      <c r="CU87" s="276"/>
      <c r="CV87" s="276"/>
      <c r="CW87" s="276"/>
      <c r="CX87" s="276"/>
      <c r="CY87" s="276"/>
      <c r="CZ87" s="276"/>
      <c r="DA87" s="276"/>
      <c r="DB87" s="276"/>
      <c r="DC87" s="276"/>
      <c r="DD87" s="276"/>
      <c r="DE87" s="276"/>
      <c r="DF87" s="276"/>
      <c r="DG87" s="276"/>
      <c r="DH87" s="276"/>
      <c r="DI87" s="276"/>
      <c r="DJ87" s="276"/>
      <c r="DK87" s="276"/>
      <c r="DL87" s="276"/>
      <c r="DM87" s="276"/>
      <c r="DN87" s="276"/>
      <c r="DO87" s="276"/>
      <c r="DP87" s="276"/>
      <c r="DQ87" s="276"/>
      <c r="DR87" s="276"/>
      <c r="DS87" s="276"/>
      <c r="DT87" s="276"/>
      <c r="DU87" s="276"/>
      <c r="DV87" s="276"/>
      <c r="DW87" s="276"/>
      <c r="DX87" s="276"/>
      <c r="DY87" s="276"/>
      <c r="DZ87" s="276"/>
      <c r="EA87" s="276"/>
      <c r="EB87" s="276"/>
      <c r="EC87" s="276"/>
      <c r="ED87" s="276"/>
      <c r="EE87" s="276"/>
      <c r="EF87" s="276"/>
      <c r="EG87" s="276"/>
      <c r="EH87" s="276"/>
      <c r="EI87" s="276"/>
      <c r="EJ87" s="276"/>
      <c r="EK87" s="276"/>
      <c r="EL87" s="276"/>
      <c r="EM87" s="276"/>
      <c r="EN87" s="276"/>
      <c r="EO87" s="276"/>
      <c r="EP87" s="276"/>
      <c r="EQ87" s="276"/>
      <c r="ER87" s="276"/>
      <c r="ES87" s="276"/>
      <c r="ET87" s="276"/>
      <c r="EU87" s="276"/>
      <c r="EV87" s="276"/>
      <c r="EW87" s="276"/>
      <c r="EX87" s="276"/>
      <c r="EY87" s="276"/>
      <c r="EZ87" s="276"/>
      <c r="FA87" s="276"/>
      <c r="FB87" s="276"/>
      <c r="FC87" s="276"/>
      <c r="FD87" s="276"/>
      <c r="FE87" s="276"/>
      <c r="FF87" s="276"/>
      <c r="FG87" s="276"/>
      <c r="FH87" s="276"/>
      <c r="FI87" s="276"/>
      <c r="FJ87" s="276"/>
      <c r="FK87" s="276"/>
      <c r="FL87" s="276"/>
      <c r="FM87" s="276"/>
      <c r="FN87" s="276"/>
      <c r="FO87" s="276"/>
      <c r="FP87" s="276"/>
      <c r="FQ87" s="276"/>
      <c r="FR87" s="276"/>
      <c r="FS87" s="276"/>
      <c r="FT87" s="276"/>
      <c r="FU87" s="276"/>
      <c r="FV87" s="276"/>
      <c r="FW87" s="276"/>
    </row>
    <row r="88" spans="1:179" s="5" customFormat="1" ht="12" customHeight="1" thickBot="1" x14ac:dyDescent="0.3">
      <c r="A88" s="108"/>
      <c r="B88" s="1829"/>
      <c r="C88" s="8"/>
      <c r="D88" s="42" t="s">
        <v>58</v>
      </c>
      <c r="F88" s="998">
        <v>0</v>
      </c>
      <c r="G88" s="10" t="s">
        <v>136</v>
      </c>
      <c r="H88" s="10" t="s">
        <v>137</v>
      </c>
      <c r="I88" s="10" t="s">
        <v>138</v>
      </c>
      <c r="J88" s="800"/>
      <c r="M88" s="516"/>
      <c r="P88" s="474">
        <f>Infrastructure!H14</f>
        <v>0</v>
      </c>
      <c r="Q88" s="474">
        <f>Infrastructure!I14</f>
        <v>59</v>
      </c>
      <c r="R88" s="474">
        <f>Infrastructure!J14</f>
        <v>91</v>
      </c>
      <c r="S88" s="474">
        <f>Infrastructure!K14</f>
        <v>121</v>
      </c>
      <c r="T88" s="474">
        <f>Infrastructure!L14</f>
        <v>152</v>
      </c>
      <c r="U88" s="474">
        <f>Infrastructure!M14</f>
        <v>182</v>
      </c>
      <c r="V88" s="474">
        <f>Infrastructure!N14</f>
        <v>213</v>
      </c>
      <c r="W88" s="474">
        <f>Infrastructure!O14</f>
        <v>244</v>
      </c>
      <c r="X88" s="474">
        <f>Infrastructure!P14</f>
        <v>274</v>
      </c>
      <c r="Y88" s="474">
        <f>Infrastructure!Q14</f>
        <v>305</v>
      </c>
      <c r="Z88" s="474">
        <f>Infrastructure!R14</f>
        <v>335</v>
      </c>
      <c r="AA88" s="474">
        <f>Infrastructure!S14</f>
        <v>366</v>
      </c>
      <c r="AB88" s="474">
        <f>Infrastructure!T14</f>
        <v>397</v>
      </c>
      <c r="AC88" s="474">
        <f>Infrastructure!U14</f>
        <v>425</v>
      </c>
      <c r="AD88" s="474">
        <f>Infrastructure!V14</f>
        <v>456</v>
      </c>
      <c r="AE88" s="474">
        <f>Infrastructure!W14</f>
        <v>486</v>
      </c>
      <c r="AF88" s="474">
        <f>Infrastructure!X14</f>
        <v>517</v>
      </c>
      <c r="AG88" s="474">
        <f>Infrastructure!Y14</f>
        <v>547</v>
      </c>
      <c r="AH88" s="474">
        <f>Infrastructure!Z14</f>
        <v>578</v>
      </c>
      <c r="AI88" s="474">
        <f>Infrastructure!AA14</f>
        <v>609</v>
      </c>
      <c r="AJ88" s="474">
        <f>Infrastructure!AB14</f>
        <v>639</v>
      </c>
      <c r="AK88" s="474">
        <f>Infrastructure!AC14</f>
        <v>670</v>
      </c>
      <c r="AL88" s="474">
        <f>Infrastructure!AD14</f>
        <v>700</v>
      </c>
      <c r="AM88" s="474">
        <f>Infrastructure!AE14</f>
        <v>731</v>
      </c>
      <c r="AN88" s="474">
        <f>Infrastructure!AF14</f>
        <v>762</v>
      </c>
      <c r="AO88" s="474">
        <f>Infrastructure!AG14</f>
        <v>790</v>
      </c>
      <c r="AP88" s="474">
        <f>Infrastructure!AH14</f>
        <v>821</v>
      </c>
      <c r="AQ88" s="474">
        <f>Infrastructure!AI14</f>
        <v>851</v>
      </c>
      <c r="AR88" s="474">
        <f>Infrastructure!AJ14</f>
        <v>882</v>
      </c>
      <c r="AS88" s="474">
        <f>Infrastructure!AK14</f>
        <v>912</v>
      </c>
      <c r="AT88" s="474">
        <f>Infrastructure!AL14</f>
        <v>943</v>
      </c>
      <c r="AU88" s="474">
        <f>Infrastructure!AM14</f>
        <v>974</v>
      </c>
      <c r="AV88" s="474">
        <f>Infrastructure!AN14</f>
        <v>1004</v>
      </c>
      <c r="AW88" s="474">
        <f>Infrastructure!AO14</f>
        <v>1035</v>
      </c>
      <c r="AX88" s="474">
        <f>Infrastructure!AP14</f>
        <v>1065</v>
      </c>
      <c r="AY88" s="474">
        <f>Infrastructure!AQ14</f>
        <v>1096</v>
      </c>
      <c r="AZ88" s="474">
        <f>Infrastructure!AR14</f>
        <v>1127</v>
      </c>
      <c r="BA88" s="474">
        <f>Infrastructure!AS14</f>
        <v>1155</v>
      </c>
      <c r="BB88" s="474">
        <f>Infrastructure!AT14</f>
        <v>1186</v>
      </c>
      <c r="BC88" s="474">
        <f>Infrastructure!AU14</f>
        <v>1216</v>
      </c>
      <c r="BD88" s="474">
        <f>Infrastructure!AV14</f>
        <v>1247</v>
      </c>
      <c r="BE88" s="474">
        <f>Infrastructure!AW14</f>
        <v>1277</v>
      </c>
      <c r="BF88" s="474">
        <f>Infrastructure!AX14</f>
        <v>1308</v>
      </c>
      <c r="BG88" s="474">
        <f>Infrastructure!AY14</f>
        <v>1339</v>
      </c>
      <c r="BH88" s="474">
        <f>Infrastructure!AZ14</f>
        <v>1369</v>
      </c>
      <c r="BI88" s="474">
        <f>Infrastructure!BA14</f>
        <v>1400</v>
      </c>
      <c r="BJ88" s="474">
        <f>Infrastructure!BB14</f>
        <v>1430</v>
      </c>
      <c r="BK88" s="474">
        <f>Infrastructure!BC14</f>
        <v>1461</v>
      </c>
      <c r="BL88" s="474">
        <f>Infrastructure!BD14</f>
        <v>1492</v>
      </c>
      <c r="BM88" s="474">
        <f>Infrastructure!BE14</f>
        <v>1521</v>
      </c>
      <c r="BN88" s="474">
        <f>Infrastructure!BF14</f>
        <v>1552</v>
      </c>
      <c r="BO88" s="474">
        <f>Infrastructure!BG14</f>
        <v>1582</v>
      </c>
      <c r="BP88" s="474">
        <f>Infrastructure!BH14</f>
        <v>1613</v>
      </c>
      <c r="BQ88" s="474">
        <f>Infrastructure!BI14</f>
        <v>1643</v>
      </c>
      <c r="BR88" s="474">
        <f>Infrastructure!BJ14</f>
        <v>1674</v>
      </c>
      <c r="BS88" s="474">
        <f>Infrastructure!BK14</f>
        <v>1705</v>
      </c>
      <c r="BT88" s="474">
        <f>Infrastructure!BL14</f>
        <v>1735</v>
      </c>
      <c r="BU88" s="474">
        <f>Infrastructure!BM14</f>
        <v>1766</v>
      </c>
      <c r="BV88" s="474">
        <f>Infrastructure!BN14</f>
        <v>1796</v>
      </c>
      <c r="BW88" s="474">
        <f>Infrastructure!BO14</f>
        <v>1827</v>
      </c>
      <c r="CC88" s="276"/>
      <c r="CD88" s="276"/>
      <c r="CE88" s="276"/>
      <c r="CF88" s="276"/>
      <c r="CG88" s="276"/>
      <c r="CH88" s="276"/>
      <c r="CI88" s="276"/>
      <c r="CJ88" s="276"/>
      <c r="CK88" s="276"/>
      <c r="CL88" s="276"/>
      <c r="CM88" s="276"/>
      <c r="CN88" s="276"/>
      <c r="CO88" s="276"/>
      <c r="CP88" s="276"/>
      <c r="CQ88" s="276"/>
      <c r="CR88" s="276"/>
      <c r="CS88" s="276"/>
      <c r="CT88" s="276"/>
      <c r="CU88" s="276"/>
      <c r="CV88" s="276"/>
      <c r="CW88" s="276"/>
      <c r="CX88" s="276"/>
      <c r="CY88" s="276"/>
      <c r="CZ88" s="276"/>
      <c r="DA88" s="276"/>
      <c r="DB88" s="276"/>
      <c r="DC88" s="276"/>
      <c r="DD88" s="276"/>
      <c r="DE88" s="276"/>
      <c r="DF88" s="276"/>
      <c r="DG88" s="276"/>
      <c r="DH88" s="276"/>
      <c r="DI88" s="276"/>
      <c r="DJ88" s="276"/>
      <c r="DK88" s="276"/>
      <c r="DL88" s="276"/>
      <c r="DM88" s="276"/>
      <c r="DN88" s="276"/>
      <c r="DO88" s="276"/>
      <c r="DP88" s="276"/>
      <c r="DQ88" s="276"/>
      <c r="DR88" s="276"/>
      <c r="DS88" s="276"/>
      <c r="DT88" s="276"/>
      <c r="DU88" s="276"/>
      <c r="DV88" s="276"/>
      <c r="DW88" s="276"/>
      <c r="DX88" s="276"/>
      <c r="DY88" s="276"/>
      <c r="DZ88" s="276"/>
      <c r="EA88" s="276"/>
      <c r="EB88" s="276"/>
      <c r="EC88" s="276"/>
      <c r="ED88" s="276"/>
      <c r="EE88" s="276"/>
      <c r="EF88" s="276"/>
      <c r="EG88" s="276"/>
      <c r="EH88" s="276"/>
      <c r="EI88" s="276"/>
      <c r="EJ88" s="276"/>
      <c r="EK88" s="276"/>
      <c r="EL88" s="276"/>
      <c r="EM88" s="276"/>
      <c r="EN88" s="276"/>
      <c r="EO88" s="276"/>
      <c r="EP88" s="276"/>
      <c r="EQ88" s="276"/>
      <c r="ER88" s="276"/>
      <c r="ES88" s="276"/>
      <c r="ET88" s="276"/>
      <c r="EU88" s="276"/>
      <c r="EV88" s="276"/>
      <c r="EW88" s="276"/>
      <c r="EX88" s="276"/>
      <c r="EY88" s="276"/>
      <c r="EZ88" s="276"/>
      <c r="FA88" s="276"/>
      <c r="FB88" s="276"/>
      <c r="FC88" s="276"/>
      <c r="FD88" s="276"/>
      <c r="FE88" s="276"/>
      <c r="FF88" s="276"/>
      <c r="FG88" s="276"/>
      <c r="FH88" s="276"/>
      <c r="FI88" s="276"/>
      <c r="FJ88" s="276"/>
      <c r="FK88" s="276"/>
      <c r="FL88" s="276"/>
      <c r="FM88" s="276"/>
      <c r="FN88" s="276"/>
      <c r="FO88" s="276"/>
      <c r="FP88" s="276"/>
      <c r="FQ88" s="276"/>
      <c r="FR88" s="276"/>
      <c r="FS88" s="276"/>
      <c r="FT88" s="276"/>
      <c r="FU88" s="276"/>
      <c r="FV88" s="276"/>
      <c r="FW88" s="276"/>
    </row>
    <row r="89" spans="1:179" s="5" customFormat="1" ht="12" customHeight="1" thickBot="1" x14ac:dyDescent="0.3" hidden="1">
      <c r="A89" s="133">
        <v>1</v>
      </c>
      <c r="B89" s="1710" t="str">
        <f>IF(Infrastructure!AI35="Yes","(Unhide selected rows)","")</f>
        <v/>
      </c>
      <c r="C89" s="560" t="str">
        <f>A89&amp;" "</f>
        <v xml:space="preserve">1 </v>
      </c>
      <c r="D89" s="1850"/>
      <c r="E89" s="1851"/>
      <c r="F89" s="1852"/>
      <c r="G89" s="613"/>
      <c r="H89" s="614"/>
      <c r="I89" s="1069"/>
      <c r="J89" s="560"/>
      <c r="M89" s="516"/>
      <c r="P89" s="1089">
        <f>IF(OR($H89="",$I89=""),0,IF(OR(P$88&lt;$H89,P$188&gt;$I89),0,$G89))</f>
        <v>0</v>
      </c>
      <c r="Q89" s="1090">
        <f>IF(OR($H89="",$I89=""),0,IF(OR(Q$88&lt;$H89,Q$188&gt;$I89),0,$G89))</f>
        <v>0</v>
      </c>
      <c r="R89" s="1090">
        <f>IF(OR($H89="",$I89=""),0,IF(OR(R$88&lt;$H89,R$188&gt;$I89),0,$G89))</f>
        <v>0</v>
      </c>
      <c r="S89" s="1090">
        <f>IF(OR($H89="",$I89=""),0,IF(OR(S$88&lt;$H89,S$188&gt;$I89),0,$G89))</f>
        <v>0</v>
      </c>
      <c r="T89" s="1090">
        <f>IF(OR($H89="",$I89=""),0,IF(OR(T$88&lt;$H89,T$188&gt;$I89),0,$G89))</f>
        <v>0</v>
      </c>
      <c r="U89" s="1090">
        <f>IF(OR($H89="",$I89=""),0,IF(OR(U$88&lt;$H89,U$188&gt;$I89),0,$G89))</f>
        <v>0</v>
      </c>
      <c r="V89" s="1090">
        <f>IF(OR($H89="",$I89=""),0,IF(OR(V$88&lt;$H89,V$188&gt;$I89),0,$G89))</f>
        <v>0</v>
      </c>
      <c r="W89" s="1090">
        <f>IF(OR($H89="",$I89=""),0,IF(OR(W$88&lt;$H89,W$188&gt;$I89),0,$G89))</f>
        <v>0</v>
      </c>
      <c r="X89" s="1090">
        <f>IF(OR($H89="",$I89=""),0,IF(OR(X$88&lt;$H89,X$188&gt;$I89),0,$G89))</f>
        <v>0</v>
      </c>
      <c r="Y89" s="1090">
        <f>IF(OR($H89="",$I89=""),0,IF(OR(Y$88&lt;$H89,Y$188&gt;$I89),0,$G89))</f>
        <v>0</v>
      </c>
      <c r="Z89" s="1091">
        <f>IF(OR($H89="",$I89=""),0,IF(OR(Z$88&lt;$H89,Z$188&gt;$I89),0,$G89))</f>
        <v>0</v>
      </c>
      <c r="AA89" s="1091">
        <f>IF(OR($H89="",$I89=""),0,IF(OR(AA$88&lt;$H89,AA$188&gt;$I89),0,$G89))</f>
        <v>0</v>
      </c>
      <c r="AB89" s="1091">
        <f>IF(OR($H89="",$I89=""),0,IF(OR(AB$88&lt;$H89,AB$188&gt;$I89),0,$G89))</f>
        <v>0</v>
      </c>
      <c r="AC89" s="1074">
        <f>IF(OR($H89="",$I89=""),0,IF(OR(AC$88&lt;$H89,AC$188&gt;$I89),0,$G89))</f>
        <v>0</v>
      </c>
      <c r="AD89" s="1074">
        <f>IF(OR($H89="",$I89=""),0,IF(OR(AD$88&lt;$H89,AD$188&gt;$I89),0,$G89))</f>
        <v>0</v>
      </c>
      <c r="AE89" s="1074">
        <f>IF(OR($H89="",$I89=""),0,IF(OR(AE$88&lt;$H89,AE$188&gt;$I89),0,$G89))</f>
        <v>0</v>
      </c>
      <c r="AF89" s="1074">
        <f>IF(OR($H89="",$I89=""),0,IF(OR(AF$88&lt;$H89,AF$188&gt;$I89),0,$G89))</f>
        <v>0</v>
      </c>
      <c r="AG89" s="1074">
        <f>IF(OR($H89="",$I89=""),0,IF(OR(AG$88&lt;$H89,AG$188&gt;$I89),0,$G89))</f>
        <v>0</v>
      </c>
      <c r="AH89" s="1074">
        <f>IF(OR($H89="",$I89=""),0,IF(OR(AH$88&lt;$H89,AH$188&gt;$I89),0,$G89))</f>
        <v>0</v>
      </c>
      <c r="AI89" s="1074">
        <f>IF(OR($H89="",$I89=""),0,IF(OR(AI$88&lt;$H89,AI$188&gt;$I89),0,$G89))</f>
        <v>0</v>
      </c>
      <c r="AJ89" s="1091">
        <f>IF(OR($H89="",$I89=""),0,IF(OR(AJ$88&lt;$H89,AJ$188&gt;$I89),0,$G89))</f>
        <v>0</v>
      </c>
      <c r="AK89" s="1090">
        <f>IF(OR($H89="",$I89=""),0,IF(OR(AK$88&lt;$H89,AK$188&gt;$I89),0,$G89))</f>
        <v>0</v>
      </c>
      <c r="AL89" s="1090">
        <f>IF(OR($H89="",$I89=""),0,IF(OR(AL$88&lt;$H89,AL$188&gt;$I89),0,$G89))</f>
        <v>0</v>
      </c>
      <c r="AM89" s="1090">
        <f>IF(OR($H89="",$I89=""),0,IF(OR(AM$88&lt;$H89,AM$188&gt;$I89),0,$G89))</f>
        <v>0</v>
      </c>
      <c r="AN89" s="1090">
        <f>IF(OR($H89="",$I89=""),0,IF(OR(AN$88&lt;$H89,AN$188&gt;$I89),0,$G89))</f>
        <v>0</v>
      </c>
      <c r="AO89" s="1090">
        <f>IF(OR($H89="",$I89=""),0,IF(OR(AO$88&lt;$H89,AO$188&gt;$I89),0,$G89))</f>
        <v>0</v>
      </c>
      <c r="AP89" s="1090">
        <f>IF(OR($H89="",$I89=""),0,IF(OR(AP$88&lt;$H89,AP$188&gt;$I89),0,$G89))</f>
        <v>0</v>
      </c>
      <c r="AQ89" s="1090">
        <f>IF(OR($H89="",$I89=""),0,IF(OR(AQ$88&lt;$H89,AQ$188&gt;$I89),0,$G89))</f>
        <v>0</v>
      </c>
      <c r="AR89" s="1090">
        <f>IF(OR($H89="",$I89=""),0,IF(OR(AR$88&lt;$H89,AR$188&gt;$I89),0,$G89))</f>
        <v>0</v>
      </c>
      <c r="AS89" s="1090">
        <f>IF(OR($H89="",$I89=""),0,IF(OR(AS$88&lt;$H89,AS$188&gt;$I89),0,$G89))</f>
        <v>0</v>
      </c>
      <c r="AT89" s="1090">
        <f>IF(OR($H89="",$I89=""),0,IF(OR(AT$88&lt;$H89,AT$188&gt;$I89),0,$G89))</f>
        <v>0</v>
      </c>
      <c r="AU89" s="1090">
        <f>IF(OR($H89="",$I89=""),0,IF(OR(AU$88&lt;$H89,AU$188&gt;$I89),0,$G89))</f>
        <v>0</v>
      </c>
      <c r="AV89" s="1090">
        <f>IF(OR($H89="",$I89=""),0,IF(OR(AV$88&lt;$H89,AV$188&gt;$I89),0,$G89))</f>
        <v>0</v>
      </c>
      <c r="AW89" s="1090">
        <f>IF(OR($H89="",$I89=""),0,IF(OR(AW$88&lt;$H89,AW$188&gt;$I89),0,$G89))</f>
        <v>0</v>
      </c>
      <c r="AX89" s="1090">
        <f>IF(OR($H89="",$I89=""),0,IF(OR(AX$88&lt;$H89,AX$188&gt;$I89),0,$G89))</f>
        <v>0</v>
      </c>
      <c r="AY89" s="1092">
        <f>IF(OR($H89="",$I89=""),0,IF(OR(AY$88&lt;$H89,AY$188&gt;$I89),0,$G89))</f>
        <v>0</v>
      </c>
      <c r="AZ89" s="1242">
        <f>IF(OR($H89="",$I89=""),0,IF(OR(AZ$88&lt;$H89,AZ$188&gt;$I89),0,$G89))</f>
        <v>0</v>
      </c>
      <c r="BA89" s="1090">
        <f>IF(OR($H89="",$I89=""),0,IF(OR(BA$88&lt;$H89,BA$188&gt;$I89),0,$G89))</f>
        <v>0</v>
      </c>
      <c r="BB89" s="1090">
        <f>IF(OR($H89="",$I89=""),0,IF(OR(BB$88&lt;$H89,BB$188&gt;$I89),0,$G89))</f>
        <v>0</v>
      </c>
      <c r="BC89" s="1090">
        <f>IF(OR($H89="",$I89=""),0,IF(OR(BC$88&lt;$H89,BC$188&gt;$I89),0,$G89))</f>
        <v>0</v>
      </c>
      <c r="BD89" s="1090">
        <f>IF(OR($H89="",$I89=""),0,IF(OR(BD$88&lt;$H89,BD$188&gt;$I89),0,$G89))</f>
        <v>0</v>
      </c>
      <c r="BE89" s="1090">
        <f>IF(OR($H89="",$I89=""),0,IF(OR(BE$88&lt;$H89,BE$188&gt;$I89),0,$G89))</f>
        <v>0</v>
      </c>
      <c r="BF89" s="1090">
        <f>IF(OR($H89="",$I89=""),0,IF(OR(BF$88&lt;$H89,BF$188&gt;$I89),0,$G89))</f>
        <v>0</v>
      </c>
      <c r="BG89" s="1090">
        <f>IF(OR($H89="",$I89=""),0,IF(OR(BG$88&lt;$H89,BG$188&gt;$I89),0,$G89))</f>
        <v>0</v>
      </c>
      <c r="BH89" s="1090">
        <f>IF(OR($H89="",$I89=""),0,IF(OR(BH$88&lt;$H89,BH$188&gt;$I89),0,$G89))</f>
        <v>0</v>
      </c>
      <c r="BI89" s="1090">
        <f>IF(OR($H89="",$I89=""),0,IF(OR(BI$88&lt;$H89,BI$188&gt;$I89),0,$G89))</f>
        <v>0</v>
      </c>
      <c r="BJ89" s="1090">
        <f>IF(OR($H89="",$I89=""),0,IF(OR(BJ$88&lt;$H89,BJ$188&gt;$I89),0,$G89))</f>
        <v>0</v>
      </c>
      <c r="BK89" s="1090">
        <f>IF(OR($H89="",$I89=""),0,IF(OR(BK$88&lt;$H89,BK$188&gt;$I89),0,$G89))</f>
        <v>0</v>
      </c>
      <c r="BL89" s="1090">
        <f>IF(OR($H89="",$I89=""),0,IF(OR(BL$88&lt;$H89,BL$188&gt;$I89),0,$G89))</f>
        <v>0</v>
      </c>
      <c r="BM89" s="1090">
        <f>IF(OR($H89="",$I89=""),0,IF(OR(BM$88&lt;$H89,BM$188&gt;$I89),0,$G89))</f>
        <v>0</v>
      </c>
      <c r="BN89" s="1090">
        <f>IF(OR($H89="",$I89=""),0,IF(OR(BN$88&lt;$H89,BN$188&gt;$I89),0,$G89))</f>
        <v>0</v>
      </c>
      <c r="BO89" s="1090">
        <f>IF(OR($H89="",$I89=""),0,IF(OR(BO$88&lt;$H89,BO$188&gt;$I89),0,$G89))</f>
        <v>0</v>
      </c>
      <c r="BP89" s="1090">
        <f>IF(OR($H89="",$I89=""),0,IF(OR(BP$88&lt;$H89,BP$188&gt;$I89),0,$G89))</f>
        <v>0</v>
      </c>
      <c r="BQ89" s="1090">
        <f>IF(OR($H89="",$I89=""),0,IF(OR(BQ$88&lt;$H89,BQ$188&gt;$I89),0,$G89))</f>
        <v>0</v>
      </c>
      <c r="BR89" s="1090">
        <f>IF(OR($H89="",$I89=""),0,IF(OR(BR$88&lt;$H89,BR$188&gt;$I89),0,$G89))</f>
        <v>0</v>
      </c>
      <c r="BS89" s="1090">
        <f>IF(OR($H89="",$I89=""),0,IF(OR(BS$88&lt;$H89,BS$188&gt;$I89),0,$G89))</f>
        <v>0</v>
      </c>
      <c r="BT89" s="1090">
        <f>IF(OR($H89="",$I89=""),0,IF(OR(BT$88&lt;$H89,BT$188&gt;$I89),0,$G89))</f>
        <v>0</v>
      </c>
      <c r="BU89" s="1090">
        <f>IF(OR($H89="",$I89=""),0,IF(OR(BU$88&lt;$H89,BU$188&gt;$I89),0,$G89))</f>
        <v>0</v>
      </c>
      <c r="BV89" s="1090">
        <f>IF(OR($H89="",$I89=""),0,IF(OR(BV$88&lt;$H89,BV$188&gt;$I89),0,$G89))</f>
        <v>0</v>
      </c>
      <c r="BW89" s="1092">
        <f>IF(OR($H89="",$I89=""),0,IF(OR(BW$88&lt;$H89,BW$188&gt;$I89),0,$G89))</f>
        <v>0</v>
      </c>
      <c r="CC89" s="276"/>
      <c r="CD89" s="276"/>
      <c r="CE89" s="276"/>
      <c r="CF89" s="276"/>
      <c r="CG89" s="276"/>
      <c r="CH89" s="276"/>
      <c r="CI89" s="276"/>
      <c r="CJ89" s="276"/>
      <c r="CK89" s="276"/>
      <c r="CL89" s="276"/>
      <c r="CM89" s="276"/>
      <c r="CN89" s="276"/>
      <c r="CO89" s="276"/>
      <c r="CP89" s="276"/>
      <c r="CQ89" s="276"/>
      <c r="CR89" s="276"/>
      <c r="CS89" s="276"/>
      <c r="CT89" s="276"/>
      <c r="CU89" s="276"/>
      <c r="CV89" s="276"/>
      <c r="CW89" s="276"/>
      <c r="CX89" s="276"/>
      <c r="CY89" s="276"/>
      <c r="CZ89" s="276"/>
      <c r="DA89" s="276"/>
      <c r="DB89" s="276"/>
      <c r="DC89" s="276"/>
      <c r="DD89" s="276"/>
      <c r="DE89" s="276"/>
      <c r="DF89" s="276"/>
      <c r="DG89" s="276"/>
      <c r="DH89" s="276"/>
      <c r="DI89" s="276"/>
      <c r="DJ89" s="276"/>
      <c r="DK89" s="276"/>
      <c r="DL89" s="276"/>
      <c r="DM89" s="276"/>
      <c r="DN89" s="276"/>
      <c r="DO89" s="276"/>
      <c r="DP89" s="276"/>
      <c r="DQ89" s="276"/>
      <c r="DR89" s="276"/>
      <c r="DS89" s="276"/>
      <c r="DT89" s="276"/>
      <c r="DU89" s="276"/>
      <c r="DV89" s="276"/>
      <c r="DW89" s="276"/>
      <c r="DX89" s="276"/>
      <c r="DY89" s="276"/>
      <c r="DZ89" s="276"/>
      <c r="EA89" s="276"/>
      <c r="EB89" s="276"/>
      <c r="EC89" s="276"/>
      <c r="ED89" s="276"/>
      <c r="EE89" s="276"/>
      <c r="EF89" s="276"/>
      <c r="EG89" s="276"/>
      <c r="EH89" s="276"/>
      <c r="EI89" s="276"/>
      <c r="EJ89" s="276"/>
      <c r="EK89" s="276"/>
      <c r="EL89" s="276"/>
      <c r="EM89" s="276"/>
      <c r="EN89" s="276"/>
      <c r="EO89" s="276"/>
      <c r="EP89" s="276"/>
      <c r="EQ89" s="276"/>
      <c r="ER89" s="276"/>
      <c r="ES89" s="276"/>
      <c r="ET89" s="276"/>
      <c r="EU89" s="276"/>
      <c r="EV89" s="276"/>
      <c r="EW89" s="276"/>
      <c r="EX89" s="276"/>
      <c r="EY89" s="276"/>
      <c r="EZ89" s="276"/>
      <c r="FA89" s="276"/>
      <c r="FB89" s="276"/>
      <c r="FC89" s="276"/>
      <c r="FD89" s="276"/>
      <c r="FE89" s="276"/>
      <c r="FF89" s="276"/>
      <c r="FG89" s="276"/>
      <c r="FH89" s="276"/>
      <c r="FI89" s="276"/>
      <c r="FJ89" s="276"/>
      <c r="FK89" s="276"/>
      <c r="FL89" s="276"/>
      <c r="FM89" s="276"/>
      <c r="FN89" s="276"/>
      <c r="FO89" s="276"/>
      <c r="FP89" s="276"/>
      <c r="FQ89" s="276"/>
      <c r="FR89" s="276"/>
      <c r="FS89" s="276"/>
      <c r="FT89" s="276"/>
      <c r="FU89" s="276"/>
      <c r="FV89" s="276"/>
      <c r="FW89" s="276"/>
    </row>
    <row r="90" spans="1:179" s="5" customFormat="1" ht="12" customHeight="1" thickBot="1" x14ac:dyDescent="0.3" hidden="1">
      <c r="A90" s="133">
        <v>2</v>
      </c>
      <c r="B90" s="1711" t="str">
        <f>IF(A90&gt;F$88,"{Can hide row}","")</f>
        <v/>
      </c>
      <c r="C90" s="560" t="str">
        <f>A90&amp;" "</f>
        <v xml:space="preserve">2 </v>
      </c>
      <c r="D90" s="1843"/>
      <c r="E90" s="1844"/>
      <c r="F90" s="1845"/>
      <c r="G90" s="589"/>
      <c r="H90" s="621"/>
      <c r="I90" s="1070"/>
      <c r="J90" s="560"/>
      <c r="M90" s="516"/>
      <c r="P90" s="1093">
        <f>IF(OR($H90="",$I90=""),0,IF(OR(P$88&lt;$H90,P$188&gt;$I90),0,$G90))</f>
        <v>0</v>
      </c>
      <c r="Q90" s="1094">
        <f>IF(OR($H90="",$I90=""),0,IF(OR(Q$88&lt;$H90,Q$188&gt;$I90),0,$G90))</f>
        <v>0</v>
      </c>
      <c r="R90" s="1094">
        <f>IF(OR($H90="",$I90=""),0,IF(OR(R$88&lt;$H90,R$188&gt;$I90),0,$G90))</f>
        <v>0</v>
      </c>
      <c r="S90" s="1094">
        <f>IF(OR($H90="",$I90=""),0,IF(OR(S$88&lt;$H90,S$188&gt;$I90),0,$G90))</f>
        <v>0</v>
      </c>
      <c r="T90" s="1094">
        <f>IF(OR($H90="",$I90=""),0,IF(OR(T$88&lt;$H90,T$188&gt;$I90),0,$G90))</f>
        <v>0</v>
      </c>
      <c r="U90" s="1094">
        <f>IF(OR($H90="",$I90=""),0,IF(OR(U$88&lt;$H90,U$188&gt;$I90),0,$G90))</f>
        <v>0</v>
      </c>
      <c r="V90" s="1094">
        <f>IF(OR($H90="",$I90=""),0,IF(OR(V$88&lt;$H90,V$188&gt;$I90),0,$G90))</f>
        <v>0</v>
      </c>
      <c r="W90" s="1094">
        <f>IF(OR($H90="",$I90=""),0,IF(OR(W$88&lt;$H90,W$188&gt;$I90),0,$G90))</f>
        <v>0</v>
      </c>
      <c r="X90" s="1094">
        <f>IF(OR($H90="",$I90=""),0,IF(OR(X$88&lt;$H90,X$188&gt;$I90),0,$G90))</f>
        <v>0</v>
      </c>
      <c r="Y90" s="1094">
        <f>IF(OR($H90="",$I90=""),0,IF(OR(Y$88&lt;$H90,Y$188&gt;$I90),0,$G90))</f>
        <v>0</v>
      </c>
      <c r="Z90" s="1095">
        <f>IF(OR($H90="",$I90=""),0,IF(OR(Z$88&lt;$H90,Z$188&gt;$I90),0,$G90))</f>
        <v>0</v>
      </c>
      <c r="AA90" s="1095">
        <f>IF(OR($H90="",$I90=""),0,IF(OR(AA$88&lt;$H90,AA$188&gt;$I90),0,$G90))</f>
        <v>0</v>
      </c>
      <c r="AB90" s="1095">
        <f>IF(OR($H90="",$I90=""),0,IF(OR(AB$88&lt;$H90,AB$188&gt;$I90),0,$G90))</f>
        <v>0</v>
      </c>
      <c r="AC90" s="1075">
        <f>IF(OR($H90="",$I90=""),0,IF(OR(AC$88&lt;$H90,AC$188&gt;$I90),0,$G90))</f>
        <v>0</v>
      </c>
      <c r="AD90" s="1075">
        <f>IF(OR($H90="",$I90=""),0,IF(OR(AD$88&lt;$H90,AD$188&gt;$I90),0,$G90))</f>
        <v>0</v>
      </c>
      <c r="AE90" s="1075">
        <f>IF(OR($H90="",$I90=""),0,IF(OR(AE$88&lt;$H90,AE$188&gt;$I90),0,$G90))</f>
        <v>0</v>
      </c>
      <c r="AF90" s="1075">
        <f>IF(OR($H90="",$I90=""),0,IF(OR(AF$88&lt;$H90,AF$188&gt;$I90),0,$G90))</f>
        <v>0</v>
      </c>
      <c r="AG90" s="1075">
        <f>IF(OR($H90="",$I90=""),0,IF(OR(AG$88&lt;$H90,AG$188&gt;$I90),0,$G90))</f>
        <v>0</v>
      </c>
      <c r="AH90" s="1075">
        <f>IF(OR($H90="",$I90=""),0,IF(OR(AH$88&lt;$H90,AH$188&gt;$I90),0,$G90))</f>
        <v>0</v>
      </c>
      <c r="AI90" s="1075">
        <f>IF(OR($H90="",$I90=""),0,IF(OR(AI$88&lt;$H90,AI$188&gt;$I90),0,$G90))</f>
        <v>0</v>
      </c>
      <c r="AJ90" s="1095">
        <f>IF(OR($H90="",$I90=""),0,IF(OR(AJ$88&lt;$H90,AJ$188&gt;$I90),0,$G90))</f>
        <v>0</v>
      </c>
      <c r="AK90" s="1094">
        <f>IF(OR($H90="",$I90=""),0,IF(OR(AK$88&lt;$H90,AK$188&gt;$I90),0,$G90))</f>
        <v>0</v>
      </c>
      <c r="AL90" s="1094">
        <f>IF(OR($H90="",$I90=""),0,IF(OR(AL$88&lt;$H90,AL$188&gt;$I90),0,$G90))</f>
        <v>0</v>
      </c>
      <c r="AM90" s="1094">
        <f>IF(OR($H90="",$I90=""),0,IF(OR(AM$88&lt;$H90,AM$188&gt;$I90),0,$G90))</f>
        <v>0</v>
      </c>
      <c r="AN90" s="1094">
        <f>IF(OR($H90="",$I90=""),0,IF(OR(AN$88&lt;$H90,AN$188&gt;$I90),0,$G90))</f>
        <v>0</v>
      </c>
      <c r="AO90" s="1094">
        <f>IF(OR($H90="",$I90=""),0,IF(OR(AO$88&lt;$H90,AO$188&gt;$I90),0,$G90))</f>
        <v>0</v>
      </c>
      <c r="AP90" s="1094">
        <f>IF(OR($H90="",$I90=""),0,IF(OR(AP$88&lt;$H90,AP$188&gt;$I90),0,$G90))</f>
        <v>0</v>
      </c>
      <c r="AQ90" s="1094">
        <f>IF(OR($H90="",$I90=""),0,IF(OR(AQ$88&lt;$H90,AQ$188&gt;$I90),0,$G90))</f>
        <v>0</v>
      </c>
      <c r="AR90" s="1094">
        <f>IF(OR($H90="",$I90=""),0,IF(OR(AR$88&lt;$H90,AR$188&gt;$I90),0,$G90))</f>
        <v>0</v>
      </c>
      <c r="AS90" s="1094">
        <f>IF(OR($H90="",$I90=""),0,IF(OR(AS$88&lt;$H90,AS$188&gt;$I90),0,$G90))</f>
        <v>0</v>
      </c>
      <c r="AT90" s="1094">
        <f>IF(OR($H90="",$I90=""),0,IF(OR(AT$88&lt;$H90,AT$188&gt;$I90),0,$G90))</f>
        <v>0</v>
      </c>
      <c r="AU90" s="1094">
        <f>IF(OR($H90="",$I90=""),0,IF(OR(AU$88&lt;$H90,AU$188&gt;$I90),0,$G90))</f>
        <v>0</v>
      </c>
      <c r="AV90" s="1094">
        <f>IF(OR($H90="",$I90=""),0,IF(OR(AV$88&lt;$H90,AV$188&gt;$I90),0,$G90))</f>
        <v>0</v>
      </c>
      <c r="AW90" s="1094">
        <f>IF(OR($H90="",$I90=""),0,IF(OR(AW$88&lt;$H90,AW$188&gt;$I90),0,$G90))</f>
        <v>0</v>
      </c>
      <c r="AX90" s="1094">
        <f>IF(OR($H90="",$I90=""),0,IF(OR(AX$88&lt;$H90,AX$188&gt;$I90),0,$G90))</f>
        <v>0</v>
      </c>
      <c r="AY90" s="1096">
        <f>IF(OR($H90="",$I90=""),0,IF(OR(AY$88&lt;$H90,AY$188&gt;$I90),0,$G90))</f>
        <v>0</v>
      </c>
      <c r="AZ90" s="1243">
        <f>IF(OR($H90="",$I90=""),0,IF(OR(AZ$88&lt;$H90,AZ$188&gt;$I90),0,$G90))</f>
        <v>0</v>
      </c>
      <c r="BA90" s="1094">
        <f>IF(OR($H90="",$I90=""),0,IF(OR(BA$88&lt;$H90,BA$188&gt;$I90),0,$G90))</f>
        <v>0</v>
      </c>
      <c r="BB90" s="1094">
        <f>IF(OR($H90="",$I90=""),0,IF(OR(BB$88&lt;$H90,BB$188&gt;$I90),0,$G90))</f>
        <v>0</v>
      </c>
      <c r="BC90" s="1094">
        <f>IF(OR($H90="",$I90=""),0,IF(OR(BC$88&lt;$H90,BC$188&gt;$I90),0,$G90))</f>
        <v>0</v>
      </c>
      <c r="BD90" s="1094">
        <f>IF(OR($H90="",$I90=""),0,IF(OR(BD$88&lt;$H90,BD$188&gt;$I90),0,$G90))</f>
        <v>0</v>
      </c>
      <c r="BE90" s="1094">
        <f>IF(OR($H90="",$I90=""),0,IF(OR(BE$88&lt;$H90,BE$188&gt;$I90),0,$G90))</f>
        <v>0</v>
      </c>
      <c r="BF90" s="1094">
        <f>IF(OR($H90="",$I90=""),0,IF(OR(BF$88&lt;$H90,BF$188&gt;$I90),0,$G90))</f>
        <v>0</v>
      </c>
      <c r="BG90" s="1094">
        <f>IF(OR($H90="",$I90=""),0,IF(OR(BG$88&lt;$H90,BG$188&gt;$I90),0,$G90))</f>
        <v>0</v>
      </c>
      <c r="BH90" s="1094">
        <f>IF(OR($H90="",$I90=""),0,IF(OR(BH$88&lt;$H90,BH$188&gt;$I90),0,$G90))</f>
        <v>0</v>
      </c>
      <c r="BI90" s="1094">
        <f>IF(OR($H90="",$I90=""),0,IF(OR(BI$88&lt;$H90,BI$188&gt;$I90),0,$G90))</f>
        <v>0</v>
      </c>
      <c r="BJ90" s="1094">
        <f>IF(OR($H90="",$I90=""),0,IF(OR(BJ$88&lt;$H90,BJ$188&gt;$I90),0,$G90))</f>
        <v>0</v>
      </c>
      <c r="BK90" s="1094">
        <f>IF(OR($H90="",$I90=""),0,IF(OR(BK$88&lt;$H90,BK$188&gt;$I90),0,$G90))</f>
        <v>0</v>
      </c>
      <c r="BL90" s="1094">
        <f>IF(OR($H90="",$I90=""),0,IF(OR(BL$88&lt;$H90,BL$188&gt;$I90),0,$G90))</f>
        <v>0</v>
      </c>
      <c r="BM90" s="1094">
        <f>IF(OR($H90="",$I90=""),0,IF(OR(BM$88&lt;$H90,BM$188&gt;$I90),0,$G90))</f>
        <v>0</v>
      </c>
      <c r="BN90" s="1094">
        <f>IF(OR($H90="",$I90=""),0,IF(OR(BN$88&lt;$H90,BN$188&gt;$I90),0,$G90))</f>
        <v>0</v>
      </c>
      <c r="BO90" s="1094">
        <f>IF(OR($H90="",$I90=""),0,IF(OR(BO$88&lt;$H90,BO$188&gt;$I90),0,$G90))</f>
        <v>0</v>
      </c>
      <c r="BP90" s="1094">
        <f>IF(OR($H90="",$I90=""),0,IF(OR(BP$88&lt;$H90,BP$188&gt;$I90),0,$G90))</f>
        <v>0</v>
      </c>
      <c r="BQ90" s="1094">
        <f>IF(OR($H90="",$I90=""),0,IF(OR(BQ$88&lt;$H90,BQ$188&gt;$I90),0,$G90))</f>
        <v>0</v>
      </c>
      <c r="BR90" s="1094">
        <f>IF(OR($H90="",$I90=""),0,IF(OR(BR$88&lt;$H90,BR$188&gt;$I90),0,$G90))</f>
        <v>0</v>
      </c>
      <c r="BS90" s="1094">
        <f>IF(OR($H90="",$I90=""),0,IF(OR(BS$88&lt;$H90,BS$188&gt;$I90),0,$G90))</f>
        <v>0</v>
      </c>
      <c r="BT90" s="1094">
        <f>IF(OR($H90="",$I90=""),0,IF(OR(BT$88&lt;$H90,BT$188&gt;$I90),0,$G90))</f>
        <v>0</v>
      </c>
      <c r="BU90" s="1094">
        <f>IF(OR($H90="",$I90=""),0,IF(OR(BU$88&lt;$H90,BU$188&gt;$I90),0,$G90))</f>
        <v>0</v>
      </c>
      <c r="BV90" s="1094">
        <f>IF(OR($H90="",$I90=""),0,IF(OR(BV$88&lt;$H90,BV$188&gt;$I90),0,$G90))</f>
        <v>0</v>
      </c>
      <c r="BW90" s="1096">
        <f>IF(OR($H90="",$I90=""),0,IF(OR(BW$88&lt;$H90,BW$188&gt;$I90),0,$G90))</f>
        <v>0</v>
      </c>
      <c r="CC90" s="276"/>
      <c r="CD90" s="276"/>
      <c r="CE90" s="276"/>
      <c r="CF90" s="276"/>
      <c r="CG90" s="276"/>
      <c r="CH90" s="276"/>
      <c r="CI90" s="276"/>
      <c r="CJ90" s="276"/>
      <c r="CK90" s="276"/>
      <c r="CL90" s="276"/>
      <c r="CM90" s="276"/>
      <c r="CN90" s="276"/>
      <c r="CO90" s="276"/>
      <c r="CP90" s="276"/>
      <c r="CQ90" s="276"/>
      <c r="CR90" s="276"/>
      <c r="CS90" s="276"/>
      <c r="CT90" s="276"/>
      <c r="CU90" s="276"/>
      <c r="CV90" s="276"/>
      <c r="CW90" s="276"/>
      <c r="CX90" s="276"/>
      <c r="CY90" s="276"/>
      <c r="CZ90" s="276"/>
      <c r="DA90" s="276"/>
      <c r="DB90" s="276"/>
      <c r="DC90" s="276"/>
      <c r="DD90" s="276"/>
      <c r="DE90" s="276"/>
      <c r="DF90" s="276"/>
      <c r="DG90" s="276"/>
      <c r="DH90" s="276"/>
      <c r="DI90" s="276"/>
      <c r="DJ90" s="276"/>
      <c r="DK90" s="276"/>
      <c r="DL90" s="276"/>
      <c r="DM90" s="276"/>
      <c r="DN90" s="276"/>
      <c r="DO90" s="276"/>
      <c r="DP90" s="276"/>
      <c r="DQ90" s="276"/>
      <c r="DR90" s="276"/>
      <c r="DS90" s="276"/>
      <c r="DT90" s="276"/>
      <c r="DU90" s="276"/>
      <c r="DV90" s="276"/>
      <c r="DW90" s="276"/>
      <c r="DX90" s="276"/>
      <c r="DY90" s="276"/>
      <c r="DZ90" s="276"/>
      <c r="EA90" s="276"/>
      <c r="EB90" s="276"/>
      <c r="EC90" s="276"/>
      <c r="ED90" s="276"/>
      <c r="EE90" s="276"/>
      <c r="EF90" s="276"/>
      <c r="EG90" s="276"/>
      <c r="EH90" s="276"/>
      <c r="EI90" s="276"/>
      <c r="EJ90" s="276"/>
      <c r="EK90" s="276"/>
      <c r="EL90" s="276"/>
      <c r="EM90" s="276"/>
      <c r="EN90" s="276"/>
      <c r="EO90" s="276"/>
      <c r="EP90" s="276"/>
      <c r="EQ90" s="276"/>
      <c r="ER90" s="276"/>
      <c r="ES90" s="276"/>
      <c r="ET90" s="276"/>
      <c r="EU90" s="276"/>
      <c r="EV90" s="276"/>
      <c r="EW90" s="276"/>
      <c r="EX90" s="276"/>
      <c r="EY90" s="276"/>
      <c r="EZ90" s="276"/>
      <c r="FA90" s="276"/>
      <c r="FB90" s="276"/>
      <c r="FC90" s="276"/>
      <c r="FD90" s="276"/>
      <c r="FE90" s="276"/>
      <c r="FF90" s="276"/>
      <c r="FG90" s="276"/>
      <c r="FH90" s="276"/>
      <c r="FI90" s="276"/>
      <c r="FJ90" s="276"/>
      <c r="FK90" s="276"/>
      <c r="FL90" s="276"/>
      <c r="FM90" s="276"/>
      <c r="FN90" s="276"/>
      <c r="FO90" s="276"/>
      <c r="FP90" s="276"/>
      <c r="FQ90" s="276"/>
      <c r="FR90" s="276"/>
      <c r="FS90" s="276"/>
      <c r="FT90" s="276"/>
      <c r="FU90" s="276"/>
      <c r="FV90" s="276"/>
      <c r="FW90" s="276"/>
    </row>
    <row r="91" spans="1:179" s="8" customFormat="1" ht="12" customHeight="1" thickBot="1" x14ac:dyDescent="0.3" hidden="1">
      <c r="A91" s="133">
        <v>3</v>
      </c>
      <c r="B91" s="1711" t="str">
        <f>IF(A91&gt;F$88,"{Can hide row}","")</f>
        <v/>
      </c>
      <c r="C91" s="560" t="str">
        <f>A91&amp;" "</f>
        <v xml:space="preserve">3 </v>
      </c>
      <c r="D91" s="1843"/>
      <c r="E91" s="1844"/>
      <c r="F91" s="1845"/>
      <c r="G91" s="589"/>
      <c r="H91" s="621"/>
      <c r="I91" s="1070"/>
      <c r="J91" s="560"/>
      <c r="P91" s="1093">
        <f>IF(OR($H91="",$I91=""),0,IF(OR(P$88&lt;$H91,P$188&gt;$I91),0,$G91))</f>
        <v>0</v>
      </c>
      <c r="Q91" s="1094">
        <f>IF(OR($H91="",$I91=""),0,IF(OR(Q$88&lt;$H91,Q$188&gt;$I91),0,$G91))</f>
        <v>0</v>
      </c>
      <c r="R91" s="1094">
        <f>IF(OR($H91="",$I91=""),0,IF(OR(R$88&lt;$H91,R$188&gt;$I91),0,$G91))</f>
        <v>0</v>
      </c>
      <c r="S91" s="1094">
        <f>IF(OR($H91="",$I91=""),0,IF(OR(S$88&lt;$H91,S$188&gt;$I91),0,$G91))</f>
        <v>0</v>
      </c>
      <c r="T91" s="1094">
        <f>IF(OR($H91="",$I91=""),0,IF(OR(T$88&lt;$H91,T$188&gt;$I91),0,$G91))</f>
        <v>0</v>
      </c>
      <c r="U91" s="1094">
        <f>IF(OR($H91="",$I91=""),0,IF(OR(U$88&lt;$H91,U$188&gt;$I91),0,$G91))</f>
        <v>0</v>
      </c>
      <c r="V91" s="1094">
        <f>IF(OR($H91="",$I91=""),0,IF(OR(V$88&lt;$H91,V$188&gt;$I91),0,$G91))</f>
        <v>0</v>
      </c>
      <c r="W91" s="1094">
        <f>IF(OR($H91="",$I91=""),0,IF(OR(W$88&lt;$H91,W$188&gt;$I91),0,$G91))</f>
        <v>0</v>
      </c>
      <c r="X91" s="1094">
        <f>IF(OR($H91="",$I91=""),0,IF(OR(X$88&lt;$H91,X$188&gt;$I91),0,$G91))</f>
        <v>0</v>
      </c>
      <c r="Y91" s="1094">
        <f>IF(OR($H91="",$I91=""),0,IF(OR(Y$88&lt;$H91,Y$188&gt;$I91),0,$G91))</f>
        <v>0</v>
      </c>
      <c r="Z91" s="1095">
        <f>IF(OR($H91="",$I91=""),0,IF(OR(Z$88&lt;$H91,Z$188&gt;$I91),0,$G91))</f>
        <v>0</v>
      </c>
      <c r="AA91" s="1095">
        <f>IF(OR($H91="",$I91=""),0,IF(OR(AA$88&lt;$H91,AA$188&gt;$I91),0,$G91))</f>
        <v>0</v>
      </c>
      <c r="AB91" s="1095">
        <f>IF(OR($H91="",$I91=""),0,IF(OR(AB$88&lt;$H91,AB$188&gt;$I91),0,$G91))</f>
        <v>0</v>
      </c>
      <c r="AC91" s="1075">
        <f>IF(OR($H91="",$I91=""),0,IF(OR(AC$88&lt;$H91,AC$188&gt;$I91),0,$G91))</f>
        <v>0</v>
      </c>
      <c r="AD91" s="1075">
        <f>IF(OR($H91="",$I91=""),0,IF(OR(AD$88&lt;$H91,AD$188&gt;$I91),0,$G91))</f>
        <v>0</v>
      </c>
      <c r="AE91" s="1075">
        <f>IF(OR($H91="",$I91=""),0,IF(OR(AE$88&lt;$H91,AE$188&gt;$I91),0,$G91))</f>
        <v>0</v>
      </c>
      <c r="AF91" s="1075">
        <f>IF(OR($H91="",$I91=""),0,IF(OR(AF$88&lt;$H91,AF$188&gt;$I91),0,$G91))</f>
        <v>0</v>
      </c>
      <c r="AG91" s="1075">
        <f>IF(OR($H91="",$I91=""),0,IF(OR(AG$88&lt;$H91,AG$188&gt;$I91),0,$G91))</f>
        <v>0</v>
      </c>
      <c r="AH91" s="1075">
        <f>IF(OR($H91="",$I91=""),0,IF(OR(AH$88&lt;$H91,AH$188&gt;$I91),0,$G91))</f>
        <v>0</v>
      </c>
      <c r="AI91" s="1075">
        <f>IF(OR($H91="",$I91=""),0,IF(OR(AI$88&lt;$H91,AI$188&gt;$I91),0,$G91))</f>
        <v>0</v>
      </c>
      <c r="AJ91" s="1095">
        <f>IF(OR($H91="",$I91=""),0,IF(OR(AJ$88&lt;$H91,AJ$188&gt;$I91),0,$G91))</f>
        <v>0</v>
      </c>
      <c r="AK91" s="1094">
        <f>IF(OR($H91="",$I91=""),0,IF(OR(AK$88&lt;$H91,AK$188&gt;$I91),0,$G91))</f>
        <v>0</v>
      </c>
      <c r="AL91" s="1094">
        <f>IF(OR($H91="",$I91=""),0,IF(OR(AL$88&lt;$H91,AL$188&gt;$I91),0,$G91))</f>
        <v>0</v>
      </c>
      <c r="AM91" s="1094">
        <f>IF(OR($H91="",$I91=""),0,IF(OR(AM$88&lt;$H91,AM$188&gt;$I91),0,$G91))</f>
        <v>0</v>
      </c>
      <c r="AN91" s="1094">
        <f>IF(OR($H91="",$I91=""),0,IF(OR(AN$88&lt;$H91,AN$188&gt;$I91),0,$G91))</f>
        <v>0</v>
      </c>
      <c r="AO91" s="1094">
        <f>IF(OR($H91="",$I91=""),0,IF(OR(AO$88&lt;$H91,AO$188&gt;$I91),0,$G91))</f>
        <v>0</v>
      </c>
      <c r="AP91" s="1094">
        <f>IF(OR($H91="",$I91=""),0,IF(OR(AP$88&lt;$H91,AP$188&gt;$I91),0,$G91))</f>
        <v>0</v>
      </c>
      <c r="AQ91" s="1094">
        <f>IF(OR($H91="",$I91=""),0,IF(OR(AQ$88&lt;$H91,AQ$188&gt;$I91),0,$G91))</f>
        <v>0</v>
      </c>
      <c r="AR91" s="1094">
        <f>IF(OR($H91="",$I91=""),0,IF(OR(AR$88&lt;$H91,AR$188&gt;$I91),0,$G91))</f>
        <v>0</v>
      </c>
      <c r="AS91" s="1094">
        <f>IF(OR($H91="",$I91=""),0,IF(OR(AS$88&lt;$H91,AS$188&gt;$I91),0,$G91))</f>
        <v>0</v>
      </c>
      <c r="AT91" s="1094">
        <f>IF(OR($H91="",$I91=""),0,IF(OR(AT$88&lt;$H91,AT$188&gt;$I91),0,$G91))</f>
        <v>0</v>
      </c>
      <c r="AU91" s="1094">
        <f>IF(OR($H91="",$I91=""),0,IF(OR(AU$88&lt;$H91,AU$188&gt;$I91),0,$G91))</f>
        <v>0</v>
      </c>
      <c r="AV91" s="1094">
        <f>IF(OR($H91="",$I91=""),0,IF(OR(AV$88&lt;$H91,AV$188&gt;$I91),0,$G91))</f>
        <v>0</v>
      </c>
      <c r="AW91" s="1094">
        <f>IF(OR($H91="",$I91=""),0,IF(OR(AW$88&lt;$H91,AW$188&gt;$I91),0,$G91))</f>
        <v>0</v>
      </c>
      <c r="AX91" s="1094">
        <f>IF(OR($H91="",$I91=""),0,IF(OR(AX$88&lt;$H91,AX$188&gt;$I91),0,$G91))</f>
        <v>0</v>
      </c>
      <c r="AY91" s="1096">
        <f>IF(OR($H91="",$I91=""),0,IF(OR(AY$88&lt;$H91,AY$188&gt;$I91),0,$G91))</f>
        <v>0</v>
      </c>
      <c r="AZ91" s="1243">
        <f>IF(OR($H91="",$I91=""),0,IF(OR(AZ$88&lt;$H91,AZ$188&gt;$I91),0,$G91))</f>
        <v>0</v>
      </c>
      <c r="BA91" s="1094">
        <f>IF(OR($H91="",$I91=""),0,IF(OR(BA$88&lt;$H91,BA$188&gt;$I91),0,$G91))</f>
        <v>0</v>
      </c>
      <c r="BB91" s="1094">
        <f>IF(OR($H91="",$I91=""),0,IF(OR(BB$88&lt;$H91,BB$188&gt;$I91),0,$G91))</f>
        <v>0</v>
      </c>
      <c r="BC91" s="1094">
        <f>IF(OR($H91="",$I91=""),0,IF(OR(BC$88&lt;$H91,BC$188&gt;$I91),0,$G91))</f>
        <v>0</v>
      </c>
      <c r="BD91" s="1094">
        <f>IF(OR($H91="",$I91=""),0,IF(OR(BD$88&lt;$H91,BD$188&gt;$I91),0,$G91))</f>
        <v>0</v>
      </c>
      <c r="BE91" s="1094">
        <f>IF(OR($H91="",$I91=""),0,IF(OR(BE$88&lt;$H91,BE$188&gt;$I91),0,$G91))</f>
        <v>0</v>
      </c>
      <c r="BF91" s="1094">
        <f>IF(OR($H91="",$I91=""),0,IF(OR(BF$88&lt;$H91,BF$188&gt;$I91),0,$G91))</f>
        <v>0</v>
      </c>
      <c r="BG91" s="1094">
        <f>IF(OR($H91="",$I91=""),0,IF(OR(BG$88&lt;$H91,BG$188&gt;$I91),0,$G91))</f>
        <v>0</v>
      </c>
      <c r="BH91" s="1094">
        <f>IF(OR($H91="",$I91=""),0,IF(OR(BH$88&lt;$H91,BH$188&gt;$I91),0,$G91))</f>
        <v>0</v>
      </c>
      <c r="BI91" s="1094">
        <f>IF(OR($H91="",$I91=""),0,IF(OR(BI$88&lt;$H91,BI$188&gt;$I91),0,$G91))</f>
        <v>0</v>
      </c>
      <c r="BJ91" s="1094">
        <f>IF(OR($H91="",$I91=""),0,IF(OR(BJ$88&lt;$H91,BJ$188&gt;$I91),0,$G91))</f>
        <v>0</v>
      </c>
      <c r="BK91" s="1094">
        <f>IF(OR($H91="",$I91=""),0,IF(OR(BK$88&lt;$H91,BK$188&gt;$I91),0,$G91))</f>
        <v>0</v>
      </c>
      <c r="BL91" s="1094">
        <f>IF(OR($H91="",$I91=""),0,IF(OR(BL$88&lt;$H91,BL$188&gt;$I91),0,$G91))</f>
        <v>0</v>
      </c>
      <c r="BM91" s="1094">
        <f>IF(OR($H91="",$I91=""),0,IF(OR(BM$88&lt;$H91,BM$188&gt;$I91),0,$G91))</f>
        <v>0</v>
      </c>
      <c r="BN91" s="1094">
        <f>IF(OR($H91="",$I91=""),0,IF(OR(BN$88&lt;$H91,BN$188&gt;$I91),0,$G91))</f>
        <v>0</v>
      </c>
      <c r="BO91" s="1094">
        <f>IF(OR($H91="",$I91=""),0,IF(OR(BO$88&lt;$H91,BO$188&gt;$I91),0,$G91))</f>
        <v>0</v>
      </c>
      <c r="BP91" s="1094">
        <f>IF(OR($H91="",$I91=""),0,IF(OR(BP$88&lt;$H91,BP$188&gt;$I91),0,$G91))</f>
        <v>0</v>
      </c>
      <c r="BQ91" s="1094">
        <f>IF(OR($H91="",$I91=""),0,IF(OR(BQ$88&lt;$H91,BQ$188&gt;$I91),0,$G91))</f>
        <v>0</v>
      </c>
      <c r="BR91" s="1094">
        <f>IF(OR($H91="",$I91=""),0,IF(OR(BR$88&lt;$H91,BR$188&gt;$I91),0,$G91))</f>
        <v>0</v>
      </c>
      <c r="BS91" s="1094">
        <f>IF(OR($H91="",$I91=""),0,IF(OR(BS$88&lt;$H91,BS$188&gt;$I91),0,$G91))</f>
        <v>0</v>
      </c>
      <c r="BT91" s="1094">
        <f>IF(OR($H91="",$I91=""),0,IF(OR(BT$88&lt;$H91,BT$188&gt;$I91),0,$G91))</f>
        <v>0</v>
      </c>
      <c r="BU91" s="1094">
        <f>IF(OR($H91="",$I91=""),0,IF(OR(BU$88&lt;$H91,BU$188&gt;$I91),0,$G91))</f>
        <v>0</v>
      </c>
      <c r="BV91" s="1094">
        <f>IF(OR($H91="",$I91=""),0,IF(OR(BV$88&lt;$H91,BV$188&gt;$I91),0,$G91))</f>
        <v>0</v>
      </c>
      <c r="BW91" s="1096">
        <f>IF(OR($H91="",$I91=""),0,IF(OR(BW$88&lt;$H91,BW$188&gt;$I91),0,$G91))</f>
        <v>0</v>
      </c>
      <c r="CL91" s="131"/>
      <c r="CM91" s="131"/>
      <c r="CN91" s="131"/>
      <c r="CO91" s="131"/>
      <c r="CP91" s="131"/>
      <c r="CQ91" s="131"/>
      <c r="CR91" s="131"/>
      <c r="CS91" s="131"/>
      <c r="CT91" s="131"/>
      <c r="CU91" s="131"/>
      <c r="CV91" s="131"/>
      <c r="CW91" s="131"/>
      <c r="CX91" s="131"/>
      <c r="CY91" s="131"/>
      <c r="CZ91" s="131"/>
      <c r="DA91" s="131"/>
      <c r="DB91" s="131"/>
      <c r="DC91" s="131"/>
      <c r="DD91" s="131"/>
      <c r="DE91" s="131"/>
      <c r="DF91" s="131"/>
      <c r="DG91" s="131"/>
      <c r="DH91" s="131"/>
      <c r="DI91" s="131"/>
      <c r="DJ91" s="131"/>
      <c r="DK91" s="131"/>
      <c r="DL91" s="131"/>
      <c r="DM91" s="131"/>
      <c r="DN91" s="131"/>
      <c r="DO91" s="131"/>
      <c r="DP91" s="131"/>
      <c r="DQ91" s="131"/>
      <c r="DR91" s="131"/>
      <c r="DS91" s="131"/>
      <c r="DT91" s="131"/>
      <c r="DU91" s="131"/>
      <c r="DV91" s="131"/>
      <c r="DW91" s="131"/>
      <c r="DX91" s="131"/>
      <c r="DY91" s="131"/>
      <c r="DZ91" s="131"/>
      <c r="EA91" s="131"/>
      <c r="EB91" s="131"/>
      <c r="EC91" s="131"/>
      <c r="ED91" s="131"/>
      <c r="EE91" s="131"/>
      <c r="EF91" s="131"/>
      <c r="EG91" s="131"/>
      <c r="EH91" s="131"/>
      <c r="EI91" s="131"/>
      <c r="EJ91" s="131"/>
      <c r="EK91" s="131"/>
      <c r="EL91" s="131"/>
      <c r="EM91" s="131"/>
      <c r="EN91" s="131"/>
      <c r="EO91" s="131"/>
      <c r="EP91" s="131"/>
      <c r="EQ91" s="131"/>
      <c r="ER91" s="131"/>
      <c r="ES91" s="131"/>
      <c r="ET91" s="131"/>
      <c r="EU91" s="131"/>
      <c r="EV91" s="131"/>
      <c r="EW91" s="131"/>
      <c r="EX91" s="131"/>
      <c r="EY91" s="131"/>
      <c r="EZ91" s="131"/>
      <c r="FA91" s="131"/>
      <c r="FB91" s="131"/>
      <c r="FC91" s="131"/>
      <c r="FD91" s="131"/>
      <c r="FE91" s="131"/>
      <c r="FF91" s="131"/>
      <c r="FG91" s="131"/>
      <c r="FH91" s="131"/>
      <c r="FI91" s="131"/>
      <c r="FJ91" s="131"/>
      <c r="FK91" s="131"/>
      <c r="FL91" s="131"/>
      <c r="FM91" s="131"/>
      <c r="FN91" s="131"/>
      <c r="FO91" s="131"/>
      <c r="FP91" s="131"/>
      <c r="FQ91" s="131"/>
      <c r="FR91" s="131"/>
      <c r="FS91" s="131"/>
      <c r="FT91" s="131"/>
      <c r="FU91" s="131"/>
    </row>
    <row r="92" spans="1:179" s="8" customFormat="1" ht="12" customHeight="1" thickBot="1" x14ac:dyDescent="0.3" hidden="1">
      <c r="A92" s="133">
        <v>4</v>
      </c>
      <c r="B92" s="1711" t="str">
        <f>IF(A92&gt;F$88,"{Can hide row}","")</f>
        <v/>
      </c>
      <c r="C92" s="560" t="str">
        <f>A92&amp;" "</f>
        <v xml:space="preserve">4 </v>
      </c>
      <c r="D92" s="1843"/>
      <c r="E92" s="1844"/>
      <c r="F92" s="1845"/>
      <c r="G92" s="589"/>
      <c r="H92" s="621"/>
      <c r="I92" s="1070"/>
      <c r="J92" s="560"/>
      <c r="P92" s="1093">
        <f>IF(OR($H92="",$I92=""),0,IF(OR(P$88&lt;$H92,P$188&gt;$I92),0,$G92))</f>
        <v>0</v>
      </c>
      <c r="Q92" s="1094">
        <f>IF(OR($H92="",$I92=""),0,IF(OR(Q$88&lt;$H92,Q$188&gt;$I92),0,$G92))</f>
        <v>0</v>
      </c>
      <c r="R92" s="1094">
        <f>IF(OR($H92="",$I92=""),0,IF(OR(R$88&lt;$H92,R$188&gt;$I92),0,$G92))</f>
        <v>0</v>
      </c>
      <c r="S92" s="1094">
        <f>IF(OR($H92="",$I92=""),0,IF(OR(S$88&lt;$H92,S$188&gt;$I92),0,$G92))</f>
        <v>0</v>
      </c>
      <c r="T92" s="1094">
        <f>IF(OR($H92="",$I92=""),0,IF(OR(T$88&lt;$H92,T$188&gt;$I92),0,$G92))</f>
        <v>0</v>
      </c>
      <c r="U92" s="1094">
        <f>IF(OR($H92="",$I92=""),0,IF(OR(U$88&lt;$H92,U$188&gt;$I92),0,$G92))</f>
        <v>0</v>
      </c>
      <c r="V92" s="1094">
        <f>IF(OR($H92="",$I92=""),0,IF(OR(V$88&lt;$H92,V$188&gt;$I92),0,$G92))</f>
        <v>0</v>
      </c>
      <c r="W92" s="1094">
        <f>IF(OR($H92="",$I92=""),0,IF(OR(W$88&lt;$H92,W$188&gt;$I92),0,$G92))</f>
        <v>0</v>
      </c>
      <c r="X92" s="1094">
        <f>IF(OR($H92="",$I92=""),0,IF(OR(X$88&lt;$H92,X$188&gt;$I92),0,$G92))</f>
        <v>0</v>
      </c>
      <c r="Y92" s="1094">
        <f>IF(OR($H92="",$I92=""),0,IF(OR(Y$88&lt;$H92,Y$188&gt;$I92),0,$G92))</f>
        <v>0</v>
      </c>
      <c r="Z92" s="1095">
        <f>IF(OR($H92="",$I92=""),0,IF(OR(Z$88&lt;$H92,Z$188&gt;$I92),0,$G92))</f>
        <v>0</v>
      </c>
      <c r="AA92" s="1095">
        <f>IF(OR($H92="",$I92=""),0,IF(OR(AA$88&lt;$H92,AA$188&gt;$I92),0,$G92))</f>
        <v>0</v>
      </c>
      <c r="AB92" s="1095">
        <f>IF(OR($H92="",$I92=""),0,IF(OR(AB$88&lt;$H92,AB$188&gt;$I92),0,$G92))</f>
        <v>0</v>
      </c>
      <c r="AC92" s="1075">
        <f>IF(OR($H92="",$I92=""),0,IF(OR(AC$88&lt;$H92,AC$188&gt;$I92),0,$G92))</f>
        <v>0</v>
      </c>
      <c r="AD92" s="1075">
        <f>IF(OR($H92="",$I92=""),0,IF(OR(AD$88&lt;$H92,AD$188&gt;$I92),0,$G92))</f>
        <v>0</v>
      </c>
      <c r="AE92" s="1075">
        <f>IF(OR($H92="",$I92=""),0,IF(OR(AE$88&lt;$H92,AE$188&gt;$I92),0,$G92))</f>
        <v>0</v>
      </c>
      <c r="AF92" s="1075">
        <f>IF(OR($H92="",$I92=""),0,IF(OR(AF$88&lt;$H92,AF$188&gt;$I92),0,$G92))</f>
        <v>0</v>
      </c>
      <c r="AG92" s="1075">
        <f>IF(OR($H92="",$I92=""),0,IF(OR(AG$88&lt;$H92,AG$188&gt;$I92),0,$G92))</f>
        <v>0</v>
      </c>
      <c r="AH92" s="1075">
        <f>IF(OR($H92="",$I92=""),0,IF(OR(AH$88&lt;$H92,AH$188&gt;$I92),0,$G92))</f>
        <v>0</v>
      </c>
      <c r="AI92" s="1075">
        <f>IF(OR($H92="",$I92=""),0,IF(OR(AI$88&lt;$H92,AI$188&gt;$I92),0,$G92))</f>
        <v>0</v>
      </c>
      <c r="AJ92" s="1095">
        <f>IF(OR($H92="",$I92=""),0,IF(OR(AJ$88&lt;$H92,AJ$188&gt;$I92),0,$G92))</f>
        <v>0</v>
      </c>
      <c r="AK92" s="1094">
        <f>IF(OR($H92="",$I92=""),0,IF(OR(AK$88&lt;$H92,AK$188&gt;$I92),0,$G92))</f>
        <v>0</v>
      </c>
      <c r="AL92" s="1094">
        <f>IF(OR($H92="",$I92=""),0,IF(OR(AL$88&lt;$H92,AL$188&gt;$I92),0,$G92))</f>
        <v>0</v>
      </c>
      <c r="AM92" s="1094">
        <f>IF(OR($H92="",$I92=""),0,IF(OR(AM$88&lt;$H92,AM$188&gt;$I92),0,$G92))</f>
        <v>0</v>
      </c>
      <c r="AN92" s="1094">
        <f>IF(OR($H92="",$I92=""),0,IF(OR(AN$88&lt;$H92,AN$188&gt;$I92),0,$G92))</f>
        <v>0</v>
      </c>
      <c r="AO92" s="1094">
        <f>IF(OR($H92="",$I92=""),0,IF(OR(AO$88&lt;$H92,AO$188&gt;$I92),0,$G92))</f>
        <v>0</v>
      </c>
      <c r="AP92" s="1094">
        <f>IF(OR($H92="",$I92=""),0,IF(OR(AP$88&lt;$H92,AP$188&gt;$I92),0,$G92))</f>
        <v>0</v>
      </c>
      <c r="AQ92" s="1094">
        <f>IF(OR($H92="",$I92=""),0,IF(OR(AQ$88&lt;$H92,AQ$188&gt;$I92),0,$G92))</f>
        <v>0</v>
      </c>
      <c r="AR92" s="1094">
        <f>IF(OR($H92="",$I92=""),0,IF(OR(AR$88&lt;$H92,AR$188&gt;$I92),0,$G92))</f>
        <v>0</v>
      </c>
      <c r="AS92" s="1094">
        <f>IF(OR($H92="",$I92=""),0,IF(OR(AS$88&lt;$H92,AS$188&gt;$I92),0,$G92))</f>
        <v>0</v>
      </c>
      <c r="AT92" s="1094">
        <f>IF(OR($H92="",$I92=""),0,IF(OR(AT$88&lt;$H92,AT$188&gt;$I92),0,$G92))</f>
        <v>0</v>
      </c>
      <c r="AU92" s="1094">
        <f>IF(OR($H92="",$I92=""),0,IF(OR(AU$88&lt;$H92,AU$188&gt;$I92),0,$G92))</f>
        <v>0</v>
      </c>
      <c r="AV92" s="1094">
        <f>IF(OR($H92="",$I92=""),0,IF(OR(AV$88&lt;$H92,AV$188&gt;$I92),0,$G92))</f>
        <v>0</v>
      </c>
      <c r="AW92" s="1094">
        <f>IF(OR($H92="",$I92=""),0,IF(OR(AW$88&lt;$H92,AW$188&gt;$I92),0,$G92))</f>
        <v>0</v>
      </c>
      <c r="AX92" s="1094">
        <f>IF(OR($H92="",$I92=""),0,IF(OR(AX$88&lt;$H92,AX$188&gt;$I92),0,$G92))</f>
        <v>0</v>
      </c>
      <c r="AY92" s="1096">
        <f>IF(OR($H92="",$I92=""),0,IF(OR(AY$88&lt;$H92,AY$188&gt;$I92),0,$G92))</f>
        <v>0</v>
      </c>
      <c r="AZ92" s="1243">
        <f>IF(OR($H92="",$I92=""),0,IF(OR(AZ$88&lt;$H92,AZ$188&gt;$I92),0,$G92))</f>
        <v>0</v>
      </c>
      <c r="BA92" s="1094">
        <f>IF(OR($H92="",$I92=""),0,IF(OR(BA$88&lt;$H92,BA$188&gt;$I92),0,$G92))</f>
        <v>0</v>
      </c>
      <c r="BB92" s="1094">
        <f>IF(OR($H92="",$I92=""),0,IF(OR(BB$88&lt;$H92,BB$188&gt;$I92),0,$G92))</f>
        <v>0</v>
      </c>
      <c r="BC92" s="1094">
        <f>IF(OR($H92="",$I92=""),0,IF(OR(BC$88&lt;$H92,BC$188&gt;$I92),0,$G92))</f>
        <v>0</v>
      </c>
      <c r="BD92" s="1094">
        <f>IF(OR($H92="",$I92=""),0,IF(OR(BD$88&lt;$H92,BD$188&gt;$I92),0,$G92))</f>
        <v>0</v>
      </c>
      <c r="BE92" s="1094">
        <f>IF(OR($H92="",$I92=""),0,IF(OR(BE$88&lt;$H92,BE$188&gt;$I92),0,$G92))</f>
        <v>0</v>
      </c>
      <c r="BF92" s="1094">
        <f>IF(OR($H92="",$I92=""),0,IF(OR(BF$88&lt;$H92,BF$188&gt;$I92),0,$G92))</f>
        <v>0</v>
      </c>
      <c r="BG92" s="1094">
        <f>IF(OR($H92="",$I92=""),0,IF(OR(BG$88&lt;$H92,BG$188&gt;$I92),0,$G92))</f>
        <v>0</v>
      </c>
      <c r="BH92" s="1094">
        <f>IF(OR($H92="",$I92=""),0,IF(OR(BH$88&lt;$H92,BH$188&gt;$I92),0,$G92))</f>
        <v>0</v>
      </c>
      <c r="BI92" s="1094">
        <f>IF(OR($H92="",$I92=""),0,IF(OR(BI$88&lt;$H92,BI$188&gt;$I92),0,$G92))</f>
        <v>0</v>
      </c>
      <c r="BJ92" s="1094">
        <f>IF(OR($H92="",$I92=""),0,IF(OR(BJ$88&lt;$H92,BJ$188&gt;$I92),0,$G92))</f>
        <v>0</v>
      </c>
      <c r="BK92" s="1094">
        <f>IF(OR($H92="",$I92=""),0,IF(OR(BK$88&lt;$H92,BK$188&gt;$I92),0,$G92))</f>
        <v>0</v>
      </c>
      <c r="BL92" s="1094">
        <f>IF(OR($H92="",$I92=""),0,IF(OR(BL$88&lt;$H92,BL$188&gt;$I92),0,$G92))</f>
        <v>0</v>
      </c>
      <c r="BM92" s="1094">
        <f>IF(OR($H92="",$I92=""),0,IF(OR(BM$88&lt;$H92,BM$188&gt;$I92),0,$G92))</f>
        <v>0</v>
      </c>
      <c r="BN92" s="1094">
        <f>IF(OR($H92="",$I92=""),0,IF(OR(BN$88&lt;$H92,BN$188&gt;$I92),0,$G92))</f>
        <v>0</v>
      </c>
      <c r="BO92" s="1094">
        <f>IF(OR($H92="",$I92=""),0,IF(OR(BO$88&lt;$H92,BO$188&gt;$I92),0,$G92))</f>
        <v>0</v>
      </c>
      <c r="BP92" s="1094">
        <f>IF(OR($H92="",$I92=""),0,IF(OR(BP$88&lt;$H92,BP$188&gt;$I92),0,$G92))</f>
        <v>0</v>
      </c>
      <c r="BQ92" s="1094">
        <f>IF(OR($H92="",$I92=""),0,IF(OR(BQ$88&lt;$H92,BQ$188&gt;$I92),0,$G92))</f>
        <v>0</v>
      </c>
      <c r="BR92" s="1094">
        <f>IF(OR($H92="",$I92=""),0,IF(OR(BR$88&lt;$H92,BR$188&gt;$I92),0,$G92))</f>
        <v>0</v>
      </c>
      <c r="BS92" s="1094">
        <f>IF(OR($H92="",$I92=""),0,IF(OR(BS$88&lt;$H92,BS$188&gt;$I92),0,$G92))</f>
        <v>0</v>
      </c>
      <c r="BT92" s="1094">
        <f>IF(OR($H92="",$I92=""),0,IF(OR(BT$88&lt;$H92,BT$188&gt;$I92),0,$G92))</f>
        <v>0</v>
      </c>
      <c r="BU92" s="1094">
        <f>IF(OR($H92="",$I92=""),0,IF(OR(BU$88&lt;$H92,BU$188&gt;$I92),0,$G92))</f>
        <v>0</v>
      </c>
      <c r="BV92" s="1094">
        <f>IF(OR($H92="",$I92=""),0,IF(OR(BV$88&lt;$H92,BV$188&gt;$I92),0,$G92))</f>
        <v>0</v>
      </c>
      <c r="BW92" s="1096">
        <f>IF(OR($H92="",$I92=""),0,IF(OR(BW$88&lt;$H92,BW$188&gt;$I92),0,$G92))</f>
        <v>0</v>
      </c>
      <c r="CC92" s="134">
        <v>28</v>
      </c>
      <c r="CD92" s="134">
        <v>29</v>
      </c>
      <c r="CE92" s="134">
        <v>30</v>
      </c>
      <c r="CF92" s="134">
        <v>31</v>
      </c>
      <c r="CG92" s="134">
        <v>32</v>
      </c>
      <c r="CH92" s="134">
        <v>33</v>
      </c>
      <c r="CI92" s="134">
        <v>34</v>
      </c>
      <c r="CJ92" s="134">
        <v>35</v>
      </c>
      <c r="CK92" s="134">
        <v>36</v>
      </c>
      <c r="CL92" s="131"/>
      <c r="CM92" s="131"/>
      <c r="CN92" s="131"/>
      <c r="CO92" s="131"/>
      <c r="CP92" s="131"/>
      <c r="CQ92" s="131"/>
      <c r="CR92" s="131"/>
      <c r="CS92" s="131"/>
      <c r="CT92" s="131"/>
      <c r="CU92" s="131"/>
      <c r="CV92" s="131"/>
      <c r="CW92" s="131"/>
      <c r="CX92" s="131"/>
      <c r="CY92" s="131"/>
      <c r="CZ92" s="131"/>
      <c r="DA92" s="131"/>
      <c r="DB92" s="131"/>
      <c r="DC92" s="131"/>
      <c r="DD92" s="131"/>
      <c r="DE92" s="131"/>
      <c r="DF92" s="131"/>
      <c r="DG92" s="131"/>
      <c r="DH92" s="131"/>
      <c r="DI92" s="131"/>
      <c r="DJ92" s="131"/>
      <c r="DK92" s="131"/>
      <c r="DL92" s="131"/>
      <c r="DM92" s="131"/>
      <c r="DN92" s="131"/>
      <c r="DO92" s="131"/>
      <c r="DP92" s="131"/>
      <c r="DQ92" s="131"/>
      <c r="DR92" s="131"/>
      <c r="DS92" s="131"/>
      <c r="DT92" s="131"/>
      <c r="DU92" s="131"/>
      <c r="DV92" s="131"/>
      <c r="DW92" s="131"/>
      <c r="DX92" s="131"/>
      <c r="DY92" s="131"/>
      <c r="DZ92" s="131"/>
      <c r="EA92" s="131"/>
      <c r="EB92" s="131"/>
      <c r="EC92" s="131"/>
      <c r="ED92" s="131"/>
      <c r="EE92" s="131"/>
      <c r="EF92" s="131"/>
      <c r="EG92" s="131"/>
      <c r="EH92" s="131"/>
      <c r="EI92" s="131"/>
      <c r="EJ92" s="131"/>
      <c r="EK92" s="131"/>
      <c r="EL92" s="131"/>
      <c r="EM92" s="131"/>
      <c r="EN92" s="131"/>
      <c r="EO92" s="131"/>
      <c r="EP92" s="131"/>
      <c r="EQ92" s="131"/>
      <c r="ER92" s="131"/>
      <c r="ES92" s="131"/>
      <c r="ET92" s="131"/>
      <c r="EU92" s="131"/>
      <c r="EV92" s="131"/>
      <c r="EW92" s="131"/>
      <c r="EX92" s="131"/>
      <c r="EY92" s="131"/>
      <c r="EZ92" s="131"/>
      <c r="FA92" s="131"/>
      <c r="FB92" s="131"/>
      <c r="FC92" s="131"/>
      <c r="FD92" s="131"/>
      <c r="FE92" s="131"/>
      <c r="FF92" s="131"/>
      <c r="FG92" s="131"/>
      <c r="FH92" s="131"/>
      <c r="FI92" s="131"/>
      <c r="FJ92" s="131"/>
      <c r="FK92" s="131"/>
      <c r="FL92" s="131"/>
      <c r="FM92" s="131"/>
      <c r="FN92" s="131"/>
      <c r="FO92" s="131"/>
      <c r="FP92" s="131"/>
      <c r="FQ92" s="131"/>
      <c r="FR92" s="131"/>
      <c r="FS92" s="131"/>
      <c r="FT92" s="131"/>
      <c r="FU92" s="131"/>
      <c r="FV92" s="134">
        <v>26</v>
      </c>
      <c r="FW92" s="134">
        <v>27</v>
      </c>
    </row>
    <row r="93" spans="1:179" s="8" customFormat="1" ht="12" customHeight="1" thickBot="1" x14ac:dyDescent="0.3" hidden="1">
      <c r="A93" s="133">
        <v>5</v>
      </c>
      <c r="B93" s="1711" t="str">
        <f>IF(A93&gt;F$88,"{Can hide row}","")</f>
        <v/>
      </c>
      <c r="C93" s="560" t="str">
        <f>A93&amp;" "</f>
        <v xml:space="preserve">5 </v>
      </c>
      <c r="D93" s="1843"/>
      <c r="E93" s="1844"/>
      <c r="F93" s="1845"/>
      <c r="G93" s="589"/>
      <c r="H93" s="621"/>
      <c r="I93" s="1070"/>
      <c r="J93" s="560"/>
      <c r="P93" s="1093">
        <f>IF(OR($H93="",$I93=""),0,IF(OR(P$88&lt;$H93,P$188&gt;$I93),0,$G93))</f>
        <v>0</v>
      </c>
      <c r="Q93" s="1094">
        <f>IF(OR($H93="",$I93=""),0,IF(OR(Q$88&lt;$H93,Q$188&gt;$I93),0,$G93))</f>
        <v>0</v>
      </c>
      <c r="R93" s="1094">
        <f>IF(OR($H93="",$I93=""),0,IF(OR(R$88&lt;$H93,R$188&gt;$I93),0,$G93))</f>
        <v>0</v>
      </c>
      <c r="S93" s="1094">
        <f>IF(OR($H93="",$I93=""),0,IF(OR(S$88&lt;$H93,S$188&gt;$I93),0,$G93))</f>
        <v>0</v>
      </c>
      <c r="T93" s="1094">
        <f>IF(OR($H93="",$I93=""),0,IF(OR(T$88&lt;$H93,T$188&gt;$I93),0,$G93))</f>
        <v>0</v>
      </c>
      <c r="U93" s="1094">
        <f>IF(OR($H93="",$I93=""),0,IF(OR(U$88&lt;$H93,U$188&gt;$I93),0,$G93))</f>
        <v>0</v>
      </c>
      <c r="V93" s="1094">
        <f>IF(OR($H93="",$I93=""),0,IF(OR(V$88&lt;$H93,V$188&gt;$I93),0,$G93))</f>
        <v>0</v>
      </c>
      <c r="W93" s="1094">
        <f>IF(OR($H93="",$I93=""),0,IF(OR(W$88&lt;$H93,W$188&gt;$I93),0,$G93))</f>
        <v>0</v>
      </c>
      <c r="X93" s="1094">
        <f>IF(OR($H93="",$I93=""),0,IF(OR(X$88&lt;$H93,X$188&gt;$I93),0,$G93))</f>
        <v>0</v>
      </c>
      <c r="Y93" s="1094">
        <f>IF(OR($H93="",$I93=""),0,IF(OR(Y$88&lt;$H93,Y$188&gt;$I93),0,$G93))</f>
        <v>0</v>
      </c>
      <c r="Z93" s="1095">
        <f>IF(OR($H93="",$I93=""),0,IF(OR(Z$88&lt;$H93,Z$188&gt;$I93),0,$G93))</f>
        <v>0</v>
      </c>
      <c r="AA93" s="1095">
        <f>IF(OR($H93="",$I93=""),0,IF(OR(AA$88&lt;$H93,AA$188&gt;$I93),0,$G93))</f>
        <v>0</v>
      </c>
      <c r="AB93" s="1095">
        <f>IF(OR($H93="",$I93=""),0,IF(OR(AB$88&lt;$H93,AB$188&gt;$I93),0,$G93))</f>
        <v>0</v>
      </c>
      <c r="AC93" s="1075">
        <f>IF(OR($H93="",$I93=""),0,IF(OR(AC$88&lt;$H93,AC$188&gt;$I93),0,$G93))</f>
        <v>0</v>
      </c>
      <c r="AD93" s="1075">
        <f>IF(OR($H93="",$I93=""),0,IF(OR(AD$88&lt;$H93,AD$188&gt;$I93),0,$G93))</f>
        <v>0</v>
      </c>
      <c r="AE93" s="1075">
        <f>IF(OR($H93="",$I93=""),0,IF(OR(AE$88&lt;$H93,AE$188&gt;$I93),0,$G93))</f>
        <v>0</v>
      </c>
      <c r="AF93" s="1075">
        <f>IF(OR($H93="",$I93=""),0,IF(OR(AF$88&lt;$H93,AF$188&gt;$I93),0,$G93))</f>
        <v>0</v>
      </c>
      <c r="AG93" s="1075">
        <f>IF(OR($H93="",$I93=""),0,IF(OR(AG$88&lt;$H93,AG$188&gt;$I93),0,$G93))</f>
        <v>0</v>
      </c>
      <c r="AH93" s="1075">
        <f>IF(OR($H93="",$I93=""),0,IF(OR(AH$88&lt;$H93,AH$188&gt;$I93),0,$G93))</f>
        <v>0</v>
      </c>
      <c r="AI93" s="1075">
        <f>IF(OR($H93="",$I93=""),0,IF(OR(AI$88&lt;$H93,AI$188&gt;$I93),0,$G93))</f>
        <v>0</v>
      </c>
      <c r="AJ93" s="1095">
        <f>IF(OR($H93="",$I93=""),0,IF(OR(AJ$88&lt;$H93,AJ$188&gt;$I93),0,$G93))</f>
        <v>0</v>
      </c>
      <c r="AK93" s="1094">
        <f>IF(OR($H93="",$I93=""),0,IF(OR(AK$88&lt;$H93,AK$188&gt;$I93),0,$G93))</f>
        <v>0</v>
      </c>
      <c r="AL93" s="1094">
        <f>IF(OR($H93="",$I93=""),0,IF(OR(AL$88&lt;$H93,AL$188&gt;$I93),0,$G93))</f>
        <v>0</v>
      </c>
      <c r="AM93" s="1094">
        <f>IF(OR($H93="",$I93=""),0,IF(OR(AM$88&lt;$H93,AM$188&gt;$I93),0,$G93))</f>
        <v>0</v>
      </c>
      <c r="AN93" s="1094">
        <f>IF(OR($H93="",$I93=""),0,IF(OR(AN$88&lt;$H93,AN$188&gt;$I93),0,$G93))</f>
        <v>0</v>
      </c>
      <c r="AO93" s="1094">
        <f>IF(OR($H93="",$I93=""),0,IF(OR(AO$88&lt;$H93,AO$188&gt;$I93),0,$G93))</f>
        <v>0</v>
      </c>
      <c r="AP93" s="1094">
        <f>IF(OR($H93="",$I93=""),0,IF(OR(AP$88&lt;$H93,AP$188&gt;$I93),0,$G93))</f>
        <v>0</v>
      </c>
      <c r="AQ93" s="1094">
        <f>IF(OR($H93="",$I93=""),0,IF(OR(AQ$88&lt;$H93,AQ$188&gt;$I93),0,$G93))</f>
        <v>0</v>
      </c>
      <c r="AR93" s="1094">
        <f>IF(OR($H93="",$I93=""),0,IF(OR(AR$88&lt;$H93,AR$188&gt;$I93),0,$G93))</f>
        <v>0</v>
      </c>
      <c r="AS93" s="1094">
        <f>IF(OR($H93="",$I93=""),0,IF(OR(AS$88&lt;$H93,AS$188&gt;$I93),0,$G93))</f>
        <v>0</v>
      </c>
      <c r="AT93" s="1094">
        <f>IF(OR($H93="",$I93=""),0,IF(OR(AT$88&lt;$H93,AT$188&gt;$I93),0,$G93))</f>
        <v>0</v>
      </c>
      <c r="AU93" s="1094">
        <f>IF(OR($H93="",$I93=""),0,IF(OR(AU$88&lt;$H93,AU$188&gt;$I93),0,$G93))</f>
        <v>0</v>
      </c>
      <c r="AV93" s="1094">
        <f>IF(OR($H93="",$I93=""),0,IF(OR(AV$88&lt;$H93,AV$188&gt;$I93),0,$G93))</f>
        <v>0</v>
      </c>
      <c r="AW93" s="1094">
        <f>IF(OR($H93="",$I93=""),0,IF(OR(AW$88&lt;$H93,AW$188&gt;$I93),0,$G93))</f>
        <v>0</v>
      </c>
      <c r="AX93" s="1094">
        <f>IF(OR($H93="",$I93=""),0,IF(OR(AX$88&lt;$H93,AX$188&gt;$I93),0,$G93))</f>
        <v>0</v>
      </c>
      <c r="AY93" s="1096">
        <f>IF(OR($H93="",$I93=""),0,IF(OR(AY$88&lt;$H93,AY$188&gt;$I93),0,$G93))</f>
        <v>0</v>
      </c>
      <c r="AZ93" s="1243">
        <f>IF(OR($H93="",$I93=""),0,IF(OR(AZ$88&lt;$H93,AZ$188&gt;$I93),0,$G93))</f>
        <v>0</v>
      </c>
      <c r="BA93" s="1094">
        <f>IF(OR($H93="",$I93=""),0,IF(OR(BA$88&lt;$H93,BA$188&gt;$I93),0,$G93))</f>
        <v>0</v>
      </c>
      <c r="BB93" s="1094">
        <f>IF(OR($H93="",$I93=""),0,IF(OR(BB$88&lt;$H93,BB$188&gt;$I93),0,$G93))</f>
        <v>0</v>
      </c>
      <c r="BC93" s="1094">
        <f>IF(OR($H93="",$I93=""),0,IF(OR(BC$88&lt;$H93,BC$188&gt;$I93),0,$G93))</f>
        <v>0</v>
      </c>
      <c r="BD93" s="1094">
        <f>IF(OR($H93="",$I93=""),0,IF(OR(BD$88&lt;$H93,BD$188&gt;$I93),0,$G93))</f>
        <v>0</v>
      </c>
      <c r="BE93" s="1094">
        <f>IF(OR($H93="",$I93=""),0,IF(OR(BE$88&lt;$H93,BE$188&gt;$I93),0,$G93))</f>
        <v>0</v>
      </c>
      <c r="BF93" s="1094">
        <f>IF(OR($H93="",$I93=""),0,IF(OR(BF$88&lt;$H93,BF$188&gt;$I93),0,$G93))</f>
        <v>0</v>
      </c>
      <c r="BG93" s="1094">
        <f>IF(OR($H93="",$I93=""),0,IF(OR(BG$88&lt;$H93,BG$188&gt;$I93),0,$G93))</f>
        <v>0</v>
      </c>
      <c r="BH93" s="1094">
        <f>IF(OR($H93="",$I93=""),0,IF(OR(BH$88&lt;$H93,BH$188&gt;$I93),0,$G93))</f>
        <v>0</v>
      </c>
      <c r="BI93" s="1094">
        <f>IF(OR($H93="",$I93=""),0,IF(OR(BI$88&lt;$H93,BI$188&gt;$I93),0,$G93))</f>
        <v>0</v>
      </c>
      <c r="BJ93" s="1094">
        <f>IF(OR($H93="",$I93=""),0,IF(OR(BJ$88&lt;$H93,BJ$188&gt;$I93),0,$G93))</f>
        <v>0</v>
      </c>
      <c r="BK93" s="1094">
        <f>IF(OR($H93="",$I93=""),0,IF(OR(BK$88&lt;$H93,BK$188&gt;$I93),0,$G93))</f>
        <v>0</v>
      </c>
      <c r="BL93" s="1094">
        <f>IF(OR($H93="",$I93=""),0,IF(OR(BL$88&lt;$H93,BL$188&gt;$I93),0,$G93))</f>
        <v>0</v>
      </c>
      <c r="BM93" s="1094">
        <f>IF(OR($H93="",$I93=""),0,IF(OR(BM$88&lt;$H93,BM$188&gt;$I93),0,$G93))</f>
        <v>0</v>
      </c>
      <c r="BN93" s="1094">
        <f>IF(OR($H93="",$I93=""),0,IF(OR(BN$88&lt;$H93,BN$188&gt;$I93),0,$G93))</f>
        <v>0</v>
      </c>
      <c r="BO93" s="1094">
        <f>IF(OR($H93="",$I93=""),0,IF(OR(BO$88&lt;$H93,BO$188&gt;$I93),0,$G93))</f>
        <v>0</v>
      </c>
      <c r="BP93" s="1094">
        <f>IF(OR($H93="",$I93=""),0,IF(OR(BP$88&lt;$H93,BP$188&gt;$I93),0,$G93))</f>
        <v>0</v>
      </c>
      <c r="BQ93" s="1094">
        <f>IF(OR($H93="",$I93=""),0,IF(OR(BQ$88&lt;$H93,BQ$188&gt;$I93),0,$G93))</f>
        <v>0</v>
      </c>
      <c r="BR93" s="1094">
        <f>IF(OR($H93="",$I93=""),0,IF(OR(BR$88&lt;$H93,BR$188&gt;$I93),0,$G93))</f>
        <v>0</v>
      </c>
      <c r="BS93" s="1094">
        <f>IF(OR($H93="",$I93=""),0,IF(OR(BS$88&lt;$H93,BS$188&gt;$I93),0,$G93))</f>
        <v>0</v>
      </c>
      <c r="BT93" s="1094">
        <f>IF(OR($H93="",$I93=""),0,IF(OR(BT$88&lt;$H93,BT$188&gt;$I93),0,$G93))</f>
        <v>0</v>
      </c>
      <c r="BU93" s="1094">
        <f>IF(OR($H93="",$I93=""),0,IF(OR(BU$88&lt;$H93,BU$188&gt;$I93),0,$G93))</f>
        <v>0</v>
      </c>
      <c r="BV93" s="1094">
        <f>IF(OR($H93="",$I93=""),0,IF(OR(BV$88&lt;$H93,BV$188&gt;$I93),0,$G93))</f>
        <v>0</v>
      </c>
      <c r="BW93" s="1096">
        <f>IF(OR($H93="",$I93=""),0,IF(OR(BW$88&lt;$H93,BW$188&gt;$I93),0,$G93))</f>
        <v>0</v>
      </c>
      <c r="CC93" s="133">
        <f>$K$120</f>
        <v>0</v>
      </c>
      <c r="CD93" s="133">
        <f>$K$120</f>
        <v>0</v>
      </c>
      <c r="CE93" s="133">
        <f>$K$120</f>
        <v>0</v>
      </c>
      <c r="CF93" s="133">
        <f>$K$120</f>
        <v>0</v>
      </c>
      <c r="CG93" s="133">
        <f>$K$120</f>
        <v>0</v>
      </c>
      <c r="CH93" s="133">
        <f>$K$120</f>
        <v>0</v>
      </c>
      <c r="CI93" s="133">
        <f>$K$120</f>
        <v>0</v>
      </c>
      <c r="CJ93" s="133">
        <f>$K$120</f>
        <v>0</v>
      </c>
      <c r="CK93" s="133">
        <f>$K$120</f>
        <v>0</v>
      </c>
      <c r="CL93" s="131"/>
      <c r="CM93" s="131"/>
      <c r="CN93" s="131"/>
      <c r="CO93" s="131"/>
      <c r="CP93" s="131"/>
      <c r="CQ93" s="131"/>
      <c r="CR93" s="131"/>
      <c r="CS93" s="131"/>
      <c r="CT93" s="131"/>
      <c r="CU93" s="131"/>
      <c r="CV93" s="131"/>
      <c r="CW93" s="131"/>
      <c r="CX93" s="131"/>
      <c r="CY93" s="131"/>
      <c r="CZ93" s="131"/>
      <c r="DA93" s="131"/>
      <c r="DB93" s="131"/>
      <c r="DC93" s="131"/>
      <c r="DD93" s="131"/>
      <c r="DE93" s="131"/>
      <c r="DF93" s="131"/>
      <c r="DG93" s="131"/>
      <c r="DH93" s="131"/>
      <c r="DI93" s="131"/>
      <c r="DJ93" s="131"/>
      <c r="DK93" s="131"/>
      <c r="DL93" s="131"/>
      <c r="DM93" s="131"/>
      <c r="DN93" s="131"/>
      <c r="DO93" s="131"/>
      <c r="DP93" s="131"/>
      <c r="DQ93" s="131"/>
      <c r="DR93" s="131"/>
      <c r="DS93" s="131"/>
      <c r="DT93" s="131"/>
      <c r="DU93" s="131"/>
      <c r="DV93" s="131"/>
      <c r="DW93" s="131"/>
      <c r="DX93" s="131"/>
      <c r="DY93" s="131"/>
      <c r="DZ93" s="131"/>
      <c r="EA93" s="131"/>
      <c r="EB93" s="131"/>
      <c r="EC93" s="131"/>
      <c r="ED93" s="131"/>
      <c r="EE93" s="131"/>
      <c r="EF93" s="131"/>
      <c r="EG93" s="131"/>
      <c r="EH93" s="131"/>
      <c r="EI93" s="131"/>
      <c r="EJ93" s="131"/>
      <c r="EK93" s="131"/>
      <c r="EL93" s="131"/>
      <c r="EM93" s="131"/>
      <c r="EN93" s="131"/>
      <c r="EO93" s="131"/>
      <c r="EP93" s="131"/>
      <c r="EQ93" s="131"/>
      <c r="ER93" s="131"/>
      <c r="ES93" s="131"/>
      <c r="ET93" s="131"/>
      <c r="EU93" s="131"/>
      <c r="EV93" s="131"/>
      <c r="EW93" s="131"/>
      <c r="EX93" s="131"/>
      <c r="EY93" s="131"/>
      <c r="EZ93" s="131"/>
      <c r="FA93" s="131"/>
      <c r="FB93" s="131"/>
      <c r="FC93" s="131"/>
      <c r="FD93" s="131"/>
      <c r="FE93" s="131"/>
      <c r="FF93" s="131"/>
      <c r="FG93" s="131"/>
      <c r="FH93" s="131"/>
      <c r="FI93" s="131"/>
      <c r="FJ93" s="131"/>
      <c r="FK93" s="131"/>
      <c r="FL93" s="131"/>
      <c r="FM93" s="131"/>
      <c r="FN93" s="131"/>
      <c r="FO93" s="131"/>
      <c r="FP93" s="131"/>
      <c r="FQ93" s="131"/>
      <c r="FR93" s="131"/>
      <c r="FS93" s="131"/>
      <c r="FT93" s="131"/>
      <c r="FU93" s="131"/>
      <c r="FV93" s="133">
        <f>$K$118</f>
        <v>0</v>
      </c>
      <c r="FW93" s="133">
        <f>$K$118</f>
        <v>0</v>
      </c>
    </row>
    <row r="94" spans="1:179" s="8" customFormat="1" ht="12" hidden="1" customHeight="1" thickBot="1" x14ac:dyDescent="0.3">
      <c r="A94" s="133">
        <v>6</v>
      </c>
      <c r="B94" s="1711" t="str">
        <f>IF(A94&gt;F$88,"{Can hide row}","")</f>
        <v>{Can hide row}</v>
      </c>
      <c r="C94" s="560" t="str">
        <f>A94&amp;" "</f>
        <v xml:space="preserve">6 </v>
      </c>
      <c r="D94" s="1843"/>
      <c r="E94" s="1844"/>
      <c r="F94" s="1845"/>
      <c r="G94" s="589"/>
      <c r="H94" s="621"/>
      <c r="I94" s="1070"/>
      <c r="J94" s="560"/>
      <c r="K94" s="11"/>
      <c r="M94" s="11"/>
      <c r="N94" s="11"/>
      <c r="P94" s="1093">
        <f>IF(OR($H94="",$I94=""),0,IF(OR(P$88&lt;$H94,P$188&gt;$I94),0,$G94))</f>
        <v>0</v>
      </c>
      <c r="Q94" s="1094">
        <f>IF(OR($H94="",$I94=""),0,IF(OR(Q$88&lt;$H94,Q$188&gt;$I94),0,$G94))</f>
        <v>0</v>
      </c>
      <c r="R94" s="1094">
        <f>IF(OR($H94="",$I94=""),0,IF(OR(R$88&lt;$H94,R$188&gt;$I94),0,$G94))</f>
        <v>0</v>
      </c>
      <c r="S94" s="1094">
        <f>IF(OR($H94="",$I94=""),0,IF(OR(S$88&lt;$H94,S$188&gt;$I94),0,$G94))</f>
        <v>0</v>
      </c>
      <c r="T94" s="1094">
        <f>IF(OR($H94="",$I94=""),0,IF(OR(T$88&lt;$H94,T$188&gt;$I94),0,$G94))</f>
        <v>0</v>
      </c>
      <c r="U94" s="1094">
        <f>IF(OR($H94="",$I94=""),0,IF(OR(U$88&lt;$H94,U$188&gt;$I94),0,$G94))</f>
        <v>0</v>
      </c>
      <c r="V94" s="1094">
        <f>IF(OR($H94="",$I94=""),0,IF(OR(V$88&lt;$H94,V$188&gt;$I94),0,$G94))</f>
        <v>0</v>
      </c>
      <c r="W94" s="1094">
        <f>IF(OR($H94="",$I94=""),0,IF(OR(W$88&lt;$H94,W$188&gt;$I94),0,$G94))</f>
        <v>0</v>
      </c>
      <c r="X94" s="1094">
        <f>IF(OR($H94="",$I94=""),0,IF(OR(X$88&lt;$H94,X$188&gt;$I94),0,$G94))</f>
        <v>0</v>
      </c>
      <c r="Y94" s="1094">
        <f>IF(OR($H94="",$I94=""),0,IF(OR(Y$88&lt;$H94,Y$188&gt;$I94),0,$G94))</f>
        <v>0</v>
      </c>
      <c r="Z94" s="1095">
        <f>IF(OR($H94="",$I94=""),0,IF(OR(Z$88&lt;$H94,Z$188&gt;$I94),0,$G94))</f>
        <v>0</v>
      </c>
      <c r="AA94" s="1095">
        <f>IF(OR($H94="",$I94=""),0,IF(OR(AA$88&lt;$H94,AA$188&gt;$I94),0,$G94))</f>
        <v>0</v>
      </c>
      <c r="AB94" s="1095">
        <f>IF(OR($H94="",$I94=""),0,IF(OR(AB$88&lt;$H94,AB$188&gt;$I94),0,$G94))</f>
        <v>0</v>
      </c>
      <c r="AC94" s="1075">
        <f>IF(OR($H94="",$I94=""),0,IF(OR(AC$88&lt;$H94,AC$188&gt;$I94),0,$G94))</f>
        <v>0</v>
      </c>
      <c r="AD94" s="1075">
        <f>IF(OR($H94="",$I94=""),0,IF(OR(AD$88&lt;$H94,AD$188&gt;$I94),0,$G94))</f>
        <v>0</v>
      </c>
      <c r="AE94" s="1075">
        <f>IF(OR($H94="",$I94=""),0,IF(OR(AE$88&lt;$H94,AE$188&gt;$I94),0,$G94))</f>
        <v>0</v>
      </c>
      <c r="AF94" s="1075">
        <f>IF(OR($H94="",$I94=""),0,IF(OR(AF$88&lt;$H94,AF$188&gt;$I94),0,$G94))</f>
        <v>0</v>
      </c>
      <c r="AG94" s="1075">
        <f>IF(OR($H94="",$I94=""),0,IF(OR(AG$88&lt;$H94,AG$188&gt;$I94),0,$G94))</f>
        <v>0</v>
      </c>
      <c r="AH94" s="1075">
        <f>IF(OR($H94="",$I94=""),0,IF(OR(AH$88&lt;$H94,AH$188&gt;$I94),0,$G94))</f>
        <v>0</v>
      </c>
      <c r="AI94" s="1075">
        <f>IF(OR($H94="",$I94=""),0,IF(OR(AI$88&lt;$H94,AI$188&gt;$I94),0,$G94))</f>
        <v>0</v>
      </c>
      <c r="AJ94" s="1095">
        <f>IF(OR($H94="",$I94=""),0,IF(OR(AJ$88&lt;$H94,AJ$188&gt;$I94),0,$G94))</f>
        <v>0</v>
      </c>
      <c r="AK94" s="1094">
        <f>IF(OR($H94="",$I94=""),0,IF(OR(AK$88&lt;$H94,AK$188&gt;$I94),0,$G94))</f>
        <v>0</v>
      </c>
      <c r="AL94" s="1094">
        <f>IF(OR($H94="",$I94=""),0,IF(OR(AL$88&lt;$H94,AL$188&gt;$I94),0,$G94))</f>
        <v>0</v>
      </c>
      <c r="AM94" s="1094">
        <f>IF(OR($H94="",$I94=""),0,IF(OR(AM$88&lt;$H94,AM$188&gt;$I94),0,$G94))</f>
        <v>0</v>
      </c>
      <c r="AN94" s="1094">
        <f>IF(OR($H94="",$I94=""),0,IF(OR(AN$88&lt;$H94,AN$188&gt;$I94),0,$G94))</f>
        <v>0</v>
      </c>
      <c r="AO94" s="1094">
        <f>IF(OR($H94="",$I94=""),0,IF(OR(AO$88&lt;$H94,AO$188&gt;$I94),0,$G94))</f>
        <v>0</v>
      </c>
      <c r="AP94" s="1094">
        <f>IF(OR($H94="",$I94=""),0,IF(OR(AP$88&lt;$H94,AP$188&gt;$I94),0,$G94))</f>
        <v>0</v>
      </c>
      <c r="AQ94" s="1094">
        <f>IF(OR($H94="",$I94=""),0,IF(OR(AQ$88&lt;$H94,AQ$188&gt;$I94),0,$G94))</f>
        <v>0</v>
      </c>
      <c r="AR94" s="1094">
        <f>IF(OR($H94="",$I94=""),0,IF(OR(AR$88&lt;$H94,AR$188&gt;$I94),0,$G94))</f>
        <v>0</v>
      </c>
      <c r="AS94" s="1094">
        <f>IF(OR($H94="",$I94=""),0,IF(OR(AS$88&lt;$H94,AS$188&gt;$I94),0,$G94))</f>
        <v>0</v>
      </c>
      <c r="AT94" s="1094">
        <f>IF(OR($H94="",$I94=""),0,IF(OR(AT$88&lt;$H94,AT$188&gt;$I94),0,$G94))</f>
        <v>0</v>
      </c>
      <c r="AU94" s="1094">
        <f>IF(OR($H94="",$I94=""),0,IF(OR(AU$88&lt;$H94,AU$188&gt;$I94),0,$G94))</f>
        <v>0</v>
      </c>
      <c r="AV94" s="1094">
        <f>IF(OR($H94="",$I94=""),0,IF(OR(AV$88&lt;$H94,AV$188&gt;$I94),0,$G94))</f>
        <v>0</v>
      </c>
      <c r="AW94" s="1094">
        <f>IF(OR($H94="",$I94=""),0,IF(OR(AW$88&lt;$H94,AW$188&gt;$I94),0,$G94))</f>
        <v>0</v>
      </c>
      <c r="AX94" s="1094">
        <f>IF(OR($H94="",$I94=""),0,IF(OR(AX$88&lt;$H94,AX$188&gt;$I94),0,$G94))</f>
        <v>0</v>
      </c>
      <c r="AY94" s="1096">
        <f>IF(OR($H94="",$I94=""),0,IF(OR(AY$88&lt;$H94,AY$188&gt;$I94),0,$G94))</f>
        <v>0</v>
      </c>
      <c r="AZ94" s="1243">
        <f>IF(OR($H94="",$I94=""),0,IF(OR(AZ$88&lt;$H94,AZ$188&gt;$I94),0,$G94))</f>
        <v>0</v>
      </c>
      <c r="BA94" s="1094">
        <f>IF(OR($H94="",$I94=""),0,IF(OR(BA$88&lt;$H94,BA$188&gt;$I94),0,$G94))</f>
        <v>0</v>
      </c>
      <c r="BB94" s="1094">
        <f>IF(OR($H94="",$I94=""),0,IF(OR(BB$88&lt;$H94,BB$188&gt;$I94),0,$G94))</f>
        <v>0</v>
      </c>
      <c r="BC94" s="1094">
        <f>IF(OR($H94="",$I94=""),0,IF(OR(BC$88&lt;$H94,BC$188&gt;$I94),0,$G94))</f>
        <v>0</v>
      </c>
      <c r="BD94" s="1094">
        <f>IF(OR($H94="",$I94=""),0,IF(OR(BD$88&lt;$H94,BD$188&gt;$I94),0,$G94))</f>
        <v>0</v>
      </c>
      <c r="BE94" s="1094">
        <f>IF(OR($H94="",$I94=""),0,IF(OR(BE$88&lt;$H94,BE$188&gt;$I94),0,$G94))</f>
        <v>0</v>
      </c>
      <c r="BF94" s="1094">
        <f>IF(OR($H94="",$I94=""),0,IF(OR(BF$88&lt;$H94,BF$188&gt;$I94),0,$G94))</f>
        <v>0</v>
      </c>
      <c r="BG94" s="1094">
        <f>IF(OR($H94="",$I94=""),0,IF(OR(BG$88&lt;$H94,BG$188&gt;$I94),0,$G94))</f>
        <v>0</v>
      </c>
      <c r="BH94" s="1094">
        <f>IF(OR($H94="",$I94=""),0,IF(OR(BH$88&lt;$H94,BH$188&gt;$I94),0,$G94))</f>
        <v>0</v>
      </c>
      <c r="BI94" s="1094">
        <f>IF(OR($H94="",$I94=""),0,IF(OR(BI$88&lt;$H94,BI$188&gt;$I94),0,$G94))</f>
        <v>0</v>
      </c>
      <c r="BJ94" s="1094">
        <f>IF(OR($H94="",$I94=""),0,IF(OR(BJ$88&lt;$H94,BJ$188&gt;$I94),0,$G94))</f>
        <v>0</v>
      </c>
      <c r="BK94" s="1094">
        <f>IF(OR($H94="",$I94=""),0,IF(OR(BK$88&lt;$H94,BK$188&gt;$I94),0,$G94))</f>
        <v>0</v>
      </c>
      <c r="BL94" s="1094">
        <f>IF(OR($H94="",$I94=""),0,IF(OR(BL$88&lt;$H94,BL$188&gt;$I94),0,$G94))</f>
        <v>0</v>
      </c>
      <c r="BM94" s="1094">
        <f>IF(OR($H94="",$I94=""),0,IF(OR(BM$88&lt;$H94,BM$188&gt;$I94),0,$G94))</f>
        <v>0</v>
      </c>
      <c r="BN94" s="1094">
        <f>IF(OR($H94="",$I94=""),0,IF(OR(BN$88&lt;$H94,BN$188&gt;$I94),0,$G94))</f>
        <v>0</v>
      </c>
      <c r="BO94" s="1094">
        <f>IF(OR($H94="",$I94=""),0,IF(OR(BO$88&lt;$H94,BO$188&gt;$I94),0,$G94))</f>
        <v>0</v>
      </c>
      <c r="BP94" s="1094">
        <f>IF(OR($H94="",$I94=""),0,IF(OR(BP$88&lt;$H94,BP$188&gt;$I94),0,$G94))</f>
        <v>0</v>
      </c>
      <c r="BQ94" s="1094">
        <f>IF(OR($H94="",$I94=""),0,IF(OR(BQ$88&lt;$H94,BQ$188&gt;$I94),0,$G94))</f>
        <v>0</v>
      </c>
      <c r="BR94" s="1094">
        <f>IF(OR($H94="",$I94=""),0,IF(OR(BR$88&lt;$H94,BR$188&gt;$I94),0,$G94))</f>
        <v>0</v>
      </c>
      <c r="BS94" s="1094">
        <f>IF(OR($H94="",$I94=""),0,IF(OR(BS$88&lt;$H94,BS$188&gt;$I94),0,$G94))</f>
        <v>0</v>
      </c>
      <c r="BT94" s="1094">
        <f>IF(OR($H94="",$I94=""),0,IF(OR(BT$88&lt;$H94,BT$188&gt;$I94),0,$G94))</f>
        <v>0</v>
      </c>
      <c r="BU94" s="1094">
        <f>IF(OR($H94="",$I94=""),0,IF(OR(BU$88&lt;$H94,BU$188&gt;$I94),0,$G94))</f>
        <v>0</v>
      </c>
      <c r="BV94" s="1094">
        <f>IF(OR($H94="",$I94=""),0,IF(OR(BV$88&lt;$H94,BV$188&gt;$I94),0,$G94))</f>
        <v>0</v>
      </c>
      <c r="BW94" s="1096">
        <f>IF(OR($H94="",$I94=""),0,IF(OR(BW$88&lt;$H94,BW$188&gt;$I94),0,$G94))</f>
        <v>0</v>
      </c>
      <c r="CC94" s="135">
        <f>0</f>
        <v>0</v>
      </c>
      <c r="CD94" s="135">
        <f>0</f>
        <v>0</v>
      </c>
      <c r="CE94" s="135">
        <f>0</f>
        <v>0</v>
      </c>
      <c r="CF94" s="135">
        <f>0</f>
        <v>0</v>
      </c>
      <c r="CG94" s="135">
        <f>0</f>
        <v>0</v>
      </c>
      <c r="CH94" s="135">
        <f>0</f>
        <v>0</v>
      </c>
      <c r="CI94" s="135">
        <f>0</f>
        <v>0</v>
      </c>
      <c r="CJ94" s="135">
        <f>0</f>
        <v>0</v>
      </c>
      <c r="CK94" s="135">
        <f>0</f>
        <v>0</v>
      </c>
      <c r="CL94" s="131"/>
      <c r="CM94" s="131"/>
      <c r="CN94" s="131"/>
      <c r="CO94" s="131"/>
      <c r="CP94" s="131"/>
      <c r="CQ94" s="131"/>
      <c r="CR94" s="131"/>
      <c r="CS94" s="131"/>
      <c r="CT94" s="131"/>
      <c r="CU94" s="131"/>
      <c r="CV94" s="131"/>
      <c r="CW94" s="131"/>
      <c r="CX94" s="131"/>
      <c r="CY94" s="131"/>
      <c r="CZ94" s="131"/>
      <c r="DA94" s="131"/>
      <c r="DB94" s="131"/>
      <c r="DC94" s="131"/>
      <c r="DD94" s="131"/>
      <c r="DE94" s="131"/>
      <c r="DF94" s="131"/>
      <c r="DG94" s="131"/>
      <c r="DH94" s="131"/>
      <c r="DI94" s="131"/>
      <c r="DJ94" s="131"/>
      <c r="DK94" s="131"/>
      <c r="DL94" s="131"/>
      <c r="DM94" s="131"/>
      <c r="DN94" s="131"/>
      <c r="DO94" s="131"/>
      <c r="DP94" s="131"/>
      <c r="DQ94" s="131"/>
      <c r="DR94" s="131"/>
      <c r="DS94" s="131"/>
      <c r="DT94" s="131"/>
      <c r="DU94" s="131"/>
      <c r="DV94" s="131"/>
      <c r="DW94" s="131"/>
      <c r="DX94" s="131"/>
      <c r="DY94" s="131"/>
      <c r="DZ94" s="131"/>
      <c r="EA94" s="131"/>
      <c r="EB94" s="131"/>
      <c r="EC94" s="131"/>
      <c r="ED94" s="131"/>
      <c r="EE94" s="131"/>
      <c r="EF94" s="131"/>
      <c r="EG94" s="131"/>
      <c r="EH94" s="131"/>
      <c r="EI94" s="131"/>
      <c r="EJ94" s="131"/>
      <c r="EK94" s="131"/>
      <c r="EL94" s="131"/>
      <c r="EM94" s="131"/>
      <c r="EN94" s="131"/>
      <c r="EO94" s="131"/>
      <c r="EP94" s="131"/>
      <c r="EQ94" s="131"/>
      <c r="ER94" s="131"/>
      <c r="ES94" s="131"/>
      <c r="ET94" s="131"/>
      <c r="EU94" s="131"/>
      <c r="EV94" s="131"/>
      <c r="EW94" s="131"/>
      <c r="EX94" s="131"/>
      <c r="EY94" s="131"/>
      <c r="EZ94" s="131"/>
      <c r="FA94" s="131"/>
      <c r="FB94" s="131"/>
      <c r="FC94" s="131"/>
      <c r="FD94" s="131"/>
      <c r="FE94" s="131"/>
      <c r="FF94" s="131"/>
      <c r="FG94" s="131"/>
      <c r="FH94" s="131"/>
      <c r="FI94" s="131"/>
      <c r="FJ94" s="131"/>
      <c r="FK94" s="131"/>
      <c r="FL94" s="131"/>
      <c r="FM94" s="131"/>
      <c r="FN94" s="131"/>
      <c r="FO94" s="131"/>
      <c r="FP94" s="131"/>
      <c r="FQ94" s="131"/>
      <c r="FR94" s="131"/>
      <c r="FS94" s="131"/>
      <c r="FT94" s="131"/>
      <c r="FU94" s="131"/>
      <c r="FV94" s="135">
        <f>0</f>
        <v>0</v>
      </c>
      <c r="FW94" s="135">
        <f>0</f>
        <v>0</v>
      </c>
    </row>
    <row r="95" spans="1:179" s="8" customFormat="1" ht="12" hidden="1" customHeight="1" thickBot="1" x14ac:dyDescent="0.3">
      <c r="A95" s="133">
        <v>7</v>
      </c>
      <c r="B95" s="1711" t="str">
        <f>IF(A95&gt;F$88,"{Can hide row}","")</f>
        <v>{Can hide row}</v>
      </c>
      <c r="C95" s="560" t="str">
        <f>A95&amp;" "</f>
        <v xml:space="preserve">7 </v>
      </c>
      <c r="D95" s="1843"/>
      <c r="E95" s="1844"/>
      <c r="F95" s="1845"/>
      <c r="G95" s="589"/>
      <c r="H95" s="621"/>
      <c r="I95" s="1070"/>
      <c r="J95" s="560"/>
      <c r="M95" s="11"/>
      <c r="N95" s="11"/>
      <c r="P95" s="1093">
        <f>IF(OR($H95="",$I95=""),0,IF(OR(P$88&lt;$H95,P$188&gt;$I95),0,$G95))</f>
        <v>0</v>
      </c>
      <c r="Q95" s="1094">
        <f>IF(OR($H95="",$I95=""),0,IF(OR(Q$88&lt;$H95,Q$188&gt;$I95),0,$G95))</f>
        <v>0</v>
      </c>
      <c r="R95" s="1094">
        <f>IF(OR($H95="",$I95=""),0,IF(OR(R$88&lt;$H95,R$188&gt;$I95),0,$G95))</f>
        <v>0</v>
      </c>
      <c r="S95" s="1094">
        <f>IF(OR($H95="",$I95=""),0,IF(OR(S$88&lt;$H95,S$188&gt;$I95),0,$G95))</f>
        <v>0</v>
      </c>
      <c r="T95" s="1094">
        <f>IF(OR($H95="",$I95=""),0,IF(OR(T$88&lt;$H95,T$188&gt;$I95),0,$G95))</f>
        <v>0</v>
      </c>
      <c r="U95" s="1094">
        <f>IF(OR($H95="",$I95=""),0,IF(OR(U$88&lt;$H95,U$188&gt;$I95),0,$G95))</f>
        <v>0</v>
      </c>
      <c r="V95" s="1094">
        <f>IF(OR($H95="",$I95=""),0,IF(OR(V$88&lt;$H95,V$188&gt;$I95),0,$G95))</f>
        <v>0</v>
      </c>
      <c r="W95" s="1094">
        <f>IF(OR($H95="",$I95=""),0,IF(OR(W$88&lt;$H95,W$188&gt;$I95),0,$G95))</f>
        <v>0</v>
      </c>
      <c r="X95" s="1094">
        <f>IF(OR($H95="",$I95=""),0,IF(OR(X$88&lt;$H95,X$188&gt;$I95),0,$G95))</f>
        <v>0</v>
      </c>
      <c r="Y95" s="1094">
        <f>IF(OR($H95="",$I95=""),0,IF(OR(Y$88&lt;$H95,Y$188&gt;$I95),0,$G95))</f>
        <v>0</v>
      </c>
      <c r="Z95" s="1095">
        <f>IF(OR($H95="",$I95=""),0,IF(OR(Z$88&lt;$H95,Z$188&gt;$I95),0,$G95))</f>
        <v>0</v>
      </c>
      <c r="AA95" s="1095">
        <f>IF(OR($H95="",$I95=""),0,IF(OR(AA$88&lt;$H95,AA$188&gt;$I95),0,$G95))</f>
        <v>0</v>
      </c>
      <c r="AB95" s="1095">
        <f>IF(OR($H95="",$I95=""),0,IF(OR(AB$88&lt;$H95,AB$188&gt;$I95),0,$G95))</f>
        <v>0</v>
      </c>
      <c r="AC95" s="1075">
        <f>IF(OR($H95="",$I95=""),0,IF(OR(AC$88&lt;$H95,AC$188&gt;$I95),0,$G95))</f>
        <v>0</v>
      </c>
      <c r="AD95" s="1075">
        <f>IF(OR($H95="",$I95=""),0,IF(OR(AD$88&lt;$H95,AD$188&gt;$I95),0,$G95))</f>
        <v>0</v>
      </c>
      <c r="AE95" s="1075">
        <f>IF(OR($H95="",$I95=""),0,IF(OR(AE$88&lt;$H95,AE$188&gt;$I95),0,$G95))</f>
        <v>0</v>
      </c>
      <c r="AF95" s="1075">
        <f>IF(OR($H95="",$I95=""),0,IF(OR(AF$88&lt;$H95,AF$188&gt;$I95),0,$G95))</f>
        <v>0</v>
      </c>
      <c r="AG95" s="1075">
        <f>IF(OR($H95="",$I95=""),0,IF(OR(AG$88&lt;$H95,AG$188&gt;$I95),0,$G95))</f>
        <v>0</v>
      </c>
      <c r="AH95" s="1075">
        <f>IF(OR($H95="",$I95=""),0,IF(OR(AH$88&lt;$H95,AH$188&gt;$I95),0,$G95))</f>
        <v>0</v>
      </c>
      <c r="AI95" s="1075">
        <f>IF(OR($H95="",$I95=""),0,IF(OR(AI$88&lt;$H95,AI$188&gt;$I95),0,$G95))</f>
        <v>0</v>
      </c>
      <c r="AJ95" s="1095">
        <f>IF(OR($H95="",$I95=""),0,IF(OR(AJ$88&lt;$H95,AJ$188&gt;$I95),0,$G95))</f>
        <v>0</v>
      </c>
      <c r="AK95" s="1094">
        <f>IF(OR($H95="",$I95=""),0,IF(OR(AK$88&lt;$H95,AK$188&gt;$I95),0,$G95))</f>
        <v>0</v>
      </c>
      <c r="AL95" s="1094">
        <f>IF(OR($H95="",$I95=""),0,IF(OR(AL$88&lt;$H95,AL$188&gt;$I95),0,$G95))</f>
        <v>0</v>
      </c>
      <c r="AM95" s="1094">
        <f>IF(OR($H95="",$I95=""),0,IF(OR(AM$88&lt;$H95,AM$188&gt;$I95),0,$G95))</f>
        <v>0</v>
      </c>
      <c r="AN95" s="1094">
        <f>IF(OR($H95="",$I95=""),0,IF(OR(AN$88&lt;$H95,AN$188&gt;$I95),0,$G95))</f>
        <v>0</v>
      </c>
      <c r="AO95" s="1094">
        <f>IF(OR($H95="",$I95=""),0,IF(OR(AO$88&lt;$H95,AO$188&gt;$I95),0,$G95))</f>
        <v>0</v>
      </c>
      <c r="AP95" s="1094">
        <f>IF(OR($H95="",$I95=""),0,IF(OR(AP$88&lt;$H95,AP$188&gt;$I95),0,$G95))</f>
        <v>0</v>
      </c>
      <c r="AQ95" s="1094">
        <f>IF(OR($H95="",$I95=""),0,IF(OR(AQ$88&lt;$H95,AQ$188&gt;$I95),0,$G95))</f>
        <v>0</v>
      </c>
      <c r="AR95" s="1094">
        <f>IF(OR($H95="",$I95=""),0,IF(OR(AR$88&lt;$H95,AR$188&gt;$I95),0,$G95))</f>
        <v>0</v>
      </c>
      <c r="AS95" s="1094">
        <f>IF(OR($H95="",$I95=""),0,IF(OR(AS$88&lt;$H95,AS$188&gt;$I95),0,$G95))</f>
        <v>0</v>
      </c>
      <c r="AT95" s="1094">
        <f>IF(OR($H95="",$I95=""),0,IF(OR(AT$88&lt;$H95,AT$188&gt;$I95),0,$G95))</f>
        <v>0</v>
      </c>
      <c r="AU95" s="1094">
        <f>IF(OR($H95="",$I95=""),0,IF(OR(AU$88&lt;$H95,AU$188&gt;$I95),0,$G95))</f>
        <v>0</v>
      </c>
      <c r="AV95" s="1094">
        <f>IF(OR($H95="",$I95=""),0,IF(OR(AV$88&lt;$H95,AV$188&gt;$I95),0,$G95))</f>
        <v>0</v>
      </c>
      <c r="AW95" s="1094">
        <f>IF(OR($H95="",$I95=""),0,IF(OR(AW$88&lt;$H95,AW$188&gt;$I95),0,$G95))</f>
        <v>0</v>
      </c>
      <c r="AX95" s="1094">
        <f>IF(OR($H95="",$I95=""),0,IF(OR(AX$88&lt;$H95,AX$188&gt;$I95),0,$G95))</f>
        <v>0</v>
      </c>
      <c r="AY95" s="1096">
        <f>IF(OR($H95="",$I95=""),0,IF(OR(AY$88&lt;$H95,AY$188&gt;$I95),0,$G95))</f>
        <v>0</v>
      </c>
      <c r="AZ95" s="1243">
        <f>IF(OR($H95="",$I95=""),0,IF(OR(AZ$88&lt;$H95,AZ$188&gt;$I95),0,$G95))</f>
        <v>0</v>
      </c>
      <c r="BA95" s="1094">
        <f>IF(OR($H95="",$I95=""),0,IF(OR(BA$88&lt;$H95,BA$188&gt;$I95),0,$G95))</f>
        <v>0</v>
      </c>
      <c r="BB95" s="1094">
        <f>IF(OR($H95="",$I95=""),0,IF(OR(BB$88&lt;$H95,BB$188&gt;$I95),0,$G95))</f>
        <v>0</v>
      </c>
      <c r="BC95" s="1094">
        <f>IF(OR($H95="",$I95=""),0,IF(OR(BC$88&lt;$H95,BC$188&gt;$I95),0,$G95))</f>
        <v>0</v>
      </c>
      <c r="BD95" s="1094">
        <f>IF(OR($H95="",$I95=""),0,IF(OR(BD$88&lt;$H95,BD$188&gt;$I95),0,$G95))</f>
        <v>0</v>
      </c>
      <c r="BE95" s="1094">
        <f>IF(OR($H95="",$I95=""),0,IF(OR(BE$88&lt;$H95,BE$188&gt;$I95),0,$G95))</f>
        <v>0</v>
      </c>
      <c r="BF95" s="1094">
        <f>IF(OR($H95="",$I95=""),0,IF(OR(BF$88&lt;$H95,BF$188&gt;$I95),0,$G95))</f>
        <v>0</v>
      </c>
      <c r="BG95" s="1094">
        <f>IF(OR($H95="",$I95=""),0,IF(OR(BG$88&lt;$H95,BG$188&gt;$I95),0,$G95))</f>
        <v>0</v>
      </c>
      <c r="BH95" s="1094">
        <f>IF(OR($H95="",$I95=""),0,IF(OR(BH$88&lt;$H95,BH$188&gt;$I95),0,$G95))</f>
        <v>0</v>
      </c>
      <c r="BI95" s="1094">
        <f>IF(OR($H95="",$I95=""),0,IF(OR(BI$88&lt;$H95,BI$188&gt;$I95),0,$G95))</f>
        <v>0</v>
      </c>
      <c r="BJ95" s="1094">
        <f>IF(OR($H95="",$I95=""),0,IF(OR(BJ$88&lt;$H95,BJ$188&gt;$I95),0,$G95))</f>
        <v>0</v>
      </c>
      <c r="BK95" s="1094">
        <f>IF(OR($H95="",$I95=""),0,IF(OR(BK$88&lt;$H95,BK$188&gt;$I95),0,$G95))</f>
        <v>0</v>
      </c>
      <c r="BL95" s="1094">
        <f>IF(OR($H95="",$I95=""),0,IF(OR(BL$88&lt;$H95,BL$188&gt;$I95),0,$G95))</f>
        <v>0</v>
      </c>
      <c r="BM95" s="1094">
        <f>IF(OR($H95="",$I95=""),0,IF(OR(BM$88&lt;$H95,BM$188&gt;$I95),0,$G95))</f>
        <v>0</v>
      </c>
      <c r="BN95" s="1094">
        <f>IF(OR($H95="",$I95=""),0,IF(OR(BN$88&lt;$H95,BN$188&gt;$I95),0,$G95))</f>
        <v>0</v>
      </c>
      <c r="BO95" s="1094">
        <f>IF(OR($H95="",$I95=""),0,IF(OR(BO$88&lt;$H95,BO$188&gt;$I95),0,$G95))</f>
        <v>0</v>
      </c>
      <c r="BP95" s="1094">
        <f>IF(OR($H95="",$I95=""),0,IF(OR(BP$88&lt;$H95,BP$188&gt;$I95),0,$G95))</f>
        <v>0</v>
      </c>
      <c r="BQ95" s="1094">
        <f>IF(OR($H95="",$I95=""),0,IF(OR(BQ$88&lt;$H95,BQ$188&gt;$I95),0,$G95))</f>
        <v>0</v>
      </c>
      <c r="BR95" s="1094">
        <f>IF(OR($H95="",$I95=""),0,IF(OR(BR$88&lt;$H95,BR$188&gt;$I95),0,$G95))</f>
        <v>0</v>
      </c>
      <c r="BS95" s="1094">
        <f>IF(OR($H95="",$I95=""),0,IF(OR(BS$88&lt;$H95,BS$188&gt;$I95),0,$G95))</f>
        <v>0</v>
      </c>
      <c r="BT95" s="1094">
        <f>IF(OR($H95="",$I95=""),0,IF(OR(BT$88&lt;$H95,BT$188&gt;$I95),0,$G95))</f>
        <v>0</v>
      </c>
      <c r="BU95" s="1094">
        <f>IF(OR($H95="",$I95=""),0,IF(OR(BU$88&lt;$H95,BU$188&gt;$I95),0,$G95))</f>
        <v>0</v>
      </c>
      <c r="BV95" s="1094">
        <f>IF(OR($H95="",$I95=""),0,IF(OR(BV$88&lt;$H95,BV$188&gt;$I95),0,$G95))</f>
        <v>0</v>
      </c>
      <c r="BW95" s="1096">
        <f>IF(OR($H95="",$I95=""),0,IF(OR(BW$88&lt;$H95,BW$188&gt;$I95),0,$G95))</f>
        <v>0</v>
      </c>
      <c r="CC95" s="131"/>
      <c r="CD95" s="131"/>
      <c r="CE95" s="131"/>
      <c r="CF95" s="131"/>
      <c r="CG95" s="131"/>
      <c r="CH95" s="131"/>
      <c r="CI95" s="131"/>
      <c r="CJ95" s="131"/>
      <c r="CK95" s="131"/>
      <c r="CL95" s="131"/>
      <c r="CM95" s="131"/>
      <c r="CN95" s="131"/>
      <c r="CO95" s="131"/>
      <c r="CP95" s="131"/>
      <c r="CQ95" s="131"/>
      <c r="CR95" s="131"/>
      <c r="CS95" s="131"/>
      <c r="CT95" s="131"/>
      <c r="CU95" s="131"/>
      <c r="CV95" s="131"/>
      <c r="CW95" s="131"/>
      <c r="CX95" s="131"/>
      <c r="CY95" s="131"/>
      <c r="CZ95" s="131"/>
      <c r="DA95" s="131"/>
      <c r="DB95" s="131"/>
      <c r="DC95" s="131"/>
      <c r="DD95" s="131"/>
      <c r="DE95" s="131"/>
      <c r="DF95" s="131"/>
      <c r="DG95" s="131"/>
      <c r="DH95" s="131"/>
      <c r="DI95" s="131"/>
      <c r="DJ95" s="131"/>
      <c r="DK95" s="131"/>
      <c r="DL95" s="131"/>
      <c r="DM95" s="131"/>
      <c r="DN95" s="131"/>
      <c r="DO95" s="131"/>
      <c r="DP95" s="131"/>
      <c r="DQ95" s="131"/>
      <c r="DR95" s="131"/>
      <c r="DS95" s="131"/>
      <c r="DT95" s="131"/>
      <c r="DU95" s="131"/>
      <c r="DV95" s="131"/>
      <c r="DW95" s="131"/>
      <c r="DX95" s="131"/>
      <c r="DY95" s="131"/>
      <c r="DZ95" s="131"/>
      <c r="EA95" s="131"/>
      <c r="EB95" s="131"/>
      <c r="EC95" s="131"/>
      <c r="ED95" s="131"/>
      <c r="EE95" s="131"/>
      <c r="EF95" s="131"/>
      <c r="EG95" s="131"/>
      <c r="EH95" s="131"/>
      <c r="EI95" s="131"/>
      <c r="EJ95" s="131"/>
      <c r="EK95" s="131"/>
      <c r="EL95" s="131"/>
      <c r="EM95" s="131"/>
      <c r="EN95" s="131"/>
      <c r="EO95" s="131"/>
      <c r="EP95" s="131"/>
      <c r="EQ95" s="131"/>
      <c r="ER95" s="131"/>
      <c r="ES95" s="131"/>
      <c r="ET95" s="131"/>
      <c r="EU95" s="131"/>
      <c r="EV95" s="131"/>
      <c r="EW95" s="131"/>
      <c r="EX95" s="131"/>
      <c r="EY95" s="131"/>
      <c r="EZ95" s="131"/>
      <c r="FA95" s="131"/>
      <c r="FB95" s="131"/>
      <c r="FC95" s="131"/>
      <c r="FD95" s="131"/>
      <c r="FE95" s="131"/>
      <c r="FF95" s="131"/>
      <c r="FG95" s="131"/>
      <c r="FH95" s="131"/>
      <c r="FI95" s="131"/>
      <c r="FJ95" s="131"/>
      <c r="FK95" s="131"/>
      <c r="FL95" s="131"/>
      <c r="FM95" s="131"/>
      <c r="FN95" s="131"/>
      <c r="FO95" s="131"/>
      <c r="FP95" s="131"/>
      <c r="FQ95" s="131"/>
      <c r="FR95" s="131"/>
      <c r="FS95" s="131"/>
      <c r="FT95" s="131"/>
      <c r="FU95" s="131"/>
      <c r="FV95" s="131"/>
      <c r="FW95" s="131"/>
    </row>
    <row r="96" spans="1:179" s="8" customFormat="1" ht="12" hidden="1" customHeight="1" thickBot="1" x14ac:dyDescent="0.3">
      <c r="A96" s="133">
        <v>8</v>
      </c>
      <c r="B96" s="1711" t="str">
        <f>IF(A96&gt;F$88,"{Can hide row}","")</f>
        <v>{Can hide row}</v>
      </c>
      <c r="C96" s="560" t="str">
        <f>A96&amp;" "</f>
        <v xml:space="preserve">8 </v>
      </c>
      <c r="D96" s="1843"/>
      <c r="E96" s="1844"/>
      <c r="F96" s="1845"/>
      <c r="G96" s="589"/>
      <c r="H96" s="621"/>
      <c r="I96" s="1070"/>
      <c r="J96" s="560"/>
      <c r="M96" s="11"/>
      <c r="N96" s="11"/>
      <c r="P96" s="1093">
        <f>IF(OR($H96="",$I96=""),0,IF(OR(P$88&lt;$H96,P$188&gt;$I96),0,$G96))</f>
        <v>0</v>
      </c>
      <c r="Q96" s="1094">
        <f>IF(OR($H96="",$I96=""),0,IF(OR(Q$88&lt;$H96,Q$188&gt;$I96),0,$G96))</f>
        <v>0</v>
      </c>
      <c r="R96" s="1094">
        <f>IF(OR($H96="",$I96=""),0,IF(OR(R$88&lt;$H96,R$188&gt;$I96),0,$G96))</f>
        <v>0</v>
      </c>
      <c r="S96" s="1094">
        <f>IF(OR($H96="",$I96=""),0,IF(OR(S$88&lt;$H96,S$188&gt;$I96),0,$G96))</f>
        <v>0</v>
      </c>
      <c r="T96" s="1094">
        <f>IF(OR($H96="",$I96=""),0,IF(OR(T$88&lt;$H96,T$188&gt;$I96),0,$G96))</f>
        <v>0</v>
      </c>
      <c r="U96" s="1094">
        <f>IF(OR($H96="",$I96=""),0,IF(OR(U$88&lt;$H96,U$188&gt;$I96),0,$G96))</f>
        <v>0</v>
      </c>
      <c r="V96" s="1094">
        <f>IF(OR($H96="",$I96=""),0,IF(OR(V$88&lt;$H96,V$188&gt;$I96),0,$G96))</f>
        <v>0</v>
      </c>
      <c r="W96" s="1094">
        <f>IF(OR($H96="",$I96=""),0,IF(OR(W$88&lt;$H96,W$188&gt;$I96),0,$G96))</f>
        <v>0</v>
      </c>
      <c r="X96" s="1094">
        <f>IF(OR($H96="",$I96=""),0,IF(OR(X$88&lt;$H96,X$188&gt;$I96),0,$G96))</f>
        <v>0</v>
      </c>
      <c r="Y96" s="1094">
        <f>IF(OR($H96="",$I96=""),0,IF(OR(Y$88&lt;$H96,Y$188&gt;$I96),0,$G96))</f>
        <v>0</v>
      </c>
      <c r="Z96" s="1095">
        <f>IF(OR($H96="",$I96=""),0,IF(OR(Z$88&lt;$H96,Z$188&gt;$I96),0,$G96))</f>
        <v>0</v>
      </c>
      <c r="AA96" s="1095">
        <f>IF(OR($H96="",$I96=""),0,IF(OR(AA$88&lt;$H96,AA$188&gt;$I96),0,$G96))</f>
        <v>0</v>
      </c>
      <c r="AB96" s="1095">
        <f>IF(OR($H96="",$I96=""),0,IF(OR(AB$88&lt;$H96,AB$188&gt;$I96),0,$G96))</f>
        <v>0</v>
      </c>
      <c r="AC96" s="1075">
        <f>IF(OR($H96="",$I96=""),0,IF(OR(AC$88&lt;$H96,AC$188&gt;$I96),0,$G96))</f>
        <v>0</v>
      </c>
      <c r="AD96" s="1075">
        <f>IF(OR($H96="",$I96=""),0,IF(OR(AD$88&lt;$H96,AD$188&gt;$I96),0,$G96))</f>
        <v>0</v>
      </c>
      <c r="AE96" s="1075">
        <f>IF(OR($H96="",$I96=""),0,IF(OR(AE$88&lt;$H96,AE$188&gt;$I96),0,$G96))</f>
        <v>0</v>
      </c>
      <c r="AF96" s="1075">
        <f>IF(OR($H96="",$I96=""),0,IF(OR(AF$88&lt;$H96,AF$188&gt;$I96),0,$G96))</f>
        <v>0</v>
      </c>
      <c r="AG96" s="1075">
        <f>IF(OR($H96="",$I96=""),0,IF(OR(AG$88&lt;$H96,AG$188&gt;$I96),0,$G96))</f>
        <v>0</v>
      </c>
      <c r="AH96" s="1075">
        <f>IF(OR($H96="",$I96=""),0,IF(OR(AH$88&lt;$H96,AH$188&gt;$I96),0,$G96))</f>
        <v>0</v>
      </c>
      <c r="AI96" s="1075">
        <f>IF(OR($H96="",$I96=""),0,IF(OR(AI$88&lt;$H96,AI$188&gt;$I96),0,$G96))</f>
        <v>0</v>
      </c>
      <c r="AJ96" s="1095">
        <f>IF(OR($H96="",$I96=""),0,IF(OR(AJ$88&lt;$H96,AJ$188&gt;$I96),0,$G96))</f>
        <v>0</v>
      </c>
      <c r="AK96" s="1094">
        <f>IF(OR($H96="",$I96=""),0,IF(OR(AK$88&lt;$H96,AK$188&gt;$I96),0,$G96))</f>
        <v>0</v>
      </c>
      <c r="AL96" s="1094">
        <f>IF(OR($H96="",$I96=""),0,IF(OR(AL$88&lt;$H96,AL$188&gt;$I96),0,$G96))</f>
        <v>0</v>
      </c>
      <c r="AM96" s="1094">
        <f>IF(OR($H96="",$I96=""),0,IF(OR(AM$88&lt;$H96,AM$188&gt;$I96),0,$G96))</f>
        <v>0</v>
      </c>
      <c r="AN96" s="1094">
        <f>IF(OR($H96="",$I96=""),0,IF(OR(AN$88&lt;$H96,AN$188&gt;$I96),0,$G96))</f>
        <v>0</v>
      </c>
      <c r="AO96" s="1094">
        <f>IF(OR($H96="",$I96=""),0,IF(OR(AO$88&lt;$H96,AO$188&gt;$I96),0,$G96))</f>
        <v>0</v>
      </c>
      <c r="AP96" s="1094">
        <f>IF(OR($H96="",$I96=""),0,IF(OR(AP$88&lt;$H96,AP$188&gt;$I96),0,$G96))</f>
        <v>0</v>
      </c>
      <c r="AQ96" s="1094">
        <f>IF(OR($H96="",$I96=""),0,IF(OR(AQ$88&lt;$H96,AQ$188&gt;$I96),0,$G96))</f>
        <v>0</v>
      </c>
      <c r="AR96" s="1094">
        <f>IF(OR($H96="",$I96=""),0,IF(OR(AR$88&lt;$H96,AR$188&gt;$I96),0,$G96))</f>
        <v>0</v>
      </c>
      <c r="AS96" s="1094">
        <f>IF(OR($H96="",$I96=""),0,IF(OR(AS$88&lt;$H96,AS$188&gt;$I96),0,$G96))</f>
        <v>0</v>
      </c>
      <c r="AT96" s="1094">
        <f>IF(OR($H96="",$I96=""),0,IF(OR(AT$88&lt;$H96,AT$188&gt;$I96),0,$G96))</f>
        <v>0</v>
      </c>
      <c r="AU96" s="1094">
        <f>IF(OR($H96="",$I96=""),0,IF(OR(AU$88&lt;$H96,AU$188&gt;$I96),0,$G96))</f>
        <v>0</v>
      </c>
      <c r="AV96" s="1094">
        <f>IF(OR($H96="",$I96=""),0,IF(OR(AV$88&lt;$H96,AV$188&gt;$I96),0,$G96))</f>
        <v>0</v>
      </c>
      <c r="AW96" s="1094">
        <f>IF(OR($H96="",$I96=""),0,IF(OR(AW$88&lt;$H96,AW$188&gt;$I96),0,$G96))</f>
        <v>0</v>
      </c>
      <c r="AX96" s="1094">
        <f>IF(OR($H96="",$I96=""),0,IF(OR(AX$88&lt;$H96,AX$188&gt;$I96),0,$G96))</f>
        <v>0</v>
      </c>
      <c r="AY96" s="1096">
        <f>IF(OR($H96="",$I96=""),0,IF(OR(AY$88&lt;$H96,AY$188&gt;$I96),0,$G96))</f>
        <v>0</v>
      </c>
      <c r="AZ96" s="1243">
        <f>IF(OR($H96="",$I96=""),0,IF(OR(AZ$88&lt;$H96,AZ$188&gt;$I96),0,$G96))</f>
        <v>0</v>
      </c>
      <c r="BA96" s="1094">
        <f>IF(OR($H96="",$I96=""),0,IF(OR(BA$88&lt;$H96,BA$188&gt;$I96),0,$G96))</f>
        <v>0</v>
      </c>
      <c r="BB96" s="1094">
        <f>IF(OR($H96="",$I96=""),0,IF(OR(BB$88&lt;$H96,BB$188&gt;$I96),0,$G96))</f>
        <v>0</v>
      </c>
      <c r="BC96" s="1094">
        <f>IF(OR($H96="",$I96=""),0,IF(OR(BC$88&lt;$H96,BC$188&gt;$I96),0,$G96))</f>
        <v>0</v>
      </c>
      <c r="BD96" s="1094">
        <f>IF(OR($H96="",$I96=""),0,IF(OR(BD$88&lt;$H96,BD$188&gt;$I96),0,$G96))</f>
        <v>0</v>
      </c>
      <c r="BE96" s="1094">
        <f>IF(OR($H96="",$I96=""),0,IF(OR(BE$88&lt;$H96,BE$188&gt;$I96),0,$G96))</f>
        <v>0</v>
      </c>
      <c r="BF96" s="1094">
        <f>IF(OR($H96="",$I96=""),0,IF(OR(BF$88&lt;$H96,BF$188&gt;$I96),0,$G96))</f>
        <v>0</v>
      </c>
      <c r="BG96" s="1094">
        <f>IF(OR($H96="",$I96=""),0,IF(OR(BG$88&lt;$H96,BG$188&gt;$I96),0,$G96))</f>
        <v>0</v>
      </c>
      <c r="BH96" s="1094">
        <f>IF(OR($H96="",$I96=""),0,IF(OR(BH$88&lt;$H96,BH$188&gt;$I96),0,$G96))</f>
        <v>0</v>
      </c>
      <c r="BI96" s="1094">
        <f>IF(OR($H96="",$I96=""),0,IF(OR(BI$88&lt;$H96,BI$188&gt;$I96),0,$G96))</f>
        <v>0</v>
      </c>
      <c r="BJ96" s="1094">
        <f>IF(OR($H96="",$I96=""),0,IF(OR(BJ$88&lt;$H96,BJ$188&gt;$I96),0,$G96))</f>
        <v>0</v>
      </c>
      <c r="BK96" s="1094">
        <f>IF(OR($H96="",$I96=""),0,IF(OR(BK$88&lt;$H96,BK$188&gt;$I96),0,$G96))</f>
        <v>0</v>
      </c>
      <c r="BL96" s="1094">
        <f>IF(OR($H96="",$I96=""),0,IF(OR(BL$88&lt;$H96,BL$188&gt;$I96),0,$G96))</f>
        <v>0</v>
      </c>
      <c r="BM96" s="1094">
        <f>IF(OR($H96="",$I96=""),0,IF(OR(BM$88&lt;$H96,BM$188&gt;$I96),0,$G96))</f>
        <v>0</v>
      </c>
      <c r="BN96" s="1094">
        <f>IF(OR($H96="",$I96=""),0,IF(OR(BN$88&lt;$H96,BN$188&gt;$I96),0,$G96))</f>
        <v>0</v>
      </c>
      <c r="BO96" s="1094">
        <f>IF(OR($H96="",$I96=""),0,IF(OR(BO$88&lt;$H96,BO$188&gt;$I96),0,$G96))</f>
        <v>0</v>
      </c>
      <c r="BP96" s="1094">
        <f>IF(OR($H96="",$I96=""),0,IF(OR(BP$88&lt;$H96,BP$188&gt;$I96),0,$G96))</f>
        <v>0</v>
      </c>
      <c r="BQ96" s="1094">
        <f>IF(OR($H96="",$I96=""),0,IF(OR(BQ$88&lt;$H96,BQ$188&gt;$I96),0,$G96))</f>
        <v>0</v>
      </c>
      <c r="BR96" s="1094">
        <f>IF(OR($H96="",$I96=""),0,IF(OR(BR$88&lt;$H96,BR$188&gt;$I96),0,$G96))</f>
        <v>0</v>
      </c>
      <c r="BS96" s="1094">
        <f>IF(OR($H96="",$I96=""),0,IF(OR(BS$88&lt;$H96,BS$188&gt;$I96),0,$G96))</f>
        <v>0</v>
      </c>
      <c r="BT96" s="1094">
        <f>IF(OR($H96="",$I96=""),0,IF(OR(BT$88&lt;$H96,BT$188&gt;$I96),0,$G96))</f>
        <v>0</v>
      </c>
      <c r="BU96" s="1094">
        <f>IF(OR($H96="",$I96=""),0,IF(OR(BU$88&lt;$H96,BU$188&gt;$I96),0,$G96))</f>
        <v>0</v>
      </c>
      <c r="BV96" s="1094">
        <f>IF(OR($H96="",$I96=""),0,IF(OR(BV$88&lt;$H96,BV$188&gt;$I96),0,$G96))</f>
        <v>0</v>
      </c>
      <c r="BW96" s="1096">
        <f>IF(OR($H96="",$I96=""),0,IF(OR(BW$88&lt;$H96,BW$188&gt;$I96),0,$G96))</f>
        <v>0</v>
      </c>
      <c r="CC96" s="131"/>
      <c r="CD96" s="131"/>
      <c r="CE96" s="131"/>
      <c r="CF96" s="131"/>
      <c r="CG96" s="131"/>
      <c r="CH96" s="131"/>
      <c r="CI96" s="131"/>
      <c r="CJ96" s="131"/>
      <c r="CK96" s="131"/>
      <c r="CL96" s="131"/>
      <c r="CM96" s="131"/>
      <c r="CN96" s="131"/>
      <c r="CO96" s="131"/>
      <c r="CP96" s="131"/>
      <c r="CQ96" s="131"/>
      <c r="CR96" s="131"/>
      <c r="CS96" s="131"/>
      <c r="CT96" s="131"/>
      <c r="CU96" s="131"/>
      <c r="CV96" s="131"/>
      <c r="CW96" s="131"/>
      <c r="CX96" s="131"/>
      <c r="CY96" s="131"/>
      <c r="CZ96" s="131"/>
      <c r="DA96" s="131"/>
      <c r="DB96" s="131"/>
      <c r="DC96" s="131"/>
      <c r="DD96" s="131"/>
      <c r="DE96" s="131"/>
      <c r="DF96" s="131"/>
      <c r="DG96" s="131"/>
      <c r="DH96" s="131"/>
      <c r="DI96" s="131"/>
      <c r="DJ96" s="131"/>
      <c r="DK96" s="131"/>
      <c r="DL96" s="131"/>
      <c r="DM96" s="131"/>
      <c r="DN96" s="131"/>
      <c r="DO96" s="131"/>
      <c r="DP96" s="131"/>
      <c r="DQ96" s="131"/>
      <c r="DR96" s="131"/>
      <c r="DS96" s="131"/>
      <c r="DT96" s="131"/>
      <c r="DU96" s="131"/>
      <c r="DV96" s="131"/>
      <c r="DW96" s="131"/>
      <c r="DX96" s="131"/>
      <c r="DY96" s="131"/>
      <c r="DZ96" s="131"/>
      <c r="EA96" s="131"/>
      <c r="EB96" s="131"/>
      <c r="EC96" s="131"/>
      <c r="ED96" s="131"/>
      <c r="EE96" s="131"/>
      <c r="EF96" s="131"/>
      <c r="EG96" s="131"/>
      <c r="EH96" s="131"/>
      <c r="EI96" s="131"/>
      <c r="EJ96" s="131"/>
      <c r="EK96" s="131"/>
      <c r="EL96" s="131"/>
      <c r="EM96" s="131"/>
      <c r="EN96" s="131"/>
      <c r="EO96" s="131"/>
      <c r="EP96" s="131"/>
      <c r="EQ96" s="131"/>
      <c r="ER96" s="131"/>
      <c r="ES96" s="131"/>
      <c r="ET96" s="131"/>
      <c r="EU96" s="131"/>
      <c r="EV96" s="131"/>
      <c r="EW96" s="131"/>
      <c r="EX96" s="131"/>
      <c r="EY96" s="131"/>
      <c r="EZ96" s="131"/>
      <c r="FA96" s="131"/>
      <c r="FB96" s="131"/>
      <c r="FC96" s="131"/>
      <c r="FD96" s="131"/>
      <c r="FE96" s="131"/>
      <c r="FF96" s="131"/>
      <c r="FG96" s="131"/>
      <c r="FH96" s="131"/>
      <c r="FI96" s="131"/>
      <c r="FJ96" s="131"/>
      <c r="FK96" s="131"/>
      <c r="FL96" s="131"/>
      <c r="FM96" s="131"/>
      <c r="FN96" s="131"/>
      <c r="FO96" s="131"/>
      <c r="FP96" s="131"/>
      <c r="FQ96" s="131"/>
      <c r="FR96" s="131"/>
      <c r="FS96" s="131"/>
      <c r="FT96" s="131"/>
      <c r="FU96" s="131"/>
      <c r="FV96" s="131"/>
      <c r="FW96" s="131"/>
    </row>
    <row r="97" spans="1:179" s="8" customFormat="1" ht="12" hidden="1" customHeight="1" thickBot="1" x14ac:dyDescent="0.3">
      <c r="A97" s="133">
        <v>9</v>
      </c>
      <c r="B97" s="1711" t="str">
        <f>IF(A97&gt;F$88,"{Can hide row}","")</f>
        <v>{Can hide row}</v>
      </c>
      <c r="C97" s="560" t="str">
        <f>A97&amp;" "</f>
        <v xml:space="preserve">9 </v>
      </c>
      <c r="D97" s="1865"/>
      <c r="E97" s="1866"/>
      <c r="F97" s="1867"/>
      <c r="G97" s="589"/>
      <c r="H97" s="621"/>
      <c r="I97" s="1070"/>
      <c r="J97" s="560"/>
      <c r="M97" s="11"/>
      <c r="N97" s="11"/>
      <c r="P97" s="1093">
        <f>IF(OR($H97="",$I97=""),0,IF(OR(P$88&lt;$H97,P$188&gt;$I97),0,$G97))</f>
        <v>0</v>
      </c>
      <c r="Q97" s="1094">
        <f>IF(OR($H97="",$I97=""),0,IF(OR(Q$88&lt;$H97,Q$188&gt;$I97),0,$G97))</f>
        <v>0</v>
      </c>
      <c r="R97" s="1094">
        <f>IF(OR($H97="",$I97=""),0,IF(OR(R$88&lt;$H97,R$188&gt;$I97),0,$G97))</f>
        <v>0</v>
      </c>
      <c r="S97" s="1094">
        <f>IF(OR($H97="",$I97=""),0,IF(OR(S$88&lt;$H97,S$188&gt;$I97),0,$G97))</f>
        <v>0</v>
      </c>
      <c r="T97" s="1094">
        <f>IF(OR($H97="",$I97=""),0,IF(OR(T$88&lt;$H97,T$188&gt;$I97),0,$G97))</f>
        <v>0</v>
      </c>
      <c r="U97" s="1094">
        <f>IF(OR($H97="",$I97=""),0,IF(OR(U$88&lt;$H97,U$188&gt;$I97),0,$G97))</f>
        <v>0</v>
      </c>
      <c r="V97" s="1094">
        <f>IF(OR($H97="",$I97=""),0,IF(OR(V$88&lt;$H97,V$188&gt;$I97),0,$G97))</f>
        <v>0</v>
      </c>
      <c r="W97" s="1094">
        <f>IF(OR($H97="",$I97=""),0,IF(OR(W$88&lt;$H97,W$188&gt;$I97),0,$G97))</f>
        <v>0</v>
      </c>
      <c r="X97" s="1094">
        <f>IF(OR($H97="",$I97=""),0,IF(OR(X$88&lt;$H97,X$188&gt;$I97),0,$G97))</f>
        <v>0</v>
      </c>
      <c r="Y97" s="1094">
        <f>IF(OR($H97="",$I97=""),0,IF(OR(Y$88&lt;$H97,Y$188&gt;$I97),0,$G97))</f>
        <v>0</v>
      </c>
      <c r="Z97" s="1095">
        <f>IF(OR($H97="",$I97=""),0,IF(OR(Z$88&lt;$H97,Z$188&gt;$I97),0,$G97))</f>
        <v>0</v>
      </c>
      <c r="AA97" s="1095">
        <f>IF(OR($H97="",$I97=""),0,IF(OR(AA$88&lt;$H97,AA$188&gt;$I97),0,$G97))</f>
        <v>0</v>
      </c>
      <c r="AB97" s="1095">
        <f>IF(OR($H97="",$I97=""),0,IF(OR(AB$88&lt;$H97,AB$188&gt;$I97),0,$G97))</f>
        <v>0</v>
      </c>
      <c r="AC97" s="1075">
        <f>IF(OR($H97="",$I97=""),0,IF(OR(AC$88&lt;$H97,AC$188&gt;$I97),0,$G97))</f>
        <v>0</v>
      </c>
      <c r="AD97" s="1075">
        <f>IF(OR($H97="",$I97=""),0,IF(OR(AD$88&lt;$H97,AD$188&gt;$I97),0,$G97))</f>
        <v>0</v>
      </c>
      <c r="AE97" s="1075">
        <f>IF(OR($H97="",$I97=""),0,IF(OR(AE$88&lt;$H97,AE$188&gt;$I97),0,$G97))</f>
        <v>0</v>
      </c>
      <c r="AF97" s="1075">
        <f>IF(OR($H97="",$I97=""),0,IF(OR(AF$88&lt;$H97,AF$188&gt;$I97),0,$G97))</f>
        <v>0</v>
      </c>
      <c r="AG97" s="1075">
        <f>IF(OR($H97="",$I97=""),0,IF(OR(AG$88&lt;$H97,AG$188&gt;$I97),0,$G97))</f>
        <v>0</v>
      </c>
      <c r="AH97" s="1075">
        <f>IF(OR($H97="",$I97=""),0,IF(OR(AH$88&lt;$H97,AH$188&gt;$I97),0,$G97))</f>
        <v>0</v>
      </c>
      <c r="AI97" s="1075">
        <f>IF(OR($H97="",$I97=""),0,IF(OR(AI$88&lt;$H97,AI$188&gt;$I97),0,$G97))</f>
        <v>0</v>
      </c>
      <c r="AJ97" s="1095">
        <f>IF(OR($H97="",$I97=""),0,IF(OR(AJ$88&lt;$H97,AJ$188&gt;$I97),0,$G97))</f>
        <v>0</v>
      </c>
      <c r="AK97" s="1094">
        <f>IF(OR($H97="",$I97=""),0,IF(OR(AK$88&lt;$H97,AK$188&gt;$I97),0,$G97))</f>
        <v>0</v>
      </c>
      <c r="AL97" s="1094">
        <f>IF(OR($H97="",$I97=""),0,IF(OR(AL$88&lt;$H97,AL$188&gt;$I97),0,$G97))</f>
        <v>0</v>
      </c>
      <c r="AM97" s="1094">
        <f>IF(OR($H97="",$I97=""),0,IF(OR(AM$88&lt;$H97,AM$188&gt;$I97),0,$G97))</f>
        <v>0</v>
      </c>
      <c r="AN97" s="1094">
        <f>IF(OR($H97="",$I97=""),0,IF(OR(AN$88&lt;$H97,AN$188&gt;$I97),0,$G97))</f>
        <v>0</v>
      </c>
      <c r="AO97" s="1094">
        <f>IF(OR($H97="",$I97=""),0,IF(OR(AO$88&lt;$H97,AO$188&gt;$I97),0,$G97))</f>
        <v>0</v>
      </c>
      <c r="AP97" s="1094">
        <f>IF(OR($H97="",$I97=""),0,IF(OR(AP$88&lt;$H97,AP$188&gt;$I97),0,$G97))</f>
        <v>0</v>
      </c>
      <c r="AQ97" s="1094">
        <f>IF(OR($H97="",$I97=""),0,IF(OR(AQ$88&lt;$H97,AQ$188&gt;$I97),0,$G97))</f>
        <v>0</v>
      </c>
      <c r="AR97" s="1094">
        <f>IF(OR($H97="",$I97=""),0,IF(OR(AR$88&lt;$H97,AR$188&gt;$I97),0,$G97))</f>
        <v>0</v>
      </c>
      <c r="AS97" s="1094">
        <f>IF(OR($H97="",$I97=""),0,IF(OR(AS$88&lt;$H97,AS$188&gt;$I97),0,$G97))</f>
        <v>0</v>
      </c>
      <c r="AT97" s="1094">
        <f>IF(OR($H97="",$I97=""),0,IF(OR(AT$88&lt;$H97,AT$188&gt;$I97),0,$G97))</f>
        <v>0</v>
      </c>
      <c r="AU97" s="1094">
        <f>IF(OR($H97="",$I97=""),0,IF(OR(AU$88&lt;$H97,AU$188&gt;$I97),0,$G97))</f>
        <v>0</v>
      </c>
      <c r="AV97" s="1094">
        <f>IF(OR($H97="",$I97=""),0,IF(OR(AV$88&lt;$H97,AV$188&gt;$I97),0,$G97))</f>
        <v>0</v>
      </c>
      <c r="AW97" s="1094">
        <f>IF(OR($H97="",$I97=""),0,IF(OR(AW$88&lt;$H97,AW$188&gt;$I97),0,$G97))</f>
        <v>0</v>
      </c>
      <c r="AX97" s="1094">
        <f>IF(OR($H97="",$I97=""),0,IF(OR(AX$88&lt;$H97,AX$188&gt;$I97),0,$G97))</f>
        <v>0</v>
      </c>
      <c r="AY97" s="1096">
        <f>IF(OR($H97="",$I97=""),0,IF(OR(AY$88&lt;$H97,AY$188&gt;$I97),0,$G97))</f>
        <v>0</v>
      </c>
      <c r="AZ97" s="1243">
        <f>IF(OR($H97="",$I97=""),0,IF(OR(AZ$88&lt;$H97,AZ$188&gt;$I97),0,$G97))</f>
        <v>0</v>
      </c>
      <c r="BA97" s="1094">
        <f>IF(OR($H97="",$I97=""),0,IF(OR(BA$88&lt;$H97,BA$188&gt;$I97),0,$G97))</f>
        <v>0</v>
      </c>
      <c r="BB97" s="1094">
        <f>IF(OR($H97="",$I97=""),0,IF(OR(BB$88&lt;$H97,BB$188&gt;$I97),0,$G97))</f>
        <v>0</v>
      </c>
      <c r="BC97" s="1094">
        <f>IF(OR($H97="",$I97=""),0,IF(OR(BC$88&lt;$H97,BC$188&gt;$I97),0,$G97))</f>
        <v>0</v>
      </c>
      <c r="BD97" s="1094">
        <f>IF(OR($H97="",$I97=""),0,IF(OR(BD$88&lt;$H97,BD$188&gt;$I97),0,$G97))</f>
        <v>0</v>
      </c>
      <c r="BE97" s="1094">
        <f>IF(OR($H97="",$I97=""),0,IF(OR(BE$88&lt;$H97,BE$188&gt;$I97),0,$G97))</f>
        <v>0</v>
      </c>
      <c r="BF97" s="1094">
        <f>IF(OR($H97="",$I97=""),0,IF(OR(BF$88&lt;$H97,BF$188&gt;$I97),0,$G97))</f>
        <v>0</v>
      </c>
      <c r="BG97" s="1094">
        <f>IF(OR($H97="",$I97=""),0,IF(OR(BG$88&lt;$H97,BG$188&gt;$I97),0,$G97))</f>
        <v>0</v>
      </c>
      <c r="BH97" s="1094">
        <f>IF(OR($H97="",$I97=""),0,IF(OR(BH$88&lt;$H97,BH$188&gt;$I97),0,$G97))</f>
        <v>0</v>
      </c>
      <c r="BI97" s="1094">
        <f>IF(OR($H97="",$I97=""),0,IF(OR(BI$88&lt;$H97,BI$188&gt;$I97),0,$G97))</f>
        <v>0</v>
      </c>
      <c r="BJ97" s="1094">
        <f>IF(OR($H97="",$I97=""),0,IF(OR(BJ$88&lt;$H97,BJ$188&gt;$I97),0,$G97))</f>
        <v>0</v>
      </c>
      <c r="BK97" s="1094">
        <f>IF(OR($H97="",$I97=""),0,IF(OR(BK$88&lt;$H97,BK$188&gt;$I97),0,$G97))</f>
        <v>0</v>
      </c>
      <c r="BL97" s="1094">
        <f>IF(OR($H97="",$I97=""),0,IF(OR(BL$88&lt;$H97,BL$188&gt;$I97),0,$G97))</f>
        <v>0</v>
      </c>
      <c r="BM97" s="1094">
        <f>IF(OR($H97="",$I97=""),0,IF(OR(BM$88&lt;$H97,BM$188&gt;$I97),0,$G97))</f>
        <v>0</v>
      </c>
      <c r="BN97" s="1094">
        <f>IF(OR($H97="",$I97=""),0,IF(OR(BN$88&lt;$H97,BN$188&gt;$I97),0,$G97))</f>
        <v>0</v>
      </c>
      <c r="BO97" s="1094">
        <f>IF(OR($H97="",$I97=""),0,IF(OR(BO$88&lt;$H97,BO$188&gt;$I97),0,$G97))</f>
        <v>0</v>
      </c>
      <c r="BP97" s="1094">
        <f>IF(OR($H97="",$I97=""),0,IF(OR(BP$88&lt;$H97,BP$188&gt;$I97),0,$G97))</f>
        <v>0</v>
      </c>
      <c r="BQ97" s="1094">
        <f>IF(OR($H97="",$I97=""),0,IF(OR(BQ$88&lt;$H97,BQ$188&gt;$I97),0,$G97))</f>
        <v>0</v>
      </c>
      <c r="BR97" s="1094">
        <f>IF(OR($H97="",$I97=""),0,IF(OR(BR$88&lt;$H97,BR$188&gt;$I97),0,$G97))</f>
        <v>0</v>
      </c>
      <c r="BS97" s="1094">
        <f>IF(OR($H97="",$I97=""),0,IF(OR(BS$88&lt;$H97,BS$188&gt;$I97),0,$G97))</f>
        <v>0</v>
      </c>
      <c r="BT97" s="1094">
        <f>IF(OR($H97="",$I97=""),0,IF(OR(BT$88&lt;$H97,BT$188&gt;$I97),0,$G97))</f>
        <v>0</v>
      </c>
      <c r="BU97" s="1094">
        <f>IF(OR($H97="",$I97=""),0,IF(OR(BU$88&lt;$H97,BU$188&gt;$I97),0,$G97))</f>
        <v>0</v>
      </c>
      <c r="BV97" s="1094">
        <f>IF(OR($H97="",$I97=""),0,IF(OR(BV$88&lt;$H97,BV$188&gt;$I97),0,$G97))</f>
        <v>0</v>
      </c>
      <c r="BW97" s="1096">
        <f>IF(OR($H97="",$I97=""),0,IF(OR(BW$88&lt;$H97,BW$188&gt;$I97),0,$G97))</f>
        <v>0</v>
      </c>
      <c r="CC97" s="133"/>
      <c r="CD97" s="133"/>
      <c r="CE97" s="133"/>
      <c r="CF97" s="133"/>
      <c r="CG97" s="133"/>
      <c r="CH97" s="133"/>
      <c r="CI97" s="133"/>
      <c r="CJ97" s="133"/>
      <c r="CK97" s="133"/>
      <c r="CL97" s="131"/>
      <c r="CM97" s="131"/>
      <c r="CN97" s="131"/>
      <c r="CO97" s="131"/>
      <c r="CP97" s="131"/>
      <c r="CQ97" s="131"/>
      <c r="CR97" s="131"/>
      <c r="CS97" s="131"/>
      <c r="CT97" s="131"/>
      <c r="CU97" s="131"/>
      <c r="CV97" s="131"/>
      <c r="CW97" s="131"/>
      <c r="CX97" s="131"/>
      <c r="CY97" s="131"/>
      <c r="CZ97" s="131"/>
      <c r="DA97" s="131"/>
      <c r="DB97" s="131"/>
      <c r="DC97" s="131"/>
      <c r="DD97" s="131"/>
      <c r="DE97" s="131"/>
      <c r="DF97" s="131"/>
      <c r="DG97" s="131"/>
      <c r="DH97" s="131"/>
      <c r="DI97" s="131"/>
      <c r="DJ97" s="131"/>
      <c r="DK97" s="131"/>
      <c r="DL97" s="131"/>
      <c r="DM97" s="131"/>
      <c r="DN97" s="131"/>
      <c r="DO97" s="131"/>
      <c r="DP97" s="131"/>
      <c r="DQ97" s="131"/>
      <c r="DR97" s="131"/>
      <c r="DS97" s="131"/>
      <c r="DT97" s="131"/>
      <c r="DU97" s="131"/>
      <c r="DV97" s="131"/>
      <c r="DW97" s="131"/>
      <c r="DX97" s="131"/>
      <c r="DY97" s="131"/>
      <c r="DZ97" s="131"/>
      <c r="EA97" s="131"/>
      <c r="EB97" s="131"/>
      <c r="EC97" s="131"/>
      <c r="ED97" s="131"/>
      <c r="EE97" s="131"/>
      <c r="EF97" s="131"/>
      <c r="EG97" s="131"/>
      <c r="EH97" s="131"/>
      <c r="EI97" s="131"/>
      <c r="EJ97" s="131"/>
      <c r="EK97" s="131"/>
      <c r="EL97" s="131"/>
      <c r="EM97" s="131"/>
      <c r="EN97" s="131"/>
      <c r="EO97" s="131"/>
      <c r="EP97" s="131"/>
      <c r="EQ97" s="131"/>
      <c r="ER97" s="131"/>
      <c r="ES97" s="131"/>
      <c r="ET97" s="131"/>
      <c r="EU97" s="131"/>
      <c r="EV97" s="131"/>
      <c r="EW97" s="131"/>
      <c r="EX97" s="131"/>
      <c r="EY97" s="131"/>
      <c r="EZ97" s="131"/>
      <c r="FA97" s="131"/>
      <c r="FB97" s="131"/>
      <c r="FC97" s="131"/>
      <c r="FD97" s="131"/>
      <c r="FE97" s="131"/>
      <c r="FF97" s="131"/>
      <c r="FG97" s="131"/>
      <c r="FH97" s="131"/>
      <c r="FI97" s="131"/>
      <c r="FJ97" s="131"/>
      <c r="FK97" s="131"/>
      <c r="FL97" s="131"/>
      <c r="FM97" s="131"/>
      <c r="FN97" s="131"/>
      <c r="FO97" s="131"/>
      <c r="FP97" s="131"/>
      <c r="FQ97" s="131"/>
      <c r="FR97" s="131"/>
      <c r="FS97" s="131"/>
      <c r="FT97" s="131"/>
      <c r="FU97" s="131"/>
      <c r="FV97" s="133"/>
      <c r="FW97" s="133"/>
    </row>
    <row r="98" spans="1:179" s="8" customFormat="1" ht="12" hidden="1" customHeight="1" thickBot="1" x14ac:dyDescent="0.3">
      <c r="A98" s="133">
        <v>10</v>
      </c>
      <c r="B98" s="1711" t="str">
        <f>IF(A98&gt;F$88,"{Can hide row}","")</f>
        <v>{Can hide row}</v>
      </c>
      <c r="C98" s="560" t="str">
        <f>A98&amp;" "</f>
        <v xml:space="preserve">10 </v>
      </c>
      <c r="D98" s="1868"/>
      <c r="E98" s="1869"/>
      <c r="F98" s="1870"/>
      <c r="G98" s="999"/>
      <c r="H98" s="1071"/>
      <c r="I98" s="1072"/>
      <c r="J98" s="560"/>
      <c r="M98" s="11"/>
      <c r="N98" s="11"/>
      <c r="P98" s="1097">
        <f>IF(OR($H98="",$I98=""),0,IF(OR(P$88&lt;$H98,P$188&gt;$I98),0,$G98))</f>
        <v>0</v>
      </c>
      <c r="Q98" s="1076">
        <f>IF(OR($H98="",$I98=""),0,IF(OR(Q$88&lt;$H98,Q$188&gt;$I98),0,$G98))</f>
        <v>0</v>
      </c>
      <c r="R98" s="1076">
        <f>IF(OR($H98="",$I98=""),0,IF(OR(R$88&lt;$H98,R$188&gt;$I98),0,$G98))</f>
        <v>0</v>
      </c>
      <c r="S98" s="1076">
        <f>IF(OR($H98="",$I98=""),0,IF(OR(S$88&lt;$H98,S$188&gt;$I98),0,$G98))</f>
        <v>0</v>
      </c>
      <c r="T98" s="1076">
        <f>IF(OR($H98="",$I98=""),0,IF(OR(T$88&lt;$H98,T$188&gt;$I98),0,$G98))</f>
        <v>0</v>
      </c>
      <c r="U98" s="1076">
        <f>IF(OR($H98="",$I98=""),0,IF(OR(U$88&lt;$H98,U$188&gt;$I98),0,$G98))</f>
        <v>0</v>
      </c>
      <c r="V98" s="1076">
        <f>IF(OR($H98="",$I98=""),0,IF(OR(V$88&lt;$H98,V$188&gt;$I98),0,$G98))</f>
        <v>0</v>
      </c>
      <c r="W98" s="1076">
        <f>IF(OR($H98="",$I98=""),0,IF(OR(W$88&lt;$H98,W$188&gt;$I98),0,$G98))</f>
        <v>0</v>
      </c>
      <c r="X98" s="1076">
        <f>IF(OR($H98="",$I98=""),0,IF(OR(X$88&lt;$H98,X$188&gt;$I98),0,$G98))</f>
        <v>0</v>
      </c>
      <c r="Y98" s="1076">
        <f>IF(OR($H98="",$I98=""),0,IF(OR(Y$88&lt;$H98,Y$188&gt;$I98),0,$G98))</f>
        <v>0</v>
      </c>
      <c r="Z98" s="1076">
        <f>IF(OR($H98="",$I98=""),0,IF(OR(Z$88&lt;$H98,Z$188&gt;$I98),0,$G98))</f>
        <v>0</v>
      </c>
      <c r="AA98" s="1098">
        <f>IF(OR($H98="",$I98=""),0,IF(OR(AA$88&lt;$H98,AA$188&gt;$I98),0,$G98))</f>
        <v>0</v>
      </c>
      <c r="AB98" s="1098">
        <f>IF(OR($H98="",$I98=""),0,IF(OR(AB$88&lt;$H98,AB$188&gt;$I98),0,$G98))</f>
        <v>0</v>
      </c>
      <c r="AC98" s="1098">
        <f>IF(OR($H98="",$I98=""),0,IF(OR(AC$88&lt;$H98,AC$188&gt;$I98),0,$G98))</f>
        <v>0</v>
      </c>
      <c r="AD98" s="1077">
        <f>IF(OR($H98="",$I98=""),0,IF(OR(AD$88&lt;$H98,AD$188&gt;$I98),0,$G98))</f>
        <v>0</v>
      </c>
      <c r="AE98" s="1077">
        <f>IF(OR($H98="",$I98=""),0,IF(OR(AE$88&lt;$H98,AE$188&gt;$I98),0,$G98))</f>
        <v>0</v>
      </c>
      <c r="AF98" s="1077">
        <f>IF(OR($H98="",$I98=""),0,IF(OR(AF$88&lt;$H98,AF$188&gt;$I98),0,$G98))</f>
        <v>0</v>
      </c>
      <c r="AG98" s="1077">
        <f>IF(OR($H98="",$I98=""),0,IF(OR(AG$88&lt;$H98,AG$188&gt;$I98),0,$G98))</f>
        <v>0</v>
      </c>
      <c r="AH98" s="1077">
        <f>IF(OR($H98="",$I98=""),0,IF(OR(AH$88&lt;$H98,AH$188&gt;$I98),0,$G98))</f>
        <v>0</v>
      </c>
      <c r="AI98" s="1077">
        <f>IF(OR($H98="",$I98=""),0,IF(OR(AI$88&lt;$H98,AI$188&gt;$I98),0,$G98))</f>
        <v>0</v>
      </c>
      <c r="AJ98" s="1077">
        <f>IF(OR($H98="",$I98=""),0,IF(OR(AJ$88&lt;$H98,AJ$188&gt;$I98),0,$G98))</f>
        <v>0</v>
      </c>
      <c r="AK98" s="1098">
        <f>IF(OR($H98="",$I98=""),0,IF(OR(AK$88&lt;$H98,AK$188&gt;$I98),0,$G98))</f>
        <v>0</v>
      </c>
      <c r="AL98" s="1076">
        <f>IF(OR($H98="",$I98=""),0,IF(OR(AL$88&lt;$H98,AL$188&gt;$I98),0,$G98))</f>
        <v>0</v>
      </c>
      <c r="AM98" s="1076">
        <f>IF(OR($H98="",$I98=""),0,IF(OR(AM$88&lt;$H98,AM$188&gt;$I98),0,$G98))</f>
        <v>0</v>
      </c>
      <c r="AN98" s="1076">
        <f>IF(OR($H98="",$I98=""),0,IF(OR(AN$88&lt;$H98,AN$188&gt;$I98),0,$G98))</f>
        <v>0</v>
      </c>
      <c r="AO98" s="1076">
        <f>IF(OR($H98="",$I98=""),0,IF(OR(AO$88&lt;$H98,AO$188&gt;$I98),0,$G98))</f>
        <v>0</v>
      </c>
      <c r="AP98" s="1076">
        <f>IF(OR($H98="",$I98=""),0,IF(OR(AP$88&lt;$H98,AP$188&gt;$I98),0,$G98))</f>
        <v>0</v>
      </c>
      <c r="AQ98" s="1076">
        <f>IF(OR($H98="",$I98=""),0,IF(OR(AQ$88&lt;$H98,AQ$188&gt;$I98),0,$G98))</f>
        <v>0</v>
      </c>
      <c r="AR98" s="1076">
        <f>IF(OR($H98="",$I98=""),0,IF(OR(AR$88&lt;$H98,AR$188&gt;$I98),0,$G98))</f>
        <v>0</v>
      </c>
      <c r="AS98" s="1076">
        <f>IF(OR($H98="",$I98=""),0,IF(OR(AS$88&lt;$H98,AS$188&gt;$I98),0,$G98))</f>
        <v>0</v>
      </c>
      <c r="AT98" s="1076">
        <f>IF(OR($H98="",$I98=""),0,IF(OR(AT$88&lt;$H98,AT$188&gt;$I98),0,$G98))</f>
        <v>0</v>
      </c>
      <c r="AU98" s="1076">
        <f>IF(OR($H98="",$I98=""),0,IF(OR(AU$88&lt;$H98,AU$188&gt;$I98),0,$G98))</f>
        <v>0</v>
      </c>
      <c r="AV98" s="1076">
        <f>IF(OR($H98="",$I98=""),0,IF(OR(AV$88&lt;$H98,AV$188&gt;$I98),0,$G98))</f>
        <v>0</v>
      </c>
      <c r="AW98" s="1076">
        <f>IF(OR($H98="",$I98=""),0,IF(OR(AW$88&lt;$H98,AW$188&gt;$I98),0,$G98))</f>
        <v>0</v>
      </c>
      <c r="AX98" s="1076">
        <f>IF(OR($H98="",$I98=""),0,IF(OR(AX$88&lt;$H98,AX$188&gt;$I98),0,$G98))</f>
        <v>0</v>
      </c>
      <c r="AY98" s="1078">
        <f>IF(OR($H98="",$I98=""),0,IF(OR(AY$88&lt;$H98,AY$188&gt;$I98),0,$G98))</f>
        <v>0</v>
      </c>
      <c r="AZ98" s="1244">
        <f>IF(OR($H98="",$I98=""),0,IF(OR(AZ$88&lt;$H98,AZ$188&gt;$I98),0,$G98))</f>
        <v>0</v>
      </c>
      <c r="BA98" s="1076">
        <f>IF(OR($H98="",$I98=""),0,IF(OR(BA$88&lt;$H98,BA$188&gt;$I98),0,$G98))</f>
        <v>0</v>
      </c>
      <c r="BB98" s="1076">
        <f>IF(OR($H98="",$I98=""),0,IF(OR(BB$88&lt;$H98,BB$188&gt;$I98),0,$G98))</f>
        <v>0</v>
      </c>
      <c r="BC98" s="1076">
        <f>IF(OR($H98="",$I98=""),0,IF(OR(BC$88&lt;$H98,BC$188&gt;$I98),0,$G98))</f>
        <v>0</v>
      </c>
      <c r="BD98" s="1076">
        <f>IF(OR($H98="",$I98=""),0,IF(OR(BD$88&lt;$H98,BD$188&gt;$I98),0,$G98))</f>
        <v>0</v>
      </c>
      <c r="BE98" s="1076">
        <f>IF(OR($H98="",$I98=""),0,IF(OR(BE$88&lt;$H98,BE$188&gt;$I98),0,$G98))</f>
        <v>0</v>
      </c>
      <c r="BF98" s="1076">
        <f>IF(OR($H98="",$I98=""),0,IF(OR(BF$88&lt;$H98,BF$188&gt;$I98),0,$G98))</f>
        <v>0</v>
      </c>
      <c r="BG98" s="1076">
        <f>IF(OR($H98="",$I98=""),0,IF(OR(BG$88&lt;$H98,BG$188&gt;$I98),0,$G98))</f>
        <v>0</v>
      </c>
      <c r="BH98" s="1076">
        <f>IF(OR($H98="",$I98=""),0,IF(OR(BH$88&lt;$H98,BH$188&gt;$I98),0,$G98))</f>
        <v>0</v>
      </c>
      <c r="BI98" s="1076">
        <f>IF(OR($H98="",$I98=""),0,IF(OR(BI$88&lt;$H98,BI$188&gt;$I98),0,$G98))</f>
        <v>0</v>
      </c>
      <c r="BJ98" s="1076">
        <f>IF(OR($H98="",$I98=""),0,IF(OR(BJ$88&lt;$H98,BJ$188&gt;$I98),0,$G98))</f>
        <v>0</v>
      </c>
      <c r="BK98" s="1076">
        <f>IF(OR($H98="",$I98=""),0,IF(OR(BK$88&lt;$H98,BK$188&gt;$I98),0,$G98))</f>
        <v>0</v>
      </c>
      <c r="BL98" s="1076">
        <f>IF(OR($H98="",$I98=""),0,IF(OR(BL$88&lt;$H98,BL$188&gt;$I98),0,$G98))</f>
        <v>0</v>
      </c>
      <c r="BM98" s="1076">
        <f>IF(OR($H98="",$I98=""),0,IF(OR(BM$88&lt;$H98,BM$188&gt;$I98),0,$G98))</f>
        <v>0</v>
      </c>
      <c r="BN98" s="1076">
        <f>IF(OR($H98="",$I98=""),0,IF(OR(BN$88&lt;$H98,BN$188&gt;$I98),0,$G98))</f>
        <v>0</v>
      </c>
      <c r="BO98" s="1076">
        <f>IF(OR($H98="",$I98=""),0,IF(OR(BO$88&lt;$H98,BO$188&gt;$I98),0,$G98))</f>
        <v>0</v>
      </c>
      <c r="BP98" s="1076">
        <f>IF(OR($H98="",$I98=""),0,IF(OR(BP$88&lt;$H98,BP$188&gt;$I98),0,$G98))</f>
        <v>0</v>
      </c>
      <c r="BQ98" s="1076">
        <f>IF(OR($H98="",$I98=""),0,IF(OR(BQ$88&lt;$H98,BQ$188&gt;$I98),0,$G98))</f>
        <v>0</v>
      </c>
      <c r="BR98" s="1076">
        <f>IF(OR($H98="",$I98=""),0,IF(OR(BR$88&lt;$H98,BR$188&gt;$I98),0,$G98))</f>
        <v>0</v>
      </c>
      <c r="BS98" s="1076">
        <f>IF(OR($H98="",$I98=""),0,IF(OR(BS$88&lt;$H98,BS$188&gt;$I98),0,$G98))</f>
        <v>0</v>
      </c>
      <c r="BT98" s="1076">
        <f>IF(OR($H98="",$I98=""),0,IF(OR(BT$88&lt;$H98,BT$188&gt;$I98),0,$G98))</f>
        <v>0</v>
      </c>
      <c r="BU98" s="1076">
        <f>IF(OR($H98="",$I98=""),0,IF(OR(BU$88&lt;$H98,BU$188&gt;$I98),0,$G98))</f>
        <v>0</v>
      </c>
      <c r="BV98" s="1076">
        <f>IF(OR($H98="",$I98=""),0,IF(OR(BV$88&lt;$H98,BV$188&gt;$I98),0,$G98))</f>
        <v>0</v>
      </c>
      <c r="BW98" s="1078">
        <f>IF(OR($H98="",$I98=""),0,IF(OR(BW$88&lt;$H98,BW$188&gt;$I98),0,$G98))</f>
        <v>0</v>
      </c>
      <c r="CC98" s="133"/>
      <c r="CD98" s="133"/>
      <c r="CE98" s="133"/>
      <c r="CF98" s="133"/>
      <c r="CG98" s="133"/>
      <c r="CH98" s="133"/>
      <c r="CI98" s="133"/>
      <c r="CJ98" s="133"/>
      <c r="CK98" s="133"/>
      <c r="CL98" s="131"/>
      <c r="CM98" s="131"/>
      <c r="CN98" s="131"/>
      <c r="CO98" s="131"/>
      <c r="CP98" s="131"/>
      <c r="CQ98" s="131"/>
      <c r="CR98" s="131"/>
      <c r="CS98" s="131"/>
      <c r="CT98" s="131"/>
      <c r="CU98" s="131"/>
      <c r="CV98" s="131"/>
      <c r="CW98" s="131"/>
      <c r="CX98" s="131"/>
      <c r="CY98" s="131"/>
      <c r="CZ98" s="131"/>
      <c r="DA98" s="131"/>
      <c r="DB98" s="131"/>
      <c r="DC98" s="131"/>
      <c r="DD98" s="131"/>
      <c r="DE98" s="131"/>
      <c r="DF98" s="131"/>
      <c r="DG98" s="131"/>
      <c r="DH98" s="131"/>
      <c r="DI98" s="131"/>
      <c r="DJ98" s="131"/>
      <c r="DK98" s="131"/>
      <c r="DL98" s="131"/>
      <c r="DM98" s="131"/>
      <c r="DN98" s="131"/>
      <c r="DO98" s="131"/>
      <c r="DP98" s="131"/>
      <c r="DQ98" s="131"/>
      <c r="DR98" s="131"/>
      <c r="DS98" s="131"/>
      <c r="DT98" s="131"/>
      <c r="DU98" s="131"/>
      <c r="DV98" s="131"/>
      <c r="DW98" s="131"/>
      <c r="DX98" s="131"/>
      <c r="DY98" s="131"/>
      <c r="DZ98" s="131"/>
      <c r="EA98" s="131"/>
      <c r="EB98" s="131"/>
      <c r="EC98" s="131"/>
      <c r="ED98" s="131"/>
      <c r="EE98" s="131"/>
      <c r="EF98" s="131"/>
      <c r="EG98" s="131"/>
      <c r="EH98" s="131"/>
      <c r="EI98" s="131"/>
      <c r="EJ98" s="131"/>
      <c r="EK98" s="131"/>
      <c r="EL98" s="131"/>
      <c r="EM98" s="131"/>
      <c r="EN98" s="131"/>
      <c r="EO98" s="131"/>
      <c r="EP98" s="131"/>
      <c r="EQ98" s="131"/>
      <c r="ER98" s="131"/>
      <c r="ES98" s="131"/>
      <c r="ET98" s="131"/>
      <c r="EU98" s="131"/>
      <c r="EV98" s="131"/>
      <c r="EW98" s="131"/>
      <c r="EX98" s="131"/>
      <c r="EY98" s="131"/>
      <c r="EZ98" s="131"/>
      <c r="FA98" s="131"/>
      <c r="FB98" s="131"/>
      <c r="FC98" s="131"/>
      <c r="FD98" s="131"/>
      <c r="FE98" s="131"/>
      <c r="FF98" s="131"/>
      <c r="FG98" s="131"/>
      <c r="FH98" s="131"/>
      <c r="FI98" s="131"/>
      <c r="FJ98" s="131"/>
      <c r="FK98" s="131"/>
      <c r="FL98" s="131"/>
      <c r="FM98" s="131"/>
      <c r="FN98" s="131"/>
      <c r="FO98" s="131"/>
      <c r="FP98" s="131"/>
      <c r="FQ98" s="131"/>
      <c r="FR98" s="131"/>
      <c r="FS98" s="131"/>
      <c r="FT98" s="131"/>
      <c r="FU98" s="131"/>
      <c r="FV98" s="133"/>
      <c r="FW98" s="133"/>
    </row>
    <row r="99" spans="1:179" s="8" customFormat="1" ht="12" customHeight="1" x14ac:dyDescent="0.35">
      <c r="A99" s="133"/>
      <c r="B99" s="815"/>
      <c r="C99" s="560"/>
      <c r="D99" s="1361"/>
      <c r="E99" s="1361"/>
      <c r="F99" s="1361"/>
      <c r="G99" s="1361"/>
      <c r="H99" s="1361"/>
      <c r="I99" s="1361"/>
      <c r="J99" s="560"/>
      <c r="K99" s="560"/>
      <c r="L99" s="560"/>
      <c r="M99" s="560"/>
      <c r="N99" s="560"/>
      <c r="P99" s="1364">
        <f>SUM(P89:P98)</f>
        <v>0</v>
      </c>
      <c r="Q99" s="1364">
        <f>SUM(Q89:Q98)</f>
        <v>0</v>
      </c>
      <c r="R99" s="1364">
        <f>SUM(R89:R98)</f>
        <v>0</v>
      </c>
      <c r="S99" s="1364">
        <f>SUM(S89:S98)</f>
        <v>0</v>
      </c>
      <c r="T99" s="1364">
        <f>SUM(T89:T98)</f>
        <v>0</v>
      </c>
      <c r="U99" s="1364">
        <f>SUM(U89:U98)</f>
        <v>0</v>
      </c>
      <c r="V99" s="1364">
        <f>SUM(V89:V98)</f>
        <v>0</v>
      </c>
      <c r="W99" s="1364">
        <f>SUM(W89:W98)</f>
        <v>0</v>
      </c>
      <c r="X99" s="1364">
        <f>SUM(X89:X98)</f>
        <v>0</v>
      </c>
      <c r="Y99" s="1364">
        <f>SUM(Y89:Y98)</f>
        <v>0</v>
      </c>
      <c r="Z99" s="1364">
        <f>SUM(Z89:Z98)</f>
        <v>0</v>
      </c>
      <c r="AA99" s="1364">
        <f>SUM(AA89:AA98)</f>
        <v>0</v>
      </c>
      <c r="AB99" s="1364">
        <f>SUM(AB89:AB98)</f>
        <v>0</v>
      </c>
      <c r="AC99" s="1364">
        <f>SUM(AC89:AC98)</f>
        <v>0</v>
      </c>
      <c r="AD99" s="1364">
        <f>SUM(AD89:AD98)</f>
        <v>0</v>
      </c>
      <c r="AE99" s="1364">
        <f>SUM(AE89:AE98)</f>
        <v>0</v>
      </c>
      <c r="AF99" s="1364">
        <f>SUM(AF89:AF98)</f>
        <v>0</v>
      </c>
      <c r="AG99" s="1364">
        <f>SUM(AG89:AG98)</f>
        <v>0</v>
      </c>
      <c r="AH99" s="1364">
        <f>SUM(AH89:AH98)</f>
        <v>0</v>
      </c>
      <c r="AI99" s="1364">
        <f>SUM(AI89:AI98)</f>
        <v>0</v>
      </c>
      <c r="AJ99" s="1364">
        <f>SUM(AJ89:AJ98)</f>
        <v>0</v>
      </c>
      <c r="AK99" s="1364">
        <f>SUM(AK89:AK98)</f>
        <v>0</v>
      </c>
      <c r="AL99" s="1364">
        <f>SUM(AL89:AL98)</f>
        <v>0</v>
      </c>
      <c r="AM99" s="1364">
        <f>SUM(AM89:AM98)</f>
        <v>0</v>
      </c>
      <c r="AN99" s="1364">
        <f>SUM(AN89:AN98)</f>
        <v>0</v>
      </c>
      <c r="AO99" s="1364">
        <f>SUM(AO89:AO98)</f>
        <v>0</v>
      </c>
      <c r="AP99" s="1364">
        <f>SUM(AP89:AP98)</f>
        <v>0</v>
      </c>
      <c r="AQ99" s="1364">
        <f>SUM(AQ89:AQ98)</f>
        <v>0</v>
      </c>
      <c r="AR99" s="1364">
        <f>SUM(AR89:AR98)</f>
        <v>0</v>
      </c>
      <c r="AS99" s="1364">
        <f>SUM(AS89:AS98)</f>
        <v>0</v>
      </c>
      <c r="AT99" s="1364">
        <f>SUM(AT89:AT98)</f>
        <v>0</v>
      </c>
      <c r="AU99" s="1364">
        <f>SUM(AU89:AU98)</f>
        <v>0</v>
      </c>
      <c r="AV99" s="1364">
        <f>SUM(AV89:AV98)</f>
        <v>0</v>
      </c>
      <c r="AW99" s="1364">
        <f>SUM(AW89:AW98)</f>
        <v>0</v>
      </c>
      <c r="AX99" s="1364">
        <f>SUM(AX89:AX98)</f>
        <v>0</v>
      </c>
      <c r="AY99" s="1364">
        <f>SUM(AY89:AY98)</f>
        <v>0</v>
      </c>
      <c r="AZ99" s="1364">
        <f>SUM(AZ89:AZ98)</f>
        <v>0</v>
      </c>
      <c r="BA99" s="1364">
        <f>SUM(BA89:BA98)</f>
        <v>0</v>
      </c>
      <c r="BB99" s="1364">
        <f>SUM(BB89:BB98)</f>
        <v>0</v>
      </c>
      <c r="BC99" s="1364">
        <f>SUM(BC89:BC98)</f>
        <v>0</v>
      </c>
      <c r="BD99" s="1364">
        <f>SUM(BD89:BD98)</f>
        <v>0</v>
      </c>
      <c r="BE99" s="1364">
        <f>SUM(BE89:BE98)</f>
        <v>0</v>
      </c>
      <c r="BF99" s="1364">
        <f>SUM(BF89:BF98)</f>
        <v>0</v>
      </c>
      <c r="BG99" s="1364">
        <f>SUM(BG89:BG98)</f>
        <v>0</v>
      </c>
      <c r="BH99" s="1364">
        <f>SUM(BH89:BH98)</f>
        <v>0</v>
      </c>
      <c r="BI99" s="1364">
        <f>SUM(BI89:BI98)</f>
        <v>0</v>
      </c>
      <c r="BJ99" s="1364">
        <f>SUM(BJ89:BJ98)</f>
        <v>0</v>
      </c>
      <c r="BK99" s="1364">
        <f>SUM(BK89:BK98)</f>
        <v>0</v>
      </c>
      <c r="BL99" s="1364">
        <f>SUM(BL89:BL98)</f>
        <v>0</v>
      </c>
      <c r="BM99" s="1364">
        <f>SUM(BM89:BM98)</f>
        <v>0</v>
      </c>
      <c r="BN99" s="1364">
        <f>SUM(BN89:BN98)</f>
        <v>0</v>
      </c>
      <c r="BO99" s="1364">
        <f>SUM(BO89:BO98)</f>
        <v>0</v>
      </c>
      <c r="BP99" s="1364">
        <f>SUM(BP89:BP98)</f>
        <v>0</v>
      </c>
      <c r="BQ99" s="1364">
        <f>SUM(BQ89:BQ98)</f>
        <v>0</v>
      </c>
      <c r="BR99" s="1364">
        <f>SUM(BR89:BR98)</f>
        <v>0</v>
      </c>
      <c r="BS99" s="1364">
        <f>SUM(BS89:BS98)</f>
        <v>0</v>
      </c>
      <c r="BT99" s="1364">
        <f>SUM(BT89:BT98)</f>
        <v>0</v>
      </c>
      <c r="BU99" s="1364">
        <f>SUM(BU89:BU98)</f>
        <v>0</v>
      </c>
      <c r="BV99" s="1364">
        <f>SUM(BV89:BV98)</f>
        <v>0</v>
      </c>
      <c r="BW99" s="1364">
        <f>SUM(BW89:BW98)</f>
        <v>0</v>
      </c>
      <c r="BX99" s="560"/>
      <c r="BY99" s="560"/>
      <c r="BZ99" s="560"/>
      <c r="CA99" s="560"/>
      <c r="CB99" s="560"/>
      <c r="CC99" s="560"/>
      <c r="CD99" s="560"/>
      <c r="CE99" s="560"/>
      <c r="CF99" s="560"/>
      <c r="CG99" s="560"/>
      <c r="CH99" s="560"/>
      <c r="CI99" s="560"/>
      <c r="CJ99" s="560"/>
      <c r="CK99" s="560"/>
      <c r="CL99" s="560"/>
      <c r="CM99" s="560"/>
      <c r="CN99" s="560"/>
      <c r="CO99" s="560"/>
      <c r="CP99" s="560"/>
      <c r="CQ99" s="560"/>
      <c r="CR99" s="560"/>
      <c r="CS99" s="560"/>
      <c r="CT99" s="560"/>
      <c r="CU99" s="560"/>
      <c r="CV99" s="560"/>
      <c r="CW99" s="560"/>
      <c r="CX99" s="560"/>
      <c r="CY99" s="560"/>
      <c r="CZ99" s="560"/>
      <c r="DA99" s="560"/>
      <c r="DB99" s="560"/>
      <c r="DC99" s="560"/>
      <c r="DD99" s="560"/>
      <c r="DE99" s="560"/>
      <c r="DF99" s="560"/>
      <c r="DG99" s="560"/>
      <c r="DH99" s="560"/>
      <c r="DI99" s="560"/>
      <c r="DJ99" s="560"/>
      <c r="DK99" s="560"/>
      <c r="DL99" s="560"/>
      <c r="DM99" s="560"/>
      <c r="DN99" s="560"/>
      <c r="DO99" s="560"/>
      <c r="DP99" s="560"/>
      <c r="DQ99" s="560"/>
      <c r="DR99" s="560"/>
      <c r="DS99" s="560"/>
      <c r="DT99" s="560"/>
      <c r="DU99" s="560"/>
      <c r="DV99" s="560"/>
      <c r="DW99" s="560"/>
      <c r="DX99" s="560"/>
      <c r="DY99" s="560"/>
      <c r="DZ99" s="560"/>
      <c r="EA99" s="560"/>
      <c r="EB99" s="560"/>
      <c r="EC99" s="560"/>
      <c r="ED99" s="560"/>
      <c r="EE99" s="560"/>
      <c r="EF99" s="560"/>
      <c r="EG99" s="560"/>
      <c r="EH99" s="560"/>
      <c r="EI99" s="560"/>
      <c r="EJ99" s="560"/>
      <c r="EK99" s="560"/>
      <c r="EL99" s="560"/>
      <c r="EM99" s="560"/>
      <c r="EN99" s="560"/>
      <c r="EO99" s="560"/>
      <c r="EP99" s="560"/>
      <c r="EQ99" s="560"/>
      <c r="ER99" s="560"/>
      <c r="ES99" s="560"/>
      <c r="ET99" s="560"/>
      <c r="EU99" s="560"/>
      <c r="EV99" s="560"/>
      <c r="EW99" s="560"/>
      <c r="EX99" s="560"/>
      <c r="EY99" s="560"/>
      <c r="EZ99" s="560"/>
      <c r="FA99" s="560"/>
      <c r="FB99" s="560"/>
      <c r="FC99" s="560"/>
      <c r="FD99" s="560"/>
      <c r="FE99" s="560"/>
      <c r="FF99" s="560"/>
      <c r="FG99" s="560"/>
      <c r="FH99" s="560"/>
      <c r="FI99" s="560"/>
      <c r="FJ99" s="560"/>
      <c r="FK99" s="560"/>
      <c r="FL99" s="560"/>
      <c r="FM99" s="560"/>
      <c r="FN99" s="131"/>
      <c r="FO99" s="131"/>
      <c r="FP99" s="131"/>
      <c r="FQ99" s="131"/>
      <c r="FR99" s="131"/>
      <c r="FS99" s="131"/>
      <c r="FT99" s="131"/>
      <c r="FU99" s="131"/>
      <c r="FV99" s="133"/>
      <c r="FW99" s="133"/>
    </row>
    <row r="100" spans="1:179" s="8" customFormat="1" ht="12" customHeight="1" x14ac:dyDescent="0.25">
      <c r="A100" s="133"/>
      <c r="L100" s="1860" t="s">
        <v>139</v>
      </c>
      <c r="M100" s="1860"/>
      <c r="O100" s="560"/>
      <c r="P100" s="133">
        <f>COUNTIFS($G89:$G98,"&gt;0",$H89:$H98,"&lt;="&amp;P88,$I89:$I98,"&gt;="&amp;P88)</f>
        <v>0</v>
      </c>
      <c r="Q100" s="133">
        <f>COUNTIFS($G89:$G98,"&gt;0",$H89:$H98,"&lt;="&amp;Q88,$I89:$I98,"&gt;="&amp;Q88)</f>
        <v>0</v>
      </c>
      <c r="R100" s="133">
        <f>COUNTIFS($G89:$G98,"&gt;0",$H89:$H98,"&lt;="&amp;R88,$I89:$I98,"&gt;="&amp;R88)</f>
        <v>0</v>
      </c>
      <c r="S100" s="133">
        <f>COUNTIFS($G89:$G98,"&gt;0",$H89:$H98,"&lt;="&amp;S88,$I89:$I98,"&gt;="&amp;S88)</f>
        <v>0</v>
      </c>
      <c r="T100" s="133">
        <f>COUNTIFS($G89:$G98,"&gt;0",$H89:$H98,"&lt;="&amp;T88,$I89:$I98,"&gt;="&amp;T88)</f>
        <v>0</v>
      </c>
      <c r="U100" s="133">
        <f>COUNTIFS($G89:$G98,"&gt;0",$H89:$H98,"&lt;="&amp;U88,$I89:$I98,"&gt;="&amp;U88)</f>
        <v>0</v>
      </c>
      <c r="V100" s="133">
        <f>COUNTIFS($G89:$G98,"&gt;0",$H89:$H98,"&lt;="&amp;V88,$I89:$I98,"&gt;="&amp;V88)</f>
        <v>0</v>
      </c>
      <c r="W100" s="133">
        <f>COUNTIFS($G89:$G98,"&gt;0",$H89:$H98,"&lt;="&amp;W88,$I89:$I98,"&gt;="&amp;W88)</f>
        <v>0</v>
      </c>
      <c r="X100" s="133">
        <f>COUNTIFS($G89:$G98,"&gt;0",$H89:$H98,"&lt;="&amp;X88,$I89:$I98,"&gt;="&amp;X88)</f>
        <v>0</v>
      </c>
      <c r="Y100" s="133">
        <f>COUNTIFS($G89:$G98,"&gt;0",$H89:$H98,"&lt;="&amp;Y88,$I89:$I98,"&gt;="&amp;Y88)</f>
        <v>0</v>
      </c>
      <c r="Z100" s="133">
        <f>COUNTIFS($G89:$G98,"&gt;0",$H89:$H98,"&lt;="&amp;Z88,$I89:$I98,"&gt;="&amp;Z88)</f>
        <v>0</v>
      </c>
      <c r="AA100" s="133">
        <f>COUNTIFS($G89:$G98,"&gt;0",$H89:$H98,"&lt;="&amp;AA88,$I89:$I98,"&gt;="&amp;AA88)</f>
        <v>0</v>
      </c>
      <c r="AB100" s="133">
        <f>COUNTIFS($G89:$G98,"&gt;0",$H89:$H98,"&lt;="&amp;AB88,$I89:$I98,"&gt;="&amp;AB88)</f>
        <v>0</v>
      </c>
      <c r="AC100" s="133">
        <f>COUNTIFS($G89:$G98,"&gt;0",$H89:$H98,"&lt;="&amp;AC88,$I89:$I98,"&gt;="&amp;AC88)</f>
        <v>0</v>
      </c>
      <c r="AD100" s="133">
        <f>COUNTIFS($G89:$G98,"&gt;0",$H89:$H98,"&lt;="&amp;AD88,$I89:$I98,"&gt;="&amp;AD88)</f>
        <v>0</v>
      </c>
      <c r="AE100" s="133">
        <f>COUNTIFS($G89:$G98,"&gt;0",$H89:$H98,"&lt;="&amp;AE88,$I89:$I98,"&gt;="&amp;AE88)</f>
        <v>0</v>
      </c>
      <c r="AF100" s="133">
        <f>COUNTIFS($G89:$G98,"&gt;0",$H89:$H98,"&lt;="&amp;AF88,$I89:$I98,"&gt;="&amp;AF88)</f>
        <v>0</v>
      </c>
      <c r="AG100" s="133">
        <f>COUNTIFS($G89:$G98,"&gt;0",$H89:$H98,"&lt;="&amp;AG88,$I89:$I98,"&gt;="&amp;AG88)</f>
        <v>0</v>
      </c>
      <c r="AH100" s="133">
        <f>COUNTIFS($G89:$G98,"&gt;0",$H89:$H98,"&lt;="&amp;AH88,$I89:$I98,"&gt;="&amp;AH88)</f>
        <v>0</v>
      </c>
      <c r="AI100" s="133">
        <f>COUNTIFS($G89:$G98,"&gt;0",$H89:$H98,"&lt;="&amp;AI88,$I89:$I98,"&gt;="&amp;AI88)</f>
        <v>0</v>
      </c>
      <c r="AJ100" s="133">
        <f>COUNTIFS($G89:$G98,"&gt;0",$H89:$H98,"&lt;="&amp;AJ88,$I89:$I98,"&gt;="&amp;AJ88)</f>
        <v>0</v>
      </c>
      <c r="AK100" s="133">
        <f>COUNTIFS($G89:$G98,"&gt;0",$H89:$H98,"&lt;="&amp;AK88,$I89:$I98,"&gt;="&amp;AK88)</f>
        <v>0</v>
      </c>
      <c r="AL100" s="133">
        <f>COUNTIFS($G89:$G98,"&gt;0",$H89:$H98,"&lt;="&amp;AL88,$I89:$I98,"&gt;="&amp;AL88)</f>
        <v>0</v>
      </c>
      <c r="AM100" s="133">
        <f>COUNTIFS($G89:$G98,"&gt;0",$H89:$H98,"&lt;="&amp;AM88,$I89:$I98,"&gt;="&amp;AM88)</f>
        <v>0</v>
      </c>
      <c r="AN100" s="133">
        <f>COUNTIFS($G89:$G98,"&gt;0",$H89:$H98,"&lt;="&amp;AN88,$I89:$I98,"&gt;="&amp;AN88)</f>
        <v>0</v>
      </c>
      <c r="AO100" s="133">
        <f>COUNTIFS($G89:$G98,"&gt;0",$H89:$H98,"&lt;="&amp;AO88,$I89:$I98,"&gt;="&amp;AO88)</f>
        <v>0</v>
      </c>
      <c r="AP100" s="133">
        <f>COUNTIFS($G89:$G98,"&gt;0",$H89:$H98,"&lt;="&amp;AP88,$I89:$I98,"&gt;="&amp;AP88)</f>
        <v>0</v>
      </c>
      <c r="AQ100" s="133">
        <f>COUNTIFS($G89:$G98,"&gt;0",$H89:$H98,"&lt;="&amp;AQ88,$I89:$I98,"&gt;="&amp;AQ88)</f>
        <v>0</v>
      </c>
      <c r="AR100" s="133">
        <f>COUNTIFS($G89:$G98,"&gt;0",$H89:$H98,"&lt;="&amp;AR88,$I89:$I98,"&gt;="&amp;AR88)</f>
        <v>0</v>
      </c>
      <c r="AS100" s="133">
        <f>COUNTIFS($G89:$G98,"&gt;0",$H89:$H98,"&lt;="&amp;AS88,$I89:$I98,"&gt;="&amp;AS88)</f>
        <v>0</v>
      </c>
      <c r="AT100" s="133">
        <f>COUNTIFS($G89:$G98,"&gt;0",$H89:$H98,"&lt;="&amp;AT88,$I89:$I98,"&gt;="&amp;AT88)</f>
        <v>0</v>
      </c>
      <c r="AU100" s="133">
        <f>COUNTIFS($G89:$G98,"&gt;0",$H89:$H98,"&lt;="&amp;AU88,$I89:$I98,"&gt;="&amp;AU88)</f>
        <v>0</v>
      </c>
      <c r="AV100" s="133">
        <f>COUNTIFS($G89:$G98,"&gt;0",$H89:$H98,"&lt;="&amp;AV88,$I89:$I98,"&gt;="&amp;AV88)</f>
        <v>0</v>
      </c>
      <c r="AW100" s="133">
        <f>COUNTIFS($G89:$G98,"&gt;0",$H89:$H98,"&lt;="&amp;AW88,$I89:$I98,"&gt;="&amp;AW88)</f>
        <v>0</v>
      </c>
      <c r="AX100" s="133">
        <f>COUNTIFS($G89:$G98,"&gt;0",$H89:$H98,"&lt;="&amp;AX88,$I89:$I98,"&gt;="&amp;AX88)</f>
        <v>0</v>
      </c>
      <c r="AY100" s="133">
        <f>COUNTIFS($G89:$G98,"&gt;0",$H89:$H98,"&lt;="&amp;AY88,$I89:$I98,"&gt;="&amp;AY88)</f>
        <v>0</v>
      </c>
      <c r="AZ100" s="133">
        <f>COUNTIFS($G89:$G98,"&gt;0",$H89:$H98,"&lt;="&amp;AZ88,$I89:$I98,"&gt;="&amp;AZ88)</f>
        <v>0</v>
      </c>
      <c r="BA100" s="133">
        <f>COUNTIFS($G89:$G98,"&gt;0",$H89:$H98,"&lt;="&amp;BA88,$I89:$I98,"&gt;="&amp;BA88)</f>
        <v>0</v>
      </c>
      <c r="BB100" s="133">
        <f>COUNTIFS($G89:$G98,"&gt;0",$H89:$H98,"&lt;="&amp;BB88,$I89:$I98,"&gt;="&amp;BB88)</f>
        <v>0</v>
      </c>
      <c r="BC100" s="133">
        <f>COUNTIFS($G89:$G98,"&gt;0",$H89:$H98,"&lt;="&amp;BC88,$I89:$I98,"&gt;="&amp;BC88)</f>
        <v>0</v>
      </c>
      <c r="BD100" s="133">
        <f>COUNTIFS($G89:$G98,"&gt;0",$H89:$H98,"&lt;="&amp;BD88,$I89:$I98,"&gt;="&amp;BD88)</f>
        <v>0</v>
      </c>
      <c r="BE100" s="133">
        <f>COUNTIFS($G89:$G98,"&gt;0",$H89:$H98,"&lt;="&amp;BE88,$I89:$I98,"&gt;="&amp;BE88)</f>
        <v>0</v>
      </c>
      <c r="BF100" s="133">
        <f>COUNTIFS($G89:$G98,"&gt;0",$H89:$H98,"&lt;="&amp;BF88,$I89:$I98,"&gt;="&amp;BF88)</f>
        <v>0</v>
      </c>
      <c r="BG100" s="133">
        <f>COUNTIFS($G89:$G98,"&gt;0",$H89:$H98,"&lt;="&amp;BG88,$I89:$I98,"&gt;="&amp;BG88)</f>
        <v>0</v>
      </c>
      <c r="BH100" s="133">
        <f>COUNTIFS($G89:$G98,"&gt;0",$H89:$H98,"&lt;="&amp;BH88,$I89:$I98,"&gt;="&amp;BH88)</f>
        <v>0</v>
      </c>
      <c r="BI100" s="133">
        <f>COUNTIFS($G89:$G98,"&gt;0",$H89:$H98,"&lt;="&amp;BI88,$I89:$I98,"&gt;="&amp;BI88)</f>
        <v>0</v>
      </c>
      <c r="BJ100" s="133">
        <f>COUNTIFS($G89:$G98,"&gt;0",$H89:$H98,"&lt;="&amp;BJ88,$I89:$I98,"&gt;="&amp;BJ88)</f>
        <v>0</v>
      </c>
      <c r="BK100" s="133">
        <f>COUNTIFS($G89:$G98,"&gt;0",$H89:$H98,"&lt;="&amp;BK88,$I89:$I98,"&gt;="&amp;BK88)</f>
        <v>0</v>
      </c>
      <c r="BL100" s="133">
        <f>COUNTIFS($G89:$G98,"&gt;0",$H89:$H98,"&lt;="&amp;BL88,$I89:$I98,"&gt;="&amp;BL88)</f>
        <v>0</v>
      </c>
      <c r="BM100" s="133">
        <f>COUNTIFS($G89:$G98,"&gt;0",$H89:$H98,"&lt;="&amp;BM88,$I89:$I98,"&gt;="&amp;BM88)</f>
        <v>0</v>
      </c>
      <c r="BN100" s="133">
        <f>COUNTIFS($G89:$G98,"&gt;0",$H89:$H98,"&lt;="&amp;BN88,$I89:$I98,"&gt;="&amp;BN88)</f>
        <v>0</v>
      </c>
      <c r="BO100" s="133">
        <f>COUNTIFS($G89:$G98,"&gt;0",$H89:$H98,"&lt;="&amp;BO88,$I89:$I98,"&gt;="&amp;BO88)</f>
        <v>0</v>
      </c>
      <c r="BP100" s="133">
        <f>COUNTIFS($G89:$G98,"&gt;0",$H89:$H98,"&lt;="&amp;BP88,$I89:$I98,"&gt;="&amp;BP88)</f>
        <v>0</v>
      </c>
      <c r="BQ100" s="133">
        <f>COUNTIFS($G89:$G98,"&gt;0",$H89:$H98,"&lt;="&amp;BQ88,$I89:$I98,"&gt;="&amp;BQ88)</f>
        <v>0</v>
      </c>
      <c r="BR100" s="133">
        <f>COUNTIFS($G89:$G98,"&gt;0",$H89:$H98,"&lt;="&amp;BR88,$I89:$I98,"&gt;="&amp;BR88)</f>
        <v>0</v>
      </c>
      <c r="BS100" s="133">
        <f>COUNTIFS($G89:$G98,"&gt;0",$H89:$H98,"&lt;="&amp;BS88,$I89:$I98,"&gt;="&amp;BS88)</f>
        <v>0</v>
      </c>
      <c r="BT100" s="133">
        <f>COUNTIFS($G89:$G98,"&gt;0",$H89:$H98,"&lt;="&amp;BT88,$I89:$I98,"&gt;="&amp;BT88)</f>
        <v>0</v>
      </c>
      <c r="BU100" s="133">
        <f>COUNTIFS($G89:$G98,"&gt;0",$H89:$H98,"&lt;="&amp;BU88,$I89:$I98,"&gt;="&amp;BU88)</f>
        <v>0</v>
      </c>
      <c r="BV100" s="133">
        <f>COUNTIFS($G89:$G98,"&gt;0",$H89:$H98,"&lt;="&amp;BV88,$I89:$I98,"&gt;="&amp;BV88)</f>
        <v>0</v>
      </c>
      <c r="BW100" s="133">
        <f>COUNTIFS($G89:$G98,"&gt;0",$H89:$H98,"&lt;="&amp;BW88,$I89:$I98,"&gt;="&amp;BW88)</f>
        <v>0</v>
      </c>
      <c r="CL100" s="131"/>
      <c r="CM100" s="131"/>
      <c r="CN100" s="131"/>
      <c r="CO100" s="131"/>
      <c r="CP100" s="131"/>
      <c r="CQ100" s="131"/>
      <c r="CR100" s="131"/>
      <c r="CS100" s="131"/>
      <c r="CT100" s="131"/>
      <c r="CU100" s="131"/>
      <c r="CV100" s="131"/>
      <c r="CW100" s="131"/>
      <c r="CX100" s="131"/>
      <c r="CY100" s="131"/>
      <c r="CZ100" s="131"/>
      <c r="DA100" s="131"/>
      <c r="DB100" s="131"/>
      <c r="DC100" s="131"/>
      <c r="DD100" s="131"/>
      <c r="DE100" s="131"/>
      <c r="DF100" s="131"/>
      <c r="DG100" s="131"/>
      <c r="DH100" s="131"/>
      <c r="DI100" s="131"/>
      <c r="DJ100" s="131"/>
      <c r="DK100" s="131"/>
      <c r="DL100" s="131"/>
      <c r="DM100" s="131"/>
      <c r="DN100" s="131"/>
      <c r="DO100" s="131"/>
      <c r="DP100" s="131"/>
      <c r="DQ100" s="131"/>
      <c r="DR100" s="131"/>
      <c r="DS100" s="131"/>
      <c r="DT100" s="131"/>
      <c r="DU100" s="131"/>
      <c r="DV100" s="131"/>
      <c r="DW100" s="131"/>
      <c r="DX100" s="131"/>
      <c r="DY100" s="131"/>
      <c r="DZ100" s="131"/>
      <c r="EA100" s="131"/>
      <c r="EB100" s="131"/>
      <c r="EC100" s="131"/>
      <c r="ED100" s="131"/>
      <c r="EE100" s="131"/>
      <c r="EF100" s="131"/>
      <c r="EG100" s="131"/>
      <c r="EH100" s="131"/>
      <c r="EI100" s="131"/>
      <c r="EJ100" s="131"/>
      <c r="EK100" s="131"/>
      <c r="EL100" s="131"/>
      <c r="EM100" s="131"/>
      <c r="EN100" s="131"/>
      <c r="EO100" s="131"/>
      <c r="EP100" s="131"/>
      <c r="EQ100" s="131"/>
      <c r="ER100" s="131"/>
      <c r="ES100" s="131"/>
      <c r="ET100" s="131"/>
      <c r="EU100" s="131"/>
      <c r="EV100" s="131"/>
      <c r="EW100" s="131"/>
      <c r="EX100" s="131"/>
      <c r="EY100" s="131"/>
      <c r="EZ100" s="131"/>
      <c r="FA100" s="131"/>
      <c r="FB100" s="131"/>
      <c r="FC100" s="131"/>
      <c r="FD100" s="131"/>
      <c r="FE100" s="131"/>
      <c r="FF100" s="131"/>
      <c r="FG100" s="131"/>
      <c r="FH100" s="131"/>
      <c r="FI100" s="131"/>
      <c r="FJ100" s="131"/>
      <c r="FK100" s="131"/>
      <c r="FL100" s="131"/>
      <c r="FM100" s="131"/>
      <c r="FN100" s="131"/>
      <c r="FO100" s="131"/>
      <c r="FP100" s="131"/>
      <c r="FQ100" s="131"/>
      <c r="FR100" s="131"/>
      <c r="FS100" s="131"/>
      <c r="FT100" s="131"/>
      <c r="FU100" s="131"/>
    </row>
    <row r="101" spans="1:179" s="8" customFormat="1" ht="12" customHeight="1" thickBot="1" x14ac:dyDescent="0.3">
      <c r="A101" s="133"/>
      <c r="K101" s="1100" t="s">
        <v>140</v>
      </c>
      <c r="L101" s="1100" t="s">
        <v>141</v>
      </c>
      <c r="M101" s="1100" t="s">
        <v>142</v>
      </c>
      <c r="N101" s="1100" t="s">
        <v>143</v>
      </c>
      <c r="O101" s="10" t="s">
        <v>131</v>
      </c>
      <c r="P101" s="1079"/>
      <c r="Q101" s="1079"/>
      <c r="R101" s="1079"/>
      <c r="S101" s="1079"/>
      <c r="T101" s="1079"/>
      <c r="U101" s="1079"/>
      <c r="V101" s="1079"/>
      <c r="W101" s="1079"/>
      <c r="X101" s="1079"/>
      <c r="Y101" s="1079"/>
      <c r="Z101" s="1079"/>
      <c r="AA101" s="1079"/>
      <c r="AB101" s="1079"/>
      <c r="AC101" s="1079"/>
      <c r="AD101" s="1079"/>
      <c r="AE101" s="1079"/>
      <c r="AF101" s="1079"/>
      <c r="AG101" s="1079"/>
      <c r="AH101" s="1079"/>
      <c r="AI101" s="1079"/>
      <c r="AJ101" s="1079"/>
      <c r="AK101" s="1079"/>
      <c r="AL101" s="1079"/>
      <c r="AM101" s="1079"/>
      <c r="AN101" s="1079"/>
      <c r="AO101" s="1079"/>
      <c r="AP101" s="1079"/>
      <c r="AQ101" s="1079"/>
      <c r="AR101" s="1079"/>
      <c r="AS101" s="1079"/>
      <c r="AT101" s="1079"/>
      <c r="AU101" s="1079"/>
      <c r="AV101" s="1079"/>
      <c r="AW101" s="1079"/>
      <c r="AX101" s="1079"/>
      <c r="AY101" s="1079"/>
      <c r="AZ101" s="1079"/>
      <c r="BA101" s="1079"/>
      <c r="BB101" s="1079"/>
      <c r="BC101" s="1079"/>
      <c r="BD101" s="1079"/>
      <c r="BE101" s="1079"/>
      <c r="BF101" s="1079"/>
      <c r="BG101" s="1079"/>
      <c r="BH101" s="1079"/>
      <c r="BI101" s="1079"/>
      <c r="BJ101" s="1079"/>
      <c r="BK101" s="1079"/>
      <c r="BL101" s="1079"/>
      <c r="BM101" s="1079"/>
      <c r="BN101" s="1079"/>
      <c r="BO101" s="1079"/>
      <c r="BP101" s="1079"/>
      <c r="BQ101" s="1079"/>
      <c r="BR101" s="1079"/>
      <c r="BS101" s="1079"/>
      <c r="BT101" s="1079"/>
      <c r="BU101" s="1079"/>
      <c r="BV101" s="1079"/>
      <c r="BW101" s="1079"/>
      <c r="CL101" s="131"/>
      <c r="CM101" s="131"/>
      <c r="CN101" s="131"/>
      <c r="CO101" s="131"/>
      <c r="CP101" s="131"/>
      <c r="CQ101" s="131"/>
      <c r="CR101" s="131"/>
      <c r="CS101" s="131"/>
      <c r="CT101" s="131"/>
      <c r="CU101" s="131"/>
      <c r="CV101" s="131"/>
      <c r="CW101" s="131"/>
      <c r="CX101" s="131"/>
      <c r="CY101" s="131"/>
      <c r="CZ101" s="131"/>
      <c r="DA101" s="131"/>
      <c r="DB101" s="131"/>
      <c r="DC101" s="131"/>
      <c r="DD101" s="131"/>
      <c r="DE101" s="131"/>
      <c r="DF101" s="131"/>
      <c r="DG101" s="131"/>
      <c r="DH101" s="131"/>
      <c r="DI101" s="131"/>
      <c r="DJ101" s="131"/>
      <c r="DK101" s="131"/>
      <c r="DL101" s="131"/>
      <c r="DM101" s="131"/>
      <c r="DN101" s="131"/>
      <c r="DO101" s="131"/>
      <c r="DP101" s="131"/>
      <c r="DQ101" s="131"/>
      <c r="DR101" s="131"/>
      <c r="DS101" s="131"/>
      <c r="DT101" s="131"/>
      <c r="DU101" s="131"/>
      <c r="DV101" s="131"/>
      <c r="DW101" s="131"/>
      <c r="DX101" s="131"/>
      <c r="DY101" s="131"/>
      <c r="DZ101" s="131"/>
      <c r="EA101" s="131"/>
      <c r="EB101" s="131"/>
      <c r="EC101" s="131"/>
      <c r="ED101" s="131"/>
      <c r="EE101" s="131"/>
      <c r="EF101" s="131"/>
      <c r="EG101" s="131"/>
      <c r="EH101" s="131"/>
      <c r="EI101" s="131"/>
      <c r="EJ101" s="131"/>
      <c r="EK101" s="131"/>
      <c r="EL101" s="131"/>
      <c r="EM101" s="131"/>
      <c r="EN101" s="131"/>
      <c r="EO101" s="131"/>
      <c r="EP101" s="131"/>
      <c r="EQ101" s="131"/>
      <c r="ER101" s="131"/>
      <c r="ES101" s="131"/>
      <c r="ET101" s="131"/>
      <c r="EU101" s="131"/>
      <c r="EV101" s="131"/>
      <c r="EW101" s="131"/>
      <c r="EX101" s="131"/>
      <c r="EY101" s="131"/>
      <c r="EZ101" s="131"/>
      <c r="FA101" s="131"/>
      <c r="FB101" s="131"/>
      <c r="FC101" s="131"/>
      <c r="FD101" s="131"/>
      <c r="FE101" s="131"/>
      <c r="FF101" s="131"/>
      <c r="FG101" s="131"/>
      <c r="FH101" s="131"/>
      <c r="FI101" s="131"/>
      <c r="FJ101" s="131"/>
      <c r="FK101" s="131"/>
      <c r="FL101" s="131"/>
      <c r="FM101" s="131"/>
      <c r="FN101" s="131"/>
      <c r="FO101" s="131"/>
      <c r="FP101" s="131"/>
      <c r="FQ101" s="131"/>
      <c r="FR101" s="131"/>
      <c r="FS101" s="131"/>
      <c r="FT101" s="131"/>
      <c r="FU101" s="131"/>
    </row>
    <row r="102" spans="1:179" s="8" customFormat="1" ht="12" customHeight="1" thickBot="1" x14ac:dyDescent="0.3">
      <c r="A102" s="133"/>
      <c r="K102" s="1290">
        <v>6.2E-2</v>
      </c>
      <c r="L102" s="1291">
        <v>0.06</v>
      </c>
      <c r="M102" s="1291">
        <v>1.4999999999999999E-2</v>
      </c>
      <c r="N102" s="1292">
        <v>0</v>
      </c>
      <c r="O102" s="1367">
        <f>SUM(K102:N102)</f>
        <v>0.13700000000000001</v>
      </c>
      <c r="P102" s="1079"/>
      <c r="Q102" s="1079"/>
      <c r="R102" s="1079"/>
      <c r="S102" s="1079"/>
      <c r="T102" s="1079"/>
      <c r="U102" s="1079"/>
      <c r="V102" s="1079"/>
      <c r="W102" s="1079"/>
      <c r="X102" s="1079"/>
      <c r="Y102" s="1079"/>
      <c r="Z102" s="1079"/>
      <c r="AA102" s="1079"/>
      <c r="AB102" s="1079"/>
      <c r="AC102" s="1079"/>
      <c r="AD102" s="1079"/>
      <c r="AE102" s="1079"/>
      <c r="AF102" s="1079"/>
      <c r="AG102" s="1079"/>
      <c r="AH102" s="1079"/>
      <c r="AI102" s="1079"/>
      <c r="AJ102" s="1079"/>
      <c r="AK102" s="1079"/>
      <c r="AL102" s="1079"/>
      <c r="AM102" s="1079"/>
      <c r="AN102" s="1079"/>
      <c r="AO102" s="1079"/>
      <c r="AP102" s="1079"/>
      <c r="AQ102" s="1079"/>
      <c r="AR102" s="1079"/>
      <c r="AS102" s="1079"/>
      <c r="AT102" s="1079"/>
      <c r="AU102" s="1079"/>
      <c r="AV102" s="1079"/>
      <c r="AW102" s="1079"/>
      <c r="AX102" s="1079"/>
      <c r="AY102" s="1079"/>
      <c r="AZ102" s="1079"/>
      <c r="BA102" s="1079"/>
      <c r="BB102" s="1079"/>
      <c r="BC102" s="1079"/>
      <c r="BD102" s="1079"/>
      <c r="BE102" s="1079"/>
      <c r="BF102" s="1079"/>
      <c r="BG102" s="1079"/>
      <c r="BH102" s="1079"/>
      <c r="BI102" s="1079"/>
      <c r="BJ102" s="1079"/>
      <c r="BK102" s="1079"/>
      <c r="BL102" s="1079"/>
      <c r="BM102" s="1079"/>
      <c r="BN102" s="1079"/>
      <c r="BO102" s="1079"/>
      <c r="BP102" s="1079"/>
      <c r="BQ102" s="1079"/>
      <c r="BR102" s="1079"/>
      <c r="BS102" s="1079"/>
      <c r="BT102" s="1079"/>
      <c r="BU102" s="1079"/>
      <c r="BV102" s="1079"/>
      <c r="BW102" s="1079"/>
      <c r="CL102" s="131"/>
      <c r="CM102" s="131"/>
      <c r="CN102" s="131"/>
      <c r="CO102" s="131"/>
      <c r="CP102" s="131"/>
      <c r="CQ102" s="131"/>
      <c r="CR102" s="131"/>
      <c r="CS102" s="131"/>
      <c r="CT102" s="131"/>
      <c r="CU102" s="131"/>
      <c r="CV102" s="131"/>
      <c r="CW102" s="131"/>
      <c r="CX102" s="131"/>
      <c r="CY102" s="131"/>
      <c r="CZ102" s="131"/>
      <c r="DA102" s="131"/>
      <c r="DB102" s="131"/>
      <c r="DC102" s="131"/>
      <c r="DD102" s="131"/>
      <c r="DE102" s="131"/>
      <c r="DF102" s="131"/>
      <c r="DG102" s="131"/>
      <c r="DH102" s="131"/>
      <c r="DI102" s="131"/>
      <c r="DJ102" s="131"/>
      <c r="DK102" s="131"/>
      <c r="DL102" s="131"/>
      <c r="DM102" s="131"/>
      <c r="DN102" s="131"/>
      <c r="DO102" s="131"/>
      <c r="DP102" s="131"/>
      <c r="DQ102" s="131"/>
      <c r="DR102" s="131"/>
      <c r="DS102" s="131"/>
      <c r="DT102" s="131"/>
      <c r="DU102" s="131"/>
      <c r="DV102" s="131"/>
      <c r="DW102" s="131"/>
      <c r="DX102" s="131"/>
      <c r="DY102" s="131"/>
      <c r="DZ102" s="131"/>
      <c r="EA102" s="131"/>
      <c r="EB102" s="131"/>
      <c r="EC102" s="131"/>
      <c r="ED102" s="131"/>
      <c r="EE102" s="131"/>
      <c r="EF102" s="131"/>
      <c r="EG102" s="131"/>
      <c r="EH102" s="131"/>
      <c r="EI102" s="131"/>
      <c r="EJ102" s="131"/>
      <c r="EK102" s="131"/>
      <c r="EL102" s="131"/>
      <c r="EM102" s="131"/>
      <c r="EN102" s="131"/>
      <c r="EO102" s="131"/>
      <c r="EP102" s="131"/>
      <c r="EQ102" s="131"/>
      <c r="ER102" s="131"/>
      <c r="ES102" s="131"/>
      <c r="ET102" s="131"/>
      <c r="EU102" s="131"/>
      <c r="EV102" s="131"/>
      <c r="EW102" s="131"/>
      <c r="EX102" s="131"/>
      <c r="EY102" s="131"/>
      <c r="EZ102" s="131"/>
      <c r="FA102" s="131"/>
      <c r="FB102" s="131"/>
      <c r="FC102" s="131"/>
      <c r="FD102" s="131"/>
      <c r="FE102" s="131"/>
      <c r="FF102" s="131"/>
      <c r="FG102" s="131"/>
      <c r="FH102" s="131"/>
      <c r="FI102" s="131"/>
      <c r="FJ102" s="131"/>
      <c r="FK102" s="131"/>
      <c r="FL102" s="131"/>
      <c r="FM102" s="131"/>
      <c r="FN102" s="131"/>
      <c r="FO102" s="131"/>
      <c r="FP102" s="131"/>
      <c r="FQ102" s="131"/>
      <c r="FR102" s="131"/>
      <c r="FS102" s="131"/>
      <c r="FT102" s="131"/>
      <c r="FU102" s="131"/>
    </row>
    <row r="103" spans="1:179" s="8" customFormat="1" ht="12" customHeight="1" x14ac:dyDescent="0.3">
      <c r="A103" s="133"/>
      <c r="N103" s="1100" t="s">
        <v>144</v>
      </c>
      <c r="Q103" s="511"/>
      <c r="AA103" s="4"/>
      <c r="AB103" s="4"/>
      <c r="AC103" s="4"/>
      <c r="AD103" s="516"/>
      <c r="AE103" s="516"/>
      <c r="AF103" s="516"/>
      <c r="AG103" s="516"/>
      <c r="AH103" s="516"/>
      <c r="AI103" s="516"/>
      <c r="AJ103" s="516"/>
      <c r="AK103" s="4"/>
      <c r="CL103" s="131"/>
      <c r="CM103" s="131"/>
      <c r="CN103" s="131"/>
      <c r="CO103" s="131"/>
      <c r="CP103" s="131"/>
      <c r="CQ103" s="131"/>
      <c r="CR103" s="131"/>
      <c r="CS103" s="131"/>
      <c r="CT103" s="131"/>
      <c r="CU103" s="131"/>
      <c r="CV103" s="131"/>
      <c r="CW103" s="131"/>
      <c r="CX103" s="131"/>
      <c r="CY103" s="131"/>
      <c r="CZ103" s="131"/>
      <c r="DA103" s="131"/>
      <c r="DB103" s="131"/>
      <c r="DC103" s="131"/>
      <c r="DD103" s="131"/>
      <c r="DE103" s="131"/>
      <c r="DF103" s="131"/>
      <c r="DG103" s="131"/>
      <c r="DH103" s="131"/>
      <c r="DI103" s="131"/>
      <c r="DJ103" s="131"/>
      <c r="DK103" s="131"/>
      <c r="DL103" s="131"/>
      <c r="DM103" s="131"/>
      <c r="DN103" s="131"/>
      <c r="DO103" s="131"/>
      <c r="DP103" s="131"/>
      <c r="DQ103" s="131"/>
      <c r="DR103" s="131"/>
      <c r="DS103" s="131"/>
      <c r="DT103" s="131"/>
      <c r="DU103" s="131"/>
      <c r="DV103" s="131"/>
      <c r="DW103" s="131"/>
      <c r="DX103" s="131"/>
      <c r="DY103" s="131"/>
      <c r="DZ103" s="131"/>
      <c r="EA103" s="131"/>
      <c r="EB103" s="131"/>
      <c r="EC103" s="131"/>
      <c r="ED103" s="131"/>
      <c r="EE103" s="131"/>
      <c r="EF103" s="131"/>
      <c r="EG103" s="131"/>
      <c r="EH103" s="131"/>
      <c r="EI103" s="131"/>
      <c r="EJ103" s="131"/>
      <c r="EK103" s="131"/>
      <c r="EL103" s="131"/>
      <c r="EM103" s="131"/>
      <c r="EN103" s="131"/>
      <c r="EO103" s="131"/>
      <c r="EP103" s="131"/>
      <c r="EQ103" s="131"/>
      <c r="ER103" s="131"/>
      <c r="ES103" s="131"/>
      <c r="ET103" s="131"/>
      <c r="EU103" s="131"/>
      <c r="EV103" s="131"/>
      <c r="EW103" s="131"/>
      <c r="EX103" s="131"/>
      <c r="EY103" s="131"/>
      <c r="EZ103" s="131"/>
      <c r="FA103" s="131"/>
      <c r="FB103" s="131"/>
      <c r="FC103" s="131"/>
      <c r="FD103" s="131"/>
      <c r="FE103" s="131"/>
      <c r="FF103" s="131"/>
      <c r="FG103" s="131"/>
      <c r="FH103" s="131"/>
      <c r="FI103" s="131"/>
      <c r="FJ103" s="131"/>
      <c r="FK103" s="131"/>
      <c r="FL103" s="131"/>
      <c r="FM103" s="131"/>
      <c r="FN103" s="131"/>
      <c r="FO103" s="131"/>
      <c r="FP103" s="131"/>
      <c r="FQ103" s="131"/>
      <c r="FR103" s="131"/>
      <c r="FS103" s="131"/>
      <c r="FT103" s="131"/>
      <c r="FU103" s="131"/>
    </row>
    <row r="104" spans="1:179" s="8" customFormat="1" ht="12" customHeight="1" thickBot="1" x14ac:dyDescent="0.35">
      <c r="A104" s="133"/>
      <c r="I104" s="1365" t="s">
        <v>145</v>
      </c>
      <c r="K104" s="1100" t="s">
        <v>139</v>
      </c>
      <c r="L104" s="1100" t="s">
        <v>146</v>
      </c>
      <c r="M104" s="1100" t="s">
        <v>147</v>
      </c>
      <c r="N104" s="1100" t="s">
        <v>148</v>
      </c>
      <c r="AA104" s="4"/>
      <c r="AB104" s="4"/>
      <c r="AC104" s="4"/>
      <c r="AD104" s="516"/>
      <c r="AE104" s="516"/>
      <c r="AF104" s="516"/>
      <c r="AG104" s="516"/>
      <c r="AH104" s="516"/>
      <c r="AI104" s="516"/>
      <c r="AJ104" s="516"/>
      <c r="AK104" s="4"/>
      <c r="CL104" s="131"/>
      <c r="CM104" s="131"/>
      <c r="CN104" s="131"/>
      <c r="CO104" s="131"/>
      <c r="CP104" s="131"/>
      <c r="CQ104" s="131"/>
      <c r="CR104" s="131"/>
      <c r="CS104" s="131"/>
      <c r="CT104" s="131"/>
      <c r="CU104" s="131"/>
      <c r="CV104" s="131"/>
      <c r="CW104" s="131"/>
      <c r="CX104" s="131"/>
      <c r="CY104" s="131"/>
      <c r="CZ104" s="131"/>
      <c r="DA104" s="131"/>
      <c r="DB104" s="131"/>
      <c r="DC104" s="131"/>
      <c r="DD104" s="131"/>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c r="EA104" s="13"/>
      <c r="EB104" s="13"/>
      <c r="EC104" s="13"/>
      <c r="ED104" s="13"/>
      <c r="EE104" s="13"/>
      <c r="EF104" s="13"/>
      <c r="EG104" s="13"/>
      <c r="EH104" s="13"/>
      <c r="EI104" s="13"/>
      <c r="EJ104" s="13"/>
      <c r="EK104" s="13"/>
      <c r="EL104" s="13"/>
      <c r="EM104" s="13"/>
      <c r="EN104" s="13"/>
      <c r="EO104" s="13"/>
      <c r="EP104" s="13"/>
      <c r="EQ104" s="13"/>
      <c r="ER104" s="13"/>
      <c r="ES104" s="13"/>
      <c r="ET104" s="13"/>
      <c r="EU104" s="13"/>
      <c r="EV104" s="13"/>
      <c r="EW104" s="13"/>
      <c r="EX104" s="13"/>
      <c r="EY104" s="13"/>
      <c r="EZ104" s="13"/>
      <c r="FA104" s="13"/>
      <c r="FB104" s="13"/>
      <c r="FC104" s="13"/>
      <c r="FD104" s="13"/>
      <c r="FE104" s="13"/>
      <c r="FF104" s="13"/>
      <c r="FG104" s="13"/>
      <c r="FH104" s="13"/>
      <c r="FI104" s="13"/>
      <c r="FJ104" s="13"/>
      <c r="FK104" s="13"/>
      <c r="FL104" s="13"/>
      <c r="FM104" s="13"/>
      <c r="FN104" s="13"/>
      <c r="FO104" s="13"/>
      <c r="FP104" s="13"/>
    </row>
    <row r="105" spans="1:179" s="8" customFormat="1" ht="12" customHeight="1" thickBot="1" x14ac:dyDescent="0.35">
      <c r="A105" s="133"/>
      <c r="I105" s="1363" t="str">
        <f>IF(DM3=2,"Show","Hide")</f>
        <v>Show</v>
      </c>
      <c r="K105" s="1401">
        <f>O102</f>
        <v>0.13700000000000001</v>
      </c>
      <c r="L105" s="1402">
        <v>7.4999999999999997E-2</v>
      </c>
      <c r="M105" s="1402">
        <v>0.05</v>
      </c>
      <c r="N105" s="1403">
        <v>0.25</v>
      </c>
      <c r="P105" s="561" t="s">
        <v>59</v>
      </c>
      <c r="AA105" s="4"/>
      <c r="AB105" s="4"/>
      <c r="AC105" s="4"/>
      <c r="AD105" s="516"/>
      <c r="AE105" s="516"/>
      <c r="AF105" s="516"/>
      <c r="AG105" s="516"/>
      <c r="AH105" s="516"/>
      <c r="AI105" s="516"/>
      <c r="AJ105" s="516"/>
      <c r="AK105" s="4"/>
      <c r="CL105" s="131"/>
      <c r="CM105" s="131"/>
      <c r="CN105" s="131"/>
      <c r="CO105" s="131"/>
      <c r="CP105" s="131"/>
      <c r="CQ105" s="131"/>
      <c r="CR105" s="131"/>
      <c r="CS105" s="131"/>
      <c r="CT105" s="131"/>
      <c r="CU105" s="131"/>
      <c r="CV105" s="131"/>
      <c r="CW105" s="131"/>
      <c r="CX105" s="131"/>
      <c r="CY105" s="131"/>
      <c r="CZ105" s="131"/>
      <c r="DA105" s="131"/>
      <c r="DB105" s="131"/>
      <c r="DC105" s="131"/>
      <c r="DD105" s="131"/>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c r="EE105" s="13"/>
      <c r="EF105" s="13"/>
      <c r="EG105" s="13"/>
      <c r="EH105" s="13"/>
      <c r="EI105" s="13"/>
      <c r="EJ105" s="13"/>
      <c r="EK105" s="13"/>
      <c r="EL105" s="13"/>
      <c r="EM105" s="13"/>
      <c r="EN105" s="13"/>
      <c r="EO105" s="13"/>
      <c r="EP105" s="13"/>
      <c r="EQ105" s="13"/>
      <c r="ER105" s="13"/>
      <c r="ES105" s="13"/>
      <c r="ET105" s="13"/>
      <c r="EU105" s="13"/>
      <c r="EV105" s="13"/>
      <c r="EW105" s="13"/>
      <c r="EX105" s="13"/>
      <c r="EY105" s="13"/>
      <c r="EZ105" s="13"/>
      <c r="FA105" s="13"/>
      <c r="FB105" s="13"/>
      <c r="FC105" s="13"/>
      <c r="FD105" s="13"/>
      <c r="FE105" s="13"/>
      <c r="FF105" s="13"/>
      <c r="FG105" s="13"/>
      <c r="FH105" s="13"/>
      <c r="FI105" s="13"/>
      <c r="FJ105" s="13"/>
      <c r="FK105" s="13"/>
      <c r="FL105" s="13"/>
      <c r="FM105" s="13"/>
      <c r="FN105" s="13"/>
      <c r="FO105" s="13"/>
      <c r="FP105" s="13"/>
    </row>
    <row r="106" spans="1:179" s="8" customFormat="1" ht="12" customHeight="1" thickBot="1" x14ac:dyDescent="0.35">
      <c r="A106" s="133"/>
      <c r="F106" s="558" t="s">
        <v>149</v>
      </c>
      <c r="K106" s="11"/>
      <c r="L106" s="11"/>
      <c r="M106" s="11"/>
      <c r="N106" s="1101"/>
      <c r="AA106" s="4"/>
      <c r="AB106" s="4"/>
      <c r="AC106" s="4"/>
      <c r="AD106" s="516"/>
      <c r="AE106" s="516"/>
      <c r="AF106" s="516"/>
      <c r="AG106" s="516"/>
      <c r="AH106" s="516"/>
      <c r="AI106" s="516"/>
      <c r="AJ106" s="516"/>
      <c r="AK106" s="4"/>
      <c r="CC106" s="131"/>
      <c r="CD106" s="131"/>
      <c r="CE106" s="131"/>
      <c r="CF106" s="131"/>
      <c r="CG106" s="131"/>
      <c r="CH106" s="131"/>
      <c r="CI106" s="131"/>
      <c r="CJ106" s="131"/>
      <c r="CK106" s="131"/>
      <c r="CL106" s="131"/>
      <c r="CM106" s="131"/>
      <c r="CN106" s="131"/>
      <c r="CO106" s="131"/>
      <c r="CP106" s="131"/>
      <c r="CQ106" s="131"/>
      <c r="CR106" s="131"/>
      <c r="CS106" s="131"/>
      <c r="CT106" s="131"/>
      <c r="CU106" s="131"/>
      <c r="CV106" s="131"/>
      <c r="CW106" s="131"/>
      <c r="CX106" s="131"/>
      <c r="CY106" s="131"/>
      <c r="CZ106" s="131"/>
      <c r="DA106" s="131"/>
      <c r="DB106" s="131"/>
      <c r="DC106" s="131"/>
      <c r="DD106" s="131"/>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K106" s="13"/>
      <c r="EL106" s="13"/>
      <c r="EM106" s="13"/>
      <c r="EN106" s="13"/>
      <c r="EO106" s="13"/>
      <c r="EP106" s="13"/>
      <c r="EQ106" s="13"/>
      <c r="ER106" s="13"/>
      <c r="ES106" s="13"/>
      <c r="ET106" s="13"/>
      <c r="EU106" s="13"/>
      <c r="EV106" s="13"/>
      <c r="EW106" s="13"/>
      <c r="EX106" s="13"/>
      <c r="EY106" s="13"/>
      <c r="EZ106" s="13"/>
      <c r="FA106" s="13"/>
      <c r="FB106" s="13"/>
      <c r="FC106" s="13"/>
      <c r="FD106" s="13"/>
      <c r="FE106" s="13"/>
      <c r="FF106" s="13"/>
      <c r="FG106" s="13"/>
      <c r="FH106" s="13"/>
      <c r="FI106" s="13"/>
      <c r="FJ106" s="13"/>
      <c r="FK106" s="13"/>
      <c r="FL106" s="13"/>
      <c r="FM106" s="13"/>
      <c r="FN106" s="13"/>
      <c r="FO106" s="13"/>
      <c r="FP106" s="13"/>
      <c r="FW106" s="131"/>
    </row>
    <row r="107" spans="1:179" s="8" customFormat="1" ht="12" customHeight="1" thickBot="1" x14ac:dyDescent="0.35">
      <c r="A107" s="133"/>
      <c r="D107" s="107" t="s">
        <v>150</v>
      </c>
      <c r="F107" s="592">
        <v>4</v>
      </c>
      <c r="G107" s="10" t="s">
        <v>151</v>
      </c>
      <c r="H107" s="10" t="s">
        <v>137</v>
      </c>
      <c r="I107" s="10" t="s">
        <v>138</v>
      </c>
      <c r="J107" s="10" t="s">
        <v>59</v>
      </c>
      <c r="K107" s="19" t="s">
        <v>139</v>
      </c>
      <c r="L107" s="19" t="s">
        <v>146</v>
      </c>
      <c r="M107" s="19" t="s">
        <v>152</v>
      </c>
      <c r="N107" s="19" t="s">
        <v>153</v>
      </c>
      <c r="P107" s="474">
        <f>P88</f>
        <v>0</v>
      </c>
      <c r="Q107" s="474">
        <f>Q88</f>
        <v>59</v>
      </c>
      <c r="R107" s="474">
        <f>R88</f>
        <v>91</v>
      </c>
      <c r="S107" s="474">
        <f>S88</f>
        <v>121</v>
      </c>
      <c r="T107" s="474">
        <f>T88</f>
        <v>152</v>
      </c>
      <c r="U107" s="474">
        <f>U88</f>
        <v>182</v>
      </c>
      <c r="V107" s="474">
        <f>V88</f>
        <v>213</v>
      </c>
      <c r="W107" s="474">
        <f>W88</f>
        <v>244</v>
      </c>
      <c r="X107" s="474">
        <f>X88</f>
        <v>274</v>
      </c>
      <c r="Y107" s="474">
        <f>Y88</f>
        <v>305</v>
      </c>
      <c r="Z107" s="474">
        <f>Z88</f>
        <v>335</v>
      </c>
      <c r="AA107" s="474">
        <f>AA88</f>
        <v>366</v>
      </c>
      <c r="AB107" s="474">
        <f>AB88</f>
        <v>397</v>
      </c>
      <c r="AC107" s="474">
        <f>AC88</f>
        <v>425</v>
      </c>
      <c r="AD107" s="474">
        <f>AD88</f>
        <v>456</v>
      </c>
      <c r="AE107" s="474">
        <f>AE88</f>
        <v>486</v>
      </c>
      <c r="AF107" s="474">
        <f>AF88</f>
        <v>517</v>
      </c>
      <c r="AG107" s="474">
        <f>AG88</f>
        <v>547</v>
      </c>
      <c r="AH107" s="474">
        <f>AH88</f>
        <v>578</v>
      </c>
      <c r="AI107" s="474">
        <f>AI88</f>
        <v>609</v>
      </c>
      <c r="AJ107" s="474">
        <f>AJ88</f>
        <v>639</v>
      </c>
      <c r="AK107" s="474">
        <f>AK88</f>
        <v>670</v>
      </c>
      <c r="AL107" s="474">
        <f>AL88</f>
        <v>700</v>
      </c>
      <c r="AM107" s="474">
        <f>AM88</f>
        <v>731</v>
      </c>
      <c r="AN107" s="474">
        <f>AN88</f>
        <v>762</v>
      </c>
      <c r="AO107" s="474">
        <f>AO88</f>
        <v>790</v>
      </c>
      <c r="AP107" s="474">
        <f>AP88</f>
        <v>821</v>
      </c>
      <c r="AQ107" s="474">
        <f>AQ88</f>
        <v>851</v>
      </c>
      <c r="AR107" s="474">
        <f>AR88</f>
        <v>882</v>
      </c>
      <c r="AS107" s="474">
        <f>AS88</f>
        <v>912</v>
      </c>
      <c r="AT107" s="474">
        <f>AT88</f>
        <v>943</v>
      </c>
      <c r="AU107" s="474">
        <f>AU88</f>
        <v>974</v>
      </c>
      <c r="AV107" s="474">
        <f>AV88</f>
        <v>1004</v>
      </c>
      <c r="AW107" s="474">
        <f>AW88</f>
        <v>1035</v>
      </c>
      <c r="AX107" s="474">
        <f>AX88</f>
        <v>1065</v>
      </c>
      <c r="AY107" s="474">
        <f>AY88</f>
        <v>1096</v>
      </c>
      <c r="AZ107" s="474">
        <f>AZ88</f>
        <v>1127</v>
      </c>
      <c r="BA107" s="474">
        <f>BA88</f>
        <v>1155</v>
      </c>
      <c r="BB107" s="474">
        <f>BB88</f>
        <v>1186</v>
      </c>
      <c r="BC107" s="474">
        <f>BC88</f>
        <v>1216</v>
      </c>
      <c r="BD107" s="474">
        <f>BD88</f>
        <v>1247</v>
      </c>
      <c r="BE107" s="474">
        <f>BE88</f>
        <v>1277</v>
      </c>
      <c r="BF107" s="474">
        <f>BF88</f>
        <v>1308</v>
      </c>
      <c r="BG107" s="474">
        <f>BG88</f>
        <v>1339</v>
      </c>
      <c r="BH107" s="474">
        <f>BH88</f>
        <v>1369</v>
      </c>
      <c r="BI107" s="474">
        <f>BI88</f>
        <v>1400</v>
      </c>
      <c r="BJ107" s="474">
        <f>BJ88</f>
        <v>1430</v>
      </c>
      <c r="BK107" s="474">
        <f>BK88</f>
        <v>1461</v>
      </c>
      <c r="BL107" s="474">
        <f>BL88</f>
        <v>1492</v>
      </c>
      <c r="BM107" s="474">
        <f>BM88</f>
        <v>1521</v>
      </c>
      <c r="BN107" s="474">
        <f>BN88</f>
        <v>1552</v>
      </c>
      <c r="BO107" s="474">
        <f>BO88</f>
        <v>1582</v>
      </c>
      <c r="BP107" s="474">
        <f>BP88</f>
        <v>1613</v>
      </c>
      <c r="BQ107" s="474">
        <f>BQ88</f>
        <v>1643</v>
      </c>
      <c r="BR107" s="474">
        <f>BR88</f>
        <v>1674</v>
      </c>
      <c r="BS107" s="474">
        <f>BS88</f>
        <v>1705</v>
      </c>
      <c r="BT107" s="474">
        <f>BT88</f>
        <v>1735</v>
      </c>
      <c r="BU107" s="474">
        <f>BU88</f>
        <v>1766</v>
      </c>
      <c r="BV107" s="474">
        <f>BV88</f>
        <v>1796</v>
      </c>
      <c r="BW107" s="474">
        <f>BW88</f>
        <v>1827</v>
      </c>
      <c r="CC107" s="131"/>
      <c r="CD107" s="131"/>
      <c r="CE107" s="131"/>
      <c r="CF107" s="131"/>
      <c r="CG107" s="131"/>
      <c r="CH107" s="131"/>
      <c r="CI107" s="131"/>
      <c r="CJ107" s="131"/>
      <c r="CK107" s="131"/>
      <c r="CL107" s="131"/>
      <c r="CM107" s="131"/>
      <c r="CN107" s="131"/>
      <c r="CO107" s="131"/>
      <c r="CP107" s="131"/>
      <c r="CQ107" s="131"/>
      <c r="CR107" s="131"/>
      <c r="CS107" s="131"/>
      <c r="CT107" s="131"/>
      <c r="CU107" s="131"/>
      <c r="CV107" s="131"/>
      <c r="CW107" s="131"/>
      <c r="CX107" s="131"/>
      <c r="CY107" s="131"/>
      <c r="CZ107" s="131"/>
      <c r="DA107" s="131"/>
      <c r="DB107" s="131"/>
      <c r="DC107" s="131"/>
      <c r="DD107" s="131"/>
    </row>
    <row r="108" spans="1:179" s="8" customFormat="1" ht="12" customHeight="1" thickBot="1" x14ac:dyDescent="0.4">
      <c r="A108" s="133">
        <v>1</v>
      </c>
      <c r="B108" s="1710" t="str">
        <f>IF(Infrastructure!AI36="Yes","(Unhide selected rows)","")</f>
        <v/>
      </c>
      <c r="C108" s="9" t="str">
        <f>A108&amp;" "</f>
        <v xml:space="preserve">1 </v>
      </c>
      <c r="D108" s="1850" t="inlineStr">
        <is>
          <t>Founder / GM</t>
        </is>
      </c>
      <c r="E108" s="1851"/>
      <c r="F108" s="1852"/>
      <c r="G108" s="588">
        <v>6500</v>
      </c>
      <c r="H108" s="618">
        <v>46418</v>
      </c>
      <c r="I108" s="618">
        <v>48213</v>
      </c>
      <c r="J108" s="1054">
        <v>1</v>
      </c>
      <c r="K108" s="1056">
        <f>IF(I108&lt;&gt;"",$O$102,0)</f>
        <v>0</v>
      </c>
      <c r="L108" s="1056">
        <f>IF(I108&lt;&gt;"",L105,0)</f>
        <v>0</v>
      </c>
      <c r="M108" s="1060">
        <f>IF(I108&lt;&gt;"",M105,0)</f>
        <v>0</v>
      </c>
      <c r="N108" s="1000"/>
      <c r="P108" s="1080">
        <f>IF(OR($H108="",$I108=""),0,IF(OR(P$107&lt;$H108,P$107&gt;$I108),0,$J108))</f>
        <v>0</v>
      </c>
      <c r="Q108" s="1081">
        <f>IF(OR($H108="",$I108=""),0,IF(OR(Q$107&lt;$H108,Q$107&gt;$I108),0,$J108))</f>
        <v>0</v>
      </c>
      <c r="R108" s="1081">
        <f>IF(OR($H108="",$I108=""),0,IF(OR(R$107&lt;$H108,R$107&gt;$I108),0,$J108))</f>
        <v>0</v>
      </c>
      <c r="S108" s="1081">
        <f>IF(OR($H108="",$I108=""),0,IF(OR(S$107&lt;$H108,S$107&gt;$I108),0,$J108))</f>
        <v>0</v>
      </c>
      <c r="T108" s="1081">
        <f>IF(OR($H108="",$I108=""),0,IF(OR(T$107&lt;$H108,T$107&gt;$I108),0,$J108))</f>
        <v>0</v>
      </c>
      <c r="U108" s="1081">
        <f>IF(OR($H108="",$I108=""),0,IF(OR(U$107&lt;$H108,U$107&gt;$I108),0,$J108))</f>
        <v>0</v>
      </c>
      <c r="V108" s="1081">
        <f>IF(OR($H108="",$I108=""),0,IF(OR(V$107&lt;$H108,V$107&gt;$I108),0,$J108))</f>
        <v>0</v>
      </c>
      <c r="W108" s="1081">
        <f>IF(OR($H108="",$I108=""),0,IF(OR(W$107&lt;$H108,W$107&gt;$I108),0,$J108))</f>
        <v>0</v>
      </c>
      <c r="X108" s="1081">
        <f>IF(OR($H108="",$I108=""),0,IF(OR(X$107&lt;$H108,X$107&gt;$I108),0,$J108))</f>
        <v>0</v>
      </c>
      <c r="Y108" s="1081">
        <f>IF(OR($H108="",$I108=""),0,IF(OR(Y$107&lt;$H108,Y$107&gt;$I108),0,$J108))</f>
        <v>0</v>
      </c>
      <c r="Z108" s="1081">
        <f>IF(OR($H108="",$I108=""),0,IF(OR(Z$107&lt;$H108,Z$107&gt;$I108),0,$J108))</f>
        <v>0</v>
      </c>
      <c r="AA108" s="1081">
        <f>IF(OR($H108="",$I108=""),0,IF(OR(AA$107&lt;$H108,AA$107&gt;$I108),0,$J108))</f>
        <v>0</v>
      </c>
      <c r="AB108" s="1081">
        <f>IF(OR($H108="",$I108=""),0,IF(OR(AB$107&lt;$H108,AB$107&gt;$I108),0,$J108))</f>
        <v>0</v>
      </c>
      <c r="AC108" s="1081">
        <f>IF(OR($H108="",$I108=""),0,IF(OR(AC$107&lt;$H108,AC$107&gt;$I108),0,$J108))</f>
        <v>0</v>
      </c>
      <c r="AD108" s="1081">
        <f>IF(OR($H108="",$I108=""),0,IF(OR(AD$107&lt;$H108,AD$107&gt;$I108),0,$J108))</f>
        <v>0</v>
      </c>
      <c r="AE108" s="1081">
        <f>IF(OR($H108="",$I108=""),0,IF(OR(AE$107&lt;$H108,AE$107&gt;$I108),0,$J108))</f>
        <v>0</v>
      </c>
      <c r="AF108" s="1081">
        <f>IF(OR($H108="",$I108=""),0,IF(OR(AF$107&lt;$H108,AF$107&gt;$I108),0,$J108))</f>
        <v>0</v>
      </c>
      <c r="AG108" s="1081">
        <f>IF(OR($H108="",$I108=""),0,IF(OR(AG$107&lt;$H108,AG$107&gt;$I108),0,$J108))</f>
        <v>0</v>
      </c>
      <c r="AH108" s="1081">
        <f>IF(OR($H108="",$I108=""),0,IF(OR(AH$107&lt;$H108,AH$107&gt;$I108),0,$J108))</f>
        <v>0</v>
      </c>
      <c r="AI108" s="1081">
        <f>IF(OR($H108="",$I108=""),0,IF(OR(AI$107&lt;$H108,AI$107&gt;$I108),0,$J108))</f>
        <v>0</v>
      </c>
      <c r="AJ108" s="1081">
        <f>IF(OR($H108="",$I108=""),0,IF(OR(AJ$107&lt;$H108,AJ$107&gt;$I108),0,$J108))</f>
        <v>0</v>
      </c>
      <c r="AK108" s="1081">
        <f>IF(OR($H108="",$I108=""),0,IF(OR(AK$107&lt;$H108,AK$107&gt;$I108),0,$J108))</f>
        <v>0</v>
      </c>
      <c r="AL108" s="1081">
        <f>IF(OR($H108="",$I108=""),0,IF(OR(AL$107&lt;$H108,AL$107&gt;$I108),0,$J108))</f>
        <v>0</v>
      </c>
      <c r="AM108" s="1081">
        <f>IF(OR($H108="",$I108=""),0,IF(OR(AM$107&lt;$H108,AM$107&gt;$I108),0,$J108))</f>
        <v>0</v>
      </c>
      <c r="AN108" s="1081">
        <f>IF(OR($H108="",$I108=""),0,IF(OR(AN$107&lt;$H108,AN$107&gt;$I108),0,$J108))</f>
        <v>0</v>
      </c>
      <c r="AO108" s="1081">
        <f>IF(OR($H108="",$I108=""),0,IF(OR(AO$107&lt;$H108,AO$107&gt;$I108),0,$J108))</f>
        <v>0</v>
      </c>
      <c r="AP108" s="1081">
        <f>IF(OR($H108="",$I108=""),0,IF(OR(AP$107&lt;$H108,AP$107&gt;$I108),0,$J108))</f>
        <v>0</v>
      </c>
      <c r="AQ108" s="1081">
        <f>IF(OR($H108="",$I108=""),0,IF(OR(AQ$107&lt;$H108,AQ$107&gt;$I108),0,$J108))</f>
        <v>0</v>
      </c>
      <c r="AR108" s="1081">
        <f>IF(OR($H108="",$I108=""),0,IF(OR(AR$107&lt;$H108,AR$107&gt;$I108),0,$J108))</f>
        <v>0</v>
      </c>
      <c r="AS108" s="1081">
        <f>IF(OR($H108="",$I108=""),0,IF(OR(AS$107&lt;$H108,AS$107&gt;$I108),0,$J108))</f>
        <v>0</v>
      </c>
      <c r="AT108" s="1081">
        <f>IF(OR($H108="",$I108=""),0,IF(OR(AT$107&lt;$H108,AT$107&gt;$I108),0,$J108))</f>
        <v>0</v>
      </c>
      <c r="AU108" s="1081">
        <f>IF(OR($H108="",$I108=""),0,IF(OR(AU$107&lt;$H108,AU$107&gt;$I108),0,$J108))</f>
        <v>0</v>
      </c>
      <c r="AV108" s="1081">
        <f>IF(OR($H108="",$I108=""),0,IF(OR(AV$107&lt;$H108,AV$107&gt;$I108),0,$J108))</f>
        <v>0</v>
      </c>
      <c r="AW108" s="1081">
        <f>IF(OR($H108="",$I108=""),0,IF(OR(AW$107&lt;$H108,AW$107&gt;$I108),0,$J108))</f>
        <v>0</v>
      </c>
      <c r="AX108" s="1081">
        <f>IF(OR($H108="",$I108=""),0,IF(OR(AX$107&lt;$H108,AX$107&gt;$I108),0,$J108))</f>
        <v>0</v>
      </c>
      <c r="AY108" s="1082">
        <f>IF(OR($H108="",$I108=""),0,IF(OR(AY$107&lt;$H108,AY$107&gt;$I108),0,$J108))</f>
        <v>0</v>
      </c>
      <c r="AZ108" s="1239">
        <f>IF(OR($H108="",$I108=""),0,IF(OR(AZ$107&lt;$H108,AZ$107&gt;$I108),0,$J108))</f>
        <v>0</v>
      </c>
      <c r="BA108" s="1081">
        <f>IF(OR($H108="",$I108=""),0,IF(OR(BA$107&lt;$H108,BA$107&gt;$I108),0,$J108))</f>
        <v>0</v>
      </c>
      <c r="BB108" s="1081">
        <f>IF(OR($H108="",$I108=""),0,IF(OR(BB$107&lt;$H108,BB$107&gt;$I108),0,$J108))</f>
        <v>0</v>
      </c>
      <c r="BC108" s="1081">
        <f>IF(OR($H108="",$I108=""),0,IF(OR(BC$107&lt;$H108,BC$107&gt;$I108),0,$J108))</f>
        <v>0</v>
      </c>
      <c r="BD108" s="1081">
        <f>IF(OR($H108="",$I108=""),0,IF(OR(BD$107&lt;$H108,BD$107&gt;$I108),0,$J108))</f>
        <v>0</v>
      </c>
      <c r="BE108" s="1081">
        <f>IF(OR($H108="",$I108=""),0,IF(OR(BE$107&lt;$H108,BE$107&gt;$I108),0,$J108))</f>
        <v>0</v>
      </c>
      <c r="BF108" s="1081">
        <f>IF(OR($H108="",$I108=""),0,IF(OR(BF$107&lt;$H108,BF$107&gt;$I108),0,$J108))</f>
        <v>0</v>
      </c>
      <c r="BG108" s="1081">
        <f>IF(OR($H108="",$I108=""),0,IF(OR(BG$107&lt;$H108,BG$107&gt;$I108),0,$J108))</f>
        <v>0</v>
      </c>
      <c r="BH108" s="1081">
        <f>IF(OR($H108="",$I108=""),0,IF(OR(BH$107&lt;$H108,BH$107&gt;$I108),0,$J108))</f>
        <v>0</v>
      </c>
      <c r="BI108" s="1081">
        <f>IF(OR($H108="",$I108=""),0,IF(OR(BI$107&lt;$H108,BI$107&gt;$I108),0,$J108))</f>
        <v>0</v>
      </c>
      <c r="BJ108" s="1081">
        <f>IF(OR($H108="",$I108=""),0,IF(OR(BJ$107&lt;$H108,BJ$107&gt;$I108),0,$J108))</f>
        <v>0</v>
      </c>
      <c r="BK108" s="1081">
        <f>IF(OR($H108="",$I108=""),0,IF(OR(BK$107&lt;$H108,BK$107&gt;$I108),0,$J108))</f>
        <v>0</v>
      </c>
      <c r="BL108" s="1081">
        <f>IF(OR($H108="",$I108=""),0,IF(OR(BL$107&lt;$H108,BL$107&gt;$I108),0,$J108))</f>
        <v>0</v>
      </c>
      <c r="BM108" s="1081">
        <f>IF(OR($H108="",$I108=""),0,IF(OR(BM$107&lt;$H108,BM$107&gt;$I108),0,$J108))</f>
        <v>0</v>
      </c>
      <c r="BN108" s="1081">
        <f>IF(OR($H108="",$I108=""),0,IF(OR(BN$107&lt;$H108,BN$107&gt;$I108),0,$J108))</f>
        <v>0</v>
      </c>
      <c r="BO108" s="1081">
        <f>IF(OR($H108="",$I108=""),0,IF(OR(BO$107&lt;$H108,BO$107&gt;$I108),0,$J108))</f>
        <v>0</v>
      </c>
      <c r="BP108" s="1081">
        <f>IF(OR($H108="",$I108=""),0,IF(OR(BP$107&lt;$H108,BP$107&gt;$I108),0,$J108))</f>
        <v>0</v>
      </c>
      <c r="BQ108" s="1081">
        <f>IF(OR($H108="",$I108=""),0,IF(OR(BQ$107&lt;$H108,BQ$107&gt;$I108),0,$J108))</f>
        <v>0</v>
      </c>
      <c r="BR108" s="1081">
        <f>IF(OR($H108="",$I108=""),0,IF(OR(BR$107&lt;$H108,BR$107&gt;$I108),0,$J108))</f>
        <v>0</v>
      </c>
      <c r="BS108" s="1081">
        <f>IF(OR($H108="",$I108=""),0,IF(OR(BS$107&lt;$H108,BS$107&gt;$I108),0,$J108))</f>
        <v>0</v>
      </c>
      <c r="BT108" s="1081">
        <f>IF(OR($H108="",$I108=""),0,IF(OR(BT$107&lt;$H108,BT$107&gt;$I108),0,$J108))</f>
        <v>0</v>
      </c>
      <c r="BU108" s="1081">
        <f>IF(OR($H108="",$I108=""),0,IF(OR(BU$107&lt;$H108,BU$107&gt;$I108),0,$J108))</f>
        <v>0</v>
      </c>
      <c r="BV108" s="1081">
        <f>IF(OR($H108="",$I108=""),0,IF(OR(BV$107&lt;$H108,BV$107&gt;$I108),0,$J108))</f>
        <v>0</v>
      </c>
      <c r="BW108" s="1082">
        <f>IF(OR($H108="",$I108=""),0,IF(OR(BW$107&lt;$H108,BW$107&gt;$I108),0,$J108))</f>
        <v>0</v>
      </c>
      <c r="CC108" s="131"/>
      <c r="CD108" s="131"/>
      <c r="CE108" s="131"/>
      <c r="CF108" s="131"/>
      <c r="CG108" s="131"/>
      <c r="CH108" s="131"/>
      <c r="CI108" s="131"/>
      <c r="CJ108" s="131"/>
      <c r="CK108" s="131"/>
      <c r="CL108" s="131"/>
      <c r="CM108" s="131"/>
      <c r="CN108" s="131"/>
      <c r="CO108" s="131"/>
      <c r="CP108" s="131"/>
      <c r="CQ108" s="131"/>
      <c r="CR108" s="131"/>
      <c r="CS108" s="131"/>
      <c r="CT108" s="131"/>
      <c r="CU108" s="131"/>
      <c r="CV108" s="131"/>
      <c r="CW108" s="131"/>
      <c r="CX108" s="131"/>
      <c r="CY108" s="131"/>
      <c r="CZ108" s="131"/>
      <c r="DA108" s="131"/>
      <c r="DB108" s="131"/>
      <c r="DC108" s="131"/>
      <c r="DD108" s="131"/>
    </row>
    <row r="109" spans="1:179" s="8" customFormat="1" ht="12" customHeight="1" thickBot="1" x14ac:dyDescent="0.4">
      <c r="A109" s="133">
        <v>2</v>
      </c>
      <c r="B109" s="1711" t="str">
        <f>IF(A109&gt;F$107,"{Can hide row}","")</f>
        <v/>
      </c>
      <c r="C109" s="9" t="str">
        <f>A109&amp;" "</f>
        <v xml:space="preserve">2 </v>
      </c>
      <c r="D109" s="1843" t="inlineStr">
        <is>
          <t>Head Roaster</t>
        </is>
      </c>
      <c r="E109" s="1844"/>
      <c r="F109" s="1845"/>
      <c r="G109" s="590">
        <v>4800</v>
      </c>
      <c r="H109" s="616">
        <v>46446</v>
      </c>
      <c r="I109" s="616">
        <v>48213</v>
      </c>
      <c r="J109" s="1055">
        <v>1</v>
      </c>
      <c r="K109" s="1048">
        <f>IF(I109&lt;&gt;"",$O$102,0)</f>
        <v>0</v>
      </c>
      <c r="L109" s="1050">
        <f>IF(I109&lt;&gt;"",L108,0)</f>
        <v>0</v>
      </c>
      <c r="M109" s="1049">
        <f>IF(I109&lt;&gt;"",M108,0)</f>
        <v>0</v>
      </c>
      <c r="N109" s="1001"/>
      <c r="P109" s="1083">
        <f>IF(OR($H109="",$I109=""),0,IF(OR(P$107&lt;$H109,P$107&gt;$I109),0,$J109))</f>
        <v>0</v>
      </c>
      <c r="Q109" s="1084">
        <f>IF(OR($H109="",$I109=""),0,IF(OR(Q$107&lt;$H109,Q$107&gt;$I109),0,$J109))</f>
        <v>0</v>
      </c>
      <c r="R109" s="1084">
        <f>IF(OR($H109="",$I109=""),0,IF(OR(R$107&lt;$H109,R$107&gt;$I109),0,$J109))</f>
        <v>0</v>
      </c>
      <c r="S109" s="1084">
        <f>IF(OR($H109="",$I109=""),0,IF(OR(S$107&lt;$H109,S$107&gt;$I109),0,$J109))</f>
        <v>0</v>
      </c>
      <c r="T109" s="1084">
        <f>IF(OR($H109="",$I109=""),0,IF(OR(T$107&lt;$H109,T$107&gt;$I109),0,$J109))</f>
        <v>0</v>
      </c>
      <c r="U109" s="1084">
        <f>IF(OR($H109="",$I109=""),0,IF(OR(U$107&lt;$H109,U$107&gt;$I109),0,$J109))</f>
        <v>0</v>
      </c>
      <c r="V109" s="1084">
        <f>IF(OR($H109="",$I109=""),0,IF(OR(V$107&lt;$H109,V$107&gt;$I109),0,$J109))</f>
        <v>0</v>
      </c>
      <c r="W109" s="1084">
        <f>IF(OR($H109="",$I109=""),0,IF(OR(W$107&lt;$H109,W$107&gt;$I109),0,$J109))</f>
        <v>0</v>
      </c>
      <c r="X109" s="1084">
        <f>IF(OR($H109="",$I109=""),0,IF(OR(X$107&lt;$H109,X$107&gt;$I109),0,$J109))</f>
        <v>0</v>
      </c>
      <c r="Y109" s="1084">
        <f>IF(OR($H109="",$I109=""),0,IF(OR(Y$107&lt;$H109,Y$107&gt;$I109),0,$J109))</f>
        <v>0</v>
      </c>
      <c r="Z109" s="1084">
        <f>IF(OR($H109="",$I109=""),0,IF(OR(Z$107&lt;$H109,Z$107&gt;$I109),0,$J109))</f>
        <v>0</v>
      </c>
      <c r="AA109" s="1084">
        <f>IF(OR($H109="",$I109=""),0,IF(OR(AA$107&lt;$H109,AA$107&gt;$I109),0,$J109))</f>
        <v>0</v>
      </c>
      <c r="AB109" s="1084">
        <f>IF(OR($H109="",$I109=""),0,IF(OR(AB$107&lt;$H109,AB$107&gt;$I109),0,$J109))</f>
        <v>0</v>
      </c>
      <c r="AC109" s="1084">
        <f>IF(OR($H109="",$I109=""),0,IF(OR(AC$107&lt;$H109,AC$107&gt;$I109),0,$J109))</f>
        <v>0</v>
      </c>
      <c r="AD109" s="1084">
        <f>IF(OR($H109="",$I109=""),0,IF(OR(AD$107&lt;$H109,AD$107&gt;$I109),0,$J109))</f>
        <v>0</v>
      </c>
      <c r="AE109" s="1084">
        <f>IF(OR($H109="",$I109=""),0,IF(OR(AE$107&lt;$H109,AE$107&gt;$I109),0,$J109))</f>
        <v>0</v>
      </c>
      <c r="AF109" s="1084">
        <f>IF(OR($H109="",$I109=""),0,IF(OR(AF$107&lt;$H109,AF$107&gt;$I109),0,$J109))</f>
        <v>0</v>
      </c>
      <c r="AG109" s="1084">
        <f>IF(OR($H109="",$I109=""),0,IF(OR(AG$107&lt;$H109,AG$107&gt;$I109),0,$J109))</f>
        <v>0</v>
      </c>
      <c r="AH109" s="1084">
        <f>IF(OR($H109="",$I109=""),0,IF(OR(AH$107&lt;$H109,AH$107&gt;$I109),0,$J109))</f>
        <v>0</v>
      </c>
      <c r="AI109" s="1084">
        <f>IF(OR($H109="",$I109=""),0,IF(OR(AI$107&lt;$H109,AI$107&gt;$I109),0,$J109))</f>
        <v>0</v>
      </c>
      <c r="AJ109" s="1084">
        <f>IF(OR($H109="",$I109=""),0,IF(OR(AJ$107&lt;$H109,AJ$107&gt;$I109),0,$J109))</f>
        <v>0</v>
      </c>
      <c r="AK109" s="1084">
        <f>IF(OR($H109="",$I109=""),0,IF(OR(AK$107&lt;$H109,AK$107&gt;$I109),0,$J109))</f>
        <v>0</v>
      </c>
      <c r="AL109" s="1084">
        <f>IF(OR($H109="",$I109=""),0,IF(OR(AL$107&lt;$H109,AL$107&gt;$I109),0,$J109))</f>
        <v>0</v>
      </c>
      <c r="AM109" s="1084">
        <f>IF(OR($H109="",$I109=""),0,IF(OR(AM$107&lt;$H109,AM$107&gt;$I109),0,$J109))</f>
        <v>0</v>
      </c>
      <c r="AN109" s="1084">
        <f>IF(OR($H109="",$I109=""),0,IF(OR(AN$107&lt;$H109,AN$107&gt;$I109),0,$J109))</f>
        <v>0</v>
      </c>
      <c r="AO109" s="1084">
        <f>IF(OR($H109="",$I109=""),0,IF(OR(AO$107&lt;$H109,AO$107&gt;$I109),0,$J109))</f>
        <v>0</v>
      </c>
      <c r="AP109" s="1084">
        <f>IF(OR($H109="",$I109=""),0,IF(OR(AP$107&lt;$H109,AP$107&gt;$I109),0,$J109))</f>
        <v>0</v>
      </c>
      <c r="AQ109" s="1084">
        <f>IF(OR($H109="",$I109=""),0,IF(OR(AQ$107&lt;$H109,AQ$107&gt;$I109),0,$J109))</f>
        <v>0</v>
      </c>
      <c r="AR109" s="1084">
        <f>IF(OR($H109="",$I109=""),0,IF(OR(AR$107&lt;$H109,AR$107&gt;$I109),0,$J109))</f>
        <v>0</v>
      </c>
      <c r="AS109" s="1084">
        <f>IF(OR($H109="",$I109=""),0,IF(OR(AS$107&lt;$H109,AS$107&gt;$I109),0,$J109))</f>
        <v>0</v>
      </c>
      <c r="AT109" s="1084">
        <f>IF(OR($H109="",$I109=""),0,IF(OR(AT$107&lt;$H109,AT$107&gt;$I109),0,$J109))</f>
        <v>0</v>
      </c>
      <c r="AU109" s="1084">
        <f>IF(OR($H109="",$I109=""),0,IF(OR(AU$107&lt;$H109,AU$107&gt;$I109),0,$J109))</f>
        <v>0</v>
      </c>
      <c r="AV109" s="1084">
        <f>IF(OR($H109="",$I109=""),0,IF(OR(AV$107&lt;$H109,AV$107&gt;$I109),0,$J109))</f>
        <v>0</v>
      </c>
      <c r="AW109" s="1084">
        <f>IF(OR($H109="",$I109=""),0,IF(OR(AW$107&lt;$H109,AW$107&gt;$I109),0,$J109))</f>
        <v>0</v>
      </c>
      <c r="AX109" s="1084">
        <f>IF(OR($H109="",$I109=""),0,IF(OR(AX$107&lt;$H109,AX$107&gt;$I109),0,$J109))</f>
        <v>0</v>
      </c>
      <c r="AY109" s="1085">
        <f>IF(OR($H109="",$I109=""),0,IF(OR(AY$107&lt;$H109,AY$107&gt;$I109),0,$J109))</f>
        <v>0</v>
      </c>
      <c r="AZ109" s="1240">
        <f>IF(OR($H109="",$I109=""),0,IF(OR(AZ$107&lt;$H109,AZ$107&gt;$I109),0,$J109))</f>
        <v>0</v>
      </c>
      <c r="BA109" s="1084">
        <f>IF(OR($H109="",$I109=""),0,IF(OR(BA$107&lt;$H109,BA$107&gt;$I109),0,$J109))</f>
        <v>0</v>
      </c>
      <c r="BB109" s="1084">
        <f>IF(OR($H109="",$I109=""),0,IF(OR(BB$107&lt;$H109,BB$107&gt;$I109),0,$J109))</f>
        <v>0</v>
      </c>
      <c r="BC109" s="1084">
        <f>IF(OR($H109="",$I109=""),0,IF(OR(BC$107&lt;$H109,BC$107&gt;$I109),0,$J109))</f>
        <v>0</v>
      </c>
      <c r="BD109" s="1084">
        <f>IF(OR($H109="",$I109=""),0,IF(OR(BD$107&lt;$H109,BD$107&gt;$I109),0,$J109))</f>
        <v>0</v>
      </c>
      <c r="BE109" s="1084">
        <f>IF(OR($H109="",$I109=""),0,IF(OR(BE$107&lt;$H109,BE$107&gt;$I109),0,$J109))</f>
        <v>0</v>
      </c>
      <c r="BF109" s="1084">
        <f>IF(OR($H109="",$I109=""),0,IF(OR(BF$107&lt;$H109,BF$107&gt;$I109),0,$J109))</f>
        <v>0</v>
      </c>
      <c r="BG109" s="1084">
        <f>IF(OR($H109="",$I109=""),0,IF(OR(BG$107&lt;$H109,BG$107&gt;$I109),0,$J109))</f>
        <v>0</v>
      </c>
      <c r="BH109" s="1084">
        <f>IF(OR($H109="",$I109=""),0,IF(OR(BH$107&lt;$H109,BH$107&gt;$I109),0,$J109))</f>
        <v>0</v>
      </c>
      <c r="BI109" s="1084">
        <f>IF(OR($H109="",$I109=""),0,IF(OR(BI$107&lt;$H109,BI$107&gt;$I109),0,$J109))</f>
        <v>0</v>
      </c>
      <c r="BJ109" s="1084">
        <f>IF(OR($H109="",$I109=""),0,IF(OR(BJ$107&lt;$H109,BJ$107&gt;$I109),0,$J109))</f>
        <v>0</v>
      </c>
      <c r="BK109" s="1084">
        <f>IF(OR($H109="",$I109=""),0,IF(OR(BK$107&lt;$H109,BK$107&gt;$I109),0,$J109))</f>
        <v>0</v>
      </c>
      <c r="BL109" s="1084">
        <f>IF(OR($H109="",$I109=""),0,IF(OR(BL$107&lt;$H109,BL$107&gt;$I109),0,$J109))</f>
        <v>0</v>
      </c>
      <c r="BM109" s="1084">
        <f>IF(OR($H109="",$I109=""),0,IF(OR(BM$107&lt;$H109,BM$107&gt;$I109),0,$J109))</f>
        <v>0</v>
      </c>
      <c r="BN109" s="1084">
        <f>IF(OR($H109="",$I109=""),0,IF(OR(BN$107&lt;$H109,BN$107&gt;$I109),0,$J109))</f>
        <v>0</v>
      </c>
      <c r="BO109" s="1084">
        <f>IF(OR($H109="",$I109=""),0,IF(OR(BO$107&lt;$H109,BO$107&gt;$I109),0,$J109))</f>
        <v>0</v>
      </c>
      <c r="BP109" s="1084">
        <f>IF(OR($H109="",$I109=""),0,IF(OR(BP$107&lt;$H109,BP$107&gt;$I109),0,$J109))</f>
        <v>0</v>
      </c>
      <c r="BQ109" s="1084">
        <f>IF(OR($H109="",$I109=""),0,IF(OR(BQ$107&lt;$H109,BQ$107&gt;$I109),0,$J109))</f>
        <v>0</v>
      </c>
      <c r="BR109" s="1084">
        <f>IF(OR($H109="",$I109=""),0,IF(OR(BR$107&lt;$H109,BR$107&gt;$I109),0,$J109))</f>
        <v>0</v>
      </c>
      <c r="BS109" s="1084">
        <f>IF(OR($H109="",$I109=""),0,IF(OR(BS$107&lt;$H109,BS$107&gt;$I109),0,$J109))</f>
        <v>0</v>
      </c>
      <c r="BT109" s="1084">
        <f>IF(OR($H109="",$I109=""),0,IF(OR(BT$107&lt;$H109,BT$107&gt;$I109),0,$J109))</f>
        <v>0</v>
      </c>
      <c r="BU109" s="1084">
        <f>IF(OR($H109="",$I109=""),0,IF(OR(BU$107&lt;$H109,BU$107&gt;$I109),0,$J109))</f>
        <v>0</v>
      </c>
      <c r="BV109" s="1084">
        <f>IF(OR($H109="",$I109=""),0,IF(OR(BV$107&lt;$H109,BV$107&gt;$I109),0,$J109))</f>
        <v>0</v>
      </c>
      <c r="BW109" s="1085">
        <f>IF(OR($H109="",$I109=""),0,IF(OR(BW$107&lt;$H109,BW$107&gt;$I109),0,$J109))</f>
        <v>0</v>
      </c>
      <c r="CC109" s="131"/>
      <c r="CD109" s="131"/>
      <c r="CE109" s="131"/>
      <c r="CF109" s="131"/>
      <c r="CG109" s="131"/>
      <c r="CH109" s="131"/>
      <c r="CI109" s="131"/>
      <c r="CJ109" s="131"/>
      <c r="CK109" s="131"/>
      <c r="CL109" s="131"/>
      <c r="CM109" s="131"/>
      <c r="CN109" s="131"/>
      <c r="CO109" s="131"/>
      <c r="CP109" s="131"/>
      <c r="CQ109" s="131"/>
      <c r="CR109" s="131"/>
      <c r="CS109" s="131"/>
      <c r="CT109" s="131"/>
      <c r="CU109" s="131"/>
      <c r="CV109" s="131"/>
      <c r="CW109" s="131"/>
      <c r="CX109" s="131"/>
      <c r="CY109" s="131"/>
      <c r="CZ109" s="131"/>
      <c r="DA109" s="131"/>
      <c r="DB109" s="131"/>
      <c r="DC109" s="131"/>
      <c r="DD109" s="131"/>
    </row>
    <row r="110" spans="1:179" s="8" customFormat="1" ht="12" customHeight="1" thickBot="1" x14ac:dyDescent="0.4">
      <c r="A110" s="133">
        <v>3</v>
      </c>
      <c r="B110" s="1711" t="str">
        <f>IF(A110&gt;F$107,"{Can hide row}","")</f>
        <v/>
      </c>
      <c r="C110" s="9" t="str">
        <f>A110&amp;" "</f>
        <v xml:space="preserve">3 </v>
      </c>
      <c r="D110" s="1843" t="inlineStr">
        <is>
          <t>Baristas</t>
        </is>
      </c>
      <c r="E110" s="1844"/>
      <c r="F110" s="1845"/>
      <c r="G110" s="590">
        <v>3000</v>
      </c>
      <c r="H110" s="616">
        <v>46418</v>
      </c>
      <c r="I110" s="616">
        <v>48213</v>
      </c>
      <c r="J110" s="1055">
        <v>2</v>
      </c>
      <c r="K110" s="1048">
        <f>IF(I110&lt;&gt;"",$O$102,0)</f>
        <v>0</v>
      </c>
      <c r="L110" s="1050">
        <f>IF(I110&lt;&gt;"",L109,0)</f>
        <v>0</v>
      </c>
      <c r="M110" s="1049">
        <f>IF(I110&lt;&gt;"",M109,0)</f>
        <v>0</v>
      </c>
      <c r="N110" s="1001"/>
      <c r="P110" s="1083">
        <f>IF(OR($H110="",$I110=""),0,IF(OR(P$107&lt;$H110,P$107&gt;$I110),0,$J110))</f>
        <v>0</v>
      </c>
      <c r="Q110" s="1084">
        <f>IF(OR($H110="",$I110=""),0,IF(OR(Q$107&lt;$H110,Q$107&gt;$I110),0,$J110))</f>
        <v>0</v>
      </c>
      <c r="R110" s="1084">
        <f>IF(OR($H110="",$I110=""),0,IF(OR(R$107&lt;$H110,R$107&gt;$I110),0,$J110))</f>
        <v>0</v>
      </c>
      <c r="S110" s="1084">
        <f>IF(OR($H110="",$I110=""),0,IF(OR(S$107&lt;$H110,S$107&gt;$I110),0,$J110))</f>
        <v>0</v>
      </c>
      <c r="T110" s="1084">
        <f>IF(OR($H110="",$I110=""),0,IF(OR(T$107&lt;$H110,T$107&gt;$I110),0,$J110))</f>
        <v>0</v>
      </c>
      <c r="U110" s="1084">
        <f>IF(OR($H110="",$I110=""),0,IF(OR(U$107&lt;$H110,U$107&gt;$I110),0,$J110))</f>
        <v>0</v>
      </c>
      <c r="V110" s="1084">
        <f>IF(OR($H110="",$I110=""),0,IF(OR(V$107&lt;$H110,V$107&gt;$I110),0,$J110))</f>
        <v>0</v>
      </c>
      <c r="W110" s="1084">
        <f>IF(OR($H110="",$I110=""),0,IF(OR(W$107&lt;$H110,W$107&gt;$I110),0,$J110))</f>
        <v>0</v>
      </c>
      <c r="X110" s="1084">
        <f>IF(OR($H110="",$I110=""),0,IF(OR(X$107&lt;$H110,X$107&gt;$I110),0,$J110))</f>
        <v>0</v>
      </c>
      <c r="Y110" s="1084">
        <f>IF(OR($H110="",$I110=""),0,IF(OR(Y$107&lt;$H110,Y$107&gt;$I110),0,$J110))</f>
        <v>0</v>
      </c>
      <c r="Z110" s="1084">
        <f>IF(OR($H110="",$I110=""),0,IF(OR(Z$107&lt;$H110,Z$107&gt;$I110),0,$J110))</f>
        <v>0</v>
      </c>
      <c r="AA110" s="1084">
        <f>IF(OR($H110="",$I110=""),0,IF(OR(AA$107&lt;$H110,AA$107&gt;$I110),0,$J110))</f>
        <v>0</v>
      </c>
      <c r="AB110" s="1084">
        <f>IF(OR($H110="",$I110=""),0,IF(OR(AB$107&lt;$H110,AB$107&gt;$I110),0,$J110))</f>
        <v>0</v>
      </c>
      <c r="AC110" s="1084">
        <f>IF(OR($H110="",$I110=""),0,IF(OR(AC$107&lt;$H110,AC$107&gt;$I110),0,$J110))</f>
        <v>0</v>
      </c>
      <c r="AD110" s="1084">
        <f>IF(OR($H110="",$I110=""),0,IF(OR(AD$107&lt;$H110,AD$107&gt;$I110),0,$J110))</f>
        <v>0</v>
      </c>
      <c r="AE110" s="1084">
        <f>IF(OR($H110="",$I110=""),0,IF(OR(AE$107&lt;$H110,AE$107&gt;$I110),0,$J110))</f>
        <v>0</v>
      </c>
      <c r="AF110" s="1084">
        <f>IF(OR($H110="",$I110=""),0,IF(OR(AF$107&lt;$H110,AF$107&gt;$I110),0,$J110))</f>
        <v>0</v>
      </c>
      <c r="AG110" s="1084">
        <f>IF(OR($H110="",$I110=""),0,IF(OR(AG$107&lt;$H110,AG$107&gt;$I110),0,$J110))</f>
        <v>0</v>
      </c>
      <c r="AH110" s="1084">
        <f>IF(OR($H110="",$I110=""),0,IF(OR(AH$107&lt;$H110,AH$107&gt;$I110),0,$J110))</f>
        <v>0</v>
      </c>
      <c r="AI110" s="1084">
        <f>IF(OR($H110="",$I110=""),0,IF(OR(AI$107&lt;$H110,AI$107&gt;$I110),0,$J110))</f>
        <v>0</v>
      </c>
      <c r="AJ110" s="1084">
        <f>IF(OR($H110="",$I110=""),0,IF(OR(AJ$107&lt;$H110,AJ$107&gt;$I110),0,$J110))</f>
        <v>0</v>
      </c>
      <c r="AK110" s="1084">
        <f>IF(OR($H110="",$I110=""),0,IF(OR(AK$107&lt;$H110,AK$107&gt;$I110),0,$J110))</f>
        <v>0</v>
      </c>
      <c r="AL110" s="1084">
        <f>IF(OR($H110="",$I110=""),0,IF(OR(AL$107&lt;$H110,AL$107&gt;$I110),0,$J110))</f>
        <v>0</v>
      </c>
      <c r="AM110" s="1084">
        <f>IF(OR($H110="",$I110=""),0,IF(OR(AM$107&lt;$H110,AM$107&gt;$I110),0,$J110))</f>
        <v>0</v>
      </c>
      <c r="AN110" s="1084">
        <f>IF(OR($H110="",$I110=""),0,IF(OR(AN$107&lt;$H110,AN$107&gt;$I110),0,$J110))</f>
        <v>0</v>
      </c>
      <c r="AO110" s="1084">
        <f>IF(OR($H110="",$I110=""),0,IF(OR(AO$107&lt;$H110,AO$107&gt;$I110),0,$J110))</f>
        <v>0</v>
      </c>
      <c r="AP110" s="1084">
        <f>IF(OR($H110="",$I110=""),0,IF(OR(AP$107&lt;$H110,AP$107&gt;$I110),0,$J110))</f>
        <v>0</v>
      </c>
      <c r="AQ110" s="1084">
        <f>IF(OR($H110="",$I110=""),0,IF(OR(AQ$107&lt;$H110,AQ$107&gt;$I110),0,$J110))</f>
        <v>0</v>
      </c>
      <c r="AR110" s="1084">
        <f>IF(OR($H110="",$I110=""),0,IF(OR(AR$107&lt;$H110,AR$107&gt;$I110),0,$J110))</f>
        <v>0</v>
      </c>
      <c r="AS110" s="1084">
        <f>IF(OR($H110="",$I110=""),0,IF(OR(AS$107&lt;$H110,AS$107&gt;$I110),0,$J110))</f>
        <v>0</v>
      </c>
      <c r="AT110" s="1084">
        <f>IF(OR($H110="",$I110=""),0,IF(OR(AT$107&lt;$H110,AT$107&gt;$I110),0,$J110))</f>
        <v>0</v>
      </c>
      <c r="AU110" s="1084">
        <f>IF(OR($H110="",$I110=""),0,IF(OR(AU$107&lt;$H110,AU$107&gt;$I110),0,$J110))</f>
        <v>0</v>
      </c>
      <c r="AV110" s="1084">
        <f>IF(OR($H110="",$I110=""),0,IF(OR(AV$107&lt;$H110,AV$107&gt;$I110),0,$J110))</f>
        <v>0</v>
      </c>
      <c r="AW110" s="1084">
        <f>IF(OR($H110="",$I110=""),0,IF(OR(AW$107&lt;$H110,AW$107&gt;$I110),0,$J110))</f>
        <v>0</v>
      </c>
      <c r="AX110" s="1084">
        <f>IF(OR($H110="",$I110=""),0,IF(OR(AX$107&lt;$H110,AX$107&gt;$I110),0,$J110))</f>
        <v>0</v>
      </c>
      <c r="AY110" s="1085">
        <f>IF(OR($H110="",$I110=""),0,IF(OR(AY$107&lt;$H110,AY$107&gt;$I110),0,$J110))</f>
        <v>0</v>
      </c>
      <c r="AZ110" s="1240">
        <f>IF(OR($H110="",$I110=""),0,IF(OR(AZ$107&lt;$H110,AZ$107&gt;$I110),0,$J110))</f>
        <v>0</v>
      </c>
      <c r="BA110" s="1084">
        <f>IF(OR($H110="",$I110=""),0,IF(OR(BA$107&lt;$H110,BA$107&gt;$I110),0,$J110))</f>
        <v>0</v>
      </c>
      <c r="BB110" s="1084">
        <f>IF(OR($H110="",$I110=""),0,IF(OR(BB$107&lt;$H110,BB$107&gt;$I110),0,$J110))</f>
        <v>0</v>
      </c>
      <c r="BC110" s="1084">
        <f>IF(OR($H110="",$I110=""),0,IF(OR(BC$107&lt;$H110,BC$107&gt;$I110),0,$J110))</f>
        <v>0</v>
      </c>
      <c r="BD110" s="1084">
        <f>IF(OR($H110="",$I110=""),0,IF(OR(BD$107&lt;$H110,BD$107&gt;$I110),0,$J110))</f>
        <v>0</v>
      </c>
      <c r="BE110" s="1084">
        <f>IF(OR($H110="",$I110=""),0,IF(OR(BE$107&lt;$H110,BE$107&gt;$I110),0,$J110))</f>
        <v>0</v>
      </c>
      <c r="BF110" s="1084">
        <f>IF(OR($H110="",$I110=""),0,IF(OR(BF$107&lt;$H110,BF$107&gt;$I110),0,$J110))</f>
        <v>0</v>
      </c>
      <c r="BG110" s="1084">
        <f>IF(OR($H110="",$I110=""),0,IF(OR(BG$107&lt;$H110,BG$107&gt;$I110),0,$J110))</f>
        <v>0</v>
      </c>
      <c r="BH110" s="1084">
        <f>IF(OR($H110="",$I110=""),0,IF(OR(BH$107&lt;$H110,BH$107&gt;$I110),0,$J110))</f>
        <v>0</v>
      </c>
      <c r="BI110" s="1084">
        <f>IF(OR($H110="",$I110=""),0,IF(OR(BI$107&lt;$H110,BI$107&gt;$I110),0,$J110))</f>
        <v>0</v>
      </c>
      <c r="BJ110" s="1084">
        <f>IF(OR($H110="",$I110=""),0,IF(OR(BJ$107&lt;$H110,BJ$107&gt;$I110),0,$J110))</f>
        <v>0</v>
      </c>
      <c r="BK110" s="1084">
        <f>IF(OR($H110="",$I110=""),0,IF(OR(BK$107&lt;$H110,BK$107&gt;$I110),0,$J110))</f>
        <v>0</v>
      </c>
      <c r="BL110" s="1084">
        <f>IF(OR($H110="",$I110=""),0,IF(OR(BL$107&lt;$H110,BL$107&gt;$I110),0,$J110))</f>
        <v>0</v>
      </c>
      <c r="BM110" s="1084">
        <f>IF(OR($H110="",$I110=""),0,IF(OR(BM$107&lt;$H110,BM$107&gt;$I110),0,$J110))</f>
        <v>0</v>
      </c>
      <c r="BN110" s="1084">
        <f>IF(OR($H110="",$I110=""),0,IF(OR(BN$107&lt;$H110,BN$107&gt;$I110),0,$J110))</f>
        <v>0</v>
      </c>
      <c r="BO110" s="1084">
        <f>IF(OR($H110="",$I110=""),0,IF(OR(BO$107&lt;$H110,BO$107&gt;$I110),0,$J110))</f>
        <v>0</v>
      </c>
      <c r="BP110" s="1084">
        <f>IF(OR($H110="",$I110=""),0,IF(OR(BP$107&lt;$H110,BP$107&gt;$I110),0,$J110))</f>
        <v>0</v>
      </c>
      <c r="BQ110" s="1084">
        <f>IF(OR($H110="",$I110=""),0,IF(OR(BQ$107&lt;$H110,BQ$107&gt;$I110),0,$J110))</f>
        <v>0</v>
      </c>
      <c r="BR110" s="1084">
        <f>IF(OR($H110="",$I110=""),0,IF(OR(BR$107&lt;$H110,BR$107&gt;$I110),0,$J110))</f>
        <v>0</v>
      </c>
      <c r="BS110" s="1084">
        <f>IF(OR($H110="",$I110=""),0,IF(OR(BS$107&lt;$H110,BS$107&gt;$I110),0,$J110))</f>
        <v>0</v>
      </c>
      <c r="BT110" s="1084">
        <f>IF(OR($H110="",$I110=""),0,IF(OR(BT$107&lt;$H110,BT$107&gt;$I110),0,$J110))</f>
        <v>0</v>
      </c>
      <c r="BU110" s="1084">
        <f>IF(OR($H110="",$I110=""),0,IF(OR(BU$107&lt;$H110,BU$107&gt;$I110),0,$J110))</f>
        <v>0</v>
      </c>
      <c r="BV110" s="1084">
        <f>IF(OR($H110="",$I110=""),0,IF(OR(BV$107&lt;$H110,BV$107&gt;$I110),0,$J110))</f>
        <v>0</v>
      </c>
      <c r="BW110" s="1085">
        <f>IF(OR($H110="",$I110=""),0,IF(OR(BW$107&lt;$H110,BW$107&gt;$I110),0,$J110))</f>
        <v>0</v>
      </c>
      <c r="CC110" s="131"/>
      <c r="CD110" s="131"/>
      <c r="CE110" s="131"/>
      <c r="CF110" s="131"/>
      <c r="CG110" s="131"/>
      <c r="CH110" s="131"/>
      <c r="CI110" s="131"/>
      <c r="CJ110" s="131"/>
      <c r="CK110" s="131"/>
      <c r="CL110" s="131"/>
      <c r="CM110" s="131"/>
      <c r="CN110" s="131"/>
      <c r="CO110" s="131"/>
      <c r="CP110" s="131"/>
      <c r="CQ110" s="131"/>
      <c r="CR110" s="131"/>
      <c r="CS110" s="131"/>
      <c r="CT110" s="131"/>
      <c r="CU110" s="131"/>
      <c r="CV110" s="131"/>
      <c r="CW110" s="131"/>
      <c r="CX110" s="131"/>
      <c r="CY110" s="131"/>
      <c r="CZ110" s="131"/>
      <c r="DA110" s="131"/>
      <c r="DB110" s="131"/>
      <c r="DC110" s="131"/>
      <c r="DD110" s="131"/>
    </row>
    <row r="111" spans="1:179" s="8" customFormat="1" ht="12" customHeight="1" thickBot="1" x14ac:dyDescent="0.4">
      <c r="A111" s="133">
        <v>4</v>
      </c>
      <c r="B111" s="1711" t="str">
        <f>IF(A111&gt;F$107,"{Can hide row}","")</f>
        <v/>
      </c>
      <c r="C111" s="9" t="str">
        <f>A111&amp;" "</f>
        <v xml:space="preserve">4 </v>
      </c>
      <c r="D111" s="1843" t="inlineStr">
        <is>
          <t>Sales Manager</t>
        </is>
      </c>
      <c r="E111" s="1844"/>
      <c r="F111" s="1845"/>
      <c r="G111" s="590">
        <v>5000</v>
      </c>
      <c r="H111" s="616">
        <v>46568</v>
      </c>
      <c r="I111" s="616">
        <v>48213</v>
      </c>
      <c r="J111" s="1055">
        <v>1</v>
      </c>
      <c r="K111" s="1048">
        <f>IF(I111&lt;&gt;"",$O$102,0)</f>
        <v>0</v>
      </c>
      <c r="L111" s="1050">
        <f>IF(I111&lt;&gt;"",L110,0)</f>
        <v>0</v>
      </c>
      <c r="M111" s="1049">
        <f>IF(I111&lt;&gt;"",M110,0)</f>
        <v>0</v>
      </c>
      <c r="N111" s="1001"/>
      <c r="P111" s="1083">
        <f>IF(OR($H111="",$I111=""),0,IF(OR(P$107&lt;$H111,P$107&gt;$I111),0,$J111))</f>
        <v>0</v>
      </c>
      <c r="Q111" s="1084">
        <f>IF(OR($H111="",$I111=""),0,IF(OR(Q$107&lt;$H111,Q$107&gt;$I111),0,$J111))</f>
        <v>0</v>
      </c>
      <c r="R111" s="1084">
        <f>IF(OR($H111="",$I111=""),0,IF(OR(R$107&lt;$H111,R$107&gt;$I111),0,$J111))</f>
        <v>0</v>
      </c>
      <c r="S111" s="1084">
        <f>IF(OR($H111="",$I111=""),0,IF(OR(S$107&lt;$H111,S$107&gt;$I111),0,$J111))</f>
        <v>0</v>
      </c>
      <c r="T111" s="1084">
        <f>IF(OR($H111="",$I111=""),0,IF(OR(T$107&lt;$H111,T$107&gt;$I111),0,$J111))</f>
        <v>0</v>
      </c>
      <c r="U111" s="1084">
        <f>IF(OR($H111="",$I111=""),0,IF(OR(U$107&lt;$H111,U$107&gt;$I111),0,$J111))</f>
        <v>0</v>
      </c>
      <c r="V111" s="1084">
        <f>IF(OR($H111="",$I111=""),0,IF(OR(V$107&lt;$H111,V$107&gt;$I111),0,$J111))</f>
        <v>0</v>
      </c>
      <c r="W111" s="1084">
        <f>IF(OR($H111="",$I111=""),0,IF(OR(W$107&lt;$H111,W$107&gt;$I111),0,$J111))</f>
        <v>0</v>
      </c>
      <c r="X111" s="1084">
        <f>IF(OR($H111="",$I111=""),0,IF(OR(X$107&lt;$H111,X$107&gt;$I111),0,$J111))</f>
        <v>0</v>
      </c>
      <c r="Y111" s="1084">
        <f>IF(OR($H111="",$I111=""),0,IF(OR(Y$107&lt;$H111,Y$107&gt;$I111),0,$J111))</f>
        <v>0</v>
      </c>
      <c r="Z111" s="1084">
        <f>IF(OR($H111="",$I111=""),0,IF(OR(Z$107&lt;$H111,Z$107&gt;$I111),0,$J111))</f>
        <v>0</v>
      </c>
      <c r="AA111" s="1084">
        <f>IF(OR($H111="",$I111=""),0,IF(OR(AA$107&lt;$H111,AA$107&gt;$I111),0,$J111))</f>
        <v>0</v>
      </c>
      <c r="AB111" s="1084">
        <f>IF(OR($H111="",$I111=""),0,IF(OR(AB$107&lt;$H111,AB$107&gt;$I111),0,$J111))</f>
        <v>0</v>
      </c>
      <c r="AC111" s="1084">
        <f>IF(OR($H111="",$I111=""),0,IF(OR(AC$107&lt;$H111,AC$107&gt;$I111),0,$J111))</f>
        <v>0</v>
      </c>
      <c r="AD111" s="1084">
        <f>IF(OR($H111="",$I111=""),0,IF(OR(AD$107&lt;$H111,AD$107&gt;$I111),0,$J111))</f>
        <v>0</v>
      </c>
      <c r="AE111" s="1084">
        <f>IF(OR($H111="",$I111=""),0,IF(OR(AE$107&lt;$H111,AE$107&gt;$I111),0,$J111))</f>
        <v>0</v>
      </c>
      <c r="AF111" s="1084">
        <f>IF(OR($H111="",$I111=""),0,IF(OR(AF$107&lt;$H111,AF$107&gt;$I111),0,$J111))</f>
        <v>0</v>
      </c>
      <c r="AG111" s="1084">
        <f>IF(OR($H111="",$I111=""),0,IF(OR(AG$107&lt;$H111,AG$107&gt;$I111),0,$J111))</f>
        <v>0</v>
      </c>
      <c r="AH111" s="1084">
        <f>IF(OR($H111="",$I111=""),0,IF(OR(AH$107&lt;$H111,AH$107&gt;$I111),0,$J111))</f>
        <v>0</v>
      </c>
      <c r="AI111" s="1084">
        <f>IF(OR($H111="",$I111=""),0,IF(OR(AI$107&lt;$H111,AI$107&gt;$I111),0,$J111))</f>
        <v>0</v>
      </c>
      <c r="AJ111" s="1084">
        <f>IF(OR($H111="",$I111=""),0,IF(OR(AJ$107&lt;$H111,AJ$107&gt;$I111),0,$J111))</f>
        <v>0</v>
      </c>
      <c r="AK111" s="1084">
        <f>IF(OR($H111="",$I111=""),0,IF(OR(AK$107&lt;$H111,AK$107&gt;$I111),0,$J111))</f>
        <v>0</v>
      </c>
      <c r="AL111" s="1084">
        <f>IF(OR($H111="",$I111=""),0,IF(OR(AL$107&lt;$H111,AL$107&gt;$I111),0,$J111))</f>
        <v>0</v>
      </c>
      <c r="AM111" s="1084">
        <f>IF(OR($H111="",$I111=""),0,IF(OR(AM$107&lt;$H111,AM$107&gt;$I111),0,$J111))</f>
        <v>0</v>
      </c>
      <c r="AN111" s="1084">
        <f>IF(OR($H111="",$I111=""),0,IF(OR(AN$107&lt;$H111,AN$107&gt;$I111),0,$J111))</f>
        <v>0</v>
      </c>
      <c r="AO111" s="1084">
        <f>IF(OR($H111="",$I111=""),0,IF(OR(AO$107&lt;$H111,AO$107&gt;$I111),0,$J111))</f>
        <v>0</v>
      </c>
      <c r="AP111" s="1084">
        <f>IF(OR($H111="",$I111=""),0,IF(OR(AP$107&lt;$H111,AP$107&gt;$I111),0,$J111))</f>
        <v>0</v>
      </c>
      <c r="AQ111" s="1084">
        <f>IF(OR($H111="",$I111=""),0,IF(OR(AQ$107&lt;$H111,AQ$107&gt;$I111),0,$J111))</f>
        <v>0</v>
      </c>
      <c r="AR111" s="1084">
        <f>IF(OR($H111="",$I111=""),0,IF(OR(AR$107&lt;$H111,AR$107&gt;$I111),0,$J111))</f>
        <v>0</v>
      </c>
      <c r="AS111" s="1084">
        <f>IF(OR($H111="",$I111=""),0,IF(OR(AS$107&lt;$H111,AS$107&gt;$I111),0,$J111))</f>
        <v>0</v>
      </c>
      <c r="AT111" s="1084">
        <f>IF(OR($H111="",$I111=""),0,IF(OR(AT$107&lt;$H111,AT$107&gt;$I111),0,$J111))</f>
        <v>0</v>
      </c>
      <c r="AU111" s="1084">
        <f>IF(OR($H111="",$I111=""),0,IF(OR(AU$107&lt;$H111,AU$107&gt;$I111),0,$J111))</f>
        <v>0</v>
      </c>
      <c r="AV111" s="1084">
        <f>IF(OR($H111="",$I111=""),0,IF(OR(AV$107&lt;$H111,AV$107&gt;$I111),0,$J111))</f>
        <v>0</v>
      </c>
      <c r="AW111" s="1084">
        <f>IF(OR($H111="",$I111=""),0,IF(OR(AW$107&lt;$H111,AW$107&gt;$I111),0,$J111))</f>
        <v>0</v>
      </c>
      <c r="AX111" s="1084">
        <f>IF(OR($H111="",$I111=""),0,IF(OR(AX$107&lt;$H111,AX$107&gt;$I111),0,$J111))</f>
        <v>0</v>
      </c>
      <c r="AY111" s="1085">
        <f>IF(OR($H111="",$I111=""),0,IF(OR(AY$107&lt;$H111,AY$107&gt;$I111),0,$J111))</f>
        <v>0</v>
      </c>
      <c r="AZ111" s="1240">
        <f>IF(OR($H111="",$I111=""),0,IF(OR(AZ$107&lt;$H111,AZ$107&gt;$I111),0,$J111))</f>
        <v>0</v>
      </c>
      <c r="BA111" s="1084">
        <f>IF(OR($H111="",$I111=""),0,IF(OR(BA$107&lt;$H111,BA$107&gt;$I111),0,$J111))</f>
        <v>0</v>
      </c>
      <c r="BB111" s="1084">
        <f>IF(OR($H111="",$I111=""),0,IF(OR(BB$107&lt;$H111,BB$107&gt;$I111),0,$J111))</f>
        <v>0</v>
      </c>
      <c r="BC111" s="1084">
        <f>IF(OR($H111="",$I111=""),0,IF(OR(BC$107&lt;$H111,BC$107&gt;$I111),0,$J111))</f>
        <v>0</v>
      </c>
      <c r="BD111" s="1084">
        <f>IF(OR($H111="",$I111=""),0,IF(OR(BD$107&lt;$H111,BD$107&gt;$I111),0,$J111))</f>
        <v>0</v>
      </c>
      <c r="BE111" s="1084">
        <f>IF(OR($H111="",$I111=""),0,IF(OR(BE$107&lt;$H111,BE$107&gt;$I111),0,$J111))</f>
        <v>0</v>
      </c>
      <c r="BF111" s="1084">
        <f>IF(OR($H111="",$I111=""),0,IF(OR(BF$107&lt;$H111,BF$107&gt;$I111),0,$J111))</f>
        <v>0</v>
      </c>
      <c r="BG111" s="1084">
        <f>IF(OR($H111="",$I111=""),0,IF(OR(BG$107&lt;$H111,BG$107&gt;$I111),0,$J111))</f>
        <v>0</v>
      </c>
      <c r="BH111" s="1084">
        <f>IF(OR($H111="",$I111=""),0,IF(OR(BH$107&lt;$H111,BH$107&gt;$I111),0,$J111))</f>
        <v>0</v>
      </c>
      <c r="BI111" s="1084">
        <f>IF(OR($H111="",$I111=""),0,IF(OR(BI$107&lt;$H111,BI$107&gt;$I111),0,$J111))</f>
        <v>0</v>
      </c>
      <c r="BJ111" s="1084">
        <f>IF(OR($H111="",$I111=""),0,IF(OR(BJ$107&lt;$H111,BJ$107&gt;$I111),0,$J111))</f>
        <v>0</v>
      </c>
      <c r="BK111" s="1084">
        <f>IF(OR($H111="",$I111=""),0,IF(OR(BK$107&lt;$H111,BK$107&gt;$I111),0,$J111))</f>
        <v>0</v>
      </c>
      <c r="BL111" s="1084">
        <f>IF(OR($H111="",$I111=""),0,IF(OR(BL$107&lt;$H111,BL$107&gt;$I111),0,$J111))</f>
        <v>0</v>
      </c>
      <c r="BM111" s="1084">
        <f>IF(OR($H111="",$I111=""),0,IF(OR(BM$107&lt;$H111,BM$107&gt;$I111),0,$J111))</f>
        <v>0</v>
      </c>
      <c r="BN111" s="1084">
        <f>IF(OR($H111="",$I111=""),0,IF(OR(BN$107&lt;$H111,BN$107&gt;$I111),0,$J111))</f>
        <v>0</v>
      </c>
      <c r="BO111" s="1084">
        <f>IF(OR($H111="",$I111=""),0,IF(OR(BO$107&lt;$H111,BO$107&gt;$I111),0,$J111))</f>
        <v>0</v>
      </c>
      <c r="BP111" s="1084">
        <f>IF(OR($H111="",$I111=""),0,IF(OR(BP$107&lt;$H111,BP$107&gt;$I111),0,$J111))</f>
        <v>0</v>
      </c>
      <c r="BQ111" s="1084">
        <f>IF(OR($H111="",$I111=""),0,IF(OR(BQ$107&lt;$H111,BQ$107&gt;$I111),0,$J111))</f>
        <v>0</v>
      </c>
      <c r="BR111" s="1084">
        <f>IF(OR($H111="",$I111=""),0,IF(OR(BR$107&lt;$H111,BR$107&gt;$I111),0,$J111))</f>
        <v>0</v>
      </c>
      <c r="BS111" s="1084">
        <f>IF(OR($H111="",$I111=""),0,IF(OR(BS$107&lt;$H111,BS$107&gt;$I111),0,$J111))</f>
        <v>0</v>
      </c>
      <c r="BT111" s="1084">
        <f>IF(OR($H111="",$I111=""),0,IF(OR(BT$107&lt;$H111,BT$107&gt;$I111),0,$J111))</f>
        <v>0</v>
      </c>
      <c r="BU111" s="1084">
        <f>IF(OR($H111="",$I111=""),0,IF(OR(BU$107&lt;$H111,BU$107&gt;$I111),0,$J111))</f>
        <v>0</v>
      </c>
      <c r="BV111" s="1084">
        <f>IF(OR($H111="",$I111=""),0,IF(OR(BV$107&lt;$H111,BV$107&gt;$I111),0,$J111))</f>
        <v>0</v>
      </c>
      <c r="BW111" s="1085">
        <f>IF(OR($H111="",$I111=""),0,IF(OR(BW$107&lt;$H111,BW$107&gt;$I111),0,$J111))</f>
        <v>0</v>
      </c>
      <c r="CC111" s="131"/>
      <c r="CD111" s="131"/>
      <c r="CE111" s="131"/>
      <c r="CF111" s="131"/>
      <c r="CG111" s="131"/>
      <c r="CH111" s="131"/>
      <c r="CI111" s="131"/>
      <c r="CJ111" s="131"/>
      <c r="CK111" s="131"/>
      <c r="CL111" s="131"/>
      <c r="CM111" s="131"/>
      <c r="CN111" s="131"/>
      <c r="CO111" s="131"/>
      <c r="CP111" s="131"/>
      <c r="CQ111" s="131"/>
      <c r="CR111" s="131"/>
      <c r="CS111" s="131"/>
      <c r="CT111" s="131"/>
      <c r="CU111" s="131"/>
      <c r="CV111" s="131"/>
      <c r="CW111" s="131"/>
      <c r="CX111" s="131"/>
      <c r="CY111" s="131"/>
      <c r="CZ111" s="131"/>
      <c r="DA111" s="131"/>
      <c r="DB111" s="131"/>
      <c r="DC111" s="131"/>
      <c r="DD111" s="131"/>
    </row>
    <row r="112" spans="1:179" s="8" customFormat="1" ht="12" customHeight="1" thickBot="1" x14ac:dyDescent="0.4" hidden="1">
      <c r="A112" s="133">
        <v>5</v>
      </c>
      <c r="B112" s="1711" t="str">
        <f>IF(A112&gt;F$107,"{Can hide row}","")</f>
        <v/>
      </c>
      <c r="C112" s="9" t="str">
        <f>A112&amp;" "</f>
        <v xml:space="preserve">5 </v>
      </c>
      <c r="D112" s="1843"/>
      <c r="E112" s="1844"/>
      <c r="F112" s="1845"/>
      <c r="G112" s="590"/>
      <c r="H112" s="616"/>
      <c r="I112" s="616"/>
      <c r="J112" s="1055">
        <v>2</v>
      </c>
      <c r="K112" s="1048">
        <f>IF(I112&lt;&gt;"",$O$102,0)</f>
        <v>0</v>
      </c>
      <c r="L112" s="1050">
        <f>IF(I112&lt;&gt;"",L111,0)</f>
        <v>0</v>
      </c>
      <c r="M112" s="1049">
        <f>IF(I112&lt;&gt;"",M111,0)</f>
        <v>0</v>
      </c>
      <c r="N112" s="1001"/>
      <c r="P112" s="1083">
        <f>IF(OR($H112="",$I112=""),0,IF(OR(P$107&lt;$H112,P$107&gt;$I112),0,$J112))</f>
        <v>0</v>
      </c>
      <c r="Q112" s="1084">
        <f>IF(OR($H112="",$I112=""),0,IF(OR(Q$107&lt;$H112,Q$107&gt;$I112),0,$J112))</f>
        <v>0</v>
      </c>
      <c r="R112" s="1084">
        <f>IF(OR($H112="",$I112=""),0,IF(OR(R$107&lt;$H112,R$107&gt;$I112),0,$J112))</f>
        <v>0</v>
      </c>
      <c r="S112" s="1084">
        <f>IF(OR($H112="",$I112=""),0,IF(OR(S$107&lt;$H112,S$107&gt;$I112),0,$J112))</f>
        <v>0</v>
      </c>
      <c r="T112" s="1084">
        <f>IF(OR($H112="",$I112=""),0,IF(OR(T$107&lt;$H112,T$107&gt;$I112),0,$J112))</f>
        <v>0</v>
      </c>
      <c r="U112" s="1084">
        <f>IF(OR($H112="",$I112=""),0,IF(OR(U$107&lt;$H112,U$107&gt;$I112),0,$J112))</f>
        <v>0</v>
      </c>
      <c r="V112" s="1084">
        <f>IF(OR($H112="",$I112=""),0,IF(OR(V$107&lt;$H112,V$107&gt;$I112),0,$J112))</f>
        <v>0</v>
      </c>
      <c r="W112" s="1084">
        <f>IF(OR($H112="",$I112=""),0,IF(OR(W$107&lt;$H112,W$107&gt;$I112),0,$J112))</f>
        <v>0</v>
      </c>
      <c r="X112" s="1084">
        <f>IF(OR($H112="",$I112=""),0,IF(OR(X$107&lt;$H112,X$107&gt;$I112),0,$J112))</f>
        <v>0</v>
      </c>
      <c r="Y112" s="1084">
        <f>IF(OR($H112="",$I112=""),0,IF(OR(Y$107&lt;$H112,Y$107&gt;$I112),0,$J112))</f>
        <v>0</v>
      </c>
      <c r="Z112" s="1084">
        <f>IF(OR($H112="",$I112=""),0,IF(OR(Z$107&lt;$H112,Z$107&gt;$I112),0,$J112))</f>
        <v>0</v>
      </c>
      <c r="AA112" s="1084">
        <f>IF(OR($H112="",$I112=""),0,IF(OR(AA$107&lt;$H112,AA$107&gt;$I112),0,$J112))</f>
        <v>0</v>
      </c>
      <c r="AB112" s="1084">
        <f>IF(OR($H112="",$I112=""),0,IF(OR(AB$107&lt;$H112,AB$107&gt;$I112),0,$J112))</f>
        <v>0</v>
      </c>
      <c r="AC112" s="1084">
        <f>IF(OR($H112="",$I112=""),0,IF(OR(AC$107&lt;$H112,AC$107&gt;$I112),0,$J112))</f>
        <v>0</v>
      </c>
      <c r="AD112" s="1084">
        <f>IF(OR($H112="",$I112=""),0,IF(OR(AD$107&lt;$H112,AD$107&gt;$I112),0,$J112))</f>
        <v>0</v>
      </c>
      <c r="AE112" s="1084">
        <f>IF(OR($H112="",$I112=""),0,IF(OR(AE$107&lt;$H112,AE$107&gt;$I112),0,$J112))</f>
        <v>0</v>
      </c>
      <c r="AF112" s="1084">
        <f>IF(OR($H112="",$I112=""),0,IF(OR(AF$107&lt;$H112,AF$107&gt;$I112),0,$J112))</f>
        <v>0</v>
      </c>
      <c r="AG112" s="1084">
        <f>IF(OR($H112="",$I112=""),0,IF(OR(AG$107&lt;$H112,AG$107&gt;$I112),0,$J112))</f>
        <v>0</v>
      </c>
      <c r="AH112" s="1084">
        <f>IF(OR($H112="",$I112=""),0,IF(OR(AH$107&lt;$H112,AH$107&gt;$I112),0,$J112))</f>
        <v>0</v>
      </c>
      <c r="AI112" s="1084">
        <f>IF(OR($H112="",$I112=""),0,IF(OR(AI$107&lt;$H112,AI$107&gt;$I112),0,$J112))</f>
        <v>0</v>
      </c>
      <c r="AJ112" s="1084">
        <f>IF(OR($H112="",$I112=""),0,IF(OR(AJ$107&lt;$H112,AJ$107&gt;$I112),0,$J112))</f>
        <v>0</v>
      </c>
      <c r="AK112" s="1084">
        <f>IF(OR($H112="",$I112=""),0,IF(OR(AK$107&lt;$H112,AK$107&gt;$I112),0,$J112))</f>
        <v>0</v>
      </c>
      <c r="AL112" s="1084">
        <f>IF(OR($H112="",$I112=""),0,IF(OR(AL$107&lt;$H112,AL$107&gt;$I112),0,$J112))</f>
        <v>0</v>
      </c>
      <c r="AM112" s="1084">
        <f>IF(OR($H112="",$I112=""),0,IF(OR(AM$107&lt;$H112,AM$107&gt;$I112),0,$J112))</f>
        <v>0</v>
      </c>
      <c r="AN112" s="1084">
        <f>IF(OR($H112="",$I112=""),0,IF(OR(AN$107&lt;$H112,AN$107&gt;$I112),0,$J112))</f>
        <v>0</v>
      </c>
      <c r="AO112" s="1084">
        <f>IF(OR($H112="",$I112=""),0,IF(OR(AO$107&lt;$H112,AO$107&gt;$I112),0,$J112))</f>
        <v>0</v>
      </c>
      <c r="AP112" s="1084">
        <f>IF(OR($H112="",$I112=""),0,IF(OR(AP$107&lt;$H112,AP$107&gt;$I112),0,$J112))</f>
        <v>0</v>
      </c>
      <c r="AQ112" s="1084">
        <f>IF(OR($H112="",$I112=""),0,IF(OR(AQ$107&lt;$H112,AQ$107&gt;$I112),0,$J112))</f>
        <v>0</v>
      </c>
      <c r="AR112" s="1084">
        <f>IF(OR($H112="",$I112=""),0,IF(OR(AR$107&lt;$H112,AR$107&gt;$I112),0,$J112))</f>
        <v>0</v>
      </c>
      <c r="AS112" s="1084">
        <f>IF(OR($H112="",$I112=""),0,IF(OR(AS$107&lt;$H112,AS$107&gt;$I112),0,$J112))</f>
        <v>0</v>
      </c>
      <c r="AT112" s="1084">
        <f>IF(OR($H112="",$I112=""),0,IF(OR(AT$107&lt;$H112,AT$107&gt;$I112),0,$J112))</f>
        <v>0</v>
      </c>
      <c r="AU112" s="1084">
        <f>IF(OR($H112="",$I112=""),0,IF(OR(AU$107&lt;$H112,AU$107&gt;$I112),0,$J112))</f>
        <v>0</v>
      </c>
      <c r="AV112" s="1084">
        <f>IF(OR($H112="",$I112=""),0,IF(OR(AV$107&lt;$H112,AV$107&gt;$I112),0,$J112))</f>
        <v>0</v>
      </c>
      <c r="AW112" s="1084">
        <f>IF(OR($H112="",$I112=""),0,IF(OR(AW$107&lt;$H112,AW$107&gt;$I112),0,$J112))</f>
        <v>0</v>
      </c>
      <c r="AX112" s="1084">
        <f>IF(OR($H112="",$I112=""),0,IF(OR(AX$107&lt;$H112,AX$107&gt;$I112),0,$J112))</f>
        <v>0</v>
      </c>
      <c r="AY112" s="1085">
        <f>IF(OR($H112="",$I112=""),0,IF(OR(AY$107&lt;$H112,AY$107&gt;$I112),0,$J112))</f>
        <v>0</v>
      </c>
      <c r="AZ112" s="1240">
        <f>IF(OR($H112="",$I112=""),0,IF(OR(AZ$107&lt;$H112,AZ$107&gt;$I112),0,$J112))</f>
        <v>0</v>
      </c>
      <c r="BA112" s="1084">
        <f>IF(OR($H112="",$I112=""),0,IF(OR(BA$107&lt;$H112,BA$107&gt;$I112),0,$J112))</f>
        <v>0</v>
      </c>
      <c r="BB112" s="1084">
        <f>IF(OR($H112="",$I112=""),0,IF(OR(BB$107&lt;$H112,BB$107&gt;$I112),0,$J112))</f>
        <v>0</v>
      </c>
      <c r="BC112" s="1084">
        <f>IF(OR($H112="",$I112=""),0,IF(OR(BC$107&lt;$H112,BC$107&gt;$I112),0,$J112))</f>
        <v>0</v>
      </c>
      <c r="BD112" s="1084">
        <f>IF(OR($H112="",$I112=""),0,IF(OR(BD$107&lt;$H112,BD$107&gt;$I112),0,$J112))</f>
        <v>0</v>
      </c>
      <c r="BE112" s="1084">
        <f>IF(OR($H112="",$I112=""),0,IF(OR(BE$107&lt;$H112,BE$107&gt;$I112),0,$J112))</f>
        <v>0</v>
      </c>
      <c r="BF112" s="1084">
        <f>IF(OR($H112="",$I112=""),0,IF(OR(BF$107&lt;$H112,BF$107&gt;$I112),0,$J112))</f>
        <v>0</v>
      </c>
      <c r="BG112" s="1084">
        <f>IF(OR($H112="",$I112=""),0,IF(OR(BG$107&lt;$H112,BG$107&gt;$I112),0,$J112))</f>
        <v>0</v>
      </c>
      <c r="BH112" s="1084">
        <f>IF(OR($H112="",$I112=""),0,IF(OR(BH$107&lt;$H112,BH$107&gt;$I112),0,$J112))</f>
        <v>0</v>
      </c>
      <c r="BI112" s="1084">
        <f>IF(OR($H112="",$I112=""),0,IF(OR(BI$107&lt;$H112,BI$107&gt;$I112),0,$J112))</f>
        <v>0</v>
      </c>
      <c r="BJ112" s="1084">
        <f>IF(OR($H112="",$I112=""),0,IF(OR(BJ$107&lt;$H112,BJ$107&gt;$I112),0,$J112))</f>
        <v>0</v>
      </c>
      <c r="BK112" s="1084">
        <f>IF(OR($H112="",$I112=""),0,IF(OR(BK$107&lt;$H112,BK$107&gt;$I112),0,$J112))</f>
        <v>0</v>
      </c>
      <c r="BL112" s="1084">
        <f>IF(OR($H112="",$I112=""),0,IF(OR(BL$107&lt;$H112,BL$107&gt;$I112),0,$J112))</f>
        <v>0</v>
      </c>
      <c r="BM112" s="1084">
        <f>IF(OR($H112="",$I112=""),0,IF(OR(BM$107&lt;$H112,BM$107&gt;$I112),0,$J112))</f>
        <v>0</v>
      </c>
      <c r="BN112" s="1084">
        <f>IF(OR($H112="",$I112=""),0,IF(OR(BN$107&lt;$H112,BN$107&gt;$I112),0,$J112))</f>
        <v>0</v>
      </c>
      <c r="BO112" s="1084">
        <f>IF(OR($H112="",$I112=""),0,IF(OR(BO$107&lt;$H112,BO$107&gt;$I112),0,$J112))</f>
        <v>0</v>
      </c>
      <c r="BP112" s="1084">
        <f>IF(OR($H112="",$I112=""),0,IF(OR(BP$107&lt;$H112,BP$107&gt;$I112),0,$J112))</f>
        <v>0</v>
      </c>
      <c r="BQ112" s="1084">
        <f>IF(OR($H112="",$I112=""),0,IF(OR(BQ$107&lt;$H112,BQ$107&gt;$I112),0,$J112))</f>
        <v>0</v>
      </c>
      <c r="BR112" s="1084">
        <f>IF(OR($H112="",$I112=""),0,IF(OR(BR$107&lt;$H112,BR$107&gt;$I112),0,$J112))</f>
        <v>0</v>
      </c>
      <c r="BS112" s="1084">
        <f>IF(OR($H112="",$I112=""),0,IF(OR(BS$107&lt;$H112,BS$107&gt;$I112),0,$J112))</f>
        <v>0</v>
      </c>
      <c r="BT112" s="1084">
        <f>IF(OR($H112="",$I112=""),0,IF(OR(BT$107&lt;$H112,BT$107&gt;$I112),0,$J112))</f>
        <v>0</v>
      </c>
      <c r="BU112" s="1084">
        <f>IF(OR($H112="",$I112=""),0,IF(OR(BU$107&lt;$H112,BU$107&gt;$I112),0,$J112))</f>
        <v>0</v>
      </c>
      <c r="BV112" s="1084">
        <f>IF(OR($H112="",$I112=""),0,IF(OR(BV$107&lt;$H112,BV$107&gt;$I112),0,$J112))</f>
        <v>0</v>
      </c>
      <c r="BW112" s="1085">
        <f>IF(OR($H112="",$I112=""),0,IF(OR(BW$107&lt;$H112,BW$107&gt;$I112),0,$J112))</f>
        <v>0</v>
      </c>
      <c r="CC112" s="131"/>
      <c r="CD112" s="131"/>
      <c r="CE112" s="131"/>
      <c r="CF112" s="131"/>
      <c r="CG112" s="131"/>
      <c r="CH112" s="131"/>
      <c r="CI112" s="131"/>
      <c r="CJ112" s="131"/>
      <c r="CK112" s="131"/>
      <c r="CL112" s="131"/>
      <c r="CM112" s="131"/>
      <c r="CN112" s="131"/>
      <c r="CO112" s="131"/>
      <c r="CP112" s="131"/>
      <c r="CQ112" s="131"/>
      <c r="CR112" s="131"/>
      <c r="CS112" s="131"/>
      <c r="CT112" s="131"/>
      <c r="CU112" s="131"/>
      <c r="CV112" s="131"/>
      <c r="CW112" s="131"/>
      <c r="CX112" s="131"/>
      <c r="CY112" s="131"/>
      <c r="CZ112" s="131"/>
      <c r="DA112" s="131"/>
      <c r="DB112" s="131"/>
      <c r="DC112" s="131"/>
      <c r="DD112" s="131"/>
    </row>
    <row r="113" spans="1:108" s="8" customFormat="1" ht="12" customHeight="1" thickBot="1" x14ac:dyDescent="0.4" hidden="1">
      <c r="A113" s="133">
        <v>6</v>
      </c>
      <c r="B113" s="1711" t="str">
        <f>IF(A113&gt;F$107,"{Can hide row}","")</f>
        <v/>
      </c>
      <c r="C113" s="9" t="str">
        <f>A113&amp;" "</f>
        <v xml:space="preserve">6 </v>
      </c>
      <c r="D113" s="1843"/>
      <c r="E113" s="1844"/>
      <c r="F113" s="1845"/>
      <c r="G113" s="590"/>
      <c r="H113" s="616"/>
      <c r="I113" s="616"/>
      <c r="J113" s="1055">
        <v>2</v>
      </c>
      <c r="K113" s="1048">
        <f>IF(I113&lt;&gt;"",$O$102,0)</f>
        <v>0</v>
      </c>
      <c r="L113" s="1050">
        <f>IF(I113&lt;&gt;"",L112,0)</f>
        <v>0</v>
      </c>
      <c r="M113" s="1049">
        <f>IF(I113&lt;&gt;"",M112,0)</f>
        <v>0</v>
      </c>
      <c r="N113" s="1001"/>
      <c r="P113" s="1083">
        <f>IF(OR($H113="",$I113=""),0,IF(OR(P$107&lt;$H113,P$107&gt;$I113),0,$J113))</f>
        <v>0</v>
      </c>
      <c r="Q113" s="1084">
        <f>IF(OR($H113="",$I113=""),0,IF(OR(Q$107&lt;$H113,Q$107&gt;$I113),0,$J113))</f>
        <v>0</v>
      </c>
      <c r="R113" s="1084">
        <f>IF(OR($H113="",$I113=""),0,IF(OR(R$107&lt;$H113,R$107&gt;$I113),0,$J113))</f>
        <v>0</v>
      </c>
      <c r="S113" s="1084">
        <f>IF(OR($H113="",$I113=""),0,IF(OR(S$107&lt;$H113,S$107&gt;$I113),0,$J113))</f>
        <v>0</v>
      </c>
      <c r="T113" s="1084">
        <f>IF(OR($H113="",$I113=""),0,IF(OR(T$107&lt;$H113,T$107&gt;$I113),0,$J113))</f>
        <v>0</v>
      </c>
      <c r="U113" s="1084">
        <f>IF(OR($H113="",$I113=""),0,IF(OR(U$107&lt;$H113,U$107&gt;$I113),0,$J113))</f>
        <v>0</v>
      </c>
      <c r="V113" s="1084">
        <f>IF(OR($H113="",$I113=""),0,IF(OR(V$107&lt;$H113,V$107&gt;$I113),0,$J113))</f>
        <v>0</v>
      </c>
      <c r="W113" s="1084">
        <f>IF(OR($H113="",$I113=""),0,IF(OR(W$107&lt;$H113,W$107&gt;$I113),0,$J113))</f>
        <v>0</v>
      </c>
      <c r="X113" s="1084">
        <f>IF(OR($H113="",$I113=""),0,IF(OR(X$107&lt;$H113,X$107&gt;$I113),0,$J113))</f>
        <v>0</v>
      </c>
      <c r="Y113" s="1084">
        <f>IF(OR($H113="",$I113=""),0,IF(OR(Y$107&lt;$H113,Y$107&gt;$I113),0,$J113))</f>
        <v>0</v>
      </c>
      <c r="Z113" s="1084">
        <f>IF(OR($H113="",$I113=""),0,IF(OR(Z$107&lt;$H113,Z$107&gt;$I113),0,$J113))</f>
        <v>0</v>
      </c>
      <c r="AA113" s="1084">
        <f>IF(OR($H113="",$I113=""),0,IF(OR(AA$107&lt;$H113,AA$107&gt;$I113),0,$J113))</f>
        <v>0</v>
      </c>
      <c r="AB113" s="1084">
        <f>IF(OR($H113="",$I113=""),0,IF(OR(AB$107&lt;$H113,AB$107&gt;$I113),0,$J113))</f>
        <v>0</v>
      </c>
      <c r="AC113" s="1084">
        <f>IF(OR($H113="",$I113=""),0,IF(OR(AC$107&lt;$H113,AC$107&gt;$I113),0,$J113))</f>
        <v>0</v>
      </c>
      <c r="AD113" s="1084">
        <f>IF(OR($H113="",$I113=""),0,IF(OR(AD$107&lt;$H113,AD$107&gt;$I113),0,$J113))</f>
        <v>0</v>
      </c>
      <c r="AE113" s="1084">
        <f>IF(OR($H113="",$I113=""),0,IF(OR(AE$107&lt;$H113,AE$107&gt;$I113),0,$J113))</f>
        <v>0</v>
      </c>
      <c r="AF113" s="1084">
        <f>IF(OR($H113="",$I113=""),0,IF(OR(AF$107&lt;$H113,AF$107&gt;$I113),0,$J113))</f>
        <v>0</v>
      </c>
      <c r="AG113" s="1084">
        <f>IF(OR($H113="",$I113=""),0,IF(OR(AG$107&lt;$H113,AG$107&gt;$I113),0,$J113))</f>
        <v>0</v>
      </c>
      <c r="AH113" s="1084">
        <f>IF(OR($H113="",$I113=""),0,IF(OR(AH$107&lt;$H113,AH$107&gt;$I113),0,$J113))</f>
        <v>0</v>
      </c>
      <c r="AI113" s="1084">
        <f>IF(OR($H113="",$I113=""),0,IF(OR(AI$107&lt;$H113,AI$107&gt;$I113),0,$J113))</f>
        <v>0</v>
      </c>
      <c r="AJ113" s="1084">
        <f>IF(OR($H113="",$I113=""),0,IF(OR(AJ$107&lt;$H113,AJ$107&gt;$I113),0,$J113))</f>
        <v>0</v>
      </c>
      <c r="AK113" s="1084">
        <f>IF(OR($H113="",$I113=""),0,IF(OR(AK$107&lt;$H113,AK$107&gt;$I113),0,$J113))</f>
        <v>0</v>
      </c>
      <c r="AL113" s="1084">
        <f>IF(OR($H113="",$I113=""),0,IF(OR(AL$107&lt;$H113,AL$107&gt;$I113),0,$J113))</f>
        <v>0</v>
      </c>
      <c r="AM113" s="1084">
        <f>IF(OR($H113="",$I113=""),0,IF(OR(AM$107&lt;$H113,AM$107&gt;$I113),0,$J113))</f>
        <v>0</v>
      </c>
      <c r="AN113" s="1084">
        <f>IF(OR($H113="",$I113=""),0,IF(OR(AN$107&lt;$H113,AN$107&gt;$I113),0,$J113))</f>
        <v>0</v>
      </c>
      <c r="AO113" s="1084">
        <f>IF(OR($H113="",$I113=""),0,IF(OR(AO$107&lt;$H113,AO$107&gt;$I113),0,$J113))</f>
        <v>0</v>
      </c>
      <c r="AP113" s="1084">
        <f>IF(OR($H113="",$I113=""),0,IF(OR(AP$107&lt;$H113,AP$107&gt;$I113),0,$J113))</f>
        <v>0</v>
      </c>
      <c r="AQ113" s="1084">
        <f>IF(OR($H113="",$I113=""),0,IF(OR(AQ$107&lt;$H113,AQ$107&gt;$I113),0,$J113))</f>
        <v>0</v>
      </c>
      <c r="AR113" s="1084">
        <f>IF(OR($H113="",$I113=""),0,IF(OR(AR$107&lt;$H113,AR$107&gt;$I113),0,$J113))</f>
        <v>0</v>
      </c>
      <c r="AS113" s="1084">
        <f>IF(OR($H113="",$I113=""),0,IF(OR(AS$107&lt;$H113,AS$107&gt;$I113),0,$J113))</f>
        <v>0</v>
      </c>
      <c r="AT113" s="1084">
        <f>IF(OR($H113="",$I113=""),0,IF(OR(AT$107&lt;$H113,AT$107&gt;$I113),0,$J113))</f>
        <v>0</v>
      </c>
      <c r="AU113" s="1084">
        <f>IF(OR($H113="",$I113=""),0,IF(OR(AU$107&lt;$H113,AU$107&gt;$I113),0,$J113))</f>
        <v>0</v>
      </c>
      <c r="AV113" s="1084">
        <f>IF(OR($H113="",$I113=""),0,IF(OR(AV$107&lt;$H113,AV$107&gt;$I113),0,$J113))</f>
        <v>0</v>
      </c>
      <c r="AW113" s="1084">
        <f>IF(OR($H113="",$I113=""),0,IF(OR(AW$107&lt;$H113,AW$107&gt;$I113),0,$J113))</f>
        <v>0</v>
      </c>
      <c r="AX113" s="1084">
        <f>IF(OR($H113="",$I113=""),0,IF(OR(AX$107&lt;$H113,AX$107&gt;$I113),0,$J113))</f>
        <v>0</v>
      </c>
      <c r="AY113" s="1085">
        <f>IF(OR($H113="",$I113=""),0,IF(OR(AY$107&lt;$H113,AY$107&gt;$I113),0,$J113))</f>
        <v>0</v>
      </c>
      <c r="AZ113" s="1240">
        <f>IF(OR($H113="",$I113=""),0,IF(OR(AZ$107&lt;$H113,AZ$107&gt;$I113),0,$J113))</f>
        <v>0</v>
      </c>
      <c r="BA113" s="1084">
        <f>IF(OR($H113="",$I113=""),0,IF(OR(BA$107&lt;$H113,BA$107&gt;$I113),0,$J113))</f>
        <v>0</v>
      </c>
      <c r="BB113" s="1084">
        <f>IF(OR($H113="",$I113=""),0,IF(OR(BB$107&lt;$H113,BB$107&gt;$I113),0,$J113))</f>
        <v>0</v>
      </c>
      <c r="BC113" s="1084">
        <f>IF(OR($H113="",$I113=""),0,IF(OR(BC$107&lt;$H113,BC$107&gt;$I113),0,$J113))</f>
        <v>0</v>
      </c>
      <c r="BD113" s="1084">
        <f>IF(OR($H113="",$I113=""),0,IF(OR(BD$107&lt;$H113,BD$107&gt;$I113),0,$J113))</f>
        <v>0</v>
      </c>
      <c r="BE113" s="1084">
        <f>IF(OR($H113="",$I113=""),0,IF(OR(BE$107&lt;$H113,BE$107&gt;$I113),0,$J113))</f>
        <v>0</v>
      </c>
      <c r="BF113" s="1084">
        <f>IF(OR($H113="",$I113=""),0,IF(OR(BF$107&lt;$H113,BF$107&gt;$I113),0,$J113))</f>
        <v>0</v>
      </c>
      <c r="BG113" s="1084">
        <f>IF(OR($H113="",$I113=""),0,IF(OR(BG$107&lt;$H113,BG$107&gt;$I113),0,$J113))</f>
        <v>0</v>
      </c>
      <c r="BH113" s="1084">
        <f>IF(OR($H113="",$I113=""),0,IF(OR(BH$107&lt;$H113,BH$107&gt;$I113),0,$J113))</f>
        <v>0</v>
      </c>
      <c r="BI113" s="1084">
        <f>IF(OR($H113="",$I113=""),0,IF(OR(BI$107&lt;$H113,BI$107&gt;$I113),0,$J113))</f>
        <v>0</v>
      </c>
      <c r="BJ113" s="1084">
        <f>IF(OR($H113="",$I113=""),0,IF(OR(BJ$107&lt;$H113,BJ$107&gt;$I113),0,$J113))</f>
        <v>0</v>
      </c>
      <c r="BK113" s="1084">
        <f>IF(OR($H113="",$I113=""),0,IF(OR(BK$107&lt;$H113,BK$107&gt;$I113),0,$J113))</f>
        <v>0</v>
      </c>
      <c r="BL113" s="1084">
        <f>IF(OR($H113="",$I113=""),0,IF(OR(BL$107&lt;$H113,BL$107&gt;$I113),0,$J113))</f>
        <v>0</v>
      </c>
      <c r="BM113" s="1084">
        <f>IF(OR($H113="",$I113=""),0,IF(OR(BM$107&lt;$H113,BM$107&gt;$I113),0,$J113))</f>
        <v>0</v>
      </c>
      <c r="BN113" s="1084">
        <f>IF(OR($H113="",$I113=""),0,IF(OR(BN$107&lt;$H113,BN$107&gt;$I113),0,$J113))</f>
        <v>0</v>
      </c>
      <c r="BO113" s="1084">
        <f>IF(OR($H113="",$I113=""),0,IF(OR(BO$107&lt;$H113,BO$107&gt;$I113),0,$J113))</f>
        <v>0</v>
      </c>
      <c r="BP113" s="1084">
        <f>IF(OR($H113="",$I113=""),0,IF(OR(BP$107&lt;$H113,BP$107&gt;$I113),0,$J113))</f>
        <v>0</v>
      </c>
      <c r="BQ113" s="1084">
        <f>IF(OR($H113="",$I113=""),0,IF(OR(BQ$107&lt;$H113,BQ$107&gt;$I113),0,$J113))</f>
        <v>0</v>
      </c>
      <c r="BR113" s="1084">
        <f>IF(OR($H113="",$I113=""),0,IF(OR(BR$107&lt;$H113,BR$107&gt;$I113),0,$J113))</f>
        <v>0</v>
      </c>
      <c r="BS113" s="1084">
        <f>IF(OR($H113="",$I113=""),0,IF(OR(BS$107&lt;$H113,BS$107&gt;$I113),0,$J113))</f>
        <v>0</v>
      </c>
      <c r="BT113" s="1084">
        <f>IF(OR($H113="",$I113=""),0,IF(OR(BT$107&lt;$H113,BT$107&gt;$I113),0,$J113))</f>
        <v>0</v>
      </c>
      <c r="BU113" s="1084">
        <f>IF(OR($H113="",$I113=""),0,IF(OR(BU$107&lt;$H113,BU$107&gt;$I113),0,$J113))</f>
        <v>0</v>
      </c>
      <c r="BV113" s="1084">
        <f>IF(OR($H113="",$I113=""),0,IF(OR(BV$107&lt;$H113,BV$107&gt;$I113),0,$J113))</f>
        <v>0</v>
      </c>
      <c r="BW113" s="1085">
        <f>IF(OR($H113="",$I113=""),0,IF(OR(BW$107&lt;$H113,BW$107&gt;$I113),0,$J113))</f>
        <v>0</v>
      </c>
      <c r="CC113" s="131"/>
      <c r="CD113" s="131"/>
      <c r="CE113" s="131"/>
      <c r="CF113" s="131"/>
      <c r="CG113" s="131"/>
      <c r="CH113" s="131"/>
      <c r="CI113" s="131"/>
      <c r="CJ113" s="131"/>
      <c r="CK113" s="131"/>
      <c r="CL113" s="131"/>
      <c r="CM113" s="131"/>
      <c r="CN113" s="131"/>
      <c r="CO113" s="131"/>
      <c r="CP113" s="131"/>
      <c r="CQ113" s="131"/>
      <c r="CR113" s="131"/>
      <c r="CS113" s="131"/>
      <c r="CT113" s="131"/>
      <c r="CU113" s="131"/>
      <c r="CV113" s="131"/>
      <c r="CW113" s="131"/>
      <c r="CX113" s="131"/>
      <c r="CY113" s="131"/>
      <c r="CZ113" s="131"/>
      <c r="DA113" s="131"/>
      <c r="DB113" s="131"/>
      <c r="DC113" s="131"/>
      <c r="DD113" s="131"/>
    </row>
    <row r="114" spans="1:108" s="8" customFormat="1" ht="12" customHeight="1" thickBot="1" x14ac:dyDescent="0.4" hidden="1">
      <c r="A114" s="133">
        <v>7</v>
      </c>
      <c r="B114" s="1711" t="str">
        <f>IF(A114&gt;F$107,"{Can hide row}","")</f>
        <v/>
      </c>
      <c r="C114" s="9" t="str">
        <f>A114&amp;" "</f>
        <v xml:space="preserve">7 </v>
      </c>
      <c r="D114" s="1843"/>
      <c r="E114" s="1844"/>
      <c r="F114" s="1845"/>
      <c r="G114" s="590"/>
      <c r="H114" s="616"/>
      <c r="I114" s="616"/>
      <c r="J114" s="1055">
        <v>3</v>
      </c>
      <c r="K114" s="1050">
        <f>IF(I114&lt;&gt;"",$O$102,0)</f>
        <v>0</v>
      </c>
      <c r="L114" s="1050">
        <f>IF(I114&lt;&gt;"",L113,0)</f>
        <v>0</v>
      </c>
      <c r="M114" s="1049">
        <f>IF(I114&lt;&gt;"",M113,0)</f>
        <v>0</v>
      </c>
      <c r="N114" s="1001"/>
      <c r="P114" s="1083">
        <f>IF(OR($H114="",$I114=""),0,IF(OR(P$107&lt;$H114,P$107&gt;$I114),0,$J114))</f>
        <v>0</v>
      </c>
      <c r="Q114" s="1084">
        <f>IF(OR($H114="",$I114=""),0,IF(OR(Q$107&lt;$H114,Q$107&gt;$I114),0,$J114))</f>
        <v>0</v>
      </c>
      <c r="R114" s="1084">
        <f>IF(OR($H114="",$I114=""),0,IF(OR(R$107&lt;$H114,R$107&gt;$I114),0,$J114))</f>
        <v>0</v>
      </c>
      <c r="S114" s="1084">
        <f>IF(OR($H114="",$I114=""),0,IF(OR(S$107&lt;$H114,S$107&gt;$I114),0,$J114))</f>
        <v>0</v>
      </c>
      <c r="T114" s="1084">
        <f>IF(OR($H114="",$I114=""),0,IF(OR(T$107&lt;$H114,T$107&gt;$I114),0,$J114))</f>
        <v>0</v>
      </c>
      <c r="U114" s="1084">
        <f>IF(OR($H114="",$I114=""),0,IF(OR(U$107&lt;$H114,U$107&gt;$I114),0,$J114))</f>
        <v>0</v>
      </c>
      <c r="V114" s="1084">
        <f>IF(OR($H114="",$I114=""),0,IF(OR(V$107&lt;$H114,V$107&gt;$I114),0,$J114))</f>
        <v>0</v>
      </c>
      <c r="W114" s="1084">
        <f>IF(OR($H114="",$I114=""),0,IF(OR(W$107&lt;$H114,W$107&gt;$I114),0,$J114))</f>
        <v>0</v>
      </c>
      <c r="X114" s="1084">
        <f>IF(OR($H114="",$I114=""),0,IF(OR(X$107&lt;$H114,X$107&gt;$I114),0,$J114))</f>
        <v>0</v>
      </c>
      <c r="Y114" s="1084">
        <f>IF(OR($H114="",$I114=""),0,IF(OR(Y$107&lt;$H114,Y$107&gt;$I114),0,$J114))</f>
        <v>0</v>
      </c>
      <c r="Z114" s="1084">
        <f>IF(OR($H114="",$I114=""),0,IF(OR(Z$107&lt;$H114,Z$107&gt;$I114),0,$J114))</f>
        <v>0</v>
      </c>
      <c r="AA114" s="1084">
        <f>IF(OR($H114="",$I114=""),0,IF(OR(AA$107&lt;$H114,AA$107&gt;$I114),0,$J114))</f>
        <v>0</v>
      </c>
      <c r="AB114" s="1084">
        <f>IF(OR($H114="",$I114=""),0,IF(OR(AB$107&lt;$H114,AB$107&gt;$I114),0,$J114))</f>
        <v>0</v>
      </c>
      <c r="AC114" s="1084">
        <f>IF(OR($H114="",$I114=""),0,IF(OR(AC$107&lt;$H114,AC$107&gt;$I114),0,$J114))</f>
        <v>0</v>
      </c>
      <c r="AD114" s="1084">
        <f>IF(OR($H114="",$I114=""),0,IF(OR(AD$107&lt;$H114,AD$107&gt;$I114),0,$J114))</f>
        <v>0</v>
      </c>
      <c r="AE114" s="1084">
        <f>IF(OR($H114="",$I114=""),0,IF(OR(AE$107&lt;$H114,AE$107&gt;$I114),0,$J114))</f>
        <v>0</v>
      </c>
      <c r="AF114" s="1084">
        <f>IF(OR($H114="",$I114=""),0,IF(OR(AF$107&lt;$H114,AF$107&gt;$I114),0,$J114))</f>
        <v>0</v>
      </c>
      <c r="AG114" s="1084">
        <f>IF(OR($H114="",$I114=""),0,IF(OR(AG$107&lt;$H114,AG$107&gt;$I114),0,$J114))</f>
        <v>0</v>
      </c>
      <c r="AH114" s="1084">
        <f>IF(OR($H114="",$I114=""),0,IF(OR(AH$107&lt;$H114,AH$107&gt;$I114),0,$J114))</f>
        <v>0</v>
      </c>
      <c r="AI114" s="1084">
        <f>IF(OR($H114="",$I114=""),0,IF(OR(AI$107&lt;$H114,AI$107&gt;$I114),0,$J114))</f>
        <v>0</v>
      </c>
      <c r="AJ114" s="1084">
        <f>IF(OR($H114="",$I114=""),0,IF(OR(AJ$107&lt;$H114,AJ$107&gt;$I114),0,$J114))</f>
        <v>0</v>
      </c>
      <c r="AK114" s="1084">
        <f>IF(OR($H114="",$I114=""),0,IF(OR(AK$107&lt;$H114,AK$107&gt;$I114),0,$J114))</f>
        <v>0</v>
      </c>
      <c r="AL114" s="1084">
        <f>IF(OR($H114="",$I114=""),0,IF(OR(AL$107&lt;$H114,AL$107&gt;$I114),0,$J114))</f>
        <v>0</v>
      </c>
      <c r="AM114" s="1084">
        <f>IF(OR($H114="",$I114=""),0,IF(OR(AM$107&lt;$H114,AM$107&gt;$I114),0,$J114))</f>
        <v>0</v>
      </c>
      <c r="AN114" s="1084">
        <f>IF(OR($H114="",$I114=""),0,IF(OR(AN$107&lt;$H114,AN$107&gt;$I114),0,$J114))</f>
        <v>0</v>
      </c>
      <c r="AO114" s="1084">
        <f>IF(OR($H114="",$I114=""),0,IF(OR(AO$107&lt;$H114,AO$107&gt;$I114),0,$J114))</f>
        <v>0</v>
      </c>
      <c r="AP114" s="1084">
        <f>IF(OR($H114="",$I114=""),0,IF(OR(AP$107&lt;$H114,AP$107&gt;$I114),0,$J114))</f>
        <v>0</v>
      </c>
      <c r="AQ114" s="1084">
        <f>IF(OR($H114="",$I114=""),0,IF(OR(AQ$107&lt;$H114,AQ$107&gt;$I114),0,$J114))</f>
        <v>0</v>
      </c>
      <c r="AR114" s="1084">
        <f>IF(OR($H114="",$I114=""),0,IF(OR(AR$107&lt;$H114,AR$107&gt;$I114),0,$J114))</f>
        <v>0</v>
      </c>
      <c r="AS114" s="1084">
        <f>IF(OR($H114="",$I114=""),0,IF(OR(AS$107&lt;$H114,AS$107&gt;$I114),0,$J114))</f>
        <v>0</v>
      </c>
      <c r="AT114" s="1084">
        <f>IF(OR($H114="",$I114=""),0,IF(OR(AT$107&lt;$H114,AT$107&gt;$I114),0,$J114))</f>
        <v>0</v>
      </c>
      <c r="AU114" s="1084">
        <f>IF(OR($H114="",$I114=""),0,IF(OR(AU$107&lt;$H114,AU$107&gt;$I114),0,$J114))</f>
        <v>0</v>
      </c>
      <c r="AV114" s="1084">
        <f>IF(OR($H114="",$I114=""),0,IF(OR(AV$107&lt;$H114,AV$107&gt;$I114),0,$J114))</f>
        <v>0</v>
      </c>
      <c r="AW114" s="1084">
        <f>IF(OR($H114="",$I114=""),0,IF(OR(AW$107&lt;$H114,AW$107&gt;$I114),0,$J114))</f>
        <v>0</v>
      </c>
      <c r="AX114" s="1084">
        <f>IF(OR($H114="",$I114=""),0,IF(OR(AX$107&lt;$H114,AX$107&gt;$I114),0,$J114))</f>
        <v>0</v>
      </c>
      <c r="AY114" s="1085">
        <f>IF(OR($H114="",$I114=""),0,IF(OR(AY$107&lt;$H114,AY$107&gt;$I114),0,$J114))</f>
        <v>0</v>
      </c>
      <c r="AZ114" s="1240">
        <f>IF(OR($H114="",$I114=""),0,IF(OR(AZ$107&lt;$H114,AZ$107&gt;$I114),0,$J114))</f>
        <v>0</v>
      </c>
      <c r="BA114" s="1084">
        <f>IF(OR($H114="",$I114=""),0,IF(OR(BA$107&lt;$H114,BA$107&gt;$I114),0,$J114))</f>
        <v>0</v>
      </c>
      <c r="BB114" s="1084">
        <f>IF(OR($H114="",$I114=""),0,IF(OR(BB$107&lt;$H114,BB$107&gt;$I114),0,$J114))</f>
        <v>0</v>
      </c>
      <c r="BC114" s="1084">
        <f>IF(OR($H114="",$I114=""),0,IF(OR(BC$107&lt;$H114,BC$107&gt;$I114),0,$J114))</f>
        <v>0</v>
      </c>
      <c r="BD114" s="1084">
        <f>IF(OR($H114="",$I114=""),0,IF(OR(BD$107&lt;$H114,BD$107&gt;$I114),0,$J114))</f>
        <v>0</v>
      </c>
      <c r="BE114" s="1084">
        <f>IF(OR($H114="",$I114=""),0,IF(OR(BE$107&lt;$H114,BE$107&gt;$I114),0,$J114))</f>
        <v>0</v>
      </c>
      <c r="BF114" s="1084">
        <f>IF(OR($H114="",$I114=""),0,IF(OR(BF$107&lt;$H114,BF$107&gt;$I114),0,$J114))</f>
        <v>0</v>
      </c>
      <c r="BG114" s="1084">
        <f>IF(OR($H114="",$I114=""),0,IF(OR(BG$107&lt;$H114,BG$107&gt;$I114),0,$J114))</f>
        <v>0</v>
      </c>
      <c r="BH114" s="1084">
        <f>IF(OR($H114="",$I114=""),0,IF(OR(BH$107&lt;$H114,BH$107&gt;$I114),0,$J114))</f>
        <v>0</v>
      </c>
      <c r="BI114" s="1084">
        <f>IF(OR($H114="",$I114=""),0,IF(OR(BI$107&lt;$H114,BI$107&gt;$I114),0,$J114))</f>
        <v>0</v>
      </c>
      <c r="BJ114" s="1084">
        <f>IF(OR($H114="",$I114=""),0,IF(OR(BJ$107&lt;$H114,BJ$107&gt;$I114),0,$J114))</f>
        <v>0</v>
      </c>
      <c r="BK114" s="1084">
        <f>IF(OR($H114="",$I114=""),0,IF(OR(BK$107&lt;$H114,BK$107&gt;$I114),0,$J114))</f>
        <v>0</v>
      </c>
      <c r="BL114" s="1084">
        <f>IF(OR($H114="",$I114=""),0,IF(OR(BL$107&lt;$H114,BL$107&gt;$I114),0,$J114))</f>
        <v>0</v>
      </c>
      <c r="BM114" s="1084">
        <f>IF(OR($H114="",$I114=""),0,IF(OR(BM$107&lt;$H114,BM$107&gt;$I114),0,$J114))</f>
        <v>0</v>
      </c>
      <c r="BN114" s="1084">
        <f>IF(OR($H114="",$I114=""),0,IF(OR(BN$107&lt;$H114,BN$107&gt;$I114),0,$J114))</f>
        <v>0</v>
      </c>
      <c r="BO114" s="1084">
        <f>IF(OR($H114="",$I114=""),0,IF(OR(BO$107&lt;$H114,BO$107&gt;$I114),0,$J114))</f>
        <v>0</v>
      </c>
      <c r="BP114" s="1084">
        <f>IF(OR($H114="",$I114=""),0,IF(OR(BP$107&lt;$H114,BP$107&gt;$I114),0,$J114))</f>
        <v>0</v>
      </c>
      <c r="BQ114" s="1084">
        <f>IF(OR($H114="",$I114=""),0,IF(OR(BQ$107&lt;$H114,BQ$107&gt;$I114),0,$J114))</f>
        <v>0</v>
      </c>
      <c r="BR114" s="1084">
        <f>IF(OR($H114="",$I114=""),0,IF(OR(BR$107&lt;$H114,BR$107&gt;$I114),0,$J114))</f>
        <v>0</v>
      </c>
      <c r="BS114" s="1084">
        <f>IF(OR($H114="",$I114=""),0,IF(OR(BS$107&lt;$H114,BS$107&gt;$I114),0,$J114))</f>
        <v>0</v>
      </c>
      <c r="BT114" s="1084">
        <f>IF(OR($H114="",$I114=""),0,IF(OR(BT$107&lt;$H114,BT$107&gt;$I114),0,$J114))</f>
        <v>0</v>
      </c>
      <c r="BU114" s="1084">
        <f>IF(OR($H114="",$I114=""),0,IF(OR(BU$107&lt;$H114,BU$107&gt;$I114),0,$J114))</f>
        <v>0</v>
      </c>
      <c r="BV114" s="1084">
        <f>IF(OR($H114="",$I114=""),0,IF(OR(BV$107&lt;$H114,BV$107&gt;$I114),0,$J114))</f>
        <v>0</v>
      </c>
      <c r="BW114" s="1085">
        <f>IF(OR($H114="",$I114=""),0,IF(OR(BW$107&lt;$H114,BW$107&gt;$I114),0,$J114))</f>
        <v>0</v>
      </c>
      <c r="CC114" s="131"/>
      <c r="CD114" s="131"/>
      <c r="CE114" s="131"/>
      <c r="CF114" s="131"/>
      <c r="CG114" s="131"/>
      <c r="CH114" s="131"/>
      <c r="CI114" s="131"/>
      <c r="CJ114" s="131"/>
      <c r="CK114" s="131"/>
      <c r="CL114" s="131"/>
      <c r="CM114" s="131"/>
      <c r="CN114" s="131"/>
      <c r="CO114" s="131"/>
      <c r="CP114" s="131"/>
      <c r="CQ114" s="131"/>
      <c r="CR114" s="131"/>
      <c r="CS114" s="131"/>
      <c r="CT114" s="131"/>
      <c r="CU114" s="131"/>
      <c r="CV114" s="131"/>
      <c r="CW114" s="131"/>
      <c r="CX114" s="131"/>
      <c r="CY114" s="131"/>
      <c r="CZ114" s="131"/>
      <c r="DA114" s="131"/>
      <c r="DB114" s="131"/>
      <c r="DC114" s="131"/>
      <c r="DD114" s="131"/>
    </row>
    <row r="115" spans="1:108" s="8" customFormat="1" ht="12" customHeight="1" thickBot="1" x14ac:dyDescent="0.4" hidden="1">
      <c r="A115" s="133">
        <v>8</v>
      </c>
      <c r="B115" s="1711" t="str">
        <f>IF(A115&gt;F$107,"{Can hide row}","")</f>
        <v/>
      </c>
      <c r="C115" s="9" t="str">
        <f>A115&amp;" "</f>
        <v xml:space="preserve">8 </v>
      </c>
      <c r="D115" s="1843"/>
      <c r="E115" s="1844"/>
      <c r="F115" s="1845"/>
      <c r="G115" s="590"/>
      <c r="H115" s="616"/>
      <c r="I115" s="616"/>
      <c r="J115" s="1055">
        <v>2</v>
      </c>
      <c r="K115" s="1050">
        <f>IF(I115&lt;&gt;"",$O$102,0)</f>
        <v>0</v>
      </c>
      <c r="L115" s="1050">
        <f>IF(I115&lt;&gt;"",L114,0)</f>
        <v>0</v>
      </c>
      <c r="M115" s="1049">
        <f>IF(I115&lt;&gt;"",M114,0)</f>
        <v>0</v>
      </c>
      <c r="N115" s="1001"/>
      <c r="P115" s="1083">
        <f>IF(OR($H115="",$I115=""),0,IF(OR(P$107&lt;$H115,P$107&gt;$I115),0,$J115))</f>
        <v>0</v>
      </c>
      <c r="Q115" s="1084">
        <f>IF(OR($H115="",$I115=""),0,IF(OR(Q$107&lt;$H115,Q$107&gt;$I115),0,$J115))</f>
        <v>0</v>
      </c>
      <c r="R115" s="1084">
        <f>IF(OR($H115="",$I115=""),0,IF(OR(R$107&lt;$H115,R$107&gt;$I115),0,$J115))</f>
        <v>0</v>
      </c>
      <c r="S115" s="1084">
        <f>IF(OR($H115="",$I115=""),0,IF(OR(S$107&lt;$H115,S$107&gt;$I115),0,$J115))</f>
        <v>0</v>
      </c>
      <c r="T115" s="1084">
        <f>IF(OR($H115="",$I115=""),0,IF(OR(T$107&lt;$H115,T$107&gt;$I115),0,$J115))</f>
        <v>0</v>
      </c>
      <c r="U115" s="1084">
        <f>IF(OR($H115="",$I115=""),0,IF(OR(U$107&lt;$H115,U$107&gt;$I115),0,$J115))</f>
        <v>0</v>
      </c>
      <c r="V115" s="1084">
        <f>IF(OR($H115="",$I115=""),0,IF(OR(V$107&lt;$H115,V$107&gt;$I115),0,$J115))</f>
        <v>0</v>
      </c>
      <c r="W115" s="1084">
        <f>IF(OR($H115="",$I115=""),0,IF(OR(W$107&lt;$H115,W$107&gt;$I115),0,$J115))</f>
        <v>0</v>
      </c>
      <c r="X115" s="1084">
        <f>IF(OR($H115="",$I115=""),0,IF(OR(X$107&lt;$H115,X$107&gt;$I115),0,$J115))</f>
        <v>0</v>
      </c>
      <c r="Y115" s="1084">
        <f>IF(OR($H115="",$I115=""),0,IF(OR(Y$107&lt;$H115,Y$107&gt;$I115),0,$J115))</f>
        <v>0</v>
      </c>
      <c r="Z115" s="1084">
        <f>IF(OR($H115="",$I115=""),0,IF(OR(Z$107&lt;$H115,Z$107&gt;$I115),0,$J115))</f>
        <v>0</v>
      </c>
      <c r="AA115" s="1084">
        <f>IF(OR($H115="",$I115=""),0,IF(OR(AA$107&lt;$H115,AA$107&gt;$I115),0,$J115))</f>
        <v>0</v>
      </c>
      <c r="AB115" s="1084">
        <f>IF(OR($H115="",$I115=""),0,IF(OR(AB$107&lt;$H115,AB$107&gt;$I115),0,$J115))</f>
        <v>0</v>
      </c>
      <c r="AC115" s="1084">
        <f>IF(OR($H115="",$I115=""),0,IF(OR(AC$107&lt;$H115,AC$107&gt;$I115),0,$J115))</f>
        <v>0</v>
      </c>
      <c r="AD115" s="1084">
        <f>IF(OR($H115="",$I115=""),0,IF(OR(AD$107&lt;$H115,AD$107&gt;$I115),0,$J115))</f>
        <v>0</v>
      </c>
      <c r="AE115" s="1084">
        <f>IF(OR($H115="",$I115=""),0,IF(OR(AE$107&lt;$H115,AE$107&gt;$I115),0,$J115))</f>
        <v>0</v>
      </c>
      <c r="AF115" s="1084">
        <f>IF(OR($H115="",$I115=""),0,IF(OR(AF$107&lt;$H115,AF$107&gt;$I115),0,$J115))</f>
        <v>0</v>
      </c>
      <c r="AG115" s="1084">
        <f>IF(OR($H115="",$I115=""),0,IF(OR(AG$107&lt;$H115,AG$107&gt;$I115),0,$J115))</f>
        <v>0</v>
      </c>
      <c r="AH115" s="1084">
        <f>IF(OR($H115="",$I115=""),0,IF(OR(AH$107&lt;$H115,AH$107&gt;$I115),0,$J115))</f>
        <v>0</v>
      </c>
      <c r="AI115" s="1084">
        <f>IF(OR($H115="",$I115=""),0,IF(OR(AI$107&lt;$H115,AI$107&gt;$I115),0,$J115))</f>
        <v>0</v>
      </c>
      <c r="AJ115" s="1084">
        <f>IF(OR($H115="",$I115=""),0,IF(OR(AJ$107&lt;$H115,AJ$107&gt;$I115),0,$J115))</f>
        <v>0</v>
      </c>
      <c r="AK115" s="1084">
        <f>IF(OR($H115="",$I115=""),0,IF(OR(AK$107&lt;$H115,AK$107&gt;$I115),0,$J115))</f>
        <v>0</v>
      </c>
      <c r="AL115" s="1084">
        <f>IF(OR($H115="",$I115=""),0,IF(OR(AL$107&lt;$H115,AL$107&gt;$I115),0,$J115))</f>
        <v>0</v>
      </c>
      <c r="AM115" s="1084">
        <f>IF(OR($H115="",$I115=""),0,IF(OR(AM$107&lt;$H115,AM$107&gt;$I115),0,$J115))</f>
        <v>0</v>
      </c>
      <c r="AN115" s="1084">
        <f>IF(OR($H115="",$I115=""),0,IF(OR(AN$107&lt;$H115,AN$107&gt;$I115),0,$J115))</f>
        <v>0</v>
      </c>
      <c r="AO115" s="1084">
        <f>IF(OR($H115="",$I115=""),0,IF(OR(AO$107&lt;$H115,AO$107&gt;$I115),0,$J115))</f>
        <v>0</v>
      </c>
      <c r="AP115" s="1084">
        <f>IF(OR($H115="",$I115=""),0,IF(OR(AP$107&lt;$H115,AP$107&gt;$I115),0,$J115))</f>
        <v>0</v>
      </c>
      <c r="AQ115" s="1084">
        <f>IF(OR($H115="",$I115=""),0,IF(OR(AQ$107&lt;$H115,AQ$107&gt;$I115),0,$J115))</f>
        <v>0</v>
      </c>
      <c r="AR115" s="1084">
        <f>IF(OR($H115="",$I115=""),0,IF(OR(AR$107&lt;$H115,AR$107&gt;$I115),0,$J115))</f>
        <v>0</v>
      </c>
      <c r="AS115" s="1084">
        <f>IF(OR($H115="",$I115=""),0,IF(OR(AS$107&lt;$H115,AS$107&gt;$I115),0,$J115))</f>
        <v>0</v>
      </c>
      <c r="AT115" s="1084">
        <f>IF(OR($H115="",$I115=""),0,IF(OR(AT$107&lt;$H115,AT$107&gt;$I115),0,$J115))</f>
        <v>0</v>
      </c>
      <c r="AU115" s="1084">
        <f>IF(OR($H115="",$I115=""),0,IF(OR(AU$107&lt;$H115,AU$107&gt;$I115),0,$J115))</f>
        <v>0</v>
      </c>
      <c r="AV115" s="1084">
        <f>IF(OR($H115="",$I115=""),0,IF(OR(AV$107&lt;$H115,AV$107&gt;$I115),0,$J115))</f>
        <v>0</v>
      </c>
      <c r="AW115" s="1084">
        <f>IF(OR($H115="",$I115=""),0,IF(OR(AW$107&lt;$H115,AW$107&gt;$I115),0,$J115))</f>
        <v>0</v>
      </c>
      <c r="AX115" s="1084">
        <f>IF(OR($H115="",$I115=""),0,IF(OR(AX$107&lt;$H115,AX$107&gt;$I115),0,$J115))</f>
        <v>0</v>
      </c>
      <c r="AY115" s="1085">
        <f>IF(OR($H115="",$I115=""),0,IF(OR(AY$107&lt;$H115,AY$107&gt;$I115),0,$J115))</f>
        <v>0</v>
      </c>
      <c r="AZ115" s="1240">
        <f>IF(OR($H115="",$I115=""),0,IF(OR(AZ$107&lt;$H115,AZ$107&gt;$I115),0,$J115))</f>
        <v>0</v>
      </c>
      <c r="BA115" s="1084">
        <f>IF(OR($H115="",$I115=""),0,IF(OR(BA$107&lt;$H115,BA$107&gt;$I115),0,$J115))</f>
        <v>0</v>
      </c>
      <c r="BB115" s="1084">
        <f>IF(OR($H115="",$I115=""),0,IF(OR(BB$107&lt;$H115,BB$107&gt;$I115),0,$J115))</f>
        <v>0</v>
      </c>
      <c r="BC115" s="1084">
        <f>IF(OR($H115="",$I115=""),0,IF(OR(BC$107&lt;$H115,BC$107&gt;$I115),0,$J115))</f>
        <v>0</v>
      </c>
      <c r="BD115" s="1084">
        <f>IF(OR($H115="",$I115=""),0,IF(OR(BD$107&lt;$H115,BD$107&gt;$I115),0,$J115))</f>
        <v>0</v>
      </c>
      <c r="BE115" s="1084">
        <f>IF(OR($H115="",$I115=""),0,IF(OR(BE$107&lt;$H115,BE$107&gt;$I115),0,$J115))</f>
        <v>0</v>
      </c>
      <c r="BF115" s="1084">
        <f>IF(OR($H115="",$I115=""),0,IF(OR(BF$107&lt;$H115,BF$107&gt;$I115),0,$J115))</f>
        <v>0</v>
      </c>
      <c r="BG115" s="1084">
        <f>IF(OR($H115="",$I115=""),0,IF(OR(BG$107&lt;$H115,BG$107&gt;$I115),0,$J115))</f>
        <v>0</v>
      </c>
      <c r="BH115" s="1084">
        <f>IF(OR($H115="",$I115=""),0,IF(OR(BH$107&lt;$H115,BH$107&gt;$I115),0,$J115))</f>
        <v>0</v>
      </c>
      <c r="BI115" s="1084">
        <f>IF(OR($H115="",$I115=""),0,IF(OR(BI$107&lt;$H115,BI$107&gt;$I115),0,$J115))</f>
        <v>0</v>
      </c>
      <c r="BJ115" s="1084">
        <f>IF(OR($H115="",$I115=""),0,IF(OR(BJ$107&lt;$H115,BJ$107&gt;$I115),0,$J115))</f>
        <v>0</v>
      </c>
      <c r="BK115" s="1084">
        <f>IF(OR($H115="",$I115=""),0,IF(OR(BK$107&lt;$H115,BK$107&gt;$I115),0,$J115))</f>
        <v>0</v>
      </c>
      <c r="BL115" s="1084">
        <f>IF(OR($H115="",$I115=""),0,IF(OR(BL$107&lt;$H115,BL$107&gt;$I115),0,$J115))</f>
        <v>0</v>
      </c>
      <c r="BM115" s="1084">
        <f>IF(OR($H115="",$I115=""),0,IF(OR(BM$107&lt;$H115,BM$107&gt;$I115),0,$J115))</f>
        <v>0</v>
      </c>
      <c r="BN115" s="1084">
        <f>IF(OR($H115="",$I115=""),0,IF(OR(BN$107&lt;$H115,BN$107&gt;$I115),0,$J115))</f>
        <v>0</v>
      </c>
      <c r="BO115" s="1084">
        <f>IF(OR($H115="",$I115=""),0,IF(OR(BO$107&lt;$H115,BO$107&gt;$I115),0,$J115))</f>
        <v>0</v>
      </c>
      <c r="BP115" s="1084">
        <f>IF(OR($H115="",$I115=""),0,IF(OR(BP$107&lt;$H115,BP$107&gt;$I115),0,$J115))</f>
        <v>0</v>
      </c>
      <c r="BQ115" s="1084">
        <f>IF(OR($H115="",$I115=""),0,IF(OR(BQ$107&lt;$H115,BQ$107&gt;$I115),0,$J115))</f>
        <v>0</v>
      </c>
      <c r="BR115" s="1084">
        <f>IF(OR($H115="",$I115=""),0,IF(OR(BR$107&lt;$H115,BR$107&gt;$I115),0,$J115))</f>
        <v>0</v>
      </c>
      <c r="BS115" s="1084">
        <f>IF(OR($H115="",$I115=""),0,IF(OR(BS$107&lt;$H115,BS$107&gt;$I115),0,$J115))</f>
        <v>0</v>
      </c>
      <c r="BT115" s="1084">
        <f>IF(OR($H115="",$I115=""),0,IF(OR(BT$107&lt;$H115,BT$107&gt;$I115),0,$J115))</f>
        <v>0</v>
      </c>
      <c r="BU115" s="1084">
        <f>IF(OR($H115="",$I115=""),0,IF(OR(BU$107&lt;$H115,BU$107&gt;$I115),0,$J115))</f>
        <v>0</v>
      </c>
      <c r="BV115" s="1084">
        <f>IF(OR($H115="",$I115=""),0,IF(OR(BV$107&lt;$H115,BV$107&gt;$I115),0,$J115))</f>
        <v>0</v>
      </c>
      <c r="BW115" s="1085">
        <f>IF(OR($H115="",$I115=""),0,IF(OR(BW$107&lt;$H115,BW$107&gt;$I115),0,$J115))</f>
        <v>0</v>
      </c>
      <c r="CC115" s="131"/>
      <c r="CD115" s="131"/>
      <c r="CE115" s="131"/>
      <c r="CF115" s="131"/>
      <c r="CG115" s="131"/>
      <c r="CH115" s="131"/>
      <c r="CI115" s="131"/>
      <c r="CJ115" s="131"/>
      <c r="CK115" s="131"/>
      <c r="CL115" s="131"/>
      <c r="CM115" s="131"/>
      <c r="CN115" s="131"/>
      <c r="CO115" s="131"/>
      <c r="CP115" s="131"/>
      <c r="CQ115" s="131"/>
      <c r="CR115" s="131"/>
      <c r="CS115" s="131"/>
      <c r="CT115" s="131"/>
      <c r="CU115" s="131"/>
      <c r="CV115" s="131"/>
      <c r="CW115" s="131"/>
      <c r="CX115" s="131"/>
      <c r="CY115" s="131"/>
      <c r="CZ115" s="131"/>
      <c r="DA115" s="131"/>
      <c r="DB115" s="131"/>
      <c r="DC115" s="131"/>
      <c r="DD115" s="131"/>
    </row>
    <row r="116" spans="1:108" s="8" customFormat="1" ht="12" customHeight="1" thickBot="1" x14ac:dyDescent="0.4" hidden="1">
      <c r="A116" s="133">
        <v>9</v>
      </c>
      <c r="B116" s="1711" t="str">
        <f>IF(A116&gt;F$107,"{Can hide row}","")</f>
        <v/>
      </c>
      <c r="C116" s="9" t="str">
        <f>A116&amp;" "</f>
        <v xml:space="preserve">9 </v>
      </c>
      <c r="D116" s="1843"/>
      <c r="E116" s="1844"/>
      <c r="F116" s="1845"/>
      <c r="G116" s="590"/>
      <c r="H116" s="616"/>
      <c r="I116" s="616"/>
      <c r="J116" s="1055">
        <f>IF(I116&lt;&gt;"",1,0)</f>
        <v>0</v>
      </c>
      <c r="K116" s="1050">
        <f>IF(I116&lt;&gt;"",$O$102,0)</f>
        <v>0</v>
      </c>
      <c r="L116" s="1050">
        <f>IF(I116&lt;&gt;"",L115,0)</f>
        <v>0</v>
      </c>
      <c r="M116" s="1049">
        <f>IF(I116&lt;&gt;"",M115,0)</f>
        <v>0</v>
      </c>
      <c r="N116" s="1001"/>
      <c r="P116" s="1083">
        <f>IF(OR($H116="",$I116=""),0,IF(OR(P$107&lt;$H116,P$107&gt;$I116),0,$J116))</f>
        <v>0</v>
      </c>
      <c r="Q116" s="1084">
        <f>IF(OR($H116="",$I116=""),0,IF(OR(Q$107&lt;$H116,Q$107&gt;$I116),0,$J116))</f>
        <v>0</v>
      </c>
      <c r="R116" s="1084">
        <f>IF(OR($H116="",$I116=""),0,IF(OR(R$107&lt;$H116,R$107&gt;$I116),0,$J116))</f>
        <v>0</v>
      </c>
      <c r="S116" s="1084">
        <f>IF(OR($H116="",$I116=""),0,IF(OR(S$107&lt;$H116,S$107&gt;$I116),0,$J116))</f>
        <v>0</v>
      </c>
      <c r="T116" s="1084">
        <f>IF(OR($H116="",$I116=""),0,IF(OR(T$107&lt;$H116,T$107&gt;$I116),0,$J116))</f>
        <v>0</v>
      </c>
      <c r="U116" s="1084">
        <f>IF(OR($H116="",$I116=""),0,IF(OR(U$107&lt;$H116,U$107&gt;$I116),0,$J116))</f>
        <v>0</v>
      </c>
      <c r="V116" s="1084">
        <f>IF(OR($H116="",$I116=""),0,IF(OR(V$107&lt;$H116,V$107&gt;$I116),0,$J116))</f>
        <v>0</v>
      </c>
      <c r="W116" s="1084">
        <f>IF(OR($H116="",$I116=""),0,IF(OR(W$107&lt;$H116,W$107&gt;$I116),0,$J116))</f>
        <v>0</v>
      </c>
      <c r="X116" s="1084">
        <f>IF(OR($H116="",$I116=""),0,IF(OR(X$107&lt;$H116,X$107&gt;$I116),0,$J116))</f>
        <v>0</v>
      </c>
      <c r="Y116" s="1084">
        <f>IF(OR($H116="",$I116=""),0,IF(OR(Y$107&lt;$H116,Y$107&gt;$I116),0,$J116))</f>
        <v>0</v>
      </c>
      <c r="Z116" s="1084">
        <f>IF(OR($H116="",$I116=""),0,IF(OR(Z$107&lt;$H116,Z$107&gt;$I116),0,$J116))</f>
        <v>0</v>
      </c>
      <c r="AA116" s="1084">
        <f>IF(OR($H116="",$I116=""),0,IF(OR(AA$107&lt;$H116,AA$107&gt;$I116),0,$J116))</f>
        <v>0</v>
      </c>
      <c r="AB116" s="1084">
        <f>IF(OR($H116="",$I116=""),0,IF(OR(AB$107&lt;$H116,AB$107&gt;$I116),0,$J116))</f>
        <v>0</v>
      </c>
      <c r="AC116" s="1084">
        <f>IF(OR($H116="",$I116=""),0,IF(OR(AC$107&lt;$H116,AC$107&gt;$I116),0,$J116))</f>
        <v>0</v>
      </c>
      <c r="AD116" s="1084">
        <f>IF(OR($H116="",$I116=""),0,IF(OR(AD$107&lt;$H116,AD$107&gt;$I116),0,$J116))</f>
        <v>0</v>
      </c>
      <c r="AE116" s="1084">
        <f>IF(OR($H116="",$I116=""),0,IF(OR(AE$107&lt;$H116,AE$107&gt;$I116),0,$J116))</f>
        <v>0</v>
      </c>
      <c r="AF116" s="1084">
        <f>IF(OR($H116="",$I116=""),0,IF(OR(AF$107&lt;$H116,AF$107&gt;$I116),0,$J116))</f>
        <v>0</v>
      </c>
      <c r="AG116" s="1084">
        <f>IF(OR($H116="",$I116=""),0,IF(OR(AG$107&lt;$H116,AG$107&gt;$I116),0,$J116))</f>
        <v>0</v>
      </c>
      <c r="AH116" s="1084">
        <f>IF(OR($H116="",$I116=""),0,IF(OR(AH$107&lt;$H116,AH$107&gt;$I116),0,$J116))</f>
        <v>0</v>
      </c>
      <c r="AI116" s="1084">
        <f>IF(OR($H116="",$I116=""),0,IF(OR(AI$107&lt;$H116,AI$107&gt;$I116),0,$J116))</f>
        <v>0</v>
      </c>
      <c r="AJ116" s="1084">
        <f>IF(OR($H116="",$I116=""),0,IF(OR(AJ$107&lt;$H116,AJ$107&gt;$I116),0,$J116))</f>
        <v>0</v>
      </c>
      <c r="AK116" s="1084">
        <f>IF(OR($H116="",$I116=""),0,IF(OR(AK$107&lt;$H116,AK$107&gt;$I116),0,$J116))</f>
        <v>0</v>
      </c>
      <c r="AL116" s="1084">
        <f>IF(OR($H116="",$I116=""),0,IF(OR(AL$107&lt;$H116,AL$107&gt;$I116),0,$J116))</f>
        <v>0</v>
      </c>
      <c r="AM116" s="1084">
        <f>IF(OR($H116="",$I116=""),0,IF(OR(AM$107&lt;$H116,AM$107&gt;$I116),0,$J116))</f>
        <v>0</v>
      </c>
      <c r="AN116" s="1084">
        <f>IF(OR($H116="",$I116=""),0,IF(OR(AN$107&lt;$H116,AN$107&gt;$I116),0,$J116))</f>
        <v>0</v>
      </c>
      <c r="AO116" s="1084">
        <f>IF(OR($H116="",$I116=""),0,IF(OR(AO$107&lt;$H116,AO$107&gt;$I116),0,$J116))</f>
        <v>0</v>
      </c>
      <c r="AP116" s="1084">
        <f>IF(OR($H116="",$I116=""),0,IF(OR(AP$107&lt;$H116,AP$107&gt;$I116),0,$J116))</f>
        <v>0</v>
      </c>
      <c r="AQ116" s="1084">
        <f>IF(OR($H116="",$I116=""),0,IF(OR(AQ$107&lt;$H116,AQ$107&gt;$I116),0,$J116))</f>
        <v>0</v>
      </c>
      <c r="AR116" s="1084">
        <f>IF(OR($H116="",$I116=""),0,IF(OR(AR$107&lt;$H116,AR$107&gt;$I116),0,$J116))</f>
        <v>0</v>
      </c>
      <c r="AS116" s="1084">
        <f>IF(OR($H116="",$I116=""),0,IF(OR(AS$107&lt;$H116,AS$107&gt;$I116),0,$J116))</f>
        <v>0</v>
      </c>
      <c r="AT116" s="1084">
        <f>IF(OR($H116="",$I116=""),0,IF(OR(AT$107&lt;$H116,AT$107&gt;$I116),0,$J116))</f>
        <v>0</v>
      </c>
      <c r="AU116" s="1084">
        <f>IF(OR($H116="",$I116=""),0,IF(OR(AU$107&lt;$H116,AU$107&gt;$I116),0,$J116))</f>
        <v>0</v>
      </c>
      <c r="AV116" s="1084">
        <f>IF(OR($H116="",$I116=""),0,IF(OR(AV$107&lt;$H116,AV$107&gt;$I116),0,$J116))</f>
        <v>0</v>
      </c>
      <c r="AW116" s="1084">
        <f>IF(OR($H116="",$I116=""),0,IF(OR(AW$107&lt;$H116,AW$107&gt;$I116),0,$J116))</f>
        <v>0</v>
      </c>
      <c r="AX116" s="1084">
        <f>IF(OR($H116="",$I116=""),0,IF(OR(AX$107&lt;$H116,AX$107&gt;$I116),0,$J116))</f>
        <v>0</v>
      </c>
      <c r="AY116" s="1085">
        <f>IF(OR($H116="",$I116=""),0,IF(OR(AY$107&lt;$H116,AY$107&gt;$I116),0,$J116))</f>
        <v>0</v>
      </c>
      <c r="AZ116" s="1240">
        <f>IF(OR($H116="",$I116=""),0,IF(OR(AZ$107&lt;$H116,AZ$107&gt;$I116),0,$J116))</f>
        <v>0</v>
      </c>
      <c r="BA116" s="1084">
        <f>IF(OR($H116="",$I116=""),0,IF(OR(BA$107&lt;$H116,BA$107&gt;$I116),0,$J116))</f>
        <v>0</v>
      </c>
      <c r="BB116" s="1084">
        <f>IF(OR($H116="",$I116=""),0,IF(OR(BB$107&lt;$H116,BB$107&gt;$I116),0,$J116))</f>
        <v>0</v>
      </c>
      <c r="BC116" s="1084">
        <f>IF(OR($H116="",$I116=""),0,IF(OR(BC$107&lt;$H116,BC$107&gt;$I116),0,$J116))</f>
        <v>0</v>
      </c>
      <c r="BD116" s="1084">
        <f>IF(OR($H116="",$I116=""),0,IF(OR(BD$107&lt;$H116,BD$107&gt;$I116),0,$J116))</f>
        <v>0</v>
      </c>
      <c r="BE116" s="1084">
        <f>IF(OR($H116="",$I116=""),0,IF(OR(BE$107&lt;$H116,BE$107&gt;$I116),0,$J116))</f>
        <v>0</v>
      </c>
      <c r="BF116" s="1084">
        <f>IF(OR($H116="",$I116=""),0,IF(OR(BF$107&lt;$H116,BF$107&gt;$I116),0,$J116))</f>
        <v>0</v>
      </c>
      <c r="BG116" s="1084">
        <f>IF(OR($H116="",$I116=""),0,IF(OR(BG$107&lt;$H116,BG$107&gt;$I116),0,$J116))</f>
        <v>0</v>
      </c>
      <c r="BH116" s="1084">
        <f>IF(OR($H116="",$I116=""),0,IF(OR(BH$107&lt;$H116,BH$107&gt;$I116),0,$J116))</f>
        <v>0</v>
      </c>
      <c r="BI116" s="1084">
        <f>IF(OR($H116="",$I116=""),0,IF(OR(BI$107&lt;$H116,BI$107&gt;$I116),0,$J116))</f>
        <v>0</v>
      </c>
      <c r="BJ116" s="1084">
        <f>IF(OR($H116="",$I116=""),0,IF(OR(BJ$107&lt;$H116,BJ$107&gt;$I116),0,$J116))</f>
        <v>0</v>
      </c>
      <c r="BK116" s="1084">
        <f>IF(OR($H116="",$I116=""),0,IF(OR(BK$107&lt;$H116,BK$107&gt;$I116),0,$J116))</f>
        <v>0</v>
      </c>
      <c r="BL116" s="1084">
        <f>IF(OR($H116="",$I116=""),0,IF(OR(BL$107&lt;$H116,BL$107&gt;$I116),0,$J116))</f>
        <v>0</v>
      </c>
      <c r="BM116" s="1084">
        <f>IF(OR($H116="",$I116=""),0,IF(OR(BM$107&lt;$H116,BM$107&gt;$I116),0,$J116))</f>
        <v>0</v>
      </c>
      <c r="BN116" s="1084">
        <f>IF(OR($H116="",$I116=""),0,IF(OR(BN$107&lt;$H116,BN$107&gt;$I116),0,$J116))</f>
        <v>0</v>
      </c>
      <c r="BO116" s="1084">
        <f>IF(OR($H116="",$I116=""),0,IF(OR(BO$107&lt;$H116,BO$107&gt;$I116),0,$J116))</f>
        <v>0</v>
      </c>
      <c r="BP116" s="1084">
        <f>IF(OR($H116="",$I116=""),0,IF(OR(BP$107&lt;$H116,BP$107&gt;$I116),0,$J116))</f>
        <v>0</v>
      </c>
      <c r="BQ116" s="1084">
        <f>IF(OR($H116="",$I116=""),0,IF(OR(BQ$107&lt;$H116,BQ$107&gt;$I116),0,$J116))</f>
        <v>0</v>
      </c>
      <c r="BR116" s="1084">
        <f>IF(OR($H116="",$I116=""),0,IF(OR(BR$107&lt;$H116,BR$107&gt;$I116),0,$J116))</f>
        <v>0</v>
      </c>
      <c r="BS116" s="1084">
        <f>IF(OR($H116="",$I116=""),0,IF(OR(BS$107&lt;$H116,BS$107&gt;$I116),0,$J116))</f>
        <v>0</v>
      </c>
      <c r="BT116" s="1084">
        <f>IF(OR($H116="",$I116=""),0,IF(OR(BT$107&lt;$H116,BT$107&gt;$I116),0,$J116))</f>
        <v>0</v>
      </c>
      <c r="BU116" s="1084">
        <f>IF(OR($H116="",$I116=""),0,IF(OR(BU$107&lt;$H116,BU$107&gt;$I116),0,$J116))</f>
        <v>0</v>
      </c>
      <c r="BV116" s="1084">
        <f>IF(OR($H116="",$I116=""),0,IF(OR(BV$107&lt;$H116,BV$107&gt;$I116),0,$J116))</f>
        <v>0</v>
      </c>
      <c r="BW116" s="1085">
        <f>IF(OR($H116="",$I116=""),0,IF(OR(BW$107&lt;$H116,BW$107&gt;$I116),0,$J116))</f>
        <v>0</v>
      </c>
      <c r="CC116" s="131"/>
      <c r="CD116" s="131"/>
      <c r="CE116" s="131"/>
      <c r="CF116" s="131"/>
      <c r="CG116" s="131"/>
      <c r="CH116" s="131"/>
      <c r="CI116" s="131"/>
      <c r="CJ116" s="131"/>
      <c r="CK116" s="131"/>
      <c r="CL116" s="131"/>
      <c r="CM116" s="131"/>
      <c r="CN116" s="131"/>
      <c r="CO116" s="131"/>
      <c r="CP116" s="131"/>
      <c r="CQ116" s="131"/>
      <c r="CR116" s="131"/>
      <c r="CS116" s="131"/>
      <c r="CT116" s="131"/>
      <c r="CU116" s="131"/>
      <c r="CV116" s="131"/>
      <c r="CW116" s="131"/>
      <c r="CX116" s="131"/>
      <c r="CY116" s="131"/>
      <c r="CZ116" s="131"/>
      <c r="DA116" s="131"/>
      <c r="DB116" s="131"/>
      <c r="DC116" s="131"/>
      <c r="DD116" s="131"/>
    </row>
    <row r="117" spans="1:108" s="8" customFormat="1" ht="12" customHeight="1" thickBot="1" x14ac:dyDescent="0.4" hidden="1">
      <c r="A117" s="133">
        <v>10</v>
      </c>
      <c r="B117" s="1711" t="str">
        <f>IF(A117&gt;F$107,"{Can hide row}","")</f>
        <v/>
      </c>
      <c r="C117" s="9" t="str">
        <f>A117&amp;" "</f>
        <v xml:space="preserve">10 </v>
      </c>
      <c r="D117" s="1843"/>
      <c r="E117" s="1844"/>
      <c r="F117" s="1845"/>
      <c r="G117" s="590"/>
      <c r="H117" s="616"/>
      <c r="I117" s="616"/>
      <c r="J117" s="1055">
        <f>IF(I117&lt;&gt;"",1,0)</f>
        <v>0</v>
      </c>
      <c r="K117" s="1050">
        <f>IF(I117&lt;&gt;"",$O$102,0)</f>
        <v>0</v>
      </c>
      <c r="L117" s="1050">
        <f>IF(I117&lt;&gt;"",L116,0)</f>
        <v>0</v>
      </c>
      <c r="M117" s="1049">
        <f>IF(I117&lt;&gt;"",M116,0)</f>
        <v>0</v>
      </c>
      <c r="N117" s="1001"/>
      <c r="P117" s="1083">
        <f>IF(OR($H117="",$I117=""),0,IF(OR(P$107&lt;$H117,P$107&gt;$I117),0,$J117))</f>
        <v>0</v>
      </c>
      <c r="Q117" s="1084">
        <f>IF(OR($H117="",$I117=""),0,IF(OR(Q$107&lt;$H117,Q$107&gt;$I117),0,$J117))</f>
        <v>0</v>
      </c>
      <c r="R117" s="1084">
        <f>IF(OR($H117="",$I117=""),0,IF(OR(R$107&lt;$H117,R$107&gt;$I117),0,$J117))</f>
        <v>0</v>
      </c>
      <c r="S117" s="1084">
        <f>IF(OR($H117="",$I117=""),0,IF(OR(S$107&lt;$H117,S$107&gt;$I117),0,$J117))</f>
        <v>0</v>
      </c>
      <c r="T117" s="1084">
        <f>IF(OR($H117="",$I117=""),0,IF(OR(T$107&lt;$H117,T$107&gt;$I117),0,$J117))</f>
        <v>0</v>
      </c>
      <c r="U117" s="1084">
        <f>IF(OR($H117="",$I117=""),0,IF(OR(U$107&lt;$H117,U$107&gt;$I117),0,$J117))</f>
        <v>0</v>
      </c>
      <c r="V117" s="1084">
        <f>IF(OR($H117="",$I117=""),0,IF(OR(V$107&lt;$H117,V$107&gt;$I117),0,$J117))</f>
        <v>0</v>
      </c>
      <c r="W117" s="1084">
        <f>IF(OR($H117="",$I117=""),0,IF(OR(W$107&lt;$H117,W$107&gt;$I117),0,$J117))</f>
        <v>0</v>
      </c>
      <c r="X117" s="1084">
        <f>IF(OR($H117="",$I117=""),0,IF(OR(X$107&lt;$H117,X$107&gt;$I117),0,$J117))</f>
        <v>0</v>
      </c>
      <c r="Y117" s="1084">
        <f>IF(OR($H117="",$I117=""),0,IF(OR(Y$107&lt;$H117,Y$107&gt;$I117),0,$J117))</f>
        <v>0</v>
      </c>
      <c r="Z117" s="1084">
        <f>IF(OR($H117="",$I117=""),0,IF(OR(Z$107&lt;$H117,Z$107&gt;$I117),0,$J117))</f>
        <v>0</v>
      </c>
      <c r="AA117" s="1084">
        <f>IF(OR($H117="",$I117=""),0,IF(OR(AA$107&lt;$H117,AA$107&gt;$I117),0,$J117))</f>
        <v>0</v>
      </c>
      <c r="AB117" s="1084">
        <f>IF(OR($H117="",$I117=""),0,IF(OR(AB$107&lt;$H117,AB$107&gt;$I117),0,$J117))</f>
        <v>0</v>
      </c>
      <c r="AC117" s="1084">
        <f>IF(OR($H117="",$I117=""),0,IF(OR(AC$107&lt;$H117,AC$107&gt;$I117),0,$J117))</f>
        <v>0</v>
      </c>
      <c r="AD117" s="1084">
        <f>IF(OR($H117="",$I117=""),0,IF(OR(AD$107&lt;$H117,AD$107&gt;$I117),0,$J117))</f>
        <v>0</v>
      </c>
      <c r="AE117" s="1084">
        <f>IF(OR($H117="",$I117=""),0,IF(OR(AE$107&lt;$H117,AE$107&gt;$I117),0,$J117))</f>
        <v>0</v>
      </c>
      <c r="AF117" s="1084">
        <f>IF(OR($H117="",$I117=""),0,IF(OR(AF$107&lt;$H117,AF$107&gt;$I117),0,$J117))</f>
        <v>0</v>
      </c>
      <c r="AG117" s="1084">
        <f>IF(OR($H117="",$I117=""),0,IF(OR(AG$107&lt;$H117,AG$107&gt;$I117),0,$J117))</f>
        <v>0</v>
      </c>
      <c r="AH117" s="1084">
        <f>IF(OR($H117="",$I117=""),0,IF(OR(AH$107&lt;$H117,AH$107&gt;$I117),0,$J117))</f>
        <v>0</v>
      </c>
      <c r="AI117" s="1084">
        <f>IF(OR($H117="",$I117=""),0,IF(OR(AI$107&lt;$H117,AI$107&gt;$I117),0,$J117))</f>
        <v>0</v>
      </c>
      <c r="AJ117" s="1084">
        <f>IF(OR($H117="",$I117=""),0,IF(OR(AJ$107&lt;$H117,AJ$107&gt;$I117),0,$J117))</f>
        <v>0</v>
      </c>
      <c r="AK117" s="1084">
        <f>IF(OR($H117="",$I117=""),0,IF(OR(AK$107&lt;$H117,AK$107&gt;$I117),0,$J117))</f>
        <v>0</v>
      </c>
      <c r="AL117" s="1084">
        <f>IF(OR($H117="",$I117=""),0,IF(OR(AL$107&lt;$H117,AL$107&gt;$I117),0,$J117))</f>
        <v>0</v>
      </c>
      <c r="AM117" s="1084">
        <f>IF(OR($H117="",$I117=""),0,IF(OR(AM$107&lt;$H117,AM$107&gt;$I117),0,$J117))</f>
        <v>0</v>
      </c>
      <c r="AN117" s="1084">
        <f>IF(OR($H117="",$I117=""),0,IF(OR(AN$107&lt;$H117,AN$107&gt;$I117),0,$J117))</f>
        <v>0</v>
      </c>
      <c r="AO117" s="1084">
        <f>IF(OR($H117="",$I117=""),0,IF(OR(AO$107&lt;$H117,AO$107&gt;$I117),0,$J117))</f>
        <v>0</v>
      </c>
      <c r="AP117" s="1084">
        <f>IF(OR($H117="",$I117=""),0,IF(OR(AP$107&lt;$H117,AP$107&gt;$I117),0,$J117))</f>
        <v>0</v>
      </c>
      <c r="AQ117" s="1084">
        <f>IF(OR($H117="",$I117=""),0,IF(OR(AQ$107&lt;$H117,AQ$107&gt;$I117),0,$J117))</f>
        <v>0</v>
      </c>
      <c r="AR117" s="1084">
        <f>IF(OR($H117="",$I117=""),0,IF(OR(AR$107&lt;$H117,AR$107&gt;$I117),0,$J117))</f>
        <v>0</v>
      </c>
      <c r="AS117" s="1084">
        <f>IF(OR($H117="",$I117=""),0,IF(OR(AS$107&lt;$H117,AS$107&gt;$I117),0,$J117))</f>
        <v>0</v>
      </c>
      <c r="AT117" s="1084">
        <f>IF(OR($H117="",$I117=""),0,IF(OR(AT$107&lt;$H117,AT$107&gt;$I117),0,$J117))</f>
        <v>0</v>
      </c>
      <c r="AU117" s="1084">
        <f>IF(OR($H117="",$I117=""),0,IF(OR(AU$107&lt;$H117,AU$107&gt;$I117),0,$J117))</f>
        <v>0</v>
      </c>
      <c r="AV117" s="1084">
        <f>IF(OR($H117="",$I117=""),0,IF(OR(AV$107&lt;$H117,AV$107&gt;$I117),0,$J117))</f>
        <v>0</v>
      </c>
      <c r="AW117" s="1084">
        <f>IF(OR($H117="",$I117=""),0,IF(OR(AW$107&lt;$H117,AW$107&gt;$I117),0,$J117))</f>
        <v>0</v>
      </c>
      <c r="AX117" s="1084">
        <f>IF(OR($H117="",$I117=""),0,IF(OR(AX$107&lt;$H117,AX$107&gt;$I117),0,$J117))</f>
        <v>0</v>
      </c>
      <c r="AY117" s="1085">
        <f>IF(OR($H117="",$I117=""),0,IF(OR(AY$107&lt;$H117,AY$107&gt;$I117),0,$J117))</f>
        <v>0</v>
      </c>
      <c r="AZ117" s="1240">
        <f>IF(OR($H117="",$I117=""),0,IF(OR(AZ$107&lt;$H117,AZ$107&gt;$I117),0,$J117))</f>
        <v>0</v>
      </c>
      <c r="BA117" s="1084">
        <f>IF(OR($H117="",$I117=""),0,IF(OR(BA$107&lt;$H117,BA$107&gt;$I117),0,$J117))</f>
        <v>0</v>
      </c>
      <c r="BB117" s="1084">
        <f>IF(OR($H117="",$I117=""),0,IF(OR(BB$107&lt;$H117,BB$107&gt;$I117),0,$J117))</f>
        <v>0</v>
      </c>
      <c r="BC117" s="1084">
        <f>IF(OR($H117="",$I117=""),0,IF(OR(BC$107&lt;$H117,BC$107&gt;$I117),0,$J117))</f>
        <v>0</v>
      </c>
      <c r="BD117" s="1084">
        <f>IF(OR($H117="",$I117=""),0,IF(OR(BD$107&lt;$H117,BD$107&gt;$I117),0,$J117))</f>
        <v>0</v>
      </c>
      <c r="BE117" s="1084">
        <f>IF(OR($H117="",$I117=""),0,IF(OR(BE$107&lt;$H117,BE$107&gt;$I117),0,$J117))</f>
        <v>0</v>
      </c>
      <c r="BF117" s="1084">
        <f>IF(OR($H117="",$I117=""),0,IF(OR(BF$107&lt;$H117,BF$107&gt;$I117),0,$J117))</f>
        <v>0</v>
      </c>
      <c r="BG117" s="1084">
        <f>IF(OR($H117="",$I117=""),0,IF(OR(BG$107&lt;$H117,BG$107&gt;$I117),0,$J117))</f>
        <v>0</v>
      </c>
      <c r="BH117" s="1084">
        <f>IF(OR($H117="",$I117=""),0,IF(OR(BH$107&lt;$H117,BH$107&gt;$I117),0,$J117))</f>
        <v>0</v>
      </c>
      <c r="BI117" s="1084">
        <f>IF(OR($H117="",$I117=""),0,IF(OR(BI$107&lt;$H117,BI$107&gt;$I117),0,$J117))</f>
        <v>0</v>
      </c>
      <c r="BJ117" s="1084">
        <f>IF(OR($H117="",$I117=""),0,IF(OR(BJ$107&lt;$H117,BJ$107&gt;$I117),0,$J117))</f>
        <v>0</v>
      </c>
      <c r="BK117" s="1084">
        <f>IF(OR($H117="",$I117=""),0,IF(OR(BK$107&lt;$H117,BK$107&gt;$I117),0,$J117))</f>
        <v>0</v>
      </c>
      <c r="BL117" s="1084">
        <f>IF(OR($H117="",$I117=""),0,IF(OR(BL$107&lt;$H117,BL$107&gt;$I117),0,$J117))</f>
        <v>0</v>
      </c>
      <c r="BM117" s="1084">
        <f>IF(OR($H117="",$I117=""),0,IF(OR(BM$107&lt;$H117,BM$107&gt;$I117),0,$J117))</f>
        <v>0</v>
      </c>
      <c r="BN117" s="1084">
        <f>IF(OR($H117="",$I117=""),0,IF(OR(BN$107&lt;$H117,BN$107&gt;$I117),0,$J117))</f>
        <v>0</v>
      </c>
      <c r="BO117" s="1084">
        <f>IF(OR($H117="",$I117=""),0,IF(OR(BO$107&lt;$H117,BO$107&gt;$I117),0,$J117))</f>
        <v>0</v>
      </c>
      <c r="BP117" s="1084">
        <f>IF(OR($H117="",$I117=""),0,IF(OR(BP$107&lt;$H117,BP$107&gt;$I117),0,$J117))</f>
        <v>0</v>
      </c>
      <c r="BQ117" s="1084">
        <f>IF(OR($H117="",$I117=""),0,IF(OR(BQ$107&lt;$H117,BQ$107&gt;$I117),0,$J117))</f>
        <v>0</v>
      </c>
      <c r="BR117" s="1084">
        <f>IF(OR($H117="",$I117=""),0,IF(OR(BR$107&lt;$H117,BR$107&gt;$I117),0,$J117))</f>
        <v>0</v>
      </c>
      <c r="BS117" s="1084">
        <f>IF(OR($H117="",$I117=""),0,IF(OR(BS$107&lt;$H117,BS$107&gt;$I117),0,$J117))</f>
        <v>0</v>
      </c>
      <c r="BT117" s="1084">
        <f>IF(OR($H117="",$I117=""),0,IF(OR(BT$107&lt;$H117,BT$107&gt;$I117),0,$J117))</f>
        <v>0</v>
      </c>
      <c r="BU117" s="1084">
        <f>IF(OR($H117="",$I117=""),0,IF(OR(BU$107&lt;$H117,BU$107&gt;$I117),0,$J117))</f>
        <v>0</v>
      </c>
      <c r="BV117" s="1084">
        <f>IF(OR($H117="",$I117=""),0,IF(OR(BV$107&lt;$H117,BV$107&gt;$I117),0,$J117))</f>
        <v>0</v>
      </c>
      <c r="BW117" s="1085">
        <f>IF(OR($H117="",$I117=""),0,IF(OR(BW$107&lt;$H117,BW$107&gt;$I117),0,$J117))</f>
        <v>0</v>
      </c>
      <c r="CC117" s="131"/>
      <c r="CD117" s="131"/>
      <c r="CE117" s="131"/>
      <c r="CF117" s="131"/>
      <c r="CG117" s="131"/>
      <c r="CH117" s="131"/>
      <c r="CI117" s="131"/>
      <c r="CJ117" s="131"/>
      <c r="CK117" s="131"/>
      <c r="CL117" s="131"/>
      <c r="CM117" s="131"/>
      <c r="CN117" s="131"/>
      <c r="CO117" s="131"/>
      <c r="CP117" s="131"/>
      <c r="CQ117" s="131"/>
      <c r="CR117" s="131"/>
      <c r="CS117" s="131"/>
      <c r="CT117" s="131"/>
      <c r="CU117" s="131"/>
      <c r="CV117" s="131"/>
      <c r="CW117" s="131"/>
      <c r="CX117" s="131"/>
      <c r="CY117" s="131"/>
      <c r="CZ117" s="131"/>
      <c r="DA117" s="131"/>
      <c r="DB117" s="131"/>
      <c r="DC117" s="131"/>
      <c r="DD117" s="131"/>
    </row>
    <row r="118" spans="1:108" s="8" customFormat="1" ht="12" customHeight="1" thickBot="1" x14ac:dyDescent="0.4" hidden="1">
      <c r="A118" s="133">
        <v>11</v>
      </c>
      <c r="B118" s="1711" t="str">
        <f>IF(A118&gt;F$107,"{Can hide row}","")</f>
        <v/>
      </c>
      <c r="C118" s="9" t="str">
        <f>A118&amp;" "</f>
        <v xml:space="preserve">11 </v>
      </c>
      <c r="D118" s="1843"/>
      <c r="E118" s="1844"/>
      <c r="F118" s="1845"/>
      <c r="G118" s="590"/>
      <c r="H118" s="616"/>
      <c r="I118" s="616"/>
      <c r="J118" s="1055">
        <f>IF(I118&lt;&gt;"",1,0)</f>
        <v>0</v>
      </c>
      <c r="K118" s="1050">
        <f>IF(I118&lt;&gt;"",$O$102,0)</f>
        <v>0</v>
      </c>
      <c r="L118" s="1050">
        <f>IF(I118&lt;&gt;"",L117,0)</f>
        <v>0</v>
      </c>
      <c r="M118" s="1049">
        <f>IF(I118&lt;&gt;"",M117,0)</f>
        <v>0</v>
      </c>
      <c r="N118" s="1001"/>
      <c r="P118" s="1083">
        <f>IF(OR($H118="",$I118=""),0,IF(OR(P$107&lt;$H118,P$107&gt;$I118),0,$J118))</f>
        <v>0</v>
      </c>
      <c r="Q118" s="1084">
        <f>IF(OR($H118="",$I118=""),0,IF(OR(Q$107&lt;$H118,Q$107&gt;$I118),0,$J118))</f>
        <v>0</v>
      </c>
      <c r="R118" s="1084">
        <f>IF(OR($H118="",$I118=""),0,IF(OR(R$107&lt;$H118,R$107&gt;$I118),0,$J118))</f>
        <v>0</v>
      </c>
      <c r="S118" s="1084">
        <f>IF(OR($H118="",$I118=""),0,IF(OR(S$107&lt;$H118,S$107&gt;$I118),0,$J118))</f>
        <v>0</v>
      </c>
      <c r="T118" s="1084">
        <f>IF(OR($H118="",$I118=""),0,IF(OR(T$107&lt;$H118,T$107&gt;$I118),0,$J118))</f>
        <v>0</v>
      </c>
      <c r="U118" s="1084">
        <f>IF(OR($H118="",$I118=""),0,IF(OR(U$107&lt;$H118,U$107&gt;$I118),0,$J118))</f>
        <v>0</v>
      </c>
      <c r="V118" s="1084">
        <f>IF(OR($H118="",$I118=""),0,IF(OR(V$107&lt;$H118,V$107&gt;$I118),0,$J118))</f>
        <v>0</v>
      </c>
      <c r="W118" s="1084">
        <f>IF(OR($H118="",$I118=""),0,IF(OR(W$107&lt;$H118,W$107&gt;$I118),0,$J118))</f>
        <v>0</v>
      </c>
      <c r="X118" s="1084">
        <f>IF(OR($H118="",$I118=""),0,IF(OR(X$107&lt;$H118,X$107&gt;$I118),0,$J118))</f>
        <v>0</v>
      </c>
      <c r="Y118" s="1084">
        <f>IF(OR($H118="",$I118=""),0,IF(OR(Y$107&lt;$H118,Y$107&gt;$I118),0,$J118))</f>
        <v>0</v>
      </c>
      <c r="Z118" s="1084">
        <f>IF(OR($H118="",$I118=""),0,IF(OR(Z$107&lt;$H118,Z$107&gt;$I118),0,$J118))</f>
        <v>0</v>
      </c>
      <c r="AA118" s="1084">
        <f>IF(OR($H118="",$I118=""),0,IF(OR(AA$107&lt;$H118,AA$107&gt;$I118),0,$J118))</f>
        <v>0</v>
      </c>
      <c r="AB118" s="1084">
        <f>IF(OR($H118="",$I118=""),0,IF(OR(AB$107&lt;$H118,AB$107&gt;$I118),0,$J118))</f>
        <v>0</v>
      </c>
      <c r="AC118" s="1084">
        <f>IF(OR($H118="",$I118=""),0,IF(OR(AC$107&lt;$H118,AC$107&gt;$I118),0,$J118))</f>
        <v>0</v>
      </c>
      <c r="AD118" s="1084">
        <f>IF(OR($H118="",$I118=""),0,IF(OR(AD$107&lt;$H118,AD$107&gt;$I118),0,$J118))</f>
        <v>0</v>
      </c>
      <c r="AE118" s="1084">
        <f>IF(OR($H118="",$I118=""),0,IF(OR(AE$107&lt;$H118,AE$107&gt;$I118),0,$J118))</f>
        <v>0</v>
      </c>
      <c r="AF118" s="1084">
        <f>IF(OR($H118="",$I118=""),0,IF(OR(AF$107&lt;$H118,AF$107&gt;$I118),0,$J118))</f>
        <v>0</v>
      </c>
      <c r="AG118" s="1084">
        <f>IF(OR($H118="",$I118=""),0,IF(OR(AG$107&lt;$H118,AG$107&gt;$I118),0,$J118))</f>
        <v>0</v>
      </c>
      <c r="AH118" s="1084">
        <f>IF(OR($H118="",$I118=""),0,IF(OR(AH$107&lt;$H118,AH$107&gt;$I118),0,$J118))</f>
        <v>0</v>
      </c>
      <c r="AI118" s="1084">
        <f>IF(OR($H118="",$I118=""),0,IF(OR(AI$107&lt;$H118,AI$107&gt;$I118),0,$J118))</f>
        <v>0</v>
      </c>
      <c r="AJ118" s="1084">
        <f>IF(OR($H118="",$I118=""),0,IF(OR(AJ$107&lt;$H118,AJ$107&gt;$I118),0,$J118))</f>
        <v>0</v>
      </c>
      <c r="AK118" s="1084">
        <f>IF(OR($H118="",$I118=""),0,IF(OR(AK$107&lt;$H118,AK$107&gt;$I118),0,$J118))</f>
        <v>0</v>
      </c>
      <c r="AL118" s="1084">
        <f>IF(OR($H118="",$I118=""),0,IF(OR(AL$107&lt;$H118,AL$107&gt;$I118),0,$J118))</f>
        <v>0</v>
      </c>
      <c r="AM118" s="1084">
        <f>IF(OR($H118="",$I118=""),0,IF(OR(AM$107&lt;$H118,AM$107&gt;$I118),0,$J118))</f>
        <v>0</v>
      </c>
      <c r="AN118" s="1084">
        <f>IF(OR($H118="",$I118=""),0,IF(OR(AN$107&lt;$H118,AN$107&gt;$I118),0,$J118))</f>
        <v>0</v>
      </c>
      <c r="AO118" s="1084">
        <f>IF(OR($H118="",$I118=""),0,IF(OR(AO$107&lt;$H118,AO$107&gt;$I118),0,$J118))</f>
        <v>0</v>
      </c>
      <c r="AP118" s="1084">
        <f>IF(OR($H118="",$I118=""),0,IF(OR(AP$107&lt;$H118,AP$107&gt;$I118),0,$J118))</f>
        <v>0</v>
      </c>
      <c r="AQ118" s="1084">
        <f>IF(OR($H118="",$I118=""),0,IF(OR(AQ$107&lt;$H118,AQ$107&gt;$I118),0,$J118))</f>
        <v>0</v>
      </c>
      <c r="AR118" s="1084">
        <f>IF(OR($H118="",$I118=""),0,IF(OR(AR$107&lt;$H118,AR$107&gt;$I118),0,$J118))</f>
        <v>0</v>
      </c>
      <c r="AS118" s="1084">
        <f>IF(OR($H118="",$I118=""),0,IF(OR(AS$107&lt;$H118,AS$107&gt;$I118),0,$J118))</f>
        <v>0</v>
      </c>
      <c r="AT118" s="1084">
        <f>IF(OR($H118="",$I118=""),0,IF(OR(AT$107&lt;$H118,AT$107&gt;$I118),0,$J118))</f>
        <v>0</v>
      </c>
      <c r="AU118" s="1084">
        <f>IF(OR($H118="",$I118=""),0,IF(OR(AU$107&lt;$H118,AU$107&gt;$I118),0,$J118))</f>
        <v>0</v>
      </c>
      <c r="AV118" s="1084">
        <f>IF(OR($H118="",$I118=""),0,IF(OR(AV$107&lt;$H118,AV$107&gt;$I118),0,$J118))</f>
        <v>0</v>
      </c>
      <c r="AW118" s="1084">
        <f>IF(OR($H118="",$I118=""),0,IF(OR(AW$107&lt;$H118,AW$107&gt;$I118),0,$J118))</f>
        <v>0</v>
      </c>
      <c r="AX118" s="1084">
        <f>IF(OR($H118="",$I118=""),0,IF(OR(AX$107&lt;$H118,AX$107&gt;$I118),0,$J118))</f>
        <v>0</v>
      </c>
      <c r="AY118" s="1085">
        <f>IF(OR($H118="",$I118=""),0,IF(OR(AY$107&lt;$H118,AY$107&gt;$I118),0,$J118))</f>
        <v>0</v>
      </c>
      <c r="AZ118" s="1240">
        <f>IF(OR($H118="",$I118=""),0,IF(OR(AZ$107&lt;$H118,AZ$107&gt;$I118),0,$J118))</f>
        <v>0</v>
      </c>
      <c r="BA118" s="1084">
        <f>IF(OR($H118="",$I118=""),0,IF(OR(BA$107&lt;$H118,BA$107&gt;$I118),0,$J118))</f>
        <v>0</v>
      </c>
      <c r="BB118" s="1084">
        <f>IF(OR($H118="",$I118=""),0,IF(OR(BB$107&lt;$H118,BB$107&gt;$I118),0,$J118))</f>
        <v>0</v>
      </c>
      <c r="BC118" s="1084">
        <f>IF(OR($H118="",$I118=""),0,IF(OR(BC$107&lt;$H118,BC$107&gt;$I118),0,$J118))</f>
        <v>0</v>
      </c>
      <c r="BD118" s="1084">
        <f>IF(OR($H118="",$I118=""),0,IF(OR(BD$107&lt;$H118,BD$107&gt;$I118),0,$J118))</f>
        <v>0</v>
      </c>
      <c r="BE118" s="1084">
        <f>IF(OR($H118="",$I118=""),0,IF(OR(BE$107&lt;$H118,BE$107&gt;$I118),0,$J118))</f>
        <v>0</v>
      </c>
      <c r="BF118" s="1084">
        <f>IF(OR($H118="",$I118=""),0,IF(OR(BF$107&lt;$H118,BF$107&gt;$I118),0,$J118))</f>
        <v>0</v>
      </c>
      <c r="BG118" s="1084">
        <f>IF(OR($H118="",$I118=""),0,IF(OR(BG$107&lt;$H118,BG$107&gt;$I118),0,$J118))</f>
        <v>0</v>
      </c>
      <c r="BH118" s="1084">
        <f>IF(OR($H118="",$I118=""),0,IF(OR(BH$107&lt;$H118,BH$107&gt;$I118),0,$J118))</f>
        <v>0</v>
      </c>
      <c r="BI118" s="1084">
        <f>IF(OR($H118="",$I118=""),0,IF(OR(BI$107&lt;$H118,BI$107&gt;$I118),0,$J118))</f>
        <v>0</v>
      </c>
      <c r="BJ118" s="1084">
        <f>IF(OR($H118="",$I118=""),0,IF(OR(BJ$107&lt;$H118,BJ$107&gt;$I118),0,$J118))</f>
        <v>0</v>
      </c>
      <c r="BK118" s="1084">
        <f>IF(OR($H118="",$I118=""),0,IF(OR(BK$107&lt;$H118,BK$107&gt;$I118),0,$J118))</f>
        <v>0</v>
      </c>
      <c r="BL118" s="1084">
        <f>IF(OR($H118="",$I118=""),0,IF(OR(BL$107&lt;$H118,BL$107&gt;$I118),0,$J118))</f>
        <v>0</v>
      </c>
      <c r="BM118" s="1084">
        <f>IF(OR($H118="",$I118=""),0,IF(OR(BM$107&lt;$H118,BM$107&gt;$I118),0,$J118))</f>
        <v>0</v>
      </c>
      <c r="BN118" s="1084">
        <f>IF(OR($H118="",$I118=""),0,IF(OR(BN$107&lt;$H118,BN$107&gt;$I118),0,$J118))</f>
        <v>0</v>
      </c>
      <c r="BO118" s="1084">
        <f>IF(OR($H118="",$I118=""),0,IF(OR(BO$107&lt;$H118,BO$107&gt;$I118),0,$J118))</f>
        <v>0</v>
      </c>
      <c r="BP118" s="1084">
        <f>IF(OR($H118="",$I118=""),0,IF(OR(BP$107&lt;$H118,BP$107&gt;$I118),0,$J118))</f>
        <v>0</v>
      </c>
      <c r="BQ118" s="1084">
        <f>IF(OR($H118="",$I118=""),0,IF(OR(BQ$107&lt;$H118,BQ$107&gt;$I118),0,$J118))</f>
        <v>0</v>
      </c>
      <c r="BR118" s="1084">
        <f>IF(OR($H118="",$I118=""),0,IF(OR(BR$107&lt;$H118,BR$107&gt;$I118),0,$J118))</f>
        <v>0</v>
      </c>
      <c r="BS118" s="1084">
        <f>IF(OR($H118="",$I118=""),0,IF(OR(BS$107&lt;$H118,BS$107&gt;$I118),0,$J118))</f>
        <v>0</v>
      </c>
      <c r="BT118" s="1084">
        <f>IF(OR($H118="",$I118=""),0,IF(OR(BT$107&lt;$H118,BT$107&gt;$I118),0,$J118))</f>
        <v>0</v>
      </c>
      <c r="BU118" s="1084">
        <f>IF(OR($H118="",$I118=""),0,IF(OR(BU$107&lt;$H118,BU$107&gt;$I118),0,$J118))</f>
        <v>0</v>
      </c>
      <c r="BV118" s="1084">
        <f>IF(OR($H118="",$I118=""),0,IF(OR(BV$107&lt;$H118,BV$107&gt;$I118),0,$J118))</f>
        <v>0</v>
      </c>
      <c r="BW118" s="1085">
        <f>IF(OR($H118="",$I118=""),0,IF(OR(BW$107&lt;$H118,BW$107&gt;$I118),0,$J118))</f>
        <v>0</v>
      </c>
      <c r="DD118" s="131"/>
    </row>
    <row r="119" spans="1:108" s="8" customFormat="1" ht="12" customHeight="1" thickBot="1" x14ac:dyDescent="0.4" hidden="1">
      <c r="A119" s="133">
        <v>12</v>
      </c>
      <c r="B119" s="1711" t="str">
        <f>IF(A119&gt;F$107,"{Can hide row}","")</f>
        <v/>
      </c>
      <c r="C119" s="9" t="str">
        <f>A119&amp;" "</f>
        <v xml:space="preserve">12 </v>
      </c>
      <c r="D119" s="1843"/>
      <c r="E119" s="1844"/>
      <c r="F119" s="1845"/>
      <c r="G119" s="590"/>
      <c r="H119" s="616"/>
      <c r="I119" s="616"/>
      <c r="J119" s="1055">
        <f>IF(I119&lt;&gt;"",1,0)</f>
        <v>0</v>
      </c>
      <c r="K119" s="1050">
        <f>IF(I119&lt;&gt;"",$O$102,0)</f>
        <v>0</v>
      </c>
      <c r="L119" s="1050">
        <f>IF(I119&lt;&gt;"",L118,0)</f>
        <v>0</v>
      </c>
      <c r="M119" s="1049">
        <f>IF(I119&lt;&gt;"",M118,0)</f>
        <v>0</v>
      </c>
      <c r="N119" s="1001"/>
      <c r="P119" s="1083">
        <f>IF(OR($H119="",$I119=""),0,IF(OR(P$107&lt;$H119,P$107&gt;$I119),0,$J119))</f>
        <v>0</v>
      </c>
      <c r="Q119" s="1084">
        <f>IF(OR($H119="",$I119=""),0,IF(OR(Q$107&lt;$H119,Q$107&gt;$I119),0,$J119))</f>
        <v>0</v>
      </c>
      <c r="R119" s="1084">
        <f>IF(OR($H119="",$I119=""),0,IF(OR(R$107&lt;$H119,R$107&gt;$I119),0,$J119))</f>
        <v>0</v>
      </c>
      <c r="S119" s="1084">
        <f>IF(OR($H119="",$I119=""),0,IF(OR(S$107&lt;$H119,S$107&gt;$I119),0,$J119))</f>
        <v>0</v>
      </c>
      <c r="T119" s="1084">
        <f>IF(OR($H119="",$I119=""),0,IF(OR(T$107&lt;$H119,T$107&gt;$I119),0,$J119))</f>
        <v>0</v>
      </c>
      <c r="U119" s="1084">
        <f>IF(OR($H119="",$I119=""),0,IF(OR(U$107&lt;$H119,U$107&gt;$I119),0,$J119))</f>
        <v>0</v>
      </c>
      <c r="V119" s="1084">
        <f>IF(OR($H119="",$I119=""),0,IF(OR(V$107&lt;$H119,V$107&gt;$I119),0,$J119))</f>
        <v>0</v>
      </c>
      <c r="W119" s="1084">
        <f>IF(OR($H119="",$I119=""),0,IF(OR(W$107&lt;$H119,W$107&gt;$I119),0,$J119))</f>
        <v>0</v>
      </c>
      <c r="X119" s="1084">
        <f>IF(OR($H119="",$I119=""),0,IF(OR(X$107&lt;$H119,X$107&gt;$I119),0,$J119))</f>
        <v>0</v>
      </c>
      <c r="Y119" s="1084">
        <f>IF(OR($H119="",$I119=""),0,IF(OR(Y$107&lt;$H119,Y$107&gt;$I119),0,$J119))</f>
        <v>0</v>
      </c>
      <c r="Z119" s="1084">
        <f>IF(OR($H119="",$I119=""),0,IF(OR(Z$107&lt;$H119,Z$107&gt;$I119),0,$J119))</f>
        <v>0</v>
      </c>
      <c r="AA119" s="1084">
        <f>IF(OR($H119="",$I119=""),0,IF(OR(AA$107&lt;$H119,AA$107&gt;$I119),0,$J119))</f>
        <v>0</v>
      </c>
      <c r="AB119" s="1084">
        <f>IF(OR($H119="",$I119=""),0,IF(OR(AB$107&lt;$H119,AB$107&gt;$I119),0,$J119))</f>
        <v>0</v>
      </c>
      <c r="AC119" s="1084">
        <f>IF(OR($H119="",$I119=""),0,IF(OR(AC$107&lt;$H119,AC$107&gt;$I119),0,$J119))</f>
        <v>0</v>
      </c>
      <c r="AD119" s="1084">
        <f>IF(OR($H119="",$I119=""),0,IF(OR(AD$107&lt;$H119,AD$107&gt;$I119),0,$J119))</f>
        <v>0</v>
      </c>
      <c r="AE119" s="1084">
        <f>IF(OR($H119="",$I119=""),0,IF(OR(AE$107&lt;$H119,AE$107&gt;$I119),0,$J119))</f>
        <v>0</v>
      </c>
      <c r="AF119" s="1084">
        <f>IF(OR($H119="",$I119=""),0,IF(OR(AF$107&lt;$H119,AF$107&gt;$I119),0,$J119))</f>
        <v>0</v>
      </c>
      <c r="AG119" s="1084">
        <f>IF(OR($H119="",$I119=""),0,IF(OR(AG$107&lt;$H119,AG$107&gt;$I119),0,$J119))</f>
        <v>0</v>
      </c>
      <c r="AH119" s="1084">
        <f>IF(OR($H119="",$I119=""),0,IF(OR(AH$107&lt;$H119,AH$107&gt;$I119),0,$J119))</f>
        <v>0</v>
      </c>
      <c r="AI119" s="1084">
        <f>IF(OR($H119="",$I119=""),0,IF(OR(AI$107&lt;$H119,AI$107&gt;$I119),0,$J119))</f>
        <v>0</v>
      </c>
      <c r="AJ119" s="1084">
        <f>IF(OR($H119="",$I119=""),0,IF(OR(AJ$107&lt;$H119,AJ$107&gt;$I119),0,$J119))</f>
        <v>0</v>
      </c>
      <c r="AK119" s="1084">
        <f>IF(OR($H119="",$I119=""),0,IF(OR(AK$107&lt;$H119,AK$107&gt;$I119),0,$J119))</f>
        <v>0</v>
      </c>
      <c r="AL119" s="1084">
        <f>IF(OR($H119="",$I119=""),0,IF(OR(AL$107&lt;$H119,AL$107&gt;$I119),0,$J119))</f>
        <v>0</v>
      </c>
      <c r="AM119" s="1084">
        <f>IF(OR($H119="",$I119=""),0,IF(OR(AM$107&lt;$H119,AM$107&gt;$I119),0,$J119))</f>
        <v>0</v>
      </c>
      <c r="AN119" s="1084">
        <f>IF(OR($H119="",$I119=""),0,IF(OR(AN$107&lt;$H119,AN$107&gt;$I119),0,$J119))</f>
        <v>0</v>
      </c>
      <c r="AO119" s="1084">
        <f>IF(OR($H119="",$I119=""),0,IF(OR(AO$107&lt;$H119,AO$107&gt;$I119),0,$J119))</f>
        <v>0</v>
      </c>
      <c r="AP119" s="1084">
        <f>IF(OR($H119="",$I119=""),0,IF(OR(AP$107&lt;$H119,AP$107&gt;$I119),0,$J119))</f>
        <v>0</v>
      </c>
      <c r="AQ119" s="1084">
        <f>IF(OR($H119="",$I119=""),0,IF(OR(AQ$107&lt;$H119,AQ$107&gt;$I119),0,$J119))</f>
        <v>0</v>
      </c>
      <c r="AR119" s="1084">
        <f>IF(OR($H119="",$I119=""),0,IF(OR(AR$107&lt;$H119,AR$107&gt;$I119),0,$J119))</f>
        <v>0</v>
      </c>
      <c r="AS119" s="1084">
        <f>IF(OR($H119="",$I119=""),0,IF(OR(AS$107&lt;$H119,AS$107&gt;$I119),0,$J119))</f>
        <v>0</v>
      </c>
      <c r="AT119" s="1084">
        <f>IF(OR($H119="",$I119=""),0,IF(OR(AT$107&lt;$H119,AT$107&gt;$I119),0,$J119))</f>
        <v>0</v>
      </c>
      <c r="AU119" s="1084">
        <f>IF(OR($H119="",$I119=""),0,IF(OR(AU$107&lt;$H119,AU$107&gt;$I119),0,$J119))</f>
        <v>0</v>
      </c>
      <c r="AV119" s="1084">
        <f>IF(OR($H119="",$I119=""),0,IF(OR(AV$107&lt;$H119,AV$107&gt;$I119),0,$J119))</f>
        <v>0</v>
      </c>
      <c r="AW119" s="1084">
        <f>IF(OR($H119="",$I119=""),0,IF(OR(AW$107&lt;$H119,AW$107&gt;$I119),0,$J119))</f>
        <v>0</v>
      </c>
      <c r="AX119" s="1084">
        <f>IF(OR($H119="",$I119=""),0,IF(OR(AX$107&lt;$H119,AX$107&gt;$I119),0,$J119))</f>
        <v>0</v>
      </c>
      <c r="AY119" s="1085">
        <f>IF(OR($H119="",$I119=""),0,IF(OR(AY$107&lt;$H119,AY$107&gt;$I119),0,$J119))</f>
        <v>0</v>
      </c>
      <c r="AZ119" s="1240">
        <f>IF(OR($H119="",$I119=""),0,IF(OR(AZ$107&lt;$H119,AZ$107&gt;$I119),0,$J119))</f>
        <v>0</v>
      </c>
      <c r="BA119" s="1084">
        <f>IF(OR($H119="",$I119=""),0,IF(OR(BA$107&lt;$H119,BA$107&gt;$I119),0,$J119))</f>
        <v>0</v>
      </c>
      <c r="BB119" s="1084">
        <f>IF(OR($H119="",$I119=""),0,IF(OR(BB$107&lt;$H119,BB$107&gt;$I119),0,$J119))</f>
        <v>0</v>
      </c>
      <c r="BC119" s="1084">
        <f>IF(OR($H119="",$I119=""),0,IF(OR(BC$107&lt;$H119,BC$107&gt;$I119),0,$J119))</f>
        <v>0</v>
      </c>
      <c r="BD119" s="1084">
        <f>IF(OR($H119="",$I119=""),0,IF(OR(BD$107&lt;$H119,BD$107&gt;$I119),0,$J119))</f>
        <v>0</v>
      </c>
      <c r="BE119" s="1084">
        <f>IF(OR($H119="",$I119=""),0,IF(OR(BE$107&lt;$H119,BE$107&gt;$I119),0,$J119))</f>
        <v>0</v>
      </c>
      <c r="BF119" s="1084">
        <f>IF(OR($H119="",$I119=""),0,IF(OR(BF$107&lt;$H119,BF$107&gt;$I119),0,$J119))</f>
        <v>0</v>
      </c>
      <c r="BG119" s="1084">
        <f>IF(OR($H119="",$I119=""),0,IF(OR(BG$107&lt;$H119,BG$107&gt;$I119),0,$J119))</f>
        <v>0</v>
      </c>
      <c r="BH119" s="1084">
        <f>IF(OR($H119="",$I119=""),0,IF(OR(BH$107&lt;$H119,BH$107&gt;$I119),0,$J119))</f>
        <v>0</v>
      </c>
      <c r="BI119" s="1084">
        <f>IF(OR($H119="",$I119=""),0,IF(OR(BI$107&lt;$H119,BI$107&gt;$I119),0,$J119))</f>
        <v>0</v>
      </c>
      <c r="BJ119" s="1084">
        <f>IF(OR($H119="",$I119=""),0,IF(OR(BJ$107&lt;$H119,BJ$107&gt;$I119),0,$J119))</f>
        <v>0</v>
      </c>
      <c r="BK119" s="1084">
        <f>IF(OR($H119="",$I119=""),0,IF(OR(BK$107&lt;$H119,BK$107&gt;$I119),0,$J119))</f>
        <v>0</v>
      </c>
      <c r="BL119" s="1084">
        <f>IF(OR($H119="",$I119=""),0,IF(OR(BL$107&lt;$H119,BL$107&gt;$I119),0,$J119))</f>
        <v>0</v>
      </c>
      <c r="BM119" s="1084">
        <f>IF(OR($H119="",$I119=""),0,IF(OR(BM$107&lt;$H119,BM$107&gt;$I119),0,$J119))</f>
        <v>0</v>
      </c>
      <c r="BN119" s="1084">
        <f>IF(OR($H119="",$I119=""),0,IF(OR(BN$107&lt;$H119,BN$107&gt;$I119),0,$J119))</f>
        <v>0</v>
      </c>
      <c r="BO119" s="1084">
        <f>IF(OR($H119="",$I119=""),0,IF(OR(BO$107&lt;$H119,BO$107&gt;$I119),0,$J119))</f>
        <v>0</v>
      </c>
      <c r="BP119" s="1084">
        <f>IF(OR($H119="",$I119=""),0,IF(OR(BP$107&lt;$H119,BP$107&gt;$I119),0,$J119))</f>
        <v>0</v>
      </c>
      <c r="BQ119" s="1084">
        <f>IF(OR($H119="",$I119=""),0,IF(OR(BQ$107&lt;$H119,BQ$107&gt;$I119),0,$J119))</f>
        <v>0</v>
      </c>
      <c r="BR119" s="1084">
        <f>IF(OR($H119="",$I119=""),0,IF(OR(BR$107&lt;$H119,BR$107&gt;$I119),0,$J119))</f>
        <v>0</v>
      </c>
      <c r="BS119" s="1084">
        <f>IF(OR($H119="",$I119=""),0,IF(OR(BS$107&lt;$H119,BS$107&gt;$I119),0,$J119))</f>
        <v>0</v>
      </c>
      <c r="BT119" s="1084">
        <f>IF(OR($H119="",$I119=""),0,IF(OR(BT$107&lt;$H119,BT$107&gt;$I119),0,$J119))</f>
        <v>0</v>
      </c>
      <c r="BU119" s="1084">
        <f>IF(OR($H119="",$I119=""),0,IF(OR(BU$107&lt;$H119,BU$107&gt;$I119),0,$J119))</f>
        <v>0</v>
      </c>
      <c r="BV119" s="1084">
        <f>IF(OR($H119="",$I119=""),0,IF(OR(BV$107&lt;$H119,BV$107&gt;$I119),0,$J119))</f>
        <v>0</v>
      </c>
      <c r="BW119" s="1085">
        <f>IF(OR($H119="",$I119=""),0,IF(OR(BW$107&lt;$H119,BW$107&gt;$I119),0,$J119))</f>
        <v>0</v>
      </c>
      <c r="DD119" s="131"/>
    </row>
    <row r="120" spans="1:108" s="8" customFormat="1" ht="12" customHeight="1" thickBot="1" x14ac:dyDescent="0.4" hidden="1">
      <c r="A120" s="133">
        <v>13</v>
      </c>
      <c r="B120" s="1711" t="str">
        <f>IF(A120&gt;F$107,"{Can hide row}","")</f>
        <v/>
      </c>
      <c r="C120" s="9" t="str">
        <f>A120&amp;" "</f>
        <v xml:space="preserve">13 </v>
      </c>
      <c r="D120" s="1843"/>
      <c r="E120" s="1844"/>
      <c r="F120" s="1845"/>
      <c r="G120" s="590"/>
      <c r="H120" s="616"/>
      <c r="I120" s="616"/>
      <c r="J120" s="1055">
        <f>IF(I120&lt;&gt;"",1,0)</f>
        <v>0</v>
      </c>
      <c r="K120" s="1050">
        <f>IF(I120&lt;&gt;"",$O$102,0)</f>
        <v>0</v>
      </c>
      <c r="L120" s="1050">
        <f>IF(I120&lt;&gt;"",L119,0)</f>
        <v>0</v>
      </c>
      <c r="M120" s="1049">
        <f>IF(I120&lt;&gt;"",M119,0)</f>
        <v>0</v>
      </c>
      <c r="N120" s="1001"/>
      <c r="P120" s="1083">
        <f>IF(OR($H120="",$I120=""),0,IF(OR(P$107&lt;$H120,P$107&gt;$I120),0,$J120))</f>
        <v>0</v>
      </c>
      <c r="Q120" s="1084">
        <f>IF(OR($H120="",$I120=""),0,IF(OR(Q$107&lt;$H120,Q$107&gt;$I120),0,$J120))</f>
        <v>0</v>
      </c>
      <c r="R120" s="1084">
        <f>IF(OR($H120="",$I120=""),0,IF(OR(R$107&lt;$H120,R$107&gt;$I120),0,$J120))</f>
        <v>0</v>
      </c>
      <c r="S120" s="1084">
        <f>IF(OR($H120="",$I120=""),0,IF(OR(S$107&lt;$H120,S$107&gt;$I120),0,$J120))</f>
        <v>0</v>
      </c>
      <c r="T120" s="1084">
        <f>IF(OR($H120="",$I120=""),0,IF(OR(T$107&lt;$H120,T$107&gt;$I120),0,$J120))</f>
        <v>0</v>
      </c>
      <c r="U120" s="1084">
        <f>IF(OR($H120="",$I120=""),0,IF(OR(U$107&lt;$H120,U$107&gt;$I120),0,$J120))</f>
        <v>0</v>
      </c>
      <c r="V120" s="1084">
        <f>IF(OR($H120="",$I120=""),0,IF(OR(V$107&lt;$H120,V$107&gt;$I120),0,$J120))</f>
        <v>0</v>
      </c>
      <c r="W120" s="1084">
        <f>IF(OR($H120="",$I120=""),0,IF(OR(W$107&lt;$H120,W$107&gt;$I120),0,$J120))</f>
        <v>0</v>
      </c>
      <c r="X120" s="1084">
        <f>IF(OR($H120="",$I120=""),0,IF(OR(X$107&lt;$H120,X$107&gt;$I120),0,$J120))</f>
        <v>0</v>
      </c>
      <c r="Y120" s="1084">
        <f>IF(OR($H120="",$I120=""),0,IF(OR(Y$107&lt;$H120,Y$107&gt;$I120),0,$J120))</f>
        <v>0</v>
      </c>
      <c r="Z120" s="1084">
        <f>IF(OR($H120="",$I120=""),0,IF(OR(Z$107&lt;$H120,Z$107&gt;$I120),0,$J120))</f>
        <v>0</v>
      </c>
      <c r="AA120" s="1084">
        <f>IF(OR($H120="",$I120=""),0,IF(OR(AA$107&lt;$H120,AA$107&gt;$I120),0,$J120))</f>
        <v>0</v>
      </c>
      <c r="AB120" s="1084">
        <f>IF(OR($H120="",$I120=""),0,IF(OR(AB$107&lt;$H120,AB$107&gt;$I120),0,$J120))</f>
        <v>0</v>
      </c>
      <c r="AC120" s="1084">
        <f>IF(OR($H120="",$I120=""),0,IF(OR(AC$107&lt;$H120,AC$107&gt;$I120),0,$J120))</f>
        <v>0</v>
      </c>
      <c r="AD120" s="1084">
        <f>IF(OR($H120="",$I120=""),0,IF(OR(AD$107&lt;$H120,AD$107&gt;$I120),0,$J120))</f>
        <v>0</v>
      </c>
      <c r="AE120" s="1084">
        <f>IF(OR($H120="",$I120=""),0,IF(OR(AE$107&lt;$H120,AE$107&gt;$I120),0,$J120))</f>
        <v>0</v>
      </c>
      <c r="AF120" s="1084">
        <f>IF(OR($H120="",$I120=""),0,IF(OR(AF$107&lt;$H120,AF$107&gt;$I120),0,$J120))</f>
        <v>0</v>
      </c>
      <c r="AG120" s="1084">
        <f>IF(OR($H120="",$I120=""),0,IF(OR(AG$107&lt;$H120,AG$107&gt;$I120),0,$J120))</f>
        <v>0</v>
      </c>
      <c r="AH120" s="1084">
        <f>IF(OR($H120="",$I120=""),0,IF(OR(AH$107&lt;$H120,AH$107&gt;$I120),0,$J120))</f>
        <v>0</v>
      </c>
      <c r="AI120" s="1084">
        <f>IF(OR($H120="",$I120=""),0,IF(OR(AI$107&lt;$H120,AI$107&gt;$I120),0,$J120))</f>
        <v>0</v>
      </c>
      <c r="AJ120" s="1084">
        <f>IF(OR($H120="",$I120=""),0,IF(OR(AJ$107&lt;$H120,AJ$107&gt;$I120),0,$J120))</f>
        <v>0</v>
      </c>
      <c r="AK120" s="1084">
        <f>IF(OR($H120="",$I120=""),0,IF(OR(AK$107&lt;$H120,AK$107&gt;$I120),0,$J120))</f>
        <v>0</v>
      </c>
      <c r="AL120" s="1084">
        <f>IF(OR($H120="",$I120=""),0,IF(OR(AL$107&lt;$H120,AL$107&gt;$I120),0,$J120))</f>
        <v>0</v>
      </c>
      <c r="AM120" s="1084">
        <f>IF(OR($H120="",$I120=""),0,IF(OR(AM$107&lt;$H120,AM$107&gt;$I120),0,$J120))</f>
        <v>0</v>
      </c>
      <c r="AN120" s="1084">
        <f>IF(OR($H120="",$I120=""),0,IF(OR(AN$107&lt;$H120,AN$107&gt;$I120),0,$J120))</f>
        <v>0</v>
      </c>
      <c r="AO120" s="1084">
        <f>IF(OR($H120="",$I120=""),0,IF(OR(AO$107&lt;$H120,AO$107&gt;$I120),0,$J120))</f>
        <v>0</v>
      </c>
      <c r="AP120" s="1084">
        <f>IF(OR($H120="",$I120=""),0,IF(OR(AP$107&lt;$H120,AP$107&gt;$I120),0,$J120))</f>
        <v>0</v>
      </c>
      <c r="AQ120" s="1084">
        <f>IF(OR($H120="",$I120=""),0,IF(OR(AQ$107&lt;$H120,AQ$107&gt;$I120),0,$J120))</f>
        <v>0</v>
      </c>
      <c r="AR120" s="1084">
        <f>IF(OR($H120="",$I120=""),0,IF(OR(AR$107&lt;$H120,AR$107&gt;$I120),0,$J120))</f>
        <v>0</v>
      </c>
      <c r="AS120" s="1084">
        <f>IF(OR($H120="",$I120=""),0,IF(OR(AS$107&lt;$H120,AS$107&gt;$I120),0,$J120))</f>
        <v>0</v>
      </c>
      <c r="AT120" s="1084">
        <f>IF(OR($H120="",$I120=""),0,IF(OR(AT$107&lt;$H120,AT$107&gt;$I120),0,$J120))</f>
        <v>0</v>
      </c>
      <c r="AU120" s="1084">
        <f>IF(OR($H120="",$I120=""),0,IF(OR(AU$107&lt;$H120,AU$107&gt;$I120),0,$J120))</f>
        <v>0</v>
      </c>
      <c r="AV120" s="1084">
        <f>IF(OR($H120="",$I120=""),0,IF(OR(AV$107&lt;$H120,AV$107&gt;$I120),0,$J120))</f>
        <v>0</v>
      </c>
      <c r="AW120" s="1084">
        <f>IF(OR($H120="",$I120=""),0,IF(OR(AW$107&lt;$H120,AW$107&gt;$I120),0,$J120))</f>
        <v>0</v>
      </c>
      <c r="AX120" s="1084">
        <f>IF(OR($H120="",$I120=""),0,IF(OR(AX$107&lt;$H120,AX$107&gt;$I120),0,$J120))</f>
        <v>0</v>
      </c>
      <c r="AY120" s="1085">
        <f>IF(OR($H120="",$I120=""),0,IF(OR(AY$107&lt;$H120,AY$107&gt;$I120),0,$J120))</f>
        <v>0</v>
      </c>
      <c r="AZ120" s="1240">
        <f>IF(OR($H120="",$I120=""),0,IF(OR(AZ$107&lt;$H120,AZ$107&gt;$I120),0,$J120))</f>
        <v>0</v>
      </c>
      <c r="BA120" s="1084">
        <f>IF(OR($H120="",$I120=""),0,IF(OR(BA$107&lt;$H120,BA$107&gt;$I120),0,$J120))</f>
        <v>0</v>
      </c>
      <c r="BB120" s="1084">
        <f>IF(OR($H120="",$I120=""),0,IF(OR(BB$107&lt;$H120,BB$107&gt;$I120),0,$J120))</f>
        <v>0</v>
      </c>
      <c r="BC120" s="1084">
        <f>IF(OR($H120="",$I120=""),0,IF(OR(BC$107&lt;$H120,BC$107&gt;$I120),0,$J120))</f>
        <v>0</v>
      </c>
      <c r="BD120" s="1084">
        <f>IF(OR($H120="",$I120=""),0,IF(OR(BD$107&lt;$H120,BD$107&gt;$I120),0,$J120))</f>
        <v>0</v>
      </c>
      <c r="BE120" s="1084">
        <f>IF(OR($H120="",$I120=""),0,IF(OR(BE$107&lt;$H120,BE$107&gt;$I120),0,$J120))</f>
        <v>0</v>
      </c>
      <c r="BF120" s="1084">
        <f>IF(OR($H120="",$I120=""),0,IF(OR(BF$107&lt;$H120,BF$107&gt;$I120),0,$J120))</f>
        <v>0</v>
      </c>
      <c r="BG120" s="1084">
        <f>IF(OR($H120="",$I120=""),0,IF(OR(BG$107&lt;$H120,BG$107&gt;$I120),0,$J120))</f>
        <v>0</v>
      </c>
      <c r="BH120" s="1084">
        <f>IF(OR($H120="",$I120=""),0,IF(OR(BH$107&lt;$H120,BH$107&gt;$I120),0,$J120))</f>
        <v>0</v>
      </c>
      <c r="BI120" s="1084">
        <f>IF(OR($H120="",$I120=""),0,IF(OR(BI$107&lt;$H120,BI$107&gt;$I120),0,$J120))</f>
        <v>0</v>
      </c>
      <c r="BJ120" s="1084">
        <f>IF(OR($H120="",$I120=""),0,IF(OR(BJ$107&lt;$H120,BJ$107&gt;$I120),0,$J120))</f>
        <v>0</v>
      </c>
      <c r="BK120" s="1084">
        <f>IF(OR($H120="",$I120=""),0,IF(OR(BK$107&lt;$H120,BK$107&gt;$I120),0,$J120))</f>
        <v>0</v>
      </c>
      <c r="BL120" s="1084">
        <f>IF(OR($H120="",$I120=""),0,IF(OR(BL$107&lt;$H120,BL$107&gt;$I120),0,$J120))</f>
        <v>0</v>
      </c>
      <c r="BM120" s="1084">
        <f>IF(OR($H120="",$I120=""),0,IF(OR(BM$107&lt;$H120,BM$107&gt;$I120),0,$J120))</f>
        <v>0</v>
      </c>
      <c r="BN120" s="1084">
        <f>IF(OR($H120="",$I120=""),0,IF(OR(BN$107&lt;$H120,BN$107&gt;$I120),0,$J120))</f>
        <v>0</v>
      </c>
      <c r="BO120" s="1084">
        <f>IF(OR($H120="",$I120=""),0,IF(OR(BO$107&lt;$H120,BO$107&gt;$I120),0,$J120))</f>
        <v>0</v>
      </c>
      <c r="BP120" s="1084">
        <f>IF(OR($H120="",$I120=""),0,IF(OR(BP$107&lt;$H120,BP$107&gt;$I120),0,$J120))</f>
        <v>0</v>
      </c>
      <c r="BQ120" s="1084">
        <f>IF(OR($H120="",$I120=""),0,IF(OR(BQ$107&lt;$H120,BQ$107&gt;$I120),0,$J120))</f>
        <v>0</v>
      </c>
      <c r="BR120" s="1084">
        <f>IF(OR($H120="",$I120=""),0,IF(OR(BR$107&lt;$H120,BR$107&gt;$I120),0,$J120))</f>
        <v>0</v>
      </c>
      <c r="BS120" s="1084">
        <f>IF(OR($H120="",$I120=""),0,IF(OR(BS$107&lt;$H120,BS$107&gt;$I120),0,$J120))</f>
        <v>0</v>
      </c>
      <c r="BT120" s="1084">
        <f>IF(OR($H120="",$I120=""),0,IF(OR(BT$107&lt;$H120,BT$107&gt;$I120),0,$J120))</f>
        <v>0</v>
      </c>
      <c r="BU120" s="1084">
        <f>IF(OR($H120="",$I120=""),0,IF(OR(BU$107&lt;$H120,BU$107&gt;$I120),0,$J120))</f>
        <v>0</v>
      </c>
      <c r="BV120" s="1084">
        <f>IF(OR($H120="",$I120=""),0,IF(OR(BV$107&lt;$H120,BV$107&gt;$I120),0,$J120))</f>
        <v>0</v>
      </c>
      <c r="BW120" s="1085">
        <f>IF(OR($H120="",$I120=""),0,IF(OR(BW$107&lt;$H120,BW$107&gt;$I120),0,$J120))</f>
        <v>0</v>
      </c>
      <c r="DD120" s="131"/>
    </row>
    <row r="121" spans="1:108" s="8" customFormat="1" ht="12" customHeight="1" thickBot="1" x14ac:dyDescent="0.4" hidden="1">
      <c r="A121" s="133">
        <v>14</v>
      </c>
      <c r="B121" s="1711" t="str">
        <f>IF(A121&gt;F$107,"{Can hide row}","")</f>
        <v/>
      </c>
      <c r="C121" s="9" t="str">
        <f>A121&amp;" "</f>
        <v xml:space="preserve">14 </v>
      </c>
      <c r="D121" s="1843"/>
      <c r="E121" s="1844"/>
      <c r="F121" s="1845"/>
      <c r="G121" s="590"/>
      <c r="H121" s="616"/>
      <c r="I121" s="616"/>
      <c r="J121" s="1055">
        <f>IF(I121&lt;&gt;"",1,0)</f>
        <v>0</v>
      </c>
      <c r="K121" s="1050">
        <f>IF(I121&lt;&gt;"",$O$102,0)</f>
        <v>0</v>
      </c>
      <c r="L121" s="1050">
        <f>IF(I121&lt;&gt;"",L120,0)</f>
        <v>0</v>
      </c>
      <c r="M121" s="1049">
        <f>IF(I121&lt;&gt;"",M120,0)</f>
        <v>0</v>
      </c>
      <c r="N121" s="1001"/>
      <c r="P121" s="1083">
        <f>IF(OR($H121="",$I121=""),0,IF(OR(P$107&lt;$H121,P$107&gt;$I121),0,$J121))</f>
        <v>0</v>
      </c>
      <c r="Q121" s="1084">
        <f>IF(OR($H121="",$I121=""),0,IF(OR(Q$107&lt;$H121,Q$107&gt;$I121),0,$J121))</f>
        <v>0</v>
      </c>
      <c r="R121" s="1084">
        <f>IF(OR($H121="",$I121=""),0,IF(OR(R$107&lt;$H121,R$107&gt;$I121),0,$J121))</f>
        <v>0</v>
      </c>
      <c r="S121" s="1084">
        <f>IF(OR($H121="",$I121=""),0,IF(OR(S$107&lt;$H121,S$107&gt;$I121),0,$J121))</f>
        <v>0</v>
      </c>
      <c r="T121" s="1084">
        <f>IF(OR($H121="",$I121=""),0,IF(OR(T$107&lt;$H121,T$107&gt;$I121),0,$J121))</f>
        <v>0</v>
      </c>
      <c r="U121" s="1084">
        <f>IF(OR($H121="",$I121=""),0,IF(OR(U$107&lt;$H121,U$107&gt;$I121),0,$J121))</f>
        <v>0</v>
      </c>
      <c r="V121" s="1084">
        <f>IF(OR($H121="",$I121=""),0,IF(OR(V$107&lt;$H121,V$107&gt;$I121),0,$J121))</f>
        <v>0</v>
      </c>
      <c r="W121" s="1084">
        <f>IF(OR($H121="",$I121=""),0,IF(OR(W$107&lt;$H121,W$107&gt;$I121),0,$J121))</f>
        <v>0</v>
      </c>
      <c r="X121" s="1084">
        <f>IF(OR($H121="",$I121=""),0,IF(OR(X$107&lt;$H121,X$107&gt;$I121),0,$J121))</f>
        <v>0</v>
      </c>
      <c r="Y121" s="1084">
        <f>IF(OR($H121="",$I121=""),0,IF(OR(Y$107&lt;$H121,Y$107&gt;$I121),0,$J121))</f>
        <v>0</v>
      </c>
      <c r="Z121" s="1084">
        <f>IF(OR($H121="",$I121=""),0,IF(OR(Z$107&lt;$H121,Z$107&gt;$I121),0,$J121))</f>
        <v>0</v>
      </c>
      <c r="AA121" s="1084">
        <f>IF(OR($H121="",$I121=""),0,IF(OR(AA$107&lt;$H121,AA$107&gt;$I121),0,$J121))</f>
        <v>0</v>
      </c>
      <c r="AB121" s="1084">
        <f>IF(OR($H121="",$I121=""),0,IF(OR(AB$107&lt;$H121,AB$107&gt;$I121),0,$J121))</f>
        <v>0</v>
      </c>
      <c r="AC121" s="1084">
        <f>IF(OR($H121="",$I121=""),0,IF(OR(AC$107&lt;$H121,AC$107&gt;$I121),0,$J121))</f>
        <v>0</v>
      </c>
      <c r="AD121" s="1084">
        <f>IF(OR($H121="",$I121=""),0,IF(OR(AD$107&lt;$H121,AD$107&gt;$I121),0,$J121))</f>
        <v>0</v>
      </c>
      <c r="AE121" s="1084">
        <f>IF(OR($H121="",$I121=""),0,IF(OR(AE$107&lt;$H121,AE$107&gt;$I121),0,$J121))</f>
        <v>0</v>
      </c>
      <c r="AF121" s="1084">
        <f>IF(OR($H121="",$I121=""),0,IF(OR(AF$107&lt;$H121,AF$107&gt;$I121),0,$J121))</f>
        <v>0</v>
      </c>
      <c r="AG121" s="1084">
        <f>IF(OR($H121="",$I121=""),0,IF(OR(AG$107&lt;$H121,AG$107&gt;$I121),0,$J121))</f>
        <v>0</v>
      </c>
      <c r="AH121" s="1084">
        <f>IF(OR($H121="",$I121=""),0,IF(OR(AH$107&lt;$H121,AH$107&gt;$I121),0,$J121))</f>
        <v>0</v>
      </c>
      <c r="AI121" s="1084">
        <f>IF(OR($H121="",$I121=""),0,IF(OR(AI$107&lt;$H121,AI$107&gt;$I121),0,$J121))</f>
        <v>0</v>
      </c>
      <c r="AJ121" s="1084">
        <f>IF(OR($H121="",$I121=""),0,IF(OR(AJ$107&lt;$H121,AJ$107&gt;$I121),0,$J121))</f>
        <v>0</v>
      </c>
      <c r="AK121" s="1084">
        <f>IF(OR($H121="",$I121=""),0,IF(OR(AK$107&lt;$H121,AK$107&gt;$I121),0,$J121))</f>
        <v>0</v>
      </c>
      <c r="AL121" s="1084">
        <f>IF(OR($H121="",$I121=""),0,IF(OR(AL$107&lt;$H121,AL$107&gt;$I121),0,$J121))</f>
        <v>0</v>
      </c>
      <c r="AM121" s="1084">
        <f>IF(OR($H121="",$I121=""),0,IF(OR(AM$107&lt;$H121,AM$107&gt;$I121),0,$J121))</f>
        <v>0</v>
      </c>
      <c r="AN121" s="1084">
        <f>IF(OR($H121="",$I121=""),0,IF(OR(AN$107&lt;$H121,AN$107&gt;$I121),0,$J121))</f>
        <v>0</v>
      </c>
      <c r="AO121" s="1084">
        <f>IF(OR($H121="",$I121=""),0,IF(OR(AO$107&lt;$H121,AO$107&gt;$I121),0,$J121))</f>
        <v>0</v>
      </c>
      <c r="AP121" s="1084">
        <f>IF(OR($H121="",$I121=""),0,IF(OR(AP$107&lt;$H121,AP$107&gt;$I121),0,$J121))</f>
        <v>0</v>
      </c>
      <c r="AQ121" s="1084">
        <f>IF(OR($H121="",$I121=""),0,IF(OR(AQ$107&lt;$H121,AQ$107&gt;$I121),0,$J121))</f>
        <v>0</v>
      </c>
      <c r="AR121" s="1084">
        <f>IF(OR($H121="",$I121=""),0,IF(OR(AR$107&lt;$H121,AR$107&gt;$I121),0,$J121))</f>
        <v>0</v>
      </c>
      <c r="AS121" s="1084">
        <f>IF(OR($H121="",$I121=""),0,IF(OR(AS$107&lt;$H121,AS$107&gt;$I121),0,$J121))</f>
        <v>0</v>
      </c>
      <c r="AT121" s="1084">
        <f>IF(OR($H121="",$I121=""),0,IF(OR(AT$107&lt;$H121,AT$107&gt;$I121),0,$J121))</f>
        <v>0</v>
      </c>
      <c r="AU121" s="1084">
        <f>IF(OR($H121="",$I121=""),0,IF(OR(AU$107&lt;$H121,AU$107&gt;$I121),0,$J121))</f>
        <v>0</v>
      </c>
      <c r="AV121" s="1084">
        <f>IF(OR($H121="",$I121=""),0,IF(OR(AV$107&lt;$H121,AV$107&gt;$I121),0,$J121))</f>
        <v>0</v>
      </c>
      <c r="AW121" s="1084">
        <f>IF(OR($H121="",$I121=""),0,IF(OR(AW$107&lt;$H121,AW$107&gt;$I121),0,$J121))</f>
        <v>0</v>
      </c>
      <c r="AX121" s="1084">
        <f>IF(OR($H121="",$I121=""),0,IF(OR(AX$107&lt;$H121,AX$107&gt;$I121),0,$J121))</f>
        <v>0</v>
      </c>
      <c r="AY121" s="1085">
        <f>IF(OR($H121="",$I121=""),0,IF(OR(AY$107&lt;$H121,AY$107&gt;$I121),0,$J121))</f>
        <v>0</v>
      </c>
      <c r="AZ121" s="1240">
        <f>IF(OR($H121="",$I121=""),0,IF(OR(AZ$107&lt;$H121,AZ$107&gt;$I121),0,$J121))</f>
        <v>0</v>
      </c>
      <c r="BA121" s="1084">
        <f>IF(OR($H121="",$I121=""),0,IF(OR(BA$107&lt;$H121,BA$107&gt;$I121),0,$J121))</f>
        <v>0</v>
      </c>
      <c r="BB121" s="1084">
        <f>IF(OR($H121="",$I121=""),0,IF(OR(BB$107&lt;$H121,BB$107&gt;$I121),0,$J121))</f>
        <v>0</v>
      </c>
      <c r="BC121" s="1084">
        <f>IF(OR($H121="",$I121=""),0,IF(OR(BC$107&lt;$H121,BC$107&gt;$I121),0,$J121))</f>
        <v>0</v>
      </c>
      <c r="BD121" s="1084">
        <f>IF(OR($H121="",$I121=""),0,IF(OR(BD$107&lt;$H121,BD$107&gt;$I121),0,$J121))</f>
        <v>0</v>
      </c>
      <c r="BE121" s="1084">
        <f>IF(OR($H121="",$I121=""),0,IF(OR(BE$107&lt;$H121,BE$107&gt;$I121),0,$J121))</f>
        <v>0</v>
      </c>
      <c r="BF121" s="1084">
        <f>IF(OR($H121="",$I121=""),0,IF(OR(BF$107&lt;$H121,BF$107&gt;$I121),0,$J121))</f>
        <v>0</v>
      </c>
      <c r="BG121" s="1084">
        <f>IF(OR($H121="",$I121=""),0,IF(OR(BG$107&lt;$H121,BG$107&gt;$I121),0,$J121))</f>
        <v>0</v>
      </c>
      <c r="BH121" s="1084">
        <f>IF(OR($H121="",$I121=""),0,IF(OR(BH$107&lt;$H121,BH$107&gt;$I121),0,$J121))</f>
        <v>0</v>
      </c>
      <c r="BI121" s="1084">
        <f>IF(OR($H121="",$I121=""),0,IF(OR(BI$107&lt;$H121,BI$107&gt;$I121),0,$J121))</f>
        <v>0</v>
      </c>
      <c r="BJ121" s="1084">
        <f>IF(OR($H121="",$I121=""),0,IF(OR(BJ$107&lt;$H121,BJ$107&gt;$I121),0,$J121))</f>
        <v>0</v>
      </c>
      <c r="BK121" s="1084">
        <f>IF(OR($H121="",$I121=""),0,IF(OR(BK$107&lt;$H121,BK$107&gt;$I121),0,$J121))</f>
        <v>0</v>
      </c>
      <c r="BL121" s="1084">
        <f>IF(OR($H121="",$I121=""),0,IF(OR(BL$107&lt;$H121,BL$107&gt;$I121),0,$J121))</f>
        <v>0</v>
      </c>
      <c r="BM121" s="1084">
        <f>IF(OR($H121="",$I121=""),0,IF(OR(BM$107&lt;$H121,BM$107&gt;$I121),0,$J121))</f>
        <v>0</v>
      </c>
      <c r="BN121" s="1084">
        <f>IF(OR($H121="",$I121=""),0,IF(OR(BN$107&lt;$H121,BN$107&gt;$I121),0,$J121))</f>
        <v>0</v>
      </c>
      <c r="BO121" s="1084">
        <f>IF(OR($H121="",$I121=""),0,IF(OR(BO$107&lt;$H121,BO$107&gt;$I121),0,$J121))</f>
        <v>0</v>
      </c>
      <c r="BP121" s="1084">
        <f>IF(OR($H121="",$I121=""),0,IF(OR(BP$107&lt;$H121,BP$107&gt;$I121),0,$J121))</f>
        <v>0</v>
      </c>
      <c r="BQ121" s="1084">
        <f>IF(OR($H121="",$I121=""),0,IF(OR(BQ$107&lt;$H121,BQ$107&gt;$I121),0,$J121))</f>
        <v>0</v>
      </c>
      <c r="BR121" s="1084">
        <f>IF(OR($H121="",$I121=""),0,IF(OR(BR$107&lt;$H121,BR$107&gt;$I121),0,$J121))</f>
        <v>0</v>
      </c>
      <c r="BS121" s="1084">
        <f>IF(OR($H121="",$I121=""),0,IF(OR(BS$107&lt;$H121,BS$107&gt;$I121),0,$J121))</f>
        <v>0</v>
      </c>
      <c r="BT121" s="1084">
        <f>IF(OR($H121="",$I121=""),0,IF(OR(BT$107&lt;$H121,BT$107&gt;$I121),0,$J121))</f>
        <v>0</v>
      </c>
      <c r="BU121" s="1084">
        <f>IF(OR($H121="",$I121=""),0,IF(OR(BU$107&lt;$H121,BU$107&gt;$I121),0,$J121))</f>
        <v>0</v>
      </c>
      <c r="BV121" s="1084">
        <f>IF(OR($H121="",$I121=""),0,IF(OR(BV$107&lt;$H121,BV$107&gt;$I121),0,$J121))</f>
        <v>0</v>
      </c>
      <c r="BW121" s="1085">
        <f>IF(OR($H121="",$I121=""),0,IF(OR(BW$107&lt;$H121,BW$107&gt;$I121),0,$J121))</f>
        <v>0</v>
      </c>
      <c r="DD121" s="131"/>
    </row>
    <row r="122" spans="1:108" s="8" customFormat="1" ht="12" customHeight="1" thickBot="1" x14ac:dyDescent="0.4" hidden="1">
      <c r="A122" s="133">
        <v>15</v>
      </c>
      <c r="B122" s="1711" t="str">
        <f>IF(A122&gt;F$107,"{Can hide row}","")</f>
        <v/>
      </c>
      <c r="C122" s="9" t="str">
        <f>A122&amp;" "</f>
        <v xml:space="preserve">15 </v>
      </c>
      <c r="D122" s="1843"/>
      <c r="E122" s="1844"/>
      <c r="F122" s="1845"/>
      <c r="G122" s="590"/>
      <c r="H122" s="616"/>
      <c r="I122" s="616"/>
      <c r="J122" s="1055">
        <f>IF(I122&lt;&gt;"",1,0)</f>
        <v>0</v>
      </c>
      <c r="K122" s="1050">
        <f>IF(I122&lt;&gt;"",$O$102,0)</f>
        <v>0</v>
      </c>
      <c r="L122" s="1050">
        <f>IF(I122&lt;&gt;"",L121,0)</f>
        <v>0</v>
      </c>
      <c r="M122" s="1049">
        <f>IF(I122&lt;&gt;"",M121,0)</f>
        <v>0</v>
      </c>
      <c r="N122" s="1001"/>
      <c r="P122" s="1083">
        <f>IF(OR($H122="",$I122=""),0,IF(OR(P$107&lt;$H122,P$107&gt;$I122),0,$J122))</f>
        <v>0</v>
      </c>
      <c r="Q122" s="1084">
        <f>IF(OR($H122="",$I122=""),0,IF(OR(Q$107&lt;$H122,Q$107&gt;$I122),0,$J122))</f>
        <v>0</v>
      </c>
      <c r="R122" s="1084">
        <f>IF(OR($H122="",$I122=""),0,IF(OR(R$107&lt;$H122,R$107&gt;$I122),0,$J122))</f>
        <v>0</v>
      </c>
      <c r="S122" s="1084">
        <f>IF(OR($H122="",$I122=""),0,IF(OR(S$107&lt;$H122,S$107&gt;$I122),0,$J122))</f>
        <v>0</v>
      </c>
      <c r="T122" s="1084">
        <f>IF(OR($H122="",$I122=""),0,IF(OR(T$107&lt;$H122,T$107&gt;$I122),0,$J122))</f>
        <v>0</v>
      </c>
      <c r="U122" s="1084">
        <f>IF(OR($H122="",$I122=""),0,IF(OR(U$107&lt;$H122,U$107&gt;$I122),0,$J122))</f>
        <v>0</v>
      </c>
      <c r="V122" s="1084">
        <f>IF(OR($H122="",$I122=""),0,IF(OR(V$107&lt;$H122,V$107&gt;$I122),0,$J122))</f>
        <v>0</v>
      </c>
      <c r="W122" s="1084">
        <f>IF(OR($H122="",$I122=""),0,IF(OR(W$107&lt;$H122,W$107&gt;$I122),0,$J122))</f>
        <v>0</v>
      </c>
      <c r="X122" s="1084">
        <f>IF(OR($H122="",$I122=""),0,IF(OR(X$107&lt;$H122,X$107&gt;$I122),0,$J122))</f>
        <v>0</v>
      </c>
      <c r="Y122" s="1084">
        <f>IF(OR($H122="",$I122=""),0,IF(OR(Y$107&lt;$H122,Y$107&gt;$I122),0,$J122))</f>
        <v>0</v>
      </c>
      <c r="Z122" s="1084">
        <f>IF(OR($H122="",$I122=""),0,IF(OR(Z$107&lt;$H122,Z$107&gt;$I122),0,$J122))</f>
        <v>0</v>
      </c>
      <c r="AA122" s="1084">
        <f>IF(OR($H122="",$I122=""),0,IF(OR(AA$107&lt;$H122,AA$107&gt;$I122),0,$J122))</f>
        <v>0</v>
      </c>
      <c r="AB122" s="1084">
        <f>IF(OR($H122="",$I122=""),0,IF(OR(AB$107&lt;$H122,AB$107&gt;$I122),0,$J122))</f>
        <v>0</v>
      </c>
      <c r="AC122" s="1084">
        <f>IF(OR($H122="",$I122=""),0,IF(OR(AC$107&lt;$H122,AC$107&gt;$I122),0,$J122))</f>
        <v>0</v>
      </c>
      <c r="AD122" s="1084">
        <f>IF(OR($H122="",$I122=""),0,IF(OR(AD$107&lt;$H122,AD$107&gt;$I122),0,$J122))</f>
        <v>0</v>
      </c>
      <c r="AE122" s="1084">
        <f>IF(OR($H122="",$I122=""),0,IF(OR(AE$107&lt;$H122,AE$107&gt;$I122),0,$J122))</f>
        <v>0</v>
      </c>
      <c r="AF122" s="1084">
        <f>IF(OR($H122="",$I122=""),0,IF(OR(AF$107&lt;$H122,AF$107&gt;$I122),0,$J122))</f>
        <v>0</v>
      </c>
      <c r="AG122" s="1084">
        <f>IF(OR($H122="",$I122=""),0,IF(OR(AG$107&lt;$H122,AG$107&gt;$I122),0,$J122))</f>
        <v>0</v>
      </c>
      <c r="AH122" s="1084">
        <f>IF(OR($H122="",$I122=""),0,IF(OR(AH$107&lt;$H122,AH$107&gt;$I122),0,$J122))</f>
        <v>0</v>
      </c>
      <c r="AI122" s="1084">
        <f>IF(OR($H122="",$I122=""),0,IF(OR(AI$107&lt;$H122,AI$107&gt;$I122),0,$J122))</f>
        <v>0</v>
      </c>
      <c r="AJ122" s="1084">
        <f>IF(OR($H122="",$I122=""),0,IF(OR(AJ$107&lt;$H122,AJ$107&gt;$I122),0,$J122))</f>
        <v>0</v>
      </c>
      <c r="AK122" s="1084">
        <f>IF(OR($H122="",$I122=""),0,IF(OR(AK$107&lt;$H122,AK$107&gt;$I122),0,$J122))</f>
        <v>0</v>
      </c>
      <c r="AL122" s="1084">
        <f>IF(OR($H122="",$I122=""),0,IF(OR(AL$107&lt;$H122,AL$107&gt;$I122),0,$J122))</f>
        <v>0</v>
      </c>
      <c r="AM122" s="1084">
        <f>IF(OR($H122="",$I122=""),0,IF(OR(AM$107&lt;$H122,AM$107&gt;$I122),0,$J122))</f>
        <v>0</v>
      </c>
      <c r="AN122" s="1084">
        <f>IF(OR($H122="",$I122=""),0,IF(OR(AN$107&lt;$H122,AN$107&gt;$I122),0,$J122))</f>
        <v>0</v>
      </c>
      <c r="AO122" s="1084">
        <f>IF(OR($H122="",$I122=""),0,IF(OR(AO$107&lt;$H122,AO$107&gt;$I122),0,$J122))</f>
        <v>0</v>
      </c>
      <c r="AP122" s="1084">
        <f>IF(OR($H122="",$I122=""),0,IF(OR(AP$107&lt;$H122,AP$107&gt;$I122),0,$J122))</f>
        <v>0</v>
      </c>
      <c r="AQ122" s="1084">
        <f>IF(OR($H122="",$I122=""),0,IF(OR(AQ$107&lt;$H122,AQ$107&gt;$I122),0,$J122))</f>
        <v>0</v>
      </c>
      <c r="AR122" s="1084">
        <f>IF(OR($H122="",$I122=""),0,IF(OR(AR$107&lt;$H122,AR$107&gt;$I122),0,$J122))</f>
        <v>0</v>
      </c>
      <c r="AS122" s="1084">
        <f>IF(OR($H122="",$I122=""),0,IF(OR(AS$107&lt;$H122,AS$107&gt;$I122),0,$J122))</f>
        <v>0</v>
      </c>
      <c r="AT122" s="1084">
        <f>IF(OR($H122="",$I122=""),0,IF(OR(AT$107&lt;$H122,AT$107&gt;$I122),0,$J122))</f>
        <v>0</v>
      </c>
      <c r="AU122" s="1084">
        <f>IF(OR($H122="",$I122=""),0,IF(OR(AU$107&lt;$H122,AU$107&gt;$I122),0,$J122))</f>
        <v>0</v>
      </c>
      <c r="AV122" s="1084">
        <f>IF(OR($H122="",$I122=""),0,IF(OR(AV$107&lt;$H122,AV$107&gt;$I122),0,$J122))</f>
        <v>0</v>
      </c>
      <c r="AW122" s="1084">
        <f>IF(OR($H122="",$I122=""),0,IF(OR(AW$107&lt;$H122,AW$107&gt;$I122),0,$J122))</f>
        <v>0</v>
      </c>
      <c r="AX122" s="1084">
        <f>IF(OR($H122="",$I122=""),0,IF(OR(AX$107&lt;$H122,AX$107&gt;$I122),0,$J122))</f>
        <v>0</v>
      </c>
      <c r="AY122" s="1085">
        <f>IF(OR($H122="",$I122=""),0,IF(OR(AY$107&lt;$H122,AY$107&gt;$I122),0,$J122))</f>
        <v>0</v>
      </c>
      <c r="AZ122" s="1240">
        <f>IF(OR($H122="",$I122=""),0,IF(OR(AZ$107&lt;$H122,AZ$107&gt;$I122),0,$J122))</f>
        <v>0</v>
      </c>
      <c r="BA122" s="1084">
        <f>IF(OR($H122="",$I122=""),0,IF(OR(BA$107&lt;$H122,BA$107&gt;$I122),0,$J122))</f>
        <v>0</v>
      </c>
      <c r="BB122" s="1084">
        <f>IF(OR($H122="",$I122=""),0,IF(OR(BB$107&lt;$H122,BB$107&gt;$I122),0,$J122))</f>
        <v>0</v>
      </c>
      <c r="BC122" s="1084">
        <f>IF(OR($H122="",$I122=""),0,IF(OR(BC$107&lt;$H122,BC$107&gt;$I122),0,$J122))</f>
        <v>0</v>
      </c>
      <c r="BD122" s="1084">
        <f>IF(OR($H122="",$I122=""),0,IF(OR(BD$107&lt;$H122,BD$107&gt;$I122),0,$J122))</f>
        <v>0</v>
      </c>
      <c r="BE122" s="1084">
        <f>IF(OR($H122="",$I122=""),0,IF(OR(BE$107&lt;$H122,BE$107&gt;$I122),0,$J122))</f>
        <v>0</v>
      </c>
      <c r="BF122" s="1084">
        <f>IF(OR($H122="",$I122=""),0,IF(OR(BF$107&lt;$H122,BF$107&gt;$I122),0,$J122))</f>
        <v>0</v>
      </c>
      <c r="BG122" s="1084">
        <f>IF(OR($H122="",$I122=""),0,IF(OR(BG$107&lt;$H122,BG$107&gt;$I122),0,$J122))</f>
        <v>0</v>
      </c>
      <c r="BH122" s="1084">
        <f>IF(OR($H122="",$I122=""),0,IF(OR(BH$107&lt;$H122,BH$107&gt;$I122),0,$J122))</f>
        <v>0</v>
      </c>
      <c r="BI122" s="1084">
        <f>IF(OR($H122="",$I122=""),0,IF(OR(BI$107&lt;$H122,BI$107&gt;$I122),0,$J122))</f>
        <v>0</v>
      </c>
      <c r="BJ122" s="1084">
        <f>IF(OR($H122="",$I122=""),0,IF(OR(BJ$107&lt;$H122,BJ$107&gt;$I122),0,$J122))</f>
        <v>0</v>
      </c>
      <c r="BK122" s="1084">
        <f>IF(OR($H122="",$I122=""),0,IF(OR(BK$107&lt;$H122,BK$107&gt;$I122),0,$J122))</f>
        <v>0</v>
      </c>
      <c r="BL122" s="1084">
        <f>IF(OR($H122="",$I122=""),0,IF(OR(BL$107&lt;$H122,BL$107&gt;$I122),0,$J122))</f>
        <v>0</v>
      </c>
      <c r="BM122" s="1084">
        <f>IF(OR($H122="",$I122=""),0,IF(OR(BM$107&lt;$H122,BM$107&gt;$I122),0,$J122))</f>
        <v>0</v>
      </c>
      <c r="BN122" s="1084">
        <f>IF(OR($H122="",$I122=""),0,IF(OR(BN$107&lt;$H122,BN$107&gt;$I122),0,$J122))</f>
        <v>0</v>
      </c>
      <c r="BO122" s="1084">
        <f>IF(OR($H122="",$I122=""),0,IF(OR(BO$107&lt;$H122,BO$107&gt;$I122),0,$J122))</f>
        <v>0</v>
      </c>
      <c r="BP122" s="1084">
        <f>IF(OR($H122="",$I122=""),0,IF(OR(BP$107&lt;$H122,BP$107&gt;$I122),0,$J122))</f>
        <v>0</v>
      </c>
      <c r="BQ122" s="1084">
        <f>IF(OR($H122="",$I122=""),0,IF(OR(BQ$107&lt;$H122,BQ$107&gt;$I122),0,$J122))</f>
        <v>0</v>
      </c>
      <c r="BR122" s="1084">
        <f>IF(OR($H122="",$I122=""),0,IF(OR(BR$107&lt;$H122,BR$107&gt;$I122),0,$J122))</f>
        <v>0</v>
      </c>
      <c r="BS122" s="1084">
        <f>IF(OR($H122="",$I122=""),0,IF(OR(BS$107&lt;$H122,BS$107&gt;$I122),0,$J122))</f>
        <v>0</v>
      </c>
      <c r="BT122" s="1084">
        <f>IF(OR($H122="",$I122=""),0,IF(OR(BT$107&lt;$H122,BT$107&gt;$I122),0,$J122))</f>
        <v>0</v>
      </c>
      <c r="BU122" s="1084">
        <f>IF(OR($H122="",$I122=""),0,IF(OR(BU$107&lt;$H122,BU$107&gt;$I122),0,$J122))</f>
        <v>0</v>
      </c>
      <c r="BV122" s="1084">
        <f>IF(OR($H122="",$I122=""),0,IF(OR(BV$107&lt;$H122,BV$107&gt;$I122),0,$J122))</f>
        <v>0</v>
      </c>
      <c r="BW122" s="1085">
        <f>IF(OR($H122="",$I122=""),0,IF(OR(BW$107&lt;$H122,BW$107&gt;$I122),0,$J122))</f>
        <v>0</v>
      </c>
      <c r="DD122" s="131"/>
    </row>
    <row r="123" spans="1:108" s="8" customFormat="1" ht="12" customHeight="1" thickBot="1" x14ac:dyDescent="0.4" hidden="1">
      <c r="A123" s="133">
        <v>16</v>
      </c>
      <c r="B123" s="1711" t="str">
        <f>IF(A123&gt;F$107,"{Can hide row}","")</f>
        <v/>
      </c>
      <c r="C123" s="9" t="str">
        <f>A123&amp;" "</f>
        <v xml:space="preserve">16 </v>
      </c>
      <c r="D123" s="1843"/>
      <c r="E123" s="1844"/>
      <c r="F123" s="1845"/>
      <c r="G123" s="590"/>
      <c r="H123" s="616"/>
      <c r="I123" s="616"/>
      <c r="J123" s="1055">
        <f>IF(I123&lt;&gt;"",1,0)</f>
        <v>0</v>
      </c>
      <c r="K123" s="1050">
        <f>IF(I123&lt;&gt;"",$O$102,0)</f>
        <v>0</v>
      </c>
      <c r="L123" s="1050">
        <f>IF(I123&lt;&gt;"",L122,0)</f>
        <v>0</v>
      </c>
      <c r="M123" s="1049">
        <f>IF(I123&lt;&gt;"",M122,0)</f>
        <v>0</v>
      </c>
      <c r="N123" s="1001"/>
      <c r="P123" s="1083">
        <f>IF(OR($H123="",$I123=""),0,IF(OR(P$107&lt;$H123,P$107&gt;$I123),0,$J123))</f>
        <v>0</v>
      </c>
      <c r="Q123" s="1084">
        <f>IF(OR($H123="",$I123=""),0,IF(OR(Q$107&lt;$H123,Q$107&gt;$I123),0,$J123))</f>
        <v>0</v>
      </c>
      <c r="R123" s="1084">
        <f>IF(OR($H123="",$I123=""),0,IF(OR(R$107&lt;$H123,R$107&gt;$I123),0,$J123))</f>
        <v>0</v>
      </c>
      <c r="S123" s="1084">
        <f>IF(OR($H123="",$I123=""),0,IF(OR(S$107&lt;$H123,S$107&gt;$I123),0,$J123))</f>
        <v>0</v>
      </c>
      <c r="T123" s="1084">
        <f>IF(OR($H123="",$I123=""),0,IF(OR(T$107&lt;$H123,T$107&gt;$I123),0,$J123))</f>
        <v>0</v>
      </c>
      <c r="U123" s="1084">
        <f>IF(OR($H123="",$I123=""),0,IF(OR(U$107&lt;$H123,U$107&gt;$I123),0,$J123))</f>
        <v>0</v>
      </c>
      <c r="V123" s="1084">
        <f>IF(OR($H123="",$I123=""),0,IF(OR(V$107&lt;$H123,V$107&gt;$I123),0,$J123))</f>
        <v>0</v>
      </c>
      <c r="W123" s="1084">
        <f>IF(OR($H123="",$I123=""),0,IF(OR(W$107&lt;$H123,W$107&gt;$I123),0,$J123))</f>
        <v>0</v>
      </c>
      <c r="X123" s="1084">
        <f>IF(OR($H123="",$I123=""),0,IF(OR(X$107&lt;$H123,X$107&gt;$I123),0,$J123))</f>
        <v>0</v>
      </c>
      <c r="Y123" s="1084">
        <f>IF(OR($H123="",$I123=""),0,IF(OR(Y$107&lt;$H123,Y$107&gt;$I123),0,$J123))</f>
        <v>0</v>
      </c>
      <c r="Z123" s="1084">
        <f>IF(OR($H123="",$I123=""),0,IF(OR(Z$107&lt;$H123,Z$107&gt;$I123),0,$J123))</f>
        <v>0</v>
      </c>
      <c r="AA123" s="1084">
        <f>IF(OR($H123="",$I123=""),0,IF(OR(AA$107&lt;$H123,AA$107&gt;$I123),0,$J123))</f>
        <v>0</v>
      </c>
      <c r="AB123" s="1084">
        <f>IF(OR($H123="",$I123=""),0,IF(OR(AB$107&lt;$H123,AB$107&gt;$I123),0,$J123))</f>
        <v>0</v>
      </c>
      <c r="AC123" s="1084">
        <f>IF(OR($H123="",$I123=""),0,IF(OR(AC$107&lt;$H123,AC$107&gt;$I123),0,$J123))</f>
        <v>0</v>
      </c>
      <c r="AD123" s="1084">
        <f>IF(OR($H123="",$I123=""),0,IF(OR(AD$107&lt;$H123,AD$107&gt;$I123),0,$J123))</f>
        <v>0</v>
      </c>
      <c r="AE123" s="1084">
        <f>IF(OR($H123="",$I123=""),0,IF(OR(AE$107&lt;$H123,AE$107&gt;$I123),0,$J123))</f>
        <v>0</v>
      </c>
      <c r="AF123" s="1084">
        <f>IF(OR($H123="",$I123=""),0,IF(OR(AF$107&lt;$H123,AF$107&gt;$I123),0,$J123))</f>
        <v>0</v>
      </c>
      <c r="AG123" s="1084">
        <f>IF(OR($H123="",$I123=""),0,IF(OR(AG$107&lt;$H123,AG$107&gt;$I123),0,$J123))</f>
        <v>0</v>
      </c>
      <c r="AH123" s="1084">
        <f>IF(OR($H123="",$I123=""),0,IF(OR(AH$107&lt;$H123,AH$107&gt;$I123),0,$J123))</f>
        <v>0</v>
      </c>
      <c r="AI123" s="1084">
        <f>IF(OR($H123="",$I123=""),0,IF(OR(AI$107&lt;$H123,AI$107&gt;$I123),0,$J123))</f>
        <v>0</v>
      </c>
      <c r="AJ123" s="1084">
        <f>IF(OR($H123="",$I123=""),0,IF(OR(AJ$107&lt;$H123,AJ$107&gt;$I123),0,$J123))</f>
        <v>0</v>
      </c>
      <c r="AK123" s="1084">
        <f>IF(OR($H123="",$I123=""),0,IF(OR(AK$107&lt;$H123,AK$107&gt;$I123),0,$J123))</f>
        <v>0</v>
      </c>
      <c r="AL123" s="1084">
        <f>IF(OR($H123="",$I123=""),0,IF(OR(AL$107&lt;$H123,AL$107&gt;$I123),0,$J123))</f>
        <v>0</v>
      </c>
      <c r="AM123" s="1084">
        <f>IF(OR($H123="",$I123=""),0,IF(OR(AM$107&lt;$H123,AM$107&gt;$I123),0,$J123))</f>
        <v>0</v>
      </c>
      <c r="AN123" s="1084">
        <f>IF(OR($H123="",$I123=""),0,IF(OR(AN$107&lt;$H123,AN$107&gt;$I123),0,$J123))</f>
        <v>0</v>
      </c>
      <c r="AO123" s="1084">
        <f>IF(OR($H123="",$I123=""),0,IF(OR(AO$107&lt;$H123,AO$107&gt;$I123),0,$J123))</f>
        <v>0</v>
      </c>
      <c r="AP123" s="1084">
        <f>IF(OR($H123="",$I123=""),0,IF(OR(AP$107&lt;$H123,AP$107&gt;$I123),0,$J123))</f>
        <v>0</v>
      </c>
      <c r="AQ123" s="1084">
        <f>IF(OR($H123="",$I123=""),0,IF(OR(AQ$107&lt;$H123,AQ$107&gt;$I123),0,$J123))</f>
        <v>0</v>
      </c>
      <c r="AR123" s="1084">
        <f>IF(OR($H123="",$I123=""),0,IF(OR(AR$107&lt;$H123,AR$107&gt;$I123),0,$J123))</f>
        <v>0</v>
      </c>
      <c r="AS123" s="1084">
        <f>IF(OR($H123="",$I123=""),0,IF(OR(AS$107&lt;$H123,AS$107&gt;$I123),0,$J123))</f>
        <v>0</v>
      </c>
      <c r="AT123" s="1084">
        <f>IF(OR($H123="",$I123=""),0,IF(OR(AT$107&lt;$H123,AT$107&gt;$I123),0,$J123))</f>
        <v>0</v>
      </c>
      <c r="AU123" s="1084">
        <f>IF(OR($H123="",$I123=""),0,IF(OR(AU$107&lt;$H123,AU$107&gt;$I123),0,$J123))</f>
        <v>0</v>
      </c>
      <c r="AV123" s="1084">
        <f>IF(OR($H123="",$I123=""),0,IF(OR(AV$107&lt;$H123,AV$107&gt;$I123),0,$J123))</f>
        <v>0</v>
      </c>
      <c r="AW123" s="1084">
        <f>IF(OR($H123="",$I123=""),0,IF(OR(AW$107&lt;$H123,AW$107&gt;$I123),0,$J123))</f>
        <v>0</v>
      </c>
      <c r="AX123" s="1084">
        <f>IF(OR($H123="",$I123=""),0,IF(OR(AX$107&lt;$H123,AX$107&gt;$I123),0,$J123))</f>
        <v>0</v>
      </c>
      <c r="AY123" s="1085">
        <f>IF(OR($H123="",$I123=""),0,IF(OR(AY$107&lt;$H123,AY$107&gt;$I123),0,$J123))</f>
        <v>0</v>
      </c>
      <c r="AZ123" s="1240">
        <f>IF(OR($H123="",$I123=""),0,IF(OR(AZ$107&lt;$H123,AZ$107&gt;$I123),0,$J123))</f>
        <v>0</v>
      </c>
      <c r="BA123" s="1084">
        <f>IF(OR($H123="",$I123=""),0,IF(OR(BA$107&lt;$H123,BA$107&gt;$I123),0,$J123))</f>
        <v>0</v>
      </c>
      <c r="BB123" s="1084">
        <f>IF(OR($H123="",$I123=""),0,IF(OR(BB$107&lt;$H123,BB$107&gt;$I123),0,$J123))</f>
        <v>0</v>
      </c>
      <c r="BC123" s="1084">
        <f>IF(OR($H123="",$I123=""),0,IF(OR(BC$107&lt;$H123,BC$107&gt;$I123),0,$J123))</f>
        <v>0</v>
      </c>
      <c r="BD123" s="1084">
        <f>IF(OR($H123="",$I123=""),0,IF(OR(BD$107&lt;$H123,BD$107&gt;$I123),0,$J123))</f>
        <v>0</v>
      </c>
      <c r="BE123" s="1084">
        <f>IF(OR($H123="",$I123=""),0,IF(OR(BE$107&lt;$H123,BE$107&gt;$I123),0,$J123))</f>
        <v>0</v>
      </c>
      <c r="BF123" s="1084">
        <f>IF(OR($H123="",$I123=""),0,IF(OR(BF$107&lt;$H123,BF$107&gt;$I123),0,$J123))</f>
        <v>0</v>
      </c>
      <c r="BG123" s="1084">
        <f>IF(OR($H123="",$I123=""),0,IF(OR(BG$107&lt;$H123,BG$107&gt;$I123),0,$J123))</f>
        <v>0</v>
      </c>
      <c r="BH123" s="1084">
        <f>IF(OR($H123="",$I123=""),0,IF(OR(BH$107&lt;$H123,BH$107&gt;$I123),0,$J123))</f>
        <v>0</v>
      </c>
      <c r="BI123" s="1084">
        <f>IF(OR($H123="",$I123=""),0,IF(OR(BI$107&lt;$H123,BI$107&gt;$I123),0,$J123))</f>
        <v>0</v>
      </c>
      <c r="BJ123" s="1084">
        <f>IF(OR($H123="",$I123=""),0,IF(OR(BJ$107&lt;$H123,BJ$107&gt;$I123),0,$J123))</f>
        <v>0</v>
      </c>
      <c r="BK123" s="1084">
        <f>IF(OR($H123="",$I123=""),0,IF(OR(BK$107&lt;$H123,BK$107&gt;$I123),0,$J123))</f>
        <v>0</v>
      </c>
      <c r="BL123" s="1084">
        <f>IF(OR($H123="",$I123=""),0,IF(OR(BL$107&lt;$H123,BL$107&gt;$I123),0,$J123))</f>
        <v>0</v>
      </c>
      <c r="BM123" s="1084">
        <f>IF(OR($H123="",$I123=""),0,IF(OR(BM$107&lt;$H123,BM$107&gt;$I123),0,$J123))</f>
        <v>0</v>
      </c>
      <c r="BN123" s="1084">
        <f>IF(OR($H123="",$I123=""),0,IF(OR(BN$107&lt;$H123,BN$107&gt;$I123),0,$J123))</f>
        <v>0</v>
      </c>
      <c r="BO123" s="1084">
        <f>IF(OR($H123="",$I123=""),0,IF(OR(BO$107&lt;$H123,BO$107&gt;$I123),0,$J123))</f>
        <v>0</v>
      </c>
      <c r="BP123" s="1084">
        <f>IF(OR($H123="",$I123=""),0,IF(OR(BP$107&lt;$H123,BP$107&gt;$I123),0,$J123))</f>
        <v>0</v>
      </c>
      <c r="BQ123" s="1084">
        <f>IF(OR($H123="",$I123=""),0,IF(OR(BQ$107&lt;$H123,BQ$107&gt;$I123),0,$J123))</f>
        <v>0</v>
      </c>
      <c r="BR123" s="1084">
        <f>IF(OR($H123="",$I123=""),0,IF(OR(BR$107&lt;$H123,BR$107&gt;$I123),0,$J123))</f>
        <v>0</v>
      </c>
      <c r="BS123" s="1084">
        <f>IF(OR($H123="",$I123=""),0,IF(OR(BS$107&lt;$H123,BS$107&gt;$I123),0,$J123))</f>
        <v>0</v>
      </c>
      <c r="BT123" s="1084">
        <f>IF(OR($H123="",$I123=""),0,IF(OR(BT$107&lt;$H123,BT$107&gt;$I123),0,$J123))</f>
        <v>0</v>
      </c>
      <c r="BU123" s="1084">
        <f>IF(OR($H123="",$I123=""),0,IF(OR(BU$107&lt;$H123,BU$107&gt;$I123),0,$J123))</f>
        <v>0</v>
      </c>
      <c r="BV123" s="1084">
        <f>IF(OR($H123="",$I123=""),0,IF(OR(BV$107&lt;$H123,BV$107&gt;$I123),0,$J123))</f>
        <v>0</v>
      </c>
      <c r="BW123" s="1085">
        <f>IF(OR($H123="",$I123=""),0,IF(OR(BW$107&lt;$H123,BW$107&gt;$I123),0,$J123))</f>
        <v>0</v>
      </c>
      <c r="DD123" s="131"/>
    </row>
    <row r="124" spans="1:108" s="8" customFormat="1" ht="12" customHeight="1" thickBot="1" x14ac:dyDescent="0.4" hidden="1">
      <c r="A124" s="133">
        <v>17</v>
      </c>
      <c r="B124" s="1711" t="str">
        <f>IF(A124&gt;F$107,"{Can hide row}","")</f>
        <v/>
      </c>
      <c r="C124" s="9" t="str">
        <f>A124&amp;" "</f>
        <v xml:space="preserve">17 </v>
      </c>
      <c r="D124" s="1843"/>
      <c r="E124" s="1844"/>
      <c r="F124" s="1845"/>
      <c r="G124" s="590"/>
      <c r="H124" s="616"/>
      <c r="I124" s="616"/>
      <c r="J124" s="1055">
        <f>IF(I124&lt;&gt;"",1,0)</f>
        <v>0</v>
      </c>
      <c r="K124" s="1050">
        <f>IF(I124&lt;&gt;"",$O$102,0)</f>
        <v>0</v>
      </c>
      <c r="L124" s="1050">
        <f>IF(I124&lt;&gt;"",L123,0)</f>
        <v>0</v>
      </c>
      <c r="M124" s="1049">
        <f>IF(I124&lt;&gt;"",M123,0)</f>
        <v>0</v>
      </c>
      <c r="N124" s="1001"/>
      <c r="P124" s="1083">
        <f>IF(OR($H124="",$I124=""),0,IF(OR(P$107&lt;$H124,P$107&gt;$I124),0,$J124))</f>
        <v>0</v>
      </c>
      <c r="Q124" s="1084">
        <f>IF(OR($H124="",$I124=""),0,IF(OR(Q$107&lt;$H124,Q$107&gt;$I124),0,$J124))</f>
        <v>0</v>
      </c>
      <c r="R124" s="1084">
        <f>IF(OR($H124="",$I124=""),0,IF(OR(R$107&lt;$H124,R$107&gt;$I124),0,$J124))</f>
        <v>0</v>
      </c>
      <c r="S124" s="1084">
        <f>IF(OR($H124="",$I124=""),0,IF(OR(S$107&lt;$H124,S$107&gt;$I124),0,$J124))</f>
        <v>0</v>
      </c>
      <c r="T124" s="1084">
        <f>IF(OR($H124="",$I124=""),0,IF(OR(T$107&lt;$H124,T$107&gt;$I124),0,$J124))</f>
        <v>0</v>
      </c>
      <c r="U124" s="1084">
        <f>IF(OR($H124="",$I124=""),0,IF(OR(U$107&lt;$H124,U$107&gt;$I124),0,$J124))</f>
        <v>0</v>
      </c>
      <c r="V124" s="1084">
        <f>IF(OR($H124="",$I124=""),0,IF(OR(V$107&lt;$H124,V$107&gt;$I124),0,$J124))</f>
        <v>0</v>
      </c>
      <c r="W124" s="1084">
        <f>IF(OR($H124="",$I124=""),0,IF(OR(W$107&lt;$H124,W$107&gt;$I124),0,$J124))</f>
        <v>0</v>
      </c>
      <c r="X124" s="1084">
        <f>IF(OR($H124="",$I124=""),0,IF(OR(X$107&lt;$H124,X$107&gt;$I124),0,$J124))</f>
        <v>0</v>
      </c>
      <c r="Y124" s="1084">
        <f>IF(OR($H124="",$I124=""),0,IF(OR(Y$107&lt;$H124,Y$107&gt;$I124),0,$J124))</f>
        <v>0</v>
      </c>
      <c r="Z124" s="1084">
        <f>IF(OR($H124="",$I124=""),0,IF(OR(Z$107&lt;$H124,Z$107&gt;$I124),0,$J124))</f>
        <v>0</v>
      </c>
      <c r="AA124" s="1084">
        <f>IF(OR($H124="",$I124=""),0,IF(OR(AA$107&lt;$H124,AA$107&gt;$I124),0,$J124))</f>
        <v>0</v>
      </c>
      <c r="AB124" s="1084">
        <f>IF(OR($H124="",$I124=""),0,IF(OR(AB$107&lt;$H124,AB$107&gt;$I124),0,$J124))</f>
        <v>0</v>
      </c>
      <c r="AC124" s="1084">
        <f>IF(OR($H124="",$I124=""),0,IF(OR(AC$107&lt;$H124,AC$107&gt;$I124),0,$J124))</f>
        <v>0</v>
      </c>
      <c r="AD124" s="1084">
        <f>IF(OR($H124="",$I124=""),0,IF(OR(AD$107&lt;$H124,AD$107&gt;$I124),0,$J124))</f>
        <v>0</v>
      </c>
      <c r="AE124" s="1084">
        <f>IF(OR($H124="",$I124=""),0,IF(OR(AE$107&lt;$H124,AE$107&gt;$I124),0,$J124))</f>
        <v>0</v>
      </c>
      <c r="AF124" s="1084">
        <f>IF(OR($H124="",$I124=""),0,IF(OR(AF$107&lt;$H124,AF$107&gt;$I124),0,$J124))</f>
        <v>0</v>
      </c>
      <c r="AG124" s="1084">
        <f>IF(OR($H124="",$I124=""),0,IF(OR(AG$107&lt;$H124,AG$107&gt;$I124),0,$J124))</f>
        <v>0</v>
      </c>
      <c r="AH124" s="1084">
        <f>IF(OR($H124="",$I124=""),0,IF(OR(AH$107&lt;$H124,AH$107&gt;$I124),0,$J124))</f>
        <v>0</v>
      </c>
      <c r="AI124" s="1084">
        <f>IF(OR($H124="",$I124=""),0,IF(OR(AI$107&lt;$H124,AI$107&gt;$I124),0,$J124))</f>
        <v>0</v>
      </c>
      <c r="AJ124" s="1084">
        <f>IF(OR($H124="",$I124=""),0,IF(OR(AJ$107&lt;$H124,AJ$107&gt;$I124),0,$J124))</f>
        <v>0</v>
      </c>
      <c r="AK124" s="1084">
        <f>IF(OR($H124="",$I124=""),0,IF(OR(AK$107&lt;$H124,AK$107&gt;$I124),0,$J124))</f>
        <v>0</v>
      </c>
      <c r="AL124" s="1084">
        <f>IF(OR($H124="",$I124=""),0,IF(OR(AL$107&lt;$H124,AL$107&gt;$I124),0,$J124))</f>
        <v>0</v>
      </c>
      <c r="AM124" s="1084">
        <f>IF(OR($H124="",$I124=""),0,IF(OR(AM$107&lt;$H124,AM$107&gt;$I124),0,$J124))</f>
        <v>0</v>
      </c>
      <c r="AN124" s="1084">
        <f>IF(OR($H124="",$I124=""),0,IF(OR(AN$107&lt;$H124,AN$107&gt;$I124),0,$J124))</f>
        <v>0</v>
      </c>
      <c r="AO124" s="1084">
        <f>IF(OR($H124="",$I124=""),0,IF(OR(AO$107&lt;$H124,AO$107&gt;$I124),0,$J124))</f>
        <v>0</v>
      </c>
      <c r="AP124" s="1084">
        <f>IF(OR($H124="",$I124=""),0,IF(OR(AP$107&lt;$H124,AP$107&gt;$I124),0,$J124))</f>
        <v>0</v>
      </c>
      <c r="AQ124" s="1084">
        <f>IF(OR($H124="",$I124=""),0,IF(OR(AQ$107&lt;$H124,AQ$107&gt;$I124),0,$J124))</f>
        <v>0</v>
      </c>
      <c r="AR124" s="1084">
        <f>IF(OR($H124="",$I124=""),0,IF(OR(AR$107&lt;$H124,AR$107&gt;$I124),0,$J124))</f>
        <v>0</v>
      </c>
      <c r="AS124" s="1084">
        <f>IF(OR($H124="",$I124=""),0,IF(OR(AS$107&lt;$H124,AS$107&gt;$I124),0,$J124))</f>
        <v>0</v>
      </c>
      <c r="AT124" s="1084">
        <f>IF(OR($H124="",$I124=""),0,IF(OR(AT$107&lt;$H124,AT$107&gt;$I124),0,$J124))</f>
        <v>0</v>
      </c>
      <c r="AU124" s="1084">
        <f>IF(OR($H124="",$I124=""),0,IF(OR(AU$107&lt;$H124,AU$107&gt;$I124),0,$J124))</f>
        <v>0</v>
      </c>
      <c r="AV124" s="1084">
        <f>IF(OR($H124="",$I124=""),0,IF(OR(AV$107&lt;$H124,AV$107&gt;$I124),0,$J124))</f>
        <v>0</v>
      </c>
      <c r="AW124" s="1084">
        <f>IF(OR($H124="",$I124=""),0,IF(OR(AW$107&lt;$H124,AW$107&gt;$I124),0,$J124))</f>
        <v>0</v>
      </c>
      <c r="AX124" s="1084">
        <f>IF(OR($H124="",$I124=""),0,IF(OR(AX$107&lt;$H124,AX$107&gt;$I124),0,$J124))</f>
        <v>0</v>
      </c>
      <c r="AY124" s="1085">
        <f>IF(OR($H124="",$I124=""),0,IF(OR(AY$107&lt;$H124,AY$107&gt;$I124),0,$J124))</f>
        <v>0</v>
      </c>
      <c r="AZ124" s="1240">
        <f>IF(OR($H124="",$I124=""),0,IF(OR(AZ$107&lt;$H124,AZ$107&gt;$I124),0,$J124))</f>
        <v>0</v>
      </c>
      <c r="BA124" s="1084">
        <f>IF(OR($H124="",$I124=""),0,IF(OR(BA$107&lt;$H124,BA$107&gt;$I124),0,$J124))</f>
        <v>0</v>
      </c>
      <c r="BB124" s="1084">
        <f>IF(OR($H124="",$I124=""),0,IF(OR(BB$107&lt;$H124,BB$107&gt;$I124),0,$J124))</f>
        <v>0</v>
      </c>
      <c r="BC124" s="1084">
        <f>IF(OR($H124="",$I124=""),0,IF(OR(BC$107&lt;$H124,BC$107&gt;$I124),0,$J124))</f>
        <v>0</v>
      </c>
      <c r="BD124" s="1084">
        <f>IF(OR($H124="",$I124=""),0,IF(OR(BD$107&lt;$H124,BD$107&gt;$I124),0,$J124))</f>
        <v>0</v>
      </c>
      <c r="BE124" s="1084">
        <f>IF(OR($H124="",$I124=""),0,IF(OR(BE$107&lt;$H124,BE$107&gt;$I124),0,$J124))</f>
        <v>0</v>
      </c>
      <c r="BF124" s="1084">
        <f>IF(OR($H124="",$I124=""),0,IF(OR(BF$107&lt;$H124,BF$107&gt;$I124),0,$J124))</f>
        <v>0</v>
      </c>
      <c r="BG124" s="1084">
        <f>IF(OR($H124="",$I124=""),0,IF(OR(BG$107&lt;$H124,BG$107&gt;$I124),0,$J124))</f>
        <v>0</v>
      </c>
      <c r="BH124" s="1084">
        <f>IF(OR($H124="",$I124=""),0,IF(OR(BH$107&lt;$H124,BH$107&gt;$I124),0,$J124))</f>
        <v>0</v>
      </c>
      <c r="BI124" s="1084">
        <f>IF(OR($H124="",$I124=""),0,IF(OR(BI$107&lt;$H124,BI$107&gt;$I124),0,$J124))</f>
        <v>0</v>
      </c>
      <c r="BJ124" s="1084">
        <f>IF(OR($H124="",$I124=""),0,IF(OR(BJ$107&lt;$H124,BJ$107&gt;$I124),0,$J124))</f>
        <v>0</v>
      </c>
      <c r="BK124" s="1084">
        <f>IF(OR($H124="",$I124=""),0,IF(OR(BK$107&lt;$H124,BK$107&gt;$I124),0,$J124))</f>
        <v>0</v>
      </c>
      <c r="BL124" s="1084">
        <f>IF(OR($H124="",$I124=""),0,IF(OR(BL$107&lt;$H124,BL$107&gt;$I124),0,$J124))</f>
        <v>0</v>
      </c>
      <c r="BM124" s="1084">
        <f>IF(OR($H124="",$I124=""),0,IF(OR(BM$107&lt;$H124,BM$107&gt;$I124),0,$J124))</f>
        <v>0</v>
      </c>
      <c r="BN124" s="1084">
        <f>IF(OR($H124="",$I124=""),0,IF(OR(BN$107&lt;$H124,BN$107&gt;$I124),0,$J124))</f>
        <v>0</v>
      </c>
      <c r="BO124" s="1084">
        <f>IF(OR($H124="",$I124=""),0,IF(OR(BO$107&lt;$H124,BO$107&gt;$I124),0,$J124))</f>
        <v>0</v>
      </c>
      <c r="BP124" s="1084">
        <f>IF(OR($H124="",$I124=""),0,IF(OR(BP$107&lt;$H124,BP$107&gt;$I124),0,$J124))</f>
        <v>0</v>
      </c>
      <c r="BQ124" s="1084">
        <f>IF(OR($H124="",$I124=""),0,IF(OR(BQ$107&lt;$H124,BQ$107&gt;$I124),0,$J124))</f>
        <v>0</v>
      </c>
      <c r="BR124" s="1084">
        <f>IF(OR($H124="",$I124=""),0,IF(OR(BR$107&lt;$H124,BR$107&gt;$I124),0,$J124))</f>
        <v>0</v>
      </c>
      <c r="BS124" s="1084">
        <f>IF(OR($H124="",$I124=""),0,IF(OR(BS$107&lt;$H124,BS$107&gt;$I124),0,$J124))</f>
        <v>0</v>
      </c>
      <c r="BT124" s="1084">
        <f>IF(OR($H124="",$I124=""),0,IF(OR(BT$107&lt;$H124,BT$107&gt;$I124),0,$J124))</f>
        <v>0</v>
      </c>
      <c r="BU124" s="1084">
        <f>IF(OR($H124="",$I124=""),0,IF(OR(BU$107&lt;$H124,BU$107&gt;$I124),0,$J124))</f>
        <v>0</v>
      </c>
      <c r="BV124" s="1084">
        <f>IF(OR($H124="",$I124=""),0,IF(OR(BV$107&lt;$H124,BV$107&gt;$I124),0,$J124))</f>
        <v>0</v>
      </c>
      <c r="BW124" s="1085">
        <f>IF(OR($H124="",$I124=""),0,IF(OR(BW$107&lt;$H124,BW$107&gt;$I124),0,$J124))</f>
        <v>0</v>
      </c>
      <c r="DD124" s="131"/>
    </row>
    <row r="125" spans="1:108" s="8" customFormat="1" ht="12" customHeight="1" thickBot="1" x14ac:dyDescent="0.4" hidden="1">
      <c r="A125" s="133">
        <v>18</v>
      </c>
      <c r="B125" s="1711" t="str">
        <f>IF(A125&gt;F$107,"{Can hide row}","")</f>
        <v/>
      </c>
      <c r="C125" s="9" t="str">
        <f>A125&amp;" "</f>
        <v xml:space="preserve">18 </v>
      </c>
      <c r="D125" s="1843"/>
      <c r="E125" s="1844"/>
      <c r="F125" s="1845"/>
      <c r="G125" s="590"/>
      <c r="H125" s="616"/>
      <c r="I125" s="616"/>
      <c r="J125" s="1055">
        <f>IF(I125&lt;&gt;"",1,0)</f>
        <v>0</v>
      </c>
      <c r="K125" s="1050">
        <f>IF(I125&lt;&gt;"",$O$102,0)</f>
        <v>0</v>
      </c>
      <c r="L125" s="1050">
        <f>IF(I125&lt;&gt;"",L124,0)</f>
        <v>0</v>
      </c>
      <c r="M125" s="1049">
        <f>IF(I125&lt;&gt;"",M124,0)</f>
        <v>0</v>
      </c>
      <c r="N125" s="1001"/>
      <c r="P125" s="1083">
        <f>IF(OR($H125="",$I125=""),0,IF(OR(P$107&lt;$H125,P$107&gt;$I125),0,$J125))</f>
        <v>0</v>
      </c>
      <c r="Q125" s="1084">
        <f>IF(OR($H125="",$I125=""),0,IF(OR(Q$107&lt;$H125,Q$107&gt;$I125),0,$J125))</f>
        <v>0</v>
      </c>
      <c r="R125" s="1084">
        <f>IF(OR($H125="",$I125=""),0,IF(OR(R$107&lt;$H125,R$107&gt;$I125),0,$J125))</f>
        <v>0</v>
      </c>
      <c r="S125" s="1084">
        <f>IF(OR($H125="",$I125=""),0,IF(OR(S$107&lt;$H125,S$107&gt;$I125),0,$J125))</f>
        <v>0</v>
      </c>
      <c r="T125" s="1084">
        <f>IF(OR($H125="",$I125=""),0,IF(OR(T$107&lt;$H125,T$107&gt;$I125),0,$J125))</f>
        <v>0</v>
      </c>
      <c r="U125" s="1084">
        <f>IF(OR($H125="",$I125=""),0,IF(OR(U$107&lt;$H125,U$107&gt;$I125),0,$J125))</f>
        <v>0</v>
      </c>
      <c r="V125" s="1084">
        <f>IF(OR($H125="",$I125=""),0,IF(OR(V$107&lt;$H125,V$107&gt;$I125),0,$J125))</f>
        <v>0</v>
      </c>
      <c r="W125" s="1084">
        <f>IF(OR($H125="",$I125=""),0,IF(OR(W$107&lt;$H125,W$107&gt;$I125),0,$J125))</f>
        <v>0</v>
      </c>
      <c r="X125" s="1084">
        <f>IF(OR($H125="",$I125=""),0,IF(OR(X$107&lt;$H125,X$107&gt;$I125),0,$J125))</f>
        <v>0</v>
      </c>
      <c r="Y125" s="1084">
        <f>IF(OR($H125="",$I125=""),0,IF(OR(Y$107&lt;$H125,Y$107&gt;$I125),0,$J125))</f>
        <v>0</v>
      </c>
      <c r="Z125" s="1084">
        <f>IF(OR($H125="",$I125=""),0,IF(OR(Z$107&lt;$H125,Z$107&gt;$I125),0,$J125))</f>
        <v>0</v>
      </c>
      <c r="AA125" s="1084">
        <f>IF(OR($H125="",$I125=""),0,IF(OR(AA$107&lt;$H125,AA$107&gt;$I125),0,$J125))</f>
        <v>0</v>
      </c>
      <c r="AB125" s="1084">
        <f>IF(OR($H125="",$I125=""),0,IF(OR(AB$107&lt;$H125,AB$107&gt;$I125),0,$J125))</f>
        <v>0</v>
      </c>
      <c r="AC125" s="1084">
        <f>IF(OR($H125="",$I125=""),0,IF(OR(AC$107&lt;$H125,AC$107&gt;$I125),0,$J125))</f>
        <v>0</v>
      </c>
      <c r="AD125" s="1084">
        <f>IF(OR($H125="",$I125=""),0,IF(OR(AD$107&lt;$H125,AD$107&gt;$I125),0,$J125))</f>
        <v>0</v>
      </c>
      <c r="AE125" s="1084">
        <f>IF(OR($H125="",$I125=""),0,IF(OR(AE$107&lt;$H125,AE$107&gt;$I125),0,$J125))</f>
        <v>0</v>
      </c>
      <c r="AF125" s="1084">
        <f>IF(OR($H125="",$I125=""),0,IF(OR(AF$107&lt;$H125,AF$107&gt;$I125),0,$J125))</f>
        <v>0</v>
      </c>
      <c r="AG125" s="1084">
        <f>IF(OR($H125="",$I125=""),0,IF(OR(AG$107&lt;$H125,AG$107&gt;$I125),0,$J125))</f>
        <v>0</v>
      </c>
      <c r="AH125" s="1084">
        <f>IF(OR($H125="",$I125=""),0,IF(OR(AH$107&lt;$H125,AH$107&gt;$I125),0,$J125))</f>
        <v>0</v>
      </c>
      <c r="AI125" s="1084">
        <f>IF(OR($H125="",$I125=""),0,IF(OR(AI$107&lt;$H125,AI$107&gt;$I125),0,$J125))</f>
        <v>0</v>
      </c>
      <c r="AJ125" s="1084">
        <f>IF(OR($H125="",$I125=""),0,IF(OR(AJ$107&lt;$H125,AJ$107&gt;$I125),0,$J125))</f>
        <v>0</v>
      </c>
      <c r="AK125" s="1084">
        <f>IF(OR($H125="",$I125=""),0,IF(OR(AK$107&lt;$H125,AK$107&gt;$I125),0,$J125))</f>
        <v>0</v>
      </c>
      <c r="AL125" s="1084">
        <f>IF(OR($H125="",$I125=""),0,IF(OR(AL$107&lt;$H125,AL$107&gt;$I125),0,$J125))</f>
        <v>0</v>
      </c>
      <c r="AM125" s="1084">
        <f>IF(OR($H125="",$I125=""),0,IF(OR(AM$107&lt;$H125,AM$107&gt;$I125),0,$J125))</f>
        <v>0</v>
      </c>
      <c r="AN125" s="1084">
        <f>IF(OR($H125="",$I125=""),0,IF(OR(AN$107&lt;$H125,AN$107&gt;$I125),0,$J125))</f>
        <v>0</v>
      </c>
      <c r="AO125" s="1084">
        <f>IF(OR($H125="",$I125=""),0,IF(OR(AO$107&lt;$H125,AO$107&gt;$I125),0,$J125))</f>
        <v>0</v>
      </c>
      <c r="AP125" s="1084">
        <f>IF(OR($H125="",$I125=""),0,IF(OR(AP$107&lt;$H125,AP$107&gt;$I125),0,$J125))</f>
        <v>0</v>
      </c>
      <c r="AQ125" s="1084">
        <f>IF(OR($H125="",$I125=""),0,IF(OR(AQ$107&lt;$H125,AQ$107&gt;$I125),0,$J125))</f>
        <v>0</v>
      </c>
      <c r="AR125" s="1084">
        <f>IF(OR($H125="",$I125=""),0,IF(OR(AR$107&lt;$H125,AR$107&gt;$I125),0,$J125))</f>
        <v>0</v>
      </c>
      <c r="AS125" s="1084">
        <f>IF(OR($H125="",$I125=""),0,IF(OR(AS$107&lt;$H125,AS$107&gt;$I125),0,$J125))</f>
        <v>0</v>
      </c>
      <c r="AT125" s="1084">
        <f>IF(OR($H125="",$I125=""),0,IF(OR(AT$107&lt;$H125,AT$107&gt;$I125),0,$J125))</f>
        <v>0</v>
      </c>
      <c r="AU125" s="1084">
        <f>IF(OR($H125="",$I125=""),0,IF(OR(AU$107&lt;$H125,AU$107&gt;$I125),0,$J125))</f>
        <v>0</v>
      </c>
      <c r="AV125" s="1084">
        <f>IF(OR($H125="",$I125=""),0,IF(OR(AV$107&lt;$H125,AV$107&gt;$I125),0,$J125))</f>
        <v>0</v>
      </c>
      <c r="AW125" s="1084">
        <f>IF(OR($H125="",$I125=""),0,IF(OR(AW$107&lt;$H125,AW$107&gt;$I125),0,$J125))</f>
        <v>0</v>
      </c>
      <c r="AX125" s="1084">
        <f>IF(OR($H125="",$I125=""),0,IF(OR(AX$107&lt;$H125,AX$107&gt;$I125),0,$J125))</f>
        <v>0</v>
      </c>
      <c r="AY125" s="1085">
        <f>IF(OR($H125="",$I125=""),0,IF(OR(AY$107&lt;$H125,AY$107&gt;$I125),0,$J125))</f>
        <v>0</v>
      </c>
      <c r="AZ125" s="1240">
        <f>IF(OR($H125="",$I125=""),0,IF(OR(AZ$107&lt;$H125,AZ$107&gt;$I125),0,$J125))</f>
        <v>0</v>
      </c>
      <c r="BA125" s="1084">
        <f>IF(OR($H125="",$I125=""),0,IF(OR(BA$107&lt;$H125,BA$107&gt;$I125),0,$J125))</f>
        <v>0</v>
      </c>
      <c r="BB125" s="1084">
        <f>IF(OR($H125="",$I125=""),0,IF(OR(BB$107&lt;$H125,BB$107&gt;$I125),0,$J125))</f>
        <v>0</v>
      </c>
      <c r="BC125" s="1084">
        <f>IF(OR($H125="",$I125=""),0,IF(OR(BC$107&lt;$H125,BC$107&gt;$I125),0,$J125))</f>
        <v>0</v>
      </c>
      <c r="BD125" s="1084">
        <f>IF(OR($H125="",$I125=""),0,IF(OR(BD$107&lt;$H125,BD$107&gt;$I125),0,$J125))</f>
        <v>0</v>
      </c>
      <c r="BE125" s="1084">
        <f>IF(OR($H125="",$I125=""),0,IF(OR(BE$107&lt;$H125,BE$107&gt;$I125),0,$J125))</f>
        <v>0</v>
      </c>
      <c r="BF125" s="1084">
        <f>IF(OR($H125="",$I125=""),0,IF(OR(BF$107&lt;$H125,BF$107&gt;$I125),0,$J125))</f>
        <v>0</v>
      </c>
      <c r="BG125" s="1084">
        <f>IF(OR($H125="",$I125=""),0,IF(OR(BG$107&lt;$H125,BG$107&gt;$I125),0,$J125))</f>
        <v>0</v>
      </c>
      <c r="BH125" s="1084">
        <f>IF(OR($H125="",$I125=""),0,IF(OR(BH$107&lt;$H125,BH$107&gt;$I125),0,$J125))</f>
        <v>0</v>
      </c>
      <c r="BI125" s="1084">
        <f>IF(OR($H125="",$I125=""),0,IF(OR(BI$107&lt;$H125,BI$107&gt;$I125),0,$J125))</f>
        <v>0</v>
      </c>
      <c r="BJ125" s="1084">
        <f>IF(OR($H125="",$I125=""),0,IF(OR(BJ$107&lt;$H125,BJ$107&gt;$I125),0,$J125))</f>
        <v>0</v>
      </c>
      <c r="BK125" s="1084">
        <f>IF(OR($H125="",$I125=""),0,IF(OR(BK$107&lt;$H125,BK$107&gt;$I125),0,$J125))</f>
        <v>0</v>
      </c>
      <c r="BL125" s="1084">
        <f>IF(OR($H125="",$I125=""),0,IF(OR(BL$107&lt;$H125,BL$107&gt;$I125),0,$J125))</f>
        <v>0</v>
      </c>
      <c r="BM125" s="1084">
        <f>IF(OR($H125="",$I125=""),0,IF(OR(BM$107&lt;$H125,BM$107&gt;$I125),0,$J125))</f>
        <v>0</v>
      </c>
      <c r="BN125" s="1084">
        <f>IF(OR($H125="",$I125=""),0,IF(OR(BN$107&lt;$H125,BN$107&gt;$I125),0,$J125))</f>
        <v>0</v>
      </c>
      <c r="BO125" s="1084">
        <f>IF(OR($H125="",$I125=""),0,IF(OR(BO$107&lt;$H125,BO$107&gt;$I125),0,$J125))</f>
        <v>0</v>
      </c>
      <c r="BP125" s="1084">
        <f>IF(OR($H125="",$I125=""),0,IF(OR(BP$107&lt;$H125,BP$107&gt;$I125),0,$J125))</f>
        <v>0</v>
      </c>
      <c r="BQ125" s="1084">
        <f>IF(OR($H125="",$I125=""),0,IF(OR(BQ$107&lt;$H125,BQ$107&gt;$I125),0,$J125))</f>
        <v>0</v>
      </c>
      <c r="BR125" s="1084">
        <f>IF(OR($H125="",$I125=""),0,IF(OR(BR$107&lt;$H125,BR$107&gt;$I125),0,$J125))</f>
        <v>0</v>
      </c>
      <c r="BS125" s="1084">
        <f>IF(OR($H125="",$I125=""),0,IF(OR(BS$107&lt;$H125,BS$107&gt;$I125),0,$J125))</f>
        <v>0</v>
      </c>
      <c r="BT125" s="1084">
        <f>IF(OR($H125="",$I125=""),0,IF(OR(BT$107&lt;$H125,BT$107&gt;$I125),0,$J125))</f>
        <v>0</v>
      </c>
      <c r="BU125" s="1084">
        <f>IF(OR($H125="",$I125=""),0,IF(OR(BU$107&lt;$H125,BU$107&gt;$I125),0,$J125))</f>
        <v>0</v>
      </c>
      <c r="BV125" s="1084">
        <f>IF(OR($H125="",$I125=""),0,IF(OR(BV$107&lt;$H125,BV$107&gt;$I125),0,$J125))</f>
        <v>0</v>
      </c>
      <c r="BW125" s="1085">
        <f>IF(OR($H125="",$I125=""),0,IF(OR(BW$107&lt;$H125,BW$107&gt;$I125),0,$J125))</f>
        <v>0</v>
      </c>
      <c r="DD125" s="131"/>
    </row>
    <row r="126" spans="1:108" s="8" customFormat="1" ht="12" customHeight="1" thickBot="1" x14ac:dyDescent="0.4" hidden="1">
      <c r="A126" s="133">
        <v>19</v>
      </c>
      <c r="B126" s="1711" t="str">
        <f>IF(A126&gt;F$107,"{Can hide row}","")</f>
        <v/>
      </c>
      <c r="C126" s="9" t="str">
        <f>A126&amp;" "</f>
        <v xml:space="preserve">19 </v>
      </c>
      <c r="D126" s="1843"/>
      <c r="E126" s="1844"/>
      <c r="F126" s="1845"/>
      <c r="G126" s="590"/>
      <c r="H126" s="616"/>
      <c r="I126" s="616"/>
      <c r="J126" s="1055">
        <f>IF(I126&lt;&gt;"",1,0)</f>
        <v>0</v>
      </c>
      <c r="K126" s="1050">
        <f>IF(I126&lt;&gt;"",$O$102,0)</f>
        <v>0</v>
      </c>
      <c r="L126" s="1050">
        <f>IF(I126&lt;&gt;"",L125,0)</f>
        <v>0</v>
      </c>
      <c r="M126" s="1049">
        <f>IF(I126&lt;&gt;"",M125,0)</f>
        <v>0</v>
      </c>
      <c r="N126" s="1001"/>
      <c r="P126" s="1083">
        <f>IF(OR($H126="",$I126=""),0,IF(OR(P$107&lt;$H126,P$107&gt;$I126),0,$J126))</f>
        <v>0</v>
      </c>
      <c r="Q126" s="1084">
        <f>IF(OR($H126="",$I126=""),0,IF(OR(Q$107&lt;$H126,Q$107&gt;$I126),0,$J126))</f>
        <v>0</v>
      </c>
      <c r="R126" s="1084">
        <f>IF(OR($H126="",$I126=""),0,IF(OR(R$107&lt;$H126,R$107&gt;$I126),0,$J126))</f>
        <v>0</v>
      </c>
      <c r="S126" s="1084">
        <f>IF(OR($H126="",$I126=""),0,IF(OR(S$107&lt;$H126,S$107&gt;$I126),0,$J126))</f>
        <v>0</v>
      </c>
      <c r="T126" s="1084">
        <f>IF(OR($H126="",$I126=""),0,IF(OR(T$107&lt;$H126,T$107&gt;$I126),0,$J126))</f>
        <v>0</v>
      </c>
      <c r="U126" s="1084">
        <f>IF(OR($H126="",$I126=""),0,IF(OR(U$107&lt;$H126,U$107&gt;$I126),0,$J126))</f>
        <v>0</v>
      </c>
      <c r="V126" s="1084">
        <f>IF(OR($H126="",$I126=""),0,IF(OR(V$107&lt;$H126,V$107&gt;$I126),0,$J126))</f>
        <v>0</v>
      </c>
      <c r="W126" s="1084">
        <f>IF(OR($H126="",$I126=""),0,IF(OR(W$107&lt;$H126,W$107&gt;$I126),0,$J126))</f>
        <v>0</v>
      </c>
      <c r="X126" s="1084">
        <f>IF(OR($H126="",$I126=""),0,IF(OR(X$107&lt;$H126,X$107&gt;$I126),0,$J126))</f>
        <v>0</v>
      </c>
      <c r="Y126" s="1084">
        <f>IF(OR($H126="",$I126=""),0,IF(OR(Y$107&lt;$H126,Y$107&gt;$I126),0,$J126))</f>
        <v>0</v>
      </c>
      <c r="Z126" s="1084">
        <f>IF(OR($H126="",$I126=""),0,IF(OR(Z$107&lt;$H126,Z$107&gt;$I126),0,$J126))</f>
        <v>0</v>
      </c>
      <c r="AA126" s="1084">
        <f>IF(OR($H126="",$I126=""),0,IF(OR(AA$107&lt;$H126,AA$107&gt;$I126),0,$J126))</f>
        <v>0</v>
      </c>
      <c r="AB126" s="1084">
        <f>IF(OR($H126="",$I126=""),0,IF(OR(AB$107&lt;$H126,AB$107&gt;$I126),0,$J126))</f>
        <v>0</v>
      </c>
      <c r="AC126" s="1084">
        <f>IF(OR($H126="",$I126=""),0,IF(OR(AC$107&lt;$H126,AC$107&gt;$I126),0,$J126))</f>
        <v>0</v>
      </c>
      <c r="AD126" s="1084">
        <f>IF(OR($H126="",$I126=""),0,IF(OR(AD$107&lt;$H126,AD$107&gt;$I126),0,$J126))</f>
        <v>0</v>
      </c>
      <c r="AE126" s="1084">
        <f>IF(OR($H126="",$I126=""),0,IF(OR(AE$107&lt;$H126,AE$107&gt;$I126),0,$J126))</f>
        <v>0</v>
      </c>
      <c r="AF126" s="1084">
        <f>IF(OR($H126="",$I126=""),0,IF(OR(AF$107&lt;$H126,AF$107&gt;$I126),0,$J126))</f>
        <v>0</v>
      </c>
      <c r="AG126" s="1084">
        <f>IF(OR($H126="",$I126=""),0,IF(OR(AG$107&lt;$H126,AG$107&gt;$I126),0,$J126))</f>
        <v>0</v>
      </c>
      <c r="AH126" s="1084">
        <f>IF(OR($H126="",$I126=""),0,IF(OR(AH$107&lt;$H126,AH$107&gt;$I126),0,$J126))</f>
        <v>0</v>
      </c>
      <c r="AI126" s="1084">
        <f>IF(OR($H126="",$I126=""),0,IF(OR(AI$107&lt;$H126,AI$107&gt;$I126),0,$J126))</f>
        <v>0</v>
      </c>
      <c r="AJ126" s="1084">
        <f>IF(OR($H126="",$I126=""),0,IF(OR(AJ$107&lt;$H126,AJ$107&gt;$I126),0,$J126))</f>
        <v>0</v>
      </c>
      <c r="AK126" s="1084">
        <f>IF(OR($H126="",$I126=""),0,IF(OR(AK$107&lt;$H126,AK$107&gt;$I126),0,$J126))</f>
        <v>0</v>
      </c>
      <c r="AL126" s="1084">
        <f>IF(OR($H126="",$I126=""),0,IF(OR(AL$107&lt;$H126,AL$107&gt;$I126),0,$J126))</f>
        <v>0</v>
      </c>
      <c r="AM126" s="1084">
        <f>IF(OR($H126="",$I126=""),0,IF(OR(AM$107&lt;$H126,AM$107&gt;$I126),0,$J126))</f>
        <v>0</v>
      </c>
      <c r="AN126" s="1084">
        <f>IF(OR($H126="",$I126=""),0,IF(OR(AN$107&lt;$H126,AN$107&gt;$I126),0,$J126))</f>
        <v>0</v>
      </c>
      <c r="AO126" s="1084">
        <f>IF(OR($H126="",$I126=""),0,IF(OR(AO$107&lt;$H126,AO$107&gt;$I126),0,$J126))</f>
        <v>0</v>
      </c>
      <c r="AP126" s="1084">
        <f>IF(OR($H126="",$I126=""),0,IF(OR(AP$107&lt;$H126,AP$107&gt;$I126),0,$J126))</f>
        <v>0</v>
      </c>
      <c r="AQ126" s="1084">
        <f>IF(OR($H126="",$I126=""),0,IF(OR(AQ$107&lt;$H126,AQ$107&gt;$I126),0,$J126))</f>
        <v>0</v>
      </c>
      <c r="AR126" s="1084">
        <f>IF(OR($H126="",$I126=""),0,IF(OR(AR$107&lt;$H126,AR$107&gt;$I126),0,$J126))</f>
        <v>0</v>
      </c>
      <c r="AS126" s="1084">
        <f>IF(OR($H126="",$I126=""),0,IF(OR(AS$107&lt;$H126,AS$107&gt;$I126),0,$J126))</f>
        <v>0</v>
      </c>
      <c r="AT126" s="1084">
        <f>IF(OR($H126="",$I126=""),0,IF(OR(AT$107&lt;$H126,AT$107&gt;$I126),0,$J126))</f>
        <v>0</v>
      </c>
      <c r="AU126" s="1084">
        <f>IF(OR($H126="",$I126=""),0,IF(OR(AU$107&lt;$H126,AU$107&gt;$I126),0,$J126))</f>
        <v>0</v>
      </c>
      <c r="AV126" s="1084">
        <f>IF(OR($H126="",$I126=""),0,IF(OR(AV$107&lt;$H126,AV$107&gt;$I126),0,$J126))</f>
        <v>0</v>
      </c>
      <c r="AW126" s="1084">
        <f>IF(OR($H126="",$I126=""),0,IF(OR(AW$107&lt;$H126,AW$107&gt;$I126),0,$J126))</f>
        <v>0</v>
      </c>
      <c r="AX126" s="1084">
        <f>IF(OR($H126="",$I126=""),0,IF(OR(AX$107&lt;$H126,AX$107&gt;$I126),0,$J126))</f>
        <v>0</v>
      </c>
      <c r="AY126" s="1085">
        <f>IF(OR($H126="",$I126=""),0,IF(OR(AY$107&lt;$H126,AY$107&gt;$I126),0,$J126))</f>
        <v>0</v>
      </c>
      <c r="AZ126" s="1240">
        <f>IF(OR($H126="",$I126=""),0,IF(OR(AZ$107&lt;$H126,AZ$107&gt;$I126),0,$J126))</f>
        <v>0</v>
      </c>
      <c r="BA126" s="1084">
        <f>IF(OR($H126="",$I126=""),0,IF(OR(BA$107&lt;$H126,BA$107&gt;$I126),0,$J126))</f>
        <v>0</v>
      </c>
      <c r="BB126" s="1084">
        <f>IF(OR($H126="",$I126=""),0,IF(OR(BB$107&lt;$H126,BB$107&gt;$I126),0,$J126))</f>
        <v>0</v>
      </c>
      <c r="BC126" s="1084">
        <f>IF(OR($H126="",$I126=""),0,IF(OR(BC$107&lt;$H126,BC$107&gt;$I126),0,$J126))</f>
        <v>0</v>
      </c>
      <c r="BD126" s="1084">
        <f>IF(OR($H126="",$I126=""),0,IF(OR(BD$107&lt;$H126,BD$107&gt;$I126),0,$J126))</f>
        <v>0</v>
      </c>
      <c r="BE126" s="1084">
        <f>IF(OR($H126="",$I126=""),0,IF(OR(BE$107&lt;$H126,BE$107&gt;$I126),0,$J126))</f>
        <v>0</v>
      </c>
      <c r="BF126" s="1084">
        <f>IF(OR($H126="",$I126=""),0,IF(OR(BF$107&lt;$H126,BF$107&gt;$I126),0,$J126))</f>
        <v>0</v>
      </c>
      <c r="BG126" s="1084">
        <f>IF(OR($H126="",$I126=""),0,IF(OR(BG$107&lt;$H126,BG$107&gt;$I126),0,$J126))</f>
        <v>0</v>
      </c>
      <c r="BH126" s="1084">
        <f>IF(OR($H126="",$I126=""),0,IF(OR(BH$107&lt;$H126,BH$107&gt;$I126),0,$J126))</f>
        <v>0</v>
      </c>
      <c r="BI126" s="1084">
        <f>IF(OR($H126="",$I126=""),0,IF(OR(BI$107&lt;$H126,BI$107&gt;$I126),0,$J126))</f>
        <v>0</v>
      </c>
      <c r="BJ126" s="1084">
        <f>IF(OR($H126="",$I126=""),0,IF(OR(BJ$107&lt;$H126,BJ$107&gt;$I126),0,$J126))</f>
        <v>0</v>
      </c>
      <c r="BK126" s="1084">
        <f>IF(OR($H126="",$I126=""),0,IF(OR(BK$107&lt;$H126,BK$107&gt;$I126),0,$J126))</f>
        <v>0</v>
      </c>
      <c r="BL126" s="1084">
        <f>IF(OR($H126="",$I126=""),0,IF(OR(BL$107&lt;$H126,BL$107&gt;$I126),0,$J126))</f>
        <v>0</v>
      </c>
      <c r="BM126" s="1084">
        <f>IF(OR($H126="",$I126=""),0,IF(OR(BM$107&lt;$H126,BM$107&gt;$I126),0,$J126))</f>
        <v>0</v>
      </c>
      <c r="BN126" s="1084">
        <f>IF(OR($H126="",$I126=""),0,IF(OR(BN$107&lt;$H126,BN$107&gt;$I126),0,$J126))</f>
        <v>0</v>
      </c>
      <c r="BO126" s="1084">
        <f>IF(OR($H126="",$I126=""),0,IF(OR(BO$107&lt;$H126,BO$107&gt;$I126),0,$J126))</f>
        <v>0</v>
      </c>
      <c r="BP126" s="1084">
        <f>IF(OR($H126="",$I126=""),0,IF(OR(BP$107&lt;$H126,BP$107&gt;$I126),0,$J126))</f>
        <v>0</v>
      </c>
      <c r="BQ126" s="1084">
        <f>IF(OR($H126="",$I126=""),0,IF(OR(BQ$107&lt;$H126,BQ$107&gt;$I126),0,$J126))</f>
        <v>0</v>
      </c>
      <c r="BR126" s="1084">
        <f>IF(OR($H126="",$I126=""),0,IF(OR(BR$107&lt;$H126,BR$107&gt;$I126),0,$J126))</f>
        <v>0</v>
      </c>
      <c r="BS126" s="1084">
        <f>IF(OR($H126="",$I126=""),0,IF(OR(BS$107&lt;$H126,BS$107&gt;$I126),0,$J126))</f>
        <v>0</v>
      </c>
      <c r="BT126" s="1084">
        <f>IF(OR($H126="",$I126=""),0,IF(OR(BT$107&lt;$H126,BT$107&gt;$I126),0,$J126))</f>
        <v>0</v>
      </c>
      <c r="BU126" s="1084">
        <f>IF(OR($H126="",$I126=""),0,IF(OR(BU$107&lt;$H126,BU$107&gt;$I126),0,$J126))</f>
        <v>0</v>
      </c>
      <c r="BV126" s="1084">
        <f>IF(OR($H126="",$I126=""),0,IF(OR(BV$107&lt;$H126,BV$107&gt;$I126),0,$J126))</f>
        <v>0</v>
      </c>
      <c r="BW126" s="1085">
        <f>IF(OR($H126="",$I126=""),0,IF(OR(BW$107&lt;$H126,BW$107&gt;$I126),0,$J126))</f>
        <v>0</v>
      </c>
      <c r="DD126" s="131"/>
    </row>
    <row r="127" spans="1:108" s="8" customFormat="1" ht="12" customHeight="1" thickBot="1" x14ac:dyDescent="0.4" hidden="1">
      <c r="A127" s="133">
        <v>20</v>
      </c>
      <c r="B127" s="1711" t="str">
        <f>IF(A127&gt;F$107,"{Can hide row}","")</f>
        <v/>
      </c>
      <c r="C127" s="9" t="str">
        <f>A127&amp;" "</f>
        <v xml:space="preserve">20 </v>
      </c>
      <c r="D127" s="1843"/>
      <c r="E127" s="1844"/>
      <c r="F127" s="1845"/>
      <c r="G127" s="590"/>
      <c r="H127" s="616"/>
      <c r="I127" s="616"/>
      <c r="J127" s="1055">
        <f>IF(I127&lt;&gt;"",1,0)</f>
        <v>0</v>
      </c>
      <c r="K127" s="1050">
        <f>IF(I127&lt;&gt;"",$O$102,0)</f>
        <v>0</v>
      </c>
      <c r="L127" s="1050">
        <f>IF(I127&lt;&gt;"",L126,0)</f>
        <v>0</v>
      </c>
      <c r="M127" s="1049">
        <f>IF(I127&lt;&gt;"",M126,0)</f>
        <v>0</v>
      </c>
      <c r="N127" s="1001"/>
      <c r="P127" s="1083">
        <f>IF(OR($H127="",$I127=""),0,IF(OR(P$107&lt;$H127,P$107&gt;$I127),0,$J127))</f>
        <v>0</v>
      </c>
      <c r="Q127" s="1084">
        <f>IF(OR($H127="",$I127=""),0,IF(OR(Q$107&lt;$H127,Q$107&gt;$I127),0,$J127))</f>
        <v>0</v>
      </c>
      <c r="R127" s="1084">
        <f>IF(OR($H127="",$I127=""),0,IF(OR(R$107&lt;$H127,R$107&gt;$I127),0,$J127))</f>
        <v>0</v>
      </c>
      <c r="S127" s="1084">
        <f>IF(OR($H127="",$I127=""),0,IF(OR(S$107&lt;$H127,S$107&gt;$I127),0,$J127))</f>
        <v>0</v>
      </c>
      <c r="T127" s="1084">
        <f>IF(OR($H127="",$I127=""),0,IF(OR(T$107&lt;$H127,T$107&gt;$I127),0,$J127))</f>
        <v>0</v>
      </c>
      <c r="U127" s="1084">
        <f>IF(OR($H127="",$I127=""),0,IF(OR(U$107&lt;$H127,U$107&gt;$I127),0,$J127))</f>
        <v>0</v>
      </c>
      <c r="V127" s="1084">
        <f>IF(OR($H127="",$I127=""),0,IF(OR(V$107&lt;$H127,V$107&gt;$I127),0,$J127))</f>
        <v>0</v>
      </c>
      <c r="W127" s="1084">
        <f>IF(OR($H127="",$I127=""),0,IF(OR(W$107&lt;$H127,W$107&gt;$I127),0,$J127))</f>
        <v>0</v>
      </c>
      <c r="X127" s="1084">
        <f>IF(OR($H127="",$I127=""),0,IF(OR(X$107&lt;$H127,X$107&gt;$I127),0,$J127))</f>
        <v>0</v>
      </c>
      <c r="Y127" s="1084">
        <f>IF(OR($H127="",$I127=""),0,IF(OR(Y$107&lt;$H127,Y$107&gt;$I127),0,$J127))</f>
        <v>0</v>
      </c>
      <c r="Z127" s="1084">
        <f>IF(OR($H127="",$I127=""),0,IF(OR(Z$107&lt;$H127,Z$107&gt;$I127),0,$J127))</f>
        <v>0</v>
      </c>
      <c r="AA127" s="1084">
        <f>IF(OR($H127="",$I127=""),0,IF(OR(AA$107&lt;$H127,AA$107&gt;$I127),0,$J127))</f>
        <v>0</v>
      </c>
      <c r="AB127" s="1084">
        <f>IF(OR($H127="",$I127=""),0,IF(OR(AB$107&lt;$H127,AB$107&gt;$I127),0,$J127))</f>
        <v>0</v>
      </c>
      <c r="AC127" s="1084">
        <f>IF(OR($H127="",$I127=""),0,IF(OR(AC$107&lt;$H127,AC$107&gt;$I127),0,$J127))</f>
        <v>0</v>
      </c>
      <c r="AD127" s="1084">
        <f>IF(OR($H127="",$I127=""),0,IF(OR(AD$107&lt;$H127,AD$107&gt;$I127),0,$J127))</f>
        <v>0</v>
      </c>
      <c r="AE127" s="1084">
        <f>IF(OR($H127="",$I127=""),0,IF(OR(AE$107&lt;$H127,AE$107&gt;$I127),0,$J127))</f>
        <v>0</v>
      </c>
      <c r="AF127" s="1084">
        <f>IF(OR($H127="",$I127=""),0,IF(OR(AF$107&lt;$H127,AF$107&gt;$I127),0,$J127))</f>
        <v>0</v>
      </c>
      <c r="AG127" s="1084">
        <f>IF(OR($H127="",$I127=""),0,IF(OR(AG$107&lt;$H127,AG$107&gt;$I127),0,$J127))</f>
        <v>0</v>
      </c>
      <c r="AH127" s="1084">
        <f>IF(OR($H127="",$I127=""),0,IF(OR(AH$107&lt;$H127,AH$107&gt;$I127),0,$J127))</f>
        <v>0</v>
      </c>
      <c r="AI127" s="1084">
        <f>IF(OR($H127="",$I127=""),0,IF(OR(AI$107&lt;$H127,AI$107&gt;$I127),0,$J127))</f>
        <v>0</v>
      </c>
      <c r="AJ127" s="1084">
        <f>IF(OR($H127="",$I127=""),0,IF(OR(AJ$107&lt;$H127,AJ$107&gt;$I127),0,$J127))</f>
        <v>0</v>
      </c>
      <c r="AK127" s="1084">
        <f>IF(OR($H127="",$I127=""),0,IF(OR(AK$107&lt;$H127,AK$107&gt;$I127),0,$J127))</f>
        <v>0</v>
      </c>
      <c r="AL127" s="1084">
        <f>IF(OR($H127="",$I127=""),0,IF(OR(AL$107&lt;$H127,AL$107&gt;$I127),0,$J127))</f>
        <v>0</v>
      </c>
      <c r="AM127" s="1084">
        <f>IF(OR($H127="",$I127=""),0,IF(OR(AM$107&lt;$H127,AM$107&gt;$I127),0,$J127))</f>
        <v>0</v>
      </c>
      <c r="AN127" s="1084">
        <f>IF(OR($H127="",$I127=""),0,IF(OR(AN$107&lt;$H127,AN$107&gt;$I127),0,$J127))</f>
        <v>0</v>
      </c>
      <c r="AO127" s="1084">
        <f>IF(OR($H127="",$I127=""),0,IF(OR(AO$107&lt;$H127,AO$107&gt;$I127),0,$J127))</f>
        <v>0</v>
      </c>
      <c r="AP127" s="1084">
        <f>IF(OR($H127="",$I127=""),0,IF(OR(AP$107&lt;$H127,AP$107&gt;$I127),0,$J127))</f>
        <v>0</v>
      </c>
      <c r="AQ127" s="1084">
        <f>IF(OR($H127="",$I127=""),0,IF(OR(AQ$107&lt;$H127,AQ$107&gt;$I127),0,$J127))</f>
        <v>0</v>
      </c>
      <c r="AR127" s="1084">
        <f>IF(OR($H127="",$I127=""),0,IF(OR(AR$107&lt;$H127,AR$107&gt;$I127),0,$J127))</f>
        <v>0</v>
      </c>
      <c r="AS127" s="1084">
        <f>IF(OR($H127="",$I127=""),0,IF(OR(AS$107&lt;$H127,AS$107&gt;$I127),0,$J127))</f>
        <v>0</v>
      </c>
      <c r="AT127" s="1084">
        <f>IF(OR($H127="",$I127=""),0,IF(OR(AT$107&lt;$H127,AT$107&gt;$I127),0,$J127))</f>
        <v>0</v>
      </c>
      <c r="AU127" s="1084">
        <f>IF(OR($H127="",$I127=""),0,IF(OR(AU$107&lt;$H127,AU$107&gt;$I127),0,$J127))</f>
        <v>0</v>
      </c>
      <c r="AV127" s="1084">
        <f>IF(OR($H127="",$I127=""),0,IF(OR(AV$107&lt;$H127,AV$107&gt;$I127),0,$J127))</f>
        <v>0</v>
      </c>
      <c r="AW127" s="1084">
        <f>IF(OR($H127="",$I127=""),0,IF(OR(AW$107&lt;$H127,AW$107&gt;$I127),0,$J127))</f>
        <v>0</v>
      </c>
      <c r="AX127" s="1084">
        <f>IF(OR($H127="",$I127=""),0,IF(OR(AX$107&lt;$H127,AX$107&gt;$I127),0,$J127))</f>
        <v>0</v>
      </c>
      <c r="AY127" s="1085">
        <f>IF(OR($H127="",$I127=""),0,IF(OR(AY$107&lt;$H127,AY$107&gt;$I127),0,$J127))</f>
        <v>0</v>
      </c>
      <c r="AZ127" s="1240">
        <f>IF(OR($H127="",$I127=""),0,IF(OR(AZ$107&lt;$H127,AZ$107&gt;$I127),0,$J127))</f>
        <v>0</v>
      </c>
      <c r="BA127" s="1084">
        <f>IF(OR($H127="",$I127=""),0,IF(OR(BA$107&lt;$H127,BA$107&gt;$I127),0,$J127))</f>
        <v>0</v>
      </c>
      <c r="BB127" s="1084">
        <f>IF(OR($H127="",$I127=""),0,IF(OR(BB$107&lt;$H127,BB$107&gt;$I127),0,$J127))</f>
        <v>0</v>
      </c>
      <c r="BC127" s="1084">
        <f>IF(OR($H127="",$I127=""),0,IF(OR(BC$107&lt;$H127,BC$107&gt;$I127),0,$J127))</f>
        <v>0</v>
      </c>
      <c r="BD127" s="1084">
        <f>IF(OR($H127="",$I127=""),0,IF(OR(BD$107&lt;$H127,BD$107&gt;$I127),0,$J127))</f>
        <v>0</v>
      </c>
      <c r="BE127" s="1084">
        <f>IF(OR($H127="",$I127=""),0,IF(OR(BE$107&lt;$H127,BE$107&gt;$I127),0,$J127))</f>
        <v>0</v>
      </c>
      <c r="BF127" s="1084">
        <f>IF(OR($H127="",$I127=""),0,IF(OR(BF$107&lt;$H127,BF$107&gt;$I127),0,$J127))</f>
        <v>0</v>
      </c>
      <c r="BG127" s="1084">
        <f>IF(OR($H127="",$I127=""),0,IF(OR(BG$107&lt;$H127,BG$107&gt;$I127),0,$J127))</f>
        <v>0</v>
      </c>
      <c r="BH127" s="1084">
        <f>IF(OR($H127="",$I127=""),0,IF(OR(BH$107&lt;$H127,BH$107&gt;$I127),0,$J127))</f>
        <v>0</v>
      </c>
      <c r="BI127" s="1084">
        <f>IF(OR($H127="",$I127=""),0,IF(OR(BI$107&lt;$H127,BI$107&gt;$I127),0,$J127))</f>
        <v>0</v>
      </c>
      <c r="BJ127" s="1084">
        <f>IF(OR($H127="",$I127=""),0,IF(OR(BJ$107&lt;$H127,BJ$107&gt;$I127),0,$J127))</f>
        <v>0</v>
      </c>
      <c r="BK127" s="1084">
        <f>IF(OR($H127="",$I127=""),0,IF(OR(BK$107&lt;$H127,BK$107&gt;$I127),0,$J127))</f>
        <v>0</v>
      </c>
      <c r="BL127" s="1084">
        <f>IF(OR($H127="",$I127=""),0,IF(OR(BL$107&lt;$H127,BL$107&gt;$I127),0,$J127))</f>
        <v>0</v>
      </c>
      <c r="BM127" s="1084">
        <f>IF(OR($H127="",$I127=""),0,IF(OR(BM$107&lt;$H127,BM$107&gt;$I127),0,$J127))</f>
        <v>0</v>
      </c>
      <c r="BN127" s="1084">
        <f>IF(OR($H127="",$I127=""),0,IF(OR(BN$107&lt;$H127,BN$107&gt;$I127),0,$J127))</f>
        <v>0</v>
      </c>
      <c r="BO127" s="1084">
        <f>IF(OR($H127="",$I127=""),0,IF(OR(BO$107&lt;$H127,BO$107&gt;$I127),0,$J127))</f>
        <v>0</v>
      </c>
      <c r="BP127" s="1084">
        <f>IF(OR($H127="",$I127=""),0,IF(OR(BP$107&lt;$H127,BP$107&gt;$I127),0,$J127))</f>
        <v>0</v>
      </c>
      <c r="BQ127" s="1084">
        <f>IF(OR($H127="",$I127=""),0,IF(OR(BQ$107&lt;$H127,BQ$107&gt;$I127),0,$J127))</f>
        <v>0</v>
      </c>
      <c r="BR127" s="1084">
        <f>IF(OR($H127="",$I127=""),0,IF(OR(BR$107&lt;$H127,BR$107&gt;$I127),0,$J127))</f>
        <v>0</v>
      </c>
      <c r="BS127" s="1084">
        <f>IF(OR($H127="",$I127=""),0,IF(OR(BS$107&lt;$H127,BS$107&gt;$I127),0,$J127))</f>
        <v>0</v>
      </c>
      <c r="BT127" s="1084">
        <f>IF(OR($H127="",$I127=""),0,IF(OR(BT$107&lt;$H127,BT$107&gt;$I127),0,$J127))</f>
        <v>0</v>
      </c>
      <c r="BU127" s="1084">
        <f>IF(OR($H127="",$I127=""),0,IF(OR(BU$107&lt;$H127,BU$107&gt;$I127),0,$J127))</f>
        <v>0</v>
      </c>
      <c r="BV127" s="1084">
        <f>IF(OR($H127="",$I127=""),0,IF(OR(BV$107&lt;$H127,BV$107&gt;$I127),0,$J127))</f>
        <v>0</v>
      </c>
      <c r="BW127" s="1085">
        <f>IF(OR($H127="",$I127=""),0,IF(OR(BW$107&lt;$H127,BW$107&gt;$I127),0,$J127))</f>
        <v>0</v>
      </c>
      <c r="DD127" s="131"/>
    </row>
    <row r="128" spans="1:108" s="8" customFormat="1" ht="12" customHeight="1" thickBot="1" x14ac:dyDescent="0.4" hidden="1">
      <c r="A128" s="133">
        <v>21</v>
      </c>
      <c r="B128" s="1711" t="str">
        <f>IF(A128&gt;F$107,"{Can hide row}","")</f>
        <v/>
      </c>
      <c r="C128" s="9" t="str">
        <f>A128&amp;" "</f>
        <v xml:space="preserve">21 </v>
      </c>
      <c r="D128" s="1843"/>
      <c r="E128" s="1844"/>
      <c r="F128" s="1845"/>
      <c r="G128" s="590"/>
      <c r="H128" s="616"/>
      <c r="I128" s="616"/>
      <c r="J128" s="1055">
        <f>IF(I128&lt;&gt;"",1,0)</f>
        <v>0</v>
      </c>
      <c r="K128" s="1050">
        <f>IF(I128&lt;&gt;"",$O$102,0)</f>
        <v>0</v>
      </c>
      <c r="L128" s="1050">
        <f>IF(I128&lt;&gt;"",L127,0)</f>
        <v>0</v>
      </c>
      <c r="M128" s="1049">
        <f>IF(I128&lt;&gt;"",M127,0)</f>
        <v>0</v>
      </c>
      <c r="N128" s="1001"/>
      <c r="P128" s="1083">
        <f>IF(OR($H128="",$I128=""),0,IF(OR(P$107&lt;$H128,P$107&gt;$I128),0,$J128))</f>
        <v>0</v>
      </c>
      <c r="Q128" s="1084">
        <f>IF(OR($H128="",$I128=""),0,IF(OR(Q$107&lt;$H128,Q$107&gt;$I128),0,$J128))</f>
        <v>0</v>
      </c>
      <c r="R128" s="1084">
        <f>IF(OR($H128="",$I128=""),0,IF(OR(R$107&lt;$H128,R$107&gt;$I128),0,$J128))</f>
        <v>0</v>
      </c>
      <c r="S128" s="1084">
        <f>IF(OR($H128="",$I128=""),0,IF(OR(S$107&lt;$H128,S$107&gt;$I128),0,$J128))</f>
        <v>0</v>
      </c>
      <c r="T128" s="1084">
        <f>IF(OR($H128="",$I128=""),0,IF(OR(T$107&lt;$H128,T$107&gt;$I128),0,$J128))</f>
        <v>0</v>
      </c>
      <c r="U128" s="1084">
        <f>IF(OR($H128="",$I128=""),0,IF(OR(U$107&lt;$H128,U$107&gt;$I128),0,$J128))</f>
        <v>0</v>
      </c>
      <c r="V128" s="1084">
        <f>IF(OR($H128="",$I128=""),0,IF(OR(V$107&lt;$H128,V$107&gt;$I128),0,$J128))</f>
        <v>0</v>
      </c>
      <c r="W128" s="1084">
        <f>IF(OR($H128="",$I128=""),0,IF(OR(W$107&lt;$H128,W$107&gt;$I128),0,$J128))</f>
        <v>0</v>
      </c>
      <c r="X128" s="1084">
        <f>IF(OR($H128="",$I128=""),0,IF(OR(X$107&lt;$H128,X$107&gt;$I128),0,$J128))</f>
        <v>0</v>
      </c>
      <c r="Y128" s="1084">
        <f>IF(OR($H128="",$I128=""),0,IF(OR(Y$107&lt;$H128,Y$107&gt;$I128),0,$J128))</f>
        <v>0</v>
      </c>
      <c r="Z128" s="1084">
        <f>IF(OR($H128="",$I128=""),0,IF(OR(Z$107&lt;$H128,Z$107&gt;$I128),0,$J128))</f>
        <v>0</v>
      </c>
      <c r="AA128" s="1084">
        <f>IF(OR($H128="",$I128=""),0,IF(OR(AA$107&lt;$H128,AA$107&gt;$I128),0,$J128))</f>
        <v>0</v>
      </c>
      <c r="AB128" s="1084">
        <f>IF(OR($H128="",$I128=""),0,IF(OR(AB$107&lt;$H128,AB$107&gt;$I128),0,$J128))</f>
        <v>0</v>
      </c>
      <c r="AC128" s="1084">
        <f>IF(OR($H128="",$I128=""),0,IF(OR(AC$107&lt;$H128,AC$107&gt;$I128),0,$J128))</f>
        <v>0</v>
      </c>
      <c r="AD128" s="1084">
        <f>IF(OR($H128="",$I128=""),0,IF(OR(AD$107&lt;$H128,AD$107&gt;$I128),0,$J128))</f>
        <v>0</v>
      </c>
      <c r="AE128" s="1084">
        <f>IF(OR($H128="",$I128=""),0,IF(OR(AE$107&lt;$H128,AE$107&gt;$I128),0,$J128))</f>
        <v>0</v>
      </c>
      <c r="AF128" s="1084">
        <f>IF(OR($H128="",$I128=""),0,IF(OR(AF$107&lt;$H128,AF$107&gt;$I128),0,$J128))</f>
        <v>0</v>
      </c>
      <c r="AG128" s="1084">
        <f>IF(OR($H128="",$I128=""),0,IF(OR(AG$107&lt;$H128,AG$107&gt;$I128),0,$J128))</f>
        <v>0</v>
      </c>
      <c r="AH128" s="1084">
        <f>IF(OR($H128="",$I128=""),0,IF(OR(AH$107&lt;$H128,AH$107&gt;$I128),0,$J128))</f>
        <v>0</v>
      </c>
      <c r="AI128" s="1084">
        <f>IF(OR($H128="",$I128=""),0,IF(OR(AI$107&lt;$H128,AI$107&gt;$I128),0,$J128))</f>
        <v>0</v>
      </c>
      <c r="AJ128" s="1084">
        <f>IF(OR($H128="",$I128=""),0,IF(OR(AJ$107&lt;$H128,AJ$107&gt;$I128),0,$J128))</f>
        <v>0</v>
      </c>
      <c r="AK128" s="1084">
        <f>IF(OR($H128="",$I128=""),0,IF(OR(AK$107&lt;$H128,AK$107&gt;$I128),0,$J128))</f>
        <v>0</v>
      </c>
      <c r="AL128" s="1084">
        <f>IF(OR($H128="",$I128=""),0,IF(OR(AL$107&lt;$H128,AL$107&gt;$I128),0,$J128))</f>
        <v>0</v>
      </c>
      <c r="AM128" s="1084">
        <f>IF(OR($H128="",$I128=""),0,IF(OR(AM$107&lt;$H128,AM$107&gt;$I128),0,$J128))</f>
        <v>0</v>
      </c>
      <c r="AN128" s="1084">
        <f>IF(OR($H128="",$I128=""),0,IF(OR(AN$107&lt;$H128,AN$107&gt;$I128),0,$J128))</f>
        <v>0</v>
      </c>
      <c r="AO128" s="1084">
        <f>IF(OR($H128="",$I128=""),0,IF(OR(AO$107&lt;$H128,AO$107&gt;$I128),0,$J128))</f>
        <v>0</v>
      </c>
      <c r="AP128" s="1084">
        <f>IF(OR($H128="",$I128=""),0,IF(OR(AP$107&lt;$H128,AP$107&gt;$I128),0,$J128))</f>
        <v>0</v>
      </c>
      <c r="AQ128" s="1084">
        <f>IF(OR($H128="",$I128=""),0,IF(OR(AQ$107&lt;$H128,AQ$107&gt;$I128),0,$J128))</f>
        <v>0</v>
      </c>
      <c r="AR128" s="1084">
        <f>IF(OR($H128="",$I128=""),0,IF(OR(AR$107&lt;$H128,AR$107&gt;$I128),0,$J128))</f>
        <v>0</v>
      </c>
      <c r="AS128" s="1084">
        <f>IF(OR($H128="",$I128=""),0,IF(OR(AS$107&lt;$H128,AS$107&gt;$I128),0,$J128))</f>
        <v>0</v>
      </c>
      <c r="AT128" s="1084">
        <f>IF(OR($H128="",$I128=""),0,IF(OR(AT$107&lt;$H128,AT$107&gt;$I128),0,$J128))</f>
        <v>0</v>
      </c>
      <c r="AU128" s="1084">
        <f>IF(OR($H128="",$I128=""),0,IF(OR(AU$107&lt;$H128,AU$107&gt;$I128),0,$J128))</f>
        <v>0</v>
      </c>
      <c r="AV128" s="1084">
        <f>IF(OR($H128="",$I128=""),0,IF(OR(AV$107&lt;$H128,AV$107&gt;$I128),0,$J128))</f>
        <v>0</v>
      </c>
      <c r="AW128" s="1084">
        <f>IF(OR($H128="",$I128=""),0,IF(OR(AW$107&lt;$H128,AW$107&gt;$I128),0,$J128))</f>
        <v>0</v>
      </c>
      <c r="AX128" s="1084">
        <f>IF(OR($H128="",$I128=""),0,IF(OR(AX$107&lt;$H128,AX$107&gt;$I128),0,$J128))</f>
        <v>0</v>
      </c>
      <c r="AY128" s="1085">
        <f>IF(OR($H128="",$I128=""),0,IF(OR(AY$107&lt;$H128,AY$107&gt;$I128),0,$J128))</f>
        <v>0</v>
      </c>
      <c r="AZ128" s="1240">
        <f>IF(OR($H128="",$I128=""),0,IF(OR(AZ$107&lt;$H128,AZ$107&gt;$I128),0,$J128))</f>
        <v>0</v>
      </c>
      <c r="BA128" s="1084">
        <f>IF(OR($H128="",$I128=""),0,IF(OR(BA$107&lt;$H128,BA$107&gt;$I128),0,$J128))</f>
        <v>0</v>
      </c>
      <c r="BB128" s="1084">
        <f>IF(OR($H128="",$I128=""),0,IF(OR(BB$107&lt;$H128,BB$107&gt;$I128),0,$J128))</f>
        <v>0</v>
      </c>
      <c r="BC128" s="1084">
        <f>IF(OR($H128="",$I128=""),0,IF(OR(BC$107&lt;$H128,BC$107&gt;$I128),0,$J128))</f>
        <v>0</v>
      </c>
      <c r="BD128" s="1084">
        <f>IF(OR($H128="",$I128=""),0,IF(OR(BD$107&lt;$H128,BD$107&gt;$I128),0,$J128))</f>
        <v>0</v>
      </c>
      <c r="BE128" s="1084">
        <f>IF(OR($H128="",$I128=""),0,IF(OR(BE$107&lt;$H128,BE$107&gt;$I128),0,$J128))</f>
        <v>0</v>
      </c>
      <c r="BF128" s="1084">
        <f>IF(OR($H128="",$I128=""),0,IF(OR(BF$107&lt;$H128,BF$107&gt;$I128),0,$J128))</f>
        <v>0</v>
      </c>
      <c r="BG128" s="1084">
        <f>IF(OR($H128="",$I128=""),0,IF(OR(BG$107&lt;$H128,BG$107&gt;$I128),0,$J128))</f>
        <v>0</v>
      </c>
      <c r="BH128" s="1084">
        <f>IF(OR($H128="",$I128=""),0,IF(OR(BH$107&lt;$H128,BH$107&gt;$I128),0,$J128))</f>
        <v>0</v>
      </c>
      <c r="BI128" s="1084">
        <f>IF(OR($H128="",$I128=""),0,IF(OR(BI$107&lt;$H128,BI$107&gt;$I128),0,$J128))</f>
        <v>0</v>
      </c>
      <c r="BJ128" s="1084">
        <f>IF(OR($H128="",$I128=""),0,IF(OR(BJ$107&lt;$H128,BJ$107&gt;$I128),0,$J128))</f>
        <v>0</v>
      </c>
      <c r="BK128" s="1084">
        <f>IF(OR($H128="",$I128=""),0,IF(OR(BK$107&lt;$H128,BK$107&gt;$I128),0,$J128))</f>
        <v>0</v>
      </c>
      <c r="BL128" s="1084">
        <f>IF(OR($H128="",$I128=""),0,IF(OR(BL$107&lt;$H128,BL$107&gt;$I128),0,$J128))</f>
        <v>0</v>
      </c>
      <c r="BM128" s="1084">
        <f>IF(OR($H128="",$I128=""),0,IF(OR(BM$107&lt;$H128,BM$107&gt;$I128),0,$J128))</f>
        <v>0</v>
      </c>
      <c r="BN128" s="1084">
        <f>IF(OR($H128="",$I128=""),0,IF(OR(BN$107&lt;$H128,BN$107&gt;$I128),0,$J128))</f>
        <v>0</v>
      </c>
      <c r="BO128" s="1084">
        <f>IF(OR($H128="",$I128=""),0,IF(OR(BO$107&lt;$H128,BO$107&gt;$I128),0,$J128))</f>
        <v>0</v>
      </c>
      <c r="BP128" s="1084">
        <f>IF(OR($H128="",$I128=""),0,IF(OR(BP$107&lt;$H128,BP$107&gt;$I128),0,$J128))</f>
        <v>0</v>
      </c>
      <c r="BQ128" s="1084">
        <f>IF(OR($H128="",$I128=""),0,IF(OR(BQ$107&lt;$H128,BQ$107&gt;$I128),0,$J128))</f>
        <v>0</v>
      </c>
      <c r="BR128" s="1084">
        <f>IF(OR($H128="",$I128=""),0,IF(OR(BR$107&lt;$H128,BR$107&gt;$I128),0,$J128))</f>
        <v>0</v>
      </c>
      <c r="BS128" s="1084">
        <f>IF(OR($H128="",$I128=""),0,IF(OR(BS$107&lt;$H128,BS$107&gt;$I128),0,$J128))</f>
        <v>0</v>
      </c>
      <c r="BT128" s="1084">
        <f>IF(OR($H128="",$I128=""),0,IF(OR(BT$107&lt;$H128,BT$107&gt;$I128),0,$J128))</f>
        <v>0</v>
      </c>
      <c r="BU128" s="1084">
        <f>IF(OR($H128="",$I128=""),0,IF(OR(BU$107&lt;$H128,BU$107&gt;$I128),0,$J128))</f>
        <v>0</v>
      </c>
      <c r="BV128" s="1084">
        <f>IF(OR($H128="",$I128=""),0,IF(OR(BV$107&lt;$H128,BV$107&gt;$I128),0,$J128))</f>
        <v>0</v>
      </c>
      <c r="BW128" s="1085">
        <f>IF(OR($H128="",$I128=""),0,IF(OR(BW$107&lt;$H128,BW$107&gt;$I128),0,$J128))</f>
        <v>0</v>
      </c>
      <c r="DD128" s="131"/>
    </row>
    <row r="129" spans="1:108" s="8" customFormat="1" ht="12" customHeight="1" thickBot="1" x14ac:dyDescent="0.4" hidden="1">
      <c r="A129" s="133">
        <v>22</v>
      </c>
      <c r="B129" s="1711" t="str">
        <f>IF(A129&gt;F$107,"{Can hide row}","")</f>
        <v/>
      </c>
      <c r="C129" s="9" t="str">
        <f>A129&amp;" "</f>
        <v xml:space="preserve">22 </v>
      </c>
      <c r="D129" s="1843"/>
      <c r="E129" s="1844"/>
      <c r="F129" s="1845"/>
      <c r="G129" s="590"/>
      <c r="H129" s="616"/>
      <c r="I129" s="616"/>
      <c r="J129" s="1055">
        <f>IF(I129&lt;&gt;"",1,0)</f>
        <v>0</v>
      </c>
      <c r="K129" s="1050">
        <f>IF(I129&lt;&gt;"",$O$102,0)</f>
        <v>0</v>
      </c>
      <c r="L129" s="1050">
        <f>IF(I129&lt;&gt;"",L128,0)</f>
        <v>0</v>
      </c>
      <c r="M129" s="1049">
        <f>IF(I129&lt;&gt;"",M128,0)</f>
        <v>0</v>
      </c>
      <c r="N129" s="1001"/>
      <c r="P129" s="1083">
        <f>IF(OR($H129="",$I129=""),0,IF(OR(P$107&lt;$H129,P$107&gt;$I129),0,$J129))</f>
        <v>0</v>
      </c>
      <c r="Q129" s="1084">
        <f>IF(OR($H129="",$I129=""),0,IF(OR(Q$107&lt;$H129,Q$107&gt;$I129),0,$J129))</f>
        <v>0</v>
      </c>
      <c r="R129" s="1084">
        <f>IF(OR($H129="",$I129=""),0,IF(OR(R$107&lt;$H129,R$107&gt;$I129),0,$J129))</f>
        <v>0</v>
      </c>
      <c r="S129" s="1084">
        <f>IF(OR($H129="",$I129=""),0,IF(OR(S$107&lt;$H129,S$107&gt;$I129),0,$J129))</f>
        <v>0</v>
      </c>
      <c r="T129" s="1084">
        <f>IF(OR($H129="",$I129=""),0,IF(OR(T$107&lt;$H129,T$107&gt;$I129),0,$J129))</f>
        <v>0</v>
      </c>
      <c r="U129" s="1084">
        <f>IF(OR($H129="",$I129=""),0,IF(OR(U$107&lt;$H129,U$107&gt;$I129),0,$J129))</f>
        <v>0</v>
      </c>
      <c r="V129" s="1084">
        <f>IF(OR($H129="",$I129=""),0,IF(OR(V$107&lt;$H129,V$107&gt;$I129),0,$J129))</f>
        <v>0</v>
      </c>
      <c r="W129" s="1084">
        <f>IF(OR($H129="",$I129=""),0,IF(OR(W$107&lt;$H129,W$107&gt;$I129),0,$J129))</f>
        <v>0</v>
      </c>
      <c r="X129" s="1084">
        <f>IF(OR($H129="",$I129=""),0,IF(OR(X$107&lt;$H129,X$107&gt;$I129),0,$J129))</f>
        <v>0</v>
      </c>
      <c r="Y129" s="1084">
        <f>IF(OR($H129="",$I129=""),0,IF(OR(Y$107&lt;$H129,Y$107&gt;$I129),0,$J129))</f>
        <v>0</v>
      </c>
      <c r="Z129" s="1084">
        <f>IF(OR($H129="",$I129=""),0,IF(OR(Z$107&lt;$H129,Z$107&gt;$I129),0,$J129))</f>
        <v>0</v>
      </c>
      <c r="AA129" s="1084">
        <f>IF(OR($H129="",$I129=""),0,IF(OR(AA$107&lt;$H129,AA$107&gt;$I129),0,$J129))</f>
        <v>0</v>
      </c>
      <c r="AB129" s="1084">
        <f>IF(OR($H129="",$I129=""),0,IF(OR(AB$107&lt;$H129,AB$107&gt;$I129),0,$J129))</f>
        <v>0</v>
      </c>
      <c r="AC129" s="1084">
        <f>IF(OR($H129="",$I129=""),0,IF(OR(AC$107&lt;$H129,AC$107&gt;$I129),0,$J129))</f>
        <v>0</v>
      </c>
      <c r="AD129" s="1084">
        <f>IF(OR($H129="",$I129=""),0,IF(OR(AD$107&lt;$H129,AD$107&gt;$I129),0,$J129))</f>
        <v>0</v>
      </c>
      <c r="AE129" s="1084">
        <f>IF(OR($H129="",$I129=""),0,IF(OR(AE$107&lt;$H129,AE$107&gt;$I129),0,$J129))</f>
        <v>0</v>
      </c>
      <c r="AF129" s="1084">
        <f>IF(OR($H129="",$I129=""),0,IF(OR(AF$107&lt;$H129,AF$107&gt;$I129),0,$J129))</f>
        <v>0</v>
      </c>
      <c r="AG129" s="1084">
        <f>IF(OR($H129="",$I129=""),0,IF(OR(AG$107&lt;$H129,AG$107&gt;$I129),0,$J129))</f>
        <v>0</v>
      </c>
      <c r="AH129" s="1084">
        <f>IF(OR($H129="",$I129=""),0,IF(OR(AH$107&lt;$H129,AH$107&gt;$I129),0,$J129))</f>
        <v>0</v>
      </c>
      <c r="AI129" s="1084">
        <f>IF(OR($H129="",$I129=""),0,IF(OR(AI$107&lt;$H129,AI$107&gt;$I129),0,$J129))</f>
        <v>0</v>
      </c>
      <c r="AJ129" s="1084">
        <f>IF(OR($H129="",$I129=""),0,IF(OR(AJ$107&lt;$H129,AJ$107&gt;$I129),0,$J129))</f>
        <v>0</v>
      </c>
      <c r="AK129" s="1084">
        <f>IF(OR($H129="",$I129=""),0,IF(OR(AK$107&lt;$H129,AK$107&gt;$I129),0,$J129))</f>
        <v>0</v>
      </c>
      <c r="AL129" s="1084">
        <f>IF(OR($H129="",$I129=""),0,IF(OR(AL$107&lt;$H129,AL$107&gt;$I129),0,$J129))</f>
        <v>0</v>
      </c>
      <c r="AM129" s="1084">
        <f>IF(OR($H129="",$I129=""),0,IF(OR(AM$107&lt;$H129,AM$107&gt;$I129),0,$J129))</f>
        <v>0</v>
      </c>
      <c r="AN129" s="1084">
        <f>IF(OR($H129="",$I129=""),0,IF(OR(AN$107&lt;$H129,AN$107&gt;$I129),0,$J129))</f>
        <v>0</v>
      </c>
      <c r="AO129" s="1084">
        <f>IF(OR($H129="",$I129=""),0,IF(OR(AO$107&lt;$H129,AO$107&gt;$I129),0,$J129))</f>
        <v>0</v>
      </c>
      <c r="AP129" s="1084">
        <f>IF(OR($H129="",$I129=""),0,IF(OR(AP$107&lt;$H129,AP$107&gt;$I129),0,$J129))</f>
        <v>0</v>
      </c>
      <c r="AQ129" s="1084">
        <f>IF(OR($H129="",$I129=""),0,IF(OR(AQ$107&lt;$H129,AQ$107&gt;$I129),0,$J129))</f>
        <v>0</v>
      </c>
      <c r="AR129" s="1084">
        <f>IF(OR($H129="",$I129=""),0,IF(OR(AR$107&lt;$H129,AR$107&gt;$I129),0,$J129))</f>
        <v>0</v>
      </c>
      <c r="AS129" s="1084">
        <f>IF(OR($H129="",$I129=""),0,IF(OR(AS$107&lt;$H129,AS$107&gt;$I129),0,$J129))</f>
        <v>0</v>
      </c>
      <c r="AT129" s="1084">
        <f>IF(OR($H129="",$I129=""),0,IF(OR(AT$107&lt;$H129,AT$107&gt;$I129),0,$J129))</f>
        <v>0</v>
      </c>
      <c r="AU129" s="1084">
        <f>IF(OR($H129="",$I129=""),0,IF(OR(AU$107&lt;$H129,AU$107&gt;$I129),0,$J129))</f>
        <v>0</v>
      </c>
      <c r="AV129" s="1084">
        <f>IF(OR($H129="",$I129=""),0,IF(OR(AV$107&lt;$H129,AV$107&gt;$I129),0,$J129))</f>
        <v>0</v>
      </c>
      <c r="AW129" s="1084">
        <f>IF(OR($H129="",$I129=""),0,IF(OR(AW$107&lt;$H129,AW$107&gt;$I129),0,$J129))</f>
        <v>0</v>
      </c>
      <c r="AX129" s="1084">
        <f>IF(OR($H129="",$I129=""),0,IF(OR(AX$107&lt;$H129,AX$107&gt;$I129),0,$J129))</f>
        <v>0</v>
      </c>
      <c r="AY129" s="1085">
        <f>IF(OR($H129="",$I129=""),0,IF(OR(AY$107&lt;$H129,AY$107&gt;$I129),0,$J129))</f>
        <v>0</v>
      </c>
      <c r="AZ129" s="1240">
        <f>IF(OR($H129="",$I129=""),0,IF(OR(AZ$107&lt;$H129,AZ$107&gt;$I129),0,$J129))</f>
        <v>0</v>
      </c>
      <c r="BA129" s="1084">
        <f>IF(OR($H129="",$I129=""),0,IF(OR(BA$107&lt;$H129,BA$107&gt;$I129),0,$J129))</f>
        <v>0</v>
      </c>
      <c r="BB129" s="1084">
        <f>IF(OR($H129="",$I129=""),0,IF(OR(BB$107&lt;$H129,BB$107&gt;$I129),0,$J129))</f>
        <v>0</v>
      </c>
      <c r="BC129" s="1084">
        <f>IF(OR($H129="",$I129=""),0,IF(OR(BC$107&lt;$H129,BC$107&gt;$I129),0,$J129))</f>
        <v>0</v>
      </c>
      <c r="BD129" s="1084">
        <f>IF(OR($H129="",$I129=""),0,IF(OR(BD$107&lt;$H129,BD$107&gt;$I129),0,$J129))</f>
        <v>0</v>
      </c>
      <c r="BE129" s="1084">
        <f>IF(OR($H129="",$I129=""),0,IF(OR(BE$107&lt;$H129,BE$107&gt;$I129),0,$J129))</f>
        <v>0</v>
      </c>
      <c r="BF129" s="1084">
        <f>IF(OR($H129="",$I129=""),0,IF(OR(BF$107&lt;$H129,BF$107&gt;$I129),0,$J129))</f>
        <v>0</v>
      </c>
      <c r="BG129" s="1084">
        <f>IF(OR($H129="",$I129=""),0,IF(OR(BG$107&lt;$H129,BG$107&gt;$I129),0,$J129))</f>
        <v>0</v>
      </c>
      <c r="BH129" s="1084">
        <f>IF(OR($H129="",$I129=""),0,IF(OR(BH$107&lt;$H129,BH$107&gt;$I129),0,$J129))</f>
        <v>0</v>
      </c>
      <c r="BI129" s="1084">
        <f>IF(OR($H129="",$I129=""),0,IF(OR(BI$107&lt;$H129,BI$107&gt;$I129),0,$J129))</f>
        <v>0</v>
      </c>
      <c r="BJ129" s="1084">
        <f>IF(OR($H129="",$I129=""),0,IF(OR(BJ$107&lt;$H129,BJ$107&gt;$I129),0,$J129))</f>
        <v>0</v>
      </c>
      <c r="BK129" s="1084">
        <f>IF(OR($H129="",$I129=""),0,IF(OR(BK$107&lt;$H129,BK$107&gt;$I129),0,$J129))</f>
        <v>0</v>
      </c>
      <c r="BL129" s="1084">
        <f>IF(OR($H129="",$I129=""),0,IF(OR(BL$107&lt;$H129,BL$107&gt;$I129),0,$J129))</f>
        <v>0</v>
      </c>
      <c r="BM129" s="1084">
        <f>IF(OR($H129="",$I129=""),0,IF(OR(BM$107&lt;$H129,BM$107&gt;$I129),0,$J129))</f>
        <v>0</v>
      </c>
      <c r="BN129" s="1084">
        <f>IF(OR($H129="",$I129=""),0,IF(OR(BN$107&lt;$H129,BN$107&gt;$I129),0,$J129))</f>
        <v>0</v>
      </c>
      <c r="BO129" s="1084">
        <f>IF(OR($H129="",$I129=""),0,IF(OR(BO$107&lt;$H129,BO$107&gt;$I129),0,$J129))</f>
        <v>0</v>
      </c>
      <c r="BP129" s="1084">
        <f>IF(OR($H129="",$I129=""),0,IF(OR(BP$107&lt;$H129,BP$107&gt;$I129),0,$J129))</f>
        <v>0</v>
      </c>
      <c r="BQ129" s="1084">
        <f>IF(OR($H129="",$I129=""),0,IF(OR(BQ$107&lt;$H129,BQ$107&gt;$I129),0,$J129))</f>
        <v>0</v>
      </c>
      <c r="BR129" s="1084">
        <f>IF(OR($H129="",$I129=""),0,IF(OR(BR$107&lt;$H129,BR$107&gt;$I129),0,$J129))</f>
        <v>0</v>
      </c>
      <c r="BS129" s="1084">
        <f>IF(OR($H129="",$I129=""),0,IF(OR(BS$107&lt;$H129,BS$107&gt;$I129),0,$J129))</f>
        <v>0</v>
      </c>
      <c r="BT129" s="1084">
        <f>IF(OR($H129="",$I129=""),0,IF(OR(BT$107&lt;$H129,BT$107&gt;$I129),0,$J129))</f>
        <v>0</v>
      </c>
      <c r="BU129" s="1084">
        <f>IF(OR($H129="",$I129=""),0,IF(OR(BU$107&lt;$H129,BU$107&gt;$I129),0,$J129))</f>
        <v>0</v>
      </c>
      <c r="BV129" s="1084">
        <f>IF(OR($H129="",$I129=""),0,IF(OR(BV$107&lt;$H129,BV$107&gt;$I129),0,$J129))</f>
        <v>0</v>
      </c>
      <c r="BW129" s="1085">
        <f>IF(OR($H129="",$I129=""),0,IF(OR(BW$107&lt;$H129,BW$107&gt;$I129),0,$J129))</f>
        <v>0</v>
      </c>
      <c r="DD129" s="131"/>
    </row>
    <row r="130" spans="1:108" s="8" customFormat="1" ht="12" customHeight="1" thickBot="1" x14ac:dyDescent="0.4" hidden="1">
      <c r="A130" s="133">
        <v>23</v>
      </c>
      <c r="B130" s="1711" t="str">
        <f>IF(A130&gt;F$107,"{Can hide row}","")</f>
        <v/>
      </c>
      <c r="C130" s="9" t="str">
        <f>A130&amp;" "</f>
        <v xml:space="preserve">23 </v>
      </c>
      <c r="D130" s="1843"/>
      <c r="E130" s="1844"/>
      <c r="F130" s="1845"/>
      <c r="G130" s="590"/>
      <c r="H130" s="616"/>
      <c r="I130" s="616"/>
      <c r="J130" s="1055">
        <f>IF(I130&lt;&gt;"",1,0)</f>
        <v>0</v>
      </c>
      <c r="K130" s="1050">
        <f>IF(I130&lt;&gt;"",$O$102,0)</f>
        <v>0</v>
      </c>
      <c r="L130" s="1050">
        <f>IF(I130&lt;&gt;"",L129,0)</f>
        <v>0</v>
      </c>
      <c r="M130" s="1049">
        <f>IF(I130&lt;&gt;"",M129,0)</f>
        <v>0</v>
      </c>
      <c r="N130" s="1001"/>
      <c r="P130" s="1083">
        <f>IF(OR($H130="",$I130=""),0,IF(OR(P$107&lt;$H130,P$107&gt;$I130),0,$J130))</f>
        <v>0</v>
      </c>
      <c r="Q130" s="1084">
        <f>IF(OR($H130="",$I130=""),0,IF(OR(Q$107&lt;$H130,Q$107&gt;$I130),0,$J130))</f>
        <v>0</v>
      </c>
      <c r="R130" s="1084">
        <f>IF(OR($H130="",$I130=""),0,IF(OR(R$107&lt;$H130,R$107&gt;$I130),0,$J130))</f>
        <v>0</v>
      </c>
      <c r="S130" s="1084">
        <f>IF(OR($H130="",$I130=""),0,IF(OR(S$107&lt;$H130,S$107&gt;$I130),0,$J130))</f>
        <v>0</v>
      </c>
      <c r="T130" s="1084">
        <f>IF(OR($H130="",$I130=""),0,IF(OR(T$107&lt;$H130,T$107&gt;$I130),0,$J130))</f>
        <v>0</v>
      </c>
      <c r="U130" s="1084">
        <f>IF(OR($H130="",$I130=""),0,IF(OR(U$107&lt;$H130,U$107&gt;$I130),0,$J130))</f>
        <v>0</v>
      </c>
      <c r="V130" s="1084">
        <f>IF(OR($H130="",$I130=""),0,IF(OR(V$107&lt;$H130,V$107&gt;$I130),0,$J130))</f>
        <v>0</v>
      </c>
      <c r="W130" s="1084">
        <f>IF(OR($H130="",$I130=""),0,IF(OR(W$107&lt;$H130,W$107&gt;$I130),0,$J130))</f>
        <v>0</v>
      </c>
      <c r="X130" s="1084">
        <f>IF(OR($H130="",$I130=""),0,IF(OR(X$107&lt;$H130,X$107&gt;$I130),0,$J130))</f>
        <v>0</v>
      </c>
      <c r="Y130" s="1084">
        <f>IF(OR($H130="",$I130=""),0,IF(OR(Y$107&lt;$H130,Y$107&gt;$I130),0,$J130))</f>
        <v>0</v>
      </c>
      <c r="Z130" s="1084">
        <f>IF(OR($H130="",$I130=""),0,IF(OR(Z$107&lt;$H130,Z$107&gt;$I130),0,$J130))</f>
        <v>0</v>
      </c>
      <c r="AA130" s="1084">
        <f>IF(OR($H130="",$I130=""),0,IF(OR(AA$107&lt;$H130,AA$107&gt;$I130),0,$J130))</f>
        <v>0</v>
      </c>
      <c r="AB130" s="1084">
        <f>IF(OR($H130="",$I130=""),0,IF(OR(AB$107&lt;$H130,AB$107&gt;$I130),0,$J130))</f>
        <v>0</v>
      </c>
      <c r="AC130" s="1084">
        <f>IF(OR($H130="",$I130=""),0,IF(OR(AC$107&lt;$H130,AC$107&gt;$I130),0,$J130))</f>
        <v>0</v>
      </c>
      <c r="AD130" s="1084">
        <f>IF(OR($H130="",$I130=""),0,IF(OR(AD$107&lt;$H130,AD$107&gt;$I130),0,$J130))</f>
        <v>0</v>
      </c>
      <c r="AE130" s="1084">
        <f>IF(OR($H130="",$I130=""),0,IF(OR(AE$107&lt;$H130,AE$107&gt;$I130),0,$J130))</f>
        <v>0</v>
      </c>
      <c r="AF130" s="1084">
        <f>IF(OR($H130="",$I130=""),0,IF(OR(AF$107&lt;$H130,AF$107&gt;$I130),0,$J130))</f>
        <v>0</v>
      </c>
      <c r="AG130" s="1084">
        <f>IF(OR($H130="",$I130=""),0,IF(OR(AG$107&lt;$H130,AG$107&gt;$I130),0,$J130))</f>
        <v>0</v>
      </c>
      <c r="AH130" s="1084">
        <f>IF(OR($H130="",$I130=""),0,IF(OR(AH$107&lt;$H130,AH$107&gt;$I130),0,$J130))</f>
        <v>0</v>
      </c>
      <c r="AI130" s="1084">
        <f>IF(OR($H130="",$I130=""),0,IF(OR(AI$107&lt;$H130,AI$107&gt;$I130),0,$J130))</f>
        <v>0</v>
      </c>
      <c r="AJ130" s="1084">
        <f>IF(OR($H130="",$I130=""),0,IF(OR(AJ$107&lt;$H130,AJ$107&gt;$I130),0,$J130))</f>
        <v>0</v>
      </c>
      <c r="AK130" s="1084">
        <f>IF(OR($H130="",$I130=""),0,IF(OR(AK$107&lt;$H130,AK$107&gt;$I130),0,$J130))</f>
        <v>0</v>
      </c>
      <c r="AL130" s="1084">
        <f>IF(OR($H130="",$I130=""),0,IF(OR(AL$107&lt;$H130,AL$107&gt;$I130),0,$J130))</f>
        <v>0</v>
      </c>
      <c r="AM130" s="1084">
        <f>IF(OR($H130="",$I130=""),0,IF(OR(AM$107&lt;$H130,AM$107&gt;$I130),0,$J130))</f>
        <v>0</v>
      </c>
      <c r="AN130" s="1084">
        <f>IF(OR($H130="",$I130=""),0,IF(OR(AN$107&lt;$H130,AN$107&gt;$I130),0,$J130))</f>
        <v>0</v>
      </c>
      <c r="AO130" s="1084">
        <f>IF(OR($H130="",$I130=""),0,IF(OR(AO$107&lt;$H130,AO$107&gt;$I130),0,$J130))</f>
        <v>0</v>
      </c>
      <c r="AP130" s="1084">
        <f>IF(OR($H130="",$I130=""),0,IF(OR(AP$107&lt;$H130,AP$107&gt;$I130),0,$J130))</f>
        <v>0</v>
      </c>
      <c r="AQ130" s="1084">
        <f>IF(OR($H130="",$I130=""),0,IF(OR(AQ$107&lt;$H130,AQ$107&gt;$I130),0,$J130))</f>
        <v>0</v>
      </c>
      <c r="AR130" s="1084">
        <f>IF(OR($H130="",$I130=""),0,IF(OR(AR$107&lt;$H130,AR$107&gt;$I130),0,$J130))</f>
        <v>0</v>
      </c>
      <c r="AS130" s="1084">
        <f>IF(OR($H130="",$I130=""),0,IF(OR(AS$107&lt;$H130,AS$107&gt;$I130),0,$J130))</f>
        <v>0</v>
      </c>
      <c r="AT130" s="1084">
        <f>IF(OR($H130="",$I130=""),0,IF(OR(AT$107&lt;$H130,AT$107&gt;$I130),0,$J130))</f>
        <v>0</v>
      </c>
      <c r="AU130" s="1084">
        <f>IF(OR($H130="",$I130=""),0,IF(OR(AU$107&lt;$H130,AU$107&gt;$I130),0,$J130))</f>
        <v>0</v>
      </c>
      <c r="AV130" s="1084">
        <f>IF(OR($H130="",$I130=""),0,IF(OR(AV$107&lt;$H130,AV$107&gt;$I130),0,$J130))</f>
        <v>0</v>
      </c>
      <c r="AW130" s="1084">
        <f>IF(OR($H130="",$I130=""),0,IF(OR(AW$107&lt;$H130,AW$107&gt;$I130),0,$J130))</f>
        <v>0</v>
      </c>
      <c r="AX130" s="1084">
        <f>IF(OR($H130="",$I130=""),0,IF(OR(AX$107&lt;$H130,AX$107&gt;$I130),0,$J130))</f>
        <v>0</v>
      </c>
      <c r="AY130" s="1085">
        <f>IF(OR($H130="",$I130=""),0,IF(OR(AY$107&lt;$H130,AY$107&gt;$I130),0,$J130))</f>
        <v>0</v>
      </c>
      <c r="AZ130" s="1240">
        <f>IF(OR($H130="",$I130=""),0,IF(OR(AZ$107&lt;$H130,AZ$107&gt;$I130),0,$J130))</f>
        <v>0</v>
      </c>
      <c r="BA130" s="1084">
        <f>IF(OR($H130="",$I130=""),0,IF(OR(BA$107&lt;$H130,BA$107&gt;$I130),0,$J130))</f>
        <v>0</v>
      </c>
      <c r="BB130" s="1084">
        <f>IF(OR($H130="",$I130=""),0,IF(OR(BB$107&lt;$H130,BB$107&gt;$I130),0,$J130))</f>
        <v>0</v>
      </c>
      <c r="BC130" s="1084">
        <f>IF(OR($H130="",$I130=""),0,IF(OR(BC$107&lt;$H130,BC$107&gt;$I130),0,$J130))</f>
        <v>0</v>
      </c>
      <c r="BD130" s="1084">
        <f>IF(OR($H130="",$I130=""),0,IF(OR(BD$107&lt;$H130,BD$107&gt;$I130),0,$J130))</f>
        <v>0</v>
      </c>
      <c r="BE130" s="1084">
        <f>IF(OR($H130="",$I130=""),0,IF(OR(BE$107&lt;$H130,BE$107&gt;$I130),0,$J130))</f>
        <v>0</v>
      </c>
      <c r="BF130" s="1084">
        <f>IF(OR($H130="",$I130=""),0,IF(OR(BF$107&lt;$H130,BF$107&gt;$I130),0,$J130))</f>
        <v>0</v>
      </c>
      <c r="BG130" s="1084">
        <f>IF(OR($H130="",$I130=""),0,IF(OR(BG$107&lt;$H130,BG$107&gt;$I130),0,$J130))</f>
        <v>0</v>
      </c>
      <c r="BH130" s="1084">
        <f>IF(OR($H130="",$I130=""),0,IF(OR(BH$107&lt;$H130,BH$107&gt;$I130),0,$J130))</f>
        <v>0</v>
      </c>
      <c r="BI130" s="1084">
        <f>IF(OR($H130="",$I130=""),0,IF(OR(BI$107&lt;$H130,BI$107&gt;$I130),0,$J130))</f>
        <v>0</v>
      </c>
      <c r="BJ130" s="1084">
        <f>IF(OR($H130="",$I130=""),0,IF(OR(BJ$107&lt;$H130,BJ$107&gt;$I130),0,$J130))</f>
        <v>0</v>
      </c>
      <c r="BK130" s="1084">
        <f>IF(OR($H130="",$I130=""),0,IF(OR(BK$107&lt;$H130,BK$107&gt;$I130),0,$J130))</f>
        <v>0</v>
      </c>
      <c r="BL130" s="1084">
        <f>IF(OR($H130="",$I130=""),0,IF(OR(BL$107&lt;$H130,BL$107&gt;$I130),0,$J130))</f>
        <v>0</v>
      </c>
      <c r="BM130" s="1084">
        <f>IF(OR($H130="",$I130=""),0,IF(OR(BM$107&lt;$H130,BM$107&gt;$I130),0,$J130))</f>
        <v>0</v>
      </c>
      <c r="BN130" s="1084">
        <f>IF(OR($H130="",$I130=""),0,IF(OR(BN$107&lt;$H130,BN$107&gt;$I130),0,$J130))</f>
        <v>0</v>
      </c>
      <c r="BO130" s="1084">
        <f>IF(OR($H130="",$I130=""),0,IF(OR(BO$107&lt;$H130,BO$107&gt;$I130),0,$J130))</f>
        <v>0</v>
      </c>
      <c r="BP130" s="1084">
        <f>IF(OR($H130="",$I130=""),0,IF(OR(BP$107&lt;$H130,BP$107&gt;$I130),0,$J130))</f>
        <v>0</v>
      </c>
      <c r="BQ130" s="1084">
        <f>IF(OR($H130="",$I130=""),0,IF(OR(BQ$107&lt;$H130,BQ$107&gt;$I130),0,$J130))</f>
        <v>0</v>
      </c>
      <c r="BR130" s="1084">
        <f>IF(OR($H130="",$I130=""),0,IF(OR(BR$107&lt;$H130,BR$107&gt;$I130),0,$J130))</f>
        <v>0</v>
      </c>
      <c r="BS130" s="1084">
        <f>IF(OR($H130="",$I130=""),0,IF(OR(BS$107&lt;$H130,BS$107&gt;$I130),0,$J130))</f>
        <v>0</v>
      </c>
      <c r="BT130" s="1084">
        <f>IF(OR($H130="",$I130=""),0,IF(OR(BT$107&lt;$H130,BT$107&gt;$I130),0,$J130))</f>
        <v>0</v>
      </c>
      <c r="BU130" s="1084">
        <f>IF(OR($H130="",$I130=""),0,IF(OR(BU$107&lt;$H130,BU$107&gt;$I130),0,$J130))</f>
        <v>0</v>
      </c>
      <c r="BV130" s="1084">
        <f>IF(OR($H130="",$I130=""),0,IF(OR(BV$107&lt;$H130,BV$107&gt;$I130),0,$J130))</f>
        <v>0</v>
      </c>
      <c r="BW130" s="1085">
        <f>IF(OR($H130="",$I130=""),0,IF(OR(BW$107&lt;$H130,BW$107&gt;$I130),0,$J130))</f>
        <v>0</v>
      </c>
      <c r="DD130" s="131"/>
    </row>
    <row r="131" spans="1:108" s="8" customFormat="1" ht="12" customHeight="1" thickBot="1" x14ac:dyDescent="0.4" hidden="1">
      <c r="A131" s="133">
        <v>24</v>
      </c>
      <c r="B131" s="1711" t="str">
        <f>IF(A131&gt;F$107,"{Can hide row}","")</f>
        <v/>
      </c>
      <c r="C131" s="9" t="str">
        <f>A131&amp;" "</f>
        <v xml:space="preserve">24 </v>
      </c>
      <c r="D131" s="1843"/>
      <c r="E131" s="1844"/>
      <c r="F131" s="1845"/>
      <c r="G131" s="590"/>
      <c r="H131" s="616"/>
      <c r="I131" s="616"/>
      <c r="J131" s="1055">
        <f>IF(I131&lt;&gt;"",1,0)</f>
        <v>0</v>
      </c>
      <c r="K131" s="1050">
        <f>IF(I131&lt;&gt;"",$O$102,0)</f>
        <v>0</v>
      </c>
      <c r="L131" s="1050">
        <f>IF(I131&lt;&gt;"",L130,0)</f>
        <v>0</v>
      </c>
      <c r="M131" s="1049">
        <f>IF(I131&lt;&gt;"",M130,0)</f>
        <v>0</v>
      </c>
      <c r="N131" s="1001"/>
      <c r="P131" s="1083">
        <f>IF(OR($H131="",$I131=""),0,IF(OR(P$107&lt;$H131,P$107&gt;$I131),0,$J131))</f>
        <v>0</v>
      </c>
      <c r="Q131" s="1084">
        <f>IF(OR($H131="",$I131=""),0,IF(OR(Q$107&lt;$H131,Q$107&gt;$I131),0,$J131))</f>
        <v>0</v>
      </c>
      <c r="R131" s="1084">
        <f>IF(OR($H131="",$I131=""),0,IF(OR(R$107&lt;$H131,R$107&gt;$I131),0,$J131))</f>
        <v>0</v>
      </c>
      <c r="S131" s="1084">
        <f>IF(OR($H131="",$I131=""),0,IF(OR(S$107&lt;$H131,S$107&gt;$I131),0,$J131))</f>
        <v>0</v>
      </c>
      <c r="T131" s="1084">
        <f>IF(OR($H131="",$I131=""),0,IF(OR(T$107&lt;$H131,T$107&gt;$I131),0,$J131))</f>
        <v>0</v>
      </c>
      <c r="U131" s="1084">
        <f>IF(OR($H131="",$I131=""),0,IF(OR(U$107&lt;$H131,U$107&gt;$I131),0,$J131))</f>
        <v>0</v>
      </c>
      <c r="V131" s="1084">
        <f>IF(OR($H131="",$I131=""),0,IF(OR(V$107&lt;$H131,V$107&gt;$I131),0,$J131))</f>
        <v>0</v>
      </c>
      <c r="W131" s="1084">
        <f>IF(OR($H131="",$I131=""),0,IF(OR(W$107&lt;$H131,W$107&gt;$I131),0,$J131))</f>
        <v>0</v>
      </c>
      <c r="X131" s="1084">
        <f>IF(OR($H131="",$I131=""),0,IF(OR(X$107&lt;$H131,X$107&gt;$I131),0,$J131))</f>
        <v>0</v>
      </c>
      <c r="Y131" s="1084">
        <f>IF(OR($H131="",$I131=""),0,IF(OR(Y$107&lt;$H131,Y$107&gt;$I131),0,$J131))</f>
        <v>0</v>
      </c>
      <c r="Z131" s="1084">
        <f>IF(OR($H131="",$I131=""),0,IF(OR(Z$107&lt;$H131,Z$107&gt;$I131),0,$J131))</f>
        <v>0</v>
      </c>
      <c r="AA131" s="1084">
        <f>IF(OR($H131="",$I131=""),0,IF(OR(AA$107&lt;$H131,AA$107&gt;$I131),0,$J131))</f>
        <v>0</v>
      </c>
      <c r="AB131" s="1084">
        <f>IF(OR($H131="",$I131=""),0,IF(OR(AB$107&lt;$H131,AB$107&gt;$I131),0,$J131))</f>
        <v>0</v>
      </c>
      <c r="AC131" s="1084">
        <f>IF(OR($H131="",$I131=""),0,IF(OR(AC$107&lt;$H131,AC$107&gt;$I131),0,$J131))</f>
        <v>0</v>
      </c>
      <c r="AD131" s="1084">
        <f>IF(OR($H131="",$I131=""),0,IF(OR(AD$107&lt;$H131,AD$107&gt;$I131),0,$J131))</f>
        <v>0</v>
      </c>
      <c r="AE131" s="1084">
        <f>IF(OR($H131="",$I131=""),0,IF(OR(AE$107&lt;$H131,AE$107&gt;$I131),0,$J131))</f>
        <v>0</v>
      </c>
      <c r="AF131" s="1084">
        <f>IF(OR($H131="",$I131=""),0,IF(OR(AF$107&lt;$H131,AF$107&gt;$I131),0,$J131))</f>
        <v>0</v>
      </c>
      <c r="AG131" s="1084">
        <f>IF(OR($H131="",$I131=""),0,IF(OR(AG$107&lt;$H131,AG$107&gt;$I131),0,$J131))</f>
        <v>0</v>
      </c>
      <c r="AH131" s="1084">
        <f>IF(OR($H131="",$I131=""),0,IF(OR(AH$107&lt;$H131,AH$107&gt;$I131),0,$J131))</f>
        <v>0</v>
      </c>
      <c r="AI131" s="1084">
        <f>IF(OR($H131="",$I131=""),0,IF(OR(AI$107&lt;$H131,AI$107&gt;$I131),0,$J131))</f>
        <v>0</v>
      </c>
      <c r="AJ131" s="1084">
        <f>IF(OR($H131="",$I131=""),0,IF(OR(AJ$107&lt;$H131,AJ$107&gt;$I131),0,$J131))</f>
        <v>0</v>
      </c>
      <c r="AK131" s="1084">
        <f>IF(OR($H131="",$I131=""),0,IF(OR(AK$107&lt;$H131,AK$107&gt;$I131),0,$J131))</f>
        <v>0</v>
      </c>
      <c r="AL131" s="1084">
        <f>IF(OR($H131="",$I131=""),0,IF(OR(AL$107&lt;$H131,AL$107&gt;$I131),0,$J131))</f>
        <v>0</v>
      </c>
      <c r="AM131" s="1084">
        <f>IF(OR($H131="",$I131=""),0,IF(OR(AM$107&lt;$H131,AM$107&gt;$I131),0,$J131))</f>
        <v>0</v>
      </c>
      <c r="AN131" s="1084">
        <f>IF(OR($H131="",$I131=""),0,IF(OR(AN$107&lt;$H131,AN$107&gt;$I131),0,$J131))</f>
        <v>0</v>
      </c>
      <c r="AO131" s="1084">
        <f>IF(OR($H131="",$I131=""),0,IF(OR(AO$107&lt;$H131,AO$107&gt;$I131),0,$J131))</f>
        <v>0</v>
      </c>
      <c r="AP131" s="1084">
        <f>IF(OR($H131="",$I131=""),0,IF(OR(AP$107&lt;$H131,AP$107&gt;$I131),0,$J131))</f>
        <v>0</v>
      </c>
      <c r="AQ131" s="1084">
        <f>IF(OR($H131="",$I131=""),0,IF(OR(AQ$107&lt;$H131,AQ$107&gt;$I131),0,$J131))</f>
        <v>0</v>
      </c>
      <c r="AR131" s="1084">
        <f>IF(OR($H131="",$I131=""),0,IF(OR(AR$107&lt;$H131,AR$107&gt;$I131),0,$J131))</f>
        <v>0</v>
      </c>
      <c r="AS131" s="1084">
        <f>IF(OR($H131="",$I131=""),0,IF(OR(AS$107&lt;$H131,AS$107&gt;$I131),0,$J131))</f>
        <v>0</v>
      </c>
      <c r="AT131" s="1084">
        <f>IF(OR($H131="",$I131=""),0,IF(OR(AT$107&lt;$H131,AT$107&gt;$I131),0,$J131))</f>
        <v>0</v>
      </c>
      <c r="AU131" s="1084">
        <f>IF(OR($H131="",$I131=""),0,IF(OR(AU$107&lt;$H131,AU$107&gt;$I131),0,$J131))</f>
        <v>0</v>
      </c>
      <c r="AV131" s="1084">
        <f>IF(OR($H131="",$I131=""),0,IF(OR(AV$107&lt;$H131,AV$107&gt;$I131),0,$J131))</f>
        <v>0</v>
      </c>
      <c r="AW131" s="1084">
        <f>IF(OR($H131="",$I131=""),0,IF(OR(AW$107&lt;$H131,AW$107&gt;$I131),0,$J131))</f>
        <v>0</v>
      </c>
      <c r="AX131" s="1084">
        <f>IF(OR($H131="",$I131=""),0,IF(OR(AX$107&lt;$H131,AX$107&gt;$I131),0,$J131))</f>
        <v>0</v>
      </c>
      <c r="AY131" s="1085">
        <f>IF(OR($H131="",$I131=""),0,IF(OR(AY$107&lt;$H131,AY$107&gt;$I131),0,$J131))</f>
        <v>0</v>
      </c>
      <c r="AZ131" s="1240">
        <f>IF(OR($H131="",$I131=""),0,IF(OR(AZ$107&lt;$H131,AZ$107&gt;$I131),0,$J131))</f>
        <v>0</v>
      </c>
      <c r="BA131" s="1084">
        <f>IF(OR($H131="",$I131=""),0,IF(OR(BA$107&lt;$H131,BA$107&gt;$I131),0,$J131))</f>
        <v>0</v>
      </c>
      <c r="BB131" s="1084">
        <f>IF(OR($H131="",$I131=""),0,IF(OR(BB$107&lt;$H131,BB$107&gt;$I131),0,$J131))</f>
        <v>0</v>
      </c>
      <c r="BC131" s="1084">
        <f>IF(OR($H131="",$I131=""),0,IF(OR(BC$107&lt;$H131,BC$107&gt;$I131),0,$J131))</f>
        <v>0</v>
      </c>
      <c r="BD131" s="1084">
        <f>IF(OR($H131="",$I131=""),0,IF(OR(BD$107&lt;$H131,BD$107&gt;$I131),0,$J131))</f>
        <v>0</v>
      </c>
      <c r="BE131" s="1084">
        <f>IF(OR($H131="",$I131=""),0,IF(OR(BE$107&lt;$H131,BE$107&gt;$I131),0,$J131))</f>
        <v>0</v>
      </c>
      <c r="BF131" s="1084">
        <f>IF(OR($H131="",$I131=""),0,IF(OR(BF$107&lt;$H131,BF$107&gt;$I131),0,$J131))</f>
        <v>0</v>
      </c>
      <c r="BG131" s="1084">
        <f>IF(OR($H131="",$I131=""),0,IF(OR(BG$107&lt;$H131,BG$107&gt;$I131),0,$J131))</f>
        <v>0</v>
      </c>
      <c r="BH131" s="1084">
        <f>IF(OR($H131="",$I131=""),0,IF(OR(BH$107&lt;$H131,BH$107&gt;$I131),0,$J131))</f>
        <v>0</v>
      </c>
      <c r="BI131" s="1084">
        <f>IF(OR($H131="",$I131=""),0,IF(OR(BI$107&lt;$H131,BI$107&gt;$I131),0,$J131))</f>
        <v>0</v>
      </c>
      <c r="BJ131" s="1084">
        <f>IF(OR($H131="",$I131=""),0,IF(OR(BJ$107&lt;$H131,BJ$107&gt;$I131),0,$J131))</f>
        <v>0</v>
      </c>
      <c r="BK131" s="1084">
        <f>IF(OR($H131="",$I131=""),0,IF(OR(BK$107&lt;$H131,BK$107&gt;$I131),0,$J131))</f>
        <v>0</v>
      </c>
      <c r="BL131" s="1084">
        <f>IF(OR($H131="",$I131=""),0,IF(OR(BL$107&lt;$H131,BL$107&gt;$I131),0,$J131))</f>
        <v>0</v>
      </c>
      <c r="BM131" s="1084">
        <f>IF(OR($H131="",$I131=""),0,IF(OR(BM$107&lt;$H131,BM$107&gt;$I131),0,$J131))</f>
        <v>0</v>
      </c>
      <c r="BN131" s="1084">
        <f>IF(OR($H131="",$I131=""),0,IF(OR(BN$107&lt;$H131,BN$107&gt;$I131),0,$J131))</f>
        <v>0</v>
      </c>
      <c r="BO131" s="1084">
        <f>IF(OR($H131="",$I131=""),0,IF(OR(BO$107&lt;$H131,BO$107&gt;$I131),0,$J131))</f>
        <v>0</v>
      </c>
      <c r="BP131" s="1084">
        <f>IF(OR($H131="",$I131=""),0,IF(OR(BP$107&lt;$H131,BP$107&gt;$I131),0,$J131))</f>
        <v>0</v>
      </c>
      <c r="BQ131" s="1084">
        <f>IF(OR($H131="",$I131=""),0,IF(OR(BQ$107&lt;$H131,BQ$107&gt;$I131),0,$J131))</f>
        <v>0</v>
      </c>
      <c r="BR131" s="1084">
        <f>IF(OR($H131="",$I131=""),0,IF(OR(BR$107&lt;$H131,BR$107&gt;$I131),0,$J131))</f>
        <v>0</v>
      </c>
      <c r="BS131" s="1084">
        <f>IF(OR($H131="",$I131=""),0,IF(OR(BS$107&lt;$H131,BS$107&gt;$I131),0,$J131))</f>
        <v>0</v>
      </c>
      <c r="BT131" s="1084">
        <f>IF(OR($H131="",$I131=""),0,IF(OR(BT$107&lt;$H131,BT$107&gt;$I131),0,$J131))</f>
        <v>0</v>
      </c>
      <c r="BU131" s="1084">
        <f>IF(OR($H131="",$I131=""),0,IF(OR(BU$107&lt;$H131,BU$107&gt;$I131),0,$J131))</f>
        <v>0</v>
      </c>
      <c r="BV131" s="1084">
        <f>IF(OR($H131="",$I131=""),0,IF(OR(BV$107&lt;$H131,BV$107&gt;$I131),0,$J131))</f>
        <v>0</v>
      </c>
      <c r="BW131" s="1085">
        <f>IF(OR($H131="",$I131=""),0,IF(OR(BW$107&lt;$H131,BW$107&gt;$I131),0,$J131))</f>
        <v>0</v>
      </c>
      <c r="DD131" s="131"/>
    </row>
    <row r="132" spans="1:108" s="8" customFormat="1" ht="12" customHeight="1" thickBot="1" x14ac:dyDescent="0.4" hidden="1">
      <c r="A132" s="133">
        <v>25</v>
      </c>
      <c r="B132" s="1711" t="str">
        <f>IF(A132&gt;F$107,"{Can hide row}","")</f>
        <v/>
      </c>
      <c r="C132" s="9" t="str">
        <f>A132&amp;" "</f>
        <v xml:space="preserve">25 </v>
      </c>
      <c r="D132" s="1843"/>
      <c r="E132" s="1844"/>
      <c r="F132" s="1845"/>
      <c r="G132" s="590"/>
      <c r="H132" s="616"/>
      <c r="I132" s="616"/>
      <c r="J132" s="1055">
        <f>IF(I132&lt;&gt;"",1,0)</f>
        <v>0</v>
      </c>
      <c r="K132" s="1050">
        <f>IF(I132&lt;&gt;"",$O$102,0)</f>
        <v>0</v>
      </c>
      <c r="L132" s="1050">
        <f>IF(I132&lt;&gt;"",L131,0)</f>
        <v>0</v>
      </c>
      <c r="M132" s="1049">
        <f>IF(I132&lt;&gt;"",M131,0)</f>
        <v>0</v>
      </c>
      <c r="N132" s="1001"/>
      <c r="P132" s="1083">
        <f>IF(OR($H132="",$I132=""),0,IF(OR(P$107&lt;$H132,P$107&gt;$I132),0,$J132))</f>
        <v>0</v>
      </c>
      <c r="Q132" s="1084">
        <f>IF(OR($H132="",$I132=""),0,IF(OR(Q$107&lt;$H132,Q$107&gt;$I132),0,$J132))</f>
        <v>0</v>
      </c>
      <c r="R132" s="1084">
        <f>IF(OR($H132="",$I132=""),0,IF(OR(R$107&lt;$H132,R$107&gt;$I132),0,$J132))</f>
        <v>0</v>
      </c>
      <c r="S132" s="1084">
        <f>IF(OR($H132="",$I132=""),0,IF(OR(S$107&lt;$H132,S$107&gt;$I132),0,$J132))</f>
        <v>0</v>
      </c>
      <c r="T132" s="1084">
        <f>IF(OR($H132="",$I132=""),0,IF(OR(T$107&lt;$H132,T$107&gt;$I132),0,$J132))</f>
        <v>0</v>
      </c>
      <c r="U132" s="1084">
        <f>IF(OR($H132="",$I132=""),0,IF(OR(U$107&lt;$H132,U$107&gt;$I132),0,$J132))</f>
        <v>0</v>
      </c>
      <c r="V132" s="1084">
        <f>IF(OR($H132="",$I132=""),0,IF(OR(V$107&lt;$H132,V$107&gt;$I132),0,$J132))</f>
        <v>0</v>
      </c>
      <c r="W132" s="1084">
        <f>IF(OR($H132="",$I132=""),0,IF(OR(W$107&lt;$H132,W$107&gt;$I132),0,$J132))</f>
        <v>0</v>
      </c>
      <c r="X132" s="1084">
        <f>IF(OR($H132="",$I132=""),0,IF(OR(X$107&lt;$H132,X$107&gt;$I132),0,$J132))</f>
        <v>0</v>
      </c>
      <c r="Y132" s="1084">
        <f>IF(OR($H132="",$I132=""),0,IF(OR(Y$107&lt;$H132,Y$107&gt;$I132),0,$J132))</f>
        <v>0</v>
      </c>
      <c r="Z132" s="1084">
        <f>IF(OR($H132="",$I132=""),0,IF(OR(Z$107&lt;$H132,Z$107&gt;$I132),0,$J132))</f>
        <v>0</v>
      </c>
      <c r="AA132" s="1084">
        <f>IF(OR($H132="",$I132=""),0,IF(OR(AA$107&lt;$H132,AA$107&gt;$I132),0,$J132))</f>
        <v>0</v>
      </c>
      <c r="AB132" s="1084">
        <f>IF(OR($H132="",$I132=""),0,IF(OR(AB$107&lt;$H132,AB$107&gt;$I132),0,$J132))</f>
        <v>0</v>
      </c>
      <c r="AC132" s="1084">
        <f>IF(OR($H132="",$I132=""),0,IF(OR(AC$107&lt;$H132,AC$107&gt;$I132),0,$J132))</f>
        <v>0</v>
      </c>
      <c r="AD132" s="1084">
        <f>IF(OR($H132="",$I132=""),0,IF(OR(AD$107&lt;$H132,AD$107&gt;$I132),0,$J132))</f>
        <v>0</v>
      </c>
      <c r="AE132" s="1084">
        <f>IF(OR($H132="",$I132=""),0,IF(OR(AE$107&lt;$H132,AE$107&gt;$I132),0,$J132))</f>
        <v>0</v>
      </c>
      <c r="AF132" s="1084">
        <f>IF(OR($H132="",$I132=""),0,IF(OR(AF$107&lt;$H132,AF$107&gt;$I132),0,$J132))</f>
        <v>0</v>
      </c>
      <c r="AG132" s="1084">
        <f>IF(OR($H132="",$I132=""),0,IF(OR(AG$107&lt;$H132,AG$107&gt;$I132),0,$J132))</f>
        <v>0</v>
      </c>
      <c r="AH132" s="1084">
        <f>IF(OR($H132="",$I132=""),0,IF(OR(AH$107&lt;$H132,AH$107&gt;$I132),0,$J132))</f>
        <v>0</v>
      </c>
      <c r="AI132" s="1084">
        <f>IF(OR($H132="",$I132=""),0,IF(OR(AI$107&lt;$H132,AI$107&gt;$I132),0,$J132))</f>
        <v>0</v>
      </c>
      <c r="AJ132" s="1084">
        <f>IF(OR($H132="",$I132=""),0,IF(OR(AJ$107&lt;$H132,AJ$107&gt;$I132),0,$J132))</f>
        <v>0</v>
      </c>
      <c r="AK132" s="1084">
        <f>IF(OR($H132="",$I132=""),0,IF(OR(AK$107&lt;$H132,AK$107&gt;$I132),0,$J132))</f>
        <v>0</v>
      </c>
      <c r="AL132" s="1084">
        <f>IF(OR($H132="",$I132=""),0,IF(OR(AL$107&lt;$H132,AL$107&gt;$I132),0,$J132))</f>
        <v>0</v>
      </c>
      <c r="AM132" s="1084">
        <f>IF(OR($H132="",$I132=""),0,IF(OR(AM$107&lt;$H132,AM$107&gt;$I132),0,$J132))</f>
        <v>0</v>
      </c>
      <c r="AN132" s="1084">
        <f>IF(OR($H132="",$I132=""),0,IF(OR(AN$107&lt;$H132,AN$107&gt;$I132),0,$J132))</f>
        <v>0</v>
      </c>
      <c r="AO132" s="1084">
        <f>IF(OR($H132="",$I132=""),0,IF(OR(AO$107&lt;$H132,AO$107&gt;$I132),0,$J132))</f>
        <v>0</v>
      </c>
      <c r="AP132" s="1084">
        <f>IF(OR($H132="",$I132=""),0,IF(OR(AP$107&lt;$H132,AP$107&gt;$I132),0,$J132))</f>
        <v>0</v>
      </c>
      <c r="AQ132" s="1084">
        <f>IF(OR($H132="",$I132=""),0,IF(OR(AQ$107&lt;$H132,AQ$107&gt;$I132),0,$J132))</f>
        <v>0</v>
      </c>
      <c r="AR132" s="1084">
        <f>IF(OR($H132="",$I132=""),0,IF(OR(AR$107&lt;$H132,AR$107&gt;$I132),0,$J132))</f>
        <v>0</v>
      </c>
      <c r="AS132" s="1084">
        <f>IF(OR($H132="",$I132=""),0,IF(OR(AS$107&lt;$H132,AS$107&gt;$I132),0,$J132))</f>
        <v>0</v>
      </c>
      <c r="AT132" s="1084">
        <f>IF(OR($H132="",$I132=""),0,IF(OR(AT$107&lt;$H132,AT$107&gt;$I132),0,$J132))</f>
        <v>0</v>
      </c>
      <c r="AU132" s="1084">
        <f>IF(OR($H132="",$I132=""),0,IF(OR(AU$107&lt;$H132,AU$107&gt;$I132),0,$J132))</f>
        <v>0</v>
      </c>
      <c r="AV132" s="1084">
        <f>IF(OR($H132="",$I132=""),0,IF(OR(AV$107&lt;$H132,AV$107&gt;$I132),0,$J132))</f>
        <v>0</v>
      </c>
      <c r="AW132" s="1084">
        <f>IF(OR($H132="",$I132=""),0,IF(OR(AW$107&lt;$H132,AW$107&gt;$I132),0,$J132))</f>
        <v>0</v>
      </c>
      <c r="AX132" s="1084">
        <f>IF(OR($H132="",$I132=""),0,IF(OR(AX$107&lt;$H132,AX$107&gt;$I132),0,$J132))</f>
        <v>0</v>
      </c>
      <c r="AY132" s="1085">
        <f>IF(OR($H132="",$I132=""),0,IF(OR(AY$107&lt;$H132,AY$107&gt;$I132),0,$J132))</f>
        <v>0</v>
      </c>
      <c r="AZ132" s="1240">
        <f>IF(OR($H132="",$I132=""),0,IF(OR(AZ$107&lt;$H132,AZ$107&gt;$I132),0,$J132))</f>
        <v>0</v>
      </c>
      <c r="BA132" s="1084">
        <f>IF(OR($H132="",$I132=""),0,IF(OR(BA$107&lt;$H132,BA$107&gt;$I132),0,$J132))</f>
        <v>0</v>
      </c>
      <c r="BB132" s="1084">
        <f>IF(OR($H132="",$I132=""),0,IF(OR(BB$107&lt;$H132,BB$107&gt;$I132),0,$J132))</f>
        <v>0</v>
      </c>
      <c r="BC132" s="1084">
        <f>IF(OR($H132="",$I132=""),0,IF(OR(BC$107&lt;$H132,BC$107&gt;$I132),0,$J132))</f>
        <v>0</v>
      </c>
      <c r="BD132" s="1084">
        <f>IF(OR($H132="",$I132=""),0,IF(OR(BD$107&lt;$H132,BD$107&gt;$I132),0,$J132))</f>
        <v>0</v>
      </c>
      <c r="BE132" s="1084">
        <f>IF(OR($H132="",$I132=""),0,IF(OR(BE$107&lt;$H132,BE$107&gt;$I132),0,$J132))</f>
        <v>0</v>
      </c>
      <c r="BF132" s="1084">
        <f>IF(OR($H132="",$I132=""),0,IF(OR(BF$107&lt;$H132,BF$107&gt;$I132),0,$J132))</f>
        <v>0</v>
      </c>
      <c r="BG132" s="1084">
        <f>IF(OR($H132="",$I132=""),0,IF(OR(BG$107&lt;$H132,BG$107&gt;$I132),0,$J132))</f>
        <v>0</v>
      </c>
      <c r="BH132" s="1084">
        <f>IF(OR($H132="",$I132=""),0,IF(OR(BH$107&lt;$H132,BH$107&gt;$I132),0,$J132))</f>
        <v>0</v>
      </c>
      <c r="BI132" s="1084">
        <f>IF(OR($H132="",$I132=""),0,IF(OR(BI$107&lt;$H132,BI$107&gt;$I132),0,$J132))</f>
        <v>0</v>
      </c>
      <c r="BJ132" s="1084">
        <f>IF(OR($H132="",$I132=""),0,IF(OR(BJ$107&lt;$H132,BJ$107&gt;$I132),0,$J132))</f>
        <v>0</v>
      </c>
      <c r="BK132" s="1084">
        <f>IF(OR($H132="",$I132=""),0,IF(OR(BK$107&lt;$H132,BK$107&gt;$I132),0,$J132))</f>
        <v>0</v>
      </c>
      <c r="BL132" s="1084">
        <f>IF(OR($H132="",$I132=""),0,IF(OR(BL$107&lt;$H132,BL$107&gt;$I132),0,$J132))</f>
        <v>0</v>
      </c>
      <c r="BM132" s="1084">
        <f>IF(OR($H132="",$I132=""),0,IF(OR(BM$107&lt;$H132,BM$107&gt;$I132),0,$J132))</f>
        <v>0</v>
      </c>
      <c r="BN132" s="1084">
        <f>IF(OR($H132="",$I132=""),0,IF(OR(BN$107&lt;$H132,BN$107&gt;$I132),0,$J132))</f>
        <v>0</v>
      </c>
      <c r="BO132" s="1084">
        <f>IF(OR($H132="",$I132=""),0,IF(OR(BO$107&lt;$H132,BO$107&gt;$I132),0,$J132))</f>
        <v>0</v>
      </c>
      <c r="BP132" s="1084">
        <f>IF(OR($H132="",$I132=""),0,IF(OR(BP$107&lt;$H132,BP$107&gt;$I132),0,$J132))</f>
        <v>0</v>
      </c>
      <c r="BQ132" s="1084">
        <f>IF(OR($H132="",$I132=""),0,IF(OR(BQ$107&lt;$H132,BQ$107&gt;$I132),0,$J132))</f>
        <v>0</v>
      </c>
      <c r="BR132" s="1084">
        <f>IF(OR($H132="",$I132=""),0,IF(OR(BR$107&lt;$H132,BR$107&gt;$I132),0,$J132))</f>
        <v>0</v>
      </c>
      <c r="BS132" s="1084">
        <f>IF(OR($H132="",$I132=""),0,IF(OR(BS$107&lt;$H132,BS$107&gt;$I132),0,$J132))</f>
        <v>0</v>
      </c>
      <c r="BT132" s="1084">
        <f>IF(OR($H132="",$I132=""),0,IF(OR(BT$107&lt;$H132,BT$107&gt;$I132),0,$J132))</f>
        <v>0</v>
      </c>
      <c r="BU132" s="1084">
        <f>IF(OR($H132="",$I132=""),0,IF(OR(BU$107&lt;$H132,BU$107&gt;$I132),0,$J132))</f>
        <v>0</v>
      </c>
      <c r="BV132" s="1084">
        <f>IF(OR($H132="",$I132=""),0,IF(OR(BV$107&lt;$H132,BV$107&gt;$I132),0,$J132))</f>
        <v>0</v>
      </c>
      <c r="BW132" s="1085">
        <f>IF(OR($H132="",$I132=""),0,IF(OR(BW$107&lt;$H132,BW$107&gt;$I132),0,$J132))</f>
        <v>0</v>
      </c>
      <c r="DD132" s="131"/>
    </row>
    <row r="133" spans="1:108" s="8" customFormat="1" ht="12" customHeight="1" thickBot="1" x14ac:dyDescent="0.4" hidden="1">
      <c r="A133" s="133">
        <v>26</v>
      </c>
      <c r="B133" s="1711" t="str">
        <f>IF(A133&gt;F$107,"{Can hide row}","")</f>
        <v/>
      </c>
      <c r="C133" s="9" t="str">
        <f>A133&amp;" "</f>
        <v xml:space="preserve">26 </v>
      </c>
      <c r="D133" s="1843"/>
      <c r="E133" s="1844"/>
      <c r="F133" s="1845"/>
      <c r="G133" s="590"/>
      <c r="H133" s="616"/>
      <c r="I133" s="616"/>
      <c r="J133" s="1055">
        <f>IF(I133&lt;&gt;"",1,0)</f>
        <v>0</v>
      </c>
      <c r="K133" s="1050">
        <f>IF(I133&lt;&gt;"",$O$102,0)</f>
        <v>0</v>
      </c>
      <c r="L133" s="1050">
        <f>IF(I133&lt;&gt;"",L132,0)</f>
        <v>0</v>
      </c>
      <c r="M133" s="1049">
        <f>IF(I133&lt;&gt;"",M132,0)</f>
        <v>0</v>
      </c>
      <c r="N133" s="1001"/>
      <c r="P133" s="1083">
        <f>IF(OR($H133="",$I133=""),0,IF(OR(P$107&lt;$H133,P$107&gt;$I133),0,$J133))</f>
        <v>0</v>
      </c>
      <c r="Q133" s="1084">
        <f>IF(OR($H133="",$I133=""),0,IF(OR(Q$107&lt;$H133,Q$107&gt;$I133),0,$J133))</f>
        <v>0</v>
      </c>
      <c r="R133" s="1084">
        <f>IF(OR($H133="",$I133=""),0,IF(OR(R$107&lt;$H133,R$107&gt;$I133),0,$J133))</f>
        <v>0</v>
      </c>
      <c r="S133" s="1084">
        <f>IF(OR($H133="",$I133=""),0,IF(OR(S$107&lt;$H133,S$107&gt;$I133),0,$J133))</f>
        <v>0</v>
      </c>
      <c r="T133" s="1084">
        <f>IF(OR($H133="",$I133=""),0,IF(OR(T$107&lt;$H133,T$107&gt;$I133),0,$J133))</f>
        <v>0</v>
      </c>
      <c r="U133" s="1084">
        <f>IF(OR($H133="",$I133=""),0,IF(OR(U$107&lt;$H133,U$107&gt;$I133),0,$J133))</f>
        <v>0</v>
      </c>
      <c r="V133" s="1084">
        <f>IF(OR($H133="",$I133=""),0,IF(OR(V$107&lt;$H133,V$107&gt;$I133),0,$J133))</f>
        <v>0</v>
      </c>
      <c r="W133" s="1084">
        <f>IF(OR($H133="",$I133=""),0,IF(OR(W$107&lt;$H133,W$107&gt;$I133),0,$J133))</f>
        <v>0</v>
      </c>
      <c r="X133" s="1084">
        <f>IF(OR($H133="",$I133=""),0,IF(OR(X$107&lt;$H133,X$107&gt;$I133),0,$J133))</f>
        <v>0</v>
      </c>
      <c r="Y133" s="1084">
        <f>IF(OR($H133="",$I133=""),0,IF(OR(Y$107&lt;$H133,Y$107&gt;$I133),0,$J133))</f>
        <v>0</v>
      </c>
      <c r="Z133" s="1084">
        <f>IF(OR($H133="",$I133=""),0,IF(OR(Z$107&lt;$H133,Z$107&gt;$I133),0,$J133))</f>
        <v>0</v>
      </c>
      <c r="AA133" s="1084">
        <f>IF(OR($H133="",$I133=""),0,IF(OR(AA$107&lt;$H133,AA$107&gt;$I133),0,$J133))</f>
        <v>0</v>
      </c>
      <c r="AB133" s="1084">
        <f>IF(OR($H133="",$I133=""),0,IF(OR(AB$107&lt;$H133,AB$107&gt;$I133),0,$J133))</f>
        <v>0</v>
      </c>
      <c r="AC133" s="1084">
        <f>IF(OR($H133="",$I133=""),0,IF(OR(AC$107&lt;$H133,AC$107&gt;$I133),0,$J133))</f>
        <v>0</v>
      </c>
      <c r="AD133" s="1084">
        <f>IF(OR($H133="",$I133=""),0,IF(OR(AD$107&lt;$H133,AD$107&gt;$I133),0,$J133))</f>
        <v>0</v>
      </c>
      <c r="AE133" s="1084">
        <f>IF(OR($H133="",$I133=""),0,IF(OR(AE$107&lt;$H133,AE$107&gt;$I133),0,$J133))</f>
        <v>0</v>
      </c>
      <c r="AF133" s="1084">
        <f>IF(OR($H133="",$I133=""),0,IF(OR(AF$107&lt;$H133,AF$107&gt;$I133),0,$J133))</f>
        <v>0</v>
      </c>
      <c r="AG133" s="1084">
        <f>IF(OR($H133="",$I133=""),0,IF(OR(AG$107&lt;$H133,AG$107&gt;$I133),0,$J133))</f>
        <v>0</v>
      </c>
      <c r="AH133" s="1084">
        <f>IF(OR($H133="",$I133=""),0,IF(OR(AH$107&lt;$H133,AH$107&gt;$I133),0,$J133))</f>
        <v>0</v>
      </c>
      <c r="AI133" s="1084">
        <f>IF(OR($H133="",$I133=""),0,IF(OR(AI$107&lt;$H133,AI$107&gt;$I133),0,$J133))</f>
        <v>0</v>
      </c>
      <c r="AJ133" s="1084">
        <f>IF(OR($H133="",$I133=""),0,IF(OR(AJ$107&lt;$H133,AJ$107&gt;$I133),0,$J133))</f>
        <v>0</v>
      </c>
      <c r="AK133" s="1084">
        <f>IF(OR($H133="",$I133=""),0,IF(OR(AK$107&lt;$H133,AK$107&gt;$I133),0,$J133))</f>
        <v>0</v>
      </c>
      <c r="AL133" s="1084">
        <f>IF(OR($H133="",$I133=""),0,IF(OR(AL$107&lt;$H133,AL$107&gt;$I133),0,$J133))</f>
        <v>0</v>
      </c>
      <c r="AM133" s="1084">
        <f>IF(OR($H133="",$I133=""),0,IF(OR(AM$107&lt;$H133,AM$107&gt;$I133),0,$J133))</f>
        <v>0</v>
      </c>
      <c r="AN133" s="1084">
        <f>IF(OR($H133="",$I133=""),0,IF(OR(AN$107&lt;$H133,AN$107&gt;$I133),0,$J133))</f>
        <v>0</v>
      </c>
      <c r="AO133" s="1084">
        <f>IF(OR($H133="",$I133=""),0,IF(OR(AO$107&lt;$H133,AO$107&gt;$I133),0,$J133))</f>
        <v>0</v>
      </c>
      <c r="AP133" s="1084">
        <f>IF(OR($H133="",$I133=""),0,IF(OR(AP$107&lt;$H133,AP$107&gt;$I133),0,$J133))</f>
        <v>0</v>
      </c>
      <c r="AQ133" s="1084">
        <f>IF(OR($H133="",$I133=""),0,IF(OR(AQ$107&lt;$H133,AQ$107&gt;$I133),0,$J133))</f>
        <v>0</v>
      </c>
      <c r="AR133" s="1084">
        <f>IF(OR($H133="",$I133=""),0,IF(OR(AR$107&lt;$H133,AR$107&gt;$I133),0,$J133))</f>
        <v>0</v>
      </c>
      <c r="AS133" s="1084">
        <f>IF(OR($H133="",$I133=""),0,IF(OR(AS$107&lt;$H133,AS$107&gt;$I133),0,$J133))</f>
        <v>0</v>
      </c>
      <c r="AT133" s="1084">
        <f>IF(OR($H133="",$I133=""),0,IF(OR(AT$107&lt;$H133,AT$107&gt;$I133),0,$J133))</f>
        <v>0</v>
      </c>
      <c r="AU133" s="1084">
        <f>IF(OR($H133="",$I133=""),0,IF(OR(AU$107&lt;$H133,AU$107&gt;$I133),0,$J133))</f>
        <v>0</v>
      </c>
      <c r="AV133" s="1084">
        <f>IF(OR($H133="",$I133=""),0,IF(OR(AV$107&lt;$H133,AV$107&gt;$I133),0,$J133))</f>
        <v>0</v>
      </c>
      <c r="AW133" s="1084">
        <f>IF(OR($H133="",$I133=""),0,IF(OR(AW$107&lt;$H133,AW$107&gt;$I133),0,$J133))</f>
        <v>0</v>
      </c>
      <c r="AX133" s="1084">
        <f>IF(OR($H133="",$I133=""),0,IF(OR(AX$107&lt;$H133,AX$107&gt;$I133),0,$J133))</f>
        <v>0</v>
      </c>
      <c r="AY133" s="1085">
        <f>IF(OR($H133="",$I133=""),0,IF(OR(AY$107&lt;$H133,AY$107&gt;$I133),0,$J133))</f>
        <v>0</v>
      </c>
      <c r="AZ133" s="1240">
        <f>IF(OR($H133="",$I133=""),0,IF(OR(AZ$107&lt;$H133,AZ$107&gt;$I133),0,$J133))</f>
        <v>0</v>
      </c>
      <c r="BA133" s="1084">
        <f>IF(OR($H133="",$I133=""),0,IF(OR(BA$107&lt;$H133,BA$107&gt;$I133),0,$J133))</f>
        <v>0</v>
      </c>
      <c r="BB133" s="1084">
        <f>IF(OR($H133="",$I133=""),0,IF(OR(BB$107&lt;$H133,BB$107&gt;$I133),0,$J133))</f>
        <v>0</v>
      </c>
      <c r="BC133" s="1084">
        <f>IF(OR($H133="",$I133=""),0,IF(OR(BC$107&lt;$H133,BC$107&gt;$I133),0,$J133))</f>
        <v>0</v>
      </c>
      <c r="BD133" s="1084">
        <f>IF(OR($H133="",$I133=""),0,IF(OR(BD$107&lt;$H133,BD$107&gt;$I133),0,$J133))</f>
        <v>0</v>
      </c>
      <c r="BE133" s="1084">
        <f>IF(OR($H133="",$I133=""),0,IF(OR(BE$107&lt;$H133,BE$107&gt;$I133),0,$J133))</f>
        <v>0</v>
      </c>
      <c r="BF133" s="1084">
        <f>IF(OR($H133="",$I133=""),0,IF(OR(BF$107&lt;$H133,BF$107&gt;$I133),0,$J133))</f>
        <v>0</v>
      </c>
      <c r="BG133" s="1084">
        <f>IF(OR($H133="",$I133=""),0,IF(OR(BG$107&lt;$H133,BG$107&gt;$I133),0,$J133))</f>
        <v>0</v>
      </c>
      <c r="BH133" s="1084">
        <f>IF(OR($H133="",$I133=""),0,IF(OR(BH$107&lt;$H133,BH$107&gt;$I133),0,$J133))</f>
        <v>0</v>
      </c>
      <c r="BI133" s="1084">
        <f>IF(OR($H133="",$I133=""),0,IF(OR(BI$107&lt;$H133,BI$107&gt;$I133),0,$J133))</f>
        <v>0</v>
      </c>
      <c r="BJ133" s="1084">
        <f>IF(OR($H133="",$I133=""),0,IF(OR(BJ$107&lt;$H133,BJ$107&gt;$I133),0,$J133))</f>
        <v>0</v>
      </c>
      <c r="BK133" s="1084">
        <f>IF(OR($H133="",$I133=""),0,IF(OR(BK$107&lt;$H133,BK$107&gt;$I133),0,$J133))</f>
        <v>0</v>
      </c>
      <c r="BL133" s="1084">
        <f>IF(OR($H133="",$I133=""),0,IF(OR(BL$107&lt;$H133,BL$107&gt;$I133),0,$J133))</f>
        <v>0</v>
      </c>
      <c r="BM133" s="1084">
        <f>IF(OR($H133="",$I133=""),0,IF(OR(BM$107&lt;$H133,BM$107&gt;$I133),0,$J133))</f>
        <v>0</v>
      </c>
      <c r="BN133" s="1084">
        <f>IF(OR($H133="",$I133=""),0,IF(OR(BN$107&lt;$H133,BN$107&gt;$I133),0,$J133))</f>
        <v>0</v>
      </c>
      <c r="BO133" s="1084">
        <f>IF(OR($H133="",$I133=""),0,IF(OR(BO$107&lt;$H133,BO$107&gt;$I133),0,$J133))</f>
        <v>0</v>
      </c>
      <c r="BP133" s="1084">
        <f>IF(OR($H133="",$I133=""),0,IF(OR(BP$107&lt;$H133,BP$107&gt;$I133),0,$J133))</f>
        <v>0</v>
      </c>
      <c r="BQ133" s="1084">
        <f>IF(OR($H133="",$I133=""),0,IF(OR(BQ$107&lt;$H133,BQ$107&gt;$I133),0,$J133))</f>
        <v>0</v>
      </c>
      <c r="BR133" s="1084">
        <f>IF(OR($H133="",$I133=""),0,IF(OR(BR$107&lt;$H133,BR$107&gt;$I133),0,$J133))</f>
        <v>0</v>
      </c>
      <c r="BS133" s="1084">
        <f>IF(OR($H133="",$I133=""),0,IF(OR(BS$107&lt;$H133,BS$107&gt;$I133),0,$J133))</f>
        <v>0</v>
      </c>
      <c r="BT133" s="1084">
        <f>IF(OR($H133="",$I133=""),0,IF(OR(BT$107&lt;$H133,BT$107&gt;$I133),0,$J133))</f>
        <v>0</v>
      </c>
      <c r="BU133" s="1084">
        <f>IF(OR($H133="",$I133=""),0,IF(OR(BU$107&lt;$H133,BU$107&gt;$I133),0,$J133))</f>
        <v>0</v>
      </c>
      <c r="BV133" s="1084">
        <f>IF(OR($H133="",$I133=""),0,IF(OR(BV$107&lt;$H133,BV$107&gt;$I133),0,$J133))</f>
        <v>0</v>
      </c>
      <c r="BW133" s="1085">
        <f>IF(OR($H133="",$I133=""),0,IF(OR(BW$107&lt;$H133,BW$107&gt;$I133),0,$J133))</f>
        <v>0</v>
      </c>
      <c r="DD133" s="131"/>
    </row>
    <row r="134" spans="1:108" s="8" customFormat="1" ht="12" customHeight="1" thickBot="1" x14ac:dyDescent="0.4" hidden="1">
      <c r="A134" s="133">
        <v>27</v>
      </c>
      <c r="B134" s="1711" t="str">
        <f>IF(A134&gt;F$107,"{Can hide row}","")</f>
        <v/>
      </c>
      <c r="C134" s="9" t="str">
        <f>A134&amp;" "</f>
        <v xml:space="preserve">27 </v>
      </c>
      <c r="D134" s="1843"/>
      <c r="E134" s="1844"/>
      <c r="F134" s="1845"/>
      <c r="G134" s="590"/>
      <c r="H134" s="616"/>
      <c r="I134" s="616"/>
      <c r="J134" s="1055">
        <f>IF(I134&lt;&gt;"",1,0)</f>
        <v>0</v>
      </c>
      <c r="K134" s="1050">
        <f>IF(I134&lt;&gt;"",$O$102,0)</f>
        <v>0</v>
      </c>
      <c r="L134" s="1050">
        <f>IF(I134&lt;&gt;"",L133,0)</f>
        <v>0</v>
      </c>
      <c r="M134" s="1049">
        <f>IF(I134&lt;&gt;"",M133,0)</f>
        <v>0</v>
      </c>
      <c r="N134" s="1001"/>
      <c r="P134" s="1083">
        <f>IF(OR($H134="",$I134=""),0,IF(OR(P$107&lt;$H134,P$107&gt;$I134),0,$J134))</f>
        <v>0</v>
      </c>
      <c r="Q134" s="1084">
        <f>IF(OR($H134="",$I134=""),0,IF(OR(Q$107&lt;$H134,Q$107&gt;$I134),0,$J134))</f>
        <v>0</v>
      </c>
      <c r="R134" s="1084">
        <f>IF(OR($H134="",$I134=""),0,IF(OR(R$107&lt;$H134,R$107&gt;$I134),0,$J134))</f>
        <v>0</v>
      </c>
      <c r="S134" s="1084">
        <f>IF(OR($H134="",$I134=""),0,IF(OR(S$107&lt;$H134,S$107&gt;$I134),0,$J134))</f>
        <v>0</v>
      </c>
      <c r="T134" s="1084">
        <f>IF(OR($H134="",$I134=""),0,IF(OR(T$107&lt;$H134,T$107&gt;$I134),0,$J134))</f>
        <v>0</v>
      </c>
      <c r="U134" s="1084">
        <f>IF(OR($H134="",$I134=""),0,IF(OR(U$107&lt;$H134,U$107&gt;$I134),0,$J134))</f>
        <v>0</v>
      </c>
      <c r="V134" s="1084">
        <f>IF(OR($H134="",$I134=""),0,IF(OR(V$107&lt;$H134,V$107&gt;$I134),0,$J134))</f>
        <v>0</v>
      </c>
      <c r="W134" s="1084">
        <f>IF(OR($H134="",$I134=""),0,IF(OR(W$107&lt;$H134,W$107&gt;$I134),0,$J134))</f>
        <v>0</v>
      </c>
      <c r="X134" s="1084">
        <f>IF(OR($H134="",$I134=""),0,IF(OR(X$107&lt;$H134,X$107&gt;$I134),0,$J134))</f>
        <v>0</v>
      </c>
      <c r="Y134" s="1084">
        <f>IF(OR($H134="",$I134=""),0,IF(OR(Y$107&lt;$H134,Y$107&gt;$I134),0,$J134))</f>
        <v>0</v>
      </c>
      <c r="Z134" s="1084">
        <f>IF(OR($H134="",$I134=""),0,IF(OR(Z$107&lt;$H134,Z$107&gt;$I134),0,$J134))</f>
        <v>0</v>
      </c>
      <c r="AA134" s="1084">
        <f>IF(OR($H134="",$I134=""),0,IF(OR(AA$107&lt;$H134,AA$107&gt;$I134),0,$J134))</f>
        <v>0</v>
      </c>
      <c r="AB134" s="1084">
        <f>IF(OR($H134="",$I134=""),0,IF(OR(AB$107&lt;$H134,AB$107&gt;$I134),0,$J134))</f>
        <v>0</v>
      </c>
      <c r="AC134" s="1084">
        <f>IF(OR($H134="",$I134=""),0,IF(OR(AC$107&lt;$H134,AC$107&gt;$I134),0,$J134))</f>
        <v>0</v>
      </c>
      <c r="AD134" s="1084">
        <f>IF(OR($H134="",$I134=""),0,IF(OR(AD$107&lt;$H134,AD$107&gt;$I134),0,$J134))</f>
        <v>0</v>
      </c>
      <c r="AE134" s="1084">
        <f>IF(OR($H134="",$I134=""),0,IF(OR(AE$107&lt;$H134,AE$107&gt;$I134),0,$J134))</f>
        <v>0</v>
      </c>
      <c r="AF134" s="1084">
        <f>IF(OR($H134="",$I134=""),0,IF(OR(AF$107&lt;$H134,AF$107&gt;$I134),0,$J134))</f>
        <v>0</v>
      </c>
      <c r="AG134" s="1084">
        <f>IF(OR($H134="",$I134=""),0,IF(OR(AG$107&lt;$H134,AG$107&gt;$I134),0,$J134))</f>
        <v>0</v>
      </c>
      <c r="AH134" s="1084">
        <f>IF(OR($H134="",$I134=""),0,IF(OR(AH$107&lt;$H134,AH$107&gt;$I134),0,$J134))</f>
        <v>0</v>
      </c>
      <c r="AI134" s="1084">
        <f>IF(OR($H134="",$I134=""),0,IF(OR(AI$107&lt;$H134,AI$107&gt;$I134),0,$J134))</f>
        <v>0</v>
      </c>
      <c r="AJ134" s="1084">
        <f>IF(OR($H134="",$I134=""),0,IF(OR(AJ$107&lt;$H134,AJ$107&gt;$I134),0,$J134))</f>
        <v>0</v>
      </c>
      <c r="AK134" s="1084">
        <f>IF(OR($H134="",$I134=""),0,IF(OR(AK$107&lt;$H134,AK$107&gt;$I134),0,$J134))</f>
        <v>0</v>
      </c>
      <c r="AL134" s="1084">
        <f>IF(OR($H134="",$I134=""),0,IF(OR(AL$107&lt;$H134,AL$107&gt;$I134),0,$J134))</f>
        <v>0</v>
      </c>
      <c r="AM134" s="1084">
        <f>IF(OR($H134="",$I134=""),0,IF(OR(AM$107&lt;$H134,AM$107&gt;$I134),0,$J134))</f>
        <v>0</v>
      </c>
      <c r="AN134" s="1084">
        <f>IF(OR($H134="",$I134=""),0,IF(OR(AN$107&lt;$H134,AN$107&gt;$I134),0,$J134))</f>
        <v>0</v>
      </c>
      <c r="AO134" s="1084">
        <f>IF(OR($H134="",$I134=""),0,IF(OR(AO$107&lt;$H134,AO$107&gt;$I134),0,$J134))</f>
        <v>0</v>
      </c>
      <c r="AP134" s="1084">
        <f>IF(OR($H134="",$I134=""),0,IF(OR(AP$107&lt;$H134,AP$107&gt;$I134),0,$J134))</f>
        <v>0</v>
      </c>
      <c r="AQ134" s="1084">
        <f>IF(OR($H134="",$I134=""),0,IF(OR(AQ$107&lt;$H134,AQ$107&gt;$I134),0,$J134))</f>
        <v>0</v>
      </c>
      <c r="AR134" s="1084">
        <f>IF(OR($H134="",$I134=""),0,IF(OR(AR$107&lt;$H134,AR$107&gt;$I134),0,$J134))</f>
        <v>0</v>
      </c>
      <c r="AS134" s="1084">
        <f>IF(OR($H134="",$I134=""),0,IF(OR(AS$107&lt;$H134,AS$107&gt;$I134),0,$J134))</f>
        <v>0</v>
      </c>
      <c r="AT134" s="1084">
        <f>IF(OR($H134="",$I134=""),0,IF(OR(AT$107&lt;$H134,AT$107&gt;$I134),0,$J134))</f>
        <v>0</v>
      </c>
      <c r="AU134" s="1084">
        <f>IF(OR($H134="",$I134=""),0,IF(OR(AU$107&lt;$H134,AU$107&gt;$I134),0,$J134))</f>
        <v>0</v>
      </c>
      <c r="AV134" s="1084">
        <f>IF(OR($H134="",$I134=""),0,IF(OR(AV$107&lt;$H134,AV$107&gt;$I134),0,$J134))</f>
        <v>0</v>
      </c>
      <c r="AW134" s="1084">
        <f>IF(OR($H134="",$I134=""),0,IF(OR(AW$107&lt;$H134,AW$107&gt;$I134),0,$J134))</f>
        <v>0</v>
      </c>
      <c r="AX134" s="1084">
        <f>IF(OR($H134="",$I134=""),0,IF(OR(AX$107&lt;$H134,AX$107&gt;$I134),0,$J134))</f>
        <v>0</v>
      </c>
      <c r="AY134" s="1085">
        <f>IF(OR($H134="",$I134=""),0,IF(OR(AY$107&lt;$H134,AY$107&gt;$I134),0,$J134))</f>
        <v>0</v>
      </c>
      <c r="AZ134" s="1240">
        <f>IF(OR($H134="",$I134=""),0,IF(OR(AZ$107&lt;$H134,AZ$107&gt;$I134),0,$J134))</f>
        <v>0</v>
      </c>
      <c r="BA134" s="1084">
        <f>IF(OR($H134="",$I134=""),0,IF(OR(BA$107&lt;$H134,BA$107&gt;$I134),0,$J134))</f>
        <v>0</v>
      </c>
      <c r="BB134" s="1084">
        <f>IF(OR($H134="",$I134=""),0,IF(OR(BB$107&lt;$H134,BB$107&gt;$I134),0,$J134))</f>
        <v>0</v>
      </c>
      <c r="BC134" s="1084">
        <f>IF(OR($H134="",$I134=""),0,IF(OR(BC$107&lt;$H134,BC$107&gt;$I134),0,$J134))</f>
        <v>0</v>
      </c>
      <c r="BD134" s="1084">
        <f>IF(OR($H134="",$I134=""),0,IF(OR(BD$107&lt;$H134,BD$107&gt;$I134),0,$J134))</f>
        <v>0</v>
      </c>
      <c r="BE134" s="1084">
        <f>IF(OR($H134="",$I134=""),0,IF(OR(BE$107&lt;$H134,BE$107&gt;$I134),0,$J134))</f>
        <v>0</v>
      </c>
      <c r="BF134" s="1084">
        <f>IF(OR($H134="",$I134=""),0,IF(OR(BF$107&lt;$H134,BF$107&gt;$I134),0,$J134))</f>
        <v>0</v>
      </c>
      <c r="BG134" s="1084">
        <f>IF(OR($H134="",$I134=""),0,IF(OR(BG$107&lt;$H134,BG$107&gt;$I134),0,$J134))</f>
        <v>0</v>
      </c>
      <c r="BH134" s="1084">
        <f>IF(OR($H134="",$I134=""),0,IF(OR(BH$107&lt;$H134,BH$107&gt;$I134),0,$J134))</f>
        <v>0</v>
      </c>
      <c r="BI134" s="1084">
        <f>IF(OR($H134="",$I134=""),0,IF(OR(BI$107&lt;$H134,BI$107&gt;$I134),0,$J134))</f>
        <v>0</v>
      </c>
      <c r="BJ134" s="1084">
        <f>IF(OR($H134="",$I134=""),0,IF(OR(BJ$107&lt;$H134,BJ$107&gt;$I134),0,$J134))</f>
        <v>0</v>
      </c>
      <c r="BK134" s="1084">
        <f>IF(OR($H134="",$I134=""),0,IF(OR(BK$107&lt;$H134,BK$107&gt;$I134),0,$J134))</f>
        <v>0</v>
      </c>
      <c r="BL134" s="1084">
        <f>IF(OR($H134="",$I134=""),0,IF(OR(BL$107&lt;$H134,BL$107&gt;$I134),0,$J134))</f>
        <v>0</v>
      </c>
      <c r="BM134" s="1084">
        <f>IF(OR($H134="",$I134=""),0,IF(OR(BM$107&lt;$H134,BM$107&gt;$I134),0,$J134))</f>
        <v>0</v>
      </c>
      <c r="BN134" s="1084">
        <f>IF(OR($H134="",$I134=""),0,IF(OR(BN$107&lt;$H134,BN$107&gt;$I134),0,$J134))</f>
        <v>0</v>
      </c>
      <c r="BO134" s="1084">
        <f>IF(OR($H134="",$I134=""),0,IF(OR(BO$107&lt;$H134,BO$107&gt;$I134),0,$J134))</f>
        <v>0</v>
      </c>
      <c r="BP134" s="1084">
        <f>IF(OR($H134="",$I134=""),0,IF(OR(BP$107&lt;$H134,BP$107&gt;$I134),0,$J134))</f>
        <v>0</v>
      </c>
      <c r="BQ134" s="1084">
        <f>IF(OR($H134="",$I134=""),0,IF(OR(BQ$107&lt;$H134,BQ$107&gt;$I134),0,$J134))</f>
        <v>0</v>
      </c>
      <c r="BR134" s="1084">
        <f>IF(OR($H134="",$I134=""),0,IF(OR(BR$107&lt;$H134,BR$107&gt;$I134),0,$J134))</f>
        <v>0</v>
      </c>
      <c r="BS134" s="1084">
        <f>IF(OR($H134="",$I134=""),0,IF(OR(BS$107&lt;$H134,BS$107&gt;$I134),0,$J134))</f>
        <v>0</v>
      </c>
      <c r="BT134" s="1084">
        <f>IF(OR($H134="",$I134=""),0,IF(OR(BT$107&lt;$H134,BT$107&gt;$I134),0,$J134))</f>
        <v>0</v>
      </c>
      <c r="BU134" s="1084">
        <f>IF(OR($H134="",$I134=""),0,IF(OR(BU$107&lt;$H134,BU$107&gt;$I134),0,$J134))</f>
        <v>0</v>
      </c>
      <c r="BV134" s="1084">
        <f>IF(OR($H134="",$I134=""),0,IF(OR(BV$107&lt;$H134,BV$107&gt;$I134),0,$J134))</f>
        <v>0</v>
      </c>
      <c r="BW134" s="1085">
        <f>IF(OR($H134="",$I134=""),0,IF(OR(BW$107&lt;$H134,BW$107&gt;$I134),0,$J134))</f>
        <v>0</v>
      </c>
      <c r="DD134" s="131"/>
    </row>
    <row r="135" spans="1:108" s="8" customFormat="1" ht="12" customHeight="1" thickBot="1" x14ac:dyDescent="0.4" hidden="1">
      <c r="A135" s="133">
        <v>28</v>
      </c>
      <c r="B135" s="1711" t="str">
        <f>IF(A135&gt;F$107,"{Can hide row}","")</f>
        <v/>
      </c>
      <c r="C135" s="9" t="str">
        <f>A135&amp;" "</f>
        <v xml:space="preserve">28 </v>
      </c>
      <c r="D135" s="1843"/>
      <c r="E135" s="1844"/>
      <c r="F135" s="1845"/>
      <c r="G135" s="590"/>
      <c r="H135" s="616"/>
      <c r="I135" s="616"/>
      <c r="J135" s="1055">
        <f>IF(I135&lt;&gt;"",1,0)</f>
        <v>0</v>
      </c>
      <c r="K135" s="1050">
        <f>IF(I135&lt;&gt;"",$O$102,0)</f>
        <v>0</v>
      </c>
      <c r="L135" s="1050">
        <f>IF(I135&lt;&gt;"",L134,0)</f>
        <v>0</v>
      </c>
      <c r="M135" s="1049">
        <f>IF(I135&lt;&gt;"",M134,0)</f>
        <v>0</v>
      </c>
      <c r="N135" s="1001"/>
      <c r="P135" s="1083">
        <f>IF(OR($H135="",$I135=""),0,IF(OR(P$107&lt;$H135,P$107&gt;$I135),0,$J135))</f>
        <v>0</v>
      </c>
      <c r="Q135" s="1084">
        <f>IF(OR($H135="",$I135=""),0,IF(OR(Q$107&lt;$H135,Q$107&gt;$I135),0,$J135))</f>
        <v>0</v>
      </c>
      <c r="R135" s="1084">
        <f>IF(OR($H135="",$I135=""),0,IF(OR(R$107&lt;$H135,R$107&gt;$I135),0,$J135))</f>
        <v>0</v>
      </c>
      <c r="S135" s="1084">
        <f>IF(OR($H135="",$I135=""),0,IF(OR(S$107&lt;$H135,S$107&gt;$I135),0,$J135))</f>
        <v>0</v>
      </c>
      <c r="T135" s="1084">
        <f>IF(OR($H135="",$I135=""),0,IF(OR(T$107&lt;$H135,T$107&gt;$I135),0,$J135))</f>
        <v>0</v>
      </c>
      <c r="U135" s="1084">
        <f>IF(OR($H135="",$I135=""),0,IF(OR(U$107&lt;$H135,U$107&gt;$I135),0,$J135))</f>
        <v>0</v>
      </c>
      <c r="V135" s="1084">
        <f>IF(OR($H135="",$I135=""),0,IF(OR(V$107&lt;$H135,V$107&gt;$I135),0,$J135))</f>
        <v>0</v>
      </c>
      <c r="W135" s="1084">
        <f>IF(OR($H135="",$I135=""),0,IF(OR(W$107&lt;$H135,W$107&gt;$I135),0,$J135))</f>
        <v>0</v>
      </c>
      <c r="X135" s="1084">
        <f>IF(OR($H135="",$I135=""),0,IF(OR(X$107&lt;$H135,X$107&gt;$I135),0,$J135))</f>
        <v>0</v>
      </c>
      <c r="Y135" s="1084">
        <f>IF(OR($H135="",$I135=""),0,IF(OR(Y$107&lt;$H135,Y$107&gt;$I135),0,$J135))</f>
        <v>0</v>
      </c>
      <c r="Z135" s="1084">
        <f>IF(OR($H135="",$I135=""),0,IF(OR(Z$107&lt;$H135,Z$107&gt;$I135),0,$J135))</f>
        <v>0</v>
      </c>
      <c r="AA135" s="1084">
        <f>IF(OR($H135="",$I135=""),0,IF(OR(AA$107&lt;$H135,AA$107&gt;$I135),0,$J135))</f>
        <v>0</v>
      </c>
      <c r="AB135" s="1084">
        <f>IF(OR($H135="",$I135=""),0,IF(OR(AB$107&lt;$H135,AB$107&gt;$I135),0,$J135))</f>
        <v>0</v>
      </c>
      <c r="AC135" s="1084">
        <f>IF(OR($H135="",$I135=""),0,IF(OR(AC$107&lt;$H135,AC$107&gt;$I135),0,$J135))</f>
        <v>0</v>
      </c>
      <c r="AD135" s="1084">
        <f>IF(OR($H135="",$I135=""),0,IF(OR(AD$107&lt;$H135,AD$107&gt;$I135),0,$J135))</f>
        <v>0</v>
      </c>
      <c r="AE135" s="1084">
        <f>IF(OR($H135="",$I135=""),0,IF(OR(AE$107&lt;$H135,AE$107&gt;$I135),0,$J135))</f>
        <v>0</v>
      </c>
      <c r="AF135" s="1084">
        <f>IF(OR($H135="",$I135=""),0,IF(OR(AF$107&lt;$H135,AF$107&gt;$I135),0,$J135))</f>
        <v>0</v>
      </c>
      <c r="AG135" s="1084">
        <f>IF(OR($H135="",$I135=""),0,IF(OR(AG$107&lt;$H135,AG$107&gt;$I135),0,$J135))</f>
        <v>0</v>
      </c>
      <c r="AH135" s="1084">
        <f>IF(OR($H135="",$I135=""),0,IF(OR(AH$107&lt;$H135,AH$107&gt;$I135),0,$J135))</f>
        <v>0</v>
      </c>
      <c r="AI135" s="1084">
        <f>IF(OR($H135="",$I135=""),0,IF(OR(AI$107&lt;$H135,AI$107&gt;$I135),0,$J135))</f>
        <v>0</v>
      </c>
      <c r="AJ135" s="1084">
        <f>IF(OR($H135="",$I135=""),0,IF(OR(AJ$107&lt;$H135,AJ$107&gt;$I135),0,$J135))</f>
        <v>0</v>
      </c>
      <c r="AK135" s="1084">
        <f>IF(OR($H135="",$I135=""),0,IF(OR(AK$107&lt;$H135,AK$107&gt;$I135),0,$J135))</f>
        <v>0</v>
      </c>
      <c r="AL135" s="1084">
        <f>IF(OR($H135="",$I135=""),0,IF(OR(AL$107&lt;$H135,AL$107&gt;$I135),0,$J135))</f>
        <v>0</v>
      </c>
      <c r="AM135" s="1084">
        <f>IF(OR($H135="",$I135=""),0,IF(OR(AM$107&lt;$H135,AM$107&gt;$I135),0,$J135))</f>
        <v>0</v>
      </c>
      <c r="AN135" s="1084">
        <f>IF(OR($H135="",$I135=""),0,IF(OR(AN$107&lt;$H135,AN$107&gt;$I135),0,$J135))</f>
        <v>0</v>
      </c>
      <c r="AO135" s="1084">
        <f>IF(OR($H135="",$I135=""),0,IF(OR(AO$107&lt;$H135,AO$107&gt;$I135),0,$J135))</f>
        <v>0</v>
      </c>
      <c r="AP135" s="1084">
        <f>IF(OR($H135="",$I135=""),0,IF(OR(AP$107&lt;$H135,AP$107&gt;$I135),0,$J135))</f>
        <v>0</v>
      </c>
      <c r="AQ135" s="1084">
        <f>IF(OR($H135="",$I135=""),0,IF(OR(AQ$107&lt;$H135,AQ$107&gt;$I135),0,$J135))</f>
        <v>0</v>
      </c>
      <c r="AR135" s="1084">
        <f>IF(OR($H135="",$I135=""),0,IF(OR(AR$107&lt;$H135,AR$107&gt;$I135),0,$J135))</f>
        <v>0</v>
      </c>
      <c r="AS135" s="1084">
        <f>IF(OR($H135="",$I135=""),0,IF(OR(AS$107&lt;$H135,AS$107&gt;$I135),0,$J135))</f>
        <v>0</v>
      </c>
      <c r="AT135" s="1084">
        <f>IF(OR($H135="",$I135=""),0,IF(OR(AT$107&lt;$H135,AT$107&gt;$I135),0,$J135))</f>
        <v>0</v>
      </c>
      <c r="AU135" s="1084">
        <f>IF(OR($H135="",$I135=""),0,IF(OR(AU$107&lt;$H135,AU$107&gt;$I135),0,$J135))</f>
        <v>0</v>
      </c>
      <c r="AV135" s="1084">
        <f>IF(OR($H135="",$I135=""),0,IF(OR(AV$107&lt;$H135,AV$107&gt;$I135),0,$J135))</f>
        <v>0</v>
      </c>
      <c r="AW135" s="1084">
        <f>IF(OR($H135="",$I135=""),0,IF(OR(AW$107&lt;$H135,AW$107&gt;$I135),0,$J135))</f>
        <v>0</v>
      </c>
      <c r="AX135" s="1084">
        <f>IF(OR($H135="",$I135=""),0,IF(OR(AX$107&lt;$H135,AX$107&gt;$I135),0,$J135))</f>
        <v>0</v>
      </c>
      <c r="AY135" s="1085">
        <f>IF(OR($H135="",$I135=""),0,IF(OR(AY$107&lt;$H135,AY$107&gt;$I135),0,$J135))</f>
        <v>0</v>
      </c>
      <c r="AZ135" s="1240">
        <f>IF(OR($H135="",$I135=""),0,IF(OR(AZ$107&lt;$H135,AZ$107&gt;$I135),0,$J135))</f>
        <v>0</v>
      </c>
      <c r="BA135" s="1084">
        <f>IF(OR($H135="",$I135=""),0,IF(OR(BA$107&lt;$H135,BA$107&gt;$I135),0,$J135))</f>
        <v>0</v>
      </c>
      <c r="BB135" s="1084">
        <f>IF(OR($H135="",$I135=""),0,IF(OR(BB$107&lt;$H135,BB$107&gt;$I135),0,$J135))</f>
        <v>0</v>
      </c>
      <c r="BC135" s="1084">
        <f>IF(OR($H135="",$I135=""),0,IF(OR(BC$107&lt;$H135,BC$107&gt;$I135),0,$J135))</f>
        <v>0</v>
      </c>
      <c r="BD135" s="1084">
        <f>IF(OR($H135="",$I135=""),0,IF(OR(BD$107&lt;$H135,BD$107&gt;$I135),0,$J135))</f>
        <v>0</v>
      </c>
      <c r="BE135" s="1084">
        <f>IF(OR($H135="",$I135=""),0,IF(OR(BE$107&lt;$H135,BE$107&gt;$I135),0,$J135))</f>
        <v>0</v>
      </c>
      <c r="BF135" s="1084">
        <f>IF(OR($H135="",$I135=""),0,IF(OR(BF$107&lt;$H135,BF$107&gt;$I135),0,$J135))</f>
        <v>0</v>
      </c>
      <c r="BG135" s="1084">
        <f>IF(OR($H135="",$I135=""),0,IF(OR(BG$107&lt;$H135,BG$107&gt;$I135),0,$J135))</f>
        <v>0</v>
      </c>
      <c r="BH135" s="1084">
        <f>IF(OR($H135="",$I135=""),0,IF(OR(BH$107&lt;$H135,BH$107&gt;$I135),0,$J135))</f>
        <v>0</v>
      </c>
      <c r="BI135" s="1084">
        <f>IF(OR($H135="",$I135=""),0,IF(OR(BI$107&lt;$H135,BI$107&gt;$I135),0,$J135))</f>
        <v>0</v>
      </c>
      <c r="BJ135" s="1084">
        <f>IF(OR($H135="",$I135=""),0,IF(OR(BJ$107&lt;$H135,BJ$107&gt;$I135),0,$J135))</f>
        <v>0</v>
      </c>
      <c r="BK135" s="1084">
        <f>IF(OR($H135="",$I135=""),0,IF(OR(BK$107&lt;$H135,BK$107&gt;$I135),0,$J135))</f>
        <v>0</v>
      </c>
      <c r="BL135" s="1084">
        <f>IF(OR($H135="",$I135=""),0,IF(OR(BL$107&lt;$H135,BL$107&gt;$I135),0,$J135))</f>
        <v>0</v>
      </c>
      <c r="BM135" s="1084">
        <f>IF(OR($H135="",$I135=""),0,IF(OR(BM$107&lt;$H135,BM$107&gt;$I135),0,$J135))</f>
        <v>0</v>
      </c>
      <c r="BN135" s="1084">
        <f>IF(OR($H135="",$I135=""),0,IF(OR(BN$107&lt;$H135,BN$107&gt;$I135),0,$J135))</f>
        <v>0</v>
      </c>
      <c r="BO135" s="1084">
        <f>IF(OR($H135="",$I135=""),0,IF(OR(BO$107&lt;$H135,BO$107&gt;$I135),0,$J135))</f>
        <v>0</v>
      </c>
      <c r="BP135" s="1084">
        <f>IF(OR($H135="",$I135=""),0,IF(OR(BP$107&lt;$H135,BP$107&gt;$I135),0,$J135))</f>
        <v>0</v>
      </c>
      <c r="BQ135" s="1084">
        <f>IF(OR($H135="",$I135=""),0,IF(OR(BQ$107&lt;$H135,BQ$107&gt;$I135),0,$J135))</f>
        <v>0</v>
      </c>
      <c r="BR135" s="1084">
        <f>IF(OR($H135="",$I135=""),0,IF(OR(BR$107&lt;$H135,BR$107&gt;$I135),0,$J135))</f>
        <v>0</v>
      </c>
      <c r="BS135" s="1084">
        <f>IF(OR($H135="",$I135=""),0,IF(OR(BS$107&lt;$H135,BS$107&gt;$I135),0,$J135))</f>
        <v>0</v>
      </c>
      <c r="BT135" s="1084">
        <f>IF(OR($H135="",$I135=""),0,IF(OR(BT$107&lt;$H135,BT$107&gt;$I135),0,$J135))</f>
        <v>0</v>
      </c>
      <c r="BU135" s="1084">
        <f>IF(OR($H135="",$I135=""),0,IF(OR(BU$107&lt;$H135,BU$107&gt;$I135),0,$J135))</f>
        <v>0</v>
      </c>
      <c r="BV135" s="1084">
        <f>IF(OR($H135="",$I135=""),0,IF(OR(BV$107&lt;$H135,BV$107&gt;$I135),0,$J135))</f>
        <v>0</v>
      </c>
      <c r="BW135" s="1085">
        <f>IF(OR($H135="",$I135=""),0,IF(OR(BW$107&lt;$H135,BW$107&gt;$I135),0,$J135))</f>
        <v>0</v>
      </c>
      <c r="DD135" s="131"/>
    </row>
    <row r="136" spans="1:108" s="8" customFormat="1" ht="12" customHeight="1" thickBot="1" x14ac:dyDescent="0.4" hidden="1">
      <c r="A136" s="133">
        <v>29</v>
      </c>
      <c r="B136" s="1711" t="str">
        <f>IF(A136&gt;F$107,"{Can hide row}","")</f>
        <v/>
      </c>
      <c r="C136" s="9" t="str">
        <f>A136&amp;" "</f>
        <v xml:space="preserve">29 </v>
      </c>
      <c r="D136" s="1843"/>
      <c r="E136" s="1844"/>
      <c r="F136" s="1845"/>
      <c r="G136" s="590"/>
      <c r="H136" s="616"/>
      <c r="I136" s="616"/>
      <c r="J136" s="1055">
        <f>IF(I136&lt;&gt;"",1,0)</f>
        <v>0</v>
      </c>
      <c r="K136" s="1050">
        <f>IF(I136&lt;&gt;"",$O$102,0)</f>
        <v>0</v>
      </c>
      <c r="L136" s="1050">
        <f>IF(I136&lt;&gt;"",L135,0)</f>
        <v>0</v>
      </c>
      <c r="M136" s="1049">
        <f>IF(I136&lt;&gt;"",M135,0)</f>
        <v>0</v>
      </c>
      <c r="N136" s="1001"/>
      <c r="P136" s="1083">
        <f>IF(OR($H136="",$I136=""),0,IF(OR(P$107&lt;$H136,P$107&gt;$I136),0,$J136))</f>
        <v>0</v>
      </c>
      <c r="Q136" s="1084">
        <f>IF(OR($H136="",$I136=""),0,IF(OR(Q$107&lt;$H136,Q$107&gt;$I136),0,$J136))</f>
        <v>0</v>
      </c>
      <c r="R136" s="1084">
        <f>IF(OR($H136="",$I136=""),0,IF(OR(R$107&lt;$H136,R$107&gt;$I136),0,$J136))</f>
        <v>0</v>
      </c>
      <c r="S136" s="1084">
        <f>IF(OR($H136="",$I136=""),0,IF(OR(S$107&lt;$H136,S$107&gt;$I136),0,$J136))</f>
        <v>0</v>
      </c>
      <c r="T136" s="1084">
        <f>IF(OR($H136="",$I136=""),0,IF(OR(T$107&lt;$H136,T$107&gt;$I136),0,$J136))</f>
        <v>0</v>
      </c>
      <c r="U136" s="1084">
        <f>IF(OR($H136="",$I136=""),0,IF(OR(U$107&lt;$H136,U$107&gt;$I136),0,$J136))</f>
        <v>0</v>
      </c>
      <c r="V136" s="1084">
        <f>IF(OR($H136="",$I136=""),0,IF(OR(V$107&lt;$H136,V$107&gt;$I136),0,$J136))</f>
        <v>0</v>
      </c>
      <c r="W136" s="1084">
        <f>IF(OR($H136="",$I136=""),0,IF(OR(W$107&lt;$H136,W$107&gt;$I136),0,$J136))</f>
        <v>0</v>
      </c>
      <c r="X136" s="1084">
        <f>IF(OR($H136="",$I136=""),0,IF(OR(X$107&lt;$H136,X$107&gt;$I136),0,$J136))</f>
        <v>0</v>
      </c>
      <c r="Y136" s="1084">
        <f>IF(OR($H136="",$I136=""),0,IF(OR(Y$107&lt;$H136,Y$107&gt;$I136),0,$J136))</f>
        <v>0</v>
      </c>
      <c r="Z136" s="1084">
        <f>IF(OR($H136="",$I136=""),0,IF(OR(Z$107&lt;$H136,Z$107&gt;$I136),0,$J136))</f>
        <v>0</v>
      </c>
      <c r="AA136" s="1084">
        <f>IF(OR($H136="",$I136=""),0,IF(OR(AA$107&lt;$H136,AA$107&gt;$I136),0,$J136))</f>
        <v>0</v>
      </c>
      <c r="AB136" s="1084">
        <f>IF(OR($H136="",$I136=""),0,IF(OR(AB$107&lt;$H136,AB$107&gt;$I136),0,$J136))</f>
        <v>0</v>
      </c>
      <c r="AC136" s="1084">
        <f>IF(OR($H136="",$I136=""),0,IF(OR(AC$107&lt;$H136,AC$107&gt;$I136),0,$J136))</f>
        <v>0</v>
      </c>
      <c r="AD136" s="1084">
        <f>IF(OR($H136="",$I136=""),0,IF(OR(AD$107&lt;$H136,AD$107&gt;$I136),0,$J136))</f>
        <v>0</v>
      </c>
      <c r="AE136" s="1084">
        <f>IF(OR($H136="",$I136=""),0,IF(OR(AE$107&lt;$H136,AE$107&gt;$I136),0,$J136))</f>
        <v>0</v>
      </c>
      <c r="AF136" s="1084">
        <f>IF(OR($H136="",$I136=""),0,IF(OR(AF$107&lt;$H136,AF$107&gt;$I136),0,$J136))</f>
        <v>0</v>
      </c>
      <c r="AG136" s="1084">
        <f>IF(OR($H136="",$I136=""),0,IF(OR(AG$107&lt;$H136,AG$107&gt;$I136),0,$J136))</f>
        <v>0</v>
      </c>
      <c r="AH136" s="1084">
        <f>IF(OR($H136="",$I136=""),0,IF(OR(AH$107&lt;$H136,AH$107&gt;$I136),0,$J136))</f>
        <v>0</v>
      </c>
      <c r="AI136" s="1084">
        <f>IF(OR($H136="",$I136=""),0,IF(OR(AI$107&lt;$H136,AI$107&gt;$I136),0,$J136))</f>
        <v>0</v>
      </c>
      <c r="AJ136" s="1084">
        <f>IF(OR($H136="",$I136=""),0,IF(OR(AJ$107&lt;$H136,AJ$107&gt;$I136),0,$J136))</f>
        <v>0</v>
      </c>
      <c r="AK136" s="1084">
        <f>IF(OR($H136="",$I136=""),0,IF(OR(AK$107&lt;$H136,AK$107&gt;$I136),0,$J136))</f>
        <v>0</v>
      </c>
      <c r="AL136" s="1084">
        <f>IF(OR($H136="",$I136=""),0,IF(OR(AL$107&lt;$H136,AL$107&gt;$I136),0,$J136))</f>
        <v>0</v>
      </c>
      <c r="AM136" s="1084">
        <f>IF(OR($H136="",$I136=""),0,IF(OR(AM$107&lt;$H136,AM$107&gt;$I136),0,$J136))</f>
        <v>0</v>
      </c>
      <c r="AN136" s="1084">
        <f>IF(OR($H136="",$I136=""),0,IF(OR(AN$107&lt;$H136,AN$107&gt;$I136),0,$J136))</f>
        <v>0</v>
      </c>
      <c r="AO136" s="1084">
        <f>IF(OR($H136="",$I136=""),0,IF(OR(AO$107&lt;$H136,AO$107&gt;$I136),0,$J136))</f>
        <v>0</v>
      </c>
      <c r="AP136" s="1084">
        <f>IF(OR($H136="",$I136=""),0,IF(OR(AP$107&lt;$H136,AP$107&gt;$I136),0,$J136))</f>
        <v>0</v>
      </c>
      <c r="AQ136" s="1084">
        <f>IF(OR($H136="",$I136=""),0,IF(OR(AQ$107&lt;$H136,AQ$107&gt;$I136),0,$J136))</f>
        <v>0</v>
      </c>
      <c r="AR136" s="1084">
        <f>IF(OR($H136="",$I136=""),0,IF(OR(AR$107&lt;$H136,AR$107&gt;$I136),0,$J136))</f>
        <v>0</v>
      </c>
      <c r="AS136" s="1084">
        <f>IF(OR($H136="",$I136=""),0,IF(OR(AS$107&lt;$H136,AS$107&gt;$I136),0,$J136))</f>
        <v>0</v>
      </c>
      <c r="AT136" s="1084">
        <f>IF(OR($H136="",$I136=""),0,IF(OR(AT$107&lt;$H136,AT$107&gt;$I136),0,$J136))</f>
        <v>0</v>
      </c>
      <c r="AU136" s="1084">
        <f>IF(OR($H136="",$I136=""),0,IF(OR(AU$107&lt;$H136,AU$107&gt;$I136),0,$J136))</f>
        <v>0</v>
      </c>
      <c r="AV136" s="1084">
        <f>IF(OR($H136="",$I136=""),0,IF(OR(AV$107&lt;$H136,AV$107&gt;$I136),0,$J136))</f>
        <v>0</v>
      </c>
      <c r="AW136" s="1084">
        <f>IF(OR($H136="",$I136=""),0,IF(OR(AW$107&lt;$H136,AW$107&gt;$I136),0,$J136))</f>
        <v>0</v>
      </c>
      <c r="AX136" s="1084">
        <f>IF(OR($H136="",$I136=""),0,IF(OR(AX$107&lt;$H136,AX$107&gt;$I136),0,$J136))</f>
        <v>0</v>
      </c>
      <c r="AY136" s="1085">
        <f>IF(OR($H136="",$I136=""),0,IF(OR(AY$107&lt;$H136,AY$107&gt;$I136),0,$J136))</f>
        <v>0</v>
      </c>
      <c r="AZ136" s="1240">
        <f>IF(OR($H136="",$I136=""),0,IF(OR(AZ$107&lt;$H136,AZ$107&gt;$I136),0,$J136))</f>
        <v>0</v>
      </c>
      <c r="BA136" s="1084">
        <f>IF(OR($H136="",$I136=""),0,IF(OR(BA$107&lt;$H136,BA$107&gt;$I136),0,$J136))</f>
        <v>0</v>
      </c>
      <c r="BB136" s="1084">
        <f>IF(OR($H136="",$I136=""),0,IF(OR(BB$107&lt;$H136,BB$107&gt;$I136),0,$J136))</f>
        <v>0</v>
      </c>
      <c r="BC136" s="1084">
        <f>IF(OR($H136="",$I136=""),0,IF(OR(BC$107&lt;$H136,BC$107&gt;$I136),0,$J136))</f>
        <v>0</v>
      </c>
      <c r="BD136" s="1084">
        <f>IF(OR($H136="",$I136=""),0,IF(OR(BD$107&lt;$H136,BD$107&gt;$I136),0,$J136))</f>
        <v>0</v>
      </c>
      <c r="BE136" s="1084">
        <f>IF(OR($H136="",$I136=""),0,IF(OR(BE$107&lt;$H136,BE$107&gt;$I136),0,$J136))</f>
        <v>0</v>
      </c>
      <c r="BF136" s="1084">
        <f>IF(OR($H136="",$I136=""),0,IF(OR(BF$107&lt;$H136,BF$107&gt;$I136),0,$J136))</f>
        <v>0</v>
      </c>
      <c r="BG136" s="1084">
        <f>IF(OR($H136="",$I136=""),0,IF(OR(BG$107&lt;$H136,BG$107&gt;$I136),0,$J136))</f>
        <v>0</v>
      </c>
      <c r="BH136" s="1084">
        <f>IF(OR($H136="",$I136=""),0,IF(OR(BH$107&lt;$H136,BH$107&gt;$I136),0,$J136))</f>
        <v>0</v>
      </c>
      <c r="BI136" s="1084">
        <f>IF(OR($H136="",$I136=""),0,IF(OR(BI$107&lt;$H136,BI$107&gt;$I136),0,$J136))</f>
        <v>0</v>
      </c>
      <c r="BJ136" s="1084">
        <f>IF(OR($H136="",$I136=""),0,IF(OR(BJ$107&lt;$H136,BJ$107&gt;$I136),0,$J136))</f>
        <v>0</v>
      </c>
      <c r="BK136" s="1084">
        <f>IF(OR($H136="",$I136=""),0,IF(OR(BK$107&lt;$H136,BK$107&gt;$I136),0,$J136))</f>
        <v>0</v>
      </c>
      <c r="BL136" s="1084">
        <f>IF(OR($H136="",$I136=""),0,IF(OR(BL$107&lt;$H136,BL$107&gt;$I136),0,$J136))</f>
        <v>0</v>
      </c>
      <c r="BM136" s="1084">
        <f>IF(OR($H136="",$I136=""),0,IF(OR(BM$107&lt;$H136,BM$107&gt;$I136),0,$J136))</f>
        <v>0</v>
      </c>
      <c r="BN136" s="1084">
        <f>IF(OR($H136="",$I136=""),0,IF(OR(BN$107&lt;$H136,BN$107&gt;$I136),0,$J136))</f>
        <v>0</v>
      </c>
      <c r="BO136" s="1084">
        <f>IF(OR($H136="",$I136=""),0,IF(OR(BO$107&lt;$H136,BO$107&gt;$I136),0,$J136))</f>
        <v>0</v>
      </c>
      <c r="BP136" s="1084">
        <f>IF(OR($H136="",$I136=""),0,IF(OR(BP$107&lt;$H136,BP$107&gt;$I136),0,$J136))</f>
        <v>0</v>
      </c>
      <c r="BQ136" s="1084">
        <f>IF(OR($H136="",$I136=""),0,IF(OR(BQ$107&lt;$H136,BQ$107&gt;$I136),0,$J136))</f>
        <v>0</v>
      </c>
      <c r="BR136" s="1084">
        <f>IF(OR($H136="",$I136=""),0,IF(OR(BR$107&lt;$H136,BR$107&gt;$I136),0,$J136))</f>
        <v>0</v>
      </c>
      <c r="BS136" s="1084">
        <f>IF(OR($H136="",$I136=""),0,IF(OR(BS$107&lt;$H136,BS$107&gt;$I136),0,$J136))</f>
        <v>0</v>
      </c>
      <c r="BT136" s="1084">
        <f>IF(OR($H136="",$I136=""),0,IF(OR(BT$107&lt;$H136,BT$107&gt;$I136),0,$J136))</f>
        <v>0</v>
      </c>
      <c r="BU136" s="1084">
        <f>IF(OR($H136="",$I136=""),0,IF(OR(BU$107&lt;$H136,BU$107&gt;$I136),0,$J136))</f>
        <v>0</v>
      </c>
      <c r="BV136" s="1084">
        <f>IF(OR($H136="",$I136=""),0,IF(OR(BV$107&lt;$H136,BV$107&gt;$I136),0,$J136))</f>
        <v>0</v>
      </c>
      <c r="BW136" s="1085">
        <f>IF(OR($H136="",$I136=""),0,IF(OR(BW$107&lt;$H136,BW$107&gt;$I136),0,$J136))</f>
        <v>0</v>
      </c>
      <c r="DD136" s="131"/>
    </row>
    <row r="137" spans="1:108" s="8" customFormat="1" ht="12" customHeight="1" thickBot="1" x14ac:dyDescent="0.4" hidden="1">
      <c r="A137" s="133">
        <v>30</v>
      </c>
      <c r="B137" s="1711" t="str">
        <f>IF(A137&gt;F$107,"{Can hide row}","")</f>
        <v/>
      </c>
      <c r="C137" s="9" t="str">
        <f>A137&amp;" "</f>
        <v xml:space="preserve">30 </v>
      </c>
      <c r="D137" s="1843"/>
      <c r="E137" s="1844"/>
      <c r="F137" s="1845"/>
      <c r="G137" s="590"/>
      <c r="H137" s="616"/>
      <c r="I137" s="616"/>
      <c r="J137" s="1055">
        <f>IF(I137&lt;&gt;"",1,0)</f>
        <v>0</v>
      </c>
      <c r="K137" s="1050">
        <f>IF(I137&lt;&gt;"",$O$102,0)</f>
        <v>0</v>
      </c>
      <c r="L137" s="1050">
        <f>IF(I137&lt;&gt;"",L136,0)</f>
        <v>0</v>
      </c>
      <c r="M137" s="1049">
        <f>IF(I137&lt;&gt;"",M136,0)</f>
        <v>0</v>
      </c>
      <c r="N137" s="1001"/>
      <c r="P137" s="1083">
        <f>IF(OR($H137="",$I137=""),0,IF(OR(P$107&lt;$H137,P$107&gt;$I137),0,$J137))</f>
        <v>0</v>
      </c>
      <c r="Q137" s="1084">
        <f>IF(OR($H137="",$I137=""),0,IF(OR(Q$107&lt;$H137,Q$107&gt;$I137),0,$J137))</f>
        <v>0</v>
      </c>
      <c r="R137" s="1084">
        <f>IF(OR($H137="",$I137=""),0,IF(OR(R$107&lt;$H137,R$107&gt;$I137),0,$J137))</f>
        <v>0</v>
      </c>
      <c r="S137" s="1084">
        <f>IF(OR($H137="",$I137=""),0,IF(OR(S$107&lt;$H137,S$107&gt;$I137),0,$J137))</f>
        <v>0</v>
      </c>
      <c r="T137" s="1084">
        <f>IF(OR($H137="",$I137=""),0,IF(OR(T$107&lt;$H137,T$107&gt;$I137),0,$J137))</f>
        <v>0</v>
      </c>
      <c r="U137" s="1084">
        <f>IF(OR($H137="",$I137=""),0,IF(OR(U$107&lt;$H137,U$107&gt;$I137),0,$J137))</f>
        <v>0</v>
      </c>
      <c r="V137" s="1084">
        <f>IF(OR($H137="",$I137=""),0,IF(OR(V$107&lt;$H137,V$107&gt;$I137),0,$J137))</f>
        <v>0</v>
      </c>
      <c r="W137" s="1084">
        <f>IF(OR($H137="",$I137=""),0,IF(OR(W$107&lt;$H137,W$107&gt;$I137),0,$J137))</f>
        <v>0</v>
      </c>
      <c r="X137" s="1084">
        <f>IF(OR($H137="",$I137=""),0,IF(OR(X$107&lt;$H137,X$107&gt;$I137),0,$J137))</f>
        <v>0</v>
      </c>
      <c r="Y137" s="1084">
        <f>IF(OR($H137="",$I137=""),0,IF(OR(Y$107&lt;$H137,Y$107&gt;$I137),0,$J137))</f>
        <v>0</v>
      </c>
      <c r="Z137" s="1084">
        <f>IF(OR($H137="",$I137=""),0,IF(OR(Z$107&lt;$H137,Z$107&gt;$I137),0,$J137))</f>
        <v>0</v>
      </c>
      <c r="AA137" s="1084">
        <f>IF(OR($H137="",$I137=""),0,IF(OR(AA$107&lt;$H137,AA$107&gt;$I137),0,$J137))</f>
        <v>0</v>
      </c>
      <c r="AB137" s="1084">
        <f>IF(OR($H137="",$I137=""),0,IF(OR(AB$107&lt;$H137,AB$107&gt;$I137),0,$J137))</f>
        <v>0</v>
      </c>
      <c r="AC137" s="1084">
        <f>IF(OR($H137="",$I137=""),0,IF(OR(AC$107&lt;$H137,AC$107&gt;$I137),0,$J137))</f>
        <v>0</v>
      </c>
      <c r="AD137" s="1084">
        <f>IF(OR($H137="",$I137=""),0,IF(OR(AD$107&lt;$H137,AD$107&gt;$I137),0,$J137))</f>
        <v>0</v>
      </c>
      <c r="AE137" s="1084">
        <f>IF(OR($H137="",$I137=""),0,IF(OR(AE$107&lt;$H137,AE$107&gt;$I137),0,$J137))</f>
        <v>0</v>
      </c>
      <c r="AF137" s="1084">
        <f>IF(OR($H137="",$I137=""),0,IF(OR(AF$107&lt;$H137,AF$107&gt;$I137),0,$J137))</f>
        <v>0</v>
      </c>
      <c r="AG137" s="1084">
        <f>IF(OR($H137="",$I137=""),0,IF(OR(AG$107&lt;$H137,AG$107&gt;$I137),0,$J137))</f>
        <v>0</v>
      </c>
      <c r="AH137" s="1084">
        <f>IF(OR($H137="",$I137=""),0,IF(OR(AH$107&lt;$H137,AH$107&gt;$I137),0,$J137))</f>
        <v>0</v>
      </c>
      <c r="AI137" s="1084">
        <f>IF(OR($H137="",$I137=""),0,IF(OR(AI$107&lt;$H137,AI$107&gt;$I137),0,$J137))</f>
        <v>0</v>
      </c>
      <c r="AJ137" s="1084">
        <f>IF(OR($H137="",$I137=""),0,IF(OR(AJ$107&lt;$H137,AJ$107&gt;$I137),0,$J137))</f>
        <v>0</v>
      </c>
      <c r="AK137" s="1084">
        <f>IF(OR($H137="",$I137=""),0,IF(OR(AK$107&lt;$H137,AK$107&gt;$I137),0,$J137))</f>
        <v>0</v>
      </c>
      <c r="AL137" s="1084">
        <f>IF(OR($H137="",$I137=""),0,IF(OR(AL$107&lt;$H137,AL$107&gt;$I137),0,$J137))</f>
        <v>0</v>
      </c>
      <c r="AM137" s="1084">
        <f>IF(OR($H137="",$I137=""),0,IF(OR(AM$107&lt;$H137,AM$107&gt;$I137),0,$J137))</f>
        <v>0</v>
      </c>
      <c r="AN137" s="1084">
        <f>IF(OR($H137="",$I137=""),0,IF(OR(AN$107&lt;$H137,AN$107&gt;$I137),0,$J137))</f>
        <v>0</v>
      </c>
      <c r="AO137" s="1084">
        <f>IF(OR($H137="",$I137=""),0,IF(OR(AO$107&lt;$H137,AO$107&gt;$I137),0,$J137))</f>
        <v>0</v>
      </c>
      <c r="AP137" s="1084">
        <f>IF(OR($H137="",$I137=""),0,IF(OR(AP$107&lt;$H137,AP$107&gt;$I137),0,$J137))</f>
        <v>0</v>
      </c>
      <c r="AQ137" s="1084">
        <f>IF(OR($H137="",$I137=""),0,IF(OR(AQ$107&lt;$H137,AQ$107&gt;$I137),0,$J137))</f>
        <v>0</v>
      </c>
      <c r="AR137" s="1084">
        <f>IF(OR($H137="",$I137=""),0,IF(OR(AR$107&lt;$H137,AR$107&gt;$I137),0,$J137))</f>
        <v>0</v>
      </c>
      <c r="AS137" s="1084">
        <f>IF(OR($H137="",$I137=""),0,IF(OR(AS$107&lt;$H137,AS$107&gt;$I137),0,$J137))</f>
        <v>0</v>
      </c>
      <c r="AT137" s="1084">
        <f>IF(OR($H137="",$I137=""),0,IF(OR(AT$107&lt;$H137,AT$107&gt;$I137),0,$J137))</f>
        <v>0</v>
      </c>
      <c r="AU137" s="1084">
        <f>IF(OR($H137="",$I137=""),0,IF(OR(AU$107&lt;$H137,AU$107&gt;$I137),0,$J137))</f>
        <v>0</v>
      </c>
      <c r="AV137" s="1084">
        <f>IF(OR($H137="",$I137=""),0,IF(OR(AV$107&lt;$H137,AV$107&gt;$I137),0,$J137))</f>
        <v>0</v>
      </c>
      <c r="AW137" s="1084">
        <f>IF(OR($H137="",$I137=""),0,IF(OR(AW$107&lt;$H137,AW$107&gt;$I137),0,$J137))</f>
        <v>0</v>
      </c>
      <c r="AX137" s="1084">
        <f>IF(OR($H137="",$I137=""),0,IF(OR(AX$107&lt;$H137,AX$107&gt;$I137),0,$J137))</f>
        <v>0</v>
      </c>
      <c r="AY137" s="1085">
        <f>IF(OR($H137="",$I137=""),0,IF(OR(AY$107&lt;$H137,AY$107&gt;$I137),0,$J137))</f>
        <v>0</v>
      </c>
      <c r="AZ137" s="1240">
        <f>IF(OR($H137="",$I137=""),0,IF(OR(AZ$107&lt;$H137,AZ$107&gt;$I137),0,$J137))</f>
        <v>0</v>
      </c>
      <c r="BA137" s="1084">
        <f>IF(OR($H137="",$I137=""),0,IF(OR(BA$107&lt;$H137,BA$107&gt;$I137),0,$J137))</f>
        <v>0</v>
      </c>
      <c r="BB137" s="1084">
        <f>IF(OR($H137="",$I137=""),0,IF(OR(BB$107&lt;$H137,BB$107&gt;$I137),0,$J137))</f>
        <v>0</v>
      </c>
      <c r="BC137" s="1084">
        <f>IF(OR($H137="",$I137=""),0,IF(OR(BC$107&lt;$H137,BC$107&gt;$I137),0,$J137))</f>
        <v>0</v>
      </c>
      <c r="BD137" s="1084">
        <f>IF(OR($H137="",$I137=""),0,IF(OR(BD$107&lt;$H137,BD$107&gt;$I137),0,$J137))</f>
        <v>0</v>
      </c>
      <c r="BE137" s="1084">
        <f>IF(OR($H137="",$I137=""),0,IF(OR(BE$107&lt;$H137,BE$107&gt;$I137),0,$J137))</f>
        <v>0</v>
      </c>
      <c r="BF137" s="1084">
        <f>IF(OR($H137="",$I137=""),0,IF(OR(BF$107&lt;$H137,BF$107&gt;$I137),0,$J137))</f>
        <v>0</v>
      </c>
      <c r="BG137" s="1084">
        <f>IF(OR($H137="",$I137=""),0,IF(OR(BG$107&lt;$H137,BG$107&gt;$I137),0,$J137))</f>
        <v>0</v>
      </c>
      <c r="BH137" s="1084">
        <f>IF(OR($H137="",$I137=""),0,IF(OR(BH$107&lt;$H137,BH$107&gt;$I137),0,$J137))</f>
        <v>0</v>
      </c>
      <c r="BI137" s="1084">
        <f>IF(OR($H137="",$I137=""),0,IF(OR(BI$107&lt;$H137,BI$107&gt;$I137),0,$J137))</f>
        <v>0</v>
      </c>
      <c r="BJ137" s="1084">
        <f>IF(OR($H137="",$I137=""),0,IF(OR(BJ$107&lt;$H137,BJ$107&gt;$I137),0,$J137))</f>
        <v>0</v>
      </c>
      <c r="BK137" s="1084">
        <f>IF(OR($H137="",$I137=""),0,IF(OR(BK$107&lt;$H137,BK$107&gt;$I137),0,$J137))</f>
        <v>0</v>
      </c>
      <c r="BL137" s="1084">
        <f>IF(OR($H137="",$I137=""),0,IF(OR(BL$107&lt;$H137,BL$107&gt;$I137),0,$J137))</f>
        <v>0</v>
      </c>
      <c r="BM137" s="1084">
        <f>IF(OR($H137="",$I137=""),0,IF(OR(BM$107&lt;$H137,BM$107&gt;$I137),0,$J137))</f>
        <v>0</v>
      </c>
      <c r="BN137" s="1084">
        <f>IF(OR($H137="",$I137=""),0,IF(OR(BN$107&lt;$H137,BN$107&gt;$I137),0,$J137))</f>
        <v>0</v>
      </c>
      <c r="BO137" s="1084">
        <f>IF(OR($H137="",$I137=""),0,IF(OR(BO$107&lt;$H137,BO$107&gt;$I137),0,$J137))</f>
        <v>0</v>
      </c>
      <c r="BP137" s="1084">
        <f>IF(OR($H137="",$I137=""),0,IF(OR(BP$107&lt;$H137,BP$107&gt;$I137),0,$J137))</f>
        <v>0</v>
      </c>
      <c r="BQ137" s="1084">
        <f>IF(OR($H137="",$I137=""),0,IF(OR(BQ$107&lt;$H137,BQ$107&gt;$I137),0,$J137))</f>
        <v>0</v>
      </c>
      <c r="BR137" s="1084">
        <f>IF(OR($H137="",$I137=""),0,IF(OR(BR$107&lt;$H137,BR$107&gt;$I137),0,$J137))</f>
        <v>0</v>
      </c>
      <c r="BS137" s="1084">
        <f>IF(OR($H137="",$I137=""),0,IF(OR(BS$107&lt;$H137,BS$107&gt;$I137),0,$J137))</f>
        <v>0</v>
      </c>
      <c r="BT137" s="1084">
        <f>IF(OR($H137="",$I137=""),0,IF(OR(BT$107&lt;$H137,BT$107&gt;$I137),0,$J137))</f>
        <v>0</v>
      </c>
      <c r="BU137" s="1084">
        <f>IF(OR($H137="",$I137=""),0,IF(OR(BU$107&lt;$H137,BU$107&gt;$I137),0,$J137))</f>
        <v>0</v>
      </c>
      <c r="BV137" s="1084">
        <f>IF(OR($H137="",$I137=""),0,IF(OR(BV$107&lt;$H137,BV$107&gt;$I137),0,$J137))</f>
        <v>0</v>
      </c>
      <c r="BW137" s="1085">
        <f>IF(OR($H137="",$I137=""),0,IF(OR(BW$107&lt;$H137,BW$107&gt;$I137),0,$J137))</f>
        <v>0</v>
      </c>
      <c r="DD137" s="131"/>
    </row>
    <row r="138" spans="1:108" s="8" customFormat="1" ht="12" hidden="1" customHeight="1" thickBot="1" x14ac:dyDescent="0.4">
      <c r="A138" s="133">
        <v>31</v>
      </c>
      <c r="B138" s="1711" t="str">
        <f>IF(A138&gt;F$107,"{Can hide row}","")</f>
        <v>{Can hide row}</v>
      </c>
      <c r="C138" s="9" t="str">
        <f>A138&amp;" "</f>
        <v xml:space="preserve">31 </v>
      </c>
      <c r="D138" s="1843"/>
      <c r="E138" s="1844"/>
      <c r="F138" s="1845"/>
      <c r="G138" s="590"/>
      <c r="H138" s="616"/>
      <c r="I138" s="616"/>
      <c r="J138" s="1055">
        <f>IF(I138&lt;&gt;"",1,0)</f>
        <v>0</v>
      </c>
      <c r="K138" s="1050">
        <f>IF(I138&lt;&gt;"",$O$102,0)</f>
        <v>0</v>
      </c>
      <c r="L138" s="1050">
        <f>IF(I138&lt;&gt;"",L137,0)</f>
        <v>0</v>
      </c>
      <c r="M138" s="1049">
        <f>IF(I138&lt;&gt;"",M137,0)</f>
        <v>0</v>
      </c>
      <c r="N138" s="1001"/>
      <c r="P138" s="1083">
        <f>IF(OR($H138="",$I138=""),0,IF(OR(P$107&lt;$H138,P$107&gt;$I138),0,$J138))</f>
        <v>0</v>
      </c>
      <c r="Q138" s="1084">
        <f>IF(OR($H138="",$I138=""),0,IF(OR(Q$107&lt;$H138,Q$107&gt;$I138),0,$J138))</f>
        <v>0</v>
      </c>
      <c r="R138" s="1084">
        <f>IF(OR($H138="",$I138=""),0,IF(OR(R$107&lt;$H138,R$107&gt;$I138),0,$J138))</f>
        <v>0</v>
      </c>
      <c r="S138" s="1084">
        <f>IF(OR($H138="",$I138=""),0,IF(OR(S$107&lt;$H138,S$107&gt;$I138),0,$J138))</f>
        <v>0</v>
      </c>
      <c r="T138" s="1084">
        <f>IF(OR($H138="",$I138=""),0,IF(OR(T$107&lt;$H138,T$107&gt;$I138),0,$J138))</f>
        <v>0</v>
      </c>
      <c r="U138" s="1084">
        <f>IF(OR($H138="",$I138=""),0,IF(OR(U$107&lt;$H138,U$107&gt;$I138),0,$J138))</f>
        <v>0</v>
      </c>
      <c r="V138" s="1084">
        <f>IF(OR($H138="",$I138=""),0,IF(OR(V$107&lt;$H138,V$107&gt;$I138),0,$J138))</f>
        <v>0</v>
      </c>
      <c r="W138" s="1084">
        <f>IF(OR($H138="",$I138=""),0,IF(OR(W$107&lt;$H138,W$107&gt;$I138),0,$J138))</f>
        <v>0</v>
      </c>
      <c r="X138" s="1084">
        <f>IF(OR($H138="",$I138=""),0,IF(OR(X$107&lt;$H138,X$107&gt;$I138),0,$J138))</f>
        <v>0</v>
      </c>
      <c r="Y138" s="1084">
        <f>IF(OR($H138="",$I138=""),0,IF(OR(Y$107&lt;$H138,Y$107&gt;$I138),0,$J138))</f>
        <v>0</v>
      </c>
      <c r="Z138" s="1084">
        <f>IF(OR($H138="",$I138=""),0,IF(OR(Z$107&lt;$H138,Z$107&gt;$I138),0,$J138))</f>
        <v>0</v>
      </c>
      <c r="AA138" s="1084">
        <f>IF(OR($H138="",$I138=""),0,IF(OR(AA$107&lt;$H138,AA$107&gt;$I138),0,$J138))</f>
        <v>0</v>
      </c>
      <c r="AB138" s="1084">
        <f>IF(OR($H138="",$I138=""),0,IF(OR(AB$107&lt;$H138,AB$107&gt;$I138),0,$J138))</f>
        <v>0</v>
      </c>
      <c r="AC138" s="1084">
        <f>IF(OR($H138="",$I138=""),0,IF(OR(AC$107&lt;$H138,AC$107&gt;$I138),0,$J138))</f>
        <v>0</v>
      </c>
      <c r="AD138" s="1084">
        <f>IF(OR($H138="",$I138=""),0,IF(OR(AD$107&lt;$H138,AD$107&gt;$I138),0,$J138))</f>
        <v>0</v>
      </c>
      <c r="AE138" s="1084">
        <f>IF(OR($H138="",$I138=""),0,IF(OR(AE$107&lt;$H138,AE$107&gt;$I138),0,$J138))</f>
        <v>0</v>
      </c>
      <c r="AF138" s="1084">
        <f>IF(OR($H138="",$I138=""),0,IF(OR(AF$107&lt;$H138,AF$107&gt;$I138),0,$J138))</f>
        <v>0</v>
      </c>
      <c r="AG138" s="1084">
        <f>IF(OR($H138="",$I138=""),0,IF(OR(AG$107&lt;$H138,AG$107&gt;$I138),0,$J138))</f>
        <v>0</v>
      </c>
      <c r="AH138" s="1084">
        <f>IF(OR($H138="",$I138=""),0,IF(OR(AH$107&lt;$H138,AH$107&gt;$I138),0,$J138))</f>
        <v>0</v>
      </c>
      <c r="AI138" s="1084">
        <f>IF(OR($H138="",$I138=""),0,IF(OR(AI$107&lt;$H138,AI$107&gt;$I138),0,$J138))</f>
        <v>0</v>
      </c>
      <c r="AJ138" s="1084">
        <f>IF(OR($H138="",$I138=""),0,IF(OR(AJ$107&lt;$H138,AJ$107&gt;$I138),0,$J138))</f>
        <v>0</v>
      </c>
      <c r="AK138" s="1084">
        <f>IF(OR($H138="",$I138=""),0,IF(OR(AK$107&lt;$H138,AK$107&gt;$I138),0,$J138))</f>
        <v>0</v>
      </c>
      <c r="AL138" s="1084">
        <f>IF(OR($H138="",$I138=""),0,IF(OR(AL$107&lt;$H138,AL$107&gt;$I138),0,$J138))</f>
        <v>0</v>
      </c>
      <c r="AM138" s="1084">
        <f>IF(OR($H138="",$I138=""),0,IF(OR(AM$107&lt;$H138,AM$107&gt;$I138),0,$J138))</f>
        <v>0</v>
      </c>
      <c r="AN138" s="1084">
        <f>IF(OR($H138="",$I138=""),0,IF(OR(AN$107&lt;$H138,AN$107&gt;$I138),0,$J138))</f>
        <v>0</v>
      </c>
      <c r="AO138" s="1084">
        <f>IF(OR($H138="",$I138=""),0,IF(OR(AO$107&lt;$H138,AO$107&gt;$I138),0,$J138))</f>
        <v>0</v>
      </c>
      <c r="AP138" s="1084">
        <f>IF(OR($H138="",$I138=""),0,IF(OR(AP$107&lt;$H138,AP$107&gt;$I138),0,$J138))</f>
        <v>0</v>
      </c>
      <c r="AQ138" s="1084">
        <f>IF(OR($H138="",$I138=""),0,IF(OR(AQ$107&lt;$H138,AQ$107&gt;$I138),0,$J138))</f>
        <v>0</v>
      </c>
      <c r="AR138" s="1084">
        <f>IF(OR($H138="",$I138=""),0,IF(OR(AR$107&lt;$H138,AR$107&gt;$I138),0,$J138))</f>
        <v>0</v>
      </c>
      <c r="AS138" s="1084">
        <f>IF(OR($H138="",$I138=""),0,IF(OR(AS$107&lt;$H138,AS$107&gt;$I138),0,$J138))</f>
        <v>0</v>
      </c>
      <c r="AT138" s="1084">
        <f>IF(OR($H138="",$I138=""),0,IF(OR(AT$107&lt;$H138,AT$107&gt;$I138),0,$J138))</f>
        <v>0</v>
      </c>
      <c r="AU138" s="1084">
        <f>IF(OR($H138="",$I138=""),0,IF(OR(AU$107&lt;$H138,AU$107&gt;$I138),0,$J138))</f>
        <v>0</v>
      </c>
      <c r="AV138" s="1084">
        <f>IF(OR($H138="",$I138=""),0,IF(OR(AV$107&lt;$H138,AV$107&gt;$I138),0,$J138))</f>
        <v>0</v>
      </c>
      <c r="AW138" s="1084">
        <f>IF(OR($H138="",$I138=""),0,IF(OR(AW$107&lt;$H138,AW$107&gt;$I138),0,$J138))</f>
        <v>0</v>
      </c>
      <c r="AX138" s="1084">
        <f>IF(OR($H138="",$I138=""),0,IF(OR(AX$107&lt;$H138,AX$107&gt;$I138),0,$J138))</f>
        <v>0</v>
      </c>
      <c r="AY138" s="1085">
        <f>IF(OR($H138="",$I138=""),0,IF(OR(AY$107&lt;$H138,AY$107&gt;$I138),0,$J138))</f>
        <v>0</v>
      </c>
      <c r="AZ138" s="1240">
        <f>IF(OR($H138="",$I138=""),0,IF(OR(AZ$107&lt;$H138,AZ$107&gt;$I138),0,$J138))</f>
        <v>0</v>
      </c>
      <c r="BA138" s="1084">
        <f>IF(OR($H138="",$I138=""),0,IF(OR(BA$107&lt;$H138,BA$107&gt;$I138),0,$J138))</f>
        <v>0</v>
      </c>
      <c r="BB138" s="1084">
        <f>IF(OR($H138="",$I138=""),0,IF(OR(BB$107&lt;$H138,BB$107&gt;$I138),0,$J138))</f>
        <v>0</v>
      </c>
      <c r="BC138" s="1084">
        <f>IF(OR($H138="",$I138=""),0,IF(OR(BC$107&lt;$H138,BC$107&gt;$I138),0,$J138))</f>
        <v>0</v>
      </c>
      <c r="BD138" s="1084">
        <f>IF(OR($H138="",$I138=""),0,IF(OR(BD$107&lt;$H138,BD$107&gt;$I138),0,$J138))</f>
        <v>0</v>
      </c>
      <c r="BE138" s="1084">
        <f>IF(OR($H138="",$I138=""),0,IF(OR(BE$107&lt;$H138,BE$107&gt;$I138),0,$J138))</f>
        <v>0</v>
      </c>
      <c r="BF138" s="1084">
        <f>IF(OR($H138="",$I138=""),0,IF(OR(BF$107&lt;$H138,BF$107&gt;$I138),0,$J138))</f>
        <v>0</v>
      </c>
      <c r="BG138" s="1084">
        <f>IF(OR($H138="",$I138=""),0,IF(OR(BG$107&lt;$H138,BG$107&gt;$I138),0,$J138))</f>
        <v>0</v>
      </c>
      <c r="BH138" s="1084">
        <f>IF(OR($H138="",$I138=""),0,IF(OR(BH$107&lt;$H138,BH$107&gt;$I138),0,$J138))</f>
        <v>0</v>
      </c>
      <c r="BI138" s="1084">
        <f>IF(OR($H138="",$I138=""),0,IF(OR(BI$107&lt;$H138,BI$107&gt;$I138),0,$J138))</f>
        <v>0</v>
      </c>
      <c r="BJ138" s="1084">
        <f>IF(OR($H138="",$I138=""),0,IF(OR(BJ$107&lt;$H138,BJ$107&gt;$I138),0,$J138))</f>
        <v>0</v>
      </c>
      <c r="BK138" s="1084">
        <f>IF(OR($H138="",$I138=""),0,IF(OR(BK$107&lt;$H138,BK$107&gt;$I138),0,$J138))</f>
        <v>0</v>
      </c>
      <c r="BL138" s="1084">
        <f>IF(OR($H138="",$I138=""),0,IF(OR(BL$107&lt;$H138,BL$107&gt;$I138),0,$J138))</f>
        <v>0</v>
      </c>
      <c r="BM138" s="1084">
        <f>IF(OR($H138="",$I138=""),0,IF(OR(BM$107&lt;$H138,BM$107&gt;$I138),0,$J138))</f>
        <v>0</v>
      </c>
      <c r="BN138" s="1084">
        <f>IF(OR($H138="",$I138=""),0,IF(OR(BN$107&lt;$H138,BN$107&gt;$I138),0,$J138))</f>
        <v>0</v>
      </c>
      <c r="BO138" s="1084">
        <f>IF(OR($H138="",$I138=""),0,IF(OR(BO$107&lt;$H138,BO$107&gt;$I138),0,$J138))</f>
        <v>0</v>
      </c>
      <c r="BP138" s="1084">
        <f>IF(OR($H138="",$I138=""),0,IF(OR(BP$107&lt;$H138,BP$107&gt;$I138),0,$J138))</f>
        <v>0</v>
      </c>
      <c r="BQ138" s="1084">
        <f>IF(OR($H138="",$I138=""),0,IF(OR(BQ$107&lt;$H138,BQ$107&gt;$I138),0,$J138))</f>
        <v>0</v>
      </c>
      <c r="BR138" s="1084">
        <f>IF(OR($H138="",$I138=""),0,IF(OR(BR$107&lt;$H138,BR$107&gt;$I138),0,$J138))</f>
        <v>0</v>
      </c>
      <c r="BS138" s="1084">
        <f>IF(OR($H138="",$I138=""),0,IF(OR(BS$107&lt;$H138,BS$107&gt;$I138),0,$J138))</f>
        <v>0</v>
      </c>
      <c r="BT138" s="1084">
        <f>IF(OR($H138="",$I138=""),0,IF(OR(BT$107&lt;$H138,BT$107&gt;$I138),0,$J138))</f>
        <v>0</v>
      </c>
      <c r="BU138" s="1084">
        <f>IF(OR($H138="",$I138=""),0,IF(OR(BU$107&lt;$H138,BU$107&gt;$I138),0,$J138))</f>
        <v>0</v>
      </c>
      <c r="BV138" s="1084">
        <f>IF(OR($H138="",$I138=""),0,IF(OR(BV$107&lt;$H138,BV$107&gt;$I138),0,$J138))</f>
        <v>0</v>
      </c>
      <c r="BW138" s="1085">
        <f>IF(OR($H138="",$I138=""),0,IF(OR(BW$107&lt;$H138,BW$107&gt;$I138),0,$J138))</f>
        <v>0</v>
      </c>
      <c r="DD138" s="131"/>
    </row>
    <row r="139" spans="1:108" s="8" customFormat="1" ht="12" hidden="1" customHeight="1" thickBot="1" x14ac:dyDescent="0.4">
      <c r="A139" s="133">
        <v>32</v>
      </c>
      <c r="B139" s="1711" t="str">
        <f>IF(A139&gt;F$107,"{Can hide row}","")</f>
        <v>{Can hide row}</v>
      </c>
      <c r="C139" s="9" t="str">
        <f>A139&amp;" "</f>
        <v xml:space="preserve">32 </v>
      </c>
      <c r="D139" s="1843"/>
      <c r="E139" s="1844"/>
      <c r="F139" s="1845"/>
      <c r="G139" s="590"/>
      <c r="H139" s="616"/>
      <c r="I139" s="616"/>
      <c r="J139" s="1055">
        <f>IF(I139&lt;&gt;"",1,0)</f>
        <v>0</v>
      </c>
      <c r="K139" s="1050">
        <f>IF(I139&lt;&gt;"",$O$102,0)</f>
        <v>0</v>
      </c>
      <c r="L139" s="1050">
        <f>IF(I139&lt;&gt;"",L138,0)</f>
        <v>0</v>
      </c>
      <c r="M139" s="1049">
        <f>IF(I139&lt;&gt;"",M138,0)</f>
        <v>0</v>
      </c>
      <c r="N139" s="1001"/>
      <c r="P139" s="1083">
        <f>IF(OR($H139="",$I139=""),0,IF(OR(P$107&lt;$H139,P$107&gt;$I139),0,$J139))</f>
        <v>0</v>
      </c>
      <c r="Q139" s="1084">
        <f>IF(OR($H139="",$I139=""),0,IF(OR(Q$107&lt;$H139,Q$107&gt;$I139),0,$J139))</f>
        <v>0</v>
      </c>
      <c r="R139" s="1084">
        <f>IF(OR($H139="",$I139=""),0,IF(OR(R$107&lt;$H139,R$107&gt;$I139),0,$J139))</f>
        <v>0</v>
      </c>
      <c r="S139" s="1084">
        <f>IF(OR($H139="",$I139=""),0,IF(OR(S$107&lt;$H139,S$107&gt;$I139),0,$J139))</f>
        <v>0</v>
      </c>
      <c r="T139" s="1084">
        <f>IF(OR($H139="",$I139=""),0,IF(OR(T$107&lt;$H139,T$107&gt;$I139),0,$J139))</f>
        <v>0</v>
      </c>
      <c r="U139" s="1084">
        <f>IF(OR($H139="",$I139=""),0,IF(OR(U$107&lt;$H139,U$107&gt;$I139),0,$J139))</f>
        <v>0</v>
      </c>
      <c r="V139" s="1084">
        <f>IF(OR($H139="",$I139=""),0,IF(OR(V$107&lt;$H139,V$107&gt;$I139),0,$J139))</f>
        <v>0</v>
      </c>
      <c r="W139" s="1084">
        <f>IF(OR($H139="",$I139=""),0,IF(OR(W$107&lt;$H139,W$107&gt;$I139),0,$J139))</f>
        <v>0</v>
      </c>
      <c r="X139" s="1084">
        <f>IF(OR($H139="",$I139=""),0,IF(OR(X$107&lt;$H139,X$107&gt;$I139),0,$J139))</f>
        <v>0</v>
      </c>
      <c r="Y139" s="1084">
        <f>IF(OR($H139="",$I139=""),0,IF(OR(Y$107&lt;$H139,Y$107&gt;$I139),0,$J139))</f>
        <v>0</v>
      </c>
      <c r="Z139" s="1084">
        <f>IF(OR($H139="",$I139=""),0,IF(OR(Z$107&lt;$H139,Z$107&gt;$I139),0,$J139))</f>
        <v>0</v>
      </c>
      <c r="AA139" s="1084">
        <f>IF(OR($H139="",$I139=""),0,IF(OR(AA$107&lt;$H139,AA$107&gt;$I139),0,$J139))</f>
        <v>0</v>
      </c>
      <c r="AB139" s="1084">
        <f>IF(OR($H139="",$I139=""),0,IF(OR(AB$107&lt;$H139,AB$107&gt;$I139),0,$J139))</f>
        <v>0</v>
      </c>
      <c r="AC139" s="1084">
        <f>IF(OR($H139="",$I139=""),0,IF(OR(AC$107&lt;$H139,AC$107&gt;$I139),0,$J139))</f>
        <v>0</v>
      </c>
      <c r="AD139" s="1084">
        <f>IF(OR($H139="",$I139=""),0,IF(OR(AD$107&lt;$H139,AD$107&gt;$I139),0,$J139))</f>
        <v>0</v>
      </c>
      <c r="AE139" s="1084">
        <f>IF(OR($H139="",$I139=""),0,IF(OR(AE$107&lt;$H139,AE$107&gt;$I139),0,$J139))</f>
        <v>0</v>
      </c>
      <c r="AF139" s="1084">
        <f>IF(OR($H139="",$I139=""),0,IF(OR(AF$107&lt;$H139,AF$107&gt;$I139),0,$J139))</f>
        <v>0</v>
      </c>
      <c r="AG139" s="1084">
        <f>IF(OR($H139="",$I139=""),0,IF(OR(AG$107&lt;$H139,AG$107&gt;$I139),0,$J139))</f>
        <v>0</v>
      </c>
      <c r="AH139" s="1084">
        <f>IF(OR($H139="",$I139=""),0,IF(OR(AH$107&lt;$H139,AH$107&gt;$I139),0,$J139))</f>
        <v>0</v>
      </c>
      <c r="AI139" s="1084">
        <f>IF(OR($H139="",$I139=""),0,IF(OR(AI$107&lt;$H139,AI$107&gt;$I139),0,$J139))</f>
        <v>0</v>
      </c>
      <c r="AJ139" s="1084">
        <f>IF(OR($H139="",$I139=""),0,IF(OR(AJ$107&lt;$H139,AJ$107&gt;$I139),0,$J139))</f>
        <v>0</v>
      </c>
      <c r="AK139" s="1084">
        <f>IF(OR($H139="",$I139=""),0,IF(OR(AK$107&lt;$H139,AK$107&gt;$I139),0,$J139))</f>
        <v>0</v>
      </c>
      <c r="AL139" s="1084">
        <f>IF(OR($H139="",$I139=""),0,IF(OR(AL$107&lt;$H139,AL$107&gt;$I139),0,$J139))</f>
        <v>0</v>
      </c>
      <c r="AM139" s="1084">
        <f>IF(OR($H139="",$I139=""),0,IF(OR(AM$107&lt;$H139,AM$107&gt;$I139),0,$J139))</f>
        <v>0</v>
      </c>
      <c r="AN139" s="1084">
        <f>IF(OR($H139="",$I139=""),0,IF(OR(AN$107&lt;$H139,AN$107&gt;$I139),0,$J139))</f>
        <v>0</v>
      </c>
      <c r="AO139" s="1084">
        <f>IF(OR($H139="",$I139=""),0,IF(OR(AO$107&lt;$H139,AO$107&gt;$I139),0,$J139))</f>
        <v>0</v>
      </c>
      <c r="AP139" s="1084">
        <f>IF(OR($H139="",$I139=""),0,IF(OR(AP$107&lt;$H139,AP$107&gt;$I139),0,$J139))</f>
        <v>0</v>
      </c>
      <c r="AQ139" s="1084">
        <f>IF(OR($H139="",$I139=""),0,IF(OR(AQ$107&lt;$H139,AQ$107&gt;$I139),0,$J139))</f>
        <v>0</v>
      </c>
      <c r="AR139" s="1084">
        <f>IF(OR($H139="",$I139=""),0,IF(OR(AR$107&lt;$H139,AR$107&gt;$I139),0,$J139))</f>
        <v>0</v>
      </c>
      <c r="AS139" s="1084">
        <f>IF(OR($H139="",$I139=""),0,IF(OR(AS$107&lt;$H139,AS$107&gt;$I139),0,$J139))</f>
        <v>0</v>
      </c>
      <c r="AT139" s="1084">
        <f>IF(OR($H139="",$I139=""),0,IF(OR(AT$107&lt;$H139,AT$107&gt;$I139),0,$J139))</f>
        <v>0</v>
      </c>
      <c r="AU139" s="1084">
        <f>IF(OR($H139="",$I139=""),0,IF(OR(AU$107&lt;$H139,AU$107&gt;$I139),0,$J139))</f>
        <v>0</v>
      </c>
      <c r="AV139" s="1084">
        <f>IF(OR($H139="",$I139=""),0,IF(OR(AV$107&lt;$H139,AV$107&gt;$I139),0,$J139))</f>
        <v>0</v>
      </c>
      <c r="AW139" s="1084">
        <f>IF(OR($H139="",$I139=""),0,IF(OR(AW$107&lt;$H139,AW$107&gt;$I139),0,$J139))</f>
        <v>0</v>
      </c>
      <c r="AX139" s="1084">
        <f>IF(OR($H139="",$I139=""),0,IF(OR(AX$107&lt;$H139,AX$107&gt;$I139),0,$J139))</f>
        <v>0</v>
      </c>
      <c r="AY139" s="1085">
        <f>IF(OR($H139="",$I139=""),0,IF(OR(AY$107&lt;$H139,AY$107&gt;$I139),0,$J139))</f>
        <v>0</v>
      </c>
      <c r="AZ139" s="1240">
        <f>IF(OR($H139="",$I139=""),0,IF(OR(AZ$107&lt;$H139,AZ$107&gt;$I139),0,$J139))</f>
        <v>0</v>
      </c>
      <c r="BA139" s="1084">
        <f>IF(OR($H139="",$I139=""),0,IF(OR(BA$107&lt;$H139,BA$107&gt;$I139),0,$J139))</f>
        <v>0</v>
      </c>
      <c r="BB139" s="1084">
        <f>IF(OR($H139="",$I139=""),0,IF(OR(BB$107&lt;$H139,BB$107&gt;$I139),0,$J139))</f>
        <v>0</v>
      </c>
      <c r="BC139" s="1084">
        <f>IF(OR($H139="",$I139=""),0,IF(OR(BC$107&lt;$H139,BC$107&gt;$I139),0,$J139))</f>
        <v>0</v>
      </c>
      <c r="BD139" s="1084">
        <f>IF(OR($H139="",$I139=""),0,IF(OR(BD$107&lt;$H139,BD$107&gt;$I139),0,$J139))</f>
        <v>0</v>
      </c>
      <c r="BE139" s="1084">
        <f>IF(OR($H139="",$I139=""),0,IF(OR(BE$107&lt;$H139,BE$107&gt;$I139),0,$J139))</f>
        <v>0</v>
      </c>
      <c r="BF139" s="1084">
        <f>IF(OR($H139="",$I139=""),0,IF(OR(BF$107&lt;$H139,BF$107&gt;$I139),0,$J139))</f>
        <v>0</v>
      </c>
      <c r="BG139" s="1084">
        <f>IF(OR($H139="",$I139=""),0,IF(OR(BG$107&lt;$H139,BG$107&gt;$I139),0,$J139))</f>
        <v>0</v>
      </c>
      <c r="BH139" s="1084">
        <f>IF(OR($H139="",$I139=""),0,IF(OR(BH$107&lt;$H139,BH$107&gt;$I139),0,$J139))</f>
        <v>0</v>
      </c>
      <c r="BI139" s="1084">
        <f>IF(OR($H139="",$I139=""),0,IF(OR(BI$107&lt;$H139,BI$107&gt;$I139),0,$J139))</f>
        <v>0</v>
      </c>
      <c r="BJ139" s="1084">
        <f>IF(OR($H139="",$I139=""),0,IF(OR(BJ$107&lt;$H139,BJ$107&gt;$I139),0,$J139))</f>
        <v>0</v>
      </c>
      <c r="BK139" s="1084">
        <f>IF(OR($H139="",$I139=""),0,IF(OR(BK$107&lt;$H139,BK$107&gt;$I139),0,$J139))</f>
        <v>0</v>
      </c>
      <c r="BL139" s="1084">
        <f>IF(OR($H139="",$I139=""),0,IF(OR(BL$107&lt;$H139,BL$107&gt;$I139),0,$J139))</f>
        <v>0</v>
      </c>
      <c r="BM139" s="1084">
        <f>IF(OR($H139="",$I139=""),0,IF(OR(BM$107&lt;$H139,BM$107&gt;$I139),0,$J139))</f>
        <v>0</v>
      </c>
      <c r="BN139" s="1084">
        <f>IF(OR($H139="",$I139=""),0,IF(OR(BN$107&lt;$H139,BN$107&gt;$I139),0,$J139))</f>
        <v>0</v>
      </c>
      <c r="BO139" s="1084">
        <f>IF(OR($H139="",$I139=""),0,IF(OR(BO$107&lt;$H139,BO$107&gt;$I139),0,$J139))</f>
        <v>0</v>
      </c>
      <c r="BP139" s="1084">
        <f>IF(OR($H139="",$I139=""),0,IF(OR(BP$107&lt;$H139,BP$107&gt;$I139),0,$J139))</f>
        <v>0</v>
      </c>
      <c r="BQ139" s="1084">
        <f>IF(OR($H139="",$I139=""),0,IF(OR(BQ$107&lt;$H139,BQ$107&gt;$I139),0,$J139))</f>
        <v>0</v>
      </c>
      <c r="BR139" s="1084">
        <f>IF(OR($H139="",$I139=""),0,IF(OR(BR$107&lt;$H139,BR$107&gt;$I139),0,$J139))</f>
        <v>0</v>
      </c>
      <c r="BS139" s="1084">
        <f>IF(OR($H139="",$I139=""),0,IF(OR(BS$107&lt;$H139,BS$107&gt;$I139),0,$J139))</f>
        <v>0</v>
      </c>
      <c r="BT139" s="1084">
        <f>IF(OR($H139="",$I139=""),0,IF(OR(BT$107&lt;$H139,BT$107&gt;$I139),0,$J139))</f>
        <v>0</v>
      </c>
      <c r="BU139" s="1084">
        <f>IF(OR($H139="",$I139=""),0,IF(OR(BU$107&lt;$H139,BU$107&gt;$I139),0,$J139))</f>
        <v>0</v>
      </c>
      <c r="BV139" s="1084">
        <f>IF(OR($H139="",$I139=""),0,IF(OR(BV$107&lt;$H139,BV$107&gt;$I139),0,$J139))</f>
        <v>0</v>
      </c>
      <c r="BW139" s="1085">
        <f>IF(OR($H139="",$I139=""),0,IF(OR(BW$107&lt;$H139,BW$107&gt;$I139),0,$J139))</f>
        <v>0</v>
      </c>
      <c r="DD139" s="131"/>
    </row>
    <row r="140" spans="1:108" s="8" customFormat="1" ht="12" hidden="1" customHeight="1" thickBot="1" x14ac:dyDescent="0.4">
      <c r="A140" s="133">
        <v>33</v>
      </c>
      <c r="B140" s="1711" t="str">
        <f>IF(A140&gt;F$107,"{Can hide row}","")</f>
        <v>{Can hide row}</v>
      </c>
      <c r="C140" s="9" t="str">
        <f>A140&amp;" "</f>
        <v xml:space="preserve">33 </v>
      </c>
      <c r="D140" s="1843"/>
      <c r="E140" s="1844"/>
      <c r="F140" s="1845"/>
      <c r="G140" s="590"/>
      <c r="H140" s="616"/>
      <c r="I140" s="616"/>
      <c r="J140" s="1055">
        <f>IF(I140&lt;&gt;"",1,0)</f>
        <v>0</v>
      </c>
      <c r="K140" s="1050">
        <f>IF(I140&lt;&gt;"",$O$102,0)</f>
        <v>0</v>
      </c>
      <c r="L140" s="1050">
        <f>IF(I140&lt;&gt;"",L139,0)</f>
        <v>0</v>
      </c>
      <c r="M140" s="1049">
        <f>IF(I140&lt;&gt;"",M139,0)</f>
        <v>0</v>
      </c>
      <c r="N140" s="1001"/>
      <c r="P140" s="1083">
        <f>IF(OR($H140="",$I140=""),0,IF(OR(P$107&lt;$H140,P$107&gt;$I140),0,$J140))</f>
        <v>0</v>
      </c>
      <c r="Q140" s="1084">
        <f>IF(OR($H140="",$I140=""),0,IF(OR(Q$107&lt;$H140,Q$107&gt;$I140),0,$J140))</f>
        <v>0</v>
      </c>
      <c r="R140" s="1084">
        <f>IF(OR($H140="",$I140=""),0,IF(OR(R$107&lt;$H140,R$107&gt;$I140),0,$J140))</f>
        <v>0</v>
      </c>
      <c r="S140" s="1084">
        <f>IF(OR($H140="",$I140=""),0,IF(OR(S$107&lt;$H140,S$107&gt;$I140),0,$J140))</f>
        <v>0</v>
      </c>
      <c r="T140" s="1084">
        <f>IF(OR($H140="",$I140=""),0,IF(OR(T$107&lt;$H140,T$107&gt;$I140),0,$J140))</f>
        <v>0</v>
      </c>
      <c r="U140" s="1084">
        <f>IF(OR($H140="",$I140=""),0,IF(OR(U$107&lt;$H140,U$107&gt;$I140),0,$J140))</f>
        <v>0</v>
      </c>
      <c r="V140" s="1084">
        <f>IF(OR($H140="",$I140=""),0,IF(OR(V$107&lt;$H140,V$107&gt;$I140),0,$J140))</f>
        <v>0</v>
      </c>
      <c r="W140" s="1084">
        <f>IF(OR($H140="",$I140=""),0,IF(OR(W$107&lt;$H140,W$107&gt;$I140),0,$J140))</f>
        <v>0</v>
      </c>
      <c r="X140" s="1084">
        <f>IF(OR($H140="",$I140=""),0,IF(OR(X$107&lt;$H140,X$107&gt;$I140),0,$J140))</f>
        <v>0</v>
      </c>
      <c r="Y140" s="1084">
        <f>IF(OR($H140="",$I140=""),0,IF(OR(Y$107&lt;$H140,Y$107&gt;$I140),0,$J140))</f>
        <v>0</v>
      </c>
      <c r="Z140" s="1084">
        <f>IF(OR($H140="",$I140=""),0,IF(OR(Z$107&lt;$H140,Z$107&gt;$I140),0,$J140))</f>
        <v>0</v>
      </c>
      <c r="AA140" s="1084">
        <f>IF(OR($H140="",$I140=""),0,IF(OR(AA$107&lt;$H140,AA$107&gt;$I140),0,$J140))</f>
        <v>0</v>
      </c>
      <c r="AB140" s="1084">
        <f>IF(OR($H140="",$I140=""),0,IF(OR(AB$107&lt;$H140,AB$107&gt;$I140),0,$J140))</f>
        <v>0</v>
      </c>
      <c r="AC140" s="1084">
        <f>IF(OR($H140="",$I140=""),0,IF(OR(AC$107&lt;$H140,AC$107&gt;$I140),0,$J140))</f>
        <v>0</v>
      </c>
      <c r="AD140" s="1084">
        <f>IF(OR($H140="",$I140=""),0,IF(OR(AD$107&lt;$H140,AD$107&gt;$I140),0,$J140))</f>
        <v>0</v>
      </c>
      <c r="AE140" s="1084">
        <f>IF(OR($H140="",$I140=""),0,IF(OR(AE$107&lt;$H140,AE$107&gt;$I140),0,$J140))</f>
        <v>0</v>
      </c>
      <c r="AF140" s="1084">
        <f>IF(OR($H140="",$I140=""),0,IF(OR(AF$107&lt;$H140,AF$107&gt;$I140),0,$J140))</f>
        <v>0</v>
      </c>
      <c r="AG140" s="1084">
        <f>IF(OR($H140="",$I140=""),0,IF(OR(AG$107&lt;$H140,AG$107&gt;$I140),0,$J140))</f>
        <v>0</v>
      </c>
      <c r="AH140" s="1084">
        <f>IF(OR($H140="",$I140=""),0,IF(OR(AH$107&lt;$H140,AH$107&gt;$I140),0,$J140))</f>
        <v>0</v>
      </c>
      <c r="AI140" s="1084">
        <f>IF(OR($H140="",$I140=""),0,IF(OR(AI$107&lt;$H140,AI$107&gt;$I140),0,$J140))</f>
        <v>0</v>
      </c>
      <c r="AJ140" s="1084">
        <f>IF(OR($H140="",$I140=""),0,IF(OR(AJ$107&lt;$H140,AJ$107&gt;$I140),0,$J140))</f>
        <v>0</v>
      </c>
      <c r="AK140" s="1084">
        <f>IF(OR($H140="",$I140=""),0,IF(OR(AK$107&lt;$H140,AK$107&gt;$I140),0,$J140))</f>
        <v>0</v>
      </c>
      <c r="AL140" s="1084">
        <f>IF(OR($H140="",$I140=""),0,IF(OR(AL$107&lt;$H140,AL$107&gt;$I140),0,$J140))</f>
        <v>0</v>
      </c>
      <c r="AM140" s="1084">
        <f>IF(OR($H140="",$I140=""),0,IF(OR(AM$107&lt;$H140,AM$107&gt;$I140),0,$J140))</f>
        <v>0</v>
      </c>
      <c r="AN140" s="1084">
        <f>IF(OR($H140="",$I140=""),0,IF(OR(AN$107&lt;$H140,AN$107&gt;$I140),0,$J140))</f>
        <v>0</v>
      </c>
      <c r="AO140" s="1084">
        <f>IF(OR($H140="",$I140=""),0,IF(OR(AO$107&lt;$H140,AO$107&gt;$I140),0,$J140))</f>
        <v>0</v>
      </c>
      <c r="AP140" s="1084">
        <f>IF(OR($H140="",$I140=""),0,IF(OR(AP$107&lt;$H140,AP$107&gt;$I140),0,$J140))</f>
        <v>0</v>
      </c>
      <c r="AQ140" s="1084">
        <f>IF(OR($H140="",$I140=""),0,IF(OR(AQ$107&lt;$H140,AQ$107&gt;$I140),0,$J140))</f>
        <v>0</v>
      </c>
      <c r="AR140" s="1084">
        <f>IF(OR($H140="",$I140=""),0,IF(OR(AR$107&lt;$H140,AR$107&gt;$I140),0,$J140))</f>
        <v>0</v>
      </c>
      <c r="AS140" s="1084">
        <f>IF(OR($H140="",$I140=""),0,IF(OR(AS$107&lt;$H140,AS$107&gt;$I140),0,$J140))</f>
        <v>0</v>
      </c>
      <c r="AT140" s="1084">
        <f>IF(OR($H140="",$I140=""),0,IF(OR(AT$107&lt;$H140,AT$107&gt;$I140),0,$J140))</f>
        <v>0</v>
      </c>
      <c r="AU140" s="1084">
        <f>IF(OR($H140="",$I140=""),0,IF(OR(AU$107&lt;$H140,AU$107&gt;$I140),0,$J140))</f>
        <v>0</v>
      </c>
      <c r="AV140" s="1084">
        <f>IF(OR($H140="",$I140=""),0,IF(OR(AV$107&lt;$H140,AV$107&gt;$I140),0,$J140))</f>
        <v>0</v>
      </c>
      <c r="AW140" s="1084">
        <f>IF(OR($H140="",$I140=""),0,IF(OR(AW$107&lt;$H140,AW$107&gt;$I140),0,$J140))</f>
        <v>0</v>
      </c>
      <c r="AX140" s="1084">
        <f>IF(OR($H140="",$I140=""),0,IF(OR(AX$107&lt;$H140,AX$107&gt;$I140),0,$J140))</f>
        <v>0</v>
      </c>
      <c r="AY140" s="1085">
        <f>IF(OR($H140="",$I140=""),0,IF(OR(AY$107&lt;$H140,AY$107&gt;$I140),0,$J140))</f>
        <v>0</v>
      </c>
      <c r="AZ140" s="1240">
        <f>IF(OR($H140="",$I140=""),0,IF(OR(AZ$107&lt;$H140,AZ$107&gt;$I140),0,$J140))</f>
        <v>0</v>
      </c>
      <c r="BA140" s="1084">
        <f>IF(OR($H140="",$I140=""),0,IF(OR(BA$107&lt;$H140,BA$107&gt;$I140),0,$J140))</f>
        <v>0</v>
      </c>
      <c r="BB140" s="1084">
        <f>IF(OR($H140="",$I140=""),0,IF(OR(BB$107&lt;$H140,BB$107&gt;$I140),0,$J140))</f>
        <v>0</v>
      </c>
      <c r="BC140" s="1084">
        <f>IF(OR($H140="",$I140=""),0,IF(OR(BC$107&lt;$H140,BC$107&gt;$I140),0,$J140))</f>
        <v>0</v>
      </c>
      <c r="BD140" s="1084">
        <f>IF(OR($H140="",$I140=""),0,IF(OR(BD$107&lt;$H140,BD$107&gt;$I140),0,$J140))</f>
        <v>0</v>
      </c>
      <c r="BE140" s="1084">
        <f>IF(OR($H140="",$I140=""),0,IF(OR(BE$107&lt;$H140,BE$107&gt;$I140),0,$J140))</f>
        <v>0</v>
      </c>
      <c r="BF140" s="1084">
        <f>IF(OR($H140="",$I140=""),0,IF(OR(BF$107&lt;$H140,BF$107&gt;$I140),0,$J140))</f>
        <v>0</v>
      </c>
      <c r="BG140" s="1084">
        <f>IF(OR($H140="",$I140=""),0,IF(OR(BG$107&lt;$H140,BG$107&gt;$I140),0,$J140))</f>
        <v>0</v>
      </c>
      <c r="BH140" s="1084">
        <f>IF(OR($H140="",$I140=""),0,IF(OR(BH$107&lt;$H140,BH$107&gt;$I140),0,$J140))</f>
        <v>0</v>
      </c>
      <c r="BI140" s="1084">
        <f>IF(OR($H140="",$I140=""),0,IF(OR(BI$107&lt;$H140,BI$107&gt;$I140),0,$J140))</f>
        <v>0</v>
      </c>
      <c r="BJ140" s="1084">
        <f>IF(OR($H140="",$I140=""),0,IF(OR(BJ$107&lt;$H140,BJ$107&gt;$I140),0,$J140))</f>
        <v>0</v>
      </c>
      <c r="BK140" s="1084">
        <f>IF(OR($H140="",$I140=""),0,IF(OR(BK$107&lt;$H140,BK$107&gt;$I140),0,$J140))</f>
        <v>0</v>
      </c>
      <c r="BL140" s="1084">
        <f>IF(OR($H140="",$I140=""),0,IF(OR(BL$107&lt;$H140,BL$107&gt;$I140),0,$J140))</f>
        <v>0</v>
      </c>
      <c r="BM140" s="1084">
        <f>IF(OR($H140="",$I140=""),0,IF(OR(BM$107&lt;$H140,BM$107&gt;$I140),0,$J140))</f>
        <v>0</v>
      </c>
      <c r="BN140" s="1084">
        <f>IF(OR($H140="",$I140=""),0,IF(OR(BN$107&lt;$H140,BN$107&gt;$I140),0,$J140))</f>
        <v>0</v>
      </c>
      <c r="BO140" s="1084">
        <f>IF(OR($H140="",$I140=""),0,IF(OR(BO$107&lt;$H140,BO$107&gt;$I140),0,$J140))</f>
        <v>0</v>
      </c>
      <c r="BP140" s="1084">
        <f>IF(OR($H140="",$I140=""),0,IF(OR(BP$107&lt;$H140,BP$107&gt;$I140),0,$J140))</f>
        <v>0</v>
      </c>
      <c r="BQ140" s="1084">
        <f>IF(OR($H140="",$I140=""),0,IF(OR(BQ$107&lt;$H140,BQ$107&gt;$I140),0,$J140))</f>
        <v>0</v>
      </c>
      <c r="BR140" s="1084">
        <f>IF(OR($H140="",$I140=""),0,IF(OR(BR$107&lt;$H140,BR$107&gt;$I140),0,$J140))</f>
        <v>0</v>
      </c>
      <c r="BS140" s="1084">
        <f>IF(OR($H140="",$I140=""),0,IF(OR(BS$107&lt;$H140,BS$107&gt;$I140),0,$J140))</f>
        <v>0</v>
      </c>
      <c r="BT140" s="1084">
        <f>IF(OR($H140="",$I140=""),0,IF(OR(BT$107&lt;$H140,BT$107&gt;$I140),0,$J140))</f>
        <v>0</v>
      </c>
      <c r="BU140" s="1084">
        <f>IF(OR($H140="",$I140=""),0,IF(OR(BU$107&lt;$H140,BU$107&gt;$I140),0,$J140))</f>
        <v>0</v>
      </c>
      <c r="BV140" s="1084">
        <f>IF(OR($H140="",$I140=""),0,IF(OR(BV$107&lt;$H140,BV$107&gt;$I140),0,$J140))</f>
        <v>0</v>
      </c>
      <c r="BW140" s="1085">
        <f>IF(OR($H140="",$I140=""),0,IF(OR(BW$107&lt;$H140,BW$107&gt;$I140),0,$J140))</f>
        <v>0</v>
      </c>
      <c r="DD140" s="131"/>
    </row>
    <row r="141" spans="1:108" s="8" customFormat="1" ht="12" hidden="1" customHeight="1" thickBot="1" x14ac:dyDescent="0.4">
      <c r="A141" s="133">
        <v>34</v>
      </c>
      <c r="B141" s="1711" t="str">
        <f>IF(A141&gt;F$107,"{Can hide row}","")</f>
        <v>{Can hide row}</v>
      </c>
      <c r="C141" s="9" t="str">
        <f>A141&amp;" "</f>
        <v xml:space="preserve">34 </v>
      </c>
      <c r="D141" s="1843"/>
      <c r="E141" s="1844"/>
      <c r="F141" s="1845"/>
      <c r="G141" s="590"/>
      <c r="H141" s="616"/>
      <c r="I141" s="616"/>
      <c r="J141" s="1055">
        <f>IF(I141&lt;&gt;"",1,0)</f>
        <v>0</v>
      </c>
      <c r="K141" s="1050">
        <f>IF(I141&lt;&gt;"",$O$102,0)</f>
        <v>0</v>
      </c>
      <c r="L141" s="1050">
        <f>IF(I141&lt;&gt;"",L140,0)</f>
        <v>0</v>
      </c>
      <c r="M141" s="1049">
        <f>IF(I141&lt;&gt;"",M140,0)</f>
        <v>0</v>
      </c>
      <c r="N141" s="1001"/>
      <c r="P141" s="1083">
        <f>IF(OR($H141="",$I141=""),0,IF(OR(P$107&lt;$H141,P$107&gt;$I141),0,$J141))</f>
        <v>0</v>
      </c>
      <c r="Q141" s="1084">
        <f>IF(OR($H141="",$I141=""),0,IF(OR(Q$107&lt;$H141,Q$107&gt;$I141),0,$J141))</f>
        <v>0</v>
      </c>
      <c r="R141" s="1084">
        <f>IF(OR($H141="",$I141=""),0,IF(OR(R$107&lt;$H141,R$107&gt;$I141),0,$J141))</f>
        <v>0</v>
      </c>
      <c r="S141" s="1084">
        <f>IF(OR($H141="",$I141=""),0,IF(OR(S$107&lt;$H141,S$107&gt;$I141),0,$J141))</f>
        <v>0</v>
      </c>
      <c r="T141" s="1084">
        <f>IF(OR($H141="",$I141=""),0,IF(OR(T$107&lt;$H141,T$107&gt;$I141),0,$J141))</f>
        <v>0</v>
      </c>
      <c r="U141" s="1084">
        <f>IF(OR($H141="",$I141=""),0,IF(OR(U$107&lt;$H141,U$107&gt;$I141),0,$J141))</f>
        <v>0</v>
      </c>
      <c r="V141" s="1084">
        <f>IF(OR($H141="",$I141=""),0,IF(OR(V$107&lt;$H141,V$107&gt;$I141),0,$J141))</f>
        <v>0</v>
      </c>
      <c r="W141" s="1084">
        <f>IF(OR($H141="",$I141=""),0,IF(OR(W$107&lt;$H141,W$107&gt;$I141),0,$J141))</f>
        <v>0</v>
      </c>
      <c r="X141" s="1084">
        <f>IF(OR($H141="",$I141=""),0,IF(OR(X$107&lt;$H141,X$107&gt;$I141),0,$J141))</f>
        <v>0</v>
      </c>
      <c r="Y141" s="1084">
        <f>IF(OR($H141="",$I141=""),0,IF(OR(Y$107&lt;$H141,Y$107&gt;$I141),0,$J141))</f>
        <v>0</v>
      </c>
      <c r="Z141" s="1084">
        <f>IF(OR($H141="",$I141=""),0,IF(OR(Z$107&lt;$H141,Z$107&gt;$I141),0,$J141))</f>
        <v>0</v>
      </c>
      <c r="AA141" s="1084">
        <f>IF(OR($H141="",$I141=""),0,IF(OR(AA$107&lt;$H141,AA$107&gt;$I141),0,$J141))</f>
        <v>0</v>
      </c>
      <c r="AB141" s="1084">
        <f>IF(OR($H141="",$I141=""),0,IF(OR(AB$107&lt;$H141,AB$107&gt;$I141),0,$J141))</f>
        <v>0</v>
      </c>
      <c r="AC141" s="1084">
        <f>IF(OR($H141="",$I141=""),0,IF(OR(AC$107&lt;$H141,AC$107&gt;$I141),0,$J141))</f>
        <v>0</v>
      </c>
      <c r="AD141" s="1084">
        <f>IF(OR($H141="",$I141=""),0,IF(OR(AD$107&lt;$H141,AD$107&gt;$I141),0,$J141))</f>
        <v>0</v>
      </c>
      <c r="AE141" s="1084">
        <f>IF(OR($H141="",$I141=""),0,IF(OR(AE$107&lt;$H141,AE$107&gt;$I141),0,$J141))</f>
        <v>0</v>
      </c>
      <c r="AF141" s="1084">
        <f>IF(OR($H141="",$I141=""),0,IF(OR(AF$107&lt;$H141,AF$107&gt;$I141),0,$J141))</f>
        <v>0</v>
      </c>
      <c r="AG141" s="1084">
        <f>IF(OR($H141="",$I141=""),0,IF(OR(AG$107&lt;$H141,AG$107&gt;$I141),0,$J141))</f>
        <v>0</v>
      </c>
      <c r="AH141" s="1084">
        <f>IF(OR($H141="",$I141=""),0,IF(OR(AH$107&lt;$H141,AH$107&gt;$I141),0,$J141))</f>
        <v>0</v>
      </c>
      <c r="AI141" s="1084">
        <f>IF(OR($H141="",$I141=""),0,IF(OR(AI$107&lt;$H141,AI$107&gt;$I141),0,$J141))</f>
        <v>0</v>
      </c>
      <c r="AJ141" s="1084">
        <f>IF(OR($H141="",$I141=""),0,IF(OR(AJ$107&lt;$H141,AJ$107&gt;$I141),0,$J141))</f>
        <v>0</v>
      </c>
      <c r="AK141" s="1084">
        <f>IF(OR($H141="",$I141=""),0,IF(OR(AK$107&lt;$H141,AK$107&gt;$I141),0,$J141))</f>
        <v>0</v>
      </c>
      <c r="AL141" s="1084">
        <f>IF(OR($H141="",$I141=""),0,IF(OR(AL$107&lt;$H141,AL$107&gt;$I141),0,$J141))</f>
        <v>0</v>
      </c>
      <c r="AM141" s="1084">
        <f>IF(OR($H141="",$I141=""),0,IF(OR(AM$107&lt;$H141,AM$107&gt;$I141),0,$J141))</f>
        <v>0</v>
      </c>
      <c r="AN141" s="1084">
        <f>IF(OR($H141="",$I141=""),0,IF(OR(AN$107&lt;$H141,AN$107&gt;$I141),0,$J141))</f>
        <v>0</v>
      </c>
      <c r="AO141" s="1084">
        <f>IF(OR($H141="",$I141=""),0,IF(OR(AO$107&lt;$H141,AO$107&gt;$I141),0,$J141))</f>
        <v>0</v>
      </c>
      <c r="AP141" s="1084">
        <f>IF(OR($H141="",$I141=""),0,IF(OR(AP$107&lt;$H141,AP$107&gt;$I141),0,$J141))</f>
        <v>0</v>
      </c>
      <c r="AQ141" s="1084">
        <f>IF(OR($H141="",$I141=""),0,IF(OR(AQ$107&lt;$H141,AQ$107&gt;$I141),0,$J141))</f>
        <v>0</v>
      </c>
      <c r="AR141" s="1084">
        <f>IF(OR($H141="",$I141=""),0,IF(OR(AR$107&lt;$H141,AR$107&gt;$I141),0,$J141))</f>
        <v>0</v>
      </c>
      <c r="AS141" s="1084">
        <f>IF(OR($H141="",$I141=""),0,IF(OR(AS$107&lt;$H141,AS$107&gt;$I141),0,$J141))</f>
        <v>0</v>
      </c>
      <c r="AT141" s="1084">
        <f>IF(OR($H141="",$I141=""),0,IF(OR(AT$107&lt;$H141,AT$107&gt;$I141),0,$J141))</f>
        <v>0</v>
      </c>
      <c r="AU141" s="1084">
        <f>IF(OR($H141="",$I141=""),0,IF(OR(AU$107&lt;$H141,AU$107&gt;$I141),0,$J141))</f>
        <v>0</v>
      </c>
      <c r="AV141" s="1084">
        <f>IF(OR($H141="",$I141=""),0,IF(OR(AV$107&lt;$H141,AV$107&gt;$I141),0,$J141))</f>
        <v>0</v>
      </c>
      <c r="AW141" s="1084">
        <f>IF(OR($H141="",$I141=""),0,IF(OR(AW$107&lt;$H141,AW$107&gt;$I141),0,$J141))</f>
        <v>0</v>
      </c>
      <c r="AX141" s="1084">
        <f>IF(OR($H141="",$I141=""),0,IF(OR(AX$107&lt;$H141,AX$107&gt;$I141),0,$J141))</f>
        <v>0</v>
      </c>
      <c r="AY141" s="1085">
        <f>IF(OR($H141="",$I141=""),0,IF(OR(AY$107&lt;$H141,AY$107&gt;$I141),0,$J141))</f>
        <v>0</v>
      </c>
      <c r="AZ141" s="1240">
        <f>IF(OR($H141="",$I141=""),0,IF(OR(AZ$107&lt;$H141,AZ$107&gt;$I141),0,$J141))</f>
        <v>0</v>
      </c>
      <c r="BA141" s="1084">
        <f>IF(OR($H141="",$I141=""),0,IF(OR(BA$107&lt;$H141,BA$107&gt;$I141),0,$J141))</f>
        <v>0</v>
      </c>
      <c r="BB141" s="1084">
        <f>IF(OR($H141="",$I141=""),0,IF(OR(BB$107&lt;$H141,BB$107&gt;$I141),0,$J141))</f>
        <v>0</v>
      </c>
      <c r="BC141" s="1084">
        <f>IF(OR($H141="",$I141=""),0,IF(OR(BC$107&lt;$H141,BC$107&gt;$I141),0,$J141))</f>
        <v>0</v>
      </c>
      <c r="BD141" s="1084">
        <f>IF(OR($H141="",$I141=""),0,IF(OR(BD$107&lt;$H141,BD$107&gt;$I141),0,$J141))</f>
        <v>0</v>
      </c>
      <c r="BE141" s="1084">
        <f>IF(OR($H141="",$I141=""),0,IF(OR(BE$107&lt;$H141,BE$107&gt;$I141),0,$J141))</f>
        <v>0</v>
      </c>
      <c r="BF141" s="1084">
        <f>IF(OR($H141="",$I141=""),0,IF(OR(BF$107&lt;$H141,BF$107&gt;$I141),0,$J141))</f>
        <v>0</v>
      </c>
      <c r="BG141" s="1084">
        <f>IF(OR($H141="",$I141=""),0,IF(OR(BG$107&lt;$H141,BG$107&gt;$I141),0,$J141))</f>
        <v>0</v>
      </c>
      <c r="BH141" s="1084">
        <f>IF(OR($H141="",$I141=""),0,IF(OR(BH$107&lt;$H141,BH$107&gt;$I141),0,$J141))</f>
        <v>0</v>
      </c>
      <c r="BI141" s="1084">
        <f>IF(OR($H141="",$I141=""),0,IF(OR(BI$107&lt;$H141,BI$107&gt;$I141),0,$J141))</f>
        <v>0</v>
      </c>
      <c r="BJ141" s="1084">
        <f>IF(OR($H141="",$I141=""),0,IF(OR(BJ$107&lt;$H141,BJ$107&gt;$I141),0,$J141))</f>
        <v>0</v>
      </c>
      <c r="BK141" s="1084">
        <f>IF(OR($H141="",$I141=""),0,IF(OR(BK$107&lt;$H141,BK$107&gt;$I141),0,$J141))</f>
        <v>0</v>
      </c>
      <c r="BL141" s="1084">
        <f>IF(OR($H141="",$I141=""),0,IF(OR(BL$107&lt;$H141,BL$107&gt;$I141),0,$J141))</f>
        <v>0</v>
      </c>
      <c r="BM141" s="1084">
        <f>IF(OR($H141="",$I141=""),0,IF(OR(BM$107&lt;$H141,BM$107&gt;$I141),0,$J141))</f>
        <v>0</v>
      </c>
      <c r="BN141" s="1084">
        <f>IF(OR($H141="",$I141=""),0,IF(OR(BN$107&lt;$H141,BN$107&gt;$I141),0,$J141))</f>
        <v>0</v>
      </c>
      <c r="BO141" s="1084">
        <f>IF(OR($H141="",$I141=""),0,IF(OR(BO$107&lt;$H141,BO$107&gt;$I141),0,$J141))</f>
        <v>0</v>
      </c>
      <c r="BP141" s="1084">
        <f>IF(OR($H141="",$I141=""),0,IF(OR(BP$107&lt;$H141,BP$107&gt;$I141),0,$J141))</f>
        <v>0</v>
      </c>
      <c r="BQ141" s="1084">
        <f>IF(OR($H141="",$I141=""),0,IF(OR(BQ$107&lt;$H141,BQ$107&gt;$I141),0,$J141))</f>
        <v>0</v>
      </c>
      <c r="BR141" s="1084">
        <f>IF(OR($H141="",$I141=""),0,IF(OR(BR$107&lt;$H141,BR$107&gt;$I141),0,$J141))</f>
        <v>0</v>
      </c>
      <c r="BS141" s="1084">
        <f>IF(OR($H141="",$I141=""),0,IF(OR(BS$107&lt;$H141,BS$107&gt;$I141),0,$J141))</f>
        <v>0</v>
      </c>
      <c r="BT141" s="1084">
        <f>IF(OR($H141="",$I141=""),0,IF(OR(BT$107&lt;$H141,BT$107&gt;$I141),0,$J141))</f>
        <v>0</v>
      </c>
      <c r="BU141" s="1084">
        <f>IF(OR($H141="",$I141=""),0,IF(OR(BU$107&lt;$H141,BU$107&gt;$I141),0,$J141))</f>
        <v>0</v>
      </c>
      <c r="BV141" s="1084">
        <f>IF(OR($H141="",$I141=""),0,IF(OR(BV$107&lt;$H141,BV$107&gt;$I141),0,$J141))</f>
        <v>0</v>
      </c>
      <c r="BW141" s="1085">
        <f>IF(OR($H141="",$I141=""),0,IF(OR(BW$107&lt;$H141,BW$107&gt;$I141),0,$J141))</f>
        <v>0</v>
      </c>
      <c r="DD141" s="131"/>
    </row>
    <row r="142" spans="1:108" s="8" customFormat="1" ht="12" hidden="1" customHeight="1" thickBot="1" x14ac:dyDescent="0.4">
      <c r="A142" s="133">
        <v>35</v>
      </c>
      <c r="B142" s="1711" t="str">
        <f>IF(A142&gt;F$107,"{Can hide row}","")</f>
        <v>{Can hide row}</v>
      </c>
      <c r="C142" s="9" t="str">
        <f>A142&amp;" "</f>
        <v xml:space="preserve">35 </v>
      </c>
      <c r="D142" s="1843"/>
      <c r="E142" s="1844"/>
      <c r="F142" s="1845"/>
      <c r="G142" s="590"/>
      <c r="H142" s="616"/>
      <c r="I142" s="616"/>
      <c r="J142" s="1055">
        <f>IF(I142&lt;&gt;"",1,0)</f>
        <v>0</v>
      </c>
      <c r="K142" s="1050">
        <f>IF(I142&lt;&gt;"",$O$102,0)</f>
        <v>0</v>
      </c>
      <c r="L142" s="1050">
        <f>IF(I142&lt;&gt;"",L141,0)</f>
        <v>0</v>
      </c>
      <c r="M142" s="1049">
        <f>IF(I142&lt;&gt;"",M141,0)</f>
        <v>0</v>
      </c>
      <c r="N142" s="1001"/>
      <c r="P142" s="1083">
        <f>IF(OR($H142="",$I142=""),0,IF(OR(P$107&lt;$H142,P$107&gt;$I142),0,$J142))</f>
        <v>0</v>
      </c>
      <c r="Q142" s="1084">
        <f>IF(OR($H142="",$I142=""),0,IF(OR(Q$107&lt;$H142,Q$107&gt;$I142),0,$J142))</f>
        <v>0</v>
      </c>
      <c r="R142" s="1084">
        <f>IF(OR($H142="",$I142=""),0,IF(OR(R$107&lt;$H142,R$107&gt;$I142),0,$J142))</f>
        <v>0</v>
      </c>
      <c r="S142" s="1084">
        <f>IF(OR($H142="",$I142=""),0,IF(OR(S$107&lt;$H142,S$107&gt;$I142),0,$J142))</f>
        <v>0</v>
      </c>
      <c r="T142" s="1084">
        <f>IF(OR($H142="",$I142=""),0,IF(OR(T$107&lt;$H142,T$107&gt;$I142),0,$J142))</f>
        <v>0</v>
      </c>
      <c r="U142" s="1084">
        <f>IF(OR($H142="",$I142=""),0,IF(OR(U$107&lt;$H142,U$107&gt;$I142),0,$J142))</f>
        <v>0</v>
      </c>
      <c r="V142" s="1084">
        <f>IF(OR($H142="",$I142=""),0,IF(OR(V$107&lt;$H142,V$107&gt;$I142),0,$J142))</f>
        <v>0</v>
      </c>
      <c r="W142" s="1084">
        <f>IF(OR($H142="",$I142=""),0,IF(OR(W$107&lt;$H142,W$107&gt;$I142),0,$J142))</f>
        <v>0</v>
      </c>
      <c r="X142" s="1084">
        <f>IF(OR($H142="",$I142=""),0,IF(OR(X$107&lt;$H142,X$107&gt;$I142),0,$J142))</f>
        <v>0</v>
      </c>
      <c r="Y142" s="1084">
        <f>IF(OR($H142="",$I142=""),0,IF(OR(Y$107&lt;$H142,Y$107&gt;$I142),0,$J142))</f>
        <v>0</v>
      </c>
      <c r="Z142" s="1084">
        <f>IF(OR($H142="",$I142=""),0,IF(OR(Z$107&lt;$H142,Z$107&gt;$I142),0,$J142))</f>
        <v>0</v>
      </c>
      <c r="AA142" s="1084">
        <f>IF(OR($H142="",$I142=""),0,IF(OR(AA$107&lt;$H142,AA$107&gt;$I142),0,$J142))</f>
        <v>0</v>
      </c>
      <c r="AB142" s="1084">
        <f>IF(OR($H142="",$I142=""),0,IF(OR(AB$107&lt;$H142,AB$107&gt;$I142),0,$J142))</f>
        <v>0</v>
      </c>
      <c r="AC142" s="1084">
        <f>IF(OR($H142="",$I142=""),0,IF(OR(AC$107&lt;$H142,AC$107&gt;$I142),0,$J142))</f>
        <v>0</v>
      </c>
      <c r="AD142" s="1084">
        <f>IF(OR($H142="",$I142=""),0,IF(OR(AD$107&lt;$H142,AD$107&gt;$I142),0,$J142))</f>
        <v>0</v>
      </c>
      <c r="AE142" s="1084">
        <f>IF(OR($H142="",$I142=""),0,IF(OR(AE$107&lt;$H142,AE$107&gt;$I142),0,$J142))</f>
        <v>0</v>
      </c>
      <c r="AF142" s="1084">
        <f>IF(OR($H142="",$I142=""),0,IF(OR(AF$107&lt;$H142,AF$107&gt;$I142),0,$J142))</f>
        <v>0</v>
      </c>
      <c r="AG142" s="1084">
        <f>IF(OR($H142="",$I142=""),0,IF(OR(AG$107&lt;$H142,AG$107&gt;$I142),0,$J142))</f>
        <v>0</v>
      </c>
      <c r="AH142" s="1084">
        <f>IF(OR($H142="",$I142=""),0,IF(OR(AH$107&lt;$H142,AH$107&gt;$I142),0,$J142))</f>
        <v>0</v>
      </c>
      <c r="AI142" s="1084">
        <f>IF(OR($H142="",$I142=""),0,IF(OR(AI$107&lt;$H142,AI$107&gt;$I142),0,$J142))</f>
        <v>0</v>
      </c>
      <c r="AJ142" s="1084">
        <f>IF(OR($H142="",$I142=""),0,IF(OR(AJ$107&lt;$H142,AJ$107&gt;$I142),0,$J142))</f>
        <v>0</v>
      </c>
      <c r="AK142" s="1084">
        <f>IF(OR($H142="",$I142=""),0,IF(OR(AK$107&lt;$H142,AK$107&gt;$I142),0,$J142))</f>
        <v>0</v>
      </c>
      <c r="AL142" s="1084">
        <f>IF(OR($H142="",$I142=""),0,IF(OR(AL$107&lt;$H142,AL$107&gt;$I142),0,$J142))</f>
        <v>0</v>
      </c>
      <c r="AM142" s="1084">
        <f>IF(OR($H142="",$I142=""),0,IF(OR(AM$107&lt;$H142,AM$107&gt;$I142),0,$J142))</f>
        <v>0</v>
      </c>
      <c r="AN142" s="1084">
        <f>IF(OR($H142="",$I142=""),0,IF(OR(AN$107&lt;$H142,AN$107&gt;$I142),0,$J142))</f>
        <v>0</v>
      </c>
      <c r="AO142" s="1084">
        <f>IF(OR($H142="",$I142=""),0,IF(OR(AO$107&lt;$H142,AO$107&gt;$I142),0,$J142))</f>
        <v>0</v>
      </c>
      <c r="AP142" s="1084">
        <f>IF(OR($H142="",$I142=""),0,IF(OR(AP$107&lt;$H142,AP$107&gt;$I142),0,$J142))</f>
        <v>0</v>
      </c>
      <c r="AQ142" s="1084">
        <f>IF(OR($H142="",$I142=""),0,IF(OR(AQ$107&lt;$H142,AQ$107&gt;$I142),0,$J142))</f>
        <v>0</v>
      </c>
      <c r="AR142" s="1084">
        <f>IF(OR($H142="",$I142=""),0,IF(OR(AR$107&lt;$H142,AR$107&gt;$I142),0,$J142))</f>
        <v>0</v>
      </c>
      <c r="AS142" s="1084">
        <f>IF(OR($H142="",$I142=""),0,IF(OR(AS$107&lt;$H142,AS$107&gt;$I142),0,$J142))</f>
        <v>0</v>
      </c>
      <c r="AT142" s="1084">
        <f>IF(OR($H142="",$I142=""),0,IF(OR(AT$107&lt;$H142,AT$107&gt;$I142),0,$J142))</f>
        <v>0</v>
      </c>
      <c r="AU142" s="1084">
        <f>IF(OR($H142="",$I142=""),0,IF(OR(AU$107&lt;$H142,AU$107&gt;$I142),0,$J142))</f>
        <v>0</v>
      </c>
      <c r="AV142" s="1084">
        <f>IF(OR($H142="",$I142=""),0,IF(OR(AV$107&lt;$H142,AV$107&gt;$I142),0,$J142))</f>
        <v>0</v>
      </c>
      <c r="AW142" s="1084">
        <f>IF(OR($H142="",$I142=""),0,IF(OR(AW$107&lt;$H142,AW$107&gt;$I142),0,$J142))</f>
        <v>0</v>
      </c>
      <c r="AX142" s="1084">
        <f>IF(OR($H142="",$I142=""),0,IF(OR(AX$107&lt;$H142,AX$107&gt;$I142),0,$J142))</f>
        <v>0</v>
      </c>
      <c r="AY142" s="1085">
        <f>IF(OR($H142="",$I142=""),0,IF(OR(AY$107&lt;$H142,AY$107&gt;$I142),0,$J142))</f>
        <v>0</v>
      </c>
      <c r="AZ142" s="1240">
        <f>IF(OR($H142="",$I142=""),0,IF(OR(AZ$107&lt;$H142,AZ$107&gt;$I142),0,$J142))</f>
        <v>0</v>
      </c>
      <c r="BA142" s="1084">
        <f>IF(OR($H142="",$I142=""),0,IF(OR(BA$107&lt;$H142,BA$107&gt;$I142),0,$J142))</f>
        <v>0</v>
      </c>
      <c r="BB142" s="1084">
        <f>IF(OR($H142="",$I142=""),0,IF(OR(BB$107&lt;$H142,BB$107&gt;$I142),0,$J142))</f>
        <v>0</v>
      </c>
      <c r="BC142" s="1084">
        <f>IF(OR($H142="",$I142=""),0,IF(OR(BC$107&lt;$H142,BC$107&gt;$I142),0,$J142))</f>
        <v>0</v>
      </c>
      <c r="BD142" s="1084">
        <f>IF(OR($H142="",$I142=""),0,IF(OR(BD$107&lt;$H142,BD$107&gt;$I142),0,$J142))</f>
        <v>0</v>
      </c>
      <c r="BE142" s="1084">
        <f>IF(OR($H142="",$I142=""),0,IF(OR(BE$107&lt;$H142,BE$107&gt;$I142),0,$J142))</f>
        <v>0</v>
      </c>
      <c r="BF142" s="1084">
        <f>IF(OR($H142="",$I142=""),0,IF(OR(BF$107&lt;$H142,BF$107&gt;$I142),0,$J142))</f>
        <v>0</v>
      </c>
      <c r="BG142" s="1084">
        <f>IF(OR($H142="",$I142=""),0,IF(OR(BG$107&lt;$H142,BG$107&gt;$I142),0,$J142))</f>
        <v>0</v>
      </c>
      <c r="BH142" s="1084">
        <f>IF(OR($H142="",$I142=""),0,IF(OR(BH$107&lt;$H142,BH$107&gt;$I142),0,$J142))</f>
        <v>0</v>
      </c>
      <c r="BI142" s="1084">
        <f>IF(OR($H142="",$I142=""),0,IF(OR(BI$107&lt;$H142,BI$107&gt;$I142),0,$J142))</f>
        <v>0</v>
      </c>
      <c r="BJ142" s="1084">
        <f>IF(OR($H142="",$I142=""),0,IF(OR(BJ$107&lt;$H142,BJ$107&gt;$I142),0,$J142))</f>
        <v>0</v>
      </c>
      <c r="BK142" s="1084">
        <f>IF(OR($H142="",$I142=""),0,IF(OR(BK$107&lt;$H142,BK$107&gt;$I142),0,$J142))</f>
        <v>0</v>
      </c>
      <c r="BL142" s="1084">
        <f>IF(OR($H142="",$I142=""),0,IF(OR(BL$107&lt;$H142,BL$107&gt;$I142),0,$J142))</f>
        <v>0</v>
      </c>
      <c r="BM142" s="1084">
        <f>IF(OR($H142="",$I142=""),0,IF(OR(BM$107&lt;$H142,BM$107&gt;$I142),0,$J142))</f>
        <v>0</v>
      </c>
      <c r="BN142" s="1084">
        <f>IF(OR($H142="",$I142=""),0,IF(OR(BN$107&lt;$H142,BN$107&gt;$I142),0,$J142))</f>
        <v>0</v>
      </c>
      <c r="BO142" s="1084">
        <f>IF(OR($H142="",$I142=""),0,IF(OR(BO$107&lt;$H142,BO$107&gt;$I142),0,$J142))</f>
        <v>0</v>
      </c>
      <c r="BP142" s="1084">
        <f>IF(OR($H142="",$I142=""),0,IF(OR(BP$107&lt;$H142,BP$107&gt;$I142),0,$J142))</f>
        <v>0</v>
      </c>
      <c r="BQ142" s="1084">
        <f>IF(OR($H142="",$I142=""),0,IF(OR(BQ$107&lt;$H142,BQ$107&gt;$I142),0,$J142))</f>
        <v>0</v>
      </c>
      <c r="BR142" s="1084">
        <f>IF(OR($H142="",$I142=""),0,IF(OR(BR$107&lt;$H142,BR$107&gt;$I142),0,$J142))</f>
        <v>0</v>
      </c>
      <c r="BS142" s="1084">
        <f>IF(OR($H142="",$I142=""),0,IF(OR(BS$107&lt;$H142,BS$107&gt;$I142),0,$J142))</f>
        <v>0</v>
      </c>
      <c r="BT142" s="1084">
        <f>IF(OR($H142="",$I142=""),0,IF(OR(BT$107&lt;$H142,BT$107&gt;$I142),0,$J142))</f>
        <v>0</v>
      </c>
      <c r="BU142" s="1084">
        <f>IF(OR($H142="",$I142=""),0,IF(OR(BU$107&lt;$H142,BU$107&gt;$I142),0,$J142))</f>
        <v>0</v>
      </c>
      <c r="BV142" s="1084">
        <f>IF(OR($H142="",$I142=""),0,IF(OR(BV$107&lt;$H142,BV$107&gt;$I142),0,$J142))</f>
        <v>0</v>
      </c>
      <c r="BW142" s="1085">
        <f>IF(OR($H142="",$I142=""),0,IF(OR(BW$107&lt;$H142,BW$107&gt;$I142),0,$J142))</f>
        <v>0</v>
      </c>
      <c r="DD142" s="131"/>
    </row>
    <row r="143" spans="1:108" s="8" customFormat="1" ht="12" hidden="1" customHeight="1" thickBot="1" x14ac:dyDescent="0.4">
      <c r="A143" s="133">
        <v>36</v>
      </c>
      <c r="B143" s="1711" t="str">
        <f>IF(A143&gt;F$107,"{Can hide row}","")</f>
        <v>{Can hide row}</v>
      </c>
      <c r="C143" s="9" t="str">
        <f>A143&amp;" "</f>
        <v xml:space="preserve">36 </v>
      </c>
      <c r="D143" s="1843"/>
      <c r="E143" s="1844"/>
      <c r="F143" s="1845"/>
      <c r="G143" s="590"/>
      <c r="H143" s="616"/>
      <c r="I143" s="616"/>
      <c r="J143" s="1055">
        <f>IF(I143&lt;&gt;"",1,0)</f>
        <v>0</v>
      </c>
      <c r="K143" s="1050">
        <f>IF(I143&lt;&gt;"",K142,0)</f>
        <v>0</v>
      </c>
      <c r="L143" s="1050">
        <f>IF(I143&lt;&gt;"",L142,0)</f>
        <v>0</v>
      </c>
      <c r="M143" s="1049">
        <f>IF(I143&lt;&gt;"",M142,0)</f>
        <v>0</v>
      </c>
      <c r="N143" s="1001"/>
      <c r="P143" s="1083">
        <f>IF(OR($H143="",$I143=""),0,IF(OR(P$107&lt;$H143,P$107&gt;$I143),0,$J143))</f>
        <v>0</v>
      </c>
      <c r="Q143" s="1084">
        <f>IF(OR($H143="",$I143=""),0,IF(OR(Q$107&lt;$H143,Q$107&gt;$I143),0,$J143))</f>
        <v>0</v>
      </c>
      <c r="R143" s="1084">
        <f>IF(OR($H143="",$I143=""),0,IF(OR(R$107&lt;$H143,R$107&gt;$I143),0,$J143))</f>
        <v>0</v>
      </c>
      <c r="S143" s="1084">
        <f>IF(OR($H143="",$I143=""),0,IF(OR(S$107&lt;$H143,S$107&gt;$I143),0,$J143))</f>
        <v>0</v>
      </c>
      <c r="T143" s="1084">
        <f>IF(OR($H143="",$I143=""),0,IF(OR(T$107&lt;$H143,T$107&gt;$I143),0,$J143))</f>
        <v>0</v>
      </c>
      <c r="U143" s="1084">
        <f>IF(OR($H143="",$I143=""),0,IF(OR(U$107&lt;$H143,U$107&gt;$I143),0,$J143))</f>
        <v>0</v>
      </c>
      <c r="V143" s="1084">
        <f>IF(OR($H143="",$I143=""),0,IF(OR(V$107&lt;$H143,V$107&gt;$I143),0,$J143))</f>
        <v>0</v>
      </c>
      <c r="W143" s="1084">
        <f>IF(OR($H143="",$I143=""),0,IF(OR(W$107&lt;$H143,W$107&gt;$I143),0,$J143))</f>
        <v>0</v>
      </c>
      <c r="X143" s="1084">
        <f>IF(OR($H143="",$I143=""),0,IF(OR(X$107&lt;$H143,X$107&gt;$I143),0,$J143))</f>
        <v>0</v>
      </c>
      <c r="Y143" s="1084">
        <f>IF(OR($H143="",$I143=""),0,IF(OR(Y$107&lt;$H143,Y$107&gt;$I143),0,$J143))</f>
        <v>0</v>
      </c>
      <c r="Z143" s="1084">
        <f>IF(OR($H143="",$I143=""),0,IF(OR(Z$107&lt;$H143,Z$107&gt;$I143),0,$J143))</f>
        <v>0</v>
      </c>
      <c r="AA143" s="1084">
        <f>IF(OR($H143="",$I143=""),0,IF(OR(AA$107&lt;$H143,AA$107&gt;$I143),0,$J143))</f>
        <v>0</v>
      </c>
      <c r="AB143" s="1084">
        <f>IF(OR($H143="",$I143=""),0,IF(OR(AB$107&lt;$H143,AB$107&gt;$I143),0,$J143))</f>
        <v>0</v>
      </c>
      <c r="AC143" s="1084">
        <f>IF(OR($H143="",$I143=""),0,IF(OR(AC$107&lt;$H143,AC$107&gt;$I143),0,$J143))</f>
        <v>0</v>
      </c>
      <c r="AD143" s="1084">
        <f>IF(OR($H143="",$I143=""),0,IF(OR(AD$107&lt;$H143,AD$107&gt;$I143),0,$J143))</f>
        <v>0</v>
      </c>
      <c r="AE143" s="1084">
        <f>IF(OR($H143="",$I143=""),0,IF(OR(AE$107&lt;$H143,AE$107&gt;$I143),0,$J143))</f>
        <v>0</v>
      </c>
      <c r="AF143" s="1084">
        <f>IF(OR($H143="",$I143=""),0,IF(OR(AF$107&lt;$H143,AF$107&gt;$I143),0,$J143))</f>
        <v>0</v>
      </c>
      <c r="AG143" s="1084">
        <f>IF(OR($H143="",$I143=""),0,IF(OR(AG$107&lt;$H143,AG$107&gt;$I143),0,$J143))</f>
        <v>0</v>
      </c>
      <c r="AH143" s="1084">
        <f>IF(OR($H143="",$I143=""),0,IF(OR(AH$107&lt;$H143,AH$107&gt;$I143),0,$J143))</f>
        <v>0</v>
      </c>
      <c r="AI143" s="1084">
        <f>IF(OR($H143="",$I143=""),0,IF(OR(AI$107&lt;$H143,AI$107&gt;$I143),0,$J143))</f>
        <v>0</v>
      </c>
      <c r="AJ143" s="1084">
        <f>IF(OR($H143="",$I143=""),0,IF(OR(AJ$107&lt;$H143,AJ$107&gt;$I143),0,$J143))</f>
        <v>0</v>
      </c>
      <c r="AK143" s="1084">
        <f>IF(OR($H143="",$I143=""),0,IF(OR(AK$107&lt;$H143,AK$107&gt;$I143),0,$J143))</f>
        <v>0</v>
      </c>
      <c r="AL143" s="1084">
        <f>IF(OR($H143="",$I143=""),0,IF(OR(AL$107&lt;$H143,AL$107&gt;$I143),0,$J143))</f>
        <v>0</v>
      </c>
      <c r="AM143" s="1084">
        <f>IF(OR($H143="",$I143=""),0,IF(OR(AM$107&lt;$H143,AM$107&gt;$I143),0,$J143))</f>
        <v>0</v>
      </c>
      <c r="AN143" s="1084">
        <f>IF(OR($H143="",$I143=""),0,IF(OR(AN$107&lt;$H143,AN$107&gt;$I143),0,$J143))</f>
        <v>0</v>
      </c>
      <c r="AO143" s="1084">
        <f>IF(OR($H143="",$I143=""),0,IF(OR(AO$107&lt;$H143,AO$107&gt;$I143),0,$J143))</f>
        <v>0</v>
      </c>
      <c r="AP143" s="1084">
        <f>IF(OR($H143="",$I143=""),0,IF(OR(AP$107&lt;$H143,AP$107&gt;$I143),0,$J143))</f>
        <v>0</v>
      </c>
      <c r="AQ143" s="1084">
        <f>IF(OR($H143="",$I143=""),0,IF(OR(AQ$107&lt;$H143,AQ$107&gt;$I143),0,$J143))</f>
        <v>0</v>
      </c>
      <c r="AR143" s="1084">
        <f>IF(OR($H143="",$I143=""),0,IF(OR(AR$107&lt;$H143,AR$107&gt;$I143),0,$J143))</f>
        <v>0</v>
      </c>
      <c r="AS143" s="1084">
        <f>IF(OR($H143="",$I143=""),0,IF(OR(AS$107&lt;$H143,AS$107&gt;$I143),0,$J143))</f>
        <v>0</v>
      </c>
      <c r="AT143" s="1084">
        <f>IF(OR($H143="",$I143=""),0,IF(OR(AT$107&lt;$H143,AT$107&gt;$I143),0,$J143))</f>
        <v>0</v>
      </c>
      <c r="AU143" s="1084">
        <f>IF(OR($H143="",$I143=""),0,IF(OR(AU$107&lt;$H143,AU$107&gt;$I143),0,$J143))</f>
        <v>0</v>
      </c>
      <c r="AV143" s="1084">
        <f>IF(OR($H143="",$I143=""),0,IF(OR(AV$107&lt;$H143,AV$107&gt;$I143),0,$J143))</f>
        <v>0</v>
      </c>
      <c r="AW143" s="1084">
        <f>IF(OR($H143="",$I143=""),0,IF(OR(AW$107&lt;$H143,AW$107&gt;$I143),0,$J143))</f>
        <v>0</v>
      </c>
      <c r="AX143" s="1084">
        <f>IF(OR($H143="",$I143=""),0,IF(OR(AX$107&lt;$H143,AX$107&gt;$I143),0,$J143))</f>
        <v>0</v>
      </c>
      <c r="AY143" s="1085">
        <f>IF(OR($H143="",$I143=""),0,IF(OR(AY$107&lt;$H143,AY$107&gt;$I143),0,$J143))</f>
        <v>0</v>
      </c>
      <c r="AZ143" s="1240">
        <f>IF(OR($H143="",$I143=""),0,IF(OR(AZ$107&lt;$H143,AZ$107&gt;$I143),0,$J143))</f>
        <v>0</v>
      </c>
      <c r="BA143" s="1084">
        <f>IF(OR($H143="",$I143=""),0,IF(OR(BA$107&lt;$H143,BA$107&gt;$I143),0,$J143))</f>
        <v>0</v>
      </c>
      <c r="BB143" s="1084">
        <f>IF(OR($H143="",$I143=""),0,IF(OR(BB$107&lt;$H143,BB$107&gt;$I143),0,$J143))</f>
        <v>0</v>
      </c>
      <c r="BC143" s="1084">
        <f>IF(OR($H143="",$I143=""),0,IF(OR(BC$107&lt;$H143,BC$107&gt;$I143),0,$J143))</f>
        <v>0</v>
      </c>
      <c r="BD143" s="1084">
        <f>IF(OR($H143="",$I143=""),0,IF(OR(BD$107&lt;$H143,BD$107&gt;$I143),0,$J143))</f>
        <v>0</v>
      </c>
      <c r="BE143" s="1084">
        <f>IF(OR($H143="",$I143=""),0,IF(OR(BE$107&lt;$H143,BE$107&gt;$I143),0,$J143))</f>
        <v>0</v>
      </c>
      <c r="BF143" s="1084">
        <f>IF(OR($H143="",$I143=""),0,IF(OR(BF$107&lt;$H143,BF$107&gt;$I143),0,$J143))</f>
        <v>0</v>
      </c>
      <c r="BG143" s="1084">
        <f>IF(OR($H143="",$I143=""),0,IF(OR(BG$107&lt;$H143,BG$107&gt;$I143),0,$J143))</f>
        <v>0</v>
      </c>
      <c r="BH143" s="1084">
        <f>IF(OR($H143="",$I143=""),0,IF(OR(BH$107&lt;$H143,BH$107&gt;$I143),0,$J143))</f>
        <v>0</v>
      </c>
      <c r="BI143" s="1084">
        <f>IF(OR($H143="",$I143=""),0,IF(OR(BI$107&lt;$H143,BI$107&gt;$I143),0,$J143))</f>
        <v>0</v>
      </c>
      <c r="BJ143" s="1084">
        <f>IF(OR($H143="",$I143=""),0,IF(OR(BJ$107&lt;$H143,BJ$107&gt;$I143),0,$J143))</f>
        <v>0</v>
      </c>
      <c r="BK143" s="1084">
        <f>IF(OR($H143="",$I143=""),0,IF(OR(BK$107&lt;$H143,BK$107&gt;$I143),0,$J143))</f>
        <v>0</v>
      </c>
      <c r="BL143" s="1084">
        <f>IF(OR($H143="",$I143=""),0,IF(OR(BL$107&lt;$H143,BL$107&gt;$I143),0,$J143))</f>
        <v>0</v>
      </c>
      <c r="BM143" s="1084">
        <f>IF(OR($H143="",$I143=""),0,IF(OR(BM$107&lt;$H143,BM$107&gt;$I143),0,$J143))</f>
        <v>0</v>
      </c>
      <c r="BN143" s="1084">
        <f>IF(OR($H143="",$I143=""),0,IF(OR(BN$107&lt;$H143,BN$107&gt;$I143),0,$J143))</f>
        <v>0</v>
      </c>
      <c r="BO143" s="1084">
        <f>IF(OR($H143="",$I143=""),0,IF(OR(BO$107&lt;$H143,BO$107&gt;$I143),0,$J143))</f>
        <v>0</v>
      </c>
      <c r="BP143" s="1084">
        <f>IF(OR($H143="",$I143=""),0,IF(OR(BP$107&lt;$H143,BP$107&gt;$I143),0,$J143))</f>
        <v>0</v>
      </c>
      <c r="BQ143" s="1084">
        <f>IF(OR($H143="",$I143=""),0,IF(OR(BQ$107&lt;$H143,BQ$107&gt;$I143),0,$J143))</f>
        <v>0</v>
      </c>
      <c r="BR143" s="1084">
        <f>IF(OR($H143="",$I143=""),0,IF(OR(BR$107&lt;$H143,BR$107&gt;$I143),0,$J143))</f>
        <v>0</v>
      </c>
      <c r="BS143" s="1084">
        <f>IF(OR($H143="",$I143=""),0,IF(OR(BS$107&lt;$H143,BS$107&gt;$I143),0,$J143))</f>
        <v>0</v>
      </c>
      <c r="BT143" s="1084">
        <f>IF(OR($H143="",$I143=""),0,IF(OR(BT$107&lt;$H143,BT$107&gt;$I143),0,$J143))</f>
        <v>0</v>
      </c>
      <c r="BU143" s="1084">
        <f>IF(OR($H143="",$I143=""),0,IF(OR(BU$107&lt;$H143,BU$107&gt;$I143),0,$J143))</f>
        <v>0</v>
      </c>
      <c r="BV143" s="1084">
        <f>IF(OR($H143="",$I143=""),0,IF(OR(BV$107&lt;$H143,BV$107&gt;$I143),0,$J143))</f>
        <v>0</v>
      </c>
      <c r="BW143" s="1085">
        <f>IF(OR($H143="",$I143=""),0,IF(OR(BW$107&lt;$H143,BW$107&gt;$I143),0,$J143))</f>
        <v>0</v>
      </c>
      <c r="DD143" s="131"/>
    </row>
    <row r="144" spans="1:108" s="8" customFormat="1" ht="12" hidden="1" customHeight="1" thickBot="1" x14ac:dyDescent="0.4">
      <c r="A144" s="133">
        <v>37</v>
      </c>
      <c r="B144" s="1711" t="str">
        <f>IF(A144&gt;F$107,"{Can hide row}","")</f>
        <v>{Can hide row}</v>
      </c>
      <c r="C144" s="9" t="str">
        <f>A144&amp;" "</f>
        <v xml:space="preserve">37 </v>
      </c>
      <c r="D144" s="1843"/>
      <c r="E144" s="1844"/>
      <c r="F144" s="1845"/>
      <c r="G144" s="590"/>
      <c r="H144" s="591"/>
      <c r="I144" s="591"/>
      <c r="J144" s="594">
        <f>IF(I144&lt;&gt;"",1,0)</f>
        <v>0</v>
      </c>
      <c r="K144" s="1050">
        <f>IF(I144&lt;&gt;"",K143,0)</f>
        <v>0</v>
      </c>
      <c r="L144" s="1050">
        <f>IF(I144&lt;&gt;"",L143,0)</f>
        <v>0</v>
      </c>
      <c r="M144" s="1049">
        <f>IF(I144&lt;&gt;"",M143,0)</f>
        <v>0</v>
      </c>
      <c r="N144" s="1001"/>
      <c r="P144" s="1083">
        <f>IF(OR($H144="",$I144=""),0,IF(OR(P$107&lt;$H144,P$107&gt;$I144),0,$J144))</f>
        <v>0</v>
      </c>
      <c r="Q144" s="1084">
        <f>IF(OR($H144="",$I144=""),0,IF(OR(Q$107&lt;$H144,Q$107&gt;$I144),0,$J144))</f>
        <v>0</v>
      </c>
      <c r="R144" s="1084">
        <f>IF(OR($H144="",$I144=""),0,IF(OR(R$107&lt;$H144,R$107&gt;$I144),0,$J144))</f>
        <v>0</v>
      </c>
      <c r="S144" s="1084">
        <f>IF(OR($H144="",$I144=""),0,IF(OR(S$107&lt;$H144,S$107&gt;$I144),0,$J144))</f>
        <v>0</v>
      </c>
      <c r="T144" s="1084">
        <f>IF(OR($H144="",$I144=""),0,IF(OR(T$107&lt;$H144,T$107&gt;$I144),0,$J144))</f>
        <v>0</v>
      </c>
      <c r="U144" s="1084">
        <f>IF(OR($H144="",$I144=""),0,IF(OR(U$107&lt;$H144,U$107&gt;$I144),0,$J144))</f>
        <v>0</v>
      </c>
      <c r="V144" s="1084">
        <f>IF(OR($H144="",$I144=""),0,IF(OR(V$107&lt;$H144,V$107&gt;$I144),0,$J144))</f>
        <v>0</v>
      </c>
      <c r="W144" s="1084">
        <f>IF(OR($H144="",$I144=""),0,IF(OR(W$107&lt;$H144,W$107&gt;$I144),0,$J144))</f>
        <v>0</v>
      </c>
      <c r="X144" s="1084">
        <f>IF(OR($H144="",$I144=""),0,IF(OR(X$107&lt;$H144,X$107&gt;$I144),0,$J144))</f>
        <v>0</v>
      </c>
      <c r="Y144" s="1084">
        <f>IF(OR($H144="",$I144=""),0,IF(OR(Y$107&lt;$H144,Y$107&gt;$I144),0,$J144))</f>
        <v>0</v>
      </c>
      <c r="Z144" s="1084">
        <f>IF(OR($H144="",$I144=""),0,IF(OR(Z$107&lt;$H144,Z$107&gt;$I144),0,$J144))</f>
        <v>0</v>
      </c>
      <c r="AA144" s="1084">
        <f>IF(OR($H144="",$I144=""),0,IF(OR(AA$107&lt;$H144,AA$107&gt;$I144),0,$J144))</f>
        <v>0</v>
      </c>
      <c r="AB144" s="1084">
        <f>IF(OR($H144="",$I144=""),0,IF(OR(AB$107&lt;$H144,AB$107&gt;$I144),0,$J144))</f>
        <v>0</v>
      </c>
      <c r="AC144" s="1084">
        <f>IF(OR($H144="",$I144=""),0,IF(OR(AC$107&lt;$H144,AC$107&gt;$I144),0,$J144))</f>
        <v>0</v>
      </c>
      <c r="AD144" s="1084">
        <f>IF(OR($H144="",$I144=""),0,IF(OR(AD$107&lt;$H144,AD$107&gt;$I144),0,$J144))</f>
        <v>0</v>
      </c>
      <c r="AE144" s="1084">
        <f>IF(OR($H144="",$I144=""),0,IF(OR(AE$107&lt;$H144,AE$107&gt;$I144),0,$J144))</f>
        <v>0</v>
      </c>
      <c r="AF144" s="1084">
        <f>IF(OR($H144="",$I144=""),0,IF(OR(AF$107&lt;$H144,AF$107&gt;$I144),0,$J144))</f>
        <v>0</v>
      </c>
      <c r="AG144" s="1084">
        <f>IF(OR($H144="",$I144=""),0,IF(OR(AG$107&lt;$H144,AG$107&gt;$I144),0,$J144))</f>
        <v>0</v>
      </c>
      <c r="AH144" s="1084">
        <f>IF(OR($H144="",$I144=""),0,IF(OR(AH$107&lt;$H144,AH$107&gt;$I144),0,$J144))</f>
        <v>0</v>
      </c>
      <c r="AI144" s="1084">
        <f>IF(OR($H144="",$I144=""),0,IF(OR(AI$107&lt;$H144,AI$107&gt;$I144),0,$J144))</f>
        <v>0</v>
      </c>
      <c r="AJ144" s="1084">
        <f>IF(OR($H144="",$I144=""),0,IF(OR(AJ$107&lt;$H144,AJ$107&gt;$I144),0,$J144))</f>
        <v>0</v>
      </c>
      <c r="AK144" s="1084">
        <f>IF(OR($H144="",$I144=""),0,IF(OR(AK$107&lt;$H144,AK$107&gt;$I144),0,$J144))</f>
        <v>0</v>
      </c>
      <c r="AL144" s="1084">
        <f>IF(OR($H144="",$I144=""),0,IF(OR(AL$107&lt;$H144,AL$107&gt;$I144),0,$J144))</f>
        <v>0</v>
      </c>
      <c r="AM144" s="1084">
        <f>IF(OR($H144="",$I144=""),0,IF(OR(AM$107&lt;$H144,AM$107&gt;$I144),0,$J144))</f>
        <v>0</v>
      </c>
      <c r="AN144" s="1084">
        <f>IF(OR($H144="",$I144=""),0,IF(OR(AN$107&lt;$H144,AN$107&gt;$I144),0,$J144))</f>
        <v>0</v>
      </c>
      <c r="AO144" s="1084">
        <f>IF(OR($H144="",$I144=""),0,IF(OR(AO$107&lt;$H144,AO$107&gt;$I144),0,$J144))</f>
        <v>0</v>
      </c>
      <c r="AP144" s="1084">
        <f>IF(OR($H144="",$I144=""),0,IF(OR(AP$107&lt;$H144,AP$107&gt;$I144),0,$J144))</f>
        <v>0</v>
      </c>
      <c r="AQ144" s="1084">
        <f>IF(OR($H144="",$I144=""),0,IF(OR(AQ$107&lt;$H144,AQ$107&gt;$I144),0,$J144))</f>
        <v>0</v>
      </c>
      <c r="AR144" s="1084">
        <f>IF(OR($H144="",$I144=""),0,IF(OR(AR$107&lt;$H144,AR$107&gt;$I144),0,$J144))</f>
        <v>0</v>
      </c>
      <c r="AS144" s="1084">
        <f>IF(OR($H144="",$I144=""),0,IF(OR(AS$107&lt;$H144,AS$107&gt;$I144),0,$J144))</f>
        <v>0</v>
      </c>
      <c r="AT144" s="1084">
        <f>IF(OR($H144="",$I144=""),0,IF(OR(AT$107&lt;$H144,AT$107&gt;$I144),0,$J144))</f>
        <v>0</v>
      </c>
      <c r="AU144" s="1084">
        <f>IF(OR($H144="",$I144=""),0,IF(OR(AU$107&lt;$H144,AU$107&gt;$I144),0,$J144))</f>
        <v>0</v>
      </c>
      <c r="AV144" s="1084">
        <f>IF(OR($H144="",$I144=""),0,IF(OR(AV$107&lt;$H144,AV$107&gt;$I144),0,$J144))</f>
        <v>0</v>
      </c>
      <c r="AW144" s="1084">
        <f>IF(OR($H144="",$I144=""),0,IF(OR(AW$107&lt;$H144,AW$107&gt;$I144),0,$J144))</f>
        <v>0</v>
      </c>
      <c r="AX144" s="1084">
        <f>IF(OR($H144="",$I144=""),0,IF(OR(AX$107&lt;$H144,AX$107&gt;$I144),0,$J144))</f>
        <v>0</v>
      </c>
      <c r="AY144" s="1085">
        <f>IF(OR($H144="",$I144=""),0,IF(OR(AY$107&lt;$H144,AY$107&gt;$I144),0,$J144))</f>
        <v>0</v>
      </c>
      <c r="AZ144" s="1240">
        <f>IF(OR($H144="",$I144=""),0,IF(OR(AZ$107&lt;$H144,AZ$107&gt;$I144),0,$J144))</f>
        <v>0</v>
      </c>
      <c r="BA144" s="1084">
        <f>IF(OR($H144="",$I144=""),0,IF(OR(BA$107&lt;$H144,BA$107&gt;$I144),0,$J144))</f>
        <v>0</v>
      </c>
      <c r="BB144" s="1084">
        <f>IF(OR($H144="",$I144=""),0,IF(OR(BB$107&lt;$H144,BB$107&gt;$I144),0,$J144))</f>
        <v>0</v>
      </c>
      <c r="BC144" s="1084">
        <f>IF(OR($H144="",$I144=""),0,IF(OR(BC$107&lt;$H144,BC$107&gt;$I144),0,$J144))</f>
        <v>0</v>
      </c>
      <c r="BD144" s="1084">
        <f>IF(OR($H144="",$I144=""),0,IF(OR(BD$107&lt;$H144,BD$107&gt;$I144),0,$J144))</f>
        <v>0</v>
      </c>
      <c r="BE144" s="1084">
        <f>IF(OR($H144="",$I144=""),0,IF(OR(BE$107&lt;$H144,BE$107&gt;$I144),0,$J144))</f>
        <v>0</v>
      </c>
      <c r="BF144" s="1084">
        <f>IF(OR($H144="",$I144=""),0,IF(OR(BF$107&lt;$H144,BF$107&gt;$I144),0,$J144))</f>
        <v>0</v>
      </c>
      <c r="BG144" s="1084">
        <f>IF(OR($H144="",$I144=""),0,IF(OR(BG$107&lt;$H144,BG$107&gt;$I144),0,$J144))</f>
        <v>0</v>
      </c>
      <c r="BH144" s="1084">
        <f>IF(OR($H144="",$I144=""),0,IF(OR(BH$107&lt;$H144,BH$107&gt;$I144),0,$J144))</f>
        <v>0</v>
      </c>
      <c r="BI144" s="1084">
        <f>IF(OR($H144="",$I144=""),0,IF(OR(BI$107&lt;$H144,BI$107&gt;$I144),0,$J144))</f>
        <v>0</v>
      </c>
      <c r="BJ144" s="1084">
        <f>IF(OR($H144="",$I144=""),0,IF(OR(BJ$107&lt;$H144,BJ$107&gt;$I144),0,$J144))</f>
        <v>0</v>
      </c>
      <c r="BK144" s="1084">
        <f>IF(OR($H144="",$I144=""),0,IF(OR(BK$107&lt;$H144,BK$107&gt;$I144),0,$J144))</f>
        <v>0</v>
      </c>
      <c r="BL144" s="1084">
        <f>IF(OR($H144="",$I144=""),0,IF(OR(BL$107&lt;$H144,BL$107&gt;$I144),0,$J144))</f>
        <v>0</v>
      </c>
      <c r="BM144" s="1084">
        <f>IF(OR($H144="",$I144=""),0,IF(OR(BM$107&lt;$H144,BM$107&gt;$I144),0,$J144))</f>
        <v>0</v>
      </c>
      <c r="BN144" s="1084">
        <f>IF(OR($H144="",$I144=""),0,IF(OR(BN$107&lt;$H144,BN$107&gt;$I144),0,$J144))</f>
        <v>0</v>
      </c>
      <c r="BO144" s="1084">
        <f>IF(OR($H144="",$I144=""),0,IF(OR(BO$107&lt;$H144,BO$107&gt;$I144),0,$J144))</f>
        <v>0</v>
      </c>
      <c r="BP144" s="1084">
        <f>IF(OR($H144="",$I144=""),0,IF(OR(BP$107&lt;$H144,BP$107&gt;$I144),0,$J144))</f>
        <v>0</v>
      </c>
      <c r="BQ144" s="1084">
        <f>IF(OR($H144="",$I144=""),0,IF(OR(BQ$107&lt;$H144,BQ$107&gt;$I144),0,$J144))</f>
        <v>0</v>
      </c>
      <c r="BR144" s="1084">
        <f>IF(OR($H144="",$I144=""),0,IF(OR(BR$107&lt;$H144,BR$107&gt;$I144),0,$J144))</f>
        <v>0</v>
      </c>
      <c r="BS144" s="1084">
        <f>IF(OR($H144="",$I144=""),0,IF(OR(BS$107&lt;$H144,BS$107&gt;$I144),0,$J144))</f>
        <v>0</v>
      </c>
      <c r="BT144" s="1084">
        <f>IF(OR($H144="",$I144=""),0,IF(OR(BT$107&lt;$H144,BT$107&gt;$I144),0,$J144))</f>
        <v>0</v>
      </c>
      <c r="BU144" s="1084">
        <f>IF(OR($H144="",$I144=""),0,IF(OR(BU$107&lt;$H144,BU$107&gt;$I144),0,$J144))</f>
        <v>0</v>
      </c>
      <c r="BV144" s="1084">
        <f>IF(OR($H144="",$I144=""),0,IF(OR(BV$107&lt;$H144,BV$107&gt;$I144),0,$J144))</f>
        <v>0</v>
      </c>
      <c r="BW144" s="1085">
        <f>IF(OR($H144="",$I144=""),0,IF(OR(BW$107&lt;$H144,BW$107&gt;$I144),0,$J144))</f>
        <v>0</v>
      </c>
      <c r="DD144" s="131"/>
    </row>
    <row r="145" spans="1:108" s="8" customFormat="1" ht="12" hidden="1" customHeight="1" thickBot="1" x14ac:dyDescent="0.4">
      <c r="A145" s="133">
        <v>38</v>
      </c>
      <c r="B145" s="1711" t="str">
        <f>IF(A145&gt;F$107,"{Can hide row}","")</f>
        <v>{Can hide row}</v>
      </c>
      <c r="C145" s="9" t="str">
        <f>A145&amp;" "</f>
        <v xml:space="preserve">38 </v>
      </c>
      <c r="D145" s="1843"/>
      <c r="E145" s="1844"/>
      <c r="F145" s="1845"/>
      <c r="G145" s="590"/>
      <c r="H145" s="591"/>
      <c r="I145" s="591"/>
      <c r="J145" s="594">
        <f>IF(I145&lt;&gt;"",1,0)</f>
        <v>0</v>
      </c>
      <c r="K145" s="1050">
        <f>IF(I145&lt;&gt;"",K144,0)</f>
        <v>0</v>
      </c>
      <c r="L145" s="1050">
        <f>IF(I145&lt;&gt;"",L144,0)</f>
        <v>0</v>
      </c>
      <c r="M145" s="1049">
        <f>IF(I145&lt;&gt;"",M144,0)</f>
        <v>0</v>
      </c>
      <c r="N145" s="1001"/>
      <c r="P145" s="1083">
        <f>IF(OR($H145="",$I145=""),0,IF(OR(P$107&lt;$H145,P$107&gt;$I145),0,$J145))</f>
        <v>0</v>
      </c>
      <c r="Q145" s="1084">
        <f>IF(OR($H145="",$I145=""),0,IF(OR(Q$107&lt;$H145,Q$107&gt;$I145),0,$J145))</f>
        <v>0</v>
      </c>
      <c r="R145" s="1084">
        <f>IF(OR($H145="",$I145=""),0,IF(OR(R$107&lt;$H145,R$107&gt;$I145),0,$J145))</f>
        <v>0</v>
      </c>
      <c r="S145" s="1084">
        <f>IF(OR($H145="",$I145=""),0,IF(OR(S$107&lt;$H145,S$107&gt;$I145),0,$J145))</f>
        <v>0</v>
      </c>
      <c r="T145" s="1084">
        <f>IF(OR($H145="",$I145=""),0,IF(OR(T$107&lt;$H145,T$107&gt;$I145),0,$J145))</f>
        <v>0</v>
      </c>
      <c r="U145" s="1084">
        <f>IF(OR($H145="",$I145=""),0,IF(OR(U$107&lt;$H145,U$107&gt;$I145),0,$J145))</f>
        <v>0</v>
      </c>
      <c r="V145" s="1084">
        <f>IF(OR($H145="",$I145=""),0,IF(OR(V$107&lt;$H145,V$107&gt;$I145),0,$J145))</f>
        <v>0</v>
      </c>
      <c r="W145" s="1084">
        <f>IF(OR($H145="",$I145=""),0,IF(OR(W$107&lt;$H145,W$107&gt;$I145),0,$J145))</f>
        <v>0</v>
      </c>
      <c r="X145" s="1084">
        <f>IF(OR($H145="",$I145=""),0,IF(OR(X$107&lt;$H145,X$107&gt;$I145),0,$J145))</f>
        <v>0</v>
      </c>
      <c r="Y145" s="1084">
        <f>IF(OR($H145="",$I145=""),0,IF(OR(Y$107&lt;$H145,Y$107&gt;$I145),0,$J145))</f>
        <v>0</v>
      </c>
      <c r="Z145" s="1084">
        <f>IF(OR($H145="",$I145=""),0,IF(OR(Z$107&lt;$H145,Z$107&gt;$I145),0,$J145))</f>
        <v>0</v>
      </c>
      <c r="AA145" s="1084">
        <f>IF(OR($H145="",$I145=""),0,IF(OR(AA$107&lt;$H145,AA$107&gt;$I145),0,$J145))</f>
        <v>0</v>
      </c>
      <c r="AB145" s="1084">
        <f>IF(OR($H145="",$I145=""),0,IF(OR(AB$107&lt;$H145,AB$107&gt;$I145),0,$J145))</f>
        <v>0</v>
      </c>
      <c r="AC145" s="1084">
        <f>IF(OR($H145="",$I145=""),0,IF(OR(AC$107&lt;$H145,AC$107&gt;$I145),0,$J145))</f>
        <v>0</v>
      </c>
      <c r="AD145" s="1084">
        <f>IF(OR($H145="",$I145=""),0,IF(OR(AD$107&lt;$H145,AD$107&gt;$I145),0,$J145))</f>
        <v>0</v>
      </c>
      <c r="AE145" s="1084">
        <f>IF(OR($H145="",$I145=""),0,IF(OR(AE$107&lt;$H145,AE$107&gt;$I145),0,$J145))</f>
        <v>0</v>
      </c>
      <c r="AF145" s="1084">
        <f>IF(OR($H145="",$I145=""),0,IF(OR(AF$107&lt;$H145,AF$107&gt;$I145),0,$J145))</f>
        <v>0</v>
      </c>
      <c r="AG145" s="1084">
        <f>IF(OR($H145="",$I145=""),0,IF(OR(AG$107&lt;$H145,AG$107&gt;$I145),0,$J145))</f>
        <v>0</v>
      </c>
      <c r="AH145" s="1084">
        <f>IF(OR($H145="",$I145=""),0,IF(OR(AH$107&lt;$H145,AH$107&gt;$I145),0,$J145))</f>
        <v>0</v>
      </c>
      <c r="AI145" s="1084">
        <f>IF(OR($H145="",$I145=""),0,IF(OR(AI$107&lt;$H145,AI$107&gt;$I145),0,$J145))</f>
        <v>0</v>
      </c>
      <c r="AJ145" s="1084">
        <f>IF(OR($H145="",$I145=""),0,IF(OR(AJ$107&lt;$H145,AJ$107&gt;$I145),0,$J145))</f>
        <v>0</v>
      </c>
      <c r="AK145" s="1084">
        <f>IF(OR($H145="",$I145=""),0,IF(OR(AK$107&lt;$H145,AK$107&gt;$I145),0,$J145))</f>
        <v>0</v>
      </c>
      <c r="AL145" s="1084">
        <f>IF(OR($H145="",$I145=""),0,IF(OR(AL$107&lt;$H145,AL$107&gt;$I145),0,$J145))</f>
        <v>0</v>
      </c>
      <c r="AM145" s="1084">
        <f>IF(OR($H145="",$I145=""),0,IF(OR(AM$107&lt;$H145,AM$107&gt;$I145),0,$J145))</f>
        <v>0</v>
      </c>
      <c r="AN145" s="1084">
        <f>IF(OR($H145="",$I145=""),0,IF(OR(AN$107&lt;$H145,AN$107&gt;$I145),0,$J145))</f>
        <v>0</v>
      </c>
      <c r="AO145" s="1084">
        <f>IF(OR($H145="",$I145=""),0,IF(OR(AO$107&lt;$H145,AO$107&gt;$I145),0,$J145))</f>
        <v>0</v>
      </c>
      <c r="AP145" s="1084">
        <f>IF(OR($H145="",$I145=""),0,IF(OR(AP$107&lt;$H145,AP$107&gt;$I145),0,$J145))</f>
        <v>0</v>
      </c>
      <c r="AQ145" s="1084">
        <f>IF(OR($H145="",$I145=""),0,IF(OR(AQ$107&lt;$H145,AQ$107&gt;$I145),0,$J145))</f>
        <v>0</v>
      </c>
      <c r="AR145" s="1084">
        <f>IF(OR($H145="",$I145=""),0,IF(OR(AR$107&lt;$H145,AR$107&gt;$I145),0,$J145))</f>
        <v>0</v>
      </c>
      <c r="AS145" s="1084">
        <f>IF(OR($H145="",$I145=""),0,IF(OR(AS$107&lt;$H145,AS$107&gt;$I145),0,$J145))</f>
        <v>0</v>
      </c>
      <c r="AT145" s="1084">
        <f>IF(OR($H145="",$I145=""),0,IF(OR(AT$107&lt;$H145,AT$107&gt;$I145),0,$J145))</f>
        <v>0</v>
      </c>
      <c r="AU145" s="1084">
        <f>IF(OR($H145="",$I145=""),0,IF(OR(AU$107&lt;$H145,AU$107&gt;$I145),0,$J145))</f>
        <v>0</v>
      </c>
      <c r="AV145" s="1084">
        <f>IF(OR($H145="",$I145=""),0,IF(OR(AV$107&lt;$H145,AV$107&gt;$I145),0,$J145))</f>
        <v>0</v>
      </c>
      <c r="AW145" s="1084">
        <f>IF(OR($H145="",$I145=""),0,IF(OR(AW$107&lt;$H145,AW$107&gt;$I145),0,$J145))</f>
        <v>0</v>
      </c>
      <c r="AX145" s="1084">
        <f>IF(OR($H145="",$I145=""),0,IF(OR(AX$107&lt;$H145,AX$107&gt;$I145),0,$J145))</f>
        <v>0</v>
      </c>
      <c r="AY145" s="1085">
        <f>IF(OR($H145="",$I145=""),0,IF(OR(AY$107&lt;$H145,AY$107&gt;$I145),0,$J145))</f>
        <v>0</v>
      </c>
      <c r="AZ145" s="1240">
        <f>IF(OR($H145="",$I145=""),0,IF(OR(AZ$107&lt;$H145,AZ$107&gt;$I145),0,$J145))</f>
        <v>0</v>
      </c>
      <c r="BA145" s="1084">
        <f>IF(OR($H145="",$I145=""),0,IF(OR(BA$107&lt;$H145,BA$107&gt;$I145),0,$J145))</f>
        <v>0</v>
      </c>
      <c r="BB145" s="1084">
        <f>IF(OR($H145="",$I145=""),0,IF(OR(BB$107&lt;$H145,BB$107&gt;$I145),0,$J145))</f>
        <v>0</v>
      </c>
      <c r="BC145" s="1084">
        <f>IF(OR($H145="",$I145=""),0,IF(OR(BC$107&lt;$H145,BC$107&gt;$I145),0,$J145))</f>
        <v>0</v>
      </c>
      <c r="BD145" s="1084">
        <f>IF(OR($H145="",$I145=""),0,IF(OR(BD$107&lt;$H145,BD$107&gt;$I145),0,$J145))</f>
        <v>0</v>
      </c>
      <c r="BE145" s="1084">
        <f>IF(OR($H145="",$I145=""),0,IF(OR(BE$107&lt;$H145,BE$107&gt;$I145),0,$J145))</f>
        <v>0</v>
      </c>
      <c r="BF145" s="1084">
        <f>IF(OR($H145="",$I145=""),0,IF(OR(BF$107&lt;$H145,BF$107&gt;$I145),0,$J145))</f>
        <v>0</v>
      </c>
      <c r="BG145" s="1084">
        <f>IF(OR($H145="",$I145=""),0,IF(OR(BG$107&lt;$H145,BG$107&gt;$I145),0,$J145))</f>
        <v>0</v>
      </c>
      <c r="BH145" s="1084">
        <f>IF(OR($H145="",$I145=""),0,IF(OR(BH$107&lt;$H145,BH$107&gt;$I145),0,$J145))</f>
        <v>0</v>
      </c>
      <c r="BI145" s="1084">
        <f>IF(OR($H145="",$I145=""),0,IF(OR(BI$107&lt;$H145,BI$107&gt;$I145),0,$J145))</f>
        <v>0</v>
      </c>
      <c r="BJ145" s="1084">
        <f>IF(OR($H145="",$I145=""),0,IF(OR(BJ$107&lt;$H145,BJ$107&gt;$I145),0,$J145))</f>
        <v>0</v>
      </c>
      <c r="BK145" s="1084">
        <f>IF(OR($H145="",$I145=""),0,IF(OR(BK$107&lt;$H145,BK$107&gt;$I145),0,$J145))</f>
        <v>0</v>
      </c>
      <c r="BL145" s="1084">
        <f>IF(OR($H145="",$I145=""),0,IF(OR(BL$107&lt;$H145,BL$107&gt;$I145),0,$J145))</f>
        <v>0</v>
      </c>
      <c r="BM145" s="1084">
        <f>IF(OR($H145="",$I145=""),0,IF(OR(BM$107&lt;$H145,BM$107&gt;$I145),0,$J145))</f>
        <v>0</v>
      </c>
      <c r="BN145" s="1084">
        <f>IF(OR($H145="",$I145=""),0,IF(OR(BN$107&lt;$H145,BN$107&gt;$I145),0,$J145))</f>
        <v>0</v>
      </c>
      <c r="BO145" s="1084">
        <f>IF(OR($H145="",$I145=""),0,IF(OR(BO$107&lt;$H145,BO$107&gt;$I145),0,$J145))</f>
        <v>0</v>
      </c>
      <c r="BP145" s="1084">
        <f>IF(OR($H145="",$I145=""),0,IF(OR(BP$107&lt;$H145,BP$107&gt;$I145),0,$J145))</f>
        <v>0</v>
      </c>
      <c r="BQ145" s="1084">
        <f>IF(OR($H145="",$I145=""),0,IF(OR(BQ$107&lt;$H145,BQ$107&gt;$I145),0,$J145))</f>
        <v>0</v>
      </c>
      <c r="BR145" s="1084">
        <f>IF(OR($H145="",$I145=""),0,IF(OR(BR$107&lt;$H145,BR$107&gt;$I145),0,$J145))</f>
        <v>0</v>
      </c>
      <c r="BS145" s="1084">
        <f>IF(OR($H145="",$I145=""),0,IF(OR(BS$107&lt;$H145,BS$107&gt;$I145),0,$J145))</f>
        <v>0</v>
      </c>
      <c r="BT145" s="1084">
        <f>IF(OR($H145="",$I145=""),0,IF(OR(BT$107&lt;$H145,BT$107&gt;$I145),0,$J145))</f>
        <v>0</v>
      </c>
      <c r="BU145" s="1084">
        <f>IF(OR($H145="",$I145=""),0,IF(OR(BU$107&lt;$H145,BU$107&gt;$I145),0,$J145))</f>
        <v>0</v>
      </c>
      <c r="BV145" s="1084">
        <f>IF(OR($H145="",$I145=""),0,IF(OR(BV$107&lt;$H145,BV$107&gt;$I145),0,$J145))</f>
        <v>0</v>
      </c>
      <c r="BW145" s="1085">
        <f>IF(OR($H145="",$I145=""),0,IF(OR(BW$107&lt;$H145,BW$107&gt;$I145),0,$J145))</f>
        <v>0</v>
      </c>
      <c r="DD145" s="131"/>
    </row>
    <row r="146" spans="1:108" s="8" customFormat="1" ht="12" hidden="1" customHeight="1" thickBot="1" x14ac:dyDescent="0.4">
      <c r="A146" s="133">
        <v>39</v>
      </c>
      <c r="B146" s="1711" t="str">
        <f>IF(A146&gt;F$107,"{Can hide row}","")</f>
        <v>{Can hide row}</v>
      </c>
      <c r="C146" s="9" t="str">
        <f>A146&amp;" "</f>
        <v xml:space="preserve">39 </v>
      </c>
      <c r="D146" s="1843"/>
      <c r="E146" s="1844"/>
      <c r="F146" s="1845"/>
      <c r="G146" s="590"/>
      <c r="H146" s="591"/>
      <c r="I146" s="591"/>
      <c r="J146" s="594">
        <f>IF(I146&lt;&gt;"",1,0)</f>
        <v>0</v>
      </c>
      <c r="K146" s="1050">
        <f>IF(I146&lt;&gt;"",K145,0)</f>
        <v>0</v>
      </c>
      <c r="L146" s="1050">
        <f>IF(I146&lt;&gt;"",L145,0)</f>
        <v>0</v>
      </c>
      <c r="M146" s="1049">
        <f>IF(I146&lt;&gt;"",M145,0)</f>
        <v>0</v>
      </c>
      <c r="N146" s="1001"/>
      <c r="P146" s="1083">
        <f>IF(OR($H146="",$I146=""),0,IF(OR(P$107&lt;$H146,P$107&gt;$I146),0,$J146))</f>
        <v>0</v>
      </c>
      <c r="Q146" s="1084">
        <f>IF(OR($H146="",$I146=""),0,IF(OR(Q$107&lt;$H146,Q$107&gt;$I146),0,$J146))</f>
        <v>0</v>
      </c>
      <c r="R146" s="1084">
        <f>IF(OR($H146="",$I146=""),0,IF(OR(R$107&lt;$H146,R$107&gt;$I146),0,$J146))</f>
        <v>0</v>
      </c>
      <c r="S146" s="1084">
        <f>IF(OR($H146="",$I146=""),0,IF(OR(S$107&lt;$H146,S$107&gt;$I146),0,$J146))</f>
        <v>0</v>
      </c>
      <c r="T146" s="1084">
        <f>IF(OR($H146="",$I146=""),0,IF(OR(T$107&lt;$H146,T$107&gt;$I146),0,$J146))</f>
        <v>0</v>
      </c>
      <c r="U146" s="1084">
        <f>IF(OR($H146="",$I146=""),0,IF(OR(U$107&lt;$H146,U$107&gt;$I146),0,$J146))</f>
        <v>0</v>
      </c>
      <c r="V146" s="1084">
        <f>IF(OR($H146="",$I146=""),0,IF(OR(V$107&lt;$H146,V$107&gt;$I146),0,$J146))</f>
        <v>0</v>
      </c>
      <c r="W146" s="1084">
        <f>IF(OR($H146="",$I146=""),0,IF(OR(W$107&lt;$H146,W$107&gt;$I146),0,$J146))</f>
        <v>0</v>
      </c>
      <c r="X146" s="1084">
        <f>IF(OR($H146="",$I146=""),0,IF(OR(X$107&lt;$H146,X$107&gt;$I146),0,$J146))</f>
        <v>0</v>
      </c>
      <c r="Y146" s="1084">
        <f>IF(OR($H146="",$I146=""),0,IF(OR(Y$107&lt;$H146,Y$107&gt;$I146),0,$J146))</f>
        <v>0</v>
      </c>
      <c r="Z146" s="1084">
        <f>IF(OR($H146="",$I146=""),0,IF(OR(Z$107&lt;$H146,Z$107&gt;$I146),0,$J146))</f>
        <v>0</v>
      </c>
      <c r="AA146" s="1084">
        <f>IF(OR($H146="",$I146=""),0,IF(OR(AA$107&lt;$H146,AA$107&gt;$I146),0,$J146))</f>
        <v>0</v>
      </c>
      <c r="AB146" s="1084">
        <f>IF(OR($H146="",$I146=""),0,IF(OR(AB$107&lt;$H146,AB$107&gt;$I146),0,$J146))</f>
        <v>0</v>
      </c>
      <c r="AC146" s="1084">
        <f>IF(OR($H146="",$I146=""),0,IF(OR(AC$107&lt;$H146,AC$107&gt;$I146),0,$J146))</f>
        <v>0</v>
      </c>
      <c r="AD146" s="1084">
        <f>IF(OR($H146="",$I146=""),0,IF(OR(AD$107&lt;$H146,AD$107&gt;$I146),0,$J146))</f>
        <v>0</v>
      </c>
      <c r="AE146" s="1084">
        <f>IF(OR($H146="",$I146=""),0,IF(OR(AE$107&lt;$H146,AE$107&gt;$I146),0,$J146))</f>
        <v>0</v>
      </c>
      <c r="AF146" s="1084">
        <f>IF(OR($H146="",$I146=""),0,IF(OR(AF$107&lt;$H146,AF$107&gt;$I146),0,$J146))</f>
        <v>0</v>
      </c>
      <c r="AG146" s="1084">
        <f>IF(OR($H146="",$I146=""),0,IF(OR(AG$107&lt;$H146,AG$107&gt;$I146),0,$J146))</f>
        <v>0</v>
      </c>
      <c r="AH146" s="1084">
        <f>IF(OR($H146="",$I146=""),0,IF(OR(AH$107&lt;$H146,AH$107&gt;$I146),0,$J146))</f>
        <v>0</v>
      </c>
      <c r="AI146" s="1084">
        <f>IF(OR($H146="",$I146=""),0,IF(OR(AI$107&lt;$H146,AI$107&gt;$I146),0,$J146))</f>
        <v>0</v>
      </c>
      <c r="AJ146" s="1084">
        <f>IF(OR($H146="",$I146=""),0,IF(OR(AJ$107&lt;$H146,AJ$107&gt;$I146),0,$J146))</f>
        <v>0</v>
      </c>
      <c r="AK146" s="1084">
        <f>IF(OR($H146="",$I146=""),0,IF(OR(AK$107&lt;$H146,AK$107&gt;$I146),0,$J146))</f>
        <v>0</v>
      </c>
      <c r="AL146" s="1084">
        <f>IF(OR($H146="",$I146=""),0,IF(OR(AL$107&lt;$H146,AL$107&gt;$I146),0,$J146))</f>
        <v>0</v>
      </c>
      <c r="AM146" s="1084">
        <f>IF(OR($H146="",$I146=""),0,IF(OR(AM$107&lt;$H146,AM$107&gt;$I146),0,$J146))</f>
        <v>0</v>
      </c>
      <c r="AN146" s="1084">
        <f>IF(OR($H146="",$I146=""),0,IF(OR(AN$107&lt;$H146,AN$107&gt;$I146),0,$J146))</f>
        <v>0</v>
      </c>
      <c r="AO146" s="1084">
        <f>IF(OR($H146="",$I146=""),0,IF(OR(AO$107&lt;$H146,AO$107&gt;$I146),0,$J146))</f>
        <v>0</v>
      </c>
      <c r="AP146" s="1084">
        <f>IF(OR($H146="",$I146=""),0,IF(OR(AP$107&lt;$H146,AP$107&gt;$I146),0,$J146))</f>
        <v>0</v>
      </c>
      <c r="AQ146" s="1084">
        <f>IF(OR($H146="",$I146=""),0,IF(OR(AQ$107&lt;$H146,AQ$107&gt;$I146),0,$J146))</f>
        <v>0</v>
      </c>
      <c r="AR146" s="1084">
        <f>IF(OR($H146="",$I146=""),0,IF(OR(AR$107&lt;$H146,AR$107&gt;$I146),0,$J146))</f>
        <v>0</v>
      </c>
      <c r="AS146" s="1084">
        <f>IF(OR($H146="",$I146=""),0,IF(OR(AS$107&lt;$H146,AS$107&gt;$I146),0,$J146))</f>
        <v>0</v>
      </c>
      <c r="AT146" s="1084">
        <f>IF(OR($H146="",$I146=""),0,IF(OR(AT$107&lt;$H146,AT$107&gt;$I146),0,$J146))</f>
        <v>0</v>
      </c>
      <c r="AU146" s="1084">
        <f>IF(OR($H146="",$I146=""),0,IF(OR(AU$107&lt;$H146,AU$107&gt;$I146),0,$J146))</f>
        <v>0</v>
      </c>
      <c r="AV146" s="1084">
        <f>IF(OR($H146="",$I146=""),0,IF(OR(AV$107&lt;$H146,AV$107&gt;$I146),0,$J146))</f>
        <v>0</v>
      </c>
      <c r="AW146" s="1084">
        <f>IF(OR($H146="",$I146=""),0,IF(OR(AW$107&lt;$H146,AW$107&gt;$I146),0,$J146))</f>
        <v>0</v>
      </c>
      <c r="AX146" s="1084">
        <f>IF(OR($H146="",$I146=""),0,IF(OR(AX$107&lt;$H146,AX$107&gt;$I146),0,$J146))</f>
        <v>0</v>
      </c>
      <c r="AY146" s="1085">
        <f>IF(OR($H146="",$I146=""),0,IF(OR(AY$107&lt;$H146,AY$107&gt;$I146),0,$J146))</f>
        <v>0</v>
      </c>
      <c r="AZ146" s="1240">
        <f>IF(OR($H146="",$I146=""),0,IF(OR(AZ$107&lt;$H146,AZ$107&gt;$I146),0,$J146))</f>
        <v>0</v>
      </c>
      <c r="BA146" s="1084">
        <f>IF(OR($H146="",$I146=""),0,IF(OR(BA$107&lt;$H146,BA$107&gt;$I146),0,$J146))</f>
        <v>0</v>
      </c>
      <c r="BB146" s="1084">
        <f>IF(OR($H146="",$I146=""),0,IF(OR(BB$107&lt;$H146,BB$107&gt;$I146),0,$J146))</f>
        <v>0</v>
      </c>
      <c r="BC146" s="1084">
        <f>IF(OR($H146="",$I146=""),0,IF(OR(BC$107&lt;$H146,BC$107&gt;$I146),0,$J146))</f>
        <v>0</v>
      </c>
      <c r="BD146" s="1084">
        <f>IF(OR($H146="",$I146=""),0,IF(OR(BD$107&lt;$H146,BD$107&gt;$I146),0,$J146))</f>
        <v>0</v>
      </c>
      <c r="BE146" s="1084">
        <f>IF(OR($H146="",$I146=""),0,IF(OR(BE$107&lt;$H146,BE$107&gt;$I146),0,$J146))</f>
        <v>0</v>
      </c>
      <c r="BF146" s="1084">
        <f>IF(OR($H146="",$I146=""),0,IF(OR(BF$107&lt;$H146,BF$107&gt;$I146),0,$J146))</f>
        <v>0</v>
      </c>
      <c r="BG146" s="1084">
        <f>IF(OR($H146="",$I146=""),0,IF(OR(BG$107&lt;$H146,BG$107&gt;$I146),0,$J146))</f>
        <v>0</v>
      </c>
      <c r="BH146" s="1084">
        <f>IF(OR($H146="",$I146=""),0,IF(OR(BH$107&lt;$H146,BH$107&gt;$I146),0,$J146))</f>
        <v>0</v>
      </c>
      <c r="BI146" s="1084">
        <f>IF(OR($H146="",$I146=""),0,IF(OR(BI$107&lt;$H146,BI$107&gt;$I146),0,$J146))</f>
        <v>0</v>
      </c>
      <c r="BJ146" s="1084">
        <f>IF(OR($H146="",$I146=""),0,IF(OR(BJ$107&lt;$H146,BJ$107&gt;$I146),0,$J146))</f>
        <v>0</v>
      </c>
      <c r="BK146" s="1084">
        <f>IF(OR($H146="",$I146=""),0,IF(OR(BK$107&lt;$H146,BK$107&gt;$I146),0,$J146))</f>
        <v>0</v>
      </c>
      <c r="BL146" s="1084">
        <f>IF(OR($H146="",$I146=""),0,IF(OR(BL$107&lt;$H146,BL$107&gt;$I146),0,$J146))</f>
        <v>0</v>
      </c>
      <c r="BM146" s="1084">
        <f>IF(OR($H146="",$I146=""),0,IF(OR(BM$107&lt;$H146,BM$107&gt;$I146),0,$J146))</f>
        <v>0</v>
      </c>
      <c r="BN146" s="1084">
        <f>IF(OR($H146="",$I146=""),0,IF(OR(BN$107&lt;$H146,BN$107&gt;$I146),0,$J146))</f>
        <v>0</v>
      </c>
      <c r="BO146" s="1084">
        <f>IF(OR($H146="",$I146=""),0,IF(OR(BO$107&lt;$H146,BO$107&gt;$I146),0,$J146))</f>
        <v>0</v>
      </c>
      <c r="BP146" s="1084">
        <f>IF(OR($H146="",$I146=""),0,IF(OR(BP$107&lt;$H146,BP$107&gt;$I146),0,$J146))</f>
        <v>0</v>
      </c>
      <c r="BQ146" s="1084">
        <f>IF(OR($H146="",$I146=""),0,IF(OR(BQ$107&lt;$H146,BQ$107&gt;$I146),0,$J146))</f>
        <v>0</v>
      </c>
      <c r="BR146" s="1084">
        <f>IF(OR($H146="",$I146=""),0,IF(OR(BR$107&lt;$H146,BR$107&gt;$I146),0,$J146))</f>
        <v>0</v>
      </c>
      <c r="BS146" s="1084">
        <f>IF(OR($H146="",$I146=""),0,IF(OR(BS$107&lt;$H146,BS$107&gt;$I146),0,$J146))</f>
        <v>0</v>
      </c>
      <c r="BT146" s="1084">
        <f>IF(OR($H146="",$I146=""),0,IF(OR(BT$107&lt;$H146,BT$107&gt;$I146),0,$J146))</f>
        <v>0</v>
      </c>
      <c r="BU146" s="1084">
        <f>IF(OR($H146="",$I146=""),0,IF(OR(BU$107&lt;$H146,BU$107&gt;$I146),0,$J146))</f>
        <v>0</v>
      </c>
      <c r="BV146" s="1084">
        <f>IF(OR($H146="",$I146=""),0,IF(OR(BV$107&lt;$H146,BV$107&gt;$I146),0,$J146))</f>
        <v>0</v>
      </c>
      <c r="BW146" s="1085">
        <f>IF(OR($H146="",$I146=""),0,IF(OR(BW$107&lt;$H146,BW$107&gt;$I146),0,$J146))</f>
        <v>0</v>
      </c>
      <c r="DD146" s="131"/>
    </row>
    <row r="147" spans="1:108" s="8" customFormat="1" ht="12" hidden="1" customHeight="1" thickBot="1" x14ac:dyDescent="0.4">
      <c r="A147" s="133">
        <v>40</v>
      </c>
      <c r="B147" s="1711" t="str">
        <f>IF(A147&gt;F$107,"{Can hide row}","")</f>
        <v>{Can hide row}</v>
      </c>
      <c r="C147" s="9" t="str">
        <f>A147&amp;" "</f>
        <v xml:space="preserve">40 </v>
      </c>
      <c r="D147" s="1843"/>
      <c r="E147" s="1844"/>
      <c r="F147" s="1845"/>
      <c r="G147" s="590"/>
      <c r="H147" s="591"/>
      <c r="I147" s="591"/>
      <c r="J147" s="594">
        <f>IF(I147&lt;&gt;"",1,0)</f>
        <v>0</v>
      </c>
      <c r="K147" s="1050">
        <f>IF(I147&lt;&gt;"",K146,0)</f>
        <v>0</v>
      </c>
      <c r="L147" s="1050">
        <f>IF(I147&lt;&gt;"",L146,0)</f>
        <v>0</v>
      </c>
      <c r="M147" s="1049">
        <f>IF(I147&lt;&gt;"",M146,0)</f>
        <v>0</v>
      </c>
      <c r="N147" s="1001"/>
      <c r="P147" s="1083">
        <f>IF(OR($H147="",$I147=""),0,IF(OR(P$107&lt;$H147,P$107&gt;$I147),0,$J147))</f>
        <v>0</v>
      </c>
      <c r="Q147" s="1084">
        <f>IF(OR($H147="",$I147=""),0,IF(OR(Q$107&lt;$H147,Q$107&gt;$I147),0,$J147))</f>
        <v>0</v>
      </c>
      <c r="R147" s="1084">
        <f>IF(OR($H147="",$I147=""),0,IF(OR(R$107&lt;$H147,R$107&gt;$I147),0,$J147))</f>
        <v>0</v>
      </c>
      <c r="S147" s="1084">
        <f>IF(OR($H147="",$I147=""),0,IF(OR(S$107&lt;$H147,S$107&gt;$I147),0,$J147))</f>
        <v>0</v>
      </c>
      <c r="T147" s="1084">
        <f>IF(OR($H147="",$I147=""),0,IF(OR(T$107&lt;$H147,T$107&gt;$I147),0,$J147))</f>
        <v>0</v>
      </c>
      <c r="U147" s="1084">
        <f>IF(OR($H147="",$I147=""),0,IF(OR(U$107&lt;$H147,U$107&gt;$I147),0,$J147))</f>
        <v>0</v>
      </c>
      <c r="V147" s="1084">
        <f>IF(OR($H147="",$I147=""),0,IF(OR(V$107&lt;$H147,V$107&gt;$I147),0,$J147))</f>
        <v>0</v>
      </c>
      <c r="W147" s="1084">
        <f>IF(OR($H147="",$I147=""),0,IF(OR(W$107&lt;$H147,W$107&gt;$I147),0,$J147))</f>
        <v>0</v>
      </c>
      <c r="X147" s="1084">
        <f>IF(OR($H147="",$I147=""),0,IF(OR(X$107&lt;$H147,X$107&gt;$I147),0,$J147))</f>
        <v>0</v>
      </c>
      <c r="Y147" s="1084">
        <f>IF(OR($H147="",$I147=""),0,IF(OR(Y$107&lt;$H147,Y$107&gt;$I147),0,$J147))</f>
        <v>0</v>
      </c>
      <c r="Z147" s="1084">
        <f>IF(OR($H147="",$I147=""),0,IF(OR(Z$107&lt;$H147,Z$107&gt;$I147),0,$J147))</f>
        <v>0</v>
      </c>
      <c r="AA147" s="1084">
        <f>IF(OR($H147="",$I147=""),0,IF(OR(AA$107&lt;$H147,AA$107&gt;$I147),0,$J147))</f>
        <v>0</v>
      </c>
      <c r="AB147" s="1084">
        <f>IF(OR($H147="",$I147=""),0,IF(OR(AB$107&lt;$H147,AB$107&gt;$I147),0,$J147))</f>
        <v>0</v>
      </c>
      <c r="AC147" s="1084">
        <f>IF(OR($H147="",$I147=""),0,IF(OR(AC$107&lt;$H147,AC$107&gt;$I147),0,$J147))</f>
        <v>0</v>
      </c>
      <c r="AD147" s="1084">
        <f>IF(OR($H147="",$I147=""),0,IF(OR(AD$107&lt;$H147,AD$107&gt;$I147),0,$J147))</f>
        <v>0</v>
      </c>
      <c r="AE147" s="1084">
        <f>IF(OR($H147="",$I147=""),0,IF(OR(AE$107&lt;$H147,AE$107&gt;$I147),0,$J147))</f>
        <v>0</v>
      </c>
      <c r="AF147" s="1084">
        <f>IF(OR($H147="",$I147=""),0,IF(OR(AF$107&lt;$H147,AF$107&gt;$I147),0,$J147))</f>
        <v>0</v>
      </c>
      <c r="AG147" s="1084">
        <f>IF(OR($H147="",$I147=""),0,IF(OR(AG$107&lt;$H147,AG$107&gt;$I147),0,$J147))</f>
        <v>0</v>
      </c>
      <c r="AH147" s="1084">
        <f>IF(OR($H147="",$I147=""),0,IF(OR(AH$107&lt;$H147,AH$107&gt;$I147),0,$J147))</f>
        <v>0</v>
      </c>
      <c r="AI147" s="1084">
        <f>IF(OR($H147="",$I147=""),0,IF(OR(AI$107&lt;$H147,AI$107&gt;$I147),0,$J147))</f>
        <v>0</v>
      </c>
      <c r="AJ147" s="1084">
        <f>IF(OR($H147="",$I147=""),0,IF(OR(AJ$107&lt;$H147,AJ$107&gt;$I147),0,$J147))</f>
        <v>0</v>
      </c>
      <c r="AK147" s="1084">
        <f>IF(OR($H147="",$I147=""),0,IF(OR(AK$107&lt;$H147,AK$107&gt;$I147),0,$J147))</f>
        <v>0</v>
      </c>
      <c r="AL147" s="1084">
        <f>IF(OR($H147="",$I147=""),0,IF(OR(AL$107&lt;$H147,AL$107&gt;$I147),0,$J147))</f>
        <v>0</v>
      </c>
      <c r="AM147" s="1084">
        <f>IF(OR($H147="",$I147=""),0,IF(OR(AM$107&lt;$H147,AM$107&gt;$I147),0,$J147))</f>
        <v>0</v>
      </c>
      <c r="AN147" s="1084">
        <f>IF(OR($H147="",$I147=""),0,IF(OR(AN$107&lt;$H147,AN$107&gt;$I147),0,$J147))</f>
        <v>0</v>
      </c>
      <c r="AO147" s="1084">
        <f>IF(OR($H147="",$I147=""),0,IF(OR(AO$107&lt;$H147,AO$107&gt;$I147),0,$J147))</f>
        <v>0</v>
      </c>
      <c r="AP147" s="1084">
        <f>IF(OR($H147="",$I147=""),0,IF(OR(AP$107&lt;$H147,AP$107&gt;$I147),0,$J147))</f>
        <v>0</v>
      </c>
      <c r="AQ147" s="1084">
        <f>IF(OR($H147="",$I147=""),0,IF(OR(AQ$107&lt;$H147,AQ$107&gt;$I147),0,$J147))</f>
        <v>0</v>
      </c>
      <c r="AR147" s="1084">
        <f>IF(OR($H147="",$I147=""),0,IF(OR(AR$107&lt;$H147,AR$107&gt;$I147),0,$J147))</f>
        <v>0</v>
      </c>
      <c r="AS147" s="1084">
        <f>IF(OR($H147="",$I147=""),0,IF(OR(AS$107&lt;$H147,AS$107&gt;$I147),0,$J147))</f>
        <v>0</v>
      </c>
      <c r="AT147" s="1084">
        <f>IF(OR($H147="",$I147=""),0,IF(OR(AT$107&lt;$H147,AT$107&gt;$I147),0,$J147))</f>
        <v>0</v>
      </c>
      <c r="AU147" s="1084">
        <f>IF(OR($H147="",$I147=""),0,IF(OR(AU$107&lt;$H147,AU$107&gt;$I147),0,$J147))</f>
        <v>0</v>
      </c>
      <c r="AV147" s="1084">
        <f>IF(OR($H147="",$I147=""),0,IF(OR(AV$107&lt;$H147,AV$107&gt;$I147),0,$J147))</f>
        <v>0</v>
      </c>
      <c r="AW147" s="1084">
        <f>IF(OR($H147="",$I147=""),0,IF(OR(AW$107&lt;$H147,AW$107&gt;$I147),0,$J147))</f>
        <v>0</v>
      </c>
      <c r="AX147" s="1084">
        <f>IF(OR($H147="",$I147=""),0,IF(OR(AX$107&lt;$H147,AX$107&gt;$I147),0,$J147))</f>
        <v>0</v>
      </c>
      <c r="AY147" s="1085">
        <f>IF(OR($H147="",$I147=""),0,IF(OR(AY$107&lt;$H147,AY$107&gt;$I147),0,$J147))</f>
        <v>0</v>
      </c>
      <c r="AZ147" s="1240">
        <f>IF(OR($H147="",$I147=""),0,IF(OR(AZ$107&lt;$H147,AZ$107&gt;$I147),0,$J147))</f>
        <v>0</v>
      </c>
      <c r="BA147" s="1084">
        <f>IF(OR($H147="",$I147=""),0,IF(OR(BA$107&lt;$H147,BA$107&gt;$I147),0,$J147))</f>
        <v>0</v>
      </c>
      <c r="BB147" s="1084">
        <f>IF(OR($H147="",$I147=""),0,IF(OR(BB$107&lt;$H147,BB$107&gt;$I147),0,$J147))</f>
        <v>0</v>
      </c>
      <c r="BC147" s="1084">
        <f>IF(OR($H147="",$I147=""),0,IF(OR(BC$107&lt;$H147,BC$107&gt;$I147),0,$J147))</f>
        <v>0</v>
      </c>
      <c r="BD147" s="1084">
        <f>IF(OR($H147="",$I147=""),0,IF(OR(BD$107&lt;$H147,BD$107&gt;$I147),0,$J147))</f>
        <v>0</v>
      </c>
      <c r="BE147" s="1084">
        <f>IF(OR($H147="",$I147=""),0,IF(OR(BE$107&lt;$H147,BE$107&gt;$I147),0,$J147))</f>
        <v>0</v>
      </c>
      <c r="BF147" s="1084">
        <f>IF(OR($H147="",$I147=""),0,IF(OR(BF$107&lt;$H147,BF$107&gt;$I147),0,$J147))</f>
        <v>0</v>
      </c>
      <c r="BG147" s="1084">
        <f>IF(OR($H147="",$I147=""),0,IF(OR(BG$107&lt;$H147,BG$107&gt;$I147),0,$J147))</f>
        <v>0</v>
      </c>
      <c r="BH147" s="1084">
        <f>IF(OR($H147="",$I147=""),0,IF(OR(BH$107&lt;$H147,BH$107&gt;$I147),0,$J147))</f>
        <v>0</v>
      </c>
      <c r="BI147" s="1084">
        <f>IF(OR($H147="",$I147=""),0,IF(OR(BI$107&lt;$H147,BI$107&gt;$I147),0,$J147))</f>
        <v>0</v>
      </c>
      <c r="BJ147" s="1084">
        <f>IF(OR($H147="",$I147=""),0,IF(OR(BJ$107&lt;$H147,BJ$107&gt;$I147),0,$J147))</f>
        <v>0</v>
      </c>
      <c r="BK147" s="1084">
        <f>IF(OR($H147="",$I147=""),0,IF(OR(BK$107&lt;$H147,BK$107&gt;$I147),0,$J147))</f>
        <v>0</v>
      </c>
      <c r="BL147" s="1084">
        <f>IF(OR($H147="",$I147=""),0,IF(OR(BL$107&lt;$H147,BL$107&gt;$I147),0,$J147))</f>
        <v>0</v>
      </c>
      <c r="BM147" s="1084">
        <f>IF(OR($H147="",$I147=""),0,IF(OR(BM$107&lt;$H147,BM$107&gt;$I147),0,$J147))</f>
        <v>0</v>
      </c>
      <c r="BN147" s="1084">
        <f>IF(OR($H147="",$I147=""),0,IF(OR(BN$107&lt;$H147,BN$107&gt;$I147),0,$J147))</f>
        <v>0</v>
      </c>
      <c r="BO147" s="1084">
        <f>IF(OR($H147="",$I147=""),0,IF(OR(BO$107&lt;$H147,BO$107&gt;$I147),0,$J147))</f>
        <v>0</v>
      </c>
      <c r="BP147" s="1084">
        <f>IF(OR($H147="",$I147=""),0,IF(OR(BP$107&lt;$H147,BP$107&gt;$I147),0,$J147))</f>
        <v>0</v>
      </c>
      <c r="BQ147" s="1084">
        <f>IF(OR($H147="",$I147=""),0,IF(OR(BQ$107&lt;$H147,BQ$107&gt;$I147),0,$J147))</f>
        <v>0</v>
      </c>
      <c r="BR147" s="1084">
        <f>IF(OR($H147="",$I147=""),0,IF(OR(BR$107&lt;$H147,BR$107&gt;$I147),0,$J147))</f>
        <v>0</v>
      </c>
      <c r="BS147" s="1084">
        <f>IF(OR($H147="",$I147=""),0,IF(OR(BS$107&lt;$H147,BS$107&gt;$I147),0,$J147))</f>
        <v>0</v>
      </c>
      <c r="BT147" s="1084">
        <f>IF(OR($H147="",$I147=""),0,IF(OR(BT$107&lt;$H147,BT$107&gt;$I147),0,$J147))</f>
        <v>0</v>
      </c>
      <c r="BU147" s="1084">
        <f>IF(OR($H147="",$I147=""),0,IF(OR(BU$107&lt;$H147,BU$107&gt;$I147),0,$J147))</f>
        <v>0</v>
      </c>
      <c r="BV147" s="1084">
        <f>IF(OR($H147="",$I147=""),0,IF(OR(BV$107&lt;$H147,BV$107&gt;$I147),0,$J147))</f>
        <v>0</v>
      </c>
      <c r="BW147" s="1085">
        <f>IF(OR($H147="",$I147=""),0,IF(OR(BW$107&lt;$H147,BW$107&gt;$I147),0,$J147))</f>
        <v>0</v>
      </c>
      <c r="DD147" s="131"/>
    </row>
    <row r="148" spans="1:108" s="8" customFormat="1" ht="12" hidden="1" customHeight="1" thickBot="1" x14ac:dyDescent="0.4">
      <c r="A148" s="133">
        <v>41</v>
      </c>
      <c r="B148" s="1711" t="str">
        <f>IF(A148&gt;F$107,"{Can hide row}","")</f>
        <v>{Can hide row}</v>
      </c>
      <c r="C148" s="9" t="str">
        <f>A148&amp;" "</f>
        <v xml:space="preserve">41 </v>
      </c>
      <c r="D148" s="1843"/>
      <c r="E148" s="1844"/>
      <c r="F148" s="1845"/>
      <c r="G148" s="590"/>
      <c r="H148" s="591"/>
      <c r="I148" s="591"/>
      <c r="J148" s="594">
        <f>IF(I148&lt;&gt;"",1,0)</f>
        <v>0</v>
      </c>
      <c r="K148" s="1050">
        <f>IF(I148&lt;&gt;"",K147,0)</f>
        <v>0</v>
      </c>
      <c r="L148" s="1050">
        <f>IF(I148&lt;&gt;"",L147,0)</f>
        <v>0</v>
      </c>
      <c r="M148" s="1049">
        <f>IF(I148&lt;&gt;"",M147,0)</f>
        <v>0</v>
      </c>
      <c r="N148" s="1001"/>
      <c r="P148" s="1083">
        <f>IF(OR($H148="",$I148=""),0,IF(OR(P$107&lt;$H148,P$107&gt;$I148),0,$J148))</f>
        <v>0</v>
      </c>
      <c r="Q148" s="1084">
        <f>IF(OR($H148="",$I148=""),0,IF(OR(Q$107&lt;$H148,Q$107&gt;$I148),0,$J148))</f>
        <v>0</v>
      </c>
      <c r="R148" s="1084">
        <f>IF(OR($H148="",$I148=""),0,IF(OR(R$107&lt;$H148,R$107&gt;$I148),0,$J148))</f>
        <v>0</v>
      </c>
      <c r="S148" s="1084">
        <f>IF(OR($H148="",$I148=""),0,IF(OR(S$107&lt;$H148,S$107&gt;$I148),0,$J148))</f>
        <v>0</v>
      </c>
      <c r="T148" s="1084">
        <f>IF(OR($H148="",$I148=""),0,IF(OR(T$107&lt;$H148,T$107&gt;$I148),0,$J148))</f>
        <v>0</v>
      </c>
      <c r="U148" s="1084">
        <f>IF(OR($H148="",$I148=""),0,IF(OR(U$107&lt;$H148,U$107&gt;$I148),0,$J148))</f>
        <v>0</v>
      </c>
      <c r="V148" s="1084">
        <f>IF(OR($H148="",$I148=""),0,IF(OR(V$107&lt;$H148,V$107&gt;$I148),0,$J148))</f>
        <v>0</v>
      </c>
      <c r="W148" s="1084">
        <f>IF(OR($H148="",$I148=""),0,IF(OR(W$107&lt;$H148,W$107&gt;$I148),0,$J148))</f>
        <v>0</v>
      </c>
      <c r="X148" s="1084">
        <f>IF(OR($H148="",$I148=""),0,IF(OR(X$107&lt;$H148,X$107&gt;$I148),0,$J148))</f>
        <v>0</v>
      </c>
      <c r="Y148" s="1084">
        <f>IF(OR($H148="",$I148=""),0,IF(OR(Y$107&lt;$H148,Y$107&gt;$I148),0,$J148))</f>
        <v>0</v>
      </c>
      <c r="Z148" s="1084">
        <f>IF(OR($H148="",$I148=""),0,IF(OR(Z$107&lt;$H148,Z$107&gt;$I148),0,$J148))</f>
        <v>0</v>
      </c>
      <c r="AA148" s="1084">
        <f>IF(OR($H148="",$I148=""),0,IF(OR(AA$107&lt;$H148,AA$107&gt;$I148),0,$J148))</f>
        <v>0</v>
      </c>
      <c r="AB148" s="1084">
        <f>IF(OR($H148="",$I148=""),0,IF(OR(AB$107&lt;$H148,AB$107&gt;$I148),0,$J148))</f>
        <v>0</v>
      </c>
      <c r="AC148" s="1084">
        <f>IF(OR($H148="",$I148=""),0,IF(OR(AC$107&lt;$H148,AC$107&gt;$I148),0,$J148))</f>
        <v>0</v>
      </c>
      <c r="AD148" s="1084">
        <f>IF(OR($H148="",$I148=""),0,IF(OR(AD$107&lt;$H148,AD$107&gt;$I148),0,$J148))</f>
        <v>0</v>
      </c>
      <c r="AE148" s="1084">
        <f>IF(OR($H148="",$I148=""),0,IF(OR(AE$107&lt;$H148,AE$107&gt;$I148),0,$J148))</f>
        <v>0</v>
      </c>
      <c r="AF148" s="1084">
        <f>IF(OR($H148="",$I148=""),0,IF(OR(AF$107&lt;$H148,AF$107&gt;$I148),0,$J148))</f>
        <v>0</v>
      </c>
      <c r="AG148" s="1084">
        <f>IF(OR($H148="",$I148=""),0,IF(OR(AG$107&lt;$H148,AG$107&gt;$I148),0,$J148))</f>
        <v>0</v>
      </c>
      <c r="AH148" s="1084">
        <f>IF(OR($H148="",$I148=""),0,IF(OR(AH$107&lt;$H148,AH$107&gt;$I148),0,$J148))</f>
        <v>0</v>
      </c>
      <c r="AI148" s="1084">
        <f>IF(OR($H148="",$I148=""),0,IF(OR(AI$107&lt;$H148,AI$107&gt;$I148),0,$J148))</f>
        <v>0</v>
      </c>
      <c r="AJ148" s="1084">
        <f>IF(OR($H148="",$I148=""),0,IF(OR(AJ$107&lt;$H148,AJ$107&gt;$I148),0,$J148))</f>
        <v>0</v>
      </c>
      <c r="AK148" s="1084">
        <f>IF(OR($H148="",$I148=""),0,IF(OR(AK$107&lt;$H148,AK$107&gt;$I148),0,$J148))</f>
        <v>0</v>
      </c>
      <c r="AL148" s="1084">
        <f>IF(OR($H148="",$I148=""),0,IF(OR(AL$107&lt;$H148,AL$107&gt;$I148),0,$J148))</f>
        <v>0</v>
      </c>
      <c r="AM148" s="1084">
        <f>IF(OR($H148="",$I148=""),0,IF(OR(AM$107&lt;$H148,AM$107&gt;$I148),0,$J148))</f>
        <v>0</v>
      </c>
      <c r="AN148" s="1084">
        <f>IF(OR($H148="",$I148=""),0,IF(OR(AN$107&lt;$H148,AN$107&gt;$I148),0,$J148))</f>
        <v>0</v>
      </c>
      <c r="AO148" s="1084">
        <f>IF(OR($H148="",$I148=""),0,IF(OR(AO$107&lt;$H148,AO$107&gt;$I148),0,$J148))</f>
        <v>0</v>
      </c>
      <c r="AP148" s="1084">
        <f>IF(OR($H148="",$I148=""),0,IF(OR(AP$107&lt;$H148,AP$107&gt;$I148),0,$J148))</f>
        <v>0</v>
      </c>
      <c r="AQ148" s="1084">
        <f>IF(OR($H148="",$I148=""),0,IF(OR(AQ$107&lt;$H148,AQ$107&gt;$I148),0,$J148))</f>
        <v>0</v>
      </c>
      <c r="AR148" s="1084">
        <f>IF(OR($H148="",$I148=""),0,IF(OR(AR$107&lt;$H148,AR$107&gt;$I148),0,$J148))</f>
        <v>0</v>
      </c>
      <c r="AS148" s="1084">
        <f>IF(OR($H148="",$I148=""),0,IF(OR(AS$107&lt;$H148,AS$107&gt;$I148),0,$J148))</f>
        <v>0</v>
      </c>
      <c r="AT148" s="1084">
        <f>IF(OR($H148="",$I148=""),0,IF(OR(AT$107&lt;$H148,AT$107&gt;$I148),0,$J148))</f>
        <v>0</v>
      </c>
      <c r="AU148" s="1084">
        <f>IF(OR($H148="",$I148=""),0,IF(OR(AU$107&lt;$H148,AU$107&gt;$I148),0,$J148))</f>
        <v>0</v>
      </c>
      <c r="AV148" s="1084">
        <f>IF(OR($H148="",$I148=""),0,IF(OR(AV$107&lt;$H148,AV$107&gt;$I148),0,$J148))</f>
        <v>0</v>
      </c>
      <c r="AW148" s="1084">
        <f>IF(OR($H148="",$I148=""),0,IF(OR(AW$107&lt;$H148,AW$107&gt;$I148),0,$J148))</f>
        <v>0</v>
      </c>
      <c r="AX148" s="1084">
        <f>IF(OR($H148="",$I148=""),0,IF(OR(AX$107&lt;$H148,AX$107&gt;$I148),0,$J148))</f>
        <v>0</v>
      </c>
      <c r="AY148" s="1085">
        <f>IF(OR($H148="",$I148=""),0,IF(OR(AY$107&lt;$H148,AY$107&gt;$I148),0,$J148))</f>
        <v>0</v>
      </c>
      <c r="AZ148" s="1240">
        <f>IF(OR($H148="",$I148=""),0,IF(OR(AZ$107&lt;$H148,AZ$107&gt;$I148),0,$J148))</f>
        <v>0</v>
      </c>
      <c r="BA148" s="1084">
        <f>IF(OR($H148="",$I148=""),0,IF(OR(BA$107&lt;$H148,BA$107&gt;$I148),0,$J148))</f>
        <v>0</v>
      </c>
      <c r="BB148" s="1084">
        <f>IF(OR($H148="",$I148=""),0,IF(OR(BB$107&lt;$H148,BB$107&gt;$I148),0,$J148))</f>
        <v>0</v>
      </c>
      <c r="BC148" s="1084">
        <f>IF(OR($H148="",$I148=""),0,IF(OR(BC$107&lt;$H148,BC$107&gt;$I148),0,$J148))</f>
        <v>0</v>
      </c>
      <c r="BD148" s="1084">
        <f>IF(OR($H148="",$I148=""),0,IF(OR(BD$107&lt;$H148,BD$107&gt;$I148),0,$J148))</f>
        <v>0</v>
      </c>
      <c r="BE148" s="1084">
        <f>IF(OR($H148="",$I148=""),0,IF(OR(BE$107&lt;$H148,BE$107&gt;$I148),0,$J148))</f>
        <v>0</v>
      </c>
      <c r="BF148" s="1084">
        <f>IF(OR($H148="",$I148=""),0,IF(OR(BF$107&lt;$H148,BF$107&gt;$I148),0,$J148))</f>
        <v>0</v>
      </c>
      <c r="BG148" s="1084">
        <f>IF(OR($H148="",$I148=""),0,IF(OR(BG$107&lt;$H148,BG$107&gt;$I148),0,$J148))</f>
        <v>0</v>
      </c>
      <c r="BH148" s="1084">
        <f>IF(OR($H148="",$I148=""),0,IF(OR(BH$107&lt;$H148,BH$107&gt;$I148),0,$J148))</f>
        <v>0</v>
      </c>
      <c r="BI148" s="1084">
        <f>IF(OR($H148="",$I148=""),0,IF(OR(BI$107&lt;$H148,BI$107&gt;$I148),0,$J148))</f>
        <v>0</v>
      </c>
      <c r="BJ148" s="1084">
        <f>IF(OR($H148="",$I148=""),0,IF(OR(BJ$107&lt;$H148,BJ$107&gt;$I148),0,$J148))</f>
        <v>0</v>
      </c>
      <c r="BK148" s="1084">
        <f>IF(OR($H148="",$I148=""),0,IF(OR(BK$107&lt;$H148,BK$107&gt;$I148),0,$J148))</f>
        <v>0</v>
      </c>
      <c r="BL148" s="1084">
        <f>IF(OR($H148="",$I148=""),0,IF(OR(BL$107&lt;$H148,BL$107&gt;$I148),0,$J148))</f>
        <v>0</v>
      </c>
      <c r="BM148" s="1084">
        <f>IF(OR($H148="",$I148=""),0,IF(OR(BM$107&lt;$H148,BM$107&gt;$I148),0,$J148))</f>
        <v>0</v>
      </c>
      <c r="BN148" s="1084">
        <f>IF(OR($H148="",$I148=""),0,IF(OR(BN$107&lt;$H148,BN$107&gt;$I148),0,$J148))</f>
        <v>0</v>
      </c>
      <c r="BO148" s="1084">
        <f>IF(OR($H148="",$I148=""),0,IF(OR(BO$107&lt;$H148,BO$107&gt;$I148),0,$J148))</f>
        <v>0</v>
      </c>
      <c r="BP148" s="1084">
        <f>IF(OR($H148="",$I148=""),0,IF(OR(BP$107&lt;$H148,BP$107&gt;$I148),0,$J148))</f>
        <v>0</v>
      </c>
      <c r="BQ148" s="1084">
        <f>IF(OR($H148="",$I148=""),0,IF(OR(BQ$107&lt;$H148,BQ$107&gt;$I148),0,$J148))</f>
        <v>0</v>
      </c>
      <c r="BR148" s="1084">
        <f>IF(OR($H148="",$I148=""),0,IF(OR(BR$107&lt;$H148,BR$107&gt;$I148),0,$J148))</f>
        <v>0</v>
      </c>
      <c r="BS148" s="1084">
        <f>IF(OR($H148="",$I148=""),0,IF(OR(BS$107&lt;$H148,BS$107&gt;$I148),0,$J148))</f>
        <v>0</v>
      </c>
      <c r="BT148" s="1084">
        <f>IF(OR($H148="",$I148=""),0,IF(OR(BT$107&lt;$H148,BT$107&gt;$I148),0,$J148))</f>
        <v>0</v>
      </c>
      <c r="BU148" s="1084">
        <f>IF(OR($H148="",$I148=""),0,IF(OR(BU$107&lt;$H148,BU$107&gt;$I148),0,$J148))</f>
        <v>0</v>
      </c>
      <c r="BV148" s="1084">
        <f>IF(OR($H148="",$I148=""),0,IF(OR(BV$107&lt;$H148,BV$107&gt;$I148),0,$J148))</f>
        <v>0</v>
      </c>
      <c r="BW148" s="1085">
        <f>IF(OR($H148="",$I148=""),0,IF(OR(BW$107&lt;$H148,BW$107&gt;$I148),0,$J148))</f>
        <v>0</v>
      </c>
      <c r="DD148" s="131"/>
    </row>
    <row r="149" spans="1:108" s="8" customFormat="1" ht="12" hidden="1" customHeight="1" thickBot="1" x14ac:dyDescent="0.4">
      <c r="A149" s="133">
        <v>42</v>
      </c>
      <c r="B149" s="1711" t="str">
        <f>IF(A149&gt;F$107,"{Can hide row}","")</f>
        <v>{Can hide row}</v>
      </c>
      <c r="C149" s="9" t="str">
        <f>A149&amp;" "</f>
        <v xml:space="preserve">42 </v>
      </c>
      <c r="D149" s="1843"/>
      <c r="E149" s="1844"/>
      <c r="F149" s="1845"/>
      <c r="G149" s="590"/>
      <c r="H149" s="591"/>
      <c r="I149" s="591"/>
      <c r="J149" s="594">
        <f>IF(I149&lt;&gt;"",1,0)</f>
        <v>0</v>
      </c>
      <c r="K149" s="1050">
        <f>IF(I149&lt;&gt;"",K148,0)</f>
        <v>0</v>
      </c>
      <c r="L149" s="1050">
        <f>IF(I149&lt;&gt;"",L148,0)</f>
        <v>0</v>
      </c>
      <c r="M149" s="1049">
        <f>IF(I149&lt;&gt;"",M148,0)</f>
        <v>0</v>
      </c>
      <c r="N149" s="1001"/>
      <c r="P149" s="1083">
        <f>IF(OR($H149="",$I149=""),0,IF(OR(P$107&lt;$H149,P$107&gt;$I149),0,$J149))</f>
        <v>0</v>
      </c>
      <c r="Q149" s="1084">
        <f>IF(OR($H149="",$I149=""),0,IF(OR(Q$107&lt;$H149,Q$107&gt;$I149),0,$J149))</f>
        <v>0</v>
      </c>
      <c r="R149" s="1084">
        <f>IF(OR($H149="",$I149=""),0,IF(OR(R$107&lt;$H149,R$107&gt;$I149),0,$J149))</f>
        <v>0</v>
      </c>
      <c r="S149" s="1084">
        <f>IF(OR($H149="",$I149=""),0,IF(OR(S$107&lt;$H149,S$107&gt;$I149),0,$J149))</f>
        <v>0</v>
      </c>
      <c r="T149" s="1084">
        <f>IF(OR($H149="",$I149=""),0,IF(OR(T$107&lt;$H149,T$107&gt;$I149),0,$J149))</f>
        <v>0</v>
      </c>
      <c r="U149" s="1084">
        <f>IF(OR($H149="",$I149=""),0,IF(OR(U$107&lt;$H149,U$107&gt;$I149),0,$J149))</f>
        <v>0</v>
      </c>
      <c r="V149" s="1084">
        <f>IF(OR($H149="",$I149=""),0,IF(OR(V$107&lt;$H149,V$107&gt;$I149),0,$J149))</f>
        <v>0</v>
      </c>
      <c r="W149" s="1084">
        <f>IF(OR($H149="",$I149=""),0,IF(OR(W$107&lt;$H149,W$107&gt;$I149),0,$J149))</f>
        <v>0</v>
      </c>
      <c r="X149" s="1084">
        <f>IF(OR($H149="",$I149=""),0,IF(OR(X$107&lt;$H149,X$107&gt;$I149),0,$J149))</f>
        <v>0</v>
      </c>
      <c r="Y149" s="1084">
        <f>IF(OR($H149="",$I149=""),0,IF(OR(Y$107&lt;$H149,Y$107&gt;$I149),0,$J149))</f>
        <v>0</v>
      </c>
      <c r="Z149" s="1084">
        <f>IF(OR($H149="",$I149=""),0,IF(OR(Z$107&lt;$H149,Z$107&gt;$I149),0,$J149))</f>
        <v>0</v>
      </c>
      <c r="AA149" s="1084">
        <f>IF(OR($H149="",$I149=""),0,IF(OR(AA$107&lt;$H149,AA$107&gt;$I149),0,$J149))</f>
        <v>0</v>
      </c>
      <c r="AB149" s="1084">
        <f>IF(OR($H149="",$I149=""),0,IF(OR(AB$107&lt;$H149,AB$107&gt;$I149),0,$J149))</f>
        <v>0</v>
      </c>
      <c r="AC149" s="1084">
        <f>IF(OR($H149="",$I149=""),0,IF(OR(AC$107&lt;$H149,AC$107&gt;$I149),0,$J149))</f>
        <v>0</v>
      </c>
      <c r="AD149" s="1084">
        <f>IF(OR($H149="",$I149=""),0,IF(OR(AD$107&lt;$H149,AD$107&gt;$I149),0,$J149))</f>
        <v>0</v>
      </c>
      <c r="AE149" s="1084">
        <f>IF(OR($H149="",$I149=""),0,IF(OR(AE$107&lt;$H149,AE$107&gt;$I149),0,$J149))</f>
        <v>0</v>
      </c>
      <c r="AF149" s="1084">
        <f>IF(OR($H149="",$I149=""),0,IF(OR(AF$107&lt;$H149,AF$107&gt;$I149),0,$J149))</f>
        <v>0</v>
      </c>
      <c r="AG149" s="1084">
        <f>IF(OR($H149="",$I149=""),0,IF(OR(AG$107&lt;$H149,AG$107&gt;$I149),0,$J149))</f>
        <v>0</v>
      </c>
      <c r="AH149" s="1084">
        <f>IF(OR($H149="",$I149=""),0,IF(OR(AH$107&lt;$H149,AH$107&gt;$I149),0,$J149))</f>
        <v>0</v>
      </c>
      <c r="AI149" s="1084">
        <f>IF(OR($H149="",$I149=""),0,IF(OR(AI$107&lt;$H149,AI$107&gt;$I149),0,$J149))</f>
        <v>0</v>
      </c>
      <c r="AJ149" s="1084">
        <f>IF(OR($H149="",$I149=""),0,IF(OR(AJ$107&lt;$H149,AJ$107&gt;$I149),0,$J149))</f>
        <v>0</v>
      </c>
      <c r="AK149" s="1084">
        <f>IF(OR($H149="",$I149=""),0,IF(OR(AK$107&lt;$H149,AK$107&gt;$I149),0,$J149))</f>
        <v>0</v>
      </c>
      <c r="AL149" s="1084">
        <f>IF(OR($H149="",$I149=""),0,IF(OR(AL$107&lt;$H149,AL$107&gt;$I149),0,$J149))</f>
        <v>0</v>
      </c>
      <c r="AM149" s="1084">
        <f>IF(OR($H149="",$I149=""),0,IF(OR(AM$107&lt;$H149,AM$107&gt;$I149),0,$J149))</f>
        <v>0</v>
      </c>
      <c r="AN149" s="1084">
        <f>IF(OR($H149="",$I149=""),0,IF(OR(AN$107&lt;$H149,AN$107&gt;$I149),0,$J149))</f>
        <v>0</v>
      </c>
      <c r="AO149" s="1084">
        <f>IF(OR($H149="",$I149=""),0,IF(OR(AO$107&lt;$H149,AO$107&gt;$I149),0,$J149))</f>
        <v>0</v>
      </c>
      <c r="AP149" s="1084">
        <f>IF(OR($H149="",$I149=""),0,IF(OR(AP$107&lt;$H149,AP$107&gt;$I149),0,$J149))</f>
        <v>0</v>
      </c>
      <c r="AQ149" s="1084">
        <f>IF(OR($H149="",$I149=""),0,IF(OR(AQ$107&lt;$H149,AQ$107&gt;$I149),0,$J149))</f>
        <v>0</v>
      </c>
      <c r="AR149" s="1084">
        <f>IF(OR($H149="",$I149=""),0,IF(OR(AR$107&lt;$H149,AR$107&gt;$I149),0,$J149))</f>
        <v>0</v>
      </c>
      <c r="AS149" s="1084">
        <f>IF(OR($H149="",$I149=""),0,IF(OR(AS$107&lt;$H149,AS$107&gt;$I149),0,$J149))</f>
        <v>0</v>
      </c>
      <c r="AT149" s="1084">
        <f>IF(OR($H149="",$I149=""),0,IF(OR(AT$107&lt;$H149,AT$107&gt;$I149),0,$J149))</f>
        <v>0</v>
      </c>
      <c r="AU149" s="1084">
        <f>IF(OR($H149="",$I149=""),0,IF(OR(AU$107&lt;$H149,AU$107&gt;$I149),0,$J149))</f>
        <v>0</v>
      </c>
      <c r="AV149" s="1084">
        <f>IF(OR($H149="",$I149=""),0,IF(OR(AV$107&lt;$H149,AV$107&gt;$I149),0,$J149))</f>
        <v>0</v>
      </c>
      <c r="AW149" s="1084">
        <f>IF(OR($H149="",$I149=""),0,IF(OR(AW$107&lt;$H149,AW$107&gt;$I149),0,$J149))</f>
        <v>0</v>
      </c>
      <c r="AX149" s="1084">
        <f>IF(OR($H149="",$I149=""),0,IF(OR(AX$107&lt;$H149,AX$107&gt;$I149),0,$J149))</f>
        <v>0</v>
      </c>
      <c r="AY149" s="1085">
        <f>IF(OR($H149="",$I149=""),0,IF(OR(AY$107&lt;$H149,AY$107&gt;$I149),0,$J149))</f>
        <v>0</v>
      </c>
      <c r="AZ149" s="1240">
        <f>IF(OR($H149="",$I149=""),0,IF(OR(AZ$107&lt;$H149,AZ$107&gt;$I149),0,$J149))</f>
        <v>0</v>
      </c>
      <c r="BA149" s="1084">
        <f>IF(OR($H149="",$I149=""),0,IF(OR(BA$107&lt;$H149,BA$107&gt;$I149),0,$J149))</f>
        <v>0</v>
      </c>
      <c r="BB149" s="1084">
        <f>IF(OR($H149="",$I149=""),0,IF(OR(BB$107&lt;$H149,BB$107&gt;$I149),0,$J149))</f>
        <v>0</v>
      </c>
      <c r="BC149" s="1084">
        <f>IF(OR($H149="",$I149=""),0,IF(OR(BC$107&lt;$H149,BC$107&gt;$I149),0,$J149))</f>
        <v>0</v>
      </c>
      <c r="BD149" s="1084">
        <f>IF(OR($H149="",$I149=""),0,IF(OR(BD$107&lt;$H149,BD$107&gt;$I149),0,$J149))</f>
        <v>0</v>
      </c>
      <c r="BE149" s="1084">
        <f>IF(OR($H149="",$I149=""),0,IF(OR(BE$107&lt;$H149,BE$107&gt;$I149),0,$J149))</f>
        <v>0</v>
      </c>
      <c r="BF149" s="1084">
        <f>IF(OR($H149="",$I149=""),0,IF(OR(BF$107&lt;$H149,BF$107&gt;$I149),0,$J149))</f>
        <v>0</v>
      </c>
      <c r="BG149" s="1084">
        <f>IF(OR($H149="",$I149=""),0,IF(OR(BG$107&lt;$H149,BG$107&gt;$I149),0,$J149))</f>
        <v>0</v>
      </c>
      <c r="BH149" s="1084">
        <f>IF(OR($H149="",$I149=""),0,IF(OR(BH$107&lt;$H149,BH$107&gt;$I149),0,$J149))</f>
        <v>0</v>
      </c>
      <c r="BI149" s="1084">
        <f>IF(OR($H149="",$I149=""),0,IF(OR(BI$107&lt;$H149,BI$107&gt;$I149),0,$J149))</f>
        <v>0</v>
      </c>
      <c r="BJ149" s="1084">
        <f>IF(OR($H149="",$I149=""),0,IF(OR(BJ$107&lt;$H149,BJ$107&gt;$I149),0,$J149))</f>
        <v>0</v>
      </c>
      <c r="BK149" s="1084">
        <f>IF(OR($H149="",$I149=""),0,IF(OR(BK$107&lt;$H149,BK$107&gt;$I149),0,$J149))</f>
        <v>0</v>
      </c>
      <c r="BL149" s="1084">
        <f>IF(OR($H149="",$I149=""),0,IF(OR(BL$107&lt;$H149,BL$107&gt;$I149),0,$J149))</f>
        <v>0</v>
      </c>
      <c r="BM149" s="1084">
        <f>IF(OR($H149="",$I149=""),0,IF(OR(BM$107&lt;$H149,BM$107&gt;$I149),0,$J149))</f>
        <v>0</v>
      </c>
      <c r="BN149" s="1084">
        <f>IF(OR($H149="",$I149=""),0,IF(OR(BN$107&lt;$H149,BN$107&gt;$I149),0,$J149))</f>
        <v>0</v>
      </c>
      <c r="BO149" s="1084">
        <f>IF(OR($H149="",$I149=""),0,IF(OR(BO$107&lt;$H149,BO$107&gt;$I149),0,$J149))</f>
        <v>0</v>
      </c>
      <c r="BP149" s="1084">
        <f>IF(OR($H149="",$I149=""),0,IF(OR(BP$107&lt;$H149,BP$107&gt;$I149),0,$J149))</f>
        <v>0</v>
      </c>
      <c r="BQ149" s="1084">
        <f>IF(OR($H149="",$I149=""),0,IF(OR(BQ$107&lt;$H149,BQ$107&gt;$I149),0,$J149))</f>
        <v>0</v>
      </c>
      <c r="BR149" s="1084">
        <f>IF(OR($H149="",$I149=""),0,IF(OR(BR$107&lt;$H149,BR$107&gt;$I149),0,$J149))</f>
        <v>0</v>
      </c>
      <c r="BS149" s="1084">
        <f>IF(OR($H149="",$I149=""),0,IF(OR(BS$107&lt;$H149,BS$107&gt;$I149),0,$J149))</f>
        <v>0</v>
      </c>
      <c r="BT149" s="1084">
        <f>IF(OR($H149="",$I149=""),0,IF(OR(BT$107&lt;$H149,BT$107&gt;$I149),0,$J149))</f>
        <v>0</v>
      </c>
      <c r="BU149" s="1084">
        <f>IF(OR($H149="",$I149=""),0,IF(OR(BU$107&lt;$H149,BU$107&gt;$I149),0,$J149))</f>
        <v>0</v>
      </c>
      <c r="BV149" s="1084">
        <f>IF(OR($H149="",$I149=""),0,IF(OR(BV$107&lt;$H149,BV$107&gt;$I149),0,$J149))</f>
        <v>0</v>
      </c>
      <c r="BW149" s="1085">
        <f>IF(OR($H149="",$I149=""),0,IF(OR(BW$107&lt;$H149,BW$107&gt;$I149),0,$J149))</f>
        <v>0</v>
      </c>
      <c r="DD149" s="131"/>
    </row>
    <row r="150" spans="1:108" s="8" customFormat="1" ht="12" hidden="1" customHeight="1" thickBot="1" x14ac:dyDescent="0.4">
      <c r="A150" s="133">
        <v>43</v>
      </c>
      <c r="B150" s="1711" t="str">
        <f>IF(A150&gt;F$107,"{Can hide row}","")</f>
        <v>{Can hide row}</v>
      </c>
      <c r="C150" s="9" t="str">
        <f>A150&amp;" "</f>
        <v xml:space="preserve">43 </v>
      </c>
      <c r="D150" s="1843"/>
      <c r="E150" s="1844"/>
      <c r="F150" s="1845"/>
      <c r="G150" s="590"/>
      <c r="H150" s="591"/>
      <c r="I150" s="591"/>
      <c r="J150" s="594">
        <f>IF(I150&lt;&gt;"",1,0)</f>
        <v>0</v>
      </c>
      <c r="K150" s="1050">
        <f>IF(I150&lt;&gt;"",K149,0)</f>
        <v>0</v>
      </c>
      <c r="L150" s="1050">
        <f>IF(I150&lt;&gt;"",L149,0)</f>
        <v>0</v>
      </c>
      <c r="M150" s="1049">
        <f>IF(I150&lt;&gt;"",M149,0)</f>
        <v>0</v>
      </c>
      <c r="N150" s="1001"/>
      <c r="P150" s="1083">
        <f>IF(OR($H150="",$I150=""),0,IF(OR(P$107&lt;$H150,P$107&gt;$I150),0,$J150))</f>
        <v>0</v>
      </c>
      <c r="Q150" s="1084">
        <f>IF(OR($H150="",$I150=""),0,IF(OR(Q$107&lt;$H150,Q$107&gt;$I150),0,$J150))</f>
        <v>0</v>
      </c>
      <c r="R150" s="1084">
        <f>IF(OR($H150="",$I150=""),0,IF(OR(R$107&lt;$H150,R$107&gt;$I150),0,$J150))</f>
        <v>0</v>
      </c>
      <c r="S150" s="1084">
        <f>IF(OR($H150="",$I150=""),0,IF(OR(S$107&lt;$H150,S$107&gt;$I150),0,$J150))</f>
        <v>0</v>
      </c>
      <c r="T150" s="1084">
        <f>IF(OR($H150="",$I150=""),0,IF(OR(T$107&lt;$H150,T$107&gt;$I150),0,$J150))</f>
        <v>0</v>
      </c>
      <c r="U150" s="1084">
        <f>IF(OR($H150="",$I150=""),0,IF(OR(U$107&lt;$H150,U$107&gt;$I150),0,$J150))</f>
        <v>0</v>
      </c>
      <c r="V150" s="1084">
        <f>IF(OR($H150="",$I150=""),0,IF(OR(V$107&lt;$H150,V$107&gt;$I150),0,$J150))</f>
        <v>0</v>
      </c>
      <c r="W150" s="1084">
        <f>IF(OR($H150="",$I150=""),0,IF(OR(W$107&lt;$H150,W$107&gt;$I150),0,$J150))</f>
        <v>0</v>
      </c>
      <c r="X150" s="1084">
        <f>IF(OR($H150="",$I150=""),0,IF(OR(X$107&lt;$H150,X$107&gt;$I150),0,$J150))</f>
        <v>0</v>
      </c>
      <c r="Y150" s="1084">
        <f>IF(OR($H150="",$I150=""),0,IF(OR(Y$107&lt;$H150,Y$107&gt;$I150),0,$J150))</f>
        <v>0</v>
      </c>
      <c r="Z150" s="1084">
        <f>IF(OR($H150="",$I150=""),0,IF(OR(Z$107&lt;$H150,Z$107&gt;$I150),0,$J150))</f>
        <v>0</v>
      </c>
      <c r="AA150" s="1084">
        <f>IF(OR($H150="",$I150=""),0,IF(OR(AA$107&lt;$H150,AA$107&gt;$I150),0,$J150))</f>
        <v>0</v>
      </c>
      <c r="AB150" s="1084">
        <f>IF(OR($H150="",$I150=""),0,IF(OR(AB$107&lt;$H150,AB$107&gt;$I150),0,$J150))</f>
        <v>0</v>
      </c>
      <c r="AC150" s="1084">
        <f>IF(OR($H150="",$I150=""),0,IF(OR(AC$107&lt;$H150,AC$107&gt;$I150),0,$J150))</f>
        <v>0</v>
      </c>
      <c r="AD150" s="1084">
        <f>IF(OR($H150="",$I150=""),0,IF(OR(AD$107&lt;$H150,AD$107&gt;$I150),0,$J150))</f>
        <v>0</v>
      </c>
      <c r="AE150" s="1084">
        <f>IF(OR($H150="",$I150=""),0,IF(OR(AE$107&lt;$H150,AE$107&gt;$I150),0,$J150))</f>
        <v>0</v>
      </c>
      <c r="AF150" s="1084">
        <f>IF(OR($H150="",$I150=""),0,IF(OR(AF$107&lt;$H150,AF$107&gt;$I150),0,$J150))</f>
        <v>0</v>
      </c>
      <c r="AG150" s="1084">
        <f>IF(OR($H150="",$I150=""),0,IF(OR(AG$107&lt;$H150,AG$107&gt;$I150),0,$J150))</f>
        <v>0</v>
      </c>
      <c r="AH150" s="1084">
        <f>IF(OR($H150="",$I150=""),0,IF(OR(AH$107&lt;$H150,AH$107&gt;$I150),0,$J150))</f>
        <v>0</v>
      </c>
      <c r="AI150" s="1084">
        <f>IF(OR($H150="",$I150=""),0,IF(OR(AI$107&lt;$H150,AI$107&gt;$I150),0,$J150))</f>
        <v>0</v>
      </c>
      <c r="AJ150" s="1084">
        <f>IF(OR($H150="",$I150=""),0,IF(OR(AJ$107&lt;$H150,AJ$107&gt;$I150),0,$J150))</f>
        <v>0</v>
      </c>
      <c r="AK150" s="1084">
        <f>IF(OR($H150="",$I150=""),0,IF(OR(AK$107&lt;$H150,AK$107&gt;$I150),0,$J150))</f>
        <v>0</v>
      </c>
      <c r="AL150" s="1084">
        <f>IF(OR($H150="",$I150=""),0,IF(OR(AL$107&lt;$H150,AL$107&gt;$I150),0,$J150))</f>
        <v>0</v>
      </c>
      <c r="AM150" s="1084">
        <f>IF(OR($H150="",$I150=""),0,IF(OR(AM$107&lt;$H150,AM$107&gt;$I150),0,$J150))</f>
        <v>0</v>
      </c>
      <c r="AN150" s="1084">
        <f>IF(OR($H150="",$I150=""),0,IF(OR(AN$107&lt;$H150,AN$107&gt;$I150),0,$J150))</f>
        <v>0</v>
      </c>
      <c r="AO150" s="1084">
        <f>IF(OR($H150="",$I150=""),0,IF(OR(AO$107&lt;$H150,AO$107&gt;$I150),0,$J150))</f>
        <v>0</v>
      </c>
      <c r="AP150" s="1084">
        <f>IF(OR($H150="",$I150=""),0,IF(OR(AP$107&lt;$H150,AP$107&gt;$I150),0,$J150))</f>
        <v>0</v>
      </c>
      <c r="AQ150" s="1084">
        <f>IF(OR($H150="",$I150=""),0,IF(OR(AQ$107&lt;$H150,AQ$107&gt;$I150),0,$J150))</f>
        <v>0</v>
      </c>
      <c r="AR150" s="1084">
        <f>IF(OR($H150="",$I150=""),0,IF(OR(AR$107&lt;$H150,AR$107&gt;$I150),0,$J150))</f>
        <v>0</v>
      </c>
      <c r="AS150" s="1084">
        <f>IF(OR($H150="",$I150=""),0,IF(OR(AS$107&lt;$H150,AS$107&gt;$I150),0,$J150))</f>
        <v>0</v>
      </c>
      <c r="AT150" s="1084">
        <f>IF(OR($H150="",$I150=""),0,IF(OR(AT$107&lt;$H150,AT$107&gt;$I150),0,$J150))</f>
        <v>0</v>
      </c>
      <c r="AU150" s="1084">
        <f>IF(OR($H150="",$I150=""),0,IF(OR(AU$107&lt;$H150,AU$107&gt;$I150),0,$J150))</f>
        <v>0</v>
      </c>
      <c r="AV150" s="1084">
        <f>IF(OR($H150="",$I150=""),0,IF(OR(AV$107&lt;$H150,AV$107&gt;$I150),0,$J150))</f>
        <v>0</v>
      </c>
      <c r="AW150" s="1084">
        <f>IF(OR($H150="",$I150=""),0,IF(OR(AW$107&lt;$H150,AW$107&gt;$I150),0,$J150))</f>
        <v>0</v>
      </c>
      <c r="AX150" s="1084">
        <f>IF(OR($H150="",$I150=""),0,IF(OR(AX$107&lt;$H150,AX$107&gt;$I150),0,$J150))</f>
        <v>0</v>
      </c>
      <c r="AY150" s="1085">
        <f>IF(OR($H150="",$I150=""),0,IF(OR(AY$107&lt;$H150,AY$107&gt;$I150),0,$J150))</f>
        <v>0</v>
      </c>
      <c r="AZ150" s="1240">
        <f>IF(OR($H150="",$I150=""),0,IF(OR(AZ$107&lt;$H150,AZ$107&gt;$I150),0,$J150))</f>
        <v>0</v>
      </c>
      <c r="BA150" s="1084">
        <f>IF(OR($H150="",$I150=""),0,IF(OR(BA$107&lt;$H150,BA$107&gt;$I150),0,$J150))</f>
        <v>0</v>
      </c>
      <c r="BB150" s="1084">
        <f>IF(OR($H150="",$I150=""),0,IF(OR(BB$107&lt;$H150,BB$107&gt;$I150),0,$J150))</f>
        <v>0</v>
      </c>
      <c r="BC150" s="1084">
        <f>IF(OR($H150="",$I150=""),0,IF(OR(BC$107&lt;$H150,BC$107&gt;$I150),0,$J150))</f>
        <v>0</v>
      </c>
      <c r="BD150" s="1084">
        <f>IF(OR($H150="",$I150=""),0,IF(OR(BD$107&lt;$H150,BD$107&gt;$I150),0,$J150))</f>
        <v>0</v>
      </c>
      <c r="BE150" s="1084">
        <f>IF(OR($H150="",$I150=""),0,IF(OR(BE$107&lt;$H150,BE$107&gt;$I150),0,$J150))</f>
        <v>0</v>
      </c>
      <c r="BF150" s="1084">
        <f>IF(OR($H150="",$I150=""),0,IF(OR(BF$107&lt;$H150,BF$107&gt;$I150),0,$J150))</f>
        <v>0</v>
      </c>
      <c r="BG150" s="1084">
        <f>IF(OR($H150="",$I150=""),0,IF(OR(BG$107&lt;$H150,BG$107&gt;$I150),0,$J150))</f>
        <v>0</v>
      </c>
      <c r="BH150" s="1084">
        <f>IF(OR($H150="",$I150=""),0,IF(OR(BH$107&lt;$H150,BH$107&gt;$I150),0,$J150))</f>
        <v>0</v>
      </c>
      <c r="BI150" s="1084">
        <f>IF(OR($H150="",$I150=""),0,IF(OR(BI$107&lt;$H150,BI$107&gt;$I150),0,$J150))</f>
        <v>0</v>
      </c>
      <c r="BJ150" s="1084">
        <f>IF(OR($H150="",$I150=""),0,IF(OR(BJ$107&lt;$H150,BJ$107&gt;$I150),0,$J150))</f>
        <v>0</v>
      </c>
      <c r="BK150" s="1084">
        <f>IF(OR($H150="",$I150=""),0,IF(OR(BK$107&lt;$H150,BK$107&gt;$I150),0,$J150))</f>
        <v>0</v>
      </c>
      <c r="BL150" s="1084">
        <f>IF(OR($H150="",$I150=""),0,IF(OR(BL$107&lt;$H150,BL$107&gt;$I150),0,$J150))</f>
        <v>0</v>
      </c>
      <c r="BM150" s="1084">
        <f>IF(OR($H150="",$I150=""),0,IF(OR(BM$107&lt;$H150,BM$107&gt;$I150),0,$J150))</f>
        <v>0</v>
      </c>
      <c r="BN150" s="1084">
        <f>IF(OR($H150="",$I150=""),0,IF(OR(BN$107&lt;$H150,BN$107&gt;$I150),0,$J150))</f>
        <v>0</v>
      </c>
      <c r="BO150" s="1084">
        <f>IF(OR($H150="",$I150=""),0,IF(OR(BO$107&lt;$H150,BO$107&gt;$I150),0,$J150))</f>
        <v>0</v>
      </c>
      <c r="BP150" s="1084">
        <f>IF(OR($H150="",$I150=""),0,IF(OR(BP$107&lt;$H150,BP$107&gt;$I150),0,$J150))</f>
        <v>0</v>
      </c>
      <c r="BQ150" s="1084">
        <f>IF(OR($H150="",$I150=""),0,IF(OR(BQ$107&lt;$H150,BQ$107&gt;$I150),0,$J150))</f>
        <v>0</v>
      </c>
      <c r="BR150" s="1084">
        <f>IF(OR($H150="",$I150=""),0,IF(OR(BR$107&lt;$H150,BR$107&gt;$I150),0,$J150))</f>
        <v>0</v>
      </c>
      <c r="BS150" s="1084">
        <f>IF(OR($H150="",$I150=""),0,IF(OR(BS$107&lt;$H150,BS$107&gt;$I150),0,$J150))</f>
        <v>0</v>
      </c>
      <c r="BT150" s="1084">
        <f>IF(OR($H150="",$I150=""),0,IF(OR(BT$107&lt;$H150,BT$107&gt;$I150),0,$J150))</f>
        <v>0</v>
      </c>
      <c r="BU150" s="1084">
        <f>IF(OR($H150="",$I150=""),0,IF(OR(BU$107&lt;$H150,BU$107&gt;$I150),0,$J150))</f>
        <v>0</v>
      </c>
      <c r="BV150" s="1084">
        <f>IF(OR($H150="",$I150=""),0,IF(OR(BV$107&lt;$H150,BV$107&gt;$I150),0,$J150))</f>
        <v>0</v>
      </c>
      <c r="BW150" s="1085">
        <f>IF(OR($H150="",$I150=""),0,IF(OR(BW$107&lt;$H150,BW$107&gt;$I150),0,$J150))</f>
        <v>0</v>
      </c>
      <c r="DD150" s="131"/>
    </row>
    <row r="151" spans="1:108" s="8" customFormat="1" ht="12" hidden="1" customHeight="1" thickBot="1" x14ac:dyDescent="0.4">
      <c r="A151" s="133">
        <v>44</v>
      </c>
      <c r="B151" s="1711" t="str">
        <f>IF(A151&gt;F$107,"{Can hide row}","")</f>
        <v>{Can hide row}</v>
      </c>
      <c r="C151" s="9" t="str">
        <f>A151&amp;" "</f>
        <v xml:space="preserve">44 </v>
      </c>
      <c r="D151" s="1843"/>
      <c r="E151" s="1844"/>
      <c r="F151" s="1845"/>
      <c r="G151" s="590"/>
      <c r="H151" s="591"/>
      <c r="I151" s="591"/>
      <c r="J151" s="594">
        <f>IF(I151&lt;&gt;"",1,0)</f>
        <v>0</v>
      </c>
      <c r="K151" s="1050">
        <f>IF(I151&lt;&gt;"",K150,0)</f>
        <v>0</v>
      </c>
      <c r="L151" s="1050">
        <f>IF(I151&lt;&gt;"",L150,0)</f>
        <v>0</v>
      </c>
      <c r="M151" s="1049">
        <f>IF(I151&lt;&gt;"",M150,0)</f>
        <v>0</v>
      </c>
      <c r="N151" s="1001"/>
      <c r="P151" s="1083">
        <f>IF(OR($H151="",$I151=""),0,IF(OR(P$107&lt;$H151,P$107&gt;$I151),0,$J151))</f>
        <v>0</v>
      </c>
      <c r="Q151" s="1084">
        <f>IF(OR($H151="",$I151=""),0,IF(OR(Q$107&lt;$H151,Q$107&gt;$I151),0,$J151))</f>
        <v>0</v>
      </c>
      <c r="R151" s="1084">
        <f>IF(OR($H151="",$I151=""),0,IF(OR(R$107&lt;$H151,R$107&gt;$I151),0,$J151))</f>
        <v>0</v>
      </c>
      <c r="S151" s="1084">
        <f>IF(OR($H151="",$I151=""),0,IF(OR(S$107&lt;$H151,S$107&gt;$I151),0,$J151))</f>
        <v>0</v>
      </c>
      <c r="T151" s="1084">
        <f>IF(OR($H151="",$I151=""),0,IF(OR(T$107&lt;$H151,T$107&gt;$I151),0,$J151))</f>
        <v>0</v>
      </c>
      <c r="U151" s="1084">
        <f>IF(OR($H151="",$I151=""),0,IF(OR(U$107&lt;$H151,U$107&gt;$I151),0,$J151))</f>
        <v>0</v>
      </c>
      <c r="V151" s="1084">
        <f>IF(OR($H151="",$I151=""),0,IF(OR(V$107&lt;$H151,V$107&gt;$I151),0,$J151))</f>
        <v>0</v>
      </c>
      <c r="W151" s="1084">
        <f>IF(OR($H151="",$I151=""),0,IF(OR(W$107&lt;$H151,W$107&gt;$I151),0,$J151))</f>
        <v>0</v>
      </c>
      <c r="X151" s="1084">
        <f>IF(OR($H151="",$I151=""),0,IF(OR(X$107&lt;$H151,X$107&gt;$I151),0,$J151))</f>
        <v>0</v>
      </c>
      <c r="Y151" s="1084">
        <f>IF(OR($H151="",$I151=""),0,IF(OR(Y$107&lt;$H151,Y$107&gt;$I151),0,$J151))</f>
        <v>0</v>
      </c>
      <c r="Z151" s="1084">
        <f>IF(OR($H151="",$I151=""),0,IF(OR(Z$107&lt;$H151,Z$107&gt;$I151),0,$J151))</f>
        <v>0</v>
      </c>
      <c r="AA151" s="1084">
        <f>IF(OR($H151="",$I151=""),0,IF(OR(AA$107&lt;$H151,AA$107&gt;$I151),0,$J151))</f>
        <v>0</v>
      </c>
      <c r="AB151" s="1084">
        <f>IF(OR($H151="",$I151=""),0,IF(OR(AB$107&lt;$H151,AB$107&gt;$I151),0,$J151))</f>
        <v>0</v>
      </c>
      <c r="AC151" s="1084">
        <f>IF(OR($H151="",$I151=""),0,IF(OR(AC$107&lt;$H151,AC$107&gt;$I151),0,$J151))</f>
        <v>0</v>
      </c>
      <c r="AD151" s="1084">
        <f>IF(OR($H151="",$I151=""),0,IF(OR(AD$107&lt;$H151,AD$107&gt;$I151),0,$J151))</f>
        <v>0</v>
      </c>
      <c r="AE151" s="1084">
        <f>IF(OR($H151="",$I151=""),0,IF(OR(AE$107&lt;$H151,AE$107&gt;$I151),0,$J151))</f>
        <v>0</v>
      </c>
      <c r="AF151" s="1084">
        <f>IF(OR($H151="",$I151=""),0,IF(OR(AF$107&lt;$H151,AF$107&gt;$I151),0,$J151))</f>
        <v>0</v>
      </c>
      <c r="AG151" s="1084">
        <f>IF(OR($H151="",$I151=""),0,IF(OR(AG$107&lt;$H151,AG$107&gt;$I151),0,$J151))</f>
        <v>0</v>
      </c>
      <c r="AH151" s="1084">
        <f>IF(OR($H151="",$I151=""),0,IF(OR(AH$107&lt;$H151,AH$107&gt;$I151),0,$J151))</f>
        <v>0</v>
      </c>
      <c r="AI151" s="1084">
        <f>IF(OR($H151="",$I151=""),0,IF(OR(AI$107&lt;$H151,AI$107&gt;$I151),0,$J151))</f>
        <v>0</v>
      </c>
      <c r="AJ151" s="1084">
        <f>IF(OR($H151="",$I151=""),0,IF(OR(AJ$107&lt;$H151,AJ$107&gt;$I151),0,$J151))</f>
        <v>0</v>
      </c>
      <c r="AK151" s="1084">
        <f>IF(OR($H151="",$I151=""),0,IF(OR(AK$107&lt;$H151,AK$107&gt;$I151),0,$J151))</f>
        <v>0</v>
      </c>
      <c r="AL151" s="1084">
        <f>IF(OR($H151="",$I151=""),0,IF(OR(AL$107&lt;$H151,AL$107&gt;$I151),0,$J151))</f>
        <v>0</v>
      </c>
      <c r="AM151" s="1084">
        <f>IF(OR($H151="",$I151=""),0,IF(OR(AM$107&lt;$H151,AM$107&gt;$I151),0,$J151))</f>
        <v>0</v>
      </c>
      <c r="AN151" s="1084">
        <f>IF(OR($H151="",$I151=""),0,IF(OR(AN$107&lt;$H151,AN$107&gt;$I151),0,$J151))</f>
        <v>0</v>
      </c>
      <c r="AO151" s="1084">
        <f>IF(OR($H151="",$I151=""),0,IF(OR(AO$107&lt;$H151,AO$107&gt;$I151),0,$J151))</f>
        <v>0</v>
      </c>
      <c r="AP151" s="1084">
        <f>IF(OR($H151="",$I151=""),0,IF(OR(AP$107&lt;$H151,AP$107&gt;$I151),0,$J151))</f>
        <v>0</v>
      </c>
      <c r="AQ151" s="1084">
        <f>IF(OR($H151="",$I151=""),0,IF(OR(AQ$107&lt;$H151,AQ$107&gt;$I151),0,$J151))</f>
        <v>0</v>
      </c>
      <c r="AR151" s="1084">
        <f>IF(OR($H151="",$I151=""),0,IF(OR(AR$107&lt;$H151,AR$107&gt;$I151),0,$J151))</f>
        <v>0</v>
      </c>
      <c r="AS151" s="1084">
        <f>IF(OR($H151="",$I151=""),0,IF(OR(AS$107&lt;$H151,AS$107&gt;$I151),0,$J151))</f>
        <v>0</v>
      </c>
      <c r="AT151" s="1084">
        <f>IF(OR($H151="",$I151=""),0,IF(OR(AT$107&lt;$H151,AT$107&gt;$I151),0,$J151))</f>
        <v>0</v>
      </c>
      <c r="AU151" s="1084">
        <f>IF(OR($H151="",$I151=""),0,IF(OR(AU$107&lt;$H151,AU$107&gt;$I151),0,$J151))</f>
        <v>0</v>
      </c>
      <c r="AV151" s="1084">
        <f>IF(OR($H151="",$I151=""),0,IF(OR(AV$107&lt;$H151,AV$107&gt;$I151),0,$J151))</f>
        <v>0</v>
      </c>
      <c r="AW151" s="1084">
        <f>IF(OR($H151="",$I151=""),0,IF(OR(AW$107&lt;$H151,AW$107&gt;$I151),0,$J151))</f>
        <v>0</v>
      </c>
      <c r="AX151" s="1084">
        <f>IF(OR($H151="",$I151=""),0,IF(OR(AX$107&lt;$H151,AX$107&gt;$I151),0,$J151))</f>
        <v>0</v>
      </c>
      <c r="AY151" s="1085">
        <f>IF(OR($H151="",$I151=""),0,IF(OR(AY$107&lt;$H151,AY$107&gt;$I151),0,$J151))</f>
        <v>0</v>
      </c>
      <c r="AZ151" s="1240">
        <f>IF(OR($H151="",$I151=""),0,IF(OR(AZ$107&lt;$H151,AZ$107&gt;$I151),0,$J151))</f>
        <v>0</v>
      </c>
      <c r="BA151" s="1084">
        <f>IF(OR($H151="",$I151=""),0,IF(OR(BA$107&lt;$H151,BA$107&gt;$I151),0,$J151))</f>
        <v>0</v>
      </c>
      <c r="BB151" s="1084">
        <f>IF(OR($H151="",$I151=""),0,IF(OR(BB$107&lt;$H151,BB$107&gt;$I151),0,$J151))</f>
        <v>0</v>
      </c>
      <c r="BC151" s="1084">
        <f>IF(OR($H151="",$I151=""),0,IF(OR(BC$107&lt;$H151,BC$107&gt;$I151),0,$J151))</f>
        <v>0</v>
      </c>
      <c r="BD151" s="1084">
        <f>IF(OR($H151="",$I151=""),0,IF(OR(BD$107&lt;$H151,BD$107&gt;$I151),0,$J151))</f>
        <v>0</v>
      </c>
      <c r="BE151" s="1084">
        <f>IF(OR($H151="",$I151=""),0,IF(OR(BE$107&lt;$H151,BE$107&gt;$I151),0,$J151))</f>
        <v>0</v>
      </c>
      <c r="BF151" s="1084">
        <f>IF(OR($H151="",$I151=""),0,IF(OR(BF$107&lt;$H151,BF$107&gt;$I151),0,$J151))</f>
        <v>0</v>
      </c>
      <c r="BG151" s="1084">
        <f>IF(OR($H151="",$I151=""),0,IF(OR(BG$107&lt;$H151,BG$107&gt;$I151),0,$J151))</f>
        <v>0</v>
      </c>
      <c r="BH151" s="1084">
        <f>IF(OR($H151="",$I151=""),0,IF(OR(BH$107&lt;$H151,BH$107&gt;$I151),0,$J151))</f>
        <v>0</v>
      </c>
      <c r="BI151" s="1084">
        <f>IF(OR($H151="",$I151=""),0,IF(OR(BI$107&lt;$H151,BI$107&gt;$I151),0,$J151))</f>
        <v>0</v>
      </c>
      <c r="BJ151" s="1084">
        <f>IF(OR($H151="",$I151=""),0,IF(OR(BJ$107&lt;$H151,BJ$107&gt;$I151),0,$J151))</f>
        <v>0</v>
      </c>
      <c r="BK151" s="1084">
        <f>IF(OR($H151="",$I151=""),0,IF(OR(BK$107&lt;$H151,BK$107&gt;$I151),0,$J151))</f>
        <v>0</v>
      </c>
      <c r="BL151" s="1084">
        <f>IF(OR($H151="",$I151=""),0,IF(OR(BL$107&lt;$H151,BL$107&gt;$I151),0,$J151))</f>
        <v>0</v>
      </c>
      <c r="BM151" s="1084">
        <f>IF(OR($H151="",$I151=""),0,IF(OR(BM$107&lt;$H151,BM$107&gt;$I151),0,$J151))</f>
        <v>0</v>
      </c>
      <c r="BN151" s="1084">
        <f>IF(OR($H151="",$I151=""),0,IF(OR(BN$107&lt;$H151,BN$107&gt;$I151),0,$J151))</f>
        <v>0</v>
      </c>
      <c r="BO151" s="1084">
        <f>IF(OR($H151="",$I151=""),0,IF(OR(BO$107&lt;$H151,BO$107&gt;$I151),0,$J151))</f>
        <v>0</v>
      </c>
      <c r="BP151" s="1084">
        <f>IF(OR($H151="",$I151=""),0,IF(OR(BP$107&lt;$H151,BP$107&gt;$I151),0,$J151))</f>
        <v>0</v>
      </c>
      <c r="BQ151" s="1084">
        <f>IF(OR($H151="",$I151=""),0,IF(OR(BQ$107&lt;$H151,BQ$107&gt;$I151),0,$J151))</f>
        <v>0</v>
      </c>
      <c r="BR151" s="1084">
        <f>IF(OR($H151="",$I151=""),0,IF(OR(BR$107&lt;$H151,BR$107&gt;$I151),0,$J151))</f>
        <v>0</v>
      </c>
      <c r="BS151" s="1084">
        <f>IF(OR($H151="",$I151=""),0,IF(OR(BS$107&lt;$H151,BS$107&gt;$I151),0,$J151))</f>
        <v>0</v>
      </c>
      <c r="BT151" s="1084">
        <f>IF(OR($H151="",$I151=""),0,IF(OR(BT$107&lt;$H151,BT$107&gt;$I151),0,$J151))</f>
        <v>0</v>
      </c>
      <c r="BU151" s="1084">
        <f>IF(OR($H151="",$I151=""),0,IF(OR(BU$107&lt;$H151,BU$107&gt;$I151),0,$J151))</f>
        <v>0</v>
      </c>
      <c r="BV151" s="1084">
        <f>IF(OR($H151="",$I151=""),0,IF(OR(BV$107&lt;$H151,BV$107&gt;$I151),0,$J151))</f>
        <v>0</v>
      </c>
      <c r="BW151" s="1085">
        <f>IF(OR($H151="",$I151=""),0,IF(OR(BW$107&lt;$H151,BW$107&gt;$I151),0,$J151))</f>
        <v>0</v>
      </c>
      <c r="DD151" s="131"/>
    </row>
    <row r="152" spans="1:108" s="8" customFormat="1" ht="12" hidden="1" customHeight="1" thickBot="1" x14ac:dyDescent="0.4">
      <c r="A152" s="133">
        <v>45</v>
      </c>
      <c r="B152" s="1711" t="str">
        <f>IF(A152&gt;F$107,"{Can hide row}","")</f>
        <v>{Can hide row}</v>
      </c>
      <c r="C152" s="9" t="str">
        <f>A152&amp;" "</f>
        <v xml:space="preserve">45 </v>
      </c>
      <c r="D152" s="1843"/>
      <c r="E152" s="1844"/>
      <c r="F152" s="1845"/>
      <c r="G152" s="590"/>
      <c r="H152" s="591"/>
      <c r="I152" s="591"/>
      <c r="J152" s="594">
        <f>IF(I152&lt;&gt;"",1,0)</f>
        <v>0</v>
      </c>
      <c r="K152" s="1050">
        <f>IF(I152&lt;&gt;"",K151,0)</f>
        <v>0</v>
      </c>
      <c r="L152" s="1050">
        <f>IF(I152&lt;&gt;"",L151,0)</f>
        <v>0</v>
      </c>
      <c r="M152" s="1049">
        <f>IF(I152&lt;&gt;"",M151,0)</f>
        <v>0</v>
      </c>
      <c r="N152" s="1001"/>
      <c r="P152" s="1083">
        <f>IF(OR($H152="",$I152=""),0,IF(OR(P$107&lt;$H152,P$107&gt;$I152),0,$J152))</f>
        <v>0</v>
      </c>
      <c r="Q152" s="1084">
        <f>IF(OR($H152="",$I152=""),0,IF(OR(Q$107&lt;$H152,Q$107&gt;$I152),0,$J152))</f>
        <v>0</v>
      </c>
      <c r="R152" s="1084">
        <f>IF(OR($H152="",$I152=""),0,IF(OR(R$107&lt;$H152,R$107&gt;$I152),0,$J152))</f>
        <v>0</v>
      </c>
      <c r="S152" s="1084">
        <f>IF(OR($H152="",$I152=""),0,IF(OR(S$107&lt;$H152,S$107&gt;$I152),0,$J152))</f>
        <v>0</v>
      </c>
      <c r="T152" s="1084">
        <f>IF(OR($H152="",$I152=""),0,IF(OR(T$107&lt;$H152,T$107&gt;$I152),0,$J152))</f>
        <v>0</v>
      </c>
      <c r="U152" s="1084">
        <f>IF(OR($H152="",$I152=""),0,IF(OR(U$107&lt;$H152,U$107&gt;$I152),0,$J152))</f>
        <v>0</v>
      </c>
      <c r="V152" s="1084">
        <f>IF(OR($H152="",$I152=""),0,IF(OR(V$107&lt;$H152,V$107&gt;$I152),0,$J152))</f>
        <v>0</v>
      </c>
      <c r="W152" s="1084">
        <f>IF(OR($H152="",$I152=""),0,IF(OR(W$107&lt;$H152,W$107&gt;$I152),0,$J152))</f>
        <v>0</v>
      </c>
      <c r="X152" s="1084">
        <f>IF(OR($H152="",$I152=""),0,IF(OR(X$107&lt;$H152,X$107&gt;$I152),0,$J152))</f>
        <v>0</v>
      </c>
      <c r="Y152" s="1084">
        <f>IF(OR($H152="",$I152=""),0,IF(OR(Y$107&lt;$H152,Y$107&gt;$I152),0,$J152))</f>
        <v>0</v>
      </c>
      <c r="Z152" s="1084">
        <f>IF(OR($H152="",$I152=""),0,IF(OR(Z$107&lt;$H152,Z$107&gt;$I152),0,$J152))</f>
        <v>0</v>
      </c>
      <c r="AA152" s="1084">
        <f>IF(OR($H152="",$I152=""),0,IF(OR(AA$107&lt;$H152,AA$107&gt;$I152),0,$J152))</f>
        <v>0</v>
      </c>
      <c r="AB152" s="1084">
        <f>IF(OR($H152="",$I152=""),0,IF(OR(AB$107&lt;$H152,AB$107&gt;$I152),0,$J152))</f>
        <v>0</v>
      </c>
      <c r="AC152" s="1084">
        <f>IF(OR($H152="",$I152=""),0,IF(OR(AC$107&lt;$H152,AC$107&gt;$I152),0,$J152))</f>
        <v>0</v>
      </c>
      <c r="AD152" s="1084">
        <f>IF(OR($H152="",$I152=""),0,IF(OR(AD$107&lt;$H152,AD$107&gt;$I152),0,$J152))</f>
        <v>0</v>
      </c>
      <c r="AE152" s="1084">
        <f>IF(OR($H152="",$I152=""),0,IF(OR(AE$107&lt;$H152,AE$107&gt;$I152),0,$J152))</f>
        <v>0</v>
      </c>
      <c r="AF152" s="1084">
        <f>IF(OR($H152="",$I152=""),0,IF(OR(AF$107&lt;$H152,AF$107&gt;$I152),0,$J152))</f>
        <v>0</v>
      </c>
      <c r="AG152" s="1084">
        <f>IF(OR($H152="",$I152=""),0,IF(OR(AG$107&lt;$H152,AG$107&gt;$I152),0,$J152))</f>
        <v>0</v>
      </c>
      <c r="AH152" s="1084">
        <f>IF(OR($H152="",$I152=""),0,IF(OR(AH$107&lt;$H152,AH$107&gt;$I152),0,$J152))</f>
        <v>0</v>
      </c>
      <c r="AI152" s="1084">
        <f>IF(OR($H152="",$I152=""),0,IF(OR(AI$107&lt;$H152,AI$107&gt;$I152),0,$J152))</f>
        <v>0</v>
      </c>
      <c r="AJ152" s="1084">
        <f>IF(OR($H152="",$I152=""),0,IF(OR(AJ$107&lt;$H152,AJ$107&gt;$I152),0,$J152))</f>
        <v>0</v>
      </c>
      <c r="AK152" s="1084">
        <f>IF(OR($H152="",$I152=""),0,IF(OR(AK$107&lt;$H152,AK$107&gt;$I152),0,$J152))</f>
        <v>0</v>
      </c>
      <c r="AL152" s="1084">
        <f>IF(OR($H152="",$I152=""),0,IF(OR(AL$107&lt;$H152,AL$107&gt;$I152),0,$J152))</f>
        <v>0</v>
      </c>
      <c r="AM152" s="1084">
        <f>IF(OR($H152="",$I152=""),0,IF(OR(AM$107&lt;$H152,AM$107&gt;$I152),0,$J152))</f>
        <v>0</v>
      </c>
      <c r="AN152" s="1084">
        <f>IF(OR($H152="",$I152=""),0,IF(OR(AN$107&lt;$H152,AN$107&gt;$I152),0,$J152))</f>
        <v>0</v>
      </c>
      <c r="AO152" s="1084">
        <f>IF(OR($H152="",$I152=""),0,IF(OR(AO$107&lt;$H152,AO$107&gt;$I152),0,$J152))</f>
        <v>0</v>
      </c>
      <c r="AP152" s="1084">
        <f>IF(OR($H152="",$I152=""),0,IF(OR(AP$107&lt;$H152,AP$107&gt;$I152),0,$J152))</f>
        <v>0</v>
      </c>
      <c r="AQ152" s="1084">
        <f>IF(OR($H152="",$I152=""),0,IF(OR(AQ$107&lt;$H152,AQ$107&gt;$I152),0,$J152))</f>
        <v>0</v>
      </c>
      <c r="AR152" s="1084">
        <f>IF(OR($H152="",$I152=""),0,IF(OR(AR$107&lt;$H152,AR$107&gt;$I152),0,$J152))</f>
        <v>0</v>
      </c>
      <c r="AS152" s="1084">
        <f>IF(OR($H152="",$I152=""),0,IF(OR(AS$107&lt;$H152,AS$107&gt;$I152),0,$J152))</f>
        <v>0</v>
      </c>
      <c r="AT152" s="1084">
        <f>IF(OR($H152="",$I152=""),0,IF(OR(AT$107&lt;$H152,AT$107&gt;$I152),0,$J152))</f>
        <v>0</v>
      </c>
      <c r="AU152" s="1084">
        <f>IF(OR($H152="",$I152=""),0,IF(OR(AU$107&lt;$H152,AU$107&gt;$I152),0,$J152))</f>
        <v>0</v>
      </c>
      <c r="AV152" s="1084">
        <f>IF(OR($H152="",$I152=""),0,IF(OR(AV$107&lt;$H152,AV$107&gt;$I152),0,$J152))</f>
        <v>0</v>
      </c>
      <c r="AW152" s="1084">
        <f>IF(OR($H152="",$I152=""),0,IF(OR(AW$107&lt;$H152,AW$107&gt;$I152),0,$J152))</f>
        <v>0</v>
      </c>
      <c r="AX152" s="1084">
        <f>IF(OR($H152="",$I152=""),0,IF(OR(AX$107&lt;$H152,AX$107&gt;$I152),0,$J152))</f>
        <v>0</v>
      </c>
      <c r="AY152" s="1085">
        <f>IF(OR($H152="",$I152=""),0,IF(OR(AY$107&lt;$H152,AY$107&gt;$I152),0,$J152))</f>
        <v>0</v>
      </c>
      <c r="AZ152" s="1240">
        <f>IF(OR($H152="",$I152=""),0,IF(OR(AZ$107&lt;$H152,AZ$107&gt;$I152),0,$J152))</f>
        <v>0</v>
      </c>
      <c r="BA152" s="1084">
        <f>IF(OR($H152="",$I152=""),0,IF(OR(BA$107&lt;$H152,BA$107&gt;$I152),0,$J152))</f>
        <v>0</v>
      </c>
      <c r="BB152" s="1084">
        <f>IF(OR($H152="",$I152=""),0,IF(OR(BB$107&lt;$H152,BB$107&gt;$I152),0,$J152))</f>
        <v>0</v>
      </c>
      <c r="BC152" s="1084">
        <f>IF(OR($H152="",$I152=""),0,IF(OR(BC$107&lt;$H152,BC$107&gt;$I152),0,$J152))</f>
        <v>0</v>
      </c>
      <c r="BD152" s="1084">
        <f>IF(OR($H152="",$I152=""),0,IF(OR(BD$107&lt;$H152,BD$107&gt;$I152),0,$J152))</f>
        <v>0</v>
      </c>
      <c r="BE152" s="1084">
        <f>IF(OR($H152="",$I152=""),0,IF(OR(BE$107&lt;$H152,BE$107&gt;$I152),0,$J152))</f>
        <v>0</v>
      </c>
      <c r="BF152" s="1084">
        <f>IF(OR($H152="",$I152=""),0,IF(OR(BF$107&lt;$H152,BF$107&gt;$I152),0,$J152))</f>
        <v>0</v>
      </c>
      <c r="BG152" s="1084">
        <f>IF(OR($H152="",$I152=""),0,IF(OR(BG$107&lt;$H152,BG$107&gt;$I152),0,$J152))</f>
        <v>0</v>
      </c>
      <c r="BH152" s="1084">
        <f>IF(OR($H152="",$I152=""),0,IF(OR(BH$107&lt;$H152,BH$107&gt;$I152),0,$J152))</f>
        <v>0</v>
      </c>
      <c r="BI152" s="1084">
        <f>IF(OR($H152="",$I152=""),0,IF(OR(BI$107&lt;$H152,BI$107&gt;$I152),0,$J152))</f>
        <v>0</v>
      </c>
      <c r="BJ152" s="1084">
        <f>IF(OR($H152="",$I152=""),0,IF(OR(BJ$107&lt;$H152,BJ$107&gt;$I152),0,$J152))</f>
        <v>0</v>
      </c>
      <c r="BK152" s="1084">
        <f>IF(OR($H152="",$I152=""),0,IF(OR(BK$107&lt;$H152,BK$107&gt;$I152),0,$J152))</f>
        <v>0</v>
      </c>
      <c r="BL152" s="1084">
        <f>IF(OR($H152="",$I152=""),0,IF(OR(BL$107&lt;$H152,BL$107&gt;$I152),0,$J152))</f>
        <v>0</v>
      </c>
      <c r="BM152" s="1084">
        <f>IF(OR($H152="",$I152=""),0,IF(OR(BM$107&lt;$H152,BM$107&gt;$I152),0,$J152))</f>
        <v>0</v>
      </c>
      <c r="BN152" s="1084">
        <f>IF(OR($H152="",$I152=""),0,IF(OR(BN$107&lt;$H152,BN$107&gt;$I152),0,$J152))</f>
        <v>0</v>
      </c>
      <c r="BO152" s="1084">
        <f>IF(OR($H152="",$I152=""),0,IF(OR(BO$107&lt;$H152,BO$107&gt;$I152),0,$J152))</f>
        <v>0</v>
      </c>
      <c r="BP152" s="1084">
        <f>IF(OR($H152="",$I152=""),0,IF(OR(BP$107&lt;$H152,BP$107&gt;$I152),0,$J152))</f>
        <v>0</v>
      </c>
      <c r="BQ152" s="1084">
        <f>IF(OR($H152="",$I152=""),0,IF(OR(BQ$107&lt;$H152,BQ$107&gt;$I152),0,$J152))</f>
        <v>0</v>
      </c>
      <c r="BR152" s="1084">
        <f>IF(OR($H152="",$I152=""),0,IF(OR(BR$107&lt;$H152,BR$107&gt;$I152),0,$J152))</f>
        <v>0</v>
      </c>
      <c r="BS152" s="1084">
        <f>IF(OR($H152="",$I152=""),0,IF(OR(BS$107&lt;$H152,BS$107&gt;$I152),0,$J152))</f>
        <v>0</v>
      </c>
      <c r="BT152" s="1084">
        <f>IF(OR($H152="",$I152=""),0,IF(OR(BT$107&lt;$H152,BT$107&gt;$I152),0,$J152))</f>
        <v>0</v>
      </c>
      <c r="BU152" s="1084">
        <f>IF(OR($H152="",$I152=""),0,IF(OR(BU$107&lt;$H152,BU$107&gt;$I152),0,$J152))</f>
        <v>0</v>
      </c>
      <c r="BV152" s="1084">
        <f>IF(OR($H152="",$I152=""),0,IF(OR(BV$107&lt;$H152,BV$107&gt;$I152),0,$J152))</f>
        <v>0</v>
      </c>
      <c r="BW152" s="1085">
        <f>IF(OR($H152="",$I152=""),0,IF(OR(BW$107&lt;$H152,BW$107&gt;$I152),0,$J152))</f>
        <v>0</v>
      </c>
      <c r="DD152" s="131"/>
    </row>
    <row r="153" spans="1:108" s="8" customFormat="1" ht="12" hidden="1" customHeight="1" thickBot="1" x14ac:dyDescent="0.4">
      <c r="A153" s="133">
        <v>46</v>
      </c>
      <c r="B153" s="1711" t="str">
        <f>IF(A153&gt;F$107,"{Can hide row}","")</f>
        <v>{Can hide row}</v>
      </c>
      <c r="C153" s="9" t="str">
        <f>A153&amp;" "</f>
        <v xml:space="preserve">46 </v>
      </c>
      <c r="D153" s="1843"/>
      <c r="E153" s="1844"/>
      <c r="F153" s="1845"/>
      <c r="G153" s="590"/>
      <c r="H153" s="591"/>
      <c r="I153" s="591"/>
      <c r="J153" s="594">
        <f>IF(I153&lt;&gt;"",1,0)</f>
        <v>0</v>
      </c>
      <c r="K153" s="1050">
        <f>IF(I153&lt;&gt;"",K152,0)</f>
        <v>0</v>
      </c>
      <c r="L153" s="1050">
        <f>IF(I153&lt;&gt;"",L152,0)</f>
        <v>0</v>
      </c>
      <c r="M153" s="1049">
        <f>IF(I153&lt;&gt;"",M152,0)</f>
        <v>0</v>
      </c>
      <c r="N153" s="1001"/>
      <c r="P153" s="1083">
        <f>IF(OR($H153="",$I153=""),0,IF(OR(P$107&lt;$H153,P$107&gt;$I153),0,$J153))</f>
        <v>0</v>
      </c>
      <c r="Q153" s="1084">
        <f>IF(OR($H153="",$I153=""),0,IF(OR(Q$107&lt;$H153,Q$107&gt;$I153),0,$J153))</f>
        <v>0</v>
      </c>
      <c r="R153" s="1084">
        <f>IF(OR($H153="",$I153=""),0,IF(OR(R$107&lt;$H153,R$107&gt;$I153),0,$J153))</f>
        <v>0</v>
      </c>
      <c r="S153" s="1084">
        <f>IF(OR($H153="",$I153=""),0,IF(OR(S$107&lt;$H153,S$107&gt;$I153),0,$J153))</f>
        <v>0</v>
      </c>
      <c r="T153" s="1084">
        <f>IF(OR($H153="",$I153=""),0,IF(OR(T$107&lt;$H153,T$107&gt;$I153),0,$J153))</f>
        <v>0</v>
      </c>
      <c r="U153" s="1084">
        <f>IF(OR($H153="",$I153=""),0,IF(OR(U$107&lt;$H153,U$107&gt;$I153),0,$J153))</f>
        <v>0</v>
      </c>
      <c r="V153" s="1084">
        <f>IF(OR($H153="",$I153=""),0,IF(OR(V$107&lt;$H153,V$107&gt;$I153),0,$J153))</f>
        <v>0</v>
      </c>
      <c r="W153" s="1084">
        <f>IF(OR($H153="",$I153=""),0,IF(OR(W$107&lt;$H153,W$107&gt;$I153),0,$J153))</f>
        <v>0</v>
      </c>
      <c r="X153" s="1084">
        <f>IF(OR($H153="",$I153=""),0,IF(OR(X$107&lt;$H153,X$107&gt;$I153),0,$J153))</f>
        <v>0</v>
      </c>
      <c r="Y153" s="1084">
        <f>IF(OR($H153="",$I153=""),0,IF(OR(Y$107&lt;$H153,Y$107&gt;$I153),0,$J153))</f>
        <v>0</v>
      </c>
      <c r="Z153" s="1084">
        <f>IF(OR($H153="",$I153=""),0,IF(OR(Z$107&lt;$H153,Z$107&gt;$I153),0,$J153))</f>
        <v>0</v>
      </c>
      <c r="AA153" s="1084">
        <f>IF(OR($H153="",$I153=""),0,IF(OR(AA$107&lt;$H153,AA$107&gt;$I153),0,$J153))</f>
        <v>0</v>
      </c>
      <c r="AB153" s="1084">
        <f>IF(OR($H153="",$I153=""),0,IF(OR(AB$107&lt;$H153,AB$107&gt;$I153),0,$J153))</f>
        <v>0</v>
      </c>
      <c r="AC153" s="1084">
        <f>IF(OR($H153="",$I153=""),0,IF(OR(AC$107&lt;$H153,AC$107&gt;$I153),0,$J153))</f>
        <v>0</v>
      </c>
      <c r="AD153" s="1084">
        <f>IF(OR($H153="",$I153=""),0,IF(OR(AD$107&lt;$H153,AD$107&gt;$I153),0,$J153))</f>
        <v>0</v>
      </c>
      <c r="AE153" s="1084">
        <f>IF(OR($H153="",$I153=""),0,IF(OR(AE$107&lt;$H153,AE$107&gt;$I153),0,$J153))</f>
        <v>0</v>
      </c>
      <c r="AF153" s="1084">
        <f>IF(OR($H153="",$I153=""),0,IF(OR(AF$107&lt;$H153,AF$107&gt;$I153),0,$J153))</f>
        <v>0</v>
      </c>
      <c r="AG153" s="1084">
        <f>IF(OR($H153="",$I153=""),0,IF(OR(AG$107&lt;$H153,AG$107&gt;$I153),0,$J153))</f>
        <v>0</v>
      </c>
      <c r="AH153" s="1084">
        <f>IF(OR($H153="",$I153=""),0,IF(OR(AH$107&lt;$H153,AH$107&gt;$I153),0,$J153))</f>
        <v>0</v>
      </c>
      <c r="AI153" s="1084">
        <f>IF(OR($H153="",$I153=""),0,IF(OR(AI$107&lt;$H153,AI$107&gt;$I153),0,$J153))</f>
        <v>0</v>
      </c>
      <c r="AJ153" s="1084">
        <f>IF(OR($H153="",$I153=""),0,IF(OR(AJ$107&lt;$H153,AJ$107&gt;$I153),0,$J153))</f>
        <v>0</v>
      </c>
      <c r="AK153" s="1084">
        <f>IF(OR($H153="",$I153=""),0,IF(OR(AK$107&lt;$H153,AK$107&gt;$I153),0,$J153))</f>
        <v>0</v>
      </c>
      <c r="AL153" s="1084">
        <f>IF(OR($H153="",$I153=""),0,IF(OR(AL$107&lt;$H153,AL$107&gt;$I153),0,$J153))</f>
        <v>0</v>
      </c>
      <c r="AM153" s="1084">
        <f>IF(OR($H153="",$I153=""),0,IF(OR(AM$107&lt;$H153,AM$107&gt;$I153),0,$J153))</f>
        <v>0</v>
      </c>
      <c r="AN153" s="1084">
        <f>IF(OR($H153="",$I153=""),0,IF(OR(AN$107&lt;$H153,AN$107&gt;$I153),0,$J153))</f>
        <v>0</v>
      </c>
      <c r="AO153" s="1084">
        <f>IF(OR($H153="",$I153=""),0,IF(OR(AO$107&lt;$H153,AO$107&gt;$I153),0,$J153))</f>
        <v>0</v>
      </c>
      <c r="AP153" s="1084">
        <f>IF(OR($H153="",$I153=""),0,IF(OR(AP$107&lt;$H153,AP$107&gt;$I153),0,$J153))</f>
        <v>0</v>
      </c>
      <c r="AQ153" s="1084">
        <f>IF(OR($H153="",$I153=""),0,IF(OR(AQ$107&lt;$H153,AQ$107&gt;$I153),0,$J153))</f>
        <v>0</v>
      </c>
      <c r="AR153" s="1084">
        <f>IF(OR($H153="",$I153=""),0,IF(OR(AR$107&lt;$H153,AR$107&gt;$I153),0,$J153))</f>
        <v>0</v>
      </c>
      <c r="AS153" s="1084">
        <f>IF(OR($H153="",$I153=""),0,IF(OR(AS$107&lt;$H153,AS$107&gt;$I153),0,$J153))</f>
        <v>0</v>
      </c>
      <c r="AT153" s="1084">
        <f>IF(OR($H153="",$I153=""),0,IF(OR(AT$107&lt;$H153,AT$107&gt;$I153),0,$J153))</f>
        <v>0</v>
      </c>
      <c r="AU153" s="1084">
        <f>IF(OR($H153="",$I153=""),0,IF(OR(AU$107&lt;$H153,AU$107&gt;$I153),0,$J153))</f>
        <v>0</v>
      </c>
      <c r="AV153" s="1084">
        <f>IF(OR($H153="",$I153=""),0,IF(OR(AV$107&lt;$H153,AV$107&gt;$I153),0,$J153))</f>
        <v>0</v>
      </c>
      <c r="AW153" s="1084">
        <f>IF(OR($H153="",$I153=""),0,IF(OR(AW$107&lt;$H153,AW$107&gt;$I153),0,$J153))</f>
        <v>0</v>
      </c>
      <c r="AX153" s="1084">
        <f>IF(OR($H153="",$I153=""),0,IF(OR(AX$107&lt;$H153,AX$107&gt;$I153),0,$J153))</f>
        <v>0</v>
      </c>
      <c r="AY153" s="1085">
        <f>IF(OR($H153="",$I153=""),0,IF(OR(AY$107&lt;$H153,AY$107&gt;$I153),0,$J153))</f>
        <v>0</v>
      </c>
      <c r="AZ153" s="1240">
        <f>IF(OR($H153="",$I153=""),0,IF(OR(AZ$107&lt;$H153,AZ$107&gt;$I153),0,$J153))</f>
        <v>0</v>
      </c>
      <c r="BA153" s="1084">
        <f>IF(OR($H153="",$I153=""),0,IF(OR(BA$107&lt;$H153,BA$107&gt;$I153),0,$J153))</f>
        <v>0</v>
      </c>
      <c r="BB153" s="1084">
        <f>IF(OR($H153="",$I153=""),0,IF(OR(BB$107&lt;$H153,BB$107&gt;$I153),0,$J153))</f>
        <v>0</v>
      </c>
      <c r="BC153" s="1084">
        <f>IF(OR($H153="",$I153=""),0,IF(OR(BC$107&lt;$H153,BC$107&gt;$I153),0,$J153))</f>
        <v>0</v>
      </c>
      <c r="BD153" s="1084">
        <f>IF(OR($H153="",$I153=""),0,IF(OR(BD$107&lt;$H153,BD$107&gt;$I153),0,$J153))</f>
        <v>0</v>
      </c>
      <c r="BE153" s="1084">
        <f>IF(OR($H153="",$I153=""),0,IF(OR(BE$107&lt;$H153,BE$107&gt;$I153),0,$J153))</f>
        <v>0</v>
      </c>
      <c r="BF153" s="1084">
        <f>IF(OR($H153="",$I153=""),0,IF(OR(BF$107&lt;$H153,BF$107&gt;$I153),0,$J153))</f>
        <v>0</v>
      </c>
      <c r="BG153" s="1084">
        <f>IF(OR($H153="",$I153=""),0,IF(OR(BG$107&lt;$H153,BG$107&gt;$I153),0,$J153))</f>
        <v>0</v>
      </c>
      <c r="BH153" s="1084">
        <f>IF(OR($H153="",$I153=""),0,IF(OR(BH$107&lt;$H153,BH$107&gt;$I153),0,$J153))</f>
        <v>0</v>
      </c>
      <c r="BI153" s="1084">
        <f>IF(OR($H153="",$I153=""),0,IF(OR(BI$107&lt;$H153,BI$107&gt;$I153),0,$J153))</f>
        <v>0</v>
      </c>
      <c r="BJ153" s="1084">
        <f>IF(OR($H153="",$I153=""),0,IF(OR(BJ$107&lt;$H153,BJ$107&gt;$I153),0,$J153))</f>
        <v>0</v>
      </c>
      <c r="BK153" s="1084">
        <f>IF(OR($H153="",$I153=""),0,IF(OR(BK$107&lt;$H153,BK$107&gt;$I153),0,$J153))</f>
        <v>0</v>
      </c>
      <c r="BL153" s="1084">
        <f>IF(OR($H153="",$I153=""),0,IF(OR(BL$107&lt;$H153,BL$107&gt;$I153),0,$J153))</f>
        <v>0</v>
      </c>
      <c r="BM153" s="1084">
        <f>IF(OR($H153="",$I153=""),0,IF(OR(BM$107&lt;$H153,BM$107&gt;$I153),0,$J153))</f>
        <v>0</v>
      </c>
      <c r="BN153" s="1084">
        <f>IF(OR($H153="",$I153=""),0,IF(OR(BN$107&lt;$H153,BN$107&gt;$I153),0,$J153))</f>
        <v>0</v>
      </c>
      <c r="BO153" s="1084">
        <f>IF(OR($H153="",$I153=""),0,IF(OR(BO$107&lt;$H153,BO$107&gt;$I153),0,$J153))</f>
        <v>0</v>
      </c>
      <c r="BP153" s="1084">
        <f>IF(OR($H153="",$I153=""),0,IF(OR(BP$107&lt;$H153,BP$107&gt;$I153),0,$J153))</f>
        <v>0</v>
      </c>
      <c r="BQ153" s="1084">
        <f>IF(OR($H153="",$I153=""),0,IF(OR(BQ$107&lt;$H153,BQ$107&gt;$I153),0,$J153))</f>
        <v>0</v>
      </c>
      <c r="BR153" s="1084">
        <f>IF(OR($H153="",$I153=""),0,IF(OR(BR$107&lt;$H153,BR$107&gt;$I153),0,$J153))</f>
        <v>0</v>
      </c>
      <c r="BS153" s="1084">
        <f>IF(OR($H153="",$I153=""),0,IF(OR(BS$107&lt;$H153,BS$107&gt;$I153),0,$J153))</f>
        <v>0</v>
      </c>
      <c r="BT153" s="1084">
        <f>IF(OR($H153="",$I153=""),0,IF(OR(BT$107&lt;$H153,BT$107&gt;$I153),0,$J153))</f>
        <v>0</v>
      </c>
      <c r="BU153" s="1084">
        <f>IF(OR($H153="",$I153=""),0,IF(OR(BU$107&lt;$H153,BU$107&gt;$I153),0,$J153))</f>
        <v>0</v>
      </c>
      <c r="BV153" s="1084">
        <f>IF(OR($H153="",$I153=""),0,IF(OR(BV$107&lt;$H153,BV$107&gt;$I153),0,$J153))</f>
        <v>0</v>
      </c>
      <c r="BW153" s="1085">
        <f>IF(OR($H153="",$I153=""),0,IF(OR(BW$107&lt;$H153,BW$107&gt;$I153),0,$J153))</f>
        <v>0</v>
      </c>
      <c r="DD153" s="131"/>
    </row>
    <row r="154" spans="1:108" s="8" customFormat="1" ht="12" hidden="1" customHeight="1" thickBot="1" x14ac:dyDescent="0.4">
      <c r="A154" s="133">
        <v>47</v>
      </c>
      <c r="B154" s="1711" t="str">
        <f>IF(A154&gt;F$107,"{Can hide row}","")</f>
        <v>{Can hide row}</v>
      </c>
      <c r="C154" s="9" t="str">
        <f>A154&amp;" "</f>
        <v xml:space="preserve">47 </v>
      </c>
      <c r="D154" s="1843"/>
      <c r="E154" s="1844"/>
      <c r="F154" s="1845"/>
      <c r="G154" s="590"/>
      <c r="H154" s="591"/>
      <c r="I154" s="591"/>
      <c r="J154" s="594">
        <f>IF(I154&lt;&gt;"",1,0)</f>
        <v>0</v>
      </c>
      <c r="K154" s="1050">
        <f>IF(I154&lt;&gt;"",K153,0)</f>
        <v>0</v>
      </c>
      <c r="L154" s="1050">
        <f>IF(I154&lt;&gt;"",L153,0)</f>
        <v>0</v>
      </c>
      <c r="M154" s="1049">
        <f>IF(I154&lt;&gt;"",M153,0)</f>
        <v>0</v>
      </c>
      <c r="N154" s="1001"/>
      <c r="P154" s="1083">
        <f>IF(OR($H154="",$I154=""),0,IF(OR(P$107&lt;$H154,P$107&gt;$I154),0,$J154))</f>
        <v>0</v>
      </c>
      <c r="Q154" s="1084">
        <f>IF(OR($H154="",$I154=""),0,IF(OR(Q$107&lt;$H154,Q$107&gt;$I154),0,$J154))</f>
        <v>0</v>
      </c>
      <c r="R154" s="1084">
        <f>IF(OR($H154="",$I154=""),0,IF(OR(R$107&lt;$H154,R$107&gt;$I154),0,$J154))</f>
        <v>0</v>
      </c>
      <c r="S154" s="1084">
        <f>IF(OR($H154="",$I154=""),0,IF(OR(S$107&lt;$H154,S$107&gt;$I154),0,$J154))</f>
        <v>0</v>
      </c>
      <c r="T154" s="1084">
        <f>IF(OR($H154="",$I154=""),0,IF(OR(T$107&lt;$H154,T$107&gt;$I154),0,$J154))</f>
        <v>0</v>
      </c>
      <c r="U154" s="1084">
        <f>IF(OR($H154="",$I154=""),0,IF(OR(U$107&lt;$H154,U$107&gt;$I154),0,$J154))</f>
        <v>0</v>
      </c>
      <c r="V154" s="1084">
        <f>IF(OR($H154="",$I154=""),0,IF(OR(V$107&lt;$H154,V$107&gt;$I154),0,$J154))</f>
        <v>0</v>
      </c>
      <c r="W154" s="1084">
        <f>IF(OR($H154="",$I154=""),0,IF(OR(W$107&lt;$H154,W$107&gt;$I154),0,$J154))</f>
        <v>0</v>
      </c>
      <c r="X154" s="1084">
        <f>IF(OR($H154="",$I154=""),0,IF(OR(X$107&lt;$H154,X$107&gt;$I154),0,$J154))</f>
        <v>0</v>
      </c>
      <c r="Y154" s="1084">
        <f>IF(OR($H154="",$I154=""),0,IF(OR(Y$107&lt;$H154,Y$107&gt;$I154),0,$J154))</f>
        <v>0</v>
      </c>
      <c r="Z154" s="1084">
        <f>IF(OR($H154="",$I154=""),0,IF(OR(Z$107&lt;$H154,Z$107&gt;$I154),0,$J154))</f>
        <v>0</v>
      </c>
      <c r="AA154" s="1084">
        <f>IF(OR($H154="",$I154=""),0,IF(OR(AA$107&lt;$H154,AA$107&gt;$I154),0,$J154))</f>
        <v>0</v>
      </c>
      <c r="AB154" s="1084">
        <f>IF(OR($H154="",$I154=""),0,IF(OR(AB$107&lt;$H154,AB$107&gt;$I154),0,$J154))</f>
        <v>0</v>
      </c>
      <c r="AC154" s="1084">
        <f>IF(OR($H154="",$I154=""),0,IF(OR(AC$107&lt;$H154,AC$107&gt;$I154),0,$J154))</f>
        <v>0</v>
      </c>
      <c r="AD154" s="1084">
        <f>IF(OR($H154="",$I154=""),0,IF(OR(AD$107&lt;$H154,AD$107&gt;$I154),0,$J154))</f>
        <v>0</v>
      </c>
      <c r="AE154" s="1084">
        <f>IF(OR($H154="",$I154=""),0,IF(OR(AE$107&lt;$H154,AE$107&gt;$I154),0,$J154))</f>
        <v>0</v>
      </c>
      <c r="AF154" s="1084">
        <f>IF(OR($H154="",$I154=""),0,IF(OR(AF$107&lt;$H154,AF$107&gt;$I154),0,$J154))</f>
        <v>0</v>
      </c>
      <c r="AG154" s="1084">
        <f>IF(OR($H154="",$I154=""),0,IF(OR(AG$107&lt;$H154,AG$107&gt;$I154),0,$J154))</f>
        <v>0</v>
      </c>
      <c r="AH154" s="1084">
        <f>IF(OR($H154="",$I154=""),0,IF(OR(AH$107&lt;$H154,AH$107&gt;$I154),0,$J154))</f>
        <v>0</v>
      </c>
      <c r="AI154" s="1084">
        <f>IF(OR($H154="",$I154=""),0,IF(OR(AI$107&lt;$H154,AI$107&gt;$I154),0,$J154))</f>
        <v>0</v>
      </c>
      <c r="AJ154" s="1084">
        <f>IF(OR($H154="",$I154=""),0,IF(OR(AJ$107&lt;$H154,AJ$107&gt;$I154),0,$J154))</f>
        <v>0</v>
      </c>
      <c r="AK154" s="1084">
        <f>IF(OR($H154="",$I154=""),0,IF(OR(AK$107&lt;$H154,AK$107&gt;$I154),0,$J154))</f>
        <v>0</v>
      </c>
      <c r="AL154" s="1084">
        <f>IF(OR($H154="",$I154=""),0,IF(OR(AL$107&lt;$H154,AL$107&gt;$I154),0,$J154))</f>
        <v>0</v>
      </c>
      <c r="AM154" s="1084">
        <f>IF(OR($H154="",$I154=""),0,IF(OR(AM$107&lt;$H154,AM$107&gt;$I154),0,$J154))</f>
        <v>0</v>
      </c>
      <c r="AN154" s="1084">
        <f>IF(OR($H154="",$I154=""),0,IF(OR(AN$107&lt;$H154,AN$107&gt;$I154),0,$J154))</f>
        <v>0</v>
      </c>
      <c r="AO154" s="1084">
        <f>IF(OR($H154="",$I154=""),0,IF(OR(AO$107&lt;$H154,AO$107&gt;$I154),0,$J154))</f>
        <v>0</v>
      </c>
      <c r="AP154" s="1084">
        <f>IF(OR($H154="",$I154=""),0,IF(OR(AP$107&lt;$H154,AP$107&gt;$I154),0,$J154))</f>
        <v>0</v>
      </c>
      <c r="AQ154" s="1084">
        <f>IF(OR($H154="",$I154=""),0,IF(OR(AQ$107&lt;$H154,AQ$107&gt;$I154),0,$J154))</f>
        <v>0</v>
      </c>
      <c r="AR154" s="1084">
        <f>IF(OR($H154="",$I154=""),0,IF(OR(AR$107&lt;$H154,AR$107&gt;$I154),0,$J154))</f>
        <v>0</v>
      </c>
      <c r="AS154" s="1084">
        <f>IF(OR($H154="",$I154=""),0,IF(OR(AS$107&lt;$H154,AS$107&gt;$I154),0,$J154))</f>
        <v>0</v>
      </c>
      <c r="AT154" s="1084">
        <f>IF(OR($H154="",$I154=""),0,IF(OR(AT$107&lt;$H154,AT$107&gt;$I154),0,$J154))</f>
        <v>0</v>
      </c>
      <c r="AU154" s="1084">
        <f>IF(OR($H154="",$I154=""),0,IF(OR(AU$107&lt;$H154,AU$107&gt;$I154),0,$J154))</f>
        <v>0</v>
      </c>
      <c r="AV154" s="1084">
        <f>IF(OR($H154="",$I154=""),0,IF(OR(AV$107&lt;$H154,AV$107&gt;$I154),0,$J154))</f>
        <v>0</v>
      </c>
      <c r="AW154" s="1084">
        <f>IF(OR($H154="",$I154=""),0,IF(OR(AW$107&lt;$H154,AW$107&gt;$I154),0,$J154))</f>
        <v>0</v>
      </c>
      <c r="AX154" s="1084">
        <f>IF(OR($H154="",$I154=""),0,IF(OR(AX$107&lt;$H154,AX$107&gt;$I154),0,$J154))</f>
        <v>0</v>
      </c>
      <c r="AY154" s="1085">
        <f>IF(OR($H154="",$I154=""),0,IF(OR(AY$107&lt;$H154,AY$107&gt;$I154),0,$J154))</f>
        <v>0</v>
      </c>
      <c r="AZ154" s="1240">
        <f>IF(OR($H154="",$I154=""),0,IF(OR(AZ$107&lt;$H154,AZ$107&gt;$I154),0,$J154))</f>
        <v>0</v>
      </c>
      <c r="BA154" s="1084">
        <f>IF(OR($H154="",$I154=""),0,IF(OR(BA$107&lt;$H154,BA$107&gt;$I154),0,$J154))</f>
        <v>0</v>
      </c>
      <c r="BB154" s="1084">
        <f>IF(OR($H154="",$I154=""),0,IF(OR(BB$107&lt;$H154,BB$107&gt;$I154),0,$J154))</f>
        <v>0</v>
      </c>
      <c r="BC154" s="1084">
        <f>IF(OR($H154="",$I154=""),0,IF(OR(BC$107&lt;$H154,BC$107&gt;$I154),0,$J154))</f>
        <v>0</v>
      </c>
      <c r="BD154" s="1084">
        <f>IF(OR($H154="",$I154=""),0,IF(OR(BD$107&lt;$H154,BD$107&gt;$I154),0,$J154))</f>
        <v>0</v>
      </c>
      <c r="BE154" s="1084">
        <f>IF(OR($H154="",$I154=""),0,IF(OR(BE$107&lt;$H154,BE$107&gt;$I154),0,$J154))</f>
        <v>0</v>
      </c>
      <c r="BF154" s="1084">
        <f>IF(OR($H154="",$I154=""),0,IF(OR(BF$107&lt;$H154,BF$107&gt;$I154),0,$J154))</f>
        <v>0</v>
      </c>
      <c r="BG154" s="1084">
        <f>IF(OR($H154="",$I154=""),0,IF(OR(BG$107&lt;$H154,BG$107&gt;$I154),0,$J154))</f>
        <v>0</v>
      </c>
      <c r="BH154" s="1084">
        <f>IF(OR($H154="",$I154=""),0,IF(OR(BH$107&lt;$H154,BH$107&gt;$I154),0,$J154))</f>
        <v>0</v>
      </c>
      <c r="BI154" s="1084">
        <f>IF(OR($H154="",$I154=""),0,IF(OR(BI$107&lt;$H154,BI$107&gt;$I154),0,$J154))</f>
        <v>0</v>
      </c>
      <c r="BJ154" s="1084">
        <f>IF(OR($H154="",$I154=""),0,IF(OR(BJ$107&lt;$H154,BJ$107&gt;$I154),0,$J154))</f>
        <v>0</v>
      </c>
      <c r="BK154" s="1084">
        <f>IF(OR($H154="",$I154=""),0,IF(OR(BK$107&lt;$H154,BK$107&gt;$I154),0,$J154))</f>
        <v>0</v>
      </c>
      <c r="BL154" s="1084">
        <f>IF(OR($H154="",$I154=""),0,IF(OR(BL$107&lt;$H154,BL$107&gt;$I154),0,$J154))</f>
        <v>0</v>
      </c>
      <c r="BM154" s="1084">
        <f>IF(OR($H154="",$I154=""),0,IF(OR(BM$107&lt;$H154,BM$107&gt;$I154),0,$J154))</f>
        <v>0</v>
      </c>
      <c r="BN154" s="1084">
        <f>IF(OR($H154="",$I154=""),0,IF(OR(BN$107&lt;$H154,BN$107&gt;$I154),0,$J154))</f>
        <v>0</v>
      </c>
      <c r="BO154" s="1084">
        <f>IF(OR($H154="",$I154=""),0,IF(OR(BO$107&lt;$H154,BO$107&gt;$I154),0,$J154))</f>
        <v>0</v>
      </c>
      <c r="BP154" s="1084">
        <f>IF(OR($H154="",$I154=""),0,IF(OR(BP$107&lt;$H154,BP$107&gt;$I154),0,$J154))</f>
        <v>0</v>
      </c>
      <c r="BQ154" s="1084">
        <f>IF(OR($H154="",$I154=""),0,IF(OR(BQ$107&lt;$H154,BQ$107&gt;$I154),0,$J154))</f>
        <v>0</v>
      </c>
      <c r="BR154" s="1084">
        <f>IF(OR($H154="",$I154=""),0,IF(OR(BR$107&lt;$H154,BR$107&gt;$I154),0,$J154))</f>
        <v>0</v>
      </c>
      <c r="BS154" s="1084">
        <f>IF(OR($H154="",$I154=""),0,IF(OR(BS$107&lt;$H154,BS$107&gt;$I154),0,$J154))</f>
        <v>0</v>
      </c>
      <c r="BT154" s="1084">
        <f>IF(OR($H154="",$I154=""),0,IF(OR(BT$107&lt;$H154,BT$107&gt;$I154),0,$J154))</f>
        <v>0</v>
      </c>
      <c r="BU154" s="1084">
        <f>IF(OR($H154="",$I154=""),0,IF(OR(BU$107&lt;$H154,BU$107&gt;$I154),0,$J154))</f>
        <v>0</v>
      </c>
      <c r="BV154" s="1084">
        <f>IF(OR($H154="",$I154=""),0,IF(OR(BV$107&lt;$H154,BV$107&gt;$I154),0,$J154))</f>
        <v>0</v>
      </c>
      <c r="BW154" s="1085">
        <f>IF(OR($H154="",$I154=""),0,IF(OR(BW$107&lt;$H154,BW$107&gt;$I154),0,$J154))</f>
        <v>0</v>
      </c>
      <c r="DD154" s="131"/>
    </row>
    <row r="155" spans="1:108" s="8" customFormat="1" ht="12" hidden="1" customHeight="1" thickBot="1" x14ac:dyDescent="0.4">
      <c r="A155" s="133">
        <v>48</v>
      </c>
      <c r="B155" s="1711" t="str">
        <f>IF(A155&gt;F$107,"{Can hide row}","")</f>
        <v>{Can hide row}</v>
      </c>
      <c r="C155" s="9" t="str">
        <f>A155&amp;" "</f>
        <v xml:space="preserve">48 </v>
      </c>
      <c r="D155" s="1843"/>
      <c r="E155" s="1844"/>
      <c r="F155" s="1845"/>
      <c r="G155" s="590"/>
      <c r="H155" s="591"/>
      <c r="I155" s="591"/>
      <c r="J155" s="594">
        <f>IF(I155&lt;&gt;"",1,0)</f>
        <v>0</v>
      </c>
      <c r="K155" s="1050">
        <f>IF(I155&lt;&gt;"",K154,0)</f>
        <v>0</v>
      </c>
      <c r="L155" s="1050">
        <f>IF(I155&lt;&gt;"",L154,0)</f>
        <v>0</v>
      </c>
      <c r="M155" s="1049">
        <f>IF(I155&lt;&gt;"",M154,0)</f>
        <v>0</v>
      </c>
      <c r="N155" s="1001"/>
      <c r="P155" s="1083">
        <f>IF(OR($H155="",$I155=""),0,IF(OR(P$107&lt;$H155,P$107&gt;$I155),0,$J155))</f>
        <v>0</v>
      </c>
      <c r="Q155" s="1084">
        <f>IF(OR($H155="",$I155=""),0,IF(OR(Q$107&lt;$H155,Q$107&gt;$I155),0,$J155))</f>
        <v>0</v>
      </c>
      <c r="R155" s="1084">
        <f>IF(OR($H155="",$I155=""),0,IF(OR(R$107&lt;$H155,R$107&gt;$I155),0,$J155))</f>
        <v>0</v>
      </c>
      <c r="S155" s="1084">
        <f>IF(OR($H155="",$I155=""),0,IF(OR(S$107&lt;$H155,S$107&gt;$I155),0,$J155))</f>
        <v>0</v>
      </c>
      <c r="T155" s="1084">
        <f>IF(OR($H155="",$I155=""),0,IF(OR(T$107&lt;$H155,T$107&gt;$I155),0,$J155))</f>
        <v>0</v>
      </c>
      <c r="U155" s="1084">
        <f>IF(OR($H155="",$I155=""),0,IF(OR(U$107&lt;$H155,U$107&gt;$I155),0,$J155))</f>
        <v>0</v>
      </c>
      <c r="V155" s="1084">
        <f>IF(OR($H155="",$I155=""),0,IF(OR(V$107&lt;$H155,V$107&gt;$I155),0,$J155))</f>
        <v>0</v>
      </c>
      <c r="W155" s="1084">
        <f>IF(OR($H155="",$I155=""),0,IF(OR(W$107&lt;$H155,W$107&gt;$I155),0,$J155))</f>
        <v>0</v>
      </c>
      <c r="X155" s="1084">
        <f>IF(OR($H155="",$I155=""),0,IF(OR(X$107&lt;$H155,X$107&gt;$I155),0,$J155))</f>
        <v>0</v>
      </c>
      <c r="Y155" s="1084">
        <f>IF(OR($H155="",$I155=""),0,IF(OR(Y$107&lt;$H155,Y$107&gt;$I155),0,$J155))</f>
        <v>0</v>
      </c>
      <c r="Z155" s="1084">
        <f>IF(OR($H155="",$I155=""),0,IF(OR(Z$107&lt;$H155,Z$107&gt;$I155),0,$J155))</f>
        <v>0</v>
      </c>
      <c r="AA155" s="1084">
        <f>IF(OR($H155="",$I155=""),0,IF(OR(AA$107&lt;$H155,AA$107&gt;$I155),0,$J155))</f>
        <v>0</v>
      </c>
      <c r="AB155" s="1084">
        <f>IF(OR($H155="",$I155=""),0,IF(OR(AB$107&lt;$H155,AB$107&gt;$I155),0,$J155))</f>
        <v>0</v>
      </c>
      <c r="AC155" s="1084">
        <f>IF(OR($H155="",$I155=""),0,IF(OR(AC$107&lt;$H155,AC$107&gt;$I155),0,$J155))</f>
        <v>0</v>
      </c>
      <c r="AD155" s="1084">
        <f>IF(OR($H155="",$I155=""),0,IF(OR(AD$107&lt;$H155,AD$107&gt;$I155),0,$J155))</f>
        <v>0</v>
      </c>
      <c r="AE155" s="1084">
        <f>IF(OR($H155="",$I155=""),0,IF(OR(AE$107&lt;$H155,AE$107&gt;$I155),0,$J155))</f>
        <v>0</v>
      </c>
      <c r="AF155" s="1084">
        <f>IF(OR($H155="",$I155=""),0,IF(OR(AF$107&lt;$H155,AF$107&gt;$I155),0,$J155))</f>
        <v>0</v>
      </c>
      <c r="AG155" s="1084">
        <f>IF(OR($H155="",$I155=""),0,IF(OR(AG$107&lt;$H155,AG$107&gt;$I155),0,$J155))</f>
        <v>0</v>
      </c>
      <c r="AH155" s="1084">
        <f>IF(OR($H155="",$I155=""),0,IF(OR(AH$107&lt;$H155,AH$107&gt;$I155),0,$J155))</f>
        <v>0</v>
      </c>
      <c r="AI155" s="1084">
        <f>IF(OR($H155="",$I155=""),0,IF(OR(AI$107&lt;$H155,AI$107&gt;$I155),0,$J155))</f>
        <v>0</v>
      </c>
      <c r="AJ155" s="1084">
        <f>IF(OR($H155="",$I155=""),0,IF(OR(AJ$107&lt;$H155,AJ$107&gt;$I155),0,$J155))</f>
        <v>0</v>
      </c>
      <c r="AK155" s="1084">
        <f>IF(OR($H155="",$I155=""),0,IF(OR(AK$107&lt;$H155,AK$107&gt;$I155),0,$J155))</f>
        <v>0</v>
      </c>
      <c r="AL155" s="1084">
        <f>IF(OR($H155="",$I155=""),0,IF(OR(AL$107&lt;$H155,AL$107&gt;$I155),0,$J155))</f>
        <v>0</v>
      </c>
      <c r="AM155" s="1084">
        <f>IF(OR($H155="",$I155=""),0,IF(OR(AM$107&lt;$H155,AM$107&gt;$I155),0,$J155))</f>
        <v>0</v>
      </c>
      <c r="AN155" s="1084">
        <f>IF(OR($H155="",$I155=""),0,IF(OR(AN$107&lt;$H155,AN$107&gt;$I155),0,$J155))</f>
        <v>0</v>
      </c>
      <c r="AO155" s="1084">
        <f>IF(OR($H155="",$I155=""),0,IF(OR(AO$107&lt;$H155,AO$107&gt;$I155),0,$J155))</f>
        <v>0</v>
      </c>
      <c r="AP155" s="1084">
        <f>IF(OR($H155="",$I155=""),0,IF(OR(AP$107&lt;$H155,AP$107&gt;$I155),0,$J155))</f>
        <v>0</v>
      </c>
      <c r="AQ155" s="1084">
        <f>IF(OR($H155="",$I155=""),0,IF(OR(AQ$107&lt;$H155,AQ$107&gt;$I155),0,$J155))</f>
        <v>0</v>
      </c>
      <c r="AR155" s="1084">
        <f>IF(OR($H155="",$I155=""),0,IF(OR(AR$107&lt;$H155,AR$107&gt;$I155),0,$J155))</f>
        <v>0</v>
      </c>
      <c r="AS155" s="1084">
        <f>IF(OR($H155="",$I155=""),0,IF(OR(AS$107&lt;$H155,AS$107&gt;$I155),0,$J155))</f>
        <v>0</v>
      </c>
      <c r="AT155" s="1084">
        <f>IF(OR($H155="",$I155=""),0,IF(OR(AT$107&lt;$H155,AT$107&gt;$I155),0,$J155))</f>
        <v>0</v>
      </c>
      <c r="AU155" s="1084">
        <f>IF(OR($H155="",$I155=""),0,IF(OR(AU$107&lt;$H155,AU$107&gt;$I155),0,$J155))</f>
        <v>0</v>
      </c>
      <c r="AV155" s="1084">
        <f>IF(OR($H155="",$I155=""),0,IF(OR(AV$107&lt;$H155,AV$107&gt;$I155),0,$J155))</f>
        <v>0</v>
      </c>
      <c r="AW155" s="1084">
        <f>IF(OR($H155="",$I155=""),0,IF(OR(AW$107&lt;$H155,AW$107&gt;$I155),0,$J155))</f>
        <v>0</v>
      </c>
      <c r="AX155" s="1084">
        <f>IF(OR($H155="",$I155=""),0,IF(OR(AX$107&lt;$H155,AX$107&gt;$I155),0,$J155))</f>
        <v>0</v>
      </c>
      <c r="AY155" s="1085">
        <f>IF(OR($H155="",$I155=""),0,IF(OR(AY$107&lt;$H155,AY$107&gt;$I155),0,$J155))</f>
        <v>0</v>
      </c>
      <c r="AZ155" s="1240">
        <f>IF(OR($H155="",$I155=""),0,IF(OR(AZ$107&lt;$H155,AZ$107&gt;$I155),0,$J155))</f>
        <v>0</v>
      </c>
      <c r="BA155" s="1084">
        <f>IF(OR($H155="",$I155=""),0,IF(OR(BA$107&lt;$H155,BA$107&gt;$I155),0,$J155))</f>
        <v>0</v>
      </c>
      <c r="BB155" s="1084">
        <f>IF(OR($H155="",$I155=""),0,IF(OR(BB$107&lt;$H155,BB$107&gt;$I155),0,$J155))</f>
        <v>0</v>
      </c>
      <c r="BC155" s="1084">
        <f>IF(OR($H155="",$I155=""),0,IF(OR(BC$107&lt;$H155,BC$107&gt;$I155),0,$J155))</f>
        <v>0</v>
      </c>
      <c r="BD155" s="1084">
        <f>IF(OR($H155="",$I155=""),0,IF(OR(BD$107&lt;$H155,BD$107&gt;$I155),0,$J155))</f>
        <v>0</v>
      </c>
      <c r="BE155" s="1084">
        <f>IF(OR($H155="",$I155=""),0,IF(OR(BE$107&lt;$H155,BE$107&gt;$I155),0,$J155))</f>
        <v>0</v>
      </c>
      <c r="BF155" s="1084">
        <f>IF(OR($H155="",$I155=""),0,IF(OR(BF$107&lt;$H155,BF$107&gt;$I155),0,$J155))</f>
        <v>0</v>
      </c>
      <c r="BG155" s="1084">
        <f>IF(OR($H155="",$I155=""),0,IF(OR(BG$107&lt;$H155,BG$107&gt;$I155),0,$J155))</f>
        <v>0</v>
      </c>
      <c r="BH155" s="1084">
        <f>IF(OR($H155="",$I155=""),0,IF(OR(BH$107&lt;$H155,BH$107&gt;$I155),0,$J155))</f>
        <v>0</v>
      </c>
      <c r="BI155" s="1084">
        <f>IF(OR($H155="",$I155=""),0,IF(OR(BI$107&lt;$H155,BI$107&gt;$I155),0,$J155))</f>
        <v>0</v>
      </c>
      <c r="BJ155" s="1084">
        <f>IF(OR($H155="",$I155=""),0,IF(OR(BJ$107&lt;$H155,BJ$107&gt;$I155),0,$J155))</f>
        <v>0</v>
      </c>
      <c r="BK155" s="1084">
        <f>IF(OR($H155="",$I155=""),0,IF(OR(BK$107&lt;$H155,BK$107&gt;$I155),0,$J155))</f>
        <v>0</v>
      </c>
      <c r="BL155" s="1084">
        <f>IF(OR($H155="",$I155=""),0,IF(OR(BL$107&lt;$H155,BL$107&gt;$I155),0,$J155))</f>
        <v>0</v>
      </c>
      <c r="BM155" s="1084">
        <f>IF(OR($H155="",$I155=""),0,IF(OR(BM$107&lt;$H155,BM$107&gt;$I155),0,$J155))</f>
        <v>0</v>
      </c>
      <c r="BN155" s="1084">
        <f>IF(OR($H155="",$I155=""),0,IF(OR(BN$107&lt;$H155,BN$107&gt;$I155),0,$J155))</f>
        <v>0</v>
      </c>
      <c r="BO155" s="1084">
        <f>IF(OR($H155="",$I155=""),0,IF(OR(BO$107&lt;$H155,BO$107&gt;$I155),0,$J155))</f>
        <v>0</v>
      </c>
      <c r="BP155" s="1084">
        <f>IF(OR($H155="",$I155=""),0,IF(OR(BP$107&lt;$H155,BP$107&gt;$I155),0,$J155))</f>
        <v>0</v>
      </c>
      <c r="BQ155" s="1084">
        <f>IF(OR($H155="",$I155=""),0,IF(OR(BQ$107&lt;$H155,BQ$107&gt;$I155),0,$J155))</f>
        <v>0</v>
      </c>
      <c r="BR155" s="1084">
        <f>IF(OR($H155="",$I155=""),0,IF(OR(BR$107&lt;$H155,BR$107&gt;$I155),0,$J155))</f>
        <v>0</v>
      </c>
      <c r="BS155" s="1084">
        <f>IF(OR($H155="",$I155=""),0,IF(OR(BS$107&lt;$H155,BS$107&gt;$I155),0,$J155))</f>
        <v>0</v>
      </c>
      <c r="BT155" s="1084">
        <f>IF(OR($H155="",$I155=""),0,IF(OR(BT$107&lt;$H155,BT$107&gt;$I155),0,$J155))</f>
        <v>0</v>
      </c>
      <c r="BU155" s="1084">
        <f>IF(OR($H155="",$I155=""),0,IF(OR(BU$107&lt;$H155,BU$107&gt;$I155),0,$J155))</f>
        <v>0</v>
      </c>
      <c r="BV155" s="1084">
        <f>IF(OR($H155="",$I155=""),0,IF(OR(BV$107&lt;$H155,BV$107&gt;$I155),0,$J155))</f>
        <v>0</v>
      </c>
      <c r="BW155" s="1085">
        <f>IF(OR($H155="",$I155=""),0,IF(OR(BW$107&lt;$H155,BW$107&gt;$I155),0,$J155))</f>
        <v>0</v>
      </c>
      <c r="DD155" s="131"/>
    </row>
    <row r="156" spans="1:108" s="8" customFormat="1" ht="12" hidden="1" customHeight="1" thickBot="1" x14ac:dyDescent="0.4">
      <c r="A156" s="133">
        <v>49</v>
      </c>
      <c r="B156" s="1711" t="str">
        <f>IF(A156&gt;F$107,"{Can hide row}","")</f>
        <v>{Can hide row}</v>
      </c>
      <c r="C156" s="9" t="str">
        <f>A156&amp;" "</f>
        <v xml:space="preserve">49 </v>
      </c>
      <c r="D156" s="1843"/>
      <c r="E156" s="1844"/>
      <c r="F156" s="1845"/>
      <c r="G156" s="590"/>
      <c r="H156" s="591"/>
      <c r="I156" s="591"/>
      <c r="J156" s="594">
        <f>IF(I156&lt;&gt;"",1,0)</f>
        <v>0</v>
      </c>
      <c r="K156" s="1050">
        <f>IF(I156&lt;&gt;"",K155,0)</f>
        <v>0</v>
      </c>
      <c r="L156" s="1050">
        <f>IF(I156&lt;&gt;"",L155,0)</f>
        <v>0</v>
      </c>
      <c r="M156" s="1049">
        <f>IF(I156&lt;&gt;"",M155,0)</f>
        <v>0</v>
      </c>
      <c r="N156" s="1001"/>
      <c r="P156" s="1083">
        <f>IF(OR($H156="",$I156=""),0,IF(OR(P$107&lt;$H156,P$107&gt;$I156),0,$J156))</f>
        <v>0</v>
      </c>
      <c r="Q156" s="1084">
        <f>IF(OR($H156="",$I156=""),0,IF(OR(Q$107&lt;$H156,Q$107&gt;$I156),0,$J156))</f>
        <v>0</v>
      </c>
      <c r="R156" s="1084">
        <f>IF(OR($H156="",$I156=""),0,IF(OR(R$107&lt;$H156,R$107&gt;$I156),0,$J156))</f>
        <v>0</v>
      </c>
      <c r="S156" s="1084">
        <f>IF(OR($H156="",$I156=""),0,IF(OR(S$107&lt;$H156,S$107&gt;$I156),0,$J156))</f>
        <v>0</v>
      </c>
      <c r="T156" s="1084">
        <f>IF(OR($H156="",$I156=""),0,IF(OR(T$107&lt;$H156,T$107&gt;$I156),0,$J156))</f>
        <v>0</v>
      </c>
      <c r="U156" s="1084">
        <f>IF(OR($H156="",$I156=""),0,IF(OR(U$107&lt;$H156,U$107&gt;$I156),0,$J156))</f>
        <v>0</v>
      </c>
      <c r="V156" s="1084">
        <f>IF(OR($H156="",$I156=""),0,IF(OR(V$107&lt;$H156,V$107&gt;$I156),0,$J156))</f>
        <v>0</v>
      </c>
      <c r="W156" s="1084">
        <f>IF(OR($H156="",$I156=""),0,IF(OR(W$107&lt;$H156,W$107&gt;$I156),0,$J156))</f>
        <v>0</v>
      </c>
      <c r="X156" s="1084">
        <f>IF(OR($H156="",$I156=""),0,IF(OR(X$107&lt;$H156,X$107&gt;$I156),0,$J156))</f>
        <v>0</v>
      </c>
      <c r="Y156" s="1084">
        <f>IF(OR($H156="",$I156=""),0,IF(OR(Y$107&lt;$H156,Y$107&gt;$I156),0,$J156))</f>
        <v>0</v>
      </c>
      <c r="Z156" s="1084">
        <f>IF(OR($H156="",$I156=""),0,IF(OR(Z$107&lt;$H156,Z$107&gt;$I156),0,$J156))</f>
        <v>0</v>
      </c>
      <c r="AA156" s="1084">
        <f>IF(OR($H156="",$I156=""),0,IF(OR(AA$107&lt;$H156,AA$107&gt;$I156),0,$J156))</f>
        <v>0</v>
      </c>
      <c r="AB156" s="1084">
        <f>IF(OR($H156="",$I156=""),0,IF(OR(AB$107&lt;$H156,AB$107&gt;$I156),0,$J156))</f>
        <v>0</v>
      </c>
      <c r="AC156" s="1084">
        <f>IF(OR($H156="",$I156=""),0,IF(OR(AC$107&lt;$H156,AC$107&gt;$I156),0,$J156))</f>
        <v>0</v>
      </c>
      <c r="AD156" s="1084">
        <f>IF(OR($H156="",$I156=""),0,IF(OR(AD$107&lt;$H156,AD$107&gt;$I156),0,$J156))</f>
        <v>0</v>
      </c>
      <c r="AE156" s="1084">
        <f>IF(OR($H156="",$I156=""),0,IF(OR(AE$107&lt;$H156,AE$107&gt;$I156),0,$J156))</f>
        <v>0</v>
      </c>
      <c r="AF156" s="1084">
        <f>IF(OR($H156="",$I156=""),0,IF(OR(AF$107&lt;$H156,AF$107&gt;$I156),0,$J156))</f>
        <v>0</v>
      </c>
      <c r="AG156" s="1084">
        <f>IF(OR($H156="",$I156=""),0,IF(OR(AG$107&lt;$H156,AG$107&gt;$I156),0,$J156))</f>
        <v>0</v>
      </c>
      <c r="AH156" s="1084">
        <f>IF(OR($H156="",$I156=""),0,IF(OR(AH$107&lt;$H156,AH$107&gt;$I156),0,$J156))</f>
        <v>0</v>
      </c>
      <c r="AI156" s="1084">
        <f>IF(OR($H156="",$I156=""),0,IF(OR(AI$107&lt;$H156,AI$107&gt;$I156),0,$J156))</f>
        <v>0</v>
      </c>
      <c r="AJ156" s="1084">
        <f>IF(OR($H156="",$I156=""),0,IF(OR(AJ$107&lt;$H156,AJ$107&gt;$I156),0,$J156))</f>
        <v>0</v>
      </c>
      <c r="AK156" s="1084">
        <f>IF(OR($H156="",$I156=""),0,IF(OR(AK$107&lt;$H156,AK$107&gt;$I156),0,$J156))</f>
        <v>0</v>
      </c>
      <c r="AL156" s="1084">
        <f>IF(OR($H156="",$I156=""),0,IF(OR(AL$107&lt;$H156,AL$107&gt;$I156),0,$J156))</f>
        <v>0</v>
      </c>
      <c r="AM156" s="1084">
        <f>IF(OR($H156="",$I156=""),0,IF(OR(AM$107&lt;$H156,AM$107&gt;$I156),0,$J156))</f>
        <v>0</v>
      </c>
      <c r="AN156" s="1084">
        <f>IF(OR($H156="",$I156=""),0,IF(OR(AN$107&lt;$H156,AN$107&gt;$I156),0,$J156))</f>
        <v>0</v>
      </c>
      <c r="AO156" s="1084">
        <f>IF(OR($H156="",$I156=""),0,IF(OR(AO$107&lt;$H156,AO$107&gt;$I156),0,$J156))</f>
        <v>0</v>
      </c>
      <c r="AP156" s="1084">
        <f>IF(OR($H156="",$I156=""),0,IF(OR(AP$107&lt;$H156,AP$107&gt;$I156),0,$J156))</f>
        <v>0</v>
      </c>
      <c r="AQ156" s="1084">
        <f>IF(OR($H156="",$I156=""),0,IF(OR(AQ$107&lt;$H156,AQ$107&gt;$I156),0,$J156))</f>
        <v>0</v>
      </c>
      <c r="AR156" s="1084">
        <f>IF(OR($H156="",$I156=""),0,IF(OR(AR$107&lt;$H156,AR$107&gt;$I156),0,$J156))</f>
        <v>0</v>
      </c>
      <c r="AS156" s="1084">
        <f>IF(OR($H156="",$I156=""),0,IF(OR(AS$107&lt;$H156,AS$107&gt;$I156),0,$J156))</f>
        <v>0</v>
      </c>
      <c r="AT156" s="1084">
        <f>IF(OR($H156="",$I156=""),0,IF(OR(AT$107&lt;$H156,AT$107&gt;$I156),0,$J156))</f>
        <v>0</v>
      </c>
      <c r="AU156" s="1084">
        <f>IF(OR($H156="",$I156=""),0,IF(OR(AU$107&lt;$H156,AU$107&gt;$I156),0,$J156))</f>
        <v>0</v>
      </c>
      <c r="AV156" s="1084">
        <f>IF(OR($H156="",$I156=""),0,IF(OR(AV$107&lt;$H156,AV$107&gt;$I156),0,$J156))</f>
        <v>0</v>
      </c>
      <c r="AW156" s="1084">
        <f>IF(OR($H156="",$I156=""),0,IF(OR(AW$107&lt;$H156,AW$107&gt;$I156),0,$J156))</f>
        <v>0</v>
      </c>
      <c r="AX156" s="1084">
        <f>IF(OR($H156="",$I156=""),0,IF(OR(AX$107&lt;$H156,AX$107&gt;$I156),0,$J156))</f>
        <v>0</v>
      </c>
      <c r="AY156" s="1085">
        <f>IF(OR($H156="",$I156=""),0,IF(OR(AY$107&lt;$H156,AY$107&gt;$I156),0,$J156))</f>
        <v>0</v>
      </c>
      <c r="AZ156" s="1240">
        <f>IF(OR($H156="",$I156=""),0,IF(OR(AZ$107&lt;$H156,AZ$107&gt;$I156),0,$J156))</f>
        <v>0</v>
      </c>
      <c r="BA156" s="1084">
        <f>IF(OR($H156="",$I156=""),0,IF(OR(BA$107&lt;$H156,BA$107&gt;$I156),0,$J156))</f>
        <v>0</v>
      </c>
      <c r="BB156" s="1084">
        <f>IF(OR($H156="",$I156=""),0,IF(OR(BB$107&lt;$H156,BB$107&gt;$I156),0,$J156))</f>
        <v>0</v>
      </c>
      <c r="BC156" s="1084">
        <f>IF(OR($H156="",$I156=""),0,IF(OR(BC$107&lt;$H156,BC$107&gt;$I156),0,$J156))</f>
        <v>0</v>
      </c>
      <c r="BD156" s="1084">
        <f>IF(OR($H156="",$I156=""),0,IF(OR(BD$107&lt;$H156,BD$107&gt;$I156),0,$J156))</f>
        <v>0</v>
      </c>
      <c r="BE156" s="1084">
        <f>IF(OR($H156="",$I156=""),0,IF(OR(BE$107&lt;$H156,BE$107&gt;$I156),0,$J156))</f>
        <v>0</v>
      </c>
      <c r="BF156" s="1084">
        <f>IF(OR($H156="",$I156=""),0,IF(OR(BF$107&lt;$H156,BF$107&gt;$I156),0,$J156))</f>
        <v>0</v>
      </c>
      <c r="BG156" s="1084">
        <f>IF(OR($H156="",$I156=""),0,IF(OR(BG$107&lt;$H156,BG$107&gt;$I156),0,$J156))</f>
        <v>0</v>
      </c>
      <c r="BH156" s="1084">
        <f>IF(OR($H156="",$I156=""),0,IF(OR(BH$107&lt;$H156,BH$107&gt;$I156),0,$J156))</f>
        <v>0</v>
      </c>
      <c r="BI156" s="1084">
        <f>IF(OR($H156="",$I156=""),0,IF(OR(BI$107&lt;$H156,BI$107&gt;$I156),0,$J156))</f>
        <v>0</v>
      </c>
      <c r="BJ156" s="1084">
        <f>IF(OR($H156="",$I156=""),0,IF(OR(BJ$107&lt;$H156,BJ$107&gt;$I156),0,$J156))</f>
        <v>0</v>
      </c>
      <c r="BK156" s="1084">
        <f>IF(OR($H156="",$I156=""),0,IF(OR(BK$107&lt;$H156,BK$107&gt;$I156),0,$J156))</f>
        <v>0</v>
      </c>
      <c r="BL156" s="1084">
        <f>IF(OR($H156="",$I156=""),0,IF(OR(BL$107&lt;$H156,BL$107&gt;$I156),0,$J156))</f>
        <v>0</v>
      </c>
      <c r="BM156" s="1084">
        <f>IF(OR($H156="",$I156=""),0,IF(OR(BM$107&lt;$H156,BM$107&gt;$I156),0,$J156))</f>
        <v>0</v>
      </c>
      <c r="BN156" s="1084">
        <f>IF(OR($H156="",$I156=""),0,IF(OR(BN$107&lt;$H156,BN$107&gt;$I156),0,$J156))</f>
        <v>0</v>
      </c>
      <c r="BO156" s="1084">
        <f>IF(OR($H156="",$I156=""),0,IF(OR(BO$107&lt;$H156,BO$107&gt;$I156),0,$J156))</f>
        <v>0</v>
      </c>
      <c r="BP156" s="1084">
        <f>IF(OR($H156="",$I156=""),0,IF(OR(BP$107&lt;$H156,BP$107&gt;$I156),0,$J156))</f>
        <v>0</v>
      </c>
      <c r="BQ156" s="1084">
        <f>IF(OR($H156="",$I156=""),0,IF(OR(BQ$107&lt;$H156,BQ$107&gt;$I156),0,$J156))</f>
        <v>0</v>
      </c>
      <c r="BR156" s="1084">
        <f>IF(OR($H156="",$I156=""),0,IF(OR(BR$107&lt;$H156,BR$107&gt;$I156),0,$J156))</f>
        <v>0</v>
      </c>
      <c r="BS156" s="1084">
        <f>IF(OR($H156="",$I156=""),0,IF(OR(BS$107&lt;$H156,BS$107&gt;$I156),0,$J156))</f>
        <v>0</v>
      </c>
      <c r="BT156" s="1084">
        <f>IF(OR($H156="",$I156=""),0,IF(OR(BT$107&lt;$H156,BT$107&gt;$I156),0,$J156))</f>
        <v>0</v>
      </c>
      <c r="BU156" s="1084">
        <f>IF(OR($H156="",$I156=""),0,IF(OR(BU$107&lt;$H156,BU$107&gt;$I156),0,$J156))</f>
        <v>0</v>
      </c>
      <c r="BV156" s="1084">
        <f>IF(OR($H156="",$I156=""),0,IF(OR(BV$107&lt;$H156,BV$107&gt;$I156),0,$J156))</f>
        <v>0</v>
      </c>
      <c r="BW156" s="1085">
        <f>IF(OR($H156="",$I156=""),0,IF(OR(BW$107&lt;$H156,BW$107&gt;$I156),0,$J156))</f>
        <v>0</v>
      </c>
      <c r="DD156" s="131"/>
    </row>
    <row r="157" spans="1:108" s="8" customFormat="1" ht="12" hidden="1" customHeight="1" thickBot="1" x14ac:dyDescent="0.4">
      <c r="A157" s="133">
        <v>50</v>
      </c>
      <c r="B157" s="1711" t="str">
        <f>IF(A157&gt;F$107,"{Can hide row}","")</f>
        <v>{Can hide row}</v>
      </c>
      <c r="C157" s="9" t="str">
        <f>A157&amp;" "</f>
        <v xml:space="preserve">50 </v>
      </c>
      <c r="D157" s="1843"/>
      <c r="E157" s="1844"/>
      <c r="F157" s="1845"/>
      <c r="G157" s="590"/>
      <c r="H157" s="591"/>
      <c r="I157" s="591"/>
      <c r="J157" s="594">
        <f>IF(I157&lt;&gt;"",1,0)</f>
        <v>0</v>
      </c>
      <c r="K157" s="1050">
        <f>IF(I157&lt;&gt;"",K156,0)</f>
        <v>0</v>
      </c>
      <c r="L157" s="1050">
        <f>IF(I157&lt;&gt;"",L156,0)</f>
        <v>0</v>
      </c>
      <c r="M157" s="1049">
        <f>IF(I157&lt;&gt;"",M156,0)</f>
        <v>0</v>
      </c>
      <c r="N157" s="1001"/>
      <c r="P157" s="1086">
        <f>IF(OR($H157="",$I157=""),0,IF(OR(P$107&lt;$H157,P$107&gt;$I157),0,$J157))</f>
        <v>0</v>
      </c>
      <c r="Q157" s="1087">
        <f>IF(OR($H157="",$I157=""),0,IF(OR(Q$107&lt;$H157,Q$107&gt;$I157),0,$J157))</f>
        <v>0</v>
      </c>
      <c r="R157" s="1087">
        <f>IF(OR($H157="",$I157=""),0,IF(OR(R$107&lt;$H157,R$107&gt;$I157),0,$J157))</f>
        <v>0</v>
      </c>
      <c r="S157" s="1087">
        <f>IF(OR($H157="",$I157=""),0,IF(OR(S$107&lt;$H157,S$107&gt;$I157),0,$J157))</f>
        <v>0</v>
      </c>
      <c r="T157" s="1087">
        <f>IF(OR($H157="",$I157=""),0,IF(OR(T$107&lt;$H157,T$107&gt;$I157),0,$J157))</f>
        <v>0</v>
      </c>
      <c r="U157" s="1087">
        <f>IF(OR($H157="",$I157=""),0,IF(OR(U$107&lt;$H157,U$107&gt;$I157),0,$J157))</f>
        <v>0</v>
      </c>
      <c r="V157" s="1087">
        <f>IF(OR($H157="",$I157=""),0,IF(OR(V$107&lt;$H157,V$107&gt;$I157),0,$J157))</f>
        <v>0</v>
      </c>
      <c r="W157" s="1087">
        <f>IF(OR($H157="",$I157=""),0,IF(OR(W$107&lt;$H157,W$107&gt;$I157),0,$J157))</f>
        <v>0</v>
      </c>
      <c r="X157" s="1087">
        <f>IF(OR($H157="",$I157=""),0,IF(OR(X$107&lt;$H157,X$107&gt;$I157),0,$J157))</f>
        <v>0</v>
      </c>
      <c r="Y157" s="1087">
        <f>IF(OR($H157="",$I157=""),0,IF(OR(Y$107&lt;$H157,Y$107&gt;$I157),0,$J157))</f>
        <v>0</v>
      </c>
      <c r="Z157" s="1087">
        <f>IF(OR($H157="",$I157=""),0,IF(OR(Z$107&lt;$H157,Z$107&gt;$I157),0,$J157))</f>
        <v>0</v>
      </c>
      <c r="AA157" s="1087">
        <f>IF(OR($H157="",$I157=""),0,IF(OR(AA$107&lt;$H157,AA$107&gt;$I157),0,$J157))</f>
        <v>0</v>
      </c>
      <c r="AB157" s="1087">
        <f>IF(OR($H157="",$I157=""),0,IF(OR(AB$107&lt;$H157,AB$107&gt;$I157),0,$J157))</f>
        <v>0</v>
      </c>
      <c r="AC157" s="1087">
        <f>IF(OR($H157="",$I157=""),0,IF(OR(AC$107&lt;$H157,AC$107&gt;$I157),0,$J157))</f>
        <v>0</v>
      </c>
      <c r="AD157" s="1087">
        <f>IF(OR($H157="",$I157=""),0,IF(OR(AD$107&lt;$H157,AD$107&gt;$I157),0,$J157))</f>
        <v>0</v>
      </c>
      <c r="AE157" s="1087">
        <f>IF(OR($H157="",$I157=""),0,IF(OR(AE$107&lt;$H157,AE$107&gt;$I157),0,$J157))</f>
        <v>0</v>
      </c>
      <c r="AF157" s="1087">
        <f>IF(OR($H157="",$I157=""),0,IF(OR(AF$107&lt;$H157,AF$107&gt;$I157),0,$J157))</f>
        <v>0</v>
      </c>
      <c r="AG157" s="1087">
        <f>IF(OR($H157="",$I157=""),0,IF(OR(AG$107&lt;$H157,AG$107&gt;$I157),0,$J157))</f>
        <v>0</v>
      </c>
      <c r="AH157" s="1087">
        <f>IF(OR($H157="",$I157=""),0,IF(OR(AH$107&lt;$H157,AH$107&gt;$I157),0,$J157))</f>
        <v>0</v>
      </c>
      <c r="AI157" s="1087">
        <f>IF(OR($H157="",$I157=""),0,IF(OR(AI$107&lt;$H157,AI$107&gt;$I157),0,$J157))</f>
        <v>0</v>
      </c>
      <c r="AJ157" s="1087">
        <f>IF(OR($H157="",$I157=""),0,IF(OR(AJ$107&lt;$H157,AJ$107&gt;$I157),0,$J157))</f>
        <v>0</v>
      </c>
      <c r="AK157" s="1087">
        <f>IF(OR($H157="",$I157=""),0,IF(OR(AK$107&lt;$H157,AK$107&gt;$I157),0,$J157))</f>
        <v>0</v>
      </c>
      <c r="AL157" s="1087">
        <f>IF(OR($H157="",$I157=""),0,IF(OR(AL$107&lt;$H157,AL$107&gt;$I157),0,$J157))</f>
        <v>0</v>
      </c>
      <c r="AM157" s="1087">
        <f>IF(OR($H157="",$I157=""),0,IF(OR(AM$107&lt;$H157,AM$107&gt;$I157),0,$J157))</f>
        <v>0</v>
      </c>
      <c r="AN157" s="1087">
        <f>IF(OR($H157="",$I157=""),0,IF(OR(AN$107&lt;$H157,AN$107&gt;$I157),0,$J157))</f>
        <v>0</v>
      </c>
      <c r="AO157" s="1087">
        <f>IF(OR($H157="",$I157=""),0,IF(OR(AO$107&lt;$H157,AO$107&gt;$I157),0,$J157))</f>
        <v>0</v>
      </c>
      <c r="AP157" s="1087">
        <f>IF(OR($H157="",$I157=""),0,IF(OR(AP$107&lt;$H157,AP$107&gt;$I157),0,$J157))</f>
        <v>0</v>
      </c>
      <c r="AQ157" s="1087">
        <f>IF(OR($H157="",$I157=""),0,IF(OR(AQ$107&lt;$H157,AQ$107&gt;$I157),0,$J157))</f>
        <v>0</v>
      </c>
      <c r="AR157" s="1087">
        <f>IF(OR($H157="",$I157=""),0,IF(OR(AR$107&lt;$H157,AR$107&gt;$I157),0,$J157))</f>
        <v>0</v>
      </c>
      <c r="AS157" s="1087">
        <f>IF(OR($H157="",$I157=""),0,IF(OR(AS$107&lt;$H157,AS$107&gt;$I157),0,$J157))</f>
        <v>0</v>
      </c>
      <c r="AT157" s="1087">
        <f>IF(OR($H157="",$I157=""),0,IF(OR(AT$107&lt;$H157,AT$107&gt;$I157),0,$J157))</f>
        <v>0</v>
      </c>
      <c r="AU157" s="1087">
        <f>IF(OR($H157="",$I157=""),0,IF(OR(AU$107&lt;$H157,AU$107&gt;$I157),0,$J157))</f>
        <v>0</v>
      </c>
      <c r="AV157" s="1087">
        <f>IF(OR($H157="",$I157=""),0,IF(OR(AV$107&lt;$H157,AV$107&gt;$I157),0,$J157))</f>
        <v>0</v>
      </c>
      <c r="AW157" s="1087">
        <f>IF(OR($H157="",$I157=""),0,IF(OR(AW$107&lt;$H157,AW$107&gt;$I157),0,$J157))</f>
        <v>0</v>
      </c>
      <c r="AX157" s="1087">
        <f>IF(OR($H157="",$I157=""),0,IF(OR(AX$107&lt;$H157,AX$107&gt;$I157),0,$J157))</f>
        <v>0</v>
      </c>
      <c r="AY157" s="1088">
        <f>IF(OR($H157="",$I157=""),0,IF(OR(AY$107&lt;$H157,AY$107&gt;$I157),0,$J157))</f>
        <v>0</v>
      </c>
      <c r="AZ157" s="1241">
        <f>IF(OR($H157="",$I157=""),0,IF(OR(AZ$107&lt;$H157,AZ$107&gt;$I157),0,$J157))</f>
        <v>0</v>
      </c>
      <c r="BA157" s="1087">
        <f>IF(OR($H157="",$I157=""),0,IF(OR(BA$107&lt;$H157,BA$107&gt;$I157),0,$J157))</f>
        <v>0</v>
      </c>
      <c r="BB157" s="1087">
        <f>IF(OR($H157="",$I157=""),0,IF(OR(BB$107&lt;$H157,BB$107&gt;$I157),0,$J157))</f>
        <v>0</v>
      </c>
      <c r="BC157" s="1087">
        <f>IF(OR($H157="",$I157=""),0,IF(OR(BC$107&lt;$H157,BC$107&gt;$I157),0,$J157))</f>
        <v>0</v>
      </c>
      <c r="BD157" s="1087">
        <f>IF(OR($H157="",$I157=""),0,IF(OR(BD$107&lt;$H157,BD$107&gt;$I157),0,$J157))</f>
        <v>0</v>
      </c>
      <c r="BE157" s="1087">
        <f>IF(OR($H157="",$I157=""),0,IF(OR(BE$107&lt;$H157,BE$107&gt;$I157),0,$J157))</f>
        <v>0</v>
      </c>
      <c r="BF157" s="1087">
        <f>IF(OR($H157="",$I157=""),0,IF(OR(BF$107&lt;$H157,BF$107&gt;$I157),0,$J157))</f>
        <v>0</v>
      </c>
      <c r="BG157" s="1087">
        <f>IF(OR($H157="",$I157=""),0,IF(OR(BG$107&lt;$H157,BG$107&gt;$I157),0,$J157))</f>
        <v>0</v>
      </c>
      <c r="BH157" s="1087">
        <f>IF(OR($H157="",$I157=""),0,IF(OR(BH$107&lt;$H157,BH$107&gt;$I157),0,$J157))</f>
        <v>0</v>
      </c>
      <c r="BI157" s="1087">
        <f>IF(OR($H157="",$I157=""),0,IF(OR(BI$107&lt;$H157,BI$107&gt;$I157),0,$J157))</f>
        <v>0</v>
      </c>
      <c r="BJ157" s="1087">
        <f>IF(OR($H157="",$I157=""),0,IF(OR(BJ$107&lt;$H157,BJ$107&gt;$I157),0,$J157))</f>
        <v>0</v>
      </c>
      <c r="BK157" s="1087">
        <f>IF(OR($H157="",$I157=""),0,IF(OR(BK$107&lt;$H157,BK$107&gt;$I157),0,$J157))</f>
        <v>0</v>
      </c>
      <c r="BL157" s="1087">
        <f>IF(OR($H157="",$I157=""),0,IF(OR(BL$107&lt;$H157,BL$107&gt;$I157),0,$J157))</f>
        <v>0</v>
      </c>
      <c r="BM157" s="1087">
        <f>IF(OR($H157="",$I157=""),0,IF(OR(BM$107&lt;$H157,BM$107&gt;$I157),0,$J157))</f>
        <v>0</v>
      </c>
      <c r="BN157" s="1087">
        <f>IF(OR($H157="",$I157=""),0,IF(OR(BN$107&lt;$H157,BN$107&gt;$I157),0,$J157))</f>
        <v>0</v>
      </c>
      <c r="BO157" s="1087">
        <f>IF(OR($H157="",$I157=""),0,IF(OR(BO$107&lt;$H157,BO$107&gt;$I157),0,$J157))</f>
        <v>0</v>
      </c>
      <c r="BP157" s="1087">
        <f>IF(OR($H157="",$I157=""),0,IF(OR(BP$107&lt;$H157,BP$107&gt;$I157),0,$J157))</f>
        <v>0</v>
      </c>
      <c r="BQ157" s="1087">
        <f>IF(OR($H157="",$I157=""),0,IF(OR(BQ$107&lt;$H157,BQ$107&gt;$I157),0,$J157))</f>
        <v>0</v>
      </c>
      <c r="BR157" s="1087">
        <f>IF(OR($H157="",$I157=""),0,IF(OR(BR$107&lt;$H157,BR$107&gt;$I157),0,$J157))</f>
        <v>0</v>
      </c>
      <c r="BS157" s="1087">
        <f>IF(OR($H157="",$I157=""),0,IF(OR(BS$107&lt;$H157,BS$107&gt;$I157),0,$J157))</f>
        <v>0</v>
      </c>
      <c r="BT157" s="1087">
        <f>IF(OR($H157="",$I157=""),0,IF(OR(BT$107&lt;$H157,BT$107&gt;$I157),0,$J157))</f>
        <v>0</v>
      </c>
      <c r="BU157" s="1087">
        <f>IF(OR($H157="",$I157=""),0,IF(OR(BU$107&lt;$H157,BU$107&gt;$I157),0,$J157))</f>
        <v>0</v>
      </c>
      <c r="BV157" s="1087">
        <f>IF(OR($H157="",$I157=""),0,IF(OR(BV$107&lt;$H157,BV$107&gt;$I157),0,$J157))</f>
        <v>0</v>
      </c>
      <c r="BW157" s="1088">
        <f>IF(OR($H157="",$I157=""),0,IF(OR(BW$107&lt;$H157,BW$107&gt;$I157),0,$J157))</f>
        <v>0</v>
      </c>
      <c r="DD157" s="131"/>
    </row>
    <row r="158" spans="1:108" s="8" customFormat="1" ht="12" customHeight="1" x14ac:dyDescent="0.35">
      <c r="A158" s="133"/>
      <c r="D158" s="562"/>
      <c r="E158" s="562"/>
      <c r="F158" s="447"/>
      <c r="G158" s="563"/>
      <c r="H158" s="447"/>
      <c r="I158" s="447"/>
      <c r="J158" s="447"/>
      <c r="K158" s="1051"/>
      <c r="L158" s="451"/>
      <c r="M158" s="1052"/>
      <c r="N158" s="1053"/>
      <c r="P158" s="1293">
        <f>SUM(P108:P157)</f>
        <v>0</v>
      </c>
      <c r="Q158" s="1293">
        <f>SUM(Q108:Q157)</f>
        <v>0</v>
      </c>
      <c r="R158" s="1293">
        <f>SUM(R108:R157)</f>
        <v>0</v>
      </c>
      <c r="S158" s="1293">
        <f>SUM(S108:S157)</f>
        <v>0</v>
      </c>
      <c r="T158" s="1293">
        <f>SUM(T108:T157)</f>
        <v>0</v>
      </c>
      <c r="U158" s="1293">
        <f>SUM(U108:U157)</f>
        <v>0</v>
      </c>
      <c r="V158" s="1293">
        <f>SUM(V108:V157)</f>
        <v>0</v>
      </c>
      <c r="W158" s="1293">
        <f>SUM(W108:W157)</f>
        <v>0</v>
      </c>
      <c r="X158" s="1293">
        <f>SUM(X108:X157)</f>
        <v>0</v>
      </c>
      <c r="Y158" s="1293">
        <f>SUM(Y108:Y157)</f>
        <v>0</v>
      </c>
      <c r="Z158" s="1293">
        <f>SUM(Z108:Z157)</f>
        <v>0</v>
      </c>
      <c r="AA158" s="1293">
        <f>SUM(AA108:AA157)</f>
        <v>0</v>
      </c>
      <c r="AB158" s="1293">
        <f>SUM(AB108:AB157)</f>
        <v>0</v>
      </c>
      <c r="AC158" s="1293">
        <f>SUM(AC108:AC157)</f>
        <v>0</v>
      </c>
      <c r="AD158" s="1293">
        <f>SUM(AD108:AD157)</f>
        <v>0</v>
      </c>
      <c r="AE158" s="1293">
        <f>SUM(AE108:AE157)</f>
        <v>0</v>
      </c>
      <c r="AF158" s="1293">
        <f>SUM(AF108:AF157)</f>
        <v>0</v>
      </c>
      <c r="AG158" s="1293">
        <f>SUM(AG108:AG157)</f>
        <v>0</v>
      </c>
      <c r="AH158" s="1293">
        <f>SUM(AH108:AH157)</f>
        <v>0</v>
      </c>
      <c r="AI158" s="1293">
        <f>SUM(AI108:AI157)</f>
        <v>0</v>
      </c>
      <c r="AJ158" s="1293">
        <f>SUM(AJ108:AJ157)</f>
        <v>0</v>
      </c>
      <c r="AK158" s="1293">
        <f>SUM(AK108:AK157)</f>
        <v>0</v>
      </c>
      <c r="AL158" s="1293">
        <f>SUM(AL108:AL157)</f>
        <v>0</v>
      </c>
      <c r="AM158" s="1293">
        <f>SUM(AM108:AM157)</f>
        <v>0</v>
      </c>
      <c r="AN158" s="1293">
        <f>SUM(AN108:AN157)</f>
        <v>0</v>
      </c>
      <c r="AO158" s="1293">
        <f>SUM(AO108:AO157)</f>
        <v>0</v>
      </c>
      <c r="AP158" s="1293">
        <f>SUM(AP108:AP157)</f>
        <v>0</v>
      </c>
      <c r="AQ158" s="1293">
        <f>SUM(AQ108:AQ157)</f>
        <v>0</v>
      </c>
      <c r="AR158" s="1293">
        <f>SUM(AR108:AR157)</f>
        <v>0</v>
      </c>
      <c r="AS158" s="1293">
        <f>SUM(AS108:AS157)</f>
        <v>0</v>
      </c>
      <c r="AT158" s="1293">
        <f>SUM(AT108:AT157)</f>
        <v>0</v>
      </c>
      <c r="AU158" s="1293">
        <f>SUM(AU108:AU157)</f>
        <v>0</v>
      </c>
      <c r="AV158" s="1293">
        <f>SUM(AV108:AV157)</f>
        <v>0</v>
      </c>
      <c r="AW158" s="1293">
        <f>SUM(AW108:AW157)</f>
        <v>0</v>
      </c>
      <c r="AX158" s="1293">
        <f>SUM(AX108:AX157)</f>
        <v>0</v>
      </c>
      <c r="AY158" s="1293">
        <f>SUM(AY108:AY157)</f>
        <v>0</v>
      </c>
      <c r="AZ158" s="1293">
        <f>SUM(AZ108:AZ157)</f>
        <v>0</v>
      </c>
      <c r="BA158" s="1293">
        <f>SUM(BA108:BA157)</f>
        <v>0</v>
      </c>
      <c r="BB158" s="1293">
        <f>SUM(BB108:BB157)</f>
        <v>0</v>
      </c>
      <c r="BC158" s="1293">
        <f>SUM(BC108:BC157)</f>
        <v>0</v>
      </c>
      <c r="BD158" s="1293">
        <f>SUM(BD108:BD157)</f>
        <v>0</v>
      </c>
      <c r="BE158" s="1293">
        <f>SUM(BE108:BE157)</f>
        <v>0</v>
      </c>
      <c r="BF158" s="1293">
        <f>SUM(BF108:BF157)</f>
        <v>0</v>
      </c>
      <c r="BG158" s="1293">
        <f>SUM(BG108:BG157)</f>
        <v>0</v>
      </c>
      <c r="BH158" s="1293">
        <f>SUM(BH108:BH157)</f>
        <v>0</v>
      </c>
      <c r="BI158" s="1293">
        <f>SUM(BI108:BI157)</f>
        <v>0</v>
      </c>
      <c r="BJ158" s="1293">
        <f>SUM(BJ108:BJ157)</f>
        <v>0</v>
      </c>
      <c r="BK158" s="1293">
        <f>SUM(BK108:BK157)</f>
        <v>0</v>
      </c>
      <c r="BL158" s="1293">
        <f>SUM(BL108:BL157)</f>
        <v>0</v>
      </c>
      <c r="BM158" s="1293">
        <f>SUM(BM108:BM157)</f>
        <v>0</v>
      </c>
      <c r="BN158" s="1293">
        <f>SUM(BN108:BN157)</f>
        <v>0</v>
      </c>
      <c r="BO158" s="1293">
        <f>SUM(BO108:BO157)</f>
        <v>0</v>
      </c>
      <c r="BP158" s="1293">
        <f>SUM(BP108:BP157)</f>
        <v>0</v>
      </c>
      <c r="BQ158" s="1293">
        <f>SUM(BQ108:BQ157)</f>
        <v>0</v>
      </c>
      <c r="BR158" s="1293">
        <f>SUM(BR108:BR157)</f>
        <v>0</v>
      </c>
      <c r="BS158" s="1293">
        <f>SUM(BS108:BS157)</f>
        <v>0</v>
      </c>
      <c r="BT158" s="1293">
        <f>SUM(BT108:BT157)</f>
        <v>0</v>
      </c>
      <c r="BU158" s="1293">
        <f>SUM(BU108:BU157)</f>
        <v>0</v>
      </c>
      <c r="BV158" s="1293">
        <f>SUM(BV108:BV157)</f>
        <v>0</v>
      </c>
      <c r="BW158" s="1293">
        <f>SUM(BW108:BW157)</f>
        <v>0</v>
      </c>
    </row>
    <row r="159" spans="1:108" s="8" customFormat="1" ht="12" customHeight="1" x14ac:dyDescent="0.3">
      <c r="A159" s="133"/>
      <c r="D159" s="564"/>
      <c r="E159" s="17"/>
      <c r="G159" s="7"/>
      <c r="AA159" s="4"/>
      <c r="AB159" s="4"/>
      <c r="AC159" s="4"/>
      <c r="AD159" s="516"/>
      <c r="AE159" s="516"/>
      <c r="AF159" s="516"/>
      <c r="AG159" s="516"/>
      <c r="AH159" s="516"/>
      <c r="AI159" s="516"/>
      <c r="AJ159" s="516"/>
      <c r="AK159" s="4"/>
      <c r="AU159" s="131"/>
      <c r="AV159" s="131"/>
      <c r="AW159" s="131"/>
      <c r="AX159" s="131"/>
      <c r="AY159" s="131"/>
    </row>
    <row r="160" spans="1:108" s="8" customFormat="1" ht="12" customHeight="1" x14ac:dyDescent="0.3">
      <c r="A160" s="133"/>
      <c r="D160" s="564"/>
      <c r="E160" s="17"/>
      <c r="G160" s="7"/>
      <c r="AA160" s="4"/>
      <c r="AB160" s="4"/>
      <c r="AC160" s="4"/>
      <c r="AD160" s="516"/>
      <c r="AE160" s="516"/>
      <c r="AF160" s="516"/>
      <c r="AG160" s="516"/>
      <c r="AH160" s="516"/>
      <c r="AI160" s="516"/>
      <c r="AJ160" s="516"/>
      <c r="AK160" s="4"/>
      <c r="AU160" s="131"/>
      <c r="AV160" s="131"/>
      <c r="AW160" s="131"/>
      <c r="AX160" s="131"/>
      <c r="AY160" s="131"/>
    </row>
    <row r="161" spans="1:108" s="8" customFormat="1" ht="12" customHeight="1" x14ac:dyDescent="0.3">
      <c r="A161" s="133"/>
      <c r="C161" s="1829"/>
      <c r="D161" s="1829"/>
      <c r="G161" s="7"/>
      <c r="AA161" s="4"/>
      <c r="AB161" s="4"/>
      <c r="AC161" s="4"/>
      <c r="AD161" s="516"/>
      <c r="AE161" s="516"/>
      <c r="AF161" s="516"/>
      <c r="AG161" s="516"/>
      <c r="AH161" s="516"/>
      <c r="AI161" s="516"/>
      <c r="AJ161" s="516"/>
      <c r="AK161" s="4"/>
      <c r="AU161" s="131"/>
      <c r="AV161" s="131"/>
      <c r="AW161" s="131"/>
      <c r="AX161" s="131"/>
      <c r="AY161" s="131"/>
    </row>
    <row r="162" spans="1:108" s="8" customFormat="1" ht="12" customHeight="1" x14ac:dyDescent="0.3">
      <c r="A162" s="133"/>
      <c r="B162" s="1829" t="s">
        <v>67</v>
      </c>
      <c r="C162" s="1829"/>
      <c r="D162" s="1829"/>
      <c r="G162" s="7"/>
      <c r="K162" s="1365" t="s">
        <v>154</v>
      </c>
      <c r="AA162" s="4"/>
      <c r="AB162" s="4"/>
      <c r="AC162" s="4"/>
      <c r="AD162" s="516"/>
      <c r="AE162" s="516"/>
      <c r="AF162" s="516"/>
      <c r="AG162" s="516"/>
      <c r="AH162" s="516"/>
      <c r="AI162" s="516"/>
      <c r="AJ162" s="516"/>
      <c r="AK162" s="4"/>
      <c r="AU162" s="131"/>
      <c r="AV162" s="131"/>
      <c r="AW162" s="131"/>
      <c r="AX162" s="131"/>
      <c r="AY162" s="131"/>
    </row>
    <row r="163" spans="1:108" s="8" customFormat="1" ht="12" customHeight="1" x14ac:dyDescent="0.35">
      <c r="A163" s="133"/>
      <c r="B163" s="1829"/>
      <c r="D163" s="565" t="s">
        <v>155</v>
      </c>
      <c r="E163" s="17"/>
      <c r="G163" s="7"/>
      <c r="K163" s="1363" t="str">
        <f>IF(DP3=1,"Yes","No")</f>
        <v>No</v>
      </c>
      <c r="X163" s="4"/>
      <c r="Y163" s="4"/>
      <c r="Z163" s="4"/>
      <c r="AA163" s="516"/>
      <c r="AB163" s="516"/>
      <c r="AC163" s="516"/>
      <c r="AD163" s="516"/>
      <c r="AE163" s="516"/>
      <c r="AF163" s="516"/>
      <c r="AG163" s="516"/>
      <c r="AH163" s="4"/>
      <c r="AS163" s="131"/>
      <c r="AT163" s="131"/>
      <c r="AU163" s="131"/>
      <c r="AV163" s="131"/>
      <c r="AW163" s="131"/>
    </row>
    <row r="164" spans="1:108" s="8" customFormat="1" ht="12" customHeight="1" x14ac:dyDescent="0.35">
      <c r="A164" s="133"/>
      <c r="B164" s="280"/>
      <c r="H164" s="131"/>
      <c r="I164" s="566"/>
      <c r="M164" s="1366" t="s">
        <v>156</v>
      </c>
      <c r="N164" s="567"/>
      <c r="O164" s="567"/>
      <c r="P164" s="11"/>
      <c r="Q164" s="11"/>
      <c r="R164" s="11"/>
      <c r="S164" s="11"/>
      <c r="T164" s="11"/>
      <c r="U164" s="11"/>
      <c r="V164" s="11"/>
      <c r="W164" s="11"/>
      <c r="X164" s="4"/>
      <c r="Y164" s="4"/>
      <c r="Z164" s="4"/>
      <c r="AA164" s="516"/>
      <c r="AB164" s="516"/>
      <c r="AC164" s="516"/>
      <c r="AD164" s="516"/>
      <c r="AE164" s="516"/>
      <c r="AF164" s="516"/>
      <c r="AG164" s="516"/>
      <c r="AH164" s="4"/>
      <c r="AI164" s="132"/>
      <c r="AJ164" s="132"/>
      <c r="AK164" s="132"/>
      <c r="AL164" s="132"/>
      <c r="AM164" s="132"/>
      <c r="AN164" s="131"/>
      <c r="AO164" s="131"/>
      <c r="AP164" s="131"/>
      <c r="AQ164" s="131"/>
      <c r="AR164" s="131"/>
      <c r="AS164" s="131"/>
      <c r="AT164" s="131"/>
      <c r="AU164" s="131"/>
    </row>
    <row r="165" spans="1:108" s="8" customFormat="1" ht="12" customHeight="1" thickBot="1" x14ac:dyDescent="0.35">
      <c r="A165" s="133"/>
      <c r="F165" s="558" t="s">
        <v>135</v>
      </c>
      <c r="M165" s="567"/>
      <c r="N165" s="567"/>
      <c r="O165" s="567"/>
      <c r="P165" s="11"/>
      <c r="Q165" s="11"/>
      <c r="R165" s="11"/>
      <c r="S165" s="11"/>
      <c r="T165" s="11"/>
      <c r="U165" s="11"/>
      <c r="V165" s="11"/>
      <c r="W165" s="11"/>
      <c r="X165" s="4"/>
      <c r="Y165" s="4"/>
      <c r="Z165" s="4"/>
      <c r="AA165" s="516"/>
      <c r="AB165" s="516"/>
      <c r="AC165" s="516"/>
      <c r="AD165" s="516"/>
      <c r="AE165" s="516"/>
      <c r="AF165" s="516"/>
      <c r="AG165" s="516"/>
      <c r="AH165" s="4"/>
      <c r="AI165" s="11"/>
      <c r="AJ165" s="11"/>
      <c r="AK165" s="11"/>
      <c r="AL165" s="11"/>
      <c r="AM165" s="11"/>
      <c r="AU165" s="131"/>
    </row>
    <row r="166" spans="1:108" s="11" customFormat="1" ht="12" customHeight="1" thickBot="1" x14ac:dyDescent="0.3">
      <c r="A166" s="1040"/>
      <c r="D166" s="42" t="s">
        <v>18</v>
      </c>
      <c r="E166" s="8"/>
      <c r="F166" s="595">
        <v>2</v>
      </c>
      <c r="G166" s="19" t="s">
        <v>157</v>
      </c>
      <c r="H166" s="19" t="s">
        <v>158</v>
      </c>
      <c r="I166" s="19" t="s">
        <v>137</v>
      </c>
      <c r="J166" s="19" t="s">
        <v>138</v>
      </c>
      <c r="K166" s="19" t="s">
        <v>159</v>
      </c>
      <c r="M166" s="474">
        <f>Infrastructure!H14</f>
        <v>0</v>
      </c>
      <c r="N166" s="474">
        <f>EOMONTH(M166,1)</f>
        <v>59</v>
      </c>
      <c r="O166" s="474">
        <f>EOMONTH(N166,1)</f>
        <v>91</v>
      </c>
      <c r="P166" s="474">
        <f>EOMONTH(O166,1)</f>
        <v>121</v>
      </c>
      <c r="Q166" s="474">
        <f>EOMONTH(P166,1)</f>
        <v>152</v>
      </c>
      <c r="R166" s="474">
        <f>EOMONTH(Q166,1)</f>
        <v>182</v>
      </c>
      <c r="S166" s="474">
        <f>EOMONTH(R166,1)</f>
        <v>213</v>
      </c>
      <c r="T166" s="474">
        <f>EOMONTH(S166,1)</f>
        <v>244</v>
      </c>
      <c r="U166" s="474">
        <f>EOMONTH(T166,1)</f>
        <v>274</v>
      </c>
      <c r="V166" s="474">
        <f>EOMONTH(U166,1)</f>
        <v>305</v>
      </c>
      <c r="W166" s="474">
        <f>EOMONTH(V166,1)</f>
        <v>335</v>
      </c>
      <c r="X166" s="474">
        <f>EOMONTH(W166,1)</f>
        <v>366</v>
      </c>
      <c r="Y166" s="474">
        <f>EOMONTH(X166,1)</f>
        <v>397</v>
      </c>
      <c r="Z166" s="474">
        <f>EOMONTH(Y166,1)</f>
        <v>425</v>
      </c>
      <c r="AA166" s="474">
        <f>EOMONTH(Z166,1)</f>
        <v>456</v>
      </c>
      <c r="AB166" s="474">
        <f>EOMONTH(AA166,1)</f>
        <v>486</v>
      </c>
      <c r="AC166" s="474">
        <f>EOMONTH(AB166,1)</f>
        <v>517</v>
      </c>
      <c r="AD166" s="474">
        <f>EOMONTH(AC166,1)</f>
        <v>547</v>
      </c>
      <c r="AE166" s="474">
        <f>EOMONTH(AD166,1)</f>
        <v>578</v>
      </c>
      <c r="AF166" s="474">
        <f>EOMONTH(AE166,1)</f>
        <v>609</v>
      </c>
      <c r="AG166" s="474">
        <f>EOMONTH(AF166,1)</f>
        <v>639</v>
      </c>
      <c r="AH166" s="474">
        <f>EOMONTH(AG166,1)</f>
        <v>670</v>
      </c>
      <c r="AI166" s="474">
        <f>EOMONTH(AH166,1)</f>
        <v>700</v>
      </c>
      <c r="AJ166" s="474">
        <f>EOMONTH(AI166,1)</f>
        <v>731</v>
      </c>
      <c r="AK166" s="474">
        <f>EOMONTH(AJ166,1)</f>
        <v>762</v>
      </c>
      <c r="AL166" s="474">
        <f>EOMONTH(AK166,1)</f>
        <v>790</v>
      </c>
      <c r="AM166" s="474">
        <f>EOMONTH(AL166,1)</f>
        <v>821</v>
      </c>
      <c r="AN166" s="474">
        <f>EOMONTH(AM166,1)</f>
        <v>851</v>
      </c>
      <c r="AO166" s="474">
        <f>EOMONTH(AN166,1)</f>
        <v>882</v>
      </c>
      <c r="AP166" s="474">
        <f>EOMONTH(AO166,1)</f>
        <v>912</v>
      </c>
      <c r="AQ166" s="474">
        <f>EOMONTH(AP166,1)</f>
        <v>943</v>
      </c>
      <c r="AR166" s="474">
        <f>EOMONTH(AQ166,1)</f>
        <v>974</v>
      </c>
      <c r="AS166" s="474">
        <f>EOMONTH(AR166,1)</f>
        <v>1004</v>
      </c>
      <c r="AT166" s="474">
        <f>EOMONTH(AS166,1)</f>
        <v>1035</v>
      </c>
      <c r="AU166" s="474">
        <f>EOMONTH(AT166,1)</f>
        <v>1065</v>
      </c>
      <c r="AV166" s="474">
        <f>EOMONTH(AU166,1)</f>
        <v>1096</v>
      </c>
      <c r="AW166" s="474">
        <f>EOMONTH(AV166,1)</f>
        <v>1127</v>
      </c>
      <c r="AX166" s="474">
        <f>EOMONTH(AW166,1)</f>
        <v>1155</v>
      </c>
      <c r="AY166" s="474">
        <f>EOMONTH(AX166,1)</f>
        <v>1186</v>
      </c>
      <c r="AZ166" s="474">
        <f>EOMONTH(AY166,1)</f>
        <v>1216</v>
      </c>
      <c r="BA166" s="474">
        <f>EOMONTH(AZ166,1)</f>
        <v>1247</v>
      </c>
      <c r="BB166" s="474">
        <f>EOMONTH(BA166,1)</f>
        <v>1277</v>
      </c>
      <c r="BC166" s="474">
        <f>EOMONTH(BB166,1)</f>
        <v>1308</v>
      </c>
      <c r="BD166" s="474">
        <f>EOMONTH(BC166,1)</f>
        <v>1339</v>
      </c>
      <c r="BE166" s="474">
        <f>EOMONTH(BD166,1)</f>
        <v>1369</v>
      </c>
      <c r="BF166" s="474">
        <f>EOMONTH(BE166,1)</f>
        <v>1400</v>
      </c>
      <c r="BG166" s="474">
        <f>EOMONTH(BF166,1)</f>
        <v>1430</v>
      </c>
      <c r="BH166" s="474">
        <f>EOMONTH(BG166,1)</f>
        <v>1461</v>
      </c>
      <c r="BI166" s="474">
        <f>EOMONTH(BH166,1)</f>
        <v>1492</v>
      </c>
      <c r="BJ166" s="474">
        <f>EOMONTH(BI166,1)</f>
        <v>1521</v>
      </c>
      <c r="BK166" s="474">
        <f>EOMONTH(BJ166,1)</f>
        <v>1552</v>
      </c>
      <c r="BL166" s="474">
        <f>EOMONTH(BK166,1)</f>
        <v>1582</v>
      </c>
      <c r="BM166" s="474">
        <f>EOMONTH(BL166,1)</f>
        <v>1613</v>
      </c>
      <c r="BN166" s="474">
        <f>EOMONTH(BM166,1)</f>
        <v>1643</v>
      </c>
      <c r="BO166" s="474">
        <f>EOMONTH(BN166,1)</f>
        <v>1674</v>
      </c>
      <c r="BP166" s="474">
        <f>EOMONTH(BO166,1)</f>
        <v>1705</v>
      </c>
      <c r="BQ166" s="474">
        <f>EOMONTH(BP166,1)</f>
        <v>1735</v>
      </c>
      <c r="BR166" s="474">
        <f>EOMONTH(BQ166,1)</f>
        <v>1766</v>
      </c>
      <c r="BS166" s="474">
        <f>EOMONTH(BR166,1)</f>
        <v>1796</v>
      </c>
      <c r="BT166" s="474">
        <f>EOMONTH(BS166,1)</f>
        <v>1827</v>
      </c>
      <c r="DD166" s="8"/>
    </row>
    <row r="167" spans="1:108" s="8" customFormat="1" ht="12" customHeight="1" thickBot="1" x14ac:dyDescent="0.4">
      <c r="A167" s="133">
        <v>1</v>
      </c>
      <c r="B167" s="1710" t="str">
        <f>IF(Infrastructure!AI37="Yes","(Unhide selected rows)","")</f>
        <v/>
      </c>
      <c r="C167" s="9" t="str">
        <f>A167&amp;" "</f>
        <v xml:space="preserve">1 </v>
      </c>
      <c r="D167" s="1834" t="inlineStr">
        <is>
          <t>Digital Ads</t>
        </is>
      </c>
      <c r="E167" s="1835"/>
      <c r="F167" s="1836"/>
      <c r="G167" s="597"/>
      <c r="H167" s="588">
        <v>1800</v>
      </c>
      <c r="I167" s="618">
        <v>46418</v>
      </c>
      <c r="J167" s="618">
        <v>48213</v>
      </c>
      <c r="K167" s="593">
        <v>0.03</v>
      </c>
      <c r="M167" s="599"/>
      <c r="N167" s="600"/>
      <c r="O167" s="600"/>
      <c r="P167" s="600"/>
      <c r="Q167" s="600"/>
      <c r="R167" s="600"/>
      <c r="S167" s="600"/>
      <c r="T167" s="600"/>
      <c r="U167" s="600"/>
      <c r="V167" s="600"/>
      <c r="W167" s="600"/>
      <c r="X167" s="600"/>
      <c r="Y167" s="600"/>
      <c r="Z167" s="600"/>
      <c r="AA167" s="600"/>
      <c r="AB167" s="600"/>
      <c r="AC167" s="600"/>
      <c r="AD167" s="600"/>
      <c r="AE167" s="600"/>
      <c r="AF167" s="600"/>
      <c r="AG167" s="600"/>
      <c r="AH167" s="600"/>
      <c r="AI167" s="600"/>
      <c r="AJ167" s="600"/>
      <c r="AK167" s="600"/>
      <c r="AL167" s="600"/>
      <c r="AM167" s="600"/>
      <c r="AN167" s="600"/>
      <c r="AO167" s="600"/>
      <c r="AP167" s="600"/>
      <c r="AQ167" s="600"/>
      <c r="AR167" s="600"/>
      <c r="AS167" s="600"/>
      <c r="AT167" s="600"/>
      <c r="AU167" s="600"/>
      <c r="AV167" s="778"/>
      <c r="AW167" s="588"/>
      <c r="AX167" s="600"/>
      <c r="AY167" s="600"/>
      <c r="AZ167" s="600"/>
      <c r="BA167" s="600"/>
      <c r="BB167" s="600"/>
      <c r="BC167" s="600"/>
      <c r="BD167" s="600"/>
      <c r="BE167" s="600"/>
      <c r="BF167" s="600"/>
      <c r="BG167" s="600"/>
      <c r="BH167" s="600"/>
      <c r="BI167" s="600"/>
      <c r="BJ167" s="600"/>
      <c r="BK167" s="600"/>
      <c r="BL167" s="600"/>
      <c r="BM167" s="600"/>
      <c r="BN167" s="600"/>
      <c r="BO167" s="600"/>
      <c r="BP167" s="600"/>
      <c r="BQ167" s="600"/>
      <c r="BR167" s="600"/>
      <c r="BS167" s="600"/>
      <c r="BT167" s="601"/>
    </row>
    <row r="168" spans="1:108" s="8" customFormat="1" ht="12" customHeight="1" thickBot="1" x14ac:dyDescent="0.4">
      <c r="A168" s="133">
        <v>2</v>
      </c>
      <c r="B168" s="1711" t="str">
        <f>IF(A168&gt;F$166,"{Can hide row}","")</f>
        <v/>
      </c>
      <c r="C168" s="9" t="str">
        <f>A168&amp;" "</f>
        <v xml:space="preserve">2 </v>
      </c>
      <c r="D168" s="1840" t="inlineStr">
        <is>
          <t>Farmers Markets</t>
        </is>
      </c>
      <c r="E168" s="1841"/>
      <c r="F168" s="1842"/>
      <c r="G168" s="598"/>
      <c r="H168" s="589">
        <v>600</v>
      </c>
      <c r="I168" s="621">
        <v>46477</v>
      </c>
      <c r="J168" s="621">
        <v>48213</v>
      </c>
      <c r="K168" s="596">
        <v>0.03</v>
      </c>
      <c r="M168" s="602"/>
      <c r="N168" s="603"/>
      <c r="O168" s="603"/>
      <c r="P168" s="603"/>
      <c r="Q168" s="603"/>
      <c r="R168" s="603"/>
      <c r="S168" s="603"/>
      <c r="T168" s="603"/>
      <c r="U168" s="603"/>
      <c r="V168" s="603"/>
      <c r="W168" s="603"/>
      <c r="X168" s="603"/>
      <c r="Y168" s="603"/>
      <c r="Z168" s="603"/>
      <c r="AA168" s="603"/>
      <c r="AB168" s="603"/>
      <c r="AC168" s="603"/>
      <c r="AD168" s="603"/>
      <c r="AE168" s="603"/>
      <c r="AF168" s="603"/>
      <c r="AG168" s="603"/>
      <c r="AH168" s="603"/>
      <c r="AI168" s="603"/>
      <c r="AJ168" s="603"/>
      <c r="AK168" s="603"/>
      <c r="AL168" s="603"/>
      <c r="AM168" s="603"/>
      <c r="AN168" s="603"/>
      <c r="AO168" s="603"/>
      <c r="AP168" s="603"/>
      <c r="AQ168" s="603"/>
      <c r="AR168" s="603"/>
      <c r="AS168" s="603"/>
      <c r="AT168" s="603"/>
      <c r="AU168" s="603"/>
      <c r="AV168" s="779"/>
      <c r="AW168" s="589"/>
      <c r="AX168" s="603"/>
      <c r="AY168" s="603"/>
      <c r="AZ168" s="603"/>
      <c r="BA168" s="603"/>
      <c r="BB168" s="603"/>
      <c r="BC168" s="603"/>
      <c r="BD168" s="603"/>
      <c r="BE168" s="603"/>
      <c r="BF168" s="603"/>
      <c r="BG168" s="603"/>
      <c r="BH168" s="603"/>
      <c r="BI168" s="603"/>
      <c r="BJ168" s="603"/>
      <c r="BK168" s="603"/>
      <c r="BL168" s="603"/>
      <c r="BM168" s="603"/>
      <c r="BN168" s="603"/>
      <c r="BO168" s="603"/>
      <c r="BP168" s="603"/>
      <c r="BQ168" s="603"/>
      <c r="BR168" s="603"/>
      <c r="BS168" s="603"/>
      <c r="BT168" s="604"/>
    </row>
    <row r="169" spans="1:108" s="8" customFormat="1" ht="12" customHeight="1" thickBot="1" x14ac:dyDescent="0.4" hidden="1">
      <c r="A169" s="133">
        <v>3</v>
      </c>
      <c r="B169" s="1711" t="str">
        <f>IF(A169&gt;F$166,"{Can hide row}","")</f>
        <v/>
      </c>
      <c r="C169" s="9" t="str">
        <f>A169&amp;" "</f>
        <v xml:space="preserve">3 </v>
      </c>
      <c r="D169" s="1840"/>
      <c r="E169" s="1841"/>
      <c r="F169" s="1842"/>
      <c r="G169" s="598"/>
      <c r="H169" s="589"/>
      <c r="I169" s="621"/>
      <c r="J169" s="621"/>
      <c r="K169" s="596"/>
      <c r="M169" s="602"/>
      <c r="N169" s="603"/>
      <c r="O169" s="603"/>
      <c r="P169" s="603"/>
      <c r="Q169" s="603"/>
      <c r="R169" s="603"/>
      <c r="S169" s="603"/>
      <c r="T169" s="603"/>
      <c r="U169" s="603"/>
      <c r="V169" s="603"/>
      <c r="W169" s="603"/>
      <c r="X169" s="603"/>
      <c r="Y169" s="603"/>
      <c r="Z169" s="603"/>
      <c r="AA169" s="603"/>
      <c r="AB169" s="603"/>
      <c r="AC169" s="603"/>
      <c r="AD169" s="603"/>
      <c r="AE169" s="603"/>
      <c r="AF169" s="603"/>
      <c r="AG169" s="603"/>
      <c r="AH169" s="603"/>
      <c r="AI169" s="603"/>
      <c r="AJ169" s="603"/>
      <c r="AK169" s="603"/>
      <c r="AL169" s="603"/>
      <c r="AM169" s="603"/>
      <c r="AN169" s="603"/>
      <c r="AO169" s="603"/>
      <c r="AP169" s="603"/>
      <c r="AQ169" s="603"/>
      <c r="AR169" s="603"/>
      <c r="AS169" s="603"/>
      <c r="AT169" s="603"/>
      <c r="AU169" s="603"/>
      <c r="AV169" s="779"/>
      <c r="AW169" s="589"/>
      <c r="AX169" s="603"/>
      <c r="AY169" s="603"/>
      <c r="AZ169" s="603"/>
      <c r="BA169" s="603"/>
      <c r="BB169" s="603"/>
      <c r="BC169" s="603"/>
      <c r="BD169" s="603"/>
      <c r="BE169" s="603"/>
      <c r="BF169" s="603"/>
      <c r="BG169" s="603"/>
      <c r="BH169" s="603"/>
      <c r="BI169" s="603"/>
      <c r="BJ169" s="603"/>
      <c r="BK169" s="603"/>
      <c r="BL169" s="603"/>
      <c r="BM169" s="603"/>
      <c r="BN169" s="603"/>
      <c r="BO169" s="603"/>
      <c r="BP169" s="603"/>
      <c r="BQ169" s="603"/>
      <c r="BR169" s="603"/>
      <c r="BS169" s="603"/>
      <c r="BT169" s="604"/>
    </row>
    <row r="170" spans="1:108" s="8" customFormat="1" ht="12" customHeight="1" thickBot="1" x14ac:dyDescent="0.4" hidden="1">
      <c r="A170" s="133">
        <v>4</v>
      </c>
      <c r="B170" s="1711" t="str">
        <f>IF(A170&gt;F$166,"{Can hide row}","")</f>
        <v/>
      </c>
      <c r="C170" s="9" t="str">
        <f>A170&amp;" "</f>
        <v xml:space="preserve">4 </v>
      </c>
      <c r="D170" s="1840"/>
      <c r="E170" s="1841"/>
      <c r="F170" s="1842"/>
      <c r="G170" s="598"/>
      <c r="H170" s="589"/>
      <c r="I170" s="621"/>
      <c r="J170" s="621"/>
      <c r="K170" s="596"/>
      <c r="M170" s="602"/>
      <c r="N170" s="603"/>
      <c r="O170" s="603"/>
      <c r="P170" s="603"/>
      <c r="Q170" s="603"/>
      <c r="R170" s="603"/>
      <c r="S170" s="603"/>
      <c r="T170" s="603"/>
      <c r="U170" s="603"/>
      <c r="V170" s="603"/>
      <c r="W170" s="603"/>
      <c r="X170" s="603"/>
      <c r="Y170" s="603"/>
      <c r="Z170" s="603"/>
      <c r="AA170" s="603"/>
      <c r="AB170" s="603"/>
      <c r="AC170" s="603"/>
      <c r="AD170" s="603"/>
      <c r="AE170" s="603"/>
      <c r="AF170" s="603"/>
      <c r="AG170" s="603"/>
      <c r="AH170" s="603"/>
      <c r="AI170" s="603"/>
      <c r="AJ170" s="603"/>
      <c r="AK170" s="603"/>
      <c r="AL170" s="603"/>
      <c r="AM170" s="603"/>
      <c r="AN170" s="603"/>
      <c r="AO170" s="603"/>
      <c r="AP170" s="603"/>
      <c r="AQ170" s="603"/>
      <c r="AR170" s="603"/>
      <c r="AS170" s="603"/>
      <c r="AT170" s="603"/>
      <c r="AU170" s="603"/>
      <c r="AV170" s="779"/>
      <c r="AW170" s="589"/>
      <c r="AX170" s="603"/>
      <c r="AY170" s="603"/>
      <c r="AZ170" s="603"/>
      <c r="BA170" s="603"/>
      <c r="BB170" s="603"/>
      <c r="BC170" s="603"/>
      <c r="BD170" s="603"/>
      <c r="BE170" s="603"/>
      <c r="BF170" s="603"/>
      <c r="BG170" s="603"/>
      <c r="BH170" s="603"/>
      <c r="BI170" s="603"/>
      <c r="BJ170" s="603"/>
      <c r="BK170" s="603"/>
      <c r="BL170" s="603"/>
      <c r="BM170" s="603"/>
      <c r="BN170" s="603"/>
      <c r="BO170" s="603"/>
      <c r="BP170" s="603"/>
      <c r="BQ170" s="603"/>
      <c r="BR170" s="603"/>
      <c r="BS170" s="603"/>
      <c r="BT170" s="604"/>
    </row>
    <row r="171" spans="1:108" s="8" customFormat="1" ht="12" customHeight="1" thickBot="1" x14ac:dyDescent="0.4" hidden="1">
      <c r="A171" s="133">
        <v>5</v>
      </c>
      <c r="B171" s="1711" t="str">
        <f>IF(A171&gt;F$166,"{Can hide row}","")</f>
        <v/>
      </c>
      <c r="C171" s="9" t="str">
        <f>A171&amp;" "</f>
        <v xml:space="preserve">5 </v>
      </c>
      <c r="D171" s="1840"/>
      <c r="E171" s="1841"/>
      <c r="F171" s="1842"/>
      <c r="G171" s="598"/>
      <c r="H171" s="589"/>
      <c r="I171" s="621"/>
      <c r="J171" s="621"/>
      <c r="K171" s="596"/>
      <c r="M171" s="602"/>
      <c r="N171" s="603"/>
      <c r="O171" s="603"/>
      <c r="P171" s="603"/>
      <c r="Q171" s="603"/>
      <c r="R171" s="603"/>
      <c r="S171" s="603"/>
      <c r="T171" s="603"/>
      <c r="U171" s="603"/>
      <c r="V171" s="603"/>
      <c r="W171" s="603"/>
      <c r="X171" s="603"/>
      <c r="Y171" s="603"/>
      <c r="Z171" s="603"/>
      <c r="AA171" s="603"/>
      <c r="AB171" s="603"/>
      <c r="AC171" s="603"/>
      <c r="AD171" s="603"/>
      <c r="AE171" s="603"/>
      <c r="AF171" s="603"/>
      <c r="AG171" s="603"/>
      <c r="AH171" s="603"/>
      <c r="AI171" s="603"/>
      <c r="AJ171" s="603"/>
      <c r="AK171" s="603"/>
      <c r="AL171" s="603"/>
      <c r="AM171" s="603"/>
      <c r="AN171" s="603"/>
      <c r="AO171" s="603"/>
      <c r="AP171" s="603"/>
      <c r="AQ171" s="603"/>
      <c r="AR171" s="603"/>
      <c r="AS171" s="603"/>
      <c r="AT171" s="603"/>
      <c r="AU171" s="603"/>
      <c r="AV171" s="779"/>
      <c r="AW171" s="589"/>
      <c r="AX171" s="603"/>
      <c r="AY171" s="603"/>
      <c r="AZ171" s="603"/>
      <c r="BA171" s="603"/>
      <c r="BB171" s="603"/>
      <c r="BC171" s="603"/>
      <c r="BD171" s="603"/>
      <c r="BE171" s="603"/>
      <c r="BF171" s="603"/>
      <c r="BG171" s="603"/>
      <c r="BH171" s="603"/>
      <c r="BI171" s="603"/>
      <c r="BJ171" s="603"/>
      <c r="BK171" s="603"/>
      <c r="BL171" s="603"/>
      <c r="BM171" s="603"/>
      <c r="BN171" s="603"/>
      <c r="BO171" s="603"/>
      <c r="BP171" s="603"/>
      <c r="BQ171" s="603"/>
      <c r="BR171" s="603"/>
      <c r="BS171" s="603"/>
      <c r="BT171" s="604"/>
    </row>
    <row r="172" spans="1:108" s="8" customFormat="1" ht="12" hidden="1" customHeight="1" thickBot="1" x14ac:dyDescent="0.4">
      <c r="A172" s="133">
        <v>6</v>
      </c>
      <c r="B172" s="1711" t="str">
        <f>IF(A172&gt;F$166,"{Can hide row}","")</f>
        <v>{Can hide row}</v>
      </c>
      <c r="C172" s="9" t="str">
        <f>A172&amp;" "</f>
        <v xml:space="preserve">6 </v>
      </c>
      <c r="D172" s="1840"/>
      <c r="E172" s="1841"/>
      <c r="F172" s="1842"/>
      <c r="G172" s="598"/>
      <c r="H172" s="589"/>
      <c r="I172" s="621"/>
      <c r="J172" s="621"/>
      <c r="K172" s="596"/>
      <c r="M172" s="602"/>
      <c r="N172" s="603"/>
      <c r="O172" s="603"/>
      <c r="P172" s="603"/>
      <c r="Q172" s="603"/>
      <c r="R172" s="603"/>
      <c r="S172" s="603"/>
      <c r="T172" s="603"/>
      <c r="U172" s="603"/>
      <c r="V172" s="603"/>
      <c r="W172" s="603"/>
      <c r="X172" s="603"/>
      <c r="Y172" s="603"/>
      <c r="Z172" s="603"/>
      <c r="AA172" s="603"/>
      <c r="AB172" s="603"/>
      <c r="AC172" s="603"/>
      <c r="AD172" s="603"/>
      <c r="AE172" s="603"/>
      <c r="AF172" s="603"/>
      <c r="AG172" s="603"/>
      <c r="AH172" s="603"/>
      <c r="AI172" s="603"/>
      <c r="AJ172" s="603"/>
      <c r="AK172" s="603"/>
      <c r="AL172" s="603"/>
      <c r="AM172" s="603"/>
      <c r="AN172" s="603"/>
      <c r="AO172" s="603"/>
      <c r="AP172" s="603"/>
      <c r="AQ172" s="603"/>
      <c r="AR172" s="603"/>
      <c r="AS172" s="603"/>
      <c r="AT172" s="603"/>
      <c r="AU172" s="603"/>
      <c r="AV172" s="779"/>
      <c r="AW172" s="589"/>
      <c r="AX172" s="603"/>
      <c r="AY172" s="603"/>
      <c r="AZ172" s="603"/>
      <c r="BA172" s="603"/>
      <c r="BB172" s="603"/>
      <c r="BC172" s="603"/>
      <c r="BD172" s="603"/>
      <c r="BE172" s="603"/>
      <c r="BF172" s="603"/>
      <c r="BG172" s="603"/>
      <c r="BH172" s="603"/>
      <c r="BI172" s="603"/>
      <c r="BJ172" s="603"/>
      <c r="BK172" s="603"/>
      <c r="BL172" s="603"/>
      <c r="BM172" s="603"/>
      <c r="BN172" s="603"/>
      <c r="BO172" s="603"/>
      <c r="BP172" s="603"/>
      <c r="BQ172" s="603"/>
      <c r="BR172" s="603"/>
      <c r="BS172" s="603"/>
      <c r="BT172" s="604"/>
    </row>
    <row r="173" spans="1:108" s="8" customFormat="1" ht="12" hidden="1" customHeight="1" thickBot="1" x14ac:dyDescent="0.4">
      <c r="A173" s="133">
        <v>7</v>
      </c>
      <c r="B173" s="1711" t="str">
        <f>IF(A173&gt;F$166,"{Can hide row}","")</f>
        <v>{Can hide row}</v>
      </c>
      <c r="C173" s="9" t="str">
        <f>A173&amp;" "</f>
        <v xml:space="preserve">7 </v>
      </c>
      <c r="D173" s="1840"/>
      <c r="E173" s="1841"/>
      <c r="F173" s="1842"/>
      <c r="G173" s="598"/>
      <c r="H173" s="589"/>
      <c r="I173" s="621"/>
      <c r="J173" s="621"/>
      <c r="K173" s="596"/>
      <c r="M173" s="602"/>
      <c r="N173" s="603"/>
      <c r="O173" s="603"/>
      <c r="P173" s="603"/>
      <c r="Q173" s="603"/>
      <c r="R173" s="603"/>
      <c r="S173" s="603"/>
      <c r="T173" s="603"/>
      <c r="U173" s="603"/>
      <c r="V173" s="603"/>
      <c r="W173" s="603"/>
      <c r="X173" s="603"/>
      <c r="Y173" s="603"/>
      <c r="Z173" s="603"/>
      <c r="AA173" s="603"/>
      <c r="AB173" s="603"/>
      <c r="AC173" s="603"/>
      <c r="AD173" s="603"/>
      <c r="AE173" s="603"/>
      <c r="AF173" s="603"/>
      <c r="AG173" s="603"/>
      <c r="AH173" s="603"/>
      <c r="AI173" s="603"/>
      <c r="AJ173" s="603"/>
      <c r="AK173" s="603"/>
      <c r="AL173" s="603"/>
      <c r="AM173" s="603"/>
      <c r="AN173" s="603"/>
      <c r="AO173" s="603"/>
      <c r="AP173" s="603"/>
      <c r="AQ173" s="603"/>
      <c r="AR173" s="603"/>
      <c r="AS173" s="603"/>
      <c r="AT173" s="603"/>
      <c r="AU173" s="603"/>
      <c r="AV173" s="779"/>
      <c r="AW173" s="589"/>
      <c r="AX173" s="603"/>
      <c r="AY173" s="603"/>
      <c r="AZ173" s="603"/>
      <c r="BA173" s="603"/>
      <c r="BB173" s="603"/>
      <c r="BC173" s="603"/>
      <c r="BD173" s="603"/>
      <c r="BE173" s="603"/>
      <c r="BF173" s="603"/>
      <c r="BG173" s="603"/>
      <c r="BH173" s="603"/>
      <c r="BI173" s="603"/>
      <c r="BJ173" s="603"/>
      <c r="BK173" s="603"/>
      <c r="BL173" s="603"/>
      <c r="BM173" s="603"/>
      <c r="BN173" s="603"/>
      <c r="BO173" s="603"/>
      <c r="BP173" s="603"/>
      <c r="BQ173" s="603"/>
      <c r="BR173" s="603"/>
      <c r="BS173" s="603"/>
      <c r="BT173" s="604"/>
    </row>
    <row r="174" spans="1:108" s="8" customFormat="1" ht="12" hidden="1" customHeight="1" thickBot="1" x14ac:dyDescent="0.4">
      <c r="A174" s="133">
        <v>8</v>
      </c>
      <c r="B174" s="1711" t="str">
        <f>IF(A174&gt;F$166,"{Can hide row}","")</f>
        <v>{Can hide row}</v>
      </c>
      <c r="C174" s="9" t="str">
        <f>A174&amp;" "</f>
        <v xml:space="preserve">8 </v>
      </c>
      <c r="D174" s="1840"/>
      <c r="E174" s="1841"/>
      <c r="F174" s="1842"/>
      <c r="G174" s="598"/>
      <c r="H174" s="589"/>
      <c r="I174" s="621"/>
      <c r="J174" s="621"/>
      <c r="K174" s="596"/>
      <c r="M174" s="602"/>
      <c r="N174" s="603"/>
      <c r="O174" s="603"/>
      <c r="P174" s="603"/>
      <c r="Q174" s="603"/>
      <c r="R174" s="603"/>
      <c r="S174" s="603"/>
      <c r="T174" s="603"/>
      <c r="U174" s="603"/>
      <c r="V174" s="603"/>
      <c r="W174" s="603"/>
      <c r="X174" s="603"/>
      <c r="Y174" s="603"/>
      <c r="Z174" s="603"/>
      <c r="AA174" s="603"/>
      <c r="AB174" s="603"/>
      <c r="AC174" s="603"/>
      <c r="AD174" s="603"/>
      <c r="AE174" s="603"/>
      <c r="AF174" s="603"/>
      <c r="AG174" s="603"/>
      <c r="AH174" s="603"/>
      <c r="AI174" s="603"/>
      <c r="AJ174" s="603"/>
      <c r="AK174" s="603"/>
      <c r="AL174" s="603"/>
      <c r="AM174" s="603"/>
      <c r="AN174" s="603"/>
      <c r="AO174" s="603"/>
      <c r="AP174" s="603"/>
      <c r="AQ174" s="603"/>
      <c r="AR174" s="603"/>
      <c r="AS174" s="603"/>
      <c r="AT174" s="603"/>
      <c r="AU174" s="603"/>
      <c r="AV174" s="779"/>
      <c r="AW174" s="589"/>
      <c r="AX174" s="603"/>
      <c r="AY174" s="603"/>
      <c r="AZ174" s="603"/>
      <c r="BA174" s="603"/>
      <c r="BB174" s="603"/>
      <c r="BC174" s="603"/>
      <c r="BD174" s="603"/>
      <c r="BE174" s="603"/>
      <c r="BF174" s="603"/>
      <c r="BG174" s="603"/>
      <c r="BH174" s="603"/>
      <c r="BI174" s="603"/>
      <c r="BJ174" s="603"/>
      <c r="BK174" s="603"/>
      <c r="BL174" s="603"/>
      <c r="BM174" s="603"/>
      <c r="BN174" s="603"/>
      <c r="BO174" s="603"/>
      <c r="BP174" s="603"/>
      <c r="BQ174" s="603"/>
      <c r="BR174" s="603"/>
      <c r="BS174" s="603"/>
      <c r="BT174" s="604"/>
    </row>
    <row r="175" spans="1:108" s="8" customFormat="1" ht="12" hidden="1" customHeight="1" thickBot="1" x14ac:dyDescent="0.4">
      <c r="A175" s="133">
        <v>9</v>
      </c>
      <c r="B175" s="1711" t="str">
        <f>IF(A175&gt;F$166,"{Can hide row}","")</f>
        <v>{Can hide row}</v>
      </c>
      <c r="C175" s="9" t="str">
        <f>A175&amp;" "</f>
        <v xml:space="preserve">9 </v>
      </c>
      <c r="D175" s="1840"/>
      <c r="E175" s="1841"/>
      <c r="F175" s="1842"/>
      <c r="G175" s="598"/>
      <c r="H175" s="589"/>
      <c r="I175" s="621"/>
      <c r="J175" s="621"/>
      <c r="K175" s="596"/>
      <c r="M175" s="602"/>
      <c r="N175" s="603"/>
      <c r="O175" s="603"/>
      <c r="P175" s="603"/>
      <c r="Q175" s="603"/>
      <c r="R175" s="603"/>
      <c r="S175" s="603"/>
      <c r="T175" s="603"/>
      <c r="U175" s="603"/>
      <c r="V175" s="603"/>
      <c r="W175" s="603"/>
      <c r="X175" s="603"/>
      <c r="Y175" s="603"/>
      <c r="Z175" s="603"/>
      <c r="AA175" s="603"/>
      <c r="AB175" s="603"/>
      <c r="AC175" s="603"/>
      <c r="AD175" s="603"/>
      <c r="AE175" s="603"/>
      <c r="AF175" s="603"/>
      <c r="AG175" s="603"/>
      <c r="AH175" s="603"/>
      <c r="AI175" s="603"/>
      <c r="AJ175" s="603"/>
      <c r="AK175" s="603"/>
      <c r="AL175" s="603"/>
      <c r="AM175" s="603"/>
      <c r="AN175" s="603"/>
      <c r="AO175" s="603"/>
      <c r="AP175" s="603"/>
      <c r="AQ175" s="603"/>
      <c r="AR175" s="603"/>
      <c r="AS175" s="603"/>
      <c r="AT175" s="603"/>
      <c r="AU175" s="603"/>
      <c r="AV175" s="779"/>
      <c r="AW175" s="589"/>
      <c r="AX175" s="603"/>
      <c r="AY175" s="603"/>
      <c r="AZ175" s="603"/>
      <c r="BA175" s="603"/>
      <c r="BB175" s="603"/>
      <c r="BC175" s="603"/>
      <c r="BD175" s="603"/>
      <c r="BE175" s="603"/>
      <c r="BF175" s="603"/>
      <c r="BG175" s="603"/>
      <c r="BH175" s="603"/>
      <c r="BI175" s="603"/>
      <c r="BJ175" s="603"/>
      <c r="BK175" s="603"/>
      <c r="BL175" s="603"/>
      <c r="BM175" s="603"/>
      <c r="BN175" s="603"/>
      <c r="BO175" s="603"/>
      <c r="BP175" s="603"/>
      <c r="BQ175" s="603"/>
      <c r="BR175" s="603"/>
      <c r="BS175" s="603"/>
      <c r="BT175" s="604"/>
    </row>
    <row r="176" spans="1:108" s="8" customFormat="1" ht="12" hidden="1" customHeight="1" thickBot="1" x14ac:dyDescent="0.4">
      <c r="A176" s="133">
        <v>10</v>
      </c>
      <c r="B176" s="1711" t="str">
        <f>IF(A176&gt;F$166,"{Can hide row}","")</f>
        <v>{Can hide row}</v>
      </c>
      <c r="C176" s="9" t="str">
        <f>A176&amp;" "</f>
        <v xml:space="preserve">10 </v>
      </c>
      <c r="D176" s="1840"/>
      <c r="E176" s="1841"/>
      <c r="F176" s="1842"/>
      <c r="G176" s="598"/>
      <c r="H176" s="589"/>
      <c r="I176" s="621"/>
      <c r="J176" s="621"/>
      <c r="K176" s="596"/>
      <c r="M176" s="602"/>
      <c r="N176" s="603"/>
      <c r="O176" s="603"/>
      <c r="P176" s="603"/>
      <c r="Q176" s="603"/>
      <c r="R176" s="603"/>
      <c r="S176" s="603"/>
      <c r="T176" s="603"/>
      <c r="U176" s="603"/>
      <c r="V176" s="603"/>
      <c r="W176" s="603"/>
      <c r="X176" s="603"/>
      <c r="Y176" s="603"/>
      <c r="Z176" s="603"/>
      <c r="AA176" s="603"/>
      <c r="AB176" s="603"/>
      <c r="AC176" s="603"/>
      <c r="AD176" s="603"/>
      <c r="AE176" s="603"/>
      <c r="AF176" s="603"/>
      <c r="AG176" s="603"/>
      <c r="AH176" s="603"/>
      <c r="AI176" s="603"/>
      <c r="AJ176" s="603"/>
      <c r="AK176" s="603"/>
      <c r="AL176" s="603"/>
      <c r="AM176" s="603"/>
      <c r="AN176" s="603"/>
      <c r="AO176" s="603"/>
      <c r="AP176" s="603"/>
      <c r="AQ176" s="603"/>
      <c r="AR176" s="603"/>
      <c r="AS176" s="603"/>
      <c r="AT176" s="603"/>
      <c r="AU176" s="603"/>
      <c r="AV176" s="779"/>
      <c r="AW176" s="589"/>
      <c r="AX176" s="603"/>
      <c r="AY176" s="603"/>
      <c r="AZ176" s="603"/>
      <c r="BA176" s="603"/>
      <c r="BB176" s="603"/>
      <c r="BC176" s="603"/>
      <c r="BD176" s="603"/>
      <c r="BE176" s="603"/>
      <c r="BF176" s="603"/>
      <c r="BG176" s="603"/>
      <c r="BH176" s="603"/>
      <c r="BI176" s="603"/>
      <c r="BJ176" s="603"/>
      <c r="BK176" s="603"/>
      <c r="BL176" s="603"/>
      <c r="BM176" s="603"/>
      <c r="BN176" s="603"/>
      <c r="BO176" s="603"/>
      <c r="BP176" s="603"/>
      <c r="BQ176" s="603"/>
      <c r="BR176" s="603"/>
      <c r="BS176" s="603"/>
      <c r="BT176" s="604"/>
    </row>
    <row r="177" spans="1:108" s="116" customFormat="1" ht="12" customHeight="1" x14ac:dyDescent="0.3">
      <c r="A177" s="1041"/>
      <c r="D177" s="448"/>
      <c r="E177" s="448"/>
      <c r="F177" s="448"/>
      <c r="G177" s="448"/>
      <c r="H177" s="448"/>
      <c r="I177" s="448"/>
      <c r="J177" s="448"/>
      <c r="K177" s="448"/>
      <c r="M177" s="449"/>
      <c r="N177" s="449"/>
      <c r="O177" s="449"/>
      <c r="P177" s="449"/>
      <c r="Q177" s="449"/>
      <c r="R177" s="449"/>
      <c r="S177" s="449"/>
      <c r="T177" s="449"/>
      <c r="U177" s="449"/>
      <c r="V177" s="449"/>
      <c r="W177" s="449"/>
      <c r="X177" s="4"/>
      <c r="Y177" s="4"/>
      <c r="Z177" s="4"/>
      <c r="AA177" s="516"/>
      <c r="AB177" s="516"/>
      <c r="AC177" s="516"/>
      <c r="AD177" s="516"/>
      <c r="AE177" s="516"/>
      <c r="AF177" s="516"/>
      <c r="AG177" s="516"/>
      <c r="AH177" s="4"/>
      <c r="AI177" s="449"/>
      <c r="AJ177" s="449"/>
      <c r="AK177" s="449"/>
      <c r="AL177" s="449"/>
      <c r="AM177" s="449"/>
      <c r="AN177" s="449"/>
      <c r="AO177" s="449"/>
      <c r="AP177" s="449"/>
      <c r="AQ177" s="449"/>
      <c r="AR177" s="449"/>
      <c r="AS177" s="449"/>
      <c r="AT177" s="449"/>
      <c r="AU177" s="449"/>
      <c r="AV177" s="449"/>
      <c r="AW177" s="448"/>
      <c r="AX177" s="449"/>
      <c r="AY177" s="449"/>
      <c r="AZ177" s="449"/>
      <c r="BA177" s="449"/>
      <c r="BB177" s="449"/>
      <c r="BC177" s="449"/>
      <c r="BD177" s="449"/>
      <c r="BE177" s="449"/>
      <c r="BF177" s="449"/>
      <c r="BG177" s="449"/>
      <c r="BH177" s="449"/>
      <c r="BI177" s="449"/>
      <c r="BJ177" s="449"/>
      <c r="BK177" s="449"/>
      <c r="BL177" s="449"/>
      <c r="BM177" s="449"/>
      <c r="BN177" s="449"/>
      <c r="BO177" s="449"/>
      <c r="BP177" s="449"/>
      <c r="BQ177" s="449"/>
      <c r="BR177" s="449"/>
      <c r="BS177" s="449"/>
      <c r="BT177" s="449"/>
      <c r="DD177" s="8"/>
    </row>
    <row r="178" spans="1:108" s="116" customFormat="1" ht="12" customHeight="1" x14ac:dyDescent="0.35">
      <c r="A178" s="1041"/>
      <c r="M178" s="565"/>
      <c r="N178" s="117"/>
      <c r="O178" s="117"/>
      <c r="P178" s="117"/>
      <c r="Q178" s="117"/>
      <c r="R178" s="117"/>
      <c r="S178" s="117"/>
      <c r="T178" s="117"/>
      <c r="U178" s="117"/>
      <c r="V178" s="117"/>
      <c r="W178" s="117"/>
      <c r="X178" s="4"/>
      <c r="Y178" s="4"/>
      <c r="Z178" s="4"/>
      <c r="AA178" s="516"/>
      <c r="AB178" s="516"/>
      <c r="AC178" s="516"/>
      <c r="AD178" s="516"/>
      <c r="AE178" s="516"/>
      <c r="AF178" s="516"/>
      <c r="AG178" s="516"/>
      <c r="AH178" s="4"/>
      <c r="AI178" s="117"/>
      <c r="AJ178" s="117"/>
      <c r="AK178" s="117"/>
      <c r="AL178" s="117"/>
      <c r="AM178" s="117"/>
      <c r="AN178" s="117"/>
      <c r="AO178" s="117"/>
      <c r="AP178" s="117"/>
      <c r="AQ178" s="117"/>
      <c r="AR178" s="117"/>
      <c r="AS178" s="117"/>
      <c r="AT178" s="117"/>
      <c r="AU178" s="117"/>
      <c r="AV178" s="117"/>
      <c r="AX178" s="117"/>
      <c r="AY178" s="117"/>
      <c r="AZ178" s="117"/>
      <c r="BA178" s="117"/>
      <c r="BB178" s="117"/>
      <c r="BC178" s="117"/>
      <c r="BD178" s="117"/>
      <c r="BE178" s="117"/>
      <c r="BF178" s="117"/>
      <c r="BG178" s="117"/>
      <c r="BH178" s="117"/>
      <c r="BI178" s="117"/>
      <c r="BJ178" s="117"/>
      <c r="BK178" s="117"/>
      <c r="BL178" s="117"/>
      <c r="BM178" s="117"/>
      <c r="BN178" s="117"/>
      <c r="BO178" s="117"/>
      <c r="BP178" s="117"/>
      <c r="BQ178" s="117"/>
      <c r="BR178" s="117"/>
      <c r="BS178" s="117"/>
      <c r="BT178" s="117"/>
      <c r="DD178" s="8"/>
    </row>
    <row r="179" spans="1:108" s="116" customFormat="1" ht="12" customHeight="1" x14ac:dyDescent="0.45">
      <c r="A179" s="1041"/>
      <c r="D179" s="18"/>
      <c r="E179" s="18"/>
      <c r="K179" s="1365" t="s">
        <v>154</v>
      </c>
      <c r="M179" s="565"/>
      <c r="N179" s="117"/>
      <c r="O179" s="117"/>
      <c r="P179" s="117"/>
      <c r="Q179" s="117"/>
      <c r="R179" s="117"/>
      <c r="S179" s="117"/>
      <c r="T179" s="117"/>
      <c r="U179" s="117"/>
      <c r="V179" s="117"/>
      <c r="W179" s="117"/>
      <c r="X179" s="4"/>
      <c r="Y179" s="4"/>
      <c r="Z179" s="4"/>
      <c r="AA179" s="516"/>
      <c r="AB179" s="516"/>
      <c r="AC179" s="516"/>
      <c r="AD179" s="516"/>
      <c r="AE179" s="516"/>
      <c r="AF179" s="516"/>
      <c r="AG179" s="516"/>
      <c r="AH179" s="4"/>
      <c r="AI179" s="117"/>
      <c r="AJ179" s="117"/>
      <c r="AK179" s="117"/>
      <c r="AL179" s="117"/>
      <c r="AM179" s="117"/>
      <c r="AN179" s="117"/>
      <c r="AO179" s="117"/>
      <c r="AP179" s="117"/>
      <c r="AQ179" s="117"/>
      <c r="AR179" s="117"/>
      <c r="AS179" s="117"/>
      <c r="AT179" s="117"/>
      <c r="AU179" s="117"/>
      <c r="AV179" s="117"/>
      <c r="AX179" s="117"/>
      <c r="AY179" s="117"/>
      <c r="AZ179" s="117"/>
      <c r="BA179" s="117"/>
      <c r="BB179" s="117"/>
      <c r="BC179" s="117"/>
      <c r="BD179" s="117"/>
      <c r="BE179" s="117"/>
      <c r="BF179" s="117"/>
      <c r="BG179" s="117"/>
      <c r="BH179" s="117"/>
      <c r="BI179" s="117"/>
      <c r="BJ179" s="117"/>
      <c r="BK179" s="117"/>
      <c r="BL179" s="117"/>
      <c r="BM179" s="117"/>
      <c r="BN179" s="117"/>
      <c r="BO179" s="117"/>
      <c r="BP179" s="117"/>
      <c r="BQ179" s="117"/>
      <c r="BR179" s="117"/>
      <c r="BS179" s="117"/>
      <c r="BT179" s="117"/>
      <c r="DD179" s="8"/>
    </row>
    <row r="180" spans="1:108" s="116" customFormat="1" ht="12" customHeight="1" x14ac:dyDescent="0.45">
      <c r="A180" s="1041"/>
      <c r="D180" s="565" t="s">
        <v>155</v>
      </c>
      <c r="E180" s="18"/>
      <c r="K180" s="1363" t="str">
        <f>IF(DS3=1,"Yes","No")</f>
        <v>No</v>
      </c>
      <c r="M180" s="117"/>
      <c r="N180" s="117"/>
      <c r="O180" s="117"/>
      <c r="P180" s="117"/>
      <c r="Q180" s="117"/>
      <c r="R180" s="117"/>
      <c r="S180" s="117"/>
      <c r="T180" s="117"/>
      <c r="U180" s="117"/>
      <c r="V180" s="117"/>
      <c r="W180" s="117"/>
      <c r="X180" s="4"/>
      <c r="Y180" s="4"/>
      <c r="Z180" s="4"/>
      <c r="AA180" s="516"/>
      <c r="AB180" s="516"/>
      <c r="AC180" s="516"/>
      <c r="AD180" s="516"/>
      <c r="AE180" s="516"/>
      <c r="AF180" s="516"/>
      <c r="AG180" s="516"/>
      <c r="AH180" s="4"/>
      <c r="AI180" s="117"/>
      <c r="AJ180" s="117"/>
      <c r="AK180" s="117"/>
      <c r="AL180" s="117"/>
      <c r="AM180" s="117"/>
      <c r="AN180" s="117"/>
      <c r="AO180" s="117"/>
      <c r="AP180" s="117"/>
      <c r="AQ180" s="117"/>
      <c r="AR180" s="117"/>
      <c r="AS180" s="117"/>
      <c r="AT180" s="117"/>
      <c r="AU180" s="117"/>
      <c r="AV180" s="117"/>
      <c r="AX180" s="117"/>
      <c r="AY180" s="117"/>
      <c r="AZ180" s="117"/>
      <c r="BA180" s="117"/>
      <c r="BB180" s="117"/>
      <c r="BC180" s="117"/>
      <c r="BD180" s="117"/>
      <c r="BE180" s="117"/>
      <c r="BF180" s="117"/>
      <c r="BG180" s="117"/>
      <c r="BH180" s="117"/>
      <c r="BI180" s="117"/>
      <c r="BJ180" s="117"/>
      <c r="BK180" s="117"/>
      <c r="BL180" s="117"/>
      <c r="BM180" s="117"/>
      <c r="BN180" s="117"/>
      <c r="BO180" s="117"/>
      <c r="BP180" s="117"/>
      <c r="BQ180" s="117"/>
      <c r="BR180" s="117"/>
      <c r="BS180" s="117"/>
      <c r="BT180" s="117"/>
      <c r="DD180" s="8"/>
    </row>
    <row r="181" spans="1:108" s="116" customFormat="1" ht="12" customHeight="1" x14ac:dyDescent="0.45">
      <c r="A181" s="1041"/>
      <c r="D181" s="18"/>
      <c r="E181" s="18"/>
      <c r="K181" s="8"/>
      <c r="M181" s="565" t="s">
        <v>160</v>
      </c>
      <c r="N181" s="8"/>
      <c r="O181" s="8"/>
      <c r="P181" s="117"/>
      <c r="Q181" s="117"/>
      <c r="R181" s="117"/>
      <c r="S181" s="117"/>
      <c r="T181" s="117"/>
      <c r="U181" s="117"/>
      <c r="V181" s="117"/>
      <c r="W181" s="117"/>
      <c r="X181" s="4"/>
      <c r="Y181" s="4"/>
      <c r="Z181" s="4"/>
      <c r="AA181" s="516"/>
      <c r="AB181" s="516"/>
      <c r="AC181" s="516"/>
      <c r="AD181" s="516"/>
      <c r="AE181" s="516"/>
      <c r="AF181" s="516"/>
      <c r="AG181" s="516"/>
      <c r="AH181" s="4"/>
      <c r="AI181" s="117"/>
      <c r="AJ181" s="117"/>
      <c r="AK181" s="117"/>
      <c r="AL181" s="117"/>
      <c r="AM181" s="117"/>
      <c r="AN181" s="117"/>
      <c r="AO181" s="117"/>
      <c r="AP181" s="117"/>
      <c r="AQ181" s="117"/>
      <c r="AR181" s="117"/>
      <c r="AS181" s="117"/>
      <c r="AT181" s="117"/>
      <c r="AU181" s="117"/>
      <c r="AV181" s="117"/>
      <c r="AX181" s="117"/>
      <c r="AY181" s="117"/>
      <c r="AZ181" s="117"/>
      <c r="BA181" s="117"/>
      <c r="BB181" s="117"/>
      <c r="BC181" s="117"/>
      <c r="BD181" s="117"/>
      <c r="BE181" s="117"/>
      <c r="BF181" s="117"/>
      <c r="BG181" s="117"/>
      <c r="BH181" s="117"/>
      <c r="BI181" s="117"/>
      <c r="BJ181" s="117"/>
      <c r="BK181" s="117"/>
      <c r="BL181" s="117"/>
      <c r="BM181" s="117"/>
      <c r="BN181" s="117"/>
      <c r="BO181" s="117"/>
      <c r="BP181" s="117"/>
      <c r="BQ181" s="117"/>
      <c r="BR181" s="117"/>
      <c r="BS181" s="117"/>
      <c r="BT181" s="117"/>
      <c r="DD181" s="8"/>
    </row>
    <row r="182" spans="1:108" s="8" customFormat="1" ht="12" customHeight="1" thickBot="1" x14ac:dyDescent="0.35">
      <c r="A182" s="133"/>
      <c r="F182" s="558" t="s">
        <v>149</v>
      </c>
      <c r="N182" s="14"/>
      <c r="O182" s="14"/>
      <c r="P182" s="11"/>
      <c r="Q182" s="11"/>
      <c r="R182" s="11"/>
      <c r="S182" s="11"/>
      <c r="T182" s="11"/>
      <c r="U182" s="11"/>
      <c r="V182" s="11"/>
      <c r="W182" s="11"/>
      <c r="X182" s="4"/>
      <c r="Y182" s="4"/>
      <c r="Z182" s="4"/>
      <c r="AA182" s="516"/>
      <c r="AB182" s="516"/>
      <c r="AC182" s="516"/>
      <c r="AD182" s="516"/>
      <c r="AE182" s="516"/>
      <c r="AF182" s="516"/>
      <c r="AG182" s="516"/>
      <c r="AH182" s="4"/>
      <c r="AI182" s="11"/>
    </row>
    <row r="183" spans="1:108" s="8" customFormat="1" ht="12" customHeight="1" thickBot="1" x14ac:dyDescent="0.3">
      <c r="A183" s="133"/>
      <c r="D183" s="42" t="s">
        <v>61</v>
      </c>
      <c r="F183" s="592">
        <v>5</v>
      </c>
      <c r="G183" s="19" t="s">
        <v>161</v>
      </c>
      <c r="H183" s="19" t="s">
        <v>137</v>
      </c>
      <c r="I183" s="19" t="s">
        <v>138</v>
      </c>
      <c r="J183" s="19" t="s">
        <v>159</v>
      </c>
      <c r="K183" s="800"/>
      <c r="M183" s="474">
        <f>Infrastructure!H14</f>
        <v>0</v>
      </c>
      <c r="N183" s="474">
        <f>Infrastructure!I14</f>
        <v>59</v>
      </c>
      <c r="O183" s="474">
        <f>O166</f>
        <v>91</v>
      </c>
      <c r="P183" s="474">
        <f>P166</f>
        <v>121</v>
      </c>
      <c r="Q183" s="474">
        <f>Q166</f>
        <v>152</v>
      </c>
      <c r="R183" s="474">
        <f>R166</f>
        <v>182</v>
      </c>
      <c r="S183" s="474">
        <f>S166</f>
        <v>213</v>
      </c>
      <c r="T183" s="474">
        <f>T166</f>
        <v>244</v>
      </c>
      <c r="U183" s="474">
        <f>U166</f>
        <v>274</v>
      </c>
      <c r="V183" s="474">
        <f>V166</f>
        <v>305</v>
      </c>
      <c r="W183" s="474">
        <f>W166</f>
        <v>335</v>
      </c>
      <c r="X183" s="474">
        <f>X166</f>
        <v>366</v>
      </c>
      <c r="Y183" s="474">
        <f>Y166</f>
        <v>397</v>
      </c>
      <c r="Z183" s="474">
        <f>Z166</f>
        <v>425</v>
      </c>
      <c r="AA183" s="474">
        <f>AA166</f>
        <v>456</v>
      </c>
      <c r="AB183" s="474">
        <f>AB166</f>
        <v>486</v>
      </c>
      <c r="AC183" s="474">
        <f>AC166</f>
        <v>517</v>
      </c>
      <c r="AD183" s="474">
        <f>AD166</f>
        <v>547</v>
      </c>
      <c r="AE183" s="474">
        <f>AE166</f>
        <v>578</v>
      </c>
      <c r="AF183" s="474">
        <f>AF166</f>
        <v>609</v>
      </c>
      <c r="AG183" s="474">
        <f>AG166</f>
        <v>639</v>
      </c>
      <c r="AH183" s="474">
        <f>AH166</f>
        <v>670</v>
      </c>
      <c r="AI183" s="474">
        <f>AI166</f>
        <v>700</v>
      </c>
      <c r="AJ183" s="474">
        <f>AJ166</f>
        <v>731</v>
      </c>
      <c r="AK183" s="474">
        <f>AK166</f>
        <v>762</v>
      </c>
      <c r="AL183" s="474">
        <f>AL166</f>
        <v>790</v>
      </c>
      <c r="AM183" s="474">
        <f>AM166</f>
        <v>821</v>
      </c>
      <c r="AN183" s="474">
        <f>AN166</f>
        <v>851</v>
      </c>
      <c r="AO183" s="474">
        <f>AO166</f>
        <v>882</v>
      </c>
      <c r="AP183" s="474">
        <f>AP166</f>
        <v>912</v>
      </c>
      <c r="AQ183" s="474">
        <f>AQ166</f>
        <v>943</v>
      </c>
      <c r="AR183" s="474">
        <f>AR166</f>
        <v>974</v>
      </c>
      <c r="AS183" s="474">
        <f>AS166</f>
        <v>1004</v>
      </c>
      <c r="AT183" s="474">
        <f>AT166</f>
        <v>1035</v>
      </c>
      <c r="AU183" s="474">
        <f>AU166</f>
        <v>1065</v>
      </c>
      <c r="AV183" s="474">
        <f>AV166</f>
        <v>1096</v>
      </c>
      <c r="AW183" s="118">
        <f>AW166</f>
        <v>1127</v>
      </c>
      <c r="AX183" s="118">
        <f>AX166</f>
        <v>1155</v>
      </c>
      <c r="AY183" s="118">
        <f>AY166</f>
        <v>1186</v>
      </c>
      <c r="AZ183" s="118">
        <f>AZ166</f>
        <v>1216</v>
      </c>
      <c r="BA183" s="118">
        <f>BA166</f>
        <v>1247</v>
      </c>
      <c r="BB183" s="118">
        <f>BB166</f>
        <v>1277</v>
      </c>
      <c r="BC183" s="118">
        <f>BC166</f>
        <v>1308</v>
      </c>
      <c r="BD183" s="118">
        <f>BD166</f>
        <v>1339</v>
      </c>
      <c r="BE183" s="118">
        <f>BE166</f>
        <v>1369</v>
      </c>
      <c r="BF183" s="118">
        <f>BF166</f>
        <v>1400</v>
      </c>
      <c r="BG183" s="118">
        <f>BG166</f>
        <v>1430</v>
      </c>
      <c r="BH183" s="118">
        <f>BH166</f>
        <v>1461</v>
      </c>
      <c r="BI183" s="118">
        <f>BI166</f>
        <v>1492</v>
      </c>
      <c r="BJ183" s="118">
        <f>BJ166</f>
        <v>1521</v>
      </c>
      <c r="BK183" s="118">
        <f>BK166</f>
        <v>1552</v>
      </c>
      <c r="BL183" s="118">
        <f>BL166</f>
        <v>1582</v>
      </c>
      <c r="BM183" s="118">
        <f>BM166</f>
        <v>1613</v>
      </c>
      <c r="BN183" s="118">
        <f>BN166</f>
        <v>1643</v>
      </c>
      <c r="BO183" s="118">
        <f>BO166</f>
        <v>1674</v>
      </c>
      <c r="BP183" s="118">
        <f>BP166</f>
        <v>1705</v>
      </c>
      <c r="BQ183" s="118">
        <f>BQ166</f>
        <v>1735</v>
      </c>
      <c r="BR183" s="118">
        <f>BR166</f>
        <v>1766</v>
      </c>
      <c r="BS183" s="118">
        <f>BS166</f>
        <v>1796</v>
      </c>
      <c r="BT183" s="118">
        <f>BT166</f>
        <v>1827</v>
      </c>
    </row>
    <row r="184" spans="1:108" s="8" customFormat="1" ht="12" customHeight="1" thickBot="1" x14ac:dyDescent="0.4">
      <c r="A184" s="133">
        <v>1</v>
      </c>
      <c r="B184" s="1710" t="str">
        <f>IF(Infrastructure!AI38="Yes","(Unhide selected rows)","")</f>
        <v/>
      </c>
      <c r="C184" s="9" t="str">
        <f>A184&amp;" "</f>
        <v xml:space="preserve">1 </v>
      </c>
      <c r="D184" s="1834" t="inlineStr">
        <is>
          <t>Rent</t>
        </is>
      </c>
      <c r="E184" s="1835"/>
      <c r="F184" s="1836"/>
      <c r="G184" s="588">
        <v>4200</v>
      </c>
      <c r="H184" s="618">
        <v>46418</v>
      </c>
      <c r="I184" s="618">
        <v>48213</v>
      </c>
      <c r="J184" s="811">
        <v>0.03</v>
      </c>
      <c r="K184" s="801"/>
      <c r="M184" s="599"/>
      <c r="N184" s="600"/>
      <c r="O184" s="600"/>
      <c r="P184" s="600"/>
      <c r="Q184" s="600"/>
      <c r="R184" s="600"/>
      <c r="S184" s="600"/>
      <c r="T184" s="600"/>
      <c r="U184" s="600"/>
      <c r="V184" s="600"/>
      <c r="W184" s="600"/>
      <c r="X184" s="600"/>
      <c r="Y184" s="600"/>
      <c r="Z184" s="600"/>
      <c r="AA184" s="600"/>
      <c r="AB184" s="600"/>
      <c r="AC184" s="600"/>
      <c r="AD184" s="600"/>
      <c r="AE184" s="600"/>
      <c r="AF184" s="600"/>
      <c r="AG184" s="600"/>
      <c r="AH184" s="600"/>
      <c r="AI184" s="600"/>
      <c r="AJ184" s="600"/>
      <c r="AK184" s="600"/>
      <c r="AL184" s="600"/>
      <c r="AM184" s="600"/>
      <c r="AN184" s="600"/>
      <c r="AO184" s="600"/>
      <c r="AP184" s="600"/>
      <c r="AQ184" s="600"/>
      <c r="AR184" s="600"/>
      <c r="AS184" s="600"/>
      <c r="AT184" s="600"/>
      <c r="AU184" s="600"/>
      <c r="AV184" s="778"/>
      <c r="AW184" s="588"/>
      <c r="AX184" s="600"/>
      <c r="AY184" s="600"/>
      <c r="AZ184" s="600"/>
      <c r="BA184" s="600"/>
      <c r="BB184" s="600"/>
      <c r="BC184" s="600"/>
      <c r="BD184" s="600"/>
      <c r="BE184" s="600"/>
      <c r="BF184" s="600"/>
      <c r="BG184" s="600"/>
      <c r="BH184" s="600"/>
      <c r="BI184" s="600"/>
      <c r="BJ184" s="600"/>
      <c r="BK184" s="600"/>
      <c r="BL184" s="600"/>
      <c r="BM184" s="600"/>
      <c r="BN184" s="600"/>
      <c r="BO184" s="600"/>
      <c r="BP184" s="600"/>
      <c r="BQ184" s="600"/>
      <c r="BR184" s="600"/>
      <c r="BS184" s="600"/>
      <c r="BT184" s="601"/>
    </row>
    <row r="185" spans="1:108" s="8" customFormat="1" ht="12" customHeight="1" thickBot="1" x14ac:dyDescent="0.4">
      <c r="A185" s="133">
        <v>2</v>
      </c>
      <c r="B185" s="1711" t="str">
        <f>IF(A185&gt;F$183,"{Can hide row}","")</f>
        <v/>
      </c>
      <c r="C185" s="9" t="str">
        <f>A185&amp;" "</f>
        <v xml:space="preserve">2 </v>
      </c>
      <c r="D185" s="1831" t="inlineStr">
        <is>
          <t>Utilities</t>
        </is>
      </c>
      <c r="E185" s="1832"/>
      <c r="F185" s="1833"/>
      <c r="G185" s="590">
        <v>700</v>
      </c>
      <c r="H185" s="616">
        <v>46418</v>
      </c>
      <c r="I185" s="616">
        <v>48213</v>
      </c>
      <c r="J185" s="811">
        <v>0.03</v>
      </c>
      <c r="K185" s="801"/>
      <c r="M185" s="605"/>
      <c r="N185" s="606"/>
      <c r="O185" s="606"/>
      <c r="P185" s="606"/>
      <c r="Q185" s="606"/>
      <c r="R185" s="606"/>
      <c r="S185" s="606"/>
      <c r="T185" s="606"/>
      <c r="U185" s="606"/>
      <c r="V185" s="606"/>
      <c r="W185" s="606"/>
      <c r="X185" s="606"/>
      <c r="Y185" s="606"/>
      <c r="Z185" s="606"/>
      <c r="AA185" s="606"/>
      <c r="AB185" s="606"/>
      <c r="AC185" s="606"/>
      <c r="AD185" s="606"/>
      <c r="AE185" s="606"/>
      <c r="AF185" s="606"/>
      <c r="AG185" s="606"/>
      <c r="AH185" s="606"/>
      <c r="AI185" s="606"/>
      <c r="AJ185" s="606"/>
      <c r="AK185" s="606"/>
      <c r="AL185" s="606"/>
      <c r="AM185" s="606"/>
      <c r="AN185" s="606"/>
      <c r="AO185" s="606"/>
      <c r="AP185" s="606"/>
      <c r="AQ185" s="606"/>
      <c r="AR185" s="606"/>
      <c r="AS185" s="606"/>
      <c r="AT185" s="606"/>
      <c r="AU185" s="606"/>
      <c r="AV185" s="780"/>
      <c r="AW185" s="590"/>
      <c r="AX185" s="606"/>
      <c r="AY185" s="606"/>
      <c r="AZ185" s="606"/>
      <c r="BA185" s="606"/>
      <c r="BB185" s="606"/>
      <c r="BC185" s="606"/>
      <c r="BD185" s="606"/>
      <c r="BE185" s="606"/>
      <c r="BF185" s="606"/>
      <c r="BG185" s="606"/>
      <c r="BH185" s="606"/>
      <c r="BI185" s="606"/>
      <c r="BJ185" s="606"/>
      <c r="BK185" s="606"/>
      <c r="BL185" s="606"/>
      <c r="BM185" s="606"/>
      <c r="BN185" s="606"/>
      <c r="BO185" s="606"/>
      <c r="BP185" s="606"/>
      <c r="BQ185" s="606"/>
      <c r="BR185" s="606"/>
      <c r="BS185" s="606"/>
      <c r="BT185" s="607"/>
    </row>
    <row r="186" spans="1:108" s="8" customFormat="1" ht="12" customHeight="1" thickBot="1" x14ac:dyDescent="0.4">
      <c r="A186" s="133">
        <v>3</v>
      </c>
      <c r="B186" s="1711" t="str">
        <f>IF(A186&gt;F$183,"{Can hide row}","")</f>
        <v/>
      </c>
      <c r="C186" s="9" t="str">
        <f>A186&amp;" "</f>
        <v xml:space="preserve">3 </v>
      </c>
      <c r="D186" s="1831" t="inlineStr">
        <is>
          <t>Insurance</t>
        </is>
      </c>
      <c r="E186" s="1832"/>
      <c r="F186" s="1833"/>
      <c r="G186" s="590">
        <v>450</v>
      </c>
      <c r="H186" s="616">
        <v>46418</v>
      </c>
      <c r="I186" s="616">
        <v>48213</v>
      </c>
      <c r="J186" s="811">
        <v>0.03</v>
      </c>
      <c r="K186" s="801"/>
      <c r="M186" s="605"/>
      <c r="N186" s="606"/>
      <c r="O186" s="606"/>
      <c r="P186" s="606"/>
      <c r="Q186" s="606"/>
      <c r="R186" s="606"/>
      <c r="S186" s="606"/>
      <c r="T186" s="606"/>
      <c r="U186" s="606"/>
      <c r="V186" s="606"/>
      <c r="W186" s="606"/>
      <c r="X186" s="606"/>
      <c r="Y186" s="606"/>
      <c r="Z186" s="606"/>
      <c r="AA186" s="606"/>
      <c r="AB186" s="606"/>
      <c r="AC186" s="606"/>
      <c r="AD186" s="606"/>
      <c r="AE186" s="606"/>
      <c r="AF186" s="606"/>
      <c r="AG186" s="606"/>
      <c r="AH186" s="606"/>
      <c r="AI186" s="606"/>
      <c r="AJ186" s="606"/>
      <c r="AK186" s="606"/>
      <c r="AL186" s="606"/>
      <c r="AM186" s="606"/>
      <c r="AN186" s="606"/>
      <c r="AO186" s="606"/>
      <c r="AP186" s="606"/>
      <c r="AQ186" s="606"/>
      <c r="AR186" s="606"/>
      <c r="AS186" s="606"/>
      <c r="AT186" s="606"/>
      <c r="AU186" s="606"/>
      <c r="AV186" s="780"/>
      <c r="AW186" s="590"/>
      <c r="AX186" s="606"/>
      <c r="AY186" s="606"/>
      <c r="AZ186" s="606"/>
      <c r="BA186" s="606"/>
      <c r="BB186" s="606"/>
      <c r="BC186" s="606"/>
      <c r="BD186" s="606"/>
      <c r="BE186" s="606"/>
      <c r="BF186" s="606"/>
      <c r="BG186" s="606"/>
      <c r="BH186" s="606"/>
      <c r="BI186" s="606"/>
      <c r="BJ186" s="606"/>
      <c r="BK186" s="606"/>
      <c r="BL186" s="606"/>
      <c r="BM186" s="606"/>
      <c r="BN186" s="606"/>
      <c r="BO186" s="606"/>
      <c r="BP186" s="606"/>
      <c r="BQ186" s="606"/>
      <c r="BR186" s="606"/>
      <c r="BS186" s="606"/>
      <c r="BT186" s="607"/>
    </row>
    <row r="187" spans="1:108" s="8" customFormat="1" ht="12" customHeight="1" thickBot="1" x14ac:dyDescent="0.4">
      <c r="A187" s="133">
        <v>4</v>
      </c>
      <c r="B187" s="1711" t="str">
        <f>IF(A187&gt;F$183,"{Can hide row}","")</f>
        <v/>
      </c>
      <c r="C187" s="9" t="str">
        <f>A187&amp;" "</f>
        <v xml:space="preserve">4 </v>
      </c>
      <c r="D187" s="1831" t="inlineStr">
        <is>
          <t>Software / POS</t>
        </is>
      </c>
      <c r="E187" s="1832"/>
      <c r="F187" s="1833"/>
      <c r="G187" s="590">
        <v>350</v>
      </c>
      <c r="H187" s="616">
        <v>46418</v>
      </c>
      <c r="I187" s="616">
        <v>48213</v>
      </c>
      <c r="J187" s="811">
        <v>0.03</v>
      </c>
      <c r="K187" s="801"/>
      <c r="M187" s="605"/>
      <c r="N187" s="606"/>
      <c r="O187" s="606"/>
      <c r="P187" s="606"/>
      <c r="Q187" s="606"/>
      <c r="R187" s="606"/>
      <c r="S187" s="606"/>
      <c r="T187" s="606"/>
      <c r="U187" s="606"/>
      <c r="V187" s="606"/>
      <c r="W187" s="606"/>
      <c r="X187" s="606"/>
      <c r="Y187" s="606"/>
      <c r="Z187" s="606"/>
      <c r="AA187" s="606"/>
      <c r="AB187" s="606"/>
      <c r="AC187" s="606"/>
      <c r="AD187" s="606"/>
      <c r="AE187" s="606"/>
      <c r="AF187" s="606"/>
      <c r="AG187" s="606"/>
      <c r="AH187" s="606"/>
      <c r="AI187" s="606"/>
      <c r="AJ187" s="606"/>
      <c r="AK187" s="606"/>
      <c r="AL187" s="606"/>
      <c r="AM187" s="606"/>
      <c r="AN187" s="606"/>
      <c r="AO187" s="606"/>
      <c r="AP187" s="606"/>
      <c r="AQ187" s="606"/>
      <c r="AR187" s="606"/>
      <c r="AS187" s="606"/>
      <c r="AT187" s="606"/>
      <c r="AU187" s="606"/>
      <c r="AV187" s="780"/>
      <c r="AW187" s="590"/>
      <c r="AX187" s="606"/>
      <c r="AY187" s="606"/>
      <c r="AZ187" s="606"/>
      <c r="BA187" s="606"/>
      <c r="BB187" s="606"/>
      <c r="BC187" s="606"/>
      <c r="BD187" s="606"/>
      <c r="BE187" s="606"/>
      <c r="BF187" s="606"/>
      <c r="BG187" s="606"/>
      <c r="BH187" s="606"/>
      <c r="BI187" s="606"/>
      <c r="BJ187" s="606"/>
      <c r="BK187" s="606"/>
      <c r="BL187" s="606"/>
      <c r="BM187" s="606"/>
      <c r="BN187" s="606"/>
      <c r="BO187" s="606"/>
      <c r="BP187" s="606"/>
      <c r="BQ187" s="606"/>
      <c r="BR187" s="606"/>
      <c r="BS187" s="606"/>
      <c r="BT187" s="607"/>
    </row>
    <row r="188" spans="1:108" s="8" customFormat="1" ht="12" customHeight="1" thickBot="1" x14ac:dyDescent="0.4">
      <c r="A188" s="133">
        <v>5</v>
      </c>
      <c r="B188" s="1711" t="str">
        <f>IF(A188&gt;F$183,"{Can hide row}","")</f>
        <v/>
      </c>
      <c r="C188" s="9" t="str">
        <f>A188&amp;" "</f>
        <v xml:space="preserve">5 </v>
      </c>
      <c r="D188" s="1831" t="inlineStr">
        <is>
          <t>Accounting</t>
        </is>
      </c>
      <c r="E188" s="1832"/>
      <c r="F188" s="1833"/>
      <c r="G188" s="590">
        <v>500</v>
      </c>
      <c r="H188" s="616">
        <v>46418</v>
      </c>
      <c r="I188" s="616">
        <v>48213</v>
      </c>
      <c r="J188" s="811">
        <v>0.03</v>
      </c>
      <c r="K188" s="801"/>
      <c r="M188" s="605"/>
      <c r="N188" s="606"/>
      <c r="O188" s="606"/>
      <c r="P188" s="606"/>
      <c r="Q188" s="606"/>
      <c r="R188" s="606"/>
      <c r="S188" s="606"/>
      <c r="T188" s="606"/>
      <c r="U188" s="606"/>
      <c r="V188" s="606"/>
      <c r="W188" s="606"/>
      <c r="X188" s="606"/>
      <c r="Y188" s="606"/>
      <c r="Z188" s="606"/>
      <c r="AA188" s="606"/>
      <c r="AB188" s="606"/>
      <c r="AC188" s="606"/>
      <c r="AD188" s="606"/>
      <c r="AE188" s="606"/>
      <c r="AF188" s="606"/>
      <c r="AG188" s="606"/>
      <c r="AH188" s="606"/>
      <c r="AI188" s="606"/>
      <c r="AJ188" s="606"/>
      <c r="AK188" s="606"/>
      <c r="AL188" s="606"/>
      <c r="AM188" s="606"/>
      <c r="AN188" s="606"/>
      <c r="AO188" s="606"/>
      <c r="AP188" s="606"/>
      <c r="AQ188" s="606"/>
      <c r="AR188" s="606"/>
      <c r="AS188" s="606"/>
      <c r="AT188" s="606"/>
      <c r="AU188" s="606"/>
      <c r="AV188" s="780"/>
      <c r="AW188" s="590"/>
      <c r="AX188" s="606"/>
      <c r="AY188" s="606"/>
      <c r="AZ188" s="606"/>
      <c r="BA188" s="606"/>
      <c r="BB188" s="606"/>
      <c r="BC188" s="606"/>
      <c r="BD188" s="606"/>
      <c r="BE188" s="606"/>
      <c r="BF188" s="606"/>
      <c r="BG188" s="606"/>
      <c r="BH188" s="606"/>
      <c r="BI188" s="606"/>
      <c r="BJ188" s="606"/>
      <c r="BK188" s="606"/>
      <c r="BL188" s="606"/>
      <c r="BM188" s="606"/>
      <c r="BN188" s="606"/>
      <c r="BO188" s="606"/>
      <c r="BP188" s="606"/>
      <c r="BQ188" s="606"/>
      <c r="BR188" s="606"/>
      <c r="BS188" s="606"/>
      <c r="BT188" s="607"/>
    </row>
    <row r="189" spans="1:108" s="8" customFormat="1" ht="12" customHeight="1" thickBot="1" x14ac:dyDescent="0.4" hidden="1">
      <c r="A189" s="133">
        <v>6</v>
      </c>
      <c r="B189" s="1711" t="str">
        <f>IF(A189&gt;F$183,"{Can hide row}","")</f>
        <v/>
      </c>
      <c r="C189" s="9" t="str">
        <f>A189&amp;" "</f>
        <v xml:space="preserve">6 </v>
      </c>
      <c r="D189" s="1831"/>
      <c r="E189" s="1832"/>
      <c r="F189" s="1833"/>
      <c r="G189" s="590"/>
      <c r="H189" s="616"/>
      <c r="I189" s="616"/>
      <c r="J189" s="811"/>
      <c r="K189" s="802"/>
      <c r="M189" s="605"/>
      <c r="N189" s="606"/>
      <c r="O189" s="606"/>
      <c r="P189" s="606"/>
      <c r="Q189" s="606"/>
      <c r="R189" s="606"/>
      <c r="S189" s="606"/>
      <c r="T189" s="606"/>
      <c r="U189" s="606"/>
      <c r="V189" s="606"/>
      <c r="W189" s="606"/>
      <c r="X189" s="606"/>
      <c r="Y189" s="606"/>
      <c r="Z189" s="606"/>
      <c r="AA189" s="606"/>
      <c r="AB189" s="606"/>
      <c r="AC189" s="606"/>
      <c r="AD189" s="606"/>
      <c r="AE189" s="606"/>
      <c r="AF189" s="606"/>
      <c r="AG189" s="606"/>
      <c r="AH189" s="606"/>
      <c r="AI189" s="606"/>
      <c r="AJ189" s="606"/>
      <c r="AK189" s="606"/>
      <c r="AL189" s="606"/>
      <c r="AM189" s="606"/>
      <c r="AN189" s="606"/>
      <c r="AO189" s="606"/>
      <c r="AP189" s="606"/>
      <c r="AQ189" s="606"/>
      <c r="AR189" s="606"/>
      <c r="AS189" s="606"/>
      <c r="AT189" s="606"/>
      <c r="AU189" s="606"/>
      <c r="AV189" s="780"/>
      <c r="AW189" s="590"/>
      <c r="AX189" s="606"/>
      <c r="AY189" s="606"/>
      <c r="AZ189" s="606"/>
      <c r="BA189" s="606"/>
      <c r="BB189" s="606"/>
      <c r="BC189" s="606"/>
      <c r="BD189" s="606"/>
      <c r="BE189" s="606"/>
      <c r="BF189" s="606"/>
      <c r="BG189" s="606"/>
      <c r="BH189" s="606"/>
      <c r="BI189" s="606"/>
      <c r="BJ189" s="606"/>
      <c r="BK189" s="606"/>
      <c r="BL189" s="606"/>
      <c r="BM189" s="606"/>
      <c r="BN189" s="606"/>
      <c r="BO189" s="606"/>
      <c r="BP189" s="606"/>
      <c r="BQ189" s="606"/>
      <c r="BR189" s="606"/>
      <c r="BS189" s="606"/>
      <c r="BT189" s="607"/>
    </row>
    <row r="190" spans="1:108" s="8" customFormat="1" ht="12" customHeight="1" thickBot="1" x14ac:dyDescent="0.4" hidden="1">
      <c r="A190" s="133">
        <v>7</v>
      </c>
      <c r="B190" s="1711" t="str">
        <f>IF(A190&gt;F$183,"{Can hide row}","")</f>
        <v/>
      </c>
      <c r="C190" s="9" t="str">
        <f>A190&amp;" "</f>
        <v xml:space="preserve">7 </v>
      </c>
      <c r="D190" s="1831"/>
      <c r="E190" s="1832"/>
      <c r="F190" s="1833"/>
      <c r="G190" s="590"/>
      <c r="H190" s="616"/>
      <c r="I190" s="616"/>
      <c r="J190" s="811"/>
      <c r="K190" s="801"/>
      <c r="M190" s="605"/>
      <c r="N190" s="606"/>
      <c r="O190" s="606"/>
      <c r="P190" s="606"/>
      <c r="Q190" s="606"/>
      <c r="R190" s="606"/>
      <c r="S190" s="606"/>
      <c r="T190" s="606"/>
      <c r="U190" s="606"/>
      <c r="V190" s="606"/>
      <c r="W190" s="606"/>
      <c r="X190" s="606"/>
      <c r="Y190" s="606"/>
      <c r="Z190" s="606"/>
      <c r="AA190" s="606"/>
      <c r="AB190" s="606"/>
      <c r="AC190" s="606"/>
      <c r="AD190" s="606"/>
      <c r="AE190" s="606"/>
      <c r="AF190" s="606"/>
      <c r="AG190" s="606"/>
      <c r="AH190" s="606"/>
      <c r="AI190" s="606"/>
      <c r="AJ190" s="606"/>
      <c r="AK190" s="606"/>
      <c r="AL190" s="606"/>
      <c r="AM190" s="606"/>
      <c r="AN190" s="606"/>
      <c r="AO190" s="606"/>
      <c r="AP190" s="606"/>
      <c r="AQ190" s="606"/>
      <c r="AR190" s="606"/>
      <c r="AS190" s="606"/>
      <c r="AT190" s="606"/>
      <c r="AU190" s="606"/>
      <c r="AV190" s="780"/>
      <c r="AW190" s="590"/>
      <c r="AX190" s="606"/>
      <c r="AY190" s="606"/>
      <c r="AZ190" s="606"/>
      <c r="BA190" s="606"/>
      <c r="BB190" s="606"/>
      <c r="BC190" s="606"/>
      <c r="BD190" s="606"/>
      <c r="BE190" s="606"/>
      <c r="BF190" s="606"/>
      <c r="BG190" s="606"/>
      <c r="BH190" s="606"/>
      <c r="BI190" s="606"/>
      <c r="BJ190" s="606"/>
      <c r="BK190" s="606"/>
      <c r="BL190" s="606"/>
      <c r="BM190" s="606"/>
      <c r="BN190" s="606"/>
      <c r="BO190" s="606"/>
      <c r="BP190" s="606"/>
      <c r="BQ190" s="606"/>
      <c r="BR190" s="606"/>
      <c r="BS190" s="606"/>
      <c r="BT190" s="607"/>
    </row>
    <row r="191" spans="1:108" s="8" customFormat="1" ht="12" customHeight="1" thickBot="1" x14ac:dyDescent="0.4" hidden="1">
      <c r="A191" s="133">
        <v>8</v>
      </c>
      <c r="B191" s="1711" t="str">
        <f>IF(A191&gt;F$183,"{Can hide row}","")</f>
        <v/>
      </c>
      <c r="C191" s="9" t="str">
        <f>A191&amp;" "</f>
        <v xml:space="preserve">8 </v>
      </c>
      <c r="D191" s="1831"/>
      <c r="E191" s="1832"/>
      <c r="F191" s="1833"/>
      <c r="G191" s="590"/>
      <c r="H191" s="616"/>
      <c r="I191" s="616"/>
      <c r="J191" s="811"/>
      <c r="K191" s="801"/>
      <c r="M191" s="605"/>
      <c r="N191" s="606"/>
      <c r="O191" s="606"/>
      <c r="P191" s="606"/>
      <c r="Q191" s="606"/>
      <c r="R191" s="606"/>
      <c r="S191" s="606"/>
      <c r="T191" s="606"/>
      <c r="U191" s="606"/>
      <c r="V191" s="606"/>
      <c r="W191" s="606"/>
      <c r="X191" s="606"/>
      <c r="Y191" s="606"/>
      <c r="Z191" s="606"/>
      <c r="AA191" s="606"/>
      <c r="AB191" s="606"/>
      <c r="AC191" s="606"/>
      <c r="AD191" s="606"/>
      <c r="AE191" s="606"/>
      <c r="AF191" s="606"/>
      <c r="AG191" s="606"/>
      <c r="AH191" s="606"/>
      <c r="AI191" s="606"/>
      <c r="AJ191" s="606"/>
      <c r="AK191" s="606"/>
      <c r="AL191" s="606"/>
      <c r="AM191" s="606"/>
      <c r="AN191" s="606"/>
      <c r="AO191" s="606"/>
      <c r="AP191" s="606"/>
      <c r="AQ191" s="606"/>
      <c r="AR191" s="606"/>
      <c r="AS191" s="606"/>
      <c r="AT191" s="606"/>
      <c r="AU191" s="606"/>
      <c r="AV191" s="780"/>
      <c r="AW191" s="590"/>
      <c r="AX191" s="606"/>
      <c r="AY191" s="606"/>
      <c r="AZ191" s="606"/>
      <c r="BA191" s="606"/>
      <c r="BB191" s="606"/>
      <c r="BC191" s="606"/>
      <c r="BD191" s="606"/>
      <c r="BE191" s="606"/>
      <c r="BF191" s="606"/>
      <c r="BG191" s="606"/>
      <c r="BH191" s="606"/>
      <c r="BI191" s="606"/>
      <c r="BJ191" s="606"/>
      <c r="BK191" s="606"/>
      <c r="BL191" s="606"/>
      <c r="BM191" s="606"/>
      <c r="BN191" s="606"/>
      <c r="BO191" s="606"/>
      <c r="BP191" s="606"/>
      <c r="BQ191" s="606"/>
      <c r="BR191" s="606"/>
      <c r="BS191" s="606"/>
      <c r="BT191" s="607"/>
    </row>
    <row r="192" spans="1:108" s="8" customFormat="1" ht="12" customHeight="1" thickBot="1" x14ac:dyDescent="0.4" hidden="1">
      <c r="A192" s="133">
        <v>9</v>
      </c>
      <c r="B192" s="1711" t="str">
        <f>IF(A192&gt;F$183,"{Can hide row}","")</f>
        <v/>
      </c>
      <c r="C192" s="9" t="str">
        <f>A192&amp;" "</f>
        <v xml:space="preserve">9 </v>
      </c>
      <c r="D192" s="1831"/>
      <c r="E192" s="1832"/>
      <c r="F192" s="1833"/>
      <c r="G192" s="590"/>
      <c r="H192" s="616"/>
      <c r="I192" s="616"/>
      <c r="J192" s="811"/>
      <c r="K192" s="801"/>
      <c r="M192" s="605"/>
      <c r="N192" s="606"/>
      <c r="O192" s="606"/>
      <c r="P192" s="606"/>
      <c r="Q192" s="606"/>
      <c r="R192" s="606"/>
      <c r="S192" s="606"/>
      <c r="T192" s="606"/>
      <c r="U192" s="606"/>
      <c r="V192" s="606"/>
      <c r="W192" s="606"/>
      <c r="X192" s="606"/>
      <c r="Y192" s="606"/>
      <c r="Z192" s="606"/>
      <c r="AA192" s="606"/>
      <c r="AB192" s="606"/>
      <c r="AC192" s="606"/>
      <c r="AD192" s="606"/>
      <c r="AE192" s="606"/>
      <c r="AF192" s="606"/>
      <c r="AG192" s="606"/>
      <c r="AH192" s="606"/>
      <c r="AI192" s="606"/>
      <c r="AJ192" s="606"/>
      <c r="AK192" s="606"/>
      <c r="AL192" s="606"/>
      <c r="AM192" s="606"/>
      <c r="AN192" s="606"/>
      <c r="AO192" s="606"/>
      <c r="AP192" s="606"/>
      <c r="AQ192" s="606"/>
      <c r="AR192" s="606"/>
      <c r="AS192" s="606"/>
      <c r="AT192" s="606"/>
      <c r="AU192" s="606"/>
      <c r="AV192" s="780"/>
      <c r="AW192" s="590"/>
      <c r="AX192" s="606"/>
      <c r="AY192" s="606"/>
      <c r="AZ192" s="606"/>
      <c r="BA192" s="606"/>
      <c r="BB192" s="606"/>
      <c r="BC192" s="606"/>
      <c r="BD192" s="606"/>
      <c r="BE192" s="606"/>
      <c r="BF192" s="606"/>
      <c r="BG192" s="606"/>
      <c r="BH192" s="606"/>
      <c r="BI192" s="606"/>
      <c r="BJ192" s="606"/>
      <c r="BK192" s="606"/>
      <c r="BL192" s="606"/>
      <c r="BM192" s="606"/>
      <c r="BN192" s="606"/>
      <c r="BO192" s="606"/>
      <c r="BP192" s="606"/>
      <c r="BQ192" s="606"/>
      <c r="BR192" s="606"/>
      <c r="BS192" s="606"/>
      <c r="BT192" s="607"/>
    </row>
    <row r="193" spans="1:72" s="8" customFormat="1" ht="12" customHeight="1" thickBot="1" x14ac:dyDescent="0.4" hidden="1">
      <c r="A193" s="133">
        <v>10</v>
      </c>
      <c r="B193" s="1711" t="str">
        <f>IF(A193&gt;F$183,"{Can hide row}","")</f>
        <v/>
      </c>
      <c r="C193" s="9" t="str">
        <f>A193&amp;" "</f>
        <v xml:space="preserve">10 </v>
      </c>
      <c r="D193" s="1831"/>
      <c r="E193" s="1832"/>
      <c r="F193" s="1833"/>
      <c r="G193" s="590"/>
      <c r="H193" s="616"/>
      <c r="I193" s="616"/>
      <c r="J193" s="811"/>
      <c r="K193" s="801"/>
      <c r="M193" s="605"/>
      <c r="N193" s="606"/>
      <c r="O193" s="606"/>
      <c r="P193" s="606"/>
      <c r="Q193" s="606"/>
      <c r="R193" s="606"/>
      <c r="S193" s="606"/>
      <c r="T193" s="606"/>
      <c r="U193" s="606"/>
      <c r="V193" s="606"/>
      <c r="W193" s="606"/>
      <c r="X193" s="606"/>
      <c r="Y193" s="606"/>
      <c r="Z193" s="606"/>
      <c r="AA193" s="606"/>
      <c r="AB193" s="606"/>
      <c r="AC193" s="606"/>
      <c r="AD193" s="606"/>
      <c r="AE193" s="606"/>
      <c r="AF193" s="606"/>
      <c r="AG193" s="606"/>
      <c r="AH193" s="606"/>
      <c r="AI193" s="606"/>
      <c r="AJ193" s="606"/>
      <c r="AK193" s="606"/>
      <c r="AL193" s="606"/>
      <c r="AM193" s="606"/>
      <c r="AN193" s="606"/>
      <c r="AO193" s="606"/>
      <c r="AP193" s="606"/>
      <c r="AQ193" s="606"/>
      <c r="AR193" s="606"/>
      <c r="AS193" s="606"/>
      <c r="AT193" s="606"/>
      <c r="AU193" s="606"/>
      <c r="AV193" s="780"/>
      <c r="AW193" s="590"/>
      <c r="AX193" s="606"/>
      <c r="AY193" s="606"/>
      <c r="AZ193" s="606"/>
      <c r="BA193" s="606"/>
      <c r="BB193" s="606"/>
      <c r="BC193" s="606"/>
      <c r="BD193" s="606"/>
      <c r="BE193" s="606"/>
      <c r="BF193" s="606"/>
      <c r="BG193" s="606"/>
      <c r="BH193" s="606"/>
      <c r="BI193" s="606"/>
      <c r="BJ193" s="606"/>
      <c r="BK193" s="606"/>
      <c r="BL193" s="606"/>
      <c r="BM193" s="606"/>
      <c r="BN193" s="606"/>
      <c r="BO193" s="606"/>
      <c r="BP193" s="606"/>
      <c r="BQ193" s="606"/>
      <c r="BR193" s="606"/>
      <c r="BS193" s="606"/>
      <c r="BT193" s="607"/>
    </row>
    <row r="194" spans="1:72" s="8" customFormat="1" ht="12" hidden="1" customHeight="1" thickBot="1" x14ac:dyDescent="0.4">
      <c r="A194" s="133">
        <v>11</v>
      </c>
      <c r="B194" s="1711" t="str">
        <f>IF(A194&gt;F$183,"{Can hide row}","")</f>
        <v>{Can hide row}</v>
      </c>
      <c r="C194" s="9" t="str">
        <f>A194&amp;" "</f>
        <v xml:space="preserve">11 </v>
      </c>
      <c r="D194" s="1831"/>
      <c r="E194" s="1832"/>
      <c r="F194" s="1833"/>
      <c r="G194" s="590"/>
      <c r="H194" s="616"/>
      <c r="I194" s="616"/>
      <c r="J194" s="811"/>
      <c r="K194" s="801"/>
      <c r="M194" s="605"/>
      <c r="N194" s="606"/>
      <c r="O194" s="606"/>
      <c r="P194" s="606"/>
      <c r="Q194" s="606"/>
      <c r="R194" s="606"/>
      <c r="S194" s="606"/>
      <c r="T194" s="606"/>
      <c r="U194" s="606"/>
      <c r="V194" s="606"/>
      <c r="W194" s="606"/>
      <c r="X194" s="606"/>
      <c r="Y194" s="606"/>
      <c r="Z194" s="606"/>
      <c r="AA194" s="606"/>
      <c r="AB194" s="606"/>
      <c r="AC194" s="606"/>
      <c r="AD194" s="606"/>
      <c r="AE194" s="606"/>
      <c r="AF194" s="606"/>
      <c r="AG194" s="606"/>
      <c r="AH194" s="606"/>
      <c r="AI194" s="606"/>
      <c r="AJ194" s="606"/>
      <c r="AK194" s="606"/>
      <c r="AL194" s="606"/>
      <c r="AM194" s="606"/>
      <c r="AN194" s="606"/>
      <c r="AO194" s="606"/>
      <c r="AP194" s="606"/>
      <c r="AQ194" s="606"/>
      <c r="AR194" s="606"/>
      <c r="AS194" s="606"/>
      <c r="AT194" s="606"/>
      <c r="AU194" s="606"/>
      <c r="AV194" s="780"/>
      <c r="AW194" s="590"/>
      <c r="AX194" s="606"/>
      <c r="AY194" s="606"/>
      <c r="AZ194" s="606"/>
      <c r="BA194" s="606"/>
      <c r="BB194" s="606"/>
      <c r="BC194" s="606"/>
      <c r="BD194" s="606"/>
      <c r="BE194" s="606"/>
      <c r="BF194" s="606"/>
      <c r="BG194" s="606"/>
      <c r="BH194" s="606"/>
      <c r="BI194" s="606"/>
      <c r="BJ194" s="606"/>
      <c r="BK194" s="606"/>
      <c r="BL194" s="606"/>
      <c r="BM194" s="606"/>
      <c r="BN194" s="606"/>
      <c r="BO194" s="606"/>
      <c r="BP194" s="606"/>
      <c r="BQ194" s="606"/>
      <c r="BR194" s="606"/>
      <c r="BS194" s="606"/>
      <c r="BT194" s="607"/>
    </row>
    <row r="195" spans="1:72" s="8" customFormat="1" ht="12" hidden="1" customHeight="1" thickBot="1" x14ac:dyDescent="0.4">
      <c r="A195" s="133">
        <v>12</v>
      </c>
      <c r="B195" s="1711" t="str">
        <f>IF(A195&gt;F$183,"{Can hide row}","")</f>
        <v>{Can hide row}</v>
      </c>
      <c r="C195" s="9" t="str">
        <f>A195&amp;" "</f>
        <v xml:space="preserve">12 </v>
      </c>
      <c r="D195" s="1831"/>
      <c r="E195" s="1832"/>
      <c r="F195" s="1833"/>
      <c r="G195" s="590"/>
      <c r="H195" s="616"/>
      <c r="I195" s="616"/>
      <c r="J195" s="811"/>
      <c r="K195" s="801"/>
      <c r="M195" s="605"/>
      <c r="N195" s="606"/>
      <c r="O195" s="606"/>
      <c r="P195" s="606"/>
      <c r="Q195" s="606"/>
      <c r="R195" s="606"/>
      <c r="S195" s="606"/>
      <c r="T195" s="606"/>
      <c r="U195" s="606"/>
      <c r="V195" s="606"/>
      <c r="W195" s="606"/>
      <c r="X195" s="606"/>
      <c r="Y195" s="606"/>
      <c r="Z195" s="606"/>
      <c r="AA195" s="606"/>
      <c r="AB195" s="606"/>
      <c r="AC195" s="606"/>
      <c r="AD195" s="606"/>
      <c r="AE195" s="606"/>
      <c r="AF195" s="606"/>
      <c r="AG195" s="606"/>
      <c r="AH195" s="606"/>
      <c r="AI195" s="606"/>
      <c r="AJ195" s="606"/>
      <c r="AK195" s="606"/>
      <c r="AL195" s="606"/>
      <c r="AM195" s="606"/>
      <c r="AN195" s="606"/>
      <c r="AO195" s="606"/>
      <c r="AP195" s="606"/>
      <c r="AQ195" s="606"/>
      <c r="AR195" s="606"/>
      <c r="AS195" s="606"/>
      <c r="AT195" s="606"/>
      <c r="AU195" s="606"/>
      <c r="AV195" s="780"/>
      <c r="AW195" s="590"/>
      <c r="AX195" s="606"/>
      <c r="AY195" s="606"/>
      <c r="AZ195" s="606"/>
      <c r="BA195" s="606"/>
      <c r="BB195" s="606"/>
      <c r="BC195" s="606"/>
      <c r="BD195" s="606"/>
      <c r="BE195" s="606"/>
      <c r="BF195" s="606"/>
      <c r="BG195" s="606"/>
      <c r="BH195" s="606"/>
      <c r="BI195" s="606"/>
      <c r="BJ195" s="606"/>
      <c r="BK195" s="606"/>
      <c r="BL195" s="606"/>
      <c r="BM195" s="606"/>
      <c r="BN195" s="606"/>
      <c r="BO195" s="606"/>
      <c r="BP195" s="606"/>
      <c r="BQ195" s="606"/>
      <c r="BR195" s="606"/>
      <c r="BS195" s="606"/>
      <c r="BT195" s="607"/>
    </row>
    <row r="196" spans="1:72" s="8" customFormat="1" ht="12" hidden="1" customHeight="1" thickBot="1" x14ac:dyDescent="0.4">
      <c r="A196" s="133">
        <v>13</v>
      </c>
      <c r="B196" s="1711" t="str">
        <f>IF(A196&gt;F$183,"{Can hide row}","")</f>
        <v>{Can hide row}</v>
      </c>
      <c r="C196" s="9" t="str">
        <f>A196&amp;" "</f>
        <v xml:space="preserve">13 </v>
      </c>
      <c r="D196" s="1831"/>
      <c r="E196" s="1832"/>
      <c r="F196" s="1833"/>
      <c r="G196" s="590"/>
      <c r="H196" s="616"/>
      <c r="I196" s="616"/>
      <c r="J196" s="811"/>
      <c r="K196" s="801"/>
      <c r="M196" s="605"/>
      <c r="N196" s="606"/>
      <c r="O196" s="606"/>
      <c r="P196" s="606"/>
      <c r="Q196" s="606"/>
      <c r="R196" s="606"/>
      <c r="S196" s="606"/>
      <c r="T196" s="606"/>
      <c r="U196" s="606"/>
      <c r="V196" s="606"/>
      <c r="W196" s="606"/>
      <c r="X196" s="606"/>
      <c r="Y196" s="606"/>
      <c r="Z196" s="606"/>
      <c r="AA196" s="606"/>
      <c r="AB196" s="606"/>
      <c r="AC196" s="606"/>
      <c r="AD196" s="606"/>
      <c r="AE196" s="606"/>
      <c r="AF196" s="606"/>
      <c r="AG196" s="606"/>
      <c r="AH196" s="606"/>
      <c r="AI196" s="606"/>
      <c r="AJ196" s="606"/>
      <c r="AK196" s="606"/>
      <c r="AL196" s="606"/>
      <c r="AM196" s="606"/>
      <c r="AN196" s="606"/>
      <c r="AO196" s="606"/>
      <c r="AP196" s="606"/>
      <c r="AQ196" s="606"/>
      <c r="AR196" s="606"/>
      <c r="AS196" s="606"/>
      <c r="AT196" s="606"/>
      <c r="AU196" s="606"/>
      <c r="AV196" s="780"/>
      <c r="AW196" s="590"/>
      <c r="AX196" s="606"/>
      <c r="AY196" s="606"/>
      <c r="AZ196" s="606"/>
      <c r="BA196" s="606"/>
      <c r="BB196" s="606"/>
      <c r="BC196" s="606"/>
      <c r="BD196" s="606"/>
      <c r="BE196" s="606"/>
      <c r="BF196" s="606"/>
      <c r="BG196" s="606"/>
      <c r="BH196" s="606"/>
      <c r="BI196" s="606"/>
      <c r="BJ196" s="606"/>
      <c r="BK196" s="606"/>
      <c r="BL196" s="606"/>
      <c r="BM196" s="606"/>
      <c r="BN196" s="606"/>
      <c r="BO196" s="606"/>
      <c r="BP196" s="606"/>
      <c r="BQ196" s="606"/>
      <c r="BR196" s="606"/>
      <c r="BS196" s="606"/>
      <c r="BT196" s="607"/>
    </row>
    <row r="197" spans="1:72" s="8" customFormat="1" ht="12" hidden="1" customHeight="1" thickBot="1" x14ac:dyDescent="0.4">
      <c r="A197" s="133">
        <v>14</v>
      </c>
      <c r="B197" s="1711" t="str">
        <f>IF(A197&gt;F$183,"{Can hide row}","")</f>
        <v>{Can hide row}</v>
      </c>
      <c r="C197" s="9" t="str">
        <f>A197&amp;" "</f>
        <v xml:space="preserve">14 </v>
      </c>
      <c r="D197" s="1831"/>
      <c r="E197" s="1832"/>
      <c r="F197" s="1833"/>
      <c r="G197" s="590"/>
      <c r="H197" s="616"/>
      <c r="I197" s="616"/>
      <c r="J197" s="812"/>
      <c r="K197" s="801"/>
      <c r="M197" s="605"/>
      <c r="N197" s="606"/>
      <c r="O197" s="606"/>
      <c r="P197" s="606"/>
      <c r="Q197" s="606"/>
      <c r="R197" s="606"/>
      <c r="S197" s="606"/>
      <c r="T197" s="606"/>
      <c r="U197" s="606"/>
      <c r="V197" s="606"/>
      <c r="W197" s="606"/>
      <c r="X197" s="606"/>
      <c r="Y197" s="606"/>
      <c r="Z197" s="606"/>
      <c r="AA197" s="606"/>
      <c r="AB197" s="606"/>
      <c r="AC197" s="606"/>
      <c r="AD197" s="606"/>
      <c r="AE197" s="606"/>
      <c r="AF197" s="606"/>
      <c r="AG197" s="606"/>
      <c r="AH197" s="606"/>
      <c r="AI197" s="606"/>
      <c r="AJ197" s="606"/>
      <c r="AK197" s="606"/>
      <c r="AL197" s="606"/>
      <c r="AM197" s="606"/>
      <c r="AN197" s="606"/>
      <c r="AO197" s="606"/>
      <c r="AP197" s="606"/>
      <c r="AQ197" s="606"/>
      <c r="AR197" s="606"/>
      <c r="AS197" s="606"/>
      <c r="AT197" s="606"/>
      <c r="AU197" s="606"/>
      <c r="AV197" s="780"/>
      <c r="AW197" s="590"/>
      <c r="AX197" s="606"/>
      <c r="AY197" s="606"/>
      <c r="AZ197" s="606"/>
      <c r="BA197" s="606"/>
      <c r="BB197" s="606"/>
      <c r="BC197" s="606"/>
      <c r="BD197" s="606"/>
      <c r="BE197" s="606"/>
      <c r="BF197" s="606"/>
      <c r="BG197" s="606"/>
      <c r="BH197" s="606"/>
      <c r="BI197" s="606"/>
      <c r="BJ197" s="606"/>
      <c r="BK197" s="606"/>
      <c r="BL197" s="606"/>
      <c r="BM197" s="606"/>
      <c r="BN197" s="606"/>
      <c r="BO197" s="606"/>
      <c r="BP197" s="606"/>
      <c r="BQ197" s="606"/>
      <c r="BR197" s="606"/>
      <c r="BS197" s="606"/>
      <c r="BT197" s="607"/>
    </row>
    <row r="198" spans="1:72" s="8" customFormat="1" ht="12" hidden="1" customHeight="1" thickBot="1" x14ac:dyDescent="0.4">
      <c r="A198" s="133">
        <v>15</v>
      </c>
      <c r="B198" s="1711" t="str">
        <f>IF(A198&gt;F$183,"{Can hide row}","")</f>
        <v>{Can hide row}</v>
      </c>
      <c r="C198" s="9" t="str">
        <f>A198&amp;" "</f>
        <v xml:space="preserve">15 </v>
      </c>
      <c r="D198" s="1831"/>
      <c r="E198" s="1832"/>
      <c r="F198" s="1833"/>
      <c r="G198" s="590"/>
      <c r="H198" s="616"/>
      <c r="I198" s="616"/>
      <c r="J198" s="812"/>
      <c r="K198" s="801"/>
      <c r="M198" s="605"/>
      <c r="N198" s="606"/>
      <c r="O198" s="606"/>
      <c r="P198" s="606"/>
      <c r="Q198" s="606"/>
      <c r="R198" s="606"/>
      <c r="S198" s="606"/>
      <c r="T198" s="606"/>
      <c r="U198" s="606"/>
      <c r="V198" s="606"/>
      <c r="W198" s="606"/>
      <c r="X198" s="606"/>
      <c r="Y198" s="606"/>
      <c r="Z198" s="606"/>
      <c r="AA198" s="606"/>
      <c r="AB198" s="606"/>
      <c r="AC198" s="606"/>
      <c r="AD198" s="606"/>
      <c r="AE198" s="606"/>
      <c r="AF198" s="606"/>
      <c r="AG198" s="606"/>
      <c r="AH198" s="606"/>
      <c r="AI198" s="606"/>
      <c r="AJ198" s="606"/>
      <c r="AK198" s="606"/>
      <c r="AL198" s="606"/>
      <c r="AM198" s="606"/>
      <c r="AN198" s="606"/>
      <c r="AO198" s="606"/>
      <c r="AP198" s="606"/>
      <c r="AQ198" s="606"/>
      <c r="AR198" s="606"/>
      <c r="AS198" s="606"/>
      <c r="AT198" s="606"/>
      <c r="AU198" s="606"/>
      <c r="AV198" s="780"/>
      <c r="AW198" s="590"/>
      <c r="AX198" s="606"/>
      <c r="AY198" s="606"/>
      <c r="AZ198" s="606"/>
      <c r="BA198" s="606"/>
      <c r="BB198" s="606"/>
      <c r="BC198" s="606"/>
      <c r="BD198" s="606"/>
      <c r="BE198" s="606"/>
      <c r="BF198" s="606"/>
      <c r="BG198" s="606"/>
      <c r="BH198" s="606"/>
      <c r="BI198" s="606"/>
      <c r="BJ198" s="606"/>
      <c r="BK198" s="606"/>
      <c r="BL198" s="606"/>
      <c r="BM198" s="606"/>
      <c r="BN198" s="606"/>
      <c r="BO198" s="606"/>
      <c r="BP198" s="606"/>
      <c r="BQ198" s="606"/>
      <c r="BR198" s="606"/>
      <c r="BS198" s="606"/>
      <c r="BT198" s="607"/>
    </row>
    <row r="199" spans="1:72" s="8" customFormat="1" ht="12" hidden="1" customHeight="1" thickBot="1" x14ac:dyDescent="0.4">
      <c r="A199" s="133">
        <v>16</v>
      </c>
      <c r="B199" s="1711" t="str">
        <f>IF(A199&gt;F$183,"{Can hide row}","")</f>
        <v>{Can hide row}</v>
      </c>
      <c r="C199" s="9" t="str">
        <f>A199&amp;" "</f>
        <v xml:space="preserve">16 </v>
      </c>
      <c r="D199" s="1831"/>
      <c r="E199" s="1832"/>
      <c r="F199" s="1833"/>
      <c r="G199" s="590"/>
      <c r="H199" s="616"/>
      <c r="I199" s="616"/>
      <c r="J199" s="812"/>
      <c r="K199" s="801"/>
      <c r="M199" s="605"/>
      <c r="N199" s="606"/>
      <c r="O199" s="606"/>
      <c r="P199" s="606"/>
      <c r="Q199" s="606"/>
      <c r="R199" s="606"/>
      <c r="S199" s="606"/>
      <c r="T199" s="606"/>
      <c r="U199" s="606"/>
      <c r="V199" s="606"/>
      <c r="W199" s="606"/>
      <c r="X199" s="606"/>
      <c r="Y199" s="606"/>
      <c r="Z199" s="606"/>
      <c r="AA199" s="606"/>
      <c r="AB199" s="606"/>
      <c r="AC199" s="606"/>
      <c r="AD199" s="606"/>
      <c r="AE199" s="606"/>
      <c r="AF199" s="606"/>
      <c r="AG199" s="606"/>
      <c r="AH199" s="606"/>
      <c r="AI199" s="606"/>
      <c r="AJ199" s="606"/>
      <c r="AK199" s="606"/>
      <c r="AL199" s="606"/>
      <c r="AM199" s="606"/>
      <c r="AN199" s="606"/>
      <c r="AO199" s="606"/>
      <c r="AP199" s="606"/>
      <c r="AQ199" s="606"/>
      <c r="AR199" s="606"/>
      <c r="AS199" s="606"/>
      <c r="AT199" s="606"/>
      <c r="AU199" s="606"/>
      <c r="AV199" s="780"/>
      <c r="AW199" s="590"/>
      <c r="AX199" s="606"/>
      <c r="AY199" s="606"/>
      <c r="AZ199" s="606"/>
      <c r="BA199" s="606"/>
      <c r="BB199" s="606"/>
      <c r="BC199" s="606"/>
      <c r="BD199" s="606"/>
      <c r="BE199" s="606"/>
      <c r="BF199" s="606"/>
      <c r="BG199" s="606"/>
      <c r="BH199" s="606"/>
      <c r="BI199" s="606"/>
      <c r="BJ199" s="606"/>
      <c r="BK199" s="606"/>
      <c r="BL199" s="606"/>
      <c r="BM199" s="606"/>
      <c r="BN199" s="606"/>
      <c r="BO199" s="606"/>
      <c r="BP199" s="606"/>
      <c r="BQ199" s="606"/>
      <c r="BR199" s="606"/>
      <c r="BS199" s="606"/>
      <c r="BT199" s="607"/>
    </row>
    <row r="200" spans="1:72" s="8" customFormat="1" ht="12" hidden="1" customHeight="1" thickBot="1" x14ac:dyDescent="0.4">
      <c r="A200" s="133">
        <v>17</v>
      </c>
      <c r="B200" s="1711" t="str">
        <f>IF(A200&gt;F$183,"{Can hide row}","")</f>
        <v>{Can hide row}</v>
      </c>
      <c r="C200" s="9" t="str">
        <f>A200&amp;" "</f>
        <v xml:space="preserve">17 </v>
      </c>
      <c r="D200" s="1831"/>
      <c r="E200" s="1832"/>
      <c r="F200" s="1833"/>
      <c r="G200" s="590"/>
      <c r="H200" s="616"/>
      <c r="I200" s="616"/>
      <c r="J200" s="812"/>
      <c r="K200" s="801"/>
      <c r="M200" s="605"/>
      <c r="N200" s="606"/>
      <c r="O200" s="606"/>
      <c r="P200" s="606"/>
      <c r="Q200" s="606"/>
      <c r="R200" s="606"/>
      <c r="S200" s="606"/>
      <c r="T200" s="606"/>
      <c r="U200" s="606"/>
      <c r="V200" s="606"/>
      <c r="W200" s="606"/>
      <c r="X200" s="606"/>
      <c r="Y200" s="606"/>
      <c r="Z200" s="606"/>
      <c r="AA200" s="606"/>
      <c r="AB200" s="606"/>
      <c r="AC200" s="606"/>
      <c r="AD200" s="606"/>
      <c r="AE200" s="606"/>
      <c r="AF200" s="606"/>
      <c r="AG200" s="606"/>
      <c r="AH200" s="606"/>
      <c r="AI200" s="606"/>
      <c r="AJ200" s="606"/>
      <c r="AK200" s="606"/>
      <c r="AL200" s="606"/>
      <c r="AM200" s="606"/>
      <c r="AN200" s="606"/>
      <c r="AO200" s="606"/>
      <c r="AP200" s="606"/>
      <c r="AQ200" s="606"/>
      <c r="AR200" s="606"/>
      <c r="AS200" s="606"/>
      <c r="AT200" s="606"/>
      <c r="AU200" s="606"/>
      <c r="AV200" s="780"/>
      <c r="AW200" s="590"/>
      <c r="AX200" s="606"/>
      <c r="AY200" s="606"/>
      <c r="AZ200" s="606"/>
      <c r="BA200" s="606"/>
      <c r="BB200" s="606"/>
      <c r="BC200" s="606"/>
      <c r="BD200" s="606"/>
      <c r="BE200" s="606"/>
      <c r="BF200" s="606"/>
      <c r="BG200" s="606"/>
      <c r="BH200" s="606"/>
      <c r="BI200" s="606"/>
      <c r="BJ200" s="606"/>
      <c r="BK200" s="606"/>
      <c r="BL200" s="606"/>
      <c r="BM200" s="606"/>
      <c r="BN200" s="606"/>
      <c r="BO200" s="606"/>
      <c r="BP200" s="606"/>
      <c r="BQ200" s="606"/>
      <c r="BR200" s="606"/>
      <c r="BS200" s="606"/>
      <c r="BT200" s="607"/>
    </row>
    <row r="201" spans="1:72" s="8" customFormat="1" ht="12" hidden="1" customHeight="1" thickBot="1" x14ac:dyDescent="0.4">
      <c r="A201" s="133">
        <v>18</v>
      </c>
      <c r="B201" s="1711" t="str">
        <f>IF(A201&gt;F$183,"{Can hide row}","")</f>
        <v>{Can hide row}</v>
      </c>
      <c r="C201" s="9" t="str">
        <f>A201&amp;" "</f>
        <v xml:space="preserve">18 </v>
      </c>
      <c r="D201" s="1831"/>
      <c r="E201" s="1832"/>
      <c r="F201" s="1833"/>
      <c r="G201" s="590"/>
      <c r="H201" s="616"/>
      <c r="I201" s="616"/>
      <c r="J201" s="812"/>
      <c r="K201" s="801"/>
      <c r="M201" s="605"/>
      <c r="N201" s="606"/>
      <c r="O201" s="606"/>
      <c r="P201" s="606"/>
      <c r="Q201" s="606"/>
      <c r="R201" s="606"/>
      <c r="S201" s="606"/>
      <c r="T201" s="606"/>
      <c r="U201" s="606"/>
      <c r="V201" s="606"/>
      <c r="W201" s="606"/>
      <c r="X201" s="606"/>
      <c r="Y201" s="606"/>
      <c r="Z201" s="606"/>
      <c r="AA201" s="606"/>
      <c r="AB201" s="606"/>
      <c r="AC201" s="606"/>
      <c r="AD201" s="606"/>
      <c r="AE201" s="606"/>
      <c r="AF201" s="606"/>
      <c r="AG201" s="606"/>
      <c r="AH201" s="606"/>
      <c r="AI201" s="606"/>
      <c r="AJ201" s="606"/>
      <c r="AK201" s="606"/>
      <c r="AL201" s="606"/>
      <c r="AM201" s="606"/>
      <c r="AN201" s="606"/>
      <c r="AO201" s="606"/>
      <c r="AP201" s="606"/>
      <c r="AQ201" s="606"/>
      <c r="AR201" s="606"/>
      <c r="AS201" s="606"/>
      <c r="AT201" s="606"/>
      <c r="AU201" s="606"/>
      <c r="AV201" s="780"/>
      <c r="AW201" s="590"/>
      <c r="AX201" s="606"/>
      <c r="AY201" s="606"/>
      <c r="AZ201" s="606"/>
      <c r="BA201" s="606"/>
      <c r="BB201" s="606"/>
      <c r="BC201" s="606"/>
      <c r="BD201" s="606"/>
      <c r="BE201" s="606"/>
      <c r="BF201" s="606"/>
      <c r="BG201" s="606"/>
      <c r="BH201" s="606"/>
      <c r="BI201" s="606"/>
      <c r="BJ201" s="606"/>
      <c r="BK201" s="606"/>
      <c r="BL201" s="606"/>
      <c r="BM201" s="606"/>
      <c r="BN201" s="606"/>
      <c r="BO201" s="606"/>
      <c r="BP201" s="606"/>
      <c r="BQ201" s="606"/>
      <c r="BR201" s="606"/>
      <c r="BS201" s="606"/>
      <c r="BT201" s="607"/>
    </row>
    <row r="202" spans="1:72" s="8" customFormat="1" ht="12" hidden="1" customHeight="1" thickBot="1" x14ac:dyDescent="0.4">
      <c r="A202" s="133">
        <v>19</v>
      </c>
      <c r="B202" s="1711" t="str">
        <f>IF(A202&gt;F$183,"{Can hide row}","")</f>
        <v>{Can hide row}</v>
      </c>
      <c r="C202" s="9" t="str">
        <f>A202&amp;" "</f>
        <v xml:space="preserve">19 </v>
      </c>
      <c r="D202" s="1831"/>
      <c r="E202" s="1832"/>
      <c r="F202" s="1833"/>
      <c r="G202" s="590"/>
      <c r="H202" s="616"/>
      <c r="I202" s="616"/>
      <c r="J202" s="812"/>
      <c r="K202" s="801"/>
      <c r="M202" s="605"/>
      <c r="N202" s="606"/>
      <c r="O202" s="606"/>
      <c r="P202" s="606"/>
      <c r="Q202" s="606"/>
      <c r="R202" s="606"/>
      <c r="S202" s="606"/>
      <c r="T202" s="606"/>
      <c r="U202" s="606"/>
      <c r="V202" s="606"/>
      <c r="W202" s="606"/>
      <c r="X202" s="606"/>
      <c r="Y202" s="606"/>
      <c r="Z202" s="606"/>
      <c r="AA202" s="606"/>
      <c r="AB202" s="606"/>
      <c r="AC202" s="606"/>
      <c r="AD202" s="606"/>
      <c r="AE202" s="606"/>
      <c r="AF202" s="606"/>
      <c r="AG202" s="606"/>
      <c r="AH202" s="606"/>
      <c r="AI202" s="606"/>
      <c r="AJ202" s="606"/>
      <c r="AK202" s="606"/>
      <c r="AL202" s="606"/>
      <c r="AM202" s="606"/>
      <c r="AN202" s="606"/>
      <c r="AO202" s="606"/>
      <c r="AP202" s="606"/>
      <c r="AQ202" s="606"/>
      <c r="AR202" s="606"/>
      <c r="AS202" s="606"/>
      <c r="AT202" s="606"/>
      <c r="AU202" s="606"/>
      <c r="AV202" s="780"/>
      <c r="AW202" s="590"/>
      <c r="AX202" s="606"/>
      <c r="AY202" s="606"/>
      <c r="AZ202" s="606"/>
      <c r="BA202" s="606"/>
      <c r="BB202" s="606"/>
      <c r="BC202" s="606"/>
      <c r="BD202" s="606"/>
      <c r="BE202" s="606"/>
      <c r="BF202" s="606"/>
      <c r="BG202" s="606"/>
      <c r="BH202" s="606"/>
      <c r="BI202" s="606"/>
      <c r="BJ202" s="606"/>
      <c r="BK202" s="606"/>
      <c r="BL202" s="606"/>
      <c r="BM202" s="606"/>
      <c r="BN202" s="606"/>
      <c r="BO202" s="606"/>
      <c r="BP202" s="606"/>
      <c r="BQ202" s="606"/>
      <c r="BR202" s="606"/>
      <c r="BS202" s="606"/>
      <c r="BT202" s="607"/>
    </row>
    <row r="203" spans="1:72" s="8" customFormat="1" ht="12" hidden="1" customHeight="1" thickBot="1" x14ac:dyDescent="0.4">
      <c r="A203" s="133">
        <v>20</v>
      </c>
      <c r="B203" s="1711" t="str">
        <f>IF(A203&gt;F$183,"{Can hide row}","")</f>
        <v>{Can hide row}</v>
      </c>
      <c r="C203" s="9" t="str">
        <f>A203&amp;" "</f>
        <v xml:space="preserve">20 </v>
      </c>
      <c r="D203" s="1831"/>
      <c r="E203" s="1832"/>
      <c r="F203" s="1833"/>
      <c r="G203" s="590"/>
      <c r="H203" s="616"/>
      <c r="I203" s="616"/>
      <c r="J203" s="812"/>
      <c r="K203" s="801"/>
      <c r="M203" s="605"/>
      <c r="N203" s="606"/>
      <c r="O203" s="606"/>
      <c r="P203" s="606"/>
      <c r="Q203" s="606"/>
      <c r="R203" s="606"/>
      <c r="S203" s="606"/>
      <c r="T203" s="606"/>
      <c r="U203" s="606"/>
      <c r="V203" s="606"/>
      <c r="W203" s="606"/>
      <c r="X203" s="606"/>
      <c r="Y203" s="606"/>
      <c r="Z203" s="606"/>
      <c r="AA203" s="606"/>
      <c r="AB203" s="606"/>
      <c r="AC203" s="606"/>
      <c r="AD203" s="606"/>
      <c r="AE203" s="606"/>
      <c r="AF203" s="606"/>
      <c r="AG203" s="606"/>
      <c r="AH203" s="606"/>
      <c r="AI203" s="606"/>
      <c r="AJ203" s="606"/>
      <c r="AK203" s="606"/>
      <c r="AL203" s="606"/>
      <c r="AM203" s="606"/>
      <c r="AN203" s="606"/>
      <c r="AO203" s="606"/>
      <c r="AP203" s="606"/>
      <c r="AQ203" s="606"/>
      <c r="AR203" s="606"/>
      <c r="AS203" s="606"/>
      <c r="AT203" s="606"/>
      <c r="AU203" s="606"/>
      <c r="AV203" s="780"/>
      <c r="AW203" s="590"/>
      <c r="AX203" s="606"/>
      <c r="AY203" s="606"/>
      <c r="AZ203" s="606"/>
      <c r="BA203" s="606"/>
      <c r="BB203" s="606"/>
      <c r="BC203" s="606"/>
      <c r="BD203" s="606"/>
      <c r="BE203" s="606"/>
      <c r="BF203" s="606"/>
      <c r="BG203" s="606"/>
      <c r="BH203" s="606"/>
      <c r="BI203" s="606"/>
      <c r="BJ203" s="606"/>
      <c r="BK203" s="606"/>
      <c r="BL203" s="606"/>
      <c r="BM203" s="606"/>
      <c r="BN203" s="606"/>
      <c r="BO203" s="606"/>
      <c r="BP203" s="606"/>
      <c r="BQ203" s="606"/>
      <c r="BR203" s="606"/>
      <c r="BS203" s="606"/>
      <c r="BT203" s="607"/>
    </row>
    <row r="204" spans="1:72" s="8" customFormat="1" ht="12" hidden="1" customHeight="1" thickBot="1" x14ac:dyDescent="0.4">
      <c r="A204" s="133">
        <v>21</v>
      </c>
      <c r="B204" s="1711" t="str">
        <f>IF(A204&gt;F$183,"{Can hide row}","")</f>
        <v>{Can hide row}</v>
      </c>
      <c r="C204" s="9" t="str">
        <f>A204&amp;" "</f>
        <v xml:space="preserve">21 </v>
      </c>
      <c r="D204" s="1831"/>
      <c r="E204" s="1832"/>
      <c r="F204" s="1833"/>
      <c r="G204" s="590"/>
      <c r="H204" s="616"/>
      <c r="I204" s="616"/>
      <c r="J204" s="812"/>
      <c r="K204" s="801"/>
      <c r="M204" s="605"/>
      <c r="N204" s="606"/>
      <c r="O204" s="606"/>
      <c r="P204" s="606"/>
      <c r="Q204" s="606"/>
      <c r="R204" s="606"/>
      <c r="S204" s="606"/>
      <c r="T204" s="606"/>
      <c r="U204" s="606"/>
      <c r="V204" s="606"/>
      <c r="W204" s="606"/>
      <c r="X204" s="606"/>
      <c r="Y204" s="606"/>
      <c r="Z204" s="606"/>
      <c r="AA204" s="606"/>
      <c r="AB204" s="606"/>
      <c r="AC204" s="606"/>
      <c r="AD204" s="606"/>
      <c r="AE204" s="606"/>
      <c r="AF204" s="606"/>
      <c r="AG204" s="606"/>
      <c r="AH204" s="606"/>
      <c r="AI204" s="606"/>
      <c r="AJ204" s="606"/>
      <c r="AK204" s="606"/>
      <c r="AL204" s="606"/>
      <c r="AM204" s="606"/>
      <c r="AN204" s="606"/>
      <c r="AO204" s="606"/>
      <c r="AP204" s="606"/>
      <c r="AQ204" s="606"/>
      <c r="AR204" s="606"/>
      <c r="AS204" s="606"/>
      <c r="AT204" s="606"/>
      <c r="AU204" s="606"/>
      <c r="AV204" s="780"/>
      <c r="AW204" s="590"/>
      <c r="AX204" s="606"/>
      <c r="AY204" s="606"/>
      <c r="AZ204" s="606"/>
      <c r="BA204" s="606"/>
      <c r="BB204" s="606"/>
      <c r="BC204" s="606"/>
      <c r="BD204" s="606"/>
      <c r="BE204" s="606"/>
      <c r="BF204" s="606"/>
      <c r="BG204" s="606"/>
      <c r="BH204" s="606"/>
      <c r="BI204" s="606"/>
      <c r="BJ204" s="606"/>
      <c r="BK204" s="606"/>
      <c r="BL204" s="606"/>
      <c r="BM204" s="606"/>
      <c r="BN204" s="606"/>
      <c r="BO204" s="606"/>
      <c r="BP204" s="606"/>
      <c r="BQ204" s="606"/>
      <c r="BR204" s="606"/>
      <c r="BS204" s="606"/>
      <c r="BT204" s="607"/>
    </row>
    <row r="205" spans="1:72" s="8" customFormat="1" ht="12" hidden="1" customHeight="1" thickBot="1" x14ac:dyDescent="0.4">
      <c r="A205" s="133">
        <v>22</v>
      </c>
      <c r="B205" s="1711" t="str">
        <f>IF(A205&gt;F$183,"{Can hide row}","")</f>
        <v>{Can hide row}</v>
      </c>
      <c r="C205" s="9" t="str">
        <f>A205&amp;" "</f>
        <v xml:space="preserve">22 </v>
      </c>
      <c r="D205" s="1831"/>
      <c r="E205" s="1832"/>
      <c r="F205" s="1833"/>
      <c r="G205" s="590"/>
      <c r="H205" s="616"/>
      <c r="I205" s="616"/>
      <c r="J205" s="812"/>
      <c r="K205" s="801"/>
      <c r="M205" s="605"/>
      <c r="N205" s="606"/>
      <c r="O205" s="606"/>
      <c r="P205" s="606"/>
      <c r="Q205" s="606"/>
      <c r="R205" s="606"/>
      <c r="S205" s="606"/>
      <c r="T205" s="606"/>
      <c r="U205" s="606"/>
      <c r="V205" s="606"/>
      <c r="W205" s="606"/>
      <c r="X205" s="606"/>
      <c r="Y205" s="606"/>
      <c r="Z205" s="606"/>
      <c r="AA205" s="606"/>
      <c r="AB205" s="606"/>
      <c r="AC205" s="606"/>
      <c r="AD205" s="606"/>
      <c r="AE205" s="606"/>
      <c r="AF205" s="606"/>
      <c r="AG205" s="606"/>
      <c r="AH205" s="606"/>
      <c r="AI205" s="606"/>
      <c r="AJ205" s="606"/>
      <c r="AK205" s="606"/>
      <c r="AL205" s="606"/>
      <c r="AM205" s="606"/>
      <c r="AN205" s="606"/>
      <c r="AO205" s="606"/>
      <c r="AP205" s="606"/>
      <c r="AQ205" s="606"/>
      <c r="AR205" s="606"/>
      <c r="AS205" s="606"/>
      <c r="AT205" s="606"/>
      <c r="AU205" s="606"/>
      <c r="AV205" s="780"/>
      <c r="AW205" s="590"/>
      <c r="AX205" s="606"/>
      <c r="AY205" s="606"/>
      <c r="AZ205" s="606"/>
      <c r="BA205" s="606"/>
      <c r="BB205" s="606"/>
      <c r="BC205" s="606"/>
      <c r="BD205" s="606"/>
      <c r="BE205" s="606"/>
      <c r="BF205" s="606"/>
      <c r="BG205" s="606"/>
      <c r="BH205" s="606"/>
      <c r="BI205" s="606"/>
      <c r="BJ205" s="606"/>
      <c r="BK205" s="606"/>
      <c r="BL205" s="606"/>
      <c r="BM205" s="606"/>
      <c r="BN205" s="606"/>
      <c r="BO205" s="606"/>
      <c r="BP205" s="606"/>
      <c r="BQ205" s="606"/>
      <c r="BR205" s="606"/>
      <c r="BS205" s="606"/>
      <c r="BT205" s="607"/>
    </row>
    <row r="206" spans="1:72" s="8" customFormat="1" ht="12" hidden="1" customHeight="1" thickBot="1" x14ac:dyDescent="0.4">
      <c r="A206" s="133">
        <v>23</v>
      </c>
      <c r="B206" s="1711" t="str">
        <f>IF(A206&gt;F$183,"{Can hide row}","")</f>
        <v>{Can hide row}</v>
      </c>
      <c r="C206" s="9" t="str">
        <f>A206&amp;" "</f>
        <v xml:space="preserve">23 </v>
      </c>
      <c r="D206" s="1831"/>
      <c r="E206" s="1832"/>
      <c r="F206" s="1833"/>
      <c r="G206" s="590"/>
      <c r="H206" s="616"/>
      <c r="I206" s="616"/>
      <c r="J206" s="812"/>
      <c r="K206" s="801"/>
      <c r="M206" s="605"/>
      <c r="N206" s="606"/>
      <c r="O206" s="606"/>
      <c r="P206" s="606"/>
      <c r="Q206" s="606"/>
      <c r="R206" s="606"/>
      <c r="S206" s="606"/>
      <c r="T206" s="606"/>
      <c r="U206" s="606"/>
      <c r="V206" s="606"/>
      <c r="W206" s="606"/>
      <c r="X206" s="606"/>
      <c r="Y206" s="606"/>
      <c r="Z206" s="606"/>
      <c r="AA206" s="606"/>
      <c r="AB206" s="606"/>
      <c r="AC206" s="606"/>
      <c r="AD206" s="606"/>
      <c r="AE206" s="606"/>
      <c r="AF206" s="606"/>
      <c r="AG206" s="606"/>
      <c r="AH206" s="606"/>
      <c r="AI206" s="606"/>
      <c r="AJ206" s="606"/>
      <c r="AK206" s="606"/>
      <c r="AL206" s="606"/>
      <c r="AM206" s="606"/>
      <c r="AN206" s="606"/>
      <c r="AO206" s="606"/>
      <c r="AP206" s="606"/>
      <c r="AQ206" s="606"/>
      <c r="AR206" s="606"/>
      <c r="AS206" s="606"/>
      <c r="AT206" s="606"/>
      <c r="AU206" s="606"/>
      <c r="AV206" s="780"/>
      <c r="AW206" s="590"/>
      <c r="AX206" s="606"/>
      <c r="AY206" s="606"/>
      <c r="AZ206" s="606"/>
      <c r="BA206" s="606"/>
      <c r="BB206" s="606"/>
      <c r="BC206" s="606"/>
      <c r="BD206" s="606"/>
      <c r="BE206" s="606"/>
      <c r="BF206" s="606"/>
      <c r="BG206" s="606"/>
      <c r="BH206" s="606"/>
      <c r="BI206" s="606"/>
      <c r="BJ206" s="606"/>
      <c r="BK206" s="606"/>
      <c r="BL206" s="606"/>
      <c r="BM206" s="606"/>
      <c r="BN206" s="606"/>
      <c r="BO206" s="606"/>
      <c r="BP206" s="606"/>
      <c r="BQ206" s="606"/>
      <c r="BR206" s="606"/>
      <c r="BS206" s="606"/>
      <c r="BT206" s="607"/>
    </row>
    <row r="207" spans="1:72" s="8" customFormat="1" ht="12" hidden="1" customHeight="1" thickBot="1" x14ac:dyDescent="0.4">
      <c r="A207" s="133">
        <v>24</v>
      </c>
      <c r="B207" s="1711" t="str">
        <f>IF(A207&gt;F$183,"{Can hide row}","")</f>
        <v>{Can hide row}</v>
      </c>
      <c r="C207" s="9" t="str">
        <f>A207&amp;" "</f>
        <v xml:space="preserve">24 </v>
      </c>
      <c r="D207" s="1831"/>
      <c r="E207" s="1832"/>
      <c r="F207" s="1833"/>
      <c r="G207" s="590"/>
      <c r="H207" s="616"/>
      <c r="I207" s="616"/>
      <c r="J207" s="812"/>
      <c r="K207" s="801"/>
      <c r="M207" s="605"/>
      <c r="N207" s="606"/>
      <c r="O207" s="606"/>
      <c r="P207" s="606"/>
      <c r="Q207" s="606"/>
      <c r="R207" s="606"/>
      <c r="S207" s="606"/>
      <c r="T207" s="606"/>
      <c r="U207" s="606"/>
      <c r="V207" s="606"/>
      <c r="W207" s="606"/>
      <c r="X207" s="606"/>
      <c r="Y207" s="606"/>
      <c r="Z207" s="606"/>
      <c r="AA207" s="606"/>
      <c r="AB207" s="606"/>
      <c r="AC207" s="606"/>
      <c r="AD207" s="606"/>
      <c r="AE207" s="606"/>
      <c r="AF207" s="606"/>
      <c r="AG207" s="606"/>
      <c r="AH207" s="606"/>
      <c r="AI207" s="606"/>
      <c r="AJ207" s="606"/>
      <c r="AK207" s="606"/>
      <c r="AL207" s="606"/>
      <c r="AM207" s="606"/>
      <c r="AN207" s="606"/>
      <c r="AO207" s="606"/>
      <c r="AP207" s="606"/>
      <c r="AQ207" s="606"/>
      <c r="AR207" s="606"/>
      <c r="AS207" s="606"/>
      <c r="AT207" s="606"/>
      <c r="AU207" s="606"/>
      <c r="AV207" s="780"/>
      <c r="AW207" s="590"/>
      <c r="AX207" s="606"/>
      <c r="AY207" s="606"/>
      <c r="AZ207" s="606"/>
      <c r="BA207" s="606"/>
      <c r="BB207" s="606"/>
      <c r="BC207" s="606"/>
      <c r="BD207" s="606"/>
      <c r="BE207" s="606"/>
      <c r="BF207" s="606"/>
      <c r="BG207" s="606"/>
      <c r="BH207" s="606"/>
      <c r="BI207" s="606"/>
      <c r="BJ207" s="606"/>
      <c r="BK207" s="606"/>
      <c r="BL207" s="606"/>
      <c r="BM207" s="606"/>
      <c r="BN207" s="606"/>
      <c r="BO207" s="606"/>
      <c r="BP207" s="606"/>
      <c r="BQ207" s="606"/>
      <c r="BR207" s="606"/>
      <c r="BS207" s="606"/>
      <c r="BT207" s="607"/>
    </row>
    <row r="208" spans="1:72" s="8" customFormat="1" ht="12" hidden="1" customHeight="1" thickBot="1" x14ac:dyDescent="0.4">
      <c r="A208" s="133">
        <v>25</v>
      </c>
      <c r="B208" s="1711" t="str">
        <f>IF(A208&gt;F$183,"{Can hide row}","")</f>
        <v>{Can hide row}</v>
      </c>
      <c r="C208" s="9" t="str">
        <f>A208&amp;" "</f>
        <v xml:space="preserve">25 </v>
      </c>
      <c r="D208" s="1831"/>
      <c r="E208" s="1832"/>
      <c r="F208" s="1833"/>
      <c r="G208" s="590"/>
      <c r="H208" s="616"/>
      <c r="I208" s="616"/>
      <c r="J208" s="812"/>
      <c r="K208" s="801"/>
      <c r="M208" s="605"/>
      <c r="N208" s="606"/>
      <c r="O208" s="606"/>
      <c r="P208" s="606"/>
      <c r="Q208" s="606"/>
      <c r="R208" s="606"/>
      <c r="S208" s="606"/>
      <c r="T208" s="606"/>
      <c r="U208" s="606"/>
      <c r="V208" s="606"/>
      <c r="W208" s="606"/>
      <c r="X208" s="606"/>
      <c r="Y208" s="606"/>
      <c r="Z208" s="606"/>
      <c r="AA208" s="606"/>
      <c r="AB208" s="606"/>
      <c r="AC208" s="606"/>
      <c r="AD208" s="606"/>
      <c r="AE208" s="606"/>
      <c r="AF208" s="606"/>
      <c r="AG208" s="606"/>
      <c r="AH208" s="606"/>
      <c r="AI208" s="606"/>
      <c r="AJ208" s="606"/>
      <c r="AK208" s="606"/>
      <c r="AL208" s="606"/>
      <c r="AM208" s="606"/>
      <c r="AN208" s="606"/>
      <c r="AO208" s="606"/>
      <c r="AP208" s="606"/>
      <c r="AQ208" s="606"/>
      <c r="AR208" s="606"/>
      <c r="AS208" s="606"/>
      <c r="AT208" s="606"/>
      <c r="AU208" s="606"/>
      <c r="AV208" s="780"/>
      <c r="AW208" s="590"/>
      <c r="AX208" s="606"/>
      <c r="AY208" s="606"/>
      <c r="AZ208" s="606"/>
      <c r="BA208" s="606"/>
      <c r="BB208" s="606"/>
      <c r="BC208" s="606"/>
      <c r="BD208" s="606"/>
      <c r="BE208" s="606"/>
      <c r="BF208" s="606"/>
      <c r="BG208" s="606"/>
      <c r="BH208" s="606"/>
      <c r="BI208" s="606"/>
      <c r="BJ208" s="606"/>
      <c r="BK208" s="606"/>
      <c r="BL208" s="606"/>
      <c r="BM208" s="606"/>
      <c r="BN208" s="606"/>
      <c r="BO208" s="606"/>
      <c r="BP208" s="606"/>
      <c r="BQ208" s="606"/>
      <c r="BR208" s="606"/>
      <c r="BS208" s="606"/>
      <c r="BT208" s="607"/>
    </row>
    <row r="209" spans="1:72" s="8" customFormat="1" ht="12" hidden="1" customHeight="1" thickBot="1" x14ac:dyDescent="0.4">
      <c r="A209" s="133">
        <v>26</v>
      </c>
      <c r="B209" s="1711" t="str">
        <f>IF(A209&gt;F$183,"{Can hide row}","")</f>
        <v>{Can hide row}</v>
      </c>
      <c r="C209" s="9" t="str">
        <f>A209&amp;" "</f>
        <v xml:space="preserve">26 </v>
      </c>
      <c r="D209" s="1831"/>
      <c r="E209" s="1832"/>
      <c r="F209" s="1833"/>
      <c r="G209" s="590"/>
      <c r="H209" s="616"/>
      <c r="I209" s="616"/>
      <c r="J209" s="812"/>
      <c r="K209" s="801"/>
      <c r="M209" s="605"/>
      <c r="N209" s="606"/>
      <c r="O209" s="606"/>
      <c r="P209" s="606"/>
      <c r="Q209" s="606"/>
      <c r="R209" s="606"/>
      <c r="S209" s="606"/>
      <c r="T209" s="606"/>
      <c r="U209" s="606"/>
      <c r="V209" s="606"/>
      <c r="W209" s="606"/>
      <c r="X209" s="606"/>
      <c r="Y209" s="606"/>
      <c r="Z209" s="606"/>
      <c r="AA209" s="606"/>
      <c r="AB209" s="606"/>
      <c r="AC209" s="606"/>
      <c r="AD209" s="606"/>
      <c r="AE209" s="606"/>
      <c r="AF209" s="606"/>
      <c r="AG209" s="606"/>
      <c r="AH209" s="606"/>
      <c r="AI209" s="606"/>
      <c r="AJ209" s="606"/>
      <c r="AK209" s="606"/>
      <c r="AL209" s="606"/>
      <c r="AM209" s="606"/>
      <c r="AN209" s="606"/>
      <c r="AO209" s="606"/>
      <c r="AP209" s="606"/>
      <c r="AQ209" s="606"/>
      <c r="AR209" s="606"/>
      <c r="AS209" s="606"/>
      <c r="AT209" s="606"/>
      <c r="AU209" s="606"/>
      <c r="AV209" s="780"/>
      <c r="AW209" s="590"/>
      <c r="AX209" s="606"/>
      <c r="AY209" s="606"/>
      <c r="AZ209" s="606"/>
      <c r="BA209" s="606"/>
      <c r="BB209" s="606"/>
      <c r="BC209" s="606"/>
      <c r="BD209" s="606"/>
      <c r="BE209" s="606"/>
      <c r="BF209" s="606"/>
      <c r="BG209" s="606"/>
      <c r="BH209" s="606"/>
      <c r="BI209" s="606"/>
      <c r="BJ209" s="606"/>
      <c r="BK209" s="606"/>
      <c r="BL209" s="606"/>
      <c r="BM209" s="606"/>
      <c r="BN209" s="606"/>
      <c r="BO209" s="606"/>
      <c r="BP209" s="606"/>
      <c r="BQ209" s="606"/>
      <c r="BR209" s="606"/>
      <c r="BS209" s="606"/>
      <c r="BT209" s="607"/>
    </row>
    <row r="210" spans="1:72" s="8" customFormat="1" ht="12" hidden="1" customHeight="1" thickBot="1" x14ac:dyDescent="0.4">
      <c r="A210" s="133">
        <v>27</v>
      </c>
      <c r="B210" s="1711" t="str">
        <f>IF(A210&gt;F$183,"{Can hide row}","")</f>
        <v>{Can hide row}</v>
      </c>
      <c r="C210" s="9" t="str">
        <f>A210&amp;" "</f>
        <v xml:space="preserve">27 </v>
      </c>
      <c r="D210" s="1831"/>
      <c r="E210" s="1832"/>
      <c r="F210" s="1833"/>
      <c r="G210" s="590"/>
      <c r="H210" s="616"/>
      <c r="I210" s="616"/>
      <c r="J210" s="812"/>
      <c r="K210" s="801"/>
      <c r="M210" s="605"/>
      <c r="N210" s="606"/>
      <c r="O210" s="606"/>
      <c r="P210" s="606"/>
      <c r="Q210" s="606"/>
      <c r="R210" s="606"/>
      <c r="S210" s="606"/>
      <c r="T210" s="606"/>
      <c r="U210" s="606"/>
      <c r="V210" s="606"/>
      <c r="W210" s="606"/>
      <c r="X210" s="606"/>
      <c r="Y210" s="606"/>
      <c r="Z210" s="606"/>
      <c r="AA210" s="606"/>
      <c r="AB210" s="606"/>
      <c r="AC210" s="606"/>
      <c r="AD210" s="606"/>
      <c r="AE210" s="606"/>
      <c r="AF210" s="606"/>
      <c r="AG210" s="606"/>
      <c r="AH210" s="606"/>
      <c r="AI210" s="606"/>
      <c r="AJ210" s="606"/>
      <c r="AK210" s="606"/>
      <c r="AL210" s="606"/>
      <c r="AM210" s="606"/>
      <c r="AN210" s="606"/>
      <c r="AO210" s="606"/>
      <c r="AP210" s="606"/>
      <c r="AQ210" s="606"/>
      <c r="AR210" s="606"/>
      <c r="AS210" s="606"/>
      <c r="AT210" s="606"/>
      <c r="AU210" s="606"/>
      <c r="AV210" s="780"/>
      <c r="AW210" s="590"/>
      <c r="AX210" s="606"/>
      <c r="AY210" s="606"/>
      <c r="AZ210" s="606"/>
      <c r="BA210" s="606"/>
      <c r="BB210" s="606"/>
      <c r="BC210" s="606"/>
      <c r="BD210" s="606"/>
      <c r="BE210" s="606"/>
      <c r="BF210" s="606"/>
      <c r="BG210" s="606"/>
      <c r="BH210" s="606"/>
      <c r="BI210" s="606"/>
      <c r="BJ210" s="606"/>
      <c r="BK210" s="606"/>
      <c r="BL210" s="606"/>
      <c r="BM210" s="606"/>
      <c r="BN210" s="606"/>
      <c r="BO210" s="606"/>
      <c r="BP210" s="606"/>
      <c r="BQ210" s="606"/>
      <c r="BR210" s="606"/>
      <c r="BS210" s="606"/>
      <c r="BT210" s="607"/>
    </row>
    <row r="211" spans="1:72" s="8" customFormat="1" ht="12" hidden="1" customHeight="1" thickBot="1" x14ac:dyDescent="0.4">
      <c r="A211" s="133">
        <v>28</v>
      </c>
      <c r="B211" s="1711" t="str">
        <f>IF(A211&gt;F$183,"{Can hide row}","")</f>
        <v>{Can hide row}</v>
      </c>
      <c r="C211" s="9" t="str">
        <f>A211&amp;" "</f>
        <v xml:space="preserve">28 </v>
      </c>
      <c r="D211" s="1831"/>
      <c r="E211" s="1832"/>
      <c r="F211" s="1833"/>
      <c r="G211" s="590"/>
      <c r="H211" s="616"/>
      <c r="I211" s="616"/>
      <c r="J211" s="812"/>
      <c r="K211" s="801"/>
      <c r="M211" s="605"/>
      <c r="N211" s="606"/>
      <c r="O211" s="606"/>
      <c r="P211" s="606"/>
      <c r="Q211" s="606"/>
      <c r="R211" s="606"/>
      <c r="S211" s="606"/>
      <c r="T211" s="606"/>
      <c r="U211" s="606"/>
      <c r="V211" s="606"/>
      <c r="W211" s="606"/>
      <c r="X211" s="606"/>
      <c r="Y211" s="606"/>
      <c r="Z211" s="606"/>
      <c r="AA211" s="606"/>
      <c r="AB211" s="606"/>
      <c r="AC211" s="606"/>
      <c r="AD211" s="606"/>
      <c r="AE211" s="606"/>
      <c r="AF211" s="606"/>
      <c r="AG211" s="606"/>
      <c r="AH211" s="606"/>
      <c r="AI211" s="606"/>
      <c r="AJ211" s="606"/>
      <c r="AK211" s="606"/>
      <c r="AL211" s="606"/>
      <c r="AM211" s="606"/>
      <c r="AN211" s="606"/>
      <c r="AO211" s="606"/>
      <c r="AP211" s="606"/>
      <c r="AQ211" s="606"/>
      <c r="AR211" s="606"/>
      <c r="AS211" s="606"/>
      <c r="AT211" s="606"/>
      <c r="AU211" s="606"/>
      <c r="AV211" s="780"/>
      <c r="AW211" s="590"/>
      <c r="AX211" s="606"/>
      <c r="AY211" s="606"/>
      <c r="AZ211" s="606"/>
      <c r="BA211" s="606"/>
      <c r="BB211" s="606"/>
      <c r="BC211" s="606"/>
      <c r="BD211" s="606"/>
      <c r="BE211" s="606"/>
      <c r="BF211" s="606"/>
      <c r="BG211" s="606"/>
      <c r="BH211" s="606"/>
      <c r="BI211" s="606"/>
      <c r="BJ211" s="606"/>
      <c r="BK211" s="606"/>
      <c r="BL211" s="606"/>
      <c r="BM211" s="606"/>
      <c r="BN211" s="606"/>
      <c r="BO211" s="606"/>
      <c r="BP211" s="606"/>
      <c r="BQ211" s="606"/>
      <c r="BR211" s="606"/>
      <c r="BS211" s="606"/>
      <c r="BT211" s="607"/>
    </row>
    <row r="212" spans="1:72" s="8" customFormat="1" ht="12" hidden="1" customHeight="1" thickBot="1" x14ac:dyDescent="0.4">
      <c r="A212" s="133">
        <v>29</v>
      </c>
      <c r="B212" s="1711" t="str">
        <f>IF(A212&gt;F$183,"{Can hide row}","")</f>
        <v>{Can hide row}</v>
      </c>
      <c r="C212" s="9" t="str">
        <f>A212&amp;" "</f>
        <v xml:space="preserve">29 </v>
      </c>
      <c r="D212" s="1831"/>
      <c r="E212" s="1832"/>
      <c r="F212" s="1833"/>
      <c r="G212" s="590"/>
      <c r="H212" s="616"/>
      <c r="I212" s="616"/>
      <c r="J212" s="812"/>
      <c r="K212" s="801"/>
      <c r="M212" s="605"/>
      <c r="N212" s="606"/>
      <c r="O212" s="606"/>
      <c r="P212" s="606"/>
      <c r="Q212" s="606"/>
      <c r="R212" s="606"/>
      <c r="S212" s="606"/>
      <c r="T212" s="606"/>
      <c r="U212" s="606"/>
      <c r="V212" s="606"/>
      <c r="W212" s="606"/>
      <c r="X212" s="606"/>
      <c r="Y212" s="606"/>
      <c r="Z212" s="606"/>
      <c r="AA212" s="606"/>
      <c r="AB212" s="606"/>
      <c r="AC212" s="606"/>
      <c r="AD212" s="606"/>
      <c r="AE212" s="606"/>
      <c r="AF212" s="606"/>
      <c r="AG212" s="606"/>
      <c r="AH212" s="606"/>
      <c r="AI212" s="606"/>
      <c r="AJ212" s="606"/>
      <c r="AK212" s="606"/>
      <c r="AL212" s="606"/>
      <c r="AM212" s="606"/>
      <c r="AN212" s="606"/>
      <c r="AO212" s="606"/>
      <c r="AP212" s="606"/>
      <c r="AQ212" s="606"/>
      <c r="AR212" s="606"/>
      <c r="AS212" s="606"/>
      <c r="AT212" s="606"/>
      <c r="AU212" s="606"/>
      <c r="AV212" s="780"/>
      <c r="AW212" s="590"/>
      <c r="AX212" s="606"/>
      <c r="AY212" s="606"/>
      <c r="AZ212" s="606"/>
      <c r="BA212" s="606"/>
      <c r="BB212" s="606"/>
      <c r="BC212" s="606"/>
      <c r="BD212" s="606"/>
      <c r="BE212" s="606"/>
      <c r="BF212" s="606"/>
      <c r="BG212" s="606"/>
      <c r="BH212" s="606"/>
      <c r="BI212" s="606"/>
      <c r="BJ212" s="606"/>
      <c r="BK212" s="606"/>
      <c r="BL212" s="606"/>
      <c r="BM212" s="606"/>
      <c r="BN212" s="606"/>
      <c r="BO212" s="606"/>
      <c r="BP212" s="606"/>
      <c r="BQ212" s="606"/>
      <c r="BR212" s="606"/>
      <c r="BS212" s="606"/>
      <c r="BT212" s="607"/>
    </row>
    <row r="213" spans="1:72" s="8" customFormat="1" ht="12" hidden="1" customHeight="1" thickBot="1" x14ac:dyDescent="0.4">
      <c r="A213" s="133">
        <v>30</v>
      </c>
      <c r="B213" s="1711" t="str">
        <f>IF(A213&gt;F$183,"{Can hide row}","")</f>
        <v>{Can hide row}</v>
      </c>
      <c r="C213" s="9" t="str">
        <f>A213&amp;" "</f>
        <v xml:space="preserve">30 </v>
      </c>
      <c r="D213" s="1831"/>
      <c r="E213" s="1832"/>
      <c r="F213" s="1833"/>
      <c r="G213" s="590"/>
      <c r="H213" s="616"/>
      <c r="I213" s="616"/>
      <c r="J213" s="812"/>
      <c r="K213" s="801"/>
      <c r="M213" s="605"/>
      <c r="N213" s="606"/>
      <c r="O213" s="606"/>
      <c r="P213" s="606"/>
      <c r="Q213" s="606"/>
      <c r="R213" s="606"/>
      <c r="S213" s="606"/>
      <c r="T213" s="606"/>
      <c r="U213" s="606"/>
      <c r="V213" s="606"/>
      <c r="W213" s="606"/>
      <c r="X213" s="606"/>
      <c r="Y213" s="606"/>
      <c r="Z213" s="606"/>
      <c r="AA213" s="606"/>
      <c r="AB213" s="606"/>
      <c r="AC213" s="606"/>
      <c r="AD213" s="606"/>
      <c r="AE213" s="606"/>
      <c r="AF213" s="606"/>
      <c r="AG213" s="606"/>
      <c r="AH213" s="606"/>
      <c r="AI213" s="606"/>
      <c r="AJ213" s="606"/>
      <c r="AK213" s="606"/>
      <c r="AL213" s="606"/>
      <c r="AM213" s="606"/>
      <c r="AN213" s="606"/>
      <c r="AO213" s="606"/>
      <c r="AP213" s="606"/>
      <c r="AQ213" s="606"/>
      <c r="AR213" s="606"/>
      <c r="AS213" s="606"/>
      <c r="AT213" s="606"/>
      <c r="AU213" s="606"/>
      <c r="AV213" s="780"/>
      <c r="AW213" s="590"/>
      <c r="AX213" s="606"/>
      <c r="AY213" s="606"/>
      <c r="AZ213" s="606"/>
      <c r="BA213" s="606"/>
      <c r="BB213" s="606"/>
      <c r="BC213" s="606"/>
      <c r="BD213" s="606"/>
      <c r="BE213" s="606"/>
      <c r="BF213" s="606"/>
      <c r="BG213" s="606"/>
      <c r="BH213" s="606"/>
      <c r="BI213" s="606"/>
      <c r="BJ213" s="606"/>
      <c r="BK213" s="606"/>
      <c r="BL213" s="606"/>
      <c r="BM213" s="606"/>
      <c r="BN213" s="606"/>
      <c r="BO213" s="606"/>
      <c r="BP213" s="606"/>
      <c r="BQ213" s="606"/>
      <c r="BR213" s="606"/>
      <c r="BS213" s="606"/>
      <c r="BT213" s="607"/>
    </row>
    <row r="214" spans="1:72" s="8" customFormat="1" ht="12" hidden="1" customHeight="1" thickBot="1" x14ac:dyDescent="0.4">
      <c r="A214" s="133">
        <v>31</v>
      </c>
      <c r="B214" s="1711" t="str">
        <f>IF(A214&gt;F$183,"{Can hide row}","")</f>
        <v>{Can hide row}</v>
      </c>
      <c r="C214" s="9" t="str">
        <f>A214&amp;" "</f>
        <v xml:space="preserve">31 </v>
      </c>
      <c r="D214" s="1831"/>
      <c r="E214" s="1832"/>
      <c r="F214" s="1833"/>
      <c r="G214" s="590"/>
      <c r="H214" s="616"/>
      <c r="I214" s="616"/>
      <c r="J214" s="812"/>
      <c r="K214" s="801"/>
      <c r="M214" s="605"/>
      <c r="N214" s="606"/>
      <c r="O214" s="606"/>
      <c r="P214" s="606"/>
      <c r="Q214" s="606"/>
      <c r="R214" s="606"/>
      <c r="S214" s="606"/>
      <c r="T214" s="606"/>
      <c r="U214" s="606"/>
      <c r="V214" s="606"/>
      <c r="W214" s="606"/>
      <c r="X214" s="606"/>
      <c r="Y214" s="606"/>
      <c r="Z214" s="606"/>
      <c r="AA214" s="606"/>
      <c r="AB214" s="606"/>
      <c r="AC214" s="606"/>
      <c r="AD214" s="606"/>
      <c r="AE214" s="606"/>
      <c r="AF214" s="606"/>
      <c r="AG214" s="606"/>
      <c r="AH214" s="606"/>
      <c r="AI214" s="606"/>
      <c r="AJ214" s="606"/>
      <c r="AK214" s="606"/>
      <c r="AL214" s="606"/>
      <c r="AM214" s="606"/>
      <c r="AN214" s="606"/>
      <c r="AO214" s="606"/>
      <c r="AP214" s="606"/>
      <c r="AQ214" s="606"/>
      <c r="AR214" s="606"/>
      <c r="AS214" s="606"/>
      <c r="AT214" s="606"/>
      <c r="AU214" s="606"/>
      <c r="AV214" s="780"/>
      <c r="AW214" s="590"/>
      <c r="AX214" s="606"/>
      <c r="AY214" s="606"/>
      <c r="AZ214" s="606"/>
      <c r="BA214" s="606"/>
      <c r="BB214" s="606"/>
      <c r="BC214" s="606"/>
      <c r="BD214" s="606"/>
      <c r="BE214" s="606"/>
      <c r="BF214" s="606"/>
      <c r="BG214" s="606"/>
      <c r="BH214" s="606"/>
      <c r="BI214" s="606"/>
      <c r="BJ214" s="606"/>
      <c r="BK214" s="606"/>
      <c r="BL214" s="606"/>
      <c r="BM214" s="606"/>
      <c r="BN214" s="606"/>
      <c r="BO214" s="606"/>
      <c r="BP214" s="606"/>
      <c r="BQ214" s="606"/>
      <c r="BR214" s="606"/>
      <c r="BS214" s="606"/>
      <c r="BT214" s="607"/>
    </row>
    <row r="215" spans="1:72" s="8" customFormat="1" ht="12" hidden="1" customHeight="1" thickBot="1" x14ac:dyDescent="0.4">
      <c r="A215" s="133">
        <v>32</v>
      </c>
      <c r="B215" s="1711" t="str">
        <f>IF(A215&gt;F$183,"{Can hide row}","")</f>
        <v>{Can hide row}</v>
      </c>
      <c r="C215" s="9" t="str">
        <f>A215&amp;" "</f>
        <v xml:space="preserve">32 </v>
      </c>
      <c r="D215" s="1831"/>
      <c r="E215" s="1832"/>
      <c r="F215" s="1833"/>
      <c r="G215" s="590"/>
      <c r="H215" s="616"/>
      <c r="I215" s="616"/>
      <c r="J215" s="812"/>
      <c r="K215" s="801"/>
      <c r="M215" s="605"/>
      <c r="N215" s="606"/>
      <c r="O215" s="606"/>
      <c r="P215" s="606"/>
      <c r="Q215" s="606"/>
      <c r="R215" s="606"/>
      <c r="S215" s="606"/>
      <c r="T215" s="606"/>
      <c r="U215" s="606"/>
      <c r="V215" s="606"/>
      <c r="W215" s="606"/>
      <c r="X215" s="606"/>
      <c r="Y215" s="606"/>
      <c r="Z215" s="606"/>
      <c r="AA215" s="606"/>
      <c r="AB215" s="606"/>
      <c r="AC215" s="606"/>
      <c r="AD215" s="606"/>
      <c r="AE215" s="606"/>
      <c r="AF215" s="606"/>
      <c r="AG215" s="606"/>
      <c r="AH215" s="606"/>
      <c r="AI215" s="606"/>
      <c r="AJ215" s="606"/>
      <c r="AK215" s="606"/>
      <c r="AL215" s="606"/>
      <c r="AM215" s="606"/>
      <c r="AN215" s="606"/>
      <c r="AO215" s="606"/>
      <c r="AP215" s="606"/>
      <c r="AQ215" s="606"/>
      <c r="AR215" s="606"/>
      <c r="AS215" s="606"/>
      <c r="AT215" s="606"/>
      <c r="AU215" s="606"/>
      <c r="AV215" s="780"/>
      <c r="AW215" s="590"/>
      <c r="AX215" s="606"/>
      <c r="AY215" s="606"/>
      <c r="AZ215" s="606"/>
      <c r="BA215" s="606"/>
      <c r="BB215" s="606"/>
      <c r="BC215" s="606"/>
      <c r="BD215" s="606"/>
      <c r="BE215" s="606"/>
      <c r="BF215" s="606"/>
      <c r="BG215" s="606"/>
      <c r="BH215" s="606"/>
      <c r="BI215" s="606"/>
      <c r="BJ215" s="606"/>
      <c r="BK215" s="606"/>
      <c r="BL215" s="606"/>
      <c r="BM215" s="606"/>
      <c r="BN215" s="606"/>
      <c r="BO215" s="606"/>
      <c r="BP215" s="606"/>
      <c r="BQ215" s="606"/>
      <c r="BR215" s="606"/>
      <c r="BS215" s="606"/>
      <c r="BT215" s="607"/>
    </row>
    <row r="216" spans="1:72" s="8" customFormat="1" ht="12" hidden="1" customHeight="1" thickBot="1" x14ac:dyDescent="0.4">
      <c r="A216" s="133">
        <v>33</v>
      </c>
      <c r="B216" s="1711" t="str">
        <f>IF(A216&gt;F$183,"{Can hide row}","")</f>
        <v>{Can hide row}</v>
      </c>
      <c r="C216" s="9" t="str">
        <f>A216&amp;" "</f>
        <v xml:space="preserve">33 </v>
      </c>
      <c r="D216" s="1831"/>
      <c r="E216" s="1832"/>
      <c r="F216" s="1833"/>
      <c r="G216" s="590"/>
      <c r="H216" s="616"/>
      <c r="I216" s="616"/>
      <c r="J216" s="812"/>
      <c r="K216" s="801"/>
      <c r="M216" s="605"/>
      <c r="N216" s="606"/>
      <c r="O216" s="606"/>
      <c r="P216" s="606"/>
      <c r="Q216" s="606"/>
      <c r="R216" s="606"/>
      <c r="S216" s="606"/>
      <c r="T216" s="606"/>
      <c r="U216" s="606"/>
      <c r="V216" s="606"/>
      <c r="W216" s="606"/>
      <c r="X216" s="606"/>
      <c r="Y216" s="606"/>
      <c r="Z216" s="606"/>
      <c r="AA216" s="606"/>
      <c r="AB216" s="606"/>
      <c r="AC216" s="606"/>
      <c r="AD216" s="606"/>
      <c r="AE216" s="606"/>
      <c r="AF216" s="606"/>
      <c r="AG216" s="606"/>
      <c r="AH216" s="606"/>
      <c r="AI216" s="606"/>
      <c r="AJ216" s="606"/>
      <c r="AK216" s="606"/>
      <c r="AL216" s="606"/>
      <c r="AM216" s="606"/>
      <c r="AN216" s="606"/>
      <c r="AO216" s="606"/>
      <c r="AP216" s="606"/>
      <c r="AQ216" s="606"/>
      <c r="AR216" s="606"/>
      <c r="AS216" s="606"/>
      <c r="AT216" s="606"/>
      <c r="AU216" s="606"/>
      <c r="AV216" s="780"/>
      <c r="AW216" s="590"/>
      <c r="AX216" s="606"/>
      <c r="AY216" s="606"/>
      <c r="AZ216" s="606"/>
      <c r="BA216" s="606"/>
      <c r="BB216" s="606"/>
      <c r="BC216" s="606"/>
      <c r="BD216" s="606"/>
      <c r="BE216" s="606"/>
      <c r="BF216" s="606"/>
      <c r="BG216" s="606"/>
      <c r="BH216" s="606"/>
      <c r="BI216" s="606"/>
      <c r="BJ216" s="606"/>
      <c r="BK216" s="606"/>
      <c r="BL216" s="606"/>
      <c r="BM216" s="606"/>
      <c r="BN216" s="606"/>
      <c r="BO216" s="606"/>
      <c r="BP216" s="606"/>
      <c r="BQ216" s="606"/>
      <c r="BR216" s="606"/>
      <c r="BS216" s="606"/>
      <c r="BT216" s="607"/>
    </row>
    <row r="217" spans="1:72" s="8" customFormat="1" ht="12" hidden="1" customHeight="1" thickBot="1" x14ac:dyDescent="0.4">
      <c r="A217" s="133">
        <v>34</v>
      </c>
      <c r="B217" s="1711" t="str">
        <f>IF(A217&gt;F$183,"{Can hide row}","")</f>
        <v>{Can hide row}</v>
      </c>
      <c r="C217" s="9" t="str">
        <f>A217&amp;" "</f>
        <v xml:space="preserve">34 </v>
      </c>
      <c r="D217" s="1831"/>
      <c r="E217" s="1832"/>
      <c r="F217" s="1833"/>
      <c r="G217" s="590"/>
      <c r="H217" s="616"/>
      <c r="I217" s="616"/>
      <c r="J217" s="812"/>
      <c r="K217" s="801"/>
      <c r="M217" s="605"/>
      <c r="N217" s="606"/>
      <c r="O217" s="606"/>
      <c r="P217" s="606"/>
      <c r="Q217" s="606"/>
      <c r="R217" s="606"/>
      <c r="S217" s="606"/>
      <c r="T217" s="606"/>
      <c r="U217" s="606"/>
      <c r="V217" s="606"/>
      <c r="W217" s="606"/>
      <c r="X217" s="606"/>
      <c r="Y217" s="606"/>
      <c r="Z217" s="606"/>
      <c r="AA217" s="606"/>
      <c r="AB217" s="606"/>
      <c r="AC217" s="606"/>
      <c r="AD217" s="606"/>
      <c r="AE217" s="606"/>
      <c r="AF217" s="606"/>
      <c r="AG217" s="606"/>
      <c r="AH217" s="606"/>
      <c r="AI217" s="606"/>
      <c r="AJ217" s="606"/>
      <c r="AK217" s="606"/>
      <c r="AL217" s="606"/>
      <c r="AM217" s="606"/>
      <c r="AN217" s="606"/>
      <c r="AO217" s="606"/>
      <c r="AP217" s="606"/>
      <c r="AQ217" s="606"/>
      <c r="AR217" s="606"/>
      <c r="AS217" s="606"/>
      <c r="AT217" s="606"/>
      <c r="AU217" s="606"/>
      <c r="AV217" s="780"/>
      <c r="AW217" s="590"/>
      <c r="AX217" s="606"/>
      <c r="AY217" s="606"/>
      <c r="AZ217" s="606"/>
      <c r="BA217" s="606"/>
      <c r="BB217" s="606"/>
      <c r="BC217" s="606"/>
      <c r="BD217" s="606"/>
      <c r="BE217" s="606"/>
      <c r="BF217" s="606"/>
      <c r="BG217" s="606"/>
      <c r="BH217" s="606"/>
      <c r="BI217" s="606"/>
      <c r="BJ217" s="606"/>
      <c r="BK217" s="606"/>
      <c r="BL217" s="606"/>
      <c r="BM217" s="606"/>
      <c r="BN217" s="606"/>
      <c r="BO217" s="606"/>
      <c r="BP217" s="606"/>
      <c r="BQ217" s="606"/>
      <c r="BR217" s="606"/>
      <c r="BS217" s="606"/>
      <c r="BT217" s="607"/>
    </row>
    <row r="218" spans="1:72" s="8" customFormat="1" ht="12" hidden="1" customHeight="1" thickBot="1" x14ac:dyDescent="0.4">
      <c r="A218" s="133">
        <v>35</v>
      </c>
      <c r="B218" s="1711" t="str">
        <f>IF(A218&gt;F$183,"{Can hide row}","")</f>
        <v>{Can hide row}</v>
      </c>
      <c r="C218" s="9" t="str">
        <f>A218&amp;" "</f>
        <v xml:space="preserve">35 </v>
      </c>
      <c r="D218" s="1831"/>
      <c r="E218" s="1832"/>
      <c r="F218" s="1833"/>
      <c r="G218" s="590"/>
      <c r="H218" s="616"/>
      <c r="I218" s="616"/>
      <c r="J218" s="812"/>
      <c r="K218" s="801"/>
      <c r="M218" s="605"/>
      <c r="N218" s="606"/>
      <c r="O218" s="606"/>
      <c r="P218" s="606"/>
      <c r="Q218" s="606"/>
      <c r="R218" s="606"/>
      <c r="S218" s="606"/>
      <c r="T218" s="606"/>
      <c r="U218" s="606"/>
      <c r="V218" s="606"/>
      <c r="W218" s="606"/>
      <c r="X218" s="606"/>
      <c r="Y218" s="606"/>
      <c r="Z218" s="606"/>
      <c r="AA218" s="606"/>
      <c r="AB218" s="606"/>
      <c r="AC218" s="606"/>
      <c r="AD218" s="606"/>
      <c r="AE218" s="606"/>
      <c r="AF218" s="606"/>
      <c r="AG218" s="606"/>
      <c r="AH218" s="606"/>
      <c r="AI218" s="606"/>
      <c r="AJ218" s="606"/>
      <c r="AK218" s="606"/>
      <c r="AL218" s="606"/>
      <c r="AM218" s="606"/>
      <c r="AN218" s="606"/>
      <c r="AO218" s="606"/>
      <c r="AP218" s="606"/>
      <c r="AQ218" s="606"/>
      <c r="AR218" s="606"/>
      <c r="AS218" s="606"/>
      <c r="AT218" s="606"/>
      <c r="AU218" s="606"/>
      <c r="AV218" s="780"/>
      <c r="AW218" s="590"/>
      <c r="AX218" s="606"/>
      <c r="AY218" s="606"/>
      <c r="AZ218" s="606"/>
      <c r="BA218" s="606"/>
      <c r="BB218" s="606"/>
      <c r="BC218" s="606"/>
      <c r="BD218" s="606"/>
      <c r="BE218" s="606"/>
      <c r="BF218" s="606"/>
      <c r="BG218" s="606"/>
      <c r="BH218" s="606"/>
      <c r="BI218" s="606"/>
      <c r="BJ218" s="606"/>
      <c r="BK218" s="606"/>
      <c r="BL218" s="606"/>
      <c r="BM218" s="606"/>
      <c r="BN218" s="606"/>
      <c r="BO218" s="606"/>
      <c r="BP218" s="606"/>
      <c r="BQ218" s="606"/>
      <c r="BR218" s="606"/>
      <c r="BS218" s="606"/>
      <c r="BT218" s="607"/>
    </row>
    <row r="219" spans="1:72" s="8" customFormat="1" ht="12" hidden="1" customHeight="1" thickBot="1" x14ac:dyDescent="0.4">
      <c r="A219" s="133">
        <v>36</v>
      </c>
      <c r="B219" s="1711" t="str">
        <f>IF(A219&gt;F$183,"{Can hide row}","")</f>
        <v>{Can hide row}</v>
      </c>
      <c r="C219" s="9" t="str">
        <f>A219&amp;" "</f>
        <v xml:space="preserve">36 </v>
      </c>
      <c r="D219" s="1831"/>
      <c r="E219" s="1832"/>
      <c r="F219" s="1833"/>
      <c r="G219" s="590"/>
      <c r="H219" s="616"/>
      <c r="I219" s="616"/>
      <c r="J219" s="812"/>
      <c r="K219" s="801"/>
      <c r="M219" s="605"/>
      <c r="N219" s="606"/>
      <c r="O219" s="606"/>
      <c r="P219" s="606"/>
      <c r="Q219" s="606"/>
      <c r="R219" s="606"/>
      <c r="S219" s="606"/>
      <c r="T219" s="606"/>
      <c r="U219" s="606"/>
      <c r="V219" s="606"/>
      <c r="W219" s="606"/>
      <c r="X219" s="606"/>
      <c r="Y219" s="606"/>
      <c r="Z219" s="606"/>
      <c r="AA219" s="606"/>
      <c r="AB219" s="606"/>
      <c r="AC219" s="606"/>
      <c r="AD219" s="606"/>
      <c r="AE219" s="606"/>
      <c r="AF219" s="606"/>
      <c r="AG219" s="606"/>
      <c r="AH219" s="606"/>
      <c r="AI219" s="606"/>
      <c r="AJ219" s="606"/>
      <c r="AK219" s="606"/>
      <c r="AL219" s="606"/>
      <c r="AM219" s="606"/>
      <c r="AN219" s="606"/>
      <c r="AO219" s="606"/>
      <c r="AP219" s="606"/>
      <c r="AQ219" s="606"/>
      <c r="AR219" s="606"/>
      <c r="AS219" s="606"/>
      <c r="AT219" s="606"/>
      <c r="AU219" s="606"/>
      <c r="AV219" s="780"/>
      <c r="AW219" s="590"/>
      <c r="AX219" s="606"/>
      <c r="AY219" s="606"/>
      <c r="AZ219" s="606"/>
      <c r="BA219" s="606"/>
      <c r="BB219" s="606"/>
      <c r="BC219" s="606"/>
      <c r="BD219" s="606"/>
      <c r="BE219" s="606"/>
      <c r="BF219" s="606"/>
      <c r="BG219" s="606"/>
      <c r="BH219" s="606"/>
      <c r="BI219" s="606"/>
      <c r="BJ219" s="606"/>
      <c r="BK219" s="606"/>
      <c r="BL219" s="606"/>
      <c r="BM219" s="606"/>
      <c r="BN219" s="606"/>
      <c r="BO219" s="606"/>
      <c r="BP219" s="606"/>
      <c r="BQ219" s="606"/>
      <c r="BR219" s="606"/>
      <c r="BS219" s="606"/>
      <c r="BT219" s="607"/>
    </row>
    <row r="220" spans="1:72" s="8" customFormat="1" ht="12" hidden="1" customHeight="1" thickBot="1" x14ac:dyDescent="0.4">
      <c r="A220" s="133">
        <v>37</v>
      </c>
      <c r="B220" s="1711" t="str">
        <f>IF(A220&gt;F$183,"{Can hide row}","")</f>
        <v>{Can hide row}</v>
      </c>
      <c r="C220" s="9" t="str">
        <f>A220&amp;" "</f>
        <v xml:space="preserve">37 </v>
      </c>
      <c r="D220" s="1831"/>
      <c r="E220" s="1832"/>
      <c r="F220" s="1833"/>
      <c r="G220" s="590"/>
      <c r="H220" s="616"/>
      <c r="I220" s="616"/>
      <c r="J220" s="812"/>
      <c r="K220" s="801"/>
      <c r="M220" s="605"/>
      <c r="N220" s="606"/>
      <c r="O220" s="606"/>
      <c r="P220" s="606"/>
      <c r="Q220" s="606"/>
      <c r="R220" s="606"/>
      <c r="S220" s="606"/>
      <c r="T220" s="606"/>
      <c r="U220" s="606"/>
      <c r="V220" s="606"/>
      <c r="W220" s="606"/>
      <c r="X220" s="606"/>
      <c r="Y220" s="606"/>
      <c r="Z220" s="606"/>
      <c r="AA220" s="606"/>
      <c r="AB220" s="606"/>
      <c r="AC220" s="606"/>
      <c r="AD220" s="606"/>
      <c r="AE220" s="606"/>
      <c r="AF220" s="606"/>
      <c r="AG220" s="606"/>
      <c r="AH220" s="606"/>
      <c r="AI220" s="606"/>
      <c r="AJ220" s="606"/>
      <c r="AK220" s="606"/>
      <c r="AL220" s="606"/>
      <c r="AM220" s="606"/>
      <c r="AN220" s="606"/>
      <c r="AO220" s="606"/>
      <c r="AP220" s="606"/>
      <c r="AQ220" s="606"/>
      <c r="AR220" s="606"/>
      <c r="AS220" s="606"/>
      <c r="AT220" s="606"/>
      <c r="AU220" s="606"/>
      <c r="AV220" s="780"/>
      <c r="AW220" s="590"/>
      <c r="AX220" s="606"/>
      <c r="AY220" s="606"/>
      <c r="AZ220" s="606"/>
      <c r="BA220" s="606"/>
      <c r="BB220" s="606"/>
      <c r="BC220" s="606"/>
      <c r="BD220" s="606"/>
      <c r="BE220" s="606"/>
      <c r="BF220" s="606"/>
      <c r="BG220" s="606"/>
      <c r="BH220" s="606"/>
      <c r="BI220" s="606"/>
      <c r="BJ220" s="606"/>
      <c r="BK220" s="606"/>
      <c r="BL220" s="606"/>
      <c r="BM220" s="606"/>
      <c r="BN220" s="606"/>
      <c r="BO220" s="606"/>
      <c r="BP220" s="606"/>
      <c r="BQ220" s="606"/>
      <c r="BR220" s="606"/>
      <c r="BS220" s="606"/>
      <c r="BT220" s="607"/>
    </row>
    <row r="221" spans="1:72" s="8" customFormat="1" ht="12" hidden="1" customHeight="1" thickBot="1" x14ac:dyDescent="0.4">
      <c r="A221" s="133">
        <v>38</v>
      </c>
      <c r="B221" s="1711" t="str">
        <f>IF(A221&gt;F$183,"{Can hide row}","")</f>
        <v>{Can hide row}</v>
      </c>
      <c r="C221" s="9" t="str">
        <f>A221&amp;" "</f>
        <v xml:space="preserve">38 </v>
      </c>
      <c r="D221" s="1831"/>
      <c r="E221" s="1832"/>
      <c r="F221" s="1833"/>
      <c r="G221" s="590"/>
      <c r="H221" s="616"/>
      <c r="I221" s="616"/>
      <c r="J221" s="812"/>
      <c r="K221" s="801"/>
      <c r="M221" s="605"/>
      <c r="N221" s="606"/>
      <c r="O221" s="606"/>
      <c r="P221" s="606"/>
      <c r="Q221" s="606"/>
      <c r="R221" s="606"/>
      <c r="S221" s="606"/>
      <c r="T221" s="606"/>
      <c r="U221" s="606"/>
      <c r="V221" s="606"/>
      <c r="W221" s="606"/>
      <c r="X221" s="606"/>
      <c r="Y221" s="606"/>
      <c r="Z221" s="606"/>
      <c r="AA221" s="606"/>
      <c r="AB221" s="606"/>
      <c r="AC221" s="606"/>
      <c r="AD221" s="606"/>
      <c r="AE221" s="606"/>
      <c r="AF221" s="606"/>
      <c r="AG221" s="606"/>
      <c r="AH221" s="606"/>
      <c r="AI221" s="606"/>
      <c r="AJ221" s="606"/>
      <c r="AK221" s="606"/>
      <c r="AL221" s="606"/>
      <c r="AM221" s="606"/>
      <c r="AN221" s="606"/>
      <c r="AO221" s="606"/>
      <c r="AP221" s="606"/>
      <c r="AQ221" s="606"/>
      <c r="AR221" s="606"/>
      <c r="AS221" s="606"/>
      <c r="AT221" s="606"/>
      <c r="AU221" s="606"/>
      <c r="AV221" s="780"/>
      <c r="AW221" s="590"/>
      <c r="AX221" s="606"/>
      <c r="AY221" s="606"/>
      <c r="AZ221" s="606"/>
      <c r="BA221" s="606"/>
      <c r="BB221" s="606"/>
      <c r="BC221" s="606"/>
      <c r="BD221" s="606"/>
      <c r="BE221" s="606"/>
      <c r="BF221" s="606"/>
      <c r="BG221" s="606"/>
      <c r="BH221" s="606"/>
      <c r="BI221" s="606"/>
      <c r="BJ221" s="606"/>
      <c r="BK221" s="606"/>
      <c r="BL221" s="606"/>
      <c r="BM221" s="606"/>
      <c r="BN221" s="606"/>
      <c r="BO221" s="606"/>
      <c r="BP221" s="606"/>
      <c r="BQ221" s="606"/>
      <c r="BR221" s="606"/>
      <c r="BS221" s="606"/>
      <c r="BT221" s="607"/>
    </row>
    <row r="222" spans="1:72" s="8" customFormat="1" ht="12" hidden="1" customHeight="1" thickBot="1" x14ac:dyDescent="0.4">
      <c r="A222" s="133">
        <v>39</v>
      </c>
      <c r="B222" s="1711" t="str">
        <f>IF(A222&gt;F$183,"{Can hide row}","")</f>
        <v>{Can hide row}</v>
      </c>
      <c r="C222" s="9" t="str">
        <f>A222&amp;" "</f>
        <v xml:space="preserve">39 </v>
      </c>
      <c r="D222" s="1831"/>
      <c r="E222" s="1832"/>
      <c r="F222" s="1833"/>
      <c r="G222" s="590"/>
      <c r="H222" s="616"/>
      <c r="I222" s="616"/>
      <c r="J222" s="812"/>
      <c r="K222" s="801"/>
      <c r="M222" s="605"/>
      <c r="N222" s="606"/>
      <c r="O222" s="606"/>
      <c r="P222" s="606"/>
      <c r="Q222" s="606"/>
      <c r="R222" s="606"/>
      <c r="S222" s="606"/>
      <c r="T222" s="606"/>
      <c r="U222" s="606"/>
      <c r="V222" s="606"/>
      <c r="W222" s="606"/>
      <c r="X222" s="606"/>
      <c r="Y222" s="606"/>
      <c r="Z222" s="606"/>
      <c r="AA222" s="606"/>
      <c r="AB222" s="606"/>
      <c r="AC222" s="606"/>
      <c r="AD222" s="606"/>
      <c r="AE222" s="606"/>
      <c r="AF222" s="606"/>
      <c r="AG222" s="606"/>
      <c r="AH222" s="606"/>
      <c r="AI222" s="606"/>
      <c r="AJ222" s="606"/>
      <c r="AK222" s="606"/>
      <c r="AL222" s="606"/>
      <c r="AM222" s="606"/>
      <c r="AN222" s="606"/>
      <c r="AO222" s="606"/>
      <c r="AP222" s="606"/>
      <c r="AQ222" s="606"/>
      <c r="AR222" s="606"/>
      <c r="AS222" s="606"/>
      <c r="AT222" s="606"/>
      <c r="AU222" s="606"/>
      <c r="AV222" s="780"/>
      <c r="AW222" s="590"/>
      <c r="AX222" s="606"/>
      <c r="AY222" s="606"/>
      <c r="AZ222" s="606"/>
      <c r="BA222" s="606"/>
      <c r="BB222" s="606"/>
      <c r="BC222" s="606"/>
      <c r="BD222" s="606"/>
      <c r="BE222" s="606"/>
      <c r="BF222" s="606"/>
      <c r="BG222" s="606"/>
      <c r="BH222" s="606"/>
      <c r="BI222" s="606"/>
      <c r="BJ222" s="606"/>
      <c r="BK222" s="606"/>
      <c r="BL222" s="606"/>
      <c r="BM222" s="606"/>
      <c r="BN222" s="606"/>
      <c r="BO222" s="606"/>
      <c r="BP222" s="606"/>
      <c r="BQ222" s="606"/>
      <c r="BR222" s="606"/>
      <c r="BS222" s="606"/>
      <c r="BT222" s="607"/>
    </row>
    <row r="223" spans="1:72" s="8" customFormat="1" ht="12" hidden="1" customHeight="1" thickBot="1" x14ac:dyDescent="0.4">
      <c r="A223" s="133">
        <v>40</v>
      </c>
      <c r="B223" s="1711" t="str">
        <f>IF(A223&gt;F$183,"{Can hide row}","")</f>
        <v>{Can hide row}</v>
      </c>
      <c r="C223" s="9" t="str">
        <f>A223&amp;" "</f>
        <v xml:space="preserve">40 </v>
      </c>
      <c r="D223" s="1831"/>
      <c r="E223" s="1832"/>
      <c r="F223" s="1833"/>
      <c r="G223" s="590"/>
      <c r="H223" s="616"/>
      <c r="I223" s="616"/>
      <c r="J223" s="812"/>
      <c r="K223" s="801"/>
      <c r="M223" s="605"/>
      <c r="N223" s="606"/>
      <c r="O223" s="606"/>
      <c r="P223" s="606"/>
      <c r="Q223" s="606"/>
      <c r="R223" s="606"/>
      <c r="S223" s="606"/>
      <c r="T223" s="606"/>
      <c r="U223" s="606"/>
      <c r="V223" s="606"/>
      <c r="W223" s="606"/>
      <c r="X223" s="606"/>
      <c r="Y223" s="606"/>
      <c r="Z223" s="606"/>
      <c r="AA223" s="606"/>
      <c r="AB223" s="606"/>
      <c r="AC223" s="606"/>
      <c r="AD223" s="606"/>
      <c r="AE223" s="606"/>
      <c r="AF223" s="606"/>
      <c r="AG223" s="606"/>
      <c r="AH223" s="606"/>
      <c r="AI223" s="606"/>
      <c r="AJ223" s="606"/>
      <c r="AK223" s="606"/>
      <c r="AL223" s="606"/>
      <c r="AM223" s="606"/>
      <c r="AN223" s="606"/>
      <c r="AO223" s="606"/>
      <c r="AP223" s="606"/>
      <c r="AQ223" s="606"/>
      <c r="AR223" s="606"/>
      <c r="AS223" s="606"/>
      <c r="AT223" s="606"/>
      <c r="AU223" s="606"/>
      <c r="AV223" s="780"/>
      <c r="AW223" s="590"/>
      <c r="AX223" s="606"/>
      <c r="AY223" s="606"/>
      <c r="AZ223" s="606"/>
      <c r="BA223" s="606"/>
      <c r="BB223" s="606"/>
      <c r="BC223" s="606"/>
      <c r="BD223" s="606"/>
      <c r="BE223" s="606"/>
      <c r="BF223" s="606"/>
      <c r="BG223" s="606"/>
      <c r="BH223" s="606"/>
      <c r="BI223" s="606"/>
      <c r="BJ223" s="606"/>
      <c r="BK223" s="606"/>
      <c r="BL223" s="606"/>
      <c r="BM223" s="606"/>
      <c r="BN223" s="606"/>
      <c r="BO223" s="606"/>
      <c r="BP223" s="606"/>
      <c r="BQ223" s="606"/>
      <c r="BR223" s="606"/>
      <c r="BS223" s="606"/>
      <c r="BT223" s="607"/>
    </row>
    <row r="224" spans="1:72" s="8" customFormat="1" ht="12" hidden="1" customHeight="1" thickBot="1" x14ac:dyDescent="0.4">
      <c r="A224" s="133">
        <v>41</v>
      </c>
      <c r="B224" s="1711" t="str">
        <f>IF(A224&gt;F$183,"{Can hide row}","")</f>
        <v>{Can hide row}</v>
      </c>
      <c r="C224" s="9" t="str">
        <f>A224&amp;" "</f>
        <v xml:space="preserve">41 </v>
      </c>
      <c r="D224" s="1831"/>
      <c r="E224" s="1832"/>
      <c r="F224" s="1833"/>
      <c r="G224" s="590"/>
      <c r="H224" s="616"/>
      <c r="I224" s="616"/>
      <c r="J224" s="812"/>
      <c r="K224" s="801"/>
      <c r="M224" s="605"/>
      <c r="N224" s="606"/>
      <c r="O224" s="606"/>
      <c r="P224" s="606"/>
      <c r="Q224" s="606"/>
      <c r="R224" s="606"/>
      <c r="S224" s="606"/>
      <c r="T224" s="606"/>
      <c r="U224" s="606"/>
      <c r="V224" s="606"/>
      <c r="W224" s="606"/>
      <c r="X224" s="606"/>
      <c r="Y224" s="606"/>
      <c r="Z224" s="606"/>
      <c r="AA224" s="606"/>
      <c r="AB224" s="606"/>
      <c r="AC224" s="606"/>
      <c r="AD224" s="606"/>
      <c r="AE224" s="606"/>
      <c r="AF224" s="606"/>
      <c r="AG224" s="606"/>
      <c r="AH224" s="606"/>
      <c r="AI224" s="606"/>
      <c r="AJ224" s="606"/>
      <c r="AK224" s="606"/>
      <c r="AL224" s="606"/>
      <c r="AM224" s="606"/>
      <c r="AN224" s="606"/>
      <c r="AO224" s="606"/>
      <c r="AP224" s="606"/>
      <c r="AQ224" s="606"/>
      <c r="AR224" s="606"/>
      <c r="AS224" s="606"/>
      <c r="AT224" s="606"/>
      <c r="AU224" s="606"/>
      <c r="AV224" s="780"/>
      <c r="AW224" s="590"/>
      <c r="AX224" s="606"/>
      <c r="AY224" s="606"/>
      <c r="AZ224" s="606"/>
      <c r="BA224" s="606"/>
      <c r="BB224" s="606"/>
      <c r="BC224" s="606"/>
      <c r="BD224" s="606"/>
      <c r="BE224" s="606"/>
      <c r="BF224" s="606"/>
      <c r="BG224" s="606"/>
      <c r="BH224" s="606"/>
      <c r="BI224" s="606"/>
      <c r="BJ224" s="606"/>
      <c r="BK224" s="606"/>
      <c r="BL224" s="606"/>
      <c r="BM224" s="606"/>
      <c r="BN224" s="606"/>
      <c r="BO224" s="606"/>
      <c r="BP224" s="606"/>
      <c r="BQ224" s="606"/>
      <c r="BR224" s="606"/>
      <c r="BS224" s="606"/>
      <c r="BT224" s="607"/>
    </row>
    <row r="225" spans="1:108" s="8" customFormat="1" ht="12" hidden="1" customHeight="1" thickBot="1" x14ac:dyDescent="0.4">
      <c r="A225" s="133">
        <v>42</v>
      </c>
      <c r="B225" s="1711" t="str">
        <f>IF(A225&gt;F$183,"{Can hide row}","")</f>
        <v>{Can hide row}</v>
      </c>
      <c r="C225" s="9" t="str">
        <f>A225&amp;" "</f>
        <v xml:space="preserve">42 </v>
      </c>
      <c r="D225" s="1831"/>
      <c r="E225" s="1832"/>
      <c r="F225" s="1833"/>
      <c r="G225" s="590"/>
      <c r="H225" s="616"/>
      <c r="I225" s="616"/>
      <c r="J225" s="812"/>
      <c r="K225" s="801"/>
      <c r="M225" s="605"/>
      <c r="N225" s="606"/>
      <c r="O225" s="606"/>
      <c r="P225" s="606"/>
      <c r="Q225" s="606"/>
      <c r="R225" s="606"/>
      <c r="S225" s="606"/>
      <c r="T225" s="606"/>
      <c r="U225" s="606"/>
      <c r="V225" s="606"/>
      <c r="W225" s="606"/>
      <c r="X225" s="606"/>
      <c r="Y225" s="606"/>
      <c r="Z225" s="606"/>
      <c r="AA225" s="606"/>
      <c r="AB225" s="606"/>
      <c r="AC225" s="606"/>
      <c r="AD225" s="606"/>
      <c r="AE225" s="606"/>
      <c r="AF225" s="606"/>
      <c r="AG225" s="606"/>
      <c r="AH225" s="606"/>
      <c r="AI225" s="606"/>
      <c r="AJ225" s="606"/>
      <c r="AK225" s="606"/>
      <c r="AL225" s="606"/>
      <c r="AM225" s="606"/>
      <c r="AN225" s="606"/>
      <c r="AO225" s="606"/>
      <c r="AP225" s="606"/>
      <c r="AQ225" s="606"/>
      <c r="AR225" s="606"/>
      <c r="AS225" s="606"/>
      <c r="AT225" s="606"/>
      <c r="AU225" s="606"/>
      <c r="AV225" s="780"/>
      <c r="AW225" s="590"/>
      <c r="AX225" s="606"/>
      <c r="AY225" s="606"/>
      <c r="AZ225" s="606"/>
      <c r="BA225" s="606"/>
      <c r="BB225" s="606"/>
      <c r="BC225" s="606"/>
      <c r="BD225" s="606"/>
      <c r="BE225" s="606"/>
      <c r="BF225" s="606"/>
      <c r="BG225" s="606"/>
      <c r="BH225" s="606"/>
      <c r="BI225" s="606"/>
      <c r="BJ225" s="606"/>
      <c r="BK225" s="606"/>
      <c r="BL225" s="606"/>
      <c r="BM225" s="606"/>
      <c r="BN225" s="606"/>
      <c r="BO225" s="606"/>
      <c r="BP225" s="606"/>
      <c r="BQ225" s="606"/>
      <c r="BR225" s="606"/>
      <c r="BS225" s="606"/>
      <c r="BT225" s="607"/>
    </row>
    <row r="226" spans="1:108" s="8" customFormat="1" ht="12" hidden="1" customHeight="1" thickBot="1" x14ac:dyDescent="0.4">
      <c r="A226" s="133">
        <v>43</v>
      </c>
      <c r="B226" s="1711" t="str">
        <f>IF(A226&gt;F$183,"{Can hide row}","")</f>
        <v>{Can hide row}</v>
      </c>
      <c r="C226" s="9" t="str">
        <f>A226&amp;" "</f>
        <v xml:space="preserve">43 </v>
      </c>
      <c r="D226" s="1831"/>
      <c r="E226" s="1832"/>
      <c r="F226" s="1833"/>
      <c r="G226" s="590"/>
      <c r="H226" s="616"/>
      <c r="I226" s="616"/>
      <c r="J226" s="812"/>
      <c r="K226" s="801"/>
      <c r="M226" s="605"/>
      <c r="N226" s="606"/>
      <c r="O226" s="606"/>
      <c r="P226" s="606"/>
      <c r="Q226" s="606"/>
      <c r="R226" s="606"/>
      <c r="S226" s="606"/>
      <c r="T226" s="606"/>
      <c r="U226" s="606"/>
      <c r="V226" s="606"/>
      <c r="W226" s="606"/>
      <c r="X226" s="606"/>
      <c r="Y226" s="606"/>
      <c r="Z226" s="606"/>
      <c r="AA226" s="606"/>
      <c r="AB226" s="606"/>
      <c r="AC226" s="606"/>
      <c r="AD226" s="606"/>
      <c r="AE226" s="606"/>
      <c r="AF226" s="606"/>
      <c r="AG226" s="606"/>
      <c r="AH226" s="606"/>
      <c r="AI226" s="606"/>
      <c r="AJ226" s="606"/>
      <c r="AK226" s="606"/>
      <c r="AL226" s="606"/>
      <c r="AM226" s="606"/>
      <c r="AN226" s="606"/>
      <c r="AO226" s="606"/>
      <c r="AP226" s="606"/>
      <c r="AQ226" s="606"/>
      <c r="AR226" s="606"/>
      <c r="AS226" s="606"/>
      <c r="AT226" s="606"/>
      <c r="AU226" s="606"/>
      <c r="AV226" s="780"/>
      <c r="AW226" s="590"/>
      <c r="AX226" s="606"/>
      <c r="AY226" s="606"/>
      <c r="AZ226" s="606"/>
      <c r="BA226" s="606"/>
      <c r="BB226" s="606"/>
      <c r="BC226" s="606"/>
      <c r="BD226" s="606"/>
      <c r="BE226" s="606"/>
      <c r="BF226" s="606"/>
      <c r="BG226" s="606"/>
      <c r="BH226" s="606"/>
      <c r="BI226" s="606"/>
      <c r="BJ226" s="606"/>
      <c r="BK226" s="606"/>
      <c r="BL226" s="606"/>
      <c r="BM226" s="606"/>
      <c r="BN226" s="606"/>
      <c r="BO226" s="606"/>
      <c r="BP226" s="606"/>
      <c r="BQ226" s="606"/>
      <c r="BR226" s="606"/>
      <c r="BS226" s="606"/>
      <c r="BT226" s="607"/>
    </row>
    <row r="227" spans="1:108" s="8" customFormat="1" ht="12" hidden="1" customHeight="1" thickBot="1" x14ac:dyDescent="0.4">
      <c r="A227" s="133">
        <v>44</v>
      </c>
      <c r="B227" s="1711" t="str">
        <f>IF(A227&gt;F$183,"{Can hide row}","")</f>
        <v>{Can hide row}</v>
      </c>
      <c r="C227" s="9" t="str">
        <f>A227&amp;" "</f>
        <v xml:space="preserve">44 </v>
      </c>
      <c r="D227" s="1831"/>
      <c r="E227" s="1832"/>
      <c r="F227" s="1833"/>
      <c r="G227" s="590"/>
      <c r="H227" s="616"/>
      <c r="I227" s="616"/>
      <c r="J227" s="812"/>
      <c r="K227" s="801"/>
      <c r="M227" s="605"/>
      <c r="N227" s="606"/>
      <c r="O227" s="606"/>
      <c r="P227" s="606"/>
      <c r="Q227" s="606"/>
      <c r="R227" s="606"/>
      <c r="S227" s="606"/>
      <c r="T227" s="606"/>
      <c r="U227" s="606"/>
      <c r="V227" s="606"/>
      <c r="W227" s="606"/>
      <c r="X227" s="606"/>
      <c r="Y227" s="606"/>
      <c r="Z227" s="606"/>
      <c r="AA227" s="606"/>
      <c r="AB227" s="606"/>
      <c r="AC227" s="606"/>
      <c r="AD227" s="606"/>
      <c r="AE227" s="606"/>
      <c r="AF227" s="606"/>
      <c r="AG227" s="606"/>
      <c r="AH227" s="606"/>
      <c r="AI227" s="606"/>
      <c r="AJ227" s="606"/>
      <c r="AK227" s="606"/>
      <c r="AL227" s="606"/>
      <c r="AM227" s="606"/>
      <c r="AN227" s="606"/>
      <c r="AO227" s="606"/>
      <c r="AP227" s="606"/>
      <c r="AQ227" s="606"/>
      <c r="AR227" s="606"/>
      <c r="AS227" s="606"/>
      <c r="AT227" s="606"/>
      <c r="AU227" s="606"/>
      <c r="AV227" s="780"/>
      <c r="AW227" s="590"/>
      <c r="AX227" s="606"/>
      <c r="AY227" s="606"/>
      <c r="AZ227" s="606"/>
      <c r="BA227" s="606"/>
      <c r="BB227" s="606"/>
      <c r="BC227" s="606"/>
      <c r="BD227" s="606"/>
      <c r="BE227" s="606"/>
      <c r="BF227" s="606"/>
      <c r="BG227" s="606"/>
      <c r="BH227" s="606"/>
      <c r="BI227" s="606"/>
      <c r="BJ227" s="606"/>
      <c r="BK227" s="606"/>
      <c r="BL227" s="606"/>
      <c r="BM227" s="606"/>
      <c r="BN227" s="606"/>
      <c r="BO227" s="606"/>
      <c r="BP227" s="606"/>
      <c r="BQ227" s="606"/>
      <c r="BR227" s="606"/>
      <c r="BS227" s="606"/>
      <c r="BT227" s="607"/>
    </row>
    <row r="228" spans="1:108" s="8" customFormat="1" ht="12" hidden="1" customHeight="1" thickBot="1" x14ac:dyDescent="0.4">
      <c r="A228" s="133">
        <v>45</v>
      </c>
      <c r="B228" s="1711" t="str">
        <f>IF(A228&gt;F$183,"{Can hide row}","")</f>
        <v>{Can hide row}</v>
      </c>
      <c r="C228" s="9" t="str">
        <f>A228&amp;" "</f>
        <v xml:space="preserve">45 </v>
      </c>
      <c r="D228" s="1831"/>
      <c r="E228" s="1832"/>
      <c r="F228" s="1833"/>
      <c r="G228" s="590"/>
      <c r="H228" s="616"/>
      <c r="I228" s="616"/>
      <c r="J228" s="812"/>
      <c r="K228" s="801"/>
      <c r="M228" s="605"/>
      <c r="N228" s="606"/>
      <c r="O228" s="606"/>
      <c r="P228" s="606"/>
      <c r="Q228" s="606"/>
      <c r="R228" s="606"/>
      <c r="S228" s="606"/>
      <c r="T228" s="606"/>
      <c r="U228" s="606"/>
      <c r="V228" s="606"/>
      <c r="W228" s="606"/>
      <c r="X228" s="606"/>
      <c r="Y228" s="606"/>
      <c r="Z228" s="606"/>
      <c r="AA228" s="606"/>
      <c r="AB228" s="606"/>
      <c r="AC228" s="606"/>
      <c r="AD228" s="606"/>
      <c r="AE228" s="606"/>
      <c r="AF228" s="606"/>
      <c r="AG228" s="606"/>
      <c r="AH228" s="606"/>
      <c r="AI228" s="606"/>
      <c r="AJ228" s="606"/>
      <c r="AK228" s="606"/>
      <c r="AL228" s="606"/>
      <c r="AM228" s="606"/>
      <c r="AN228" s="606"/>
      <c r="AO228" s="606"/>
      <c r="AP228" s="606"/>
      <c r="AQ228" s="606"/>
      <c r="AR228" s="606"/>
      <c r="AS228" s="606"/>
      <c r="AT228" s="606"/>
      <c r="AU228" s="606"/>
      <c r="AV228" s="780"/>
      <c r="AW228" s="590"/>
      <c r="AX228" s="606"/>
      <c r="AY228" s="606"/>
      <c r="AZ228" s="606"/>
      <c r="BA228" s="606"/>
      <c r="BB228" s="606"/>
      <c r="BC228" s="606"/>
      <c r="BD228" s="606"/>
      <c r="BE228" s="606"/>
      <c r="BF228" s="606"/>
      <c r="BG228" s="606"/>
      <c r="BH228" s="606"/>
      <c r="BI228" s="606"/>
      <c r="BJ228" s="606"/>
      <c r="BK228" s="606"/>
      <c r="BL228" s="606"/>
      <c r="BM228" s="606"/>
      <c r="BN228" s="606"/>
      <c r="BO228" s="606"/>
      <c r="BP228" s="606"/>
      <c r="BQ228" s="606"/>
      <c r="BR228" s="606"/>
      <c r="BS228" s="606"/>
      <c r="BT228" s="607"/>
    </row>
    <row r="229" spans="1:108" s="8" customFormat="1" ht="12" hidden="1" customHeight="1" thickBot="1" x14ac:dyDescent="0.4">
      <c r="A229" s="133">
        <v>46</v>
      </c>
      <c r="B229" s="1711" t="str">
        <f>IF(A229&gt;F$183,"{Can hide row}","")</f>
        <v>{Can hide row}</v>
      </c>
      <c r="C229" s="9" t="str">
        <f>A229&amp;" "</f>
        <v xml:space="preserve">46 </v>
      </c>
      <c r="D229" s="1831"/>
      <c r="E229" s="1832"/>
      <c r="F229" s="1833"/>
      <c r="G229" s="590"/>
      <c r="H229" s="616"/>
      <c r="I229" s="616"/>
      <c r="J229" s="812"/>
      <c r="K229" s="801"/>
      <c r="M229" s="605"/>
      <c r="N229" s="606"/>
      <c r="O229" s="606"/>
      <c r="P229" s="606"/>
      <c r="Q229" s="606"/>
      <c r="R229" s="606"/>
      <c r="S229" s="606"/>
      <c r="T229" s="606"/>
      <c r="U229" s="606"/>
      <c r="V229" s="606"/>
      <c r="W229" s="606"/>
      <c r="X229" s="606"/>
      <c r="Y229" s="606"/>
      <c r="Z229" s="606"/>
      <c r="AA229" s="606"/>
      <c r="AB229" s="606"/>
      <c r="AC229" s="606"/>
      <c r="AD229" s="606"/>
      <c r="AE229" s="606"/>
      <c r="AF229" s="606"/>
      <c r="AG229" s="606"/>
      <c r="AH229" s="606"/>
      <c r="AI229" s="606"/>
      <c r="AJ229" s="606"/>
      <c r="AK229" s="606"/>
      <c r="AL229" s="606"/>
      <c r="AM229" s="606"/>
      <c r="AN229" s="606"/>
      <c r="AO229" s="606"/>
      <c r="AP229" s="606"/>
      <c r="AQ229" s="606"/>
      <c r="AR229" s="606"/>
      <c r="AS229" s="606"/>
      <c r="AT229" s="606"/>
      <c r="AU229" s="606"/>
      <c r="AV229" s="780"/>
      <c r="AW229" s="590"/>
      <c r="AX229" s="606"/>
      <c r="AY229" s="606"/>
      <c r="AZ229" s="606"/>
      <c r="BA229" s="606"/>
      <c r="BB229" s="606"/>
      <c r="BC229" s="606"/>
      <c r="BD229" s="606"/>
      <c r="BE229" s="606"/>
      <c r="BF229" s="606"/>
      <c r="BG229" s="606"/>
      <c r="BH229" s="606"/>
      <c r="BI229" s="606"/>
      <c r="BJ229" s="606"/>
      <c r="BK229" s="606"/>
      <c r="BL229" s="606"/>
      <c r="BM229" s="606"/>
      <c r="BN229" s="606"/>
      <c r="BO229" s="606"/>
      <c r="BP229" s="606"/>
      <c r="BQ229" s="606"/>
      <c r="BR229" s="606"/>
      <c r="BS229" s="606"/>
      <c r="BT229" s="607"/>
    </row>
    <row r="230" spans="1:108" s="8" customFormat="1" ht="12" hidden="1" customHeight="1" thickBot="1" x14ac:dyDescent="0.4">
      <c r="A230" s="133">
        <v>47</v>
      </c>
      <c r="B230" s="1711" t="str">
        <f>IF(A230&gt;F$183,"{Can hide row}","")</f>
        <v>{Can hide row}</v>
      </c>
      <c r="C230" s="9" t="str">
        <f>A230&amp;" "</f>
        <v xml:space="preserve">47 </v>
      </c>
      <c r="D230" s="1831"/>
      <c r="E230" s="1832"/>
      <c r="F230" s="1833"/>
      <c r="G230" s="590"/>
      <c r="H230" s="616"/>
      <c r="I230" s="616"/>
      <c r="J230" s="812"/>
      <c r="K230" s="801"/>
      <c r="M230" s="605"/>
      <c r="N230" s="606"/>
      <c r="O230" s="606"/>
      <c r="P230" s="606"/>
      <c r="Q230" s="606"/>
      <c r="R230" s="606"/>
      <c r="S230" s="606"/>
      <c r="T230" s="606"/>
      <c r="U230" s="606"/>
      <c r="V230" s="606"/>
      <c r="W230" s="606"/>
      <c r="X230" s="606"/>
      <c r="Y230" s="606"/>
      <c r="Z230" s="606"/>
      <c r="AA230" s="606"/>
      <c r="AB230" s="606"/>
      <c r="AC230" s="606"/>
      <c r="AD230" s="606"/>
      <c r="AE230" s="606"/>
      <c r="AF230" s="606"/>
      <c r="AG230" s="606"/>
      <c r="AH230" s="606"/>
      <c r="AI230" s="606"/>
      <c r="AJ230" s="606"/>
      <c r="AK230" s="606"/>
      <c r="AL230" s="606"/>
      <c r="AM230" s="606"/>
      <c r="AN230" s="606"/>
      <c r="AO230" s="606"/>
      <c r="AP230" s="606"/>
      <c r="AQ230" s="606"/>
      <c r="AR230" s="606"/>
      <c r="AS230" s="606"/>
      <c r="AT230" s="606"/>
      <c r="AU230" s="606"/>
      <c r="AV230" s="780"/>
      <c r="AW230" s="590"/>
      <c r="AX230" s="606"/>
      <c r="AY230" s="606"/>
      <c r="AZ230" s="606"/>
      <c r="BA230" s="606"/>
      <c r="BB230" s="606"/>
      <c r="BC230" s="606"/>
      <c r="BD230" s="606"/>
      <c r="BE230" s="606"/>
      <c r="BF230" s="606"/>
      <c r="BG230" s="606"/>
      <c r="BH230" s="606"/>
      <c r="BI230" s="606"/>
      <c r="BJ230" s="606"/>
      <c r="BK230" s="606"/>
      <c r="BL230" s="606"/>
      <c r="BM230" s="606"/>
      <c r="BN230" s="606"/>
      <c r="BO230" s="606"/>
      <c r="BP230" s="606"/>
      <c r="BQ230" s="606"/>
      <c r="BR230" s="606"/>
      <c r="BS230" s="606"/>
      <c r="BT230" s="607"/>
    </row>
    <row r="231" spans="1:108" s="8" customFormat="1" ht="12" hidden="1" customHeight="1" thickBot="1" x14ac:dyDescent="0.4">
      <c r="A231" s="133">
        <v>48</v>
      </c>
      <c r="B231" s="1711" t="str">
        <f>IF(A231&gt;F$183,"{Can hide row}","")</f>
        <v>{Can hide row}</v>
      </c>
      <c r="C231" s="9" t="str">
        <f>A231&amp;" "</f>
        <v xml:space="preserve">48 </v>
      </c>
      <c r="D231" s="1831"/>
      <c r="E231" s="1832"/>
      <c r="F231" s="1833"/>
      <c r="G231" s="590"/>
      <c r="H231" s="616"/>
      <c r="I231" s="616"/>
      <c r="J231" s="812"/>
      <c r="K231" s="801"/>
      <c r="M231" s="605"/>
      <c r="N231" s="606"/>
      <c r="O231" s="606"/>
      <c r="P231" s="606"/>
      <c r="Q231" s="606"/>
      <c r="R231" s="606"/>
      <c r="S231" s="606"/>
      <c r="T231" s="606"/>
      <c r="U231" s="606"/>
      <c r="V231" s="606"/>
      <c r="W231" s="606"/>
      <c r="X231" s="606"/>
      <c r="Y231" s="606"/>
      <c r="Z231" s="606"/>
      <c r="AA231" s="606"/>
      <c r="AB231" s="606"/>
      <c r="AC231" s="606"/>
      <c r="AD231" s="606"/>
      <c r="AE231" s="606"/>
      <c r="AF231" s="606"/>
      <c r="AG231" s="606"/>
      <c r="AH231" s="606"/>
      <c r="AI231" s="606"/>
      <c r="AJ231" s="606"/>
      <c r="AK231" s="606"/>
      <c r="AL231" s="606"/>
      <c r="AM231" s="606"/>
      <c r="AN231" s="606"/>
      <c r="AO231" s="606"/>
      <c r="AP231" s="606"/>
      <c r="AQ231" s="606"/>
      <c r="AR231" s="606"/>
      <c r="AS231" s="606"/>
      <c r="AT231" s="606"/>
      <c r="AU231" s="606"/>
      <c r="AV231" s="780"/>
      <c r="AW231" s="590"/>
      <c r="AX231" s="606"/>
      <c r="AY231" s="606"/>
      <c r="AZ231" s="606"/>
      <c r="BA231" s="606"/>
      <c r="BB231" s="606"/>
      <c r="BC231" s="606"/>
      <c r="BD231" s="606"/>
      <c r="BE231" s="606"/>
      <c r="BF231" s="606"/>
      <c r="BG231" s="606"/>
      <c r="BH231" s="606"/>
      <c r="BI231" s="606"/>
      <c r="BJ231" s="606"/>
      <c r="BK231" s="606"/>
      <c r="BL231" s="606"/>
      <c r="BM231" s="606"/>
      <c r="BN231" s="606"/>
      <c r="BO231" s="606"/>
      <c r="BP231" s="606"/>
      <c r="BQ231" s="606"/>
      <c r="BR231" s="606"/>
      <c r="BS231" s="606"/>
      <c r="BT231" s="607"/>
    </row>
    <row r="232" spans="1:108" s="8" customFormat="1" ht="12" hidden="1" customHeight="1" thickBot="1" x14ac:dyDescent="0.4">
      <c r="A232" s="133">
        <v>49</v>
      </c>
      <c r="B232" s="1711" t="str">
        <f>IF(A232&gt;F$183,"{Can hide row}","")</f>
        <v>{Can hide row}</v>
      </c>
      <c r="C232" s="9" t="str">
        <f>A232&amp;" "</f>
        <v xml:space="preserve">49 </v>
      </c>
      <c r="D232" s="1831"/>
      <c r="E232" s="1832"/>
      <c r="F232" s="1833"/>
      <c r="G232" s="590"/>
      <c r="H232" s="616"/>
      <c r="I232" s="616"/>
      <c r="J232" s="812"/>
      <c r="K232" s="801"/>
      <c r="M232" s="605"/>
      <c r="N232" s="606"/>
      <c r="O232" s="606"/>
      <c r="P232" s="606"/>
      <c r="Q232" s="606"/>
      <c r="R232" s="606"/>
      <c r="S232" s="606"/>
      <c r="T232" s="606"/>
      <c r="U232" s="606"/>
      <c r="V232" s="606"/>
      <c r="W232" s="606"/>
      <c r="X232" s="606"/>
      <c r="Y232" s="606"/>
      <c r="Z232" s="606"/>
      <c r="AA232" s="606"/>
      <c r="AB232" s="606"/>
      <c r="AC232" s="606"/>
      <c r="AD232" s="606"/>
      <c r="AE232" s="606"/>
      <c r="AF232" s="606"/>
      <c r="AG232" s="606"/>
      <c r="AH232" s="606"/>
      <c r="AI232" s="606"/>
      <c r="AJ232" s="606"/>
      <c r="AK232" s="606"/>
      <c r="AL232" s="606"/>
      <c r="AM232" s="606"/>
      <c r="AN232" s="606"/>
      <c r="AO232" s="606"/>
      <c r="AP232" s="606"/>
      <c r="AQ232" s="606"/>
      <c r="AR232" s="606"/>
      <c r="AS232" s="606"/>
      <c r="AT232" s="606"/>
      <c r="AU232" s="606"/>
      <c r="AV232" s="780"/>
      <c r="AW232" s="590"/>
      <c r="AX232" s="606"/>
      <c r="AY232" s="606"/>
      <c r="AZ232" s="606"/>
      <c r="BA232" s="606"/>
      <c r="BB232" s="606"/>
      <c r="BC232" s="606"/>
      <c r="BD232" s="606"/>
      <c r="BE232" s="606"/>
      <c r="BF232" s="606"/>
      <c r="BG232" s="606"/>
      <c r="BH232" s="606"/>
      <c r="BI232" s="606"/>
      <c r="BJ232" s="606"/>
      <c r="BK232" s="606"/>
      <c r="BL232" s="606"/>
      <c r="BM232" s="606"/>
      <c r="BN232" s="606"/>
      <c r="BO232" s="606"/>
      <c r="BP232" s="606"/>
      <c r="BQ232" s="606"/>
      <c r="BR232" s="606"/>
      <c r="BS232" s="606"/>
      <c r="BT232" s="607"/>
    </row>
    <row r="233" spans="1:108" s="8" customFormat="1" ht="12" hidden="1" customHeight="1" thickBot="1" x14ac:dyDescent="0.4">
      <c r="A233" s="133">
        <v>50</v>
      </c>
      <c r="B233" s="1711" t="str">
        <f>IF(A233&gt;F$183,"{Can hide row}","")</f>
        <v>{Can hide row}</v>
      </c>
      <c r="C233" s="9" t="str">
        <f>A233&amp;" "</f>
        <v xml:space="preserve">50 </v>
      </c>
      <c r="D233" s="1831"/>
      <c r="E233" s="1832"/>
      <c r="F233" s="1833"/>
      <c r="G233" s="590"/>
      <c r="H233" s="616"/>
      <c r="I233" s="616"/>
      <c r="J233" s="812"/>
      <c r="K233" s="801"/>
      <c r="M233" s="605"/>
      <c r="N233" s="606"/>
      <c r="O233" s="606"/>
      <c r="P233" s="606"/>
      <c r="Q233" s="606"/>
      <c r="R233" s="606"/>
      <c r="S233" s="606"/>
      <c r="T233" s="606"/>
      <c r="U233" s="606"/>
      <c r="V233" s="606"/>
      <c r="W233" s="606"/>
      <c r="X233" s="606"/>
      <c r="Y233" s="606"/>
      <c r="Z233" s="606"/>
      <c r="AA233" s="606"/>
      <c r="AB233" s="606"/>
      <c r="AC233" s="606"/>
      <c r="AD233" s="606"/>
      <c r="AE233" s="606"/>
      <c r="AF233" s="606"/>
      <c r="AG233" s="606"/>
      <c r="AH233" s="606"/>
      <c r="AI233" s="606"/>
      <c r="AJ233" s="606"/>
      <c r="AK233" s="606"/>
      <c r="AL233" s="606"/>
      <c r="AM233" s="606"/>
      <c r="AN233" s="606"/>
      <c r="AO233" s="606"/>
      <c r="AP233" s="606"/>
      <c r="AQ233" s="606"/>
      <c r="AR233" s="606"/>
      <c r="AS233" s="606"/>
      <c r="AT233" s="606"/>
      <c r="AU233" s="606"/>
      <c r="AV233" s="780"/>
      <c r="AW233" s="590"/>
      <c r="AX233" s="606"/>
      <c r="AY233" s="606"/>
      <c r="AZ233" s="606"/>
      <c r="BA233" s="606"/>
      <c r="BB233" s="606"/>
      <c r="BC233" s="606"/>
      <c r="BD233" s="606"/>
      <c r="BE233" s="606"/>
      <c r="BF233" s="606"/>
      <c r="BG233" s="606"/>
      <c r="BH233" s="606"/>
      <c r="BI233" s="606"/>
      <c r="BJ233" s="606"/>
      <c r="BK233" s="606"/>
      <c r="BL233" s="606"/>
      <c r="BM233" s="606"/>
      <c r="BN233" s="606"/>
      <c r="BO233" s="606"/>
      <c r="BP233" s="606"/>
      <c r="BQ233" s="606"/>
      <c r="BR233" s="606"/>
      <c r="BS233" s="606"/>
      <c r="BT233" s="607"/>
    </row>
    <row r="234" spans="1:108" s="8" customFormat="1" ht="12" customHeight="1" x14ac:dyDescent="0.25">
      <c r="A234" s="133"/>
      <c r="D234" s="452"/>
      <c r="E234" s="452"/>
      <c r="F234" s="447"/>
      <c r="G234" s="447"/>
      <c r="H234" s="451"/>
      <c r="I234" s="451"/>
      <c r="J234" s="447"/>
      <c r="K234" s="799"/>
      <c r="M234" s="453"/>
      <c r="N234" s="453"/>
      <c r="O234" s="453"/>
      <c r="P234" s="453"/>
      <c r="Q234" s="453"/>
      <c r="R234" s="453"/>
      <c r="S234" s="453"/>
      <c r="T234" s="453"/>
      <c r="U234" s="453"/>
      <c r="V234" s="453"/>
      <c r="W234" s="453"/>
      <c r="X234" s="453"/>
      <c r="Y234" s="453"/>
      <c r="Z234" s="453"/>
      <c r="AA234" s="453"/>
      <c r="AB234" s="453"/>
      <c r="AC234" s="453"/>
      <c r="AD234" s="453"/>
      <c r="AE234" s="453"/>
      <c r="AF234" s="453"/>
      <c r="AG234" s="453"/>
      <c r="AH234" s="453"/>
      <c r="AI234" s="453"/>
      <c r="AJ234" s="453"/>
      <c r="AK234" s="453"/>
      <c r="AL234" s="453"/>
      <c r="AM234" s="453"/>
      <c r="AN234" s="447"/>
      <c r="AO234" s="447"/>
      <c r="AP234" s="447"/>
      <c r="AQ234" s="447"/>
      <c r="AR234" s="447"/>
      <c r="AS234" s="447"/>
      <c r="AT234" s="447"/>
      <c r="AU234" s="447"/>
      <c r="AV234" s="447"/>
      <c r="AW234" s="447"/>
      <c r="AX234" s="447"/>
      <c r="AY234" s="447"/>
      <c r="AZ234" s="447"/>
      <c r="BA234" s="447"/>
      <c r="BB234" s="447"/>
      <c r="BC234" s="447"/>
      <c r="BD234" s="447"/>
      <c r="BE234" s="447"/>
      <c r="BF234" s="447"/>
      <c r="BG234" s="447"/>
      <c r="BH234" s="447"/>
      <c r="BI234" s="447"/>
      <c r="BJ234" s="447"/>
      <c r="BK234" s="447"/>
      <c r="BL234" s="447"/>
      <c r="BM234" s="447"/>
      <c r="BN234" s="447"/>
      <c r="BO234" s="447"/>
      <c r="BP234" s="447"/>
      <c r="BQ234" s="447"/>
      <c r="BR234" s="447"/>
      <c r="BS234" s="447"/>
      <c r="BT234" s="447"/>
    </row>
    <row r="235" spans="1:108" s="8" customFormat="1" ht="12" customHeight="1" x14ac:dyDescent="0.3">
      <c r="A235" s="133"/>
      <c r="K235" s="799"/>
      <c r="M235" s="11"/>
      <c r="P235" s="4"/>
      <c r="Q235" s="4"/>
      <c r="R235" s="4"/>
      <c r="S235" s="4"/>
      <c r="T235" s="4"/>
      <c r="U235" s="4"/>
      <c r="V235" s="4"/>
      <c r="W235" s="4"/>
      <c r="X235" s="4"/>
      <c r="Y235" s="4"/>
      <c r="Z235" s="4"/>
      <c r="AA235" s="4"/>
      <c r="AB235" s="4"/>
      <c r="AC235" s="4"/>
      <c r="AD235" s="516"/>
      <c r="AE235" s="516"/>
      <c r="AF235" s="516"/>
      <c r="AG235" s="516"/>
      <c r="AH235" s="516"/>
      <c r="AI235" s="516"/>
      <c r="AJ235" s="516"/>
      <c r="AK235" s="4"/>
      <c r="AL235" s="4"/>
      <c r="AM235" s="4"/>
      <c r="AN235" s="4"/>
      <c r="AO235" s="4"/>
      <c r="AP235" s="4"/>
      <c r="AQ235" s="4"/>
      <c r="AR235" s="4"/>
      <c r="AS235" s="4"/>
      <c r="AT235" s="5"/>
      <c r="AU235" s="5"/>
      <c r="AV235" s="5"/>
      <c r="AW235" s="5"/>
      <c r="AX235" s="131"/>
      <c r="AY235" s="5"/>
      <c r="AZ235" s="5"/>
      <c r="BA235" s="5"/>
      <c r="BB235" s="5"/>
      <c r="BC235" s="5"/>
      <c r="BD235" s="5"/>
      <c r="BE235" s="5"/>
      <c r="BF235" s="5"/>
      <c r="BG235" s="5"/>
      <c r="BH235" s="5"/>
      <c r="BI235" s="5"/>
      <c r="BK235" s="5"/>
      <c r="BL235" s="5"/>
      <c r="BM235" s="5"/>
      <c r="BN235" s="5"/>
      <c r="BO235" s="5"/>
      <c r="BP235" s="5"/>
      <c r="BQ235" s="5"/>
      <c r="BR235" s="5"/>
      <c r="BS235" s="5"/>
      <c r="BT235" s="5"/>
      <c r="BU235" s="5"/>
      <c r="BV235" s="5"/>
      <c r="BW235" s="5"/>
    </row>
    <row r="236" spans="1:108" s="5" customFormat="1" ht="12" customHeight="1" x14ac:dyDescent="0.45">
      <c r="A236" s="108"/>
      <c r="C236" s="14"/>
      <c r="D236" s="277"/>
      <c r="E236" s="8"/>
      <c r="F236" s="8"/>
      <c r="G236" s="8"/>
      <c r="H236" s="8"/>
      <c r="I236" s="18"/>
      <c r="N236" s="4"/>
      <c r="P236" s="4"/>
      <c r="Q236" s="446"/>
      <c r="R236" s="4"/>
      <c r="S236" s="4"/>
      <c r="T236" s="4"/>
      <c r="U236" s="4"/>
      <c r="V236" s="4"/>
      <c r="W236" s="4"/>
      <c r="X236" s="4"/>
      <c r="Y236" s="4"/>
      <c r="Z236" s="4"/>
      <c r="AA236" s="4"/>
      <c r="AB236" s="4"/>
      <c r="AC236" s="4"/>
      <c r="AD236" s="516"/>
      <c r="AE236" s="516"/>
      <c r="AF236" s="516"/>
      <c r="AG236" s="516"/>
      <c r="AH236" s="516"/>
      <c r="AI236" s="516"/>
      <c r="AJ236" s="516"/>
      <c r="AK236" s="4"/>
      <c r="AL236" s="4"/>
      <c r="AM236" s="4"/>
      <c r="AN236" s="4"/>
      <c r="AO236" s="4"/>
      <c r="AP236" s="4"/>
      <c r="AQ236" s="4"/>
      <c r="AR236" s="4"/>
      <c r="AW236" s="131"/>
      <c r="BI236" s="8"/>
      <c r="DD236" s="8"/>
    </row>
    <row r="237" spans="1:108" s="5" customFormat="1" ht="12" customHeight="1" thickBot="1" x14ac:dyDescent="0.5">
      <c r="A237" s="108"/>
      <c r="B237" s="1829" t="s">
        <v>162</v>
      </c>
      <c r="C237" s="8"/>
      <c r="D237" s="8"/>
      <c r="E237" s="8"/>
      <c r="F237" s="283" t="s">
        <v>163</v>
      </c>
      <c r="G237" s="8"/>
      <c r="H237" s="18"/>
      <c r="I237" s="18"/>
      <c r="N237" s="4"/>
      <c r="P237" s="4"/>
      <c r="Q237" s="4"/>
      <c r="R237" s="4"/>
      <c r="S237" s="4"/>
      <c r="T237" s="4"/>
      <c r="U237" s="4"/>
      <c r="V237" s="4"/>
      <c r="W237" s="4"/>
      <c r="X237" s="4"/>
      <c r="Y237" s="4"/>
      <c r="Z237" s="4"/>
      <c r="AA237" s="4"/>
      <c r="AB237" s="4"/>
      <c r="AC237" s="4"/>
      <c r="AD237" s="516"/>
      <c r="AE237" s="516"/>
      <c r="AF237" s="516"/>
      <c r="AG237" s="516"/>
      <c r="AH237" s="516"/>
      <c r="AI237" s="516"/>
      <c r="AJ237" s="516"/>
      <c r="AK237" s="4"/>
      <c r="AL237" s="4"/>
      <c r="AM237" s="4"/>
      <c r="AN237" s="4"/>
      <c r="AO237" s="4"/>
      <c r="AP237" s="4"/>
      <c r="AQ237" s="4"/>
      <c r="AR237" s="4"/>
      <c r="AW237" s="131"/>
      <c r="BI237" s="8"/>
      <c r="DD237" s="8"/>
    </row>
    <row r="238" spans="1:108" s="5" customFormat="1" ht="12" customHeight="1" thickBot="1" x14ac:dyDescent="0.35">
      <c r="A238" s="108"/>
      <c r="B238" s="1829"/>
      <c r="C238" s="8"/>
      <c r="D238" s="107" t="s">
        <v>164</v>
      </c>
      <c r="F238" s="595">
        <v>3</v>
      </c>
      <c r="G238" s="19" t="s">
        <v>161</v>
      </c>
      <c r="H238" s="19" t="s">
        <v>165</v>
      </c>
      <c r="I238" s="19" t="s">
        <v>166</v>
      </c>
      <c r="K238" s="473" t="s">
        <v>167</v>
      </c>
      <c r="M238" s="10" t="s">
        <v>168</v>
      </c>
      <c r="P238" s="4"/>
      <c r="R238" s="4"/>
      <c r="S238" s="4"/>
      <c r="T238" s="4"/>
      <c r="U238" s="4"/>
      <c r="V238" s="4"/>
      <c r="W238" s="4"/>
      <c r="X238" s="4"/>
      <c r="Y238" s="4"/>
      <c r="Z238" s="4"/>
      <c r="AA238" s="4"/>
      <c r="AB238" s="4"/>
      <c r="AC238" s="516"/>
      <c r="AD238" s="516"/>
      <c r="AE238" s="516"/>
      <c r="AF238" s="516"/>
      <c r="AG238" s="516"/>
      <c r="AH238" s="516"/>
      <c r="AI238" s="516"/>
      <c r="AJ238" s="4"/>
      <c r="AK238" s="4"/>
      <c r="AL238" s="4"/>
      <c r="AM238" s="4"/>
      <c r="AN238" s="4"/>
      <c r="AO238" s="4"/>
      <c r="AP238" s="4"/>
      <c r="AQ238" s="4"/>
      <c r="AV238" s="131"/>
      <c r="BH238" s="8"/>
      <c r="DD238" s="8"/>
    </row>
    <row r="239" spans="1:108" s="5" customFormat="1" ht="12" customHeight="1" thickBot="1" x14ac:dyDescent="0.35">
      <c r="A239" s="133">
        <v>1</v>
      </c>
      <c r="B239" s="1710" t="str">
        <f>IF(Infrastructure!AI39="Yes","(Unhide selected rows)","")</f>
        <v/>
      </c>
      <c r="C239" s="751" t="str">
        <f>A239&amp;" "</f>
        <v xml:space="preserve">1 </v>
      </c>
      <c r="D239" s="1834" t="inlineStr">
        <is>
          <t>Roasting Equipment</t>
        </is>
      </c>
      <c r="E239" s="1835"/>
      <c r="F239" s="1836"/>
      <c r="G239" s="588">
        <v>48000</v>
      </c>
      <c r="H239" s="618">
        <v>46418</v>
      </c>
      <c r="I239" s="608">
        <v>7</v>
      </c>
      <c r="K239" s="1886" t="s">
        <v>169</v>
      </c>
      <c r="L239" s="1887"/>
      <c r="M239" s="610">
        <v>3</v>
      </c>
      <c r="P239" s="4"/>
      <c r="Q239" s="4"/>
      <c r="R239" s="4"/>
      <c r="S239" s="4"/>
      <c r="T239" s="4"/>
      <c r="U239" s="4"/>
      <c r="V239" s="4"/>
      <c r="W239" s="4"/>
      <c r="X239" s="4"/>
      <c r="Y239" s="4"/>
      <c r="Z239" s="4"/>
      <c r="AA239" s="4"/>
      <c r="AB239" s="4"/>
      <c r="AC239" s="516"/>
      <c r="AD239" s="516"/>
      <c r="AE239" s="516"/>
      <c r="AF239" s="516"/>
      <c r="AG239" s="516"/>
      <c r="AH239" s="516"/>
      <c r="AI239" s="516"/>
      <c r="AJ239" s="4"/>
      <c r="AK239" s="4"/>
      <c r="AL239" s="4"/>
      <c r="AM239" s="4"/>
      <c r="AN239" s="4"/>
      <c r="AO239" s="4"/>
      <c r="AP239" s="4"/>
      <c r="AQ239" s="4"/>
      <c r="AV239" s="131"/>
      <c r="BH239" s="8"/>
      <c r="DD239" s="8"/>
    </row>
    <row r="240" spans="1:108" s="5" customFormat="1" ht="12" customHeight="1" thickBot="1" x14ac:dyDescent="0.35">
      <c r="A240" s="133">
        <v>2</v>
      </c>
      <c r="B240" s="1711" t="str">
        <f>IF(A240&gt;F$238,"{Can hide row}","")</f>
        <v/>
      </c>
      <c r="C240" s="751" t="str">
        <f>A240&amp;" "</f>
        <v xml:space="preserve">2 </v>
      </c>
      <c r="D240" s="1831" t="inlineStr">
        <is>
          <t>Leasehold Improvements</t>
        </is>
      </c>
      <c r="E240" s="1832"/>
      <c r="F240" s="1833"/>
      <c r="G240" s="590">
        <v>35000</v>
      </c>
      <c r="H240" s="616">
        <v>46418</v>
      </c>
      <c r="I240" s="609">
        <v>15</v>
      </c>
      <c r="K240" s="1884" t="s">
        <v>170</v>
      </c>
      <c r="L240" s="1885"/>
      <c r="M240" s="611">
        <v>7</v>
      </c>
      <c r="P240" s="4"/>
      <c r="Q240" s="4"/>
      <c r="R240" s="4"/>
      <c r="S240" s="4"/>
      <c r="T240" s="4"/>
      <c r="U240" s="4"/>
      <c r="V240" s="4"/>
      <c r="W240" s="4"/>
      <c r="X240" s="4"/>
      <c r="Y240" s="4"/>
      <c r="Z240" s="4"/>
      <c r="AA240" s="4"/>
      <c r="AB240" s="4"/>
      <c r="AC240" s="516"/>
      <c r="AD240" s="516"/>
      <c r="AE240" s="516"/>
      <c r="AF240" s="516"/>
      <c r="AG240" s="516"/>
      <c r="AH240" s="516"/>
      <c r="AI240" s="516"/>
      <c r="AJ240" s="4"/>
      <c r="AK240" s="4"/>
      <c r="AL240" s="4"/>
      <c r="AM240" s="4"/>
      <c r="AN240" s="4"/>
      <c r="AO240" s="4"/>
      <c r="AP240" s="4"/>
      <c r="AQ240" s="4"/>
      <c r="AV240" s="131"/>
      <c r="BH240" s="8"/>
      <c r="DD240" s="8"/>
    </row>
    <row r="241" spans="1:108" s="5" customFormat="1" ht="12" customHeight="1" thickBot="1" x14ac:dyDescent="0.35">
      <c r="A241" s="133">
        <v>3</v>
      </c>
      <c r="B241" s="1711" t="str">
        <f>IF(A241&gt;F$238,"{Can hide row}","")</f>
        <v/>
      </c>
      <c r="C241" s="751" t="str">
        <f>A241&amp;" "</f>
        <v xml:space="preserve">3 </v>
      </c>
      <c r="D241" s="1831" t="inlineStr">
        <is>
          <t>POS &amp; Computers</t>
        </is>
      </c>
      <c r="E241" s="1832"/>
      <c r="F241" s="1833"/>
      <c r="G241" s="590">
        <v>6000</v>
      </c>
      <c r="H241" s="616">
        <v>46418</v>
      </c>
      <c r="I241" s="609">
        <v>3</v>
      </c>
      <c r="K241" s="1879" t="s">
        <v>171</v>
      </c>
      <c r="L241" s="1880"/>
      <c r="M241" s="612">
        <v>15</v>
      </c>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V241" s="131"/>
      <c r="BH241" s="8"/>
      <c r="DD241" s="8"/>
    </row>
    <row r="242" spans="1:108" s="5" customFormat="1" ht="12" customHeight="1" thickBot="1" x14ac:dyDescent="0.35" hidden="1">
      <c r="A242" s="133">
        <v>4</v>
      </c>
      <c r="B242" s="1711" t="str">
        <f>IF(A242&gt;F$238,"{Can hide row}","")</f>
        <v/>
      </c>
      <c r="C242" s="751" t="str">
        <f>A242&amp;" "</f>
        <v xml:space="preserve">4 </v>
      </c>
      <c r="D242" s="1831"/>
      <c r="E242" s="1832"/>
      <c r="F242" s="1833"/>
      <c r="G242" s="590"/>
      <c r="H242" s="616"/>
      <c r="I242" s="609"/>
      <c r="M242" s="11"/>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V242" s="131"/>
      <c r="BH242" s="8"/>
      <c r="DD242" s="8"/>
    </row>
    <row r="243" spans="1:108" s="5" customFormat="1" ht="12" customHeight="1" thickBot="1" x14ac:dyDescent="0.35" hidden="1">
      <c r="A243" s="133">
        <v>5</v>
      </c>
      <c r="B243" s="1711" t="str">
        <f>IF(A243&gt;F$238,"{Can hide row}","")</f>
        <v/>
      </c>
      <c r="C243" s="9" t="str">
        <f>A243&amp;" "</f>
        <v xml:space="preserve">5 </v>
      </c>
      <c r="D243" s="1831"/>
      <c r="E243" s="1832"/>
      <c r="F243" s="1833"/>
      <c r="G243" s="590"/>
      <c r="H243" s="616"/>
      <c r="I243" s="609"/>
      <c r="M243" s="11"/>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BH243" s="8"/>
      <c r="DD243" s="8"/>
    </row>
    <row r="244" spans="1:108" s="5" customFormat="1" ht="12" hidden="1" customHeight="1" thickBot="1" x14ac:dyDescent="0.35">
      <c r="A244" s="133">
        <v>6</v>
      </c>
      <c r="B244" s="1711" t="str">
        <f>IF(A244&gt;F$238,"{Can hide row}","")</f>
        <v>{Can hide row}</v>
      </c>
      <c r="C244" s="9" t="str">
        <f>A244&amp;" "</f>
        <v xml:space="preserve">6 </v>
      </c>
      <c r="D244" s="1831"/>
      <c r="E244" s="1832"/>
      <c r="F244" s="1833"/>
      <c r="G244" s="590"/>
      <c r="H244" s="616"/>
      <c r="I244" s="609"/>
      <c r="M244" s="11"/>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BH244" s="8"/>
      <c r="DD244" s="8"/>
    </row>
    <row r="245" spans="1:108" s="5" customFormat="1" ht="12" hidden="1" customHeight="1" thickBot="1" x14ac:dyDescent="0.35">
      <c r="A245" s="133">
        <v>7</v>
      </c>
      <c r="B245" s="1711" t="str">
        <f>IF(A245&gt;F$238,"{Can hide row}","")</f>
        <v>{Can hide row}</v>
      </c>
      <c r="C245" s="9" t="str">
        <f>A245&amp;" "</f>
        <v xml:space="preserve">7 </v>
      </c>
      <c r="D245" s="1831"/>
      <c r="E245" s="1832"/>
      <c r="F245" s="1833"/>
      <c r="G245" s="590"/>
      <c r="H245" s="616"/>
      <c r="I245" s="609"/>
      <c r="M245" s="11"/>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BH245" s="8"/>
      <c r="DD245" s="8"/>
    </row>
    <row r="246" spans="1:108" s="5" customFormat="1" ht="12" hidden="1" customHeight="1" thickBot="1" x14ac:dyDescent="0.35">
      <c r="A246" s="133">
        <v>8</v>
      </c>
      <c r="B246" s="1711" t="str">
        <f>IF(A246&gt;F$238,"{Can hide row}","")</f>
        <v>{Can hide row}</v>
      </c>
      <c r="C246" s="9" t="str">
        <f>A246&amp;" "</f>
        <v xml:space="preserve">8 </v>
      </c>
      <c r="D246" s="1831"/>
      <c r="E246" s="1832"/>
      <c r="F246" s="1833"/>
      <c r="G246" s="590"/>
      <c r="H246" s="616"/>
      <c r="I246" s="609"/>
      <c r="M246" s="11"/>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BH246" s="8"/>
      <c r="DD246" s="8"/>
    </row>
    <row r="247" spans="1:108" s="5" customFormat="1" ht="12" hidden="1" customHeight="1" thickBot="1" x14ac:dyDescent="0.35">
      <c r="A247" s="133">
        <v>9</v>
      </c>
      <c r="B247" s="1711" t="str">
        <f>IF(A247&gt;F$238,"{Can hide row}","")</f>
        <v>{Can hide row}</v>
      </c>
      <c r="C247" s="9" t="str">
        <f>A247&amp;" "</f>
        <v xml:space="preserve">9 </v>
      </c>
      <c r="D247" s="1831"/>
      <c r="E247" s="1832"/>
      <c r="F247" s="1833"/>
      <c r="G247" s="590"/>
      <c r="H247" s="616"/>
      <c r="I247" s="609"/>
      <c r="M247" s="11"/>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BH247" s="8"/>
      <c r="DD247" s="8"/>
    </row>
    <row r="248" spans="1:108" s="5" customFormat="1" ht="12" hidden="1" customHeight="1" thickBot="1" x14ac:dyDescent="0.35">
      <c r="A248" s="133">
        <v>10</v>
      </c>
      <c r="B248" s="1711" t="str">
        <f>IF(A248&gt;F$238,"{Can hide row}","")</f>
        <v>{Can hide row}</v>
      </c>
      <c r="C248" s="9" t="str">
        <f>A248&amp;" "</f>
        <v xml:space="preserve">10 </v>
      </c>
      <c r="D248" s="1831"/>
      <c r="E248" s="1832"/>
      <c r="F248" s="1833"/>
      <c r="G248" s="590"/>
      <c r="H248" s="616"/>
      <c r="I248" s="609"/>
      <c r="M248" s="11"/>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BH248" s="8"/>
      <c r="DD248" s="8"/>
    </row>
    <row r="249" spans="1:108" s="5" customFormat="1" ht="12" hidden="1" customHeight="1" thickBot="1" x14ac:dyDescent="0.35">
      <c r="A249" s="133">
        <v>11</v>
      </c>
      <c r="B249" s="1711" t="str">
        <f>IF(A249&gt;F$238,"{Can hide row}","")</f>
        <v>{Can hide row}</v>
      </c>
      <c r="C249" s="9" t="str">
        <f>A249&amp;" "</f>
        <v xml:space="preserve">11 </v>
      </c>
      <c r="D249" s="1831"/>
      <c r="E249" s="1832"/>
      <c r="F249" s="1833"/>
      <c r="G249" s="590"/>
      <c r="H249" s="616"/>
      <c r="I249" s="609"/>
      <c r="M249" s="11"/>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BH249" s="8"/>
      <c r="DD249" s="8"/>
    </row>
    <row r="250" spans="1:108" s="5" customFormat="1" ht="12" hidden="1" customHeight="1" thickBot="1" x14ac:dyDescent="0.35">
      <c r="A250" s="133">
        <v>12</v>
      </c>
      <c r="B250" s="1711" t="str">
        <f>IF(A250&gt;F$238,"{Can hide row}","")</f>
        <v>{Can hide row}</v>
      </c>
      <c r="C250" s="9" t="str">
        <f>A250&amp;" "</f>
        <v xml:space="preserve">12 </v>
      </c>
      <c r="D250" s="1831"/>
      <c r="E250" s="1832"/>
      <c r="F250" s="1833"/>
      <c r="G250" s="590"/>
      <c r="H250" s="616"/>
      <c r="I250" s="609"/>
      <c r="M250" s="11"/>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BH250" s="8"/>
      <c r="DD250" s="8"/>
    </row>
    <row r="251" spans="1:108" s="5" customFormat="1" ht="12" hidden="1" customHeight="1" thickBot="1" x14ac:dyDescent="0.35">
      <c r="A251" s="133">
        <v>13</v>
      </c>
      <c r="B251" s="1711" t="str">
        <f>IF(A251&gt;F$238,"{Can hide row}","")</f>
        <v>{Can hide row}</v>
      </c>
      <c r="C251" s="9" t="str">
        <f>A251&amp;" "</f>
        <v xml:space="preserve">13 </v>
      </c>
      <c r="D251" s="1831"/>
      <c r="E251" s="1832"/>
      <c r="F251" s="1833"/>
      <c r="G251" s="590"/>
      <c r="H251" s="616"/>
      <c r="I251" s="609"/>
      <c r="M251" s="11"/>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BH251" s="8"/>
      <c r="DD251" s="8"/>
    </row>
    <row r="252" spans="1:108" s="5" customFormat="1" ht="12" hidden="1" customHeight="1" thickBot="1" x14ac:dyDescent="0.35">
      <c r="A252" s="133">
        <v>14</v>
      </c>
      <c r="B252" s="1711" t="str">
        <f>IF(A252&gt;F$238,"{Can hide row}","")</f>
        <v>{Can hide row}</v>
      </c>
      <c r="C252" s="9" t="str">
        <f>A252&amp;" "</f>
        <v xml:space="preserve">14 </v>
      </c>
      <c r="D252" s="1831"/>
      <c r="E252" s="1832"/>
      <c r="F252" s="1833"/>
      <c r="G252" s="590"/>
      <c r="H252" s="616"/>
      <c r="I252" s="609"/>
      <c r="M252" s="11"/>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BH252" s="8"/>
      <c r="DD252" s="8"/>
    </row>
    <row r="253" spans="1:108" s="5" customFormat="1" ht="12" hidden="1" customHeight="1" thickBot="1" x14ac:dyDescent="0.35">
      <c r="A253" s="133">
        <v>15</v>
      </c>
      <c r="B253" s="1711" t="str">
        <f>IF(A253&gt;F$238,"{Can hide row}","")</f>
        <v>{Can hide row}</v>
      </c>
      <c r="C253" s="9" t="str">
        <f>A253&amp;" "</f>
        <v xml:space="preserve">15 </v>
      </c>
      <c r="D253" s="1831"/>
      <c r="E253" s="1832"/>
      <c r="F253" s="1833"/>
      <c r="G253" s="590"/>
      <c r="H253" s="616"/>
      <c r="I253" s="609"/>
      <c r="M253" s="11"/>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BH253" s="8"/>
      <c r="DD253" s="8"/>
    </row>
    <row r="254" spans="1:108" s="5" customFormat="1" ht="12" hidden="1" customHeight="1" thickBot="1" x14ac:dyDescent="0.35">
      <c r="A254" s="133">
        <v>16</v>
      </c>
      <c r="B254" s="1711" t="str">
        <f>IF(A254&gt;F$238,"{Can hide row}","")</f>
        <v>{Can hide row}</v>
      </c>
      <c r="C254" s="9" t="str">
        <f>A254&amp;" "</f>
        <v xml:space="preserve">16 </v>
      </c>
      <c r="D254" s="1831"/>
      <c r="E254" s="1832"/>
      <c r="F254" s="1833"/>
      <c r="G254" s="590"/>
      <c r="H254" s="616"/>
      <c r="I254" s="609"/>
      <c r="M254" s="11"/>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BH254" s="8"/>
      <c r="DD254" s="8"/>
    </row>
    <row r="255" spans="1:108" s="5" customFormat="1" ht="12" hidden="1" customHeight="1" thickBot="1" x14ac:dyDescent="0.35">
      <c r="A255" s="133">
        <v>17</v>
      </c>
      <c r="B255" s="1711" t="str">
        <f>IF(A255&gt;F$238,"{Can hide row}","")</f>
        <v>{Can hide row}</v>
      </c>
      <c r="C255" s="9" t="str">
        <f>A255&amp;" "</f>
        <v xml:space="preserve">17 </v>
      </c>
      <c r="D255" s="1831"/>
      <c r="E255" s="1832"/>
      <c r="F255" s="1833"/>
      <c r="G255" s="590"/>
      <c r="H255" s="616"/>
      <c r="I255" s="609"/>
      <c r="M255" s="11"/>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BH255" s="8"/>
      <c r="DD255" s="8"/>
    </row>
    <row r="256" spans="1:108" s="5" customFormat="1" ht="12" hidden="1" customHeight="1" thickBot="1" x14ac:dyDescent="0.35">
      <c r="A256" s="133">
        <v>18</v>
      </c>
      <c r="B256" s="1711" t="str">
        <f>IF(A256&gt;F$238,"{Can hide row}","")</f>
        <v>{Can hide row}</v>
      </c>
      <c r="C256" s="9" t="str">
        <f>A256&amp;" "</f>
        <v xml:space="preserve">18 </v>
      </c>
      <c r="D256" s="1831"/>
      <c r="E256" s="1832"/>
      <c r="F256" s="1833"/>
      <c r="G256" s="590"/>
      <c r="H256" s="616"/>
      <c r="I256" s="609"/>
      <c r="M256" s="11"/>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BH256" s="8"/>
      <c r="DD256" s="8"/>
    </row>
    <row r="257" spans="1:108" s="5" customFormat="1" ht="12" hidden="1" customHeight="1" thickBot="1" x14ac:dyDescent="0.35">
      <c r="A257" s="133">
        <v>19</v>
      </c>
      <c r="B257" s="1711" t="str">
        <f>IF(A257&gt;F$238,"{Can hide row}","")</f>
        <v>{Can hide row}</v>
      </c>
      <c r="C257" s="9" t="str">
        <f>A257&amp;" "</f>
        <v xml:space="preserve">19 </v>
      </c>
      <c r="D257" s="1831"/>
      <c r="E257" s="1832"/>
      <c r="F257" s="1833"/>
      <c r="G257" s="590"/>
      <c r="H257" s="616"/>
      <c r="I257" s="609"/>
      <c r="M257" s="11"/>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BH257" s="8"/>
      <c r="DD257" s="8"/>
    </row>
    <row r="258" spans="1:108" s="5" customFormat="1" ht="12" hidden="1" customHeight="1" thickBot="1" x14ac:dyDescent="0.35">
      <c r="A258" s="133">
        <v>20</v>
      </c>
      <c r="B258" s="1711" t="str">
        <f>IF(A258&gt;F$238,"{Can hide row}","")</f>
        <v>{Can hide row}</v>
      </c>
      <c r="C258" s="9" t="str">
        <f>A258&amp;" "</f>
        <v xml:space="preserve">20 </v>
      </c>
      <c r="D258" s="1831"/>
      <c r="E258" s="1832"/>
      <c r="F258" s="1833"/>
      <c r="G258" s="590"/>
      <c r="H258" s="616"/>
      <c r="I258" s="609"/>
      <c r="M258" s="11"/>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BH258" s="8"/>
      <c r="DD258" s="8"/>
    </row>
    <row r="259" spans="1:108" s="5" customFormat="1" ht="12" customHeight="1" x14ac:dyDescent="0.45">
      <c r="A259" s="108"/>
      <c r="C259" s="8"/>
      <c r="D259" s="447"/>
      <c r="E259" s="447"/>
      <c r="F259" s="447"/>
      <c r="G259" s="447"/>
      <c r="H259" s="451"/>
      <c r="I259" s="455"/>
      <c r="J259" s="8"/>
      <c r="K259" s="8"/>
      <c r="M259" s="11"/>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BH259" s="8"/>
      <c r="DD259" s="8"/>
    </row>
    <row r="260" spans="1:108" s="5" customFormat="1" ht="12" customHeight="1" thickBot="1" x14ac:dyDescent="0.35">
      <c r="A260" s="108"/>
      <c r="C260" s="8"/>
      <c r="D260" s="8"/>
      <c r="E260" s="8"/>
      <c r="F260" s="283" t="s">
        <v>135</v>
      </c>
      <c r="G260" s="8"/>
      <c r="H260" s="9"/>
      <c r="I260" s="9"/>
      <c r="J260" s="8"/>
      <c r="K260" s="8"/>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BH260" s="8"/>
      <c r="DD260" s="8"/>
    </row>
    <row r="261" spans="1:108" s="5" customFormat="1" ht="12" customHeight="1" thickBot="1" x14ac:dyDescent="0.35">
      <c r="A261" s="108"/>
      <c r="C261" s="8"/>
      <c r="D261" s="42" t="s">
        <v>21</v>
      </c>
      <c r="E261" s="8"/>
      <c r="F261" s="595">
        <v>1</v>
      </c>
      <c r="G261" s="19" t="s">
        <v>161</v>
      </c>
      <c r="H261" s="19" t="s">
        <v>165</v>
      </c>
      <c r="I261" s="19" t="s">
        <v>172</v>
      </c>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BH261" s="8"/>
      <c r="DD261" s="8"/>
    </row>
    <row r="262" spans="1:108" s="5" customFormat="1" ht="12" customHeight="1" thickBot="1" x14ac:dyDescent="0.35">
      <c r="A262" s="133">
        <v>1</v>
      </c>
      <c r="B262" s="1710" t="str">
        <f>IF(Infrastructure!AI40="Yes","(Unhide selected rows)","")</f>
        <v/>
      </c>
      <c r="C262" s="9" t="str">
        <f>A262&amp;" "</f>
        <v xml:space="preserve">1 </v>
      </c>
      <c r="D262" s="1834" t="inlineStr">
        <is>
          <t>Brand &amp; Website</t>
        </is>
      </c>
      <c r="E262" s="1835"/>
      <c r="F262" s="1836"/>
      <c r="G262" s="588">
        <v>8000</v>
      </c>
      <c r="H262" s="618">
        <v>46418</v>
      </c>
      <c r="I262" s="608">
        <v>3</v>
      </c>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BH262" s="8"/>
      <c r="DD262" s="8"/>
    </row>
    <row r="263" spans="1:108" s="5" customFormat="1" ht="12" customHeight="1" thickBot="1" x14ac:dyDescent="0.35" hidden="1">
      <c r="A263" s="133">
        <v>2</v>
      </c>
      <c r="B263" s="1711" t="str">
        <f>IF(A263&gt;F$261,"(Can hide row)","")</f>
        <v/>
      </c>
      <c r="C263" s="9" t="str">
        <f>A263&amp;" "</f>
        <v xml:space="preserve">2 </v>
      </c>
      <c r="D263" s="1831"/>
      <c r="E263" s="1832"/>
      <c r="F263" s="1833"/>
      <c r="G263" s="590"/>
      <c r="H263" s="616"/>
      <c r="I263" s="609"/>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BH263" s="8"/>
      <c r="DD263" s="8"/>
    </row>
    <row r="264" spans="1:108" s="5" customFormat="1" ht="12" customHeight="1" thickBot="1" x14ac:dyDescent="0.35" hidden="1">
      <c r="A264" s="133">
        <v>3</v>
      </c>
      <c r="B264" s="1711" t="str">
        <f>IF(A264&gt;F$261,"(Can hide row)","")</f>
        <v/>
      </c>
      <c r="C264" s="9" t="str">
        <f>A264&amp;" "</f>
        <v xml:space="preserve">3 </v>
      </c>
      <c r="D264" s="1831"/>
      <c r="E264" s="1832"/>
      <c r="F264" s="1833"/>
      <c r="G264" s="590"/>
      <c r="H264" s="616"/>
      <c r="I264" s="609"/>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BH264" s="8"/>
      <c r="DD264" s="8"/>
    </row>
    <row r="265" spans="1:108" s="5" customFormat="1" ht="12" hidden="1" customHeight="1" thickBot="1" x14ac:dyDescent="0.35">
      <c r="A265" s="133">
        <v>4</v>
      </c>
      <c r="B265" s="1711" t="str">
        <f>IF(A265&gt;F$261,"(Can hide row)","")</f>
        <v>(Can hide row)</v>
      </c>
      <c r="C265" s="9" t="str">
        <f>A265&amp;" "</f>
        <v xml:space="preserve">4 </v>
      </c>
      <c r="D265" s="1831"/>
      <c r="E265" s="1832"/>
      <c r="F265" s="1833"/>
      <c r="G265" s="590"/>
      <c r="H265" s="616"/>
      <c r="I265" s="609"/>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BH265" s="8"/>
      <c r="DD265" s="8"/>
    </row>
    <row r="266" spans="1:108" s="5" customFormat="1" ht="12" hidden="1" customHeight="1" thickBot="1" x14ac:dyDescent="0.35">
      <c r="A266" s="133">
        <v>5</v>
      </c>
      <c r="B266" s="1711" t="str">
        <f>IF(A266&gt;F$261,"(Can hide row)","")</f>
        <v>(Can hide row)</v>
      </c>
      <c r="C266" s="9" t="str">
        <f>A266&amp;" "</f>
        <v xml:space="preserve">5 </v>
      </c>
      <c r="D266" s="1831"/>
      <c r="E266" s="1832"/>
      <c r="F266" s="1833"/>
      <c r="G266" s="590"/>
      <c r="H266" s="616"/>
      <c r="I266" s="609"/>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BH266" s="8"/>
      <c r="DD266" s="8"/>
    </row>
    <row r="267" spans="1:108" s="5" customFormat="1" ht="12" hidden="1" customHeight="1" thickBot="1" x14ac:dyDescent="0.35">
      <c r="A267" s="133">
        <v>6</v>
      </c>
      <c r="B267" s="1711" t="str">
        <f>IF(A267&gt;F$261,"(Can hide row)","")</f>
        <v>(Can hide row)</v>
      </c>
      <c r="C267" s="9" t="str">
        <f>A267&amp;" "</f>
        <v xml:space="preserve">6 </v>
      </c>
      <c r="D267" s="1831"/>
      <c r="E267" s="1832"/>
      <c r="F267" s="1833"/>
      <c r="G267" s="590"/>
      <c r="H267" s="616"/>
      <c r="I267" s="609"/>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BH267" s="8"/>
      <c r="DD267" s="8"/>
    </row>
    <row r="268" spans="1:108" s="5" customFormat="1" ht="12" hidden="1" customHeight="1" thickBot="1" x14ac:dyDescent="0.35">
      <c r="A268" s="133">
        <v>7</v>
      </c>
      <c r="B268" s="1711" t="str">
        <f>IF(A268&gt;F$261,"(Can hide row)","")</f>
        <v>(Can hide row)</v>
      </c>
      <c r="C268" s="9" t="str">
        <f>A268&amp;" "</f>
        <v xml:space="preserve">7 </v>
      </c>
      <c r="D268" s="1831"/>
      <c r="E268" s="1832"/>
      <c r="F268" s="1833"/>
      <c r="G268" s="590"/>
      <c r="H268" s="616"/>
      <c r="I268" s="609"/>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BH268" s="8"/>
      <c r="DD268" s="8"/>
    </row>
    <row r="269" spans="1:108" s="5" customFormat="1" ht="12" hidden="1" customHeight="1" thickBot="1" x14ac:dyDescent="0.35">
      <c r="A269" s="133">
        <v>8</v>
      </c>
      <c r="B269" s="1711" t="str">
        <f>IF(A269&gt;F$261,"(Can hide row)","")</f>
        <v>(Can hide row)</v>
      </c>
      <c r="C269" s="9" t="str">
        <f>A269&amp;" "</f>
        <v xml:space="preserve">8 </v>
      </c>
      <c r="D269" s="1831"/>
      <c r="E269" s="1832"/>
      <c r="F269" s="1833"/>
      <c r="G269" s="590"/>
      <c r="H269" s="616"/>
      <c r="I269" s="609"/>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BH269" s="8"/>
      <c r="DD269" s="8"/>
    </row>
    <row r="270" spans="1:108" s="5" customFormat="1" ht="12" hidden="1" customHeight="1" thickBot="1" x14ac:dyDescent="0.35">
      <c r="A270" s="133">
        <v>9</v>
      </c>
      <c r="B270" s="1711" t="str">
        <f>IF(A270&gt;F$261,"(Can hide row)","")</f>
        <v>(Can hide row)</v>
      </c>
      <c r="C270" s="9" t="str">
        <f>A270&amp;" "</f>
        <v xml:space="preserve">9 </v>
      </c>
      <c r="D270" s="1831"/>
      <c r="E270" s="1832"/>
      <c r="F270" s="1833"/>
      <c r="G270" s="590"/>
      <c r="H270" s="616"/>
      <c r="I270" s="609"/>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BH270" s="8"/>
      <c r="DD270" s="8"/>
    </row>
    <row r="271" spans="1:108" s="5" customFormat="1" ht="12" hidden="1" customHeight="1" thickBot="1" x14ac:dyDescent="0.35">
      <c r="A271" s="133">
        <v>10</v>
      </c>
      <c r="B271" s="1711" t="str">
        <f>IF(A271&gt;F$261,"(Can hide row)","")</f>
        <v>(Can hide row)</v>
      </c>
      <c r="C271" s="9" t="str">
        <f>A271&amp;" "</f>
        <v xml:space="preserve">10 </v>
      </c>
      <c r="D271" s="1831"/>
      <c r="E271" s="1832"/>
      <c r="F271" s="1833"/>
      <c r="G271" s="590"/>
      <c r="H271" s="616"/>
      <c r="I271" s="609"/>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BH271" s="8"/>
      <c r="DD271" s="8"/>
    </row>
    <row r="272" spans="1:108" s="5" customFormat="1" ht="12" customHeight="1" x14ac:dyDescent="0.3">
      <c r="A272" s="108"/>
      <c r="D272" s="450"/>
      <c r="E272" s="450"/>
      <c r="F272" s="450"/>
      <c r="G272" s="447"/>
      <c r="H272" s="1068"/>
      <c r="I272" s="451"/>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BH272" s="8"/>
      <c r="DD272" s="8"/>
    </row>
    <row r="273" spans="1:108" s="5" customFormat="1" ht="12" customHeight="1" x14ac:dyDescent="0.3">
      <c r="A273" s="108"/>
      <c r="H273" s="6"/>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BH273" s="8"/>
      <c r="DD273" s="8"/>
    </row>
    <row r="274" spans="1:108" s="5" customFormat="1" ht="12" customHeight="1" x14ac:dyDescent="0.3">
      <c r="A274" s="108"/>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BH274" s="8"/>
      <c r="DD274" s="8"/>
    </row>
    <row r="275" spans="1:108" s="5" customFormat="1" ht="12" customHeight="1" thickBot="1" x14ac:dyDescent="0.35">
      <c r="A275" s="108"/>
      <c r="B275" s="1829" t="s">
        <v>173</v>
      </c>
      <c r="H275" s="1368" t="s">
        <v>174</v>
      </c>
      <c r="I275" s="1067" t="s">
        <v>175</v>
      </c>
      <c r="X275" s="4"/>
      <c r="Y275" s="4"/>
      <c r="Z275" s="4"/>
      <c r="AA275" s="4"/>
      <c r="AB275" s="4"/>
      <c r="AC275" s="4"/>
      <c r="AD275" s="4"/>
      <c r="AE275" s="4"/>
      <c r="AF275" s="4"/>
      <c r="AG275" s="4"/>
      <c r="AH275" s="4"/>
      <c r="AI275" s="4"/>
      <c r="AJ275" s="4"/>
      <c r="AK275" s="4"/>
      <c r="AL275" s="4"/>
      <c r="AM275" s="4"/>
      <c r="AN275" s="4"/>
      <c r="AO275" s="4"/>
      <c r="AP275" s="4"/>
      <c r="AQ275" s="4"/>
      <c r="BH275" s="8"/>
      <c r="DD275" s="8"/>
    </row>
    <row r="276" spans="1:108" s="5" customFormat="1" ht="12" customHeight="1" thickBot="1" x14ac:dyDescent="0.5">
      <c r="A276" s="108"/>
      <c r="B276" s="1829"/>
      <c r="C276" s="8"/>
      <c r="D276" s="17" t="s">
        <v>176</v>
      </c>
      <c r="E276" s="18"/>
      <c r="F276" s="18"/>
      <c r="H276" s="1363" t="str">
        <f>IF(DV3=1,"Yes","No")</f>
        <v>No</v>
      </c>
      <c r="I276" s="1369"/>
      <c r="X276" s="4"/>
      <c r="Y276" s="4"/>
      <c r="Z276" s="4"/>
      <c r="AA276" s="4"/>
      <c r="AB276" s="4"/>
      <c r="AC276" s="4"/>
      <c r="AD276" s="4"/>
      <c r="AE276" s="4"/>
      <c r="AF276" s="4"/>
      <c r="AG276" s="4"/>
      <c r="AH276" s="4"/>
      <c r="AI276" s="4"/>
      <c r="AJ276" s="4"/>
      <c r="AK276" s="4"/>
      <c r="AL276" s="4"/>
      <c r="AM276" s="4"/>
      <c r="AN276" s="4"/>
      <c r="AO276" s="4"/>
      <c r="AP276" s="4"/>
      <c r="AQ276" s="4"/>
      <c r="BH276" s="8"/>
      <c r="DD276" s="8"/>
    </row>
    <row r="277" spans="1:108" s="5" customFormat="1" ht="12" customHeight="1" thickBot="1" x14ac:dyDescent="0.5">
      <c r="A277" s="108"/>
      <c r="B277" s="280"/>
      <c r="C277" s="11"/>
      <c r="D277" s="18"/>
      <c r="E277" s="18"/>
      <c r="F277" s="283" t="s">
        <v>135</v>
      </c>
      <c r="G277" s="18"/>
      <c r="H277" s="11"/>
      <c r="L277" s="11"/>
      <c r="O277" s="814" t="s">
        <v>177</v>
      </c>
      <c r="P277" s="1798"/>
      <c r="Q277" s="8"/>
      <c r="R277" s="8"/>
      <c r="S277" s="8"/>
      <c r="T277" s="8"/>
      <c r="U277" s="8"/>
      <c r="W277" s="8"/>
      <c r="BH277" s="8"/>
      <c r="DD277" s="8"/>
    </row>
    <row r="278" spans="1:108" s="5" customFormat="1" ht="12" customHeight="1" thickBot="1" x14ac:dyDescent="0.4">
      <c r="A278" s="108"/>
      <c r="C278" s="8"/>
      <c r="D278" s="42" t="s">
        <v>53</v>
      </c>
      <c r="E278" s="8"/>
      <c r="F278" s="592">
        <v>2</v>
      </c>
      <c r="G278" s="10" t="s">
        <v>161</v>
      </c>
      <c r="H278" s="10" t="s">
        <v>165</v>
      </c>
      <c r="I278" s="10" t="s">
        <v>178</v>
      </c>
      <c r="J278" s="10" t="s">
        <v>179</v>
      </c>
      <c r="M278" s="278" t="s">
        <v>62</v>
      </c>
      <c r="O278" s="592">
        <v>2</v>
      </c>
      <c r="P278" s="10" t="s">
        <v>161</v>
      </c>
      <c r="Q278" s="10" t="s">
        <v>137</v>
      </c>
      <c r="R278" s="10" t="s">
        <v>138</v>
      </c>
      <c r="S278" s="10" t="s">
        <v>175</v>
      </c>
      <c r="T278" s="10" t="s">
        <v>180</v>
      </c>
      <c r="U278" s="10" t="s">
        <v>79</v>
      </c>
      <c r="V278" s="10" t="s">
        <v>179</v>
      </c>
      <c r="W278" s="8"/>
      <c r="X278" s="10" t="s">
        <v>181</v>
      </c>
      <c r="BH278" s="8"/>
    </row>
    <row r="279" spans="1:108" s="5" customFormat="1" ht="12" customHeight="1" thickBot="1" x14ac:dyDescent="0.4">
      <c r="A279" s="133">
        <v>1</v>
      </c>
      <c r="B279" s="1710" t="str">
        <f>IF(Infrastructure!AI41="Yes","(Unhide selected rows)","")</f>
        <v/>
      </c>
      <c r="C279" s="9" t="str">
        <f>A279&amp;" "</f>
        <v xml:space="preserve">1 </v>
      </c>
      <c r="D279" s="1847" t="inlineStr">
        <is>
          <t>Founders</t>
        </is>
      </c>
      <c r="E279" s="1848"/>
      <c r="F279" s="1849"/>
      <c r="G279" s="613">
        <v>60000</v>
      </c>
      <c r="H279" s="614">
        <v>46418</v>
      </c>
      <c r="I279" s="614" t="inlineStr">
        <is>
          <t>Common</t>
        </is>
      </c>
      <c r="J279" s="615">
        <v>0.7</v>
      </c>
      <c r="L279" s="9" t="str">
        <f>A279&amp;" "</f>
        <v xml:space="preserve">1 </v>
      </c>
      <c r="M279" s="1834"/>
      <c r="N279" s="1835"/>
      <c r="O279" s="1836"/>
      <c r="P279" s="599"/>
      <c r="Q279" s="618"/>
      <c r="R279" s="618"/>
      <c r="S279" s="619"/>
      <c r="T279" s="600"/>
      <c r="U279" s="600"/>
      <c r="V279" s="620"/>
      <c r="X279" s="456" t="str">
        <f>IF(P279="","",IF(U279*(1-S279)&lt;T279,U279*(1-S279),T279))</f>
        <v/>
      </c>
      <c r="BH279" s="8"/>
    </row>
    <row r="280" spans="1:108" s="5" customFormat="1" ht="12" customHeight="1" thickBot="1" x14ac:dyDescent="0.4">
      <c r="A280" s="133">
        <v>2</v>
      </c>
      <c r="B280" s="1711" t="str">
        <f>IF(A280&gt;F$278,"(Can hide row)","")</f>
        <v/>
      </c>
      <c r="C280" s="9" t="str">
        <f>A280&amp;" "</f>
        <v xml:space="preserve">2 </v>
      </c>
      <c r="D280" s="1837" t="inlineStr">
        <is>
          <t>Angel Investor</t>
        </is>
      </c>
      <c r="E280" s="1838"/>
      <c r="F280" s="1839"/>
      <c r="G280" s="590">
        <v>175000</v>
      </c>
      <c r="H280" s="616">
        <v>46418</v>
      </c>
      <c r="I280" s="616" t="inlineStr">
        <is>
          <t>Preferred</t>
        </is>
      </c>
      <c r="J280" s="617">
        <v>0.2</v>
      </c>
      <c r="L280" s="9" t="str">
        <f>A280&amp;" "</f>
        <v xml:space="preserve">2 </v>
      </c>
      <c r="M280" s="1831"/>
      <c r="N280" s="1832"/>
      <c r="O280" s="1833"/>
      <c r="P280" s="605"/>
      <c r="Q280" s="616"/>
      <c r="R280" s="616"/>
      <c r="S280" s="1099"/>
      <c r="T280" s="606"/>
      <c r="U280" s="606"/>
      <c r="V280" s="1102"/>
      <c r="X280" s="457" t="str">
        <f>IF(P280="","",IF(U280*(1-S280)&lt;T280,U280*(1-S280),T280))</f>
        <v/>
      </c>
      <c r="BH280" s="8"/>
    </row>
    <row r="281" spans="1:108" s="5" customFormat="1" ht="12" customHeight="1" thickBot="1" x14ac:dyDescent="0.4" hidden="1">
      <c r="A281" s="133">
        <v>3</v>
      </c>
      <c r="B281" s="1711" t="str">
        <f>IF(A281&gt;F$278,"(Can hide row)","")</f>
        <v/>
      </c>
      <c r="C281" s="9" t="str">
        <f>A281&amp;" "</f>
        <v xml:space="preserve">3 </v>
      </c>
      <c r="D281" s="1837"/>
      <c r="E281" s="1838"/>
      <c r="F281" s="1839"/>
      <c r="G281" s="590"/>
      <c r="H281" s="616"/>
      <c r="I281" s="616"/>
      <c r="J281" s="617"/>
      <c r="L281" s="9" t="str">
        <f>A281&amp;" "</f>
        <v xml:space="preserve">3 </v>
      </c>
      <c r="M281" s="1881"/>
      <c r="N281" s="1882"/>
      <c r="O281" s="1883"/>
      <c r="P281" s="624"/>
      <c r="Q281" s="625"/>
      <c r="R281" s="625"/>
      <c r="S281" s="626"/>
      <c r="T281" s="627"/>
      <c r="U281" s="627"/>
      <c r="V281" s="628"/>
      <c r="X281" s="1103" t="str">
        <f>IF(P281="","",IF(U281*(1-S281)&lt;T281,U281*(1-S281),T281))</f>
        <v/>
      </c>
      <c r="BH281" s="8"/>
    </row>
    <row r="282" spans="1:108" s="5" customFormat="1" ht="12" customHeight="1" thickBot="1" x14ac:dyDescent="0.4" hidden="1">
      <c r="A282" s="133">
        <v>4</v>
      </c>
      <c r="B282" s="1711" t="str">
        <f>IF(A282&gt;F$278,"(Can hide row)","")</f>
        <v/>
      </c>
      <c r="C282" s="9" t="str">
        <f>A282&amp;" "</f>
        <v xml:space="preserve">4 </v>
      </c>
      <c r="D282" s="1837"/>
      <c r="E282" s="1838"/>
      <c r="F282" s="1839"/>
      <c r="G282" s="590"/>
      <c r="H282" s="616"/>
      <c r="I282" s="616"/>
      <c r="J282" s="617"/>
      <c r="L282" s="8"/>
      <c r="M282" s="8"/>
      <c r="N282" s="8"/>
      <c r="O282" s="8"/>
      <c r="P282" s="8"/>
      <c r="Q282" s="8"/>
      <c r="R282" s="8"/>
      <c r="S282" s="8"/>
      <c r="T282" s="8"/>
      <c r="BH282" s="8"/>
    </row>
    <row r="283" spans="1:108" s="5" customFormat="1" ht="12" customHeight="1" thickBot="1" x14ac:dyDescent="0.4" hidden="1">
      <c r="A283" s="133">
        <v>5</v>
      </c>
      <c r="B283" s="1711" t="str">
        <f>IF(A283&gt;F$278,"(Can hide row)","")</f>
        <v/>
      </c>
      <c r="C283" s="9" t="str">
        <f>A283&amp;" "</f>
        <v xml:space="preserve">5 </v>
      </c>
      <c r="D283" s="1837"/>
      <c r="E283" s="1838"/>
      <c r="F283" s="1839"/>
      <c r="G283" s="590"/>
      <c r="H283" s="616"/>
      <c r="I283" s="616"/>
      <c r="J283" s="617"/>
      <c r="L283" s="8"/>
      <c r="M283" s="8"/>
      <c r="N283" s="8"/>
      <c r="O283" s="8"/>
      <c r="P283" s="8"/>
      <c r="Q283" s="8"/>
      <c r="R283" s="8"/>
      <c r="S283" s="8"/>
      <c r="X283" s="131"/>
      <c r="BH283" s="8"/>
    </row>
    <row r="284" spans="1:108" s="5" customFormat="1" ht="12" hidden="1" customHeight="1" thickBot="1" x14ac:dyDescent="0.4">
      <c r="A284" s="133">
        <v>6</v>
      </c>
      <c r="B284" s="1711" t="str">
        <f>IF(A284&gt;F$278,"(Can hide row)","")</f>
        <v>(Can hide row)</v>
      </c>
      <c r="C284" s="9" t="str">
        <f>A284&amp;" "</f>
        <v xml:space="preserve">6 </v>
      </c>
      <c r="D284" s="1837"/>
      <c r="E284" s="1838"/>
      <c r="F284" s="1839"/>
      <c r="G284" s="590"/>
      <c r="H284" s="616">
        <f>H283</f>
        <v>0</v>
      </c>
      <c r="I284" s="616">
        <f>I283</f>
        <v>0</v>
      </c>
      <c r="J284" s="617">
        <f>J283</f>
        <v>0</v>
      </c>
      <c r="L284" s="8"/>
      <c r="M284" s="8"/>
      <c r="N284" s="8"/>
      <c r="O284" s="8"/>
      <c r="P284" s="8"/>
      <c r="Q284" s="8"/>
      <c r="R284" s="8"/>
      <c r="S284" s="8"/>
      <c r="U284" s="8"/>
      <c r="X284" s="131"/>
      <c r="BH284" s="8"/>
    </row>
    <row r="285" spans="1:108" s="5" customFormat="1" ht="12" hidden="1" customHeight="1" thickBot="1" x14ac:dyDescent="0.4">
      <c r="A285" s="133">
        <v>7</v>
      </c>
      <c r="B285" s="1711" t="str">
        <f>IF(A285&gt;F$278,"(Can hide row)","")</f>
        <v>(Can hide row)</v>
      </c>
      <c r="C285" s="9" t="str">
        <f>A285&amp;" "</f>
        <v xml:space="preserve">7 </v>
      </c>
      <c r="D285" s="1837"/>
      <c r="E285" s="1838"/>
      <c r="F285" s="1839"/>
      <c r="G285" s="590"/>
      <c r="H285" s="616">
        <f>H284</f>
        <v>0</v>
      </c>
      <c r="I285" s="616">
        <f>I284</f>
        <v>0</v>
      </c>
      <c r="J285" s="617">
        <f>J284</f>
        <v>0</v>
      </c>
      <c r="L285" s="8"/>
      <c r="M285" s="8"/>
      <c r="N285" s="8"/>
      <c r="O285" s="8"/>
      <c r="P285" s="8"/>
      <c r="Q285" s="8"/>
      <c r="R285" s="8"/>
      <c r="S285" s="8"/>
      <c r="U285" s="8"/>
      <c r="X285" s="131"/>
      <c r="BH285" s="8"/>
    </row>
    <row r="286" spans="1:108" s="5" customFormat="1" ht="12" hidden="1" customHeight="1" thickBot="1" x14ac:dyDescent="0.4">
      <c r="A286" s="133">
        <v>8</v>
      </c>
      <c r="B286" s="1711" t="str">
        <f>IF(A286&gt;F$278,"(Can hide row)","")</f>
        <v>(Can hide row)</v>
      </c>
      <c r="C286" s="9" t="str">
        <f>A286&amp;" "</f>
        <v xml:space="preserve">8 </v>
      </c>
      <c r="D286" s="1837"/>
      <c r="E286" s="1838"/>
      <c r="F286" s="1839"/>
      <c r="G286" s="590"/>
      <c r="H286" s="616">
        <f>H285</f>
        <v>0</v>
      </c>
      <c r="I286" s="616">
        <f>I285</f>
        <v>0</v>
      </c>
      <c r="J286" s="617">
        <f>J285</f>
        <v>0</v>
      </c>
      <c r="L286" s="8"/>
      <c r="M286" s="8"/>
      <c r="N286" s="8"/>
      <c r="O286" s="8"/>
      <c r="P286" s="8"/>
      <c r="Q286" s="8"/>
      <c r="R286" s="8"/>
      <c r="S286" s="8"/>
      <c r="U286" s="8"/>
      <c r="X286" s="131"/>
    </row>
    <row r="287" spans="1:108" s="5" customFormat="1" ht="12" hidden="1" customHeight="1" thickBot="1" x14ac:dyDescent="0.4">
      <c r="A287" s="133">
        <v>9</v>
      </c>
      <c r="B287" s="1711" t="str">
        <f>IF(A287&gt;F$278,"(Can hide row)","")</f>
        <v>(Can hide row)</v>
      </c>
      <c r="C287" s="9" t="str">
        <f>A287&amp;" "</f>
        <v xml:space="preserve">9 </v>
      </c>
      <c r="D287" s="1837"/>
      <c r="E287" s="1838"/>
      <c r="F287" s="1839"/>
      <c r="G287" s="590"/>
      <c r="H287" s="616">
        <f>H286</f>
        <v>0</v>
      </c>
      <c r="I287" s="616">
        <f>I286</f>
        <v>0</v>
      </c>
      <c r="J287" s="617">
        <f>J286</f>
        <v>0</v>
      </c>
      <c r="L287" s="8"/>
      <c r="M287" s="8"/>
      <c r="N287" s="8"/>
      <c r="O287" s="8"/>
      <c r="P287" s="8"/>
      <c r="Q287" s="8"/>
      <c r="R287" s="8"/>
      <c r="S287" s="8"/>
      <c r="U287" s="8"/>
      <c r="X287" s="131"/>
    </row>
    <row r="288" spans="1:108" s="5" customFormat="1" ht="12" hidden="1" customHeight="1" thickBot="1" x14ac:dyDescent="0.4">
      <c r="A288" s="133">
        <v>10</v>
      </c>
      <c r="B288" s="1711" t="str">
        <f>IF(A288&gt;F$278,"(Can hide row)","")</f>
        <v>(Can hide row)</v>
      </c>
      <c r="C288" s="9" t="str">
        <f>A288&amp;" "</f>
        <v xml:space="preserve">10 </v>
      </c>
      <c r="D288" s="1837"/>
      <c r="E288" s="1838"/>
      <c r="F288" s="1839"/>
      <c r="G288" s="590"/>
      <c r="H288" s="616">
        <f>H287</f>
        <v>0</v>
      </c>
      <c r="I288" s="616">
        <f>I287</f>
        <v>0</v>
      </c>
      <c r="J288" s="617">
        <f>J287</f>
        <v>0</v>
      </c>
      <c r="L288" s="8"/>
      <c r="M288" s="8"/>
      <c r="N288" s="8"/>
      <c r="O288" s="8"/>
      <c r="P288" s="8"/>
      <c r="Q288" s="8"/>
      <c r="R288" s="8"/>
      <c r="S288" s="8"/>
      <c r="U288" s="8"/>
      <c r="X288" s="131"/>
    </row>
    <row r="289" spans="1:27" s="5" customFormat="1" ht="12" customHeight="1" x14ac:dyDescent="0.45">
      <c r="A289" s="108"/>
      <c r="C289" s="8"/>
      <c r="D289" s="452"/>
      <c r="E289" s="447"/>
      <c r="F289" s="447"/>
      <c r="G289" s="455"/>
      <c r="H289" s="447"/>
      <c r="I289" s="447"/>
      <c r="J289" s="450"/>
      <c r="L289" s="8"/>
      <c r="M289" s="8"/>
      <c r="N289" s="8"/>
      <c r="O289" s="8"/>
      <c r="U289" s="8"/>
      <c r="X289" s="131"/>
    </row>
    <row r="290" spans="1:27" s="5" customFormat="1" ht="12" customHeight="1" x14ac:dyDescent="0.35">
      <c r="A290" s="108"/>
      <c r="L290" s="8"/>
      <c r="M290" s="8"/>
      <c r="N290" s="8"/>
      <c r="O290" s="8"/>
      <c r="U290" s="8"/>
      <c r="V290" s="131"/>
      <c r="X290" s="131"/>
      <c r="Y290" s="131"/>
    </row>
    <row r="291" spans="1:27" s="5" customFormat="1" ht="12" customHeight="1" x14ac:dyDescent="0.35">
      <c r="A291" s="108"/>
      <c r="T291" s="8"/>
      <c r="U291" s="131"/>
      <c r="V291" s="131"/>
      <c r="X291" s="131"/>
      <c r="Y291" s="131"/>
    </row>
    <row r="292" spans="1:27" s="5" customFormat="1" ht="12" customHeight="1" x14ac:dyDescent="0.35">
      <c r="A292" s="133">
        <v>1</v>
      </c>
      <c r="C292" s="8"/>
      <c r="D292" s="1846" t="s">
        <v>182</v>
      </c>
    </row>
    <row r="293" spans="1:27" s="5" customFormat="1" ht="12" customHeight="1" thickBot="1" x14ac:dyDescent="0.4">
      <c r="A293" s="133">
        <v>2</v>
      </c>
      <c r="C293" s="8"/>
      <c r="D293" s="1846"/>
      <c r="E293" s="283" t="s">
        <v>177</v>
      </c>
      <c r="H293" s="1368" t="s">
        <v>183</v>
      </c>
    </row>
    <row r="294" spans="1:27" s="5" customFormat="1" ht="12" customHeight="1" thickBot="1" x14ac:dyDescent="0.5">
      <c r="A294" s="133">
        <v>3</v>
      </c>
      <c r="B294" s="7"/>
      <c r="C294" s="8"/>
      <c r="D294" s="1798"/>
      <c r="E294" s="595">
        <v>1</v>
      </c>
      <c r="H294" s="1363" t="str">
        <f>IF(DY3=1,"Yes","No")</f>
        <v>No</v>
      </c>
      <c r="I294" s="281"/>
    </row>
    <row r="295" spans="1:27" s="5" customFormat="1" ht="12" customHeight="1" thickBot="1" x14ac:dyDescent="0.5">
      <c r="A295" s="108"/>
      <c r="C295" s="8"/>
      <c r="D295" s="133">
        <v>1</v>
      </c>
      <c r="E295" s="108">
        <v>2</v>
      </c>
      <c r="F295" s="108">
        <v>3</v>
      </c>
      <c r="M295" s="1798"/>
      <c r="N295" s="8"/>
      <c r="O295" s="814" t="s">
        <v>177</v>
      </c>
      <c r="P295" s="1798"/>
      <c r="Q295" s="8"/>
      <c r="R295" s="8"/>
      <c r="S295" s="8"/>
      <c r="T295" s="8"/>
      <c r="U295" s="8"/>
      <c r="V295" s="8"/>
      <c r="X295" s="8"/>
      <c r="Y295" s="8"/>
      <c r="Z295" s="8"/>
    </row>
    <row r="296" spans="1:27" s="5" customFormat="1" ht="12" customHeight="1" thickBot="1" x14ac:dyDescent="0.4">
      <c r="A296" s="108"/>
      <c r="C296" s="8"/>
      <c r="D296" s="629" t="s">
        <v>184</v>
      </c>
      <c r="E296" s="629" t="s">
        <v>185</v>
      </c>
      <c r="F296" s="630" t="s">
        <v>186</v>
      </c>
      <c r="M296" s="278" t="s">
        <v>187</v>
      </c>
      <c r="O296" s="1295">
        <v>2</v>
      </c>
      <c r="P296" s="10" t="s">
        <v>161</v>
      </c>
      <c r="Q296" s="10" t="s">
        <v>137</v>
      </c>
      <c r="R296" s="10" t="s">
        <v>138</v>
      </c>
      <c r="S296" s="10" t="s">
        <v>188</v>
      </c>
      <c r="T296" s="10" t="s">
        <v>175</v>
      </c>
      <c r="U296" s="10" t="s">
        <v>180</v>
      </c>
      <c r="V296" s="10" t="s">
        <v>79</v>
      </c>
      <c r="W296" s="10" t="s">
        <v>179</v>
      </c>
      <c r="Y296" s="10" t="s">
        <v>181</v>
      </c>
      <c r="Z296" s="10" t="s">
        <v>189</v>
      </c>
      <c r="AA296" s="10" t="s">
        <v>190</v>
      </c>
    </row>
    <row r="297" spans="1:27" s="5" customFormat="1" ht="12" customHeight="1" thickBot="1" x14ac:dyDescent="0.4">
      <c r="A297" s="133">
        <v>1</v>
      </c>
      <c r="C297" s="9" t="s">
        <v>191</v>
      </c>
      <c r="D297" s="631">
        <v>120000</v>
      </c>
      <c r="E297" s="631"/>
      <c r="F297" s="632"/>
      <c r="L297" s="9" t="str">
        <f>A297&amp;" "</f>
        <v xml:space="preserve">1 </v>
      </c>
      <c r="M297" s="1834"/>
      <c r="N297" s="1835"/>
      <c r="O297" s="1842"/>
      <c r="P297" s="588"/>
      <c r="Q297" s="618"/>
      <c r="R297" s="618"/>
      <c r="S297" s="619"/>
      <c r="T297" s="619"/>
      <c r="U297" s="600"/>
      <c r="V297" s="600"/>
      <c r="W297" s="620"/>
      <c r="Y297" s="1104" t="str">
        <f>IF(P297="","",IF(V297*(1-T297)&lt;U297,V297*(1-T297),U297))</f>
        <v/>
      </c>
      <c r="Z297" s="1105" t="str">
        <f>IF(P297="","",Calcs!AD779)</f>
        <v/>
      </c>
      <c r="AA297" s="1106" t="str">
        <f>IF(P297="","",P297+Z297)</f>
        <v/>
      </c>
    </row>
    <row r="298" spans="1:27" s="5" customFormat="1" ht="12" customHeight="1" thickBot="1" x14ac:dyDescent="0.4">
      <c r="A298" s="133">
        <v>2</v>
      </c>
      <c r="C298" s="9" t="s">
        <v>192</v>
      </c>
      <c r="D298" s="1153">
        <v>46418</v>
      </c>
      <c r="E298" s="1153"/>
      <c r="F298" s="1154"/>
      <c r="L298" s="9" t="str">
        <f>A298&amp;" "</f>
        <v xml:space="preserve">2 </v>
      </c>
      <c r="M298" s="1840"/>
      <c r="N298" s="1841"/>
      <c r="O298" s="1842"/>
      <c r="P298" s="589"/>
      <c r="Q298" s="621"/>
      <c r="R298" s="621"/>
      <c r="S298" s="622"/>
      <c r="T298" s="622"/>
      <c r="U298" s="603"/>
      <c r="V298" s="603"/>
      <c r="W298" s="623"/>
      <c r="Y298" s="1110" t="str">
        <f>IF(P298="","",IF(V298*(1-T298)&lt;U298,V298*(1-T298),U298))</f>
        <v/>
      </c>
      <c r="Z298" s="1111">
        <f>Calcs!AD784</f>
        <v>0</v>
      </c>
      <c r="AA298" s="1112">
        <f>P298+Z298</f>
        <v>0</v>
      </c>
    </row>
    <row r="299" spans="1:27" s="5" customFormat="1" ht="12" customHeight="1" thickBot="1" x14ac:dyDescent="0.4">
      <c r="A299" s="133">
        <v>3</v>
      </c>
      <c r="C299" s="9" t="s">
        <v>193</v>
      </c>
      <c r="D299" s="633">
        <v>120</v>
      </c>
      <c r="E299" s="633"/>
      <c r="F299" s="634"/>
      <c r="L299" s="9" t="str">
        <f>A299&amp;" "</f>
        <v xml:space="preserve">3 </v>
      </c>
      <c r="M299" s="1881"/>
      <c r="N299" s="1882"/>
      <c r="O299" s="1883"/>
      <c r="P299" s="624"/>
      <c r="Q299" s="625"/>
      <c r="R299" s="625"/>
      <c r="S299" s="626"/>
      <c r="T299" s="626"/>
      <c r="U299" s="627"/>
      <c r="V299" s="627"/>
      <c r="W299" s="628"/>
      <c r="Y299" s="1107" t="str">
        <f>IF(P299="","",IF(V299*(1-T299)&lt;U299,V299*(1-T299),U299))</f>
        <v/>
      </c>
      <c r="Z299" s="1108">
        <f>Calcs!AD789</f>
        <v>0</v>
      </c>
      <c r="AA299" s="1109">
        <f>P299+Z299</f>
        <v>0</v>
      </c>
    </row>
    <row r="300" spans="1:27" s="5" customFormat="1" ht="12" customHeight="1" thickBot="1" x14ac:dyDescent="0.4">
      <c r="A300" s="108"/>
      <c r="C300" s="9" t="s">
        <v>194</v>
      </c>
      <c r="D300" s="635">
        <v>0.095</v>
      </c>
      <c r="E300" s="635"/>
      <c r="F300" s="636"/>
      <c r="M300" s="450"/>
      <c r="N300" s="450"/>
      <c r="O300" s="450"/>
      <c r="P300" s="450"/>
      <c r="Q300" s="447"/>
      <c r="R300" s="454"/>
      <c r="S300" s="454"/>
      <c r="T300" s="454"/>
      <c r="U300" s="450"/>
      <c r="V300" s="450"/>
      <c r="Y300" s="282"/>
      <c r="Z300" s="282"/>
      <c r="AA300" s="281"/>
    </row>
    <row r="301" spans="1:27" s="5" customFormat="1" ht="12" customHeight="1" x14ac:dyDescent="0.35">
      <c r="A301" s="108"/>
      <c r="G301" s="281"/>
      <c r="H301" s="281"/>
      <c r="I301" s="281"/>
      <c r="J301" s="281"/>
      <c r="K301" s="281"/>
      <c r="L301" s="281"/>
      <c r="M301" s="281"/>
      <c r="N301" s="281"/>
      <c r="O301" s="281"/>
      <c r="P301" s="281"/>
      <c r="Q301" s="281"/>
      <c r="R301" s="281"/>
      <c r="S301" s="282"/>
      <c r="T301" s="282"/>
      <c r="U301" s="282"/>
      <c r="V301" s="282"/>
      <c r="W301" s="282"/>
      <c r="X301" s="281"/>
      <c r="Y301" s="281"/>
    </row>
    <row r="302" spans="1:27" s="5" customFormat="1" ht="12" customHeight="1" x14ac:dyDescent="0.35">
      <c r="G302" s="281"/>
      <c r="H302" s="281"/>
      <c r="I302" s="281"/>
      <c r="J302" s="281"/>
      <c r="K302" s="281"/>
      <c r="L302" s="281"/>
      <c r="M302" s="281"/>
      <c r="N302" s="281"/>
      <c r="O302" s="281"/>
      <c r="P302" s="281"/>
      <c r="Q302" s="281"/>
      <c r="R302" s="281"/>
      <c r="S302" s="282"/>
      <c r="T302" s="282"/>
      <c r="U302" s="282"/>
      <c r="V302" s="282"/>
      <c r="W302" s="282"/>
      <c r="X302" s="281"/>
      <c r="Y302" s="281"/>
    </row>
    <row r="303" spans="1:27" s="5" customFormat="1" ht="12" customHeight="1" x14ac:dyDescent="0.35">
      <c r="G303" s="281"/>
      <c r="H303" s="281"/>
      <c r="I303" s="281"/>
      <c r="J303" s="281"/>
      <c r="K303" s="281"/>
      <c r="L303" s="281"/>
      <c r="M303" s="281"/>
      <c r="N303" s="281"/>
      <c r="O303" s="281"/>
      <c r="P303" s="281"/>
      <c r="Q303" s="281"/>
      <c r="R303" s="281"/>
      <c r="S303" s="282"/>
      <c r="T303" s="282"/>
      <c r="U303" s="282"/>
      <c r="V303" s="282"/>
      <c r="W303" s="282"/>
      <c r="X303" s="281"/>
      <c r="Y303" s="281"/>
    </row>
    <row r="304" spans="1:27" s="5" customFormat="1" ht="12" customHeight="1" x14ac:dyDescent="0.35">
      <c r="G304" s="281"/>
      <c r="H304" s="281"/>
      <c r="I304" s="281"/>
      <c r="J304" s="281"/>
      <c r="K304" s="281"/>
      <c r="L304" s="281"/>
      <c r="M304" s="281"/>
      <c r="N304" s="281"/>
      <c r="O304" s="281"/>
      <c r="P304" s="281"/>
      <c r="Q304" s="281"/>
      <c r="R304" s="281"/>
      <c r="S304" s="282"/>
      <c r="T304" s="282"/>
      <c r="U304" s="282"/>
      <c r="V304" s="282"/>
      <c r="W304" s="282"/>
      <c r="X304" s="281"/>
      <c r="Y304" s="281"/>
    </row>
    <row r="305" spans="7:25" s="5" customFormat="1" ht="12" customHeight="1" x14ac:dyDescent="0.35">
      <c r="G305" s="281"/>
      <c r="H305" s="281"/>
      <c r="I305" s="281"/>
      <c r="J305" s="281"/>
      <c r="K305" s="281"/>
      <c r="L305" s="281"/>
      <c r="M305" s="281"/>
      <c r="N305" s="281"/>
      <c r="O305" s="281"/>
      <c r="P305" s="281"/>
      <c r="Q305" s="281"/>
      <c r="R305" s="281"/>
      <c r="S305" s="282"/>
      <c r="T305" s="282"/>
      <c r="U305" s="282"/>
      <c r="V305" s="282"/>
      <c r="W305" s="282"/>
      <c r="X305" s="281"/>
      <c r="Y305" s="281"/>
    </row>
    <row r="306" spans="7:25" s="5" customFormat="1" ht="12" customHeight="1" x14ac:dyDescent="0.35">
      <c r="G306" s="281"/>
      <c r="H306" s="281"/>
      <c r="I306" s="281"/>
      <c r="J306" s="281"/>
      <c r="K306" s="281"/>
      <c r="L306" s="281"/>
      <c r="M306" s="281"/>
      <c r="R306" s="281"/>
      <c r="S306" s="282"/>
      <c r="T306" s="282"/>
      <c r="U306" s="282"/>
      <c r="V306" s="282"/>
      <c r="W306" s="282"/>
      <c r="X306" s="281"/>
      <c r="Y306" s="281"/>
    </row>
    <row r="307" spans="7:25" s="5" customFormat="1" ht="12" customHeight="1" x14ac:dyDescent="0.35">
      <c r="G307" s="281"/>
      <c r="H307" s="281"/>
      <c r="I307" s="281"/>
      <c r="J307" s="281"/>
      <c r="K307" s="281"/>
      <c r="L307" s="281"/>
      <c r="M307" s="281"/>
      <c r="R307" s="281"/>
      <c r="S307" s="282"/>
      <c r="T307" s="282"/>
      <c r="U307" s="282"/>
      <c r="V307" s="282"/>
      <c r="W307" s="282"/>
      <c r="X307" s="281"/>
      <c r="Y307" s="281"/>
    </row>
    <row r="308" spans="7:25" s="5" customFormat="1" ht="12" customHeight="1" x14ac:dyDescent="0.35">
      <c r="G308" s="281"/>
      <c r="H308" s="281"/>
      <c r="I308" s="281"/>
      <c r="J308" s="281"/>
      <c r="K308" s="281"/>
      <c r="L308" s="281"/>
      <c r="M308" s="281"/>
      <c r="R308" s="281"/>
      <c r="S308" s="282"/>
      <c r="T308" s="282"/>
      <c r="U308" s="282"/>
      <c r="V308" s="282"/>
      <c r="W308" s="282"/>
      <c r="X308" s="281"/>
      <c r="Y308" s="281"/>
    </row>
    <row r="309" spans="7:25" s="5" customFormat="1" ht="12" customHeight="1" x14ac:dyDescent="0.35">
      <c r="G309" s="281"/>
      <c r="H309" s="281"/>
      <c r="I309" s="281"/>
      <c r="J309" s="281"/>
      <c r="K309" s="281"/>
      <c r="L309" s="281"/>
      <c r="M309" s="281"/>
      <c r="R309" s="281"/>
      <c r="S309" s="282"/>
      <c r="T309" s="282"/>
      <c r="U309" s="282"/>
      <c r="V309" s="282"/>
      <c r="W309" s="282"/>
      <c r="X309" s="281"/>
      <c r="Y309" s="281"/>
    </row>
    <row r="310" spans="7:25" s="5" customFormat="1" ht="12" customHeight="1" x14ac:dyDescent="0.35">
      <c r="G310" s="281"/>
      <c r="H310" s="281"/>
      <c r="I310" s="281"/>
      <c r="J310" s="281"/>
      <c r="K310" s="281"/>
      <c r="L310" s="281"/>
      <c r="M310" s="281"/>
      <c r="R310" s="281"/>
      <c r="S310" s="282"/>
      <c r="T310" s="282"/>
      <c r="U310" s="282"/>
      <c r="V310" s="282"/>
      <c r="W310" s="282"/>
      <c r="X310" s="281"/>
      <c r="Y310" s="281"/>
    </row>
    <row r="311" spans="7:25" s="5" customFormat="1" ht="12" customHeight="1" x14ac:dyDescent="0.35">
      <c r="G311" s="281"/>
      <c r="H311" s="281"/>
      <c r="I311" s="281"/>
      <c r="J311" s="281"/>
      <c r="K311" s="281"/>
      <c r="L311" s="281"/>
      <c r="M311" s="281"/>
      <c r="R311" s="281"/>
      <c r="S311" s="282"/>
      <c r="T311" s="282"/>
      <c r="U311" s="282"/>
      <c r="V311" s="282"/>
      <c r="W311" s="282"/>
      <c r="X311" s="281"/>
      <c r="Y311" s="281"/>
    </row>
    <row r="312" spans="7:25" s="5" customFormat="1" ht="12" customHeight="1" x14ac:dyDescent="0.35">
      <c r="G312" s="281"/>
      <c r="H312" s="281"/>
      <c r="I312" s="281"/>
      <c r="J312" s="281"/>
      <c r="K312" s="281"/>
      <c r="L312" s="281"/>
      <c r="M312" s="281"/>
      <c r="N312" s="281"/>
      <c r="O312" s="281"/>
      <c r="P312" s="281"/>
      <c r="Q312" s="281"/>
      <c r="R312" s="281"/>
      <c r="S312" s="282"/>
      <c r="T312" s="282"/>
      <c r="U312" s="282"/>
      <c r="V312" s="282"/>
      <c r="W312" s="282"/>
      <c r="X312" s="281"/>
      <c r="Y312" s="281"/>
    </row>
    <row r="313" spans="7:25" s="5" customFormat="1" ht="12" customHeight="1" x14ac:dyDescent="0.35">
      <c r="G313" s="281"/>
      <c r="H313" s="281"/>
      <c r="I313" s="281"/>
      <c r="J313" s="281"/>
      <c r="K313" s="281"/>
      <c r="L313" s="281"/>
      <c r="M313" s="281"/>
      <c r="N313" s="281"/>
      <c r="O313" s="281"/>
      <c r="P313" s="281"/>
      <c r="Q313" s="281"/>
      <c r="R313" s="281"/>
      <c r="S313" s="282"/>
      <c r="T313" s="282"/>
      <c r="U313" s="282"/>
      <c r="V313" s="282"/>
      <c r="W313" s="282"/>
      <c r="X313" s="281"/>
      <c r="Y313" s="281"/>
    </row>
    <row r="314" spans="7:25" s="5" customFormat="1" ht="12" customHeight="1" x14ac:dyDescent="0.35">
      <c r="G314" s="281"/>
      <c r="H314" s="281"/>
      <c r="I314" s="281"/>
      <c r="J314" s="281"/>
      <c r="K314" s="281"/>
      <c r="L314" s="281"/>
      <c r="M314" s="281"/>
      <c r="N314" s="281"/>
      <c r="O314" s="281"/>
      <c r="P314" s="281"/>
      <c r="Q314" s="281"/>
      <c r="R314" s="281"/>
      <c r="S314" s="282"/>
      <c r="T314" s="282"/>
      <c r="U314" s="282"/>
      <c r="V314" s="282"/>
      <c r="W314" s="282"/>
      <c r="X314" s="281"/>
      <c r="Y314" s="281"/>
    </row>
    <row r="315" spans="7:25" s="5" customFormat="1" ht="12" customHeight="1" x14ac:dyDescent="0.35">
      <c r="G315" s="281"/>
      <c r="H315" s="281"/>
      <c r="I315" s="281"/>
      <c r="J315" s="281"/>
      <c r="K315" s="281"/>
      <c r="L315" s="281"/>
      <c r="M315" s="281"/>
      <c r="N315" s="281"/>
      <c r="O315" s="281"/>
      <c r="P315" s="281"/>
      <c r="Q315" s="281"/>
      <c r="R315" s="281"/>
      <c r="S315" s="282"/>
      <c r="T315" s="282"/>
      <c r="U315" s="282"/>
      <c r="V315" s="282"/>
      <c r="W315" s="282"/>
      <c r="X315" s="281"/>
      <c r="Y315" s="281"/>
    </row>
    <row r="316" spans="7:25" s="5" customFormat="1" ht="12" customHeight="1" x14ac:dyDescent="0.35">
      <c r="G316" s="281"/>
      <c r="H316" s="281"/>
      <c r="I316" s="281"/>
      <c r="J316" s="281"/>
      <c r="K316" s="281"/>
      <c r="L316" s="281"/>
      <c r="M316" s="281"/>
      <c r="N316" s="281"/>
      <c r="O316" s="281"/>
      <c r="P316" s="281"/>
      <c r="Q316" s="281"/>
      <c r="R316" s="281"/>
      <c r="S316" s="282"/>
      <c r="T316" s="282"/>
      <c r="U316" s="282"/>
      <c r="V316" s="282"/>
      <c r="W316" s="282"/>
      <c r="X316" s="281"/>
      <c r="Y316" s="281"/>
    </row>
    <row r="317" spans="7:25" s="5" customFormat="1" ht="12" customHeight="1" x14ac:dyDescent="0.35">
      <c r="G317" s="281"/>
      <c r="H317" s="281"/>
      <c r="I317" s="281"/>
      <c r="J317" s="281"/>
      <c r="K317" s="281"/>
      <c r="L317" s="281"/>
      <c r="M317" s="281"/>
      <c r="N317" s="281"/>
      <c r="O317" s="281"/>
      <c r="P317" s="281"/>
      <c r="Q317" s="281"/>
      <c r="R317" s="281"/>
      <c r="S317" s="282"/>
      <c r="T317" s="282"/>
      <c r="U317" s="282"/>
      <c r="V317" s="282"/>
      <c r="W317" s="282"/>
      <c r="X317" s="281"/>
      <c r="Y317" s="281"/>
    </row>
    <row r="318" spans="7:25" s="5" customFormat="1" ht="12" customHeight="1" x14ac:dyDescent="0.35">
      <c r="G318" s="281"/>
      <c r="H318" s="281"/>
      <c r="I318" s="281"/>
      <c r="J318" s="281"/>
      <c r="K318" s="281"/>
      <c r="L318" s="281"/>
      <c r="M318" s="281"/>
      <c r="N318" s="281"/>
      <c r="O318" s="281"/>
      <c r="P318" s="281"/>
      <c r="Q318" s="281"/>
      <c r="R318" s="281"/>
      <c r="S318" s="282"/>
      <c r="T318" s="282"/>
      <c r="U318" s="282"/>
      <c r="V318" s="282"/>
      <c r="W318" s="282"/>
      <c r="X318" s="281"/>
      <c r="Y318" s="281"/>
    </row>
    <row r="319" spans="7:25" s="5" customFormat="1" ht="12" customHeight="1" x14ac:dyDescent="0.35">
      <c r="G319" s="281"/>
      <c r="H319" s="281"/>
      <c r="I319" s="281"/>
      <c r="J319" s="281"/>
      <c r="K319" s="281"/>
      <c r="L319" s="281"/>
      <c r="M319" s="281"/>
      <c r="N319" s="281"/>
      <c r="O319" s="281"/>
      <c r="P319" s="281"/>
      <c r="Q319" s="281"/>
      <c r="R319" s="281"/>
      <c r="S319" s="282"/>
      <c r="T319" s="282"/>
      <c r="U319" s="282"/>
      <c r="V319" s="282"/>
      <c r="W319" s="282"/>
      <c r="X319" s="281"/>
      <c r="Y319" s="281"/>
    </row>
    <row r="320" spans="7:25" s="5" customFormat="1" ht="12" customHeight="1" x14ac:dyDescent="0.35">
      <c r="G320" s="281"/>
      <c r="H320" s="281"/>
      <c r="I320" s="281"/>
      <c r="J320" s="281"/>
      <c r="K320" s="281"/>
      <c r="L320" s="281"/>
      <c r="M320" s="281"/>
      <c r="N320" s="281"/>
      <c r="O320" s="281"/>
      <c r="P320" s="281"/>
      <c r="Q320" s="281"/>
      <c r="R320" s="281"/>
      <c r="S320" s="282"/>
      <c r="T320" s="282"/>
      <c r="U320" s="282"/>
      <c r="V320" s="282"/>
      <c r="W320" s="282"/>
      <c r="X320" s="281"/>
      <c r="Y320" s="281"/>
    </row>
    <row r="321" spans="3:25" s="5" customFormat="1" ht="12" customHeight="1" x14ac:dyDescent="0.35">
      <c r="G321" s="281"/>
      <c r="H321" s="281"/>
      <c r="I321" s="281"/>
      <c r="J321" s="281"/>
      <c r="K321" s="281"/>
      <c r="L321" s="281"/>
      <c r="M321" s="281"/>
      <c r="N321" s="281"/>
      <c r="O321" s="281"/>
      <c r="P321" s="281"/>
      <c r="Q321" s="281"/>
      <c r="R321" s="281"/>
      <c r="S321" s="282"/>
      <c r="T321" s="282"/>
      <c r="U321" s="282"/>
      <c r="V321" s="282"/>
      <c r="W321" s="282"/>
      <c r="X321" s="281"/>
      <c r="Y321" s="281"/>
    </row>
    <row r="322" spans="3:25" s="5" customFormat="1" ht="12" customHeight="1" x14ac:dyDescent="0.35">
      <c r="G322" s="281"/>
      <c r="H322" s="281"/>
      <c r="I322" s="281"/>
      <c r="J322" s="281"/>
      <c r="K322" s="281"/>
      <c r="L322" s="281"/>
      <c r="M322" s="281"/>
      <c r="N322" s="281"/>
      <c r="O322" s="281"/>
      <c r="P322" s="281"/>
      <c r="Q322" s="281"/>
      <c r="R322" s="281"/>
      <c r="S322" s="282"/>
      <c r="T322" s="282"/>
      <c r="U322" s="282"/>
      <c r="V322" s="282"/>
      <c r="W322" s="282"/>
      <c r="X322" s="281"/>
      <c r="Y322" s="281"/>
    </row>
    <row r="323" spans="3:25" s="5" customFormat="1" ht="12" customHeight="1" x14ac:dyDescent="0.35">
      <c r="G323" s="281"/>
      <c r="H323" s="281"/>
      <c r="I323" s="281"/>
      <c r="J323" s="281"/>
      <c r="K323" s="281"/>
      <c r="L323" s="281"/>
      <c r="M323" s="281"/>
      <c r="N323" s="281"/>
      <c r="O323" s="281"/>
      <c r="P323" s="281"/>
      <c r="Q323" s="281"/>
      <c r="R323" s="281"/>
      <c r="S323" s="282"/>
      <c r="T323" s="282"/>
      <c r="U323" s="282"/>
      <c r="V323" s="282"/>
      <c r="W323" s="282"/>
      <c r="X323" s="281"/>
      <c r="Y323" s="281"/>
    </row>
    <row r="324" spans="3:25" s="5" customFormat="1" ht="12" customHeight="1" x14ac:dyDescent="0.35">
      <c r="G324" s="281"/>
      <c r="H324" s="281"/>
      <c r="I324" s="281"/>
      <c r="J324" s="281"/>
      <c r="K324" s="281"/>
      <c r="L324" s="281"/>
      <c r="M324" s="281"/>
      <c r="N324" s="281"/>
      <c r="O324" s="281"/>
      <c r="P324" s="281"/>
      <c r="Q324" s="281"/>
      <c r="R324" s="281"/>
      <c r="S324" s="282"/>
      <c r="T324" s="282"/>
      <c r="U324" s="282"/>
      <c r="V324" s="282"/>
      <c r="W324" s="282"/>
      <c r="X324" s="281"/>
      <c r="Y324" s="281"/>
    </row>
    <row r="325" spans="3:25" s="5" customFormat="1" ht="12" customHeight="1" x14ac:dyDescent="0.35">
      <c r="G325" s="281"/>
      <c r="H325" s="281"/>
      <c r="I325" s="281"/>
      <c r="J325" s="281"/>
      <c r="K325" s="281"/>
      <c r="L325" s="281"/>
      <c r="M325" s="281"/>
      <c r="N325" s="281"/>
      <c r="O325" s="281"/>
      <c r="P325" s="281"/>
      <c r="Q325" s="281"/>
      <c r="R325" s="281"/>
      <c r="S325" s="282"/>
      <c r="T325" s="282"/>
      <c r="U325" s="282"/>
      <c r="V325" s="282"/>
      <c r="W325" s="282"/>
      <c r="X325" s="281"/>
      <c r="Y325" s="281"/>
    </row>
    <row r="326" spans="3:25" s="5" customFormat="1" ht="12" customHeight="1" x14ac:dyDescent="0.35">
      <c r="G326" s="281"/>
      <c r="H326" s="281"/>
      <c r="I326" s="281"/>
      <c r="J326" s="281"/>
      <c r="K326" s="281"/>
      <c r="L326" s="281"/>
      <c r="M326" s="281"/>
      <c r="N326" s="281"/>
      <c r="O326" s="281"/>
      <c r="P326" s="281"/>
      <c r="Q326" s="281"/>
      <c r="R326" s="281"/>
      <c r="S326" s="282"/>
      <c r="T326" s="282"/>
      <c r="U326" s="282"/>
      <c r="V326" s="282"/>
      <c r="W326" s="282"/>
      <c r="X326" s="281"/>
      <c r="Y326" s="281"/>
    </row>
    <row r="327" spans="3:25" s="5" customFormat="1" ht="12" customHeight="1" x14ac:dyDescent="0.35">
      <c r="G327" s="281"/>
      <c r="H327" s="281"/>
      <c r="I327" s="281"/>
      <c r="J327" s="281"/>
      <c r="K327" s="281"/>
      <c r="L327" s="281"/>
      <c r="M327" s="281"/>
      <c r="N327" s="281"/>
      <c r="O327" s="281"/>
      <c r="P327" s="281"/>
      <c r="Q327" s="281"/>
      <c r="R327" s="281"/>
      <c r="S327" s="282"/>
      <c r="T327" s="282"/>
      <c r="U327" s="282"/>
      <c r="V327" s="282"/>
      <c r="W327" s="282"/>
      <c r="X327" s="281"/>
      <c r="Y327" s="281"/>
    </row>
    <row r="328" spans="3:25" s="5" customFormat="1" ht="12" customHeight="1" x14ac:dyDescent="0.35">
      <c r="G328" s="281"/>
      <c r="H328" s="281"/>
      <c r="I328" s="281"/>
      <c r="J328" s="281"/>
      <c r="K328" s="281"/>
      <c r="L328" s="281"/>
      <c r="M328" s="281"/>
      <c r="N328" s="281"/>
      <c r="O328" s="281"/>
      <c r="P328" s="281"/>
      <c r="Q328" s="281"/>
      <c r="R328" s="281"/>
      <c r="S328" s="282"/>
      <c r="T328" s="282"/>
      <c r="U328" s="282"/>
      <c r="V328" s="282"/>
      <c r="W328" s="282"/>
      <c r="X328" s="281"/>
      <c r="Y328" s="281"/>
    </row>
    <row r="329" spans="3:25" s="5" customFormat="1" ht="12" customHeight="1" x14ac:dyDescent="0.35">
      <c r="C329" s="8"/>
      <c r="G329" s="281"/>
      <c r="H329" s="281"/>
      <c r="I329" s="281"/>
      <c r="J329" s="281"/>
      <c r="K329" s="281"/>
      <c r="L329" s="281"/>
      <c r="M329" s="281"/>
      <c r="N329" s="281"/>
      <c r="O329" s="281"/>
      <c r="P329" s="281"/>
      <c r="Q329" s="281"/>
      <c r="R329" s="282"/>
      <c r="S329" s="282"/>
      <c r="T329" s="282"/>
      <c r="U329" s="282"/>
      <c r="V329" s="282"/>
      <c r="W329" s="282"/>
      <c r="X329" s="281"/>
      <c r="Y329" s="281"/>
    </row>
    <row r="330" spans="3:25" ht="12" customHeight="1" x14ac:dyDescent="0.3"/>
    <row r="331" spans="3:25" ht="12" customHeight="1" x14ac:dyDescent="0.3">
      <c r="J331" s="267"/>
    </row>
    <row r="332" spans="3:25" ht="12" customHeight="1" x14ac:dyDescent="0.3"/>
    <row r="333" spans="3:25" ht="12" customHeight="1" x14ac:dyDescent="0.3"/>
    <row r="334" spans="3:25" ht="12" customHeight="1" x14ac:dyDescent="0.3"/>
    <row r="335" spans="3:25" ht="12" customHeight="1" x14ac:dyDescent="0.3"/>
    <row r="336" spans="3:25" ht="12" customHeight="1" x14ac:dyDescent="0.3"/>
    <row r="337" spans="1:28" ht="12" customHeight="1" x14ac:dyDescent="0.3">
      <c r="B337" s="1830" t="s">
        <v>3</v>
      </c>
      <c r="C337" s="1830"/>
    </row>
    <row r="338" spans="1:28" ht="12" customHeight="1" x14ac:dyDescent="0.3">
      <c r="A338" s="5"/>
      <c r="B338" s="1830"/>
      <c r="C338" s="1830"/>
      <c r="D338" s="108">
        <v>1</v>
      </c>
      <c r="E338" s="108">
        <v>2</v>
      </c>
      <c r="F338" s="637">
        <v>3</v>
      </c>
      <c r="G338" s="637">
        <v>4</v>
      </c>
      <c r="H338" s="108">
        <v>5</v>
      </c>
      <c r="I338" s="108">
        <v>6</v>
      </c>
      <c r="J338" s="637">
        <v>7</v>
      </c>
      <c r="K338" s="637">
        <v>8</v>
      </c>
      <c r="L338" s="108">
        <v>9</v>
      </c>
      <c r="M338" s="108">
        <v>10</v>
      </c>
      <c r="N338" s="637">
        <v>11</v>
      </c>
      <c r="O338" s="637">
        <v>12</v>
      </c>
      <c r="P338" s="108">
        <v>13</v>
      </c>
      <c r="Q338" s="108">
        <v>14</v>
      </c>
      <c r="R338" s="637">
        <v>15</v>
      </c>
      <c r="S338" s="637">
        <v>16</v>
      </c>
      <c r="T338" s="108">
        <v>17</v>
      </c>
      <c r="U338" s="108">
        <v>18</v>
      </c>
      <c r="V338" s="637">
        <v>19</v>
      </c>
      <c r="W338" s="637">
        <v>20</v>
      </c>
      <c r="X338" s="108">
        <v>21</v>
      </c>
      <c r="Y338" s="108">
        <v>22</v>
      </c>
      <c r="Z338" s="637">
        <v>23</v>
      </c>
      <c r="AA338" s="637">
        <v>24</v>
      </c>
      <c r="AB338" s="108">
        <v>25</v>
      </c>
    </row>
    <row r="339" spans="1:28" ht="12" customHeight="1" thickBot="1" x14ac:dyDescent="0.35">
      <c r="A339" s="5"/>
      <c r="B339" s="1830"/>
      <c r="C339" s="1830"/>
      <c r="D339" s="818" t="str">
        <f>Input!D77</f>
        <v>Item 1</v>
      </c>
      <c r="E339" s="818" t="str">
        <f>Input!E77</f>
        <v>Item 2</v>
      </c>
      <c r="F339" s="818" t="str">
        <f>Input!F77</f>
        <v>Item 3</v>
      </c>
      <c r="G339" s="818" t="str">
        <f>Input!G77</f>
        <v>Item 4</v>
      </c>
      <c r="H339" s="818" t="str">
        <f>Input!H77</f>
        <v>Item 5</v>
      </c>
      <c r="I339" s="818" t="str">
        <f>Input!I77</f>
        <v>Item 6</v>
      </c>
      <c r="J339" s="818" t="str">
        <f>Input!J77</f>
        <v>Item 7</v>
      </c>
      <c r="K339" s="818" t="str">
        <f>Input!K77</f>
        <v>Item 8</v>
      </c>
      <c r="L339" s="818" t="str">
        <f>Input!L77</f>
        <v>Item 9</v>
      </c>
      <c r="M339" s="818" t="str">
        <f>Input!M77</f>
        <v>Item 10</v>
      </c>
      <c r="N339" s="818" t="str">
        <f>Input!N77</f>
        <v>Item 11</v>
      </c>
      <c r="O339" s="818" t="str">
        <f>Input!O77</f>
        <v>Item 12</v>
      </c>
      <c r="P339" s="818" t="str">
        <f>Input!P77</f>
        <v>Item 13</v>
      </c>
      <c r="Q339" s="818" t="str">
        <f>Input!Q77</f>
        <v>Item 14</v>
      </c>
      <c r="R339" s="818" t="str">
        <f>Input!R77</f>
        <v>Item 15</v>
      </c>
      <c r="S339" s="818" t="str">
        <f>Input!S77</f>
        <v>Item 16</v>
      </c>
      <c r="T339" s="818" t="str">
        <f>Input!T77</f>
        <v>Item 17</v>
      </c>
      <c r="U339" s="818" t="str">
        <f>Input!U77</f>
        <v>Item 18</v>
      </c>
      <c r="V339" s="818" t="str">
        <f>Input!V77</f>
        <v>Item 19</v>
      </c>
      <c r="W339" s="818" t="str">
        <f>Input!W77</f>
        <v>Item 20</v>
      </c>
      <c r="X339" s="818" t="str">
        <f>Input!X77</f>
        <v>Item 21</v>
      </c>
      <c r="Y339" s="818" t="str">
        <f>Input!Y77</f>
        <v>Item 22</v>
      </c>
      <c r="Z339" s="818" t="str">
        <f>Input!Z77</f>
        <v>Item 23</v>
      </c>
      <c r="AA339" s="818" t="str">
        <f>Input!AA77</f>
        <v>Item 24</v>
      </c>
      <c r="AB339" s="818" t="str">
        <f>Input!AB77</f>
        <v>Item 25</v>
      </c>
    </row>
    <row r="340" spans="1:28" ht="12" customHeight="1" x14ac:dyDescent="0.3">
      <c r="A340" s="5"/>
      <c r="B340" s="5"/>
      <c r="C340" s="638">
        <f>Infrastructure!D70</f>
        <v>0</v>
      </c>
      <c r="D340" s="294">
        <f>IFERROR(IF($D$33&gt;=D$338,D473*D667,0),0)</f>
        <v>0</v>
      </c>
      <c r="E340" s="295">
        <f>IFERROR(IF($D$33&gt;=E$338,E473*E667,0),0)</f>
        <v>0</v>
      </c>
      <c r="F340" s="295">
        <f>IFERROR(IF($D$33&gt;=F$338,F473*F667,0),0)</f>
        <v>0</v>
      </c>
      <c r="G340" s="295">
        <f>IFERROR(IF($D$33&gt;=G$338,G473*G667,0),0)</f>
        <v>0</v>
      </c>
      <c r="H340" s="295">
        <f>IFERROR(IF($D$33&gt;=H$338,H473*H667,0),0)</f>
        <v>0</v>
      </c>
      <c r="I340" s="295">
        <f>IFERROR(IF($D$33&gt;=I$338,I473*I667,0),0)</f>
        <v>0</v>
      </c>
      <c r="J340" s="295">
        <f>IFERROR(IF($D$33&gt;=J$338,J473*J667,0),0)</f>
        <v>0</v>
      </c>
      <c r="K340" s="295">
        <f>IFERROR(IF($D$33&gt;=K$338,K473*K667,0),0)</f>
        <v>0</v>
      </c>
      <c r="L340" s="295">
        <f>IFERROR(IF($D$33&gt;=L$338,L473*L667,0),0)</f>
        <v>0</v>
      </c>
      <c r="M340" s="295">
        <f>IFERROR(IF($D$33&gt;=M$338,M473*M667,0),0)</f>
        <v>0</v>
      </c>
      <c r="N340" s="295">
        <f>IFERROR(IF($D$33&gt;=N$338,N473*N667,0),0)</f>
        <v>0</v>
      </c>
      <c r="O340" s="295">
        <f>IFERROR(IF($D$33&gt;=O$338,O473*O667,0),0)</f>
        <v>0</v>
      </c>
      <c r="P340" s="295">
        <f>IFERROR(IF($D$33&gt;=P$338,P473*P667,0),0)</f>
        <v>0</v>
      </c>
      <c r="Q340" s="295">
        <f>IFERROR(IF($D$33&gt;=Q$338,Q473*Q667,0),0)</f>
        <v>0</v>
      </c>
      <c r="R340" s="295">
        <f>IFERROR(IF($D$33&gt;=R$338,R473*R667,0),0)</f>
        <v>0</v>
      </c>
      <c r="S340" s="295">
        <f>IFERROR(IF($D$33&gt;=S$338,S473*S667,0),0)</f>
        <v>0</v>
      </c>
      <c r="T340" s="295">
        <f>IFERROR(IF($D$33&gt;=T$338,T473*T667,0),0)</f>
        <v>0</v>
      </c>
      <c r="U340" s="295">
        <f>IFERROR(IF($D$33&gt;=U$338,U473*U667,0),0)</f>
        <v>0</v>
      </c>
      <c r="V340" s="295">
        <f>IFERROR(IF($D$33&gt;=V$338,V473*V667,0),0)</f>
        <v>0</v>
      </c>
      <c r="W340" s="295">
        <f>IFERROR(IF($D$33&gt;=W$338,W473*W667,0),0)</f>
        <v>0</v>
      </c>
      <c r="X340" s="295">
        <f>IFERROR(IF($D$33&gt;=X$338,X473*X667,0),0)</f>
        <v>0</v>
      </c>
      <c r="Y340" s="295">
        <f>IFERROR(IF($D$33&gt;=Y$338,Y473*Y667,0),0)</f>
        <v>0</v>
      </c>
      <c r="Z340" s="295">
        <f>IFERROR(IF($D$33&gt;=Z$338,Z473*Z667,0),0)</f>
        <v>0</v>
      </c>
      <c r="AA340" s="295">
        <f>IFERROR(IF($D$33&gt;=AA$338,AA473*AA667,0),0)</f>
        <v>0</v>
      </c>
      <c r="AB340" s="296">
        <f>IFERROR(IF($D$33&gt;=AB$338,AB473*AB667,0),0)</f>
        <v>0</v>
      </c>
    </row>
    <row r="341" spans="1:28" ht="12" customHeight="1" x14ac:dyDescent="0.3">
      <c r="A341" s="5"/>
      <c r="B341" s="5"/>
      <c r="C341" s="638">
        <f>Infrastructure!D71</f>
        <v>59</v>
      </c>
      <c r="D341" s="297">
        <f>IFERROR(IF($D$33&gt;=D$338,D474*D668,0),0)</f>
        <v>0</v>
      </c>
      <c r="E341" s="229">
        <f>IFERROR(IF($D$33&gt;=E$338,E474*E668,0),0)</f>
        <v>0</v>
      </c>
      <c r="F341" s="229">
        <f>IFERROR(IF($D$33&gt;=F$338,F474*F668,0),0)</f>
        <v>0</v>
      </c>
      <c r="G341" s="229">
        <f>IFERROR(IF($D$33&gt;=G$338,G474*G668,0),0)</f>
        <v>0</v>
      </c>
      <c r="H341" s="229">
        <f>IFERROR(IF($D$33&gt;=H$338,H474*H668,0),0)</f>
        <v>0</v>
      </c>
      <c r="I341" s="229">
        <f>IFERROR(IF($D$33&gt;=I$338,I474*I668,0),0)</f>
        <v>0</v>
      </c>
      <c r="J341" s="229">
        <f>IFERROR(IF($D$33&gt;=J$338,J474*J668,0),0)</f>
        <v>0</v>
      </c>
      <c r="K341" s="229">
        <f>IFERROR(IF($D$33&gt;=K$338,K474*K668,0),0)</f>
        <v>0</v>
      </c>
      <c r="L341" s="229">
        <f>IFERROR(IF($D$33&gt;=L$338,L474*L668,0),0)</f>
        <v>0</v>
      </c>
      <c r="M341" s="229">
        <f>IFERROR(IF($D$33&gt;=M$338,M474*M668,0),0)</f>
        <v>0</v>
      </c>
      <c r="N341" s="229">
        <f>IFERROR(IF($D$33&gt;=N$338,N474*N668,0),0)</f>
        <v>0</v>
      </c>
      <c r="O341" s="229">
        <f>IFERROR(IF($D$33&gt;=O$338,O474*O668,0),0)</f>
        <v>0</v>
      </c>
      <c r="P341" s="229">
        <f>IFERROR(IF($D$33&gt;=P$338,P474*P668,0),0)</f>
        <v>0</v>
      </c>
      <c r="Q341" s="229">
        <f>IFERROR(IF($D$33&gt;=Q$338,Q474*Q668,0),0)</f>
        <v>0</v>
      </c>
      <c r="R341" s="229">
        <f>IFERROR(IF($D$33&gt;=R$338,R474*R668,0),0)</f>
        <v>0</v>
      </c>
      <c r="S341" s="229">
        <f>IFERROR(IF($D$33&gt;=S$338,S474*S668,0),0)</f>
        <v>0</v>
      </c>
      <c r="T341" s="229">
        <f>IFERROR(IF($D$33&gt;=T$338,T474*T668,0),0)</f>
        <v>0</v>
      </c>
      <c r="U341" s="229">
        <f>IFERROR(IF($D$33&gt;=U$338,U474*U668,0),0)</f>
        <v>0</v>
      </c>
      <c r="V341" s="229">
        <f>IFERROR(IF($D$33&gt;=V$338,V474*V668,0),0)</f>
        <v>0</v>
      </c>
      <c r="W341" s="229">
        <f>IFERROR(IF($D$33&gt;=W$338,W474*W668,0),0)</f>
        <v>0</v>
      </c>
      <c r="X341" s="229">
        <f>IFERROR(IF($D$33&gt;=X$338,X474*X668,0),0)</f>
        <v>0</v>
      </c>
      <c r="Y341" s="229">
        <f>IFERROR(IF($D$33&gt;=Y$338,Y474*Y668,0),0)</f>
        <v>0</v>
      </c>
      <c r="Z341" s="229">
        <f>IFERROR(IF($D$33&gt;=Z$338,Z474*Z668,0),0)</f>
        <v>0</v>
      </c>
      <c r="AA341" s="229">
        <f>IFERROR(IF($D$33&gt;=AA$338,AA474*AA668,0),0)</f>
        <v>0</v>
      </c>
      <c r="AB341" s="298">
        <f>IFERROR(IF($D$33&gt;=AB$338,AB474*AB668,0),0)</f>
        <v>0</v>
      </c>
    </row>
    <row r="342" spans="1:28" ht="12" customHeight="1" x14ac:dyDescent="0.3">
      <c r="A342" s="5"/>
      <c r="B342" s="5"/>
      <c r="C342" s="638">
        <f>Infrastructure!D72</f>
        <v>91</v>
      </c>
      <c r="D342" s="297">
        <f>IFERROR(IF($D$33&gt;=D$338,D475*D669,0),0)</f>
        <v>0</v>
      </c>
      <c r="E342" s="229">
        <f>IFERROR(IF($D$33&gt;=E$338,E475*E669,0),0)</f>
        <v>0</v>
      </c>
      <c r="F342" s="229">
        <f>IFERROR(IF($D$33&gt;=F$338,F475*F669,0),0)</f>
        <v>0</v>
      </c>
      <c r="G342" s="229">
        <f>IFERROR(IF($D$33&gt;=G$338,G475*G669,0),0)</f>
        <v>0</v>
      </c>
      <c r="H342" s="229">
        <f>IFERROR(IF($D$33&gt;=H$338,H475*H669,0),0)</f>
        <v>0</v>
      </c>
      <c r="I342" s="229">
        <f>IFERROR(IF($D$33&gt;=I$338,I475*I669,0),0)</f>
        <v>0</v>
      </c>
      <c r="J342" s="229">
        <f>IFERROR(IF($D$33&gt;=J$338,J475*J669,0),0)</f>
        <v>0</v>
      </c>
      <c r="K342" s="229">
        <f>IFERROR(IF($D$33&gt;=K$338,K475*K669,0),0)</f>
        <v>0</v>
      </c>
      <c r="L342" s="229">
        <f>IFERROR(IF($D$33&gt;=L$338,L475*L669,0),0)</f>
        <v>0</v>
      </c>
      <c r="M342" s="229">
        <f>IFERROR(IF($D$33&gt;=M$338,M475*M669,0),0)</f>
        <v>0</v>
      </c>
      <c r="N342" s="229">
        <f>IFERROR(IF($D$33&gt;=N$338,N475*N669,0),0)</f>
        <v>0</v>
      </c>
      <c r="O342" s="229">
        <f>IFERROR(IF($D$33&gt;=O$338,O475*O669,0),0)</f>
        <v>0</v>
      </c>
      <c r="P342" s="229">
        <f>IFERROR(IF($D$33&gt;=P$338,P475*P669,0),0)</f>
        <v>0</v>
      </c>
      <c r="Q342" s="229">
        <f>IFERROR(IF($D$33&gt;=Q$338,Q475*Q669,0),0)</f>
        <v>0</v>
      </c>
      <c r="R342" s="229">
        <f>IFERROR(IF($D$33&gt;=R$338,R475*R669,0),0)</f>
        <v>0</v>
      </c>
      <c r="S342" s="229">
        <f>IFERROR(IF($D$33&gt;=S$338,S475*S669,0),0)</f>
        <v>0</v>
      </c>
      <c r="T342" s="229">
        <f>IFERROR(IF($D$33&gt;=T$338,T475*T669,0),0)</f>
        <v>0</v>
      </c>
      <c r="U342" s="229">
        <f>IFERROR(IF($D$33&gt;=U$338,U475*U669,0),0)</f>
        <v>0</v>
      </c>
      <c r="V342" s="229">
        <f>IFERROR(IF($D$33&gt;=V$338,V475*V669,0),0)</f>
        <v>0</v>
      </c>
      <c r="W342" s="229">
        <f>IFERROR(IF($D$33&gt;=W$338,W475*W669,0),0)</f>
        <v>0</v>
      </c>
      <c r="X342" s="229">
        <f>IFERROR(IF($D$33&gt;=X$338,X475*X669,0),0)</f>
        <v>0</v>
      </c>
      <c r="Y342" s="229">
        <f>IFERROR(IF($D$33&gt;=Y$338,Y475*Y669,0),0)</f>
        <v>0</v>
      </c>
      <c r="Z342" s="229">
        <f>IFERROR(IF($D$33&gt;=Z$338,Z475*Z669,0),0)</f>
        <v>0</v>
      </c>
      <c r="AA342" s="229">
        <f>IFERROR(IF($D$33&gt;=AA$338,AA475*AA669,0),0)</f>
        <v>0</v>
      </c>
      <c r="AB342" s="298">
        <f>IFERROR(IF($D$33&gt;=AB$338,AB475*AB669,0),0)</f>
        <v>0</v>
      </c>
    </row>
    <row r="343" spans="1:28" ht="12" customHeight="1" x14ac:dyDescent="0.3">
      <c r="A343" s="5"/>
      <c r="B343" s="5"/>
      <c r="C343" s="638">
        <f>Infrastructure!D73</f>
        <v>121</v>
      </c>
      <c r="D343" s="297">
        <f>IFERROR(IF($D$33&gt;=D$338,D476*D670,0),0)</f>
        <v>0</v>
      </c>
      <c r="E343" s="229">
        <f>IFERROR(IF($D$33&gt;=E$338,E476*E670,0),0)</f>
        <v>0</v>
      </c>
      <c r="F343" s="229">
        <f>IFERROR(IF($D$33&gt;=F$338,F476*F670,0),0)</f>
        <v>0</v>
      </c>
      <c r="G343" s="229">
        <f>IFERROR(IF($D$33&gt;=G$338,G476*G670,0),0)</f>
        <v>0</v>
      </c>
      <c r="H343" s="229">
        <f>IFERROR(IF($D$33&gt;=H$338,H476*H670,0),0)</f>
        <v>0</v>
      </c>
      <c r="I343" s="229">
        <f>IFERROR(IF($D$33&gt;=I$338,I476*I670,0),0)</f>
        <v>0</v>
      </c>
      <c r="J343" s="229">
        <f>IFERROR(IF($D$33&gt;=J$338,J476*J670,0),0)</f>
        <v>0</v>
      </c>
      <c r="K343" s="229">
        <f>IFERROR(IF($D$33&gt;=K$338,K476*K670,0),0)</f>
        <v>0</v>
      </c>
      <c r="L343" s="229">
        <f>IFERROR(IF($D$33&gt;=L$338,L476*L670,0),0)</f>
        <v>0</v>
      </c>
      <c r="M343" s="229">
        <f>IFERROR(IF($D$33&gt;=M$338,M476*M670,0),0)</f>
        <v>0</v>
      </c>
      <c r="N343" s="229">
        <f>IFERROR(IF($D$33&gt;=N$338,N476*N670,0),0)</f>
        <v>0</v>
      </c>
      <c r="O343" s="229">
        <f>IFERROR(IF($D$33&gt;=O$338,O476*O670,0),0)</f>
        <v>0</v>
      </c>
      <c r="P343" s="229">
        <f>IFERROR(IF($D$33&gt;=P$338,P476*P670,0),0)</f>
        <v>0</v>
      </c>
      <c r="Q343" s="229">
        <f>IFERROR(IF($D$33&gt;=Q$338,Q476*Q670,0),0)</f>
        <v>0</v>
      </c>
      <c r="R343" s="229">
        <f>IFERROR(IF($D$33&gt;=R$338,R476*R670,0),0)</f>
        <v>0</v>
      </c>
      <c r="S343" s="229">
        <f>IFERROR(IF($D$33&gt;=S$338,S476*S670,0),0)</f>
        <v>0</v>
      </c>
      <c r="T343" s="229">
        <f>IFERROR(IF($D$33&gt;=T$338,T476*T670,0),0)</f>
        <v>0</v>
      </c>
      <c r="U343" s="229">
        <f>IFERROR(IF($D$33&gt;=U$338,U476*U670,0),0)</f>
        <v>0</v>
      </c>
      <c r="V343" s="229">
        <f>IFERROR(IF($D$33&gt;=V$338,V476*V670,0),0)</f>
        <v>0</v>
      </c>
      <c r="W343" s="229">
        <f>IFERROR(IF($D$33&gt;=W$338,W476*W670,0),0)</f>
        <v>0</v>
      </c>
      <c r="X343" s="229">
        <f>IFERROR(IF($D$33&gt;=X$338,X476*X670,0),0)</f>
        <v>0</v>
      </c>
      <c r="Y343" s="229">
        <f>IFERROR(IF($D$33&gt;=Y$338,Y476*Y670,0),0)</f>
        <v>0</v>
      </c>
      <c r="Z343" s="229">
        <f>IFERROR(IF($D$33&gt;=Z$338,Z476*Z670,0),0)</f>
        <v>0</v>
      </c>
      <c r="AA343" s="229">
        <f>IFERROR(IF($D$33&gt;=AA$338,AA476*AA670,0),0)</f>
        <v>0</v>
      </c>
      <c r="AB343" s="298">
        <f>IFERROR(IF($D$33&gt;=AB$338,AB476*AB670,0),0)</f>
        <v>0</v>
      </c>
    </row>
    <row r="344" spans="1:28" ht="12" customHeight="1" x14ac:dyDescent="0.3">
      <c r="A344" s="5"/>
      <c r="B344" s="5"/>
      <c r="C344" s="638">
        <f>Infrastructure!D74</f>
        <v>152</v>
      </c>
      <c r="D344" s="297">
        <f>IFERROR(IF($D$33&gt;=D$338,D477*D671,0),0)</f>
        <v>0</v>
      </c>
      <c r="E344" s="229">
        <f>IFERROR(IF($D$33&gt;=E$338,E477*E671,0),0)</f>
        <v>0</v>
      </c>
      <c r="F344" s="229">
        <f>IFERROR(IF($D$33&gt;=F$338,F477*F671,0),0)</f>
        <v>0</v>
      </c>
      <c r="G344" s="229">
        <f>IFERROR(IF($D$33&gt;=G$338,G477*G671,0),0)</f>
        <v>0</v>
      </c>
      <c r="H344" s="229">
        <f>IFERROR(IF($D$33&gt;=H$338,H477*H671,0),0)</f>
        <v>0</v>
      </c>
      <c r="I344" s="229">
        <f>IFERROR(IF($D$33&gt;=I$338,I477*I671,0),0)</f>
        <v>0</v>
      </c>
      <c r="J344" s="229">
        <f>IFERROR(IF($D$33&gt;=J$338,J477*J671,0),0)</f>
        <v>0</v>
      </c>
      <c r="K344" s="229">
        <f>IFERROR(IF($D$33&gt;=K$338,K477*K671,0),0)</f>
        <v>0</v>
      </c>
      <c r="L344" s="229">
        <f>IFERROR(IF($D$33&gt;=L$338,L477*L671,0),0)</f>
        <v>0</v>
      </c>
      <c r="M344" s="229">
        <f>IFERROR(IF($D$33&gt;=M$338,M477*M671,0),0)</f>
        <v>0</v>
      </c>
      <c r="N344" s="229">
        <f>IFERROR(IF($D$33&gt;=N$338,N477*N671,0),0)</f>
        <v>0</v>
      </c>
      <c r="O344" s="229">
        <f>IFERROR(IF($D$33&gt;=O$338,O477*O671,0),0)</f>
        <v>0</v>
      </c>
      <c r="P344" s="229">
        <f>IFERROR(IF($D$33&gt;=P$338,P477*P671,0),0)</f>
        <v>0</v>
      </c>
      <c r="Q344" s="229">
        <f>IFERROR(IF($D$33&gt;=Q$338,Q477*Q671,0),0)</f>
        <v>0</v>
      </c>
      <c r="R344" s="229">
        <f>IFERROR(IF($D$33&gt;=R$338,R477*R671,0),0)</f>
        <v>0</v>
      </c>
      <c r="S344" s="229">
        <f>IFERROR(IF($D$33&gt;=S$338,S477*S671,0),0)</f>
        <v>0</v>
      </c>
      <c r="T344" s="229">
        <f>IFERROR(IF($D$33&gt;=T$338,T477*T671,0),0)</f>
        <v>0</v>
      </c>
      <c r="U344" s="229">
        <f>IFERROR(IF($D$33&gt;=U$338,U477*U671,0),0)</f>
        <v>0</v>
      </c>
      <c r="V344" s="229">
        <f>IFERROR(IF($D$33&gt;=V$338,V477*V671,0),0)</f>
        <v>0</v>
      </c>
      <c r="W344" s="229">
        <f>IFERROR(IF($D$33&gt;=W$338,W477*W671,0),0)</f>
        <v>0</v>
      </c>
      <c r="X344" s="229">
        <f>IFERROR(IF($D$33&gt;=X$338,X477*X671,0),0)</f>
        <v>0</v>
      </c>
      <c r="Y344" s="229">
        <f>IFERROR(IF($D$33&gt;=Y$338,Y477*Y671,0),0)</f>
        <v>0</v>
      </c>
      <c r="Z344" s="229">
        <f>IFERROR(IF($D$33&gt;=Z$338,Z477*Z671,0),0)</f>
        <v>0</v>
      </c>
      <c r="AA344" s="229">
        <f>IFERROR(IF($D$33&gt;=AA$338,AA477*AA671,0),0)</f>
        <v>0</v>
      </c>
      <c r="AB344" s="298">
        <f>IFERROR(IF($D$33&gt;=AB$338,AB477*AB671,0),0)</f>
        <v>0</v>
      </c>
    </row>
    <row r="345" spans="1:28" ht="12" customHeight="1" x14ac:dyDescent="0.3">
      <c r="A345" s="5"/>
      <c r="B345" s="5"/>
      <c r="C345" s="638">
        <f>Infrastructure!D75</f>
        <v>182</v>
      </c>
      <c r="D345" s="297">
        <f>IFERROR(IF($D$33&gt;=D$338,D478*D672,0),0)</f>
        <v>0</v>
      </c>
      <c r="E345" s="229">
        <f>IFERROR(IF($D$33&gt;=E$338,E478*E672,0),0)</f>
        <v>0</v>
      </c>
      <c r="F345" s="229">
        <f>IFERROR(IF($D$33&gt;=F$338,F478*F672,0),0)</f>
        <v>0</v>
      </c>
      <c r="G345" s="229">
        <f>IFERROR(IF($D$33&gt;=G$338,G478*G672,0),0)</f>
        <v>0</v>
      </c>
      <c r="H345" s="229">
        <f>IFERROR(IF($D$33&gt;=H$338,H478*H672,0),0)</f>
        <v>0</v>
      </c>
      <c r="I345" s="229">
        <f>IFERROR(IF($D$33&gt;=I$338,I478*I672,0),0)</f>
        <v>0</v>
      </c>
      <c r="J345" s="229">
        <f>IFERROR(IF($D$33&gt;=J$338,J478*J672,0),0)</f>
        <v>0</v>
      </c>
      <c r="K345" s="229">
        <f>IFERROR(IF($D$33&gt;=K$338,K478*K672,0),0)</f>
        <v>0</v>
      </c>
      <c r="L345" s="229">
        <f>IFERROR(IF($D$33&gt;=L$338,L478*L672,0),0)</f>
        <v>0</v>
      </c>
      <c r="M345" s="229">
        <f>IFERROR(IF($D$33&gt;=M$338,M478*M672,0),0)</f>
        <v>0</v>
      </c>
      <c r="N345" s="229">
        <f>IFERROR(IF($D$33&gt;=N$338,N478*N672,0),0)</f>
        <v>0</v>
      </c>
      <c r="O345" s="229">
        <f>IFERROR(IF($D$33&gt;=O$338,O478*O672,0),0)</f>
        <v>0</v>
      </c>
      <c r="P345" s="229">
        <f>IFERROR(IF($D$33&gt;=P$338,P478*P672,0),0)</f>
        <v>0</v>
      </c>
      <c r="Q345" s="229">
        <f>IFERROR(IF($D$33&gt;=Q$338,Q478*Q672,0),0)</f>
        <v>0</v>
      </c>
      <c r="R345" s="229">
        <f>IFERROR(IF($D$33&gt;=R$338,R478*R672,0),0)</f>
        <v>0</v>
      </c>
      <c r="S345" s="229">
        <f>IFERROR(IF($D$33&gt;=S$338,S478*S672,0),0)</f>
        <v>0</v>
      </c>
      <c r="T345" s="229">
        <f>IFERROR(IF($D$33&gt;=T$338,T478*T672,0),0)</f>
        <v>0</v>
      </c>
      <c r="U345" s="229">
        <f>IFERROR(IF($D$33&gt;=U$338,U478*U672,0),0)</f>
        <v>0</v>
      </c>
      <c r="V345" s="229">
        <f>IFERROR(IF($D$33&gt;=V$338,V478*V672,0),0)</f>
        <v>0</v>
      </c>
      <c r="W345" s="229">
        <f>IFERROR(IF($D$33&gt;=W$338,W478*W672,0),0)</f>
        <v>0</v>
      </c>
      <c r="X345" s="229">
        <f>IFERROR(IF($D$33&gt;=X$338,X478*X672,0),0)</f>
        <v>0</v>
      </c>
      <c r="Y345" s="229">
        <f>IFERROR(IF($D$33&gt;=Y$338,Y478*Y672,0),0)</f>
        <v>0</v>
      </c>
      <c r="Z345" s="229">
        <f>IFERROR(IF($D$33&gt;=Z$338,Z478*Z672,0),0)</f>
        <v>0</v>
      </c>
      <c r="AA345" s="229">
        <f>IFERROR(IF($D$33&gt;=AA$338,AA478*AA672,0),0)</f>
        <v>0</v>
      </c>
      <c r="AB345" s="298">
        <f>IFERROR(IF($D$33&gt;=AB$338,AB478*AB672,0),0)</f>
        <v>0</v>
      </c>
    </row>
    <row r="346" spans="1:28" ht="12" customHeight="1" x14ac:dyDescent="0.3">
      <c r="A346" s="5"/>
      <c r="B346" s="5"/>
      <c r="C346" s="638">
        <f>Infrastructure!D76</f>
        <v>213</v>
      </c>
      <c r="D346" s="297">
        <f>IFERROR(IF($D$33&gt;=D$338,D479*D673,0),0)</f>
        <v>0</v>
      </c>
      <c r="E346" s="229">
        <f>IFERROR(IF($D$33&gt;=E$338,E479*E673,0),0)</f>
        <v>0</v>
      </c>
      <c r="F346" s="229">
        <f>IFERROR(IF($D$33&gt;=F$338,F479*F673,0),0)</f>
        <v>0</v>
      </c>
      <c r="G346" s="229">
        <f>IFERROR(IF($D$33&gt;=G$338,G479*G673,0),0)</f>
        <v>0</v>
      </c>
      <c r="H346" s="229">
        <f>IFERROR(IF($D$33&gt;=H$338,H479*H673,0),0)</f>
        <v>0</v>
      </c>
      <c r="I346" s="229">
        <f>IFERROR(IF($D$33&gt;=I$338,I479*I673,0),0)</f>
        <v>0</v>
      </c>
      <c r="J346" s="229">
        <f>IFERROR(IF($D$33&gt;=J$338,J479*J673,0),0)</f>
        <v>0</v>
      </c>
      <c r="K346" s="229">
        <f>IFERROR(IF($D$33&gt;=K$338,K479*K673,0),0)</f>
        <v>0</v>
      </c>
      <c r="L346" s="229">
        <f>IFERROR(IF($D$33&gt;=L$338,L479*L673,0),0)</f>
        <v>0</v>
      </c>
      <c r="M346" s="229">
        <f>IFERROR(IF($D$33&gt;=M$338,M479*M673,0),0)</f>
        <v>0</v>
      </c>
      <c r="N346" s="229">
        <f>IFERROR(IF($D$33&gt;=N$338,N479*N673,0),0)</f>
        <v>0</v>
      </c>
      <c r="O346" s="229">
        <f>IFERROR(IF($D$33&gt;=O$338,O479*O673,0),0)</f>
        <v>0</v>
      </c>
      <c r="P346" s="229">
        <f>IFERROR(IF($D$33&gt;=P$338,P479*P673,0),0)</f>
        <v>0</v>
      </c>
      <c r="Q346" s="229">
        <f>IFERROR(IF($D$33&gt;=Q$338,Q479*Q673,0),0)</f>
        <v>0</v>
      </c>
      <c r="R346" s="229">
        <f>IFERROR(IF($D$33&gt;=R$338,R479*R673,0),0)</f>
        <v>0</v>
      </c>
      <c r="S346" s="229">
        <f>IFERROR(IF($D$33&gt;=S$338,S479*S673,0),0)</f>
        <v>0</v>
      </c>
      <c r="T346" s="229">
        <f>IFERROR(IF($D$33&gt;=T$338,T479*T673,0),0)</f>
        <v>0</v>
      </c>
      <c r="U346" s="229">
        <f>IFERROR(IF($D$33&gt;=U$338,U479*U673,0),0)</f>
        <v>0</v>
      </c>
      <c r="V346" s="229">
        <f>IFERROR(IF($D$33&gt;=V$338,V479*V673,0),0)</f>
        <v>0</v>
      </c>
      <c r="W346" s="229">
        <f>IFERROR(IF($D$33&gt;=W$338,W479*W673,0),0)</f>
        <v>0</v>
      </c>
      <c r="X346" s="229">
        <f>IFERROR(IF($D$33&gt;=X$338,X479*X673,0),0)</f>
        <v>0</v>
      </c>
      <c r="Y346" s="229">
        <f>IFERROR(IF($D$33&gt;=Y$338,Y479*Y673,0),0)</f>
        <v>0</v>
      </c>
      <c r="Z346" s="229">
        <f>IFERROR(IF($D$33&gt;=Z$338,Z479*Z673,0),0)</f>
        <v>0</v>
      </c>
      <c r="AA346" s="229">
        <f>IFERROR(IF($D$33&gt;=AA$338,AA479*AA673,0),0)</f>
        <v>0</v>
      </c>
      <c r="AB346" s="298">
        <f>IFERROR(IF($D$33&gt;=AB$338,AB479*AB673,0),0)</f>
        <v>0</v>
      </c>
    </row>
    <row r="347" spans="1:28" ht="12" customHeight="1" x14ac:dyDescent="0.3">
      <c r="A347" s="5"/>
      <c r="B347" s="5"/>
      <c r="C347" s="638">
        <f>Infrastructure!D77</f>
        <v>244</v>
      </c>
      <c r="D347" s="297">
        <f>IFERROR(IF($D$33&gt;=D$338,D480*D674,0),0)</f>
        <v>0</v>
      </c>
      <c r="E347" s="229">
        <f>IFERROR(IF($D$33&gt;=E$338,E480*E674,0),0)</f>
        <v>0</v>
      </c>
      <c r="F347" s="229">
        <f>IFERROR(IF($D$33&gt;=F$338,F480*F674,0),0)</f>
        <v>0</v>
      </c>
      <c r="G347" s="229">
        <f>IFERROR(IF($D$33&gt;=G$338,G480*G674,0),0)</f>
        <v>0</v>
      </c>
      <c r="H347" s="229">
        <f>IFERROR(IF($D$33&gt;=H$338,H480*H674,0),0)</f>
        <v>0</v>
      </c>
      <c r="I347" s="229">
        <f>IFERROR(IF($D$33&gt;=I$338,I480*I674,0),0)</f>
        <v>0</v>
      </c>
      <c r="J347" s="229">
        <f>IFERROR(IF($D$33&gt;=J$338,J480*J674,0),0)</f>
        <v>0</v>
      </c>
      <c r="K347" s="229">
        <f>IFERROR(IF($D$33&gt;=K$338,K480*K674,0),0)</f>
        <v>0</v>
      </c>
      <c r="L347" s="229">
        <f>IFERROR(IF($D$33&gt;=L$338,L480*L674,0),0)</f>
        <v>0</v>
      </c>
      <c r="M347" s="229">
        <f>IFERROR(IF($D$33&gt;=M$338,M480*M674,0),0)</f>
        <v>0</v>
      </c>
      <c r="N347" s="229">
        <f>IFERROR(IF($D$33&gt;=N$338,N480*N674,0),0)</f>
        <v>0</v>
      </c>
      <c r="O347" s="229">
        <f>IFERROR(IF($D$33&gt;=O$338,O480*O674,0),0)</f>
        <v>0</v>
      </c>
      <c r="P347" s="229">
        <f>IFERROR(IF($D$33&gt;=P$338,P480*P674,0),0)</f>
        <v>0</v>
      </c>
      <c r="Q347" s="229">
        <f>IFERROR(IF($D$33&gt;=Q$338,Q480*Q674,0),0)</f>
        <v>0</v>
      </c>
      <c r="R347" s="229">
        <f>IFERROR(IF($D$33&gt;=R$338,R480*R674,0),0)</f>
        <v>0</v>
      </c>
      <c r="S347" s="229">
        <f>IFERROR(IF($D$33&gt;=S$338,S480*S674,0),0)</f>
        <v>0</v>
      </c>
      <c r="T347" s="229">
        <f>IFERROR(IF($D$33&gt;=T$338,T480*T674,0),0)</f>
        <v>0</v>
      </c>
      <c r="U347" s="229">
        <f>IFERROR(IF($D$33&gt;=U$338,U480*U674,0),0)</f>
        <v>0</v>
      </c>
      <c r="V347" s="229">
        <f>IFERROR(IF($D$33&gt;=V$338,V480*V674,0),0)</f>
        <v>0</v>
      </c>
      <c r="W347" s="229">
        <f>IFERROR(IF($D$33&gt;=W$338,W480*W674,0),0)</f>
        <v>0</v>
      </c>
      <c r="X347" s="229">
        <f>IFERROR(IF($D$33&gt;=X$338,X480*X674,0),0)</f>
        <v>0</v>
      </c>
      <c r="Y347" s="229">
        <f>IFERROR(IF($D$33&gt;=Y$338,Y480*Y674,0),0)</f>
        <v>0</v>
      </c>
      <c r="Z347" s="229">
        <f>IFERROR(IF($D$33&gt;=Z$338,Z480*Z674,0),0)</f>
        <v>0</v>
      </c>
      <c r="AA347" s="229">
        <f>IFERROR(IF($D$33&gt;=AA$338,AA480*AA674,0),0)</f>
        <v>0</v>
      </c>
      <c r="AB347" s="298">
        <f>IFERROR(IF($D$33&gt;=AB$338,AB480*AB674,0),0)</f>
        <v>0</v>
      </c>
    </row>
    <row r="348" spans="1:28" ht="12" customHeight="1" x14ac:dyDescent="0.3">
      <c r="A348" s="5"/>
      <c r="B348" s="5"/>
      <c r="C348" s="638">
        <f>Infrastructure!D78</f>
        <v>274</v>
      </c>
      <c r="D348" s="297">
        <f>IFERROR(IF($D$33&gt;=D$338,D481*D675,0),0)</f>
        <v>0</v>
      </c>
      <c r="E348" s="229">
        <f>IFERROR(IF($D$33&gt;=E$338,E481*E675,0),0)</f>
        <v>0</v>
      </c>
      <c r="F348" s="229">
        <f>IFERROR(IF($D$33&gt;=F$338,F481*F675,0),0)</f>
        <v>0</v>
      </c>
      <c r="G348" s="229">
        <f>IFERROR(IF($D$33&gt;=G$338,G481*G675,0),0)</f>
        <v>0</v>
      </c>
      <c r="H348" s="229">
        <f>IFERROR(IF($D$33&gt;=H$338,H481*H675,0),0)</f>
        <v>0</v>
      </c>
      <c r="I348" s="229">
        <f>IFERROR(IF($D$33&gt;=I$338,I481*I675,0),0)</f>
        <v>0</v>
      </c>
      <c r="J348" s="229">
        <f>IFERROR(IF($D$33&gt;=J$338,J481*J675,0),0)</f>
        <v>0</v>
      </c>
      <c r="K348" s="229">
        <f>IFERROR(IF($D$33&gt;=K$338,K481*K675,0),0)</f>
        <v>0</v>
      </c>
      <c r="L348" s="229">
        <f>IFERROR(IF($D$33&gt;=L$338,L481*L675,0),0)</f>
        <v>0</v>
      </c>
      <c r="M348" s="229">
        <f>IFERROR(IF($D$33&gt;=M$338,M481*M675,0),0)</f>
        <v>0</v>
      </c>
      <c r="N348" s="229">
        <f>IFERROR(IF($D$33&gt;=N$338,N481*N675,0),0)</f>
        <v>0</v>
      </c>
      <c r="O348" s="229">
        <f>IFERROR(IF($D$33&gt;=O$338,O481*O675,0),0)</f>
        <v>0</v>
      </c>
      <c r="P348" s="229">
        <f>IFERROR(IF($D$33&gt;=P$338,P481*P675,0),0)</f>
        <v>0</v>
      </c>
      <c r="Q348" s="229">
        <f>IFERROR(IF($D$33&gt;=Q$338,Q481*Q675,0),0)</f>
        <v>0</v>
      </c>
      <c r="R348" s="229">
        <f>IFERROR(IF($D$33&gt;=R$338,R481*R675,0),0)</f>
        <v>0</v>
      </c>
      <c r="S348" s="229">
        <f>IFERROR(IF($D$33&gt;=S$338,S481*S675,0),0)</f>
        <v>0</v>
      </c>
      <c r="T348" s="229">
        <f>IFERROR(IF($D$33&gt;=T$338,T481*T675,0),0)</f>
        <v>0</v>
      </c>
      <c r="U348" s="229">
        <f>IFERROR(IF($D$33&gt;=U$338,U481*U675,0),0)</f>
        <v>0</v>
      </c>
      <c r="V348" s="229">
        <f>IFERROR(IF($D$33&gt;=V$338,V481*V675,0),0)</f>
        <v>0</v>
      </c>
      <c r="W348" s="229">
        <f>IFERROR(IF($D$33&gt;=W$338,W481*W675,0),0)</f>
        <v>0</v>
      </c>
      <c r="X348" s="229">
        <f>IFERROR(IF($D$33&gt;=X$338,X481*X675,0),0)</f>
        <v>0</v>
      </c>
      <c r="Y348" s="229">
        <f>IFERROR(IF($D$33&gt;=Y$338,Y481*Y675,0),0)</f>
        <v>0</v>
      </c>
      <c r="Z348" s="229">
        <f>IFERROR(IF($D$33&gt;=Z$338,Z481*Z675,0),0)</f>
        <v>0</v>
      </c>
      <c r="AA348" s="229">
        <f>IFERROR(IF($D$33&gt;=AA$338,AA481*AA675,0),0)</f>
        <v>0</v>
      </c>
      <c r="AB348" s="298">
        <f>IFERROR(IF($D$33&gt;=AB$338,AB481*AB675,0),0)</f>
        <v>0</v>
      </c>
    </row>
    <row r="349" spans="1:28" ht="12" customHeight="1" x14ac:dyDescent="0.3">
      <c r="A349" s="5"/>
      <c r="B349" s="5"/>
      <c r="C349" s="638">
        <f>Infrastructure!D79</f>
        <v>305</v>
      </c>
      <c r="D349" s="297">
        <f>IFERROR(IF($D$33&gt;=D$338,D482*D676,0),0)</f>
        <v>0</v>
      </c>
      <c r="E349" s="229">
        <f>IFERROR(IF($D$33&gt;=E$338,E482*E676,0),0)</f>
        <v>0</v>
      </c>
      <c r="F349" s="229">
        <f>IFERROR(IF($D$33&gt;=F$338,F482*F676,0),0)</f>
        <v>0</v>
      </c>
      <c r="G349" s="229">
        <f>IFERROR(IF($D$33&gt;=G$338,G482*G676,0),0)</f>
        <v>0</v>
      </c>
      <c r="H349" s="229">
        <f>IFERROR(IF($D$33&gt;=H$338,H482*H676,0),0)</f>
        <v>0</v>
      </c>
      <c r="I349" s="229">
        <f>IFERROR(IF($D$33&gt;=I$338,I482*I676,0),0)</f>
        <v>0</v>
      </c>
      <c r="J349" s="229">
        <f>IFERROR(IF($D$33&gt;=J$338,J482*J676,0),0)</f>
        <v>0</v>
      </c>
      <c r="K349" s="229">
        <f>IFERROR(IF($D$33&gt;=K$338,K482*K676,0),0)</f>
        <v>0</v>
      </c>
      <c r="L349" s="229">
        <f>IFERROR(IF($D$33&gt;=L$338,L482*L676,0),0)</f>
        <v>0</v>
      </c>
      <c r="M349" s="229">
        <f>IFERROR(IF($D$33&gt;=M$338,M482*M676,0),0)</f>
        <v>0</v>
      </c>
      <c r="N349" s="229">
        <f>IFERROR(IF($D$33&gt;=N$338,N482*N676,0),0)</f>
        <v>0</v>
      </c>
      <c r="O349" s="229">
        <f>IFERROR(IF($D$33&gt;=O$338,O482*O676,0),0)</f>
        <v>0</v>
      </c>
      <c r="P349" s="229">
        <f>IFERROR(IF($D$33&gt;=P$338,P482*P676,0),0)</f>
        <v>0</v>
      </c>
      <c r="Q349" s="229">
        <f>IFERROR(IF($D$33&gt;=Q$338,Q482*Q676,0),0)</f>
        <v>0</v>
      </c>
      <c r="R349" s="229">
        <f>IFERROR(IF($D$33&gt;=R$338,R482*R676,0),0)</f>
        <v>0</v>
      </c>
      <c r="S349" s="229">
        <f>IFERROR(IF($D$33&gt;=S$338,S482*S676,0),0)</f>
        <v>0</v>
      </c>
      <c r="T349" s="229">
        <f>IFERROR(IF($D$33&gt;=T$338,T482*T676,0),0)</f>
        <v>0</v>
      </c>
      <c r="U349" s="229">
        <f>IFERROR(IF($D$33&gt;=U$338,U482*U676,0),0)</f>
        <v>0</v>
      </c>
      <c r="V349" s="229">
        <f>IFERROR(IF($D$33&gt;=V$338,V482*V676,0),0)</f>
        <v>0</v>
      </c>
      <c r="W349" s="229">
        <f>IFERROR(IF($D$33&gt;=W$338,W482*W676,0),0)</f>
        <v>0</v>
      </c>
      <c r="X349" s="229">
        <f>IFERROR(IF($D$33&gt;=X$338,X482*X676,0),0)</f>
        <v>0</v>
      </c>
      <c r="Y349" s="229">
        <f>IFERROR(IF($D$33&gt;=Y$338,Y482*Y676,0),0)</f>
        <v>0</v>
      </c>
      <c r="Z349" s="229">
        <f>IFERROR(IF($D$33&gt;=Z$338,Z482*Z676,0),0)</f>
        <v>0</v>
      </c>
      <c r="AA349" s="229">
        <f>IFERROR(IF($D$33&gt;=AA$338,AA482*AA676,0),0)</f>
        <v>0</v>
      </c>
      <c r="AB349" s="298">
        <f>IFERROR(IF($D$33&gt;=AB$338,AB482*AB676,0),0)</f>
        <v>0</v>
      </c>
    </row>
    <row r="350" spans="1:28" ht="12" customHeight="1" x14ac:dyDescent="0.3">
      <c r="A350" s="5"/>
      <c r="B350" s="5"/>
      <c r="C350" s="638">
        <f>Infrastructure!D80</f>
        <v>335</v>
      </c>
      <c r="D350" s="297">
        <f>IFERROR(IF($D$33&gt;=D$338,D483*D677,0),0)</f>
        <v>0</v>
      </c>
      <c r="E350" s="229">
        <f>IFERROR(IF($D$33&gt;=E$338,E483*E677,0),0)</f>
        <v>0</v>
      </c>
      <c r="F350" s="229">
        <f>IFERROR(IF($D$33&gt;=F$338,F483*F677,0),0)</f>
        <v>0</v>
      </c>
      <c r="G350" s="229">
        <f>IFERROR(IF($D$33&gt;=G$338,G483*G677,0),0)</f>
        <v>0</v>
      </c>
      <c r="H350" s="229">
        <f>IFERROR(IF($D$33&gt;=H$338,H483*H677,0),0)</f>
        <v>0</v>
      </c>
      <c r="I350" s="229">
        <f>IFERROR(IF($D$33&gt;=I$338,I483*I677,0),0)</f>
        <v>0</v>
      </c>
      <c r="J350" s="229">
        <f>IFERROR(IF($D$33&gt;=J$338,J483*J677,0),0)</f>
        <v>0</v>
      </c>
      <c r="K350" s="229">
        <f>IFERROR(IF($D$33&gt;=K$338,K483*K677,0),0)</f>
        <v>0</v>
      </c>
      <c r="L350" s="229">
        <f>IFERROR(IF($D$33&gt;=L$338,L483*L677,0),0)</f>
        <v>0</v>
      </c>
      <c r="M350" s="229">
        <f>IFERROR(IF($D$33&gt;=M$338,M483*M677,0),0)</f>
        <v>0</v>
      </c>
      <c r="N350" s="229">
        <f>IFERROR(IF($D$33&gt;=N$338,N483*N677,0),0)</f>
        <v>0</v>
      </c>
      <c r="O350" s="229">
        <f>IFERROR(IF($D$33&gt;=O$338,O483*O677,0),0)</f>
        <v>0</v>
      </c>
      <c r="P350" s="229">
        <f>IFERROR(IF($D$33&gt;=P$338,P483*P677,0),0)</f>
        <v>0</v>
      </c>
      <c r="Q350" s="229">
        <f>IFERROR(IF($D$33&gt;=Q$338,Q483*Q677,0),0)</f>
        <v>0</v>
      </c>
      <c r="R350" s="229">
        <f>IFERROR(IF($D$33&gt;=R$338,R483*R677,0),0)</f>
        <v>0</v>
      </c>
      <c r="S350" s="229">
        <f>IFERROR(IF($D$33&gt;=S$338,S483*S677,0),0)</f>
        <v>0</v>
      </c>
      <c r="T350" s="229">
        <f>IFERROR(IF($D$33&gt;=T$338,T483*T677,0),0)</f>
        <v>0</v>
      </c>
      <c r="U350" s="229">
        <f>IFERROR(IF($D$33&gt;=U$338,U483*U677,0),0)</f>
        <v>0</v>
      </c>
      <c r="V350" s="229">
        <f>IFERROR(IF($D$33&gt;=V$338,V483*V677,0),0)</f>
        <v>0</v>
      </c>
      <c r="W350" s="229">
        <f>IFERROR(IF($D$33&gt;=W$338,W483*W677,0),0)</f>
        <v>0</v>
      </c>
      <c r="X350" s="229">
        <f>IFERROR(IF($D$33&gt;=X$338,X483*X677,0),0)</f>
        <v>0</v>
      </c>
      <c r="Y350" s="229">
        <f>IFERROR(IF($D$33&gt;=Y$338,Y483*Y677,0),0)</f>
        <v>0</v>
      </c>
      <c r="Z350" s="229">
        <f>IFERROR(IF($D$33&gt;=Z$338,Z483*Z677,0),0)</f>
        <v>0</v>
      </c>
      <c r="AA350" s="229">
        <f>IFERROR(IF($D$33&gt;=AA$338,AA483*AA677,0),0)</f>
        <v>0</v>
      </c>
      <c r="AB350" s="298">
        <f>IFERROR(IF($D$33&gt;=AB$338,AB483*AB677,0),0)</f>
        <v>0</v>
      </c>
    </row>
    <row r="351" spans="1:28" ht="12" customHeight="1" thickBot="1" x14ac:dyDescent="0.35">
      <c r="A351" s="5"/>
      <c r="B351" s="5"/>
      <c r="C351" s="639">
        <f>Infrastructure!D81</f>
        <v>366</v>
      </c>
      <c r="D351" s="301">
        <f>IFERROR(IF($D$33&gt;=D$338,D484*D678,0),0)</f>
      </c>
      <c r="E351" s="302">
        <f>IFERROR(IF($D$33&gt;=E$338,E484*E678,0),0)</f>
        <v>0</v>
      </c>
      <c r="F351" s="302">
        <f>IFERROR(IF($D$33&gt;=F$338,F484*F678,0),0)</f>
        <v>0</v>
      </c>
      <c r="G351" s="302">
        <f>IFERROR(IF($D$33&gt;=G$338,G484*G678,0),0)</f>
        <v>0</v>
      </c>
      <c r="H351" s="302">
        <f>IFERROR(IF($D$33&gt;=H$338,H484*H678,0),0)</f>
        <v>0</v>
      </c>
      <c r="I351" s="302">
        <f>IFERROR(IF($D$33&gt;=I$338,I484*I678,0),0)</f>
        <v>0</v>
      </c>
      <c r="J351" s="302">
        <f>IFERROR(IF($D$33&gt;=J$338,J484*J678,0),0)</f>
        <v>0</v>
      </c>
      <c r="K351" s="302">
        <f>IFERROR(IF($D$33&gt;=K$338,K484*K678,0),0)</f>
        <v>0</v>
      </c>
      <c r="L351" s="302">
        <f>IFERROR(IF($D$33&gt;=L$338,L484*L678,0),0)</f>
        <v>0</v>
      </c>
      <c r="M351" s="302">
        <f>IFERROR(IF($D$33&gt;=M$338,M484*M678,0),0)</f>
        <v>0</v>
      </c>
      <c r="N351" s="302">
        <f>IFERROR(IF($D$33&gt;=N$338,N484*N678,0),0)</f>
        <v>0</v>
      </c>
      <c r="O351" s="302">
        <f>IFERROR(IF($D$33&gt;=O$338,O484*O678,0),0)</f>
        <v>0</v>
      </c>
      <c r="P351" s="302">
        <f>IFERROR(IF($D$33&gt;=P$338,P484*P678,0),0)</f>
        <v>0</v>
      </c>
      <c r="Q351" s="302">
        <f>IFERROR(IF($D$33&gt;=Q$338,Q484*Q678,0),0)</f>
        <v>0</v>
      </c>
      <c r="R351" s="302">
        <f>IFERROR(IF($D$33&gt;=R$338,R484*R678,0),0)</f>
        <v>0</v>
      </c>
      <c r="S351" s="302">
        <f>IFERROR(IF($D$33&gt;=S$338,S484*S678,0),0)</f>
        <v>0</v>
      </c>
      <c r="T351" s="302">
        <f>IFERROR(IF($D$33&gt;=T$338,T484*T678,0),0)</f>
        <v>0</v>
      </c>
      <c r="U351" s="302">
        <f>IFERROR(IF($D$33&gt;=U$338,U484*U678,0),0)</f>
        <v>0</v>
      </c>
      <c r="V351" s="302">
        <f>IFERROR(IF($D$33&gt;=V$338,V484*V678,0),0)</f>
        <v>0</v>
      </c>
      <c r="W351" s="302">
        <f>IFERROR(IF($D$33&gt;=W$338,W484*W678,0),0)</f>
        <v>0</v>
      </c>
      <c r="X351" s="302">
        <f>IFERROR(IF($D$33&gt;=X$338,X484*X678,0),0)</f>
        <v>0</v>
      </c>
      <c r="Y351" s="302">
        <f>IFERROR(IF($D$33&gt;=Y$338,Y484*Y678,0),0)</f>
        <v>0</v>
      </c>
      <c r="Z351" s="302">
        <f>IFERROR(IF($D$33&gt;=Z$338,Z484*Z678,0),0)</f>
        <v>0</v>
      </c>
      <c r="AA351" s="302">
        <f>IFERROR(IF($D$33&gt;=AA$338,AA484*AA678,0),0)</f>
        <v>0</v>
      </c>
      <c r="AB351" s="303">
        <f>IFERROR(IF($D$33&gt;=AB$338,AB484*AB678,0),0)</f>
        <v>0</v>
      </c>
    </row>
    <row r="352" spans="1:28" ht="12" customHeight="1" x14ac:dyDescent="0.3">
      <c r="A352" s="5"/>
      <c r="B352" s="5"/>
      <c r="C352" s="638">
        <f>Infrastructure!D82</f>
        <v>397</v>
      </c>
      <c r="D352" s="299">
        <f>IFERROR(IF($D$33&gt;=D$338,D485*D679,0),0)</f>
      </c>
      <c r="E352" s="231">
        <f>IFERROR(IF($D$33&gt;=E$338,E485*E679,0),0)</f>
        <v>0</v>
      </c>
      <c r="F352" s="231">
        <f>IFERROR(IF($D$33&gt;=F$338,F485*F679,0),0)</f>
        <v>0</v>
      </c>
      <c r="G352" s="231">
        <f>IFERROR(IF($D$33&gt;=G$338,G485*G679,0),0)</f>
        <v>0</v>
      </c>
      <c r="H352" s="231">
        <f>IFERROR(IF($D$33&gt;=H$338,H485*H679,0),0)</f>
        <v>0</v>
      </c>
      <c r="I352" s="231">
        <f>IFERROR(IF($D$33&gt;=I$338,I485*I679,0),0)</f>
        <v>0</v>
      </c>
      <c r="J352" s="231">
        <f>IFERROR(IF($D$33&gt;=J$338,J485*J679,0),0)</f>
        <v>0</v>
      </c>
      <c r="K352" s="231">
        <f>IFERROR(IF($D$33&gt;=K$338,K485*K679,0),0)</f>
        <v>0</v>
      </c>
      <c r="L352" s="231">
        <f>IFERROR(IF($D$33&gt;=L$338,L485*L679,0),0)</f>
        <v>0</v>
      </c>
      <c r="M352" s="231">
        <f>IFERROR(IF($D$33&gt;=M$338,M485*M679,0),0)</f>
        <v>0</v>
      </c>
      <c r="N352" s="231">
        <f>IFERROR(IF($D$33&gt;=N$338,N485*N679,0),0)</f>
        <v>0</v>
      </c>
      <c r="O352" s="231">
        <f>IFERROR(IF($D$33&gt;=O$338,O485*O679,0),0)</f>
        <v>0</v>
      </c>
      <c r="P352" s="231">
        <f>IFERROR(IF($D$33&gt;=P$338,P485*P679,0),0)</f>
        <v>0</v>
      </c>
      <c r="Q352" s="231">
        <f>IFERROR(IF($D$33&gt;=Q$338,Q485*Q679,0),0)</f>
        <v>0</v>
      </c>
      <c r="R352" s="231">
        <f>IFERROR(IF($D$33&gt;=R$338,R485*R679,0),0)</f>
        <v>0</v>
      </c>
      <c r="S352" s="231">
        <f>IFERROR(IF($D$33&gt;=S$338,S485*S679,0),0)</f>
        <v>0</v>
      </c>
      <c r="T352" s="231">
        <f>IFERROR(IF($D$33&gt;=T$338,T485*T679,0),0)</f>
        <v>0</v>
      </c>
      <c r="U352" s="231">
        <f>IFERROR(IF($D$33&gt;=U$338,U485*U679,0),0)</f>
        <v>0</v>
      </c>
      <c r="V352" s="231">
        <f>IFERROR(IF($D$33&gt;=V$338,V485*V679,0),0)</f>
        <v>0</v>
      </c>
      <c r="W352" s="231">
        <f>IFERROR(IF($D$33&gt;=W$338,W485*W679,0),0)</f>
        <v>0</v>
      </c>
      <c r="X352" s="231">
        <f>IFERROR(IF($D$33&gt;=X$338,X485*X679,0),0)</f>
        <v>0</v>
      </c>
      <c r="Y352" s="231">
        <f>IFERROR(IF($D$33&gt;=Y$338,Y485*Y679,0),0)</f>
        <v>0</v>
      </c>
      <c r="Z352" s="231">
        <f>IFERROR(IF($D$33&gt;=Z$338,Z485*Z679,0),0)</f>
        <v>0</v>
      </c>
      <c r="AA352" s="231">
        <f>IFERROR(IF($D$33&gt;=AA$338,AA485*AA679,0),0)</f>
        <v>0</v>
      </c>
      <c r="AB352" s="300">
        <f>IFERROR(IF($D$33&gt;=AB$338,AB485*AB679,0),0)</f>
        <v>0</v>
      </c>
    </row>
    <row r="353" spans="1:28" ht="12" customHeight="1" x14ac:dyDescent="0.3">
      <c r="A353" s="5"/>
      <c r="B353" s="5"/>
      <c r="C353" s="638">
        <f>Infrastructure!D83</f>
        <v>425</v>
      </c>
      <c r="D353" s="297">
        <f>IFERROR(IF($D$33&gt;=D$338,D486*D680,0),0)</f>
      </c>
      <c r="E353" s="229">
        <f>IFERROR(IF($D$33&gt;=E$338,E486*E680,0),0)</f>
        <v>0</v>
      </c>
      <c r="F353" s="229">
        <f>IFERROR(IF($D$33&gt;=F$338,F486*F680,0),0)</f>
        <v>0</v>
      </c>
      <c r="G353" s="229">
        <f>IFERROR(IF($D$33&gt;=G$338,G486*G680,0),0)</f>
        <v>0</v>
      </c>
      <c r="H353" s="229">
        <f>IFERROR(IF($D$33&gt;=H$338,H486*H680,0),0)</f>
        <v>0</v>
      </c>
      <c r="I353" s="229">
        <f>IFERROR(IF($D$33&gt;=I$338,I486*I680,0),0)</f>
        <v>0</v>
      </c>
      <c r="J353" s="229">
        <f>IFERROR(IF($D$33&gt;=J$338,J486*J680,0),0)</f>
        <v>0</v>
      </c>
      <c r="K353" s="229">
        <f>IFERROR(IF($D$33&gt;=K$338,K486*K680,0),0)</f>
        <v>0</v>
      </c>
      <c r="L353" s="229">
        <f>IFERROR(IF($D$33&gt;=L$338,L486*L680,0),0)</f>
        <v>0</v>
      </c>
      <c r="M353" s="229">
        <f>IFERROR(IF($D$33&gt;=M$338,M486*M680,0),0)</f>
        <v>0</v>
      </c>
      <c r="N353" s="229">
        <f>IFERROR(IF($D$33&gt;=N$338,N486*N680,0),0)</f>
        <v>0</v>
      </c>
      <c r="O353" s="229">
        <f>IFERROR(IF($D$33&gt;=O$338,O486*O680,0),0)</f>
        <v>0</v>
      </c>
      <c r="P353" s="229">
        <f>IFERROR(IF($D$33&gt;=P$338,P486*P680,0),0)</f>
        <v>0</v>
      </c>
      <c r="Q353" s="229">
        <f>IFERROR(IF($D$33&gt;=Q$338,Q486*Q680,0),0)</f>
        <v>0</v>
      </c>
      <c r="R353" s="229">
        <f>IFERROR(IF($D$33&gt;=R$338,R486*R680,0),0)</f>
        <v>0</v>
      </c>
      <c r="S353" s="229">
        <f>IFERROR(IF($D$33&gt;=S$338,S486*S680,0),0)</f>
        <v>0</v>
      </c>
      <c r="T353" s="229">
        <f>IFERROR(IF($D$33&gt;=T$338,T486*T680,0),0)</f>
        <v>0</v>
      </c>
      <c r="U353" s="229">
        <f>IFERROR(IF($D$33&gt;=U$338,U486*U680,0),0)</f>
        <v>0</v>
      </c>
      <c r="V353" s="229">
        <f>IFERROR(IF($D$33&gt;=V$338,V486*V680,0),0)</f>
        <v>0</v>
      </c>
      <c r="W353" s="229">
        <f>IFERROR(IF($D$33&gt;=W$338,W486*W680,0),0)</f>
        <v>0</v>
      </c>
      <c r="X353" s="229">
        <f>IFERROR(IF($D$33&gt;=X$338,X486*X680,0),0)</f>
        <v>0</v>
      </c>
      <c r="Y353" s="229">
        <f>IFERROR(IF($D$33&gt;=Y$338,Y486*Y680,0),0)</f>
        <v>0</v>
      </c>
      <c r="Z353" s="229">
        <f>IFERROR(IF($D$33&gt;=Z$338,Z486*Z680,0),0)</f>
        <v>0</v>
      </c>
      <c r="AA353" s="229">
        <f>IFERROR(IF($D$33&gt;=AA$338,AA486*AA680,0),0)</f>
        <v>0</v>
      </c>
      <c r="AB353" s="298">
        <f>IFERROR(IF($D$33&gt;=AB$338,AB486*AB680,0),0)</f>
        <v>0</v>
      </c>
    </row>
    <row r="354" spans="1:28" ht="12" customHeight="1" x14ac:dyDescent="0.3">
      <c r="A354" s="5"/>
      <c r="B354" s="5"/>
      <c r="C354" s="638">
        <f>Infrastructure!D84</f>
        <v>456</v>
      </c>
      <c r="D354" s="297">
        <f>IFERROR(IF($D$33&gt;=D$338,D487*D681,0),0)</f>
        <v>0</v>
      </c>
      <c r="E354" s="229">
        <f>IFERROR(IF($D$33&gt;=E$338,E487*E681,0),0)</f>
        <v>0</v>
      </c>
      <c r="F354" s="229">
        <f>IFERROR(IF($D$33&gt;=F$338,F487*F681,0),0)</f>
        <v>0</v>
      </c>
      <c r="G354" s="229">
        <f>IFERROR(IF($D$33&gt;=G$338,G487*G681,0),0)</f>
        <v>0</v>
      </c>
      <c r="H354" s="229">
        <f>IFERROR(IF($D$33&gt;=H$338,H487*H681,0),0)</f>
        <v>0</v>
      </c>
      <c r="I354" s="229">
        <f>IFERROR(IF($D$33&gt;=I$338,I487*I681,0),0)</f>
        <v>0</v>
      </c>
      <c r="J354" s="229">
        <f>IFERROR(IF($D$33&gt;=J$338,J487*J681,0),0)</f>
        <v>0</v>
      </c>
      <c r="K354" s="229">
        <f>IFERROR(IF($D$33&gt;=K$338,K487*K681,0),0)</f>
        <v>0</v>
      </c>
      <c r="L354" s="229">
        <f>IFERROR(IF($D$33&gt;=L$338,L487*L681,0),0)</f>
        <v>0</v>
      </c>
      <c r="M354" s="229">
        <f>IFERROR(IF($D$33&gt;=M$338,M487*M681,0),0)</f>
        <v>0</v>
      </c>
      <c r="N354" s="229">
        <f>IFERROR(IF($D$33&gt;=N$338,N487*N681,0),0)</f>
        <v>0</v>
      </c>
      <c r="O354" s="229">
        <f>IFERROR(IF($D$33&gt;=O$338,O487*O681,0),0)</f>
        <v>0</v>
      </c>
      <c r="P354" s="229">
        <f>IFERROR(IF($D$33&gt;=P$338,P487*P681,0),0)</f>
        <v>0</v>
      </c>
      <c r="Q354" s="229">
        <f>IFERROR(IF($D$33&gt;=Q$338,Q487*Q681,0),0)</f>
        <v>0</v>
      </c>
      <c r="R354" s="229">
        <f>IFERROR(IF($D$33&gt;=R$338,R487*R681,0),0)</f>
        <v>0</v>
      </c>
      <c r="S354" s="229">
        <f>IFERROR(IF($D$33&gt;=S$338,S487*S681,0),0)</f>
        <v>0</v>
      </c>
      <c r="T354" s="229">
        <f>IFERROR(IF($D$33&gt;=T$338,T487*T681,0),0)</f>
        <v>0</v>
      </c>
      <c r="U354" s="229">
        <f>IFERROR(IF($D$33&gt;=U$338,U487*U681,0),0)</f>
        <v>0</v>
      </c>
      <c r="V354" s="229">
        <f>IFERROR(IF($D$33&gt;=V$338,V487*V681,0),0)</f>
        <v>0</v>
      </c>
      <c r="W354" s="229">
        <f>IFERROR(IF($D$33&gt;=W$338,W487*W681,0),0)</f>
        <v>0</v>
      </c>
      <c r="X354" s="229">
        <f>IFERROR(IF($D$33&gt;=X$338,X487*X681,0),0)</f>
        <v>0</v>
      </c>
      <c r="Y354" s="229">
        <f>IFERROR(IF($D$33&gt;=Y$338,Y487*Y681,0),0)</f>
        <v>0</v>
      </c>
      <c r="Z354" s="229">
        <f>IFERROR(IF($D$33&gt;=Z$338,Z487*Z681,0),0)</f>
        <v>0</v>
      </c>
      <c r="AA354" s="229">
        <f>IFERROR(IF($D$33&gt;=AA$338,AA487*AA681,0),0)</f>
        <v>0</v>
      </c>
      <c r="AB354" s="298">
        <f>IFERROR(IF($D$33&gt;=AB$338,AB487*AB681,0),0)</f>
        <v>0</v>
      </c>
    </row>
    <row r="355" spans="1:28" ht="12" customHeight="1" x14ac:dyDescent="0.3">
      <c r="A355" s="5"/>
      <c r="B355" s="5"/>
      <c r="C355" s="638">
        <f>Infrastructure!D85</f>
        <v>486</v>
      </c>
      <c r="D355" s="297">
        <f>IFERROR(IF($D$33&gt;=D$338,D488*D682,0),0)</f>
        <v>0</v>
      </c>
      <c r="E355" s="229">
        <f>IFERROR(IF($D$33&gt;=E$338,E488*E682,0),0)</f>
        <v>0</v>
      </c>
      <c r="F355" s="229">
        <f>IFERROR(IF($D$33&gt;=F$338,F488*F682,0),0)</f>
        <v>0</v>
      </c>
      <c r="G355" s="229">
        <f>IFERROR(IF($D$33&gt;=G$338,G488*G682,0),0)</f>
        <v>0</v>
      </c>
      <c r="H355" s="229">
        <f>IFERROR(IF($D$33&gt;=H$338,H488*H682,0),0)</f>
        <v>0</v>
      </c>
      <c r="I355" s="229">
        <f>IFERROR(IF($D$33&gt;=I$338,I488*I682,0),0)</f>
        <v>0</v>
      </c>
      <c r="J355" s="229">
        <f>IFERROR(IF($D$33&gt;=J$338,J488*J682,0),0)</f>
        <v>0</v>
      </c>
      <c r="K355" s="229">
        <f>IFERROR(IF($D$33&gt;=K$338,K488*K682,0),0)</f>
        <v>0</v>
      </c>
      <c r="L355" s="229">
        <f>IFERROR(IF($D$33&gt;=L$338,L488*L682,0),0)</f>
        <v>0</v>
      </c>
      <c r="M355" s="229">
        <f>IFERROR(IF($D$33&gt;=M$338,M488*M682,0),0)</f>
        <v>0</v>
      </c>
      <c r="N355" s="229">
        <f>IFERROR(IF($D$33&gt;=N$338,N488*N682,0),0)</f>
        <v>0</v>
      </c>
      <c r="O355" s="229">
        <f>IFERROR(IF($D$33&gt;=O$338,O488*O682,0),0)</f>
        <v>0</v>
      </c>
      <c r="P355" s="229">
        <f>IFERROR(IF($D$33&gt;=P$338,P488*P682,0),0)</f>
        <v>0</v>
      </c>
      <c r="Q355" s="229">
        <f>IFERROR(IF($D$33&gt;=Q$338,Q488*Q682,0),0)</f>
        <v>0</v>
      </c>
      <c r="R355" s="229">
        <f>IFERROR(IF($D$33&gt;=R$338,R488*R682,0),0)</f>
        <v>0</v>
      </c>
      <c r="S355" s="229">
        <f>IFERROR(IF($D$33&gt;=S$338,S488*S682,0),0)</f>
        <v>0</v>
      </c>
      <c r="T355" s="229">
        <f>IFERROR(IF($D$33&gt;=T$338,T488*T682,0),0)</f>
        <v>0</v>
      </c>
      <c r="U355" s="229">
        <f>IFERROR(IF($D$33&gt;=U$338,U488*U682,0),0)</f>
        <v>0</v>
      </c>
      <c r="V355" s="229">
        <f>IFERROR(IF($D$33&gt;=V$338,V488*V682,0),0)</f>
        <v>0</v>
      </c>
      <c r="W355" s="229">
        <f>IFERROR(IF($D$33&gt;=W$338,W488*W682,0),0)</f>
        <v>0</v>
      </c>
      <c r="X355" s="229">
        <f>IFERROR(IF($D$33&gt;=X$338,X488*X682,0),0)</f>
        <v>0</v>
      </c>
      <c r="Y355" s="229">
        <f>IFERROR(IF($D$33&gt;=Y$338,Y488*Y682,0),0)</f>
        <v>0</v>
      </c>
      <c r="Z355" s="229">
        <f>IFERROR(IF($D$33&gt;=Z$338,Z488*Z682,0),0)</f>
        <v>0</v>
      </c>
      <c r="AA355" s="229">
        <f>IFERROR(IF($D$33&gt;=AA$338,AA488*AA682,0),0)</f>
        <v>0</v>
      </c>
      <c r="AB355" s="298">
        <f>IFERROR(IF($D$33&gt;=AB$338,AB488*AB682,0),0)</f>
        <v>0</v>
      </c>
    </row>
    <row r="356" spans="1:28" ht="12" customHeight="1" x14ac:dyDescent="0.3">
      <c r="A356" s="5"/>
      <c r="B356" s="5"/>
      <c r="C356" s="638">
        <f>Infrastructure!D86</f>
        <v>517</v>
      </c>
      <c r="D356" s="297">
        <f>IFERROR(IF($D$33&gt;=D$338,D489*D683,0),0)</f>
        <v>0</v>
      </c>
      <c r="E356" s="229">
        <f>IFERROR(IF($D$33&gt;=E$338,E489*E683,0),0)</f>
        <v>0</v>
      </c>
      <c r="F356" s="229">
        <f>IFERROR(IF($D$33&gt;=F$338,F489*F683,0),0)</f>
        <v>0</v>
      </c>
      <c r="G356" s="229">
        <f>IFERROR(IF($D$33&gt;=G$338,G489*G683,0),0)</f>
        <v>0</v>
      </c>
      <c r="H356" s="229">
        <f>IFERROR(IF($D$33&gt;=H$338,H489*H683,0),0)</f>
        <v>0</v>
      </c>
      <c r="I356" s="229">
        <f>IFERROR(IF($D$33&gt;=I$338,I489*I683,0),0)</f>
        <v>0</v>
      </c>
      <c r="J356" s="229">
        <f>IFERROR(IF($D$33&gt;=J$338,J489*J683,0),0)</f>
        <v>0</v>
      </c>
      <c r="K356" s="229">
        <f>IFERROR(IF($D$33&gt;=K$338,K489*K683,0),0)</f>
        <v>0</v>
      </c>
      <c r="L356" s="229">
        <f>IFERROR(IF($D$33&gt;=L$338,L489*L683,0),0)</f>
        <v>0</v>
      </c>
      <c r="M356" s="229">
        <f>IFERROR(IF($D$33&gt;=M$338,M489*M683,0),0)</f>
        <v>0</v>
      </c>
      <c r="N356" s="229">
        <f>IFERROR(IF($D$33&gt;=N$338,N489*N683,0),0)</f>
        <v>0</v>
      </c>
      <c r="O356" s="229">
        <f>IFERROR(IF($D$33&gt;=O$338,O489*O683,0),0)</f>
        <v>0</v>
      </c>
      <c r="P356" s="229">
        <f>IFERROR(IF($D$33&gt;=P$338,P489*P683,0),0)</f>
        <v>0</v>
      </c>
      <c r="Q356" s="229">
        <f>IFERROR(IF($D$33&gt;=Q$338,Q489*Q683,0),0)</f>
        <v>0</v>
      </c>
      <c r="R356" s="229">
        <f>IFERROR(IF($D$33&gt;=R$338,R489*R683,0),0)</f>
        <v>0</v>
      </c>
      <c r="S356" s="229">
        <f>IFERROR(IF($D$33&gt;=S$338,S489*S683,0),0)</f>
        <v>0</v>
      </c>
      <c r="T356" s="229">
        <f>IFERROR(IF($D$33&gt;=T$338,T489*T683,0),0)</f>
        <v>0</v>
      </c>
      <c r="U356" s="229">
        <f>IFERROR(IF($D$33&gt;=U$338,U489*U683,0),0)</f>
        <v>0</v>
      </c>
      <c r="V356" s="229">
        <f>IFERROR(IF($D$33&gt;=V$338,V489*V683,0),0)</f>
        <v>0</v>
      </c>
      <c r="W356" s="229">
        <f>IFERROR(IF($D$33&gt;=W$338,W489*W683,0),0)</f>
        <v>0</v>
      </c>
      <c r="X356" s="229">
        <f>IFERROR(IF($D$33&gt;=X$338,X489*X683,0),0)</f>
        <v>0</v>
      </c>
      <c r="Y356" s="229">
        <f>IFERROR(IF($D$33&gt;=Y$338,Y489*Y683,0),0)</f>
        <v>0</v>
      </c>
      <c r="Z356" s="229">
        <f>IFERROR(IF($D$33&gt;=Z$338,Z489*Z683,0),0)</f>
        <v>0</v>
      </c>
      <c r="AA356" s="229">
        <f>IFERROR(IF($D$33&gt;=AA$338,AA489*AA683,0),0)</f>
        <v>0</v>
      </c>
      <c r="AB356" s="298">
        <f>IFERROR(IF($D$33&gt;=AB$338,AB489*AB683,0),0)</f>
        <v>0</v>
      </c>
    </row>
    <row r="357" spans="1:28" ht="12" customHeight="1" x14ac:dyDescent="0.3">
      <c r="A357" s="5"/>
      <c r="B357" s="5"/>
      <c r="C357" s="638">
        <f>Infrastructure!D87</f>
        <v>547</v>
      </c>
      <c r="D357" s="297">
        <f>IFERROR(IF($D$33&gt;=D$338,D490*D684,0),0)</f>
        <v>0</v>
      </c>
      <c r="E357" s="229">
        <f>IFERROR(IF($D$33&gt;=E$338,E490*E684,0),0)</f>
        <v>0</v>
      </c>
      <c r="F357" s="229">
        <f>IFERROR(IF($D$33&gt;=F$338,F490*F684,0),0)</f>
        <v>0</v>
      </c>
      <c r="G357" s="229">
        <f>IFERROR(IF($D$33&gt;=G$338,G490*G684,0),0)</f>
        <v>0</v>
      </c>
      <c r="H357" s="229">
        <f>IFERROR(IF($D$33&gt;=H$338,H490*H684,0),0)</f>
        <v>0</v>
      </c>
      <c r="I357" s="229">
        <f>IFERROR(IF($D$33&gt;=I$338,I490*I684,0),0)</f>
        <v>0</v>
      </c>
      <c r="J357" s="229">
        <f>IFERROR(IF($D$33&gt;=J$338,J490*J684,0),0)</f>
        <v>0</v>
      </c>
      <c r="K357" s="229">
        <f>IFERROR(IF($D$33&gt;=K$338,K490*K684,0),0)</f>
        <v>0</v>
      </c>
      <c r="L357" s="229">
        <f>IFERROR(IF($D$33&gt;=L$338,L490*L684,0),0)</f>
        <v>0</v>
      </c>
      <c r="M357" s="229">
        <f>IFERROR(IF($D$33&gt;=M$338,M490*M684,0),0)</f>
        <v>0</v>
      </c>
      <c r="N357" s="229">
        <f>IFERROR(IF($D$33&gt;=N$338,N490*N684,0),0)</f>
        <v>0</v>
      </c>
      <c r="O357" s="229">
        <f>IFERROR(IF($D$33&gt;=O$338,O490*O684,0),0)</f>
        <v>0</v>
      </c>
      <c r="P357" s="229">
        <f>IFERROR(IF($D$33&gt;=P$338,P490*P684,0),0)</f>
        <v>0</v>
      </c>
      <c r="Q357" s="229">
        <f>IFERROR(IF($D$33&gt;=Q$338,Q490*Q684,0),0)</f>
        <v>0</v>
      </c>
      <c r="R357" s="229">
        <f>IFERROR(IF($D$33&gt;=R$338,R490*R684,0),0)</f>
        <v>0</v>
      </c>
      <c r="S357" s="229">
        <f>IFERROR(IF($D$33&gt;=S$338,S490*S684,0),0)</f>
        <v>0</v>
      </c>
      <c r="T357" s="229">
        <f>IFERROR(IF($D$33&gt;=T$338,T490*T684,0),0)</f>
        <v>0</v>
      </c>
      <c r="U357" s="229">
        <f>IFERROR(IF($D$33&gt;=U$338,U490*U684,0),0)</f>
        <v>0</v>
      </c>
      <c r="V357" s="229">
        <f>IFERROR(IF($D$33&gt;=V$338,V490*V684,0),0)</f>
        <v>0</v>
      </c>
      <c r="W357" s="229">
        <f>IFERROR(IF($D$33&gt;=W$338,W490*W684,0),0)</f>
        <v>0</v>
      </c>
      <c r="X357" s="229">
        <f>IFERROR(IF($D$33&gt;=X$338,X490*X684,0),0)</f>
        <v>0</v>
      </c>
      <c r="Y357" s="229">
        <f>IFERROR(IF($D$33&gt;=Y$338,Y490*Y684,0),0)</f>
        <v>0</v>
      </c>
      <c r="Z357" s="229">
        <f>IFERROR(IF($D$33&gt;=Z$338,Z490*Z684,0),0)</f>
        <v>0</v>
      </c>
      <c r="AA357" s="229">
        <f>IFERROR(IF($D$33&gt;=AA$338,AA490*AA684,0),0)</f>
        <v>0</v>
      </c>
      <c r="AB357" s="298">
        <f>IFERROR(IF($D$33&gt;=AB$338,AB490*AB684,0),0)</f>
        <v>0</v>
      </c>
    </row>
    <row r="358" spans="1:28" ht="12" customHeight="1" x14ac:dyDescent="0.3">
      <c r="A358" s="5"/>
      <c r="B358" s="5"/>
      <c r="C358" s="638">
        <f>Infrastructure!D88</f>
        <v>578</v>
      </c>
      <c r="D358" s="297">
        <f>IFERROR(IF($D$33&gt;=D$338,D491*D685,0),0)</f>
        <v>0</v>
      </c>
      <c r="E358" s="229">
        <f>IFERROR(IF($D$33&gt;=E$338,E491*E685,0),0)</f>
        <v>0</v>
      </c>
      <c r="F358" s="229">
        <f>IFERROR(IF($D$33&gt;=F$338,F491*F685,0),0)</f>
        <v>0</v>
      </c>
      <c r="G358" s="229">
        <f>IFERROR(IF($D$33&gt;=G$338,G491*G685,0),0)</f>
        <v>0</v>
      </c>
      <c r="H358" s="229">
        <f>IFERROR(IF($D$33&gt;=H$338,H491*H685,0),0)</f>
        <v>0</v>
      </c>
      <c r="I358" s="229">
        <f>IFERROR(IF($D$33&gt;=I$338,I491*I685,0),0)</f>
        <v>0</v>
      </c>
      <c r="J358" s="229">
        <f>IFERROR(IF($D$33&gt;=J$338,J491*J685,0),0)</f>
        <v>0</v>
      </c>
      <c r="K358" s="229">
        <f>IFERROR(IF($D$33&gt;=K$338,K491*K685,0),0)</f>
        <v>0</v>
      </c>
      <c r="L358" s="229">
        <f>IFERROR(IF($D$33&gt;=L$338,L491*L685,0),0)</f>
        <v>0</v>
      </c>
      <c r="M358" s="229">
        <f>IFERROR(IF($D$33&gt;=M$338,M491*M685,0),0)</f>
        <v>0</v>
      </c>
      <c r="N358" s="229">
        <f>IFERROR(IF($D$33&gt;=N$338,N491*N685,0),0)</f>
        <v>0</v>
      </c>
      <c r="O358" s="229">
        <f>IFERROR(IF($D$33&gt;=O$338,O491*O685,0),0)</f>
        <v>0</v>
      </c>
      <c r="P358" s="229">
        <f>IFERROR(IF($D$33&gt;=P$338,P491*P685,0),0)</f>
        <v>0</v>
      </c>
      <c r="Q358" s="229">
        <f>IFERROR(IF($D$33&gt;=Q$338,Q491*Q685,0),0)</f>
        <v>0</v>
      </c>
      <c r="R358" s="229">
        <f>IFERROR(IF($D$33&gt;=R$338,R491*R685,0),0)</f>
        <v>0</v>
      </c>
      <c r="S358" s="229">
        <f>IFERROR(IF($D$33&gt;=S$338,S491*S685,0),0)</f>
        <v>0</v>
      </c>
      <c r="T358" s="229">
        <f>IFERROR(IF($D$33&gt;=T$338,T491*T685,0),0)</f>
        <v>0</v>
      </c>
      <c r="U358" s="229">
        <f>IFERROR(IF($D$33&gt;=U$338,U491*U685,0),0)</f>
        <v>0</v>
      </c>
      <c r="V358" s="229">
        <f>IFERROR(IF($D$33&gt;=V$338,V491*V685,0),0)</f>
        <v>0</v>
      </c>
      <c r="W358" s="229">
        <f>IFERROR(IF($D$33&gt;=W$338,W491*W685,0),0)</f>
        <v>0</v>
      </c>
      <c r="X358" s="229">
        <f>IFERROR(IF($D$33&gt;=X$338,X491*X685,0),0)</f>
        <v>0</v>
      </c>
      <c r="Y358" s="229">
        <f>IFERROR(IF($D$33&gt;=Y$338,Y491*Y685,0),0)</f>
        <v>0</v>
      </c>
      <c r="Z358" s="229">
        <f>IFERROR(IF($D$33&gt;=Z$338,Z491*Z685,0),0)</f>
        <v>0</v>
      </c>
      <c r="AA358" s="229">
        <f>IFERROR(IF($D$33&gt;=AA$338,AA491*AA685,0),0)</f>
        <v>0</v>
      </c>
      <c r="AB358" s="298">
        <f>IFERROR(IF($D$33&gt;=AB$338,AB491*AB685,0),0)</f>
        <v>0</v>
      </c>
    </row>
    <row r="359" spans="1:28" ht="12" customHeight="1" x14ac:dyDescent="0.3">
      <c r="A359" s="5"/>
      <c r="B359" s="5"/>
      <c r="C359" s="638">
        <f>Infrastructure!D89</f>
        <v>609</v>
      </c>
      <c r="D359" s="297">
        <f>IFERROR(IF($D$33&gt;=D$338,D492*D686,0),0)</f>
        <v>0</v>
      </c>
      <c r="E359" s="229">
        <f>IFERROR(IF($D$33&gt;=E$338,E492*E686,0),0)</f>
        <v>0</v>
      </c>
      <c r="F359" s="229">
        <f>IFERROR(IF($D$33&gt;=F$338,F492*F686,0),0)</f>
        <v>0</v>
      </c>
      <c r="G359" s="229">
        <f>IFERROR(IF($D$33&gt;=G$338,G492*G686,0),0)</f>
        <v>0</v>
      </c>
      <c r="H359" s="229">
        <f>IFERROR(IF($D$33&gt;=H$338,H492*H686,0),0)</f>
        <v>0</v>
      </c>
      <c r="I359" s="229">
        <f>IFERROR(IF($D$33&gt;=I$338,I492*I686,0),0)</f>
        <v>0</v>
      </c>
      <c r="J359" s="229">
        <f>IFERROR(IF($D$33&gt;=J$338,J492*J686,0),0)</f>
        <v>0</v>
      </c>
      <c r="K359" s="229">
        <f>IFERROR(IF($D$33&gt;=K$338,K492*K686,0),0)</f>
        <v>0</v>
      </c>
      <c r="L359" s="229">
        <f>IFERROR(IF($D$33&gt;=L$338,L492*L686,0),0)</f>
        <v>0</v>
      </c>
      <c r="M359" s="229">
        <f>IFERROR(IF($D$33&gt;=M$338,M492*M686,0),0)</f>
        <v>0</v>
      </c>
      <c r="N359" s="229">
        <f>IFERROR(IF($D$33&gt;=N$338,N492*N686,0),0)</f>
        <v>0</v>
      </c>
      <c r="O359" s="229">
        <f>IFERROR(IF($D$33&gt;=O$338,O492*O686,0),0)</f>
        <v>0</v>
      </c>
      <c r="P359" s="229">
        <f>IFERROR(IF($D$33&gt;=P$338,P492*P686,0),0)</f>
        <v>0</v>
      </c>
      <c r="Q359" s="229">
        <f>IFERROR(IF($D$33&gt;=Q$338,Q492*Q686,0),0)</f>
        <v>0</v>
      </c>
      <c r="R359" s="229">
        <f>IFERROR(IF($D$33&gt;=R$338,R492*R686,0),0)</f>
        <v>0</v>
      </c>
      <c r="S359" s="229">
        <f>IFERROR(IF($D$33&gt;=S$338,S492*S686,0),0)</f>
        <v>0</v>
      </c>
      <c r="T359" s="229">
        <f>IFERROR(IF($D$33&gt;=T$338,T492*T686,0),0)</f>
        <v>0</v>
      </c>
      <c r="U359" s="229">
        <f>IFERROR(IF($D$33&gt;=U$338,U492*U686,0),0)</f>
        <v>0</v>
      </c>
      <c r="V359" s="229">
        <f>IFERROR(IF($D$33&gt;=V$338,V492*V686,0),0)</f>
        <v>0</v>
      </c>
      <c r="W359" s="229">
        <f>IFERROR(IF($D$33&gt;=W$338,W492*W686,0),0)</f>
        <v>0</v>
      </c>
      <c r="X359" s="229">
        <f>IFERROR(IF($D$33&gt;=X$338,X492*X686,0),0)</f>
        <v>0</v>
      </c>
      <c r="Y359" s="229">
        <f>IFERROR(IF($D$33&gt;=Y$338,Y492*Y686,0),0)</f>
        <v>0</v>
      </c>
      <c r="Z359" s="229">
        <f>IFERROR(IF($D$33&gt;=Z$338,Z492*Z686,0),0)</f>
        <v>0</v>
      </c>
      <c r="AA359" s="229">
        <f>IFERROR(IF($D$33&gt;=AA$338,AA492*AA686,0),0)</f>
        <v>0</v>
      </c>
      <c r="AB359" s="298">
        <f>IFERROR(IF($D$33&gt;=AB$338,AB492*AB686,0),0)</f>
        <v>0</v>
      </c>
    </row>
    <row r="360" spans="1:28" ht="12" customHeight="1" x14ac:dyDescent="0.3">
      <c r="A360" s="5"/>
      <c r="B360" s="5"/>
      <c r="C360" s="638">
        <f>Infrastructure!D90</f>
        <v>639</v>
      </c>
      <c r="D360" s="297">
        <f>IFERROR(IF($D$33&gt;=D$338,D493*D687,0),0)</f>
        <v>0</v>
      </c>
      <c r="E360" s="229">
        <f>IFERROR(IF($D$33&gt;=E$338,E493*E687,0),0)</f>
        <v>0</v>
      </c>
      <c r="F360" s="229">
        <f>IFERROR(IF($D$33&gt;=F$338,F493*F687,0),0)</f>
        <v>0</v>
      </c>
      <c r="G360" s="229">
        <f>IFERROR(IF($D$33&gt;=G$338,G493*G687,0),0)</f>
        <v>0</v>
      </c>
      <c r="H360" s="229">
        <f>IFERROR(IF($D$33&gt;=H$338,H493*H687,0),0)</f>
        <v>0</v>
      </c>
      <c r="I360" s="229">
        <f>IFERROR(IF($D$33&gt;=I$338,I493*I687,0),0)</f>
        <v>0</v>
      </c>
      <c r="J360" s="229">
        <f>IFERROR(IF($D$33&gt;=J$338,J493*J687,0),0)</f>
        <v>0</v>
      </c>
      <c r="K360" s="229">
        <f>IFERROR(IF($D$33&gt;=K$338,K493*K687,0),0)</f>
        <v>0</v>
      </c>
      <c r="L360" s="229">
        <f>IFERROR(IF($D$33&gt;=L$338,L493*L687,0),0)</f>
        <v>0</v>
      </c>
      <c r="M360" s="229">
        <f>IFERROR(IF($D$33&gt;=M$338,M493*M687,0),0)</f>
        <v>0</v>
      </c>
      <c r="N360" s="229">
        <f>IFERROR(IF($D$33&gt;=N$338,N493*N687,0),0)</f>
        <v>0</v>
      </c>
      <c r="O360" s="229">
        <f>IFERROR(IF($D$33&gt;=O$338,O493*O687,0),0)</f>
        <v>0</v>
      </c>
      <c r="P360" s="229">
        <f>IFERROR(IF($D$33&gt;=P$338,P493*P687,0),0)</f>
        <v>0</v>
      </c>
      <c r="Q360" s="229">
        <f>IFERROR(IF($D$33&gt;=Q$338,Q493*Q687,0),0)</f>
        <v>0</v>
      </c>
      <c r="R360" s="229">
        <f>IFERROR(IF($D$33&gt;=R$338,R493*R687,0),0)</f>
        <v>0</v>
      </c>
      <c r="S360" s="229">
        <f>IFERROR(IF($D$33&gt;=S$338,S493*S687,0),0)</f>
        <v>0</v>
      </c>
      <c r="T360" s="229">
        <f>IFERROR(IF($D$33&gt;=T$338,T493*T687,0),0)</f>
        <v>0</v>
      </c>
      <c r="U360" s="229">
        <f>IFERROR(IF($D$33&gt;=U$338,U493*U687,0),0)</f>
        <v>0</v>
      </c>
      <c r="V360" s="229">
        <f>IFERROR(IF($D$33&gt;=V$338,V493*V687,0),0)</f>
        <v>0</v>
      </c>
      <c r="W360" s="229">
        <f>IFERROR(IF($D$33&gt;=W$338,W493*W687,0),0)</f>
        <v>0</v>
      </c>
      <c r="X360" s="229">
        <f>IFERROR(IF($D$33&gt;=X$338,X493*X687,0),0)</f>
        <v>0</v>
      </c>
      <c r="Y360" s="229">
        <f>IFERROR(IF($D$33&gt;=Y$338,Y493*Y687,0),0)</f>
        <v>0</v>
      </c>
      <c r="Z360" s="229">
        <f>IFERROR(IF($D$33&gt;=Z$338,Z493*Z687,0),0)</f>
        <v>0</v>
      </c>
      <c r="AA360" s="229">
        <f>IFERROR(IF($D$33&gt;=AA$338,AA493*AA687,0),0)</f>
        <v>0</v>
      </c>
      <c r="AB360" s="298">
        <f>IFERROR(IF($D$33&gt;=AB$338,AB493*AB687,0),0)</f>
        <v>0</v>
      </c>
    </row>
    <row r="361" spans="1:28" ht="12" customHeight="1" x14ac:dyDescent="0.3">
      <c r="A361" s="5"/>
      <c r="B361" s="5"/>
      <c r="C361" s="638">
        <f>Infrastructure!D91</f>
        <v>670</v>
      </c>
      <c r="D361" s="297">
        <f>IFERROR(IF($D$33&gt;=D$338,D494*D688,0),0)</f>
        <v>0</v>
      </c>
      <c r="E361" s="229">
        <f>IFERROR(IF($D$33&gt;=E$338,E494*E688,0),0)</f>
        <v>0</v>
      </c>
      <c r="F361" s="229">
        <f>IFERROR(IF($D$33&gt;=F$338,F494*F688,0),0)</f>
        <v>0</v>
      </c>
      <c r="G361" s="229">
        <f>IFERROR(IF($D$33&gt;=G$338,G494*G688,0),0)</f>
        <v>0</v>
      </c>
      <c r="H361" s="229">
        <f>IFERROR(IF($D$33&gt;=H$338,H494*H688,0),0)</f>
        <v>0</v>
      </c>
      <c r="I361" s="229">
        <f>IFERROR(IF($D$33&gt;=I$338,I494*I688,0),0)</f>
        <v>0</v>
      </c>
      <c r="J361" s="229">
        <f>IFERROR(IF($D$33&gt;=J$338,J494*J688,0),0)</f>
        <v>0</v>
      </c>
      <c r="K361" s="229">
        <f>IFERROR(IF($D$33&gt;=K$338,K494*K688,0),0)</f>
        <v>0</v>
      </c>
      <c r="L361" s="229">
        <f>IFERROR(IF($D$33&gt;=L$338,L494*L688,0),0)</f>
        <v>0</v>
      </c>
      <c r="M361" s="229">
        <f>IFERROR(IF($D$33&gt;=M$338,M494*M688,0),0)</f>
        <v>0</v>
      </c>
      <c r="N361" s="229">
        <f>IFERROR(IF($D$33&gt;=N$338,N494*N688,0),0)</f>
        <v>0</v>
      </c>
      <c r="O361" s="229">
        <f>IFERROR(IF($D$33&gt;=O$338,O494*O688,0),0)</f>
        <v>0</v>
      </c>
      <c r="P361" s="229">
        <f>IFERROR(IF($D$33&gt;=P$338,P494*P688,0),0)</f>
        <v>0</v>
      </c>
      <c r="Q361" s="229">
        <f>IFERROR(IF($D$33&gt;=Q$338,Q494*Q688,0),0)</f>
        <v>0</v>
      </c>
      <c r="R361" s="229">
        <f>IFERROR(IF($D$33&gt;=R$338,R494*R688,0),0)</f>
        <v>0</v>
      </c>
      <c r="S361" s="229">
        <f>IFERROR(IF($D$33&gt;=S$338,S494*S688,0),0)</f>
        <v>0</v>
      </c>
      <c r="T361" s="229">
        <f>IFERROR(IF($D$33&gt;=T$338,T494*T688,0),0)</f>
        <v>0</v>
      </c>
      <c r="U361" s="229">
        <f>IFERROR(IF($D$33&gt;=U$338,U494*U688,0),0)</f>
        <v>0</v>
      </c>
      <c r="V361" s="229">
        <f>IFERROR(IF($D$33&gt;=V$338,V494*V688,0),0)</f>
        <v>0</v>
      </c>
      <c r="W361" s="229">
        <f>IFERROR(IF($D$33&gt;=W$338,W494*W688,0),0)</f>
        <v>0</v>
      </c>
      <c r="X361" s="229">
        <f>IFERROR(IF($D$33&gt;=X$338,X494*X688,0),0)</f>
        <v>0</v>
      </c>
      <c r="Y361" s="229">
        <f>IFERROR(IF($D$33&gt;=Y$338,Y494*Y688,0),0)</f>
        <v>0</v>
      </c>
      <c r="Z361" s="229">
        <f>IFERROR(IF($D$33&gt;=Z$338,Z494*Z688,0),0)</f>
        <v>0</v>
      </c>
      <c r="AA361" s="229">
        <f>IFERROR(IF($D$33&gt;=AA$338,AA494*AA688,0),0)</f>
        <v>0</v>
      </c>
      <c r="AB361" s="298">
        <f>IFERROR(IF($D$33&gt;=AB$338,AB494*AB688,0),0)</f>
        <v>0</v>
      </c>
    </row>
    <row r="362" spans="1:28" ht="12" customHeight="1" x14ac:dyDescent="0.3">
      <c r="A362" s="5"/>
      <c r="B362" s="5"/>
      <c r="C362" s="638">
        <f>Infrastructure!D92</f>
        <v>700</v>
      </c>
      <c r="D362" s="297">
        <f>IFERROR(IF($D$33&gt;=D$338,D495*D689,0),0)</f>
        <v>0</v>
      </c>
      <c r="E362" s="229">
        <f>IFERROR(IF($D$33&gt;=E$338,E495*E689,0),0)</f>
        <v>0</v>
      </c>
      <c r="F362" s="229">
        <f>IFERROR(IF($D$33&gt;=F$338,F495*F689,0),0)</f>
        <v>0</v>
      </c>
      <c r="G362" s="229">
        <f>IFERROR(IF($D$33&gt;=G$338,G495*G689,0),0)</f>
        <v>0</v>
      </c>
      <c r="H362" s="229">
        <f>IFERROR(IF($D$33&gt;=H$338,H495*H689,0),0)</f>
        <v>0</v>
      </c>
      <c r="I362" s="229">
        <f>IFERROR(IF($D$33&gt;=I$338,I495*I689,0),0)</f>
        <v>0</v>
      </c>
      <c r="J362" s="229">
        <f>IFERROR(IF($D$33&gt;=J$338,J495*J689,0),0)</f>
        <v>0</v>
      </c>
      <c r="K362" s="229">
        <f>IFERROR(IF($D$33&gt;=K$338,K495*K689,0),0)</f>
        <v>0</v>
      </c>
      <c r="L362" s="229">
        <f>IFERROR(IF($D$33&gt;=L$338,L495*L689,0),0)</f>
        <v>0</v>
      </c>
      <c r="M362" s="229">
        <f>IFERROR(IF($D$33&gt;=M$338,M495*M689,0),0)</f>
        <v>0</v>
      </c>
      <c r="N362" s="229">
        <f>IFERROR(IF($D$33&gt;=N$338,N495*N689,0),0)</f>
        <v>0</v>
      </c>
      <c r="O362" s="229">
        <f>IFERROR(IF($D$33&gt;=O$338,O495*O689,0),0)</f>
        <v>0</v>
      </c>
      <c r="P362" s="229">
        <f>IFERROR(IF($D$33&gt;=P$338,P495*P689,0),0)</f>
        <v>0</v>
      </c>
      <c r="Q362" s="229">
        <f>IFERROR(IF($D$33&gt;=Q$338,Q495*Q689,0),0)</f>
        <v>0</v>
      </c>
      <c r="R362" s="229">
        <f>IFERROR(IF($D$33&gt;=R$338,R495*R689,0),0)</f>
        <v>0</v>
      </c>
      <c r="S362" s="229">
        <f>IFERROR(IF($D$33&gt;=S$338,S495*S689,0),0)</f>
        <v>0</v>
      </c>
      <c r="T362" s="229">
        <f>IFERROR(IF($D$33&gt;=T$338,T495*T689,0),0)</f>
        <v>0</v>
      </c>
      <c r="U362" s="229">
        <f>IFERROR(IF($D$33&gt;=U$338,U495*U689,0),0)</f>
        <v>0</v>
      </c>
      <c r="V362" s="229">
        <f>IFERROR(IF($D$33&gt;=V$338,V495*V689,0),0)</f>
        <v>0</v>
      </c>
      <c r="W362" s="229">
        <f>IFERROR(IF($D$33&gt;=W$338,W495*W689,0),0)</f>
        <v>0</v>
      </c>
      <c r="X362" s="229">
        <f>IFERROR(IF($D$33&gt;=X$338,X495*X689,0),0)</f>
        <v>0</v>
      </c>
      <c r="Y362" s="229">
        <f>IFERROR(IF($D$33&gt;=Y$338,Y495*Y689,0),0)</f>
        <v>0</v>
      </c>
      <c r="Z362" s="229">
        <f>IFERROR(IF($D$33&gt;=Z$338,Z495*Z689,0),0)</f>
        <v>0</v>
      </c>
      <c r="AA362" s="229">
        <f>IFERROR(IF($D$33&gt;=AA$338,AA495*AA689,0),0)</f>
        <v>0</v>
      </c>
      <c r="AB362" s="298">
        <f>IFERROR(IF($D$33&gt;=AB$338,AB495*AB689,0),0)</f>
        <v>0</v>
      </c>
    </row>
    <row r="363" spans="1:28" ht="12" customHeight="1" thickBot="1" x14ac:dyDescent="0.35">
      <c r="A363" s="5"/>
      <c r="B363" s="5"/>
      <c r="C363" s="639">
        <f>Infrastructure!D93</f>
        <v>731</v>
      </c>
      <c r="D363" s="301">
        <f>IFERROR(IF($D$33&gt;=D$338,D496*D690,0),0)</f>
      </c>
      <c r="E363" s="302">
        <f>IFERROR(IF($D$33&gt;=E$338,E496*E690,0),0)</f>
        <v>0</v>
      </c>
      <c r="F363" s="302">
        <f>IFERROR(IF($D$33&gt;=F$338,F496*F690,0),0)</f>
        <v>0</v>
      </c>
      <c r="G363" s="302">
        <f>IFERROR(IF($D$33&gt;=G$338,G496*G690,0),0)</f>
      </c>
      <c r="H363" s="302">
        <f>IFERROR(IF($D$33&gt;=H$338,H496*H690,0),0)</f>
        <v>0</v>
      </c>
      <c r="I363" s="302">
        <f>IFERROR(IF($D$33&gt;=I$338,I496*I690,0),0)</f>
        <v>0</v>
      </c>
      <c r="J363" s="302">
        <f>IFERROR(IF($D$33&gt;=J$338,J496*J690,0),0)</f>
        <v>0</v>
      </c>
      <c r="K363" s="302">
        <f>IFERROR(IF($D$33&gt;=K$338,K496*K690,0),0)</f>
        <v>0</v>
      </c>
      <c r="L363" s="302">
        <f>IFERROR(IF($D$33&gt;=L$338,L496*L690,0),0)</f>
      </c>
      <c r="M363" s="302">
        <f>IFERROR(IF($D$33&gt;=M$338,M496*M690,0),0)</f>
        <v>0</v>
      </c>
      <c r="N363" s="302">
        <f>IFERROR(IF($D$33&gt;=N$338,N496*N690,0),0)</f>
        <v>0</v>
      </c>
      <c r="O363" s="302">
        <f>IFERROR(IF($D$33&gt;=O$338,O496*O690,0),0)</f>
        <v>0</v>
      </c>
      <c r="P363" s="302">
        <f>IFERROR(IF($D$33&gt;=P$338,P496*P690,0),0)</f>
        <v>0</v>
      </c>
      <c r="Q363" s="302">
        <f>IFERROR(IF($D$33&gt;=Q$338,Q496*Q690,0),0)</f>
        <v>0</v>
      </c>
      <c r="R363" s="302">
        <f>IFERROR(IF($D$33&gt;=R$338,R496*R690,0),0)</f>
        <v>0</v>
      </c>
      <c r="S363" s="302">
        <f>IFERROR(IF($D$33&gt;=S$338,S496*S690,0),0)</f>
        <v>0</v>
      </c>
      <c r="T363" s="302">
        <f>IFERROR(IF($D$33&gt;=T$338,T496*T690,0),0)</f>
        <v>0</v>
      </c>
      <c r="U363" s="302">
        <f>IFERROR(IF($D$33&gt;=U$338,U496*U690,0),0)</f>
        <v>0</v>
      </c>
      <c r="V363" s="302">
        <f>IFERROR(IF($D$33&gt;=V$338,V496*V690,0),0)</f>
        <v>0</v>
      </c>
      <c r="W363" s="302">
        <f>IFERROR(IF($D$33&gt;=W$338,W496*W690,0),0)</f>
        <v>0</v>
      </c>
      <c r="X363" s="302">
        <f>IFERROR(IF($D$33&gt;=X$338,X496*X690,0),0)</f>
        <v>0</v>
      </c>
      <c r="Y363" s="302">
        <f>IFERROR(IF($D$33&gt;=Y$338,Y496*Y690,0),0)</f>
        <v>0</v>
      </c>
      <c r="Z363" s="302">
        <f>IFERROR(IF($D$33&gt;=Z$338,Z496*Z690,0),0)</f>
        <v>0</v>
      </c>
      <c r="AA363" s="302">
        <f>IFERROR(IF($D$33&gt;=AA$338,AA496*AA690,0),0)</f>
        <v>0</v>
      </c>
      <c r="AB363" s="303">
        <f>IFERROR(IF($D$33&gt;=AB$338,AB496*AB690,0),0)</f>
        <v>0</v>
      </c>
    </row>
    <row r="364" spans="1:28" ht="12" customHeight="1" x14ac:dyDescent="0.3">
      <c r="A364" s="5"/>
      <c r="B364" s="5"/>
      <c r="C364" s="638">
        <f>Infrastructure!D94</f>
        <v>762</v>
      </c>
      <c r="D364" s="299">
        <f>IFERROR(IF($D$33&gt;=D$338,D497*D691,0),0)</f>
      </c>
      <c r="E364" s="231">
        <f>IFERROR(IF($D$33&gt;=E$338,E497*E691,0),0)</f>
        <v>0</v>
      </c>
      <c r="F364" s="231">
        <f>IFERROR(IF($D$33&gt;=F$338,F497*F691,0),0)</f>
        <v>0</v>
      </c>
      <c r="G364" s="231">
        <f>IFERROR(IF($D$33&gt;=G$338,G497*G691,0),0)</f>
      </c>
      <c r="H364" s="231">
        <f>IFERROR(IF($D$33&gt;=H$338,H497*H691,0),0)</f>
        <v>0</v>
      </c>
      <c r="I364" s="231">
        <f>IFERROR(IF($D$33&gt;=I$338,I497*I691,0),0)</f>
        <v>0</v>
      </c>
      <c r="J364" s="231">
        <f>IFERROR(IF($D$33&gt;=J$338,J497*J691,0),0)</f>
        <v>0</v>
      </c>
      <c r="K364" s="231">
        <f>IFERROR(IF($D$33&gt;=K$338,K497*K691,0),0)</f>
        <v>0</v>
      </c>
      <c r="L364" s="231">
        <f>IFERROR(IF($D$33&gt;=L$338,L497*L691,0),0)</f>
      </c>
      <c r="M364" s="231">
        <f>IFERROR(IF($D$33&gt;=M$338,M497*M691,0),0)</f>
        <v>0</v>
      </c>
      <c r="N364" s="231">
        <f>IFERROR(IF($D$33&gt;=N$338,N497*N691,0),0)</f>
        <v>0</v>
      </c>
      <c r="O364" s="231">
        <f>IFERROR(IF($D$33&gt;=O$338,O497*O691,0),0)</f>
        <v>0</v>
      </c>
      <c r="P364" s="231">
        <f>IFERROR(IF($D$33&gt;=P$338,P497*P691,0),0)</f>
        <v>0</v>
      </c>
      <c r="Q364" s="231">
        <f>IFERROR(IF($D$33&gt;=Q$338,Q497*Q691,0),0)</f>
        <v>0</v>
      </c>
      <c r="R364" s="231">
        <f>IFERROR(IF($D$33&gt;=R$338,R497*R691,0),0)</f>
        <v>0</v>
      </c>
      <c r="S364" s="231">
        <f>IFERROR(IF($D$33&gt;=S$338,S497*S691,0),0)</f>
        <v>0</v>
      </c>
      <c r="T364" s="231">
        <f>IFERROR(IF($D$33&gt;=T$338,T497*T691,0),0)</f>
        <v>0</v>
      </c>
      <c r="U364" s="231">
        <f>IFERROR(IF($D$33&gt;=U$338,U497*U691,0),0)</f>
        <v>0</v>
      </c>
      <c r="V364" s="231">
        <f>IFERROR(IF($D$33&gt;=V$338,V497*V691,0),0)</f>
        <v>0</v>
      </c>
      <c r="W364" s="231">
        <f>IFERROR(IF($D$33&gt;=W$338,W497*W691,0),0)</f>
        <v>0</v>
      </c>
      <c r="X364" s="231">
        <f>IFERROR(IF($D$33&gt;=X$338,X497*X691,0),0)</f>
        <v>0</v>
      </c>
      <c r="Y364" s="231">
        <f>IFERROR(IF($D$33&gt;=Y$338,Y497*Y691,0),0)</f>
        <v>0</v>
      </c>
      <c r="Z364" s="231">
        <f>IFERROR(IF($D$33&gt;=Z$338,Z497*Z691,0),0)</f>
        <v>0</v>
      </c>
      <c r="AA364" s="231">
        <f>IFERROR(IF($D$33&gt;=AA$338,AA497*AA691,0),0)</f>
        <v>0</v>
      </c>
      <c r="AB364" s="300">
        <f>IFERROR(IF($D$33&gt;=AB$338,AB497*AB691,0),0)</f>
        <v>0</v>
      </c>
    </row>
    <row r="365" spans="1:28" ht="12" customHeight="1" x14ac:dyDescent="0.3">
      <c r="A365" s="5"/>
      <c r="B365" s="5"/>
      <c r="C365" s="638">
        <f>Infrastructure!D95</f>
        <v>790</v>
      </c>
      <c r="D365" s="297">
        <f>IFERROR(IF($D$33&gt;=D$338,D498*D692,0),0)</f>
      </c>
      <c r="E365" s="229">
        <f>IFERROR(IF($D$33&gt;=E$338,E498*E692,0),0)</f>
        <v>0</v>
      </c>
      <c r="F365" s="229">
        <f>IFERROR(IF($D$33&gt;=F$338,F498*F692,0),0)</f>
        <v>0</v>
      </c>
      <c r="G365" s="229">
        <f>IFERROR(IF($D$33&gt;=G$338,G498*G692,0),0)</f>
      </c>
      <c r="H365" s="229">
        <f>IFERROR(IF($D$33&gt;=H$338,H498*H692,0),0)</f>
        <v>0</v>
      </c>
      <c r="I365" s="229">
        <f>IFERROR(IF($D$33&gt;=I$338,I498*I692,0),0)</f>
        <v>0</v>
      </c>
      <c r="J365" s="229">
        <f>IFERROR(IF($D$33&gt;=J$338,J498*J692,0),0)</f>
        <v>0</v>
      </c>
      <c r="K365" s="229">
        <f>IFERROR(IF($D$33&gt;=K$338,K498*K692,0),0)</f>
        <v>0</v>
      </c>
      <c r="L365" s="229">
        <f>IFERROR(IF($D$33&gt;=L$338,L498*L692,0),0)</f>
      </c>
      <c r="M365" s="229">
        <f>IFERROR(IF($D$33&gt;=M$338,M498*M692,0),0)</f>
        <v>0</v>
      </c>
      <c r="N365" s="229">
        <f>IFERROR(IF($D$33&gt;=N$338,N498*N692,0),0)</f>
        <v>0</v>
      </c>
      <c r="O365" s="229">
        <f>IFERROR(IF($D$33&gt;=O$338,O498*O692,0),0)</f>
        <v>0</v>
      </c>
      <c r="P365" s="229">
        <f>IFERROR(IF($D$33&gt;=P$338,P498*P692,0),0)</f>
        <v>0</v>
      </c>
      <c r="Q365" s="229">
        <f>IFERROR(IF($D$33&gt;=Q$338,Q498*Q692,0),0)</f>
        <v>0</v>
      </c>
      <c r="R365" s="229">
        <f>IFERROR(IF($D$33&gt;=R$338,R498*R692,0),0)</f>
        <v>0</v>
      </c>
      <c r="S365" s="229">
        <f>IFERROR(IF($D$33&gt;=S$338,S498*S692,0),0)</f>
        <v>0</v>
      </c>
      <c r="T365" s="229">
        <f>IFERROR(IF($D$33&gt;=T$338,T498*T692,0),0)</f>
        <v>0</v>
      </c>
      <c r="U365" s="229">
        <f>IFERROR(IF($D$33&gt;=U$338,U498*U692,0),0)</f>
        <v>0</v>
      </c>
      <c r="V365" s="229">
        <f>IFERROR(IF($D$33&gt;=V$338,V498*V692,0),0)</f>
        <v>0</v>
      </c>
      <c r="W365" s="229">
        <f>IFERROR(IF($D$33&gt;=W$338,W498*W692,0),0)</f>
        <v>0</v>
      </c>
      <c r="X365" s="229">
        <f>IFERROR(IF($D$33&gt;=X$338,X498*X692,0),0)</f>
        <v>0</v>
      </c>
      <c r="Y365" s="229">
        <f>IFERROR(IF($D$33&gt;=Y$338,Y498*Y692,0),0)</f>
        <v>0</v>
      </c>
      <c r="Z365" s="229">
        <f>IFERROR(IF($D$33&gt;=Z$338,Z498*Z692,0),0)</f>
        <v>0</v>
      </c>
      <c r="AA365" s="229">
        <f>IFERROR(IF($D$33&gt;=AA$338,AA498*AA692,0),0)</f>
        <v>0</v>
      </c>
      <c r="AB365" s="298">
        <f>IFERROR(IF($D$33&gt;=AB$338,AB498*AB692,0),0)</f>
        <v>0</v>
      </c>
    </row>
    <row r="366" spans="1:28" ht="12" customHeight="1" x14ac:dyDescent="0.3">
      <c r="A366" s="5"/>
      <c r="B366" s="5"/>
      <c r="C366" s="638">
        <f>Infrastructure!D96</f>
        <v>821</v>
      </c>
      <c r="D366" s="297">
        <f>IFERROR(IF($D$33&gt;=D$338,D499*D693,0),0)</f>
        <v>0</v>
      </c>
      <c r="E366" s="229">
        <f>IFERROR(IF($D$33&gt;=E$338,E499*E693,0),0)</f>
        <v>0</v>
      </c>
      <c r="F366" s="229">
        <f>IFERROR(IF($D$33&gt;=F$338,F499*F693,0),0)</f>
        <v>0</v>
      </c>
      <c r="G366" s="229">
        <f>IFERROR(IF($D$33&gt;=G$338,G499*G693,0),0)</f>
        <v>0</v>
      </c>
      <c r="H366" s="229">
        <f>IFERROR(IF($D$33&gt;=H$338,H499*H693,0),0)</f>
        <v>0</v>
      </c>
      <c r="I366" s="229">
        <f>IFERROR(IF($D$33&gt;=I$338,I499*I693,0),0)</f>
        <v>0</v>
      </c>
      <c r="J366" s="229">
        <f>IFERROR(IF($D$33&gt;=J$338,J499*J693,0),0)</f>
        <v>0</v>
      </c>
      <c r="K366" s="229">
        <f>IFERROR(IF($D$33&gt;=K$338,K499*K693,0),0)</f>
        <v>0</v>
      </c>
      <c r="L366" s="229">
        <f>IFERROR(IF($D$33&gt;=L$338,L499*L693,0),0)</f>
        <v>0</v>
      </c>
      <c r="M366" s="229">
        <f>IFERROR(IF($D$33&gt;=M$338,M499*M693,0),0)</f>
        <v>0</v>
      </c>
      <c r="N366" s="229">
        <f>IFERROR(IF($D$33&gt;=N$338,N499*N693,0),0)</f>
        <v>0</v>
      </c>
      <c r="O366" s="229">
        <f>IFERROR(IF($D$33&gt;=O$338,O499*O693,0),0)</f>
        <v>0</v>
      </c>
      <c r="P366" s="229">
        <f>IFERROR(IF($D$33&gt;=P$338,P499*P693,0),0)</f>
        <v>0</v>
      </c>
      <c r="Q366" s="229">
        <f>IFERROR(IF($D$33&gt;=Q$338,Q499*Q693,0),0)</f>
        <v>0</v>
      </c>
      <c r="R366" s="229">
        <f>IFERROR(IF($D$33&gt;=R$338,R499*R693,0),0)</f>
        <v>0</v>
      </c>
      <c r="S366" s="229">
        <f>IFERROR(IF($D$33&gt;=S$338,S499*S693,0),0)</f>
        <v>0</v>
      </c>
      <c r="T366" s="229">
        <f>IFERROR(IF($D$33&gt;=T$338,T499*T693,0),0)</f>
        <v>0</v>
      </c>
      <c r="U366" s="229">
        <f>IFERROR(IF($D$33&gt;=U$338,U499*U693,0),0)</f>
        <v>0</v>
      </c>
      <c r="V366" s="229">
        <f>IFERROR(IF($D$33&gt;=V$338,V499*V693,0),0)</f>
        <v>0</v>
      </c>
      <c r="W366" s="229">
        <f>IFERROR(IF($D$33&gt;=W$338,W499*W693,0),0)</f>
        <v>0</v>
      </c>
      <c r="X366" s="229">
        <f>IFERROR(IF($D$33&gt;=X$338,X499*X693,0),0)</f>
        <v>0</v>
      </c>
      <c r="Y366" s="229">
        <f>IFERROR(IF($D$33&gt;=Y$338,Y499*Y693,0),0)</f>
        <v>0</v>
      </c>
      <c r="Z366" s="229">
        <f>IFERROR(IF($D$33&gt;=Z$338,Z499*Z693,0),0)</f>
        <v>0</v>
      </c>
      <c r="AA366" s="229">
        <f>IFERROR(IF($D$33&gt;=AA$338,AA499*AA693,0),0)</f>
        <v>0</v>
      </c>
      <c r="AB366" s="298">
        <f>IFERROR(IF($D$33&gt;=AB$338,AB499*AB693,0),0)</f>
        <v>0</v>
      </c>
    </row>
    <row r="367" spans="1:28" ht="12" customHeight="1" x14ac:dyDescent="0.3">
      <c r="A367" s="5"/>
      <c r="B367" s="5"/>
      <c r="C367" s="638">
        <f>Infrastructure!D97</f>
        <v>851</v>
      </c>
      <c r="D367" s="297">
        <f>IFERROR(IF($D$33&gt;=D$338,D500*D694,0),0)</f>
        <v>0</v>
      </c>
      <c r="E367" s="229">
        <f>IFERROR(IF($D$33&gt;=E$338,E500*E694,0),0)</f>
        <v>0</v>
      </c>
      <c r="F367" s="229">
        <f>IFERROR(IF($D$33&gt;=F$338,F500*F694,0),0)</f>
        <v>0</v>
      </c>
      <c r="G367" s="229">
        <f>IFERROR(IF($D$33&gt;=G$338,G500*G694,0),0)</f>
        <v>0</v>
      </c>
      <c r="H367" s="229">
        <f>IFERROR(IF($D$33&gt;=H$338,H500*H694,0),0)</f>
        <v>0</v>
      </c>
      <c r="I367" s="229">
        <f>IFERROR(IF($D$33&gt;=I$338,I500*I694,0),0)</f>
        <v>0</v>
      </c>
      <c r="J367" s="229">
        <f>IFERROR(IF($D$33&gt;=J$338,J500*J694,0),0)</f>
        <v>0</v>
      </c>
      <c r="K367" s="229">
        <f>IFERROR(IF($D$33&gt;=K$338,K500*K694,0),0)</f>
        <v>0</v>
      </c>
      <c r="L367" s="229">
        <f>IFERROR(IF($D$33&gt;=L$338,L500*L694,0),0)</f>
        <v>0</v>
      </c>
      <c r="M367" s="229">
        <f>IFERROR(IF($D$33&gt;=M$338,M500*M694,0),0)</f>
        <v>0</v>
      </c>
      <c r="N367" s="229">
        <f>IFERROR(IF($D$33&gt;=N$338,N500*N694,0),0)</f>
        <v>0</v>
      </c>
      <c r="O367" s="229">
        <f>IFERROR(IF($D$33&gt;=O$338,O500*O694,0),0)</f>
        <v>0</v>
      </c>
      <c r="P367" s="229">
        <f>IFERROR(IF($D$33&gt;=P$338,P500*P694,0),0)</f>
        <v>0</v>
      </c>
      <c r="Q367" s="229">
        <f>IFERROR(IF($D$33&gt;=Q$338,Q500*Q694,0),0)</f>
        <v>0</v>
      </c>
      <c r="R367" s="229">
        <f>IFERROR(IF($D$33&gt;=R$338,R500*R694,0),0)</f>
        <v>0</v>
      </c>
      <c r="S367" s="229">
        <f>IFERROR(IF($D$33&gt;=S$338,S500*S694,0),0)</f>
        <v>0</v>
      </c>
      <c r="T367" s="229">
        <f>IFERROR(IF($D$33&gt;=T$338,T500*T694,0),0)</f>
        <v>0</v>
      </c>
      <c r="U367" s="229">
        <f>IFERROR(IF($D$33&gt;=U$338,U500*U694,0),0)</f>
        <v>0</v>
      </c>
      <c r="V367" s="229">
        <f>IFERROR(IF($D$33&gt;=V$338,V500*V694,0),0)</f>
        <v>0</v>
      </c>
      <c r="W367" s="229">
        <f>IFERROR(IF($D$33&gt;=W$338,W500*W694,0),0)</f>
        <v>0</v>
      </c>
      <c r="X367" s="229">
        <f>IFERROR(IF($D$33&gt;=X$338,X500*X694,0),0)</f>
        <v>0</v>
      </c>
      <c r="Y367" s="229">
        <f>IFERROR(IF($D$33&gt;=Y$338,Y500*Y694,0),0)</f>
        <v>0</v>
      </c>
      <c r="Z367" s="229">
        <f>IFERROR(IF($D$33&gt;=Z$338,Z500*Z694,0),0)</f>
        <v>0</v>
      </c>
      <c r="AA367" s="229">
        <f>IFERROR(IF($D$33&gt;=AA$338,AA500*AA694,0),0)</f>
        <v>0</v>
      </c>
      <c r="AB367" s="298">
        <f>IFERROR(IF($D$33&gt;=AB$338,AB500*AB694,0),0)</f>
        <v>0</v>
      </c>
    </row>
    <row r="368" spans="1:28" ht="12" customHeight="1" x14ac:dyDescent="0.3">
      <c r="A368" s="5"/>
      <c r="B368" s="5"/>
      <c r="C368" s="638">
        <f>Infrastructure!D98</f>
        <v>882</v>
      </c>
      <c r="D368" s="297">
        <f>IFERROR(IF($D$33&gt;=D$338,D501*D695,0),0)</f>
        <v>0</v>
      </c>
      <c r="E368" s="229">
        <f>IFERROR(IF($D$33&gt;=E$338,E501*E695,0),0)</f>
        <v>0</v>
      </c>
      <c r="F368" s="229">
        <f>IFERROR(IF($D$33&gt;=F$338,F501*F695,0),0)</f>
        <v>0</v>
      </c>
      <c r="G368" s="229">
        <f>IFERROR(IF($D$33&gt;=G$338,G501*G695,0),0)</f>
        <v>0</v>
      </c>
      <c r="H368" s="229">
        <f>IFERROR(IF($D$33&gt;=H$338,H501*H695,0),0)</f>
        <v>0</v>
      </c>
      <c r="I368" s="229">
        <f>IFERROR(IF($D$33&gt;=I$338,I501*I695,0),0)</f>
        <v>0</v>
      </c>
      <c r="J368" s="229">
        <f>IFERROR(IF($D$33&gt;=J$338,J501*J695,0),0)</f>
        <v>0</v>
      </c>
      <c r="K368" s="229">
        <f>IFERROR(IF($D$33&gt;=K$338,K501*K695,0),0)</f>
        <v>0</v>
      </c>
      <c r="L368" s="229">
        <f>IFERROR(IF($D$33&gt;=L$338,L501*L695,0),0)</f>
        <v>0</v>
      </c>
      <c r="M368" s="229">
        <f>IFERROR(IF($D$33&gt;=M$338,M501*M695,0),0)</f>
        <v>0</v>
      </c>
      <c r="N368" s="229">
        <f>IFERROR(IF($D$33&gt;=N$338,N501*N695,0),0)</f>
        <v>0</v>
      </c>
      <c r="O368" s="229">
        <f>IFERROR(IF($D$33&gt;=O$338,O501*O695,0),0)</f>
        <v>0</v>
      </c>
      <c r="P368" s="229">
        <f>IFERROR(IF($D$33&gt;=P$338,P501*P695,0),0)</f>
        <v>0</v>
      </c>
      <c r="Q368" s="229">
        <f>IFERROR(IF($D$33&gt;=Q$338,Q501*Q695,0),0)</f>
        <v>0</v>
      </c>
      <c r="R368" s="229">
        <f>IFERROR(IF($D$33&gt;=R$338,R501*R695,0),0)</f>
        <v>0</v>
      </c>
      <c r="S368" s="229">
        <f>IFERROR(IF($D$33&gt;=S$338,S501*S695,0),0)</f>
        <v>0</v>
      </c>
      <c r="T368" s="229">
        <f>IFERROR(IF($D$33&gt;=T$338,T501*T695,0),0)</f>
        <v>0</v>
      </c>
      <c r="U368" s="229">
        <f>IFERROR(IF($D$33&gt;=U$338,U501*U695,0),0)</f>
        <v>0</v>
      </c>
      <c r="V368" s="229">
        <f>IFERROR(IF($D$33&gt;=V$338,V501*V695,0),0)</f>
        <v>0</v>
      </c>
      <c r="W368" s="229">
        <f>IFERROR(IF($D$33&gt;=W$338,W501*W695,0),0)</f>
        <v>0</v>
      </c>
      <c r="X368" s="229">
        <f>IFERROR(IF($D$33&gt;=X$338,X501*X695,0),0)</f>
        <v>0</v>
      </c>
      <c r="Y368" s="229">
        <f>IFERROR(IF($D$33&gt;=Y$338,Y501*Y695,0),0)</f>
        <v>0</v>
      </c>
      <c r="Z368" s="229">
        <f>IFERROR(IF($D$33&gt;=Z$338,Z501*Z695,0),0)</f>
        <v>0</v>
      </c>
      <c r="AA368" s="229">
        <f>IFERROR(IF($D$33&gt;=AA$338,AA501*AA695,0),0)</f>
        <v>0</v>
      </c>
      <c r="AB368" s="298">
        <f>IFERROR(IF($D$33&gt;=AB$338,AB501*AB695,0),0)</f>
        <v>0</v>
      </c>
    </row>
    <row r="369" spans="1:28" ht="12" customHeight="1" x14ac:dyDescent="0.3">
      <c r="A369" s="5"/>
      <c r="B369" s="5"/>
      <c r="C369" s="638">
        <f>Infrastructure!D99</f>
        <v>912</v>
      </c>
      <c r="D369" s="297">
        <f>IFERROR(IF($D$33&gt;=D$338,D502*D696,0),0)</f>
        <v>0</v>
      </c>
      <c r="E369" s="229">
        <f>IFERROR(IF($D$33&gt;=E$338,E502*E696,0),0)</f>
        <v>0</v>
      </c>
      <c r="F369" s="229">
        <f>IFERROR(IF($D$33&gt;=F$338,F502*F696,0),0)</f>
        <v>0</v>
      </c>
      <c r="G369" s="229">
        <f>IFERROR(IF($D$33&gt;=G$338,G502*G696,0),0)</f>
        <v>0</v>
      </c>
      <c r="H369" s="229">
        <f>IFERROR(IF($D$33&gt;=H$338,H502*H696,0),0)</f>
        <v>0</v>
      </c>
      <c r="I369" s="229">
        <f>IFERROR(IF($D$33&gt;=I$338,I502*I696,0),0)</f>
        <v>0</v>
      </c>
      <c r="J369" s="229">
        <f>IFERROR(IF($D$33&gt;=J$338,J502*J696,0),0)</f>
        <v>0</v>
      </c>
      <c r="K369" s="229">
        <f>IFERROR(IF($D$33&gt;=K$338,K502*K696,0),0)</f>
        <v>0</v>
      </c>
      <c r="L369" s="229">
        <f>IFERROR(IF($D$33&gt;=L$338,L502*L696,0),0)</f>
        <v>0</v>
      </c>
      <c r="M369" s="229">
        <f>IFERROR(IF($D$33&gt;=M$338,M502*M696,0),0)</f>
        <v>0</v>
      </c>
      <c r="N369" s="229">
        <f>IFERROR(IF($D$33&gt;=N$338,N502*N696,0),0)</f>
        <v>0</v>
      </c>
      <c r="O369" s="229">
        <f>IFERROR(IF($D$33&gt;=O$338,O502*O696,0),0)</f>
        <v>0</v>
      </c>
      <c r="P369" s="229">
        <f>IFERROR(IF($D$33&gt;=P$338,P502*P696,0),0)</f>
        <v>0</v>
      </c>
      <c r="Q369" s="229">
        <f>IFERROR(IF($D$33&gt;=Q$338,Q502*Q696,0),0)</f>
        <v>0</v>
      </c>
      <c r="R369" s="229">
        <f>IFERROR(IF($D$33&gt;=R$338,R502*R696,0),0)</f>
        <v>0</v>
      </c>
      <c r="S369" s="229">
        <f>IFERROR(IF($D$33&gt;=S$338,S502*S696,0),0)</f>
        <v>0</v>
      </c>
      <c r="T369" s="229">
        <f>IFERROR(IF($D$33&gt;=T$338,T502*T696,0),0)</f>
        <v>0</v>
      </c>
      <c r="U369" s="229">
        <f>IFERROR(IF($D$33&gt;=U$338,U502*U696,0),0)</f>
        <v>0</v>
      </c>
      <c r="V369" s="229">
        <f>IFERROR(IF($D$33&gt;=V$338,V502*V696,0),0)</f>
        <v>0</v>
      </c>
      <c r="W369" s="229">
        <f>IFERROR(IF($D$33&gt;=W$338,W502*W696,0),0)</f>
        <v>0</v>
      </c>
      <c r="X369" s="229">
        <f>IFERROR(IF($D$33&gt;=X$338,X502*X696,0),0)</f>
        <v>0</v>
      </c>
      <c r="Y369" s="229">
        <f>IFERROR(IF($D$33&gt;=Y$338,Y502*Y696,0),0)</f>
        <v>0</v>
      </c>
      <c r="Z369" s="229">
        <f>IFERROR(IF($D$33&gt;=Z$338,Z502*Z696,0),0)</f>
        <v>0</v>
      </c>
      <c r="AA369" s="229">
        <f>IFERROR(IF($D$33&gt;=AA$338,AA502*AA696,0),0)</f>
        <v>0</v>
      </c>
      <c r="AB369" s="298">
        <f>IFERROR(IF($D$33&gt;=AB$338,AB502*AB696,0),0)</f>
        <v>0</v>
      </c>
    </row>
    <row r="370" spans="1:28" ht="12" customHeight="1" x14ac:dyDescent="0.3">
      <c r="A370" s="5"/>
      <c r="B370" s="5"/>
      <c r="C370" s="638">
        <f>Infrastructure!D100</f>
        <v>943</v>
      </c>
      <c r="D370" s="297">
        <f>IFERROR(IF($D$33&gt;=D$338,D503*D697,0),0)</f>
        <v>0</v>
      </c>
      <c r="E370" s="229">
        <f>IFERROR(IF($D$33&gt;=E$338,E503*E697,0),0)</f>
        <v>0</v>
      </c>
      <c r="F370" s="229">
        <f>IFERROR(IF($D$33&gt;=F$338,F503*F697,0),0)</f>
        <v>0</v>
      </c>
      <c r="G370" s="229">
        <f>IFERROR(IF($D$33&gt;=G$338,G503*G697,0),0)</f>
        <v>0</v>
      </c>
      <c r="H370" s="229">
        <f>IFERROR(IF($D$33&gt;=H$338,H503*H697,0),0)</f>
        <v>0</v>
      </c>
      <c r="I370" s="229">
        <f>IFERROR(IF($D$33&gt;=I$338,I503*I697,0),0)</f>
        <v>0</v>
      </c>
      <c r="J370" s="229">
        <f>IFERROR(IF($D$33&gt;=J$338,J503*J697,0),0)</f>
        <v>0</v>
      </c>
      <c r="K370" s="229">
        <f>IFERROR(IF($D$33&gt;=K$338,K503*K697,0),0)</f>
        <v>0</v>
      </c>
      <c r="L370" s="229">
        <f>IFERROR(IF($D$33&gt;=L$338,L503*L697,0),0)</f>
        <v>0</v>
      </c>
      <c r="M370" s="229">
        <f>IFERROR(IF($D$33&gt;=M$338,M503*M697,0),0)</f>
        <v>0</v>
      </c>
      <c r="N370" s="229">
        <f>IFERROR(IF($D$33&gt;=N$338,N503*N697,0),0)</f>
        <v>0</v>
      </c>
      <c r="O370" s="229">
        <f>IFERROR(IF($D$33&gt;=O$338,O503*O697,0),0)</f>
        <v>0</v>
      </c>
      <c r="P370" s="229">
        <f>IFERROR(IF($D$33&gt;=P$338,P503*P697,0),0)</f>
        <v>0</v>
      </c>
      <c r="Q370" s="229">
        <f>IFERROR(IF($D$33&gt;=Q$338,Q503*Q697,0),0)</f>
        <v>0</v>
      </c>
      <c r="R370" s="229">
        <f>IFERROR(IF($D$33&gt;=R$338,R503*R697,0),0)</f>
        <v>0</v>
      </c>
      <c r="S370" s="229">
        <f>IFERROR(IF($D$33&gt;=S$338,S503*S697,0),0)</f>
        <v>0</v>
      </c>
      <c r="T370" s="229">
        <f>IFERROR(IF($D$33&gt;=T$338,T503*T697,0),0)</f>
        <v>0</v>
      </c>
      <c r="U370" s="229">
        <f>IFERROR(IF($D$33&gt;=U$338,U503*U697,0),0)</f>
        <v>0</v>
      </c>
      <c r="V370" s="229">
        <f>IFERROR(IF($D$33&gt;=V$338,V503*V697,0),0)</f>
        <v>0</v>
      </c>
      <c r="W370" s="229">
        <f>IFERROR(IF($D$33&gt;=W$338,W503*W697,0),0)</f>
        <v>0</v>
      </c>
      <c r="X370" s="229">
        <f>IFERROR(IF($D$33&gt;=X$338,X503*X697,0),0)</f>
        <v>0</v>
      </c>
      <c r="Y370" s="229">
        <f>IFERROR(IF($D$33&gt;=Y$338,Y503*Y697,0),0)</f>
        <v>0</v>
      </c>
      <c r="Z370" s="229">
        <f>IFERROR(IF($D$33&gt;=Z$338,Z503*Z697,0),0)</f>
        <v>0</v>
      </c>
      <c r="AA370" s="229">
        <f>IFERROR(IF($D$33&gt;=AA$338,AA503*AA697,0),0)</f>
        <v>0</v>
      </c>
      <c r="AB370" s="298">
        <f>IFERROR(IF($D$33&gt;=AB$338,AB503*AB697,0),0)</f>
        <v>0</v>
      </c>
    </row>
    <row r="371" spans="1:28" ht="12" customHeight="1" x14ac:dyDescent="0.3">
      <c r="A371" s="5"/>
      <c r="B371" s="5"/>
      <c r="C371" s="638">
        <f>Infrastructure!D101</f>
        <v>974</v>
      </c>
      <c r="D371" s="297">
        <f>IFERROR(IF($D$33&gt;=D$338,D504*D698,0),0)</f>
        <v>0</v>
      </c>
      <c r="E371" s="229">
        <f>IFERROR(IF($D$33&gt;=E$338,E504*E698,0),0)</f>
        <v>0</v>
      </c>
      <c r="F371" s="229">
        <f>IFERROR(IF($D$33&gt;=F$338,F504*F698,0),0)</f>
        <v>0</v>
      </c>
      <c r="G371" s="229">
        <f>IFERROR(IF($D$33&gt;=G$338,G504*G698,0),0)</f>
        <v>0</v>
      </c>
      <c r="H371" s="229">
        <f>IFERROR(IF($D$33&gt;=H$338,H504*H698,0),0)</f>
        <v>0</v>
      </c>
      <c r="I371" s="229">
        <f>IFERROR(IF($D$33&gt;=I$338,I504*I698,0),0)</f>
        <v>0</v>
      </c>
      <c r="J371" s="229">
        <f>IFERROR(IF($D$33&gt;=J$338,J504*J698,0),0)</f>
        <v>0</v>
      </c>
      <c r="K371" s="229">
        <f>IFERROR(IF($D$33&gt;=K$338,K504*K698,0),0)</f>
        <v>0</v>
      </c>
      <c r="L371" s="229">
        <f>IFERROR(IF($D$33&gt;=L$338,L504*L698,0),0)</f>
        <v>0</v>
      </c>
      <c r="M371" s="229">
        <f>IFERROR(IF($D$33&gt;=M$338,M504*M698,0),0)</f>
        <v>0</v>
      </c>
      <c r="N371" s="229">
        <f>IFERROR(IF($D$33&gt;=N$338,N504*N698,0),0)</f>
        <v>0</v>
      </c>
      <c r="O371" s="229">
        <f>IFERROR(IF($D$33&gt;=O$338,O504*O698,0),0)</f>
        <v>0</v>
      </c>
      <c r="P371" s="229">
        <f>IFERROR(IF($D$33&gt;=P$338,P504*P698,0),0)</f>
        <v>0</v>
      </c>
      <c r="Q371" s="229">
        <f>IFERROR(IF($D$33&gt;=Q$338,Q504*Q698,0),0)</f>
        <v>0</v>
      </c>
      <c r="R371" s="229">
        <f>IFERROR(IF($D$33&gt;=R$338,R504*R698,0),0)</f>
        <v>0</v>
      </c>
      <c r="S371" s="229">
        <f>IFERROR(IF($D$33&gt;=S$338,S504*S698,0),0)</f>
        <v>0</v>
      </c>
      <c r="T371" s="229">
        <f>IFERROR(IF($D$33&gt;=T$338,T504*T698,0),0)</f>
        <v>0</v>
      </c>
      <c r="U371" s="229">
        <f>IFERROR(IF($D$33&gt;=U$338,U504*U698,0),0)</f>
        <v>0</v>
      </c>
      <c r="V371" s="229">
        <f>IFERROR(IF($D$33&gt;=V$338,V504*V698,0),0)</f>
        <v>0</v>
      </c>
      <c r="W371" s="229">
        <f>IFERROR(IF($D$33&gt;=W$338,W504*W698,0),0)</f>
        <v>0</v>
      </c>
      <c r="X371" s="229">
        <f>IFERROR(IF($D$33&gt;=X$338,X504*X698,0),0)</f>
        <v>0</v>
      </c>
      <c r="Y371" s="229">
        <f>IFERROR(IF($D$33&gt;=Y$338,Y504*Y698,0),0)</f>
        <v>0</v>
      </c>
      <c r="Z371" s="229">
        <f>IFERROR(IF($D$33&gt;=Z$338,Z504*Z698,0),0)</f>
        <v>0</v>
      </c>
      <c r="AA371" s="229">
        <f>IFERROR(IF($D$33&gt;=AA$338,AA504*AA698,0),0)</f>
        <v>0</v>
      </c>
      <c r="AB371" s="298">
        <f>IFERROR(IF($D$33&gt;=AB$338,AB504*AB698,0),0)</f>
        <v>0</v>
      </c>
    </row>
    <row r="372" spans="1:28" ht="12" customHeight="1" x14ac:dyDescent="0.3">
      <c r="A372" s="5"/>
      <c r="B372" s="5"/>
      <c r="C372" s="638">
        <f>Infrastructure!D102</f>
        <v>1004</v>
      </c>
      <c r="D372" s="297">
        <f>IFERROR(IF($D$33&gt;=D$338,D505*D699,0),0)</f>
        <v>0</v>
      </c>
      <c r="E372" s="229">
        <f>IFERROR(IF($D$33&gt;=E$338,E505*E699,0),0)</f>
        <v>0</v>
      </c>
      <c r="F372" s="229">
        <f>IFERROR(IF($D$33&gt;=F$338,F505*F699,0),0)</f>
        <v>0</v>
      </c>
      <c r="G372" s="229">
        <f>IFERROR(IF($D$33&gt;=G$338,G505*G699,0),0)</f>
        <v>0</v>
      </c>
      <c r="H372" s="229">
        <f>IFERROR(IF($D$33&gt;=H$338,H505*H699,0),0)</f>
        <v>0</v>
      </c>
      <c r="I372" s="229">
        <f>IFERROR(IF($D$33&gt;=I$338,I505*I699,0),0)</f>
        <v>0</v>
      </c>
      <c r="J372" s="229">
        <f>IFERROR(IF($D$33&gt;=J$338,J505*J699,0),0)</f>
        <v>0</v>
      </c>
      <c r="K372" s="229">
        <f>IFERROR(IF($D$33&gt;=K$338,K505*K699,0),0)</f>
        <v>0</v>
      </c>
      <c r="L372" s="229">
        <f>IFERROR(IF($D$33&gt;=L$338,L505*L699,0),0)</f>
        <v>0</v>
      </c>
      <c r="M372" s="229">
        <f>IFERROR(IF($D$33&gt;=M$338,M505*M699,0),0)</f>
        <v>0</v>
      </c>
      <c r="N372" s="229">
        <f>IFERROR(IF($D$33&gt;=N$338,N505*N699,0),0)</f>
        <v>0</v>
      </c>
      <c r="O372" s="229">
        <f>IFERROR(IF($D$33&gt;=O$338,O505*O699,0),0)</f>
        <v>0</v>
      </c>
      <c r="P372" s="229">
        <f>IFERROR(IF($D$33&gt;=P$338,P505*P699,0),0)</f>
        <v>0</v>
      </c>
      <c r="Q372" s="229">
        <f>IFERROR(IF($D$33&gt;=Q$338,Q505*Q699,0),0)</f>
        <v>0</v>
      </c>
      <c r="R372" s="229">
        <f>IFERROR(IF($D$33&gt;=R$338,R505*R699,0),0)</f>
        <v>0</v>
      </c>
      <c r="S372" s="229">
        <f>IFERROR(IF($D$33&gt;=S$338,S505*S699,0),0)</f>
        <v>0</v>
      </c>
      <c r="T372" s="229">
        <f>IFERROR(IF($D$33&gt;=T$338,T505*T699,0),0)</f>
        <v>0</v>
      </c>
      <c r="U372" s="229">
        <f>IFERROR(IF($D$33&gt;=U$338,U505*U699,0),0)</f>
        <v>0</v>
      </c>
      <c r="V372" s="229">
        <f>IFERROR(IF($D$33&gt;=V$338,V505*V699,0),0)</f>
        <v>0</v>
      </c>
      <c r="W372" s="229">
        <f>IFERROR(IF($D$33&gt;=W$338,W505*W699,0),0)</f>
        <v>0</v>
      </c>
      <c r="X372" s="229">
        <f>IFERROR(IF($D$33&gt;=X$338,X505*X699,0),0)</f>
        <v>0</v>
      </c>
      <c r="Y372" s="229">
        <f>IFERROR(IF($D$33&gt;=Y$338,Y505*Y699,0),0)</f>
        <v>0</v>
      </c>
      <c r="Z372" s="229">
        <f>IFERROR(IF($D$33&gt;=Z$338,Z505*Z699,0),0)</f>
        <v>0</v>
      </c>
      <c r="AA372" s="229">
        <f>IFERROR(IF($D$33&gt;=AA$338,AA505*AA699,0),0)</f>
        <v>0</v>
      </c>
      <c r="AB372" s="298">
        <f>IFERROR(IF($D$33&gt;=AB$338,AB505*AB699,0),0)</f>
        <v>0</v>
      </c>
    </row>
    <row r="373" spans="1:28" ht="12" customHeight="1" x14ac:dyDescent="0.3">
      <c r="A373" s="5"/>
      <c r="B373" s="5"/>
      <c r="C373" s="638">
        <f>Infrastructure!D103</f>
        <v>1035</v>
      </c>
      <c r="D373" s="297">
        <f>IFERROR(IF($D$33&gt;=D$338,D506*D700,0),0)</f>
        <v>0</v>
      </c>
      <c r="E373" s="229">
        <f>IFERROR(IF($D$33&gt;=E$338,E506*E700,0),0)</f>
        <v>0</v>
      </c>
      <c r="F373" s="229">
        <f>IFERROR(IF($D$33&gt;=F$338,F506*F700,0),0)</f>
        <v>0</v>
      </c>
      <c r="G373" s="229">
        <f>IFERROR(IF($D$33&gt;=G$338,G506*G700,0),0)</f>
        <v>0</v>
      </c>
      <c r="H373" s="229">
        <f>IFERROR(IF($D$33&gt;=H$338,H506*H700,0),0)</f>
        <v>0</v>
      </c>
      <c r="I373" s="229">
        <f>IFERROR(IF($D$33&gt;=I$338,I506*I700,0),0)</f>
        <v>0</v>
      </c>
      <c r="J373" s="229">
        <f>IFERROR(IF($D$33&gt;=J$338,J506*J700,0),0)</f>
        <v>0</v>
      </c>
      <c r="K373" s="229">
        <f>IFERROR(IF($D$33&gt;=K$338,K506*K700,0),0)</f>
        <v>0</v>
      </c>
      <c r="L373" s="229">
        <f>IFERROR(IF($D$33&gt;=L$338,L506*L700,0),0)</f>
        <v>0</v>
      </c>
      <c r="M373" s="229">
        <f>IFERROR(IF($D$33&gt;=M$338,M506*M700,0),0)</f>
        <v>0</v>
      </c>
      <c r="N373" s="229">
        <f>IFERROR(IF($D$33&gt;=N$338,N506*N700,0),0)</f>
        <v>0</v>
      </c>
      <c r="O373" s="229">
        <f>IFERROR(IF($D$33&gt;=O$338,O506*O700,0),0)</f>
        <v>0</v>
      </c>
      <c r="P373" s="229">
        <f>IFERROR(IF($D$33&gt;=P$338,P506*P700,0),0)</f>
        <v>0</v>
      </c>
      <c r="Q373" s="229">
        <f>IFERROR(IF($D$33&gt;=Q$338,Q506*Q700,0),0)</f>
        <v>0</v>
      </c>
      <c r="R373" s="229">
        <f>IFERROR(IF($D$33&gt;=R$338,R506*R700,0),0)</f>
        <v>0</v>
      </c>
      <c r="S373" s="229">
        <f>IFERROR(IF($D$33&gt;=S$338,S506*S700,0),0)</f>
        <v>0</v>
      </c>
      <c r="T373" s="229">
        <f>IFERROR(IF($D$33&gt;=T$338,T506*T700,0),0)</f>
        <v>0</v>
      </c>
      <c r="U373" s="229">
        <f>IFERROR(IF($D$33&gt;=U$338,U506*U700,0),0)</f>
        <v>0</v>
      </c>
      <c r="V373" s="229">
        <f>IFERROR(IF($D$33&gt;=V$338,V506*V700,0),0)</f>
        <v>0</v>
      </c>
      <c r="W373" s="229">
        <f>IFERROR(IF($D$33&gt;=W$338,W506*W700,0),0)</f>
        <v>0</v>
      </c>
      <c r="X373" s="229">
        <f>IFERROR(IF($D$33&gt;=X$338,X506*X700,0),0)</f>
        <v>0</v>
      </c>
      <c r="Y373" s="229">
        <f>IFERROR(IF($D$33&gt;=Y$338,Y506*Y700,0),0)</f>
        <v>0</v>
      </c>
      <c r="Z373" s="229">
        <f>IFERROR(IF($D$33&gt;=Z$338,Z506*Z700,0),0)</f>
        <v>0</v>
      </c>
      <c r="AA373" s="229">
        <f>IFERROR(IF($D$33&gt;=AA$338,AA506*AA700,0),0)</f>
        <v>0</v>
      </c>
      <c r="AB373" s="298">
        <f>IFERROR(IF($D$33&gt;=AB$338,AB506*AB700,0),0)</f>
        <v>0</v>
      </c>
    </row>
    <row r="374" spans="1:28" ht="12" customHeight="1" x14ac:dyDescent="0.3">
      <c r="A374" s="5"/>
      <c r="B374" s="5"/>
      <c r="C374" s="638">
        <f>Infrastructure!D104</f>
        <v>1065</v>
      </c>
      <c r="D374" s="297">
        <f>IFERROR(IF($D$33&gt;=D$338,D507*D701,0),0)</f>
        <v>0</v>
      </c>
      <c r="E374" s="229">
        <f>IFERROR(IF($D$33&gt;=E$338,E507*E701,0),0)</f>
        <v>0</v>
      </c>
      <c r="F374" s="229">
        <f>IFERROR(IF($D$33&gt;=F$338,F507*F701,0),0)</f>
        <v>0</v>
      </c>
      <c r="G374" s="229">
        <f>IFERROR(IF($D$33&gt;=G$338,G507*G701,0),0)</f>
        <v>0</v>
      </c>
      <c r="H374" s="229">
        <f>IFERROR(IF($D$33&gt;=H$338,H507*H701,0),0)</f>
        <v>0</v>
      </c>
      <c r="I374" s="229">
        <f>IFERROR(IF($D$33&gt;=I$338,I507*I701,0),0)</f>
        <v>0</v>
      </c>
      <c r="J374" s="229">
        <f>IFERROR(IF($D$33&gt;=J$338,J507*J701,0),0)</f>
        <v>0</v>
      </c>
      <c r="K374" s="229">
        <f>IFERROR(IF($D$33&gt;=K$338,K507*K701,0),0)</f>
        <v>0</v>
      </c>
      <c r="L374" s="229">
        <f>IFERROR(IF($D$33&gt;=L$338,L507*L701,0),0)</f>
        <v>0</v>
      </c>
      <c r="M374" s="229">
        <f>IFERROR(IF($D$33&gt;=M$338,M507*M701,0),0)</f>
        <v>0</v>
      </c>
      <c r="N374" s="229">
        <f>IFERROR(IF($D$33&gt;=N$338,N507*N701,0),0)</f>
        <v>0</v>
      </c>
      <c r="O374" s="229">
        <f>IFERROR(IF($D$33&gt;=O$338,O507*O701,0),0)</f>
        <v>0</v>
      </c>
      <c r="P374" s="229">
        <f>IFERROR(IF($D$33&gt;=P$338,P507*P701,0),0)</f>
        <v>0</v>
      </c>
      <c r="Q374" s="229">
        <f>IFERROR(IF($D$33&gt;=Q$338,Q507*Q701,0),0)</f>
        <v>0</v>
      </c>
      <c r="R374" s="229">
        <f>IFERROR(IF($D$33&gt;=R$338,R507*R701,0),0)</f>
        <v>0</v>
      </c>
      <c r="S374" s="229">
        <f>IFERROR(IF($D$33&gt;=S$338,S507*S701,0),0)</f>
        <v>0</v>
      </c>
      <c r="T374" s="229">
        <f>IFERROR(IF($D$33&gt;=T$338,T507*T701,0),0)</f>
        <v>0</v>
      </c>
      <c r="U374" s="229">
        <f>IFERROR(IF($D$33&gt;=U$338,U507*U701,0),0)</f>
        <v>0</v>
      </c>
      <c r="V374" s="229">
        <f>IFERROR(IF($D$33&gt;=V$338,V507*V701,0),0)</f>
        <v>0</v>
      </c>
      <c r="W374" s="229">
        <f>IFERROR(IF($D$33&gt;=W$338,W507*W701,0),0)</f>
        <v>0</v>
      </c>
      <c r="X374" s="229">
        <f>IFERROR(IF($D$33&gt;=X$338,X507*X701,0),0)</f>
        <v>0</v>
      </c>
      <c r="Y374" s="229">
        <f>IFERROR(IF($D$33&gt;=Y$338,Y507*Y701,0),0)</f>
        <v>0</v>
      </c>
      <c r="Z374" s="229">
        <f>IFERROR(IF($D$33&gt;=Z$338,Z507*Z701,0),0)</f>
        <v>0</v>
      </c>
      <c r="AA374" s="229">
        <f>IFERROR(IF($D$33&gt;=AA$338,AA507*AA701,0),0)</f>
        <v>0</v>
      </c>
      <c r="AB374" s="298">
        <f>IFERROR(IF($D$33&gt;=AB$338,AB507*AB701,0),0)</f>
        <v>0</v>
      </c>
    </row>
    <row r="375" spans="1:28" ht="12" customHeight="1" thickBot="1" x14ac:dyDescent="0.35">
      <c r="A375" s="5"/>
      <c r="B375" s="5"/>
      <c r="C375" s="639">
        <f>Infrastructure!D105</f>
        <v>1096</v>
      </c>
      <c r="D375" s="301">
        <f>IFERROR(IF($D$33&gt;=D$338,D508*D702,0),0)</f>
      </c>
      <c r="E375" s="302">
        <f>IFERROR(IF($D$33&gt;=E$338,E508*E702,0),0)</f>
        <v>0</v>
      </c>
      <c r="F375" s="302">
        <f>IFERROR(IF($D$33&gt;=F$338,F508*F702,0),0)</f>
        <v>0</v>
      </c>
      <c r="G375" s="302">
        <f>IFERROR(IF($D$33&gt;=G$338,G508*G702,0),0)</f>
      </c>
      <c r="H375" s="302">
        <f>IFERROR(IF($D$33&gt;=H$338,H508*H702,0),0)</f>
        <v>0</v>
      </c>
      <c r="I375" s="302">
        <f>IFERROR(IF($D$33&gt;=I$338,I508*I702,0),0)</f>
        <v>0</v>
      </c>
      <c r="J375" s="302">
        <f>IFERROR(IF($D$33&gt;=J$338,J508*J702,0),0)</f>
        <v>0</v>
      </c>
      <c r="K375" s="302">
        <f>IFERROR(IF($D$33&gt;=K$338,K508*K702,0),0)</f>
        <v>0</v>
      </c>
      <c r="L375" s="302">
        <f>IFERROR(IF($D$33&gt;=L$338,L508*L702,0),0)</f>
      </c>
      <c r="M375" s="302">
        <f>IFERROR(IF($D$33&gt;=M$338,M508*M702,0),0)</f>
        <v>0</v>
      </c>
      <c r="N375" s="302">
        <f>IFERROR(IF($D$33&gt;=N$338,N508*N702,0),0)</f>
        <v>0</v>
      </c>
      <c r="O375" s="302">
        <f>IFERROR(IF($D$33&gt;=O$338,O508*O702,0),0)</f>
        <v>0</v>
      </c>
      <c r="P375" s="302">
        <f>IFERROR(IF($D$33&gt;=P$338,P508*P702,0),0)</f>
        <v>0</v>
      </c>
      <c r="Q375" s="302">
        <f>IFERROR(IF($D$33&gt;=Q$338,Q508*Q702,0),0)</f>
        <v>0</v>
      </c>
      <c r="R375" s="302">
        <f>IFERROR(IF($D$33&gt;=R$338,R508*R702,0),0)</f>
        <v>0</v>
      </c>
      <c r="S375" s="302">
        <f>IFERROR(IF($D$33&gt;=S$338,S508*S702,0),0)</f>
        <v>0</v>
      </c>
      <c r="T375" s="302">
        <f>IFERROR(IF($D$33&gt;=T$338,T508*T702,0),0)</f>
        <v>0</v>
      </c>
      <c r="U375" s="302">
        <f>IFERROR(IF($D$33&gt;=U$338,U508*U702,0),0)</f>
        <v>0</v>
      </c>
      <c r="V375" s="302">
        <f>IFERROR(IF($D$33&gt;=V$338,V508*V702,0),0)</f>
        <v>0</v>
      </c>
      <c r="W375" s="302">
        <f>IFERROR(IF($D$33&gt;=W$338,W508*W702,0),0)</f>
        <v>0</v>
      </c>
      <c r="X375" s="302">
        <f>IFERROR(IF($D$33&gt;=X$338,X508*X702,0),0)</f>
        <v>0</v>
      </c>
      <c r="Y375" s="302">
        <f>IFERROR(IF($D$33&gt;=Y$338,Y508*Y702,0),0)</f>
        <v>0</v>
      </c>
      <c r="Z375" s="302">
        <f>IFERROR(IF($D$33&gt;=Z$338,Z508*Z702,0),0)</f>
        <v>0</v>
      </c>
      <c r="AA375" s="302">
        <f>IFERROR(IF($D$33&gt;=AA$338,AA508*AA702,0),0)</f>
        <v>0</v>
      </c>
      <c r="AB375" s="303">
        <f>IFERROR(IF($D$33&gt;=AB$338,AB508*AB702,0),0)</f>
        <v>0</v>
      </c>
    </row>
    <row r="376" spans="1:28" ht="12" customHeight="1" x14ac:dyDescent="0.3">
      <c r="A376" s="5"/>
      <c r="B376" s="5"/>
      <c r="C376" s="638">
        <f>IF(Years="Five",Infrastructure!D106,"Total")</f>
        <v>1127</v>
      </c>
      <c r="D376" s="299">
        <f>IF(Years="Five",IFERROR(IF($D$33&gt;=D$338,D509*D703,0),0),SUM(D340:D375))</f>
      </c>
      <c r="E376" s="231">
        <f>IF(Years="Five",IFERROR(IF($D$33&gt;=E$338,E509*E703,0),0),SUM(E340:E375))</f>
        <v>0</v>
      </c>
      <c r="F376" s="231">
        <f>IF(Years="Five",IFERROR(IF($D$33&gt;=F$338,F509*F703,0),0),SUM(F340:F375))</f>
        <v>0</v>
      </c>
      <c r="G376" s="231">
        <f>IF(Years="Five",IFERROR(IF($D$33&gt;=G$338,G509*G703,0),0),SUM(G340:G375))</f>
        <v>0</v>
      </c>
      <c r="H376" s="231">
        <f>IF(Years="Five",IFERROR(IF($D$33&gt;=H$338,H509*H703,0),0),SUM(H340:H375))</f>
        <v>0</v>
      </c>
      <c r="I376" s="231">
        <f>IF(Years="Five",IFERROR(IF($D$33&gt;=I$338,I509*I703,0),0),SUM(I340:I375))</f>
        <v>0</v>
      </c>
      <c r="J376" s="231">
        <f>IF(Years="Five",IFERROR(IF($D$33&gt;=J$338,J509*J703,0),0),SUM(J340:J375))</f>
        <v>0</v>
      </c>
      <c r="K376" s="231">
        <f>IF(Years="Five",IFERROR(IF($D$33&gt;=K$338,K509*K703,0),0),SUM(K340:K375))</f>
        <v>0</v>
      </c>
      <c r="L376" s="231">
        <f>IF(Years="Five",IFERROR(IF($D$33&gt;=L$338,L509*L703,0),0),SUM(L340:L375))</f>
      </c>
      <c r="M376" s="231">
        <f>IF(Years="Five",IFERROR(IF($D$33&gt;=M$338,M509*M703,0),0),SUM(M340:M375))</f>
        <v>0</v>
      </c>
      <c r="N376" s="231">
        <f>IF(Years="Five",IFERROR(IF($D$33&gt;=N$338,N509*N703,0),0),SUM(N340:N375))</f>
        <v>0</v>
      </c>
      <c r="O376" s="231">
        <f>IF(Years="Five",IFERROR(IF($D$33&gt;=O$338,O509*O703,0),0),SUM(O340:O375))</f>
        <v>0</v>
      </c>
      <c r="P376" s="231">
        <f>IF(Years="Five",IFERROR(IF($D$33&gt;=P$338,P509*P703,0),0),SUM(P340:P375))</f>
        <v>0</v>
      </c>
      <c r="Q376" s="231">
        <f>IF(Years="Five",IFERROR(IF($D$33&gt;=Q$338,Q509*Q703,0),0),SUM(Q340:Q375))</f>
        <v>0</v>
      </c>
      <c r="R376" s="231">
        <f>IF(Years="Five",IFERROR(IF($D$33&gt;=R$338,R509*R703,0),0),SUM(R340:R375))</f>
        <v>0</v>
      </c>
      <c r="S376" s="231">
        <f>IF(Years="Five",IFERROR(IF($D$33&gt;=S$338,S509*S703,0),0),SUM(S340:S375))</f>
        <v>0</v>
      </c>
      <c r="T376" s="231">
        <f>IF(Years="Five",IFERROR(IF($D$33&gt;=T$338,T509*T703,0),0),SUM(T340:T375))</f>
        <v>0</v>
      </c>
      <c r="U376" s="231">
        <f>IF(Years="Five",IFERROR(IF($D$33&gt;=U$338,U509*U703,0),0),SUM(U340:U375))</f>
        <v>0</v>
      </c>
      <c r="V376" s="231">
        <f>IF(Years="Five",IFERROR(IF($D$33&gt;=V$338,V509*V703,0),0),SUM(V340:V375))</f>
        <v>0</v>
      </c>
      <c r="W376" s="231">
        <f>IF(Years="Five",IFERROR(IF($D$33&gt;=W$338,W509*W703,0),0),SUM(W340:W375))</f>
        <v>0</v>
      </c>
      <c r="X376" s="231">
        <f>IF(Years="Five",IFERROR(IF($D$33&gt;=X$338,X509*X703,0),0),SUM(X340:X375))</f>
        <v>0</v>
      </c>
      <c r="Y376" s="231">
        <f>IF(Years="Five",IFERROR(IF($D$33&gt;=Y$338,Y509*Y703,0),0),SUM(Y340:Y375))</f>
        <v>0</v>
      </c>
      <c r="Z376" s="231">
        <f>IF(Years="Five",IFERROR(IF($D$33&gt;=Z$338,Z509*Z703,0),0),SUM(Z340:Z375))</f>
        <v>0</v>
      </c>
      <c r="AA376" s="231">
        <f>IF(Years="Five",IFERROR(IF($D$33&gt;=AA$338,AA509*AA703,0),0),SUM(AA340:AA375))</f>
        <v>0</v>
      </c>
      <c r="AB376" s="300">
        <f>IF(Years="Five",IFERROR(IF($D$33&gt;=AB$338,AB509*AB703,0),0),SUM(AB340:AB375))</f>
        <v>0</v>
      </c>
    </row>
    <row r="377" spans="1:28" ht="12" customHeight="1" x14ac:dyDescent="0.3">
      <c r="A377" s="5"/>
      <c r="B377" s="5"/>
      <c r="C377" s="638">
        <f>Infrastructure!D107</f>
        <v>1155</v>
      </c>
      <c r="D377" s="297">
        <f>IF(Years="Five",IFERROR(IF($D$33&gt;=D$338,D510*D704,0),0),0)</f>
      </c>
      <c r="E377" s="229">
        <f>IF(Years="Five",IFERROR(IF($D$33&gt;=E$338,E510*E704,0),0),0)</f>
        <v>0</v>
      </c>
      <c r="F377" s="229">
        <f>IF(Years="Five",IFERROR(IF($D$33&gt;=F$338,F510*F704,0),0),0)</f>
        <v>0</v>
      </c>
      <c r="G377" s="229">
        <f>IF(Years="Five",IFERROR(IF($D$33&gt;=G$338,G510*G704,0),0),0)</f>
        <v>0</v>
      </c>
      <c r="H377" s="229">
        <f>IF(Years="Five",IFERROR(IF($D$33&gt;=H$338,H510*H704,0),0),0)</f>
        <v>0</v>
      </c>
      <c r="I377" s="229">
        <f>IF(Years="Five",IFERROR(IF($D$33&gt;=I$338,I510*I704,0),0),0)</f>
        <v>0</v>
      </c>
      <c r="J377" s="229">
        <f>IF(Years="Five",IFERROR(IF($D$33&gt;=J$338,J510*J704,0),0),0)</f>
        <v>0</v>
      </c>
      <c r="K377" s="229">
        <f>IF(Years="Five",IFERROR(IF($D$33&gt;=K$338,K510*K704,0),0),0)</f>
        <v>0</v>
      </c>
      <c r="L377" s="229">
        <f>IF(Years="Five",IFERROR(IF($D$33&gt;=L$338,L510*L704,0),0),0)</f>
      </c>
      <c r="M377" s="229">
        <f>IF(Years="Five",IFERROR(IF($D$33&gt;=M$338,M510*M704,0),0),0)</f>
        <v>0</v>
      </c>
      <c r="N377" s="229">
        <f>IF(Years="Five",IFERROR(IF($D$33&gt;=N$338,N510*N704,0),0),0)</f>
        <v>0</v>
      </c>
      <c r="O377" s="229">
        <f>IF(Years="Five",IFERROR(IF($D$33&gt;=O$338,O510*O704,0),0),0)</f>
        <v>0</v>
      </c>
      <c r="P377" s="229">
        <f>IF(Years="Five",IFERROR(IF($D$33&gt;=P$338,P510*P704,0),0),0)</f>
        <v>0</v>
      </c>
      <c r="Q377" s="229">
        <f>IF(Years="Five",IFERROR(IF($D$33&gt;=Q$338,Q510*Q704,0),0),0)</f>
        <v>0</v>
      </c>
      <c r="R377" s="229">
        <f>IF(Years="Five",IFERROR(IF($D$33&gt;=R$338,R510*R704,0),0),0)</f>
        <v>0</v>
      </c>
      <c r="S377" s="229">
        <f>IF(Years="Five",IFERROR(IF($D$33&gt;=S$338,S510*S704,0),0),0)</f>
        <v>0</v>
      </c>
      <c r="T377" s="229">
        <f>IF(Years="Five",IFERROR(IF($D$33&gt;=T$338,T510*T704,0),0),0)</f>
        <v>0</v>
      </c>
      <c r="U377" s="229">
        <f>IF(Years="Five",IFERROR(IF($D$33&gt;=U$338,U510*U704,0),0),0)</f>
        <v>0</v>
      </c>
      <c r="V377" s="229">
        <f>IF(Years="Five",IFERROR(IF($D$33&gt;=V$338,V510*V704,0),0),0)</f>
        <v>0</v>
      </c>
      <c r="W377" s="229">
        <f>IF(Years="Five",IFERROR(IF($D$33&gt;=W$338,W510*W704,0),0),0)</f>
        <v>0</v>
      </c>
      <c r="X377" s="229">
        <f>IF(Years="Five",IFERROR(IF($D$33&gt;=X$338,X510*X704,0),0),0)</f>
        <v>0</v>
      </c>
      <c r="Y377" s="229">
        <f>IF(Years="Five",IFERROR(IF($D$33&gt;=Y$338,Y510*Y704,0),0),0)</f>
        <v>0</v>
      </c>
      <c r="Z377" s="229">
        <f>IF(Years="Five",IFERROR(IF($D$33&gt;=Z$338,Z510*Z704,0),0),0)</f>
        <v>0</v>
      </c>
      <c r="AA377" s="229">
        <f>IF(Years="Five",IFERROR(IF($D$33&gt;=AA$338,AA510*AA704,0),0),0)</f>
        <v>0</v>
      </c>
      <c r="AB377" s="298">
        <f>IF(Years="Five",IFERROR(IF($D$33&gt;=AB$338,AB510*AB704,0),0),0)</f>
        <v>0</v>
      </c>
    </row>
    <row r="378" spans="1:28" ht="12" customHeight="1" x14ac:dyDescent="0.3">
      <c r="A378" s="5"/>
      <c r="B378" s="5"/>
      <c r="C378" s="638">
        <f>Infrastructure!D108</f>
        <v>1186</v>
      </c>
      <c r="D378" s="297">
        <f>IF(Years="Five",IFERROR(IF($D$33&gt;=D$338,D511*D705,0),0),0)</f>
        <v>0</v>
      </c>
      <c r="E378" s="229">
        <f>IF(Years="Five",IFERROR(IF($D$33&gt;=E$338,E511*E705,0),0),0)</f>
        <v>0</v>
      </c>
      <c r="F378" s="229">
        <f>IF(Years="Five",IFERROR(IF($D$33&gt;=F$338,F511*F705,0),0),0)</f>
        <v>0</v>
      </c>
      <c r="G378" s="229">
        <f>IF(Years="Five",IFERROR(IF($D$33&gt;=G$338,G511*G705,0),0),0)</f>
        <v>0</v>
      </c>
      <c r="H378" s="229">
        <f>IF(Years="Five",IFERROR(IF($D$33&gt;=H$338,H511*H705,0),0),0)</f>
        <v>0</v>
      </c>
      <c r="I378" s="229">
        <f>IF(Years="Five",IFERROR(IF($D$33&gt;=I$338,I511*I705,0),0),0)</f>
        <v>0</v>
      </c>
      <c r="J378" s="229">
        <f>IF(Years="Five",IFERROR(IF($D$33&gt;=J$338,J511*J705,0),0),0)</f>
        <v>0</v>
      </c>
      <c r="K378" s="229">
        <f>IF(Years="Five",IFERROR(IF($D$33&gt;=K$338,K511*K705,0),0),0)</f>
        <v>0</v>
      </c>
      <c r="L378" s="229">
        <f>IF(Years="Five",IFERROR(IF($D$33&gt;=L$338,L511*L705,0),0),0)</f>
        <v>0</v>
      </c>
      <c r="M378" s="229">
        <f>IF(Years="Five",IFERROR(IF($D$33&gt;=M$338,M511*M705,0),0),0)</f>
        <v>0</v>
      </c>
      <c r="N378" s="229">
        <f>IF(Years="Five",IFERROR(IF($D$33&gt;=N$338,N511*N705,0),0),0)</f>
        <v>0</v>
      </c>
      <c r="O378" s="229">
        <f>IF(Years="Five",IFERROR(IF($D$33&gt;=O$338,O511*O705,0),0),0)</f>
        <v>0</v>
      </c>
      <c r="P378" s="229">
        <f>IF(Years="Five",IFERROR(IF($D$33&gt;=P$338,P511*P705,0),0),0)</f>
        <v>0</v>
      </c>
      <c r="Q378" s="229">
        <f>IF(Years="Five",IFERROR(IF($D$33&gt;=Q$338,Q511*Q705,0),0),0)</f>
        <v>0</v>
      </c>
      <c r="R378" s="229">
        <f>IF(Years="Five",IFERROR(IF($D$33&gt;=R$338,R511*R705,0),0),0)</f>
        <v>0</v>
      </c>
      <c r="S378" s="229">
        <f>IF(Years="Five",IFERROR(IF($D$33&gt;=S$338,S511*S705,0),0),0)</f>
        <v>0</v>
      </c>
      <c r="T378" s="229">
        <f>IF(Years="Five",IFERROR(IF($D$33&gt;=T$338,T511*T705,0),0),0)</f>
        <v>0</v>
      </c>
      <c r="U378" s="229">
        <f>IF(Years="Five",IFERROR(IF($D$33&gt;=U$338,U511*U705,0),0),0)</f>
        <v>0</v>
      </c>
      <c r="V378" s="229">
        <f>IF(Years="Five",IFERROR(IF($D$33&gt;=V$338,V511*V705,0),0),0)</f>
        <v>0</v>
      </c>
      <c r="W378" s="229">
        <f>IF(Years="Five",IFERROR(IF($D$33&gt;=W$338,W511*W705,0),0),0)</f>
        <v>0</v>
      </c>
      <c r="X378" s="229">
        <f>IF(Years="Five",IFERROR(IF($D$33&gt;=X$338,X511*X705,0),0),0)</f>
        <v>0</v>
      </c>
      <c r="Y378" s="229">
        <f>IF(Years="Five",IFERROR(IF($D$33&gt;=Y$338,Y511*Y705,0),0),0)</f>
        <v>0</v>
      </c>
      <c r="Z378" s="229">
        <f>IF(Years="Five",IFERROR(IF($D$33&gt;=Z$338,Z511*Z705,0),0),0)</f>
        <v>0</v>
      </c>
      <c r="AA378" s="229">
        <f>IF(Years="Five",IFERROR(IF($D$33&gt;=AA$338,AA511*AA705,0),0),0)</f>
        <v>0</v>
      </c>
      <c r="AB378" s="298">
        <f>IF(Years="Five",IFERROR(IF($D$33&gt;=AB$338,AB511*AB705,0),0),0)</f>
        <v>0</v>
      </c>
    </row>
    <row r="379" spans="1:28" ht="12" customHeight="1" x14ac:dyDescent="0.3">
      <c r="A379" s="5"/>
      <c r="B379" s="5"/>
      <c r="C379" s="638">
        <f>Infrastructure!D109</f>
        <v>1216</v>
      </c>
      <c r="D379" s="297">
        <f>IF(Years="Five",IFERROR(IF($D$33&gt;=D$338,D512*D706,0),0),0)</f>
        <v>0</v>
      </c>
      <c r="E379" s="229">
        <f>IF(Years="Five",IFERROR(IF($D$33&gt;=E$338,E512*E706,0),0),0)</f>
        <v>0</v>
      </c>
      <c r="F379" s="229">
        <f>IF(Years="Five",IFERROR(IF($D$33&gt;=F$338,F512*F706,0),0),0)</f>
        <v>0</v>
      </c>
      <c r="G379" s="229">
        <f>IF(Years="Five",IFERROR(IF($D$33&gt;=G$338,G512*G706,0),0),0)</f>
        <v>0</v>
      </c>
      <c r="H379" s="229">
        <f>IF(Years="Five",IFERROR(IF($D$33&gt;=H$338,H512*H706,0),0),0)</f>
        <v>0</v>
      </c>
      <c r="I379" s="229">
        <f>IF(Years="Five",IFERROR(IF($D$33&gt;=I$338,I512*I706,0),0),0)</f>
        <v>0</v>
      </c>
      <c r="J379" s="229">
        <f>IF(Years="Five",IFERROR(IF($D$33&gt;=J$338,J512*J706,0),0),0)</f>
        <v>0</v>
      </c>
      <c r="K379" s="229">
        <f>IF(Years="Five",IFERROR(IF($D$33&gt;=K$338,K512*K706,0),0),0)</f>
        <v>0</v>
      </c>
      <c r="L379" s="229">
        <f>IF(Years="Five",IFERROR(IF($D$33&gt;=L$338,L512*L706,0),0),0)</f>
        <v>0</v>
      </c>
      <c r="M379" s="229">
        <f>IF(Years="Five",IFERROR(IF($D$33&gt;=M$338,M512*M706,0),0),0)</f>
        <v>0</v>
      </c>
      <c r="N379" s="229">
        <f>IF(Years="Five",IFERROR(IF($D$33&gt;=N$338,N512*N706,0),0),0)</f>
        <v>0</v>
      </c>
      <c r="O379" s="229">
        <f>IF(Years="Five",IFERROR(IF($D$33&gt;=O$338,O512*O706,0),0),0)</f>
        <v>0</v>
      </c>
      <c r="P379" s="229">
        <f>IF(Years="Five",IFERROR(IF($D$33&gt;=P$338,P512*P706,0),0),0)</f>
        <v>0</v>
      </c>
      <c r="Q379" s="229">
        <f>IF(Years="Five",IFERROR(IF($D$33&gt;=Q$338,Q512*Q706,0),0),0)</f>
        <v>0</v>
      </c>
      <c r="R379" s="229">
        <f>IF(Years="Five",IFERROR(IF($D$33&gt;=R$338,R512*R706,0),0),0)</f>
        <v>0</v>
      </c>
      <c r="S379" s="229">
        <f>IF(Years="Five",IFERROR(IF($D$33&gt;=S$338,S512*S706,0),0),0)</f>
        <v>0</v>
      </c>
      <c r="T379" s="229">
        <f>IF(Years="Five",IFERROR(IF($D$33&gt;=T$338,T512*T706,0),0),0)</f>
        <v>0</v>
      </c>
      <c r="U379" s="229">
        <f>IF(Years="Five",IFERROR(IF($D$33&gt;=U$338,U512*U706,0),0),0)</f>
        <v>0</v>
      </c>
      <c r="V379" s="229">
        <f>IF(Years="Five",IFERROR(IF($D$33&gt;=V$338,V512*V706,0),0),0)</f>
        <v>0</v>
      </c>
      <c r="W379" s="229">
        <f>IF(Years="Five",IFERROR(IF($D$33&gt;=W$338,W512*W706,0),0),0)</f>
        <v>0</v>
      </c>
      <c r="X379" s="229">
        <f>IF(Years="Five",IFERROR(IF($D$33&gt;=X$338,X512*X706,0),0),0)</f>
        <v>0</v>
      </c>
      <c r="Y379" s="229">
        <f>IF(Years="Five",IFERROR(IF($D$33&gt;=Y$338,Y512*Y706,0),0),0)</f>
        <v>0</v>
      </c>
      <c r="Z379" s="229">
        <f>IF(Years="Five",IFERROR(IF($D$33&gt;=Z$338,Z512*Z706,0),0),0)</f>
        <v>0</v>
      </c>
      <c r="AA379" s="229">
        <f>IF(Years="Five",IFERROR(IF($D$33&gt;=AA$338,AA512*AA706,0),0),0)</f>
        <v>0</v>
      </c>
      <c r="AB379" s="298">
        <f>IF(Years="Five",IFERROR(IF($D$33&gt;=AB$338,AB512*AB706,0),0),0)</f>
        <v>0</v>
      </c>
    </row>
    <row r="380" spans="1:28" ht="12" customHeight="1" x14ac:dyDescent="0.3">
      <c r="A380" s="5"/>
      <c r="B380" s="5"/>
      <c r="C380" s="638">
        <f>Infrastructure!D110</f>
        <v>1247</v>
      </c>
      <c r="D380" s="297">
        <f>IF(Years="Five",IFERROR(IF($D$33&gt;=D$338,D513*D707,0),0),0)</f>
        <v>0</v>
      </c>
      <c r="E380" s="229">
        <f>IF(Years="Five",IFERROR(IF($D$33&gt;=E$338,E513*E707,0),0),0)</f>
        <v>0</v>
      </c>
      <c r="F380" s="229">
        <f>IF(Years="Five",IFERROR(IF($D$33&gt;=F$338,F513*F707,0),0),0)</f>
        <v>0</v>
      </c>
      <c r="G380" s="229">
        <f>IF(Years="Five",IFERROR(IF($D$33&gt;=G$338,G513*G707,0),0),0)</f>
        <v>0</v>
      </c>
      <c r="H380" s="229">
        <f>IF(Years="Five",IFERROR(IF($D$33&gt;=H$338,H513*H707,0),0),0)</f>
        <v>0</v>
      </c>
      <c r="I380" s="229">
        <f>IF(Years="Five",IFERROR(IF($D$33&gt;=I$338,I513*I707,0),0),0)</f>
        <v>0</v>
      </c>
      <c r="J380" s="229">
        <f>IF(Years="Five",IFERROR(IF($D$33&gt;=J$338,J513*J707,0),0),0)</f>
        <v>0</v>
      </c>
      <c r="K380" s="229">
        <f>IF(Years="Five",IFERROR(IF($D$33&gt;=K$338,K513*K707,0),0),0)</f>
        <v>0</v>
      </c>
      <c r="L380" s="229">
        <f>IF(Years="Five",IFERROR(IF($D$33&gt;=L$338,L513*L707,0),0),0)</f>
        <v>0</v>
      </c>
      <c r="M380" s="229">
        <f>IF(Years="Five",IFERROR(IF($D$33&gt;=M$338,M513*M707,0),0),0)</f>
        <v>0</v>
      </c>
      <c r="N380" s="229">
        <f>IF(Years="Five",IFERROR(IF($D$33&gt;=N$338,N513*N707,0),0),0)</f>
        <v>0</v>
      </c>
      <c r="O380" s="229">
        <f>IF(Years="Five",IFERROR(IF($D$33&gt;=O$338,O513*O707,0),0),0)</f>
        <v>0</v>
      </c>
      <c r="P380" s="229">
        <f>IF(Years="Five",IFERROR(IF($D$33&gt;=P$338,P513*P707,0),0),0)</f>
        <v>0</v>
      </c>
      <c r="Q380" s="229">
        <f>IF(Years="Five",IFERROR(IF($D$33&gt;=Q$338,Q513*Q707,0),0),0)</f>
        <v>0</v>
      </c>
      <c r="R380" s="229">
        <f>IF(Years="Five",IFERROR(IF($D$33&gt;=R$338,R513*R707,0),0),0)</f>
        <v>0</v>
      </c>
      <c r="S380" s="229">
        <f>IF(Years="Five",IFERROR(IF($D$33&gt;=S$338,S513*S707,0),0),0)</f>
        <v>0</v>
      </c>
      <c r="T380" s="229">
        <f>IF(Years="Five",IFERROR(IF($D$33&gt;=T$338,T513*T707,0),0),0)</f>
        <v>0</v>
      </c>
      <c r="U380" s="229">
        <f>IF(Years="Five",IFERROR(IF($D$33&gt;=U$338,U513*U707,0),0),0)</f>
        <v>0</v>
      </c>
      <c r="V380" s="229">
        <f>IF(Years="Five",IFERROR(IF($D$33&gt;=V$338,V513*V707,0),0),0)</f>
        <v>0</v>
      </c>
      <c r="W380" s="229">
        <f>IF(Years="Five",IFERROR(IF($D$33&gt;=W$338,W513*W707,0),0),0)</f>
        <v>0</v>
      </c>
      <c r="X380" s="229">
        <f>IF(Years="Five",IFERROR(IF($D$33&gt;=X$338,X513*X707,0),0),0)</f>
        <v>0</v>
      </c>
      <c r="Y380" s="229">
        <f>IF(Years="Five",IFERROR(IF($D$33&gt;=Y$338,Y513*Y707,0),0),0)</f>
        <v>0</v>
      </c>
      <c r="Z380" s="229">
        <f>IF(Years="Five",IFERROR(IF($D$33&gt;=Z$338,Z513*Z707,0),0),0)</f>
        <v>0</v>
      </c>
      <c r="AA380" s="229">
        <f>IF(Years="Five",IFERROR(IF($D$33&gt;=AA$338,AA513*AA707,0),0),0)</f>
        <v>0</v>
      </c>
      <c r="AB380" s="298">
        <f>IF(Years="Five",IFERROR(IF($D$33&gt;=AB$338,AB513*AB707,0),0),0)</f>
        <v>0</v>
      </c>
    </row>
    <row r="381" spans="1:28" ht="12" customHeight="1" x14ac:dyDescent="0.3">
      <c r="A381" s="5"/>
      <c r="B381" s="5"/>
      <c r="C381" s="638">
        <f>Infrastructure!D111</f>
        <v>1277</v>
      </c>
      <c r="D381" s="297">
        <f>IF(Years="Five",IFERROR(IF($D$33&gt;=D$338,D514*D708,0),0),0)</f>
        <v>0</v>
      </c>
      <c r="E381" s="229">
        <f>IF(Years="Five",IFERROR(IF($D$33&gt;=E$338,E514*E708,0),0),0)</f>
        <v>0</v>
      </c>
      <c r="F381" s="229">
        <f>IF(Years="Five",IFERROR(IF($D$33&gt;=F$338,F514*F708,0),0),0)</f>
        <v>0</v>
      </c>
      <c r="G381" s="229">
        <f>IF(Years="Five",IFERROR(IF($D$33&gt;=G$338,G514*G708,0),0),0)</f>
        <v>0</v>
      </c>
      <c r="H381" s="229">
        <f>IF(Years="Five",IFERROR(IF($D$33&gt;=H$338,H514*H708,0),0),0)</f>
        <v>0</v>
      </c>
      <c r="I381" s="229">
        <f>IF(Years="Five",IFERROR(IF($D$33&gt;=I$338,I514*I708,0),0),0)</f>
        <v>0</v>
      </c>
      <c r="J381" s="229">
        <f>IF(Years="Five",IFERROR(IF($D$33&gt;=J$338,J514*J708,0),0),0)</f>
        <v>0</v>
      </c>
      <c r="K381" s="229">
        <f>IF(Years="Five",IFERROR(IF($D$33&gt;=K$338,K514*K708,0),0),0)</f>
        <v>0</v>
      </c>
      <c r="L381" s="229">
        <f>IF(Years="Five",IFERROR(IF($D$33&gt;=L$338,L514*L708,0),0),0)</f>
        <v>0</v>
      </c>
      <c r="M381" s="229">
        <f>IF(Years="Five",IFERROR(IF($D$33&gt;=M$338,M514*M708,0),0),0)</f>
        <v>0</v>
      </c>
      <c r="N381" s="229">
        <f>IF(Years="Five",IFERROR(IF($D$33&gt;=N$338,N514*N708,0),0),0)</f>
        <v>0</v>
      </c>
      <c r="O381" s="229">
        <f>IF(Years="Five",IFERROR(IF($D$33&gt;=O$338,O514*O708,0),0),0)</f>
        <v>0</v>
      </c>
      <c r="P381" s="229">
        <f>IF(Years="Five",IFERROR(IF($D$33&gt;=P$338,P514*P708,0),0),0)</f>
        <v>0</v>
      </c>
      <c r="Q381" s="229">
        <f>IF(Years="Five",IFERROR(IF($D$33&gt;=Q$338,Q514*Q708,0),0),0)</f>
        <v>0</v>
      </c>
      <c r="R381" s="229">
        <f>IF(Years="Five",IFERROR(IF($D$33&gt;=R$338,R514*R708,0),0),0)</f>
        <v>0</v>
      </c>
      <c r="S381" s="229">
        <f>IF(Years="Five",IFERROR(IF($D$33&gt;=S$338,S514*S708,0),0),0)</f>
        <v>0</v>
      </c>
      <c r="T381" s="229">
        <f>IF(Years="Five",IFERROR(IF($D$33&gt;=T$338,T514*T708,0),0),0)</f>
        <v>0</v>
      </c>
      <c r="U381" s="229">
        <f>IF(Years="Five",IFERROR(IF($D$33&gt;=U$338,U514*U708,0),0),0)</f>
        <v>0</v>
      </c>
      <c r="V381" s="229">
        <f>IF(Years="Five",IFERROR(IF($D$33&gt;=V$338,V514*V708,0),0),0)</f>
        <v>0</v>
      </c>
      <c r="W381" s="229">
        <f>IF(Years="Five",IFERROR(IF($D$33&gt;=W$338,W514*W708,0),0),0)</f>
        <v>0</v>
      </c>
      <c r="X381" s="229">
        <f>IF(Years="Five",IFERROR(IF($D$33&gt;=X$338,X514*X708,0),0),0)</f>
        <v>0</v>
      </c>
      <c r="Y381" s="229">
        <f>IF(Years="Five",IFERROR(IF($D$33&gt;=Y$338,Y514*Y708,0),0),0)</f>
        <v>0</v>
      </c>
      <c r="Z381" s="229">
        <f>IF(Years="Five",IFERROR(IF($D$33&gt;=Z$338,Z514*Z708,0),0),0)</f>
        <v>0</v>
      </c>
      <c r="AA381" s="229">
        <f>IF(Years="Five",IFERROR(IF($D$33&gt;=AA$338,AA514*AA708,0),0),0)</f>
        <v>0</v>
      </c>
      <c r="AB381" s="298">
        <f>IF(Years="Five",IFERROR(IF($D$33&gt;=AB$338,AB514*AB708,0),0),0)</f>
        <v>0</v>
      </c>
    </row>
    <row r="382" spans="1:28" ht="12" customHeight="1" x14ac:dyDescent="0.3">
      <c r="A382" s="5"/>
      <c r="B382" s="5"/>
      <c r="C382" s="638">
        <f>Infrastructure!D112</f>
        <v>1308</v>
      </c>
      <c r="D382" s="297">
        <f>IF(Years="Five",IFERROR(IF($D$33&gt;=D$338,D515*D709,0),0),0)</f>
        <v>0</v>
      </c>
      <c r="E382" s="229">
        <f>IF(Years="Five",IFERROR(IF($D$33&gt;=E$338,E515*E709,0),0),0)</f>
        <v>0</v>
      </c>
      <c r="F382" s="229">
        <f>IF(Years="Five",IFERROR(IF($D$33&gt;=F$338,F515*F709,0),0),0)</f>
        <v>0</v>
      </c>
      <c r="G382" s="229">
        <f>IF(Years="Five",IFERROR(IF($D$33&gt;=G$338,G515*G709,0),0),0)</f>
        <v>0</v>
      </c>
      <c r="H382" s="229">
        <f>IF(Years="Five",IFERROR(IF($D$33&gt;=H$338,H515*H709,0),0),0)</f>
        <v>0</v>
      </c>
      <c r="I382" s="229">
        <f>IF(Years="Five",IFERROR(IF($D$33&gt;=I$338,I515*I709,0),0),0)</f>
        <v>0</v>
      </c>
      <c r="J382" s="229">
        <f>IF(Years="Five",IFERROR(IF($D$33&gt;=J$338,J515*J709,0),0),0)</f>
        <v>0</v>
      </c>
      <c r="K382" s="229">
        <f>IF(Years="Five",IFERROR(IF($D$33&gt;=K$338,K515*K709,0),0),0)</f>
        <v>0</v>
      </c>
      <c r="L382" s="229">
        <f>IF(Years="Five",IFERROR(IF($D$33&gt;=L$338,L515*L709,0),0),0)</f>
        <v>0</v>
      </c>
      <c r="M382" s="229">
        <f>IF(Years="Five",IFERROR(IF($D$33&gt;=M$338,M515*M709,0),0),0)</f>
        <v>0</v>
      </c>
      <c r="N382" s="229">
        <f>IF(Years="Five",IFERROR(IF($D$33&gt;=N$338,N515*N709,0),0),0)</f>
        <v>0</v>
      </c>
      <c r="O382" s="229">
        <f>IF(Years="Five",IFERROR(IF($D$33&gt;=O$338,O515*O709,0),0),0)</f>
        <v>0</v>
      </c>
      <c r="P382" s="229">
        <f>IF(Years="Five",IFERROR(IF($D$33&gt;=P$338,P515*P709,0),0),0)</f>
        <v>0</v>
      </c>
      <c r="Q382" s="229">
        <f>IF(Years="Five",IFERROR(IF($D$33&gt;=Q$338,Q515*Q709,0),0),0)</f>
        <v>0</v>
      </c>
      <c r="R382" s="229">
        <f>IF(Years="Five",IFERROR(IF($D$33&gt;=R$338,R515*R709,0),0),0)</f>
        <v>0</v>
      </c>
      <c r="S382" s="229">
        <f>IF(Years="Five",IFERROR(IF($D$33&gt;=S$338,S515*S709,0),0),0)</f>
        <v>0</v>
      </c>
      <c r="T382" s="229">
        <f>IF(Years="Five",IFERROR(IF($D$33&gt;=T$338,T515*T709,0),0),0)</f>
        <v>0</v>
      </c>
      <c r="U382" s="229">
        <f>IF(Years="Five",IFERROR(IF($D$33&gt;=U$338,U515*U709,0),0),0)</f>
        <v>0</v>
      </c>
      <c r="V382" s="229">
        <f>IF(Years="Five",IFERROR(IF($D$33&gt;=V$338,V515*V709,0),0),0)</f>
        <v>0</v>
      </c>
      <c r="W382" s="229">
        <f>IF(Years="Five",IFERROR(IF($D$33&gt;=W$338,W515*W709,0),0),0)</f>
        <v>0</v>
      </c>
      <c r="X382" s="229">
        <f>IF(Years="Five",IFERROR(IF($D$33&gt;=X$338,X515*X709,0),0),0)</f>
        <v>0</v>
      </c>
      <c r="Y382" s="229">
        <f>IF(Years="Five",IFERROR(IF($D$33&gt;=Y$338,Y515*Y709,0),0),0)</f>
        <v>0</v>
      </c>
      <c r="Z382" s="229">
        <f>IF(Years="Five",IFERROR(IF($D$33&gt;=Z$338,Z515*Z709,0),0),0)</f>
        <v>0</v>
      </c>
      <c r="AA382" s="229">
        <f>IF(Years="Five",IFERROR(IF($D$33&gt;=AA$338,AA515*AA709,0),0),0)</f>
        <v>0</v>
      </c>
      <c r="AB382" s="298">
        <f>IF(Years="Five",IFERROR(IF($D$33&gt;=AB$338,AB515*AB709,0),0),0)</f>
        <v>0</v>
      </c>
    </row>
    <row r="383" spans="1:28" ht="12" customHeight="1" x14ac:dyDescent="0.3">
      <c r="A383" s="5"/>
      <c r="B383" s="5"/>
      <c r="C383" s="638">
        <f>Infrastructure!D113</f>
        <v>1339</v>
      </c>
      <c r="D383" s="297">
        <f>IF(Years="Five",IFERROR(IF($D$33&gt;=D$338,D516*D710,0),0),0)</f>
        <v>0</v>
      </c>
      <c r="E383" s="229">
        <f>IF(Years="Five",IFERROR(IF($D$33&gt;=E$338,E516*E710,0),0),0)</f>
        <v>0</v>
      </c>
      <c r="F383" s="229">
        <f>IF(Years="Five",IFERROR(IF($D$33&gt;=F$338,F516*F710,0),0),0)</f>
        <v>0</v>
      </c>
      <c r="G383" s="229">
        <f>IF(Years="Five",IFERROR(IF($D$33&gt;=G$338,G516*G710,0),0),0)</f>
        <v>0</v>
      </c>
      <c r="H383" s="229">
        <f>IF(Years="Five",IFERROR(IF($D$33&gt;=H$338,H516*H710,0),0),0)</f>
        <v>0</v>
      </c>
      <c r="I383" s="229">
        <f>IF(Years="Five",IFERROR(IF($D$33&gt;=I$338,I516*I710,0),0),0)</f>
        <v>0</v>
      </c>
      <c r="J383" s="229">
        <f>IF(Years="Five",IFERROR(IF($D$33&gt;=J$338,J516*J710,0),0),0)</f>
        <v>0</v>
      </c>
      <c r="K383" s="229">
        <f>IF(Years="Five",IFERROR(IF($D$33&gt;=K$338,K516*K710,0),0),0)</f>
        <v>0</v>
      </c>
      <c r="L383" s="229">
        <f>IF(Years="Five",IFERROR(IF($D$33&gt;=L$338,L516*L710,0),0),0)</f>
        <v>0</v>
      </c>
      <c r="M383" s="229">
        <f>IF(Years="Five",IFERROR(IF($D$33&gt;=M$338,M516*M710,0),0),0)</f>
        <v>0</v>
      </c>
      <c r="N383" s="229">
        <f>IF(Years="Five",IFERROR(IF($D$33&gt;=N$338,N516*N710,0),0),0)</f>
        <v>0</v>
      </c>
      <c r="O383" s="229">
        <f>IF(Years="Five",IFERROR(IF($D$33&gt;=O$338,O516*O710,0),0),0)</f>
        <v>0</v>
      </c>
      <c r="P383" s="229">
        <f>IF(Years="Five",IFERROR(IF($D$33&gt;=P$338,P516*P710,0),0),0)</f>
        <v>0</v>
      </c>
      <c r="Q383" s="229">
        <f>IF(Years="Five",IFERROR(IF($D$33&gt;=Q$338,Q516*Q710,0),0),0)</f>
        <v>0</v>
      </c>
      <c r="R383" s="229">
        <f>IF(Years="Five",IFERROR(IF($D$33&gt;=R$338,R516*R710,0),0),0)</f>
        <v>0</v>
      </c>
      <c r="S383" s="229">
        <f>IF(Years="Five",IFERROR(IF($D$33&gt;=S$338,S516*S710,0),0),0)</f>
        <v>0</v>
      </c>
      <c r="T383" s="229">
        <f>IF(Years="Five",IFERROR(IF($D$33&gt;=T$338,T516*T710,0),0),0)</f>
        <v>0</v>
      </c>
      <c r="U383" s="229">
        <f>IF(Years="Five",IFERROR(IF($D$33&gt;=U$338,U516*U710,0),0),0)</f>
        <v>0</v>
      </c>
      <c r="V383" s="229">
        <f>IF(Years="Five",IFERROR(IF($D$33&gt;=V$338,V516*V710,0),0),0)</f>
        <v>0</v>
      </c>
      <c r="W383" s="229">
        <f>IF(Years="Five",IFERROR(IF($D$33&gt;=W$338,W516*W710,0),0),0)</f>
        <v>0</v>
      </c>
      <c r="X383" s="229">
        <f>IF(Years="Five",IFERROR(IF($D$33&gt;=X$338,X516*X710,0),0),0)</f>
        <v>0</v>
      </c>
      <c r="Y383" s="229">
        <f>IF(Years="Five",IFERROR(IF($D$33&gt;=Y$338,Y516*Y710,0),0),0)</f>
        <v>0</v>
      </c>
      <c r="Z383" s="229">
        <f>IF(Years="Five",IFERROR(IF($D$33&gt;=Z$338,Z516*Z710,0),0),0)</f>
        <v>0</v>
      </c>
      <c r="AA383" s="229">
        <f>IF(Years="Five",IFERROR(IF($D$33&gt;=AA$338,AA516*AA710,0),0),0)</f>
        <v>0</v>
      </c>
      <c r="AB383" s="298">
        <f>IF(Years="Five",IFERROR(IF($D$33&gt;=AB$338,AB516*AB710,0),0),0)</f>
        <v>0</v>
      </c>
    </row>
    <row r="384" spans="1:28" ht="12" customHeight="1" x14ac:dyDescent="0.3">
      <c r="A384" s="5"/>
      <c r="B384" s="5"/>
      <c r="C384" s="638">
        <f>Infrastructure!D114</f>
        <v>1369</v>
      </c>
      <c r="D384" s="297">
        <f>IF(Years="Five",IFERROR(IF($D$33&gt;=D$338,D517*D711,0),0),0)</f>
        <v>0</v>
      </c>
      <c r="E384" s="229">
        <f>IF(Years="Five",IFERROR(IF($D$33&gt;=E$338,E517*E711,0),0),0)</f>
        <v>0</v>
      </c>
      <c r="F384" s="229">
        <f>IF(Years="Five",IFERROR(IF($D$33&gt;=F$338,F517*F711,0),0),0)</f>
        <v>0</v>
      </c>
      <c r="G384" s="229">
        <f>IF(Years="Five",IFERROR(IF($D$33&gt;=G$338,G517*G711,0),0),0)</f>
        <v>0</v>
      </c>
      <c r="H384" s="229">
        <f>IF(Years="Five",IFERROR(IF($D$33&gt;=H$338,H517*H711,0),0),0)</f>
        <v>0</v>
      </c>
      <c r="I384" s="229">
        <f>IF(Years="Five",IFERROR(IF($D$33&gt;=I$338,I517*I711,0),0),0)</f>
        <v>0</v>
      </c>
      <c r="J384" s="229">
        <f>IF(Years="Five",IFERROR(IF($D$33&gt;=J$338,J517*J711,0),0),0)</f>
        <v>0</v>
      </c>
      <c r="K384" s="229">
        <f>IF(Years="Five",IFERROR(IF($D$33&gt;=K$338,K517*K711,0),0),0)</f>
        <v>0</v>
      </c>
      <c r="L384" s="229">
        <f>IF(Years="Five",IFERROR(IF($D$33&gt;=L$338,L517*L711,0),0),0)</f>
        <v>0</v>
      </c>
      <c r="M384" s="229">
        <f>IF(Years="Five",IFERROR(IF($D$33&gt;=M$338,M517*M711,0),0),0)</f>
        <v>0</v>
      </c>
      <c r="N384" s="229">
        <f>IF(Years="Five",IFERROR(IF($D$33&gt;=N$338,N517*N711,0),0),0)</f>
        <v>0</v>
      </c>
      <c r="O384" s="229">
        <f>IF(Years="Five",IFERROR(IF($D$33&gt;=O$338,O517*O711,0),0),0)</f>
        <v>0</v>
      </c>
      <c r="P384" s="229">
        <f>IF(Years="Five",IFERROR(IF($D$33&gt;=P$338,P517*P711,0),0),0)</f>
        <v>0</v>
      </c>
      <c r="Q384" s="229">
        <f>IF(Years="Five",IFERROR(IF($D$33&gt;=Q$338,Q517*Q711,0),0),0)</f>
        <v>0</v>
      </c>
      <c r="R384" s="229">
        <f>IF(Years="Five",IFERROR(IF($D$33&gt;=R$338,R517*R711,0),0),0)</f>
        <v>0</v>
      </c>
      <c r="S384" s="229">
        <f>IF(Years="Five",IFERROR(IF($D$33&gt;=S$338,S517*S711,0),0),0)</f>
        <v>0</v>
      </c>
      <c r="T384" s="229">
        <f>IF(Years="Five",IFERROR(IF($D$33&gt;=T$338,T517*T711,0),0),0)</f>
        <v>0</v>
      </c>
      <c r="U384" s="229">
        <f>IF(Years="Five",IFERROR(IF($D$33&gt;=U$338,U517*U711,0),0),0)</f>
        <v>0</v>
      </c>
      <c r="V384" s="229">
        <f>IF(Years="Five",IFERROR(IF($D$33&gt;=V$338,V517*V711,0),0),0)</f>
        <v>0</v>
      </c>
      <c r="W384" s="229">
        <f>IF(Years="Five",IFERROR(IF($D$33&gt;=W$338,W517*W711,0),0),0)</f>
        <v>0</v>
      </c>
      <c r="X384" s="229">
        <f>IF(Years="Five",IFERROR(IF($D$33&gt;=X$338,X517*X711,0),0),0)</f>
        <v>0</v>
      </c>
      <c r="Y384" s="229">
        <f>IF(Years="Five",IFERROR(IF($D$33&gt;=Y$338,Y517*Y711,0),0),0)</f>
        <v>0</v>
      </c>
      <c r="Z384" s="229">
        <f>IF(Years="Five",IFERROR(IF($D$33&gt;=Z$338,Z517*Z711,0),0),0)</f>
        <v>0</v>
      </c>
      <c r="AA384" s="229">
        <f>IF(Years="Five",IFERROR(IF($D$33&gt;=AA$338,AA517*AA711,0),0),0)</f>
        <v>0</v>
      </c>
      <c r="AB384" s="298">
        <f>IF(Years="Five",IFERROR(IF($D$33&gt;=AB$338,AB517*AB711,0),0),0)</f>
        <v>0</v>
      </c>
    </row>
    <row r="385" spans="1:28" ht="12" customHeight="1" x14ac:dyDescent="0.3">
      <c r="A385" s="5"/>
      <c r="B385" s="5"/>
      <c r="C385" s="638">
        <f>Infrastructure!D115</f>
        <v>1400</v>
      </c>
      <c r="D385" s="297">
        <f>IF(Years="Five",IFERROR(IF($D$33&gt;=D$338,D518*D712,0),0),0)</f>
        <v>0</v>
      </c>
      <c r="E385" s="229">
        <f>IF(Years="Five",IFERROR(IF($D$33&gt;=E$338,E518*E712,0),0),0)</f>
        <v>0</v>
      </c>
      <c r="F385" s="229">
        <f>IF(Years="Five",IFERROR(IF($D$33&gt;=F$338,F518*F712,0),0),0)</f>
        <v>0</v>
      </c>
      <c r="G385" s="229">
        <f>IF(Years="Five",IFERROR(IF($D$33&gt;=G$338,G518*G712,0),0),0)</f>
        <v>0</v>
      </c>
      <c r="H385" s="229">
        <f>IF(Years="Five",IFERROR(IF($D$33&gt;=H$338,H518*H712,0),0),0)</f>
        <v>0</v>
      </c>
      <c r="I385" s="229">
        <f>IF(Years="Five",IFERROR(IF($D$33&gt;=I$338,I518*I712,0),0),0)</f>
        <v>0</v>
      </c>
      <c r="J385" s="229">
        <f>IF(Years="Five",IFERROR(IF($D$33&gt;=J$338,J518*J712,0),0),0)</f>
        <v>0</v>
      </c>
      <c r="K385" s="229">
        <f>IF(Years="Five",IFERROR(IF($D$33&gt;=K$338,K518*K712,0),0),0)</f>
        <v>0</v>
      </c>
      <c r="L385" s="229">
        <f>IF(Years="Five",IFERROR(IF($D$33&gt;=L$338,L518*L712,0),0),0)</f>
        <v>0</v>
      </c>
      <c r="M385" s="229">
        <f>IF(Years="Five",IFERROR(IF($D$33&gt;=M$338,M518*M712,0),0),0)</f>
        <v>0</v>
      </c>
      <c r="N385" s="229">
        <f>IF(Years="Five",IFERROR(IF($D$33&gt;=N$338,N518*N712,0),0),0)</f>
        <v>0</v>
      </c>
      <c r="O385" s="229">
        <f>IF(Years="Five",IFERROR(IF($D$33&gt;=O$338,O518*O712,0),0),0)</f>
        <v>0</v>
      </c>
      <c r="P385" s="229">
        <f>IF(Years="Five",IFERROR(IF($D$33&gt;=P$338,P518*P712,0),0),0)</f>
        <v>0</v>
      </c>
      <c r="Q385" s="229">
        <f>IF(Years="Five",IFERROR(IF($D$33&gt;=Q$338,Q518*Q712,0),0),0)</f>
        <v>0</v>
      </c>
      <c r="R385" s="229">
        <f>IF(Years="Five",IFERROR(IF($D$33&gt;=R$338,R518*R712,0),0),0)</f>
        <v>0</v>
      </c>
      <c r="S385" s="229">
        <f>IF(Years="Five",IFERROR(IF($D$33&gt;=S$338,S518*S712,0),0),0)</f>
        <v>0</v>
      </c>
      <c r="T385" s="229">
        <f>IF(Years="Five",IFERROR(IF($D$33&gt;=T$338,T518*T712,0),0),0)</f>
        <v>0</v>
      </c>
      <c r="U385" s="229">
        <f>IF(Years="Five",IFERROR(IF($D$33&gt;=U$338,U518*U712,0),0),0)</f>
        <v>0</v>
      </c>
      <c r="V385" s="229">
        <f>IF(Years="Five",IFERROR(IF($D$33&gt;=V$338,V518*V712,0),0),0)</f>
        <v>0</v>
      </c>
      <c r="W385" s="229">
        <f>IF(Years="Five",IFERROR(IF($D$33&gt;=W$338,W518*W712,0),0),0)</f>
        <v>0</v>
      </c>
      <c r="X385" s="229">
        <f>IF(Years="Five",IFERROR(IF($D$33&gt;=X$338,X518*X712,0),0),0)</f>
        <v>0</v>
      </c>
      <c r="Y385" s="229">
        <f>IF(Years="Five",IFERROR(IF($D$33&gt;=Y$338,Y518*Y712,0),0),0)</f>
        <v>0</v>
      </c>
      <c r="Z385" s="229">
        <f>IF(Years="Five",IFERROR(IF($D$33&gt;=Z$338,Z518*Z712,0),0),0)</f>
        <v>0</v>
      </c>
      <c r="AA385" s="229">
        <f>IF(Years="Five",IFERROR(IF($D$33&gt;=AA$338,AA518*AA712,0),0),0)</f>
        <v>0</v>
      </c>
      <c r="AB385" s="298">
        <f>IF(Years="Five",IFERROR(IF($D$33&gt;=AB$338,AB518*AB712,0),0),0)</f>
        <v>0</v>
      </c>
    </row>
    <row r="386" spans="1:28" ht="12" customHeight="1" x14ac:dyDescent="0.3">
      <c r="A386" s="5"/>
      <c r="B386" s="5"/>
      <c r="C386" s="638">
        <f>Infrastructure!D116</f>
        <v>1430</v>
      </c>
      <c r="D386" s="297">
        <f>IF(Years="Five",IFERROR(IF($D$33&gt;=D$338,D519*D713,0),0),0)</f>
        <v>0</v>
      </c>
      <c r="E386" s="229">
        <f>IF(Years="Five",IFERROR(IF($D$33&gt;=E$338,E519*E713,0),0),0)</f>
        <v>0</v>
      </c>
      <c r="F386" s="229">
        <f>IF(Years="Five",IFERROR(IF($D$33&gt;=F$338,F519*F713,0),0),0)</f>
        <v>0</v>
      </c>
      <c r="G386" s="229">
        <f>IF(Years="Five",IFERROR(IF($D$33&gt;=G$338,G519*G713,0),0),0)</f>
        <v>0</v>
      </c>
      <c r="H386" s="229">
        <f>IF(Years="Five",IFERROR(IF($D$33&gt;=H$338,H519*H713,0),0),0)</f>
        <v>0</v>
      </c>
      <c r="I386" s="229">
        <f>IF(Years="Five",IFERROR(IF($D$33&gt;=I$338,I519*I713,0),0),0)</f>
        <v>0</v>
      </c>
      <c r="J386" s="229">
        <f>IF(Years="Five",IFERROR(IF($D$33&gt;=J$338,J519*J713,0),0),0)</f>
        <v>0</v>
      </c>
      <c r="K386" s="229">
        <f>IF(Years="Five",IFERROR(IF($D$33&gt;=K$338,K519*K713,0),0),0)</f>
        <v>0</v>
      </c>
      <c r="L386" s="229">
        <f>IF(Years="Five",IFERROR(IF($D$33&gt;=L$338,L519*L713,0),0),0)</f>
        <v>0</v>
      </c>
      <c r="M386" s="229">
        <f>IF(Years="Five",IFERROR(IF($D$33&gt;=M$338,M519*M713,0),0),0)</f>
        <v>0</v>
      </c>
      <c r="N386" s="229">
        <f>IF(Years="Five",IFERROR(IF($D$33&gt;=N$338,N519*N713,0),0),0)</f>
        <v>0</v>
      </c>
      <c r="O386" s="229">
        <f>IF(Years="Five",IFERROR(IF($D$33&gt;=O$338,O519*O713,0),0),0)</f>
        <v>0</v>
      </c>
      <c r="P386" s="229">
        <f>IF(Years="Five",IFERROR(IF($D$33&gt;=P$338,P519*P713,0),0),0)</f>
        <v>0</v>
      </c>
      <c r="Q386" s="229">
        <f>IF(Years="Five",IFERROR(IF($D$33&gt;=Q$338,Q519*Q713,0),0),0)</f>
        <v>0</v>
      </c>
      <c r="R386" s="229">
        <f>IF(Years="Five",IFERROR(IF($D$33&gt;=R$338,R519*R713,0),0),0)</f>
        <v>0</v>
      </c>
      <c r="S386" s="229">
        <f>IF(Years="Five",IFERROR(IF($D$33&gt;=S$338,S519*S713,0),0),0)</f>
        <v>0</v>
      </c>
      <c r="T386" s="229">
        <f>IF(Years="Five",IFERROR(IF($D$33&gt;=T$338,T519*T713,0),0),0)</f>
        <v>0</v>
      </c>
      <c r="U386" s="229">
        <f>IF(Years="Five",IFERROR(IF($D$33&gt;=U$338,U519*U713,0),0),0)</f>
        <v>0</v>
      </c>
      <c r="V386" s="229">
        <f>IF(Years="Five",IFERROR(IF($D$33&gt;=V$338,V519*V713,0),0),0)</f>
        <v>0</v>
      </c>
      <c r="W386" s="229">
        <f>IF(Years="Five",IFERROR(IF($D$33&gt;=W$338,W519*W713,0),0),0)</f>
        <v>0</v>
      </c>
      <c r="X386" s="229">
        <f>IF(Years="Five",IFERROR(IF($D$33&gt;=X$338,X519*X713,0),0),0)</f>
        <v>0</v>
      </c>
      <c r="Y386" s="229">
        <f>IF(Years="Five",IFERROR(IF($D$33&gt;=Y$338,Y519*Y713,0),0),0)</f>
        <v>0</v>
      </c>
      <c r="Z386" s="229">
        <f>IF(Years="Five",IFERROR(IF($D$33&gt;=Z$338,Z519*Z713,0),0),0)</f>
        <v>0</v>
      </c>
      <c r="AA386" s="229">
        <f>IF(Years="Five",IFERROR(IF($D$33&gt;=AA$338,AA519*AA713,0),0),0)</f>
        <v>0</v>
      </c>
      <c r="AB386" s="298">
        <f>IF(Years="Five",IFERROR(IF($D$33&gt;=AB$338,AB519*AB713,0),0),0)</f>
        <v>0</v>
      </c>
    </row>
    <row r="387" spans="1:28" ht="12" customHeight="1" thickBot="1" x14ac:dyDescent="0.35">
      <c r="A387" s="5"/>
      <c r="B387" s="5"/>
      <c r="C387" s="639">
        <f>Infrastructure!D117</f>
        <v>1461</v>
      </c>
      <c r="D387" s="301">
        <f>IF(Years="Five",IFERROR(IF($D$33&gt;=D$338,D520*D714,0),0),0)</f>
      </c>
      <c r="E387" s="302">
        <f>IF(Years="Five",IFERROR(IF($D$33&gt;=E$338,E520*E714,0),0),0)</f>
        <v>0</v>
      </c>
      <c r="F387" s="302">
        <f>IF(Years="Five",IFERROR(IF($D$33&gt;=F$338,F520*F714,0),0),0)</f>
        <v>0</v>
      </c>
      <c r="G387" s="302">
        <f>IF(Years="Five",IFERROR(IF($D$33&gt;=G$338,G520*G714,0),0),0)</f>
      </c>
      <c r="H387" s="302">
        <f>IF(Years="Five",IFERROR(IF($D$33&gt;=H$338,H520*H714,0),0),0)</f>
        <v>0</v>
      </c>
      <c r="I387" s="302">
        <f>IF(Years="Five",IFERROR(IF($D$33&gt;=I$338,I520*I714,0),0),0)</f>
        <v>0</v>
      </c>
      <c r="J387" s="302">
        <f>IF(Years="Five",IFERROR(IF($D$33&gt;=J$338,J520*J714,0),0),0)</f>
        <v>0</v>
      </c>
      <c r="K387" s="302">
        <f>IF(Years="Five",IFERROR(IF($D$33&gt;=K$338,K520*K714,0),0),0)</f>
        <v>0</v>
      </c>
      <c r="L387" s="302">
        <f>IF(Years="Five",IFERROR(IF($D$33&gt;=L$338,L520*L714,0),0),0)</f>
      </c>
      <c r="M387" s="302">
        <f>IF(Years="Five",IFERROR(IF($D$33&gt;=M$338,M520*M714,0),0),0)</f>
        <v>0</v>
      </c>
      <c r="N387" s="302">
        <f>IF(Years="Five",IFERROR(IF($D$33&gt;=N$338,N520*N714,0),0),0)</f>
        <v>0</v>
      </c>
      <c r="O387" s="302">
        <f>IF(Years="Five",IFERROR(IF($D$33&gt;=O$338,O520*O714,0),0),0)</f>
        <v>0</v>
      </c>
      <c r="P387" s="302">
        <f>IF(Years="Five",IFERROR(IF($D$33&gt;=P$338,P520*P714,0),0),0)</f>
        <v>0</v>
      </c>
      <c r="Q387" s="302">
        <f>IF(Years="Five",IFERROR(IF($D$33&gt;=Q$338,Q520*Q714,0),0),0)</f>
        <v>0</v>
      </c>
      <c r="R387" s="302">
        <f>IF(Years="Five",IFERROR(IF($D$33&gt;=R$338,R520*R714,0),0),0)</f>
        <v>0</v>
      </c>
      <c r="S387" s="302">
        <f>IF(Years="Five",IFERROR(IF($D$33&gt;=S$338,S520*S714,0),0),0)</f>
        <v>0</v>
      </c>
      <c r="T387" s="302">
        <f>IF(Years="Five",IFERROR(IF($D$33&gt;=T$338,T520*T714,0),0),0)</f>
        <v>0</v>
      </c>
      <c r="U387" s="302">
        <f>IF(Years="Five",IFERROR(IF($D$33&gt;=U$338,U520*U714,0),0),0)</f>
        <v>0</v>
      </c>
      <c r="V387" s="302">
        <f>IF(Years="Five",IFERROR(IF($D$33&gt;=V$338,V520*V714,0),0),0)</f>
        <v>0</v>
      </c>
      <c r="W387" s="302">
        <f>IF(Years="Five",IFERROR(IF($D$33&gt;=W$338,W520*W714,0),0),0)</f>
        <v>0</v>
      </c>
      <c r="X387" s="302">
        <f>IF(Years="Five",IFERROR(IF($D$33&gt;=X$338,X520*X714,0),0),0)</f>
        <v>0</v>
      </c>
      <c r="Y387" s="302">
        <f>IF(Years="Five",IFERROR(IF($D$33&gt;=Y$338,Y520*Y714,0),0),0)</f>
        <v>0</v>
      </c>
      <c r="Z387" s="302">
        <f>IF(Years="Five",IFERROR(IF($D$33&gt;=Z$338,Z520*Z714,0),0),0)</f>
        <v>0</v>
      </c>
      <c r="AA387" s="302">
        <f>IF(Years="Five",IFERROR(IF($D$33&gt;=AA$338,AA520*AA714,0),0),0)</f>
        <v>0</v>
      </c>
      <c r="AB387" s="303">
        <f>IF(Years="Five",IFERROR(IF($D$33&gt;=AB$338,AB520*AB714,0),0),0)</f>
        <v>0</v>
      </c>
    </row>
    <row r="388" spans="1:28" ht="12" customHeight="1" x14ac:dyDescent="0.3">
      <c r="A388" s="5"/>
      <c r="B388" s="5"/>
      <c r="C388" s="638">
        <f>Infrastructure!D118</f>
        <v>1492</v>
      </c>
      <c r="D388" s="299">
        <f>IF(Years="Five",IFERROR(IF($D$33&gt;=D$338,D521*D715,0),0),0)</f>
      </c>
      <c r="E388" s="231">
        <f>IF(Years="Five",IFERROR(IF($D$33&gt;=E$338,E521*E715,0),0),0)</f>
        <v>0</v>
      </c>
      <c r="F388" s="231">
        <f>IF(Years="Five",IFERROR(IF($D$33&gt;=F$338,F521*F715,0),0),0)</f>
        <v>0</v>
      </c>
      <c r="G388" s="231">
        <f>IF(Years="Five",IFERROR(IF($D$33&gt;=G$338,G521*G715,0),0),0)</f>
      </c>
      <c r="H388" s="231">
        <f>IF(Years="Five",IFERROR(IF($D$33&gt;=H$338,H521*H715,0),0),0)</f>
        <v>0</v>
      </c>
      <c r="I388" s="231">
        <f>IF(Years="Five",IFERROR(IF($D$33&gt;=I$338,I521*I715,0),0),0)</f>
        <v>0</v>
      </c>
      <c r="J388" s="231">
        <f>IF(Years="Five",IFERROR(IF($D$33&gt;=J$338,J521*J715,0),0),0)</f>
        <v>0</v>
      </c>
      <c r="K388" s="231">
        <f>IF(Years="Five",IFERROR(IF($D$33&gt;=K$338,K521*K715,0),0),0)</f>
        <v>0</v>
      </c>
      <c r="L388" s="231">
        <f>IF(Years="Five",IFERROR(IF($D$33&gt;=L$338,L521*L715,0),0),0)</f>
      </c>
      <c r="M388" s="231">
        <f>IF(Years="Five",IFERROR(IF($D$33&gt;=M$338,M521*M715,0),0),0)</f>
        <v>0</v>
      </c>
      <c r="N388" s="231">
        <f>IF(Years="Five",IFERROR(IF($D$33&gt;=N$338,N521*N715,0),0),0)</f>
        <v>0</v>
      </c>
      <c r="O388" s="231">
        <f>IF(Years="Five",IFERROR(IF($D$33&gt;=O$338,O521*O715,0),0),0)</f>
        <v>0</v>
      </c>
      <c r="P388" s="231">
        <f>IF(Years="Five",IFERROR(IF($D$33&gt;=P$338,P521*P715,0),0),0)</f>
        <v>0</v>
      </c>
      <c r="Q388" s="231">
        <f>IF(Years="Five",IFERROR(IF($D$33&gt;=Q$338,Q521*Q715,0),0),0)</f>
        <v>0</v>
      </c>
      <c r="R388" s="231">
        <f>IF(Years="Five",IFERROR(IF($D$33&gt;=R$338,R521*R715,0),0),0)</f>
        <v>0</v>
      </c>
      <c r="S388" s="231">
        <f>IF(Years="Five",IFERROR(IF($D$33&gt;=S$338,S521*S715,0),0),0)</f>
        <v>0</v>
      </c>
      <c r="T388" s="231">
        <f>IF(Years="Five",IFERROR(IF($D$33&gt;=T$338,T521*T715,0),0),0)</f>
        <v>0</v>
      </c>
      <c r="U388" s="231">
        <f>IF(Years="Five",IFERROR(IF($D$33&gt;=U$338,U521*U715,0),0),0)</f>
        <v>0</v>
      </c>
      <c r="V388" s="231">
        <f>IF(Years="Five",IFERROR(IF($D$33&gt;=V$338,V521*V715,0),0),0)</f>
        <v>0</v>
      </c>
      <c r="W388" s="231">
        <f>IF(Years="Five",IFERROR(IF($D$33&gt;=W$338,W521*W715,0),0),0)</f>
        <v>0</v>
      </c>
      <c r="X388" s="231">
        <f>IF(Years="Five",IFERROR(IF($D$33&gt;=X$338,X521*X715,0),0),0)</f>
        <v>0</v>
      </c>
      <c r="Y388" s="231">
        <f>IF(Years="Five",IFERROR(IF($D$33&gt;=Y$338,Y521*Y715,0),0),0)</f>
        <v>0</v>
      </c>
      <c r="Z388" s="231">
        <f>IF(Years="Five",IFERROR(IF($D$33&gt;=Z$338,Z521*Z715,0),0),0)</f>
        <v>0</v>
      </c>
      <c r="AA388" s="231">
        <f>IF(Years="Five",IFERROR(IF($D$33&gt;=AA$338,AA521*AA715,0),0),0)</f>
        <v>0</v>
      </c>
      <c r="AB388" s="300">
        <f>IF(Years="Five",IFERROR(IF($D$33&gt;=AB$338,AB521*AB715,0),0),0)</f>
        <v>0</v>
      </c>
    </row>
    <row r="389" spans="1:28" ht="12" customHeight="1" x14ac:dyDescent="0.3">
      <c r="A389" s="5"/>
      <c r="B389" s="5"/>
      <c r="C389" s="638">
        <f>Infrastructure!D119</f>
        <v>1521</v>
      </c>
      <c r="D389" s="297">
        <f>IF(Years="Five",IFERROR(IF($D$33&gt;=D$338,D522*D716,0),0),0)</f>
      </c>
      <c r="E389" s="229">
        <f>IF(Years="Five",IFERROR(IF($D$33&gt;=E$338,E522*E716,0),0),0)</f>
        <v>0</v>
      </c>
      <c r="F389" s="229">
        <f>IF(Years="Five",IFERROR(IF($D$33&gt;=F$338,F522*F716,0),0),0)</f>
        <v>0</v>
      </c>
      <c r="G389" s="229">
        <f>IF(Years="Five",IFERROR(IF($D$33&gt;=G$338,G522*G716,0),0),0)</f>
      </c>
      <c r="H389" s="229">
        <f>IF(Years="Five",IFERROR(IF($D$33&gt;=H$338,H522*H716,0),0),0)</f>
        <v>0</v>
      </c>
      <c r="I389" s="229">
        <f>IF(Years="Five",IFERROR(IF($D$33&gt;=I$338,I522*I716,0),0),0)</f>
        <v>0</v>
      </c>
      <c r="J389" s="229">
        <f>IF(Years="Five",IFERROR(IF($D$33&gt;=J$338,J522*J716,0),0),0)</f>
        <v>0</v>
      </c>
      <c r="K389" s="229">
        <f>IF(Years="Five",IFERROR(IF($D$33&gt;=K$338,K522*K716,0),0),0)</f>
        <v>0</v>
      </c>
      <c r="L389" s="229">
        <f>IF(Years="Five",IFERROR(IF($D$33&gt;=L$338,L522*L716,0),0),0)</f>
      </c>
      <c r="M389" s="229">
        <f>IF(Years="Five",IFERROR(IF($D$33&gt;=M$338,M522*M716,0),0),0)</f>
        <v>0</v>
      </c>
      <c r="N389" s="229">
        <f>IF(Years="Five",IFERROR(IF($D$33&gt;=N$338,N522*N716,0),0),0)</f>
        <v>0</v>
      </c>
      <c r="O389" s="229">
        <f>IF(Years="Five",IFERROR(IF($D$33&gt;=O$338,O522*O716,0),0),0)</f>
        <v>0</v>
      </c>
      <c r="P389" s="229">
        <f>IF(Years="Five",IFERROR(IF($D$33&gt;=P$338,P522*P716,0),0),0)</f>
        <v>0</v>
      </c>
      <c r="Q389" s="229">
        <f>IF(Years="Five",IFERROR(IF($D$33&gt;=Q$338,Q522*Q716,0),0),0)</f>
        <v>0</v>
      </c>
      <c r="R389" s="229">
        <f>IF(Years="Five",IFERROR(IF($D$33&gt;=R$338,R522*R716,0),0),0)</f>
        <v>0</v>
      </c>
      <c r="S389" s="229">
        <f>IF(Years="Five",IFERROR(IF($D$33&gt;=S$338,S522*S716,0),0),0)</f>
        <v>0</v>
      </c>
      <c r="T389" s="229">
        <f>IF(Years="Five",IFERROR(IF($D$33&gt;=T$338,T522*T716,0),0),0)</f>
        <v>0</v>
      </c>
      <c r="U389" s="229">
        <f>IF(Years="Five",IFERROR(IF($D$33&gt;=U$338,U522*U716,0),0),0)</f>
        <v>0</v>
      </c>
      <c r="V389" s="229">
        <f>IF(Years="Five",IFERROR(IF($D$33&gt;=V$338,V522*V716,0),0),0)</f>
        <v>0</v>
      </c>
      <c r="W389" s="229">
        <f>IF(Years="Five",IFERROR(IF($D$33&gt;=W$338,W522*W716,0),0),0)</f>
        <v>0</v>
      </c>
      <c r="X389" s="229">
        <f>IF(Years="Five",IFERROR(IF($D$33&gt;=X$338,X522*X716,0),0),0)</f>
        <v>0</v>
      </c>
      <c r="Y389" s="229">
        <f>IF(Years="Five",IFERROR(IF($D$33&gt;=Y$338,Y522*Y716,0),0),0)</f>
        <v>0</v>
      </c>
      <c r="Z389" s="229">
        <f>IF(Years="Five",IFERROR(IF($D$33&gt;=Z$338,Z522*Z716,0),0),0)</f>
        <v>0</v>
      </c>
      <c r="AA389" s="229">
        <f>IF(Years="Five",IFERROR(IF($D$33&gt;=AA$338,AA522*AA716,0),0),0)</f>
        <v>0</v>
      </c>
      <c r="AB389" s="298">
        <f>IF(Years="Five",IFERROR(IF($D$33&gt;=AB$338,AB522*AB716,0),0),0)</f>
        <v>0</v>
      </c>
    </row>
    <row r="390" spans="1:28" ht="12" customHeight="1" x14ac:dyDescent="0.3">
      <c r="A390" s="5"/>
      <c r="B390" s="5"/>
      <c r="C390" s="638">
        <f>Infrastructure!D120</f>
        <v>1552</v>
      </c>
      <c r="D390" s="297">
        <f>IF(Years="Five",IFERROR(IF($D$33&gt;=D$338,D523*D717,0),0),0)</f>
        <v>0</v>
      </c>
      <c r="E390" s="229">
        <f>IF(Years="Five",IFERROR(IF($D$33&gt;=E$338,E523*E717,0),0),0)</f>
        <v>0</v>
      </c>
      <c r="F390" s="229">
        <f>IF(Years="Five",IFERROR(IF($D$33&gt;=F$338,F523*F717,0),0),0)</f>
        <v>0</v>
      </c>
      <c r="G390" s="229">
        <f>IF(Years="Five",IFERROR(IF($D$33&gt;=G$338,G523*G717,0),0),0)</f>
        <v>0</v>
      </c>
      <c r="H390" s="229">
        <f>IF(Years="Five",IFERROR(IF($D$33&gt;=H$338,H523*H717,0),0),0)</f>
        <v>0</v>
      </c>
      <c r="I390" s="229">
        <f>IF(Years="Five",IFERROR(IF($D$33&gt;=I$338,I523*I717,0),0),0)</f>
        <v>0</v>
      </c>
      <c r="J390" s="229">
        <f>IF(Years="Five",IFERROR(IF($D$33&gt;=J$338,J523*J717,0),0),0)</f>
        <v>0</v>
      </c>
      <c r="K390" s="229">
        <f>IF(Years="Five",IFERROR(IF($D$33&gt;=K$338,K523*K717,0),0),0)</f>
        <v>0</v>
      </c>
      <c r="L390" s="229">
        <f>IF(Years="Five",IFERROR(IF($D$33&gt;=L$338,L523*L717,0),0),0)</f>
        <v>0</v>
      </c>
      <c r="M390" s="229">
        <f>IF(Years="Five",IFERROR(IF($D$33&gt;=M$338,M523*M717,0),0),0)</f>
        <v>0</v>
      </c>
      <c r="N390" s="229">
        <f>IF(Years="Five",IFERROR(IF($D$33&gt;=N$338,N523*N717,0),0),0)</f>
        <v>0</v>
      </c>
      <c r="O390" s="229">
        <f>IF(Years="Five",IFERROR(IF($D$33&gt;=O$338,O523*O717,0),0),0)</f>
        <v>0</v>
      </c>
      <c r="P390" s="229">
        <f>IF(Years="Five",IFERROR(IF($D$33&gt;=P$338,P523*P717,0),0),0)</f>
        <v>0</v>
      </c>
      <c r="Q390" s="229">
        <f>IF(Years="Five",IFERROR(IF($D$33&gt;=Q$338,Q523*Q717,0),0),0)</f>
        <v>0</v>
      </c>
      <c r="R390" s="229">
        <f>IF(Years="Five",IFERROR(IF($D$33&gt;=R$338,R523*R717,0),0),0)</f>
        <v>0</v>
      </c>
      <c r="S390" s="229">
        <f>IF(Years="Five",IFERROR(IF($D$33&gt;=S$338,S523*S717,0),0),0)</f>
        <v>0</v>
      </c>
      <c r="T390" s="229">
        <f>IF(Years="Five",IFERROR(IF($D$33&gt;=T$338,T523*T717,0),0),0)</f>
        <v>0</v>
      </c>
      <c r="U390" s="229">
        <f>IF(Years="Five",IFERROR(IF($D$33&gt;=U$338,U523*U717,0),0),0)</f>
        <v>0</v>
      </c>
      <c r="V390" s="229">
        <f>IF(Years="Five",IFERROR(IF($D$33&gt;=V$338,V523*V717,0),0),0)</f>
        <v>0</v>
      </c>
      <c r="W390" s="229">
        <f>IF(Years="Five",IFERROR(IF($D$33&gt;=W$338,W523*W717,0),0),0)</f>
        <v>0</v>
      </c>
      <c r="X390" s="229">
        <f>IF(Years="Five",IFERROR(IF($D$33&gt;=X$338,X523*X717,0),0),0)</f>
        <v>0</v>
      </c>
      <c r="Y390" s="229">
        <f>IF(Years="Five",IFERROR(IF($D$33&gt;=Y$338,Y523*Y717,0),0),0)</f>
        <v>0</v>
      </c>
      <c r="Z390" s="229">
        <f>IF(Years="Five",IFERROR(IF($D$33&gt;=Z$338,Z523*Z717,0),0),0)</f>
        <v>0</v>
      </c>
      <c r="AA390" s="229">
        <f>IF(Years="Five",IFERROR(IF($D$33&gt;=AA$338,AA523*AA717,0),0),0)</f>
        <v>0</v>
      </c>
      <c r="AB390" s="298">
        <f>IF(Years="Five",IFERROR(IF($D$33&gt;=AB$338,AB523*AB717,0),0),0)</f>
        <v>0</v>
      </c>
    </row>
    <row r="391" spans="1:28" ht="12" customHeight="1" x14ac:dyDescent="0.3">
      <c r="A391" s="5"/>
      <c r="B391" s="5"/>
      <c r="C391" s="638">
        <f>Infrastructure!D121</f>
        <v>1582</v>
      </c>
      <c r="D391" s="297">
        <f>IF(Years="Five",IFERROR(IF($D$33&gt;=D$338,D524*D718,0),0),0)</f>
        <v>0</v>
      </c>
      <c r="E391" s="229">
        <f>IF(Years="Five",IFERROR(IF($D$33&gt;=E$338,E524*E718,0),0),0)</f>
        <v>0</v>
      </c>
      <c r="F391" s="229">
        <f>IF(Years="Five",IFERROR(IF($D$33&gt;=F$338,F524*F718,0),0),0)</f>
        <v>0</v>
      </c>
      <c r="G391" s="229">
        <f>IF(Years="Five",IFERROR(IF($D$33&gt;=G$338,G524*G718,0),0),0)</f>
        <v>0</v>
      </c>
      <c r="H391" s="229">
        <f>IF(Years="Five",IFERROR(IF($D$33&gt;=H$338,H524*H718,0),0),0)</f>
        <v>0</v>
      </c>
      <c r="I391" s="229">
        <f>IF(Years="Five",IFERROR(IF($D$33&gt;=I$338,I524*I718,0),0),0)</f>
        <v>0</v>
      </c>
      <c r="J391" s="229">
        <f>IF(Years="Five",IFERROR(IF($D$33&gt;=J$338,J524*J718,0),0),0)</f>
        <v>0</v>
      </c>
      <c r="K391" s="229">
        <f>IF(Years="Five",IFERROR(IF($D$33&gt;=K$338,K524*K718,0),0),0)</f>
        <v>0</v>
      </c>
      <c r="L391" s="229">
        <f>IF(Years="Five",IFERROR(IF($D$33&gt;=L$338,L524*L718,0),0),0)</f>
        <v>0</v>
      </c>
      <c r="M391" s="229">
        <f>IF(Years="Five",IFERROR(IF($D$33&gt;=M$338,M524*M718,0),0),0)</f>
        <v>0</v>
      </c>
      <c r="N391" s="229">
        <f>IF(Years="Five",IFERROR(IF($D$33&gt;=N$338,N524*N718,0),0),0)</f>
        <v>0</v>
      </c>
      <c r="O391" s="229">
        <f>IF(Years="Five",IFERROR(IF($D$33&gt;=O$338,O524*O718,0),0),0)</f>
        <v>0</v>
      </c>
      <c r="P391" s="229">
        <f>IF(Years="Five",IFERROR(IF($D$33&gt;=P$338,P524*P718,0),0),0)</f>
        <v>0</v>
      </c>
      <c r="Q391" s="229">
        <f>IF(Years="Five",IFERROR(IF($D$33&gt;=Q$338,Q524*Q718,0),0),0)</f>
        <v>0</v>
      </c>
      <c r="R391" s="229">
        <f>IF(Years="Five",IFERROR(IF($D$33&gt;=R$338,R524*R718,0),0),0)</f>
        <v>0</v>
      </c>
      <c r="S391" s="229">
        <f>IF(Years="Five",IFERROR(IF($D$33&gt;=S$338,S524*S718,0),0),0)</f>
        <v>0</v>
      </c>
      <c r="T391" s="229">
        <f>IF(Years="Five",IFERROR(IF($D$33&gt;=T$338,T524*T718,0),0),0)</f>
        <v>0</v>
      </c>
      <c r="U391" s="229">
        <f>IF(Years="Five",IFERROR(IF($D$33&gt;=U$338,U524*U718,0),0),0)</f>
        <v>0</v>
      </c>
      <c r="V391" s="229">
        <f>IF(Years="Five",IFERROR(IF($D$33&gt;=V$338,V524*V718,0),0),0)</f>
        <v>0</v>
      </c>
      <c r="W391" s="229">
        <f>IF(Years="Five",IFERROR(IF($D$33&gt;=W$338,W524*W718,0),0),0)</f>
        <v>0</v>
      </c>
      <c r="X391" s="229">
        <f>IF(Years="Five",IFERROR(IF($D$33&gt;=X$338,X524*X718,0),0),0)</f>
        <v>0</v>
      </c>
      <c r="Y391" s="229">
        <f>IF(Years="Five",IFERROR(IF($D$33&gt;=Y$338,Y524*Y718,0),0),0)</f>
        <v>0</v>
      </c>
      <c r="Z391" s="229">
        <f>IF(Years="Five",IFERROR(IF($D$33&gt;=Z$338,Z524*Z718,0),0),0)</f>
        <v>0</v>
      </c>
      <c r="AA391" s="229">
        <f>IF(Years="Five",IFERROR(IF($D$33&gt;=AA$338,AA524*AA718,0),0),0)</f>
        <v>0</v>
      </c>
      <c r="AB391" s="298">
        <f>IF(Years="Five",IFERROR(IF($D$33&gt;=AB$338,AB524*AB718,0),0),0)</f>
        <v>0</v>
      </c>
    </row>
    <row r="392" spans="1:28" ht="12" customHeight="1" x14ac:dyDescent="0.3">
      <c r="A392" s="5"/>
      <c r="B392" s="5"/>
      <c r="C392" s="638">
        <f>Infrastructure!D122</f>
        <v>1613</v>
      </c>
      <c r="D392" s="297">
        <f>IF(Years="Five",IFERROR(IF($D$33&gt;=D$338,D525*D719,0),0),0)</f>
        <v>0</v>
      </c>
      <c r="E392" s="229">
        <f>IF(Years="Five",IFERROR(IF($D$33&gt;=E$338,E525*E719,0),0),0)</f>
        <v>0</v>
      </c>
      <c r="F392" s="229">
        <f>IF(Years="Five",IFERROR(IF($D$33&gt;=F$338,F525*F719,0),0),0)</f>
        <v>0</v>
      </c>
      <c r="G392" s="229">
        <f>IF(Years="Five",IFERROR(IF($D$33&gt;=G$338,G525*G719,0),0),0)</f>
        <v>0</v>
      </c>
      <c r="H392" s="229">
        <f>IF(Years="Five",IFERROR(IF($D$33&gt;=H$338,H525*H719,0),0),0)</f>
        <v>0</v>
      </c>
      <c r="I392" s="229">
        <f>IF(Years="Five",IFERROR(IF($D$33&gt;=I$338,I525*I719,0),0),0)</f>
        <v>0</v>
      </c>
      <c r="J392" s="229">
        <f>IF(Years="Five",IFERROR(IF($D$33&gt;=J$338,J525*J719,0),0),0)</f>
        <v>0</v>
      </c>
      <c r="K392" s="229">
        <f>IF(Years="Five",IFERROR(IF($D$33&gt;=K$338,K525*K719,0),0),0)</f>
        <v>0</v>
      </c>
      <c r="L392" s="229">
        <f>IF(Years="Five",IFERROR(IF($D$33&gt;=L$338,L525*L719,0),0),0)</f>
        <v>0</v>
      </c>
      <c r="M392" s="229">
        <f>IF(Years="Five",IFERROR(IF($D$33&gt;=M$338,M525*M719,0),0),0)</f>
        <v>0</v>
      </c>
      <c r="N392" s="229">
        <f>IF(Years="Five",IFERROR(IF($D$33&gt;=N$338,N525*N719,0),0),0)</f>
        <v>0</v>
      </c>
      <c r="O392" s="229">
        <f>IF(Years="Five",IFERROR(IF($D$33&gt;=O$338,O525*O719,0),0),0)</f>
        <v>0</v>
      </c>
      <c r="P392" s="229">
        <f>IF(Years="Five",IFERROR(IF($D$33&gt;=P$338,P525*P719,0),0),0)</f>
        <v>0</v>
      </c>
      <c r="Q392" s="229">
        <f>IF(Years="Five",IFERROR(IF($D$33&gt;=Q$338,Q525*Q719,0),0),0)</f>
        <v>0</v>
      </c>
      <c r="R392" s="229">
        <f>IF(Years="Five",IFERROR(IF($D$33&gt;=R$338,R525*R719,0),0),0)</f>
        <v>0</v>
      </c>
      <c r="S392" s="229">
        <f>IF(Years="Five",IFERROR(IF($D$33&gt;=S$338,S525*S719,0),0),0)</f>
        <v>0</v>
      </c>
      <c r="T392" s="229">
        <f>IF(Years="Five",IFERROR(IF($D$33&gt;=T$338,T525*T719,0),0),0)</f>
        <v>0</v>
      </c>
      <c r="U392" s="229">
        <f>IF(Years="Five",IFERROR(IF($D$33&gt;=U$338,U525*U719,0),0),0)</f>
        <v>0</v>
      </c>
      <c r="V392" s="229">
        <f>IF(Years="Five",IFERROR(IF($D$33&gt;=V$338,V525*V719,0),0),0)</f>
        <v>0</v>
      </c>
      <c r="W392" s="229">
        <f>IF(Years="Five",IFERROR(IF($D$33&gt;=W$338,W525*W719,0),0),0)</f>
        <v>0</v>
      </c>
      <c r="X392" s="229">
        <f>IF(Years="Five",IFERROR(IF($D$33&gt;=X$338,X525*X719,0),0),0)</f>
        <v>0</v>
      </c>
      <c r="Y392" s="229">
        <f>IF(Years="Five",IFERROR(IF($D$33&gt;=Y$338,Y525*Y719,0),0),0)</f>
        <v>0</v>
      </c>
      <c r="Z392" s="229">
        <f>IF(Years="Five",IFERROR(IF($D$33&gt;=Z$338,Z525*Z719,0),0),0)</f>
        <v>0</v>
      </c>
      <c r="AA392" s="229">
        <f>IF(Years="Five",IFERROR(IF($D$33&gt;=AA$338,AA525*AA719,0),0),0)</f>
        <v>0</v>
      </c>
      <c r="AB392" s="298">
        <f>IF(Years="Five",IFERROR(IF($D$33&gt;=AB$338,AB525*AB719,0),0),0)</f>
        <v>0</v>
      </c>
    </row>
    <row r="393" spans="1:28" ht="12" customHeight="1" x14ac:dyDescent="0.3">
      <c r="A393" s="5"/>
      <c r="B393" s="5"/>
      <c r="C393" s="638">
        <f>Infrastructure!D123</f>
        <v>1643</v>
      </c>
      <c r="D393" s="297">
        <f>IF(Years="Five",IFERROR(IF($D$33&gt;=D$338,D526*D720,0),0),0)</f>
        <v>0</v>
      </c>
      <c r="E393" s="229">
        <f>IF(Years="Five",IFERROR(IF($D$33&gt;=E$338,E526*E720,0),0),0)</f>
        <v>0</v>
      </c>
      <c r="F393" s="229">
        <f>IF(Years="Five",IFERROR(IF($D$33&gt;=F$338,F526*F720,0),0),0)</f>
        <v>0</v>
      </c>
      <c r="G393" s="229">
        <f>IF(Years="Five",IFERROR(IF($D$33&gt;=G$338,G526*G720,0),0),0)</f>
        <v>0</v>
      </c>
      <c r="H393" s="229">
        <f>IF(Years="Five",IFERROR(IF($D$33&gt;=H$338,H526*H720,0),0),0)</f>
        <v>0</v>
      </c>
      <c r="I393" s="229">
        <f>IF(Years="Five",IFERROR(IF($D$33&gt;=I$338,I526*I720,0),0),0)</f>
        <v>0</v>
      </c>
      <c r="J393" s="229">
        <f>IF(Years="Five",IFERROR(IF($D$33&gt;=J$338,J526*J720,0),0),0)</f>
        <v>0</v>
      </c>
      <c r="K393" s="229">
        <f>IF(Years="Five",IFERROR(IF($D$33&gt;=K$338,K526*K720,0),0),0)</f>
        <v>0</v>
      </c>
      <c r="L393" s="229">
        <f>IF(Years="Five",IFERROR(IF($D$33&gt;=L$338,L526*L720,0),0),0)</f>
        <v>0</v>
      </c>
      <c r="M393" s="229">
        <f>IF(Years="Five",IFERROR(IF($D$33&gt;=M$338,M526*M720,0),0),0)</f>
        <v>0</v>
      </c>
      <c r="N393" s="229">
        <f>IF(Years="Five",IFERROR(IF($D$33&gt;=N$338,N526*N720,0),0),0)</f>
        <v>0</v>
      </c>
      <c r="O393" s="229">
        <f>IF(Years="Five",IFERROR(IF($D$33&gt;=O$338,O526*O720,0),0),0)</f>
        <v>0</v>
      </c>
      <c r="P393" s="229">
        <f>IF(Years="Five",IFERROR(IF($D$33&gt;=P$338,P526*P720,0),0),0)</f>
        <v>0</v>
      </c>
      <c r="Q393" s="229">
        <f>IF(Years="Five",IFERROR(IF($D$33&gt;=Q$338,Q526*Q720,0),0),0)</f>
        <v>0</v>
      </c>
      <c r="R393" s="229">
        <f>IF(Years="Five",IFERROR(IF($D$33&gt;=R$338,R526*R720,0),0),0)</f>
        <v>0</v>
      </c>
      <c r="S393" s="229">
        <f>IF(Years="Five",IFERROR(IF($D$33&gt;=S$338,S526*S720,0),0),0)</f>
        <v>0</v>
      </c>
      <c r="T393" s="229">
        <f>IF(Years="Five",IFERROR(IF($D$33&gt;=T$338,T526*T720,0),0),0)</f>
        <v>0</v>
      </c>
      <c r="U393" s="229">
        <f>IF(Years="Five",IFERROR(IF($D$33&gt;=U$338,U526*U720,0),0),0)</f>
        <v>0</v>
      </c>
      <c r="V393" s="229">
        <f>IF(Years="Five",IFERROR(IF($D$33&gt;=V$338,V526*V720,0),0),0)</f>
        <v>0</v>
      </c>
      <c r="W393" s="229">
        <f>IF(Years="Five",IFERROR(IF($D$33&gt;=W$338,W526*W720,0),0),0)</f>
        <v>0</v>
      </c>
      <c r="X393" s="229">
        <f>IF(Years="Five",IFERROR(IF($D$33&gt;=X$338,X526*X720,0),0),0)</f>
        <v>0</v>
      </c>
      <c r="Y393" s="229">
        <f>IF(Years="Five",IFERROR(IF($D$33&gt;=Y$338,Y526*Y720,0),0),0)</f>
        <v>0</v>
      </c>
      <c r="Z393" s="229">
        <f>IF(Years="Five",IFERROR(IF($D$33&gt;=Z$338,Z526*Z720,0),0),0)</f>
        <v>0</v>
      </c>
      <c r="AA393" s="229">
        <f>IF(Years="Five",IFERROR(IF($D$33&gt;=AA$338,AA526*AA720,0),0),0)</f>
        <v>0</v>
      </c>
      <c r="AB393" s="298">
        <f>IF(Years="Five",IFERROR(IF($D$33&gt;=AB$338,AB526*AB720,0),0),0)</f>
        <v>0</v>
      </c>
    </row>
    <row r="394" spans="1:28" ht="12" customHeight="1" x14ac:dyDescent="0.3">
      <c r="A394" s="5"/>
      <c r="B394" s="5"/>
      <c r="C394" s="638">
        <f>Infrastructure!D124</f>
        <v>1674</v>
      </c>
      <c r="D394" s="297">
        <f>IF(Years="Five",IFERROR(IF($D$33&gt;=D$338,D527*D721,0),0),0)</f>
        <v>0</v>
      </c>
      <c r="E394" s="229">
        <f>IF(Years="Five",IFERROR(IF($D$33&gt;=E$338,E527*E721,0),0),0)</f>
        <v>0</v>
      </c>
      <c r="F394" s="229">
        <f>IF(Years="Five",IFERROR(IF($D$33&gt;=F$338,F527*F721,0),0),0)</f>
        <v>0</v>
      </c>
      <c r="G394" s="229">
        <f>IF(Years="Five",IFERROR(IF($D$33&gt;=G$338,G527*G721,0),0),0)</f>
        <v>0</v>
      </c>
      <c r="H394" s="229">
        <f>IF(Years="Five",IFERROR(IF($D$33&gt;=H$338,H527*H721,0),0),0)</f>
        <v>0</v>
      </c>
      <c r="I394" s="229">
        <f>IF(Years="Five",IFERROR(IF($D$33&gt;=I$338,I527*I721,0),0),0)</f>
        <v>0</v>
      </c>
      <c r="J394" s="229">
        <f>IF(Years="Five",IFERROR(IF($D$33&gt;=J$338,J527*J721,0),0),0)</f>
        <v>0</v>
      </c>
      <c r="K394" s="229">
        <f>IF(Years="Five",IFERROR(IF($D$33&gt;=K$338,K527*K721,0),0),0)</f>
        <v>0</v>
      </c>
      <c r="L394" s="229">
        <f>IF(Years="Five",IFERROR(IF($D$33&gt;=L$338,L527*L721,0),0),0)</f>
        <v>0</v>
      </c>
      <c r="M394" s="229">
        <f>IF(Years="Five",IFERROR(IF($D$33&gt;=M$338,M527*M721,0),0),0)</f>
        <v>0</v>
      </c>
      <c r="N394" s="229">
        <f>IF(Years="Five",IFERROR(IF($D$33&gt;=N$338,N527*N721,0),0),0)</f>
        <v>0</v>
      </c>
      <c r="O394" s="229">
        <f>IF(Years="Five",IFERROR(IF($D$33&gt;=O$338,O527*O721,0),0),0)</f>
        <v>0</v>
      </c>
      <c r="P394" s="229">
        <f>IF(Years="Five",IFERROR(IF($D$33&gt;=P$338,P527*P721,0),0),0)</f>
        <v>0</v>
      </c>
      <c r="Q394" s="229">
        <f>IF(Years="Five",IFERROR(IF($D$33&gt;=Q$338,Q527*Q721,0),0),0)</f>
        <v>0</v>
      </c>
      <c r="R394" s="229">
        <f>IF(Years="Five",IFERROR(IF($D$33&gt;=R$338,R527*R721,0),0),0)</f>
        <v>0</v>
      </c>
      <c r="S394" s="229">
        <f>IF(Years="Five",IFERROR(IF($D$33&gt;=S$338,S527*S721,0),0),0)</f>
        <v>0</v>
      </c>
      <c r="T394" s="229">
        <f>IF(Years="Five",IFERROR(IF($D$33&gt;=T$338,T527*T721,0),0),0)</f>
        <v>0</v>
      </c>
      <c r="U394" s="229">
        <f>IF(Years="Five",IFERROR(IF($D$33&gt;=U$338,U527*U721,0),0),0)</f>
        <v>0</v>
      </c>
      <c r="V394" s="229">
        <f>IF(Years="Five",IFERROR(IF($D$33&gt;=V$338,V527*V721,0),0),0)</f>
        <v>0</v>
      </c>
      <c r="W394" s="229">
        <f>IF(Years="Five",IFERROR(IF($D$33&gt;=W$338,W527*W721,0),0),0)</f>
        <v>0</v>
      </c>
      <c r="X394" s="229">
        <f>IF(Years="Five",IFERROR(IF($D$33&gt;=X$338,X527*X721,0),0),0)</f>
        <v>0</v>
      </c>
      <c r="Y394" s="229">
        <f>IF(Years="Five",IFERROR(IF($D$33&gt;=Y$338,Y527*Y721,0),0),0)</f>
        <v>0</v>
      </c>
      <c r="Z394" s="229">
        <f>IF(Years="Five",IFERROR(IF($D$33&gt;=Z$338,Z527*Z721,0),0),0)</f>
        <v>0</v>
      </c>
      <c r="AA394" s="229">
        <f>IF(Years="Five",IFERROR(IF($D$33&gt;=AA$338,AA527*AA721,0),0),0)</f>
        <v>0</v>
      </c>
      <c r="AB394" s="298">
        <f>IF(Years="Five",IFERROR(IF($D$33&gt;=AB$338,AB527*AB721,0),0),0)</f>
        <v>0</v>
      </c>
    </row>
    <row r="395" spans="1:28" ht="12" customHeight="1" x14ac:dyDescent="0.3">
      <c r="A395" s="5"/>
      <c r="B395" s="5"/>
      <c r="C395" s="638">
        <f>Infrastructure!D125</f>
        <v>1705</v>
      </c>
      <c r="D395" s="297">
        <f>IF(Years="Five",IFERROR(IF($D$33&gt;=D$338,D528*D722,0),0),0)</f>
        <v>0</v>
      </c>
      <c r="E395" s="229">
        <f>IF(Years="Five",IFERROR(IF($D$33&gt;=E$338,E528*E722,0),0),0)</f>
        <v>0</v>
      </c>
      <c r="F395" s="229">
        <f>IF(Years="Five",IFERROR(IF($D$33&gt;=F$338,F528*F722,0),0),0)</f>
        <v>0</v>
      </c>
      <c r="G395" s="229">
        <f>IF(Years="Five",IFERROR(IF($D$33&gt;=G$338,G528*G722,0),0),0)</f>
        <v>0</v>
      </c>
      <c r="H395" s="229">
        <f>IF(Years="Five",IFERROR(IF($D$33&gt;=H$338,H528*H722,0),0),0)</f>
        <v>0</v>
      </c>
      <c r="I395" s="229">
        <f>IF(Years="Five",IFERROR(IF($D$33&gt;=I$338,I528*I722,0),0),0)</f>
        <v>0</v>
      </c>
      <c r="J395" s="229">
        <f>IF(Years="Five",IFERROR(IF($D$33&gt;=J$338,J528*J722,0),0),0)</f>
        <v>0</v>
      </c>
      <c r="K395" s="229">
        <f>IF(Years="Five",IFERROR(IF($D$33&gt;=K$338,K528*K722,0),0),0)</f>
        <v>0</v>
      </c>
      <c r="L395" s="229">
        <f>IF(Years="Five",IFERROR(IF($D$33&gt;=L$338,L528*L722,0),0),0)</f>
        <v>0</v>
      </c>
      <c r="M395" s="229">
        <f>IF(Years="Five",IFERROR(IF($D$33&gt;=M$338,M528*M722,0),0),0)</f>
        <v>0</v>
      </c>
      <c r="N395" s="229">
        <f>IF(Years="Five",IFERROR(IF($D$33&gt;=N$338,N528*N722,0),0),0)</f>
        <v>0</v>
      </c>
      <c r="O395" s="229">
        <f>IF(Years="Five",IFERROR(IF($D$33&gt;=O$338,O528*O722,0),0),0)</f>
        <v>0</v>
      </c>
      <c r="P395" s="229">
        <f>IF(Years="Five",IFERROR(IF($D$33&gt;=P$338,P528*P722,0),0),0)</f>
        <v>0</v>
      </c>
      <c r="Q395" s="229">
        <f>IF(Years="Five",IFERROR(IF($D$33&gt;=Q$338,Q528*Q722,0),0),0)</f>
        <v>0</v>
      </c>
      <c r="R395" s="229">
        <f>IF(Years="Five",IFERROR(IF($D$33&gt;=R$338,R528*R722,0),0),0)</f>
        <v>0</v>
      </c>
      <c r="S395" s="229">
        <f>IF(Years="Five",IFERROR(IF($D$33&gt;=S$338,S528*S722,0),0),0)</f>
        <v>0</v>
      </c>
      <c r="T395" s="229">
        <f>IF(Years="Five",IFERROR(IF($D$33&gt;=T$338,T528*T722,0),0),0)</f>
        <v>0</v>
      </c>
      <c r="U395" s="229">
        <f>IF(Years="Five",IFERROR(IF($D$33&gt;=U$338,U528*U722,0),0),0)</f>
        <v>0</v>
      </c>
      <c r="V395" s="229">
        <f>IF(Years="Five",IFERROR(IF($D$33&gt;=V$338,V528*V722,0),0),0)</f>
        <v>0</v>
      </c>
      <c r="W395" s="229">
        <f>IF(Years="Five",IFERROR(IF($D$33&gt;=W$338,W528*W722,0),0),0)</f>
        <v>0</v>
      </c>
      <c r="X395" s="229">
        <f>IF(Years="Five",IFERROR(IF($D$33&gt;=X$338,X528*X722,0),0),0)</f>
        <v>0</v>
      </c>
      <c r="Y395" s="229">
        <f>IF(Years="Five",IFERROR(IF($D$33&gt;=Y$338,Y528*Y722,0),0),0)</f>
        <v>0</v>
      </c>
      <c r="Z395" s="229">
        <f>IF(Years="Five",IFERROR(IF($D$33&gt;=Z$338,Z528*Z722,0),0),0)</f>
        <v>0</v>
      </c>
      <c r="AA395" s="229">
        <f>IF(Years="Five",IFERROR(IF($D$33&gt;=AA$338,AA528*AA722,0),0),0)</f>
        <v>0</v>
      </c>
      <c r="AB395" s="298">
        <f>IF(Years="Five",IFERROR(IF($D$33&gt;=AB$338,AB528*AB722,0),0),0)</f>
        <v>0</v>
      </c>
    </row>
    <row r="396" spans="1:28" ht="12" customHeight="1" x14ac:dyDescent="0.3">
      <c r="A396" s="5"/>
      <c r="B396" s="5"/>
      <c r="C396" s="638">
        <f>Infrastructure!D126</f>
        <v>1735</v>
      </c>
      <c r="D396" s="297">
        <f>IF(Years="Five",IFERROR(IF($D$33&gt;=D$338,D529*D723,0),0),0)</f>
        <v>0</v>
      </c>
      <c r="E396" s="229">
        <f>IF(Years="Five",IFERROR(IF($D$33&gt;=E$338,E529*E723,0),0),0)</f>
        <v>0</v>
      </c>
      <c r="F396" s="229">
        <f>IF(Years="Five",IFERROR(IF($D$33&gt;=F$338,F529*F723,0),0),0)</f>
        <v>0</v>
      </c>
      <c r="G396" s="229">
        <f>IF(Years="Five",IFERROR(IF($D$33&gt;=G$338,G529*G723,0),0),0)</f>
        <v>0</v>
      </c>
      <c r="H396" s="229">
        <f>IF(Years="Five",IFERROR(IF($D$33&gt;=H$338,H529*H723,0),0),0)</f>
        <v>0</v>
      </c>
      <c r="I396" s="229">
        <f>IF(Years="Five",IFERROR(IF($D$33&gt;=I$338,I529*I723,0),0),0)</f>
        <v>0</v>
      </c>
      <c r="J396" s="229">
        <f>IF(Years="Five",IFERROR(IF($D$33&gt;=J$338,J529*J723,0),0),0)</f>
        <v>0</v>
      </c>
      <c r="K396" s="229">
        <f>IF(Years="Five",IFERROR(IF($D$33&gt;=K$338,K529*K723,0),0),0)</f>
        <v>0</v>
      </c>
      <c r="L396" s="229">
        <f>IF(Years="Five",IFERROR(IF($D$33&gt;=L$338,L529*L723,0),0),0)</f>
        <v>0</v>
      </c>
      <c r="M396" s="229">
        <f>IF(Years="Five",IFERROR(IF($D$33&gt;=M$338,M529*M723,0),0),0)</f>
        <v>0</v>
      </c>
      <c r="N396" s="229">
        <f>IF(Years="Five",IFERROR(IF($D$33&gt;=N$338,N529*N723,0),0),0)</f>
        <v>0</v>
      </c>
      <c r="O396" s="229">
        <f>IF(Years="Five",IFERROR(IF($D$33&gt;=O$338,O529*O723,0),0),0)</f>
        <v>0</v>
      </c>
      <c r="P396" s="229">
        <f>IF(Years="Five",IFERROR(IF($D$33&gt;=P$338,P529*P723,0),0),0)</f>
        <v>0</v>
      </c>
      <c r="Q396" s="229">
        <f>IF(Years="Five",IFERROR(IF($D$33&gt;=Q$338,Q529*Q723,0),0),0)</f>
        <v>0</v>
      </c>
      <c r="R396" s="229">
        <f>IF(Years="Five",IFERROR(IF($D$33&gt;=R$338,R529*R723,0),0),0)</f>
        <v>0</v>
      </c>
      <c r="S396" s="229">
        <f>IF(Years="Five",IFERROR(IF($D$33&gt;=S$338,S529*S723,0),0),0)</f>
        <v>0</v>
      </c>
      <c r="T396" s="229">
        <f>IF(Years="Five",IFERROR(IF($D$33&gt;=T$338,T529*T723,0),0),0)</f>
        <v>0</v>
      </c>
      <c r="U396" s="229">
        <f>IF(Years="Five",IFERROR(IF($D$33&gt;=U$338,U529*U723,0),0),0)</f>
        <v>0</v>
      </c>
      <c r="V396" s="229">
        <f>IF(Years="Five",IFERROR(IF($D$33&gt;=V$338,V529*V723,0),0),0)</f>
        <v>0</v>
      </c>
      <c r="W396" s="229">
        <f>IF(Years="Five",IFERROR(IF($D$33&gt;=W$338,W529*W723,0),0),0)</f>
        <v>0</v>
      </c>
      <c r="X396" s="229">
        <f>IF(Years="Five",IFERROR(IF($D$33&gt;=X$338,X529*X723,0),0),0)</f>
        <v>0</v>
      </c>
      <c r="Y396" s="229">
        <f>IF(Years="Five",IFERROR(IF($D$33&gt;=Y$338,Y529*Y723,0),0),0)</f>
        <v>0</v>
      </c>
      <c r="Z396" s="229">
        <f>IF(Years="Five",IFERROR(IF($D$33&gt;=Z$338,Z529*Z723,0),0),0)</f>
        <v>0</v>
      </c>
      <c r="AA396" s="229">
        <f>IF(Years="Five",IFERROR(IF($D$33&gt;=AA$338,AA529*AA723,0),0),0)</f>
        <v>0</v>
      </c>
      <c r="AB396" s="298">
        <f>IF(Years="Five",IFERROR(IF($D$33&gt;=AB$338,AB529*AB723,0),0),0)</f>
        <v>0</v>
      </c>
    </row>
    <row r="397" spans="1:28" ht="12" customHeight="1" x14ac:dyDescent="0.3">
      <c r="A397" s="5"/>
      <c r="B397" s="5"/>
      <c r="C397" s="638">
        <f>Infrastructure!D127</f>
        <v>1766</v>
      </c>
      <c r="D397" s="297">
        <f>IF(Years="Five",IFERROR(IF($D$33&gt;=D$338,D530*D724,0),0),0)</f>
        <v>0</v>
      </c>
      <c r="E397" s="229">
        <f>IF(Years="Five",IFERROR(IF($D$33&gt;=E$338,E530*E724,0),0),0)</f>
        <v>0</v>
      </c>
      <c r="F397" s="229">
        <f>IF(Years="Five",IFERROR(IF($D$33&gt;=F$338,F530*F724,0),0),0)</f>
        <v>0</v>
      </c>
      <c r="G397" s="229">
        <f>IF(Years="Five",IFERROR(IF($D$33&gt;=G$338,G530*G724,0),0),0)</f>
        <v>0</v>
      </c>
      <c r="H397" s="229">
        <f>IF(Years="Five",IFERROR(IF($D$33&gt;=H$338,H530*H724,0),0),0)</f>
        <v>0</v>
      </c>
      <c r="I397" s="229">
        <f>IF(Years="Five",IFERROR(IF($D$33&gt;=I$338,I530*I724,0),0),0)</f>
        <v>0</v>
      </c>
      <c r="J397" s="229">
        <f>IF(Years="Five",IFERROR(IF($D$33&gt;=J$338,J530*J724,0),0),0)</f>
        <v>0</v>
      </c>
      <c r="K397" s="229">
        <f>IF(Years="Five",IFERROR(IF($D$33&gt;=K$338,K530*K724,0),0),0)</f>
        <v>0</v>
      </c>
      <c r="L397" s="229">
        <f>IF(Years="Five",IFERROR(IF($D$33&gt;=L$338,L530*L724,0),0),0)</f>
        <v>0</v>
      </c>
      <c r="M397" s="229">
        <f>IF(Years="Five",IFERROR(IF($D$33&gt;=M$338,M530*M724,0),0),0)</f>
        <v>0</v>
      </c>
      <c r="N397" s="229">
        <f>IF(Years="Five",IFERROR(IF($D$33&gt;=N$338,N530*N724,0),0),0)</f>
        <v>0</v>
      </c>
      <c r="O397" s="229">
        <f>IF(Years="Five",IFERROR(IF($D$33&gt;=O$338,O530*O724,0),0),0)</f>
        <v>0</v>
      </c>
      <c r="P397" s="229">
        <f>IF(Years="Five",IFERROR(IF($D$33&gt;=P$338,P530*P724,0),0),0)</f>
        <v>0</v>
      </c>
      <c r="Q397" s="229">
        <f>IF(Years="Five",IFERROR(IF($D$33&gt;=Q$338,Q530*Q724,0),0),0)</f>
        <v>0</v>
      </c>
      <c r="R397" s="229">
        <f>IF(Years="Five",IFERROR(IF($D$33&gt;=R$338,R530*R724,0),0),0)</f>
        <v>0</v>
      </c>
      <c r="S397" s="229">
        <f>IF(Years="Five",IFERROR(IF($D$33&gt;=S$338,S530*S724,0),0),0)</f>
        <v>0</v>
      </c>
      <c r="T397" s="229">
        <f>IF(Years="Five",IFERROR(IF($D$33&gt;=T$338,T530*T724,0),0),0)</f>
        <v>0</v>
      </c>
      <c r="U397" s="229">
        <f>IF(Years="Five",IFERROR(IF($D$33&gt;=U$338,U530*U724,0),0),0)</f>
        <v>0</v>
      </c>
      <c r="V397" s="229">
        <f>IF(Years="Five",IFERROR(IF($D$33&gt;=V$338,V530*V724,0),0),0)</f>
        <v>0</v>
      </c>
      <c r="W397" s="229">
        <f>IF(Years="Five",IFERROR(IF($D$33&gt;=W$338,W530*W724,0),0),0)</f>
        <v>0</v>
      </c>
      <c r="X397" s="229">
        <f>IF(Years="Five",IFERROR(IF($D$33&gt;=X$338,X530*X724,0),0),0)</f>
        <v>0</v>
      </c>
      <c r="Y397" s="229">
        <f>IF(Years="Five",IFERROR(IF($D$33&gt;=Y$338,Y530*Y724,0),0),0)</f>
        <v>0</v>
      </c>
      <c r="Z397" s="229">
        <f>IF(Years="Five",IFERROR(IF($D$33&gt;=Z$338,Z530*Z724,0),0),0)</f>
        <v>0</v>
      </c>
      <c r="AA397" s="229">
        <f>IF(Years="Five",IFERROR(IF($D$33&gt;=AA$338,AA530*AA724,0),0),0)</f>
        <v>0</v>
      </c>
      <c r="AB397" s="298">
        <f>IF(Years="Five",IFERROR(IF($D$33&gt;=AB$338,AB530*AB724,0),0),0)</f>
        <v>0</v>
      </c>
    </row>
    <row r="398" spans="1:28" ht="12" customHeight="1" x14ac:dyDescent="0.3">
      <c r="A398" s="5"/>
      <c r="B398" s="5"/>
      <c r="C398" s="638">
        <f>Infrastructure!D128</f>
        <v>1796</v>
      </c>
      <c r="D398" s="297">
        <f>IF(Years="Five",IFERROR(IF($D$33&gt;=D$338,D531*D725,0),0),0)</f>
        <v>0</v>
      </c>
      <c r="E398" s="229">
        <f>IF(Years="Five",IFERROR(IF($D$33&gt;=E$338,E531*E725,0),0),0)</f>
        <v>0</v>
      </c>
      <c r="F398" s="229">
        <f>IF(Years="Five",IFERROR(IF($D$33&gt;=F$338,F531*F725,0),0),0)</f>
        <v>0</v>
      </c>
      <c r="G398" s="229">
        <f>IF(Years="Five",IFERROR(IF($D$33&gt;=G$338,G531*G725,0),0),0)</f>
        <v>0</v>
      </c>
      <c r="H398" s="229">
        <f>IF(Years="Five",IFERROR(IF($D$33&gt;=H$338,H531*H725,0),0),0)</f>
        <v>0</v>
      </c>
      <c r="I398" s="229">
        <f>IF(Years="Five",IFERROR(IF($D$33&gt;=I$338,I531*I725,0),0),0)</f>
        <v>0</v>
      </c>
      <c r="J398" s="229">
        <f>IF(Years="Five",IFERROR(IF($D$33&gt;=J$338,J531*J725,0),0),0)</f>
        <v>0</v>
      </c>
      <c r="K398" s="229">
        <f>IF(Years="Five",IFERROR(IF($D$33&gt;=K$338,K531*K725,0),0),0)</f>
        <v>0</v>
      </c>
      <c r="L398" s="229">
        <f>IF(Years="Five",IFERROR(IF($D$33&gt;=L$338,L531*L725,0),0),0)</f>
        <v>0</v>
      </c>
      <c r="M398" s="229">
        <f>IF(Years="Five",IFERROR(IF($D$33&gt;=M$338,M531*M725,0),0),0)</f>
        <v>0</v>
      </c>
      <c r="N398" s="229">
        <f>IF(Years="Five",IFERROR(IF($D$33&gt;=N$338,N531*N725,0),0),0)</f>
        <v>0</v>
      </c>
      <c r="O398" s="229">
        <f>IF(Years="Five",IFERROR(IF($D$33&gt;=O$338,O531*O725,0),0),0)</f>
        <v>0</v>
      </c>
      <c r="P398" s="229">
        <f>IF(Years="Five",IFERROR(IF($D$33&gt;=P$338,P531*P725,0),0),0)</f>
        <v>0</v>
      </c>
      <c r="Q398" s="229">
        <f>IF(Years="Five",IFERROR(IF($D$33&gt;=Q$338,Q531*Q725,0),0),0)</f>
        <v>0</v>
      </c>
      <c r="R398" s="229">
        <f>IF(Years="Five",IFERROR(IF($D$33&gt;=R$338,R531*R725,0),0),0)</f>
        <v>0</v>
      </c>
      <c r="S398" s="229">
        <f>IF(Years="Five",IFERROR(IF($D$33&gt;=S$338,S531*S725,0),0),0)</f>
        <v>0</v>
      </c>
      <c r="T398" s="229">
        <f>IF(Years="Five",IFERROR(IF($D$33&gt;=T$338,T531*T725,0),0),0)</f>
        <v>0</v>
      </c>
      <c r="U398" s="229">
        <f>IF(Years="Five",IFERROR(IF($D$33&gt;=U$338,U531*U725,0),0),0)</f>
        <v>0</v>
      </c>
      <c r="V398" s="229">
        <f>IF(Years="Five",IFERROR(IF($D$33&gt;=V$338,V531*V725,0),0),0)</f>
        <v>0</v>
      </c>
      <c r="W398" s="229">
        <f>IF(Years="Five",IFERROR(IF($D$33&gt;=W$338,W531*W725,0),0),0)</f>
        <v>0</v>
      </c>
      <c r="X398" s="229">
        <f>IF(Years="Five",IFERROR(IF($D$33&gt;=X$338,X531*X725,0),0),0)</f>
        <v>0</v>
      </c>
      <c r="Y398" s="229">
        <f>IF(Years="Five",IFERROR(IF($D$33&gt;=Y$338,Y531*Y725,0),0),0)</f>
        <v>0</v>
      </c>
      <c r="Z398" s="229">
        <f>IF(Years="Five",IFERROR(IF($D$33&gt;=Z$338,Z531*Z725,0),0),0)</f>
        <v>0</v>
      </c>
      <c r="AA398" s="229">
        <f>IF(Years="Five",IFERROR(IF($D$33&gt;=AA$338,AA531*AA725,0),0),0)</f>
        <v>0</v>
      </c>
      <c r="AB398" s="298">
        <f>IF(Years="Five",IFERROR(IF($D$33&gt;=AB$338,AB531*AB725,0),0),0)</f>
        <v>0</v>
      </c>
    </row>
    <row r="399" spans="1:28" ht="12" customHeight="1" thickBot="1" x14ac:dyDescent="0.35">
      <c r="A399" s="5"/>
      <c r="B399" s="5"/>
      <c r="C399" s="638">
        <f>Infrastructure!D129</f>
        <v>1827</v>
      </c>
      <c r="D399" s="301">
        <f>IF(Years="Five",IFERROR(IF($D$33&gt;=D$338,D532*D726,0),0),0)</f>
      </c>
      <c r="E399" s="302">
        <f>IF(Years="Five",IFERROR(IF($D$33&gt;=E$338,E532*E726,0),0),0)</f>
        <v>0</v>
      </c>
      <c r="F399" s="302">
        <f>IF(Years="Five",IFERROR(IF($D$33&gt;=F$338,F532*F726,0),0),0)</f>
        <v>0</v>
      </c>
      <c r="G399" s="302">
        <f>IF(Years="Five",IFERROR(IF($D$33&gt;=G$338,G532*G726,0),0),0)</f>
      </c>
      <c r="H399" s="302">
        <f>IF(Years="Five",IFERROR(IF($D$33&gt;=H$338,H532*H726,0),0),0)</f>
        <v>0</v>
      </c>
      <c r="I399" s="302">
        <f>IF(Years="Five",IFERROR(IF($D$33&gt;=I$338,I532*I726,0),0),0)</f>
        <v>0</v>
      </c>
      <c r="J399" s="302">
        <f>IF(Years="Five",IFERROR(IF($D$33&gt;=J$338,J532*J726,0),0),0)</f>
        <v>0</v>
      </c>
      <c r="K399" s="302">
        <f>IF(Years="Five",IFERROR(IF($D$33&gt;=K$338,K532*K726,0),0),0)</f>
        <v>0</v>
      </c>
      <c r="L399" s="302">
        <f>IF(Years="Five",IFERROR(IF($D$33&gt;=L$338,L532*L726,0),0),0)</f>
      </c>
      <c r="M399" s="302">
        <f>IF(Years="Five",IFERROR(IF($D$33&gt;=M$338,M532*M726,0),0),0)</f>
        <v>0</v>
      </c>
      <c r="N399" s="302">
        <f>IF(Years="Five",IFERROR(IF($D$33&gt;=N$338,N532*N726,0),0),0)</f>
        <v>0</v>
      </c>
      <c r="O399" s="302">
        <f>IF(Years="Five",IFERROR(IF($D$33&gt;=O$338,O532*O726,0),0),0)</f>
        <v>0</v>
      </c>
      <c r="P399" s="302">
        <f>IF(Years="Five",IFERROR(IF($D$33&gt;=P$338,P532*P726,0),0),0)</f>
        <v>0</v>
      </c>
      <c r="Q399" s="302">
        <f>IF(Years="Five",IFERROR(IF($D$33&gt;=Q$338,Q532*Q726,0),0),0)</f>
        <v>0</v>
      </c>
      <c r="R399" s="302">
        <f>IF(Years="Five",IFERROR(IF($D$33&gt;=R$338,R532*R726,0),0),0)</f>
        <v>0</v>
      </c>
      <c r="S399" s="302">
        <f>IF(Years="Five",IFERROR(IF($D$33&gt;=S$338,S532*S726,0),0),0)</f>
        <v>0</v>
      </c>
      <c r="T399" s="302">
        <f>IF(Years="Five",IFERROR(IF($D$33&gt;=T$338,T532*T726,0),0),0)</f>
        <v>0</v>
      </c>
      <c r="U399" s="302">
        <f>IF(Years="Five",IFERROR(IF($D$33&gt;=U$338,U532*U726,0),0),0)</f>
        <v>0</v>
      </c>
      <c r="V399" s="302">
        <f>IF(Years="Five",IFERROR(IF($D$33&gt;=V$338,V532*V726,0),0),0)</f>
        <v>0</v>
      </c>
      <c r="W399" s="302">
        <f>IF(Years="Five",IFERROR(IF($D$33&gt;=W$338,W532*W726,0),0),0)</f>
        <v>0</v>
      </c>
      <c r="X399" s="302">
        <f>IF(Years="Five",IFERROR(IF($D$33&gt;=X$338,X532*X726,0),0),0)</f>
        <v>0</v>
      </c>
      <c r="Y399" s="302">
        <f>IF(Years="Five",IFERROR(IF($D$33&gt;=Y$338,Y532*Y726,0),0),0)</f>
        <v>0</v>
      </c>
      <c r="Z399" s="302">
        <f>IF(Years="Five",IFERROR(IF($D$33&gt;=Z$338,Z532*Z726,0),0),0)</f>
        <v>0</v>
      </c>
      <c r="AA399" s="302">
        <f>IF(Years="Five",IFERROR(IF($D$33&gt;=AA$338,AA532*AA726,0),0),0)</f>
        <v>0</v>
      </c>
      <c r="AB399" s="303">
        <f>IF(Years="Five",IFERROR(IF($D$33&gt;=AB$338,AB532*AB726,0),0),0)</f>
        <v>0</v>
      </c>
    </row>
    <row r="400" spans="1:28" ht="12" customHeight="1" x14ac:dyDescent="0.3">
      <c r="A400" s="8"/>
      <c r="B400" s="5"/>
      <c r="C400" s="1347" t="s">
        <v>131</v>
      </c>
      <c r="D400" s="481">
        <f>SUM(D340:D399)</f>
        <v>0</v>
      </c>
      <c r="E400" s="482">
        <f>SUM(E340:E399)</f>
        <v>0</v>
      </c>
      <c r="F400" s="482">
        <f>SUM(F340:F399)</f>
        <v>0</v>
      </c>
      <c r="G400" s="482">
        <f>SUM(G340:G399)</f>
        <v>0</v>
      </c>
      <c r="H400" s="482">
        <f>SUM(H340:H399)</f>
        <v>0</v>
      </c>
      <c r="I400" s="482">
        <f>SUM(I340:I399)</f>
        <v>0</v>
      </c>
      <c r="J400" s="482">
        <f>SUM(J340:J399)</f>
        <v>0</v>
      </c>
      <c r="K400" s="482">
        <f>SUM(K340:K399)</f>
        <v>0</v>
      </c>
      <c r="L400" s="482">
        <f>SUM(L340:L399)</f>
        <v>0</v>
      </c>
      <c r="M400" s="482">
        <f>SUM(M340:M399)</f>
        <v>0</v>
      </c>
      <c r="N400" s="482">
        <f>SUM(N340:N399)</f>
        <v>0</v>
      </c>
      <c r="O400" s="482">
        <f>SUM(O340:O399)</f>
        <v>0</v>
      </c>
      <c r="P400" s="482">
        <f>SUM(P340:P399)</f>
        <v>0</v>
      </c>
      <c r="Q400" s="482">
        <f>SUM(Q340:Q399)</f>
        <v>0</v>
      </c>
      <c r="R400" s="482">
        <f>SUM(R340:R399)</f>
        <v>0</v>
      </c>
      <c r="S400" s="482">
        <f>SUM(S340:S399)</f>
        <v>0</v>
      </c>
      <c r="T400" s="482">
        <f>SUM(T340:T399)</f>
        <v>0</v>
      </c>
      <c r="U400" s="482">
        <f>SUM(U340:U399)</f>
        <v>0</v>
      </c>
      <c r="V400" s="482">
        <f>SUM(V340:V399)</f>
        <v>0</v>
      </c>
      <c r="W400" s="482">
        <f>SUM(W340:W399)</f>
        <v>0</v>
      </c>
      <c r="X400" s="482">
        <f>SUM(X340:X399)</f>
        <v>0</v>
      </c>
      <c r="Y400" s="482">
        <f>SUM(Y340:Y399)</f>
        <v>0</v>
      </c>
      <c r="Z400" s="482">
        <f>SUM(Z340:Z399)</f>
        <v>0</v>
      </c>
      <c r="AA400" s="482">
        <f>SUM(AA340:AA399)</f>
        <v>0</v>
      </c>
      <c r="AB400" s="482">
        <f>SUM(AB340:AB399)</f>
        <v>0</v>
      </c>
    </row>
    <row r="401" spans="1:28" ht="12" customHeight="1" x14ac:dyDescent="0.3">
      <c r="A401" s="134">
        <v>36</v>
      </c>
      <c r="B401" s="1830" t="s">
        <v>12</v>
      </c>
      <c r="C401" s="1830"/>
      <c r="D401" s="640"/>
      <c r="E401" s="640"/>
      <c r="F401" s="640"/>
      <c r="G401" s="640"/>
      <c r="H401" s="640"/>
      <c r="I401" s="640"/>
      <c r="J401" s="637"/>
      <c r="K401" s="637"/>
      <c r="L401" s="108"/>
      <c r="M401" s="108"/>
      <c r="N401" s="637"/>
      <c r="O401" s="637"/>
      <c r="P401" s="108"/>
      <c r="Q401" s="108"/>
      <c r="R401" s="637"/>
      <c r="S401" s="637"/>
      <c r="T401" s="108"/>
      <c r="U401" s="108"/>
      <c r="V401" s="637"/>
      <c r="W401" s="637"/>
      <c r="X401" s="108"/>
      <c r="Y401" s="108"/>
      <c r="Z401" s="637"/>
      <c r="AA401" s="637"/>
      <c r="AB401" s="221"/>
    </row>
    <row r="402" spans="1:28" ht="12" customHeight="1" thickBot="1" x14ac:dyDescent="0.35">
      <c r="A402" s="133">
        <f>$K$133</f>
        <v>0</v>
      </c>
      <c r="B402" s="1830"/>
      <c r="C402" s="1830"/>
      <c r="D402" s="818" t="str">
        <f>D339</f>
        <v>Item 1</v>
      </c>
      <c r="E402" s="818" t="str">
        <f>E339</f>
        <v>Item 2</v>
      </c>
      <c r="F402" s="818" t="str">
        <f>F339</f>
        <v>Item 3</v>
      </c>
      <c r="G402" s="818" t="str">
        <f>G339</f>
        <v>Item 4</v>
      </c>
      <c r="H402" s="818" t="str">
        <f>H339</f>
        <v>Item 5</v>
      </c>
      <c r="I402" s="818" t="str">
        <f>I339</f>
        <v>Item 6</v>
      </c>
      <c r="J402" s="818" t="str">
        <f>J339</f>
        <v>Item 7</v>
      </c>
      <c r="K402" s="818" t="str">
        <f>K339</f>
        <v>Item 8</v>
      </c>
      <c r="L402" s="818" t="str">
        <f>L339</f>
        <v>Item 9</v>
      </c>
      <c r="M402" s="818" t="str">
        <f>M339</f>
        <v>Item 10</v>
      </c>
      <c r="N402" s="818" t="str">
        <f>N339</f>
        <v>Item 11</v>
      </c>
      <c r="O402" s="818" t="str">
        <f>O339</f>
        <v>Item 12</v>
      </c>
      <c r="P402" s="818" t="str">
        <f>P339</f>
        <v>Item 13</v>
      </c>
      <c r="Q402" s="818" t="str">
        <f>Q339</f>
        <v>Item 14</v>
      </c>
      <c r="R402" s="818" t="str">
        <f>R339</f>
        <v>Item 15</v>
      </c>
      <c r="S402" s="818" t="str">
        <f>S339</f>
        <v>Item 16</v>
      </c>
      <c r="T402" s="818" t="str">
        <f>T339</f>
        <v>Item 17</v>
      </c>
      <c r="U402" s="818" t="str">
        <f>U339</f>
        <v>Item 18</v>
      </c>
      <c r="V402" s="818" t="str">
        <f>V339</f>
        <v>Item 19</v>
      </c>
      <c r="W402" s="818" t="str">
        <f>W339</f>
        <v>Item 20</v>
      </c>
      <c r="X402" s="818" t="str">
        <f>X339</f>
        <v>Item 21</v>
      </c>
      <c r="Y402" s="818" t="str">
        <f>Y339</f>
        <v>Item 22</v>
      </c>
      <c r="Z402" s="818" t="str">
        <f>Z339</f>
        <v>Item 23</v>
      </c>
      <c r="AA402" s="818" t="str">
        <f>AA339</f>
        <v>Item 24</v>
      </c>
      <c r="AB402" s="818" t="str">
        <f>AB339</f>
        <v>Item 25</v>
      </c>
    </row>
    <row r="403" spans="1:28" ht="12" hidden="1" customHeight="1" x14ac:dyDescent="0.45">
      <c r="A403" s="133"/>
      <c r="B403" s="133"/>
      <c r="C403" s="1799"/>
      <c r="D403" s="266"/>
      <c r="E403" s="266"/>
      <c r="F403" s="266"/>
      <c r="G403" s="266"/>
      <c r="H403" s="266"/>
      <c r="I403" s="266"/>
      <c r="J403" s="478"/>
      <c r="K403" s="478"/>
      <c r="L403" s="478"/>
      <c r="M403" s="478"/>
      <c r="N403" s="478"/>
      <c r="O403" s="478"/>
      <c r="P403" s="478"/>
      <c r="Q403" s="478"/>
      <c r="R403" s="478"/>
      <c r="S403" s="478"/>
      <c r="T403" s="478"/>
      <c r="U403" s="478"/>
      <c r="V403" s="478"/>
      <c r="W403" s="478"/>
      <c r="X403" s="478"/>
      <c r="Y403" s="478"/>
      <c r="Z403" s="478"/>
      <c r="AA403" s="478"/>
      <c r="AB403" s="266"/>
    </row>
    <row r="404" spans="1:28" ht="12" hidden="1" customHeight="1" x14ac:dyDescent="0.45">
      <c r="A404" s="133"/>
      <c r="B404" s="133"/>
      <c r="C404" s="1799"/>
      <c r="D404" s="266"/>
      <c r="E404" s="266"/>
      <c r="F404" s="266"/>
      <c r="G404" s="266"/>
      <c r="H404" s="266"/>
      <c r="I404" s="266"/>
      <c r="J404" s="266"/>
      <c r="K404" s="266"/>
      <c r="L404" s="266"/>
      <c r="M404" s="266"/>
      <c r="N404" s="266"/>
      <c r="O404" s="266"/>
      <c r="P404" s="266"/>
      <c r="Q404" s="266"/>
      <c r="R404" s="266"/>
      <c r="S404" s="266"/>
      <c r="T404" s="266"/>
      <c r="U404" s="266"/>
      <c r="V404" s="266"/>
      <c r="W404" s="266"/>
      <c r="X404" s="266"/>
      <c r="Y404" s="266"/>
      <c r="Z404" s="266"/>
      <c r="AA404" s="266"/>
      <c r="AB404" s="266"/>
    </row>
    <row r="405" spans="1:28" ht="12" hidden="1" customHeight="1" x14ac:dyDescent="0.45">
      <c r="A405" s="133"/>
      <c r="B405" s="133"/>
      <c r="C405" s="1799"/>
      <c r="D405" s="266"/>
      <c r="E405" s="266"/>
      <c r="F405" s="266"/>
      <c r="G405" s="266"/>
      <c r="H405" s="266"/>
      <c r="I405" s="266"/>
      <c r="J405" s="266"/>
      <c r="K405" s="266"/>
      <c r="L405" s="266"/>
      <c r="M405" s="266"/>
      <c r="N405" s="266"/>
      <c r="O405" s="266"/>
      <c r="P405" s="266"/>
      <c r="Q405" s="266"/>
      <c r="R405" s="266"/>
      <c r="S405" s="266"/>
      <c r="T405" s="266"/>
      <c r="U405" s="266"/>
      <c r="V405" s="266"/>
      <c r="W405" s="266"/>
      <c r="X405" s="266"/>
      <c r="Y405" s="266"/>
      <c r="Z405" s="266"/>
      <c r="AA405" s="266"/>
      <c r="AB405" s="266"/>
    </row>
    <row r="406" spans="1:28" ht="12" hidden="1" customHeight="1" x14ac:dyDescent="0.45">
      <c r="A406" s="133"/>
      <c r="B406" s="133"/>
      <c r="C406" s="1799"/>
      <c r="D406" s="266"/>
      <c r="E406" s="266"/>
      <c r="F406" s="266"/>
      <c r="G406" s="266"/>
      <c r="H406" s="266"/>
      <c r="I406" s="266"/>
      <c r="J406" s="266"/>
      <c r="K406" s="266"/>
      <c r="L406" s="266"/>
      <c r="M406" s="266"/>
      <c r="N406" s="266"/>
      <c r="O406" s="266"/>
      <c r="P406" s="266"/>
      <c r="Q406" s="266"/>
      <c r="R406" s="266"/>
      <c r="S406" s="266"/>
      <c r="T406" s="266"/>
      <c r="U406" s="266"/>
      <c r="V406" s="266"/>
      <c r="W406" s="266"/>
      <c r="X406" s="266"/>
      <c r="Y406" s="266"/>
      <c r="Z406" s="266"/>
      <c r="AA406" s="266"/>
      <c r="AB406" s="266"/>
    </row>
    <row r="407" spans="1:28" ht="12" hidden="1" customHeight="1" x14ac:dyDescent="0.45">
      <c r="A407" s="133"/>
      <c r="B407" s="133"/>
      <c r="C407" s="1799"/>
      <c r="D407" s="266"/>
      <c r="E407" s="266"/>
      <c r="F407" s="266"/>
      <c r="G407" s="266"/>
      <c r="H407" s="266"/>
      <c r="I407" s="266"/>
      <c r="J407" s="266"/>
      <c r="K407" s="266"/>
      <c r="L407" s="266"/>
      <c r="M407" s="266"/>
      <c r="N407" s="266"/>
      <c r="O407" s="266"/>
      <c r="P407" s="266"/>
      <c r="Q407" s="266"/>
      <c r="R407" s="266"/>
      <c r="S407" s="266"/>
      <c r="T407" s="266"/>
      <c r="U407" s="266"/>
      <c r="V407" s="266"/>
      <c r="W407" s="266"/>
      <c r="X407" s="266"/>
      <c r="Y407" s="266"/>
      <c r="Z407" s="266"/>
      <c r="AA407" s="266"/>
      <c r="AB407" s="266"/>
    </row>
    <row r="408" spans="1:28" ht="12" hidden="1" customHeight="1" x14ac:dyDescent="0.45">
      <c r="A408" s="133"/>
      <c r="B408" s="133"/>
      <c r="C408" s="1799"/>
      <c r="D408" s="266"/>
      <c r="E408" s="266"/>
      <c r="F408" s="266"/>
      <c r="G408" s="266"/>
      <c r="H408" s="266"/>
      <c r="I408" s="266"/>
      <c r="J408" s="266"/>
      <c r="K408" s="266"/>
      <c r="L408" s="266"/>
      <c r="M408" s="266"/>
      <c r="N408" s="266"/>
      <c r="O408" s="266"/>
      <c r="P408" s="266"/>
      <c r="Q408" s="266"/>
      <c r="R408" s="266"/>
      <c r="S408" s="266"/>
      <c r="T408" s="266"/>
      <c r="U408" s="266"/>
      <c r="V408" s="266"/>
      <c r="W408" s="266"/>
      <c r="X408" s="266"/>
      <c r="Y408" s="266"/>
      <c r="Z408" s="266"/>
      <c r="AA408" s="266"/>
      <c r="AB408" s="266"/>
    </row>
    <row r="409" spans="1:28" ht="12" hidden="1" customHeight="1" thickBot="1" x14ac:dyDescent="0.5">
      <c r="A409" s="133"/>
      <c r="B409" s="133"/>
      <c r="C409" s="1799"/>
      <c r="D409" s="266"/>
      <c r="E409" s="266"/>
      <c r="F409" s="266"/>
      <c r="G409" s="266"/>
      <c r="H409" s="266"/>
      <c r="I409" s="266"/>
      <c r="J409" s="266"/>
      <c r="K409" s="266"/>
      <c r="L409" s="266"/>
      <c r="M409" s="266"/>
      <c r="N409" s="266"/>
      <c r="O409" s="266"/>
      <c r="P409" s="266"/>
      <c r="Q409" s="266"/>
      <c r="R409" s="266"/>
      <c r="S409" s="266"/>
      <c r="T409" s="266"/>
      <c r="U409" s="266"/>
      <c r="V409" s="266"/>
      <c r="W409" s="266"/>
      <c r="X409" s="266"/>
      <c r="Y409" s="266"/>
      <c r="Z409" s="266"/>
      <c r="AA409" s="266"/>
      <c r="AB409" s="266"/>
    </row>
    <row r="410" spans="1:28" ht="12" customHeight="1" x14ac:dyDescent="0.3">
      <c r="A410" s="135">
        <f>0</f>
        <v>0</v>
      </c>
      <c r="B410" s="135"/>
      <c r="C410" s="495">
        <f>C340</f>
        <v>0</v>
      </c>
      <c r="D410" s="294">
        <f>IFERROR(IF($D$33&gt;=D$338,D473*D730,0),0)</f>
        <v>0</v>
      </c>
      <c r="E410" s="295">
        <f>IFERROR(IF($D$33&gt;=E$338,E473*E730,0),0)</f>
        <v>0</v>
      </c>
      <c r="F410" s="295">
        <f>IFERROR(IF($D$33&gt;=F$338,F473*F730,0),0)</f>
        <v>0</v>
      </c>
      <c r="G410" s="295">
        <f>IFERROR(IF($D$33&gt;=G$338,G473*G730,0),0)</f>
        <v>0</v>
      </c>
      <c r="H410" s="295">
        <f>IFERROR(IF($D$33&gt;=H$338,H473*H730,0),0)</f>
        <v>0</v>
      </c>
      <c r="I410" s="295">
        <f>IFERROR(IF($D$33&gt;=I$338,I473*I730,0),0)</f>
        <v>0</v>
      </c>
      <c r="J410" s="295">
        <f>IFERROR(IF($D$33&gt;=J$338,J473*J730,0),0)</f>
        <v>0</v>
      </c>
      <c r="K410" s="295">
        <f>IFERROR(IF($D$33&gt;=K$338,K473*K730,0),0)</f>
        <v>0</v>
      </c>
      <c r="L410" s="295">
        <f>IFERROR(IF($D$33&gt;=L$338,L473*L730,0),0)</f>
        <v>0</v>
      </c>
      <c r="M410" s="295">
        <f>IFERROR(IF($D$33&gt;=M$338,M473*M730,0),0)</f>
        <v>0</v>
      </c>
      <c r="N410" s="295">
        <f>IFERROR(IF($D$33&gt;=N$338,N473*N730,0),0)</f>
        <v>0</v>
      </c>
      <c r="O410" s="295">
        <f>IFERROR(IF($D$33&gt;=O$338,O473*O730,0),0)</f>
        <v>0</v>
      </c>
      <c r="P410" s="295">
        <f>IFERROR(IF($D$33&gt;=P$338,P473*P730,0),0)</f>
        <v>0</v>
      </c>
      <c r="Q410" s="295">
        <f>IFERROR(IF($D$33&gt;=Q$338,Q473*Q730,0),0)</f>
        <v>0</v>
      </c>
      <c r="R410" s="295">
        <f>IFERROR(IF($D$33&gt;=R$338,R473*R730,0),0)</f>
        <v>0</v>
      </c>
      <c r="S410" s="295">
        <f>IFERROR(IF($D$33&gt;=S$338,S473*S730,0),0)</f>
        <v>0</v>
      </c>
      <c r="T410" s="295">
        <f>IFERROR(IF($D$33&gt;=T$338,T473*T730,0),0)</f>
        <v>0</v>
      </c>
      <c r="U410" s="295">
        <f>IFERROR(IF($D$33&gt;=U$338,U473*U730,0),0)</f>
        <v>0</v>
      </c>
      <c r="V410" s="295">
        <f>IFERROR(IF($D$33&gt;=V$338,V473*V730,0),0)</f>
        <v>0</v>
      </c>
      <c r="W410" s="295">
        <f>IFERROR(IF($D$33&gt;=W$338,W473*W730,0),0)</f>
        <v>0</v>
      </c>
      <c r="X410" s="295">
        <f>IFERROR(IF($D$33&gt;=X$338,X473*X730,0),0)</f>
        <v>0</v>
      </c>
      <c r="Y410" s="295">
        <f>IFERROR(IF($D$33&gt;=Y$338,Y473*Y730,0),0)</f>
        <v>0</v>
      </c>
      <c r="Z410" s="295">
        <f>IFERROR(IF($D$33&gt;=Z$338,Z473*Z730,0),0)</f>
        <v>0</v>
      </c>
      <c r="AA410" s="295">
        <f>IFERROR(IF($D$33&gt;=AA$338,AA473*AA730,0),0)</f>
        <v>0</v>
      </c>
      <c r="AB410" s="296">
        <f>IFERROR(IF($D$33&gt;=AB$338,AB473*AB730,0),0)</f>
        <v>0</v>
      </c>
    </row>
    <row r="411" spans="1:28" ht="12" customHeight="1" x14ac:dyDescent="0.3">
      <c r="A411" s="133"/>
      <c r="B411" s="133"/>
      <c r="C411" s="495">
        <f>C341</f>
        <v>59</v>
      </c>
      <c r="D411" s="297">
        <f>IFERROR(IF($D$33&gt;=D$338,D474*D731,0),0)</f>
        <v>0</v>
      </c>
      <c r="E411" s="229">
        <f>IFERROR(IF($D$33&gt;=E$338,E474*E731,0),0)</f>
        <v>0</v>
      </c>
      <c r="F411" s="229">
        <f>IFERROR(IF($D$33&gt;=F$338,F474*F731,0),0)</f>
        <v>0</v>
      </c>
      <c r="G411" s="229">
        <f>IFERROR(IF($D$33&gt;=G$338,G474*G731,0),0)</f>
        <v>0</v>
      </c>
      <c r="H411" s="229">
        <f>IFERROR(IF($D$33&gt;=H$338,H474*H731,0),0)</f>
        <v>0</v>
      </c>
      <c r="I411" s="229">
        <f>IFERROR(IF($D$33&gt;=I$338,I474*I731,0),0)</f>
        <v>0</v>
      </c>
      <c r="J411" s="229">
        <f>IFERROR(IF($D$33&gt;=J$338,J474*J731,0),0)</f>
        <v>0</v>
      </c>
      <c r="K411" s="229">
        <f>IFERROR(IF($D$33&gt;=K$338,K474*K731,0),0)</f>
        <v>0</v>
      </c>
      <c r="L411" s="229">
        <f>IFERROR(IF($D$33&gt;=L$338,L474*L731,0),0)</f>
        <v>0</v>
      </c>
      <c r="M411" s="229">
        <f>IFERROR(IF($D$33&gt;=M$338,M474*M731,0),0)</f>
        <v>0</v>
      </c>
      <c r="N411" s="229">
        <f>IFERROR(IF($D$33&gt;=N$338,N474*N731,0),0)</f>
        <v>0</v>
      </c>
      <c r="O411" s="229">
        <f>IFERROR(IF($D$33&gt;=O$338,O474*O731,0),0)</f>
        <v>0</v>
      </c>
      <c r="P411" s="229">
        <f>IFERROR(IF($D$33&gt;=P$338,P474*P731,0),0)</f>
        <v>0</v>
      </c>
      <c r="Q411" s="229">
        <f>IFERROR(IF($D$33&gt;=Q$338,Q474*Q731,0),0)</f>
        <v>0</v>
      </c>
      <c r="R411" s="229">
        <f>IFERROR(IF($D$33&gt;=R$338,R474*R731,0),0)</f>
        <v>0</v>
      </c>
      <c r="S411" s="229">
        <f>IFERROR(IF($D$33&gt;=S$338,S474*S731,0),0)</f>
        <v>0</v>
      </c>
      <c r="T411" s="229">
        <f>IFERROR(IF($D$33&gt;=T$338,T474*T731,0),0)</f>
        <v>0</v>
      </c>
      <c r="U411" s="229">
        <f>IFERROR(IF($D$33&gt;=U$338,U474*U731,0),0)</f>
        <v>0</v>
      </c>
      <c r="V411" s="229">
        <f>IFERROR(IF($D$33&gt;=V$338,V474*V731,0),0)</f>
        <v>0</v>
      </c>
      <c r="W411" s="229">
        <f>IFERROR(IF($D$33&gt;=W$338,W474*W731,0),0)</f>
        <v>0</v>
      </c>
      <c r="X411" s="229">
        <f>IFERROR(IF($D$33&gt;=X$338,X474*X731,0),0)</f>
        <v>0</v>
      </c>
      <c r="Y411" s="229">
        <f>IFERROR(IF($D$33&gt;=Y$338,Y474*Y731,0),0)</f>
        <v>0</v>
      </c>
      <c r="Z411" s="229">
        <f>IFERROR(IF($D$33&gt;=Z$338,Z474*Z731,0),0)</f>
        <v>0</v>
      </c>
      <c r="AA411" s="229">
        <f>IFERROR(IF($D$33&gt;=AA$338,AA474*AA731,0),0)</f>
        <v>0</v>
      </c>
      <c r="AB411" s="298">
        <f>IFERROR(IF($D$33&gt;=AB$338,AB474*AB731,0),0)</f>
        <v>0</v>
      </c>
    </row>
    <row r="412" spans="1:28" ht="12" customHeight="1" x14ac:dyDescent="0.3">
      <c r="A412" s="133"/>
      <c r="B412" s="133"/>
      <c r="C412" s="495">
        <f>C342</f>
        <v>91</v>
      </c>
      <c r="D412" s="297">
        <f>IFERROR(IF($D$33&gt;=D$338,D475*D732,0),0)</f>
        <v>0</v>
      </c>
      <c r="E412" s="229">
        <f>IFERROR(IF($D$33&gt;=E$338,E475*E732,0),0)</f>
        <v>0</v>
      </c>
      <c r="F412" s="229">
        <f>IFERROR(IF($D$33&gt;=F$338,F475*F732,0),0)</f>
        <v>0</v>
      </c>
      <c r="G412" s="229">
        <f>IFERROR(IF($D$33&gt;=G$338,G475*G732,0),0)</f>
        <v>0</v>
      </c>
      <c r="H412" s="229">
        <f>IFERROR(IF($D$33&gt;=H$338,H475*H732,0),0)</f>
        <v>0</v>
      </c>
      <c r="I412" s="229">
        <f>IFERROR(IF($D$33&gt;=I$338,I475*I732,0),0)</f>
        <v>0</v>
      </c>
      <c r="J412" s="229">
        <f>IFERROR(IF($D$33&gt;=J$338,J475*J732,0),0)</f>
        <v>0</v>
      </c>
      <c r="K412" s="229">
        <f>IFERROR(IF($D$33&gt;=K$338,K475*K732,0),0)</f>
        <v>0</v>
      </c>
      <c r="L412" s="229">
        <f>IFERROR(IF($D$33&gt;=L$338,L475*L732,0),0)</f>
        <v>0</v>
      </c>
      <c r="M412" s="229">
        <f>IFERROR(IF($D$33&gt;=M$338,M475*M732,0),0)</f>
        <v>0</v>
      </c>
      <c r="N412" s="229">
        <f>IFERROR(IF($D$33&gt;=N$338,N475*N732,0),0)</f>
        <v>0</v>
      </c>
      <c r="O412" s="229">
        <f>IFERROR(IF($D$33&gt;=O$338,O475*O732,0),0)</f>
        <v>0</v>
      </c>
      <c r="P412" s="229">
        <f>IFERROR(IF($D$33&gt;=P$338,P475*P732,0),0)</f>
        <v>0</v>
      </c>
      <c r="Q412" s="229">
        <f>IFERROR(IF($D$33&gt;=Q$338,Q475*Q732,0),0)</f>
        <v>0</v>
      </c>
      <c r="R412" s="229">
        <f>IFERROR(IF($D$33&gt;=R$338,R475*R732,0),0)</f>
        <v>0</v>
      </c>
      <c r="S412" s="229">
        <f>IFERROR(IF($D$33&gt;=S$338,S475*S732,0),0)</f>
        <v>0</v>
      </c>
      <c r="T412" s="229">
        <f>IFERROR(IF($D$33&gt;=T$338,T475*T732,0),0)</f>
        <v>0</v>
      </c>
      <c r="U412" s="229">
        <f>IFERROR(IF($D$33&gt;=U$338,U475*U732,0),0)</f>
        <v>0</v>
      </c>
      <c r="V412" s="229">
        <f>IFERROR(IF($D$33&gt;=V$338,V475*V732,0),0)</f>
        <v>0</v>
      </c>
      <c r="W412" s="229">
        <f>IFERROR(IF($D$33&gt;=W$338,W475*W732,0),0)</f>
        <v>0</v>
      </c>
      <c r="X412" s="229">
        <f>IFERROR(IF($D$33&gt;=X$338,X475*X732,0),0)</f>
        <v>0</v>
      </c>
      <c r="Y412" s="229">
        <f>IFERROR(IF($D$33&gt;=Y$338,Y475*Y732,0),0)</f>
        <v>0</v>
      </c>
      <c r="Z412" s="229">
        <f>IFERROR(IF($D$33&gt;=Z$338,Z475*Z732,0),0)</f>
        <v>0</v>
      </c>
      <c r="AA412" s="229">
        <f>IFERROR(IF($D$33&gt;=AA$338,AA475*AA732,0),0)</f>
        <v>0</v>
      </c>
      <c r="AB412" s="298">
        <f>IFERROR(IF($D$33&gt;=AB$338,AB475*AB732,0),0)</f>
        <v>0</v>
      </c>
    </row>
    <row r="413" spans="1:28" ht="12" customHeight="1" x14ac:dyDescent="0.3">
      <c r="A413" s="133"/>
      <c r="B413" s="133"/>
      <c r="C413" s="495">
        <f>C343</f>
        <v>121</v>
      </c>
      <c r="D413" s="297">
        <f>IFERROR(IF($D$33&gt;=D$338,D476*D733,0),0)</f>
        <v>0</v>
      </c>
      <c r="E413" s="229">
        <f>IFERROR(IF($D$33&gt;=E$338,E476*E733,0),0)</f>
        <v>0</v>
      </c>
      <c r="F413" s="229">
        <f>IFERROR(IF($D$33&gt;=F$338,F476*F733,0),0)</f>
        <v>0</v>
      </c>
      <c r="G413" s="229">
        <f>IFERROR(IF($D$33&gt;=G$338,G476*G733,0),0)</f>
        <v>0</v>
      </c>
      <c r="H413" s="229">
        <f>IFERROR(IF($D$33&gt;=H$338,H476*H733,0),0)</f>
        <v>0</v>
      </c>
      <c r="I413" s="229">
        <f>IFERROR(IF($D$33&gt;=I$338,I476*I733,0),0)</f>
        <v>0</v>
      </c>
      <c r="J413" s="229">
        <f>IFERROR(IF($D$33&gt;=J$338,J476*J733,0),0)</f>
        <v>0</v>
      </c>
      <c r="K413" s="229">
        <f>IFERROR(IF($D$33&gt;=K$338,K476*K733,0),0)</f>
        <v>0</v>
      </c>
      <c r="L413" s="229">
        <f>IFERROR(IF($D$33&gt;=L$338,L476*L733,0),0)</f>
        <v>0</v>
      </c>
      <c r="M413" s="229">
        <f>IFERROR(IF($D$33&gt;=M$338,M476*M733,0),0)</f>
        <v>0</v>
      </c>
      <c r="N413" s="229">
        <f>IFERROR(IF($D$33&gt;=N$338,N476*N733,0),0)</f>
        <v>0</v>
      </c>
      <c r="O413" s="229">
        <f>IFERROR(IF($D$33&gt;=O$338,O476*O733,0),0)</f>
        <v>0</v>
      </c>
      <c r="P413" s="229">
        <f>IFERROR(IF($D$33&gt;=P$338,P476*P733,0),0)</f>
        <v>0</v>
      </c>
      <c r="Q413" s="229">
        <f>IFERROR(IF($D$33&gt;=Q$338,Q476*Q733,0),0)</f>
        <v>0</v>
      </c>
      <c r="R413" s="229">
        <f>IFERROR(IF($D$33&gt;=R$338,R476*R733,0),0)</f>
        <v>0</v>
      </c>
      <c r="S413" s="229">
        <f>IFERROR(IF($D$33&gt;=S$338,S476*S733,0),0)</f>
        <v>0</v>
      </c>
      <c r="T413" s="229">
        <f>IFERROR(IF($D$33&gt;=T$338,T476*T733,0),0)</f>
        <v>0</v>
      </c>
      <c r="U413" s="229">
        <f>IFERROR(IF($D$33&gt;=U$338,U476*U733,0),0)</f>
        <v>0</v>
      </c>
      <c r="V413" s="229">
        <f>IFERROR(IF($D$33&gt;=V$338,V476*V733,0),0)</f>
        <v>0</v>
      </c>
      <c r="W413" s="229">
        <f>IFERROR(IF($D$33&gt;=W$338,W476*W733,0),0)</f>
        <v>0</v>
      </c>
      <c r="X413" s="229">
        <f>IFERROR(IF($D$33&gt;=X$338,X476*X733,0),0)</f>
        <v>0</v>
      </c>
      <c r="Y413" s="229">
        <f>IFERROR(IF($D$33&gt;=Y$338,Y476*Y733,0),0)</f>
        <v>0</v>
      </c>
      <c r="Z413" s="229">
        <f>IFERROR(IF($D$33&gt;=Z$338,Z476*Z733,0),0)</f>
        <v>0</v>
      </c>
      <c r="AA413" s="229">
        <f>IFERROR(IF($D$33&gt;=AA$338,AA476*AA733,0),0)</f>
        <v>0</v>
      </c>
      <c r="AB413" s="298">
        <f>IFERROR(IF($D$33&gt;=AB$338,AB476*AB733,0),0)</f>
        <v>0</v>
      </c>
    </row>
    <row r="414" spans="1:28" ht="12" customHeight="1" x14ac:dyDescent="0.3">
      <c r="A414" s="133"/>
      <c r="B414" s="133"/>
      <c r="C414" s="495">
        <f>C344</f>
        <v>152</v>
      </c>
      <c r="D414" s="297">
        <f>IFERROR(IF($D$33&gt;=D$338,D477*D734,0),0)</f>
        <v>0</v>
      </c>
      <c r="E414" s="229">
        <f>IFERROR(IF($D$33&gt;=E$338,E477*E734,0),0)</f>
        <v>0</v>
      </c>
      <c r="F414" s="229">
        <f>IFERROR(IF($D$33&gt;=F$338,F477*F734,0),0)</f>
        <v>0</v>
      </c>
      <c r="G414" s="229">
        <f>IFERROR(IF($D$33&gt;=G$338,G477*G734,0),0)</f>
        <v>0</v>
      </c>
      <c r="H414" s="229">
        <f>IFERROR(IF($D$33&gt;=H$338,H477*H734,0),0)</f>
        <v>0</v>
      </c>
      <c r="I414" s="229">
        <f>IFERROR(IF($D$33&gt;=I$338,I477*I734,0),0)</f>
        <v>0</v>
      </c>
      <c r="J414" s="229">
        <f>IFERROR(IF($D$33&gt;=J$338,J477*J734,0),0)</f>
        <v>0</v>
      </c>
      <c r="K414" s="229">
        <f>IFERROR(IF($D$33&gt;=K$338,K477*K734,0),0)</f>
        <v>0</v>
      </c>
      <c r="L414" s="229">
        <f>IFERROR(IF($D$33&gt;=L$338,L477*L734,0),0)</f>
        <v>0</v>
      </c>
      <c r="M414" s="229">
        <f>IFERROR(IF($D$33&gt;=M$338,M477*M734,0),0)</f>
        <v>0</v>
      </c>
      <c r="N414" s="229">
        <f>IFERROR(IF($D$33&gt;=N$338,N477*N734,0),0)</f>
        <v>0</v>
      </c>
      <c r="O414" s="229">
        <f>IFERROR(IF($D$33&gt;=O$338,O477*O734,0),0)</f>
        <v>0</v>
      </c>
      <c r="P414" s="229">
        <f>IFERROR(IF($D$33&gt;=P$338,P477*P734,0),0)</f>
        <v>0</v>
      </c>
      <c r="Q414" s="229">
        <f>IFERROR(IF($D$33&gt;=Q$338,Q477*Q734,0),0)</f>
        <v>0</v>
      </c>
      <c r="R414" s="229">
        <f>IFERROR(IF($D$33&gt;=R$338,R477*R734,0),0)</f>
        <v>0</v>
      </c>
      <c r="S414" s="229">
        <f>IFERROR(IF($D$33&gt;=S$338,S477*S734,0),0)</f>
        <v>0</v>
      </c>
      <c r="T414" s="229">
        <f>IFERROR(IF($D$33&gt;=T$338,T477*T734,0),0)</f>
        <v>0</v>
      </c>
      <c r="U414" s="229">
        <f>IFERROR(IF($D$33&gt;=U$338,U477*U734,0),0)</f>
        <v>0</v>
      </c>
      <c r="V414" s="229">
        <f>IFERROR(IF($D$33&gt;=V$338,V477*V734,0),0)</f>
        <v>0</v>
      </c>
      <c r="W414" s="229">
        <f>IFERROR(IF($D$33&gt;=W$338,W477*W734,0),0)</f>
        <v>0</v>
      </c>
      <c r="X414" s="229">
        <f>IFERROR(IF($D$33&gt;=X$338,X477*X734,0),0)</f>
        <v>0</v>
      </c>
      <c r="Y414" s="229">
        <f>IFERROR(IF($D$33&gt;=Y$338,Y477*Y734,0),0)</f>
        <v>0</v>
      </c>
      <c r="Z414" s="229">
        <f>IFERROR(IF($D$33&gt;=Z$338,Z477*Z734,0),0)</f>
        <v>0</v>
      </c>
      <c r="AA414" s="229">
        <f>IFERROR(IF($D$33&gt;=AA$338,AA477*AA734,0),0)</f>
        <v>0</v>
      </c>
      <c r="AB414" s="298">
        <f>IFERROR(IF($D$33&gt;=AB$338,AB477*AB734,0),0)</f>
        <v>0</v>
      </c>
    </row>
    <row r="415" spans="1:28" ht="12" customHeight="1" x14ac:dyDescent="0.3">
      <c r="A415" s="8"/>
      <c r="B415" s="8"/>
      <c r="C415" s="495">
        <f>C345</f>
        <v>182</v>
      </c>
      <c r="D415" s="297">
        <f>IFERROR(IF($D$33&gt;=D$338,D478*D735,0),0)</f>
        <v>0</v>
      </c>
      <c r="E415" s="229">
        <f>IFERROR(IF($D$33&gt;=E$338,E478*E735,0),0)</f>
        <v>0</v>
      </c>
      <c r="F415" s="229">
        <f>IFERROR(IF($D$33&gt;=F$338,F478*F735,0),0)</f>
        <v>0</v>
      </c>
      <c r="G415" s="229">
        <f>IFERROR(IF($D$33&gt;=G$338,G478*G735,0),0)</f>
        <v>0</v>
      </c>
      <c r="H415" s="229">
        <f>IFERROR(IF($D$33&gt;=H$338,H478*H735,0),0)</f>
        <v>0</v>
      </c>
      <c r="I415" s="229">
        <f>IFERROR(IF($D$33&gt;=I$338,I478*I735,0),0)</f>
        <v>0</v>
      </c>
      <c r="J415" s="229">
        <f>IFERROR(IF($D$33&gt;=J$338,J478*J735,0),0)</f>
        <v>0</v>
      </c>
      <c r="K415" s="229">
        <f>IFERROR(IF($D$33&gt;=K$338,K478*K735,0),0)</f>
        <v>0</v>
      </c>
      <c r="L415" s="229">
        <f>IFERROR(IF($D$33&gt;=L$338,L478*L735,0),0)</f>
        <v>0</v>
      </c>
      <c r="M415" s="229">
        <f>IFERROR(IF($D$33&gt;=M$338,M478*M735,0),0)</f>
        <v>0</v>
      </c>
      <c r="N415" s="229">
        <f>IFERROR(IF($D$33&gt;=N$338,N478*N735,0),0)</f>
        <v>0</v>
      </c>
      <c r="O415" s="229">
        <f>IFERROR(IF($D$33&gt;=O$338,O478*O735,0),0)</f>
        <v>0</v>
      </c>
      <c r="P415" s="229">
        <f>IFERROR(IF($D$33&gt;=P$338,P478*P735,0),0)</f>
        <v>0</v>
      </c>
      <c r="Q415" s="229">
        <f>IFERROR(IF($D$33&gt;=Q$338,Q478*Q735,0),0)</f>
        <v>0</v>
      </c>
      <c r="R415" s="229">
        <f>IFERROR(IF($D$33&gt;=R$338,R478*R735,0),0)</f>
        <v>0</v>
      </c>
      <c r="S415" s="229">
        <f>IFERROR(IF($D$33&gt;=S$338,S478*S735,0),0)</f>
        <v>0</v>
      </c>
      <c r="T415" s="229">
        <f>IFERROR(IF($D$33&gt;=T$338,T478*T735,0),0)</f>
        <v>0</v>
      </c>
      <c r="U415" s="229">
        <f>IFERROR(IF($D$33&gt;=U$338,U478*U735,0),0)</f>
        <v>0</v>
      </c>
      <c r="V415" s="229">
        <f>IFERROR(IF($D$33&gt;=V$338,V478*V735,0),0)</f>
        <v>0</v>
      </c>
      <c r="W415" s="229">
        <f>IFERROR(IF($D$33&gt;=W$338,W478*W735,0),0)</f>
        <v>0</v>
      </c>
      <c r="X415" s="229">
        <f>IFERROR(IF($D$33&gt;=X$338,X478*X735,0),0)</f>
        <v>0</v>
      </c>
      <c r="Y415" s="229">
        <f>IFERROR(IF($D$33&gt;=Y$338,Y478*Y735,0),0)</f>
        <v>0</v>
      </c>
      <c r="Z415" s="229">
        <f>IFERROR(IF($D$33&gt;=Z$338,Z478*Z735,0),0)</f>
        <v>0</v>
      </c>
      <c r="AA415" s="229">
        <f>IFERROR(IF($D$33&gt;=AA$338,AA478*AA735,0),0)</f>
        <v>0</v>
      </c>
      <c r="AB415" s="298">
        <f>IFERROR(IF($D$33&gt;=AB$338,AB478*AB735,0),0)</f>
        <v>0</v>
      </c>
    </row>
    <row r="416" spans="1:28" ht="12" customHeight="1" x14ac:dyDescent="0.3">
      <c r="A416" s="8"/>
      <c r="B416" s="8"/>
      <c r="C416" s="495">
        <f>C346</f>
        <v>213</v>
      </c>
      <c r="D416" s="297">
        <f>IFERROR(IF($D$33&gt;=D$338,D479*D736,0),0)</f>
        <v>0</v>
      </c>
      <c r="E416" s="229">
        <f>IFERROR(IF($D$33&gt;=E$338,E479*E736,0),0)</f>
        <v>0</v>
      </c>
      <c r="F416" s="229">
        <f>IFERROR(IF($D$33&gt;=F$338,F479*F736,0),0)</f>
        <v>0</v>
      </c>
      <c r="G416" s="229">
        <f>IFERROR(IF($D$33&gt;=G$338,G479*G736,0),0)</f>
        <v>0</v>
      </c>
      <c r="H416" s="229">
        <f>IFERROR(IF($D$33&gt;=H$338,H479*H736,0),0)</f>
        <v>0</v>
      </c>
      <c r="I416" s="229">
        <f>IFERROR(IF($D$33&gt;=I$338,I479*I736,0),0)</f>
        <v>0</v>
      </c>
      <c r="J416" s="229">
        <f>IFERROR(IF($D$33&gt;=J$338,J479*J736,0),0)</f>
        <v>0</v>
      </c>
      <c r="K416" s="229">
        <f>IFERROR(IF($D$33&gt;=K$338,K479*K736,0),0)</f>
        <v>0</v>
      </c>
      <c r="L416" s="229">
        <f>IFERROR(IF($D$33&gt;=L$338,L479*L736,0),0)</f>
        <v>0</v>
      </c>
      <c r="M416" s="229">
        <f>IFERROR(IF($D$33&gt;=M$338,M479*M736,0),0)</f>
        <v>0</v>
      </c>
      <c r="N416" s="229">
        <f>IFERROR(IF($D$33&gt;=N$338,N479*N736,0),0)</f>
        <v>0</v>
      </c>
      <c r="O416" s="229">
        <f>IFERROR(IF($D$33&gt;=O$338,O479*O736,0),0)</f>
        <v>0</v>
      </c>
      <c r="P416" s="229">
        <f>IFERROR(IF($D$33&gt;=P$338,P479*P736,0),0)</f>
        <v>0</v>
      </c>
      <c r="Q416" s="229">
        <f>IFERROR(IF($D$33&gt;=Q$338,Q479*Q736,0),0)</f>
        <v>0</v>
      </c>
      <c r="R416" s="229">
        <f>IFERROR(IF($D$33&gt;=R$338,R479*R736,0),0)</f>
        <v>0</v>
      </c>
      <c r="S416" s="229">
        <f>IFERROR(IF($D$33&gt;=S$338,S479*S736,0),0)</f>
        <v>0</v>
      </c>
      <c r="T416" s="229">
        <f>IFERROR(IF($D$33&gt;=T$338,T479*T736,0),0)</f>
        <v>0</v>
      </c>
      <c r="U416" s="229">
        <f>IFERROR(IF($D$33&gt;=U$338,U479*U736,0),0)</f>
        <v>0</v>
      </c>
      <c r="V416" s="229">
        <f>IFERROR(IF($D$33&gt;=V$338,V479*V736,0),0)</f>
        <v>0</v>
      </c>
      <c r="W416" s="229">
        <f>IFERROR(IF($D$33&gt;=W$338,W479*W736,0),0)</f>
        <v>0</v>
      </c>
      <c r="X416" s="229">
        <f>IFERROR(IF($D$33&gt;=X$338,X479*X736,0),0)</f>
        <v>0</v>
      </c>
      <c r="Y416" s="229">
        <f>IFERROR(IF($D$33&gt;=Y$338,Y479*Y736,0),0)</f>
        <v>0</v>
      </c>
      <c r="Z416" s="229">
        <f>IFERROR(IF($D$33&gt;=Z$338,Z479*Z736,0),0)</f>
        <v>0</v>
      </c>
      <c r="AA416" s="229">
        <f>IFERROR(IF($D$33&gt;=AA$338,AA479*AA736,0),0)</f>
        <v>0</v>
      </c>
      <c r="AB416" s="298">
        <f>IFERROR(IF($D$33&gt;=AB$338,AB479*AB736,0),0)</f>
        <v>0</v>
      </c>
    </row>
    <row r="417" spans="1:28" ht="12" customHeight="1" x14ac:dyDescent="0.3">
      <c r="A417" s="8"/>
      <c r="B417" s="8"/>
      <c r="C417" s="495">
        <f>C347</f>
        <v>244</v>
      </c>
      <c r="D417" s="297">
        <f>IFERROR(IF($D$33&gt;=D$338,D480*D737,0),0)</f>
        <v>0</v>
      </c>
      <c r="E417" s="229">
        <f>IFERROR(IF($D$33&gt;=E$338,E480*E737,0),0)</f>
        <v>0</v>
      </c>
      <c r="F417" s="229">
        <f>IFERROR(IF($D$33&gt;=F$338,F480*F737,0),0)</f>
        <v>0</v>
      </c>
      <c r="G417" s="229">
        <f>IFERROR(IF($D$33&gt;=G$338,G480*G737,0),0)</f>
        <v>0</v>
      </c>
      <c r="H417" s="229">
        <f>IFERROR(IF($D$33&gt;=H$338,H480*H737,0),0)</f>
        <v>0</v>
      </c>
      <c r="I417" s="229">
        <f>IFERROR(IF($D$33&gt;=I$338,I480*I737,0),0)</f>
        <v>0</v>
      </c>
      <c r="J417" s="229">
        <f>IFERROR(IF($D$33&gt;=J$338,J480*J737,0),0)</f>
        <v>0</v>
      </c>
      <c r="K417" s="229">
        <f>IFERROR(IF($D$33&gt;=K$338,K480*K737,0),0)</f>
        <v>0</v>
      </c>
      <c r="L417" s="229">
        <f>IFERROR(IF($D$33&gt;=L$338,L480*L737,0),0)</f>
        <v>0</v>
      </c>
      <c r="M417" s="229">
        <f>IFERROR(IF($D$33&gt;=M$338,M480*M737,0),0)</f>
        <v>0</v>
      </c>
      <c r="N417" s="229">
        <f>IFERROR(IF($D$33&gt;=N$338,N480*N737,0),0)</f>
        <v>0</v>
      </c>
      <c r="O417" s="229">
        <f>IFERROR(IF($D$33&gt;=O$338,O480*O737,0),0)</f>
        <v>0</v>
      </c>
      <c r="P417" s="229">
        <f>IFERROR(IF($D$33&gt;=P$338,P480*P737,0),0)</f>
        <v>0</v>
      </c>
      <c r="Q417" s="229">
        <f>IFERROR(IF($D$33&gt;=Q$338,Q480*Q737,0),0)</f>
        <v>0</v>
      </c>
      <c r="R417" s="229">
        <f>IFERROR(IF($D$33&gt;=R$338,R480*R737,0),0)</f>
        <v>0</v>
      </c>
      <c r="S417" s="229">
        <f>IFERROR(IF($D$33&gt;=S$338,S480*S737,0),0)</f>
        <v>0</v>
      </c>
      <c r="T417" s="229">
        <f>IFERROR(IF($D$33&gt;=T$338,T480*T737,0),0)</f>
        <v>0</v>
      </c>
      <c r="U417" s="229">
        <f>IFERROR(IF($D$33&gt;=U$338,U480*U737,0),0)</f>
        <v>0</v>
      </c>
      <c r="V417" s="229">
        <f>IFERROR(IF($D$33&gt;=V$338,V480*V737,0),0)</f>
        <v>0</v>
      </c>
      <c r="W417" s="229">
        <f>IFERROR(IF($D$33&gt;=W$338,W480*W737,0),0)</f>
        <v>0</v>
      </c>
      <c r="X417" s="229">
        <f>IFERROR(IF($D$33&gt;=X$338,X480*X737,0),0)</f>
        <v>0</v>
      </c>
      <c r="Y417" s="229">
        <f>IFERROR(IF($D$33&gt;=Y$338,Y480*Y737,0),0)</f>
        <v>0</v>
      </c>
      <c r="Z417" s="229">
        <f>IFERROR(IF($D$33&gt;=Z$338,Z480*Z737,0),0)</f>
        <v>0</v>
      </c>
      <c r="AA417" s="229">
        <f>IFERROR(IF($D$33&gt;=AA$338,AA480*AA737,0),0)</f>
        <v>0</v>
      </c>
      <c r="AB417" s="298">
        <f>IFERROR(IF($D$33&gt;=AB$338,AB480*AB737,0),0)</f>
        <v>0</v>
      </c>
    </row>
    <row r="418" spans="1:28" ht="12" customHeight="1" x14ac:dyDescent="0.3">
      <c r="A418" s="8"/>
      <c r="B418" s="8"/>
      <c r="C418" s="495">
        <f>C348</f>
        <v>274</v>
      </c>
      <c r="D418" s="297">
        <f>IFERROR(IF($D$33&gt;=D$338,D481*D738,0),0)</f>
        <v>0</v>
      </c>
      <c r="E418" s="229">
        <f>IFERROR(IF($D$33&gt;=E$338,E481*E738,0),0)</f>
        <v>0</v>
      </c>
      <c r="F418" s="229">
        <f>IFERROR(IF($D$33&gt;=F$338,F481*F738,0),0)</f>
        <v>0</v>
      </c>
      <c r="G418" s="229">
        <f>IFERROR(IF($D$33&gt;=G$338,G481*G738,0),0)</f>
        <v>0</v>
      </c>
      <c r="H418" s="229">
        <f>IFERROR(IF($D$33&gt;=H$338,H481*H738,0),0)</f>
        <v>0</v>
      </c>
      <c r="I418" s="229">
        <f>IFERROR(IF($D$33&gt;=I$338,I481*I738,0),0)</f>
        <v>0</v>
      </c>
      <c r="J418" s="229">
        <f>IFERROR(IF($D$33&gt;=J$338,J481*J738,0),0)</f>
        <v>0</v>
      </c>
      <c r="K418" s="229">
        <f>IFERROR(IF($D$33&gt;=K$338,K481*K738,0),0)</f>
        <v>0</v>
      </c>
      <c r="L418" s="229">
        <f>IFERROR(IF($D$33&gt;=L$338,L481*L738,0),0)</f>
        <v>0</v>
      </c>
      <c r="M418" s="229">
        <f>IFERROR(IF($D$33&gt;=M$338,M481*M738,0),0)</f>
        <v>0</v>
      </c>
      <c r="N418" s="229">
        <f>IFERROR(IF($D$33&gt;=N$338,N481*N738,0),0)</f>
        <v>0</v>
      </c>
      <c r="O418" s="229">
        <f>IFERROR(IF($D$33&gt;=O$338,O481*O738,0),0)</f>
        <v>0</v>
      </c>
      <c r="P418" s="229">
        <f>IFERROR(IF($D$33&gt;=P$338,P481*P738,0),0)</f>
        <v>0</v>
      </c>
      <c r="Q418" s="229">
        <f>IFERROR(IF($D$33&gt;=Q$338,Q481*Q738,0),0)</f>
        <v>0</v>
      </c>
      <c r="R418" s="229">
        <f>IFERROR(IF($D$33&gt;=R$338,R481*R738,0),0)</f>
        <v>0</v>
      </c>
      <c r="S418" s="229">
        <f>IFERROR(IF($D$33&gt;=S$338,S481*S738,0),0)</f>
        <v>0</v>
      </c>
      <c r="T418" s="229">
        <f>IFERROR(IF($D$33&gt;=T$338,T481*T738,0),0)</f>
        <v>0</v>
      </c>
      <c r="U418" s="229">
        <f>IFERROR(IF($D$33&gt;=U$338,U481*U738,0),0)</f>
        <v>0</v>
      </c>
      <c r="V418" s="229">
        <f>IFERROR(IF($D$33&gt;=V$338,V481*V738,0),0)</f>
        <v>0</v>
      </c>
      <c r="W418" s="229">
        <f>IFERROR(IF($D$33&gt;=W$338,W481*W738,0),0)</f>
        <v>0</v>
      </c>
      <c r="X418" s="229">
        <f>IFERROR(IF($D$33&gt;=X$338,X481*X738,0),0)</f>
        <v>0</v>
      </c>
      <c r="Y418" s="229">
        <f>IFERROR(IF($D$33&gt;=Y$338,Y481*Y738,0),0)</f>
        <v>0</v>
      </c>
      <c r="Z418" s="229">
        <f>IFERROR(IF($D$33&gt;=Z$338,Z481*Z738,0),0)</f>
        <v>0</v>
      </c>
      <c r="AA418" s="229">
        <f>IFERROR(IF($D$33&gt;=AA$338,AA481*AA738,0),0)</f>
        <v>0</v>
      </c>
      <c r="AB418" s="298">
        <f>IFERROR(IF($D$33&gt;=AB$338,AB481*AB738,0),0)</f>
        <v>0</v>
      </c>
    </row>
    <row r="419" spans="1:28" ht="12" customHeight="1" x14ac:dyDescent="0.3">
      <c r="A419" s="8"/>
      <c r="B419" s="8"/>
      <c r="C419" s="495">
        <f>C349</f>
        <v>305</v>
      </c>
      <c r="D419" s="297">
        <f>IFERROR(IF($D$33&gt;=D$338,D482*D739,0),0)</f>
        <v>0</v>
      </c>
      <c r="E419" s="229">
        <f>IFERROR(IF($D$33&gt;=E$338,E482*E739,0),0)</f>
        <v>0</v>
      </c>
      <c r="F419" s="229">
        <f>IFERROR(IF($D$33&gt;=F$338,F482*F739,0),0)</f>
        <v>0</v>
      </c>
      <c r="G419" s="229">
        <f>IFERROR(IF($D$33&gt;=G$338,G482*G739,0),0)</f>
        <v>0</v>
      </c>
      <c r="H419" s="229">
        <f>IFERROR(IF($D$33&gt;=H$338,H482*H739,0),0)</f>
        <v>0</v>
      </c>
      <c r="I419" s="229">
        <f>IFERROR(IF($D$33&gt;=I$338,I482*I739,0),0)</f>
        <v>0</v>
      </c>
      <c r="J419" s="229">
        <f>IFERROR(IF($D$33&gt;=J$338,J482*J739,0),0)</f>
        <v>0</v>
      </c>
      <c r="K419" s="229">
        <f>IFERROR(IF($D$33&gt;=K$338,K482*K739,0),0)</f>
        <v>0</v>
      </c>
      <c r="L419" s="229">
        <f>IFERROR(IF($D$33&gt;=L$338,L482*L739,0),0)</f>
        <v>0</v>
      </c>
      <c r="M419" s="229">
        <f>IFERROR(IF($D$33&gt;=M$338,M482*M739,0),0)</f>
        <v>0</v>
      </c>
      <c r="N419" s="229">
        <f>IFERROR(IF($D$33&gt;=N$338,N482*N739,0),0)</f>
        <v>0</v>
      </c>
      <c r="O419" s="229">
        <f>IFERROR(IF($D$33&gt;=O$338,O482*O739,0),0)</f>
        <v>0</v>
      </c>
      <c r="P419" s="229">
        <f>IFERROR(IF($D$33&gt;=P$338,P482*P739,0),0)</f>
        <v>0</v>
      </c>
      <c r="Q419" s="229">
        <f>IFERROR(IF($D$33&gt;=Q$338,Q482*Q739,0),0)</f>
        <v>0</v>
      </c>
      <c r="R419" s="229">
        <f>IFERROR(IF($D$33&gt;=R$338,R482*R739,0),0)</f>
        <v>0</v>
      </c>
      <c r="S419" s="229">
        <f>IFERROR(IF($D$33&gt;=S$338,S482*S739,0),0)</f>
        <v>0</v>
      </c>
      <c r="T419" s="229">
        <f>IFERROR(IF($D$33&gt;=T$338,T482*T739,0),0)</f>
        <v>0</v>
      </c>
      <c r="U419" s="229">
        <f>IFERROR(IF($D$33&gt;=U$338,U482*U739,0),0)</f>
        <v>0</v>
      </c>
      <c r="V419" s="229">
        <f>IFERROR(IF($D$33&gt;=V$338,V482*V739,0),0)</f>
        <v>0</v>
      </c>
      <c r="W419" s="229">
        <f>IFERROR(IF($D$33&gt;=W$338,W482*W739,0),0)</f>
        <v>0</v>
      </c>
      <c r="X419" s="229">
        <f>IFERROR(IF($D$33&gt;=X$338,X482*X739,0),0)</f>
        <v>0</v>
      </c>
      <c r="Y419" s="229">
        <f>IFERROR(IF($D$33&gt;=Y$338,Y482*Y739,0),0)</f>
        <v>0</v>
      </c>
      <c r="Z419" s="229">
        <f>IFERROR(IF($D$33&gt;=Z$338,Z482*Z739,0),0)</f>
        <v>0</v>
      </c>
      <c r="AA419" s="229">
        <f>IFERROR(IF($D$33&gt;=AA$338,AA482*AA739,0),0)</f>
        <v>0</v>
      </c>
      <c r="AB419" s="298">
        <f>IFERROR(IF($D$33&gt;=AB$338,AB482*AB739,0),0)</f>
        <v>0</v>
      </c>
    </row>
    <row r="420" spans="1:28" ht="12" customHeight="1" x14ac:dyDescent="0.3">
      <c r="A420" s="8"/>
      <c r="B420" s="8"/>
      <c r="C420" s="495">
        <f>C350</f>
        <v>335</v>
      </c>
      <c r="D420" s="297">
        <f>IFERROR(IF($D$33&gt;=D$338,D483*D740,0),0)</f>
        <v>0</v>
      </c>
      <c r="E420" s="229">
        <f>IFERROR(IF($D$33&gt;=E$338,E483*E740,0),0)</f>
        <v>0</v>
      </c>
      <c r="F420" s="229">
        <f>IFERROR(IF($D$33&gt;=F$338,F483*F740,0),0)</f>
        <v>0</v>
      </c>
      <c r="G420" s="229">
        <f>IFERROR(IF($D$33&gt;=G$338,G483*G740,0),0)</f>
        <v>0</v>
      </c>
      <c r="H420" s="229">
        <f>IFERROR(IF($D$33&gt;=H$338,H483*H740,0),0)</f>
        <v>0</v>
      </c>
      <c r="I420" s="229">
        <f>IFERROR(IF($D$33&gt;=I$338,I483*I740,0),0)</f>
        <v>0</v>
      </c>
      <c r="J420" s="229">
        <f>IFERROR(IF($D$33&gt;=J$338,J483*J740,0),0)</f>
        <v>0</v>
      </c>
      <c r="K420" s="229">
        <f>IFERROR(IF($D$33&gt;=K$338,K483*K740,0),0)</f>
        <v>0</v>
      </c>
      <c r="L420" s="229">
        <f>IFERROR(IF($D$33&gt;=L$338,L483*L740,0),0)</f>
        <v>0</v>
      </c>
      <c r="M420" s="229">
        <f>IFERROR(IF($D$33&gt;=M$338,M483*M740,0),0)</f>
        <v>0</v>
      </c>
      <c r="N420" s="229">
        <f>IFERROR(IF($D$33&gt;=N$338,N483*N740,0),0)</f>
        <v>0</v>
      </c>
      <c r="O420" s="229">
        <f>IFERROR(IF($D$33&gt;=O$338,O483*O740,0),0)</f>
        <v>0</v>
      </c>
      <c r="P420" s="229">
        <f>IFERROR(IF($D$33&gt;=P$338,P483*P740,0),0)</f>
        <v>0</v>
      </c>
      <c r="Q420" s="229">
        <f>IFERROR(IF($D$33&gt;=Q$338,Q483*Q740,0),0)</f>
        <v>0</v>
      </c>
      <c r="R420" s="229">
        <f>IFERROR(IF($D$33&gt;=R$338,R483*R740,0),0)</f>
        <v>0</v>
      </c>
      <c r="S420" s="229">
        <f>IFERROR(IF($D$33&gt;=S$338,S483*S740,0),0)</f>
        <v>0</v>
      </c>
      <c r="T420" s="229">
        <f>IFERROR(IF($D$33&gt;=T$338,T483*T740,0),0)</f>
        <v>0</v>
      </c>
      <c r="U420" s="229">
        <f>IFERROR(IF($D$33&gt;=U$338,U483*U740,0),0)</f>
        <v>0</v>
      </c>
      <c r="V420" s="229">
        <f>IFERROR(IF($D$33&gt;=V$338,V483*V740,0),0)</f>
        <v>0</v>
      </c>
      <c r="W420" s="229">
        <f>IFERROR(IF($D$33&gt;=W$338,W483*W740,0),0)</f>
        <v>0</v>
      </c>
      <c r="X420" s="229">
        <f>IFERROR(IF($D$33&gt;=X$338,X483*X740,0),0)</f>
        <v>0</v>
      </c>
      <c r="Y420" s="229">
        <f>IFERROR(IF($D$33&gt;=Y$338,Y483*Y740,0),0)</f>
        <v>0</v>
      </c>
      <c r="Z420" s="229">
        <f>IFERROR(IF($D$33&gt;=Z$338,Z483*Z740,0),0)</f>
        <v>0</v>
      </c>
      <c r="AA420" s="229">
        <f>IFERROR(IF($D$33&gt;=AA$338,AA483*AA740,0),0)</f>
        <v>0</v>
      </c>
      <c r="AB420" s="298">
        <f>IFERROR(IF($D$33&gt;=AB$338,AB483*AB740,0),0)</f>
        <v>0</v>
      </c>
    </row>
    <row r="421" spans="1:28" ht="12" customHeight="1" thickBot="1" x14ac:dyDescent="0.35">
      <c r="A421" s="8"/>
      <c r="B421" s="8"/>
      <c r="C421" s="496">
        <f>C351</f>
        <v>366</v>
      </c>
      <c r="D421" s="301">
        <f>IFERROR(IF($D$33&gt;=D$338,D484*D741,0),0)</f>
      </c>
      <c r="E421" s="302">
        <f>IFERROR(IF($D$33&gt;=E$338,E484*E741,0),0)</f>
        <v>0</v>
      </c>
      <c r="F421" s="302">
        <f>IFERROR(IF($D$33&gt;=F$338,F484*F741,0),0)</f>
        <v>0</v>
      </c>
      <c r="G421" s="302">
        <f>IFERROR(IF($D$33&gt;=G$338,G484*G741,0),0)</f>
        <v>0</v>
      </c>
      <c r="H421" s="302">
        <f>IFERROR(IF($D$33&gt;=H$338,H484*H741,0),0)</f>
        <v>0</v>
      </c>
      <c r="I421" s="302">
        <f>IFERROR(IF($D$33&gt;=I$338,I484*I741,0),0)</f>
        <v>0</v>
      </c>
      <c r="J421" s="302">
        <f>IFERROR(IF($D$33&gt;=J$338,J484*J741,0),0)</f>
        <v>0</v>
      </c>
      <c r="K421" s="302">
        <f>IFERROR(IF($D$33&gt;=K$338,K484*K741,0),0)</f>
        <v>0</v>
      </c>
      <c r="L421" s="302">
        <f>IFERROR(IF($D$33&gt;=L$338,L484*L741,0),0)</f>
        <v>0</v>
      </c>
      <c r="M421" s="302">
        <f>IFERROR(IF($D$33&gt;=M$338,M484*M741,0),0)</f>
        <v>0</v>
      </c>
      <c r="N421" s="302">
        <f>IFERROR(IF($D$33&gt;=N$338,N484*N741,0),0)</f>
        <v>0</v>
      </c>
      <c r="O421" s="302">
        <f>IFERROR(IF($D$33&gt;=O$338,O484*O741,0),0)</f>
        <v>0</v>
      </c>
      <c r="P421" s="302">
        <f>IFERROR(IF($D$33&gt;=P$338,P484*P741,0),0)</f>
        <v>0</v>
      </c>
      <c r="Q421" s="302">
        <f>IFERROR(IF($D$33&gt;=Q$338,Q484*Q741,0),0)</f>
        <v>0</v>
      </c>
      <c r="R421" s="302">
        <f>IFERROR(IF($D$33&gt;=R$338,R484*R741,0),0)</f>
        <v>0</v>
      </c>
      <c r="S421" s="302">
        <f>IFERROR(IF($D$33&gt;=S$338,S484*S741,0),0)</f>
        <v>0</v>
      </c>
      <c r="T421" s="302">
        <f>IFERROR(IF($D$33&gt;=T$338,T484*T741,0),0)</f>
        <v>0</v>
      </c>
      <c r="U421" s="302">
        <f>IFERROR(IF($D$33&gt;=U$338,U484*U741,0),0)</f>
        <v>0</v>
      </c>
      <c r="V421" s="302">
        <f>IFERROR(IF($D$33&gt;=V$338,V484*V741,0),0)</f>
        <v>0</v>
      </c>
      <c r="W421" s="302">
        <f>IFERROR(IF($D$33&gt;=W$338,W484*W741,0),0)</f>
        <v>0</v>
      </c>
      <c r="X421" s="302">
        <f>IFERROR(IF($D$33&gt;=X$338,X484*X741,0),0)</f>
        <v>0</v>
      </c>
      <c r="Y421" s="302">
        <f>IFERROR(IF($D$33&gt;=Y$338,Y484*Y741,0),0)</f>
        <v>0</v>
      </c>
      <c r="Z421" s="302">
        <f>IFERROR(IF($D$33&gt;=Z$338,Z484*Z741,0),0)</f>
        <v>0</v>
      </c>
      <c r="AA421" s="302">
        <f>IFERROR(IF($D$33&gt;=AA$338,AA484*AA741,0),0)</f>
        <v>0</v>
      </c>
      <c r="AB421" s="303">
        <f>IFERROR(IF($D$33&gt;=AB$338,AB484*AB741,0),0)</f>
        <v>0</v>
      </c>
    </row>
    <row r="422" spans="1:28" ht="12" customHeight="1" x14ac:dyDescent="0.3">
      <c r="A422" s="8"/>
      <c r="B422" s="8"/>
      <c r="C422" s="495">
        <f>C352</f>
        <v>397</v>
      </c>
      <c r="D422" s="299">
        <f>IFERROR(IF($D$33&gt;=D$338,D485*D742,0),0)</f>
      </c>
      <c r="E422" s="231">
        <f>IFERROR(IF($D$33&gt;=E$338,E485*E742,0),0)</f>
        <v>0</v>
      </c>
      <c r="F422" s="231">
        <f>IFERROR(IF($D$33&gt;=F$338,F485*F742,0),0)</f>
        <v>0</v>
      </c>
      <c r="G422" s="231">
        <f>IFERROR(IF($D$33&gt;=G$338,G485*G742,0),0)</f>
        <v>0</v>
      </c>
      <c r="H422" s="231">
        <f>IFERROR(IF($D$33&gt;=H$338,H485*H742,0),0)</f>
        <v>0</v>
      </c>
      <c r="I422" s="231">
        <f>IFERROR(IF($D$33&gt;=I$338,I485*I742,0),0)</f>
        <v>0</v>
      </c>
      <c r="J422" s="231">
        <f>IFERROR(IF($D$33&gt;=J$338,J485*J742,0),0)</f>
        <v>0</v>
      </c>
      <c r="K422" s="231">
        <f>IFERROR(IF($D$33&gt;=K$338,K485*K742,0),0)</f>
        <v>0</v>
      </c>
      <c r="L422" s="231">
        <f>IFERROR(IF($D$33&gt;=L$338,L485*L742,0),0)</f>
        <v>0</v>
      </c>
      <c r="M422" s="231">
        <f>IFERROR(IF($D$33&gt;=M$338,M485*M742,0),0)</f>
        <v>0</v>
      </c>
      <c r="N422" s="231">
        <f>IFERROR(IF($D$33&gt;=N$338,N485*N742,0),0)</f>
        <v>0</v>
      </c>
      <c r="O422" s="231">
        <f>IFERROR(IF($D$33&gt;=O$338,O485*O742,0),0)</f>
        <v>0</v>
      </c>
      <c r="P422" s="231">
        <f>IFERROR(IF($D$33&gt;=P$338,P485*P742,0),0)</f>
        <v>0</v>
      </c>
      <c r="Q422" s="231">
        <f>IFERROR(IF($D$33&gt;=Q$338,Q485*Q742,0),0)</f>
        <v>0</v>
      </c>
      <c r="R422" s="231">
        <f>IFERROR(IF($D$33&gt;=R$338,R485*R742,0),0)</f>
        <v>0</v>
      </c>
      <c r="S422" s="231">
        <f>IFERROR(IF($D$33&gt;=S$338,S485*S742,0),0)</f>
        <v>0</v>
      </c>
      <c r="T422" s="231">
        <f>IFERROR(IF($D$33&gt;=T$338,T485*T742,0),0)</f>
        <v>0</v>
      </c>
      <c r="U422" s="231">
        <f>IFERROR(IF($D$33&gt;=U$338,U485*U742,0),0)</f>
        <v>0</v>
      </c>
      <c r="V422" s="231">
        <f>IFERROR(IF($D$33&gt;=V$338,V485*V742,0),0)</f>
        <v>0</v>
      </c>
      <c r="W422" s="231">
        <f>IFERROR(IF($D$33&gt;=W$338,W485*W742,0),0)</f>
        <v>0</v>
      </c>
      <c r="X422" s="231">
        <f>IFERROR(IF($D$33&gt;=X$338,X485*X742,0),0)</f>
        <v>0</v>
      </c>
      <c r="Y422" s="231">
        <f>IFERROR(IF($D$33&gt;=Y$338,Y485*Y742,0),0)</f>
        <v>0</v>
      </c>
      <c r="Z422" s="231">
        <f>IFERROR(IF($D$33&gt;=Z$338,Z485*Z742,0),0)</f>
        <v>0</v>
      </c>
      <c r="AA422" s="231">
        <f>IFERROR(IF($D$33&gt;=AA$338,AA485*AA742,0),0)</f>
        <v>0</v>
      </c>
      <c r="AB422" s="300">
        <f>IFERROR(IF($D$33&gt;=AB$338,AB485*AB742,0),0)</f>
        <v>0</v>
      </c>
    </row>
    <row r="423" spans="1:28" ht="12" customHeight="1" x14ac:dyDescent="0.3">
      <c r="A423" s="8"/>
      <c r="B423" s="8"/>
      <c r="C423" s="495">
        <f>C353</f>
        <v>425</v>
      </c>
      <c r="D423" s="297">
        <f>IFERROR(IF($D$33&gt;=D$338,D486*D743,0),0)</f>
      </c>
      <c r="E423" s="229">
        <f>IFERROR(IF($D$33&gt;=E$338,E486*E743,0),0)</f>
        <v>0</v>
      </c>
      <c r="F423" s="229">
        <f>IFERROR(IF($D$33&gt;=F$338,F486*F743,0),0)</f>
        <v>0</v>
      </c>
      <c r="G423" s="229">
        <f>IFERROR(IF($D$33&gt;=G$338,G486*G743,0),0)</f>
        <v>0</v>
      </c>
      <c r="H423" s="229">
        <f>IFERROR(IF($D$33&gt;=H$338,H486*H743,0),0)</f>
        <v>0</v>
      </c>
      <c r="I423" s="229">
        <f>IFERROR(IF($D$33&gt;=I$338,I486*I743,0),0)</f>
        <v>0</v>
      </c>
      <c r="J423" s="229">
        <f>IFERROR(IF($D$33&gt;=J$338,J486*J743,0),0)</f>
        <v>0</v>
      </c>
      <c r="K423" s="229">
        <f>IFERROR(IF($D$33&gt;=K$338,K486*K743,0),0)</f>
        <v>0</v>
      </c>
      <c r="L423" s="229">
        <f>IFERROR(IF($D$33&gt;=L$338,L486*L743,0),0)</f>
        <v>0</v>
      </c>
      <c r="M423" s="229">
        <f>IFERROR(IF($D$33&gt;=M$338,M486*M743,0),0)</f>
        <v>0</v>
      </c>
      <c r="N423" s="229">
        <f>IFERROR(IF($D$33&gt;=N$338,N486*N743,0),0)</f>
        <v>0</v>
      </c>
      <c r="O423" s="229">
        <f>IFERROR(IF($D$33&gt;=O$338,O486*O743,0),0)</f>
        <v>0</v>
      </c>
      <c r="P423" s="229">
        <f>IFERROR(IF($D$33&gt;=P$338,P486*P743,0),0)</f>
        <v>0</v>
      </c>
      <c r="Q423" s="229">
        <f>IFERROR(IF($D$33&gt;=Q$338,Q486*Q743,0),0)</f>
        <v>0</v>
      </c>
      <c r="R423" s="229">
        <f>IFERROR(IF($D$33&gt;=R$338,R486*R743,0),0)</f>
        <v>0</v>
      </c>
      <c r="S423" s="229">
        <f>IFERROR(IF($D$33&gt;=S$338,S486*S743,0),0)</f>
        <v>0</v>
      </c>
      <c r="T423" s="229">
        <f>IFERROR(IF($D$33&gt;=T$338,T486*T743,0),0)</f>
        <v>0</v>
      </c>
      <c r="U423" s="229">
        <f>IFERROR(IF($D$33&gt;=U$338,U486*U743,0),0)</f>
        <v>0</v>
      </c>
      <c r="V423" s="229">
        <f>IFERROR(IF($D$33&gt;=V$338,V486*V743,0),0)</f>
        <v>0</v>
      </c>
      <c r="W423" s="229">
        <f>IFERROR(IF($D$33&gt;=W$338,W486*W743,0),0)</f>
        <v>0</v>
      </c>
      <c r="X423" s="229">
        <f>IFERROR(IF($D$33&gt;=X$338,X486*X743,0),0)</f>
        <v>0</v>
      </c>
      <c r="Y423" s="229">
        <f>IFERROR(IF($D$33&gt;=Y$338,Y486*Y743,0),0)</f>
        <v>0</v>
      </c>
      <c r="Z423" s="229">
        <f>IFERROR(IF($D$33&gt;=Z$338,Z486*Z743,0),0)</f>
        <v>0</v>
      </c>
      <c r="AA423" s="229">
        <f>IFERROR(IF($D$33&gt;=AA$338,AA486*AA743,0),0)</f>
        <v>0</v>
      </c>
      <c r="AB423" s="298">
        <f>IFERROR(IF($D$33&gt;=AB$338,AB486*AB743,0),0)</f>
        <v>0</v>
      </c>
    </row>
    <row r="424" spans="1:28" ht="12" customHeight="1" x14ac:dyDescent="0.3">
      <c r="A424" s="8"/>
      <c r="B424" s="8"/>
      <c r="C424" s="495">
        <f>C354</f>
        <v>456</v>
      </c>
      <c r="D424" s="297">
        <f>IFERROR(IF($D$33&gt;=D$338,D487*D744,0),0)</f>
        <v>0</v>
      </c>
      <c r="E424" s="229">
        <f>IFERROR(IF($D$33&gt;=E$338,E487*E744,0),0)</f>
        <v>0</v>
      </c>
      <c r="F424" s="229">
        <f>IFERROR(IF($D$33&gt;=F$338,F487*F744,0),0)</f>
        <v>0</v>
      </c>
      <c r="G424" s="229">
        <f>IFERROR(IF($D$33&gt;=G$338,G487*G744,0),0)</f>
        <v>0</v>
      </c>
      <c r="H424" s="229">
        <f>IFERROR(IF($D$33&gt;=H$338,H487*H744,0),0)</f>
        <v>0</v>
      </c>
      <c r="I424" s="229">
        <f>IFERROR(IF($D$33&gt;=I$338,I487*I744,0),0)</f>
        <v>0</v>
      </c>
      <c r="J424" s="229">
        <f>IFERROR(IF($D$33&gt;=J$338,J487*J744,0),0)</f>
        <v>0</v>
      </c>
      <c r="K424" s="229">
        <f>IFERROR(IF($D$33&gt;=K$338,K487*K744,0),0)</f>
        <v>0</v>
      </c>
      <c r="L424" s="229">
        <f>IFERROR(IF($D$33&gt;=L$338,L487*L744,0),0)</f>
        <v>0</v>
      </c>
      <c r="M424" s="229">
        <f>IFERROR(IF($D$33&gt;=M$338,M487*M744,0),0)</f>
        <v>0</v>
      </c>
      <c r="N424" s="229">
        <f>IFERROR(IF($D$33&gt;=N$338,N487*N744,0),0)</f>
        <v>0</v>
      </c>
      <c r="O424" s="229">
        <f>IFERROR(IF($D$33&gt;=O$338,O487*O744,0),0)</f>
        <v>0</v>
      </c>
      <c r="P424" s="229">
        <f>IFERROR(IF($D$33&gt;=P$338,P487*P744,0),0)</f>
        <v>0</v>
      </c>
      <c r="Q424" s="229">
        <f>IFERROR(IF($D$33&gt;=Q$338,Q487*Q744,0),0)</f>
        <v>0</v>
      </c>
      <c r="R424" s="229">
        <f>IFERROR(IF($D$33&gt;=R$338,R487*R744,0),0)</f>
        <v>0</v>
      </c>
      <c r="S424" s="229">
        <f>IFERROR(IF($D$33&gt;=S$338,S487*S744,0),0)</f>
        <v>0</v>
      </c>
      <c r="T424" s="229">
        <f>IFERROR(IF($D$33&gt;=T$338,T487*T744,0),0)</f>
        <v>0</v>
      </c>
      <c r="U424" s="229">
        <f>IFERROR(IF($D$33&gt;=U$338,U487*U744,0),0)</f>
        <v>0</v>
      </c>
      <c r="V424" s="229">
        <f>IFERROR(IF($D$33&gt;=V$338,V487*V744,0),0)</f>
        <v>0</v>
      </c>
      <c r="W424" s="229">
        <f>IFERROR(IF($D$33&gt;=W$338,W487*W744,0),0)</f>
        <v>0</v>
      </c>
      <c r="X424" s="229">
        <f>IFERROR(IF($D$33&gt;=X$338,X487*X744,0),0)</f>
        <v>0</v>
      </c>
      <c r="Y424" s="229">
        <f>IFERROR(IF($D$33&gt;=Y$338,Y487*Y744,0),0)</f>
        <v>0</v>
      </c>
      <c r="Z424" s="229">
        <f>IFERROR(IF($D$33&gt;=Z$338,Z487*Z744,0),0)</f>
        <v>0</v>
      </c>
      <c r="AA424" s="229">
        <f>IFERROR(IF($D$33&gt;=AA$338,AA487*AA744,0),0)</f>
        <v>0</v>
      </c>
      <c r="AB424" s="298">
        <f>IFERROR(IF($D$33&gt;=AB$338,AB487*AB744,0),0)</f>
        <v>0</v>
      </c>
    </row>
    <row r="425" spans="1:28" ht="12" customHeight="1" x14ac:dyDescent="0.3">
      <c r="A425" s="8"/>
      <c r="B425" s="8"/>
      <c r="C425" s="495">
        <f>C355</f>
        <v>486</v>
      </c>
      <c r="D425" s="297">
        <f>IFERROR(IF($D$33&gt;=D$338,D488*D745,0),0)</f>
        <v>0</v>
      </c>
      <c r="E425" s="229">
        <f>IFERROR(IF($D$33&gt;=E$338,E488*E745,0),0)</f>
        <v>0</v>
      </c>
      <c r="F425" s="229">
        <f>IFERROR(IF($D$33&gt;=F$338,F488*F745,0),0)</f>
        <v>0</v>
      </c>
      <c r="G425" s="229">
        <f>IFERROR(IF($D$33&gt;=G$338,G488*G745,0),0)</f>
        <v>0</v>
      </c>
      <c r="H425" s="229">
        <f>IFERROR(IF($D$33&gt;=H$338,H488*H745,0),0)</f>
        <v>0</v>
      </c>
      <c r="I425" s="229">
        <f>IFERROR(IF($D$33&gt;=I$338,I488*I745,0),0)</f>
        <v>0</v>
      </c>
      <c r="J425" s="229">
        <f>IFERROR(IF($D$33&gt;=J$338,J488*J745,0),0)</f>
        <v>0</v>
      </c>
      <c r="K425" s="229">
        <f>IFERROR(IF($D$33&gt;=K$338,K488*K745,0),0)</f>
        <v>0</v>
      </c>
      <c r="L425" s="229">
        <f>IFERROR(IF($D$33&gt;=L$338,L488*L745,0),0)</f>
        <v>0</v>
      </c>
      <c r="M425" s="229">
        <f>IFERROR(IF($D$33&gt;=M$338,M488*M745,0),0)</f>
        <v>0</v>
      </c>
      <c r="N425" s="229">
        <f>IFERROR(IF($D$33&gt;=N$338,N488*N745,0),0)</f>
        <v>0</v>
      </c>
      <c r="O425" s="229">
        <f>IFERROR(IF($D$33&gt;=O$338,O488*O745,0),0)</f>
        <v>0</v>
      </c>
      <c r="P425" s="229">
        <f>IFERROR(IF($D$33&gt;=P$338,P488*P745,0),0)</f>
        <v>0</v>
      </c>
      <c r="Q425" s="229">
        <f>IFERROR(IF($D$33&gt;=Q$338,Q488*Q745,0),0)</f>
        <v>0</v>
      </c>
      <c r="R425" s="229">
        <f>IFERROR(IF($D$33&gt;=R$338,R488*R745,0),0)</f>
        <v>0</v>
      </c>
      <c r="S425" s="229">
        <f>IFERROR(IF($D$33&gt;=S$338,S488*S745,0),0)</f>
        <v>0</v>
      </c>
      <c r="T425" s="229">
        <f>IFERROR(IF($D$33&gt;=T$338,T488*T745,0),0)</f>
        <v>0</v>
      </c>
      <c r="U425" s="229">
        <f>IFERROR(IF($D$33&gt;=U$338,U488*U745,0),0)</f>
        <v>0</v>
      </c>
      <c r="V425" s="229">
        <f>IFERROR(IF($D$33&gt;=V$338,V488*V745,0),0)</f>
        <v>0</v>
      </c>
      <c r="W425" s="229">
        <f>IFERROR(IF($D$33&gt;=W$338,W488*W745,0),0)</f>
        <v>0</v>
      </c>
      <c r="X425" s="229">
        <f>IFERROR(IF($D$33&gt;=X$338,X488*X745,0),0)</f>
        <v>0</v>
      </c>
      <c r="Y425" s="229">
        <f>IFERROR(IF($D$33&gt;=Y$338,Y488*Y745,0),0)</f>
        <v>0</v>
      </c>
      <c r="Z425" s="229">
        <f>IFERROR(IF($D$33&gt;=Z$338,Z488*Z745,0),0)</f>
        <v>0</v>
      </c>
      <c r="AA425" s="229">
        <f>IFERROR(IF($D$33&gt;=AA$338,AA488*AA745,0),0)</f>
        <v>0</v>
      </c>
      <c r="AB425" s="298">
        <f>IFERROR(IF($D$33&gt;=AB$338,AB488*AB745,0),0)</f>
        <v>0</v>
      </c>
    </row>
    <row r="426" spans="1:28" ht="12" customHeight="1" x14ac:dyDescent="0.3">
      <c r="A426" s="8"/>
      <c r="B426" s="8"/>
      <c r="C426" s="495">
        <f>C356</f>
        <v>517</v>
      </c>
      <c r="D426" s="297">
        <f>IFERROR(IF($D$33&gt;=D$338,D489*D746,0),0)</f>
        <v>0</v>
      </c>
      <c r="E426" s="229">
        <f>IFERROR(IF($D$33&gt;=E$338,E489*E746,0),0)</f>
        <v>0</v>
      </c>
      <c r="F426" s="229">
        <f>IFERROR(IF($D$33&gt;=F$338,F489*F746,0),0)</f>
        <v>0</v>
      </c>
      <c r="G426" s="229">
        <f>IFERROR(IF($D$33&gt;=G$338,G489*G746,0),0)</f>
        <v>0</v>
      </c>
      <c r="H426" s="229">
        <f>IFERROR(IF($D$33&gt;=H$338,H489*H746,0),0)</f>
        <v>0</v>
      </c>
      <c r="I426" s="229">
        <f>IFERROR(IF($D$33&gt;=I$338,I489*I746,0),0)</f>
        <v>0</v>
      </c>
      <c r="J426" s="229">
        <f>IFERROR(IF($D$33&gt;=J$338,J489*J746,0),0)</f>
        <v>0</v>
      </c>
      <c r="K426" s="229">
        <f>IFERROR(IF($D$33&gt;=K$338,K489*K746,0),0)</f>
        <v>0</v>
      </c>
      <c r="L426" s="229">
        <f>IFERROR(IF($D$33&gt;=L$338,L489*L746,0),0)</f>
        <v>0</v>
      </c>
      <c r="M426" s="229">
        <f>IFERROR(IF($D$33&gt;=M$338,M489*M746,0),0)</f>
        <v>0</v>
      </c>
      <c r="N426" s="229">
        <f>IFERROR(IF($D$33&gt;=N$338,N489*N746,0),0)</f>
        <v>0</v>
      </c>
      <c r="O426" s="229">
        <f>IFERROR(IF($D$33&gt;=O$338,O489*O746,0),0)</f>
        <v>0</v>
      </c>
      <c r="P426" s="229">
        <f>IFERROR(IF($D$33&gt;=P$338,P489*P746,0),0)</f>
        <v>0</v>
      </c>
      <c r="Q426" s="229">
        <f>IFERROR(IF($D$33&gt;=Q$338,Q489*Q746,0),0)</f>
        <v>0</v>
      </c>
      <c r="R426" s="229">
        <f>IFERROR(IF($D$33&gt;=R$338,R489*R746,0),0)</f>
        <v>0</v>
      </c>
      <c r="S426" s="229">
        <f>IFERROR(IF($D$33&gt;=S$338,S489*S746,0),0)</f>
        <v>0</v>
      </c>
      <c r="T426" s="229">
        <f>IFERROR(IF($D$33&gt;=T$338,T489*T746,0),0)</f>
        <v>0</v>
      </c>
      <c r="U426" s="229">
        <f>IFERROR(IF($D$33&gt;=U$338,U489*U746,0),0)</f>
        <v>0</v>
      </c>
      <c r="V426" s="229">
        <f>IFERROR(IF($D$33&gt;=V$338,V489*V746,0),0)</f>
        <v>0</v>
      </c>
      <c r="W426" s="229">
        <f>IFERROR(IF($D$33&gt;=W$338,W489*W746,0),0)</f>
        <v>0</v>
      </c>
      <c r="X426" s="229">
        <f>IFERROR(IF($D$33&gt;=X$338,X489*X746,0),0)</f>
        <v>0</v>
      </c>
      <c r="Y426" s="229">
        <f>IFERROR(IF($D$33&gt;=Y$338,Y489*Y746,0),0)</f>
        <v>0</v>
      </c>
      <c r="Z426" s="229">
        <f>IFERROR(IF($D$33&gt;=Z$338,Z489*Z746,0),0)</f>
        <v>0</v>
      </c>
      <c r="AA426" s="229">
        <f>IFERROR(IF($D$33&gt;=AA$338,AA489*AA746,0),0)</f>
        <v>0</v>
      </c>
      <c r="AB426" s="298">
        <f>IFERROR(IF($D$33&gt;=AB$338,AB489*AB746,0),0)</f>
        <v>0</v>
      </c>
    </row>
    <row r="427" spans="1:28" ht="12" customHeight="1" x14ac:dyDescent="0.3">
      <c r="A427" s="8"/>
      <c r="B427" s="8"/>
      <c r="C427" s="495">
        <f>C357</f>
        <v>547</v>
      </c>
      <c r="D427" s="297">
        <f>IFERROR(IF($D$33&gt;=D$338,D490*D747,0),0)</f>
        <v>0</v>
      </c>
      <c r="E427" s="229">
        <f>IFERROR(IF($D$33&gt;=E$338,E490*E747,0),0)</f>
        <v>0</v>
      </c>
      <c r="F427" s="229">
        <f>IFERROR(IF($D$33&gt;=F$338,F490*F747,0),0)</f>
        <v>0</v>
      </c>
      <c r="G427" s="229">
        <f>IFERROR(IF($D$33&gt;=G$338,G490*G747,0),0)</f>
        <v>0</v>
      </c>
      <c r="H427" s="229">
        <f>IFERROR(IF($D$33&gt;=H$338,H490*H747,0),0)</f>
        <v>0</v>
      </c>
      <c r="I427" s="229">
        <f>IFERROR(IF($D$33&gt;=I$338,I490*I747,0),0)</f>
        <v>0</v>
      </c>
      <c r="J427" s="229">
        <f>IFERROR(IF($D$33&gt;=J$338,J490*J747,0),0)</f>
        <v>0</v>
      </c>
      <c r="K427" s="229">
        <f>IFERROR(IF($D$33&gt;=K$338,K490*K747,0),0)</f>
        <v>0</v>
      </c>
      <c r="L427" s="229">
        <f>IFERROR(IF($D$33&gt;=L$338,L490*L747,0),0)</f>
        <v>0</v>
      </c>
      <c r="M427" s="229">
        <f>IFERROR(IF($D$33&gt;=M$338,M490*M747,0),0)</f>
        <v>0</v>
      </c>
      <c r="N427" s="229">
        <f>IFERROR(IF($D$33&gt;=N$338,N490*N747,0),0)</f>
        <v>0</v>
      </c>
      <c r="O427" s="229">
        <f>IFERROR(IF($D$33&gt;=O$338,O490*O747,0),0)</f>
        <v>0</v>
      </c>
      <c r="P427" s="229">
        <f>IFERROR(IF($D$33&gt;=P$338,P490*P747,0),0)</f>
        <v>0</v>
      </c>
      <c r="Q427" s="229">
        <f>IFERROR(IF($D$33&gt;=Q$338,Q490*Q747,0),0)</f>
        <v>0</v>
      </c>
      <c r="R427" s="229">
        <f>IFERROR(IF($D$33&gt;=R$338,R490*R747,0),0)</f>
        <v>0</v>
      </c>
      <c r="S427" s="229">
        <f>IFERROR(IF($D$33&gt;=S$338,S490*S747,0),0)</f>
        <v>0</v>
      </c>
      <c r="T427" s="229">
        <f>IFERROR(IF($D$33&gt;=T$338,T490*T747,0),0)</f>
        <v>0</v>
      </c>
      <c r="U427" s="229">
        <f>IFERROR(IF($D$33&gt;=U$338,U490*U747,0),0)</f>
        <v>0</v>
      </c>
      <c r="V427" s="229">
        <f>IFERROR(IF($D$33&gt;=V$338,V490*V747,0),0)</f>
        <v>0</v>
      </c>
      <c r="W427" s="229">
        <f>IFERROR(IF($D$33&gt;=W$338,W490*W747,0),0)</f>
        <v>0</v>
      </c>
      <c r="X427" s="229">
        <f>IFERROR(IF($D$33&gt;=X$338,X490*X747,0),0)</f>
        <v>0</v>
      </c>
      <c r="Y427" s="229">
        <f>IFERROR(IF($D$33&gt;=Y$338,Y490*Y747,0),0)</f>
        <v>0</v>
      </c>
      <c r="Z427" s="229">
        <f>IFERROR(IF($D$33&gt;=Z$338,Z490*Z747,0),0)</f>
        <v>0</v>
      </c>
      <c r="AA427" s="229">
        <f>IFERROR(IF($D$33&gt;=AA$338,AA490*AA747,0),0)</f>
        <v>0</v>
      </c>
      <c r="AB427" s="298">
        <f>IFERROR(IF($D$33&gt;=AB$338,AB490*AB747,0),0)</f>
        <v>0</v>
      </c>
    </row>
    <row r="428" spans="1:28" ht="12" customHeight="1" x14ac:dyDescent="0.3">
      <c r="A428" s="8"/>
      <c r="B428" s="8"/>
      <c r="C428" s="495">
        <f>C358</f>
        <v>578</v>
      </c>
      <c r="D428" s="297">
        <f>IFERROR(IF($D$33&gt;=D$338,D491*D748,0),0)</f>
        <v>0</v>
      </c>
      <c r="E428" s="229">
        <f>IFERROR(IF($D$33&gt;=E$338,E491*E748,0),0)</f>
        <v>0</v>
      </c>
      <c r="F428" s="229">
        <f>IFERROR(IF($D$33&gt;=F$338,F491*F748,0),0)</f>
        <v>0</v>
      </c>
      <c r="G428" s="229">
        <f>IFERROR(IF($D$33&gt;=G$338,G491*G748,0),0)</f>
        <v>0</v>
      </c>
      <c r="H428" s="229">
        <f>IFERROR(IF($D$33&gt;=H$338,H491*H748,0),0)</f>
        <v>0</v>
      </c>
      <c r="I428" s="229">
        <f>IFERROR(IF($D$33&gt;=I$338,I491*I748,0),0)</f>
        <v>0</v>
      </c>
      <c r="J428" s="229">
        <f>IFERROR(IF($D$33&gt;=J$338,J491*J748,0),0)</f>
        <v>0</v>
      </c>
      <c r="K428" s="229">
        <f>IFERROR(IF($D$33&gt;=K$338,K491*K748,0),0)</f>
        <v>0</v>
      </c>
      <c r="L428" s="229">
        <f>IFERROR(IF($D$33&gt;=L$338,L491*L748,0),0)</f>
        <v>0</v>
      </c>
      <c r="M428" s="229">
        <f>IFERROR(IF($D$33&gt;=M$338,M491*M748,0),0)</f>
        <v>0</v>
      </c>
      <c r="N428" s="229">
        <f>IFERROR(IF($D$33&gt;=N$338,N491*N748,0),0)</f>
        <v>0</v>
      </c>
      <c r="O428" s="229">
        <f>IFERROR(IF($D$33&gt;=O$338,O491*O748,0),0)</f>
        <v>0</v>
      </c>
      <c r="P428" s="229">
        <f>IFERROR(IF($D$33&gt;=P$338,P491*P748,0),0)</f>
        <v>0</v>
      </c>
      <c r="Q428" s="229">
        <f>IFERROR(IF($D$33&gt;=Q$338,Q491*Q748,0),0)</f>
        <v>0</v>
      </c>
      <c r="R428" s="229">
        <f>IFERROR(IF($D$33&gt;=R$338,R491*R748,0),0)</f>
        <v>0</v>
      </c>
      <c r="S428" s="229">
        <f>IFERROR(IF($D$33&gt;=S$338,S491*S748,0),0)</f>
        <v>0</v>
      </c>
      <c r="T428" s="229">
        <f>IFERROR(IF($D$33&gt;=T$338,T491*T748,0),0)</f>
        <v>0</v>
      </c>
      <c r="U428" s="229">
        <f>IFERROR(IF($D$33&gt;=U$338,U491*U748,0),0)</f>
        <v>0</v>
      </c>
      <c r="V428" s="229">
        <f>IFERROR(IF($D$33&gt;=V$338,V491*V748,0),0)</f>
        <v>0</v>
      </c>
      <c r="W428" s="229">
        <f>IFERROR(IF($D$33&gt;=W$338,W491*W748,0),0)</f>
        <v>0</v>
      </c>
      <c r="X428" s="229">
        <f>IFERROR(IF($D$33&gt;=X$338,X491*X748,0),0)</f>
        <v>0</v>
      </c>
      <c r="Y428" s="229">
        <f>IFERROR(IF($D$33&gt;=Y$338,Y491*Y748,0),0)</f>
        <v>0</v>
      </c>
      <c r="Z428" s="229">
        <f>IFERROR(IF($D$33&gt;=Z$338,Z491*Z748,0),0)</f>
        <v>0</v>
      </c>
      <c r="AA428" s="229">
        <f>IFERROR(IF($D$33&gt;=AA$338,AA491*AA748,0),0)</f>
        <v>0</v>
      </c>
      <c r="AB428" s="298">
        <f>IFERROR(IF($D$33&gt;=AB$338,AB491*AB748,0),0)</f>
        <v>0</v>
      </c>
    </row>
    <row r="429" spans="1:28" ht="12" customHeight="1" x14ac:dyDescent="0.3">
      <c r="A429" s="8"/>
      <c r="B429" s="8"/>
      <c r="C429" s="495">
        <f>C359</f>
        <v>609</v>
      </c>
      <c r="D429" s="297">
        <f>IFERROR(IF($D$33&gt;=D$338,D492*D749,0),0)</f>
        <v>0</v>
      </c>
      <c r="E429" s="229">
        <f>IFERROR(IF($D$33&gt;=E$338,E492*E749,0),0)</f>
        <v>0</v>
      </c>
      <c r="F429" s="229">
        <f>IFERROR(IF($D$33&gt;=F$338,F492*F749,0),0)</f>
        <v>0</v>
      </c>
      <c r="G429" s="229">
        <f>IFERROR(IF($D$33&gt;=G$338,G492*G749,0),0)</f>
        <v>0</v>
      </c>
      <c r="H429" s="229">
        <f>IFERROR(IF($D$33&gt;=H$338,H492*H749,0),0)</f>
        <v>0</v>
      </c>
      <c r="I429" s="229">
        <f>IFERROR(IF($D$33&gt;=I$338,I492*I749,0),0)</f>
        <v>0</v>
      </c>
      <c r="J429" s="229">
        <f>IFERROR(IF($D$33&gt;=J$338,J492*J749,0),0)</f>
        <v>0</v>
      </c>
      <c r="K429" s="229">
        <f>IFERROR(IF($D$33&gt;=K$338,K492*K749,0),0)</f>
        <v>0</v>
      </c>
      <c r="L429" s="229">
        <f>IFERROR(IF($D$33&gt;=L$338,L492*L749,0),0)</f>
        <v>0</v>
      </c>
      <c r="M429" s="229">
        <f>IFERROR(IF($D$33&gt;=M$338,M492*M749,0),0)</f>
        <v>0</v>
      </c>
      <c r="N429" s="229">
        <f>IFERROR(IF($D$33&gt;=N$338,N492*N749,0),0)</f>
        <v>0</v>
      </c>
      <c r="O429" s="229">
        <f>IFERROR(IF($D$33&gt;=O$338,O492*O749,0),0)</f>
        <v>0</v>
      </c>
      <c r="P429" s="229">
        <f>IFERROR(IF($D$33&gt;=P$338,P492*P749,0),0)</f>
        <v>0</v>
      </c>
      <c r="Q429" s="229">
        <f>IFERROR(IF($D$33&gt;=Q$338,Q492*Q749,0),0)</f>
        <v>0</v>
      </c>
      <c r="R429" s="229">
        <f>IFERROR(IF($D$33&gt;=R$338,R492*R749,0),0)</f>
        <v>0</v>
      </c>
      <c r="S429" s="229">
        <f>IFERROR(IF($D$33&gt;=S$338,S492*S749,0),0)</f>
        <v>0</v>
      </c>
      <c r="T429" s="229">
        <f>IFERROR(IF($D$33&gt;=T$338,T492*T749,0),0)</f>
        <v>0</v>
      </c>
      <c r="U429" s="229">
        <f>IFERROR(IF($D$33&gt;=U$338,U492*U749,0),0)</f>
        <v>0</v>
      </c>
      <c r="V429" s="229">
        <f>IFERROR(IF($D$33&gt;=V$338,V492*V749,0),0)</f>
        <v>0</v>
      </c>
      <c r="W429" s="229">
        <f>IFERROR(IF($D$33&gt;=W$338,W492*W749,0),0)</f>
        <v>0</v>
      </c>
      <c r="X429" s="229">
        <f>IFERROR(IF($D$33&gt;=X$338,X492*X749,0),0)</f>
        <v>0</v>
      </c>
      <c r="Y429" s="229">
        <f>IFERROR(IF($D$33&gt;=Y$338,Y492*Y749,0),0)</f>
        <v>0</v>
      </c>
      <c r="Z429" s="229">
        <f>IFERROR(IF($D$33&gt;=Z$338,Z492*Z749,0),0)</f>
        <v>0</v>
      </c>
      <c r="AA429" s="229">
        <f>IFERROR(IF($D$33&gt;=AA$338,AA492*AA749,0),0)</f>
        <v>0</v>
      </c>
      <c r="AB429" s="298">
        <f>IFERROR(IF($D$33&gt;=AB$338,AB492*AB749,0),0)</f>
        <v>0</v>
      </c>
    </row>
    <row r="430" spans="1:28" ht="12" customHeight="1" x14ac:dyDescent="0.3">
      <c r="A430" s="8"/>
      <c r="B430" s="8"/>
      <c r="C430" s="495">
        <f>C360</f>
        <v>639</v>
      </c>
      <c r="D430" s="297">
        <f>IFERROR(IF($D$33&gt;=D$338,D493*D750,0),0)</f>
        <v>0</v>
      </c>
      <c r="E430" s="229">
        <f>IFERROR(IF($D$33&gt;=E$338,E493*E750,0),0)</f>
        <v>0</v>
      </c>
      <c r="F430" s="229">
        <f>IFERROR(IF($D$33&gt;=F$338,F493*F750,0),0)</f>
        <v>0</v>
      </c>
      <c r="G430" s="229">
        <f>IFERROR(IF($D$33&gt;=G$338,G493*G750,0),0)</f>
        <v>0</v>
      </c>
      <c r="H430" s="229">
        <f>IFERROR(IF($D$33&gt;=H$338,H493*H750,0),0)</f>
        <v>0</v>
      </c>
      <c r="I430" s="229">
        <f>IFERROR(IF($D$33&gt;=I$338,I493*I750,0),0)</f>
        <v>0</v>
      </c>
      <c r="J430" s="229">
        <f>IFERROR(IF($D$33&gt;=J$338,J493*J750,0),0)</f>
        <v>0</v>
      </c>
      <c r="K430" s="229">
        <f>IFERROR(IF($D$33&gt;=K$338,K493*K750,0),0)</f>
        <v>0</v>
      </c>
      <c r="L430" s="229">
        <f>IFERROR(IF($D$33&gt;=L$338,L493*L750,0),0)</f>
        <v>0</v>
      </c>
      <c r="M430" s="229">
        <f>IFERROR(IF($D$33&gt;=M$338,M493*M750,0),0)</f>
        <v>0</v>
      </c>
      <c r="N430" s="229">
        <f>IFERROR(IF($D$33&gt;=N$338,N493*N750,0),0)</f>
        <v>0</v>
      </c>
      <c r="O430" s="229">
        <f>IFERROR(IF($D$33&gt;=O$338,O493*O750,0),0)</f>
        <v>0</v>
      </c>
      <c r="P430" s="229">
        <f>IFERROR(IF($D$33&gt;=P$338,P493*P750,0),0)</f>
        <v>0</v>
      </c>
      <c r="Q430" s="229">
        <f>IFERROR(IF($D$33&gt;=Q$338,Q493*Q750,0),0)</f>
        <v>0</v>
      </c>
      <c r="R430" s="229">
        <f>IFERROR(IF($D$33&gt;=R$338,R493*R750,0),0)</f>
        <v>0</v>
      </c>
      <c r="S430" s="229">
        <f>IFERROR(IF($D$33&gt;=S$338,S493*S750,0),0)</f>
        <v>0</v>
      </c>
      <c r="T430" s="229">
        <f>IFERROR(IF($D$33&gt;=T$338,T493*T750,0),0)</f>
        <v>0</v>
      </c>
      <c r="U430" s="229">
        <f>IFERROR(IF($D$33&gt;=U$338,U493*U750,0),0)</f>
        <v>0</v>
      </c>
      <c r="V430" s="229">
        <f>IFERROR(IF($D$33&gt;=V$338,V493*V750,0),0)</f>
        <v>0</v>
      </c>
      <c r="W430" s="229">
        <f>IFERROR(IF($D$33&gt;=W$338,W493*W750,0),0)</f>
        <v>0</v>
      </c>
      <c r="X430" s="229">
        <f>IFERROR(IF($D$33&gt;=X$338,X493*X750,0),0)</f>
        <v>0</v>
      </c>
      <c r="Y430" s="229">
        <f>IFERROR(IF($D$33&gt;=Y$338,Y493*Y750,0),0)</f>
        <v>0</v>
      </c>
      <c r="Z430" s="229">
        <f>IFERROR(IF($D$33&gt;=Z$338,Z493*Z750,0),0)</f>
        <v>0</v>
      </c>
      <c r="AA430" s="229">
        <f>IFERROR(IF($D$33&gt;=AA$338,AA493*AA750,0),0)</f>
        <v>0</v>
      </c>
      <c r="AB430" s="298">
        <f>IFERROR(IF($D$33&gt;=AB$338,AB493*AB750,0),0)</f>
        <v>0</v>
      </c>
    </row>
    <row r="431" spans="1:28" ht="12" customHeight="1" x14ac:dyDescent="0.3">
      <c r="A431" s="8"/>
      <c r="B431" s="8"/>
      <c r="C431" s="495">
        <f>C361</f>
        <v>670</v>
      </c>
      <c r="D431" s="297">
        <f>IFERROR(IF($D$33&gt;=D$338,D494*D751,0),0)</f>
        <v>0</v>
      </c>
      <c r="E431" s="229">
        <f>IFERROR(IF($D$33&gt;=E$338,E494*E751,0),0)</f>
        <v>0</v>
      </c>
      <c r="F431" s="229">
        <f>IFERROR(IF($D$33&gt;=F$338,F494*F751,0),0)</f>
        <v>0</v>
      </c>
      <c r="G431" s="229">
        <f>IFERROR(IF($D$33&gt;=G$338,G494*G751,0),0)</f>
        <v>0</v>
      </c>
      <c r="H431" s="229">
        <f>IFERROR(IF($D$33&gt;=H$338,H494*H751,0),0)</f>
        <v>0</v>
      </c>
      <c r="I431" s="229">
        <f>IFERROR(IF($D$33&gt;=I$338,I494*I751,0),0)</f>
        <v>0</v>
      </c>
      <c r="J431" s="229">
        <f>IFERROR(IF($D$33&gt;=J$338,J494*J751,0),0)</f>
        <v>0</v>
      </c>
      <c r="K431" s="229">
        <f>IFERROR(IF($D$33&gt;=K$338,K494*K751,0),0)</f>
        <v>0</v>
      </c>
      <c r="L431" s="229">
        <f>IFERROR(IF($D$33&gt;=L$338,L494*L751,0),0)</f>
        <v>0</v>
      </c>
      <c r="M431" s="229">
        <f>IFERROR(IF($D$33&gt;=M$338,M494*M751,0),0)</f>
        <v>0</v>
      </c>
      <c r="N431" s="229">
        <f>IFERROR(IF($D$33&gt;=N$338,N494*N751,0),0)</f>
        <v>0</v>
      </c>
      <c r="O431" s="229">
        <f>IFERROR(IF($D$33&gt;=O$338,O494*O751,0),0)</f>
        <v>0</v>
      </c>
      <c r="P431" s="229">
        <f>IFERROR(IF($D$33&gt;=P$338,P494*P751,0),0)</f>
        <v>0</v>
      </c>
      <c r="Q431" s="229">
        <f>IFERROR(IF($D$33&gt;=Q$338,Q494*Q751,0),0)</f>
        <v>0</v>
      </c>
      <c r="R431" s="229">
        <f>IFERROR(IF($D$33&gt;=R$338,R494*R751,0),0)</f>
        <v>0</v>
      </c>
      <c r="S431" s="229">
        <f>IFERROR(IF($D$33&gt;=S$338,S494*S751,0),0)</f>
        <v>0</v>
      </c>
      <c r="T431" s="229">
        <f>IFERROR(IF($D$33&gt;=T$338,T494*T751,0),0)</f>
        <v>0</v>
      </c>
      <c r="U431" s="229">
        <f>IFERROR(IF($D$33&gt;=U$338,U494*U751,0),0)</f>
        <v>0</v>
      </c>
      <c r="V431" s="229">
        <f>IFERROR(IF($D$33&gt;=V$338,V494*V751,0),0)</f>
        <v>0</v>
      </c>
      <c r="W431" s="229">
        <f>IFERROR(IF($D$33&gt;=W$338,W494*W751,0),0)</f>
        <v>0</v>
      </c>
      <c r="X431" s="229">
        <f>IFERROR(IF($D$33&gt;=X$338,X494*X751,0),0)</f>
        <v>0</v>
      </c>
      <c r="Y431" s="229">
        <f>IFERROR(IF($D$33&gt;=Y$338,Y494*Y751,0),0)</f>
        <v>0</v>
      </c>
      <c r="Z431" s="229">
        <f>IFERROR(IF($D$33&gt;=Z$338,Z494*Z751,0),0)</f>
        <v>0</v>
      </c>
      <c r="AA431" s="229">
        <f>IFERROR(IF($D$33&gt;=AA$338,AA494*AA751,0),0)</f>
        <v>0</v>
      </c>
      <c r="AB431" s="298">
        <f>IFERROR(IF($D$33&gt;=AB$338,AB494*AB751,0),0)</f>
        <v>0</v>
      </c>
    </row>
    <row r="432" spans="1:28" ht="12" customHeight="1" x14ac:dyDescent="0.3">
      <c r="A432" s="8"/>
      <c r="B432" s="8"/>
      <c r="C432" s="495">
        <f>C362</f>
        <v>700</v>
      </c>
      <c r="D432" s="297">
        <f>IFERROR(IF($D$33&gt;=D$338,D495*D752,0),0)</f>
        <v>0</v>
      </c>
      <c r="E432" s="229">
        <f>IFERROR(IF($D$33&gt;=E$338,E495*E752,0),0)</f>
        <v>0</v>
      </c>
      <c r="F432" s="229">
        <f>IFERROR(IF($D$33&gt;=F$338,F495*F752,0),0)</f>
        <v>0</v>
      </c>
      <c r="G432" s="229">
        <f>IFERROR(IF($D$33&gt;=G$338,G495*G752,0),0)</f>
        <v>0</v>
      </c>
      <c r="H432" s="229">
        <f>IFERROR(IF($D$33&gt;=H$338,H495*H752,0),0)</f>
        <v>0</v>
      </c>
      <c r="I432" s="229">
        <f>IFERROR(IF($D$33&gt;=I$338,I495*I752,0),0)</f>
        <v>0</v>
      </c>
      <c r="J432" s="229">
        <f>IFERROR(IF($D$33&gt;=J$338,J495*J752,0),0)</f>
        <v>0</v>
      </c>
      <c r="K432" s="229">
        <f>IFERROR(IF($D$33&gt;=K$338,K495*K752,0),0)</f>
        <v>0</v>
      </c>
      <c r="L432" s="229">
        <f>IFERROR(IF($D$33&gt;=L$338,L495*L752,0),0)</f>
        <v>0</v>
      </c>
      <c r="M432" s="229">
        <f>IFERROR(IF($D$33&gt;=M$338,M495*M752,0),0)</f>
        <v>0</v>
      </c>
      <c r="N432" s="229">
        <f>IFERROR(IF($D$33&gt;=N$338,N495*N752,0),0)</f>
        <v>0</v>
      </c>
      <c r="O432" s="229">
        <f>IFERROR(IF($D$33&gt;=O$338,O495*O752,0),0)</f>
        <v>0</v>
      </c>
      <c r="P432" s="229">
        <f>IFERROR(IF($D$33&gt;=P$338,P495*P752,0),0)</f>
        <v>0</v>
      </c>
      <c r="Q432" s="229">
        <f>IFERROR(IF($D$33&gt;=Q$338,Q495*Q752,0),0)</f>
        <v>0</v>
      </c>
      <c r="R432" s="229">
        <f>IFERROR(IF($D$33&gt;=R$338,R495*R752,0),0)</f>
        <v>0</v>
      </c>
      <c r="S432" s="229">
        <f>IFERROR(IF($D$33&gt;=S$338,S495*S752,0),0)</f>
        <v>0</v>
      </c>
      <c r="T432" s="229">
        <f>IFERROR(IF($D$33&gt;=T$338,T495*T752,0),0)</f>
        <v>0</v>
      </c>
      <c r="U432" s="229">
        <f>IFERROR(IF($D$33&gt;=U$338,U495*U752,0),0)</f>
        <v>0</v>
      </c>
      <c r="V432" s="229">
        <f>IFERROR(IF($D$33&gt;=V$338,V495*V752,0),0)</f>
        <v>0</v>
      </c>
      <c r="W432" s="229">
        <f>IFERROR(IF($D$33&gt;=W$338,W495*W752,0),0)</f>
        <v>0</v>
      </c>
      <c r="X432" s="229">
        <f>IFERROR(IF($D$33&gt;=X$338,X495*X752,0),0)</f>
        <v>0</v>
      </c>
      <c r="Y432" s="229">
        <f>IFERROR(IF($D$33&gt;=Y$338,Y495*Y752,0),0)</f>
        <v>0</v>
      </c>
      <c r="Z432" s="229">
        <f>IFERROR(IF($D$33&gt;=Z$338,Z495*Z752,0),0)</f>
        <v>0</v>
      </c>
      <c r="AA432" s="229">
        <f>IFERROR(IF($D$33&gt;=AA$338,AA495*AA752,0),0)</f>
        <v>0</v>
      </c>
      <c r="AB432" s="298">
        <f>IFERROR(IF($D$33&gt;=AB$338,AB495*AB752,0),0)</f>
        <v>0</v>
      </c>
    </row>
    <row r="433" spans="1:28" ht="12" customHeight="1" thickBot="1" x14ac:dyDescent="0.35">
      <c r="A433" s="8"/>
      <c r="B433" s="8"/>
      <c r="C433" s="496">
        <f>C363</f>
        <v>731</v>
      </c>
      <c r="D433" s="301">
        <f>IFERROR(IF($D$33&gt;=D$338,D496*D753,0),0)</f>
      </c>
      <c r="E433" s="302">
        <f>IFERROR(IF($D$33&gt;=E$338,E496*E753,0),0)</f>
        <v>0</v>
      </c>
      <c r="F433" s="302">
        <f>IFERROR(IF($D$33&gt;=F$338,F496*F753,0),0)</f>
        <v>0</v>
      </c>
      <c r="G433" s="302">
        <f>IFERROR(IF($D$33&gt;=G$338,G496*G753,0),0)</f>
      </c>
      <c r="H433" s="302">
        <f>IFERROR(IF($D$33&gt;=H$338,H496*H753,0),0)</f>
        <v>0</v>
      </c>
      <c r="I433" s="302">
        <f>IFERROR(IF($D$33&gt;=I$338,I496*I753,0),0)</f>
        <v>0</v>
      </c>
      <c r="J433" s="302">
        <f>IFERROR(IF($D$33&gt;=J$338,J496*J753,0),0)</f>
        <v>0</v>
      </c>
      <c r="K433" s="302">
        <f>IFERROR(IF($D$33&gt;=K$338,K496*K753,0),0)</f>
        <v>0</v>
      </c>
      <c r="L433" s="302">
        <f>IFERROR(IF($D$33&gt;=L$338,L496*L753,0),0)</f>
      </c>
      <c r="M433" s="302">
        <f>IFERROR(IF($D$33&gt;=M$338,M496*M753,0),0)</f>
        <v>0</v>
      </c>
      <c r="N433" s="302">
        <f>IFERROR(IF($D$33&gt;=N$338,N496*N753,0),0)</f>
        <v>0</v>
      </c>
      <c r="O433" s="302">
        <f>IFERROR(IF($D$33&gt;=O$338,O496*O753,0),0)</f>
        <v>0</v>
      </c>
      <c r="P433" s="302">
        <f>IFERROR(IF($D$33&gt;=P$338,P496*P753,0),0)</f>
        <v>0</v>
      </c>
      <c r="Q433" s="302">
        <f>IFERROR(IF($D$33&gt;=Q$338,Q496*Q753,0),0)</f>
        <v>0</v>
      </c>
      <c r="R433" s="302">
        <f>IFERROR(IF($D$33&gt;=R$338,R496*R753,0),0)</f>
        <v>0</v>
      </c>
      <c r="S433" s="302">
        <f>IFERROR(IF($D$33&gt;=S$338,S496*S753,0),0)</f>
        <v>0</v>
      </c>
      <c r="T433" s="302">
        <f>IFERROR(IF($D$33&gt;=T$338,T496*T753,0),0)</f>
        <v>0</v>
      </c>
      <c r="U433" s="302">
        <f>IFERROR(IF($D$33&gt;=U$338,U496*U753,0),0)</f>
        <v>0</v>
      </c>
      <c r="V433" s="302">
        <f>IFERROR(IF($D$33&gt;=V$338,V496*V753,0),0)</f>
        <v>0</v>
      </c>
      <c r="W433" s="302">
        <f>IFERROR(IF($D$33&gt;=W$338,W496*W753,0),0)</f>
        <v>0</v>
      </c>
      <c r="X433" s="302">
        <f>IFERROR(IF($D$33&gt;=X$338,X496*X753,0),0)</f>
        <v>0</v>
      </c>
      <c r="Y433" s="302">
        <f>IFERROR(IF($D$33&gt;=Y$338,Y496*Y753,0),0)</f>
        <v>0</v>
      </c>
      <c r="Z433" s="302">
        <f>IFERROR(IF($D$33&gt;=Z$338,Z496*Z753,0),0)</f>
        <v>0</v>
      </c>
      <c r="AA433" s="302">
        <f>IFERROR(IF($D$33&gt;=AA$338,AA496*AA753,0),0)</f>
        <v>0</v>
      </c>
      <c r="AB433" s="303">
        <f>IFERROR(IF($D$33&gt;=AB$338,AB496*AB753,0),0)</f>
        <v>0</v>
      </c>
    </row>
    <row r="434" spans="1:28" ht="12" customHeight="1" x14ac:dyDescent="0.3">
      <c r="A434" s="8"/>
      <c r="B434" s="8"/>
      <c r="C434" s="495">
        <f>C364</f>
        <v>762</v>
      </c>
      <c r="D434" s="299">
        <f>IFERROR(IF($D$33&gt;=D$338,D497*D754,0),0)</f>
      </c>
      <c r="E434" s="231">
        <f>IFERROR(IF($D$33&gt;=E$338,E497*E754,0),0)</f>
        <v>0</v>
      </c>
      <c r="F434" s="231">
        <f>IFERROR(IF($D$33&gt;=F$338,F497*F754,0),0)</f>
        <v>0</v>
      </c>
      <c r="G434" s="231">
        <f>IFERROR(IF($D$33&gt;=G$338,G497*G754,0),0)</f>
      </c>
      <c r="H434" s="231">
        <f>IFERROR(IF($D$33&gt;=H$338,H497*H754,0),0)</f>
        <v>0</v>
      </c>
      <c r="I434" s="231">
        <f>IFERROR(IF($D$33&gt;=I$338,I497*I754,0),0)</f>
        <v>0</v>
      </c>
      <c r="J434" s="231">
        <f>IFERROR(IF($D$33&gt;=J$338,J497*J754,0),0)</f>
        <v>0</v>
      </c>
      <c r="K434" s="231">
        <f>IFERROR(IF($D$33&gt;=K$338,K497*K754,0),0)</f>
        <v>0</v>
      </c>
      <c r="L434" s="231">
        <f>IFERROR(IF($D$33&gt;=L$338,L497*L754,0),0)</f>
      </c>
      <c r="M434" s="231">
        <f>IFERROR(IF($D$33&gt;=M$338,M497*M754,0),0)</f>
        <v>0</v>
      </c>
      <c r="N434" s="231">
        <f>IFERROR(IF($D$33&gt;=N$338,N497*N754,0),0)</f>
        <v>0</v>
      </c>
      <c r="O434" s="231">
        <f>IFERROR(IF($D$33&gt;=O$338,O497*O754,0),0)</f>
        <v>0</v>
      </c>
      <c r="P434" s="231">
        <f>IFERROR(IF($D$33&gt;=P$338,P497*P754,0),0)</f>
        <v>0</v>
      </c>
      <c r="Q434" s="231">
        <f>IFERROR(IF($D$33&gt;=Q$338,Q497*Q754,0),0)</f>
        <v>0</v>
      </c>
      <c r="R434" s="231">
        <f>IFERROR(IF($D$33&gt;=R$338,R497*R754,0),0)</f>
        <v>0</v>
      </c>
      <c r="S434" s="231">
        <f>IFERROR(IF($D$33&gt;=S$338,S497*S754,0),0)</f>
        <v>0</v>
      </c>
      <c r="T434" s="231">
        <f>IFERROR(IF($D$33&gt;=T$338,T497*T754,0),0)</f>
        <v>0</v>
      </c>
      <c r="U434" s="231">
        <f>IFERROR(IF($D$33&gt;=U$338,U497*U754,0),0)</f>
        <v>0</v>
      </c>
      <c r="V434" s="231">
        <f>IFERROR(IF($D$33&gt;=V$338,V497*V754,0),0)</f>
        <v>0</v>
      </c>
      <c r="W434" s="231">
        <f>IFERROR(IF($D$33&gt;=W$338,W497*W754,0),0)</f>
        <v>0</v>
      </c>
      <c r="X434" s="231">
        <f>IFERROR(IF($D$33&gt;=X$338,X497*X754,0),0)</f>
        <v>0</v>
      </c>
      <c r="Y434" s="231">
        <f>IFERROR(IF($D$33&gt;=Y$338,Y497*Y754,0),0)</f>
        <v>0</v>
      </c>
      <c r="Z434" s="231">
        <f>IFERROR(IF($D$33&gt;=Z$338,Z497*Z754,0),0)</f>
        <v>0</v>
      </c>
      <c r="AA434" s="231">
        <f>IFERROR(IF($D$33&gt;=AA$338,AA497*AA754,0),0)</f>
        <v>0</v>
      </c>
      <c r="AB434" s="300">
        <f>IFERROR(IF($D$33&gt;=AB$338,AB497*AB754,0),0)</f>
        <v>0</v>
      </c>
    </row>
    <row r="435" spans="1:28" ht="12" customHeight="1" x14ac:dyDescent="0.3">
      <c r="A435" s="8"/>
      <c r="B435" s="8"/>
      <c r="C435" s="495">
        <f>C365</f>
        <v>790</v>
      </c>
      <c r="D435" s="297">
        <f>IFERROR(IF($D$33&gt;=D$338,D498*D755,0),0)</f>
      </c>
      <c r="E435" s="229">
        <f>IFERROR(IF($D$33&gt;=E$338,E498*E755,0),0)</f>
        <v>0</v>
      </c>
      <c r="F435" s="229">
        <f>IFERROR(IF($D$33&gt;=F$338,F498*F755,0),0)</f>
        <v>0</v>
      </c>
      <c r="G435" s="229">
        <f>IFERROR(IF($D$33&gt;=G$338,G498*G755,0),0)</f>
      </c>
      <c r="H435" s="229">
        <f>IFERROR(IF($D$33&gt;=H$338,H498*H755,0),0)</f>
        <v>0</v>
      </c>
      <c r="I435" s="229">
        <f>IFERROR(IF($D$33&gt;=I$338,I498*I755,0),0)</f>
        <v>0</v>
      </c>
      <c r="J435" s="229">
        <f>IFERROR(IF($D$33&gt;=J$338,J498*J755,0),0)</f>
        <v>0</v>
      </c>
      <c r="K435" s="229">
        <f>IFERROR(IF($D$33&gt;=K$338,K498*K755,0),0)</f>
        <v>0</v>
      </c>
      <c r="L435" s="229">
        <f>IFERROR(IF($D$33&gt;=L$338,L498*L755,0),0)</f>
      </c>
      <c r="M435" s="229">
        <f>IFERROR(IF($D$33&gt;=M$338,M498*M755,0),0)</f>
        <v>0</v>
      </c>
      <c r="N435" s="229">
        <f>IFERROR(IF($D$33&gt;=N$338,N498*N755,0),0)</f>
        <v>0</v>
      </c>
      <c r="O435" s="229">
        <f>IFERROR(IF($D$33&gt;=O$338,O498*O755,0),0)</f>
        <v>0</v>
      </c>
      <c r="P435" s="229">
        <f>IFERROR(IF($D$33&gt;=P$338,P498*P755,0),0)</f>
        <v>0</v>
      </c>
      <c r="Q435" s="229">
        <f>IFERROR(IF($D$33&gt;=Q$338,Q498*Q755,0),0)</f>
        <v>0</v>
      </c>
      <c r="R435" s="229">
        <f>IFERROR(IF($D$33&gt;=R$338,R498*R755,0),0)</f>
        <v>0</v>
      </c>
      <c r="S435" s="229">
        <f>IFERROR(IF($D$33&gt;=S$338,S498*S755,0),0)</f>
        <v>0</v>
      </c>
      <c r="T435" s="229">
        <f>IFERROR(IF($D$33&gt;=T$338,T498*T755,0),0)</f>
        <v>0</v>
      </c>
      <c r="U435" s="229">
        <f>IFERROR(IF($D$33&gt;=U$338,U498*U755,0),0)</f>
        <v>0</v>
      </c>
      <c r="V435" s="229">
        <f>IFERROR(IF($D$33&gt;=V$338,V498*V755,0),0)</f>
        <v>0</v>
      </c>
      <c r="W435" s="229">
        <f>IFERROR(IF($D$33&gt;=W$338,W498*W755,0),0)</f>
        <v>0</v>
      </c>
      <c r="X435" s="229">
        <f>IFERROR(IF($D$33&gt;=X$338,X498*X755,0),0)</f>
        <v>0</v>
      </c>
      <c r="Y435" s="229">
        <f>IFERROR(IF($D$33&gt;=Y$338,Y498*Y755,0),0)</f>
        <v>0</v>
      </c>
      <c r="Z435" s="229">
        <f>IFERROR(IF($D$33&gt;=Z$338,Z498*Z755,0),0)</f>
        <v>0</v>
      </c>
      <c r="AA435" s="229">
        <f>IFERROR(IF($D$33&gt;=AA$338,AA498*AA755,0),0)</f>
        <v>0</v>
      </c>
      <c r="AB435" s="298">
        <f>IFERROR(IF($D$33&gt;=AB$338,AB498*AB755,0),0)</f>
        <v>0</v>
      </c>
    </row>
    <row r="436" spans="1:28" ht="12" customHeight="1" x14ac:dyDescent="0.3">
      <c r="A436" s="8"/>
      <c r="B436" s="8"/>
      <c r="C436" s="495">
        <f>C366</f>
        <v>821</v>
      </c>
      <c r="D436" s="297">
        <f>IFERROR(IF($D$33&gt;=D$338,D499*D756,0),0)</f>
        <v>0</v>
      </c>
      <c r="E436" s="229">
        <f>IFERROR(IF($D$33&gt;=E$338,E499*E756,0),0)</f>
        <v>0</v>
      </c>
      <c r="F436" s="229">
        <f>IFERROR(IF($D$33&gt;=F$338,F499*F756,0),0)</f>
        <v>0</v>
      </c>
      <c r="G436" s="229">
        <f>IFERROR(IF($D$33&gt;=G$338,G499*G756,0),0)</f>
        <v>0</v>
      </c>
      <c r="H436" s="229">
        <f>IFERROR(IF($D$33&gt;=H$338,H499*H756,0),0)</f>
        <v>0</v>
      </c>
      <c r="I436" s="229">
        <f>IFERROR(IF($D$33&gt;=I$338,I499*I756,0),0)</f>
        <v>0</v>
      </c>
      <c r="J436" s="229">
        <f>IFERROR(IF($D$33&gt;=J$338,J499*J756,0),0)</f>
        <v>0</v>
      </c>
      <c r="K436" s="229">
        <f>IFERROR(IF($D$33&gt;=K$338,K499*K756,0),0)</f>
        <v>0</v>
      </c>
      <c r="L436" s="229">
        <f>IFERROR(IF($D$33&gt;=L$338,L499*L756,0),0)</f>
        <v>0</v>
      </c>
      <c r="M436" s="229">
        <f>IFERROR(IF($D$33&gt;=M$338,M499*M756,0),0)</f>
        <v>0</v>
      </c>
      <c r="N436" s="229">
        <f>IFERROR(IF($D$33&gt;=N$338,N499*N756,0),0)</f>
        <v>0</v>
      </c>
      <c r="O436" s="229">
        <f>IFERROR(IF($D$33&gt;=O$338,O499*O756,0),0)</f>
        <v>0</v>
      </c>
      <c r="P436" s="229">
        <f>IFERROR(IF($D$33&gt;=P$338,P499*P756,0),0)</f>
        <v>0</v>
      </c>
      <c r="Q436" s="229">
        <f>IFERROR(IF($D$33&gt;=Q$338,Q499*Q756,0),0)</f>
        <v>0</v>
      </c>
      <c r="R436" s="229">
        <f>IFERROR(IF($D$33&gt;=R$338,R499*R756,0),0)</f>
        <v>0</v>
      </c>
      <c r="S436" s="229">
        <f>IFERROR(IF($D$33&gt;=S$338,S499*S756,0),0)</f>
        <v>0</v>
      </c>
      <c r="T436" s="229">
        <f>IFERROR(IF($D$33&gt;=T$338,T499*T756,0),0)</f>
        <v>0</v>
      </c>
      <c r="U436" s="229">
        <f>IFERROR(IF($D$33&gt;=U$338,U499*U756,0),0)</f>
        <v>0</v>
      </c>
      <c r="V436" s="229">
        <f>IFERROR(IF($D$33&gt;=V$338,V499*V756,0),0)</f>
        <v>0</v>
      </c>
      <c r="W436" s="229">
        <f>IFERROR(IF($D$33&gt;=W$338,W499*W756,0),0)</f>
        <v>0</v>
      </c>
      <c r="X436" s="229">
        <f>IFERROR(IF($D$33&gt;=X$338,X499*X756,0),0)</f>
        <v>0</v>
      </c>
      <c r="Y436" s="229">
        <f>IFERROR(IF($D$33&gt;=Y$338,Y499*Y756,0),0)</f>
        <v>0</v>
      </c>
      <c r="Z436" s="229">
        <f>IFERROR(IF($D$33&gt;=Z$338,Z499*Z756,0),0)</f>
        <v>0</v>
      </c>
      <c r="AA436" s="229">
        <f>IFERROR(IF($D$33&gt;=AA$338,AA499*AA756,0),0)</f>
        <v>0</v>
      </c>
      <c r="AB436" s="298">
        <f>IFERROR(IF($D$33&gt;=AB$338,AB499*AB756,0),0)</f>
        <v>0</v>
      </c>
    </row>
    <row r="437" spans="1:28" ht="12" customHeight="1" x14ac:dyDescent="0.3">
      <c r="A437" s="8"/>
      <c r="B437" s="8"/>
      <c r="C437" s="495">
        <f>C367</f>
        <v>851</v>
      </c>
      <c r="D437" s="297">
        <f>IFERROR(IF($D$33&gt;=D$338,D500*D757,0),0)</f>
        <v>0</v>
      </c>
      <c r="E437" s="229">
        <f>IFERROR(IF($D$33&gt;=E$338,E500*E757,0),0)</f>
        <v>0</v>
      </c>
      <c r="F437" s="229">
        <f>IFERROR(IF($D$33&gt;=F$338,F500*F757,0),0)</f>
        <v>0</v>
      </c>
      <c r="G437" s="229">
        <f>IFERROR(IF($D$33&gt;=G$338,G500*G757,0),0)</f>
        <v>0</v>
      </c>
      <c r="H437" s="229">
        <f>IFERROR(IF($D$33&gt;=H$338,H500*H757,0),0)</f>
        <v>0</v>
      </c>
      <c r="I437" s="229">
        <f>IFERROR(IF($D$33&gt;=I$338,I500*I757,0),0)</f>
        <v>0</v>
      </c>
      <c r="J437" s="229">
        <f>IFERROR(IF($D$33&gt;=J$338,J500*J757,0),0)</f>
        <v>0</v>
      </c>
      <c r="K437" s="229">
        <f>IFERROR(IF($D$33&gt;=K$338,K500*K757,0),0)</f>
        <v>0</v>
      </c>
      <c r="L437" s="229">
        <f>IFERROR(IF($D$33&gt;=L$338,L500*L757,0),0)</f>
        <v>0</v>
      </c>
      <c r="M437" s="229">
        <f>IFERROR(IF($D$33&gt;=M$338,M500*M757,0),0)</f>
        <v>0</v>
      </c>
      <c r="N437" s="229">
        <f>IFERROR(IF($D$33&gt;=N$338,N500*N757,0),0)</f>
        <v>0</v>
      </c>
      <c r="O437" s="229">
        <f>IFERROR(IF($D$33&gt;=O$338,O500*O757,0),0)</f>
        <v>0</v>
      </c>
      <c r="P437" s="229">
        <f>IFERROR(IF($D$33&gt;=P$338,P500*P757,0),0)</f>
        <v>0</v>
      </c>
      <c r="Q437" s="229">
        <f>IFERROR(IF($D$33&gt;=Q$338,Q500*Q757,0),0)</f>
        <v>0</v>
      </c>
      <c r="R437" s="229">
        <f>IFERROR(IF($D$33&gt;=R$338,R500*R757,0),0)</f>
        <v>0</v>
      </c>
      <c r="S437" s="229">
        <f>IFERROR(IF($D$33&gt;=S$338,S500*S757,0),0)</f>
        <v>0</v>
      </c>
      <c r="T437" s="229">
        <f>IFERROR(IF($D$33&gt;=T$338,T500*T757,0),0)</f>
        <v>0</v>
      </c>
      <c r="U437" s="229">
        <f>IFERROR(IF($D$33&gt;=U$338,U500*U757,0),0)</f>
        <v>0</v>
      </c>
      <c r="V437" s="229">
        <f>IFERROR(IF($D$33&gt;=V$338,V500*V757,0),0)</f>
        <v>0</v>
      </c>
      <c r="W437" s="229">
        <f>IFERROR(IF($D$33&gt;=W$338,W500*W757,0),0)</f>
        <v>0</v>
      </c>
      <c r="X437" s="229">
        <f>IFERROR(IF($D$33&gt;=X$338,X500*X757,0),0)</f>
        <v>0</v>
      </c>
      <c r="Y437" s="229">
        <f>IFERROR(IF($D$33&gt;=Y$338,Y500*Y757,0),0)</f>
        <v>0</v>
      </c>
      <c r="Z437" s="229">
        <f>IFERROR(IF($D$33&gt;=Z$338,Z500*Z757,0),0)</f>
        <v>0</v>
      </c>
      <c r="AA437" s="229">
        <f>IFERROR(IF($D$33&gt;=AA$338,AA500*AA757,0),0)</f>
        <v>0</v>
      </c>
      <c r="AB437" s="298">
        <f>IFERROR(IF($D$33&gt;=AB$338,AB500*AB757,0),0)</f>
        <v>0</v>
      </c>
    </row>
    <row r="438" spans="1:28" ht="12" customHeight="1" x14ac:dyDescent="0.3">
      <c r="A438" s="8"/>
      <c r="B438" s="8"/>
      <c r="C438" s="495">
        <f>C368</f>
        <v>882</v>
      </c>
      <c r="D438" s="297">
        <f>IFERROR(IF($D$33&gt;=D$338,D501*D758,0),0)</f>
        <v>0</v>
      </c>
      <c r="E438" s="229">
        <f>IFERROR(IF($D$33&gt;=E$338,E501*E758,0),0)</f>
        <v>0</v>
      </c>
      <c r="F438" s="229">
        <f>IFERROR(IF($D$33&gt;=F$338,F501*F758,0),0)</f>
        <v>0</v>
      </c>
      <c r="G438" s="229">
        <f>IFERROR(IF($D$33&gt;=G$338,G501*G758,0),0)</f>
        <v>0</v>
      </c>
      <c r="H438" s="229">
        <f>IFERROR(IF($D$33&gt;=H$338,H501*H758,0),0)</f>
        <v>0</v>
      </c>
      <c r="I438" s="229">
        <f>IFERROR(IF($D$33&gt;=I$338,I501*I758,0),0)</f>
        <v>0</v>
      </c>
      <c r="J438" s="229">
        <f>IFERROR(IF($D$33&gt;=J$338,J501*J758,0),0)</f>
        <v>0</v>
      </c>
      <c r="K438" s="229">
        <f>IFERROR(IF($D$33&gt;=K$338,K501*K758,0),0)</f>
        <v>0</v>
      </c>
      <c r="L438" s="229">
        <f>IFERROR(IF($D$33&gt;=L$338,L501*L758,0),0)</f>
        <v>0</v>
      </c>
      <c r="M438" s="229">
        <f>IFERROR(IF($D$33&gt;=M$338,M501*M758,0),0)</f>
        <v>0</v>
      </c>
      <c r="N438" s="229">
        <f>IFERROR(IF($D$33&gt;=N$338,N501*N758,0),0)</f>
        <v>0</v>
      </c>
      <c r="O438" s="229">
        <f>IFERROR(IF($D$33&gt;=O$338,O501*O758,0),0)</f>
        <v>0</v>
      </c>
      <c r="P438" s="229">
        <f>IFERROR(IF($D$33&gt;=P$338,P501*P758,0),0)</f>
        <v>0</v>
      </c>
      <c r="Q438" s="229">
        <f>IFERROR(IF($D$33&gt;=Q$338,Q501*Q758,0),0)</f>
        <v>0</v>
      </c>
      <c r="R438" s="229">
        <f>IFERROR(IF($D$33&gt;=R$338,R501*R758,0),0)</f>
        <v>0</v>
      </c>
      <c r="S438" s="229">
        <f>IFERROR(IF($D$33&gt;=S$338,S501*S758,0),0)</f>
        <v>0</v>
      </c>
      <c r="T438" s="229">
        <f>IFERROR(IF($D$33&gt;=T$338,T501*T758,0),0)</f>
        <v>0</v>
      </c>
      <c r="U438" s="229">
        <f>IFERROR(IF($D$33&gt;=U$338,U501*U758,0),0)</f>
        <v>0</v>
      </c>
      <c r="V438" s="229">
        <f>IFERROR(IF($D$33&gt;=V$338,V501*V758,0),0)</f>
        <v>0</v>
      </c>
      <c r="W438" s="229">
        <f>IFERROR(IF($D$33&gt;=W$338,W501*W758,0),0)</f>
        <v>0</v>
      </c>
      <c r="X438" s="229">
        <f>IFERROR(IF($D$33&gt;=X$338,X501*X758,0),0)</f>
        <v>0</v>
      </c>
      <c r="Y438" s="229">
        <f>IFERROR(IF($D$33&gt;=Y$338,Y501*Y758,0),0)</f>
        <v>0</v>
      </c>
      <c r="Z438" s="229">
        <f>IFERROR(IF($D$33&gt;=Z$338,Z501*Z758,0),0)</f>
        <v>0</v>
      </c>
      <c r="AA438" s="229">
        <f>IFERROR(IF($D$33&gt;=AA$338,AA501*AA758,0),0)</f>
        <v>0</v>
      </c>
      <c r="AB438" s="298">
        <f>IFERROR(IF($D$33&gt;=AB$338,AB501*AB758,0),0)</f>
        <v>0</v>
      </c>
    </row>
    <row r="439" spans="1:28" ht="12" customHeight="1" x14ac:dyDescent="0.3">
      <c r="A439" s="8"/>
      <c r="B439" s="8"/>
      <c r="C439" s="495">
        <f>C369</f>
        <v>912</v>
      </c>
      <c r="D439" s="297">
        <f>IFERROR(IF($D$33&gt;=D$338,D502*D759,0),0)</f>
        <v>0</v>
      </c>
      <c r="E439" s="229">
        <f>IFERROR(IF($D$33&gt;=E$338,E502*E759,0),0)</f>
        <v>0</v>
      </c>
      <c r="F439" s="229">
        <f>IFERROR(IF($D$33&gt;=F$338,F502*F759,0),0)</f>
        <v>0</v>
      </c>
      <c r="G439" s="229">
        <f>IFERROR(IF($D$33&gt;=G$338,G502*G759,0),0)</f>
        <v>0</v>
      </c>
      <c r="H439" s="229">
        <f>IFERROR(IF($D$33&gt;=H$338,H502*H759,0),0)</f>
        <v>0</v>
      </c>
      <c r="I439" s="229">
        <f>IFERROR(IF($D$33&gt;=I$338,I502*I759,0),0)</f>
        <v>0</v>
      </c>
      <c r="J439" s="229">
        <f>IFERROR(IF($D$33&gt;=J$338,J502*J759,0),0)</f>
        <v>0</v>
      </c>
      <c r="K439" s="229">
        <f>IFERROR(IF($D$33&gt;=K$338,K502*K759,0),0)</f>
        <v>0</v>
      </c>
      <c r="L439" s="229">
        <f>IFERROR(IF($D$33&gt;=L$338,L502*L759,0),0)</f>
        <v>0</v>
      </c>
      <c r="M439" s="229">
        <f>IFERROR(IF($D$33&gt;=M$338,M502*M759,0),0)</f>
        <v>0</v>
      </c>
      <c r="N439" s="229">
        <f>IFERROR(IF($D$33&gt;=N$338,N502*N759,0),0)</f>
        <v>0</v>
      </c>
      <c r="O439" s="229">
        <f>IFERROR(IF($D$33&gt;=O$338,O502*O759,0),0)</f>
        <v>0</v>
      </c>
      <c r="P439" s="229">
        <f>IFERROR(IF($D$33&gt;=P$338,P502*P759,0),0)</f>
        <v>0</v>
      </c>
      <c r="Q439" s="229">
        <f>IFERROR(IF($D$33&gt;=Q$338,Q502*Q759,0),0)</f>
        <v>0</v>
      </c>
      <c r="R439" s="229">
        <f>IFERROR(IF($D$33&gt;=R$338,R502*R759,0),0)</f>
        <v>0</v>
      </c>
      <c r="S439" s="229">
        <f>IFERROR(IF($D$33&gt;=S$338,S502*S759,0),0)</f>
        <v>0</v>
      </c>
      <c r="T439" s="229">
        <f>IFERROR(IF($D$33&gt;=T$338,T502*T759,0),0)</f>
        <v>0</v>
      </c>
      <c r="U439" s="229">
        <f>IFERROR(IF($D$33&gt;=U$338,U502*U759,0),0)</f>
        <v>0</v>
      </c>
      <c r="V439" s="229">
        <f>IFERROR(IF($D$33&gt;=V$338,V502*V759,0),0)</f>
        <v>0</v>
      </c>
      <c r="W439" s="229">
        <f>IFERROR(IF($D$33&gt;=W$338,W502*W759,0),0)</f>
        <v>0</v>
      </c>
      <c r="X439" s="229">
        <f>IFERROR(IF($D$33&gt;=X$338,X502*X759,0),0)</f>
        <v>0</v>
      </c>
      <c r="Y439" s="229">
        <f>IFERROR(IF($D$33&gt;=Y$338,Y502*Y759,0),0)</f>
        <v>0</v>
      </c>
      <c r="Z439" s="229">
        <f>IFERROR(IF($D$33&gt;=Z$338,Z502*Z759,0),0)</f>
        <v>0</v>
      </c>
      <c r="AA439" s="229">
        <f>IFERROR(IF($D$33&gt;=AA$338,AA502*AA759,0),0)</f>
        <v>0</v>
      </c>
      <c r="AB439" s="298">
        <f>IFERROR(IF($D$33&gt;=AB$338,AB502*AB759,0),0)</f>
        <v>0</v>
      </c>
    </row>
    <row r="440" spans="1:28" ht="12" customHeight="1" x14ac:dyDescent="0.3">
      <c r="A440" s="8"/>
      <c r="B440" s="8"/>
      <c r="C440" s="495">
        <f>C370</f>
        <v>943</v>
      </c>
      <c r="D440" s="297">
        <f>IFERROR(IF($D$33&gt;=D$338,D503*D760,0),0)</f>
        <v>0</v>
      </c>
      <c r="E440" s="229">
        <f>IFERROR(IF($D$33&gt;=E$338,E503*E760,0),0)</f>
        <v>0</v>
      </c>
      <c r="F440" s="229">
        <f>IFERROR(IF($D$33&gt;=F$338,F503*F760,0),0)</f>
        <v>0</v>
      </c>
      <c r="G440" s="229">
        <f>IFERROR(IF($D$33&gt;=G$338,G503*G760,0),0)</f>
        <v>0</v>
      </c>
      <c r="H440" s="229">
        <f>IFERROR(IF($D$33&gt;=H$338,H503*H760,0),0)</f>
        <v>0</v>
      </c>
      <c r="I440" s="229">
        <f>IFERROR(IF($D$33&gt;=I$338,I503*I760,0),0)</f>
        <v>0</v>
      </c>
      <c r="J440" s="229">
        <f>IFERROR(IF($D$33&gt;=J$338,J503*J760,0),0)</f>
        <v>0</v>
      </c>
      <c r="K440" s="229">
        <f>IFERROR(IF($D$33&gt;=K$338,K503*K760,0),0)</f>
        <v>0</v>
      </c>
      <c r="L440" s="229">
        <f>IFERROR(IF($D$33&gt;=L$338,L503*L760,0),0)</f>
        <v>0</v>
      </c>
      <c r="M440" s="229">
        <f>IFERROR(IF($D$33&gt;=M$338,M503*M760,0),0)</f>
        <v>0</v>
      </c>
      <c r="N440" s="229">
        <f>IFERROR(IF($D$33&gt;=N$338,N503*N760,0),0)</f>
        <v>0</v>
      </c>
      <c r="O440" s="229">
        <f>IFERROR(IF($D$33&gt;=O$338,O503*O760,0),0)</f>
        <v>0</v>
      </c>
      <c r="P440" s="229">
        <f>IFERROR(IF($D$33&gt;=P$338,P503*P760,0),0)</f>
        <v>0</v>
      </c>
      <c r="Q440" s="229">
        <f>IFERROR(IF($D$33&gt;=Q$338,Q503*Q760,0),0)</f>
        <v>0</v>
      </c>
      <c r="R440" s="229">
        <f>IFERROR(IF($D$33&gt;=R$338,R503*R760,0),0)</f>
        <v>0</v>
      </c>
      <c r="S440" s="229">
        <f>IFERROR(IF($D$33&gt;=S$338,S503*S760,0),0)</f>
        <v>0</v>
      </c>
      <c r="T440" s="229">
        <f>IFERROR(IF($D$33&gt;=T$338,T503*T760,0),0)</f>
        <v>0</v>
      </c>
      <c r="U440" s="229">
        <f>IFERROR(IF($D$33&gt;=U$338,U503*U760,0),0)</f>
        <v>0</v>
      </c>
      <c r="V440" s="229">
        <f>IFERROR(IF($D$33&gt;=V$338,V503*V760,0),0)</f>
        <v>0</v>
      </c>
      <c r="W440" s="229">
        <f>IFERROR(IF($D$33&gt;=W$338,W503*W760,0),0)</f>
        <v>0</v>
      </c>
      <c r="X440" s="229">
        <f>IFERROR(IF($D$33&gt;=X$338,X503*X760,0),0)</f>
        <v>0</v>
      </c>
      <c r="Y440" s="229">
        <f>IFERROR(IF($D$33&gt;=Y$338,Y503*Y760,0),0)</f>
        <v>0</v>
      </c>
      <c r="Z440" s="229">
        <f>IFERROR(IF($D$33&gt;=Z$338,Z503*Z760,0),0)</f>
        <v>0</v>
      </c>
      <c r="AA440" s="229">
        <f>IFERROR(IF($D$33&gt;=AA$338,AA503*AA760,0),0)</f>
        <v>0</v>
      </c>
      <c r="AB440" s="298">
        <f>IFERROR(IF($D$33&gt;=AB$338,AB503*AB760,0),0)</f>
        <v>0</v>
      </c>
    </row>
    <row r="441" spans="1:28" ht="12" customHeight="1" x14ac:dyDescent="0.3">
      <c r="A441" s="8"/>
      <c r="B441" s="8"/>
      <c r="C441" s="495">
        <f>C371</f>
        <v>974</v>
      </c>
      <c r="D441" s="297">
        <f>IFERROR(IF($D$33&gt;=D$338,D504*D761,0),0)</f>
        <v>0</v>
      </c>
      <c r="E441" s="229">
        <f>IFERROR(IF($D$33&gt;=E$338,E504*E761,0),0)</f>
        <v>0</v>
      </c>
      <c r="F441" s="229">
        <f>IFERROR(IF($D$33&gt;=F$338,F504*F761,0),0)</f>
        <v>0</v>
      </c>
      <c r="G441" s="229">
        <f>IFERROR(IF($D$33&gt;=G$338,G504*G761,0),0)</f>
        <v>0</v>
      </c>
      <c r="H441" s="229">
        <f>IFERROR(IF($D$33&gt;=H$338,H504*H761,0),0)</f>
        <v>0</v>
      </c>
      <c r="I441" s="229">
        <f>IFERROR(IF($D$33&gt;=I$338,I504*I761,0),0)</f>
        <v>0</v>
      </c>
      <c r="J441" s="229">
        <f>IFERROR(IF($D$33&gt;=J$338,J504*J761,0),0)</f>
        <v>0</v>
      </c>
      <c r="K441" s="229">
        <f>IFERROR(IF($D$33&gt;=K$338,K504*K761,0),0)</f>
        <v>0</v>
      </c>
      <c r="L441" s="229">
        <f>IFERROR(IF($D$33&gt;=L$338,L504*L761,0),0)</f>
        <v>0</v>
      </c>
      <c r="M441" s="229">
        <f>IFERROR(IF($D$33&gt;=M$338,M504*M761,0),0)</f>
        <v>0</v>
      </c>
      <c r="N441" s="229">
        <f>IFERROR(IF($D$33&gt;=N$338,N504*N761,0),0)</f>
        <v>0</v>
      </c>
      <c r="O441" s="229">
        <f>IFERROR(IF($D$33&gt;=O$338,O504*O761,0),0)</f>
        <v>0</v>
      </c>
      <c r="P441" s="229">
        <f>IFERROR(IF($D$33&gt;=P$338,P504*P761,0),0)</f>
        <v>0</v>
      </c>
      <c r="Q441" s="229">
        <f>IFERROR(IF($D$33&gt;=Q$338,Q504*Q761,0),0)</f>
        <v>0</v>
      </c>
      <c r="R441" s="229">
        <f>IFERROR(IF($D$33&gt;=R$338,R504*R761,0),0)</f>
        <v>0</v>
      </c>
      <c r="S441" s="229">
        <f>IFERROR(IF($D$33&gt;=S$338,S504*S761,0),0)</f>
        <v>0</v>
      </c>
      <c r="T441" s="229">
        <f>IFERROR(IF($D$33&gt;=T$338,T504*T761,0),0)</f>
        <v>0</v>
      </c>
      <c r="U441" s="229">
        <f>IFERROR(IF($D$33&gt;=U$338,U504*U761,0),0)</f>
        <v>0</v>
      </c>
      <c r="V441" s="229">
        <f>IFERROR(IF($D$33&gt;=V$338,V504*V761,0),0)</f>
        <v>0</v>
      </c>
      <c r="W441" s="229">
        <f>IFERROR(IF($D$33&gt;=W$338,W504*W761,0),0)</f>
        <v>0</v>
      </c>
      <c r="X441" s="229">
        <f>IFERROR(IF($D$33&gt;=X$338,X504*X761,0),0)</f>
        <v>0</v>
      </c>
      <c r="Y441" s="229">
        <f>IFERROR(IF($D$33&gt;=Y$338,Y504*Y761,0),0)</f>
        <v>0</v>
      </c>
      <c r="Z441" s="229">
        <f>IFERROR(IF($D$33&gt;=Z$338,Z504*Z761,0),0)</f>
        <v>0</v>
      </c>
      <c r="AA441" s="229">
        <f>IFERROR(IF($D$33&gt;=AA$338,AA504*AA761,0),0)</f>
        <v>0</v>
      </c>
      <c r="AB441" s="298">
        <f>IFERROR(IF($D$33&gt;=AB$338,AB504*AB761,0),0)</f>
        <v>0</v>
      </c>
    </row>
    <row r="442" spans="1:28" ht="12" customHeight="1" x14ac:dyDescent="0.3">
      <c r="A442" s="8"/>
      <c r="B442" s="8"/>
      <c r="C442" s="495">
        <f>C372</f>
        <v>1004</v>
      </c>
      <c r="D442" s="297">
        <f>IFERROR(IF($D$33&gt;=D$338,D505*D762,0),0)</f>
        <v>0</v>
      </c>
      <c r="E442" s="229">
        <f>IFERROR(IF($D$33&gt;=E$338,E505*E762,0),0)</f>
        <v>0</v>
      </c>
      <c r="F442" s="229">
        <f>IFERROR(IF($D$33&gt;=F$338,F505*F762,0),0)</f>
        <v>0</v>
      </c>
      <c r="G442" s="229">
        <f>IFERROR(IF($D$33&gt;=G$338,G505*G762,0),0)</f>
        <v>0</v>
      </c>
      <c r="H442" s="229">
        <f>IFERROR(IF($D$33&gt;=H$338,H505*H762,0),0)</f>
        <v>0</v>
      </c>
      <c r="I442" s="229">
        <f>IFERROR(IF($D$33&gt;=I$338,I505*I762,0),0)</f>
        <v>0</v>
      </c>
      <c r="J442" s="229">
        <f>IFERROR(IF($D$33&gt;=J$338,J505*J762,0),0)</f>
        <v>0</v>
      </c>
      <c r="K442" s="229">
        <f>IFERROR(IF($D$33&gt;=K$338,K505*K762,0),0)</f>
        <v>0</v>
      </c>
      <c r="L442" s="229">
        <f>IFERROR(IF($D$33&gt;=L$338,L505*L762,0),0)</f>
        <v>0</v>
      </c>
      <c r="M442" s="229">
        <f>IFERROR(IF($D$33&gt;=M$338,M505*M762,0),0)</f>
        <v>0</v>
      </c>
      <c r="N442" s="229">
        <f>IFERROR(IF($D$33&gt;=N$338,N505*N762,0),0)</f>
        <v>0</v>
      </c>
      <c r="O442" s="229">
        <f>IFERROR(IF($D$33&gt;=O$338,O505*O762,0),0)</f>
        <v>0</v>
      </c>
      <c r="P442" s="229">
        <f>IFERROR(IF($D$33&gt;=P$338,P505*P762,0),0)</f>
        <v>0</v>
      </c>
      <c r="Q442" s="229">
        <f>IFERROR(IF($D$33&gt;=Q$338,Q505*Q762,0),0)</f>
        <v>0</v>
      </c>
      <c r="R442" s="229">
        <f>IFERROR(IF($D$33&gt;=R$338,R505*R762,0),0)</f>
        <v>0</v>
      </c>
      <c r="S442" s="229">
        <f>IFERROR(IF($D$33&gt;=S$338,S505*S762,0),0)</f>
        <v>0</v>
      </c>
      <c r="T442" s="229">
        <f>IFERROR(IF($D$33&gt;=T$338,T505*T762,0),0)</f>
        <v>0</v>
      </c>
      <c r="U442" s="229">
        <f>IFERROR(IF($D$33&gt;=U$338,U505*U762,0),0)</f>
        <v>0</v>
      </c>
      <c r="V442" s="229">
        <f>IFERROR(IF($D$33&gt;=V$338,V505*V762,0),0)</f>
        <v>0</v>
      </c>
      <c r="W442" s="229">
        <f>IFERROR(IF($D$33&gt;=W$338,W505*W762,0),0)</f>
        <v>0</v>
      </c>
      <c r="X442" s="229">
        <f>IFERROR(IF($D$33&gt;=X$338,X505*X762,0),0)</f>
        <v>0</v>
      </c>
      <c r="Y442" s="229">
        <f>IFERROR(IF($D$33&gt;=Y$338,Y505*Y762,0),0)</f>
        <v>0</v>
      </c>
      <c r="Z442" s="229">
        <f>IFERROR(IF($D$33&gt;=Z$338,Z505*Z762,0),0)</f>
        <v>0</v>
      </c>
      <c r="AA442" s="229">
        <f>IFERROR(IF($D$33&gt;=AA$338,AA505*AA762,0),0)</f>
        <v>0</v>
      </c>
      <c r="AB442" s="298">
        <f>IFERROR(IF($D$33&gt;=AB$338,AB505*AB762,0),0)</f>
        <v>0</v>
      </c>
    </row>
    <row r="443" spans="1:28" ht="12" customHeight="1" x14ac:dyDescent="0.3">
      <c r="A443" s="8"/>
      <c r="B443" s="8"/>
      <c r="C443" s="495">
        <f>C373</f>
        <v>1035</v>
      </c>
      <c r="D443" s="297">
        <f>IFERROR(IF($D$33&gt;=D$338,D506*D763,0),0)</f>
        <v>0</v>
      </c>
      <c r="E443" s="229">
        <f>IFERROR(IF($D$33&gt;=E$338,E506*E763,0),0)</f>
        <v>0</v>
      </c>
      <c r="F443" s="229">
        <f>IFERROR(IF($D$33&gt;=F$338,F506*F763,0),0)</f>
        <v>0</v>
      </c>
      <c r="G443" s="229">
        <f>IFERROR(IF($D$33&gt;=G$338,G506*G763,0),0)</f>
        <v>0</v>
      </c>
      <c r="H443" s="229">
        <f>IFERROR(IF($D$33&gt;=H$338,H506*H763,0),0)</f>
        <v>0</v>
      </c>
      <c r="I443" s="229">
        <f>IFERROR(IF($D$33&gt;=I$338,I506*I763,0),0)</f>
        <v>0</v>
      </c>
      <c r="J443" s="229">
        <f>IFERROR(IF($D$33&gt;=J$338,J506*J763,0),0)</f>
        <v>0</v>
      </c>
      <c r="K443" s="229">
        <f>IFERROR(IF($D$33&gt;=K$338,K506*K763,0),0)</f>
        <v>0</v>
      </c>
      <c r="L443" s="229">
        <f>IFERROR(IF($D$33&gt;=L$338,L506*L763,0),0)</f>
        <v>0</v>
      </c>
      <c r="M443" s="229">
        <f>IFERROR(IF($D$33&gt;=M$338,M506*M763,0),0)</f>
        <v>0</v>
      </c>
      <c r="N443" s="229">
        <f>IFERROR(IF($D$33&gt;=N$338,N506*N763,0),0)</f>
        <v>0</v>
      </c>
      <c r="O443" s="229">
        <f>IFERROR(IF($D$33&gt;=O$338,O506*O763,0),0)</f>
        <v>0</v>
      </c>
      <c r="P443" s="229">
        <f>IFERROR(IF($D$33&gt;=P$338,P506*P763,0),0)</f>
        <v>0</v>
      </c>
      <c r="Q443" s="229">
        <f>IFERROR(IF($D$33&gt;=Q$338,Q506*Q763,0),0)</f>
        <v>0</v>
      </c>
      <c r="R443" s="229">
        <f>IFERROR(IF($D$33&gt;=R$338,R506*R763,0),0)</f>
        <v>0</v>
      </c>
      <c r="S443" s="229">
        <f>IFERROR(IF($D$33&gt;=S$338,S506*S763,0),0)</f>
        <v>0</v>
      </c>
      <c r="T443" s="229">
        <f>IFERROR(IF($D$33&gt;=T$338,T506*T763,0),0)</f>
        <v>0</v>
      </c>
      <c r="U443" s="229">
        <f>IFERROR(IF($D$33&gt;=U$338,U506*U763,0),0)</f>
        <v>0</v>
      </c>
      <c r="V443" s="229">
        <f>IFERROR(IF($D$33&gt;=V$338,V506*V763,0),0)</f>
        <v>0</v>
      </c>
      <c r="W443" s="229">
        <f>IFERROR(IF($D$33&gt;=W$338,W506*W763,0),0)</f>
        <v>0</v>
      </c>
      <c r="X443" s="229">
        <f>IFERROR(IF($D$33&gt;=X$338,X506*X763,0),0)</f>
        <v>0</v>
      </c>
      <c r="Y443" s="229">
        <f>IFERROR(IF($D$33&gt;=Y$338,Y506*Y763,0),0)</f>
        <v>0</v>
      </c>
      <c r="Z443" s="229">
        <f>IFERROR(IF($D$33&gt;=Z$338,Z506*Z763,0),0)</f>
        <v>0</v>
      </c>
      <c r="AA443" s="229">
        <f>IFERROR(IF($D$33&gt;=AA$338,AA506*AA763,0),0)</f>
        <v>0</v>
      </c>
      <c r="AB443" s="298">
        <f>IFERROR(IF($D$33&gt;=AB$338,AB506*AB763,0),0)</f>
        <v>0</v>
      </c>
    </row>
    <row r="444" spans="1:28" ht="12" customHeight="1" x14ac:dyDescent="0.3">
      <c r="A444" s="8"/>
      <c r="B444" s="8"/>
      <c r="C444" s="495">
        <f>C374</f>
        <v>1065</v>
      </c>
      <c r="D444" s="297">
        <f>IFERROR(IF($D$33&gt;=D$338,D507*D764,0),0)</f>
        <v>0</v>
      </c>
      <c r="E444" s="229">
        <f>IFERROR(IF($D$33&gt;=E$338,E507*E764,0),0)</f>
        <v>0</v>
      </c>
      <c r="F444" s="229">
        <f>IFERROR(IF($D$33&gt;=F$338,F507*F764,0),0)</f>
        <v>0</v>
      </c>
      <c r="G444" s="229">
        <f>IFERROR(IF($D$33&gt;=G$338,G507*G764,0),0)</f>
        <v>0</v>
      </c>
      <c r="H444" s="229">
        <f>IFERROR(IF($D$33&gt;=H$338,H507*H764,0),0)</f>
        <v>0</v>
      </c>
      <c r="I444" s="229">
        <f>IFERROR(IF($D$33&gt;=I$338,I507*I764,0),0)</f>
        <v>0</v>
      </c>
      <c r="J444" s="229">
        <f>IFERROR(IF($D$33&gt;=J$338,J507*J764,0),0)</f>
        <v>0</v>
      </c>
      <c r="K444" s="229">
        <f>IFERROR(IF($D$33&gt;=K$338,K507*K764,0),0)</f>
        <v>0</v>
      </c>
      <c r="L444" s="229">
        <f>IFERROR(IF($D$33&gt;=L$338,L507*L764,0),0)</f>
        <v>0</v>
      </c>
      <c r="M444" s="229">
        <f>IFERROR(IF($D$33&gt;=M$338,M507*M764,0),0)</f>
        <v>0</v>
      </c>
      <c r="N444" s="229">
        <f>IFERROR(IF($D$33&gt;=N$338,N507*N764,0),0)</f>
        <v>0</v>
      </c>
      <c r="O444" s="229">
        <f>IFERROR(IF($D$33&gt;=O$338,O507*O764,0),0)</f>
        <v>0</v>
      </c>
      <c r="P444" s="229">
        <f>IFERROR(IF($D$33&gt;=P$338,P507*P764,0),0)</f>
        <v>0</v>
      </c>
      <c r="Q444" s="229">
        <f>IFERROR(IF($D$33&gt;=Q$338,Q507*Q764,0),0)</f>
        <v>0</v>
      </c>
      <c r="R444" s="229">
        <f>IFERROR(IF($D$33&gt;=R$338,R507*R764,0),0)</f>
        <v>0</v>
      </c>
      <c r="S444" s="229">
        <f>IFERROR(IF($D$33&gt;=S$338,S507*S764,0),0)</f>
        <v>0</v>
      </c>
      <c r="T444" s="229">
        <f>IFERROR(IF($D$33&gt;=T$338,T507*T764,0),0)</f>
        <v>0</v>
      </c>
      <c r="U444" s="229">
        <f>IFERROR(IF($D$33&gt;=U$338,U507*U764,0),0)</f>
        <v>0</v>
      </c>
      <c r="V444" s="229">
        <f>IFERROR(IF($D$33&gt;=V$338,V507*V764,0),0)</f>
        <v>0</v>
      </c>
      <c r="W444" s="229">
        <f>IFERROR(IF($D$33&gt;=W$338,W507*W764,0),0)</f>
        <v>0</v>
      </c>
      <c r="X444" s="229">
        <f>IFERROR(IF($D$33&gt;=X$338,X507*X764,0),0)</f>
        <v>0</v>
      </c>
      <c r="Y444" s="229">
        <f>IFERROR(IF($D$33&gt;=Y$338,Y507*Y764,0),0)</f>
        <v>0</v>
      </c>
      <c r="Z444" s="229">
        <f>IFERROR(IF($D$33&gt;=Z$338,Z507*Z764,0),0)</f>
        <v>0</v>
      </c>
      <c r="AA444" s="229">
        <f>IFERROR(IF($D$33&gt;=AA$338,AA507*AA764,0),0)</f>
        <v>0</v>
      </c>
      <c r="AB444" s="298">
        <f>IFERROR(IF($D$33&gt;=AB$338,AB507*AB764,0),0)</f>
        <v>0</v>
      </c>
    </row>
    <row r="445" spans="1:28" ht="12" customHeight="1" thickBot="1" x14ac:dyDescent="0.35">
      <c r="A445" s="8"/>
      <c r="B445" s="8"/>
      <c r="C445" s="496">
        <f>C375</f>
        <v>1096</v>
      </c>
      <c r="D445" s="301">
        <f>IFERROR(IF($D$33&gt;=D$338,D508*D765,0),0)</f>
      </c>
      <c r="E445" s="302">
        <f>IFERROR(IF($D$33&gt;=E$338,E508*E765,0),0)</f>
        <v>0</v>
      </c>
      <c r="F445" s="302">
        <f>IFERROR(IF($D$33&gt;=F$338,F508*F765,0),0)</f>
        <v>0</v>
      </c>
      <c r="G445" s="302">
        <f>IFERROR(IF($D$33&gt;=G$338,G508*G765,0),0)</f>
      </c>
      <c r="H445" s="302">
        <f>IFERROR(IF($D$33&gt;=H$338,H508*H765,0),0)</f>
        <v>0</v>
      </c>
      <c r="I445" s="302">
        <f>IFERROR(IF($D$33&gt;=I$338,I508*I765,0),0)</f>
        <v>0</v>
      </c>
      <c r="J445" s="302">
        <f>IFERROR(IF($D$33&gt;=J$338,J508*J765,0),0)</f>
        <v>0</v>
      </c>
      <c r="K445" s="302">
        <f>IFERROR(IF($D$33&gt;=K$338,K508*K765,0),0)</f>
        <v>0</v>
      </c>
      <c r="L445" s="302">
        <f>IFERROR(IF($D$33&gt;=L$338,L508*L765,0),0)</f>
      </c>
      <c r="M445" s="302">
        <f>IFERROR(IF($D$33&gt;=M$338,M508*M765,0),0)</f>
        <v>0</v>
      </c>
      <c r="N445" s="302">
        <f>IFERROR(IF($D$33&gt;=N$338,N508*N765,0),0)</f>
        <v>0</v>
      </c>
      <c r="O445" s="302">
        <f>IFERROR(IF($D$33&gt;=O$338,O508*O765,0),0)</f>
        <v>0</v>
      </c>
      <c r="P445" s="302">
        <f>IFERROR(IF($D$33&gt;=P$338,P508*P765,0),0)</f>
        <v>0</v>
      </c>
      <c r="Q445" s="302">
        <f>IFERROR(IF($D$33&gt;=Q$338,Q508*Q765,0),0)</f>
        <v>0</v>
      </c>
      <c r="R445" s="302">
        <f>IFERROR(IF($D$33&gt;=R$338,R508*R765,0),0)</f>
        <v>0</v>
      </c>
      <c r="S445" s="302">
        <f>IFERROR(IF($D$33&gt;=S$338,S508*S765,0),0)</f>
        <v>0</v>
      </c>
      <c r="T445" s="302">
        <f>IFERROR(IF($D$33&gt;=T$338,T508*T765,0),0)</f>
        <v>0</v>
      </c>
      <c r="U445" s="302">
        <f>IFERROR(IF($D$33&gt;=U$338,U508*U765,0),0)</f>
        <v>0</v>
      </c>
      <c r="V445" s="302">
        <f>IFERROR(IF($D$33&gt;=V$338,V508*V765,0),0)</f>
        <v>0</v>
      </c>
      <c r="W445" s="302">
        <f>IFERROR(IF($D$33&gt;=W$338,W508*W765,0),0)</f>
        <v>0</v>
      </c>
      <c r="X445" s="302">
        <f>IFERROR(IF($D$33&gt;=X$338,X508*X765,0),0)</f>
        <v>0</v>
      </c>
      <c r="Y445" s="302">
        <f>IFERROR(IF($D$33&gt;=Y$338,Y508*Y765,0),0)</f>
        <v>0</v>
      </c>
      <c r="Z445" s="302">
        <f>IFERROR(IF($D$33&gt;=Z$338,Z508*Z765,0),0)</f>
        <v>0</v>
      </c>
      <c r="AA445" s="302">
        <f>IFERROR(IF($D$33&gt;=AA$338,AA508*AA765,0),0)</f>
        <v>0</v>
      </c>
      <c r="AB445" s="303">
        <f>IFERROR(IF($D$33&gt;=AB$338,AB508*AB765,0),0)</f>
        <v>0</v>
      </c>
    </row>
    <row r="446" spans="1:28" ht="12" customHeight="1" x14ac:dyDescent="0.3">
      <c r="A446" s="8"/>
      <c r="B446" s="8"/>
      <c r="C446" s="638">
        <f>C376</f>
        <v>1127</v>
      </c>
      <c r="D446" s="299">
        <f>IF(Years="Five",IFERROR(IF($D$33&gt;=D$338,D509*D766,0),0),SUM(D410:D445))</f>
      </c>
      <c r="E446" s="231">
        <f>IF(Years="Five",IFERROR(IF($D$33&gt;=E$338,E509*E766,0),0),SUM(E410:E445))</f>
        <v>0</v>
      </c>
      <c r="F446" s="231">
        <f>IF(Years="Five",IFERROR(IF($D$33&gt;=F$338,F509*F766,0),0),SUM(F410:F445))</f>
        <v>0</v>
      </c>
      <c r="G446" s="231">
        <f>IF(Years="Five",IFERROR(IF($D$33&gt;=G$338,G509*G766,0),0),SUM(G410:G445))</f>
      </c>
      <c r="H446" s="231">
        <f>IF(Years="Five",IFERROR(IF($D$33&gt;=H$338,H509*H766,0),0),SUM(H410:H445))</f>
        <v>0</v>
      </c>
      <c r="I446" s="231">
        <f>IF(Years="Five",IFERROR(IF($D$33&gt;=I$338,I509*I766,0),0),SUM(I410:I445))</f>
        <v>0</v>
      </c>
      <c r="J446" s="231">
        <f>IF(Years="Five",IFERROR(IF($D$33&gt;=J$338,J509*J766,0),0),SUM(J410:J445))</f>
        <v>0</v>
      </c>
      <c r="K446" s="231">
        <f>IF(Years="Five",IFERROR(IF($D$33&gt;=K$338,K509*K766,0),0),SUM(K410:K445))</f>
        <v>0</v>
      </c>
      <c r="L446" s="231">
        <f>IF(Years="Five",IFERROR(IF($D$33&gt;=L$338,L509*L766,0),0),SUM(L410:L445))</f>
      </c>
      <c r="M446" s="231">
        <f>IF(Years="Five",IFERROR(IF($D$33&gt;=M$338,M509*M766,0),0),SUM(M410:M445))</f>
        <v>0</v>
      </c>
      <c r="N446" s="231">
        <f>IF(Years="Five",IFERROR(IF($D$33&gt;=N$338,N509*N766,0),0),SUM(N410:N445))</f>
        <v>0</v>
      </c>
      <c r="O446" s="231">
        <f>IF(Years="Five",IFERROR(IF($D$33&gt;=O$338,O509*O766,0),0),SUM(O410:O445))</f>
        <v>0</v>
      </c>
      <c r="P446" s="231">
        <f>IF(Years="Five",IFERROR(IF($D$33&gt;=P$338,P509*P766,0),0),SUM(P410:P445))</f>
        <v>0</v>
      </c>
      <c r="Q446" s="231">
        <f>IF(Years="Five",IFERROR(IF($D$33&gt;=Q$338,Q509*Q766,0),0),SUM(Q410:Q445))</f>
        <v>0</v>
      </c>
      <c r="R446" s="231">
        <f>IF(Years="Five",IFERROR(IF($D$33&gt;=R$338,R509*R766,0),0),SUM(R410:R445))</f>
        <v>0</v>
      </c>
      <c r="S446" s="231">
        <f>IF(Years="Five",IFERROR(IF($D$33&gt;=S$338,S509*S766,0),0),SUM(S410:S445))</f>
        <v>0</v>
      </c>
      <c r="T446" s="231">
        <f>IF(Years="Five",IFERROR(IF($D$33&gt;=T$338,T509*T766,0),0),SUM(T410:T445))</f>
        <v>0</v>
      </c>
      <c r="U446" s="231">
        <f>IF(Years="Five",IFERROR(IF($D$33&gt;=U$338,U509*U766,0),0),SUM(U410:U445))</f>
        <v>0</v>
      </c>
      <c r="V446" s="231">
        <f>IF(Years="Five",IFERROR(IF($D$33&gt;=V$338,V509*V766,0),0),SUM(V410:V445))</f>
        <v>0</v>
      </c>
      <c r="W446" s="231">
        <f>IF(Years="Five",IFERROR(IF($D$33&gt;=W$338,W509*W766,0),0),SUM(W410:W445))</f>
        <v>0</v>
      </c>
      <c r="X446" s="231">
        <f>IF(Years="Five",IFERROR(IF($D$33&gt;=X$338,X509*X766,0),0),SUM(X410:X445))</f>
        <v>0</v>
      </c>
      <c r="Y446" s="231">
        <f>IF(Years="Five",IFERROR(IF($D$33&gt;=Y$338,Y509*Y766,0),0),SUM(Y410:Y445))</f>
        <v>0</v>
      </c>
      <c r="Z446" s="231">
        <f>IF(Years="Five",IFERROR(IF($D$33&gt;=Z$338,Z509*Z766,0),0),SUM(Z410:Z445))</f>
        <v>0</v>
      </c>
      <c r="AA446" s="231">
        <f>IF(Years="Five",IFERROR(IF($D$33&gt;=AA$338,AA509*AA766,0),0),SUM(AA410:AA445))</f>
        <v>0</v>
      </c>
      <c r="AB446" s="300">
        <f>IF(Years="Five",IFERROR(IF($D$33&gt;=AB$338,AB509*AB766,0),0),SUM(AB410:AB445))</f>
        <v>0</v>
      </c>
    </row>
    <row r="447" spans="1:28" ht="12" customHeight="1" x14ac:dyDescent="0.3">
      <c r="A447" s="8"/>
      <c r="B447" s="8"/>
      <c r="C447" s="638">
        <f>C377</f>
        <v>1155</v>
      </c>
      <c r="D447" s="297">
        <f>IFERROR(IF($D$33&gt;=D$338,D510*D767,0),0)</f>
      </c>
      <c r="E447" s="229">
        <f>IFERROR(IF($D$33&gt;=E$338,E510*E767,0),0)</f>
        <v>0</v>
      </c>
      <c r="F447" s="229">
        <f>IFERROR(IF($D$33&gt;=F$338,F510*F767,0),0)</f>
        <v>0</v>
      </c>
      <c r="G447" s="229">
        <f>IFERROR(IF($D$33&gt;=G$338,G510*G767,0),0)</f>
      </c>
      <c r="H447" s="229">
        <f>IFERROR(IF($D$33&gt;=H$338,H510*H767,0),0)</f>
        <v>0</v>
      </c>
      <c r="I447" s="229">
        <f>IFERROR(IF($D$33&gt;=I$338,I510*I767,0),0)</f>
        <v>0</v>
      </c>
      <c r="J447" s="229">
        <f>IFERROR(IF($D$33&gt;=J$338,J510*J767,0),0)</f>
        <v>0</v>
      </c>
      <c r="K447" s="229">
        <f>IFERROR(IF($D$33&gt;=K$338,K510*K767,0),0)</f>
        <v>0</v>
      </c>
      <c r="L447" s="229">
        <f>IFERROR(IF($D$33&gt;=L$338,L510*L767,0),0)</f>
      </c>
      <c r="M447" s="229">
        <f>IFERROR(IF($D$33&gt;=M$338,M510*M767,0),0)</f>
        <v>0</v>
      </c>
      <c r="N447" s="229">
        <f>IFERROR(IF($D$33&gt;=N$338,N510*N767,0),0)</f>
        <v>0</v>
      </c>
      <c r="O447" s="229">
        <f>IFERROR(IF($D$33&gt;=O$338,O510*O767,0),0)</f>
        <v>0</v>
      </c>
      <c r="P447" s="229">
        <f>IFERROR(IF($D$33&gt;=P$338,P510*P767,0),0)</f>
        <v>0</v>
      </c>
      <c r="Q447" s="229">
        <f>IFERROR(IF($D$33&gt;=Q$338,Q510*Q767,0),0)</f>
        <v>0</v>
      </c>
      <c r="R447" s="229">
        <f>IFERROR(IF($D$33&gt;=R$338,R510*R767,0),0)</f>
        <v>0</v>
      </c>
      <c r="S447" s="229">
        <f>IFERROR(IF($D$33&gt;=S$338,S510*S767,0),0)</f>
        <v>0</v>
      </c>
      <c r="T447" s="229">
        <f>IFERROR(IF($D$33&gt;=T$338,T510*T767,0),0)</f>
        <v>0</v>
      </c>
      <c r="U447" s="229">
        <f>IFERROR(IF($D$33&gt;=U$338,U510*U767,0),0)</f>
        <v>0</v>
      </c>
      <c r="V447" s="229">
        <f>IFERROR(IF($D$33&gt;=V$338,V510*V767,0),0)</f>
        <v>0</v>
      </c>
      <c r="W447" s="229">
        <f>IFERROR(IF($D$33&gt;=W$338,W510*W767,0),0)</f>
        <v>0</v>
      </c>
      <c r="X447" s="229">
        <f>IFERROR(IF($D$33&gt;=X$338,X510*X767,0),0)</f>
        <v>0</v>
      </c>
      <c r="Y447" s="229">
        <f>IFERROR(IF($D$33&gt;=Y$338,Y510*Y767,0),0)</f>
        <v>0</v>
      </c>
      <c r="Z447" s="229">
        <f>IFERROR(IF($D$33&gt;=Z$338,Z510*Z767,0),0)</f>
        <v>0</v>
      </c>
      <c r="AA447" s="229">
        <f>IFERROR(IF($D$33&gt;=AA$338,AA510*AA767,0),0)</f>
        <v>0</v>
      </c>
      <c r="AB447" s="298">
        <f>IFERROR(IF($D$33&gt;=AB$338,AB510*AB767,0),0)</f>
        <v>0</v>
      </c>
    </row>
    <row r="448" spans="1:28" ht="12" customHeight="1" x14ac:dyDescent="0.3">
      <c r="A448" s="8"/>
      <c r="B448" s="8"/>
      <c r="C448" s="638">
        <f>C378</f>
        <v>1186</v>
      </c>
      <c r="D448" s="297">
        <f>IFERROR(IF($D$33&gt;=D$338,D511*D768,0),0)</f>
        <v>0</v>
      </c>
      <c r="E448" s="229">
        <f>IFERROR(IF($D$33&gt;=E$338,E511*E768,0),0)</f>
        <v>0</v>
      </c>
      <c r="F448" s="229">
        <f>IFERROR(IF($D$33&gt;=F$338,F511*F768,0),0)</f>
        <v>0</v>
      </c>
      <c r="G448" s="229">
        <f>IFERROR(IF($D$33&gt;=G$338,G511*G768,0),0)</f>
        <v>0</v>
      </c>
      <c r="H448" s="229">
        <f>IFERROR(IF($D$33&gt;=H$338,H511*H768,0),0)</f>
        <v>0</v>
      </c>
      <c r="I448" s="229">
        <f>IFERROR(IF($D$33&gt;=I$338,I511*I768,0),0)</f>
        <v>0</v>
      </c>
      <c r="J448" s="229">
        <f>IFERROR(IF($D$33&gt;=J$338,J511*J768,0),0)</f>
        <v>0</v>
      </c>
      <c r="K448" s="229">
        <f>IFERROR(IF($D$33&gt;=K$338,K511*K768,0),0)</f>
        <v>0</v>
      </c>
      <c r="L448" s="229">
        <f>IFERROR(IF($D$33&gt;=L$338,L511*L768,0),0)</f>
        <v>0</v>
      </c>
      <c r="M448" s="229">
        <f>IFERROR(IF($D$33&gt;=M$338,M511*M768,0),0)</f>
        <v>0</v>
      </c>
      <c r="N448" s="229">
        <f>IFERROR(IF($D$33&gt;=N$338,N511*N768,0),0)</f>
        <v>0</v>
      </c>
      <c r="O448" s="229">
        <f>IFERROR(IF($D$33&gt;=O$338,O511*O768,0),0)</f>
        <v>0</v>
      </c>
      <c r="P448" s="229">
        <f>IFERROR(IF($D$33&gt;=P$338,P511*P768,0),0)</f>
        <v>0</v>
      </c>
      <c r="Q448" s="229">
        <f>IFERROR(IF($D$33&gt;=Q$338,Q511*Q768,0),0)</f>
        <v>0</v>
      </c>
      <c r="R448" s="229">
        <f>IFERROR(IF($D$33&gt;=R$338,R511*R768,0),0)</f>
        <v>0</v>
      </c>
      <c r="S448" s="229">
        <f>IFERROR(IF($D$33&gt;=S$338,S511*S768,0),0)</f>
        <v>0</v>
      </c>
      <c r="T448" s="229">
        <f>IFERROR(IF($D$33&gt;=T$338,T511*T768,0),0)</f>
        <v>0</v>
      </c>
      <c r="U448" s="229">
        <f>IFERROR(IF($D$33&gt;=U$338,U511*U768,0),0)</f>
        <v>0</v>
      </c>
      <c r="V448" s="229">
        <f>IFERROR(IF($D$33&gt;=V$338,V511*V768,0),0)</f>
        <v>0</v>
      </c>
      <c r="W448" s="229">
        <f>IFERROR(IF($D$33&gt;=W$338,W511*W768,0),0)</f>
        <v>0</v>
      </c>
      <c r="X448" s="229">
        <f>IFERROR(IF($D$33&gt;=X$338,X511*X768,0),0)</f>
        <v>0</v>
      </c>
      <c r="Y448" s="229">
        <f>IFERROR(IF($D$33&gt;=Y$338,Y511*Y768,0),0)</f>
        <v>0</v>
      </c>
      <c r="Z448" s="229">
        <f>IFERROR(IF($D$33&gt;=Z$338,Z511*Z768,0),0)</f>
        <v>0</v>
      </c>
      <c r="AA448" s="229">
        <f>IFERROR(IF($D$33&gt;=AA$338,AA511*AA768,0),0)</f>
        <v>0</v>
      </c>
      <c r="AB448" s="298">
        <f>IFERROR(IF($D$33&gt;=AB$338,AB511*AB768,0),0)</f>
        <v>0</v>
      </c>
    </row>
    <row r="449" spans="1:28" ht="12" customHeight="1" x14ac:dyDescent="0.3">
      <c r="A449" s="8"/>
      <c r="B449" s="8"/>
      <c r="C449" s="638">
        <f>C379</f>
        <v>1216</v>
      </c>
      <c r="D449" s="297">
        <f>IFERROR(IF($D$33&gt;=D$338,D512*D769,0),0)</f>
        <v>0</v>
      </c>
      <c r="E449" s="229">
        <f>IFERROR(IF($D$33&gt;=E$338,E512*E769,0),0)</f>
        <v>0</v>
      </c>
      <c r="F449" s="229">
        <f>IFERROR(IF($D$33&gt;=F$338,F512*F769,0),0)</f>
        <v>0</v>
      </c>
      <c r="G449" s="229">
        <f>IFERROR(IF($D$33&gt;=G$338,G512*G769,0),0)</f>
        <v>0</v>
      </c>
      <c r="H449" s="229">
        <f>IFERROR(IF($D$33&gt;=H$338,H512*H769,0),0)</f>
        <v>0</v>
      </c>
      <c r="I449" s="229">
        <f>IFERROR(IF($D$33&gt;=I$338,I512*I769,0),0)</f>
        <v>0</v>
      </c>
      <c r="J449" s="229">
        <f>IFERROR(IF($D$33&gt;=J$338,J512*J769,0),0)</f>
        <v>0</v>
      </c>
      <c r="K449" s="229">
        <f>IFERROR(IF($D$33&gt;=K$338,K512*K769,0),0)</f>
        <v>0</v>
      </c>
      <c r="L449" s="229">
        <f>IFERROR(IF($D$33&gt;=L$338,L512*L769,0),0)</f>
        <v>0</v>
      </c>
      <c r="M449" s="229">
        <f>IFERROR(IF($D$33&gt;=M$338,M512*M769,0),0)</f>
        <v>0</v>
      </c>
      <c r="N449" s="229">
        <f>IFERROR(IF($D$33&gt;=N$338,N512*N769,0),0)</f>
        <v>0</v>
      </c>
      <c r="O449" s="229">
        <f>IFERROR(IF($D$33&gt;=O$338,O512*O769,0),0)</f>
        <v>0</v>
      </c>
      <c r="P449" s="229">
        <f>IFERROR(IF($D$33&gt;=P$338,P512*P769,0),0)</f>
        <v>0</v>
      </c>
      <c r="Q449" s="229">
        <f>IFERROR(IF($D$33&gt;=Q$338,Q512*Q769,0),0)</f>
        <v>0</v>
      </c>
      <c r="R449" s="229">
        <f>IFERROR(IF($D$33&gt;=R$338,R512*R769,0),0)</f>
        <v>0</v>
      </c>
      <c r="S449" s="229">
        <f>IFERROR(IF($D$33&gt;=S$338,S512*S769,0),0)</f>
        <v>0</v>
      </c>
      <c r="T449" s="229">
        <f>IFERROR(IF($D$33&gt;=T$338,T512*T769,0),0)</f>
        <v>0</v>
      </c>
      <c r="U449" s="229">
        <f>IFERROR(IF($D$33&gt;=U$338,U512*U769,0),0)</f>
        <v>0</v>
      </c>
      <c r="V449" s="229">
        <f>IFERROR(IF($D$33&gt;=V$338,V512*V769,0),0)</f>
        <v>0</v>
      </c>
      <c r="W449" s="229">
        <f>IFERROR(IF($D$33&gt;=W$338,W512*W769,0),0)</f>
        <v>0</v>
      </c>
      <c r="X449" s="229">
        <f>IFERROR(IF($D$33&gt;=X$338,X512*X769,0),0)</f>
        <v>0</v>
      </c>
      <c r="Y449" s="229">
        <f>IFERROR(IF($D$33&gt;=Y$338,Y512*Y769,0),0)</f>
        <v>0</v>
      </c>
      <c r="Z449" s="229">
        <f>IFERROR(IF($D$33&gt;=Z$338,Z512*Z769,0),0)</f>
        <v>0</v>
      </c>
      <c r="AA449" s="229">
        <f>IFERROR(IF($D$33&gt;=AA$338,AA512*AA769,0),0)</f>
        <v>0</v>
      </c>
      <c r="AB449" s="298">
        <f>IFERROR(IF($D$33&gt;=AB$338,AB512*AB769,0),0)</f>
        <v>0</v>
      </c>
    </row>
    <row r="450" spans="1:28" ht="12" customHeight="1" x14ac:dyDescent="0.3">
      <c r="A450" s="8"/>
      <c r="B450" s="8"/>
      <c r="C450" s="638">
        <f>C380</f>
        <v>1247</v>
      </c>
      <c r="D450" s="297">
        <f>IFERROR(IF($D$33&gt;=D$338,D513*D770,0),0)</f>
        <v>0</v>
      </c>
      <c r="E450" s="229">
        <f>IFERROR(IF($D$33&gt;=E$338,E513*E770,0),0)</f>
        <v>0</v>
      </c>
      <c r="F450" s="229">
        <f>IFERROR(IF($D$33&gt;=F$338,F513*F770,0),0)</f>
        <v>0</v>
      </c>
      <c r="G450" s="229">
        <f>IFERROR(IF($D$33&gt;=G$338,G513*G770,0),0)</f>
        <v>0</v>
      </c>
      <c r="H450" s="229">
        <f>IFERROR(IF($D$33&gt;=H$338,H513*H770,0),0)</f>
        <v>0</v>
      </c>
      <c r="I450" s="229">
        <f>IFERROR(IF($D$33&gt;=I$338,I513*I770,0),0)</f>
        <v>0</v>
      </c>
      <c r="J450" s="229">
        <f>IFERROR(IF($D$33&gt;=J$338,J513*J770,0),0)</f>
        <v>0</v>
      </c>
      <c r="K450" s="229">
        <f>IFERROR(IF($D$33&gt;=K$338,K513*K770,0),0)</f>
        <v>0</v>
      </c>
      <c r="L450" s="229">
        <f>IFERROR(IF($D$33&gt;=L$338,L513*L770,0),0)</f>
        <v>0</v>
      </c>
      <c r="M450" s="229">
        <f>IFERROR(IF($D$33&gt;=M$338,M513*M770,0),0)</f>
        <v>0</v>
      </c>
      <c r="N450" s="229">
        <f>IFERROR(IF($D$33&gt;=N$338,N513*N770,0),0)</f>
        <v>0</v>
      </c>
      <c r="O450" s="229">
        <f>IFERROR(IF($D$33&gt;=O$338,O513*O770,0),0)</f>
        <v>0</v>
      </c>
      <c r="P450" s="229">
        <f>IFERROR(IF($D$33&gt;=P$338,P513*P770,0),0)</f>
        <v>0</v>
      </c>
      <c r="Q450" s="229">
        <f>IFERROR(IF($D$33&gt;=Q$338,Q513*Q770,0),0)</f>
        <v>0</v>
      </c>
      <c r="R450" s="229">
        <f>IFERROR(IF($D$33&gt;=R$338,R513*R770,0),0)</f>
        <v>0</v>
      </c>
      <c r="S450" s="229">
        <f>IFERROR(IF($D$33&gt;=S$338,S513*S770,0),0)</f>
        <v>0</v>
      </c>
      <c r="T450" s="229">
        <f>IFERROR(IF($D$33&gt;=T$338,T513*T770,0),0)</f>
        <v>0</v>
      </c>
      <c r="U450" s="229">
        <f>IFERROR(IF($D$33&gt;=U$338,U513*U770,0),0)</f>
        <v>0</v>
      </c>
      <c r="V450" s="229">
        <f>IFERROR(IF($D$33&gt;=V$338,V513*V770,0),0)</f>
        <v>0</v>
      </c>
      <c r="W450" s="229">
        <f>IFERROR(IF($D$33&gt;=W$338,W513*W770,0),0)</f>
        <v>0</v>
      </c>
      <c r="X450" s="229">
        <f>IFERROR(IF($D$33&gt;=X$338,X513*X770,0),0)</f>
        <v>0</v>
      </c>
      <c r="Y450" s="229">
        <f>IFERROR(IF($D$33&gt;=Y$338,Y513*Y770,0),0)</f>
        <v>0</v>
      </c>
      <c r="Z450" s="229">
        <f>IFERROR(IF($D$33&gt;=Z$338,Z513*Z770,0),0)</f>
        <v>0</v>
      </c>
      <c r="AA450" s="229">
        <f>IFERROR(IF($D$33&gt;=AA$338,AA513*AA770,0),0)</f>
        <v>0</v>
      </c>
      <c r="AB450" s="298">
        <f>IFERROR(IF($D$33&gt;=AB$338,AB513*AB770,0),0)</f>
        <v>0</v>
      </c>
    </row>
    <row r="451" spans="1:28" ht="12" customHeight="1" x14ac:dyDescent="0.3">
      <c r="A451" s="8"/>
      <c r="B451" s="8"/>
      <c r="C451" s="638">
        <f>C381</f>
        <v>1277</v>
      </c>
      <c r="D451" s="297">
        <f>IFERROR(IF($D$33&gt;=D$338,D514*D771,0),0)</f>
        <v>0</v>
      </c>
      <c r="E451" s="229">
        <f>IFERROR(IF($D$33&gt;=E$338,E514*E771,0),0)</f>
        <v>0</v>
      </c>
      <c r="F451" s="229">
        <f>IFERROR(IF($D$33&gt;=F$338,F514*F771,0),0)</f>
        <v>0</v>
      </c>
      <c r="G451" s="229">
        <f>IFERROR(IF($D$33&gt;=G$338,G514*G771,0),0)</f>
        <v>0</v>
      </c>
      <c r="H451" s="229">
        <f>IFERROR(IF($D$33&gt;=H$338,H514*H771,0),0)</f>
        <v>0</v>
      </c>
      <c r="I451" s="229">
        <f>IFERROR(IF($D$33&gt;=I$338,I514*I771,0),0)</f>
        <v>0</v>
      </c>
      <c r="J451" s="229">
        <f>IFERROR(IF($D$33&gt;=J$338,J514*J771,0),0)</f>
        <v>0</v>
      </c>
      <c r="K451" s="229">
        <f>IFERROR(IF($D$33&gt;=K$338,K514*K771,0),0)</f>
        <v>0</v>
      </c>
      <c r="L451" s="229">
        <f>IFERROR(IF($D$33&gt;=L$338,L514*L771,0),0)</f>
        <v>0</v>
      </c>
      <c r="M451" s="229">
        <f>IFERROR(IF($D$33&gt;=M$338,M514*M771,0),0)</f>
        <v>0</v>
      </c>
      <c r="N451" s="229">
        <f>IFERROR(IF($D$33&gt;=N$338,N514*N771,0),0)</f>
        <v>0</v>
      </c>
      <c r="O451" s="229">
        <f>IFERROR(IF($D$33&gt;=O$338,O514*O771,0),0)</f>
        <v>0</v>
      </c>
      <c r="P451" s="229">
        <f>IFERROR(IF($D$33&gt;=P$338,P514*P771,0),0)</f>
        <v>0</v>
      </c>
      <c r="Q451" s="229">
        <f>IFERROR(IF($D$33&gt;=Q$338,Q514*Q771,0),0)</f>
        <v>0</v>
      </c>
      <c r="R451" s="229">
        <f>IFERROR(IF($D$33&gt;=R$338,R514*R771,0),0)</f>
        <v>0</v>
      </c>
      <c r="S451" s="229">
        <f>IFERROR(IF($D$33&gt;=S$338,S514*S771,0),0)</f>
        <v>0</v>
      </c>
      <c r="T451" s="229">
        <f>IFERROR(IF($D$33&gt;=T$338,T514*T771,0),0)</f>
        <v>0</v>
      </c>
      <c r="U451" s="229">
        <f>IFERROR(IF($D$33&gt;=U$338,U514*U771,0),0)</f>
        <v>0</v>
      </c>
      <c r="V451" s="229">
        <f>IFERROR(IF($D$33&gt;=V$338,V514*V771,0),0)</f>
        <v>0</v>
      </c>
      <c r="W451" s="229">
        <f>IFERROR(IF($D$33&gt;=W$338,W514*W771,0),0)</f>
        <v>0</v>
      </c>
      <c r="X451" s="229">
        <f>IFERROR(IF($D$33&gt;=X$338,X514*X771,0),0)</f>
        <v>0</v>
      </c>
      <c r="Y451" s="229">
        <f>IFERROR(IF($D$33&gt;=Y$338,Y514*Y771,0),0)</f>
        <v>0</v>
      </c>
      <c r="Z451" s="229">
        <f>IFERROR(IF($D$33&gt;=Z$338,Z514*Z771,0),0)</f>
        <v>0</v>
      </c>
      <c r="AA451" s="229">
        <f>IFERROR(IF($D$33&gt;=AA$338,AA514*AA771,0),0)</f>
        <v>0</v>
      </c>
      <c r="AB451" s="298">
        <f>IFERROR(IF($D$33&gt;=AB$338,AB514*AB771,0),0)</f>
        <v>0</v>
      </c>
    </row>
    <row r="452" spans="1:28" ht="12" customHeight="1" x14ac:dyDescent="0.3">
      <c r="A452" s="8"/>
      <c r="B452" s="8"/>
      <c r="C452" s="638">
        <f>C382</f>
        <v>1308</v>
      </c>
      <c r="D452" s="297">
        <f>IFERROR(IF($D$33&gt;=D$338,D515*D772,0),0)</f>
        <v>0</v>
      </c>
      <c r="E452" s="229">
        <f>IFERROR(IF($D$33&gt;=E$338,E515*E772,0),0)</f>
        <v>0</v>
      </c>
      <c r="F452" s="229">
        <f>IFERROR(IF($D$33&gt;=F$338,F515*F772,0),0)</f>
        <v>0</v>
      </c>
      <c r="G452" s="229">
        <f>IFERROR(IF($D$33&gt;=G$338,G515*G772,0),0)</f>
        <v>0</v>
      </c>
      <c r="H452" s="229">
        <f>IFERROR(IF($D$33&gt;=H$338,H515*H772,0),0)</f>
        <v>0</v>
      </c>
      <c r="I452" s="229">
        <f>IFERROR(IF($D$33&gt;=I$338,I515*I772,0),0)</f>
        <v>0</v>
      </c>
      <c r="J452" s="229">
        <f>IFERROR(IF($D$33&gt;=J$338,J515*J772,0),0)</f>
        <v>0</v>
      </c>
      <c r="K452" s="229">
        <f>IFERROR(IF($D$33&gt;=K$338,K515*K772,0),0)</f>
        <v>0</v>
      </c>
      <c r="L452" s="229">
        <f>IFERROR(IF($D$33&gt;=L$338,L515*L772,0),0)</f>
        <v>0</v>
      </c>
      <c r="M452" s="229">
        <f>IFERROR(IF($D$33&gt;=M$338,M515*M772,0),0)</f>
        <v>0</v>
      </c>
      <c r="N452" s="229">
        <f>IFERROR(IF($D$33&gt;=N$338,N515*N772,0),0)</f>
        <v>0</v>
      </c>
      <c r="O452" s="229">
        <f>IFERROR(IF($D$33&gt;=O$338,O515*O772,0),0)</f>
        <v>0</v>
      </c>
      <c r="P452" s="229">
        <f>IFERROR(IF($D$33&gt;=P$338,P515*P772,0),0)</f>
        <v>0</v>
      </c>
      <c r="Q452" s="229">
        <f>IFERROR(IF($D$33&gt;=Q$338,Q515*Q772,0),0)</f>
        <v>0</v>
      </c>
      <c r="R452" s="229">
        <f>IFERROR(IF($D$33&gt;=R$338,R515*R772,0),0)</f>
        <v>0</v>
      </c>
      <c r="S452" s="229">
        <f>IFERROR(IF($D$33&gt;=S$338,S515*S772,0),0)</f>
        <v>0</v>
      </c>
      <c r="T452" s="229">
        <f>IFERROR(IF($D$33&gt;=T$338,T515*T772,0),0)</f>
        <v>0</v>
      </c>
      <c r="U452" s="229">
        <f>IFERROR(IF($D$33&gt;=U$338,U515*U772,0),0)</f>
        <v>0</v>
      </c>
      <c r="V452" s="229">
        <f>IFERROR(IF($D$33&gt;=V$338,V515*V772,0),0)</f>
        <v>0</v>
      </c>
      <c r="W452" s="229">
        <f>IFERROR(IF($D$33&gt;=W$338,W515*W772,0),0)</f>
        <v>0</v>
      </c>
      <c r="X452" s="229">
        <f>IFERROR(IF($D$33&gt;=X$338,X515*X772,0),0)</f>
        <v>0</v>
      </c>
      <c r="Y452" s="229">
        <f>IFERROR(IF($D$33&gt;=Y$338,Y515*Y772,0),0)</f>
        <v>0</v>
      </c>
      <c r="Z452" s="229">
        <f>IFERROR(IF($D$33&gt;=Z$338,Z515*Z772,0),0)</f>
        <v>0</v>
      </c>
      <c r="AA452" s="229">
        <f>IFERROR(IF($D$33&gt;=AA$338,AA515*AA772,0),0)</f>
        <v>0</v>
      </c>
      <c r="AB452" s="298">
        <f>IFERROR(IF($D$33&gt;=AB$338,AB515*AB772,0),0)</f>
        <v>0</v>
      </c>
    </row>
    <row r="453" spans="1:28" ht="12" customHeight="1" x14ac:dyDescent="0.3">
      <c r="A453" s="8"/>
      <c r="B453" s="8"/>
      <c r="C453" s="638">
        <f>C383</f>
        <v>1339</v>
      </c>
      <c r="D453" s="297">
        <f>IFERROR(IF($D$33&gt;=D$338,D516*D773,0),0)</f>
        <v>0</v>
      </c>
      <c r="E453" s="229">
        <f>IFERROR(IF($D$33&gt;=E$338,E516*E773,0),0)</f>
        <v>0</v>
      </c>
      <c r="F453" s="229">
        <f>IFERROR(IF($D$33&gt;=F$338,F516*F773,0),0)</f>
        <v>0</v>
      </c>
      <c r="G453" s="229">
        <f>IFERROR(IF($D$33&gt;=G$338,G516*G773,0),0)</f>
        <v>0</v>
      </c>
      <c r="H453" s="229">
        <f>IFERROR(IF($D$33&gt;=H$338,H516*H773,0),0)</f>
        <v>0</v>
      </c>
      <c r="I453" s="229">
        <f>IFERROR(IF($D$33&gt;=I$338,I516*I773,0),0)</f>
        <v>0</v>
      </c>
      <c r="J453" s="229">
        <f>IFERROR(IF($D$33&gt;=J$338,J516*J773,0),0)</f>
        <v>0</v>
      </c>
      <c r="K453" s="229">
        <f>IFERROR(IF($D$33&gt;=K$338,K516*K773,0),0)</f>
        <v>0</v>
      </c>
      <c r="L453" s="229">
        <f>IFERROR(IF($D$33&gt;=L$338,L516*L773,0),0)</f>
        <v>0</v>
      </c>
      <c r="M453" s="229">
        <f>IFERROR(IF($D$33&gt;=M$338,M516*M773,0),0)</f>
        <v>0</v>
      </c>
      <c r="N453" s="229">
        <f>IFERROR(IF($D$33&gt;=N$338,N516*N773,0),0)</f>
        <v>0</v>
      </c>
      <c r="O453" s="229">
        <f>IFERROR(IF($D$33&gt;=O$338,O516*O773,0),0)</f>
        <v>0</v>
      </c>
      <c r="P453" s="229">
        <f>IFERROR(IF($D$33&gt;=P$338,P516*P773,0),0)</f>
        <v>0</v>
      </c>
      <c r="Q453" s="229">
        <f>IFERROR(IF($D$33&gt;=Q$338,Q516*Q773,0),0)</f>
        <v>0</v>
      </c>
      <c r="R453" s="229">
        <f>IFERROR(IF($D$33&gt;=R$338,R516*R773,0),0)</f>
        <v>0</v>
      </c>
      <c r="S453" s="229">
        <f>IFERROR(IF($D$33&gt;=S$338,S516*S773,0),0)</f>
        <v>0</v>
      </c>
      <c r="T453" s="229">
        <f>IFERROR(IF($D$33&gt;=T$338,T516*T773,0),0)</f>
        <v>0</v>
      </c>
      <c r="U453" s="229">
        <f>IFERROR(IF($D$33&gt;=U$338,U516*U773,0),0)</f>
        <v>0</v>
      </c>
      <c r="V453" s="229">
        <f>IFERROR(IF($D$33&gt;=V$338,V516*V773,0),0)</f>
        <v>0</v>
      </c>
      <c r="W453" s="229">
        <f>IFERROR(IF($D$33&gt;=W$338,W516*W773,0),0)</f>
        <v>0</v>
      </c>
      <c r="X453" s="229">
        <f>IFERROR(IF($D$33&gt;=X$338,X516*X773,0),0)</f>
        <v>0</v>
      </c>
      <c r="Y453" s="229">
        <f>IFERROR(IF($D$33&gt;=Y$338,Y516*Y773,0),0)</f>
        <v>0</v>
      </c>
      <c r="Z453" s="229">
        <f>IFERROR(IF($D$33&gt;=Z$338,Z516*Z773,0),0)</f>
        <v>0</v>
      </c>
      <c r="AA453" s="229">
        <f>IFERROR(IF($D$33&gt;=AA$338,AA516*AA773,0),0)</f>
        <v>0</v>
      </c>
      <c r="AB453" s="298">
        <f>IFERROR(IF($D$33&gt;=AB$338,AB516*AB773,0),0)</f>
        <v>0</v>
      </c>
    </row>
    <row r="454" spans="1:28" ht="12" customHeight="1" x14ac:dyDescent="0.3">
      <c r="A454" s="8"/>
      <c r="B454" s="8"/>
      <c r="C454" s="638">
        <f>C384</f>
        <v>1369</v>
      </c>
      <c r="D454" s="297">
        <f>IFERROR(IF($D$33&gt;=D$338,D517*D774,0),0)</f>
        <v>0</v>
      </c>
      <c r="E454" s="229">
        <f>IFERROR(IF($D$33&gt;=E$338,E517*E774,0),0)</f>
        <v>0</v>
      </c>
      <c r="F454" s="229">
        <f>IFERROR(IF($D$33&gt;=F$338,F517*F774,0),0)</f>
        <v>0</v>
      </c>
      <c r="G454" s="229">
        <f>IFERROR(IF($D$33&gt;=G$338,G517*G774,0),0)</f>
        <v>0</v>
      </c>
      <c r="H454" s="229">
        <f>IFERROR(IF($D$33&gt;=H$338,H517*H774,0),0)</f>
        <v>0</v>
      </c>
      <c r="I454" s="229">
        <f>IFERROR(IF($D$33&gt;=I$338,I517*I774,0),0)</f>
        <v>0</v>
      </c>
      <c r="J454" s="229">
        <f>IFERROR(IF($D$33&gt;=J$338,J517*J774,0),0)</f>
        <v>0</v>
      </c>
      <c r="K454" s="229">
        <f>IFERROR(IF($D$33&gt;=K$338,K517*K774,0),0)</f>
        <v>0</v>
      </c>
      <c r="L454" s="229">
        <f>IFERROR(IF($D$33&gt;=L$338,L517*L774,0),0)</f>
        <v>0</v>
      </c>
      <c r="M454" s="229">
        <f>IFERROR(IF($D$33&gt;=M$338,M517*M774,0),0)</f>
        <v>0</v>
      </c>
      <c r="N454" s="229">
        <f>IFERROR(IF($D$33&gt;=N$338,N517*N774,0),0)</f>
        <v>0</v>
      </c>
      <c r="O454" s="229">
        <f>IFERROR(IF($D$33&gt;=O$338,O517*O774,0),0)</f>
        <v>0</v>
      </c>
      <c r="P454" s="229">
        <f>IFERROR(IF($D$33&gt;=P$338,P517*P774,0),0)</f>
        <v>0</v>
      </c>
      <c r="Q454" s="229">
        <f>IFERROR(IF($D$33&gt;=Q$338,Q517*Q774,0),0)</f>
        <v>0</v>
      </c>
      <c r="R454" s="229">
        <f>IFERROR(IF($D$33&gt;=R$338,R517*R774,0),0)</f>
        <v>0</v>
      </c>
      <c r="S454" s="229">
        <f>IFERROR(IF($D$33&gt;=S$338,S517*S774,0),0)</f>
        <v>0</v>
      </c>
      <c r="T454" s="229">
        <f>IFERROR(IF($D$33&gt;=T$338,T517*T774,0),0)</f>
        <v>0</v>
      </c>
      <c r="U454" s="229">
        <f>IFERROR(IF($D$33&gt;=U$338,U517*U774,0),0)</f>
        <v>0</v>
      </c>
      <c r="V454" s="229">
        <f>IFERROR(IF($D$33&gt;=V$338,V517*V774,0),0)</f>
        <v>0</v>
      </c>
      <c r="W454" s="229">
        <f>IFERROR(IF($D$33&gt;=W$338,W517*W774,0),0)</f>
        <v>0</v>
      </c>
      <c r="X454" s="229">
        <f>IFERROR(IF($D$33&gt;=X$338,X517*X774,0),0)</f>
        <v>0</v>
      </c>
      <c r="Y454" s="229">
        <f>IFERROR(IF($D$33&gt;=Y$338,Y517*Y774,0),0)</f>
        <v>0</v>
      </c>
      <c r="Z454" s="229">
        <f>IFERROR(IF($D$33&gt;=Z$338,Z517*Z774,0),0)</f>
        <v>0</v>
      </c>
      <c r="AA454" s="229">
        <f>IFERROR(IF($D$33&gt;=AA$338,AA517*AA774,0),0)</f>
        <v>0</v>
      </c>
      <c r="AB454" s="298">
        <f>IFERROR(IF($D$33&gt;=AB$338,AB517*AB774,0),0)</f>
        <v>0</v>
      </c>
    </row>
    <row r="455" spans="1:28" ht="12" customHeight="1" x14ac:dyDescent="0.3">
      <c r="A455" s="8"/>
      <c r="B455" s="8"/>
      <c r="C455" s="638">
        <f>C385</f>
        <v>1400</v>
      </c>
      <c r="D455" s="297">
        <f>IFERROR(IF($D$33&gt;=D$338,D518*D775,0),0)</f>
        <v>0</v>
      </c>
      <c r="E455" s="229">
        <f>IFERROR(IF($D$33&gt;=E$338,E518*E775,0),0)</f>
        <v>0</v>
      </c>
      <c r="F455" s="229">
        <f>IFERROR(IF($D$33&gt;=F$338,F518*F775,0),0)</f>
        <v>0</v>
      </c>
      <c r="G455" s="229">
        <f>IFERROR(IF($D$33&gt;=G$338,G518*G775,0),0)</f>
        <v>0</v>
      </c>
      <c r="H455" s="229">
        <f>IFERROR(IF($D$33&gt;=H$338,H518*H775,0),0)</f>
        <v>0</v>
      </c>
      <c r="I455" s="229">
        <f>IFERROR(IF($D$33&gt;=I$338,I518*I775,0),0)</f>
        <v>0</v>
      </c>
      <c r="J455" s="229">
        <f>IFERROR(IF($D$33&gt;=J$338,J518*J775,0),0)</f>
        <v>0</v>
      </c>
      <c r="K455" s="229">
        <f>IFERROR(IF($D$33&gt;=K$338,K518*K775,0),0)</f>
        <v>0</v>
      </c>
      <c r="L455" s="229">
        <f>IFERROR(IF($D$33&gt;=L$338,L518*L775,0),0)</f>
        <v>0</v>
      </c>
      <c r="M455" s="229">
        <f>IFERROR(IF($D$33&gt;=M$338,M518*M775,0),0)</f>
        <v>0</v>
      </c>
      <c r="N455" s="229">
        <f>IFERROR(IF($D$33&gt;=N$338,N518*N775,0),0)</f>
        <v>0</v>
      </c>
      <c r="O455" s="229">
        <f>IFERROR(IF($D$33&gt;=O$338,O518*O775,0),0)</f>
        <v>0</v>
      </c>
      <c r="P455" s="229">
        <f>IFERROR(IF($D$33&gt;=P$338,P518*P775,0),0)</f>
        <v>0</v>
      </c>
      <c r="Q455" s="229">
        <f>IFERROR(IF($D$33&gt;=Q$338,Q518*Q775,0),0)</f>
        <v>0</v>
      </c>
      <c r="R455" s="229">
        <f>IFERROR(IF($D$33&gt;=R$338,R518*R775,0),0)</f>
        <v>0</v>
      </c>
      <c r="S455" s="229">
        <f>IFERROR(IF($D$33&gt;=S$338,S518*S775,0),0)</f>
        <v>0</v>
      </c>
      <c r="T455" s="229">
        <f>IFERROR(IF($D$33&gt;=T$338,T518*T775,0),0)</f>
        <v>0</v>
      </c>
      <c r="U455" s="229">
        <f>IFERROR(IF($D$33&gt;=U$338,U518*U775,0),0)</f>
        <v>0</v>
      </c>
      <c r="V455" s="229">
        <f>IFERROR(IF($D$33&gt;=V$338,V518*V775,0),0)</f>
        <v>0</v>
      </c>
      <c r="W455" s="229">
        <f>IFERROR(IF($D$33&gt;=W$338,W518*W775,0),0)</f>
        <v>0</v>
      </c>
      <c r="X455" s="229">
        <f>IFERROR(IF($D$33&gt;=X$338,X518*X775,0),0)</f>
        <v>0</v>
      </c>
      <c r="Y455" s="229">
        <f>IFERROR(IF($D$33&gt;=Y$338,Y518*Y775,0),0)</f>
        <v>0</v>
      </c>
      <c r="Z455" s="229">
        <f>IFERROR(IF($D$33&gt;=Z$338,Z518*Z775,0),0)</f>
        <v>0</v>
      </c>
      <c r="AA455" s="229">
        <f>IFERROR(IF($D$33&gt;=AA$338,AA518*AA775,0),0)</f>
        <v>0</v>
      </c>
      <c r="AB455" s="298">
        <f>IFERROR(IF($D$33&gt;=AB$338,AB518*AB775,0),0)</f>
        <v>0</v>
      </c>
    </row>
    <row r="456" spans="1:28" ht="12" customHeight="1" x14ac:dyDescent="0.3">
      <c r="A456" s="8"/>
      <c r="B456" s="8"/>
      <c r="C456" s="638">
        <f>C386</f>
        <v>1430</v>
      </c>
      <c r="D456" s="297">
        <f>IFERROR(IF($D$33&gt;=D$338,D519*D776,0),0)</f>
        <v>0</v>
      </c>
      <c r="E456" s="229">
        <f>IFERROR(IF($D$33&gt;=E$338,E519*E776,0),0)</f>
        <v>0</v>
      </c>
      <c r="F456" s="229">
        <f>IFERROR(IF($D$33&gt;=F$338,F519*F776,0),0)</f>
        <v>0</v>
      </c>
      <c r="G456" s="229">
        <f>IFERROR(IF($D$33&gt;=G$338,G519*G776,0),0)</f>
        <v>0</v>
      </c>
      <c r="H456" s="229">
        <f>IFERROR(IF($D$33&gt;=H$338,H519*H776,0),0)</f>
        <v>0</v>
      </c>
      <c r="I456" s="229">
        <f>IFERROR(IF($D$33&gt;=I$338,I519*I776,0),0)</f>
        <v>0</v>
      </c>
      <c r="J456" s="229">
        <f>IFERROR(IF($D$33&gt;=J$338,J519*J776,0),0)</f>
        <v>0</v>
      </c>
      <c r="K456" s="229">
        <f>IFERROR(IF($D$33&gt;=K$338,K519*K776,0),0)</f>
        <v>0</v>
      </c>
      <c r="L456" s="229">
        <f>IFERROR(IF($D$33&gt;=L$338,L519*L776,0),0)</f>
        <v>0</v>
      </c>
      <c r="M456" s="229">
        <f>IFERROR(IF($D$33&gt;=M$338,M519*M776,0),0)</f>
        <v>0</v>
      </c>
      <c r="N456" s="229">
        <f>IFERROR(IF($D$33&gt;=N$338,N519*N776,0),0)</f>
        <v>0</v>
      </c>
      <c r="O456" s="229">
        <f>IFERROR(IF($D$33&gt;=O$338,O519*O776,0),0)</f>
        <v>0</v>
      </c>
      <c r="P456" s="229">
        <f>IFERROR(IF($D$33&gt;=P$338,P519*P776,0),0)</f>
        <v>0</v>
      </c>
      <c r="Q456" s="229">
        <f>IFERROR(IF($D$33&gt;=Q$338,Q519*Q776,0),0)</f>
        <v>0</v>
      </c>
      <c r="R456" s="229">
        <f>IFERROR(IF($D$33&gt;=R$338,R519*R776,0),0)</f>
        <v>0</v>
      </c>
      <c r="S456" s="229">
        <f>IFERROR(IF($D$33&gt;=S$338,S519*S776,0),0)</f>
        <v>0</v>
      </c>
      <c r="T456" s="229">
        <f>IFERROR(IF($D$33&gt;=T$338,T519*T776,0),0)</f>
        <v>0</v>
      </c>
      <c r="U456" s="229">
        <f>IFERROR(IF($D$33&gt;=U$338,U519*U776,0),0)</f>
        <v>0</v>
      </c>
      <c r="V456" s="229">
        <f>IFERROR(IF($D$33&gt;=V$338,V519*V776,0),0)</f>
        <v>0</v>
      </c>
      <c r="W456" s="229">
        <f>IFERROR(IF($D$33&gt;=W$338,W519*W776,0),0)</f>
        <v>0</v>
      </c>
      <c r="X456" s="229">
        <f>IFERROR(IF($D$33&gt;=X$338,X519*X776,0),0)</f>
        <v>0</v>
      </c>
      <c r="Y456" s="229">
        <f>IFERROR(IF($D$33&gt;=Y$338,Y519*Y776,0),0)</f>
        <v>0</v>
      </c>
      <c r="Z456" s="229">
        <f>IFERROR(IF($D$33&gt;=Z$338,Z519*Z776,0),0)</f>
        <v>0</v>
      </c>
      <c r="AA456" s="229">
        <f>IFERROR(IF($D$33&gt;=AA$338,AA519*AA776,0),0)</f>
        <v>0</v>
      </c>
      <c r="AB456" s="298">
        <f>IFERROR(IF($D$33&gt;=AB$338,AB519*AB776,0),0)</f>
        <v>0</v>
      </c>
    </row>
    <row r="457" spans="1:28" ht="12" customHeight="1" thickBot="1" x14ac:dyDescent="0.35">
      <c r="A457" s="8"/>
      <c r="B457" s="8"/>
      <c r="C457" s="639">
        <f>C387</f>
        <v>1461</v>
      </c>
      <c r="D457" s="301">
        <f>IFERROR(IF($D$33&gt;=D$338,D520*D777,0),0)</f>
      </c>
      <c r="E457" s="302">
        <f>IFERROR(IF($D$33&gt;=E$338,E520*E777,0),0)</f>
        <v>0</v>
      </c>
      <c r="F457" s="302">
        <f>IFERROR(IF($D$33&gt;=F$338,F520*F777,0),0)</f>
        <v>0</v>
      </c>
      <c r="G457" s="302">
        <f>IFERROR(IF($D$33&gt;=G$338,G520*G777,0),0)</f>
      </c>
      <c r="H457" s="302">
        <f>IFERROR(IF($D$33&gt;=H$338,H520*H777,0),0)</f>
        <v>0</v>
      </c>
      <c r="I457" s="302">
        <f>IFERROR(IF($D$33&gt;=I$338,I520*I777,0),0)</f>
        <v>0</v>
      </c>
      <c r="J457" s="302">
        <f>IFERROR(IF($D$33&gt;=J$338,J520*J777,0),0)</f>
        <v>0</v>
      </c>
      <c r="K457" s="302">
        <f>IFERROR(IF($D$33&gt;=K$338,K520*K777,0),0)</f>
        <v>0</v>
      </c>
      <c r="L457" s="302">
        <f>IFERROR(IF($D$33&gt;=L$338,L520*L777,0),0)</f>
      </c>
      <c r="M457" s="302">
        <f>IFERROR(IF($D$33&gt;=M$338,M520*M777,0),0)</f>
        <v>0</v>
      </c>
      <c r="N457" s="302">
        <f>IFERROR(IF($D$33&gt;=N$338,N520*N777,0),0)</f>
        <v>0</v>
      </c>
      <c r="O457" s="302">
        <f>IFERROR(IF($D$33&gt;=O$338,O520*O777,0),0)</f>
        <v>0</v>
      </c>
      <c r="P457" s="302">
        <f>IFERROR(IF($D$33&gt;=P$338,P520*P777,0),0)</f>
        <v>0</v>
      </c>
      <c r="Q457" s="302">
        <f>IFERROR(IF($D$33&gt;=Q$338,Q520*Q777,0),0)</f>
        <v>0</v>
      </c>
      <c r="R457" s="302">
        <f>IFERROR(IF($D$33&gt;=R$338,R520*R777,0),0)</f>
        <v>0</v>
      </c>
      <c r="S457" s="302">
        <f>IFERROR(IF($D$33&gt;=S$338,S520*S777,0),0)</f>
        <v>0</v>
      </c>
      <c r="T457" s="302">
        <f>IFERROR(IF($D$33&gt;=T$338,T520*T777,0),0)</f>
        <v>0</v>
      </c>
      <c r="U457" s="302">
        <f>IFERROR(IF($D$33&gt;=U$338,U520*U777,0),0)</f>
        <v>0</v>
      </c>
      <c r="V457" s="302">
        <f>IFERROR(IF($D$33&gt;=V$338,V520*V777,0),0)</f>
        <v>0</v>
      </c>
      <c r="W457" s="302">
        <f>IFERROR(IF($D$33&gt;=W$338,W520*W777,0),0)</f>
        <v>0</v>
      </c>
      <c r="X457" s="302">
        <f>IFERROR(IF($D$33&gt;=X$338,X520*X777,0),0)</f>
        <v>0</v>
      </c>
      <c r="Y457" s="302">
        <f>IFERROR(IF($D$33&gt;=Y$338,Y520*Y777,0),0)</f>
        <v>0</v>
      </c>
      <c r="Z457" s="302">
        <f>IFERROR(IF($D$33&gt;=Z$338,Z520*Z777,0),0)</f>
        <v>0</v>
      </c>
      <c r="AA457" s="302">
        <f>IFERROR(IF($D$33&gt;=AA$338,AA520*AA777,0),0)</f>
        <v>0</v>
      </c>
      <c r="AB457" s="303">
        <f>IFERROR(IF($D$33&gt;=AB$338,AB520*AB777,0),0)</f>
        <v>0</v>
      </c>
    </row>
    <row r="458" spans="1:28" ht="12" customHeight="1" x14ac:dyDescent="0.3">
      <c r="A458" s="8"/>
      <c r="B458" s="8"/>
      <c r="C458" s="638">
        <f>C388</f>
        <v>1492</v>
      </c>
      <c r="D458" s="299">
        <f>IFERROR(IF($D$33&gt;=D$338,D521*D778,0),0)</f>
      </c>
      <c r="E458" s="231">
        <f>IFERROR(IF($D$33&gt;=E$338,E521*E778,0),0)</f>
        <v>0</v>
      </c>
      <c r="F458" s="231">
        <f>IFERROR(IF($D$33&gt;=F$338,F521*F778,0),0)</f>
        <v>0</v>
      </c>
      <c r="G458" s="231">
        <f>IFERROR(IF($D$33&gt;=G$338,G521*G778,0),0)</f>
      </c>
      <c r="H458" s="231">
        <f>IFERROR(IF($D$33&gt;=H$338,H521*H778,0),0)</f>
        <v>0</v>
      </c>
      <c r="I458" s="231">
        <f>IFERROR(IF($D$33&gt;=I$338,I521*I778,0),0)</f>
        <v>0</v>
      </c>
      <c r="J458" s="231">
        <f>IFERROR(IF($D$33&gt;=J$338,J521*J778,0),0)</f>
        <v>0</v>
      </c>
      <c r="K458" s="231">
        <f>IFERROR(IF($D$33&gt;=K$338,K521*K778,0),0)</f>
        <v>0</v>
      </c>
      <c r="L458" s="231">
        <f>IFERROR(IF($D$33&gt;=L$338,L521*L778,0),0)</f>
      </c>
      <c r="M458" s="231">
        <f>IFERROR(IF($D$33&gt;=M$338,M521*M778,0),0)</f>
        <v>0</v>
      </c>
      <c r="N458" s="231">
        <f>IFERROR(IF($D$33&gt;=N$338,N521*N778,0),0)</f>
        <v>0</v>
      </c>
      <c r="O458" s="231">
        <f>IFERROR(IF($D$33&gt;=O$338,O521*O778,0),0)</f>
        <v>0</v>
      </c>
      <c r="P458" s="231">
        <f>IFERROR(IF($D$33&gt;=P$338,P521*P778,0),0)</f>
        <v>0</v>
      </c>
      <c r="Q458" s="231">
        <f>IFERROR(IF($D$33&gt;=Q$338,Q521*Q778,0),0)</f>
        <v>0</v>
      </c>
      <c r="R458" s="231">
        <f>IFERROR(IF($D$33&gt;=R$338,R521*R778,0),0)</f>
        <v>0</v>
      </c>
      <c r="S458" s="231">
        <f>IFERROR(IF($D$33&gt;=S$338,S521*S778,0),0)</f>
        <v>0</v>
      </c>
      <c r="T458" s="231">
        <f>IFERROR(IF($D$33&gt;=T$338,T521*T778,0),0)</f>
        <v>0</v>
      </c>
      <c r="U458" s="231">
        <f>IFERROR(IF($D$33&gt;=U$338,U521*U778,0),0)</f>
        <v>0</v>
      </c>
      <c r="V458" s="231">
        <f>IFERROR(IF($D$33&gt;=V$338,V521*V778,0),0)</f>
        <v>0</v>
      </c>
      <c r="W458" s="231">
        <f>IFERROR(IF($D$33&gt;=W$338,W521*W778,0),0)</f>
        <v>0</v>
      </c>
      <c r="X458" s="231">
        <f>IFERROR(IF($D$33&gt;=X$338,X521*X778,0),0)</f>
        <v>0</v>
      </c>
      <c r="Y458" s="231">
        <f>IFERROR(IF($D$33&gt;=Y$338,Y521*Y778,0),0)</f>
        <v>0</v>
      </c>
      <c r="Z458" s="231">
        <f>IFERROR(IF($D$33&gt;=Z$338,Z521*Z778,0),0)</f>
        <v>0</v>
      </c>
      <c r="AA458" s="231">
        <f>IFERROR(IF($D$33&gt;=AA$338,AA521*AA778,0),0)</f>
        <v>0</v>
      </c>
      <c r="AB458" s="300">
        <f>IFERROR(IF($D$33&gt;=AB$338,AB521*AB778,0),0)</f>
        <v>0</v>
      </c>
    </row>
    <row r="459" spans="1:28" ht="12" customHeight="1" x14ac:dyDescent="0.3">
      <c r="A459" s="8"/>
      <c r="B459" s="8"/>
      <c r="C459" s="638">
        <f>C389</f>
        <v>1521</v>
      </c>
      <c r="D459" s="297">
        <f>IFERROR(IF($D$33&gt;=D$338,D522*D779,0),0)</f>
      </c>
      <c r="E459" s="229">
        <f>IFERROR(IF($D$33&gt;=E$338,E522*E779,0),0)</f>
        <v>0</v>
      </c>
      <c r="F459" s="229">
        <f>IFERROR(IF($D$33&gt;=F$338,F522*F779,0),0)</f>
        <v>0</v>
      </c>
      <c r="G459" s="229">
        <f>IFERROR(IF($D$33&gt;=G$338,G522*G779,0),0)</f>
      </c>
      <c r="H459" s="229">
        <f>IFERROR(IF($D$33&gt;=H$338,H522*H779,0),0)</f>
        <v>0</v>
      </c>
      <c r="I459" s="229">
        <f>IFERROR(IF($D$33&gt;=I$338,I522*I779,0),0)</f>
        <v>0</v>
      </c>
      <c r="J459" s="229">
        <f>IFERROR(IF($D$33&gt;=J$338,J522*J779,0),0)</f>
        <v>0</v>
      </c>
      <c r="K459" s="229">
        <f>IFERROR(IF($D$33&gt;=K$338,K522*K779,0),0)</f>
        <v>0</v>
      </c>
      <c r="L459" s="229">
        <f>IFERROR(IF($D$33&gt;=L$338,L522*L779,0),0)</f>
      </c>
      <c r="M459" s="229">
        <f>IFERROR(IF($D$33&gt;=M$338,M522*M779,0),0)</f>
        <v>0</v>
      </c>
      <c r="N459" s="229">
        <f>IFERROR(IF($D$33&gt;=N$338,N522*N779,0),0)</f>
        <v>0</v>
      </c>
      <c r="O459" s="229">
        <f>IFERROR(IF($D$33&gt;=O$338,O522*O779,0),0)</f>
        <v>0</v>
      </c>
      <c r="P459" s="229">
        <f>IFERROR(IF($D$33&gt;=P$338,P522*P779,0),0)</f>
        <v>0</v>
      </c>
      <c r="Q459" s="229">
        <f>IFERROR(IF($D$33&gt;=Q$338,Q522*Q779,0),0)</f>
        <v>0</v>
      </c>
      <c r="R459" s="229">
        <f>IFERROR(IF($D$33&gt;=R$338,R522*R779,0),0)</f>
        <v>0</v>
      </c>
      <c r="S459" s="229">
        <f>IFERROR(IF($D$33&gt;=S$338,S522*S779,0),0)</f>
        <v>0</v>
      </c>
      <c r="T459" s="229">
        <f>IFERROR(IF($D$33&gt;=T$338,T522*T779,0),0)</f>
        <v>0</v>
      </c>
      <c r="U459" s="229">
        <f>IFERROR(IF($D$33&gt;=U$338,U522*U779,0),0)</f>
        <v>0</v>
      </c>
      <c r="V459" s="229">
        <f>IFERROR(IF($D$33&gt;=V$338,V522*V779,0),0)</f>
        <v>0</v>
      </c>
      <c r="W459" s="229">
        <f>IFERROR(IF($D$33&gt;=W$338,W522*W779,0),0)</f>
        <v>0</v>
      </c>
      <c r="X459" s="229">
        <f>IFERROR(IF($D$33&gt;=X$338,X522*X779,0),0)</f>
        <v>0</v>
      </c>
      <c r="Y459" s="229">
        <f>IFERROR(IF($D$33&gt;=Y$338,Y522*Y779,0),0)</f>
        <v>0</v>
      </c>
      <c r="Z459" s="229">
        <f>IFERROR(IF($D$33&gt;=Z$338,Z522*Z779,0),0)</f>
        <v>0</v>
      </c>
      <c r="AA459" s="229">
        <f>IFERROR(IF($D$33&gt;=AA$338,AA522*AA779,0),0)</f>
        <v>0</v>
      </c>
      <c r="AB459" s="298">
        <f>IFERROR(IF($D$33&gt;=AB$338,AB522*AB779,0),0)</f>
        <v>0</v>
      </c>
    </row>
    <row r="460" spans="1:28" ht="12" customHeight="1" x14ac:dyDescent="0.3">
      <c r="A460" s="8"/>
      <c r="B460" s="8"/>
      <c r="C460" s="638">
        <f>C390</f>
        <v>1552</v>
      </c>
      <c r="D460" s="297">
        <f>IFERROR(IF($D$33&gt;=D$338,D523*D780,0),0)</f>
        <v>0</v>
      </c>
      <c r="E460" s="229">
        <f>IFERROR(IF($D$33&gt;=E$338,E523*E780,0),0)</f>
        <v>0</v>
      </c>
      <c r="F460" s="229">
        <f>IFERROR(IF($D$33&gt;=F$338,F523*F780,0),0)</f>
        <v>0</v>
      </c>
      <c r="G460" s="229">
        <f>IFERROR(IF($D$33&gt;=G$338,G523*G780,0),0)</f>
        <v>0</v>
      </c>
      <c r="H460" s="229">
        <f>IFERROR(IF($D$33&gt;=H$338,H523*H780,0),0)</f>
        <v>0</v>
      </c>
      <c r="I460" s="229">
        <f>IFERROR(IF($D$33&gt;=I$338,I523*I780,0),0)</f>
        <v>0</v>
      </c>
      <c r="J460" s="229">
        <f>IFERROR(IF($D$33&gt;=J$338,J523*J780,0),0)</f>
        <v>0</v>
      </c>
      <c r="K460" s="229">
        <f>IFERROR(IF($D$33&gt;=K$338,K523*K780,0),0)</f>
        <v>0</v>
      </c>
      <c r="L460" s="229">
        <f>IFERROR(IF($D$33&gt;=L$338,L523*L780,0),0)</f>
        <v>0</v>
      </c>
      <c r="M460" s="229">
        <f>IFERROR(IF($D$33&gt;=M$338,M523*M780,0),0)</f>
        <v>0</v>
      </c>
      <c r="N460" s="229">
        <f>IFERROR(IF($D$33&gt;=N$338,N523*N780,0),0)</f>
        <v>0</v>
      </c>
      <c r="O460" s="229">
        <f>IFERROR(IF($D$33&gt;=O$338,O523*O780,0),0)</f>
        <v>0</v>
      </c>
      <c r="P460" s="229">
        <f>IFERROR(IF($D$33&gt;=P$338,P523*P780,0),0)</f>
        <v>0</v>
      </c>
      <c r="Q460" s="229">
        <f>IFERROR(IF($D$33&gt;=Q$338,Q523*Q780,0),0)</f>
        <v>0</v>
      </c>
      <c r="R460" s="229">
        <f>IFERROR(IF($D$33&gt;=R$338,R523*R780,0),0)</f>
        <v>0</v>
      </c>
      <c r="S460" s="229">
        <f>IFERROR(IF($D$33&gt;=S$338,S523*S780,0),0)</f>
        <v>0</v>
      </c>
      <c r="T460" s="229">
        <f>IFERROR(IF($D$33&gt;=T$338,T523*T780,0),0)</f>
        <v>0</v>
      </c>
      <c r="U460" s="229">
        <f>IFERROR(IF($D$33&gt;=U$338,U523*U780,0),0)</f>
        <v>0</v>
      </c>
      <c r="V460" s="229">
        <f>IFERROR(IF($D$33&gt;=V$338,V523*V780,0),0)</f>
        <v>0</v>
      </c>
      <c r="W460" s="229">
        <f>IFERROR(IF($D$33&gt;=W$338,W523*W780,0),0)</f>
        <v>0</v>
      </c>
      <c r="X460" s="229">
        <f>IFERROR(IF($D$33&gt;=X$338,X523*X780,0),0)</f>
        <v>0</v>
      </c>
      <c r="Y460" s="229">
        <f>IFERROR(IF($D$33&gt;=Y$338,Y523*Y780,0),0)</f>
        <v>0</v>
      </c>
      <c r="Z460" s="229">
        <f>IFERROR(IF($D$33&gt;=Z$338,Z523*Z780,0),0)</f>
        <v>0</v>
      </c>
      <c r="AA460" s="229">
        <f>IFERROR(IF($D$33&gt;=AA$338,AA523*AA780,0),0)</f>
        <v>0</v>
      </c>
      <c r="AB460" s="298">
        <f>IFERROR(IF($D$33&gt;=AB$338,AB523*AB780,0),0)</f>
        <v>0</v>
      </c>
    </row>
    <row r="461" spans="1:28" ht="12" customHeight="1" x14ac:dyDescent="0.3">
      <c r="A461" s="8"/>
      <c r="B461" s="8"/>
      <c r="C461" s="638">
        <f>C391</f>
        <v>1582</v>
      </c>
      <c r="D461" s="297">
        <f>IFERROR(IF($D$33&gt;=D$338,D524*D781,0),0)</f>
        <v>0</v>
      </c>
      <c r="E461" s="229">
        <f>IFERROR(IF($D$33&gt;=E$338,E524*E781,0),0)</f>
        <v>0</v>
      </c>
      <c r="F461" s="229">
        <f>IFERROR(IF($D$33&gt;=F$338,F524*F781,0),0)</f>
        <v>0</v>
      </c>
      <c r="G461" s="229">
        <f>IFERROR(IF($D$33&gt;=G$338,G524*G781,0),0)</f>
        <v>0</v>
      </c>
      <c r="H461" s="229">
        <f>IFERROR(IF($D$33&gt;=H$338,H524*H781,0),0)</f>
        <v>0</v>
      </c>
      <c r="I461" s="229">
        <f>IFERROR(IF($D$33&gt;=I$338,I524*I781,0),0)</f>
        <v>0</v>
      </c>
      <c r="J461" s="229">
        <f>IFERROR(IF($D$33&gt;=J$338,J524*J781,0),0)</f>
        <v>0</v>
      </c>
      <c r="K461" s="229">
        <f>IFERROR(IF($D$33&gt;=K$338,K524*K781,0),0)</f>
        <v>0</v>
      </c>
      <c r="L461" s="229">
        <f>IFERROR(IF($D$33&gt;=L$338,L524*L781,0),0)</f>
        <v>0</v>
      </c>
      <c r="M461" s="229">
        <f>IFERROR(IF($D$33&gt;=M$338,M524*M781,0),0)</f>
        <v>0</v>
      </c>
      <c r="N461" s="229">
        <f>IFERROR(IF($D$33&gt;=N$338,N524*N781,0),0)</f>
        <v>0</v>
      </c>
      <c r="O461" s="229">
        <f>IFERROR(IF($D$33&gt;=O$338,O524*O781,0),0)</f>
        <v>0</v>
      </c>
      <c r="P461" s="229">
        <f>IFERROR(IF($D$33&gt;=P$338,P524*P781,0),0)</f>
        <v>0</v>
      </c>
      <c r="Q461" s="229">
        <f>IFERROR(IF($D$33&gt;=Q$338,Q524*Q781,0),0)</f>
        <v>0</v>
      </c>
      <c r="R461" s="229">
        <f>IFERROR(IF($D$33&gt;=R$338,R524*R781,0),0)</f>
        <v>0</v>
      </c>
      <c r="S461" s="229">
        <f>IFERROR(IF($D$33&gt;=S$338,S524*S781,0),0)</f>
        <v>0</v>
      </c>
      <c r="T461" s="229">
        <f>IFERROR(IF($D$33&gt;=T$338,T524*T781,0),0)</f>
        <v>0</v>
      </c>
      <c r="U461" s="229">
        <f>IFERROR(IF($D$33&gt;=U$338,U524*U781,0),0)</f>
        <v>0</v>
      </c>
      <c r="V461" s="229">
        <f>IFERROR(IF($D$33&gt;=V$338,V524*V781,0),0)</f>
        <v>0</v>
      </c>
      <c r="W461" s="229">
        <f>IFERROR(IF($D$33&gt;=W$338,W524*W781,0),0)</f>
        <v>0</v>
      </c>
      <c r="X461" s="229">
        <f>IFERROR(IF($D$33&gt;=X$338,X524*X781,0),0)</f>
        <v>0</v>
      </c>
      <c r="Y461" s="229">
        <f>IFERROR(IF($D$33&gt;=Y$338,Y524*Y781,0),0)</f>
        <v>0</v>
      </c>
      <c r="Z461" s="229">
        <f>IFERROR(IF($D$33&gt;=Z$338,Z524*Z781,0),0)</f>
        <v>0</v>
      </c>
      <c r="AA461" s="229">
        <f>IFERROR(IF($D$33&gt;=AA$338,AA524*AA781,0),0)</f>
        <v>0</v>
      </c>
      <c r="AB461" s="298">
        <f>IFERROR(IF($D$33&gt;=AB$338,AB524*AB781,0),0)</f>
        <v>0</v>
      </c>
    </row>
    <row r="462" spans="1:28" ht="12" customHeight="1" x14ac:dyDescent="0.3">
      <c r="A462" s="8"/>
      <c r="B462" s="8"/>
      <c r="C462" s="638">
        <f>C392</f>
        <v>1613</v>
      </c>
      <c r="D462" s="297">
        <f>IFERROR(IF($D$33&gt;=D$338,D525*D782,0),0)</f>
        <v>0</v>
      </c>
      <c r="E462" s="229">
        <f>IFERROR(IF($D$33&gt;=E$338,E525*E782,0),0)</f>
        <v>0</v>
      </c>
      <c r="F462" s="229">
        <f>IFERROR(IF($D$33&gt;=F$338,F525*F782,0),0)</f>
        <v>0</v>
      </c>
      <c r="G462" s="229">
        <f>IFERROR(IF($D$33&gt;=G$338,G525*G782,0),0)</f>
        <v>0</v>
      </c>
      <c r="H462" s="229">
        <f>IFERROR(IF($D$33&gt;=H$338,H525*H782,0),0)</f>
        <v>0</v>
      </c>
      <c r="I462" s="229">
        <f>IFERROR(IF($D$33&gt;=I$338,I525*I782,0),0)</f>
        <v>0</v>
      </c>
      <c r="J462" s="229">
        <f>IFERROR(IF($D$33&gt;=J$338,J525*J782,0),0)</f>
        <v>0</v>
      </c>
      <c r="K462" s="229">
        <f>IFERROR(IF($D$33&gt;=K$338,K525*K782,0),0)</f>
        <v>0</v>
      </c>
      <c r="L462" s="229">
        <f>IFERROR(IF($D$33&gt;=L$338,L525*L782,0),0)</f>
        <v>0</v>
      </c>
      <c r="M462" s="229">
        <f>IFERROR(IF($D$33&gt;=M$338,M525*M782,0),0)</f>
        <v>0</v>
      </c>
      <c r="N462" s="229">
        <f>IFERROR(IF($D$33&gt;=N$338,N525*N782,0),0)</f>
        <v>0</v>
      </c>
      <c r="O462" s="229">
        <f>IFERROR(IF($D$33&gt;=O$338,O525*O782,0),0)</f>
        <v>0</v>
      </c>
      <c r="P462" s="229">
        <f>IFERROR(IF($D$33&gt;=P$338,P525*P782,0),0)</f>
        <v>0</v>
      </c>
      <c r="Q462" s="229">
        <f>IFERROR(IF($D$33&gt;=Q$338,Q525*Q782,0),0)</f>
        <v>0</v>
      </c>
      <c r="R462" s="229">
        <f>IFERROR(IF($D$33&gt;=R$338,R525*R782,0),0)</f>
        <v>0</v>
      </c>
      <c r="S462" s="229">
        <f>IFERROR(IF($D$33&gt;=S$338,S525*S782,0),0)</f>
        <v>0</v>
      </c>
      <c r="T462" s="229">
        <f>IFERROR(IF($D$33&gt;=T$338,T525*T782,0),0)</f>
        <v>0</v>
      </c>
      <c r="U462" s="229">
        <f>IFERROR(IF($D$33&gt;=U$338,U525*U782,0),0)</f>
        <v>0</v>
      </c>
      <c r="V462" s="229">
        <f>IFERROR(IF($D$33&gt;=V$338,V525*V782,0),0)</f>
        <v>0</v>
      </c>
      <c r="W462" s="229">
        <f>IFERROR(IF($D$33&gt;=W$338,W525*W782,0),0)</f>
        <v>0</v>
      </c>
      <c r="X462" s="229">
        <f>IFERROR(IF($D$33&gt;=X$338,X525*X782,0),0)</f>
        <v>0</v>
      </c>
      <c r="Y462" s="229">
        <f>IFERROR(IF($D$33&gt;=Y$338,Y525*Y782,0),0)</f>
        <v>0</v>
      </c>
      <c r="Z462" s="229">
        <f>IFERROR(IF($D$33&gt;=Z$338,Z525*Z782,0),0)</f>
        <v>0</v>
      </c>
      <c r="AA462" s="229">
        <f>IFERROR(IF($D$33&gt;=AA$338,AA525*AA782,0),0)</f>
        <v>0</v>
      </c>
      <c r="AB462" s="298">
        <f>IFERROR(IF($D$33&gt;=AB$338,AB525*AB782,0),0)</f>
        <v>0</v>
      </c>
    </row>
    <row r="463" spans="1:28" ht="12" customHeight="1" x14ac:dyDescent="0.3">
      <c r="A463" s="8"/>
      <c r="B463" s="8"/>
      <c r="C463" s="638">
        <f>C393</f>
        <v>1643</v>
      </c>
      <c r="D463" s="297">
        <f>IFERROR(IF($D$33&gt;=D$338,D526*D783,0),0)</f>
        <v>0</v>
      </c>
      <c r="E463" s="229">
        <f>IFERROR(IF($D$33&gt;=E$338,E526*E783,0),0)</f>
        <v>0</v>
      </c>
      <c r="F463" s="229">
        <f>IFERROR(IF($D$33&gt;=F$338,F526*F783,0),0)</f>
        <v>0</v>
      </c>
      <c r="G463" s="229">
        <f>IFERROR(IF($D$33&gt;=G$338,G526*G783,0),0)</f>
        <v>0</v>
      </c>
      <c r="H463" s="229">
        <f>IFERROR(IF($D$33&gt;=H$338,H526*H783,0),0)</f>
        <v>0</v>
      </c>
      <c r="I463" s="229">
        <f>IFERROR(IF($D$33&gt;=I$338,I526*I783,0),0)</f>
        <v>0</v>
      </c>
      <c r="J463" s="229">
        <f>IFERROR(IF($D$33&gt;=J$338,J526*J783,0),0)</f>
        <v>0</v>
      </c>
      <c r="K463" s="229">
        <f>IFERROR(IF($D$33&gt;=K$338,K526*K783,0),0)</f>
        <v>0</v>
      </c>
      <c r="L463" s="229">
        <f>IFERROR(IF($D$33&gt;=L$338,L526*L783,0),0)</f>
        <v>0</v>
      </c>
      <c r="M463" s="229">
        <f>IFERROR(IF($D$33&gt;=M$338,M526*M783,0),0)</f>
        <v>0</v>
      </c>
      <c r="N463" s="229">
        <f>IFERROR(IF($D$33&gt;=N$338,N526*N783,0),0)</f>
        <v>0</v>
      </c>
      <c r="O463" s="229">
        <f>IFERROR(IF($D$33&gt;=O$338,O526*O783,0),0)</f>
        <v>0</v>
      </c>
      <c r="P463" s="229">
        <f>IFERROR(IF($D$33&gt;=P$338,P526*P783,0),0)</f>
        <v>0</v>
      </c>
      <c r="Q463" s="229">
        <f>IFERROR(IF($D$33&gt;=Q$338,Q526*Q783,0),0)</f>
        <v>0</v>
      </c>
      <c r="R463" s="229">
        <f>IFERROR(IF($D$33&gt;=R$338,R526*R783,0),0)</f>
        <v>0</v>
      </c>
      <c r="S463" s="229">
        <f>IFERROR(IF($D$33&gt;=S$338,S526*S783,0),0)</f>
        <v>0</v>
      </c>
      <c r="T463" s="229">
        <f>IFERROR(IF($D$33&gt;=T$338,T526*T783,0),0)</f>
        <v>0</v>
      </c>
      <c r="U463" s="229">
        <f>IFERROR(IF($D$33&gt;=U$338,U526*U783,0),0)</f>
        <v>0</v>
      </c>
      <c r="V463" s="229">
        <f>IFERROR(IF($D$33&gt;=V$338,V526*V783,0),0)</f>
        <v>0</v>
      </c>
      <c r="W463" s="229">
        <f>IFERROR(IF($D$33&gt;=W$338,W526*W783,0),0)</f>
        <v>0</v>
      </c>
      <c r="X463" s="229">
        <f>IFERROR(IF($D$33&gt;=X$338,X526*X783,0),0)</f>
        <v>0</v>
      </c>
      <c r="Y463" s="229">
        <f>IFERROR(IF($D$33&gt;=Y$338,Y526*Y783,0),0)</f>
        <v>0</v>
      </c>
      <c r="Z463" s="229">
        <f>IFERROR(IF($D$33&gt;=Z$338,Z526*Z783,0),0)</f>
        <v>0</v>
      </c>
      <c r="AA463" s="229">
        <f>IFERROR(IF($D$33&gt;=AA$338,AA526*AA783,0),0)</f>
        <v>0</v>
      </c>
      <c r="AB463" s="298">
        <f>IFERROR(IF($D$33&gt;=AB$338,AB526*AB783,0),0)</f>
        <v>0</v>
      </c>
    </row>
    <row r="464" spans="1:28" ht="12" customHeight="1" x14ac:dyDescent="0.3">
      <c r="A464" s="8"/>
      <c r="B464" s="8"/>
      <c r="C464" s="638">
        <f>C394</f>
        <v>1674</v>
      </c>
      <c r="D464" s="297">
        <f>IFERROR(IF($D$33&gt;=D$338,D527*D784,0),0)</f>
        <v>0</v>
      </c>
      <c r="E464" s="229">
        <f>IFERROR(IF($D$33&gt;=E$338,E527*E784,0),0)</f>
        <v>0</v>
      </c>
      <c r="F464" s="229">
        <f>IFERROR(IF($D$33&gt;=F$338,F527*F784,0),0)</f>
        <v>0</v>
      </c>
      <c r="G464" s="229">
        <f>IFERROR(IF($D$33&gt;=G$338,G527*G784,0),0)</f>
        <v>0</v>
      </c>
      <c r="H464" s="229">
        <f>IFERROR(IF($D$33&gt;=H$338,H527*H784,0),0)</f>
        <v>0</v>
      </c>
      <c r="I464" s="229">
        <f>IFERROR(IF($D$33&gt;=I$338,I527*I784,0),0)</f>
        <v>0</v>
      </c>
      <c r="J464" s="229">
        <f>IFERROR(IF($D$33&gt;=J$338,J527*J784,0),0)</f>
        <v>0</v>
      </c>
      <c r="K464" s="229">
        <f>IFERROR(IF($D$33&gt;=K$338,K527*K784,0),0)</f>
        <v>0</v>
      </c>
      <c r="L464" s="229">
        <f>IFERROR(IF($D$33&gt;=L$338,L527*L784,0),0)</f>
        <v>0</v>
      </c>
      <c r="M464" s="229">
        <f>IFERROR(IF($D$33&gt;=M$338,M527*M784,0),0)</f>
        <v>0</v>
      </c>
      <c r="N464" s="229">
        <f>IFERROR(IF($D$33&gt;=N$338,N527*N784,0),0)</f>
        <v>0</v>
      </c>
      <c r="O464" s="229">
        <f>IFERROR(IF($D$33&gt;=O$338,O527*O784,0),0)</f>
        <v>0</v>
      </c>
      <c r="P464" s="229">
        <f>IFERROR(IF($D$33&gt;=P$338,P527*P784,0),0)</f>
        <v>0</v>
      </c>
      <c r="Q464" s="229">
        <f>IFERROR(IF($D$33&gt;=Q$338,Q527*Q784,0),0)</f>
        <v>0</v>
      </c>
      <c r="R464" s="229">
        <f>IFERROR(IF($D$33&gt;=R$338,R527*R784,0),0)</f>
        <v>0</v>
      </c>
      <c r="S464" s="229">
        <f>IFERROR(IF($D$33&gt;=S$338,S527*S784,0),0)</f>
        <v>0</v>
      </c>
      <c r="T464" s="229">
        <f>IFERROR(IF($D$33&gt;=T$338,T527*T784,0),0)</f>
        <v>0</v>
      </c>
      <c r="U464" s="229">
        <f>IFERROR(IF($D$33&gt;=U$338,U527*U784,0),0)</f>
        <v>0</v>
      </c>
      <c r="V464" s="229">
        <f>IFERROR(IF($D$33&gt;=V$338,V527*V784,0),0)</f>
        <v>0</v>
      </c>
      <c r="W464" s="229">
        <f>IFERROR(IF($D$33&gt;=W$338,W527*W784,0),0)</f>
        <v>0</v>
      </c>
      <c r="X464" s="229">
        <f>IFERROR(IF($D$33&gt;=X$338,X527*X784,0),0)</f>
        <v>0</v>
      </c>
      <c r="Y464" s="229">
        <f>IFERROR(IF($D$33&gt;=Y$338,Y527*Y784,0),0)</f>
        <v>0</v>
      </c>
      <c r="Z464" s="229">
        <f>IFERROR(IF($D$33&gt;=Z$338,Z527*Z784,0),0)</f>
        <v>0</v>
      </c>
      <c r="AA464" s="229">
        <f>IFERROR(IF($D$33&gt;=AA$338,AA527*AA784,0),0)</f>
        <v>0</v>
      </c>
      <c r="AB464" s="298">
        <f>IFERROR(IF($D$33&gt;=AB$338,AB527*AB784,0),0)</f>
        <v>0</v>
      </c>
    </row>
    <row r="465" spans="1:28" ht="12" customHeight="1" x14ac:dyDescent="0.3">
      <c r="A465" s="8"/>
      <c r="B465" s="8"/>
      <c r="C465" s="638">
        <f>C395</f>
        <v>1705</v>
      </c>
      <c r="D465" s="297">
        <f>IFERROR(IF($D$33&gt;=D$338,D528*D785,0),0)</f>
        <v>0</v>
      </c>
      <c r="E465" s="229">
        <f>IFERROR(IF($D$33&gt;=E$338,E528*E785,0),0)</f>
        <v>0</v>
      </c>
      <c r="F465" s="229">
        <f>IFERROR(IF($D$33&gt;=F$338,F528*F785,0),0)</f>
        <v>0</v>
      </c>
      <c r="G465" s="229">
        <f>IFERROR(IF($D$33&gt;=G$338,G528*G785,0),0)</f>
        <v>0</v>
      </c>
      <c r="H465" s="229">
        <f>IFERROR(IF($D$33&gt;=H$338,H528*H785,0),0)</f>
        <v>0</v>
      </c>
      <c r="I465" s="229">
        <f>IFERROR(IF($D$33&gt;=I$338,I528*I785,0),0)</f>
        <v>0</v>
      </c>
      <c r="J465" s="229">
        <f>IFERROR(IF($D$33&gt;=J$338,J528*J785,0),0)</f>
        <v>0</v>
      </c>
      <c r="K465" s="229">
        <f>IFERROR(IF($D$33&gt;=K$338,K528*K785,0),0)</f>
        <v>0</v>
      </c>
      <c r="L465" s="229">
        <f>IFERROR(IF($D$33&gt;=L$338,L528*L785,0),0)</f>
        <v>0</v>
      </c>
      <c r="M465" s="229">
        <f>IFERROR(IF($D$33&gt;=M$338,M528*M785,0),0)</f>
        <v>0</v>
      </c>
      <c r="N465" s="229">
        <f>IFERROR(IF($D$33&gt;=N$338,N528*N785,0),0)</f>
        <v>0</v>
      </c>
      <c r="O465" s="229">
        <f>IFERROR(IF($D$33&gt;=O$338,O528*O785,0),0)</f>
        <v>0</v>
      </c>
      <c r="P465" s="229">
        <f>IFERROR(IF($D$33&gt;=P$338,P528*P785,0),0)</f>
        <v>0</v>
      </c>
      <c r="Q465" s="229">
        <f>IFERROR(IF($D$33&gt;=Q$338,Q528*Q785,0),0)</f>
        <v>0</v>
      </c>
      <c r="R465" s="229">
        <f>IFERROR(IF($D$33&gt;=R$338,R528*R785,0),0)</f>
        <v>0</v>
      </c>
      <c r="S465" s="229">
        <f>IFERROR(IF($D$33&gt;=S$338,S528*S785,0),0)</f>
        <v>0</v>
      </c>
      <c r="T465" s="229">
        <f>IFERROR(IF($D$33&gt;=T$338,T528*T785,0),0)</f>
        <v>0</v>
      </c>
      <c r="U465" s="229">
        <f>IFERROR(IF($D$33&gt;=U$338,U528*U785,0),0)</f>
        <v>0</v>
      </c>
      <c r="V465" s="229">
        <f>IFERROR(IF($D$33&gt;=V$338,V528*V785,0),0)</f>
        <v>0</v>
      </c>
      <c r="W465" s="229">
        <f>IFERROR(IF($D$33&gt;=W$338,W528*W785,0),0)</f>
        <v>0</v>
      </c>
      <c r="X465" s="229">
        <f>IFERROR(IF($D$33&gt;=X$338,X528*X785,0),0)</f>
        <v>0</v>
      </c>
      <c r="Y465" s="229">
        <f>IFERROR(IF($D$33&gt;=Y$338,Y528*Y785,0),0)</f>
        <v>0</v>
      </c>
      <c r="Z465" s="229">
        <f>IFERROR(IF($D$33&gt;=Z$338,Z528*Z785,0),0)</f>
        <v>0</v>
      </c>
      <c r="AA465" s="229">
        <f>IFERROR(IF($D$33&gt;=AA$338,AA528*AA785,0),0)</f>
        <v>0</v>
      </c>
      <c r="AB465" s="298">
        <f>IFERROR(IF($D$33&gt;=AB$338,AB528*AB785,0),0)</f>
        <v>0</v>
      </c>
    </row>
    <row r="466" spans="1:28" ht="12" customHeight="1" x14ac:dyDescent="0.3">
      <c r="A466" s="8"/>
      <c r="B466" s="8"/>
      <c r="C466" s="638">
        <f>C396</f>
        <v>1735</v>
      </c>
      <c r="D466" s="297">
        <f>IFERROR(IF($D$33&gt;=D$338,D529*D786,0),0)</f>
        <v>0</v>
      </c>
      <c r="E466" s="229">
        <f>IFERROR(IF($D$33&gt;=E$338,E529*E786,0),0)</f>
        <v>0</v>
      </c>
      <c r="F466" s="229">
        <f>IFERROR(IF($D$33&gt;=F$338,F529*F786,0),0)</f>
        <v>0</v>
      </c>
      <c r="G466" s="229">
        <f>IFERROR(IF($D$33&gt;=G$338,G529*G786,0),0)</f>
        <v>0</v>
      </c>
      <c r="H466" s="229">
        <f>IFERROR(IF($D$33&gt;=H$338,H529*H786,0),0)</f>
        <v>0</v>
      </c>
      <c r="I466" s="229">
        <f>IFERROR(IF($D$33&gt;=I$338,I529*I786,0),0)</f>
        <v>0</v>
      </c>
      <c r="J466" s="229">
        <f>IFERROR(IF($D$33&gt;=J$338,J529*J786,0),0)</f>
        <v>0</v>
      </c>
      <c r="K466" s="229">
        <f>IFERROR(IF($D$33&gt;=K$338,K529*K786,0),0)</f>
        <v>0</v>
      </c>
      <c r="L466" s="229">
        <f>IFERROR(IF($D$33&gt;=L$338,L529*L786,0),0)</f>
        <v>0</v>
      </c>
      <c r="M466" s="229">
        <f>IFERROR(IF($D$33&gt;=M$338,M529*M786,0),0)</f>
        <v>0</v>
      </c>
      <c r="N466" s="229">
        <f>IFERROR(IF($D$33&gt;=N$338,N529*N786,0),0)</f>
        <v>0</v>
      </c>
      <c r="O466" s="229">
        <f>IFERROR(IF($D$33&gt;=O$338,O529*O786,0),0)</f>
        <v>0</v>
      </c>
      <c r="P466" s="229">
        <f>IFERROR(IF($D$33&gt;=P$338,P529*P786,0),0)</f>
        <v>0</v>
      </c>
      <c r="Q466" s="229">
        <f>IFERROR(IF($D$33&gt;=Q$338,Q529*Q786,0),0)</f>
        <v>0</v>
      </c>
      <c r="R466" s="229">
        <f>IFERROR(IF($D$33&gt;=R$338,R529*R786,0),0)</f>
        <v>0</v>
      </c>
      <c r="S466" s="229">
        <f>IFERROR(IF($D$33&gt;=S$338,S529*S786,0),0)</f>
        <v>0</v>
      </c>
      <c r="T466" s="229">
        <f>IFERROR(IF($D$33&gt;=T$338,T529*T786,0),0)</f>
        <v>0</v>
      </c>
      <c r="U466" s="229">
        <f>IFERROR(IF($D$33&gt;=U$338,U529*U786,0),0)</f>
        <v>0</v>
      </c>
      <c r="V466" s="229">
        <f>IFERROR(IF($D$33&gt;=V$338,V529*V786,0),0)</f>
        <v>0</v>
      </c>
      <c r="W466" s="229">
        <f>IFERROR(IF($D$33&gt;=W$338,W529*W786,0),0)</f>
        <v>0</v>
      </c>
      <c r="X466" s="229">
        <f>IFERROR(IF($D$33&gt;=X$338,X529*X786,0),0)</f>
        <v>0</v>
      </c>
      <c r="Y466" s="229">
        <f>IFERROR(IF($D$33&gt;=Y$338,Y529*Y786,0),0)</f>
        <v>0</v>
      </c>
      <c r="Z466" s="229">
        <f>IFERROR(IF($D$33&gt;=Z$338,Z529*Z786,0),0)</f>
        <v>0</v>
      </c>
      <c r="AA466" s="229">
        <f>IFERROR(IF($D$33&gt;=AA$338,AA529*AA786,0),0)</f>
        <v>0</v>
      </c>
      <c r="AB466" s="298">
        <f>IFERROR(IF($D$33&gt;=AB$338,AB529*AB786,0),0)</f>
        <v>0</v>
      </c>
    </row>
    <row r="467" spans="1:28" ht="12" customHeight="1" x14ac:dyDescent="0.3">
      <c r="A467" s="8"/>
      <c r="B467" s="761"/>
      <c r="C467" s="638">
        <f>C397</f>
        <v>1766</v>
      </c>
      <c r="D467" s="297">
        <f>IFERROR(IF($D$33&gt;=D$338,D530*D787,0),0)</f>
        <v>0</v>
      </c>
      <c r="E467" s="229">
        <f>IFERROR(IF($D$33&gt;=E$338,E530*E787,0),0)</f>
        <v>0</v>
      </c>
      <c r="F467" s="229">
        <f>IFERROR(IF($D$33&gt;=F$338,F530*F787,0),0)</f>
        <v>0</v>
      </c>
      <c r="G467" s="229">
        <f>IFERROR(IF($D$33&gt;=G$338,G530*G787,0),0)</f>
        <v>0</v>
      </c>
      <c r="H467" s="229">
        <f>IFERROR(IF($D$33&gt;=H$338,H530*H787,0),0)</f>
        <v>0</v>
      </c>
      <c r="I467" s="229">
        <f>IFERROR(IF($D$33&gt;=I$338,I530*I787,0),0)</f>
        <v>0</v>
      </c>
      <c r="J467" s="229">
        <f>IFERROR(IF($D$33&gt;=J$338,J530*J787,0),0)</f>
        <v>0</v>
      </c>
      <c r="K467" s="229">
        <f>IFERROR(IF($D$33&gt;=K$338,K530*K787,0),0)</f>
        <v>0</v>
      </c>
      <c r="L467" s="229">
        <f>IFERROR(IF($D$33&gt;=L$338,L530*L787,0),0)</f>
        <v>0</v>
      </c>
      <c r="M467" s="229">
        <f>IFERROR(IF($D$33&gt;=M$338,M530*M787,0),0)</f>
        <v>0</v>
      </c>
      <c r="N467" s="229">
        <f>IFERROR(IF($D$33&gt;=N$338,N530*N787,0),0)</f>
        <v>0</v>
      </c>
      <c r="O467" s="229">
        <f>IFERROR(IF($D$33&gt;=O$338,O530*O787,0),0)</f>
        <v>0</v>
      </c>
      <c r="P467" s="229">
        <f>IFERROR(IF($D$33&gt;=P$338,P530*P787,0),0)</f>
        <v>0</v>
      </c>
      <c r="Q467" s="229">
        <f>IFERROR(IF($D$33&gt;=Q$338,Q530*Q787,0),0)</f>
        <v>0</v>
      </c>
      <c r="R467" s="229">
        <f>IFERROR(IF($D$33&gt;=R$338,R530*R787,0),0)</f>
        <v>0</v>
      </c>
      <c r="S467" s="229">
        <f>IFERROR(IF($D$33&gt;=S$338,S530*S787,0),0)</f>
        <v>0</v>
      </c>
      <c r="T467" s="229">
        <f>IFERROR(IF($D$33&gt;=T$338,T530*T787,0),0)</f>
        <v>0</v>
      </c>
      <c r="U467" s="229">
        <f>IFERROR(IF($D$33&gt;=U$338,U530*U787,0),0)</f>
        <v>0</v>
      </c>
      <c r="V467" s="229">
        <f>IFERROR(IF($D$33&gt;=V$338,V530*V787,0),0)</f>
        <v>0</v>
      </c>
      <c r="W467" s="229">
        <f>IFERROR(IF($D$33&gt;=W$338,W530*W787,0),0)</f>
        <v>0</v>
      </c>
      <c r="X467" s="229">
        <f>IFERROR(IF($D$33&gt;=X$338,X530*X787,0),0)</f>
        <v>0</v>
      </c>
      <c r="Y467" s="229">
        <f>IFERROR(IF($D$33&gt;=Y$338,Y530*Y787,0),0)</f>
        <v>0</v>
      </c>
      <c r="Z467" s="229">
        <f>IFERROR(IF($D$33&gt;=Z$338,Z530*Z787,0),0)</f>
        <v>0</v>
      </c>
      <c r="AA467" s="229">
        <f>IFERROR(IF($D$33&gt;=AA$338,AA530*AA787,0),0)</f>
        <v>0</v>
      </c>
      <c r="AB467" s="298">
        <f>IFERROR(IF($D$33&gt;=AB$338,AB530*AB787,0),0)</f>
        <v>0</v>
      </c>
    </row>
    <row r="468" spans="1:28" ht="12" customHeight="1" x14ac:dyDescent="0.3">
      <c r="A468" s="8"/>
      <c r="B468" s="8"/>
      <c r="C468" s="638">
        <f>C398</f>
        <v>1796</v>
      </c>
      <c r="D468" s="297">
        <f>IFERROR(IF($D$33&gt;=D$338,D531*D788,0),0)</f>
        <v>0</v>
      </c>
      <c r="E468" s="229">
        <f>IFERROR(IF($D$33&gt;=E$338,E531*E788,0),0)</f>
        <v>0</v>
      </c>
      <c r="F468" s="229">
        <f>IFERROR(IF($D$33&gt;=F$338,F531*F788,0),0)</f>
        <v>0</v>
      </c>
      <c r="G468" s="229">
        <f>IFERROR(IF($D$33&gt;=G$338,G531*G788,0),0)</f>
        <v>0</v>
      </c>
      <c r="H468" s="229">
        <f>IFERROR(IF($D$33&gt;=H$338,H531*H788,0),0)</f>
        <v>0</v>
      </c>
      <c r="I468" s="229">
        <f>IFERROR(IF($D$33&gt;=I$338,I531*I788,0),0)</f>
        <v>0</v>
      </c>
      <c r="J468" s="229">
        <f>IFERROR(IF($D$33&gt;=J$338,J531*J788,0),0)</f>
        <v>0</v>
      </c>
      <c r="K468" s="229">
        <f>IFERROR(IF($D$33&gt;=K$338,K531*K788,0),0)</f>
        <v>0</v>
      </c>
      <c r="L468" s="229">
        <f>IFERROR(IF($D$33&gt;=L$338,L531*L788,0),0)</f>
        <v>0</v>
      </c>
      <c r="M468" s="229">
        <f>IFERROR(IF($D$33&gt;=M$338,M531*M788,0),0)</f>
        <v>0</v>
      </c>
      <c r="N468" s="229">
        <f>IFERROR(IF($D$33&gt;=N$338,N531*N788,0),0)</f>
        <v>0</v>
      </c>
      <c r="O468" s="229">
        <f>IFERROR(IF($D$33&gt;=O$338,O531*O788,0),0)</f>
        <v>0</v>
      </c>
      <c r="P468" s="229">
        <f>IFERROR(IF($D$33&gt;=P$338,P531*P788,0),0)</f>
        <v>0</v>
      </c>
      <c r="Q468" s="229">
        <f>IFERROR(IF($D$33&gt;=Q$338,Q531*Q788,0),0)</f>
        <v>0</v>
      </c>
      <c r="R468" s="229">
        <f>IFERROR(IF($D$33&gt;=R$338,R531*R788,0),0)</f>
        <v>0</v>
      </c>
      <c r="S468" s="229">
        <f>IFERROR(IF($D$33&gt;=S$338,S531*S788,0),0)</f>
        <v>0</v>
      </c>
      <c r="T468" s="229">
        <f>IFERROR(IF($D$33&gt;=T$338,T531*T788,0),0)</f>
        <v>0</v>
      </c>
      <c r="U468" s="229">
        <f>IFERROR(IF($D$33&gt;=U$338,U531*U788,0),0)</f>
        <v>0</v>
      </c>
      <c r="V468" s="229">
        <f>IFERROR(IF($D$33&gt;=V$338,V531*V788,0),0)</f>
        <v>0</v>
      </c>
      <c r="W468" s="229">
        <f>IFERROR(IF($D$33&gt;=W$338,W531*W788,0),0)</f>
        <v>0</v>
      </c>
      <c r="X468" s="229">
        <f>IFERROR(IF($D$33&gt;=X$338,X531*X788,0),0)</f>
        <v>0</v>
      </c>
      <c r="Y468" s="229">
        <f>IFERROR(IF($D$33&gt;=Y$338,Y531*Y788,0),0)</f>
        <v>0</v>
      </c>
      <c r="Z468" s="229">
        <f>IFERROR(IF($D$33&gt;=Z$338,Z531*Z788,0),0)</f>
        <v>0</v>
      </c>
      <c r="AA468" s="229">
        <f>IFERROR(IF($D$33&gt;=AA$338,AA531*AA788,0),0)</f>
        <v>0</v>
      </c>
      <c r="AB468" s="298">
        <f>IFERROR(IF($D$33&gt;=AB$338,AB531*AB788,0),0)</f>
        <v>0</v>
      </c>
    </row>
    <row r="469" spans="1:28" ht="12" customHeight="1" thickBot="1" x14ac:dyDescent="0.35">
      <c r="A469" s="8"/>
      <c r="B469" s="8"/>
      <c r="C469" s="638">
        <f>C399</f>
        <v>1827</v>
      </c>
      <c r="D469" s="301">
        <f>IFERROR(IF($D$33&gt;=D$338,D532*D789,0),0)</f>
      </c>
      <c r="E469" s="302">
        <f>IFERROR(IF($D$33&gt;=E$338,E532*E789,0),0)</f>
        <v>0</v>
      </c>
      <c r="F469" s="302">
        <f>IFERROR(IF($D$33&gt;=F$338,F532*F789,0),0)</f>
        <v>0</v>
      </c>
      <c r="G469" s="302">
        <f>IFERROR(IF($D$33&gt;=G$338,G532*G789,0),0)</f>
      </c>
      <c r="H469" s="302">
        <f>IFERROR(IF($D$33&gt;=H$338,H532*H789,0),0)</f>
        <v>0</v>
      </c>
      <c r="I469" s="302">
        <f>IFERROR(IF($D$33&gt;=I$338,I532*I789,0),0)</f>
        <v>0</v>
      </c>
      <c r="J469" s="302">
        <f>IFERROR(IF($D$33&gt;=J$338,J532*J789,0),0)</f>
        <v>0</v>
      </c>
      <c r="K469" s="302">
        <f>IFERROR(IF($D$33&gt;=K$338,K532*K789,0),0)</f>
        <v>0</v>
      </c>
      <c r="L469" s="302">
        <f>IFERROR(IF($D$33&gt;=L$338,L532*L789,0),0)</f>
      </c>
      <c r="M469" s="302">
        <f>IFERROR(IF($D$33&gt;=M$338,M532*M789,0),0)</f>
        <v>0</v>
      </c>
      <c r="N469" s="302">
        <f>IFERROR(IF($D$33&gt;=N$338,N532*N789,0),0)</f>
        <v>0</v>
      </c>
      <c r="O469" s="302">
        <f>IFERROR(IF($D$33&gt;=O$338,O532*O789,0),0)</f>
        <v>0</v>
      </c>
      <c r="P469" s="302">
        <f>IFERROR(IF($D$33&gt;=P$338,P532*P789,0),0)</f>
        <v>0</v>
      </c>
      <c r="Q469" s="302">
        <f>IFERROR(IF($D$33&gt;=Q$338,Q532*Q789,0),0)</f>
        <v>0</v>
      </c>
      <c r="R469" s="302">
        <f>IFERROR(IF($D$33&gt;=R$338,R532*R789,0),0)</f>
        <v>0</v>
      </c>
      <c r="S469" s="302">
        <f>IFERROR(IF($D$33&gt;=S$338,S532*S789,0),0)</f>
        <v>0</v>
      </c>
      <c r="T469" s="302">
        <f>IFERROR(IF($D$33&gt;=T$338,T532*T789,0),0)</f>
        <v>0</v>
      </c>
      <c r="U469" s="302">
        <f>IFERROR(IF($D$33&gt;=U$338,U532*U789,0),0)</f>
        <v>0</v>
      </c>
      <c r="V469" s="302">
        <f>IFERROR(IF($D$33&gt;=V$338,V532*V789,0),0)</f>
        <v>0</v>
      </c>
      <c r="W469" s="302">
        <f>IFERROR(IF($D$33&gt;=W$338,W532*W789,0),0)</f>
        <v>0</v>
      </c>
      <c r="X469" s="302">
        <f>IFERROR(IF($D$33&gt;=X$338,X532*X789,0),0)</f>
        <v>0</v>
      </c>
      <c r="Y469" s="302">
        <f>IFERROR(IF($D$33&gt;=Y$338,Y532*Y789,0),0)</f>
        <v>0</v>
      </c>
      <c r="Z469" s="302">
        <f>IFERROR(IF($D$33&gt;=Z$338,Z532*Z789,0),0)</f>
        <v>0</v>
      </c>
      <c r="AA469" s="302">
        <f>IFERROR(IF($D$33&gt;=AA$338,AA532*AA789,0),0)</f>
        <v>0</v>
      </c>
      <c r="AB469" s="303">
        <f>IFERROR(IF($D$33&gt;=AB$338,AB532*AB789,0),0)</f>
        <v>0</v>
      </c>
    </row>
    <row r="470" spans="1:28" ht="12" customHeight="1" x14ac:dyDescent="0.3">
      <c r="A470" s="761">
        <f>E62</f>
        <v>0</v>
      </c>
      <c r="B470" s="8"/>
      <c r="C470" s="1347" t="str">
        <f>C400</f>
        <v>Total</v>
      </c>
      <c r="D470" s="481">
        <f>SUM(D410:D469)</f>
        <v>0</v>
      </c>
      <c r="E470" s="482">
        <f>SUM(E410:E469)</f>
        <v>0</v>
      </c>
      <c r="F470" s="482">
        <f>SUM(F410:F469)</f>
        <v>0</v>
      </c>
      <c r="G470" s="482">
        <f>SUM(G410:G469)</f>
        <v>0</v>
      </c>
      <c r="H470" s="482">
        <f>SUM(H410:H469)</f>
        <v>0</v>
      </c>
      <c r="I470" s="482">
        <f>SUM(I410:I469)</f>
        <v>0</v>
      </c>
      <c r="J470" s="482">
        <f>SUM(J410:J469)</f>
        <v>0</v>
      </c>
      <c r="K470" s="482">
        <f>SUM(K410:K469)</f>
        <v>0</v>
      </c>
      <c r="L470" s="482">
        <f>SUM(L410:L469)</f>
        <v>0</v>
      </c>
      <c r="M470" s="482">
        <f>SUM(M410:M469)</f>
        <v>0</v>
      </c>
      <c r="N470" s="482">
        <f>SUM(N410:N469)</f>
        <v>0</v>
      </c>
      <c r="O470" s="482">
        <f>SUM(O410:O469)</f>
        <v>0</v>
      </c>
      <c r="P470" s="482">
        <f>SUM(P410:P469)</f>
        <v>0</v>
      </c>
      <c r="Q470" s="482">
        <f>SUM(Q410:Q469)</f>
        <v>0</v>
      </c>
      <c r="R470" s="482">
        <f>SUM(R410:R469)</f>
        <v>0</v>
      </c>
      <c r="S470" s="482">
        <f>SUM(S410:S469)</f>
        <v>0</v>
      </c>
      <c r="T470" s="482">
        <f>SUM(T410:T469)</f>
        <v>0</v>
      </c>
      <c r="U470" s="482">
        <f>SUM(U410:U469)</f>
        <v>0</v>
      </c>
      <c r="V470" s="482">
        <f>SUM(V410:V469)</f>
        <v>0</v>
      </c>
      <c r="W470" s="482">
        <f>SUM(W410:W469)</f>
        <v>0</v>
      </c>
      <c r="X470" s="482">
        <f>SUM(X410:X469)</f>
        <v>0</v>
      </c>
      <c r="Y470" s="482">
        <f>SUM(Y410:Y469)</f>
        <v>0</v>
      </c>
      <c r="Z470" s="482">
        <f>SUM(Z410:Z469)</f>
        <v>0</v>
      </c>
      <c r="AA470" s="482">
        <f>SUM(AA410:AA469)</f>
        <v>0</v>
      </c>
      <c r="AB470" s="482">
        <f>SUM(AB410:AB469)</f>
        <v>0</v>
      </c>
    </row>
    <row r="471" spans="1:28" ht="12" customHeight="1" x14ac:dyDescent="0.3">
      <c r="A471" s="8"/>
      <c r="B471" s="1830" t="s">
        <v>195</v>
      </c>
      <c r="C471" s="1830"/>
      <c r="D471" s="217"/>
      <c r="E471" s="217"/>
      <c r="F471" s="217"/>
      <c r="G471" s="217"/>
      <c r="H471" s="217"/>
      <c r="I471" s="217"/>
      <c r="J471" s="220"/>
      <c r="K471" s="220"/>
      <c r="L471" s="647"/>
      <c r="M471" s="647"/>
      <c r="N471" s="647"/>
      <c r="O471" s="647"/>
      <c r="P471" s="647"/>
      <c r="Q471" s="647"/>
      <c r="R471" s="647"/>
      <c r="S471" s="647"/>
      <c r="T471" s="647"/>
      <c r="U471" s="647"/>
      <c r="V471" s="647"/>
      <c r="W471" s="647"/>
      <c r="X471" s="647"/>
      <c r="Y471" s="647"/>
      <c r="Z471" s="647"/>
      <c r="AA471" s="647"/>
      <c r="AB471" s="647"/>
    </row>
    <row r="472" spans="1:28" ht="12" customHeight="1" thickBot="1" x14ac:dyDescent="0.35">
      <c r="A472" s="8"/>
      <c r="B472" s="1830"/>
      <c r="C472" s="1830"/>
      <c r="D472" s="818" t="str">
        <f>D402</f>
        <v>Item 1</v>
      </c>
      <c r="E472" s="818" t="str">
        <f>E339</f>
        <v>Item 2</v>
      </c>
      <c r="F472" s="818" t="str">
        <f>F339</f>
        <v>Item 3</v>
      </c>
      <c r="G472" s="818" t="str">
        <f>G339</f>
        <v>Item 4</v>
      </c>
      <c r="H472" s="818" t="str">
        <f>H339</f>
        <v>Item 5</v>
      </c>
      <c r="I472" s="818" t="str">
        <f>I339</f>
        <v>Item 6</v>
      </c>
      <c r="J472" s="818" t="str">
        <f>J339</f>
        <v>Item 7</v>
      </c>
      <c r="K472" s="818" t="str">
        <f>K339</f>
        <v>Item 8</v>
      </c>
      <c r="L472" s="818" t="str">
        <f>L339</f>
        <v>Item 9</v>
      </c>
      <c r="M472" s="818" t="str">
        <f>M339</f>
        <v>Item 10</v>
      </c>
      <c r="N472" s="818" t="str">
        <f>N339</f>
        <v>Item 11</v>
      </c>
      <c r="O472" s="818" t="str">
        <f>O339</f>
        <v>Item 12</v>
      </c>
      <c r="P472" s="818" t="str">
        <f>P339</f>
        <v>Item 13</v>
      </c>
      <c r="Q472" s="818" t="str">
        <f>Q339</f>
        <v>Item 14</v>
      </c>
      <c r="R472" s="818" t="str">
        <f>R339</f>
        <v>Item 15</v>
      </c>
      <c r="S472" s="818" t="str">
        <f>S339</f>
        <v>Item 16</v>
      </c>
      <c r="T472" s="818" t="str">
        <f>T339</f>
        <v>Item 17</v>
      </c>
      <c r="U472" s="818" t="str">
        <f>U339</f>
        <v>Item 18</v>
      </c>
      <c r="V472" s="818" t="str">
        <f>V339</f>
        <v>Item 19</v>
      </c>
      <c r="W472" s="818" t="str">
        <f>W339</f>
        <v>Item 20</v>
      </c>
      <c r="X472" s="818" t="str">
        <f>X339</f>
        <v>Item 21</v>
      </c>
      <c r="Y472" s="818" t="str">
        <f>Y339</f>
        <v>Item 22</v>
      </c>
      <c r="Z472" s="818" t="str">
        <f>Z339</f>
        <v>Item 23</v>
      </c>
      <c r="AA472" s="818" t="str">
        <f>AA339</f>
        <v>Item 24</v>
      </c>
      <c r="AB472" s="818" t="str">
        <f>AB339</f>
        <v>Item 25</v>
      </c>
    </row>
    <row r="473" spans="1:28" ht="12" customHeight="1" x14ac:dyDescent="0.3">
      <c r="A473" s="8"/>
      <c r="C473" s="495">
        <f>C410</f>
        <v>0</v>
      </c>
      <c r="D473" s="1751">
        <f>IFERROR(IF(D$338&gt;$D$33,0,IF(OR(D$60&gt;$C473,$C473&gt;D$61),0,IF(D$60=$C473,D$62,D472*(1+D536)+D599))),0)</f>
        <v>0</v>
      </c>
      <c r="E473" s="1751">
        <f>IFERROR(IF(E$338&gt;$D$33,0,IF(OR(E$60&gt;$C473,$C473&gt;E$61),0,IF(E$60=$C473,E$62,E472*(1+E536)+E599))),0)</f>
        <v>0</v>
      </c>
      <c r="F473" s="1752">
        <f>IFERROR(IF(F$338&gt;$D$33,0,IF(OR(F$60&gt;$C473,$C473&gt;F$61),0,IF(F$60=$C473,F$62,F472*(1+F536)+F599))),0)</f>
        <v>0</v>
      </c>
      <c r="G473" s="1752">
        <f>IFERROR(IF(G$338&gt;$D$33,0,IF(OR(G$60&gt;$C473,$C473&gt;G$61),0,IF(G$60=$C473,G$62,G472*(1+G536)+G599))),0)</f>
        <v>0</v>
      </c>
      <c r="H473" s="1752">
        <f>IFERROR(IF(H$338&gt;$D$33,0,IF(OR(H$60&gt;$C473,$C473&gt;H$61),0,IF(H$60=$C473,H$62,H472*(1+H536)+H599))),0)</f>
        <v>0</v>
      </c>
      <c r="I473" s="1752">
        <f>IFERROR(IF(I$338&gt;$D$33,0,IF(OR(I$60&gt;$C473,$C473&gt;I$61),0,IF(I$60=$C473,I$62,I472*(1+I536)+I599))),0)</f>
        <v>0</v>
      </c>
      <c r="J473" s="1752">
        <f>IFERROR(IF(J$338&gt;$D$33,0,IF(OR(J$60&gt;$C473,$C473&gt;J$61),0,IF(J$60=$C473,J$62,J472*(1+J536)+J599))),0)</f>
        <v>0</v>
      </c>
      <c r="K473" s="1752">
        <f>IFERROR(IF(K$338&gt;$D$33,0,IF(OR(K$60&gt;$C473,$C473&gt;K$61),0,IF(K$60=$C473,K$62,K472*(1+K536)+K599))),0)</f>
        <v>0</v>
      </c>
      <c r="L473" s="1752">
        <f>IFERROR(IF(L$338&gt;$D$33,0,IF(OR(L$60&gt;$C473,$C473&gt;L$61),0,IF(L$60=$C473,L$62,L472*(1+L536)+L599))),0)</f>
        <v>0</v>
      </c>
      <c r="M473" s="1752">
        <f>IFERROR(IF(M$338&gt;$D$33,0,IF(OR(M$60&gt;$C473,$C473&gt;M$61),0,IF(M$60=$C473,M$62,M472*(1+M536)+M599))),0)</f>
        <v>0</v>
      </c>
      <c r="N473" s="1752">
        <f>IFERROR(IF(N$338&gt;$D$33,0,IF(OR(N$60&gt;$C473,$C473&gt;N$61),0,IF(N$60=$C473,N$62,N472*(1+N536)+N599))),0)</f>
        <v>0</v>
      </c>
      <c r="O473" s="1752">
        <f>IFERROR(IF(O$338&gt;$D$33,0,IF(OR(O$60&gt;$C473,$C473&gt;O$61),0,IF(O$60=$C473,O$62,O472*(1+O536)+O599))),0)</f>
        <v>0</v>
      </c>
      <c r="P473" s="1752">
        <f>IFERROR(IF(P$338&gt;$D$33,0,IF(OR(P$60&gt;$C473,$C473&gt;P$61),0,IF(P$60=$C473,P$62,P472*(1+P536)+P599))),0)</f>
        <v>0</v>
      </c>
      <c r="Q473" s="1752">
        <f>IFERROR(IF(Q$338&gt;$D$33,0,IF(OR(Q$60&gt;$C473,$C473&gt;Q$61),0,IF(Q$60=$C473,Q$62,Q472*(1+Q536)+Q599))),0)</f>
        <v>0</v>
      </c>
      <c r="R473" s="1752">
        <f>IFERROR(IF(R$338&gt;$D$33,0,IF(OR(R$60&gt;$C473,$C473&gt;R$61),0,IF(R$60=$C473,R$62,R472*(1+R536)+R599))),0)</f>
        <v>0</v>
      </c>
      <c r="S473" s="1752">
        <f>IFERROR(IF(S$338&gt;$D$33,0,IF(OR(S$60&gt;$C473,$C473&gt;S$61),0,IF(S$60=$C473,S$62,S472*(1+S536)+S599))),0)</f>
        <v>0</v>
      </c>
      <c r="T473" s="1752">
        <f>IFERROR(IF(T$338&gt;$D$33,0,IF(OR(T$60&gt;$C473,$C473&gt;T$61),0,IF(T$60=$C473,T$62,T472*(1+T536)+T599))),0)</f>
        <v>0</v>
      </c>
      <c r="U473" s="1752">
        <f>IFERROR(IF(U$338&gt;$D$33,0,IF(OR(U$60&gt;$C473,$C473&gt;U$61),0,IF(U$60=$C473,U$62,U472*(1+U536)+U599))),0)</f>
        <v>0</v>
      </c>
      <c r="V473" s="1752">
        <f>IFERROR(IF(V$338&gt;$D$33,0,IF(OR(V$60&gt;$C473,$C473&gt;V$61),0,IF(V$60=$C473,V$62,V472*(1+V536)+V599))),0)</f>
        <v>0</v>
      </c>
      <c r="W473" s="1752">
        <f>IFERROR(IF(W$338&gt;$D$33,0,IF(OR(W$60&gt;$C473,$C473&gt;W$61),0,IF(W$60=$C473,W$62,W472*(1+W536)+W599))),0)</f>
        <v>0</v>
      </c>
      <c r="X473" s="1752">
        <f>IFERROR(IF(X$338&gt;$D$33,0,IF(OR(X$60&gt;$C473,$C473&gt;X$61),0,IF(X$60=$C473,X$62,X472*(1+X536)+X599))),0)</f>
        <v>0</v>
      </c>
      <c r="Y473" s="1752">
        <f>IFERROR(IF(Y$338&gt;$D$33,0,IF(OR(Y$60&gt;$C473,$C473&gt;Y$61),0,IF(Y$60=$C473,Y$62,Y472*(1+Y536)+Y599))),0)</f>
        <v>0</v>
      </c>
      <c r="Z473" s="1752">
        <f>IFERROR(IF(Z$338&gt;$D$33,0,IF(OR(Z$60&gt;$C473,$C473&gt;Z$61),0,IF(Z$60=$C473,Z$62,Z472*(1+Z536)+Z599))),0)</f>
        <v>0</v>
      </c>
      <c r="AA473" s="1752">
        <f>IFERROR(IF(AA$338&gt;$D$33,0,IF(OR(AA$60&gt;$C473,$C473&gt;AA$61),0,IF(AA$60=$C473,AA$62,AA472*(1+AA536)+AA599))),0)</f>
        <v>0</v>
      </c>
      <c r="AB473" s="1752">
        <f>IFERROR(IF(AB$338&gt;$D$33,0,IF(OR(AB$60&gt;$C473,$C473&gt;AB$61),0,IF(AB$60=$C473,AB$62,AB472*(1+AB536)+AB599))),0)</f>
        <v>0</v>
      </c>
    </row>
    <row r="474" spans="1:28" ht="12" customHeight="1" x14ac:dyDescent="0.3">
      <c r="A474" s="8"/>
      <c r="C474" s="495">
        <f>C411</f>
        <v>59</v>
      </c>
      <c r="D474" s="232">
        <f>IFERROR(IF(D$338&gt;$D$33,0,IF(OR(D$60&gt;$C474,$C474&gt;D$61),0,IF(D$60=$C474,D$62,D473*(1+D537)+D600))),0)</f>
        <v>0</v>
      </c>
      <c r="E474" s="234">
        <f>IFERROR(IF(E$338&gt;$D$33,0,IF(OR(E$60&gt;$C474,$C474&gt;E$61),0,IF(E$60=$C474,E$62,E473*(1+E537)+E600))),0)</f>
        <v>0</v>
      </c>
      <c r="F474" s="234">
        <f>IFERROR(IF(F$338&gt;$D$33,0,IF(OR(F$60&gt;$C474,$C474&gt;F$61),0,IF(F$60=$C474,F$62,F473*(1+F537)+F600))),0)</f>
        <v>0</v>
      </c>
      <c r="G474" s="234">
        <f>IFERROR(IF(G$338&gt;$D$33,0,IF(OR(G$60&gt;$C474,$C474&gt;G$61),0,IF(G$60=$C474,G$62,G473*(1+G537)+G600))),0)</f>
        <v>0</v>
      </c>
      <c r="H474" s="234">
        <f>IFERROR(IF(H$338&gt;$D$33,0,IF(OR(H$60&gt;$C474,$C474&gt;H$61),0,IF(H$60=$C474,H$62,H473*(1+H537)+H600))),0)</f>
        <v>0</v>
      </c>
      <c r="I474" s="234">
        <f>IFERROR(IF(I$338&gt;$D$33,0,IF(OR(I$60&gt;$C474,$C474&gt;I$61),0,IF(I$60=$C474,I$62,I473*(1+I537)+I600))),0)</f>
        <v>0</v>
      </c>
      <c r="J474" s="234">
        <f>IFERROR(IF(J$338&gt;$D$33,0,IF(OR(J$60&gt;$C474,$C474&gt;J$61),0,IF(J$60=$C474,J$62,J473*(1+J537)+J600))),0)</f>
        <v>0</v>
      </c>
      <c r="K474" s="234">
        <f>IFERROR(IF(K$338&gt;$D$33,0,IF(OR(K$60&gt;$C474,$C474&gt;K$61),0,IF(K$60=$C474,K$62,K473*(1+K537)+K600))),0)</f>
        <v>0</v>
      </c>
      <c r="L474" s="234">
        <f>IFERROR(IF(L$338&gt;$D$33,0,IF(OR(L$60&gt;$C474,$C474&gt;L$61),0,IF(L$60=$C474,L$62,L473*(1+L537)+L600))),0)</f>
        <v>0</v>
      </c>
      <c r="M474" s="234">
        <f>IFERROR(IF(M$338&gt;$D$33,0,IF(OR(M$60&gt;$C474,$C474&gt;M$61),0,IF(M$60=$C474,M$62,M473*(1+M537)+M600))),0)</f>
        <v>0</v>
      </c>
      <c r="N474" s="234">
        <f>IFERROR(IF(N$338&gt;$D$33,0,IF(OR(N$60&gt;$C474,$C474&gt;N$61),0,IF(N$60=$C474,N$62,N473*(1+N537)+N600))),0)</f>
        <v>0</v>
      </c>
      <c r="O474" s="234">
        <f>IFERROR(IF(O$338&gt;$D$33,0,IF(OR(O$60&gt;$C474,$C474&gt;O$61),0,IF(O$60=$C474,O$62,O473*(1+O537)+O600))),0)</f>
        <v>0</v>
      </c>
      <c r="P474" s="234">
        <f>IFERROR(IF(P$338&gt;$D$33,0,IF(OR(P$60&gt;$C474,$C474&gt;P$61),0,IF(P$60=$C474,P$62,P473*(1+P537)+P600))),0)</f>
        <v>0</v>
      </c>
      <c r="Q474" s="234">
        <f>IFERROR(IF(Q$338&gt;$D$33,0,IF(OR(Q$60&gt;$C474,$C474&gt;Q$61),0,IF(Q$60=$C474,Q$62,Q473*(1+Q537)+Q600))),0)</f>
        <v>0</v>
      </c>
      <c r="R474" s="234">
        <f>IFERROR(IF(R$338&gt;$D$33,0,IF(OR(R$60&gt;$C474,$C474&gt;R$61),0,IF(R$60=$C474,R$62,R473*(1+R537)+R600))),0)</f>
        <v>0</v>
      </c>
      <c r="S474" s="234">
        <f>IFERROR(IF(S$338&gt;$D$33,0,IF(OR(S$60&gt;$C474,$C474&gt;S$61),0,IF(S$60=$C474,S$62,S473*(1+S537)+S600))),0)</f>
        <v>0</v>
      </c>
      <c r="T474" s="234">
        <f>IFERROR(IF(T$338&gt;$D$33,0,IF(OR(T$60&gt;$C474,$C474&gt;T$61),0,IF(T$60=$C474,T$62,T473*(1+T537)+T600))),0)</f>
        <v>0</v>
      </c>
      <c r="U474" s="234">
        <f>IFERROR(IF(U$338&gt;$D$33,0,IF(OR(U$60&gt;$C474,$C474&gt;U$61),0,IF(U$60=$C474,U$62,U473*(1+U537)+U600))),0)</f>
        <v>0</v>
      </c>
      <c r="V474" s="234">
        <f>IFERROR(IF(V$338&gt;$D$33,0,IF(OR(V$60&gt;$C474,$C474&gt;V$61),0,IF(V$60=$C474,V$62,V473*(1+V537)+V600))),0)</f>
        <v>0</v>
      </c>
      <c r="W474" s="234">
        <f>IFERROR(IF(W$338&gt;$D$33,0,IF(OR(W$60&gt;$C474,$C474&gt;W$61),0,IF(W$60=$C474,W$62,W473*(1+W537)+W600))),0)</f>
        <v>0</v>
      </c>
      <c r="X474" s="234">
        <f>IFERROR(IF(X$338&gt;$D$33,0,IF(OR(X$60&gt;$C474,$C474&gt;X$61),0,IF(X$60=$C474,X$62,X473*(1+X537)+X600))),0)</f>
        <v>0</v>
      </c>
      <c r="Y474" s="234">
        <f>IFERROR(IF(Y$338&gt;$D$33,0,IF(OR(Y$60&gt;$C474,$C474&gt;Y$61),0,IF(Y$60=$C474,Y$62,Y473*(1+Y537)+Y600))),0)</f>
        <v>0</v>
      </c>
      <c r="Z474" s="234">
        <f>IFERROR(IF(Z$338&gt;$D$33,0,IF(OR(Z$60&gt;$C474,$C474&gt;Z$61),0,IF(Z$60=$C474,Z$62,Z473*(1+Z537)+Z600))),0)</f>
        <v>0</v>
      </c>
      <c r="AA474" s="234">
        <f>IFERROR(IF(AA$338&gt;$D$33,0,IF(OR(AA$60&gt;$C474,$C474&gt;AA$61),0,IF(AA$60=$C474,AA$62,AA473*(1+AA537)+AA600))),0)</f>
        <v>0</v>
      </c>
      <c r="AB474" s="234">
        <f>IFERROR(IF(AB$338&gt;$D$33,0,IF(OR(AB$60&gt;$C474,$C474&gt;AB$61),0,IF(AB$60=$C474,AB$62,AB473*(1+AB537)+AB600))),0)</f>
        <v>0</v>
      </c>
    </row>
    <row r="475" spans="1:28" ht="12" customHeight="1" x14ac:dyDescent="0.3">
      <c r="A475" s="8"/>
      <c r="C475" s="495">
        <f>C412</f>
        <v>91</v>
      </c>
      <c r="D475" s="232">
        <f>IFERROR(IF(D$338&gt;$D$33,0,IF(OR(D$60&gt;$C475,$C475&gt;D$61),0,IF(D$60=$C475,D$62,D474*(1+D538)+D601))),0)</f>
        <v>0</v>
      </c>
      <c r="E475" s="233">
        <f>IFERROR(IF(E$338&gt;$D$33,0,IF(OR(E$60&gt;$C475,$C475&gt;E$61),0,IF(E$60=$C475,E$62,E474*(1+E538)+E601))),0)</f>
        <v>0</v>
      </c>
      <c r="F475" s="233">
        <f>IFERROR(IF(F$338&gt;$D$33,0,IF(OR(F$60&gt;$C475,$C475&gt;F$61),0,IF(F$60=$C475,F$62,F474*(1+F538)+F601))),0)</f>
        <v>0</v>
      </c>
      <c r="G475" s="233">
        <f>IFERROR(IF(G$338&gt;$D$33,0,IF(OR(G$60&gt;$C475,$C475&gt;G$61),0,IF(G$60=$C475,G$62,G474*(1+G538)+G601))),0)</f>
        <v>0</v>
      </c>
      <c r="H475" s="233">
        <f>IFERROR(IF(H$338&gt;$D$33,0,IF(OR(H$60&gt;$C475,$C475&gt;H$61),0,IF(H$60=$C475,H$62,H474*(1+H538)+H601))),0)</f>
        <v>0</v>
      </c>
      <c r="I475" s="233">
        <f>IFERROR(IF(I$338&gt;$D$33,0,IF(OR(I$60&gt;$C475,$C475&gt;I$61),0,IF(I$60=$C475,I$62,I474*(1+I538)+I601))),0)</f>
        <v>0</v>
      </c>
      <c r="J475" s="233">
        <f>IFERROR(IF(J$338&gt;$D$33,0,IF(OR(J$60&gt;$C475,$C475&gt;J$61),0,IF(J$60=$C475,J$62,J474*(1+J538)+J601))),0)</f>
        <v>0</v>
      </c>
      <c r="K475" s="233">
        <f>IFERROR(IF(K$338&gt;$D$33,0,IF(OR(K$60&gt;$C475,$C475&gt;K$61),0,IF(K$60=$C475,K$62,K474*(1+K538)+K601))),0)</f>
        <v>0</v>
      </c>
      <c r="L475" s="233">
        <f>IFERROR(IF(L$338&gt;$D$33,0,IF(OR(L$60&gt;$C475,$C475&gt;L$61),0,IF(L$60=$C475,L$62,L474*(1+L538)+L601))),0)</f>
        <v>0</v>
      </c>
      <c r="M475" s="233">
        <f>IFERROR(IF(M$338&gt;$D$33,0,IF(OR(M$60&gt;$C475,$C475&gt;M$61),0,IF(M$60=$C475,M$62,M474*(1+M538)+M601))),0)</f>
        <v>0</v>
      </c>
      <c r="N475" s="233">
        <f>IFERROR(IF(N$338&gt;$D$33,0,IF(OR(N$60&gt;$C475,$C475&gt;N$61),0,IF(N$60=$C475,N$62,N474*(1+N538)+N601))),0)</f>
        <v>0</v>
      </c>
      <c r="O475" s="233">
        <f>IFERROR(IF(O$338&gt;$D$33,0,IF(OR(O$60&gt;$C475,$C475&gt;O$61),0,IF(O$60=$C475,O$62,O474*(1+O538)+O601))),0)</f>
        <v>0</v>
      </c>
      <c r="P475" s="233">
        <f>IFERROR(IF(P$338&gt;$D$33,0,IF(OR(P$60&gt;$C475,$C475&gt;P$61),0,IF(P$60=$C475,P$62,P474*(1+P538)+P601))),0)</f>
        <v>0</v>
      </c>
      <c r="Q475" s="233">
        <f>IFERROR(IF(Q$338&gt;$D$33,0,IF(OR(Q$60&gt;$C475,$C475&gt;Q$61),0,IF(Q$60=$C475,Q$62,Q474*(1+Q538)+Q601))),0)</f>
        <v>0</v>
      </c>
      <c r="R475" s="233">
        <f>IFERROR(IF(R$338&gt;$D$33,0,IF(OR(R$60&gt;$C475,$C475&gt;R$61),0,IF(R$60=$C475,R$62,R474*(1+R538)+R601))),0)</f>
        <v>0</v>
      </c>
      <c r="S475" s="233">
        <f>IFERROR(IF(S$338&gt;$D$33,0,IF(OR(S$60&gt;$C475,$C475&gt;S$61),0,IF(S$60=$C475,S$62,S474*(1+S538)+S601))),0)</f>
        <v>0</v>
      </c>
      <c r="T475" s="233">
        <f>IFERROR(IF(T$338&gt;$D$33,0,IF(OR(T$60&gt;$C475,$C475&gt;T$61),0,IF(T$60=$C475,T$62,T474*(1+T538)+T601))),0)</f>
        <v>0</v>
      </c>
      <c r="U475" s="233">
        <f>IFERROR(IF(U$338&gt;$D$33,0,IF(OR(U$60&gt;$C475,$C475&gt;U$61),0,IF(U$60=$C475,U$62,U474*(1+U538)+U601))),0)</f>
        <v>0</v>
      </c>
      <c r="V475" s="233">
        <f>IFERROR(IF(V$338&gt;$D$33,0,IF(OR(V$60&gt;$C475,$C475&gt;V$61),0,IF(V$60=$C475,V$62,V474*(1+V538)+V601))),0)</f>
        <v>0</v>
      </c>
      <c r="W475" s="233">
        <f>IFERROR(IF(W$338&gt;$D$33,0,IF(OR(W$60&gt;$C475,$C475&gt;W$61),0,IF(W$60=$C475,W$62,W474*(1+W538)+W601))),0)</f>
        <v>0</v>
      </c>
      <c r="X475" s="233">
        <f>IFERROR(IF(X$338&gt;$D$33,0,IF(OR(X$60&gt;$C475,$C475&gt;X$61),0,IF(X$60=$C475,X$62,X474*(1+X538)+X601))),0)</f>
        <v>0</v>
      </c>
      <c r="Y475" s="233">
        <f>IFERROR(IF(Y$338&gt;$D$33,0,IF(OR(Y$60&gt;$C475,$C475&gt;Y$61),0,IF(Y$60=$C475,Y$62,Y474*(1+Y538)+Y601))),0)</f>
        <v>0</v>
      </c>
      <c r="Z475" s="233">
        <f>IFERROR(IF(Z$338&gt;$D$33,0,IF(OR(Z$60&gt;$C475,$C475&gt;Z$61),0,IF(Z$60=$C475,Z$62,Z474*(1+Z538)+Z601))),0)</f>
        <v>0</v>
      </c>
      <c r="AA475" s="233">
        <f>IFERROR(IF(AA$338&gt;$D$33,0,IF(OR(AA$60&gt;$C475,$C475&gt;AA$61),0,IF(AA$60=$C475,AA$62,AA474*(1+AA538)+AA601))),0)</f>
        <v>0</v>
      </c>
      <c r="AB475" s="233">
        <f>IFERROR(IF(AB$338&gt;$D$33,0,IF(OR(AB$60&gt;$C475,$C475&gt;AB$61),0,IF(AB$60=$C475,AB$62,AB474*(1+AB538)+AB601))),0)</f>
        <v>0</v>
      </c>
    </row>
    <row r="476" spans="1:28" ht="12" customHeight="1" x14ac:dyDescent="0.3">
      <c r="A476" s="8"/>
      <c r="C476" s="495">
        <f>C413</f>
        <v>121</v>
      </c>
      <c r="D476" s="232">
        <f>IFERROR(IF(D$338&gt;$D$33,0,IF(OR(D$60&gt;$C476,$C476&gt;D$61),0,IF(D$60=$C476,D$62,D475*(1+D539)+D602))),0)</f>
        <v>0</v>
      </c>
      <c r="E476" s="233">
        <f>IFERROR(IF(E$338&gt;$D$33,0,IF(OR(E$60&gt;$C476,$C476&gt;E$61),0,IF(E$60=$C476,E$62,E475*(1+E539)+E602))),0)</f>
        <v>0</v>
      </c>
      <c r="F476" s="233">
        <f>IFERROR(IF(F$338&gt;$D$33,0,IF(OR(F$60&gt;$C476,$C476&gt;F$61),0,IF(F$60=$C476,F$62,F475*(1+F539)+F602))),0)</f>
        <v>0</v>
      </c>
      <c r="G476" s="233">
        <f>IFERROR(IF(G$338&gt;$D$33,0,IF(OR(G$60&gt;$C476,$C476&gt;G$61),0,IF(G$60=$C476,G$62,G475*(1+G539)+G602))),0)</f>
        <v>0</v>
      </c>
      <c r="H476" s="233">
        <f>IFERROR(IF(H$338&gt;$D$33,0,IF(OR(H$60&gt;$C476,$C476&gt;H$61),0,IF(H$60=$C476,H$62,H475*(1+H539)+H602))),0)</f>
        <v>0</v>
      </c>
      <c r="I476" s="233">
        <f>IFERROR(IF(I$338&gt;$D$33,0,IF(OR(I$60&gt;$C476,$C476&gt;I$61),0,IF(I$60=$C476,I$62,I475*(1+I539)+I602))),0)</f>
        <v>0</v>
      </c>
      <c r="J476" s="233">
        <f>IFERROR(IF(J$338&gt;$D$33,0,IF(OR(J$60&gt;$C476,$C476&gt;J$61),0,IF(J$60=$C476,J$62,J475*(1+J539)+J602))),0)</f>
        <v>0</v>
      </c>
      <c r="K476" s="233">
        <f>IFERROR(IF(K$338&gt;$D$33,0,IF(OR(K$60&gt;$C476,$C476&gt;K$61),0,IF(K$60=$C476,K$62,K475*(1+K539)+K602))),0)</f>
        <v>0</v>
      </c>
      <c r="L476" s="233">
        <f>IFERROR(IF(L$338&gt;$D$33,0,IF(OR(L$60&gt;$C476,$C476&gt;L$61),0,IF(L$60=$C476,L$62,L475*(1+L539)+L602))),0)</f>
        <v>0</v>
      </c>
      <c r="M476" s="233">
        <f>IFERROR(IF(M$338&gt;$D$33,0,IF(OR(M$60&gt;$C476,$C476&gt;M$61),0,IF(M$60=$C476,M$62,M475*(1+M539)+M602))),0)</f>
        <v>0</v>
      </c>
      <c r="N476" s="233">
        <f>IFERROR(IF(N$338&gt;$D$33,0,IF(OR(N$60&gt;$C476,$C476&gt;N$61),0,IF(N$60=$C476,N$62,N475*(1+N539)+N602))),0)</f>
        <v>0</v>
      </c>
      <c r="O476" s="233">
        <f>IFERROR(IF(O$338&gt;$D$33,0,IF(OR(O$60&gt;$C476,$C476&gt;O$61),0,IF(O$60=$C476,O$62,O475*(1+O539)+O602))),0)</f>
        <v>0</v>
      </c>
      <c r="P476" s="233">
        <f>IFERROR(IF(P$338&gt;$D$33,0,IF(OR(P$60&gt;$C476,$C476&gt;P$61),0,IF(P$60=$C476,P$62,P475*(1+P539)+P602))),0)</f>
        <v>0</v>
      </c>
      <c r="Q476" s="233">
        <f>IFERROR(IF(Q$338&gt;$D$33,0,IF(OR(Q$60&gt;$C476,$C476&gt;Q$61),0,IF(Q$60=$C476,Q$62,Q475*(1+Q539)+Q602))),0)</f>
        <v>0</v>
      </c>
      <c r="R476" s="233">
        <f>IFERROR(IF(R$338&gt;$D$33,0,IF(OR(R$60&gt;$C476,$C476&gt;R$61),0,IF(R$60=$C476,R$62,R475*(1+R539)+R602))),0)</f>
        <v>0</v>
      </c>
      <c r="S476" s="233">
        <f>IFERROR(IF(S$338&gt;$D$33,0,IF(OR(S$60&gt;$C476,$C476&gt;S$61),0,IF(S$60=$C476,S$62,S475*(1+S539)+S602))),0)</f>
        <v>0</v>
      </c>
      <c r="T476" s="233">
        <f>IFERROR(IF(T$338&gt;$D$33,0,IF(OR(T$60&gt;$C476,$C476&gt;T$61),0,IF(T$60=$C476,T$62,T475*(1+T539)+T602))),0)</f>
        <v>0</v>
      </c>
      <c r="U476" s="233">
        <f>IFERROR(IF(U$338&gt;$D$33,0,IF(OR(U$60&gt;$C476,$C476&gt;U$61),0,IF(U$60=$C476,U$62,U475*(1+U539)+U602))),0)</f>
        <v>0</v>
      </c>
      <c r="V476" s="233">
        <f>IFERROR(IF(V$338&gt;$D$33,0,IF(OR(V$60&gt;$C476,$C476&gt;V$61),0,IF(V$60=$C476,V$62,V475*(1+V539)+V602))),0)</f>
        <v>0</v>
      </c>
      <c r="W476" s="233">
        <f>IFERROR(IF(W$338&gt;$D$33,0,IF(OR(W$60&gt;$C476,$C476&gt;W$61),0,IF(W$60=$C476,W$62,W475*(1+W539)+W602))),0)</f>
        <v>0</v>
      </c>
      <c r="X476" s="233">
        <f>IFERROR(IF(X$338&gt;$D$33,0,IF(OR(X$60&gt;$C476,$C476&gt;X$61),0,IF(X$60=$C476,X$62,X475*(1+X539)+X602))),0)</f>
        <v>0</v>
      </c>
      <c r="Y476" s="233">
        <f>IFERROR(IF(Y$338&gt;$D$33,0,IF(OR(Y$60&gt;$C476,$C476&gt;Y$61),0,IF(Y$60=$C476,Y$62,Y475*(1+Y539)+Y602))),0)</f>
        <v>0</v>
      </c>
      <c r="Z476" s="233">
        <f>IFERROR(IF(Z$338&gt;$D$33,0,IF(OR(Z$60&gt;$C476,$C476&gt;Z$61),0,IF(Z$60=$C476,Z$62,Z475*(1+Z539)+Z602))),0)</f>
        <v>0</v>
      </c>
      <c r="AA476" s="233">
        <f>IFERROR(IF(AA$338&gt;$D$33,0,IF(OR(AA$60&gt;$C476,$C476&gt;AA$61),0,IF(AA$60=$C476,AA$62,AA475*(1+AA539)+AA602))),0)</f>
        <v>0</v>
      </c>
      <c r="AB476" s="233">
        <f>IFERROR(IF(AB$338&gt;$D$33,0,IF(OR(AB$60&gt;$C476,$C476&gt;AB$61),0,IF(AB$60=$C476,AB$62,AB475*(1+AB539)+AB602))),0)</f>
        <v>0</v>
      </c>
    </row>
    <row r="477" spans="1:28" ht="12" customHeight="1" x14ac:dyDescent="0.3">
      <c r="A477" s="8"/>
      <c r="C477" s="495">
        <f>C414</f>
        <v>152</v>
      </c>
      <c r="D477" s="232">
        <f>IFERROR(IF(D$338&gt;$D$33,0,IF(OR(D$60&gt;$C477,$C477&gt;D$61),0,IF(D$60=$C477,D$62,D476*(1+D540)+D603))),0)</f>
        <v>0</v>
      </c>
      <c r="E477" s="233">
        <f>IFERROR(IF(E$338&gt;$D$33,0,IF(OR(E$60&gt;$C477,$C477&gt;E$61),0,IF(E$60=$C477,E$62,E476*(1+E540)+E603))),0)</f>
        <v>0</v>
      </c>
      <c r="F477" s="233">
        <f>IFERROR(IF(F$338&gt;$D$33,0,IF(OR(F$60&gt;$C477,$C477&gt;F$61),0,IF(F$60=$C477,F$62,F476*(1+F540)+F603))),0)</f>
        <v>0</v>
      </c>
      <c r="G477" s="233">
        <f>IFERROR(IF(G$338&gt;$D$33,0,IF(OR(G$60&gt;$C477,$C477&gt;G$61),0,IF(G$60=$C477,G$62,G476*(1+G540)+G603))),0)</f>
        <v>0</v>
      </c>
      <c r="H477" s="233">
        <f>IFERROR(IF(H$338&gt;$D$33,0,IF(OR(H$60&gt;$C477,$C477&gt;H$61),0,IF(H$60=$C477,H$62,H476*(1+H540)+H603))),0)</f>
        <v>0</v>
      </c>
      <c r="I477" s="233">
        <f>IFERROR(IF(I$338&gt;$D$33,0,IF(OR(I$60&gt;$C477,$C477&gt;I$61),0,IF(I$60=$C477,I$62,I476*(1+I540)+I603))),0)</f>
        <v>0</v>
      </c>
      <c r="J477" s="233">
        <f>IFERROR(IF(J$338&gt;$D$33,0,IF(OR(J$60&gt;$C477,$C477&gt;J$61),0,IF(J$60=$C477,J$62,J476*(1+J540)+J603))),0)</f>
        <v>0</v>
      </c>
      <c r="K477" s="233">
        <f>IFERROR(IF(K$338&gt;$D$33,0,IF(OR(K$60&gt;$C477,$C477&gt;K$61),0,IF(K$60=$C477,K$62,K476*(1+K540)+K603))),0)</f>
        <v>0</v>
      </c>
      <c r="L477" s="233">
        <f>IFERROR(IF(L$338&gt;$D$33,0,IF(OR(L$60&gt;$C477,$C477&gt;L$61),0,IF(L$60=$C477,L$62,L476*(1+L540)+L603))),0)</f>
        <v>0</v>
      </c>
      <c r="M477" s="233">
        <f>IFERROR(IF(M$338&gt;$D$33,0,IF(OR(M$60&gt;$C477,$C477&gt;M$61),0,IF(M$60=$C477,M$62,M476*(1+M540)+M603))),0)</f>
        <v>0</v>
      </c>
      <c r="N477" s="233">
        <f>IFERROR(IF(N$338&gt;$D$33,0,IF(OR(N$60&gt;$C477,$C477&gt;N$61),0,IF(N$60=$C477,N$62,N476*(1+N540)+N603))),0)</f>
        <v>0</v>
      </c>
      <c r="O477" s="233">
        <f>IFERROR(IF(O$338&gt;$D$33,0,IF(OR(O$60&gt;$C477,$C477&gt;O$61),0,IF(O$60=$C477,O$62,O476*(1+O540)+O603))),0)</f>
        <v>0</v>
      </c>
      <c r="P477" s="233">
        <f>IFERROR(IF(P$338&gt;$D$33,0,IF(OR(P$60&gt;$C477,$C477&gt;P$61),0,IF(P$60=$C477,P$62,P476*(1+P540)+P603))),0)</f>
        <v>0</v>
      </c>
      <c r="Q477" s="233">
        <f>IFERROR(IF(Q$338&gt;$D$33,0,IF(OR(Q$60&gt;$C477,$C477&gt;Q$61),0,IF(Q$60=$C477,Q$62,Q476*(1+Q540)+Q603))),0)</f>
        <v>0</v>
      </c>
      <c r="R477" s="233">
        <f>IFERROR(IF(R$338&gt;$D$33,0,IF(OR(R$60&gt;$C477,$C477&gt;R$61),0,IF(R$60=$C477,R$62,R476*(1+R540)+R603))),0)</f>
        <v>0</v>
      </c>
      <c r="S477" s="233">
        <f>IFERROR(IF(S$338&gt;$D$33,0,IF(OR(S$60&gt;$C477,$C477&gt;S$61),0,IF(S$60=$C477,S$62,S476*(1+S540)+S603))),0)</f>
        <v>0</v>
      </c>
      <c r="T477" s="233">
        <f>IFERROR(IF(T$338&gt;$D$33,0,IF(OR(T$60&gt;$C477,$C477&gt;T$61),0,IF(T$60=$C477,T$62,T476*(1+T540)+T603))),0)</f>
        <v>0</v>
      </c>
      <c r="U477" s="233">
        <f>IFERROR(IF(U$338&gt;$D$33,0,IF(OR(U$60&gt;$C477,$C477&gt;U$61),0,IF(U$60=$C477,U$62,U476*(1+U540)+U603))),0)</f>
        <v>0</v>
      </c>
      <c r="V477" s="233">
        <f>IFERROR(IF(V$338&gt;$D$33,0,IF(OR(V$60&gt;$C477,$C477&gt;V$61),0,IF(V$60=$C477,V$62,V476*(1+V540)+V603))),0)</f>
        <v>0</v>
      </c>
      <c r="W477" s="233">
        <f>IFERROR(IF(W$338&gt;$D$33,0,IF(OR(W$60&gt;$C477,$C477&gt;W$61),0,IF(W$60=$C477,W$62,W476*(1+W540)+W603))),0)</f>
        <v>0</v>
      </c>
      <c r="X477" s="233">
        <f>IFERROR(IF(X$338&gt;$D$33,0,IF(OR(X$60&gt;$C477,$C477&gt;X$61),0,IF(X$60=$C477,X$62,X476*(1+X540)+X603))),0)</f>
        <v>0</v>
      </c>
      <c r="Y477" s="233">
        <f>IFERROR(IF(Y$338&gt;$D$33,0,IF(OR(Y$60&gt;$C477,$C477&gt;Y$61),0,IF(Y$60=$C477,Y$62,Y476*(1+Y540)+Y603))),0)</f>
        <v>0</v>
      </c>
      <c r="Z477" s="233">
        <f>IFERROR(IF(Z$338&gt;$D$33,0,IF(OR(Z$60&gt;$C477,$C477&gt;Z$61),0,IF(Z$60=$C477,Z$62,Z476*(1+Z540)+Z603))),0)</f>
        <v>0</v>
      </c>
      <c r="AA477" s="233">
        <f>IFERROR(IF(AA$338&gt;$D$33,0,IF(OR(AA$60&gt;$C477,$C477&gt;AA$61),0,IF(AA$60=$C477,AA$62,AA476*(1+AA540)+AA603))),0)</f>
        <v>0</v>
      </c>
      <c r="AB477" s="233">
        <f>IFERROR(IF(AB$338&gt;$D$33,0,IF(OR(AB$60&gt;$C477,$C477&gt;AB$61),0,IF(AB$60=$C477,AB$62,AB476*(1+AB540)+AB603))),0)</f>
        <v>0</v>
      </c>
    </row>
    <row r="478" spans="1:28" ht="12" customHeight="1" x14ac:dyDescent="0.3">
      <c r="A478" s="8"/>
      <c r="C478" s="495">
        <f>C415</f>
        <v>182</v>
      </c>
      <c r="D478" s="232">
        <f>IFERROR(IF(D$338&gt;$D$33,0,IF(OR(D$60&gt;$C478,$C478&gt;D$61),0,IF(D$60=$C478,D$62,D477*(1+D541)+D604))),0)</f>
        <v>0</v>
      </c>
      <c r="E478" s="233">
        <f>IFERROR(IF(E$338&gt;$D$33,0,IF(OR(E$60&gt;$C478,$C478&gt;E$61),0,IF(E$60=$C478,E$62,E477*(1+E541)+E604))),0)</f>
        <v>0</v>
      </c>
      <c r="F478" s="233">
        <f>IFERROR(IF(F$338&gt;$D$33,0,IF(OR(F$60&gt;$C478,$C478&gt;F$61),0,IF(F$60=$C478,F$62,F477*(1+F541)+F604))),0)</f>
        <v>0</v>
      </c>
      <c r="G478" s="233">
        <f>IFERROR(IF(G$338&gt;$D$33,0,IF(OR(G$60&gt;$C478,$C478&gt;G$61),0,IF(G$60=$C478,G$62,G477*(1+G541)+G604))),0)</f>
        <v>0</v>
      </c>
      <c r="H478" s="233">
        <f>IFERROR(IF(H$338&gt;$D$33,0,IF(OR(H$60&gt;$C478,$C478&gt;H$61),0,IF(H$60=$C478,H$62,H477*(1+H541)+H604))),0)</f>
        <v>0</v>
      </c>
      <c r="I478" s="233">
        <f>IFERROR(IF(I$338&gt;$D$33,0,IF(OR(I$60&gt;$C478,$C478&gt;I$61),0,IF(I$60=$C478,I$62,I477*(1+I541)+I604))),0)</f>
        <v>0</v>
      </c>
      <c r="J478" s="233">
        <f>IFERROR(IF(J$338&gt;$D$33,0,IF(OR(J$60&gt;$C478,$C478&gt;J$61),0,IF(J$60=$C478,J$62,J477*(1+J541)+J604))),0)</f>
        <v>0</v>
      </c>
      <c r="K478" s="233">
        <f>IFERROR(IF(K$338&gt;$D$33,0,IF(OR(K$60&gt;$C478,$C478&gt;K$61),0,IF(K$60=$C478,K$62,K477*(1+K541)+K604))),0)</f>
        <v>0</v>
      </c>
      <c r="L478" s="233">
        <f>IFERROR(IF(L$338&gt;$D$33,0,IF(OR(L$60&gt;$C478,$C478&gt;L$61),0,IF(L$60=$C478,L$62,L477*(1+L541)+L604))),0)</f>
        <v>0</v>
      </c>
      <c r="M478" s="233">
        <f>IFERROR(IF(M$338&gt;$D$33,0,IF(OR(M$60&gt;$C478,$C478&gt;M$61),0,IF(M$60=$C478,M$62,M477*(1+M541)+M604))),0)</f>
        <v>0</v>
      </c>
      <c r="N478" s="233">
        <f>IFERROR(IF(N$338&gt;$D$33,0,IF(OR(N$60&gt;$C478,$C478&gt;N$61),0,IF(N$60=$C478,N$62,N477*(1+N541)+N604))),0)</f>
        <v>0</v>
      </c>
      <c r="O478" s="233">
        <f>IFERROR(IF(O$338&gt;$D$33,0,IF(OR(O$60&gt;$C478,$C478&gt;O$61),0,IF(O$60=$C478,O$62,O477*(1+O541)+O604))),0)</f>
        <v>0</v>
      </c>
      <c r="P478" s="233">
        <f>IFERROR(IF(P$338&gt;$D$33,0,IF(OR(P$60&gt;$C478,$C478&gt;P$61),0,IF(P$60=$C478,P$62,P477*(1+P541)+P604))),0)</f>
        <v>0</v>
      </c>
      <c r="Q478" s="233">
        <f>IFERROR(IF(Q$338&gt;$D$33,0,IF(OR(Q$60&gt;$C478,$C478&gt;Q$61),0,IF(Q$60=$C478,Q$62,Q477*(1+Q541)+Q604))),0)</f>
        <v>0</v>
      </c>
      <c r="R478" s="233">
        <f>IFERROR(IF(R$338&gt;$D$33,0,IF(OR(R$60&gt;$C478,$C478&gt;R$61),0,IF(R$60=$C478,R$62,R477*(1+R541)+R604))),0)</f>
        <v>0</v>
      </c>
      <c r="S478" s="233">
        <f>IFERROR(IF(S$338&gt;$D$33,0,IF(OR(S$60&gt;$C478,$C478&gt;S$61),0,IF(S$60=$C478,S$62,S477*(1+S541)+S604))),0)</f>
        <v>0</v>
      </c>
      <c r="T478" s="233">
        <f>IFERROR(IF(T$338&gt;$D$33,0,IF(OR(T$60&gt;$C478,$C478&gt;T$61),0,IF(T$60=$C478,T$62,T477*(1+T541)+T604))),0)</f>
        <v>0</v>
      </c>
      <c r="U478" s="233">
        <f>IFERROR(IF(U$338&gt;$D$33,0,IF(OR(U$60&gt;$C478,$C478&gt;U$61),0,IF(U$60=$C478,U$62,U477*(1+U541)+U604))),0)</f>
        <v>0</v>
      </c>
      <c r="V478" s="233">
        <f>IFERROR(IF(V$338&gt;$D$33,0,IF(OR(V$60&gt;$C478,$C478&gt;V$61),0,IF(V$60=$C478,V$62,V477*(1+V541)+V604))),0)</f>
        <v>0</v>
      </c>
      <c r="W478" s="233">
        <f>IFERROR(IF(W$338&gt;$D$33,0,IF(OR(W$60&gt;$C478,$C478&gt;W$61),0,IF(W$60=$C478,W$62,W477*(1+W541)+W604))),0)</f>
        <v>0</v>
      </c>
      <c r="X478" s="233">
        <f>IFERROR(IF(X$338&gt;$D$33,0,IF(OR(X$60&gt;$C478,$C478&gt;X$61),0,IF(X$60=$C478,X$62,X477*(1+X541)+X604))),0)</f>
        <v>0</v>
      </c>
      <c r="Y478" s="233">
        <f>IFERROR(IF(Y$338&gt;$D$33,0,IF(OR(Y$60&gt;$C478,$C478&gt;Y$61),0,IF(Y$60=$C478,Y$62,Y477*(1+Y541)+Y604))),0)</f>
        <v>0</v>
      </c>
      <c r="Z478" s="233">
        <f>IFERROR(IF(Z$338&gt;$D$33,0,IF(OR(Z$60&gt;$C478,$C478&gt;Z$61),0,IF(Z$60=$C478,Z$62,Z477*(1+Z541)+Z604))),0)</f>
        <v>0</v>
      </c>
      <c r="AA478" s="233">
        <f>IFERROR(IF(AA$338&gt;$D$33,0,IF(OR(AA$60&gt;$C478,$C478&gt;AA$61),0,IF(AA$60=$C478,AA$62,AA477*(1+AA541)+AA604))),0)</f>
        <v>0</v>
      </c>
      <c r="AB478" s="233">
        <f>IFERROR(IF(AB$338&gt;$D$33,0,IF(OR(AB$60&gt;$C478,$C478&gt;AB$61),0,IF(AB$60=$C478,AB$62,AB477*(1+AB541)+AB604))),0)</f>
        <v>0</v>
      </c>
    </row>
    <row r="479" spans="1:28" ht="12" customHeight="1" x14ac:dyDescent="0.3">
      <c r="A479" s="8"/>
      <c r="C479" s="495">
        <f>C416</f>
        <v>213</v>
      </c>
      <c r="D479" s="232">
        <f>IFERROR(IF(D$338&gt;$D$33,0,IF(OR(D$60&gt;$C479,$C479&gt;D$61),0,IF(D$60=$C479,D$62,D478*(1+D542)+D605))),0)</f>
        <v>0</v>
      </c>
      <c r="E479" s="233">
        <f>IFERROR(IF(E$338&gt;$D$33,0,IF(OR(E$60&gt;$C479,$C479&gt;E$61),0,IF(E$60=$C479,E$62,E478*(1+E542)+E605))),0)</f>
        <v>0</v>
      </c>
      <c r="F479" s="233">
        <f>IFERROR(IF(F$338&gt;$D$33,0,IF(OR(F$60&gt;$C479,$C479&gt;F$61),0,IF(F$60=$C479,F$62,F478*(1+F542)+F605))),0)</f>
        <v>0</v>
      </c>
      <c r="G479" s="233">
        <f>IFERROR(IF(G$338&gt;$D$33,0,IF(OR(G$60&gt;$C479,$C479&gt;G$61),0,IF(G$60=$C479,G$62,G478*(1+G542)+G605))),0)</f>
        <v>0</v>
      </c>
      <c r="H479" s="233">
        <f>IFERROR(IF(H$338&gt;$D$33,0,IF(OR(H$60&gt;$C479,$C479&gt;H$61),0,IF(H$60=$C479,H$62,H478*(1+H542)+H605))),0)</f>
        <v>0</v>
      </c>
      <c r="I479" s="233">
        <f>IFERROR(IF(I$338&gt;$D$33,0,IF(OR(I$60&gt;$C479,$C479&gt;I$61),0,IF(I$60=$C479,I$62,I478*(1+I542)+I605))),0)</f>
        <v>0</v>
      </c>
      <c r="J479" s="233">
        <f>IFERROR(IF(J$338&gt;$D$33,0,IF(OR(J$60&gt;$C479,$C479&gt;J$61),0,IF(J$60=$C479,J$62,J478*(1+J542)+J605))),0)</f>
        <v>0</v>
      </c>
      <c r="K479" s="233">
        <f>IFERROR(IF(K$338&gt;$D$33,0,IF(OR(K$60&gt;$C479,$C479&gt;K$61),0,IF(K$60=$C479,K$62,K478*(1+K542)+K605))),0)</f>
        <v>0</v>
      </c>
      <c r="L479" s="233">
        <f>IFERROR(IF(L$338&gt;$D$33,0,IF(OR(L$60&gt;$C479,$C479&gt;L$61),0,IF(L$60=$C479,L$62,L478*(1+L542)+L605))),0)</f>
        <v>0</v>
      </c>
      <c r="M479" s="233">
        <f>IFERROR(IF(M$338&gt;$D$33,0,IF(OR(M$60&gt;$C479,$C479&gt;M$61),0,IF(M$60=$C479,M$62,M478*(1+M542)+M605))),0)</f>
        <v>0</v>
      </c>
      <c r="N479" s="233">
        <f>IFERROR(IF(N$338&gt;$D$33,0,IF(OR(N$60&gt;$C479,$C479&gt;N$61),0,IF(N$60=$C479,N$62,N478*(1+N542)+N605))),0)</f>
        <v>0</v>
      </c>
      <c r="O479" s="233">
        <f>IFERROR(IF(O$338&gt;$D$33,0,IF(OR(O$60&gt;$C479,$C479&gt;O$61),0,IF(O$60=$C479,O$62,O478*(1+O542)+O605))),0)</f>
        <v>0</v>
      </c>
      <c r="P479" s="233">
        <f>IFERROR(IF(P$338&gt;$D$33,0,IF(OR(P$60&gt;$C479,$C479&gt;P$61),0,IF(P$60=$C479,P$62,P478*(1+P542)+P605))),0)</f>
        <v>0</v>
      </c>
      <c r="Q479" s="233">
        <f>IFERROR(IF(Q$338&gt;$D$33,0,IF(OR(Q$60&gt;$C479,$C479&gt;Q$61),0,IF(Q$60=$C479,Q$62,Q478*(1+Q542)+Q605))),0)</f>
        <v>0</v>
      </c>
      <c r="R479" s="233">
        <f>IFERROR(IF(R$338&gt;$D$33,0,IF(OR(R$60&gt;$C479,$C479&gt;R$61),0,IF(R$60=$C479,R$62,R478*(1+R542)+R605))),0)</f>
        <v>0</v>
      </c>
      <c r="S479" s="233">
        <f>IFERROR(IF(S$338&gt;$D$33,0,IF(OR(S$60&gt;$C479,$C479&gt;S$61),0,IF(S$60=$C479,S$62,S478*(1+S542)+S605))),0)</f>
        <v>0</v>
      </c>
      <c r="T479" s="233">
        <f>IFERROR(IF(T$338&gt;$D$33,0,IF(OR(T$60&gt;$C479,$C479&gt;T$61),0,IF(T$60=$C479,T$62,T478*(1+T542)+T605))),0)</f>
        <v>0</v>
      </c>
      <c r="U479" s="233">
        <f>IFERROR(IF(U$338&gt;$D$33,0,IF(OR(U$60&gt;$C479,$C479&gt;U$61),0,IF(U$60=$C479,U$62,U478*(1+U542)+U605))),0)</f>
        <v>0</v>
      </c>
      <c r="V479" s="233">
        <f>IFERROR(IF(V$338&gt;$D$33,0,IF(OR(V$60&gt;$C479,$C479&gt;V$61),0,IF(V$60=$C479,V$62,V478*(1+V542)+V605))),0)</f>
        <v>0</v>
      </c>
      <c r="W479" s="233">
        <f>IFERROR(IF(W$338&gt;$D$33,0,IF(OR(W$60&gt;$C479,$C479&gt;W$61),0,IF(W$60=$C479,W$62,W478*(1+W542)+W605))),0)</f>
        <v>0</v>
      </c>
      <c r="X479" s="233">
        <f>IFERROR(IF(X$338&gt;$D$33,0,IF(OR(X$60&gt;$C479,$C479&gt;X$61),0,IF(X$60=$C479,X$62,X478*(1+X542)+X605))),0)</f>
        <v>0</v>
      </c>
      <c r="Y479" s="233">
        <f>IFERROR(IF(Y$338&gt;$D$33,0,IF(OR(Y$60&gt;$C479,$C479&gt;Y$61),0,IF(Y$60=$C479,Y$62,Y478*(1+Y542)+Y605))),0)</f>
        <v>0</v>
      </c>
      <c r="Z479" s="233">
        <f>IFERROR(IF(Z$338&gt;$D$33,0,IF(OR(Z$60&gt;$C479,$C479&gt;Z$61),0,IF(Z$60=$C479,Z$62,Z478*(1+Z542)+Z605))),0)</f>
        <v>0</v>
      </c>
      <c r="AA479" s="233">
        <f>IFERROR(IF(AA$338&gt;$D$33,0,IF(OR(AA$60&gt;$C479,$C479&gt;AA$61),0,IF(AA$60=$C479,AA$62,AA478*(1+AA542)+AA605))),0)</f>
        <v>0</v>
      </c>
      <c r="AB479" s="233">
        <f>IFERROR(IF(AB$338&gt;$D$33,0,IF(OR(AB$60&gt;$C479,$C479&gt;AB$61),0,IF(AB$60=$C479,AB$62,AB478*(1+AB542)+AB605))),0)</f>
        <v>0</v>
      </c>
    </row>
    <row r="480" spans="1:28" ht="12" customHeight="1" x14ac:dyDescent="0.3">
      <c r="A480" s="8"/>
      <c r="C480" s="495">
        <f>C417</f>
        <v>244</v>
      </c>
      <c r="D480" s="232">
        <f>IFERROR(IF(D$338&gt;$D$33,0,IF(OR(D$60&gt;$C480,$C480&gt;D$61),0,IF(D$60=$C480,D$62,D479*(1+D543)+D606))),0)</f>
        <v>0</v>
      </c>
      <c r="E480" s="233">
        <f>IFERROR(IF(E$338&gt;$D$33,0,IF(OR(E$60&gt;$C480,$C480&gt;E$61),0,IF(E$60=$C480,E$62,E479*(1+E543)+E606))),0)</f>
        <v>0</v>
      </c>
      <c r="F480" s="233">
        <f>IFERROR(IF(F$338&gt;$D$33,0,IF(OR(F$60&gt;$C480,$C480&gt;F$61),0,IF(F$60=$C480,F$62,F479*(1+F543)+F606))),0)</f>
        <v>0</v>
      </c>
      <c r="G480" s="233">
        <f>IFERROR(IF(G$338&gt;$D$33,0,IF(OR(G$60&gt;$C480,$C480&gt;G$61),0,IF(G$60=$C480,G$62,G479*(1+G543)+G606))),0)</f>
        <v>0</v>
      </c>
      <c r="H480" s="233">
        <f>IFERROR(IF(H$338&gt;$D$33,0,IF(OR(H$60&gt;$C480,$C480&gt;H$61),0,IF(H$60=$C480,H$62,H479*(1+H543)+H606))),0)</f>
        <v>0</v>
      </c>
      <c r="I480" s="233">
        <f>IFERROR(IF(I$338&gt;$D$33,0,IF(OR(I$60&gt;$C480,$C480&gt;I$61),0,IF(I$60=$C480,I$62,I479*(1+I543)+I606))),0)</f>
        <v>0</v>
      </c>
      <c r="J480" s="233">
        <f>IFERROR(IF(J$338&gt;$D$33,0,IF(OR(J$60&gt;$C480,$C480&gt;J$61),0,IF(J$60=$C480,J$62,J479*(1+J543)+J606))),0)</f>
        <v>0</v>
      </c>
      <c r="K480" s="233">
        <f>IFERROR(IF(K$338&gt;$D$33,0,IF(OR(K$60&gt;$C480,$C480&gt;K$61),0,IF(K$60=$C480,K$62,K479*(1+K543)+K606))),0)</f>
        <v>0</v>
      </c>
      <c r="L480" s="233">
        <f>IFERROR(IF(L$338&gt;$D$33,0,IF(OR(L$60&gt;$C480,$C480&gt;L$61),0,IF(L$60=$C480,L$62,L479*(1+L543)+L606))),0)</f>
        <v>0</v>
      </c>
      <c r="M480" s="233">
        <f>IFERROR(IF(M$338&gt;$D$33,0,IF(OR(M$60&gt;$C480,$C480&gt;M$61),0,IF(M$60=$C480,M$62,M479*(1+M543)+M606))),0)</f>
        <v>0</v>
      </c>
      <c r="N480" s="233">
        <f>IFERROR(IF(N$338&gt;$D$33,0,IF(OR(N$60&gt;$C480,$C480&gt;N$61),0,IF(N$60=$C480,N$62,N479*(1+N543)+N606))),0)</f>
        <v>0</v>
      </c>
      <c r="O480" s="233">
        <f>IFERROR(IF(O$338&gt;$D$33,0,IF(OR(O$60&gt;$C480,$C480&gt;O$61),0,IF(O$60=$C480,O$62,O479*(1+O543)+O606))),0)</f>
        <v>0</v>
      </c>
      <c r="P480" s="233">
        <f>IFERROR(IF(P$338&gt;$D$33,0,IF(OR(P$60&gt;$C480,$C480&gt;P$61),0,IF(P$60=$C480,P$62,P479*(1+P543)+P606))),0)</f>
        <v>0</v>
      </c>
      <c r="Q480" s="233">
        <f>IFERROR(IF(Q$338&gt;$D$33,0,IF(OR(Q$60&gt;$C480,$C480&gt;Q$61),0,IF(Q$60=$C480,Q$62,Q479*(1+Q543)+Q606))),0)</f>
        <v>0</v>
      </c>
      <c r="R480" s="233">
        <f>IFERROR(IF(R$338&gt;$D$33,0,IF(OR(R$60&gt;$C480,$C480&gt;R$61),0,IF(R$60=$C480,R$62,R479*(1+R543)+R606))),0)</f>
        <v>0</v>
      </c>
      <c r="S480" s="233">
        <f>IFERROR(IF(S$338&gt;$D$33,0,IF(OR(S$60&gt;$C480,$C480&gt;S$61),0,IF(S$60=$C480,S$62,S479*(1+S543)+S606))),0)</f>
        <v>0</v>
      </c>
      <c r="T480" s="233">
        <f>IFERROR(IF(T$338&gt;$D$33,0,IF(OR(T$60&gt;$C480,$C480&gt;T$61),0,IF(T$60=$C480,T$62,T479*(1+T543)+T606))),0)</f>
        <v>0</v>
      </c>
      <c r="U480" s="233">
        <f>IFERROR(IF(U$338&gt;$D$33,0,IF(OR(U$60&gt;$C480,$C480&gt;U$61),0,IF(U$60=$C480,U$62,U479*(1+U543)+U606))),0)</f>
        <v>0</v>
      </c>
      <c r="V480" s="233">
        <f>IFERROR(IF(V$338&gt;$D$33,0,IF(OR(V$60&gt;$C480,$C480&gt;V$61),0,IF(V$60=$C480,V$62,V479*(1+V543)+V606))),0)</f>
        <v>0</v>
      </c>
      <c r="W480" s="233">
        <f>IFERROR(IF(W$338&gt;$D$33,0,IF(OR(W$60&gt;$C480,$C480&gt;W$61),0,IF(W$60=$C480,W$62,W479*(1+W543)+W606))),0)</f>
        <v>0</v>
      </c>
      <c r="X480" s="233">
        <f>IFERROR(IF(X$338&gt;$D$33,0,IF(OR(X$60&gt;$C480,$C480&gt;X$61),0,IF(X$60=$C480,X$62,X479*(1+X543)+X606))),0)</f>
        <v>0</v>
      </c>
      <c r="Y480" s="233">
        <f>IFERROR(IF(Y$338&gt;$D$33,0,IF(OR(Y$60&gt;$C480,$C480&gt;Y$61),0,IF(Y$60=$C480,Y$62,Y479*(1+Y543)+Y606))),0)</f>
        <v>0</v>
      </c>
      <c r="Z480" s="233">
        <f>IFERROR(IF(Z$338&gt;$D$33,0,IF(OR(Z$60&gt;$C480,$C480&gt;Z$61),0,IF(Z$60=$C480,Z$62,Z479*(1+Z543)+Z606))),0)</f>
        <v>0</v>
      </c>
      <c r="AA480" s="233">
        <f>IFERROR(IF(AA$338&gt;$D$33,0,IF(OR(AA$60&gt;$C480,$C480&gt;AA$61),0,IF(AA$60=$C480,AA$62,AA479*(1+AA543)+AA606))),0)</f>
        <v>0</v>
      </c>
      <c r="AB480" s="233">
        <f>IFERROR(IF(AB$338&gt;$D$33,0,IF(OR(AB$60&gt;$C480,$C480&gt;AB$61),0,IF(AB$60=$C480,AB$62,AB479*(1+AB543)+AB606))),0)</f>
        <v>0</v>
      </c>
    </row>
    <row r="481" spans="1:28" ht="12" customHeight="1" x14ac:dyDescent="0.3">
      <c r="A481" s="8"/>
      <c r="C481" s="495">
        <f>C418</f>
        <v>274</v>
      </c>
      <c r="D481" s="232">
        <f>IFERROR(IF(D$338&gt;$D$33,0,IF(OR(D$60&gt;$C481,$C481&gt;D$61),0,IF(D$60=$C481,D$62,D480*(1+D544)+D607))),0)</f>
        <v>0</v>
      </c>
      <c r="E481" s="233">
        <f>IFERROR(IF(E$338&gt;$D$33,0,IF(OR(E$60&gt;$C481,$C481&gt;E$61),0,IF(E$60=$C481,E$62,E480*(1+E544)+E607))),0)</f>
        <v>0</v>
      </c>
      <c r="F481" s="233">
        <f>IFERROR(IF(F$338&gt;$D$33,0,IF(OR(F$60&gt;$C481,$C481&gt;F$61),0,IF(F$60=$C481,F$62,F480*(1+F544)+F607))),0)</f>
        <v>0</v>
      </c>
      <c r="G481" s="233">
        <f>IFERROR(IF(G$338&gt;$D$33,0,IF(OR(G$60&gt;$C481,$C481&gt;G$61),0,IF(G$60=$C481,G$62,G480*(1+G544)+G607))),0)</f>
        <v>0</v>
      </c>
      <c r="H481" s="233">
        <f>IFERROR(IF(H$338&gt;$D$33,0,IF(OR(H$60&gt;$C481,$C481&gt;H$61),0,IF(H$60=$C481,H$62,H480*(1+H544)+H607))),0)</f>
        <v>0</v>
      </c>
      <c r="I481" s="233">
        <f>IFERROR(IF(I$338&gt;$D$33,0,IF(OR(I$60&gt;$C481,$C481&gt;I$61),0,IF(I$60=$C481,I$62,I480*(1+I544)+I607))),0)</f>
        <v>0</v>
      </c>
      <c r="J481" s="233">
        <f>IFERROR(IF(J$338&gt;$D$33,0,IF(OR(J$60&gt;$C481,$C481&gt;J$61),0,IF(J$60=$C481,J$62,J480*(1+J544)+J607))),0)</f>
        <v>0</v>
      </c>
      <c r="K481" s="233">
        <f>IFERROR(IF(K$338&gt;$D$33,0,IF(OR(K$60&gt;$C481,$C481&gt;K$61),0,IF(K$60=$C481,K$62,K480*(1+K544)+K607))),0)</f>
        <v>0</v>
      </c>
      <c r="L481" s="233">
        <f>IFERROR(IF(L$338&gt;$D$33,0,IF(OR(L$60&gt;$C481,$C481&gt;L$61),0,IF(L$60=$C481,L$62,L480*(1+L544)+L607))),0)</f>
        <v>0</v>
      </c>
      <c r="M481" s="233">
        <f>IFERROR(IF(M$338&gt;$D$33,0,IF(OR(M$60&gt;$C481,$C481&gt;M$61),0,IF(M$60=$C481,M$62,M480*(1+M544)+M607))),0)</f>
        <v>0</v>
      </c>
      <c r="N481" s="233">
        <f>IFERROR(IF(N$338&gt;$D$33,0,IF(OR(N$60&gt;$C481,$C481&gt;N$61),0,IF(N$60=$C481,N$62,N480*(1+N544)+N607))),0)</f>
        <v>0</v>
      </c>
      <c r="O481" s="233">
        <f>IFERROR(IF(O$338&gt;$D$33,0,IF(OR(O$60&gt;$C481,$C481&gt;O$61),0,IF(O$60=$C481,O$62,O480*(1+O544)+O607))),0)</f>
        <v>0</v>
      </c>
      <c r="P481" s="233">
        <f>IFERROR(IF(P$338&gt;$D$33,0,IF(OR(P$60&gt;$C481,$C481&gt;P$61),0,IF(P$60=$C481,P$62,P480*(1+P544)+P607))),0)</f>
        <v>0</v>
      </c>
      <c r="Q481" s="233">
        <f>IFERROR(IF(Q$338&gt;$D$33,0,IF(OR(Q$60&gt;$C481,$C481&gt;Q$61),0,IF(Q$60=$C481,Q$62,Q480*(1+Q544)+Q607))),0)</f>
        <v>0</v>
      </c>
      <c r="R481" s="233">
        <f>IFERROR(IF(R$338&gt;$D$33,0,IF(OR(R$60&gt;$C481,$C481&gt;R$61),0,IF(R$60=$C481,R$62,R480*(1+R544)+R607))),0)</f>
        <v>0</v>
      </c>
      <c r="S481" s="233">
        <f>IFERROR(IF(S$338&gt;$D$33,0,IF(OR(S$60&gt;$C481,$C481&gt;S$61),0,IF(S$60=$C481,S$62,S480*(1+S544)+S607))),0)</f>
        <v>0</v>
      </c>
      <c r="T481" s="233">
        <f>IFERROR(IF(T$338&gt;$D$33,0,IF(OR(T$60&gt;$C481,$C481&gt;T$61),0,IF(T$60=$C481,T$62,T480*(1+T544)+T607))),0)</f>
        <v>0</v>
      </c>
      <c r="U481" s="233">
        <f>IFERROR(IF(U$338&gt;$D$33,0,IF(OR(U$60&gt;$C481,$C481&gt;U$61),0,IF(U$60=$C481,U$62,U480*(1+U544)+U607))),0)</f>
        <v>0</v>
      </c>
      <c r="V481" s="233">
        <f>IFERROR(IF(V$338&gt;$D$33,0,IF(OR(V$60&gt;$C481,$C481&gt;V$61),0,IF(V$60=$C481,V$62,V480*(1+V544)+V607))),0)</f>
        <v>0</v>
      </c>
      <c r="W481" s="233">
        <f>IFERROR(IF(W$338&gt;$D$33,0,IF(OR(W$60&gt;$C481,$C481&gt;W$61),0,IF(W$60=$C481,W$62,W480*(1+W544)+W607))),0)</f>
        <v>0</v>
      </c>
      <c r="X481" s="233">
        <f>IFERROR(IF(X$338&gt;$D$33,0,IF(OR(X$60&gt;$C481,$C481&gt;X$61),0,IF(X$60=$C481,X$62,X480*(1+X544)+X607))),0)</f>
        <v>0</v>
      </c>
      <c r="Y481" s="233">
        <f>IFERROR(IF(Y$338&gt;$D$33,0,IF(OR(Y$60&gt;$C481,$C481&gt;Y$61),0,IF(Y$60=$C481,Y$62,Y480*(1+Y544)+Y607))),0)</f>
        <v>0</v>
      </c>
      <c r="Z481" s="233">
        <f>IFERROR(IF(Z$338&gt;$D$33,0,IF(OR(Z$60&gt;$C481,$C481&gt;Z$61),0,IF(Z$60=$C481,Z$62,Z480*(1+Z544)+Z607))),0)</f>
        <v>0</v>
      </c>
      <c r="AA481" s="233">
        <f>IFERROR(IF(AA$338&gt;$D$33,0,IF(OR(AA$60&gt;$C481,$C481&gt;AA$61),0,IF(AA$60=$C481,AA$62,AA480*(1+AA544)+AA607))),0)</f>
        <v>0</v>
      </c>
      <c r="AB481" s="233">
        <f>IFERROR(IF(AB$338&gt;$D$33,0,IF(OR(AB$60&gt;$C481,$C481&gt;AB$61),0,IF(AB$60=$C481,AB$62,AB480*(1+AB544)+AB607))),0)</f>
        <v>0</v>
      </c>
    </row>
    <row r="482" spans="1:28" ht="12" customHeight="1" x14ac:dyDescent="0.3">
      <c r="A482" s="8"/>
      <c r="C482" s="495">
        <f>C419</f>
        <v>305</v>
      </c>
      <c r="D482" s="233">
        <f>IFERROR(IF(D$338&gt;$D$33,0,IF(OR(D$60&gt;$C482,$C482&gt;D$61),0,IF(D$60=$C482,D$62,D481*(1+D545)+D608))),0)</f>
        <v>0</v>
      </c>
      <c r="E482" s="233">
        <f>IFERROR(IF(E$338&gt;$D$33,0,IF(OR(E$60&gt;$C482,$C482&gt;E$61),0,IF(E$60=$C482,E$62,E481*(1+E545)+E608))),0)</f>
        <v>0</v>
      </c>
      <c r="F482" s="233">
        <f>IFERROR(IF(F$338&gt;$D$33,0,IF(OR(F$60&gt;$C482,$C482&gt;F$61),0,IF(F$60=$C482,F$62,F481*(1+F545)+F608))),0)</f>
        <v>0</v>
      </c>
      <c r="G482" s="233">
        <f>IFERROR(IF(G$338&gt;$D$33,0,IF(OR(G$60&gt;$C482,$C482&gt;G$61),0,IF(G$60=$C482,G$62,G481*(1+G545)+G608))),0)</f>
        <v>0</v>
      </c>
      <c r="H482" s="233">
        <f>IFERROR(IF(H$338&gt;$D$33,0,IF(OR(H$60&gt;$C482,$C482&gt;H$61),0,IF(H$60=$C482,H$62,H481*(1+H545)+H608))),0)</f>
        <v>0</v>
      </c>
      <c r="I482" s="233">
        <f>IFERROR(IF(I$338&gt;$D$33,0,IF(OR(I$60&gt;$C482,$C482&gt;I$61),0,IF(I$60=$C482,I$62,I481*(1+I545)+I608))),0)</f>
        <v>0</v>
      </c>
      <c r="J482" s="233">
        <f>IFERROR(IF(J$338&gt;$D$33,0,IF(OR(J$60&gt;$C482,$C482&gt;J$61),0,IF(J$60=$C482,J$62,J481*(1+J545)+J608))),0)</f>
        <v>0</v>
      </c>
      <c r="K482" s="233">
        <f>IFERROR(IF(K$338&gt;$D$33,0,IF(OR(K$60&gt;$C482,$C482&gt;K$61),0,IF(K$60=$C482,K$62,K481*(1+K545)+K608))),0)</f>
        <v>0</v>
      </c>
      <c r="L482" s="233">
        <f>IFERROR(IF(L$338&gt;$D$33,0,IF(OR(L$60&gt;$C482,$C482&gt;L$61),0,IF(L$60=$C482,L$62,L481*(1+L545)+L608))),0)</f>
        <v>0</v>
      </c>
      <c r="M482" s="233">
        <f>IFERROR(IF(M$338&gt;$D$33,0,IF(OR(M$60&gt;$C482,$C482&gt;M$61),0,IF(M$60=$C482,M$62,M481*(1+M545)+M608))),0)</f>
        <v>0</v>
      </c>
      <c r="N482" s="233">
        <f>IFERROR(IF(N$338&gt;$D$33,0,IF(OR(N$60&gt;$C482,$C482&gt;N$61),0,IF(N$60=$C482,N$62,N481*(1+N545)+N608))),0)</f>
        <v>0</v>
      </c>
      <c r="O482" s="233">
        <f>IFERROR(IF(O$338&gt;$D$33,0,IF(OR(O$60&gt;$C482,$C482&gt;O$61),0,IF(O$60=$C482,O$62,O481*(1+O545)+O608))),0)</f>
        <v>0</v>
      </c>
      <c r="P482" s="233">
        <f>IFERROR(IF(P$338&gt;$D$33,0,IF(OR(P$60&gt;$C482,$C482&gt;P$61),0,IF(P$60=$C482,P$62,P481*(1+P545)+P608))),0)</f>
        <v>0</v>
      </c>
      <c r="Q482" s="233">
        <f>IFERROR(IF(Q$338&gt;$D$33,0,IF(OR(Q$60&gt;$C482,$C482&gt;Q$61),0,IF(Q$60=$C482,Q$62,Q481*(1+Q545)+Q608))),0)</f>
        <v>0</v>
      </c>
      <c r="R482" s="233">
        <f>IFERROR(IF(R$338&gt;$D$33,0,IF(OR(R$60&gt;$C482,$C482&gt;R$61),0,IF(R$60=$C482,R$62,R481*(1+R545)+R608))),0)</f>
        <v>0</v>
      </c>
      <c r="S482" s="233">
        <f>IFERROR(IF(S$338&gt;$D$33,0,IF(OR(S$60&gt;$C482,$C482&gt;S$61),0,IF(S$60=$C482,S$62,S481*(1+S545)+S608))),0)</f>
        <v>0</v>
      </c>
      <c r="T482" s="233">
        <f>IFERROR(IF(T$338&gt;$D$33,0,IF(OR(T$60&gt;$C482,$C482&gt;T$61),0,IF(T$60=$C482,T$62,T481*(1+T545)+T608))),0)</f>
        <v>0</v>
      </c>
      <c r="U482" s="233">
        <f>IFERROR(IF(U$338&gt;$D$33,0,IF(OR(U$60&gt;$C482,$C482&gt;U$61),0,IF(U$60=$C482,U$62,U481*(1+U545)+U608))),0)</f>
        <v>0</v>
      </c>
      <c r="V482" s="233">
        <f>IFERROR(IF(V$338&gt;$D$33,0,IF(OR(V$60&gt;$C482,$C482&gt;V$61),0,IF(V$60=$C482,V$62,V481*(1+V545)+V608))),0)</f>
        <v>0</v>
      </c>
      <c r="W482" s="233">
        <f>IFERROR(IF(W$338&gt;$D$33,0,IF(OR(W$60&gt;$C482,$C482&gt;W$61),0,IF(W$60=$C482,W$62,W481*(1+W545)+W608))),0)</f>
        <v>0</v>
      </c>
      <c r="X482" s="233">
        <f>IFERROR(IF(X$338&gt;$D$33,0,IF(OR(X$60&gt;$C482,$C482&gt;X$61),0,IF(X$60=$C482,X$62,X481*(1+X545)+X608))),0)</f>
        <v>0</v>
      </c>
      <c r="Y482" s="233">
        <f>IFERROR(IF(Y$338&gt;$D$33,0,IF(OR(Y$60&gt;$C482,$C482&gt;Y$61),0,IF(Y$60=$C482,Y$62,Y481*(1+Y545)+Y608))),0)</f>
        <v>0</v>
      </c>
      <c r="Z482" s="233">
        <f>IFERROR(IF(Z$338&gt;$D$33,0,IF(OR(Z$60&gt;$C482,$C482&gt;Z$61),0,IF(Z$60=$C482,Z$62,Z481*(1+Z545)+Z608))),0)</f>
        <v>0</v>
      </c>
      <c r="AA482" s="233">
        <f>IFERROR(IF(AA$338&gt;$D$33,0,IF(OR(AA$60&gt;$C482,$C482&gt;AA$61),0,IF(AA$60=$C482,AA$62,AA481*(1+AA545)+AA608))),0)</f>
        <v>0</v>
      </c>
      <c r="AB482" s="233">
        <f>IFERROR(IF(AB$338&gt;$D$33,0,IF(OR(AB$60&gt;$C482,$C482&gt;AB$61),0,IF(AB$60=$C482,AB$62,AB481*(1+AB545)+AB608))),0)</f>
        <v>0</v>
      </c>
    </row>
    <row r="483" spans="1:28" ht="12" customHeight="1" x14ac:dyDescent="0.3">
      <c r="A483" s="8"/>
      <c r="C483" s="495">
        <f>C420</f>
        <v>335</v>
      </c>
      <c r="D483" s="233">
        <f>IFERROR(IF(D$338&gt;$D$33,0,IF(OR(D$60&gt;$C483,$C483&gt;D$61),0,IF(D$60=$C483,D$62,D482*(1+D546)+D609))),0)</f>
        <v>0</v>
      </c>
      <c r="E483" s="233">
        <f>IFERROR(IF(E$338&gt;$D$33,0,IF(OR(E$60&gt;$C483,$C483&gt;E$61),0,IF(E$60=$C483,E$62,E482*(1+E546)+E609))),0)</f>
        <v>0</v>
      </c>
      <c r="F483" s="233">
        <f>IFERROR(IF(F$338&gt;$D$33,0,IF(OR(F$60&gt;$C483,$C483&gt;F$61),0,IF(F$60=$C483,F$62,F482*(1+F546)+F609))),0)</f>
        <v>0</v>
      </c>
      <c r="G483" s="233">
        <f>IFERROR(IF(G$338&gt;$D$33,0,IF(OR(G$60&gt;$C483,$C483&gt;G$61),0,IF(G$60=$C483,G$62,G482*(1+G546)+G609))),0)</f>
        <v>0</v>
      </c>
      <c r="H483" s="233">
        <f>IFERROR(IF(H$338&gt;$D$33,0,IF(OR(H$60&gt;$C483,$C483&gt;H$61),0,IF(H$60=$C483,H$62,H482*(1+H546)+H609))),0)</f>
        <v>0</v>
      </c>
      <c r="I483" s="233">
        <f>IFERROR(IF(I$338&gt;$D$33,0,IF(OR(I$60&gt;$C483,$C483&gt;I$61),0,IF(I$60=$C483,I$62,I482*(1+I546)+I609))),0)</f>
        <v>0</v>
      </c>
      <c r="J483" s="233">
        <f>IFERROR(IF(J$338&gt;$D$33,0,IF(OR(J$60&gt;$C483,$C483&gt;J$61),0,IF(J$60=$C483,J$62,J482*(1+J546)+J609))),0)</f>
        <v>0</v>
      </c>
      <c r="K483" s="233">
        <f>IFERROR(IF(K$338&gt;$D$33,0,IF(OR(K$60&gt;$C483,$C483&gt;K$61),0,IF(K$60=$C483,K$62,K482*(1+K546)+K609))),0)</f>
        <v>0</v>
      </c>
      <c r="L483" s="233">
        <f>IFERROR(IF(L$338&gt;$D$33,0,IF(OR(L$60&gt;$C483,$C483&gt;L$61),0,IF(L$60=$C483,L$62,L482*(1+L546)+L609))),0)</f>
        <v>0</v>
      </c>
      <c r="M483" s="233">
        <f>IFERROR(IF(M$338&gt;$D$33,0,IF(OR(M$60&gt;$C483,$C483&gt;M$61),0,IF(M$60=$C483,M$62,M482*(1+M546)+M609))),0)</f>
        <v>0</v>
      </c>
      <c r="N483" s="233">
        <f>IFERROR(IF(N$338&gt;$D$33,0,IF(OR(N$60&gt;$C483,$C483&gt;N$61),0,IF(N$60=$C483,N$62,N482*(1+N546)+N609))),0)</f>
        <v>0</v>
      </c>
      <c r="O483" s="233">
        <f>IFERROR(IF(O$338&gt;$D$33,0,IF(OR(O$60&gt;$C483,$C483&gt;O$61),0,IF(O$60=$C483,O$62,O482*(1+O546)+O609))),0)</f>
        <v>0</v>
      </c>
      <c r="P483" s="233">
        <f>IFERROR(IF(P$338&gt;$D$33,0,IF(OR(P$60&gt;$C483,$C483&gt;P$61),0,IF(P$60=$C483,P$62,P482*(1+P546)+P609))),0)</f>
        <v>0</v>
      </c>
      <c r="Q483" s="233">
        <f>IFERROR(IF(Q$338&gt;$D$33,0,IF(OR(Q$60&gt;$C483,$C483&gt;Q$61),0,IF(Q$60=$C483,Q$62,Q482*(1+Q546)+Q609))),0)</f>
        <v>0</v>
      </c>
      <c r="R483" s="233">
        <f>IFERROR(IF(R$338&gt;$D$33,0,IF(OR(R$60&gt;$C483,$C483&gt;R$61),0,IF(R$60=$C483,R$62,R482*(1+R546)+R609))),0)</f>
        <v>0</v>
      </c>
      <c r="S483" s="233">
        <f>IFERROR(IF(S$338&gt;$D$33,0,IF(OR(S$60&gt;$C483,$C483&gt;S$61),0,IF(S$60=$C483,S$62,S482*(1+S546)+S609))),0)</f>
        <v>0</v>
      </c>
      <c r="T483" s="233">
        <f>IFERROR(IF(T$338&gt;$D$33,0,IF(OR(T$60&gt;$C483,$C483&gt;T$61),0,IF(T$60=$C483,T$62,T482*(1+T546)+T609))),0)</f>
        <v>0</v>
      </c>
      <c r="U483" s="233">
        <f>IFERROR(IF(U$338&gt;$D$33,0,IF(OR(U$60&gt;$C483,$C483&gt;U$61),0,IF(U$60=$C483,U$62,U482*(1+U546)+U609))),0)</f>
        <v>0</v>
      </c>
      <c r="V483" s="233">
        <f>IFERROR(IF(V$338&gt;$D$33,0,IF(OR(V$60&gt;$C483,$C483&gt;V$61),0,IF(V$60=$C483,V$62,V482*(1+V546)+V609))),0)</f>
        <v>0</v>
      </c>
      <c r="W483" s="233">
        <f>IFERROR(IF(W$338&gt;$D$33,0,IF(OR(W$60&gt;$C483,$C483&gt;W$61),0,IF(W$60=$C483,W$62,W482*(1+W546)+W609))),0)</f>
        <v>0</v>
      </c>
      <c r="X483" s="233">
        <f>IFERROR(IF(X$338&gt;$D$33,0,IF(OR(X$60&gt;$C483,$C483&gt;X$61),0,IF(X$60=$C483,X$62,X482*(1+X546)+X609))),0)</f>
        <v>0</v>
      </c>
      <c r="Y483" s="233">
        <f>IFERROR(IF(Y$338&gt;$D$33,0,IF(OR(Y$60&gt;$C483,$C483&gt;Y$61),0,IF(Y$60=$C483,Y$62,Y482*(1+Y546)+Y609))),0)</f>
        <v>0</v>
      </c>
      <c r="Z483" s="233">
        <f>IFERROR(IF(Z$338&gt;$D$33,0,IF(OR(Z$60&gt;$C483,$C483&gt;Z$61),0,IF(Z$60=$C483,Z$62,Z482*(1+Z546)+Z609))),0)</f>
        <v>0</v>
      </c>
      <c r="AA483" s="233">
        <f>IFERROR(IF(AA$338&gt;$D$33,0,IF(OR(AA$60&gt;$C483,$C483&gt;AA$61),0,IF(AA$60=$C483,AA$62,AA482*(1+AA546)+AA609))),0)</f>
        <v>0</v>
      </c>
      <c r="AB483" s="233">
        <f>IFERROR(IF(AB$338&gt;$D$33,0,IF(OR(AB$60&gt;$C483,$C483&gt;AB$61),0,IF(AB$60=$C483,AB$62,AB482*(1+AB546)+AB609))),0)</f>
        <v>0</v>
      </c>
    </row>
    <row r="484" spans="1:28" ht="12" customHeight="1" thickBot="1" x14ac:dyDescent="0.35">
      <c r="A484" s="8"/>
      <c r="C484" s="496">
        <f>C421</f>
        <v>366</v>
      </c>
      <c r="D484" s="235">
        <f>IFERROR(IF(D$338&gt;$D$33,0,IF(OR(D$60&gt;$C484,$C484&gt;D$61),0,IF(D$60=$C484,D$62,D483*(1+D547)+D610))),0)</f>
        <v>0</v>
      </c>
      <c r="E484" s="235">
        <f>IFERROR(IF(E$338&gt;$D$33,0,IF(OR(E$60&gt;$C484,$C484&gt;E$61),0,IF(E$60=$C484,E$62,E483*(1+E547)+E610))),0)</f>
        <v>0</v>
      </c>
      <c r="F484" s="235">
        <f>IFERROR(IF(F$338&gt;$D$33,0,IF(OR(F$60&gt;$C484,$C484&gt;F$61),0,IF(F$60=$C484,F$62,F483*(1+F547)+F610))),0)</f>
        <v>0</v>
      </c>
      <c r="G484" s="235">
        <f>IFERROR(IF(G$338&gt;$D$33,0,IF(OR(G$60&gt;$C484,$C484&gt;G$61),0,IF(G$60=$C484,G$62,G483*(1+G547)+G610))),0)</f>
        <v>0</v>
      </c>
      <c r="H484" s="235">
        <f>IFERROR(IF(H$338&gt;$D$33,0,IF(OR(H$60&gt;$C484,$C484&gt;H$61),0,IF(H$60=$C484,H$62,H483*(1+H547)+H610))),0)</f>
        <v>0</v>
      </c>
      <c r="I484" s="235">
        <f>IFERROR(IF(I$338&gt;$D$33,0,IF(OR(I$60&gt;$C484,$C484&gt;I$61),0,IF(I$60=$C484,I$62,I483*(1+I547)+I610))),0)</f>
        <v>0</v>
      </c>
      <c r="J484" s="235">
        <f>IFERROR(IF(J$338&gt;$D$33,0,IF(OR(J$60&gt;$C484,$C484&gt;J$61),0,IF(J$60=$C484,J$62,J483*(1+J547)+J610))),0)</f>
        <v>0</v>
      </c>
      <c r="K484" s="235">
        <f>IFERROR(IF(K$338&gt;$D$33,0,IF(OR(K$60&gt;$C484,$C484&gt;K$61),0,IF(K$60=$C484,K$62,K483*(1+K547)+K610))),0)</f>
        <v>0</v>
      </c>
      <c r="L484" s="235">
        <f>IFERROR(IF(L$338&gt;$D$33,0,IF(OR(L$60&gt;$C484,$C484&gt;L$61),0,IF(L$60=$C484,L$62,L483*(1+L547)+L610))),0)</f>
        <v>0</v>
      </c>
      <c r="M484" s="235">
        <f>IFERROR(IF(M$338&gt;$D$33,0,IF(OR(M$60&gt;$C484,$C484&gt;M$61),0,IF(M$60=$C484,M$62,M483*(1+M547)+M610))),0)</f>
        <v>0</v>
      </c>
      <c r="N484" s="235">
        <f>IFERROR(IF(N$338&gt;$D$33,0,IF(OR(N$60&gt;$C484,$C484&gt;N$61),0,IF(N$60=$C484,N$62,N483*(1+N547)+N610))),0)</f>
        <v>0</v>
      </c>
      <c r="O484" s="235">
        <f>IFERROR(IF(O$338&gt;$D$33,0,IF(OR(O$60&gt;$C484,$C484&gt;O$61),0,IF(O$60=$C484,O$62,O483*(1+O547)+O610))),0)</f>
        <v>0</v>
      </c>
      <c r="P484" s="235">
        <f>IFERROR(IF(P$338&gt;$D$33,0,IF(OR(P$60&gt;$C484,$C484&gt;P$61),0,IF(P$60=$C484,P$62,P483*(1+P547)+P610))),0)</f>
        <v>0</v>
      </c>
      <c r="Q484" s="235">
        <f>IFERROR(IF(Q$338&gt;$D$33,0,IF(OR(Q$60&gt;$C484,$C484&gt;Q$61),0,IF(Q$60=$C484,Q$62,Q483*(1+Q547)+Q610))),0)</f>
        <v>0</v>
      </c>
      <c r="R484" s="235">
        <f>IFERROR(IF(R$338&gt;$D$33,0,IF(OR(R$60&gt;$C484,$C484&gt;R$61),0,IF(R$60=$C484,R$62,R483*(1+R547)+R610))),0)</f>
        <v>0</v>
      </c>
      <c r="S484" s="235">
        <f>IFERROR(IF(S$338&gt;$D$33,0,IF(OR(S$60&gt;$C484,$C484&gt;S$61),0,IF(S$60=$C484,S$62,S483*(1+S547)+S610))),0)</f>
        <v>0</v>
      </c>
      <c r="T484" s="235">
        <f>IFERROR(IF(T$338&gt;$D$33,0,IF(OR(T$60&gt;$C484,$C484&gt;T$61),0,IF(T$60=$C484,T$62,T483*(1+T547)+T610))),0)</f>
        <v>0</v>
      </c>
      <c r="U484" s="235">
        <f>IFERROR(IF(U$338&gt;$D$33,0,IF(OR(U$60&gt;$C484,$C484&gt;U$61),0,IF(U$60=$C484,U$62,U483*(1+U547)+U610))),0)</f>
        <v>0</v>
      </c>
      <c r="V484" s="235">
        <f>IFERROR(IF(V$338&gt;$D$33,0,IF(OR(V$60&gt;$C484,$C484&gt;V$61),0,IF(V$60=$C484,V$62,V483*(1+V547)+V610))),0)</f>
        <v>0</v>
      </c>
      <c r="W484" s="235">
        <f>IFERROR(IF(W$338&gt;$D$33,0,IF(OR(W$60&gt;$C484,$C484&gt;W$61),0,IF(W$60=$C484,W$62,W483*(1+W547)+W610))),0)</f>
        <v>0</v>
      </c>
      <c r="X484" s="235">
        <f>IFERROR(IF(X$338&gt;$D$33,0,IF(OR(X$60&gt;$C484,$C484&gt;X$61),0,IF(X$60=$C484,X$62,X483*(1+X547)+X610))),0)</f>
        <v>0</v>
      </c>
      <c r="Y484" s="235">
        <f>IFERROR(IF(Y$338&gt;$D$33,0,IF(OR(Y$60&gt;$C484,$C484&gt;Y$61),0,IF(Y$60=$C484,Y$62,Y483*(1+Y547)+Y610))),0)</f>
        <v>0</v>
      </c>
      <c r="Z484" s="235">
        <f>IFERROR(IF(Z$338&gt;$D$33,0,IF(OR(Z$60&gt;$C484,$C484&gt;Z$61),0,IF(Z$60=$C484,Z$62,Z483*(1+Z547)+Z610))),0)</f>
        <v>0</v>
      </c>
      <c r="AA484" s="235">
        <f>IFERROR(IF(AA$338&gt;$D$33,0,IF(OR(AA$60&gt;$C484,$C484&gt;AA$61),0,IF(AA$60=$C484,AA$62,AA483*(1+AA547)+AA610))),0)</f>
        <v>0</v>
      </c>
      <c r="AB484" s="235">
        <f>IFERROR(IF(AB$338&gt;$D$33,0,IF(OR(AB$60&gt;$C484,$C484&gt;AB$61),0,IF(AB$60=$C484,AB$62,AB483*(1+AB547)+AB610))),0)</f>
        <v>0</v>
      </c>
    </row>
    <row r="485" spans="1:28" ht="12" customHeight="1" x14ac:dyDescent="0.3">
      <c r="A485" s="8"/>
      <c r="C485" s="495">
        <f>C422</f>
        <v>397</v>
      </c>
      <c r="D485" s="234">
        <f>IFERROR(IF(D$338&gt;$D$33,0,IF(OR(D$60&gt;$C485,$C485&gt;D$61),0,IF(D$60=$C485,D$62,D484*(1+D548)+D611))),0)</f>
        <v>0</v>
      </c>
      <c r="E485" s="234">
        <f>IFERROR(IF(E$338&gt;$D$33,0,IF(OR(E$60&gt;$C485,$C485&gt;E$61),0,IF(E$60=$C485,E$62,E484*(1+E548)+E611))),0)</f>
        <v>0</v>
      </c>
      <c r="F485" s="234">
        <f>IFERROR(IF(F$338&gt;$D$33,0,IF(OR(F$60&gt;$C485,$C485&gt;F$61),0,IF(F$60=$C485,F$62,F484*(1+F548)+F611))),0)</f>
        <v>0</v>
      </c>
      <c r="G485" s="234">
        <f>IFERROR(IF(G$338&gt;$D$33,0,IF(OR(G$60&gt;$C485,$C485&gt;G$61),0,IF(G$60=$C485,G$62,G484*(1+G548)+G611))),0)</f>
        <v>0</v>
      </c>
      <c r="H485" s="234">
        <f>IFERROR(IF(H$338&gt;$D$33,0,IF(OR(H$60&gt;$C485,$C485&gt;H$61),0,IF(H$60=$C485,H$62,H484*(1+H548)+H611))),0)</f>
        <v>0</v>
      </c>
      <c r="I485" s="234">
        <f>IFERROR(IF(I$338&gt;$D$33,0,IF(OR(I$60&gt;$C485,$C485&gt;I$61),0,IF(I$60=$C485,I$62,I484*(1+I548)+I611))),0)</f>
        <v>0</v>
      </c>
      <c r="J485" s="234">
        <f>IFERROR(IF(J$338&gt;$D$33,0,IF(OR(J$60&gt;$C485,$C485&gt;J$61),0,IF(J$60=$C485,J$62,J484*(1+J548)+J611))),0)</f>
        <v>0</v>
      </c>
      <c r="K485" s="234">
        <f>IFERROR(IF(K$338&gt;$D$33,0,IF(OR(K$60&gt;$C485,$C485&gt;K$61),0,IF(K$60=$C485,K$62,K484*(1+K548)+K611))),0)</f>
        <v>0</v>
      </c>
      <c r="L485" s="234">
        <f>IFERROR(IF(L$338&gt;$D$33,0,IF(OR(L$60&gt;$C485,$C485&gt;L$61),0,IF(L$60=$C485,L$62,L484*(1+L548)+L611))),0)</f>
        <v>0</v>
      </c>
      <c r="M485" s="234">
        <f>IFERROR(IF(M$338&gt;$D$33,0,IF(OR(M$60&gt;$C485,$C485&gt;M$61),0,IF(M$60=$C485,M$62,M484*(1+M548)+M611))),0)</f>
        <v>0</v>
      </c>
      <c r="N485" s="234">
        <f>IFERROR(IF(N$338&gt;$D$33,0,IF(OR(N$60&gt;$C485,$C485&gt;N$61),0,IF(N$60=$C485,N$62,N484*(1+N548)+N611))),0)</f>
        <v>0</v>
      </c>
      <c r="O485" s="234">
        <f>IFERROR(IF(O$338&gt;$D$33,0,IF(OR(O$60&gt;$C485,$C485&gt;O$61),0,IF(O$60=$C485,O$62,O484*(1+O548)+O611))),0)</f>
        <v>0</v>
      </c>
      <c r="P485" s="234">
        <f>IFERROR(IF(P$338&gt;$D$33,0,IF(OR(P$60&gt;$C485,$C485&gt;P$61),0,IF(P$60=$C485,P$62,P484*(1+P548)+P611))),0)</f>
        <v>0</v>
      </c>
      <c r="Q485" s="234">
        <f>IFERROR(IF(Q$338&gt;$D$33,0,IF(OR(Q$60&gt;$C485,$C485&gt;Q$61),0,IF(Q$60=$C485,Q$62,Q484*(1+Q548)+Q611))),0)</f>
        <v>0</v>
      </c>
      <c r="R485" s="234">
        <f>IFERROR(IF(R$338&gt;$D$33,0,IF(OR(R$60&gt;$C485,$C485&gt;R$61),0,IF(R$60=$C485,R$62,R484*(1+R548)+R611))),0)</f>
        <v>0</v>
      </c>
      <c r="S485" s="234">
        <f>IFERROR(IF(S$338&gt;$D$33,0,IF(OR(S$60&gt;$C485,$C485&gt;S$61),0,IF(S$60=$C485,S$62,S484*(1+S548)+S611))),0)</f>
        <v>0</v>
      </c>
      <c r="T485" s="234">
        <f>IFERROR(IF(T$338&gt;$D$33,0,IF(OR(T$60&gt;$C485,$C485&gt;T$61),0,IF(T$60=$C485,T$62,T484*(1+T548)+T611))),0)</f>
        <v>0</v>
      </c>
      <c r="U485" s="234">
        <f>IFERROR(IF(U$338&gt;$D$33,0,IF(OR(U$60&gt;$C485,$C485&gt;U$61),0,IF(U$60=$C485,U$62,U484*(1+U548)+U611))),0)</f>
        <v>0</v>
      </c>
      <c r="V485" s="234">
        <f>IFERROR(IF(V$338&gt;$D$33,0,IF(OR(V$60&gt;$C485,$C485&gt;V$61),0,IF(V$60=$C485,V$62,V484*(1+V548)+V611))),0)</f>
        <v>0</v>
      </c>
      <c r="W485" s="234">
        <f>IFERROR(IF(W$338&gt;$D$33,0,IF(OR(W$60&gt;$C485,$C485&gt;W$61),0,IF(W$60=$C485,W$62,W484*(1+W548)+W611))),0)</f>
        <v>0</v>
      </c>
      <c r="X485" s="234">
        <f>IFERROR(IF(X$338&gt;$D$33,0,IF(OR(X$60&gt;$C485,$C485&gt;X$61),0,IF(X$60=$C485,X$62,X484*(1+X548)+X611))),0)</f>
        <v>0</v>
      </c>
      <c r="Y485" s="234">
        <f>IFERROR(IF(Y$338&gt;$D$33,0,IF(OR(Y$60&gt;$C485,$C485&gt;Y$61),0,IF(Y$60=$C485,Y$62,Y484*(1+Y548)+Y611))),0)</f>
        <v>0</v>
      </c>
      <c r="Z485" s="234">
        <f>IFERROR(IF(Z$338&gt;$D$33,0,IF(OR(Z$60&gt;$C485,$C485&gt;Z$61),0,IF(Z$60=$C485,Z$62,Z484*(1+Z548)+Z611))),0)</f>
        <v>0</v>
      </c>
      <c r="AA485" s="234">
        <f>IFERROR(IF(AA$338&gt;$D$33,0,IF(OR(AA$60&gt;$C485,$C485&gt;AA$61),0,IF(AA$60=$C485,AA$62,AA484*(1+AA548)+AA611))),0)</f>
        <v>0</v>
      </c>
      <c r="AB485" s="234">
        <f>IFERROR(IF(AB$338&gt;$D$33,0,IF(OR(AB$60&gt;$C485,$C485&gt;AB$61),0,IF(AB$60=$C485,AB$62,AB484*(1+AB548)+AB611))),0)</f>
        <v>0</v>
      </c>
    </row>
    <row r="486" spans="1:28" ht="12" customHeight="1" x14ac:dyDescent="0.3">
      <c r="A486" s="8"/>
      <c r="C486" s="495">
        <f>C423</f>
        <v>425</v>
      </c>
      <c r="D486" s="233">
        <f>IFERROR(IF(D$338&gt;$D$33,0,IF(OR(D$60&gt;$C486,$C486&gt;D$61),0,IF(D$60=$C486,D$62,D485*(1+D549)+D612))),0)</f>
        <v>0</v>
      </c>
      <c r="E486" s="233">
        <f>IFERROR(IF(E$338&gt;$D$33,0,IF(OR(E$60&gt;$C486,$C486&gt;E$61),0,IF(E$60=$C486,E$62,E485*(1+E549)+E612))),0)</f>
        <v>0</v>
      </c>
      <c r="F486" s="233">
        <f>IFERROR(IF(F$338&gt;$D$33,0,IF(OR(F$60&gt;$C486,$C486&gt;F$61),0,IF(F$60=$C486,F$62,F485*(1+F549)+F612))),0)</f>
        <v>0</v>
      </c>
      <c r="G486" s="233">
        <f>IFERROR(IF(G$338&gt;$D$33,0,IF(OR(G$60&gt;$C486,$C486&gt;G$61),0,IF(G$60=$C486,G$62,G485*(1+G549)+G612))),0)</f>
        <v>0</v>
      </c>
      <c r="H486" s="233">
        <f>IFERROR(IF(H$338&gt;$D$33,0,IF(OR(H$60&gt;$C486,$C486&gt;H$61),0,IF(H$60=$C486,H$62,H485*(1+H549)+H612))),0)</f>
        <v>0</v>
      </c>
      <c r="I486" s="233">
        <f>IFERROR(IF(I$338&gt;$D$33,0,IF(OR(I$60&gt;$C486,$C486&gt;I$61),0,IF(I$60=$C486,I$62,I485*(1+I549)+I612))),0)</f>
        <v>0</v>
      </c>
      <c r="J486" s="233">
        <f>IFERROR(IF(J$338&gt;$D$33,0,IF(OR(J$60&gt;$C486,$C486&gt;J$61),0,IF(J$60=$C486,J$62,J485*(1+J549)+J612))),0)</f>
        <v>0</v>
      </c>
      <c r="K486" s="233">
        <f>IFERROR(IF(K$338&gt;$D$33,0,IF(OR(K$60&gt;$C486,$C486&gt;K$61),0,IF(K$60=$C486,K$62,K485*(1+K549)+K612))),0)</f>
        <v>0</v>
      </c>
      <c r="L486" s="233">
        <f>IFERROR(IF(L$338&gt;$D$33,0,IF(OR(L$60&gt;$C486,$C486&gt;L$61),0,IF(L$60=$C486,L$62,L485*(1+L549)+L612))),0)</f>
        <v>0</v>
      </c>
      <c r="M486" s="233">
        <f>IFERROR(IF(M$338&gt;$D$33,0,IF(OR(M$60&gt;$C486,$C486&gt;M$61),0,IF(M$60=$C486,M$62,M485*(1+M549)+M612))),0)</f>
        <v>0</v>
      </c>
      <c r="N486" s="233">
        <f>IFERROR(IF(N$338&gt;$D$33,0,IF(OR(N$60&gt;$C486,$C486&gt;N$61),0,IF(N$60=$C486,N$62,N485*(1+N549)+N612))),0)</f>
        <v>0</v>
      </c>
      <c r="O486" s="233">
        <f>IFERROR(IF(O$338&gt;$D$33,0,IF(OR(O$60&gt;$C486,$C486&gt;O$61),0,IF(O$60=$C486,O$62,O485*(1+O549)+O612))),0)</f>
        <v>0</v>
      </c>
      <c r="P486" s="233">
        <f>IFERROR(IF(P$338&gt;$D$33,0,IF(OR(P$60&gt;$C486,$C486&gt;P$61),0,IF(P$60=$C486,P$62,P485*(1+P549)+P612))),0)</f>
        <v>0</v>
      </c>
      <c r="Q486" s="233">
        <f>IFERROR(IF(Q$338&gt;$D$33,0,IF(OR(Q$60&gt;$C486,$C486&gt;Q$61),0,IF(Q$60=$C486,Q$62,Q485*(1+Q549)+Q612))),0)</f>
        <v>0</v>
      </c>
      <c r="R486" s="233">
        <f>IFERROR(IF(R$338&gt;$D$33,0,IF(OR(R$60&gt;$C486,$C486&gt;R$61),0,IF(R$60=$C486,R$62,R485*(1+R549)+R612))),0)</f>
        <v>0</v>
      </c>
      <c r="S486" s="233">
        <f>IFERROR(IF(S$338&gt;$D$33,0,IF(OR(S$60&gt;$C486,$C486&gt;S$61),0,IF(S$60=$C486,S$62,S485*(1+S549)+S612))),0)</f>
        <v>0</v>
      </c>
      <c r="T486" s="233">
        <f>IFERROR(IF(T$338&gt;$D$33,0,IF(OR(T$60&gt;$C486,$C486&gt;T$61),0,IF(T$60=$C486,T$62,T485*(1+T549)+T612))),0)</f>
        <v>0</v>
      </c>
      <c r="U486" s="233">
        <f>IFERROR(IF(U$338&gt;$D$33,0,IF(OR(U$60&gt;$C486,$C486&gt;U$61),0,IF(U$60=$C486,U$62,U485*(1+U549)+U612))),0)</f>
        <v>0</v>
      </c>
      <c r="V486" s="233">
        <f>IFERROR(IF(V$338&gt;$D$33,0,IF(OR(V$60&gt;$C486,$C486&gt;V$61),0,IF(V$60=$C486,V$62,V485*(1+V549)+V612))),0)</f>
        <v>0</v>
      </c>
      <c r="W486" s="233">
        <f>IFERROR(IF(W$338&gt;$D$33,0,IF(OR(W$60&gt;$C486,$C486&gt;W$61),0,IF(W$60=$C486,W$62,W485*(1+W549)+W612))),0)</f>
        <v>0</v>
      </c>
      <c r="X486" s="233">
        <f>IFERROR(IF(X$338&gt;$D$33,0,IF(OR(X$60&gt;$C486,$C486&gt;X$61),0,IF(X$60=$C486,X$62,X485*(1+X549)+X612))),0)</f>
        <v>0</v>
      </c>
      <c r="Y486" s="233">
        <f>IFERROR(IF(Y$338&gt;$D$33,0,IF(OR(Y$60&gt;$C486,$C486&gt;Y$61),0,IF(Y$60=$C486,Y$62,Y485*(1+Y549)+Y612))),0)</f>
        <v>0</v>
      </c>
      <c r="Z486" s="233">
        <f>IFERROR(IF(Z$338&gt;$D$33,0,IF(OR(Z$60&gt;$C486,$C486&gt;Z$61),0,IF(Z$60=$C486,Z$62,Z485*(1+Z549)+Z612))),0)</f>
        <v>0</v>
      </c>
      <c r="AA486" s="233">
        <f>IFERROR(IF(AA$338&gt;$D$33,0,IF(OR(AA$60&gt;$C486,$C486&gt;AA$61),0,IF(AA$60=$C486,AA$62,AA485*(1+AA549)+AA612))),0)</f>
        <v>0</v>
      </c>
      <c r="AB486" s="233">
        <f>IFERROR(IF(AB$338&gt;$D$33,0,IF(OR(AB$60&gt;$C486,$C486&gt;AB$61),0,IF(AB$60=$C486,AB$62,AB485*(1+AB549)+AB612))),0)</f>
        <v>0</v>
      </c>
    </row>
    <row r="487" spans="1:28" ht="12" customHeight="1" x14ac:dyDescent="0.3">
      <c r="A487" s="8"/>
      <c r="C487" s="495">
        <f>C424</f>
        <v>456</v>
      </c>
      <c r="D487" s="233">
        <f>IFERROR(IF(D$338&gt;$D$33,0,IF(OR(D$60&gt;$C487,$C487&gt;D$61),0,IF(D$60=$C487,D$62,D486*(1+D550)+D613))),0)</f>
        <v>0</v>
      </c>
      <c r="E487" s="233">
        <f>IFERROR(IF(E$338&gt;$D$33,0,IF(OR(E$60&gt;$C487,$C487&gt;E$61),0,IF(E$60=$C487,E$62,E486*(1+E550)+E613))),0)</f>
        <v>0</v>
      </c>
      <c r="F487" s="233">
        <f>IFERROR(IF(F$338&gt;$D$33,0,IF(OR(F$60&gt;$C487,$C487&gt;F$61),0,IF(F$60=$C487,F$62,F486*(1+F550)+F613))),0)</f>
        <v>0</v>
      </c>
      <c r="G487" s="233">
        <f>IFERROR(IF(G$338&gt;$D$33,0,IF(OR(G$60&gt;$C487,$C487&gt;G$61),0,IF(G$60=$C487,G$62,G486*(1+G550)+G613))),0)</f>
        <v>0</v>
      </c>
      <c r="H487" s="233">
        <f>IFERROR(IF(H$338&gt;$D$33,0,IF(OR(H$60&gt;$C487,$C487&gt;H$61),0,IF(H$60=$C487,H$62,H486*(1+H550)+H613))),0)</f>
        <v>0</v>
      </c>
      <c r="I487" s="233">
        <f>IFERROR(IF(I$338&gt;$D$33,0,IF(OR(I$60&gt;$C487,$C487&gt;I$61),0,IF(I$60=$C487,I$62,I486*(1+I550)+I613))),0)</f>
        <v>0</v>
      </c>
      <c r="J487" s="233">
        <f>IFERROR(IF(J$338&gt;$D$33,0,IF(OR(J$60&gt;$C487,$C487&gt;J$61),0,IF(J$60=$C487,J$62,J486*(1+J550)+J613))),0)</f>
        <v>0</v>
      </c>
      <c r="K487" s="233">
        <f>IFERROR(IF(K$338&gt;$D$33,0,IF(OR(K$60&gt;$C487,$C487&gt;K$61),0,IF(K$60=$C487,K$62,K486*(1+K550)+K613))),0)</f>
        <v>0</v>
      </c>
      <c r="L487" s="233">
        <f>IFERROR(IF(L$338&gt;$D$33,0,IF(OR(L$60&gt;$C487,$C487&gt;L$61),0,IF(L$60=$C487,L$62,L486*(1+L550)+L613))),0)</f>
        <v>0</v>
      </c>
      <c r="M487" s="233">
        <f>IFERROR(IF(M$338&gt;$D$33,0,IF(OR(M$60&gt;$C487,$C487&gt;M$61),0,IF(M$60=$C487,M$62,M486*(1+M550)+M613))),0)</f>
        <v>0</v>
      </c>
      <c r="N487" s="233">
        <f>IFERROR(IF(N$338&gt;$D$33,0,IF(OR(N$60&gt;$C487,$C487&gt;N$61),0,IF(N$60=$C487,N$62,N486*(1+N550)+N613))),0)</f>
        <v>0</v>
      </c>
      <c r="O487" s="233">
        <f>IFERROR(IF(O$338&gt;$D$33,0,IF(OR(O$60&gt;$C487,$C487&gt;O$61),0,IF(O$60=$C487,O$62,O486*(1+O550)+O613))),0)</f>
        <v>0</v>
      </c>
      <c r="P487" s="233">
        <f>IFERROR(IF(P$338&gt;$D$33,0,IF(OR(P$60&gt;$C487,$C487&gt;P$61),0,IF(P$60=$C487,P$62,P486*(1+P550)+P613))),0)</f>
        <v>0</v>
      </c>
      <c r="Q487" s="233">
        <f>IFERROR(IF(Q$338&gt;$D$33,0,IF(OR(Q$60&gt;$C487,$C487&gt;Q$61),0,IF(Q$60=$C487,Q$62,Q486*(1+Q550)+Q613))),0)</f>
        <v>0</v>
      </c>
      <c r="R487" s="233">
        <f>IFERROR(IF(R$338&gt;$D$33,0,IF(OR(R$60&gt;$C487,$C487&gt;R$61),0,IF(R$60=$C487,R$62,R486*(1+R550)+R613))),0)</f>
        <v>0</v>
      </c>
      <c r="S487" s="233">
        <f>IFERROR(IF(S$338&gt;$D$33,0,IF(OR(S$60&gt;$C487,$C487&gt;S$61),0,IF(S$60=$C487,S$62,S486*(1+S550)+S613))),0)</f>
        <v>0</v>
      </c>
      <c r="T487" s="233">
        <f>IFERROR(IF(T$338&gt;$D$33,0,IF(OR(T$60&gt;$C487,$C487&gt;T$61),0,IF(T$60=$C487,T$62,T486*(1+T550)+T613))),0)</f>
        <v>0</v>
      </c>
      <c r="U487" s="233">
        <f>IFERROR(IF(U$338&gt;$D$33,0,IF(OR(U$60&gt;$C487,$C487&gt;U$61),0,IF(U$60=$C487,U$62,U486*(1+U550)+U613))),0)</f>
        <v>0</v>
      </c>
      <c r="V487" s="233">
        <f>IFERROR(IF(V$338&gt;$D$33,0,IF(OR(V$60&gt;$C487,$C487&gt;V$61),0,IF(V$60=$C487,V$62,V486*(1+V550)+V613))),0)</f>
        <v>0</v>
      </c>
      <c r="W487" s="233">
        <f>IFERROR(IF(W$338&gt;$D$33,0,IF(OR(W$60&gt;$C487,$C487&gt;W$61),0,IF(W$60=$C487,W$62,W486*(1+W550)+W613))),0)</f>
        <v>0</v>
      </c>
      <c r="X487" s="233">
        <f>IFERROR(IF(X$338&gt;$D$33,0,IF(OR(X$60&gt;$C487,$C487&gt;X$61),0,IF(X$60=$C487,X$62,X486*(1+X550)+X613))),0)</f>
        <v>0</v>
      </c>
      <c r="Y487" s="233">
        <f>IFERROR(IF(Y$338&gt;$D$33,0,IF(OR(Y$60&gt;$C487,$C487&gt;Y$61),0,IF(Y$60=$C487,Y$62,Y486*(1+Y550)+Y613))),0)</f>
        <v>0</v>
      </c>
      <c r="Z487" s="233">
        <f>IFERROR(IF(Z$338&gt;$D$33,0,IF(OR(Z$60&gt;$C487,$C487&gt;Z$61),0,IF(Z$60=$C487,Z$62,Z486*(1+Z550)+Z613))),0)</f>
        <v>0</v>
      </c>
      <c r="AA487" s="233">
        <f>IFERROR(IF(AA$338&gt;$D$33,0,IF(OR(AA$60&gt;$C487,$C487&gt;AA$61),0,IF(AA$60=$C487,AA$62,AA486*(1+AA550)+AA613))),0)</f>
        <v>0</v>
      </c>
      <c r="AB487" s="233">
        <f>IFERROR(IF(AB$338&gt;$D$33,0,IF(OR(AB$60&gt;$C487,$C487&gt;AB$61),0,IF(AB$60=$C487,AB$62,AB486*(1+AB550)+AB613))),0)</f>
        <v>0</v>
      </c>
    </row>
    <row r="488" spans="1:28" ht="12" customHeight="1" x14ac:dyDescent="0.3">
      <c r="A488" s="8"/>
      <c r="C488" s="495">
        <f>C425</f>
        <v>486</v>
      </c>
      <c r="D488" s="233">
        <f>IFERROR(IF(D$338&gt;$D$33,0,IF(OR(D$60&gt;$C488,$C488&gt;D$61),0,IF(D$60=$C488,D$62,D487*(1+D551)+D614))),0)</f>
        <v>0</v>
      </c>
      <c r="E488" s="233">
        <f>IFERROR(IF(E$338&gt;$D$33,0,IF(OR(E$60&gt;$C488,$C488&gt;E$61),0,IF(E$60=$C488,E$62,E487*(1+E551)+E614))),0)</f>
        <v>0</v>
      </c>
      <c r="F488" s="233">
        <f>IFERROR(IF(F$338&gt;$D$33,0,IF(OR(F$60&gt;$C488,$C488&gt;F$61),0,IF(F$60=$C488,F$62,F487*(1+F551)+F614))),0)</f>
        <v>0</v>
      </c>
      <c r="G488" s="233">
        <f>IFERROR(IF(G$338&gt;$D$33,0,IF(OR(G$60&gt;$C488,$C488&gt;G$61),0,IF(G$60=$C488,G$62,G487*(1+G551)+G614))),0)</f>
        <v>0</v>
      </c>
      <c r="H488" s="233">
        <f>IFERROR(IF(H$338&gt;$D$33,0,IF(OR(H$60&gt;$C488,$C488&gt;H$61),0,IF(H$60=$C488,H$62,H487*(1+H551)+H614))),0)</f>
        <v>0</v>
      </c>
      <c r="I488" s="233">
        <f>IFERROR(IF(I$338&gt;$D$33,0,IF(OR(I$60&gt;$C488,$C488&gt;I$61),0,IF(I$60=$C488,I$62,I487*(1+I551)+I614))),0)</f>
        <v>0</v>
      </c>
      <c r="J488" s="233">
        <f>IFERROR(IF(J$338&gt;$D$33,0,IF(OR(J$60&gt;$C488,$C488&gt;J$61),0,IF(J$60=$C488,J$62,J487*(1+J551)+J614))),0)</f>
        <v>0</v>
      </c>
      <c r="K488" s="233">
        <f>IFERROR(IF(K$338&gt;$D$33,0,IF(OR(K$60&gt;$C488,$C488&gt;K$61),0,IF(K$60=$C488,K$62,K487*(1+K551)+K614))),0)</f>
        <v>0</v>
      </c>
      <c r="L488" s="233">
        <f>IFERROR(IF(L$338&gt;$D$33,0,IF(OR(L$60&gt;$C488,$C488&gt;L$61),0,IF(L$60=$C488,L$62,L487*(1+L551)+L614))),0)</f>
        <v>0</v>
      </c>
      <c r="M488" s="233">
        <f>IFERROR(IF(M$338&gt;$D$33,0,IF(OR(M$60&gt;$C488,$C488&gt;M$61),0,IF(M$60=$C488,M$62,M487*(1+M551)+M614))),0)</f>
        <v>0</v>
      </c>
      <c r="N488" s="233">
        <f>IFERROR(IF(N$338&gt;$D$33,0,IF(OR(N$60&gt;$C488,$C488&gt;N$61),0,IF(N$60=$C488,N$62,N487*(1+N551)+N614))),0)</f>
        <v>0</v>
      </c>
      <c r="O488" s="233">
        <f>IFERROR(IF(O$338&gt;$D$33,0,IF(OR(O$60&gt;$C488,$C488&gt;O$61),0,IF(O$60=$C488,O$62,O487*(1+O551)+O614))),0)</f>
        <v>0</v>
      </c>
      <c r="P488" s="233">
        <f>IFERROR(IF(P$338&gt;$D$33,0,IF(OR(P$60&gt;$C488,$C488&gt;P$61),0,IF(P$60=$C488,P$62,P487*(1+P551)+P614))),0)</f>
        <v>0</v>
      </c>
      <c r="Q488" s="233">
        <f>IFERROR(IF(Q$338&gt;$D$33,0,IF(OR(Q$60&gt;$C488,$C488&gt;Q$61),0,IF(Q$60=$C488,Q$62,Q487*(1+Q551)+Q614))),0)</f>
        <v>0</v>
      </c>
      <c r="R488" s="233">
        <f>IFERROR(IF(R$338&gt;$D$33,0,IF(OR(R$60&gt;$C488,$C488&gt;R$61),0,IF(R$60=$C488,R$62,R487*(1+R551)+R614))),0)</f>
        <v>0</v>
      </c>
      <c r="S488" s="233">
        <f>IFERROR(IF(S$338&gt;$D$33,0,IF(OR(S$60&gt;$C488,$C488&gt;S$61),0,IF(S$60=$C488,S$62,S487*(1+S551)+S614))),0)</f>
        <v>0</v>
      </c>
      <c r="T488" s="233">
        <f>IFERROR(IF(T$338&gt;$D$33,0,IF(OR(T$60&gt;$C488,$C488&gt;T$61),0,IF(T$60=$C488,T$62,T487*(1+T551)+T614))),0)</f>
        <v>0</v>
      </c>
      <c r="U488" s="233">
        <f>IFERROR(IF(U$338&gt;$D$33,0,IF(OR(U$60&gt;$C488,$C488&gt;U$61),0,IF(U$60=$C488,U$62,U487*(1+U551)+U614))),0)</f>
        <v>0</v>
      </c>
      <c r="V488" s="233">
        <f>IFERROR(IF(V$338&gt;$D$33,0,IF(OR(V$60&gt;$C488,$C488&gt;V$61),0,IF(V$60=$C488,V$62,V487*(1+V551)+V614))),0)</f>
        <v>0</v>
      </c>
      <c r="W488" s="233">
        <f>IFERROR(IF(W$338&gt;$D$33,0,IF(OR(W$60&gt;$C488,$C488&gt;W$61),0,IF(W$60=$C488,W$62,W487*(1+W551)+W614))),0)</f>
        <v>0</v>
      </c>
      <c r="X488" s="233">
        <f>IFERROR(IF(X$338&gt;$D$33,0,IF(OR(X$60&gt;$C488,$C488&gt;X$61),0,IF(X$60=$C488,X$62,X487*(1+X551)+X614))),0)</f>
        <v>0</v>
      </c>
      <c r="Y488" s="233">
        <f>IFERROR(IF(Y$338&gt;$D$33,0,IF(OR(Y$60&gt;$C488,$C488&gt;Y$61),0,IF(Y$60=$C488,Y$62,Y487*(1+Y551)+Y614))),0)</f>
        <v>0</v>
      </c>
      <c r="Z488" s="233">
        <f>IFERROR(IF(Z$338&gt;$D$33,0,IF(OR(Z$60&gt;$C488,$C488&gt;Z$61),0,IF(Z$60=$C488,Z$62,Z487*(1+Z551)+Z614))),0)</f>
        <v>0</v>
      </c>
      <c r="AA488" s="233">
        <f>IFERROR(IF(AA$338&gt;$D$33,0,IF(OR(AA$60&gt;$C488,$C488&gt;AA$61),0,IF(AA$60=$C488,AA$62,AA487*(1+AA551)+AA614))),0)</f>
        <v>0</v>
      </c>
      <c r="AB488" s="233">
        <f>IFERROR(IF(AB$338&gt;$D$33,0,IF(OR(AB$60&gt;$C488,$C488&gt;AB$61),0,IF(AB$60=$C488,AB$62,AB487*(1+AB551)+AB614))),0)</f>
        <v>0</v>
      </c>
    </row>
    <row r="489" spans="1:28" ht="12" customHeight="1" x14ac:dyDescent="0.3">
      <c r="A489" s="8"/>
      <c r="C489" s="495">
        <f>C426</f>
        <v>517</v>
      </c>
      <c r="D489" s="233">
        <f>IFERROR(IF(D$338&gt;$D$33,0,IF(OR(D$60&gt;$C489,$C489&gt;D$61),0,IF(D$60=$C489,D$62,D488*(1+D552)+D615))),0)</f>
        <v>0</v>
      </c>
      <c r="E489" s="233">
        <f>IFERROR(IF(E$338&gt;$D$33,0,IF(OR(E$60&gt;$C489,$C489&gt;E$61),0,IF(E$60=$C489,E$62,E488*(1+E552)+E615))),0)</f>
        <v>0</v>
      </c>
      <c r="F489" s="233">
        <f>IFERROR(IF(F$338&gt;$D$33,0,IF(OR(F$60&gt;$C489,$C489&gt;F$61),0,IF(F$60=$C489,F$62,F488*(1+F552)+F615))),0)</f>
        <v>0</v>
      </c>
      <c r="G489" s="233">
        <f>IFERROR(IF(G$338&gt;$D$33,0,IF(OR(G$60&gt;$C489,$C489&gt;G$61),0,IF(G$60=$C489,G$62,G488*(1+G552)+G615))),0)</f>
        <v>0</v>
      </c>
      <c r="H489" s="233">
        <f>IFERROR(IF(H$338&gt;$D$33,0,IF(OR(H$60&gt;$C489,$C489&gt;H$61),0,IF(H$60=$C489,H$62,H488*(1+H552)+H615))),0)</f>
        <v>0</v>
      </c>
      <c r="I489" s="233">
        <f>IFERROR(IF(I$338&gt;$D$33,0,IF(OR(I$60&gt;$C489,$C489&gt;I$61),0,IF(I$60=$C489,I$62,I488*(1+I552)+I615))),0)</f>
        <v>0</v>
      </c>
      <c r="J489" s="233">
        <f>IFERROR(IF(J$338&gt;$D$33,0,IF(OR(J$60&gt;$C489,$C489&gt;J$61),0,IF(J$60=$C489,J$62,J488*(1+J552)+J615))),0)</f>
        <v>0</v>
      </c>
      <c r="K489" s="233">
        <f>IFERROR(IF(K$338&gt;$D$33,0,IF(OR(K$60&gt;$C489,$C489&gt;K$61),0,IF(K$60=$C489,K$62,K488*(1+K552)+K615))),0)</f>
        <v>0</v>
      </c>
      <c r="L489" s="233">
        <f>IFERROR(IF(L$338&gt;$D$33,0,IF(OR(L$60&gt;$C489,$C489&gt;L$61),0,IF(L$60=$C489,L$62,L488*(1+L552)+L615))),0)</f>
        <v>0</v>
      </c>
      <c r="M489" s="233">
        <f>IFERROR(IF(M$338&gt;$D$33,0,IF(OR(M$60&gt;$C489,$C489&gt;M$61),0,IF(M$60=$C489,M$62,M488*(1+M552)+M615))),0)</f>
        <v>0</v>
      </c>
      <c r="N489" s="233">
        <f>IFERROR(IF(N$338&gt;$D$33,0,IF(OR(N$60&gt;$C489,$C489&gt;N$61),0,IF(N$60=$C489,N$62,N488*(1+N552)+N615))),0)</f>
        <v>0</v>
      </c>
      <c r="O489" s="233">
        <f>IFERROR(IF(O$338&gt;$D$33,0,IF(OR(O$60&gt;$C489,$C489&gt;O$61),0,IF(O$60=$C489,O$62,O488*(1+O552)+O615))),0)</f>
        <v>0</v>
      </c>
      <c r="P489" s="233">
        <f>IFERROR(IF(P$338&gt;$D$33,0,IF(OR(P$60&gt;$C489,$C489&gt;P$61),0,IF(P$60=$C489,P$62,P488*(1+P552)+P615))),0)</f>
        <v>0</v>
      </c>
      <c r="Q489" s="233">
        <f>IFERROR(IF(Q$338&gt;$D$33,0,IF(OR(Q$60&gt;$C489,$C489&gt;Q$61),0,IF(Q$60=$C489,Q$62,Q488*(1+Q552)+Q615))),0)</f>
        <v>0</v>
      </c>
      <c r="R489" s="233">
        <f>IFERROR(IF(R$338&gt;$D$33,0,IF(OR(R$60&gt;$C489,$C489&gt;R$61),0,IF(R$60=$C489,R$62,R488*(1+R552)+R615))),0)</f>
        <v>0</v>
      </c>
      <c r="S489" s="233">
        <f>IFERROR(IF(S$338&gt;$D$33,0,IF(OR(S$60&gt;$C489,$C489&gt;S$61),0,IF(S$60=$C489,S$62,S488*(1+S552)+S615))),0)</f>
        <v>0</v>
      </c>
      <c r="T489" s="233">
        <f>IFERROR(IF(T$338&gt;$D$33,0,IF(OR(T$60&gt;$C489,$C489&gt;T$61),0,IF(T$60=$C489,T$62,T488*(1+T552)+T615))),0)</f>
        <v>0</v>
      </c>
      <c r="U489" s="233">
        <f>IFERROR(IF(U$338&gt;$D$33,0,IF(OR(U$60&gt;$C489,$C489&gt;U$61),0,IF(U$60=$C489,U$62,U488*(1+U552)+U615))),0)</f>
        <v>0</v>
      </c>
      <c r="V489" s="233">
        <f>IFERROR(IF(V$338&gt;$D$33,0,IF(OR(V$60&gt;$C489,$C489&gt;V$61),0,IF(V$60=$C489,V$62,V488*(1+V552)+V615))),0)</f>
        <v>0</v>
      </c>
      <c r="W489" s="233">
        <f>IFERROR(IF(W$338&gt;$D$33,0,IF(OR(W$60&gt;$C489,$C489&gt;W$61),0,IF(W$60=$C489,W$62,W488*(1+W552)+W615))),0)</f>
        <v>0</v>
      </c>
      <c r="X489" s="233">
        <f>IFERROR(IF(X$338&gt;$D$33,0,IF(OR(X$60&gt;$C489,$C489&gt;X$61),0,IF(X$60=$C489,X$62,X488*(1+X552)+X615))),0)</f>
        <v>0</v>
      </c>
      <c r="Y489" s="233">
        <f>IFERROR(IF(Y$338&gt;$D$33,0,IF(OR(Y$60&gt;$C489,$C489&gt;Y$61),0,IF(Y$60=$C489,Y$62,Y488*(1+Y552)+Y615))),0)</f>
        <v>0</v>
      </c>
      <c r="Z489" s="233">
        <f>IFERROR(IF(Z$338&gt;$D$33,0,IF(OR(Z$60&gt;$C489,$C489&gt;Z$61),0,IF(Z$60=$C489,Z$62,Z488*(1+Z552)+Z615))),0)</f>
        <v>0</v>
      </c>
      <c r="AA489" s="233">
        <f>IFERROR(IF(AA$338&gt;$D$33,0,IF(OR(AA$60&gt;$C489,$C489&gt;AA$61),0,IF(AA$60=$C489,AA$62,AA488*(1+AA552)+AA615))),0)</f>
        <v>0</v>
      </c>
      <c r="AB489" s="233">
        <f>IFERROR(IF(AB$338&gt;$D$33,0,IF(OR(AB$60&gt;$C489,$C489&gt;AB$61),0,IF(AB$60=$C489,AB$62,AB488*(1+AB552)+AB615))),0)</f>
        <v>0</v>
      </c>
    </row>
    <row r="490" spans="1:28" ht="12" customHeight="1" x14ac:dyDescent="0.3">
      <c r="A490" s="8"/>
      <c r="C490" s="495">
        <f>C427</f>
        <v>547</v>
      </c>
      <c r="D490" s="233">
        <f>IFERROR(IF(D$338&gt;$D$33,0,IF(OR(D$60&gt;$C490,$C490&gt;D$61),0,IF(D$60=$C490,D$62,D489*(1+D553)+D616))),0)</f>
        <v>0</v>
      </c>
      <c r="E490" s="233">
        <f>IFERROR(IF(E$338&gt;$D$33,0,IF(OR(E$60&gt;$C490,$C490&gt;E$61),0,IF(E$60=$C490,E$62,E489*(1+E553)+E616))),0)</f>
        <v>0</v>
      </c>
      <c r="F490" s="233">
        <f>IFERROR(IF(F$338&gt;$D$33,0,IF(OR(F$60&gt;$C490,$C490&gt;F$61),0,IF(F$60=$C490,F$62,F489*(1+F553)+F616))),0)</f>
        <v>0</v>
      </c>
      <c r="G490" s="233">
        <f>IFERROR(IF(G$338&gt;$D$33,0,IF(OR(G$60&gt;$C490,$C490&gt;G$61),0,IF(G$60=$C490,G$62,G489*(1+G553)+G616))),0)</f>
        <v>0</v>
      </c>
      <c r="H490" s="233">
        <f>IFERROR(IF(H$338&gt;$D$33,0,IF(OR(H$60&gt;$C490,$C490&gt;H$61),0,IF(H$60=$C490,H$62,H489*(1+H553)+H616))),0)</f>
        <v>0</v>
      </c>
      <c r="I490" s="233">
        <f>IFERROR(IF(I$338&gt;$D$33,0,IF(OR(I$60&gt;$C490,$C490&gt;I$61),0,IF(I$60=$C490,I$62,I489*(1+I553)+I616))),0)</f>
        <v>0</v>
      </c>
      <c r="J490" s="233">
        <f>IFERROR(IF(J$338&gt;$D$33,0,IF(OR(J$60&gt;$C490,$C490&gt;J$61),0,IF(J$60=$C490,J$62,J489*(1+J553)+J616))),0)</f>
        <v>0</v>
      </c>
      <c r="K490" s="233">
        <f>IFERROR(IF(K$338&gt;$D$33,0,IF(OR(K$60&gt;$C490,$C490&gt;K$61),0,IF(K$60=$C490,K$62,K489*(1+K553)+K616))),0)</f>
        <v>0</v>
      </c>
      <c r="L490" s="233">
        <f>IFERROR(IF(L$338&gt;$D$33,0,IF(OR(L$60&gt;$C490,$C490&gt;L$61),0,IF(L$60=$C490,L$62,L489*(1+L553)+L616))),0)</f>
        <v>0</v>
      </c>
      <c r="M490" s="233">
        <f>IFERROR(IF(M$338&gt;$D$33,0,IF(OR(M$60&gt;$C490,$C490&gt;M$61),0,IF(M$60=$C490,M$62,M489*(1+M553)+M616))),0)</f>
        <v>0</v>
      </c>
      <c r="N490" s="233">
        <f>IFERROR(IF(N$338&gt;$D$33,0,IF(OR(N$60&gt;$C490,$C490&gt;N$61),0,IF(N$60=$C490,N$62,N489*(1+N553)+N616))),0)</f>
        <v>0</v>
      </c>
      <c r="O490" s="233">
        <f>IFERROR(IF(O$338&gt;$D$33,0,IF(OR(O$60&gt;$C490,$C490&gt;O$61),0,IF(O$60=$C490,O$62,O489*(1+O553)+O616))),0)</f>
        <v>0</v>
      </c>
      <c r="P490" s="233">
        <f>IFERROR(IF(P$338&gt;$D$33,0,IF(OR(P$60&gt;$C490,$C490&gt;P$61),0,IF(P$60=$C490,P$62,P489*(1+P553)+P616))),0)</f>
        <v>0</v>
      </c>
      <c r="Q490" s="233">
        <f>IFERROR(IF(Q$338&gt;$D$33,0,IF(OR(Q$60&gt;$C490,$C490&gt;Q$61),0,IF(Q$60=$C490,Q$62,Q489*(1+Q553)+Q616))),0)</f>
        <v>0</v>
      </c>
      <c r="R490" s="233">
        <f>IFERROR(IF(R$338&gt;$D$33,0,IF(OR(R$60&gt;$C490,$C490&gt;R$61),0,IF(R$60=$C490,R$62,R489*(1+R553)+R616))),0)</f>
        <v>0</v>
      </c>
      <c r="S490" s="233">
        <f>IFERROR(IF(S$338&gt;$D$33,0,IF(OR(S$60&gt;$C490,$C490&gt;S$61),0,IF(S$60=$C490,S$62,S489*(1+S553)+S616))),0)</f>
        <v>0</v>
      </c>
      <c r="T490" s="233">
        <f>IFERROR(IF(T$338&gt;$D$33,0,IF(OR(T$60&gt;$C490,$C490&gt;T$61),0,IF(T$60=$C490,T$62,T489*(1+T553)+T616))),0)</f>
        <v>0</v>
      </c>
      <c r="U490" s="233">
        <f>IFERROR(IF(U$338&gt;$D$33,0,IF(OR(U$60&gt;$C490,$C490&gt;U$61),0,IF(U$60=$C490,U$62,U489*(1+U553)+U616))),0)</f>
        <v>0</v>
      </c>
      <c r="V490" s="233">
        <f>IFERROR(IF(V$338&gt;$D$33,0,IF(OR(V$60&gt;$C490,$C490&gt;V$61),0,IF(V$60=$C490,V$62,V489*(1+V553)+V616))),0)</f>
        <v>0</v>
      </c>
      <c r="W490" s="233">
        <f>IFERROR(IF(W$338&gt;$D$33,0,IF(OR(W$60&gt;$C490,$C490&gt;W$61),0,IF(W$60=$C490,W$62,W489*(1+W553)+W616))),0)</f>
        <v>0</v>
      </c>
      <c r="X490" s="233">
        <f>IFERROR(IF(X$338&gt;$D$33,0,IF(OR(X$60&gt;$C490,$C490&gt;X$61),0,IF(X$60=$C490,X$62,X489*(1+X553)+X616))),0)</f>
        <v>0</v>
      </c>
      <c r="Y490" s="233">
        <f>IFERROR(IF(Y$338&gt;$D$33,0,IF(OR(Y$60&gt;$C490,$C490&gt;Y$61),0,IF(Y$60=$C490,Y$62,Y489*(1+Y553)+Y616))),0)</f>
        <v>0</v>
      </c>
      <c r="Z490" s="233">
        <f>IFERROR(IF(Z$338&gt;$D$33,0,IF(OR(Z$60&gt;$C490,$C490&gt;Z$61),0,IF(Z$60=$C490,Z$62,Z489*(1+Z553)+Z616))),0)</f>
        <v>0</v>
      </c>
      <c r="AA490" s="233">
        <f>IFERROR(IF(AA$338&gt;$D$33,0,IF(OR(AA$60&gt;$C490,$C490&gt;AA$61),0,IF(AA$60=$C490,AA$62,AA489*(1+AA553)+AA616))),0)</f>
        <v>0</v>
      </c>
      <c r="AB490" s="233">
        <f>IFERROR(IF(AB$338&gt;$D$33,0,IF(OR(AB$60&gt;$C490,$C490&gt;AB$61),0,IF(AB$60=$C490,AB$62,AB489*(1+AB553)+AB616))),0)</f>
        <v>0</v>
      </c>
    </row>
    <row r="491" spans="1:28" ht="12" customHeight="1" x14ac:dyDescent="0.3">
      <c r="A491" s="8"/>
      <c r="C491" s="495">
        <f>C428</f>
        <v>578</v>
      </c>
      <c r="D491" s="233">
        <f>IFERROR(IF(D$338&gt;$D$33,0,IF(OR(D$60&gt;$C491,$C491&gt;D$61),0,IF(D$60=$C491,D$62,D490*(1+D554)+D617))),0)</f>
        <v>0</v>
      </c>
      <c r="E491" s="233">
        <f>IFERROR(IF(E$338&gt;$D$33,0,IF(OR(E$60&gt;$C491,$C491&gt;E$61),0,IF(E$60=$C491,E$62,E490*(1+E554)+E617))),0)</f>
        <v>0</v>
      </c>
      <c r="F491" s="233">
        <f>IFERROR(IF(F$338&gt;$D$33,0,IF(OR(F$60&gt;$C491,$C491&gt;F$61),0,IF(F$60=$C491,F$62,F490*(1+F554)+F617))),0)</f>
        <v>0</v>
      </c>
      <c r="G491" s="233">
        <f>IFERROR(IF(G$338&gt;$D$33,0,IF(OR(G$60&gt;$C491,$C491&gt;G$61),0,IF(G$60=$C491,G$62,G490*(1+G554)+G617))),0)</f>
        <v>0</v>
      </c>
      <c r="H491" s="233">
        <f>IFERROR(IF(H$338&gt;$D$33,0,IF(OR(H$60&gt;$C491,$C491&gt;H$61),0,IF(H$60=$C491,H$62,H490*(1+H554)+H617))),0)</f>
        <v>0</v>
      </c>
      <c r="I491" s="233">
        <f>IFERROR(IF(I$338&gt;$D$33,0,IF(OR(I$60&gt;$C491,$C491&gt;I$61),0,IF(I$60=$C491,I$62,I490*(1+I554)+I617))),0)</f>
        <v>0</v>
      </c>
      <c r="J491" s="233">
        <f>IFERROR(IF(J$338&gt;$D$33,0,IF(OR(J$60&gt;$C491,$C491&gt;J$61),0,IF(J$60=$C491,J$62,J490*(1+J554)+J617))),0)</f>
        <v>0</v>
      </c>
      <c r="K491" s="233">
        <f>IFERROR(IF(K$338&gt;$D$33,0,IF(OR(K$60&gt;$C491,$C491&gt;K$61),0,IF(K$60=$C491,K$62,K490*(1+K554)+K617))),0)</f>
        <v>0</v>
      </c>
      <c r="L491" s="233">
        <f>IFERROR(IF(L$338&gt;$D$33,0,IF(OR(L$60&gt;$C491,$C491&gt;L$61),0,IF(L$60=$C491,L$62,L490*(1+L554)+L617))),0)</f>
        <v>0</v>
      </c>
      <c r="M491" s="233">
        <f>IFERROR(IF(M$338&gt;$D$33,0,IF(OR(M$60&gt;$C491,$C491&gt;M$61),0,IF(M$60=$C491,M$62,M490*(1+M554)+M617))),0)</f>
        <v>0</v>
      </c>
      <c r="N491" s="233">
        <f>IFERROR(IF(N$338&gt;$D$33,0,IF(OR(N$60&gt;$C491,$C491&gt;N$61),0,IF(N$60=$C491,N$62,N490*(1+N554)+N617))),0)</f>
        <v>0</v>
      </c>
      <c r="O491" s="233">
        <f>IFERROR(IF(O$338&gt;$D$33,0,IF(OR(O$60&gt;$C491,$C491&gt;O$61),0,IF(O$60=$C491,O$62,O490*(1+O554)+O617))),0)</f>
        <v>0</v>
      </c>
      <c r="P491" s="233">
        <f>IFERROR(IF(P$338&gt;$D$33,0,IF(OR(P$60&gt;$C491,$C491&gt;P$61),0,IF(P$60=$C491,P$62,P490*(1+P554)+P617))),0)</f>
        <v>0</v>
      </c>
      <c r="Q491" s="233">
        <f>IFERROR(IF(Q$338&gt;$D$33,0,IF(OR(Q$60&gt;$C491,$C491&gt;Q$61),0,IF(Q$60=$C491,Q$62,Q490*(1+Q554)+Q617))),0)</f>
        <v>0</v>
      </c>
      <c r="R491" s="233">
        <f>IFERROR(IF(R$338&gt;$D$33,0,IF(OR(R$60&gt;$C491,$C491&gt;R$61),0,IF(R$60=$C491,R$62,R490*(1+R554)+R617))),0)</f>
        <v>0</v>
      </c>
      <c r="S491" s="233">
        <f>IFERROR(IF(S$338&gt;$D$33,0,IF(OR(S$60&gt;$C491,$C491&gt;S$61),0,IF(S$60=$C491,S$62,S490*(1+S554)+S617))),0)</f>
        <v>0</v>
      </c>
      <c r="T491" s="233">
        <f>IFERROR(IF(T$338&gt;$D$33,0,IF(OR(T$60&gt;$C491,$C491&gt;T$61),0,IF(T$60=$C491,T$62,T490*(1+T554)+T617))),0)</f>
        <v>0</v>
      </c>
      <c r="U491" s="233">
        <f>IFERROR(IF(U$338&gt;$D$33,0,IF(OR(U$60&gt;$C491,$C491&gt;U$61),0,IF(U$60=$C491,U$62,U490*(1+U554)+U617))),0)</f>
        <v>0</v>
      </c>
      <c r="V491" s="233">
        <f>IFERROR(IF(V$338&gt;$D$33,0,IF(OR(V$60&gt;$C491,$C491&gt;V$61),0,IF(V$60=$C491,V$62,V490*(1+V554)+V617))),0)</f>
        <v>0</v>
      </c>
      <c r="W491" s="233">
        <f>IFERROR(IF(W$338&gt;$D$33,0,IF(OR(W$60&gt;$C491,$C491&gt;W$61),0,IF(W$60=$C491,W$62,W490*(1+W554)+W617))),0)</f>
        <v>0</v>
      </c>
      <c r="X491" s="233">
        <f>IFERROR(IF(X$338&gt;$D$33,0,IF(OR(X$60&gt;$C491,$C491&gt;X$61),0,IF(X$60=$C491,X$62,X490*(1+X554)+X617))),0)</f>
        <v>0</v>
      </c>
      <c r="Y491" s="233">
        <f>IFERROR(IF(Y$338&gt;$D$33,0,IF(OR(Y$60&gt;$C491,$C491&gt;Y$61),0,IF(Y$60=$C491,Y$62,Y490*(1+Y554)+Y617))),0)</f>
        <v>0</v>
      </c>
      <c r="Z491" s="233">
        <f>IFERROR(IF(Z$338&gt;$D$33,0,IF(OR(Z$60&gt;$C491,$C491&gt;Z$61),0,IF(Z$60=$C491,Z$62,Z490*(1+Z554)+Z617))),0)</f>
        <v>0</v>
      </c>
      <c r="AA491" s="233">
        <f>IFERROR(IF(AA$338&gt;$D$33,0,IF(OR(AA$60&gt;$C491,$C491&gt;AA$61),0,IF(AA$60=$C491,AA$62,AA490*(1+AA554)+AA617))),0)</f>
        <v>0</v>
      </c>
      <c r="AB491" s="233">
        <f>IFERROR(IF(AB$338&gt;$D$33,0,IF(OR(AB$60&gt;$C491,$C491&gt;AB$61),0,IF(AB$60=$C491,AB$62,AB490*(1+AB554)+AB617))),0)</f>
        <v>0</v>
      </c>
    </row>
    <row r="492" spans="1:28" ht="12" customHeight="1" x14ac:dyDescent="0.3">
      <c r="A492" s="8"/>
      <c r="C492" s="495">
        <f>C429</f>
        <v>609</v>
      </c>
      <c r="D492" s="233">
        <f>IFERROR(IF(D$338&gt;$D$33,0,IF(OR(D$60&gt;$C492,$C492&gt;D$61),0,IF(D$60=$C492,D$62,D491*(1+D555)+D618))),0)</f>
        <v>0</v>
      </c>
      <c r="E492" s="233">
        <f>IFERROR(IF(E$338&gt;$D$33,0,IF(OR(E$60&gt;$C492,$C492&gt;E$61),0,IF(E$60=$C492,E$62,E491*(1+E555)+E618))),0)</f>
        <v>0</v>
      </c>
      <c r="F492" s="233">
        <f>IFERROR(IF(F$338&gt;$D$33,0,IF(OR(F$60&gt;$C492,$C492&gt;F$61),0,IF(F$60=$C492,F$62,F491*(1+F555)+F618))),0)</f>
        <v>0</v>
      </c>
      <c r="G492" s="233">
        <f>IFERROR(IF(G$338&gt;$D$33,0,IF(OR(G$60&gt;$C492,$C492&gt;G$61),0,IF(G$60=$C492,G$62,G491*(1+G555)+G618))),0)</f>
        <v>0</v>
      </c>
      <c r="H492" s="233">
        <f>IFERROR(IF(H$338&gt;$D$33,0,IF(OR(H$60&gt;$C492,$C492&gt;H$61),0,IF(H$60=$C492,H$62,H491*(1+H555)+H618))),0)</f>
        <v>0</v>
      </c>
      <c r="I492" s="233">
        <f>IFERROR(IF(I$338&gt;$D$33,0,IF(OR(I$60&gt;$C492,$C492&gt;I$61),0,IF(I$60=$C492,I$62,I491*(1+I555)+I618))),0)</f>
        <v>0</v>
      </c>
      <c r="J492" s="233">
        <f>IFERROR(IF(J$338&gt;$D$33,0,IF(OR(J$60&gt;$C492,$C492&gt;J$61),0,IF(J$60=$C492,J$62,J491*(1+J555)+J618))),0)</f>
        <v>0</v>
      </c>
      <c r="K492" s="233">
        <f>IFERROR(IF(K$338&gt;$D$33,0,IF(OR(K$60&gt;$C492,$C492&gt;K$61),0,IF(K$60=$C492,K$62,K491*(1+K555)+K618))),0)</f>
        <v>0</v>
      </c>
      <c r="L492" s="233">
        <f>IFERROR(IF(L$338&gt;$D$33,0,IF(OR(L$60&gt;$C492,$C492&gt;L$61),0,IF(L$60=$C492,L$62,L491*(1+L555)+L618))),0)</f>
        <v>0</v>
      </c>
      <c r="M492" s="233">
        <f>IFERROR(IF(M$338&gt;$D$33,0,IF(OR(M$60&gt;$C492,$C492&gt;M$61),0,IF(M$60=$C492,M$62,M491*(1+M555)+M618))),0)</f>
        <v>0</v>
      </c>
      <c r="N492" s="233">
        <f>IFERROR(IF(N$338&gt;$D$33,0,IF(OR(N$60&gt;$C492,$C492&gt;N$61),0,IF(N$60=$C492,N$62,N491*(1+N555)+N618))),0)</f>
        <v>0</v>
      </c>
      <c r="O492" s="233">
        <f>IFERROR(IF(O$338&gt;$D$33,0,IF(OR(O$60&gt;$C492,$C492&gt;O$61),0,IF(O$60=$C492,O$62,O491*(1+O555)+O618))),0)</f>
        <v>0</v>
      </c>
      <c r="P492" s="233">
        <f>IFERROR(IF(P$338&gt;$D$33,0,IF(OR(P$60&gt;$C492,$C492&gt;P$61),0,IF(P$60=$C492,P$62,P491*(1+P555)+P618))),0)</f>
        <v>0</v>
      </c>
      <c r="Q492" s="233">
        <f>IFERROR(IF(Q$338&gt;$D$33,0,IF(OR(Q$60&gt;$C492,$C492&gt;Q$61),0,IF(Q$60=$C492,Q$62,Q491*(1+Q555)+Q618))),0)</f>
        <v>0</v>
      </c>
      <c r="R492" s="233">
        <f>IFERROR(IF(R$338&gt;$D$33,0,IF(OR(R$60&gt;$C492,$C492&gt;R$61),0,IF(R$60=$C492,R$62,R491*(1+R555)+R618))),0)</f>
        <v>0</v>
      </c>
      <c r="S492" s="233">
        <f>IFERROR(IF(S$338&gt;$D$33,0,IF(OR(S$60&gt;$C492,$C492&gt;S$61),0,IF(S$60=$C492,S$62,S491*(1+S555)+S618))),0)</f>
        <v>0</v>
      </c>
      <c r="T492" s="233">
        <f>IFERROR(IF(T$338&gt;$D$33,0,IF(OR(T$60&gt;$C492,$C492&gt;T$61),0,IF(T$60=$C492,T$62,T491*(1+T555)+T618))),0)</f>
        <v>0</v>
      </c>
      <c r="U492" s="233">
        <f>IFERROR(IF(U$338&gt;$D$33,0,IF(OR(U$60&gt;$C492,$C492&gt;U$61),0,IF(U$60=$C492,U$62,U491*(1+U555)+U618))),0)</f>
        <v>0</v>
      </c>
      <c r="V492" s="233">
        <f>IFERROR(IF(V$338&gt;$D$33,0,IF(OR(V$60&gt;$C492,$C492&gt;V$61),0,IF(V$60=$C492,V$62,V491*(1+V555)+V618))),0)</f>
        <v>0</v>
      </c>
      <c r="W492" s="233">
        <f>IFERROR(IF(W$338&gt;$D$33,0,IF(OR(W$60&gt;$C492,$C492&gt;W$61),0,IF(W$60=$C492,W$62,W491*(1+W555)+W618))),0)</f>
        <v>0</v>
      </c>
      <c r="X492" s="233">
        <f>IFERROR(IF(X$338&gt;$D$33,0,IF(OR(X$60&gt;$C492,$C492&gt;X$61),0,IF(X$60=$C492,X$62,X491*(1+X555)+X618))),0)</f>
        <v>0</v>
      </c>
      <c r="Y492" s="233">
        <f>IFERROR(IF(Y$338&gt;$D$33,0,IF(OR(Y$60&gt;$C492,$C492&gt;Y$61),0,IF(Y$60=$C492,Y$62,Y491*(1+Y555)+Y618))),0)</f>
        <v>0</v>
      </c>
      <c r="Z492" s="233">
        <f>IFERROR(IF(Z$338&gt;$D$33,0,IF(OR(Z$60&gt;$C492,$C492&gt;Z$61),0,IF(Z$60=$C492,Z$62,Z491*(1+Z555)+Z618))),0)</f>
        <v>0</v>
      </c>
      <c r="AA492" s="233">
        <f>IFERROR(IF(AA$338&gt;$D$33,0,IF(OR(AA$60&gt;$C492,$C492&gt;AA$61),0,IF(AA$60=$C492,AA$62,AA491*(1+AA555)+AA618))),0)</f>
        <v>0</v>
      </c>
      <c r="AB492" s="233">
        <f>IFERROR(IF(AB$338&gt;$D$33,0,IF(OR(AB$60&gt;$C492,$C492&gt;AB$61),0,IF(AB$60=$C492,AB$62,AB491*(1+AB555)+AB618))),0)</f>
        <v>0</v>
      </c>
    </row>
    <row r="493" spans="1:28" ht="12" customHeight="1" x14ac:dyDescent="0.3">
      <c r="A493" s="8"/>
      <c r="C493" s="495">
        <f>C430</f>
        <v>639</v>
      </c>
      <c r="D493" s="233">
        <f>IFERROR(IF(D$338&gt;$D$33,0,IF(OR(D$60&gt;$C493,$C493&gt;D$61),0,IF(D$60=$C493,D$62,D492*(1+D556)+D619))),0)</f>
        <v>0</v>
      </c>
      <c r="E493" s="233">
        <f>IFERROR(IF(E$338&gt;$D$33,0,IF(OR(E$60&gt;$C493,$C493&gt;E$61),0,IF(E$60=$C493,E$62,E492*(1+E556)+E619))),0)</f>
        <v>0</v>
      </c>
      <c r="F493" s="233">
        <f>IFERROR(IF(F$338&gt;$D$33,0,IF(OR(F$60&gt;$C493,$C493&gt;F$61),0,IF(F$60=$C493,F$62,F492*(1+F556)+F619))),0)</f>
        <v>0</v>
      </c>
      <c r="G493" s="233">
        <f>IFERROR(IF(G$338&gt;$D$33,0,IF(OR(G$60&gt;$C493,$C493&gt;G$61),0,IF(G$60=$C493,G$62,G492*(1+G556)+G619))),0)</f>
        <v>0</v>
      </c>
      <c r="H493" s="233">
        <f>IFERROR(IF(H$338&gt;$D$33,0,IF(OR(H$60&gt;$C493,$C493&gt;H$61),0,IF(H$60=$C493,H$62,H492*(1+H556)+H619))),0)</f>
        <v>0</v>
      </c>
      <c r="I493" s="233">
        <f>IFERROR(IF(I$338&gt;$D$33,0,IF(OR(I$60&gt;$C493,$C493&gt;I$61),0,IF(I$60=$C493,I$62,I492*(1+I556)+I619))),0)</f>
        <v>0</v>
      </c>
      <c r="J493" s="233">
        <f>IFERROR(IF(J$338&gt;$D$33,0,IF(OR(J$60&gt;$C493,$C493&gt;J$61),0,IF(J$60=$C493,J$62,J492*(1+J556)+J619))),0)</f>
        <v>0</v>
      </c>
      <c r="K493" s="233">
        <f>IFERROR(IF(K$338&gt;$D$33,0,IF(OR(K$60&gt;$C493,$C493&gt;K$61),0,IF(K$60=$C493,K$62,K492*(1+K556)+K619))),0)</f>
        <v>0</v>
      </c>
      <c r="L493" s="233">
        <f>IFERROR(IF(L$338&gt;$D$33,0,IF(OR(L$60&gt;$C493,$C493&gt;L$61),0,IF(L$60=$C493,L$62,L492*(1+L556)+L619))),0)</f>
        <v>0</v>
      </c>
      <c r="M493" s="233">
        <f>IFERROR(IF(M$338&gt;$D$33,0,IF(OR(M$60&gt;$C493,$C493&gt;M$61),0,IF(M$60=$C493,M$62,M492*(1+M556)+M619))),0)</f>
        <v>0</v>
      </c>
      <c r="N493" s="233">
        <f>IFERROR(IF(N$338&gt;$D$33,0,IF(OR(N$60&gt;$C493,$C493&gt;N$61),0,IF(N$60=$C493,N$62,N492*(1+N556)+N619))),0)</f>
        <v>0</v>
      </c>
      <c r="O493" s="233">
        <f>IFERROR(IF(O$338&gt;$D$33,0,IF(OR(O$60&gt;$C493,$C493&gt;O$61),0,IF(O$60=$C493,O$62,O492*(1+O556)+O619))),0)</f>
        <v>0</v>
      </c>
      <c r="P493" s="233">
        <f>IFERROR(IF(P$338&gt;$D$33,0,IF(OR(P$60&gt;$C493,$C493&gt;P$61),0,IF(P$60=$C493,P$62,P492*(1+P556)+P619))),0)</f>
        <v>0</v>
      </c>
      <c r="Q493" s="233">
        <f>IFERROR(IF(Q$338&gt;$D$33,0,IF(OR(Q$60&gt;$C493,$C493&gt;Q$61),0,IF(Q$60=$C493,Q$62,Q492*(1+Q556)+Q619))),0)</f>
        <v>0</v>
      </c>
      <c r="R493" s="233">
        <f>IFERROR(IF(R$338&gt;$D$33,0,IF(OR(R$60&gt;$C493,$C493&gt;R$61),0,IF(R$60=$C493,R$62,R492*(1+R556)+R619))),0)</f>
        <v>0</v>
      </c>
      <c r="S493" s="233">
        <f>IFERROR(IF(S$338&gt;$D$33,0,IF(OR(S$60&gt;$C493,$C493&gt;S$61),0,IF(S$60=$C493,S$62,S492*(1+S556)+S619))),0)</f>
        <v>0</v>
      </c>
      <c r="T493" s="233">
        <f>IFERROR(IF(T$338&gt;$D$33,0,IF(OR(T$60&gt;$C493,$C493&gt;T$61),0,IF(T$60=$C493,T$62,T492*(1+T556)+T619))),0)</f>
        <v>0</v>
      </c>
      <c r="U493" s="233">
        <f>IFERROR(IF(U$338&gt;$D$33,0,IF(OR(U$60&gt;$C493,$C493&gt;U$61),0,IF(U$60=$C493,U$62,U492*(1+U556)+U619))),0)</f>
        <v>0</v>
      </c>
      <c r="V493" s="233">
        <f>IFERROR(IF(V$338&gt;$D$33,0,IF(OR(V$60&gt;$C493,$C493&gt;V$61),0,IF(V$60=$C493,V$62,V492*(1+V556)+V619))),0)</f>
        <v>0</v>
      </c>
      <c r="W493" s="233">
        <f>IFERROR(IF(W$338&gt;$D$33,0,IF(OR(W$60&gt;$C493,$C493&gt;W$61),0,IF(W$60=$C493,W$62,W492*(1+W556)+W619))),0)</f>
        <v>0</v>
      </c>
      <c r="X493" s="233">
        <f>IFERROR(IF(X$338&gt;$D$33,0,IF(OR(X$60&gt;$C493,$C493&gt;X$61),0,IF(X$60=$C493,X$62,X492*(1+X556)+X619))),0)</f>
        <v>0</v>
      </c>
      <c r="Y493" s="233">
        <f>IFERROR(IF(Y$338&gt;$D$33,0,IF(OR(Y$60&gt;$C493,$C493&gt;Y$61),0,IF(Y$60=$C493,Y$62,Y492*(1+Y556)+Y619))),0)</f>
        <v>0</v>
      </c>
      <c r="Z493" s="233">
        <f>IFERROR(IF(Z$338&gt;$D$33,0,IF(OR(Z$60&gt;$C493,$C493&gt;Z$61),0,IF(Z$60=$C493,Z$62,Z492*(1+Z556)+Z619))),0)</f>
        <v>0</v>
      </c>
      <c r="AA493" s="233">
        <f>IFERROR(IF(AA$338&gt;$D$33,0,IF(OR(AA$60&gt;$C493,$C493&gt;AA$61),0,IF(AA$60=$C493,AA$62,AA492*(1+AA556)+AA619))),0)</f>
        <v>0</v>
      </c>
      <c r="AB493" s="233">
        <f>IFERROR(IF(AB$338&gt;$D$33,0,IF(OR(AB$60&gt;$C493,$C493&gt;AB$61),0,IF(AB$60=$C493,AB$62,AB492*(1+AB556)+AB619))),0)</f>
        <v>0</v>
      </c>
    </row>
    <row r="494" spans="1:28" ht="12" customHeight="1" x14ac:dyDescent="0.3">
      <c r="A494" s="8"/>
      <c r="C494" s="495">
        <f>C431</f>
        <v>670</v>
      </c>
      <c r="D494" s="233">
        <f>IFERROR(IF(D$338&gt;$D$33,0,IF(OR(D$60&gt;$C494,$C494&gt;D$61),0,IF(D$60=$C494,D$62,D493*(1+D557)+D620))),0)</f>
        <v>0</v>
      </c>
      <c r="E494" s="233">
        <f>IFERROR(IF(E$338&gt;$D$33,0,IF(OR(E$60&gt;$C494,$C494&gt;E$61),0,IF(E$60=$C494,E$62,E493*(1+E557)+E620))),0)</f>
        <v>0</v>
      </c>
      <c r="F494" s="233">
        <f>IFERROR(IF(F$338&gt;$D$33,0,IF(OR(F$60&gt;$C494,$C494&gt;F$61),0,IF(F$60=$C494,F$62,F493*(1+F557)+F620))),0)</f>
        <v>0</v>
      </c>
      <c r="G494" s="233">
        <f>IFERROR(IF(G$338&gt;$D$33,0,IF(OR(G$60&gt;$C494,$C494&gt;G$61),0,IF(G$60=$C494,G$62,G493*(1+G557)+G620))),0)</f>
        <v>0</v>
      </c>
      <c r="H494" s="233">
        <f>IFERROR(IF(H$338&gt;$D$33,0,IF(OR(H$60&gt;$C494,$C494&gt;H$61),0,IF(H$60=$C494,H$62,H493*(1+H557)+H620))),0)</f>
        <v>0</v>
      </c>
      <c r="I494" s="233">
        <f>IFERROR(IF(I$338&gt;$D$33,0,IF(OR(I$60&gt;$C494,$C494&gt;I$61),0,IF(I$60=$C494,I$62,I493*(1+I557)+I620))),0)</f>
        <v>0</v>
      </c>
      <c r="J494" s="233">
        <f>IFERROR(IF(J$338&gt;$D$33,0,IF(OR(J$60&gt;$C494,$C494&gt;J$61),0,IF(J$60=$C494,J$62,J493*(1+J557)+J620))),0)</f>
        <v>0</v>
      </c>
      <c r="K494" s="233">
        <f>IFERROR(IF(K$338&gt;$D$33,0,IF(OR(K$60&gt;$C494,$C494&gt;K$61),0,IF(K$60=$C494,K$62,K493*(1+K557)+K620))),0)</f>
        <v>0</v>
      </c>
      <c r="L494" s="233">
        <f>IFERROR(IF(L$338&gt;$D$33,0,IF(OR(L$60&gt;$C494,$C494&gt;L$61),0,IF(L$60=$C494,L$62,L493*(1+L557)+L620))),0)</f>
        <v>0</v>
      </c>
      <c r="M494" s="233">
        <f>IFERROR(IF(M$338&gt;$D$33,0,IF(OR(M$60&gt;$C494,$C494&gt;M$61),0,IF(M$60=$C494,M$62,M493*(1+M557)+M620))),0)</f>
        <v>0</v>
      </c>
      <c r="N494" s="233">
        <f>IFERROR(IF(N$338&gt;$D$33,0,IF(OR(N$60&gt;$C494,$C494&gt;N$61),0,IF(N$60=$C494,N$62,N493*(1+N557)+N620))),0)</f>
        <v>0</v>
      </c>
      <c r="O494" s="233">
        <f>IFERROR(IF(O$338&gt;$D$33,0,IF(OR(O$60&gt;$C494,$C494&gt;O$61),0,IF(O$60=$C494,O$62,O493*(1+O557)+O620))),0)</f>
        <v>0</v>
      </c>
      <c r="P494" s="233">
        <f>IFERROR(IF(P$338&gt;$D$33,0,IF(OR(P$60&gt;$C494,$C494&gt;P$61),0,IF(P$60=$C494,P$62,P493*(1+P557)+P620))),0)</f>
        <v>0</v>
      </c>
      <c r="Q494" s="233">
        <f>IFERROR(IF(Q$338&gt;$D$33,0,IF(OR(Q$60&gt;$C494,$C494&gt;Q$61),0,IF(Q$60=$C494,Q$62,Q493*(1+Q557)+Q620))),0)</f>
        <v>0</v>
      </c>
      <c r="R494" s="233">
        <f>IFERROR(IF(R$338&gt;$D$33,0,IF(OR(R$60&gt;$C494,$C494&gt;R$61),0,IF(R$60=$C494,R$62,R493*(1+R557)+R620))),0)</f>
        <v>0</v>
      </c>
      <c r="S494" s="233">
        <f>IFERROR(IF(S$338&gt;$D$33,0,IF(OR(S$60&gt;$C494,$C494&gt;S$61),0,IF(S$60=$C494,S$62,S493*(1+S557)+S620))),0)</f>
        <v>0</v>
      </c>
      <c r="T494" s="233">
        <f>IFERROR(IF(T$338&gt;$D$33,0,IF(OR(T$60&gt;$C494,$C494&gt;T$61),0,IF(T$60=$C494,T$62,T493*(1+T557)+T620))),0)</f>
        <v>0</v>
      </c>
      <c r="U494" s="233">
        <f>IFERROR(IF(U$338&gt;$D$33,0,IF(OR(U$60&gt;$C494,$C494&gt;U$61),0,IF(U$60=$C494,U$62,U493*(1+U557)+U620))),0)</f>
        <v>0</v>
      </c>
      <c r="V494" s="233">
        <f>IFERROR(IF(V$338&gt;$D$33,0,IF(OR(V$60&gt;$C494,$C494&gt;V$61),0,IF(V$60=$C494,V$62,V493*(1+V557)+V620))),0)</f>
        <v>0</v>
      </c>
      <c r="W494" s="233">
        <f>IFERROR(IF(W$338&gt;$D$33,0,IF(OR(W$60&gt;$C494,$C494&gt;W$61),0,IF(W$60=$C494,W$62,W493*(1+W557)+W620))),0)</f>
        <v>0</v>
      </c>
      <c r="X494" s="233">
        <f>IFERROR(IF(X$338&gt;$D$33,0,IF(OR(X$60&gt;$C494,$C494&gt;X$61),0,IF(X$60=$C494,X$62,X493*(1+X557)+X620))),0)</f>
        <v>0</v>
      </c>
      <c r="Y494" s="233">
        <f>IFERROR(IF(Y$338&gt;$D$33,0,IF(OR(Y$60&gt;$C494,$C494&gt;Y$61),0,IF(Y$60=$C494,Y$62,Y493*(1+Y557)+Y620))),0)</f>
        <v>0</v>
      </c>
      <c r="Z494" s="233">
        <f>IFERROR(IF(Z$338&gt;$D$33,0,IF(OR(Z$60&gt;$C494,$C494&gt;Z$61),0,IF(Z$60=$C494,Z$62,Z493*(1+Z557)+Z620))),0)</f>
        <v>0</v>
      </c>
      <c r="AA494" s="233">
        <f>IFERROR(IF(AA$338&gt;$D$33,0,IF(OR(AA$60&gt;$C494,$C494&gt;AA$61),0,IF(AA$60=$C494,AA$62,AA493*(1+AA557)+AA620))),0)</f>
        <v>0</v>
      </c>
      <c r="AB494" s="233">
        <f>IFERROR(IF(AB$338&gt;$D$33,0,IF(OR(AB$60&gt;$C494,$C494&gt;AB$61),0,IF(AB$60=$C494,AB$62,AB493*(1+AB557)+AB620))),0)</f>
        <v>0</v>
      </c>
    </row>
    <row r="495" spans="1:28" ht="12" customHeight="1" x14ac:dyDescent="0.3">
      <c r="A495" s="8"/>
      <c r="C495" s="495">
        <f>C432</f>
        <v>700</v>
      </c>
      <c r="D495" s="233">
        <f>IFERROR(IF(D$338&gt;$D$33,0,IF(OR(D$60&gt;$C495,$C495&gt;D$61),0,IF(D$60=$C495,D$62,D494*(1+D558)+D621))),0)</f>
        <v>0</v>
      </c>
      <c r="E495" s="233">
        <f>IFERROR(IF(E$338&gt;$D$33,0,IF(OR(E$60&gt;$C495,$C495&gt;E$61),0,IF(E$60=$C495,E$62,E494*(1+E558)+E621))),0)</f>
        <v>0</v>
      </c>
      <c r="F495" s="233">
        <f>IFERROR(IF(F$338&gt;$D$33,0,IF(OR(F$60&gt;$C495,$C495&gt;F$61),0,IF(F$60=$C495,F$62,F494*(1+F558)+F621))),0)</f>
        <v>0</v>
      </c>
      <c r="G495" s="233">
        <f>IFERROR(IF(G$338&gt;$D$33,0,IF(OR(G$60&gt;$C495,$C495&gt;G$61),0,IF(G$60=$C495,G$62,G494*(1+G558)+G621))),0)</f>
        <v>0</v>
      </c>
      <c r="H495" s="233">
        <f>IFERROR(IF(H$338&gt;$D$33,0,IF(OR(H$60&gt;$C495,$C495&gt;H$61),0,IF(H$60=$C495,H$62,H494*(1+H558)+H621))),0)</f>
        <v>0</v>
      </c>
      <c r="I495" s="233">
        <f>IFERROR(IF(I$338&gt;$D$33,0,IF(OR(I$60&gt;$C495,$C495&gt;I$61),0,IF(I$60=$C495,I$62,I494*(1+I558)+I621))),0)</f>
        <v>0</v>
      </c>
      <c r="J495" s="233">
        <f>IFERROR(IF(J$338&gt;$D$33,0,IF(OR(J$60&gt;$C495,$C495&gt;J$61),0,IF(J$60=$C495,J$62,J494*(1+J558)+J621))),0)</f>
        <v>0</v>
      </c>
      <c r="K495" s="233">
        <f>IFERROR(IF(K$338&gt;$D$33,0,IF(OR(K$60&gt;$C495,$C495&gt;K$61),0,IF(K$60=$C495,K$62,K494*(1+K558)+K621))),0)</f>
        <v>0</v>
      </c>
      <c r="L495" s="233">
        <f>IFERROR(IF(L$338&gt;$D$33,0,IF(OR(L$60&gt;$C495,$C495&gt;L$61),0,IF(L$60=$C495,L$62,L494*(1+L558)+L621))),0)</f>
        <v>0</v>
      </c>
      <c r="M495" s="233">
        <f>IFERROR(IF(M$338&gt;$D$33,0,IF(OR(M$60&gt;$C495,$C495&gt;M$61),0,IF(M$60=$C495,M$62,M494*(1+M558)+M621))),0)</f>
        <v>0</v>
      </c>
      <c r="N495" s="233">
        <f>IFERROR(IF(N$338&gt;$D$33,0,IF(OR(N$60&gt;$C495,$C495&gt;N$61),0,IF(N$60=$C495,N$62,N494*(1+N558)+N621))),0)</f>
        <v>0</v>
      </c>
      <c r="O495" s="233">
        <f>IFERROR(IF(O$338&gt;$D$33,0,IF(OR(O$60&gt;$C495,$C495&gt;O$61),0,IF(O$60=$C495,O$62,O494*(1+O558)+O621))),0)</f>
        <v>0</v>
      </c>
      <c r="P495" s="233">
        <f>IFERROR(IF(P$338&gt;$D$33,0,IF(OR(P$60&gt;$C495,$C495&gt;P$61),0,IF(P$60=$C495,P$62,P494*(1+P558)+P621))),0)</f>
        <v>0</v>
      </c>
      <c r="Q495" s="233">
        <f>IFERROR(IF(Q$338&gt;$D$33,0,IF(OR(Q$60&gt;$C495,$C495&gt;Q$61),0,IF(Q$60=$C495,Q$62,Q494*(1+Q558)+Q621))),0)</f>
        <v>0</v>
      </c>
      <c r="R495" s="233">
        <f>IFERROR(IF(R$338&gt;$D$33,0,IF(OR(R$60&gt;$C495,$C495&gt;R$61),0,IF(R$60=$C495,R$62,R494*(1+R558)+R621))),0)</f>
        <v>0</v>
      </c>
      <c r="S495" s="233">
        <f>IFERROR(IF(S$338&gt;$D$33,0,IF(OR(S$60&gt;$C495,$C495&gt;S$61),0,IF(S$60=$C495,S$62,S494*(1+S558)+S621))),0)</f>
        <v>0</v>
      </c>
      <c r="T495" s="233">
        <f>IFERROR(IF(T$338&gt;$D$33,0,IF(OR(T$60&gt;$C495,$C495&gt;T$61),0,IF(T$60=$C495,T$62,T494*(1+T558)+T621))),0)</f>
        <v>0</v>
      </c>
      <c r="U495" s="233">
        <f>IFERROR(IF(U$338&gt;$D$33,0,IF(OR(U$60&gt;$C495,$C495&gt;U$61),0,IF(U$60=$C495,U$62,U494*(1+U558)+U621))),0)</f>
        <v>0</v>
      </c>
      <c r="V495" s="233">
        <f>IFERROR(IF(V$338&gt;$D$33,0,IF(OR(V$60&gt;$C495,$C495&gt;V$61),0,IF(V$60=$C495,V$62,V494*(1+V558)+V621))),0)</f>
        <v>0</v>
      </c>
      <c r="W495" s="233">
        <f>IFERROR(IF(W$338&gt;$D$33,0,IF(OR(W$60&gt;$C495,$C495&gt;W$61),0,IF(W$60=$C495,W$62,W494*(1+W558)+W621))),0)</f>
        <v>0</v>
      </c>
      <c r="X495" s="233">
        <f>IFERROR(IF(X$338&gt;$D$33,0,IF(OR(X$60&gt;$C495,$C495&gt;X$61),0,IF(X$60=$C495,X$62,X494*(1+X558)+X621))),0)</f>
        <v>0</v>
      </c>
      <c r="Y495" s="233">
        <f>IFERROR(IF(Y$338&gt;$D$33,0,IF(OR(Y$60&gt;$C495,$C495&gt;Y$61),0,IF(Y$60=$C495,Y$62,Y494*(1+Y558)+Y621))),0)</f>
        <v>0</v>
      </c>
      <c r="Z495" s="233">
        <f>IFERROR(IF(Z$338&gt;$D$33,0,IF(OR(Z$60&gt;$C495,$C495&gt;Z$61),0,IF(Z$60=$C495,Z$62,Z494*(1+Z558)+Z621))),0)</f>
        <v>0</v>
      </c>
      <c r="AA495" s="233">
        <f>IFERROR(IF(AA$338&gt;$D$33,0,IF(OR(AA$60&gt;$C495,$C495&gt;AA$61),0,IF(AA$60=$C495,AA$62,AA494*(1+AA558)+AA621))),0)</f>
        <v>0</v>
      </c>
      <c r="AB495" s="233">
        <f>IFERROR(IF(AB$338&gt;$D$33,0,IF(OR(AB$60&gt;$C495,$C495&gt;AB$61),0,IF(AB$60=$C495,AB$62,AB494*(1+AB558)+AB621))),0)</f>
        <v>0</v>
      </c>
    </row>
    <row r="496" spans="1:28" ht="12" customHeight="1" thickBot="1" x14ac:dyDescent="0.35">
      <c r="A496" s="8"/>
      <c r="C496" s="496">
        <f>C433</f>
        <v>731</v>
      </c>
      <c r="D496" s="235">
        <f>IFERROR(IF(D$338&gt;$D$33,0,IF(OR(D$60&gt;$C496,$C496&gt;D$61),0,IF(D$60=$C496,D$62,D495*(1+D559)+D622))),0)</f>
        <v>0</v>
      </c>
      <c r="E496" s="235">
        <f>IFERROR(IF(E$338&gt;$D$33,0,IF(OR(E$60&gt;$C496,$C496&gt;E$61),0,IF(E$60=$C496,E$62,E495*(1+E559)+E622))),0)</f>
        <v>0</v>
      </c>
      <c r="F496" s="235">
        <f>IFERROR(IF(F$338&gt;$D$33,0,IF(OR(F$60&gt;$C496,$C496&gt;F$61),0,IF(F$60=$C496,F$62,F495*(1+F559)+F622))),0)</f>
        <v>0</v>
      </c>
      <c r="G496" s="235">
        <f>IFERROR(IF(G$338&gt;$D$33,0,IF(OR(G$60&gt;$C496,$C496&gt;G$61),0,IF(G$60=$C496,G$62,G495*(1+G559)+G622))),0)</f>
        <v>0</v>
      </c>
      <c r="H496" s="235">
        <f>IFERROR(IF(H$338&gt;$D$33,0,IF(OR(H$60&gt;$C496,$C496&gt;H$61),0,IF(H$60=$C496,H$62,H495*(1+H559)+H622))),0)</f>
        <v>0</v>
      </c>
      <c r="I496" s="235">
        <f>IFERROR(IF(I$338&gt;$D$33,0,IF(OR(I$60&gt;$C496,$C496&gt;I$61),0,IF(I$60=$C496,I$62,I495*(1+I559)+I622))),0)</f>
        <v>0</v>
      </c>
      <c r="J496" s="235">
        <f>IFERROR(IF(J$338&gt;$D$33,0,IF(OR(J$60&gt;$C496,$C496&gt;J$61),0,IF(J$60=$C496,J$62,J495*(1+J559)+J622))),0)</f>
        <v>0</v>
      </c>
      <c r="K496" s="235">
        <f>IFERROR(IF(K$338&gt;$D$33,0,IF(OR(K$60&gt;$C496,$C496&gt;K$61),0,IF(K$60=$C496,K$62,K495*(1+K559)+K622))),0)</f>
        <v>0</v>
      </c>
      <c r="L496" s="235">
        <f>IFERROR(IF(L$338&gt;$D$33,0,IF(OR(L$60&gt;$C496,$C496&gt;L$61),0,IF(L$60=$C496,L$62,L495*(1+L559)+L622))),0)</f>
        <v>0</v>
      </c>
      <c r="M496" s="235">
        <f>IFERROR(IF(M$338&gt;$D$33,0,IF(OR(M$60&gt;$C496,$C496&gt;M$61),0,IF(M$60=$C496,M$62,M495*(1+M559)+M622))),0)</f>
        <v>0</v>
      </c>
      <c r="N496" s="235">
        <f>IFERROR(IF(N$338&gt;$D$33,0,IF(OR(N$60&gt;$C496,$C496&gt;N$61),0,IF(N$60=$C496,N$62,N495*(1+N559)+N622))),0)</f>
        <v>0</v>
      </c>
      <c r="O496" s="235">
        <f>IFERROR(IF(O$338&gt;$D$33,0,IF(OR(O$60&gt;$C496,$C496&gt;O$61),0,IF(O$60=$C496,O$62,O495*(1+O559)+O622))),0)</f>
        <v>0</v>
      </c>
      <c r="P496" s="235">
        <f>IFERROR(IF(P$338&gt;$D$33,0,IF(OR(P$60&gt;$C496,$C496&gt;P$61),0,IF(P$60=$C496,P$62,P495*(1+P559)+P622))),0)</f>
        <v>0</v>
      </c>
      <c r="Q496" s="235">
        <f>IFERROR(IF(Q$338&gt;$D$33,0,IF(OR(Q$60&gt;$C496,$C496&gt;Q$61),0,IF(Q$60=$C496,Q$62,Q495*(1+Q559)+Q622))),0)</f>
        <v>0</v>
      </c>
      <c r="R496" s="235">
        <f>IFERROR(IF(R$338&gt;$D$33,0,IF(OR(R$60&gt;$C496,$C496&gt;R$61),0,IF(R$60=$C496,R$62,R495*(1+R559)+R622))),0)</f>
        <v>0</v>
      </c>
      <c r="S496" s="235">
        <f>IFERROR(IF(S$338&gt;$D$33,0,IF(OR(S$60&gt;$C496,$C496&gt;S$61),0,IF(S$60=$C496,S$62,S495*(1+S559)+S622))),0)</f>
        <v>0</v>
      </c>
      <c r="T496" s="235">
        <f>IFERROR(IF(T$338&gt;$D$33,0,IF(OR(T$60&gt;$C496,$C496&gt;T$61),0,IF(T$60=$C496,T$62,T495*(1+T559)+T622))),0)</f>
        <v>0</v>
      </c>
      <c r="U496" s="235">
        <f>IFERROR(IF(U$338&gt;$D$33,0,IF(OR(U$60&gt;$C496,$C496&gt;U$61),0,IF(U$60=$C496,U$62,U495*(1+U559)+U622))),0)</f>
        <v>0</v>
      </c>
      <c r="V496" s="235">
        <f>IFERROR(IF(V$338&gt;$D$33,0,IF(OR(V$60&gt;$C496,$C496&gt;V$61),0,IF(V$60=$C496,V$62,V495*(1+V559)+V622))),0)</f>
        <v>0</v>
      </c>
      <c r="W496" s="235">
        <f>IFERROR(IF(W$338&gt;$D$33,0,IF(OR(W$60&gt;$C496,$C496&gt;W$61),0,IF(W$60=$C496,W$62,W495*(1+W559)+W622))),0)</f>
        <v>0</v>
      </c>
      <c r="X496" s="235">
        <f>IFERROR(IF(X$338&gt;$D$33,0,IF(OR(X$60&gt;$C496,$C496&gt;X$61),0,IF(X$60=$C496,X$62,X495*(1+X559)+X622))),0)</f>
        <v>0</v>
      </c>
      <c r="Y496" s="235">
        <f>IFERROR(IF(Y$338&gt;$D$33,0,IF(OR(Y$60&gt;$C496,$C496&gt;Y$61),0,IF(Y$60=$C496,Y$62,Y495*(1+Y559)+Y622))),0)</f>
        <v>0</v>
      </c>
      <c r="Z496" s="235">
        <f>IFERROR(IF(Z$338&gt;$D$33,0,IF(OR(Z$60&gt;$C496,$C496&gt;Z$61),0,IF(Z$60=$C496,Z$62,Z495*(1+Z559)+Z622))),0)</f>
        <v>0</v>
      </c>
      <c r="AA496" s="235">
        <f>IFERROR(IF(AA$338&gt;$D$33,0,IF(OR(AA$60&gt;$C496,$C496&gt;AA$61),0,IF(AA$60=$C496,AA$62,AA495*(1+AA559)+AA622))),0)</f>
        <v>0</v>
      </c>
      <c r="AB496" s="235">
        <f>IFERROR(IF(AB$338&gt;$D$33,0,IF(OR(AB$60&gt;$C496,$C496&gt;AB$61),0,IF(AB$60=$C496,AB$62,AB495*(1+AB559)+AB622))),0)</f>
        <v>0</v>
      </c>
    </row>
    <row r="497" spans="1:28" ht="12" customHeight="1" x14ac:dyDescent="0.3">
      <c r="A497" s="8"/>
      <c r="C497" s="495">
        <f>C434</f>
        <v>762</v>
      </c>
      <c r="D497" s="234">
        <f>IFERROR(IF(D$338&gt;$D$33,0,IF(OR(D$60&gt;$C497,$C497&gt;D$61),0,IF(D$60=$C497,D$62,D496*(1+D560)+D623))),0)</f>
        <v>0</v>
      </c>
      <c r="E497" s="234">
        <f>IFERROR(IF(E$338&gt;$D$33,0,IF(OR(E$60&gt;$C497,$C497&gt;E$61),0,IF(E$60=$C497,E$62,E496*(1+E560)+E623))),0)</f>
        <v>0</v>
      </c>
      <c r="F497" s="234">
        <f>IFERROR(IF(F$338&gt;$D$33,0,IF(OR(F$60&gt;$C497,$C497&gt;F$61),0,IF(F$60=$C497,F$62,F496*(1+F560)+F623))),0)</f>
        <v>0</v>
      </c>
      <c r="G497" s="234">
        <f>IFERROR(IF(G$338&gt;$D$33,0,IF(OR(G$60&gt;$C497,$C497&gt;G$61),0,IF(G$60=$C497,G$62,G496*(1+G560)+G623))),0)</f>
        <v>0</v>
      </c>
      <c r="H497" s="234">
        <f>IFERROR(IF(H$338&gt;$D$33,0,IF(OR(H$60&gt;$C497,$C497&gt;H$61),0,IF(H$60=$C497,H$62,H496*(1+H560)+H623))),0)</f>
        <v>0</v>
      </c>
      <c r="I497" s="234">
        <f>IFERROR(IF(I$338&gt;$D$33,0,IF(OR(I$60&gt;$C497,$C497&gt;I$61),0,IF(I$60=$C497,I$62,I496*(1+I560)+I623))),0)</f>
        <v>0</v>
      </c>
      <c r="J497" s="234">
        <f>IFERROR(IF(J$338&gt;$D$33,0,IF(OR(J$60&gt;$C497,$C497&gt;J$61),0,IF(J$60=$C497,J$62,J496*(1+J560)+J623))),0)</f>
        <v>0</v>
      </c>
      <c r="K497" s="234">
        <f>IFERROR(IF(K$338&gt;$D$33,0,IF(OR(K$60&gt;$C497,$C497&gt;K$61),0,IF(K$60=$C497,K$62,K496*(1+K560)+K623))),0)</f>
        <v>0</v>
      </c>
      <c r="L497" s="234">
        <f>IFERROR(IF(L$338&gt;$D$33,0,IF(OR(L$60&gt;$C497,$C497&gt;L$61),0,IF(L$60=$C497,L$62,L496*(1+L560)+L623))),0)</f>
        <v>0</v>
      </c>
      <c r="M497" s="234">
        <f>IFERROR(IF(M$338&gt;$D$33,0,IF(OR(M$60&gt;$C497,$C497&gt;M$61),0,IF(M$60=$C497,M$62,M496*(1+M560)+M623))),0)</f>
        <v>0</v>
      </c>
      <c r="N497" s="234">
        <f>IFERROR(IF(N$338&gt;$D$33,0,IF(OR(N$60&gt;$C497,$C497&gt;N$61),0,IF(N$60=$C497,N$62,N496*(1+N560)+N623))),0)</f>
        <v>0</v>
      </c>
      <c r="O497" s="234">
        <f>IFERROR(IF(O$338&gt;$D$33,0,IF(OR(O$60&gt;$C497,$C497&gt;O$61),0,IF(O$60=$C497,O$62,O496*(1+O560)+O623))),0)</f>
        <v>0</v>
      </c>
      <c r="P497" s="234">
        <f>IFERROR(IF(P$338&gt;$D$33,0,IF(OR(P$60&gt;$C497,$C497&gt;P$61),0,IF(P$60=$C497,P$62,P496*(1+P560)+P623))),0)</f>
        <v>0</v>
      </c>
      <c r="Q497" s="234">
        <f>IFERROR(IF(Q$338&gt;$D$33,0,IF(OR(Q$60&gt;$C497,$C497&gt;Q$61),0,IF(Q$60=$C497,Q$62,Q496*(1+Q560)+Q623))),0)</f>
        <v>0</v>
      </c>
      <c r="R497" s="234">
        <f>IFERROR(IF(R$338&gt;$D$33,0,IF(OR(R$60&gt;$C497,$C497&gt;R$61),0,IF(R$60=$C497,R$62,R496*(1+R560)+R623))),0)</f>
        <v>0</v>
      </c>
      <c r="S497" s="234">
        <f>IFERROR(IF(S$338&gt;$D$33,0,IF(OR(S$60&gt;$C497,$C497&gt;S$61),0,IF(S$60=$C497,S$62,S496*(1+S560)+S623))),0)</f>
        <v>0</v>
      </c>
      <c r="T497" s="234">
        <f>IFERROR(IF(T$338&gt;$D$33,0,IF(OR(T$60&gt;$C497,$C497&gt;T$61),0,IF(T$60=$C497,T$62,T496*(1+T560)+T623))),0)</f>
        <v>0</v>
      </c>
      <c r="U497" s="234">
        <f>IFERROR(IF(U$338&gt;$D$33,0,IF(OR(U$60&gt;$C497,$C497&gt;U$61),0,IF(U$60=$C497,U$62,U496*(1+U560)+U623))),0)</f>
        <v>0</v>
      </c>
      <c r="V497" s="234">
        <f>IFERROR(IF(V$338&gt;$D$33,0,IF(OR(V$60&gt;$C497,$C497&gt;V$61),0,IF(V$60=$C497,V$62,V496*(1+V560)+V623))),0)</f>
        <v>0</v>
      </c>
      <c r="W497" s="234">
        <f>IFERROR(IF(W$338&gt;$D$33,0,IF(OR(W$60&gt;$C497,$C497&gt;W$61),0,IF(W$60=$C497,W$62,W496*(1+W560)+W623))),0)</f>
        <v>0</v>
      </c>
      <c r="X497" s="234">
        <f>IFERROR(IF(X$338&gt;$D$33,0,IF(OR(X$60&gt;$C497,$C497&gt;X$61),0,IF(X$60=$C497,X$62,X496*(1+X560)+X623))),0)</f>
        <v>0</v>
      </c>
      <c r="Y497" s="234">
        <f>IFERROR(IF(Y$338&gt;$D$33,0,IF(OR(Y$60&gt;$C497,$C497&gt;Y$61),0,IF(Y$60=$C497,Y$62,Y496*(1+Y560)+Y623))),0)</f>
        <v>0</v>
      </c>
      <c r="Z497" s="234">
        <f>IFERROR(IF(Z$338&gt;$D$33,0,IF(OR(Z$60&gt;$C497,$C497&gt;Z$61),0,IF(Z$60=$C497,Z$62,Z496*(1+Z560)+Z623))),0)</f>
        <v>0</v>
      </c>
      <c r="AA497" s="234">
        <f>IFERROR(IF(AA$338&gt;$D$33,0,IF(OR(AA$60&gt;$C497,$C497&gt;AA$61),0,IF(AA$60=$C497,AA$62,AA496*(1+AA560)+AA623))),0)</f>
        <v>0</v>
      </c>
      <c r="AB497" s="234">
        <f>IFERROR(IF(AB$338&gt;$D$33,0,IF(OR(AB$60&gt;$C497,$C497&gt;AB$61),0,IF(AB$60=$C497,AB$62,AB496*(1+AB560)+AB623))),0)</f>
        <v>0</v>
      </c>
    </row>
    <row r="498" spans="1:28" ht="12" customHeight="1" x14ac:dyDescent="0.3">
      <c r="A498" s="8"/>
      <c r="C498" s="495">
        <f>C435</f>
        <v>790</v>
      </c>
      <c r="D498" s="233">
        <f>IFERROR(IF(D$338&gt;$D$33,0,IF(OR(D$60&gt;$C498,$C498&gt;D$61),0,IF(D$60=$C498,D$62,D497*(1+D561)+D624))),0)</f>
        <v>0</v>
      </c>
      <c r="E498" s="233">
        <f>IFERROR(IF(E$338&gt;$D$33,0,IF(OR(E$60&gt;$C498,$C498&gt;E$61),0,IF(E$60=$C498,E$62,E497*(1+E561)+E624))),0)</f>
        <v>0</v>
      </c>
      <c r="F498" s="233">
        <f>IFERROR(IF(F$338&gt;$D$33,0,IF(OR(F$60&gt;$C498,$C498&gt;F$61),0,IF(F$60=$C498,F$62,F497*(1+F561)+F624))),0)</f>
        <v>0</v>
      </c>
      <c r="G498" s="233">
        <f>IFERROR(IF(G$338&gt;$D$33,0,IF(OR(G$60&gt;$C498,$C498&gt;G$61),0,IF(G$60=$C498,G$62,G497*(1+G561)+G624))),0)</f>
        <v>0</v>
      </c>
      <c r="H498" s="233">
        <f>IFERROR(IF(H$338&gt;$D$33,0,IF(OR(H$60&gt;$C498,$C498&gt;H$61),0,IF(H$60=$C498,H$62,H497*(1+H561)+H624))),0)</f>
        <v>0</v>
      </c>
      <c r="I498" s="233">
        <f>IFERROR(IF(I$338&gt;$D$33,0,IF(OR(I$60&gt;$C498,$C498&gt;I$61),0,IF(I$60=$C498,I$62,I497*(1+I561)+I624))),0)</f>
        <v>0</v>
      </c>
      <c r="J498" s="233">
        <f>IFERROR(IF(J$338&gt;$D$33,0,IF(OR(J$60&gt;$C498,$C498&gt;J$61),0,IF(J$60=$C498,J$62,J497*(1+J561)+J624))),0)</f>
        <v>0</v>
      </c>
      <c r="K498" s="233">
        <f>IFERROR(IF(K$338&gt;$D$33,0,IF(OR(K$60&gt;$C498,$C498&gt;K$61),0,IF(K$60=$C498,K$62,K497*(1+K561)+K624))),0)</f>
        <v>0</v>
      </c>
      <c r="L498" s="233">
        <f>IFERROR(IF(L$338&gt;$D$33,0,IF(OR(L$60&gt;$C498,$C498&gt;L$61),0,IF(L$60=$C498,L$62,L497*(1+L561)+L624))),0)</f>
        <v>0</v>
      </c>
      <c r="M498" s="233">
        <f>IFERROR(IF(M$338&gt;$D$33,0,IF(OR(M$60&gt;$C498,$C498&gt;M$61),0,IF(M$60=$C498,M$62,M497*(1+M561)+M624))),0)</f>
        <v>0</v>
      </c>
      <c r="N498" s="233">
        <f>IFERROR(IF(N$338&gt;$D$33,0,IF(OR(N$60&gt;$C498,$C498&gt;N$61),0,IF(N$60=$C498,N$62,N497*(1+N561)+N624))),0)</f>
        <v>0</v>
      </c>
      <c r="O498" s="233">
        <f>IFERROR(IF(O$338&gt;$D$33,0,IF(OR(O$60&gt;$C498,$C498&gt;O$61),0,IF(O$60=$C498,O$62,O497*(1+O561)+O624))),0)</f>
        <v>0</v>
      </c>
      <c r="P498" s="233">
        <f>IFERROR(IF(P$338&gt;$D$33,0,IF(OR(P$60&gt;$C498,$C498&gt;P$61),0,IF(P$60=$C498,P$62,P497*(1+P561)+P624))),0)</f>
        <v>0</v>
      </c>
      <c r="Q498" s="233">
        <f>IFERROR(IF(Q$338&gt;$D$33,0,IF(OR(Q$60&gt;$C498,$C498&gt;Q$61),0,IF(Q$60=$C498,Q$62,Q497*(1+Q561)+Q624))),0)</f>
        <v>0</v>
      </c>
      <c r="R498" s="233">
        <f>IFERROR(IF(R$338&gt;$D$33,0,IF(OR(R$60&gt;$C498,$C498&gt;R$61),0,IF(R$60=$C498,R$62,R497*(1+R561)+R624))),0)</f>
        <v>0</v>
      </c>
      <c r="S498" s="233">
        <f>IFERROR(IF(S$338&gt;$D$33,0,IF(OR(S$60&gt;$C498,$C498&gt;S$61),0,IF(S$60=$C498,S$62,S497*(1+S561)+S624))),0)</f>
        <v>0</v>
      </c>
      <c r="T498" s="233">
        <f>IFERROR(IF(T$338&gt;$D$33,0,IF(OR(T$60&gt;$C498,$C498&gt;T$61),0,IF(T$60=$C498,T$62,T497*(1+T561)+T624))),0)</f>
        <v>0</v>
      </c>
      <c r="U498" s="233">
        <f>IFERROR(IF(U$338&gt;$D$33,0,IF(OR(U$60&gt;$C498,$C498&gt;U$61),0,IF(U$60=$C498,U$62,U497*(1+U561)+U624))),0)</f>
        <v>0</v>
      </c>
      <c r="V498" s="233">
        <f>IFERROR(IF(V$338&gt;$D$33,0,IF(OR(V$60&gt;$C498,$C498&gt;V$61),0,IF(V$60=$C498,V$62,V497*(1+V561)+V624))),0)</f>
        <v>0</v>
      </c>
      <c r="W498" s="233">
        <f>IFERROR(IF(W$338&gt;$D$33,0,IF(OR(W$60&gt;$C498,$C498&gt;W$61),0,IF(W$60=$C498,W$62,W497*(1+W561)+W624))),0)</f>
        <v>0</v>
      </c>
      <c r="X498" s="233">
        <f>IFERROR(IF(X$338&gt;$D$33,0,IF(OR(X$60&gt;$C498,$C498&gt;X$61),0,IF(X$60=$C498,X$62,X497*(1+X561)+X624))),0)</f>
        <v>0</v>
      </c>
      <c r="Y498" s="233">
        <f>IFERROR(IF(Y$338&gt;$D$33,0,IF(OR(Y$60&gt;$C498,$C498&gt;Y$61),0,IF(Y$60=$C498,Y$62,Y497*(1+Y561)+Y624))),0)</f>
        <v>0</v>
      </c>
      <c r="Z498" s="233">
        <f>IFERROR(IF(Z$338&gt;$D$33,0,IF(OR(Z$60&gt;$C498,$C498&gt;Z$61),0,IF(Z$60=$C498,Z$62,Z497*(1+Z561)+Z624))),0)</f>
        <v>0</v>
      </c>
      <c r="AA498" s="233">
        <f>IFERROR(IF(AA$338&gt;$D$33,0,IF(OR(AA$60&gt;$C498,$C498&gt;AA$61),0,IF(AA$60=$C498,AA$62,AA497*(1+AA561)+AA624))),0)</f>
        <v>0</v>
      </c>
      <c r="AB498" s="233">
        <f>IFERROR(IF(AB$338&gt;$D$33,0,IF(OR(AB$60&gt;$C498,$C498&gt;AB$61),0,IF(AB$60=$C498,AB$62,AB497*(1+AB561)+AB624))),0)</f>
        <v>0</v>
      </c>
    </row>
    <row r="499" spans="1:28" ht="12" customHeight="1" x14ac:dyDescent="0.3">
      <c r="A499" s="8"/>
      <c r="C499" s="495">
        <f>C436</f>
        <v>821</v>
      </c>
      <c r="D499" s="233">
        <f>IFERROR(IF(D$338&gt;$D$33,0,IF(OR(D$60&gt;$C499,$C499&gt;D$61),0,IF(D$60=$C499,D$62,D498*(1+D562)+D625))),0)</f>
        <v>0</v>
      </c>
      <c r="E499" s="233">
        <f>IFERROR(IF(E$338&gt;$D$33,0,IF(OR(E$60&gt;$C499,$C499&gt;E$61),0,IF(E$60=$C499,E$62,E498*(1+E562)+E625))),0)</f>
        <v>0</v>
      </c>
      <c r="F499" s="233">
        <f>IFERROR(IF(F$338&gt;$D$33,0,IF(OR(F$60&gt;$C499,$C499&gt;F$61),0,IF(F$60=$C499,F$62,F498*(1+F562)+F625))),0)</f>
        <v>0</v>
      </c>
      <c r="G499" s="233">
        <f>IFERROR(IF(G$338&gt;$D$33,0,IF(OR(G$60&gt;$C499,$C499&gt;G$61),0,IF(G$60=$C499,G$62,G498*(1+G562)+G625))),0)</f>
        <v>0</v>
      </c>
      <c r="H499" s="233">
        <f>IFERROR(IF(H$338&gt;$D$33,0,IF(OR(H$60&gt;$C499,$C499&gt;H$61),0,IF(H$60=$C499,H$62,H498*(1+H562)+H625))),0)</f>
        <v>0</v>
      </c>
      <c r="I499" s="233">
        <f>IFERROR(IF(I$338&gt;$D$33,0,IF(OR(I$60&gt;$C499,$C499&gt;I$61),0,IF(I$60=$C499,I$62,I498*(1+I562)+I625))),0)</f>
        <v>0</v>
      </c>
      <c r="J499" s="233">
        <f>IFERROR(IF(J$338&gt;$D$33,0,IF(OR(J$60&gt;$C499,$C499&gt;J$61),0,IF(J$60=$C499,J$62,J498*(1+J562)+J625))),0)</f>
        <v>0</v>
      </c>
      <c r="K499" s="233">
        <f>IFERROR(IF(K$338&gt;$D$33,0,IF(OR(K$60&gt;$C499,$C499&gt;K$61),0,IF(K$60=$C499,K$62,K498*(1+K562)+K625))),0)</f>
        <v>0</v>
      </c>
      <c r="L499" s="233">
        <f>IFERROR(IF(L$338&gt;$D$33,0,IF(OR(L$60&gt;$C499,$C499&gt;L$61),0,IF(L$60=$C499,L$62,L498*(1+L562)+L625))),0)</f>
        <v>0</v>
      </c>
      <c r="M499" s="233">
        <f>IFERROR(IF(M$338&gt;$D$33,0,IF(OR(M$60&gt;$C499,$C499&gt;M$61),0,IF(M$60=$C499,M$62,M498*(1+M562)+M625))),0)</f>
        <v>0</v>
      </c>
      <c r="N499" s="233">
        <f>IFERROR(IF(N$338&gt;$D$33,0,IF(OR(N$60&gt;$C499,$C499&gt;N$61),0,IF(N$60=$C499,N$62,N498*(1+N562)+N625))),0)</f>
        <v>0</v>
      </c>
      <c r="O499" s="233">
        <f>IFERROR(IF(O$338&gt;$D$33,0,IF(OR(O$60&gt;$C499,$C499&gt;O$61),0,IF(O$60=$C499,O$62,O498*(1+O562)+O625))),0)</f>
        <v>0</v>
      </c>
      <c r="P499" s="233">
        <f>IFERROR(IF(P$338&gt;$D$33,0,IF(OR(P$60&gt;$C499,$C499&gt;P$61),0,IF(P$60=$C499,P$62,P498*(1+P562)+P625))),0)</f>
        <v>0</v>
      </c>
      <c r="Q499" s="233">
        <f>IFERROR(IF(Q$338&gt;$D$33,0,IF(OR(Q$60&gt;$C499,$C499&gt;Q$61),0,IF(Q$60=$C499,Q$62,Q498*(1+Q562)+Q625))),0)</f>
        <v>0</v>
      </c>
      <c r="R499" s="233">
        <f>IFERROR(IF(R$338&gt;$D$33,0,IF(OR(R$60&gt;$C499,$C499&gt;R$61),0,IF(R$60=$C499,R$62,R498*(1+R562)+R625))),0)</f>
        <v>0</v>
      </c>
      <c r="S499" s="233">
        <f>IFERROR(IF(S$338&gt;$D$33,0,IF(OR(S$60&gt;$C499,$C499&gt;S$61),0,IF(S$60=$C499,S$62,S498*(1+S562)+S625))),0)</f>
        <v>0</v>
      </c>
      <c r="T499" s="233">
        <f>IFERROR(IF(T$338&gt;$D$33,0,IF(OR(T$60&gt;$C499,$C499&gt;T$61),0,IF(T$60=$C499,T$62,T498*(1+T562)+T625))),0)</f>
        <v>0</v>
      </c>
      <c r="U499" s="233">
        <f>IFERROR(IF(U$338&gt;$D$33,0,IF(OR(U$60&gt;$C499,$C499&gt;U$61),0,IF(U$60=$C499,U$62,U498*(1+U562)+U625))),0)</f>
        <v>0</v>
      </c>
      <c r="V499" s="233">
        <f>IFERROR(IF(V$338&gt;$D$33,0,IF(OR(V$60&gt;$C499,$C499&gt;V$61),0,IF(V$60=$C499,V$62,V498*(1+V562)+V625))),0)</f>
        <v>0</v>
      </c>
      <c r="W499" s="233">
        <f>IFERROR(IF(W$338&gt;$D$33,0,IF(OR(W$60&gt;$C499,$C499&gt;W$61),0,IF(W$60=$C499,W$62,W498*(1+W562)+W625))),0)</f>
        <v>0</v>
      </c>
      <c r="X499" s="233">
        <f>IFERROR(IF(X$338&gt;$D$33,0,IF(OR(X$60&gt;$C499,$C499&gt;X$61),0,IF(X$60=$C499,X$62,X498*(1+X562)+X625))),0)</f>
        <v>0</v>
      </c>
      <c r="Y499" s="233">
        <f>IFERROR(IF(Y$338&gt;$D$33,0,IF(OR(Y$60&gt;$C499,$C499&gt;Y$61),0,IF(Y$60=$C499,Y$62,Y498*(1+Y562)+Y625))),0)</f>
        <v>0</v>
      </c>
      <c r="Z499" s="233">
        <f>IFERROR(IF(Z$338&gt;$D$33,0,IF(OR(Z$60&gt;$C499,$C499&gt;Z$61),0,IF(Z$60=$C499,Z$62,Z498*(1+Z562)+Z625))),0)</f>
        <v>0</v>
      </c>
      <c r="AA499" s="233">
        <f>IFERROR(IF(AA$338&gt;$D$33,0,IF(OR(AA$60&gt;$C499,$C499&gt;AA$61),0,IF(AA$60=$C499,AA$62,AA498*(1+AA562)+AA625))),0)</f>
        <v>0</v>
      </c>
      <c r="AB499" s="233">
        <f>IFERROR(IF(AB$338&gt;$D$33,0,IF(OR(AB$60&gt;$C499,$C499&gt;AB$61),0,IF(AB$60=$C499,AB$62,AB498*(1+AB562)+AB625))),0)</f>
        <v>0</v>
      </c>
    </row>
    <row r="500" spans="1:28" ht="12" customHeight="1" x14ac:dyDescent="0.3">
      <c r="A500" s="8"/>
      <c r="C500" s="495">
        <f>C437</f>
        <v>851</v>
      </c>
      <c r="D500" s="233">
        <f>IFERROR(IF(D$338&gt;$D$33,0,IF(OR(D$60&gt;$C500,$C500&gt;D$61),0,IF(D$60=$C500,D$62,D499*(1+D563)+D626))),0)</f>
        <v>0</v>
      </c>
      <c r="E500" s="233">
        <f>IFERROR(IF(E$338&gt;$D$33,0,IF(OR(E$60&gt;$C500,$C500&gt;E$61),0,IF(E$60=$C500,E$62,E499*(1+E563)+E626))),0)</f>
        <v>0</v>
      </c>
      <c r="F500" s="233">
        <f>IFERROR(IF(F$338&gt;$D$33,0,IF(OR(F$60&gt;$C500,$C500&gt;F$61),0,IF(F$60=$C500,F$62,F499*(1+F563)+F626))),0)</f>
        <v>0</v>
      </c>
      <c r="G500" s="233">
        <f>IFERROR(IF(G$338&gt;$D$33,0,IF(OR(G$60&gt;$C500,$C500&gt;G$61),0,IF(G$60=$C500,G$62,G499*(1+G563)+G626))),0)</f>
        <v>0</v>
      </c>
      <c r="H500" s="233">
        <f>IFERROR(IF(H$338&gt;$D$33,0,IF(OR(H$60&gt;$C500,$C500&gt;H$61),0,IF(H$60=$C500,H$62,H499*(1+H563)+H626))),0)</f>
        <v>0</v>
      </c>
      <c r="I500" s="233">
        <f>IFERROR(IF(I$338&gt;$D$33,0,IF(OR(I$60&gt;$C500,$C500&gt;I$61),0,IF(I$60=$C500,I$62,I499*(1+I563)+I626))),0)</f>
        <v>0</v>
      </c>
      <c r="J500" s="233">
        <f>IFERROR(IF(J$338&gt;$D$33,0,IF(OR(J$60&gt;$C500,$C500&gt;J$61),0,IF(J$60=$C500,J$62,J499*(1+J563)+J626))),0)</f>
        <v>0</v>
      </c>
      <c r="K500" s="233">
        <f>IFERROR(IF(K$338&gt;$D$33,0,IF(OR(K$60&gt;$C500,$C500&gt;K$61),0,IF(K$60=$C500,K$62,K499*(1+K563)+K626))),0)</f>
        <v>0</v>
      </c>
      <c r="L500" s="233">
        <f>IFERROR(IF(L$338&gt;$D$33,0,IF(OR(L$60&gt;$C500,$C500&gt;L$61),0,IF(L$60=$C500,L$62,L499*(1+L563)+L626))),0)</f>
        <v>0</v>
      </c>
      <c r="M500" s="233">
        <f>IFERROR(IF(M$338&gt;$D$33,0,IF(OR(M$60&gt;$C500,$C500&gt;M$61),0,IF(M$60=$C500,M$62,M499*(1+M563)+M626))),0)</f>
        <v>0</v>
      </c>
      <c r="N500" s="233">
        <f>IFERROR(IF(N$338&gt;$D$33,0,IF(OR(N$60&gt;$C500,$C500&gt;N$61),0,IF(N$60=$C500,N$62,N499*(1+N563)+N626))),0)</f>
        <v>0</v>
      </c>
      <c r="O500" s="233">
        <f>IFERROR(IF(O$338&gt;$D$33,0,IF(OR(O$60&gt;$C500,$C500&gt;O$61),0,IF(O$60=$C500,O$62,O499*(1+O563)+O626))),0)</f>
        <v>0</v>
      </c>
      <c r="P500" s="233">
        <f>IFERROR(IF(P$338&gt;$D$33,0,IF(OR(P$60&gt;$C500,$C500&gt;P$61),0,IF(P$60=$C500,P$62,P499*(1+P563)+P626))),0)</f>
        <v>0</v>
      </c>
      <c r="Q500" s="233">
        <f>IFERROR(IF(Q$338&gt;$D$33,0,IF(OR(Q$60&gt;$C500,$C500&gt;Q$61),0,IF(Q$60=$C500,Q$62,Q499*(1+Q563)+Q626))),0)</f>
        <v>0</v>
      </c>
      <c r="R500" s="233">
        <f>IFERROR(IF(R$338&gt;$D$33,0,IF(OR(R$60&gt;$C500,$C500&gt;R$61),0,IF(R$60=$C500,R$62,R499*(1+R563)+R626))),0)</f>
        <v>0</v>
      </c>
      <c r="S500" s="233">
        <f>IFERROR(IF(S$338&gt;$D$33,0,IF(OR(S$60&gt;$C500,$C500&gt;S$61),0,IF(S$60=$C500,S$62,S499*(1+S563)+S626))),0)</f>
        <v>0</v>
      </c>
      <c r="T500" s="233">
        <f>IFERROR(IF(T$338&gt;$D$33,0,IF(OR(T$60&gt;$C500,$C500&gt;T$61),0,IF(T$60=$C500,T$62,T499*(1+T563)+T626))),0)</f>
        <v>0</v>
      </c>
      <c r="U500" s="233">
        <f>IFERROR(IF(U$338&gt;$D$33,0,IF(OR(U$60&gt;$C500,$C500&gt;U$61),0,IF(U$60=$C500,U$62,U499*(1+U563)+U626))),0)</f>
        <v>0</v>
      </c>
      <c r="V500" s="233">
        <f>IFERROR(IF(V$338&gt;$D$33,0,IF(OR(V$60&gt;$C500,$C500&gt;V$61),0,IF(V$60=$C500,V$62,V499*(1+V563)+V626))),0)</f>
        <v>0</v>
      </c>
      <c r="W500" s="233">
        <f>IFERROR(IF(W$338&gt;$D$33,0,IF(OR(W$60&gt;$C500,$C500&gt;W$61),0,IF(W$60=$C500,W$62,W499*(1+W563)+W626))),0)</f>
        <v>0</v>
      </c>
      <c r="X500" s="233">
        <f>IFERROR(IF(X$338&gt;$D$33,0,IF(OR(X$60&gt;$C500,$C500&gt;X$61),0,IF(X$60=$C500,X$62,X499*(1+X563)+X626))),0)</f>
        <v>0</v>
      </c>
      <c r="Y500" s="233">
        <f>IFERROR(IF(Y$338&gt;$D$33,0,IF(OR(Y$60&gt;$C500,$C500&gt;Y$61),0,IF(Y$60=$C500,Y$62,Y499*(1+Y563)+Y626))),0)</f>
        <v>0</v>
      </c>
      <c r="Z500" s="233">
        <f>IFERROR(IF(Z$338&gt;$D$33,0,IF(OR(Z$60&gt;$C500,$C500&gt;Z$61),0,IF(Z$60=$C500,Z$62,Z499*(1+Z563)+Z626))),0)</f>
        <v>0</v>
      </c>
      <c r="AA500" s="233">
        <f>IFERROR(IF(AA$338&gt;$D$33,0,IF(OR(AA$60&gt;$C500,$C500&gt;AA$61),0,IF(AA$60=$C500,AA$62,AA499*(1+AA563)+AA626))),0)</f>
        <v>0</v>
      </c>
      <c r="AB500" s="233">
        <f>IFERROR(IF(AB$338&gt;$D$33,0,IF(OR(AB$60&gt;$C500,$C500&gt;AB$61),0,IF(AB$60=$C500,AB$62,AB499*(1+AB563)+AB626))),0)</f>
        <v>0</v>
      </c>
    </row>
    <row r="501" spans="1:28" ht="12" customHeight="1" x14ac:dyDescent="0.3">
      <c r="A501" s="8"/>
      <c r="C501" s="495">
        <f>C438</f>
        <v>882</v>
      </c>
      <c r="D501" s="233">
        <f>IFERROR(IF(D$338&gt;$D$33,0,IF(OR(D$60&gt;$C501,$C501&gt;D$61),0,IF(D$60=$C501,D$62,D500*(1+D564)+D627))),0)</f>
        <v>0</v>
      </c>
      <c r="E501" s="233">
        <f>IFERROR(IF(E$338&gt;$D$33,0,IF(OR(E$60&gt;$C501,$C501&gt;E$61),0,IF(E$60=$C501,E$62,E500*(1+E564)+E627))),0)</f>
        <v>0</v>
      </c>
      <c r="F501" s="233">
        <f>IFERROR(IF(F$338&gt;$D$33,0,IF(OR(F$60&gt;$C501,$C501&gt;F$61),0,IF(F$60=$C501,F$62,F500*(1+F564)+F627))),0)</f>
        <v>0</v>
      </c>
      <c r="G501" s="233">
        <f>IFERROR(IF(G$338&gt;$D$33,0,IF(OR(G$60&gt;$C501,$C501&gt;G$61),0,IF(G$60=$C501,G$62,G500*(1+G564)+G627))),0)</f>
        <v>0</v>
      </c>
      <c r="H501" s="233">
        <f>IFERROR(IF(H$338&gt;$D$33,0,IF(OR(H$60&gt;$C501,$C501&gt;H$61),0,IF(H$60=$C501,H$62,H500*(1+H564)+H627))),0)</f>
        <v>0</v>
      </c>
      <c r="I501" s="233">
        <f>IFERROR(IF(I$338&gt;$D$33,0,IF(OR(I$60&gt;$C501,$C501&gt;I$61),0,IF(I$60=$C501,I$62,I500*(1+I564)+I627))),0)</f>
        <v>0</v>
      </c>
      <c r="J501" s="233">
        <f>IFERROR(IF(J$338&gt;$D$33,0,IF(OR(J$60&gt;$C501,$C501&gt;J$61),0,IF(J$60=$C501,J$62,J500*(1+J564)+J627))),0)</f>
        <v>0</v>
      </c>
      <c r="K501" s="233">
        <f>IFERROR(IF(K$338&gt;$D$33,0,IF(OR(K$60&gt;$C501,$C501&gt;K$61),0,IF(K$60=$C501,K$62,K500*(1+K564)+K627))),0)</f>
        <v>0</v>
      </c>
      <c r="L501" s="233">
        <f>IFERROR(IF(L$338&gt;$D$33,0,IF(OR(L$60&gt;$C501,$C501&gt;L$61),0,IF(L$60=$C501,L$62,L500*(1+L564)+L627))),0)</f>
        <v>0</v>
      </c>
      <c r="M501" s="233">
        <f>IFERROR(IF(M$338&gt;$D$33,0,IF(OR(M$60&gt;$C501,$C501&gt;M$61),0,IF(M$60=$C501,M$62,M500*(1+M564)+M627))),0)</f>
        <v>0</v>
      </c>
      <c r="N501" s="233">
        <f>IFERROR(IF(N$338&gt;$D$33,0,IF(OR(N$60&gt;$C501,$C501&gt;N$61),0,IF(N$60=$C501,N$62,N500*(1+N564)+N627))),0)</f>
        <v>0</v>
      </c>
      <c r="O501" s="233">
        <f>IFERROR(IF(O$338&gt;$D$33,0,IF(OR(O$60&gt;$C501,$C501&gt;O$61),0,IF(O$60=$C501,O$62,O500*(1+O564)+O627))),0)</f>
        <v>0</v>
      </c>
      <c r="P501" s="233">
        <f>IFERROR(IF(P$338&gt;$D$33,0,IF(OR(P$60&gt;$C501,$C501&gt;P$61),0,IF(P$60=$C501,P$62,P500*(1+P564)+P627))),0)</f>
        <v>0</v>
      </c>
      <c r="Q501" s="233">
        <f>IFERROR(IF(Q$338&gt;$D$33,0,IF(OR(Q$60&gt;$C501,$C501&gt;Q$61),0,IF(Q$60=$C501,Q$62,Q500*(1+Q564)+Q627))),0)</f>
        <v>0</v>
      </c>
      <c r="R501" s="233">
        <f>IFERROR(IF(R$338&gt;$D$33,0,IF(OR(R$60&gt;$C501,$C501&gt;R$61),0,IF(R$60=$C501,R$62,R500*(1+R564)+R627))),0)</f>
        <v>0</v>
      </c>
      <c r="S501" s="233">
        <f>IFERROR(IF(S$338&gt;$D$33,0,IF(OR(S$60&gt;$C501,$C501&gt;S$61),0,IF(S$60=$C501,S$62,S500*(1+S564)+S627))),0)</f>
        <v>0</v>
      </c>
      <c r="T501" s="233">
        <f>IFERROR(IF(T$338&gt;$D$33,0,IF(OR(T$60&gt;$C501,$C501&gt;T$61),0,IF(T$60=$C501,T$62,T500*(1+T564)+T627))),0)</f>
        <v>0</v>
      </c>
      <c r="U501" s="233">
        <f>IFERROR(IF(U$338&gt;$D$33,0,IF(OR(U$60&gt;$C501,$C501&gt;U$61),0,IF(U$60=$C501,U$62,U500*(1+U564)+U627))),0)</f>
        <v>0</v>
      </c>
      <c r="V501" s="233">
        <f>IFERROR(IF(V$338&gt;$D$33,0,IF(OR(V$60&gt;$C501,$C501&gt;V$61),0,IF(V$60=$C501,V$62,V500*(1+V564)+V627))),0)</f>
        <v>0</v>
      </c>
      <c r="W501" s="233">
        <f>IFERROR(IF(W$338&gt;$D$33,0,IF(OR(W$60&gt;$C501,$C501&gt;W$61),0,IF(W$60=$C501,W$62,W500*(1+W564)+W627))),0)</f>
        <v>0</v>
      </c>
      <c r="X501" s="233">
        <f>IFERROR(IF(X$338&gt;$D$33,0,IF(OR(X$60&gt;$C501,$C501&gt;X$61),0,IF(X$60=$C501,X$62,X500*(1+X564)+X627))),0)</f>
        <v>0</v>
      </c>
      <c r="Y501" s="233">
        <f>IFERROR(IF(Y$338&gt;$D$33,0,IF(OR(Y$60&gt;$C501,$C501&gt;Y$61),0,IF(Y$60=$C501,Y$62,Y500*(1+Y564)+Y627))),0)</f>
        <v>0</v>
      </c>
      <c r="Z501" s="233">
        <f>IFERROR(IF(Z$338&gt;$D$33,0,IF(OR(Z$60&gt;$C501,$C501&gt;Z$61),0,IF(Z$60=$C501,Z$62,Z500*(1+Z564)+Z627))),0)</f>
        <v>0</v>
      </c>
      <c r="AA501" s="233">
        <f>IFERROR(IF(AA$338&gt;$D$33,0,IF(OR(AA$60&gt;$C501,$C501&gt;AA$61),0,IF(AA$60=$C501,AA$62,AA500*(1+AA564)+AA627))),0)</f>
        <v>0</v>
      </c>
      <c r="AB501" s="233">
        <f>IFERROR(IF(AB$338&gt;$D$33,0,IF(OR(AB$60&gt;$C501,$C501&gt;AB$61),0,IF(AB$60=$C501,AB$62,AB500*(1+AB564)+AB627))),0)</f>
        <v>0</v>
      </c>
    </row>
    <row r="502" spans="1:28" ht="12" customHeight="1" x14ac:dyDescent="0.3">
      <c r="A502" s="8"/>
      <c r="C502" s="495">
        <f>C439</f>
        <v>912</v>
      </c>
      <c r="D502" s="233">
        <f>IFERROR(IF(D$338&gt;$D$33,0,IF(OR(D$60&gt;$C502,$C502&gt;D$61),0,IF(D$60=$C502,D$62,D501*(1+D565)+D628))),0)</f>
        <v>0</v>
      </c>
      <c r="E502" s="233">
        <f>IFERROR(IF(E$338&gt;$D$33,0,IF(OR(E$60&gt;$C502,$C502&gt;E$61),0,IF(E$60=$C502,E$62,E501*(1+E565)+E628))),0)</f>
        <v>0</v>
      </c>
      <c r="F502" s="233">
        <f>IFERROR(IF(F$338&gt;$D$33,0,IF(OR(F$60&gt;$C502,$C502&gt;F$61),0,IF(F$60=$C502,F$62,F501*(1+F565)+F628))),0)</f>
        <v>0</v>
      </c>
      <c r="G502" s="233">
        <f>IFERROR(IF(G$338&gt;$D$33,0,IF(OR(G$60&gt;$C502,$C502&gt;G$61),0,IF(G$60=$C502,G$62,G501*(1+G565)+G628))),0)</f>
        <v>0</v>
      </c>
      <c r="H502" s="233">
        <f>IFERROR(IF(H$338&gt;$D$33,0,IF(OR(H$60&gt;$C502,$C502&gt;H$61),0,IF(H$60=$C502,H$62,H501*(1+H565)+H628))),0)</f>
        <v>0</v>
      </c>
      <c r="I502" s="233">
        <f>IFERROR(IF(I$338&gt;$D$33,0,IF(OR(I$60&gt;$C502,$C502&gt;I$61),0,IF(I$60=$C502,I$62,I501*(1+I565)+I628))),0)</f>
        <v>0</v>
      </c>
      <c r="J502" s="233">
        <f>IFERROR(IF(J$338&gt;$D$33,0,IF(OR(J$60&gt;$C502,$C502&gt;J$61),0,IF(J$60=$C502,J$62,J501*(1+J565)+J628))),0)</f>
        <v>0</v>
      </c>
      <c r="K502" s="233">
        <f>IFERROR(IF(K$338&gt;$D$33,0,IF(OR(K$60&gt;$C502,$C502&gt;K$61),0,IF(K$60=$C502,K$62,K501*(1+K565)+K628))),0)</f>
        <v>0</v>
      </c>
      <c r="L502" s="233">
        <f>IFERROR(IF(L$338&gt;$D$33,0,IF(OR(L$60&gt;$C502,$C502&gt;L$61),0,IF(L$60=$C502,L$62,L501*(1+L565)+L628))),0)</f>
        <v>0</v>
      </c>
      <c r="M502" s="233">
        <f>IFERROR(IF(M$338&gt;$D$33,0,IF(OR(M$60&gt;$C502,$C502&gt;M$61),0,IF(M$60=$C502,M$62,M501*(1+M565)+M628))),0)</f>
        <v>0</v>
      </c>
      <c r="N502" s="233">
        <f>IFERROR(IF(N$338&gt;$D$33,0,IF(OR(N$60&gt;$C502,$C502&gt;N$61),0,IF(N$60=$C502,N$62,N501*(1+N565)+N628))),0)</f>
        <v>0</v>
      </c>
      <c r="O502" s="233">
        <f>IFERROR(IF(O$338&gt;$D$33,0,IF(OR(O$60&gt;$C502,$C502&gt;O$61),0,IF(O$60=$C502,O$62,O501*(1+O565)+O628))),0)</f>
        <v>0</v>
      </c>
      <c r="P502" s="233">
        <f>IFERROR(IF(P$338&gt;$D$33,0,IF(OR(P$60&gt;$C502,$C502&gt;P$61),0,IF(P$60=$C502,P$62,P501*(1+P565)+P628))),0)</f>
        <v>0</v>
      </c>
      <c r="Q502" s="233">
        <f>IFERROR(IF(Q$338&gt;$D$33,0,IF(OR(Q$60&gt;$C502,$C502&gt;Q$61),0,IF(Q$60=$C502,Q$62,Q501*(1+Q565)+Q628))),0)</f>
        <v>0</v>
      </c>
      <c r="R502" s="233">
        <f>IFERROR(IF(R$338&gt;$D$33,0,IF(OR(R$60&gt;$C502,$C502&gt;R$61),0,IF(R$60=$C502,R$62,R501*(1+R565)+R628))),0)</f>
        <v>0</v>
      </c>
      <c r="S502" s="233">
        <f>IFERROR(IF(S$338&gt;$D$33,0,IF(OR(S$60&gt;$C502,$C502&gt;S$61),0,IF(S$60=$C502,S$62,S501*(1+S565)+S628))),0)</f>
        <v>0</v>
      </c>
      <c r="T502" s="233">
        <f>IFERROR(IF(T$338&gt;$D$33,0,IF(OR(T$60&gt;$C502,$C502&gt;T$61),0,IF(T$60=$C502,T$62,T501*(1+T565)+T628))),0)</f>
        <v>0</v>
      </c>
      <c r="U502" s="233">
        <f>IFERROR(IF(U$338&gt;$D$33,0,IF(OR(U$60&gt;$C502,$C502&gt;U$61),0,IF(U$60=$C502,U$62,U501*(1+U565)+U628))),0)</f>
        <v>0</v>
      </c>
      <c r="V502" s="233">
        <f>IFERROR(IF(V$338&gt;$D$33,0,IF(OR(V$60&gt;$C502,$C502&gt;V$61),0,IF(V$60=$C502,V$62,V501*(1+V565)+V628))),0)</f>
        <v>0</v>
      </c>
      <c r="W502" s="233">
        <f>IFERROR(IF(W$338&gt;$D$33,0,IF(OR(W$60&gt;$C502,$C502&gt;W$61),0,IF(W$60=$C502,W$62,W501*(1+W565)+W628))),0)</f>
        <v>0</v>
      </c>
      <c r="X502" s="233">
        <f>IFERROR(IF(X$338&gt;$D$33,0,IF(OR(X$60&gt;$C502,$C502&gt;X$61),0,IF(X$60=$C502,X$62,X501*(1+X565)+X628))),0)</f>
        <v>0</v>
      </c>
      <c r="Y502" s="233">
        <f>IFERROR(IF(Y$338&gt;$D$33,0,IF(OR(Y$60&gt;$C502,$C502&gt;Y$61),0,IF(Y$60=$C502,Y$62,Y501*(1+Y565)+Y628))),0)</f>
        <v>0</v>
      </c>
      <c r="Z502" s="233">
        <f>IFERROR(IF(Z$338&gt;$D$33,0,IF(OR(Z$60&gt;$C502,$C502&gt;Z$61),0,IF(Z$60=$C502,Z$62,Z501*(1+Z565)+Z628))),0)</f>
        <v>0</v>
      </c>
      <c r="AA502" s="233">
        <f>IFERROR(IF(AA$338&gt;$D$33,0,IF(OR(AA$60&gt;$C502,$C502&gt;AA$61),0,IF(AA$60=$C502,AA$62,AA501*(1+AA565)+AA628))),0)</f>
        <v>0</v>
      </c>
      <c r="AB502" s="233">
        <f>IFERROR(IF(AB$338&gt;$D$33,0,IF(OR(AB$60&gt;$C502,$C502&gt;AB$61),0,IF(AB$60=$C502,AB$62,AB501*(1+AB565)+AB628))),0)</f>
        <v>0</v>
      </c>
    </row>
    <row r="503" spans="1:28" ht="12" customHeight="1" x14ac:dyDescent="0.3">
      <c r="A503" s="8"/>
      <c r="C503" s="495">
        <f>C440</f>
        <v>943</v>
      </c>
      <c r="D503" s="233">
        <f>IFERROR(IF(D$338&gt;$D$33,0,IF(OR(D$60&gt;$C503,$C503&gt;D$61),0,IF(D$60=$C503,D$62,D502*(1+D566)+D629))),0)</f>
        <v>0</v>
      </c>
      <c r="E503" s="233">
        <f>IFERROR(IF(E$338&gt;$D$33,0,IF(OR(E$60&gt;$C503,$C503&gt;E$61),0,IF(E$60=$C503,E$62,E502*(1+E566)+E629))),0)</f>
        <v>0</v>
      </c>
      <c r="F503" s="233">
        <f>IFERROR(IF(F$338&gt;$D$33,0,IF(OR(F$60&gt;$C503,$C503&gt;F$61),0,IF(F$60=$C503,F$62,F502*(1+F566)+F629))),0)</f>
        <v>0</v>
      </c>
      <c r="G503" s="233">
        <f>IFERROR(IF(G$338&gt;$D$33,0,IF(OR(G$60&gt;$C503,$C503&gt;G$61),0,IF(G$60=$C503,G$62,G502*(1+G566)+G629))),0)</f>
        <v>0</v>
      </c>
      <c r="H503" s="233">
        <f>IFERROR(IF(H$338&gt;$D$33,0,IF(OR(H$60&gt;$C503,$C503&gt;H$61),0,IF(H$60=$C503,H$62,H502*(1+H566)+H629))),0)</f>
        <v>0</v>
      </c>
      <c r="I503" s="233">
        <f>IFERROR(IF(I$338&gt;$D$33,0,IF(OR(I$60&gt;$C503,$C503&gt;I$61),0,IF(I$60=$C503,I$62,I502*(1+I566)+I629))),0)</f>
        <v>0</v>
      </c>
      <c r="J503" s="233">
        <f>IFERROR(IF(J$338&gt;$D$33,0,IF(OR(J$60&gt;$C503,$C503&gt;J$61),0,IF(J$60=$C503,J$62,J502*(1+J566)+J629))),0)</f>
        <v>0</v>
      </c>
      <c r="K503" s="233">
        <f>IFERROR(IF(K$338&gt;$D$33,0,IF(OR(K$60&gt;$C503,$C503&gt;K$61),0,IF(K$60=$C503,K$62,K502*(1+K566)+K629))),0)</f>
        <v>0</v>
      </c>
      <c r="L503" s="233">
        <f>IFERROR(IF(L$338&gt;$D$33,0,IF(OR(L$60&gt;$C503,$C503&gt;L$61),0,IF(L$60=$C503,L$62,L502*(1+L566)+L629))),0)</f>
        <v>0</v>
      </c>
      <c r="M503" s="233">
        <f>IFERROR(IF(M$338&gt;$D$33,0,IF(OR(M$60&gt;$C503,$C503&gt;M$61),0,IF(M$60=$C503,M$62,M502*(1+M566)+M629))),0)</f>
        <v>0</v>
      </c>
      <c r="N503" s="233">
        <f>IFERROR(IF(N$338&gt;$D$33,0,IF(OR(N$60&gt;$C503,$C503&gt;N$61),0,IF(N$60=$C503,N$62,N502*(1+N566)+N629))),0)</f>
        <v>0</v>
      </c>
      <c r="O503" s="233">
        <f>IFERROR(IF(O$338&gt;$D$33,0,IF(OR(O$60&gt;$C503,$C503&gt;O$61),0,IF(O$60=$C503,O$62,O502*(1+O566)+O629))),0)</f>
        <v>0</v>
      </c>
      <c r="P503" s="233">
        <f>IFERROR(IF(P$338&gt;$D$33,0,IF(OR(P$60&gt;$C503,$C503&gt;P$61),0,IF(P$60=$C503,P$62,P502*(1+P566)+P629))),0)</f>
        <v>0</v>
      </c>
      <c r="Q503" s="233">
        <f>IFERROR(IF(Q$338&gt;$D$33,0,IF(OR(Q$60&gt;$C503,$C503&gt;Q$61),0,IF(Q$60=$C503,Q$62,Q502*(1+Q566)+Q629))),0)</f>
        <v>0</v>
      </c>
      <c r="R503" s="233">
        <f>IFERROR(IF(R$338&gt;$D$33,0,IF(OR(R$60&gt;$C503,$C503&gt;R$61),0,IF(R$60=$C503,R$62,R502*(1+R566)+R629))),0)</f>
        <v>0</v>
      </c>
      <c r="S503" s="233">
        <f>IFERROR(IF(S$338&gt;$D$33,0,IF(OR(S$60&gt;$C503,$C503&gt;S$61),0,IF(S$60=$C503,S$62,S502*(1+S566)+S629))),0)</f>
        <v>0</v>
      </c>
      <c r="T503" s="233">
        <f>IFERROR(IF(T$338&gt;$D$33,0,IF(OR(T$60&gt;$C503,$C503&gt;T$61),0,IF(T$60=$C503,T$62,T502*(1+T566)+T629))),0)</f>
        <v>0</v>
      </c>
      <c r="U503" s="233">
        <f>IFERROR(IF(U$338&gt;$D$33,0,IF(OR(U$60&gt;$C503,$C503&gt;U$61),0,IF(U$60=$C503,U$62,U502*(1+U566)+U629))),0)</f>
        <v>0</v>
      </c>
      <c r="V503" s="233">
        <f>IFERROR(IF(V$338&gt;$D$33,0,IF(OR(V$60&gt;$C503,$C503&gt;V$61),0,IF(V$60=$C503,V$62,V502*(1+V566)+V629))),0)</f>
        <v>0</v>
      </c>
      <c r="W503" s="233">
        <f>IFERROR(IF(W$338&gt;$D$33,0,IF(OR(W$60&gt;$C503,$C503&gt;W$61),0,IF(W$60=$C503,W$62,W502*(1+W566)+W629))),0)</f>
        <v>0</v>
      </c>
      <c r="X503" s="233">
        <f>IFERROR(IF(X$338&gt;$D$33,0,IF(OR(X$60&gt;$C503,$C503&gt;X$61),0,IF(X$60=$C503,X$62,X502*(1+X566)+X629))),0)</f>
        <v>0</v>
      </c>
      <c r="Y503" s="233">
        <f>IFERROR(IF(Y$338&gt;$D$33,0,IF(OR(Y$60&gt;$C503,$C503&gt;Y$61),0,IF(Y$60=$C503,Y$62,Y502*(1+Y566)+Y629))),0)</f>
        <v>0</v>
      </c>
      <c r="Z503" s="233">
        <f>IFERROR(IF(Z$338&gt;$D$33,0,IF(OR(Z$60&gt;$C503,$C503&gt;Z$61),0,IF(Z$60=$C503,Z$62,Z502*(1+Z566)+Z629))),0)</f>
        <v>0</v>
      </c>
      <c r="AA503" s="233">
        <f>IFERROR(IF(AA$338&gt;$D$33,0,IF(OR(AA$60&gt;$C503,$C503&gt;AA$61),0,IF(AA$60=$C503,AA$62,AA502*(1+AA566)+AA629))),0)</f>
        <v>0</v>
      </c>
      <c r="AB503" s="233">
        <f>IFERROR(IF(AB$338&gt;$D$33,0,IF(OR(AB$60&gt;$C503,$C503&gt;AB$61),0,IF(AB$60=$C503,AB$62,AB502*(1+AB566)+AB629))),0)</f>
        <v>0</v>
      </c>
    </row>
    <row r="504" spans="1:28" ht="12" customHeight="1" x14ac:dyDescent="0.3">
      <c r="A504" s="8"/>
      <c r="C504" s="495">
        <f>C441</f>
        <v>974</v>
      </c>
      <c r="D504" s="233">
        <f>IFERROR(IF(D$338&gt;$D$33,0,IF(OR(D$60&gt;$C504,$C504&gt;D$61),0,IF(D$60=$C504,D$62,D503*(1+D567)+D630))),0)</f>
        <v>0</v>
      </c>
      <c r="E504" s="233">
        <f>IFERROR(IF(E$338&gt;$D$33,0,IF(OR(E$60&gt;$C504,$C504&gt;E$61),0,IF(E$60=$C504,E$62,E503*(1+E567)+E630))),0)</f>
        <v>0</v>
      </c>
      <c r="F504" s="233">
        <f>IFERROR(IF(F$338&gt;$D$33,0,IF(OR(F$60&gt;$C504,$C504&gt;F$61),0,IF(F$60=$C504,F$62,F503*(1+F567)+F630))),0)</f>
        <v>0</v>
      </c>
      <c r="G504" s="233">
        <f>IFERROR(IF(G$338&gt;$D$33,0,IF(OR(G$60&gt;$C504,$C504&gt;G$61),0,IF(G$60=$C504,G$62,G503*(1+G567)+G630))),0)</f>
        <v>0</v>
      </c>
      <c r="H504" s="233">
        <f>IFERROR(IF(H$338&gt;$D$33,0,IF(OR(H$60&gt;$C504,$C504&gt;H$61),0,IF(H$60=$C504,H$62,H503*(1+H567)+H630))),0)</f>
        <v>0</v>
      </c>
      <c r="I504" s="233">
        <f>IFERROR(IF(I$338&gt;$D$33,0,IF(OR(I$60&gt;$C504,$C504&gt;I$61),0,IF(I$60=$C504,I$62,I503*(1+I567)+I630))),0)</f>
        <v>0</v>
      </c>
      <c r="J504" s="233">
        <f>IFERROR(IF(J$338&gt;$D$33,0,IF(OR(J$60&gt;$C504,$C504&gt;J$61),0,IF(J$60=$C504,J$62,J503*(1+J567)+J630))),0)</f>
        <v>0</v>
      </c>
      <c r="K504" s="233">
        <f>IFERROR(IF(K$338&gt;$D$33,0,IF(OR(K$60&gt;$C504,$C504&gt;K$61),0,IF(K$60=$C504,K$62,K503*(1+K567)+K630))),0)</f>
        <v>0</v>
      </c>
      <c r="L504" s="233">
        <f>IFERROR(IF(L$338&gt;$D$33,0,IF(OR(L$60&gt;$C504,$C504&gt;L$61),0,IF(L$60=$C504,L$62,L503*(1+L567)+L630))),0)</f>
        <v>0</v>
      </c>
      <c r="M504" s="233">
        <f>IFERROR(IF(M$338&gt;$D$33,0,IF(OR(M$60&gt;$C504,$C504&gt;M$61),0,IF(M$60=$C504,M$62,M503*(1+M567)+M630))),0)</f>
        <v>0</v>
      </c>
      <c r="N504" s="233">
        <f>IFERROR(IF(N$338&gt;$D$33,0,IF(OR(N$60&gt;$C504,$C504&gt;N$61),0,IF(N$60=$C504,N$62,N503*(1+N567)+N630))),0)</f>
        <v>0</v>
      </c>
      <c r="O504" s="233">
        <f>IFERROR(IF(O$338&gt;$D$33,0,IF(OR(O$60&gt;$C504,$C504&gt;O$61),0,IF(O$60=$C504,O$62,O503*(1+O567)+O630))),0)</f>
        <v>0</v>
      </c>
      <c r="P504" s="233">
        <f>IFERROR(IF(P$338&gt;$D$33,0,IF(OR(P$60&gt;$C504,$C504&gt;P$61),0,IF(P$60=$C504,P$62,P503*(1+P567)+P630))),0)</f>
        <v>0</v>
      </c>
      <c r="Q504" s="233">
        <f>IFERROR(IF(Q$338&gt;$D$33,0,IF(OR(Q$60&gt;$C504,$C504&gt;Q$61),0,IF(Q$60=$C504,Q$62,Q503*(1+Q567)+Q630))),0)</f>
        <v>0</v>
      </c>
      <c r="R504" s="233">
        <f>IFERROR(IF(R$338&gt;$D$33,0,IF(OR(R$60&gt;$C504,$C504&gt;R$61),0,IF(R$60=$C504,R$62,R503*(1+R567)+R630))),0)</f>
        <v>0</v>
      </c>
      <c r="S504" s="233">
        <f>IFERROR(IF(S$338&gt;$D$33,0,IF(OR(S$60&gt;$C504,$C504&gt;S$61),0,IF(S$60=$C504,S$62,S503*(1+S567)+S630))),0)</f>
        <v>0</v>
      </c>
      <c r="T504" s="233">
        <f>IFERROR(IF(T$338&gt;$D$33,0,IF(OR(T$60&gt;$C504,$C504&gt;T$61),0,IF(T$60=$C504,T$62,T503*(1+T567)+T630))),0)</f>
        <v>0</v>
      </c>
      <c r="U504" s="233">
        <f>IFERROR(IF(U$338&gt;$D$33,0,IF(OR(U$60&gt;$C504,$C504&gt;U$61),0,IF(U$60=$C504,U$62,U503*(1+U567)+U630))),0)</f>
        <v>0</v>
      </c>
      <c r="V504" s="233">
        <f>IFERROR(IF(V$338&gt;$D$33,0,IF(OR(V$60&gt;$C504,$C504&gt;V$61),0,IF(V$60=$C504,V$62,V503*(1+V567)+V630))),0)</f>
        <v>0</v>
      </c>
      <c r="W504" s="233">
        <f>IFERROR(IF(W$338&gt;$D$33,0,IF(OR(W$60&gt;$C504,$C504&gt;W$61),0,IF(W$60=$C504,W$62,W503*(1+W567)+W630))),0)</f>
        <v>0</v>
      </c>
      <c r="X504" s="233">
        <f>IFERROR(IF(X$338&gt;$D$33,0,IF(OR(X$60&gt;$C504,$C504&gt;X$61),0,IF(X$60=$C504,X$62,X503*(1+X567)+X630))),0)</f>
        <v>0</v>
      </c>
      <c r="Y504" s="233">
        <f>IFERROR(IF(Y$338&gt;$D$33,0,IF(OR(Y$60&gt;$C504,$C504&gt;Y$61),0,IF(Y$60=$C504,Y$62,Y503*(1+Y567)+Y630))),0)</f>
        <v>0</v>
      </c>
      <c r="Z504" s="233">
        <f>IFERROR(IF(Z$338&gt;$D$33,0,IF(OR(Z$60&gt;$C504,$C504&gt;Z$61),0,IF(Z$60=$C504,Z$62,Z503*(1+Z567)+Z630))),0)</f>
        <v>0</v>
      </c>
      <c r="AA504" s="233">
        <f>IFERROR(IF(AA$338&gt;$D$33,0,IF(OR(AA$60&gt;$C504,$C504&gt;AA$61),0,IF(AA$60=$C504,AA$62,AA503*(1+AA567)+AA630))),0)</f>
        <v>0</v>
      </c>
      <c r="AB504" s="233">
        <f>IFERROR(IF(AB$338&gt;$D$33,0,IF(OR(AB$60&gt;$C504,$C504&gt;AB$61),0,IF(AB$60=$C504,AB$62,AB503*(1+AB567)+AB630))),0)</f>
        <v>0</v>
      </c>
    </row>
    <row r="505" spans="1:28" ht="12" customHeight="1" x14ac:dyDescent="0.3">
      <c r="A505" s="8"/>
      <c r="C505" s="495">
        <f>C442</f>
        <v>1004</v>
      </c>
      <c r="D505" s="233">
        <f>IFERROR(IF(D$338&gt;$D$33,0,IF(OR(D$60&gt;$C505,$C505&gt;D$61),0,IF(D$60=$C505,D$62,D504*(1+D568)+D631))),0)</f>
        <v>0</v>
      </c>
      <c r="E505" s="233">
        <f>IFERROR(IF(E$338&gt;$D$33,0,IF(OR(E$60&gt;$C505,$C505&gt;E$61),0,IF(E$60=$C505,E$62,E504*(1+E568)+E631))),0)</f>
        <v>0</v>
      </c>
      <c r="F505" s="233">
        <f>IFERROR(IF(F$338&gt;$D$33,0,IF(OR(F$60&gt;$C505,$C505&gt;F$61),0,IF(F$60=$C505,F$62,F504*(1+F568)+F631))),0)</f>
        <v>0</v>
      </c>
      <c r="G505" s="233">
        <f>IFERROR(IF(G$338&gt;$D$33,0,IF(OR(G$60&gt;$C505,$C505&gt;G$61),0,IF(G$60=$C505,G$62,G504*(1+G568)+G631))),0)</f>
        <v>0</v>
      </c>
      <c r="H505" s="233">
        <f>IFERROR(IF(H$338&gt;$D$33,0,IF(OR(H$60&gt;$C505,$C505&gt;H$61),0,IF(H$60=$C505,H$62,H504*(1+H568)+H631))),0)</f>
        <v>0</v>
      </c>
      <c r="I505" s="233">
        <f>IFERROR(IF(I$338&gt;$D$33,0,IF(OR(I$60&gt;$C505,$C505&gt;I$61),0,IF(I$60=$C505,I$62,I504*(1+I568)+I631))),0)</f>
        <v>0</v>
      </c>
      <c r="J505" s="233">
        <f>IFERROR(IF(J$338&gt;$D$33,0,IF(OR(J$60&gt;$C505,$C505&gt;J$61),0,IF(J$60=$C505,J$62,J504*(1+J568)+J631))),0)</f>
        <v>0</v>
      </c>
      <c r="K505" s="233">
        <f>IFERROR(IF(K$338&gt;$D$33,0,IF(OR(K$60&gt;$C505,$C505&gt;K$61),0,IF(K$60=$C505,K$62,K504*(1+K568)+K631))),0)</f>
        <v>0</v>
      </c>
      <c r="L505" s="233">
        <f>IFERROR(IF(L$338&gt;$D$33,0,IF(OR(L$60&gt;$C505,$C505&gt;L$61),0,IF(L$60=$C505,L$62,L504*(1+L568)+L631))),0)</f>
        <v>0</v>
      </c>
      <c r="M505" s="233">
        <f>IFERROR(IF(M$338&gt;$D$33,0,IF(OR(M$60&gt;$C505,$C505&gt;M$61),0,IF(M$60=$C505,M$62,M504*(1+M568)+M631))),0)</f>
        <v>0</v>
      </c>
      <c r="N505" s="233">
        <f>IFERROR(IF(N$338&gt;$D$33,0,IF(OR(N$60&gt;$C505,$C505&gt;N$61),0,IF(N$60=$C505,N$62,N504*(1+N568)+N631))),0)</f>
        <v>0</v>
      </c>
      <c r="O505" s="233">
        <f>IFERROR(IF(O$338&gt;$D$33,0,IF(OR(O$60&gt;$C505,$C505&gt;O$61),0,IF(O$60=$C505,O$62,O504*(1+O568)+O631))),0)</f>
        <v>0</v>
      </c>
      <c r="P505" s="233">
        <f>IFERROR(IF(P$338&gt;$D$33,0,IF(OR(P$60&gt;$C505,$C505&gt;P$61),0,IF(P$60=$C505,P$62,P504*(1+P568)+P631))),0)</f>
        <v>0</v>
      </c>
      <c r="Q505" s="233">
        <f>IFERROR(IF(Q$338&gt;$D$33,0,IF(OR(Q$60&gt;$C505,$C505&gt;Q$61),0,IF(Q$60=$C505,Q$62,Q504*(1+Q568)+Q631))),0)</f>
        <v>0</v>
      </c>
      <c r="R505" s="233">
        <f>IFERROR(IF(R$338&gt;$D$33,0,IF(OR(R$60&gt;$C505,$C505&gt;R$61),0,IF(R$60=$C505,R$62,R504*(1+R568)+R631))),0)</f>
        <v>0</v>
      </c>
      <c r="S505" s="233">
        <f>IFERROR(IF(S$338&gt;$D$33,0,IF(OR(S$60&gt;$C505,$C505&gt;S$61),0,IF(S$60=$C505,S$62,S504*(1+S568)+S631))),0)</f>
        <v>0</v>
      </c>
      <c r="T505" s="233">
        <f>IFERROR(IF(T$338&gt;$D$33,0,IF(OR(T$60&gt;$C505,$C505&gt;T$61),0,IF(T$60=$C505,T$62,T504*(1+T568)+T631))),0)</f>
        <v>0</v>
      </c>
      <c r="U505" s="233">
        <f>IFERROR(IF(U$338&gt;$D$33,0,IF(OR(U$60&gt;$C505,$C505&gt;U$61),0,IF(U$60=$C505,U$62,U504*(1+U568)+U631))),0)</f>
        <v>0</v>
      </c>
      <c r="V505" s="233">
        <f>IFERROR(IF(V$338&gt;$D$33,0,IF(OR(V$60&gt;$C505,$C505&gt;V$61),0,IF(V$60=$C505,V$62,V504*(1+V568)+V631))),0)</f>
        <v>0</v>
      </c>
      <c r="W505" s="233">
        <f>IFERROR(IF(W$338&gt;$D$33,0,IF(OR(W$60&gt;$C505,$C505&gt;W$61),0,IF(W$60=$C505,W$62,W504*(1+W568)+W631))),0)</f>
        <v>0</v>
      </c>
      <c r="X505" s="233">
        <f>IFERROR(IF(X$338&gt;$D$33,0,IF(OR(X$60&gt;$C505,$C505&gt;X$61),0,IF(X$60=$C505,X$62,X504*(1+X568)+X631))),0)</f>
        <v>0</v>
      </c>
      <c r="Y505" s="233">
        <f>IFERROR(IF(Y$338&gt;$D$33,0,IF(OR(Y$60&gt;$C505,$C505&gt;Y$61),0,IF(Y$60=$C505,Y$62,Y504*(1+Y568)+Y631))),0)</f>
        <v>0</v>
      </c>
      <c r="Z505" s="233">
        <f>IFERROR(IF(Z$338&gt;$D$33,0,IF(OR(Z$60&gt;$C505,$C505&gt;Z$61),0,IF(Z$60=$C505,Z$62,Z504*(1+Z568)+Z631))),0)</f>
        <v>0</v>
      </c>
      <c r="AA505" s="233">
        <f>IFERROR(IF(AA$338&gt;$D$33,0,IF(OR(AA$60&gt;$C505,$C505&gt;AA$61),0,IF(AA$60=$C505,AA$62,AA504*(1+AA568)+AA631))),0)</f>
        <v>0</v>
      </c>
      <c r="AB505" s="233">
        <f>IFERROR(IF(AB$338&gt;$D$33,0,IF(OR(AB$60&gt;$C505,$C505&gt;AB$61),0,IF(AB$60=$C505,AB$62,AB504*(1+AB568)+AB631))),0)</f>
        <v>0</v>
      </c>
    </row>
    <row r="506" spans="1:28" ht="12" customHeight="1" x14ac:dyDescent="0.3">
      <c r="A506" s="8"/>
      <c r="C506" s="495">
        <f>C443</f>
        <v>1035</v>
      </c>
      <c r="D506" s="233">
        <f>IFERROR(IF(D$338&gt;$D$33,0,IF(OR(D$60&gt;$C506,$C506&gt;D$61),0,IF(D$60=$C506,D$62,D505*(1+D569)+D632))),0)</f>
        <v>0</v>
      </c>
      <c r="E506" s="233">
        <f>IFERROR(IF(E$338&gt;$D$33,0,IF(OR(E$60&gt;$C506,$C506&gt;E$61),0,IF(E$60=$C506,E$62,E505*(1+E569)+E632))),0)</f>
        <v>0</v>
      </c>
      <c r="F506" s="233">
        <f>IFERROR(IF(F$338&gt;$D$33,0,IF(OR(F$60&gt;$C506,$C506&gt;F$61),0,IF(F$60=$C506,F$62,F505*(1+F569)+F632))),0)</f>
        <v>0</v>
      </c>
      <c r="G506" s="233">
        <f>IFERROR(IF(G$338&gt;$D$33,0,IF(OR(G$60&gt;$C506,$C506&gt;G$61),0,IF(G$60=$C506,G$62,G505*(1+G569)+G632))),0)</f>
        <v>0</v>
      </c>
      <c r="H506" s="233">
        <f>IFERROR(IF(H$338&gt;$D$33,0,IF(OR(H$60&gt;$C506,$C506&gt;H$61),0,IF(H$60=$C506,H$62,H505*(1+H569)+H632))),0)</f>
        <v>0</v>
      </c>
      <c r="I506" s="233">
        <f>IFERROR(IF(I$338&gt;$D$33,0,IF(OR(I$60&gt;$C506,$C506&gt;I$61),0,IF(I$60=$C506,I$62,I505*(1+I569)+I632))),0)</f>
        <v>0</v>
      </c>
      <c r="J506" s="233">
        <f>IFERROR(IF(J$338&gt;$D$33,0,IF(OR(J$60&gt;$C506,$C506&gt;J$61),0,IF(J$60=$C506,J$62,J505*(1+J569)+J632))),0)</f>
        <v>0</v>
      </c>
      <c r="K506" s="233">
        <f>IFERROR(IF(K$338&gt;$D$33,0,IF(OR(K$60&gt;$C506,$C506&gt;K$61),0,IF(K$60=$C506,K$62,K505*(1+K569)+K632))),0)</f>
        <v>0</v>
      </c>
      <c r="L506" s="233">
        <f>IFERROR(IF(L$338&gt;$D$33,0,IF(OR(L$60&gt;$C506,$C506&gt;L$61),0,IF(L$60=$C506,L$62,L505*(1+L569)+L632))),0)</f>
        <v>0</v>
      </c>
      <c r="M506" s="233">
        <f>IFERROR(IF(M$338&gt;$D$33,0,IF(OR(M$60&gt;$C506,$C506&gt;M$61),0,IF(M$60=$C506,M$62,M505*(1+M569)+M632))),0)</f>
        <v>0</v>
      </c>
      <c r="N506" s="233">
        <f>IFERROR(IF(N$338&gt;$D$33,0,IF(OR(N$60&gt;$C506,$C506&gt;N$61),0,IF(N$60=$C506,N$62,N505*(1+N569)+N632))),0)</f>
        <v>0</v>
      </c>
      <c r="O506" s="233">
        <f>IFERROR(IF(O$338&gt;$D$33,0,IF(OR(O$60&gt;$C506,$C506&gt;O$61),0,IF(O$60=$C506,O$62,O505*(1+O569)+O632))),0)</f>
        <v>0</v>
      </c>
      <c r="P506" s="233">
        <f>IFERROR(IF(P$338&gt;$D$33,0,IF(OR(P$60&gt;$C506,$C506&gt;P$61),0,IF(P$60=$C506,P$62,P505*(1+P569)+P632))),0)</f>
        <v>0</v>
      </c>
      <c r="Q506" s="233">
        <f>IFERROR(IF(Q$338&gt;$D$33,0,IF(OR(Q$60&gt;$C506,$C506&gt;Q$61),0,IF(Q$60=$C506,Q$62,Q505*(1+Q569)+Q632))),0)</f>
        <v>0</v>
      </c>
      <c r="R506" s="233">
        <f>IFERROR(IF(R$338&gt;$D$33,0,IF(OR(R$60&gt;$C506,$C506&gt;R$61),0,IF(R$60=$C506,R$62,R505*(1+R569)+R632))),0)</f>
        <v>0</v>
      </c>
      <c r="S506" s="233">
        <f>IFERROR(IF(S$338&gt;$D$33,0,IF(OR(S$60&gt;$C506,$C506&gt;S$61),0,IF(S$60=$C506,S$62,S505*(1+S569)+S632))),0)</f>
        <v>0</v>
      </c>
      <c r="T506" s="233">
        <f>IFERROR(IF(T$338&gt;$D$33,0,IF(OR(T$60&gt;$C506,$C506&gt;T$61),0,IF(T$60=$C506,T$62,T505*(1+T569)+T632))),0)</f>
        <v>0</v>
      </c>
      <c r="U506" s="233">
        <f>IFERROR(IF(U$338&gt;$D$33,0,IF(OR(U$60&gt;$C506,$C506&gt;U$61),0,IF(U$60=$C506,U$62,U505*(1+U569)+U632))),0)</f>
        <v>0</v>
      </c>
      <c r="V506" s="233">
        <f>IFERROR(IF(V$338&gt;$D$33,0,IF(OR(V$60&gt;$C506,$C506&gt;V$61),0,IF(V$60=$C506,V$62,V505*(1+V569)+V632))),0)</f>
        <v>0</v>
      </c>
      <c r="W506" s="233">
        <f>IFERROR(IF(W$338&gt;$D$33,0,IF(OR(W$60&gt;$C506,$C506&gt;W$61),0,IF(W$60=$C506,W$62,W505*(1+W569)+W632))),0)</f>
        <v>0</v>
      </c>
      <c r="X506" s="233">
        <f>IFERROR(IF(X$338&gt;$D$33,0,IF(OR(X$60&gt;$C506,$C506&gt;X$61),0,IF(X$60=$C506,X$62,X505*(1+X569)+X632))),0)</f>
        <v>0</v>
      </c>
      <c r="Y506" s="233">
        <f>IFERROR(IF(Y$338&gt;$D$33,0,IF(OR(Y$60&gt;$C506,$C506&gt;Y$61),0,IF(Y$60=$C506,Y$62,Y505*(1+Y569)+Y632))),0)</f>
        <v>0</v>
      </c>
      <c r="Z506" s="233">
        <f>IFERROR(IF(Z$338&gt;$D$33,0,IF(OR(Z$60&gt;$C506,$C506&gt;Z$61),0,IF(Z$60=$C506,Z$62,Z505*(1+Z569)+Z632))),0)</f>
        <v>0</v>
      </c>
      <c r="AA506" s="233">
        <f>IFERROR(IF(AA$338&gt;$D$33,0,IF(OR(AA$60&gt;$C506,$C506&gt;AA$61),0,IF(AA$60=$C506,AA$62,AA505*(1+AA569)+AA632))),0)</f>
        <v>0</v>
      </c>
      <c r="AB506" s="233">
        <f>IFERROR(IF(AB$338&gt;$D$33,0,IF(OR(AB$60&gt;$C506,$C506&gt;AB$61),0,IF(AB$60=$C506,AB$62,AB505*(1+AB569)+AB632))),0)</f>
        <v>0</v>
      </c>
    </row>
    <row r="507" spans="1:28" ht="12" customHeight="1" x14ac:dyDescent="0.3">
      <c r="A507" s="8"/>
      <c r="C507" s="495">
        <f>C444</f>
        <v>1065</v>
      </c>
      <c r="D507" s="233">
        <f>IFERROR(IF(D$338&gt;$D$33,0,IF(OR(D$60&gt;$C507,$C507&gt;D$61),0,IF(D$60=$C507,D$62,D506*(1+D570)+D633))),0)</f>
        <v>0</v>
      </c>
      <c r="E507" s="233">
        <f>IFERROR(IF(E$338&gt;$D$33,0,IF(OR(E$60&gt;$C507,$C507&gt;E$61),0,IF(E$60=$C507,E$62,E506*(1+E570)+E633))),0)</f>
        <v>0</v>
      </c>
      <c r="F507" s="233">
        <f>IFERROR(IF(F$338&gt;$D$33,0,IF(OR(F$60&gt;$C507,$C507&gt;F$61),0,IF(F$60=$C507,F$62,F506*(1+F570)+F633))),0)</f>
        <v>0</v>
      </c>
      <c r="G507" s="233">
        <f>IFERROR(IF(G$338&gt;$D$33,0,IF(OR(G$60&gt;$C507,$C507&gt;G$61),0,IF(G$60=$C507,G$62,G506*(1+G570)+G633))),0)</f>
        <v>0</v>
      </c>
      <c r="H507" s="233">
        <f>IFERROR(IF(H$338&gt;$D$33,0,IF(OR(H$60&gt;$C507,$C507&gt;H$61),0,IF(H$60=$C507,H$62,H506*(1+H570)+H633))),0)</f>
        <v>0</v>
      </c>
      <c r="I507" s="233">
        <f>IFERROR(IF(I$338&gt;$D$33,0,IF(OR(I$60&gt;$C507,$C507&gt;I$61),0,IF(I$60=$C507,I$62,I506*(1+I570)+I633))),0)</f>
        <v>0</v>
      </c>
      <c r="J507" s="233">
        <f>IFERROR(IF(J$338&gt;$D$33,0,IF(OR(J$60&gt;$C507,$C507&gt;J$61),0,IF(J$60=$C507,J$62,J506*(1+J570)+J633))),0)</f>
        <v>0</v>
      </c>
      <c r="K507" s="233">
        <f>IFERROR(IF(K$338&gt;$D$33,0,IF(OR(K$60&gt;$C507,$C507&gt;K$61),0,IF(K$60=$C507,K$62,K506*(1+K570)+K633))),0)</f>
        <v>0</v>
      </c>
      <c r="L507" s="233">
        <f>IFERROR(IF(L$338&gt;$D$33,0,IF(OR(L$60&gt;$C507,$C507&gt;L$61),0,IF(L$60=$C507,L$62,L506*(1+L570)+L633))),0)</f>
        <v>0</v>
      </c>
      <c r="M507" s="233">
        <f>IFERROR(IF(M$338&gt;$D$33,0,IF(OR(M$60&gt;$C507,$C507&gt;M$61),0,IF(M$60=$C507,M$62,M506*(1+M570)+M633))),0)</f>
        <v>0</v>
      </c>
      <c r="N507" s="233">
        <f>IFERROR(IF(N$338&gt;$D$33,0,IF(OR(N$60&gt;$C507,$C507&gt;N$61),0,IF(N$60=$C507,N$62,N506*(1+N570)+N633))),0)</f>
        <v>0</v>
      </c>
      <c r="O507" s="233">
        <f>IFERROR(IF(O$338&gt;$D$33,0,IF(OR(O$60&gt;$C507,$C507&gt;O$61),0,IF(O$60=$C507,O$62,O506*(1+O570)+O633))),0)</f>
        <v>0</v>
      </c>
      <c r="P507" s="233">
        <f>IFERROR(IF(P$338&gt;$D$33,0,IF(OR(P$60&gt;$C507,$C507&gt;P$61),0,IF(P$60=$C507,P$62,P506*(1+P570)+P633))),0)</f>
        <v>0</v>
      </c>
      <c r="Q507" s="233">
        <f>IFERROR(IF(Q$338&gt;$D$33,0,IF(OR(Q$60&gt;$C507,$C507&gt;Q$61),0,IF(Q$60=$C507,Q$62,Q506*(1+Q570)+Q633))),0)</f>
        <v>0</v>
      </c>
      <c r="R507" s="233">
        <f>IFERROR(IF(R$338&gt;$D$33,0,IF(OR(R$60&gt;$C507,$C507&gt;R$61),0,IF(R$60=$C507,R$62,R506*(1+R570)+R633))),0)</f>
        <v>0</v>
      </c>
      <c r="S507" s="233">
        <f>IFERROR(IF(S$338&gt;$D$33,0,IF(OR(S$60&gt;$C507,$C507&gt;S$61),0,IF(S$60=$C507,S$62,S506*(1+S570)+S633))),0)</f>
        <v>0</v>
      </c>
      <c r="T507" s="233">
        <f>IFERROR(IF(T$338&gt;$D$33,0,IF(OR(T$60&gt;$C507,$C507&gt;T$61),0,IF(T$60=$C507,T$62,T506*(1+T570)+T633))),0)</f>
        <v>0</v>
      </c>
      <c r="U507" s="233">
        <f>IFERROR(IF(U$338&gt;$D$33,0,IF(OR(U$60&gt;$C507,$C507&gt;U$61),0,IF(U$60=$C507,U$62,U506*(1+U570)+U633))),0)</f>
        <v>0</v>
      </c>
      <c r="V507" s="233">
        <f>IFERROR(IF(V$338&gt;$D$33,0,IF(OR(V$60&gt;$C507,$C507&gt;V$61),0,IF(V$60=$C507,V$62,V506*(1+V570)+V633))),0)</f>
        <v>0</v>
      </c>
      <c r="W507" s="233">
        <f>IFERROR(IF(W$338&gt;$D$33,0,IF(OR(W$60&gt;$C507,$C507&gt;W$61),0,IF(W$60=$C507,W$62,W506*(1+W570)+W633))),0)</f>
        <v>0</v>
      </c>
      <c r="X507" s="233">
        <f>IFERROR(IF(X$338&gt;$D$33,0,IF(OR(X$60&gt;$C507,$C507&gt;X$61),0,IF(X$60=$C507,X$62,X506*(1+X570)+X633))),0)</f>
        <v>0</v>
      </c>
      <c r="Y507" s="233">
        <f>IFERROR(IF(Y$338&gt;$D$33,0,IF(OR(Y$60&gt;$C507,$C507&gt;Y$61),0,IF(Y$60=$C507,Y$62,Y506*(1+Y570)+Y633))),0)</f>
        <v>0</v>
      </c>
      <c r="Z507" s="233">
        <f>IFERROR(IF(Z$338&gt;$D$33,0,IF(OR(Z$60&gt;$C507,$C507&gt;Z$61),0,IF(Z$60=$C507,Z$62,Z506*(1+Z570)+Z633))),0)</f>
        <v>0</v>
      </c>
      <c r="AA507" s="233">
        <f>IFERROR(IF(AA$338&gt;$D$33,0,IF(OR(AA$60&gt;$C507,$C507&gt;AA$61),0,IF(AA$60=$C507,AA$62,AA506*(1+AA570)+AA633))),0)</f>
        <v>0</v>
      </c>
      <c r="AB507" s="233">
        <f>IFERROR(IF(AB$338&gt;$D$33,0,IF(OR(AB$60&gt;$C507,$C507&gt;AB$61),0,IF(AB$60=$C507,AB$62,AB506*(1+AB570)+AB633))),0)</f>
        <v>0</v>
      </c>
    </row>
    <row r="508" spans="1:28" ht="12" customHeight="1" thickBot="1" x14ac:dyDescent="0.35">
      <c r="A508" s="8"/>
      <c r="C508" s="496">
        <f>C445</f>
        <v>1096</v>
      </c>
      <c r="D508" s="235">
        <f>IFERROR(IF(D$338&gt;$D$33,0,IF(OR(D$60&gt;$C508,$C508&gt;D$61),0,IF(D$60=$C508,D$62,D507*(1+D571)+D634))),0)</f>
        <v>0</v>
      </c>
      <c r="E508" s="235">
        <f>IFERROR(IF(E$338&gt;$D$33,0,IF(OR(E$60&gt;$C508,$C508&gt;E$61),0,IF(E$60=$C508,E$62,E507*(1+E571)+E634))),0)</f>
        <v>0</v>
      </c>
      <c r="F508" s="235">
        <f>IFERROR(IF(F$338&gt;$D$33,0,IF(OR(F$60&gt;$C508,$C508&gt;F$61),0,IF(F$60=$C508,F$62,F507*(1+F571)+F634))),0)</f>
        <v>0</v>
      </c>
      <c r="G508" s="235">
        <f>IFERROR(IF(G$338&gt;$D$33,0,IF(OR(G$60&gt;$C508,$C508&gt;G$61),0,IF(G$60=$C508,G$62,G507*(1+G571)+G634))),0)</f>
        <v>0</v>
      </c>
      <c r="H508" s="235">
        <f>IFERROR(IF(H$338&gt;$D$33,0,IF(OR(H$60&gt;$C508,$C508&gt;H$61),0,IF(H$60=$C508,H$62,H507*(1+H571)+H634))),0)</f>
        <v>0</v>
      </c>
      <c r="I508" s="235">
        <f>IFERROR(IF(I$338&gt;$D$33,0,IF(OR(I$60&gt;$C508,$C508&gt;I$61),0,IF(I$60=$C508,I$62,I507*(1+I571)+I634))),0)</f>
        <v>0</v>
      </c>
      <c r="J508" s="235">
        <f>IFERROR(IF(J$338&gt;$D$33,0,IF(OR(J$60&gt;$C508,$C508&gt;J$61),0,IF(J$60=$C508,J$62,J507*(1+J571)+J634))),0)</f>
        <v>0</v>
      </c>
      <c r="K508" s="235">
        <f>IFERROR(IF(K$338&gt;$D$33,0,IF(OR(K$60&gt;$C508,$C508&gt;K$61),0,IF(K$60=$C508,K$62,K507*(1+K571)+K634))),0)</f>
        <v>0</v>
      </c>
      <c r="L508" s="235">
        <f>IFERROR(IF(L$338&gt;$D$33,0,IF(OR(L$60&gt;$C508,$C508&gt;L$61),0,IF(L$60=$C508,L$62,L507*(1+L571)+L634))),0)</f>
        <v>0</v>
      </c>
      <c r="M508" s="235">
        <f>IFERROR(IF(M$338&gt;$D$33,0,IF(OR(M$60&gt;$C508,$C508&gt;M$61),0,IF(M$60=$C508,M$62,M507*(1+M571)+M634))),0)</f>
        <v>0</v>
      </c>
      <c r="N508" s="235">
        <f>IFERROR(IF(N$338&gt;$D$33,0,IF(OR(N$60&gt;$C508,$C508&gt;N$61),0,IF(N$60=$C508,N$62,N507*(1+N571)+N634))),0)</f>
        <v>0</v>
      </c>
      <c r="O508" s="235">
        <f>IFERROR(IF(O$338&gt;$D$33,0,IF(OR(O$60&gt;$C508,$C508&gt;O$61),0,IF(O$60=$C508,O$62,O507*(1+O571)+O634))),0)</f>
        <v>0</v>
      </c>
      <c r="P508" s="235">
        <f>IFERROR(IF(P$338&gt;$D$33,0,IF(OR(P$60&gt;$C508,$C508&gt;P$61),0,IF(P$60=$C508,P$62,P507*(1+P571)+P634))),0)</f>
        <v>0</v>
      </c>
      <c r="Q508" s="235">
        <f>IFERROR(IF(Q$338&gt;$D$33,0,IF(OR(Q$60&gt;$C508,$C508&gt;Q$61),0,IF(Q$60=$C508,Q$62,Q507*(1+Q571)+Q634))),0)</f>
        <v>0</v>
      </c>
      <c r="R508" s="235">
        <f>IFERROR(IF(R$338&gt;$D$33,0,IF(OR(R$60&gt;$C508,$C508&gt;R$61),0,IF(R$60=$C508,R$62,R507*(1+R571)+R634))),0)</f>
        <v>0</v>
      </c>
      <c r="S508" s="235">
        <f>IFERROR(IF(S$338&gt;$D$33,0,IF(OR(S$60&gt;$C508,$C508&gt;S$61),0,IF(S$60=$C508,S$62,S507*(1+S571)+S634))),0)</f>
        <v>0</v>
      </c>
      <c r="T508" s="235">
        <f>IFERROR(IF(T$338&gt;$D$33,0,IF(OR(T$60&gt;$C508,$C508&gt;T$61),0,IF(T$60=$C508,T$62,T507*(1+T571)+T634))),0)</f>
        <v>0</v>
      </c>
      <c r="U508" s="235">
        <f>IFERROR(IF(U$338&gt;$D$33,0,IF(OR(U$60&gt;$C508,$C508&gt;U$61),0,IF(U$60=$C508,U$62,U507*(1+U571)+U634))),0)</f>
        <v>0</v>
      </c>
      <c r="V508" s="235">
        <f>IFERROR(IF(V$338&gt;$D$33,0,IF(OR(V$60&gt;$C508,$C508&gt;V$61),0,IF(V$60=$C508,V$62,V507*(1+V571)+V634))),0)</f>
        <v>0</v>
      </c>
      <c r="W508" s="235">
        <f>IFERROR(IF(W$338&gt;$D$33,0,IF(OR(W$60&gt;$C508,$C508&gt;W$61),0,IF(W$60=$C508,W$62,W507*(1+W571)+W634))),0)</f>
        <v>0</v>
      </c>
      <c r="X508" s="235">
        <f>IFERROR(IF(X$338&gt;$D$33,0,IF(OR(X$60&gt;$C508,$C508&gt;X$61),0,IF(X$60=$C508,X$62,X507*(1+X571)+X634))),0)</f>
        <v>0</v>
      </c>
      <c r="Y508" s="235">
        <f>IFERROR(IF(Y$338&gt;$D$33,0,IF(OR(Y$60&gt;$C508,$C508&gt;Y$61),0,IF(Y$60=$C508,Y$62,Y507*(1+Y571)+Y634))),0)</f>
        <v>0</v>
      </c>
      <c r="Z508" s="235">
        <f>IFERROR(IF(Z$338&gt;$D$33,0,IF(OR(Z$60&gt;$C508,$C508&gt;Z$61),0,IF(Z$60=$C508,Z$62,Z507*(1+Z571)+Z634))),0)</f>
        <v>0</v>
      </c>
      <c r="AA508" s="235">
        <f>IFERROR(IF(AA$338&gt;$D$33,0,IF(OR(AA$60&gt;$C508,$C508&gt;AA$61),0,IF(AA$60=$C508,AA$62,AA507*(1+AA571)+AA634))),0)</f>
        <v>0</v>
      </c>
      <c r="AB508" s="235">
        <f>IFERROR(IF(AB$338&gt;$D$33,0,IF(OR(AB$60&gt;$C508,$C508&gt;AB$61),0,IF(AB$60=$C508,AB$62,AB507*(1+AB571)+AB634))),0)</f>
        <v>0</v>
      </c>
    </row>
    <row r="509" spans="1:28" ht="12" customHeight="1" x14ac:dyDescent="0.3">
      <c r="A509" s="8"/>
      <c r="C509" s="495">
        <f>C446</f>
        <v>1127</v>
      </c>
      <c r="D509" s="832">
        <f>IF(Years="Three",SUM(D473:D508),IFERROR(IF(D$338&gt;$D$33,0,IF(OR(D$60&gt;$C509,$C509&gt;D$61),0,IF(D$60=$C509,D$62,D508*(1+D572)+D635))),0))</f>
        <v>0</v>
      </c>
      <c r="E509" s="833">
        <f>IFERROR(IF(E$338&gt;$D$33,0,IF(OR(E$60&gt;$C509,$C509&gt;E$61),0,IF(E$60=$C509,E$62,E508*(1+E572)+E635))),0)</f>
        <v>0</v>
      </c>
      <c r="F509" s="833">
        <f>IFERROR(IF(F$338&gt;$D$33,0,IF(OR(F$60&gt;$C509,$C509&gt;F$61),0,IF(F$60=$C509,F$62,F508*(1+F572)+F635))),0)</f>
        <v>0</v>
      </c>
      <c r="G509" s="833">
        <f>IFERROR(IF(G$338&gt;$D$33,0,IF(OR(G$60&gt;$C509,$C509&gt;G$61),0,IF(G$60=$C509,G$62,G508*(1+G572)+G635))),0)</f>
        <v>0</v>
      </c>
      <c r="H509" s="833">
        <f>IFERROR(IF(H$338&gt;$D$33,0,IF(OR(H$60&gt;$C509,$C509&gt;H$61),0,IF(H$60=$C509,H$62,H508*(1+H572)+H635))),0)</f>
        <v>0</v>
      </c>
      <c r="I509" s="833">
        <f>IFERROR(IF(I$338&gt;$D$33,0,IF(OR(I$60&gt;$C509,$C509&gt;I$61),0,IF(I$60=$C509,I$62,I508*(1+I572)+I635))),0)</f>
        <v>0</v>
      </c>
      <c r="J509" s="833">
        <f>IFERROR(IF(J$338&gt;$D$33,0,IF(OR(J$60&gt;$C509,$C509&gt;J$61),0,IF(J$60=$C509,J$62,J508*(1+J572)+J635))),0)</f>
        <v>0</v>
      </c>
      <c r="K509" s="833">
        <f>IFERROR(IF(K$338&gt;$D$33,0,IF(OR(K$60&gt;$C509,$C509&gt;K$61),0,IF(K$60=$C509,K$62,K508*(1+K572)+K635))),0)</f>
        <v>0</v>
      </c>
      <c r="L509" s="833">
        <f>IFERROR(IF(L$338&gt;$D$33,0,IF(OR(L$60&gt;$C509,$C509&gt;L$61),0,IF(L$60=$C509,L$62,L508*(1+L572)+L635))),0)</f>
        <v>0</v>
      </c>
      <c r="M509" s="833">
        <f>IFERROR(IF(M$338&gt;$D$33,0,IF(OR(M$60&gt;$C509,$C509&gt;M$61),0,IF(M$60=$C509,M$62,M508*(1+M572)+M635))),0)</f>
        <v>0</v>
      </c>
      <c r="N509" s="833">
        <f>IFERROR(IF(N$338&gt;$D$33,0,IF(OR(N$60&gt;$C509,$C509&gt;N$61),0,IF(N$60=$C509,N$62,N508*(1+N572)+N635))),0)</f>
        <v>0</v>
      </c>
      <c r="O509" s="833">
        <f>IFERROR(IF(O$338&gt;$D$33,0,IF(OR(O$60&gt;$C509,$C509&gt;O$61),0,IF(O$60=$C509,O$62,O508*(1+O572)+O635))),0)</f>
        <v>0</v>
      </c>
      <c r="P509" s="833">
        <f>IFERROR(IF(P$338&gt;$D$33,0,IF(OR(P$60&gt;$C509,$C509&gt;P$61),0,IF(P$60=$C509,P$62,P508*(1+P572)+P635))),0)</f>
        <v>0</v>
      </c>
      <c r="Q509" s="833">
        <f>IFERROR(IF(Q$338&gt;$D$33,0,IF(OR(Q$60&gt;$C509,$C509&gt;Q$61),0,IF(Q$60=$C509,Q$62,Q508*(1+Q572)+Q635))),0)</f>
        <v>0</v>
      </c>
      <c r="R509" s="833">
        <f>IFERROR(IF(R$338&gt;$D$33,0,IF(OR(R$60&gt;$C509,$C509&gt;R$61),0,IF(R$60=$C509,R$62,R508*(1+R572)+R635))),0)</f>
        <v>0</v>
      </c>
      <c r="S509" s="833">
        <f>IFERROR(IF(S$338&gt;$D$33,0,IF(OR(S$60&gt;$C509,$C509&gt;S$61),0,IF(S$60=$C509,S$62,S508*(1+S572)+S635))),0)</f>
        <v>0</v>
      </c>
      <c r="T509" s="833">
        <f>IFERROR(IF(T$338&gt;$D$33,0,IF(OR(T$60&gt;$C509,$C509&gt;T$61),0,IF(T$60=$C509,T$62,T508*(1+T572)+T635))),0)</f>
        <v>0</v>
      </c>
      <c r="U509" s="833">
        <f>IFERROR(IF(U$338&gt;$D$33,0,IF(OR(U$60&gt;$C509,$C509&gt;U$61),0,IF(U$60=$C509,U$62,U508*(1+U572)+U635))),0)</f>
        <v>0</v>
      </c>
      <c r="V509" s="833">
        <f>IFERROR(IF(V$338&gt;$D$33,0,IF(OR(V$60&gt;$C509,$C509&gt;V$61),0,IF(V$60=$C509,V$62,V508*(1+V572)+V635))),0)</f>
        <v>0</v>
      </c>
      <c r="W509" s="833">
        <f>IFERROR(IF(W$338&gt;$D$33,0,IF(OR(W$60&gt;$C509,$C509&gt;W$61),0,IF(W$60=$C509,W$62,W508*(1+W572)+W635))),0)</f>
        <v>0</v>
      </c>
      <c r="X509" s="833">
        <f>IFERROR(IF(X$338&gt;$D$33,0,IF(OR(X$60&gt;$C509,$C509&gt;X$61),0,IF(X$60=$C509,X$62,X508*(1+X572)+X635))),0)</f>
        <v>0</v>
      </c>
      <c r="Y509" s="833">
        <f>IFERROR(IF(Y$338&gt;$D$33,0,IF(OR(Y$60&gt;$C509,$C509&gt;Y$61),0,IF(Y$60=$C509,Y$62,Y508*(1+Y572)+Y635))),0)</f>
        <v>0</v>
      </c>
      <c r="Z509" s="833">
        <f>IFERROR(IF(Z$338&gt;$D$33,0,IF(OR(Z$60&gt;$C509,$C509&gt;Z$61),0,IF(Z$60=$C509,Z$62,Z508*(1+Z572)+Z635))),0)</f>
        <v>0</v>
      </c>
      <c r="AA509" s="833">
        <f>IFERROR(IF(AA$338&gt;$D$33,0,IF(OR(AA$60&gt;$C509,$C509&gt;AA$61),0,IF(AA$60=$C509,AA$62,AA508*(1+AA572)+AA635))),0)</f>
        <v>0</v>
      </c>
      <c r="AB509" s="834">
        <f>IFERROR(IF(AB$338&gt;$D$33,0,IF(OR(AB$60&gt;$C509,$C509&gt;AB$61),0,IF(AB$60=$C509,AB$62,AB508*(1+AB572)+AB635))),0)</f>
        <v>0</v>
      </c>
    </row>
    <row r="510" spans="1:28" ht="12" customHeight="1" x14ac:dyDescent="0.3">
      <c r="A510" s="8"/>
      <c r="C510" s="495">
        <f>C447</f>
        <v>1155</v>
      </c>
      <c r="D510" s="835">
        <f>IFERROR(IF(D$338&gt;$D$33,0,IF(OR(D$60&gt;$C510,$C510&gt;D$61),0,IF(D$60=$C510,D$62,D509*(1+D573)+D636))),0)</f>
        <v>0</v>
      </c>
      <c r="E510" s="836">
        <f>IFERROR(IF(E$338&gt;$D$33,0,IF(OR(E$60&gt;$C510,$C510&gt;E$61),0,IF(E$60=$C510,E$62,E509*(1+E573)+E636))),0)</f>
        <v>0</v>
      </c>
      <c r="F510" s="836">
        <f>IFERROR(IF(F$338&gt;$D$33,0,IF(OR(F$60&gt;$C510,$C510&gt;F$61),0,IF(F$60=$C510,F$62,F509*(1+F573)+F636))),0)</f>
        <v>0</v>
      </c>
      <c r="G510" s="836">
        <f>IFERROR(IF(G$338&gt;$D$33,0,IF(OR(G$60&gt;$C510,$C510&gt;G$61),0,IF(G$60=$C510,G$62,G509*(1+G573)+G636))),0)</f>
        <v>0</v>
      </c>
      <c r="H510" s="836">
        <f>IFERROR(IF(H$338&gt;$D$33,0,IF(OR(H$60&gt;$C510,$C510&gt;H$61),0,IF(H$60=$C510,H$62,H509*(1+H573)+H636))),0)</f>
        <v>0</v>
      </c>
      <c r="I510" s="836">
        <f>IFERROR(IF(I$338&gt;$D$33,0,IF(OR(I$60&gt;$C510,$C510&gt;I$61),0,IF(I$60=$C510,I$62,I509*(1+I573)+I636))),0)</f>
        <v>0</v>
      </c>
      <c r="J510" s="836">
        <f>IFERROR(IF(J$338&gt;$D$33,0,IF(OR(J$60&gt;$C510,$C510&gt;J$61),0,IF(J$60=$C510,J$62,J509*(1+J573)+J636))),0)</f>
        <v>0</v>
      </c>
      <c r="K510" s="836">
        <f>IFERROR(IF(K$338&gt;$D$33,0,IF(OR(K$60&gt;$C510,$C510&gt;K$61),0,IF(K$60=$C510,K$62,K509*(1+K573)+K636))),0)</f>
        <v>0</v>
      </c>
      <c r="L510" s="836">
        <f>IFERROR(IF(L$338&gt;$D$33,0,IF(OR(L$60&gt;$C510,$C510&gt;L$61),0,IF(L$60=$C510,L$62,L509*(1+L573)+L636))),0)</f>
        <v>0</v>
      </c>
      <c r="M510" s="836">
        <f>IFERROR(IF(M$338&gt;$D$33,0,IF(OR(M$60&gt;$C510,$C510&gt;M$61),0,IF(M$60=$C510,M$62,M509*(1+M573)+M636))),0)</f>
        <v>0</v>
      </c>
      <c r="N510" s="836">
        <f>IFERROR(IF(N$338&gt;$D$33,0,IF(OR(N$60&gt;$C510,$C510&gt;N$61),0,IF(N$60=$C510,N$62,N509*(1+N573)+N636))),0)</f>
        <v>0</v>
      </c>
      <c r="O510" s="836">
        <f>IFERROR(IF(O$338&gt;$D$33,0,IF(OR(O$60&gt;$C510,$C510&gt;O$61),0,IF(O$60=$C510,O$62,O509*(1+O573)+O636))),0)</f>
        <v>0</v>
      </c>
      <c r="P510" s="836">
        <f>IFERROR(IF(P$338&gt;$D$33,0,IF(OR(P$60&gt;$C510,$C510&gt;P$61),0,IF(P$60=$C510,P$62,P509*(1+P573)+P636))),0)</f>
        <v>0</v>
      </c>
      <c r="Q510" s="836">
        <f>IFERROR(IF(Q$338&gt;$D$33,0,IF(OR(Q$60&gt;$C510,$C510&gt;Q$61),0,IF(Q$60=$C510,Q$62,Q509*(1+Q573)+Q636))),0)</f>
        <v>0</v>
      </c>
      <c r="R510" s="836">
        <f>IFERROR(IF(R$338&gt;$D$33,0,IF(OR(R$60&gt;$C510,$C510&gt;R$61),0,IF(R$60=$C510,R$62,R509*(1+R573)+R636))),0)</f>
        <v>0</v>
      </c>
      <c r="S510" s="836">
        <f>IFERROR(IF(S$338&gt;$D$33,0,IF(OR(S$60&gt;$C510,$C510&gt;S$61),0,IF(S$60=$C510,S$62,S509*(1+S573)+S636))),0)</f>
        <v>0</v>
      </c>
      <c r="T510" s="836">
        <f>IFERROR(IF(T$338&gt;$D$33,0,IF(OR(T$60&gt;$C510,$C510&gt;T$61),0,IF(T$60=$C510,T$62,T509*(1+T573)+T636))),0)</f>
        <v>0</v>
      </c>
      <c r="U510" s="836">
        <f>IFERROR(IF(U$338&gt;$D$33,0,IF(OR(U$60&gt;$C510,$C510&gt;U$61),0,IF(U$60=$C510,U$62,U509*(1+U573)+U636))),0)</f>
        <v>0</v>
      </c>
      <c r="V510" s="836">
        <f>IFERROR(IF(V$338&gt;$D$33,0,IF(OR(V$60&gt;$C510,$C510&gt;V$61),0,IF(V$60=$C510,V$62,V509*(1+V573)+V636))),0)</f>
        <v>0</v>
      </c>
      <c r="W510" s="836">
        <f>IFERROR(IF(W$338&gt;$D$33,0,IF(OR(W$60&gt;$C510,$C510&gt;W$61),0,IF(W$60=$C510,W$62,W509*(1+W573)+W636))),0)</f>
        <v>0</v>
      </c>
      <c r="X510" s="836">
        <f>IFERROR(IF(X$338&gt;$D$33,0,IF(OR(X$60&gt;$C510,$C510&gt;X$61),0,IF(X$60=$C510,X$62,X509*(1+X573)+X636))),0)</f>
        <v>0</v>
      </c>
      <c r="Y510" s="836">
        <f>IFERROR(IF(Y$338&gt;$D$33,0,IF(OR(Y$60&gt;$C510,$C510&gt;Y$61),0,IF(Y$60=$C510,Y$62,Y509*(1+Y573)+Y636))),0)</f>
        <v>0</v>
      </c>
      <c r="Z510" s="836">
        <f>IFERROR(IF(Z$338&gt;$D$33,0,IF(OR(Z$60&gt;$C510,$C510&gt;Z$61),0,IF(Z$60=$C510,Z$62,Z509*(1+Z573)+Z636))),0)</f>
        <v>0</v>
      </c>
      <c r="AA510" s="836">
        <f>IFERROR(IF(AA$338&gt;$D$33,0,IF(OR(AA$60&gt;$C510,$C510&gt;AA$61),0,IF(AA$60=$C510,AA$62,AA509*(1+AA573)+AA636))),0)</f>
        <v>0</v>
      </c>
      <c r="AB510" s="837">
        <f>IFERROR(IF(AB$338&gt;$D$33,0,IF(OR(AB$60&gt;$C510,$C510&gt;AB$61),0,IF(AB$60=$C510,AB$62,AB509*(1+AB573)+AB636))),0)</f>
        <v>0</v>
      </c>
    </row>
    <row r="511" spans="1:28" ht="12" customHeight="1" x14ac:dyDescent="0.3">
      <c r="A511" s="8"/>
      <c r="C511" s="495">
        <f>C448</f>
        <v>1186</v>
      </c>
      <c r="D511" s="835">
        <f>IFERROR(IF(D$338&gt;$D$33,0,IF(OR(D$60&gt;$C511,$C511&gt;D$61),0,IF(D$60=$C511,D$62,D510*(1+D574)+D637))),0)</f>
        <v>0</v>
      </c>
      <c r="E511" s="836">
        <f>IFERROR(IF(E$338&gt;$D$33,0,IF(OR(E$60&gt;$C511,$C511&gt;E$61),0,IF(E$60=$C511,E$62,E510*(1+E574)+E637))),0)</f>
        <v>0</v>
      </c>
      <c r="F511" s="836">
        <f>IFERROR(IF(F$338&gt;$D$33,0,IF(OR(F$60&gt;$C511,$C511&gt;F$61),0,IF(F$60=$C511,F$62,F510*(1+F574)+F637))),0)</f>
        <v>0</v>
      </c>
      <c r="G511" s="836">
        <f>IFERROR(IF(G$338&gt;$D$33,0,IF(OR(G$60&gt;$C511,$C511&gt;G$61),0,IF(G$60=$C511,G$62,G510*(1+G574)+G637))),0)</f>
        <v>0</v>
      </c>
      <c r="H511" s="836">
        <f>IFERROR(IF(H$338&gt;$D$33,0,IF(OR(H$60&gt;$C511,$C511&gt;H$61),0,IF(H$60=$C511,H$62,H510*(1+H574)+H637))),0)</f>
        <v>0</v>
      </c>
      <c r="I511" s="836">
        <f>IFERROR(IF(I$338&gt;$D$33,0,IF(OR(I$60&gt;$C511,$C511&gt;I$61),0,IF(I$60=$C511,I$62,I510*(1+I574)+I637))),0)</f>
        <v>0</v>
      </c>
      <c r="J511" s="836">
        <f>IFERROR(IF(J$338&gt;$D$33,0,IF(OR(J$60&gt;$C511,$C511&gt;J$61),0,IF(J$60=$C511,J$62,J510*(1+J574)+J637))),0)</f>
        <v>0</v>
      </c>
      <c r="K511" s="836">
        <f>IFERROR(IF(K$338&gt;$D$33,0,IF(OR(K$60&gt;$C511,$C511&gt;K$61),0,IF(K$60=$C511,K$62,K510*(1+K574)+K637))),0)</f>
        <v>0</v>
      </c>
      <c r="L511" s="836">
        <f>IFERROR(IF(L$338&gt;$D$33,0,IF(OR(L$60&gt;$C511,$C511&gt;L$61),0,IF(L$60=$C511,L$62,L510*(1+L574)+L637))),0)</f>
        <v>0</v>
      </c>
      <c r="M511" s="836">
        <f>IFERROR(IF(M$338&gt;$D$33,0,IF(OR(M$60&gt;$C511,$C511&gt;M$61),0,IF(M$60=$C511,M$62,M510*(1+M574)+M637))),0)</f>
        <v>0</v>
      </c>
      <c r="N511" s="836">
        <f>IFERROR(IF(N$338&gt;$D$33,0,IF(OR(N$60&gt;$C511,$C511&gt;N$61),0,IF(N$60=$C511,N$62,N510*(1+N574)+N637))),0)</f>
        <v>0</v>
      </c>
      <c r="O511" s="836">
        <f>IFERROR(IF(O$338&gt;$D$33,0,IF(OR(O$60&gt;$C511,$C511&gt;O$61),0,IF(O$60=$C511,O$62,O510*(1+O574)+O637))),0)</f>
        <v>0</v>
      </c>
      <c r="P511" s="836">
        <f>IFERROR(IF(P$338&gt;$D$33,0,IF(OR(P$60&gt;$C511,$C511&gt;P$61),0,IF(P$60=$C511,P$62,P510*(1+P574)+P637))),0)</f>
        <v>0</v>
      </c>
      <c r="Q511" s="836">
        <f>IFERROR(IF(Q$338&gt;$D$33,0,IF(OR(Q$60&gt;$C511,$C511&gt;Q$61),0,IF(Q$60=$C511,Q$62,Q510*(1+Q574)+Q637))),0)</f>
        <v>0</v>
      </c>
      <c r="R511" s="836">
        <f>IFERROR(IF(R$338&gt;$D$33,0,IF(OR(R$60&gt;$C511,$C511&gt;R$61),0,IF(R$60=$C511,R$62,R510*(1+R574)+R637))),0)</f>
        <v>0</v>
      </c>
      <c r="S511" s="836">
        <f>IFERROR(IF(S$338&gt;$D$33,0,IF(OR(S$60&gt;$C511,$C511&gt;S$61),0,IF(S$60=$C511,S$62,S510*(1+S574)+S637))),0)</f>
        <v>0</v>
      </c>
      <c r="T511" s="836">
        <f>IFERROR(IF(T$338&gt;$D$33,0,IF(OR(T$60&gt;$C511,$C511&gt;T$61),0,IF(T$60=$C511,T$62,T510*(1+T574)+T637))),0)</f>
        <v>0</v>
      </c>
      <c r="U511" s="836">
        <f>IFERROR(IF(U$338&gt;$D$33,0,IF(OR(U$60&gt;$C511,$C511&gt;U$61),0,IF(U$60=$C511,U$62,U510*(1+U574)+U637))),0)</f>
        <v>0</v>
      </c>
      <c r="V511" s="836">
        <f>IFERROR(IF(V$338&gt;$D$33,0,IF(OR(V$60&gt;$C511,$C511&gt;V$61),0,IF(V$60=$C511,V$62,V510*(1+V574)+V637))),0)</f>
        <v>0</v>
      </c>
      <c r="W511" s="836">
        <f>IFERROR(IF(W$338&gt;$D$33,0,IF(OR(W$60&gt;$C511,$C511&gt;W$61),0,IF(W$60=$C511,W$62,W510*(1+W574)+W637))),0)</f>
        <v>0</v>
      </c>
      <c r="X511" s="836">
        <f>IFERROR(IF(X$338&gt;$D$33,0,IF(OR(X$60&gt;$C511,$C511&gt;X$61),0,IF(X$60=$C511,X$62,X510*(1+X574)+X637))),0)</f>
        <v>0</v>
      </c>
      <c r="Y511" s="836">
        <f>IFERROR(IF(Y$338&gt;$D$33,0,IF(OR(Y$60&gt;$C511,$C511&gt;Y$61),0,IF(Y$60=$C511,Y$62,Y510*(1+Y574)+Y637))),0)</f>
        <v>0</v>
      </c>
      <c r="Z511" s="836">
        <f>IFERROR(IF(Z$338&gt;$D$33,0,IF(OR(Z$60&gt;$C511,$C511&gt;Z$61),0,IF(Z$60=$C511,Z$62,Z510*(1+Z574)+Z637))),0)</f>
        <v>0</v>
      </c>
      <c r="AA511" s="836">
        <f>IFERROR(IF(AA$338&gt;$D$33,0,IF(OR(AA$60&gt;$C511,$C511&gt;AA$61),0,IF(AA$60=$C511,AA$62,AA510*(1+AA574)+AA637))),0)</f>
        <v>0</v>
      </c>
      <c r="AB511" s="837">
        <f>IFERROR(IF(AB$338&gt;$D$33,0,IF(OR(AB$60&gt;$C511,$C511&gt;AB$61),0,IF(AB$60=$C511,AB$62,AB510*(1+AB574)+AB637))),0)</f>
        <v>0</v>
      </c>
    </row>
    <row r="512" spans="1:28" ht="12" customHeight="1" x14ac:dyDescent="0.3">
      <c r="A512" s="8"/>
      <c r="C512" s="495">
        <f>C449</f>
        <v>1216</v>
      </c>
      <c r="D512" s="835">
        <f>IFERROR(IF(D$338&gt;$D$33,0,IF(OR(D$60&gt;$C512,$C512&gt;D$61),0,IF(D$60=$C512,D$62,D511*(1+D575)+D638))),0)</f>
        <v>0</v>
      </c>
      <c r="E512" s="836">
        <f>IFERROR(IF(E$338&gt;$D$33,0,IF(OR(E$60&gt;$C512,$C512&gt;E$61),0,IF(E$60=$C512,E$62,E511*(1+E575)+E638))),0)</f>
        <v>0</v>
      </c>
      <c r="F512" s="836">
        <f>IFERROR(IF(F$338&gt;$D$33,0,IF(OR(F$60&gt;$C512,$C512&gt;F$61),0,IF(F$60=$C512,F$62,F511*(1+F575)+F638))),0)</f>
        <v>0</v>
      </c>
      <c r="G512" s="836">
        <f>IFERROR(IF(G$338&gt;$D$33,0,IF(OR(G$60&gt;$C512,$C512&gt;G$61),0,IF(G$60=$C512,G$62,G511*(1+G575)+G638))),0)</f>
        <v>0</v>
      </c>
      <c r="H512" s="836">
        <f>IFERROR(IF(H$338&gt;$D$33,0,IF(OR(H$60&gt;$C512,$C512&gt;H$61),0,IF(H$60=$C512,H$62,H511*(1+H575)+H638))),0)</f>
        <v>0</v>
      </c>
      <c r="I512" s="836">
        <f>IFERROR(IF(I$338&gt;$D$33,0,IF(OR(I$60&gt;$C512,$C512&gt;I$61),0,IF(I$60=$C512,I$62,I511*(1+I575)+I638))),0)</f>
        <v>0</v>
      </c>
      <c r="J512" s="836">
        <f>IFERROR(IF(J$338&gt;$D$33,0,IF(OR(J$60&gt;$C512,$C512&gt;J$61),0,IF(J$60=$C512,J$62,J511*(1+J575)+J638))),0)</f>
        <v>0</v>
      </c>
      <c r="K512" s="836">
        <f>IFERROR(IF(K$338&gt;$D$33,0,IF(OR(K$60&gt;$C512,$C512&gt;K$61),0,IF(K$60=$C512,K$62,K511*(1+K575)+K638))),0)</f>
        <v>0</v>
      </c>
      <c r="L512" s="836">
        <f>IFERROR(IF(L$338&gt;$D$33,0,IF(OR(L$60&gt;$C512,$C512&gt;L$61),0,IF(L$60=$C512,L$62,L511*(1+L575)+L638))),0)</f>
        <v>0</v>
      </c>
      <c r="M512" s="836">
        <f>IFERROR(IF(M$338&gt;$D$33,0,IF(OR(M$60&gt;$C512,$C512&gt;M$61),0,IF(M$60=$C512,M$62,M511*(1+M575)+M638))),0)</f>
        <v>0</v>
      </c>
      <c r="N512" s="836">
        <f>IFERROR(IF(N$338&gt;$D$33,0,IF(OR(N$60&gt;$C512,$C512&gt;N$61),0,IF(N$60=$C512,N$62,N511*(1+N575)+N638))),0)</f>
        <v>0</v>
      </c>
      <c r="O512" s="836">
        <f>IFERROR(IF(O$338&gt;$D$33,0,IF(OR(O$60&gt;$C512,$C512&gt;O$61),0,IF(O$60=$C512,O$62,O511*(1+O575)+O638))),0)</f>
        <v>0</v>
      </c>
      <c r="P512" s="836">
        <f>IFERROR(IF(P$338&gt;$D$33,0,IF(OR(P$60&gt;$C512,$C512&gt;P$61),0,IF(P$60=$C512,P$62,P511*(1+P575)+P638))),0)</f>
        <v>0</v>
      </c>
      <c r="Q512" s="836">
        <f>IFERROR(IF(Q$338&gt;$D$33,0,IF(OR(Q$60&gt;$C512,$C512&gt;Q$61),0,IF(Q$60=$C512,Q$62,Q511*(1+Q575)+Q638))),0)</f>
        <v>0</v>
      </c>
      <c r="R512" s="836">
        <f>IFERROR(IF(R$338&gt;$D$33,0,IF(OR(R$60&gt;$C512,$C512&gt;R$61),0,IF(R$60=$C512,R$62,R511*(1+R575)+R638))),0)</f>
        <v>0</v>
      </c>
      <c r="S512" s="836">
        <f>IFERROR(IF(S$338&gt;$D$33,0,IF(OR(S$60&gt;$C512,$C512&gt;S$61),0,IF(S$60=$C512,S$62,S511*(1+S575)+S638))),0)</f>
        <v>0</v>
      </c>
      <c r="T512" s="836">
        <f>IFERROR(IF(T$338&gt;$D$33,0,IF(OR(T$60&gt;$C512,$C512&gt;T$61),0,IF(T$60=$C512,T$62,T511*(1+T575)+T638))),0)</f>
        <v>0</v>
      </c>
      <c r="U512" s="836">
        <f>IFERROR(IF(U$338&gt;$D$33,0,IF(OR(U$60&gt;$C512,$C512&gt;U$61),0,IF(U$60=$C512,U$62,U511*(1+U575)+U638))),0)</f>
        <v>0</v>
      </c>
      <c r="V512" s="836">
        <f>IFERROR(IF(V$338&gt;$D$33,0,IF(OR(V$60&gt;$C512,$C512&gt;V$61),0,IF(V$60=$C512,V$62,V511*(1+V575)+V638))),0)</f>
        <v>0</v>
      </c>
      <c r="W512" s="836">
        <f>IFERROR(IF(W$338&gt;$D$33,0,IF(OR(W$60&gt;$C512,$C512&gt;W$61),0,IF(W$60=$C512,W$62,W511*(1+W575)+W638))),0)</f>
        <v>0</v>
      </c>
      <c r="X512" s="836">
        <f>IFERROR(IF(X$338&gt;$D$33,0,IF(OR(X$60&gt;$C512,$C512&gt;X$61),0,IF(X$60=$C512,X$62,X511*(1+X575)+X638))),0)</f>
        <v>0</v>
      </c>
      <c r="Y512" s="836">
        <f>IFERROR(IF(Y$338&gt;$D$33,0,IF(OR(Y$60&gt;$C512,$C512&gt;Y$61),0,IF(Y$60=$C512,Y$62,Y511*(1+Y575)+Y638))),0)</f>
        <v>0</v>
      </c>
      <c r="Z512" s="836">
        <f>IFERROR(IF(Z$338&gt;$D$33,0,IF(OR(Z$60&gt;$C512,$C512&gt;Z$61),0,IF(Z$60=$C512,Z$62,Z511*(1+Z575)+Z638))),0)</f>
        <v>0</v>
      </c>
      <c r="AA512" s="836">
        <f>IFERROR(IF(AA$338&gt;$D$33,0,IF(OR(AA$60&gt;$C512,$C512&gt;AA$61),0,IF(AA$60=$C512,AA$62,AA511*(1+AA575)+AA638))),0)</f>
        <v>0</v>
      </c>
      <c r="AB512" s="837">
        <f>IFERROR(IF(AB$338&gt;$D$33,0,IF(OR(AB$60&gt;$C512,$C512&gt;AB$61),0,IF(AB$60=$C512,AB$62,AB511*(1+AB575)+AB638))),0)</f>
        <v>0</v>
      </c>
    </row>
    <row r="513" spans="1:28" ht="12" customHeight="1" x14ac:dyDescent="0.3">
      <c r="A513" s="8"/>
      <c r="C513" s="495">
        <f>C450</f>
        <v>1247</v>
      </c>
      <c r="D513" s="835">
        <f>IFERROR(IF(D$338&gt;$D$33,0,IF(OR(D$60&gt;$C513,$C513&gt;D$61),0,IF(D$60=$C513,D$62,D512*(1+D576)+D639))),0)</f>
        <v>0</v>
      </c>
      <c r="E513" s="836">
        <f>IFERROR(IF(E$338&gt;$D$33,0,IF(OR(E$60&gt;$C513,$C513&gt;E$61),0,IF(E$60=$C513,E$62,E512*(1+E576)+E639))),0)</f>
        <v>0</v>
      </c>
      <c r="F513" s="836">
        <f>IFERROR(IF(F$338&gt;$D$33,0,IF(OR(F$60&gt;$C513,$C513&gt;F$61),0,IF(F$60=$C513,F$62,F512*(1+F576)+F639))),0)</f>
        <v>0</v>
      </c>
      <c r="G513" s="836">
        <f>IFERROR(IF(G$338&gt;$D$33,0,IF(OR(G$60&gt;$C513,$C513&gt;G$61),0,IF(G$60=$C513,G$62,G512*(1+G576)+G639))),0)</f>
        <v>0</v>
      </c>
      <c r="H513" s="836">
        <f>IFERROR(IF(H$338&gt;$D$33,0,IF(OR(H$60&gt;$C513,$C513&gt;H$61),0,IF(H$60=$C513,H$62,H512*(1+H576)+H639))),0)</f>
        <v>0</v>
      </c>
      <c r="I513" s="836">
        <f>IFERROR(IF(I$338&gt;$D$33,0,IF(OR(I$60&gt;$C513,$C513&gt;I$61),0,IF(I$60=$C513,I$62,I512*(1+I576)+I639))),0)</f>
        <v>0</v>
      </c>
      <c r="J513" s="836">
        <f>IFERROR(IF(J$338&gt;$D$33,0,IF(OR(J$60&gt;$C513,$C513&gt;J$61),0,IF(J$60=$C513,J$62,J512*(1+J576)+J639))),0)</f>
        <v>0</v>
      </c>
      <c r="K513" s="836">
        <f>IFERROR(IF(K$338&gt;$D$33,0,IF(OR(K$60&gt;$C513,$C513&gt;K$61),0,IF(K$60=$C513,K$62,K512*(1+K576)+K639))),0)</f>
        <v>0</v>
      </c>
      <c r="L513" s="836">
        <f>IFERROR(IF(L$338&gt;$D$33,0,IF(OR(L$60&gt;$C513,$C513&gt;L$61),0,IF(L$60=$C513,L$62,L512*(1+L576)+L639))),0)</f>
        <v>0</v>
      </c>
      <c r="M513" s="836">
        <f>IFERROR(IF(M$338&gt;$D$33,0,IF(OR(M$60&gt;$C513,$C513&gt;M$61),0,IF(M$60=$C513,M$62,M512*(1+M576)+M639))),0)</f>
        <v>0</v>
      </c>
      <c r="N513" s="836">
        <f>IFERROR(IF(N$338&gt;$D$33,0,IF(OR(N$60&gt;$C513,$C513&gt;N$61),0,IF(N$60=$C513,N$62,N512*(1+N576)+N639))),0)</f>
        <v>0</v>
      </c>
      <c r="O513" s="836">
        <f>IFERROR(IF(O$338&gt;$D$33,0,IF(OR(O$60&gt;$C513,$C513&gt;O$61),0,IF(O$60=$C513,O$62,O512*(1+O576)+O639))),0)</f>
        <v>0</v>
      </c>
      <c r="P513" s="836">
        <f>IFERROR(IF(P$338&gt;$D$33,0,IF(OR(P$60&gt;$C513,$C513&gt;P$61),0,IF(P$60=$C513,P$62,P512*(1+P576)+P639))),0)</f>
        <v>0</v>
      </c>
      <c r="Q513" s="836">
        <f>IFERROR(IF(Q$338&gt;$D$33,0,IF(OR(Q$60&gt;$C513,$C513&gt;Q$61),0,IF(Q$60=$C513,Q$62,Q512*(1+Q576)+Q639))),0)</f>
        <v>0</v>
      </c>
      <c r="R513" s="836">
        <f>IFERROR(IF(R$338&gt;$D$33,0,IF(OR(R$60&gt;$C513,$C513&gt;R$61),0,IF(R$60=$C513,R$62,R512*(1+R576)+R639))),0)</f>
        <v>0</v>
      </c>
      <c r="S513" s="836">
        <f>IFERROR(IF(S$338&gt;$D$33,0,IF(OR(S$60&gt;$C513,$C513&gt;S$61),0,IF(S$60=$C513,S$62,S512*(1+S576)+S639))),0)</f>
        <v>0</v>
      </c>
      <c r="T513" s="836">
        <f>IFERROR(IF(T$338&gt;$D$33,0,IF(OR(T$60&gt;$C513,$C513&gt;T$61),0,IF(T$60=$C513,T$62,T512*(1+T576)+T639))),0)</f>
        <v>0</v>
      </c>
      <c r="U513" s="836">
        <f>IFERROR(IF(U$338&gt;$D$33,0,IF(OR(U$60&gt;$C513,$C513&gt;U$61),0,IF(U$60=$C513,U$62,U512*(1+U576)+U639))),0)</f>
        <v>0</v>
      </c>
      <c r="V513" s="836">
        <f>IFERROR(IF(V$338&gt;$D$33,0,IF(OR(V$60&gt;$C513,$C513&gt;V$61),0,IF(V$60=$C513,V$62,V512*(1+V576)+V639))),0)</f>
        <v>0</v>
      </c>
      <c r="W513" s="836">
        <f>IFERROR(IF(W$338&gt;$D$33,0,IF(OR(W$60&gt;$C513,$C513&gt;W$61),0,IF(W$60=$C513,W$62,W512*(1+W576)+W639))),0)</f>
        <v>0</v>
      </c>
      <c r="X513" s="836">
        <f>IFERROR(IF(X$338&gt;$D$33,0,IF(OR(X$60&gt;$C513,$C513&gt;X$61),0,IF(X$60=$C513,X$62,X512*(1+X576)+X639))),0)</f>
        <v>0</v>
      </c>
      <c r="Y513" s="836">
        <f>IFERROR(IF(Y$338&gt;$D$33,0,IF(OR(Y$60&gt;$C513,$C513&gt;Y$61),0,IF(Y$60=$C513,Y$62,Y512*(1+Y576)+Y639))),0)</f>
        <v>0</v>
      </c>
      <c r="Z513" s="836">
        <f>IFERROR(IF(Z$338&gt;$D$33,0,IF(OR(Z$60&gt;$C513,$C513&gt;Z$61),0,IF(Z$60=$C513,Z$62,Z512*(1+Z576)+Z639))),0)</f>
        <v>0</v>
      </c>
      <c r="AA513" s="836">
        <f>IFERROR(IF(AA$338&gt;$D$33,0,IF(OR(AA$60&gt;$C513,$C513&gt;AA$61),0,IF(AA$60=$C513,AA$62,AA512*(1+AA576)+AA639))),0)</f>
        <v>0</v>
      </c>
      <c r="AB513" s="837">
        <f>IFERROR(IF(AB$338&gt;$D$33,0,IF(OR(AB$60&gt;$C513,$C513&gt;AB$61),0,IF(AB$60=$C513,AB$62,AB512*(1+AB576)+AB639))),0)</f>
        <v>0</v>
      </c>
    </row>
    <row r="514" spans="1:28" ht="12" customHeight="1" x14ac:dyDescent="0.3">
      <c r="A514" s="8"/>
      <c r="C514" s="495">
        <f>C451</f>
        <v>1277</v>
      </c>
      <c r="D514" s="835">
        <f>IFERROR(IF(D$338&gt;$D$33,0,IF(OR(D$60&gt;$C514,$C514&gt;D$61),0,IF(D$60=$C514,D$62,D513*(1+D577)+D640))),0)</f>
        <v>0</v>
      </c>
      <c r="E514" s="836">
        <f>IFERROR(IF(E$338&gt;$D$33,0,IF(OR(E$60&gt;$C514,$C514&gt;E$61),0,IF(E$60=$C514,E$62,E513*(1+E577)+E640))),0)</f>
        <v>0</v>
      </c>
      <c r="F514" s="836">
        <f>IFERROR(IF(F$338&gt;$D$33,0,IF(OR(F$60&gt;$C514,$C514&gt;F$61),0,IF(F$60=$C514,F$62,F513*(1+F577)+F640))),0)</f>
        <v>0</v>
      </c>
      <c r="G514" s="836">
        <f>IFERROR(IF(G$338&gt;$D$33,0,IF(OR(G$60&gt;$C514,$C514&gt;G$61),0,IF(G$60=$C514,G$62,G513*(1+G577)+G640))),0)</f>
        <v>0</v>
      </c>
      <c r="H514" s="836">
        <f>IFERROR(IF(H$338&gt;$D$33,0,IF(OR(H$60&gt;$C514,$C514&gt;H$61),0,IF(H$60=$C514,H$62,H513*(1+H577)+H640))),0)</f>
        <v>0</v>
      </c>
      <c r="I514" s="836">
        <f>IFERROR(IF(I$338&gt;$D$33,0,IF(OR(I$60&gt;$C514,$C514&gt;I$61),0,IF(I$60=$C514,I$62,I513*(1+I577)+I640))),0)</f>
        <v>0</v>
      </c>
      <c r="J514" s="836">
        <f>IFERROR(IF(J$338&gt;$D$33,0,IF(OR(J$60&gt;$C514,$C514&gt;J$61),0,IF(J$60=$C514,J$62,J513*(1+J577)+J640))),0)</f>
        <v>0</v>
      </c>
      <c r="K514" s="836">
        <f>IFERROR(IF(K$338&gt;$D$33,0,IF(OR(K$60&gt;$C514,$C514&gt;K$61),0,IF(K$60=$C514,K$62,K513*(1+K577)+K640))),0)</f>
        <v>0</v>
      </c>
      <c r="L514" s="836">
        <f>IFERROR(IF(L$338&gt;$D$33,0,IF(OR(L$60&gt;$C514,$C514&gt;L$61),0,IF(L$60=$C514,L$62,L513*(1+L577)+L640))),0)</f>
        <v>0</v>
      </c>
      <c r="M514" s="836">
        <f>IFERROR(IF(M$338&gt;$D$33,0,IF(OR(M$60&gt;$C514,$C514&gt;M$61),0,IF(M$60=$C514,M$62,M513*(1+M577)+M640))),0)</f>
        <v>0</v>
      </c>
      <c r="N514" s="836">
        <f>IFERROR(IF(N$338&gt;$D$33,0,IF(OR(N$60&gt;$C514,$C514&gt;N$61),0,IF(N$60=$C514,N$62,N513*(1+N577)+N640))),0)</f>
        <v>0</v>
      </c>
      <c r="O514" s="836">
        <f>IFERROR(IF(O$338&gt;$D$33,0,IF(OR(O$60&gt;$C514,$C514&gt;O$61),0,IF(O$60=$C514,O$62,O513*(1+O577)+O640))),0)</f>
        <v>0</v>
      </c>
      <c r="P514" s="836">
        <f>IFERROR(IF(P$338&gt;$D$33,0,IF(OR(P$60&gt;$C514,$C514&gt;P$61),0,IF(P$60=$C514,P$62,P513*(1+P577)+P640))),0)</f>
        <v>0</v>
      </c>
      <c r="Q514" s="836">
        <f>IFERROR(IF(Q$338&gt;$D$33,0,IF(OR(Q$60&gt;$C514,$C514&gt;Q$61),0,IF(Q$60=$C514,Q$62,Q513*(1+Q577)+Q640))),0)</f>
        <v>0</v>
      </c>
      <c r="R514" s="836">
        <f>IFERROR(IF(R$338&gt;$D$33,0,IF(OR(R$60&gt;$C514,$C514&gt;R$61),0,IF(R$60=$C514,R$62,R513*(1+R577)+R640))),0)</f>
        <v>0</v>
      </c>
      <c r="S514" s="836">
        <f>IFERROR(IF(S$338&gt;$D$33,0,IF(OR(S$60&gt;$C514,$C514&gt;S$61),0,IF(S$60=$C514,S$62,S513*(1+S577)+S640))),0)</f>
        <v>0</v>
      </c>
      <c r="T514" s="836">
        <f>IFERROR(IF(T$338&gt;$D$33,0,IF(OR(T$60&gt;$C514,$C514&gt;T$61),0,IF(T$60=$C514,T$62,T513*(1+T577)+T640))),0)</f>
        <v>0</v>
      </c>
      <c r="U514" s="836">
        <f>IFERROR(IF(U$338&gt;$D$33,0,IF(OR(U$60&gt;$C514,$C514&gt;U$61),0,IF(U$60=$C514,U$62,U513*(1+U577)+U640))),0)</f>
        <v>0</v>
      </c>
      <c r="V514" s="836">
        <f>IFERROR(IF(V$338&gt;$D$33,0,IF(OR(V$60&gt;$C514,$C514&gt;V$61),0,IF(V$60=$C514,V$62,V513*(1+V577)+V640))),0)</f>
        <v>0</v>
      </c>
      <c r="W514" s="836">
        <f>IFERROR(IF(W$338&gt;$D$33,0,IF(OR(W$60&gt;$C514,$C514&gt;W$61),0,IF(W$60=$C514,W$62,W513*(1+W577)+W640))),0)</f>
        <v>0</v>
      </c>
      <c r="X514" s="836">
        <f>IFERROR(IF(X$338&gt;$D$33,0,IF(OR(X$60&gt;$C514,$C514&gt;X$61),0,IF(X$60=$C514,X$62,X513*(1+X577)+X640))),0)</f>
        <v>0</v>
      </c>
      <c r="Y514" s="836">
        <f>IFERROR(IF(Y$338&gt;$D$33,0,IF(OR(Y$60&gt;$C514,$C514&gt;Y$61),0,IF(Y$60=$C514,Y$62,Y513*(1+Y577)+Y640))),0)</f>
        <v>0</v>
      </c>
      <c r="Z514" s="836">
        <f>IFERROR(IF(Z$338&gt;$D$33,0,IF(OR(Z$60&gt;$C514,$C514&gt;Z$61),0,IF(Z$60=$C514,Z$62,Z513*(1+Z577)+Z640))),0)</f>
        <v>0</v>
      </c>
      <c r="AA514" s="836">
        <f>IFERROR(IF(AA$338&gt;$D$33,0,IF(OR(AA$60&gt;$C514,$C514&gt;AA$61),0,IF(AA$60=$C514,AA$62,AA513*(1+AA577)+AA640))),0)</f>
        <v>0</v>
      </c>
      <c r="AB514" s="837">
        <f>IFERROR(IF(AB$338&gt;$D$33,0,IF(OR(AB$60&gt;$C514,$C514&gt;AB$61),0,IF(AB$60=$C514,AB$62,AB513*(1+AB577)+AB640))),0)</f>
        <v>0</v>
      </c>
    </row>
    <row r="515" spans="1:28" ht="12" customHeight="1" x14ac:dyDescent="0.3">
      <c r="A515" s="8"/>
      <c r="C515" s="495">
        <f>C452</f>
        <v>1308</v>
      </c>
      <c r="D515" s="835">
        <f>IFERROR(IF(D$338&gt;$D$33,0,IF(OR(D$60&gt;$C515,$C515&gt;D$61),0,IF(D$60=$C515,D$62,D514*(1+D578)+D641))),0)</f>
        <v>0</v>
      </c>
      <c r="E515" s="836">
        <f>IFERROR(IF(E$338&gt;$D$33,0,IF(OR(E$60&gt;$C515,$C515&gt;E$61),0,IF(E$60=$C515,E$62,E514*(1+E578)+E641))),0)</f>
        <v>0</v>
      </c>
      <c r="F515" s="836">
        <f>IFERROR(IF(F$338&gt;$D$33,0,IF(OR(F$60&gt;$C515,$C515&gt;F$61),0,IF(F$60=$C515,F$62,F514*(1+F578)+F641))),0)</f>
        <v>0</v>
      </c>
      <c r="G515" s="836">
        <f>IFERROR(IF(G$338&gt;$D$33,0,IF(OR(G$60&gt;$C515,$C515&gt;G$61),0,IF(G$60=$C515,G$62,G514*(1+G578)+G641))),0)</f>
        <v>0</v>
      </c>
      <c r="H515" s="836">
        <f>IFERROR(IF(H$338&gt;$D$33,0,IF(OR(H$60&gt;$C515,$C515&gt;H$61),0,IF(H$60=$C515,H$62,H514*(1+H578)+H641))),0)</f>
        <v>0</v>
      </c>
      <c r="I515" s="836">
        <f>IFERROR(IF(I$338&gt;$D$33,0,IF(OR(I$60&gt;$C515,$C515&gt;I$61),0,IF(I$60=$C515,I$62,I514*(1+I578)+I641))),0)</f>
        <v>0</v>
      </c>
      <c r="J515" s="836">
        <f>IFERROR(IF(J$338&gt;$D$33,0,IF(OR(J$60&gt;$C515,$C515&gt;J$61),0,IF(J$60=$C515,J$62,J514*(1+J578)+J641))),0)</f>
        <v>0</v>
      </c>
      <c r="K515" s="836">
        <f>IFERROR(IF(K$338&gt;$D$33,0,IF(OR(K$60&gt;$C515,$C515&gt;K$61),0,IF(K$60=$C515,K$62,K514*(1+K578)+K641))),0)</f>
        <v>0</v>
      </c>
      <c r="L515" s="836">
        <f>IFERROR(IF(L$338&gt;$D$33,0,IF(OR(L$60&gt;$C515,$C515&gt;L$61),0,IF(L$60=$C515,L$62,L514*(1+L578)+L641))),0)</f>
        <v>0</v>
      </c>
      <c r="M515" s="836">
        <f>IFERROR(IF(M$338&gt;$D$33,0,IF(OR(M$60&gt;$C515,$C515&gt;M$61),0,IF(M$60=$C515,M$62,M514*(1+M578)+M641))),0)</f>
        <v>0</v>
      </c>
      <c r="N515" s="836">
        <f>IFERROR(IF(N$338&gt;$D$33,0,IF(OR(N$60&gt;$C515,$C515&gt;N$61),0,IF(N$60=$C515,N$62,N514*(1+N578)+N641))),0)</f>
        <v>0</v>
      </c>
      <c r="O515" s="836">
        <f>IFERROR(IF(O$338&gt;$D$33,0,IF(OR(O$60&gt;$C515,$C515&gt;O$61),0,IF(O$60=$C515,O$62,O514*(1+O578)+O641))),0)</f>
        <v>0</v>
      </c>
      <c r="P515" s="836">
        <f>IFERROR(IF(P$338&gt;$D$33,0,IF(OR(P$60&gt;$C515,$C515&gt;P$61),0,IF(P$60=$C515,P$62,P514*(1+P578)+P641))),0)</f>
        <v>0</v>
      </c>
      <c r="Q515" s="836">
        <f>IFERROR(IF(Q$338&gt;$D$33,0,IF(OR(Q$60&gt;$C515,$C515&gt;Q$61),0,IF(Q$60=$C515,Q$62,Q514*(1+Q578)+Q641))),0)</f>
        <v>0</v>
      </c>
      <c r="R515" s="836">
        <f>IFERROR(IF(R$338&gt;$D$33,0,IF(OR(R$60&gt;$C515,$C515&gt;R$61),0,IF(R$60=$C515,R$62,R514*(1+R578)+R641))),0)</f>
        <v>0</v>
      </c>
      <c r="S515" s="836">
        <f>IFERROR(IF(S$338&gt;$D$33,0,IF(OR(S$60&gt;$C515,$C515&gt;S$61),0,IF(S$60=$C515,S$62,S514*(1+S578)+S641))),0)</f>
        <v>0</v>
      </c>
      <c r="T515" s="836">
        <f>IFERROR(IF(T$338&gt;$D$33,0,IF(OR(T$60&gt;$C515,$C515&gt;T$61),0,IF(T$60=$C515,T$62,T514*(1+T578)+T641))),0)</f>
        <v>0</v>
      </c>
      <c r="U515" s="836">
        <f>IFERROR(IF(U$338&gt;$D$33,0,IF(OR(U$60&gt;$C515,$C515&gt;U$61),0,IF(U$60=$C515,U$62,U514*(1+U578)+U641))),0)</f>
        <v>0</v>
      </c>
      <c r="V515" s="836">
        <f>IFERROR(IF(V$338&gt;$D$33,0,IF(OR(V$60&gt;$C515,$C515&gt;V$61),0,IF(V$60=$C515,V$62,V514*(1+V578)+V641))),0)</f>
        <v>0</v>
      </c>
      <c r="W515" s="836">
        <f>IFERROR(IF(W$338&gt;$D$33,0,IF(OR(W$60&gt;$C515,$C515&gt;W$61),0,IF(W$60=$C515,W$62,W514*(1+W578)+W641))),0)</f>
        <v>0</v>
      </c>
      <c r="X515" s="836">
        <f>IFERROR(IF(X$338&gt;$D$33,0,IF(OR(X$60&gt;$C515,$C515&gt;X$61),0,IF(X$60=$C515,X$62,X514*(1+X578)+X641))),0)</f>
        <v>0</v>
      </c>
      <c r="Y515" s="836">
        <f>IFERROR(IF(Y$338&gt;$D$33,0,IF(OR(Y$60&gt;$C515,$C515&gt;Y$61),0,IF(Y$60=$C515,Y$62,Y514*(1+Y578)+Y641))),0)</f>
        <v>0</v>
      </c>
      <c r="Z515" s="836">
        <f>IFERROR(IF(Z$338&gt;$D$33,0,IF(OR(Z$60&gt;$C515,$C515&gt;Z$61),0,IF(Z$60=$C515,Z$62,Z514*(1+Z578)+Z641))),0)</f>
        <v>0</v>
      </c>
      <c r="AA515" s="836">
        <f>IFERROR(IF(AA$338&gt;$D$33,0,IF(OR(AA$60&gt;$C515,$C515&gt;AA$61),0,IF(AA$60=$C515,AA$62,AA514*(1+AA578)+AA641))),0)</f>
        <v>0</v>
      </c>
      <c r="AB515" s="837">
        <f>IFERROR(IF(AB$338&gt;$D$33,0,IF(OR(AB$60&gt;$C515,$C515&gt;AB$61),0,IF(AB$60=$C515,AB$62,AB514*(1+AB578)+AB641))),0)</f>
        <v>0</v>
      </c>
    </row>
    <row r="516" spans="1:28" ht="12" customHeight="1" x14ac:dyDescent="0.3">
      <c r="A516" s="8"/>
      <c r="C516" s="495">
        <f>C453</f>
        <v>1339</v>
      </c>
      <c r="D516" s="835">
        <f>IFERROR(IF(D$338&gt;$D$33,0,IF(OR(D$60&gt;$C516,$C516&gt;D$61),0,IF(D$60=$C516,D$62,D515*(1+D579)+D642))),0)</f>
        <v>0</v>
      </c>
      <c r="E516" s="836">
        <f>IFERROR(IF(E$338&gt;$D$33,0,IF(OR(E$60&gt;$C516,$C516&gt;E$61),0,IF(E$60=$C516,E$62,E515*(1+E579)+E642))),0)</f>
        <v>0</v>
      </c>
      <c r="F516" s="836">
        <f>IFERROR(IF(F$338&gt;$D$33,0,IF(OR(F$60&gt;$C516,$C516&gt;F$61),0,IF(F$60=$C516,F$62,F515*(1+F579)+F642))),0)</f>
        <v>0</v>
      </c>
      <c r="G516" s="836">
        <f>IFERROR(IF(G$338&gt;$D$33,0,IF(OR(G$60&gt;$C516,$C516&gt;G$61),0,IF(G$60=$C516,G$62,G515*(1+G579)+G642))),0)</f>
        <v>0</v>
      </c>
      <c r="H516" s="836">
        <f>IFERROR(IF(H$338&gt;$D$33,0,IF(OR(H$60&gt;$C516,$C516&gt;H$61),0,IF(H$60=$C516,H$62,H515*(1+H579)+H642))),0)</f>
        <v>0</v>
      </c>
      <c r="I516" s="836">
        <f>IFERROR(IF(I$338&gt;$D$33,0,IF(OR(I$60&gt;$C516,$C516&gt;I$61),0,IF(I$60=$C516,I$62,I515*(1+I579)+I642))),0)</f>
        <v>0</v>
      </c>
      <c r="J516" s="836">
        <f>IFERROR(IF(J$338&gt;$D$33,0,IF(OR(J$60&gt;$C516,$C516&gt;J$61),0,IF(J$60=$C516,J$62,J515*(1+J579)+J642))),0)</f>
        <v>0</v>
      </c>
      <c r="K516" s="836">
        <f>IFERROR(IF(K$338&gt;$D$33,0,IF(OR(K$60&gt;$C516,$C516&gt;K$61),0,IF(K$60=$C516,K$62,K515*(1+K579)+K642))),0)</f>
        <v>0</v>
      </c>
      <c r="L516" s="836">
        <f>IFERROR(IF(L$338&gt;$D$33,0,IF(OR(L$60&gt;$C516,$C516&gt;L$61),0,IF(L$60=$C516,L$62,L515*(1+L579)+L642))),0)</f>
        <v>0</v>
      </c>
      <c r="M516" s="836">
        <f>IFERROR(IF(M$338&gt;$D$33,0,IF(OR(M$60&gt;$C516,$C516&gt;M$61),0,IF(M$60=$C516,M$62,M515*(1+M579)+M642))),0)</f>
        <v>0</v>
      </c>
      <c r="N516" s="836">
        <f>IFERROR(IF(N$338&gt;$D$33,0,IF(OR(N$60&gt;$C516,$C516&gt;N$61),0,IF(N$60=$C516,N$62,N515*(1+N579)+N642))),0)</f>
        <v>0</v>
      </c>
      <c r="O516" s="836">
        <f>IFERROR(IF(O$338&gt;$D$33,0,IF(OR(O$60&gt;$C516,$C516&gt;O$61),0,IF(O$60=$C516,O$62,O515*(1+O579)+O642))),0)</f>
        <v>0</v>
      </c>
      <c r="P516" s="836">
        <f>IFERROR(IF(P$338&gt;$D$33,0,IF(OR(P$60&gt;$C516,$C516&gt;P$61),0,IF(P$60=$C516,P$62,P515*(1+P579)+P642))),0)</f>
        <v>0</v>
      </c>
      <c r="Q516" s="836">
        <f>IFERROR(IF(Q$338&gt;$D$33,0,IF(OR(Q$60&gt;$C516,$C516&gt;Q$61),0,IF(Q$60=$C516,Q$62,Q515*(1+Q579)+Q642))),0)</f>
        <v>0</v>
      </c>
      <c r="R516" s="836">
        <f>IFERROR(IF(R$338&gt;$D$33,0,IF(OR(R$60&gt;$C516,$C516&gt;R$61),0,IF(R$60=$C516,R$62,R515*(1+R579)+R642))),0)</f>
        <v>0</v>
      </c>
      <c r="S516" s="836">
        <f>IFERROR(IF(S$338&gt;$D$33,0,IF(OR(S$60&gt;$C516,$C516&gt;S$61),0,IF(S$60=$C516,S$62,S515*(1+S579)+S642))),0)</f>
        <v>0</v>
      </c>
      <c r="T516" s="836">
        <f>IFERROR(IF(T$338&gt;$D$33,0,IF(OR(T$60&gt;$C516,$C516&gt;T$61),0,IF(T$60=$C516,T$62,T515*(1+T579)+T642))),0)</f>
        <v>0</v>
      </c>
      <c r="U516" s="836">
        <f>IFERROR(IF(U$338&gt;$D$33,0,IF(OR(U$60&gt;$C516,$C516&gt;U$61),0,IF(U$60=$C516,U$62,U515*(1+U579)+U642))),0)</f>
        <v>0</v>
      </c>
      <c r="V516" s="836">
        <f>IFERROR(IF(V$338&gt;$D$33,0,IF(OR(V$60&gt;$C516,$C516&gt;V$61),0,IF(V$60=$C516,V$62,V515*(1+V579)+V642))),0)</f>
        <v>0</v>
      </c>
      <c r="W516" s="836">
        <f>IFERROR(IF(W$338&gt;$D$33,0,IF(OR(W$60&gt;$C516,$C516&gt;W$61),0,IF(W$60=$C516,W$62,W515*(1+W579)+W642))),0)</f>
        <v>0</v>
      </c>
      <c r="X516" s="836">
        <f>IFERROR(IF(X$338&gt;$D$33,0,IF(OR(X$60&gt;$C516,$C516&gt;X$61),0,IF(X$60=$C516,X$62,X515*(1+X579)+X642))),0)</f>
        <v>0</v>
      </c>
      <c r="Y516" s="836">
        <f>IFERROR(IF(Y$338&gt;$D$33,0,IF(OR(Y$60&gt;$C516,$C516&gt;Y$61),0,IF(Y$60=$C516,Y$62,Y515*(1+Y579)+Y642))),0)</f>
        <v>0</v>
      </c>
      <c r="Z516" s="836">
        <f>IFERROR(IF(Z$338&gt;$D$33,0,IF(OR(Z$60&gt;$C516,$C516&gt;Z$61),0,IF(Z$60=$C516,Z$62,Z515*(1+Z579)+Z642))),0)</f>
        <v>0</v>
      </c>
      <c r="AA516" s="836">
        <f>IFERROR(IF(AA$338&gt;$D$33,0,IF(OR(AA$60&gt;$C516,$C516&gt;AA$61),0,IF(AA$60=$C516,AA$62,AA515*(1+AA579)+AA642))),0)</f>
        <v>0</v>
      </c>
      <c r="AB516" s="837">
        <f>IFERROR(IF(AB$338&gt;$D$33,0,IF(OR(AB$60&gt;$C516,$C516&gt;AB$61),0,IF(AB$60=$C516,AB$62,AB515*(1+AB579)+AB642))),0)</f>
        <v>0</v>
      </c>
    </row>
    <row r="517" spans="1:28" ht="12" customHeight="1" x14ac:dyDescent="0.3">
      <c r="A517" s="8"/>
      <c r="C517" s="495">
        <f>C454</f>
        <v>1369</v>
      </c>
      <c r="D517" s="835">
        <f>IFERROR(IF(D$338&gt;$D$33,0,IF(OR(D$60&gt;$C517,$C517&gt;D$61),0,IF(D$60=$C517,D$62,D516*(1+D580)+D643))),0)</f>
        <v>0</v>
      </c>
      <c r="E517" s="836">
        <f>IFERROR(IF(E$338&gt;$D$33,0,IF(OR(E$60&gt;$C517,$C517&gt;E$61),0,IF(E$60=$C517,E$62,E516*(1+E580)+E643))),0)</f>
        <v>0</v>
      </c>
      <c r="F517" s="836">
        <f>IFERROR(IF(F$338&gt;$D$33,0,IF(OR(F$60&gt;$C517,$C517&gt;F$61),0,IF(F$60=$C517,F$62,F516*(1+F580)+F643))),0)</f>
        <v>0</v>
      </c>
      <c r="G517" s="836">
        <f>IFERROR(IF(G$338&gt;$D$33,0,IF(OR(G$60&gt;$C517,$C517&gt;G$61),0,IF(G$60=$C517,G$62,G516*(1+G580)+G643))),0)</f>
        <v>0</v>
      </c>
      <c r="H517" s="836">
        <f>IFERROR(IF(H$338&gt;$D$33,0,IF(OR(H$60&gt;$C517,$C517&gt;H$61),0,IF(H$60=$C517,H$62,H516*(1+H580)+H643))),0)</f>
        <v>0</v>
      </c>
      <c r="I517" s="836">
        <f>IFERROR(IF(I$338&gt;$D$33,0,IF(OR(I$60&gt;$C517,$C517&gt;I$61),0,IF(I$60=$C517,I$62,I516*(1+I580)+I643))),0)</f>
        <v>0</v>
      </c>
      <c r="J517" s="836">
        <f>IFERROR(IF(J$338&gt;$D$33,0,IF(OR(J$60&gt;$C517,$C517&gt;J$61),0,IF(J$60=$C517,J$62,J516*(1+J580)+J643))),0)</f>
        <v>0</v>
      </c>
      <c r="K517" s="836">
        <f>IFERROR(IF(K$338&gt;$D$33,0,IF(OR(K$60&gt;$C517,$C517&gt;K$61),0,IF(K$60=$C517,K$62,K516*(1+K580)+K643))),0)</f>
        <v>0</v>
      </c>
      <c r="L517" s="836">
        <f>IFERROR(IF(L$338&gt;$D$33,0,IF(OR(L$60&gt;$C517,$C517&gt;L$61),0,IF(L$60=$C517,L$62,L516*(1+L580)+L643))),0)</f>
        <v>0</v>
      </c>
      <c r="M517" s="836">
        <f>IFERROR(IF(M$338&gt;$D$33,0,IF(OR(M$60&gt;$C517,$C517&gt;M$61),0,IF(M$60=$C517,M$62,M516*(1+M580)+M643))),0)</f>
        <v>0</v>
      </c>
      <c r="N517" s="836">
        <f>IFERROR(IF(N$338&gt;$D$33,0,IF(OR(N$60&gt;$C517,$C517&gt;N$61),0,IF(N$60=$C517,N$62,N516*(1+N580)+N643))),0)</f>
        <v>0</v>
      </c>
      <c r="O517" s="836">
        <f>IFERROR(IF(O$338&gt;$D$33,0,IF(OR(O$60&gt;$C517,$C517&gt;O$61),0,IF(O$60=$C517,O$62,O516*(1+O580)+O643))),0)</f>
        <v>0</v>
      </c>
      <c r="P517" s="836">
        <f>IFERROR(IF(P$338&gt;$D$33,0,IF(OR(P$60&gt;$C517,$C517&gt;P$61),0,IF(P$60=$C517,P$62,P516*(1+P580)+P643))),0)</f>
        <v>0</v>
      </c>
      <c r="Q517" s="836">
        <f>IFERROR(IF(Q$338&gt;$D$33,0,IF(OR(Q$60&gt;$C517,$C517&gt;Q$61),0,IF(Q$60=$C517,Q$62,Q516*(1+Q580)+Q643))),0)</f>
        <v>0</v>
      </c>
      <c r="R517" s="836">
        <f>IFERROR(IF(R$338&gt;$D$33,0,IF(OR(R$60&gt;$C517,$C517&gt;R$61),0,IF(R$60=$C517,R$62,R516*(1+R580)+R643))),0)</f>
        <v>0</v>
      </c>
      <c r="S517" s="836">
        <f>IFERROR(IF(S$338&gt;$D$33,0,IF(OR(S$60&gt;$C517,$C517&gt;S$61),0,IF(S$60=$C517,S$62,S516*(1+S580)+S643))),0)</f>
        <v>0</v>
      </c>
      <c r="T517" s="836">
        <f>IFERROR(IF(T$338&gt;$D$33,0,IF(OR(T$60&gt;$C517,$C517&gt;T$61),0,IF(T$60=$C517,T$62,T516*(1+T580)+T643))),0)</f>
        <v>0</v>
      </c>
      <c r="U517" s="836">
        <f>IFERROR(IF(U$338&gt;$D$33,0,IF(OR(U$60&gt;$C517,$C517&gt;U$61),0,IF(U$60=$C517,U$62,U516*(1+U580)+U643))),0)</f>
        <v>0</v>
      </c>
      <c r="V517" s="836">
        <f>IFERROR(IF(V$338&gt;$D$33,0,IF(OR(V$60&gt;$C517,$C517&gt;V$61),0,IF(V$60=$C517,V$62,V516*(1+V580)+V643))),0)</f>
        <v>0</v>
      </c>
      <c r="W517" s="836">
        <f>IFERROR(IF(W$338&gt;$D$33,0,IF(OR(W$60&gt;$C517,$C517&gt;W$61),0,IF(W$60=$C517,W$62,W516*(1+W580)+W643))),0)</f>
        <v>0</v>
      </c>
      <c r="X517" s="836">
        <f>IFERROR(IF(X$338&gt;$D$33,0,IF(OR(X$60&gt;$C517,$C517&gt;X$61),0,IF(X$60=$C517,X$62,X516*(1+X580)+X643))),0)</f>
        <v>0</v>
      </c>
      <c r="Y517" s="836">
        <f>IFERROR(IF(Y$338&gt;$D$33,0,IF(OR(Y$60&gt;$C517,$C517&gt;Y$61),0,IF(Y$60=$C517,Y$62,Y516*(1+Y580)+Y643))),0)</f>
        <v>0</v>
      </c>
      <c r="Z517" s="836">
        <f>IFERROR(IF(Z$338&gt;$D$33,0,IF(OR(Z$60&gt;$C517,$C517&gt;Z$61),0,IF(Z$60=$C517,Z$62,Z516*(1+Z580)+Z643))),0)</f>
        <v>0</v>
      </c>
      <c r="AA517" s="836">
        <f>IFERROR(IF(AA$338&gt;$D$33,0,IF(OR(AA$60&gt;$C517,$C517&gt;AA$61),0,IF(AA$60=$C517,AA$62,AA516*(1+AA580)+AA643))),0)</f>
        <v>0</v>
      </c>
      <c r="AB517" s="837">
        <f>IFERROR(IF(AB$338&gt;$D$33,0,IF(OR(AB$60&gt;$C517,$C517&gt;AB$61),0,IF(AB$60=$C517,AB$62,AB516*(1+AB580)+AB643))),0)</f>
        <v>0</v>
      </c>
    </row>
    <row r="518" spans="1:28" ht="12" customHeight="1" x14ac:dyDescent="0.3">
      <c r="A518" s="8"/>
      <c r="C518" s="495">
        <f>C455</f>
        <v>1400</v>
      </c>
      <c r="D518" s="835">
        <f>IFERROR(IF(D$338&gt;$D$33,0,IF(OR(D$60&gt;$C518,$C518&gt;D$61),0,IF(D$60=$C518,D$62,D517*(1+D581)+D644))),0)</f>
        <v>0</v>
      </c>
      <c r="E518" s="836">
        <f>IFERROR(IF(E$338&gt;$D$33,0,IF(OR(E$60&gt;$C518,$C518&gt;E$61),0,IF(E$60=$C518,E$62,E517*(1+E581)+E644))),0)</f>
        <v>0</v>
      </c>
      <c r="F518" s="836">
        <f>IFERROR(IF(F$338&gt;$D$33,0,IF(OR(F$60&gt;$C518,$C518&gt;F$61),0,IF(F$60=$C518,F$62,F517*(1+F581)+F644))),0)</f>
        <v>0</v>
      </c>
      <c r="G518" s="836">
        <f>IFERROR(IF(G$338&gt;$D$33,0,IF(OR(G$60&gt;$C518,$C518&gt;G$61),0,IF(G$60=$C518,G$62,G517*(1+G581)+G644))),0)</f>
        <v>0</v>
      </c>
      <c r="H518" s="836">
        <f>IFERROR(IF(H$338&gt;$D$33,0,IF(OR(H$60&gt;$C518,$C518&gt;H$61),0,IF(H$60=$C518,H$62,H517*(1+H581)+H644))),0)</f>
        <v>0</v>
      </c>
      <c r="I518" s="836">
        <f>IFERROR(IF(I$338&gt;$D$33,0,IF(OR(I$60&gt;$C518,$C518&gt;I$61),0,IF(I$60=$C518,I$62,I517*(1+I581)+I644))),0)</f>
        <v>0</v>
      </c>
      <c r="J518" s="836">
        <f>IFERROR(IF(J$338&gt;$D$33,0,IF(OR(J$60&gt;$C518,$C518&gt;J$61),0,IF(J$60=$C518,J$62,J517*(1+J581)+J644))),0)</f>
        <v>0</v>
      </c>
      <c r="K518" s="836">
        <f>IFERROR(IF(K$338&gt;$D$33,0,IF(OR(K$60&gt;$C518,$C518&gt;K$61),0,IF(K$60=$C518,K$62,K517*(1+K581)+K644))),0)</f>
        <v>0</v>
      </c>
      <c r="L518" s="836">
        <f>IFERROR(IF(L$338&gt;$D$33,0,IF(OR(L$60&gt;$C518,$C518&gt;L$61),0,IF(L$60=$C518,L$62,L517*(1+L581)+L644))),0)</f>
        <v>0</v>
      </c>
      <c r="M518" s="836">
        <f>IFERROR(IF(M$338&gt;$D$33,0,IF(OR(M$60&gt;$C518,$C518&gt;M$61),0,IF(M$60=$C518,M$62,M517*(1+M581)+M644))),0)</f>
        <v>0</v>
      </c>
      <c r="N518" s="836">
        <f>IFERROR(IF(N$338&gt;$D$33,0,IF(OR(N$60&gt;$C518,$C518&gt;N$61),0,IF(N$60=$C518,N$62,N517*(1+N581)+N644))),0)</f>
        <v>0</v>
      </c>
      <c r="O518" s="836">
        <f>IFERROR(IF(O$338&gt;$D$33,0,IF(OR(O$60&gt;$C518,$C518&gt;O$61),0,IF(O$60=$C518,O$62,O517*(1+O581)+O644))),0)</f>
        <v>0</v>
      </c>
      <c r="P518" s="836">
        <f>IFERROR(IF(P$338&gt;$D$33,0,IF(OR(P$60&gt;$C518,$C518&gt;P$61),0,IF(P$60=$C518,P$62,P517*(1+P581)+P644))),0)</f>
        <v>0</v>
      </c>
      <c r="Q518" s="836">
        <f>IFERROR(IF(Q$338&gt;$D$33,0,IF(OR(Q$60&gt;$C518,$C518&gt;Q$61),0,IF(Q$60=$C518,Q$62,Q517*(1+Q581)+Q644))),0)</f>
        <v>0</v>
      </c>
      <c r="R518" s="836">
        <f>IFERROR(IF(R$338&gt;$D$33,0,IF(OR(R$60&gt;$C518,$C518&gt;R$61),0,IF(R$60=$C518,R$62,R517*(1+R581)+R644))),0)</f>
        <v>0</v>
      </c>
      <c r="S518" s="836">
        <f>IFERROR(IF(S$338&gt;$D$33,0,IF(OR(S$60&gt;$C518,$C518&gt;S$61),0,IF(S$60=$C518,S$62,S517*(1+S581)+S644))),0)</f>
        <v>0</v>
      </c>
      <c r="T518" s="836">
        <f>IFERROR(IF(T$338&gt;$D$33,0,IF(OR(T$60&gt;$C518,$C518&gt;T$61),0,IF(T$60=$C518,T$62,T517*(1+T581)+T644))),0)</f>
        <v>0</v>
      </c>
      <c r="U518" s="836">
        <f>IFERROR(IF(U$338&gt;$D$33,0,IF(OR(U$60&gt;$C518,$C518&gt;U$61),0,IF(U$60=$C518,U$62,U517*(1+U581)+U644))),0)</f>
        <v>0</v>
      </c>
      <c r="V518" s="836">
        <f>IFERROR(IF(V$338&gt;$D$33,0,IF(OR(V$60&gt;$C518,$C518&gt;V$61),0,IF(V$60=$C518,V$62,V517*(1+V581)+V644))),0)</f>
        <v>0</v>
      </c>
      <c r="W518" s="836">
        <f>IFERROR(IF(W$338&gt;$D$33,0,IF(OR(W$60&gt;$C518,$C518&gt;W$61),0,IF(W$60=$C518,W$62,W517*(1+W581)+W644))),0)</f>
        <v>0</v>
      </c>
      <c r="X518" s="836">
        <f>IFERROR(IF(X$338&gt;$D$33,0,IF(OR(X$60&gt;$C518,$C518&gt;X$61),0,IF(X$60=$C518,X$62,X517*(1+X581)+X644))),0)</f>
        <v>0</v>
      </c>
      <c r="Y518" s="836">
        <f>IFERROR(IF(Y$338&gt;$D$33,0,IF(OR(Y$60&gt;$C518,$C518&gt;Y$61),0,IF(Y$60=$C518,Y$62,Y517*(1+Y581)+Y644))),0)</f>
        <v>0</v>
      </c>
      <c r="Z518" s="836">
        <f>IFERROR(IF(Z$338&gt;$D$33,0,IF(OR(Z$60&gt;$C518,$C518&gt;Z$61),0,IF(Z$60=$C518,Z$62,Z517*(1+Z581)+Z644))),0)</f>
        <v>0</v>
      </c>
      <c r="AA518" s="836">
        <f>IFERROR(IF(AA$338&gt;$D$33,0,IF(OR(AA$60&gt;$C518,$C518&gt;AA$61),0,IF(AA$60=$C518,AA$62,AA517*(1+AA581)+AA644))),0)</f>
        <v>0</v>
      </c>
      <c r="AB518" s="837">
        <f>IFERROR(IF(AB$338&gt;$D$33,0,IF(OR(AB$60&gt;$C518,$C518&gt;AB$61),0,IF(AB$60=$C518,AB$62,AB517*(1+AB581)+AB644))),0)</f>
        <v>0</v>
      </c>
    </row>
    <row r="519" spans="1:28" ht="12" customHeight="1" x14ac:dyDescent="0.3">
      <c r="A519" s="8"/>
      <c r="C519" s="495">
        <f>C456</f>
        <v>1430</v>
      </c>
      <c r="D519" s="835">
        <f>IFERROR(IF(D$338&gt;$D$33,0,IF(OR(D$60&gt;$C519,$C519&gt;D$61),0,IF(D$60=$C519,D$62,D518*(1+D582)+D645))),0)</f>
        <v>0</v>
      </c>
      <c r="E519" s="836">
        <f>IFERROR(IF(E$338&gt;$D$33,0,IF(OR(E$60&gt;$C519,$C519&gt;E$61),0,IF(E$60=$C519,E$62,E518*(1+E582)+E645))),0)</f>
        <v>0</v>
      </c>
      <c r="F519" s="836">
        <f>IFERROR(IF(F$338&gt;$D$33,0,IF(OR(F$60&gt;$C519,$C519&gt;F$61),0,IF(F$60=$C519,F$62,F518*(1+F582)+F645))),0)</f>
        <v>0</v>
      </c>
      <c r="G519" s="836">
        <f>IFERROR(IF(G$338&gt;$D$33,0,IF(OR(G$60&gt;$C519,$C519&gt;G$61),0,IF(G$60=$C519,G$62,G518*(1+G582)+G645))),0)</f>
        <v>0</v>
      </c>
      <c r="H519" s="836">
        <f>IFERROR(IF(H$338&gt;$D$33,0,IF(OR(H$60&gt;$C519,$C519&gt;H$61),0,IF(H$60=$C519,H$62,H518*(1+H582)+H645))),0)</f>
        <v>0</v>
      </c>
      <c r="I519" s="836">
        <f>IFERROR(IF(I$338&gt;$D$33,0,IF(OR(I$60&gt;$C519,$C519&gt;I$61),0,IF(I$60=$C519,I$62,I518*(1+I582)+I645))),0)</f>
        <v>0</v>
      </c>
      <c r="J519" s="836">
        <f>IFERROR(IF(J$338&gt;$D$33,0,IF(OR(J$60&gt;$C519,$C519&gt;J$61),0,IF(J$60=$C519,J$62,J518*(1+J582)+J645))),0)</f>
        <v>0</v>
      </c>
      <c r="K519" s="836">
        <f>IFERROR(IF(K$338&gt;$D$33,0,IF(OR(K$60&gt;$C519,$C519&gt;K$61),0,IF(K$60=$C519,K$62,K518*(1+K582)+K645))),0)</f>
        <v>0</v>
      </c>
      <c r="L519" s="836">
        <f>IFERROR(IF(L$338&gt;$D$33,0,IF(OR(L$60&gt;$C519,$C519&gt;L$61),0,IF(L$60=$C519,L$62,L518*(1+L582)+L645))),0)</f>
        <v>0</v>
      </c>
      <c r="M519" s="836">
        <f>IFERROR(IF(M$338&gt;$D$33,0,IF(OR(M$60&gt;$C519,$C519&gt;M$61),0,IF(M$60=$C519,M$62,M518*(1+M582)+M645))),0)</f>
        <v>0</v>
      </c>
      <c r="N519" s="836">
        <f>IFERROR(IF(N$338&gt;$D$33,0,IF(OR(N$60&gt;$C519,$C519&gt;N$61),0,IF(N$60=$C519,N$62,N518*(1+N582)+N645))),0)</f>
        <v>0</v>
      </c>
      <c r="O519" s="836">
        <f>IFERROR(IF(O$338&gt;$D$33,0,IF(OR(O$60&gt;$C519,$C519&gt;O$61),0,IF(O$60=$C519,O$62,O518*(1+O582)+O645))),0)</f>
        <v>0</v>
      </c>
      <c r="P519" s="836">
        <f>IFERROR(IF(P$338&gt;$D$33,0,IF(OR(P$60&gt;$C519,$C519&gt;P$61),0,IF(P$60=$C519,P$62,P518*(1+P582)+P645))),0)</f>
        <v>0</v>
      </c>
      <c r="Q519" s="836">
        <f>IFERROR(IF(Q$338&gt;$D$33,0,IF(OR(Q$60&gt;$C519,$C519&gt;Q$61),0,IF(Q$60=$C519,Q$62,Q518*(1+Q582)+Q645))),0)</f>
        <v>0</v>
      </c>
      <c r="R519" s="836">
        <f>IFERROR(IF(R$338&gt;$D$33,0,IF(OR(R$60&gt;$C519,$C519&gt;R$61),0,IF(R$60=$C519,R$62,R518*(1+R582)+R645))),0)</f>
        <v>0</v>
      </c>
      <c r="S519" s="836">
        <f>IFERROR(IF(S$338&gt;$D$33,0,IF(OR(S$60&gt;$C519,$C519&gt;S$61),0,IF(S$60=$C519,S$62,S518*(1+S582)+S645))),0)</f>
        <v>0</v>
      </c>
      <c r="T519" s="836">
        <f>IFERROR(IF(T$338&gt;$D$33,0,IF(OR(T$60&gt;$C519,$C519&gt;T$61),0,IF(T$60=$C519,T$62,T518*(1+T582)+T645))),0)</f>
        <v>0</v>
      </c>
      <c r="U519" s="836">
        <f>IFERROR(IF(U$338&gt;$D$33,0,IF(OR(U$60&gt;$C519,$C519&gt;U$61),0,IF(U$60=$C519,U$62,U518*(1+U582)+U645))),0)</f>
        <v>0</v>
      </c>
      <c r="V519" s="836">
        <f>IFERROR(IF(V$338&gt;$D$33,0,IF(OR(V$60&gt;$C519,$C519&gt;V$61),0,IF(V$60=$C519,V$62,V518*(1+V582)+V645))),0)</f>
        <v>0</v>
      </c>
      <c r="W519" s="836">
        <f>IFERROR(IF(W$338&gt;$D$33,0,IF(OR(W$60&gt;$C519,$C519&gt;W$61),0,IF(W$60=$C519,W$62,W518*(1+W582)+W645))),0)</f>
        <v>0</v>
      </c>
      <c r="X519" s="836">
        <f>IFERROR(IF(X$338&gt;$D$33,0,IF(OR(X$60&gt;$C519,$C519&gt;X$61),0,IF(X$60=$C519,X$62,X518*(1+X582)+X645))),0)</f>
        <v>0</v>
      </c>
      <c r="Y519" s="836">
        <f>IFERROR(IF(Y$338&gt;$D$33,0,IF(OR(Y$60&gt;$C519,$C519&gt;Y$61),0,IF(Y$60=$C519,Y$62,Y518*(1+Y582)+Y645))),0)</f>
        <v>0</v>
      </c>
      <c r="Z519" s="836">
        <f>IFERROR(IF(Z$338&gt;$D$33,0,IF(OR(Z$60&gt;$C519,$C519&gt;Z$61),0,IF(Z$60=$C519,Z$62,Z518*(1+Z582)+Z645))),0)</f>
        <v>0</v>
      </c>
      <c r="AA519" s="836">
        <f>IFERROR(IF(AA$338&gt;$D$33,0,IF(OR(AA$60&gt;$C519,$C519&gt;AA$61),0,IF(AA$60=$C519,AA$62,AA518*(1+AA582)+AA645))),0)</f>
        <v>0</v>
      </c>
      <c r="AB519" s="837">
        <f>IFERROR(IF(AB$338&gt;$D$33,0,IF(OR(AB$60&gt;$C519,$C519&gt;AB$61),0,IF(AB$60=$C519,AB$62,AB518*(1+AB582)+AB645))),0)</f>
        <v>0</v>
      </c>
    </row>
    <row r="520" spans="1:28" ht="12" customHeight="1" thickBot="1" x14ac:dyDescent="0.35">
      <c r="A520" s="8"/>
      <c r="C520" s="496">
        <f>C457</f>
        <v>1461</v>
      </c>
      <c r="D520" s="838">
        <f>IFERROR(IF(D$338&gt;$D$33,0,IF(OR(D$60&gt;$C520,$C520&gt;D$61),0,IF(D$60=$C520,D$62,D519*(1+D583)+D646))),0)</f>
        <v>0</v>
      </c>
      <c r="E520" s="839">
        <f>IFERROR(IF(E$338&gt;$D$33,0,IF(OR(E$60&gt;$C520,$C520&gt;E$61),0,IF(E$60=$C520,E$62,E519*(1+E583)+E646))),0)</f>
        <v>0</v>
      </c>
      <c r="F520" s="839">
        <f>IFERROR(IF(F$338&gt;$D$33,0,IF(OR(F$60&gt;$C520,$C520&gt;F$61),0,IF(F$60=$C520,F$62,F519*(1+F583)+F646))),0)</f>
        <v>0</v>
      </c>
      <c r="G520" s="839">
        <f>IFERROR(IF(G$338&gt;$D$33,0,IF(OR(G$60&gt;$C520,$C520&gt;G$61),0,IF(G$60=$C520,G$62,G519*(1+G583)+G646))),0)</f>
        <v>0</v>
      </c>
      <c r="H520" s="839">
        <f>IFERROR(IF(H$338&gt;$D$33,0,IF(OR(H$60&gt;$C520,$C520&gt;H$61),0,IF(H$60=$C520,H$62,H519*(1+H583)+H646))),0)</f>
        <v>0</v>
      </c>
      <c r="I520" s="839">
        <f>IFERROR(IF(I$338&gt;$D$33,0,IF(OR(I$60&gt;$C520,$C520&gt;I$61),0,IF(I$60=$C520,I$62,I519*(1+I583)+I646))),0)</f>
        <v>0</v>
      </c>
      <c r="J520" s="839">
        <f>IFERROR(IF(J$338&gt;$D$33,0,IF(OR(J$60&gt;$C520,$C520&gt;J$61),0,IF(J$60=$C520,J$62,J519*(1+J583)+J646))),0)</f>
        <v>0</v>
      </c>
      <c r="K520" s="839">
        <f>IFERROR(IF(K$338&gt;$D$33,0,IF(OR(K$60&gt;$C520,$C520&gt;K$61),0,IF(K$60=$C520,K$62,K519*(1+K583)+K646))),0)</f>
        <v>0</v>
      </c>
      <c r="L520" s="839">
        <f>IFERROR(IF(L$338&gt;$D$33,0,IF(OR(L$60&gt;$C520,$C520&gt;L$61),0,IF(L$60=$C520,L$62,L519*(1+L583)+L646))),0)</f>
        <v>0</v>
      </c>
      <c r="M520" s="839">
        <f>IFERROR(IF(M$338&gt;$D$33,0,IF(OR(M$60&gt;$C520,$C520&gt;M$61),0,IF(M$60=$C520,M$62,M519*(1+M583)+M646))),0)</f>
        <v>0</v>
      </c>
      <c r="N520" s="839">
        <f>IFERROR(IF(N$338&gt;$D$33,0,IF(OR(N$60&gt;$C520,$C520&gt;N$61),0,IF(N$60=$C520,N$62,N519*(1+N583)+N646))),0)</f>
        <v>0</v>
      </c>
      <c r="O520" s="839">
        <f>IFERROR(IF(O$338&gt;$D$33,0,IF(OR(O$60&gt;$C520,$C520&gt;O$61),0,IF(O$60=$C520,O$62,O519*(1+O583)+O646))),0)</f>
        <v>0</v>
      </c>
      <c r="P520" s="839">
        <f>IFERROR(IF(P$338&gt;$D$33,0,IF(OR(P$60&gt;$C520,$C520&gt;P$61),0,IF(P$60=$C520,P$62,P519*(1+P583)+P646))),0)</f>
        <v>0</v>
      </c>
      <c r="Q520" s="839">
        <f>IFERROR(IF(Q$338&gt;$D$33,0,IF(OR(Q$60&gt;$C520,$C520&gt;Q$61),0,IF(Q$60=$C520,Q$62,Q519*(1+Q583)+Q646))),0)</f>
        <v>0</v>
      </c>
      <c r="R520" s="839">
        <f>IFERROR(IF(R$338&gt;$D$33,0,IF(OR(R$60&gt;$C520,$C520&gt;R$61),0,IF(R$60=$C520,R$62,R519*(1+R583)+R646))),0)</f>
        <v>0</v>
      </c>
      <c r="S520" s="839">
        <f>IFERROR(IF(S$338&gt;$D$33,0,IF(OR(S$60&gt;$C520,$C520&gt;S$61),0,IF(S$60=$C520,S$62,S519*(1+S583)+S646))),0)</f>
        <v>0</v>
      </c>
      <c r="T520" s="839">
        <f>IFERROR(IF(T$338&gt;$D$33,0,IF(OR(T$60&gt;$C520,$C520&gt;T$61),0,IF(T$60=$C520,T$62,T519*(1+T583)+T646))),0)</f>
        <v>0</v>
      </c>
      <c r="U520" s="839">
        <f>IFERROR(IF(U$338&gt;$D$33,0,IF(OR(U$60&gt;$C520,$C520&gt;U$61),0,IF(U$60=$C520,U$62,U519*(1+U583)+U646))),0)</f>
        <v>0</v>
      </c>
      <c r="V520" s="839">
        <f>IFERROR(IF(V$338&gt;$D$33,0,IF(OR(V$60&gt;$C520,$C520&gt;V$61),0,IF(V$60=$C520,V$62,V519*(1+V583)+V646))),0)</f>
        <v>0</v>
      </c>
      <c r="W520" s="839">
        <f>IFERROR(IF(W$338&gt;$D$33,0,IF(OR(W$60&gt;$C520,$C520&gt;W$61),0,IF(W$60=$C520,W$62,W519*(1+W583)+W646))),0)</f>
        <v>0</v>
      </c>
      <c r="X520" s="839">
        <f>IFERROR(IF(X$338&gt;$D$33,0,IF(OR(X$60&gt;$C520,$C520&gt;X$61),0,IF(X$60=$C520,X$62,X519*(1+X583)+X646))),0)</f>
        <v>0</v>
      </c>
      <c r="Y520" s="839">
        <f>IFERROR(IF(Y$338&gt;$D$33,0,IF(OR(Y$60&gt;$C520,$C520&gt;Y$61),0,IF(Y$60=$C520,Y$62,Y519*(1+Y583)+Y646))),0)</f>
        <v>0</v>
      </c>
      <c r="Z520" s="839">
        <f>IFERROR(IF(Z$338&gt;$D$33,0,IF(OR(Z$60&gt;$C520,$C520&gt;Z$61),0,IF(Z$60=$C520,Z$62,Z519*(1+Z583)+Z646))),0)</f>
        <v>0</v>
      </c>
      <c r="AA520" s="839">
        <f>IFERROR(IF(AA$338&gt;$D$33,0,IF(OR(AA$60&gt;$C520,$C520&gt;AA$61),0,IF(AA$60=$C520,AA$62,AA519*(1+AA583)+AA646))),0)</f>
        <v>0</v>
      </c>
      <c r="AB520" s="840">
        <f>IFERROR(IF(AB$338&gt;$D$33,0,IF(OR(AB$60&gt;$C520,$C520&gt;AB$61),0,IF(AB$60=$C520,AB$62,AB519*(1+AB583)+AB646))),0)</f>
        <v>0</v>
      </c>
    </row>
    <row r="521" spans="1:28" ht="12" customHeight="1" x14ac:dyDescent="0.3">
      <c r="A521" s="8"/>
      <c r="C521" s="495">
        <f>C458</f>
        <v>1492</v>
      </c>
      <c r="D521" s="832">
        <f>IFERROR(IF(D$338&gt;$D$33,0,IF(OR(D$60&gt;$C521,$C521&gt;D$61),0,IF(D$60=$C521,D$62,D520*(1+D584)+D647))),0)</f>
        <v>0</v>
      </c>
      <c r="E521" s="833">
        <f>IFERROR(IF(E$338&gt;$D$33,0,IF(OR(E$60&gt;$C521,$C521&gt;E$61),0,IF(E$60=$C521,E$62,E520*(1+E584)+E647))),0)</f>
        <v>0</v>
      </c>
      <c r="F521" s="833">
        <f>IFERROR(IF(F$338&gt;$D$33,0,IF(OR(F$60&gt;$C521,$C521&gt;F$61),0,IF(F$60=$C521,F$62,F520*(1+F584)+F647))),0)</f>
        <v>0</v>
      </c>
      <c r="G521" s="833">
        <f>IFERROR(IF(G$338&gt;$D$33,0,IF(OR(G$60&gt;$C521,$C521&gt;G$61),0,IF(G$60=$C521,G$62,G520*(1+G584)+G647))),0)</f>
        <v>0</v>
      </c>
      <c r="H521" s="833">
        <f>IFERROR(IF(H$338&gt;$D$33,0,IF(OR(H$60&gt;$C521,$C521&gt;H$61),0,IF(H$60=$C521,H$62,H520*(1+H584)+H647))),0)</f>
        <v>0</v>
      </c>
      <c r="I521" s="833">
        <f>IFERROR(IF(I$338&gt;$D$33,0,IF(OR(I$60&gt;$C521,$C521&gt;I$61),0,IF(I$60=$C521,I$62,I520*(1+I584)+I647))),0)</f>
        <v>0</v>
      </c>
      <c r="J521" s="833">
        <f>IFERROR(IF(J$338&gt;$D$33,0,IF(OR(J$60&gt;$C521,$C521&gt;J$61),0,IF(J$60=$C521,J$62,J520*(1+J584)+J647))),0)</f>
        <v>0</v>
      </c>
      <c r="K521" s="833">
        <f>IFERROR(IF(K$338&gt;$D$33,0,IF(OR(K$60&gt;$C521,$C521&gt;K$61),0,IF(K$60=$C521,K$62,K520*(1+K584)+K647))),0)</f>
        <v>0</v>
      </c>
      <c r="L521" s="833">
        <f>IFERROR(IF(L$338&gt;$D$33,0,IF(OR(L$60&gt;$C521,$C521&gt;L$61),0,IF(L$60=$C521,L$62,L520*(1+L584)+L647))),0)</f>
        <v>0</v>
      </c>
      <c r="M521" s="833">
        <f>IFERROR(IF(M$338&gt;$D$33,0,IF(OR(M$60&gt;$C521,$C521&gt;M$61),0,IF(M$60=$C521,M$62,M520*(1+M584)+M647))),0)</f>
        <v>0</v>
      </c>
      <c r="N521" s="833">
        <f>IFERROR(IF(N$338&gt;$D$33,0,IF(OR(N$60&gt;$C521,$C521&gt;N$61),0,IF(N$60=$C521,N$62,N520*(1+N584)+N647))),0)</f>
        <v>0</v>
      </c>
      <c r="O521" s="833">
        <f>IFERROR(IF(O$338&gt;$D$33,0,IF(OR(O$60&gt;$C521,$C521&gt;O$61),0,IF(O$60=$C521,O$62,O520*(1+O584)+O647))),0)</f>
        <v>0</v>
      </c>
      <c r="P521" s="833">
        <f>IFERROR(IF(P$338&gt;$D$33,0,IF(OR(P$60&gt;$C521,$C521&gt;P$61),0,IF(P$60=$C521,P$62,P520*(1+P584)+P647))),0)</f>
        <v>0</v>
      </c>
      <c r="Q521" s="833">
        <f>IFERROR(IF(Q$338&gt;$D$33,0,IF(OR(Q$60&gt;$C521,$C521&gt;Q$61),0,IF(Q$60=$C521,Q$62,Q520*(1+Q584)+Q647))),0)</f>
        <v>0</v>
      </c>
      <c r="R521" s="833">
        <f>IFERROR(IF(R$338&gt;$D$33,0,IF(OR(R$60&gt;$C521,$C521&gt;R$61),0,IF(R$60=$C521,R$62,R520*(1+R584)+R647))),0)</f>
        <v>0</v>
      </c>
      <c r="S521" s="833">
        <f>IFERROR(IF(S$338&gt;$D$33,0,IF(OR(S$60&gt;$C521,$C521&gt;S$61),0,IF(S$60=$C521,S$62,S520*(1+S584)+S647))),0)</f>
        <v>0</v>
      </c>
      <c r="T521" s="833">
        <f>IFERROR(IF(T$338&gt;$D$33,0,IF(OR(T$60&gt;$C521,$C521&gt;T$61),0,IF(T$60=$C521,T$62,T520*(1+T584)+T647))),0)</f>
        <v>0</v>
      </c>
      <c r="U521" s="833">
        <f>IFERROR(IF(U$338&gt;$D$33,0,IF(OR(U$60&gt;$C521,$C521&gt;U$61),0,IF(U$60=$C521,U$62,U520*(1+U584)+U647))),0)</f>
        <v>0</v>
      </c>
      <c r="V521" s="833">
        <f>IFERROR(IF(V$338&gt;$D$33,0,IF(OR(V$60&gt;$C521,$C521&gt;V$61),0,IF(V$60=$C521,V$62,V520*(1+V584)+V647))),0)</f>
        <v>0</v>
      </c>
      <c r="W521" s="833">
        <f>IFERROR(IF(W$338&gt;$D$33,0,IF(OR(W$60&gt;$C521,$C521&gt;W$61),0,IF(W$60=$C521,W$62,W520*(1+W584)+W647))),0)</f>
        <v>0</v>
      </c>
      <c r="X521" s="833">
        <f>IFERROR(IF(X$338&gt;$D$33,0,IF(OR(X$60&gt;$C521,$C521&gt;X$61),0,IF(X$60=$C521,X$62,X520*(1+X584)+X647))),0)</f>
        <v>0</v>
      </c>
      <c r="Y521" s="833">
        <f>IFERROR(IF(Y$338&gt;$D$33,0,IF(OR(Y$60&gt;$C521,$C521&gt;Y$61),0,IF(Y$60=$C521,Y$62,Y520*(1+Y584)+Y647))),0)</f>
        <v>0</v>
      </c>
      <c r="Z521" s="833">
        <f>IFERROR(IF(Z$338&gt;$D$33,0,IF(OR(Z$60&gt;$C521,$C521&gt;Z$61),0,IF(Z$60=$C521,Z$62,Z520*(1+Z584)+Z647))),0)</f>
        <v>0</v>
      </c>
      <c r="AA521" s="833">
        <f>IFERROR(IF(AA$338&gt;$D$33,0,IF(OR(AA$60&gt;$C521,$C521&gt;AA$61),0,IF(AA$60=$C521,AA$62,AA520*(1+AA584)+AA647))),0)</f>
        <v>0</v>
      </c>
      <c r="AB521" s="834">
        <f>IFERROR(IF(AB$338&gt;$D$33,0,IF(OR(AB$60&gt;$C521,$C521&gt;AB$61),0,IF(AB$60=$C521,AB$62,AB520*(1+AB584)+AB647))),0)</f>
        <v>0</v>
      </c>
    </row>
    <row r="522" spans="1:28" ht="12" customHeight="1" x14ac:dyDescent="0.3">
      <c r="A522" s="8"/>
      <c r="C522" s="495">
        <f>C459</f>
        <v>1521</v>
      </c>
      <c r="D522" s="835">
        <f>IFERROR(IF(D$338&gt;$D$33,0,IF(OR(D$60&gt;$C522,$C522&gt;D$61),0,IF(D$60=$C522,D$62,D521*(1+D585)+D648))),0)</f>
        <v>0</v>
      </c>
      <c r="E522" s="836">
        <f>IFERROR(IF(E$338&gt;$D$33,0,IF(OR(E$60&gt;$C522,$C522&gt;E$61),0,IF(E$60=$C522,E$62,E521*(1+E585)+E648))),0)</f>
        <v>0</v>
      </c>
      <c r="F522" s="836">
        <f>IFERROR(IF(F$338&gt;$D$33,0,IF(OR(F$60&gt;$C522,$C522&gt;F$61),0,IF(F$60=$C522,F$62,F521*(1+F585)+F648))),0)</f>
        <v>0</v>
      </c>
      <c r="G522" s="836">
        <f>IFERROR(IF(G$338&gt;$D$33,0,IF(OR(G$60&gt;$C522,$C522&gt;G$61),0,IF(G$60=$C522,G$62,G521*(1+G585)+G648))),0)</f>
        <v>0</v>
      </c>
      <c r="H522" s="836">
        <f>IFERROR(IF(H$338&gt;$D$33,0,IF(OR(H$60&gt;$C522,$C522&gt;H$61),0,IF(H$60=$C522,H$62,H521*(1+H585)+H648))),0)</f>
        <v>0</v>
      </c>
      <c r="I522" s="836">
        <f>IFERROR(IF(I$338&gt;$D$33,0,IF(OR(I$60&gt;$C522,$C522&gt;I$61),0,IF(I$60=$C522,I$62,I521*(1+I585)+I648))),0)</f>
        <v>0</v>
      </c>
      <c r="J522" s="836">
        <f>IFERROR(IF(J$338&gt;$D$33,0,IF(OR(J$60&gt;$C522,$C522&gt;J$61),0,IF(J$60=$C522,J$62,J521*(1+J585)+J648))),0)</f>
        <v>0</v>
      </c>
      <c r="K522" s="836">
        <f>IFERROR(IF(K$338&gt;$D$33,0,IF(OR(K$60&gt;$C522,$C522&gt;K$61),0,IF(K$60=$C522,K$62,K521*(1+K585)+K648))),0)</f>
        <v>0</v>
      </c>
      <c r="L522" s="836">
        <f>IFERROR(IF(L$338&gt;$D$33,0,IF(OR(L$60&gt;$C522,$C522&gt;L$61),0,IF(L$60=$C522,L$62,L521*(1+L585)+L648))),0)</f>
        <v>0</v>
      </c>
      <c r="M522" s="836">
        <f>IFERROR(IF(M$338&gt;$D$33,0,IF(OR(M$60&gt;$C522,$C522&gt;M$61),0,IF(M$60=$C522,M$62,M521*(1+M585)+M648))),0)</f>
        <v>0</v>
      </c>
      <c r="N522" s="836">
        <f>IFERROR(IF(N$338&gt;$D$33,0,IF(OR(N$60&gt;$C522,$C522&gt;N$61),0,IF(N$60=$C522,N$62,N521*(1+N585)+N648))),0)</f>
        <v>0</v>
      </c>
      <c r="O522" s="836">
        <f>IFERROR(IF(O$338&gt;$D$33,0,IF(OR(O$60&gt;$C522,$C522&gt;O$61),0,IF(O$60=$C522,O$62,O521*(1+O585)+O648))),0)</f>
        <v>0</v>
      </c>
      <c r="P522" s="836">
        <f>IFERROR(IF(P$338&gt;$D$33,0,IF(OR(P$60&gt;$C522,$C522&gt;P$61),0,IF(P$60=$C522,P$62,P521*(1+P585)+P648))),0)</f>
        <v>0</v>
      </c>
      <c r="Q522" s="836">
        <f>IFERROR(IF(Q$338&gt;$D$33,0,IF(OR(Q$60&gt;$C522,$C522&gt;Q$61),0,IF(Q$60=$C522,Q$62,Q521*(1+Q585)+Q648))),0)</f>
        <v>0</v>
      </c>
      <c r="R522" s="836">
        <f>IFERROR(IF(R$338&gt;$D$33,0,IF(OR(R$60&gt;$C522,$C522&gt;R$61),0,IF(R$60=$C522,R$62,R521*(1+R585)+R648))),0)</f>
        <v>0</v>
      </c>
      <c r="S522" s="836">
        <f>IFERROR(IF(S$338&gt;$D$33,0,IF(OR(S$60&gt;$C522,$C522&gt;S$61),0,IF(S$60=$C522,S$62,S521*(1+S585)+S648))),0)</f>
        <v>0</v>
      </c>
      <c r="T522" s="836">
        <f>IFERROR(IF(T$338&gt;$D$33,0,IF(OR(T$60&gt;$C522,$C522&gt;T$61),0,IF(T$60=$C522,T$62,T521*(1+T585)+T648))),0)</f>
        <v>0</v>
      </c>
      <c r="U522" s="836">
        <f>IFERROR(IF(U$338&gt;$D$33,0,IF(OR(U$60&gt;$C522,$C522&gt;U$61),0,IF(U$60=$C522,U$62,U521*(1+U585)+U648))),0)</f>
        <v>0</v>
      </c>
      <c r="V522" s="836">
        <f>IFERROR(IF(V$338&gt;$D$33,0,IF(OR(V$60&gt;$C522,$C522&gt;V$61),0,IF(V$60=$C522,V$62,V521*(1+V585)+V648))),0)</f>
        <v>0</v>
      </c>
      <c r="W522" s="836">
        <f>IFERROR(IF(W$338&gt;$D$33,0,IF(OR(W$60&gt;$C522,$C522&gt;W$61),0,IF(W$60=$C522,W$62,W521*(1+W585)+W648))),0)</f>
        <v>0</v>
      </c>
      <c r="X522" s="836">
        <f>IFERROR(IF(X$338&gt;$D$33,0,IF(OR(X$60&gt;$C522,$C522&gt;X$61),0,IF(X$60=$C522,X$62,X521*(1+X585)+X648))),0)</f>
        <v>0</v>
      </c>
      <c r="Y522" s="836">
        <f>IFERROR(IF(Y$338&gt;$D$33,0,IF(OR(Y$60&gt;$C522,$C522&gt;Y$61),0,IF(Y$60=$C522,Y$62,Y521*(1+Y585)+Y648))),0)</f>
        <v>0</v>
      </c>
      <c r="Z522" s="836">
        <f>IFERROR(IF(Z$338&gt;$D$33,0,IF(OR(Z$60&gt;$C522,$C522&gt;Z$61),0,IF(Z$60=$C522,Z$62,Z521*(1+Z585)+Z648))),0)</f>
        <v>0</v>
      </c>
      <c r="AA522" s="836">
        <f>IFERROR(IF(AA$338&gt;$D$33,0,IF(OR(AA$60&gt;$C522,$C522&gt;AA$61),0,IF(AA$60=$C522,AA$62,AA521*(1+AA585)+AA648))),0)</f>
        <v>0</v>
      </c>
      <c r="AB522" s="837">
        <f>IFERROR(IF(AB$338&gt;$D$33,0,IF(OR(AB$60&gt;$C522,$C522&gt;AB$61),0,IF(AB$60=$C522,AB$62,AB521*(1+AB585)+AB648))),0)</f>
        <v>0</v>
      </c>
    </row>
    <row r="523" spans="1:28" ht="12" customHeight="1" x14ac:dyDescent="0.3">
      <c r="A523" s="8"/>
      <c r="C523" s="495">
        <f>C460</f>
        <v>1552</v>
      </c>
      <c r="D523" s="835">
        <f>IFERROR(IF(D$338&gt;$D$33,0,IF(OR(D$60&gt;$C523,$C523&gt;D$61),0,IF(D$60=$C523,D$62,D522*(1+D586)+D649))),0)</f>
        <v>0</v>
      </c>
      <c r="E523" s="836">
        <f>IFERROR(IF(E$338&gt;$D$33,0,IF(OR(E$60&gt;$C523,$C523&gt;E$61),0,IF(E$60=$C523,E$62,E522*(1+E586)+E649))),0)</f>
        <v>0</v>
      </c>
      <c r="F523" s="836">
        <f>IFERROR(IF(F$338&gt;$D$33,0,IF(OR(F$60&gt;$C523,$C523&gt;F$61),0,IF(F$60=$C523,F$62,F522*(1+F586)+F649))),0)</f>
        <v>0</v>
      </c>
      <c r="G523" s="836">
        <f>IFERROR(IF(G$338&gt;$D$33,0,IF(OR(G$60&gt;$C523,$C523&gt;G$61),0,IF(G$60=$C523,G$62,G522*(1+G586)+G649))),0)</f>
        <v>0</v>
      </c>
      <c r="H523" s="836">
        <f>IFERROR(IF(H$338&gt;$D$33,0,IF(OR(H$60&gt;$C523,$C523&gt;H$61),0,IF(H$60=$C523,H$62,H522*(1+H586)+H649))),0)</f>
        <v>0</v>
      </c>
      <c r="I523" s="836">
        <f>IFERROR(IF(I$338&gt;$D$33,0,IF(OR(I$60&gt;$C523,$C523&gt;I$61),0,IF(I$60=$C523,I$62,I522*(1+I586)+I649))),0)</f>
        <v>0</v>
      </c>
      <c r="J523" s="836">
        <f>IFERROR(IF(J$338&gt;$D$33,0,IF(OR(J$60&gt;$C523,$C523&gt;J$61),0,IF(J$60=$C523,J$62,J522*(1+J586)+J649))),0)</f>
        <v>0</v>
      </c>
      <c r="K523" s="836">
        <f>IFERROR(IF(K$338&gt;$D$33,0,IF(OR(K$60&gt;$C523,$C523&gt;K$61),0,IF(K$60=$C523,K$62,K522*(1+K586)+K649))),0)</f>
        <v>0</v>
      </c>
      <c r="L523" s="836">
        <f>IFERROR(IF(L$338&gt;$D$33,0,IF(OR(L$60&gt;$C523,$C523&gt;L$61),0,IF(L$60=$C523,L$62,L522*(1+L586)+L649))),0)</f>
        <v>0</v>
      </c>
      <c r="M523" s="836">
        <f>IFERROR(IF(M$338&gt;$D$33,0,IF(OR(M$60&gt;$C523,$C523&gt;M$61),0,IF(M$60=$C523,M$62,M522*(1+M586)+M649))),0)</f>
        <v>0</v>
      </c>
      <c r="N523" s="836">
        <f>IFERROR(IF(N$338&gt;$D$33,0,IF(OR(N$60&gt;$C523,$C523&gt;N$61),0,IF(N$60=$C523,N$62,N522*(1+N586)+N649))),0)</f>
        <v>0</v>
      </c>
      <c r="O523" s="836">
        <f>IFERROR(IF(O$338&gt;$D$33,0,IF(OR(O$60&gt;$C523,$C523&gt;O$61),0,IF(O$60=$C523,O$62,O522*(1+O586)+O649))),0)</f>
        <v>0</v>
      </c>
      <c r="P523" s="836">
        <f>IFERROR(IF(P$338&gt;$D$33,0,IF(OR(P$60&gt;$C523,$C523&gt;P$61),0,IF(P$60=$C523,P$62,P522*(1+P586)+P649))),0)</f>
        <v>0</v>
      </c>
      <c r="Q523" s="836">
        <f>IFERROR(IF(Q$338&gt;$D$33,0,IF(OR(Q$60&gt;$C523,$C523&gt;Q$61),0,IF(Q$60=$C523,Q$62,Q522*(1+Q586)+Q649))),0)</f>
        <v>0</v>
      </c>
      <c r="R523" s="836">
        <f>IFERROR(IF(R$338&gt;$D$33,0,IF(OR(R$60&gt;$C523,$C523&gt;R$61),0,IF(R$60=$C523,R$62,R522*(1+R586)+R649))),0)</f>
        <v>0</v>
      </c>
      <c r="S523" s="836">
        <f>IFERROR(IF(S$338&gt;$D$33,0,IF(OR(S$60&gt;$C523,$C523&gt;S$61),0,IF(S$60=$C523,S$62,S522*(1+S586)+S649))),0)</f>
        <v>0</v>
      </c>
      <c r="T523" s="836">
        <f>IFERROR(IF(T$338&gt;$D$33,0,IF(OR(T$60&gt;$C523,$C523&gt;T$61),0,IF(T$60=$C523,T$62,T522*(1+T586)+T649))),0)</f>
        <v>0</v>
      </c>
      <c r="U523" s="836">
        <f>IFERROR(IF(U$338&gt;$D$33,0,IF(OR(U$60&gt;$C523,$C523&gt;U$61),0,IF(U$60=$C523,U$62,U522*(1+U586)+U649))),0)</f>
        <v>0</v>
      </c>
      <c r="V523" s="836">
        <f>IFERROR(IF(V$338&gt;$D$33,0,IF(OR(V$60&gt;$C523,$C523&gt;V$61),0,IF(V$60=$C523,V$62,V522*(1+V586)+V649))),0)</f>
        <v>0</v>
      </c>
      <c r="W523" s="836">
        <f>IFERROR(IF(W$338&gt;$D$33,0,IF(OR(W$60&gt;$C523,$C523&gt;W$61),0,IF(W$60=$C523,W$62,W522*(1+W586)+W649))),0)</f>
        <v>0</v>
      </c>
      <c r="X523" s="836">
        <f>IFERROR(IF(X$338&gt;$D$33,0,IF(OR(X$60&gt;$C523,$C523&gt;X$61),0,IF(X$60=$C523,X$62,X522*(1+X586)+X649))),0)</f>
        <v>0</v>
      </c>
      <c r="Y523" s="836">
        <f>IFERROR(IF(Y$338&gt;$D$33,0,IF(OR(Y$60&gt;$C523,$C523&gt;Y$61),0,IF(Y$60=$C523,Y$62,Y522*(1+Y586)+Y649))),0)</f>
        <v>0</v>
      </c>
      <c r="Z523" s="836">
        <f>IFERROR(IF(Z$338&gt;$D$33,0,IF(OR(Z$60&gt;$C523,$C523&gt;Z$61),0,IF(Z$60=$C523,Z$62,Z522*(1+Z586)+Z649))),0)</f>
        <v>0</v>
      </c>
      <c r="AA523" s="836">
        <f>IFERROR(IF(AA$338&gt;$D$33,0,IF(OR(AA$60&gt;$C523,$C523&gt;AA$61),0,IF(AA$60=$C523,AA$62,AA522*(1+AA586)+AA649))),0)</f>
        <v>0</v>
      </c>
      <c r="AB523" s="837">
        <f>IFERROR(IF(AB$338&gt;$D$33,0,IF(OR(AB$60&gt;$C523,$C523&gt;AB$61),0,IF(AB$60=$C523,AB$62,AB522*(1+AB586)+AB649))),0)</f>
        <v>0</v>
      </c>
    </row>
    <row r="524" spans="1:28" ht="12" customHeight="1" x14ac:dyDescent="0.3">
      <c r="A524" s="8"/>
      <c r="C524" s="495">
        <f>C461</f>
        <v>1582</v>
      </c>
      <c r="D524" s="835">
        <f>IFERROR(IF(D$338&gt;$D$33,0,IF(OR(D$60&gt;$C524,$C524&gt;D$61),0,IF(D$60=$C524,D$62,D523*(1+D587)+D650))),0)</f>
        <v>0</v>
      </c>
      <c r="E524" s="836">
        <f>IFERROR(IF(E$338&gt;$D$33,0,IF(OR(E$60&gt;$C524,$C524&gt;E$61),0,IF(E$60=$C524,E$62,E523*(1+E587)+E650))),0)</f>
        <v>0</v>
      </c>
      <c r="F524" s="836">
        <f>IFERROR(IF(F$338&gt;$D$33,0,IF(OR(F$60&gt;$C524,$C524&gt;F$61),0,IF(F$60=$C524,F$62,F523*(1+F587)+F650))),0)</f>
        <v>0</v>
      </c>
      <c r="G524" s="836">
        <f>IFERROR(IF(G$338&gt;$D$33,0,IF(OR(G$60&gt;$C524,$C524&gt;G$61),0,IF(G$60=$C524,G$62,G523*(1+G587)+G650))),0)</f>
        <v>0</v>
      </c>
      <c r="H524" s="836">
        <f>IFERROR(IF(H$338&gt;$D$33,0,IF(OR(H$60&gt;$C524,$C524&gt;H$61),0,IF(H$60=$C524,H$62,H523*(1+H587)+H650))),0)</f>
        <v>0</v>
      </c>
      <c r="I524" s="836">
        <f>IFERROR(IF(I$338&gt;$D$33,0,IF(OR(I$60&gt;$C524,$C524&gt;I$61),0,IF(I$60=$C524,I$62,I523*(1+I587)+I650))),0)</f>
        <v>0</v>
      </c>
      <c r="J524" s="836">
        <f>IFERROR(IF(J$338&gt;$D$33,0,IF(OR(J$60&gt;$C524,$C524&gt;J$61),0,IF(J$60=$C524,J$62,J523*(1+J587)+J650))),0)</f>
        <v>0</v>
      </c>
      <c r="K524" s="836">
        <f>IFERROR(IF(K$338&gt;$D$33,0,IF(OR(K$60&gt;$C524,$C524&gt;K$61),0,IF(K$60=$C524,K$62,K523*(1+K587)+K650))),0)</f>
        <v>0</v>
      </c>
      <c r="L524" s="836">
        <f>IFERROR(IF(L$338&gt;$D$33,0,IF(OR(L$60&gt;$C524,$C524&gt;L$61),0,IF(L$60=$C524,L$62,L523*(1+L587)+L650))),0)</f>
        <v>0</v>
      </c>
      <c r="M524" s="836">
        <f>IFERROR(IF(M$338&gt;$D$33,0,IF(OR(M$60&gt;$C524,$C524&gt;M$61),0,IF(M$60=$C524,M$62,M523*(1+M587)+M650))),0)</f>
        <v>0</v>
      </c>
      <c r="N524" s="836">
        <f>IFERROR(IF(N$338&gt;$D$33,0,IF(OR(N$60&gt;$C524,$C524&gt;N$61),0,IF(N$60=$C524,N$62,N523*(1+N587)+N650))),0)</f>
        <v>0</v>
      </c>
      <c r="O524" s="836">
        <f>IFERROR(IF(O$338&gt;$D$33,0,IF(OR(O$60&gt;$C524,$C524&gt;O$61),0,IF(O$60=$C524,O$62,O523*(1+O587)+O650))),0)</f>
        <v>0</v>
      </c>
      <c r="P524" s="836">
        <f>IFERROR(IF(P$338&gt;$D$33,0,IF(OR(P$60&gt;$C524,$C524&gt;P$61),0,IF(P$60=$C524,P$62,P523*(1+P587)+P650))),0)</f>
        <v>0</v>
      </c>
      <c r="Q524" s="836">
        <f>IFERROR(IF(Q$338&gt;$D$33,0,IF(OR(Q$60&gt;$C524,$C524&gt;Q$61),0,IF(Q$60=$C524,Q$62,Q523*(1+Q587)+Q650))),0)</f>
        <v>0</v>
      </c>
      <c r="R524" s="836">
        <f>IFERROR(IF(R$338&gt;$D$33,0,IF(OR(R$60&gt;$C524,$C524&gt;R$61),0,IF(R$60=$C524,R$62,R523*(1+R587)+R650))),0)</f>
        <v>0</v>
      </c>
      <c r="S524" s="836">
        <f>IFERROR(IF(S$338&gt;$D$33,0,IF(OR(S$60&gt;$C524,$C524&gt;S$61),0,IF(S$60=$C524,S$62,S523*(1+S587)+S650))),0)</f>
        <v>0</v>
      </c>
      <c r="T524" s="836">
        <f>IFERROR(IF(T$338&gt;$D$33,0,IF(OR(T$60&gt;$C524,$C524&gt;T$61),0,IF(T$60=$C524,T$62,T523*(1+T587)+T650))),0)</f>
        <v>0</v>
      </c>
      <c r="U524" s="836">
        <f>IFERROR(IF(U$338&gt;$D$33,0,IF(OR(U$60&gt;$C524,$C524&gt;U$61),0,IF(U$60=$C524,U$62,U523*(1+U587)+U650))),0)</f>
        <v>0</v>
      </c>
      <c r="V524" s="836">
        <f>IFERROR(IF(V$338&gt;$D$33,0,IF(OR(V$60&gt;$C524,$C524&gt;V$61),0,IF(V$60=$C524,V$62,V523*(1+V587)+V650))),0)</f>
        <v>0</v>
      </c>
      <c r="W524" s="836">
        <f>IFERROR(IF(W$338&gt;$D$33,0,IF(OR(W$60&gt;$C524,$C524&gt;W$61),0,IF(W$60=$C524,W$62,W523*(1+W587)+W650))),0)</f>
        <v>0</v>
      </c>
      <c r="X524" s="836">
        <f>IFERROR(IF(X$338&gt;$D$33,0,IF(OR(X$60&gt;$C524,$C524&gt;X$61),0,IF(X$60=$C524,X$62,X523*(1+X587)+X650))),0)</f>
        <v>0</v>
      </c>
      <c r="Y524" s="836">
        <f>IFERROR(IF(Y$338&gt;$D$33,0,IF(OR(Y$60&gt;$C524,$C524&gt;Y$61),0,IF(Y$60=$C524,Y$62,Y523*(1+Y587)+Y650))),0)</f>
        <v>0</v>
      </c>
      <c r="Z524" s="836">
        <f>IFERROR(IF(Z$338&gt;$D$33,0,IF(OR(Z$60&gt;$C524,$C524&gt;Z$61),0,IF(Z$60=$C524,Z$62,Z523*(1+Z587)+Z650))),0)</f>
        <v>0</v>
      </c>
      <c r="AA524" s="836">
        <f>IFERROR(IF(AA$338&gt;$D$33,0,IF(OR(AA$60&gt;$C524,$C524&gt;AA$61),0,IF(AA$60=$C524,AA$62,AA523*(1+AA587)+AA650))),0)</f>
        <v>0</v>
      </c>
      <c r="AB524" s="837">
        <f>IFERROR(IF(AB$338&gt;$D$33,0,IF(OR(AB$60&gt;$C524,$C524&gt;AB$61),0,IF(AB$60=$C524,AB$62,AB523*(1+AB587)+AB650))),0)</f>
        <v>0</v>
      </c>
    </row>
    <row r="525" spans="1:28" ht="12" customHeight="1" x14ac:dyDescent="0.3">
      <c r="A525" s="8"/>
      <c r="C525" s="495">
        <f>C462</f>
        <v>1613</v>
      </c>
      <c r="D525" s="835">
        <f>IFERROR(IF(D$338&gt;$D$33,0,IF(OR(D$60&gt;$C525,$C525&gt;D$61),0,IF(D$60=$C525,D$62,D524*(1+D588)+D651))),0)</f>
        <v>0</v>
      </c>
      <c r="E525" s="836">
        <f>IFERROR(IF(E$338&gt;$D$33,0,IF(OR(E$60&gt;$C525,$C525&gt;E$61),0,IF(E$60=$C525,E$62,E524*(1+E588)+E651))),0)</f>
        <v>0</v>
      </c>
      <c r="F525" s="836">
        <f>IFERROR(IF(F$338&gt;$D$33,0,IF(OR(F$60&gt;$C525,$C525&gt;F$61),0,IF(F$60=$C525,F$62,F524*(1+F588)+F651))),0)</f>
        <v>0</v>
      </c>
      <c r="G525" s="836">
        <f>IFERROR(IF(G$338&gt;$D$33,0,IF(OR(G$60&gt;$C525,$C525&gt;G$61),0,IF(G$60=$C525,G$62,G524*(1+G588)+G651))),0)</f>
        <v>0</v>
      </c>
      <c r="H525" s="836">
        <f>IFERROR(IF(H$338&gt;$D$33,0,IF(OR(H$60&gt;$C525,$C525&gt;H$61),0,IF(H$60=$C525,H$62,H524*(1+H588)+H651))),0)</f>
        <v>0</v>
      </c>
      <c r="I525" s="836">
        <f>IFERROR(IF(I$338&gt;$D$33,0,IF(OR(I$60&gt;$C525,$C525&gt;I$61),0,IF(I$60=$C525,I$62,I524*(1+I588)+I651))),0)</f>
        <v>0</v>
      </c>
      <c r="J525" s="836">
        <f>IFERROR(IF(J$338&gt;$D$33,0,IF(OR(J$60&gt;$C525,$C525&gt;J$61),0,IF(J$60=$C525,J$62,J524*(1+J588)+J651))),0)</f>
        <v>0</v>
      </c>
      <c r="K525" s="836">
        <f>IFERROR(IF(K$338&gt;$D$33,0,IF(OR(K$60&gt;$C525,$C525&gt;K$61),0,IF(K$60=$C525,K$62,K524*(1+K588)+K651))),0)</f>
        <v>0</v>
      </c>
      <c r="L525" s="836">
        <f>IFERROR(IF(L$338&gt;$D$33,0,IF(OR(L$60&gt;$C525,$C525&gt;L$61),0,IF(L$60=$C525,L$62,L524*(1+L588)+L651))),0)</f>
        <v>0</v>
      </c>
      <c r="M525" s="836">
        <f>IFERROR(IF(M$338&gt;$D$33,0,IF(OR(M$60&gt;$C525,$C525&gt;M$61),0,IF(M$60=$C525,M$62,M524*(1+M588)+M651))),0)</f>
        <v>0</v>
      </c>
      <c r="N525" s="836">
        <f>IFERROR(IF(N$338&gt;$D$33,0,IF(OR(N$60&gt;$C525,$C525&gt;N$61),0,IF(N$60=$C525,N$62,N524*(1+N588)+N651))),0)</f>
        <v>0</v>
      </c>
      <c r="O525" s="836">
        <f>IFERROR(IF(O$338&gt;$D$33,0,IF(OR(O$60&gt;$C525,$C525&gt;O$61),0,IF(O$60=$C525,O$62,O524*(1+O588)+O651))),0)</f>
        <v>0</v>
      </c>
      <c r="P525" s="836">
        <f>IFERROR(IF(P$338&gt;$D$33,0,IF(OR(P$60&gt;$C525,$C525&gt;P$61),0,IF(P$60=$C525,P$62,P524*(1+P588)+P651))),0)</f>
        <v>0</v>
      </c>
      <c r="Q525" s="836">
        <f>IFERROR(IF(Q$338&gt;$D$33,0,IF(OR(Q$60&gt;$C525,$C525&gt;Q$61),0,IF(Q$60=$C525,Q$62,Q524*(1+Q588)+Q651))),0)</f>
        <v>0</v>
      </c>
      <c r="R525" s="836">
        <f>IFERROR(IF(R$338&gt;$D$33,0,IF(OR(R$60&gt;$C525,$C525&gt;R$61),0,IF(R$60=$C525,R$62,R524*(1+R588)+R651))),0)</f>
        <v>0</v>
      </c>
      <c r="S525" s="836">
        <f>IFERROR(IF(S$338&gt;$D$33,0,IF(OR(S$60&gt;$C525,$C525&gt;S$61),0,IF(S$60=$C525,S$62,S524*(1+S588)+S651))),0)</f>
        <v>0</v>
      </c>
      <c r="T525" s="836">
        <f>IFERROR(IF(T$338&gt;$D$33,0,IF(OR(T$60&gt;$C525,$C525&gt;T$61),0,IF(T$60=$C525,T$62,T524*(1+T588)+T651))),0)</f>
        <v>0</v>
      </c>
      <c r="U525" s="836">
        <f>IFERROR(IF(U$338&gt;$D$33,0,IF(OR(U$60&gt;$C525,$C525&gt;U$61),0,IF(U$60=$C525,U$62,U524*(1+U588)+U651))),0)</f>
        <v>0</v>
      </c>
      <c r="V525" s="836">
        <f>IFERROR(IF(V$338&gt;$D$33,0,IF(OR(V$60&gt;$C525,$C525&gt;V$61),0,IF(V$60=$C525,V$62,V524*(1+V588)+V651))),0)</f>
        <v>0</v>
      </c>
      <c r="W525" s="836">
        <f>IFERROR(IF(W$338&gt;$D$33,0,IF(OR(W$60&gt;$C525,$C525&gt;W$61),0,IF(W$60=$C525,W$62,W524*(1+W588)+W651))),0)</f>
        <v>0</v>
      </c>
      <c r="X525" s="836">
        <f>IFERROR(IF(X$338&gt;$D$33,0,IF(OR(X$60&gt;$C525,$C525&gt;X$61),0,IF(X$60=$C525,X$62,X524*(1+X588)+X651))),0)</f>
        <v>0</v>
      </c>
      <c r="Y525" s="836">
        <f>IFERROR(IF(Y$338&gt;$D$33,0,IF(OR(Y$60&gt;$C525,$C525&gt;Y$61),0,IF(Y$60=$C525,Y$62,Y524*(1+Y588)+Y651))),0)</f>
        <v>0</v>
      </c>
      <c r="Z525" s="836">
        <f>IFERROR(IF(Z$338&gt;$D$33,0,IF(OR(Z$60&gt;$C525,$C525&gt;Z$61),0,IF(Z$60=$C525,Z$62,Z524*(1+Z588)+Z651))),0)</f>
        <v>0</v>
      </c>
      <c r="AA525" s="836">
        <f>IFERROR(IF(AA$338&gt;$D$33,0,IF(OR(AA$60&gt;$C525,$C525&gt;AA$61),0,IF(AA$60=$C525,AA$62,AA524*(1+AA588)+AA651))),0)</f>
        <v>0</v>
      </c>
      <c r="AB525" s="837">
        <f>IFERROR(IF(AB$338&gt;$D$33,0,IF(OR(AB$60&gt;$C525,$C525&gt;AB$61),0,IF(AB$60=$C525,AB$62,AB524*(1+AB588)+AB651))),0)</f>
        <v>0</v>
      </c>
    </row>
    <row r="526" spans="1:28" ht="12" customHeight="1" x14ac:dyDescent="0.3">
      <c r="A526" s="8"/>
      <c r="C526" s="495">
        <f>C463</f>
        <v>1643</v>
      </c>
      <c r="D526" s="835">
        <f>IFERROR(IF(D$338&gt;$D$33,0,IF(OR(D$60&gt;$C526,$C526&gt;D$61),0,IF(D$60=$C526,D$62,D525*(1+D589)+D652))),0)</f>
        <v>0</v>
      </c>
      <c r="E526" s="836">
        <f>IFERROR(IF(E$338&gt;$D$33,0,IF(OR(E$60&gt;$C526,$C526&gt;E$61),0,IF(E$60=$C526,E$62,E525*(1+E589)+E652))),0)</f>
        <v>0</v>
      </c>
      <c r="F526" s="836">
        <f>IFERROR(IF(F$338&gt;$D$33,0,IF(OR(F$60&gt;$C526,$C526&gt;F$61),0,IF(F$60=$C526,F$62,F525*(1+F589)+F652))),0)</f>
        <v>0</v>
      </c>
      <c r="G526" s="836">
        <f>IFERROR(IF(G$338&gt;$D$33,0,IF(OR(G$60&gt;$C526,$C526&gt;G$61),0,IF(G$60=$C526,G$62,G525*(1+G589)+G652))),0)</f>
        <v>0</v>
      </c>
      <c r="H526" s="836">
        <f>IFERROR(IF(H$338&gt;$D$33,0,IF(OR(H$60&gt;$C526,$C526&gt;H$61),0,IF(H$60=$C526,H$62,H525*(1+H589)+H652))),0)</f>
        <v>0</v>
      </c>
      <c r="I526" s="836">
        <f>IFERROR(IF(I$338&gt;$D$33,0,IF(OR(I$60&gt;$C526,$C526&gt;I$61),0,IF(I$60=$C526,I$62,I525*(1+I589)+I652))),0)</f>
        <v>0</v>
      </c>
      <c r="J526" s="836">
        <f>IFERROR(IF(J$338&gt;$D$33,0,IF(OR(J$60&gt;$C526,$C526&gt;J$61),0,IF(J$60=$C526,J$62,J525*(1+J589)+J652))),0)</f>
        <v>0</v>
      </c>
      <c r="K526" s="836">
        <f>IFERROR(IF(K$338&gt;$D$33,0,IF(OR(K$60&gt;$C526,$C526&gt;K$61),0,IF(K$60=$C526,K$62,K525*(1+K589)+K652))),0)</f>
        <v>0</v>
      </c>
      <c r="L526" s="836">
        <f>IFERROR(IF(L$338&gt;$D$33,0,IF(OR(L$60&gt;$C526,$C526&gt;L$61),0,IF(L$60=$C526,L$62,L525*(1+L589)+L652))),0)</f>
        <v>0</v>
      </c>
      <c r="M526" s="836">
        <f>IFERROR(IF(M$338&gt;$D$33,0,IF(OR(M$60&gt;$C526,$C526&gt;M$61),0,IF(M$60=$C526,M$62,M525*(1+M589)+M652))),0)</f>
        <v>0</v>
      </c>
      <c r="N526" s="836">
        <f>IFERROR(IF(N$338&gt;$D$33,0,IF(OR(N$60&gt;$C526,$C526&gt;N$61),0,IF(N$60=$C526,N$62,N525*(1+N589)+N652))),0)</f>
        <v>0</v>
      </c>
      <c r="O526" s="836">
        <f>IFERROR(IF(O$338&gt;$D$33,0,IF(OR(O$60&gt;$C526,$C526&gt;O$61),0,IF(O$60=$C526,O$62,O525*(1+O589)+O652))),0)</f>
        <v>0</v>
      </c>
      <c r="P526" s="836">
        <f>IFERROR(IF(P$338&gt;$D$33,0,IF(OR(P$60&gt;$C526,$C526&gt;P$61),0,IF(P$60=$C526,P$62,P525*(1+P589)+P652))),0)</f>
        <v>0</v>
      </c>
      <c r="Q526" s="836">
        <f>IFERROR(IF(Q$338&gt;$D$33,0,IF(OR(Q$60&gt;$C526,$C526&gt;Q$61),0,IF(Q$60=$C526,Q$62,Q525*(1+Q589)+Q652))),0)</f>
        <v>0</v>
      </c>
      <c r="R526" s="836">
        <f>IFERROR(IF(R$338&gt;$D$33,0,IF(OR(R$60&gt;$C526,$C526&gt;R$61),0,IF(R$60=$C526,R$62,R525*(1+R589)+R652))),0)</f>
        <v>0</v>
      </c>
      <c r="S526" s="836">
        <f>IFERROR(IF(S$338&gt;$D$33,0,IF(OR(S$60&gt;$C526,$C526&gt;S$61),0,IF(S$60=$C526,S$62,S525*(1+S589)+S652))),0)</f>
        <v>0</v>
      </c>
      <c r="T526" s="836">
        <f>IFERROR(IF(T$338&gt;$D$33,0,IF(OR(T$60&gt;$C526,$C526&gt;T$61),0,IF(T$60=$C526,T$62,T525*(1+T589)+T652))),0)</f>
        <v>0</v>
      </c>
      <c r="U526" s="836">
        <f>IFERROR(IF(U$338&gt;$D$33,0,IF(OR(U$60&gt;$C526,$C526&gt;U$61),0,IF(U$60=$C526,U$62,U525*(1+U589)+U652))),0)</f>
        <v>0</v>
      </c>
      <c r="V526" s="836">
        <f>IFERROR(IF(V$338&gt;$D$33,0,IF(OR(V$60&gt;$C526,$C526&gt;V$61),0,IF(V$60=$C526,V$62,V525*(1+V589)+V652))),0)</f>
        <v>0</v>
      </c>
      <c r="W526" s="836">
        <f>IFERROR(IF(W$338&gt;$D$33,0,IF(OR(W$60&gt;$C526,$C526&gt;W$61),0,IF(W$60=$C526,W$62,W525*(1+W589)+W652))),0)</f>
        <v>0</v>
      </c>
      <c r="X526" s="836">
        <f>IFERROR(IF(X$338&gt;$D$33,0,IF(OR(X$60&gt;$C526,$C526&gt;X$61),0,IF(X$60=$C526,X$62,X525*(1+X589)+X652))),0)</f>
        <v>0</v>
      </c>
      <c r="Y526" s="836">
        <f>IFERROR(IF(Y$338&gt;$D$33,0,IF(OR(Y$60&gt;$C526,$C526&gt;Y$61),0,IF(Y$60=$C526,Y$62,Y525*(1+Y589)+Y652))),0)</f>
        <v>0</v>
      </c>
      <c r="Z526" s="836">
        <f>IFERROR(IF(Z$338&gt;$D$33,0,IF(OR(Z$60&gt;$C526,$C526&gt;Z$61),0,IF(Z$60=$C526,Z$62,Z525*(1+Z589)+Z652))),0)</f>
        <v>0</v>
      </c>
      <c r="AA526" s="836">
        <f>IFERROR(IF(AA$338&gt;$D$33,0,IF(OR(AA$60&gt;$C526,$C526&gt;AA$61),0,IF(AA$60=$C526,AA$62,AA525*(1+AA589)+AA652))),0)</f>
        <v>0</v>
      </c>
      <c r="AB526" s="837">
        <f>IFERROR(IF(AB$338&gt;$D$33,0,IF(OR(AB$60&gt;$C526,$C526&gt;AB$61),0,IF(AB$60=$C526,AB$62,AB525*(1+AB589)+AB652))),0)</f>
        <v>0</v>
      </c>
    </row>
    <row r="527" spans="1:28" ht="12" customHeight="1" x14ac:dyDescent="0.3">
      <c r="A527" s="8"/>
      <c r="C527" s="495">
        <f>C464</f>
        <v>1674</v>
      </c>
      <c r="D527" s="835">
        <f>IFERROR(IF(D$338&gt;$D$33,0,IF(OR(D$60&gt;$C527,$C527&gt;D$61),0,IF(D$60=$C527,D$62,D526*(1+D590)+D653))),0)</f>
        <v>0</v>
      </c>
      <c r="E527" s="836">
        <f>IFERROR(IF(E$338&gt;$D$33,0,IF(OR(E$60&gt;$C527,$C527&gt;E$61),0,IF(E$60=$C527,E$62,E526*(1+E590)+E653))),0)</f>
        <v>0</v>
      </c>
      <c r="F527" s="836">
        <f>IFERROR(IF(F$338&gt;$D$33,0,IF(OR(F$60&gt;$C527,$C527&gt;F$61),0,IF(F$60=$C527,F$62,F526*(1+F590)+F653))),0)</f>
        <v>0</v>
      </c>
      <c r="G527" s="836">
        <f>IFERROR(IF(G$338&gt;$D$33,0,IF(OR(G$60&gt;$C527,$C527&gt;G$61),0,IF(G$60=$C527,G$62,G526*(1+G590)+G653))),0)</f>
        <v>0</v>
      </c>
      <c r="H527" s="836">
        <f>IFERROR(IF(H$338&gt;$D$33,0,IF(OR(H$60&gt;$C527,$C527&gt;H$61),0,IF(H$60=$C527,H$62,H526*(1+H590)+H653))),0)</f>
        <v>0</v>
      </c>
      <c r="I527" s="836">
        <f>IFERROR(IF(I$338&gt;$D$33,0,IF(OR(I$60&gt;$C527,$C527&gt;I$61),0,IF(I$60=$C527,I$62,I526*(1+I590)+I653))),0)</f>
        <v>0</v>
      </c>
      <c r="J527" s="836">
        <f>IFERROR(IF(J$338&gt;$D$33,0,IF(OR(J$60&gt;$C527,$C527&gt;J$61),0,IF(J$60=$C527,J$62,J526*(1+J590)+J653))),0)</f>
        <v>0</v>
      </c>
      <c r="K527" s="836">
        <f>IFERROR(IF(K$338&gt;$D$33,0,IF(OR(K$60&gt;$C527,$C527&gt;K$61),0,IF(K$60=$C527,K$62,K526*(1+K590)+K653))),0)</f>
        <v>0</v>
      </c>
      <c r="L527" s="836">
        <f>IFERROR(IF(L$338&gt;$D$33,0,IF(OR(L$60&gt;$C527,$C527&gt;L$61),0,IF(L$60=$C527,L$62,L526*(1+L590)+L653))),0)</f>
        <v>0</v>
      </c>
      <c r="M527" s="836">
        <f>IFERROR(IF(M$338&gt;$D$33,0,IF(OR(M$60&gt;$C527,$C527&gt;M$61),0,IF(M$60=$C527,M$62,M526*(1+M590)+M653))),0)</f>
        <v>0</v>
      </c>
      <c r="N527" s="836">
        <f>IFERROR(IF(N$338&gt;$D$33,0,IF(OR(N$60&gt;$C527,$C527&gt;N$61),0,IF(N$60=$C527,N$62,N526*(1+N590)+N653))),0)</f>
        <v>0</v>
      </c>
      <c r="O527" s="836">
        <f>IFERROR(IF(O$338&gt;$D$33,0,IF(OR(O$60&gt;$C527,$C527&gt;O$61),0,IF(O$60=$C527,O$62,O526*(1+O590)+O653))),0)</f>
        <v>0</v>
      </c>
      <c r="P527" s="836">
        <f>IFERROR(IF(P$338&gt;$D$33,0,IF(OR(P$60&gt;$C527,$C527&gt;P$61),0,IF(P$60=$C527,P$62,P526*(1+P590)+P653))),0)</f>
        <v>0</v>
      </c>
      <c r="Q527" s="836">
        <f>IFERROR(IF(Q$338&gt;$D$33,0,IF(OR(Q$60&gt;$C527,$C527&gt;Q$61),0,IF(Q$60=$C527,Q$62,Q526*(1+Q590)+Q653))),0)</f>
        <v>0</v>
      </c>
      <c r="R527" s="836">
        <f>IFERROR(IF(R$338&gt;$D$33,0,IF(OR(R$60&gt;$C527,$C527&gt;R$61),0,IF(R$60=$C527,R$62,R526*(1+R590)+R653))),0)</f>
        <v>0</v>
      </c>
      <c r="S527" s="836">
        <f>IFERROR(IF(S$338&gt;$D$33,0,IF(OR(S$60&gt;$C527,$C527&gt;S$61),0,IF(S$60=$C527,S$62,S526*(1+S590)+S653))),0)</f>
        <v>0</v>
      </c>
      <c r="T527" s="836">
        <f>IFERROR(IF(T$338&gt;$D$33,0,IF(OR(T$60&gt;$C527,$C527&gt;T$61),0,IF(T$60=$C527,T$62,T526*(1+T590)+T653))),0)</f>
        <v>0</v>
      </c>
      <c r="U527" s="836">
        <f>IFERROR(IF(U$338&gt;$D$33,0,IF(OR(U$60&gt;$C527,$C527&gt;U$61),0,IF(U$60=$C527,U$62,U526*(1+U590)+U653))),0)</f>
        <v>0</v>
      </c>
      <c r="V527" s="836">
        <f>IFERROR(IF(V$338&gt;$D$33,0,IF(OR(V$60&gt;$C527,$C527&gt;V$61),0,IF(V$60=$C527,V$62,V526*(1+V590)+V653))),0)</f>
        <v>0</v>
      </c>
      <c r="W527" s="836">
        <f>IFERROR(IF(W$338&gt;$D$33,0,IF(OR(W$60&gt;$C527,$C527&gt;W$61),0,IF(W$60=$C527,W$62,W526*(1+W590)+W653))),0)</f>
        <v>0</v>
      </c>
      <c r="X527" s="836">
        <f>IFERROR(IF(X$338&gt;$D$33,0,IF(OR(X$60&gt;$C527,$C527&gt;X$61),0,IF(X$60=$C527,X$62,X526*(1+X590)+X653))),0)</f>
        <v>0</v>
      </c>
      <c r="Y527" s="836">
        <f>IFERROR(IF(Y$338&gt;$D$33,0,IF(OR(Y$60&gt;$C527,$C527&gt;Y$61),0,IF(Y$60=$C527,Y$62,Y526*(1+Y590)+Y653))),0)</f>
        <v>0</v>
      </c>
      <c r="Z527" s="836">
        <f>IFERROR(IF(Z$338&gt;$D$33,0,IF(OR(Z$60&gt;$C527,$C527&gt;Z$61),0,IF(Z$60=$C527,Z$62,Z526*(1+Z590)+Z653))),0)</f>
        <v>0</v>
      </c>
      <c r="AA527" s="836">
        <f>IFERROR(IF(AA$338&gt;$D$33,0,IF(OR(AA$60&gt;$C527,$C527&gt;AA$61),0,IF(AA$60=$C527,AA$62,AA526*(1+AA590)+AA653))),0)</f>
        <v>0</v>
      </c>
      <c r="AB527" s="837">
        <f>IFERROR(IF(AB$338&gt;$D$33,0,IF(OR(AB$60&gt;$C527,$C527&gt;AB$61),0,IF(AB$60=$C527,AB$62,AB526*(1+AB590)+AB653))),0)</f>
        <v>0</v>
      </c>
    </row>
    <row r="528" spans="1:28" ht="12" customHeight="1" x14ac:dyDescent="0.3">
      <c r="A528" s="8"/>
      <c r="C528" s="495">
        <f>C465</f>
        <v>1705</v>
      </c>
      <c r="D528" s="835">
        <f>IFERROR(IF(D$338&gt;$D$33,0,IF(OR(D$60&gt;$C528,$C528&gt;D$61),0,IF(D$60=$C528,D$62,D527*(1+D591)+D654))),0)</f>
        <v>0</v>
      </c>
      <c r="E528" s="836">
        <f>IFERROR(IF(E$338&gt;$D$33,0,IF(OR(E$60&gt;$C528,$C528&gt;E$61),0,IF(E$60=$C528,E$62,E527*(1+E591)+E654))),0)</f>
        <v>0</v>
      </c>
      <c r="F528" s="836">
        <f>IFERROR(IF(F$338&gt;$D$33,0,IF(OR(F$60&gt;$C528,$C528&gt;F$61),0,IF(F$60=$C528,F$62,F527*(1+F591)+F654))),0)</f>
        <v>0</v>
      </c>
      <c r="G528" s="836">
        <f>IFERROR(IF(G$338&gt;$D$33,0,IF(OR(G$60&gt;$C528,$C528&gt;G$61),0,IF(G$60=$C528,G$62,G527*(1+G591)+G654))),0)</f>
        <v>0</v>
      </c>
      <c r="H528" s="836">
        <f>IFERROR(IF(H$338&gt;$D$33,0,IF(OR(H$60&gt;$C528,$C528&gt;H$61),0,IF(H$60=$C528,H$62,H527*(1+H591)+H654))),0)</f>
        <v>0</v>
      </c>
      <c r="I528" s="836">
        <f>IFERROR(IF(I$338&gt;$D$33,0,IF(OR(I$60&gt;$C528,$C528&gt;I$61),0,IF(I$60=$C528,I$62,I527*(1+I591)+I654))),0)</f>
        <v>0</v>
      </c>
      <c r="J528" s="836">
        <f>IFERROR(IF(J$338&gt;$D$33,0,IF(OR(J$60&gt;$C528,$C528&gt;J$61),0,IF(J$60=$C528,J$62,J527*(1+J591)+J654))),0)</f>
        <v>0</v>
      </c>
      <c r="K528" s="836">
        <f>IFERROR(IF(K$338&gt;$D$33,0,IF(OR(K$60&gt;$C528,$C528&gt;K$61),0,IF(K$60=$C528,K$62,K527*(1+K591)+K654))),0)</f>
        <v>0</v>
      </c>
      <c r="L528" s="836">
        <f>IFERROR(IF(L$338&gt;$D$33,0,IF(OR(L$60&gt;$C528,$C528&gt;L$61),0,IF(L$60=$C528,L$62,L527*(1+L591)+L654))),0)</f>
        <v>0</v>
      </c>
      <c r="M528" s="836">
        <f>IFERROR(IF(M$338&gt;$D$33,0,IF(OR(M$60&gt;$C528,$C528&gt;M$61),0,IF(M$60=$C528,M$62,M527*(1+M591)+M654))),0)</f>
        <v>0</v>
      </c>
      <c r="N528" s="836">
        <f>IFERROR(IF(N$338&gt;$D$33,0,IF(OR(N$60&gt;$C528,$C528&gt;N$61),0,IF(N$60=$C528,N$62,N527*(1+N591)+N654))),0)</f>
        <v>0</v>
      </c>
      <c r="O528" s="836">
        <f>IFERROR(IF(O$338&gt;$D$33,0,IF(OR(O$60&gt;$C528,$C528&gt;O$61),0,IF(O$60=$C528,O$62,O527*(1+O591)+O654))),0)</f>
        <v>0</v>
      </c>
      <c r="P528" s="836">
        <f>IFERROR(IF(P$338&gt;$D$33,0,IF(OR(P$60&gt;$C528,$C528&gt;P$61),0,IF(P$60=$C528,P$62,P527*(1+P591)+P654))),0)</f>
        <v>0</v>
      </c>
      <c r="Q528" s="836">
        <f>IFERROR(IF(Q$338&gt;$D$33,0,IF(OR(Q$60&gt;$C528,$C528&gt;Q$61),0,IF(Q$60=$C528,Q$62,Q527*(1+Q591)+Q654))),0)</f>
        <v>0</v>
      </c>
      <c r="R528" s="836">
        <f>IFERROR(IF(R$338&gt;$D$33,0,IF(OR(R$60&gt;$C528,$C528&gt;R$61),0,IF(R$60=$C528,R$62,R527*(1+R591)+R654))),0)</f>
        <v>0</v>
      </c>
      <c r="S528" s="836">
        <f>IFERROR(IF(S$338&gt;$D$33,0,IF(OR(S$60&gt;$C528,$C528&gt;S$61),0,IF(S$60=$C528,S$62,S527*(1+S591)+S654))),0)</f>
        <v>0</v>
      </c>
      <c r="T528" s="836">
        <f>IFERROR(IF(T$338&gt;$D$33,0,IF(OR(T$60&gt;$C528,$C528&gt;T$61),0,IF(T$60=$C528,T$62,T527*(1+T591)+T654))),0)</f>
        <v>0</v>
      </c>
      <c r="U528" s="836">
        <f>IFERROR(IF(U$338&gt;$D$33,0,IF(OR(U$60&gt;$C528,$C528&gt;U$61),0,IF(U$60=$C528,U$62,U527*(1+U591)+U654))),0)</f>
        <v>0</v>
      </c>
      <c r="V528" s="836">
        <f>IFERROR(IF(V$338&gt;$D$33,0,IF(OR(V$60&gt;$C528,$C528&gt;V$61),0,IF(V$60=$C528,V$62,V527*(1+V591)+V654))),0)</f>
        <v>0</v>
      </c>
      <c r="W528" s="836">
        <f>IFERROR(IF(W$338&gt;$D$33,0,IF(OR(W$60&gt;$C528,$C528&gt;W$61),0,IF(W$60=$C528,W$62,W527*(1+W591)+W654))),0)</f>
        <v>0</v>
      </c>
      <c r="X528" s="836">
        <f>IFERROR(IF(X$338&gt;$D$33,0,IF(OR(X$60&gt;$C528,$C528&gt;X$61),0,IF(X$60=$C528,X$62,X527*(1+X591)+X654))),0)</f>
        <v>0</v>
      </c>
      <c r="Y528" s="836">
        <f>IFERROR(IF(Y$338&gt;$D$33,0,IF(OR(Y$60&gt;$C528,$C528&gt;Y$61),0,IF(Y$60=$C528,Y$62,Y527*(1+Y591)+Y654))),0)</f>
        <v>0</v>
      </c>
      <c r="Z528" s="836">
        <f>IFERROR(IF(Z$338&gt;$D$33,0,IF(OR(Z$60&gt;$C528,$C528&gt;Z$61),0,IF(Z$60=$C528,Z$62,Z527*(1+Z591)+Z654))),0)</f>
        <v>0</v>
      </c>
      <c r="AA528" s="836">
        <f>IFERROR(IF(AA$338&gt;$D$33,0,IF(OR(AA$60&gt;$C528,$C528&gt;AA$61),0,IF(AA$60=$C528,AA$62,AA527*(1+AA591)+AA654))),0)</f>
        <v>0</v>
      </c>
      <c r="AB528" s="837">
        <f>IFERROR(IF(AB$338&gt;$D$33,0,IF(OR(AB$60&gt;$C528,$C528&gt;AB$61),0,IF(AB$60=$C528,AB$62,AB527*(1+AB591)+AB654))),0)</f>
        <v>0</v>
      </c>
    </row>
    <row r="529" spans="1:97" ht="12" customHeight="1" x14ac:dyDescent="0.3">
      <c r="A529" s="8"/>
      <c r="C529" s="495">
        <f>C466</f>
        <v>1735</v>
      </c>
      <c r="D529" s="835">
        <f>IFERROR(IF(D$338&gt;$D$33,0,IF(OR(D$60&gt;$C529,$C529&gt;D$61),0,IF(D$60=$C529,D$62,D528*(1+D592)+D655))),0)</f>
        <v>0</v>
      </c>
      <c r="E529" s="836">
        <f>IFERROR(IF(E$338&gt;$D$33,0,IF(OR(E$60&gt;$C529,$C529&gt;E$61),0,IF(E$60=$C529,E$62,E528*(1+E592)+E655))),0)</f>
        <v>0</v>
      </c>
      <c r="F529" s="836">
        <f>IFERROR(IF(F$338&gt;$D$33,0,IF(OR(F$60&gt;$C529,$C529&gt;F$61),0,IF(F$60=$C529,F$62,F528*(1+F592)+F655))),0)</f>
        <v>0</v>
      </c>
      <c r="G529" s="836">
        <f>IFERROR(IF(G$338&gt;$D$33,0,IF(OR(G$60&gt;$C529,$C529&gt;G$61),0,IF(G$60=$C529,G$62,G528*(1+G592)+G655))),0)</f>
        <v>0</v>
      </c>
      <c r="H529" s="836">
        <f>IFERROR(IF(H$338&gt;$D$33,0,IF(OR(H$60&gt;$C529,$C529&gt;H$61),0,IF(H$60=$C529,H$62,H528*(1+H592)+H655))),0)</f>
        <v>0</v>
      </c>
      <c r="I529" s="836">
        <f>IFERROR(IF(I$338&gt;$D$33,0,IF(OR(I$60&gt;$C529,$C529&gt;I$61),0,IF(I$60=$C529,I$62,I528*(1+I592)+I655))),0)</f>
        <v>0</v>
      </c>
      <c r="J529" s="836">
        <f>IFERROR(IF(J$338&gt;$D$33,0,IF(OR(J$60&gt;$C529,$C529&gt;J$61),0,IF(J$60=$C529,J$62,J528*(1+J592)+J655))),0)</f>
        <v>0</v>
      </c>
      <c r="K529" s="836">
        <f>IFERROR(IF(K$338&gt;$D$33,0,IF(OR(K$60&gt;$C529,$C529&gt;K$61),0,IF(K$60=$C529,K$62,K528*(1+K592)+K655))),0)</f>
        <v>0</v>
      </c>
      <c r="L529" s="836">
        <f>IFERROR(IF(L$338&gt;$D$33,0,IF(OR(L$60&gt;$C529,$C529&gt;L$61),0,IF(L$60=$C529,L$62,L528*(1+L592)+L655))),0)</f>
        <v>0</v>
      </c>
      <c r="M529" s="836">
        <f>IFERROR(IF(M$338&gt;$D$33,0,IF(OR(M$60&gt;$C529,$C529&gt;M$61),0,IF(M$60=$C529,M$62,M528*(1+M592)+M655))),0)</f>
        <v>0</v>
      </c>
      <c r="N529" s="836">
        <f>IFERROR(IF(N$338&gt;$D$33,0,IF(OR(N$60&gt;$C529,$C529&gt;N$61),0,IF(N$60=$C529,N$62,N528*(1+N592)+N655))),0)</f>
        <v>0</v>
      </c>
      <c r="O529" s="836">
        <f>IFERROR(IF(O$338&gt;$D$33,0,IF(OR(O$60&gt;$C529,$C529&gt;O$61),0,IF(O$60=$C529,O$62,O528*(1+O592)+O655))),0)</f>
        <v>0</v>
      </c>
      <c r="P529" s="836">
        <f>IFERROR(IF(P$338&gt;$D$33,0,IF(OR(P$60&gt;$C529,$C529&gt;P$61),0,IF(P$60=$C529,P$62,P528*(1+P592)+P655))),0)</f>
        <v>0</v>
      </c>
      <c r="Q529" s="836">
        <f>IFERROR(IF(Q$338&gt;$D$33,0,IF(OR(Q$60&gt;$C529,$C529&gt;Q$61),0,IF(Q$60=$C529,Q$62,Q528*(1+Q592)+Q655))),0)</f>
        <v>0</v>
      </c>
      <c r="R529" s="836">
        <f>IFERROR(IF(R$338&gt;$D$33,0,IF(OR(R$60&gt;$C529,$C529&gt;R$61),0,IF(R$60=$C529,R$62,R528*(1+R592)+R655))),0)</f>
        <v>0</v>
      </c>
      <c r="S529" s="836">
        <f>IFERROR(IF(S$338&gt;$D$33,0,IF(OR(S$60&gt;$C529,$C529&gt;S$61),0,IF(S$60=$C529,S$62,S528*(1+S592)+S655))),0)</f>
        <v>0</v>
      </c>
      <c r="T529" s="836">
        <f>IFERROR(IF(T$338&gt;$D$33,0,IF(OR(T$60&gt;$C529,$C529&gt;T$61),0,IF(T$60=$C529,T$62,T528*(1+T592)+T655))),0)</f>
        <v>0</v>
      </c>
      <c r="U529" s="836">
        <f>IFERROR(IF(U$338&gt;$D$33,0,IF(OR(U$60&gt;$C529,$C529&gt;U$61),0,IF(U$60=$C529,U$62,U528*(1+U592)+U655))),0)</f>
        <v>0</v>
      </c>
      <c r="V529" s="836">
        <f>IFERROR(IF(V$338&gt;$D$33,0,IF(OR(V$60&gt;$C529,$C529&gt;V$61),0,IF(V$60=$C529,V$62,V528*(1+V592)+V655))),0)</f>
        <v>0</v>
      </c>
      <c r="W529" s="836">
        <f>IFERROR(IF(W$338&gt;$D$33,0,IF(OR(W$60&gt;$C529,$C529&gt;W$61),0,IF(W$60=$C529,W$62,W528*(1+W592)+W655))),0)</f>
        <v>0</v>
      </c>
      <c r="X529" s="836">
        <f>IFERROR(IF(X$338&gt;$D$33,0,IF(OR(X$60&gt;$C529,$C529&gt;X$61),0,IF(X$60=$C529,X$62,X528*(1+X592)+X655))),0)</f>
        <v>0</v>
      </c>
      <c r="Y529" s="836">
        <f>IFERROR(IF(Y$338&gt;$D$33,0,IF(OR(Y$60&gt;$C529,$C529&gt;Y$61),0,IF(Y$60=$C529,Y$62,Y528*(1+Y592)+Y655))),0)</f>
        <v>0</v>
      </c>
      <c r="Z529" s="836">
        <f>IFERROR(IF(Z$338&gt;$D$33,0,IF(OR(Z$60&gt;$C529,$C529&gt;Z$61),0,IF(Z$60=$C529,Z$62,Z528*(1+Z592)+Z655))),0)</f>
        <v>0</v>
      </c>
      <c r="AA529" s="836">
        <f>IFERROR(IF(AA$338&gt;$D$33,0,IF(OR(AA$60&gt;$C529,$C529&gt;AA$61),0,IF(AA$60=$C529,AA$62,AA528*(1+AA592)+AA655))),0)</f>
        <v>0</v>
      </c>
      <c r="AB529" s="837">
        <f>IFERROR(IF(AB$338&gt;$D$33,0,IF(OR(AB$60&gt;$C529,$C529&gt;AB$61),0,IF(AB$60=$C529,AB$62,AB528*(1+AB592)+AB655))),0)</f>
        <v>0</v>
      </c>
    </row>
    <row r="530" spans="1:97" ht="12" customHeight="1" x14ac:dyDescent="0.3">
      <c r="A530" s="8"/>
      <c r="C530" s="495">
        <f>C467</f>
        <v>1766</v>
      </c>
      <c r="D530" s="835">
        <f>IFERROR(IF(D$338&gt;$D$33,0,IF(OR(D$60&gt;$C530,$C530&gt;D$61),0,IF(D$60=$C530,D$62,D529*(1+D593)+D656))),0)</f>
        <v>0</v>
      </c>
      <c r="E530" s="836">
        <f>IFERROR(IF(E$338&gt;$D$33,0,IF(OR(E$60&gt;$C530,$C530&gt;E$61),0,IF(E$60=$C530,E$62,E529*(1+E593)+E656))),0)</f>
        <v>0</v>
      </c>
      <c r="F530" s="836">
        <f>IFERROR(IF(F$338&gt;$D$33,0,IF(OR(F$60&gt;$C530,$C530&gt;F$61),0,IF(F$60=$C530,F$62,F529*(1+F593)+F656))),0)</f>
        <v>0</v>
      </c>
      <c r="G530" s="836">
        <f>IFERROR(IF(G$338&gt;$D$33,0,IF(OR(G$60&gt;$C530,$C530&gt;G$61),0,IF(G$60=$C530,G$62,G529*(1+G593)+G656))),0)</f>
        <v>0</v>
      </c>
      <c r="H530" s="836">
        <f>IFERROR(IF(H$338&gt;$D$33,0,IF(OR(H$60&gt;$C530,$C530&gt;H$61),0,IF(H$60=$C530,H$62,H529*(1+H593)+H656))),0)</f>
        <v>0</v>
      </c>
      <c r="I530" s="836">
        <f>IFERROR(IF(I$338&gt;$D$33,0,IF(OR(I$60&gt;$C530,$C530&gt;I$61),0,IF(I$60=$C530,I$62,I529*(1+I593)+I656))),0)</f>
        <v>0</v>
      </c>
      <c r="J530" s="836">
        <f>IFERROR(IF(J$338&gt;$D$33,0,IF(OR(J$60&gt;$C530,$C530&gt;J$61),0,IF(J$60=$C530,J$62,J529*(1+J593)+J656))),0)</f>
        <v>0</v>
      </c>
      <c r="K530" s="836">
        <f>IFERROR(IF(K$338&gt;$D$33,0,IF(OR(K$60&gt;$C530,$C530&gt;K$61),0,IF(K$60=$C530,K$62,K529*(1+K593)+K656))),0)</f>
        <v>0</v>
      </c>
      <c r="L530" s="836">
        <f>IFERROR(IF(L$338&gt;$D$33,0,IF(OR(L$60&gt;$C530,$C530&gt;L$61),0,IF(L$60=$C530,L$62,L529*(1+L593)+L656))),0)</f>
        <v>0</v>
      </c>
      <c r="M530" s="836">
        <f>IFERROR(IF(M$338&gt;$D$33,0,IF(OR(M$60&gt;$C530,$C530&gt;M$61),0,IF(M$60=$C530,M$62,M529*(1+M593)+M656))),0)</f>
        <v>0</v>
      </c>
      <c r="N530" s="836">
        <f>IFERROR(IF(N$338&gt;$D$33,0,IF(OR(N$60&gt;$C530,$C530&gt;N$61),0,IF(N$60=$C530,N$62,N529*(1+N593)+N656))),0)</f>
        <v>0</v>
      </c>
      <c r="O530" s="836">
        <f>IFERROR(IF(O$338&gt;$D$33,0,IF(OR(O$60&gt;$C530,$C530&gt;O$61),0,IF(O$60=$C530,O$62,O529*(1+O593)+O656))),0)</f>
        <v>0</v>
      </c>
      <c r="P530" s="836">
        <f>IFERROR(IF(P$338&gt;$D$33,0,IF(OR(P$60&gt;$C530,$C530&gt;P$61),0,IF(P$60=$C530,P$62,P529*(1+P593)+P656))),0)</f>
        <v>0</v>
      </c>
      <c r="Q530" s="836">
        <f>IFERROR(IF(Q$338&gt;$D$33,0,IF(OR(Q$60&gt;$C530,$C530&gt;Q$61),0,IF(Q$60=$C530,Q$62,Q529*(1+Q593)+Q656))),0)</f>
        <v>0</v>
      </c>
      <c r="R530" s="836">
        <f>IFERROR(IF(R$338&gt;$D$33,0,IF(OR(R$60&gt;$C530,$C530&gt;R$61),0,IF(R$60=$C530,R$62,R529*(1+R593)+R656))),0)</f>
        <v>0</v>
      </c>
      <c r="S530" s="836">
        <f>IFERROR(IF(S$338&gt;$D$33,0,IF(OR(S$60&gt;$C530,$C530&gt;S$61),0,IF(S$60=$C530,S$62,S529*(1+S593)+S656))),0)</f>
        <v>0</v>
      </c>
      <c r="T530" s="836">
        <f>IFERROR(IF(T$338&gt;$D$33,0,IF(OR(T$60&gt;$C530,$C530&gt;T$61),0,IF(T$60=$C530,T$62,T529*(1+T593)+T656))),0)</f>
        <v>0</v>
      </c>
      <c r="U530" s="836">
        <f>IFERROR(IF(U$338&gt;$D$33,0,IF(OR(U$60&gt;$C530,$C530&gt;U$61),0,IF(U$60=$C530,U$62,U529*(1+U593)+U656))),0)</f>
        <v>0</v>
      </c>
      <c r="V530" s="836">
        <f>IFERROR(IF(V$338&gt;$D$33,0,IF(OR(V$60&gt;$C530,$C530&gt;V$61),0,IF(V$60=$C530,V$62,V529*(1+V593)+V656))),0)</f>
        <v>0</v>
      </c>
      <c r="W530" s="836">
        <f>IFERROR(IF(W$338&gt;$D$33,0,IF(OR(W$60&gt;$C530,$C530&gt;W$61),0,IF(W$60=$C530,W$62,W529*(1+W593)+W656))),0)</f>
        <v>0</v>
      </c>
      <c r="X530" s="836">
        <f>IFERROR(IF(X$338&gt;$D$33,0,IF(OR(X$60&gt;$C530,$C530&gt;X$61),0,IF(X$60=$C530,X$62,X529*(1+X593)+X656))),0)</f>
        <v>0</v>
      </c>
      <c r="Y530" s="836">
        <f>IFERROR(IF(Y$338&gt;$D$33,0,IF(OR(Y$60&gt;$C530,$C530&gt;Y$61),0,IF(Y$60=$C530,Y$62,Y529*(1+Y593)+Y656))),0)</f>
        <v>0</v>
      </c>
      <c r="Z530" s="836">
        <f>IFERROR(IF(Z$338&gt;$D$33,0,IF(OR(Z$60&gt;$C530,$C530&gt;Z$61),0,IF(Z$60=$C530,Z$62,Z529*(1+Z593)+Z656))),0)</f>
        <v>0</v>
      </c>
      <c r="AA530" s="836">
        <f>IFERROR(IF(AA$338&gt;$D$33,0,IF(OR(AA$60&gt;$C530,$C530&gt;AA$61),0,IF(AA$60=$C530,AA$62,AA529*(1+AA593)+AA656))),0)</f>
        <v>0</v>
      </c>
      <c r="AB530" s="837">
        <f>IFERROR(IF(AB$338&gt;$D$33,0,IF(OR(AB$60&gt;$C530,$C530&gt;AB$61),0,IF(AB$60=$C530,AB$62,AB529*(1+AB593)+AB656))),0)</f>
        <v>0</v>
      </c>
    </row>
    <row r="531" spans="1:97" ht="12" customHeight="1" x14ac:dyDescent="0.3">
      <c r="A531" s="8"/>
      <c r="C531" s="495">
        <f>C468</f>
        <v>1796</v>
      </c>
      <c r="D531" s="835">
        <f>IFERROR(IF(D$338&gt;$D$33,0,IF(OR(D$60&gt;$C531,$C531&gt;D$61),0,IF(D$60=$C531,D$62,D530*(1+D594)+D657))),0)</f>
        <v>0</v>
      </c>
      <c r="E531" s="836">
        <f>IFERROR(IF(E$338&gt;$D$33,0,IF(OR(E$60&gt;$C531,$C531&gt;E$61),0,IF(E$60=$C531,E$62,E530*(1+E594)+E657))),0)</f>
        <v>0</v>
      </c>
      <c r="F531" s="836">
        <f>IFERROR(IF(F$338&gt;$D$33,0,IF(OR(F$60&gt;$C531,$C531&gt;F$61),0,IF(F$60=$C531,F$62,F530*(1+F594)+F657))),0)</f>
        <v>0</v>
      </c>
      <c r="G531" s="836">
        <f>IFERROR(IF(G$338&gt;$D$33,0,IF(OR(G$60&gt;$C531,$C531&gt;G$61),0,IF(G$60=$C531,G$62,G530*(1+G594)+G657))),0)</f>
        <v>0</v>
      </c>
      <c r="H531" s="836">
        <f>IFERROR(IF(H$338&gt;$D$33,0,IF(OR(H$60&gt;$C531,$C531&gt;H$61),0,IF(H$60=$C531,H$62,H530*(1+H594)+H657))),0)</f>
        <v>0</v>
      </c>
      <c r="I531" s="836">
        <f>IFERROR(IF(I$338&gt;$D$33,0,IF(OR(I$60&gt;$C531,$C531&gt;I$61),0,IF(I$60=$C531,I$62,I530*(1+I594)+I657))),0)</f>
        <v>0</v>
      </c>
      <c r="J531" s="836">
        <f>IFERROR(IF(J$338&gt;$D$33,0,IF(OR(J$60&gt;$C531,$C531&gt;J$61),0,IF(J$60=$C531,J$62,J530*(1+J594)+J657))),0)</f>
        <v>0</v>
      </c>
      <c r="K531" s="836">
        <f>IFERROR(IF(K$338&gt;$D$33,0,IF(OR(K$60&gt;$C531,$C531&gt;K$61),0,IF(K$60=$C531,K$62,K530*(1+K594)+K657))),0)</f>
        <v>0</v>
      </c>
      <c r="L531" s="836">
        <f>IFERROR(IF(L$338&gt;$D$33,0,IF(OR(L$60&gt;$C531,$C531&gt;L$61),0,IF(L$60=$C531,L$62,L530*(1+L594)+L657))),0)</f>
        <v>0</v>
      </c>
      <c r="M531" s="836">
        <f>IFERROR(IF(M$338&gt;$D$33,0,IF(OR(M$60&gt;$C531,$C531&gt;M$61),0,IF(M$60=$C531,M$62,M530*(1+M594)+M657))),0)</f>
        <v>0</v>
      </c>
      <c r="N531" s="836">
        <f>IFERROR(IF(N$338&gt;$D$33,0,IF(OR(N$60&gt;$C531,$C531&gt;N$61),0,IF(N$60=$C531,N$62,N530*(1+N594)+N657))),0)</f>
        <v>0</v>
      </c>
      <c r="O531" s="836">
        <f>IFERROR(IF(O$338&gt;$D$33,0,IF(OR(O$60&gt;$C531,$C531&gt;O$61),0,IF(O$60=$C531,O$62,O530*(1+O594)+O657))),0)</f>
        <v>0</v>
      </c>
      <c r="P531" s="836">
        <f>IFERROR(IF(P$338&gt;$D$33,0,IF(OR(P$60&gt;$C531,$C531&gt;P$61),0,IF(P$60=$C531,P$62,P530*(1+P594)+P657))),0)</f>
        <v>0</v>
      </c>
      <c r="Q531" s="836">
        <f>IFERROR(IF(Q$338&gt;$D$33,0,IF(OR(Q$60&gt;$C531,$C531&gt;Q$61),0,IF(Q$60=$C531,Q$62,Q530*(1+Q594)+Q657))),0)</f>
        <v>0</v>
      </c>
      <c r="R531" s="836">
        <f>IFERROR(IF(R$338&gt;$D$33,0,IF(OR(R$60&gt;$C531,$C531&gt;R$61),0,IF(R$60=$C531,R$62,R530*(1+R594)+R657))),0)</f>
        <v>0</v>
      </c>
      <c r="S531" s="836">
        <f>IFERROR(IF(S$338&gt;$D$33,0,IF(OR(S$60&gt;$C531,$C531&gt;S$61),0,IF(S$60=$C531,S$62,S530*(1+S594)+S657))),0)</f>
        <v>0</v>
      </c>
      <c r="T531" s="836">
        <f>IFERROR(IF(T$338&gt;$D$33,0,IF(OR(T$60&gt;$C531,$C531&gt;T$61),0,IF(T$60=$C531,T$62,T530*(1+T594)+T657))),0)</f>
        <v>0</v>
      </c>
      <c r="U531" s="836">
        <f>IFERROR(IF(U$338&gt;$D$33,0,IF(OR(U$60&gt;$C531,$C531&gt;U$61),0,IF(U$60=$C531,U$62,U530*(1+U594)+U657))),0)</f>
        <v>0</v>
      </c>
      <c r="V531" s="836">
        <f>IFERROR(IF(V$338&gt;$D$33,0,IF(OR(V$60&gt;$C531,$C531&gt;V$61),0,IF(V$60=$C531,V$62,V530*(1+V594)+V657))),0)</f>
        <v>0</v>
      </c>
      <c r="W531" s="836">
        <f>IFERROR(IF(W$338&gt;$D$33,0,IF(OR(W$60&gt;$C531,$C531&gt;W$61),0,IF(W$60=$C531,W$62,W530*(1+W594)+W657))),0)</f>
        <v>0</v>
      </c>
      <c r="X531" s="836">
        <f>IFERROR(IF(X$338&gt;$D$33,0,IF(OR(X$60&gt;$C531,$C531&gt;X$61),0,IF(X$60=$C531,X$62,X530*(1+X594)+X657))),0)</f>
        <v>0</v>
      </c>
      <c r="Y531" s="836">
        <f>IFERROR(IF(Y$338&gt;$D$33,0,IF(OR(Y$60&gt;$C531,$C531&gt;Y$61),0,IF(Y$60=$C531,Y$62,Y530*(1+Y594)+Y657))),0)</f>
        <v>0</v>
      </c>
      <c r="Z531" s="836">
        <f>IFERROR(IF(Z$338&gt;$D$33,0,IF(OR(Z$60&gt;$C531,$C531&gt;Z$61),0,IF(Z$60=$C531,Z$62,Z530*(1+Z594)+Z657))),0)</f>
        <v>0</v>
      </c>
      <c r="AA531" s="836">
        <f>IFERROR(IF(AA$338&gt;$D$33,0,IF(OR(AA$60&gt;$C531,$C531&gt;AA$61),0,IF(AA$60=$C531,AA$62,AA530*(1+AA594)+AA657))),0)</f>
        <v>0</v>
      </c>
      <c r="AB531" s="837">
        <f>IFERROR(IF(AB$338&gt;$D$33,0,IF(OR(AB$60&gt;$C531,$C531&gt;AB$61),0,IF(AB$60=$C531,AB$62,AB530*(1+AB594)+AB657))),0)</f>
        <v>0</v>
      </c>
    </row>
    <row r="532" spans="1:97" ht="12" customHeight="1" thickBot="1" x14ac:dyDescent="0.35">
      <c r="A532" s="8"/>
      <c r="C532" s="496">
        <f>C469</f>
        <v>1827</v>
      </c>
      <c r="D532" s="838">
        <f>IFERROR(IF(D$338&gt;$D$33,0,IF(OR(D$60&gt;$C532,$C532&gt;D$61),0,IF(D$60=$C532,D$62,D531*(1+D595)+D658))),0)</f>
        <v>0</v>
      </c>
      <c r="E532" s="839">
        <f>IFERROR(IF(E$338&gt;$D$33,0,IF(OR(E$60&gt;$C532,$C532&gt;E$61),0,IF(E$60=$C532,E$62,E531*(1+E595)+E658))),0)</f>
        <v>0</v>
      </c>
      <c r="F532" s="839">
        <f>IFERROR(IF(F$338&gt;$D$33,0,IF(OR(F$60&gt;$C532,$C532&gt;F$61),0,IF(F$60=$C532,F$62,F531*(1+F595)+F658))),0)</f>
        <v>0</v>
      </c>
      <c r="G532" s="839">
        <f>IFERROR(IF(G$338&gt;$D$33,0,IF(OR(G$60&gt;$C532,$C532&gt;G$61),0,IF(G$60=$C532,G$62,G531*(1+G595)+G658))),0)</f>
        <v>0</v>
      </c>
      <c r="H532" s="839">
        <f>IFERROR(IF(H$338&gt;$D$33,0,IF(OR(H$60&gt;$C532,$C532&gt;H$61),0,IF(H$60=$C532,H$62,H531*(1+H595)+H658))),0)</f>
        <v>0</v>
      </c>
      <c r="I532" s="839">
        <f>IFERROR(IF(I$338&gt;$D$33,0,IF(OR(I$60&gt;$C532,$C532&gt;I$61),0,IF(I$60=$C532,I$62,I531*(1+I595)+I658))),0)</f>
        <v>0</v>
      </c>
      <c r="J532" s="839">
        <f>IFERROR(IF(J$338&gt;$D$33,0,IF(OR(J$60&gt;$C532,$C532&gt;J$61),0,IF(J$60=$C532,J$62,J531*(1+J595)+J658))),0)</f>
        <v>0</v>
      </c>
      <c r="K532" s="839">
        <f>IFERROR(IF(K$338&gt;$D$33,0,IF(OR(K$60&gt;$C532,$C532&gt;K$61),0,IF(K$60=$C532,K$62,K531*(1+K595)+K658))),0)</f>
        <v>0</v>
      </c>
      <c r="L532" s="839">
        <f>IFERROR(IF(L$338&gt;$D$33,0,IF(OR(L$60&gt;$C532,$C532&gt;L$61),0,IF(L$60=$C532,L$62,L531*(1+L595)+L658))),0)</f>
        <v>0</v>
      </c>
      <c r="M532" s="839">
        <f>IFERROR(IF(M$338&gt;$D$33,0,IF(OR(M$60&gt;$C532,$C532&gt;M$61),0,IF(M$60=$C532,M$62,M531*(1+M595)+M658))),0)</f>
        <v>0</v>
      </c>
      <c r="N532" s="839">
        <f>IFERROR(IF(N$338&gt;$D$33,0,IF(OR(N$60&gt;$C532,$C532&gt;N$61),0,IF(N$60=$C532,N$62,N531*(1+N595)+N658))),0)</f>
        <v>0</v>
      </c>
      <c r="O532" s="839">
        <f>IFERROR(IF(O$338&gt;$D$33,0,IF(OR(O$60&gt;$C532,$C532&gt;O$61),0,IF(O$60=$C532,O$62,O531*(1+O595)+O658))),0)</f>
        <v>0</v>
      </c>
      <c r="P532" s="839">
        <f>IFERROR(IF(P$338&gt;$D$33,0,IF(OR(P$60&gt;$C532,$C532&gt;P$61),0,IF(P$60=$C532,P$62,P531*(1+P595)+P658))),0)</f>
        <v>0</v>
      </c>
      <c r="Q532" s="839">
        <f>IFERROR(IF(Q$338&gt;$D$33,0,IF(OR(Q$60&gt;$C532,$C532&gt;Q$61),0,IF(Q$60=$C532,Q$62,Q531*(1+Q595)+Q658))),0)</f>
        <v>0</v>
      </c>
      <c r="R532" s="839">
        <f>IFERROR(IF(R$338&gt;$D$33,0,IF(OR(R$60&gt;$C532,$C532&gt;R$61),0,IF(R$60=$C532,R$62,R531*(1+R595)+R658))),0)</f>
        <v>0</v>
      </c>
      <c r="S532" s="839">
        <f>IFERROR(IF(S$338&gt;$D$33,0,IF(OR(S$60&gt;$C532,$C532&gt;S$61),0,IF(S$60=$C532,S$62,S531*(1+S595)+S658))),0)</f>
        <v>0</v>
      </c>
      <c r="T532" s="839">
        <f>IFERROR(IF(T$338&gt;$D$33,0,IF(OR(T$60&gt;$C532,$C532&gt;T$61),0,IF(T$60=$C532,T$62,T531*(1+T595)+T658))),0)</f>
        <v>0</v>
      </c>
      <c r="U532" s="839">
        <f>IFERROR(IF(U$338&gt;$D$33,0,IF(OR(U$60&gt;$C532,$C532&gt;U$61),0,IF(U$60=$C532,U$62,U531*(1+U595)+U658))),0)</f>
        <v>0</v>
      </c>
      <c r="V532" s="839">
        <f>IFERROR(IF(V$338&gt;$D$33,0,IF(OR(V$60&gt;$C532,$C532&gt;V$61),0,IF(V$60=$C532,V$62,V531*(1+V595)+V658))),0)</f>
        <v>0</v>
      </c>
      <c r="W532" s="839">
        <f>IFERROR(IF(W$338&gt;$D$33,0,IF(OR(W$60&gt;$C532,$C532&gt;W$61),0,IF(W$60=$C532,W$62,W531*(1+W595)+W658))),0)</f>
        <v>0</v>
      </c>
      <c r="X532" s="839">
        <f>IFERROR(IF(X$338&gt;$D$33,0,IF(OR(X$60&gt;$C532,$C532&gt;X$61),0,IF(X$60=$C532,X$62,X531*(1+X595)+X658))),0)</f>
        <v>0</v>
      </c>
      <c r="Y532" s="839">
        <f>IFERROR(IF(Y$338&gt;$D$33,0,IF(OR(Y$60&gt;$C532,$C532&gt;Y$61),0,IF(Y$60=$C532,Y$62,Y531*(1+Y595)+Y658))),0)</f>
        <v>0</v>
      </c>
      <c r="Z532" s="839">
        <f>IFERROR(IF(Z$338&gt;$D$33,0,IF(OR(Z$60&gt;$C532,$C532&gt;Z$61),0,IF(Z$60=$C532,Z$62,Z531*(1+Z595)+Z658))),0)</f>
        <v>0</v>
      </c>
      <c r="AA532" s="839">
        <f>IFERROR(IF(AA$338&gt;$D$33,0,IF(OR(AA$60&gt;$C532,$C532&gt;AA$61),0,IF(AA$60=$C532,AA$62,AA531*(1+AA595)+AA658))),0)</f>
        <v>0</v>
      </c>
      <c r="AB532" s="840">
        <f>IFERROR(IF(AB$338&gt;$D$33,0,IF(OR(AB$60&gt;$C532,$C532&gt;AB$61),0,IF(AB$60=$C532,AB$62,AB531*(1+AB595)+AB658))),0)</f>
        <v>0</v>
      </c>
    </row>
    <row r="533" spans="1:97" ht="12" customHeight="1" x14ac:dyDescent="0.3">
      <c r="A533" s="8"/>
      <c r="B533" s="8"/>
      <c r="C533" s="1347" t="str">
        <f>C470</f>
        <v>Total</v>
      </c>
      <c r="D533" s="816">
        <f>SUM(D473:D532)</f>
        <v>0</v>
      </c>
      <c r="E533" s="817">
        <f>SUM(E473:E532)</f>
        <v>0</v>
      </c>
      <c r="F533" s="817">
        <f>SUM(F473:F532)</f>
        <v>0</v>
      </c>
      <c r="G533" s="817">
        <f>SUM(G473:G532)</f>
        <v>0</v>
      </c>
      <c r="H533" s="817">
        <f>SUM(H473:H532)</f>
        <v>0</v>
      </c>
      <c r="I533" s="817">
        <f>SUM(I473:I532)</f>
        <v>0</v>
      </c>
      <c r="J533" s="817">
        <f>SUM(J473:J532)</f>
        <v>0</v>
      </c>
      <c r="K533" s="817">
        <f>SUM(K473:K532)</f>
        <v>0</v>
      </c>
      <c r="L533" s="817">
        <f>SUM(L473:L532)</f>
        <v>0</v>
      </c>
      <c r="M533" s="817">
        <f>SUM(M473:M532)</f>
        <v>0</v>
      </c>
      <c r="N533" s="817">
        <f>SUM(N473:N532)</f>
        <v>0</v>
      </c>
      <c r="O533" s="817">
        <f>SUM(O473:O532)</f>
        <v>0</v>
      </c>
      <c r="P533" s="817">
        <f>SUM(P473:P532)</f>
        <v>0</v>
      </c>
      <c r="Q533" s="817">
        <f>SUM(Q473:Q532)</f>
        <v>0</v>
      </c>
      <c r="R533" s="817">
        <f>SUM(R473:R532)</f>
        <v>0</v>
      </c>
      <c r="S533" s="817">
        <f>SUM(S473:S532)</f>
        <v>0</v>
      </c>
      <c r="T533" s="817">
        <f>SUM(T473:T532)</f>
        <v>0</v>
      </c>
      <c r="U533" s="817">
        <f>SUM(U473:U532)</f>
        <v>0</v>
      </c>
      <c r="V533" s="817">
        <f>SUM(V473:V532)</f>
        <v>0</v>
      </c>
      <c r="W533" s="817">
        <f>SUM(W473:W532)</f>
        <v>0</v>
      </c>
      <c r="X533" s="817">
        <f>SUM(X473:X532)</f>
        <v>0</v>
      </c>
      <c r="Y533" s="817">
        <f>SUM(Y473:Y532)</f>
        <v>0</v>
      </c>
      <c r="Z533" s="817">
        <f>SUM(Z473:Z532)</f>
        <v>0</v>
      </c>
      <c r="AA533" s="817">
        <f>SUM(AA473:AA532)</f>
        <v>0</v>
      </c>
      <c r="AB533" s="817">
        <f>SUM(AB473:AB532)</f>
        <v>0</v>
      </c>
    </row>
    <row r="534" spans="1:97" ht="12" customHeight="1" x14ac:dyDescent="0.45">
      <c r="A534" s="1799"/>
      <c r="B534" s="1830" t="s">
        <v>196</v>
      </c>
      <c r="C534" s="1830"/>
    </row>
    <row r="535" spans="1:97" ht="12" customHeight="1" thickBot="1" x14ac:dyDescent="0.5">
      <c r="A535" s="1799"/>
      <c r="B535" s="1830"/>
      <c r="C535" s="1830"/>
      <c r="D535" s="820" t="str">
        <f>D472</f>
        <v>Item 1</v>
      </c>
      <c r="E535" s="820" t="str">
        <f>E472</f>
        <v>Item 2</v>
      </c>
      <c r="F535" s="820" t="str">
        <f>F472</f>
        <v>Item 3</v>
      </c>
      <c r="G535" s="820" t="str">
        <f>G472</f>
        <v>Item 4</v>
      </c>
      <c r="H535" s="820" t="str">
        <f>H472</f>
        <v>Item 5</v>
      </c>
      <c r="I535" s="820" t="str">
        <f>I472</f>
        <v>Item 6</v>
      </c>
      <c r="J535" s="820" t="str">
        <f>J472</f>
        <v>Item 7</v>
      </c>
      <c r="K535" s="820" t="str">
        <f>K472</f>
        <v>Item 8</v>
      </c>
      <c r="L535" s="820" t="str">
        <f>L472</f>
        <v>Item 9</v>
      </c>
      <c r="M535" s="820" t="str">
        <f>M472</f>
        <v>Item 10</v>
      </c>
      <c r="N535" s="820" t="str">
        <f>N472</f>
        <v>Item 11</v>
      </c>
      <c r="O535" s="820" t="str">
        <f>O472</f>
        <v>Item 12</v>
      </c>
      <c r="P535" s="820" t="str">
        <f>P472</f>
        <v>Item 13</v>
      </c>
      <c r="Q535" s="820" t="str">
        <f>Q472</f>
        <v>Item 14</v>
      </c>
      <c r="R535" s="820" t="str">
        <f>R472</f>
        <v>Item 15</v>
      </c>
      <c r="S535" s="820" t="str">
        <f>S472</f>
        <v>Item 16</v>
      </c>
      <c r="T535" s="820" t="str">
        <f>T472</f>
        <v>Item 17</v>
      </c>
      <c r="U535" s="820" t="str">
        <f>U472</f>
        <v>Item 18</v>
      </c>
      <c r="V535" s="820" t="str">
        <f>V472</f>
        <v>Item 19</v>
      </c>
      <c r="W535" s="820" t="str">
        <f>W472</f>
        <v>Item 20</v>
      </c>
      <c r="X535" s="820" t="str">
        <f>X472</f>
        <v>Item 21</v>
      </c>
      <c r="Y535" s="820" t="str">
        <f>Y472</f>
        <v>Item 22</v>
      </c>
      <c r="Z535" s="820" t="str">
        <f>Z472</f>
        <v>Item 23</v>
      </c>
      <c r="AA535" s="820" t="str">
        <f>AA472</f>
        <v>Item 24</v>
      </c>
      <c r="AB535" s="820" t="str">
        <f>AB472</f>
        <v>Item 25</v>
      </c>
    </row>
    <row r="536" spans="1:97" ht="12" customHeight="1" x14ac:dyDescent="0.3">
      <c r="A536" s="8"/>
      <c r="B536" s="8"/>
      <c r="C536" s="495">
        <f>C473</f>
        <v>0</v>
      </c>
      <c r="D536" s="641"/>
      <c r="E536" s="642"/>
      <c r="F536" s="642"/>
      <c r="G536" s="642"/>
      <c r="H536" s="642"/>
      <c r="I536" s="642"/>
      <c r="J536" s="642"/>
      <c r="K536" s="642"/>
      <c r="L536" s="642"/>
      <c r="M536" s="642"/>
      <c r="N536" s="642"/>
      <c r="O536" s="642"/>
      <c r="P536" s="642"/>
      <c r="Q536" s="642"/>
      <c r="R536" s="642"/>
      <c r="S536" s="642"/>
      <c r="T536" s="642"/>
      <c r="U536" s="642"/>
      <c r="V536" s="642"/>
      <c r="W536" s="642"/>
      <c r="X536" s="642"/>
      <c r="Y536" s="642"/>
      <c r="Z536" s="642"/>
      <c r="AA536" s="642"/>
      <c r="AB536" s="642"/>
      <c r="CH536" s="269"/>
      <c r="CI536" s="269"/>
      <c r="CJ536" s="269"/>
      <c r="CK536" s="269"/>
      <c r="CL536" s="269"/>
      <c r="CM536" s="269"/>
      <c r="CN536" s="269"/>
      <c r="CO536" s="269"/>
      <c r="CP536" s="269"/>
      <c r="CQ536" s="269"/>
      <c r="CR536" s="269"/>
      <c r="CS536" s="269"/>
    </row>
    <row r="537" spans="1:97" ht="12" customHeight="1" x14ac:dyDescent="0.3">
      <c r="A537" s="8"/>
      <c r="B537" s="8"/>
      <c r="C537" s="495">
        <f>C474</f>
        <v>59</v>
      </c>
      <c r="D537" s="1758">
        <f>IF(OR(Calcs!$J$1402=Calcs!$I1407,Calcs!$I1407&gt;D$61),0,IF(OR(D$63="Monthly",D$63=""),Calcs!J1407,IF(AND(D$63="Quarterly",INT((Calcs!$I1407-Calcs!J$1402)/3)=(Calcs!$I1407-Calcs!J$1402)/3),Calcs!J1407,IF(INT((Calcs!$I1407-Calcs!J$1402)/12)=(Calcs!$I1407-Calcs!J$1402)/12,Calcs!J1407,0))))</f>
        <v>0</v>
      </c>
      <c r="E537" s="236">
        <f>IF(OR(Calcs!$J$1402=Calcs!$I1407,Calcs!$I1407&gt;E$61),0,IF(OR(E$63="Monthly",E$63=""),Calcs!K1407,IF(AND(E$63="Quarterly",INT((Calcs!$I1407-Calcs!K$1402)/3)=(Calcs!$I1407-Calcs!K$1402)/3),Calcs!K1407,IF(INT((Calcs!$I1407-Calcs!K$1402)/12)=(Calcs!$I1407-Calcs!K$1402)/12,Calcs!K1407,0))))</f>
        <v>0</v>
      </c>
      <c r="F537" s="236">
        <f>IF(OR(Calcs!$J$1402=Calcs!$I1407,Calcs!$I1407&gt;F$61),0,IF(OR(F$63="Monthly",F$63=""),Calcs!L1407,IF(AND(F$63="Quarterly",INT((Calcs!$I1407-Calcs!L$1402)/3)=(Calcs!$I1407-Calcs!L$1402)/3),Calcs!L1407,IF(INT((Calcs!$I1407-Calcs!L$1402)/12)=(Calcs!$I1407-Calcs!L$1402)/12,Calcs!L1407,0))))</f>
        <v>0</v>
      </c>
      <c r="G537" s="236">
        <f>IF(OR(Calcs!$J$1402=Calcs!$I1407,Calcs!$I1407&gt;G$61),0,IF(OR(G$63="Monthly",G$63=""),Calcs!M1407,IF(AND(G$63="Quarterly",INT((Calcs!$I1407-Calcs!M$1402)/3)=(Calcs!$I1407-Calcs!M$1402)/3),Calcs!M1407,IF(INT((Calcs!$I1407-Calcs!M$1402)/12)=(Calcs!$I1407-Calcs!M$1402)/12,Calcs!M1407,0))))</f>
        <v>0</v>
      </c>
      <c r="H537" s="236">
        <f>IF(OR(Calcs!$J$1402=Calcs!$I1407,Calcs!$I1407&gt;H$61),0,IF(OR(H$63="Monthly",H$63=""),Calcs!N1407,IF(AND(H$63="Quarterly",INT((Calcs!$I1407-Calcs!N$1402)/3)=(Calcs!$I1407-Calcs!N$1402)/3),Calcs!N1407,IF(INT((Calcs!$I1407-Calcs!N$1402)/12)=(Calcs!$I1407-Calcs!N$1402)/12,Calcs!N1407,0))))</f>
        <v>0</v>
      </c>
      <c r="I537" s="236">
        <f>IF(OR(Calcs!$J$1402=Calcs!$I1407,Calcs!$I1407&gt;I$61),0,IF(OR(I$63="Monthly",I$63=""),Calcs!O1407,IF(AND(I$63="Quarterly",INT((Calcs!$I1407-Calcs!O$1402)/3)=(Calcs!$I1407-Calcs!O$1402)/3),Calcs!O1407,IF(INT((Calcs!$I1407-Calcs!O$1402)/12)=(Calcs!$I1407-Calcs!O$1402)/12,Calcs!O1407,0))))</f>
        <v>0</v>
      </c>
      <c r="J537" s="236">
        <f>IF(OR(Calcs!$J$1402=Calcs!$I1407,Calcs!$I1407&gt;J$61),0,IF(OR(J$63="Monthly",J$63=""),Calcs!P1407,IF(AND(J$63="Quarterly",INT((Calcs!$I1407-Calcs!P$1402)/3)=(Calcs!$I1407-Calcs!P$1402)/3),Calcs!P1407,IF(INT((Calcs!$I1407-Calcs!P$1402)/12)=(Calcs!$I1407-Calcs!P$1402)/12,Calcs!P1407,0))))</f>
        <v>0</v>
      </c>
      <c r="K537" s="236">
        <f>IF(OR(Calcs!$J$1402=Calcs!$I1407,Calcs!$I1407&gt;K$61),0,IF(OR(K$63="Monthly",K$63=""),Calcs!Q1407,IF(AND(K$63="Quarterly",INT((Calcs!$I1407-Calcs!Q$1402)/3)=(Calcs!$I1407-Calcs!Q$1402)/3),Calcs!Q1407,IF(INT((Calcs!$I1407-Calcs!Q$1402)/12)=(Calcs!$I1407-Calcs!Q$1402)/12,Calcs!Q1407,0))))</f>
        <v>0</v>
      </c>
      <c r="L537" s="236">
        <f>IF(OR(Calcs!$J$1402=Calcs!$I1407,Calcs!$I1407&gt;L$61),0,IF(OR(L$63="Monthly",L$63=""),Calcs!R1407,IF(AND(L$63="Quarterly",INT((Calcs!$I1407-Calcs!R$1402)/3)=(Calcs!$I1407-Calcs!R$1402)/3),Calcs!R1407,IF(INT((Calcs!$I1407-Calcs!R$1402)/12)=(Calcs!$I1407-Calcs!R$1402)/12,Calcs!R1407,0))))</f>
        <v>0</v>
      </c>
      <c r="M537" s="236">
        <f>IF(OR(Calcs!$J$1402=Calcs!$I1407,Calcs!$I1407&gt;M$61),0,IF(OR(M$63="Monthly",M$63=""),Calcs!S1407,IF(AND(M$63="Quarterly",INT((Calcs!$I1407-Calcs!S$1402)/3)=(Calcs!$I1407-Calcs!S$1402)/3),Calcs!S1407,IF(INT((Calcs!$I1407-Calcs!S$1402)/12)=(Calcs!$I1407-Calcs!S$1402)/12,Calcs!S1407,0))))</f>
        <v>0</v>
      </c>
      <c r="N537" s="236">
        <f>IF(OR(Calcs!$J$1402=Calcs!$I1407,Calcs!$I1407&gt;N$61),0,IF(OR(N$63="Monthly",N$63=""),Calcs!T1407,IF(AND(N$63="Quarterly",INT((Calcs!$I1407-Calcs!T$1402)/3)=(Calcs!$I1407-Calcs!T$1402)/3),Calcs!T1407,IF(INT((Calcs!$I1407-Calcs!T$1402)/12)=(Calcs!$I1407-Calcs!T$1402)/12,Calcs!T1407,0))))</f>
        <v>0</v>
      </c>
      <c r="O537" s="236">
        <f>IF(OR(Calcs!$J$1402=Calcs!$I1407,Calcs!$I1407&gt;O$61),0,IF(OR(O$63="Monthly",O$63=""),Calcs!U1407,IF(AND(O$63="Quarterly",INT((Calcs!$I1407-Calcs!U$1402)/3)=(Calcs!$I1407-Calcs!U$1402)/3),Calcs!U1407,IF(INT((Calcs!$I1407-Calcs!U$1402)/12)=(Calcs!$I1407-Calcs!U$1402)/12,Calcs!U1407,0))))</f>
        <v>0</v>
      </c>
      <c r="P537" s="236">
        <f>IF(OR(Calcs!$J$1402=Calcs!$I1407,Calcs!$I1407&gt;P$61),0,IF(OR(P$63="Monthly",P$63=""),Calcs!V1407,IF(AND(P$63="Quarterly",INT((Calcs!$I1407-Calcs!V$1402)/3)=(Calcs!$I1407-Calcs!V$1402)/3),Calcs!V1407,IF(INT((Calcs!$I1407-Calcs!V$1402)/12)=(Calcs!$I1407-Calcs!V$1402)/12,Calcs!V1407,0))))</f>
        <v>0</v>
      </c>
      <c r="Q537" s="236">
        <f>IF(OR(Calcs!$J$1402=Calcs!$I1407,Calcs!$I1407&gt;Q$61),0,IF(OR(Q$63="Monthly",Q$63=""),Calcs!W1407,IF(AND(Q$63="Quarterly",INT((Calcs!$I1407-Calcs!W$1402)/3)=(Calcs!$I1407-Calcs!W$1402)/3),Calcs!W1407,IF(INT((Calcs!$I1407-Calcs!W$1402)/12)=(Calcs!$I1407-Calcs!W$1402)/12,Calcs!W1407,0))))</f>
        <v>0</v>
      </c>
      <c r="R537" s="236">
        <f>IF(OR(Calcs!$J$1402=Calcs!$I1407,Calcs!$I1407&gt;R$61),0,IF(OR(R$63="Monthly",R$63=""),Calcs!X1407,IF(AND(R$63="Quarterly",INT((Calcs!$I1407-Calcs!X$1402)/3)=(Calcs!$I1407-Calcs!X$1402)/3),Calcs!X1407,IF(INT((Calcs!$I1407-Calcs!X$1402)/12)=(Calcs!$I1407-Calcs!X$1402)/12,Calcs!X1407,0))))</f>
        <v>0</v>
      </c>
      <c r="S537" s="236">
        <f>IF(OR(Calcs!$J$1402=Calcs!$I1407,Calcs!$I1407&gt;S$61),0,IF(OR(S$63="Monthly",S$63=""),Calcs!Y1407,IF(AND(S$63="Quarterly",INT((Calcs!$I1407-Calcs!Y$1402)/3)=(Calcs!$I1407-Calcs!Y$1402)/3),Calcs!Y1407,IF(INT((Calcs!$I1407-Calcs!Y$1402)/12)=(Calcs!$I1407-Calcs!Y$1402)/12,Calcs!Y1407,0))))</f>
        <v>0</v>
      </c>
      <c r="T537" s="236">
        <f>IF(OR(Calcs!$J$1402=Calcs!$I1407,Calcs!$I1407&gt;T$61),0,IF(OR(T$63="Monthly",T$63=""),Calcs!Z1407,IF(AND(T$63="Quarterly",INT((Calcs!$I1407-Calcs!Z$1402)/3)=(Calcs!$I1407-Calcs!Z$1402)/3),Calcs!Z1407,IF(INT((Calcs!$I1407-Calcs!Z$1402)/12)=(Calcs!$I1407-Calcs!Z$1402)/12,Calcs!Z1407,0))))</f>
        <v>0</v>
      </c>
      <c r="U537" s="236">
        <f>IF(OR(Calcs!$J$1402=Calcs!$I1407,Calcs!$I1407&gt;U$61),0,IF(OR(U$63="Monthly",U$63=""),Calcs!AA1407,IF(AND(U$63="Quarterly",INT((Calcs!$I1407-Calcs!AA$1402)/3)=(Calcs!$I1407-Calcs!AA$1402)/3),Calcs!AA1407,IF(INT((Calcs!$I1407-Calcs!AA$1402)/12)=(Calcs!$I1407-Calcs!AA$1402)/12,Calcs!AA1407,0))))</f>
        <v>0</v>
      </c>
      <c r="V537" s="236">
        <f>IF(OR(Calcs!$J$1402=Calcs!$I1407,Calcs!$I1407&gt;V$61),0,IF(OR(V$63="Monthly",V$63=""),Calcs!AB1407,IF(AND(V$63="Quarterly",INT((Calcs!$I1407-Calcs!AB$1402)/3)=(Calcs!$I1407-Calcs!AB$1402)/3),Calcs!AB1407,IF(INT((Calcs!$I1407-Calcs!AB$1402)/12)=(Calcs!$I1407-Calcs!AB$1402)/12,Calcs!AB1407,0))))</f>
        <v>0</v>
      </c>
      <c r="W537" s="236">
        <f>IF(OR(Calcs!$J$1402=Calcs!$I1407,Calcs!$I1407&gt;W$61),0,IF(OR(W$63="Monthly",W$63=""),Calcs!AC1407,IF(AND(W$63="Quarterly",INT((Calcs!$I1407-Calcs!AC$1402)/3)=(Calcs!$I1407-Calcs!AC$1402)/3),Calcs!AC1407,IF(INT((Calcs!$I1407-Calcs!AC$1402)/12)=(Calcs!$I1407-Calcs!AC$1402)/12,Calcs!AC1407,0))))</f>
        <v>0</v>
      </c>
      <c r="X537" s="236">
        <f>IF(OR(Calcs!$J$1402=Calcs!$I1407,Calcs!$I1407&gt;X$61),0,IF(OR(X$63="Monthly",X$63=""),Calcs!AD1407,IF(AND(X$63="Quarterly",INT((Calcs!$I1407-Calcs!AD$1402)/3)=(Calcs!$I1407-Calcs!AD$1402)/3),Calcs!AD1407,IF(INT((Calcs!$I1407-Calcs!AD$1402)/12)=(Calcs!$I1407-Calcs!AD$1402)/12,Calcs!AD1407,0))))</f>
        <v>0</v>
      </c>
      <c r="Y537" s="236">
        <f>IF(OR(Calcs!$J$1402=Calcs!$I1407,Calcs!$I1407&gt;Y$61),0,IF(OR(Y$63="Monthly",Y$63=""),Calcs!AE1407,IF(AND(Y$63="Quarterly",INT((Calcs!$I1407-Calcs!AE$1402)/3)=(Calcs!$I1407-Calcs!AE$1402)/3),Calcs!AE1407,IF(INT((Calcs!$I1407-Calcs!AE$1402)/12)=(Calcs!$I1407-Calcs!AE$1402)/12,Calcs!AE1407,0))))</f>
        <v>0</v>
      </c>
      <c r="Z537" s="236">
        <f>IF(OR(Calcs!$J$1402=Calcs!$I1407,Calcs!$I1407&gt;Z$61),0,IF(OR(Z$63="Monthly",Z$63=""),Calcs!AF1407,IF(AND(Z$63="Quarterly",INT((Calcs!$I1407-Calcs!AF$1402)/3)=(Calcs!$I1407-Calcs!AF$1402)/3),Calcs!AF1407,IF(INT((Calcs!$I1407-Calcs!AF$1402)/12)=(Calcs!$I1407-Calcs!AF$1402)/12,Calcs!AF1407,0))))</f>
        <v>0</v>
      </c>
      <c r="AA537" s="236">
        <f>IF(OR(Calcs!$J$1402=Calcs!$I1407,Calcs!$I1407&gt;AA$61),0,IF(OR(AA$63="Monthly",AA$63=""),Calcs!AG1407,IF(AND(AA$63="Quarterly",INT((Calcs!$I1407-Calcs!AG$1402)/3)=(Calcs!$I1407-Calcs!AG$1402)/3),Calcs!AG1407,IF(INT((Calcs!$I1407-Calcs!AG$1402)/12)=(Calcs!$I1407-Calcs!AG$1402)/12,Calcs!AG1407,0))))</f>
        <v>0</v>
      </c>
      <c r="AB537" s="236">
        <f>IF(OR(Calcs!$J$1402=Calcs!$I1407,Calcs!$I1407&gt;AB$61),0,IF(OR(AB$63="Monthly",AB$63=""),Calcs!AH1407,IF(AND(AB$63="Quarterly",INT((Calcs!$I1407-Calcs!AH$1402)/3)=(Calcs!$I1407-Calcs!AH$1402)/3),Calcs!AH1407,IF(INT((Calcs!$I1407-Calcs!AH$1402)/12)=(Calcs!$I1407-Calcs!AH$1402)/12,Calcs!AH1407,0))))</f>
        <v>0</v>
      </c>
      <c r="CH537" s="269"/>
      <c r="CI537" s="269"/>
      <c r="CJ537" s="269"/>
      <c r="CK537" s="269"/>
      <c r="CL537" s="269"/>
      <c r="CM537" s="269"/>
      <c r="CN537" s="269"/>
      <c r="CO537" s="269"/>
      <c r="CP537" s="269"/>
      <c r="CQ537" s="269"/>
      <c r="CR537" s="269"/>
      <c r="CS537" s="269"/>
    </row>
    <row r="538" spans="1:97" ht="12" customHeight="1" x14ac:dyDescent="0.3">
      <c r="A538" s="8"/>
      <c r="B538" s="8"/>
      <c r="C538" s="495">
        <f>C475</f>
        <v>91</v>
      </c>
      <c r="D538" s="1758">
        <f>IF(OR(Calcs!$J$1402=Calcs!$I1408,Calcs!$I1408&gt;D$61),0,IF(OR(D$63="Monthly",D$63=""),Calcs!J1408,IF(AND(D$63="Quarterly",INT((Calcs!$I1408-Calcs!J$1402)/3)=(Calcs!$I1408-Calcs!J$1402)/3),Calcs!J1408,IF(INT((Calcs!$I1408-Calcs!J$1402)/12)=(Calcs!$I1408-Calcs!J$1402)/12,Calcs!J1408,0))))</f>
        <v>0</v>
      </c>
      <c r="E538" s="237">
        <f>IF(OR(Calcs!$J$1402=Calcs!$I1408,Calcs!$I1408&gt;E$61),0,IF(OR(E$63="Monthly",E$63=""),Calcs!K1408,IF(AND(E$63="Quarterly",INT((Calcs!$I1408-Calcs!K$1402)/3)=(Calcs!$I1408-Calcs!K$1402)/3),Calcs!K1408,IF(INT((Calcs!$I1408-Calcs!K$1402)/12)=(Calcs!$I1408-Calcs!K$1402)/12,Calcs!K1408,0))))</f>
        <v>0</v>
      </c>
      <c r="F538" s="237">
        <f>IF(OR(Calcs!$J$1402=Calcs!$I1408,Calcs!$I1408&gt;F$61),0,IF(OR(F$63="Monthly",F$63=""),Calcs!L1408,IF(AND(F$63="Quarterly",INT((Calcs!$I1408-Calcs!L$1402)/3)=(Calcs!$I1408-Calcs!L$1402)/3),Calcs!L1408,IF(INT((Calcs!$I1408-Calcs!L$1402)/12)=(Calcs!$I1408-Calcs!L$1402)/12,Calcs!L1408,0))))</f>
        <v>0</v>
      </c>
      <c r="G538" s="237">
        <f>IF(OR(Calcs!$J$1402=Calcs!$I1408,Calcs!$I1408&gt;G$61),0,IF(OR(G$63="Monthly",G$63=""),Calcs!M1408,IF(AND(G$63="Quarterly",INT((Calcs!$I1408-Calcs!M$1402)/3)=(Calcs!$I1408-Calcs!M$1402)/3),Calcs!M1408,IF(INT((Calcs!$I1408-Calcs!M$1402)/12)=(Calcs!$I1408-Calcs!M$1402)/12,Calcs!M1408,0))))</f>
        <v>0</v>
      </c>
      <c r="H538" s="237">
        <f>IF(OR(Calcs!$J$1402=Calcs!$I1408,Calcs!$I1408&gt;H$61),0,IF(OR(H$63="Monthly",H$63=""),Calcs!N1408,IF(AND(H$63="Quarterly",INT((Calcs!$I1408-Calcs!N$1402)/3)=(Calcs!$I1408-Calcs!N$1402)/3),Calcs!N1408,IF(INT((Calcs!$I1408-Calcs!N$1402)/12)=(Calcs!$I1408-Calcs!N$1402)/12,Calcs!N1408,0))))</f>
        <v>0</v>
      </c>
      <c r="I538" s="237">
        <f>IF(OR(Calcs!$J$1402=Calcs!$I1408,Calcs!$I1408&gt;I$61),0,IF(OR(I$63="Monthly",I$63=""),Calcs!O1408,IF(AND(I$63="Quarterly",INT((Calcs!$I1408-Calcs!O$1402)/3)=(Calcs!$I1408-Calcs!O$1402)/3),Calcs!O1408,IF(INT((Calcs!$I1408-Calcs!O$1402)/12)=(Calcs!$I1408-Calcs!O$1402)/12,Calcs!O1408,0))))</f>
        <v>0</v>
      </c>
      <c r="J538" s="237">
        <f>IF(OR(Calcs!$J$1402=Calcs!$I1408,Calcs!$I1408&gt;J$61),0,IF(OR(J$63="Monthly",J$63=""),Calcs!P1408,IF(AND(J$63="Quarterly",INT((Calcs!$I1408-Calcs!P$1402)/3)=(Calcs!$I1408-Calcs!P$1402)/3),Calcs!P1408,IF(INT((Calcs!$I1408-Calcs!P$1402)/12)=(Calcs!$I1408-Calcs!P$1402)/12,Calcs!P1408,0))))</f>
        <v>0</v>
      </c>
      <c r="K538" s="237">
        <f>IF(OR(Calcs!$J$1402=Calcs!$I1408,Calcs!$I1408&gt;K$61),0,IF(OR(K$63="Monthly",K$63=""),Calcs!Q1408,IF(AND(K$63="Quarterly",INT((Calcs!$I1408-Calcs!Q$1402)/3)=(Calcs!$I1408-Calcs!Q$1402)/3),Calcs!Q1408,IF(INT((Calcs!$I1408-Calcs!Q$1402)/12)=(Calcs!$I1408-Calcs!Q$1402)/12,Calcs!Q1408,0))))</f>
        <v>0</v>
      </c>
      <c r="L538" s="237">
        <f>IF(OR(Calcs!$J$1402=Calcs!$I1408,Calcs!$I1408&gt;L$61),0,IF(OR(L$63="Monthly",L$63=""),Calcs!R1408,IF(AND(L$63="Quarterly",INT((Calcs!$I1408-Calcs!R$1402)/3)=(Calcs!$I1408-Calcs!R$1402)/3),Calcs!R1408,IF(INT((Calcs!$I1408-Calcs!R$1402)/12)=(Calcs!$I1408-Calcs!R$1402)/12,Calcs!R1408,0))))</f>
        <v>0</v>
      </c>
      <c r="M538" s="237">
        <f>IF(OR(Calcs!$J$1402=Calcs!$I1408,Calcs!$I1408&gt;M$61),0,IF(OR(M$63="Monthly",M$63=""),Calcs!S1408,IF(AND(M$63="Quarterly",INT((Calcs!$I1408-Calcs!S$1402)/3)=(Calcs!$I1408-Calcs!S$1402)/3),Calcs!S1408,IF(INT((Calcs!$I1408-Calcs!S$1402)/12)=(Calcs!$I1408-Calcs!S$1402)/12,Calcs!S1408,0))))</f>
        <v>0</v>
      </c>
      <c r="N538" s="237">
        <f>IF(OR(Calcs!$J$1402=Calcs!$I1408,Calcs!$I1408&gt;N$61),0,IF(OR(N$63="Monthly",N$63=""),Calcs!T1408,IF(AND(N$63="Quarterly",INT((Calcs!$I1408-Calcs!T$1402)/3)=(Calcs!$I1408-Calcs!T$1402)/3),Calcs!T1408,IF(INT((Calcs!$I1408-Calcs!T$1402)/12)=(Calcs!$I1408-Calcs!T$1402)/12,Calcs!T1408,0))))</f>
        <v>0</v>
      </c>
      <c r="O538" s="237">
        <f>IF(OR(Calcs!$J$1402=Calcs!$I1408,Calcs!$I1408&gt;O$61),0,IF(OR(O$63="Monthly",O$63=""),Calcs!U1408,IF(AND(O$63="Quarterly",INT((Calcs!$I1408-Calcs!U$1402)/3)=(Calcs!$I1408-Calcs!U$1402)/3),Calcs!U1408,IF(INT((Calcs!$I1408-Calcs!U$1402)/12)=(Calcs!$I1408-Calcs!U$1402)/12,Calcs!U1408,0))))</f>
        <v>0</v>
      </c>
      <c r="P538" s="237">
        <f>IF(OR(Calcs!$J$1402=Calcs!$I1408,Calcs!$I1408&gt;P$61),0,IF(OR(P$63="Monthly",P$63=""),Calcs!V1408,IF(AND(P$63="Quarterly",INT((Calcs!$I1408-Calcs!V$1402)/3)=(Calcs!$I1408-Calcs!V$1402)/3),Calcs!V1408,IF(INT((Calcs!$I1408-Calcs!V$1402)/12)=(Calcs!$I1408-Calcs!V$1402)/12,Calcs!V1408,0))))</f>
        <v>0</v>
      </c>
      <c r="Q538" s="237">
        <f>IF(OR(Calcs!$J$1402=Calcs!$I1408,Calcs!$I1408&gt;Q$61),0,IF(OR(Q$63="Monthly",Q$63=""),Calcs!W1408,IF(AND(Q$63="Quarterly",INT((Calcs!$I1408-Calcs!W$1402)/3)=(Calcs!$I1408-Calcs!W$1402)/3),Calcs!W1408,IF(INT((Calcs!$I1408-Calcs!W$1402)/12)=(Calcs!$I1408-Calcs!W$1402)/12,Calcs!W1408,0))))</f>
        <v>0</v>
      </c>
      <c r="R538" s="237">
        <f>IF(OR(Calcs!$J$1402=Calcs!$I1408,Calcs!$I1408&gt;R$61),0,IF(OR(R$63="Monthly",R$63=""),Calcs!X1408,IF(AND(R$63="Quarterly",INT((Calcs!$I1408-Calcs!X$1402)/3)=(Calcs!$I1408-Calcs!X$1402)/3),Calcs!X1408,IF(INT((Calcs!$I1408-Calcs!X$1402)/12)=(Calcs!$I1408-Calcs!X$1402)/12,Calcs!X1408,0))))</f>
        <v>0</v>
      </c>
      <c r="S538" s="237">
        <f>IF(OR(Calcs!$J$1402=Calcs!$I1408,Calcs!$I1408&gt;S$61),0,IF(OR(S$63="Monthly",S$63=""),Calcs!Y1408,IF(AND(S$63="Quarterly",INT((Calcs!$I1408-Calcs!Y$1402)/3)=(Calcs!$I1408-Calcs!Y$1402)/3),Calcs!Y1408,IF(INT((Calcs!$I1408-Calcs!Y$1402)/12)=(Calcs!$I1408-Calcs!Y$1402)/12,Calcs!Y1408,0))))</f>
        <v>0</v>
      </c>
      <c r="T538" s="237">
        <f>IF(OR(Calcs!$J$1402=Calcs!$I1408,Calcs!$I1408&gt;T$61),0,IF(OR(T$63="Monthly",T$63=""),Calcs!Z1408,IF(AND(T$63="Quarterly",INT((Calcs!$I1408-Calcs!Z$1402)/3)=(Calcs!$I1408-Calcs!Z$1402)/3),Calcs!Z1408,IF(INT((Calcs!$I1408-Calcs!Z$1402)/12)=(Calcs!$I1408-Calcs!Z$1402)/12,Calcs!Z1408,0))))</f>
        <v>0</v>
      </c>
      <c r="U538" s="237">
        <f>IF(OR(Calcs!$J$1402=Calcs!$I1408,Calcs!$I1408&gt;U$61),0,IF(OR(U$63="Monthly",U$63=""),Calcs!AA1408,IF(AND(U$63="Quarterly",INT((Calcs!$I1408-Calcs!AA$1402)/3)=(Calcs!$I1408-Calcs!AA$1402)/3),Calcs!AA1408,IF(INT((Calcs!$I1408-Calcs!AA$1402)/12)=(Calcs!$I1408-Calcs!AA$1402)/12,Calcs!AA1408,0))))</f>
        <v>0</v>
      </c>
      <c r="V538" s="237">
        <f>IF(OR(Calcs!$J$1402=Calcs!$I1408,Calcs!$I1408&gt;V$61),0,IF(OR(V$63="Monthly",V$63=""),Calcs!AB1408,IF(AND(V$63="Quarterly",INT((Calcs!$I1408-Calcs!AB$1402)/3)=(Calcs!$I1408-Calcs!AB$1402)/3),Calcs!AB1408,IF(INT((Calcs!$I1408-Calcs!AB$1402)/12)=(Calcs!$I1408-Calcs!AB$1402)/12,Calcs!AB1408,0))))</f>
        <v>0</v>
      </c>
      <c r="W538" s="237">
        <f>IF(OR(Calcs!$J$1402=Calcs!$I1408,Calcs!$I1408&gt;W$61),0,IF(OR(W$63="Monthly",W$63=""),Calcs!AC1408,IF(AND(W$63="Quarterly",INT((Calcs!$I1408-Calcs!AC$1402)/3)=(Calcs!$I1408-Calcs!AC$1402)/3),Calcs!AC1408,IF(INT((Calcs!$I1408-Calcs!AC$1402)/12)=(Calcs!$I1408-Calcs!AC$1402)/12,Calcs!AC1408,0))))</f>
        <v>0</v>
      </c>
      <c r="X538" s="237">
        <f>IF(OR(Calcs!$J$1402=Calcs!$I1408,Calcs!$I1408&gt;X$61),0,IF(OR(X$63="Monthly",X$63=""),Calcs!AD1408,IF(AND(X$63="Quarterly",INT((Calcs!$I1408-Calcs!AD$1402)/3)=(Calcs!$I1408-Calcs!AD$1402)/3),Calcs!AD1408,IF(INT((Calcs!$I1408-Calcs!AD$1402)/12)=(Calcs!$I1408-Calcs!AD$1402)/12,Calcs!AD1408,0))))</f>
        <v>0</v>
      </c>
      <c r="Y538" s="237">
        <f>IF(OR(Calcs!$J$1402=Calcs!$I1408,Calcs!$I1408&gt;Y$61),0,IF(OR(Y$63="Monthly",Y$63=""),Calcs!AE1408,IF(AND(Y$63="Quarterly",INT((Calcs!$I1408-Calcs!AE$1402)/3)=(Calcs!$I1408-Calcs!AE$1402)/3),Calcs!AE1408,IF(INT((Calcs!$I1408-Calcs!AE$1402)/12)=(Calcs!$I1408-Calcs!AE$1402)/12,Calcs!AE1408,0))))</f>
        <v>0</v>
      </c>
      <c r="Z538" s="237">
        <f>IF(OR(Calcs!$J$1402=Calcs!$I1408,Calcs!$I1408&gt;Z$61),0,IF(OR(Z$63="Monthly",Z$63=""),Calcs!AF1408,IF(AND(Z$63="Quarterly",INT((Calcs!$I1408-Calcs!AF$1402)/3)=(Calcs!$I1408-Calcs!AF$1402)/3),Calcs!AF1408,IF(INT((Calcs!$I1408-Calcs!AF$1402)/12)=(Calcs!$I1408-Calcs!AF$1402)/12,Calcs!AF1408,0))))</f>
        <v>0</v>
      </c>
      <c r="AA538" s="237">
        <f>IF(OR(Calcs!$J$1402=Calcs!$I1408,Calcs!$I1408&gt;AA$61),0,IF(OR(AA$63="Monthly",AA$63=""),Calcs!AG1408,IF(AND(AA$63="Quarterly",INT((Calcs!$I1408-Calcs!AG$1402)/3)=(Calcs!$I1408-Calcs!AG$1402)/3),Calcs!AG1408,IF(INT((Calcs!$I1408-Calcs!AG$1402)/12)=(Calcs!$I1408-Calcs!AG$1402)/12,Calcs!AG1408,0))))</f>
        <v>0</v>
      </c>
      <c r="AB538" s="237">
        <f>IF(OR(Calcs!$J$1402=Calcs!$I1408,Calcs!$I1408&gt;AB$61),0,IF(OR(AB$63="Monthly",AB$63=""),Calcs!AH1408,IF(AND(AB$63="Quarterly",INT((Calcs!$I1408-Calcs!AH$1402)/3)=(Calcs!$I1408-Calcs!AH$1402)/3),Calcs!AH1408,IF(INT((Calcs!$I1408-Calcs!AH$1402)/12)=(Calcs!$I1408-Calcs!AH$1402)/12,Calcs!AH1408,0))))</f>
        <v>0</v>
      </c>
      <c r="CH538" s="269"/>
      <c r="CI538" s="269"/>
      <c r="CJ538" s="269"/>
      <c r="CK538" s="269"/>
      <c r="CL538" s="269"/>
      <c r="CM538" s="269"/>
      <c r="CN538" s="269"/>
      <c r="CO538" s="269"/>
      <c r="CP538" s="269"/>
      <c r="CQ538" s="269"/>
      <c r="CR538" s="269"/>
      <c r="CS538" s="269"/>
    </row>
    <row r="539" spans="1:97" ht="12" customHeight="1" x14ac:dyDescent="0.3">
      <c r="A539" s="8"/>
      <c r="B539" s="8"/>
      <c r="C539" s="495">
        <f>C476</f>
        <v>121</v>
      </c>
      <c r="D539" s="1758">
        <f>IF(OR(Calcs!$J$1402=Calcs!$I1409,Calcs!$I1409&gt;D$61),0,IF(OR(D$63="Monthly",D$63=""),Calcs!J1409,IF(AND(D$63="Quarterly",INT((Calcs!$I1409-Calcs!J$1402)/3)=(Calcs!$I1409-Calcs!J$1402)/3),Calcs!J1409,IF(INT((Calcs!$I1409-Calcs!J$1402)/12)=(Calcs!$I1409-Calcs!J$1402)/12,Calcs!J1409,0))))</f>
        <v>0</v>
      </c>
      <c r="E539" s="237">
        <f>IF(OR(Calcs!$J$1402=Calcs!$I1409,Calcs!$I1409&gt;E$61),0,IF(OR(E$63="Monthly",E$63=""),Calcs!K1409,IF(AND(E$63="Quarterly",INT((Calcs!$I1409-Calcs!K$1402)/3)=(Calcs!$I1409-Calcs!K$1402)/3),Calcs!K1409,IF(INT((Calcs!$I1409-Calcs!K$1402)/12)=(Calcs!$I1409-Calcs!K$1402)/12,Calcs!K1409,0))))</f>
        <v>0</v>
      </c>
      <c r="F539" s="237">
        <f>IF(OR(Calcs!$J$1402=Calcs!$I1409,Calcs!$I1409&gt;F$61),0,IF(OR(F$63="Monthly",F$63=""),Calcs!L1409,IF(AND(F$63="Quarterly",INT((Calcs!$I1409-Calcs!L$1402)/3)=(Calcs!$I1409-Calcs!L$1402)/3),Calcs!L1409,IF(INT((Calcs!$I1409-Calcs!L$1402)/12)=(Calcs!$I1409-Calcs!L$1402)/12,Calcs!L1409,0))))</f>
        <v>0</v>
      </c>
      <c r="G539" s="237">
        <f>IF(OR(Calcs!$J$1402=Calcs!$I1409,Calcs!$I1409&gt;G$61),0,IF(OR(G$63="Monthly",G$63=""),Calcs!M1409,IF(AND(G$63="Quarterly",INT((Calcs!$I1409-Calcs!M$1402)/3)=(Calcs!$I1409-Calcs!M$1402)/3),Calcs!M1409,IF(INT((Calcs!$I1409-Calcs!M$1402)/12)=(Calcs!$I1409-Calcs!M$1402)/12,Calcs!M1409,0))))</f>
        <v>0</v>
      </c>
      <c r="H539" s="237">
        <f>IF(OR(Calcs!$J$1402=Calcs!$I1409,Calcs!$I1409&gt;H$61),0,IF(OR(H$63="Monthly",H$63=""),Calcs!N1409,IF(AND(H$63="Quarterly",INT((Calcs!$I1409-Calcs!N$1402)/3)=(Calcs!$I1409-Calcs!N$1402)/3),Calcs!N1409,IF(INT((Calcs!$I1409-Calcs!N$1402)/12)=(Calcs!$I1409-Calcs!N$1402)/12,Calcs!N1409,0))))</f>
        <v>0</v>
      </c>
      <c r="I539" s="237">
        <f>IF(OR(Calcs!$J$1402=Calcs!$I1409,Calcs!$I1409&gt;I$61),0,IF(OR(I$63="Monthly",I$63=""),Calcs!O1409,IF(AND(I$63="Quarterly",INT((Calcs!$I1409-Calcs!O$1402)/3)=(Calcs!$I1409-Calcs!O$1402)/3),Calcs!O1409,IF(INT((Calcs!$I1409-Calcs!O$1402)/12)=(Calcs!$I1409-Calcs!O$1402)/12,Calcs!O1409,0))))</f>
        <v>0</v>
      </c>
      <c r="J539" s="237">
        <f>IF(OR(Calcs!$J$1402=Calcs!$I1409,Calcs!$I1409&gt;J$61),0,IF(OR(J$63="Monthly",J$63=""),Calcs!P1409,IF(AND(J$63="Quarterly",INT((Calcs!$I1409-Calcs!P$1402)/3)=(Calcs!$I1409-Calcs!P$1402)/3),Calcs!P1409,IF(INT((Calcs!$I1409-Calcs!P$1402)/12)=(Calcs!$I1409-Calcs!P$1402)/12,Calcs!P1409,0))))</f>
        <v>0</v>
      </c>
      <c r="K539" s="237">
        <f>IF(OR(Calcs!$J$1402=Calcs!$I1409,Calcs!$I1409&gt;K$61),0,IF(OR(K$63="Monthly",K$63=""),Calcs!Q1409,IF(AND(K$63="Quarterly",INT((Calcs!$I1409-Calcs!Q$1402)/3)=(Calcs!$I1409-Calcs!Q$1402)/3),Calcs!Q1409,IF(INT((Calcs!$I1409-Calcs!Q$1402)/12)=(Calcs!$I1409-Calcs!Q$1402)/12,Calcs!Q1409,0))))</f>
        <v>0</v>
      </c>
      <c r="L539" s="237">
        <f>IF(OR(Calcs!$J$1402=Calcs!$I1409,Calcs!$I1409&gt;L$61),0,IF(OR(L$63="Monthly",L$63=""),Calcs!R1409,IF(AND(L$63="Quarterly",INT((Calcs!$I1409-Calcs!R$1402)/3)=(Calcs!$I1409-Calcs!R$1402)/3),Calcs!R1409,IF(INT((Calcs!$I1409-Calcs!R$1402)/12)=(Calcs!$I1409-Calcs!R$1402)/12,Calcs!R1409,0))))</f>
        <v>0</v>
      </c>
      <c r="M539" s="237">
        <f>IF(OR(Calcs!$J$1402=Calcs!$I1409,Calcs!$I1409&gt;M$61),0,IF(OR(M$63="Monthly",M$63=""),Calcs!S1409,IF(AND(M$63="Quarterly",INT((Calcs!$I1409-Calcs!S$1402)/3)=(Calcs!$I1409-Calcs!S$1402)/3),Calcs!S1409,IF(INT((Calcs!$I1409-Calcs!S$1402)/12)=(Calcs!$I1409-Calcs!S$1402)/12,Calcs!S1409,0))))</f>
        <v>0</v>
      </c>
      <c r="N539" s="237">
        <f>IF(OR(Calcs!$J$1402=Calcs!$I1409,Calcs!$I1409&gt;N$61),0,IF(OR(N$63="Monthly",N$63=""),Calcs!T1409,IF(AND(N$63="Quarterly",INT((Calcs!$I1409-Calcs!T$1402)/3)=(Calcs!$I1409-Calcs!T$1402)/3),Calcs!T1409,IF(INT((Calcs!$I1409-Calcs!T$1402)/12)=(Calcs!$I1409-Calcs!T$1402)/12,Calcs!T1409,0))))</f>
        <v>0</v>
      </c>
      <c r="O539" s="237">
        <f>IF(OR(Calcs!$J$1402=Calcs!$I1409,Calcs!$I1409&gt;O$61),0,IF(OR(O$63="Monthly",O$63=""),Calcs!U1409,IF(AND(O$63="Quarterly",INT((Calcs!$I1409-Calcs!U$1402)/3)=(Calcs!$I1409-Calcs!U$1402)/3),Calcs!U1409,IF(INT((Calcs!$I1409-Calcs!U$1402)/12)=(Calcs!$I1409-Calcs!U$1402)/12,Calcs!U1409,0))))</f>
        <v>0</v>
      </c>
      <c r="P539" s="237">
        <f>IF(OR(Calcs!$J$1402=Calcs!$I1409,Calcs!$I1409&gt;P$61),0,IF(OR(P$63="Monthly",P$63=""),Calcs!V1409,IF(AND(P$63="Quarterly",INT((Calcs!$I1409-Calcs!V$1402)/3)=(Calcs!$I1409-Calcs!V$1402)/3),Calcs!V1409,IF(INT((Calcs!$I1409-Calcs!V$1402)/12)=(Calcs!$I1409-Calcs!V$1402)/12,Calcs!V1409,0))))</f>
        <v>0</v>
      </c>
      <c r="Q539" s="237">
        <f>IF(OR(Calcs!$J$1402=Calcs!$I1409,Calcs!$I1409&gt;Q$61),0,IF(OR(Q$63="Monthly",Q$63=""),Calcs!W1409,IF(AND(Q$63="Quarterly",INT((Calcs!$I1409-Calcs!W$1402)/3)=(Calcs!$I1409-Calcs!W$1402)/3),Calcs!W1409,IF(INT((Calcs!$I1409-Calcs!W$1402)/12)=(Calcs!$I1409-Calcs!W$1402)/12,Calcs!W1409,0))))</f>
        <v>0</v>
      </c>
      <c r="R539" s="237">
        <f>IF(OR(Calcs!$J$1402=Calcs!$I1409,Calcs!$I1409&gt;R$61),0,IF(OR(R$63="Monthly",R$63=""),Calcs!X1409,IF(AND(R$63="Quarterly",INT((Calcs!$I1409-Calcs!X$1402)/3)=(Calcs!$I1409-Calcs!X$1402)/3),Calcs!X1409,IF(INT((Calcs!$I1409-Calcs!X$1402)/12)=(Calcs!$I1409-Calcs!X$1402)/12,Calcs!X1409,0))))</f>
        <v>0</v>
      </c>
      <c r="S539" s="237">
        <f>IF(OR(Calcs!$J$1402=Calcs!$I1409,Calcs!$I1409&gt;S$61),0,IF(OR(S$63="Monthly",S$63=""),Calcs!Y1409,IF(AND(S$63="Quarterly",INT((Calcs!$I1409-Calcs!Y$1402)/3)=(Calcs!$I1409-Calcs!Y$1402)/3),Calcs!Y1409,IF(INT((Calcs!$I1409-Calcs!Y$1402)/12)=(Calcs!$I1409-Calcs!Y$1402)/12,Calcs!Y1409,0))))</f>
        <v>0</v>
      </c>
      <c r="T539" s="237">
        <f>IF(OR(Calcs!$J$1402=Calcs!$I1409,Calcs!$I1409&gt;T$61),0,IF(OR(T$63="Monthly",T$63=""),Calcs!Z1409,IF(AND(T$63="Quarterly",INT((Calcs!$I1409-Calcs!Z$1402)/3)=(Calcs!$I1409-Calcs!Z$1402)/3),Calcs!Z1409,IF(INT((Calcs!$I1409-Calcs!Z$1402)/12)=(Calcs!$I1409-Calcs!Z$1402)/12,Calcs!Z1409,0))))</f>
        <v>0</v>
      </c>
      <c r="U539" s="237">
        <f>IF(OR(Calcs!$J$1402=Calcs!$I1409,Calcs!$I1409&gt;U$61),0,IF(OR(U$63="Monthly",U$63=""),Calcs!AA1409,IF(AND(U$63="Quarterly",INT((Calcs!$I1409-Calcs!AA$1402)/3)=(Calcs!$I1409-Calcs!AA$1402)/3),Calcs!AA1409,IF(INT((Calcs!$I1409-Calcs!AA$1402)/12)=(Calcs!$I1409-Calcs!AA$1402)/12,Calcs!AA1409,0))))</f>
        <v>0</v>
      </c>
      <c r="V539" s="237">
        <f>IF(OR(Calcs!$J$1402=Calcs!$I1409,Calcs!$I1409&gt;V$61),0,IF(OR(V$63="Monthly",V$63=""),Calcs!AB1409,IF(AND(V$63="Quarterly",INT((Calcs!$I1409-Calcs!AB$1402)/3)=(Calcs!$I1409-Calcs!AB$1402)/3),Calcs!AB1409,IF(INT((Calcs!$I1409-Calcs!AB$1402)/12)=(Calcs!$I1409-Calcs!AB$1402)/12,Calcs!AB1409,0))))</f>
        <v>0</v>
      </c>
      <c r="W539" s="237">
        <f>IF(OR(Calcs!$J$1402=Calcs!$I1409,Calcs!$I1409&gt;W$61),0,IF(OR(W$63="Monthly",W$63=""),Calcs!AC1409,IF(AND(W$63="Quarterly",INT((Calcs!$I1409-Calcs!AC$1402)/3)=(Calcs!$I1409-Calcs!AC$1402)/3),Calcs!AC1409,IF(INT((Calcs!$I1409-Calcs!AC$1402)/12)=(Calcs!$I1409-Calcs!AC$1402)/12,Calcs!AC1409,0))))</f>
        <v>0</v>
      </c>
      <c r="X539" s="237">
        <f>IF(OR(Calcs!$J$1402=Calcs!$I1409,Calcs!$I1409&gt;X$61),0,IF(OR(X$63="Monthly",X$63=""),Calcs!AD1409,IF(AND(X$63="Quarterly",INT((Calcs!$I1409-Calcs!AD$1402)/3)=(Calcs!$I1409-Calcs!AD$1402)/3),Calcs!AD1409,IF(INT((Calcs!$I1409-Calcs!AD$1402)/12)=(Calcs!$I1409-Calcs!AD$1402)/12,Calcs!AD1409,0))))</f>
        <v>0</v>
      </c>
      <c r="Y539" s="237">
        <f>IF(OR(Calcs!$J$1402=Calcs!$I1409,Calcs!$I1409&gt;Y$61),0,IF(OR(Y$63="Monthly",Y$63=""),Calcs!AE1409,IF(AND(Y$63="Quarterly",INT((Calcs!$I1409-Calcs!AE$1402)/3)=(Calcs!$I1409-Calcs!AE$1402)/3),Calcs!AE1409,IF(INT((Calcs!$I1409-Calcs!AE$1402)/12)=(Calcs!$I1409-Calcs!AE$1402)/12,Calcs!AE1409,0))))</f>
        <v>0</v>
      </c>
      <c r="Z539" s="237">
        <f>IF(OR(Calcs!$J$1402=Calcs!$I1409,Calcs!$I1409&gt;Z$61),0,IF(OR(Z$63="Monthly",Z$63=""),Calcs!AF1409,IF(AND(Z$63="Quarterly",INT((Calcs!$I1409-Calcs!AF$1402)/3)=(Calcs!$I1409-Calcs!AF$1402)/3),Calcs!AF1409,IF(INT((Calcs!$I1409-Calcs!AF$1402)/12)=(Calcs!$I1409-Calcs!AF$1402)/12,Calcs!AF1409,0))))</f>
        <v>0</v>
      </c>
      <c r="AA539" s="237">
        <f>IF(OR(Calcs!$J$1402=Calcs!$I1409,Calcs!$I1409&gt;AA$61),0,IF(OR(AA$63="Monthly",AA$63=""),Calcs!AG1409,IF(AND(AA$63="Quarterly",INT((Calcs!$I1409-Calcs!AG$1402)/3)=(Calcs!$I1409-Calcs!AG$1402)/3),Calcs!AG1409,IF(INT((Calcs!$I1409-Calcs!AG$1402)/12)=(Calcs!$I1409-Calcs!AG$1402)/12,Calcs!AG1409,0))))</f>
        <v>0</v>
      </c>
      <c r="AB539" s="237">
        <f>IF(OR(Calcs!$J$1402=Calcs!$I1409,Calcs!$I1409&gt;AB$61),0,IF(OR(AB$63="Monthly",AB$63=""),Calcs!AH1409,IF(AND(AB$63="Quarterly",INT((Calcs!$I1409-Calcs!AH$1402)/3)=(Calcs!$I1409-Calcs!AH$1402)/3),Calcs!AH1409,IF(INT((Calcs!$I1409-Calcs!AH$1402)/12)=(Calcs!$I1409-Calcs!AH$1402)/12,Calcs!AH1409,0))))</f>
        <v>0</v>
      </c>
      <c r="CH539" s="269"/>
      <c r="CI539" s="269"/>
      <c r="CJ539" s="269"/>
      <c r="CK539" s="269"/>
      <c r="CL539" s="269"/>
      <c r="CM539" s="269"/>
      <c r="CN539" s="269"/>
      <c r="CO539" s="269"/>
      <c r="CP539" s="269"/>
      <c r="CQ539" s="269"/>
      <c r="CR539" s="269"/>
      <c r="CS539" s="269"/>
    </row>
    <row r="540" spans="1:97" ht="12" customHeight="1" x14ac:dyDescent="0.3">
      <c r="A540" s="8"/>
      <c r="B540" s="8"/>
      <c r="C540" s="495">
        <f>C477</f>
        <v>152</v>
      </c>
      <c r="D540" s="1758">
        <f>IF(OR(Calcs!$J$1402=Calcs!$I1410,Calcs!$I1410&gt;D$61),0,IF(OR(D$63="Monthly",D$63=""),Calcs!J1410,IF(AND(D$63="Quarterly",INT((Calcs!$I1410-Calcs!J$1402)/3)=(Calcs!$I1410-Calcs!J$1402)/3),Calcs!J1410,IF(INT((Calcs!$I1410-Calcs!J$1402)/12)=(Calcs!$I1410-Calcs!J$1402)/12,Calcs!J1410,0))))</f>
        <v>0</v>
      </c>
      <c r="E540" s="237">
        <f>IF(OR(Calcs!$J$1402=Calcs!$I1410,Calcs!$I1410&gt;E$61),0,IF(OR(E$63="Monthly",E$63=""),Calcs!K1410,IF(AND(E$63="Quarterly",INT((Calcs!$I1410-Calcs!K$1402)/3)=(Calcs!$I1410-Calcs!K$1402)/3),Calcs!K1410,IF(INT((Calcs!$I1410-Calcs!K$1402)/12)=(Calcs!$I1410-Calcs!K$1402)/12,Calcs!K1410,0))))</f>
        <v>0</v>
      </c>
      <c r="F540" s="237">
        <f>IF(OR(Calcs!$J$1402=Calcs!$I1410,Calcs!$I1410&gt;F$61),0,IF(OR(F$63="Monthly",F$63=""),Calcs!L1410,IF(AND(F$63="Quarterly",INT((Calcs!$I1410-Calcs!L$1402)/3)=(Calcs!$I1410-Calcs!L$1402)/3),Calcs!L1410,IF(INT((Calcs!$I1410-Calcs!L$1402)/12)=(Calcs!$I1410-Calcs!L$1402)/12,Calcs!L1410,0))))</f>
        <v>0</v>
      </c>
      <c r="G540" s="237">
        <f>IF(OR(Calcs!$J$1402=Calcs!$I1410,Calcs!$I1410&gt;G$61),0,IF(OR(G$63="Monthly",G$63=""),Calcs!M1410,IF(AND(G$63="Quarterly",INT((Calcs!$I1410-Calcs!M$1402)/3)=(Calcs!$I1410-Calcs!M$1402)/3),Calcs!M1410,IF(INT((Calcs!$I1410-Calcs!M$1402)/12)=(Calcs!$I1410-Calcs!M$1402)/12,Calcs!M1410,0))))</f>
        <v>0</v>
      </c>
      <c r="H540" s="237">
        <f>IF(OR(Calcs!$J$1402=Calcs!$I1410,Calcs!$I1410&gt;H$61),0,IF(OR(H$63="Monthly",H$63=""),Calcs!N1410,IF(AND(H$63="Quarterly",INT((Calcs!$I1410-Calcs!N$1402)/3)=(Calcs!$I1410-Calcs!N$1402)/3),Calcs!N1410,IF(INT((Calcs!$I1410-Calcs!N$1402)/12)=(Calcs!$I1410-Calcs!N$1402)/12,Calcs!N1410,0))))</f>
        <v>0</v>
      </c>
      <c r="I540" s="237">
        <f>IF(OR(Calcs!$J$1402=Calcs!$I1410,Calcs!$I1410&gt;I$61),0,IF(OR(I$63="Monthly",I$63=""),Calcs!O1410,IF(AND(I$63="Quarterly",INT((Calcs!$I1410-Calcs!O$1402)/3)=(Calcs!$I1410-Calcs!O$1402)/3),Calcs!O1410,IF(INT((Calcs!$I1410-Calcs!O$1402)/12)=(Calcs!$I1410-Calcs!O$1402)/12,Calcs!O1410,0))))</f>
        <v>0</v>
      </c>
      <c r="J540" s="237">
        <f>IF(OR(Calcs!$J$1402=Calcs!$I1410,Calcs!$I1410&gt;J$61),0,IF(OR(J$63="Monthly",J$63=""),Calcs!P1410,IF(AND(J$63="Quarterly",INT((Calcs!$I1410-Calcs!P$1402)/3)=(Calcs!$I1410-Calcs!P$1402)/3),Calcs!P1410,IF(INT((Calcs!$I1410-Calcs!P$1402)/12)=(Calcs!$I1410-Calcs!P$1402)/12,Calcs!P1410,0))))</f>
        <v>0</v>
      </c>
      <c r="K540" s="237">
        <f>IF(OR(Calcs!$J$1402=Calcs!$I1410,Calcs!$I1410&gt;K$61),0,IF(OR(K$63="Monthly",K$63=""),Calcs!Q1410,IF(AND(K$63="Quarterly",INT((Calcs!$I1410-Calcs!Q$1402)/3)=(Calcs!$I1410-Calcs!Q$1402)/3),Calcs!Q1410,IF(INT((Calcs!$I1410-Calcs!Q$1402)/12)=(Calcs!$I1410-Calcs!Q$1402)/12,Calcs!Q1410,0))))</f>
        <v>0</v>
      </c>
      <c r="L540" s="237">
        <f>IF(OR(Calcs!$J$1402=Calcs!$I1410,Calcs!$I1410&gt;L$61),0,IF(OR(L$63="Monthly",L$63=""),Calcs!R1410,IF(AND(L$63="Quarterly",INT((Calcs!$I1410-Calcs!R$1402)/3)=(Calcs!$I1410-Calcs!R$1402)/3),Calcs!R1410,IF(INT((Calcs!$I1410-Calcs!R$1402)/12)=(Calcs!$I1410-Calcs!R$1402)/12,Calcs!R1410,0))))</f>
        <v>0</v>
      </c>
      <c r="M540" s="237">
        <f>IF(OR(Calcs!$J$1402=Calcs!$I1410,Calcs!$I1410&gt;M$61),0,IF(OR(M$63="Monthly",M$63=""),Calcs!S1410,IF(AND(M$63="Quarterly",INT((Calcs!$I1410-Calcs!S$1402)/3)=(Calcs!$I1410-Calcs!S$1402)/3),Calcs!S1410,IF(INT((Calcs!$I1410-Calcs!S$1402)/12)=(Calcs!$I1410-Calcs!S$1402)/12,Calcs!S1410,0))))</f>
        <v>0</v>
      </c>
      <c r="N540" s="237">
        <f>IF(OR(Calcs!$J$1402=Calcs!$I1410,Calcs!$I1410&gt;N$61),0,IF(OR(N$63="Monthly",N$63=""),Calcs!T1410,IF(AND(N$63="Quarterly",INT((Calcs!$I1410-Calcs!T$1402)/3)=(Calcs!$I1410-Calcs!T$1402)/3),Calcs!T1410,IF(INT((Calcs!$I1410-Calcs!T$1402)/12)=(Calcs!$I1410-Calcs!T$1402)/12,Calcs!T1410,0))))</f>
        <v>0</v>
      </c>
      <c r="O540" s="237">
        <f>IF(OR(Calcs!$J$1402=Calcs!$I1410,Calcs!$I1410&gt;O$61),0,IF(OR(O$63="Monthly",O$63=""),Calcs!U1410,IF(AND(O$63="Quarterly",INT((Calcs!$I1410-Calcs!U$1402)/3)=(Calcs!$I1410-Calcs!U$1402)/3),Calcs!U1410,IF(INT((Calcs!$I1410-Calcs!U$1402)/12)=(Calcs!$I1410-Calcs!U$1402)/12,Calcs!U1410,0))))</f>
        <v>0</v>
      </c>
      <c r="P540" s="237">
        <f>IF(OR(Calcs!$J$1402=Calcs!$I1410,Calcs!$I1410&gt;P$61),0,IF(OR(P$63="Monthly",P$63=""),Calcs!V1410,IF(AND(P$63="Quarterly",INT((Calcs!$I1410-Calcs!V$1402)/3)=(Calcs!$I1410-Calcs!V$1402)/3),Calcs!V1410,IF(INT((Calcs!$I1410-Calcs!V$1402)/12)=(Calcs!$I1410-Calcs!V$1402)/12,Calcs!V1410,0))))</f>
        <v>0</v>
      </c>
      <c r="Q540" s="237">
        <f>IF(OR(Calcs!$J$1402=Calcs!$I1410,Calcs!$I1410&gt;Q$61),0,IF(OR(Q$63="Monthly",Q$63=""),Calcs!W1410,IF(AND(Q$63="Quarterly",INT((Calcs!$I1410-Calcs!W$1402)/3)=(Calcs!$I1410-Calcs!W$1402)/3),Calcs!W1410,IF(INT((Calcs!$I1410-Calcs!W$1402)/12)=(Calcs!$I1410-Calcs!W$1402)/12,Calcs!W1410,0))))</f>
        <v>0</v>
      </c>
      <c r="R540" s="237">
        <f>IF(OR(Calcs!$J$1402=Calcs!$I1410,Calcs!$I1410&gt;R$61),0,IF(OR(R$63="Monthly",R$63=""),Calcs!X1410,IF(AND(R$63="Quarterly",INT((Calcs!$I1410-Calcs!X$1402)/3)=(Calcs!$I1410-Calcs!X$1402)/3),Calcs!X1410,IF(INT((Calcs!$I1410-Calcs!X$1402)/12)=(Calcs!$I1410-Calcs!X$1402)/12,Calcs!X1410,0))))</f>
        <v>0</v>
      </c>
      <c r="S540" s="237">
        <f>IF(OR(Calcs!$J$1402=Calcs!$I1410,Calcs!$I1410&gt;S$61),0,IF(OR(S$63="Monthly",S$63=""),Calcs!Y1410,IF(AND(S$63="Quarterly",INT((Calcs!$I1410-Calcs!Y$1402)/3)=(Calcs!$I1410-Calcs!Y$1402)/3),Calcs!Y1410,IF(INT((Calcs!$I1410-Calcs!Y$1402)/12)=(Calcs!$I1410-Calcs!Y$1402)/12,Calcs!Y1410,0))))</f>
        <v>0</v>
      </c>
      <c r="T540" s="237">
        <f>IF(OR(Calcs!$J$1402=Calcs!$I1410,Calcs!$I1410&gt;T$61),0,IF(OR(T$63="Monthly",T$63=""),Calcs!Z1410,IF(AND(T$63="Quarterly",INT((Calcs!$I1410-Calcs!Z$1402)/3)=(Calcs!$I1410-Calcs!Z$1402)/3),Calcs!Z1410,IF(INT((Calcs!$I1410-Calcs!Z$1402)/12)=(Calcs!$I1410-Calcs!Z$1402)/12,Calcs!Z1410,0))))</f>
        <v>0</v>
      </c>
      <c r="U540" s="237">
        <f>IF(OR(Calcs!$J$1402=Calcs!$I1410,Calcs!$I1410&gt;U$61),0,IF(OR(U$63="Monthly",U$63=""),Calcs!AA1410,IF(AND(U$63="Quarterly",INT((Calcs!$I1410-Calcs!AA$1402)/3)=(Calcs!$I1410-Calcs!AA$1402)/3),Calcs!AA1410,IF(INT((Calcs!$I1410-Calcs!AA$1402)/12)=(Calcs!$I1410-Calcs!AA$1402)/12,Calcs!AA1410,0))))</f>
        <v>0</v>
      </c>
      <c r="V540" s="237">
        <f>IF(OR(Calcs!$J$1402=Calcs!$I1410,Calcs!$I1410&gt;V$61),0,IF(OR(V$63="Monthly",V$63=""),Calcs!AB1410,IF(AND(V$63="Quarterly",INT((Calcs!$I1410-Calcs!AB$1402)/3)=(Calcs!$I1410-Calcs!AB$1402)/3),Calcs!AB1410,IF(INT((Calcs!$I1410-Calcs!AB$1402)/12)=(Calcs!$I1410-Calcs!AB$1402)/12,Calcs!AB1410,0))))</f>
        <v>0</v>
      </c>
      <c r="W540" s="237">
        <f>IF(OR(Calcs!$J$1402=Calcs!$I1410,Calcs!$I1410&gt;W$61),0,IF(OR(W$63="Monthly",W$63=""),Calcs!AC1410,IF(AND(W$63="Quarterly",INT((Calcs!$I1410-Calcs!AC$1402)/3)=(Calcs!$I1410-Calcs!AC$1402)/3),Calcs!AC1410,IF(INT((Calcs!$I1410-Calcs!AC$1402)/12)=(Calcs!$I1410-Calcs!AC$1402)/12,Calcs!AC1410,0))))</f>
        <v>0</v>
      </c>
      <c r="X540" s="237">
        <f>IF(OR(Calcs!$J$1402=Calcs!$I1410,Calcs!$I1410&gt;X$61),0,IF(OR(X$63="Monthly",X$63=""),Calcs!AD1410,IF(AND(X$63="Quarterly",INT((Calcs!$I1410-Calcs!AD$1402)/3)=(Calcs!$I1410-Calcs!AD$1402)/3),Calcs!AD1410,IF(INT((Calcs!$I1410-Calcs!AD$1402)/12)=(Calcs!$I1410-Calcs!AD$1402)/12,Calcs!AD1410,0))))</f>
        <v>0</v>
      </c>
      <c r="Y540" s="237">
        <f>IF(OR(Calcs!$J$1402=Calcs!$I1410,Calcs!$I1410&gt;Y$61),0,IF(OR(Y$63="Monthly",Y$63=""),Calcs!AE1410,IF(AND(Y$63="Quarterly",INT((Calcs!$I1410-Calcs!AE$1402)/3)=(Calcs!$I1410-Calcs!AE$1402)/3),Calcs!AE1410,IF(INT((Calcs!$I1410-Calcs!AE$1402)/12)=(Calcs!$I1410-Calcs!AE$1402)/12,Calcs!AE1410,0))))</f>
        <v>0</v>
      </c>
      <c r="Z540" s="237">
        <f>IF(OR(Calcs!$J$1402=Calcs!$I1410,Calcs!$I1410&gt;Z$61),0,IF(OR(Z$63="Monthly",Z$63=""),Calcs!AF1410,IF(AND(Z$63="Quarterly",INT((Calcs!$I1410-Calcs!AF$1402)/3)=(Calcs!$I1410-Calcs!AF$1402)/3),Calcs!AF1410,IF(INT((Calcs!$I1410-Calcs!AF$1402)/12)=(Calcs!$I1410-Calcs!AF$1402)/12,Calcs!AF1410,0))))</f>
        <v>0</v>
      </c>
      <c r="AA540" s="237">
        <f>IF(OR(Calcs!$J$1402=Calcs!$I1410,Calcs!$I1410&gt;AA$61),0,IF(OR(AA$63="Monthly",AA$63=""),Calcs!AG1410,IF(AND(AA$63="Quarterly",INT((Calcs!$I1410-Calcs!AG$1402)/3)=(Calcs!$I1410-Calcs!AG$1402)/3),Calcs!AG1410,IF(INT((Calcs!$I1410-Calcs!AG$1402)/12)=(Calcs!$I1410-Calcs!AG$1402)/12,Calcs!AG1410,0))))</f>
        <v>0</v>
      </c>
      <c r="AB540" s="237">
        <f>IF(OR(Calcs!$J$1402=Calcs!$I1410,Calcs!$I1410&gt;AB$61),0,IF(OR(AB$63="Monthly",AB$63=""),Calcs!AH1410,IF(AND(AB$63="Quarterly",INT((Calcs!$I1410-Calcs!AH$1402)/3)=(Calcs!$I1410-Calcs!AH$1402)/3),Calcs!AH1410,IF(INT((Calcs!$I1410-Calcs!AH$1402)/12)=(Calcs!$I1410-Calcs!AH$1402)/12,Calcs!AH1410,0))))</f>
        <v>0</v>
      </c>
      <c r="CH540" s="269"/>
      <c r="CI540" s="269"/>
      <c r="CJ540" s="269"/>
      <c r="CK540" s="269"/>
      <c r="CL540" s="269"/>
      <c r="CM540" s="269"/>
      <c r="CN540" s="269"/>
      <c r="CO540" s="269"/>
      <c r="CP540" s="269"/>
      <c r="CQ540" s="269"/>
      <c r="CR540" s="269"/>
      <c r="CS540" s="269"/>
    </row>
    <row r="541" spans="1:97" ht="12" customHeight="1" x14ac:dyDescent="0.3">
      <c r="A541" s="8"/>
      <c r="B541" s="8"/>
      <c r="C541" s="495">
        <f>C478</f>
        <v>182</v>
      </c>
      <c r="D541" s="1758">
        <f>IF(OR(Calcs!$J$1402=Calcs!$I1411,Calcs!$I1411&gt;D$61),0,IF(OR(D$63="Monthly",D$63=""),Calcs!J1411,IF(AND(D$63="Quarterly",INT((Calcs!$I1411-Calcs!J$1402)/3)=(Calcs!$I1411-Calcs!J$1402)/3),Calcs!J1411,IF(INT((Calcs!$I1411-Calcs!J$1402)/12)=(Calcs!$I1411-Calcs!J$1402)/12,Calcs!J1411,0))))</f>
        <v>0</v>
      </c>
      <c r="E541" s="237">
        <f>IF(OR(Calcs!$J$1402=Calcs!$I1411,Calcs!$I1411&gt;E$61),0,IF(OR(E$63="Monthly",E$63=""),Calcs!K1411,IF(AND(E$63="Quarterly",INT((Calcs!$I1411-Calcs!K$1402)/3)=(Calcs!$I1411-Calcs!K$1402)/3),Calcs!K1411,IF(INT((Calcs!$I1411-Calcs!K$1402)/12)=(Calcs!$I1411-Calcs!K$1402)/12,Calcs!K1411,0))))</f>
        <v>0</v>
      </c>
      <c r="F541" s="237">
        <f>IF(OR(Calcs!$J$1402=Calcs!$I1411,Calcs!$I1411&gt;F$61),0,IF(OR(F$63="Monthly",F$63=""),Calcs!L1411,IF(AND(F$63="Quarterly",INT((Calcs!$I1411-Calcs!L$1402)/3)=(Calcs!$I1411-Calcs!L$1402)/3),Calcs!L1411,IF(INT((Calcs!$I1411-Calcs!L$1402)/12)=(Calcs!$I1411-Calcs!L$1402)/12,Calcs!L1411,0))))</f>
        <v>0</v>
      </c>
      <c r="G541" s="237">
        <f>IF(OR(Calcs!$J$1402=Calcs!$I1411,Calcs!$I1411&gt;G$61),0,IF(OR(G$63="Monthly",G$63=""),Calcs!M1411,IF(AND(G$63="Quarterly",INT((Calcs!$I1411-Calcs!M$1402)/3)=(Calcs!$I1411-Calcs!M$1402)/3),Calcs!M1411,IF(INT((Calcs!$I1411-Calcs!M$1402)/12)=(Calcs!$I1411-Calcs!M$1402)/12,Calcs!M1411,0))))</f>
        <v>0</v>
      </c>
      <c r="H541" s="237">
        <f>IF(OR(Calcs!$J$1402=Calcs!$I1411,Calcs!$I1411&gt;H$61),0,IF(OR(H$63="Monthly",H$63=""),Calcs!N1411,IF(AND(H$63="Quarterly",INT((Calcs!$I1411-Calcs!N$1402)/3)=(Calcs!$I1411-Calcs!N$1402)/3),Calcs!N1411,IF(INT((Calcs!$I1411-Calcs!N$1402)/12)=(Calcs!$I1411-Calcs!N$1402)/12,Calcs!N1411,0))))</f>
        <v>0</v>
      </c>
      <c r="I541" s="237">
        <f>IF(OR(Calcs!$J$1402=Calcs!$I1411,Calcs!$I1411&gt;I$61),0,IF(OR(I$63="Monthly",I$63=""),Calcs!O1411,IF(AND(I$63="Quarterly",INT((Calcs!$I1411-Calcs!O$1402)/3)=(Calcs!$I1411-Calcs!O$1402)/3),Calcs!O1411,IF(INT((Calcs!$I1411-Calcs!O$1402)/12)=(Calcs!$I1411-Calcs!O$1402)/12,Calcs!O1411,0))))</f>
        <v>0</v>
      </c>
      <c r="J541" s="237">
        <f>IF(OR(Calcs!$J$1402=Calcs!$I1411,Calcs!$I1411&gt;J$61),0,IF(OR(J$63="Monthly",J$63=""),Calcs!P1411,IF(AND(J$63="Quarterly",INT((Calcs!$I1411-Calcs!P$1402)/3)=(Calcs!$I1411-Calcs!P$1402)/3),Calcs!P1411,IF(INT((Calcs!$I1411-Calcs!P$1402)/12)=(Calcs!$I1411-Calcs!P$1402)/12,Calcs!P1411,0))))</f>
        <v>0</v>
      </c>
      <c r="K541" s="237">
        <f>IF(OR(Calcs!$J$1402=Calcs!$I1411,Calcs!$I1411&gt;K$61),0,IF(OR(K$63="Monthly",K$63=""),Calcs!Q1411,IF(AND(K$63="Quarterly",INT((Calcs!$I1411-Calcs!Q$1402)/3)=(Calcs!$I1411-Calcs!Q$1402)/3),Calcs!Q1411,IF(INT((Calcs!$I1411-Calcs!Q$1402)/12)=(Calcs!$I1411-Calcs!Q$1402)/12,Calcs!Q1411,0))))</f>
        <v>0</v>
      </c>
      <c r="L541" s="237">
        <f>IF(OR(Calcs!$J$1402=Calcs!$I1411,Calcs!$I1411&gt;L$61),0,IF(OR(L$63="Monthly",L$63=""),Calcs!R1411,IF(AND(L$63="Quarterly",INT((Calcs!$I1411-Calcs!R$1402)/3)=(Calcs!$I1411-Calcs!R$1402)/3),Calcs!R1411,IF(INT((Calcs!$I1411-Calcs!R$1402)/12)=(Calcs!$I1411-Calcs!R$1402)/12,Calcs!R1411,0))))</f>
        <v>0</v>
      </c>
      <c r="M541" s="237">
        <f>IF(OR(Calcs!$J$1402=Calcs!$I1411,Calcs!$I1411&gt;M$61),0,IF(OR(M$63="Monthly",M$63=""),Calcs!S1411,IF(AND(M$63="Quarterly",INT((Calcs!$I1411-Calcs!S$1402)/3)=(Calcs!$I1411-Calcs!S$1402)/3),Calcs!S1411,IF(INT((Calcs!$I1411-Calcs!S$1402)/12)=(Calcs!$I1411-Calcs!S$1402)/12,Calcs!S1411,0))))</f>
        <v>0</v>
      </c>
      <c r="N541" s="237">
        <f>IF(OR(Calcs!$J$1402=Calcs!$I1411,Calcs!$I1411&gt;N$61),0,IF(OR(N$63="Monthly",N$63=""),Calcs!T1411,IF(AND(N$63="Quarterly",INT((Calcs!$I1411-Calcs!T$1402)/3)=(Calcs!$I1411-Calcs!T$1402)/3),Calcs!T1411,IF(INT((Calcs!$I1411-Calcs!T$1402)/12)=(Calcs!$I1411-Calcs!T$1402)/12,Calcs!T1411,0))))</f>
        <v>0</v>
      </c>
      <c r="O541" s="237">
        <f>IF(OR(Calcs!$J$1402=Calcs!$I1411,Calcs!$I1411&gt;O$61),0,IF(OR(O$63="Monthly",O$63=""),Calcs!U1411,IF(AND(O$63="Quarterly",INT((Calcs!$I1411-Calcs!U$1402)/3)=(Calcs!$I1411-Calcs!U$1402)/3),Calcs!U1411,IF(INT((Calcs!$I1411-Calcs!U$1402)/12)=(Calcs!$I1411-Calcs!U$1402)/12,Calcs!U1411,0))))</f>
        <v>0</v>
      </c>
      <c r="P541" s="237">
        <f>IF(OR(Calcs!$J$1402=Calcs!$I1411,Calcs!$I1411&gt;P$61),0,IF(OR(P$63="Monthly",P$63=""),Calcs!V1411,IF(AND(P$63="Quarterly",INT((Calcs!$I1411-Calcs!V$1402)/3)=(Calcs!$I1411-Calcs!V$1402)/3),Calcs!V1411,IF(INT((Calcs!$I1411-Calcs!V$1402)/12)=(Calcs!$I1411-Calcs!V$1402)/12,Calcs!V1411,0))))</f>
        <v>0</v>
      </c>
      <c r="Q541" s="237">
        <f>IF(OR(Calcs!$J$1402=Calcs!$I1411,Calcs!$I1411&gt;Q$61),0,IF(OR(Q$63="Monthly",Q$63=""),Calcs!W1411,IF(AND(Q$63="Quarterly",INT((Calcs!$I1411-Calcs!W$1402)/3)=(Calcs!$I1411-Calcs!W$1402)/3),Calcs!W1411,IF(INT((Calcs!$I1411-Calcs!W$1402)/12)=(Calcs!$I1411-Calcs!W$1402)/12,Calcs!W1411,0))))</f>
        <v>0</v>
      </c>
      <c r="R541" s="237">
        <f>IF(OR(Calcs!$J$1402=Calcs!$I1411,Calcs!$I1411&gt;R$61),0,IF(OR(R$63="Monthly",R$63=""),Calcs!X1411,IF(AND(R$63="Quarterly",INT((Calcs!$I1411-Calcs!X$1402)/3)=(Calcs!$I1411-Calcs!X$1402)/3),Calcs!X1411,IF(INT((Calcs!$I1411-Calcs!X$1402)/12)=(Calcs!$I1411-Calcs!X$1402)/12,Calcs!X1411,0))))</f>
        <v>0</v>
      </c>
      <c r="S541" s="237">
        <f>IF(OR(Calcs!$J$1402=Calcs!$I1411,Calcs!$I1411&gt;S$61),0,IF(OR(S$63="Monthly",S$63=""),Calcs!Y1411,IF(AND(S$63="Quarterly",INT((Calcs!$I1411-Calcs!Y$1402)/3)=(Calcs!$I1411-Calcs!Y$1402)/3),Calcs!Y1411,IF(INT((Calcs!$I1411-Calcs!Y$1402)/12)=(Calcs!$I1411-Calcs!Y$1402)/12,Calcs!Y1411,0))))</f>
        <v>0</v>
      </c>
      <c r="T541" s="237">
        <f>IF(OR(Calcs!$J$1402=Calcs!$I1411,Calcs!$I1411&gt;T$61),0,IF(OR(T$63="Monthly",T$63=""),Calcs!Z1411,IF(AND(T$63="Quarterly",INT((Calcs!$I1411-Calcs!Z$1402)/3)=(Calcs!$I1411-Calcs!Z$1402)/3),Calcs!Z1411,IF(INT((Calcs!$I1411-Calcs!Z$1402)/12)=(Calcs!$I1411-Calcs!Z$1402)/12,Calcs!Z1411,0))))</f>
        <v>0</v>
      </c>
      <c r="U541" s="237">
        <f>IF(OR(Calcs!$J$1402=Calcs!$I1411,Calcs!$I1411&gt;U$61),0,IF(OR(U$63="Monthly",U$63=""),Calcs!AA1411,IF(AND(U$63="Quarterly",INT((Calcs!$I1411-Calcs!AA$1402)/3)=(Calcs!$I1411-Calcs!AA$1402)/3),Calcs!AA1411,IF(INT((Calcs!$I1411-Calcs!AA$1402)/12)=(Calcs!$I1411-Calcs!AA$1402)/12,Calcs!AA1411,0))))</f>
        <v>0</v>
      </c>
      <c r="V541" s="237">
        <f>IF(OR(Calcs!$J$1402=Calcs!$I1411,Calcs!$I1411&gt;V$61),0,IF(OR(V$63="Monthly",V$63=""),Calcs!AB1411,IF(AND(V$63="Quarterly",INT((Calcs!$I1411-Calcs!AB$1402)/3)=(Calcs!$I1411-Calcs!AB$1402)/3),Calcs!AB1411,IF(INT((Calcs!$I1411-Calcs!AB$1402)/12)=(Calcs!$I1411-Calcs!AB$1402)/12,Calcs!AB1411,0))))</f>
        <v>0</v>
      </c>
      <c r="W541" s="237">
        <f>IF(OR(Calcs!$J$1402=Calcs!$I1411,Calcs!$I1411&gt;W$61),0,IF(OR(W$63="Monthly",W$63=""),Calcs!AC1411,IF(AND(W$63="Quarterly",INT((Calcs!$I1411-Calcs!AC$1402)/3)=(Calcs!$I1411-Calcs!AC$1402)/3),Calcs!AC1411,IF(INT((Calcs!$I1411-Calcs!AC$1402)/12)=(Calcs!$I1411-Calcs!AC$1402)/12,Calcs!AC1411,0))))</f>
        <v>0</v>
      </c>
      <c r="X541" s="237">
        <f>IF(OR(Calcs!$J$1402=Calcs!$I1411,Calcs!$I1411&gt;X$61),0,IF(OR(X$63="Monthly",X$63=""),Calcs!AD1411,IF(AND(X$63="Quarterly",INT((Calcs!$I1411-Calcs!AD$1402)/3)=(Calcs!$I1411-Calcs!AD$1402)/3),Calcs!AD1411,IF(INT((Calcs!$I1411-Calcs!AD$1402)/12)=(Calcs!$I1411-Calcs!AD$1402)/12,Calcs!AD1411,0))))</f>
        <v>0</v>
      </c>
      <c r="Y541" s="237">
        <f>IF(OR(Calcs!$J$1402=Calcs!$I1411,Calcs!$I1411&gt;Y$61),0,IF(OR(Y$63="Monthly",Y$63=""),Calcs!AE1411,IF(AND(Y$63="Quarterly",INT((Calcs!$I1411-Calcs!AE$1402)/3)=(Calcs!$I1411-Calcs!AE$1402)/3),Calcs!AE1411,IF(INT((Calcs!$I1411-Calcs!AE$1402)/12)=(Calcs!$I1411-Calcs!AE$1402)/12,Calcs!AE1411,0))))</f>
        <v>0</v>
      </c>
      <c r="Z541" s="237">
        <f>IF(OR(Calcs!$J$1402=Calcs!$I1411,Calcs!$I1411&gt;Z$61),0,IF(OR(Z$63="Monthly",Z$63=""),Calcs!AF1411,IF(AND(Z$63="Quarterly",INT((Calcs!$I1411-Calcs!AF$1402)/3)=(Calcs!$I1411-Calcs!AF$1402)/3),Calcs!AF1411,IF(INT((Calcs!$I1411-Calcs!AF$1402)/12)=(Calcs!$I1411-Calcs!AF$1402)/12,Calcs!AF1411,0))))</f>
        <v>0</v>
      </c>
      <c r="AA541" s="237">
        <f>IF(OR(Calcs!$J$1402=Calcs!$I1411,Calcs!$I1411&gt;AA$61),0,IF(OR(AA$63="Monthly",AA$63=""),Calcs!AG1411,IF(AND(AA$63="Quarterly",INT((Calcs!$I1411-Calcs!AG$1402)/3)=(Calcs!$I1411-Calcs!AG$1402)/3),Calcs!AG1411,IF(INT((Calcs!$I1411-Calcs!AG$1402)/12)=(Calcs!$I1411-Calcs!AG$1402)/12,Calcs!AG1411,0))))</f>
        <v>0</v>
      </c>
      <c r="AB541" s="237">
        <f>IF(OR(Calcs!$J$1402=Calcs!$I1411,Calcs!$I1411&gt;AB$61),0,IF(OR(AB$63="Monthly",AB$63=""),Calcs!AH1411,IF(AND(AB$63="Quarterly",INT((Calcs!$I1411-Calcs!AH$1402)/3)=(Calcs!$I1411-Calcs!AH$1402)/3),Calcs!AH1411,IF(INT((Calcs!$I1411-Calcs!AH$1402)/12)=(Calcs!$I1411-Calcs!AH$1402)/12,Calcs!AH1411,0))))</f>
        <v>0</v>
      </c>
      <c r="CH541" s="269"/>
      <c r="CI541" s="269"/>
      <c r="CJ541" s="269"/>
      <c r="CK541" s="269"/>
      <c r="CL541" s="269"/>
      <c r="CM541" s="269"/>
      <c r="CN541" s="269"/>
      <c r="CO541" s="269"/>
      <c r="CP541" s="269"/>
      <c r="CQ541" s="269"/>
      <c r="CR541" s="269"/>
      <c r="CS541" s="269"/>
    </row>
    <row r="542" spans="1:97" ht="12" customHeight="1" x14ac:dyDescent="0.3">
      <c r="A542" s="8"/>
      <c r="B542" s="8"/>
      <c r="C542" s="495">
        <f>C479</f>
        <v>213</v>
      </c>
      <c r="D542" s="1758">
        <f>IF(OR(Calcs!$J$1402=Calcs!$I1412,Calcs!$I1412&gt;D$61),0,IF(OR(D$63="Monthly",D$63=""),Calcs!J1412,IF(AND(D$63="Quarterly",INT((Calcs!$I1412-Calcs!J$1402)/3)=(Calcs!$I1412-Calcs!J$1402)/3),Calcs!J1412,IF(INT((Calcs!$I1412-Calcs!J$1402)/12)=(Calcs!$I1412-Calcs!J$1402)/12,Calcs!J1412,0))))</f>
        <v>0</v>
      </c>
      <c r="E542" s="237">
        <f>IF(OR(Calcs!$J$1402=Calcs!$I1412,Calcs!$I1412&gt;E$61),0,IF(OR(E$63="Monthly",E$63=""),Calcs!K1412,IF(AND(E$63="Quarterly",INT((Calcs!$I1412-Calcs!K$1402)/3)=(Calcs!$I1412-Calcs!K$1402)/3),Calcs!K1412,IF(INT((Calcs!$I1412-Calcs!K$1402)/12)=(Calcs!$I1412-Calcs!K$1402)/12,Calcs!K1412,0))))</f>
        <v>0</v>
      </c>
      <c r="F542" s="237">
        <f>IF(OR(Calcs!$J$1402=Calcs!$I1412,Calcs!$I1412&gt;F$61),0,IF(OR(F$63="Monthly",F$63=""),Calcs!L1412,IF(AND(F$63="Quarterly",INT((Calcs!$I1412-Calcs!L$1402)/3)=(Calcs!$I1412-Calcs!L$1402)/3),Calcs!L1412,IF(INT((Calcs!$I1412-Calcs!L$1402)/12)=(Calcs!$I1412-Calcs!L$1402)/12,Calcs!L1412,0))))</f>
        <v>0</v>
      </c>
      <c r="G542" s="237">
        <f>IF(OR(Calcs!$J$1402=Calcs!$I1412,Calcs!$I1412&gt;G$61),0,IF(OR(G$63="Monthly",G$63=""),Calcs!M1412,IF(AND(G$63="Quarterly",INT((Calcs!$I1412-Calcs!M$1402)/3)=(Calcs!$I1412-Calcs!M$1402)/3),Calcs!M1412,IF(INT((Calcs!$I1412-Calcs!M$1402)/12)=(Calcs!$I1412-Calcs!M$1402)/12,Calcs!M1412,0))))</f>
        <v>0</v>
      </c>
      <c r="H542" s="237">
        <f>IF(OR(Calcs!$J$1402=Calcs!$I1412,Calcs!$I1412&gt;H$61),0,IF(OR(H$63="Monthly",H$63=""),Calcs!N1412,IF(AND(H$63="Quarterly",INT((Calcs!$I1412-Calcs!N$1402)/3)=(Calcs!$I1412-Calcs!N$1402)/3),Calcs!N1412,IF(INT((Calcs!$I1412-Calcs!N$1402)/12)=(Calcs!$I1412-Calcs!N$1402)/12,Calcs!N1412,0))))</f>
        <v>0</v>
      </c>
      <c r="I542" s="237">
        <f>IF(OR(Calcs!$J$1402=Calcs!$I1412,Calcs!$I1412&gt;I$61),0,IF(OR(I$63="Monthly",I$63=""),Calcs!O1412,IF(AND(I$63="Quarterly",INT((Calcs!$I1412-Calcs!O$1402)/3)=(Calcs!$I1412-Calcs!O$1402)/3),Calcs!O1412,IF(INT((Calcs!$I1412-Calcs!O$1402)/12)=(Calcs!$I1412-Calcs!O$1402)/12,Calcs!O1412,0))))</f>
        <v>0</v>
      </c>
      <c r="J542" s="237">
        <f>IF(OR(Calcs!$J$1402=Calcs!$I1412,Calcs!$I1412&gt;J$61),0,IF(OR(J$63="Monthly",J$63=""),Calcs!P1412,IF(AND(J$63="Quarterly",INT((Calcs!$I1412-Calcs!P$1402)/3)=(Calcs!$I1412-Calcs!P$1402)/3),Calcs!P1412,IF(INT((Calcs!$I1412-Calcs!P$1402)/12)=(Calcs!$I1412-Calcs!P$1402)/12,Calcs!P1412,0))))</f>
        <v>0</v>
      </c>
      <c r="K542" s="237">
        <f>IF(OR(Calcs!$J$1402=Calcs!$I1412,Calcs!$I1412&gt;K$61),0,IF(OR(K$63="Monthly",K$63=""),Calcs!Q1412,IF(AND(K$63="Quarterly",INT((Calcs!$I1412-Calcs!Q$1402)/3)=(Calcs!$I1412-Calcs!Q$1402)/3),Calcs!Q1412,IF(INT((Calcs!$I1412-Calcs!Q$1402)/12)=(Calcs!$I1412-Calcs!Q$1402)/12,Calcs!Q1412,0))))</f>
        <v>0</v>
      </c>
      <c r="L542" s="237">
        <f>IF(OR(Calcs!$J$1402=Calcs!$I1412,Calcs!$I1412&gt;L$61),0,IF(OR(L$63="Monthly",L$63=""),Calcs!R1412,IF(AND(L$63="Quarterly",INT((Calcs!$I1412-Calcs!R$1402)/3)=(Calcs!$I1412-Calcs!R$1402)/3),Calcs!R1412,IF(INT((Calcs!$I1412-Calcs!R$1402)/12)=(Calcs!$I1412-Calcs!R$1402)/12,Calcs!R1412,0))))</f>
        <v>0</v>
      </c>
      <c r="M542" s="237">
        <f>IF(OR(Calcs!$J$1402=Calcs!$I1412,Calcs!$I1412&gt;M$61),0,IF(OR(M$63="Monthly",M$63=""),Calcs!S1412,IF(AND(M$63="Quarterly",INT((Calcs!$I1412-Calcs!S$1402)/3)=(Calcs!$I1412-Calcs!S$1402)/3),Calcs!S1412,IF(INT((Calcs!$I1412-Calcs!S$1402)/12)=(Calcs!$I1412-Calcs!S$1402)/12,Calcs!S1412,0))))</f>
        <v>0</v>
      </c>
      <c r="N542" s="237">
        <f>IF(OR(Calcs!$J$1402=Calcs!$I1412,Calcs!$I1412&gt;N$61),0,IF(OR(N$63="Monthly",N$63=""),Calcs!T1412,IF(AND(N$63="Quarterly",INT((Calcs!$I1412-Calcs!T$1402)/3)=(Calcs!$I1412-Calcs!T$1402)/3),Calcs!T1412,IF(INT((Calcs!$I1412-Calcs!T$1402)/12)=(Calcs!$I1412-Calcs!T$1402)/12,Calcs!T1412,0))))</f>
        <v>0</v>
      </c>
      <c r="O542" s="237">
        <f>IF(OR(Calcs!$J$1402=Calcs!$I1412,Calcs!$I1412&gt;O$61),0,IF(OR(O$63="Monthly",O$63=""),Calcs!U1412,IF(AND(O$63="Quarterly",INT((Calcs!$I1412-Calcs!U$1402)/3)=(Calcs!$I1412-Calcs!U$1402)/3),Calcs!U1412,IF(INT((Calcs!$I1412-Calcs!U$1402)/12)=(Calcs!$I1412-Calcs!U$1402)/12,Calcs!U1412,0))))</f>
        <v>0</v>
      </c>
      <c r="P542" s="237">
        <f>IF(OR(Calcs!$J$1402=Calcs!$I1412,Calcs!$I1412&gt;P$61),0,IF(OR(P$63="Monthly",P$63=""),Calcs!V1412,IF(AND(P$63="Quarterly",INT((Calcs!$I1412-Calcs!V$1402)/3)=(Calcs!$I1412-Calcs!V$1402)/3),Calcs!V1412,IF(INT((Calcs!$I1412-Calcs!V$1402)/12)=(Calcs!$I1412-Calcs!V$1402)/12,Calcs!V1412,0))))</f>
        <v>0</v>
      </c>
      <c r="Q542" s="237">
        <f>IF(OR(Calcs!$J$1402=Calcs!$I1412,Calcs!$I1412&gt;Q$61),0,IF(OR(Q$63="Monthly",Q$63=""),Calcs!W1412,IF(AND(Q$63="Quarterly",INT((Calcs!$I1412-Calcs!W$1402)/3)=(Calcs!$I1412-Calcs!W$1402)/3),Calcs!W1412,IF(INT((Calcs!$I1412-Calcs!W$1402)/12)=(Calcs!$I1412-Calcs!W$1402)/12,Calcs!W1412,0))))</f>
        <v>0</v>
      </c>
      <c r="R542" s="237">
        <f>IF(OR(Calcs!$J$1402=Calcs!$I1412,Calcs!$I1412&gt;R$61),0,IF(OR(R$63="Monthly",R$63=""),Calcs!X1412,IF(AND(R$63="Quarterly",INT((Calcs!$I1412-Calcs!X$1402)/3)=(Calcs!$I1412-Calcs!X$1402)/3),Calcs!X1412,IF(INT((Calcs!$I1412-Calcs!X$1402)/12)=(Calcs!$I1412-Calcs!X$1402)/12,Calcs!X1412,0))))</f>
        <v>0</v>
      </c>
      <c r="S542" s="237">
        <f>IF(OR(Calcs!$J$1402=Calcs!$I1412,Calcs!$I1412&gt;S$61),0,IF(OR(S$63="Monthly",S$63=""),Calcs!Y1412,IF(AND(S$63="Quarterly",INT((Calcs!$I1412-Calcs!Y$1402)/3)=(Calcs!$I1412-Calcs!Y$1402)/3),Calcs!Y1412,IF(INT((Calcs!$I1412-Calcs!Y$1402)/12)=(Calcs!$I1412-Calcs!Y$1402)/12,Calcs!Y1412,0))))</f>
        <v>0</v>
      </c>
      <c r="T542" s="237">
        <f>IF(OR(Calcs!$J$1402=Calcs!$I1412,Calcs!$I1412&gt;T$61),0,IF(OR(T$63="Monthly",T$63=""),Calcs!Z1412,IF(AND(T$63="Quarterly",INT((Calcs!$I1412-Calcs!Z$1402)/3)=(Calcs!$I1412-Calcs!Z$1402)/3),Calcs!Z1412,IF(INT((Calcs!$I1412-Calcs!Z$1402)/12)=(Calcs!$I1412-Calcs!Z$1402)/12,Calcs!Z1412,0))))</f>
        <v>0</v>
      </c>
      <c r="U542" s="237">
        <f>IF(OR(Calcs!$J$1402=Calcs!$I1412,Calcs!$I1412&gt;U$61),0,IF(OR(U$63="Monthly",U$63=""),Calcs!AA1412,IF(AND(U$63="Quarterly",INT((Calcs!$I1412-Calcs!AA$1402)/3)=(Calcs!$I1412-Calcs!AA$1402)/3),Calcs!AA1412,IF(INT((Calcs!$I1412-Calcs!AA$1402)/12)=(Calcs!$I1412-Calcs!AA$1402)/12,Calcs!AA1412,0))))</f>
        <v>0</v>
      </c>
      <c r="V542" s="237">
        <f>IF(OR(Calcs!$J$1402=Calcs!$I1412,Calcs!$I1412&gt;V$61),0,IF(OR(V$63="Monthly",V$63=""),Calcs!AB1412,IF(AND(V$63="Quarterly",INT((Calcs!$I1412-Calcs!AB$1402)/3)=(Calcs!$I1412-Calcs!AB$1402)/3),Calcs!AB1412,IF(INT((Calcs!$I1412-Calcs!AB$1402)/12)=(Calcs!$I1412-Calcs!AB$1402)/12,Calcs!AB1412,0))))</f>
        <v>0</v>
      </c>
      <c r="W542" s="237">
        <f>IF(OR(Calcs!$J$1402=Calcs!$I1412,Calcs!$I1412&gt;W$61),0,IF(OR(W$63="Monthly",W$63=""),Calcs!AC1412,IF(AND(W$63="Quarterly",INT((Calcs!$I1412-Calcs!AC$1402)/3)=(Calcs!$I1412-Calcs!AC$1402)/3),Calcs!AC1412,IF(INT((Calcs!$I1412-Calcs!AC$1402)/12)=(Calcs!$I1412-Calcs!AC$1402)/12,Calcs!AC1412,0))))</f>
        <v>0</v>
      </c>
      <c r="X542" s="237">
        <f>IF(OR(Calcs!$J$1402=Calcs!$I1412,Calcs!$I1412&gt;X$61),0,IF(OR(X$63="Monthly",X$63=""),Calcs!AD1412,IF(AND(X$63="Quarterly",INT((Calcs!$I1412-Calcs!AD$1402)/3)=(Calcs!$I1412-Calcs!AD$1402)/3),Calcs!AD1412,IF(INT((Calcs!$I1412-Calcs!AD$1402)/12)=(Calcs!$I1412-Calcs!AD$1402)/12,Calcs!AD1412,0))))</f>
        <v>0</v>
      </c>
      <c r="Y542" s="237">
        <f>IF(OR(Calcs!$J$1402=Calcs!$I1412,Calcs!$I1412&gt;Y$61),0,IF(OR(Y$63="Monthly",Y$63=""),Calcs!AE1412,IF(AND(Y$63="Quarterly",INT((Calcs!$I1412-Calcs!AE$1402)/3)=(Calcs!$I1412-Calcs!AE$1402)/3),Calcs!AE1412,IF(INT((Calcs!$I1412-Calcs!AE$1402)/12)=(Calcs!$I1412-Calcs!AE$1402)/12,Calcs!AE1412,0))))</f>
        <v>0</v>
      </c>
      <c r="Z542" s="237">
        <f>IF(OR(Calcs!$J$1402=Calcs!$I1412,Calcs!$I1412&gt;Z$61),0,IF(OR(Z$63="Monthly",Z$63=""),Calcs!AF1412,IF(AND(Z$63="Quarterly",INT((Calcs!$I1412-Calcs!AF$1402)/3)=(Calcs!$I1412-Calcs!AF$1402)/3),Calcs!AF1412,IF(INT((Calcs!$I1412-Calcs!AF$1402)/12)=(Calcs!$I1412-Calcs!AF$1402)/12,Calcs!AF1412,0))))</f>
        <v>0</v>
      </c>
      <c r="AA542" s="237">
        <f>IF(OR(Calcs!$J$1402=Calcs!$I1412,Calcs!$I1412&gt;AA$61),0,IF(OR(AA$63="Monthly",AA$63=""),Calcs!AG1412,IF(AND(AA$63="Quarterly",INT((Calcs!$I1412-Calcs!AG$1402)/3)=(Calcs!$I1412-Calcs!AG$1402)/3),Calcs!AG1412,IF(INT((Calcs!$I1412-Calcs!AG$1402)/12)=(Calcs!$I1412-Calcs!AG$1402)/12,Calcs!AG1412,0))))</f>
        <v>0</v>
      </c>
      <c r="AB542" s="237">
        <f>IF(OR(Calcs!$J$1402=Calcs!$I1412,Calcs!$I1412&gt;AB$61),0,IF(OR(AB$63="Monthly",AB$63=""),Calcs!AH1412,IF(AND(AB$63="Quarterly",INT((Calcs!$I1412-Calcs!AH$1402)/3)=(Calcs!$I1412-Calcs!AH$1402)/3),Calcs!AH1412,IF(INT((Calcs!$I1412-Calcs!AH$1402)/12)=(Calcs!$I1412-Calcs!AH$1402)/12,Calcs!AH1412,0))))</f>
        <v>0</v>
      </c>
      <c r="CH542" s="269"/>
      <c r="CI542" s="269"/>
      <c r="CJ542" s="269"/>
      <c r="CK542" s="269"/>
      <c r="CL542" s="269"/>
      <c r="CM542" s="269"/>
      <c r="CN542" s="269"/>
      <c r="CO542" s="269"/>
      <c r="CP542" s="269"/>
      <c r="CQ542" s="269"/>
      <c r="CR542" s="269"/>
      <c r="CS542" s="269"/>
    </row>
    <row r="543" spans="1:97" ht="12" customHeight="1" x14ac:dyDescent="0.3">
      <c r="A543" s="8"/>
      <c r="B543" s="8"/>
      <c r="C543" s="495">
        <f>C480</f>
        <v>244</v>
      </c>
      <c r="D543" s="1758">
        <f>IF(OR(Calcs!$J$1402=Calcs!$I1413,Calcs!$I1413&gt;D$61),0,IF(OR(D$63="Monthly",D$63=""),Calcs!J1413,IF(AND(D$63="Quarterly",INT((Calcs!$I1413-Calcs!J$1402)/3)=(Calcs!$I1413-Calcs!J$1402)/3),Calcs!J1413,IF(INT((Calcs!$I1413-Calcs!J$1402)/12)=(Calcs!$I1413-Calcs!J$1402)/12,Calcs!J1413,0))))</f>
        <v>0</v>
      </c>
      <c r="E543" s="237">
        <f>IF(OR(Calcs!$J$1402=Calcs!$I1413,Calcs!$I1413&gt;E$61),0,IF(OR(E$63="Monthly",E$63=""),Calcs!K1413,IF(AND(E$63="Quarterly",INT((Calcs!$I1413-Calcs!K$1402)/3)=(Calcs!$I1413-Calcs!K$1402)/3),Calcs!K1413,IF(INT((Calcs!$I1413-Calcs!K$1402)/12)=(Calcs!$I1413-Calcs!K$1402)/12,Calcs!K1413,0))))</f>
        <v>0</v>
      </c>
      <c r="F543" s="237">
        <f>IF(OR(Calcs!$J$1402=Calcs!$I1413,Calcs!$I1413&gt;F$61),0,IF(OR(F$63="Monthly",F$63=""),Calcs!L1413,IF(AND(F$63="Quarterly",INT((Calcs!$I1413-Calcs!L$1402)/3)=(Calcs!$I1413-Calcs!L$1402)/3),Calcs!L1413,IF(INT((Calcs!$I1413-Calcs!L$1402)/12)=(Calcs!$I1413-Calcs!L$1402)/12,Calcs!L1413,0))))</f>
        <v>0</v>
      </c>
      <c r="G543" s="237">
        <f>IF(OR(Calcs!$J$1402=Calcs!$I1413,Calcs!$I1413&gt;G$61),0,IF(OR(G$63="Monthly",G$63=""),Calcs!M1413,IF(AND(G$63="Quarterly",INT((Calcs!$I1413-Calcs!M$1402)/3)=(Calcs!$I1413-Calcs!M$1402)/3),Calcs!M1413,IF(INT((Calcs!$I1413-Calcs!M$1402)/12)=(Calcs!$I1413-Calcs!M$1402)/12,Calcs!M1413,0))))</f>
        <v>0</v>
      </c>
      <c r="H543" s="237">
        <f>IF(OR(Calcs!$J$1402=Calcs!$I1413,Calcs!$I1413&gt;H$61),0,IF(OR(H$63="Monthly",H$63=""),Calcs!N1413,IF(AND(H$63="Quarterly",INT((Calcs!$I1413-Calcs!N$1402)/3)=(Calcs!$I1413-Calcs!N$1402)/3),Calcs!N1413,IF(INT((Calcs!$I1413-Calcs!N$1402)/12)=(Calcs!$I1413-Calcs!N$1402)/12,Calcs!N1413,0))))</f>
        <v>0</v>
      </c>
      <c r="I543" s="237">
        <f>IF(OR(Calcs!$J$1402=Calcs!$I1413,Calcs!$I1413&gt;I$61),0,IF(OR(I$63="Monthly",I$63=""),Calcs!O1413,IF(AND(I$63="Quarterly",INT((Calcs!$I1413-Calcs!O$1402)/3)=(Calcs!$I1413-Calcs!O$1402)/3),Calcs!O1413,IF(INT((Calcs!$I1413-Calcs!O$1402)/12)=(Calcs!$I1413-Calcs!O$1402)/12,Calcs!O1413,0))))</f>
        <v>0</v>
      </c>
      <c r="J543" s="237">
        <f>IF(OR(Calcs!$J$1402=Calcs!$I1413,Calcs!$I1413&gt;J$61),0,IF(OR(J$63="Monthly",J$63=""),Calcs!P1413,IF(AND(J$63="Quarterly",INT((Calcs!$I1413-Calcs!P$1402)/3)=(Calcs!$I1413-Calcs!P$1402)/3),Calcs!P1413,IF(INT((Calcs!$I1413-Calcs!P$1402)/12)=(Calcs!$I1413-Calcs!P$1402)/12,Calcs!P1413,0))))</f>
        <v>0</v>
      </c>
      <c r="K543" s="237">
        <f>IF(OR(Calcs!$J$1402=Calcs!$I1413,Calcs!$I1413&gt;K$61),0,IF(OR(K$63="Monthly",K$63=""),Calcs!Q1413,IF(AND(K$63="Quarterly",INT((Calcs!$I1413-Calcs!Q$1402)/3)=(Calcs!$I1413-Calcs!Q$1402)/3),Calcs!Q1413,IF(INT((Calcs!$I1413-Calcs!Q$1402)/12)=(Calcs!$I1413-Calcs!Q$1402)/12,Calcs!Q1413,0))))</f>
        <v>0</v>
      </c>
      <c r="L543" s="237">
        <f>IF(OR(Calcs!$J$1402=Calcs!$I1413,Calcs!$I1413&gt;L$61),0,IF(OR(L$63="Monthly",L$63=""),Calcs!R1413,IF(AND(L$63="Quarterly",INT((Calcs!$I1413-Calcs!R$1402)/3)=(Calcs!$I1413-Calcs!R$1402)/3),Calcs!R1413,IF(INT((Calcs!$I1413-Calcs!R$1402)/12)=(Calcs!$I1413-Calcs!R$1402)/12,Calcs!R1413,0))))</f>
        <v>0</v>
      </c>
      <c r="M543" s="237">
        <f>IF(OR(Calcs!$J$1402=Calcs!$I1413,Calcs!$I1413&gt;M$61),0,IF(OR(M$63="Monthly",M$63=""),Calcs!S1413,IF(AND(M$63="Quarterly",INT((Calcs!$I1413-Calcs!S$1402)/3)=(Calcs!$I1413-Calcs!S$1402)/3),Calcs!S1413,IF(INT((Calcs!$I1413-Calcs!S$1402)/12)=(Calcs!$I1413-Calcs!S$1402)/12,Calcs!S1413,0))))</f>
        <v>0</v>
      </c>
      <c r="N543" s="237">
        <f>IF(OR(Calcs!$J$1402=Calcs!$I1413,Calcs!$I1413&gt;N$61),0,IF(OR(N$63="Monthly",N$63=""),Calcs!T1413,IF(AND(N$63="Quarterly",INT((Calcs!$I1413-Calcs!T$1402)/3)=(Calcs!$I1413-Calcs!T$1402)/3),Calcs!T1413,IF(INT((Calcs!$I1413-Calcs!T$1402)/12)=(Calcs!$I1413-Calcs!T$1402)/12,Calcs!T1413,0))))</f>
        <v>0</v>
      </c>
      <c r="O543" s="237">
        <f>IF(OR(Calcs!$J$1402=Calcs!$I1413,Calcs!$I1413&gt;O$61),0,IF(OR(O$63="Monthly",O$63=""),Calcs!U1413,IF(AND(O$63="Quarterly",INT((Calcs!$I1413-Calcs!U$1402)/3)=(Calcs!$I1413-Calcs!U$1402)/3),Calcs!U1413,IF(INT((Calcs!$I1413-Calcs!U$1402)/12)=(Calcs!$I1413-Calcs!U$1402)/12,Calcs!U1413,0))))</f>
        <v>0</v>
      </c>
      <c r="P543" s="237">
        <f>IF(OR(Calcs!$J$1402=Calcs!$I1413,Calcs!$I1413&gt;P$61),0,IF(OR(P$63="Monthly",P$63=""),Calcs!V1413,IF(AND(P$63="Quarterly",INT((Calcs!$I1413-Calcs!V$1402)/3)=(Calcs!$I1413-Calcs!V$1402)/3),Calcs!V1413,IF(INT((Calcs!$I1413-Calcs!V$1402)/12)=(Calcs!$I1413-Calcs!V$1402)/12,Calcs!V1413,0))))</f>
        <v>0</v>
      </c>
      <c r="Q543" s="237">
        <f>IF(OR(Calcs!$J$1402=Calcs!$I1413,Calcs!$I1413&gt;Q$61),0,IF(OR(Q$63="Monthly",Q$63=""),Calcs!W1413,IF(AND(Q$63="Quarterly",INT((Calcs!$I1413-Calcs!W$1402)/3)=(Calcs!$I1413-Calcs!W$1402)/3),Calcs!W1413,IF(INT((Calcs!$I1413-Calcs!W$1402)/12)=(Calcs!$I1413-Calcs!W$1402)/12,Calcs!W1413,0))))</f>
        <v>0</v>
      </c>
      <c r="R543" s="237">
        <f>IF(OR(Calcs!$J$1402=Calcs!$I1413,Calcs!$I1413&gt;R$61),0,IF(OR(R$63="Monthly",R$63=""),Calcs!X1413,IF(AND(R$63="Quarterly",INT((Calcs!$I1413-Calcs!X$1402)/3)=(Calcs!$I1413-Calcs!X$1402)/3),Calcs!X1413,IF(INT((Calcs!$I1413-Calcs!X$1402)/12)=(Calcs!$I1413-Calcs!X$1402)/12,Calcs!X1413,0))))</f>
        <v>0</v>
      </c>
      <c r="S543" s="237">
        <f>IF(OR(Calcs!$J$1402=Calcs!$I1413,Calcs!$I1413&gt;S$61),0,IF(OR(S$63="Monthly",S$63=""),Calcs!Y1413,IF(AND(S$63="Quarterly",INT((Calcs!$I1413-Calcs!Y$1402)/3)=(Calcs!$I1413-Calcs!Y$1402)/3),Calcs!Y1413,IF(INT((Calcs!$I1413-Calcs!Y$1402)/12)=(Calcs!$I1413-Calcs!Y$1402)/12,Calcs!Y1413,0))))</f>
        <v>0</v>
      </c>
      <c r="T543" s="237">
        <f>IF(OR(Calcs!$J$1402=Calcs!$I1413,Calcs!$I1413&gt;T$61),0,IF(OR(T$63="Monthly",T$63=""),Calcs!Z1413,IF(AND(T$63="Quarterly",INT((Calcs!$I1413-Calcs!Z$1402)/3)=(Calcs!$I1413-Calcs!Z$1402)/3),Calcs!Z1413,IF(INT((Calcs!$I1413-Calcs!Z$1402)/12)=(Calcs!$I1413-Calcs!Z$1402)/12,Calcs!Z1413,0))))</f>
        <v>0</v>
      </c>
      <c r="U543" s="237">
        <f>IF(OR(Calcs!$J$1402=Calcs!$I1413,Calcs!$I1413&gt;U$61),0,IF(OR(U$63="Monthly",U$63=""),Calcs!AA1413,IF(AND(U$63="Quarterly",INT((Calcs!$I1413-Calcs!AA$1402)/3)=(Calcs!$I1413-Calcs!AA$1402)/3),Calcs!AA1413,IF(INT((Calcs!$I1413-Calcs!AA$1402)/12)=(Calcs!$I1413-Calcs!AA$1402)/12,Calcs!AA1413,0))))</f>
        <v>0</v>
      </c>
      <c r="V543" s="237">
        <f>IF(OR(Calcs!$J$1402=Calcs!$I1413,Calcs!$I1413&gt;V$61),0,IF(OR(V$63="Monthly",V$63=""),Calcs!AB1413,IF(AND(V$63="Quarterly",INT((Calcs!$I1413-Calcs!AB$1402)/3)=(Calcs!$I1413-Calcs!AB$1402)/3),Calcs!AB1413,IF(INT((Calcs!$I1413-Calcs!AB$1402)/12)=(Calcs!$I1413-Calcs!AB$1402)/12,Calcs!AB1413,0))))</f>
        <v>0</v>
      </c>
      <c r="W543" s="237">
        <f>IF(OR(Calcs!$J$1402=Calcs!$I1413,Calcs!$I1413&gt;W$61),0,IF(OR(W$63="Monthly",W$63=""),Calcs!AC1413,IF(AND(W$63="Quarterly",INT((Calcs!$I1413-Calcs!AC$1402)/3)=(Calcs!$I1413-Calcs!AC$1402)/3),Calcs!AC1413,IF(INT((Calcs!$I1413-Calcs!AC$1402)/12)=(Calcs!$I1413-Calcs!AC$1402)/12,Calcs!AC1413,0))))</f>
        <v>0</v>
      </c>
      <c r="X543" s="237">
        <f>IF(OR(Calcs!$J$1402=Calcs!$I1413,Calcs!$I1413&gt;X$61),0,IF(OR(X$63="Monthly",X$63=""),Calcs!AD1413,IF(AND(X$63="Quarterly",INT((Calcs!$I1413-Calcs!AD$1402)/3)=(Calcs!$I1413-Calcs!AD$1402)/3),Calcs!AD1413,IF(INT((Calcs!$I1413-Calcs!AD$1402)/12)=(Calcs!$I1413-Calcs!AD$1402)/12,Calcs!AD1413,0))))</f>
        <v>0</v>
      </c>
      <c r="Y543" s="237">
        <f>IF(OR(Calcs!$J$1402=Calcs!$I1413,Calcs!$I1413&gt;Y$61),0,IF(OR(Y$63="Monthly",Y$63=""),Calcs!AE1413,IF(AND(Y$63="Quarterly",INT((Calcs!$I1413-Calcs!AE$1402)/3)=(Calcs!$I1413-Calcs!AE$1402)/3),Calcs!AE1413,IF(INT((Calcs!$I1413-Calcs!AE$1402)/12)=(Calcs!$I1413-Calcs!AE$1402)/12,Calcs!AE1413,0))))</f>
        <v>0</v>
      </c>
      <c r="Z543" s="237">
        <f>IF(OR(Calcs!$J$1402=Calcs!$I1413,Calcs!$I1413&gt;Z$61),0,IF(OR(Z$63="Monthly",Z$63=""),Calcs!AF1413,IF(AND(Z$63="Quarterly",INT((Calcs!$I1413-Calcs!AF$1402)/3)=(Calcs!$I1413-Calcs!AF$1402)/3),Calcs!AF1413,IF(INT((Calcs!$I1413-Calcs!AF$1402)/12)=(Calcs!$I1413-Calcs!AF$1402)/12,Calcs!AF1413,0))))</f>
        <v>0</v>
      </c>
      <c r="AA543" s="237">
        <f>IF(OR(Calcs!$J$1402=Calcs!$I1413,Calcs!$I1413&gt;AA$61),0,IF(OR(AA$63="Monthly",AA$63=""),Calcs!AG1413,IF(AND(AA$63="Quarterly",INT((Calcs!$I1413-Calcs!AG$1402)/3)=(Calcs!$I1413-Calcs!AG$1402)/3),Calcs!AG1413,IF(INT((Calcs!$I1413-Calcs!AG$1402)/12)=(Calcs!$I1413-Calcs!AG$1402)/12,Calcs!AG1413,0))))</f>
        <v>0</v>
      </c>
      <c r="AB543" s="237">
        <f>IF(OR(Calcs!$J$1402=Calcs!$I1413,Calcs!$I1413&gt;AB$61),0,IF(OR(AB$63="Monthly",AB$63=""),Calcs!AH1413,IF(AND(AB$63="Quarterly",INT((Calcs!$I1413-Calcs!AH$1402)/3)=(Calcs!$I1413-Calcs!AH$1402)/3),Calcs!AH1413,IF(INT((Calcs!$I1413-Calcs!AH$1402)/12)=(Calcs!$I1413-Calcs!AH$1402)/12,Calcs!AH1413,0))))</f>
        <v>0</v>
      </c>
      <c r="CH543" s="269"/>
      <c r="CI543" s="269"/>
      <c r="CJ543" s="269"/>
      <c r="CK543" s="269"/>
      <c r="CL543" s="269"/>
      <c r="CM543" s="269"/>
      <c r="CN543" s="269"/>
      <c r="CO543" s="269"/>
      <c r="CP543" s="269"/>
      <c r="CQ543" s="269"/>
      <c r="CR543" s="269"/>
      <c r="CS543" s="269"/>
    </row>
    <row r="544" spans="1:97" ht="12" customHeight="1" x14ac:dyDescent="0.3">
      <c r="A544" s="8"/>
      <c r="B544" s="8"/>
      <c r="C544" s="495">
        <f>C481</f>
        <v>274</v>
      </c>
      <c r="D544" s="237">
        <f>IF(OR(Calcs!$J$1402=Calcs!$I1414,Calcs!$I1414&gt;D$61),0,IF(OR(D$63="Monthly",D$63=""),Calcs!J1414,IF(AND(D$63="Quarterly",INT((Calcs!$I1414-Calcs!J$1402)/3)=(Calcs!$I1414-Calcs!J$1402)/3),Calcs!J1414,IF(INT((Calcs!$I1414-Calcs!J$1402)/12)=(Calcs!$I1414-Calcs!J$1402)/12,Calcs!J1414,0))))</f>
        <v>0</v>
      </c>
      <c r="E544" s="237">
        <f>IF(OR(Calcs!$J$1402=Calcs!$I1414,Calcs!$I1414&gt;E$61),0,IF(OR(E$63="Monthly",E$63=""),Calcs!K1414,IF(AND(E$63="Quarterly",INT((Calcs!$I1414-Calcs!K$1402)/3)=(Calcs!$I1414-Calcs!K$1402)/3),Calcs!K1414,IF(INT((Calcs!$I1414-Calcs!K$1402)/12)=(Calcs!$I1414-Calcs!K$1402)/12,Calcs!K1414,0))))</f>
        <v>0</v>
      </c>
      <c r="F544" s="237">
        <f>IF(OR(Calcs!$J$1402=Calcs!$I1414,Calcs!$I1414&gt;F$61),0,IF(OR(F$63="Monthly",F$63=""),Calcs!L1414,IF(AND(F$63="Quarterly",INT((Calcs!$I1414-Calcs!L$1402)/3)=(Calcs!$I1414-Calcs!L$1402)/3),Calcs!L1414,IF(INT((Calcs!$I1414-Calcs!L$1402)/12)=(Calcs!$I1414-Calcs!L$1402)/12,Calcs!L1414,0))))</f>
        <v>0</v>
      </c>
      <c r="G544" s="237">
        <f>IF(OR(Calcs!$J$1402=Calcs!$I1414,Calcs!$I1414&gt;G$61),0,IF(OR(G$63="Monthly",G$63=""),Calcs!M1414,IF(AND(G$63="Quarterly",INT((Calcs!$I1414-Calcs!M$1402)/3)=(Calcs!$I1414-Calcs!M$1402)/3),Calcs!M1414,IF(INT((Calcs!$I1414-Calcs!M$1402)/12)=(Calcs!$I1414-Calcs!M$1402)/12,Calcs!M1414,0))))</f>
        <v>0</v>
      </c>
      <c r="H544" s="237">
        <f>IF(OR(Calcs!$J$1402=Calcs!$I1414,Calcs!$I1414&gt;H$61),0,IF(OR(H$63="Monthly",H$63=""),Calcs!N1414,IF(AND(H$63="Quarterly",INT((Calcs!$I1414-Calcs!N$1402)/3)=(Calcs!$I1414-Calcs!N$1402)/3),Calcs!N1414,IF(INT((Calcs!$I1414-Calcs!N$1402)/12)=(Calcs!$I1414-Calcs!N$1402)/12,Calcs!N1414,0))))</f>
        <v>0</v>
      </c>
      <c r="I544" s="237">
        <f>IF(OR(Calcs!$J$1402=Calcs!$I1414,Calcs!$I1414&gt;I$61),0,IF(OR(I$63="Monthly",I$63=""),Calcs!O1414,IF(AND(I$63="Quarterly",INT((Calcs!$I1414-Calcs!O$1402)/3)=(Calcs!$I1414-Calcs!O$1402)/3),Calcs!O1414,IF(INT((Calcs!$I1414-Calcs!O$1402)/12)=(Calcs!$I1414-Calcs!O$1402)/12,Calcs!O1414,0))))</f>
        <v>0</v>
      </c>
      <c r="J544" s="237">
        <f>IF(OR(Calcs!$J$1402=Calcs!$I1414,Calcs!$I1414&gt;J$61),0,IF(OR(J$63="Monthly",J$63=""),Calcs!P1414,IF(AND(J$63="Quarterly",INT((Calcs!$I1414-Calcs!P$1402)/3)=(Calcs!$I1414-Calcs!P$1402)/3),Calcs!P1414,IF(INT((Calcs!$I1414-Calcs!P$1402)/12)=(Calcs!$I1414-Calcs!P$1402)/12,Calcs!P1414,0))))</f>
        <v>0</v>
      </c>
      <c r="K544" s="237">
        <f>IF(OR(Calcs!$J$1402=Calcs!$I1414,Calcs!$I1414&gt;K$61),0,IF(OR(K$63="Monthly",K$63=""),Calcs!Q1414,IF(AND(K$63="Quarterly",INT((Calcs!$I1414-Calcs!Q$1402)/3)=(Calcs!$I1414-Calcs!Q$1402)/3),Calcs!Q1414,IF(INT((Calcs!$I1414-Calcs!Q$1402)/12)=(Calcs!$I1414-Calcs!Q$1402)/12,Calcs!Q1414,0))))</f>
        <v>0</v>
      </c>
      <c r="L544" s="237">
        <f>IF(OR(Calcs!$J$1402=Calcs!$I1414,Calcs!$I1414&gt;L$61),0,IF(OR(L$63="Monthly",L$63=""),Calcs!R1414,IF(AND(L$63="Quarterly",INT((Calcs!$I1414-Calcs!R$1402)/3)=(Calcs!$I1414-Calcs!R$1402)/3),Calcs!R1414,IF(INT((Calcs!$I1414-Calcs!R$1402)/12)=(Calcs!$I1414-Calcs!R$1402)/12,Calcs!R1414,0))))</f>
        <v>0</v>
      </c>
      <c r="M544" s="237">
        <f>IF(OR(Calcs!$J$1402=Calcs!$I1414,Calcs!$I1414&gt;M$61),0,IF(OR(M$63="Monthly",M$63=""),Calcs!S1414,IF(AND(M$63="Quarterly",INT((Calcs!$I1414-Calcs!S$1402)/3)=(Calcs!$I1414-Calcs!S$1402)/3),Calcs!S1414,IF(INT((Calcs!$I1414-Calcs!S$1402)/12)=(Calcs!$I1414-Calcs!S$1402)/12,Calcs!S1414,0))))</f>
        <v>0</v>
      </c>
      <c r="N544" s="237">
        <f>IF(OR(Calcs!$J$1402=Calcs!$I1414,Calcs!$I1414&gt;N$61),0,IF(OR(N$63="Monthly",N$63=""),Calcs!T1414,IF(AND(N$63="Quarterly",INT((Calcs!$I1414-Calcs!T$1402)/3)=(Calcs!$I1414-Calcs!T$1402)/3),Calcs!T1414,IF(INT((Calcs!$I1414-Calcs!T$1402)/12)=(Calcs!$I1414-Calcs!T$1402)/12,Calcs!T1414,0))))</f>
        <v>0</v>
      </c>
      <c r="O544" s="237">
        <f>IF(OR(Calcs!$J$1402=Calcs!$I1414,Calcs!$I1414&gt;O$61),0,IF(OR(O$63="Monthly",O$63=""),Calcs!U1414,IF(AND(O$63="Quarterly",INT((Calcs!$I1414-Calcs!U$1402)/3)=(Calcs!$I1414-Calcs!U$1402)/3),Calcs!U1414,IF(INT((Calcs!$I1414-Calcs!U$1402)/12)=(Calcs!$I1414-Calcs!U$1402)/12,Calcs!U1414,0))))</f>
        <v>0</v>
      </c>
      <c r="P544" s="237">
        <f>IF(OR(Calcs!$J$1402=Calcs!$I1414,Calcs!$I1414&gt;P$61),0,IF(OR(P$63="Monthly",P$63=""),Calcs!V1414,IF(AND(P$63="Quarterly",INT((Calcs!$I1414-Calcs!V$1402)/3)=(Calcs!$I1414-Calcs!V$1402)/3),Calcs!V1414,IF(INT((Calcs!$I1414-Calcs!V$1402)/12)=(Calcs!$I1414-Calcs!V$1402)/12,Calcs!V1414,0))))</f>
        <v>0</v>
      </c>
      <c r="Q544" s="237">
        <f>IF(OR(Calcs!$J$1402=Calcs!$I1414,Calcs!$I1414&gt;Q$61),0,IF(OR(Q$63="Monthly",Q$63=""),Calcs!W1414,IF(AND(Q$63="Quarterly",INT((Calcs!$I1414-Calcs!W$1402)/3)=(Calcs!$I1414-Calcs!W$1402)/3),Calcs!W1414,IF(INT((Calcs!$I1414-Calcs!W$1402)/12)=(Calcs!$I1414-Calcs!W$1402)/12,Calcs!W1414,0))))</f>
        <v>0</v>
      </c>
      <c r="R544" s="237">
        <f>IF(OR(Calcs!$J$1402=Calcs!$I1414,Calcs!$I1414&gt;R$61),0,IF(OR(R$63="Monthly",R$63=""),Calcs!X1414,IF(AND(R$63="Quarterly",INT((Calcs!$I1414-Calcs!X$1402)/3)=(Calcs!$I1414-Calcs!X$1402)/3),Calcs!X1414,IF(INT((Calcs!$I1414-Calcs!X$1402)/12)=(Calcs!$I1414-Calcs!X$1402)/12,Calcs!X1414,0))))</f>
        <v>0</v>
      </c>
      <c r="S544" s="237">
        <f>IF(OR(Calcs!$J$1402=Calcs!$I1414,Calcs!$I1414&gt;S$61),0,IF(OR(S$63="Monthly",S$63=""),Calcs!Y1414,IF(AND(S$63="Quarterly",INT((Calcs!$I1414-Calcs!Y$1402)/3)=(Calcs!$I1414-Calcs!Y$1402)/3),Calcs!Y1414,IF(INT((Calcs!$I1414-Calcs!Y$1402)/12)=(Calcs!$I1414-Calcs!Y$1402)/12,Calcs!Y1414,0))))</f>
        <v>0</v>
      </c>
      <c r="T544" s="237">
        <f>IF(OR(Calcs!$J$1402=Calcs!$I1414,Calcs!$I1414&gt;T$61),0,IF(OR(T$63="Monthly",T$63=""),Calcs!Z1414,IF(AND(T$63="Quarterly",INT((Calcs!$I1414-Calcs!Z$1402)/3)=(Calcs!$I1414-Calcs!Z$1402)/3),Calcs!Z1414,IF(INT((Calcs!$I1414-Calcs!Z$1402)/12)=(Calcs!$I1414-Calcs!Z$1402)/12,Calcs!Z1414,0))))</f>
        <v>0</v>
      </c>
      <c r="U544" s="237">
        <f>IF(OR(Calcs!$J$1402=Calcs!$I1414,Calcs!$I1414&gt;U$61),0,IF(OR(U$63="Monthly",U$63=""),Calcs!AA1414,IF(AND(U$63="Quarterly",INT((Calcs!$I1414-Calcs!AA$1402)/3)=(Calcs!$I1414-Calcs!AA$1402)/3),Calcs!AA1414,IF(INT((Calcs!$I1414-Calcs!AA$1402)/12)=(Calcs!$I1414-Calcs!AA$1402)/12,Calcs!AA1414,0))))</f>
        <v>0</v>
      </c>
      <c r="V544" s="237">
        <f>IF(OR(Calcs!$J$1402=Calcs!$I1414,Calcs!$I1414&gt;V$61),0,IF(OR(V$63="Monthly",V$63=""),Calcs!AB1414,IF(AND(V$63="Quarterly",INT((Calcs!$I1414-Calcs!AB$1402)/3)=(Calcs!$I1414-Calcs!AB$1402)/3),Calcs!AB1414,IF(INT((Calcs!$I1414-Calcs!AB$1402)/12)=(Calcs!$I1414-Calcs!AB$1402)/12,Calcs!AB1414,0))))</f>
        <v>0</v>
      </c>
      <c r="W544" s="237">
        <f>IF(OR(Calcs!$J$1402=Calcs!$I1414,Calcs!$I1414&gt;W$61),0,IF(OR(W$63="Monthly",W$63=""),Calcs!AC1414,IF(AND(W$63="Quarterly",INT((Calcs!$I1414-Calcs!AC$1402)/3)=(Calcs!$I1414-Calcs!AC$1402)/3),Calcs!AC1414,IF(INT((Calcs!$I1414-Calcs!AC$1402)/12)=(Calcs!$I1414-Calcs!AC$1402)/12,Calcs!AC1414,0))))</f>
        <v>0</v>
      </c>
      <c r="X544" s="237">
        <f>IF(OR(Calcs!$J$1402=Calcs!$I1414,Calcs!$I1414&gt;X$61),0,IF(OR(X$63="Monthly",X$63=""),Calcs!AD1414,IF(AND(X$63="Quarterly",INT((Calcs!$I1414-Calcs!AD$1402)/3)=(Calcs!$I1414-Calcs!AD$1402)/3),Calcs!AD1414,IF(INT((Calcs!$I1414-Calcs!AD$1402)/12)=(Calcs!$I1414-Calcs!AD$1402)/12,Calcs!AD1414,0))))</f>
        <v>0</v>
      </c>
      <c r="Y544" s="237">
        <f>IF(OR(Calcs!$J$1402=Calcs!$I1414,Calcs!$I1414&gt;Y$61),0,IF(OR(Y$63="Monthly",Y$63=""),Calcs!AE1414,IF(AND(Y$63="Quarterly",INT((Calcs!$I1414-Calcs!AE$1402)/3)=(Calcs!$I1414-Calcs!AE$1402)/3),Calcs!AE1414,IF(INT((Calcs!$I1414-Calcs!AE$1402)/12)=(Calcs!$I1414-Calcs!AE$1402)/12,Calcs!AE1414,0))))</f>
        <v>0</v>
      </c>
      <c r="Z544" s="237">
        <f>IF(OR(Calcs!$J$1402=Calcs!$I1414,Calcs!$I1414&gt;Z$61),0,IF(OR(Z$63="Monthly",Z$63=""),Calcs!AF1414,IF(AND(Z$63="Quarterly",INT((Calcs!$I1414-Calcs!AF$1402)/3)=(Calcs!$I1414-Calcs!AF$1402)/3),Calcs!AF1414,IF(INT((Calcs!$I1414-Calcs!AF$1402)/12)=(Calcs!$I1414-Calcs!AF$1402)/12,Calcs!AF1414,0))))</f>
        <v>0</v>
      </c>
      <c r="AA544" s="237">
        <f>IF(OR(Calcs!$J$1402=Calcs!$I1414,Calcs!$I1414&gt;AA$61),0,IF(OR(AA$63="Monthly",AA$63=""),Calcs!AG1414,IF(AND(AA$63="Quarterly",INT((Calcs!$I1414-Calcs!AG$1402)/3)=(Calcs!$I1414-Calcs!AG$1402)/3),Calcs!AG1414,IF(INT((Calcs!$I1414-Calcs!AG$1402)/12)=(Calcs!$I1414-Calcs!AG$1402)/12,Calcs!AG1414,0))))</f>
        <v>0</v>
      </c>
      <c r="AB544" s="237">
        <f>IF(OR(Calcs!$J$1402=Calcs!$I1414,Calcs!$I1414&gt;AB$61),0,IF(OR(AB$63="Monthly",AB$63=""),Calcs!AH1414,IF(AND(AB$63="Quarterly",INT((Calcs!$I1414-Calcs!AH$1402)/3)=(Calcs!$I1414-Calcs!AH$1402)/3),Calcs!AH1414,IF(INT((Calcs!$I1414-Calcs!AH$1402)/12)=(Calcs!$I1414-Calcs!AH$1402)/12,Calcs!AH1414,0))))</f>
        <v>0</v>
      </c>
      <c r="CH544" s="269"/>
      <c r="CI544" s="269"/>
      <c r="CJ544" s="269"/>
      <c r="CK544" s="269"/>
      <c r="CL544" s="269"/>
      <c r="CM544" s="269"/>
      <c r="CN544" s="269"/>
      <c r="CO544" s="269"/>
      <c r="CP544" s="269"/>
      <c r="CQ544" s="269"/>
      <c r="CR544" s="269"/>
      <c r="CS544" s="269"/>
    </row>
    <row r="545" spans="1:97" ht="12" customHeight="1" x14ac:dyDescent="0.3">
      <c r="A545" s="8"/>
      <c r="B545" s="8"/>
      <c r="C545" s="495">
        <f>C482</f>
        <v>305</v>
      </c>
      <c r="D545" s="237">
        <f>IF(OR(Calcs!$J$1402=Calcs!$I1415,Calcs!$I1415&gt;D$61),0,IF(OR(D$63="Monthly",D$63=""),Calcs!J1415,IF(AND(D$63="Quarterly",INT((Calcs!$I1415-Calcs!J$1402)/3)=(Calcs!$I1415-Calcs!J$1402)/3),Calcs!J1415,IF(INT((Calcs!$I1415-Calcs!J$1402)/12)=(Calcs!$I1415-Calcs!J$1402)/12,Calcs!J1415,0))))</f>
        <v>0</v>
      </c>
      <c r="E545" s="237">
        <f>IF(OR(Calcs!$J$1402=Calcs!$I1415,Calcs!$I1415&gt;E$61),0,IF(OR(E$63="Monthly",E$63=""),Calcs!K1415,IF(AND(E$63="Quarterly",INT((Calcs!$I1415-Calcs!K$1402)/3)=(Calcs!$I1415-Calcs!K$1402)/3),Calcs!K1415,IF(INT((Calcs!$I1415-Calcs!K$1402)/12)=(Calcs!$I1415-Calcs!K$1402)/12,Calcs!K1415,0))))</f>
        <v>0</v>
      </c>
      <c r="F545" s="237">
        <f>IF(OR(Calcs!$J$1402=Calcs!$I1415,Calcs!$I1415&gt;F$61),0,IF(OR(F$63="Monthly",F$63=""),Calcs!L1415,IF(AND(F$63="Quarterly",INT((Calcs!$I1415-Calcs!L$1402)/3)=(Calcs!$I1415-Calcs!L$1402)/3),Calcs!L1415,IF(INT((Calcs!$I1415-Calcs!L$1402)/12)=(Calcs!$I1415-Calcs!L$1402)/12,Calcs!L1415,0))))</f>
        <v>0</v>
      </c>
      <c r="G545" s="237">
        <f>IF(OR(Calcs!$J$1402=Calcs!$I1415,Calcs!$I1415&gt;G$61),0,IF(OR(G$63="Monthly",G$63=""),Calcs!M1415,IF(AND(G$63="Quarterly",INT((Calcs!$I1415-Calcs!M$1402)/3)=(Calcs!$I1415-Calcs!M$1402)/3),Calcs!M1415,IF(INT((Calcs!$I1415-Calcs!M$1402)/12)=(Calcs!$I1415-Calcs!M$1402)/12,Calcs!M1415,0))))</f>
        <v>0</v>
      </c>
      <c r="H545" s="237">
        <f>IF(OR(Calcs!$J$1402=Calcs!$I1415,Calcs!$I1415&gt;H$61),0,IF(OR(H$63="Monthly",H$63=""),Calcs!N1415,IF(AND(H$63="Quarterly",INT((Calcs!$I1415-Calcs!N$1402)/3)=(Calcs!$I1415-Calcs!N$1402)/3),Calcs!N1415,IF(INT((Calcs!$I1415-Calcs!N$1402)/12)=(Calcs!$I1415-Calcs!N$1402)/12,Calcs!N1415,0))))</f>
        <v>0</v>
      </c>
      <c r="I545" s="237">
        <f>IF(OR(Calcs!$J$1402=Calcs!$I1415,Calcs!$I1415&gt;I$61),0,IF(OR(I$63="Monthly",I$63=""),Calcs!O1415,IF(AND(I$63="Quarterly",INT((Calcs!$I1415-Calcs!O$1402)/3)=(Calcs!$I1415-Calcs!O$1402)/3),Calcs!O1415,IF(INT((Calcs!$I1415-Calcs!O$1402)/12)=(Calcs!$I1415-Calcs!O$1402)/12,Calcs!O1415,0))))</f>
        <v>0</v>
      </c>
      <c r="J545" s="237">
        <f>IF(OR(Calcs!$J$1402=Calcs!$I1415,Calcs!$I1415&gt;J$61),0,IF(OR(J$63="Monthly",J$63=""),Calcs!P1415,IF(AND(J$63="Quarterly",INT((Calcs!$I1415-Calcs!P$1402)/3)=(Calcs!$I1415-Calcs!P$1402)/3),Calcs!P1415,IF(INT((Calcs!$I1415-Calcs!P$1402)/12)=(Calcs!$I1415-Calcs!P$1402)/12,Calcs!P1415,0))))</f>
        <v>0</v>
      </c>
      <c r="K545" s="237">
        <f>IF(OR(Calcs!$J$1402=Calcs!$I1415,Calcs!$I1415&gt;K$61),0,IF(OR(K$63="Monthly",K$63=""),Calcs!Q1415,IF(AND(K$63="Quarterly",INT((Calcs!$I1415-Calcs!Q$1402)/3)=(Calcs!$I1415-Calcs!Q$1402)/3),Calcs!Q1415,IF(INT((Calcs!$I1415-Calcs!Q$1402)/12)=(Calcs!$I1415-Calcs!Q$1402)/12,Calcs!Q1415,0))))</f>
        <v>0</v>
      </c>
      <c r="L545" s="237">
        <f>IF(OR(Calcs!$J$1402=Calcs!$I1415,Calcs!$I1415&gt;L$61),0,IF(OR(L$63="Monthly",L$63=""),Calcs!R1415,IF(AND(L$63="Quarterly",INT((Calcs!$I1415-Calcs!R$1402)/3)=(Calcs!$I1415-Calcs!R$1402)/3),Calcs!R1415,IF(INT((Calcs!$I1415-Calcs!R$1402)/12)=(Calcs!$I1415-Calcs!R$1402)/12,Calcs!R1415,0))))</f>
        <v>0</v>
      </c>
      <c r="M545" s="237">
        <f>IF(OR(Calcs!$J$1402=Calcs!$I1415,Calcs!$I1415&gt;M$61),0,IF(OR(M$63="Monthly",M$63=""),Calcs!S1415,IF(AND(M$63="Quarterly",INT((Calcs!$I1415-Calcs!S$1402)/3)=(Calcs!$I1415-Calcs!S$1402)/3),Calcs!S1415,IF(INT((Calcs!$I1415-Calcs!S$1402)/12)=(Calcs!$I1415-Calcs!S$1402)/12,Calcs!S1415,0))))</f>
        <v>0</v>
      </c>
      <c r="N545" s="237">
        <f>IF(OR(Calcs!$J$1402=Calcs!$I1415,Calcs!$I1415&gt;N$61),0,IF(OR(N$63="Monthly",N$63=""),Calcs!T1415,IF(AND(N$63="Quarterly",INT((Calcs!$I1415-Calcs!T$1402)/3)=(Calcs!$I1415-Calcs!T$1402)/3),Calcs!T1415,IF(INT((Calcs!$I1415-Calcs!T$1402)/12)=(Calcs!$I1415-Calcs!T$1402)/12,Calcs!T1415,0))))</f>
        <v>0</v>
      </c>
      <c r="O545" s="237">
        <f>IF(OR(Calcs!$J$1402=Calcs!$I1415,Calcs!$I1415&gt;O$61),0,IF(OR(O$63="Monthly",O$63=""),Calcs!U1415,IF(AND(O$63="Quarterly",INT((Calcs!$I1415-Calcs!U$1402)/3)=(Calcs!$I1415-Calcs!U$1402)/3),Calcs!U1415,IF(INT((Calcs!$I1415-Calcs!U$1402)/12)=(Calcs!$I1415-Calcs!U$1402)/12,Calcs!U1415,0))))</f>
        <v>0</v>
      </c>
      <c r="P545" s="237">
        <f>IF(OR(Calcs!$J$1402=Calcs!$I1415,Calcs!$I1415&gt;P$61),0,IF(OR(P$63="Monthly",P$63=""),Calcs!V1415,IF(AND(P$63="Quarterly",INT((Calcs!$I1415-Calcs!V$1402)/3)=(Calcs!$I1415-Calcs!V$1402)/3),Calcs!V1415,IF(INT((Calcs!$I1415-Calcs!V$1402)/12)=(Calcs!$I1415-Calcs!V$1402)/12,Calcs!V1415,0))))</f>
        <v>0</v>
      </c>
      <c r="Q545" s="237">
        <f>IF(OR(Calcs!$J$1402=Calcs!$I1415,Calcs!$I1415&gt;Q$61),0,IF(OR(Q$63="Monthly",Q$63=""),Calcs!W1415,IF(AND(Q$63="Quarterly",INT((Calcs!$I1415-Calcs!W$1402)/3)=(Calcs!$I1415-Calcs!W$1402)/3),Calcs!W1415,IF(INT((Calcs!$I1415-Calcs!W$1402)/12)=(Calcs!$I1415-Calcs!W$1402)/12,Calcs!W1415,0))))</f>
        <v>0</v>
      </c>
      <c r="R545" s="237">
        <f>IF(OR(Calcs!$J$1402=Calcs!$I1415,Calcs!$I1415&gt;R$61),0,IF(OR(R$63="Monthly",R$63=""),Calcs!X1415,IF(AND(R$63="Quarterly",INT((Calcs!$I1415-Calcs!X$1402)/3)=(Calcs!$I1415-Calcs!X$1402)/3),Calcs!X1415,IF(INT((Calcs!$I1415-Calcs!X$1402)/12)=(Calcs!$I1415-Calcs!X$1402)/12,Calcs!X1415,0))))</f>
        <v>0</v>
      </c>
      <c r="S545" s="237">
        <f>IF(OR(Calcs!$J$1402=Calcs!$I1415,Calcs!$I1415&gt;S$61),0,IF(OR(S$63="Monthly",S$63=""),Calcs!Y1415,IF(AND(S$63="Quarterly",INT((Calcs!$I1415-Calcs!Y$1402)/3)=(Calcs!$I1415-Calcs!Y$1402)/3),Calcs!Y1415,IF(INT((Calcs!$I1415-Calcs!Y$1402)/12)=(Calcs!$I1415-Calcs!Y$1402)/12,Calcs!Y1415,0))))</f>
        <v>0</v>
      </c>
      <c r="T545" s="237">
        <f>IF(OR(Calcs!$J$1402=Calcs!$I1415,Calcs!$I1415&gt;T$61),0,IF(OR(T$63="Monthly",T$63=""),Calcs!Z1415,IF(AND(T$63="Quarterly",INT((Calcs!$I1415-Calcs!Z$1402)/3)=(Calcs!$I1415-Calcs!Z$1402)/3),Calcs!Z1415,IF(INT((Calcs!$I1415-Calcs!Z$1402)/12)=(Calcs!$I1415-Calcs!Z$1402)/12,Calcs!Z1415,0))))</f>
        <v>0</v>
      </c>
      <c r="U545" s="237">
        <f>IF(OR(Calcs!$J$1402=Calcs!$I1415,Calcs!$I1415&gt;U$61),0,IF(OR(U$63="Monthly",U$63=""),Calcs!AA1415,IF(AND(U$63="Quarterly",INT((Calcs!$I1415-Calcs!AA$1402)/3)=(Calcs!$I1415-Calcs!AA$1402)/3),Calcs!AA1415,IF(INT((Calcs!$I1415-Calcs!AA$1402)/12)=(Calcs!$I1415-Calcs!AA$1402)/12,Calcs!AA1415,0))))</f>
        <v>0</v>
      </c>
      <c r="V545" s="237">
        <f>IF(OR(Calcs!$J$1402=Calcs!$I1415,Calcs!$I1415&gt;V$61),0,IF(OR(V$63="Monthly",V$63=""),Calcs!AB1415,IF(AND(V$63="Quarterly",INT((Calcs!$I1415-Calcs!AB$1402)/3)=(Calcs!$I1415-Calcs!AB$1402)/3),Calcs!AB1415,IF(INT((Calcs!$I1415-Calcs!AB$1402)/12)=(Calcs!$I1415-Calcs!AB$1402)/12,Calcs!AB1415,0))))</f>
        <v>0</v>
      </c>
      <c r="W545" s="237">
        <f>IF(OR(Calcs!$J$1402=Calcs!$I1415,Calcs!$I1415&gt;W$61),0,IF(OR(W$63="Monthly",W$63=""),Calcs!AC1415,IF(AND(W$63="Quarterly",INT((Calcs!$I1415-Calcs!AC$1402)/3)=(Calcs!$I1415-Calcs!AC$1402)/3),Calcs!AC1415,IF(INT((Calcs!$I1415-Calcs!AC$1402)/12)=(Calcs!$I1415-Calcs!AC$1402)/12,Calcs!AC1415,0))))</f>
        <v>0</v>
      </c>
      <c r="X545" s="237">
        <f>IF(OR(Calcs!$J$1402=Calcs!$I1415,Calcs!$I1415&gt;X$61),0,IF(OR(X$63="Monthly",X$63=""),Calcs!AD1415,IF(AND(X$63="Quarterly",INT((Calcs!$I1415-Calcs!AD$1402)/3)=(Calcs!$I1415-Calcs!AD$1402)/3),Calcs!AD1415,IF(INT((Calcs!$I1415-Calcs!AD$1402)/12)=(Calcs!$I1415-Calcs!AD$1402)/12,Calcs!AD1415,0))))</f>
        <v>0</v>
      </c>
      <c r="Y545" s="237">
        <f>IF(OR(Calcs!$J$1402=Calcs!$I1415,Calcs!$I1415&gt;Y$61),0,IF(OR(Y$63="Monthly",Y$63=""),Calcs!AE1415,IF(AND(Y$63="Quarterly",INT((Calcs!$I1415-Calcs!AE$1402)/3)=(Calcs!$I1415-Calcs!AE$1402)/3),Calcs!AE1415,IF(INT((Calcs!$I1415-Calcs!AE$1402)/12)=(Calcs!$I1415-Calcs!AE$1402)/12,Calcs!AE1415,0))))</f>
        <v>0</v>
      </c>
      <c r="Z545" s="237">
        <f>IF(OR(Calcs!$J$1402=Calcs!$I1415,Calcs!$I1415&gt;Z$61),0,IF(OR(Z$63="Monthly",Z$63=""),Calcs!AF1415,IF(AND(Z$63="Quarterly",INT((Calcs!$I1415-Calcs!AF$1402)/3)=(Calcs!$I1415-Calcs!AF$1402)/3),Calcs!AF1415,IF(INT((Calcs!$I1415-Calcs!AF$1402)/12)=(Calcs!$I1415-Calcs!AF$1402)/12,Calcs!AF1415,0))))</f>
        <v>0</v>
      </c>
      <c r="AA545" s="237">
        <f>IF(OR(Calcs!$J$1402=Calcs!$I1415,Calcs!$I1415&gt;AA$61),0,IF(OR(AA$63="Monthly",AA$63=""),Calcs!AG1415,IF(AND(AA$63="Quarterly",INT((Calcs!$I1415-Calcs!AG$1402)/3)=(Calcs!$I1415-Calcs!AG$1402)/3),Calcs!AG1415,IF(INT((Calcs!$I1415-Calcs!AG$1402)/12)=(Calcs!$I1415-Calcs!AG$1402)/12,Calcs!AG1415,0))))</f>
        <v>0</v>
      </c>
      <c r="AB545" s="237">
        <f>IF(OR(Calcs!$J$1402=Calcs!$I1415,Calcs!$I1415&gt;AB$61),0,IF(OR(AB$63="Monthly",AB$63=""),Calcs!AH1415,IF(AND(AB$63="Quarterly",INT((Calcs!$I1415-Calcs!AH$1402)/3)=(Calcs!$I1415-Calcs!AH$1402)/3),Calcs!AH1415,IF(INT((Calcs!$I1415-Calcs!AH$1402)/12)=(Calcs!$I1415-Calcs!AH$1402)/12,Calcs!AH1415,0))))</f>
        <v>0</v>
      </c>
      <c r="CH545" s="269"/>
      <c r="CI545" s="269"/>
      <c r="CJ545" s="269"/>
      <c r="CK545" s="269"/>
      <c r="CL545" s="269"/>
      <c r="CM545" s="269"/>
      <c r="CN545" s="269"/>
      <c r="CO545" s="269"/>
      <c r="CP545" s="269"/>
      <c r="CQ545" s="269"/>
      <c r="CR545" s="269"/>
      <c r="CS545" s="269"/>
    </row>
    <row r="546" spans="1:97" ht="12" customHeight="1" x14ac:dyDescent="0.3">
      <c r="A546" s="8"/>
      <c r="B546" s="8"/>
      <c r="C546" s="495">
        <f>C483</f>
        <v>335</v>
      </c>
      <c r="D546" s="237">
        <f>IF(OR(Calcs!$J$1402=Calcs!$I1416,Calcs!$I1416&gt;D$61),0,IF(OR(D$63="Monthly",D$63=""),Calcs!J1416,IF(AND(D$63="Quarterly",INT((Calcs!$I1416-Calcs!J$1402)/3)=(Calcs!$I1416-Calcs!J$1402)/3),Calcs!J1416,IF(INT((Calcs!$I1416-Calcs!J$1402)/12)=(Calcs!$I1416-Calcs!J$1402)/12,Calcs!J1416,0))))</f>
        <v>0</v>
      </c>
      <c r="E546" s="237">
        <f>IF(OR(Calcs!$J$1402=Calcs!$I1416,Calcs!$I1416&gt;E$61),0,IF(OR(E$63="Monthly",E$63=""),Calcs!K1416,IF(AND(E$63="Quarterly",INT((Calcs!$I1416-Calcs!K$1402)/3)=(Calcs!$I1416-Calcs!K$1402)/3),Calcs!K1416,IF(INT((Calcs!$I1416-Calcs!K$1402)/12)=(Calcs!$I1416-Calcs!K$1402)/12,Calcs!K1416,0))))</f>
        <v>0</v>
      </c>
      <c r="F546" s="237">
        <f>IF(OR(Calcs!$J$1402=Calcs!$I1416,Calcs!$I1416&gt;F$61),0,IF(OR(F$63="Monthly",F$63=""),Calcs!L1416,IF(AND(F$63="Quarterly",INT((Calcs!$I1416-Calcs!L$1402)/3)=(Calcs!$I1416-Calcs!L$1402)/3),Calcs!L1416,IF(INT((Calcs!$I1416-Calcs!L$1402)/12)=(Calcs!$I1416-Calcs!L$1402)/12,Calcs!L1416,0))))</f>
        <v>0</v>
      </c>
      <c r="G546" s="237">
        <f>IF(OR(Calcs!$J$1402=Calcs!$I1416,Calcs!$I1416&gt;G$61),0,IF(OR(G$63="Monthly",G$63=""),Calcs!M1416,IF(AND(G$63="Quarterly",INT((Calcs!$I1416-Calcs!M$1402)/3)=(Calcs!$I1416-Calcs!M$1402)/3),Calcs!M1416,IF(INT((Calcs!$I1416-Calcs!M$1402)/12)=(Calcs!$I1416-Calcs!M$1402)/12,Calcs!M1416,0))))</f>
        <v>0</v>
      </c>
      <c r="H546" s="237">
        <f>IF(OR(Calcs!$J$1402=Calcs!$I1416,Calcs!$I1416&gt;H$61),0,IF(OR(H$63="Monthly",H$63=""),Calcs!N1416,IF(AND(H$63="Quarterly",INT((Calcs!$I1416-Calcs!N$1402)/3)=(Calcs!$I1416-Calcs!N$1402)/3),Calcs!N1416,IF(INT((Calcs!$I1416-Calcs!N$1402)/12)=(Calcs!$I1416-Calcs!N$1402)/12,Calcs!N1416,0))))</f>
        <v>0</v>
      </c>
      <c r="I546" s="237">
        <f>IF(OR(Calcs!$J$1402=Calcs!$I1416,Calcs!$I1416&gt;I$61),0,IF(OR(I$63="Monthly",I$63=""),Calcs!O1416,IF(AND(I$63="Quarterly",INT((Calcs!$I1416-Calcs!O$1402)/3)=(Calcs!$I1416-Calcs!O$1402)/3),Calcs!O1416,IF(INT((Calcs!$I1416-Calcs!O$1402)/12)=(Calcs!$I1416-Calcs!O$1402)/12,Calcs!O1416,0))))</f>
        <v>0</v>
      </c>
      <c r="J546" s="237">
        <f>IF(OR(Calcs!$J$1402=Calcs!$I1416,Calcs!$I1416&gt;J$61),0,IF(OR(J$63="Monthly",J$63=""),Calcs!P1416,IF(AND(J$63="Quarterly",INT((Calcs!$I1416-Calcs!P$1402)/3)=(Calcs!$I1416-Calcs!P$1402)/3),Calcs!P1416,IF(INT((Calcs!$I1416-Calcs!P$1402)/12)=(Calcs!$I1416-Calcs!P$1402)/12,Calcs!P1416,0))))</f>
        <v>0</v>
      </c>
      <c r="K546" s="237">
        <f>IF(OR(Calcs!$J$1402=Calcs!$I1416,Calcs!$I1416&gt;K$61),0,IF(OR(K$63="Monthly",K$63=""),Calcs!Q1416,IF(AND(K$63="Quarterly",INT((Calcs!$I1416-Calcs!Q$1402)/3)=(Calcs!$I1416-Calcs!Q$1402)/3),Calcs!Q1416,IF(INT((Calcs!$I1416-Calcs!Q$1402)/12)=(Calcs!$I1416-Calcs!Q$1402)/12,Calcs!Q1416,0))))</f>
        <v>0</v>
      </c>
      <c r="L546" s="237">
        <f>IF(OR(Calcs!$J$1402=Calcs!$I1416,Calcs!$I1416&gt;L$61),0,IF(OR(L$63="Monthly",L$63=""),Calcs!R1416,IF(AND(L$63="Quarterly",INT((Calcs!$I1416-Calcs!R$1402)/3)=(Calcs!$I1416-Calcs!R$1402)/3),Calcs!R1416,IF(INT((Calcs!$I1416-Calcs!R$1402)/12)=(Calcs!$I1416-Calcs!R$1402)/12,Calcs!R1416,0))))</f>
        <v>0</v>
      </c>
      <c r="M546" s="237">
        <f>IF(OR(Calcs!$J$1402=Calcs!$I1416,Calcs!$I1416&gt;M$61),0,IF(OR(M$63="Monthly",M$63=""),Calcs!S1416,IF(AND(M$63="Quarterly",INT((Calcs!$I1416-Calcs!S$1402)/3)=(Calcs!$I1416-Calcs!S$1402)/3),Calcs!S1416,IF(INT((Calcs!$I1416-Calcs!S$1402)/12)=(Calcs!$I1416-Calcs!S$1402)/12,Calcs!S1416,0))))</f>
        <v>0</v>
      </c>
      <c r="N546" s="237">
        <f>IF(OR(Calcs!$J$1402=Calcs!$I1416,Calcs!$I1416&gt;N$61),0,IF(OR(N$63="Monthly",N$63=""),Calcs!T1416,IF(AND(N$63="Quarterly",INT((Calcs!$I1416-Calcs!T$1402)/3)=(Calcs!$I1416-Calcs!T$1402)/3),Calcs!T1416,IF(INT((Calcs!$I1416-Calcs!T$1402)/12)=(Calcs!$I1416-Calcs!T$1402)/12,Calcs!T1416,0))))</f>
        <v>0</v>
      </c>
      <c r="O546" s="237">
        <f>IF(OR(Calcs!$J$1402=Calcs!$I1416,Calcs!$I1416&gt;O$61),0,IF(OR(O$63="Monthly",O$63=""),Calcs!U1416,IF(AND(O$63="Quarterly",INT((Calcs!$I1416-Calcs!U$1402)/3)=(Calcs!$I1416-Calcs!U$1402)/3),Calcs!U1416,IF(INT((Calcs!$I1416-Calcs!U$1402)/12)=(Calcs!$I1416-Calcs!U$1402)/12,Calcs!U1416,0))))</f>
        <v>0</v>
      </c>
      <c r="P546" s="237">
        <f>IF(OR(Calcs!$J$1402=Calcs!$I1416,Calcs!$I1416&gt;P$61),0,IF(OR(P$63="Monthly",P$63=""),Calcs!V1416,IF(AND(P$63="Quarterly",INT((Calcs!$I1416-Calcs!V$1402)/3)=(Calcs!$I1416-Calcs!V$1402)/3),Calcs!V1416,IF(INT((Calcs!$I1416-Calcs!V$1402)/12)=(Calcs!$I1416-Calcs!V$1402)/12,Calcs!V1416,0))))</f>
        <v>0</v>
      </c>
      <c r="Q546" s="237">
        <f>IF(OR(Calcs!$J$1402=Calcs!$I1416,Calcs!$I1416&gt;Q$61),0,IF(OR(Q$63="Monthly",Q$63=""),Calcs!W1416,IF(AND(Q$63="Quarterly",INT((Calcs!$I1416-Calcs!W$1402)/3)=(Calcs!$I1416-Calcs!W$1402)/3),Calcs!W1416,IF(INT((Calcs!$I1416-Calcs!W$1402)/12)=(Calcs!$I1416-Calcs!W$1402)/12,Calcs!W1416,0))))</f>
        <v>0</v>
      </c>
      <c r="R546" s="237">
        <f>IF(OR(Calcs!$J$1402=Calcs!$I1416,Calcs!$I1416&gt;R$61),0,IF(OR(R$63="Monthly",R$63=""),Calcs!X1416,IF(AND(R$63="Quarterly",INT((Calcs!$I1416-Calcs!X$1402)/3)=(Calcs!$I1416-Calcs!X$1402)/3),Calcs!X1416,IF(INT((Calcs!$I1416-Calcs!X$1402)/12)=(Calcs!$I1416-Calcs!X$1402)/12,Calcs!X1416,0))))</f>
        <v>0</v>
      </c>
      <c r="S546" s="237">
        <f>IF(OR(Calcs!$J$1402=Calcs!$I1416,Calcs!$I1416&gt;S$61),0,IF(OR(S$63="Monthly",S$63=""),Calcs!Y1416,IF(AND(S$63="Quarterly",INT((Calcs!$I1416-Calcs!Y$1402)/3)=(Calcs!$I1416-Calcs!Y$1402)/3),Calcs!Y1416,IF(INT((Calcs!$I1416-Calcs!Y$1402)/12)=(Calcs!$I1416-Calcs!Y$1402)/12,Calcs!Y1416,0))))</f>
        <v>0</v>
      </c>
      <c r="T546" s="237">
        <f>IF(OR(Calcs!$J$1402=Calcs!$I1416,Calcs!$I1416&gt;T$61),0,IF(OR(T$63="Monthly",T$63=""),Calcs!Z1416,IF(AND(T$63="Quarterly",INT((Calcs!$I1416-Calcs!Z$1402)/3)=(Calcs!$I1416-Calcs!Z$1402)/3),Calcs!Z1416,IF(INT((Calcs!$I1416-Calcs!Z$1402)/12)=(Calcs!$I1416-Calcs!Z$1402)/12,Calcs!Z1416,0))))</f>
        <v>0</v>
      </c>
      <c r="U546" s="237">
        <f>IF(OR(Calcs!$J$1402=Calcs!$I1416,Calcs!$I1416&gt;U$61),0,IF(OR(U$63="Monthly",U$63=""),Calcs!AA1416,IF(AND(U$63="Quarterly",INT((Calcs!$I1416-Calcs!AA$1402)/3)=(Calcs!$I1416-Calcs!AA$1402)/3),Calcs!AA1416,IF(INT((Calcs!$I1416-Calcs!AA$1402)/12)=(Calcs!$I1416-Calcs!AA$1402)/12,Calcs!AA1416,0))))</f>
        <v>0</v>
      </c>
      <c r="V546" s="237">
        <f>IF(OR(Calcs!$J$1402=Calcs!$I1416,Calcs!$I1416&gt;V$61),0,IF(OR(V$63="Monthly",V$63=""),Calcs!AB1416,IF(AND(V$63="Quarterly",INT((Calcs!$I1416-Calcs!AB$1402)/3)=(Calcs!$I1416-Calcs!AB$1402)/3),Calcs!AB1416,IF(INT((Calcs!$I1416-Calcs!AB$1402)/12)=(Calcs!$I1416-Calcs!AB$1402)/12,Calcs!AB1416,0))))</f>
        <v>0</v>
      </c>
      <c r="W546" s="237">
        <f>IF(OR(Calcs!$J$1402=Calcs!$I1416,Calcs!$I1416&gt;W$61),0,IF(OR(W$63="Monthly",W$63=""),Calcs!AC1416,IF(AND(W$63="Quarterly",INT((Calcs!$I1416-Calcs!AC$1402)/3)=(Calcs!$I1416-Calcs!AC$1402)/3),Calcs!AC1416,IF(INT((Calcs!$I1416-Calcs!AC$1402)/12)=(Calcs!$I1416-Calcs!AC$1402)/12,Calcs!AC1416,0))))</f>
        <v>0</v>
      </c>
      <c r="X546" s="237">
        <f>IF(OR(Calcs!$J$1402=Calcs!$I1416,Calcs!$I1416&gt;X$61),0,IF(OR(X$63="Monthly",X$63=""),Calcs!AD1416,IF(AND(X$63="Quarterly",INT((Calcs!$I1416-Calcs!AD$1402)/3)=(Calcs!$I1416-Calcs!AD$1402)/3),Calcs!AD1416,IF(INT((Calcs!$I1416-Calcs!AD$1402)/12)=(Calcs!$I1416-Calcs!AD$1402)/12,Calcs!AD1416,0))))</f>
        <v>0</v>
      </c>
      <c r="Y546" s="237">
        <f>IF(OR(Calcs!$J$1402=Calcs!$I1416,Calcs!$I1416&gt;Y$61),0,IF(OR(Y$63="Monthly",Y$63=""),Calcs!AE1416,IF(AND(Y$63="Quarterly",INT((Calcs!$I1416-Calcs!AE$1402)/3)=(Calcs!$I1416-Calcs!AE$1402)/3),Calcs!AE1416,IF(INT((Calcs!$I1416-Calcs!AE$1402)/12)=(Calcs!$I1416-Calcs!AE$1402)/12,Calcs!AE1416,0))))</f>
        <v>0</v>
      </c>
      <c r="Z546" s="237">
        <f>IF(OR(Calcs!$J$1402=Calcs!$I1416,Calcs!$I1416&gt;Z$61),0,IF(OR(Z$63="Monthly",Z$63=""),Calcs!AF1416,IF(AND(Z$63="Quarterly",INT((Calcs!$I1416-Calcs!AF$1402)/3)=(Calcs!$I1416-Calcs!AF$1402)/3),Calcs!AF1416,IF(INT((Calcs!$I1416-Calcs!AF$1402)/12)=(Calcs!$I1416-Calcs!AF$1402)/12,Calcs!AF1416,0))))</f>
        <v>0</v>
      </c>
      <c r="AA546" s="237">
        <f>IF(OR(Calcs!$J$1402=Calcs!$I1416,Calcs!$I1416&gt;AA$61),0,IF(OR(AA$63="Monthly",AA$63=""),Calcs!AG1416,IF(AND(AA$63="Quarterly",INT((Calcs!$I1416-Calcs!AG$1402)/3)=(Calcs!$I1416-Calcs!AG$1402)/3),Calcs!AG1416,IF(INT((Calcs!$I1416-Calcs!AG$1402)/12)=(Calcs!$I1416-Calcs!AG$1402)/12,Calcs!AG1416,0))))</f>
        <v>0</v>
      </c>
      <c r="AB546" s="237">
        <f>IF(OR(Calcs!$J$1402=Calcs!$I1416,Calcs!$I1416&gt;AB$61),0,IF(OR(AB$63="Monthly",AB$63=""),Calcs!AH1416,IF(AND(AB$63="Quarterly",INT((Calcs!$I1416-Calcs!AH$1402)/3)=(Calcs!$I1416-Calcs!AH$1402)/3),Calcs!AH1416,IF(INT((Calcs!$I1416-Calcs!AH$1402)/12)=(Calcs!$I1416-Calcs!AH$1402)/12,Calcs!AH1416,0))))</f>
        <v>0</v>
      </c>
      <c r="CH546" s="269"/>
      <c r="CI546" s="269"/>
      <c r="CJ546" s="269"/>
      <c r="CK546" s="269"/>
      <c r="CL546" s="269"/>
      <c r="CM546" s="269"/>
      <c r="CN546" s="269"/>
      <c r="CO546" s="269"/>
      <c r="CP546" s="269"/>
      <c r="CQ546" s="269"/>
      <c r="CR546" s="269"/>
      <c r="CS546" s="269"/>
    </row>
    <row r="547" spans="1:97" ht="12" customHeight="1" thickBot="1" x14ac:dyDescent="0.35">
      <c r="A547" s="8"/>
      <c r="B547" s="8"/>
      <c r="C547" s="496">
        <f>C484</f>
        <v>366</v>
      </c>
      <c r="D547" s="238">
        <f>IF(OR(Calcs!$J$1402=Calcs!$I1417,Calcs!$I1417&gt;D$61),0,IF(OR(D$63="Monthly",D$63=""),Calcs!J1417,IF(AND(D$63="Quarterly",INT((Calcs!$I1417-Calcs!J$1402)/3)=(Calcs!$I1417-Calcs!J$1402)/3),Calcs!J1417,IF(INT((Calcs!$I1417-Calcs!J$1402)/12)=(Calcs!$I1417-Calcs!J$1402)/12,Calcs!J1417,0))))</f>
        <v>0</v>
      </c>
      <c r="E547" s="238">
        <f>IF(OR(Calcs!$J$1402=Calcs!$I1417,Calcs!$I1417&gt;E$61),0,IF(OR(E$63="Monthly",E$63=""),Calcs!K1417,IF(AND(E$63="Quarterly",INT((Calcs!$I1417-Calcs!K$1402)/3)=(Calcs!$I1417-Calcs!K$1402)/3),Calcs!K1417,IF(INT((Calcs!$I1417-Calcs!K$1402)/12)=(Calcs!$I1417-Calcs!K$1402)/12,Calcs!K1417,0))))</f>
        <v>0</v>
      </c>
      <c r="F547" s="238">
        <f>IF(OR(Calcs!$J$1402=Calcs!$I1417,Calcs!$I1417&gt;F$61),0,IF(OR(F$63="Monthly",F$63=""),Calcs!L1417,IF(AND(F$63="Quarterly",INT((Calcs!$I1417-Calcs!L$1402)/3)=(Calcs!$I1417-Calcs!L$1402)/3),Calcs!L1417,IF(INT((Calcs!$I1417-Calcs!L$1402)/12)=(Calcs!$I1417-Calcs!L$1402)/12,Calcs!L1417,0))))</f>
        <v>0</v>
      </c>
      <c r="G547" s="238">
        <f>IF(OR(Calcs!$J$1402=Calcs!$I1417,Calcs!$I1417&gt;G$61),0,IF(OR(G$63="Monthly",G$63=""),Calcs!M1417,IF(AND(G$63="Quarterly",INT((Calcs!$I1417-Calcs!M$1402)/3)=(Calcs!$I1417-Calcs!M$1402)/3),Calcs!M1417,IF(INT((Calcs!$I1417-Calcs!M$1402)/12)=(Calcs!$I1417-Calcs!M$1402)/12,Calcs!M1417,0))))</f>
        <v>0</v>
      </c>
      <c r="H547" s="238">
        <f>IF(OR(Calcs!$J$1402=Calcs!$I1417,Calcs!$I1417&gt;H$61),0,IF(OR(H$63="Monthly",H$63=""),Calcs!N1417,IF(AND(H$63="Quarterly",INT((Calcs!$I1417-Calcs!N$1402)/3)=(Calcs!$I1417-Calcs!N$1402)/3),Calcs!N1417,IF(INT((Calcs!$I1417-Calcs!N$1402)/12)=(Calcs!$I1417-Calcs!N$1402)/12,Calcs!N1417,0))))</f>
        <v>0</v>
      </c>
      <c r="I547" s="238">
        <f>IF(OR(Calcs!$J$1402=Calcs!$I1417,Calcs!$I1417&gt;I$61),0,IF(OR(I$63="Monthly",I$63=""),Calcs!O1417,IF(AND(I$63="Quarterly",INT((Calcs!$I1417-Calcs!O$1402)/3)=(Calcs!$I1417-Calcs!O$1402)/3),Calcs!O1417,IF(INT((Calcs!$I1417-Calcs!O$1402)/12)=(Calcs!$I1417-Calcs!O$1402)/12,Calcs!O1417,0))))</f>
        <v>0</v>
      </c>
      <c r="J547" s="238">
        <f>IF(OR(Calcs!$J$1402=Calcs!$I1417,Calcs!$I1417&gt;J$61),0,IF(OR(J$63="Monthly",J$63=""),Calcs!P1417,IF(AND(J$63="Quarterly",INT((Calcs!$I1417-Calcs!P$1402)/3)=(Calcs!$I1417-Calcs!P$1402)/3),Calcs!P1417,IF(INT((Calcs!$I1417-Calcs!P$1402)/12)=(Calcs!$I1417-Calcs!P$1402)/12,Calcs!P1417,0))))</f>
        <v>0</v>
      </c>
      <c r="K547" s="238">
        <f>IF(OR(Calcs!$J$1402=Calcs!$I1417,Calcs!$I1417&gt;K$61),0,IF(OR(K$63="Monthly",K$63=""),Calcs!Q1417,IF(AND(K$63="Quarterly",INT((Calcs!$I1417-Calcs!Q$1402)/3)=(Calcs!$I1417-Calcs!Q$1402)/3),Calcs!Q1417,IF(INT((Calcs!$I1417-Calcs!Q$1402)/12)=(Calcs!$I1417-Calcs!Q$1402)/12,Calcs!Q1417,0))))</f>
        <v>0</v>
      </c>
      <c r="L547" s="238">
        <f>IF(OR(Calcs!$J$1402=Calcs!$I1417,Calcs!$I1417&gt;L$61),0,IF(OR(L$63="Monthly",L$63=""),Calcs!R1417,IF(AND(L$63="Quarterly",INT((Calcs!$I1417-Calcs!R$1402)/3)=(Calcs!$I1417-Calcs!R$1402)/3),Calcs!R1417,IF(INT((Calcs!$I1417-Calcs!R$1402)/12)=(Calcs!$I1417-Calcs!R$1402)/12,Calcs!R1417,0))))</f>
        <v>0</v>
      </c>
      <c r="M547" s="238">
        <f>IF(OR(Calcs!$J$1402=Calcs!$I1417,Calcs!$I1417&gt;M$61),0,IF(OR(M$63="Monthly",M$63=""),Calcs!S1417,IF(AND(M$63="Quarterly",INT((Calcs!$I1417-Calcs!S$1402)/3)=(Calcs!$I1417-Calcs!S$1402)/3),Calcs!S1417,IF(INT((Calcs!$I1417-Calcs!S$1402)/12)=(Calcs!$I1417-Calcs!S$1402)/12,Calcs!S1417,0))))</f>
        <v>0</v>
      </c>
      <c r="N547" s="238">
        <f>IF(OR(Calcs!$J$1402=Calcs!$I1417,Calcs!$I1417&gt;N$61),0,IF(OR(N$63="Monthly",N$63=""),Calcs!T1417,IF(AND(N$63="Quarterly",INT((Calcs!$I1417-Calcs!T$1402)/3)=(Calcs!$I1417-Calcs!T$1402)/3),Calcs!T1417,IF(INT((Calcs!$I1417-Calcs!T$1402)/12)=(Calcs!$I1417-Calcs!T$1402)/12,Calcs!T1417,0))))</f>
        <v>0</v>
      </c>
      <c r="O547" s="238">
        <f>IF(OR(Calcs!$J$1402=Calcs!$I1417,Calcs!$I1417&gt;O$61),0,IF(OR(O$63="Monthly",O$63=""),Calcs!U1417,IF(AND(O$63="Quarterly",INT((Calcs!$I1417-Calcs!U$1402)/3)=(Calcs!$I1417-Calcs!U$1402)/3),Calcs!U1417,IF(INT((Calcs!$I1417-Calcs!U$1402)/12)=(Calcs!$I1417-Calcs!U$1402)/12,Calcs!U1417,0))))</f>
        <v>0</v>
      </c>
      <c r="P547" s="238">
        <f>IF(OR(Calcs!$J$1402=Calcs!$I1417,Calcs!$I1417&gt;P$61),0,IF(OR(P$63="Monthly",P$63=""),Calcs!V1417,IF(AND(P$63="Quarterly",INT((Calcs!$I1417-Calcs!V$1402)/3)=(Calcs!$I1417-Calcs!V$1402)/3),Calcs!V1417,IF(INT((Calcs!$I1417-Calcs!V$1402)/12)=(Calcs!$I1417-Calcs!V$1402)/12,Calcs!V1417,0))))</f>
        <v>0</v>
      </c>
      <c r="Q547" s="238">
        <f>IF(OR(Calcs!$J$1402=Calcs!$I1417,Calcs!$I1417&gt;Q$61),0,IF(OR(Q$63="Monthly",Q$63=""),Calcs!W1417,IF(AND(Q$63="Quarterly",INT((Calcs!$I1417-Calcs!W$1402)/3)=(Calcs!$I1417-Calcs!W$1402)/3),Calcs!W1417,IF(INT((Calcs!$I1417-Calcs!W$1402)/12)=(Calcs!$I1417-Calcs!W$1402)/12,Calcs!W1417,0))))</f>
        <v>0</v>
      </c>
      <c r="R547" s="238">
        <f>IF(OR(Calcs!$J$1402=Calcs!$I1417,Calcs!$I1417&gt;R$61),0,IF(OR(R$63="Monthly",R$63=""),Calcs!X1417,IF(AND(R$63="Quarterly",INT((Calcs!$I1417-Calcs!X$1402)/3)=(Calcs!$I1417-Calcs!X$1402)/3),Calcs!X1417,IF(INT((Calcs!$I1417-Calcs!X$1402)/12)=(Calcs!$I1417-Calcs!X$1402)/12,Calcs!X1417,0))))</f>
        <v>0</v>
      </c>
      <c r="S547" s="238">
        <f>IF(OR(Calcs!$J$1402=Calcs!$I1417,Calcs!$I1417&gt;S$61),0,IF(OR(S$63="Monthly",S$63=""),Calcs!Y1417,IF(AND(S$63="Quarterly",INT((Calcs!$I1417-Calcs!Y$1402)/3)=(Calcs!$I1417-Calcs!Y$1402)/3),Calcs!Y1417,IF(INT((Calcs!$I1417-Calcs!Y$1402)/12)=(Calcs!$I1417-Calcs!Y$1402)/12,Calcs!Y1417,0))))</f>
        <v>0</v>
      </c>
      <c r="T547" s="238">
        <f>IF(OR(Calcs!$J$1402=Calcs!$I1417,Calcs!$I1417&gt;T$61),0,IF(OR(T$63="Monthly",T$63=""),Calcs!Z1417,IF(AND(T$63="Quarterly",INT((Calcs!$I1417-Calcs!Z$1402)/3)=(Calcs!$I1417-Calcs!Z$1402)/3),Calcs!Z1417,IF(INT((Calcs!$I1417-Calcs!Z$1402)/12)=(Calcs!$I1417-Calcs!Z$1402)/12,Calcs!Z1417,0))))</f>
        <v>0</v>
      </c>
      <c r="U547" s="238">
        <f>IF(OR(Calcs!$J$1402=Calcs!$I1417,Calcs!$I1417&gt;U$61),0,IF(OR(U$63="Monthly",U$63=""),Calcs!AA1417,IF(AND(U$63="Quarterly",INT((Calcs!$I1417-Calcs!AA$1402)/3)=(Calcs!$I1417-Calcs!AA$1402)/3),Calcs!AA1417,IF(INT((Calcs!$I1417-Calcs!AA$1402)/12)=(Calcs!$I1417-Calcs!AA$1402)/12,Calcs!AA1417,0))))</f>
        <v>0</v>
      </c>
      <c r="V547" s="238">
        <f>IF(OR(Calcs!$J$1402=Calcs!$I1417,Calcs!$I1417&gt;V$61),0,IF(OR(V$63="Monthly",V$63=""),Calcs!AB1417,IF(AND(V$63="Quarterly",INT((Calcs!$I1417-Calcs!AB$1402)/3)=(Calcs!$I1417-Calcs!AB$1402)/3),Calcs!AB1417,IF(INT((Calcs!$I1417-Calcs!AB$1402)/12)=(Calcs!$I1417-Calcs!AB$1402)/12,Calcs!AB1417,0))))</f>
        <v>0</v>
      </c>
      <c r="W547" s="238">
        <f>IF(OR(Calcs!$J$1402=Calcs!$I1417,Calcs!$I1417&gt;W$61),0,IF(OR(W$63="Monthly",W$63=""),Calcs!AC1417,IF(AND(W$63="Quarterly",INT((Calcs!$I1417-Calcs!AC$1402)/3)=(Calcs!$I1417-Calcs!AC$1402)/3),Calcs!AC1417,IF(INT((Calcs!$I1417-Calcs!AC$1402)/12)=(Calcs!$I1417-Calcs!AC$1402)/12,Calcs!AC1417,0))))</f>
        <v>0</v>
      </c>
      <c r="X547" s="238">
        <f>IF(OR(Calcs!$J$1402=Calcs!$I1417,Calcs!$I1417&gt;X$61),0,IF(OR(X$63="Monthly",X$63=""),Calcs!AD1417,IF(AND(X$63="Quarterly",INT((Calcs!$I1417-Calcs!AD$1402)/3)=(Calcs!$I1417-Calcs!AD$1402)/3),Calcs!AD1417,IF(INT((Calcs!$I1417-Calcs!AD$1402)/12)=(Calcs!$I1417-Calcs!AD$1402)/12,Calcs!AD1417,0))))</f>
        <v>0</v>
      </c>
      <c r="Y547" s="238">
        <f>IF(OR(Calcs!$J$1402=Calcs!$I1417,Calcs!$I1417&gt;Y$61),0,IF(OR(Y$63="Monthly",Y$63=""),Calcs!AE1417,IF(AND(Y$63="Quarterly",INT((Calcs!$I1417-Calcs!AE$1402)/3)=(Calcs!$I1417-Calcs!AE$1402)/3),Calcs!AE1417,IF(INT((Calcs!$I1417-Calcs!AE$1402)/12)=(Calcs!$I1417-Calcs!AE$1402)/12,Calcs!AE1417,0))))</f>
        <v>0</v>
      </c>
      <c r="Z547" s="238">
        <f>IF(OR(Calcs!$J$1402=Calcs!$I1417,Calcs!$I1417&gt;Z$61),0,IF(OR(Z$63="Monthly",Z$63=""),Calcs!AF1417,IF(AND(Z$63="Quarterly",INT((Calcs!$I1417-Calcs!AF$1402)/3)=(Calcs!$I1417-Calcs!AF$1402)/3),Calcs!AF1417,IF(INT((Calcs!$I1417-Calcs!AF$1402)/12)=(Calcs!$I1417-Calcs!AF$1402)/12,Calcs!AF1417,0))))</f>
        <v>0</v>
      </c>
      <c r="AA547" s="238">
        <f>IF(OR(Calcs!$J$1402=Calcs!$I1417,Calcs!$I1417&gt;AA$61),0,IF(OR(AA$63="Monthly",AA$63=""),Calcs!AG1417,IF(AND(AA$63="Quarterly",INT((Calcs!$I1417-Calcs!AG$1402)/3)=(Calcs!$I1417-Calcs!AG$1402)/3),Calcs!AG1417,IF(INT((Calcs!$I1417-Calcs!AG$1402)/12)=(Calcs!$I1417-Calcs!AG$1402)/12,Calcs!AG1417,0))))</f>
        <v>0</v>
      </c>
      <c r="AB547" s="238">
        <f>IF(OR(Calcs!$J$1402=Calcs!$I1417,Calcs!$I1417&gt;AB$61),0,IF(OR(AB$63="Monthly",AB$63=""),Calcs!AH1417,IF(AND(AB$63="Quarterly",INT((Calcs!$I1417-Calcs!AH$1402)/3)=(Calcs!$I1417-Calcs!AH$1402)/3),Calcs!AH1417,IF(INT((Calcs!$I1417-Calcs!AH$1402)/12)=(Calcs!$I1417-Calcs!AH$1402)/12,Calcs!AH1417,0))))</f>
        <v>0</v>
      </c>
      <c r="CH547" s="269"/>
      <c r="CI547" s="269"/>
      <c r="CJ547" s="269"/>
      <c r="CK547" s="269"/>
      <c r="CL547" s="269"/>
      <c r="CM547" s="269"/>
      <c r="CN547" s="269"/>
      <c r="CO547" s="269"/>
      <c r="CP547" s="269"/>
      <c r="CQ547" s="269"/>
      <c r="CR547" s="269"/>
      <c r="CS547" s="269"/>
    </row>
    <row r="548" spans="1:97" ht="12" customHeight="1" x14ac:dyDescent="0.3">
      <c r="A548" s="8"/>
      <c r="B548" s="8"/>
      <c r="C548" s="495">
        <f>C485</f>
        <v>397</v>
      </c>
      <c r="D548" s="236">
        <f>IF(OR(Calcs!$J$1402=Calcs!$I1418,Calcs!$I1418&gt;D$61),0,IF(OR(D$63="Monthly",D$63=""),Calcs!J1418,IF(AND(D$63="Quarterly",INT((Calcs!$I1418-Calcs!J$1402)/3)=(Calcs!$I1418-Calcs!J$1402)/3),Calcs!J1418,IF(INT((Calcs!$I1418-Calcs!J$1402)/12)=(Calcs!$I1418-Calcs!J$1402)/12,Calcs!J1418,0))))</f>
        <v>0</v>
      </c>
      <c r="E548" s="236">
        <f>IF(OR(Calcs!$J$1402=Calcs!$I1418,Calcs!$I1418&gt;E$61),0,IF(OR(E$63="Monthly",E$63=""),Calcs!K1418,IF(AND(E$63="Quarterly",INT((Calcs!$I1418-Calcs!K$1402)/3)=(Calcs!$I1418-Calcs!K$1402)/3),Calcs!K1418,IF(INT((Calcs!$I1418-Calcs!K$1402)/12)=(Calcs!$I1418-Calcs!K$1402)/12,Calcs!K1418,0))))</f>
        <v>0</v>
      </c>
      <c r="F548" s="236">
        <f>IF(OR(Calcs!$J$1402=Calcs!$I1418,Calcs!$I1418&gt;F$61),0,IF(OR(F$63="Monthly",F$63=""),Calcs!L1418,IF(AND(F$63="Quarterly",INT((Calcs!$I1418-Calcs!L$1402)/3)=(Calcs!$I1418-Calcs!L$1402)/3),Calcs!L1418,IF(INT((Calcs!$I1418-Calcs!L$1402)/12)=(Calcs!$I1418-Calcs!L$1402)/12,Calcs!L1418,0))))</f>
        <v>0</v>
      </c>
      <c r="G548" s="236">
        <f>IF(OR(Calcs!$J$1402=Calcs!$I1418,Calcs!$I1418&gt;G$61),0,IF(OR(G$63="Monthly",G$63=""),Calcs!M1418,IF(AND(G$63="Quarterly",INT((Calcs!$I1418-Calcs!M$1402)/3)=(Calcs!$I1418-Calcs!M$1402)/3),Calcs!M1418,IF(INT((Calcs!$I1418-Calcs!M$1402)/12)=(Calcs!$I1418-Calcs!M$1402)/12,Calcs!M1418,0))))</f>
        <v>0</v>
      </c>
      <c r="H548" s="236">
        <f>IF(OR(Calcs!$J$1402=Calcs!$I1418,Calcs!$I1418&gt;H$61),0,IF(OR(H$63="Monthly",H$63=""),Calcs!N1418,IF(AND(H$63="Quarterly",INT((Calcs!$I1418-Calcs!N$1402)/3)=(Calcs!$I1418-Calcs!N$1402)/3),Calcs!N1418,IF(INT((Calcs!$I1418-Calcs!N$1402)/12)=(Calcs!$I1418-Calcs!N$1402)/12,Calcs!N1418,0))))</f>
        <v>0</v>
      </c>
      <c r="I548" s="236">
        <f>IF(OR(Calcs!$J$1402=Calcs!$I1418,Calcs!$I1418&gt;I$61),0,IF(OR(I$63="Monthly",I$63=""),Calcs!O1418,IF(AND(I$63="Quarterly",INT((Calcs!$I1418-Calcs!O$1402)/3)=(Calcs!$I1418-Calcs!O$1402)/3),Calcs!O1418,IF(INT((Calcs!$I1418-Calcs!O$1402)/12)=(Calcs!$I1418-Calcs!O$1402)/12,Calcs!O1418,0))))</f>
        <v>0</v>
      </c>
      <c r="J548" s="236">
        <f>IF(OR(Calcs!$J$1402=Calcs!$I1418,Calcs!$I1418&gt;J$61),0,IF(OR(J$63="Monthly",J$63=""),Calcs!P1418,IF(AND(J$63="Quarterly",INT((Calcs!$I1418-Calcs!P$1402)/3)=(Calcs!$I1418-Calcs!P$1402)/3),Calcs!P1418,IF(INT((Calcs!$I1418-Calcs!P$1402)/12)=(Calcs!$I1418-Calcs!P$1402)/12,Calcs!P1418,0))))</f>
        <v>0</v>
      </c>
      <c r="K548" s="236">
        <f>IF(OR(Calcs!$J$1402=Calcs!$I1418,Calcs!$I1418&gt;K$61),0,IF(OR(K$63="Monthly",K$63=""),Calcs!Q1418,IF(AND(K$63="Quarterly",INT((Calcs!$I1418-Calcs!Q$1402)/3)=(Calcs!$I1418-Calcs!Q$1402)/3),Calcs!Q1418,IF(INT((Calcs!$I1418-Calcs!Q$1402)/12)=(Calcs!$I1418-Calcs!Q$1402)/12,Calcs!Q1418,0))))</f>
        <v>0</v>
      </c>
      <c r="L548" s="236">
        <f>IF(OR(Calcs!$J$1402=Calcs!$I1418,Calcs!$I1418&gt;L$61),0,IF(OR(L$63="Monthly",L$63=""),Calcs!R1418,IF(AND(L$63="Quarterly",INT((Calcs!$I1418-Calcs!R$1402)/3)=(Calcs!$I1418-Calcs!R$1402)/3),Calcs!R1418,IF(INT((Calcs!$I1418-Calcs!R$1402)/12)=(Calcs!$I1418-Calcs!R$1402)/12,Calcs!R1418,0))))</f>
        <v>0</v>
      </c>
      <c r="M548" s="236">
        <f>IF(OR(Calcs!$J$1402=Calcs!$I1418,Calcs!$I1418&gt;M$61),0,IF(OR(M$63="Monthly",M$63=""),Calcs!S1418,IF(AND(M$63="Quarterly",INT((Calcs!$I1418-Calcs!S$1402)/3)=(Calcs!$I1418-Calcs!S$1402)/3),Calcs!S1418,IF(INT((Calcs!$I1418-Calcs!S$1402)/12)=(Calcs!$I1418-Calcs!S$1402)/12,Calcs!S1418,0))))</f>
        <v>0</v>
      </c>
      <c r="N548" s="236">
        <f>IF(OR(Calcs!$J$1402=Calcs!$I1418,Calcs!$I1418&gt;N$61),0,IF(OR(N$63="Monthly",N$63=""),Calcs!T1418,IF(AND(N$63="Quarterly",INT((Calcs!$I1418-Calcs!T$1402)/3)=(Calcs!$I1418-Calcs!T$1402)/3),Calcs!T1418,IF(INT((Calcs!$I1418-Calcs!T$1402)/12)=(Calcs!$I1418-Calcs!T$1402)/12,Calcs!T1418,0))))</f>
        <v>0</v>
      </c>
      <c r="O548" s="236">
        <f>IF(OR(Calcs!$J$1402=Calcs!$I1418,Calcs!$I1418&gt;O$61),0,IF(OR(O$63="Monthly",O$63=""),Calcs!U1418,IF(AND(O$63="Quarterly",INT((Calcs!$I1418-Calcs!U$1402)/3)=(Calcs!$I1418-Calcs!U$1402)/3),Calcs!U1418,IF(INT((Calcs!$I1418-Calcs!U$1402)/12)=(Calcs!$I1418-Calcs!U$1402)/12,Calcs!U1418,0))))</f>
        <v>0</v>
      </c>
      <c r="P548" s="236">
        <f>IF(OR(Calcs!$J$1402=Calcs!$I1418,Calcs!$I1418&gt;P$61),0,IF(OR(P$63="Monthly",P$63=""),Calcs!V1418,IF(AND(P$63="Quarterly",INT((Calcs!$I1418-Calcs!V$1402)/3)=(Calcs!$I1418-Calcs!V$1402)/3),Calcs!V1418,IF(INT((Calcs!$I1418-Calcs!V$1402)/12)=(Calcs!$I1418-Calcs!V$1402)/12,Calcs!V1418,0))))</f>
        <v>0</v>
      </c>
      <c r="Q548" s="236">
        <f>IF(OR(Calcs!$J$1402=Calcs!$I1418,Calcs!$I1418&gt;Q$61),0,IF(OR(Q$63="Monthly",Q$63=""),Calcs!W1418,IF(AND(Q$63="Quarterly",INT((Calcs!$I1418-Calcs!W$1402)/3)=(Calcs!$I1418-Calcs!W$1402)/3),Calcs!W1418,IF(INT((Calcs!$I1418-Calcs!W$1402)/12)=(Calcs!$I1418-Calcs!W$1402)/12,Calcs!W1418,0))))</f>
        <v>0</v>
      </c>
      <c r="R548" s="236">
        <f>IF(OR(Calcs!$J$1402=Calcs!$I1418,Calcs!$I1418&gt;R$61),0,IF(OR(R$63="Monthly",R$63=""),Calcs!X1418,IF(AND(R$63="Quarterly",INT((Calcs!$I1418-Calcs!X$1402)/3)=(Calcs!$I1418-Calcs!X$1402)/3),Calcs!X1418,IF(INT((Calcs!$I1418-Calcs!X$1402)/12)=(Calcs!$I1418-Calcs!X$1402)/12,Calcs!X1418,0))))</f>
        <v>0</v>
      </c>
      <c r="S548" s="236">
        <f>IF(OR(Calcs!$J$1402=Calcs!$I1418,Calcs!$I1418&gt;S$61),0,IF(OR(S$63="Monthly",S$63=""),Calcs!Y1418,IF(AND(S$63="Quarterly",INT((Calcs!$I1418-Calcs!Y$1402)/3)=(Calcs!$I1418-Calcs!Y$1402)/3),Calcs!Y1418,IF(INT((Calcs!$I1418-Calcs!Y$1402)/12)=(Calcs!$I1418-Calcs!Y$1402)/12,Calcs!Y1418,0))))</f>
        <v>0</v>
      </c>
      <c r="T548" s="236">
        <f>IF(OR(Calcs!$J$1402=Calcs!$I1418,Calcs!$I1418&gt;T$61),0,IF(OR(T$63="Monthly",T$63=""),Calcs!Z1418,IF(AND(T$63="Quarterly",INT((Calcs!$I1418-Calcs!Z$1402)/3)=(Calcs!$I1418-Calcs!Z$1402)/3),Calcs!Z1418,IF(INT((Calcs!$I1418-Calcs!Z$1402)/12)=(Calcs!$I1418-Calcs!Z$1402)/12,Calcs!Z1418,0))))</f>
        <v>0</v>
      </c>
      <c r="U548" s="236">
        <f>IF(OR(Calcs!$J$1402=Calcs!$I1418,Calcs!$I1418&gt;U$61),0,IF(OR(U$63="Monthly",U$63=""),Calcs!AA1418,IF(AND(U$63="Quarterly",INT((Calcs!$I1418-Calcs!AA$1402)/3)=(Calcs!$I1418-Calcs!AA$1402)/3),Calcs!AA1418,IF(INT((Calcs!$I1418-Calcs!AA$1402)/12)=(Calcs!$I1418-Calcs!AA$1402)/12,Calcs!AA1418,0))))</f>
        <v>0</v>
      </c>
      <c r="V548" s="236">
        <f>IF(OR(Calcs!$J$1402=Calcs!$I1418,Calcs!$I1418&gt;V$61),0,IF(OR(V$63="Monthly",V$63=""),Calcs!AB1418,IF(AND(V$63="Quarterly",INT((Calcs!$I1418-Calcs!AB$1402)/3)=(Calcs!$I1418-Calcs!AB$1402)/3),Calcs!AB1418,IF(INT((Calcs!$I1418-Calcs!AB$1402)/12)=(Calcs!$I1418-Calcs!AB$1402)/12,Calcs!AB1418,0))))</f>
        <v>0</v>
      </c>
      <c r="W548" s="236">
        <f>IF(OR(Calcs!$J$1402=Calcs!$I1418,Calcs!$I1418&gt;W$61),0,IF(OR(W$63="Monthly",W$63=""),Calcs!AC1418,IF(AND(W$63="Quarterly",INT((Calcs!$I1418-Calcs!AC$1402)/3)=(Calcs!$I1418-Calcs!AC$1402)/3),Calcs!AC1418,IF(INT((Calcs!$I1418-Calcs!AC$1402)/12)=(Calcs!$I1418-Calcs!AC$1402)/12,Calcs!AC1418,0))))</f>
        <v>0</v>
      </c>
      <c r="X548" s="236">
        <f>IF(OR(Calcs!$J$1402=Calcs!$I1418,Calcs!$I1418&gt;X$61),0,IF(OR(X$63="Monthly",X$63=""),Calcs!AD1418,IF(AND(X$63="Quarterly",INT((Calcs!$I1418-Calcs!AD$1402)/3)=(Calcs!$I1418-Calcs!AD$1402)/3),Calcs!AD1418,IF(INT((Calcs!$I1418-Calcs!AD$1402)/12)=(Calcs!$I1418-Calcs!AD$1402)/12,Calcs!AD1418,0))))</f>
        <v>0</v>
      </c>
      <c r="Y548" s="236">
        <f>IF(OR(Calcs!$J$1402=Calcs!$I1418,Calcs!$I1418&gt;Y$61),0,IF(OR(Y$63="Monthly",Y$63=""),Calcs!AE1418,IF(AND(Y$63="Quarterly",INT((Calcs!$I1418-Calcs!AE$1402)/3)=(Calcs!$I1418-Calcs!AE$1402)/3),Calcs!AE1418,IF(INT((Calcs!$I1418-Calcs!AE$1402)/12)=(Calcs!$I1418-Calcs!AE$1402)/12,Calcs!AE1418,0))))</f>
        <v>0</v>
      </c>
      <c r="Z548" s="236">
        <f>IF(OR(Calcs!$J$1402=Calcs!$I1418,Calcs!$I1418&gt;Z$61),0,IF(OR(Z$63="Monthly",Z$63=""),Calcs!AF1418,IF(AND(Z$63="Quarterly",INT((Calcs!$I1418-Calcs!AF$1402)/3)=(Calcs!$I1418-Calcs!AF$1402)/3),Calcs!AF1418,IF(INT((Calcs!$I1418-Calcs!AF$1402)/12)=(Calcs!$I1418-Calcs!AF$1402)/12,Calcs!AF1418,0))))</f>
        <v>0</v>
      </c>
      <c r="AA548" s="236">
        <f>IF(OR(Calcs!$J$1402=Calcs!$I1418,Calcs!$I1418&gt;AA$61),0,IF(OR(AA$63="Monthly",AA$63=""),Calcs!AG1418,IF(AND(AA$63="Quarterly",INT((Calcs!$I1418-Calcs!AG$1402)/3)=(Calcs!$I1418-Calcs!AG$1402)/3),Calcs!AG1418,IF(INT((Calcs!$I1418-Calcs!AG$1402)/12)=(Calcs!$I1418-Calcs!AG$1402)/12,Calcs!AG1418,0))))</f>
        <v>0</v>
      </c>
      <c r="AB548" s="236">
        <f>IF(OR(Calcs!$J$1402=Calcs!$I1418,Calcs!$I1418&gt;AB$61),0,IF(OR(AB$63="Monthly",AB$63=""),Calcs!AH1418,IF(AND(AB$63="Quarterly",INT((Calcs!$I1418-Calcs!AH$1402)/3)=(Calcs!$I1418-Calcs!AH$1402)/3),Calcs!AH1418,IF(INT((Calcs!$I1418-Calcs!AH$1402)/12)=(Calcs!$I1418-Calcs!AH$1402)/12,Calcs!AH1418,0))))</f>
        <v>0</v>
      </c>
      <c r="CH548" s="269"/>
      <c r="CI548" s="269"/>
      <c r="CJ548" s="269"/>
      <c r="CK548" s="269"/>
      <c r="CL548" s="269"/>
      <c r="CM548" s="269"/>
      <c r="CN548" s="269"/>
      <c r="CO548" s="269"/>
      <c r="CP548" s="269"/>
      <c r="CQ548" s="269"/>
      <c r="CR548" s="269"/>
      <c r="CS548" s="269"/>
    </row>
    <row r="549" spans="1:97" ht="12" customHeight="1" x14ac:dyDescent="0.3">
      <c r="A549" s="8"/>
      <c r="B549" s="8"/>
      <c r="C549" s="495">
        <f>C486</f>
        <v>425</v>
      </c>
      <c r="D549" s="236">
        <f>IF(OR(Calcs!$J$1402=Calcs!$I1419,Calcs!$I1419&gt;D$61),0,IF(OR(D$63="Monthly",D$63=""),Calcs!J1419,IF(AND(D$63="Quarterly",INT((Calcs!$I1419-Calcs!J$1402)/3)=(Calcs!$I1419-Calcs!J$1402)/3),Calcs!J1419,IF(INT((Calcs!$I1419-Calcs!J$1402)/12)=(Calcs!$I1419-Calcs!J$1402)/12,Calcs!J1419,0))))</f>
        <v>0</v>
      </c>
      <c r="E549" s="237">
        <f>IF(OR(Calcs!$J$1402=Calcs!$I1419,Calcs!$I1419&gt;E$61),0,IF(OR(E$63="Monthly",E$63=""),Calcs!K1419,IF(AND(E$63="Quarterly",INT((Calcs!$I1419-Calcs!K$1402)/3)=(Calcs!$I1419-Calcs!K$1402)/3),Calcs!K1419,IF(INT((Calcs!$I1419-Calcs!K$1402)/12)=(Calcs!$I1419-Calcs!K$1402)/12,Calcs!K1419,0))))</f>
        <v>0</v>
      </c>
      <c r="F549" s="237">
        <f>IF(OR(Calcs!$J$1402=Calcs!$I1419,Calcs!$I1419&gt;F$61),0,IF(OR(F$63="Monthly",F$63=""),Calcs!L1419,IF(AND(F$63="Quarterly",INT((Calcs!$I1419-Calcs!L$1402)/3)=(Calcs!$I1419-Calcs!L$1402)/3),Calcs!L1419,IF(INT((Calcs!$I1419-Calcs!L$1402)/12)=(Calcs!$I1419-Calcs!L$1402)/12,Calcs!L1419,0))))</f>
        <v>0</v>
      </c>
      <c r="G549" s="237">
        <f>IF(OR(Calcs!$J$1402=Calcs!$I1419,Calcs!$I1419&gt;G$61),0,IF(OR(G$63="Monthly",G$63=""),Calcs!M1419,IF(AND(G$63="Quarterly",INT((Calcs!$I1419-Calcs!M$1402)/3)=(Calcs!$I1419-Calcs!M$1402)/3),Calcs!M1419,IF(INT((Calcs!$I1419-Calcs!M$1402)/12)=(Calcs!$I1419-Calcs!M$1402)/12,Calcs!M1419,0))))</f>
        <v>0</v>
      </c>
      <c r="H549" s="237">
        <f>IF(OR(Calcs!$J$1402=Calcs!$I1419,Calcs!$I1419&gt;H$61),0,IF(OR(H$63="Monthly",H$63=""),Calcs!N1419,IF(AND(H$63="Quarterly",INT((Calcs!$I1419-Calcs!N$1402)/3)=(Calcs!$I1419-Calcs!N$1402)/3),Calcs!N1419,IF(INT((Calcs!$I1419-Calcs!N$1402)/12)=(Calcs!$I1419-Calcs!N$1402)/12,Calcs!N1419,0))))</f>
        <v>0</v>
      </c>
      <c r="I549" s="237">
        <f>IF(OR(Calcs!$J$1402=Calcs!$I1419,Calcs!$I1419&gt;I$61),0,IF(OR(I$63="Monthly",I$63=""),Calcs!O1419,IF(AND(I$63="Quarterly",INT((Calcs!$I1419-Calcs!O$1402)/3)=(Calcs!$I1419-Calcs!O$1402)/3),Calcs!O1419,IF(INT((Calcs!$I1419-Calcs!O$1402)/12)=(Calcs!$I1419-Calcs!O$1402)/12,Calcs!O1419,0))))</f>
        <v>0</v>
      </c>
      <c r="J549" s="237">
        <f>IF(OR(Calcs!$J$1402=Calcs!$I1419,Calcs!$I1419&gt;J$61),0,IF(OR(J$63="Monthly",J$63=""),Calcs!P1419,IF(AND(J$63="Quarterly",INT((Calcs!$I1419-Calcs!P$1402)/3)=(Calcs!$I1419-Calcs!P$1402)/3),Calcs!P1419,IF(INT((Calcs!$I1419-Calcs!P$1402)/12)=(Calcs!$I1419-Calcs!P$1402)/12,Calcs!P1419,0))))</f>
        <v>0</v>
      </c>
      <c r="K549" s="237">
        <f>IF(OR(Calcs!$J$1402=Calcs!$I1419,Calcs!$I1419&gt;K$61),0,IF(OR(K$63="Monthly",K$63=""),Calcs!Q1419,IF(AND(K$63="Quarterly",INT((Calcs!$I1419-Calcs!Q$1402)/3)=(Calcs!$I1419-Calcs!Q$1402)/3),Calcs!Q1419,IF(INT((Calcs!$I1419-Calcs!Q$1402)/12)=(Calcs!$I1419-Calcs!Q$1402)/12,Calcs!Q1419,0))))</f>
        <v>0</v>
      </c>
      <c r="L549" s="237">
        <f>IF(OR(Calcs!$J$1402=Calcs!$I1419,Calcs!$I1419&gt;L$61),0,IF(OR(L$63="Monthly",L$63=""),Calcs!R1419,IF(AND(L$63="Quarterly",INT((Calcs!$I1419-Calcs!R$1402)/3)=(Calcs!$I1419-Calcs!R$1402)/3),Calcs!R1419,IF(INT((Calcs!$I1419-Calcs!R$1402)/12)=(Calcs!$I1419-Calcs!R$1402)/12,Calcs!R1419,0))))</f>
        <v>0</v>
      </c>
      <c r="M549" s="237">
        <f>IF(OR(Calcs!$J$1402=Calcs!$I1419,Calcs!$I1419&gt;M$61),0,IF(OR(M$63="Monthly",M$63=""),Calcs!S1419,IF(AND(M$63="Quarterly",INT((Calcs!$I1419-Calcs!S$1402)/3)=(Calcs!$I1419-Calcs!S$1402)/3),Calcs!S1419,IF(INT((Calcs!$I1419-Calcs!S$1402)/12)=(Calcs!$I1419-Calcs!S$1402)/12,Calcs!S1419,0))))</f>
        <v>0</v>
      </c>
      <c r="N549" s="237">
        <f>IF(OR(Calcs!$J$1402=Calcs!$I1419,Calcs!$I1419&gt;N$61),0,IF(OR(N$63="Monthly",N$63=""),Calcs!T1419,IF(AND(N$63="Quarterly",INT((Calcs!$I1419-Calcs!T$1402)/3)=(Calcs!$I1419-Calcs!T$1402)/3),Calcs!T1419,IF(INT((Calcs!$I1419-Calcs!T$1402)/12)=(Calcs!$I1419-Calcs!T$1402)/12,Calcs!T1419,0))))</f>
        <v>0</v>
      </c>
      <c r="O549" s="237">
        <f>IF(OR(Calcs!$J$1402=Calcs!$I1419,Calcs!$I1419&gt;O$61),0,IF(OR(O$63="Monthly",O$63=""),Calcs!U1419,IF(AND(O$63="Quarterly",INT((Calcs!$I1419-Calcs!U$1402)/3)=(Calcs!$I1419-Calcs!U$1402)/3),Calcs!U1419,IF(INT((Calcs!$I1419-Calcs!U$1402)/12)=(Calcs!$I1419-Calcs!U$1402)/12,Calcs!U1419,0))))</f>
        <v>0</v>
      </c>
      <c r="P549" s="237">
        <f>IF(OR(Calcs!$J$1402=Calcs!$I1419,Calcs!$I1419&gt;P$61),0,IF(OR(P$63="Monthly",P$63=""),Calcs!V1419,IF(AND(P$63="Quarterly",INT((Calcs!$I1419-Calcs!V$1402)/3)=(Calcs!$I1419-Calcs!V$1402)/3),Calcs!V1419,IF(INT((Calcs!$I1419-Calcs!V$1402)/12)=(Calcs!$I1419-Calcs!V$1402)/12,Calcs!V1419,0))))</f>
        <v>0</v>
      </c>
      <c r="Q549" s="237">
        <f>IF(OR(Calcs!$J$1402=Calcs!$I1419,Calcs!$I1419&gt;Q$61),0,IF(OR(Q$63="Monthly",Q$63=""),Calcs!W1419,IF(AND(Q$63="Quarterly",INT((Calcs!$I1419-Calcs!W$1402)/3)=(Calcs!$I1419-Calcs!W$1402)/3),Calcs!W1419,IF(INT((Calcs!$I1419-Calcs!W$1402)/12)=(Calcs!$I1419-Calcs!W$1402)/12,Calcs!W1419,0))))</f>
        <v>0</v>
      </c>
      <c r="R549" s="237">
        <f>IF(OR(Calcs!$J$1402=Calcs!$I1419,Calcs!$I1419&gt;R$61),0,IF(OR(R$63="Monthly",R$63=""),Calcs!X1419,IF(AND(R$63="Quarterly",INT((Calcs!$I1419-Calcs!X$1402)/3)=(Calcs!$I1419-Calcs!X$1402)/3),Calcs!X1419,IF(INT((Calcs!$I1419-Calcs!X$1402)/12)=(Calcs!$I1419-Calcs!X$1402)/12,Calcs!X1419,0))))</f>
        <v>0</v>
      </c>
      <c r="S549" s="237">
        <f>IF(OR(Calcs!$J$1402=Calcs!$I1419,Calcs!$I1419&gt;S$61),0,IF(OR(S$63="Monthly",S$63=""),Calcs!Y1419,IF(AND(S$63="Quarterly",INT((Calcs!$I1419-Calcs!Y$1402)/3)=(Calcs!$I1419-Calcs!Y$1402)/3),Calcs!Y1419,IF(INT((Calcs!$I1419-Calcs!Y$1402)/12)=(Calcs!$I1419-Calcs!Y$1402)/12,Calcs!Y1419,0))))</f>
        <v>0</v>
      </c>
      <c r="T549" s="237">
        <f>IF(OR(Calcs!$J$1402=Calcs!$I1419,Calcs!$I1419&gt;T$61),0,IF(OR(T$63="Monthly",T$63=""),Calcs!Z1419,IF(AND(T$63="Quarterly",INT((Calcs!$I1419-Calcs!Z$1402)/3)=(Calcs!$I1419-Calcs!Z$1402)/3),Calcs!Z1419,IF(INT((Calcs!$I1419-Calcs!Z$1402)/12)=(Calcs!$I1419-Calcs!Z$1402)/12,Calcs!Z1419,0))))</f>
        <v>0</v>
      </c>
      <c r="U549" s="237">
        <f>IF(OR(Calcs!$J$1402=Calcs!$I1419,Calcs!$I1419&gt;U$61),0,IF(OR(U$63="Monthly",U$63=""),Calcs!AA1419,IF(AND(U$63="Quarterly",INT((Calcs!$I1419-Calcs!AA$1402)/3)=(Calcs!$I1419-Calcs!AA$1402)/3),Calcs!AA1419,IF(INT((Calcs!$I1419-Calcs!AA$1402)/12)=(Calcs!$I1419-Calcs!AA$1402)/12,Calcs!AA1419,0))))</f>
        <v>0</v>
      </c>
      <c r="V549" s="237">
        <f>IF(OR(Calcs!$J$1402=Calcs!$I1419,Calcs!$I1419&gt;V$61),0,IF(OR(V$63="Monthly",V$63=""),Calcs!AB1419,IF(AND(V$63="Quarterly",INT((Calcs!$I1419-Calcs!AB$1402)/3)=(Calcs!$I1419-Calcs!AB$1402)/3),Calcs!AB1419,IF(INT((Calcs!$I1419-Calcs!AB$1402)/12)=(Calcs!$I1419-Calcs!AB$1402)/12,Calcs!AB1419,0))))</f>
        <v>0</v>
      </c>
      <c r="W549" s="237">
        <f>IF(OR(Calcs!$J$1402=Calcs!$I1419,Calcs!$I1419&gt;W$61),0,IF(OR(W$63="Monthly",W$63=""),Calcs!AC1419,IF(AND(W$63="Quarterly",INT((Calcs!$I1419-Calcs!AC$1402)/3)=(Calcs!$I1419-Calcs!AC$1402)/3),Calcs!AC1419,IF(INT((Calcs!$I1419-Calcs!AC$1402)/12)=(Calcs!$I1419-Calcs!AC$1402)/12,Calcs!AC1419,0))))</f>
        <v>0</v>
      </c>
      <c r="X549" s="237">
        <f>IF(OR(Calcs!$J$1402=Calcs!$I1419,Calcs!$I1419&gt;X$61),0,IF(OR(X$63="Monthly",X$63=""),Calcs!AD1419,IF(AND(X$63="Quarterly",INT((Calcs!$I1419-Calcs!AD$1402)/3)=(Calcs!$I1419-Calcs!AD$1402)/3),Calcs!AD1419,IF(INT((Calcs!$I1419-Calcs!AD$1402)/12)=(Calcs!$I1419-Calcs!AD$1402)/12,Calcs!AD1419,0))))</f>
        <v>0</v>
      </c>
      <c r="Y549" s="237">
        <f>IF(OR(Calcs!$J$1402=Calcs!$I1419,Calcs!$I1419&gt;Y$61),0,IF(OR(Y$63="Monthly",Y$63=""),Calcs!AE1419,IF(AND(Y$63="Quarterly",INT((Calcs!$I1419-Calcs!AE$1402)/3)=(Calcs!$I1419-Calcs!AE$1402)/3),Calcs!AE1419,IF(INT((Calcs!$I1419-Calcs!AE$1402)/12)=(Calcs!$I1419-Calcs!AE$1402)/12,Calcs!AE1419,0))))</f>
        <v>0</v>
      </c>
      <c r="Z549" s="237">
        <f>IF(OR(Calcs!$J$1402=Calcs!$I1419,Calcs!$I1419&gt;Z$61),0,IF(OR(Z$63="Monthly",Z$63=""),Calcs!AF1419,IF(AND(Z$63="Quarterly",INT((Calcs!$I1419-Calcs!AF$1402)/3)=(Calcs!$I1419-Calcs!AF$1402)/3),Calcs!AF1419,IF(INT((Calcs!$I1419-Calcs!AF$1402)/12)=(Calcs!$I1419-Calcs!AF$1402)/12,Calcs!AF1419,0))))</f>
        <v>0</v>
      </c>
      <c r="AA549" s="237">
        <f>IF(OR(Calcs!$J$1402=Calcs!$I1419,Calcs!$I1419&gt;AA$61),0,IF(OR(AA$63="Monthly",AA$63=""),Calcs!AG1419,IF(AND(AA$63="Quarterly",INT((Calcs!$I1419-Calcs!AG$1402)/3)=(Calcs!$I1419-Calcs!AG$1402)/3),Calcs!AG1419,IF(INT((Calcs!$I1419-Calcs!AG$1402)/12)=(Calcs!$I1419-Calcs!AG$1402)/12,Calcs!AG1419,0))))</f>
        <v>0</v>
      </c>
      <c r="AB549" s="237">
        <f>IF(OR(Calcs!$J$1402=Calcs!$I1419,Calcs!$I1419&gt;AB$61),0,IF(OR(AB$63="Monthly",AB$63=""),Calcs!AH1419,IF(AND(AB$63="Quarterly",INT((Calcs!$I1419-Calcs!AH$1402)/3)=(Calcs!$I1419-Calcs!AH$1402)/3),Calcs!AH1419,IF(INT((Calcs!$I1419-Calcs!AH$1402)/12)=(Calcs!$I1419-Calcs!AH$1402)/12,Calcs!AH1419,0))))</f>
        <v>0</v>
      </c>
      <c r="CH549" s="269"/>
      <c r="CI549" s="269"/>
      <c r="CJ549" s="269"/>
      <c r="CK549" s="269"/>
      <c r="CL549" s="269"/>
      <c r="CM549" s="269"/>
      <c r="CN549" s="269"/>
      <c r="CO549" s="269"/>
      <c r="CP549" s="269"/>
      <c r="CQ549" s="269"/>
      <c r="CR549" s="269"/>
      <c r="CS549" s="269"/>
    </row>
    <row r="550" spans="1:97" ht="12" customHeight="1" x14ac:dyDescent="0.3">
      <c r="A550" s="5"/>
      <c r="B550" s="5"/>
      <c r="C550" s="495">
        <f>C487</f>
        <v>456</v>
      </c>
      <c r="D550" s="236">
        <f>IF(OR(Calcs!$J$1402=Calcs!$I1420,Calcs!$I1420&gt;D$61),0,IF(OR(D$63="Monthly",D$63=""),Calcs!J1420,IF(AND(D$63="Quarterly",INT((Calcs!$I1420-Calcs!J$1402)/3)=(Calcs!$I1420-Calcs!J$1402)/3),Calcs!J1420,IF(INT((Calcs!$I1420-Calcs!J$1402)/12)=(Calcs!$I1420-Calcs!J$1402)/12,Calcs!J1420,0))))</f>
        <v>0</v>
      </c>
      <c r="E550" s="237">
        <f>IF(OR(Calcs!$J$1402=Calcs!$I1420,Calcs!$I1420&gt;E$61),0,IF(OR(E$63="Monthly",E$63=""),Calcs!K1420,IF(AND(E$63="Quarterly",INT((Calcs!$I1420-Calcs!K$1402)/3)=(Calcs!$I1420-Calcs!K$1402)/3),Calcs!K1420,IF(INT((Calcs!$I1420-Calcs!K$1402)/12)=(Calcs!$I1420-Calcs!K$1402)/12,Calcs!K1420,0))))</f>
        <v>0</v>
      </c>
      <c r="F550" s="237">
        <f>IF(OR(Calcs!$J$1402=Calcs!$I1420,Calcs!$I1420&gt;F$61),0,IF(OR(F$63="Monthly",F$63=""),Calcs!L1420,IF(AND(F$63="Quarterly",INT((Calcs!$I1420-Calcs!L$1402)/3)=(Calcs!$I1420-Calcs!L$1402)/3),Calcs!L1420,IF(INT((Calcs!$I1420-Calcs!L$1402)/12)=(Calcs!$I1420-Calcs!L$1402)/12,Calcs!L1420,0))))</f>
        <v>0</v>
      </c>
      <c r="G550" s="237">
        <f>IF(OR(Calcs!$J$1402=Calcs!$I1420,Calcs!$I1420&gt;G$61),0,IF(OR(G$63="Monthly",G$63=""),Calcs!M1420,IF(AND(G$63="Quarterly",INT((Calcs!$I1420-Calcs!M$1402)/3)=(Calcs!$I1420-Calcs!M$1402)/3),Calcs!M1420,IF(INT((Calcs!$I1420-Calcs!M$1402)/12)=(Calcs!$I1420-Calcs!M$1402)/12,Calcs!M1420,0))))</f>
        <v>0</v>
      </c>
      <c r="H550" s="237">
        <f>IF(OR(Calcs!$J$1402=Calcs!$I1420,Calcs!$I1420&gt;H$61),0,IF(OR(H$63="Monthly",H$63=""),Calcs!N1420,IF(AND(H$63="Quarterly",INT((Calcs!$I1420-Calcs!N$1402)/3)=(Calcs!$I1420-Calcs!N$1402)/3),Calcs!N1420,IF(INT((Calcs!$I1420-Calcs!N$1402)/12)=(Calcs!$I1420-Calcs!N$1402)/12,Calcs!N1420,0))))</f>
        <v>0</v>
      </c>
      <c r="I550" s="237">
        <f>IF(OR(Calcs!$J$1402=Calcs!$I1420,Calcs!$I1420&gt;I$61),0,IF(OR(I$63="Monthly",I$63=""),Calcs!O1420,IF(AND(I$63="Quarterly",INT((Calcs!$I1420-Calcs!O$1402)/3)=(Calcs!$I1420-Calcs!O$1402)/3),Calcs!O1420,IF(INT((Calcs!$I1420-Calcs!O$1402)/12)=(Calcs!$I1420-Calcs!O$1402)/12,Calcs!O1420,0))))</f>
        <v>0</v>
      </c>
      <c r="J550" s="237">
        <f>IF(OR(Calcs!$J$1402=Calcs!$I1420,Calcs!$I1420&gt;J$61),0,IF(OR(J$63="Monthly",J$63=""),Calcs!P1420,IF(AND(J$63="Quarterly",INT((Calcs!$I1420-Calcs!P$1402)/3)=(Calcs!$I1420-Calcs!P$1402)/3),Calcs!P1420,IF(INT((Calcs!$I1420-Calcs!P$1402)/12)=(Calcs!$I1420-Calcs!P$1402)/12,Calcs!P1420,0))))</f>
        <v>0</v>
      </c>
      <c r="K550" s="237">
        <f>IF(OR(Calcs!$J$1402=Calcs!$I1420,Calcs!$I1420&gt;K$61),0,IF(OR(K$63="Monthly",K$63=""),Calcs!Q1420,IF(AND(K$63="Quarterly",INT((Calcs!$I1420-Calcs!Q$1402)/3)=(Calcs!$I1420-Calcs!Q$1402)/3),Calcs!Q1420,IF(INT((Calcs!$I1420-Calcs!Q$1402)/12)=(Calcs!$I1420-Calcs!Q$1402)/12,Calcs!Q1420,0))))</f>
        <v>0</v>
      </c>
      <c r="L550" s="237">
        <f>IF(OR(Calcs!$J$1402=Calcs!$I1420,Calcs!$I1420&gt;L$61),0,IF(OR(L$63="Monthly",L$63=""),Calcs!R1420,IF(AND(L$63="Quarterly",INT((Calcs!$I1420-Calcs!R$1402)/3)=(Calcs!$I1420-Calcs!R$1402)/3),Calcs!R1420,IF(INT((Calcs!$I1420-Calcs!R$1402)/12)=(Calcs!$I1420-Calcs!R$1402)/12,Calcs!R1420,0))))</f>
        <v>0</v>
      </c>
      <c r="M550" s="237">
        <f>IF(OR(Calcs!$J$1402=Calcs!$I1420,Calcs!$I1420&gt;M$61),0,IF(OR(M$63="Monthly",M$63=""),Calcs!S1420,IF(AND(M$63="Quarterly",INT((Calcs!$I1420-Calcs!S$1402)/3)=(Calcs!$I1420-Calcs!S$1402)/3),Calcs!S1420,IF(INT((Calcs!$I1420-Calcs!S$1402)/12)=(Calcs!$I1420-Calcs!S$1402)/12,Calcs!S1420,0))))</f>
        <v>0</v>
      </c>
      <c r="N550" s="237">
        <f>IF(OR(Calcs!$J$1402=Calcs!$I1420,Calcs!$I1420&gt;N$61),0,IF(OR(N$63="Monthly",N$63=""),Calcs!T1420,IF(AND(N$63="Quarterly",INT((Calcs!$I1420-Calcs!T$1402)/3)=(Calcs!$I1420-Calcs!T$1402)/3),Calcs!T1420,IF(INT((Calcs!$I1420-Calcs!T$1402)/12)=(Calcs!$I1420-Calcs!T$1402)/12,Calcs!T1420,0))))</f>
        <v>0</v>
      </c>
      <c r="O550" s="237">
        <f>IF(OR(Calcs!$J$1402=Calcs!$I1420,Calcs!$I1420&gt;O$61),0,IF(OR(O$63="Monthly",O$63=""),Calcs!U1420,IF(AND(O$63="Quarterly",INT((Calcs!$I1420-Calcs!U$1402)/3)=(Calcs!$I1420-Calcs!U$1402)/3),Calcs!U1420,IF(INT((Calcs!$I1420-Calcs!U$1402)/12)=(Calcs!$I1420-Calcs!U$1402)/12,Calcs!U1420,0))))</f>
        <v>0</v>
      </c>
      <c r="P550" s="237">
        <f>IF(OR(Calcs!$J$1402=Calcs!$I1420,Calcs!$I1420&gt;P$61),0,IF(OR(P$63="Monthly",P$63=""),Calcs!V1420,IF(AND(P$63="Quarterly",INT((Calcs!$I1420-Calcs!V$1402)/3)=(Calcs!$I1420-Calcs!V$1402)/3),Calcs!V1420,IF(INT((Calcs!$I1420-Calcs!V$1402)/12)=(Calcs!$I1420-Calcs!V$1402)/12,Calcs!V1420,0))))</f>
        <v>0</v>
      </c>
      <c r="Q550" s="237">
        <f>IF(OR(Calcs!$J$1402=Calcs!$I1420,Calcs!$I1420&gt;Q$61),0,IF(OR(Q$63="Monthly",Q$63=""),Calcs!W1420,IF(AND(Q$63="Quarterly",INT((Calcs!$I1420-Calcs!W$1402)/3)=(Calcs!$I1420-Calcs!W$1402)/3),Calcs!W1420,IF(INT((Calcs!$I1420-Calcs!W$1402)/12)=(Calcs!$I1420-Calcs!W$1402)/12,Calcs!W1420,0))))</f>
        <v>0</v>
      </c>
      <c r="R550" s="237">
        <f>IF(OR(Calcs!$J$1402=Calcs!$I1420,Calcs!$I1420&gt;R$61),0,IF(OR(R$63="Monthly",R$63=""),Calcs!X1420,IF(AND(R$63="Quarterly",INT((Calcs!$I1420-Calcs!X$1402)/3)=(Calcs!$I1420-Calcs!X$1402)/3),Calcs!X1420,IF(INT((Calcs!$I1420-Calcs!X$1402)/12)=(Calcs!$I1420-Calcs!X$1402)/12,Calcs!X1420,0))))</f>
        <v>0</v>
      </c>
      <c r="S550" s="237">
        <f>IF(OR(Calcs!$J$1402=Calcs!$I1420,Calcs!$I1420&gt;S$61),0,IF(OR(S$63="Monthly",S$63=""),Calcs!Y1420,IF(AND(S$63="Quarterly",INT((Calcs!$I1420-Calcs!Y$1402)/3)=(Calcs!$I1420-Calcs!Y$1402)/3),Calcs!Y1420,IF(INT((Calcs!$I1420-Calcs!Y$1402)/12)=(Calcs!$I1420-Calcs!Y$1402)/12,Calcs!Y1420,0))))</f>
        <v>0</v>
      </c>
      <c r="T550" s="237">
        <f>IF(OR(Calcs!$J$1402=Calcs!$I1420,Calcs!$I1420&gt;T$61),0,IF(OR(T$63="Monthly",T$63=""),Calcs!Z1420,IF(AND(T$63="Quarterly",INT((Calcs!$I1420-Calcs!Z$1402)/3)=(Calcs!$I1420-Calcs!Z$1402)/3),Calcs!Z1420,IF(INT((Calcs!$I1420-Calcs!Z$1402)/12)=(Calcs!$I1420-Calcs!Z$1402)/12,Calcs!Z1420,0))))</f>
        <v>0</v>
      </c>
      <c r="U550" s="237">
        <f>IF(OR(Calcs!$J$1402=Calcs!$I1420,Calcs!$I1420&gt;U$61),0,IF(OR(U$63="Monthly",U$63=""),Calcs!AA1420,IF(AND(U$63="Quarterly",INT((Calcs!$I1420-Calcs!AA$1402)/3)=(Calcs!$I1420-Calcs!AA$1402)/3),Calcs!AA1420,IF(INT((Calcs!$I1420-Calcs!AA$1402)/12)=(Calcs!$I1420-Calcs!AA$1402)/12,Calcs!AA1420,0))))</f>
        <v>0</v>
      </c>
      <c r="V550" s="237">
        <f>IF(OR(Calcs!$J$1402=Calcs!$I1420,Calcs!$I1420&gt;V$61),0,IF(OR(V$63="Monthly",V$63=""),Calcs!AB1420,IF(AND(V$63="Quarterly",INT((Calcs!$I1420-Calcs!AB$1402)/3)=(Calcs!$I1420-Calcs!AB$1402)/3),Calcs!AB1420,IF(INT((Calcs!$I1420-Calcs!AB$1402)/12)=(Calcs!$I1420-Calcs!AB$1402)/12,Calcs!AB1420,0))))</f>
        <v>0</v>
      </c>
      <c r="W550" s="237">
        <f>IF(OR(Calcs!$J$1402=Calcs!$I1420,Calcs!$I1420&gt;W$61),0,IF(OR(W$63="Monthly",W$63=""),Calcs!AC1420,IF(AND(W$63="Quarterly",INT((Calcs!$I1420-Calcs!AC$1402)/3)=(Calcs!$I1420-Calcs!AC$1402)/3),Calcs!AC1420,IF(INT((Calcs!$I1420-Calcs!AC$1402)/12)=(Calcs!$I1420-Calcs!AC$1402)/12,Calcs!AC1420,0))))</f>
        <v>0</v>
      </c>
      <c r="X550" s="237">
        <f>IF(OR(Calcs!$J$1402=Calcs!$I1420,Calcs!$I1420&gt;X$61),0,IF(OR(X$63="Monthly",X$63=""),Calcs!AD1420,IF(AND(X$63="Quarterly",INT((Calcs!$I1420-Calcs!AD$1402)/3)=(Calcs!$I1420-Calcs!AD$1402)/3),Calcs!AD1420,IF(INT((Calcs!$I1420-Calcs!AD$1402)/12)=(Calcs!$I1420-Calcs!AD$1402)/12,Calcs!AD1420,0))))</f>
        <v>0</v>
      </c>
      <c r="Y550" s="237">
        <f>IF(OR(Calcs!$J$1402=Calcs!$I1420,Calcs!$I1420&gt;Y$61),0,IF(OR(Y$63="Monthly",Y$63=""),Calcs!AE1420,IF(AND(Y$63="Quarterly",INT((Calcs!$I1420-Calcs!AE$1402)/3)=(Calcs!$I1420-Calcs!AE$1402)/3),Calcs!AE1420,IF(INT((Calcs!$I1420-Calcs!AE$1402)/12)=(Calcs!$I1420-Calcs!AE$1402)/12,Calcs!AE1420,0))))</f>
        <v>0</v>
      </c>
      <c r="Z550" s="237">
        <f>IF(OR(Calcs!$J$1402=Calcs!$I1420,Calcs!$I1420&gt;Z$61),0,IF(OR(Z$63="Monthly",Z$63=""),Calcs!AF1420,IF(AND(Z$63="Quarterly",INT((Calcs!$I1420-Calcs!AF$1402)/3)=(Calcs!$I1420-Calcs!AF$1402)/3),Calcs!AF1420,IF(INT((Calcs!$I1420-Calcs!AF$1402)/12)=(Calcs!$I1420-Calcs!AF$1402)/12,Calcs!AF1420,0))))</f>
        <v>0</v>
      </c>
      <c r="AA550" s="237">
        <f>IF(OR(Calcs!$J$1402=Calcs!$I1420,Calcs!$I1420&gt;AA$61),0,IF(OR(AA$63="Monthly",AA$63=""),Calcs!AG1420,IF(AND(AA$63="Quarterly",INT((Calcs!$I1420-Calcs!AG$1402)/3)=(Calcs!$I1420-Calcs!AG$1402)/3),Calcs!AG1420,IF(INT((Calcs!$I1420-Calcs!AG$1402)/12)=(Calcs!$I1420-Calcs!AG$1402)/12,Calcs!AG1420,0))))</f>
        <v>0</v>
      </c>
      <c r="AB550" s="237">
        <f>IF(OR(Calcs!$J$1402=Calcs!$I1420,Calcs!$I1420&gt;AB$61),0,IF(OR(AB$63="Monthly",AB$63=""),Calcs!AH1420,IF(AND(AB$63="Quarterly",INT((Calcs!$I1420-Calcs!AH$1402)/3)=(Calcs!$I1420-Calcs!AH$1402)/3),Calcs!AH1420,IF(INT((Calcs!$I1420-Calcs!AH$1402)/12)=(Calcs!$I1420-Calcs!AH$1402)/12,Calcs!AH1420,0))))</f>
        <v>0</v>
      </c>
      <c r="CH550" s="269"/>
      <c r="CI550" s="269"/>
      <c r="CJ550" s="269"/>
      <c r="CK550" s="269"/>
      <c r="CL550" s="269"/>
      <c r="CM550" s="269"/>
      <c r="CN550" s="269"/>
      <c r="CO550" s="269"/>
      <c r="CP550" s="269"/>
      <c r="CQ550" s="269"/>
      <c r="CR550" s="269"/>
      <c r="CS550" s="269"/>
    </row>
    <row r="551" spans="1:97" ht="12" customHeight="1" x14ac:dyDescent="0.3">
      <c r="A551" s="5"/>
      <c r="B551" s="5"/>
      <c r="C551" s="495">
        <f>C488</f>
        <v>486</v>
      </c>
      <c r="D551" s="236">
        <f>IF(OR(Calcs!$J$1402=Calcs!$I1421,Calcs!$I1421&gt;D$61),0,IF(OR(D$63="Monthly",D$63=""),Calcs!J1421,IF(AND(D$63="Quarterly",INT((Calcs!$I1421-Calcs!J$1402)/3)=(Calcs!$I1421-Calcs!J$1402)/3),Calcs!J1421,IF(INT((Calcs!$I1421-Calcs!J$1402)/12)=(Calcs!$I1421-Calcs!J$1402)/12,Calcs!J1421,0))))</f>
        <v>0</v>
      </c>
      <c r="E551" s="237">
        <f>IF(OR(Calcs!$J$1402=Calcs!$I1421,Calcs!$I1421&gt;E$61),0,IF(OR(E$63="Monthly",E$63=""),Calcs!K1421,IF(AND(E$63="Quarterly",INT((Calcs!$I1421-Calcs!K$1402)/3)=(Calcs!$I1421-Calcs!K$1402)/3),Calcs!K1421,IF(INT((Calcs!$I1421-Calcs!K$1402)/12)=(Calcs!$I1421-Calcs!K$1402)/12,Calcs!K1421,0))))</f>
        <v>0</v>
      </c>
      <c r="F551" s="237">
        <f>IF(OR(Calcs!$J$1402=Calcs!$I1421,Calcs!$I1421&gt;F$61),0,IF(OR(F$63="Monthly",F$63=""),Calcs!L1421,IF(AND(F$63="Quarterly",INT((Calcs!$I1421-Calcs!L$1402)/3)=(Calcs!$I1421-Calcs!L$1402)/3),Calcs!L1421,IF(INT((Calcs!$I1421-Calcs!L$1402)/12)=(Calcs!$I1421-Calcs!L$1402)/12,Calcs!L1421,0))))</f>
        <v>0</v>
      </c>
      <c r="G551" s="237">
        <f>IF(OR(Calcs!$J$1402=Calcs!$I1421,Calcs!$I1421&gt;G$61),0,IF(OR(G$63="Monthly",G$63=""),Calcs!M1421,IF(AND(G$63="Quarterly",INT((Calcs!$I1421-Calcs!M$1402)/3)=(Calcs!$I1421-Calcs!M$1402)/3),Calcs!M1421,IF(INT((Calcs!$I1421-Calcs!M$1402)/12)=(Calcs!$I1421-Calcs!M$1402)/12,Calcs!M1421,0))))</f>
        <v>0</v>
      </c>
      <c r="H551" s="237">
        <f>IF(OR(Calcs!$J$1402=Calcs!$I1421,Calcs!$I1421&gt;H$61),0,IF(OR(H$63="Monthly",H$63=""),Calcs!N1421,IF(AND(H$63="Quarterly",INT((Calcs!$I1421-Calcs!N$1402)/3)=(Calcs!$I1421-Calcs!N$1402)/3),Calcs!N1421,IF(INT((Calcs!$I1421-Calcs!N$1402)/12)=(Calcs!$I1421-Calcs!N$1402)/12,Calcs!N1421,0))))</f>
        <v>0</v>
      </c>
      <c r="I551" s="237">
        <f>IF(OR(Calcs!$J$1402=Calcs!$I1421,Calcs!$I1421&gt;I$61),0,IF(OR(I$63="Monthly",I$63=""),Calcs!O1421,IF(AND(I$63="Quarterly",INT((Calcs!$I1421-Calcs!O$1402)/3)=(Calcs!$I1421-Calcs!O$1402)/3),Calcs!O1421,IF(INT((Calcs!$I1421-Calcs!O$1402)/12)=(Calcs!$I1421-Calcs!O$1402)/12,Calcs!O1421,0))))</f>
        <v>0</v>
      </c>
      <c r="J551" s="237">
        <f>IF(OR(Calcs!$J$1402=Calcs!$I1421,Calcs!$I1421&gt;J$61),0,IF(OR(J$63="Monthly",J$63=""),Calcs!P1421,IF(AND(J$63="Quarterly",INT((Calcs!$I1421-Calcs!P$1402)/3)=(Calcs!$I1421-Calcs!P$1402)/3),Calcs!P1421,IF(INT((Calcs!$I1421-Calcs!P$1402)/12)=(Calcs!$I1421-Calcs!P$1402)/12,Calcs!P1421,0))))</f>
        <v>0</v>
      </c>
      <c r="K551" s="237">
        <f>IF(OR(Calcs!$J$1402=Calcs!$I1421,Calcs!$I1421&gt;K$61),0,IF(OR(K$63="Monthly",K$63=""),Calcs!Q1421,IF(AND(K$63="Quarterly",INT((Calcs!$I1421-Calcs!Q$1402)/3)=(Calcs!$I1421-Calcs!Q$1402)/3),Calcs!Q1421,IF(INT((Calcs!$I1421-Calcs!Q$1402)/12)=(Calcs!$I1421-Calcs!Q$1402)/12,Calcs!Q1421,0))))</f>
        <v>0</v>
      </c>
      <c r="L551" s="237">
        <f>IF(OR(Calcs!$J$1402=Calcs!$I1421,Calcs!$I1421&gt;L$61),0,IF(OR(L$63="Monthly",L$63=""),Calcs!R1421,IF(AND(L$63="Quarterly",INT((Calcs!$I1421-Calcs!R$1402)/3)=(Calcs!$I1421-Calcs!R$1402)/3),Calcs!R1421,IF(INT((Calcs!$I1421-Calcs!R$1402)/12)=(Calcs!$I1421-Calcs!R$1402)/12,Calcs!R1421,0))))</f>
        <v>0</v>
      </c>
      <c r="M551" s="237">
        <f>IF(OR(Calcs!$J$1402=Calcs!$I1421,Calcs!$I1421&gt;M$61),0,IF(OR(M$63="Monthly",M$63=""),Calcs!S1421,IF(AND(M$63="Quarterly",INT((Calcs!$I1421-Calcs!S$1402)/3)=(Calcs!$I1421-Calcs!S$1402)/3),Calcs!S1421,IF(INT((Calcs!$I1421-Calcs!S$1402)/12)=(Calcs!$I1421-Calcs!S$1402)/12,Calcs!S1421,0))))</f>
        <v>0</v>
      </c>
      <c r="N551" s="237">
        <f>IF(OR(Calcs!$J$1402=Calcs!$I1421,Calcs!$I1421&gt;N$61),0,IF(OR(N$63="Monthly",N$63=""),Calcs!T1421,IF(AND(N$63="Quarterly",INT((Calcs!$I1421-Calcs!T$1402)/3)=(Calcs!$I1421-Calcs!T$1402)/3),Calcs!T1421,IF(INT((Calcs!$I1421-Calcs!T$1402)/12)=(Calcs!$I1421-Calcs!T$1402)/12,Calcs!T1421,0))))</f>
        <v>0</v>
      </c>
      <c r="O551" s="237">
        <f>IF(OR(Calcs!$J$1402=Calcs!$I1421,Calcs!$I1421&gt;O$61),0,IF(OR(O$63="Monthly",O$63=""),Calcs!U1421,IF(AND(O$63="Quarterly",INT((Calcs!$I1421-Calcs!U$1402)/3)=(Calcs!$I1421-Calcs!U$1402)/3),Calcs!U1421,IF(INT((Calcs!$I1421-Calcs!U$1402)/12)=(Calcs!$I1421-Calcs!U$1402)/12,Calcs!U1421,0))))</f>
        <v>0</v>
      </c>
      <c r="P551" s="237">
        <f>IF(OR(Calcs!$J$1402=Calcs!$I1421,Calcs!$I1421&gt;P$61),0,IF(OR(P$63="Monthly",P$63=""),Calcs!V1421,IF(AND(P$63="Quarterly",INT((Calcs!$I1421-Calcs!V$1402)/3)=(Calcs!$I1421-Calcs!V$1402)/3),Calcs!V1421,IF(INT((Calcs!$I1421-Calcs!V$1402)/12)=(Calcs!$I1421-Calcs!V$1402)/12,Calcs!V1421,0))))</f>
        <v>0</v>
      </c>
      <c r="Q551" s="237">
        <f>IF(OR(Calcs!$J$1402=Calcs!$I1421,Calcs!$I1421&gt;Q$61),0,IF(OR(Q$63="Monthly",Q$63=""),Calcs!W1421,IF(AND(Q$63="Quarterly",INT((Calcs!$I1421-Calcs!W$1402)/3)=(Calcs!$I1421-Calcs!W$1402)/3),Calcs!W1421,IF(INT((Calcs!$I1421-Calcs!W$1402)/12)=(Calcs!$I1421-Calcs!W$1402)/12,Calcs!W1421,0))))</f>
        <v>0</v>
      </c>
      <c r="R551" s="237">
        <f>IF(OR(Calcs!$J$1402=Calcs!$I1421,Calcs!$I1421&gt;R$61),0,IF(OR(R$63="Monthly",R$63=""),Calcs!X1421,IF(AND(R$63="Quarterly",INT((Calcs!$I1421-Calcs!X$1402)/3)=(Calcs!$I1421-Calcs!X$1402)/3),Calcs!X1421,IF(INT((Calcs!$I1421-Calcs!X$1402)/12)=(Calcs!$I1421-Calcs!X$1402)/12,Calcs!X1421,0))))</f>
        <v>0</v>
      </c>
      <c r="S551" s="237">
        <f>IF(OR(Calcs!$J$1402=Calcs!$I1421,Calcs!$I1421&gt;S$61),0,IF(OR(S$63="Monthly",S$63=""),Calcs!Y1421,IF(AND(S$63="Quarterly",INT((Calcs!$I1421-Calcs!Y$1402)/3)=(Calcs!$I1421-Calcs!Y$1402)/3),Calcs!Y1421,IF(INT((Calcs!$I1421-Calcs!Y$1402)/12)=(Calcs!$I1421-Calcs!Y$1402)/12,Calcs!Y1421,0))))</f>
        <v>0</v>
      </c>
      <c r="T551" s="237">
        <f>IF(OR(Calcs!$J$1402=Calcs!$I1421,Calcs!$I1421&gt;T$61),0,IF(OR(T$63="Monthly",T$63=""),Calcs!Z1421,IF(AND(T$63="Quarterly",INT((Calcs!$I1421-Calcs!Z$1402)/3)=(Calcs!$I1421-Calcs!Z$1402)/3),Calcs!Z1421,IF(INT((Calcs!$I1421-Calcs!Z$1402)/12)=(Calcs!$I1421-Calcs!Z$1402)/12,Calcs!Z1421,0))))</f>
        <v>0</v>
      </c>
      <c r="U551" s="237">
        <f>IF(OR(Calcs!$J$1402=Calcs!$I1421,Calcs!$I1421&gt;U$61),0,IF(OR(U$63="Monthly",U$63=""),Calcs!AA1421,IF(AND(U$63="Quarterly",INT((Calcs!$I1421-Calcs!AA$1402)/3)=(Calcs!$I1421-Calcs!AA$1402)/3),Calcs!AA1421,IF(INT((Calcs!$I1421-Calcs!AA$1402)/12)=(Calcs!$I1421-Calcs!AA$1402)/12,Calcs!AA1421,0))))</f>
        <v>0</v>
      </c>
      <c r="V551" s="237">
        <f>IF(OR(Calcs!$J$1402=Calcs!$I1421,Calcs!$I1421&gt;V$61),0,IF(OR(V$63="Monthly",V$63=""),Calcs!AB1421,IF(AND(V$63="Quarterly",INT((Calcs!$I1421-Calcs!AB$1402)/3)=(Calcs!$I1421-Calcs!AB$1402)/3),Calcs!AB1421,IF(INT((Calcs!$I1421-Calcs!AB$1402)/12)=(Calcs!$I1421-Calcs!AB$1402)/12,Calcs!AB1421,0))))</f>
        <v>0</v>
      </c>
      <c r="W551" s="237">
        <f>IF(OR(Calcs!$J$1402=Calcs!$I1421,Calcs!$I1421&gt;W$61),0,IF(OR(W$63="Monthly",W$63=""),Calcs!AC1421,IF(AND(W$63="Quarterly",INT((Calcs!$I1421-Calcs!AC$1402)/3)=(Calcs!$I1421-Calcs!AC$1402)/3),Calcs!AC1421,IF(INT((Calcs!$I1421-Calcs!AC$1402)/12)=(Calcs!$I1421-Calcs!AC$1402)/12,Calcs!AC1421,0))))</f>
        <v>0</v>
      </c>
      <c r="X551" s="237">
        <f>IF(OR(Calcs!$J$1402=Calcs!$I1421,Calcs!$I1421&gt;X$61),0,IF(OR(X$63="Monthly",X$63=""),Calcs!AD1421,IF(AND(X$63="Quarterly",INT((Calcs!$I1421-Calcs!AD$1402)/3)=(Calcs!$I1421-Calcs!AD$1402)/3),Calcs!AD1421,IF(INT((Calcs!$I1421-Calcs!AD$1402)/12)=(Calcs!$I1421-Calcs!AD$1402)/12,Calcs!AD1421,0))))</f>
        <v>0</v>
      </c>
      <c r="Y551" s="237">
        <f>IF(OR(Calcs!$J$1402=Calcs!$I1421,Calcs!$I1421&gt;Y$61),0,IF(OR(Y$63="Monthly",Y$63=""),Calcs!AE1421,IF(AND(Y$63="Quarterly",INT((Calcs!$I1421-Calcs!AE$1402)/3)=(Calcs!$I1421-Calcs!AE$1402)/3),Calcs!AE1421,IF(INT((Calcs!$I1421-Calcs!AE$1402)/12)=(Calcs!$I1421-Calcs!AE$1402)/12,Calcs!AE1421,0))))</f>
        <v>0</v>
      </c>
      <c r="Z551" s="237">
        <f>IF(OR(Calcs!$J$1402=Calcs!$I1421,Calcs!$I1421&gt;Z$61),0,IF(OR(Z$63="Monthly",Z$63=""),Calcs!AF1421,IF(AND(Z$63="Quarterly",INT((Calcs!$I1421-Calcs!AF$1402)/3)=(Calcs!$I1421-Calcs!AF$1402)/3),Calcs!AF1421,IF(INT((Calcs!$I1421-Calcs!AF$1402)/12)=(Calcs!$I1421-Calcs!AF$1402)/12,Calcs!AF1421,0))))</f>
        <v>0</v>
      </c>
      <c r="AA551" s="237">
        <f>IF(OR(Calcs!$J$1402=Calcs!$I1421,Calcs!$I1421&gt;AA$61),0,IF(OR(AA$63="Monthly",AA$63=""),Calcs!AG1421,IF(AND(AA$63="Quarterly",INT((Calcs!$I1421-Calcs!AG$1402)/3)=(Calcs!$I1421-Calcs!AG$1402)/3),Calcs!AG1421,IF(INT((Calcs!$I1421-Calcs!AG$1402)/12)=(Calcs!$I1421-Calcs!AG$1402)/12,Calcs!AG1421,0))))</f>
        <v>0</v>
      </c>
      <c r="AB551" s="237">
        <f>IF(OR(Calcs!$J$1402=Calcs!$I1421,Calcs!$I1421&gt;AB$61),0,IF(OR(AB$63="Monthly",AB$63=""),Calcs!AH1421,IF(AND(AB$63="Quarterly",INT((Calcs!$I1421-Calcs!AH$1402)/3)=(Calcs!$I1421-Calcs!AH$1402)/3),Calcs!AH1421,IF(INT((Calcs!$I1421-Calcs!AH$1402)/12)=(Calcs!$I1421-Calcs!AH$1402)/12,Calcs!AH1421,0))))</f>
        <v>0</v>
      </c>
      <c r="CH551" s="269"/>
      <c r="CI551" s="269"/>
      <c r="CJ551" s="269"/>
      <c r="CK551" s="269"/>
      <c r="CL551" s="269"/>
      <c r="CM551" s="269"/>
      <c r="CN551" s="269"/>
      <c r="CO551" s="269"/>
      <c r="CP551" s="269"/>
      <c r="CQ551" s="269"/>
      <c r="CR551" s="269"/>
      <c r="CS551" s="269"/>
    </row>
    <row r="552" spans="1:97" ht="12" customHeight="1" x14ac:dyDescent="0.3">
      <c r="A552" s="5"/>
      <c r="B552" s="5"/>
      <c r="C552" s="495">
        <f>C489</f>
        <v>517</v>
      </c>
      <c r="D552" s="236">
        <f>IF(OR(Calcs!$J$1402=Calcs!$I1422,Calcs!$I1422&gt;D$61),0,IF(OR(D$63="Monthly",D$63=""),Calcs!J1422,IF(AND(D$63="Quarterly",INT((Calcs!$I1422-Calcs!J$1402)/3)=(Calcs!$I1422-Calcs!J$1402)/3),Calcs!J1422,IF(INT((Calcs!$I1422-Calcs!J$1402)/12)=(Calcs!$I1422-Calcs!J$1402)/12,Calcs!J1422,0))))</f>
        <v>0</v>
      </c>
      <c r="E552" s="237">
        <f>IF(OR(Calcs!$J$1402=Calcs!$I1422,Calcs!$I1422&gt;E$61),0,IF(OR(E$63="Monthly",E$63=""),Calcs!K1422,IF(AND(E$63="Quarterly",INT((Calcs!$I1422-Calcs!K$1402)/3)=(Calcs!$I1422-Calcs!K$1402)/3),Calcs!K1422,IF(INT((Calcs!$I1422-Calcs!K$1402)/12)=(Calcs!$I1422-Calcs!K$1402)/12,Calcs!K1422,0))))</f>
        <v>0</v>
      </c>
      <c r="F552" s="237">
        <f>IF(OR(Calcs!$J$1402=Calcs!$I1422,Calcs!$I1422&gt;F$61),0,IF(OR(F$63="Monthly",F$63=""),Calcs!L1422,IF(AND(F$63="Quarterly",INT((Calcs!$I1422-Calcs!L$1402)/3)=(Calcs!$I1422-Calcs!L$1402)/3),Calcs!L1422,IF(INT((Calcs!$I1422-Calcs!L$1402)/12)=(Calcs!$I1422-Calcs!L$1402)/12,Calcs!L1422,0))))</f>
        <v>0</v>
      </c>
      <c r="G552" s="237">
        <f>IF(OR(Calcs!$J$1402=Calcs!$I1422,Calcs!$I1422&gt;G$61),0,IF(OR(G$63="Monthly",G$63=""),Calcs!M1422,IF(AND(G$63="Quarterly",INT((Calcs!$I1422-Calcs!M$1402)/3)=(Calcs!$I1422-Calcs!M$1402)/3),Calcs!M1422,IF(INT((Calcs!$I1422-Calcs!M$1402)/12)=(Calcs!$I1422-Calcs!M$1402)/12,Calcs!M1422,0))))</f>
        <v>0</v>
      </c>
      <c r="H552" s="237">
        <f>IF(OR(Calcs!$J$1402=Calcs!$I1422,Calcs!$I1422&gt;H$61),0,IF(OR(H$63="Monthly",H$63=""),Calcs!N1422,IF(AND(H$63="Quarterly",INT((Calcs!$I1422-Calcs!N$1402)/3)=(Calcs!$I1422-Calcs!N$1402)/3),Calcs!N1422,IF(INT((Calcs!$I1422-Calcs!N$1402)/12)=(Calcs!$I1422-Calcs!N$1402)/12,Calcs!N1422,0))))</f>
        <v>0</v>
      </c>
      <c r="I552" s="237">
        <f>IF(OR(Calcs!$J$1402=Calcs!$I1422,Calcs!$I1422&gt;I$61),0,IF(OR(I$63="Monthly",I$63=""),Calcs!O1422,IF(AND(I$63="Quarterly",INT((Calcs!$I1422-Calcs!O$1402)/3)=(Calcs!$I1422-Calcs!O$1402)/3),Calcs!O1422,IF(INT((Calcs!$I1422-Calcs!O$1402)/12)=(Calcs!$I1422-Calcs!O$1402)/12,Calcs!O1422,0))))</f>
        <v>0</v>
      </c>
      <c r="J552" s="237">
        <f>IF(OR(Calcs!$J$1402=Calcs!$I1422,Calcs!$I1422&gt;J$61),0,IF(OR(J$63="Monthly",J$63=""),Calcs!P1422,IF(AND(J$63="Quarterly",INT((Calcs!$I1422-Calcs!P$1402)/3)=(Calcs!$I1422-Calcs!P$1402)/3),Calcs!P1422,IF(INT((Calcs!$I1422-Calcs!P$1402)/12)=(Calcs!$I1422-Calcs!P$1402)/12,Calcs!P1422,0))))</f>
        <v>0</v>
      </c>
      <c r="K552" s="237">
        <f>IF(OR(Calcs!$J$1402=Calcs!$I1422,Calcs!$I1422&gt;K$61),0,IF(OR(K$63="Monthly",K$63=""),Calcs!Q1422,IF(AND(K$63="Quarterly",INT((Calcs!$I1422-Calcs!Q$1402)/3)=(Calcs!$I1422-Calcs!Q$1402)/3),Calcs!Q1422,IF(INT((Calcs!$I1422-Calcs!Q$1402)/12)=(Calcs!$I1422-Calcs!Q$1402)/12,Calcs!Q1422,0))))</f>
        <v>0</v>
      </c>
      <c r="L552" s="237">
        <f>IF(OR(Calcs!$J$1402=Calcs!$I1422,Calcs!$I1422&gt;L$61),0,IF(OR(L$63="Monthly",L$63=""),Calcs!R1422,IF(AND(L$63="Quarterly",INT((Calcs!$I1422-Calcs!R$1402)/3)=(Calcs!$I1422-Calcs!R$1402)/3),Calcs!R1422,IF(INT((Calcs!$I1422-Calcs!R$1402)/12)=(Calcs!$I1422-Calcs!R$1402)/12,Calcs!R1422,0))))</f>
        <v>0</v>
      </c>
      <c r="M552" s="237">
        <f>IF(OR(Calcs!$J$1402=Calcs!$I1422,Calcs!$I1422&gt;M$61),0,IF(OR(M$63="Monthly",M$63=""),Calcs!S1422,IF(AND(M$63="Quarterly",INT((Calcs!$I1422-Calcs!S$1402)/3)=(Calcs!$I1422-Calcs!S$1402)/3),Calcs!S1422,IF(INT((Calcs!$I1422-Calcs!S$1402)/12)=(Calcs!$I1422-Calcs!S$1402)/12,Calcs!S1422,0))))</f>
        <v>0</v>
      </c>
      <c r="N552" s="237">
        <f>IF(OR(Calcs!$J$1402=Calcs!$I1422,Calcs!$I1422&gt;N$61),0,IF(OR(N$63="Monthly",N$63=""),Calcs!T1422,IF(AND(N$63="Quarterly",INT((Calcs!$I1422-Calcs!T$1402)/3)=(Calcs!$I1422-Calcs!T$1402)/3),Calcs!T1422,IF(INT((Calcs!$I1422-Calcs!T$1402)/12)=(Calcs!$I1422-Calcs!T$1402)/12,Calcs!T1422,0))))</f>
        <v>0</v>
      </c>
      <c r="O552" s="237">
        <f>IF(OR(Calcs!$J$1402=Calcs!$I1422,Calcs!$I1422&gt;O$61),0,IF(OR(O$63="Monthly",O$63=""),Calcs!U1422,IF(AND(O$63="Quarterly",INT((Calcs!$I1422-Calcs!U$1402)/3)=(Calcs!$I1422-Calcs!U$1402)/3),Calcs!U1422,IF(INT((Calcs!$I1422-Calcs!U$1402)/12)=(Calcs!$I1422-Calcs!U$1402)/12,Calcs!U1422,0))))</f>
        <v>0</v>
      </c>
      <c r="P552" s="237">
        <f>IF(OR(Calcs!$J$1402=Calcs!$I1422,Calcs!$I1422&gt;P$61),0,IF(OR(P$63="Monthly",P$63=""),Calcs!V1422,IF(AND(P$63="Quarterly",INT((Calcs!$I1422-Calcs!V$1402)/3)=(Calcs!$I1422-Calcs!V$1402)/3),Calcs!V1422,IF(INT((Calcs!$I1422-Calcs!V$1402)/12)=(Calcs!$I1422-Calcs!V$1402)/12,Calcs!V1422,0))))</f>
        <v>0</v>
      </c>
      <c r="Q552" s="237">
        <f>IF(OR(Calcs!$J$1402=Calcs!$I1422,Calcs!$I1422&gt;Q$61),0,IF(OR(Q$63="Monthly",Q$63=""),Calcs!W1422,IF(AND(Q$63="Quarterly",INT((Calcs!$I1422-Calcs!W$1402)/3)=(Calcs!$I1422-Calcs!W$1402)/3),Calcs!W1422,IF(INT((Calcs!$I1422-Calcs!W$1402)/12)=(Calcs!$I1422-Calcs!W$1402)/12,Calcs!W1422,0))))</f>
        <v>0</v>
      </c>
      <c r="R552" s="237">
        <f>IF(OR(Calcs!$J$1402=Calcs!$I1422,Calcs!$I1422&gt;R$61),0,IF(OR(R$63="Monthly",R$63=""),Calcs!X1422,IF(AND(R$63="Quarterly",INT((Calcs!$I1422-Calcs!X$1402)/3)=(Calcs!$I1422-Calcs!X$1402)/3),Calcs!X1422,IF(INT((Calcs!$I1422-Calcs!X$1402)/12)=(Calcs!$I1422-Calcs!X$1402)/12,Calcs!X1422,0))))</f>
        <v>0</v>
      </c>
      <c r="S552" s="237">
        <f>IF(OR(Calcs!$J$1402=Calcs!$I1422,Calcs!$I1422&gt;S$61),0,IF(OR(S$63="Monthly",S$63=""),Calcs!Y1422,IF(AND(S$63="Quarterly",INT((Calcs!$I1422-Calcs!Y$1402)/3)=(Calcs!$I1422-Calcs!Y$1402)/3),Calcs!Y1422,IF(INT((Calcs!$I1422-Calcs!Y$1402)/12)=(Calcs!$I1422-Calcs!Y$1402)/12,Calcs!Y1422,0))))</f>
        <v>0</v>
      </c>
      <c r="T552" s="237">
        <f>IF(OR(Calcs!$J$1402=Calcs!$I1422,Calcs!$I1422&gt;T$61),0,IF(OR(T$63="Monthly",T$63=""),Calcs!Z1422,IF(AND(T$63="Quarterly",INT((Calcs!$I1422-Calcs!Z$1402)/3)=(Calcs!$I1422-Calcs!Z$1402)/3),Calcs!Z1422,IF(INT((Calcs!$I1422-Calcs!Z$1402)/12)=(Calcs!$I1422-Calcs!Z$1402)/12,Calcs!Z1422,0))))</f>
        <v>0</v>
      </c>
      <c r="U552" s="237">
        <f>IF(OR(Calcs!$J$1402=Calcs!$I1422,Calcs!$I1422&gt;U$61),0,IF(OR(U$63="Monthly",U$63=""),Calcs!AA1422,IF(AND(U$63="Quarterly",INT((Calcs!$I1422-Calcs!AA$1402)/3)=(Calcs!$I1422-Calcs!AA$1402)/3),Calcs!AA1422,IF(INT((Calcs!$I1422-Calcs!AA$1402)/12)=(Calcs!$I1422-Calcs!AA$1402)/12,Calcs!AA1422,0))))</f>
        <v>0</v>
      </c>
      <c r="V552" s="237">
        <f>IF(OR(Calcs!$J$1402=Calcs!$I1422,Calcs!$I1422&gt;V$61),0,IF(OR(V$63="Monthly",V$63=""),Calcs!AB1422,IF(AND(V$63="Quarterly",INT((Calcs!$I1422-Calcs!AB$1402)/3)=(Calcs!$I1422-Calcs!AB$1402)/3),Calcs!AB1422,IF(INT((Calcs!$I1422-Calcs!AB$1402)/12)=(Calcs!$I1422-Calcs!AB$1402)/12,Calcs!AB1422,0))))</f>
        <v>0</v>
      </c>
      <c r="W552" s="237">
        <f>IF(OR(Calcs!$J$1402=Calcs!$I1422,Calcs!$I1422&gt;W$61),0,IF(OR(W$63="Monthly",W$63=""),Calcs!AC1422,IF(AND(W$63="Quarterly",INT((Calcs!$I1422-Calcs!AC$1402)/3)=(Calcs!$I1422-Calcs!AC$1402)/3),Calcs!AC1422,IF(INT((Calcs!$I1422-Calcs!AC$1402)/12)=(Calcs!$I1422-Calcs!AC$1402)/12,Calcs!AC1422,0))))</f>
        <v>0</v>
      </c>
      <c r="X552" s="237">
        <f>IF(OR(Calcs!$J$1402=Calcs!$I1422,Calcs!$I1422&gt;X$61),0,IF(OR(X$63="Monthly",X$63=""),Calcs!AD1422,IF(AND(X$63="Quarterly",INT((Calcs!$I1422-Calcs!AD$1402)/3)=(Calcs!$I1422-Calcs!AD$1402)/3),Calcs!AD1422,IF(INT((Calcs!$I1422-Calcs!AD$1402)/12)=(Calcs!$I1422-Calcs!AD$1402)/12,Calcs!AD1422,0))))</f>
        <v>0</v>
      </c>
      <c r="Y552" s="237">
        <f>IF(OR(Calcs!$J$1402=Calcs!$I1422,Calcs!$I1422&gt;Y$61),0,IF(OR(Y$63="Monthly",Y$63=""),Calcs!AE1422,IF(AND(Y$63="Quarterly",INT((Calcs!$I1422-Calcs!AE$1402)/3)=(Calcs!$I1422-Calcs!AE$1402)/3),Calcs!AE1422,IF(INT((Calcs!$I1422-Calcs!AE$1402)/12)=(Calcs!$I1422-Calcs!AE$1402)/12,Calcs!AE1422,0))))</f>
        <v>0</v>
      </c>
      <c r="Z552" s="237">
        <f>IF(OR(Calcs!$J$1402=Calcs!$I1422,Calcs!$I1422&gt;Z$61),0,IF(OR(Z$63="Monthly",Z$63=""),Calcs!AF1422,IF(AND(Z$63="Quarterly",INT((Calcs!$I1422-Calcs!AF$1402)/3)=(Calcs!$I1422-Calcs!AF$1402)/3),Calcs!AF1422,IF(INT((Calcs!$I1422-Calcs!AF$1402)/12)=(Calcs!$I1422-Calcs!AF$1402)/12,Calcs!AF1422,0))))</f>
        <v>0</v>
      </c>
      <c r="AA552" s="237">
        <f>IF(OR(Calcs!$J$1402=Calcs!$I1422,Calcs!$I1422&gt;AA$61),0,IF(OR(AA$63="Monthly",AA$63=""),Calcs!AG1422,IF(AND(AA$63="Quarterly",INT((Calcs!$I1422-Calcs!AG$1402)/3)=(Calcs!$I1422-Calcs!AG$1402)/3),Calcs!AG1422,IF(INT((Calcs!$I1422-Calcs!AG$1402)/12)=(Calcs!$I1422-Calcs!AG$1402)/12,Calcs!AG1422,0))))</f>
        <v>0</v>
      </c>
      <c r="AB552" s="237">
        <f>IF(OR(Calcs!$J$1402=Calcs!$I1422,Calcs!$I1422&gt;AB$61),0,IF(OR(AB$63="Monthly",AB$63=""),Calcs!AH1422,IF(AND(AB$63="Quarterly",INT((Calcs!$I1422-Calcs!AH$1402)/3)=(Calcs!$I1422-Calcs!AH$1402)/3),Calcs!AH1422,IF(INT((Calcs!$I1422-Calcs!AH$1402)/12)=(Calcs!$I1422-Calcs!AH$1402)/12,Calcs!AH1422,0))))</f>
        <v>0</v>
      </c>
      <c r="CH552" s="269"/>
      <c r="CI552" s="269"/>
      <c r="CJ552" s="269"/>
      <c r="CK552" s="269"/>
      <c r="CL552" s="269"/>
      <c r="CM552" s="269"/>
      <c r="CN552" s="269"/>
      <c r="CO552" s="269"/>
      <c r="CP552" s="269"/>
      <c r="CQ552" s="269"/>
      <c r="CR552" s="269"/>
      <c r="CS552" s="269"/>
    </row>
    <row r="553" spans="1:97" ht="12" customHeight="1" x14ac:dyDescent="0.3">
      <c r="A553" s="5"/>
      <c r="B553" s="5"/>
      <c r="C553" s="495">
        <f>C490</f>
        <v>547</v>
      </c>
      <c r="D553" s="236">
        <f>IF(OR(Calcs!$J$1402=Calcs!$I1423,Calcs!$I1423&gt;D$61),0,IF(OR(D$63="Monthly",D$63=""),Calcs!J1423,IF(AND(D$63="Quarterly",INT((Calcs!$I1423-Calcs!J$1402)/3)=(Calcs!$I1423-Calcs!J$1402)/3),Calcs!J1423,IF(INT((Calcs!$I1423-Calcs!J$1402)/12)=(Calcs!$I1423-Calcs!J$1402)/12,Calcs!J1423,0))))</f>
        <v>0</v>
      </c>
      <c r="E553" s="237">
        <f>IF(OR(Calcs!$J$1402=Calcs!$I1423,Calcs!$I1423&gt;E$61),0,IF(OR(E$63="Monthly",E$63=""),Calcs!K1423,IF(AND(E$63="Quarterly",INT((Calcs!$I1423-Calcs!K$1402)/3)=(Calcs!$I1423-Calcs!K$1402)/3),Calcs!K1423,IF(INT((Calcs!$I1423-Calcs!K$1402)/12)=(Calcs!$I1423-Calcs!K$1402)/12,Calcs!K1423,0))))</f>
        <v>0</v>
      </c>
      <c r="F553" s="237">
        <f>IF(OR(Calcs!$J$1402=Calcs!$I1423,Calcs!$I1423&gt;F$61),0,IF(OR(F$63="Monthly",F$63=""),Calcs!L1423,IF(AND(F$63="Quarterly",INT((Calcs!$I1423-Calcs!L$1402)/3)=(Calcs!$I1423-Calcs!L$1402)/3),Calcs!L1423,IF(INT((Calcs!$I1423-Calcs!L$1402)/12)=(Calcs!$I1423-Calcs!L$1402)/12,Calcs!L1423,0))))</f>
        <v>0</v>
      </c>
      <c r="G553" s="237">
        <f>IF(OR(Calcs!$J$1402=Calcs!$I1423,Calcs!$I1423&gt;G$61),0,IF(OR(G$63="Monthly",G$63=""),Calcs!M1423,IF(AND(G$63="Quarterly",INT((Calcs!$I1423-Calcs!M$1402)/3)=(Calcs!$I1423-Calcs!M$1402)/3),Calcs!M1423,IF(INT((Calcs!$I1423-Calcs!M$1402)/12)=(Calcs!$I1423-Calcs!M$1402)/12,Calcs!M1423,0))))</f>
        <v>0</v>
      </c>
      <c r="H553" s="237">
        <f>IF(OR(Calcs!$J$1402=Calcs!$I1423,Calcs!$I1423&gt;H$61),0,IF(OR(H$63="Monthly",H$63=""),Calcs!N1423,IF(AND(H$63="Quarterly",INT((Calcs!$I1423-Calcs!N$1402)/3)=(Calcs!$I1423-Calcs!N$1402)/3),Calcs!N1423,IF(INT((Calcs!$I1423-Calcs!N$1402)/12)=(Calcs!$I1423-Calcs!N$1402)/12,Calcs!N1423,0))))</f>
        <v>0</v>
      </c>
      <c r="I553" s="237">
        <f>IF(OR(Calcs!$J$1402=Calcs!$I1423,Calcs!$I1423&gt;I$61),0,IF(OR(I$63="Monthly",I$63=""),Calcs!O1423,IF(AND(I$63="Quarterly",INT((Calcs!$I1423-Calcs!O$1402)/3)=(Calcs!$I1423-Calcs!O$1402)/3),Calcs!O1423,IF(INT((Calcs!$I1423-Calcs!O$1402)/12)=(Calcs!$I1423-Calcs!O$1402)/12,Calcs!O1423,0))))</f>
        <v>0</v>
      </c>
      <c r="J553" s="237">
        <f>IF(OR(Calcs!$J$1402=Calcs!$I1423,Calcs!$I1423&gt;J$61),0,IF(OR(J$63="Monthly",J$63=""),Calcs!P1423,IF(AND(J$63="Quarterly",INT((Calcs!$I1423-Calcs!P$1402)/3)=(Calcs!$I1423-Calcs!P$1402)/3),Calcs!P1423,IF(INT((Calcs!$I1423-Calcs!P$1402)/12)=(Calcs!$I1423-Calcs!P$1402)/12,Calcs!P1423,0))))</f>
        <v>0</v>
      </c>
      <c r="K553" s="237">
        <f>IF(OR(Calcs!$J$1402=Calcs!$I1423,Calcs!$I1423&gt;K$61),0,IF(OR(K$63="Monthly",K$63=""),Calcs!Q1423,IF(AND(K$63="Quarterly",INT((Calcs!$I1423-Calcs!Q$1402)/3)=(Calcs!$I1423-Calcs!Q$1402)/3),Calcs!Q1423,IF(INT((Calcs!$I1423-Calcs!Q$1402)/12)=(Calcs!$I1423-Calcs!Q$1402)/12,Calcs!Q1423,0))))</f>
        <v>0</v>
      </c>
      <c r="L553" s="237">
        <f>IF(OR(Calcs!$J$1402=Calcs!$I1423,Calcs!$I1423&gt;L$61),0,IF(OR(L$63="Monthly",L$63=""),Calcs!R1423,IF(AND(L$63="Quarterly",INT((Calcs!$I1423-Calcs!R$1402)/3)=(Calcs!$I1423-Calcs!R$1402)/3),Calcs!R1423,IF(INT((Calcs!$I1423-Calcs!R$1402)/12)=(Calcs!$I1423-Calcs!R$1402)/12,Calcs!R1423,0))))</f>
        <v>0</v>
      </c>
      <c r="M553" s="237">
        <f>IF(OR(Calcs!$J$1402=Calcs!$I1423,Calcs!$I1423&gt;M$61),0,IF(OR(M$63="Monthly",M$63=""),Calcs!S1423,IF(AND(M$63="Quarterly",INT((Calcs!$I1423-Calcs!S$1402)/3)=(Calcs!$I1423-Calcs!S$1402)/3),Calcs!S1423,IF(INT((Calcs!$I1423-Calcs!S$1402)/12)=(Calcs!$I1423-Calcs!S$1402)/12,Calcs!S1423,0))))</f>
        <v>0</v>
      </c>
      <c r="N553" s="237">
        <f>IF(OR(Calcs!$J$1402=Calcs!$I1423,Calcs!$I1423&gt;N$61),0,IF(OR(N$63="Monthly",N$63=""),Calcs!T1423,IF(AND(N$63="Quarterly",INT((Calcs!$I1423-Calcs!T$1402)/3)=(Calcs!$I1423-Calcs!T$1402)/3),Calcs!T1423,IF(INT((Calcs!$I1423-Calcs!T$1402)/12)=(Calcs!$I1423-Calcs!T$1402)/12,Calcs!T1423,0))))</f>
        <v>0</v>
      </c>
      <c r="O553" s="237">
        <f>IF(OR(Calcs!$J$1402=Calcs!$I1423,Calcs!$I1423&gt;O$61),0,IF(OR(O$63="Monthly",O$63=""),Calcs!U1423,IF(AND(O$63="Quarterly",INT((Calcs!$I1423-Calcs!U$1402)/3)=(Calcs!$I1423-Calcs!U$1402)/3),Calcs!U1423,IF(INT((Calcs!$I1423-Calcs!U$1402)/12)=(Calcs!$I1423-Calcs!U$1402)/12,Calcs!U1423,0))))</f>
        <v>0</v>
      </c>
      <c r="P553" s="237">
        <f>IF(OR(Calcs!$J$1402=Calcs!$I1423,Calcs!$I1423&gt;P$61),0,IF(OR(P$63="Monthly",P$63=""),Calcs!V1423,IF(AND(P$63="Quarterly",INT((Calcs!$I1423-Calcs!V$1402)/3)=(Calcs!$I1423-Calcs!V$1402)/3),Calcs!V1423,IF(INT((Calcs!$I1423-Calcs!V$1402)/12)=(Calcs!$I1423-Calcs!V$1402)/12,Calcs!V1423,0))))</f>
        <v>0</v>
      </c>
      <c r="Q553" s="237">
        <f>IF(OR(Calcs!$J$1402=Calcs!$I1423,Calcs!$I1423&gt;Q$61),0,IF(OR(Q$63="Monthly",Q$63=""),Calcs!W1423,IF(AND(Q$63="Quarterly",INT((Calcs!$I1423-Calcs!W$1402)/3)=(Calcs!$I1423-Calcs!W$1402)/3),Calcs!W1423,IF(INT((Calcs!$I1423-Calcs!W$1402)/12)=(Calcs!$I1423-Calcs!W$1402)/12,Calcs!W1423,0))))</f>
        <v>0</v>
      </c>
      <c r="R553" s="237">
        <f>IF(OR(Calcs!$J$1402=Calcs!$I1423,Calcs!$I1423&gt;R$61),0,IF(OR(R$63="Monthly",R$63=""),Calcs!X1423,IF(AND(R$63="Quarterly",INT((Calcs!$I1423-Calcs!X$1402)/3)=(Calcs!$I1423-Calcs!X$1402)/3),Calcs!X1423,IF(INT((Calcs!$I1423-Calcs!X$1402)/12)=(Calcs!$I1423-Calcs!X$1402)/12,Calcs!X1423,0))))</f>
        <v>0</v>
      </c>
      <c r="S553" s="237">
        <f>IF(OR(Calcs!$J$1402=Calcs!$I1423,Calcs!$I1423&gt;S$61),0,IF(OR(S$63="Monthly",S$63=""),Calcs!Y1423,IF(AND(S$63="Quarterly",INT((Calcs!$I1423-Calcs!Y$1402)/3)=(Calcs!$I1423-Calcs!Y$1402)/3),Calcs!Y1423,IF(INT((Calcs!$I1423-Calcs!Y$1402)/12)=(Calcs!$I1423-Calcs!Y$1402)/12,Calcs!Y1423,0))))</f>
        <v>0</v>
      </c>
      <c r="T553" s="237">
        <f>IF(OR(Calcs!$J$1402=Calcs!$I1423,Calcs!$I1423&gt;T$61),0,IF(OR(T$63="Monthly",T$63=""),Calcs!Z1423,IF(AND(T$63="Quarterly",INT((Calcs!$I1423-Calcs!Z$1402)/3)=(Calcs!$I1423-Calcs!Z$1402)/3),Calcs!Z1423,IF(INT((Calcs!$I1423-Calcs!Z$1402)/12)=(Calcs!$I1423-Calcs!Z$1402)/12,Calcs!Z1423,0))))</f>
        <v>0</v>
      </c>
      <c r="U553" s="237">
        <f>IF(OR(Calcs!$J$1402=Calcs!$I1423,Calcs!$I1423&gt;U$61),0,IF(OR(U$63="Monthly",U$63=""),Calcs!AA1423,IF(AND(U$63="Quarterly",INT((Calcs!$I1423-Calcs!AA$1402)/3)=(Calcs!$I1423-Calcs!AA$1402)/3),Calcs!AA1423,IF(INT((Calcs!$I1423-Calcs!AA$1402)/12)=(Calcs!$I1423-Calcs!AA$1402)/12,Calcs!AA1423,0))))</f>
        <v>0</v>
      </c>
      <c r="V553" s="237">
        <f>IF(OR(Calcs!$J$1402=Calcs!$I1423,Calcs!$I1423&gt;V$61),0,IF(OR(V$63="Monthly",V$63=""),Calcs!AB1423,IF(AND(V$63="Quarterly",INT((Calcs!$I1423-Calcs!AB$1402)/3)=(Calcs!$I1423-Calcs!AB$1402)/3),Calcs!AB1423,IF(INT((Calcs!$I1423-Calcs!AB$1402)/12)=(Calcs!$I1423-Calcs!AB$1402)/12,Calcs!AB1423,0))))</f>
        <v>0</v>
      </c>
      <c r="W553" s="237">
        <f>IF(OR(Calcs!$J$1402=Calcs!$I1423,Calcs!$I1423&gt;W$61),0,IF(OR(W$63="Monthly",W$63=""),Calcs!AC1423,IF(AND(W$63="Quarterly",INT((Calcs!$I1423-Calcs!AC$1402)/3)=(Calcs!$I1423-Calcs!AC$1402)/3),Calcs!AC1423,IF(INT((Calcs!$I1423-Calcs!AC$1402)/12)=(Calcs!$I1423-Calcs!AC$1402)/12,Calcs!AC1423,0))))</f>
        <v>0</v>
      </c>
      <c r="X553" s="237">
        <f>IF(OR(Calcs!$J$1402=Calcs!$I1423,Calcs!$I1423&gt;X$61),0,IF(OR(X$63="Monthly",X$63=""),Calcs!AD1423,IF(AND(X$63="Quarterly",INT((Calcs!$I1423-Calcs!AD$1402)/3)=(Calcs!$I1423-Calcs!AD$1402)/3),Calcs!AD1423,IF(INT((Calcs!$I1423-Calcs!AD$1402)/12)=(Calcs!$I1423-Calcs!AD$1402)/12,Calcs!AD1423,0))))</f>
        <v>0</v>
      </c>
      <c r="Y553" s="237">
        <f>IF(OR(Calcs!$J$1402=Calcs!$I1423,Calcs!$I1423&gt;Y$61),0,IF(OR(Y$63="Monthly",Y$63=""),Calcs!AE1423,IF(AND(Y$63="Quarterly",INT((Calcs!$I1423-Calcs!AE$1402)/3)=(Calcs!$I1423-Calcs!AE$1402)/3),Calcs!AE1423,IF(INT((Calcs!$I1423-Calcs!AE$1402)/12)=(Calcs!$I1423-Calcs!AE$1402)/12,Calcs!AE1423,0))))</f>
        <v>0</v>
      </c>
      <c r="Z553" s="237">
        <f>IF(OR(Calcs!$J$1402=Calcs!$I1423,Calcs!$I1423&gt;Z$61),0,IF(OR(Z$63="Monthly",Z$63=""),Calcs!AF1423,IF(AND(Z$63="Quarterly",INT((Calcs!$I1423-Calcs!AF$1402)/3)=(Calcs!$I1423-Calcs!AF$1402)/3),Calcs!AF1423,IF(INT((Calcs!$I1423-Calcs!AF$1402)/12)=(Calcs!$I1423-Calcs!AF$1402)/12,Calcs!AF1423,0))))</f>
        <v>0</v>
      </c>
      <c r="AA553" s="237">
        <f>IF(OR(Calcs!$J$1402=Calcs!$I1423,Calcs!$I1423&gt;AA$61),0,IF(OR(AA$63="Monthly",AA$63=""),Calcs!AG1423,IF(AND(AA$63="Quarterly",INT((Calcs!$I1423-Calcs!AG$1402)/3)=(Calcs!$I1423-Calcs!AG$1402)/3),Calcs!AG1423,IF(INT((Calcs!$I1423-Calcs!AG$1402)/12)=(Calcs!$I1423-Calcs!AG$1402)/12,Calcs!AG1423,0))))</f>
        <v>0</v>
      </c>
      <c r="AB553" s="237">
        <f>IF(OR(Calcs!$J$1402=Calcs!$I1423,Calcs!$I1423&gt;AB$61),0,IF(OR(AB$63="Monthly",AB$63=""),Calcs!AH1423,IF(AND(AB$63="Quarterly",INT((Calcs!$I1423-Calcs!AH$1402)/3)=(Calcs!$I1423-Calcs!AH$1402)/3),Calcs!AH1423,IF(INT((Calcs!$I1423-Calcs!AH$1402)/12)=(Calcs!$I1423-Calcs!AH$1402)/12,Calcs!AH1423,0))))</f>
        <v>0</v>
      </c>
      <c r="CH553" s="269"/>
      <c r="CI553" s="269"/>
      <c r="CJ553" s="269"/>
      <c r="CK553" s="269"/>
      <c r="CL553" s="269"/>
      <c r="CM553" s="269"/>
      <c r="CN553" s="269"/>
      <c r="CO553" s="269"/>
      <c r="CP553" s="269"/>
      <c r="CQ553" s="269"/>
      <c r="CR553" s="269"/>
      <c r="CS553" s="269"/>
    </row>
    <row r="554" spans="1:97" ht="12" customHeight="1" x14ac:dyDescent="0.3">
      <c r="A554" s="5"/>
      <c r="B554" s="5"/>
      <c r="C554" s="495">
        <f>C491</f>
        <v>578</v>
      </c>
      <c r="D554" s="236">
        <f>IF(OR(Calcs!$J$1402=Calcs!$I1424,Calcs!$I1424&gt;D$61),0,IF(OR(D$63="Monthly",D$63=""),Calcs!J1424,IF(AND(D$63="Quarterly",INT((Calcs!$I1424-Calcs!J$1402)/3)=(Calcs!$I1424-Calcs!J$1402)/3),Calcs!J1424,IF(INT((Calcs!$I1424-Calcs!J$1402)/12)=(Calcs!$I1424-Calcs!J$1402)/12,Calcs!J1424,0))))</f>
        <v>0</v>
      </c>
      <c r="E554" s="239">
        <f>IF(OR(Calcs!$J$1402=Calcs!$I1424,Calcs!$I1424&gt;E$61),0,IF(OR(E$63="Monthly",E$63=""),Calcs!K1424,IF(AND(E$63="Quarterly",INT((Calcs!$I1424-Calcs!K$1402)/3)=(Calcs!$I1424-Calcs!K$1402)/3),Calcs!K1424,IF(INT((Calcs!$I1424-Calcs!K$1402)/12)=(Calcs!$I1424-Calcs!K$1402)/12,Calcs!K1424,0))))</f>
        <v>0</v>
      </c>
      <c r="F554" s="239">
        <f>IF(OR(Calcs!$J$1402=Calcs!$I1424,Calcs!$I1424&gt;F$61),0,IF(OR(F$63="Monthly",F$63=""),Calcs!L1424,IF(AND(F$63="Quarterly",INT((Calcs!$I1424-Calcs!L$1402)/3)=(Calcs!$I1424-Calcs!L$1402)/3),Calcs!L1424,IF(INT((Calcs!$I1424-Calcs!L$1402)/12)=(Calcs!$I1424-Calcs!L$1402)/12,Calcs!L1424,0))))</f>
        <v>0</v>
      </c>
      <c r="G554" s="239">
        <f>IF(OR(Calcs!$J$1402=Calcs!$I1424,Calcs!$I1424&gt;G$61),0,IF(OR(G$63="Monthly",G$63=""),Calcs!M1424,IF(AND(G$63="Quarterly",INT((Calcs!$I1424-Calcs!M$1402)/3)=(Calcs!$I1424-Calcs!M$1402)/3),Calcs!M1424,IF(INT((Calcs!$I1424-Calcs!M$1402)/12)=(Calcs!$I1424-Calcs!M$1402)/12,Calcs!M1424,0))))</f>
        <v>0</v>
      </c>
      <c r="H554" s="239">
        <f>IF(OR(Calcs!$J$1402=Calcs!$I1424,Calcs!$I1424&gt;H$61),0,IF(OR(H$63="Monthly",H$63=""),Calcs!N1424,IF(AND(H$63="Quarterly",INT((Calcs!$I1424-Calcs!N$1402)/3)=(Calcs!$I1424-Calcs!N$1402)/3),Calcs!N1424,IF(INT((Calcs!$I1424-Calcs!N$1402)/12)=(Calcs!$I1424-Calcs!N$1402)/12,Calcs!N1424,0))))</f>
        <v>0</v>
      </c>
      <c r="I554" s="239">
        <f>IF(OR(Calcs!$J$1402=Calcs!$I1424,Calcs!$I1424&gt;I$61),0,IF(OR(I$63="Monthly",I$63=""),Calcs!O1424,IF(AND(I$63="Quarterly",INT((Calcs!$I1424-Calcs!O$1402)/3)=(Calcs!$I1424-Calcs!O$1402)/3),Calcs!O1424,IF(INT((Calcs!$I1424-Calcs!O$1402)/12)=(Calcs!$I1424-Calcs!O$1402)/12,Calcs!O1424,0))))</f>
        <v>0</v>
      </c>
      <c r="J554" s="239">
        <f>IF(OR(Calcs!$J$1402=Calcs!$I1424,Calcs!$I1424&gt;J$61),0,IF(OR(J$63="Monthly",J$63=""),Calcs!P1424,IF(AND(J$63="Quarterly",INT((Calcs!$I1424-Calcs!P$1402)/3)=(Calcs!$I1424-Calcs!P$1402)/3),Calcs!P1424,IF(INT((Calcs!$I1424-Calcs!P$1402)/12)=(Calcs!$I1424-Calcs!P$1402)/12,Calcs!P1424,0))))</f>
        <v>0</v>
      </c>
      <c r="K554" s="239">
        <f>IF(OR(Calcs!$J$1402=Calcs!$I1424,Calcs!$I1424&gt;K$61),0,IF(OR(K$63="Monthly",K$63=""),Calcs!Q1424,IF(AND(K$63="Quarterly",INT((Calcs!$I1424-Calcs!Q$1402)/3)=(Calcs!$I1424-Calcs!Q$1402)/3),Calcs!Q1424,IF(INT((Calcs!$I1424-Calcs!Q$1402)/12)=(Calcs!$I1424-Calcs!Q$1402)/12,Calcs!Q1424,0))))</f>
        <v>0</v>
      </c>
      <c r="L554" s="239">
        <f>IF(OR(Calcs!$J$1402=Calcs!$I1424,Calcs!$I1424&gt;L$61),0,IF(OR(L$63="Monthly",L$63=""),Calcs!R1424,IF(AND(L$63="Quarterly",INT((Calcs!$I1424-Calcs!R$1402)/3)=(Calcs!$I1424-Calcs!R$1402)/3),Calcs!R1424,IF(INT((Calcs!$I1424-Calcs!R$1402)/12)=(Calcs!$I1424-Calcs!R$1402)/12,Calcs!R1424,0))))</f>
        <v>0</v>
      </c>
      <c r="M554" s="239">
        <f>IF(OR(Calcs!$J$1402=Calcs!$I1424,Calcs!$I1424&gt;M$61),0,IF(OR(M$63="Monthly",M$63=""),Calcs!S1424,IF(AND(M$63="Quarterly",INT((Calcs!$I1424-Calcs!S$1402)/3)=(Calcs!$I1424-Calcs!S$1402)/3),Calcs!S1424,IF(INT((Calcs!$I1424-Calcs!S$1402)/12)=(Calcs!$I1424-Calcs!S$1402)/12,Calcs!S1424,0))))</f>
        <v>0</v>
      </c>
      <c r="N554" s="239">
        <f>IF(OR(Calcs!$J$1402=Calcs!$I1424,Calcs!$I1424&gt;N$61),0,IF(OR(N$63="Monthly",N$63=""),Calcs!T1424,IF(AND(N$63="Quarterly",INT((Calcs!$I1424-Calcs!T$1402)/3)=(Calcs!$I1424-Calcs!T$1402)/3),Calcs!T1424,IF(INT((Calcs!$I1424-Calcs!T$1402)/12)=(Calcs!$I1424-Calcs!T$1402)/12,Calcs!T1424,0))))</f>
        <v>0</v>
      </c>
      <c r="O554" s="239">
        <f>IF(OR(Calcs!$J$1402=Calcs!$I1424,Calcs!$I1424&gt;O$61),0,IF(OR(O$63="Monthly",O$63=""),Calcs!U1424,IF(AND(O$63="Quarterly",INT((Calcs!$I1424-Calcs!U$1402)/3)=(Calcs!$I1424-Calcs!U$1402)/3),Calcs!U1424,IF(INT((Calcs!$I1424-Calcs!U$1402)/12)=(Calcs!$I1424-Calcs!U$1402)/12,Calcs!U1424,0))))</f>
        <v>0</v>
      </c>
      <c r="P554" s="239">
        <f>IF(OR(Calcs!$J$1402=Calcs!$I1424,Calcs!$I1424&gt;P$61),0,IF(OR(P$63="Monthly",P$63=""),Calcs!V1424,IF(AND(P$63="Quarterly",INT((Calcs!$I1424-Calcs!V$1402)/3)=(Calcs!$I1424-Calcs!V$1402)/3),Calcs!V1424,IF(INT((Calcs!$I1424-Calcs!V$1402)/12)=(Calcs!$I1424-Calcs!V$1402)/12,Calcs!V1424,0))))</f>
        <v>0</v>
      </c>
      <c r="Q554" s="239">
        <f>IF(OR(Calcs!$J$1402=Calcs!$I1424,Calcs!$I1424&gt;Q$61),0,IF(OR(Q$63="Monthly",Q$63=""),Calcs!W1424,IF(AND(Q$63="Quarterly",INT((Calcs!$I1424-Calcs!W$1402)/3)=(Calcs!$I1424-Calcs!W$1402)/3),Calcs!W1424,IF(INT((Calcs!$I1424-Calcs!W$1402)/12)=(Calcs!$I1424-Calcs!W$1402)/12,Calcs!W1424,0))))</f>
        <v>0</v>
      </c>
      <c r="R554" s="239">
        <f>IF(OR(Calcs!$J$1402=Calcs!$I1424,Calcs!$I1424&gt;R$61),0,IF(OR(R$63="Monthly",R$63=""),Calcs!X1424,IF(AND(R$63="Quarterly",INT((Calcs!$I1424-Calcs!X$1402)/3)=(Calcs!$I1424-Calcs!X$1402)/3),Calcs!X1424,IF(INT((Calcs!$I1424-Calcs!X$1402)/12)=(Calcs!$I1424-Calcs!X$1402)/12,Calcs!X1424,0))))</f>
        <v>0</v>
      </c>
      <c r="S554" s="239">
        <f>IF(OR(Calcs!$J$1402=Calcs!$I1424,Calcs!$I1424&gt;S$61),0,IF(OR(S$63="Monthly",S$63=""),Calcs!Y1424,IF(AND(S$63="Quarterly",INT((Calcs!$I1424-Calcs!Y$1402)/3)=(Calcs!$I1424-Calcs!Y$1402)/3),Calcs!Y1424,IF(INT((Calcs!$I1424-Calcs!Y$1402)/12)=(Calcs!$I1424-Calcs!Y$1402)/12,Calcs!Y1424,0))))</f>
        <v>0</v>
      </c>
      <c r="T554" s="239">
        <f>IF(OR(Calcs!$J$1402=Calcs!$I1424,Calcs!$I1424&gt;T$61),0,IF(OR(T$63="Monthly",T$63=""),Calcs!Z1424,IF(AND(T$63="Quarterly",INT((Calcs!$I1424-Calcs!Z$1402)/3)=(Calcs!$I1424-Calcs!Z$1402)/3),Calcs!Z1424,IF(INT((Calcs!$I1424-Calcs!Z$1402)/12)=(Calcs!$I1424-Calcs!Z$1402)/12,Calcs!Z1424,0))))</f>
        <v>0</v>
      </c>
      <c r="U554" s="239">
        <f>IF(OR(Calcs!$J$1402=Calcs!$I1424,Calcs!$I1424&gt;U$61),0,IF(OR(U$63="Monthly",U$63=""),Calcs!AA1424,IF(AND(U$63="Quarterly",INT((Calcs!$I1424-Calcs!AA$1402)/3)=(Calcs!$I1424-Calcs!AA$1402)/3),Calcs!AA1424,IF(INT((Calcs!$I1424-Calcs!AA$1402)/12)=(Calcs!$I1424-Calcs!AA$1402)/12,Calcs!AA1424,0))))</f>
        <v>0</v>
      </c>
      <c r="V554" s="239">
        <f>IF(OR(Calcs!$J$1402=Calcs!$I1424,Calcs!$I1424&gt;V$61),0,IF(OR(V$63="Monthly",V$63=""),Calcs!AB1424,IF(AND(V$63="Quarterly",INT((Calcs!$I1424-Calcs!AB$1402)/3)=(Calcs!$I1424-Calcs!AB$1402)/3),Calcs!AB1424,IF(INT((Calcs!$I1424-Calcs!AB$1402)/12)=(Calcs!$I1424-Calcs!AB$1402)/12,Calcs!AB1424,0))))</f>
        <v>0</v>
      </c>
      <c r="W554" s="239">
        <f>IF(OR(Calcs!$J$1402=Calcs!$I1424,Calcs!$I1424&gt;W$61),0,IF(OR(W$63="Monthly",W$63=""),Calcs!AC1424,IF(AND(W$63="Quarterly",INT((Calcs!$I1424-Calcs!AC$1402)/3)=(Calcs!$I1424-Calcs!AC$1402)/3),Calcs!AC1424,IF(INT((Calcs!$I1424-Calcs!AC$1402)/12)=(Calcs!$I1424-Calcs!AC$1402)/12,Calcs!AC1424,0))))</f>
        <v>0</v>
      </c>
      <c r="X554" s="239">
        <f>IF(OR(Calcs!$J$1402=Calcs!$I1424,Calcs!$I1424&gt;X$61),0,IF(OR(X$63="Monthly",X$63=""),Calcs!AD1424,IF(AND(X$63="Quarterly",INT((Calcs!$I1424-Calcs!AD$1402)/3)=(Calcs!$I1424-Calcs!AD$1402)/3),Calcs!AD1424,IF(INT((Calcs!$I1424-Calcs!AD$1402)/12)=(Calcs!$I1424-Calcs!AD$1402)/12,Calcs!AD1424,0))))</f>
        <v>0</v>
      </c>
      <c r="Y554" s="239">
        <f>IF(OR(Calcs!$J$1402=Calcs!$I1424,Calcs!$I1424&gt;Y$61),0,IF(OR(Y$63="Monthly",Y$63=""),Calcs!AE1424,IF(AND(Y$63="Quarterly",INT((Calcs!$I1424-Calcs!AE$1402)/3)=(Calcs!$I1424-Calcs!AE$1402)/3),Calcs!AE1424,IF(INT((Calcs!$I1424-Calcs!AE$1402)/12)=(Calcs!$I1424-Calcs!AE$1402)/12,Calcs!AE1424,0))))</f>
        <v>0</v>
      </c>
      <c r="Z554" s="239">
        <f>IF(OR(Calcs!$J$1402=Calcs!$I1424,Calcs!$I1424&gt;Z$61),0,IF(OR(Z$63="Monthly",Z$63=""),Calcs!AF1424,IF(AND(Z$63="Quarterly",INT((Calcs!$I1424-Calcs!AF$1402)/3)=(Calcs!$I1424-Calcs!AF$1402)/3),Calcs!AF1424,IF(INT((Calcs!$I1424-Calcs!AF$1402)/12)=(Calcs!$I1424-Calcs!AF$1402)/12,Calcs!AF1424,0))))</f>
        <v>0</v>
      </c>
      <c r="AA554" s="239">
        <f>IF(OR(Calcs!$J$1402=Calcs!$I1424,Calcs!$I1424&gt;AA$61),0,IF(OR(AA$63="Monthly",AA$63=""),Calcs!AG1424,IF(AND(AA$63="Quarterly",INT((Calcs!$I1424-Calcs!AG$1402)/3)=(Calcs!$I1424-Calcs!AG$1402)/3),Calcs!AG1424,IF(INT((Calcs!$I1424-Calcs!AG$1402)/12)=(Calcs!$I1424-Calcs!AG$1402)/12,Calcs!AG1424,0))))</f>
        <v>0</v>
      </c>
      <c r="AB554" s="239">
        <f>IF(OR(Calcs!$J$1402=Calcs!$I1424,Calcs!$I1424&gt;AB$61),0,IF(OR(AB$63="Monthly",AB$63=""),Calcs!AH1424,IF(AND(AB$63="Quarterly",INT((Calcs!$I1424-Calcs!AH$1402)/3)=(Calcs!$I1424-Calcs!AH$1402)/3),Calcs!AH1424,IF(INT((Calcs!$I1424-Calcs!AH$1402)/12)=(Calcs!$I1424-Calcs!AH$1402)/12,Calcs!AH1424,0))))</f>
        <v>0</v>
      </c>
      <c r="CH554" s="269"/>
      <c r="CI554" s="269"/>
      <c r="CJ554" s="269"/>
      <c r="CK554" s="269"/>
      <c r="CL554" s="269"/>
      <c r="CM554" s="269"/>
      <c r="CN554" s="269"/>
      <c r="CO554" s="269"/>
      <c r="CP554" s="269"/>
      <c r="CQ554" s="269"/>
      <c r="CR554" s="269"/>
      <c r="CS554" s="269"/>
    </row>
    <row r="555" spans="1:97" x14ac:dyDescent="0.3">
      <c r="A555" s="5"/>
      <c r="B555" s="5"/>
      <c r="C555" s="495">
        <f>C492</f>
        <v>609</v>
      </c>
      <c r="D555" s="237">
        <f>IF(OR(Calcs!$J$1402=Calcs!$I1425,Calcs!$I1425&gt;D$61),0,IF(OR(D$63="Monthly",D$63=""),Calcs!J1425,IF(AND(D$63="Quarterly",INT((Calcs!$I1425-Calcs!J$1402)/3)=(Calcs!$I1425-Calcs!J$1402)/3),Calcs!J1425,IF(INT((Calcs!$I1425-Calcs!J$1402)/12)=(Calcs!$I1425-Calcs!J$1402)/12,Calcs!J1425,0))))</f>
        <v>0</v>
      </c>
      <c r="E555" s="239">
        <f>IF(OR(Calcs!$J$1402=Calcs!$I1425,Calcs!$I1425&gt;E$61),0,IF(OR(E$63="Monthly",E$63=""),Calcs!K1425,IF(AND(E$63="Quarterly",INT((Calcs!$I1425-Calcs!K$1402)/3)=(Calcs!$I1425-Calcs!K$1402)/3),Calcs!K1425,IF(INT((Calcs!$I1425-Calcs!K$1402)/12)=(Calcs!$I1425-Calcs!K$1402)/12,Calcs!K1425,0))))</f>
        <v>0</v>
      </c>
      <c r="F555" s="239">
        <f>IF(OR(Calcs!$J$1402=Calcs!$I1425,Calcs!$I1425&gt;F$61),0,IF(OR(F$63="Monthly",F$63=""),Calcs!L1425,IF(AND(F$63="Quarterly",INT((Calcs!$I1425-Calcs!L$1402)/3)=(Calcs!$I1425-Calcs!L$1402)/3),Calcs!L1425,IF(INT((Calcs!$I1425-Calcs!L$1402)/12)=(Calcs!$I1425-Calcs!L$1402)/12,Calcs!L1425,0))))</f>
        <v>0</v>
      </c>
      <c r="G555" s="239">
        <f>IF(OR(Calcs!$J$1402=Calcs!$I1425,Calcs!$I1425&gt;G$61),0,IF(OR(G$63="Monthly",G$63=""),Calcs!M1425,IF(AND(G$63="Quarterly",INT((Calcs!$I1425-Calcs!M$1402)/3)=(Calcs!$I1425-Calcs!M$1402)/3),Calcs!M1425,IF(INT((Calcs!$I1425-Calcs!M$1402)/12)=(Calcs!$I1425-Calcs!M$1402)/12,Calcs!M1425,0))))</f>
        <v>0</v>
      </c>
      <c r="H555" s="239">
        <f>IF(OR(Calcs!$J$1402=Calcs!$I1425,Calcs!$I1425&gt;H$61),0,IF(OR(H$63="Monthly",H$63=""),Calcs!N1425,IF(AND(H$63="Quarterly",INT((Calcs!$I1425-Calcs!N$1402)/3)=(Calcs!$I1425-Calcs!N$1402)/3),Calcs!N1425,IF(INT((Calcs!$I1425-Calcs!N$1402)/12)=(Calcs!$I1425-Calcs!N$1402)/12,Calcs!N1425,0))))</f>
        <v>0</v>
      </c>
      <c r="I555" s="239">
        <f>IF(OR(Calcs!$J$1402=Calcs!$I1425,Calcs!$I1425&gt;I$61),0,IF(OR(I$63="Monthly",I$63=""),Calcs!O1425,IF(AND(I$63="Quarterly",INT((Calcs!$I1425-Calcs!O$1402)/3)=(Calcs!$I1425-Calcs!O$1402)/3),Calcs!O1425,IF(INT((Calcs!$I1425-Calcs!O$1402)/12)=(Calcs!$I1425-Calcs!O$1402)/12,Calcs!O1425,0))))</f>
        <v>0</v>
      </c>
      <c r="J555" s="239">
        <f>IF(OR(Calcs!$J$1402=Calcs!$I1425,Calcs!$I1425&gt;J$61),0,IF(OR(J$63="Monthly",J$63=""),Calcs!P1425,IF(AND(J$63="Quarterly",INT((Calcs!$I1425-Calcs!P$1402)/3)=(Calcs!$I1425-Calcs!P$1402)/3),Calcs!P1425,IF(INT((Calcs!$I1425-Calcs!P$1402)/12)=(Calcs!$I1425-Calcs!P$1402)/12,Calcs!P1425,0))))</f>
        <v>0</v>
      </c>
      <c r="K555" s="239">
        <f>IF(OR(Calcs!$J$1402=Calcs!$I1425,Calcs!$I1425&gt;K$61),0,IF(OR(K$63="Monthly",K$63=""),Calcs!Q1425,IF(AND(K$63="Quarterly",INT((Calcs!$I1425-Calcs!Q$1402)/3)=(Calcs!$I1425-Calcs!Q$1402)/3),Calcs!Q1425,IF(INT((Calcs!$I1425-Calcs!Q$1402)/12)=(Calcs!$I1425-Calcs!Q$1402)/12,Calcs!Q1425,0))))</f>
        <v>0</v>
      </c>
      <c r="L555" s="239">
        <f>IF(OR(Calcs!$J$1402=Calcs!$I1425,Calcs!$I1425&gt;L$61),0,IF(OR(L$63="Monthly",L$63=""),Calcs!R1425,IF(AND(L$63="Quarterly",INT((Calcs!$I1425-Calcs!R$1402)/3)=(Calcs!$I1425-Calcs!R$1402)/3),Calcs!R1425,IF(INT((Calcs!$I1425-Calcs!R$1402)/12)=(Calcs!$I1425-Calcs!R$1402)/12,Calcs!R1425,0))))</f>
        <v>0</v>
      </c>
      <c r="M555" s="239">
        <f>IF(OR(Calcs!$J$1402=Calcs!$I1425,Calcs!$I1425&gt;M$61),0,IF(OR(M$63="Monthly",M$63=""),Calcs!S1425,IF(AND(M$63="Quarterly",INT((Calcs!$I1425-Calcs!S$1402)/3)=(Calcs!$I1425-Calcs!S$1402)/3),Calcs!S1425,IF(INT((Calcs!$I1425-Calcs!S$1402)/12)=(Calcs!$I1425-Calcs!S$1402)/12,Calcs!S1425,0))))</f>
        <v>0</v>
      </c>
      <c r="N555" s="239">
        <f>IF(OR(Calcs!$J$1402=Calcs!$I1425,Calcs!$I1425&gt;N$61),0,IF(OR(N$63="Monthly",N$63=""),Calcs!T1425,IF(AND(N$63="Quarterly",INT((Calcs!$I1425-Calcs!T$1402)/3)=(Calcs!$I1425-Calcs!T$1402)/3),Calcs!T1425,IF(INT((Calcs!$I1425-Calcs!T$1402)/12)=(Calcs!$I1425-Calcs!T$1402)/12,Calcs!T1425,0))))</f>
        <v>0</v>
      </c>
      <c r="O555" s="239">
        <f>IF(OR(Calcs!$J$1402=Calcs!$I1425,Calcs!$I1425&gt;O$61),0,IF(OR(O$63="Monthly",O$63=""),Calcs!U1425,IF(AND(O$63="Quarterly",INT((Calcs!$I1425-Calcs!U$1402)/3)=(Calcs!$I1425-Calcs!U$1402)/3),Calcs!U1425,IF(INT((Calcs!$I1425-Calcs!U$1402)/12)=(Calcs!$I1425-Calcs!U$1402)/12,Calcs!U1425,0))))</f>
        <v>0</v>
      </c>
      <c r="P555" s="239">
        <f>IF(OR(Calcs!$J$1402=Calcs!$I1425,Calcs!$I1425&gt;P$61),0,IF(OR(P$63="Monthly",P$63=""),Calcs!V1425,IF(AND(P$63="Quarterly",INT((Calcs!$I1425-Calcs!V$1402)/3)=(Calcs!$I1425-Calcs!V$1402)/3),Calcs!V1425,IF(INT((Calcs!$I1425-Calcs!V$1402)/12)=(Calcs!$I1425-Calcs!V$1402)/12,Calcs!V1425,0))))</f>
        <v>0</v>
      </c>
      <c r="Q555" s="239">
        <f>IF(OR(Calcs!$J$1402=Calcs!$I1425,Calcs!$I1425&gt;Q$61),0,IF(OR(Q$63="Monthly",Q$63=""),Calcs!W1425,IF(AND(Q$63="Quarterly",INT((Calcs!$I1425-Calcs!W$1402)/3)=(Calcs!$I1425-Calcs!W$1402)/3),Calcs!W1425,IF(INT((Calcs!$I1425-Calcs!W$1402)/12)=(Calcs!$I1425-Calcs!W$1402)/12,Calcs!W1425,0))))</f>
        <v>0</v>
      </c>
      <c r="R555" s="239">
        <f>IF(OR(Calcs!$J$1402=Calcs!$I1425,Calcs!$I1425&gt;R$61),0,IF(OR(R$63="Monthly",R$63=""),Calcs!X1425,IF(AND(R$63="Quarterly",INT((Calcs!$I1425-Calcs!X$1402)/3)=(Calcs!$I1425-Calcs!X$1402)/3),Calcs!X1425,IF(INT((Calcs!$I1425-Calcs!X$1402)/12)=(Calcs!$I1425-Calcs!X$1402)/12,Calcs!X1425,0))))</f>
        <v>0</v>
      </c>
      <c r="S555" s="239">
        <f>IF(OR(Calcs!$J$1402=Calcs!$I1425,Calcs!$I1425&gt;S$61),0,IF(OR(S$63="Monthly",S$63=""),Calcs!Y1425,IF(AND(S$63="Quarterly",INT((Calcs!$I1425-Calcs!Y$1402)/3)=(Calcs!$I1425-Calcs!Y$1402)/3),Calcs!Y1425,IF(INT((Calcs!$I1425-Calcs!Y$1402)/12)=(Calcs!$I1425-Calcs!Y$1402)/12,Calcs!Y1425,0))))</f>
        <v>0</v>
      </c>
      <c r="T555" s="239">
        <f>IF(OR(Calcs!$J$1402=Calcs!$I1425,Calcs!$I1425&gt;T$61),0,IF(OR(T$63="Monthly",T$63=""),Calcs!Z1425,IF(AND(T$63="Quarterly",INT((Calcs!$I1425-Calcs!Z$1402)/3)=(Calcs!$I1425-Calcs!Z$1402)/3),Calcs!Z1425,IF(INT((Calcs!$I1425-Calcs!Z$1402)/12)=(Calcs!$I1425-Calcs!Z$1402)/12,Calcs!Z1425,0))))</f>
        <v>0</v>
      </c>
      <c r="U555" s="239">
        <f>IF(OR(Calcs!$J$1402=Calcs!$I1425,Calcs!$I1425&gt;U$61),0,IF(OR(U$63="Monthly",U$63=""),Calcs!AA1425,IF(AND(U$63="Quarterly",INT((Calcs!$I1425-Calcs!AA$1402)/3)=(Calcs!$I1425-Calcs!AA$1402)/3),Calcs!AA1425,IF(INT((Calcs!$I1425-Calcs!AA$1402)/12)=(Calcs!$I1425-Calcs!AA$1402)/12,Calcs!AA1425,0))))</f>
        <v>0</v>
      </c>
      <c r="V555" s="239">
        <f>IF(OR(Calcs!$J$1402=Calcs!$I1425,Calcs!$I1425&gt;V$61),0,IF(OR(V$63="Monthly",V$63=""),Calcs!AB1425,IF(AND(V$63="Quarterly",INT((Calcs!$I1425-Calcs!AB$1402)/3)=(Calcs!$I1425-Calcs!AB$1402)/3),Calcs!AB1425,IF(INT((Calcs!$I1425-Calcs!AB$1402)/12)=(Calcs!$I1425-Calcs!AB$1402)/12,Calcs!AB1425,0))))</f>
        <v>0</v>
      </c>
      <c r="W555" s="239">
        <f>IF(OR(Calcs!$J$1402=Calcs!$I1425,Calcs!$I1425&gt;W$61),0,IF(OR(W$63="Monthly",W$63=""),Calcs!AC1425,IF(AND(W$63="Quarterly",INT((Calcs!$I1425-Calcs!AC$1402)/3)=(Calcs!$I1425-Calcs!AC$1402)/3),Calcs!AC1425,IF(INT((Calcs!$I1425-Calcs!AC$1402)/12)=(Calcs!$I1425-Calcs!AC$1402)/12,Calcs!AC1425,0))))</f>
        <v>0</v>
      </c>
      <c r="X555" s="239">
        <f>IF(OR(Calcs!$J$1402=Calcs!$I1425,Calcs!$I1425&gt;X$61),0,IF(OR(X$63="Monthly",X$63=""),Calcs!AD1425,IF(AND(X$63="Quarterly",INT((Calcs!$I1425-Calcs!AD$1402)/3)=(Calcs!$I1425-Calcs!AD$1402)/3),Calcs!AD1425,IF(INT((Calcs!$I1425-Calcs!AD$1402)/12)=(Calcs!$I1425-Calcs!AD$1402)/12,Calcs!AD1425,0))))</f>
        <v>0</v>
      </c>
      <c r="Y555" s="239">
        <f>IF(OR(Calcs!$J$1402=Calcs!$I1425,Calcs!$I1425&gt;Y$61),0,IF(OR(Y$63="Monthly",Y$63=""),Calcs!AE1425,IF(AND(Y$63="Quarterly",INT((Calcs!$I1425-Calcs!AE$1402)/3)=(Calcs!$I1425-Calcs!AE$1402)/3),Calcs!AE1425,IF(INT((Calcs!$I1425-Calcs!AE$1402)/12)=(Calcs!$I1425-Calcs!AE$1402)/12,Calcs!AE1425,0))))</f>
        <v>0</v>
      </c>
      <c r="Z555" s="239">
        <f>IF(OR(Calcs!$J$1402=Calcs!$I1425,Calcs!$I1425&gt;Z$61),0,IF(OR(Z$63="Monthly",Z$63=""),Calcs!AF1425,IF(AND(Z$63="Quarterly",INT((Calcs!$I1425-Calcs!AF$1402)/3)=(Calcs!$I1425-Calcs!AF$1402)/3),Calcs!AF1425,IF(INT((Calcs!$I1425-Calcs!AF$1402)/12)=(Calcs!$I1425-Calcs!AF$1402)/12,Calcs!AF1425,0))))</f>
        <v>0</v>
      </c>
      <c r="AA555" s="239">
        <f>IF(OR(Calcs!$J$1402=Calcs!$I1425,Calcs!$I1425&gt;AA$61),0,IF(OR(AA$63="Monthly",AA$63=""),Calcs!AG1425,IF(AND(AA$63="Quarterly",INT((Calcs!$I1425-Calcs!AG$1402)/3)=(Calcs!$I1425-Calcs!AG$1402)/3),Calcs!AG1425,IF(INT((Calcs!$I1425-Calcs!AG$1402)/12)=(Calcs!$I1425-Calcs!AG$1402)/12,Calcs!AG1425,0))))</f>
        <v>0</v>
      </c>
      <c r="AB555" s="239">
        <f>IF(OR(Calcs!$J$1402=Calcs!$I1425,Calcs!$I1425&gt;AB$61),0,IF(OR(AB$63="Monthly",AB$63=""),Calcs!AH1425,IF(AND(AB$63="Quarterly",INT((Calcs!$I1425-Calcs!AH$1402)/3)=(Calcs!$I1425-Calcs!AH$1402)/3),Calcs!AH1425,IF(INT((Calcs!$I1425-Calcs!AH$1402)/12)=(Calcs!$I1425-Calcs!AH$1402)/12,Calcs!AH1425,0))))</f>
        <v>0</v>
      </c>
      <c r="CH555" s="269"/>
      <c r="CI555" s="269"/>
      <c r="CJ555" s="269"/>
      <c r="CK555" s="269"/>
      <c r="CL555" s="269"/>
      <c r="CM555" s="269"/>
      <c r="CN555" s="269"/>
      <c r="CO555" s="269"/>
      <c r="CP555" s="269"/>
      <c r="CQ555" s="269"/>
      <c r="CR555" s="269"/>
      <c r="CS555" s="269"/>
    </row>
    <row r="556" spans="1:97" x14ac:dyDescent="0.3">
      <c r="A556" s="5"/>
      <c r="B556" s="5"/>
      <c r="C556" s="495">
        <f>C493</f>
        <v>639</v>
      </c>
      <c r="D556" s="237">
        <f>IF(OR(Calcs!$J$1402=Calcs!$I1426,Calcs!$I1426&gt;D$61),0,IF(OR(D$63="Monthly",D$63=""),Calcs!J1426,IF(AND(D$63="Quarterly",INT((Calcs!$I1426-Calcs!J$1402)/3)=(Calcs!$I1426-Calcs!J$1402)/3),Calcs!J1426,IF(INT((Calcs!$I1426-Calcs!J$1402)/12)=(Calcs!$I1426-Calcs!J$1402)/12,Calcs!J1426,0))))</f>
        <v>0</v>
      </c>
      <c r="E556" s="239">
        <f>IF(OR(Calcs!$J$1402=Calcs!$I1426,Calcs!$I1426&gt;E$61),0,IF(OR(E$63="Monthly",E$63=""),Calcs!K1426,IF(AND(E$63="Quarterly",INT((Calcs!$I1426-Calcs!K$1402)/3)=(Calcs!$I1426-Calcs!K$1402)/3),Calcs!K1426,IF(INT((Calcs!$I1426-Calcs!K$1402)/12)=(Calcs!$I1426-Calcs!K$1402)/12,Calcs!K1426,0))))</f>
        <v>0</v>
      </c>
      <c r="F556" s="239">
        <f>IF(OR(Calcs!$J$1402=Calcs!$I1426,Calcs!$I1426&gt;F$61),0,IF(OR(F$63="Monthly",F$63=""),Calcs!L1426,IF(AND(F$63="Quarterly",INT((Calcs!$I1426-Calcs!L$1402)/3)=(Calcs!$I1426-Calcs!L$1402)/3),Calcs!L1426,IF(INT((Calcs!$I1426-Calcs!L$1402)/12)=(Calcs!$I1426-Calcs!L$1402)/12,Calcs!L1426,0))))</f>
        <v>0</v>
      </c>
      <c r="G556" s="239">
        <f>IF(OR(Calcs!$J$1402=Calcs!$I1426,Calcs!$I1426&gt;G$61),0,IF(OR(G$63="Monthly",G$63=""),Calcs!M1426,IF(AND(G$63="Quarterly",INT((Calcs!$I1426-Calcs!M$1402)/3)=(Calcs!$I1426-Calcs!M$1402)/3),Calcs!M1426,IF(INT((Calcs!$I1426-Calcs!M$1402)/12)=(Calcs!$I1426-Calcs!M$1402)/12,Calcs!M1426,0))))</f>
        <v>0</v>
      </c>
      <c r="H556" s="239">
        <f>IF(OR(Calcs!$J$1402=Calcs!$I1426,Calcs!$I1426&gt;H$61),0,IF(OR(H$63="Monthly",H$63=""),Calcs!N1426,IF(AND(H$63="Quarterly",INT((Calcs!$I1426-Calcs!N$1402)/3)=(Calcs!$I1426-Calcs!N$1402)/3),Calcs!N1426,IF(INT((Calcs!$I1426-Calcs!N$1402)/12)=(Calcs!$I1426-Calcs!N$1402)/12,Calcs!N1426,0))))</f>
        <v>0</v>
      </c>
      <c r="I556" s="239">
        <f>IF(OR(Calcs!$J$1402=Calcs!$I1426,Calcs!$I1426&gt;I$61),0,IF(OR(I$63="Monthly",I$63=""),Calcs!O1426,IF(AND(I$63="Quarterly",INT((Calcs!$I1426-Calcs!O$1402)/3)=(Calcs!$I1426-Calcs!O$1402)/3),Calcs!O1426,IF(INT((Calcs!$I1426-Calcs!O$1402)/12)=(Calcs!$I1426-Calcs!O$1402)/12,Calcs!O1426,0))))</f>
        <v>0</v>
      </c>
      <c r="J556" s="239">
        <f>IF(OR(Calcs!$J$1402=Calcs!$I1426,Calcs!$I1426&gt;J$61),0,IF(OR(J$63="Monthly",J$63=""),Calcs!P1426,IF(AND(J$63="Quarterly",INT((Calcs!$I1426-Calcs!P$1402)/3)=(Calcs!$I1426-Calcs!P$1402)/3),Calcs!P1426,IF(INT((Calcs!$I1426-Calcs!P$1402)/12)=(Calcs!$I1426-Calcs!P$1402)/12,Calcs!P1426,0))))</f>
        <v>0</v>
      </c>
      <c r="K556" s="239">
        <f>IF(OR(Calcs!$J$1402=Calcs!$I1426,Calcs!$I1426&gt;K$61),0,IF(OR(K$63="Monthly",K$63=""),Calcs!Q1426,IF(AND(K$63="Quarterly",INT((Calcs!$I1426-Calcs!Q$1402)/3)=(Calcs!$I1426-Calcs!Q$1402)/3),Calcs!Q1426,IF(INT((Calcs!$I1426-Calcs!Q$1402)/12)=(Calcs!$I1426-Calcs!Q$1402)/12,Calcs!Q1426,0))))</f>
        <v>0</v>
      </c>
      <c r="L556" s="239">
        <f>IF(OR(Calcs!$J$1402=Calcs!$I1426,Calcs!$I1426&gt;L$61),0,IF(OR(L$63="Monthly",L$63=""),Calcs!R1426,IF(AND(L$63="Quarterly",INT((Calcs!$I1426-Calcs!R$1402)/3)=(Calcs!$I1426-Calcs!R$1402)/3),Calcs!R1426,IF(INT((Calcs!$I1426-Calcs!R$1402)/12)=(Calcs!$I1426-Calcs!R$1402)/12,Calcs!R1426,0))))</f>
        <v>0</v>
      </c>
      <c r="M556" s="239">
        <f>IF(OR(Calcs!$J$1402=Calcs!$I1426,Calcs!$I1426&gt;M$61),0,IF(OR(M$63="Monthly",M$63=""),Calcs!S1426,IF(AND(M$63="Quarterly",INT((Calcs!$I1426-Calcs!S$1402)/3)=(Calcs!$I1426-Calcs!S$1402)/3),Calcs!S1426,IF(INT((Calcs!$I1426-Calcs!S$1402)/12)=(Calcs!$I1426-Calcs!S$1402)/12,Calcs!S1426,0))))</f>
        <v>0</v>
      </c>
      <c r="N556" s="239">
        <f>IF(OR(Calcs!$J$1402=Calcs!$I1426,Calcs!$I1426&gt;N$61),0,IF(OR(N$63="Monthly",N$63=""),Calcs!T1426,IF(AND(N$63="Quarterly",INT((Calcs!$I1426-Calcs!T$1402)/3)=(Calcs!$I1426-Calcs!T$1402)/3),Calcs!T1426,IF(INT((Calcs!$I1426-Calcs!T$1402)/12)=(Calcs!$I1426-Calcs!T$1402)/12,Calcs!T1426,0))))</f>
        <v>0</v>
      </c>
      <c r="O556" s="239">
        <f>IF(OR(Calcs!$J$1402=Calcs!$I1426,Calcs!$I1426&gt;O$61),0,IF(OR(O$63="Monthly",O$63=""),Calcs!U1426,IF(AND(O$63="Quarterly",INT((Calcs!$I1426-Calcs!U$1402)/3)=(Calcs!$I1426-Calcs!U$1402)/3),Calcs!U1426,IF(INT((Calcs!$I1426-Calcs!U$1402)/12)=(Calcs!$I1426-Calcs!U$1402)/12,Calcs!U1426,0))))</f>
        <v>0</v>
      </c>
      <c r="P556" s="239">
        <f>IF(OR(Calcs!$J$1402=Calcs!$I1426,Calcs!$I1426&gt;P$61),0,IF(OR(P$63="Monthly",P$63=""),Calcs!V1426,IF(AND(P$63="Quarterly",INT((Calcs!$I1426-Calcs!V$1402)/3)=(Calcs!$I1426-Calcs!V$1402)/3),Calcs!V1426,IF(INT((Calcs!$I1426-Calcs!V$1402)/12)=(Calcs!$I1426-Calcs!V$1402)/12,Calcs!V1426,0))))</f>
        <v>0</v>
      </c>
      <c r="Q556" s="239">
        <f>IF(OR(Calcs!$J$1402=Calcs!$I1426,Calcs!$I1426&gt;Q$61),0,IF(OR(Q$63="Monthly",Q$63=""),Calcs!W1426,IF(AND(Q$63="Quarterly",INT((Calcs!$I1426-Calcs!W$1402)/3)=(Calcs!$I1426-Calcs!W$1402)/3),Calcs!W1426,IF(INT((Calcs!$I1426-Calcs!W$1402)/12)=(Calcs!$I1426-Calcs!W$1402)/12,Calcs!W1426,0))))</f>
        <v>0</v>
      </c>
      <c r="R556" s="239">
        <f>IF(OR(Calcs!$J$1402=Calcs!$I1426,Calcs!$I1426&gt;R$61),0,IF(OR(R$63="Monthly",R$63=""),Calcs!X1426,IF(AND(R$63="Quarterly",INT((Calcs!$I1426-Calcs!X$1402)/3)=(Calcs!$I1426-Calcs!X$1402)/3),Calcs!X1426,IF(INT((Calcs!$I1426-Calcs!X$1402)/12)=(Calcs!$I1426-Calcs!X$1402)/12,Calcs!X1426,0))))</f>
        <v>0</v>
      </c>
      <c r="S556" s="239">
        <f>IF(OR(Calcs!$J$1402=Calcs!$I1426,Calcs!$I1426&gt;S$61),0,IF(OR(S$63="Monthly",S$63=""),Calcs!Y1426,IF(AND(S$63="Quarterly",INT((Calcs!$I1426-Calcs!Y$1402)/3)=(Calcs!$I1426-Calcs!Y$1402)/3),Calcs!Y1426,IF(INT((Calcs!$I1426-Calcs!Y$1402)/12)=(Calcs!$I1426-Calcs!Y$1402)/12,Calcs!Y1426,0))))</f>
        <v>0</v>
      </c>
      <c r="T556" s="239">
        <f>IF(OR(Calcs!$J$1402=Calcs!$I1426,Calcs!$I1426&gt;T$61),0,IF(OR(T$63="Monthly",T$63=""),Calcs!Z1426,IF(AND(T$63="Quarterly",INT((Calcs!$I1426-Calcs!Z$1402)/3)=(Calcs!$I1426-Calcs!Z$1402)/3),Calcs!Z1426,IF(INT((Calcs!$I1426-Calcs!Z$1402)/12)=(Calcs!$I1426-Calcs!Z$1402)/12,Calcs!Z1426,0))))</f>
        <v>0</v>
      </c>
      <c r="U556" s="239">
        <f>IF(OR(Calcs!$J$1402=Calcs!$I1426,Calcs!$I1426&gt;U$61),0,IF(OR(U$63="Monthly",U$63=""),Calcs!AA1426,IF(AND(U$63="Quarterly",INT((Calcs!$I1426-Calcs!AA$1402)/3)=(Calcs!$I1426-Calcs!AA$1402)/3),Calcs!AA1426,IF(INT((Calcs!$I1426-Calcs!AA$1402)/12)=(Calcs!$I1426-Calcs!AA$1402)/12,Calcs!AA1426,0))))</f>
        <v>0</v>
      </c>
      <c r="V556" s="239">
        <f>IF(OR(Calcs!$J$1402=Calcs!$I1426,Calcs!$I1426&gt;V$61),0,IF(OR(V$63="Monthly",V$63=""),Calcs!AB1426,IF(AND(V$63="Quarterly",INT((Calcs!$I1426-Calcs!AB$1402)/3)=(Calcs!$I1426-Calcs!AB$1402)/3),Calcs!AB1426,IF(INT((Calcs!$I1426-Calcs!AB$1402)/12)=(Calcs!$I1426-Calcs!AB$1402)/12,Calcs!AB1426,0))))</f>
        <v>0</v>
      </c>
      <c r="W556" s="239">
        <f>IF(OR(Calcs!$J$1402=Calcs!$I1426,Calcs!$I1426&gt;W$61),0,IF(OR(W$63="Monthly",W$63=""),Calcs!AC1426,IF(AND(W$63="Quarterly",INT((Calcs!$I1426-Calcs!AC$1402)/3)=(Calcs!$I1426-Calcs!AC$1402)/3),Calcs!AC1426,IF(INT((Calcs!$I1426-Calcs!AC$1402)/12)=(Calcs!$I1426-Calcs!AC$1402)/12,Calcs!AC1426,0))))</f>
        <v>0</v>
      </c>
      <c r="X556" s="239">
        <f>IF(OR(Calcs!$J$1402=Calcs!$I1426,Calcs!$I1426&gt;X$61),0,IF(OR(X$63="Monthly",X$63=""),Calcs!AD1426,IF(AND(X$63="Quarterly",INT((Calcs!$I1426-Calcs!AD$1402)/3)=(Calcs!$I1426-Calcs!AD$1402)/3),Calcs!AD1426,IF(INT((Calcs!$I1426-Calcs!AD$1402)/12)=(Calcs!$I1426-Calcs!AD$1402)/12,Calcs!AD1426,0))))</f>
        <v>0</v>
      </c>
      <c r="Y556" s="239">
        <f>IF(OR(Calcs!$J$1402=Calcs!$I1426,Calcs!$I1426&gt;Y$61),0,IF(OR(Y$63="Monthly",Y$63=""),Calcs!AE1426,IF(AND(Y$63="Quarterly",INT((Calcs!$I1426-Calcs!AE$1402)/3)=(Calcs!$I1426-Calcs!AE$1402)/3),Calcs!AE1426,IF(INT((Calcs!$I1426-Calcs!AE$1402)/12)=(Calcs!$I1426-Calcs!AE$1402)/12,Calcs!AE1426,0))))</f>
        <v>0</v>
      </c>
      <c r="Z556" s="239">
        <f>IF(OR(Calcs!$J$1402=Calcs!$I1426,Calcs!$I1426&gt;Z$61),0,IF(OR(Z$63="Monthly",Z$63=""),Calcs!AF1426,IF(AND(Z$63="Quarterly",INT((Calcs!$I1426-Calcs!AF$1402)/3)=(Calcs!$I1426-Calcs!AF$1402)/3),Calcs!AF1426,IF(INT((Calcs!$I1426-Calcs!AF$1402)/12)=(Calcs!$I1426-Calcs!AF$1402)/12,Calcs!AF1426,0))))</f>
        <v>0</v>
      </c>
      <c r="AA556" s="239">
        <f>IF(OR(Calcs!$J$1402=Calcs!$I1426,Calcs!$I1426&gt;AA$61),0,IF(OR(AA$63="Monthly",AA$63=""),Calcs!AG1426,IF(AND(AA$63="Quarterly",INT((Calcs!$I1426-Calcs!AG$1402)/3)=(Calcs!$I1426-Calcs!AG$1402)/3),Calcs!AG1426,IF(INT((Calcs!$I1426-Calcs!AG$1402)/12)=(Calcs!$I1426-Calcs!AG$1402)/12,Calcs!AG1426,0))))</f>
        <v>0</v>
      </c>
      <c r="AB556" s="239">
        <f>IF(OR(Calcs!$J$1402=Calcs!$I1426,Calcs!$I1426&gt;AB$61),0,IF(OR(AB$63="Monthly",AB$63=""),Calcs!AH1426,IF(AND(AB$63="Quarterly",INT((Calcs!$I1426-Calcs!AH$1402)/3)=(Calcs!$I1426-Calcs!AH$1402)/3),Calcs!AH1426,IF(INT((Calcs!$I1426-Calcs!AH$1402)/12)=(Calcs!$I1426-Calcs!AH$1402)/12,Calcs!AH1426,0))))</f>
        <v>0</v>
      </c>
      <c r="CH556" s="269"/>
      <c r="CI556" s="269"/>
      <c r="CJ556" s="269"/>
      <c r="CK556" s="269"/>
      <c r="CL556" s="269"/>
      <c r="CM556" s="269"/>
      <c r="CN556" s="269"/>
      <c r="CO556" s="269"/>
      <c r="CP556" s="269"/>
      <c r="CQ556" s="269"/>
      <c r="CR556" s="269"/>
      <c r="CS556" s="269"/>
    </row>
    <row r="557" spans="1:97" x14ac:dyDescent="0.3">
      <c r="A557" s="5"/>
      <c r="B557" s="5"/>
      <c r="C557" s="495">
        <f>C494</f>
        <v>670</v>
      </c>
      <c r="D557" s="237">
        <f>IF(OR(Calcs!$J$1402=Calcs!$I1427,Calcs!$I1427&gt;D$61),0,IF(OR(D$63="Monthly",D$63=""),Calcs!J1427,IF(AND(D$63="Quarterly",INT((Calcs!$I1427-Calcs!J$1402)/3)=(Calcs!$I1427-Calcs!J$1402)/3),Calcs!J1427,IF(INT((Calcs!$I1427-Calcs!J$1402)/12)=(Calcs!$I1427-Calcs!J$1402)/12,Calcs!J1427,0))))</f>
        <v>0</v>
      </c>
      <c r="E557" s="239">
        <f>IF(OR(Calcs!$J$1402=Calcs!$I1427,Calcs!$I1427&gt;E$61),0,IF(OR(E$63="Monthly",E$63=""),Calcs!K1427,IF(AND(E$63="Quarterly",INT((Calcs!$I1427-Calcs!K$1402)/3)=(Calcs!$I1427-Calcs!K$1402)/3),Calcs!K1427,IF(INT((Calcs!$I1427-Calcs!K$1402)/12)=(Calcs!$I1427-Calcs!K$1402)/12,Calcs!K1427,0))))</f>
        <v>0</v>
      </c>
      <c r="F557" s="239">
        <f>IF(OR(Calcs!$J$1402=Calcs!$I1427,Calcs!$I1427&gt;F$61),0,IF(OR(F$63="Monthly",F$63=""),Calcs!L1427,IF(AND(F$63="Quarterly",INT((Calcs!$I1427-Calcs!L$1402)/3)=(Calcs!$I1427-Calcs!L$1402)/3),Calcs!L1427,IF(INT((Calcs!$I1427-Calcs!L$1402)/12)=(Calcs!$I1427-Calcs!L$1402)/12,Calcs!L1427,0))))</f>
        <v>0</v>
      </c>
      <c r="G557" s="239">
        <f>IF(OR(Calcs!$J$1402=Calcs!$I1427,Calcs!$I1427&gt;G$61),0,IF(OR(G$63="Monthly",G$63=""),Calcs!M1427,IF(AND(G$63="Quarterly",INT((Calcs!$I1427-Calcs!M$1402)/3)=(Calcs!$I1427-Calcs!M$1402)/3),Calcs!M1427,IF(INT((Calcs!$I1427-Calcs!M$1402)/12)=(Calcs!$I1427-Calcs!M$1402)/12,Calcs!M1427,0))))</f>
        <v>0</v>
      </c>
      <c r="H557" s="239">
        <f>IF(OR(Calcs!$J$1402=Calcs!$I1427,Calcs!$I1427&gt;H$61),0,IF(OR(H$63="Monthly",H$63=""),Calcs!N1427,IF(AND(H$63="Quarterly",INT((Calcs!$I1427-Calcs!N$1402)/3)=(Calcs!$I1427-Calcs!N$1402)/3),Calcs!N1427,IF(INT((Calcs!$I1427-Calcs!N$1402)/12)=(Calcs!$I1427-Calcs!N$1402)/12,Calcs!N1427,0))))</f>
        <v>0</v>
      </c>
      <c r="I557" s="239">
        <f>IF(OR(Calcs!$J$1402=Calcs!$I1427,Calcs!$I1427&gt;I$61),0,IF(OR(I$63="Monthly",I$63=""),Calcs!O1427,IF(AND(I$63="Quarterly",INT((Calcs!$I1427-Calcs!O$1402)/3)=(Calcs!$I1427-Calcs!O$1402)/3),Calcs!O1427,IF(INT((Calcs!$I1427-Calcs!O$1402)/12)=(Calcs!$I1427-Calcs!O$1402)/12,Calcs!O1427,0))))</f>
        <v>0</v>
      </c>
      <c r="J557" s="239">
        <f>IF(OR(Calcs!$J$1402=Calcs!$I1427,Calcs!$I1427&gt;J$61),0,IF(OR(J$63="Monthly",J$63=""),Calcs!P1427,IF(AND(J$63="Quarterly",INT((Calcs!$I1427-Calcs!P$1402)/3)=(Calcs!$I1427-Calcs!P$1402)/3),Calcs!P1427,IF(INT((Calcs!$I1427-Calcs!P$1402)/12)=(Calcs!$I1427-Calcs!P$1402)/12,Calcs!P1427,0))))</f>
        <v>0</v>
      </c>
      <c r="K557" s="239">
        <f>IF(OR(Calcs!$J$1402=Calcs!$I1427,Calcs!$I1427&gt;K$61),0,IF(OR(K$63="Monthly",K$63=""),Calcs!Q1427,IF(AND(K$63="Quarterly",INT((Calcs!$I1427-Calcs!Q$1402)/3)=(Calcs!$I1427-Calcs!Q$1402)/3),Calcs!Q1427,IF(INT((Calcs!$I1427-Calcs!Q$1402)/12)=(Calcs!$I1427-Calcs!Q$1402)/12,Calcs!Q1427,0))))</f>
        <v>0</v>
      </c>
      <c r="L557" s="239">
        <f>IF(OR(Calcs!$J$1402=Calcs!$I1427,Calcs!$I1427&gt;L$61),0,IF(OR(L$63="Monthly",L$63=""),Calcs!R1427,IF(AND(L$63="Quarterly",INT((Calcs!$I1427-Calcs!R$1402)/3)=(Calcs!$I1427-Calcs!R$1402)/3),Calcs!R1427,IF(INT((Calcs!$I1427-Calcs!R$1402)/12)=(Calcs!$I1427-Calcs!R$1402)/12,Calcs!R1427,0))))</f>
        <v>0</v>
      </c>
      <c r="M557" s="239">
        <f>IF(OR(Calcs!$J$1402=Calcs!$I1427,Calcs!$I1427&gt;M$61),0,IF(OR(M$63="Monthly",M$63=""),Calcs!S1427,IF(AND(M$63="Quarterly",INT((Calcs!$I1427-Calcs!S$1402)/3)=(Calcs!$I1427-Calcs!S$1402)/3),Calcs!S1427,IF(INT((Calcs!$I1427-Calcs!S$1402)/12)=(Calcs!$I1427-Calcs!S$1402)/12,Calcs!S1427,0))))</f>
        <v>0</v>
      </c>
      <c r="N557" s="239">
        <f>IF(OR(Calcs!$J$1402=Calcs!$I1427,Calcs!$I1427&gt;N$61),0,IF(OR(N$63="Monthly",N$63=""),Calcs!T1427,IF(AND(N$63="Quarterly",INT((Calcs!$I1427-Calcs!T$1402)/3)=(Calcs!$I1427-Calcs!T$1402)/3),Calcs!T1427,IF(INT((Calcs!$I1427-Calcs!T$1402)/12)=(Calcs!$I1427-Calcs!T$1402)/12,Calcs!T1427,0))))</f>
        <v>0</v>
      </c>
      <c r="O557" s="239">
        <f>IF(OR(Calcs!$J$1402=Calcs!$I1427,Calcs!$I1427&gt;O$61),0,IF(OR(O$63="Monthly",O$63=""),Calcs!U1427,IF(AND(O$63="Quarterly",INT((Calcs!$I1427-Calcs!U$1402)/3)=(Calcs!$I1427-Calcs!U$1402)/3),Calcs!U1427,IF(INT((Calcs!$I1427-Calcs!U$1402)/12)=(Calcs!$I1427-Calcs!U$1402)/12,Calcs!U1427,0))))</f>
        <v>0</v>
      </c>
      <c r="P557" s="239">
        <f>IF(OR(Calcs!$J$1402=Calcs!$I1427,Calcs!$I1427&gt;P$61),0,IF(OR(P$63="Monthly",P$63=""),Calcs!V1427,IF(AND(P$63="Quarterly",INT((Calcs!$I1427-Calcs!V$1402)/3)=(Calcs!$I1427-Calcs!V$1402)/3),Calcs!V1427,IF(INT((Calcs!$I1427-Calcs!V$1402)/12)=(Calcs!$I1427-Calcs!V$1402)/12,Calcs!V1427,0))))</f>
        <v>0</v>
      </c>
      <c r="Q557" s="239">
        <f>IF(OR(Calcs!$J$1402=Calcs!$I1427,Calcs!$I1427&gt;Q$61),0,IF(OR(Q$63="Monthly",Q$63=""),Calcs!W1427,IF(AND(Q$63="Quarterly",INT((Calcs!$I1427-Calcs!W$1402)/3)=(Calcs!$I1427-Calcs!W$1402)/3),Calcs!W1427,IF(INT((Calcs!$I1427-Calcs!W$1402)/12)=(Calcs!$I1427-Calcs!W$1402)/12,Calcs!W1427,0))))</f>
        <v>0</v>
      </c>
      <c r="R557" s="239">
        <f>IF(OR(Calcs!$J$1402=Calcs!$I1427,Calcs!$I1427&gt;R$61),0,IF(OR(R$63="Monthly",R$63=""),Calcs!X1427,IF(AND(R$63="Quarterly",INT((Calcs!$I1427-Calcs!X$1402)/3)=(Calcs!$I1427-Calcs!X$1402)/3),Calcs!X1427,IF(INT((Calcs!$I1427-Calcs!X$1402)/12)=(Calcs!$I1427-Calcs!X$1402)/12,Calcs!X1427,0))))</f>
        <v>0</v>
      </c>
      <c r="S557" s="239">
        <f>IF(OR(Calcs!$J$1402=Calcs!$I1427,Calcs!$I1427&gt;S$61),0,IF(OR(S$63="Monthly",S$63=""),Calcs!Y1427,IF(AND(S$63="Quarterly",INT((Calcs!$I1427-Calcs!Y$1402)/3)=(Calcs!$I1427-Calcs!Y$1402)/3),Calcs!Y1427,IF(INT((Calcs!$I1427-Calcs!Y$1402)/12)=(Calcs!$I1427-Calcs!Y$1402)/12,Calcs!Y1427,0))))</f>
        <v>0</v>
      </c>
      <c r="T557" s="239">
        <f>IF(OR(Calcs!$J$1402=Calcs!$I1427,Calcs!$I1427&gt;T$61),0,IF(OR(T$63="Monthly",T$63=""),Calcs!Z1427,IF(AND(T$63="Quarterly",INT((Calcs!$I1427-Calcs!Z$1402)/3)=(Calcs!$I1427-Calcs!Z$1402)/3),Calcs!Z1427,IF(INT((Calcs!$I1427-Calcs!Z$1402)/12)=(Calcs!$I1427-Calcs!Z$1402)/12,Calcs!Z1427,0))))</f>
        <v>0</v>
      </c>
      <c r="U557" s="239">
        <f>IF(OR(Calcs!$J$1402=Calcs!$I1427,Calcs!$I1427&gt;U$61),0,IF(OR(U$63="Monthly",U$63=""),Calcs!AA1427,IF(AND(U$63="Quarterly",INT((Calcs!$I1427-Calcs!AA$1402)/3)=(Calcs!$I1427-Calcs!AA$1402)/3),Calcs!AA1427,IF(INT((Calcs!$I1427-Calcs!AA$1402)/12)=(Calcs!$I1427-Calcs!AA$1402)/12,Calcs!AA1427,0))))</f>
        <v>0</v>
      </c>
      <c r="V557" s="239">
        <f>IF(OR(Calcs!$J$1402=Calcs!$I1427,Calcs!$I1427&gt;V$61),0,IF(OR(V$63="Monthly",V$63=""),Calcs!AB1427,IF(AND(V$63="Quarterly",INT((Calcs!$I1427-Calcs!AB$1402)/3)=(Calcs!$I1427-Calcs!AB$1402)/3),Calcs!AB1427,IF(INT((Calcs!$I1427-Calcs!AB$1402)/12)=(Calcs!$I1427-Calcs!AB$1402)/12,Calcs!AB1427,0))))</f>
        <v>0</v>
      </c>
      <c r="W557" s="239">
        <f>IF(OR(Calcs!$J$1402=Calcs!$I1427,Calcs!$I1427&gt;W$61),0,IF(OR(W$63="Monthly",W$63=""),Calcs!AC1427,IF(AND(W$63="Quarterly",INT((Calcs!$I1427-Calcs!AC$1402)/3)=(Calcs!$I1427-Calcs!AC$1402)/3),Calcs!AC1427,IF(INT((Calcs!$I1427-Calcs!AC$1402)/12)=(Calcs!$I1427-Calcs!AC$1402)/12,Calcs!AC1427,0))))</f>
        <v>0</v>
      </c>
      <c r="X557" s="239">
        <f>IF(OR(Calcs!$J$1402=Calcs!$I1427,Calcs!$I1427&gt;X$61),0,IF(OR(X$63="Monthly",X$63=""),Calcs!AD1427,IF(AND(X$63="Quarterly",INT((Calcs!$I1427-Calcs!AD$1402)/3)=(Calcs!$I1427-Calcs!AD$1402)/3),Calcs!AD1427,IF(INT((Calcs!$I1427-Calcs!AD$1402)/12)=(Calcs!$I1427-Calcs!AD$1402)/12,Calcs!AD1427,0))))</f>
        <v>0</v>
      </c>
      <c r="Y557" s="239">
        <f>IF(OR(Calcs!$J$1402=Calcs!$I1427,Calcs!$I1427&gt;Y$61),0,IF(OR(Y$63="Monthly",Y$63=""),Calcs!AE1427,IF(AND(Y$63="Quarterly",INT((Calcs!$I1427-Calcs!AE$1402)/3)=(Calcs!$I1427-Calcs!AE$1402)/3),Calcs!AE1427,IF(INT((Calcs!$I1427-Calcs!AE$1402)/12)=(Calcs!$I1427-Calcs!AE$1402)/12,Calcs!AE1427,0))))</f>
        <v>0</v>
      </c>
      <c r="Z557" s="239">
        <f>IF(OR(Calcs!$J$1402=Calcs!$I1427,Calcs!$I1427&gt;Z$61),0,IF(OR(Z$63="Monthly",Z$63=""),Calcs!AF1427,IF(AND(Z$63="Quarterly",INT((Calcs!$I1427-Calcs!AF$1402)/3)=(Calcs!$I1427-Calcs!AF$1402)/3),Calcs!AF1427,IF(INT((Calcs!$I1427-Calcs!AF$1402)/12)=(Calcs!$I1427-Calcs!AF$1402)/12,Calcs!AF1427,0))))</f>
        <v>0</v>
      </c>
      <c r="AA557" s="239">
        <f>IF(OR(Calcs!$J$1402=Calcs!$I1427,Calcs!$I1427&gt;AA$61),0,IF(OR(AA$63="Monthly",AA$63=""),Calcs!AG1427,IF(AND(AA$63="Quarterly",INT((Calcs!$I1427-Calcs!AG$1402)/3)=(Calcs!$I1427-Calcs!AG$1402)/3),Calcs!AG1427,IF(INT((Calcs!$I1427-Calcs!AG$1402)/12)=(Calcs!$I1427-Calcs!AG$1402)/12,Calcs!AG1427,0))))</f>
        <v>0</v>
      </c>
      <c r="AB557" s="239">
        <f>IF(OR(Calcs!$J$1402=Calcs!$I1427,Calcs!$I1427&gt;AB$61),0,IF(OR(AB$63="Monthly",AB$63=""),Calcs!AH1427,IF(AND(AB$63="Quarterly",INT((Calcs!$I1427-Calcs!AH$1402)/3)=(Calcs!$I1427-Calcs!AH$1402)/3),Calcs!AH1427,IF(INT((Calcs!$I1427-Calcs!AH$1402)/12)=(Calcs!$I1427-Calcs!AH$1402)/12,Calcs!AH1427,0))))</f>
        <v>0</v>
      </c>
      <c r="CH557" s="269"/>
      <c r="CI557" s="269"/>
      <c r="CJ557" s="269"/>
      <c r="CK557" s="269"/>
      <c r="CL557" s="269"/>
      <c r="CM557" s="269"/>
      <c r="CN557" s="269"/>
      <c r="CO557" s="269"/>
      <c r="CP557" s="269"/>
      <c r="CQ557" s="269"/>
      <c r="CR557" s="269"/>
      <c r="CS557" s="269"/>
    </row>
    <row r="558" spans="1:97" x14ac:dyDescent="0.3">
      <c r="A558" s="5"/>
      <c r="B558" s="5"/>
      <c r="C558" s="495">
        <f>C495</f>
        <v>700</v>
      </c>
      <c r="D558" s="237">
        <f>IF(OR(Calcs!$J$1402=Calcs!$I1428,Calcs!$I1428&gt;D$61),0,IF(OR(D$63="Monthly",D$63=""),Calcs!J1428,IF(AND(D$63="Quarterly",INT((Calcs!$I1428-Calcs!J$1402)/3)=(Calcs!$I1428-Calcs!J$1402)/3),Calcs!J1428,IF(INT((Calcs!$I1428-Calcs!J$1402)/12)=(Calcs!$I1428-Calcs!J$1402)/12,Calcs!J1428,0))))</f>
        <v>0</v>
      </c>
      <c r="E558" s="239">
        <f>IF(OR(Calcs!$J$1402=Calcs!$I1428,Calcs!$I1428&gt;E$61),0,IF(OR(E$63="Monthly",E$63=""),Calcs!K1428,IF(AND(E$63="Quarterly",INT((Calcs!$I1428-Calcs!K$1402)/3)=(Calcs!$I1428-Calcs!K$1402)/3),Calcs!K1428,IF(INT((Calcs!$I1428-Calcs!K$1402)/12)=(Calcs!$I1428-Calcs!K$1402)/12,Calcs!K1428,0))))</f>
        <v>0</v>
      </c>
      <c r="F558" s="239">
        <f>IF(OR(Calcs!$J$1402=Calcs!$I1428,Calcs!$I1428&gt;F$61),0,IF(OR(F$63="Monthly",F$63=""),Calcs!L1428,IF(AND(F$63="Quarterly",INT((Calcs!$I1428-Calcs!L$1402)/3)=(Calcs!$I1428-Calcs!L$1402)/3),Calcs!L1428,IF(INT((Calcs!$I1428-Calcs!L$1402)/12)=(Calcs!$I1428-Calcs!L$1402)/12,Calcs!L1428,0))))</f>
        <v>0</v>
      </c>
      <c r="G558" s="239">
        <f>IF(OR(Calcs!$J$1402=Calcs!$I1428,Calcs!$I1428&gt;G$61),0,IF(OR(G$63="Monthly",G$63=""),Calcs!M1428,IF(AND(G$63="Quarterly",INT((Calcs!$I1428-Calcs!M$1402)/3)=(Calcs!$I1428-Calcs!M$1402)/3),Calcs!M1428,IF(INT((Calcs!$I1428-Calcs!M$1402)/12)=(Calcs!$I1428-Calcs!M$1402)/12,Calcs!M1428,0))))</f>
        <v>0</v>
      </c>
      <c r="H558" s="239">
        <f>IF(OR(Calcs!$J$1402=Calcs!$I1428,Calcs!$I1428&gt;H$61),0,IF(OR(H$63="Monthly",H$63=""),Calcs!N1428,IF(AND(H$63="Quarterly",INT((Calcs!$I1428-Calcs!N$1402)/3)=(Calcs!$I1428-Calcs!N$1402)/3),Calcs!N1428,IF(INT((Calcs!$I1428-Calcs!N$1402)/12)=(Calcs!$I1428-Calcs!N$1402)/12,Calcs!N1428,0))))</f>
        <v>0</v>
      </c>
      <c r="I558" s="239">
        <f>IF(OR(Calcs!$J$1402=Calcs!$I1428,Calcs!$I1428&gt;I$61),0,IF(OR(I$63="Monthly",I$63=""),Calcs!O1428,IF(AND(I$63="Quarterly",INT((Calcs!$I1428-Calcs!O$1402)/3)=(Calcs!$I1428-Calcs!O$1402)/3),Calcs!O1428,IF(INT((Calcs!$I1428-Calcs!O$1402)/12)=(Calcs!$I1428-Calcs!O$1402)/12,Calcs!O1428,0))))</f>
        <v>0</v>
      </c>
      <c r="J558" s="239">
        <f>IF(OR(Calcs!$J$1402=Calcs!$I1428,Calcs!$I1428&gt;J$61),0,IF(OR(J$63="Monthly",J$63=""),Calcs!P1428,IF(AND(J$63="Quarterly",INT((Calcs!$I1428-Calcs!P$1402)/3)=(Calcs!$I1428-Calcs!P$1402)/3),Calcs!P1428,IF(INT((Calcs!$I1428-Calcs!P$1402)/12)=(Calcs!$I1428-Calcs!P$1402)/12,Calcs!P1428,0))))</f>
        <v>0</v>
      </c>
      <c r="K558" s="239">
        <f>IF(OR(Calcs!$J$1402=Calcs!$I1428,Calcs!$I1428&gt;K$61),0,IF(OR(K$63="Monthly",K$63=""),Calcs!Q1428,IF(AND(K$63="Quarterly",INT((Calcs!$I1428-Calcs!Q$1402)/3)=(Calcs!$I1428-Calcs!Q$1402)/3),Calcs!Q1428,IF(INT((Calcs!$I1428-Calcs!Q$1402)/12)=(Calcs!$I1428-Calcs!Q$1402)/12,Calcs!Q1428,0))))</f>
        <v>0</v>
      </c>
      <c r="L558" s="239">
        <f>IF(OR(Calcs!$J$1402=Calcs!$I1428,Calcs!$I1428&gt;L$61),0,IF(OR(L$63="Monthly",L$63=""),Calcs!R1428,IF(AND(L$63="Quarterly",INT((Calcs!$I1428-Calcs!R$1402)/3)=(Calcs!$I1428-Calcs!R$1402)/3),Calcs!R1428,IF(INT((Calcs!$I1428-Calcs!R$1402)/12)=(Calcs!$I1428-Calcs!R$1402)/12,Calcs!R1428,0))))</f>
        <v>0</v>
      </c>
      <c r="M558" s="239">
        <f>IF(OR(Calcs!$J$1402=Calcs!$I1428,Calcs!$I1428&gt;M$61),0,IF(OR(M$63="Monthly",M$63=""),Calcs!S1428,IF(AND(M$63="Quarterly",INT((Calcs!$I1428-Calcs!S$1402)/3)=(Calcs!$I1428-Calcs!S$1402)/3),Calcs!S1428,IF(INT((Calcs!$I1428-Calcs!S$1402)/12)=(Calcs!$I1428-Calcs!S$1402)/12,Calcs!S1428,0))))</f>
        <v>0</v>
      </c>
      <c r="N558" s="239">
        <f>IF(OR(Calcs!$J$1402=Calcs!$I1428,Calcs!$I1428&gt;N$61),0,IF(OR(N$63="Monthly",N$63=""),Calcs!T1428,IF(AND(N$63="Quarterly",INT((Calcs!$I1428-Calcs!T$1402)/3)=(Calcs!$I1428-Calcs!T$1402)/3),Calcs!T1428,IF(INT((Calcs!$I1428-Calcs!T$1402)/12)=(Calcs!$I1428-Calcs!T$1402)/12,Calcs!T1428,0))))</f>
        <v>0</v>
      </c>
      <c r="O558" s="239">
        <f>IF(OR(Calcs!$J$1402=Calcs!$I1428,Calcs!$I1428&gt;O$61),0,IF(OR(O$63="Monthly",O$63=""),Calcs!U1428,IF(AND(O$63="Quarterly",INT((Calcs!$I1428-Calcs!U$1402)/3)=(Calcs!$I1428-Calcs!U$1402)/3),Calcs!U1428,IF(INT((Calcs!$I1428-Calcs!U$1402)/12)=(Calcs!$I1428-Calcs!U$1402)/12,Calcs!U1428,0))))</f>
        <v>0</v>
      </c>
      <c r="P558" s="239">
        <f>IF(OR(Calcs!$J$1402=Calcs!$I1428,Calcs!$I1428&gt;P$61),0,IF(OR(P$63="Monthly",P$63=""),Calcs!V1428,IF(AND(P$63="Quarterly",INT((Calcs!$I1428-Calcs!V$1402)/3)=(Calcs!$I1428-Calcs!V$1402)/3),Calcs!V1428,IF(INT((Calcs!$I1428-Calcs!V$1402)/12)=(Calcs!$I1428-Calcs!V$1402)/12,Calcs!V1428,0))))</f>
        <v>0</v>
      </c>
      <c r="Q558" s="239">
        <f>IF(OR(Calcs!$J$1402=Calcs!$I1428,Calcs!$I1428&gt;Q$61),0,IF(OR(Q$63="Monthly",Q$63=""),Calcs!W1428,IF(AND(Q$63="Quarterly",INT((Calcs!$I1428-Calcs!W$1402)/3)=(Calcs!$I1428-Calcs!W$1402)/3),Calcs!W1428,IF(INT((Calcs!$I1428-Calcs!W$1402)/12)=(Calcs!$I1428-Calcs!W$1402)/12,Calcs!W1428,0))))</f>
        <v>0</v>
      </c>
      <c r="R558" s="239">
        <f>IF(OR(Calcs!$J$1402=Calcs!$I1428,Calcs!$I1428&gt;R$61),0,IF(OR(R$63="Monthly",R$63=""),Calcs!X1428,IF(AND(R$63="Quarterly",INT((Calcs!$I1428-Calcs!X$1402)/3)=(Calcs!$I1428-Calcs!X$1402)/3),Calcs!X1428,IF(INT((Calcs!$I1428-Calcs!X$1402)/12)=(Calcs!$I1428-Calcs!X$1402)/12,Calcs!X1428,0))))</f>
        <v>0</v>
      </c>
      <c r="S558" s="239">
        <f>IF(OR(Calcs!$J$1402=Calcs!$I1428,Calcs!$I1428&gt;S$61),0,IF(OR(S$63="Monthly",S$63=""),Calcs!Y1428,IF(AND(S$63="Quarterly",INT((Calcs!$I1428-Calcs!Y$1402)/3)=(Calcs!$I1428-Calcs!Y$1402)/3),Calcs!Y1428,IF(INT((Calcs!$I1428-Calcs!Y$1402)/12)=(Calcs!$I1428-Calcs!Y$1402)/12,Calcs!Y1428,0))))</f>
        <v>0</v>
      </c>
      <c r="T558" s="239">
        <f>IF(OR(Calcs!$J$1402=Calcs!$I1428,Calcs!$I1428&gt;T$61),0,IF(OR(T$63="Monthly",T$63=""),Calcs!Z1428,IF(AND(T$63="Quarterly",INT((Calcs!$I1428-Calcs!Z$1402)/3)=(Calcs!$I1428-Calcs!Z$1402)/3),Calcs!Z1428,IF(INT((Calcs!$I1428-Calcs!Z$1402)/12)=(Calcs!$I1428-Calcs!Z$1402)/12,Calcs!Z1428,0))))</f>
        <v>0</v>
      </c>
      <c r="U558" s="239">
        <f>IF(OR(Calcs!$J$1402=Calcs!$I1428,Calcs!$I1428&gt;U$61),0,IF(OR(U$63="Monthly",U$63=""),Calcs!AA1428,IF(AND(U$63="Quarterly",INT((Calcs!$I1428-Calcs!AA$1402)/3)=(Calcs!$I1428-Calcs!AA$1402)/3),Calcs!AA1428,IF(INT((Calcs!$I1428-Calcs!AA$1402)/12)=(Calcs!$I1428-Calcs!AA$1402)/12,Calcs!AA1428,0))))</f>
        <v>0</v>
      </c>
      <c r="V558" s="239">
        <f>IF(OR(Calcs!$J$1402=Calcs!$I1428,Calcs!$I1428&gt;V$61),0,IF(OR(V$63="Monthly",V$63=""),Calcs!AB1428,IF(AND(V$63="Quarterly",INT((Calcs!$I1428-Calcs!AB$1402)/3)=(Calcs!$I1428-Calcs!AB$1402)/3),Calcs!AB1428,IF(INT((Calcs!$I1428-Calcs!AB$1402)/12)=(Calcs!$I1428-Calcs!AB$1402)/12,Calcs!AB1428,0))))</f>
        <v>0</v>
      </c>
      <c r="W558" s="239">
        <f>IF(OR(Calcs!$J$1402=Calcs!$I1428,Calcs!$I1428&gt;W$61),0,IF(OR(W$63="Monthly",W$63=""),Calcs!AC1428,IF(AND(W$63="Quarterly",INT((Calcs!$I1428-Calcs!AC$1402)/3)=(Calcs!$I1428-Calcs!AC$1402)/3),Calcs!AC1428,IF(INT((Calcs!$I1428-Calcs!AC$1402)/12)=(Calcs!$I1428-Calcs!AC$1402)/12,Calcs!AC1428,0))))</f>
        <v>0</v>
      </c>
      <c r="X558" s="239">
        <f>IF(OR(Calcs!$J$1402=Calcs!$I1428,Calcs!$I1428&gt;X$61),0,IF(OR(X$63="Monthly",X$63=""),Calcs!AD1428,IF(AND(X$63="Quarterly",INT((Calcs!$I1428-Calcs!AD$1402)/3)=(Calcs!$I1428-Calcs!AD$1402)/3),Calcs!AD1428,IF(INT((Calcs!$I1428-Calcs!AD$1402)/12)=(Calcs!$I1428-Calcs!AD$1402)/12,Calcs!AD1428,0))))</f>
        <v>0</v>
      </c>
      <c r="Y558" s="239">
        <f>IF(OR(Calcs!$J$1402=Calcs!$I1428,Calcs!$I1428&gt;Y$61),0,IF(OR(Y$63="Monthly",Y$63=""),Calcs!AE1428,IF(AND(Y$63="Quarterly",INT((Calcs!$I1428-Calcs!AE$1402)/3)=(Calcs!$I1428-Calcs!AE$1402)/3),Calcs!AE1428,IF(INT((Calcs!$I1428-Calcs!AE$1402)/12)=(Calcs!$I1428-Calcs!AE$1402)/12,Calcs!AE1428,0))))</f>
        <v>0</v>
      </c>
      <c r="Z558" s="239">
        <f>IF(OR(Calcs!$J$1402=Calcs!$I1428,Calcs!$I1428&gt;Z$61),0,IF(OR(Z$63="Monthly",Z$63=""),Calcs!AF1428,IF(AND(Z$63="Quarterly",INT((Calcs!$I1428-Calcs!AF$1402)/3)=(Calcs!$I1428-Calcs!AF$1402)/3),Calcs!AF1428,IF(INT((Calcs!$I1428-Calcs!AF$1402)/12)=(Calcs!$I1428-Calcs!AF$1402)/12,Calcs!AF1428,0))))</f>
        <v>0</v>
      </c>
      <c r="AA558" s="239">
        <f>IF(OR(Calcs!$J$1402=Calcs!$I1428,Calcs!$I1428&gt;AA$61),0,IF(OR(AA$63="Monthly",AA$63=""),Calcs!AG1428,IF(AND(AA$63="Quarterly",INT((Calcs!$I1428-Calcs!AG$1402)/3)=(Calcs!$I1428-Calcs!AG$1402)/3),Calcs!AG1428,IF(INT((Calcs!$I1428-Calcs!AG$1402)/12)=(Calcs!$I1428-Calcs!AG$1402)/12,Calcs!AG1428,0))))</f>
        <v>0</v>
      </c>
      <c r="AB558" s="239">
        <f>IF(OR(Calcs!$J$1402=Calcs!$I1428,Calcs!$I1428&gt;AB$61),0,IF(OR(AB$63="Monthly",AB$63=""),Calcs!AH1428,IF(AND(AB$63="Quarterly",INT((Calcs!$I1428-Calcs!AH$1402)/3)=(Calcs!$I1428-Calcs!AH$1402)/3),Calcs!AH1428,IF(INT((Calcs!$I1428-Calcs!AH$1402)/12)=(Calcs!$I1428-Calcs!AH$1402)/12,Calcs!AH1428,0))))</f>
        <v>0</v>
      </c>
      <c r="CH558" s="269"/>
      <c r="CI558" s="269"/>
      <c r="CJ558" s="269"/>
      <c r="CK558" s="269"/>
      <c r="CL558" s="269"/>
      <c r="CM558" s="269"/>
      <c r="CN558" s="269"/>
      <c r="CO558" s="269"/>
      <c r="CP558" s="269"/>
      <c r="CQ558" s="269"/>
      <c r="CR558" s="269"/>
      <c r="CS558" s="269"/>
    </row>
    <row r="559" spans="1:97" ht="12.5" thickBot="1" x14ac:dyDescent="0.35">
      <c r="A559" s="5"/>
      <c r="B559" s="5"/>
      <c r="C559" s="496">
        <f>C496</f>
        <v>731</v>
      </c>
      <c r="D559" s="240">
        <f>IF(OR(Calcs!$J$1402=Calcs!$I1429,Calcs!$I1429&gt;D$61),0,IF(OR(D$63="Monthly",D$63=""),Calcs!J1429,IF(AND(D$63="Quarterly",INT((Calcs!$I1429-Calcs!J$1402)/3)=(Calcs!$I1429-Calcs!J$1402)/3),Calcs!J1429,IF(INT((Calcs!$I1429-Calcs!J$1402)/12)=(Calcs!$I1429-Calcs!J$1402)/12,Calcs!J1429,0))))</f>
        <v>0</v>
      </c>
      <c r="E559" s="240">
        <f>IF(OR(Calcs!$J$1402=Calcs!$I1429,Calcs!$I1429&gt;E$61),0,IF(OR(E$63="Monthly",E$63=""),Calcs!K1429,IF(AND(E$63="Quarterly",INT((Calcs!$I1429-Calcs!K$1402)/3)=(Calcs!$I1429-Calcs!K$1402)/3),Calcs!K1429,IF(INT((Calcs!$I1429-Calcs!K$1402)/12)=(Calcs!$I1429-Calcs!K$1402)/12,Calcs!K1429,0))))</f>
        <v>0</v>
      </c>
      <c r="F559" s="240">
        <f>IF(OR(Calcs!$J$1402=Calcs!$I1429,Calcs!$I1429&gt;F$61),0,IF(OR(F$63="Monthly",F$63=""),Calcs!L1429,IF(AND(F$63="Quarterly",INT((Calcs!$I1429-Calcs!L$1402)/3)=(Calcs!$I1429-Calcs!L$1402)/3),Calcs!L1429,IF(INT((Calcs!$I1429-Calcs!L$1402)/12)=(Calcs!$I1429-Calcs!L$1402)/12,Calcs!L1429,0))))</f>
        <v>0</v>
      </c>
      <c r="G559" s="240">
        <f>IF(OR(Calcs!$J$1402=Calcs!$I1429,Calcs!$I1429&gt;G$61),0,IF(OR(G$63="Monthly",G$63=""),Calcs!M1429,IF(AND(G$63="Quarterly",INT((Calcs!$I1429-Calcs!M$1402)/3)=(Calcs!$I1429-Calcs!M$1402)/3),Calcs!M1429,IF(INT((Calcs!$I1429-Calcs!M$1402)/12)=(Calcs!$I1429-Calcs!M$1402)/12,Calcs!M1429,0))))</f>
        <v>0</v>
      </c>
      <c r="H559" s="240">
        <f>IF(OR(Calcs!$J$1402=Calcs!$I1429,Calcs!$I1429&gt;H$61),0,IF(OR(H$63="Monthly",H$63=""),Calcs!N1429,IF(AND(H$63="Quarterly",INT((Calcs!$I1429-Calcs!N$1402)/3)=(Calcs!$I1429-Calcs!N$1402)/3),Calcs!N1429,IF(INT((Calcs!$I1429-Calcs!N$1402)/12)=(Calcs!$I1429-Calcs!N$1402)/12,Calcs!N1429,0))))</f>
        <v>0</v>
      </c>
      <c r="I559" s="240">
        <f>IF(OR(Calcs!$J$1402=Calcs!$I1429,Calcs!$I1429&gt;I$61),0,IF(OR(I$63="Monthly",I$63=""),Calcs!O1429,IF(AND(I$63="Quarterly",INT((Calcs!$I1429-Calcs!O$1402)/3)=(Calcs!$I1429-Calcs!O$1402)/3),Calcs!O1429,IF(INT((Calcs!$I1429-Calcs!O$1402)/12)=(Calcs!$I1429-Calcs!O$1402)/12,Calcs!O1429,0))))</f>
        <v>0</v>
      </c>
      <c r="J559" s="240">
        <f>IF(OR(Calcs!$J$1402=Calcs!$I1429,Calcs!$I1429&gt;J$61),0,IF(OR(J$63="Monthly",J$63=""),Calcs!P1429,IF(AND(J$63="Quarterly",INT((Calcs!$I1429-Calcs!P$1402)/3)=(Calcs!$I1429-Calcs!P$1402)/3),Calcs!P1429,IF(INT((Calcs!$I1429-Calcs!P$1402)/12)=(Calcs!$I1429-Calcs!P$1402)/12,Calcs!P1429,0))))</f>
        <v>0</v>
      </c>
      <c r="K559" s="240">
        <f>IF(OR(Calcs!$J$1402=Calcs!$I1429,Calcs!$I1429&gt;K$61),0,IF(OR(K$63="Monthly",K$63=""),Calcs!Q1429,IF(AND(K$63="Quarterly",INT((Calcs!$I1429-Calcs!Q$1402)/3)=(Calcs!$I1429-Calcs!Q$1402)/3),Calcs!Q1429,IF(INT((Calcs!$I1429-Calcs!Q$1402)/12)=(Calcs!$I1429-Calcs!Q$1402)/12,Calcs!Q1429,0))))</f>
        <v>0</v>
      </c>
      <c r="L559" s="240">
        <f>IF(OR(Calcs!$J$1402=Calcs!$I1429,Calcs!$I1429&gt;L$61),0,IF(OR(L$63="Monthly",L$63=""),Calcs!R1429,IF(AND(L$63="Quarterly",INT((Calcs!$I1429-Calcs!R$1402)/3)=(Calcs!$I1429-Calcs!R$1402)/3),Calcs!R1429,IF(INT((Calcs!$I1429-Calcs!R$1402)/12)=(Calcs!$I1429-Calcs!R$1402)/12,Calcs!R1429,0))))</f>
        <v>0</v>
      </c>
      <c r="M559" s="240">
        <f>IF(OR(Calcs!$J$1402=Calcs!$I1429,Calcs!$I1429&gt;M$61),0,IF(OR(M$63="Monthly",M$63=""),Calcs!S1429,IF(AND(M$63="Quarterly",INT((Calcs!$I1429-Calcs!S$1402)/3)=(Calcs!$I1429-Calcs!S$1402)/3),Calcs!S1429,IF(INT((Calcs!$I1429-Calcs!S$1402)/12)=(Calcs!$I1429-Calcs!S$1402)/12,Calcs!S1429,0))))</f>
        <v>0</v>
      </c>
      <c r="N559" s="240">
        <f>IF(OR(Calcs!$J$1402=Calcs!$I1429,Calcs!$I1429&gt;N$61),0,IF(OR(N$63="Monthly",N$63=""),Calcs!T1429,IF(AND(N$63="Quarterly",INT((Calcs!$I1429-Calcs!T$1402)/3)=(Calcs!$I1429-Calcs!T$1402)/3),Calcs!T1429,IF(INT((Calcs!$I1429-Calcs!T$1402)/12)=(Calcs!$I1429-Calcs!T$1402)/12,Calcs!T1429,0))))</f>
        <v>0</v>
      </c>
      <c r="O559" s="240">
        <f>IF(OR(Calcs!$J$1402=Calcs!$I1429,Calcs!$I1429&gt;O$61),0,IF(OR(O$63="Monthly",O$63=""),Calcs!U1429,IF(AND(O$63="Quarterly",INT((Calcs!$I1429-Calcs!U$1402)/3)=(Calcs!$I1429-Calcs!U$1402)/3),Calcs!U1429,IF(INT((Calcs!$I1429-Calcs!U$1402)/12)=(Calcs!$I1429-Calcs!U$1402)/12,Calcs!U1429,0))))</f>
        <v>0</v>
      </c>
      <c r="P559" s="240">
        <f>IF(OR(Calcs!$J$1402=Calcs!$I1429,Calcs!$I1429&gt;P$61),0,IF(OR(P$63="Monthly",P$63=""),Calcs!V1429,IF(AND(P$63="Quarterly",INT((Calcs!$I1429-Calcs!V$1402)/3)=(Calcs!$I1429-Calcs!V$1402)/3),Calcs!V1429,IF(INT((Calcs!$I1429-Calcs!V$1402)/12)=(Calcs!$I1429-Calcs!V$1402)/12,Calcs!V1429,0))))</f>
        <v>0</v>
      </c>
      <c r="Q559" s="240">
        <f>IF(OR(Calcs!$J$1402=Calcs!$I1429,Calcs!$I1429&gt;Q$61),0,IF(OR(Q$63="Monthly",Q$63=""),Calcs!W1429,IF(AND(Q$63="Quarterly",INT((Calcs!$I1429-Calcs!W$1402)/3)=(Calcs!$I1429-Calcs!W$1402)/3),Calcs!W1429,IF(INT((Calcs!$I1429-Calcs!W$1402)/12)=(Calcs!$I1429-Calcs!W$1402)/12,Calcs!W1429,0))))</f>
        <v>0</v>
      </c>
      <c r="R559" s="240">
        <f>IF(OR(Calcs!$J$1402=Calcs!$I1429,Calcs!$I1429&gt;R$61),0,IF(OR(R$63="Monthly",R$63=""),Calcs!X1429,IF(AND(R$63="Quarterly",INT((Calcs!$I1429-Calcs!X$1402)/3)=(Calcs!$I1429-Calcs!X$1402)/3),Calcs!X1429,IF(INT((Calcs!$I1429-Calcs!X$1402)/12)=(Calcs!$I1429-Calcs!X$1402)/12,Calcs!X1429,0))))</f>
        <v>0</v>
      </c>
      <c r="S559" s="240">
        <f>IF(OR(Calcs!$J$1402=Calcs!$I1429,Calcs!$I1429&gt;S$61),0,IF(OR(S$63="Monthly",S$63=""),Calcs!Y1429,IF(AND(S$63="Quarterly",INT((Calcs!$I1429-Calcs!Y$1402)/3)=(Calcs!$I1429-Calcs!Y$1402)/3),Calcs!Y1429,IF(INT((Calcs!$I1429-Calcs!Y$1402)/12)=(Calcs!$I1429-Calcs!Y$1402)/12,Calcs!Y1429,0))))</f>
        <v>0</v>
      </c>
      <c r="T559" s="240">
        <f>IF(OR(Calcs!$J$1402=Calcs!$I1429,Calcs!$I1429&gt;T$61),0,IF(OR(T$63="Monthly",T$63=""),Calcs!Z1429,IF(AND(T$63="Quarterly",INT((Calcs!$I1429-Calcs!Z$1402)/3)=(Calcs!$I1429-Calcs!Z$1402)/3),Calcs!Z1429,IF(INT((Calcs!$I1429-Calcs!Z$1402)/12)=(Calcs!$I1429-Calcs!Z$1402)/12,Calcs!Z1429,0))))</f>
        <v>0</v>
      </c>
      <c r="U559" s="240">
        <f>IF(OR(Calcs!$J$1402=Calcs!$I1429,Calcs!$I1429&gt;U$61),0,IF(OR(U$63="Monthly",U$63=""),Calcs!AA1429,IF(AND(U$63="Quarterly",INT((Calcs!$I1429-Calcs!AA$1402)/3)=(Calcs!$I1429-Calcs!AA$1402)/3),Calcs!AA1429,IF(INT((Calcs!$I1429-Calcs!AA$1402)/12)=(Calcs!$I1429-Calcs!AA$1402)/12,Calcs!AA1429,0))))</f>
        <v>0</v>
      </c>
      <c r="V559" s="240">
        <f>IF(OR(Calcs!$J$1402=Calcs!$I1429,Calcs!$I1429&gt;V$61),0,IF(OR(V$63="Monthly",V$63=""),Calcs!AB1429,IF(AND(V$63="Quarterly",INT((Calcs!$I1429-Calcs!AB$1402)/3)=(Calcs!$I1429-Calcs!AB$1402)/3),Calcs!AB1429,IF(INT((Calcs!$I1429-Calcs!AB$1402)/12)=(Calcs!$I1429-Calcs!AB$1402)/12,Calcs!AB1429,0))))</f>
        <v>0</v>
      </c>
      <c r="W559" s="240">
        <f>IF(OR(Calcs!$J$1402=Calcs!$I1429,Calcs!$I1429&gt;W$61),0,IF(OR(W$63="Monthly",W$63=""),Calcs!AC1429,IF(AND(W$63="Quarterly",INT((Calcs!$I1429-Calcs!AC$1402)/3)=(Calcs!$I1429-Calcs!AC$1402)/3),Calcs!AC1429,IF(INT((Calcs!$I1429-Calcs!AC$1402)/12)=(Calcs!$I1429-Calcs!AC$1402)/12,Calcs!AC1429,0))))</f>
        <v>0</v>
      </c>
      <c r="X559" s="240">
        <f>IF(OR(Calcs!$J$1402=Calcs!$I1429,Calcs!$I1429&gt;X$61),0,IF(OR(X$63="Monthly",X$63=""),Calcs!AD1429,IF(AND(X$63="Quarterly",INT((Calcs!$I1429-Calcs!AD$1402)/3)=(Calcs!$I1429-Calcs!AD$1402)/3),Calcs!AD1429,IF(INT((Calcs!$I1429-Calcs!AD$1402)/12)=(Calcs!$I1429-Calcs!AD$1402)/12,Calcs!AD1429,0))))</f>
        <v>0</v>
      </c>
      <c r="Y559" s="240">
        <f>IF(OR(Calcs!$J$1402=Calcs!$I1429,Calcs!$I1429&gt;Y$61),0,IF(OR(Y$63="Monthly",Y$63=""),Calcs!AE1429,IF(AND(Y$63="Quarterly",INT((Calcs!$I1429-Calcs!AE$1402)/3)=(Calcs!$I1429-Calcs!AE$1402)/3),Calcs!AE1429,IF(INT((Calcs!$I1429-Calcs!AE$1402)/12)=(Calcs!$I1429-Calcs!AE$1402)/12,Calcs!AE1429,0))))</f>
        <v>0</v>
      </c>
      <c r="Z559" s="240">
        <f>IF(OR(Calcs!$J$1402=Calcs!$I1429,Calcs!$I1429&gt;Z$61),0,IF(OR(Z$63="Monthly",Z$63=""),Calcs!AF1429,IF(AND(Z$63="Quarterly",INT((Calcs!$I1429-Calcs!AF$1402)/3)=(Calcs!$I1429-Calcs!AF$1402)/3),Calcs!AF1429,IF(INT((Calcs!$I1429-Calcs!AF$1402)/12)=(Calcs!$I1429-Calcs!AF$1402)/12,Calcs!AF1429,0))))</f>
        <v>0</v>
      </c>
      <c r="AA559" s="240">
        <f>IF(OR(Calcs!$J$1402=Calcs!$I1429,Calcs!$I1429&gt;AA$61),0,IF(OR(AA$63="Monthly",AA$63=""),Calcs!AG1429,IF(AND(AA$63="Quarterly",INT((Calcs!$I1429-Calcs!AG$1402)/3)=(Calcs!$I1429-Calcs!AG$1402)/3),Calcs!AG1429,IF(INT((Calcs!$I1429-Calcs!AG$1402)/12)=(Calcs!$I1429-Calcs!AG$1402)/12,Calcs!AG1429,0))))</f>
        <v>0</v>
      </c>
      <c r="AB559" s="240">
        <f>IF(OR(Calcs!$J$1402=Calcs!$I1429,Calcs!$I1429&gt;AB$61),0,IF(OR(AB$63="Monthly",AB$63=""),Calcs!AH1429,IF(AND(AB$63="Quarterly",INT((Calcs!$I1429-Calcs!AH$1402)/3)=(Calcs!$I1429-Calcs!AH$1402)/3),Calcs!AH1429,IF(INT((Calcs!$I1429-Calcs!AH$1402)/12)=(Calcs!$I1429-Calcs!AH$1402)/12,Calcs!AH1429,0))))</f>
        <v>0</v>
      </c>
      <c r="CH559" s="269"/>
      <c r="CI559" s="269"/>
      <c r="CJ559" s="269"/>
      <c r="CK559" s="269"/>
      <c r="CL559" s="269"/>
      <c r="CM559" s="269"/>
      <c r="CN559" s="269"/>
      <c r="CO559" s="269"/>
      <c r="CP559" s="269"/>
      <c r="CQ559" s="269"/>
      <c r="CR559" s="269"/>
      <c r="CS559" s="269"/>
    </row>
    <row r="560" spans="1:97" x14ac:dyDescent="0.3">
      <c r="A560" s="5"/>
      <c r="B560" s="5"/>
      <c r="C560" s="495">
        <f>C497</f>
        <v>762</v>
      </c>
      <c r="D560" s="241">
        <f>IF(OR(Calcs!$J$1402=Calcs!$I1430,Calcs!$I1430&gt;D$61),0,IF(OR(D$63="Monthly",D$63=""),Calcs!J1430,IF(AND(D$63="Quarterly",INT((Calcs!$I1430-Calcs!J$1402)/3)=(Calcs!$I1430-Calcs!J$1402)/3),Calcs!J1430,IF(INT((Calcs!$I1430-Calcs!J$1402)/12)=(Calcs!$I1430-Calcs!J$1402)/12,Calcs!J1430,0))))</f>
        <v>0</v>
      </c>
      <c r="E560" s="241">
        <f>IF(OR(Calcs!$J$1402=Calcs!$I1430,Calcs!$I1430&gt;E$61),0,IF(OR(E$63="Monthly",E$63=""),Calcs!K1430,IF(AND(E$63="Quarterly",INT((Calcs!$I1430-Calcs!K$1402)/3)=(Calcs!$I1430-Calcs!K$1402)/3),Calcs!K1430,IF(INT((Calcs!$I1430-Calcs!K$1402)/12)=(Calcs!$I1430-Calcs!K$1402)/12,Calcs!K1430,0))))</f>
        <v>0</v>
      </c>
      <c r="F560" s="241">
        <f>IF(OR(Calcs!$J$1402=Calcs!$I1430,Calcs!$I1430&gt;F$61),0,IF(OR(F$63="Monthly",F$63=""),Calcs!L1430,IF(AND(F$63="Quarterly",INT((Calcs!$I1430-Calcs!L$1402)/3)=(Calcs!$I1430-Calcs!L$1402)/3),Calcs!L1430,IF(INT((Calcs!$I1430-Calcs!L$1402)/12)=(Calcs!$I1430-Calcs!L$1402)/12,Calcs!L1430,0))))</f>
        <v>0</v>
      </c>
      <c r="G560" s="241">
        <f>IF(OR(Calcs!$J$1402=Calcs!$I1430,Calcs!$I1430&gt;G$61),0,IF(OR(G$63="Monthly",G$63=""),Calcs!M1430,IF(AND(G$63="Quarterly",INT((Calcs!$I1430-Calcs!M$1402)/3)=(Calcs!$I1430-Calcs!M$1402)/3),Calcs!M1430,IF(INT((Calcs!$I1430-Calcs!M$1402)/12)=(Calcs!$I1430-Calcs!M$1402)/12,Calcs!M1430,0))))</f>
        <v>0</v>
      </c>
      <c r="H560" s="241">
        <f>IF(OR(Calcs!$J$1402=Calcs!$I1430,Calcs!$I1430&gt;H$61),0,IF(OR(H$63="Monthly",H$63=""),Calcs!N1430,IF(AND(H$63="Quarterly",INT((Calcs!$I1430-Calcs!N$1402)/3)=(Calcs!$I1430-Calcs!N$1402)/3),Calcs!N1430,IF(INT((Calcs!$I1430-Calcs!N$1402)/12)=(Calcs!$I1430-Calcs!N$1402)/12,Calcs!N1430,0))))</f>
        <v>0</v>
      </c>
      <c r="I560" s="241">
        <f>IF(OR(Calcs!$J$1402=Calcs!$I1430,Calcs!$I1430&gt;I$61),0,IF(OR(I$63="Monthly",I$63=""),Calcs!O1430,IF(AND(I$63="Quarterly",INT((Calcs!$I1430-Calcs!O$1402)/3)=(Calcs!$I1430-Calcs!O$1402)/3),Calcs!O1430,IF(INT((Calcs!$I1430-Calcs!O$1402)/12)=(Calcs!$I1430-Calcs!O$1402)/12,Calcs!O1430,0))))</f>
        <v>0</v>
      </c>
      <c r="J560" s="241">
        <f>IF(OR(Calcs!$J$1402=Calcs!$I1430,Calcs!$I1430&gt;J$61),0,IF(OR(J$63="Monthly",J$63=""),Calcs!P1430,IF(AND(J$63="Quarterly",INT((Calcs!$I1430-Calcs!P$1402)/3)=(Calcs!$I1430-Calcs!P$1402)/3),Calcs!P1430,IF(INT((Calcs!$I1430-Calcs!P$1402)/12)=(Calcs!$I1430-Calcs!P$1402)/12,Calcs!P1430,0))))</f>
        <v>0</v>
      </c>
      <c r="K560" s="241">
        <f>IF(OR(Calcs!$J$1402=Calcs!$I1430,Calcs!$I1430&gt;K$61),0,IF(OR(K$63="Monthly",K$63=""),Calcs!Q1430,IF(AND(K$63="Quarterly",INT((Calcs!$I1430-Calcs!Q$1402)/3)=(Calcs!$I1430-Calcs!Q$1402)/3),Calcs!Q1430,IF(INT((Calcs!$I1430-Calcs!Q$1402)/12)=(Calcs!$I1430-Calcs!Q$1402)/12,Calcs!Q1430,0))))</f>
        <v>0</v>
      </c>
      <c r="L560" s="241">
        <f>IF(OR(Calcs!$J$1402=Calcs!$I1430,Calcs!$I1430&gt;L$61),0,IF(OR(L$63="Monthly",L$63=""),Calcs!R1430,IF(AND(L$63="Quarterly",INT((Calcs!$I1430-Calcs!R$1402)/3)=(Calcs!$I1430-Calcs!R$1402)/3),Calcs!R1430,IF(INT((Calcs!$I1430-Calcs!R$1402)/12)=(Calcs!$I1430-Calcs!R$1402)/12,Calcs!R1430,0))))</f>
        <v>0</v>
      </c>
      <c r="M560" s="241">
        <f>IF(OR(Calcs!$J$1402=Calcs!$I1430,Calcs!$I1430&gt;M$61),0,IF(OR(M$63="Monthly",M$63=""),Calcs!S1430,IF(AND(M$63="Quarterly",INT((Calcs!$I1430-Calcs!S$1402)/3)=(Calcs!$I1430-Calcs!S$1402)/3),Calcs!S1430,IF(INT((Calcs!$I1430-Calcs!S$1402)/12)=(Calcs!$I1430-Calcs!S$1402)/12,Calcs!S1430,0))))</f>
        <v>0</v>
      </c>
      <c r="N560" s="241">
        <f>IF(OR(Calcs!$J$1402=Calcs!$I1430,Calcs!$I1430&gt;N$61),0,IF(OR(N$63="Monthly",N$63=""),Calcs!T1430,IF(AND(N$63="Quarterly",INT((Calcs!$I1430-Calcs!T$1402)/3)=(Calcs!$I1430-Calcs!T$1402)/3),Calcs!T1430,IF(INT((Calcs!$I1430-Calcs!T$1402)/12)=(Calcs!$I1430-Calcs!T$1402)/12,Calcs!T1430,0))))</f>
        <v>0</v>
      </c>
      <c r="O560" s="241">
        <f>IF(OR(Calcs!$J$1402=Calcs!$I1430,Calcs!$I1430&gt;O$61),0,IF(OR(O$63="Monthly",O$63=""),Calcs!U1430,IF(AND(O$63="Quarterly",INT((Calcs!$I1430-Calcs!U$1402)/3)=(Calcs!$I1430-Calcs!U$1402)/3),Calcs!U1430,IF(INT((Calcs!$I1430-Calcs!U$1402)/12)=(Calcs!$I1430-Calcs!U$1402)/12,Calcs!U1430,0))))</f>
        <v>0</v>
      </c>
      <c r="P560" s="241">
        <f>IF(OR(Calcs!$J$1402=Calcs!$I1430,Calcs!$I1430&gt;P$61),0,IF(OR(P$63="Monthly",P$63=""),Calcs!V1430,IF(AND(P$63="Quarterly",INT((Calcs!$I1430-Calcs!V$1402)/3)=(Calcs!$I1430-Calcs!V$1402)/3),Calcs!V1430,IF(INT((Calcs!$I1430-Calcs!V$1402)/12)=(Calcs!$I1430-Calcs!V$1402)/12,Calcs!V1430,0))))</f>
        <v>0</v>
      </c>
      <c r="Q560" s="241">
        <f>IF(OR(Calcs!$J$1402=Calcs!$I1430,Calcs!$I1430&gt;Q$61),0,IF(OR(Q$63="Monthly",Q$63=""),Calcs!W1430,IF(AND(Q$63="Quarterly",INT((Calcs!$I1430-Calcs!W$1402)/3)=(Calcs!$I1430-Calcs!W$1402)/3),Calcs!W1430,IF(INT((Calcs!$I1430-Calcs!W$1402)/12)=(Calcs!$I1430-Calcs!W$1402)/12,Calcs!W1430,0))))</f>
        <v>0</v>
      </c>
      <c r="R560" s="241">
        <f>IF(OR(Calcs!$J$1402=Calcs!$I1430,Calcs!$I1430&gt;R$61),0,IF(OR(R$63="Monthly",R$63=""),Calcs!X1430,IF(AND(R$63="Quarterly",INT((Calcs!$I1430-Calcs!X$1402)/3)=(Calcs!$I1430-Calcs!X$1402)/3),Calcs!X1430,IF(INT((Calcs!$I1430-Calcs!X$1402)/12)=(Calcs!$I1430-Calcs!X$1402)/12,Calcs!X1430,0))))</f>
        <v>0</v>
      </c>
      <c r="S560" s="241">
        <f>IF(OR(Calcs!$J$1402=Calcs!$I1430,Calcs!$I1430&gt;S$61),0,IF(OR(S$63="Monthly",S$63=""),Calcs!Y1430,IF(AND(S$63="Quarterly",INT((Calcs!$I1430-Calcs!Y$1402)/3)=(Calcs!$I1430-Calcs!Y$1402)/3),Calcs!Y1430,IF(INT((Calcs!$I1430-Calcs!Y$1402)/12)=(Calcs!$I1430-Calcs!Y$1402)/12,Calcs!Y1430,0))))</f>
        <v>0</v>
      </c>
      <c r="T560" s="241">
        <f>IF(OR(Calcs!$J$1402=Calcs!$I1430,Calcs!$I1430&gt;T$61),0,IF(OR(T$63="Monthly",T$63=""),Calcs!Z1430,IF(AND(T$63="Quarterly",INT((Calcs!$I1430-Calcs!Z$1402)/3)=(Calcs!$I1430-Calcs!Z$1402)/3),Calcs!Z1430,IF(INT((Calcs!$I1430-Calcs!Z$1402)/12)=(Calcs!$I1430-Calcs!Z$1402)/12,Calcs!Z1430,0))))</f>
        <v>0</v>
      </c>
      <c r="U560" s="241">
        <f>IF(OR(Calcs!$J$1402=Calcs!$I1430,Calcs!$I1430&gt;U$61),0,IF(OR(U$63="Monthly",U$63=""),Calcs!AA1430,IF(AND(U$63="Quarterly",INT((Calcs!$I1430-Calcs!AA$1402)/3)=(Calcs!$I1430-Calcs!AA$1402)/3),Calcs!AA1430,IF(INT((Calcs!$I1430-Calcs!AA$1402)/12)=(Calcs!$I1430-Calcs!AA$1402)/12,Calcs!AA1430,0))))</f>
        <v>0</v>
      </c>
      <c r="V560" s="241">
        <f>IF(OR(Calcs!$J$1402=Calcs!$I1430,Calcs!$I1430&gt;V$61),0,IF(OR(V$63="Monthly",V$63=""),Calcs!AB1430,IF(AND(V$63="Quarterly",INT((Calcs!$I1430-Calcs!AB$1402)/3)=(Calcs!$I1430-Calcs!AB$1402)/3),Calcs!AB1430,IF(INT((Calcs!$I1430-Calcs!AB$1402)/12)=(Calcs!$I1430-Calcs!AB$1402)/12,Calcs!AB1430,0))))</f>
        <v>0</v>
      </c>
      <c r="W560" s="241">
        <f>IF(OR(Calcs!$J$1402=Calcs!$I1430,Calcs!$I1430&gt;W$61),0,IF(OR(W$63="Monthly",W$63=""),Calcs!AC1430,IF(AND(W$63="Quarterly",INT((Calcs!$I1430-Calcs!AC$1402)/3)=(Calcs!$I1430-Calcs!AC$1402)/3),Calcs!AC1430,IF(INT((Calcs!$I1430-Calcs!AC$1402)/12)=(Calcs!$I1430-Calcs!AC$1402)/12,Calcs!AC1430,0))))</f>
        <v>0</v>
      </c>
      <c r="X560" s="241">
        <f>IF(OR(Calcs!$J$1402=Calcs!$I1430,Calcs!$I1430&gt;X$61),0,IF(OR(X$63="Monthly",X$63=""),Calcs!AD1430,IF(AND(X$63="Quarterly",INT((Calcs!$I1430-Calcs!AD$1402)/3)=(Calcs!$I1430-Calcs!AD$1402)/3),Calcs!AD1430,IF(INT((Calcs!$I1430-Calcs!AD$1402)/12)=(Calcs!$I1430-Calcs!AD$1402)/12,Calcs!AD1430,0))))</f>
        <v>0</v>
      </c>
      <c r="Y560" s="241">
        <f>IF(OR(Calcs!$J$1402=Calcs!$I1430,Calcs!$I1430&gt;Y$61),0,IF(OR(Y$63="Monthly",Y$63=""),Calcs!AE1430,IF(AND(Y$63="Quarterly",INT((Calcs!$I1430-Calcs!AE$1402)/3)=(Calcs!$I1430-Calcs!AE$1402)/3),Calcs!AE1430,IF(INT((Calcs!$I1430-Calcs!AE$1402)/12)=(Calcs!$I1430-Calcs!AE$1402)/12,Calcs!AE1430,0))))</f>
        <v>0</v>
      </c>
      <c r="Z560" s="241">
        <f>IF(OR(Calcs!$J$1402=Calcs!$I1430,Calcs!$I1430&gt;Z$61),0,IF(OR(Z$63="Monthly",Z$63=""),Calcs!AF1430,IF(AND(Z$63="Quarterly",INT((Calcs!$I1430-Calcs!AF$1402)/3)=(Calcs!$I1430-Calcs!AF$1402)/3),Calcs!AF1430,IF(INT((Calcs!$I1430-Calcs!AF$1402)/12)=(Calcs!$I1430-Calcs!AF$1402)/12,Calcs!AF1430,0))))</f>
        <v>0</v>
      </c>
      <c r="AA560" s="241">
        <f>IF(OR(Calcs!$J$1402=Calcs!$I1430,Calcs!$I1430&gt;AA$61),0,IF(OR(AA$63="Monthly",AA$63=""),Calcs!AG1430,IF(AND(AA$63="Quarterly",INT((Calcs!$I1430-Calcs!AG$1402)/3)=(Calcs!$I1430-Calcs!AG$1402)/3),Calcs!AG1430,IF(INT((Calcs!$I1430-Calcs!AG$1402)/12)=(Calcs!$I1430-Calcs!AG$1402)/12,Calcs!AG1430,0))))</f>
        <v>0</v>
      </c>
      <c r="AB560" s="241">
        <f>IF(OR(Calcs!$J$1402=Calcs!$I1430,Calcs!$I1430&gt;AB$61),0,IF(OR(AB$63="Monthly",AB$63=""),Calcs!AH1430,IF(AND(AB$63="Quarterly",INT((Calcs!$I1430-Calcs!AH$1402)/3)=(Calcs!$I1430-Calcs!AH$1402)/3),Calcs!AH1430,IF(INT((Calcs!$I1430-Calcs!AH$1402)/12)=(Calcs!$I1430-Calcs!AH$1402)/12,Calcs!AH1430,0))))</f>
        <v>0</v>
      </c>
      <c r="CH560" s="269"/>
      <c r="CI560" s="269"/>
      <c r="CJ560" s="269"/>
      <c r="CK560" s="269"/>
      <c r="CL560" s="269"/>
      <c r="CM560" s="269"/>
      <c r="CN560" s="269"/>
      <c r="CO560" s="269"/>
      <c r="CP560" s="269"/>
      <c r="CQ560" s="269"/>
      <c r="CR560" s="269"/>
      <c r="CS560" s="269"/>
    </row>
    <row r="561" spans="1:97" x14ac:dyDescent="0.3">
      <c r="A561" s="5"/>
      <c r="B561" s="5"/>
      <c r="C561" s="495">
        <f>C498</f>
        <v>790</v>
      </c>
      <c r="D561" s="237">
        <f>IF(OR(Calcs!$J$1402=Calcs!$I1431,Calcs!$I1431&gt;D$61),0,IF(OR(D$63="Monthly",D$63=""),Calcs!J1431,IF(AND(D$63="Quarterly",INT((Calcs!$I1431-Calcs!J$1402)/3)=(Calcs!$I1431-Calcs!J$1402)/3),Calcs!J1431,IF(INT((Calcs!$I1431-Calcs!J$1402)/12)=(Calcs!$I1431-Calcs!J$1402)/12,Calcs!J1431,0))))</f>
        <v>0</v>
      </c>
      <c r="E561" s="239">
        <f>IF(OR(Calcs!$J$1402=Calcs!$I1431,Calcs!$I1431&gt;E$61),0,IF(OR(E$63="Monthly",E$63=""),Calcs!K1431,IF(AND(E$63="Quarterly",INT((Calcs!$I1431-Calcs!K$1402)/3)=(Calcs!$I1431-Calcs!K$1402)/3),Calcs!K1431,IF(INT((Calcs!$I1431-Calcs!K$1402)/12)=(Calcs!$I1431-Calcs!K$1402)/12,Calcs!K1431,0))))</f>
        <v>0</v>
      </c>
      <c r="F561" s="239">
        <f>IF(OR(Calcs!$J$1402=Calcs!$I1431,Calcs!$I1431&gt;F$61),0,IF(OR(F$63="Monthly",F$63=""),Calcs!L1431,IF(AND(F$63="Quarterly",INT((Calcs!$I1431-Calcs!L$1402)/3)=(Calcs!$I1431-Calcs!L$1402)/3),Calcs!L1431,IF(INT((Calcs!$I1431-Calcs!L$1402)/12)=(Calcs!$I1431-Calcs!L$1402)/12,Calcs!L1431,0))))</f>
        <v>0</v>
      </c>
      <c r="G561" s="239">
        <f>IF(OR(Calcs!$J$1402=Calcs!$I1431,Calcs!$I1431&gt;G$61),0,IF(OR(G$63="Monthly",G$63=""),Calcs!M1431,IF(AND(G$63="Quarterly",INT((Calcs!$I1431-Calcs!M$1402)/3)=(Calcs!$I1431-Calcs!M$1402)/3),Calcs!M1431,IF(INT((Calcs!$I1431-Calcs!M$1402)/12)=(Calcs!$I1431-Calcs!M$1402)/12,Calcs!M1431,0))))</f>
        <v>0</v>
      </c>
      <c r="H561" s="239">
        <f>IF(OR(Calcs!$J$1402=Calcs!$I1431,Calcs!$I1431&gt;H$61),0,IF(OR(H$63="Monthly",H$63=""),Calcs!N1431,IF(AND(H$63="Quarterly",INT((Calcs!$I1431-Calcs!N$1402)/3)=(Calcs!$I1431-Calcs!N$1402)/3),Calcs!N1431,IF(INT((Calcs!$I1431-Calcs!N$1402)/12)=(Calcs!$I1431-Calcs!N$1402)/12,Calcs!N1431,0))))</f>
        <v>0</v>
      </c>
      <c r="I561" s="239">
        <f>IF(OR(Calcs!$J$1402=Calcs!$I1431,Calcs!$I1431&gt;I$61),0,IF(OR(I$63="Monthly",I$63=""),Calcs!O1431,IF(AND(I$63="Quarterly",INT((Calcs!$I1431-Calcs!O$1402)/3)=(Calcs!$I1431-Calcs!O$1402)/3),Calcs!O1431,IF(INT((Calcs!$I1431-Calcs!O$1402)/12)=(Calcs!$I1431-Calcs!O$1402)/12,Calcs!O1431,0))))</f>
        <v>0</v>
      </c>
      <c r="J561" s="239">
        <f>IF(OR(Calcs!$J$1402=Calcs!$I1431,Calcs!$I1431&gt;J$61),0,IF(OR(J$63="Monthly",J$63=""),Calcs!P1431,IF(AND(J$63="Quarterly",INT((Calcs!$I1431-Calcs!P$1402)/3)=(Calcs!$I1431-Calcs!P$1402)/3),Calcs!P1431,IF(INT((Calcs!$I1431-Calcs!P$1402)/12)=(Calcs!$I1431-Calcs!P$1402)/12,Calcs!P1431,0))))</f>
        <v>0</v>
      </c>
      <c r="K561" s="239">
        <f>IF(OR(Calcs!$J$1402=Calcs!$I1431,Calcs!$I1431&gt;K$61),0,IF(OR(K$63="Monthly",K$63=""),Calcs!Q1431,IF(AND(K$63="Quarterly",INT((Calcs!$I1431-Calcs!Q$1402)/3)=(Calcs!$I1431-Calcs!Q$1402)/3),Calcs!Q1431,IF(INT((Calcs!$I1431-Calcs!Q$1402)/12)=(Calcs!$I1431-Calcs!Q$1402)/12,Calcs!Q1431,0))))</f>
        <v>0</v>
      </c>
      <c r="L561" s="239">
        <f>IF(OR(Calcs!$J$1402=Calcs!$I1431,Calcs!$I1431&gt;L$61),0,IF(OR(L$63="Monthly",L$63=""),Calcs!R1431,IF(AND(L$63="Quarterly",INT((Calcs!$I1431-Calcs!R$1402)/3)=(Calcs!$I1431-Calcs!R$1402)/3),Calcs!R1431,IF(INT((Calcs!$I1431-Calcs!R$1402)/12)=(Calcs!$I1431-Calcs!R$1402)/12,Calcs!R1431,0))))</f>
        <v>0</v>
      </c>
      <c r="M561" s="239">
        <f>IF(OR(Calcs!$J$1402=Calcs!$I1431,Calcs!$I1431&gt;M$61),0,IF(OR(M$63="Monthly",M$63=""),Calcs!S1431,IF(AND(M$63="Quarterly",INT((Calcs!$I1431-Calcs!S$1402)/3)=(Calcs!$I1431-Calcs!S$1402)/3),Calcs!S1431,IF(INT((Calcs!$I1431-Calcs!S$1402)/12)=(Calcs!$I1431-Calcs!S$1402)/12,Calcs!S1431,0))))</f>
        <v>0</v>
      </c>
      <c r="N561" s="239">
        <f>IF(OR(Calcs!$J$1402=Calcs!$I1431,Calcs!$I1431&gt;N$61),0,IF(OR(N$63="Monthly",N$63=""),Calcs!T1431,IF(AND(N$63="Quarterly",INT((Calcs!$I1431-Calcs!T$1402)/3)=(Calcs!$I1431-Calcs!T$1402)/3),Calcs!T1431,IF(INT((Calcs!$I1431-Calcs!T$1402)/12)=(Calcs!$I1431-Calcs!T$1402)/12,Calcs!T1431,0))))</f>
        <v>0</v>
      </c>
      <c r="O561" s="239">
        <f>IF(OR(Calcs!$J$1402=Calcs!$I1431,Calcs!$I1431&gt;O$61),0,IF(OR(O$63="Monthly",O$63=""),Calcs!U1431,IF(AND(O$63="Quarterly",INT((Calcs!$I1431-Calcs!U$1402)/3)=(Calcs!$I1431-Calcs!U$1402)/3),Calcs!U1431,IF(INT((Calcs!$I1431-Calcs!U$1402)/12)=(Calcs!$I1431-Calcs!U$1402)/12,Calcs!U1431,0))))</f>
        <v>0</v>
      </c>
      <c r="P561" s="239">
        <f>IF(OR(Calcs!$J$1402=Calcs!$I1431,Calcs!$I1431&gt;P$61),0,IF(OR(P$63="Monthly",P$63=""),Calcs!V1431,IF(AND(P$63="Quarterly",INT((Calcs!$I1431-Calcs!V$1402)/3)=(Calcs!$I1431-Calcs!V$1402)/3),Calcs!V1431,IF(INT((Calcs!$I1431-Calcs!V$1402)/12)=(Calcs!$I1431-Calcs!V$1402)/12,Calcs!V1431,0))))</f>
        <v>0</v>
      </c>
      <c r="Q561" s="239">
        <f>IF(OR(Calcs!$J$1402=Calcs!$I1431,Calcs!$I1431&gt;Q$61),0,IF(OR(Q$63="Monthly",Q$63=""),Calcs!W1431,IF(AND(Q$63="Quarterly",INT((Calcs!$I1431-Calcs!W$1402)/3)=(Calcs!$I1431-Calcs!W$1402)/3),Calcs!W1431,IF(INT((Calcs!$I1431-Calcs!W$1402)/12)=(Calcs!$I1431-Calcs!W$1402)/12,Calcs!W1431,0))))</f>
        <v>0</v>
      </c>
      <c r="R561" s="239">
        <f>IF(OR(Calcs!$J$1402=Calcs!$I1431,Calcs!$I1431&gt;R$61),0,IF(OR(R$63="Monthly",R$63=""),Calcs!X1431,IF(AND(R$63="Quarterly",INT((Calcs!$I1431-Calcs!X$1402)/3)=(Calcs!$I1431-Calcs!X$1402)/3),Calcs!X1431,IF(INT((Calcs!$I1431-Calcs!X$1402)/12)=(Calcs!$I1431-Calcs!X$1402)/12,Calcs!X1431,0))))</f>
        <v>0</v>
      </c>
      <c r="S561" s="239">
        <f>IF(OR(Calcs!$J$1402=Calcs!$I1431,Calcs!$I1431&gt;S$61),0,IF(OR(S$63="Monthly",S$63=""),Calcs!Y1431,IF(AND(S$63="Quarterly",INT((Calcs!$I1431-Calcs!Y$1402)/3)=(Calcs!$I1431-Calcs!Y$1402)/3),Calcs!Y1431,IF(INT((Calcs!$I1431-Calcs!Y$1402)/12)=(Calcs!$I1431-Calcs!Y$1402)/12,Calcs!Y1431,0))))</f>
        <v>0</v>
      </c>
      <c r="T561" s="239">
        <f>IF(OR(Calcs!$J$1402=Calcs!$I1431,Calcs!$I1431&gt;T$61),0,IF(OR(T$63="Monthly",T$63=""),Calcs!Z1431,IF(AND(T$63="Quarterly",INT((Calcs!$I1431-Calcs!Z$1402)/3)=(Calcs!$I1431-Calcs!Z$1402)/3),Calcs!Z1431,IF(INT((Calcs!$I1431-Calcs!Z$1402)/12)=(Calcs!$I1431-Calcs!Z$1402)/12,Calcs!Z1431,0))))</f>
        <v>0</v>
      </c>
      <c r="U561" s="239">
        <f>IF(OR(Calcs!$J$1402=Calcs!$I1431,Calcs!$I1431&gt;U$61),0,IF(OR(U$63="Monthly",U$63=""),Calcs!AA1431,IF(AND(U$63="Quarterly",INT((Calcs!$I1431-Calcs!AA$1402)/3)=(Calcs!$I1431-Calcs!AA$1402)/3),Calcs!AA1431,IF(INT((Calcs!$I1431-Calcs!AA$1402)/12)=(Calcs!$I1431-Calcs!AA$1402)/12,Calcs!AA1431,0))))</f>
        <v>0</v>
      </c>
      <c r="V561" s="239">
        <f>IF(OR(Calcs!$J$1402=Calcs!$I1431,Calcs!$I1431&gt;V$61),0,IF(OR(V$63="Monthly",V$63=""),Calcs!AB1431,IF(AND(V$63="Quarterly",INT((Calcs!$I1431-Calcs!AB$1402)/3)=(Calcs!$I1431-Calcs!AB$1402)/3),Calcs!AB1431,IF(INT((Calcs!$I1431-Calcs!AB$1402)/12)=(Calcs!$I1431-Calcs!AB$1402)/12,Calcs!AB1431,0))))</f>
        <v>0</v>
      </c>
      <c r="W561" s="239">
        <f>IF(OR(Calcs!$J$1402=Calcs!$I1431,Calcs!$I1431&gt;W$61),0,IF(OR(W$63="Monthly",W$63=""),Calcs!AC1431,IF(AND(W$63="Quarterly",INT((Calcs!$I1431-Calcs!AC$1402)/3)=(Calcs!$I1431-Calcs!AC$1402)/3),Calcs!AC1431,IF(INT((Calcs!$I1431-Calcs!AC$1402)/12)=(Calcs!$I1431-Calcs!AC$1402)/12,Calcs!AC1431,0))))</f>
        <v>0</v>
      </c>
      <c r="X561" s="239">
        <f>IF(OR(Calcs!$J$1402=Calcs!$I1431,Calcs!$I1431&gt;X$61),0,IF(OR(X$63="Monthly",X$63=""),Calcs!AD1431,IF(AND(X$63="Quarterly",INT((Calcs!$I1431-Calcs!AD$1402)/3)=(Calcs!$I1431-Calcs!AD$1402)/3),Calcs!AD1431,IF(INT((Calcs!$I1431-Calcs!AD$1402)/12)=(Calcs!$I1431-Calcs!AD$1402)/12,Calcs!AD1431,0))))</f>
        <v>0</v>
      </c>
      <c r="Y561" s="239">
        <f>IF(OR(Calcs!$J$1402=Calcs!$I1431,Calcs!$I1431&gt;Y$61),0,IF(OR(Y$63="Monthly",Y$63=""),Calcs!AE1431,IF(AND(Y$63="Quarterly",INT((Calcs!$I1431-Calcs!AE$1402)/3)=(Calcs!$I1431-Calcs!AE$1402)/3),Calcs!AE1431,IF(INT((Calcs!$I1431-Calcs!AE$1402)/12)=(Calcs!$I1431-Calcs!AE$1402)/12,Calcs!AE1431,0))))</f>
        <v>0</v>
      </c>
      <c r="Z561" s="239">
        <f>IF(OR(Calcs!$J$1402=Calcs!$I1431,Calcs!$I1431&gt;Z$61),0,IF(OR(Z$63="Monthly",Z$63=""),Calcs!AF1431,IF(AND(Z$63="Quarterly",INT((Calcs!$I1431-Calcs!AF$1402)/3)=(Calcs!$I1431-Calcs!AF$1402)/3),Calcs!AF1431,IF(INT((Calcs!$I1431-Calcs!AF$1402)/12)=(Calcs!$I1431-Calcs!AF$1402)/12,Calcs!AF1431,0))))</f>
        <v>0</v>
      </c>
      <c r="AA561" s="239">
        <f>IF(OR(Calcs!$J$1402=Calcs!$I1431,Calcs!$I1431&gt;AA$61),0,IF(OR(AA$63="Monthly",AA$63=""),Calcs!AG1431,IF(AND(AA$63="Quarterly",INT((Calcs!$I1431-Calcs!AG$1402)/3)=(Calcs!$I1431-Calcs!AG$1402)/3),Calcs!AG1431,IF(INT((Calcs!$I1431-Calcs!AG$1402)/12)=(Calcs!$I1431-Calcs!AG$1402)/12,Calcs!AG1431,0))))</f>
        <v>0</v>
      </c>
      <c r="AB561" s="239">
        <f>IF(OR(Calcs!$J$1402=Calcs!$I1431,Calcs!$I1431&gt;AB$61),0,IF(OR(AB$63="Monthly",AB$63=""),Calcs!AH1431,IF(AND(AB$63="Quarterly",INT((Calcs!$I1431-Calcs!AH$1402)/3)=(Calcs!$I1431-Calcs!AH$1402)/3),Calcs!AH1431,IF(INT((Calcs!$I1431-Calcs!AH$1402)/12)=(Calcs!$I1431-Calcs!AH$1402)/12,Calcs!AH1431,0))))</f>
        <v>0</v>
      </c>
      <c r="CH561" s="269"/>
      <c r="CI561" s="269"/>
      <c r="CJ561" s="269"/>
      <c r="CK561" s="269"/>
      <c r="CL561" s="269"/>
      <c r="CM561" s="269"/>
      <c r="CN561" s="269"/>
      <c r="CO561" s="269"/>
      <c r="CP561" s="269"/>
      <c r="CQ561" s="269"/>
      <c r="CR561" s="269"/>
      <c r="CS561" s="269"/>
    </row>
    <row r="562" spans="1:97" x14ac:dyDescent="0.3">
      <c r="A562" s="5"/>
      <c r="B562" s="5"/>
      <c r="C562" s="495">
        <f>C499</f>
        <v>821</v>
      </c>
      <c r="D562" s="237">
        <f>IF(OR(Calcs!$J$1402=Calcs!$I1432,Calcs!$I1432&gt;D$61),0,IF(OR(D$63="Monthly",D$63=""),Calcs!J1432,IF(AND(D$63="Quarterly",INT((Calcs!$I1432-Calcs!J$1402)/3)=(Calcs!$I1432-Calcs!J$1402)/3),Calcs!J1432,IF(INT((Calcs!$I1432-Calcs!J$1402)/12)=(Calcs!$I1432-Calcs!J$1402)/12,Calcs!J1432,0))))</f>
        <v>0</v>
      </c>
      <c r="E562" s="239">
        <f>IF(OR(Calcs!$J$1402=Calcs!$I1432,Calcs!$I1432&gt;E$61),0,IF(OR(E$63="Monthly",E$63=""),Calcs!K1432,IF(AND(E$63="Quarterly",INT((Calcs!$I1432-Calcs!K$1402)/3)=(Calcs!$I1432-Calcs!K$1402)/3),Calcs!K1432,IF(INT((Calcs!$I1432-Calcs!K$1402)/12)=(Calcs!$I1432-Calcs!K$1402)/12,Calcs!K1432,0))))</f>
        <v>0</v>
      </c>
      <c r="F562" s="239">
        <f>IF(OR(Calcs!$J$1402=Calcs!$I1432,Calcs!$I1432&gt;F$61),0,IF(OR(F$63="Monthly",F$63=""),Calcs!L1432,IF(AND(F$63="Quarterly",INT((Calcs!$I1432-Calcs!L$1402)/3)=(Calcs!$I1432-Calcs!L$1402)/3),Calcs!L1432,IF(INT((Calcs!$I1432-Calcs!L$1402)/12)=(Calcs!$I1432-Calcs!L$1402)/12,Calcs!L1432,0))))</f>
        <v>0</v>
      </c>
      <c r="G562" s="239">
        <f>IF(OR(Calcs!$J$1402=Calcs!$I1432,Calcs!$I1432&gt;G$61),0,IF(OR(G$63="Monthly",G$63=""),Calcs!M1432,IF(AND(G$63="Quarterly",INT((Calcs!$I1432-Calcs!M$1402)/3)=(Calcs!$I1432-Calcs!M$1402)/3),Calcs!M1432,IF(INT((Calcs!$I1432-Calcs!M$1402)/12)=(Calcs!$I1432-Calcs!M$1402)/12,Calcs!M1432,0))))</f>
        <v>0</v>
      </c>
      <c r="H562" s="239">
        <f>IF(OR(Calcs!$J$1402=Calcs!$I1432,Calcs!$I1432&gt;H$61),0,IF(OR(H$63="Monthly",H$63=""),Calcs!N1432,IF(AND(H$63="Quarterly",INT((Calcs!$I1432-Calcs!N$1402)/3)=(Calcs!$I1432-Calcs!N$1402)/3),Calcs!N1432,IF(INT((Calcs!$I1432-Calcs!N$1402)/12)=(Calcs!$I1432-Calcs!N$1402)/12,Calcs!N1432,0))))</f>
        <v>0</v>
      </c>
      <c r="I562" s="239">
        <f>IF(OR(Calcs!$J$1402=Calcs!$I1432,Calcs!$I1432&gt;I$61),0,IF(OR(I$63="Monthly",I$63=""),Calcs!O1432,IF(AND(I$63="Quarterly",INT((Calcs!$I1432-Calcs!O$1402)/3)=(Calcs!$I1432-Calcs!O$1402)/3),Calcs!O1432,IF(INT((Calcs!$I1432-Calcs!O$1402)/12)=(Calcs!$I1432-Calcs!O$1402)/12,Calcs!O1432,0))))</f>
        <v>0</v>
      </c>
      <c r="J562" s="239">
        <f>IF(OR(Calcs!$J$1402=Calcs!$I1432,Calcs!$I1432&gt;J$61),0,IF(OR(J$63="Monthly",J$63=""),Calcs!P1432,IF(AND(J$63="Quarterly",INT((Calcs!$I1432-Calcs!P$1402)/3)=(Calcs!$I1432-Calcs!P$1402)/3),Calcs!P1432,IF(INT((Calcs!$I1432-Calcs!P$1402)/12)=(Calcs!$I1432-Calcs!P$1402)/12,Calcs!P1432,0))))</f>
        <v>0</v>
      </c>
      <c r="K562" s="239">
        <f>IF(OR(Calcs!$J$1402=Calcs!$I1432,Calcs!$I1432&gt;K$61),0,IF(OR(K$63="Monthly",K$63=""),Calcs!Q1432,IF(AND(K$63="Quarterly",INT((Calcs!$I1432-Calcs!Q$1402)/3)=(Calcs!$I1432-Calcs!Q$1402)/3),Calcs!Q1432,IF(INT((Calcs!$I1432-Calcs!Q$1402)/12)=(Calcs!$I1432-Calcs!Q$1402)/12,Calcs!Q1432,0))))</f>
        <v>0</v>
      </c>
      <c r="L562" s="239">
        <f>IF(OR(Calcs!$J$1402=Calcs!$I1432,Calcs!$I1432&gt;L$61),0,IF(OR(L$63="Monthly",L$63=""),Calcs!R1432,IF(AND(L$63="Quarterly",INT((Calcs!$I1432-Calcs!R$1402)/3)=(Calcs!$I1432-Calcs!R$1402)/3),Calcs!R1432,IF(INT((Calcs!$I1432-Calcs!R$1402)/12)=(Calcs!$I1432-Calcs!R$1402)/12,Calcs!R1432,0))))</f>
        <v>0</v>
      </c>
      <c r="M562" s="239">
        <f>IF(OR(Calcs!$J$1402=Calcs!$I1432,Calcs!$I1432&gt;M$61),0,IF(OR(M$63="Monthly",M$63=""),Calcs!S1432,IF(AND(M$63="Quarterly",INT((Calcs!$I1432-Calcs!S$1402)/3)=(Calcs!$I1432-Calcs!S$1402)/3),Calcs!S1432,IF(INT((Calcs!$I1432-Calcs!S$1402)/12)=(Calcs!$I1432-Calcs!S$1402)/12,Calcs!S1432,0))))</f>
        <v>0</v>
      </c>
      <c r="N562" s="239">
        <f>IF(OR(Calcs!$J$1402=Calcs!$I1432,Calcs!$I1432&gt;N$61),0,IF(OR(N$63="Monthly",N$63=""),Calcs!T1432,IF(AND(N$63="Quarterly",INT((Calcs!$I1432-Calcs!T$1402)/3)=(Calcs!$I1432-Calcs!T$1402)/3),Calcs!T1432,IF(INT((Calcs!$I1432-Calcs!T$1402)/12)=(Calcs!$I1432-Calcs!T$1402)/12,Calcs!T1432,0))))</f>
        <v>0</v>
      </c>
      <c r="O562" s="239">
        <f>IF(OR(Calcs!$J$1402=Calcs!$I1432,Calcs!$I1432&gt;O$61),0,IF(OR(O$63="Monthly",O$63=""),Calcs!U1432,IF(AND(O$63="Quarterly",INT((Calcs!$I1432-Calcs!U$1402)/3)=(Calcs!$I1432-Calcs!U$1402)/3),Calcs!U1432,IF(INT((Calcs!$I1432-Calcs!U$1402)/12)=(Calcs!$I1432-Calcs!U$1402)/12,Calcs!U1432,0))))</f>
        <v>0</v>
      </c>
      <c r="P562" s="239">
        <f>IF(OR(Calcs!$J$1402=Calcs!$I1432,Calcs!$I1432&gt;P$61),0,IF(OR(P$63="Monthly",P$63=""),Calcs!V1432,IF(AND(P$63="Quarterly",INT((Calcs!$I1432-Calcs!V$1402)/3)=(Calcs!$I1432-Calcs!V$1402)/3),Calcs!V1432,IF(INT((Calcs!$I1432-Calcs!V$1402)/12)=(Calcs!$I1432-Calcs!V$1402)/12,Calcs!V1432,0))))</f>
        <v>0</v>
      </c>
      <c r="Q562" s="239">
        <f>IF(OR(Calcs!$J$1402=Calcs!$I1432,Calcs!$I1432&gt;Q$61),0,IF(OR(Q$63="Monthly",Q$63=""),Calcs!W1432,IF(AND(Q$63="Quarterly",INT((Calcs!$I1432-Calcs!W$1402)/3)=(Calcs!$I1432-Calcs!W$1402)/3),Calcs!W1432,IF(INT((Calcs!$I1432-Calcs!W$1402)/12)=(Calcs!$I1432-Calcs!W$1402)/12,Calcs!W1432,0))))</f>
        <v>0</v>
      </c>
      <c r="R562" s="239">
        <f>IF(OR(Calcs!$J$1402=Calcs!$I1432,Calcs!$I1432&gt;R$61),0,IF(OR(R$63="Monthly",R$63=""),Calcs!X1432,IF(AND(R$63="Quarterly",INT((Calcs!$I1432-Calcs!X$1402)/3)=(Calcs!$I1432-Calcs!X$1402)/3),Calcs!X1432,IF(INT((Calcs!$I1432-Calcs!X$1402)/12)=(Calcs!$I1432-Calcs!X$1402)/12,Calcs!X1432,0))))</f>
        <v>0</v>
      </c>
      <c r="S562" s="239">
        <f>IF(OR(Calcs!$J$1402=Calcs!$I1432,Calcs!$I1432&gt;S$61),0,IF(OR(S$63="Monthly",S$63=""),Calcs!Y1432,IF(AND(S$63="Quarterly",INT((Calcs!$I1432-Calcs!Y$1402)/3)=(Calcs!$I1432-Calcs!Y$1402)/3),Calcs!Y1432,IF(INT((Calcs!$I1432-Calcs!Y$1402)/12)=(Calcs!$I1432-Calcs!Y$1402)/12,Calcs!Y1432,0))))</f>
        <v>0</v>
      </c>
      <c r="T562" s="239">
        <f>IF(OR(Calcs!$J$1402=Calcs!$I1432,Calcs!$I1432&gt;T$61),0,IF(OR(T$63="Monthly",T$63=""),Calcs!Z1432,IF(AND(T$63="Quarterly",INT((Calcs!$I1432-Calcs!Z$1402)/3)=(Calcs!$I1432-Calcs!Z$1402)/3),Calcs!Z1432,IF(INT((Calcs!$I1432-Calcs!Z$1402)/12)=(Calcs!$I1432-Calcs!Z$1402)/12,Calcs!Z1432,0))))</f>
        <v>0</v>
      </c>
      <c r="U562" s="239">
        <f>IF(OR(Calcs!$J$1402=Calcs!$I1432,Calcs!$I1432&gt;U$61),0,IF(OR(U$63="Monthly",U$63=""),Calcs!AA1432,IF(AND(U$63="Quarterly",INT((Calcs!$I1432-Calcs!AA$1402)/3)=(Calcs!$I1432-Calcs!AA$1402)/3),Calcs!AA1432,IF(INT((Calcs!$I1432-Calcs!AA$1402)/12)=(Calcs!$I1432-Calcs!AA$1402)/12,Calcs!AA1432,0))))</f>
        <v>0</v>
      </c>
      <c r="V562" s="239">
        <f>IF(OR(Calcs!$J$1402=Calcs!$I1432,Calcs!$I1432&gt;V$61),0,IF(OR(V$63="Monthly",V$63=""),Calcs!AB1432,IF(AND(V$63="Quarterly",INT((Calcs!$I1432-Calcs!AB$1402)/3)=(Calcs!$I1432-Calcs!AB$1402)/3),Calcs!AB1432,IF(INT((Calcs!$I1432-Calcs!AB$1402)/12)=(Calcs!$I1432-Calcs!AB$1402)/12,Calcs!AB1432,0))))</f>
        <v>0</v>
      </c>
      <c r="W562" s="239">
        <f>IF(OR(Calcs!$J$1402=Calcs!$I1432,Calcs!$I1432&gt;W$61),0,IF(OR(W$63="Monthly",W$63=""),Calcs!AC1432,IF(AND(W$63="Quarterly",INT((Calcs!$I1432-Calcs!AC$1402)/3)=(Calcs!$I1432-Calcs!AC$1402)/3),Calcs!AC1432,IF(INT((Calcs!$I1432-Calcs!AC$1402)/12)=(Calcs!$I1432-Calcs!AC$1402)/12,Calcs!AC1432,0))))</f>
        <v>0</v>
      </c>
      <c r="X562" s="239">
        <f>IF(OR(Calcs!$J$1402=Calcs!$I1432,Calcs!$I1432&gt;X$61),0,IF(OR(X$63="Monthly",X$63=""),Calcs!AD1432,IF(AND(X$63="Quarterly",INT((Calcs!$I1432-Calcs!AD$1402)/3)=(Calcs!$I1432-Calcs!AD$1402)/3),Calcs!AD1432,IF(INT((Calcs!$I1432-Calcs!AD$1402)/12)=(Calcs!$I1432-Calcs!AD$1402)/12,Calcs!AD1432,0))))</f>
        <v>0</v>
      </c>
      <c r="Y562" s="239">
        <f>IF(OR(Calcs!$J$1402=Calcs!$I1432,Calcs!$I1432&gt;Y$61),0,IF(OR(Y$63="Monthly",Y$63=""),Calcs!AE1432,IF(AND(Y$63="Quarterly",INT((Calcs!$I1432-Calcs!AE$1402)/3)=(Calcs!$I1432-Calcs!AE$1402)/3),Calcs!AE1432,IF(INT((Calcs!$I1432-Calcs!AE$1402)/12)=(Calcs!$I1432-Calcs!AE$1402)/12,Calcs!AE1432,0))))</f>
        <v>0</v>
      </c>
      <c r="Z562" s="239">
        <f>IF(OR(Calcs!$J$1402=Calcs!$I1432,Calcs!$I1432&gt;Z$61),0,IF(OR(Z$63="Monthly",Z$63=""),Calcs!AF1432,IF(AND(Z$63="Quarterly",INT((Calcs!$I1432-Calcs!AF$1402)/3)=(Calcs!$I1432-Calcs!AF$1402)/3),Calcs!AF1432,IF(INT((Calcs!$I1432-Calcs!AF$1402)/12)=(Calcs!$I1432-Calcs!AF$1402)/12,Calcs!AF1432,0))))</f>
        <v>0</v>
      </c>
      <c r="AA562" s="239">
        <f>IF(OR(Calcs!$J$1402=Calcs!$I1432,Calcs!$I1432&gt;AA$61),0,IF(OR(AA$63="Monthly",AA$63=""),Calcs!AG1432,IF(AND(AA$63="Quarterly",INT((Calcs!$I1432-Calcs!AG$1402)/3)=(Calcs!$I1432-Calcs!AG$1402)/3),Calcs!AG1432,IF(INT((Calcs!$I1432-Calcs!AG$1402)/12)=(Calcs!$I1432-Calcs!AG$1402)/12,Calcs!AG1432,0))))</f>
        <v>0</v>
      </c>
      <c r="AB562" s="239">
        <f>IF(OR(Calcs!$J$1402=Calcs!$I1432,Calcs!$I1432&gt;AB$61),0,IF(OR(AB$63="Monthly",AB$63=""),Calcs!AH1432,IF(AND(AB$63="Quarterly",INT((Calcs!$I1432-Calcs!AH$1402)/3)=(Calcs!$I1432-Calcs!AH$1402)/3),Calcs!AH1432,IF(INT((Calcs!$I1432-Calcs!AH$1402)/12)=(Calcs!$I1432-Calcs!AH$1402)/12,Calcs!AH1432,0))))</f>
        <v>0</v>
      </c>
      <c r="CH562" s="269"/>
      <c r="CI562" s="269"/>
      <c r="CJ562" s="269"/>
      <c r="CK562" s="269"/>
      <c r="CL562" s="269"/>
      <c r="CM562" s="269"/>
      <c r="CN562" s="269"/>
      <c r="CO562" s="269"/>
      <c r="CP562" s="269"/>
      <c r="CQ562" s="269"/>
      <c r="CR562" s="269"/>
      <c r="CS562" s="269"/>
    </row>
    <row r="563" spans="1:97" ht="11.65" customHeight="1" x14ac:dyDescent="0.3">
      <c r="A563" s="5"/>
      <c r="B563" s="5"/>
      <c r="C563" s="495">
        <f>C500</f>
        <v>851</v>
      </c>
      <c r="D563" s="237">
        <f>IF(OR(Calcs!$J$1402=Calcs!$I1433,Calcs!$I1433&gt;D$61),0,IF(OR(D$63="Monthly",D$63=""),Calcs!J1433,IF(AND(D$63="Quarterly",INT((Calcs!$I1433-Calcs!J$1402)/3)=(Calcs!$I1433-Calcs!J$1402)/3),Calcs!J1433,IF(INT((Calcs!$I1433-Calcs!J$1402)/12)=(Calcs!$I1433-Calcs!J$1402)/12,Calcs!J1433,0))))</f>
        <v>0</v>
      </c>
      <c r="E563" s="239">
        <f>IF(OR(Calcs!$J$1402=Calcs!$I1433,Calcs!$I1433&gt;E$61),0,IF(OR(E$63="Monthly",E$63=""),Calcs!K1433,IF(AND(E$63="Quarterly",INT((Calcs!$I1433-Calcs!K$1402)/3)=(Calcs!$I1433-Calcs!K$1402)/3),Calcs!K1433,IF(INT((Calcs!$I1433-Calcs!K$1402)/12)=(Calcs!$I1433-Calcs!K$1402)/12,Calcs!K1433,0))))</f>
        <v>0</v>
      </c>
      <c r="F563" s="239">
        <f>IF(OR(Calcs!$J$1402=Calcs!$I1433,Calcs!$I1433&gt;F$61),0,IF(OR(F$63="Monthly",F$63=""),Calcs!L1433,IF(AND(F$63="Quarterly",INT((Calcs!$I1433-Calcs!L$1402)/3)=(Calcs!$I1433-Calcs!L$1402)/3),Calcs!L1433,IF(INT((Calcs!$I1433-Calcs!L$1402)/12)=(Calcs!$I1433-Calcs!L$1402)/12,Calcs!L1433,0))))</f>
        <v>0</v>
      </c>
      <c r="G563" s="239">
        <f>IF(OR(Calcs!$J$1402=Calcs!$I1433,Calcs!$I1433&gt;G$61),0,IF(OR(G$63="Monthly",G$63=""),Calcs!M1433,IF(AND(G$63="Quarterly",INT((Calcs!$I1433-Calcs!M$1402)/3)=(Calcs!$I1433-Calcs!M$1402)/3),Calcs!M1433,IF(INT((Calcs!$I1433-Calcs!M$1402)/12)=(Calcs!$I1433-Calcs!M$1402)/12,Calcs!M1433,0))))</f>
        <v>0</v>
      </c>
      <c r="H563" s="239">
        <f>IF(OR(Calcs!$J$1402=Calcs!$I1433,Calcs!$I1433&gt;H$61),0,IF(OR(H$63="Monthly",H$63=""),Calcs!N1433,IF(AND(H$63="Quarterly",INT((Calcs!$I1433-Calcs!N$1402)/3)=(Calcs!$I1433-Calcs!N$1402)/3),Calcs!N1433,IF(INT((Calcs!$I1433-Calcs!N$1402)/12)=(Calcs!$I1433-Calcs!N$1402)/12,Calcs!N1433,0))))</f>
        <v>0</v>
      </c>
      <c r="I563" s="239">
        <f>IF(OR(Calcs!$J$1402=Calcs!$I1433,Calcs!$I1433&gt;I$61),0,IF(OR(I$63="Monthly",I$63=""),Calcs!O1433,IF(AND(I$63="Quarterly",INT((Calcs!$I1433-Calcs!O$1402)/3)=(Calcs!$I1433-Calcs!O$1402)/3),Calcs!O1433,IF(INT((Calcs!$I1433-Calcs!O$1402)/12)=(Calcs!$I1433-Calcs!O$1402)/12,Calcs!O1433,0))))</f>
        <v>0</v>
      </c>
      <c r="J563" s="239">
        <f>IF(OR(Calcs!$J$1402=Calcs!$I1433,Calcs!$I1433&gt;J$61),0,IF(OR(J$63="Monthly",J$63=""),Calcs!P1433,IF(AND(J$63="Quarterly",INT((Calcs!$I1433-Calcs!P$1402)/3)=(Calcs!$I1433-Calcs!P$1402)/3),Calcs!P1433,IF(INT((Calcs!$I1433-Calcs!P$1402)/12)=(Calcs!$I1433-Calcs!P$1402)/12,Calcs!P1433,0))))</f>
        <v>0</v>
      </c>
      <c r="K563" s="239">
        <f>IF(OR(Calcs!$J$1402=Calcs!$I1433,Calcs!$I1433&gt;K$61),0,IF(OR(K$63="Monthly",K$63=""),Calcs!Q1433,IF(AND(K$63="Quarterly",INT((Calcs!$I1433-Calcs!Q$1402)/3)=(Calcs!$I1433-Calcs!Q$1402)/3),Calcs!Q1433,IF(INT((Calcs!$I1433-Calcs!Q$1402)/12)=(Calcs!$I1433-Calcs!Q$1402)/12,Calcs!Q1433,0))))</f>
        <v>0</v>
      </c>
      <c r="L563" s="239">
        <f>IF(OR(Calcs!$J$1402=Calcs!$I1433,Calcs!$I1433&gt;L$61),0,IF(OR(L$63="Monthly",L$63=""),Calcs!R1433,IF(AND(L$63="Quarterly",INT((Calcs!$I1433-Calcs!R$1402)/3)=(Calcs!$I1433-Calcs!R$1402)/3),Calcs!R1433,IF(INT((Calcs!$I1433-Calcs!R$1402)/12)=(Calcs!$I1433-Calcs!R$1402)/12,Calcs!R1433,0))))</f>
        <v>0</v>
      </c>
      <c r="M563" s="239">
        <f>IF(OR(Calcs!$J$1402=Calcs!$I1433,Calcs!$I1433&gt;M$61),0,IF(OR(M$63="Monthly",M$63=""),Calcs!S1433,IF(AND(M$63="Quarterly",INT((Calcs!$I1433-Calcs!S$1402)/3)=(Calcs!$I1433-Calcs!S$1402)/3),Calcs!S1433,IF(INT((Calcs!$I1433-Calcs!S$1402)/12)=(Calcs!$I1433-Calcs!S$1402)/12,Calcs!S1433,0))))</f>
        <v>0</v>
      </c>
      <c r="N563" s="239">
        <f>IF(OR(Calcs!$J$1402=Calcs!$I1433,Calcs!$I1433&gt;N$61),0,IF(OR(N$63="Monthly",N$63=""),Calcs!T1433,IF(AND(N$63="Quarterly",INT((Calcs!$I1433-Calcs!T$1402)/3)=(Calcs!$I1433-Calcs!T$1402)/3),Calcs!T1433,IF(INT((Calcs!$I1433-Calcs!T$1402)/12)=(Calcs!$I1433-Calcs!T$1402)/12,Calcs!T1433,0))))</f>
        <v>0</v>
      </c>
      <c r="O563" s="239">
        <f>IF(OR(Calcs!$J$1402=Calcs!$I1433,Calcs!$I1433&gt;O$61),0,IF(OR(O$63="Monthly",O$63=""),Calcs!U1433,IF(AND(O$63="Quarterly",INT((Calcs!$I1433-Calcs!U$1402)/3)=(Calcs!$I1433-Calcs!U$1402)/3),Calcs!U1433,IF(INT((Calcs!$I1433-Calcs!U$1402)/12)=(Calcs!$I1433-Calcs!U$1402)/12,Calcs!U1433,0))))</f>
        <v>0</v>
      </c>
      <c r="P563" s="239">
        <f>IF(OR(Calcs!$J$1402=Calcs!$I1433,Calcs!$I1433&gt;P$61),0,IF(OR(P$63="Monthly",P$63=""),Calcs!V1433,IF(AND(P$63="Quarterly",INT((Calcs!$I1433-Calcs!V$1402)/3)=(Calcs!$I1433-Calcs!V$1402)/3),Calcs!V1433,IF(INT((Calcs!$I1433-Calcs!V$1402)/12)=(Calcs!$I1433-Calcs!V$1402)/12,Calcs!V1433,0))))</f>
        <v>0</v>
      </c>
      <c r="Q563" s="239">
        <f>IF(OR(Calcs!$J$1402=Calcs!$I1433,Calcs!$I1433&gt;Q$61),0,IF(OR(Q$63="Monthly",Q$63=""),Calcs!W1433,IF(AND(Q$63="Quarterly",INT((Calcs!$I1433-Calcs!W$1402)/3)=(Calcs!$I1433-Calcs!W$1402)/3),Calcs!W1433,IF(INT((Calcs!$I1433-Calcs!W$1402)/12)=(Calcs!$I1433-Calcs!W$1402)/12,Calcs!W1433,0))))</f>
        <v>0</v>
      </c>
      <c r="R563" s="239">
        <f>IF(OR(Calcs!$J$1402=Calcs!$I1433,Calcs!$I1433&gt;R$61),0,IF(OR(R$63="Monthly",R$63=""),Calcs!X1433,IF(AND(R$63="Quarterly",INT((Calcs!$I1433-Calcs!X$1402)/3)=(Calcs!$I1433-Calcs!X$1402)/3),Calcs!X1433,IF(INT((Calcs!$I1433-Calcs!X$1402)/12)=(Calcs!$I1433-Calcs!X$1402)/12,Calcs!X1433,0))))</f>
        <v>0</v>
      </c>
      <c r="S563" s="239">
        <f>IF(OR(Calcs!$J$1402=Calcs!$I1433,Calcs!$I1433&gt;S$61),0,IF(OR(S$63="Monthly",S$63=""),Calcs!Y1433,IF(AND(S$63="Quarterly",INT((Calcs!$I1433-Calcs!Y$1402)/3)=(Calcs!$I1433-Calcs!Y$1402)/3),Calcs!Y1433,IF(INT((Calcs!$I1433-Calcs!Y$1402)/12)=(Calcs!$I1433-Calcs!Y$1402)/12,Calcs!Y1433,0))))</f>
        <v>0</v>
      </c>
      <c r="T563" s="239">
        <f>IF(OR(Calcs!$J$1402=Calcs!$I1433,Calcs!$I1433&gt;T$61),0,IF(OR(T$63="Monthly",T$63=""),Calcs!Z1433,IF(AND(T$63="Quarterly",INT((Calcs!$I1433-Calcs!Z$1402)/3)=(Calcs!$I1433-Calcs!Z$1402)/3),Calcs!Z1433,IF(INT((Calcs!$I1433-Calcs!Z$1402)/12)=(Calcs!$I1433-Calcs!Z$1402)/12,Calcs!Z1433,0))))</f>
        <v>0</v>
      </c>
      <c r="U563" s="239">
        <f>IF(OR(Calcs!$J$1402=Calcs!$I1433,Calcs!$I1433&gt;U$61),0,IF(OR(U$63="Monthly",U$63=""),Calcs!AA1433,IF(AND(U$63="Quarterly",INT((Calcs!$I1433-Calcs!AA$1402)/3)=(Calcs!$I1433-Calcs!AA$1402)/3),Calcs!AA1433,IF(INT((Calcs!$I1433-Calcs!AA$1402)/12)=(Calcs!$I1433-Calcs!AA$1402)/12,Calcs!AA1433,0))))</f>
        <v>0</v>
      </c>
      <c r="V563" s="239">
        <f>IF(OR(Calcs!$J$1402=Calcs!$I1433,Calcs!$I1433&gt;V$61),0,IF(OR(V$63="Monthly",V$63=""),Calcs!AB1433,IF(AND(V$63="Quarterly",INT((Calcs!$I1433-Calcs!AB$1402)/3)=(Calcs!$I1433-Calcs!AB$1402)/3),Calcs!AB1433,IF(INT((Calcs!$I1433-Calcs!AB$1402)/12)=(Calcs!$I1433-Calcs!AB$1402)/12,Calcs!AB1433,0))))</f>
        <v>0</v>
      </c>
      <c r="W563" s="239">
        <f>IF(OR(Calcs!$J$1402=Calcs!$I1433,Calcs!$I1433&gt;W$61),0,IF(OR(W$63="Monthly",W$63=""),Calcs!AC1433,IF(AND(W$63="Quarterly",INT((Calcs!$I1433-Calcs!AC$1402)/3)=(Calcs!$I1433-Calcs!AC$1402)/3),Calcs!AC1433,IF(INT((Calcs!$I1433-Calcs!AC$1402)/12)=(Calcs!$I1433-Calcs!AC$1402)/12,Calcs!AC1433,0))))</f>
        <v>0</v>
      </c>
      <c r="X563" s="239">
        <f>IF(OR(Calcs!$J$1402=Calcs!$I1433,Calcs!$I1433&gt;X$61),0,IF(OR(X$63="Monthly",X$63=""),Calcs!AD1433,IF(AND(X$63="Quarterly",INT((Calcs!$I1433-Calcs!AD$1402)/3)=(Calcs!$I1433-Calcs!AD$1402)/3),Calcs!AD1433,IF(INT((Calcs!$I1433-Calcs!AD$1402)/12)=(Calcs!$I1433-Calcs!AD$1402)/12,Calcs!AD1433,0))))</f>
        <v>0</v>
      </c>
      <c r="Y563" s="239">
        <f>IF(OR(Calcs!$J$1402=Calcs!$I1433,Calcs!$I1433&gt;Y$61),0,IF(OR(Y$63="Monthly",Y$63=""),Calcs!AE1433,IF(AND(Y$63="Quarterly",INT((Calcs!$I1433-Calcs!AE$1402)/3)=(Calcs!$I1433-Calcs!AE$1402)/3),Calcs!AE1433,IF(INT((Calcs!$I1433-Calcs!AE$1402)/12)=(Calcs!$I1433-Calcs!AE$1402)/12,Calcs!AE1433,0))))</f>
        <v>0</v>
      </c>
      <c r="Z563" s="239">
        <f>IF(OR(Calcs!$J$1402=Calcs!$I1433,Calcs!$I1433&gt;Z$61),0,IF(OR(Z$63="Monthly",Z$63=""),Calcs!AF1433,IF(AND(Z$63="Quarterly",INT((Calcs!$I1433-Calcs!AF$1402)/3)=(Calcs!$I1433-Calcs!AF$1402)/3),Calcs!AF1433,IF(INT((Calcs!$I1433-Calcs!AF$1402)/12)=(Calcs!$I1433-Calcs!AF$1402)/12,Calcs!AF1433,0))))</f>
        <v>0</v>
      </c>
      <c r="AA563" s="239">
        <f>IF(OR(Calcs!$J$1402=Calcs!$I1433,Calcs!$I1433&gt;AA$61),0,IF(OR(AA$63="Monthly",AA$63=""),Calcs!AG1433,IF(AND(AA$63="Quarterly",INT((Calcs!$I1433-Calcs!AG$1402)/3)=(Calcs!$I1433-Calcs!AG$1402)/3),Calcs!AG1433,IF(INT((Calcs!$I1433-Calcs!AG$1402)/12)=(Calcs!$I1433-Calcs!AG$1402)/12,Calcs!AG1433,0))))</f>
        <v>0</v>
      </c>
      <c r="AB563" s="239">
        <f>IF(OR(Calcs!$J$1402=Calcs!$I1433,Calcs!$I1433&gt;AB$61),0,IF(OR(AB$63="Monthly",AB$63=""),Calcs!AH1433,IF(AND(AB$63="Quarterly",INT((Calcs!$I1433-Calcs!AH$1402)/3)=(Calcs!$I1433-Calcs!AH$1402)/3),Calcs!AH1433,IF(INT((Calcs!$I1433-Calcs!AH$1402)/12)=(Calcs!$I1433-Calcs!AH$1402)/12,Calcs!AH1433,0))))</f>
        <v>0</v>
      </c>
      <c r="CH563" s="269"/>
      <c r="CI563" s="269"/>
      <c r="CJ563" s="269"/>
      <c r="CK563" s="269"/>
      <c r="CL563" s="269"/>
      <c r="CM563" s="269"/>
      <c r="CN563" s="269"/>
      <c r="CO563" s="269"/>
      <c r="CP563" s="269"/>
      <c r="CQ563" s="269"/>
      <c r="CR563" s="269"/>
      <c r="CS563" s="269"/>
    </row>
    <row r="564" spans="1:97" ht="12" customHeight="1" x14ac:dyDescent="0.3">
      <c r="A564" s="5"/>
      <c r="B564" s="5"/>
      <c r="C564" s="495">
        <f>C501</f>
        <v>882</v>
      </c>
      <c r="D564" s="237">
        <f>IF(OR(Calcs!$J$1402=Calcs!$I1434,Calcs!$I1434&gt;D$61),0,IF(OR(D$63="Monthly",D$63=""),Calcs!J1434,IF(AND(D$63="Quarterly",INT((Calcs!$I1434-Calcs!J$1402)/3)=(Calcs!$I1434-Calcs!J$1402)/3),Calcs!J1434,IF(INT((Calcs!$I1434-Calcs!J$1402)/12)=(Calcs!$I1434-Calcs!J$1402)/12,Calcs!J1434,0))))</f>
        <v>0</v>
      </c>
      <c r="E564" s="239">
        <f>IF(OR(Calcs!$J$1402=Calcs!$I1434,Calcs!$I1434&gt;E$61),0,IF(OR(E$63="Monthly",E$63=""),Calcs!K1434,IF(AND(E$63="Quarterly",INT((Calcs!$I1434-Calcs!K$1402)/3)=(Calcs!$I1434-Calcs!K$1402)/3),Calcs!K1434,IF(INT((Calcs!$I1434-Calcs!K$1402)/12)=(Calcs!$I1434-Calcs!K$1402)/12,Calcs!K1434,0))))</f>
        <v>0</v>
      </c>
      <c r="F564" s="239">
        <f>IF(OR(Calcs!$J$1402=Calcs!$I1434,Calcs!$I1434&gt;F$61),0,IF(OR(F$63="Monthly",F$63=""),Calcs!L1434,IF(AND(F$63="Quarterly",INT((Calcs!$I1434-Calcs!L$1402)/3)=(Calcs!$I1434-Calcs!L$1402)/3),Calcs!L1434,IF(INT((Calcs!$I1434-Calcs!L$1402)/12)=(Calcs!$I1434-Calcs!L$1402)/12,Calcs!L1434,0))))</f>
        <v>0</v>
      </c>
      <c r="G564" s="239">
        <f>IF(OR(Calcs!$J$1402=Calcs!$I1434,Calcs!$I1434&gt;G$61),0,IF(OR(G$63="Monthly",G$63=""),Calcs!M1434,IF(AND(G$63="Quarterly",INT((Calcs!$I1434-Calcs!M$1402)/3)=(Calcs!$I1434-Calcs!M$1402)/3),Calcs!M1434,IF(INT((Calcs!$I1434-Calcs!M$1402)/12)=(Calcs!$I1434-Calcs!M$1402)/12,Calcs!M1434,0))))</f>
        <v>0</v>
      </c>
      <c r="H564" s="239">
        <f>IF(OR(Calcs!$J$1402=Calcs!$I1434,Calcs!$I1434&gt;H$61),0,IF(OR(H$63="Monthly",H$63=""),Calcs!N1434,IF(AND(H$63="Quarterly",INT((Calcs!$I1434-Calcs!N$1402)/3)=(Calcs!$I1434-Calcs!N$1402)/3),Calcs!N1434,IF(INT((Calcs!$I1434-Calcs!N$1402)/12)=(Calcs!$I1434-Calcs!N$1402)/12,Calcs!N1434,0))))</f>
        <v>0</v>
      </c>
      <c r="I564" s="239">
        <f>IF(OR(Calcs!$J$1402=Calcs!$I1434,Calcs!$I1434&gt;I$61),0,IF(OR(I$63="Monthly",I$63=""),Calcs!O1434,IF(AND(I$63="Quarterly",INT((Calcs!$I1434-Calcs!O$1402)/3)=(Calcs!$I1434-Calcs!O$1402)/3),Calcs!O1434,IF(INT((Calcs!$I1434-Calcs!O$1402)/12)=(Calcs!$I1434-Calcs!O$1402)/12,Calcs!O1434,0))))</f>
        <v>0</v>
      </c>
      <c r="J564" s="239">
        <f>IF(OR(Calcs!$J$1402=Calcs!$I1434,Calcs!$I1434&gt;J$61),0,IF(OR(J$63="Monthly",J$63=""),Calcs!P1434,IF(AND(J$63="Quarterly",INT((Calcs!$I1434-Calcs!P$1402)/3)=(Calcs!$I1434-Calcs!P$1402)/3),Calcs!P1434,IF(INT((Calcs!$I1434-Calcs!P$1402)/12)=(Calcs!$I1434-Calcs!P$1402)/12,Calcs!P1434,0))))</f>
        <v>0</v>
      </c>
      <c r="K564" s="239">
        <f>IF(OR(Calcs!$J$1402=Calcs!$I1434,Calcs!$I1434&gt;K$61),0,IF(OR(K$63="Monthly",K$63=""),Calcs!Q1434,IF(AND(K$63="Quarterly",INT((Calcs!$I1434-Calcs!Q$1402)/3)=(Calcs!$I1434-Calcs!Q$1402)/3),Calcs!Q1434,IF(INT((Calcs!$I1434-Calcs!Q$1402)/12)=(Calcs!$I1434-Calcs!Q$1402)/12,Calcs!Q1434,0))))</f>
        <v>0</v>
      </c>
      <c r="L564" s="239">
        <f>IF(OR(Calcs!$J$1402=Calcs!$I1434,Calcs!$I1434&gt;L$61),0,IF(OR(L$63="Monthly",L$63=""),Calcs!R1434,IF(AND(L$63="Quarterly",INT((Calcs!$I1434-Calcs!R$1402)/3)=(Calcs!$I1434-Calcs!R$1402)/3),Calcs!R1434,IF(INT((Calcs!$I1434-Calcs!R$1402)/12)=(Calcs!$I1434-Calcs!R$1402)/12,Calcs!R1434,0))))</f>
        <v>0</v>
      </c>
      <c r="M564" s="239">
        <f>IF(OR(Calcs!$J$1402=Calcs!$I1434,Calcs!$I1434&gt;M$61),0,IF(OR(M$63="Monthly",M$63=""),Calcs!S1434,IF(AND(M$63="Quarterly",INT((Calcs!$I1434-Calcs!S$1402)/3)=(Calcs!$I1434-Calcs!S$1402)/3),Calcs!S1434,IF(INT((Calcs!$I1434-Calcs!S$1402)/12)=(Calcs!$I1434-Calcs!S$1402)/12,Calcs!S1434,0))))</f>
        <v>0</v>
      </c>
      <c r="N564" s="239">
        <f>IF(OR(Calcs!$J$1402=Calcs!$I1434,Calcs!$I1434&gt;N$61),0,IF(OR(N$63="Monthly",N$63=""),Calcs!T1434,IF(AND(N$63="Quarterly",INT((Calcs!$I1434-Calcs!T$1402)/3)=(Calcs!$I1434-Calcs!T$1402)/3),Calcs!T1434,IF(INT((Calcs!$I1434-Calcs!T$1402)/12)=(Calcs!$I1434-Calcs!T$1402)/12,Calcs!T1434,0))))</f>
        <v>0</v>
      </c>
      <c r="O564" s="239">
        <f>IF(OR(Calcs!$J$1402=Calcs!$I1434,Calcs!$I1434&gt;O$61),0,IF(OR(O$63="Monthly",O$63=""),Calcs!U1434,IF(AND(O$63="Quarterly",INT((Calcs!$I1434-Calcs!U$1402)/3)=(Calcs!$I1434-Calcs!U$1402)/3),Calcs!U1434,IF(INT((Calcs!$I1434-Calcs!U$1402)/12)=(Calcs!$I1434-Calcs!U$1402)/12,Calcs!U1434,0))))</f>
        <v>0</v>
      </c>
      <c r="P564" s="239">
        <f>IF(OR(Calcs!$J$1402=Calcs!$I1434,Calcs!$I1434&gt;P$61),0,IF(OR(P$63="Monthly",P$63=""),Calcs!V1434,IF(AND(P$63="Quarterly",INT((Calcs!$I1434-Calcs!V$1402)/3)=(Calcs!$I1434-Calcs!V$1402)/3),Calcs!V1434,IF(INT((Calcs!$I1434-Calcs!V$1402)/12)=(Calcs!$I1434-Calcs!V$1402)/12,Calcs!V1434,0))))</f>
        <v>0</v>
      </c>
      <c r="Q564" s="239">
        <f>IF(OR(Calcs!$J$1402=Calcs!$I1434,Calcs!$I1434&gt;Q$61),0,IF(OR(Q$63="Monthly",Q$63=""),Calcs!W1434,IF(AND(Q$63="Quarterly",INT((Calcs!$I1434-Calcs!W$1402)/3)=(Calcs!$I1434-Calcs!W$1402)/3),Calcs!W1434,IF(INT((Calcs!$I1434-Calcs!W$1402)/12)=(Calcs!$I1434-Calcs!W$1402)/12,Calcs!W1434,0))))</f>
        <v>0</v>
      </c>
      <c r="R564" s="239">
        <f>IF(OR(Calcs!$J$1402=Calcs!$I1434,Calcs!$I1434&gt;R$61),0,IF(OR(R$63="Monthly",R$63=""),Calcs!X1434,IF(AND(R$63="Quarterly",INT((Calcs!$I1434-Calcs!X$1402)/3)=(Calcs!$I1434-Calcs!X$1402)/3),Calcs!X1434,IF(INT((Calcs!$I1434-Calcs!X$1402)/12)=(Calcs!$I1434-Calcs!X$1402)/12,Calcs!X1434,0))))</f>
        <v>0</v>
      </c>
      <c r="S564" s="239">
        <f>IF(OR(Calcs!$J$1402=Calcs!$I1434,Calcs!$I1434&gt;S$61),0,IF(OR(S$63="Monthly",S$63=""),Calcs!Y1434,IF(AND(S$63="Quarterly",INT((Calcs!$I1434-Calcs!Y$1402)/3)=(Calcs!$I1434-Calcs!Y$1402)/3),Calcs!Y1434,IF(INT((Calcs!$I1434-Calcs!Y$1402)/12)=(Calcs!$I1434-Calcs!Y$1402)/12,Calcs!Y1434,0))))</f>
        <v>0</v>
      </c>
      <c r="T564" s="239">
        <f>IF(OR(Calcs!$J$1402=Calcs!$I1434,Calcs!$I1434&gt;T$61),0,IF(OR(T$63="Monthly",T$63=""),Calcs!Z1434,IF(AND(T$63="Quarterly",INT((Calcs!$I1434-Calcs!Z$1402)/3)=(Calcs!$I1434-Calcs!Z$1402)/3),Calcs!Z1434,IF(INT((Calcs!$I1434-Calcs!Z$1402)/12)=(Calcs!$I1434-Calcs!Z$1402)/12,Calcs!Z1434,0))))</f>
        <v>0</v>
      </c>
      <c r="U564" s="239">
        <f>IF(OR(Calcs!$J$1402=Calcs!$I1434,Calcs!$I1434&gt;U$61),0,IF(OR(U$63="Monthly",U$63=""),Calcs!AA1434,IF(AND(U$63="Quarterly",INT((Calcs!$I1434-Calcs!AA$1402)/3)=(Calcs!$I1434-Calcs!AA$1402)/3),Calcs!AA1434,IF(INT((Calcs!$I1434-Calcs!AA$1402)/12)=(Calcs!$I1434-Calcs!AA$1402)/12,Calcs!AA1434,0))))</f>
        <v>0</v>
      </c>
      <c r="V564" s="239">
        <f>IF(OR(Calcs!$J$1402=Calcs!$I1434,Calcs!$I1434&gt;V$61),0,IF(OR(V$63="Monthly",V$63=""),Calcs!AB1434,IF(AND(V$63="Quarterly",INT((Calcs!$I1434-Calcs!AB$1402)/3)=(Calcs!$I1434-Calcs!AB$1402)/3),Calcs!AB1434,IF(INT((Calcs!$I1434-Calcs!AB$1402)/12)=(Calcs!$I1434-Calcs!AB$1402)/12,Calcs!AB1434,0))))</f>
        <v>0</v>
      </c>
      <c r="W564" s="239">
        <f>IF(OR(Calcs!$J$1402=Calcs!$I1434,Calcs!$I1434&gt;W$61),0,IF(OR(W$63="Monthly",W$63=""),Calcs!AC1434,IF(AND(W$63="Quarterly",INT((Calcs!$I1434-Calcs!AC$1402)/3)=(Calcs!$I1434-Calcs!AC$1402)/3),Calcs!AC1434,IF(INT((Calcs!$I1434-Calcs!AC$1402)/12)=(Calcs!$I1434-Calcs!AC$1402)/12,Calcs!AC1434,0))))</f>
        <v>0</v>
      </c>
      <c r="X564" s="239">
        <f>IF(OR(Calcs!$J$1402=Calcs!$I1434,Calcs!$I1434&gt;X$61),0,IF(OR(X$63="Monthly",X$63=""),Calcs!AD1434,IF(AND(X$63="Quarterly",INT((Calcs!$I1434-Calcs!AD$1402)/3)=(Calcs!$I1434-Calcs!AD$1402)/3),Calcs!AD1434,IF(INT((Calcs!$I1434-Calcs!AD$1402)/12)=(Calcs!$I1434-Calcs!AD$1402)/12,Calcs!AD1434,0))))</f>
        <v>0</v>
      </c>
      <c r="Y564" s="239">
        <f>IF(OR(Calcs!$J$1402=Calcs!$I1434,Calcs!$I1434&gt;Y$61),0,IF(OR(Y$63="Monthly",Y$63=""),Calcs!AE1434,IF(AND(Y$63="Quarterly",INT((Calcs!$I1434-Calcs!AE$1402)/3)=(Calcs!$I1434-Calcs!AE$1402)/3),Calcs!AE1434,IF(INT((Calcs!$I1434-Calcs!AE$1402)/12)=(Calcs!$I1434-Calcs!AE$1402)/12,Calcs!AE1434,0))))</f>
        <v>0</v>
      </c>
      <c r="Z564" s="239">
        <f>IF(OR(Calcs!$J$1402=Calcs!$I1434,Calcs!$I1434&gt;Z$61),0,IF(OR(Z$63="Monthly",Z$63=""),Calcs!AF1434,IF(AND(Z$63="Quarterly",INT((Calcs!$I1434-Calcs!AF$1402)/3)=(Calcs!$I1434-Calcs!AF$1402)/3),Calcs!AF1434,IF(INT((Calcs!$I1434-Calcs!AF$1402)/12)=(Calcs!$I1434-Calcs!AF$1402)/12,Calcs!AF1434,0))))</f>
        <v>0</v>
      </c>
      <c r="AA564" s="239">
        <f>IF(OR(Calcs!$J$1402=Calcs!$I1434,Calcs!$I1434&gt;AA$61),0,IF(OR(AA$63="Monthly",AA$63=""),Calcs!AG1434,IF(AND(AA$63="Quarterly",INT((Calcs!$I1434-Calcs!AG$1402)/3)=(Calcs!$I1434-Calcs!AG$1402)/3),Calcs!AG1434,IF(INT((Calcs!$I1434-Calcs!AG$1402)/12)=(Calcs!$I1434-Calcs!AG$1402)/12,Calcs!AG1434,0))))</f>
        <v>0</v>
      </c>
      <c r="AB564" s="239">
        <f>IF(OR(Calcs!$J$1402=Calcs!$I1434,Calcs!$I1434&gt;AB$61),0,IF(OR(AB$63="Monthly",AB$63=""),Calcs!AH1434,IF(AND(AB$63="Quarterly",INT((Calcs!$I1434-Calcs!AH$1402)/3)=(Calcs!$I1434-Calcs!AH$1402)/3),Calcs!AH1434,IF(INT((Calcs!$I1434-Calcs!AH$1402)/12)=(Calcs!$I1434-Calcs!AH$1402)/12,Calcs!AH1434,0))))</f>
        <v>0</v>
      </c>
      <c r="CH564" s="269"/>
      <c r="CI564" s="269"/>
      <c r="CJ564" s="269"/>
      <c r="CK564" s="269"/>
      <c r="CL564" s="269"/>
      <c r="CM564" s="269"/>
      <c r="CN564" s="269"/>
      <c r="CO564" s="269"/>
      <c r="CP564" s="269"/>
      <c r="CQ564" s="269"/>
      <c r="CR564" s="269"/>
      <c r="CS564" s="269"/>
    </row>
    <row r="565" spans="1:97" x14ac:dyDescent="0.3">
      <c r="A565" s="5"/>
      <c r="B565" s="5"/>
      <c r="C565" s="495">
        <f>C502</f>
        <v>912</v>
      </c>
      <c r="D565" s="237">
        <f>IF(OR(Calcs!$J$1402=Calcs!$I1435,Calcs!$I1435&gt;D$61),0,IF(OR(D$63="Monthly",D$63=""),Calcs!J1435,IF(AND(D$63="Quarterly",INT((Calcs!$I1435-Calcs!J$1402)/3)=(Calcs!$I1435-Calcs!J$1402)/3),Calcs!J1435,IF(INT((Calcs!$I1435-Calcs!J$1402)/12)=(Calcs!$I1435-Calcs!J$1402)/12,Calcs!J1435,0))))</f>
        <v>0</v>
      </c>
      <c r="E565" s="239">
        <f>IF(OR(Calcs!$J$1402=Calcs!$I1435,Calcs!$I1435&gt;E$61),0,IF(OR(E$63="Monthly",E$63=""),Calcs!K1435,IF(AND(E$63="Quarterly",INT((Calcs!$I1435-Calcs!K$1402)/3)=(Calcs!$I1435-Calcs!K$1402)/3),Calcs!K1435,IF(INT((Calcs!$I1435-Calcs!K$1402)/12)=(Calcs!$I1435-Calcs!K$1402)/12,Calcs!K1435,0))))</f>
        <v>0</v>
      </c>
      <c r="F565" s="239">
        <f>IF(OR(Calcs!$J$1402=Calcs!$I1435,Calcs!$I1435&gt;F$61),0,IF(OR(F$63="Monthly",F$63=""),Calcs!L1435,IF(AND(F$63="Quarterly",INT((Calcs!$I1435-Calcs!L$1402)/3)=(Calcs!$I1435-Calcs!L$1402)/3),Calcs!L1435,IF(INT((Calcs!$I1435-Calcs!L$1402)/12)=(Calcs!$I1435-Calcs!L$1402)/12,Calcs!L1435,0))))</f>
        <v>0</v>
      </c>
      <c r="G565" s="239">
        <f>IF(OR(Calcs!$J$1402=Calcs!$I1435,Calcs!$I1435&gt;G$61),0,IF(OR(G$63="Monthly",G$63=""),Calcs!M1435,IF(AND(G$63="Quarterly",INT((Calcs!$I1435-Calcs!M$1402)/3)=(Calcs!$I1435-Calcs!M$1402)/3),Calcs!M1435,IF(INT((Calcs!$I1435-Calcs!M$1402)/12)=(Calcs!$I1435-Calcs!M$1402)/12,Calcs!M1435,0))))</f>
        <v>0</v>
      </c>
      <c r="H565" s="239">
        <f>IF(OR(Calcs!$J$1402=Calcs!$I1435,Calcs!$I1435&gt;H$61),0,IF(OR(H$63="Monthly",H$63=""),Calcs!N1435,IF(AND(H$63="Quarterly",INT((Calcs!$I1435-Calcs!N$1402)/3)=(Calcs!$I1435-Calcs!N$1402)/3),Calcs!N1435,IF(INT((Calcs!$I1435-Calcs!N$1402)/12)=(Calcs!$I1435-Calcs!N$1402)/12,Calcs!N1435,0))))</f>
        <v>0</v>
      </c>
      <c r="I565" s="239">
        <f>IF(OR(Calcs!$J$1402=Calcs!$I1435,Calcs!$I1435&gt;I$61),0,IF(OR(I$63="Monthly",I$63=""),Calcs!O1435,IF(AND(I$63="Quarterly",INT((Calcs!$I1435-Calcs!O$1402)/3)=(Calcs!$I1435-Calcs!O$1402)/3),Calcs!O1435,IF(INT((Calcs!$I1435-Calcs!O$1402)/12)=(Calcs!$I1435-Calcs!O$1402)/12,Calcs!O1435,0))))</f>
        <v>0</v>
      </c>
      <c r="J565" s="239">
        <f>IF(OR(Calcs!$J$1402=Calcs!$I1435,Calcs!$I1435&gt;J$61),0,IF(OR(J$63="Monthly",J$63=""),Calcs!P1435,IF(AND(J$63="Quarterly",INT((Calcs!$I1435-Calcs!P$1402)/3)=(Calcs!$I1435-Calcs!P$1402)/3),Calcs!P1435,IF(INT((Calcs!$I1435-Calcs!P$1402)/12)=(Calcs!$I1435-Calcs!P$1402)/12,Calcs!P1435,0))))</f>
        <v>0</v>
      </c>
      <c r="K565" s="239">
        <f>IF(OR(Calcs!$J$1402=Calcs!$I1435,Calcs!$I1435&gt;K$61),0,IF(OR(K$63="Monthly",K$63=""),Calcs!Q1435,IF(AND(K$63="Quarterly",INT((Calcs!$I1435-Calcs!Q$1402)/3)=(Calcs!$I1435-Calcs!Q$1402)/3),Calcs!Q1435,IF(INT((Calcs!$I1435-Calcs!Q$1402)/12)=(Calcs!$I1435-Calcs!Q$1402)/12,Calcs!Q1435,0))))</f>
        <v>0</v>
      </c>
      <c r="L565" s="239">
        <f>IF(OR(Calcs!$J$1402=Calcs!$I1435,Calcs!$I1435&gt;L$61),0,IF(OR(L$63="Monthly",L$63=""),Calcs!R1435,IF(AND(L$63="Quarterly",INT((Calcs!$I1435-Calcs!R$1402)/3)=(Calcs!$I1435-Calcs!R$1402)/3),Calcs!R1435,IF(INT((Calcs!$I1435-Calcs!R$1402)/12)=(Calcs!$I1435-Calcs!R$1402)/12,Calcs!R1435,0))))</f>
        <v>0</v>
      </c>
      <c r="M565" s="239">
        <f>IF(OR(Calcs!$J$1402=Calcs!$I1435,Calcs!$I1435&gt;M$61),0,IF(OR(M$63="Monthly",M$63=""),Calcs!S1435,IF(AND(M$63="Quarterly",INT((Calcs!$I1435-Calcs!S$1402)/3)=(Calcs!$I1435-Calcs!S$1402)/3),Calcs!S1435,IF(INT((Calcs!$I1435-Calcs!S$1402)/12)=(Calcs!$I1435-Calcs!S$1402)/12,Calcs!S1435,0))))</f>
        <v>0</v>
      </c>
      <c r="N565" s="239">
        <f>IF(OR(Calcs!$J$1402=Calcs!$I1435,Calcs!$I1435&gt;N$61),0,IF(OR(N$63="Monthly",N$63=""),Calcs!T1435,IF(AND(N$63="Quarterly",INT((Calcs!$I1435-Calcs!T$1402)/3)=(Calcs!$I1435-Calcs!T$1402)/3),Calcs!T1435,IF(INT((Calcs!$I1435-Calcs!T$1402)/12)=(Calcs!$I1435-Calcs!T$1402)/12,Calcs!T1435,0))))</f>
        <v>0</v>
      </c>
      <c r="O565" s="239">
        <f>IF(OR(Calcs!$J$1402=Calcs!$I1435,Calcs!$I1435&gt;O$61),0,IF(OR(O$63="Monthly",O$63=""),Calcs!U1435,IF(AND(O$63="Quarterly",INT((Calcs!$I1435-Calcs!U$1402)/3)=(Calcs!$I1435-Calcs!U$1402)/3),Calcs!U1435,IF(INT((Calcs!$I1435-Calcs!U$1402)/12)=(Calcs!$I1435-Calcs!U$1402)/12,Calcs!U1435,0))))</f>
        <v>0</v>
      </c>
      <c r="P565" s="239">
        <f>IF(OR(Calcs!$J$1402=Calcs!$I1435,Calcs!$I1435&gt;P$61),0,IF(OR(P$63="Monthly",P$63=""),Calcs!V1435,IF(AND(P$63="Quarterly",INT((Calcs!$I1435-Calcs!V$1402)/3)=(Calcs!$I1435-Calcs!V$1402)/3),Calcs!V1435,IF(INT((Calcs!$I1435-Calcs!V$1402)/12)=(Calcs!$I1435-Calcs!V$1402)/12,Calcs!V1435,0))))</f>
        <v>0</v>
      </c>
      <c r="Q565" s="239">
        <f>IF(OR(Calcs!$J$1402=Calcs!$I1435,Calcs!$I1435&gt;Q$61),0,IF(OR(Q$63="Monthly",Q$63=""),Calcs!W1435,IF(AND(Q$63="Quarterly",INT((Calcs!$I1435-Calcs!W$1402)/3)=(Calcs!$I1435-Calcs!W$1402)/3),Calcs!W1435,IF(INT((Calcs!$I1435-Calcs!W$1402)/12)=(Calcs!$I1435-Calcs!W$1402)/12,Calcs!W1435,0))))</f>
        <v>0</v>
      </c>
      <c r="R565" s="239">
        <f>IF(OR(Calcs!$J$1402=Calcs!$I1435,Calcs!$I1435&gt;R$61),0,IF(OR(R$63="Monthly",R$63=""),Calcs!X1435,IF(AND(R$63="Quarterly",INT((Calcs!$I1435-Calcs!X$1402)/3)=(Calcs!$I1435-Calcs!X$1402)/3),Calcs!X1435,IF(INT((Calcs!$I1435-Calcs!X$1402)/12)=(Calcs!$I1435-Calcs!X$1402)/12,Calcs!X1435,0))))</f>
        <v>0</v>
      </c>
      <c r="S565" s="239">
        <f>IF(OR(Calcs!$J$1402=Calcs!$I1435,Calcs!$I1435&gt;S$61),0,IF(OR(S$63="Monthly",S$63=""),Calcs!Y1435,IF(AND(S$63="Quarterly",INT((Calcs!$I1435-Calcs!Y$1402)/3)=(Calcs!$I1435-Calcs!Y$1402)/3),Calcs!Y1435,IF(INT((Calcs!$I1435-Calcs!Y$1402)/12)=(Calcs!$I1435-Calcs!Y$1402)/12,Calcs!Y1435,0))))</f>
        <v>0</v>
      </c>
      <c r="T565" s="239">
        <f>IF(OR(Calcs!$J$1402=Calcs!$I1435,Calcs!$I1435&gt;T$61),0,IF(OR(T$63="Monthly",T$63=""),Calcs!Z1435,IF(AND(T$63="Quarterly",INT((Calcs!$I1435-Calcs!Z$1402)/3)=(Calcs!$I1435-Calcs!Z$1402)/3),Calcs!Z1435,IF(INT((Calcs!$I1435-Calcs!Z$1402)/12)=(Calcs!$I1435-Calcs!Z$1402)/12,Calcs!Z1435,0))))</f>
        <v>0</v>
      </c>
      <c r="U565" s="239">
        <f>IF(OR(Calcs!$J$1402=Calcs!$I1435,Calcs!$I1435&gt;U$61),0,IF(OR(U$63="Monthly",U$63=""),Calcs!AA1435,IF(AND(U$63="Quarterly",INT((Calcs!$I1435-Calcs!AA$1402)/3)=(Calcs!$I1435-Calcs!AA$1402)/3),Calcs!AA1435,IF(INT((Calcs!$I1435-Calcs!AA$1402)/12)=(Calcs!$I1435-Calcs!AA$1402)/12,Calcs!AA1435,0))))</f>
        <v>0</v>
      </c>
      <c r="V565" s="239">
        <f>IF(OR(Calcs!$J$1402=Calcs!$I1435,Calcs!$I1435&gt;V$61),0,IF(OR(V$63="Monthly",V$63=""),Calcs!AB1435,IF(AND(V$63="Quarterly",INT((Calcs!$I1435-Calcs!AB$1402)/3)=(Calcs!$I1435-Calcs!AB$1402)/3),Calcs!AB1435,IF(INT((Calcs!$I1435-Calcs!AB$1402)/12)=(Calcs!$I1435-Calcs!AB$1402)/12,Calcs!AB1435,0))))</f>
        <v>0</v>
      </c>
      <c r="W565" s="239">
        <f>IF(OR(Calcs!$J$1402=Calcs!$I1435,Calcs!$I1435&gt;W$61),0,IF(OR(W$63="Monthly",W$63=""),Calcs!AC1435,IF(AND(W$63="Quarterly",INT((Calcs!$I1435-Calcs!AC$1402)/3)=(Calcs!$I1435-Calcs!AC$1402)/3),Calcs!AC1435,IF(INT((Calcs!$I1435-Calcs!AC$1402)/12)=(Calcs!$I1435-Calcs!AC$1402)/12,Calcs!AC1435,0))))</f>
        <v>0</v>
      </c>
      <c r="X565" s="239">
        <f>IF(OR(Calcs!$J$1402=Calcs!$I1435,Calcs!$I1435&gt;X$61),0,IF(OR(X$63="Monthly",X$63=""),Calcs!AD1435,IF(AND(X$63="Quarterly",INT((Calcs!$I1435-Calcs!AD$1402)/3)=(Calcs!$I1435-Calcs!AD$1402)/3),Calcs!AD1435,IF(INT((Calcs!$I1435-Calcs!AD$1402)/12)=(Calcs!$I1435-Calcs!AD$1402)/12,Calcs!AD1435,0))))</f>
        <v>0</v>
      </c>
      <c r="Y565" s="239">
        <f>IF(OR(Calcs!$J$1402=Calcs!$I1435,Calcs!$I1435&gt;Y$61),0,IF(OR(Y$63="Monthly",Y$63=""),Calcs!AE1435,IF(AND(Y$63="Quarterly",INT((Calcs!$I1435-Calcs!AE$1402)/3)=(Calcs!$I1435-Calcs!AE$1402)/3),Calcs!AE1435,IF(INT((Calcs!$I1435-Calcs!AE$1402)/12)=(Calcs!$I1435-Calcs!AE$1402)/12,Calcs!AE1435,0))))</f>
        <v>0</v>
      </c>
      <c r="Z565" s="239">
        <f>IF(OR(Calcs!$J$1402=Calcs!$I1435,Calcs!$I1435&gt;Z$61),0,IF(OR(Z$63="Monthly",Z$63=""),Calcs!AF1435,IF(AND(Z$63="Quarterly",INT((Calcs!$I1435-Calcs!AF$1402)/3)=(Calcs!$I1435-Calcs!AF$1402)/3),Calcs!AF1435,IF(INT((Calcs!$I1435-Calcs!AF$1402)/12)=(Calcs!$I1435-Calcs!AF$1402)/12,Calcs!AF1435,0))))</f>
        <v>0</v>
      </c>
      <c r="AA565" s="239">
        <f>IF(OR(Calcs!$J$1402=Calcs!$I1435,Calcs!$I1435&gt;AA$61),0,IF(OR(AA$63="Monthly",AA$63=""),Calcs!AG1435,IF(AND(AA$63="Quarterly",INT((Calcs!$I1435-Calcs!AG$1402)/3)=(Calcs!$I1435-Calcs!AG$1402)/3),Calcs!AG1435,IF(INT((Calcs!$I1435-Calcs!AG$1402)/12)=(Calcs!$I1435-Calcs!AG$1402)/12,Calcs!AG1435,0))))</f>
        <v>0</v>
      </c>
      <c r="AB565" s="239">
        <f>IF(OR(Calcs!$J$1402=Calcs!$I1435,Calcs!$I1435&gt;AB$61),0,IF(OR(AB$63="Monthly",AB$63=""),Calcs!AH1435,IF(AND(AB$63="Quarterly",INT((Calcs!$I1435-Calcs!AH$1402)/3)=(Calcs!$I1435-Calcs!AH$1402)/3),Calcs!AH1435,IF(INT((Calcs!$I1435-Calcs!AH$1402)/12)=(Calcs!$I1435-Calcs!AH$1402)/12,Calcs!AH1435,0))))</f>
        <v>0</v>
      </c>
      <c r="CH565" s="269"/>
      <c r="CI565" s="269"/>
      <c r="CJ565" s="269"/>
      <c r="CK565" s="269"/>
      <c r="CL565" s="269"/>
      <c r="CM565" s="269"/>
      <c r="CN565" s="269"/>
      <c r="CO565" s="269"/>
      <c r="CP565" s="269"/>
      <c r="CQ565" s="269"/>
      <c r="CR565" s="269"/>
      <c r="CS565" s="269"/>
    </row>
    <row r="566" spans="1:97" x14ac:dyDescent="0.3">
      <c r="A566" s="5"/>
      <c r="B566" s="5"/>
      <c r="C566" s="495">
        <f>C503</f>
        <v>943</v>
      </c>
      <c r="D566" s="237">
        <f>IF(OR(Calcs!$J$1402=Calcs!$I1436,Calcs!$I1436&gt;D$61),0,IF(OR(D$63="Monthly",D$63=""),Calcs!J1436,IF(AND(D$63="Quarterly",INT((Calcs!$I1436-Calcs!J$1402)/3)=(Calcs!$I1436-Calcs!J$1402)/3),Calcs!J1436,IF(INT((Calcs!$I1436-Calcs!J$1402)/12)=(Calcs!$I1436-Calcs!J$1402)/12,Calcs!J1436,0))))</f>
        <v>0</v>
      </c>
      <c r="E566" s="239">
        <f>IF(OR(Calcs!$J$1402=Calcs!$I1436,Calcs!$I1436&gt;E$61),0,IF(OR(E$63="Monthly",E$63=""),Calcs!K1436,IF(AND(E$63="Quarterly",INT((Calcs!$I1436-Calcs!K$1402)/3)=(Calcs!$I1436-Calcs!K$1402)/3),Calcs!K1436,IF(INT((Calcs!$I1436-Calcs!K$1402)/12)=(Calcs!$I1436-Calcs!K$1402)/12,Calcs!K1436,0))))</f>
        <v>0</v>
      </c>
      <c r="F566" s="239">
        <f>IF(OR(Calcs!$J$1402=Calcs!$I1436,Calcs!$I1436&gt;F$61),0,IF(OR(F$63="Monthly",F$63=""),Calcs!L1436,IF(AND(F$63="Quarterly",INT((Calcs!$I1436-Calcs!L$1402)/3)=(Calcs!$I1436-Calcs!L$1402)/3),Calcs!L1436,IF(INT((Calcs!$I1436-Calcs!L$1402)/12)=(Calcs!$I1436-Calcs!L$1402)/12,Calcs!L1436,0))))</f>
        <v>0</v>
      </c>
      <c r="G566" s="239">
        <f>IF(OR(Calcs!$J$1402=Calcs!$I1436,Calcs!$I1436&gt;G$61),0,IF(OR(G$63="Monthly",G$63=""),Calcs!M1436,IF(AND(G$63="Quarterly",INT((Calcs!$I1436-Calcs!M$1402)/3)=(Calcs!$I1436-Calcs!M$1402)/3),Calcs!M1436,IF(INT((Calcs!$I1436-Calcs!M$1402)/12)=(Calcs!$I1436-Calcs!M$1402)/12,Calcs!M1436,0))))</f>
        <v>0</v>
      </c>
      <c r="H566" s="239">
        <f>IF(OR(Calcs!$J$1402=Calcs!$I1436,Calcs!$I1436&gt;H$61),0,IF(OR(H$63="Monthly",H$63=""),Calcs!N1436,IF(AND(H$63="Quarterly",INT((Calcs!$I1436-Calcs!N$1402)/3)=(Calcs!$I1436-Calcs!N$1402)/3),Calcs!N1436,IF(INT((Calcs!$I1436-Calcs!N$1402)/12)=(Calcs!$I1436-Calcs!N$1402)/12,Calcs!N1436,0))))</f>
        <v>0</v>
      </c>
      <c r="I566" s="239">
        <f>IF(OR(Calcs!$J$1402=Calcs!$I1436,Calcs!$I1436&gt;I$61),0,IF(OR(I$63="Monthly",I$63=""),Calcs!O1436,IF(AND(I$63="Quarterly",INT((Calcs!$I1436-Calcs!O$1402)/3)=(Calcs!$I1436-Calcs!O$1402)/3),Calcs!O1436,IF(INT((Calcs!$I1436-Calcs!O$1402)/12)=(Calcs!$I1436-Calcs!O$1402)/12,Calcs!O1436,0))))</f>
        <v>0</v>
      </c>
      <c r="J566" s="239">
        <f>IF(OR(Calcs!$J$1402=Calcs!$I1436,Calcs!$I1436&gt;J$61),0,IF(OR(J$63="Monthly",J$63=""),Calcs!P1436,IF(AND(J$63="Quarterly",INT((Calcs!$I1436-Calcs!P$1402)/3)=(Calcs!$I1436-Calcs!P$1402)/3),Calcs!P1436,IF(INT((Calcs!$I1436-Calcs!P$1402)/12)=(Calcs!$I1436-Calcs!P$1402)/12,Calcs!P1436,0))))</f>
        <v>0</v>
      </c>
      <c r="K566" s="239">
        <f>IF(OR(Calcs!$J$1402=Calcs!$I1436,Calcs!$I1436&gt;K$61),0,IF(OR(K$63="Monthly",K$63=""),Calcs!Q1436,IF(AND(K$63="Quarterly",INT((Calcs!$I1436-Calcs!Q$1402)/3)=(Calcs!$I1436-Calcs!Q$1402)/3),Calcs!Q1436,IF(INT((Calcs!$I1436-Calcs!Q$1402)/12)=(Calcs!$I1436-Calcs!Q$1402)/12,Calcs!Q1436,0))))</f>
        <v>0</v>
      </c>
      <c r="L566" s="239">
        <f>IF(OR(Calcs!$J$1402=Calcs!$I1436,Calcs!$I1436&gt;L$61),0,IF(OR(L$63="Monthly",L$63=""),Calcs!R1436,IF(AND(L$63="Quarterly",INT((Calcs!$I1436-Calcs!R$1402)/3)=(Calcs!$I1436-Calcs!R$1402)/3),Calcs!R1436,IF(INT((Calcs!$I1436-Calcs!R$1402)/12)=(Calcs!$I1436-Calcs!R$1402)/12,Calcs!R1436,0))))</f>
        <v>0</v>
      </c>
      <c r="M566" s="239">
        <f>IF(OR(Calcs!$J$1402=Calcs!$I1436,Calcs!$I1436&gt;M$61),0,IF(OR(M$63="Monthly",M$63=""),Calcs!S1436,IF(AND(M$63="Quarterly",INT((Calcs!$I1436-Calcs!S$1402)/3)=(Calcs!$I1436-Calcs!S$1402)/3),Calcs!S1436,IF(INT((Calcs!$I1436-Calcs!S$1402)/12)=(Calcs!$I1436-Calcs!S$1402)/12,Calcs!S1436,0))))</f>
        <v>0</v>
      </c>
      <c r="N566" s="239">
        <f>IF(OR(Calcs!$J$1402=Calcs!$I1436,Calcs!$I1436&gt;N$61),0,IF(OR(N$63="Monthly",N$63=""),Calcs!T1436,IF(AND(N$63="Quarterly",INT((Calcs!$I1436-Calcs!T$1402)/3)=(Calcs!$I1436-Calcs!T$1402)/3),Calcs!T1436,IF(INT((Calcs!$I1436-Calcs!T$1402)/12)=(Calcs!$I1436-Calcs!T$1402)/12,Calcs!T1436,0))))</f>
        <v>0</v>
      </c>
      <c r="O566" s="239">
        <f>IF(OR(Calcs!$J$1402=Calcs!$I1436,Calcs!$I1436&gt;O$61),0,IF(OR(O$63="Monthly",O$63=""),Calcs!U1436,IF(AND(O$63="Quarterly",INT((Calcs!$I1436-Calcs!U$1402)/3)=(Calcs!$I1436-Calcs!U$1402)/3),Calcs!U1436,IF(INT((Calcs!$I1436-Calcs!U$1402)/12)=(Calcs!$I1436-Calcs!U$1402)/12,Calcs!U1436,0))))</f>
        <v>0</v>
      </c>
      <c r="P566" s="239">
        <f>IF(OR(Calcs!$J$1402=Calcs!$I1436,Calcs!$I1436&gt;P$61),0,IF(OR(P$63="Monthly",P$63=""),Calcs!V1436,IF(AND(P$63="Quarterly",INT((Calcs!$I1436-Calcs!V$1402)/3)=(Calcs!$I1436-Calcs!V$1402)/3),Calcs!V1436,IF(INT((Calcs!$I1436-Calcs!V$1402)/12)=(Calcs!$I1436-Calcs!V$1402)/12,Calcs!V1436,0))))</f>
        <v>0</v>
      </c>
      <c r="Q566" s="239">
        <f>IF(OR(Calcs!$J$1402=Calcs!$I1436,Calcs!$I1436&gt;Q$61),0,IF(OR(Q$63="Monthly",Q$63=""),Calcs!W1436,IF(AND(Q$63="Quarterly",INT((Calcs!$I1436-Calcs!W$1402)/3)=(Calcs!$I1436-Calcs!W$1402)/3),Calcs!W1436,IF(INT((Calcs!$I1436-Calcs!W$1402)/12)=(Calcs!$I1436-Calcs!W$1402)/12,Calcs!W1436,0))))</f>
        <v>0</v>
      </c>
      <c r="R566" s="239">
        <f>IF(OR(Calcs!$J$1402=Calcs!$I1436,Calcs!$I1436&gt;R$61),0,IF(OR(R$63="Monthly",R$63=""),Calcs!X1436,IF(AND(R$63="Quarterly",INT((Calcs!$I1436-Calcs!X$1402)/3)=(Calcs!$I1436-Calcs!X$1402)/3),Calcs!X1436,IF(INT((Calcs!$I1436-Calcs!X$1402)/12)=(Calcs!$I1436-Calcs!X$1402)/12,Calcs!X1436,0))))</f>
        <v>0</v>
      </c>
      <c r="S566" s="239">
        <f>IF(OR(Calcs!$J$1402=Calcs!$I1436,Calcs!$I1436&gt;S$61),0,IF(OR(S$63="Monthly",S$63=""),Calcs!Y1436,IF(AND(S$63="Quarterly",INT((Calcs!$I1436-Calcs!Y$1402)/3)=(Calcs!$I1436-Calcs!Y$1402)/3),Calcs!Y1436,IF(INT((Calcs!$I1436-Calcs!Y$1402)/12)=(Calcs!$I1436-Calcs!Y$1402)/12,Calcs!Y1436,0))))</f>
        <v>0</v>
      </c>
      <c r="T566" s="239">
        <f>IF(OR(Calcs!$J$1402=Calcs!$I1436,Calcs!$I1436&gt;T$61),0,IF(OR(T$63="Monthly",T$63=""),Calcs!Z1436,IF(AND(T$63="Quarterly",INT((Calcs!$I1436-Calcs!Z$1402)/3)=(Calcs!$I1436-Calcs!Z$1402)/3),Calcs!Z1436,IF(INT((Calcs!$I1436-Calcs!Z$1402)/12)=(Calcs!$I1436-Calcs!Z$1402)/12,Calcs!Z1436,0))))</f>
        <v>0</v>
      </c>
      <c r="U566" s="239">
        <f>IF(OR(Calcs!$J$1402=Calcs!$I1436,Calcs!$I1436&gt;U$61),0,IF(OR(U$63="Monthly",U$63=""),Calcs!AA1436,IF(AND(U$63="Quarterly",INT((Calcs!$I1436-Calcs!AA$1402)/3)=(Calcs!$I1436-Calcs!AA$1402)/3),Calcs!AA1436,IF(INT((Calcs!$I1436-Calcs!AA$1402)/12)=(Calcs!$I1436-Calcs!AA$1402)/12,Calcs!AA1436,0))))</f>
        <v>0</v>
      </c>
      <c r="V566" s="239">
        <f>IF(OR(Calcs!$J$1402=Calcs!$I1436,Calcs!$I1436&gt;V$61),0,IF(OR(V$63="Monthly",V$63=""),Calcs!AB1436,IF(AND(V$63="Quarterly",INT((Calcs!$I1436-Calcs!AB$1402)/3)=(Calcs!$I1436-Calcs!AB$1402)/3),Calcs!AB1436,IF(INT((Calcs!$I1436-Calcs!AB$1402)/12)=(Calcs!$I1436-Calcs!AB$1402)/12,Calcs!AB1436,0))))</f>
        <v>0</v>
      </c>
      <c r="W566" s="239">
        <f>IF(OR(Calcs!$J$1402=Calcs!$I1436,Calcs!$I1436&gt;W$61),0,IF(OR(W$63="Monthly",W$63=""),Calcs!AC1436,IF(AND(W$63="Quarterly",INT((Calcs!$I1436-Calcs!AC$1402)/3)=(Calcs!$I1436-Calcs!AC$1402)/3),Calcs!AC1436,IF(INT((Calcs!$I1436-Calcs!AC$1402)/12)=(Calcs!$I1436-Calcs!AC$1402)/12,Calcs!AC1436,0))))</f>
        <v>0</v>
      </c>
      <c r="X566" s="239">
        <f>IF(OR(Calcs!$J$1402=Calcs!$I1436,Calcs!$I1436&gt;X$61),0,IF(OR(X$63="Monthly",X$63=""),Calcs!AD1436,IF(AND(X$63="Quarterly",INT((Calcs!$I1436-Calcs!AD$1402)/3)=(Calcs!$I1436-Calcs!AD$1402)/3),Calcs!AD1436,IF(INT((Calcs!$I1436-Calcs!AD$1402)/12)=(Calcs!$I1436-Calcs!AD$1402)/12,Calcs!AD1436,0))))</f>
        <v>0</v>
      </c>
      <c r="Y566" s="239">
        <f>IF(OR(Calcs!$J$1402=Calcs!$I1436,Calcs!$I1436&gt;Y$61),0,IF(OR(Y$63="Monthly",Y$63=""),Calcs!AE1436,IF(AND(Y$63="Quarterly",INT((Calcs!$I1436-Calcs!AE$1402)/3)=(Calcs!$I1436-Calcs!AE$1402)/3),Calcs!AE1436,IF(INT((Calcs!$I1436-Calcs!AE$1402)/12)=(Calcs!$I1436-Calcs!AE$1402)/12,Calcs!AE1436,0))))</f>
        <v>0</v>
      </c>
      <c r="Z566" s="239">
        <f>IF(OR(Calcs!$J$1402=Calcs!$I1436,Calcs!$I1436&gt;Z$61),0,IF(OR(Z$63="Monthly",Z$63=""),Calcs!AF1436,IF(AND(Z$63="Quarterly",INT((Calcs!$I1436-Calcs!AF$1402)/3)=(Calcs!$I1436-Calcs!AF$1402)/3),Calcs!AF1436,IF(INT((Calcs!$I1436-Calcs!AF$1402)/12)=(Calcs!$I1436-Calcs!AF$1402)/12,Calcs!AF1436,0))))</f>
        <v>0</v>
      </c>
      <c r="AA566" s="239">
        <f>IF(OR(Calcs!$J$1402=Calcs!$I1436,Calcs!$I1436&gt;AA$61),0,IF(OR(AA$63="Monthly",AA$63=""),Calcs!AG1436,IF(AND(AA$63="Quarterly",INT((Calcs!$I1436-Calcs!AG$1402)/3)=(Calcs!$I1436-Calcs!AG$1402)/3),Calcs!AG1436,IF(INT((Calcs!$I1436-Calcs!AG$1402)/12)=(Calcs!$I1436-Calcs!AG$1402)/12,Calcs!AG1436,0))))</f>
        <v>0</v>
      </c>
      <c r="AB566" s="239">
        <f>IF(OR(Calcs!$J$1402=Calcs!$I1436,Calcs!$I1436&gt;AB$61),0,IF(OR(AB$63="Monthly",AB$63=""),Calcs!AH1436,IF(AND(AB$63="Quarterly",INT((Calcs!$I1436-Calcs!AH$1402)/3)=(Calcs!$I1436-Calcs!AH$1402)/3),Calcs!AH1436,IF(INT((Calcs!$I1436-Calcs!AH$1402)/12)=(Calcs!$I1436-Calcs!AH$1402)/12,Calcs!AH1436,0))))</f>
        <v>0</v>
      </c>
      <c r="CH566" s="269"/>
      <c r="CI566" s="269"/>
      <c r="CJ566" s="269"/>
      <c r="CK566" s="269"/>
      <c r="CL566" s="269"/>
      <c r="CM566" s="269"/>
      <c r="CN566" s="269"/>
      <c r="CO566" s="269"/>
      <c r="CP566" s="269"/>
      <c r="CQ566" s="269"/>
      <c r="CR566" s="269"/>
      <c r="CS566" s="269"/>
    </row>
    <row r="567" spans="1:97" x14ac:dyDescent="0.3">
      <c r="A567" s="5"/>
      <c r="B567" s="5"/>
      <c r="C567" s="495">
        <f>C504</f>
        <v>974</v>
      </c>
      <c r="D567" s="237">
        <f>IF(OR(Calcs!$J$1402=Calcs!$I1437,Calcs!$I1437&gt;D$61),0,IF(OR(D$63="Monthly",D$63=""),Calcs!J1437,IF(AND(D$63="Quarterly",INT((Calcs!$I1437-Calcs!J$1402)/3)=(Calcs!$I1437-Calcs!J$1402)/3),Calcs!J1437,IF(INT((Calcs!$I1437-Calcs!J$1402)/12)=(Calcs!$I1437-Calcs!J$1402)/12,Calcs!J1437,0))))</f>
        <v>0</v>
      </c>
      <c r="E567" s="239">
        <f>IF(OR(Calcs!$J$1402=Calcs!$I1437,Calcs!$I1437&gt;E$61),0,IF(OR(E$63="Monthly",E$63=""),Calcs!K1437,IF(AND(E$63="Quarterly",INT((Calcs!$I1437-Calcs!K$1402)/3)=(Calcs!$I1437-Calcs!K$1402)/3),Calcs!K1437,IF(INT((Calcs!$I1437-Calcs!K$1402)/12)=(Calcs!$I1437-Calcs!K$1402)/12,Calcs!K1437,0))))</f>
        <v>0</v>
      </c>
      <c r="F567" s="239">
        <f>IF(OR(Calcs!$J$1402=Calcs!$I1437,Calcs!$I1437&gt;F$61),0,IF(OR(F$63="Monthly",F$63=""),Calcs!L1437,IF(AND(F$63="Quarterly",INT((Calcs!$I1437-Calcs!L$1402)/3)=(Calcs!$I1437-Calcs!L$1402)/3),Calcs!L1437,IF(INT((Calcs!$I1437-Calcs!L$1402)/12)=(Calcs!$I1437-Calcs!L$1402)/12,Calcs!L1437,0))))</f>
        <v>0</v>
      </c>
      <c r="G567" s="239">
        <f>IF(OR(Calcs!$J$1402=Calcs!$I1437,Calcs!$I1437&gt;G$61),0,IF(OR(G$63="Monthly",G$63=""),Calcs!M1437,IF(AND(G$63="Quarterly",INT((Calcs!$I1437-Calcs!M$1402)/3)=(Calcs!$I1437-Calcs!M$1402)/3),Calcs!M1437,IF(INT((Calcs!$I1437-Calcs!M$1402)/12)=(Calcs!$I1437-Calcs!M$1402)/12,Calcs!M1437,0))))</f>
        <v>0</v>
      </c>
      <c r="H567" s="239">
        <f>IF(OR(Calcs!$J$1402=Calcs!$I1437,Calcs!$I1437&gt;H$61),0,IF(OR(H$63="Monthly",H$63=""),Calcs!N1437,IF(AND(H$63="Quarterly",INT((Calcs!$I1437-Calcs!N$1402)/3)=(Calcs!$I1437-Calcs!N$1402)/3),Calcs!N1437,IF(INT((Calcs!$I1437-Calcs!N$1402)/12)=(Calcs!$I1437-Calcs!N$1402)/12,Calcs!N1437,0))))</f>
        <v>0</v>
      </c>
      <c r="I567" s="239">
        <f>IF(OR(Calcs!$J$1402=Calcs!$I1437,Calcs!$I1437&gt;I$61),0,IF(OR(I$63="Monthly",I$63=""),Calcs!O1437,IF(AND(I$63="Quarterly",INT((Calcs!$I1437-Calcs!O$1402)/3)=(Calcs!$I1437-Calcs!O$1402)/3),Calcs!O1437,IF(INT((Calcs!$I1437-Calcs!O$1402)/12)=(Calcs!$I1437-Calcs!O$1402)/12,Calcs!O1437,0))))</f>
        <v>0</v>
      </c>
      <c r="J567" s="239">
        <f>IF(OR(Calcs!$J$1402=Calcs!$I1437,Calcs!$I1437&gt;J$61),0,IF(OR(J$63="Monthly",J$63=""),Calcs!P1437,IF(AND(J$63="Quarterly",INT((Calcs!$I1437-Calcs!P$1402)/3)=(Calcs!$I1437-Calcs!P$1402)/3),Calcs!P1437,IF(INT((Calcs!$I1437-Calcs!P$1402)/12)=(Calcs!$I1437-Calcs!P$1402)/12,Calcs!P1437,0))))</f>
        <v>0</v>
      </c>
      <c r="K567" s="239">
        <f>IF(OR(Calcs!$J$1402=Calcs!$I1437,Calcs!$I1437&gt;K$61),0,IF(OR(K$63="Monthly",K$63=""),Calcs!Q1437,IF(AND(K$63="Quarterly",INT((Calcs!$I1437-Calcs!Q$1402)/3)=(Calcs!$I1437-Calcs!Q$1402)/3),Calcs!Q1437,IF(INT((Calcs!$I1437-Calcs!Q$1402)/12)=(Calcs!$I1437-Calcs!Q$1402)/12,Calcs!Q1437,0))))</f>
        <v>0</v>
      </c>
      <c r="L567" s="239">
        <f>IF(OR(Calcs!$J$1402=Calcs!$I1437,Calcs!$I1437&gt;L$61),0,IF(OR(L$63="Monthly",L$63=""),Calcs!R1437,IF(AND(L$63="Quarterly",INT((Calcs!$I1437-Calcs!R$1402)/3)=(Calcs!$I1437-Calcs!R$1402)/3),Calcs!R1437,IF(INT((Calcs!$I1437-Calcs!R$1402)/12)=(Calcs!$I1437-Calcs!R$1402)/12,Calcs!R1437,0))))</f>
        <v>0</v>
      </c>
      <c r="M567" s="239">
        <f>IF(OR(Calcs!$J$1402=Calcs!$I1437,Calcs!$I1437&gt;M$61),0,IF(OR(M$63="Monthly",M$63=""),Calcs!S1437,IF(AND(M$63="Quarterly",INT((Calcs!$I1437-Calcs!S$1402)/3)=(Calcs!$I1437-Calcs!S$1402)/3),Calcs!S1437,IF(INT((Calcs!$I1437-Calcs!S$1402)/12)=(Calcs!$I1437-Calcs!S$1402)/12,Calcs!S1437,0))))</f>
        <v>0</v>
      </c>
      <c r="N567" s="239">
        <f>IF(OR(Calcs!$J$1402=Calcs!$I1437,Calcs!$I1437&gt;N$61),0,IF(OR(N$63="Monthly",N$63=""),Calcs!T1437,IF(AND(N$63="Quarterly",INT((Calcs!$I1437-Calcs!T$1402)/3)=(Calcs!$I1437-Calcs!T$1402)/3),Calcs!T1437,IF(INT((Calcs!$I1437-Calcs!T$1402)/12)=(Calcs!$I1437-Calcs!T$1402)/12,Calcs!T1437,0))))</f>
        <v>0</v>
      </c>
      <c r="O567" s="239">
        <f>IF(OR(Calcs!$J$1402=Calcs!$I1437,Calcs!$I1437&gt;O$61),0,IF(OR(O$63="Monthly",O$63=""),Calcs!U1437,IF(AND(O$63="Quarterly",INT((Calcs!$I1437-Calcs!U$1402)/3)=(Calcs!$I1437-Calcs!U$1402)/3),Calcs!U1437,IF(INT((Calcs!$I1437-Calcs!U$1402)/12)=(Calcs!$I1437-Calcs!U$1402)/12,Calcs!U1437,0))))</f>
        <v>0</v>
      </c>
      <c r="P567" s="239">
        <f>IF(OR(Calcs!$J$1402=Calcs!$I1437,Calcs!$I1437&gt;P$61),0,IF(OR(P$63="Monthly",P$63=""),Calcs!V1437,IF(AND(P$63="Quarterly",INT((Calcs!$I1437-Calcs!V$1402)/3)=(Calcs!$I1437-Calcs!V$1402)/3),Calcs!V1437,IF(INT((Calcs!$I1437-Calcs!V$1402)/12)=(Calcs!$I1437-Calcs!V$1402)/12,Calcs!V1437,0))))</f>
        <v>0</v>
      </c>
      <c r="Q567" s="239">
        <f>IF(OR(Calcs!$J$1402=Calcs!$I1437,Calcs!$I1437&gt;Q$61),0,IF(OR(Q$63="Monthly",Q$63=""),Calcs!W1437,IF(AND(Q$63="Quarterly",INT((Calcs!$I1437-Calcs!W$1402)/3)=(Calcs!$I1437-Calcs!W$1402)/3),Calcs!W1437,IF(INT((Calcs!$I1437-Calcs!W$1402)/12)=(Calcs!$I1437-Calcs!W$1402)/12,Calcs!W1437,0))))</f>
        <v>0</v>
      </c>
      <c r="R567" s="239">
        <f>IF(OR(Calcs!$J$1402=Calcs!$I1437,Calcs!$I1437&gt;R$61),0,IF(OR(R$63="Monthly",R$63=""),Calcs!X1437,IF(AND(R$63="Quarterly",INT((Calcs!$I1437-Calcs!X$1402)/3)=(Calcs!$I1437-Calcs!X$1402)/3),Calcs!X1437,IF(INT((Calcs!$I1437-Calcs!X$1402)/12)=(Calcs!$I1437-Calcs!X$1402)/12,Calcs!X1437,0))))</f>
        <v>0</v>
      </c>
      <c r="S567" s="239">
        <f>IF(OR(Calcs!$J$1402=Calcs!$I1437,Calcs!$I1437&gt;S$61),0,IF(OR(S$63="Monthly",S$63=""),Calcs!Y1437,IF(AND(S$63="Quarterly",INT((Calcs!$I1437-Calcs!Y$1402)/3)=(Calcs!$I1437-Calcs!Y$1402)/3),Calcs!Y1437,IF(INT((Calcs!$I1437-Calcs!Y$1402)/12)=(Calcs!$I1437-Calcs!Y$1402)/12,Calcs!Y1437,0))))</f>
        <v>0</v>
      </c>
      <c r="T567" s="239">
        <f>IF(OR(Calcs!$J$1402=Calcs!$I1437,Calcs!$I1437&gt;T$61),0,IF(OR(T$63="Monthly",T$63=""),Calcs!Z1437,IF(AND(T$63="Quarterly",INT((Calcs!$I1437-Calcs!Z$1402)/3)=(Calcs!$I1437-Calcs!Z$1402)/3),Calcs!Z1437,IF(INT((Calcs!$I1437-Calcs!Z$1402)/12)=(Calcs!$I1437-Calcs!Z$1402)/12,Calcs!Z1437,0))))</f>
        <v>0</v>
      </c>
      <c r="U567" s="239">
        <f>IF(OR(Calcs!$J$1402=Calcs!$I1437,Calcs!$I1437&gt;U$61),0,IF(OR(U$63="Monthly",U$63=""),Calcs!AA1437,IF(AND(U$63="Quarterly",INT((Calcs!$I1437-Calcs!AA$1402)/3)=(Calcs!$I1437-Calcs!AA$1402)/3),Calcs!AA1437,IF(INT((Calcs!$I1437-Calcs!AA$1402)/12)=(Calcs!$I1437-Calcs!AA$1402)/12,Calcs!AA1437,0))))</f>
        <v>0</v>
      </c>
      <c r="V567" s="239">
        <f>IF(OR(Calcs!$J$1402=Calcs!$I1437,Calcs!$I1437&gt;V$61),0,IF(OR(V$63="Monthly",V$63=""),Calcs!AB1437,IF(AND(V$63="Quarterly",INT((Calcs!$I1437-Calcs!AB$1402)/3)=(Calcs!$I1437-Calcs!AB$1402)/3),Calcs!AB1437,IF(INT((Calcs!$I1437-Calcs!AB$1402)/12)=(Calcs!$I1437-Calcs!AB$1402)/12,Calcs!AB1437,0))))</f>
        <v>0</v>
      </c>
      <c r="W567" s="239">
        <f>IF(OR(Calcs!$J$1402=Calcs!$I1437,Calcs!$I1437&gt;W$61),0,IF(OR(W$63="Monthly",W$63=""),Calcs!AC1437,IF(AND(W$63="Quarterly",INT((Calcs!$I1437-Calcs!AC$1402)/3)=(Calcs!$I1437-Calcs!AC$1402)/3),Calcs!AC1437,IF(INT((Calcs!$I1437-Calcs!AC$1402)/12)=(Calcs!$I1437-Calcs!AC$1402)/12,Calcs!AC1437,0))))</f>
        <v>0</v>
      </c>
      <c r="X567" s="239">
        <f>IF(OR(Calcs!$J$1402=Calcs!$I1437,Calcs!$I1437&gt;X$61),0,IF(OR(X$63="Monthly",X$63=""),Calcs!AD1437,IF(AND(X$63="Quarterly",INT((Calcs!$I1437-Calcs!AD$1402)/3)=(Calcs!$I1437-Calcs!AD$1402)/3),Calcs!AD1437,IF(INT((Calcs!$I1437-Calcs!AD$1402)/12)=(Calcs!$I1437-Calcs!AD$1402)/12,Calcs!AD1437,0))))</f>
        <v>0</v>
      </c>
      <c r="Y567" s="239">
        <f>IF(OR(Calcs!$J$1402=Calcs!$I1437,Calcs!$I1437&gt;Y$61),0,IF(OR(Y$63="Monthly",Y$63=""),Calcs!AE1437,IF(AND(Y$63="Quarterly",INT((Calcs!$I1437-Calcs!AE$1402)/3)=(Calcs!$I1437-Calcs!AE$1402)/3),Calcs!AE1437,IF(INT((Calcs!$I1437-Calcs!AE$1402)/12)=(Calcs!$I1437-Calcs!AE$1402)/12,Calcs!AE1437,0))))</f>
        <v>0</v>
      </c>
      <c r="Z567" s="239">
        <f>IF(OR(Calcs!$J$1402=Calcs!$I1437,Calcs!$I1437&gt;Z$61),0,IF(OR(Z$63="Monthly",Z$63=""),Calcs!AF1437,IF(AND(Z$63="Quarterly",INT((Calcs!$I1437-Calcs!AF$1402)/3)=(Calcs!$I1437-Calcs!AF$1402)/3),Calcs!AF1437,IF(INT((Calcs!$I1437-Calcs!AF$1402)/12)=(Calcs!$I1437-Calcs!AF$1402)/12,Calcs!AF1437,0))))</f>
        <v>0</v>
      </c>
      <c r="AA567" s="239">
        <f>IF(OR(Calcs!$J$1402=Calcs!$I1437,Calcs!$I1437&gt;AA$61),0,IF(OR(AA$63="Monthly",AA$63=""),Calcs!AG1437,IF(AND(AA$63="Quarterly",INT((Calcs!$I1437-Calcs!AG$1402)/3)=(Calcs!$I1437-Calcs!AG$1402)/3),Calcs!AG1437,IF(INT((Calcs!$I1437-Calcs!AG$1402)/12)=(Calcs!$I1437-Calcs!AG$1402)/12,Calcs!AG1437,0))))</f>
        <v>0</v>
      </c>
      <c r="AB567" s="239">
        <f>IF(OR(Calcs!$J$1402=Calcs!$I1437,Calcs!$I1437&gt;AB$61),0,IF(OR(AB$63="Monthly",AB$63=""),Calcs!AH1437,IF(AND(AB$63="Quarterly",INT((Calcs!$I1437-Calcs!AH$1402)/3)=(Calcs!$I1437-Calcs!AH$1402)/3),Calcs!AH1437,IF(INT((Calcs!$I1437-Calcs!AH$1402)/12)=(Calcs!$I1437-Calcs!AH$1402)/12,Calcs!AH1437,0))))</f>
        <v>0</v>
      </c>
      <c r="CH567" s="269"/>
      <c r="CI567" s="269"/>
      <c r="CJ567" s="269"/>
      <c r="CK567" s="269"/>
      <c r="CL567" s="269"/>
      <c r="CM567" s="269"/>
      <c r="CN567" s="269"/>
      <c r="CO567" s="269"/>
      <c r="CP567" s="269"/>
      <c r="CQ567" s="269"/>
      <c r="CR567" s="269"/>
      <c r="CS567" s="269"/>
    </row>
    <row r="568" spans="1:97" x14ac:dyDescent="0.3">
      <c r="A568" s="5"/>
      <c r="B568" s="5"/>
      <c r="C568" s="495">
        <f>C505</f>
        <v>1004</v>
      </c>
      <c r="D568" s="237">
        <f>IF(OR(Calcs!$J$1402=Calcs!$I1438,Calcs!$I1438&gt;D$61),0,IF(OR(D$63="Monthly",D$63=""),Calcs!J1438,IF(AND(D$63="Quarterly",INT((Calcs!$I1438-Calcs!J$1402)/3)=(Calcs!$I1438-Calcs!J$1402)/3),Calcs!J1438,IF(INT((Calcs!$I1438-Calcs!J$1402)/12)=(Calcs!$I1438-Calcs!J$1402)/12,Calcs!J1438,0))))</f>
        <v>0</v>
      </c>
      <c r="E568" s="239">
        <f>IF(OR(Calcs!$J$1402=Calcs!$I1438,Calcs!$I1438&gt;E$61),0,IF(OR(E$63="Monthly",E$63=""),Calcs!K1438,IF(AND(E$63="Quarterly",INT((Calcs!$I1438-Calcs!K$1402)/3)=(Calcs!$I1438-Calcs!K$1402)/3),Calcs!K1438,IF(INT((Calcs!$I1438-Calcs!K$1402)/12)=(Calcs!$I1438-Calcs!K$1402)/12,Calcs!K1438,0))))</f>
        <v>0</v>
      </c>
      <c r="F568" s="239">
        <f>IF(OR(Calcs!$J$1402=Calcs!$I1438,Calcs!$I1438&gt;F$61),0,IF(OR(F$63="Monthly",F$63=""),Calcs!L1438,IF(AND(F$63="Quarterly",INT((Calcs!$I1438-Calcs!L$1402)/3)=(Calcs!$I1438-Calcs!L$1402)/3),Calcs!L1438,IF(INT((Calcs!$I1438-Calcs!L$1402)/12)=(Calcs!$I1438-Calcs!L$1402)/12,Calcs!L1438,0))))</f>
        <v>0</v>
      </c>
      <c r="G568" s="239">
        <f>IF(OR(Calcs!$J$1402=Calcs!$I1438,Calcs!$I1438&gt;G$61),0,IF(OR(G$63="Monthly",G$63=""),Calcs!M1438,IF(AND(G$63="Quarterly",INT((Calcs!$I1438-Calcs!M$1402)/3)=(Calcs!$I1438-Calcs!M$1402)/3),Calcs!M1438,IF(INT((Calcs!$I1438-Calcs!M$1402)/12)=(Calcs!$I1438-Calcs!M$1402)/12,Calcs!M1438,0))))</f>
        <v>0</v>
      </c>
      <c r="H568" s="239">
        <f>IF(OR(Calcs!$J$1402=Calcs!$I1438,Calcs!$I1438&gt;H$61),0,IF(OR(H$63="Monthly",H$63=""),Calcs!N1438,IF(AND(H$63="Quarterly",INT((Calcs!$I1438-Calcs!N$1402)/3)=(Calcs!$I1438-Calcs!N$1402)/3),Calcs!N1438,IF(INT((Calcs!$I1438-Calcs!N$1402)/12)=(Calcs!$I1438-Calcs!N$1402)/12,Calcs!N1438,0))))</f>
        <v>0</v>
      </c>
      <c r="I568" s="239">
        <f>IF(OR(Calcs!$J$1402=Calcs!$I1438,Calcs!$I1438&gt;I$61),0,IF(OR(I$63="Monthly",I$63=""),Calcs!O1438,IF(AND(I$63="Quarterly",INT((Calcs!$I1438-Calcs!O$1402)/3)=(Calcs!$I1438-Calcs!O$1402)/3),Calcs!O1438,IF(INT((Calcs!$I1438-Calcs!O$1402)/12)=(Calcs!$I1438-Calcs!O$1402)/12,Calcs!O1438,0))))</f>
        <v>0</v>
      </c>
      <c r="J568" s="239">
        <f>IF(OR(Calcs!$J$1402=Calcs!$I1438,Calcs!$I1438&gt;J$61),0,IF(OR(J$63="Monthly",J$63=""),Calcs!P1438,IF(AND(J$63="Quarterly",INT((Calcs!$I1438-Calcs!P$1402)/3)=(Calcs!$I1438-Calcs!P$1402)/3),Calcs!P1438,IF(INT((Calcs!$I1438-Calcs!P$1402)/12)=(Calcs!$I1438-Calcs!P$1402)/12,Calcs!P1438,0))))</f>
        <v>0</v>
      </c>
      <c r="K568" s="239">
        <f>IF(OR(Calcs!$J$1402=Calcs!$I1438,Calcs!$I1438&gt;K$61),0,IF(OR(K$63="Monthly",K$63=""),Calcs!Q1438,IF(AND(K$63="Quarterly",INT((Calcs!$I1438-Calcs!Q$1402)/3)=(Calcs!$I1438-Calcs!Q$1402)/3),Calcs!Q1438,IF(INT((Calcs!$I1438-Calcs!Q$1402)/12)=(Calcs!$I1438-Calcs!Q$1402)/12,Calcs!Q1438,0))))</f>
        <v>0</v>
      </c>
      <c r="L568" s="239">
        <f>IF(OR(Calcs!$J$1402=Calcs!$I1438,Calcs!$I1438&gt;L$61),0,IF(OR(L$63="Monthly",L$63=""),Calcs!R1438,IF(AND(L$63="Quarterly",INT((Calcs!$I1438-Calcs!R$1402)/3)=(Calcs!$I1438-Calcs!R$1402)/3),Calcs!R1438,IF(INT((Calcs!$I1438-Calcs!R$1402)/12)=(Calcs!$I1438-Calcs!R$1402)/12,Calcs!R1438,0))))</f>
        <v>0</v>
      </c>
      <c r="M568" s="239">
        <f>IF(OR(Calcs!$J$1402=Calcs!$I1438,Calcs!$I1438&gt;M$61),0,IF(OR(M$63="Monthly",M$63=""),Calcs!S1438,IF(AND(M$63="Quarterly",INT((Calcs!$I1438-Calcs!S$1402)/3)=(Calcs!$I1438-Calcs!S$1402)/3),Calcs!S1438,IF(INT((Calcs!$I1438-Calcs!S$1402)/12)=(Calcs!$I1438-Calcs!S$1402)/12,Calcs!S1438,0))))</f>
        <v>0</v>
      </c>
      <c r="N568" s="239">
        <f>IF(OR(Calcs!$J$1402=Calcs!$I1438,Calcs!$I1438&gt;N$61),0,IF(OR(N$63="Monthly",N$63=""),Calcs!T1438,IF(AND(N$63="Quarterly",INT((Calcs!$I1438-Calcs!T$1402)/3)=(Calcs!$I1438-Calcs!T$1402)/3),Calcs!T1438,IF(INT((Calcs!$I1438-Calcs!T$1402)/12)=(Calcs!$I1438-Calcs!T$1402)/12,Calcs!T1438,0))))</f>
        <v>0</v>
      </c>
      <c r="O568" s="239">
        <f>IF(OR(Calcs!$J$1402=Calcs!$I1438,Calcs!$I1438&gt;O$61),0,IF(OR(O$63="Monthly",O$63=""),Calcs!U1438,IF(AND(O$63="Quarterly",INT((Calcs!$I1438-Calcs!U$1402)/3)=(Calcs!$I1438-Calcs!U$1402)/3),Calcs!U1438,IF(INT((Calcs!$I1438-Calcs!U$1402)/12)=(Calcs!$I1438-Calcs!U$1402)/12,Calcs!U1438,0))))</f>
        <v>0</v>
      </c>
      <c r="P568" s="239">
        <f>IF(OR(Calcs!$J$1402=Calcs!$I1438,Calcs!$I1438&gt;P$61),0,IF(OR(P$63="Monthly",P$63=""),Calcs!V1438,IF(AND(P$63="Quarterly",INT((Calcs!$I1438-Calcs!V$1402)/3)=(Calcs!$I1438-Calcs!V$1402)/3),Calcs!V1438,IF(INT((Calcs!$I1438-Calcs!V$1402)/12)=(Calcs!$I1438-Calcs!V$1402)/12,Calcs!V1438,0))))</f>
        <v>0</v>
      </c>
      <c r="Q568" s="239">
        <f>IF(OR(Calcs!$J$1402=Calcs!$I1438,Calcs!$I1438&gt;Q$61),0,IF(OR(Q$63="Monthly",Q$63=""),Calcs!W1438,IF(AND(Q$63="Quarterly",INT((Calcs!$I1438-Calcs!W$1402)/3)=(Calcs!$I1438-Calcs!W$1402)/3),Calcs!W1438,IF(INT((Calcs!$I1438-Calcs!W$1402)/12)=(Calcs!$I1438-Calcs!W$1402)/12,Calcs!W1438,0))))</f>
        <v>0</v>
      </c>
      <c r="R568" s="239">
        <f>IF(OR(Calcs!$J$1402=Calcs!$I1438,Calcs!$I1438&gt;R$61),0,IF(OR(R$63="Monthly",R$63=""),Calcs!X1438,IF(AND(R$63="Quarterly",INT((Calcs!$I1438-Calcs!X$1402)/3)=(Calcs!$I1438-Calcs!X$1402)/3),Calcs!X1438,IF(INT((Calcs!$I1438-Calcs!X$1402)/12)=(Calcs!$I1438-Calcs!X$1402)/12,Calcs!X1438,0))))</f>
        <v>0</v>
      </c>
      <c r="S568" s="239">
        <f>IF(OR(Calcs!$J$1402=Calcs!$I1438,Calcs!$I1438&gt;S$61),0,IF(OR(S$63="Monthly",S$63=""),Calcs!Y1438,IF(AND(S$63="Quarterly",INT((Calcs!$I1438-Calcs!Y$1402)/3)=(Calcs!$I1438-Calcs!Y$1402)/3),Calcs!Y1438,IF(INT((Calcs!$I1438-Calcs!Y$1402)/12)=(Calcs!$I1438-Calcs!Y$1402)/12,Calcs!Y1438,0))))</f>
        <v>0</v>
      </c>
      <c r="T568" s="239">
        <f>IF(OR(Calcs!$J$1402=Calcs!$I1438,Calcs!$I1438&gt;T$61),0,IF(OR(T$63="Monthly",T$63=""),Calcs!Z1438,IF(AND(T$63="Quarterly",INT((Calcs!$I1438-Calcs!Z$1402)/3)=(Calcs!$I1438-Calcs!Z$1402)/3),Calcs!Z1438,IF(INT((Calcs!$I1438-Calcs!Z$1402)/12)=(Calcs!$I1438-Calcs!Z$1402)/12,Calcs!Z1438,0))))</f>
        <v>0</v>
      </c>
      <c r="U568" s="239">
        <f>IF(OR(Calcs!$J$1402=Calcs!$I1438,Calcs!$I1438&gt;U$61),0,IF(OR(U$63="Monthly",U$63=""),Calcs!AA1438,IF(AND(U$63="Quarterly",INT((Calcs!$I1438-Calcs!AA$1402)/3)=(Calcs!$I1438-Calcs!AA$1402)/3),Calcs!AA1438,IF(INT((Calcs!$I1438-Calcs!AA$1402)/12)=(Calcs!$I1438-Calcs!AA$1402)/12,Calcs!AA1438,0))))</f>
        <v>0</v>
      </c>
      <c r="V568" s="239">
        <f>IF(OR(Calcs!$J$1402=Calcs!$I1438,Calcs!$I1438&gt;V$61),0,IF(OR(V$63="Monthly",V$63=""),Calcs!AB1438,IF(AND(V$63="Quarterly",INT((Calcs!$I1438-Calcs!AB$1402)/3)=(Calcs!$I1438-Calcs!AB$1402)/3),Calcs!AB1438,IF(INT((Calcs!$I1438-Calcs!AB$1402)/12)=(Calcs!$I1438-Calcs!AB$1402)/12,Calcs!AB1438,0))))</f>
        <v>0</v>
      </c>
      <c r="W568" s="239">
        <f>IF(OR(Calcs!$J$1402=Calcs!$I1438,Calcs!$I1438&gt;W$61),0,IF(OR(W$63="Monthly",W$63=""),Calcs!AC1438,IF(AND(W$63="Quarterly",INT((Calcs!$I1438-Calcs!AC$1402)/3)=(Calcs!$I1438-Calcs!AC$1402)/3),Calcs!AC1438,IF(INT((Calcs!$I1438-Calcs!AC$1402)/12)=(Calcs!$I1438-Calcs!AC$1402)/12,Calcs!AC1438,0))))</f>
        <v>0</v>
      </c>
      <c r="X568" s="239">
        <f>IF(OR(Calcs!$J$1402=Calcs!$I1438,Calcs!$I1438&gt;X$61),0,IF(OR(X$63="Monthly",X$63=""),Calcs!AD1438,IF(AND(X$63="Quarterly",INT((Calcs!$I1438-Calcs!AD$1402)/3)=(Calcs!$I1438-Calcs!AD$1402)/3),Calcs!AD1438,IF(INT((Calcs!$I1438-Calcs!AD$1402)/12)=(Calcs!$I1438-Calcs!AD$1402)/12,Calcs!AD1438,0))))</f>
        <v>0</v>
      </c>
      <c r="Y568" s="239">
        <f>IF(OR(Calcs!$J$1402=Calcs!$I1438,Calcs!$I1438&gt;Y$61),0,IF(OR(Y$63="Monthly",Y$63=""),Calcs!AE1438,IF(AND(Y$63="Quarterly",INT((Calcs!$I1438-Calcs!AE$1402)/3)=(Calcs!$I1438-Calcs!AE$1402)/3),Calcs!AE1438,IF(INT((Calcs!$I1438-Calcs!AE$1402)/12)=(Calcs!$I1438-Calcs!AE$1402)/12,Calcs!AE1438,0))))</f>
        <v>0</v>
      </c>
      <c r="Z568" s="239">
        <f>IF(OR(Calcs!$J$1402=Calcs!$I1438,Calcs!$I1438&gt;Z$61),0,IF(OR(Z$63="Monthly",Z$63=""),Calcs!AF1438,IF(AND(Z$63="Quarterly",INT((Calcs!$I1438-Calcs!AF$1402)/3)=(Calcs!$I1438-Calcs!AF$1402)/3),Calcs!AF1438,IF(INT((Calcs!$I1438-Calcs!AF$1402)/12)=(Calcs!$I1438-Calcs!AF$1402)/12,Calcs!AF1438,0))))</f>
        <v>0</v>
      </c>
      <c r="AA568" s="239">
        <f>IF(OR(Calcs!$J$1402=Calcs!$I1438,Calcs!$I1438&gt;AA$61),0,IF(OR(AA$63="Monthly",AA$63=""),Calcs!AG1438,IF(AND(AA$63="Quarterly",INT((Calcs!$I1438-Calcs!AG$1402)/3)=(Calcs!$I1438-Calcs!AG$1402)/3),Calcs!AG1438,IF(INT((Calcs!$I1438-Calcs!AG$1402)/12)=(Calcs!$I1438-Calcs!AG$1402)/12,Calcs!AG1438,0))))</f>
        <v>0</v>
      </c>
      <c r="AB568" s="239">
        <f>IF(OR(Calcs!$J$1402=Calcs!$I1438,Calcs!$I1438&gt;AB$61),0,IF(OR(AB$63="Monthly",AB$63=""),Calcs!AH1438,IF(AND(AB$63="Quarterly",INT((Calcs!$I1438-Calcs!AH$1402)/3)=(Calcs!$I1438-Calcs!AH$1402)/3),Calcs!AH1438,IF(INT((Calcs!$I1438-Calcs!AH$1402)/12)=(Calcs!$I1438-Calcs!AH$1402)/12,Calcs!AH1438,0))))</f>
        <v>0</v>
      </c>
      <c r="CH568" s="269"/>
      <c r="CI568" s="269"/>
      <c r="CJ568" s="269"/>
      <c r="CK568" s="269"/>
      <c r="CL568" s="269"/>
      <c r="CM568" s="269"/>
      <c r="CN568" s="269"/>
      <c r="CO568" s="269"/>
      <c r="CP568" s="269"/>
      <c r="CQ568" s="269"/>
      <c r="CR568" s="269"/>
      <c r="CS568" s="269"/>
    </row>
    <row r="569" spans="1:97" x14ac:dyDescent="0.3">
      <c r="A569" s="5"/>
      <c r="B569" s="5"/>
      <c r="C569" s="495">
        <f>C506</f>
        <v>1035</v>
      </c>
      <c r="D569" s="237">
        <f>IF(OR(Calcs!$J$1402=Calcs!$I1439,Calcs!$I1439&gt;D$61),0,IF(OR(D$63="Monthly",D$63=""),Calcs!J1439,IF(AND(D$63="Quarterly",INT((Calcs!$I1439-Calcs!J$1402)/3)=(Calcs!$I1439-Calcs!J$1402)/3),Calcs!J1439,IF(INT((Calcs!$I1439-Calcs!J$1402)/12)=(Calcs!$I1439-Calcs!J$1402)/12,Calcs!J1439,0))))</f>
        <v>0</v>
      </c>
      <c r="E569" s="239">
        <f>IF(OR(Calcs!$J$1402=Calcs!$I1439,Calcs!$I1439&gt;E$61),0,IF(OR(E$63="Monthly",E$63=""),Calcs!K1439,IF(AND(E$63="Quarterly",INT((Calcs!$I1439-Calcs!K$1402)/3)=(Calcs!$I1439-Calcs!K$1402)/3),Calcs!K1439,IF(INT((Calcs!$I1439-Calcs!K$1402)/12)=(Calcs!$I1439-Calcs!K$1402)/12,Calcs!K1439,0))))</f>
        <v>0</v>
      </c>
      <c r="F569" s="239">
        <f>IF(OR(Calcs!$J$1402=Calcs!$I1439,Calcs!$I1439&gt;F$61),0,IF(OR(F$63="Monthly",F$63=""),Calcs!L1439,IF(AND(F$63="Quarterly",INT((Calcs!$I1439-Calcs!L$1402)/3)=(Calcs!$I1439-Calcs!L$1402)/3),Calcs!L1439,IF(INT((Calcs!$I1439-Calcs!L$1402)/12)=(Calcs!$I1439-Calcs!L$1402)/12,Calcs!L1439,0))))</f>
        <v>0</v>
      </c>
      <c r="G569" s="239">
        <f>IF(OR(Calcs!$J$1402=Calcs!$I1439,Calcs!$I1439&gt;G$61),0,IF(OR(G$63="Monthly",G$63=""),Calcs!M1439,IF(AND(G$63="Quarterly",INT((Calcs!$I1439-Calcs!M$1402)/3)=(Calcs!$I1439-Calcs!M$1402)/3),Calcs!M1439,IF(INT((Calcs!$I1439-Calcs!M$1402)/12)=(Calcs!$I1439-Calcs!M$1402)/12,Calcs!M1439,0))))</f>
        <v>0</v>
      </c>
      <c r="H569" s="239">
        <f>IF(OR(Calcs!$J$1402=Calcs!$I1439,Calcs!$I1439&gt;H$61),0,IF(OR(H$63="Monthly",H$63=""),Calcs!N1439,IF(AND(H$63="Quarterly",INT((Calcs!$I1439-Calcs!N$1402)/3)=(Calcs!$I1439-Calcs!N$1402)/3),Calcs!N1439,IF(INT((Calcs!$I1439-Calcs!N$1402)/12)=(Calcs!$I1439-Calcs!N$1402)/12,Calcs!N1439,0))))</f>
        <v>0</v>
      </c>
      <c r="I569" s="239">
        <f>IF(OR(Calcs!$J$1402=Calcs!$I1439,Calcs!$I1439&gt;I$61),0,IF(OR(I$63="Monthly",I$63=""),Calcs!O1439,IF(AND(I$63="Quarterly",INT((Calcs!$I1439-Calcs!O$1402)/3)=(Calcs!$I1439-Calcs!O$1402)/3),Calcs!O1439,IF(INT((Calcs!$I1439-Calcs!O$1402)/12)=(Calcs!$I1439-Calcs!O$1402)/12,Calcs!O1439,0))))</f>
        <v>0</v>
      </c>
      <c r="J569" s="239">
        <f>IF(OR(Calcs!$J$1402=Calcs!$I1439,Calcs!$I1439&gt;J$61),0,IF(OR(J$63="Monthly",J$63=""),Calcs!P1439,IF(AND(J$63="Quarterly",INT((Calcs!$I1439-Calcs!P$1402)/3)=(Calcs!$I1439-Calcs!P$1402)/3),Calcs!P1439,IF(INT((Calcs!$I1439-Calcs!P$1402)/12)=(Calcs!$I1439-Calcs!P$1402)/12,Calcs!P1439,0))))</f>
        <v>0</v>
      </c>
      <c r="K569" s="239">
        <f>IF(OR(Calcs!$J$1402=Calcs!$I1439,Calcs!$I1439&gt;K$61),0,IF(OR(K$63="Monthly",K$63=""),Calcs!Q1439,IF(AND(K$63="Quarterly",INT((Calcs!$I1439-Calcs!Q$1402)/3)=(Calcs!$I1439-Calcs!Q$1402)/3),Calcs!Q1439,IF(INT((Calcs!$I1439-Calcs!Q$1402)/12)=(Calcs!$I1439-Calcs!Q$1402)/12,Calcs!Q1439,0))))</f>
        <v>0</v>
      </c>
      <c r="L569" s="239">
        <f>IF(OR(Calcs!$J$1402=Calcs!$I1439,Calcs!$I1439&gt;L$61),0,IF(OR(L$63="Monthly",L$63=""),Calcs!R1439,IF(AND(L$63="Quarterly",INT((Calcs!$I1439-Calcs!R$1402)/3)=(Calcs!$I1439-Calcs!R$1402)/3),Calcs!R1439,IF(INT((Calcs!$I1439-Calcs!R$1402)/12)=(Calcs!$I1439-Calcs!R$1402)/12,Calcs!R1439,0))))</f>
        <v>0</v>
      </c>
      <c r="M569" s="239">
        <f>IF(OR(Calcs!$J$1402=Calcs!$I1439,Calcs!$I1439&gt;M$61),0,IF(OR(M$63="Monthly",M$63=""),Calcs!S1439,IF(AND(M$63="Quarterly",INT((Calcs!$I1439-Calcs!S$1402)/3)=(Calcs!$I1439-Calcs!S$1402)/3),Calcs!S1439,IF(INT((Calcs!$I1439-Calcs!S$1402)/12)=(Calcs!$I1439-Calcs!S$1402)/12,Calcs!S1439,0))))</f>
        <v>0</v>
      </c>
      <c r="N569" s="239">
        <f>IF(OR(Calcs!$J$1402=Calcs!$I1439,Calcs!$I1439&gt;N$61),0,IF(OR(N$63="Monthly",N$63=""),Calcs!T1439,IF(AND(N$63="Quarterly",INT((Calcs!$I1439-Calcs!T$1402)/3)=(Calcs!$I1439-Calcs!T$1402)/3),Calcs!T1439,IF(INT((Calcs!$I1439-Calcs!T$1402)/12)=(Calcs!$I1439-Calcs!T$1402)/12,Calcs!T1439,0))))</f>
        <v>0</v>
      </c>
      <c r="O569" s="239">
        <f>IF(OR(Calcs!$J$1402=Calcs!$I1439,Calcs!$I1439&gt;O$61),0,IF(OR(O$63="Monthly",O$63=""),Calcs!U1439,IF(AND(O$63="Quarterly",INT((Calcs!$I1439-Calcs!U$1402)/3)=(Calcs!$I1439-Calcs!U$1402)/3),Calcs!U1439,IF(INT((Calcs!$I1439-Calcs!U$1402)/12)=(Calcs!$I1439-Calcs!U$1402)/12,Calcs!U1439,0))))</f>
        <v>0</v>
      </c>
      <c r="P569" s="239">
        <f>IF(OR(Calcs!$J$1402=Calcs!$I1439,Calcs!$I1439&gt;P$61),0,IF(OR(P$63="Monthly",P$63=""),Calcs!V1439,IF(AND(P$63="Quarterly",INT((Calcs!$I1439-Calcs!V$1402)/3)=(Calcs!$I1439-Calcs!V$1402)/3),Calcs!V1439,IF(INT((Calcs!$I1439-Calcs!V$1402)/12)=(Calcs!$I1439-Calcs!V$1402)/12,Calcs!V1439,0))))</f>
        <v>0</v>
      </c>
      <c r="Q569" s="239">
        <f>IF(OR(Calcs!$J$1402=Calcs!$I1439,Calcs!$I1439&gt;Q$61),0,IF(OR(Q$63="Monthly",Q$63=""),Calcs!W1439,IF(AND(Q$63="Quarterly",INT((Calcs!$I1439-Calcs!W$1402)/3)=(Calcs!$I1439-Calcs!W$1402)/3),Calcs!W1439,IF(INT((Calcs!$I1439-Calcs!W$1402)/12)=(Calcs!$I1439-Calcs!W$1402)/12,Calcs!W1439,0))))</f>
        <v>0</v>
      </c>
      <c r="R569" s="239">
        <f>IF(OR(Calcs!$J$1402=Calcs!$I1439,Calcs!$I1439&gt;R$61),0,IF(OR(R$63="Monthly",R$63=""),Calcs!X1439,IF(AND(R$63="Quarterly",INT((Calcs!$I1439-Calcs!X$1402)/3)=(Calcs!$I1439-Calcs!X$1402)/3),Calcs!X1439,IF(INT((Calcs!$I1439-Calcs!X$1402)/12)=(Calcs!$I1439-Calcs!X$1402)/12,Calcs!X1439,0))))</f>
        <v>0</v>
      </c>
      <c r="S569" s="239">
        <f>IF(OR(Calcs!$J$1402=Calcs!$I1439,Calcs!$I1439&gt;S$61),0,IF(OR(S$63="Monthly",S$63=""),Calcs!Y1439,IF(AND(S$63="Quarterly",INT((Calcs!$I1439-Calcs!Y$1402)/3)=(Calcs!$I1439-Calcs!Y$1402)/3),Calcs!Y1439,IF(INT((Calcs!$I1439-Calcs!Y$1402)/12)=(Calcs!$I1439-Calcs!Y$1402)/12,Calcs!Y1439,0))))</f>
        <v>0</v>
      </c>
      <c r="T569" s="239">
        <f>IF(OR(Calcs!$J$1402=Calcs!$I1439,Calcs!$I1439&gt;T$61),0,IF(OR(T$63="Monthly",T$63=""),Calcs!Z1439,IF(AND(T$63="Quarterly",INT((Calcs!$I1439-Calcs!Z$1402)/3)=(Calcs!$I1439-Calcs!Z$1402)/3),Calcs!Z1439,IF(INT((Calcs!$I1439-Calcs!Z$1402)/12)=(Calcs!$I1439-Calcs!Z$1402)/12,Calcs!Z1439,0))))</f>
        <v>0</v>
      </c>
      <c r="U569" s="239">
        <f>IF(OR(Calcs!$J$1402=Calcs!$I1439,Calcs!$I1439&gt;U$61),0,IF(OR(U$63="Monthly",U$63=""),Calcs!AA1439,IF(AND(U$63="Quarterly",INT((Calcs!$I1439-Calcs!AA$1402)/3)=(Calcs!$I1439-Calcs!AA$1402)/3),Calcs!AA1439,IF(INT((Calcs!$I1439-Calcs!AA$1402)/12)=(Calcs!$I1439-Calcs!AA$1402)/12,Calcs!AA1439,0))))</f>
        <v>0</v>
      </c>
      <c r="V569" s="239">
        <f>IF(OR(Calcs!$J$1402=Calcs!$I1439,Calcs!$I1439&gt;V$61),0,IF(OR(V$63="Monthly",V$63=""),Calcs!AB1439,IF(AND(V$63="Quarterly",INT((Calcs!$I1439-Calcs!AB$1402)/3)=(Calcs!$I1439-Calcs!AB$1402)/3),Calcs!AB1439,IF(INT((Calcs!$I1439-Calcs!AB$1402)/12)=(Calcs!$I1439-Calcs!AB$1402)/12,Calcs!AB1439,0))))</f>
        <v>0</v>
      </c>
      <c r="W569" s="239">
        <f>IF(OR(Calcs!$J$1402=Calcs!$I1439,Calcs!$I1439&gt;W$61),0,IF(OR(W$63="Monthly",W$63=""),Calcs!AC1439,IF(AND(W$63="Quarterly",INT((Calcs!$I1439-Calcs!AC$1402)/3)=(Calcs!$I1439-Calcs!AC$1402)/3),Calcs!AC1439,IF(INT((Calcs!$I1439-Calcs!AC$1402)/12)=(Calcs!$I1439-Calcs!AC$1402)/12,Calcs!AC1439,0))))</f>
        <v>0</v>
      </c>
      <c r="X569" s="239">
        <f>IF(OR(Calcs!$J$1402=Calcs!$I1439,Calcs!$I1439&gt;X$61),0,IF(OR(X$63="Monthly",X$63=""),Calcs!AD1439,IF(AND(X$63="Quarterly",INT((Calcs!$I1439-Calcs!AD$1402)/3)=(Calcs!$I1439-Calcs!AD$1402)/3),Calcs!AD1439,IF(INT((Calcs!$I1439-Calcs!AD$1402)/12)=(Calcs!$I1439-Calcs!AD$1402)/12,Calcs!AD1439,0))))</f>
        <v>0</v>
      </c>
      <c r="Y569" s="239">
        <f>IF(OR(Calcs!$J$1402=Calcs!$I1439,Calcs!$I1439&gt;Y$61),0,IF(OR(Y$63="Monthly",Y$63=""),Calcs!AE1439,IF(AND(Y$63="Quarterly",INT((Calcs!$I1439-Calcs!AE$1402)/3)=(Calcs!$I1439-Calcs!AE$1402)/3),Calcs!AE1439,IF(INT((Calcs!$I1439-Calcs!AE$1402)/12)=(Calcs!$I1439-Calcs!AE$1402)/12,Calcs!AE1439,0))))</f>
        <v>0</v>
      </c>
      <c r="Z569" s="239">
        <f>IF(OR(Calcs!$J$1402=Calcs!$I1439,Calcs!$I1439&gt;Z$61),0,IF(OR(Z$63="Monthly",Z$63=""),Calcs!AF1439,IF(AND(Z$63="Quarterly",INT((Calcs!$I1439-Calcs!AF$1402)/3)=(Calcs!$I1439-Calcs!AF$1402)/3),Calcs!AF1439,IF(INT((Calcs!$I1439-Calcs!AF$1402)/12)=(Calcs!$I1439-Calcs!AF$1402)/12,Calcs!AF1439,0))))</f>
        <v>0</v>
      </c>
      <c r="AA569" s="239">
        <f>IF(OR(Calcs!$J$1402=Calcs!$I1439,Calcs!$I1439&gt;AA$61),0,IF(OR(AA$63="Monthly",AA$63=""),Calcs!AG1439,IF(AND(AA$63="Quarterly",INT((Calcs!$I1439-Calcs!AG$1402)/3)=(Calcs!$I1439-Calcs!AG$1402)/3),Calcs!AG1439,IF(INT((Calcs!$I1439-Calcs!AG$1402)/12)=(Calcs!$I1439-Calcs!AG$1402)/12,Calcs!AG1439,0))))</f>
        <v>0</v>
      </c>
      <c r="AB569" s="239">
        <f>IF(OR(Calcs!$J$1402=Calcs!$I1439,Calcs!$I1439&gt;AB$61),0,IF(OR(AB$63="Monthly",AB$63=""),Calcs!AH1439,IF(AND(AB$63="Quarterly",INT((Calcs!$I1439-Calcs!AH$1402)/3)=(Calcs!$I1439-Calcs!AH$1402)/3),Calcs!AH1439,IF(INT((Calcs!$I1439-Calcs!AH$1402)/12)=(Calcs!$I1439-Calcs!AH$1402)/12,Calcs!AH1439,0))))</f>
        <v>0</v>
      </c>
      <c r="CH569" s="269"/>
      <c r="CI569" s="269"/>
      <c r="CJ569" s="269"/>
      <c r="CK569" s="269"/>
      <c r="CL569" s="269"/>
      <c r="CM569" s="269"/>
      <c r="CN569" s="269"/>
      <c r="CO569" s="269"/>
      <c r="CP569" s="269"/>
      <c r="CQ569" s="269"/>
      <c r="CR569" s="269"/>
      <c r="CS569" s="269"/>
    </row>
    <row r="570" spans="1:97" x14ac:dyDescent="0.3">
      <c r="A570" s="5"/>
      <c r="B570" s="5"/>
      <c r="C570" s="495">
        <f>C507</f>
        <v>1065</v>
      </c>
      <c r="D570" s="237">
        <f>IF(OR(Calcs!$J$1402=Calcs!$I1440,Calcs!$I1440&gt;D$61),0,IF(OR(D$63="Monthly",D$63=""),Calcs!J1440,IF(AND(D$63="Quarterly",INT((Calcs!$I1440-Calcs!J$1402)/3)=(Calcs!$I1440-Calcs!J$1402)/3),Calcs!J1440,IF(INT((Calcs!$I1440-Calcs!J$1402)/12)=(Calcs!$I1440-Calcs!J$1402)/12,Calcs!J1440,0))))</f>
        <v>0</v>
      </c>
      <c r="E570" s="239">
        <f>IF(OR(Calcs!$J$1402=Calcs!$I1440,Calcs!$I1440&gt;E$61),0,IF(OR(E$63="Monthly",E$63=""),Calcs!K1440,IF(AND(E$63="Quarterly",INT((Calcs!$I1440-Calcs!K$1402)/3)=(Calcs!$I1440-Calcs!K$1402)/3),Calcs!K1440,IF(INT((Calcs!$I1440-Calcs!K$1402)/12)=(Calcs!$I1440-Calcs!K$1402)/12,Calcs!K1440,0))))</f>
        <v>0</v>
      </c>
      <c r="F570" s="239">
        <f>IF(OR(Calcs!$J$1402=Calcs!$I1440,Calcs!$I1440&gt;F$61),0,IF(OR(F$63="Monthly",F$63=""),Calcs!L1440,IF(AND(F$63="Quarterly",INT((Calcs!$I1440-Calcs!L$1402)/3)=(Calcs!$I1440-Calcs!L$1402)/3),Calcs!L1440,IF(INT((Calcs!$I1440-Calcs!L$1402)/12)=(Calcs!$I1440-Calcs!L$1402)/12,Calcs!L1440,0))))</f>
        <v>0</v>
      </c>
      <c r="G570" s="239">
        <f>IF(OR(Calcs!$J$1402=Calcs!$I1440,Calcs!$I1440&gt;G$61),0,IF(OR(G$63="Monthly",G$63=""),Calcs!M1440,IF(AND(G$63="Quarterly",INT((Calcs!$I1440-Calcs!M$1402)/3)=(Calcs!$I1440-Calcs!M$1402)/3),Calcs!M1440,IF(INT((Calcs!$I1440-Calcs!M$1402)/12)=(Calcs!$I1440-Calcs!M$1402)/12,Calcs!M1440,0))))</f>
        <v>0</v>
      </c>
      <c r="H570" s="239">
        <f>IF(OR(Calcs!$J$1402=Calcs!$I1440,Calcs!$I1440&gt;H$61),0,IF(OR(H$63="Monthly",H$63=""),Calcs!N1440,IF(AND(H$63="Quarterly",INT((Calcs!$I1440-Calcs!N$1402)/3)=(Calcs!$I1440-Calcs!N$1402)/3),Calcs!N1440,IF(INT((Calcs!$I1440-Calcs!N$1402)/12)=(Calcs!$I1440-Calcs!N$1402)/12,Calcs!N1440,0))))</f>
        <v>0</v>
      </c>
      <c r="I570" s="239">
        <f>IF(OR(Calcs!$J$1402=Calcs!$I1440,Calcs!$I1440&gt;I$61),0,IF(OR(I$63="Monthly",I$63=""),Calcs!O1440,IF(AND(I$63="Quarterly",INT((Calcs!$I1440-Calcs!O$1402)/3)=(Calcs!$I1440-Calcs!O$1402)/3),Calcs!O1440,IF(INT((Calcs!$I1440-Calcs!O$1402)/12)=(Calcs!$I1440-Calcs!O$1402)/12,Calcs!O1440,0))))</f>
        <v>0</v>
      </c>
      <c r="J570" s="239">
        <f>IF(OR(Calcs!$J$1402=Calcs!$I1440,Calcs!$I1440&gt;J$61),0,IF(OR(J$63="Monthly",J$63=""),Calcs!P1440,IF(AND(J$63="Quarterly",INT((Calcs!$I1440-Calcs!P$1402)/3)=(Calcs!$I1440-Calcs!P$1402)/3),Calcs!P1440,IF(INT((Calcs!$I1440-Calcs!P$1402)/12)=(Calcs!$I1440-Calcs!P$1402)/12,Calcs!P1440,0))))</f>
        <v>0</v>
      </c>
      <c r="K570" s="239">
        <f>IF(OR(Calcs!$J$1402=Calcs!$I1440,Calcs!$I1440&gt;K$61),0,IF(OR(K$63="Monthly",K$63=""),Calcs!Q1440,IF(AND(K$63="Quarterly",INT((Calcs!$I1440-Calcs!Q$1402)/3)=(Calcs!$I1440-Calcs!Q$1402)/3),Calcs!Q1440,IF(INT((Calcs!$I1440-Calcs!Q$1402)/12)=(Calcs!$I1440-Calcs!Q$1402)/12,Calcs!Q1440,0))))</f>
        <v>0</v>
      </c>
      <c r="L570" s="239">
        <f>IF(OR(Calcs!$J$1402=Calcs!$I1440,Calcs!$I1440&gt;L$61),0,IF(OR(L$63="Monthly",L$63=""),Calcs!R1440,IF(AND(L$63="Quarterly",INT((Calcs!$I1440-Calcs!R$1402)/3)=(Calcs!$I1440-Calcs!R$1402)/3),Calcs!R1440,IF(INT((Calcs!$I1440-Calcs!R$1402)/12)=(Calcs!$I1440-Calcs!R$1402)/12,Calcs!R1440,0))))</f>
        <v>0</v>
      </c>
      <c r="M570" s="239">
        <f>IF(OR(Calcs!$J$1402=Calcs!$I1440,Calcs!$I1440&gt;M$61),0,IF(OR(M$63="Monthly",M$63=""),Calcs!S1440,IF(AND(M$63="Quarterly",INT((Calcs!$I1440-Calcs!S$1402)/3)=(Calcs!$I1440-Calcs!S$1402)/3),Calcs!S1440,IF(INT((Calcs!$I1440-Calcs!S$1402)/12)=(Calcs!$I1440-Calcs!S$1402)/12,Calcs!S1440,0))))</f>
        <v>0</v>
      </c>
      <c r="N570" s="239">
        <f>IF(OR(Calcs!$J$1402=Calcs!$I1440,Calcs!$I1440&gt;N$61),0,IF(OR(N$63="Monthly",N$63=""),Calcs!T1440,IF(AND(N$63="Quarterly",INT((Calcs!$I1440-Calcs!T$1402)/3)=(Calcs!$I1440-Calcs!T$1402)/3),Calcs!T1440,IF(INT((Calcs!$I1440-Calcs!T$1402)/12)=(Calcs!$I1440-Calcs!T$1402)/12,Calcs!T1440,0))))</f>
        <v>0</v>
      </c>
      <c r="O570" s="239">
        <f>IF(OR(Calcs!$J$1402=Calcs!$I1440,Calcs!$I1440&gt;O$61),0,IF(OR(O$63="Monthly",O$63=""),Calcs!U1440,IF(AND(O$63="Quarterly",INT((Calcs!$I1440-Calcs!U$1402)/3)=(Calcs!$I1440-Calcs!U$1402)/3),Calcs!U1440,IF(INT((Calcs!$I1440-Calcs!U$1402)/12)=(Calcs!$I1440-Calcs!U$1402)/12,Calcs!U1440,0))))</f>
        <v>0</v>
      </c>
      <c r="P570" s="239">
        <f>IF(OR(Calcs!$J$1402=Calcs!$I1440,Calcs!$I1440&gt;P$61),0,IF(OR(P$63="Monthly",P$63=""),Calcs!V1440,IF(AND(P$63="Quarterly",INT((Calcs!$I1440-Calcs!V$1402)/3)=(Calcs!$I1440-Calcs!V$1402)/3),Calcs!V1440,IF(INT((Calcs!$I1440-Calcs!V$1402)/12)=(Calcs!$I1440-Calcs!V$1402)/12,Calcs!V1440,0))))</f>
        <v>0</v>
      </c>
      <c r="Q570" s="239">
        <f>IF(OR(Calcs!$J$1402=Calcs!$I1440,Calcs!$I1440&gt;Q$61),0,IF(OR(Q$63="Monthly",Q$63=""),Calcs!W1440,IF(AND(Q$63="Quarterly",INT((Calcs!$I1440-Calcs!W$1402)/3)=(Calcs!$I1440-Calcs!W$1402)/3),Calcs!W1440,IF(INT((Calcs!$I1440-Calcs!W$1402)/12)=(Calcs!$I1440-Calcs!W$1402)/12,Calcs!W1440,0))))</f>
        <v>0</v>
      </c>
      <c r="R570" s="239">
        <f>IF(OR(Calcs!$J$1402=Calcs!$I1440,Calcs!$I1440&gt;R$61),0,IF(OR(R$63="Monthly",R$63=""),Calcs!X1440,IF(AND(R$63="Quarterly",INT((Calcs!$I1440-Calcs!X$1402)/3)=(Calcs!$I1440-Calcs!X$1402)/3),Calcs!X1440,IF(INT((Calcs!$I1440-Calcs!X$1402)/12)=(Calcs!$I1440-Calcs!X$1402)/12,Calcs!X1440,0))))</f>
        <v>0</v>
      </c>
      <c r="S570" s="239">
        <f>IF(OR(Calcs!$J$1402=Calcs!$I1440,Calcs!$I1440&gt;S$61),0,IF(OR(S$63="Monthly",S$63=""),Calcs!Y1440,IF(AND(S$63="Quarterly",INT((Calcs!$I1440-Calcs!Y$1402)/3)=(Calcs!$I1440-Calcs!Y$1402)/3),Calcs!Y1440,IF(INT((Calcs!$I1440-Calcs!Y$1402)/12)=(Calcs!$I1440-Calcs!Y$1402)/12,Calcs!Y1440,0))))</f>
        <v>0</v>
      </c>
      <c r="T570" s="239">
        <f>IF(OR(Calcs!$J$1402=Calcs!$I1440,Calcs!$I1440&gt;T$61),0,IF(OR(T$63="Monthly",T$63=""),Calcs!Z1440,IF(AND(T$63="Quarterly",INT((Calcs!$I1440-Calcs!Z$1402)/3)=(Calcs!$I1440-Calcs!Z$1402)/3),Calcs!Z1440,IF(INT((Calcs!$I1440-Calcs!Z$1402)/12)=(Calcs!$I1440-Calcs!Z$1402)/12,Calcs!Z1440,0))))</f>
        <v>0</v>
      </c>
      <c r="U570" s="239">
        <f>IF(OR(Calcs!$J$1402=Calcs!$I1440,Calcs!$I1440&gt;U$61),0,IF(OR(U$63="Monthly",U$63=""),Calcs!AA1440,IF(AND(U$63="Quarterly",INT((Calcs!$I1440-Calcs!AA$1402)/3)=(Calcs!$I1440-Calcs!AA$1402)/3),Calcs!AA1440,IF(INT((Calcs!$I1440-Calcs!AA$1402)/12)=(Calcs!$I1440-Calcs!AA$1402)/12,Calcs!AA1440,0))))</f>
        <v>0</v>
      </c>
      <c r="V570" s="239">
        <f>IF(OR(Calcs!$J$1402=Calcs!$I1440,Calcs!$I1440&gt;V$61),0,IF(OR(V$63="Monthly",V$63=""),Calcs!AB1440,IF(AND(V$63="Quarterly",INT((Calcs!$I1440-Calcs!AB$1402)/3)=(Calcs!$I1440-Calcs!AB$1402)/3),Calcs!AB1440,IF(INT((Calcs!$I1440-Calcs!AB$1402)/12)=(Calcs!$I1440-Calcs!AB$1402)/12,Calcs!AB1440,0))))</f>
        <v>0</v>
      </c>
      <c r="W570" s="239">
        <f>IF(OR(Calcs!$J$1402=Calcs!$I1440,Calcs!$I1440&gt;W$61),0,IF(OR(W$63="Monthly",W$63=""),Calcs!AC1440,IF(AND(W$63="Quarterly",INT((Calcs!$I1440-Calcs!AC$1402)/3)=(Calcs!$I1440-Calcs!AC$1402)/3),Calcs!AC1440,IF(INT((Calcs!$I1440-Calcs!AC$1402)/12)=(Calcs!$I1440-Calcs!AC$1402)/12,Calcs!AC1440,0))))</f>
        <v>0</v>
      </c>
      <c r="X570" s="239">
        <f>IF(OR(Calcs!$J$1402=Calcs!$I1440,Calcs!$I1440&gt;X$61),0,IF(OR(X$63="Monthly",X$63=""),Calcs!AD1440,IF(AND(X$63="Quarterly",INT((Calcs!$I1440-Calcs!AD$1402)/3)=(Calcs!$I1440-Calcs!AD$1402)/3),Calcs!AD1440,IF(INT((Calcs!$I1440-Calcs!AD$1402)/12)=(Calcs!$I1440-Calcs!AD$1402)/12,Calcs!AD1440,0))))</f>
        <v>0</v>
      </c>
      <c r="Y570" s="239">
        <f>IF(OR(Calcs!$J$1402=Calcs!$I1440,Calcs!$I1440&gt;Y$61),0,IF(OR(Y$63="Monthly",Y$63=""),Calcs!AE1440,IF(AND(Y$63="Quarterly",INT((Calcs!$I1440-Calcs!AE$1402)/3)=(Calcs!$I1440-Calcs!AE$1402)/3),Calcs!AE1440,IF(INT((Calcs!$I1440-Calcs!AE$1402)/12)=(Calcs!$I1440-Calcs!AE$1402)/12,Calcs!AE1440,0))))</f>
        <v>0</v>
      </c>
      <c r="Z570" s="239">
        <f>IF(OR(Calcs!$J$1402=Calcs!$I1440,Calcs!$I1440&gt;Z$61),0,IF(OR(Z$63="Monthly",Z$63=""),Calcs!AF1440,IF(AND(Z$63="Quarterly",INT((Calcs!$I1440-Calcs!AF$1402)/3)=(Calcs!$I1440-Calcs!AF$1402)/3),Calcs!AF1440,IF(INT((Calcs!$I1440-Calcs!AF$1402)/12)=(Calcs!$I1440-Calcs!AF$1402)/12,Calcs!AF1440,0))))</f>
        <v>0</v>
      </c>
      <c r="AA570" s="239">
        <f>IF(OR(Calcs!$J$1402=Calcs!$I1440,Calcs!$I1440&gt;AA$61),0,IF(OR(AA$63="Monthly",AA$63=""),Calcs!AG1440,IF(AND(AA$63="Quarterly",INT((Calcs!$I1440-Calcs!AG$1402)/3)=(Calcs!$I1440-Calcs!AG$1402)/3),Calcs!AG1440,IF(INT((Calcs!$I1440-Calcs!AG$1402)/12)=(Calcs!$I1440-Calcs!AG$1402)/12,Calcs!AG1440,0))))</f>
        <v>0</v>
      </c>
      <c r="AB570" s="239">
        <f>IF(OR(Calcs!$J$1402=Calcs!$I1440,Calcs!$I1440&gt;AB$61),0,IF(OR(AB$63="Monthly",AB$63=""),Calcs!AH1440,IF(AND(AB$63="Quarterly",INT((Calcs!$I1440-Calcs!AH$1402)/3)=(Calcs!$I1440-Calcs!AH$1402)/3),Calcs!AH1440,IF(INT((Calcs!$I1440-Calcs!AH$1402)/12)=(Calcs!$I1440-Calcs!AH$1402)/12,Calcs!AH1440,0))))</f>
        <v>0</v>
      </c>
      <c r="CH570" s="269"/>
      <c r="CI570" s="269"/>
      <c r="CJ570" s="269"/>
      <c r="CK570" s="269"/>
      <c r="CL570" s="269"/>
      <c r="CM570" s="269"/>
      <c r="CN570" s="269"/>
      <c r="CO570" s="269"/>
      <c r="CP570" s="269"/>
      <c r="CQ570" s="269"/>
      <c r="CR570" s="269"/>
      <c r="CS570" s="269"/>
    </row>
    <row r="571" spans="1:97" ht="12.5" thickBot="1" x14ac:dyDescent="0.35">
      <c r="A571" s="5"/>
      <c r="B571" s="5"/>
      <c r="C571" s="496">
        <f>C508</f>
        <v>1096</v>
      </c>
      <c r="D571" s="240">
        <f>IF(OR(Calcs!$J$1402=Calcs!$I1441,Calcs!$I1441&gt;D$61),0,IF(OR(D$63="Monthly",D$63=""),Calcs!J1441,IF(AND(D$63="Quarterly",INT((Calcs!$I1441-Calcs!J$1402)/3)=(Calcs!$I1441-Calcs!J$1402)/3),Calcs!J1441,IF(INT((Calcs!$I1441-Calcs!J$1402)/12)=(Calcs!$I1441-Calcs!J$1402)/12,Calcs!J1441,0))))</f>
        <v>0</v>
      </c>
      <c r="E571" s="240">
        <f>IF(OR(Calcs!$J$1402=Calcs!$I1441,Calcs!$I1441&gt;E$61),0,IF(OR(E$63="Monthly",E$63=""),Calcs!K1441,IF(AND(E$63="Quarterly",INT((Calcs!$I1441-Calcs!K$1402)/3)=(Calcs!$I1441-Calcs!K$1402)/3),Calcs!K1441,IF(INT((Calcs!$I1441-Calcs!K$1402)/12)=(Calcs!$I1441-Calcs!K$1402)/12,Calcs!K1441,0))))</f>
        <v>0</v>
      </c>
      <c r="F571" s="240">
        <f>IF(OR(Calcs!$J$1402=Calcs!$I1441,Calcs!$I1441&gt;F$61),0,IF(OR(F$63="Monthly",F$63=""),Calcs!L1441,IF(AND(F$63="Quarterly",INT((Calcs!$I1441-Calcs!L$1402)/3)=(Calcs!$I1441-Calcs!L$1402)/3),Calcs!L1441,IF(INT((Calcs!$I1441-Calcs!L$1402)/12)=(Calcs!$I1441-Calcs!L$1402)/12,Calcs!L1441,0))))</f>
        <v>0</v>
      </c>
      <c r="G571" s="240">
        <f>IF(OR(Calcs!$J$1402=Calcs!$I1441,Calcs!$I1441&gt;G$61),0,IF(OR(G$63="Monthly",G$63=""),Calcs!M1441,IF(AND(G$63="Quarterly",INT((Calcs!$I1441-Calcs!M$1402)/3)=(Calcs!$I1441-Calcs!M$1402)/3),Calcs!M1441,IF(INT((Calcs!$I1441-Calcs!M$1402)/12)=(Calcs!$I1441-Calcs!M$1402)/12,Calcs!M1441,0))))</f>
        <v>0</v>
      </c>
      <c r="H571" s="240">
        <f>IF(OR(Calcs!$J$1402=Calcs!$I1441,Calcs!$I1441&gt;H$61),0,IF(OR(H$63="Monthly",H$63=""),Calcs!N1441,IF(AND(H$63="Quarterly",INT((Calcs!$I1441-Calcs!N$1402)/3)=(Calcs!$I1441-Calcs!N$1402)/3),Calcs!N1441,IF(INT((Calcs!$I1441-Calcs!N$1402)/12)=(Calcs!$I1441-Calcs!N$1402)/12,Calcs!N1441,0))))</f>
        <v>0</v>
      </c>
      <c r="I571" s="240">
        <f>IF(OR(Calcs!$J$1402=Calcs!$I1441,Calcs!$I1441&gt;I$61),0,IF(OR(I$63="Monthly",I$63=""),Calcs!O1441,IF(AND(I$63="Quarterly",INT((Calcs!$I1441-Calcs!O$1402)/3)=(Calcs!$I1441-Calcs!O$1402)/3),Calcs!O1441,IF(INT((Calcs!$I1441-Calcs!O$1402)/12)=(Calcs!$I1441-Calcs!O$1402)/12,Calcs!O1441,0))))</f>
        <v>0</v>
      </c>
      <c r="J571" s="240">
        <f>IF(OR(Calcs!$J$1402=Calcs!$I1441,Calcs!$I1441&gt;J$61),0,IF(OR(J$63="Monthly",J$63=""),Calcs!P1441,IF(AND(J$63="Quarterly",INT((Calcs!$I1441-Calcs!P$1402)/3)=(Calcs!$I1441-Calcs!P$1402)/3),Calcs!P1441,IF(INT((Calcs!$I1441-Calcs!P$1402)/12)=(Calcs!$I1441-Calcs!P$1402)/12,Calcs!P1441,0))))</f>
        <v>0</v>
      </c>
      <c r="K571" s="240">
        <f>IF(OR(Calcs!$J$1402=Calcs!$I1441,Calcs!$I1441&gt;K$61),0,IF(OR(K$63="Monthly",K$63=""),Calcs!Q1441,IF(AND(K$63="Quarterly",INT((Calcs!$I1441-Calcs!Q$1402)/3)=(Calcs!$I1441-Calcs!Q$1402)/3),Calcs!Q1441,IF(INT((Calcs!$I1441-Calcs!Q$1402)/12)=(Calcs!$I1441-Calcs!Q$1402)/12,Calcs!Q1441,0))))</f>
        <v>0</v>
      </c>
      <c r="L571" s="240">
        <f>IF(OR(Calcs!$J$1402=Calcs!$I1441,Calcs!$I1441&gt;L$61),0,IF(OR(L$63="Monthly",L$63=""),Calcs!R1441,IF(AND(L$63="Quarterly",INT((Calcs!$I1441-Calcs!R$1402)/3)=(Calcs!$I1441-Calcs!R$1402)/3),Calcs!R1441,IF(INT((Calcs!$I1441-Calcs!R$1402)/12)=(Calcs!$I1441-Calcs!R$1402)/12,Calcs!R1441,0))))</f>
        <v>0</v>
      </c>
      <c r="M571" s="240">
        <f>IF(OR(Calcs!$J$1402=Calcs!$I1441,Calcs!$I1441&gt;M$61),0,IF(OR(M$63="Monthly",M$63=""),Calcs!S1441,IF(AND(M$63="Quarterly",INT((Calcs!$I1441-Calcs!S$1402)/3)=(Calcs!$I1441-Calcs!S$1402)/3),Calcs!S1441,IF(INT((Calcs!$I1441-Calcs!S$1402)/12)=(Calcs!$I1441-Calcs!S$1402)/12,Calcs!S1441,0))))</f>
        <v>0</v>
      </c>
      <c r="N571" s="240">
        <f>IF(OR(Calcs!$J$1402=Calcs!$I1441,Calcs!$I1441&gt;N$61),0,IF(OR(N$63="Monthly",N$63=""),Calcs!T1441,IF(AND(N$63="Quarterly",INT((Calcs!$I1441-Calcs!T$1402)/3)=(Calcs!$I1441-Calcs!T$1402)/3),Calcs!T1441,IF(INT((Calcs!$I1441-Calcs!T$1402)/12)=(Calcs!$I1441-Calcs!T$1402)/12,Calcs!T1441,0))))</f>
        <v>0</v>
      </c>
      <c r="O571" s="240">
        <f>IF(OR(Calcs!$J$1402=Calcs!$I1441,Calcs!$I1441&gt;O$61),0,IF(OR(O$63="Monthly",O$63=""),Calcs!U1441,IF(AND(O$63="Quarterly",INT((Calcs!$I1441-Calcs!U$1402)/3)=(Calcs!$I1441-Calcs!U$1402)/3),Calcs!U1441,IF(INT((Calcs!$I1441-Calcs!U$1402)/12)=(Calcs!$I1441-Calcs!U$1402)/12,Calcs!U1441,0))))</f>
        <v>0</v>
      </c>
      <c r="P571" s="240">
        <f>IF(OR(Calcs!$J$1402=Calcs!$I1441,Calcs!$I1441&gt;P$61),0,IF(OR(P$63="Monthly",P$63=""),Calcs!V1441,IF(AND(P$63="Quarterly",INT((Calcs!$I1441-Calcs!V$1402)/3)=(Calcs!$I1441-Calcs!V$1402)/3),Calcs!V1441,IF(INT((Calcs!$I1441-Calcs!V$1402)/12)=(Calcs!$I1441-Calcs!V$1402)/12,Calcs!V1441,0))))</f>
        <v>0</v>
      </c>
      <c r="Q571" s="240">
        <f>IF(OR(Calcs!$J$1402=Calcs!$I1441,Calcs!$I1441&gt;Q$61),0,IF(OR(Q$63="Monthly",Q$63=""),Calcs!W1441,IF(AND(Q$63="Quarterly",INT((Calcs!$I1441-Calcs!W$1402)/3)=(Calcs!$I1441-Calcs!W$1402)/3),Calcs!W1441,IF(INT((Calcs!$I1441-Calcs!W$1402)/12)=(Calcs!$I1441-Calcs!W$1402)/12,Calcs!W1441,0))))</f>
        <v>0</v>
      </c>
      <c r="R571" s="240">
        <f>IF(OR(Calcs!$J$1402=Calcs!$I1441,Calcs!$I1441&gt;R$61),0,IF(OR(R$63="Monthly",R$63=""),Calcs!X1441,IF(AND(R$63="Quarterly",INT((Calcs!$I1441-Calcs!X$1402)/3)=(Calcs!$I1441-Calcs!X$1402)/3),Calcs!X1441,IF(INT((Calcs!$I1441-Calcs!X$1402)/12)=(Calcs!$I1441-Calcs!X$1402)/12,Calcs!X1441,0))))</f>
        <v>0</v>
      </c>
      <c r="S571" s="240">
        <f>IF(OR(Calcs!$J$1402=Calcs!$I1441,Calcs!$I1441&gt;S$61),0,IF(OR(S$63="Monthly",S$63=""),Calcs!Y1441,IF(AND(S$63="Quarterly",INT((Calcs!$I1441-Calcs!Y$1402)/3)=(Calcs!$I1441-Calcs!Y$1402)/3),Calcs!Y1441,IF(INT((Calcs!$I1441-Calcs!Y$1402)/12)=(Calcs!$I1441-Calcs!Y$1402)/12,Calcs!Y1441,0))))</f>
        <v>0</v>
      </c>
      <c r="T571" s="240">
        <f>IF(OR(Calcs!$J$1402=Calcs!$I1441,Calcs!$I1441&gt;T$61),0,IF(OR(T$63="Monthly",T$63=""),Calcs!Z1441,IF(AND(T$63="Quarterly",INT((Calcs!$I1441-Calcs!Z$1402)/3)=(Calcs!$I1441-Calcs!Z$1402)/3),Calcs!Z1441,IF(INT((Calcs!$I1441-Calcs!Z$1402)/12)=(Calcs!$I1441-Calcs!Z$1402)/12,Calcs!Z1441,0))))</f>
        <v>0</v>
      </c>
      <c r="U571" s="240">
        <f>IF(OR(Calcs!$J$1402=Calcs!$I1441,Calcs!$I1441&gt;U$61),0,IF(OR(U$63="Monthly",U$63=""),Calcs!AA1441,IF(AND(U$63="Quarterly",INT((Calcs!$I1441-Calcs!AA$1402)/3)=(Calcs!$I1441-Calcs!AA$1402)/3),Calcs!AA1441,IF(INT((Calcs!$I1441-Calcs!AA$1402)/12)=(Calcs!$I1441-Calcs!AA$1402)/12,Calcs!AA1441,0))))</f>
        <v>0</v>
      </c>
      <c r="V571" s="240">
        <f>IF(OR(Calcs!$J$1402=Calcs!$I1441,Calcs!$I1441&gt;V$61),0,IF(OR(V$63="Monthly",V$63=""),Calcs!AB1441,IF(AND(V$63="Quarterly",INT((Calcs!$I1441-Calcs!AB$1402)/3)=(Calcs!$I1441-Calcs!AB$1402)/3),Calcs!AB1441,IF(INT((Calcs!$I1441-Calcs!AB$1402)/12)=(Calcs!$I1441-Calcs!AB$1402)/12,Calcs!AB1441,0))))</f>
        <v>0</v>
      </c>
      <c r="W571" s="240">
        <f>IF(OR(Calcs!$J$1402=Calcs!$I1441,Calcs!$I1441&gt;W$61),0,IF(OR(W$63="Monthly",W$63=""),Calcs!AC1441,IF(AND(W$63="Quarterly",INT((Calcs!$I1441-Calcs!AC$1402)/3)=(Calcs!$I1441-Calcs!AC$1402)/3),Calcs!AC1441,IF(INT((Calcs!$I1441-Calcs!AC$1402)/12)=(Calcs!$I1441-Calcs!AC$1402)/12,Calcs!AC1441,0))))</f>
        <v>0</v>
      </c>
      <c r="X571" s="240">
        <f>IF(OR(Calcs!$J$1402=Calcs!$I1441,Calcs!$I1441&gt;X$61),0,IF(OR(X$63="Monthly",X$63=""),Calcs!AD1441,IF(AND(X$63="Quarterly",INT((Calcs!$I1441-Calcs!AD$1402)/3)=(Calcs!$I1441-Calcs!AD$1402)/3),Calcs!AD1441,IF(INT((Calcs!$I1441-Calcs!AD$1402)/12)=(Calcs!$I1441-Calcs!AD$1402)/12,Calcs!AD1441,0))))</f>
        <v>0</v>
      </c>
      <c r="Y571" s="240">
        <f>IF(OR(Calcs!$J$1402=Calcs!$I1441,Calcs!$I1441&gt;Y$61),0,IF(OR(Y$63="Monthly",Y$63=""),Calcs!AE1441,IF(AND(Y$63="Quarterly",INT((Calcs!$I1441-Calcs!AE$1402)/3)=(Calcs!$I1441-Calcs!AE$1402)/3),Calcs!AE1441,IF(INT((Calcs!$I1441-Calcs!AE$1402)/12)=(Calcs!$I1441-Calcs!AE$1402)/12,Calcs!AE1441,0))))</f>
        <v>0</v>
      </c>
      <c r="Z571" s="240">
        <f>IF(OR(Calcs!$J$1402=Calcs!$I1441,Calcs!$I1441&gt;Z$61),0,IF(OR(Z$63="Monthly",Z$63=""),Calcs!AF1441,IF(AND(Z$63="Quarterly",INT((Calcs!$I1441-Calcs!AF$1402)/3)=(Calcs!$I1441-Calcs!AF$1402)/3),Calcs!AF1441,IF(INT((Calcs!$I1441-Calcs!AF$1402)/12)=(Calcs!$I1441-Calcs!AF$1402)/12,Calcs!AF1441,0))))</f>
        <v>0</v>
      </c>
      <c r="AA571" s="240">
        <f>IF(OR(Calcs!$J$1402=Calcs!$I1441,Calcs!$I1441&gt;AA$61),0,IF(OR(AA$63="Monthly",AA$63=""),Calcs!AG1441,IF(AND(AA$63="Quarterly",INT((Calcs!$I1441-Calcs!AG$1402)/3)=(Calcs!$I1441-Calcs!AG$1402)/3),Calcs!AG1441,IF(INT((Calcs!$I1441-Calcs!AG$1402)/12)=(Calcs!$I1441-Calcs!AG$1402)/12,Calcs!AG1441,0))))</f>
        <v>0</v>
      </c>
      <c r="AB571" s="240">
        <f>IF(OR(Calcs!$J$1402=Calcs!$I1441,Calcs!$I1441&gt;AB$61),0,IF(OR(AB$63="Monthly",AB$63=""),Calcs!AH1441,IF(AND(AB$63="Quarterly",INT((Calcs!$I1441-Calcs!AH$1402)/3)=(Calcs!$I1441-Calcs!AH$1402)/3),Calcs!AH1441,IF(INT((Calcs!$I1441-Calcs!AH$1402)/12)=(Calcs!$I1441-Calcs!AH$1402)/12,Calcs!AH1441,0))))</f>
        <v>0</v>
      </c>
      <c r="CH571" s="269"/>
      <c r="CI571" s="269"/>
      <c r="CJ571" s="269"/>
      <c r="CK571" s="269"/>
      <c r="CL571" s="269"/>
      <c r="CM571" s="269"/>
      <c r="CN571" s="269"/>
      <c r="CO571" s="269"/>
      <c r="CP571" s="269"/>
      <c r="CQ571" s="269"/>
      <c r="CR571" s="269"/>
      <c r="CS571" s="269"/>
    </row>
    <row r="572" spans="1:97" x14ac:dyDescent="0.3">
      <c r="A572" s="5"/>
      <c r="B572" s="5"/>
      <c r="C572" s="495">
        <f>C509</f>
        <v>1127</v>
      </c>
      <c r="D572" s="842">
        <f>IF(OR(Calcs!$J$1402=Calcs!$I1442,Calcs!$I1442&gt;D$61),0,IF(OR(D$63="Monthly",D$63=""),Calcs!J1442,IF(AND(D$63="Quarterly",INT((Calcs!$I1442-Calcs!J$1402)/3)=(Calcs!$I1442-Calcs!J$1402)/3),Calcs!J1442,IF(INT((Calcs!$I1442-Calcs!J$1402)/12)=(Calcs!$I1442-Calcs!J$1402)/12,Calcs!J1442,0))))</f>
        <v>0</v>
      </c>
      <c r="E572" s="843">
        <f>IF(OR(Calcs!$J$1402=Calcs!$I1442,Calcs!$I1442&gt;E$61),0,IF(OR(E$63="Monthly",E$63=""),Calcs!K1442,IF(AND(E$63="Quarterly",INT((Calcs!$I1442-Calcs!K$1402)/3)=(Calcs!$I1442-Calcs!K$1402)/3),Calcs!K1442,IF(INT((Calcs!$I1442-Calcs!K$1402)/12)=(Calcs!$I1442-Calcs!K$1402)/12,Calcs!K1442,0))))</f>
        <v>0</v>
      </c>
      <c r="F572" s="843">
        <f>IF(OR(Calcs!$J$1402=Calcs!$I1442,Calcs!$I1442&gt;F$61),0,IF(OR(F$63="Monthly",F$63=""),Calcs!L1442,IF(AND(F$63="Quarterly",INT((Calcs!$I1442-Calcs!L$1402)/3)=(Calcs!$I1442-Calcs!L$1402)/3),Calcs!L1442,IF(INT((Calcs!$I1442-Calcs!L$1402)/12)=(Calcs!$I1442-Calcs!L$1402)/12,Calcs!L1442,0))))</f>
        <v>0</v>
      </c>
      <c r="G572" s="843">
        <f>IF(OR(Calcs!$J$1402=Calcs!$I1442,Calcs!$I1442&gt;G$61),0,IF(OR(G$63="Monthly",G$63=""),Calcs!M1442,IF(AND(G$63="Quarterly",INT((Calcs!$I1442-Calcs!M$1402)/3)=(Calcs!$I1442-Calcs!M$1402)/3),Calcs!M1442,IF(INT((Calcs!$I1442-Calcs!M$1402)/12)=(Calcs!$I1442-Calcs!M$1402)/12,Calcs!M1442,0))))</f>
        <v>0</v>
      </c>
      <c r="H572" s="843">
        <f>IF(OR(Calcs!$J$1402=Calcs!$I1442,Calcs!$I1442&gt;H$61),0,IF(OR(H$63="Monthly",H$63=""),Calcs!N1442,IF(AND(H$63="Quarterly",INT((Calcs!$I1442-Calcs!N$1402)/3)=(Calcs!$I1442-Calcs!N$1402)/3),Calcs!N1442,IF(INT((Calcs!$I1442-Calcs!N$1402)/12)=(Calcs!$I1442-Calcs!N$1402)/12,Calcs!N1442,0))))</f>
        <v>0</v>
      </c>
      <c r="I572" s="843">
        <f>IF(OR(Calcs!$J$1402=Calcs!$I1442,Calcs!$I1442&gt;I$61),0,IF(OR(I$63="Monthly",I$63=""),Calcs!O1442,IF(AND(I$63="Quarterly",INT((Calcs!$I1442-Calcs!O$1402)/3)=(Calcs!$I1442-Calcs!O$1402)/3),Calcs!O1442,IF(INT((Calcs!$I1442-Calcs!O$1402)/12)=(Calcs!$I1442-Calcs!O$1402)/12,Calcs!O1442,0))))</f>
        <v>0</v>
      </c>
      <c r="J572" s="843">
        <f>IF(OR(Calcs!$J$1402=Calcs!$I1442,Calcs!$I1442&gt;J$61),0,IF(OR(J$63="Monthly",J$63=""),Calcs!P1442,IF(AND(J$63="Quarterly",INT((Calcs!$I1442-Calcs!P$1402)/3)=(Calcs!$I1442-Calcs!P$1402)/3),Calcs!P1442,IF(INT((Calcs!$I1442-Calcs!P$1402)/12)=(Calcs!$I1442-Calcs!P$1402)/12,Calcs!P1442,0))))</f>
        <v>0</v>
      </c>
      <c r="K572" s="843">
        <f>IF(OR(Calcs!$J$1402=Calcs!$I1442,Calcs!$I1442&gt;K$61),0,IF(OR(K$63="Monthly",K$63=""),Calcs!Q1442,IF(AND(K$63="Quarterly",INT((Calcs!$I1442-Calcs!Q$1402)/3)=(Calcs!$I1442-Calcs!Q$1402)/3),Calcs!Q1442,IF(INT((Calcs!$I1442-Calcs!Q$1402)/12)=(Calcs!$I1442-Calcs!Q$1402)/12,Calcs!Q1442,0))))</f>
        <v>0</v>
      </c>
      <c r="L572" s="843">
        <f>IF(OR(Calcs!$J$1402=Calcs!$I1442,Calcs!$I1442&gt;L$61),0,IF(OR(L$63="Monthly",L$63=""),Calcs!R1442,IF(AND(L$63="Quarterly",INT((Calcs!$I1442-Calcs!R$1402)/3)=(Calcs!$I1442-Calcs!R$1402)/3),Calcs!R1442,IF(INT((Calcs!$I1442-Calcs!R$1402)/12)=(Calcs!$I1442-Calcs!R$1402)/12,Calcs!R1442,0))))</f>
        <v>0</v>
      </c>
      <c r="M572" s="843">
        <f>IF(OR(Calcs!$J$1402=Calcs!$I1442,Calcs!$I1442&gt;M$61),0,IF(OR(M$63="Monthly",M$63=""),Calcs!S1442,IF(AND(M$63="Quarterly",INT((Calcs!$I1442-Calcs!S$1402)/3)=(Calcs!$I1442-Calcs!S$1402)/3),Calcs!S1442,IF(INT((Calcs!$I1442-Calcs!S$1402)/12)=(Calcs!$I1442-Calcs!S$1402)/12,Calcs!S1442,0))))</f>
        <v>0</v>
      </c>
      <c r="N572" s="843">
        <f>IF(OR(Calcs!$J$1402=Calcs!$I1442,Calcs!$I1442&gt;N$61),0,IF(OR(N$63="Monthly",N$63=""),Calcs!T1442,IF(AND(N$63="Quarterly",INT((Calcs!$I1442-Calcs!T$1402)/3)=(Calcs!$I1442-Calcs!T$1402)/3),Calcs!T1442,IF(INT((Calcs!$I1442-Calcs!T$1402)/12)=(Calcs!$I1442-Calcs!T$1402)/12,Calcs!T1442,0))))</f>
        <v>0</v>
      </c>
      <c r="O572" s="843">
        <f>IF(OR(Calcs!$J$1402=Calcs!$I1442,Calcs!$I1442&gt;O$61),0,IF(OR(O$63="Monthly",O$63=""),Calcs!U1442,IF(AND(O$63="Quarterly",INT((Calcs!$I1442-Calcs!U$1402)/3)=(Calcs!$I1442-Calcs!U$1402)/3),Calcs!U1442,IF(INT((Calcs!$I1442-Calcs!U$1402)/12)=(Calcs!$I1442-Calcs!U$1402)/12,Calcs!U1442,0))))</f>
        <v>0</v>
      </c>
      <c r="P572" s="843">
        <f>IF(OR(Calcs!$J$1402=Calcs!$I1442,Calcs!$I1442&gt;P$61),0,IF(OR(P$63="Monthly",P$63=""),Calcs!V1442,IF(AND(P$63="Quarterly",INT((Calcs!$I1442-Calcs!V$1402)/3)=(Calcs!$I1442-Calcs!V$1402)/3),Calcs!V1442,IF(INT((Calcs!$I1442-Calcs!V$1402)/12)=(Calcs!$I1442-Calcs!V$1402)/12,Calcs!V1442,0))))</f>
        <v>0</v>
      </c>
      <c r="Q572" s="843">
        <f>IF(OR(Calcs!$J$1402=Calcs!$I1442,Calcs!$I1442&gt;Q$61),0,IF(OR(Q$63="Monthly",Q$63=""),Calcs!W1442,IF(AND(Q$63="Quarterly",INT((Calcs!$I1442-Calcs!W$1402)/3)=(Calcs!$I1442-Calcs!W$1402)/3),Calcs!W1442,IF(INT((Calcs!$I1442-Calcs!W$1402)/12)=(Calcs!$I1442-Calcs!W$1402)/12,Calcs!W1442,0))))</f>
        <v>0</v>
      </c>
      <c r="R572" s="843">
        <f>IF(OR(Calcs!$J$1402=Calcs!$I1442,Calcs!$I1442&gt;R$61),0,IF(OR(R$63="Monthly",R$63=""),Calcs!X1442,IF(AND(R$63="Quarterly",INT((Calcs!$I1442-Calcs!X$1402)/3)=(Calcs!$I1442-Calcs!X$1402)/3),Calcs!X1442,IF(INT((Calcs!$I1442-Calcs!X$1402)/12)=(Calcs!$I1442-Calcs!X$1402)/12,Calcs!X1442,0))))</f>
        <v>0</v>
      </c>
      <c r="S572" s="843">
        <f>IF(OR(Calcs!$J$1402=Calcs!$I1442,Calcs!$I1442&gt;S$61),0,IF(OR(S$63="Monthly",S$63=""),Calcs!Y1442,IF(AND(S$63="Quarterly",INT((Calcs!$I1442-Calcs!Y$1402)/3)=(Calcs!$I1442-Calcs!Y$1402)/3),Calcs!Y1442,IF(INT((Calcs!$I1442-Calcs!Y$1402)/12)=(Calcs!$I1442-Calcs!Y$1402)/12,Calcs!Y1442,0))))</f>
        <v>0</v>
      </c>
      <c r="T572" s="843">
        <f>IF(OR(Calcs!$J$1402=Calcs!$I1442,Calcs!$I1442&gt;T$61),0,IF(OR(T$63="Monthly",T$63=""),Calcs!Z1442,IF(AND(T$63="Quarterly",INT((Calcs!$I1442-Calcs!Z$1402)/3)=(Calcs!$I1442-Calcs!Z$1402)/3),Calcs!Z1442,IF(INT((Calcs!$I1442-Calcs!Z$1402)/12)=(Calcs!$I1442-Calcs!Z$1402)/12,Calcs!Z1442,0))))</f>
        <v>0</v>
      </c>
      <c r="U572" s="843">
        <f>IF(OR(Calcs!$J$1402=Calcs!$I1442,Calcs!$I1442&gt;U$61),0,IF(OR(U$63="Monthly",U$63=""),Calcs!AA1442,IF(AND(U$63="Quarterly",INT((Calcs!$I1442-Calcs!AA$1402)/3)=(Calcs!$I1442-Calcs!AA$1402)/3),Calcs!AA1442,IF(INT((Calcs!$I1442-Calcs!AA$1402)/12)=(Calcs!$I1442-Calcs!AA$1402)/12,Calcs!AA1442,0))))</f>
        <v>0</v>
      </c>
      <c r="V572" s="843">
        <f>IF(OR(Calcs!$J$1402=Calcs!$I1442,Calcs!$I1442&gt;V$61),0,IF(OR(V$63="Monthly",V$63=""),Calcs!AB1442,IF(AND(V$63="Quarterly",INT((Calcs!$I1442-Calcs!AB$1402)/3)=(Calcs!$I1442-Calcs!AB$1402)/3),Calcs!AB1442,IF(INT((Calcs!$I1442-Calcs!AB$1402)/12)=(Calcs!$I1442-Calcs!AB$1402)/12,Calcs!AB1442,0))))</f>
        <v>0</v>
      </c>
      <c r="W572" s="843">
        <f>IF(OR(Calcs!$J$1402=Calcs!$I1442,Calcs!$I1442&gt;W$61),0,IF(OR(W$63="Monthly",W$63=""),Calcs!AC1442,IF(AND(W$63="Quarterly",INT((Calcs!$I1442-Calcs!AC$1402)/3)=(Calcs!$I1442-Calcs!AC$1402)/3),Calcs!AC1442,IF(INT((Calcs!$I1442-Calcs!AC$1402)/12)=(Calcs!$I1442-Calcs!AC$1402)/12,Calcs!AC1442,0))))</f>
        <v>0</v>
      </c>
      <c r="X572" s="843">
        <f>IF(OR(Calcs!$J$1402=Calcs!$I1442,Calcs!$I1442&gt;X$61),0,IF(OR(X$63="Monthly",X$63=""),Calcs!AD1442,IF(AND(X$63="Quarterly",INT((Calcs!$I1442-Calcs!AD$1402)/3)=(Calcs!$I1442-Calcs!AD$1402)/3),Calcs!AD1442,IF(INT((Calcs!$I1442-Calcs!AD$1402)/12)=(Calcs!$I1442-Calcs!AD$1402)/12,Calcs!AD1442,0))))</f>
        <v>0</v>
      </c>
      <c r="Y572" s="843">
        <f>IF(OR(Calcs!$J$1402=Calcs!$I1442,Calcs!$I1442&gt;Y$61),0,IF(OR(Y$63="Monthly",Y$63=""),Calcs!AE1442,IF(AND(Y$63="Quarterly",INT((Calcs!$I1442-Calcs!AE$1402)/3)=(Calcs!$I1442-Calcs!AE$1402)/3),Calcs!AE1442,IF(INT((Calcs!$I1442-Calcs!AE$1402)/12)=(Calcs!$I1442-Calcs!AE$1402)/12,Calcs!AE1442,0))))</f>
        <v>0</v>
      </c>
      <c r="Z572" s="843">
        <f>IF(OR(Calcs!$J$1402=Calcs!$I1442,Calcs!$I1442&gt;Z$61),0,IF(OR(Z$63="Monthly",Z$63=""),Calcs!AF1442,IF(AND(Z$63="Quarterly",INT((Calcs!$I1442-Calcs!AF$1402)/3)=(Calcs!$I1442-Calcs!AF$1402)/3),Calcs!AF1442,IF(INT((Calcs!$I1442-Calcs!AF$1402)/12)=(Calcs!$I1442-Calcs!AF$1402)/12,Calcs!AF1442,0))))</f>
        <v>0</v>
      </c>
      <c r="AA572" s="843">
        <f>IF(OR(Calcs!$J$1402=Calcs!$I1442,Calcs!$I1442&gt;AA$61),0,IF(OR(AA$63="Monthly",AA$63=""),Calcs!AG1442,IF(AND(AA$63="Quarterly",INT((Calcs!$I1442-Calcs!AG$1402)/3)=(Calcs!$I1442-Calcs!AG$1402)/3),Calcs!AG1442,IF(INT((Calcs!$I1442-Calcs!AG$1402)/12)=(Calcs!$I1442-Calcs!AG$1402)/12,Calcs!AG1442,0))))</f>
        <v>0</v>
      </c>
      <c r="AB572" s="844">
        <f>IF(OR(Calcs!$J$1402=Calcs!$I1442,Calcs!$I1442&gt;AB$61),0,IF(OR(AB$63="Monthly",AB$63=""),Calcs!AH1442,IF(AND(AB$63="Quarterly",INT((Calcs!$I1442-Calcs!AH$1402)/3)=(Calcs!$I1442-Calcs!AH$1402)/3),Calcs!AH1442,IF(INT((Calcs!$I1442-Calcs!AH$1402)/12)=(Calcs!$I1442-Calcs!AH$1402)/12,Calcs!AH1442,0))))</f>
        <v>0</v>
      </c>
      <c r="CH572" s="269"/>
      <c r="CI572" s="269"/>
      <c r="CJ572" s="269"/>
      <c r="CK572" s="269"/>
      <c r="CL572" s="269"/>
      <c r="CM572" s="269"/>
      <c r="CN572" s="269"/>
      <c r="CO572" s="269"/>
      <c r="CP572" s="269"/>
      <c r="CQ572" s="269"/>
      <c r="CR572" s="269"/>
      <c r="CS572" s="269"/>
    </row>
    <row r="573" spans="1:97" x14ac:dyDescent="0.3">
      <c r="A573" s="5"/>
      <c r="B573" s="5"/>
      <c r="C573" s="495">
        <f>C510</f>
        <v>1155</v>
      </c>
      <c r="D573" s="845">
        <f>IF(OR(Calcs!$J$1402=Calcs!$I1443,Calcs!$I1443&gt;D$61),0,IF(OR(D$63="Monthly",D$63=""),Calcs!J1443,IF(AND(D$63="Quarterly",INT((Calcs!$I1443-Calcs!J$1402)/3)=(Calcs!$I1443-Calcs!J$1402)/3),Calcs!J1443,IF(INT((Calcs!$I1443-Calcs!J$1402)/12)=(Calcs!$I1443-Calcs!J$1402)/12,Calcs!J1443,0))))</f>
        <v>0</v>
      </c>
      <c r="E573" s="846">
        <f>IF(OR(Calcs!$J$1402=Calcs!$I1443,Calcs!$I1443&gt;E$61),0,IF(OR(E$63="Monthly",E$63=""),Calcs!K1443,IF(AND(E$63="Quarterly",INT((Calcs!$I1443-Calcs!K$1402)/3)=(Calcs!$I1443-Calcs!K$1402)/3),Calcs!K1443,IF(INT((Calcs!$I1443-Calcs!K$1402)/12)=(Calcs!$I1443-Calcs!K$1402)/12,Calcs!K1443,0))))</f>
        <v>0</v>
      </c>
      <c r="F573" s="846">
        <f>IF(OR(Calcs!$J$1402=Calcs!$I1443,Calcs!$I1443&gt;F$61),0,IF(OR(F$63="Monthly",F$63=""),Calcs!L1443,IF(AND(F$63="Quarterly",INT((Calcs!$I1443-Calcs!L$1402)/3)=(Calcs!$I1443-Calcs!L$1402)/3),Calcs!L1443,IF(INT((Calcs!$I1443-Calcs!L$1402)/12)=(Calcs!$I1443-Calcs!L$1402)/12,Calcs!L1443,0))))</f>
        <v>0</v>
      </c>
      <c r="G573" s="846">
        <f>IF(OR(Calcs!$J$1402=Calcs!$I1443,Calcs!$I1443&gt;G$61),0,IF(OR(G$63="Monthly",G$63=""),Calcs!M1443,IF(AND(G$63="Quarterly",INT((Calcs!$I1443-Calcs!M$1402)/3)=(Calcs!$I1443-Calcs!M$1402)/3),Calcs!M1443,IF(INT((Calcs!$I1443-Calcs!M$1402)/12)=(Calcs!$I1443-Calcs!M$1402)/12,Calcs!M1443,0))))</f>
        <v>0</v>
      </c>
      <c r="H573" s="846">
        <f>IF(OR(Calcs!$J$1402=Calcs!$I1443,Calcs!$I1443&gt;H$61),0,IF(OR(H$63="Monthly",H$63=""),Calcs!N1443,IF(AND(H$63="Quarterly",INT((Calcs!$I1443-Calcs!N$1402)/3)=(Calcs!$I1443-Calcs!N$1402)/3),Calcs!N1443,IF(INT((Calcs!$I1443-Calcs!N$1402)/12)=(Calcs!$I1443-Calcs!N$1402)/12,Calcs!N1443,0))))</f>
        <v>0</v>
      </c>
      <c r="I573" s="846">
        <f>IF(OR(Calcs!$J$1402=Calcs!$I1443,Calcs!$I1443&gt;I$61),0,IF(OR(I$63="Monthly",I$63=""),Calcs!O1443,IF(AND(I$63="Quarterly",INT((Calcs!$I1443-Calcs!O$1402)/3)=(Calcs!$I1443-Calcs!O$1402)/3),Calcs!O1443,IF(INT((Calcs!$I1443-Calcs!O$1402)/12)=(Calcs!$I1443-Calcs!O$1402)/12,Calcs!O1443,0))))</f>
        <v>0</v>
      </c>
      <c r="J573" s="846">
        <f>IF(OR(Calcs!$J$1402=Calcs!$I1443,Calcs!$I1443&gt;J$61),0,IF(OR(J$63="Monthly",J$63=""),Calcs!P1443,IF(AND(J$63="Quarterly",INT((Calcs!$I1443-Calcs!P$1402)/3)=(Calcs!$I1443-Calcs!P$1402)/3),Calcs!P1443,IF(INT((Calcs!$I1443-Calcs!P$1402)/12)=(Calcs!$I1443-Calcs!P$1402)/12,Calcs!P1443,0))))</f>
        <v>0</v>
      </c>
      <c r="K573" s="846">
        <f>IF(OR(Calcs!$J$1402=Calcs!$I1443,Calcs!$I1443&gt;K$61),0,IF(OR(K$63="Monthly",K$63=""),Calcs!Q1443,IF(AND(K$63="Quarterly",INT((Calcs!$I1443-Calcs!Q$1402)/3)=(Calcs!$I1443-Calcs!Q$1402)/3),Calcs!Q1443,IF(INT((Calcs!$I1443-Calcs!Q$1402)/12)=(Calcs!$I1443-Calcs!Q$1402)/12,Calcs!Q1443,0))))</f>
        <v>0</v>
      </c>
      <c r="L573" s="846">
        <f>IF(OR(Calcs!$J$1402=Calcs!$I1443,Calcs!$I1443&gt;L$61),0,IF(OR(L$63="Monthly",L$63=""),Calcs!R1443,IF(AND(L$63="Quarterly",INT((Calcs!$I1443-Calcs!R$1402)/3)=(Calcs!$I1443-Calcs!R$1402)/3),Calcs!R1443,IF(INT((Calcs!$I1443-Calcs!R$1402)/12)=(Calcs!$I1443-Calcs!R$1402)/12,Calcs!R1443,0))))</f>
        <v>0</v>
      </c>
      <c r="M573" s="846">
        <f>IF(OR(Calcs!$J$1402=Calcs!$I1443,Calcs!$I1443&gt;M$61),0,IF(OR(M$63="Monthly",M$63=""),Calcs!S1443,IF(AND(M$63="Quarterly",INT((Calcs!$I1443-Calcs!S$1402)/3)=(Calcs!$I1443-Calcs!S$1402)/3),Calcs!S1443,IF(INT((Calcs!$I1443-Calcs!S$1402)/12)=(Calcs!$I1443-Calcs!S$1402)/12,Calcs!S1443,0))))</f>
        <v>0</v>
      </c>
      <c r="N573" s="846">
        <f>IF(OR(Calcs!$J$1402=Calcs!$I1443,Calcs!$I1443&gt;N$61),0,IF(OR(N$63="Monthly",N$63=""),Calcs!T1443,IF(AND(N$63="Quarterly",INT((Calcs!$I1443-Calcs!T$1402)/3)=(Calcs!$I1443-Calcs!T$1402)/3),Calcs!T1443,IF(INT((Calcs!$I1443-Calcs!T$1402)/12)=(Calcs!$I1443-Calcs!T$1402)/12,Calcs!T1443,0))))</f>
        <v>0</v>
      </c>
      <c r="O573" s="846">
        <f>IF(OR(Calcs!$J$1402=Calcs!$I1443,Calcs!$I1443&gt;O$61),0,IF(OR(O$63="Monthly",O$63=""),Calcs!U1443,IF(AND(O$63="Quarterly",INT((Calcs!$I1443-Calcs!U$1402)/3)=(Calcs!$I1443-Calcs!U$1402)/3),Calcs!U1443,IF(INT((Calcs!$I1443-Calcs!U$1402)/12)=(Calcs!$I1443-Calcs!U$1402)/12,Calcs!U1443,0))))</f>
        <v>0</v>
      </c>
      <c r="P573" s="846">
        <f>IF(OR(Calcs!$J$1402=Calcs!$I1443,Calcs!$I1443&gt;P$61),0,IF(OR(P$63="Monthly",P$63=""),Calcs!V1443,IF(AND(P$63="Quarterly",INT((Calcs!$I1443-Calcs!V$1402)/3)=(Calcs!$I1443-Calcs!V$1402)/3),Calcs!V1443,IF(INT((Calcs!$I1443-Calcs!V$1402)/12)=(Calcs!$I1443-Calcs!V$1402)/12,Calcs!V1443,0))))</f>
        <v>0</v>
      </c>
      <c r="Q573" s="846">
        <f>IF(OR(Calcs!$J$1402=Calcs!$I1443,Calcs!$I1443&gt;Q$61),0,IF(OR(Q$63="Monthly",Q$63=""),Calcs!W1443,IF(AND(Q$63="Quarterly",INT((Calcs!$I1443-Calcs!W$1402)/3)=(Calcs!$I1443-Calcs!W$1402)/3),Calcs!W1443,IF(INT((Calcs!$I1443-Calcs!W$1402)/12)=(Calcs!$I1443-Calcs!W$1402)/12,Calcs!W1443,0))))</f>
        <v>0</v>
      </c>
      <c r="R573" s="846">
        <f>IF(OR(Calcs!$J$1402=Calcs!$I1443,Calcs!$I1443&gt;R$61),0,IF(OR(R$63="Monthly",R$63=""),Calcs!X1443,IF(AND(R$63="Quarterly",INT((Calcs!$I1443-Calcs!X$1402)/3)=(Calcs!$I1443-Calcs!X$1402)/3),Calcs!X1443,IF(INT((Calcs!$I1443-Calcs!X$1402)/12)=(Calcs!$I1443-Calcs!X$1402)/12,Calcs!X1443,0))))</f>
        <v>0</v>
      </c>
      <c r="S573" s="846">
        <f>IF(OR(Calcs!$J$1402=Calcs!$I1443,Calcs!$I1443&gt;S$61),0,IF(OR(S$63="Monthly",S$63=""),Calcs!Y1443,IF(AND(S$63="Quarterly",INT((Calcs!$I1443-Calcs!Y$1402)/3)=(Calcs!$I1443-Calcs!Y$1402)/3),Calcs!Y1443,IF(INT((Calcs!$I1443-Calcs!Y$1402)/12)=(Calcs!$I1443-Calcs!Y$1402)/12,Calcs!Y1443,0))))</f>
        <v>0</v>
      </c>
      <c r="T573" s="846">
        <f>IF(OR(Calcs!$J$1402=Calcs!$I1443,Calcs!$I1443&gt;T$61),0,IF(OR(T$63="Monthly",T$63=""),Calcs!Z1443,IF(AND(T$63="Quarterly",INT((Calcs!$I1443-Calcs!Z$1402)/3)=(Calcs!$I1443-Calcs!Z$1402)/3),Calcs!Z1443,IF(INT((Calcs!$I1443-Calcs!Z$1402)/12)=(Calcs!$I1443-Calcs!Z$1402)/12,Calcs!Z1443,0))))</f>
        <v>0</v>
      </c>
      <c r="U573" s="846">
        <f>IF(OR(Calcs!$J$1402=Calcs!$I1443,Calcs!$I1443&gt;U$61),0,IF(OR(U$63="Monthly",U$63=""),Calcs!AA1443,IF(AND(U$63="Quarterly",INT((Calcs!$I1443-Calcs!AA$1402)/3)=(Calcs!$I1443-Calcs!AA$1402)/3),Calcs!AA1443,IF(INT((Calcs!$I1443-Calcs!AA$1402)/12)=(Calcs!$I1443-Calcs!AA$1402)/12,Calcs!AA1443,0))))</f>
        <v>0</v>
      </c>
      <c r="V573" s="846">
        <f>IF(OR(Calcs!$J$1402=Calcs!$I1443,Calcs!$I1443&gt;V$61),0,IF(OR(V$63="Monthly",V$63=""),Calcs!AB1443,IF(AND(V$63="Quarterly",INT((Calcs!$I1443-Calcs!AB$1402)/3)=(Calcs!$I1443-Calcs!AB$1402)/3),Calcs!AB1443,IF(INT((Calcs!$I1443-Calcs!AB$1402)/12)=(Calcs!$I1443-Calcs!AB$1402)/12,Calcs!AB1443,0))))</f>
        <v>0</v>
      </c>
      <c r="W573" s="846">
        <f>IF(OR(Calcs!$J$1402=Calcs!$I1443,Calcs!$I1443&gt;W$61),0,IF(OR(W$63="Monthly",W$63=""),Calcs!AC1443,IF(AND(W$63="Quarterly",INT((Calcs!$I1443-Calcs!AC$1402)/3)=(Calcs!$I1443-Calcs!AC$1402)/3),Calcs!AC1443,IF(INT((Calcs!$I1443-Calcs!AC$1402)/12)=(Calcs!$I1443-Calcs!AC$1402)/12,Calcs!AC1443,0))))</f>
        <v>0</v>
      </c>
      <c r="X573" s="846">
        <f>IF(OR(Calcs!$J$1402=Calcs!$I1443,Calcs!$I1443&gt;X$61),0,IF(OR(X$63="Monthly",X$63=""),Calcs!AD1443,IF(AND(X$63="Quarterly",INT((Calcs!$I1443-Calcs!AD$1402)/3)=(Calcs!$I1443-Calcs!AD$1402)/3),Calcs!AD1443,IF(INT((Calcs!$I1443-Calcs!AD$1402)/12)=(Calcs!$I1443-Calcs!AD$1402)/12,Calcs!AD1443,0))))</f>
        <v>0</v>
      </c>
      <c r="Y573" s="846">
        <f>IF(OR(Calcs!$J$1402=Calcs!$I1443,Calcs!$I1443&gt;Y$61),0,IF(OR(Y$63="Monthly",Y$63=""),Calcs!AE1443,IF(AND(Y$63="Quarterly",INT((Calcs!$I1443-Calcs!AE$1402)/3)=(Calcs!$I1443-Calcs!AE$1402)/3),Calcs!AE1443,IF(INT((Calcs!$I1443-Calcs!AE$1402)/12)=(Calcs!$I1443-Calcs!AE$1402)/12,Calcs!AE1443,0))))</f>
        <v>0</v>
      </c>
      <c r="Z573" s="846">
        <f>IF(OR(Calcs!$J$1402=Calcs!$I1443,Calcs!$I1443&gt;Z$61),0,IF(OR(Z$63="Monthly",Z$63=""),Calcs!AF1443,IF(AND(Z$63="Quarterly",INT((Calcs!$I1443-Calcs!AF$1402)/3)=(Calcs!$I1443-Calcs!AF$1402)/3),Calcs!AF1443,IF(INT((Calcs!$I1443-Calcs!AF$1402)/12)=(Calcs!$I1443-Calcs!AF$1402)/12,Calcs!AF1443,0))))</f>
        <v>0</v>
      </c>
      <c r="AA573" s="846">
        <f>IF(OR(Calcs!$J$1402=Calcs!$I1443,Calcs!$I1443&gt;AA$61),0,IF(OR(AA$63="Monthly",AA$63=""),Calcs!AG1443,IF(AND(AA$63="Quarterly",INT((Calcs!$I1443-Calcs!AG$1402)/3)=(Calcs!$I1443-Calcs!AG$1402)/3),Calcs!AG1443,IF(INT((Calcs!$I1443-Calcs!AG$1402)/12)=(Calcs!$I1443-Calcs!AG$1402)/12,Calcs!AG1443,0))))</f>
        <v>0</v>
      </c>
      <c r="AB573" s="847">
        <f>IF(OR(Calcs!$J$1402=Calcs!$I1443,Calcs!$I1443&gt;AB$61),0,IF(OR(AB$63="Monthly",AB$63=""),Calcs!AH1443,IF(AND(AB$63="Quarterly",INT((Calcs!$I1443-Calcs!AH$1402)/3)=(Calcs!$I1443-Calcs!AH$1402)/3),Calcs!AH1443,IF(INT((Calcs!$I1443-Calcs!AH$1402)/12)=(Calcs!$I1443-Calcs!AH$1402)/12,Calcs!AH1443,0))))</f>
        <v>0</v>
      </c>
      <c r="CH573" s="269"/>
      <c r="CI573" s="269"/>
      <c r="CJ573" s="269"/>
      <c r="CK573" s="269"/>
      <c r="CL573" s="269"/>
      <c r="CM573" s="269"/>
      <c r="CN573" s="269"/>
      <c r="CO573" s="269"/>
      <c r="CP573" s="269"/>
      <c r="CQ573" s="269"/>
      <c r="CR573" s="269"/>
      <c r="CS573" s="269"/>
    </row>
    <row r="574" spans="1:97" x14ac:dyDescent="0.3">
      <c r="A574" s="5"/>
      <c r="B574" s="5"/>
      <c r="C574" s="495">
        <f>C511</f>
        <v>1186</v>
      </c>
      <c r="D574" s="845">
        <f>IF(OR(Calcs!$J$1402=Calcs!$I1444,Calcs!$I1444&gt;D$61),0,IF(OR(D$63="Monthly",D$63=""),Calcs!J1444,IF(AND(D$63="Quarterly",INT((Calcs!$I1444-Calcs!J$1402)/3)=(Calcs!$I1444-Calcs!J$1402)/3),Calcs!J1444,IF(INT((Calcs!$I1444-Calcs!J$1402)/12)=(Calcs!$I1444-Calcs!J$1402)/12,Calcs!J1444,0))))</f>
        <v>0</v>
      </c>
      <c r="E574" s="846">
        <f>IF(OR(Calcs!$J$1402=Calcs!$I1444,Calcs!$I1444&gt;E$61),0,IF(OR(E$63="Monthly",E$63=""),Calcs!K1444,IF(AND(E$63="Quarterly",INT((Calcs!$I1444-Calcs!K$1402)/3)=(Calcs!$I1444-Calcs!K$1402)/3),Calcs!K1444,IF(INT((Calcs!$I1444-Calcs!K$1402)/12)=(Calcs!$I1444-Calcs!K$1402)/12,Calcs!K1444,0))))</f>
        <v>0</v>
      </c>
      <c r="F574" s="846">
        <f>IF(OR(Calcs!$J$1402=Calcs!$I1444,Calcs!$I1444&gt;F$61),0,IF(OR(F$63="Monthly",F$63=""),Calcs!L1444,IF(AND(F$63="Quarterly",INT((Calcs!$I1444-Calcs!L$1402)/3)=(Calcs!$I1444-Calcs!L$1402)/3),Calcs!L1444,IF(INT((Calcs!$I1444-Calcs!L$1402)/12)=(Calcs!$I1444-Calcs!L$1402)/12,Calcs!L1444,0))))</f>
        <v>0</v>
      </c>
      <c r="G574" s="846">
        <f>IF(OR(Calcs!$J$1402=Calcs!$I1444,Calcs!$I1444&gt;G$61),0,IF(OR(G$63="Monthly",G$63=""),Calcs!M1444,IF(AND(G$63="Quarterly",INT((Calcs!$I1444-Calcs!M$1402)/3)=(Calcs!$I1444-Calcs!M$1402)/3),Calcs!M1444,IF(INT((Calcs!$I1444-Calcs!M$1402)/12)=(Calcs!$I1444-Calcs!M$1402)/12,Calcs!M1444,0))))</f>
        <v>0</v>
      </c>
      <c r="H574" s="846">
        <f>IF(OR(Calcs!$J$1402=Calcs!$I1444,Calcs!$I1444&gt;H$61),0,IF(OR(H$63="Monthly",H$63=""),Calcs!N1444,IF(AND(H$63="Quarterly",INT((Calcs!$I1444-Calcs!N$1402)/3)=(Calcs!$I1444-Calcs!N$1402)/3),Calcs!N1444,IF(INT((Calcs!$I1444-Calcs!N$1402)/12)=(Calcs!$I1444-Calcs!N$1402)/12,Calcs!N1444,0))))</f>
        <v>0</v>
      </c>
      <c r="I574" s="846">
        <f>IF(OR(Calcs!$J$1402=Calcs!$I1444,Calcs!$I1444&gt;I$61),0,IF(OR(I$63="Monthly",I$63=""),Calcs!O1444,IF(AND(I$63="Quarterly",INT((Calcs!$I1444-Calcs!O$1402)/3)=(Calcs!$I1444-Calcs!O$1402)/3),Calcs!O1444,IF(INT((Calcs!$I1444-Calcs!O$1402)/12)=(Calcs!$I1444-Calcs!O$1402)/12,Calcs!O1444,0))))</f>
        <v>0</v>
      </c>
      <c r="J574" s="846">
        <f>IF(OR(Calcs!$J$1402=Calcs!$I1444,Calcs!$I1444&gt;J$61),0,IF(OR(J$63="Monthly",J$63=""),Calcs!P1444,IF(AND(J$63="Quarterly",INT((Calcs!$I1444-Calcs!P$1402)/3)=(Calcs!$I1444-Calcs!P$1402)/3),Calcs!P1444,IF(INT((Calcs!$I1444-Calcs!P$1402)/12)=(Calcs!$I1444-Calcs!P$1402)/12,Calcs!P1444,0))))</f>
        <v>0</v>
      </c>
      <c r="K574" s="846">
        <f>IF(OR(Calcs!$J$1402=Calcs!$I1444,Calcs!$I1444&gt;K$61),0,IF(OR(K$63="Monthly",K$63=""),Calcs!Q1444,IF(AND(K$63="Quarterly",INT((Calcs!$I1444-Calcs!Q$1402)/3)=(Calcs!$I1444-Calcs!Q$1402)/3),Calcs!Q1444,IF(INT((Calcs!$I1444-Calcs!Q$1402)/12)=(Calcs!$I1444-Calcs!Q$1402)/12,Calcs!Q1444,0))))</f>
        <v>0</v>
      </c>
      <c r="L574" s="846">
        <f>IF(OR(Calcs!$J$1402=Calcs!$I1444,Calcs!$I1444&gt;L$61),0,IF(OR(L$63="Monthly",L$63=""),Calcs!R1444,IF(AND(L$63="Quarterly",INT((Calcs!$I1444-Calcs!R$1402)/3)=(Calcs!$I1444-Calcs!R$1402)/3),Calcs!R1444,IF(INT((Calcs!$I1444-Calcs!R$1402)/12)=(Calcs!$I1444-Calcs!R$1402)/12,Calcs!R1444,0))))</f>
        <v>0</v>
      </c>
      <c r="M574" s="846">
        <f>IF(OR(Calcs!$J$1402=Calcs!$I1444,Calcs!$I1444&gt;M$61),0,IF(OR(M$63="Monthly",M$63=""),Calcs!S1444,IF(AND(M$63="Quarterly",INT((Calcs!$I1444-Calcs!S$1402)/3)=(Calcs!$I1444-Calcs!S$1402)/3),Calcs!S1444,IF(INT((Calcs!$I1444-Calcs!S$1402)/12)=(Calcs!$I1444-Calcs!S$1402)/12,Calcs!S1444,0))))</f>
        <v>0</v>
      </c>
      <c r="N574" s="846">
        <f>IF(OR(Calcs!$J$1402=Calcs!$I1444,Calcs!$I1444&gt;N$61),0,IF(OR(N$63="Monthly",N$63=""),Calcs!T1444,IF(AND(N$63="Quarterly",INT((Calcs!$I1444-Calcs!T$1402)/3)=(Calcs!$I1444-Calcs!T$1402)/3),Calcs!T1444,IF(INT((Calcs!$I1444-Calcs!T$1402)/12)=(Calcs!$I1444-Calcs!T$1402)/12,Calcs!T1444,0))))</f>
        <v>0</v>
      </c>
      <c r="O574" s="846">
        <f>IF(OR(Calcs!$J$1402=Calcs!$I1444,Calcs!$I1444&gt;O$61),0,IF(OR(O$63="Monthly",O$63=""),Calcs!U1444,IF(AND(O$63="Quarterly",INT((Calcs!$I1444-Calcs!U$1402)/3)=(Calcs!$I1444-Calcs!U$1402)/3),Calcs!U1444,IF(INT((Calcs!$I1444-Calcs!U$1402)/12)=(Calcs!$I1444-Calcs!U$1402)/12,Calcs!U1444,0))))</f>
        <v>0</v>
      </c>
      <c r="P574" s="846">
        <f>IF(OR(Calcs!$J$1402=Calcs!$I1444,Calcs!$I1444&gt;P$61),0,IF(OR(P$63="Monthly",P$63=""),Calcs!V1444,IF(AND(P$63="Quarterly",INT((Calcs!$I1444-Calcs!V$1402)/3)=(Calcs!$I1444-Calcs!V$1402)/3),Calcs!V1444,IF(INT((Calcs!$I1444-Calcs!V$1402)/12)=(Calcs!$I1444-Calcs!V$1402)/12,Calcs!V1444,0))))</f>
        <v>0</v>
      </c>
      <c r="Q574" s="846">
        <f>IF(OR(Calcs!$J$1402=Calcs!$I1444,Calcs!$I1444&gt;Q$61),0,IF(OR(Q$63="Monthly",Q$63=""),Calcs!W1444,IF(AND(Q$63="Quarterly",INT((Calcs!$I1444-Calcs!W$1402)/3)=(Calcs!$I1444-Calcs!W$1402)/3),Calcs!W1444,IF(INT((Calcs!$I1444-Calcs!W$1402)/12)=(Calcs!$I1444-Calcs!W$1402)/12,Calcs!W1444,0))))</f>
        <v>0</v>
      </c>
      <c r="R574" s="846">
        <f>IF(OR(Calcs!$J$1402=Calcs!$I1444,Calcs!$I1444&gt;R$61),0,IF(OR(R$63="Monthly",R$63=""),Calcs!X1444,IF(AND(R$63="Quarterly",INT((Calcs!$I1444-Calcs!X$1402)/3)=(Calcs!$I1444-Calcs!X$1402)/3),Calcs!X1444,IF(INT((Calcs!$I1444-Calcs!X$1402)/12)=(Calcs!$I1444-Calcs!X$1402)/12,Calcs!X1444,0))))</f>
        <v>0</v>
      </c>
      <c r="S574" s="846">
        <f>IF(OR(Calcs!$J$1402=Calcs!$I1444,Calcs!$I1444&gt;S$61),0,IF(OR(S$63="Monthly",S$63=""),Calcs!Y1444,IF(AND(S$63="Quarterly",INT((Calcs!$I1444-Calcs!Y$1402)/3)=(Calcs!$I1444-Calcs!Y$1402)/3),Calcs!Y1444,IF(INT((Calcs!$I1444-Calcs!Y$1402)/12)=(Calcs!$I1444-Calcs!Y$1402)/12,Calcs!Y1444,0))))</f>
        <v>0</v>
      </c>
      <c r="T574" s="846">
        <f>IF(OR(Calcs!$J$1402=Calcs!$I1444,Calcs!$I1444&gt;T$61),0,IF(OR(T$63="Monthly",T$63=""),Calcs!Z1444,IF(AND(T$63="Quarterly",INT((Calcs!$I1444-Calcs!Z$1402)/3)=(Calcs!$I1444-Calcs!Z$1402)/3),Calcs!Z1444,IF(INT((Calcs!$I1444-Calcs!Z$1402)/12)=(Calcs!$I1444-Calcs!Z$1402)/12,Calcs!Z1444,0))))</f>
        <v>0</v>
      </c>
      <c r="U574" s="846">
        <f>IF(OR(Calcs!$J$1402=Calcs!$I1444,Calcs!$I1444&gt;U$61),0,IF(OR(U$63="Monthly",U$63=""),Calcs!AA1444,IF(AND(U$63="Quarterly",INT((Calcs!$I1444-Calcs!AA$1402)/3)=(Calcs!$I1444-Calcs!AA$1402)/3),Calcs!AA1444,IF(INT((Calcs!$I1444-Calcs!AA$1402)/12)=(Calcs!$I1444-Calcs!AA$1402)/12,Calcs!AA1444,0))))</f>
        <v>0</v>
      </c>
      <c r="V574" s="846">
        <f>IF(OR(Calcs!$J$1402=Calcs!$I1444,Calcs!$I1444&gt;V$61),0,IF(OR(V$63="Monthly",V$63=""),Calcs!AB1444,IF(AND(V$63="Quarterly",INT((Calcs!$I1444-Calcs!AB$1402)/3)=(Calcs!$I1444-Calcs!AB$1402)/3),Calcs!AB1444,IF(INT((Calcs!$I1444-Calcs!AB$1402)/12)=(Calcs!$I1444-Calcs!AB$1402)/12,Calcs!AB1444,0))))</f>
        <v>0</v>
      </c>
      <c r="W574" s="846">
        <f>IF(OR(Calcs!$J$1402=Calcs!$I1444,Calcs!$I1444&gt;W$61),0,IF(OR(W$63="Monthly",W$63=""),Calcs!AC1444,IF(AND(W$63="Quarterly",INT((Calcs!$I1444-Calcs!AC$1402)/3)=(Calcs!$I1444-Calcs!AC$1402)/3),Calcs!AC1444,IF(INT((Calcs!$I1444-Calcs!AC$1402)/12)=(Calcs!$I1444-Calcs!AC$1402)/12,Calcs!AC1444,0))))</f>
        <v>0</v>
      </c>
      <c r="X574" s="846">
        <f>IF(OR(Calcs!$J$1402=Calcs!$I1444,Calcs!$I1444&gt;X$61),0,IF(OR(X$63="Monthly",X$63=""),Calcs!AD1444,IF(AND(X$63="Quarterly",INT((Calcs!$I1444-Calcs!AD$1402)/3)=(Calcs!$I1444-Calcs!AD$1402)/3),Calcs!AD1444,IF(INT((Calcs!$I1444-Calcs!AD$1402)/12)=(Calcs!$I1444-Calcs!AD$1402)/12,Calcs!AD1444,0))))</f>
        <v>0</v>
      </c>
      <c r="Y574" s="846">
        <f>IF(OR(Calcs!$J$1402=Calcs!$I1444,Calcs!$I1444&gt;Y$61),0,IF(OR(Y$63="Monthly",Y$63=""),Calcs!AE1444,IF(AND(Y$63="Quarterly",INT((Calcs!$I1444-Calcs!AE$1402)/3)=(Calcs!$I1444-Calcs!AE$1402)/3),Calcs!AE1444,IF(INT((Calcs!$I1444-Calcs!AE$1402)/12)=(Calcs!$I1444-Calcs!AE$1402)/12,Calcs!AE1444,0))))</f>
        <v>0</v>
      </c>
      <c r="Z574" s="846">
        <f>IF(OR(Calcs!$J$1402=Calcs!$I1444,Calcs!$I1444&gt;Z$61),0,IF(OR(Z$63="Monthly",Z$63=""),Calcs!AF1444,IF(AND(Z$63="Quarterly",INT((Calcs!$I1444-Calcs!AF$1402)/3)=(Calcs!$I1444-Calcs!AF$1402)/3),Calcs!AF1444,IF(INT((Calcs!$I1444-Calcs!AF$1402)/12)=(Calcs!$I1444-Calcs!AF$1402)/12,Calcs!AF1444,0))))</f>
        <v>0</v>
      </c>
      <c r="AA574" s="846">
        <f>IF(OR(Calcs!$J$1402=Calcs!$I1444,Calcs!$I1444&gt;AA$61),0,IF(OR(AA$63="Monthly",AA$63=""),Calcs!AG1444,IF(AND(AA$63="Quarterly",INT((Calcs!$I1444-Calcs!AG$1402)/3)=(Calcs!$I1444-Calcs!AG$1402)/3),Calcs!AG1444,IF(INT((Calcs!$I1444-Calcs!AG$1402)/12)=(Calcs!$I1444-Calcs!AG$1402)/12,Calcs!AG1444,0))))</f>
        <v>0</v>
      </c>
      <c r="AB574" s="847">
        <f>IF(OR(Calcs!$J$1402=Calcs!$I1444,Calcs!$I1444&gt;AB$61),0,IF(OR(AB$63="Monthly",AB$63=""),Calcs!AH1444,IF(AND(AB$63="Quarterly",INT((Calcs!$I1444-Calcs!AH$1402)/3)=(Calcs!$I1444-Calcs!AH$1402)/3),Calcs!AH1444,IF(INT((Calcs!$I1444-Calcs!AH$1402)/12)=(Calcs!$I1444-Calcs!AH$1402)/12,Calcs!AH1444,0))))</f>
        <v>0</v>
      </c>
      <c r="CH574" s="269"/>
      <c r="CI574" s="269"/>
      <c r="CJ574" s="269"/>
      <c r="CK574" s="269"/>
      <c r="CL574" s="269"/>
      <c r="CM574" s="269"/>
      <c r="CN574" s="269"/>
      <c r="CO574" s="269"/>
      <c r="CP574" s="269"/>
      <c r="CQ574" s="269"/>
      <c r="CR574" s="269"/>
      <c r="CS574" s="269"/>
    </row>
    <row r="575" spans="1:97" x14ac:dyDescent="0.3">
      <c r="A575" s="5"/>
      <c r="B575" s="5"/>
      <c r="C575" s="495">
        <f>C512</f>
        <v>1216</v>
      </c>
      <c r="D575" s="845">
        <f>IF(OR(Calcs!$J$1402=Calcs!$I1445,Calcs!$I1445&gt;D$61),0,IF(OR(D$63="Monthly",D$63=""),Calcs!J1445,IF(AND(D$63="Quarterly",INT((Calcs!$I1445-Calcs!J$1402)/3)=(Calcs!$I1445-Calcs!J$1402)/3),Calcs!J1445,IF(INT((Calcs!$I1445-Calcs!J$1402)/12)=(Calcs!$I1445-Calcs!J$1402)/12,Calcs!J1445,0))))</f>
        <v>0</v>
      </c>
      <c r="E575" s="846">
        <f>IF(OR(Calcs!$J$1402=Calcs!$I1445,Calcs!$I1445&gt;E$61),0,IF(OR(E$63="Monthly",E$63=""),Calcs!K1445,IF(AND(E$63="Quarterly",INT((Calcs!$I1445-Calcs!K$1402)/3)=(Calcs!$I1445-Calcs!K$1402)/3),Calcs!K1445,IF(INT((Calcs!$I1445-Calcs!K$1402)/12)=(Calcs!$I1445-Calcs!K$1402)/12,Calcs!K1445,0))))</f>
        <v>0</v>
      </c>
      <c r="F575" s="846">
        <f>IF(OR(Calcs!$J$1402=Calcs!$I1445,Calcs!$I1445&gt;F$61),0,IF(OR(F$63="Monthly",F$63=""),Calcs!L1445,IF(AND(F$63="Quarterly",INT((Calcs!$I1445-Calcs!L$1402)/3)=(Calcs!$I1445-Calcs!L$1402)/3),Calcs!L1445,IF(INT((Calcs!$I1445-Calcs!L$1402)/12)=(Calcs!$I1445-Calcs!L$1402)/12,Calcs!L1445,0))))</f>
        <v>0</v>
      </c>
      <c r="G575" s="846">
        <f>IF(OR(Calcs!$J$1402=Calcs!$I1445,Calcs!$I1445&gt;G$61),0,IF(OR(G$63="Monthly",G$63=""),Calcs!M1445,IF(AND(G$63="Quarterly",INT((Calcs!$I1445-Calcs!M$1402)/3)=(Calcs!$I1445-Calcs!M$1402)/3),Calcs!M1445,IF(INT((Calcs!$I1445-Calcs!M$1402)/12)=(Calcs!$I1445-Calcs!M$1402)/12,Calcs!M1445,0))))</f>
        <v>0</v>
      </c>
      <c r="H575" s="846">
        <f>IF(OR(Calcs!$J$1402=Calcs!$I1445,Calcs!$I1445&gt;H$61),0,IF(OR(H$63="Monthly",H$63=""),Calcs!N1445,IF(AND(H$63="Quarterly",INT((Calcs!$I1445-Calcs!N$1402)/3)=(Calcs!$I1445-Calcs!N$1402)/3),Calcs!N1445,IF(INT((Calcs!$I1445-Calcs!N$1402)/12)=(Calcs!$I1445-Calcs!N$1402)/12,Calcs!N1445,0))))</f>
        <v>0</v>
      </c>
      <c r="I575" s="846">
        <f>IF(OR(Calcs!$J$1402=Calcs!$I1445,Calcs!$I1445&gt;I$61),0,IF(OR(I$63="Monthly",I$63=""),Calcs!O1445,IF(AND(I$63="Quarterly",INT((Calcs!$I1445-Calcs!O$1402)/3)=(Calcs!$I1445-Calcs!O$1402)/3),Calcs!O1445,IF(INT((Calcs!$I1445-Calcs!O$1402)/12)=(Calcs!$I1445-Calcs!O$1402)/12,Calcs!O1445,0))))</f>
        <v>0</v>
      </c>
      <c r="J575" s="846">
        <f>IF(OR(Calcs!$J$1402=Calcs!$I1445,Calcs!$I1445&gt;J$61),0,IF(OR(J$63="Monthly",J$63=""),Calcs!P1445,IF(AND(J$63="Quarterly",INT((Calcs!$I1445-Calcs!P$1402)/3)=(Calcs!$I1445-Calcs!P$1402)/3),Calcs!P1445,IF(INT((Calcs!$I1445-Calcs!P$1402)/12)=(Calcs!$I1445-Calcs!P$1402)/12,Calcs!P1445,0))))</f>
        <v>0</v>
      </c>
      <c r="K575" s="846">
        <f>IF(OR(Calcs!$J$1402=Calcs!$I1445,Calcs!$I1445&gt;K$61),0,IF(OR(K$63="Monthly",K$63=""),Calcs!Q1445,IF(AND(K$63="Quarterly",INT((Calcs!$I1445-Calcs!Q$1402)/3)=(Calcs!$I1445-Calcs!Q$1402)/3),Calcs!Q1445,IF(INT((Calcs!$I1445-Calcs!Q$1402)/12)=(Calcs!$I1445-Calcs!Q$1402)/12,Calcs!Q1445,0))))</f>
        <v>0</v>
      </c>
      <c r="L575" s="846">
        <f>IF(OR(Calcs!$J$1402=Calcs!$I1445,Calcs!$I1445&gt;L$61),0,IF(OR(L$63="Monthly",L$63=""),Calcs!R1445,IF(AND(L$63="Quarterly",INT((Calcs!$I1445-Calcs!R$1402)/3)=(Calcs!$I1445-Calcs!R$1402)/3),Calcs!R1445,IF(INT((Calcs!$I1445-Calcs!R$1402)/12)=(Calcs!$I1445-Calcs!R$1402)/12,Calcs!R1445,0))))</f>
        <v>0</v>
      </c>
      <c r="M575" s="846">
        <f>IF(OR(Calcs!$J$1402=Calcs!$I1445,Calcs!$I1445&gt;M$61),0,IF(OR(M$63="Monthly",M$63=""),Calcs!S1445,IF(AND(M$63="Quarterly",INT((Calcs!$I1445-Calcs!S$1402)/3)=(Calcs!$I1445-Calcs!S$1402)/3),Calcs!S1445,IF(INT((Calcs!$I1445-Calcs!S$1402)/12)=(Calcs!$I1445-Calcs!S$1402)/12,Calcs!S1445,0))))</f>
        <v>0</v>
      </c>
      <c r="N575" s="846">
        <f>IF(OR(Calcs!$J$1402=Calcs!$I1445,Calcs!$I1445&gt;N$61),0,IF(OR(N$63="Monthly",N$63=""),Calcs!T1445,IF(AND(N$63="Quarterly",INT((Calcs!$I1445-Calcs!T$1402)/3)=(Calcs!$I1445-Calcs!T$1402)/3),Calcs!T1445,IF(INT((Calcs!$I1445-Calcs!T$1402)/12)=(Calcs!$I1445-Calcs!T$1402)/12,Calcs!T1445,0))))</f>
        <v>0</v>
      </c>
      <c r="O575" s="846">
        <f>IF(OR(Calcs!$J$1402=Calcs!$I1445,Calcs!$I1445&gt;O$61),0,IF(OR(O$63="Monthly",O$63=""),Calcs!U1445,IF(AND(O$63="Quarterly",INT((Calcs!$I1445-Calcs!U$1402)/3)=(Calcs!$I1445-Calcs!U$1402)/3),Calcs!U1445,IF(INT((Calcs!$I1445-Calcs!U$1402)/12)=(Calcs!$I1445-Calcs!U$1402)/12,Calcs!U1445,0))))</f>
        <v>0</v>
      </c>
      <c r="P575" s="846">
        <f>IF(OR(Calcs!$J$1402=Calcs!$I1445,Calcs!$I1445&gt;P$61),0,IF(OR(P$63="Monthly",P$63=""),Calcs!V1445,IF(AND(P$63="Quarterly",INT((Calcs!$I1445-Calcs!V$1402)/3)=(Calcs!$I1445-Calcs!V$1402)/3),Calcs!V1445,IF(INT((Calcs!$I1445-Calcs!V$1402)/12)=(Calcs!$I1445-Calcs!V$1402)/12,Calcs!V1445,0))))</f>
        <v>0</v>
      </c>
      <c r="Q575" s="846">
        <f>IF(OR(Calcs!$J$1402=Calcs!$I1445,Calcs!$I1445&gt;Q$61),0,IF(OR(Q$63="Monthly",Q$63=""),Calcs!W1445,IF(AND(Q$63="Quarterly",INT((Calcs!$I1445-Calcs!W$1402)/3)=(Calcs!$I1445-Calcs!W$1402)/3),Calcs!W1445,IF(INT((Calcs!$I1445-Calcs!W$1402)/12)=(Calcs!$I1445-Calcs!W$1402)/12,Calcs!W1445,0))))</f>
        <v>0</v>
      </c>
      <c r="R575" s="846">
        <f>IF(OR(Calcs!$J$1402=Calcs!$I1445,Calcs!$I1445&gt;R$61),0,IF(OR(R$63="Monthly",R$63=""),Calcs!X1445,IF(AND(R$63="Quarterly",INT((Calcs!$I1445-Calcs!X$1402)/3)=(Calcs!$I1445-Calcs!X$1402)/3),Calcs!X1445,IF(INT((Calcs!$I1445-Calcs!X$1402)/12)=(Calcs!$I1445-Calcs!X$1402)/12,Calcs!X1445,0))))</f>
        <v>0</v>
      </c>
      <c r="S575" s="846">
        <f>IF(OR(Calcs!$J$1402=Calcs!$I1445,Calcs!$I1445&gt;S$61),0,IF(OR(S$63="Monthly",S$63=""),Calcs!Y1445,IF(AND(S$63="Quarterly",INT((Calcs!$I1445-Calcs!Y$1402)/3)=(Calcs!$I1445-Calcs!Y$1402)/3),Calcs!Y1445,IF(INT((Calcs!$I1445-Calcs!Y$1402)/12)=(Calcs!$I1445-Calcs!Y$1402)/12,Calcs!Y1445,0))))</f>
        <v>0</v>
      </c>
      <c r="T575" s="846">
        <f>IF(OR(Calcs!$J$1402=Calcs!$I1445,Calcs!$I1445&gt;T$61),0,IF(OR(T$63="Monthly",T$63=""),Calcs!Z1445,IF(AND(T$63="Quarterly",INT((Calcs!$I1445-Calcs!Z$1402)/3)=(Calcs!$I1445-Calcs!Z$1402)/3),Calcs!Z1445,IF(INT((Calcs!$I1445-Calcs!Z$1402)/12)=(Calcs!$I1445-Calcs!Z$1402)/12,Calcs!Z1445,0))))</f>
        <v>0</v>
      </c>
      <c r="U575" s="846">
        <f>IF(OR(Calcs!$J$1402=Calcs!$I1445,Calcs!$I1445&gt;U$61),0,IF(OR(U$63="Monthly",U$63=""),Calcs!AA1445,IF(AND(U$63="Quarterly",INT((Calcs!$I1445-Calcs!AA$1402)/3)=(Calcs!$I1445-Calcs!AA$1402)/3),Calcs!AA1445,IF(INT((Calcs!$I1445-Calcs!AA$1402)/12)=(Calcs!$I1445-Calcs!AA$1402)/12,Calcs!AA1445,0))))</f>
        <v>0</v>
      </c>
      <c r="V575" s="846">
        <f>IF(OR(Calcs!$J$1402=Calcs!$I1445,Calcs!$I1445&gt;V$61),0,IF(OR(V$63="Monthly",V$63=""),Calcs!AB1445,IF(AND(V$63="Quarterly",INT((Calcs!$I1445-Calcs!AB$1402)/3)=(Calcs!$I1445-Calcs!AB$1402)/3),Calcs!AB1445,IF(INT((Calcs!$I1445-Calcs!AB$1402)/12)=(Calcs!$I1445-Calcs!AB$1402)/12,Calcs!AB1445,0))))</f>
        <v>0</v>
      </c>
      <c r="W575" s="846">
        <f>IF(OR(Calcs!$J$1402=Calcs!$I1445,Calcs!$I1445&gt;W$61),0,IF(OR(W$63="Monthly",W$63=""),Calcs!AC1445,IF(AND(W$63="Quarterly",INT((Calcs!$I1445-Calcs!AC$1402)/3)=(Calcs!$I1445-Calcs!AC$1402)/3),Calcs!AC1445,IF(INT((Calcs!$I1445-Calcs!AC$1402)/12)=(Calcs!$I1445-Calcs!AC$1402)/12,Calcs!AC1445,0))))</f>
        <v>0</v>
      </c>
      <c r="X575" s="846">
        <f>IF(OR(Calcs!$J$1402=Calcs!$I1445,Calcs!$I1445&gt;X$61),0,IF(OR(X$63="Monthly",X$63=""),Calcs!AD1445,IF(AND(X$63="Quarterly",INT((Calcs!$I1445-Calcs!AD$1402)/3)=(Calcs!$I1445-Calcs!AD$1402)/3),Calcs!AD1445,IF(INT((Calcs!$I1445-Calcs!AD$1402)/12)=(Calcs!$I1445-Calcs!AD$1402)/12,Calcs!AD1445,0))))</f>
        <v>0</v>
      </c>
      <c r="Y575" s="846">
        <f>IF(OR(Calcs!$J$1402=Calcs!$I1445,Calcs!$I1445&gt;Y$61),0,IF(OR(Y$63="Monthly",Y$63=""),Calcs!AE1445,IF(AND(Y$63="Quarterly",INT((Calcs!$I1445-Calcs!AE$1402)/3)=(Calcs!$I1445-Calcs!AE$1402)/3),Calcs!AE1445,IF(INT((Calcs!$I1445-Calcs!AE$1402)/12)=(Calcs!$I1445-Calcs!AE$1402)/12,Calcs!AE1445,0))))</f>
        <v>0</v>
      </c>
      <c r="Z575" s="846">
        <f>IF(OR(Calcs!$J$1402=Calcs!$I1445,Calcs!$I1445&gt;Z$61),0,IF(OR(Z$63="Monthly",Z$63=""),Calcs!AF1445,IF(AND(Z$63="Quarterly",INT((Calcs!$I1445-Calcs!AF$1402)/3)=(Calcs!$I1445-Calcs!AF$1402)/3),Calcs!AF1445,IF(INT((Calcs!$I1445-Calcs!AF$1402)/12)=(Calcs!$I1445-Calcs!AF$1402)/12,Calcs!AF1445,0))))</f>
        <v>0</v>
      </c>
      <c r="AA575" s="846">
        <f>IF(OR(Calcs!$J$1402=Calcs!$I1445,Calcs!$I1445&gt;AA$61),0,IF(OR(AA$63="Monthly",AA$63=""),Calcs!AG1445,IF(AND(AA$63="Quarterly",INT((Calcs!$I1445-Calcs!AG$1402)/3)=(Calcs!$I1445-Calcs!AG$1402)/3),Calcs!AG1445,IF(INT((Calcs!$I1445-Calcs!AG$1402)/12)=(Calcs!$I1445-Calcs!AG$1402)/12,Calcs!AG1445,0))))</f>
        <v>0</v>
      </c>
      <c r="AB575" s="847">
        <f>IF(OR(Calcs!$J$1402=Calcs!$I1445,Calcs!$I1445&gt;AB$61),0,IF(OR(AB$63="Monthly",AB$63=""),Calcs!AH1445,IF(AND(AB$63="Quarterly",INT((Calcs!$I1445-Calcs!AH$1402)/3)=(Calcs!$I1445-Calcs!AH$1402)/3),Calcs!AH1445,IF(INT((Calcs!$I1445-Calcs!AH$1402)/12)=(Calcs!$I1445-Calcs!AH$1402)/12,Calcs!AH1445,0))))</f>
        <v>0</v>
      </c>
      <c r="CH575" s="269"/>
      <c r="CI575" s="269"/>
      <c r="CJ575" s="269"/>
      <c r="CK575" s="269"/>
      <c r="CL575" s="269"/>
      <c r="CM575" s="269"/>
      <c r="CN575" s="269"/>
      <c r="CO575" s="269"/>
      <c r="CP575" s="269"/>
      <c r="CQ575" s="269"/>
      <c r="CR575" s="269"/>
      <c r="CS575" s="269"/>
    </row>
    <row r="576" spans="1:97" x14ac:dyDescent="0.3">
      <c r="A576" s="5"/>
      <c r="B576" s="5"/>
      <c r="C576" s="495">
        <f>C513</f>
        <v>1247</v>
      </c>
      <c r="D576" s="845">
        <f>IF(OR(Calcs!$J$1402=Calcs!$I1446,Calcs!$I1446&gt;D$61),0,IF(OR(D$63="Monthly",D$63=""),Calcs!J1446,IF(AND(D$63="Quarterly",INT((Calcs!$I1446-Calcs!J$1402)/3)=(Calcs!$I1446-Calcs!J$1402)/3),Calcs!J1446,IF(INT((Calcs!$I1446-Calcs!J$1402)/12)=(Calcs!$I1446-Calcs!J$1402)/12,Calcs!J1446,0))))</f>
        <v>0</v>
      </c>
      <c r="E576" s="846">
        <f>IF(OR(Calcs!$J$1402=Calcs!$I1446,Calcs!$I1446&gt;E$61),0,IF(OR(E$63="Monthly",E$63=""),Calcs!K1446,IF(AND(E$63="Quarterly",INT((Calcs!$I1446-Calcs!K$1402)/3)=(Calcs!$I1446-Calcs!K$1402)/3),Calcs!K1446,IF(INT((Calcs!$I1446-Calcs!K$1402)/12)=(Calcs!$I1446-Calcs!K$1402)/12,Calcs!K1446,0))))</f>
        <v>0</v>
      </c>
      <c r="F576" s="846">
        <f>IF(OR(Calcs!$J$1402=Calcs!$I1446,Calcs!$I1446&gt;F$61),0,IF(OR(F$63="Monthly",F$63=""),Calcs!L1446,IF(AND(F$63="Quarterly",INT((Calcs!$I1446-Calcs!L$1402)/3)=(Calcs!$I1446-Calcs!L$1402)/3),Calcs!L1446,IF(INT((Calcs!$I1446-Calcs!L$1402)/12)=(Calcs!$I1446-Calcs!L$1402)/12,Calcs!L1446,0))))</f>
        <v>0</v>
      </c>
      <c r="G576" s="846">
        <f>IF(OR(Calcs!$J$1402=Calcs!$I1446,Calcs!$I1446&gt;G$61),0,IF(OR(G$63="Monthly",G$63=""),Calcs!M1446,IF(AND(G$63="Quarterly",INT((Calcs!$I1446-Calcs!M$1402)/3)=(Calcs!$I1446-Calcs!M$1402)/3),Calcs!M1446,IF(INT((Calcs!$I1446-Calcs!M$1402)/12)=(Calcs!$I1446-Calcs!M$1402)/12,Calcs!M1446,0))))</f>
        <v>0</v>
      </c>
      <c r="H576" s="846">
        <f>IF(OR(Calcs!$J$1402=Calcs!$I1446,Calcs!$I1446&gt;H$61),0,IF(OR(H$63="Monthly",H$63=""),Calcs!N1446,IF(AND(H$63="Quarterly",INT((Calcs!$I1446-Calcs!N$1402)/3)=(Calcs!$I1446-Calcs!N$1402)/3),Calcs!N1446,IF(INT((Calcs!$I1446-Calcs!N$1402)/12)=(Calcs!$I1446-Calcs!N$1402)/12,Calcs!N1446,0))))</f>
        <v>0</v>
      </c>
      <c r="I576" s="846">
        <f>IF(OR(Calcs!$J$1402=Calcs!$I1446,Calcs!$I1446&gt;I$61),0,IF(OR(I$63="Monthly",I$63=""),Calcs!O1446,IF(AND(I$63="Quarterly",INT((Calcs!$I1446-Calcs!O$1402)/3)=(Calcs!$I1446-Calcs!O$1402)/3),Calcs!O1446,IF(INT((Calcs!$I1446-Calcs!O$1402)/12)=(Calcs!$I1446-Calcs!O$1402)/12,Calcs!O1446,0))))</f>
        <v>0</v>
      </c>
      <c r="J576" s="846">
        <f>IF(OR(Calcs!$J$1402=Calcs!$I1446,Calcs!$I1446&gt;J$61),0,IF(OR(J$63="Monthly",J$63=""),Calcs!P1446,IF(AND(J$63="Quarterly",INT((Calcs!$I1446-Calcs!P$1402)/3)=(Calcs!$I1446-Calcs!P$1402)/3),Calcs!P1446,IF(INT((Calcs!$I1446-Calcs!P$1402)/12)=(Calcs!$I1446-Calcs!P$1402)/12,Calcs!P1446,0))))</f>
        <v>0</v>
      </c>
      <c r="K576" s="846">
        <f>IF(OR(Calcs!$J$1402=Calcs!$I1446,Calcs!$I1446&gt;K$61),0,IF(OR(K$63="Monthly",K$63=""),Calcs!Q1446,IF(AND(K$63="Quarterly",INT((Calcs!$I1446-Calcs!Q$1402)/3)=(Calcs!$I1446-Calcs!Q$1402)/3),Calcs!Q1446,IF(INT((Calcs!$I1446-Calcs!Q$1402)/12)=(Calcs!$I1446-Calcs!Q$1402)/12,Calcs!Q1446,0))))</f>
        <v>0</v>
      </c>
      <c r="L576" s="846">
        <f>IF(OR(Calcs!$J$1402=Calcs!$I1446,Calcs!$I1446&gt;L$61),0,IF(OR(L$63="Monthly",L$63=""),Calcs!R1446,IF(AND(L$63="Quarterly",INT((Calcs!$I1446-Calcs!R$1402)/3)=(Calcs!$I1446-Calcs!R$1402)/3),Calcs!R1446,IF(INT((Calcs!$I1446-Calcs!R$1402)/12)=(Calcs!$I1446-Calcs!R$1402)/12,Calcs!R1446,0))))</f>
        <v>0</v>
      </c>
      <c r="M576" s="846">
        <f>IF(OR(Calcs!$J$1402=Calcs!$I1446,Calcs!$I1446&gt;M$61),0,IF(OR(M$63="Monthly",M$63=""),Calcs!S1446,IF(AND(M$63="Quarterly",INT((Calcs!$I1446-Calcs!S$1402)/3)=(Calcs!$I1446-Calcs!S$1402)/3),Calcs!S1446,IF(INT((Calcs!$I1446-Calcs!S$1402)/12)=(Calcs!$I1446-Calcs!S$1402)/12,Calcs!S1446,0))))</f>
        <v>0</v>
      </c>
      <c r="N576" s="846">
        <f>IF(OR(Calcs!$J$1402=Calcs!$I1446,Calcs!$I1446&gt;N$61),0,IF(OR(N$63="Monthly",N$63=""),Calcs!T1446,IF(AND(N$63="Quarterly",INT((Calcs!$I1446-Calcs!T$1402)/3)=(Calcs!$I1446-Calcs!T$1402)/3),Calcs!T1446,IF(INT((Calcs!$I1446-Calcs!T$1402)/12)=(Calcs!$I1446-Calcs!T$1402)/12,Calcs!T1446,0))))</f>
        <v>0</v>
      </c>
      <c r="O576" s="846">
        <f>IF(OR(Calcs!$J$1402=Calcs!$I1446,Calcs!$I1446&gt;O$61),0,IF(OR(O$63="Monthly",O$63=""),Calcs!U1446,IF(AND(O$63="Quarterly",INT((Calcs!$I1446-Calcs!U$1402)/3)=(Calcs!$I1446-Calcs!U$1402)/3),Calcs!U1446,IF(INT((Calcs!$I1446-Calcs!U$1402)/12)=(Calcs!$I1446-Calcs!U$1402)/12,Calcs!U1446,0))))</f>
        <v>0</v>
      </c>
      <c r="P576" s="846">
        <f>IF(OR(Calcs!$J$1402=Calcs!$I1446,Calcs!$I1446&gt;P$61),0,IF(OR(P$63="Monthly",P$63=""),Calcs!V1446,IF(AND(P$63="Quarterly",INT((Calcs!$I1446-Calcs!V$1402)/3)=(Calcs!$I1446-Calcs!V$1402)/3),Calcs!V1446,IF(INT((Calcs!$I1446-Calcs!V$1402)/12)=(Calcs!$I1446-Calcs!V$1402)/12,Calcs!V1446,0))))</f>
        <v>0</v>
      </c>
      <c r="Q576" s="846">
        <f>IF(OR(Calcs!$J$1402=Calcs!$I1446,Calcs!$I1446&gt;Q$61),0,IF(OR(Q$63="Monthly",Q$63=""),Calcs!W1446,IF(AND(Q$63="Quarterly",INT((Calcs!$I1446-Calcs!W$1402)/3)=(Calcs!$I1446-Calcs!W$1402)/3),Calcs!W1446,IF(INT((Calcs!$I1446-Calcs!W$1402)/12)=(Calcs!$I1446-Calcs!W$1402)/12,Calcs!W1446,0))))</f>
        <v>0</v>
      </c>
      <c r="R576" s="846">
        <f>IF(OR(Calcs!$J$1402=Calcs!$I1446,Calcs!$I1446&gt;R$61),0,IF(OR(R$63="Monthly",R$63=""),Calcs!X1446,IF(AND(R$63="Quarterly",INT((Calcs!$I1446-Calcs!X$1402)/3)=(Calcs!$I1446-Calcs!X$1402)/3),Calcs!X1446,IF(INT((Calcs!$I1446-Calcs!X$1402)/12)=(Calcs!$I1446-Calcs!X$1402)/12,Calcs!X1446,0))))</f>
        <v>0</v>
      </c>
      <c r="S576" s="846">
        <f>IF(OR(Calcs!$J$1402=Calcs!$I1446,Calcs!$I1446&gt;S$61),0,IF(OR(S$63="Monthly",S$63=""),Calcs!Y1446,IF(AND(S$63="Quarterly",INT((Calcs!$I1446-Calcs!Y$1402)/3)=(Calcs!$I1446-Calcs!Y$1402)/3),Calcs!Y1446,IF(INT((Calcs!$I1446-Calcs!Y$1402)/12)=(Calcs!$I1446-Calcs!Y$1402)/12,Calcs!Y1446,0))))</f>
        <v>0</v>
      </c>
      <c r="T576" s="846">
        <f>IF(OR(Calcs!$J$1402=Calcs!$I1446,Calcs!$I1446&gt;T$61),0,IF(OR(T$63="Monthly",T$63=""),Calcs!Z1446,IF(AND(T$63="Quarterly",INT((Calcs!$I1446-Calcs!Z$1402)/3)=(Calcs!$I1446-Calcs!Z$1402)/3),Calcs!Z1446,IF(INT((Calcs!$I1446-Calcs!Z$1402)/12)=(Calcs!$I1446-Calcs!Z$1402)/12,Calcs!Z1446,0))))</f>
        <v>0</v>
      </c>
      <c r="U576" s="846">
        <f>IF(OR(Calcs!$J$1402=Calcs!$I1446,Calcs!$I1446&gt;U$61),0,IF(OR(U$63="Monthly",U$63=""),Calcs!AA1446,IF(AND(U$63="Quarterly",INT((Calcs!$I1446-Calcs!AA$1402)/3)=(Calcs!$I1446-Calcs!AA$1402)/3),Calcs!AA1446,IF(INT((Calcs!$I1446-Calcs!AA$1402)/12)=(Calcs!$I1446-Calcs!AA$1402)/12,Calcs!AA1446,0))))</f>
        <v>0</v>
      </c>
      <c r="V576" s="846">
        <f>IF(OR(Calcs!$J$1402=Calcs!$I1446,Calcs!$I1446&gt;V$61),0,IF(OR(V$63="Monthly",V$63=""),Calcs!AB1446,IF(AND(V$63="Quarterly",INT((Calcs!$I1446-Calcs!AB$1402)/3)=(Calcs!$I1446-Calcs!AB$1402)/3),Calcs!AB1446,IF(INT((Calcs!$I1446-Calcs!AB$1402)/12)=(Calcs!$I1446-Calcs!AB$1402)/12,Calcs!AB1446,0))))</f>
        <v>0</v>
      </c>
      <c r="W576" s="846">
        <f>IF(OR(Calcs!$J$1402=Calcs!$I1446,Calcs!$I1446&gt;W$61),0,IF(OR(W$63="Monthly",W$63=""),Calcs!AC1446,IF(AND(W$63="Quarterly",INT((Calcs!$I1446-Calcs!AC$1402)/3)=(Calcs!$I1446-Calcs!AC$1402)/3),Calcs!AC1446,IF(INT((Calcs!$I1446-Calcs!AC$1402)/12)=(Calcs!$I1446-Calcs!AC$1402)/12,Calcs!AC1446,0))))</f>
        <v>0</v>
      </c>
      <c r="X576" s="846">
        <f>IF(OR(Calcs!$J$1402=Calcs!$I1446,Calcs!$I1446&gt;X$61),0,IF(OR(X$63="Monthly",X$63=""),Calcs!AD1446,IF(AND(X$63="Quarterly",INT((Calcs!$I1446-Calcs!AD$1402)/3)=(Calcs!$I1446-Calcs!AD$1402)/3),Calcs!AD1446,IF(INT((Calcs!$I1446-Calcs!AD$1402)/12)=(Calcs!$I1446-Calcs!AD$1402)/12,Calcs!AD1446,0))))</f>
        <v>0</v>
      </c>
      <c r="Y576" s="846">
        <f>IF(OR(Calcs!$J$1402=Calcs!$I1446,Calcs!$I1446&gt;Y$61),0,IF(OR(Y$63="Monthly",Y$63=""),Calcs!AE1446,IF(AND(Y$63="Quarterly",INT((Calcs!$I1446-Calcs!AE$1402)/3)=(Calcs!$I1446-Calcs!AE$1402)/3),Calcs!AE1446,IF(INT((Calcs!$I1446-Calcs!AE$1402)/12)=(Calcs!$I1446-Calcs!AE$1402)/12,Calcs!AE1446,0))))</f>
        <v>0</v>
      </c>
      <c r="Z576" s="846">
        <f>IF(OR(Calcs!$J$1402=Calcs!$I1446,Calcs!$I1446&gt;Z$61),0,IF(OR(Z$63="Monthly",Z$63=""),Calcs!AF1446,IF(AND(Z$63="Quarterly",INT((Calcs!$I1446-Calcs!AF$1402)/3)=(Calcs!$I1446-Calcs!AF$1402)/3),Calcs!AF1446,IF(INT((Calcs!$I1446-Calcs!AF$1402)/12)=(Calcs!$I1446-Calcs!AF$1402)/12,Calcs!AF1446,0))))</f>
        <v>0</v>
      </c>
      <c r="AA576" s="846">
        <f>IF(OR(Calcs!$J$1402=Calcs!$I1446,Calcs!$I1446&gt;AA$61),0,IF(OR(AA$63="Monthly",AA$63=""),Calcs!AG1446,IF(AND(AA$63="Quarterly",INT((Calcs!$I1446-Calcs!AG$1402)/3)=(Calcs!$I1446-Calcs!AG$1402)/3),Calcs!AG1446,IF(INT((Calcs!$I1446-Calcs!AG$1402)/12)=(Calcs!$I1446-Calcs!AG$1402)/12,Calcs!AG1446,0))))</f>
        <v>0</v>
      </c>
      <c r="AB576" s="847">
        <f>IF(OR(Calcs!$J$1402=Calcs!$I1446,Calcs!$I1446&gt;AB$61),0,IF(OR(AB$63="Monthly",AB$63=""),Calcs!AH1446,IF(AND(AB$63="Quarterly",INT((Calcs!$I1446-Calcs!AH$1402)/3)=(Calcs!$I1446-Calcs!AH$1402)/3),Calcs!AH1446,IF(INT((Calcs!$I1446-Calcs!AH$1402)/12)=(Calcs!$I1446-Calcs!AH$1402)/12,Calcs!AH1446,0))))</f>
        <v>0</v>
      </c>
      <c r="CH576" s="269"/>
      <c r="CI576" s="269"/>
      <c r="CJ576" s="269"/>
      <c r="CK576" s="269"/>
      <c r="CL576" s="269"/>
      <c r="CM576" s="269"/>
      <c r="CN576" s="269"/>
      <c r="CO576" s="269"/>
      <c r="CP576" s="269"/>
      <c r="CQ576" s="269"/>
      <c r="CR576" s="269"/>
      <c r="CS576" s="269"/>
    </row>
    <row r="577" spans="1:97" x14ac:dyDescent="0.3">
      <c r="A577" s="5"/>
      <c r="B577" s="5"/>
      <c r="C577" s="495">
        <f>C514</f>
        <v>1277</v>
      </c>
      <c r="D577" s="845">
        <f>IF(OR(Calcs!$J$1402=Calcs!$I1447,Calcs!$I1447&gt;D$61),0,IF(OR(D$63="Monthly",D$63=""),Calcs!J1447,IF(AND(D$63="Quarterly",INT((Calcs!$I1447-Calcs!J$1402)/3)=(Calcs!$I1447-Calcs!J$1402)/3),Calcs!J1447,IF(INT((Calcs!$I1447-Calcs!J$1402)/12)=(Calcs!$I1447-Calcs!J$1402)/12,Calcs!J1447,0))))</f>
        <v>0</v>
      </c>
      <c r="E577" s="846">
        <f>IF(OR(Calcs!$J$1402=Calcs!$I1447,Calcs!$I1447&gt;E$61),0,IF(OR(E$63="Monthly",E$63=""),Calcs!K1447,IF(AND(E$63="Quarterly",INT((Calcs!$I1447-Calcs!K$1402)/3)=(Calcs!$I1447-Calcs!K$1402)/3),Calcs!K1447,IF(INT((Calcs!$I1447-Calcs!K$1402)/12)=(Calcs!$I1447-Calcs!K$1402)/12,Calcs!K1447,0))))</f>
        <v>0</v>
      </c>
      <c r="F577" s="846">
        <f>IF(OR(Calcs!$J$1402=Calcs!$I1447,Calcs!$I1447&gt;F$61),0,IF(OR(F$63="Monthly",F$63=""),Calcs!L1447,IF(AND(F$63="Quarterly",INT((Calcs!$I1447-Calcs!L$1402)/3)=(Calcs!$I1447-Calcs!L$1402)/3),Calcs!L1447,IF(INT((Calcs!$I1447-Calcs!L$1402)/12)=(Calcs!$I1447-Calcs!L$1402)/12,Calcs!L1447,0))))</f>
        <v>0</v>
      </c>
      <c r="G577" s="846">
        <f>IF(OR(Calcs!$J$1402=Calcs!$I1447,Calcs!$I1447&gt;G$61),0,IF(OR(G$63="Monthly",G$63=""),Calcs!M1447,IF(AND(G$63="Quarterly",INT((Calcs!$I1447-Calcs!M$1402)/3)=(Calcs!$I1447-Calcs!M$1402)/3),Calcs!M1447,IF(INT((Calcs!$I1447-Calcs!M$1402)/12)=(Calcs!$I1447-Calcs!M$1402)/12,Calcs!M1447,0))))</f>
        <v>0</v>
      </c>
      <c r="H577" s="846">
        <f>IF(OR(Calcs!$J$1402=Calcs!$I1447,Calcs!$I1447&gt;H$61),0,IF(OR(H$63="Monthly",H$63=""),Calcs!N1447,IF(AND(H$63="Quarterly",INT((Calcs!$I1447-Calcs!N$1402)/3)=(Calcs!$I1447-Calcs!N$1402)/3),Calcs!N1447,IF(INT((Calcs!$I1447-Calcs!N$1402)/12)=(Calcs!$I1447-Calcs!N$1402)/12,Calcs!N1447,0))))</f>
        <v>0</v>
      </c>
      <c r="I577" s="846">
        <f>IF(OR(Calcs!$J$1402=Calcs!$I1447,Calcs!$I1447&gt;I$61),0,IF(OR(I$63="Monthly",I$63=""),Calcs!O1447,IF(AND(I$63="Quarterly",INT((Calcs!$I1447-Calcs!O$1402)/3)=(Calcs!$I1447-Calcs!O$1402)/3),Calcs!O1447,IF(INT((Calcs!$I1447-Calcs!O$1402)/12)=(Calcs!$I1447-Calcs!O$1402)/12,Calcs!O1447,0))))</f>
        <v>0</v>
      </c>
      <c r="J577" s="846">
        <f>IF(OR(Calcs!$J$1402=Calcs!$I1447,Calcs!$I1447&gt;J$61),0,IF(OR(J$63="Monthly",J$63=""),Calcs!P1447,IF(AND(J$63="Quarterly",INT((Calcs!$I1447-Calcs!P$1402)/3)=(Calcs!$I1447-Calcs!P$1402)/3),Calcs!P1447,IF(INT((Calcs!$I1447-Calcs!P$1402)/12)=(Calcs!$I1447-Calcs!P$1402)/12,Calcs!P1447,0))))</f>
        <v>0</v>
      </c>
      <c r="K577" s="846">
        <f>IF(OR(Calcs!$J$1402=Calcs!$I1447,Calcs!$I1447&gt;K$61),0,IF(OR(K$63="Monthly",K$63=""),Calcs!Q1447,IF(AND(K$63="Quarterly",INT((Calcs!$I1447-Calcs!Q$1402)/3)=(Calcs!$I1447-Calcs!Q$1402)/3),Calcs!Q1447,IF(INT((Calcs!$I1447-Calcs!Q$1402)/12)=(Calcs!$I1447-Calcs!Q$1402)/12,Calcs!Q1447,0))))</f>
        <v>0</v>
      </c>
      <c r="L577" s="846">
        <f>IF(OR(Calcs!$J$1402=Calcs!$I1447,Calcs!$I1447&gt;L$61),0,IF(OR(L$63="Monthly",L$63=""),Calcs!R1447,IF(AND(L$63="Quarterly",INT((Calcs!$I1447-Calcs!R$1402)/3)=(Calcs!$I1447-Calcs!R$1402)/3),Calcs!R1447,IF(INT((Calcs!$I1447-Calcs!R$1402)/12)=(Calcs!$I1447-Calcs!R$1402)/12,Calcs!R1447,0))))</f>
        <v>0</v>
      </c>
      <c r="M577" s="846">
        <f>IF(OR(Calcs!$J$1402=Calcs!$I1447,Calcs!$I1447&gt;M$61),0,IF(OR(M$63="Monthly",M$63=""),Calcs!S1447,IF(AND(M$63="Quarterly",INT((Calcs!$I1447-Calcs!S$1402)/3)=(Calcs!$I1447-Calcs!S$1402)/3),Calcs!S1447,IF(INT((Calcs!$I1447-Calcs!S$1402)/12)=(Calcs!$I1447-Calcs!S$1402)/12,Calcs!S1447,0))))</f>
        <v>0</v>
      </c>
      <c r="N577" s="846">
        <f>IF(OR(Calcs!$J$1402=Calcs!$I1447,Calcs!$I1447&gt;N$61),0,IF(OR(N$63="Monthly",N$63=""),Calcs!T1447,IF(AND(N$63="Quarterly",INT((Calcs!$I1447-Calcs!T$1402)/3)=(Calcs!$I1447-Calcs!T$1402)/3),Calcs!T1447,IF(INT((Calcs!$I1447-Calcs!T$1402)/12)=(Calcs!$I1447-Calcs!T$1402)/12,Calcs!T1447,0))))</f>
        <v>0</v>
      </c>
      <c r="O577" s="846">
        <f>IF(OR(Calcs!$J$1402=Calcs!$I1447,Calcs!$I1447&gt;O$61),0,IF(OR(O$63="Monthly",O$63=""),Calcs!U1447,IF(AND(O$63="Quarterly",INT((Calcs!$I1447-Calcs!U$1402)/3)=(Calcs!$I1447-Calcs!U$1402)/3),Calcs!U1447,IF(INT((Calcs!$I1447-Calcs!U$1402)/12)=(Calcs!$I1447-Calcs!U$1402)/12,Calcs!U1447,0))))</f>
        <v>0</v>
      </c>
      <c r="P577" s="846">
        <f>IF(OR(Calcs!$J$1402=Calcs!$I1447,Calcs!$I1447&gt;P$61),0,IF(OR(P$63="Monthly",P$63=""),Calcs!V1447,IF(AND(P$63="Quarterly",INT((Calcs!$I1447-Calcs!V$1402)/3)=(Calcs!$I1447-Calcs!V$1402)/3),Calcs!V1447,IF(INT((Calcs!$I1447-Calcs!V$1402)/12)=(Calcs!$I1447-Calcs!V$1402)/12,Calcs!V1447,0))))</f>
        <v>0</v>
      </c>
      <c r="Q577" s="846">
        <f>IF(OR(Calcs!$J$1402=Calcs!$I1447,Calcs!$I1447&gt;Q$61),0,IF(OR(Q$63="Monthly",Q$63=""),Calcs!W1447,IF(AND(Q$63="Quarterly",INT((Calcs!$I1447-Calcs!W$1402)/3)=(Calcs!$I1447-Calcs!W$1402)/3),Calcs!W1447,IF(INT((Calcs!$I1447-Calcs!W$1402)/12)=(Calcs!$I1447-Calcs!W$1402)/12,Calcs!W1447,0))))</f>
        <v>0</v>
      </c>
      <c r="R577" s="846">
        <f>IF(OR(Calcs!$J$1402=Calcs!$I1447,Calcs!$I1447&gt;R$61),0,IF(OR(R$63="Monthly",R$63=""),Calcs!X1447,IF(AND(R$63="Quarterly",INT((Calcs!$I1447-Calcs!X$1402)/3)=(Calcs!$I1447-Calcs!X$1402)/3),Calcs!X1447,IF(INT((Calcs!$I1447-Calcs!X$1402)/12)=(Calcs!$I1447-Calcs!X$1402)/12,Calcs!X1447,0))))</f>
        <v>0</v>
      </c>
      <c r="S577" s="846">
        <f>IF(OR(Calcs!$J$1402=Calcs!$I1447,Calcs!$I1447&gt;S$61),0,IF(OR(S$63="Monthly",S$63=""),Calcs!Y1447,IF(AND(S$63="Quarterly",INT((Calcs!$I1447-Calcs!Y$1402)/3)=(Calcs!$I1447-Calcs!Y$1402)/3),Calcs!Y1447,IF(INT((Calcs!$I1447-Calcs!Y$1402)/12)=(Calcs!$I1447-Calcs!Y$1402)/12,Calcs!Y1447,0))))</f>
        <v>0</v>
      </c>
      <c r="T577" s="846">
        <f>IF(OR(Calcs!$J$1402=Calcs!$I1447,Calcs!$I1447&gt;T$61),0,IF(OR(T$63="Monthly",T$63=""),Calcs!Z1447,IF(AND(T$63="Quarterly",INT((Calcs!$I1447-Calcs!Z$1402)/3)=(Calcs!$I1447-Calcs!Z$1402)/3),Calcs!Z1447,IF(INT((Calcs!$I1447-Calcs!Z$1402)/12)=(Calcs!$I1447-Calcs!Z$1402)/12,Calcs!Z1447,0))))</f>
        <v>0</v>
      </c>
      <c r="U577" s="846">
        <f>IF(OR(Calcs!$J$1402=Calcs!$I1447,Calcs!$I1447&gt;U$61),0,IF(OR(U$63="Monthly",U$63=""),Calcs!AA1447,IF(AND(U$63="Quarterly",INT((Calcs!$I1447-Calcs!AA$1402)/3)=(Calcs!$I1447-Calcs!AA$1402)/3),Calcs!AA1447,IF(INT((Calcs!$I1447-Calcs!AA$1402)/12)=(Calcs!$I1447-Calcs!AA$1402)/12,Calcs!AA1447,0))))</f>
        <v>0</v>
      </c>
      <c r="V577" s="846">
        <f>IF(OR(Calcs!$J$1402=Calcs!$I1447,Calcs!$I1447&gt;V$61),0,IF(OR(V$63="Monthly",V$63=""),Calcs!AB1447,IF(AND(V$63="Quarterly",INT((Calcs!$I1447-Calcs!AB$1402)/3)=(Calcs!$I1447-Calcs!AB$1402)/3),Calcs!AB1447,IF(INT((Calcs!$I1447-Calcs!AB$1402)/12)=(Calcs!$I1447-Calcs!AB$1402)/12,Calcs!AB1447,0))))</f>
        <v>0</v>
      </c>
      <c r="W577" s="846">
        <f>IF(OR(Calcs!$J$1402=Calcs!$I1447,Calcs!$I1447&gt;W$61),0,IF(OR(W$63="Monthly",W$63=""),Calcs!AC1447,IF(AND(W$63="Quarterly",INT((Calcs!$I1447-Calcs!AC$1402)/3)=(Calcs!$I1447-Calcs!AC$1402)/3),Calcs!AC1447,IF(INT((Calcs!$I1447-Calcs!AC$1402)/12)=(Calcs!$I1447-Calcs!AC$1402)/12,Calcs!AC1447,0))))</f>
        <v>0</v>
      </c>
      <c r="X577" s="846">
        <f>IF(OR(Calcs!$J$1402=Calcs!$I1447,Calcs!$I1447&gt;X$61),0,IF(OR(X$63="Monthly",X$63=""),Calcs!AD1447,IF(AND(X$63="Quarterly",INT((Calcs!$I1447-Calcs!AD$1402)/3)=(Calcs!$I1447-Calcs!AD$1402)/3),Calcs!AD1447,IF(INT((Calcs!$I1447-Calcs!AD$1402)/12)=(Calcs!$I1447-Calcs!AD$1402)/12,Calcs!AD1447,0))))</f>
        <v>0</v>
      </c>
      <c r="Y577" s="846">
        <f>IF(OR(Calcs!$J$1402=Calcs!$I1447,Calcs!$I1447&gt;Y$61),0,IF(OR(Y$63="Monthly",Y$63=""),Calcs!AE1447,IF(AND(Y$63="Quarterly",INT((Calcs!$I1447-Calcs!AE$1402)/3)=(Calcs!$I1447-Calcs!AE$1402)/3),Calcs!AE1447,IF(INT((Calcs!$I1447-Calcs!AE$1402)/12)=(Calcs!$I1447-Calcs!AE$1402)/12,Calcs!AE1447,0))))</f>
        <v>0</v>
      </c>
      <c r="Z577" s="846">
        <f>IF(OR(Calcs!$J$1402=Calcs!$I1447,Calcs!$I1447&gt;Z$61),0,IF(OR(Z$63="Monthly",Z$63=""),Calcs!AF1447,IF(AND(Z$63="Quarterly",INT((Calcs!$I1447-Calcs!AF$1402)/3)=(Calcs!$I1447-Calcs!AF$1402)/3),Calcs!AF1447,IF(INT((Calcs!$I1447-Calcs!AF$1402)/12)=(Calcs!$I1447-Calcs!AF$1402)/12,Calcs!AF1447,0))))</f>
        <v>0</v>
      </c>
      <c r="AA577" s="846">
        <f>IF(OR(Calcs!$J$1402=Calcs!$I1447,Calcs!$I1447&gt;AA$61),0,IF(OR(AA$63="Monthly",AA$63=""),Calcs!AG1447,IF(AND(AA$63="Quarterly",INT((Calcs!$I1447-Calcs!AG$1402)/3)=(Calcs!$I1447-Calcs!AG$1402)/3),Calcs!AG1447,IF(INT((Calcs!$I1447-Calcs!AG$1402)/12)=(Calcs!$I1447-Calcs!AG$1402)/12,Calcs!AG1447,0))))</f>
        <v>0</v>
      </c>
      <c r="AB577" s="847">
        <f>IF(OR(Calcs!$J$1402=Calcs!$I1447,Calcs!$I1447&gt;AB$61),0,IF(OR(AB$63="Monthly",AB$63=""),Calcs!AH1447,IF(AND(AB$63="Quarterly",INT((Calcs!$I1447-Calcs!AH$1402)/3)=(Calcs!$I1447-Calcs!AH$1402)/3),Calcs!AH1447,IF(INT((Calcs!$I1447-Calcs!AH$1402)/12)=(Calcs!$I1447-Calcs!AH$1402)/12,Calcs!AH1447,0))))</f>
        <v>0</v>
      </c>
      <c r="CH577" s="269"/>
      <c r="CI577" s="269"/>
      <c r="CJ577" s="269"/>
      <c r="CK577" s="269"/>
      <c r="CL577" s="269"/>
      <c r="CM577" s="269"/>
      <c r="CN577" s="269"/>
      <c r="CO577" s="269"/>
      <c r="CP577" s="269"/>
      <c r="CQ577" s="269"/>
      <c r="CR577" s="269"/>
      <c r="CS577" s="269"/>
    </row>
    <row r="578" spans="1:97" x14ac:dyDescent="0.3">
      <c r="A578" s="5"/>
      <c r="B578" s="5"/>
      <c r="C578" s="495">
        <f>C515</f>
        <v>1308</v>
      </c>
      <c r="D578" s="845">
        <f>IF(OR(Calcs!$J$1402=Calcs!$I1448,Calcs!$I1448&gt;D$61),0,IF(OR(D$63="Monthly",D$63=""),Calcs!J1448,IF(AND(D$63="Quarterly",INT((Calcs!$I1448-Calcs!J$1402)/3)=(Calcs!$I1448-Calcs!J$1402)/3),Calcs!J1448,IF(INT((Calcs!$I1448-Calcs!J$1402)/12)=(Calcs!$I1448-Calcs!J$1402)/12,Calcs!J1448,0))))</f>
        <v>0</v>
      </c>
      <c r="E578" s="846">
        <f>IF(OR(Calcs!$J$1402=Calcs!$I1448,Calcs!$I1448&gt;E$61),0,IF(OR(E$63="Monthly",E$63=""),Calcs!K1448,IF(AND(E$63="Quarterly",INT((Calcs!$I1448-Calcs!K$1402)/3)=(Calcs!$I1448-Calcs!K$1402)/3),Calcs!K1448,IF(INT((Calcs!$I1448-Calcs!K$1402)/12)=(Calcs!$I1448-Calcs!K$1402)/12,Calcs!K1448,0))))</f>
        <v>0</v>
      </c>
      <c r="F578" s="846">
        <f>IF(OR(Calcs!$J$1402=Calcs!$I1448,Calcs!$I1448&gt;F$61),0,IF(OR(F$63="Monthly",F$63=""),Calcs!L1448,IF(AND(F$63="Quarterly",INT((Calcs!$I1448-Calcs!L$1402)/3)=(Calcs!$I1448-Calcs!L$1402)/3),Calcs!L1448,IF(INT((Calcs!$I1448-Calcs!L$1402)/12)=(Calcs!$I1448-Calcs!L$1402)/12,Calcs!L1448,0))))</f>
        <v>0</v>
      </c>
      <c r="G578" s="846">
        <f>IF(OR(Calcs!$J$1402=Calcs!$I1448,Calcs!$I1448&gt;G$61),0,IF(OR(G$63="Monthly",G$63=""),Calcs!M1448,IF(AND(G$63="Quarterly",INT((Calcs!$I1448-Calcs!M$1402)/3)=(Calcs!$I1448-Calcs!M$1402)/3),Calcs!M1448,IF(INT((Calcs!$I1448-Calcs!M$1402)/12)=(Calcs!$I1448-Calcs!M$1402)/12,Calcs!M1448,0))))</f>
        <v>0</v>
      </c>
      <c r="H578" s="846">
        <f>IF(OR(Calcs!$J$1402=Calcs!$I1448,Calcs!$I1448&gt;H$61),0,IF(OR(H$63="Monthly",H$63=""),Calcs!N1448,IF(AND(H$63="Quarterly",INT((Calcs!$I1448-Calcs!N$1402)/3)=(Calcs!$I1448-Calcs!N$1402)/3),Calcs!N1448,IF(INT((Calcs!$I1448-Calcs!N$1402)/12)=(Calcs!$I1448-Calcs!N$1402)/12,Calcs!N1448,0))))</f>
        <v>0</v>
      </c>
      <c r="I578" s="846">
        <f>IF(OR(Calcs!$J$1402=Calcs!$I1448,Calcs!$I1448&gt;I$61),0,IF(OR(I$63="Monthly",I$63=""),Calcs!O1448,IF(AND(I$63="Quarterly",INT((Calcs!$I1448-Calcs!O$1402)/3)=(Calcs!$I1448-Calcs!O$1402)/3),Calcs!O1448,IF(INT((Calcs!$I1448-Calcs!O$1402)/12)=(Calcs!$I1448-Calcs!O$1402)/12,Calcs!O1448,0))))</f>
        <v>0</v>
      </c>
      <c r="J578" s="846">
        <f>IF(OR(Calcs!$J$1402=Calcs!$I1448,Calcs!$I1448&gt;J$61),0,IF(OR(J$63="Monthly",J$63=""),Calcs!P1448,IF(AND(J$63="Quarterly",INT((Calcs!$I1448-Calcs!P$1402)/3)=(Calcs!$I1448-Calcs!P$1402)/3),Calcs!P1448,IF(INT((Calcs!$I1448-Calcs!P$1402)/12)=(Calcs!$I1448-Calcs!P$1402)/12,Calcs!P1448,0))))</f>
        <v>0</v>
      </c>
      <c r="K578" s="846">
        <f>IF(OR(Calcs!$J$1402=Calcs!$I1448,Calcs!$I1448&gt;K$61),0,IF(OR(K$63="Monthly",K$63=""),Calcs!Q1448,IF(AND(K$63="Quarterly",INT((Calcs!$I1448-Calcs!Q$1402)/3)=(Calcs!$I1448-Calcs!Q$1402)/3),Calcs!Q1448,IF(INT((Calcs!$I1448-Calcs!Q$1402)/12)=(Calcs!$I1448-Calcs!Q$1402)/12,Calcs!Q1448,0))))</f>
        <v>0</v>
      </c>
      <c r="L578" s="846">
        <f>IF(OR(Calcs!$J$1402=Calcs!$I1448,Calcs!$I1448&gt;L$61),0,IF(OR(L$63="Monthly",L$63=""),Calcs!R1448,IF(AND(L$63="Quarterly",INT((Calcs!$I1448-Calcs!R$1402)/3)=(Calcs!$I1448-Calcs!R$1402)/3),Calcs!R1448,IF(INT((Calcs!$I1448-Calcs!R$1402)/12)=(Calcs!$I1448-Calcs!R$1402)/12,Calcs!R1448,0))))</f>
        <v>0</v>
      </c>
      <c r="M578" s="846">
        <f>IF(OR(Calcs!$J$1402=Calcs!$I1448,Calcs!$I1448&gt;M$61),0,IF(OR(M$63="Monthly",M$63=""),Calcs!S1448,IF(AND(M$63="Quarterly",INT((Calcs!$I1448-Calcs!S$1402)/3)=(Calcs!$I1448-Calcs!S$1402)/3),Calcs!S1448,IF(INT((Calcs!$I1448-Calcs!S$1402)/12)=(Calcs!$I1448-Calcs!S$1402)/12,Calcs!S1448,0))))</f>
        <v>0</v>
      </c>
      <c r="N578" s="846">
        <f>IF(OR(Calcs!$J$1402=Calcs!$I1448,Calcs!$I1448&gt;N$61),0,IF(OR(N$63="Monthly",N$63=""),Calcs!T1448,IF(AND(N$63="Quarterly",INT((Calcs!$I1448-Calcs!T$1402)/3)=(Calcs!$I1448-Calcs!T$1402)/3),Calcs!T1448,IF(INT((Calcs!$I1448-Calcs!T$1402)/12)=(Calcs!$I1448-Calcs!T$1402)/12,Calcs!T1448,0))))</f>
        <v>0</v>
      </c>
      <c r="O578" s="846">
        <f>IF(OR(Calcs!$J$1402=Calcs!$I1448,Calcs!$I1448&gt;O$61),0,IF(OR(O$63="Monthly",O$63=""),Calcs!U1448,IF(AND(O$63="Quarterly",INT((Calcs!$I1448-Calcs!U$1402)/3)=(Calcs!$I1448-Calcs!U$1402)/3),Calcs!U1448,IF(INT((Calcs!$I1448-Calcs!U$1402)/12)=(Calcs!$I1448-Calcs!U$1402)/12,Calcs!U1448,0))))</f>
        <v>0</v>
      </c>
      <c r="P578" s="846">
        <f>IF(OR(Calcs!$J$1402=Calcs!$I1448,Calcs!$I1448&gt;P$61),0,IF(OR(P$63="Monthly",P$63=""),Calcs!V1448,IF(AND(P$63="Quarterly",INT((Calcs!$I1448-Calcs!V$1402)/3)=(Calcs!$I1448-Calcs!V$1402)/3),Calcs!V1448,IF(INT((Calcs!$I1448-Calcs!V$1402)/12)=(Calcs!$I1448-Calcs!V$1402)/12,Calcs!V1448,0))))</f>
        <v>0</v>
      </c>
      <c r="Q578" s="846">
        <f>IF(OR(Calcs!$J$1402=Calcs!$I1448,Calcs!$I1448&gt;Q$61),0,IF(OR(Q$63="Monthly",Q$63=""),Calcs!W1448,IF(AND(Q$63="Quarterly",INT((Calcs!$I1448-Calcs!W$1402)/3)=(Calcs!$I1448-Calcs!W$1402)/3),Calcs!W1448,IF(INT((Calcs!$I1448-Calcs!W$1402)/12)=(Calcs!$I1448-Calcs!W$1402)/12,Calcs!W1448,0))))</f>
        <v>0</v>
      </c>
      <c r="R578" s="846">
        <f>IF(OR(Calcs!$J$1402=Calcs!$I1448,Calcs!$I1448&gt;R$61),0,IF(OR(R$63="Monthly",R$63=""),Calcs!X1448,IF(AND(R$63="Quarterly",INT((Calcs!$I1448-Calcs!X$1402)/3)=(Calcs!$I1448-Calcs!X$1402)/3),Calcs!X1448,IF(INT((Calcs!$I1448-Calcs!X$1402)/12)=(Calcs!$I1448-Calcs!X$1402)/12,Calcs!X1448,0))))</f>
        <v>0</v>
      </c>
      <c r="S578" s="846">
        <f>IF(OR(Calcs!$J$1402=Calcs!$I1448,Calcs!$I1448&gt;S$61),0,IF(OR(S$63="Monthly",S$63=""),Calcs!Y1448,IF(AND(S$63="Quarterly",INT((Calcs!$I1448-Calcs!Y$1402)/3)=(Calcs!$I1448-Calcs!Y$1402)/3),Calcs!Y1448,IF(INT((Calcs!$I1448-Calcs!Y$1402)/12)=(Calcs!$I1448-Calcs!Y$1402)/12,Calcs!Y1448,0))))</f>
        <v>0</v>
      </c>
      <c r="T578" s="846">
        <f>IF(OR(Calcs!$J$1402=Calcs!$I1448,Calcs!$I1448&gt;T$61),0,IF(OR(T$63="Monthly",T$63=""),Calcs!Z1448,IF(AND(T$63="Quarterly",INT((Calcs!$I1448-Calcs!Z$1402)/3)=(Calcs!$I1448-Calcs!Z$1402)/3),Calcs!Z1448,IF(INT((Calcs!$I1448-Calcs!Z$1402)/12)=(Calcs!$I1448-Calcs!Z$1402)/12,Calcs!Z1448,0))))</f>
        <v>0</v>
      </c>
      <c r="U578" s="846">
        <f>IF(OR(Calcs!$J$1402=Calcs!$I1448,Calcs!$I1448&gt;U$61),0,IF(OR(U$63="Monthly",U$63=""),Calcs!AA1448,IF(AND(U$63="Quarterly",INT((Calcs!$I1448-Calcs!AA$1402)/3)=(Calcs!$I1448-Calcs!AA$1402)/3),Calcs!AA1448,IF(INT((Calcs!$I1448-Calcs!AA$1402)/12)=(Calcs!$I1448-Calcs!AA$1402)/12,Calcs!AA1448,0))))</f>
        <v>0</v>
      </c>
      <c r="V578" s="846">
        <f>IF(OR(Calcs!$J$1402=Calcs!$I1448,Calcs!$I1448&gt;V$61),0,IF(OR(V$63="Monthly",V$63=""),Calcs!AB1448,IF(AND(V$63="Quarterly",INT((Calcs!$I1448-Calcs!AB$1402)/3)=(Calcs!$I1448-Calcs!AB$1402)/3),Calcs!AB1448,IF(INT((Calcs!$I1448-Calcs!AB$1402)/12)=(Calcs!$I1448-Calcs!AB$1402)/12,Calcs!AB1448,0))))</f>
        <v>0</v>
      </c>
      <c r="W578" s="846">
        <f>IF(OR(Calcs!$J$1402=Calcs!$I1448,Calcs!$I1448&gt;W$61),0,IF(OR(W$63="Monthly",W$63=""),Calcs!AC1448,IF(AND(W$63="Quarterly",INT((Calcs!$I1448-Calcs!AC$1402)/3)=(Calcs!$I1448-Calcs!AC$1402)/3),Calcs!AC1448,IF(INT((Calcs!$I1448-Calcs!AC$1402)/12)=(Calcs!$I1448-Calcs!AC$1402)/12,Calcs!AC1448,0))))</f>
        <v>0</v>
      </c>
      <c r="X578" s="846">
        <f>IF(OR(Calcs!$J$1402=Calcs!$I1448,Calcs!$I1448&gt;X$61),0,IF(OR(X$63="Monthly",X$63=""),Calcs!AD1448,IF(AND(X$63="Quarterly",INT((Calcs!$I1448-Calcs!AD$1402)/3)=(Calcs!$I1448-Calcs!AD$1402)/3),Calcs!AD1448,IF(INT((Calcs!$I1448-Calcs!AD$1402)/12)=(Calcs!$I1448-Calcs!AD$1402)/12,Calcs!AD1448,0))))</f>
        <v>0</v>
      </c>
      <c r="Y578" s="846">
        <f>IF(OR(Calcs!$J$1402=Calcs!$I1448,Calcs!$I1448&gt;Y$61),0,IF(OR(Y$63="Monthly",Y$63=""),Calcs!AE1448,IF(AND(Y$63="Quarterly",INT((Calcs!$I1448-Calcs!AE$1402)/3)=(Calcs!$I1448-Calcs!AE$1402)/3),Calcs!AE1448,IF(INT((Calcs!$I1448-Calcs!AE$1402)/12)=(Calcs!$I1448-Calcs!AE$1402)/12,Calcs!AE1448,0))))</f>
        <v>0</v>
      </c>
      <c r="Z578" s="846">
        <f>IF(OR(Calcs!$J$1402=Calcs!$I1448,Calcs!$I1448&gt;Z$61),0,IF(OR(Z$63="Monthly",Z$63=""),Calcs!AF1448,IF(AND(Z$63="Quarterly",INT((Calcs!$I1448-Calcs!AF$1402)/3)=(Calcs!$I1448-Calcs!AF$1402)/3),Calcs!AF1448,IF(INT((Calcs!$I1448-Calcs!AF$1402)/12)=(Calcs!$I1448-Calcs!AF$1402)/12,Calcs!AF1448,0))))</f>
        <v>0</v>
      </c>
      <c r="AA578" s="846">
        <f>IF(OR(Calcs!$J$1402=Calcs!$I1448,Calcs!$I1448&gt;AA$61),0,IF(OR(AA$63="Monthly",AA$63=""),Calcs!AG1448,IF(AND(AA$63="Quarterly",INT((Calcs!$I1448-Calcs!AG$1402)/3)=(Calcs!$I1448-Calcs!AG$1402)/3),Calcs!AG1448,IF(INT((Calcs!$I1448-Calcs!AG$1402)/12)=(Calcs!$I1448-Calcs!AG$1402)/12,Calcs!AG1448,0))))</f>
        <v>0</v>
      </c>
      <c r="AB578" s="847">
        <f>IF(OR(Calcs!$J$1402=Calcs!$I1448,Calcs!$I1448&gt;AB$61),0,IF(OR(AB$63="Monthly",AB$63=""),Calcs!AH1448,IF(AND(AB$63="Quarterly",INT((Calcs!$I1448-Calcs!AH$1402)/3)=(Calcs!$I1448-Calcs!AH$1402)/3),Calcs!AH1448,IF(INT((Calcs!$I1448-Calcs!AH$1402)/12)=(Calcs!$I1448-Calcs!AH$1402)/12,Calcs!AH1448,0))))</f>
        <v>0</v>
      </c>
      <c r="CH578" s="269"/>
      <c r="CI578" s="269"/>
      <c r="CJ578" s="269"/>
      <c r="CK578" s="269"/>
      <c r="CL578" s="269"/>
      <c r="CM578" s="269"/>
      <c r="CN578" s="269"/>
      <c r="CO578" s="269"/>
      <c r="CP578" s="269"/>
      <c r="CQ578" s="269"/>
      <c r="CR578" s="269"/>
      <c r="CS578" s="269"/>
    </row>
    <row r="579" spans="1:97" x14ac:dyDescent="0.3">
      <c r="A579" s="5"/>
      <c r="B579" s="5"/>
      <c r="C579" s="495">
        <f>C516</f>
        <v>1339</v>
      </c>
      <c r="D579" s="845">
        <f>IF(OR(Calcs!$J$1402=Calcs!$I1449,Calcs!$I1449&gt;D$61),0,IF(OR(D$63="Monthly",D$63=""),Calcs!J1449,IF(AND(D$63="Quarterly",INT((Calcs!$I1449-Calcs!J$1402)/3)=(Calcs!$I1449-Calcs!J$1402)/3),Calcs!J1449,IF(INT((Calcs!$I1449-Calcs!J$1402)/12)=(Calcs!$I1449-Calcs!J$1402)/12,Calcs!J1449,0))))</f>
        <v>0</v>
      </c>
      <c r="E579" s="846">
        <f>IF(OR(Calcs!$J$1402=Calcs!$I1449,Calcs!$I1449&gt;E$61),0,IF(OR(E$63="Monthly",E$63=""),Calcs!K1449,IF(AND(E$63="Quarterly",INT((Calcs!$I1449-Calcs!K$1402)/3)=(Calcs!$I1449-Calcs!K$1402)/3),Calcs!K1449,IF(INT((Calcs!$I1449-Calcs!K$1402)/12)=(Calcs!$I1449-Calcs!K$1402)/12,Calcs!K1449,0))))</f>
        <v>0</v>
      </c>
      <c r="F579" s="846">
        <f>IF(OR(Calcs!$J$1402=Calcs!$I1449,Calcs!$I1449&gt;F$61),0,IF(OR(F$63="Monthly",F$63=""),Calcs!L1449,IF(AND(F$63="Quarterly",INT((Calcs!$I1449-Calcs!L$1402)/3)=(Calcs!$I1449-Calcs!L$1402)/3),Calcs!L1449,IF(INT((Calcs!$I1449-Calcs!L$1402)/12)=(Calcs!$I1449-Calcs!L$1402)/12,Calcs!L1449,0))))</f>
        <v>0</v>
      </c>
      <c r="G579" s="846">
        <f>IF(OR(Calcs!$J$1402=Calcs!$I1449,Calcs!$I1449&gt;G$61),0,IF(OR(G$63="Monthly",G$63=""),Calcs!M1449,IF(AND(G$63="Quarterly",INT((Calcs!$I1449-Calcs!M$1402)/3)=(Calcs!$I1449-Calcs!M$1402)/3),Calcs!M1449,IF(INT((Calcs!$I1449-Calcs!M$1402)/12)=(Calcs!$I1449-Calcs!M$1402)/12,Calcs!M1449,0))))</f>
        <v>0</v>
      </c>
      <c r="H579" s="846">
        <f>IF(OR(Calcs!$J$1402=Calcs!$I1449,Calcs!$I1449&gt;H$61),0,IF(OR(H$63="Monthly",H$63=""),Calcs!N1449,IF(AND(H$63="Quarterly",INT((Calcs!$I1449-Calcs!N$1402)/3)=(Calcs!$I1449-Calcs!N$1402)/3),Calcs!N1449,IF(INT((Calcs!$I1449-Calcs!N$1402)/12)=(Calcs!$I1449-Calcs!N$1402)/12,Calcs!N1449,0))))</f>
        <v>0</v>
      </c>
      <c r="I579" s="846">
        <f>IF(OR(Calcs!$J$1402=Calcs!$I1449,Calcs!$I1449&gt;I$61),0,IF(OR(I$63="Monthly",I$63=""),Calcs!O1449,IF(AND(I$63="Quarterly",INT((Calcs!$I1449-Calcs!O$1402)/3)=(Calcs!$I1449-Calcs!O$1402)/3),Calcs!O1449,IF(INT((Calcs!$I1449-Calcs!O$1402)/12)=(Calcs!$I1449-Calcs!O$1402)/12,Calcs!O1449,0))))</f>
        <v>0</v>
      </c>
      <c r="J579" s="846">
        <f>IF(OR(Calcs!$J$1402=Calcs!$I1449,Calcs!$I1449&gt;J$61),0,IF(OR(J$63="Monthly",J$63=""),Calcs!P1449,IF(AND(J$63="Quarterly",INT((Calcs!$I1449-Calcs!P$1402)/3)=(Calcs!$I1449-Calcs!P$1402)/3),Calcs!P1449,IF(INT((Calcs!$I1449-Calcs!P$1402)/12)=(Calcs!$I1449-Calcs!P$1402)/12,Calcs!P1449,0))))</f>
        <v>0</v>
      </c>
      <c r="K579" s="846">
        <f>IF(OR(Calcs!$J$1402=Calcs!$I1449,Calcs!$I1449&gt;K$61),0,IF(OR(K$63="Monthly",K$63=""),Calcs!Q1449,IF(AND(K$63="Quarterly",INT((Calcs!$I1449-Calcs!Q$1402)/3)=(Calcs!$I1449-Calcs!Q$1402)/3),Calcs!Q1449,IF(INT((Calcs!$I1449-Calcs!Q$1402)/12)=(Calcs!$I1449-Calcs!Q$1402)/12,Calcs!Q1449,0))))</f>
        <v>0</v>
      </c>
      <c r="L579" s="846">
        <f>IF(OR(Calcs!$J$1402=Calcs!$I1449,Calcs!$I1449&gt;L$61),0,IF(OR(L$63="Monthly",L$63=""),Calcs!R1449,IF(AND(L$63="Quarterly",INT((Calcs!$I1449-Calcs!R$1402)/3)=(Calcs!$I1449-Calcs!R$1402)/3),Calcs!R1449,IF(INT((Calcs!$I1449-Calcs!R$1402)/12)=(Calcs!$I1449-Calcs!R$1402)/12,Calcs!R1449,0))))</f>
        <v>0</v>
      </c>
      <c r="M579" s="846">
        <f>IF(OR(Calcs!$J$1402=Calcs!$I1449,Calcs!$I1449&gt;M$61),0,IF(OR(M$63="Monthly",M$63=""),Calcs!S1449,IF(AND(M$63="Quarterly",INT((Calcs!$I1449-Calcs!S$1402)/3)=(Calcs!$I1449-Calcs!S$1402)/3),Calcs!S1449,IF(INT((Calcs!$I1449-Calcs!S$1402)/12)=(Calcs!$I1449-Calcs!S$1402)/12,Calcs!S1449,0))))</f>
        <v>0</v>
      </c>
      <c r="N579" s="846">
        <f>IF(OR(Calcs!$J$1402=Calcs!$I1449,Calcs!$I1449&gt;N$61),0,IF(OR(N$63="Monthly",N$63=""),Calcs!T1449,IF(AND(N$63="Quarterly",INT((Calcs!$I1449-Calcs!T$1402)/3)=(Calcs!$I1449-Calcs!T$1402)/3),Calcs!T1449,IF(INT((Calcs!$I1449-Calcs!T$1402)/12)=(Calcs!$I1449-Calcs!T$1402)/12,Calcs!T1449,0))))</f>
        <v>0</v>
      </c>
      <c r="O579" s="846">
        <f>IF(OR(Calcs!$J$1402=Calcs!$I1449,Calcs!$I1449&gt;O$61),0,IF(OR(O$63="Monthly",O$63=""),Calcs!U1449,IF(AND(O$63="Quarterly",INT((Calcs!$I1449-Calcs!U$1402)/3)=(Calcs!$I1449-Calcs!U$1402)/3),Calcs!U1449,IF(INT((Calcs!$I1449-Calcs!U$1402)/12)=(Calcs!$I1449-Calcs!U$1402)/12,Calcs!U1449,0))))</f>
        <v>0</v>
      </c>
      <c r="P579" s="846">
        <f>IF(OR(Calcs!$J$1402=Calcs!$I1449,Calcs!$I1449&gt;P$61),0,IF(OR(P$63="Monthly",P$63=""),Calcs!V1449,IF(AND(P$63="Quarterly",INT((Calcs!$I1449-Calcs!V$1402)/3)=(Calcs!$I1449-Calcs!V$1402)/3),Calcs!V1449,IF(INT((Calcs!$I1449-Calcs!V$1402)/12)=(Calcs!$I1449-Calcs!V$1402)/12,Calcs!V1449,0))))</f>
        <v>0</v>
      </c>
      <c r="Q579" s="846">
        <f>IF(OR(Calcs!$J$1402=Calcs!$I1449,Calcs!$I1449&gt;Q$61),0,IF(OR(Q$63="Monthly",Q$63=""),Calcs!W1449,IF(AND(Q$63="Quarterly",INT((Calcs!$I1449-Calcs!W$1402)/3)=(Calcs!$I1449-Calcs!W$1402)/3),Calcs!W1449,IF(INT((Calcs!$I1449-Calcs!W$1402)/12)=(Calcs!$I1449-Calcs!W$1402)/12,Calcs!W1449,0))))</f>
        <v>0</v>
      </c>
      <c r="R579" s="846">
        <f>IF(OR(Calcs!$J$1402=Calcs!$I1449,Calcs!$I1449&gt;R$61),0,IF(OR(R$63="Monthly",R$63=""),Calcs!X1449,IF(AND(R$63="Quarterly",INT((Calcs!$I1449-Calcs!X$1402)/3)=(Calcs!$I1449-Calcs!X$1402)/3),Calcs!X1449,IF(INT((Calcs!$I1449-Calcs!X$1402)/12)=(Calcs!$I1449-Calcs!X$1402)/12,Calcs!X1449,0))))</f>
        <v>0</v>
      </c>
      <c r="S579" s="846">
        <f>IF(OR(Calcs!$J$1402=Calcs!$I1449,Calcs!$I1449&gt;S$61),0,IF(OR(S$63="Monthly",S$63=""),Calcs!Y1449,IF(AND(S$63="Quarterly",INT((Calcs!$I1449-Calcs!Y$1402)/3)=(Calcs!$I1449-Calcs!Y$1402)/3),Calcs!Y1449,IF(INT((Calcs!$I1449-Calcs!Y$1402)/12)=(Calcs!$I1449-Calcs!Y$1402)/12,Calcs!Y1449,0))))</f>
        <v>0</v>
      </c>
      <c r="T579" s="846">
        <f>IF(OR(Calcs!$J$1402=Calcs!$I1449,Calcs!$I1449&gt;T$61),0,IF(OR(T$63="Monthly",T$63=""),Calcs!Z1449,IF(AND(T$63="Quarterly",INT((Calcs!$I1449-Calcs!Z$1402)/3)=(Calcs!$I1449-Calcs!Z$1402)/3),Calcs!Z1449,IF(INT((Calcs!$I1449-Calcs!Z$1402)/12)=(Calcs!$I1449-Calcs!Z$1402)/12,Calcs!Z1449,0))))</f>
        <v>0</v>
      </c>
      <c r="U579" s="846">
        <f>IF(OR(Calcs!$J$1402=Calcs!$I1449,Calcs!$I1449&gt;U$61),0,IF(OR(U$63="Monthly",U$63=""),Calcs!AA1449,IF(AND(U$63="Quarterly",INT((Calcs!$I1449-Calcs!AA$1402)/3)=(Calcs!$I1449-Calcs!AA$1402)/3),Calcs!AA1449,IF(INT((Calcs!$I1449-Calcs!AA$1402)/12)=(Calcs!$I1449-Calcs!AA$1402)/12,Calcs!AA1449,0))))</f>
        <v>0</v>
      </c>
      <c r="V579" s="846">
        <f>IF(OR(Calcs!$J$1402=Calcs!$I1449,Calcs!$I1449&gt;V$61),0,IF(OR(V$63="Monthly",V$63=""),Calcs!AB1449,IF(AND(V$63="Quarterly",INT((Calcs!$I1449-Calcs!AB$1402)/3)=(Calcs!$I1449-Calcs!AB$1402)/3),Calcs!AB1449,IF(INT((Calcs!$I1449-Calcs!AB$1402)/12)=(Calcs!$I1449-Calcs!AB$1402)/12,Calcs!AB1449,0))))</f>
        <v>0</v>
      </c>
      <c r="W579" s="846">
        <f>IF(OR(Calcs!$J$1402=Calcs!$I1449,Calcs!$I1449&gt;W$61),0,IF(OR(W$63="Monthly",W$63=""),Calcs!AC1449,IF(AND(W$63="Quarterly",INT((Calcs!$I1449-Calcs!AC$1402)/3)=(Calcs!$I1449-Calcs!AC$1402)/3),Calcs!AC1449,IF(INT((Calcs!$I1449-Calcs!AC$1402)/12)=(Calcs!$I1449-Calcs!AC$1402)/12,Calcs!AC1449,0))))</f>
        <v>0</v>
      </c>
      <c r="X579" s="846">
        <f>IF(OR(Calcs!$J$1402=Calcs!$I1449,Calcs!$I1449&gt;X$61),0,IF(OR(X$63="Monthly",X$63=""),Calcs!AD1449,IF(AND(X$63="Quarterly",INT((Calcs!$I1449-Calcs!AD$1402)/3)=(Calcs!$I1449-Calcs!AD$1402)/3),Calcs!AD1449,IF(INT((Calcs!$I1449-Calcs!AD$1402)/12)=(Calcs!$I1449-Calcs!AD$1402)/12,Calcs!AD1449,0))))</f>
        <v>0</v>
      </c>
      <c r="Y579" s="846">
        <f>IF(OR(Calcs!$J$1402=Calcs!$I1449,Calcs!$I1449&gt;Y$61),0,IF(OR(Y$63="Monthly",Y$63=""),Calcs!AE1449,IF(AND(Y$63="Quarterly",INT((Calcs!$I1449-Calcs!AE$1402)/3)=(Calcs!$I1449-Calcs!AE$1402)/3),Calcs!AE1449,IF(INT((Calcs!$I1449-Calcs!AE$1402)/12)=(Calcs!$I1449-Calcs!AE$1402)/12,Calcs!AE1449,0))))</f>
        <v>0</v>
      </c>
      <c r="Z579" s="846">
        <f>IF(OR(Calcs!$J$1402=Calcs!$I1449,Calcs!$I1449&gt;Z$61),0,IF(OR(Z$63="Monthly",Z$63=""),Calcs!AF1449,IF(AND(Z$63="Quarterly",INT((Calcs!$I1449-Calcs!AF$1402)/3)=(Calcs!$I1449-Calcs!AF$1402)/3),Calcs!AF1449,IF(INT((Calcs!$I1449-Calcs!AF$1402)/12)=(Calcs!$I1449-Calcs!AF$1402)/12,Calcs!AF1449,0))))</f>
        <v>0</v>
      </c>
      <c r="AA579" s="846">
        <f>IF(OR(Calcs!$J$1402=Calcs!$I1449,Calcs!$I1449&gt;AA$61),0,IF(OR(AA$63="Monthly",AA$63=""),Calcs!AG1449,IF(AND(AA$63="Quarterly",INT((Calcs!$I1449-Calcs!AG$1402)/3)=(Calcs!$I1449-Calcs!AG$1402)/3),Calcs!AG1449,IF(INT((Calcs!$I1449-Calcs!AG$1402)/12)=(Calcs!$I1449-Calcs!AG$1402)/12,Calcs!AG1449,0))))</f>
        <v>0</v>
      </c>
      <c r="AB579" s="847">
        <f>IF(OR(Calcs!$J$1402=Calcs!$I1449,Calcs!$I1449&gt;AB$61),0,IF(OR(AB$63="Monthly",AB$63=""),Calcs!AH1449,IF(AND(AB$63="Quarterly",INT((Calcs!$I1449-Calcs!AH$1402)/3)=(Calcs!$I1449-Calcs!AH$1402)/3),Calcs!AH1449,IF(INT((Calcs!$I1449-Calcs!AH$1402)/12)=(Calcs!$I1449-Calcs!AH$1402)/12,Calcs!AH1449,0))))</f>
        <v>0</v>
      </c>
      <c r="CH579" s="269"/>
      <c r="CI579" s="269"/>
      <c r="CJ579" s="269"/>
      <c r="CK579" s="269"/>
      <c r="CL579" s="269"/>
      <c r="CM579" s="269"/>
      <c r="CN579" s="269"/>
      <c r="CO579" s="269"/>
      <c r="CP579" s="269"/>
      <c r="CQ579" s="269"/>
      <c r="CR579" s="269"/>
      <c r="CS579" s="269"/>
    </row>
    <row r="580" spans="1:97" x14ac:dyDescent="0.3">
      <c r="A580" s="5"/>
      <c r="B580" s="5"/>
      <c r="C580" s="495">
        <f>C517</f>
        <v>1369</v>
      </c>
      <c r="D580" s="845">
        <f>IF(OR(Calcs!$J$1402=Calcs!$I1450,Calcs!$I1450&gt;D$61),0,IF(OR(D$63="Monthly",D$63=""),Calcs!J1450,IF(AND(D$63="Quarterly",INT((Calcs!$I1450-Calcs!J$1402)/3)=(Calcs!$I1450-Calcs!J$1402)/3),Calcs!J1450,IF(INT((Calcs!$I1450-Calcs!J$1402)/12)=(Calcs!$I1450-Calcs!J$1402)/12,Calcs!J1450,0))))</f>
        <v>0</v>
      </c>
      <c r="E580" s="846">
        <f>IF(OR(Calcs!$J$1402=Calcs!$I1450,Calcs!$I1450&gt;E$61),0,IF(OR(E$63="Monthly",E$63=""),Calcs!K1450,IF(AND(E$63="Quarterly",INT((Calcs!$I1450-Calcs!K$1402)/3)=(Calcs!$I1450-Calcs!K$1402)/3),Calcs!K1450,IF(INT((Calcs!$I1450-Calcs!K$1402)/12)=(Calcs!$I1450-Calcs!K$1402)/12,Calcs!K1450,0))))</f>
        <v>0</v>
      </c>
      <c r="F580" s="846">
        <f>IF(OR(Calcs!$J$1402=Calcs!$I1450,Calcs!$I1450&gt;F$61),0,IF(OR(F$63="Monthly",F$63=""),Calcs!L1450,IF(AND(F$63="Quarterly",INT((Calcs!$I1450-Calcs!L$1402)/3)=(Calcs!$I1450-Calcs!L$1402)/3),Calcs!L1450,IF(INT((Calcs!$I1450-Calcs!L$1402)/12)=(Calcs!$I1450-Calcs!L$1402)/12,Calcs!L1450,0))))</f>
        <v>0</v>
      </c>
      <c r="G580" s="846">
        <f>IF(OR(Calcs!$J$1402=Calcs!$I1450,Calcs!$I1450&gt;G$61),0,IF(OR(G$63="Monthly",G$63=""),Calcs!M1450,IF(AND(G$63="Quarterly",INT((Calcs!$I1450-Calcs!M$1402)/3)=(Calcs!$I1450-Calcs!M$1402)/3),Calcs!M1450,IF(INT((Calcs!$I1450-Calcs!M$1402)/12)=(Calcs!$I1450-Calcs!M$1402)/12,Calcs!M1450,0))))</f>
        <v>0</v>
      </c>
      <c r="H580" s="846">
        <f>IF(OR(Calcs!$J$1402=Calcs!$I1450,Calcs!$I1450&gt;H$61),0,IF(OR(H$63="Monthly",H$63=""),Calcs!N1450,IF(AND(H$63="Quarterly",INT((Calcs!$I1450-Calcs!N$1402)/3)=(Calcs!$I1450-Calcs!N$1402)/3),Calcs!N1450,IF(INT((Calcs!$I1450-Calcs!N$1402)/12)=(Calcs!$I1450-Calcs!N$1402)/12,Calcs!N1450,0))))</f>
        <v>0</v>
      </c>
      <c r="I580" s="846">
        <f>IF(OR(Calcs!$J$1402=Calcs!$I1450,Calcs!$I1450&gt;I$61),0,IF(OR(I$63="Monthly",I$63=""),Calcs!O1450,IF(AND(I$63="Quarterly",INT((Calcs!$I1450-Calcs!O$1402)/3)=(Calcs!$I1450-Calcs!O$1402)/3),Calcs!O1450,IF(INT((Calcs!$I1450-Calcs!O$1402)/12)=(Calcs!$I1450-Calcs!O$1402)/12,Calcs!O1450,0))))</f>
        <v>0</v>
      </c>
      <c r="J580" s="846">
        <f>IF(OR(Calcs!$J$1402=Calcs!$I1450,Calcs!$I1450&gt;J$61),0,IF(OR(J$63="Monthly",J$63=""),Calcs!P1450,IF(AND(J$63="Quarterly",INT((Calcs!$I1450-Calcs!P$1402)/3)=(Calcs!$I1450-Calcs!P$1402)/3),Calcs!P1450,IF(INT((Calcs!$I1450-Calcs!P$1402)/12)=(Calcs!$I1450-Calcs!P$1402)/12,Calcs!P1450,0))))</f>
        <v>0</v>
      </c>
      <c r="K580" s="846">
        <f>IF(OR(Calcs!$J$1402=Calcs!$I1450,Calcs!$I1450&gt;K$61),0,IF(OR(K$63="Monthly",K$63=""),Calcs!Q1450,IF(AND(K$63="Quarterly",INT((Calcs!$I1450-Calcs!Q$1402)/3)=(Calcs!$I1450-Calcs!Q$1402)/3),Calcs!Q1450,IF(INT((Calcs!$I1450-Calcs!Q$1402)/12)=(Calcs!$I1450-Calcs!Q$1402)/12,Calcs!Q1450,0))))</f>
        <v>0</v>
      </c>
      <c r="L580" s="846">
        <f>IF(OR(Calcs!$J$1402=Calcs!$I1450,Calcs!$I1450&gt;L$61),0,IF(OR(L$63="Monthly",L$63=""),Calcs!R1450,IF(AND(L$63="Quarterly",INT((Calcs!$I1450-Calcs!R$1402)/3)=(Calcs!$I1450-Calcs!R$1402)/3),Calcs!R1450,IF(INT((Calcs!$I1450-Calcs!R$1402)/12)=(Calcs!$I1450-Calcs!R$1402)/12,Calcs!R1450,0))))</f>
        <v>0</v>
      </c>
      <c r="M580" s="846">
        <f>IF(OR(Calcs!$J$1402=Calcs!$I1450,Calcs!$I1450&gt;M$61),0,IF(OR(M$63="Monthly",M$63=""),Calcs!S1450,IF(AND(M$63="Quarterly",INT((Calcs!$I1450-Calcs!S$1402)/3)=(Calcs!$I1450-Calcs!S$1402)/3),Calcs!S1450,IF(INT((Calcs!$I1450-Calcs!S$1402)/12)=(Calcs!$I1450-Calcs!S$1402)/12,Calcs!S1450,0))))</f>
        <v>0</v>
      </c>
      <c r="N580" s="846">
        <f>IF(OR(Calcs!$J$1402=Calcs!$I1450,Calcs!$I1450&gt;N$61),0,IF(OR(N$63="Monthly",N$63=""),Calcs!T1450,IF(AND(N$63="Quarterly",INT((Calcs!$I1450-Calcs!T$1402)/3)=(Calcs!$I1450-Calcs!T$1402)/3),Calcs!T1450,IF(INT((Calcs!$I1450-Calcs!T$1402)/12)=(Calcs!$I1450-Calcs!T$1402)/12,Calcs!T1450,0))))</f>
        <v>0</v>
      </c>
      <c r="O580" s="846">
        <f>IF(OR(Calcs!$J$1402=Calcs!$I1450,Calcs!$I1450&gt;O$61),0,IF(OR(O$63="Monthly",O$63=""),Calcs!U1450,IF(AND(O$63="Quarterly",INT((Calcs!$I1450-Calcs!U$1402)/3)=(Calcs!$I1450-Calcs!U$1402)/3),Calcs!U1450,IF(INT((Calcs!$I1450-Calcs!U$1402)/12)=(Calcs!$I1450-Calcs!U$1402)/12,Calcs!U1450,0))))</f>
        <v>0</v>
      </c>
      <c r="P580" s="846">
        <f>IF(OR(Calcs!$J$1402=Calcs!$I1450,Calcs!$I1450&gt;P$61),0,IF(OR(P$63="Monthly",P$63=""),Calcs!V1450,IF(AND(P$63="Quarterly",INT((Calcs!$I1450-Calcs!V$1402)/3)=(Calcs!$I1450-Calcs!V$1402)/3),Calcs!V1450,IF(INT((Calcs!$I1450-Calcs!V$1402)/12)=(Calcs!$I1450-Calcs!V$1402)/12,Calcs!V1450,0))))</f>
        <v>0</v>
      </c>
      <c r="Q580" s="846">
        <f>IF(OR(Calcs!$J$1402=Calcs!$I1450,Calcs!$I1450&gt;Q$61),0,IF(OR(Q$63="Monthly",Q$63=""),Calcs!W1450,IF(AND(Q$63="Quarterly",INT((Calcs!$I1450-Calcs!W$1402)/3)=(Calcs!$I1450-Calcs!W$1402)/3),Calcs!W1450,IF(INT((Calcs!$I1450-Calcs!W$1402)/12)=(Calcs!$I1450-Calcs!W$1402)/12,Calcs!W1450,0))))</f>
        <v>0</v>
      </c>
      <c r="R580" s="846">
        <f>IF(OR(Calcs!$J$1402=Calcs!$I1450,Calcs!$I1450&gt;R$61),0,IF(OR(R$63="Monthly",R$63=""),Calcs!X1450,IF(AND(R$63="Quarterly",INT((Calcs!$I1450-Calcs!X$1402)/3)=(Calcs!$I1450-Calcs!X$1402)/3),Calcs!X1450,IF(INT((Calcs!$I1450-Calcs!X$1402)/12)=(Calcs!$I1450-Calcs!X$1402)/12,Calcs!X1450,0))))</f>
        <v>0</v>
      </c>
      <c r="S580" s="846">
        <f>IF(OR(Calcs!$J$1402=Calcs!$I1450,Calcs!$I1450&gt;S$61),0,IF(OR(S$63="Monthly",S$63=""),Calcs!Y1450,IF(AND(S$63="Quarterly",INT((Calcs!$I1450-Calcs!Y$1402)/3)=(Calcs!$I1450-Calcs!Y$1402)/3),Calcs!Y1450,IF(INT((Calcs!$I1450-Calcs!Y$1402)/12)=(Calcs!$I1450-Calcs!Y$1402)/12,Calcs!Y1450,0))))</f>
        <v>0</v>
      </c>
      <c r="T580" s="846">
        <f>IF(OR(Calcs!$J$1402=Calcs!$I1450,Calcs!$I1450&gt;T$61),0,IF(OR(T$63="Monthly",T$63=""),Calcs!Z1450,IF(AND(T$63="Quarterly",INT((Calcs!$I1450-Calcs!Z$1402)/3)=(Calcs!$I1450-Calcs!Z$1402)/3),Calcs!Z1450,IF(INT((Calcs!$I1450-Calcs!Z$1402)/12)=(Calcs!$I1450-Calcs!Z$1402)/12,Calcs!Z1450,0))))</f>
        <v>0</v>
      </c>
      <c r="U580" s="846">
        <f>IF(OR(Calcs!$J$1402=Calcs!$I1450,Calcs!$I1450&gt;U$61),0,IF(OR(U$63="Monthly",U$63=""),Calcs!AA1450,IF(AND(U$63="Quarterly",INT((Calcs!$I1450-Calcs!AA$1402)/3)=(Calcs!$I1450-Calcs!AA$1402)/3),Calcs!AA1450,IF(INT((Calcs!$I1450-Calcs!AA$1402)/12)=(Calcs!$I1450-Calcs!AA$1402)/12,Calcs!AA1450,0))))</f>
        <v>0</v>
      </c>
      <c r="V580" s="846">
        <f>IF(OR(Calcs!$J$1402=Calcs!$I1450,Calcs!$I1450&gt;V$61),0,IF(OR(V$63="Monthly",V$63=""),Calcs!AB1450,IF(AND(V$63="Quarterly",INT((Calcs!$I1450-Calcs!AB$1402)/3)=(Calcs!$I1450-Calcs!AB$1402)/3),Calcs!AB1450,IF(INT((Calcs!$I1450-Calcs!AB$1402)/12)=(Calcs!$I1450-Calcs!AB$1402)/12,Calcs!AB1450,0))))</f>
        <v>0</v>
      </c>
      <c r="W580" s="846">
        <f>IF(OR(Calcs!$J$1402=Calcs!$I1450,Calcs!$I1450&gt;W$61),0,IF(OR(W$63="Monthly",W$63=""),Calcs!AC1450,IF(AND(W$63="Quarterly",INT((Calcs!$I1450-Calcs!AC$1402)/3)=(Calcs!$I1450-Calcs!AC$1402)/3),Calcs!AC1450,IF(INT((Calcs!$I1450-Calcs!AC$1402)/12)=(Calcs!$I1450-Calcs!AC$1402)/12,Calcs!AC1450,0))))</f>
        <v>0</v>
      </c>
      <c r="X580" s="846">
        <f>IF(OR(Calcs!$J$1402=Calcs!$I1450,Calcs!$I1450&gt;X$61),0,IF(OR(X$63="Monthly",X$63=""),Calcs!AD1450,IF(AND(X$63="Quarterly",INT((Calcs!$I1450-Calcs!AD$1402)/3)=(Calcs!$I1450-Calcs!AD$1402)/3),Calcs!AD1450,IF(INT((Calcs!$I1450-Calcs!AD$1402)/12)=(Calcs!$I1450-Calcs!AD$1402)/12,Calcs!AD1450,0))))</f>
        <v>0</v>
      </c>
      <c r="Y580" s="846">
        <f>IF(OR(Calcs!$J$1402=Calcs!$I1450,Calcs!$I1450&gt;Y$61),0,IF(OR(Y$63="Monthly",Y$63=""),Calcs!AE1450,IF(AND(Y$63="Quarterly",INT((Calcs!$I1450-Calcs!AE$1402)/3)=(Calcs!$I1450-Calcs!AE$1402)/3),Calcs!AE1450,IF(INT((Calcs!$I1450-Calcs!AE$1402)/12)=(Calcs!$I1450-Calcs!AE$1402)/12,Calcs!AE1450,0))))</f>
        <v>0</v>
      </c>
      <c r="Z580" s="846">
        <f>IF(OR(Calcs!$J$1402=Calcs!$I1450,Calcs!$I1450&gt;Z$61),0,IF(OR(Z$63="Monthly",Z$63=""),Calcs!AF1450,IF(AND(Z$63="Quarterly",INT((Calcs!$I1450-Calcs!AF$1402)/3)=(Calcs!$I1450-Calcs!AF$1402)/3),Calcs!AF1450,IF(INT((Calcs!$I1450-Calcs!AF$1402)/12)=(Calcs!$I1450-Calcs!AF$1402)/12,Calcs!AF1450,0))))</f>
        <v>0</v>
      </c>
      <c r="AA580" s="846">
        <f>IF(OR(Calcs!$J$1402=Calcs!$I1450,Calcs!$I1450&gt;AA$61),0,IF(OR(AA$63="Monthly",AA$63=""),Calcs!AG1450,IF(AND(AA$63="Quarterly",INT((Calcs!$I1450-Calcs!AG$1402)/3)=(Calcs!$I1450-Calcs!AG$1402)/3),Calcs!AG1450,IF(INT((Calcs!$I1450-Calcs!AG$1402)/12)=(Calcs!$I1450-Calcs!AG$1402)/12,Calcs!AG1450,0))))</f>
        <v>0</v>
      </c>
      <c r="AB580" s="847">
        <f>IF(OR(Calcs!$J$1402=Calcs!$I1450,Calcs!$I1450&gt;AB$61),0,IF(OR(AB$63="Monthly",AB$63=""),Calcs!AH1450,IF(AND(AB$63="Quarterly",INT((Calcs!$I1450-Calcs!AH$1402)/3)=(Calcs!$I1450-Calcs!AH$1402)/3),Calcs!AH1450,IF(INT((Calcs!$I1450-Calcs!AH$1402)/12)=(Calcs!$I1450-Calcs!AH$1402)/12,Calcs!AH1450,0))))</f>
        <v>0</v>
      </c>
      <c r="CH580" s="269"/>
      <c r="CI580" s="269"/>
      <c r="CJ580" s="269"/>
      <c r="CK580" s="269"/>
      <c r="CL580" s="269"/>
      <c r="CM580" s="269"/>
      <c r="CN580" s="269"/>
      <c r="CO580" s="269"/>
      <c r="CP580" s="269"/>
      <c r="CQ580" s="269"/>
      <c r="CR580" s="269"/>
      <c r="CS580" s="269"/>
    </row>
    <row r="581" spans="1:97" x14ac:dyDescent="0.3">
      <c r="A581" s="5"/>
      <c r="B581" s="5"/>
      <c r="C581" s="495">
        <f>C518</f>
        <v>1400</v>
      </c>
      <c r="D581" s="845">
        <f>IF(OR(Calcs!$J$1402=Calcs!$I1451,Calcs!$I1451&gt;D$61),0,IF(OR(D$63="Monthly",D$63=""),Calcs!J1451,IF(AND(D$63="Quarterly",INT((Calcs!$I1451-Calcs!J$1402)/3)=(Calcs!$I1451-Calcs!J$1402)/3),Calcs!J1451,IF(INT((Calcs!$I1451-Calcs!J$1402)/12)=(Calcs!$I1451-Calcs!J$1402)/12,Calcs!J1451,0))))</f>
        <v>0</v>
      </c>
      <c r="E581" s="846">
        <f>IF(OR(Calcs!$J$1402=Calcs!$I1451,Calcs!$I1451&gt;E$61),0,IF(OR(E$63="Monthly",E$63=""),Calcs!K1451,IF(AND(E$63="Quarterly",INT((Calcs!$I1451-Calcs!K$1402)/3)=(Calcs!$I1451-Calcs!K$1402)/3),Calcs!K1451,IF(INT((Calcs!$I1451-Calcs!K$1402)/12)=(Calcs!$I1451-Calcs!K$1402)/12,Calcs!K1451,0))))</f>
        <v>0</v>
      </c>
      <c r="F581" s="846">
        <f>IF(OR(Calcs!$J$1402=Calcs!$I1451,Calcs!$I1451&gt;F$61),0,IF(OR(F$63="Monthly",F$63=""),Calcs!L1451,IF(AND(F$63="Quarterly",INT((Calcs!$I1451-Calcs!L$1402)/3)=(Calcs!$I1451-Calcs!L$1402)/3),Calcs!L1451,IF(INT((Calcs!$I1451-Calcs!L$1402)/12)=(Calcs!$I1451-Calcs!L$1402)/12,Calcs!L1451,0))))</f>
        <v>0</v>
      </c>
      <c r="G581" s="846">
        <f>IF(OR(Calcs!$J$1402=Calcs!$I1451,Calcs!$I1451&gt;G$61),0,IF(OR(G$63="Monthly",G$63=""),Calcs!M1451,IF(AND(G$63="Quarterly",INT((Calcs!$I1451-Calcs!M$1402)/3)=(Calcs!$I1451-Calcs!M$1402)/3),Calcs!M1451,IF(INT((Calcs!$I1451-Calcs!M$1402)/12)=(Calcs!$I1451-Calcs!M$1402)/12,Calcs!M1451,0))))</f>
        <v>0</v>
      </c>
      <c r="H581" s="846">
        <f>IF(OR(Calcs!$J$1402=Calcs!$I1451,Calcs!$I1451&gt;H$61),0,IF(OR(H$63="Monthly",H$63=""),Calcs!N1451,IF(AND(H$63="Quarterly",INT((Calcs!$I1451-Calcs!N$1402)/3)=(Calcs!$I1451-Calcs!N$1402)/3),Calcs!N1451,IF(INT((Calcs!$I1451-Calcs!N$1402)/12)=(Calcs!$I1451-Calcs!N$1402)/12,Calcs!N1451,0))))</f>
        <v>0</v>
      </c>
      <c r="I581" s="846">
        <f>IF(OR(Calcs!$J$1402=Calcs!$I1451,Calcs!$I1451&gt;I$61),0,IF(OR(I$63="Monthly",I$63=""),Calcs!O1451,IF(AND(I$63="Quarterly",INT((Calcs!$I1451-Calcs!O$1402)/3)=(Calcs!$I1451-Calcs!O$1402)/3),Calcs!O1451,IF(INT((Calcs!$I1451-Calcs!O$1402)/12)=(Calcs!$I1451-Calcs!O$1402)/12,Calcs!O1451,0))))</f>
        <v>0</v>
      </c>
      <c r="J581" s="846">
        <f>IF(OR(Calcs!$J$1402=Calcs!$I1451,Calcs!$I1451&gt;J$61),0,IF(OR(J$63="Monthly",J$63=""),Calcs!P1451,IF(AND(J$63="Quarterly",INT((Calcs!$I1451-Calcs!P$1402)/3)=(Calcs!$I1451-Calcs!P$1402)/3),Calcs!P1451,IF(INT((Calcs!$I1451-Calcs!P$1402)/12)=(Calcs!$I1451-Calcs!P$1402)/12,Calcs!P1451,0))))</f>
        <v>0</v>
      </c>
      <c r="K581" s="846">
        <f>IF(OR(Calcs!$J$1402=Calcs!$I1451,Calcs!$I1451&gt;K$61),0,IF(OR(K$63="Monthly",K$63=""),Calcs!Q1451,IF(AND(K$63="Quarterly",INT((Calcs!$I1451-Calcs!Q$1402)/3)=(Calcs!$I1451-Calcs!Q$1402)/3),Calcs!Q1451,IF(INT((Calcs!$I1451-Calcs!Q$1402)/12)=(Calcs!$I1451-Calcs!Q$1402)/12,Calcs!Q1451,0))))</f>
        <v>0</v>
      </c>
      <c r="L581" s="846">
        <f>IF(OR(Calcs!$J$1402=Calcs!$I1451,Calcs!$I1451&gt;L$61),0,IF(OR(L$63="Monthly",L$63=""),Calcs!R1451,IF(AND(L$63="Quarterly",INT((Calcs!$I1451-Calcs!R$1402)/3)=(Calcs!$I1451-Calcs!R$1402)/3),Calcs!R1451,IF(INT((Calcs!$I1451-Calcs!R$1402)/12)=(Calcs!$I1451-Calcs!R$1402)/12,Calcs!R1451,0))))</f>
        <v>0</v>
      </c>
      <c r="M581" s="846">
        <f>IF(OR(Calcs!$J$1402=Calcs!$I1451,Calcs!$I1451&gt;M$61),0,IF(OR(M$63="Monthly",M$63=""),Calcs!S1451,IF(AND(M$63="Quarterly",INT((Calcs!$I1451-Calcs!S$1402)/3)=(Calcs!$I1451-Calcs!S$1402)/3),Calcs!S1451,IF(INT((Calcs!$I1451-Calcs!S$1402)/12)=(Calcs!$I1451-Calcs!S$1402)/12,Calcs!S1451,0))))</f>
        <v>0</v>
      </c>
      <c r="N581" s="846">
        <f>IF(OR(Calcs!$J$1402=Calcs!$I1451,Calcs!$I1451&gt;N$61),0,IF(OR(N$63="Monthly",N$63=""),Calcs!T1451,IF(AND(N$63="Quarterly",INT((Calcs!$I1451-Calcs!T$1402)/3)=(Calcs!$I1451-Calcs!T$1402)/3),Calcs!T1451,IF(INT((Calcs!$I1451-Calcs!T$1402)/12)=(Calcs!$I1451-Calcs!T$1402)/12,Calcs!T1451,0))))</f>
        <v>0</v>
      </c>
      <c r="O581" s="846">
        <f>IF(OR(Calcs!$J$1402=Calcs!$I1451,Calcs!$I1451&gt;O$61),0,IF(OR(O$63="Monthly",O$63=""),Calcs!U1451,IF(AND(O$63="Quarterly",INT((Calcs!$I1451-Calcs!U$1402)/3)=(Calcs!$I1451-Calcs!U$1402)/3),Calcs!U1451,IF(INT((Calcs!$I1451-Calcs!U$1402)/12)=(Calcs!$I1451-Calcs!U$1402)/12,Calcs!U1451,0))))</f>
        <v>0</v>
      </c>
      <c r="P581" s="846">
        <f>IF(OR(Calcs!$J$1402=Calcs!$I1451,Calcs!$I1451&gt;P$61),0,IF(OR(P$63="Monthly",P$63=""),Calcs!V1451,IF(AND(P$63="Quarterly",INT((Calcs!$I1451-Calcs!V$1402)/3)=(Calcs!$I1451-Calcs!V$1402)/3),Calcs!V1451,IF(INT((Calcs!$I1451-Calcs!V$1402)/12)=(Calcs!$I1451-Calcs!V$1402)/12,Calcs!V1451,0))))</f>
        <v>0</v>
      </c>
      <c r="Q581" s="846">
        <f>IF(OR(Calcs!$J$1402=Calcs!$I1451,Calcs!$I1451&gt;Q$61),0,IF(OR(Q$63="Monthly",Q$63=""),Calcs!W1451,IF(AND(Q$63="Quarterly",INT((Calcs!$I1451-Calcs!W$1402)/3)=(Calcs!$I1451-Calcs!W$1402)/3),Calcs!W1451,IF(INT((Calcs!$I1451-Calcs!W$1402)/12)=(Calcs!$I1451-Calcs!W$1402)/12,Calcs!W1451,0))))</f>
        <v>0</v>
      </c>
      <c r="R581" s="846">
        <f>IF(OR(Calcs!$J$1402=Calcs!$I1451,Calcs!$I1451&gt;R$61),0,IF(OR(R$63="Monthly",R$63=""),Calcs!X1451,IF(AND(R$63="Quarterly",INT((Calcs!$I1451-Calcs!X$1402)/3)=(Calcs!$I1451-Calcs!X$1402)/3),Calcs!X1451,IF(INT((Calcs!$I1451-Calcs!X$1402)/12)=(Calcs!$I1451-Calcs!X$1402)/12,Calcs!X1451,0))))</f>
        <v>0</v>
      </c>
      <c r="S581" s="846">
        <f>IF(OR(Calcs!$J$1402=Calcs!$I1451,Calcs!$I1451&gt;S$61),0,IF(OR(S$63="Monthly",S$63=""),Calcs!Y1451,IF(AND(S$63="Quarterly",INT((Calcs!$I1451-Calcs!Y$1402)/3)=(Calcs!$I1451-Calcs!Y$1402)/3),Calcs!Y1451,IF(INT((Calcs!$I1451-Calcs!Y$1402)/12)=(Calcs!$I1451-Calcs!Y$1402)/12,Calcs!Y1451,0))))</f>
        <v>0</v>
      </c>
      <c r="T581" s="846">
        <f>IF(OR(Calcs!$J$1402=Calcs!$I1451,Calcs!$I1451&gt;T$61),0,IF(OR(T$63="Monthly",T$63=""),Calcs!Z1451,IF(AND(T$63="Quarterly",INT((Calcs!$I1451-Calcs!Z$1402)/3)=(Calcs!$I1451-Calcs!Z$1402)/3),Calcs!Z1451,IF(INT((Calcs!$I1451-Calcs!Z$1402)/12)=(Calcs!$I1451-Calcs!Z$1402)/12,Calcs!Z1451,0))))</f>
        <v>0</v>
      </c>
      <c r="U581" s="846">
        <f>IF(OR(Calcs!$J$1402=Calcs!$I1451,Calcs!$I1451&gt;U$61),0,IF(OR(U$63="Monthly",U$63=""),Calcs!AA1451,IF(AND(U$63="Quarterly",INT((Calcs!$I1451-Calcs!AA$1402)/3)=(Calcs!$I1451-Calcs!AA$1402)/3),Calcs!AA1451,IF(INT((Calcs!$I1451-Calcs!AA$1402)/12)=(Calcs!$I1451-Calcs!AA$1402)/12,Calcs!AA1451,0))))</f>
        <v>0</v>
      </c>
      <c r="V581" s="846">
        <f>IF(OR(Calcs!$J$1402=Calcs!$I1451,Calcs!$I1451&gt;V$61),0,IF(OR(V$63="Monthly",V$63=""),Calcs!AB1451,IF(AND(V$63="Quarterly",INT((Calcs!$I1451-Calcs!AB$1402)/3)=(Calcs!$I1451-Calcs!AB$1402)/3),Calcs!AB1451,IF(INT((Calcs!$I1451-Calcs!AB$1402)/12)=(Calcs!$I1451-Calcs!AB$1402)/12,Calcs!AB1451,0))))</f>
        <v>0</v>
      </c>
      <c r="W581" s="846">
        <f>IF(OR(Calcs!$J$1402=Calcs!$I1451,Calcs!$I1451&gt;W$61),0,IF(OR(W$63="Monthly",W$63=""),Calcs!AC1451,IF(AND(W$63="Quarterly",INT((Calcs!$I1451-Calcs!AC$1402)/3)=(Calcs!$I1451-Calcs!AC$1402)/3),Calcs!AC1451,IF(INT((Calcs!$I1451-Calcs!AC$1402)/12)=(Calcs!$I1451-Calcs!AC$1402)/12,Calcs!AC1451,0))))</f>
        <v>0</v>
      </c>
      <c r="X581" s="846">
        <f>IF(OR(Calcs!$J$1402=Calcs!$I1451,Calcs!$I1451&gt;X$61),0,IF(OR(X$63="Monthly",X$63=""),Calcs!AD1451,IF(AND(X$63="Quarterly",INT((Calcs!$I1451-Calcs!AD$1402)/3)=(Calcs!$I1451-Calcs!AD$1402)/3),Calcs!AD1451,IF(INT((Calcs!$I1451-Calcs!AD$1402)/12)=(Calcs!$I1451-Calcs!AD$1402)/12,Calcs!AD1451,0))))</f>
        <v>0</v>
      </c>
      <c r="Y581" s="846">
        <f>IF(OR(Calcs!$J$1402=Calcs!$I1451,Calcs!$I1451&gt;Y$61),0,IF(OR(Y$63="Monthly",Y$63=""),Calcs!AE1451,IF(AND(Y$63="Quarterly",INT((Calcs!$I1451-Calcs!AE$1402)/3)=(Calcs!$I1451-Calcs!AE$1402)/3),Calcs!AE1451,IF(INT((Calcs!$I1451-Calcs!AE$1402)/12)=(Calcs!$I1451-Calcs!AE$1402)/12,Calcs!AE1451,0))))</f>
        <v>0</v>
      </c>
      <c r="Z581" s="846">
        <f>IF(OR(Calcs!$J$1402=Calcs!$I1451,Calcs!$I1451&gt;Z$61),0,IF(OR(Z$63="Monthly",Z$63=""),Calcs!AF1451,IF(AND(Z$63="Quarterly",INT((Calcs!$I1451-Calcs!AF$1402)/3)=(Calcs!$I1451-Calcs!AF$1402)/3),Calcs!AF1451,IF(INT((Calcs!$I1451-Calcs!AF$1402)/12)=(Calcs!$I1451-Calcs!AF$1402)/12,Calcs!AF1451,0))))</f>
        <v>0</v>
      </c>
      <c r="AA581" s="846">
        <f>IF(OR(Calcs!$J$1402=Calcs!$I1451,Calcs!$I1451&gt;AA$61),0,IF(OR(AA$63="Monthly",AA$63=""),Calcs!AG1451,IF(AND(AA$63="Quarterly",INT((Calcs!$I1451-Calcs!AG$1402)/3)=(Calcs!$I1451-Calcs!AG$1402)/3),Calcs!AG1451,IF(INT((Calcs!$I1451-Calcs!AG$1402)/12)=(Calcs!$I1451-Calcs!AG$1402)/12,Calcs!AG1451,0))))</f>
        <v>0</v>
      </c>
      <c r="AB581" s="847">
        <f>IF(OR(Calcs!$J$1402=Calcs!$I1451,Calcs!$I1451&gt;AB$61),0,IF(OR(AB$63="Monthly",AB$63=""),Calcs!AH1451,IF(AND(AB$63="Quarterly",INT((Calcs!$I1451-Calcs!AH$1402)/3)=(Calcs!$I1451-Calcs!AH$1402)/3),Calcs!AH1451,IF(INT((Calcs!$I1451-Calcs!AH$1402)/12)=(Calcs!$I1451-Calcs!AH$1402)/12,Calcs!AH1451,0))))</f>
        <v>0</v>
      </c>
      <c r="CH581" s="269"/>
      <c r="CI581" s="269"/>
      <c r="CJ581" s="269"/>
      <c r="CK581" s="269"/>
      <c r="CL581" s="269"/>
      <c r="CM581" s="269"/>
      <c r="CN581" s="269"/>
      <c r="CO581" s="269"/>
      <c r="CP581" s="269"/>
      <c r="CQ581" s="269"/>
      <c r="CR581" s="269"/>
      <c r="CS581" s="269"/>
    </row>
    <row r="582" spans="1:97" x14ac:dyDescent="0.3">
      <c r="A582" s="5"/>
      <c r="B582" s="5"/>
      <c r="C582" s="495">
        <f>C519</f>
        <v>1430</v>
      </c>
      <c r="D582" s="845">
        <f>IF(OR(Calcs!$J$1402=Calcs!$I1452,Calcs!$I1452&gt;D$61),0,IF(OR(D$63="Monthly",D$63=""),Calcs!J1452,IF(AND(D$63="Quarterly",INT((Calcs!$I1452-Calcs!J$1402)/3)=(Calcs!$I1452-Calcs!J$1402)/3),Calcs!J1452,IF(INT((Calcs!$I1452-Calcs!J$1402)/12)=(Calcs!$I1452-Calcs!J$1402)/12,Calcs!J1452,0))))</f>
        <v>0</v>
      </c>
      <c r="E582" s="846">
        <f>IF(OR(Calcs!$J$1402=Calcs!$I1452,Calcs!$I1452&gt;E$61),0,IF(OR(E$63="Monthly",E$63=""),Calcs!K1452,IF(AND(E$63="Quarterly",INT((Calcs!$I1452-Calcs!K$1402)/3)=(Calcs!$I1452-Calcs!K$1402)/3),Calcs!K1452,IF(INT((Calcs!$I1452-Calcs!K$1402)/12)=(Calcs!$I1452-Calcs!K$1402)/12,Calcs!K1452,0))))</f>
        <v>0</v>
      </c>
      <c r="F582" s="846">
        <f>IF(OR(Calcs!$J$1402=Calcs!$I1452,Calcs!$I1452&gt;F$61),0,IF(OR(F$63="Monthly",F$63=""),Calcs!L1452,IF(AND(F$63="Quarterly",INT((Calcs!$I1452-Calcs!L$1402)/3)=(Calcs!$I1452-Calcs!L$1402)/3),Calcs!L1452,IF(INT((Calcs!$I1452-Calcs!L$1402)/12)=(Calcs!$I1452-Calcs!L$1402)/12,Calcs!L1452,0))))</f>
        <v>0</v>
      </c>
      <c r="G582" s="846">
        <f>IF(OR(Calcs!$J$1402=Calcs!$I1452,Calcs!$I1452&gt;G$61),0,IF(OR(G$63="Monthly",G$63=""),Calcs!M1452,IF(AND(G$63="Quarterly",INT((Calcs!$I1452-Calcs!M$1402)/3)=(Calcs!$I1452-Calcs!M$1402)/3),Calcs!M1452,IF(INT((Calcs!$I1452-Calcs!M$1402)/12)=(Calcs!$I1452-Calcs!M$1402)/12,Calcs!M1452,0))))</f>
        <v>0</v>
      </c>
      <c r="H582" s="846">
        <f>IF(OR(Calcs!$J$1402=Calcs!$I1452,Calcs!$I1452&gt;H$61),0,IF(OR(H$63="Monthly",H$63=""),Calcs!N1452,IF(AND(H$63="Quarterly",INT((Calcs!$I1452-Calcs!N$1402)/3)=(Calcs!$I1452-Calcs!N$1402)/3),Calcs!N1452,IF(INT((Calcs!$I1452-Calcs!N$1402)/12)=(Calcs!$I1452-Calcs!N$1402)/12,Calcs!N1452,0))))</f>
        <v>0</v>
      </c>
      <c r="I582" s="846">
        <f>IF(OR(Calcs!$J$1402=Calcs!$I1452,Calcs!$I1452&gt;I$61),0,IF(OR(I$63="Monthly",I$63=""),Calcs!O1452,IF(AND(I$63="Quarterly",INT((Calcs!$I1452-Calcs!O$1402)/3)=(Calcs!$I1452-Calcs!O$1402)/3),Calcs!O1452,IF(INT((Calcs!$I1452-Calcs!O$1402)/12)=(Calcs!$I1452-Calcs!O$1402)/12,Calcs!O1452,0))))</f>
        <v>0</v>
      </c>
      <c r="J582" s="846">
        <f>IF(OR(Calcs!$J$1402=Calcs!$I1452,Calcs!$I1452&gt;J$61),0,IF(OR(J$63="Monthly",J$63=""),Calcs!P1452,IF(AND(J$63="Quarterly",INT((Calcs!$I1452-Calcs!P$1402)/3)=(Calcs!$I1452-Calcs!P$1402)/3),Calcs!P1452,IF(INT((Calcs!$I1452-Calcs!P$1402)/12)=(Calcs!$I1452-Calcs!P$1402)/12,Calcs!P1452,0))))</f>
        <v>0</v>
      </c>
      <c r="K582" s="846">
        <f>IF(OR(Calcs!$J$1402=Calcs!$I1452,Calcs!$I1452&gt;K$61),0,IF(OR(K$63="Monthly",K$63=""),Calcs!Q1452,IF(AND(K$63="Quarterly",INT((Calcs!$I1452-Calcs!Q$1402)/3)=(Calcs!$I1452-Calcs!Q$1402)/3),Calcs!Q1452,IF(INT((Calcs!$I1452-Calcs!Q$1402)/12)=(Calcs!$I1452-Calcs!Q$1402)/12,Calcs!Q1452,0))))</f>
        <v>0</v>
      </c>
      <c r="L582" s="846">
        <f>IF(OR(Calcs!$J$1402=Calcs!$I1452,Calcs!$I1452&gt;L$61),0,IF(OR(L$63="Monthly",L$63=""),Calcs!R1452,IF(AND(L$63="Quarterly",INT((Calcs!$I1452-Calcs!R$1402)/3)=(Calcs!$I1452-Calcs!R$1402)/3),Calcs!R1452,IF(INT((Calcs!$I1452-Calcs!R$1402)/12)=(Calcs!$I1452-Calcs!R$1402)/12,Calcs!R1452,0))))</f>
        <v>0</v>
      </c>
      <c r="M582" s="846">
        <f>IF(OR(Calcs!$J$1402=Calcs!$I1452,Calcs!$I1452&gt;M$61),0,IF(OR(M$63="Monthly",M$63=""),Calcs!S1452,IF(AND(M$63="Quarterly",INT((Calcs!$I1452-Calcs!S$1402)/3)=(Calcs!$I1452-Calcs!S$1402)/3),Calcs!S1452,IF(INT((Calcs!$I1452-Calcs!S$1402)/12)=(Calcs!$I1452-Calcs!S$1402)/12,Calcs!S1452,0))))</f>
        <v>0</v>
      </c>
      <c r="N582" s="846">
        <f>IF(OR(Calcs!$J$1402=Calcs!$I1452,Calcs!$I1452&gt;N$61),0,IF(OR(N$63="Monthly",N$63=""),Calcs!T1452,IF(AND(N$63="Quarterly",INT((Calcs!$I1452-Calcs!T$1402)/3)=(Calcs!$I1452-Calcs!T$1402)/3),Calcs!T1452,IF(INT((Calcs!$I1452-Calcs!T$1402)/12)=(Calcs!$I1452-Calcs!T$1402)/12,Calcs!T1452,0))))</f>
        <v>0</v>
      </c>
      <c r="O582" s="846">
        <f>IF(OR(Calcs!$J$1402=Calcs!$I1452,Calcs!$I1452&gt;O$61),0,IF(OR(O$63="Monthly",O$63=""),Calcs!U1452,IF(AND(O$63="Quarterly",INT((Calcs!$I1452-Calcs!U$1402)/3)=(Calcs!$I1452-Calcs!U$1402)/3),Calcs!U1452,IF(INT((Calcs!$I1452-Calcs!U$1402)/12)=(Calcs!$I1452-Calcs!U$1402)/12,Calcs!U1452,0))))</f>
        <v>0</v>
      </c>
      <c r="P582" s="846">
        <f>IF(OR(Calcs!$J$1402=Calcs!$I1452,Calcs!$I1452&gt;P$61),0,IF(OR(P$63="Monthly",P$63=""),Calcs!V1452,IF(AND(P$63="Quarterly",INT((Calcs!$I1452-Calcs!V$1402)/3)=(Calcs!$I1452-Calcs!V$1402)/3),Calcs!V1452,IF(INT((Calcs!$I1452-Calcs!V$1402)/12)=(Calcs!$I1452-Calcs!V$1402)/12,Calcs!V1452,0))))</f>
        <v>0</v>
      </c>
      <c r="Q582" s="846">
        <f>IF(OR(Calcs!$J$1402=Calcs!$I1452,Calcs!$I1452&gt;Q$61),0,IF(OR(Q$63="Monthly",Q$63=""),Calcs!W1452,IF(AND(Q$63="Quarterly",INT((Calcs!$I1452-Calcs!W$1402)/3)=(Calcs!$I1452-Calcs!W$1402)/3),Calcs!W1452,IF(INT((Calcs!$I1452-Calcs!W$1402)/12)=(Calcs!$I1452-Calcs!W$1402)/12,Calcs!W1452,0))))</f>
        <v>0</v>
      </c>
      <c r="R582" s="846">
        <f>IF(OR(Calcs!$J$1402=Calcs!$I1452,Calcs!$I1452&gt;R$61),0,IF(OR(R$63="Monthly",R$63=""),Calcs!X1452,IF(AND(R$63="Quarterly",INT((Calcs!$I1452-Calcs!X$1402)/3)=(Calcs!$I1452-Calcs!X$1402)/3),Calcs!X1452,IF(INT((Calcs!$I1452-Calcs!X$1402)/12)=(Calcs!$I1452-Calcs!X$1402)/12,Calcs!X1452,0))))</f>
        <v>0</v>
      </c>
      <c r="S582" s="846">
        <f>IF(OR(Calcs!$J$1402=Calcs!$I1452,Calcs!$I1452&gt;S$61),0,IF(OR(S$63="Monthly",S$63=""),Calcs!Y1452,IF(AND(S$63="Quarterly",INT((Calcs!$I1452-Calcs!Y$1402)/3)=(Calcs!$I1452-Calcs!Y$1402)/3),Calcs!Y1452,IF(INT((Calcs!$I1452-Calcs!Y$1402)/12)=(Calcs!$I1452-Calcs!Y$1402)/12,Calcs!Y1452,0))))</f>
        <v>0</v>
      </c>
      <c r="T582" s="846">
        <f>IF(OR(Calcs!$J$1402=Calcs!$I1452,Calcs!$I1452&gt;T$61),0,IF(OR(T$63="Monthly",T$63=""),Calcs!Z1452,IF(AND(T$63="Quarterly",INT((Calcs!$I1452-Calcs!Z$1402)/3)=(Calcs!$I1452-Calcs!Z$1402)/3),Calcs!Z1452,IF(INT((Calcs!$I1452-Calcs!Z$1402)/12)=(Calcs!$I1452-Calcs!Z$1402)/12,Calcs!Z1452,0))))</f>
        <v>0</v>
      </c>
      <c r="U582" s="846">
        <f>IF(OR(Calcs!$J$1402=Calcs!$I1452,Calcs!$I1452&gt;U$61),0,IF(OR(U$63="Monthly",U$63=""),Calcs!AA1452,IF(AND(U$63="Quarterly",INT((Calcs!$I1452-Calcs!AA$1402)/3)=(Calcs!$I1452-Calcs!AA$1402)/3),Calcs!AA1452,IF(INT((Calcs!$I1452-Calcs!AA$1402)/12)=(Calcs!$I1452-Calcs!AA$1402)/12,Calcs!AA1452,0))))</f>
        <v>0</v>
      </c>
      <c r="V582" s="846">
        <f>IF(OR(Calcs!$J$1402=Calcs!$I1452,Calcs!$I1452&gt;V$61),0,IF(OR(V$63="Monthly",V$63=""),Calcs!AB1452,IF(AND(V$63="Quarterly",INT((Calcs!$I1452-Calcs!AB$1402)/3)=(Calcs!$I1452-Calcs!AB$1402)/3),Calcs!AB1452,IF(INT((Calcs!$I1452-Calcs!AB$1402)/12)=(Calcs!$I1452-Calcs!AB$1402)/12,Calcs!AB1452,0))))</f>
        <v>0</v>
      </c>
      <c r="W582" s="846">
        <f>IF(OR(Calcs!$J$1402=Calcs!$I1452,Calcs!$I1452&gt;W$61),0,IF(OR(W$63="Monthly",W$63=""),Calcs!AC1452,IF(AND(W$63="Quarterly",INT((Calcs!$I1452-Calcs!AC$1402)/3)=(Calcs!$I1452-Calcs!AC$1402)/3),Calcs!AC1452,IF(INT((Calcs!$I1452-Calcs!AC$1402)/12)=(Calcs!$I1452-Calcs!AC$1402)/12,Calcs!AC1452,0))))</f>
        <v>0</v>
      </c>
      <c r="X582" s="846">
        <f>IF(OR(Calcs!$J$1402=Calcs!$I1452,Calcs!$I1452&gt;X$61),0,IF(OR(X$63="Monthly",X$63=""),Calcs!AD1452,IF(AND(X$63="Quarterly",INT((Calcs!$I1452-Calcs!AD$1402)/3)=(Calcs!$I1452-Calcs!AD$1402)/3),Calcs!AD1452,IF(INT((Calcs!$I1452-Calcs!AD$1402)/12)=(Calcs!$I1452-Calcs!AD$1402)/12,Calcs!AD1452,0))))</f>
        <v>0</v>
      </c>
      <c r="Y582" s="846">
        <f>IF(OR(Calcs!$J$1402=Calcs!$I1452,Calcs!$I1452&gt;Y$61),0,IF(OR(Y$63="Monthly",Y$63=""),Calcs!AE1452,IF(AND(Y$63="Quarterly",INT((Calcs!$I1452-Calcs!AE$1402)/3)=(Calcs!$I1452-Calcs!AE$1402)/3),Calcs!AE1452,IF(INT((Calcs!$I1452-Calcs!AE$1402)/12)=(Calcs!$I1452-Calcs!AE$1402)/12,Calcs!AE1452,0))))</f>
        <v>0</v>
      </c>
      <c r="Z582" s="846">
        <f>IF(OR(Calcs!$J$1402=Calcs!$I1452,Calcs!$I1452&gt;Z$61),0,IF(OR(Z$63="Monthly",Z$63=""),Calcs!AF1452,IF(AND(Z$63="Quarterly",INT((Calcs!$I1452-Calcs!AF$1402)/3)=(Calcs!$I1452-Calcs!AF$1402)/3),Calcs!AF1452,IF(INT((Calcs!$I1452-Calcs!AF$1402)/12)=(Calcs!$I1452-Calcs!AF$1402)/12,Calcs!AF1452,0))))</f>
        <v>0</v>
      </c>
      <c r="AA582" s="846">
        <f>IF(OR(Calcs!$J$1402=Calcs!$I1452,Calcs!$I1452&gt;AA$61),0,IF(OR(AA$63="Monthly",AA$63=""),Calcs!AG1452,IF(AND(AA$63="Quarterly",INT((Calcs!$I1452-Calcs!AG$1402)/3)=(Calcs!$I1452-Calcs!AG$1402)/3),Calcs!AG1452,IF(INT((Calcs!$I1452-Calcs!AG$1402)/12)=(Calcs!$I1452-Calcs!AG$1402)/12,Calcs!AG1452,0))))</f>
        <v>0</v>
      </c>
      <c r="AB582" s="847">
        <f>IF(OR(Calcs!$J$1402=Calcs!$I1452,Calcs!$I1452&gt;AB$61),0,IF(OR(AB$63="Monthly",AB$63=""),Calcs!AH1452,IF(AND(AB$63="Quarterly",INT((Calcs!$I1452-Calcs!AH$1402)/3)=(Calcs!$I1452-Calcs!AH$1402)/3),Calcs!AH1452,IF(INT((Calcs!$I1452-Calcs!AH$1402)/12)=(Calcs!$I1452-Calcs!AH$1402)/12,Calcs!AH1452,0))))</f>
        <v>0</v>
      </c>
      <c r="CH582" s="269"/>
      <c r="CI582" s="269"/>
      <c r="CJ582" s="269"/>
      <c r="CK582" s="269"/>
      <c r="CL582" s="269"/>
      <c r="CM582" s="269"/>
      <c r="CN582" s="269"/>
      <c r="CO582" s="269"/>
      <c r="CP582" s="269"/>
      <c r="CQ582" s="269"/>
      <c r="CR582" s="269"/>
      <c r="CS582" s="269"/>
    </row>
    <row r="583" spans="1:97" ht="12.5" thickBot="1" x14ac:dyDescent="0.35">
      <c r="A583" s="5"/>
      <c r="B583" s="5"/>
      <c r="C583" s="496">
        <f>C520</f>
        <v>1461</v>
      </c>
      <c r="D583" s="848">
        <f>IF(OR(Calcs!$J$1402=Calcs!$I1453,Calcs!$I1453&gt;D$61),0,IF(OR(D$63="Monthly",D$63=""),Calcs!J1453,IF(AND(D$63="Quarterly",INT((Calcs!$I1453-Calcs!J$1402)/3)=(Calcs!$I1453-Calcs!J$1402)/3),Calcs!J1453,IF(INT((Calcs!$I1453-Calcs!J$1402)/12)=(Calcs!$I1453-Calcs!J$1402)/12,Calcs!J1453,0))))</f>
        <v>0</v>
      </c>
      <c r="E583" s="849">
        <f>IF(OR(Calcs!$J$1402=Calcs!$I1453,Calcs!$I1453&gt;E$61),0,IF(OR(E$63="Monthly",E$63=""),Calcs!K1453,IF(AND(E$63="Quarterly",INT((Calcs!$I1453-Calcs!K$1402)/3)=(Calcs!$I1453-Calcs!K$1402)/3),Calcs!K1453,IF(INT((Calcs!$I1453-Calcs!K$1402)/12)=(Calcs!$I1453-Calcs!K$1402)/12,Calcs!K1453,0))))</f>
        <v>0</v>
      </c>
      <c r="F583" s="849">
        <f>IF(OR(Calcs!$J$1402=Calcs!$I1453,Calcs!$I1453&gt;F$61),0,IF(OR(F$63="Monthly",F$63=""),Calcs!L1453,IF(AND(F$63="Quarterly",INT((Calcs!$I1453-Calcs!L$1402)/3)=(Calcs!$I1453-Calcs!L$1402)/3),Calcs!L1453,IF(INT((Calcs!$I1453-Calcs!L$1402)/12)=(Calcs!$I1453-Calcs!L$1402)/12,Calcs!L1453,0))))</f>
        <v>0</v>
      </c>
      <c r="G583" s="849">
        <f>IF(OR(Calcs!$J$1402=Calcs!$I1453,Calcs!$I1453&gt;G$61),0,IF(OR(G$63="Monthly",G$63=""),Calcs!M1453,IF(AND(G$63="Quarterly",INT((Calcs!$I1453-Calcs!M$1402)/3)=(Calcs!$I1453-Calcs!M$1402)/3),Calcs!M1453,IF(INT((Calcs!$I1453-Calcs!M$1402)/12)=(Calcs!$I1453-Calcs!M$1402)/12,Calcs!M1453,0))))</f>
        <v>0</v>
      </c>
      <c r="H583" s="849">
        <f>IF(OR(Calcs!$J$1402=Calcs!$I1453,Calcs!$I1453&gt;H$61),0,IF(OR(H$63="Monthly",H$63=""),Calcs!N1453,IF(AND(H$63="Quarterly",INT((Calcs!$I1453-Calcs!N$1402)/3)=(Calcs!$I1453-Calcs!N$1402)/3),Calcs!N1453,IF(INT((Calcs!$I1453-Calcs!N$1402)/12)=(Calcs!$I1453-Calcs!N$1402)/12,Calcs!N1453,0))))</f>
        <v>0</v>
      </c>
      <c r="I583" s="849">
        <f>IF(OR(Calcs!$J$1402=Calcs!$I1453,Calcs!$I1453&gt;I$61),0,IF(OR(I$63="Monthly",I$63=""),Calcs!O1453,IF(AND(I$63="Quarterly",INT((Calcs!$I1453-Calcs!O$1402)/3)=(Calcs!$I1453-Calcs!O$1402)/3),Calcs!O1453,IF(INT((Calcs!$I1453-Calcs!O$1402)/12)=(Calcs!$I1453-Calcs!O$1402)/12,Calcs!O1453,0))))</f>
        <v>0</v>
      </c>
      <c r="J583" s="849">
        <f>IF(OR(Calcs!$J$1402=Calcs!$I1453,Calcs!$I1453&gt;J$61),0,IF(OR(J$63="Monthly",J$63=""),Calcs!P1453,IF(AND(J$63="Quarterly",INT((Calcs!$I1453-Calcs!P$1402)/3)=(Calcs!$I1453-Calcs!P$1402)/3),Calcs!P1453,IF(INT((Calcs!$I1453-Calcs!P$1402)/12)=(Calcs!$I1453-Calcs!P$1402)/12,Calcs!P1453,0))))</f>
        <v>0</v>
      </c>
      <c r="K583" s="849">
        <f>IF(OR(Calcs!$J$1402=Calcs!$I1453,Calcs!$I1453&gt;K$61),0,IF(OR(K$63="Monthly",K$63=""),Calcs!Q1453,IF(AND(K$63="Quarterly",INT((Calcs!$I1453-Calcs!Q$1402)/3)=(Calcs!$I1453-Calcs!Q$1402)/3),Calcs!Q1453,IF(INT((Calcs!$I1453-Calcs!Q$1402)/12)=(Calcs!$I1453-Calcs!Q$1402)/12,Calcs!Q1453,0))))</f>
        <v>0</v>
      </c>
      <c r="L583" s="849">
        <f>IF(OR(Calcs!$J$1402=Calcs!$I1453,Calcs!$I1453&gt;L$61),0,IF(OR(L$63="Monthly",L$63=""),Calcs!R1453,IF(AND(L$63="Quarterly",INT((Calcs!$I1453-Calcs!R$1402)/3)=(Calcs!$I1453-Calcs!R$1402)/3),Calcs!R1453,IF(INT((Calcs!$I1453-Calcs!R$1402)/12)=(Calcs!$I1453-Calcs!R$1402)/12,Calcs!R1453,0))))</f>
        <v>0</v>
      </c>
      <c r="M583" s="849">
        <f>IF(OR(Calcs!$J$1402=Calcs!$I1453,Calcs!$I1453&gt;M$61),0,IF(OR(M$63="Monthly",M$63=""),Calcs!S1453,IF(AND(M$63="Quarterly",INT((Calcs!$I1453-Calcs!S$1402)/3)=(Calcs!$I1453-Calcs!S$1402)/3),Calcs!S1453,IF(INT((Calcs!$I1453-Calcs!S$1402)/12)=(Calcs!$I1453-Calcs!S$1402)/12,Calcs!S1453,0))))</f>
        <v>0</v>
      </c>
      <c r="N583" s="849">
        <f>IF(OR(Calcs!$J$1402=Calcs!$I1453,Calcs!$I1453&gt;N$61),0,IF(OR(N$63="Monthly",N$63=""),Calcs!T1453,IF(AND(N$63="Quarterly",INT((Calcs!$I1453-Calcs!T$1402)/3)=(Calcs!$I1453-Calcs!T$1402)/3),Calcs!T1453,IF(INT((Calcs!$I1453-Calcs!T$1402)/12)=(Calcs!$I1453-Calcs!T$1402)/12,Calcs!T1453,0))))</f>
        <v>0</v>
      </c>
      <c r="O583" s="849">
        <f>IF(OR(Calcs!$J$1402=Calcs!$I1453,Calcs!$I1453&gt;O$61),0,IF(OR(O$63="Monthly",O$63=""),Calcs!U1453,IF(AND(O$63="Quarterly",INT((Calcs!$I1453-Calcs!U$1402)/3)=(Calcs!$I1453-Calcs!U$1402)/3),Calcs!U1453,IF(INT((Calcs!$I1453-Calcs!U$1402)/12)=(Calcs!$I1453-Calcs!U$1402)/12,Calcs!U1453,0))))</f>
        <v>0</v>
      </c>
      <c r="P583" s="849">
        <f>IF(OR(Calcs!$J$1402=Calcs!$I1453,Calcs!$I1453&gt;P$61),0,IF(OR(P$63="Monthly",P$63=""),Calcs!V1453,IF(AND(P$63="Quarterly",INT((Calcs!$I1453-Calcs!V$1402)/3)=(Calcs!$I1453-Calcs!V$1402)/3),Calcs!V1453,IF(INT((Calcs!$I1453-Calcs!V$1402)/12)=(Calcs!$I1453-Calcs!V$1402)/12,Calcs!V1453,0))))</f>
        <v>0</v>
      </c>
      <c r="Q583" s="849">
        <f>IF(OR(Calcs!$J$1402=Calcs!$I1453,Calcs!$I1453&gt;Q$61),0,IF(OR(Q$63="Monthly",Q$63=""),Calcs!W1453,IF(AND(Q$63="Quarterly",INT((Calcs!$I1453-Calcs!W$1402)/3)=(Calcs!$I1453-Calcs!W$1402)/3),Calcs!W1453,IF(INT((Calcs!$I1453-Calcs!W$1402)/12)=(Calcs!$I1453-Calcs!W$1402)/12,Calcs!W1453,0))))</f>
        <v>0</v>
      </c>
      <c r="R583" s="849">
        <f>IF(OR(Calcs!$J$1402=Calcs!$I1453,Calcs!$I1453&gt;R$61),0,IF(OR(R$63="Monthly",R$63=""),Calcs!X1453,IF(AND(R$63="Quarterly",INT((Calcs!$I1453-Calcs!X$1402)/3)=(Calcs!$I1453-Calcs!X$1402)/3),Calcs!X1453,IF(INT((Calcs!$I1453-Calcs!X$1402)/12)=(Calcs!$I1453-Calcs!X$1402)/12,Calcs!X1453,0))))</f>
        <v>0</v>
      </c>
      <c r="S583" s="849">
        <f>IF(OR(Calcs!$J$1402=Calcs!$I1453,Calcs!$I1453&gt;S$61),0,IF(OR(S$63="Monthly",S$63=""),Calcs!Y1453,IF(AND(S$63="Quarterly",INT((Calcs!$I1453-Calcs!Y$1402)/3)=(Calcs!$I1453-Calcs!Y$1402)/3),Calcs!Y1453,IF(INT((Calcs!$I1453-Calcs!Y$1402)/12)=(Calcs!$I1453-Calcs!Y$1402)/12,Calcs!Y1453,0))))</f>
        <v>0</v>
      </c>
      <c r="T583" s="849">
        <f>IF(OR(Calcs!$J$1402=Calcs!$I1453,Calcs!$I1453&gt;T$61),0,IF(OR(T$63="Monthly",T$63=""),Calcs!Z1453,IF(AND(T$63="Quarterly",INT((Calcs!$I1453-Calcs!Z$1402)/3)=(Calcs!$I1453-Calcs!Z$1402)/3),Calcs!Z1453,IF(INT((Calcs!$I1453-Calcs!Z$1402)/12)=(Calcs!$I1453-Calcs!Z$1402)/12,Calcs!Z1453,0))))</f>
        <v>0</v>
      </c>
      <c r="U583" s="849">
        <f>IF(OR(Calcs!$J$1402=Calcs!$I1453,Calcs!$I1453&gt;U$61),0,IF(OR(U$63="Monthly",U$63=""),Calcs!AA1453,IF(AND(U$63="Quarterly",INT((Calcs!$I1453-Calcs!AA$1402)/3)=(Calcs!$I1453-Calcs!AA$1402)/3),Calcs!AA1453,IF(INT((Calcs!$I1453-Calcs!AA$1402)/12)=(Calcs!$I1453-Calcs!AA$1402)/12,Calcs!AA1453,0))))</f>
        <v>0</v>
      </c>
      <c r="V583" s="849">
        <f>IF(OR(Calcs!$J$1402=Calcs!$I1453,Calcs!$I1453&gt;V$61),0,IF(OR(V$63="Monthly",V$63=""),Calcs!AB1453,IF(AND(V$63="Quarterly",INT((Calcs!$I1453-Calcs!AB$1402)/3)=(Calcs!$I1453-Calcs!AB$1402)/3),Calcs!AB1453,IF(INT((Calcs!$I1453-Calcs!AB$1402)/12)=(Calcs!$I1453-Calcs!AB$1402)/12,Calcs!AB1453,0))))</f>
        <v>0</v>
      </c>
      <c r="W583" s="849">
        <f>IF(OR(Calcs!$J$1402=Calcs!$I1453,Calcs!$I1453&gt;W$61),0,IF(OR(W$63="Monthly",W$63=""),Calcs!AC1453,IF(AND(W$63="Quarterly",INT((Calcs!$I1453-Calcs!AC$1402)/3)=(Calcs!$I1453-Calcs!AC$1402)/3),Calcs!AC1453,IF(INT((Calcs!$I1453-Calcs!AC$1402)/12)=(Calcs!$I1453-Calcs!AC$1402)/12,Calcs!AC1453,0))))</f>
        <v>0</v>
      </c>
      <c r="X583" s="849">
        <f>IF(OR(Calcs!$J$1402=Calcs!$I1453,Calcs!$I1453&gt;X$61),0,IF(OR(X$63="Monthly",X$63=""),Calcs!AD1453,IF(AND(X$63="Quarterly",INT((Calcs!$I1453-Calcs!AD$1402)/3)=(Calcs!$I1453-Calcs!AD$1402)/3),Calcs!AD1453,IF(INT((Calcs!$I1453-Calcs!AD$1402)/12)=(Calcs!$I1453-Calcs!AD$1402)/12,Calcs!AD1453,0))))</f>
        <v>0</v>
      </c>
      <c r="Y583" s="849">
        <f>IF(OR(Calcs!$J$1402=Calcs!$I1453,Calcs!$I1453&gt;Y$61),0,IF(OR(Y$63="Monthly",Y$63=""),Calcs!AE1453,IF(AND(Y$63="Quarterly",INT((Calcs!$I1453-Calcs!AE$1402)/3)=(Calcs!$I1453-Calcs!AE$1402)/3),Calcs!AE1453,IF(INT((Calcs!$I1453-Calcs!AE$1402)/12)=(Calcs!$I1453-Calcs!AE$1402)/12,Calcs!AE1453,0))))</f>
        <v>0</v>
      </c>
      <c r="Z583" s="849">
        <f>IF(OR(Calcs!$J$1402=Calcs!$I1453,Calcs!$I1453&gt;Z$61),0,IF(OR(Z$63="Monthly",Z$63=""),Calcs!AF1453,IF(AND(Z$63="Quarterly",INT((Calcs!$I1453-Calcs!AF$1402)/3)=(Calcs!$I1453-Calcs!AF$1402)/3),Calcs!AF1453,IF(INT((Calcs!$I1453-Calcs!AF$1402)/12)=(Calcs!$I1453-Calcs!AF$1402)/12,Calcs!AF1453,0))))</f>
        <v>0</v>
      </c>
      <c r="AA583" s="849">
        <f>IF(OR(Calcs!$J$1402=Calcs!$I1453,Calcs!$I1453&gt;AA$61),0,IF(OR(AA$63="Monthly",AA$63=""),Calcs!AG1453,IF(AND(AA$63="Quarterly",INT((Calcs!$I1453-Calcs!AG$1402)/3)=(Calcs!$I1453-Calcs!AG$1402)/3),Calcs!AG1453,IF(INT((Calcs!$I1453-Calcs!AG$1402)/12)=(Calcs!$I1453-Calcs!AG$1402)/12,Calcs!AG1453,0))))</f>
        <v>0</v>
      </c>
      <c r="AB583" s="850">
        <f>IF(OR(Calcs!$J$1402=Calcs!$I1453,Calcs!$I1453&gt;AB$61),0,IF(OR(AB$63="Monthly",AB$63=""),Calcs!AH1453,IF(AND(AB$63="Quarterly",INT((Calcs!$I1453-Calcs!AH$1402)/3)=(Calcs!$I1453-Calcs!AH$1402)/3),Calcs!AH1453,IF(INT((Calcs!$I1453-Calcs!AH$1402)/12)=(Calcs!$I1453-Calcs!AH$1402)/12,Calcs!AH1453,0))))</f>
        <v>0</v>
      </c>
      <c r="CH583" s="269"/>
      <c r="CI583" s="269"/>
      <c r="CJ583" s="269"/>
      <c r="CK583" s="269"/>
      <c r="CL583" s="269"/>
      <c r="CM583" s="269"/>
      <c r="CN583" s="269"/>
      <c r="CO583" s="269"/>
      <c r="CP583" s="269"/>
      <c r="CQ583" s="269"/>
      <c r="CR583" s="269"/>
      <c r="CS583" s="269"/>
    </row>
    <row r="584" spans="1:97" x14ac:dyDescent="0.3">
      <c r="A584" s="5"/>
      <c r="B584" s="5"/>
      <c r="C584" s="495">
        <f>C521</f>
        <v>1492</v>
      </c>
      <c r="D584" s="842">
        <f>IF(OR(Calcs!$J$1402=Calcs!$I1454,Calcs!$I1454&gt;D$61),0,IF(OR(D$63="Monthly",D$63=""),Calcs!J1454,IF(AND(D$63="Quarterly",INT((Calcs!$I1454-Calcs!J$1402)/3)=(Calcs!$I1454-Calcs!J$1402)/3),Calcs!J1454,IF(INT((Calcs!$I1454-Calcs!J$1402)/12)=(Calcs!$I1454-Calcs!J$1402)/12,Calcs!J1454,0))))</f>
        <v>0</v>
      </c>
      <c r="E584" s="843">
        <f>IF(OR(Calcs!$J$1402=Calcs!$I1454,Calcs!$I1454&gt;E$61),0,IF(OR(E$63="Monthly",E$63=""),Calcs!K1454,IF(AND(E$63="Quarterly",INT((Calcs!$I1454-Calcs!K$1402)/3)=(Calcs!$I1454-Calcs!K$1402)/3),Calcs!K1454,IF(INT((Calcs!$I1454-Calcs!K$1402)/12)=(Calcs!$I1454-Calcs!K$1402)/12,Calcs!K1454,0))))</f>
        <v>0</v>
      </c>
      <c r="F584" s="843">
        <f>IF(OR(Calcs!$J$1402=Calcs!$I1454,Calcs!$I1454&gt;F$61),0,IF(OR(F$63="Monthly",F$63=""),Calcs!L1454,IF(AND(F$63="Quarterly",INT((Calcs!$I1454-Calcs!L$1402)/3)=(Calcs!$I1454-Calcs!L$1402)/3),Calcs!L1454,IF(INT((Calcs!$I1454-Calcs!L$1402)/12)=(Calcs!$I1454-Calcs!L$1402)/12,Calcs!L1454,0))))</f>
        <v>0</v>
      </c>
      <c r="G584" s="843">
        <f>IF(OR(Calcs!$J$1402=Calcs!$I1454,Calcs!$I1454&gt;G$61),0,IF(OR(G$63="Monthly",G$63=""),Calcs!M1454,IF(AND(G$63="Quarterly",INT((Calcs!$I1454-Calcs!M$1402)/3)=(Calcs!$I1454-Calcs!M$1402)/3),Calcs!M1454,IF(INT((Calcs!$I1454-Calcs!M$1402)/12)=(Calcs!$I1454-Calcs!M$1402)/12,Calcs!M1454,0))))</f>
        <v>0</v>
      </c>
      <c r="H584" s="843">
        <f>IF(OR(Calcs!$J$1402=Calcs!$I1454,Calcs!$I1454&gt;H$61),0,IF(OR(H$63="Monthly",H$63=""),Calcs!N1454,IF(AND(H$63="Quarterly",INT((Calcs!$I1454-Calcs!N$1402)/3)=(Calcs!$I1454-Calcs!N$1402)/3),Calcs!N1454,IF(INT((Calcs!$I1454-Calcs!N$1402)/12)=(Calcs!$I1454-Calcs!N$1402)/12,Calcs!N1454,0))))</f>
        <v>0</v>
      </c>
      <c r="I584" s="843">
        <f>IF(OR(Calcs!$J$1402=Calcs!$I1454,Calcs!$I1454&gt;I$61),0,IF(OR(I$63="Monthly",I$63=""),Calcs!O1454,IF(AND(I$63="Quarterly",INT((Calcs!$I1454-Calcs!O$1402)/3)=(Calcs!$I1454-Calcs!O$1402)/3),Calcs!O1454,IF(INT((Calcs!$I1454-Calcs!O$1402)/12)=(Calcs!$I1454-Calcs!O$1402)/12,Calcs!O1454,0))))</f>
        <v>0</v>
      </c>
      <c r="J584" s="843">
        <f>IF(OR(Calcs!$J$1402=Calcs!$I1454,Calcs!$I1454&gt;J$61),0,IF(OR(J$63="Monthly",J$63=""),Calcs!P1454,IF(AND(J$63="Quarterly",INT((Calcs!$I1454-Calcs!P$1402)/3)=(Calcs!$I1454-Calcs!P$1402)/3),Calcs!P1454,IF(INT((Calcs!$I1454-Calcs!P$1402)/12)=(Calcs!$I1454-Calcs!P$1402)/12,Calcs!P1454,0))))</f>
        <v>0</v>
      </c>
      <c r="K584" s="843">
        <f>IF(OR(Calcs!$J$1402=Calcs!$I1454,Calcs!$I1454&gt;K$61),0,IF(OR(K$63="Monthly",K$63=""),Calcs!Q1454,IF(AND(K$63="Quarterly",INT((Calcs!$I1454-Calcs!Q$1402)/3)=(Calcs!$I1454-Calcs!Q$1402)/3),Calcs!Q1454,IF(INT((Calcs!$I1454-Calcs!Q$1402)/12)=(Calcs!$I1454-Calcs!Q$1402)/12,Calcs!Q1454,0))))</f>
        <v>0</v>
      </c>
      <c r="L584" s="843">
        <f>IF(OR(Calcs!$J$1402=Calcs!$I1454,Calcs!$I1454&gt;L$61),0,IF(OR(L$63="Monthly",L$63=""),Calcs!R1454,IF(AND(L$63="Quarterly",INT((Calcs!$I1454-Calcs!R$1402)/3)=(Calcs!$I1454-Calcs!R$1402)/3),Calcs!R1454,IF(INT((Calcs!$I1454-Calcs!R$1402)/12)=(Calcs!$I1454-Calcs!R$1402)/12,Calcs!R1454,0))))</f>
        <v>0</v>
      </c>
      <c r="M584" s="843">
        <f>IF(OR(Calcs!$J$1402=Calcs!$I1454,Calcs!$I1454&gt;M$61),0,IF(OR(M$63="Monthly",M$63=""),Calcs!S1454,IF(AND(M$63="Quarterly",INT((Calcs!$I1454-Calcs!S$1402)/3)=(Calcs!$I1454-Calcs!S$1402)/3),Calcs!S1454,IF(INT((Calcs!$I1454-Calcs!S$1402)/12)=(Calcs!$I1454-Calcs!S$1402)/12,Calcs!S1454,0))))</f>
        <v>0</v>
      </c>
      <c r="N584" s="843">
        <f>IF(OR(Calcs!$J$1402=Calcs!$I1454,Calcs!$I1454&gt;N$61),0,IF(OR(N$63="Monthly",N$63=""),Calcs!T1454,IF(AND(N$63="Quarterly",INT((Calcs!$I1454-Calcs!T$1402)/3)=(Calcs!$I1454-Calcs!T$1402)/3),Calcs!T1454,IF(INT((Calcs!$I1454-Calcs!T$1402)/12)=(Calcs!$I1454-Calcs!T$1402)/12,Calcs!T1454,0))))</f>
        <v>0</v>
      </c>
      <c r="O584" s="843">
        <f>IF(OR(Calcs!$J$1402=Calcs!$I1454,Calcs!$I1454&gt;O$61),0,IF(OR(O$63="Monthly",O$63=""),Calcs!U1454,IF(AND(O$63="Quarterly",INT((Calcs!$I1454-Calcs!U$1402)/3)=(Calcs!$I1454-Calcs!U$1402)/3),Calcs!U1454,IF(INT((Calcs!$I1454-Calcs!U$1402)/12)=(Calcs!$I1454-Calcs!U$1402)/12,Calcs!U1454,0))))</f>
        <v>0</v>
      </c>
      <c r="P584" s="843">
        <f>IF(OR(Calcs!$J$1402=Calcs!$I1454,Calcs!$I1454&gt;P$61),0,IF(OR(P$63="Monthly",P$63=""),Calcs!V1454,IF(AND(P$63="Quarterly",INT((Calcs!$I1454-Calcs!V$1402)/3)=(Calcs!$I1454-Calcs!V$1402)/3),Calcs!V1454,IF(INT((Calcs!$I1454-Calcs!V$1402)/12)=(Calcs!$I1454-Calcs!V$1402)/12,Calcs!V1454,0))))</f>
        <v>0</v>
      </c>
      <c r="Q584" s="843">
        <f>IF(OR(Calcs!$J$1402=Calcs!$I1454,Calcs!$I1454&gt;Q$61),0,IF(OR(Q$63="Monthly",Q$63=""),Calcs!W1454,IF(AND(Q$63="Quarterly",INT((Calcs!$I1454-Calcs!W$1402)/3)=(Calcs!$I1454-Calcs!W$1402)/3),Calcs!W1454,IF(INT((Calcs!$I1454-Calcs!W$1402)/12)=(Calcs!$I1454-Calcs!W$1402)/12,Calcs!W1454,0))))</f>
        <v>0</v>
      </c>
      <c r="R584" s="843">
        <f>IF(OR(Calcs!$J$1402=Calcs!$I1454,Calcs!$I1454&gt;R$61),0,IF(OR(R$63="Monthly",R$63=""),Calcs!X1454,IF(AND(R$63="Quarterly",INT((Calcs!$I1454-Calcs!X$1402)/3)=(Calcs!$I1454-Calcs!X$1402)/3),Calcs!X1454,IF(INT((Calcs!$I1454-Calcs!X$1402)/12)=(Calcs!$I1454-Calcs!X$1402)/12,Calcs!X1454,0))))</f>
        <v>0</v>
      </c>
      <c r="S584" s="843">
        <f>IF(OR(Calcs!$J$1402=Calcs!$I1454,Calcs!$I1454&gt;S$61),0,IF(OR(S$63="Monthly",S$63=""),Calcs!Y1454,IF(AND(S$63="Quarterly",INT((Calcs!$I1454-Calcs!Y$1402)/3)=(Calcs!$I1454-Calcs!Y$1402)/3),Calcs!Y1454,IF(INT((Calcs!$I1454-Calcs!Y$1402)/12)=(Calcs!$I1454-Calcs!Y$1402)/12,Calcs!Y1454,0))))</f>
        <v>0</v>
      </c>
      <c r="T584" s="843">
        <f>IF(OR(Calcs!$J$1402=Calcs!$I1454,Calcs!$I1454&gt;T$61),0,IF(OR(T$63="Monthly",T$63=""),Calcs!Z1454,IF(AND(T$63="Quarterly",INT((Calcs!$I1454-Calcs!Z$1402)/3)=(Calcs!$I1454-Calcs!Z$1402)/3),Calcs!Z1454,IF(INT((Calcs!$I1454-Calcs!Z$1402)/12)=(Calcs!$I1454-Calcs!Z$1402)/12,Calcs!Z1454,0))))</f>
        <v>0</v>
      </c>
      <c r="U584" s="843">
        <f>IF(OR(Calcs!$J$1402=Calcs!$I1454,Calcs!$I1454&gt;U$61),0,IF(OR(U$63="Monthly",U$63=""),Calcs!AA1454,IF(AND(U$63="Quarterly",INT((Calcs!$I1454-Calcs!AA$1402)/3)=(Calcs!$I1454-Calcs!AA$1402)/3),Calcs!AA1454,IF(INT((Calcs!$I1454-Calcs!AA$1402)/12)=(Calcs!$I1454-Calcs!AA$1402)/12,Calcs!AA1454,0))))</f>
        <v>0</v>
      </c>
      <c r="V584" s="843">
        <f>IF(OR(Calcs!$J$1402=Calcs!$I1454,Calcs!$I1454&gt;V$61),0,IF(OR(V$63="Monthly",V$63=""),Calcs!AB1454,IF(AND(V$63="Quarterly",INT((Calcs!$I1454-Calcs!AB$1402)/3)=(Calcs!$I1454-Calcs!AB$1402)/3),Calcs!AB1454,IF(INT((Calcs!$I1454-Calcs!AB$1402)/12)=(Calcs!$I1454-Calcs!AB$1402)/12,Calcs!AB1454,0))))</f>
        <v>0</v>
      </c>
      <c r="W584" s="843">
        <f>IF(OR(Calcs!$J$1402=Calcs!$I1454,Calcs!$I1454&gt;W$61),0,IF(OR(W$63="Monthly",W$63=""),Calcs!AC1454,IF(AND(W$63="Quarterly",INT((Calcs!$I1454-Calcs!AC$1402)/3)=(Calcs!$I1454-Calcs!AC$1402)/3),Calcs!AC1454,IF(INT((Calcs!$I1454-Calcs!AC$1402)/12)=(Calcs!$I1454-Calcs!AC$1402)/12,Calcs!AC1454,0))))</f>
        <v>0</v>
      </c>
      <c r="X584" s="843">
        <f>IF(OR(Calcs!$J$1402=Calcs!$I1454,Calcs!$I1454&gt;X$61),0,IF(OR(X$63="Monthly",X$63=""),Calcs!AD1454,IF(AND(X$63="Quarterly",INT((Calcs!$I1454-Calcs!AD$1402)/3)=(Calcs!$I1454-Calcs!AD$1402)/3),Calcs!AD1454,IF(INT((Calcs!$I1454-Calcs!AD$1402)/12)=(Calcs!$I1454-Calcs!AD$1402)/12,Calcs!AD1454,0))))</f>
        <v>0</v>
      </c>
      <c r="Y584" s="843">
        <f>IF(OR(Calcs!$J$1402=Calcs!$I1454,Calcs!$I1454&gt;Y$61),0,IF(OR(Y$63="Monthly",Y$63=""),Calcs!AE1454,IF(AND(Y$63="Quarterly",INT((Calcs!$I1454-Calcs!AE$1402)/3)=(Calcs!$I1454-Calcs!AE$1402)/3),Calcs!AE1454,IF(INT((Calcs!$I1454-Calcs!AE$1402)/12)=(Calcs!$I1454-Calcs!AE$1402)/12,Calcs!AE1454,0))))</f>
        <v>0</v>
      </c>
      <c r="Z584" s="843">
        <f>IF(OR(Calcs!$J$1402=Calcs!$I1454,Calcs!$I1454&gt;Z$61),0,IF(OR(Z$63="Monthly",Z$63=""),Calcs!AF1454,IF(AND(Z$63="Quarterly",INT((Calcs!$I1454-Calcs!AF$1402)/3)=(Calcs!$I1454-Calcs!AF$1402)/3),Calcs!AF1454,IF(INT((Calcs!$I1454-Calcs!AF$1402)/12)=(Calcs!$I1454-Calcs!AF$1402)/12,Calcs!AF1454,0))))</f>
        <v>0</v>
      </c>
      <c r="AA584" s="843">
        <f>IF(OR(Calcs!$J$1402=Calcs!$I1454,Calcs!$I1454&gt;AA$61),0,IF(OR(AA$63="Monthly",AA$63=""),Calcs!AG1454,IF(AND(AA$63="Quarterly",INT((Calcs!$I1454-Calcs!AG$1402)/3)=(Calcs!$I1454-Calcs!AG$1402)/3),Calcs!AG1454,IF(INT((Calcs!$I1454-Calcs!AG$1402)/12)=(Calcs!$I1454-Calcs!AG$1402)/12,Calcs!AG1454,0))))</f>
        <v>0</v>
      </c>
      <c r="AB584" s="844">
        <f>IF(OR(Calcs!$J$1402=Calcs!$I1454,Calcs!$I1454&gt;AB$61),0,IF(OR(AB$63="Monthly",AB$63=""),Calcs!AH1454,IF(AND(AB$63="Quarterly",INT((Calcs!$I1454-Calcs!AH$1402)/3)=(Calcs!$I1454-Calcs!AH$1402)/3),Calcs!AH1454,IF(INT((Calcs!$I1454-Calcs!AH$1402)/12)=(Calcs!$I1454-Calcs!AH$1402)/12,Calcs!AH1454,0))))</f>
        <v>0</v>
      </c>
      <c r="CH584" s="269"/>
      <c r="CI584" s="269"/>
      <c r="CJ584" s="269"/>
      <c r="CK584" s="269"/>
      <c r="CL584" s="269"/>
      <c r="CM584" s="269"/>
      <c r="CN584" s="269"/>
      <c r="CO584" s="269"/>
      <c r="CP584" s="269"/>
      <c r="CQ584" s="269"/>
      <c r="CR584" s="269"/>
      <c r="CS584" s="269"/>
    </row>
    <row r="585" spans="1:97" x14ac:dyDescent="0.3">
      <c r="A585" s="5"/>
      <c r="B585" s="5"/>
      <c r="C585" s="495">
        <f>C522</f>
        <v>1521</v>
      </c>
      <c r="D585" s="845">
        <f>IF(OR(Calcs!$J$1402=Calcs!$I1455,Calcs!$I1455&gt;D$61),0,IF(OR(D$63="Monthly",D$63=""),Calcs!J1455,IF(AND(D$63="Quarterly",INT((Calcs!$I1455-Calcs!J$1402)/3)=(Calcs!$I1455-Calcs!J$1402)/3),Calcs!J1455,IF(INT((Calcs!$I1455-Calcs!J$1402)/12)=(Calcs!$I1455-Calcs!J$1402)/12,Calcs!J1455,0))))</f>
        <v>0</v>
      </c>
      <c r="E585" s="846">
        <f>IF(OR(Calcs!$J$1402=Calcs!$I1455,Calcs!$I1455&gt;E$61),0,IF(OR(E$63="Monthly",E$63=""),Calcs!K1455,IF(AND(E$63="Quarterly",INT((Calcs!$I1455-Calcs!K$1402)/3)=(Calcs!$I1455-Calcs!K$1402)/3),Calcs!K1455,IF(INT((Calcs!$I1455-Calcs!K$1402)/12)=(Calcs!$I1455-Calcs!K$1402)/12,Calcs!K1455,0))))</f>
        <v>0</v>
      </c>
      <c r="F585" s="846">
        <f>IF(OR(Calcs!$J$1402=Calcs!$I1455,Calcs!$I1455&gt;F$61),0,IF(OR(F$63="Monthly",F$63=""),Calcs!L1455,IF(AND(F$63="Quarterly",INT((Calcs!$I1455-Calcs!L$1402)/3)=(Calcs!$I1455-Calcs!L$1402)/3),Calcs!L1455,IF(INT((Calcs!$I1455-Calcs!L$1402)/12)=(Calcs!$I1455-Calcs!L$1402)/12,Calcs!L1455,0))))</f>
        <v>0</v>
      </c>
      <c r="G585" s="846">
        <f>IF(OR(Calcs!$J$1402=Calcs!$I1455,Calcs!$I1455&gt;G$61),0,IF(OR(G$63="Monthly",G$63=""),Calcs!M1455,IF(AND(G$63="Quarterly",INT((Calcs!$I1455-Calcs!M$1402)/3)=(Calcs!$I1455-Calcs!M$1402)/3),Calcs!M1455,IF(INT((Calcs!$I1455-Calcs!M$1402)/12)=(Calcs!$I1455-Calcs!M$1402)/12,Calcs!M1455,0))))</f>
        <v>0</v>
      </c>
      <c r="H585" s="846">
        <f>IF(OR(Calcs!$J$1402=Calcs!$I1455,Calcs!$I1455&gt;H$61),0,IF(OR(H$63="Monthly",H$63=""),Calcs!N1455,IF(AND(H$63="Quarterly",INT((Calcs!$I1455-Calcs!N$1402)/3)=(Calcs!$I1455-Calcs!N$1402)/3),Calcs!N1455,IF(INT((Calcs!$I1455-Calcs!N$1402)/12)=(Calcs!$I1455-Calcs!N$1402)/12,Calcs!N1455,0))))</f>
        <v>0</v>
      </c>
      <c r="I585" s="846">
        <f>IF(OR(Calcs!$J$1402=Calcs!$I1455,Calcs!$I1455&gt;I$61),0,IF(OR(I$63="Monthly",I$63=""),Calcs!O1455,IF(AND(I$63="Quarterly",INT((Calcs!$I1455-Calcs!O$1402)/3)=(Calcs!$I1455-Calcs!O$1402)/3),Calcs!O1455,IF(INT((Calcs!$I1455-Calcs!O$1402)/12)=(Calcs!$I1455-Calcs!O$1402)/12,Calcs!O1455,0))))</f>
        <v>0</v>
      </c>
      <c r="J585" s="846">
        <f>IF(OR(Calcs!$J$1402=Calcs!$I1455,Calcs!$I1455&gt;J$61),0,IF(OR(J$63="Monthly",J$63=""),Calcs!P1455,IF(AND(J$63="Quarterly",INT((Calcs!$I1455-Calcs!P$1402)/3)=(Calcs!$I1455-Calcs!P$1402)/3),Calcs!P1455,IF(INT((Calcs!$I1455-Calcs!P$1402)/12)=(Calcs!$I1455-Calcs!P$1402)/12,Calcs!P1455,0))))</f>
        <v>0</v>
      </c>
      <c r="K585" s="846">
        <f>IF(OR(Calcs!$J$1402=Calcs!$I1455,Calcs!$I1455&gt;K$61),0,IF(OR(K$63="Monthly",K$63=""),Calcs!Q1455,IF(AND(K$63="Quarterly",INT((Calcs!$I1455-Calcs!Q$1402)/3)=(Calcs!$I1455-Calcs!Q$1402)/3),Calcs!Q1455,IF(INT((Calcs!$I1455-Calcs!Q$1402)/12)=(Calcs!$I1455-Calcs!Q$1402)/12,Calcs!Q1455,0))))</f>
        <v>0</v>
      </c>
      <c r="L585" s="846">
        <f>IF(OR(Calcs!$J$1402=Calcs!$I1455,Calcs!$I1455&gt;L$61),0,IF(OR(L$63="Monthly",L$63=""),Calcs!R1455,IF(AND(L$63="Quarterly",INT((Calcs!$I1455-Calcs!R$1402)/3)=(Calcs!$I1455-Calcs!R$1402)/3),Calcs!R1455,IF(INT((Calcs!$I1455-Calcs!R$1402)/12)=(Calcs!$I1455-Calcs!R$1402)/12,Calcs!R1455,0))))</f>
        <v>0</v>
      </c>
      <c r="M585" s="846">
        <f>IF(OR(Calcs!$J$1402=Calcs!$I1455,Calcs!$I1455&gt;M$61),0,IF(OR(M$63="Monthly",M$63=""),Calcs!S1455,IF(AND(M$63="Quarterly",INT((Calcs!$I1455-Calcs!S$1402)/3)=(Calcs!$I1455-Calcs!S$1402)/3),Calcs!S1455,IF(INT((Calcs!$I1455-Calcs!S$1402)/12)=(Calcs!$I1455-Calcs!S$1402)/12,Calcs!S1455,0))))</f>
        <v>0</v>
      </c>
      <c r="N585" s="846">
        <f>IF(OR(Calcs!$J$1402=Calcs!$I1455,Calcs!$I1455&gt;N$61),0,IF(OR(N$63="Monthly",N$63=""),Calcs!T1455,IF(AND(N$63="Quarterly",INT((Calcs!$I1455-Calcs!T$1402)/3)=(Calcs!$I1455-Calcs!T$1402)/3),Calcs!T1455,IF(INT((Calcs!$I1455-Calcs!T$1402)/12)=(Calcs!$I1455-Calcs!T$1402)/12,Calcs!T1455,0))))</f>
        <v>0</v>
      </c>
      <c r="O585" s="846">
        <f>IF(OR(Calcs!$J$1402=Calcs!$I1455,Calcs!$I1455&gt;O$61),0,IF(OR(O$63="Monthly",O$63=""),Calcs!U1455,IF(AND(O$63="Quarterly",INT((Calcs!$I1455-Calcs!U$1402)/3)=(Calcs!$I1455-Calcs!U$1402)/3),Calcs!U1455,IF(INT((Calcs!$I1455-Calcs!U$1402)/12)=(Calcs!$I1455-Calcs!U$1402)/12,Calcs!U1455,0))))</f>
        <v>0</v>
      </c>
      <c r="P585" s="846">
        <f>IF(OR(Calcs!$J$1402=Calcs!$I1455,Calcs!$I1455&gt;P$61),0,IF(OR(P$63="Monthly",P$63=""),Calcs!V1455,IF(AND(P$63="Quarterly",INT((Calcs!$I1455-Calcs!V$1402)/3)=(Calcs!$I1455-Calcs!V$1402)/3),Calcs!V1455,IF(INT((Calcs!$I1455-Calcs!V$1402)/12)=(Calcs!$I1455-Calcs!V$1402)/12,Calcs!V1455,0))))</f>
        <v>0</v>
      </c>
      <c r="Q585" s="846">
        <f>IF(OR(Calcs!$J$1402=Calcs!$I1455,Calcs!$I1455&gt;Q$61),0,IF(OR(Q$63="Monthly",Q$63=""),Calcs!W1455,IF(AND(Q$63="Quarterly",INT((Calcs!$I1455-Calcs!W$1402)/3)=(Calcs!$I1455-Calcs!W$1402)/3),Calcs!W1455,IF(INT((Calcs!$I1455-Calcs!W$1402)/12)=(Calcs!$I1455-Calcs!W$1402)/12,Calcs!W1455,0))))</f>
        <v>0</v>
      </c>
      <c r="R585" s="846">
        <f>IF(OR(Calcs!$J$1402=Calcs!$I1455,Calcs!$I1455&gt;R$61),0,IF(OR(R$63="Monthly",R$63=""),Calcs!X1455,IF(AND(R$63="Quarterly",INT((Calcs!$I1455-Calcs!X$1402)/3)=(Calcs!$I1455-Calcs!X$1402)/3),Calcs!X1455,IF(INT((Calcs!$I1455-Calcs!X$1402)/12)=(Calcs!$I1455-Calcs!X$1402)/12,Calcs!X1455,0))))</f>
        <v>0</v>
      </c>
      <c r="S585" s="846">
        <f>IF(OR(Calcs!$J$1402=Calcs!$I1455,Calcs!$I1455&gt;S$61),0,IF(OR(S$63="Monthly",S$63=""),Calcs!Y1455,IF(AND(S$63="Quarterly",INT((Calcs!$I1455-Calcs!Y$1402)/3)=(Calcs!$I1455-Calcs!Y$1402)/3),Calcs!Y1455,IF(INT((Calcs!$I1455-Calcs!Y$1402)/12)=(Calcs!$I1455-Calcs!Y$1402)/12,Calcs!Y1455,0))))</f>
        <v>0</v>
      </c>
      <c r="T585" s="846">
        <f>IF(OR(Calcs!$J$1402=Calcs!$I1455,Calcs!$I1455&gt;T$61),0,IF(OR(T$63="Monthly",T$63=""),Calcs!Z1455,IF(AND(T$63="Quarterly",INT((Calcs!$I1455-Calcs!Z$1402)/3)=(Calcs!$I1455-Calcs!Z$1402)/3),Calcs!Z1455,IF(INT((Calcs!$I1455-Calcs!Z$1402)/12)=(Calcs!$I1455-Calcs!Z$1402)/12,Calcs!Z1455,0))))</f>
        <v>0</v>
      </c>
      <c r="U585" s="846">
        <f>IF(OR(Calcs!$J$1402=Calcs!$I1455,Calcs!$I1455&gt;U$61),0,IF(OR(U$63="Monthly",U$63=""),Calcs!AA1455,IF(AND(U$63="Quarterly",INT((Calcs!$I1455-Calcs!AA$1402)/3)=(Calcs!$I1455-Calcs!AA$1402)/3),Calcs!AA1455,IF(INT((Calcs!$I1455-Calcs!AA$1402)/12)=(Calcs!$I1455-Calcs!AA$1402)/12,Calcs!AA1455,0))))</f>
        <v>0</v>
      </c>
      <c r="V585" s="846">
        <f>IF(OR(Calcs!$J$1402=Calcs!$I1455,Calcs!$I1455&gt;V$61),0,IF(OR(V$63="Monthly",V$63=""),Calcs!AB1455,IF(AND(V$63="Quarterly",INT((Calcs!$I1455-Calcs!AB$1402)/3)=(Calcs!$I1455-Calcs!AB$1402)/3),Calcs!AB1455,IF(INT((Calcs!$I1455-Calcs!AB$1402)/12)=(Calcs!$I1455-Calcs!AB$1402)/12,Calcs!AB1455,0))))</f>
        <v>0</v>
      </c>
      <c r="W585" s="846">
        <f>IF(OR(Calcs!$J$1402=Calcs!$I1455,Calcs!$I1455&gt;W$61),0,IF(OR(W$63="Monthly",W$63=""),Calcs!AC1455,IF(AND(W$63="Quarterly",INT((Calcs!$I1455-Calcs!AC$1402)/3)=(Calcs!$I1455-Calcs!AC$1402)/3),Calcs!AC1455,IF(INT((Calcs!$I1455-Calcs!AC$1402)/12)=(Calcs!$I1455-Calcs!AC$1402)/12,Calcs!AC1455,0))))</f>
        <v>0</v>
      </c>
      <c r="X585" s="846">
        <f>IF(OR(Calcs!$J$1402=Calcs!$I1455,Calcs!$I1455&gt;X$61),0,IF(OR(X$63="Monthly",X$63=""),Calcs!AD1455,IF(AND(X$63="Quarterly",INT((Calcs!$I1455-Calcs!AD$1402)/3)=(Calcs!$I1455-Calcs!AD$1402)/3),Calcs!AD1455,IF(INT((Calcs!$I1455-Calcs!AD$1402)/12)=(Calcs!$I1455-Calcs!AD$1402)/12,Calcs!AD1455,0))))</f>
        <v>0</v>
      </c>
      <c r="Y585" s="846">
        <f>IF(OR(Calcs!$J$1402=Calcs!$I1455,Calcs!$I1455&gt;Y$61),0,IF(OR(Y$63="Monthly",Y$63=""),Calcs!AE1455,IF(AND(Y$63="Quarterly",INT((Calcs!$I1455-Calcs!AE$1402)/3)=(Calcs!$I1455-Calcs!AE$1402)/3),Calcs!AE1455,IF(INT((Calcs!$I1455-Calcs!AE$1402)/12)=(Calcs!$I1455-Calcs!AE$1402)/12,Calcs!AE1455,0))))</f>
        <v>0</v>
      </c>
      <c r="Z585" s="846">
        <f>IF(OR(Calcs!$J$1402=Calcs!$I1455,Calcs!$I1455&gt;Z$61),0,IF(OR(Z$63="Monthly",Z$63=""),Calcs!AF1455,IF(AND(Z$63="Quarterly",INT((Calcs!$I1455-Calcs!AF$1402)/3)=(Calcs!$I1455-Calcs!AF$1402)/3),Calcs!AF1455,IF(INT((Calcs!$I1455-Calcs!AF$1402)/12)=(Calcs!$I1455-Calcs!AF$1402)/12,Calcs!AF1455,0))))</f>
        <v>0</v>
      </c>
      <c r="AA585" s="846">
        <f>IF(OR(Calcs!$J$1402=Calcs!$I1455,Calcs!$I1455&gt;AA$61),0,IF(OR(AA$63="Monthly",AA$63=""),Calcs!AG1455,IF(AND(AA$63="Quarterly",INT((Calcs!$I1455-Calcs!AG$1402)/3)=(Calcs!$I1455-Calcs!AG$1402)/3),Calcs!AG1455,IF(INT((Calcs!$I1455-Calcs!AG$1402)/12)=(Calcs!$I1455-Calcs!AG$1402)/12,Calcs!AG1455,0))))</f>
        <v>0</v>
      </c>
      <c r="AB585" s="847">
        <f>IF(OR(Calcs!$J$1402=Calcs!$I1455,Calcs!$I1455&gt;AB$61),0,IF(OR(AB$63="Monthly",AB$63=""),Calcs!AH1455,IF(AND(AB$63="Quarterly",INT((Calcs!$I1455-Calcs!AH$1402)/3)=(Calcs!$I1455-Calcs!AH$1402)/3),Calcs!AH1455,IF(INT((Calcs!$I1455-Calcs!AH$1402)/12)=(Calcs!$I1455-Calcs!AH$1402)/12,Calcs!AH1455,0))))</f>
        <v>0</v>
      </c>
      <c r="CH585" s="269"/>
      <c r="CI585" s="269"/>
      <c r="CJ585" s="269"/>
      <c r="CK585" s="269"/>
      <c r="CL585" s="269"/>
      <c r="CM585" s="269"/>
      <c r="CN585" s="269"/>
      <c r="CO585" s="269"/>
      <c r="CP585" s="269"/>
      <c r="CQ585" s="269"/>
      <c r="CR585" s="269"/>
      <c r="CS585" s="269"/>
    </row>
    <row r="586" spans="1:97" x14ac:dyDescent="0.3">
      <c r="A586" s="5"/>
      <c r="B586" s="5"/>
      <c r="C586" s="495">
        <f>C523</f>
        <v>1552</v>
      </c>
      <c r="D586" s="845">
        <f>IF(OR(Calcs!$J$1402=Calcs!$I1456,Calcs!$I1456&gt;D$61),0,IF(OR(D$63="Monthly",D$63=""),Calcs!J1456,IF(AND(D$63="Quarterly",INT((Calcs!$I1456-Calcs!J$1402)/3)=(Calcs!$I1456-Calcs!J$1402)/3),Calcs!J1456,IF(INT((Calcs!$I1456-Calcs!J$1402)/12)=(Calcs!$I1456-Calcs!J$1402)/12,Calcs!J1456,0))))</f>
        <v>0</v>
      </c>
      <c r="E586" s="846">
        <f>IF(OR(Calcs!$J$1402=Calcs!$I1456,Calcs!$I1456&gt;E$61),0,IF(OR(E$63="Monthly",E$63=""),Calcs!K1456,IF(AND(E$63="Quarterly",INT((Calcs!$I1456-Calcs!K$1402)/3)=(Calcs!$I1456-Calcs!K$1402)/3),Calcs!K1456,IF(INT((Calcs!$I1456-Calcs!K$1402)/12)=(Calcs!$I1456-Calcs!K$1402)/12,Calcs!K1456,0))))</f>
        <v>0</v>
      </c>
      <c r="F586" s="846">
        <f>IF(OR(Calcs!$J$1402=Calcs!$I1456,Calcs!$I1456&gt;F$61),0,IF(OR(F$63="Monthly",F$63=""),Calcs!L1456,IF(AND(F$63="Quarterly",INT((Calcs!$I1456-Calcs!L$1402)/3)=(Calcs!$I1456-Calcs!L$1402)/3),Calcs!L1456,IF(INT((Calcs!$I1456-Calcs!L$1402)/12)=(Calcs!$I1456-Calcs!L$1402)/12,Calcs!L1456,0))))</f>
        <v>0</v>
      </c>
      <c r="G586" s="846">
        <f>IF(OR(Calcs!$J$1402=Calcs!$I1456,Calcs!$I1456&gt;G$61),0,IF(OR(G$63="Monthly",G$63=""),Calcs!M1456,IF(AND(G$63="Quarterly",INT((Calcs!$I1456-Calcs!M$1402)/3)=(Calcs!$I1456-Calcs!M$1402)/3),Calcs!M1456,IF(INT((Calcs!$I1456-Calcs!M$1402)/12)=(Calcs!$I1456-Calcs!M$1402)/12,Calcs!M1456,0))))</f>
        <v>0</v>
      </c>
      <c r="H586" s="846">
        <f>IF(OR(Calcs!$J$1402=Calcs!$I1456,Calcs!$I1456&gt;H$61),0,IF(OR(H$63="Monthly",H$63=""),Calcs!N1456,IF(AND(H$63="Quarterly",INT((Calcs!$I1456-Calcs!N$1402)/3)=(Calcs!$I1456-Calcs!N$1402)/3),Calcs!N1456,IF(INT((Calcs!$I1456-Calcs!N$1402)/12)=(Calcs!$I1456-Calcs!N$1402)/12,Calcs!N1456,0))))</f>
        <v>0</v>
      </c>
      <c r="I586" s="846">
        <f>IF(OR(Calcs!$J$1402=Calcs!$I1456,Calcs!$I1456&gt;I$61),0,IF(OR(I$63="Monthly",I$63=""),Calcs!O1456,IF(AND(I$63="Quarterly",INT((Calcs!$I1456-Calcs!O$1402)/3)=(Calcs!$I1456-Calcs!O$1402)/3),Calcs!O1456,IF(INT((Calcs!$I1456-Calcs!O$1402)/12)=(Calcs!$I1456-Calcs!O$1402)/12,Calcs!O1456,0))))</f>
        <v>0</v>
      </c>
      <c r="J586" s="846">
        <f>IF(OR(Calcs!$J$1402=Calcs!$I1456,Calcs!$I1456&gt;J$61),0,IF(OR(J$63="Monthly",J$63=""),Calcs!P1456,IF(AND(J$63="Quarterly",INT((Calcs!$I1456-Calcs!P$1402)/3)=(Calcs!$I1456-Calcs!P$1402)/3),Calcs!P1456,IF(INT((Calcs!$I1456-Calcs!P$1402)/12)=(Calcs!$I1456-Calcs!P$1402)/12,Calcs!P1456,0))))</f>
        <v>0</v>
      </c>
      <c r="K586" s="846">
        <f>IF(OR(Calcs!$J$1402=Calcs!$I1456,Calcs!$I1456&gt;K$61),0,IF(OR(K$63="Monthly",K$63=""),Calcs!Q1456,IF(AND(K$63="Quarterly",INT((Calcs!$I1456-Calcs!Q$1402)/3)=(Calcs!$I1456-Calcs!Q$1402)/3),Calcs!Q1456,IF(INT((Calcs!$I1456-Calcs!Q$1402)/12)=(Calcs!$I1456-Calcs!Q$1402)/12,Calcs!Q1456,0))))</f>
        <v>0</v>
      </c>
      <c r="L586" s="846">
        <f>IF(OR(Calcs!$J$1402=Calcs!$I1456,Calcs!$I1456&gt;L$61),0,IF(OR(L$63="Monthly",L$63=""),Calcs!R1456,IF(AND(L$63="Quarterly",INT((Calcs!$I1456-Calcs!R$1402)/3)=(Calcs!$I1456-Calcs!R$1402)/3),Calcs!R1456,IF(INT((Calcs!$I1456-Calcs!R$1402)/12)=(Calcs!$I1456-Calcs!R$1402)/12,Calcs!R1456,0))))</f>
        <v>0</v>
      </c>
      <c r="M586" s="846">
        <f>IF(OR(Calcs!$J$1402=Calcs!$I1456,Calcs!$I1456&gt;M$61),0,IF(OR(M$63="Monthly",M$63=""),Calcs!S1456,IF(AND(M$63="Quarterly",INT((Calcs!$I1456-Calcs!S$1402)/3)=(Calcs!$I1456-Calcs!S$1402)/3),Calcs!S1456,IF(INT((Calcs!$I1456-Calcs!S$1402)/12)=(Calcs!$I1456-Calcs!S$1402)/12,Calcs!S1456,0))))</f>
        <v>0</v>
      </c>
      <c r="N586" s="846">
        <f>IF(OR(Calcs!$J$1402=Calcs!$I1456,Calcs!$I1456&gt;N$61),0,IF(OR(N$63="Monthly",N$63=""),Calcs!T1456,IF(AND(N$63="Quarterly",INT((Calcs!$I1456-Calcs!T$1402)/3)=(Calcs!$I1456-Calcs!T$1402)/3),Calcs!T1456,IF(INT((Calcs!$I1456-Calcs!T$1402)/12)=(Calcs!$I1456-Calcs!T$1402)/12,Calcs!T1456,0))))</f>
        <v>0</v>
      </c>
      <c r="O586" s="846">
        <f>IF(OR(Calcs!$J$1402=Calcs!$I1456,Calcs!$I1456&gt;O$61),0,IF(OR(O$63="Monthly",O$63=""),Calcs!U1456,IF(AND(O$63="Quarterly",INT((Calcs!$I1456-Calcs!U$1402)/3)=(Calcs!$I1456-Calcs!U$1402)/3),Calcs!U1456,IF(INT((Calcs!$I1456-Calcs!U$1402)/12)=(Calcs!$I1456-Calcs!U$1402)/12,Calcs!U1456,0))))</f>
        <v>0</v>
      </c>
      <c r="P586" s="846">
        <f>IF(OR(Calcs!$J$1402=Calcs!$I1456,Calcs!$I1456&gt;P$61),0,IF(OR(P$63="Monthly",P$63=""),Calcs!V1456,IF(AND(P$63="Quarterly",INT((Calcs!$I1456-Calcs!V$1402)/3)=(Calcs!$I1456-Calcs!V$1402)/3),Calcs!V1456,IF(INT((Calcs!$I1456-Calcs!V$1402)/12)=(Calcs!$I1456-Calcs!V$1402)/12,Calcs!V1456,0))))</f>
        <v>0</v>
      </c>
      <c r="Q586" s="846">
        <f>IF(OR(Calcs!$J$1402=Calcs!$I1456,Calcs!$I1456&gt;Q$61),0,IF(OR(Q$63="Monthly",Q$63=""),Calcs!W1456,IF(AND(Q$63="Quarterly",INT((Calcs!$I1456-Calcs!W$1402)/3)=(Calcs!$I1456-Calcs!W$1402)/3),Calcs!W1456,IF(INT((Calcs!$I1456-Calcs!W$1402)/12)=(Calcs!$I1456-Calcs!W$1402)/12,Calcs!W1456,0))))</f>
        <v>0</v>
      </c>
      <c r="R586" s="846">
        <f>IF(OR(Calcs!$J$1402=Calcs!$I1456,Calcs!$I1456&gt;R$61),0,IF(OR(R$63="Monthly",R$63=""),Calcs!X1456,IF(AND(R$63="Quarterly",INT((Calcs!$I1456-Calcs!X$1402)/3)=(Calcs!$I1456-Calcs!X$1402)/3),Calcs!X1456,IF(INT((Calcs!$I1456-Calcs!X$1402)/12)=(Calcs!$I1456-Calcs!X$1402)/12,Calcs!X1456,0))))</f>
        <v>0</v>
      </c>
      <c r="S586" s="846">
        <f>IF(OR(Calcs!$J$1402=Calcs!$I1456,Calcs!$I1456&gt;S$61),0,IF(OR(S$63="Monthly",S$63=""),Calcs!Y1456,IF(AND(S$63="Quarterly",INT((Calcs!$I1456-Calcs!Y$1402)/3)=(Calcs!$I1456-Calcs!Y$1402)/3),Calcs!Y1456,IF(INT((Calcs!$I1456-Calcs!Y$1402)/12)=(Calcs!$I1456-Calcs!Y$1402)/12,Calcs!Y1456,0))))</f>
        <v>0</v>
      </c>
      <c r="T586" s="846">
        <f>IF(OR(Calcs!$J$1402=Calcs!$I1456,Calcs!$I1456&gt;T$61),0,IF(OR(T$63="Monthly",T$63=""),Calcs!Z1456,IF(AND(T$63="Quarterly",INT((Calcs!$I1456-Calcs!Z$1402)/3)=(Calcs!$I1456-Calcs!Z$1402)/3),Calcs!Z1456,IF(INT((Calcs!$I1456-Calcs!Z$1402)/12)=(Calcs!$I1456-Calcs!Z$1402)/12,Calcs!Z1456,0))))</f>
        <v>0</v>
      </c>
      <c r="U586" s="846">
        <f>IF(OR(Calcs!$J$1402=Calcs!$I1456,Calcs!$I1456&gt;U$61),0,IF(OR(U$63="Monthly",U$63=""),Calcs!AA1456,IF(AND(U$63="Quarterly",INT((Calcs!$I1456-Calcs!AA$1402)/3)=(Calcs!$I1456-Calcs!AA$1402)/3),Calcs!AA1456,IF(INT((Calcs!$I1456-Calcs!AA$1402)/12)=(Calcs!$I1456-Calcs!AA$1402)/12,Calcs!AA1456,0))))</f>
        <v>0</v>
      </c>
      <c r="V586" s="846">
        <f>IF(OR(Calcs!$J$1402=Calcs!$I1456,Calcs!$I1456&gt;V$61),0,IF(OR(V$63="Monthly",V$63=""),Calcs!AB1456,IF(AND(V$63="Quarterly",INT((Calcs!$I1456-Calcs!AB$1402)/3)=(Calcs!$I1456-Calcs!AB$1402)/3),Calcs!AB1456,IF(INT((Calcs!$I1456-Calcs!AB$1402)/12)=(Calcs!$I1456-Calcs!AB$1402)/12,Calcs!AB1456,0))))</f>
        <v>0</v>
      </c>
      <c r="W586" s="846">
        <f>IF(OR(Calcs!$J$1402=Calcs!$I1456,Calcs!$I1456&gt;W$61),0,IF(OR(W$63="Monthly",W$63=""),Calcs!AC1456,IF(AND(W$63="Quarterly",INT((Calcs!$I1456-Calcs!AC$1402)/3)=(Calcs!$I1456-Calcs!AC$1402)/3),Calcs!AC1456,IF(INT((Calcs!$I1456-Calcs!AC$1402)/12)=(Calcs!$I1456-Calcs!AC$1402)/12,Calcs!AC1456,0))))</f>
        <v>0</v>
      </c>
      <c r="X586" s="846">
        <f>IF(OR(Calcs!$J$1402=Calcs!$I1456,Calcs!$I1456&gt;X$61),0,IF(OR(X$63="Monthly",X$63=""),Calcs!AD1456,IF(AND(X$63="Quarterly",INT((Calcs!$I1456-Calcs!AD$1402)/3)=(Calcs!$I1456-Calcs!AD$1402)/3),Calcs!AD1456,IF(INT((Calcs!$I1456-Calcs!AD$1402)/12)=(Calcs!$I1456-Calcs!AD$1402)/12,Calcs!AD1456,0))))</f>
        <v>0</v>
      </c>
      <c r="Y586" s="846">
        <f>IF(OR(Calcs!$J$1402=Calcs!$I1456,Calcs!$I1456&gt;Y$61),0,IF(OR(Y$63="Monthly",Y$63=""),Calcs!AE1456,IF(AND(Y$63="Quarterly",INT((Calcs!$I1456-Calcs!AE$1402)/3)=(Calcs!$I1456-Calcs!AE$1402)/3),Calcs!AE1456,IF(INT((Calcs!$I1456-Calcs!AE$1402)/12)=(Calcs!$I1456-Calcs!AE$1402)/12,Calcs!AE1456,0))))</f>
        <v>0</v>
      </c>
      <c r="Z586" s="846">
        <f>IF(OR(Calcs!$J$1402=Calcs!$I1456,Calcs!$I1456&gt;Z$61),0,IF(OR(Z$63="Monthly",Z$63=""),Calcs!AF1456,IF(AND(Z$63="Quarterly",INT((Calcs!$I1456-Calcs!AF$1402)/3)=(Calcs!$I1456-Calcs!AF$1402)/3),Calcs!AF1456,IF(INT((Calcs!$I1456-Calcs!AF$1402)/12)=(Calcs!$I1456-Calcs!AF$1402)/12,Calcs!AF1456,0))))</f>
        <v>0</v>
      </c>
      <c r="AA586" s="846">
        <f>IF(OR(Calcs!$J$1402=Calcs!$I1456,Calcs!$I1456&gt;AA$61),0,IF(OR(AA$63="Monthly",AA$63=""),Calcs!AG1456,IF(AND(AA$63="Quarterly",INT((Calcs!$I1456-Calcs!AG$1402)/3)=(Calcs!$I1456-Calcs!AG$1402)/3),Calcs!AG1456,IF(INT((Calcs!$I1456-Calcs!AG$1402)/12)=(Calcs!$I1456-Calcs!AG$1402)/12,Calcs!AG1456,0))))</f>
        <v>0</v>
      </c>
      <c r="AB586" s="847">
        <f>IF(OR(Calcs!$J$1402=Calcs!$I1456,Calcs!$I1456&gt;AB$61),0,IF(OR(AB$63="Monthly",AB$63=""),Calcs!AH1456,IF(AND(AB$63="Quarterly",INT((Calcs!$I1456-Calcs!AH$1402)/3)=(Calcs!$I1456-Calcs!AH$1402)/3),Calcs!AH1456,IF(INT((Calcs!$I1456-Calcs!AH$1402)/12)=(Calcs!$I1456-Calcs!AH$1402)/12,Calcs!AH1456,0))))</f>
        <v>0</v>
      </c>
      <c r="CH586" s="269"/>
      <c r="CI586" s="269"/>
      <c r="CJ586" s="269"/>
      <c r="CK586" s="269"/>
      <c r="CL586" s="269"/>
      <c r="CM586" s="269"/>
      <c r="CN586" s="269"/>
      <c r="CO586" s="269"/>
      <c r="CP586" s="269"/>
      <c r="CQ586" s="269"/>
      <c r="CR586" s="269"/>
      <c r="CS586" s="269"/>
    </row>
    <row r="587" spans="1:97" x14ac:dyDescent="0.3">
      <c r="A587" s="5"/>
      <c r="B587" s="5"/>
      <c r="C587" s="495">
        <f>C524</f>
        <v>1582</v>
      </c>
      <c r="D587" s="845">
        <f>IF(OR(Calcs!$J$1402=Calcs!$I1457,Calcs!$I1457&gt;D$61),0,IF(OR(D$63="Monthly",D$63=""),Calcs!J1457,IF(AND(D$63="Quarterly",INT((Calcs!$I1457-Calcs!J$1402)/3)=(Calcs!$I1457-Calcs!J$1402)/3),Calcs!J1457,IF(INT((Calcs!$I1457-Calcs!J$1402)/12)=(Calcs!$I1457-Calcs!J$1402)/12,Calcs!J1457,0))))</f>
        <v>0</v>
      </c>
      <c r="E587" s="846">
        <f>IF(OR(Calcs!$J$1402=Calcs!$I1457,Calcs!$I1457&gt;E$61),0,IF(OR(E$63="Monthly",E$63=""),Calcs!K1457,IF(AND(E$63="Quarterly",INT((Calcs!$I1457-Calcs!K$1402)/3)=(Calcs!$I1457-Calcs!K$1402)/3),Calcs!K1457,IF(INT((Calcs!$I1457-Calcs!K$1402)/12)=(Calcs!$I1457-Calcs!K$1402)/12,Calcs!K1457,0))))</f>
        <v>0</v>
      </c>
      <c r="F587" s="846">
        <f>IF(OR(Calcs!$J$1402=Calcs!$I1457,Calcs!$I1457&gt;F$61),0,IF(OR(F$63="Monthly",F$63=""),Calcs!L1457,IF(AND(F$63="Quarterly",INT((Calcs!$I1457-Calcs!L$1402)/3)=(Calcs!$I1457-Calcs!L$1402)/3),Calcs!L1457,IF(INT((Calcs!$I1457-Calcs!L$1402)/12)=(Calcs!$I1457-Calcs!L$1402)/12,Calcs!L1457,0))))</f>
        <v>0</v>
      </c>
      <c r="G587" s="846">
        <f>IF(OR(Calcs!$J$1402=Calcs!$I1457,Calcs!$I1457&gt;G$61),0,IF(OR(G$63="Monthly",G$63=""),Calcs!M1457,IF(AND(G$63="Quarterly",INT((Calcs!$I1457-Calcs!M$1402)/3)=(Calcs!$I1457-Calcs!M$1402)/3),Calcs!M1457,IF(INT((Calcs!$I1457-Calcs!M$1402)/12)=(Calcs!$I1457-Calcs!M$1402)/12,Calcs!M1457,0))))</f>
        <v>0</v>
      </c>
      <c r="H587" s="846">
        <f>IF(OR(Calcs!$J$1402=Calcs!$I1457,Calcs!$I1457&gt;H$61),0,IF(OR(H$63="Monthly",H$63=""),Calcs!N1457,IF(AND(H$63="Quarterly",INT((Calcs!$I1457-Calcs!N$1402)/3)=(Calcs!$I1457-Calcs!N$1402)/3),Calcs!N1457,IF(INT((Calcs!$I1457-Calcs!N$1402)/12)=(Calcs!$I1457-Calcs!N$1402)/12,Calcs!N1457,0))))</f>
        <v>0</v>
      </c>
      <c r="I587" s="846">
        <f>IF(OR(Calcs!$J$1402=Calcs!$I1457,Calcs!$I1457&gt;I$61),0,IF(OR(I$63="Monthly",I$63=""),Calcs!O1457,IF(AND(I$63="Quarterly",INT((Calcs!$I1457-Calcs!O$1402)/3)=(Calcs!$I1457-Calcs!O$1402)/3),Calcs!O1457,IF(INT((Calcs!$I1457-Calcs!O$1402)/12)=(Calcs!$I1457-Calcs!O$1402)/12,Calcs!O1457,0))))</f>
        <v>0</v>
      </c>
      <c r="J587" s="846">
        <f>IF(OR(Calcs!$J$1402=Calcs!$I1457,Calcs!$I1457&gt;J$61),0,IF(OR(J$63="Monthly",J$63=""),Calcs!P1457,IF(AND(J$63="Quarterly",INT((Calcs!$I1457-Calcs!P$1402)/3)=(Calcs!$I1457-Calcs!P$1402)/3),Calcs!P1457,IF(INT((Calcs!$I1457-Calcs!P$1402)/12)=(Calcs!$I1457-Calcs!P$1402)/12,Calcs!P1457,0))))</f>
        <v>0</v>
      </c>
      <c r="K587" s="846">
        <f>IF(OR(Calcs!$J$1402=Calcs!$I1457,Calcs!$I1457&gt;K$61),0,IF(OR(K$63="Monthly",K$63=""),Calcs!Q1457,IF(AND(K$63="Quarterly",INT((Calcs!$I1457-Calcs!Q$1402)/3)=(Calcs!$I1457-Calcs!Q$1402)/3),Calcs!Q1457,IF(INT((Calcs!$I1457-Calcs!Q$1402)/12)=(Calcs!$I1457-Calcs!Q$1402)/12,Calcs!Q1457,0))))</f>
        <v>0</v>
      </c>
      <c r="L587" s="846">
        <f>IF(OR(Calcs!$J$1402=Calcs!$I1457,Calcs!$I1457&gt;L$61),0,IF(OR(L$63="Monthly",L$63=""),Calcs!R1457,IF(AND(L$63="Quarterly",INT((Calcs!$I1457-Calcs!R$1402)/3)=(Calcs!$I1457-Calcs!R$1402)/3),Calcs!R1457,IF(INT((Calcs!$I1457-Calcs!R$1402)/12)=(Calcs!$I1457-Calcs!R$1402)/12,Calcs!R1457,0))))</f>
        <v>0</v>
      </c>
      <c r="M587" s="846">
        <f>IF(OR(Calcs!$J$1402=Calcs!$I1457,Calcs!$I1457&gt;M$61),0,IF(OR(M$63="Monthly",M$63=""),Calcs!S1457,IF(AND(M$63="Quarterly",INT((Calcs!$I1457-Calcs!S$1402)/3)=(Calcs!$I1457-Calcs!S$1402)/3),Calcs!S1457,IF(INT((Calcs!$I1457-Calcs!S$1402)/12)=(Calcs!$I1457-Calcs!S$1402)/12,Calcs!S1457,0))))</f>
        <v>0</v>
      </c>
      <c r="N587" s="846">
        <f>IF(OR(Calcs!$J$1402=Calcs!$I1457,Calcs!$I1457&gt;N$61),0,IF(OR(N$63="Monthly",N$63=""),Calcs!T1457,IF(AND(N$63="Quarterly",INT((Calcs!$I1457-Calcs!T$1402)/3)=(Calcs!$I1457-Calcs!T$1402)/3),Calcs!T1457,IF(INT((Calcs!$I1457-Calcs!T$1402)/12)=(Calcs!$I1457-Calcs!T$1402)/12,Calcs!T1457,0))))</f>
        <v>0</v>
      </c>
      <c r="O587" s="846">
        <f>IF(OR(Calcs!$J$1402=Calcs!$I1457,Calcs!$I1457&gt;O$61),0,IF(OR(O$63="Monthly",O$63=""),Calcs!U1457,IF(AND(O$63="Quarterly",INT((Calcs!$I1457-Calcs!U$1402)/3)=(Calcs!$I1457-Calcs!U$1402)/3),Calcs!U1457,IF(INT((Calcs!$I1457-Calcs!U$1402)/12)=(Calcs!$I1457-Calcs!U$1402)/12,Calcs!U1457,0))))</f>
        <v>0</v>
      </c>
      <c r="P587" s="846">
        <f>IF(OR(Calcs!$J$1402=Calcs!$I1457,Calcs!$I1457&gt;P$61),0,IF(OR(P$63="Monthly",P$63=""),Calcs!V1457,IF(AND(P$63="Quarterly",INT((Calcs!$I1457-Calcs!V$1402)/3)=(Calcs!$I1457-Calcs!V$1402)/3),Calcs!V1457,IF(INT((Calcs!$I1457-Calcs!V$1402)/12)=(Calcs!$I1457-Calcs!V$1402)/12,Calcs!V1457,0))))</f>
        <v>0</v>
      </c>
      <c r="Q587" s="846">
        <f>IF(OR(Calcs!$J$1402=Calcs!$I1457,Calcs!$I1457&gt;Q$61),0,IF(OR(Q$63="Monthly",Q$63=""),Calcs!W1457,IF(AND(Q$63="Quarterly",INT((Calcs!$I1457-Calcs!W$1402)/3)=(Calcs!$I1457-Calcs!W$1402)/3),Calcs!W1457,IF(INT((Calcs!$I1457-Calcs!W$1402)/12)=(Calcs!$I1457-Calcs!W$1402)/12,Calcs!W1457,0))))</f>
        <v>0</v>
      </c>
      <c r="R587" s="846">
        <f>IF(OR(Calcs!$J$1402=Calcs!$I1457,Calcs!$I1457&gt;R$61),0,IF(OR(R$63="Monthly",R$63=""),Calcs!X1457,IF(AND(R$63="Quarterly",INT((Calcs!$I1457-Calcs!X$1402)/3)=(Calcs!$I1457-Calcs!X$1402)/3),Calcs!X1457,IF(INT((Calcs!$I1457-Calcs!X$1402)/12)=(Calcs!$I1457-Calcs!X$1402)/12,Calcs!X1457,0))))</f>
        <v>0</v>
      </c>
      <c r="S587" s="846">
        <f>IF(OR(Calcs!$J$1402=Calcs!$I1457,Calcs!$I1457&gt;S$61),0,IF(OR(S$63="Monthly",S$63=""),Calcs!Y1457,IF(AND(S$63="Quarterly",INT((Calcs!$I1457-Calcs!Y$1402)/3)=(Calcs!$I1457-Calcs!Y$1402)/3),Calcs!Y1457,IF(INT((Calcs!$I1457-Calcs!Y$1402)/12)=(Calcs!$I1457-Calcs!Y$1402)/12,Calcs!Y1457,0))))</f>
        <v>0</v>
      </c>
      <c r="T587" s="846">
        <f>IF(OR(Calcs!$J$1402=Calcs!$I1457,Calcs!$I1457&gt;T$61),0,IF(OR(T$63="Monthly",T$63=""),Calcs!Z1457,IF(AND(T$63="Quarterly",INT((Calcs!$I1457-Calcs!Z$1402)/3)=(Calcs!$I1457-Calcs!Z$1402)/3),Calcs!Z1457,IF(INT((Calcs!$I1457-Calcs!Z$1402)/12)=(Calcs!$I1457-Calcs!Z$1402)/12,Calcs!Z1457,0))))</f>
        <v>0</v>
      </c>
      <c r="U587" s="846">
        <f>IF(OR(Calcs!$J$1402=Calcs!$I1457,Calcs!$I1457&gt;U$61),0,IF(OR(U$63="Monthly",U$63=""),Calcs!AA1457,IF(AND(U$63="Quarterly",INT((Calcs!$I1457-Calcs!AA$1402)/3)=(Calcs!$I1457-Calcs!AA$1402)/3),Calcs!AA1457,IF(INT((Calcs!$I1457-Calcs!AA$1402)/12)=(Calcs!$I1457-Calcs!AA$1402)/12,Calcs!AA1457,0))))</f>
        <v>0</v>
      </c>
      <c r="V587" s="846">
        <f>IF(OR(Calcs!$J$1402=Calcs!$I1457,Calcs!$I1457&gt;V$61),0,IF(OR(V$63="Monthly",V$63=""),Calcs!AB1457,IF(AND(V$63="Quarterly",INT((Calcs!$I1457-Calcs!AB$1402)/3)=(Calcs!$I1457-Calcs!AB$1402)/3),Calcs!AB1457,IF(INT((Calcs!$I1457-Calcs!AB$1402)/12)=(Calcs!$I1457-Calcs!AB$1402)/12,Calcs!AB1457,0))))</f>
        <v>0</v>
      </c>
      <c r="W587" s="846">
        <f>IF(OR(Calcs!$J$1402=Calcs!$I1457,Calcs!$I1457&gt;W$61),0,IF(OR(W$63="Monthly",W$63=""),Calcs!AC1457,IF(AND(W$63="Quarterly",INT((Calcs!$I1457-Calcs!AC$1402)/3)=(Calcs!$I1457-Calcs!AC$1402)/3),Calcs!AC1457,IF(INT((Calcs!$I1457-Calcs!AC$1402)/12)=(Calcs!$I1457-Calcs!AC$1402)/12,Calcs!AC1457,0))))</f>
        <v>0</v>
      </c>
      <c r="X587" s="846">
        <f>IF(OR(Calcs!$J$1402=Calcs!$I1457,Calcs!$I1457&gt;X$61),0,IF(OR(X$63="Monthly",X$63=""),Calcs!AD1457,IF(AND(X$63="Quarterly",INT((Calcs!$I1457-Calcs!AD$1402)/3)=(Calcs!$I1457-Calcs!AD$1402)/3),Calcs!AD1457,IF(INT((Calcs!$I1457-Calcs!AD$1402)/12)=(Calcs!$I1457-Calcs!AD$1402)/12,Calcs!AD1457,0))))</f>
        <v>0</v>
      </c>
      <c r="Y587" s="846">
        <f>IF(OR(Calcs!$J$1402=Calcs!$I1457,Calcs!$I1457&gt;Y$61),0,IF(OR(Y$63="Monthly",Y$63=""),Calcs!AE1457,IF(AND(Y$63="Quarterly",INT((Calcs!$I1457-Calcs!AE$1402)/3)=(Calcs!$I1457-Calcs!AE$1402)/3),Calcs!AE1457,IF(INT((Calcs!$I1457-Calcs!AE$1402)/12)=(Calcs!$I1457-Calcs!AE$1402)/12,Calcs!AE1457,0))))</f>
        <v>0</v>
      </c>
      <c r="Z587" s="846">
        <f>IF(OR(Calcs!$J$1402=Calcs!$I1457,Calcs!$I1457&gt;Z$61),0,IF(OR(Z$63="Monthly",Z$63=""),Calcs!AF1457,IF(AND(Z$63="Quarterly",INT((Calcs!$I1457-Calcs!AF$1402)/3)=(Calcs!$I1457-Calcs!AF$1402)/3),Calcs!AF1457,IF(INT((Calcs!$I1457-Calcs!AF$1402)/12)=(Calcs!$I1457-Calcs!AF$1402)/12,Calcs!AF1457,0))))</f>
        <v>0</v>
      </c>
      <c r="AA587" s="846">
        <f>IF(OR(Calcs!$J$1402=Calcs!$I1457,Calcs!$I1457&gt;AA$61),0,IF(OR(AA$63="Monthly",AA$63=""),Calcs!AG1457,IF(AND(AA$63="Quarterly",INT((Calcs!$I1457-Calcs!AG$1402)/3)=(Calcs!$I1457-Calcs!AG$1402)/3),Calcs!AG1457,IF(INT((Calcs!$I1457-Calcs!AG$1402)/12)=(Calcs!$I1457-Calcs!AG$1402)/12,Calcs!AG1457,0))))</f>
        <v>0</v>
      </c>
      <c r="AB587" s="847">
        <f>IF(OR(Calcs!$J$1402=Calcs!$I1457,Calcs!$I1457&gt;AB$61),0,IF(OR(AB$63="Monthly",AB$63=""),Calcs!AH1457,IF(AND(AB$63="Quarterly",INT((Calcs!$I1457-Calcs!AH$1402)/3)=(Calcs!$I1457-Calcs!AH$1402)/3),Calcs!AH1457,IF(INT((Calcs!$I1457-Calcs!AH$1402)/12)=(Calcs!$I1457-Calcs!AH$1402)/12,Calcs!AH1457,0))))</f>
        <v>0</v>
      </c>
      <c r="CH587" s="269"/>
      <c r="CI587" s="269"/>
      <c r="CJ587" s="269"/>
      <c r="CK587" s="269"/>
      <c r="CL587" s="269"/>
      <c r="CM587" s="269"/>
      <c r="CN587" s="269"/>
      <c r="CO587" s="269"/>
      <c r="CP587" s="269"/>
      <c r="CQ587" s="269"/>
      <c r="CR587" s="269"/>
      <c r="CS587" s="269"/>
    </row>
    <row r="588" spans="1:97" x14ac:dyDescent="0.3">
      <c r="A588" s="5"/>
      <c r="B588" s="5"/>
      <c r="C588" s="495">
        <f>C525</f>
        <v>1613</v>
      </c>
      <c r="D588" s="845">
        <f>IF(OR(Calcs!$J$1402=Calcs!$I1458,Calcs!$I1458&gt;D$61),0,IF(OR(D$63="Monthly",D$63=""),Calcs!J1458,IF(AND(D$63="Quarterly",INT((Calcs!$I1458-Calcs!J$1402)/3)=(Calcs!$I1458-Calcs!J$1402)/3),Calcs!J1458,IF(INT((Calcs!$I1458-Calcs!J$1402)/12)=(Calcs!$I1458-Calcs!J$1402)/12,Calcs!J1458,0))))</f>
        <v>0</v>
      </c>
      <c r="E588" s="846">
        <f>IF(OR(Calcs!$J$1402=Calcs!$I1458,Calcs!$I1458&gt;E$61),0,IF(OR(E$63="Monthly",E$63=""),Calcs!K1458,IF(AND(E$63="Quarterly",INT((Calcs!$I1458-Calcs!K$1402)/3)=(Calcs!$I1458-Calcs!K$1402)/3),Calcs!K1458,IF(INT((Calcs!$I1458-Calcs!K$1402)/12)=(Calcs!$I1458-Calcs!K$1402)/12,Calcs!K1458,0))))</f>
        <v>0</v>
      </c>
      <c r="F588" s="846">
        <f>IF(OR(Calcs!$J$1402=Calcs!$I1458,Calcs!$I1458&gt;F$61),0,IF(OR(F$63="Monthly",F$63=""),Calcs!L1458,IF(AND(F$63="Quarterly",INT((Calcs!$I1458-Calcs!L$1402)/3)=(Calcs!$I1458-Calcs!L$1402)/3),Calcs!L1458,IF(INT((Calcs!$I1458-Calcs!L$1402)/12)=(Calcs!$I1458-Calcs!L$1402)/12,Calcs!L1458,0))))</f>
        <v>0</v>
      </c>
      <c r="G588" s="846">
        <f>IF(OR(Calcs!$J$1402=Calcs!$I1458,Calcs!$I1458&gt;G$61),0,IF(OR(G$63="Monthly",G$63=""),Calcs!M1458,IF(AND(G$63="Quarterly",INT((Calcs!$I1458-Calcs!M$1402)/3)=(Calcs!$I1458-Calcs!M$1402)/3),Calcs!M1458,IF(INT((Calcs!$I1458-Calcs!M$1402)/12)=(Calcs!$I1458-Calcs!M$1402)/12,Calcs!M1458,0))))</f>
        <v>0</v>
      </c>
      <c r="H588" s="846">
        <f>IF(OR(Calcs!$J$1402=Calcs!$I1458,Calcs!$I1458&gt;H$61),0,IF(OR(H$63="Monthly",H$63=""),Calcs!N1458,IF(AND(H$63="Quarterly",INT((Calcs!$I1458-Calcs!N$1402)/3)=(Calcs!$I1458-Calcs!N$1402)/3),Calcs!N1458,IF(INT((Calcs!$I1458-Calcs!N$1402)/12)=(Calcs!$I1458-Calcs!N$1402)/12,Calcs!N1458,0))))</f>
        <v>0</v>
      </c>
      <c r="I588" s="846">
        <f>IF(OR(Calcs!$J$1402=Calcs!$I1458,Calcs!$I1458&gt;I$61),0,IF(OR(I$63="Monthly",I$63=""),Calcs!O1458,IF(AND(I$63="Quarterly",INT((Calcs!$I1458-Calcs!O$1402)/3)=(Calcs!$I1458-Calcs!O$1402)/3),Calcs!O1458,IF(INT((Calcs!$I1458-Calcs!O$1402)/12)=(Calcs!$I1458-Calcs!O$1402)/12,Calcs!O1458,0))))</f>
        <v>0</v>
      </c>
      <c r="J588" s="846">
        <f>IF(OR(Calcs!$J$1402=Calcs!$I1458,Calcs!$I1458&gt;J$61),0,IF(OR(J$63="Monthly",J$63=""),Calcs!P1458,IF(AND(J$63="Quarterly",INT((Calcs!$I1458-Calcs!P$1402)/3)=(Calcs!$I1458-Calcs!P$1402)/3),Calcs!P1458,IF(INT((Calcs!$I1458-Calcs!P$1402)/12)=(Calcs!$I1458-Calcs!P$1402)/12,Calcs!P1458,0))))</f>
        <v>0</v>
      </c>
      <c r="K588" s="846">
        <f>IF(OR(Calcs!$J$1402=Calcs!$I1458,Calcs!$I1458&gt;K$61),0,IF(OR(K$63="Monthly",K$63=""),Calcs!Q1458,IF(AND(K$63="Quarterly",INT((Calcs!$I1458-Calcs!Q$1402)/3)=(Calcs!$I1458-Calcs!Q$1402)/3),Calcs!Q1458,IF(INT((Calcs!$I1458-Calcs!Q$1402)/12)=(Calcs!$I1458-Calcs!Q$1402)/12,Calcs!Q1458,0))))</f>
        <v>0</v>
      </c>
      <c r="L588" s="846">
        <f>IF(OR(Calcs!$J$1402=Calcs!$I1458,Calcs!$I1458&gt;L$61),0,IF(OR(L$63="Monthly",L$63=""),Calcs!R1458,IF(AND(L$63="Quarterly",INT((Calcs!$I1458-Calcs!R$1402)/3)=(Calcs!$I1458-Calcs!R$1402)/3),Calcs!R1458,IF(INT((Calcs!$I1458-Calcs!R$1402)/12)=(Calcs!$I1458-Calcs!R$1402)/12,Calcs!R1458,0))))</f>
        <v>0</v>
      </c>
      <c r="M588" s="846">
        <f>IF(OR(Calcs!$J$1402=Calcs!$I1458,Calcs!$I1458&gt;M$61),0,IF(OR(M$63="Monthly",M$63=""),Calcs!S1458,IF(AND(M$63="Quarterly",INT((Calcs!$I1458-Calcs!S$1402)/3)=(Calcs!$I1458-Calcs!S$1402)/3),Calcs!S1458,IF(INT((Calcs!$I1458-Calcs!S$1402)/12)=(Calcs!$I1458-Calcs!S$1402)/12,Calcs!S1458,0))))</f>
        <v>0</v>
      </c>
      <c r="N588" s="846">
        <f>IF(OR(Calcs!$J$1402=Calcs!$I1458,Calcs!$I1458&gt;N$61),0,IF(OR(N$63="Monthly",N$63=""),Calcs!T1458,IF(AND(N$63="Quarterly",INT((Calcs!$I1458-Calcs!T$1402)/3)=(Calcs!$I1458-Calcs!T$1402)/3),Calcs!T1458,IF(INT((Calcs!$I1458-Calcs!T$1402)/12)=(Calcs!$I1458-Calcs!T$1402)/12,Calcs!T1458,0))))</f>
        <v>0</v>
      </c>
      <c r="O588" s="846">
        <f>IF(OR(Calcs!$J$1402=Calcs!$I1458,Calcs!$I1458&gt;O$61),0,IF(OR(O$63="Monthly",O$63=""),Calcs!U1458,IF(AND(O$63="Quarterly",INT((Calcs!$I1458-Calcs!U$1402)/3)=(Calcs!$I1458-Calcs!U$1402)/3),Calcs!U1458,IF(INT((Calcs!$I1458-Calcs!U$1402)/12)=(Calcs!$I1458-Calcs!U$1402)/12,Calcs!U1458,0))))</f>
        <v>0</v>
      </c>
      <c r="P588" s="846">
        <f>IF(OR(Calcs!$J$1402=Calcs!$I1458,Calcs!$I1458&gt;P$61),0,IF(OR(P$63="Monthly",P$63=""),Calcs!V1458,IF(AND(P$63="Quarterly",INT((Calcs!$I1458-Calcs!V$1402)/3)=(Calcs!$I1458-Calcs!V$1402)/3),Calcs!V1458,IF(INT((Calcs!$I1458-Calcs!V$1402)/12)=(Calcs!$I1458-Calcs!V$1402)/12,Calcs!V1458,0))))</f>
        <v>0</v>
      </c>
      <c r="Q588" s="846">
        <f>IF(OR(Calcs!$J$1402=Calcs!$I1458,Calcs!$I1458&gt;Q$61),0,IF(OR(Q$63="Monthly",Q$63=""),Calcs!W1458,IF(AND(Q$63="Quarterly",INT((Calcs!$I1458-Calcs!W$1402)/3)=(Calcs!$I1458-Calcs!W$1402)/3),Calcs!W1458,IF(INT((Calcs!$I1458-Calcs!W$1402)/12)=(Calcs!$I1458-Calcs!W$1402)/12,Calcs!W1458,0))))</f>
        <v>0</v>
      </c>
      <c r="R588" s="846">
        <f>IF(OR(Calcs!$J$1402=Calcs!$I1458,Calcs!$I1458&gt;R$61),0,IF(OR(R$63="Monthly",R$63=""),Calcs!X1458,IF(AND(R$63="Quarterly",INT((Calcs!$I1458-Calcs!X$1402)/3)=(Calcs!$I1458-Calcs!X$1402)/3),Calcs!X1458,IF(INT((Calcs!$I1458-Calcs!X$1402)/12)=(Calcs!$I1458-Calcs!X$1402)/12,Calcs!X1458,0))))</f>
        <v>0</v>
      </c>
      <c r="S588" s="846">
        <f>IF(OR(Calcs!$J$1402=Calcs!$I1458,Calcs!$I1458&gt;S$61),0,IF(OR(S$63="Monthly",S$63=""),Calcs!Y1458,IF(AND(S$63="Quarterly",INT((Calcs!$I1458-Calcs!Y$1402)/3)=(Calcs!$I1458-Calcs!Y$1402)/3),Calcs!Y1458,IF(INT((Calcs!$I1458-Calcs!Y$1402)/12)=(Calcs!$I1458-Calcs!Y$1402)/12,Calcs!Y1458,0))))</f>
        <v>0</v>
      </c>
      <c r="T588" s="846">
        <f>IF(OR(Calcs!$J$1402=Calcs!$I1458,Calcs!$I1458&gt;T$61),0,IF(OR(T$63="Monthly",T$63=""),Calcs!Z1458,IF(AND(T$63="Quarterly",INT((Calcs!$I1458-Calcs!Z$1402)/3)=(Calcs!$I1458-Calcs!Z$1402)/3),Calcs!Z1458,IF(INT((Calcs!$I1458-Calcs!Z$1402)/12)=(Calcs!$I1458-Calcs!Z$1402)/12,Calcs!Z1458,0))))</f>
        <v>0</v>
      </c>
      <c r="U588" s="846">
        <f>IF(OR(Calcs!$J$1402=Calcs!$I1458,Calcs!$I1458&gt;U$61),0,IF(OR(U$63="Monthly",U$63=""),Calcs!AA1458,IF(AND(U$63="Quarterly",INT((Calcs!$I1458-Calcs!AA$1402)/3)=(Calcs!$I1458-Calcs!AA$1402)/3),Calcs!AA1458,IF(INT((Calcs!$I1458-Calcs!AA$1402)/12)=(Calcs!$I1458-Calcs!AA$1402)/12,Calcs!AA1458,0))))</f>
        <v>0</v>
      </c>
      <c r="V588" s="846">
        <f>IF(OR(Calcs!$J$1402=Calcs!$I1458,Calcs!$I1458&gt;V$61),0,IF(OR(V$63="Monthly",V$63=""),Calcs!AB1458,IF(AND(V$63="Quarterly",INT((Calcs!$I1458-Calcs!AB$1402)/3)=(Calcs!$I1458-Calcs!AB$1402)/3),Calcs!AB1458,IF(INT((Calcs!$I1458-Calcs!AB$1402)/12)=(Calcs!$I1458-Calcs!AB$1402)/12,Calcs!AB1458,0))))</f>
        <v>0</v>
      </c>
      <c r="W588" s="846">
        <f>IF(OR(Calcs!$J$1402=Calcs!$I1458,Calcs!$I1458&gt;W$61),0,IF(OR(W$63="Monthly",W$63=""),Calcs!AC1458,IF(AND(W$63="Quarterly",INT((Calcs!$I1458-Calcs!AC$1402)/3)=(Calcs!$I1458-Calcs!AC$1402)/3),Calcs!AC1458,IF(INT((Calcs!$I1458-Calcs!AC$1402)/12)=(Calcs!$I1458-Calcs!AC$1402)/12,Calcs!AC1458,0))))</f>
        <v>0</v>
      </c>
      <c r="X588" s="846">
        <f>IF(OR(Calcs!$J$1402=Calcs!$I1458,Calcs!$I1458&gt;X$61),0,IF(OR(X$63="Monthly",X$63=""),Calcs!AD1458,IF(AND(X$63="Quarterly",INT((Calcs!$I1458-Calcs!AD$1402)/3)=(Calcs!$I1458-Calcs!AD$1402)/3),Calcs!AD1458,IF(INT((Calcs!$I1458-Calcs!AD$1402)/12)=(Calcs!$I1458-Calcs!AD$1402)/12,Calcs!AD1458,0))))</f>
        <v>0</v>
      </c>
      <c r="Y588" s="846">
        <f>IF(OR(Calcs!$J$1402=Calcs!$I1458,Calcs!$I1458&gt;Y$61),0,IF(OR(Y$63="Monthly",Y$63=""),Calcs!AE1458,IF(AND(Y$63="Quarterly",INT((Calcs!$I1458-Calcs!AE$1402)/3)=(Calcs!$I1458-Calcs!AE$1402)/3),Calcs!AE1458,IF(INT((Calcs!$I1458-Calcs!AE$1402)/12)=(Calcs!$I1458-Calcs!AE$1402)/12,Calcs!AE1458,0))))</f>
        <v>0</v>
      </c>
      <c r="Z588" s="846">
        <f>IF(OR(Calcs!$J$1402=Calcs!$I1458,Calcs!$I1458&gt;Z$61),0,IF(OR(Z$63="Monthly",Z$63=""),Calcs!AF1458,IF(AND(Z$63="Quarterly",INT((Calcs!$I1458-Calcs!AF$1402)/3)=(Calcs!$I1458-Calcs!AF$1402)/3),Calcs!AF1458,IF(INT((Calcs!$I1458-Calcs!AF$1402)/12)=(Calcs!$I1458-Calcs!AF$1402)/12,Calcs!AF1458,0))))</f>
        <v>0</v>
      </c>
      <c r="AA588" s="846">
        <f>IF(OR(Calcs!$J$1402=Calcs!$I1458,Calcs!$I1458&gt;AA$61),0,IF(OR(AA$63="Monthly",AA$63=""),Calcs!AG1458,IF(AND(AA$63="Quarterly",INT((Calcs!$I1458-Calcs!AG$1402)/3)=(Calcs!$I1458-Calcs!AG$1402)/3),Calcs!AG1458,IF(INT((Calcs!$I1458-Calcs!AG$1402)/12)=(Calcs!$I1458-Calcs!AG$1402)/12,Calcs!AG1458,0))))</f>
        <v>0</v>
      </c>
      <c r="AB588" s="847">
        <f>IF(OR(Calcs!$J$1402=Calcs!$I1458,Calcs!$I1458&gt;AB$61),0,IF(OR(AB$63="Monthly",AB$63=""),Calcs!AH1458,IF(AND(AB$63="Quarterly",INT((Calcs!$I1458-Calcs!AH$1402)/3)=(Calcs!$I1458-Calcs!AH$1402)/3),Calcs!AH1458,IF(INT((Calcs!$I1458-Calcs!AH$1402)/12)=(Calcs!$I1458-Calcs!AH$1402)/12,Calcs!AH1458,0))))</f>
        <v>0</v>
      </c>
      <c r="CH588" s="269"/>
      <c r="CI588" s="269"/>
      <c r="CJ588" s="269"/>
      <c r="CK588" s="269"/>
      <c r="CL588" s="269"/>
      <c r="CM588" s="269"/>
      <c r="CN588" s="269"/>
      <c r="CO588" s="269"/>
      <c r="CP588" s="269"/>
      <c r="CQ588" s="269"/>
      <c r="CR588" s="269"/>
      <c r="CS588" s="269"/>
    </row>
    <row r="589" spans="1:97" x14ac:dyDescent="0.3">
      <c r="A589" s="5"/>
      <c r="B589" s="5"/>
      <c r="C589" s="495">
        <f>C526</f>
        <v>1643</v>
      </c>
      <c r="D589" s="845">
        <f>IF(OR(Calcs!$J$1402=Calcs!$I1459,Calcs!$I1459&gt;D$61),0,IF(OR(D$63="Monthly",D$63=""),Calcs!J1459,IF(AND(D$63="Quarterly",INT((Calcs!$I1459-Calcs!J$1402)/3)=(Calcs!$I1459-Calcs!J$1402)/3),Calcs!J1459,IF(INT((Calcs!$I1459-Calcs!J$1402)/12)=(Calcs!$I1459-Calcs!J$1402)/12,Calcs!J1459,0))))</f>
        <v>0</v>
      </c>
      <c r="E589" s="846">
        <f>IF(OR(Calcs!$J$1402=Calcs!$I1459,Calcs!$I1459&gt;E$61),0,IF(OR(E$63="Monthly",E$63=""),Calcs!K1459,IF(AND(E$63="Quarterly",INT((Calcs!$I1459-Calcs!K$1402)/3)=(Calcs!$I1459-Calcs!K$1402)/3),Calcs!K1459,IF(INT((Calcs!$I1459-Calcs!K$1402)/12)=(Calcs!$I1459-Calcs!K$1402)/12,Calcs!K1459,0))))</f>
        <v>0</v>
      </c>
      <c r="F589" s="846">
        <f>IF(OR(Calcs!$J$1402=Calcs!$I1459,Calcs!$I1459&gt;F$61),0,IF(OR(F$63="Monthly",F$63=""),Calcs!L1459,IF(AND(F$63="Quarterly",INT((Calcs!$I1459-Calcs!L$1402)/3)=(Calcs!$I1459-Calcs!L$1402)/3),Calcs!L1459,IF(INT((Calcs!$I1459-Calcs!L$1402)/12)=(Calcs!$I1459-Calcs!L$1402)/12,Calcs!L1459,0))))</f>
        <v>0</v>
      </c>
      <c r="G589" s="846">
        <f>IF(OR(Calcs!$J$1402=Calcs!$I1459,Calcs!$I1459&gt;G$61),0,IF(OR(G$63="Monthly",G$63=""),Calcs!M1459,IF(AND(G$63="Quarterly",INT((Calcs!$I1459-Calcs!M$1402)/3)=(Calcs!$I1459-Calcs!M$1402)/3),Calcs!M1459,IF(INT((Calcs!$I1459-Calcs!M$1402)/12)=(Calcs!$I1459-Calcs!M$1402)/12,Calcs!M1459,0))))</f>
        <v>0</v>
      </c>
      <c r="H589" s="846">
        <f>IF(OR(Calcs!$J$1402=Calcs!$I1459,Calcs!$I1459&gt;H$61),0,IF(OR(H$63="Monthly",H$63=""),Calcs!N1459,IF(AND(H$63="Quarterly",INT((Calcs!$I1459-Calcs!N$1402)/3)=(Calcs!$I1459-Calcs!N$1402)/3),Calcs!N1459,IF(INT((Calcs!$I1459-Calcs!N$1402)/12)=(Calcs!$I1459-Calcs!N$1402)/12,Calcs!N1459,0))))</f>
        <v>0</v>
      </c>
      <c r="I589" s="846">
        <f>IF(OR(Calcs!$J$1402=Calcs!$I1459,Calcs!$I1459&gt;I$61),0,IF(OR(I$63="Monthly",I$63=""),Calcs!O1459,IF(AND(I$63="Quarterly",INT((Calcs!$I1459-Calcs!O$1402)/3)=(Calcs!$I1459-Calcs!O$1402)/3),Calcs!O1459,IF(INT((Calcs!$I1459-Calcs!O$1402)/12)=(Calcs!$I1459-Calcs!O$1402)/12,Calcs!O1459,0))))</f>
        <v>0</v>
      </c>
      <c r="J589" s="846">
        <f>IF(OR(Calcs!$J$1402=Calcs!$I1459,Calcs!$I1459&gt;J$61),0,IF(OR(J$63="Monthly",J$63=""),Calcs!P1459,IF(AND(J$63="Quarterly",INT((Calcs!$I1459-Calcs!P$1402)/3)=(Calcs!$I1459-Calcs!P$1402)/3),Calcs!P1459,IF(INT((Calcs!$I1459-Calcs!P$1402)/12)=(Calcs!$I1459-Calcs!P$1402)/12,Calcs!P1459,0))))</f>
        <v>0</v>
      </c>
      <c r="K589" s="846">
        <f>IF(OR(Calcs!$J$1402=Calcs!$I1459,Calcs!$I1459&gt;K$61),0,IF(OR(K$63="Monthly",K$63=""),Calcs!Q1459,IF(AND(K$63="Quarterly",INT((Calcs!$I1459-Calcs!Q$1402)/3)=(Calcs!$I1459-Calcs!Q$1402)/3),Calcs!Q1459,IF(INT((Calcs!$I1459-Calcs!Q$1402)/12)=(Calcs!$I1459-Calcs!Q$1402)/12,Calcs!Q1459,0))))</f>
        <v>0</v>
      </c>
      <c r="L589" s="846">
        <f>IF(OR(Calcs!$J$1402=Calcs!$I1459,Calcs!$I1459&gt;L$61),0,IF(OR(L$63="Monthly",L$63=""),Calcs!R1459,IF(AND(L$63="Quarterly",INT((Calcs!$I1459-Calcs!R$1402)/3)=(Calcs!$I1459-Calcs!R$1402)/3),Calcs!R1459,IF(INT((Calcs!$I1459-Calcs!R$1402)/12)=(Calcs!$I1459-Calcs!R$1402)/12,Calcs!R1459,0))))</f>
        <v>0</v>
      </c>
      <c r="M589" s="846">
        <f>IF(OR(Calcs!$J$1402=Calcs!$I1459,Calcs!$I1459&gt;M$61),0,IF(OR(M$63="Monthly",M$63=""),Calcs!S1459,IF(AND(M$63="Quarterly",INT((Calcs!$I1459-Calcs!S$1402)/3)=(Calcs!$I1459-Calcs!S$1402)/3),Calcs!S1459,IF(INT((Calcs!$I1459-Calcs!S$1402)/12)=(Calcs!$I1459-Calcs!S$1402)/12,Calcs!S1459,0))))</f>
        <v>0</v>
      </c>
      <c r="N589" s="846">
        <f>IF(OR(Calcs!$J$1402=Calcs!$I1459,Calcs!$I1459&gt;N$61),0,IF(OR(N$63="Monthly",N$63=""),Calcs!T1459,IF(AND(N$63="Quarterly",INT((Calcs!$I1459-Calcs!T$1402)/3)=(Calcs!$I1459-Calcs!T$1402)/3),Calcs!T1459,IF(INT((Calcs!$I1459-Calcs!T$1402)/12)=(Calcs!$I1459-Calcs!T$1402)/12,Calcs!T1459,0))))</f>
        <v>0</v>
      </c>
      <c r="O589" s="846">
        <f>IF(OR(Calcs!$J$1402=Calcs!$I1459,Calcs!$I1459&gt;O$61),0,IF(OR(O$63="Monthly",O$63=""),Calcs!U1459,IF(AND(O$63="Quarterly",INT((Calcs!$I1459-Calcs!U$1402)/3)=(Calcs!$I1459-Calcs!U$1402)/3),Calcs!U1459,IF(INT((Calcs!$I1459-Calcs!U$1402)/12)=(Calcs!$I1459-Calcs!U$1402)/12,Calcs!U1459,0))))</f>
        <v>0</v>
      </c>
      <c r="P589" s="846">
        <f>IF(OR(Calcs!$J$1402=Calcs!$I1459,Calcs!$I1459&gt;P$61),0,IF(OR(P$63="Monthly",P$63=""),Calcs!V1459,IF(AND(P$63="Quarterly",INT((Calcs!$I1459-Calcs!V$1402)/3)=(Calcs!$I1459-Calcs!V$1402)/3),Calcs!V1459,IF(INT((Calcs!$I1459-Calcs!V$1402)/12)=(Calcs!$I1459-Calcs!V$1402)/12,Calcs!V1459,0))))</f>
        <v>0</v>
      </c>
      <c r="Q589" s="846">
        <f>IF(OR(Calcs!$J$1402=Calcs!$I1459,Calcs!$I1459&gt;Q$61),0,IF(OR(Q$63="Monthly",Q$63=""),Calcs!W1459,IF(AND(Q$63="Quarterly",INT((Calcs!$I1459-Calcs!W$1402)/3)=(Calcs!$I1459-Calcs!W$1402)/3),Calcs!W1459,IF(INT((Calcs!$I1459-Calcs!W$1402)/12)=(Calcs!$I1459-Calcs!W$1402)/12,Calcs!W1459,0))))</f>
        <v>0</v>
      </c>
      <c r="R589" s="846">
        <f>IF(OR(Calcs!$J$1402=Calcs!$I1459,Calcs!$I1459&gt;R$61),0,IF(OR(R$63="Monthly",R$63=""),Calcs!X1459,IF(AND(R$63="Quarterly",INT((Calcs!$I1459-Calcs!X$1402)/3)=(Calcs!$I1459-Calcs!X$1402)/3),Calcs!X1459,IF(INT((Calcs!$I1459-Calcs!X$1402)/12)=(Calcs!$I1459-Calcs!X$1402)/12,Calcs!X1459,0))))</f>
        <v>0</v>
      </c>
      <c r="S589" s="846">
        <f>IF(OR(Calcs!$J$1402=Calcs!$I1459,Calcs!$I1459&gt;S$61),0,IF(OR(S$63="Monthly",S$63=""),Calcs!Y1459,IF(AND(S$63="Quarterly",INT((Calcs!$I1459-Calcs!Y$1402)/3)=(Calcs!$I1459-Calcs!Y$1402)/3),Calcs!Y1459,IF(INT((Calcs!$I1459-Calcs!Y$1402)/12)=(Calcs!$I1459-Calcs!Y$1402)/12,Calcs!Y1459,0))))</f>
        <v>0</v>
      </c>
      <c r="T589" s="846">
        <f>IF(OR(Calcs!$J$1402=Calcs!$I1459,Calcs!$I1459&gt;T$61),0,IF(OR(T$63="Monthly",T$63=""),Calcs!Z1459,IF(AND(T$63="Quarterly",INT((Calcs!$I1459-Calcs!Z$1402)/3)=(Calcs!$I1459-Calcs!Z$1402)/3),Calcs!Z1459,IF(INT((Calcs!$I1459-Calcs!Z$1402)/12)=(Calcs!$I1459-Calcs!Z$1402)/12,Calcs!Z1459,0))))</f>
        <v>0</v>
      </c>
      <c r="U589" s="846">
        <f>IF(OR(Calcs!$J$1402=Calcs!$I1459,Calcs!$I1459&gt;U$61),0,IF(OR(U$63="Monthly",U$63=""),Calcs!AA1459,IF(AND(U$63="Quarterly",INT((Calcs!$I1459-Calcs!AA$1402)/3)=(Calcs!$I1459-Calcs!AA$1402)/3),Calcs!AA1459,IF(INT((Calcs!$I1459-Calcs!AA$1402)/12)=(Calcs!$I1459-Calcs!AA$1402)/12,Calcs!AA1459,0))))</f>
        <v>0</v>
      </c>
      <c r="V589" s="846">
        <f>IF(OR(Calcs!$J$1402=Calcs!$I1459,Calcs!$I1459&gt;V$61),0,IF(OR(V$63="Monthly",V$63=""),Calcs!AB1459,IF(AND(V$63="Quarterly",INT((Calcs!$I1459-Calcs!AB$1402)/3)=(Calcs!$I1459-Calcs!AB$1402)/3),Calcs!AB1459,IF(INT((Calcs!$I1459-Calcs!AB$1402)/12)=(Calcs!$I1459-Calcs!AB$1402)/12,Calcs!AB1459,0))))</f>
        <v>0</v>
      </c>
      <c r="W589" s="846">
        <f>IF(OR(Calcs!$J$1402=Calcs!$I1459,Calcs!$I1459&gt;W$61),0,IF(OR(W$63="Monthly",W$63=""),Calcs!AC1459,IF(AND(W$63="Quarterly",INT((Calcs!$I1459-Calcs!AC$1402)/3)=(Calcs!$I1459-Calcs!AC$1402)/3),Calcs!AC1459,IF(INT((Calcs!$I1459-Calcs!AC$1402)/12)=(Calcs!$I1459-Calcs!AC$1402)/12,Calcs!AC1459,0))))</f>
        <v>0</v>
      </c>
      <c r="X589" s="846">
        <f>IF(OR(Calcs!$J$1402=Calcs!$I1459,Calcs!$I1459&gt;X$61),0,IF(OR(X$63="Monthly",X$63=""),Calcs!AD1459,IF(AND(X$63="Quarterly",INT((Calcs!$I1459-Calcs!AD$1402)/3)=(Calcs!$I1459-Calcs!AD$1402)/3),Calcs!AD1459,IF(INT((Calcs!$I1459-Calcs!AD$1402)/12)=(Calcs!$I1459-Calcs!AD$1402)/12,Calcs!AD1459,0))))</f>
        <v>0</v>
      </c>
      <c r="Y589" s="846">
        <f>IF(OR(Calcs!$J$1402=Calcs!$I1459,Calcs!$I1459&gt;Y$61),0,IF(OR(Y$63="Monthly",Y$63=""),Calcs!AE1459,IF(AND(Y$63="Quarterly",INT((Calcs!$I1459-Calcs!AE$1402)/3)=(Calcs!$I1459-Calcs!AE$1402)/3),Calcs!AE1459,IF(INT((Calcs!$I1459-Calcs!AE$1402)/12)=(Calcs!$I1459-Calcs!AE$1402)/12,Calcs!AE1459,0))))</f>
        <v>0</v>
      </c>
      <c r="Z589" s="846">
        <f>IF(OR(Calcs!$J$1402=Calcs!$I1459,Calcs!$I1459&gt;Z$61),0,IF(OR(Z$63="Monthly",Z$63=""),Calcs!AF1459,IF(AND(Z$63="Quarterly",INT((Calcs!$I1459-Calcs!AF$1402)/3)=(Calcs!$I1459-Calcs!AF$1402)/3),Calcs!AF1459,IF(INT((Calcs!$I1459-Calcs!AF$1402)/12)=(Calcs!$I1459-Calcs!AF$1402)/12,Calcs!AF1459,0))))</f>
        <v>0</v>
      </c>
      <c r="AA589" s="846">
        <f>IF(OR(Calcs!$J$1402=Calcs!$I1459,Calcs!$I1459&gt;AA$61),0,IF(OR(AA$63="Monthly",AA$63=""),Calcs!AG1459,IF(AND(AA$63="Quarterly",INT((Calcs!$I1459-Calcs!AG$1402)/3)=(Calcs!$I1459-Calcs!AG$1402)/3),Calcs!AG1459,IF(INT((Calcs!$I1459-Calcs!AG$1402)/12)=(Calcs!$I1459-Calcs!AG$1402)/12,Calcs!AG1459,0))))</f>
        <v>0</v>
      </c>
      <c r="AB589" s="847">
        <f>IF(OR(Calcs!$J$1402=Calcs!$I1459,Calcs!$I1459&gt;AB$61),0,IF(OR(AB$63="Monthly",AB$63=""),Calcs!AH1459,IF(AND(AB$63="Quarterly",INT((Calcs!$I1459-Calcs!AH$1402)/3)=(Calcs!$I1459-Calcs!AH$1402)/3),Calcs!AH1459,IF(INT((Calcs!$I1459-Calcs!AH$1402)/12)=(Calcs!$I1459-Calcs!AH$1402)/12,Calcs!AH1459,0))))</f>
        <v>0</v>
      </c>
      <c r="CH589" s="269"/>
      <c r="CI589" s="269"/>
      <c r="CJ589" s="269"/>
      <c r="CK589" s="269"/>
      <c r="CL589" s="269"/>
      <c r="CM589" s="269"/>
      <c r="CN589" s="269"/>
      <c r="CO589" s="269"/>
      <c r="CP589" s="269"/>
      <c r="CQ589" s="269"/>
      <c r="CR589" s="269"/>
      <c r="CS589" s="269"/>
    </row>
    <row r="590" spans="1:97" x14ac:dyDescent="0.3">
      <c r="A590" s="5"/>
      <c r="B590" s="5"/>
      <c r="C590" s="495">
        <f>C527</f>
        <v>1674</v>
      </c>
      <c r="D590" s="845">
        <f>IF(OR(Calcs!$J$1402=Calcs!$I1460,Calcs!$I1460&gt;D$61),0,IF(OR(D$63="Monthly",D$63=""),Calcs!J1460,IF(AND(D$63="Quarterly",INT((Calcs!$I1460-Calcs!J$1402)/3)=(Calcs!$I1460-Calcs!J$1402)/3),Calcs!J1460,IF(INT((Calcs!$I1460-Calcs!J$1402)/12)=(Calcs!$I1460-Calcs!J$1402)/12,Calcs!J1460,0))))</f>
        <v>0</v>
      </c>
      <c r="E590" s="846">
        <f>IF(OR(Calcs!$J$1402=Calcs!$I1460,Calcs!$I1460&gt;E$61),0,IF(OR(E$63="Monthly",E$63=""),Calcs!K1460,IF(AND(E$63="Quarterly",INT((Calcs!$I1460-Calcs!K$1402)/3)=(Calcs!$I1460-Calcs!K$1402)/3),Calcs!K1460,IF(INT((Calcs!$I1460-Calcs!K$1402)/12)=(Calcs!$I1460-Calcs!K$1402)/12,Calcs!K1460,0))))</f>
        <v>0</v>
      </c>
      <c r="F590" s="846">
        <f>IF(OR(Calcs!$J$1402=Calcs!$I1460,Calcs!$I1460&gt;F$61),0,IF(OR(F$63="Monthly",F$63=""),Calcs!L1460,IF(AND(F$63="Quarterly",INT((Calcs!$I1460-Calcs!L$1402)/3)=(Calcs!$I1460-Calcs!L$1402)/3),Calcs!L1460,IF(INT((Calcs!$I1460-Calcs!L$1402)/12)=(Calcs!$I1460-Calcs!L$1402)/12,Calcs!L1460,0))))</f>
        <v>0</v>
      </c>
      <c r="G590" s="846">
        <f>IF(OR(Calcs!$J$1402=Calcs!$I1460,Calcs!$I1460&gt;G$61),0,IF(OR(G$63="Monthly",G$63=""),Calcs!M1460,IF(AND(G$63="Quarterly",INT((Calcs!$I1460-Calcs!M$1402)/3)=(Calcs!$I1460-Calcs!M$1402)/3),Calcs!M1460,IF(INT((Calcs!$I1460-Calcs!M$1402)/12)=(Calcs!$I1460-Calcs!M$1402)/12,Calcs!M1460,0))))</f>
        <v>0</v>
      </c>
      <c r="H590" s="846">
        <f>IF(OR(Calcs!$J$1402=Calcs!$I1460,Calcs!$I1460&gt;H$61),0,IF(OR(H$63="Monthly",H$63=""),Calcs!N1460,IF(AND(H$63="Quarterly",INT((Calcs!$I1460-Calcs!N$1402)/3)=(Calcs!$I1460-Calcs!N$1402)/3),Calcs!N1460,IF(INT((Calcs!$I1460-Calcs!N$1402)/12)=(Calcs!$I1460-Calcs!N$1402)/12,Calcs!N1460,0))))</f>
        <v>0</v>
      </c>
      <c r="I590" s="846">
        <f>IF(OR(Calcs!$J$1402=Calcs!$I1460,Calcs!$I1460&gt;I$61),0,IF(OR(I$63="Monthly",I$63=""),Calcs!O1460,IF(AND(I$63="Quarterly",INT((Calcs!$I1460-Calcs!O$1402)/3)=(Calcs!$I1460-Calcs!O$1402)/3),Calcs!O1460,IF(INT((Calcs!$I1460-Calcs!O$1402)/12)=(Calcs!$I1460-Calcs!O$1402)/12,Calcs!O1460,0))))</f>
        <v>0</v>
      </c>
      <c r="J590" s="846">
        <f>IF(OR(Calcs!$J$1402=Calcs!$I1460,Calcs!$I1460&gt;J$61),0,IF(OR(J$63="Monthly",J$63=""),Calcs!P1460,IF(AND(J$63="Quarterly",INT((Calcs!$I1460-Calcs!P$1402)/3)=(Calcs!$I1460-Calcs!P$1402)/3),Calcs!P1460,IF(INT((Calcs!$I1460-Calcs!P$1402)/12)=(Calcs!$I1460-Calcs!P$1402)/12,Calcs!P1460,0))))</f>
        <v>0</v>
      </c>
      <c r="K590" s="846">
        <f>IF(OR(Calcs!$J$1402=Calcs!$I1460,Calcs!$I1460&gt;K$61),0,IF(OR(K$63="Monthly",K$63=""),Calcs!Q1460,IF(AND(K$63="Quarterly",INT((Calcs!$I1460-Calcs!Q$1402)/3)=(Calcs!$I1460-Calcs!Q$1402)/3),Calcs!Q1460,IF(INT((Calcs!$I1460-Calcs!Q$1402)/12)=(Calcs!$I1460-Calcs!Q$1402)/12,Calcs!Q1460,0))))</f>
        <v>0</v>
      </c>
      <c r="L590" s="846">
        <f>IF(OR(Calcs!$J$1402=Calcs!$I1460,Calcs!$I1460&gt;L$61),0,IF(OR(L$63="Monthly",L$63=""),Calcs!R1460,IF(AND(L$63="Quarterly",INT((Calcs!$I1460-Calcs!R$1402)/3)=(Calcs!$I1460-Calcs!R$1402)/3),Calcs!R1460,IF(INT((Calcs!$I1460-Calcs!R$1402)/12)=(Calcs!$I1460-Calcs!R$1402)/12,Calcs!R1460,0))))</f>
        <v>0</v>
      </c>
      <c r="M590" s="846">
        <f>IF(OR(Calcs!$J$1402=Calcs!$I1460,Calcs!$I1460&gt;M$61),0,IF(OR(M$63="Monthly",M$63=""),Calcs!S1460,IF(AND(M$63="Quarterly",INT((Calcs!$I1460-Calcs!S$1402)/3)=(Calcs!$I1460-Calcs!S$1402)/3),Calcs!S1460,IF(INT((Calcs!$I1460-Calcs!S$1402)/12)=(Calcs!$I1460-Calcs!S$1402)/12,Calcs!S1460,0))))</f>
        <v>0</v>
      </c>
      <c r="N590" s="846">
        <f>IF(OR(Calcs!$J$1402=Calcs!$I1460,Calcs!$I1460&gt;N$61),0,IF(OR(N$63="Monthly",N$63=""),Calcs!T1460,IF(AND(N$63="Quarterly",INT((Calcs!$I1460-Calcs!T$1402)/3)=(Calcs!$I1460-Calcs!T$1402)/3),Calcs!T1460,IF(INT((Calcs!$I1460-Calcs!T$1402)/12)=(Calcs!$I1460-Calcs!T$1402)/12,Calcs!T1460,0))))</f>
        <v>0</v>
      </c>
      <c r="O590" s="846">
        <f>IF(OR(Calcs!$J$1402=Calcs!$I1460,Calcs!$I1460&gt;O$61),0,IF(OR(O$63="Monthly",O$63=""),Calcs!U1460,IF(AND(O$63="Quarterly",INT((Calcs!$I1460-Calcs!U$1402)/3)=(Calcs!$I1460-Calcs!U$1402)/3),Calcs!U1460,IF(INT((Calcs!$I1460-Calcs!U$1402)/12)=(Calcs!$I1460-Calcs!U$1402)/12,Calcs!U1460,0))))</f>
        <v>0</v>
      </c>
      <c r="P590" s="846">
        <f>IF(OR(Calcs!$J$1402=Calcs!$I1460,Calcs!$I1460&gt;P$61),0,IF(OR(P$63="Monthly",P$63=""),Calcs!V1460,IF(AND(P$63="Quarterly",INT((Calcs!$I1460-Calcs!V$1402)/3)=(Calcs!$I1460-Calcs!V$1402)/3),Calcs!V1460,IF(INT((Calcs!$I1460-Calcs!V$1402)/12)=(Calcs!$I1460-Calcs!V$1402)/12,Calcs!V1460,0))))</f>
        <v>0</v>
      </c>
      <c r="Q590" s="846">
        <f>IF(OR(Calcs!$J$1402=Calcs!$I1460,Calcs!$I1460&gt;Q$61),0,IF(OR(Q$63="Monthly",Q$63=""),Calcs!W1460,IF(AND(Q$63="Quarterly",INT((Calcs!$I1460-Calcs!W$1402)/3)=(Calcs!$I1460-Calcs!W$1402)/3),Calcs!W1460,IF(INT((Calcs!$I1460-Calcs!W$1402)/12)=(Calcs!$I1460-Calcs!W$1402)/12,Calcs!W1460,0))))</f>
        <v>0</v>
      </c>
      <c r="R590" s="846">
        <f>IF(OR(Calcs!$J$1402=Calcs!$I1460,Calcs!$I1460&gt;R$61),0,IF(OR(R$63="Monthly",R$63=""),Calcs!X1460,IF(AND(R$63="Quarterly",INT((Calcs!$I1460-Calcs!X$1402)/3)=(Calcs!$I1460-Calcs!X$1402)/3),Calcs!X1460,IF(INT((Calcs!$I1460-Calcs!X$1402)/12)=(Calcs!$I1460-Calcs!X$1402)/12,Calcs!X1460,0))))</f>
        <v>0</v>
      </c>
      <c r="S590" s="846">
        <f>IF(OR(Calcs!$J$1402=Calcs!$I1460,Calcs!$I1460&gt;S$61),0,IF(OR(S$63="Monthly",S$63=""),Calcs!Y1460,IF(AND(S$63="Quarterly",INT((Calcs!$I1460-Calcs!Y$1402)/3)=(Calcs!$I1460-Calcs!Y$1402)/3),Calcs!Y1460,IF(INT((Calcs!$I1460-Calcs!Y$1402)/12)=(Calcs!$I1460-Calcs!Y$1402)/12,Calcs!Y1460,0))))</f>
        <v>0</v>
      </c>
      <c r="T590" s="846">
        <f>IF(OR(Calcs!$J$1402=Calcs!$I1460,Calcs!$I1460&gt;T$61),0,IF(OR(T$63="Monthly",T$63=""),Calcs!Z1460,IF(AND(T$63="Quarterly",INT((Calcs!$I1460-Calcs!Z$1402)/3)=(Calcs!$I1460-Calcs!Z$1402)/3),Calcs!Z1460,IF(INT((Calcs!$I1460-Calcs!Z$1402)/12)=(Calcs!$I1460-Calcs!Z$1402)/12,Calcs!Z1460,0))))</f>
        <v>0</v>
      </c>
      <c r="U590" s="846">
        <f>IF(OR(Calcs!$J$1402=Calcs!$I1460,Calcs!$I1460&gt;U$61),0,IF(OR(U$63="Monthly",U$63=""),Calcs!AA1460,IF(AND(U$63="Quarterly",INT((Calcs!$I1460-Calcs!AA$1402)/3)=(Calcs!$I1460-Calcs!AA$1402)/3),Calcs!AA1460,IF(INT((Calcs!$I1460-Calcs!AA$1402)/12)=(Calcs!$I1460-Calcs!AA$1402)/12,Calcs!AA1460,0))))</f>
        <v>0</v>
      </c>
      <c r="V590" s="846">
        <f>IF(OR(Calcs!$J$1402=Calcs!$I1460,Calcs!$I1460&gt;V$61),0,IF(OR(V$63="Monthly",V$63=""),Calcs!AB1460,IF(AND(V$63="Quarterly",INT((Calcs!$I1460-Calcs!AB$1402)/3)=(Calcs!$I1460-Calcs!AB$1402)/3),Calcs!AB1460,IF(INT((Calcs!$I1460-Calcs!AB$1402)/12)=(Calcs!$I1460-Calcs!AB$1402)/12,Calcs!AB1460,0))))</f>
        <v>0</v>
      </c>
      <c r="W590" s="846">
        <f>IF(OR(Calcs!$J$1402=Calcs!$I1460,Calcs!$I1460&gt;W$61),0,IF(OR(W$63="Monthly",W$63=""),Calcs!AC1460,IF(AND(W$63="Quarterly",INT((Calcs!$I1460-Calcs!AC$1402)/3)=(Calcs!$I1460-Calcs!AC$1402)/3),Calcs!AC1460,IF(INT((Calcs!$I1460-Calcs!AC$1402)/12)=(Calcs!$I1460-Calcs!AC$1402)/12,Calcs!AC1460,0))))</f>
        <v>0</v>
      </c>
      <c r="X590" s="846">
        <f>IF(OR(Calcs!$J$1402=Calcs!$I1460,Calcs!$I1460&gt;X$61),0,IF(OR(X$63="Monthly",X$63=""),Calcs!AD1460,IF(AND(X$63="Quarterly",INT((Calcs!$I1460-Calcs!AD$1402)/3)=(Calcs!$I1460-Calcs!AD$1402)/3),Calcs!AD1460,IF(INT((Calcs!$I1460-Calcs!AD$1402)/12)=(Calcs!$I1460-Calcs!AD$1402)/12,Calcs!AD1460,0))))</f>
        <v>0</v>
      </c>
      <c r="Y590" s="846">
        <f>IF(OR(Calcs!$J$1402=Calcs!$I1460,Calcs!$I1460&gt;Y$61),0,IF(OR(Y$63="Monthly",Y$63=""),Calcs!AE1460,IF(AND(Y$63="Quarterly",INT((Calcs!$I1460-Calcs!AE$1402)/3)=(Calcs!$I1460-Calcs!AE$1402)/3),Calcs!AE1460,IF(INT((Calcs!$I1460-Calcs!AE$1402)/12)=(Calcs!$I1460-Calcs!AE$1402)/12,Calcs!AE1460,0))))</f>
        <v>0</v>
      </c>
      <c r="Z590" s="846">
        <f>IF(OR(Calcs!$J$1402=Calcs!$I1460,Calcs!$I1460&gt;Z$61),0,IF(OR(Z$63="Monthly",Z$63=""),Calcs!AF1460,IF(AND(Z$63="Quarterly",INT((Calcs!$I1460-Calcs!AF$1402)/3)=(Calcs!$I1460-Calcs!AF$1402)/3),Calcs!AF1460,IF(INT((Calcs!$I1460-Calcs!AF$1402)/12)=(Calcs!$I1460-Calcs!AF$1402)/12,Calcs!AF1460,0))))</f>
        <v>0</v>
      </c>
      <c r="AA590" s="846">
        <f>IF(OR(Calcs!$J$1402=Calcs!$I1460,Calcs!$I1460&gt;AA$61),0,IF(OR(AA$63="Monthly",AA$63=""),Calcs!AG1460,IF(AND(AA$63="Quarterly",INT((Calcs!$I1460-Calcs!AG$1402)/3)=(Calcs!$I1460-Calcs!AG$1402)/3),Calcs!AG1460,IF(INT((Calcs!$I1460-Calcs!AG$1402)/12)=(Calcs!$I1460-Calcs!AG$1402)/12,Calcs!AG1460,0))))</f>
        <v>0</v>
      </c>
      <c r="AB590" s="847">
        <f>IF(OR(Calcs!$J$1402=Calcs!$I1460,Calcs!$I1460&gt;AB$61),0,IF(OR(AB$63="Monthly",AB$63=""),Calcs!AH1460,IF(AND(AB$63="Quarterly",INT((Calcs!$I1460-Calcs!AH$1402)/3)=(Calcs!$I1460-Calcs!AH$1402)/3),Calcs!AH1460,IF(INT((Calcs!$I1460-Calcs!AH$1402)/12)=(Calcs!$I1460-Calcs!AH$1402)/12,Calcs!AH1460,0))))</f>
        <v>0</v>
      </c>
      <c r="CH590" s="269"/>
      <c r="CI590" s="269"/>
      <c r="CJ590" s="269"/>
      <c r="CK590" s="269"/>
      <c r="CL590" s="269"/>
      <c r="CM590" s="269"/>
      <c r="CN590" s="269"/>
      <c r="CO590" s="269"/>
      <c r="CP590" s="269"/>
      <c r="CQ590" s="269"/>
      <c r="CR590" s="269"/>
      <c r="CS590" s="269"/>
    </row>
    <row r="591" spans="1:97" x14ac:dyDescent="0.3">
      <c r="A591" s="5"/>
      <c r="B591" s="5"/>
      <c r="C591" s="495">
        <f>C528</f>
        <v>1705</v>
      </c>
      <c r="D591" s="845">
        <f>IF(OR(Calcs!$J$1402=Calcs!$I1461,Calcs!$I1461&gt;D$61),0,IF(OR(D$63="Monthly",D$63=""),Calcs!J1461,IF(AND(D$63="Quarterly",INT((Calcs!$I1461-Calcs!J$1402)/3)=(Calcs!$I1461-Calcs!J$1402)/3),Calcs!J1461,IF(INT((Calcs!$I1461-Calcs!J$1402)/12)=(Calcs!$I1461-Calcs!J$1402)/12,Calcs!J1461,0))))</f>
        <v>0</v>
      </c>
      <c r="E591" s="846">
        <f>IF(OR(Calcs!$J$1402=Calcs!$I1461,Calcs!$I1461&gt;E$61),0,IF(OR(E$63="Monthly",E$63=""),Calcs!K1461,IF(AND(E$63="Quarterly",INT((Calcs!$I1461-Calcs!K$1402)/3)=(Calcs!$I1461-Calcs!K$1402)/3),Calcs!K1461,IF(INT((Calcs!$I1461-Calcs!K$1402)/12)=(Calcs!$I1461-Calcs!K$1402)/12,Calcs!K1461,0))))</f>
        <v>0</v>
      </c>
      <c r="F591" s="846">
        <f>IF(OR(Calcs!$J$1402=Calcs!$I1461,Calcs!$I1461&gt;F$61),0,IF(OR(F$63="Monthly",F$63=""),Calcs!L1461,IF(AND(F$63="Quarterly",INT((Calcs!$I1461-Calcs!L$1402)/3)=(Calcs!$I1461-Calcs!L$1402)/3),Calcs!L1461,IF(INT((Calcs!$I1461-Calcs!L$1402)/12)=(Calcs!$I1461-Calcs!L$1402)/12,Calcs!L1461,0))))</f>
        <v>0</v>
      </c>
      <c r="G591" s="846">
        <f>IF(OR(Calcs!$J$1402=Calcs!$I1461,Calcs!$I1461&gt;G$61),0,IF(OR(G$63="Monthly",G$63=""),Calcs!M1461,IF(AND(G$63="Quarterly",INT((Calcs!$I1461-Calcs!M$1402)/3)=(Calcs!$I1461-Calcs!M$1402)/3),Calcs!M1461,IF(INT((Calcs!$I1461-Calcs!M$1402)/12)=(Calcs!$I1461-Calcs!M$1402)/12,Calcs!M1461,0))))</f>
        <v>0</v>
      </c>
      <c r="H591" s="846">
        <f>IF(OR(Calcs!$J$1402=Calcs!$I1461,Calcs!$I1461&gt;H$61),0,IF(OR(H$63="Monthly",H$63=""),Calcs!N1461,IF(AND(H$63="Quarterly",INT((Calcs!$I1461-Calcs!N$1402)/3)=(Calcs!$I1461-Calcs!N$1402)/3),Calcs!N1461,IF(INT((Calcs!$I1461-Calcs!N$1402)/12)=(Calcs!$I1461-Calcs!N$1402)/12,Calcs!N1461,0))))</f>
        <v>0</v>
      </c>
      <c r="I591" s="846">
        <f>IF(OR(Calcs!$J$1402=Calcs!$I1461,Calcs!$I1461&gt;I$61),0,IF(OR(I$63="Monthly",I$63=""),Calcs!O1461,IF(AND(I$63="Quarterly",INT((Calcs!$I1461-Calcs!O$1402)/3)=(Calcs!$I1461-Calcs!O$1402)/3),Calcs!O1461,IF(INT((Calcs!$I1461-Calcs!O$1402)/12)=(Calcs!$I1461-Calcs!O$1402)/12,Calcs!O1461,0))))</f>
        <v>0</v>
      </c>
      <c r="J591" s="846">
        <f>IF(OR(Calcs!$J$1402=Calcs!$I1461,Calcs!$I1461&gt;J$61),0,IF(OR(J$63="Monthly",J$63=""),Calcs!P1461,IF(AND(J$63="Quarterly",INT((Calcs!$I1461-Calcs!P$1402)/3)=(Calcs!$I1461-Calcs!P$1402)/3),Calcs!P1461,IF(INT((Calcs!$I1461-Calcs!P$1402)/12)=(Calcs!$I1461-Calcs!P$1402)/12,Calcs!P1461,0))))</f>
        <v>0</v>
      </c>
      <c r="K591" s="846">
        <f>IF(OR(Calcs!$J$1402=Calcs!$I1461,Calcs!$I1461&gt;K$61),0,IF(OR(K$63="Monthly",K$63=""),Calcs!Q1461,IF(AND(K$63="Quarterly",INT((Calcs!$I1461-Calcs!Q$1402)/3)=(Calcs!$I1461-Calcs!Q$1402)/3),Calcs!Q1461,IF(INT((Calcs!$I1461-Calcs!Q$1402)/12)=(Calcs!$I1461-Calcs!Q$1402)/12,Calcs!Q1461,0))))</f>
        <v>0</v>
      </c>
      <c r="L591" s="846">
        <f>IF(OR(Calcs!$J$1402=Calcs!$I1461,Calcs!$I1461&gt;L$61),0,IF(OR(L$63="Monthly",L$63=""),Calcs!R1461,IF(AND(L$63="Quarterly",INT((Calcs!$I1461-Calcs!R$1402)/3)=(Calcs!$I1461-Calcs!R$1402)/3),Calcs!R1461,IF(INT((Calcs!$I1461-Calcs!R$1402)/12)=(Calcs!$I1461-Calcs!R$1402)/12,Calcs!R1461,0))))</f>
        <v>0</v>
      </c>
      <c r="M591" s="846">
        <f>IF(OR(Calcs!$J$1402=Calcs!$I1461,Calcs!$I1461&gt;M$61),0,IF(OR(M$63="Monthly",M$63=""),Calcs!S1461,IF(AND(M$63="Quarterly",INT((Calcs!$I1461-Calcs!S$1402)/3)=(Calcs!$I1461-Calcs!S$1402)/3),Calcs!S1461,IF(INT((Calcs!$I1461-Calcs!S$1402)/12)=(Calcs!$I1461-Calcs!S$1402)/12,Calcs!S1461,0))))</f>
        <v>0</v>
      </c>
      <c r="N591" s="846">
        <f>IF(OR(Calcs!$J$1402=Calcs!$I1461,Calcs!$I1461&gt;N$61),0,IF(OR(N$63="Monthly",N$63=""),Calcs!T1461,IF(AND(N$63="Quarterly",INT((Calcs!$I1461-Calcs!T$1402)/3)=(Calcs!$I1461-Calcs!T$1402)/3),Calcs!T1461,IF(INT((Calcs!$I1461-Calcs!T$1402)/12)=(Calcs!$I1461-Calcs!T$1402)/12,Calcs!T1461,0))))</f>
        <v>0</v>
      </c>
      <c r="O591" s="846">
        <f>IF(OR(Calcs!$J$1402=Calcs!$I1461,Calcs!$I1461&gt;O$61),0,IF(OR(O$63="Monthly",O$63=""),Calcs!U1461,IF(AND(O$63="Quarterly",INT((Calcs!$I1461-Calcs!U$1402)/3)=(Calcs!$I1461-Calcs!U$1402)/3),Calcs!U1461,IF(INT((Calcs!$I1461-Calcs!U$1402)/12)=(Calcs!$I1461-Calcs!U$1402)/12,Calcs!U1461,0))))</f>
        <v>0</v>
      </c>
      <c r="P591" s="846">
        <f>IF(OR(Calcs!$J$1402=Calcs!$I1461,Calcs!$I1461&gt;P$61),0,IF(OR(P$63="Monthly",P$63=""),Calcs!V1461,IF(AND(P$63="Quarterly",INT((Calcs!$I1461-Calcs!V$1402)/3)=(Calcs!$I1461-Calcs!V$1402)/3),Calcs!V1461,IF(INT((Calcs!$I1461-Calcs!V$1402)/12)=(Calcs!$I1461-Calcs!V$1402)/12,Calcs!V1461,0))))</f>
        <v>0</v>
      </c>
      <c r="Q591" s="846">
        <f>IF(OR(Calcs!$J$1402=Calcs!$I1461,Calcs!$I1461&gt;Q$61),0,IF(OR(Q$63="Monthly",Q$63=""),Calcs!W1461,IF(AND(Q$63="Quarterly",INT((Calcs!$I1461-Calcs!W$1402)/3)=(Calcs!$I1461-Calcs!W$1402)/3),Calcs!W1461,IF(INT((Calcs!$I1461-Calcs!W$1402)/12)=(Calcs!$I1461-Calcs!W$1402)/12,Calcs!W1461,0))))</f>
        <v>0</v>
      </c>
      <c r="R591" s="846">
        <f>IF(OR(Calcs!$J$1402=Calcs!$I1461,Calcs!$I1461&gt;R$61),0,IF(OR(R$63="Monthly",R$63=""),Calcs!X1461,IF(AND(R$63="Quarterly",INT((Calcs!$I1461-Calcs!X$1402)/3)=(Calcs!$I1461-Calcs!X$1402)/3),Calcs!X1461,IF(INT((Calcs!$I1461-Calcs!X$1402)/12)=(Calcs!$I1461-Calcs!X$1402)/12,Calcs!X1461,0))))</f>
        <v>0</v>
      </c>
      <c r="S591" s="846">
        <f>IF(OR(Calcs!$J$1402=Calcs!$I1461,Calcs!$I1461&gt;S$61),0,IF(OR(S$63="Monthly",S$63=""),Calcs!Y1461,IF(AND(S$63="Quarterly",INT((Calcs!$I1461-Calcs!Y$1402)/3)=(Calcs!$I1461-Calcs!Y$1402)/3),Calcs!Y1461,IF(INT((Calcs!$I1461-Calcs!Y$1402)/12)=(Calcs!$I1461-Calcs!Y$1402)/12,Calcs!Y1461,0))))</f>
        <v>0</v>
      </c>
      <c r="T591" s="846">
        <f>IF(OR(Calcs!$J$1402=Calcs!$I1461,Calcs!$I1461&gt;T$61),0,IF(OR(T$63="Monthly",T$63=""),Calcs!Z1461,IF(AND(T$63="Quarterly",INT((Calcs!$I1461-Calcs!Z$1402)/3)=(Calcs!$I1461-Calcs!Z$1402)/3),Calcs!Z1461,IF(INT((Calcs!$I1461-Calcs!Z$1402)/12)=(Calcs!$I1461-Calcs!Z$1402)/12,Calcs!Z1461,0))))</f>
        <v>0</v>
      </c>
      <c r="U591" s="846">
        <f>IF(OR(Calcs!$J$1402=Calcs!$I1461,Calcs!$I1461&gt;U$61),0,IF(OR(U$63="Monthly",U$63=""),Calcs!AA1461,IF(AND(U$63="Quarterly",INT((Calcs!$I1461-Calcs!AA$1402)/3)=(Calcs!$I1461-Calcs!AA$1402)/3),Calcs!AA1461,IF(INT((Calcs!$I1461-Calcs!AA$1402)/12)=(Calcs!$I1461-Calcs!AA$1402)/12,Calcs!AA1461,0))))</f>
        <v>0</v>
      </c>
      <c r="V591" s="846">
        <f>IF(OR(Calcs!$J$1402=Calcs!$I1461,Calcs!$I1461&gt;V$61),0,IF(OR(V$63="Monthly",V$63=""),Calcs!AB1461,IF(AND(V$63="Quarterly",INT((Calcs!$I1461-Calcs!AB$1402)/3)=(Calcs!$I1461-Calcs!AB$1402)/3),Calcs!AB1461,IF(INT((Calcs!$I1461-Calcs!AB$1402)/12)=(Calcs!$I1461-Calcs!AB$1402)/12,Calcs!AB1461,0))))</f>
        <v>0</v>
      </c>
      <c r="W591" s="846">
        <f>IF(OR(Calcs!$J$1402=Calcs!$I1461,Calcs!$I1461&gt;W$61),0,IF(OR(W$63="Monthly",W$63=""),Calcs!AC1461,IF(AND(W$63="Quarterly",INT((Calcs!$I1461-Calcs!AC$1402)/3)=(Calcs!$I1461-Calcs!AC$1402)/3),Calcs!AC1461,IF(INT((Calcs!$I1461-Calcs!AC$1402)/12)=(Calcs!$I1461-Calcs!AC$1402)/12,Calcs!AC1461,0))))</f>
        <v>0</v>
      </c>
      <c r="X591" s="846">
        <f>IF(OR(Calcs!$J$1402=Calcs!$I1461,Calcs!$I1461&gt;X$61),0,IF(OR(X$63="Monthly",X$63=""),Calcs!AD1461,IF(AND(X$63="Quarterly",INT((Calcs!$I1461-Calcs!AD$1402)/3)=(Calcs!$I1461-Calcs!AD$1402)/3),Calcs!AD1461,IF(INT((Calcs!$I1461-Calcs!AD$1402)/12)=(Calcs!$I1461-Calcs!AD$1402)/12,Calcs!AD1461,0))))</f>
        <v>0</v>
      </c>
      <c r="Y591" s="846">
        <f>IF(OR(Calcs!$J$1402=Calcs!$I1461,Calcs!$I1461&gt;Y$61),0,IF(OR(Y$63="Monthly",Y$63=""),Calcs!AE1461,IF(AND(Y$63="Quarterly",INT((Calcs!$I1461-Calcs!AE$1402)/3)=(Calcs!$I1461-Calcs!AE$1402)/3),Calcs!AE1461,IF(INT((Calcs!$I1461-Calcs!AE$1402)/12)=(Calcs!$I1461-Calcs!AE$1402)/12,Calcs!AE1461,0))))</f>
        <v>0</v>
      </c>
      <c r="Z591" s="846">
        <f>IF(OR(Calcs!$J$1402=Calcs!$I1461,Calcs!$I1461&gt;Z$61),0,IF(OR(Z$63="Monthly",Z$63=""),Calcs!AF1461,IF(AND(Z$63="Quarterly",INT((Calcs!$I1461-Calcs!AF$1402)/3)=(Calcs!$I1461-Calcs!AF$1402)/3),Calcs!AF1461,IF(INT((Calcs!$I1461-Calcs!AF$1402)/12)=(Calcs!$I1461-Calcs!AF$1402)/12,Calcs!AF1461,0))))</f>
        <v>0</v>
      </c>
      <c r="AA591" s="846">
        <f>IF(OR(Calcs!$J$1402=Calcs!$I1461,Calcs!$I1461&gt;AA$61),0,IF(OR(AA$63="Monthly",AA$63=""),Calcs!AG1461,IF(AND(AA$63="Quarterly",INT((Calcs!$I1461-Calcs!AG$1402)/3)=(Calcs!$I1461-Calcs!AG$1402)/3),Calcs!AG1461,IF(INT((Calcs!$I1461-Calcs!AG$1402)/12)=(Calcs!$I1461-Calcs!AG$1402)/12,Calcs!AG1461,0))))</f>
        <v>0</v>
      </c>
      <c r="AB591" s="847">
        <f>IF(OR(Calcs!$J$1402=Calcs!$I1461,Calcs!$I1461&gt;AB$61),0,IF(OR(AB$63="Monthly",AB$63=""),Calcs!AH1461,IF(AND(AB$63="Quarterly",INT((Calcs!$I1461-Calcs!AH$1402)/3)=(Calcs!$I1461-Calcs!AH$1402)/3),Calcs!AH1461,IF(INT((Calcs!$I1461-Calcs!AH$1402)/12)=(Calcs!$I1461-Calcs!AH$1402)/12,Calcs!AH1461,0))))</f>
        <v>0</v>
      </c>
      <c r="CH591" s="269"/>
      <c r="CI591" s="269"/>
      <c r="CJ591" s="269"/>
      <c r="CK591" s="269"/>
      <c r="CL591" s="269"/>
      <c r="CM591" s="269"/>
      <c r="CN591" s="269"/>
      <c r="CO591" s="269"/>
      <c r="CP591" s="269"/>
      <c r="CQ591" s="269"/>
      <c r="CR591" s="269"/>
      <c r="CS591" s="269"/>
    </row>
    <row r="592" spans="1:97" x14ac:dyDescent="0.3">
      <c r="A592" s="5"/>
      <c r="B592" s="5"/>
      <c r="C592" s="495">
        <f>C529</f>
        <v>1735</v>
      </c>
      <c r="D592" s="845">
        <f>IF(OR(Calcs!$J$1402=Calcs!$I1462,Calcs!$I1462&gt;D$61),0,IF(OR(D$63="Monthly",D$63=""),Calcs!J1462,IF(AND(D$63="Quarterly",INT((Calcs!$I1462-Calcs!J$1402)/3)=(Calcs!$I1462-Calcs!J$1402)/3),Calcs!J1462,IF(INT((Calcs!$I1462-Calcs!J$1402)/12)=(Calcs!$I1462-Calcs!J$1402)/12,Calcs!J1462,0))))</f>
        <v>0</v>
      </c>
      <c r="E592" s="846">
        <f>IF(OR(Calcs!$J$1402=Calcs!$I1462,Calcs!$I1462&gt;E$61),0,IF(OR(E$63="Monthly",E$63=""),Calcs!K1462,IF(AND(E$63="Quarterly",INT((Calcs!$I1462-Calcs!K$1402)/3)=(Calcs!$I1462-Calcs!K$1402)/3),Calcs!K1462,IF(INT((Calcs!$I1462-Calcs!K$1402)/12)=(Calcs!$I1462-Calcs!K$1402)/12,Calcs!K1462,0))))</f>
        <v>0</v>
      </c>
      <c r="F592" s="846">
        <f>IF(OR(Calcs!$J$1402=Calcs!$I1462,Calcs!$I1462&gt;F$61),0,IF(OR(F$63="Monthly",F$63=""),Calcs!L1462,IF(AND(F$63="Quarterly",INT((Calcs!$I1462-Calcs!L$1402)/3)=(Calcs!$I1462-Calcs!L$1402)/3),Calcs!L1462,IF(INT((Calcs!$I1462-Calcs!L$1402)/12)=(Calcs!$I1462-Calcs!L$1402)/12,Calcs!L1462,0))))</f>
        <v>0</v>
      </c>
      <c r="G592" s="846">
        <f>IF(OR(Calcs!$J$1402=Calcs!$I1462,Calcs!$I1462&gt;G$61),0,IF(OR(G$63="Monthly",G$63=""),Calcs!M1462,IF(AND(G$63="Quarterly",INT((Calcs!$I1462-Calcs!M$1402)/3)=(Calcs!$I1462-Calcs!M$1402)/3),Calcs!M1462,IF(INT((Calcs!$I1462-Calcs!M$1402)/12)=(Calcs!$I1462-Calcs!M$1402)/12,Calcs!M1462,0))))</f>
        <v>0</v>
      </c>
      <c r="H592" s="846">
        <f>IF(OR(Calcs!$J$1402=Calcs!$I1462,Calcs!$I1462&gt;H$61),0,IF(OR(H$63="Monthly",H$63=""),Calcs!N1462,IF(AND(H$63="Quarterly",INT((Calcs!$I1462-Calcs!N$1402)/3)=(Calcs!$I1462-Calcs!N$1402)/3),Calcs!N1462,IF(INT((Calcs!$I1462-Calcs!N$1402)/12)=(Calcs!$I1462-Calcs!N$1402)/12,Calcs!N1462,0))))</f>
        <v>0</v>
      </c>
      <c r="I592" s="846">
        <f>IF(OR(Calcs!$J$1402=Calcs!$I1462,Calcs!$I1462&gt;I$61),0,IF(OR(I$63="Monthly",I$63=""),Calcs!O1462,IF(AND(I$63="Quarterly",INT((Calcs!$I1462-Calcs!O$1402)/3)=(Calcs!$I1462-Calcs!O$1402)/3),Calcs!O1462,IF(INT((Calcs!$I1462-Calcs!O$1402)/12)=(Calcs!$I1462-Calcs!O$1402)/12,Calcs!O1462,0))))</f>
        <v>0</v>
      </c>
      <c r="J592" s="846">
        <f>IF(OR(Calcs!$J$1402=Calcs!$I1462,Calcs!$I1462&gt;J$61),0,IF(OR(J$63="Monthly",J$63=""),Calcs!P1462,IF(AND(J$63="Quarterly",INT((Calcs!$I1462-Calcs!P$1402)/3)=(Calcs!$I1462-Calcs!P$1402)/3),Calcs!P1462,IF(INT((Calcs!$I1462-Calcs!P$1402)/12)=(Calcs!$I1462-Calcs!P$1402)/12,Calcs!P1462,0))))</f>
        <v>0</v>
      </c>
      <c r="K592" s="846">
        <f>IF(OR(Calcs!$J$1402=Calcs!$I1462,Calcs!$I1462&gt;K$61),0,IF(OR(K$63="Monthly",K$63=""),Calcs!Q1462,IF(AND(K$63="Quarterly",INT((Calcs!$I1462-Calcs!Q$1402)/3)=(Calcs!$I1462-Calcs!Q$1402)/3),Calcs!Q1462,IF(INT((Calcs!$I1462-Calcs!Q$1402)/12)=(Calcs!$I1462-Calcs!Q$1402)/12,Calcs!Q1462,0))))</f>
        <v>0</v>
      </c>
      <c r="L592" s="846">
        <f>IF(OR(Calcs!$J$1402=Calcs!$I1462,Calcs!$I1462&gt;L$61),0,IF(OR(L$63="Monthly",L$63=""),Calcs!R1462,IF(AND(L$63="Quarterly",INT((Calcs!$I1462-Calcs!R$1402)/3)=(Calcs!$I1462-Calcs!R$1402)/3),Calcs!R1462,IF(INT((Calcs!$I1462-Calcs!R$1402)/12)=(Calcs!$I1462-Calcs!R$1402)/12,Calcs!R1462,0))))</f>
        <v>0</v>
      </c>
      <c r="M592" s="846">
        <f>IF(OR(Calcs!$J$1402=Calcs!$I1462,Calcs!$I1462&gt;M$61),0,IF(OR(M$63="Monthly",M$63=""),Calcs!S1462,IF(AND(M$63="Quarterly",INT((Calcs!$I1462-Calcs!S$1402)/3)=(Calcs!$I1462-Calcs!S$1402)/3),Calcs!S1462,IF(INT((Calcs!$I1462-Calcs!S$1402)/12)=(Calcs!$I1462-Calcs!S$1402)/12,Calcs!S1462,0))))</f>
        <v>0</v>
      </c>
      <c r="N592" s="846">
        <f>IF(OR(Calcs!$J$1402=Calcs!$I1462,Calcs!$I1462&gt;N$61),0,IF(OR(N$63="Monthly",N$63=""),Calcs!T1462,IF(AND(N$63="Quarterly",INT((Calcs!$I1462-Calcs!T$1402)/3)=(Calcs!$I1462-Calcs!T$1402)/3),Calcs!T1462,IF(INT((Calcs!$I1462-Calcs!T$1402)/12)=(Calcs!$I1462-Calcs!T$1402)/12,Calcs!T1462,0))))</f>
        <v>0</v>
      </c>
      <c r="O592" s="846">
        <f>IF(OR(Calcs!$J$1402=Calcs!$I1462,Calcs!$I1462&gt;O$61),0,IF(OR(O$63="Monthly",O$63=""),Calcs!U1462,IF(AND(O$63="Quarterly",INT((Calcs!$I1462-Calcs!U$1402)/3)=(Calcs!$I1462-Calcs!U$1402)/3),Calcs!U1462,IF(INT((Calcs!$I1462-Calcs!U$1402)/12)=(Calcs!$I1462-Calcs!U$1402)/12,Calcs!U1462,0))))</f>
        <v>0</v>
      </c>
      <c r="P592" s="846">
        <f>IF(OR(Calcs!$J$1402=Calcs!$I1462,Calcs!$I1462&gt;P$61),0,IF(OR(P$63="Monthly",P$63=""),Calcs!V1462,IF(AND(P$63="Quarterly",INT((Calcs!$I1462-Calcs!V$1402)/3)=(Calcs!$I1462-Calcs!V$1402)/3),Calcs!V1462,IF(INT((Calcs!$I1462-Calcs!V$1402)/12)=(Calcs!$I1462-Calcs!V$1402)/12,Calcs!V1462,0))))</f>
        <v>0</v>
      </c>
      <c r="Q592" s="846">
        <f>IF(OR(Calcs!$J$1402=Calcs!$I1462,Calcs!$I1462&gt;Q$61),0,IF(OR(Q$63="Monthly",Q$63=""),Calcs!W1462,IF(AND(Q$63="Quarterly",INT((Calcs!$I1462-Calcs!W$1402)/3)=(Calcs!$I1462-Calcs!W$1402)/3),Calcs!W1462,IF(INT((Calcs!$I1462-Calcs!W$1402)/12)=(Calcs!$I1462-Calcs!W$1402)/12,Calcs!W1462,0))))</f>
        <v>0</v>
      </c>
      <c r="R592" s="846">
        <f>IF(OR(Calcs!$J$1402=Calcs!$I1462,Calcs!$I1462&gt;R$61),0,IF(OR(R$63="Monthly",R$63=""),Calcs!X1462,IF(AND(R$63="Quarterly",INT((Calcs!$I1462-Calcs!X$1402)/3)=(Calcs!$I1462-Calcs!X$1402)/3),Calcs!X1462,IF(INT((Calcs!$I1462-Calcs!X$1402)/12)=(Calcs!$I1462-Calcs!X$1402)/12,Calcs!X1462,0))))</f>
        <v>0</v>
      </c>
      <c r="S592" s="846">
        <f>IF(OR(Calcs!$J$1402=Calcs!$I1462,Calcs!$I1462&gt;S$61),0,IF(OR(S$63="Monthly",S$63=""),Calcs!Y1462,IF(AND(S$63="Quarterly",INT((Calcs!$I1462-Calcs!Y$1402)/3)=(Calcs!$I1462-Calcs!Y$1402)/3),Calcs!Y1462,IF(INT((Calcs!$I1462-Calcs!Y$1402)/12)=(Calcs!$I1462-Calcs!Y$1402)/12,Calcs!Y1462,0))))</f>
        <v>0</v>
      </c>
      <c r="T592" s="846">
        <f>IF(OR(Calcs!$J$1402=Calcs!$I1462,Calcs!$I1462&gt;T$61),0,IF(OR(T$63="Monthly",T$63=""),Calcs!Z1462,IF(AND(T$63="Quarterly",INT((Calcs!$I1462-Calcs!Z$1402)/3)=(Calcs!$I1462-Calcs!Z$1402)/3),Calcs!Z1462,IF(INT((Calcs!$I1462-Calcs!Z$1402)/12)=(Calcs!$I1462-Calcs!Z$1402)/12,Calcs!Z1462,0))))</f>
        <v>0</v>
      </c>
      <c r="U592" s="846">
        <f>IF(OR(Calcs!$J$1402=Calcs!$I1462,Calcs!$I1462&gt;U$61),0,IF(OR(U$63="Monthly",U$63=""),Calcs!AA1462,IF(AND(U$63="Quarterly",INT((Calcs!$I1462-Calcs!AA$1402)/3)=(Calcs!$I1462-Calcs!AA$1402)/3),Calcs!AA1462,IF(INT((Calcs!$I1462-Calcs!AA$1402)/12)=(Calcs!$I1462-Calcs!AA$1402)/12,Calcs!AA1462,0))))</f>
        <v>0</v>
      </c>
      <c r="V592" s="846">
        <f>IF(OR(Calcs!$J$1402=Calcs!$I1462,Calcs!$I1462&gt;V$61),0,IF(OR(V$63="Monthly",V$63=""),Calcs!AB1462,IF(AND(V$63="Quarterly",INT((Calcs!$I1462-Calcs!AB$1402)/3)=(Calcs!$I1462-Calcs!AB$1402)/3),Calcs!AB1462,IF(INT((Calcs!$I1462-Calcs!AB$1402)/12)=(Calcs!$I1462-Calcs!AB$1402)/12,Calcs!AB1462,0))))</f>
        <v>0</v>
      </c>
      <c r="W592" s="846">
        <f>IF(OR(Calcs!$J$1402=Calcs!$I1462,Calcs!$I1462&gt;W$61),0,IF(OR(W$63="Monthly",W$63=""),Calcs!AC1462,IF(AND(W$63="Quarterly",INT((Calcs!$I1462-Calcs!AC$1402)/3)=(Calcs!$I1462-Calcs!AC$1402)/3),Calcs!AC1462,IF(INT((Calcs!$I1462-Calcs!AC$1402)/12)=(Calcs!$I1462-Calcs!AC$1402)/12,Calcs!AC1462,0))))</f>
        <v>0</v>
      </c>
      <c r="X592" s="846">
        <f>IF(OR(Calcs!$J$1402=Calcs!$I1462,Calcs!$I1462&gt;X$61),0,IF(OR(X$63="Monthly",X$63=""),Calcs!AD1462,IF(AND(X$63="Quarterly",INT((Calcs!$I1462-Calcs!AD$1402)/3)=(Calcs!$I1462-Calcs!AD$1402)/3),Calcs!AD1462,IF(INT((Calcs!$I1462-Calcs!AD$1402)/12)=(Calcs!$I1462-Calcs!AD$1402)/12,Calcs!AD1462,0))))</f>
        <v>0</v>
      </c>
      <c r="Y592" s="846">
        <f>IF(OR(Calcs!$J$1402=Calcs!$I1462,Calcs!$I1462&gt;Y$61),0,IF(OR(Y$63="Monthly",Y$63=""),Calcs!AE1462,IF(AND(Y$63="Quarterly",INT((Calcs!$I1462-Calcs!AE$1402)/3)=(Calcs!$I1462-Calcs!AE$1402)/3),Calcs!AE1462,IF(INT((Calcs!$I1462-Calcs!AE$1402)/12)=(Calcs!$I1462-Calcs!AE$1402)/12,Calcs!AE1462,0))))</f>
        <v>0</v>
      </c>
      <c r="Z592" s="846">
        <f>IF(OR(Calcs!$J$1402=Calcs!$I1462,Calcs!$I1462&gt;Z$61),0,IF(OR(Z$63="Monthly",Z$63=""),Calcs!AF1462,IF(AND(Z$63="Quarterly",INT((Calcs!$I1462-Calcs!AF$1402)/3)=(Calcs!$I1462-Calcs!AF$1402)/3),Calcs!AF1462,IF(INT((Calcs!$I1462-Calcs!AF$1402)/12)=(Calcs!$I1462-Calcs!AF$1402)/12,Calcs!AF1462,0))))</f>
        <v>0</v>
      </c>
      <c r="AA592" s="846">
        <f>IF(OR(Calcs!$J$1402=Calcs!$I1462,Calcs!$I1462&gt;AA$61),0,IF(OR(AA$63="Monthly",AA$63=""),Calcs!AG1462,IF(AND(AA$63="Quarterly",INT((Calcs!$I1462-Calcs!AG$1402)/3)=(Calcs!$I1462-Calcs!AG$1402)/3),Calcs!AG1462,IF(INT((Calcs!$I1462-Calcs!AG$1402)/12)=(Calcs!$I1462-Calcs!AG$1402)/12,Calcs!AG1462,0))))</f>
        <v>0</v>
      </c>
      <c r="AB592" s="847">
        <f>IF(OR(Calcs!$J$1402=Calcs!$I1462,Calcs!$I1462&gt;AB$61),0,IF(OR(AB$63="Monthly",AB$63=""),Calcs!AH1462,IF(AND(AB$63="Quarterly",INT((Calcs!$I1462-Calcs!AH$1402)/3)=(Calcs!$I1462-Calcs!AH$1402)/3),Calcs!AH1462,IF(INT((Calcs!$I1462-Calcs!AH$1402)/12)=(Calcs!$I1462-Calcs!AH$1402)/12,Calcs!AH1462,0))))</f>
        <v>0</v>
      </c>
      <c r="CH592" s="269"/>
      <c r="CI592" s="269"/>
      <c r="CJ592" s="269"/>
      <c r="CK592" s="269"/>
      <c r="CL592" s="269"/>
      <c r="CM592" s="269"/>
      <c r="CN592" s="269"/>
      <c r="CO592" s="269"/>
      <c r="CP592" s="269"/>
      <c r="CQ592" s="269"/>
      <c r="CR592" s="269"/>
      <c r="CS592" s="269"/>
    </row>
    <row r="593" spans="1:97" x14ac:dyDescent="0.3">
      <c r="A593" s="5"/>
      <c r="B593" s="5"/>
      <c r="C593" s="495">
        <f>C530</f>
        <v>1766</v>
      </c>
      <c r="D593" s="845">
        <f>IF(OR(Calcs!$J$1402=Calcs!$I1463,Calcs!$I1463&gt;D$61),0,IF(OR(D$63="Monthly",D$63=""),Calcs!J1463,IF(AND(D$63="Quarterly",INT((Calcs!$I1463-Calcs!J$1402)/3)=(Calcs!$I1463-Calcs!J$1402)/3),Calcs!J1463,IF(INT((Calcs!$I1463-Calcs!J$1402)/12)=(Calcs!$I1463-Calcs!J$1402)/12,Calcs!J1463,0))))</f>
        <v>0</v>
      </c>
      <c r="E593" s="846">
        <f>IF(OR(Calcs!$J$1402=Calcs!$I1463,Calcs!$I1463&gt;E$61),0,IF(OR(E$63="Monthly",E$63=""),Calcs!K1463,IF(AND(E$63="Quarterly",INT((Calcs!$I1463-Calcs!K$1402)/3)=(Calcs!$I1463-Calcs!K$1402)/3),Calcs!K1463,IF(INT((Calcs!$I1463-Calcs!K$1402)/12)=(Calcs!$I1463-Calcs!K$1402)/12,Calcs!K1463,0))))</f>
        <v>0</v>
      </c>
      <c r="F593" s="846">
        <f>IF(OR(Calcs!$J$1402=Calcs!$I1463,Calcs!$I1463&gt;F$61),0,IF(OR(F$63="Monthly",F$63=""),Calcs!L1463,IF(AND(F$63="Quarterly",INT((Calcs!$I1463-Calcs!L$1402)/3)=(Calcs!$I1463-Calcs!L$1402)/3),Calcs!L1463,IF(INT((Calcs!$I1463-Calcs!L$1402)/12)=(Calcs!$I1463-Calcs!L$1402)/12,Calcs!L1463,0))))</f>
        <v>0</v>
      </c>
      <c r="G593" s="846">
        <f>IF(OR(Calcs!$J$1402=Calcs!$I1463,Calcs!$I1463&gt;G$61),0,IF(OR(G$63="Monthly",G$63=""),Calcs!M1463,IF(AND(G$63="Quarterly",INT((Calcs!$I1463-Calcs!M$1402)/3)=(Calcs!$I1463-Calcs!M$1402)/3),Calcs!M1463,IF(INT((Calcs!$I1463-Calcs!M$1402)/12)=(Calcs!$I1463-Calcs!M$1402)/12,Calcs!M1463,0))))</f>
        <v>0</v>
      </c>
      <c r="H593" s="846">
        <f>IF(OR(Calcs!$J$1402=Calcs!$I1463,Calcs!$I1463&gt;H$61),0,IF(OR(H$63="Monthly",H$63=""),Calcs!N1463,IF(AND(H$63="Quarterly",INT((Calcs!$I1463-Calcs!N$1402)/3)=(Calcs!$I1463-Calcs!N$1402)/3),Calcs!N1463,IF(INT((Calcs!$I1463-Calcs!N$1402)/12)=(Calcs!$I1463-Calcs!N$1402)/12,Calcs!N1463,0))))</f>
        <v>0</v>
      </c>
      <c r="I593" s="846">
        <f>IF(OR(Calcs!$J$1402=Calcs!$I1463,Calcs!$I1463&gt;I$61),0,IF(OR(I$63="Monthly",I$63=""),Calcs!O1463,IF(AND(I$63="Quarterly",INT((Calcs!$I1463-Calcs!O$1402)/3)=(Calcs!$I1463-Calcs!O$1402)/3),Calcs!O1463,IF(INT((Calcs!$I1463-Calcs!O$1402)/12)=(Calcs!$I1463-Calcs!O$1402)/12,Calcs!O1463,0))))</f>
        <v>0</v>
      </c>
      <c r="J593" s="846">
        <f>IF(OR(Calcs!$J$1402=Calcs!$I1463,Calcs!$I1463&gt;J$61),0,IF(OR(J$63="Monthly",J$63=""),Calcs!P1463,IF(AND(J$63="Quarterly",INT((Calcs!$I1463-Calcs!P$1402)/3)=(Calcs!$I1463-Calcs!P$1402)/3),Calcs!P1463,IF(INT((Calcs!$I1463-Calcs!P$1402)/12)=(Calcs!$I1463-Calcs!P$1402)/12,Calcs!P1463,0))))</f>
        <v>0</v>
      </c>
      <c r="K593" s="846">
        <f>IF(OR(Calcs!$J$1402=Calcs!$I1463,Calcs!$I1463&gt;K$61),0,IF(OR(K$63="Monthly",K$63=""),Calcs!Q1463,IF(AND(K$63="Quarterly",INT((Calcs!$I1463-Calcs!Q$1402)/3)=(Calcs!$I1463-Calcs!Q$1402)/3),Calcs!Q1463,IF(INT((Calcs!$I1463-Calcs!Q$1402)/12)=(Calcs!$I1463-Calcs!Q$1402)/12,Calcs!Q1463,0))))</f>
        <v>0</v>
      </c>
      <c r="L593" s="846">
        <f>IF(OR(Calcs!$J$1402=Calcs!$I1463,Calcs!$I1463&gt;L$61),0,IF(OR(L$63="Monthly",L$63=""),Calcs!R1463,IF(AND(L$63="Quarterly",INT((Calcs!$I1463-Calcs!R$1402)/3)=(Calcs!$I1463-Calcs!R$1402)/3),Calcs!R1463,IF(INT((Calcs!$I1463-Calcs!R$1402)/12)=(Calcs!$I1463-Calcs!R$1402)/12,Calcs!R1463,0))))</f>
        <v>0</v>
      </c>
      <c r="M593" s="846">
        <f>IF(OR(Calcs!$J$1402=Calcs!$I1463,Calcs!$I1463&gt;M$61),0,IF(OR(M$63="Monthly",M$63=""),Calcs!S1463,IF(AND(M$63="Quarterly",INT((Calcs!$I1463-Calcs!S$1402)/3)=(Calcs!$I1463-Calcs!S$1402)/3),Calcs!S1463,IF(INT((Calcs!$I1463-Calcs!S$1402)/12)=(Calcs!$I1463-Calcs!S$1402)/12,Calcs!S1463,0))))</f>
        <v>0</v>
      </c>
      <c r="N593" s="846">
        <f>IF(OR(Calcs!$J$1402=Calcs!$I1463,Calcs!$I1463&gt;N$61),0,IF(OR(N$63="Monthly",N$63=""),Calcs!T1463,IF(AND(N$63="Quarterly",INT((Calcs!$I1463-Calcs!T$1402)/3)=(Calcs!$I1463-Calcs!T$1402)/3),Calcs!T1463,IF(INT((Calcs!$I1463-Calcs!T$1402)/12)=(Calcs!$I1463-Calcs!T$1402)/12,Calcs!T1463,0))))</f>
        <v>0</v>
      </c>
      <c r="O593" s="846">
        <f>IF(OR(Calcs!$J$1402=Calcs!$I1463,Calcs!$I1463&gt;O$61),0,IF(OR(O$63="Monthly",O$63=""),Calcs!U1463,IF(AND(O$63="Quarterly",INT((Calcs!$I1463-Calcs!U$1402)/3)=(Calcs!$I1463-Calcs!U$1402)/3),Calcs!U1463,IF(INT((Calcs!$I1463-Calcs!U$1402)/12)=(Calcs!$I1463-Calcs!U$1402)/12,Calcs!U1463,0))))</f>
        <v>0</v>
      </c>
      <c r="P593" s="846">
        <f>IF(OR(Calcs!$J$1402=Calcs!$I1463,Calcs!$I1463&gt;P$61),0,IF(OR(P$63="Monthly",P$63=""),Calcs!V1463,IF(AND(P$63="Quarterly",INT((Calcs!$I1463-Calcs!V$1402)/3)=(Calcs!$I1463-Calcs!V$1402)/3),Calcs!V1463,IF(INT((Calcs!$I1463-Calcs!V$1402)/12)=(Calcs!$I1463-Calcs!V$1402)/12,Calcs!V1463,0))))</f>
        <v>0</v>
      </c>
      <c r="Q593" s="846">
        <f>IF(OR(Calcs!$J$1402=Calcs!$I1463,Calcs!$I1463&gt;Q$61),0,IF(OR(Q$63="Monthly",Q$63=""),Calcs!W1463,IF(AND(Q$63="Quarterly",INT((Calcs!$I1463-Calcs!W$1402)/3)=(Calcs!$I1463-Calcs!W$1402)/3),Calcs!W1463,IF(INT((Calcs!$I1463-Calcs!W$1402)/12)=(Calcs!$I1463-Calcs!W$1402)/12,Calcs!W1463,0))))</f>
        <v>0</v>
      </c>
      <c r="R593" s="846">
        <f>IF(OR(Calcs!$J$1402=Calcs!$I1463,Calcs!$I1463&gt;R$61),0,IF(OR(R$63="Monthly",R$63=""),Calcs!X1463,IF(AND(R$63="Quarterly",INT((Calcs!$I1463-Calcs!X$1402)/3)=(Calcs!$I1463-Calcs!X$1402)/3),Calcs!X1463,IF(INT((Calcs!$I1463-Calcs!X$1402)/12)=(Calcs!$I1463-Calcs!X$1402)/12,Calcs!X1463,0))))</f>
        <v>0</v>
      </c>
      <c r="S593" s="846">
        <f>IF(OR(Calcs!$J$1402=Calcs!$I1463,Calcs!$I1463&gt;S$61),0,IF(OR(S$63="Monthly",S$63=""),Calcs!Y1463,IF(AND(S$63="Quarterly",INT((Calcs!$I1463-Calcs!Y$1402)/3)=(Calcs!$I1463-Calcs!Y$1402)/3),Calcs!Y1463,IF(INT((Calcs!$I1463-Calcs!Y$1402)/12)=(Calcs!$I1463-Calcs!Y$1402)/12,Calcs!Y1463,0))))</f>
        <v>0</v>
      </c>
      <c r="T593" s="846">
        <f>IF(OR(Calcs!$J$1402=Calcs!$I1463,Calcs!$I1463&gt;T$61),0,IF(OR(T$63="Monthly",T$63=""),Calcs!Z1463,IF(AND(T$63="Quarterly",INT((Calcs!$I1463-Calcs!Z$1402)/3)=(Calcs!$I1463-Calcs!Z$1402)/3),Calcs!Z1463,IF(INT((Calcs!$I1463-Calcs!Z$1402)/12)=(Calcs!$I1463-Calcs!Z$1402)/12,Calcs!Z1463,0))))</f>
        <v>0</v>
      </c>
      <c r="U593" s="846">
        <f>IF(OR(Calcs!$J$1402=Calcs!$I1463,Calcs!$I1463&gt;U$61),0,IF(OR(U$63="Monthly",U$63=""),Calcs!AA1463,IF(AND(U$63="Quarterly",INT((Calcs!$I1463-Calcs!AA$1402)/3)=(Calcs!$I1463-Calcs!AA$1402)/3),Calcs!AA1463,IF(INT((Calcs!$I1463-Calcs!AA$1402)/12)=(Calcs!$I1463-Calcs!AA$1402)/12,Calcs!AA1463,0))))</f>
        <v>0</v>
      </c>
      <c r="V593" s="846">
        <f>IF(OR(Calcs!$J$1402=Calcs!$I1463,Calcs!$I1463&gt;V$61),0,IF(OR(V$63="Monthly",V$63=""),Calcs!AB1463,IF(AND(V$63="Quarterly",INT((Calcs!$I1463-Calcs!AB$1402)/3)=(Calcs!$I1463-Calcs!AB$1402)/3),Calcs!AB1463,IF(INT((Calcs!$I1463-Calcs!AB$1402)/12)=(Calcs!$I1463-Calcs!AB$1402)/12,Calcs!AB1463,0))))</f>
        <v>0</v>
      </c>
      <c r="W593" s="846">
        <f>IF(OR(Calcs!$J$1402=Calcs!$I1463,Calcs!$I1463&gt;W$61),0,IF(OR(W$63="Monthly",W$63=""),Calcs!AC1463,IF(AND(W$63="Quarterly",INT((Calcs!$I1463-Calcs!AC$1402)/3)=(Calcs!$I1463-Calcs!AC$1402)/3),Calcs!AC1463,IF(INT((Calcs!$I1463-Calcs!AC$1402)/12)=(Calcs!$I1463-Calcs!AC$1402)/12,Calcs!AC1463,0))))</f>
        <v>0</v>
      </c>
      <c r="X593" s="846">
        <f>IF(OR(Calcs!$J$1402=Calcs!$I1463,Calcs!$I1463&gt;X$61),0,IF(OR(X$63="Monthly",X$63=""),Calcs!AD1463,IF(AND(X$63="Quarterly",INT((Calcs!$I1463-Calcs!AD$1402)/3)=(Calcs!$I1463-Calcs!AD$1402)/3),Calcs!AD1463,IF(INT((Calcs!$I1463-Calcs!AD$1402)/12)=(Calcs!$I1463-Calcs!AD$1402)/12,Calcs!AD1463,0))))</f>
        <v>0</v>
      </c>
      <c r="Y593" s="846">
        <f>IF(OR(Calcs!$J$1402=Calcs!$I1463,Calcs!$I1463&gt;Y$61),0,IF(OR(Y$63="Monthly",Y$63=""),Calcs!AE1463,IF(AND(Y$63="Quarterly",INT((Calcs!$I1463-Calcs!AE$1402)/3)=(Calcs!$I1463-Calcs!AE$1402)/3),Calcs!AE1463,IF(INT((Calcs!$I1463-Calcs!AE$1402)/12)=(Calcs!$I1463-Calcs!AE$1402)/12,Calcs!AE1463,0))))</f>
        <v>0</v>
      </c>
      <c r="Z593" s="846">
        <f>IF(OR(Calcs!$J$1402=Calcs!$I1463,Calcs!$I1463&gt;Z$61),0,IF(OR(Z$63="Monthly",Z$63=""),Calcs!AF1463,IF(AND(Z$63="Quarterly",INT((Calcs!$I1463-Calcs!AF$1402)/3)=(Calcs!$I1463-Calcs!AF$1402)/3),Calcs!AF1463,IF(INT((Calcs!$I1463-Calcs!AF$1402)/12)=(Calcs!$I1463-Calcs!AF$1402)/12,Calcs!AF1463,0))))</f>
        <v>0</v>
      </c>
      <c r="AA593" s="846">
        <f>IF(OR(Calcs!$J$1402=Calcs!$I1463,Calcs!$I1463&gt;AA$61),0,IF(OR(AA$63="Monthly",AA$63=""),Calcs!AG1463,IF(AND(AA$63="Quarterly",INT((Calcs!$I1463-Calcs!AG$1402)/3)=(Calcs!$I1463-Calcs!AG$1402)/3),Calcs!AG1463,IF(INT((Calcs!$I1463-Calcs!AG$1402)/12)=(Calcs!$I1463-Calcs!AG$1402)/12,Calcs!AG1463,0))))</f>
        <v>0</v>
      </c>
      <c r="AB593" s="847">
        <f>IF(OR(Calcs!$J$1402=Calcs!$I1463,Calcs!$I1463&gt;AB$61),0,IF(OR(AB$63="Monthly",AB$63=""),Calcs!AH1463,IF(AND(AB$63="Quarterly",INT((Calcs!$I1463-Calcs!AH$1402)/3)=(Calcs!$I1463-Calcs!AH$1402)/3),Calcs!AH1463,IF(INT((Calcs!$I1463-Calcs!AH$1402)/12)=(Calcs!$I1463-Calcs!AH$1402)/12,Calcs!AH1463,0))))</f>
        <v>0</v>
      </c>
      <c r="CH593" s="269"/>
      <c r="CI593" s="269"/>
      <c r="CJ593" s="269"/>
      <c r="CK593" s="269"/>
      <c r="CL593" s="269"/>
      <c r="CM593" s="269"/>
      <c r="CN593" s="269"/>
      <c r="CO593" s="269"/>
      <c r="CP593" s="269"/>
      <c r="CQ593" s="269"/>
      <c r="CR593" s="269"/>
      <c r="CS593" s="269"/>
    </row>
    <row r="594" spans="1:97" x14ac:dyDescent="0.3">
      <c r="A594" s="5"/>
      <c r="B594" s="5"/>
      <c r="C594" s="495">
        <f>C531</f>
        <v>1796</v>
      </c>
      <c r="D594" s="845">
        <f>IF(OR(Calcs!$J$1402=Calcs!$I1464,Calcs!$I1464&gt;D$61),0,IF(OR(D$63="Monthly",D$63=""),Calcs!J1464,IF(AND(D$63="Quarterly",INT((Calcs!$I1464-Calcs!J$1402)/3)=(Calcs!$I1464-Calcs!J$1402)/3),Calcs!J1464,IF(INT((Calcs!$I1464-Calcs!J$1402)/12)=(Calcs!$I1464-Calcs!J$1402)/12,Calcs!J1464,0))))</f>
        <v>0</v>
      </c>
      <c r="E594" s="846">
        <f>IF(OR(Calcs!$J$1402=Calcs!$I1464,Calcs!$I1464&gt;E$61),0,IF(OR(E$63="Monthly",E$63=""),Calcs!K1464,IF(AND(E$63="Quarterly",INT((Calcs!$I1464-Calcs!K$1402)/3)=(Calcs!$I1464-Calcs!K$1402)/3),Calcs!K1464,IF(INT((Calcs!$I1464-Calcs!K$1402)/12)=(Calcs!$I1464-Calcs!K$1402)/12,Calcs!K1464,0))))</f>
        <v>0</v>
      </c>
      <c r="F594" s="846">
        <f>IF(OR(Calcs!$J$1402=Calcs!$I1464,Calcs!$I1464&gt;F$61),0,IF(OR(F$63="Monthly",F$63=""),Calcs!L1464,IF(AND(F$63="Quarterly",INT((Calcs!$I1464-Calcs!L$1402)/3)=(Calcs!$I1464-Calcs!L$1402)/3),Calcs!L1464,IF(INT((Calcs!$I1464-Calcs!L$1402)/12)=(Calcs!$I1464-Calcs!L$1402)/12,Calcs!L1464,0))))</f>
        <v>0</v>
      </c>
      <c r="G594" s="846">
        <f>IF(OR(Calcs!$J$1402=Calcs!$I1464,Calcs!$I1464&gt;G$61),0,IF(OR(G$63="Monthly",G$63=""),Calcs!M1464,IF(AND(G$63="Quarterly",INT((Calcs!$I1464-Calcs!M$1402)/3)=(Calcs!$I1464-Calcs!M$1402)/3),Calcs!M1464,IF(INT((Calcs!$I1464-Calcs!M$1402)/12)=(Calcs!$I1464-Calcs!M$1402)/12,Calcs!M1464,0))))</f>
        <v>0</v>
      </c>
      <c r="H594" s="846">
        <f>IF(OR(Calcs!$J$1402=Calcs!$I1464,Calcs!$I1464&gt;H$61),0,IF(OR(H$63="Monthly",H$63=""),Calcs!N1464,IF(AND(H$63="Quarterly",INT((Calcs!$I1464-Calcs!N$1402)/3)=(Calcs!$I1464-Calcs!N$1402)/3),Calcs!N1464,IF(INT((Calcs!$I1464-Calcs!N$1402)/12)=(Calcs!$I1464-Calcs!N$1402)/12,Calcs!N1464,0))))</f>
        <v>0</v>
      </c>
      <c r="I594" s="846">
        <f>IF(OR(Calcs!$J$1402=Calcs!$I1464,Calcs!$I1464&gt;I$61),0,IF(OR(I$63="Monthly",I$63=""),Calcs!O1464,IF(AND(I$63="Quarterly",INT((Calcs!$I1464-Calcs!O$1402)/3)=(Calcs!$I1464-Calcs!O$1402)/3),Calcs!O1464,IF(INT((Calcs!$I1464-Calcs!O$1402)/12)=(Calcs!$I1464-Calcs!O$1402)/12,Calcs!O1464,0))))</f>
        <v>0</v>
      </c>
      <c r="J594" s="846">
        <f>IF(OR(Calcs!$J$1402=Calcs!$I1464,Calcs!$I1464&gt;J$61),0,IF(OR(J$63="Monthly",J$63=""),Calcs!P1464,IF(AND(J$63="Quarterly",INT((Calcs!$I1464-Calcs!P$1402)/3)=(Calcs!$I1464-Calcs!P$1402)/3),Calcs!P1464,IF(INT((Calcs!$I1464-Calcs!P$1402)/12)=(Calcs!$I1464-Calcs!P$1402)/12,Calcs!P1464,0))))</f>
        <v>0</v>
      </c>
      <c r="K594" s="846">
        <f>IF(OR(Calcs!$J$1402=Calcs!$I1464,Calcs!$I1464&gt;K$61),0,IF(OR(K$63="Monthly",K$63=""),Calcs!Q1464,IF(AND(K$63="Quarterly",INT((Calcs!$I1464-Calcs!Q$1402)/3)=(Calcs!$I1464-Calcs!Q$1402)/3),Calcs!Q1464,IF(INT((Calcs!$I1464-Calcs!Q$1402)/12)=(Calcs!$I1464-Calcs!Q$1402)/12,Calcs!Q1464,0))))</f>
        <v>0</v>
      </c>
      <c r="L594" s="846">
        <f>IF(OR(Calcs!$J$1402=Calcs!$I1464,Calcs!$I1464&gt;L$61),0,IF(OR(L$63="Monthly",L$63=""),Calcs!R1464,IF(AND(L$63="Quarterly",INT((Calcs!$I1464-Calcs!R$1402)/3)=(Calcs!$I1464-Calcs!R$1402)/3),Calcs!R1464,IF(INT((Calcs!$I1464-Calcs!R$1402)/12)=(Calcs!$I1464-Calcs!R$1402)/12,Calcs!R1464,0))))</f>
        <v>0</v>
      </c>
      <c r="M594" s="846">
        <f>IF(OR(Calcs!$J$1402=Calcs!$I1464,Calcs!$I1464&gt;M$61),0,IF(OR(M$63="Monthly",M$63=""),Calcs!S1464,IF(AND(M$63="Quarterly",INT((Calcs!$I1464-Calcs!S$1402)/3)=(Calcs!$I1464-Calcs!S$1402)/3),Calcs!S1464,IF(INT((Calcs!$I1464-Calcs!S$1402)/12)=(Calcs!$I1464-Calcs!S$1402)/12,Calcs!S1464,0))))</f>
        <v>0</v>
      </c>
      <c r="N594" s="846">
        <f>IF(OR(Calcs!$J$1402=Calcs!$I1464,Calcs!$I1464&gt;N$61),0,IF(OR(N$63="Monthly",N$63=""),Calcs!T1464,IF(AND(N$63="Quarterly",INT((Calcs!$I1464-Calcs!T$1402)/3)=(Calcs!$I1464-Calcs!T$1402)/3),Calcs!T1464,IF(INT((Calcs!$I1464-Calcs!T$1402)/12)=(Calcs!$I1464-Calcs!T$1402)/12,Calcs!T1464,0))))</f>
        <v>0</v>
      </c>
      <c r="O594" s="846">
        <f>IF(OR(Calcs!$J$1402=Calcs!$I1464,Calcs!$I1464&gt;O$61),0,IF(OR(O$63="Monthly",O$63=""),Calcs!U1464,IF(AND(O$63="Quarterly",INT((Calcs!$I1464-Calcs!U$1402)/3)=(Calcs!$I1464-Calcs!U$1402)/3),Calcs!U1464,IF(INT((Calcs!$I1464-Calcs!U$1402)/12)=(Calcs!$I1464-Calcs!U$1402)/12,Calcs!U1464,0))))</f>
        <v>0</v>
      </c>
      <c r="P594" s="846">
        <f>IF(OR(Calcs!$J$1402=Calcs!$I1464,Calcs!$I1464&gt;P$61),0,IF(OR(P$63="Monthly",P$63=""),Calcs!V1464,IF(AND(P$63="Quarterly",INT((Calcs!$I1464-Calcs!V$1402)/3)=(Calcs!$I1464-Calcs!V$1402)/3),Calcs!V1464,IF(INT((Calcs!$I1464-Calcs!V$1402)/12)=(Calcs!$I1464-Calcs!V$1402)/12,Calcs!V1464,0))))</f>
        <v>0</v>
      </c>
      <c r="Q594" s="846">
        <f>IF(OR(Calcs!$J$1402=Calcs!$I1464,Calcs!$I1464&gt;Q$61),0,IF(OR(Q$63="Monthly",Q$63=""),Calcs!W1464,IF(AND(Q$63="Quarterly",INT((Calcs!$I1464-Calcs!W$1402)/3)=(Calcs!$I1464-Calcs!W$1402)/3),Calcs!W1464,IF(INT((Calcs!$I1464-Calcs!W$1402)/12)=(Calcs!$I1464-Calcs!W$1402)/12,Calcs!W1464,0))))</f>
        <v>0</v>
      </c>
      <c r="R594" s="846">
        <f>IF(OR(Calcs!$J$1402=Calcs!$I1464,Calcs!$I1464&gt;R$61),0,IF(OR(R$63="Monthly",R$63=""),Calcs!X1464,IF(AND(R$63="Quarterly",INT((Calcs!$I1464-Calcs!X$1402)/3)=(Calcs!$I1464-Calcs!X$1402)/3),Calcs!X1464,IF(INT((Calcs!$I1464-Calcs!X$1402)/12)=(Calcs!$I1464-Calcs!X$1402)/12,Calcs!X1464,0))))</f>
        <v>0</v>
      </c>
      <c r="S594" s="846">
        <f>IF(OR(Calcs!$J$1402=Calcs!$I1464,Calcs!$I1464&gt;S$61),0,IF(OR(S$63="Monthly",S$63=""),Calcs!Y1464,IF(AND(S$63="Quarterly",INT((Calcs!$I1464-Calcs!Y$1402)/3)=(Calcs!$I1464-Calcs!Y$1402)/3),Calcs!Y1464,IF(INT((Calcs!$I1464-Calcs!Y$1402)/12)=(Calcs!$I1464-Calcs!Y$1402)/12,Calcs!Y1464,0))))</f>
        <v>0</v>
      </c>
      <c r="T594" s="846">
        <f>IF(OR(Calcs!$J$1402=Calcs!$I1464,Calcs!$I1464&gt;T$61),0,IF(OR(T$63="Monthly",T$63=""),Calcs!Z1464,IF(AND(T$63="Quarterly",INT((Calcs!$I1464-Calcs!Z$1402)/3)=(Calcs!$I1464-Calcs!Z$1402)/3),Calcs!Z1464,IF(INT((Calcs!$I1464-Calcs!Z$1402)/12)=(Calcs!$I1464-Calcs!Z$1402)/12,Calcs!Z1464,0))))</f>
        <v>0</v>
      </c>
      <c r="U594" s="846">
        <f>IF(OR(Calcs!$J$1402=Calcs!$I1464,Calcs!$I1464&gt;U$61),0,IF(OR(U$63="Monthly",U$63=""),Calcs!AA1464,IF(AND(U$63="Quarterly",INT((Calcs!$I1464-Calcs!AA$1402)/3)=(Calcs!$I1464-Calcs!AA$1402)/3),Calcs!AA1464,IF(INT((Calcs!$I1464-Calcs!AA$1402)/12)=(Calcs!$I1464-Calcs!AA$1402)/12,Calcs!AA1464,0))))</f>
        <v>0</v>
      </c>
      <c r="V594" s="846">
        <f>IF(OR(Calcs!$J$1402=Calcs!$I1464,Calcs!$I1464&gt;V$61),0,IF(OR(V$63="Monthly",V$63=""),Calcs!AB1464,IF(AND(V$63="Quarterly",INT((Calcs!$I1464-Calcs!AB$1402)/3)=(Calcs!$I1464-Calcs!AB$1402)/3),Calcs!AB1464,IF(INT((Calcs!$I1464-Calcs!AB$1402)/12)=(Calcs!$I1464-Calcs!AB$1402)/12,Calcs!AB1464,0))))</f>
        <v>0</v>
      </c>
      <c r="W594" s="846">
        <f>IF(OR(Calcs!$J$1402=Calcs!$I1464,Calcs!$I1464&gt;W$61),0,IF(OR(W$63="Monthly",W$63=""),Calcs!AC1464,IF(AND(W$63="Quarterly",INT((Calcs!$I1464-Calcs!AC$1402)/3)=(Calcs!$I1464-Calcs!AC$1402)/3),Calcs!AC1464,IF(INT((Calcs!$I1464-Calcs!AC$1402)/12)=(Calcs!$I1464-Calcs!AC$1402)/12,Calcs!AC1464,0))))</f>
        <v>0</v>
      </c>
      <c r="X594" s="846">
        <f>IF(OR(Calcs!$J$1402=Calcs!$I1464,Calcs!$I1464&gt;X$61),0,IF(OR(X$63="Monthly",X$63=""),Calcs!AD1464,IF(AND(X$63="Quarterly",INT((Calcs!$I1464-Calcs!AD$1402)/3)=(Calcs!$I1464-Calcs!AD$1402)/3),Calcs!AD1464,IF(INT((Calcs!$I1464-Calcs!AD$1402)/12)=(Calcs!$I1464-Calcs!AD$1402)/12,Calcs!AD1464,0))))</f>
        <v>0</v>
      </c>
      <c r="Y594" s="846">
        <f>IF(OR(Calcs!$J$1402=Calcs!$I1464,Calcs!$I1464&gt;Y$61),0,IF(OR(Y$63="Monthly",Y$63=""),Calcs!AE1464,IF(AND(Y$63="Quarterly",INT((Calcs!$I1464-Calcs!AE$1402)/3)=(Calcs!$I1464-Calcs!AE$1402)/3),Calcs!AE1464,IF(INT((Calcs!$I1464-Calcs!AE$1402)/12)=(Calcs!$I1464-Calcs!AE$1402)/12,Calcs!AE1464,0))))</f>
        <v>0</v>
      </c>
      <c r="Z594" s="846">
        <f>IF(OR(Calcs!$J$1402=Calcs!$I1464,Calcs!$I1464&gt;Z$61),0,IF(OR(Z$63="Monthly",Z$63=""),Calcs!AF1464,IF(AND(Z$63="Quarterly",INT((Calcs!$I1464-Calcs!AF$1402)/3)=(Calcs!$I1464-Calcs!AF$1402)/3),Calcs!AF1464,IF(INT((Calcs!$I1464-Calcs!AF$1402)/12)=(Calcs!$I1464-Calcs!AF$1402)/12,Calcs!AF1464,0))))</f>
        <v>0</v>
      </c>
      <c r="AA594" s="846">
        <f>IF(OR(Calcs!$J$1402=Calcs!$I1464,Calcs!$I1464&gt;AA$61),0,IF(OR(AA$63="Monthly",AA$63=""),Calcs!AG1464,IF(AND(AA$63="Quarterly",INT((Calcs!$I1464-Calcs!AG$1402)/3)=(Calcs!$I1464-Calcs!AG$1402)/3),Calcs!AG1464,IF(INT((Calcs!$I1464-Calcs!AG$1402)/12)=(Calcs!$I1464-Calcs!AG$1402)/12,Calcs!AG1464,0))))</f>
        <v>0</v>
      </c>
      <c r="AB594" s="847">
        <f>IF(OR(Calcs!$J$1402=Calcs!$I1464,Calcs!$I1464&gt;AB$61),0,IF(OR(AB$63="Monthly",AB$63=""),Calcs!AH1464,IF(AND(AB$63="Quarterly",INT((Calcs!$I1464-Calcs!AH$1402)/3)=(Calcs!$I1464-Calcs!AH$1402)/3),Calcs!AH1464,IF(INT((Calcs!$I1464-Calcs!AH$1402)/12)=(Calcs!$I1464-Calcs!AH$1402)/12,Calcs!AH1464,0))))</f>
        <v>0</v>
      </c>
      <c r="CH594" s="269"/>
      <c r="CI594" s="269"/>
      <c r="CJ594" s="269"/>
      <c r="CK594" s="269"/>
      <c r="CL594" s="269"/>
      <c r="CM594" s="269"/>
      <c r="CN594" s="269"/>
      <c r="CO594" s="269"/>
      <c r="CP594" s="269"/>
      <c r="CQ594" s="269"/>
      <c r="CR594" s="269"/>
      <c r="CS594" s="269"/>
    </row>
    <row r="595" spans="1:97" ht="12.5" thickBot="1" x14ac:dyDescent="0.35">
      <c r="A595" s="5"/>
      <c r="B595" s="5"/>
      <c r="C595" s="496">
        <f>C532</f>
        <v>1827</v>
      </c>
      <c r="D595" s="848">
        <f>IF(OR(Calcs!$J$1402=Calcs!$I1465,Calcs!$I1465&gt;D$61),0,IF(OR(D$63="Monthly",D$63=""),Calcs!J1465,IF(AND(D$63="Quarterly",INT((Calcs!$I1465-Calcs!J$1402)/3)=(Calcs!$I1465-Calcs!J$1402)/3),Calcs!J1465,IF(INT((Calcs!$I1465-Calcs!J$1402)/12)=(Calcs!$I1465-Calcs!J$1402)/12,Calcs!J1465,0))))</f>
        <v>0</v>
      </c>
      <c r="E595" s="849">
        <f>IF(OR(Calcs!$J$1402=Calcs!$I1465,Calcs!$I1465&gt;E$61),0,IF(OR(E$63="Monthly",E$63=""),Calcs!K1465,IF(AND(E$63="Quarterly",INT((Calcs!$I1465-Calcs!K$1402)/3)=(Calcs!$I1465-Calcs!K$1402)/3),Calcs!K1465,IF(INT((Calcs!$I1465-Calcs!K$1402)/12)=(Calcs!$I1465-Calcs!K$1402)/12,Calcs!K1465,0))))</f>
        <v>0</v>
      </c>
      <c r="F595" s="849">
        <f>IF(OR(Calcs!$J$1402=Calcs!$I1465,Calcs!$I1465&gt;F$61),0,IF(OR(F$63="Monthly",F$63=""),Calcs!L1465,IF(AND(F$63="Quarterly",INT((Calcs!$I1465-Calcs!L$1402)/3)=(Calcs!$I1465-Calcs!L$1402)/3),Calcs!L1465,IF(INT((Calcs!$I1465-Calcs!L$1402)/12)=(Calcs!$I1465-Calcs!L$1402)/12,Calcs!L1465,0))))</f>
        <v>0</v>
      </c>
      <c r="G595" s="849">
        <f>IF(OR(Calcs!$J$1402=Calcs!$I1465,Calcs!$I1465&gt;G$61),0,IF(OR(G$63="Monthly",G$63=""),Calcs!M1465,IF(AND(G$63="Quarterly",INT((Calcs!$I1465-Calcs!M$1402)/3)=(Calcs!$I1465-Calcs!M$1402)/3),Calcs!M1465,IF(INT((Calcs!$I1465-Calcs!M$1402)/12)=(Calcs!$I1465-Calcs!M$1402)/12,Calcs!M1465,0))))</f>
        <v>0</v>
      </c>
      <c r="H595" s="849">
        <f>IF(OR(Calcs!$J$1402=Calcs!$I1465,Calcs!$I1465&gt;H$61),0,IF(OR(H$63="Monthly",H$63=""),Calcs!N1465,IF(AND(H$63="Quarterly",INT((Calcs!$I1465-Calcs!N$1402)/3)=(Calcs!$I1465-Calcs!N$1402)/3),Calcs!N1465,IF(INT((Calcs!$I1465-Calcs!N$1402)/12)=(Calcs!$I1465-Calcs!N$1402)/12,Calcs!N1465,0))))</f>
        <v>0</v>
      </c>
      <c r="I595" s="849">
        <f>IF(OR(Calcs!$J$1402=Calcs!$I1465,Calcs!$I1465&gt;I$61),0,IF(OR(I$63="Monthly",I$63=""),Calcs!O1465,IF(AND(I$63="Quarterly",INT((Calcs!$I1465-Calcs!O$1402)/3)=(Calcs!$I1465-Calcs!O$1402)/3),Calcs!O1465,IF(INT((Calcs!$I1465-Calcs!O$1402)/12)=(Calcs!$I1465-Calcs!O$1402)/12,Calcs!O1465,0))))</f>
        <v>0</v>
      </c>
      <c r="J595" s="849">
        <f>IF(OR(Calcs!$J$1402=Calcs!$I1465,Calcs!$I1465&gt;J$61),0,IF(OR(J$63="Monthly",J$63=""),Calcs!P1465,IF(AND(J$63="Quarterly",INT((Calcs!$I1465-Calcs!P$1402)/3)=(Calcs!$I1465-Calcs!P$1402)/3),Calcs!P1465,IF(INT((Calcs!$I1465-Calcs!P$1402)/12)=(Calcs!$I1465-Calcs!P$1402)/12,Calcs!P1465,0))))</f>
        <v>0</v>
      </c>
      <c r="K595" s="849">
        <f>IF(OR(Calcs!$J$1402=Calcs!$I1465,Calcs!$I1465&gt;K$61),0,IF(OR(K$63="Monthly",K$63=""),Calcs!Q1465,IF(AND(K$63="Quarterly",INT((Calcs!$I1465-Calcs!Q$1402)/3)=(Calcs!$I1465-Calcs!Q$1402)/3),Calcs!Q1465,IF(INT((Calcs!$I1465-Calcs!Q$1402)/12)=(Calcs!$I1465-Calcs!Q$1402)/12,Calcs!Q1465,0))))</f>
        <v>0</v>
      </c>
      <c r="L595" s="849">
        <f>IF(OR(Calcs!$J$1402=Calcs!$I1465,Calcs!$I1465&gt;L$61),0,IF(OR(L$63="Monthly",L$63=""),Calcs!R1465,IF(AND(L$63="Quarterly",INT((Calcs!$I1465-Calcs!R$1402)/3)=(Calcs!$I1465-Calcs!R$1402)/3),Calcs!R1465,IF(INT((Calcs!$I1465-Calcs!R$1402)/12)=(Calcs!$I1465-Calcs!R$1402)/12,Calcs!R1465,0))))</f>
        <v>0</v>
      </c>
      <c r="M595" s="849">
        <f>IF(OR(Calcs!$J$1402=Calcs!$I1465,Calcs!$I1465&gt;M$61),0,IF(OR(M$63="Monthly",M$63=""),Calcs!S1465,IF(AND(M$63="Quarterly",INT((Calcs!$I1465-Calcs!S$1402)/3)=(Calcs!$I1465-Calcs!S$1402)/3),Calcs!S1465,IF(INT((Calcs!$I1465-Calcs!S$1402)/12)=(Calcs!$I1465-Calcs!S$1402)/12,Calcs!S1465,0))))</f>
        <v>0</v>
      </c>
      <c r="N595" s="849">
        <f>IF(OR(Calcs!$J$1402=Calcs!$I1465,Calcs!$I1465&gt;N$61),0,IF(OR(N$63="Monthly",N$63=""),Calcs!T1465,IF(AND(N$63="Quarterly",INT((Calcs!$I1465-Calcs!T$1402)/3)=(Calcs!$I1465-Calcs!T$1402)/3),Calcs!T1465,IF(INT((Calcs!$I1465-Calcs!T$1402)/12)=(Calcs!$I1465-Calcs!T$1402)/12,Calcs!T1465,0))))</f>
        <v>0</v>
      </c>
      <c r="O595" s="849">
        <f>IF(OR(Calcs!$J$1402=Calcs!$I1465,Calcs!$I1465&gt;O$61),0,IF(OR(O$63="Monthly",O$63=""),Calcs!U1465,IF(AND(O$63="Quarterly",INT((Calcs!$I1465-Calcs!U$1402)/3)=(Calcs!$I1465-Calcs!U$1402)/3),Calcs!U1465,IF(INT((Calcs!$I1465-Calcs!U$1402)/12)=(Calcs!$I1465-Calcs!U$1402)/12,Calcs!U1465,0))))</f>
        <v>0</v>
      </c>
      <c r="P595" s="849">
        <f>IF(OR(Calcs!$J$1402=Calcs!$I1465,Calcs!$I1465&gt;P$61),0,IF(OR(P$63="Monthly",P$63=""),Calcs!V1465,IF(AND(P$63="Quarterly",INT((Calcs!$I1465-Calcs!V$1402)/3)=(Calcs!$I1465-Calcs!V$1402)/3),Calcs!V1465,IF(INT((Calcs!$I1465-Calcs!V$1402)/12)=(Calcs!$I1465-Calcs!V$1402)/12,Calcs!V1465,0))))</f>
        <v>0</v>
      </c>
      <c r="Q595" s="849">
        <f>IF(OR(Calcs!$J$1402=Calcs!$I1465,Calcs!$I1465&gt;Q$61),0,IF(OR(Q$63="Monthly",Q$63=""),Calcs!W1465,IF(AND(Q$63="Quarterly",INT((Calcs!$I1465-Calcs!W$1402)/3)=(Calcs!$I1465-Calcs!W$1402)/3),Calcs!W1465,IF(INT((Calcs!$I1465-Calcs!W$1402)/12)=(Calcs!$I1465-Calcs!W$1402)/12,Calcs!W1465,0))))</f>
        <v>0</v>
      </c>
      <c r="R595" s="849">
        <f>IF(OR(Calcs!$J$1402=Calcs!$I1465,Calcs!$I1465&gt;R$61),0,IF(OR(R$63="Monthly",R$63=""),Calcs!X1465,IF(AND(R$63="Quarterly",INT((Calcs!$I1465-Calcs!X$1402)/3)=(Calcs!$I1465-Calcs!X$1402)/3),Calcs!X1465,IF(INT((Calcs!$I1465-Calcs!X$1402)/12)=(Calcs!$I1465-Calcs!X$1402)/12,Calcs!X1465,0))))</f>
        <v>0</v>
      </c>
      <c r="S595" s="849">
        <f>IF(OR(Calcs!$J$1402=Calcs!$I1465,Calcs!$I1465&gt;S$61),0,IF(OR(S$63="Monthly",S$63=""),Calcs!Y1465,IF(AND(S$63="Quarterly",INT((Calcs!$I1465-Calcs!Y$1402)/3)=(Calcs!$I1465-Calcs!Y$1402)/3),Calcs!Y1465,IF(INT((Calcs!$I1465-Calcs!Y$1402)/12)=(Calcs!$I1465-Calcs!Y$1402)/12,Calcs!Y1465,0))))</f>
        <v>0</v>
      </c>
      <c r="T595" s="849">
        <f>IF(OR(Calcs!$J$1402=Calcs!$I1465,Calcs!$I1465&gt;T$61),0,IF(OR(T$63="Monthly",T$63=""),Calcs!Z1465,IF(AND(T$63="Quarterly",INT((Calcs!$I1465-Calcs!Z$1402)/3)=(Calcs!$I1465-Calcs!Z$1402)/3),Calcs!Z1465,IF(INT((Calcs!$I1465-Calcs!Z$1402)/12)=(Calcs!$I1465-Calcs!Z$1402)/12,Calcs!Z1465,0))))</f>
        <v>0</v>
      </c>
      <c r="U595" s="849">
        <f>IF(OR(Calcs!$J$1402=Calcs!$I1465,Calcs!$I1465&gt;U$61),0,IF(OR(U$63="Monthly",U$63=""),Calcs!AA1465,IF(AND(U$63="Quarterly",INT((Calcs!$I1465-Calcs!AA$1402)/3)=(Calcs!$I1465-Calcs!AA$1402)/3),Calcs!AA1465,IF(INT((Calcs!$I1465-Calcs!AA$1402)/12)=(Calcs!$I1465-Calcs!AA$1402)/12,Calcs!AA1465,0))))</f>
        <v>0</v>
      </c>
      <c r="V595" s="849">
        <f>IF(OR(Calcs!$J$1402=Calcs!$I1465,Calcs!$I1465&gt;V$61),0,IF(OR(V$63="Monthly",V$63=""),Calcs!AB1465,IF(AND(V$63="Quarterly",INT((Calcs!$I1465-Calcs!AB$1402)/3)=(Calcs!$I1465-Calcs!AB$1402)/3),Calcs!AB1465,IF(INT((Calcs!$I1465-Calcs!AB$1402)/12)=(Calcs!$I1465-Calcs!AB$1402)/12,Calcs!AB1465,0))))</f>
        <v>0</v>
      </c>
      <c r="W595" s="849">
        <f>IF(OR(Calcs!$J$1402=Calcs!$I1465,Calcs!$I1465&gt;W$61),0,IF(OR(W$63="Monthly",W$63=""),Calcs!AC1465,IF(AND(W$63="Quarterly",INT((Calcs!$I1465-Calcs!AC$1402)/3)=(Calcs!$I1465-Calcs!AC$1402)/3),Calcs!AC1465,IF(INT((Calcs!$I1465-Calcs!AC$1402)/12)=(Calcs!$I1465-Calcs!AC$1402)/12,Calcs!AC1465,0))))</f>
        <v>0</v>
      </c>
      <c r="X595" s="849">
        <f>IF(OR(Calcs!$J$1402=Calcs!$I1465,Calcs!$I1465&gt;X$61),0,IF(OR(X$63="Monthly",X$63=""),Calcs!AD1465,IF(AND(X$63="Quarterly",INT((Calcs!$I1465-Calcs!AD$1402)/3)=(Calcs!$I1465-Calcs!AD$1402)/3),Calcs!AD1465,IF(INT((Calcs!$I1465-Calcs!AD$1402)/12)=(Calcs!$I1465-Calcs!AD$1402)/12,Calcs!AD1465,0))))</f>
        <v>0</v>
      </c>
      <c r="Y595" s="849">
        <f>IF(OR(Calcs!$J$1402=Calcs!$I1465,Calcs!$I1465&gt;Y$61),0,IF(OR(Y$63="Monthly",Y$63=""),Calcs!AE1465,IF(AND(Y$63="Quarterly",INT((Calcs!$I1465-Calcs!AE$1402)/3)=(Calcs!$I1465-Calcs!AE$1402)/3),Calcs!AE1465,IF(INT((Calcs!$I1465-Calcs!AE$1402)/12)=(Calcs!$I1465-Calcs!AE$1402)/12,Calcs!AE1465,0))))</f>
        <v>0</v>
      </c>
      <c r="Z595" s="849">
        <f>IF(OR(Calcs!$J$1402=Calcs!$I1465,Calcs!$I1465&gt;Z$61),0,IF(OR(Z$63="Monthly",Z$63=""),Calcs!AF1465,IF(AND(Z$63="Quarterly",INT((Calcs!$I1465-Calcs!AF$1402)/3)=(Calcs!$I1465-Calcs!AF$1402)/3),Calcs!AF1465,IF(INT((Calcs!$I1465-Calcs!AF$1402)/12)=(Calcs!$I1465-Calcs!AF$1402)/12,Calcs!AF1465,0))))</f>
        <v>0</v>
      </c>
      <c r="AA595" s="849">
        <f>IF(OR(Calcs!$J$1402=Calcs!$I1465,Calcs!$I1465&gt;AA$61),0,IF(OR(AA$63="Monthly",AA$63=""),Calcs!AG1465,IF(AND(AA$63="Quarterly",INT((Calcs!$I1465-Calcs!AG$1402)/3)=(Calcs!$I1465-Calcs!AG$1402)/3),Calcs!AG1465,IF(INT((Calcs!$I1465-Calcs!AG$1402)/12)=(Calcs!$I1465-Calcs!AG$1402)/12,Calcs!AG1465,0))))</f>
        <v>0</v>
      </c>
      <c r="AB595" s="850">
        <f>IF(OR(Calcs!$J$1402=Calcs!$I1465,Calcs!$I1465&gt;AB$61),0,IF(OR(AB$63="Monthly",AB$63=""),Calcs!AH1465,IF(AND(AB$63="Quarterly",INT((Calcs!$I1465-Calcs!AH$1402)/3)=(Calcs!$I1465-Calcs!AH$1402)/3),Calcs!AH1465,IF(INT((Calcs!$I1465-Calcs!AH$1402)/12)=(Calcs!$I1465-Calcs!AH$1402)/12,Calcs!AH1465,0))))</f>
        <v>0</v>
      </c>
      <c r="CH595" s="269"/>
      <c r="CI595" s="269"/>
      <c r="CJ595" s="269"/>
      <c r="CK595" s="269"/>
      <c r="CL595" s="269"/>
      <c r="CM595" s="269"/>
      <c r="CN595" s="269"/>
      <c r="CO595" s="269"/>
      <c r="CP595" s="269"/>
      <c r="CQ595" s="269"/>
      <c r="CR595" s="269"/>
      <c r="CS595" s="269"/>
    </row>
    <row r="596" spans="1:97" ht="12" customHeight="1" x14ac:dyDescent="0.45">
      <c r="A596" s="5"/>
      <c r="B596" s="5"/>
      <c r="C596" s="851"/>
      <c r="D596" s="852"/>
      <c r="E596" s="853"/>
      <c r="F596" s="853"/>
      <c r="G596" s="853"/>
      <c r="H596" s="853"/>
      <c r="I596" s="853"/>
      <c r="J596" s="853"/>
      <c r="K596" s="853"/>
      <c r="L596" s="853"/>
      <c r="M596" s="853"/>
      <c r="N596" s="853"/>
      <c r="O596" s="853"/>
      <c r="P596" s="853"/>
      <c r="Q596" s="853"/>
      <c r="R596" s="853"/>
      <c r="S596" s="853"/>
      <c r="T596" s="853"/>
      <c r="U596" s="853"/>
      <c r="V596" s="853"/>
      <c r="W596" s="853"/>
      <c r="X596" s="853"/>
      <c r="Y596" s="853"/>
      <c r="Z596" s="853"/>
      <c r="AA596" s="853"/>
      <c r="AB596" s="853"/>
      <c r="CH596" s="269"/>
      <c r="CI596" s="269"/>
      <c r="CJ596" s="269"/>
      <c r="CK596" s="269"/>
      <c r="CL596" s="269"/>
      <c r="CM596" s="269"/>
      <c r="CN596" s="269"/>
      <c r="CO596" s="269"/>
      <c r="CP596" s="269"/>
      <c r="CQ596" s="269"/>
      <c r="CR596" s="269"/>
      <c r="CS596" s="269"/>
    </row>
    <row r="597" spans="1:97" ht="12" customHeight="1" x14ac:dyDescent="0.45">
      <c r="A597" s="1799"/>
      <c r="B597" s="1830" t="s">
        <v>197</v>
      </c>
      <c r="C597" s="1830"/>
      <c r="D597" s="224"/>
      <c r="E597" s="224"/>
      <c r="F597" s="224"/>
      <c r="G597" s="224"/>
      <c r="H597" s="224"/>
      <c r="I597" s="224"/>
      <c r="J597" s="224"/>
      <c r="K597" s="224"/>
      <c r="L597" s="224"/>
      <c r="M597" s="224"/>
      <c r="N597" s="224"/>
      <c r="O597" s="224"/>
      <c r="P597" s="224"/>
      <c r="Q597" s="224"/>
      <c r="R597" s="224"/>
      <c r="S597" s="224"/>
      <c r="T597" s="224"/>
      <c r="U597" s="224"/>
      <c r="V597" s="224"/>
      <c r="W597" s="224"/>
      <c r="X597" s="224"/>
      <c r="Y597" s="224"/>
      <c r="Z597" s="224"/>
      <c r="AA597" s="224"/>
      <c r="AB597" s="224"/>
      <c r="CH597" s="269"/>
      <c r="CI597" s="269"/>
      <c r="CJ597" s="269"/>
      <c r="CK597" s="269"/>
      <c r="CL597" s="269"/>
      <c r="CM597" s="269"/>
      <c r="CN597" s="269"/>
      <c r="CO597" s="269"/>
      <c r="CP597" s="269"/>
      <c r="CQ597" s="269"/>
      <c r="CR597" s="269"/>
      <c r="CS597" s="269"/>
    </row>
    <row r="598" spans="1:97" s="5" customFormat="1" ht="12.75" customHeight="1" thickBot="1" x14ac:dyDescent="0.35">
      <c r="A598" s="646"/>
      <c r="B598" s="1830"/>
      <c r="C598" s="1830"/>
      <c r="D598" s="820" t="str">
        <f>D535</f>
        <v>Item 1</v>
      </c>
      <c r="E598" s="820" t="str">
        <f>E535</f>
        <v>Item 2</v>
      </c>
      <c r="F598" s="820" t="str">
        <f>F535</f>
        <v>Item 3</v>
      </c>
      <c r="G598" s="820" t="str">
        <f>G535</f>
        <v>Item 4</v>
      </c>
      <c r="H598" s="820" t="str">
        <f>H535</f>
        <v>Item 5</v>
      </c>
      <c r="I598" s="820" t="str">
        <f>I535</f>
        <v>Item 6</v>
      </c>
      <c r="J598" s="820" t="str">
        <f>J535</f>
        <v>Item 7</v>
      </c>
      <c r="K598" s="820" t="str">
        <f>K535</f>
        <v>Item 8</v>
      </c>
      <c r="L598" s="820" t="str">
        <f>L535</f>
        <v>Item 9</v>
      </c>
      <c r="M598" s="820" t="str">
        <f>M535</f>
        <v>Item 10</v>
      </c>
      <c r="N598" s="820" t="str">
        <f>N535</f>
        <v>Item 11</v>
      </c>
      <c r="O598" s="820" t="str">
        <f>O535</f>
        <v>Item 12</v>
      </c>
      <c r="P598" s="820" t="str">
        <f>P535</f>
        <v>Item 13</v>
      </c>
      <c r="Q598" s="820" t="str">
        <f>Q535</f>
        <v>Item 14</v>
      </c>
      <c r="R598" s="820" t="str">
        <f>R535</f>
        <v>Item 15</v>
      </c>
      <c r="S598" s="820" t="str">
        <f>S535</f>
        <v>Item 16</v>
      </c>
      <c r="T598" s="820" t="str">
        <f>T535</f>
        <v>Item 17</v>
      </c>
      <c r="U598" s="820" t="str">
        <f>U535</f>
        <v>Item 18</v>
      </c>
      <c r="V598" s="820" t="str">
        <f>V535</f>
        <v>Item 19</v>
      </c>
      <c r="W598" s="820" t="str">
        <f>W535</f>
        <v>Item 20</v>
      </c>
      <c r="X598" s="820" t="str">
        <f>X535</f>
        <v>Item 21</v>
      </c>
      <c r="Y598" s="820" t="str">
        <f>Y535</f>
        <v>Item 22</v>
      </c>
      <c r="Z598" s="820" t="str">
        <f>Z535</f>
        <v>Item 23</v>
      </c>
      <c r="AA598" s="820" t="str">
        <f>AA535</f>
        <v>Item 24</v>
      </c>
      <c r="AB598" s="820" t="str">
        <f>AB535</f>
        <v>Item 25</v>
      </c>
      <c r="AC598" s="4"/>
      <c r="AD598" s="4"/>
      <c r="AE598" s="4"/>
      <c r="AF598" s="4"/>
      <c r="AG598" s="4"/>
      <c r="AH598" s="4"/>
      <c r="AI598" s="4"/>
      <c r="AJ598" s="4"/>
      <c r="AK598" s="4"/>
      <c r="AL598" s="4"/>
      <c r="AM598" s="4"/>
      <c r="AN598" s="4"/>
      <c r="AO598" s="4"/>
      <c r="AP598" s="4"/>
      <c r="AQ598" s="4"/>
      <c r="AR598" s="4"/>
      <c r="AS598" s="4"/>
      <c r="AT598" s="4"/>
      <c r="AU598" s="4"/>
      <c r="AV598" s="4"/>
      <c r="AW598" s="4"/>
      <c r="AX598" s="4"/>
      <c r="AY598" s="4"/>
      <c r="AZ598" s="4"/>
      <c r="BA598" s="4"/>
      <c r="BB598" s="4"/>
      <c r="BC598" s="4"/>
      <c r="BD598" s="4"/>
      <c r="BE598" s="4"/>
      <c r="BF598" s="4"/>
      <c r="BG598" s="4"/>
      <c r="BH598" s="4"/>
      <c r="BI598" s="4"/>
      <c r="BJ598" s="4"/>
      <c r="BK598" s="4"/>
      <c r="BL598" s="4"/>
      <c r="BM598" s="4"/>
      <c r="BN598" s="4"/>
      <c r="BO598" s="4"/>
      <c r="BP598" s="4"/>
      <c r="BQ598" s="4"/>
      <c r="BR598" s="4"/>
      <c r="BS598" s="4"/>
      <c r="BT598" s="4"/>
      <c r="BU598" s="4"/>
      <c r="BV598" s="4"/>
      <c r="BW598" s="4"/>
      <c r="BX598" s="4"/>
      <c r="BY598" s="4"/>
      <c r="BZ598" s="4"/>
      <c r="CA598" s="4"/>
      <c r="CB598" s="4"/>
      <c r="CC598" s="4"/>
      <c r="CD598" s="4"/>
      <c r="CE598" s="4"/>
      <c r="CF598" s="4"/>
      <c r="CG598" s="4"/>
      <c r="CH598" s="821"/>
      <c r="CI598" s="821"/>
      <c r="CJ598" s="821"/>
      <c r="CK598" s="821"/>
      <c r="CL598" s="821"/>
      <c r="CM598" s="821"/>
      <c r="CN598" s="821"/>
      <c r="CO598" s="821"/>
      <c r="CP598" s="821"/>
      <c r="CQ598" s="821"/>
      <c r="CR598" s="821"/>
      <c r="CS598" s="821"/>
    </row>
    <row r="599" spans="1:97" ht="12" customHeight="1" x14ac:dyDescent="0.3">
      <c r="A599" s="5"/>
      <c r="B599" s="5"/>
      <c r="C599" s="495">
        <f>C536</f>
        <v>0</v>
      </c>
      <c r="D599" s="643"/>
      <c r="E599" s="643"/>
      <c r="F599" s="643"/>
      <c r="G599" s="643"/>
      <c r="H599" s="643"/>
      <c r="I599" s="643"/>
      <c r="J599" s="643"/>
      <c r="K599" s="643"/>
      <c r="L599" s="643"/>
      <c r="M599" s="643"/>
      <c r="N599" s="643"/>
      <c r="O599" s="643"/>
      <c r="P599" s="643"/>
      <c r="Q599" s="643"/>
      <c r="R599" s="643"/>
      <c r="S599" s="643"/>
      <c r="T599" s="643"/>
      <c r="U599" s="643"/>
      <c r="V599" s="643"/>
      <c r="W599" s="643"/>
      <c r="X599" s="643"/>
      <c r="Y599" s="643"/>
      <c r="Z599" s="643"/>
      <c r="AA599" s="643"/>
      <c r="AB599" s="643"/>
      <c r="CH599" s="269"/>
      <c r="CI599" s="269"/>
      <c r="CJ599" s="269"/>
      <c r="CK599" s="269"/>
      <c r="CL599" s="269"/>
      <c r="CM599" s="269"/>
      <c r="CN599" s="269"/>
      <c r="CO599" s="269"/>
      <c r="CP599" s="269"/>
      <c r="CQ599" s="269"/>
      <c r="CR599" s="269"/>
      <c r="CS599" s="269"/>
    </row>
    <row r="600" spans="1:97" ht="12" customHeight="1" x14ac:dyDescent="0.3">
      <c r="A600" s="5"/>
      <c r="B600" s="5"/>
      <c r="C600" s="495">
        <f>C537</f>
        <v>59</v>
      </c>
      <c r="D600" s="234">
        <f>Input!D69</f>
        <v>0</v>
      </c>
      <c r="E600" s="234">
        <f>Input!E69</f>
        <v>0</v>
      </c>
      <c r="F600" s="234">
        <f>Input!F69</f>
        <v>0</v>
      </c>
      <c r="G600" s="234">
        <f>Input!G69</f>
        <v>0</v>
      </c>
      <c r="H600" s="234">
        <f>Input!H69</f>
        <v>0</v>
      </c>
      <c r="I600" s="234">
        <f>Input!I69</f>
        <v>0</v>
      </c>
      <c r="J600" s="234">
        <f>Input!J69</f>
        <v>0</v>
      </c>
      <c r="K600" s="234">
        <f>Input!K69</f>
        <v>0</v>
      </c>
      <c r="L600" s="234">
        <f>Input!L69</f>
        <v>0</v>
      </c>
      <c r="M600" s="234">
        <f>Input!M69</f>
        <v>0</v>
      </c>
      <c r="N600" s="234">
        <f>Input!N69</f>
        <v>0</v>
      </c>
      <c r="O600" s="234">
        <f>Input!O69</f>
        <v>0</v>
      </c>
      <c r="P600" s="234">
        <f>Input!P69</f>
        <v>0</v>
      </c>
      <c r="Q600" s="234">
        <f>Input!Q69</f>
        <v>0</v>
      </c>
      <c r="R600" s="234">
        <f>Input!R69</f>
        <v>0</v>
      </c>
      <c r="S600" s="234">
        <f>Input!S69</f>
        <v>0</v>
      </c>
      <c r="T600" s="234">
        <f>Input!T69</f>
        <v>0</v>
      </c>
      <c r="U600" s="234">
        <f>Input!U69</f>
        <v>0</v>
      </c>
      <c r="V600" s="234">
        <f>Input!V69</f>
        <v>0</v>
      </c>
      <c r="W600" s="234">
        <f>Input!W69</f>
        <v>0</v>
      </c>
      <c r="X600" s="234">
        <f>Input!X69</f>
        <v>0</v>
      </c>
      <c r="Y600" s="234">
        <f>Input!Y69</f>
        <v>0</v>
      </c>
      <c r="Z600" s="234">
        <f>Input!Z69</f>
        <v>0</v>
      </c>
      <c r="AA600" s="234">
        <f>Input!AA69</f>
        <v>0</v>
      </c>
      <c r="AB600" s="234">
        <f>Input!AB69</f>
        <v>0</v>
      </c>
      <c r="CH600" s="269"/>
      <c r="CI600" s="269"/>
      <c r="CJ600" s="269"/>
      <c r="CK600" s="269"/>
      <c r="CL600" s="269"/>
      <c r="CM600" s="269"/>
      <c r="CN600" s="269"/>
      <c r="CO600" s="269"/>
      <c r="CP600" s="269"/>
      <c r="CQ600" s="269"/>
      <c r="CR600" s="269"/>
      <c r="CS600" s="269"/>
    </row>
    <row r="601" spans="1:97" ht="12" customHeight="1" x14ac:dyDescent="0.3">
      <c r="A601" s="5"/>
      <c r="B601" s="5"/>
      <c r="C601" s="495">
        <f>C538</f>
        <v>91</v>
      </c>
      <c r="D601" s="233">
        <f>D600</f>
        <v>0</v>
      </c>
      <c r="E601" s="233">
        <f>E600</f>
        <v>0</v>
      </c>
      <c r="F601" s="233">
        <f>F600</f>
        <v>0</v>
      </c>
      <c r="G601" s="233">
        <f>G600</f>
        <v>0</v>
      </c>
      <c r="H601" s="233">
        <f>H600</f>
        <v>0</v>
      </c>
      <c r="I601" s="233">
        <f>I600</f>
        <v>0</v>
      </c>
      <c r="J601" s="233">
        <f>J600</f>
        <v>0</v>
      </c>
      <c r="K601" s="233">
        <f>K600</f>
        <v>0</v>
      </c>
      <c r="L601" s="233">
        <f>L600</f>
        <v>0</v>
      </c>
      <c r="M601" s="233">
        <f>M600</f>
        <v>0</v>
      </c>
      <c r="N601" s="233">
        <f>N600</f>
        <v>0</v>
      </c>
      <c r="O601" s="233">
        <f>O600</f>
        <v>0</v>
      </c>
      <c r="P601" s="233">
        <f>P600</f>
        <v>0</v>
      </c>
      <c r="Q601" s="233">
        <f>Q600</f>
        <v>0</v>
      </c>
      <c r="R601" s="233">
        <f>R600</f>
        <v>0</v>
      </c>
      <c r="S601" s="233">
        <f>S600</f>
        <v>0</v>
      </c>
      <c r="T601" s="233">
        <f>T600</f>
        <v>0</v>
      </c>
      <c r="U601" s="233">
        <f>U600</f>
        <v>0</v>
      </c>
      <c r="V601" s="233">
        <f>V600</f>
        <v>0</v>
      </c>
      <c r="W601" s="233">
        <f>W600</f>
        <v>0</v>
      </c>
      <c r="X601" s="233">
        <f>X600</f>
        <v>0</v>
      </c>
      <c r="Y601" s="233">
        <f>Y600</f>
        <v>0</v>
      </c>
      <c r="Z601" s="233">
        <f>Z600</f>
        <v>0</v>
      </c>
      <c r="AA601" s="233">
        <f>AA600</f>
        <v>0</v>
      </c>
      <c r="AB601" s="233">
        <f>AB600</f>
        <v>0</v>
      </c>
      <c r="CH601" s="269"/>
      <c r="CI601" s="269"/>
      <c r="CJ601" s="269"/>
      <c r="CK601" s="269"/>
      <c r="CL601" s="269"/>
      <c r="CM601" s="269"/>
      <c r="CN601" s="269"/>
      <c r="CO601" s="269"/>
      <c r="CP601" s="269"/>
      <c r="CQ601" s="269"/>
      <c r="CR601" s="269"/>
      <c r="CS601" s="269"/>
    </row>
    <row r="602" spans="1:97" ht="12" customHeight="1" x14ac:dyDescent="0.3">
      <c r="A602" s="5"/>
      <c r="B602" s="5"/>
      <c r="C602" s="495">
        <f>C539</f>
        <v>121</v>
      </c>
      <c r="D602" s="233">
        <f>D601</f>
        <v>0</v>
      </c>
      <c r="E602" s="233">
        <f>E601</f>
        <v>0</v>
      </c>
      <c r="F602" s="233">
        <f>F601</f>
        <v>0</v>
      </c>
      <c r="G602" s="233">
        <f>G601</f>
        <v>0</v>
      </c>
      <c r="H602" s="233">
        <f>H601</f>
        <v>0</v>
      </c>
      <c r="I602" s="233">
        <f>I601</f>
        <v>0</v>
      </c>
      <c r="J602" s="233">
        <f>J601</f>
        <v>0</v>
      </c>
      <c r="K602" s="233">
        <f>K601</f>
        <v>0</v>
      </c>
      <c r="L602" s="233">
        <f>L601</f>
        <v>0</v>
      </c>
      <c r="M602" s="233">
        <f>M601</f>
        <v>0</v>
      </c>
      <c r="N602" s="233">
        <f>N601</f>
        <v>0</v>
      </c>
      <c r="O602" s="233">
        <f>O601</f>
        <v>0</v>
      </c>
      <c r="P602" s="233">
        <f>P601</f>
        <v>0</v>
      </c>
      <c r="Q602" s="233">
        <f>Q601</f>
        <v>0</v>
      </c>
      <c r="R602" s="233">
        <f>R601</f>
        <v>0</v>
      </c>
      <c r="S602" s="233">
        <f>S601</f>
        <v>0</v>
      </c>
      <c r="T602" s="233">
        <f>T601</f>
        <v>0</v>
      </c>
      <c r="U602" s="233">
        <f>U601</f>
        <v>0</v>
      </c>
      <c r="V602" s="233">
        <f>V601</f>
        <v>0</v>
      </c>
      <c r="W602" s="233">
        <f>W601</f>
        <v>0</v>
      </c>
      <c r="X602" s="233">
        <f>X601</f>
        <v>0</v>
      </c>
      <c r="Y602" s="233">
        <f>Y601</f>
        <v>0</v>
      </c>
      <c r="Z602" s="233">
        <f>Z601</f>
        <v>0</v>
      </c>
      <c r="AA602" s="233">
        <f>AA601</f>
        <v>0</v>
      </c>
      <c r="AB602" s="233">
        <f>AB601</f>
        <v>0</v>
      </c>
      <c r="CH602" s="269"/>
      <c r="CI602" s="269"/>
      <c r="CJ602" s="269"/>
      <c r="CK602" s="269"/>
      <c r="CL602" s="269"/>
      <c r="CM602" s="269"/>
      <c r="CN602" s="269"/>
      <c r="CO602" s="269"/>
      <c r="CP602" s="269"/>
      <c r="CQ602" s="269"/>
      <c r="CR602" s="269"/>
      <c r="CS602" s="269"/>
    </row>
    <row r="603" spans="1:97" ht="12" customHeight="1" x14ac:dyDescent="0.3">
      <c r="A603" s="5"/>
      <c r="B603" s="5"/>
      <c r="C603" s="495">
        <f>C540</f>
        <v>152</v>
      </c>
      <c r="D603" s="233">
        <f>D602</f>
        <v>0</v>
      </c>
      <c r="E603" s="233">
        <f>E602</f>
        <v>0</v>
      </c>
      <c r="F603" s="233">
        <f>F602</f>
        <v>0</v>
      </c>
      <c r="G603" s="233">
        <f>G602</f>
        <v>0</v>
      </c>
      <c r="H603" s="233">
        <f>H602</f>
        <v>0</v>
      </c>
      <c r="I603" s="233">
        <f>I602</f>
        <v>0</v>
      </c>
      <c r="J603" s="233">
        <f>J602</f>
        <v>0</v>
      </c>
      <c r="K603" s="233">
        <f>K602</f>
        <v>0</v>
      </c>
      <c r="L603" s="233">
        <f>L602</f>
        <v>0</v>
      </c>
      <c r="M603" s="233">
        <f>M602</f>
        <v>0</v>
      </c>
      <c r="N603" s="233">
        <f>N602</f>
        <v>0</v>
      </c>
      <c r="O603" s="233">
        <f>O602</f>
        <v>0</v>
      </c>
      <c r="P603" s="233">
        <f>P602</f>
        <v>0</v>
      </c>
      <c r="Q603" s="233">
        <f>Q602</f>
        <v>0</v>
      </c>
      <c r="R603" s="233">
        <f>R602</f>
        <v>0</v>
      </c>
      <c r="S603" s="233">
        <f>S602</f>
        <v>0</v>
      </c>
      <c r="T603" s="233">
        <f>T602</f>
        <v>0</v>
      </c>
      <c r="U603" s="233">
        <f>U602</f>
        <v>0</v>
      </c>
      <c r="V603" s="233">
        <f>V602</f>
        <v>0</v>
      </c>
      <c r="W603" s="233">
        <f>W602</f>
        <v>0</v>
      </c>
      <c r="X603" s="233">
        <f>X602</f>
        <v>0</v>
      </c>
      <c r="Y603" s="233">
        <f>Y602</f>
        <v>0</v>
      </c>
      <c r="Z603" s="233">
        <f>Z602</f>
        <v>0</v>
      </c>
      <c r="AA603" s="233">
        <f>AA602</f>
        <v>0</v>
      </c>
      <c r="AB603" s="233">
        <f>AB602</f>
        <v>0</v>
      </c>
      <c r="CH603" s="269"/>
      <c r="CI603" s="269"/>
      <c r="CJ603" s="269"/>
      <c r="CK603" s="269"/>
      <c r="CL603" s="269"/>
      <c r="CM603" s="269"/>
      <c r="CN603" s="269"/>
      <c r="CO603" s="269"/>
      <c r="CP603" s="269"/>
      <c r="CQ603" s="269"/>
      <c r="CR603" s="269"/>
      <c r="CS603" s="269"/>
    </row>
    <row r="604" spans="1:97" ht="12" customHeight="1" x14ac:dyDescent="0.3">
      <c r="A604" s="5"/>
      <c r="B604" s="5"/>
      <c r="C604" s="495">
        <f>C541</f>
        <v>182</v>
      </c>
      <c r="D604" s="233">
        <f>D603</f>
        <v>0</v>
      </c>
      <c r="E604" s="233">
        <f>E603</f>
        <v>0</v>
      </c>
      <c r="F604" s="233">
        <f>F603</f>
        <v>0</v>
      </c>
      <c r="G604" s="233">
        <f>G603</f>
        <v>0</v>
      </c>
      <c r="H604" s="233">
        <f>H603</f>
        <v>0</v>
      </c>
      <c r="I604" s="233">
        <f>I603</f>
        <v>0</v>
      </c>
      <c r="J604" s="233">
        <f>J603</f>
        <v>0</v>
      </c>
      <c r="K604" s="233">
        <f>K603</f>
        <v>0</v>
      </c>
      <c r="L604" s="233">
        <f>L603</f>
        <v>0</v>
      </c>
      <c r="M604" s="233">
        <f>M603</f>
        <v>0</v>
      </c>
      <c r="N604" s="233">
        <f>N603</f>
        <v>0</v>
      </c>
      <c r="O604" s="233">
        <f>O603</f>
        <v>0</v>
      </c>
      <c r="P604" s="233">
        <f>P603</f>
        <v>0</v>
      </c>
      <c r="Q604" s="233">
        <f>Q603</f>
        <v>0</v>
      </c>
      <c r="R604" s="233">
        <f>R603</f>
        <v>0</v>
      </c>
      <c r="S604" s="233">
        <f>S603</f>
        <v>0</v>
      </c>
      <c r="T604" s="233">
        <f>T603</f>
        <v>0</v>
      </c>
      <c r="U604" s="233">
        <f>U603</f>
        <v>0</v>
      </c>
      <c r="V604" s="233">
        <f>V603</f>
        <v>0</v>
      </c>
      <c r="W604" s="233">
        <f>W603</f>
        <v>0</v>
      </c>
      <c r="X604" s="233">
        <f>X603</f>
        <v>0</v>
      </c>
      <c r="Y604" s="233">
        <f>Y603</f>
        <v>0</v>
      </c>
      <c r="Z604" s="233">
        <f>Z603</f>
        <v>0</v>
      </c>
      <c r="AA604" s="233">
        <f>AA603</f>
        <v>0</v>
      </c>
      <c r="AB604" s="233">
        <f>AB603</f>
        <v>0</v>
      </c>
      <c r="CH604" s="269"/>
      <c r="CI604" s="269"/>
      <c r="CJ604" s="269"/>
      <c r="CK604" s="269"/>
      <c r="CL604" s="269"/>
      <c r="CM604" s="269"/>
      <c r="CN604" s="269"/>
      <c r="CO604" s="269"/>
      <c r="CP604" s="269"/>
      <c r="CQ604" s="269"/>
      <c r="CR604" s="269"/>
      <c r="CS604" s="269"/>
    </row>
    <row r="605" spans="1:97" ht="12" customHeight="1" x14ac:dyDescent="0.3">
      <c r="A605" s="5"/>
      <c r="B605" s="5"/>
      <c r="C605" s="495">
        <f>C542</f>
        <v>213</v>
      </c>
      <c r="D605" s="233">
        <f>D604</f>
        <v>0</v>
      </c>
      <c r="E605" s="233">
        <f>E604</f>
        <v>0</v>
      </c>
      <c r="F605" s="233">
        <f>F604</f>
        <v>0</v>
      </c>
      <c r="G605" s="233">
        <f>G604</f>
        <v>0</v>
      </c>
      <c r="H605" s="233">
        <f>H604</f>
        <v>0</v>
      </c>
      <c r="I605" s="233">
        <f>I604</f>
        <v>0</v>
      </c>
      <c r="J605" s="233">
        <f>J604</f>
        <v>0</v>
      </c>
      <c r="K605" s="233">
        <f>K604</f>
        <v>0</v>
      </c>
      <c r="L605" s="233">
        <f>L604</f>
        <v>0</v>
      </c>
      <c r="M605" s="233">
        <f>M604</f>
        <v>0</v>
      </c>
      <c r="N605" s="233">
        <f>N604</f>
        <v>0</v>
      </c>
      <c r="O605" s="233">
        <f>O604</f>
        <v>0</v>
      </c>
      <c r="P605" s="233">
        <f>P604</f>
        <v>0</v>
      </c>
      <c r="Q605" s="233">
        <f>Q604</f>
        <v>0</v>
      </c>
      <c r="R605" s="233">
        <f>R604</f>
        <v>0</v>
      </c>
      <c r="S605" s="233">
        <f>S604</f>
        <v>0</v>
      </c>
      <c r="T605" s="233">
        <f>T604</f>
        <v>0</v>
      </c>
      <c r="U605" s="233">
        <f>U604</f>
        <v>0</v>
      </c>
      <c r="V605" s="233">
        <f>V604</f>
        <v>0</v>
      </c>
      <c r="W605" s="233">
        <f>W604</f>
        <v>0</v>
      </c>
      <c r="X605" s="233">
        <f>X604</f>
        <v>0</v>
      </c>
      <c r="Y605" s="233">
        <f>Y604</f>
        <v>0</v>
      </c>
      <c r="Z605" s="233">
        <f>Z604</f>
        <v>0</v>
      </c>
      <c r="AA605" s="233">
        <f>AA604</f>
        <v>0</v>
      </c>
      <c r="AB605" s="233">
        <f>AB604</f>
        <v>0</v>
      </c>
      <c r="CH605" s="269"/>
      <c r="CI605" s="269"/>
      <c r="CJ605" s="269"/>
      <c r="CK605" s="269"/>
      <c r="CL605" s="269"/>
      <c r="CM605" s="269"/>
      <c r="CN605" s="269"/>
      <c r="CO605" s="269"/>
      <c r="CP605" s="269"/>
      <c r="CQ605" s="269"/>
      <c r="CR605" s="269"/>
      <c r="CS605" s="269"/>
    </row>
    <row r="606" spans="1:97" ht="12" customHeight="1" x14ac:dyDescent="0.3">
      <c r="A606" s="5"/>
      <c r="B606" s="5"/>
      <c r="C606" s="495">
        <f>C543</f>
        <v>244</v>
      </c>
      <c r="D606" s="233">
        <f>D605</f>
        <v>0</v>
      </c>
      <c r="E606" s="233">
        <f>E605</f>
        <v>0</v>
      </c>
      <c r="F606" s="233">
        <f>F605</f>
        <v>0</v>
      </c>
      <c r="G606" s="233">
        <f>G605</f>
        <v>0</v>
      </c>
      <c r="H606" s="233">
        <f>H605</f>
        <v>0</v>
      </c>
      <c r="I606" s="233">
        <f>I605</f>
        <v>0</v>
      </c>
      <c r="J606" s="233">
        <f>J605</f>
        <v>0</v>
      </c>
      <c r="K606" s="233">
        <f>K605</f>
        <v>0</v>
      </c>
      <c r="L606" s="233">
        <f>L605</f>
        <v>0</v>
      </c>
      <c r="M606" s="233">
        <f>M605</f>
        <v>0</v>
      </c>
      <c r="N606" s="233">
        <f>N605</f>
        <v>0</v>
      </c>
      <c r="O606" s="233">
        <f>O605</f>
        <v>0</v>
      </c>
      <c r="P606" s="233">
        <f>P605</f>
        <v>0</v>
      </c>
      <c r="Q606" s="233">
        <f>Q605</f>
        <v>0</v>
      </c>
      <c r="R606" s="233">
        <f>R605</f>
        <v>0</v>
      </c>
      <c r="S606" s="233">
        <f>S605</f>
        <v>0</v>
      </c>
      <c r="T606" s="233">
        <f>T605</f>
        <v>0</v>
      </c>
      <c r="U606" s="233">
        <f>U605</f>
        <v>0</v>
      </c>
      <c r="V606" s="233">
        <f>V605</f>
        <v>0</v>
      </c>
      <c r="W606" s="233">
        <f>W605</f>
        <v>0</v>
      </c>
      <c r="X606" s="233">
        <f>X605</f>
        <v>0</v>
      </c>
      <c r="Y606" s="233">
        <f>Y605</f>
        <v>0</v>
      </c>
      <c r="Z606" s="233">
        <f>Z605</f>
        <v>0</v>
      </c>
      <c r="AA606" s="233">
        <f>AA605</f>
        <v>0</v>
      </c>
      <c r="AB606" s="233">
        <f>AB605</f>
        <v>0</v>
      </c>
      <c r="CH606" s="269"/>
      <c r="CI606" s="269"/>
      <c r="CJ606" s="269"/>
      <c r="CK606" s="269"/>
      <c r="CL606" s="269"/>
      <c r="CM606" s="269"/>
      <c r="CN606" s="269"/>
      <c r="CO606" s="269"/>
      <c r="CP606" s="269"/>
      <c r="CQ606" s="269"/>
      <c r="CR606" s="269"/>
      <c r="CS606" s="269"/>
    </row>
    <row r="607" spans="1:97" ht="12" customHeight="1" x14ac:dyDescent="0.3">
      <c r="A607" s="5"/>
      <c r="B607" s="5"/>
      <c r="C607" s="495">
        <f>C544</f>
        <v>274</v>
      </c>
      <c r="D607" s="233">
        <f>D606</f>
        <v>0</v>
      </c>
      <c r="E607" s="233">
        <f>E606</f>
        <v>0</v>
      </c>
      <c r="F607" s="233">
        <f>F606</f>
        <v>0</v>
      </c>
      <c r="G607" s="233">
        <f>G606</f>
        <v>0</v>
      </c>
      <c r="H607" s="233">
        <f>H606</f>
        <v>0</v>
      </c>
      <c r="I607" s="233">
        <f>I606</f>
        <v>0</v>
      </c>
      <c r="J607" s="233">
        <f>J606</f>
        <v>0</v>
      </c>
      <c r="K607" s="233">
        <f>K606</f>
        <v>0</v>
      </c>
      <c r="L607" s="233">
        <f>L606</f>
        <v>0</v>
      </c>
      <c r="M607" s="233">
        <f>M606</f>
        <v>0</v>
      </c>
      <c r="N607" s="233">
        <f>N606</f>
        <v>0</v>
      </c>
      <c r="O607" s="233">
        <f>O606</f>
        <v>0</v>
      </c>
      <c r="P607" s="233">
        <f>P606</f>
        <v>0</v>
      </c>
      <c r="Q607" s="233">
        <f>Q606</f>
        <v>0</v>
      </c>
      <c r="R607" s="233">
        <f>R606</f>
        <v>0</v>
      </c>
      <c r="S607" s="233">
        <f>S606</f>
        <v>0</v>
      </c>
      <c r="T607" s="233">
        <f>T606</f>
        <v>0</v>
      </c>
      <c r="U607" s="233">
        <f>U606</f>
        <v>0</v>
      </c>
      <c r="V607" s="233">
        <f>V606</f>
        <v>0</v>
      </c>
      <c r="W607" s="233">
        <f>W606</f>
        <v>0</v>
      </c>
      <c r="X607" s="233">
        <f>X606</f>
        <v>0</v>
      </c>
      <c r="Y607" s="233">
        <f>Y606</f>
        <v>0</v>
      </c>
      <c r="Z607" s="233">
        <f>Z606</f>
        <v>0</v>
      </c>
      <c r="AA607" s="233">
        <f>AA606</f>
        <v>0</v>
      </c>
      <c r="AB607" s="233">
        <f>AB606</f>
        <v>0</v>
      </c>
      <c r="CH607" s="269"/>
      <c r="CI607" s="269"/>
      <c r="CJ607" s="269"/>
      <c r="CK607" s="269"/>
      <c r="CL607" s="269"/>
      <c r="CM607" s="269"/>
      <c r="CN607" s="269"/>
      <c r="CO607" s="269"/>
      <c r="CP607" s="269"/>
      <c r="CQ607" s="269"/>
      <c r="CR607" s="269"/>
      <c r="CS607" s="269"/>
    </row>
    <row r="608" spans="1:97" ht="12" customHeight="1" x14ac:dyDescent="0.3">
      <c r="A608" s="5"/>
      <c r="B608" s="5"/>
      <c r="C608" s="495">
        <f>C545</f>
        <v>305</v>
      </c>
      <c r="D608" s="233">
        <f>D607</f>
        <v>0</v>
      </c>
      <c r="E608" s="233">
        <f>E607</f>
        <v>0</v>
      </c>
      <c r="F608" s="233">
        <f>F607</f>
        <v>0</v>
      </c>
      <c r="G608" s="233">
        <f>G607</f>
        <v>0</v>
      </c>
      <c r="H608" s="233">
        <f>H607</f>
        <v>0</v>
      </c>
      <c r="I608" s="233">
        <f>I607</f>
        <v>0</v>
      </c>
      <c r="J608" s="233">
        <f>J607</f>
        <v>0</v>
      </c>
      <c r="K608" s="233">
        <f>K607</f>
        <v>0</v>
      </c>
      <c r="L608" s="233">
        <f>L607</f>
        <v>0</v>
      </c>
      <c r="M608" s="233">
        <f>M607</f>
        <v>0</v>
      </c>
      <c r="N608" s="233">
        <f>N607</f>
        <v>0</v>
      </c>
      <c r="O608" s="233">
        <f>O607</f>
        <v>0</v>
      </c>
      <c r="P608" s="233">
        <f>P607</f>
        <v>0</v>
      </c>
      <c r="Q608" s="233">
        <f>Q607</f>
        <v>0</v>
      </c>
      <c r="R608" s="233">
        <f>R607</f>
        <v>0</v>
      </c>
      <c r="S608" s="233">
        <f>S607</f>
        <v>0</v>
      </c>
      <c r="T608" s="233">
        <f>T607</f>
        <v>0</v>
      </c>
      <c r="U608" s="233">
        <f>U607</f>
        <v>0</v>
      </c>
      <c r="V608" s="233">
        <f>V607</f>
        <v>0</v>
      </c>
      <c r="W608" s="233">
        <f>W607</f>
        <v>0</v>
      </c>
      <c r="X608" s="233">
        <f>X607</f>
        <v>0</v>
      </c>
      <c r="Y608" s="233">
        <f>Y607</f>
        <v>0</v>
      </c>
      <c r="Z608" s="233">
        <f>Z607</f>
        <v>0</v>
      </c>
      <c r="AA608" s="233">
        <f>AA607</f>
        <v>0</v>
      </c>
      <c r="AB608" s="233">
        <f>AB607</f>
        <v>0</v>
      </c>
      <c r="CH608" s="269"/>
      <c r="CI608" s="269"/>
      <c r="CJ608" s="269"/>
      <c r="CK608" s="269"/>
      <c r="CL608" s="269"/>
      <c r="CM608" s="269"/>
      <c r="CN608" s="269"/>
      <c r="CO608" s="269"/>
      <c r="CP608" s="269"/>
      <c r="CQ608" s="269"/>
      <c r="CR608" s="269"/>
      <c r="CS608" s="269"/>
    </row>
    <row r="609" spans="1:97" ht="12" customHeight="1" x14ac:dyDescent="0.3">
      <c r="A609" s="5"/>
      <c r="B609" s="5"/>
      <c r="C609" s="495">
        <f>C546</f>
        <v>335</v>
      </c>
      <c r="D609" s="233">
        <f>D608</f>
        <v>0</v>
      </c>
      <c r="E609" s="233">
        <f>E608</f>
        <v>0</v>
      </c>
      <c r="F609" s="233">
        <f>F608</f>
        <v>0</v>
      </c>
      <c r="G609" s="233">
        <f>G608</f>
        <v>0</v>
      </c>
      <c r="H609" s="233">
        <f>H608</f>
        <v>0</v>
      </c>
      <c r="I609" s="233">
        <f>I608</f>
        <v>0</v>
      </c>
      <c r="J609" s="233">
        <f>J608</f>
        <v>0</v>
      </c>
      <c r="K609" s="233">
        <f>K608</f>
        <v>0</v>
      </c>
      <c r="L609" s="233">
        <f>L608</f>
        <v>0</v>
      </c>
      <c r="M609" s="233">
        <f>M608</f>
        <v>0</v>
      </c>
      <c r="N609" s="233">
        <f>N608</f>
        <v>0</v>
      </c>
      <c r="O609" s="233">
        <f>O608</f>
        <v>0</v>
      </c>
      <c r="P609" s="233">
        <f>P608</f>
        <v>0</v>
      </c>
      <c r="Q609" s="233">
        <f>Q608</f>
        <v>0</v>
      </c>
      <c r="R609" s="233">
        <f>R608</f>
        <v>0</v>
      </c>
      <c r="S609" s="233">
        <f>S608</f>
        <v>0</v>
      </c>
      <c r="T609" s="233">
        <f>T608</f>
        <v>0</v>
      </c>
      <c r="U609" s="233">
        <f>U608</f>
        <v>0</v>
      </c>
      <c r="V609" s="233">
        <f>V608</f>
        <v>0</v>
      </c>
      <c r="W609" s="233">
        <f>W608</f>
        <v>0</v>
      </c>
      <c r="X609" s="233">
        <f>X608</f>
        <v>0</v>
      </c>
      <c r="Y609" s="233">
        <f>Y608</f>
        <v>0</v>
      </c>
      <c r="Z609" s="233">
        <f>Z608</f>
        <v>0</v>
      </c>
      <c r="AA609" s="233">
        <f>AA608</f>
        <v>0</v>
      </c>
      <c r="AB609" s="233">
        <f>AB608</f>
        <v>0</v>
      </c>
      <c r="CH609" s="269"/>
      <c r="CI609" s="269"/>
      <c r="CJ609" s="269"/>
      <c r="CK609" s="269"/>
      <c r="CL609" s="269"/>
      <c r="CM609" s="269"/>
      <c r="CN609" s="269"/>
      <c r="CO609" s="269"/>
      <c r="CP609" s="269"/>
      <c r="CQ609" s="269"/>
      <c r="CR609" s="269"/>
      <c r="CS609" s="269"/>
    </row>
    <row r="610" spans="1:97" ht="12.75" customHeight="1" thickBot="1" x14ac:dyDescent="0.35">
      <c r="A610" s="5"/>
      <c r="B610" s="5"/>
      <c r="C610" s="496">
        <f>C547</f>
        <v>366</v>
      </c>
      <c r="D610" s="235">
        <f>D609</f>
        <v>0</v>
      </c>
      <c r="E610" s="235">
        <f>E609</f>
        <v>0</v>
      </c>
      <c r="F610" s="235">
        <f>F609</f>
        <v>0</v>
      </c>
      <c r="G610" s="235">
        <f>G609</f>
        <v>0</v>
      </c>
      <c r="H610" s="235">
        <f>H609</f>
        <v>0</v>
      </c>
      <c r="I610" s="235">
        <f>I609</f>
        <v>0</v>
      </c>
      <c r="J610" s="235">
        <f>J609</f>
        <v>0</v>
      </c>
      <c r="K610" s="235">
        <f>K609</f>
        <v>0</v>
      </c>
      <c r="L610" s="235">
        <f>L609</f>
        <v>0</v>
      </c>
      <c r="M610" s="235">
        <f>M609</f>
        <v>0</v>
      </c>
      <c r="N610" s="235">
        <f>N609</f>
        <v>0</v>
      </c>
      <c r="O610" s="235">
        <f>O609</f>
        <v>0</v>
      </c>
      <c r="P610" s="235">
        <f>P609</f>
        <v>0</v>
      </c>
      <c r="Q610" s="235">
        <f>Q609</f>
        <v>0</v>
      </c>
      <c r="R610" s="235">
        <f>R609</f>
        <v>0</v>
      </c>
      <c r="S610" s="235">
        <f>S609</f>
        <v>0</v>
      </c>
      <c r="T610" s="235">
        <f>T609</f>
        <v>0</v>
      </c>
      <c r="U610" s="235">
        <f>U609</f>
        <v>0</v>
      </c>
      <c r="V610" s="235">
        <f>V609</f>
        <v>0</v>
      </c>
      <c r="W610" s="235">
        <f>W609</f>
        <v>0</v>
      </c>
      <c r="X610" s="235">
        <f>X609</f>
        <v>0</v>
      </c>
      <c r="Y610" s="235">
        <f>Y609</f>
        <v>0</v>
      </c>
      <c r="Z610" s="235">
        <f>Z609</f>
        <v>0</v>
      </c>
      <c r="AA610" s="235">
        <f>AA609</f>
        <v>0</v>
      </c>
      <c r="AB610" s="235">
        <f>AB609</f>
        <v>0</v>
      </c>
      <c r="CH610" s="269"/>
      <c r="CI610" s="269"/>
      <c r="CJ610" s="269"/>
      <c r="CK610" s="269"/>
      <c r="CL610" s="269"/>
      <c r="CM610" s="269"/>
      <c r="CN610" s="269"/>
      <c r="CO610" s="269"/>
      <c r="CP610" s="269"/>
      <c r="CQ610" s="269"/>
      <c r="CR610" s="269"/>
      <c r="CS610" s="269"/>
    </row>
    <row r="611" spans="1:97" ht="12" customHeight="1" x14ac:dyDescent="0.3">
      <c r="A611" s="5"/>
      <c r="B611" s="5"/>
      <c r="C611" s="495">
        <f>C548</f>
        <v>397</v>
      </c>
      <c r="D611" s="234">
        <f>Input!D70</f>
        <v>0</v>
      </c>
      <c r="E611" s="234">
        <f>Input!E70</f>
        <v>0</v>
      </c>
      <c r="F611" s="234">
        <f>Input!F70</f>
        <v>0</v>
      </c>
      <c r="G611" s="234">
        <f>Input!G70</f>
        <v>0</v>
      </c>
      <c r="H611" s="234">
        <f>Input!H70</f>
        <v>0</v>
      </c>
      <c r="I611" s="234">
        <f>Input!I70</f>
        <v>0</v>
      </c>
      <c r="J611" s="234">
        <f>Input!J70</f>
        <v>0</v>
      </c>
      <c r="K611" s="234">
        <f>Input!K70</f>
        <v>0</v>
      </c>
      <c r="L611" s="234">
        <f>Input!L70</f>
        <v>0</v>
      </c>
      <c r="M611" s="234">
        <f>Input!M70</f>
        <v>0</v>
      </c>
      <c r="N611" s="234">
        <f>Input!N70</f>
        <v>0</v>
      </c>
      <c r="O611" s="234">
        <f>Input!O70</f>
        <v>0</v>
      </c>
      <c r="P611" s="234">
        <f>Input!P70</f>
        <v>0</v>
      </c>
      <c r="Q611" s="234">
        <f>Input!Q70</f>
        <v>0</v>
      </c>
      <c r="R611" s="234">
        <f>Input!R70</f>
        <v>0</v>
      </c>
      <c r="S611" s="234">
        <f>Input!S70</f>
        <v>0</v>
      </c>
      <c r="T611" s="234">
        <f>Input!T70</f>
        <v>0</v>
      </c>
      <c r="U611" s="234">
        <f>Input!U70</f>
        <v>0</v>
      </c>
      <c r="V611" s="234">
        <f>Input!V70</f>
        <v>0</v>
      </c>
      <c r="W611" s="234">
        <f>Input!W70</f>
        <v>0</v>
      </c>
      <c r="X611" s="234">
        <f>Input!X70</f>
        <v>0</v>
      </c>
      <c r="Y611" s="234">
        <f>Input!Y70</f>
        <v>0</v>
      </c>
      <c r="Z611" s="234">
        <f>Input!Z70</f>
        <v>0</v>
      </c>
      <c r="AA611" s="234">
        <f>Input!AA70</f>
        <v>0</v>
      </c>
      <c r="AB611" s="234">
        <f>Input!AB70</f>
        <v>0</v>
      </c>
      <c r="CH611" s="269"/>
      <c r="CI611" s="269"/>
      <c r="CJ611" s="269"/>
      <c r="CK611" s="269"/>
      <c r="CL611" s="269"/>
      <c r="CM611" s="269"/>
      <c r="CN611" s="269"/>
      <c r="CO611" s="269"/>
      <c r="CP611" s="269"/>
      <c r="CQ611" s="269"/>
      <c r="CR611" s="269"/>
      <c r="CS611" s="269"/>
    </row>
    <row r="612" spans="1:97" ht="12" customHeight="1" x14ac:dyDescent="0.3">
      <c r="A612" s="5"/>
      <c r="B612" s="5"/>
      <c r="C612" s="495">
        <f>C549</f>
        <v>425</v>
      </c>
      <c r="D612" s="233">
        <f>D611</f>
        <v>0</v>
      </c>
      <c r="E612" s="233">
        <f>E611</f>
        <v>0</v>
      </c>
      <c r="F612" s="233">
        <f>F611</f>
        <v>0</v>
      </c>
      <c r="G612" s="233">
        <f>G611</f>
        <v>0</v>
      </c>
      <c r="H612" s="233">
        <f>H611</f>
        <v>0</v>
      </c>
      <c r="I612" s="233">
        <f>I611</f>
        <v>0</v>
      </c>
      <c r="J612" s="233">
        <f>J611</f>
        <v>0</v>
      </c>
      <c r="K612" s="233">
        <f>K611</f>
        <v>0</v>
      </c>
      <c r="L612" s="233">
        <f>L611</f>
        <v>0</v>
      </c>
      <c r="M612" s="233">
        <f>M611</f>
        <v>0</v>
      </c>
      <c r="N612" s="233">
        <f>N611</f>
        <v>0</v>
      </c>
      <c r="O612" s="233">
        <f>O611</f>
        <v>0</v>
      </c>
      <c r="P612" s="233">
        <f>P611</f>
        <v>0</v>
      </c>
      <c r="Q612" s="233">
        <f>Q611</f>
        <v>0</v>
      </c>
      <c r="R612" s="233">
        <f>R611</f>
        <v>0</v>
      </c>
      <c r="S612" s="233">
        <f>S611</f>
        <v>0</v>
      </c>
      <c r="T612" s="233">
        <f>T611</f>
        <v>0</v>
      </c>
      <c r="U612" s="233">
        <f>U611</f>
        <v>0</v>
      </c>
      <c r="V612" s="233">
        <f>V611</f>
        <v>0</v>
      </c>
      <c r="W612" s="233">
        <f>W611</f>
        <v>0</v>
      </c>
      <c r="X612" s="233">
        <f>X611</f>
        <v>0</v>
      </c>
      <c r="Y612" s="233">
        <f>Y611</f>
        <v>0</v>
      </c>
      <c r="Z612" s="233">
        <f>Z611</f>
        <v>0</v>
      </c>
      <c r="AA612" s="233">
        <f>AA611</f>
        <v>0</v>
      </c>
      <c r="AB612" s="233">
        <f>AB611</f>
        <v>0</v>
      </c>
      <c r="CH612" s="269"/>
      <c r="CI612" s="269"/>
      <c r="CJ612" s="269"/>
      <c r="CK612" s="269"/>
      <c r="CL612" s="269"/>
      <c r="CM612" s="269"/>
      <c r="CN612" s="269"/>
      <c r="CO612" s="269"/>
      <c r="CP612" s="269"/>
      <c r="CQ612" s="269"/>
      <c r="CR612" s="269"/>
      <c r="CS612" s="269"/>
    </row>
    <row r="613" spans="1:97" ht="12" customHeight="1" x14ac:dyDescent="0.3">
      <c r="A613" s="5"/>
      <c r="B613" s="5"/>
      <c r="C613" s="495">
        <f>C550</f>
        <v>456</v>
      </c>
      <c r="D613" s="233">
        <f>D612</f>
        <v>0</v>
      </c>
      <c r="E613" s="233">
        <f>E612</f>
        <v>0</v>
      </c>
      <c r="F613" s="233">
        <f>F612</f>
        <v>0</v>
      </c>
      <c r="G613" s="233">
        <f>G612</f>
        <v>0</v>
      </c>
      <c r="H613" s="233">
        <f>H612</f>
        <v>0</v>
      </c>
      <c r="I613" s="233">
        <f>I612</f>
        <v>0</v>
      </c>
      <c r="J613" s="233">
        <f>J612</f>
        <v>0</v>
      </c>
      <c r="K613" s="233">
        <f>K612</f>
        <v>0</v>
      </c>
      <c r="L613" s="233">
        <f>L612</f>
        <v>0</v>
      </c>
      <c r="M613" s="233">
        <f>M612</f>
        <v>0</v>
      </c>
      <c r="N613" s="233">
        <f>N612</f>
        <v>0</v>
      </c>
      <c r="O613" s="233">
        <f>O612</f>
        <v>0</v>
      </c>
      <c r="P613" s="233">
        <f>P612</f>
        <v>0</v>
      </c>
      <c r="Q613" s="233">
        <f>Q612</f>
        <v>0</v>
      </c>
      <c r="R613" s="233">
        <f>R612</f>
        <v>0</v>
      </c>
      <c r="S613" s="233">
        <f>S612</f>
        <v>0</v>
      </c>
      <c r="T613" s="233">
        <f>T612</f>
        <v>0</v>
      </c>
      <c r="U613" s="233">
        <f>U612</f>
        <v>0</v>
      </c>
      <c r="V613" s="233">
        <f>V612</f>
        <v>0</v>
      </c>
      <c r="W613" s="233">
        <f>W612</f>
        <v>0</v>
      </c>
      <c r="X613" s="233">
        <f>X612</f>
        <v>0</v>
      </c>
      <c r="Y613" s="233">
        <f>Y612</f>
        <v>0</v>
      </c>
      <c r="Z613" s="233">
        <f>Z612</f>
        <v>0</v>
      </c>
      <c r="AA613" s="233">
        <f>AA612</f>
        <v>0</v>
      </c>
      <c r="AB613" s="233">
        <f>AB612</f>
        <v>0</v>
      </c>
      <c r="CH613" s="269"/>
      <c r="CI613" s="269"/>
      <c r="CJ613" s="269"/>
      <c r="CK613" s="269"/>
      <c r="CL613" s="269"/>
      <c r="CM613" s="269"/>
      <c r="CN613" s="269"/>
      <c r="CO613" s="269"/>
      <c r="CP613" s="269"/>
      <c r="CQ613" s="269"/>
      <c r="CR613" s="269"/>
      <c r="CS613" s="269"/>
    </row>
    <row r="614" spans="1:97" ht="12" customHeight="1" x14ac:dyDescent="0.3">
      <c r="A614" s="5"/>
      <c r="B614" s="5"/>
      <c r="C614" s="495">
        <f>C551</f>
        <v>486</v>
      </c>
      <c r="D614" s="233">
        <f>D613</f>
        <v>0</v>
      </c>
      <c r="E614" s="233">
        <f>E613</f>
        <v>0</v>
      </c>
      <c r="F614" s="233">
        <f>F613</f>
        <v>0</v>
      </c>
      <c r="G614" s="233">
        <f>G613</f>
        <v>0</v>
      </c>
      <c r="H614" s="233">
        <f>H613</f>
        <v>0</v>
      </c>
      <c r="I614" s="233">
        <f>I613</f>
        <v>0</v>
      </c>
      <c r="J614" s="233">
        <f>J613</f>
        <v>0</v>
      </c>
      <c r="K614" s="233">
        <f>K613</f>
        <v>0</v>
      </c>
      <c r="L614" s="233">
        <f>L613</f>
        <v>0</v>
      </c>
      <c r="M614" s="233">
        <f>M613</f>
        <v>0</v>
      </c>
      <c r="N614" s="233">
        <f>N613</f>
        <v>0</v>
      </c>
      <c r="O614" s="233">
        <f>O613</f>
        <v>0</v>
      </c>
      <c r="P614" s="233">
        <f>P613</f>
        <v>0</v>
      </c>
      <c r="Q614" s="233">
        <f>Q613</f>
        <v>0</v>
      </c>
      <c r="R614" s="233">
        <f>R613</f>
        <v>0</v>
      </c>
      <c r="S614" s="233">
        <f>S613</f>
        <v>0</v>
      </c>
      <c r="T614" s="233">
        <f>T613</f>
        <v>0</v>
      </c>
      <c r="U614" s="233">
        <f>U613</f>
        <v>0</v>
      </c>
      <c r="V614" s="233">
        <f>V613</f>
        <v>0</v>
      </c>
      <c r="W614" s="233">
        <f>W613</f>
        <v>0</v>
      </c>
      <c r="X614" s="233">
        <f>X613</f>
        <v>0</v>
      </c>
      <c r="Y614" s="233">
        <f>Y613</f>
        <v>0</v>
      </c>
      <c r="Z614" s="233">
        <f>Z613</f>
        <v>0</v>
      </c>
      <c r="AA614" s="233">
        <f>AA613</f>
        <v>0</v>
      </c>
      <c r="AB614" s="233">
        <f>AB613</f>
        <v>0</v>
      </c>
      <c r="CH614" s="269"/>
      <c r="CI614" s="269"/>
      <c r="CJ614" s="269"/>
      <c r="CK614" s="269"/>
      <c r="CL614" s="269"/>
      <c r="CM614" s="269"/>
      <c r="CN614" s="269"/>
      <c r="CO614" s="269"/>
      <c r="CP614" s="269"/>
      <c r="CQ614" s="269"/>
      <c r="CR614" s="269"/>
      <c r="CS614" s="269"/>
    </row>
    <row r="615" spans="1:97" ht="12" customHeight="1" x14ac:dyDescent="0.3">
      <c r="A615" s="5"/>
      <c r="B615" s="5"/>
      <c r="C615" s="495">
        <f>C552</f>
        <v>517</v>
      </c>
      <c r="D615" s="233">
        <f>D614</f>
        <v>0</v>
      </c>
      <c r="E615" s="233">
        <f>E614</f>
        <v>0</v>
      </c>
      <c r="F615" s="233">
        <f>F614</f>
        <v>0</v>
      </c>
      <c r="G615" s="233">
        <f>G614</f>
        <v>0</v>
      </c>
      <c r="H615" s="233">
        <f>H614</f>
        <v>0</v>
      </c>
      <c r="I615" s="233">
        <f>I614</f>
        <v>0</v>
      </c>
      <c r="J615" s="233">
        <f>J614</f>
        <v>0</v>
      </c>
      <c r="K615" s="233">
        <f>K614</f>
        <v>0</v>
      </c>
      <c r="L615" s="233">
        <f>L614</f>
        <v>0</v>
      </c>
      <c r="M615" s="233">
        <f>M614</f>
        <v>0</v>
      </c>
      <c r="N615" s="233">
        <f>N614</f>
        <v>0</v>
      </c>
      <c r="O615" s="233">
        <f>O614</f>
        <v>0</v>
      </c>
      <c r="P615" s="233">
        <f>P614</f>
        <v>0</v>
      </c>
      <c r="Q615" s="233">
        <f>Q614</f>
        <v>0</v>
      </c>
      <c r="R615" s="233">
        <f>R614</f>
        <v>0</v>
      </c>
      <c r="S615" s="233">
        <f>S614</f>
        <v>0</v>
      </c>
      <c r="T615" s="233">
        <f>T614</f>
        <v>0</v>
      </c>
      <c r="U615" s="233">
        <f>U614</f>
        <v>0</v>
      </c>
      <c r="V615" s="233">
        <f>V614</f>
        <v>0</v>
      </c>
      <c r="W615" s="233">
        <f>W614</f>
        <v>0</v>
      </c>
      <c r="X615" s="233">
        <f>X614</f>
        <v>0</v>
      </c>
      <c r="Y615" s="233">
        <f>Y614</f>
        <v>0</v>
      </c>
      <c r="Z615" s="233">
        <f>Z614</f>
        <v>0</v>
      </c>
      <c r="AA615" s="233">
        <f>AA614</f>
        <v>0</v>
      </c>
      <c r="AB615" s="233">
        <f>AB614</f>
        <v>0</v>
      </c>
      <c r="CH615" s="269"/>
      <c r="CI615" s="269"/>
      <c r="CJ615" s="269"/>
      <c r="CK615" s="269"/>
      <c r="CL615" s="269"/>
      <c r="CM615" s="269"/>
      <c r="CN615" s="269"/>
      <c r="CO615" s="269"/>
      <c r="CP615" s="269"/>
      <c r="CQ615" s="269"/>
      <c r="CR615" s="269"/>
      <c r="CS615" s="269"/>
    </row>
    <row r="616" spans="1:97" ht="12" customHeight="1" x14ac:dyDescent="0.3">
      <c r="A616" s="5"/>
      <c r="B616" s="5"/>
      <c r="C616" s="495">
        <f>C553</f>
        <v>547</v>
      </c>
      <c r="D616" s="233">
        <f>D615</f>
        <v>0</v>
      </c>
      <c r="E616" s="233">
        <f>E615</f>
        <v>0</v>
      </c>
      <c r="F616" s="233">
        <f>F615</f>
        <v>0</v>
      </c>
      <c r="G616" s="233">
        <f>G615</f>
        <v>0</v>
      </c>
      <c r="H616" s="233">
        <f>H615</f>
        <v>0</v>
      </c>
      <c r="I616" s="233">
        <f>I615</f>
        <v>0</v>
      </c>
      <c r="J616" s="233">
        <f>J615</f>
        <v>0</v>
      </c>
      <c r="K616" s="233">
        <f>K615</f>
        <v>0</v>
      </c>
      <c r="L616" s="233">
        <f>L615</f>
        <v>0</v>
      </c>
      <c r="M616" s="233">
        <f>M615</f>
        <v>0</v>
      </c>
      <c r="N616" s="233">
        <f>N615</f>
        <v>0</v>
      </c>
      <c r="O616" s="233">
        <f>O615</f>
        <v>0</v>
      </c>
      <c r="P616" s="233">
        <f>P615</f>
        <v>0</v>
      </c>
      <c r="Q616" s="233">
        <f>Q615</f>
        <v>0</v>
      </c>
      <c r="R616" s="233">
        <f>R615</f>
        <v>0</v>
      </c>
      <c r="S616" s="233">
        <f>S615</f>
        <v>0</v>
      </c>
      <c r="T616" s="233">
        <f>T615</f>
        <v>0</v>
      </c>
      <c r="U616" s="233">
        <f>U615</f>
        <v>0</v>
      </c>
      <c r="V616" s="233">
        <f>V615</f>
        <v>0</v>
      </c>
      <c r="W616" s="233">
        <f>W615</f>
        <v>0</v>
      </c>
      <c r="X616" s="233">
        <f>X615</f>
        <v>0</v>
      </c>
      <c r="Y616" s="233">
        <f>Y615</f>
        <v>0</v>
      </c>
      <c r="Z616" s="233">
        <f>Z615</f>
        <v>0</v>
      </c>
      <c r="AA616" s="233">
        <f>AA615</f>
        <v>0</v>
      </c>
      <c r="AB616" s="233">
        <f>AB615</f>
        <v>0</v>
      </c>
      <c r="CH616" s="269"/>
      <c r="CI616" s="269"/>
      <c r="CJ616" s="269"/>
      <c r="CK616" s="269"/>
      <c r="CL616" s="269"/>
      <c r="CM616" s="269"/>
      <c r="CN616" s="269"/>
      <c r="CO616" s="269"/>
      <c r="CP616" s="269"/>
      <c r="CQ616" s="269"/>
      <c r="CR616" s="269"/>
      <c r="CS616" s="269"/>
    </row>
    <row r="617" spans="1:97" ht="12" customHeight="1" x14ac:dyDescent="0.3">
      <c r="A617" s="5"/>
      <c r="B617" s="5"/>
      <c r="C617" s="495">
        <f>C554</f>
        <v>578</v>
      </c>
      <c r="D617" s="233">
        <f>D616</f>
        <v>0</v>
      </c>
      <c r="E617" s="233">
        <f>E616</f>
        <v>0</v>
      </c>
      <c r="F617" s="233">
        <f>F616</f>
        <v>0</v>
      </c>
      <c r="G617" s="233">
        <f>G616</f>
        <v>0</v>
      </c>
      <c r="H617" s="233">
        <f>H616</f>
        <v>0</v>
      </c>
      <c r="I617" s="233">
        <f>I616</f>
        <v>0</v>
      </c>
      <c r="J617" s="233">
        <f>J616</f>
        <v>0</v>
      </c>
      <c r="K617" s="233">
        <f>K616</f>
        <v>0</v>
      </c>
      <c r="L617" s="233">
        <f>L616</f>
        <v>0</v>
      </c>
      <c r="M617" s="233">
        <f>M616</f>
        <v>0</v>
      </c>
      <c r="N617" s="233">
        <f>N616</f>
        <v>0</v>
      </c>
      <c r="O617" s="233">
        <f>O616</f>
        <v>0</v>
      </c>
      <c r="P617" s="233">
        <f>P616</f>
        <v>0</v>
      </c>
      <c r="Q617" s="233">
        <f>Q616</f>
        <v>0</v>
      </c>
      <c r="R617" s="233">
        <f>R616</f>
        <v>0</v>
      </c>
      <c r="S617" s="233">
        <f>S616</f>
        <v>0</v>
      </c>
      <c r="T617" s="233">
        <f>T616</f>
        <v>0</v>
      </c>
      <c r="U617" s="233">
        <f>U616</f>
        <v>0</v>
      </c>
      <c r="V617" s="233">
        <f>V616</f>
        <v>0</v>
      </c>
      <c r="W617" s="233">
        <f>W616</f>
        <v>0</v>
      </c>
      <c r="X617" s="233">
        <f>X616</f>
        <v>0</v>
      </c>
      <c r="Y617" s="233">
        <f>Y616</f>
        <v>0</v>
      </c>
      <c r="Z617" s="233">
        <f>Z616</f>
        <v>0</v>
      </c>
      <c r="AA617" s="233">
        <f>AA616</f>
        <v>0</v>
      </c>
      <c r="AB617" s="233">
        <f>AB616</f>
        <v>0</v>
      </c>
      <c r="CH617" s="269"/>
      <c r="CI617" s="269"/>
      <c r="CJ617" s="269"/>
      <c r="CK617" s="269"/>
      <c r="CL617" s="269"/>
      <c r="CM617" s="269"/>
      <c r="CN617" s="269"/>
      <c r="CO617" s="269"/>
      <c r="CP617" s="269"/>
      <c r="CQ617" s="269"/>
      <c r="CR617" s="269"/>
      <c r="CS617" s="269"/>
    </row>
    <row r="618" spans="1:97" ht="12" customHeight="1" x14ac:dyDescent="0.3">
      <c r="A618" s="5"/>
      <c r="B618" s="5"/>
      <c r="C618" s="495">
        <f>C555</f>
        <v>609</v>
      </c>
      <c r="D618" s="233">
        <f>D617</f>
        <v>0</v>
      </c>
      <c r="E618" s="233">
        <f>E617</f>
        <v>0</v>
      </c>
      <c r="F618" s="233">
        <f>F617</f>
        <v>0</v>
      </c>
      <c r="G618" s="233">
        <f>G617</f>
        <v>0</v>
      </c>
      <c r="H618" s="233">
        <f>H617</f>
        <v>0</v>
      </c>
      <c r="I618" s="233">
        <f>I617</f>
        <v>0</v>
      </c>
      <c r="J618" s="233">
        <f>J617</f>
        <v>0</v>
      </c>
      <c r="K618" s="233">
        <f>K617</f>
        <v>0</v>
      </c>
      <c r="L618" s="233">
        <f>L617</f>
        <v>0</v>
      </c>
      <c r="M618" s="233">
        <f>M617</f>
        <v>0</v>
      </c>
      <c r="N618" s="233">
        <f>N617</f>
        <v>0</v>
      </c>
      <c r="O618" s="233">
        <f>O617</f>
        <v>0</v>
      </c>
      <c r="P618" s="233">
        <f>P617</f>
        <v>0</v>
      </c>
      <c r="Q618" s="233">
        <f>Q617</f>
        <v>0</v>
      </c>
      <c r="R618" s="233">
        <f>R617</f>
        <v>0</v>
      </c>
      <c r="S618" s="233">
        <f>S617</f>
        <v>0</v>
      </c>
      <c r="T618" s="233">
        <f>T617</f>
        <v>0</v>
      </c>
      <c r="U618" s="233">
        <f>U617</f>
        <v>0</v>
      </c>
      <c r="V618" s="233">
        <f>V617</f>
        <v>0</v>
      </c>
      <c r="W618" s="233">
        <f>W617</f>
        <v>0</v>
      </c>
      <c r="X618" s="233">
        <f>X617</f>
        <v>0</v>
      </c>
      <c r="Y618" s="233">
        <f>Y617</f>
        <v>0</v>
      </c>
      <c r="Z618" s="233">
        <f>Z617</f>
        <v>0</v>
      </c>
      <c r="AA618" s="233">
        <f>AA617</f>
        <v>0</v>
      </c>
      <c r="AB618" s="233">
        <f>AB617</f>
        <v>0</v>
      </c>
      <c r="CH618" s="269"/>
      <c r="CI618" s="269"/>
      <c r="CJ618" s="269"/>
      <c r="CK618" s="269"/>
      <c r="CL618" s="269"/>
      <c r="CM618" s="269"/>
      <c r="CN618" s="269"/>
      <c r="CO618" s="269"/>
      <c r="CP618" s="269"/>
      <c r="CQ618" s="269"/>
      <c r="CR618" s="269"/>
      <c r="CS618" s="269"/>
    </row>
    <row r="619" spans="1:97" ht="12" customHeight="1" x14ac:dyDescent="0.3">
      <c r="A619" s="5"/>
      <c r="B619" s="5"/>
      <c r="C619" s="495">
        <f>C556</f>
        <v>639</v>
      </c>
      <c r="D619" s="233">
        <f>D618</f>
        <v>0</v>
      </c>
      <c r="E619" s="233">
        <f>E618</f>
        <v>0</v>
      </c>
      <c r="F619" s="233">
        <f>F618</f>
        <v>0</v>
      </c>
      <c r="G619" s="233">
        <f>G618</f>
        <v>0</v>
      </c>
      <c r="H619" s="233">
        <f>H618</f>
        <v>0</v>
      </c>
      <c r="I619" s="233">
        <f>I618</f>
        <v>0</v>
      </c>
      <c r="J619" s="233">
        <f>J618</f>
        <v>0</v>
      </c>
      <c r="K619" s="233">
        <f>K618</f>
        <v>0</v>
      </c>
      <c r="L619" s="233">
        <f>L618</f>
        <v>0</v>
      </c>
      <c r="M619" s="233">
        <f>M618</f>
        <v>0</v>
      </c>
      <c r="N619" s="233">
        <f>N618</f>
        <v>0</v>
      </c>
      <c r="O619" s="233">
        <f>O618</f>
        <v>0</v>
      </c>
      <c r="P619" s="233">
        <f>P618</f>
        <v>0</v>
      </c>
      <c r="Q619" s="233">
        <f>Q618</f>
        <v>0</v>
      </c>
      <c r="R619" s="233">
        <f>R618</f>
        <v>0</v>
      </c>
      <c r="S619" s="233">
        <f>S618</f>
        <v>0</v>
      </c>
      <c r="T619" s="233">
        <f>T618</f>
        <v>0</v>
      </c>
      <c r="U619" s="233">
        <f>U618</f>
        <v>0</v>
      </c>
      <c r="V619" s="233">
        <f>V618</f>
        <v>0</v>
      </c>
      <c r="W619" s="233">
        <f>W618</f>
        <v>0</v>
      </c>
      <c r="X619" s="233">
        <f>X618</f>
        <v>0</v>
      </c>
      <c r="Y619" s="233">
        <f>Y618</f>
        <v>0</v>
      </c>
      <c r="Z619" s="233">
        <f>Z618</f>
        <v>0</v>
      </c>
      <c r="AA619" s="233">
        <f>AA618</f>
        <v>0</v>
      </c>
      <c r="AB619" s="233">
        <f>AB618</f>
        <v>0</v>
      </c>
      <c r="CH619" s="269"/>
      <c r="CI619" s="269"/>
      <c r="CJ619" s="269"/>
      <c r="CK619" s="269"/>
      <c r="CL619" s="269"/>
      <c r="CM619" s="269"/>
      <c r="CN619" s="269"/>
      <c r="CO619" s="269"/>
      <c r="CP619" s="269"/>
      <c r="CQ619" s="269"/>
      <c r="CR619" s="269"/>
      <c r="CS619" s="269"/>
    </row>
    <row r="620" spans="1:97" ht="12" customHeight="1" x14ac:dyDescent="0.3">
      <c r="A620" s="5"/>
      <c r="B620" s="5"/>
      <c r="C620" s="495">
        <f>C557</f>
        <v>670</v>
      </c>
      <c r="D620" s="233">
        <f>D619</f>
        <v>0</v>
      </c>
      <c r="E620" s="233">
        <f>E619</f>
        <v>0</v>
      </c>
      <c r="F620" s="233">
        <f>F619</f>
        <v>0</v>
      </c>
      <c r="G620" s="233">
        <f>G619</f>
        <v>0</v>
      </c>
      <c r="H620" s="233">
        <f>H619</f>
        <v>0</v>
      </c>
      <c r="I620" s="233">
        <f>I619</f>
        <v>0</v>
      </c>
      <c r="J620" s="233">
        <f>J619</f>
        <v>0</v>
      </c>
      <c r="K620" s="233">
        <f>K619</f>
        <v>0</v>
      </c>
      <c r="L620" s="233">
        <f>L619</f>
        <v>0</v>
      </c>
      <c r="M620" s="233">
        <f>M619</f>
        <v>0</v>
      </c>
      <c r="N620" s="233">
        <f>N619</f>
        <v>0</v>
      </c>
      <c r="O620" s="233">
        <f>O619</f>
        <v>0</v>
      </c>
      <c r="P620" s="233">
        <f>P619</f>
        <v>0</v>
      </c>
      <c r="Q620" s="233">
        <f>Q619</f>
        <v>0</v>
      </c>
      <c r="R620" s="233">
        <f>R619</f>
        <v>0</v>
      </c>
      <c r="S620" s="233">
        <f>S619</f>
        <v>0</v>
      </c>
      <c r="T620" s="233">
        <f>T619</f>
        <v>0</v>
      </c>
      <c r="U620" s="233">
        <f>U619</f>
        <v>0</v>
      </c>
      <c r="V620" s="233">
        <f>V619</f>
        <v>0</v>
      </c>
      <c r="W620" s="233">
        <f>W619</f>
        <v>0</v>
      </c>
      <c r="X620" s="233">
        <f>X619</f>
        <v>0</v>
      </c>
      <c r="Y620" s="233">
        <f>Y619</f>
        <v>0</v>
      </c>
      <c r="Z620" s="233">
        <f>Z619</f>
        <v>0</v>
      </c>
      <c r="AA620" s="233">
        <f>AA619</f>
        <v>0</v>
      </c>
      <c r="AB620" s="233">
        <f>AB619</f>
        <v>0</v>
      </c>
      <c r="CH620" s="269"/>
      <c r="CI620" s="269"/>
      <c r="CJ620" s="269"/>
      <c r="CK620" s="269"/>
      <c r="CL620" s="269"/>
      <c r="CM620" s="269"/>
      <c r="CN620" s="269"/>
      <c r="CO620" s="269"/>
      <c r="CP620" s="269"/>
      <c r="CQ620" s="269"/>
      <c r="CR620" s="269"/>
      <c r="CS620" s="269"/>
    </row>
    <row r="621" spans="1:97" ht="12" customHeight="1" x14ac:dyDescent="0.3">
      <c r="A621" s="5"/>
      <c r="B621" s="5"/>
      <c r="C621" s="495">
        <f>C558</f>
        <v>700</v>
      </c>
      <c r="D621" s="233">
        <f>D620</f>
        <v>0</v>
      </c>
      <c r="E621" s="233">
        <f>E620</f>
        <v>0</v>
      </c>
      <c r="F621" s="233">
        <f>F620</f>
        <v>0</v>
      </c>
      <c r="G621" s="233">
        <f>G620</f>
        <v>0</v>
      </c>
      <c r="H621" s="233">
        <f>H620</f>
        <v>0</v>
      </c>
      <c r="I621" s="233">
        <f>I620</f>
        <v>0</v>
      </c>
      <c r="J621" s="233">
        <f>J620</f>
        <v>0</v>
      </c>
      <c r="K621" s="233">
        <f>K620</f>
        <v>0</v>
      </c>
      <c r="L621" s="233">
        <f>L620</f>
        <v>0</v>
      </c>
      <c r="M621" s="233">
        <f>M620</f>
        <v>0</v>
      </c>
      <c r="N621" s="233">
        <f>N620</f>
        <v>0</v>
      </c>
      <c r="O621" s="233">
        <f>O620</f>
        <v>0</v>
      </c>
      <c r="P621" s="233">
        <f>P620</f>
        <v>0</v>
      </c>
      <c r="Q621" s="233">
        <f>Q620</f>
        <v>0</v>
      </c>
      <c r="R621" s="233">
        <f>R620</f>
        <v>0</v>
      </c>
      <c r="S621" s="233">
        <f>S620</f>
        <v>0</v>
      </c>
      <c r="T621" s="233">
        <f>T620</f>
        <v>0</v>
      </c>
      <c r="U621" s="233">
        <f>U620</f>
        <v>0</v>
      </c>
      <c r="V621" s="233">
        <f>V620</f>
        <v>0</v>
      </c>
      <c r="W621" s="233">
        <f>W620</f>
        <v>0</v>
      </c>
      <c r="X621" s="233">
        <f>X620</f>
        <v>0</v>
      </c>
      <c r="Y621" s="233">
        <f>Y620</f>
        <v>0</v>
      </c>
      <c r="Z621" s="233">
        <f>Z620</f>
        <v>0</v>
      </c>
      <c r="AA621" s="233">
        <f>AA620</f>
        <v>0</v>
      </c>
      <c r="AB621" s="233">
        <f>AB620</f>
        <v>0</v>
      </c>
      <c r="CH621" s="269"/>
      <c r="CI621" s="269"/>
      <c r="CJ621" s="269"/>
      <c r="CK621" s="269"/>
      <c r="CL621" s="269"/>
      <c r="CM621" s="269"/>
      <c r="CN621" s="269"/>
      <c r="CO621" s="269"/>
      <c r="CP621" s="269"/>
      <c r="CQ621" s="269"/>
      <c r="CR621" s="269"/>
      <c r="CS621" s="269"/>
    </row>
    <row r="622" spans="1:97" ht="12.75" customHeight="1" thickBot="1" x14ac:dyDescent="0.35">
      <c r="A622" s="5"/>
      <c r="B622" s="5"/>
      <c r="C622" s="496">
        <f>C559</f>
        <v>731</v>
      </c>
      <c r="D622" s="235">
        <f>D621</f>
        <v>0</v>
      </c>
      <c r="E622" s="235">
        <f>E621</f>
        <v>0</v>
      </c>
      <c r="F622" s="235">
        <f>F621</f>
        <v>0</v>
      </c>
      <c r="G622" s="235">
        <f>G621</f>
        <v>0</v>
      </c>
      <c r="H622" s="235">
        <f>H621</f>
        <v>0</v>
      </c>
      <c r="I622" s="235">
        <f>I621</f>
        <v>0</v>
      </c>
      <c r="J622" s="235">
        <f>J621</f>
        <v>0</v>
      </c>
      <c r="K622" s="235">
        <f>K621</f>
        <v>0</v>
      </c>
      <c r="L622" s="235">
        <f>L621</f>
        <v>0</v>
      </c>
      <c r="M622" s="235">
        <f>M621</f>
        <v>0</v>
      </c>
      <c r="N622" s="235">
        <f>N621</f>
        <v>0</v>
      </c>
      <c r="O622" s="235">
        <f>O621</f>
        <v>0</v>
      </c>
      <c r="P622" s="235">
        <f>P621</f>
        <v>0</v>
      </c>
      <c r="Q622" s="235">
        <f>Q621</f>
        <v>0</v>
      </c>
      <c r="R622" s="235">
        <f>R621</f>
        <v>0</v>
      </c>
      <c r="S622" s="235">
        <f>S621</f>
        <v>0</v>
      </c>
      <c r="T622" s="235">
        <f>T621</f>
        <v>0</v>
      </c>
      <c r="U622" s="235">
        <f>U621</f>
        <v>0</v>
      </c>
      <c r="V622" s="235">
        <f>V621</f>
        <v>0</v>
      </c>
      <c r="W622" s="235">
        <f>W621</f>
        <v>0</v>
      </c>
      <c r="X622" s="235">
        <f>X621</f>
        <v>0</v>
      </c>
      <c r="Y622" s="235">
        <f>Y621</f>
        <v>0</v>
      </c>
      <c r="Z622" s="235">
        <f>Z621</f>
        <v>0</v>
      </c>
      <c r="AA622" s="235">
        <f>AA621</f>
        <v>0</v>
      </c>
      <c r="AB622" s="235">
        <f>AB621</f>
        <v>0</v>
      </c>
      <c r="CH622" s="269"/>
      <c r="CI622" s="269"/>
      <c r="CJ622" s="269"/>
      <c r="CK622" s="269"/>
      <c r="CL622" s="269"/>
      <c r="CM622" s="269"/>
      <c r="CN622" s="269"/>
      <c r="CO622" s="269"/>
      <c r="CP622" s="269"/>
      <c r="CQ622" s="269"/>
      <c r="CR622" s="269"/>
      <c r="CS622" s="269"/>
    </row>
    <row r="623" spans="1:97" ht="12" customHeight="1" x14ac:dyDescent="0.3">
      <c r="A623" s="5"/>
      <c r="B623" s="5"/>
      <c r="C623" s="495">
        <f>C560</f>
        <v>762</v>
      </c>
      <c r="D623" s="234">
        <f>Input!D71</f>
        <v>0</v>
      </c>
      <c r="E623" s="234">
        <f>Input!E71</f>
        <v>0</v>
      </c>
      <c r="F623" s="234">
        <f>Input!F71</f>
        <v>0</v>
      </c>
      <c r="G623" s="234">
        <f>Input!G71</f>
        <v>0</v>
      </c>
      <c r="H623" s="234">
        <f>Input!H71</f>
        <v>0</v>
      </c>
      <c r="I623" s="234">
        <f>Input!I71</f>
        <v>0</v>
      </c>
      <c r="J623" s="234">
        <f>Input!J71</f>
        <v>0</v>
      </c>
      <c r="K623" s="234">
        <f>Input!K71</f>
        <v>0</v>
      </c>
      <c r="L623" s="234">
        <f>Input!L71</f>
        <v>0</v>
      </c>
      <c r="M623" s="234">
        <f>Input!M71</f>
        <v>0</v>
      </c>
      <c r="N623" s="234">
        <f>Input!N71</f>
        <v>0</v>
      </c>
      <c r="O623" s="234">
        <f>Input!O71</f>
        <v>0</v>
      </c>
      <c r="P623" s="234">
        <f>Input!P71</f>
        <v>0</v>
      </c>
      <c r="Q623" s="234">
        <f>Input!Q71</f>
        <v>0</v>
      </c>
      <c r="R623" s="234">
        <f>Input!R71</f>
        <v>0</v>
      </c>
      <c r="S623" s="234">
        <f>Input!S71</f>
        <v>0</v>
      </c>
      <c r="T623" s="234">
        <f>Input!T71</f>
        <v>0</v>
      </c>
      <c r="U623" s="234">
        <f>Input!U71</f>
        <v>0</v>
      </c>
      <c r="V623" s="234">
        <f>Input!V71</f>
        <v>0</v>
      </c>
      <c r="W623" s="234">
        <f>Input!W71</f>
        <v>0</v>
      </c>
      <c r="X623" s="234">
        <f>Input!X71</f>
        <v>0</v>
      </c>
      <c r="Y623" s="234">
        <f>Input!Y71</f>
        <v>0</v>
      </c>
      <c r="Z623" s="234">
        <f>Input!Z71</f>
        <v>0</v>
      </c>
      <c r="AA623" s="234">
        <f>Input!AA71</f>
        <v>0</v>
      </c>
      <c r="AB623" s="234">
        <f>Input!AB71</f>
        <v>0</v>
      </c>
      <c r="CH623" s="269"/>
      <c r="CI623" s="269"/>
      <c r="CJ623" s="269"/>
      <c r="CK623" s="269"/>
      <c r="CL623" s="269"/>
      <c r="CM623" s="269"/>
      <c r="CN623" s="269"/>
      <c r="CO623" s="269"/>
      <c r="CP623" s="269"/>
      <c r="CQ623" s="269"/>
      <c r="CR623" s="269"/>
      <c r="CS623" s="269"/>
    </row>
    <row r="624" spans="1:97" ht="12" customHeight="1" x14ac:dyDescent="0.3">
      <c r="A624" s="5"/>
      <c r="B624" s="5"/>
      <c r="C624" s="495">
        <f>C561</f>
        <v>790</v>
      </c>
      <c r="D624" s="233">
        <f>D623</f>
        <v>0</v>
      </c>
      <c r="E624" s="233">
        <f>E623</f>
        <v>0</v>
      </c>
      <c r="F624" s="233">
        <f>F623</f>
        <v>0</v>
      </c>
      <c r="G624" s="233">
        <f>G623</f>
        <v>0</v>
      </c>
      <c r="H624" s="233">
        <f>H623</f>
        <v>0</v>
      </c>
      <c r="I624" s="233">
        <f>I623</f>
        <v>0</v>
      </c>
      <c r="J624" s="233">
        <f>J623</f>
        <v>0</v>
      </c>
      <c r="K624" s="233">
        <f>K623</f>
        <v>0</v>
      </c>
      <c r="L624" s="233">
        <f>L623</f>
        <v>0</v>
      </c>
      <c r="M624" s="233">
        <f>M623</f>
        <v>0</v>
      </c>
      <c r="N624" s="233">
        <f>N623</f>
        <v>0</v>
      </c>
      <c r="O624" s="233">
        <f>O623</f>
        <v>0</v>
      </c>
      <c r="P624" s="233">
        <f>P623</f>
        <v>0</v>
      </c>
      <c r="Q624" s="233">
        <f>Q623</f>
        <v>0</v>
      </c>
      <c r="R624" s="233">
        <f>R623</f>
        <v>0</v>
      </c>
      <c r="S624" s="233">
        <f>S623</f>
        <v>0</v>
      </c>
      <c r="T624" s="233">
        <f>T623</f>
        <v>0</v>
      </c>
      <c r="U624" s="233">
        <f>U623</f>
        <v>0</v>
      </c>
      <c r="V624" s="233">
        <f>V623</f>
        <v>0</v>
      </c>
      <c r="W624" s="233">
        <f>W623</f>
        <v>0</v>
      </c>
      <c r="X624" s="233">
        <f>X623</f>
        <v>0</v>
      </c>
      <c r="Y624" s="233">
        <f>Y623</f>
        <v>0</v>
      </c>
      <c r="Z624" s="233">
        <f>Z623</f>
        <v>0</v>
      </c>
      <c r="AA624" s="233">
        <f>AA623</f>
        <v>0</v>
      </c>
      <c r="AB624" s="233">
        <f>AB623</f>
        <v>0</v>
      </c>
      <c r="CH624" s="269"/>
      <c r="CI624" s="269"/>
      <c r="CJ624" s="269"/>
      <c r="CK624" s="269"/>
      <c r="CL624" s="269"/>
      <c r="CM624" s="269"/>
      <c r="CN624" s="269"/>
      <c r="CO624" s="269"/>
      <c r="CP624" s="269"/>
      <c r="CQ624" s="269"/>
      <c r="CR624" s="269"/>
      <c r="CS624" s="269"/>
    </row>
    <row r="625" spans="1:97" ht="12" customHeight="1" x14ac:dyDescent="0.3">
      <c r="A625" s="5"/>
      <c r="B625" s="5"/>
      <c r="C625" s="495">
        <f>C562</f>
        <v>821</v>
      </c>
      <c r="D625" s="233">
        <f>D624</f>
        <v>0</v>
      </c>
      <c r="E625" s="233">
        <f>E624</f>
        <v>0</v>
      </c>
      <c r="F625" s="233">
        <f>F624</f>
        <v>0</v>
      </c>
      <c r="G625" s="233">
        <f>G624</f>
        <v>0</v>
      </c>
      <c r="H625" s="233">
        <f>H624</f>
        <v>0</v>
      </c>
      <c r="I625" s="233">
        <f>I624</f>
        <v>0</v>
      </c>
      <c r="J625" s="233">
        <f>J624</f>
        <v>0</v>
      </c>
      <c r="K625" s="233">
        <f>K624</f>
        <v>0</v>
      </c>
      <c r="L625" s="233">
        <f>L624</f>
        <v>0</v>
      </c>
      <c r="M625" s="233">
        <f>M624</f>
        <v>0</v>
      </c>
      <c r="N625" s="233">
        <f>N624</f>
        <v>0</v>
      </c>
      <c r="O625" s="233">
        <f>O624</f>
        <v>0</v>
      </c>
      <c r="P625" s="233">
        <f>P624</f>
        <v>0</v>
      </c>
      <c r="Q625" s="233">
        <f>Q624</f>
        <v>0</v>
      </c>
      <c r="R625" s="233">
        <f>R624</f>
        <v>0</v>
      </c>
      <c r="S625" s="233">
        <f>S624</f>
        <v>0</v>
      </c>
      <c r="T625" s="233">
        <f>T624</f>
        <v>0</v>
      </c>
      <c r="U625" s="233">
        <f>U624</f>
        <v>0</v>
      </c>
      <c r="V625" s="233">
        <f>V624</f>
        <v>0</v>
      </c>
      <c r="W625" s="233">
        <f>W624</f>
        <v>0</v>
      </c>
      <c r="X625" s="233">
        <f>X624</f>
        <v>0</v>
      </c>
      <c r="Y625" s="233">
        <f>Y624</f>
        <v>0</v>
      </c>
      <c r="Z625" s="233">
        <f>Z624</f>
        <v>0</v>
      </c>
      <c r="AA625" s="233">
        <f>AA624</f>
        <v>0</v>
      </c>
      <c r="AB625" s="233">
        <f>AB624</f>
        <v>0</v>
      </c>
      <c r="CH625" s="269"/>
      <c r="CI625" s="269"/>
      <c r="CJ625" s="269"/>
      <c r="CK625" s="269"/>
      <c r="CL625" s="269"/>
      <c r="CM625" s="269"/>
      <c r="CN625" s="269"/>
      <c r="CO625" s="269"/>
      <c r="CP625" s="269"/>
      <c r="CQ625" s="269"/>
      <c r="CR625" s="269"/>
      <c r="CS625" s="269"/>
    </row>
    <row r="626" spans="1:97" ht="15.75" customHeight="1" x14ac:dyDescent="0.3">
      <c r="A626" s="5"/>
      <c r="B626" s="5"/>
      <c r="C626" s="495">
        <f>C563</f>
        <v>851</v>
      </c>
      <c r="D626" s="233">
        <f>D625</f>
        <v>0</v>
      </c>
      <c r="E626" s="233">
        <f>E625</f>
        <v>0</v>
      </c>
      <c r="F626" s="233">
        <f>F625</f>
        <v>0</v>
      </c>
      <c r="G626" s="233">
        <f>G625</f>
        <v>0</v>
      </c>
      <c r="H626" s="233">
        <f>H625</f>
        <v>0</v>
      </c>
      <c r="I626" s="233">
        <f>I625</f>
        <v>0</v>
      </c>
      <c r="J626" s="233">
        <f>J625</f>
        <v>0</v>
      </c>
      <c r="K626" s="233">
        <f>K625</f>
        <v>0</v>
      </c>
      <c r="L626" s="233">
        <f>L625</f>
        <v>0</v>
      </c>
      <c r="M626" s="233">
        <f>M625</f>
        <v>0</v>
      </c>
      <c r="N626" s="233">
        <f>N625</f>
        <v>0</v>
      </c>
      <c r="O626" s="233">
        <f>O625</f>
        <v>0</v>
      </c>
      <c r="P626" s="233">
        <f>P625</f>
        <v>0</v>
      </c>
      <c r="Q626" s="233">
        <f>Q625</f>
        <v>0</v>
      </c>
      <c r="R626" s="233">
        <f>R625</f>
        <v>0</v>
      </c>
      <c r="S626" s="233">
        <f>S625</f>
        <v>0</v>
      </c>
      <c r="T626" s="233">
        <f>T625</f>
        <v>0</v>
      </c>
      <c r="U626" s="233">
        <f>U625</f>
        <v>0</v>
      </c>
      <c r="V626" s="233">
        <f>V625</f>
        <v>0</v>
      </c>
      <c r="W626" s="233">
        <f>W625</f>
        <v>0</v>
      </c>
      <c r="X626" s="233">
        <f>X625</f>
        <v>0</v>
      </c>
      <c r="Y626" s="233">
        <f>Y625</f>
        <v>0</v>
      </c>
      <c r="Z626" s="233">
        <f>Z625</f>
        <v>0</v>
      </c>
      <c r="AA626" s="233">
        <f>AA625</f>
        <v>0</v>
      </c>
      <c r="AB626" s="233">
        <f>AB625</f>
        <v>0</v>
      </c>
      <c r="CH626" s="269"/>
      <c r="CI626" s="269"/>
      <c r="CJ626" s="269"/>
      <c r="CK626" s="269"/>
      <c r="CL626" s="269"/>
      <c r="CM626" s="269"/>
      <c r="CN626" s="269"/>
      <c r="CO626" s="269"/>
      <c r="CP626" s="269"/>
      <c r="CQ626" s="269"/>
      <c r="CR626" s="269"/>
      <c r="CS626" s="269"/>
    </row>
    <row r="627" spans="1:97" ht="12" customHeight="1" x14ac:dyDescent="0.3">
      <c r="A627" s="5"/>
      <c r="B627" s="5"/>
      <c r="C627" s="495">
        <f>C564</f>
        <v>882</v>
      </c>
      <c r="D627" s="233">
        <f>D626</f>
        <v>0</v>
      </c>
      <c r="E627" s="233">
        <f>E626</f>
        <v>0</v>
      </c>
      <c r="F627" s="233">
        <f>F626</f>
        <v>0</v>
      </c>
      <c r="G627" s="233">
        <f>G626</f>
        <v>0</v>
      </c>
      <c r="H627" s="233">
        <f>H626</f>
        <v>0</v>
      </c>
      <c r="I627" s="233">
        <f>I626</f>
        <v>0</v>
      </c>
      <c r="J627" s="233">
        <f>J626</f>
        <v>0</v>
      </c>
      <c r="K627" s="233">
        <f>K626</f>
        <v>0</v>
      </c>
      <c r="L627" s="233">
        <f>L626</f>
        <v>0</v>
      </c>
      <c r="M627" s="233">
        <f>M626</f>
        <v>0</v>
      </c>
      <c r="N627" s="233">
        <f>N626</f>
        <v>0</v>
      </c>
      <c r="O627" s="233">
        <f>O626</f>
        <v>0</v>
      </c>
      <c r="P627" s="233">
        <f>P626</f>
        <v>0</v>
      </c>
      <c r="Q627" s="233">
        <f>Q626</f>
        <v>0</v>
      </c>
      <c r="R627" s="233">
        <f>R626</f>
        <v>0</v>
      </c>
      <c r="S627" s="233">
        <f>S626</f>
        <v>0</v>
      </c>
      <c r="T627" s="233">
        <f>T626</f>
        <v>0</v>
      </c>
      <c r="U627" s="233">
        <f>U626</f>
        <v>0</v>
      </c>
      <c r="V627" s="233">
        <f>V626</f>
        <v>0</v>
      </c>
      <c r="W627" s="233">
        <f>W626</f>
        <v>0</v>
      </c>
      <c r="X627" s="233">
        <f>X626</f>
        <v>0</v>
      </c>
      <c r="Y627" s="233">
        <f>Y626</f>
        <v>0</v>
      </c>
      <c r="Z627" s="233">
        <f>Z626</f>
        <v>0</v>
      </c>
      <c r="AA627" s="233">
        <f>AA626</f>
        <v>0</v>
      </c>
      <c r="AB627" s="233">
        <f>AB626</f>
        <v>0</v>
      </c>
      <c r="CH627" s="269"/>
      <c r="CI627" s="269"/>
      <c r="CJ627" s="269"/>
      <c r="CK627" s="269"/>
      <c r="CL627" s="269"/>
      <c r="CM627" s="269"/>
      <c r="CN627" s="269"/>
      <c r="CO627" s="269"/>
      <c r="CP627" s="269"/>
      <c r="CQ627" s="269"/>
      <c r="CR627" s="269"/>
      <c r="CS627" s="269"/>
    </row>
    <row r="628" spans="1:97" ht="12" customHeight="1" x14ac:dyDescent="0.3">
      <c r="A628" s="5"/>
      <c r="B628" s="5"/>
      <c r="C628" s="495">
        <f>C565</f>
        <v>912</v>
      </c>
      <c r="D628" s="233">
        <f>D627</f>
        <v>0</v>
      </c>
      <c r="E628" s="233">
        <f>E627</f>
        <v>0</v>
      </c>
      <c r="F628" s="233">
        <f>F627</f>
        <v>0</v>
      </c>
      <c r="G628" s="233">
        <f>G627</f>
        <v>0</v>
      </c>
      <c r="H628" s="233">
        <f>H627</f>
        <v>0</v>
      </c>
      <c r="I628" s="233">
        <f>I627</f>
        <v>0</v>
      </c>
      <c r="J628" s="233">
        <f>J627</f>
        <v>0</v>
      </c>
      <c r="K628" s="233">
        <f>K627</f>
        <v>0</v>
      </c>
      <c r="L628" s="233">
        <f>L627</f>
        <v>0</v>
      </c>
      <c r="M628" s="233">
        <f>M627</f>
        <v>0</v>
      </c>
      <c r="N628" s="233">
        <f>N627</f>
        <v>0</v>
      </c>
      <c r="O628" s="233">
        <f>O627</f>
        <v>0</v>
      </c>
      <c r="P628" s="233">
        <f>P627</f>
        <v>0</v>
      </c>
      <c r="Q628" s="233">
        <f>Q627</f>
        <v>0</v>
      </c>
      <c r="R628" s="233">
        <f>R627</f>
        <v>0</v>
      </c>
      <c r="S628" s="233">
        <f>S627</f>
        <v>0</v>
      </c>
      <c r="T628" s="233">
        <f>T627</f>
        <v>0</v>
      </c>
      <c r="U628" s="233">
        <f>U627</f>
        <v>0</v>
      </c>
      <c r="V628" s="233">
        <f>V627</f>
        <v>0</v>
      </c>
      <c r="W628" s="233">
        <f>W627</f>
        <v>0</v>
      </c>
      <c r="X628" s="233">
        <f>X627</f>
        <v>0</v>
      </c>
      <c r="Y628" s="233">
        <f>Y627</f>
        <v>0</v>
      </c>
      <c r="Z628" s="233">
        <f>Z627</f>
        <v>0</v>
      </c>
      <c r="AA628" s="233">
        <f>AA627</f>
        <v>0</v>
      </c>
      <c r="AB628" s="233">
        <f>AB627</f>
        <v>0</v>
      </c>
      <c r="CH628" s="269"/>
      <c r="CI628" s="269"/>
      <c r="CJ628" s="269"/>
      <c r="CK628" s="269"/>
      <c r="CL628" s="269"/>
      <c r="CM628" s="269"/>
      <c r="CN628" s="269"/>
      <c r="CO628" s="269"/>
      <c r="CP628" s="269"/>
      <c r="CQ628" s="269"/>
      <c r="CR628" s="269"/>
      <c r="CS628" s="269"/>
    </row>
    <row r="629" spans="1:97" ht="12" customHeight="1" x14ac:dyDescent="0.3">
      <c r="A629" s="5"/>
      <c r="B629" s="5"/>
      <c r="C629" s="495">
        <f>C566</f>
        <v>943</v>
      </c>
      <c r="D629" s="233">
        <f>D628</f>
        <v>0</v>
      </c>
      <c r="E629" s="233">
        <f>E628</f>
        <v>0</v>
      </c>
      <c r="F629" s="233">
        <f>F628</f>
        <v>0</v>
      </c>
      <c r="G629" s="233">
        <f>G628</f>
        <v>0</v>
      </c>
      <c r="H629" s="233">
        <f>H628</f>
        <v>0</v>
      </c>
      <c r="I629" s="233">
        <f>I628</f>
        <v>0</v>
      </c>
      <c r="J629" s="233">
        <f>J628</f>
        <v>0</v>
      </c>
      <c r="K629" s="233">
        <f>K628</f>
        <v>0</v>
      </c>
      <c r="L629" s="233">
        <f>L628</f>
        <v>0</v>
      </c>
      <c r="M629" s="233">
        <f>M628</f>
        <v>0</v>
      </c>
      <c r="N629" s="233">
        <f>N628</f>
        <v>0</v>
      </c>
      <c r="O629" s="233">
        <f>O628</f>
        <v>0</v>
      </c>
      <c r="P629" s="233">
        <f>P628</f>
        <v>0</v>
      </c>
      <c r="Q629" s="233">
        <f>Q628</f>
        <v>0</v>
      </c>
      <c r="R629" s="233">
        <f>R628</f>
        <v>0</v>
      </c>
      <c r="S629" s="233">
        <f>S628</f>
        <v>0</v>
      </c>
      <c r="T629" s="233">
        <f>T628</f>
        <v>0</v>
      </c>
      <c r="U629" s="233">
        <f>U628</f>
        <v>0</v>
      </c>
      <c r="V629" s="233">
        <f>V628</f>
        <v>0</v>
      </c>
      <c r="W629" s="233">
        <f>W628</f>
        <v>0</v>
      </c>
      <c r="X629" s="233">
        <f>X628</f>
        <v>0</v>
      </c>
      <c r="Y629" s="233">
        <f>Y628</f>
        <v>0</v>
      </c>
      <c r="Z629" s="233">
        <f>Z628</f>
        <v>0</v>
      </c>
      <c r="AA629" s="233">
        <f>AA628</f>
        <v>0</v>
      </c>
      <c r="AB629" s="233">
        <f>AB628</f>
        <v>0</v>
      </c>
      <c r="CH629" s="269"/>
      <c r="CI629" s="269"/>
      <c r="CJ629" s="269"/>
      <c r="CK629" s="269"/>
      <c r="CL629" s="269"/>
      <c r="CM629" s="269"/>
      <c r="CN629" s="269"/>
      <c r="CO629" s="269"/>
      <c r="CP629" s="269"/>
      <c r="CQ629" s="269"/>
      <c r="CR629" s="269"/>
      <c r="CS629" s="269"/>
    </row>
    <row r="630" spans="1:97" ht="12" customHeight="1" x14ac:dyDescent="0.3">
      <c r="A630" s="5"/>
      <c r="B630" s="5"/>
      <c r="C630" s="495">
        <f>C567</f>
        <v>974</v>
      </c>
      <c r="D630" s="233">
        <f>D629</f>
        <v>0</v>
      </c>
      <c r="E630" s="233">
        <f>E629</f>
        <v>0</v>
      </c>
      <c r="F630" s="233">
        <f>F629</f>
        <v>0</v>
      </c>
      <c r="G630" s="233">
        <f>G629</f>
        <v>0</v>
      </c>
      <c r="H630" s="233">
        <f>H629</f>
        <v>0</v>
      </c>
      <c r="I630" s="233">
        <f>I629</f>
        <v>0</v>
      </c>
      <c r="J630" s="233">
        <f>J629</f>
        <v>0</v>
      </c>
      <c r="K630" s="233">
        <f>K629</f>
        <v>0</v>
      </c>
      <c r="L630" s="233">
        <f>L629</f>
        <v>0</v>
      </c>
      <c r="M630" s="233">
        <f>M629</f>
        <v>0</v>
      </c>
      <c r="N630" s="233">
        <f>N629</f>
        <v>0</v>
      </c>
      <c r="O630" s="233">
        <f>O629</f>
        <v>0</v>
      </c>
      <c r="P630" s="233">
        <f>P629</f>
        <v>0</v>
      </c>
      <c r="Q630" s="233">
        <f>Q629</f>
        <v>0</v>
      </c>
      <c r="R630" s="233">
        <f>R629</f>
        <v>0</v>
      </c>
      <c r="S630" s="233">
        <f>S629</f>
        <v>0</v>
      </c>
      <c r="T630" s="233">
        <f>T629</f>
        <v>0</v>
      </c>
      <c r="U630" s="233">
        <f>U629</f>
        <v>0</v>
      </c>
      <c r="V630" s="233">
        <f>V629</f>
        <v>0</v>
      </c>
      <c r="W630" s="233">
        <f>W629</f>
        <v>0</v>
      </c>
      <c r="X630" s="233">
        <f>X629</f>
        <v>0</v>
      </c>
      <c r="Y630" s="233">
        <f>Y629</f>
        <v>0</v>
      </c>
      <c r="Z630" s="233">
        <f>Z629</f>
        <v>0</v>
      </c>
      <c r="AA630" s="233">
        <f>AA629</f>
        <v>0</v>
      </c>
      <c r="AB630" s="233">
        <f>AB629</f>
        <v>0</v>
      </c>
      <c r="CH630" s="269"/>
      <c r="CI630" s="269"/>
      <c r="CJ630" s="269"/>
      <c r="CK630" s="269"/>
      <c r="CL630" s="269"/>
      <c r="CM630" s="269"/>
      <c r="CN630" s="269"/>
      <c r="CO630" s="269"/>
      <c r="CP630" s="269"/>
      <c r="CQ630" s="269"/>
      <c r="CR630" s="269"/>
      <c r="CS630" s="269"/>
    </row>
    <row r="631" spans="1:97" ht="12" customHeight="1" x14ac:dyDescent="0.3">
      <c r="A631" s="5"/>
      <c r="B631" s="5"/>
      <c r="C631" s="495">
        <f>C568</f>
        <v>1004</v>
      </c>
      <c r="D631" s="233">
        <f>D630</f>
        <v>0</v>
      </c>
      <c r="E631" s="233">
        <f>E630</f>
        <v>0</v>
      </c>
      <c r="F631" s="233">
        <f>F630</f>
        <v>0</v>
      </c>
      <c r="G631" s="233">
        <f>G630</f>
        <v>0</v>
      </c>
      <c r="H631" s="233">
        <f>H630</f>
        <v>0</v>
      </c>
      <c r="I631" s="233">
        <f>I630</f>
        <v>0</v>
      </c>
      <c r="J631" s="233">
        <f>J630</f>
        <v>0</v>
      </c>
      <c r="K631" s="233">
        <f>K630</f>
        <v>0</v>
      </c>
      <c r="L631" s="233">
        <f>L630</f>
        <v>0</v>
      </c>
      <c r="M631" s="233">
        <f>M630</f>
        <v>0</v>
      </c>
      <c r="N631" s="233">
        <f>N630</f>
        <v>0</v>
      </c>
      <c r="O631" s="233">
        <f>O630</f>
        <v>0</v>
      </c>
      <c r="P631" s="233">
        <f>P630</f>
        <v>0</v>
      </c>
      <c r="Q631" s="233">
        <f>Q630</f>
        <v>0</v>
      </c>
      <c r="R631" s="233">
        <f>R630</f>
        <v>0</v>
      </c>
      <c r="S631" s="233">
        <f>S630</f>
        <v>0</v>
      </c>
      <c r="T631" s="233">
        <f>T630</f>
        <v>0</v>
      </c>
      <c r="U631" s="233">
        <f>U630</f>
        <v>0</v>
      </c>
      <c r="V631" s="233">
        <f>V630</f>
        <v>0</v>
      </c>
      <c r="W631" s="233">
        <f>W630</f>
        <v>0</v>
      </c>
      <c r="X631" s="233">
        <f>X630</f>
        <v>0</v>
      </c>
      <c r="Y631" s="233">
        <f>Y630</f>
        <v>0</v>
      </c>
      <c r="Z631" s="233">
        <f>Z630</f>
        <v>0</v>
      </c>
      <c r="AA631" s="233">
        <f>AA630</f>
        <v>0</v>
      </c>
      <c r="AB631" s="233">
        <f>AB630</f>
        <v>0</v>
      </c>
      <c r="CH631" s="269"/>
      <c r="CI631" s="269"/>
      <c r="CJ631" s="269"/>
      <c r="CK631" s="269"/>
      <c r="CL631" s="269"/>
      <c r="CM631" s="269"/>
      <c r="CN631" s="269"/>
      <c r="CO631" s="269"/>
      <c r="CP631" s="269"/>
      <c r="CQ631" s="269"/>
      <c r="CR631" s="269"/>
      <c r="CS631" s="269"/>
    </row>
    <row r="632" spans="1:97" ht="12" customHeight="1" x14ac:dyDescent="0.3">
      <c r="A632" s="5"/>
      <c r="B632" s="5"/>
      <c r="C632" s="495">
        <f>C569</f>
        <v>1035</v>
      </c>
      <c r="D632" s="233">
        <f>D631</f>
        <v>0</v>
      </c>
      <c r="E632" s="233">
        <f>E631</f>
        <v>0</v>
      </c>
      <c r="F632" s="233">
        <f>F631</f>
        <v>0</v>
      </c>
      <c r="G632" s="233">
        <f>G631</f>
        <v>0</v>
      </c>
      <c r="H632" s="233">
        <f>H631</f>
        <v>0</v>
      </c>
      <c r="I632" s="233">
        <f>I631</f>
        <v>0</v>
      </c>
      <c r="J632" s="233">
        <f>J631</f>
        <v>0</v>
      </c>
      <c r="K632" s="233">
        <f>K631</f>
        <v>0</v>
      </c>
      <c r="L632" s="233">
        <f>L631</f>
        <v>0</v>
      </c>
      <c r="M632" s="233">
        <f>M631</f>
        <v>0</v>
      </c>
      <c r="N632" s="233">
        <f>N631</f>
        <v>0</v>
      </c>
      <c r="O632" s="233">
        <f>O631</f>
        <v>0</v>
      </c>
      <c r="P632" s="233">
        <f>P631</f>
        <v>0</v>
      </c>
      <c r="Q632" s="233">
        <f>Q631</f>
        <v>0</v>
      </c>
      <c r="R632" s="233">
        <f>R631</f>
        <v>0</v>
      </c>
      <c r="S632" s="233">
        <f>S631</f>
        <v>0</v>
      </c>
      <c r="T632" s="233">
        <f>T631</f>
        <v>0</v>
      </c>
      <c r="U632" s="233">
        <f>U631</f>
        <v>0</v>
      </c>
      <c r="V632" s="233">
        <f>V631</f>
        <v>0</v>
      </c>
      <c r="W632" s="233">
        <f>W631</f>
        <v>0</v>
      </c>
      <c r="X632" s="233">
        <f>X631</f>
        <v>0</v>
      </c>
      <c r="Y632" s="233">
        <f>Y631</f>
        <v>0</v>
      </c>
      <c r="Z632" s="233">
        <f>Z631</f>
        <v>0</v>
      </c>
      <c r="AA632" s="233">
        <f>AA631</f>
        <v>0</v>
      </c>
      <c r="AB632" s="233">
        <f>AB631</f>
        <v>0</v>
      </c>
      <c r="CH632" s="269"/>
      <c r="CI632" s="269"/>
      <c r="CJ632" s="269"/>
      <c r="CK632" s="269"/>
      <c r="CL632" s="269"/>
      <c r="CM632" s="269"/>
      <c r="CN632" s="269"/>
      <c r="CO632" s="269"/>
      <c r="CP632" s="269"/>
      <c r="CQ632" s="269"/>
      <c r="CR632" s="269"/>
      <c r="CS632" s="269"/>
    </row>
    <row r="633" spans="1:97" ht="12" customHeight="1" x14ac:dyDescent="0.3">
      <c r="A633" s="5"/>
      <c r="B633" s="5"/>
      <c r="C633" s="495">
        <f>C570</f>
        <v>1065</v>
      </c>
      <c r="D633" s="233">
        <f>D632</f>
        <v>0</v>
      </c>
      <c r="E633" s="233">
        <f>E632</f>
        <v>0</v>
      </c>
      <c r="F633" s="233">
        <f>F632</f>
        <v>0</v>
      </c>
      <c r="G633" s="233">
        <f>G632</f>
        <v>0</v>
      </c>
      <c r="H633" s="233">
        <f>H632</f>
        <v>0</v>
      </c>
      <c r="I633" s="233">
        <f>I632</f>
        <v>0</v>
      </c>
      <c r="J633" s="233">
        <f>J632</f>
        <v>0</v>
      </c>
      <c r="K633" s="233">
        <f>K632</f>
        <v>0</v>
      </c>
      <c r="L633" s="233">
        <f>L632</f>
        <v>0</v>
      </c>
      <c r="M633" s="233">
        <f>M632</f>
        <v>0</v>
      </c>
      <c r="N633" s="233">
        <f>N632</f>
        <v>0</v>
      </c>
      <c r="O633" s="233">
        <f>O632</f>
        <v>0</v>
      </c>
      <c r="P633" s="233">
        <f>P632</f>
        <v>0</v>
      </c>
      <c r="Q633" s="233">
        <f>Q632</f>
        <v>0</v>
      </c>
      <c r="R633" s="233">
        <f>R632</f>
        <v>0</v>
      </c>
      <c r="S633" s="233">
        <f>S632</f>
        <v>0</v>
      </c>
      <c r="T633" s="233">
        <f>T632</f>
        <v>0</v>
      </c>
      <c r="U633" s="233">
        <f>U632</f>
        <v>0</v>
      </c>
      <c r="V633" s="233">
        <f>V632</f>
        <v>0</v>
      </c>
      <c r="W633" s="233">
        <f>W632</f>
        <v>0</v>
      </c>
      <c r="X633" s="233">
        <f>X632</f>
        <v>0</v>
      </c>
      <c r="Y633" s="233">
        <f>Y632</f>
        <v>0</v>
      </c>
      <c r="Z633" s="233">
        <f>Z632</f>
        <v>0</v>
      </c>
      <c r="AA633" s="233">
        <f>AA632</f>
        <v>0</v>
      </c>
      <c r="AB633" s="233">
        <f>AB632</f>
        <v>0</v>
      </c>
      <c r="CH633" s="269"/>
      <c r="CI633" s="269"/>
      <c r="CJ633" s="269"/>
      <c r="CK633" s="269"/>
      <c r="CL633" s="269"/>
      <c r="CM633" s="269"/>
      <c r="CN633" s="269"/>
      <c r="CO633" s="269"/>
      <c r="CP633" s="269"/>
      <c r="CQ633" s="269"/>
      <c r="CR633" s="269"/>
      <c r="CS633" s="269"/>
    </row>
    <row r="634" spans="1:97" ht="12.75" customHeight="1" thickBot="1" x14ac:dyDescent="0.35">
      <c r="A634" s="5"/>
      <c r="B634" s="5"/>
      <c r="C634" s="496">
        <f>C571</f>
        <v>1096</v>
      </c>
      <c r="D634" s="235">
        <f>D633</f>
        <v>0</v>
      </c>
      <c r="E634" s="235">
        <f>E633</f>
        <v>0</v>
      </c>
      <c r="F634" s="235">
        <f>F633</f>
        <v>0</v>
      </c>
      <c r="G634" s="235">
        <f>G633</f>
        <v>0</v>
      </c>
      <c r="H634" s="235">
        <f>H633</f>
        <v>0</v>
      </c>
      <c r="I634" s="235">
        <f>I633</f>
        <v>0</v>
      </c>
      <c r="J634" s="235">
        <f>J633</f>
        <v>0</v>
      </c>
      <c r="K634" s="235">
        <f>K633</f>
        <v>0</v>
      </c>
      <c r="L634" s="235">
        <f>L633</f>
        <v>0</v>
      </c>
      <c r="M634" s="235">
        <f>M633</f>
        <v>0</v>
      </c>
      <c r="N634" s="235">
        <f>N633</f>
        <v>0</v>
      </c>
      <c r="O634" s="235">
        <f>O633</f>
        <v>0</v>
      </c>
      <c r="P634" s="235">
        <f>P633</f>
        <v>0</v>
      </c>
      <c r="Q634" s="235">
        <f>Q633</f>
        <v>0</v>
      </c>
      <c r="R634" s="235">
        <f>R633</f>
        <v>0</v>
      </c>
      <c r="S634" s="235">
        <f>S633</f>
        <v>0</v>
      </c>
      <c r="T634" s="235">
        <f>T633</f>
        <v>0</v>
      </c>
      <c r="U634" s="235">
        <f>U633</f>
        <v>0</v>
      </c>
      <c r="V634" s="235">
        <f>V633</f>
        <v>0</v>
      </c>
      <c r="W634" s="235">
        <f>W633</f>
        <v>0</v>
      </c>
      <c r="X634" s="235">
        <f>X633</f>
        <v>0</v>
      </c>
      <c r="Y634" s="235">
        <f>Y633</f>
        <v>0</v>
      </c>
      <c r="Z634" s="235">
        <f>Z633</f>
        <v>0</v>
      </c>
      <c r="AA634" s="235">
        <f>AA633</f>
        <v>0</v>
      </c>
      <c r="AB634" s="235">
        <f>AB633</f>
        <v>0</v>
      </c>
      <c r="CH634" s="269"/>
      <c r="CI634" s="269"/>
      <c r="CJ634" s="269"/>
      <c r="CK634" s="269"/>
      <c r="CL634" s="269"/>
      <c r="CM634" s="269"/>
      <c r="CN634" s="269"/>
      <c r="CO634" s="269"/>
      <c r="CP634" s="269"/>
      <c r="CQ634" s="269"/>
      <c r="CR634" s="269"/>
      <c r="CS634" s="269"/>
    </row>
    <row r="635" spans="1:97" ht="12" customHeight="1" x14ac:dyDescent="0.3">
      <c r="A635" s="5"/>
      <c r="B635" s="5"/>
      <c r="C635" s="495">
        <f>C572</f>
        <v>1127</v>
      </c>
      <c r="D635" s="832">
        <f>IF(Years="Five",Input!D72,0)</f>
        <v>0</v>
      </c>
      <c r="E635" s="833">
        <f>IF(Years="Five",Input!E72,0)</f>
        <v>0</v>
      </c>
      <c r="F635" s="833">
        <f>IF(Years="Five",Input!F72,0)</f>
        <v>0</v>
      </c>
      <c r="G635" s="833">
        <f>IF(Years="Five",Input!G72,0)</f>
        <v>0</v>
      </c>
      <c r="H635" s="833">
        <f>IF(Years="Five",Input!H72,0)</f>
        <v>0</v>
      </c>
      <c r="I635" s="833">
        <f>IF(Years="Five",Input!I72,0)</f>
        <v>0</v>
      </c>
      <c r="J635" s="833">
        <f>IF(Years="Five",Input!J72,0)</f>
        <v>0</v>
      </c>
      <c r="K635" s="833">
        <f>IF(Years="Five",Input!K72,0)</f>
        <v>0</v>
      </c>
      <c r="L635" s="833">
        <f>IF(Years="Five",Input!L72,0)</f>
        <v>0</v>
      </c>
      <c r="M635" s="833">
        <f>IF(Years="Five",Input!M72,0)</f>
        <v>0</v>
      </c>
      <c r="N635" s="833">
        <f>IF(Years="Five",Input!N72,0)</f>
        <v>0</v>
      </c>
      <c r="O635" s="833">
        <f>IF(Years="Five",Input!O72,0)</f>
        <v>0</v>
      </c>
      <c r="P635" s="833">
        <f>IF(Years="Five",Input!P72,0)</f>
        <v>0</v>
      </c>
      <c r="Q635" s="833">
        <f>IF(Years="Five",Input!Q72,0)</f>
        <v>0</v>
      </c>
      <c r="R635" s="833">
        <f>IF(Years="Five",Input!R72,0)</f>
        <v>0</v>
      </c>
      <c r="S635" s="833">
        <f>IF(Years="Five",Input!S72,0)</f>
        <v>0</v>
      </c>
      <c r="T635" s="833">
        <f>IF(Years="Five",Input!T72,0)</f>
        <v>0</v>
      </c>
      <c r="U635" s="833">
        <f>IF(Years="Five",Input!U72,0)</f>
        <v>0</v>
      </c>
      <c r="V635" s="833">
        <f>IF(Years="Five",Input!V72,0)</f>
        <v>0</v>
      </c>
      <c r="W635" s="833">
        <f>IF(Years="Five",Input!W72,0)</f>
        <v>0</v>
      </c>
      <c r="X635" s="833">
        <f>IF(Years="Five",Input!X72,0)</f>
        <v>0</v>
      </c>
      <c r="Y635" s="833">
        <f>IF(Years="Five",Input!Y72,0)</f>
        <v>0</v>
      </c>
      <c r="Z635" s="833">
        <f>IF(Years="Five",Input!Z72,0)</f>
        <v>0</v>
      </c>
      <c r="AA635" s="833">
        <f>IF(Years="Five",Input!AA72,0)</f>
        <v>0</v>
      </c>
      <c r="AB635" s="834">
        <f>IF(Years="Five",Input!AB72,0)</f>
        <v>0</v>
      </c>
      <c r="CH635" s="269"/>
      <c r="CI635" s="269"/>
      <c r="CJ635" s="269"/>
      <c r="CK635" s="269"/>
      <c r="CL635" s="269"/>
      <c r="CM635" s="269"/>
      <c r="CN635" s="269"/>
      <c r="CO635" s="269"/>
      <c r="CP635" s="269"/>
      <c r="CQ635" s="269"/>
      <c r="CR635" s="269"/>
      <c r="CS635" s="269"/>
    </row>
    <row r="636" spans="1:97" ht="12" customHeight="1" x14ac:dyDescent="0.3">
      <c r="A636" s="5"/>
      <c r="B636" s="5"/>
      <c r="C636" s="495">
        <f>C573</f>
        <v>1155</v>
      </c>
      <c r="D636" s="835">
        <f>D635</f>
        <v>0</v>
      </c>
      <c r="E636" s="836">
        <f>E635</f>
        <v>0</v>
      </c>
      <c r="F636" s="836">
        <f>F635</f>
        <v>0</v>
      </c>
      <c r="G636" s="836">
        <f>G635</f>
        <v>0</v>
      </c>
      <c r="H636" s="836">
        <f>H635</f>
        <v>0</v>
      </c>
      <c r="I636" s="836">
        <f>I635</f>
        <v>0</v>
      </c>
      <c r="J636" s="836">
        <f>J635</f>
        <v>0</v>
      </c>
      <c r="K636" s="836">
        <f>K635</f>
        <v>0</v>
      </c>
      <c r="L636" s="836">
        <f>L635</f>
        <v>0</v>
      </c>
      <c r="M636" s="836">
        <f>M635</f>
        <v>0</v>
      </c>
      <c r="N636" s="836">
        <f>N635</f>
        <v>0</v>
      </c>
      <c r="O636" s="836">
        <f>O635</f>
        <v>0</v>
      </c>
      <c r="P636" s="836">
        <f>P635</f>
        <v>0</v>
      </c>
      <c r="Q636" s="836">
        <f>Q635</f>
        <v>0</v>
      </c>
      <c r="R636" s="836">
        <f>R635</f>
        <v>0</v>
      </c>
      <c r="S636" s="836">
        <f>S635</f>
        <v>0</v>
      </c>
      <c r="T636" s="836">
        <f>T635</f>
        <v>0</v>
      </c>
      <c r="U636" s="836">
        <f>U635</f>
        <v>0</v>
      </c>
      <c r="V636" s="836">
        <f>V635</f>
        <v>0</v>
      </c>
      <c r="W636" s="836">
        <f>W635</f>
        <v>0</v>
      </c>
      <c r="X636" s="836">
        <f>X635</f>
        <v>0</v>
      </c>
      <c r="Y636" s="836">
        <f>Y635</f>
        <v>0</v>
      </c>
      <c r="Z636" s="836">
        <f>Z635</f>
        <v>0</v>
      </c>
      <c r="AA636" s="836">
        <f>AA635</f>
        <v>0</v>
      </c>
      <c r="AB636" s="837">
        <f>AB635</f>
        <v>0</v>
      </c>
      <c r="CH636" s="269"/>
      <c r="CI636" s="269"/>
      <c r="CJ636" s="269"/>
      <c r="CK636" s="269"/>
      <c r="CL636" s="269"/>
      <c r="CM636" s="269"/>
      <c r="CN636" s="269"/>
      <c r="CO636" s="269"/>
      <c r="CP636" s="269"/>
      <c r="CQ636" s="269"/>
      <c r="CR636" s="269"/>
      <c r="CS636" s="269"/>
    </row>
    <row r="637" spans="1:97" ht="12" customHeight="1" x14ac:dyDescent="0.3">
      <c r="A637" s="5"/>
      <c r="B637" s="5"/>
      <c r="C637" s="495">
        <f>C574</f>
        <v>1186</v>
      </c>
      <c r="D637" s="835">
        <f>D636</f>
        <v>0</v>
      </c>
      <c r="E637" s="836">
        <f>E636</f>
        <v>0</v>
      </c>
      <c r="F637" s="836">
        <f>F636</f>
        <v>0</v>
      </c>
      <c r="G637" s="836">
        <f>G636</f>
        <v>0</v>
      </c>
      <c r="H637" s="836">
        <f>H636</f>
        <v>0</v>
      </c>
      <c r="I637" s="836">
        <f>I636</f>
        <v>0</v>
      </c>
      <c r="J637" s="836">
        <f>J636</f>
        <v>0</v>
      </c>
      <c r="K637" s="836">
        <f>K636</f>
        <v>0</v>
      </c>
      <c r="L637" s="836">
        <f>L636</f>
        <v>0</v>
      </c>
      <c r="M637" s="836">
        <f>M636</f>
        <v>0</v>
      </c>
      <c r="N637" s="836">
        <f>N636</f>
        <v>0</v>
      </c>
      <c r="O637" s="836">
        <f>O636</f>
        <v>0</v>
      </c>
      <c r="P637" s="836">
        <f>P636</f>
        <v>0</v>
      </c>
      <c r="Q637" s="836">
        <f>Q636</f>
        <v>0</v>
      </c>
      <c r="R637" s="836">
        <f>R636</f>
        <v>0</v>
      </c>
      <c r="S637" s="836">
        <f>S636</f>
        <v>0</v>
      </c>
      <c r="T637" s="836">
        <f>T636</f>
        <v>0</v>
      </c>
      <c r="U637" s="836">
        <f>U636</f>
        <v>0</v>
      </c>
      <c r="V637" s="836">
        <f>V636</f>
        <v>0</v>
      </c>
      <c r="W637" s="836">
        <f>W636</f>
        <v>0</v>
      </c>
      <c r="X637" s="836">
        <f>X636</f>
        <v>0</v>
      </c>
      <c r="Y637" s="836">
        <f>Y636</f>
        <v>0</v>
      </c>
      <c r="Z637" s="836">
        <f>Z636</f>
        <v>0</v>
      </c>
      <c r="AA637" s="836">
        <f>AA636</f>
        <v>0</v>
      </c>
      <c r="AB637" s="837">
        <f>AB636</f>
        <v>0</v>
      </c>
      <c r="CH637" s="269"/>
      <c r="CI637" s="269"/>
      <c r="CJ637" s="269"/>
      <c r="CK637" s="269"/>
      <c r="CL637" s="269"/>
      <c r="CM637" s="269"/>
      <c r="CN637" s="269"/>
      <c r="CO637" s="269"/>
      <c r="CP637" s="269"/>
      <c r="CQ637" s="269"/>
      <c r="CR637" s="269"/>
      <c r="CS637" s="269"/>
    </row>
    <row r="638" spans="1:97" ht="12" customHeight="1" x14ac:dyDescent="0.3">
      <c r="A638" s="5"/>
      <c r="B638" s="5"/>
      <c r="C638" s="495">
        <f>C575</f>
        <v>1216</v>
      </c>
      <c r="D638" s="835">
        <f>D637</f>
        <v>0</v>
      </c>
      <c r="E638" s="836">
        <f>E637</f>
        <v>0</v>
      </c>
      <c r="F638" s="836">
        <f>F637</f>
        <v>0</v>
      </c>
      <c r="G638" s="836">
        <f>G637</f>
        <v>0</v>
      </c>
      <c r="H638" s="836">
        <f>H637</f>
        <v>0</v>
      </c>
      <c r="I638" s="836">
        <f>I637</f>
        <v>0</v>
      </c>
      <c r="J638" s="836">
        <f>J637</f>
        <v>0</v>
      </c>
      <c r="K638" s="836">
        <f>K637</f>
        <v>0</v>
      </c>
      <c r="L638" s="836">
        <f>L637</f>
        <v>0</v>
      </c>
      <c r="M638" s="836">
        <f>M637</f>
        <v>0</v>
      </c>
      <c r="N638" s="836">
        <f>N637</f>
        <v>0</v>
      </c>
      <c r="O638" s="836">
        <f>O637</f>
        <v>0</v>
      </c>
      <c r="P638" s="836">
        <f>P637</f>
        <v>0</v>
      </c>
      <c r="Q638" s="836">
        <f>Q637</f>
        <v>0</v>
      </c>
      <c r="R638" s="836">
        <f>R637</f>
        <v>0</v>
      </c>
      <c r="S638" s="836">
        <f>S637</f>
        <v>0</v>
      </c>
      <c r="T638" s="836">
        <f>T637</f>
        <v>0</v>
      </c>
      <c r="U638" s="836">
        <f>U637</f>
        <v>0</v>
      </c>
      <c r="V638" s="836">
        <f>V637</f>
        <v>0</v>
      </c>
      <c r="W638" s="836">
        <f>W637</f>
        <v>0</v>
      </c>
      <c r="X638" s="836">
        <f>X637</f>
        <v>0</v>
      </c>
      <c r="Y638" s="836">
        <f>Y637</f>
        <v>0</v>
      </c>
      <c r="Z638" s="836">
        <f>Z637</f>
        <v>0</v>
      </c>
      <c r="AA638" s="836">
        <f>AA637</f>
        <v>0</v>
      </c>
      <c r="AB638" s="837">
        <f>AB637</f>
        <v>0</v>
      </c>
      <c r="CH638" s="269"/>
      <c r="CI638" s="269"/>
      <c r="CJ638" s="269"/>
      <c r="CK638" s="269"/>
      <c r="CL638" s="269"/>
      <c r="CM638" s="269"/>
      <c r="CN638" s="269"/>
      <c r="CO638" s="269"/>
      <c r="CP638" s="269"/>
      <c r="CQ638" s="269"/>
      <c r="CR638" s="269"/>
      <c r="CS638" s="269"/>
    </row>
    <row r="639" spans="1:97" ht="12" customHeight="1" x14ac:dyDescent="0.3">
      <c r="A639" s="5"/>
      <c r="B639" s="5"/>
      <c r="C639" s="495">
        <f>C576</f>
        <v>1247</v>
      </c>
      <c r="D639" s="835">
        <f>D638</f>
        <v>0</v>
      </c>
      <c r="E639" s="836">
        <f>E638</f>
        <v>0</v>
      </c>
      <c r="F639" s="836">
        <f>F638</f>
        <v>0</v>
      </c>
      <c r="G639" s="836">
        <f>G638</f>
        <v>0</v>
      </c>
      <c r="H639" s="836">
        <f>H638</f>
        <v>0</v>
      </c>
      <c r="I639" s="836">
        <f>I638</f>
        <v>0</v>
      </c>
      <c r="J639" s="836">
        <f>J638</f>
        <v>0</v>
      </c>
      <c r="K639" s="836">
        <f>K638</f>
        <v>0</v>
      </c>
      <c r="L639" s="836">
        <f>L638</f>
        <v>0</v>
      </c>
      <c r="M639" s="836">
        <f>M638</f>
        <v>0</v>
      </c>
      <c r="N639" s="836">
        <f>N638</f>
        <v>0</v>
      </c>
      <c r="O639" s="836">
        <f>O638</f>
        <v>0</v>
      </c>
      <c r="P639" s="836">
        <f>P638</f>
        <v>0</v>
      </c>
      <c r="Q639" s="836">
        <f>Q638</f>
        <v>0</v>
      </c>
      <c r="R639" s="836">
        <f>R638</f>
        <v>0</v>
      </c>
      <c r="S639" s="836">
        <f>S638</f>
        <v>0</v>
      </c>
      <c r="T639" s="836">
        <f>T638</f>
        <v>0</v>
      </c>
      <c r="U639" s="836">
        <f>U638</f>
        <v>0</v>
      </c>
      <c r="V639" s="836">
        <f>V638</f>
        <v>0</v>
      </c>
      <c r="W639" s="836">
        <f>W638</f>
        <v>0</v>
      </c>
      <c r="X639" s="836">
        <f>X638</f>
        <v>0</v>
      </c>
      <c r="Y639" s="836">
        <f>Y638</f>
        <v>0</v>
      </c>
      <c r="Z639" s="836">
        <f>Z638</f>
        <v>0</v>
      </c>
      <c r="AA639" s="836">
        <f>AA638</f>
        <v>0</v>
      </c>
      <c r="AB639" s="837">
        <f>AB638</f>
        <v>0</v>
      </c>
      <c r="CH639" s="269"/>
      <c r="CI639" s="269"/>
      <c r="CJ639" s="269"/>
      <c r="CK639" s="269"/>
      <c r="CL639" s="269"/>
      <c r="CM639" s="269"/>
      <c r="CN639" s="269"/>
      <c r="CO639" s="269"/>
      <c r="CP639" s="269"/>
      <c r="CQ639" s="269"/>
      <c r="CR639" s="269"/>
      <c r="CS639" s="269"/>
    </row>
    <row r="640" spans="1:97" ht="12" customHeight="1" x14ac:dyDescent="0.3">
      <c r="A640" s="5"/>
      <c r="B640" s="5"/>
      <c r="C640" s="495">
        <f>C577</f>
        <v>1277</v>
      </c>
      <c r="D640" s="835">
        <f>D639</f>
        <v>0</v>
      </c>
      <c r="E640" s="836">
        <f>E639</f>
        <v>0</v>
      </c>
      <c r="F640" s="836">
        <f>F639</f>
        <v>0</v>
      </c>
      <c r="G640" s="836">
        <f>G639</f>
        <v>0</v>
      </c>
      <c r="H640" s="836">
        <f>H639</f>
        <v>0</v>
      </c>
      <c r="I640" s="836">
        <f>I639</f>
        <v>0</v>
      </c>
      <c r="J640" s="836">
        <f>J639</f>
        <v>0</v>
      </c>
      <c r="K640" s="836">
        <f>K639</f>
        <v>0</v>
      </c>
      <c r="L640" s="836">
        <f>L639</f>
        <v>0</v>
      </c>
      <c r="M640" s="836">
        <f>M639</f>
        <v>0</v>
      </c>
      <c r="N640" s="836">
        <f>N639</f>
        <v>0</v>
      </c>
      <c r="O640" s="836">
        <f>O639</f>
        <v>0</v>
      </c>
      <c r="P640" s="836">
        <f>P639</f>
        <v>0</v>
      </c>
      <c r="Q640" s="836">
        <f>Q639</f>
        <v>0</v>
      </c>
      <c r="R640" s="836">
        <f>R639</f>
        <v>0</v>
      </c>
      <c r="S640" s="836">
        <f>S639</f>
        <v>0</v>
      </c>
      <c r="T640" s="836">
        <f>T639</f>
        <v>0</v>
      </c>
      <c r="U640" s="836">
        <f>U639</f>
        <v>0</v>
      </c>
      <c r="V640" s="836">
        <f>V639</f>
        <v>0</v>
      </c>
      <c r="W640" s="836">
        <f>W639</f>
        <v>0</v>
      </c>
      <c r="X640" s="836">
        <f>X639</f>
        <v>0</v>
      </c>
      <c r="Y640" s="836">
        <f>Y639</f>
        <v>0</v>
      </c>
      <c r="Z640" s="836">
        <f>Z639</f>
        <v>0</v>
      </c>
      <c r="AA640" s="836">
        <f>AA639</f>
        <v>0</v>
      </c>
      <c r="AB640" s="837">
        <f>AB639</f>
        <v>0</v>
      </c>
      <c r="CH640" s="269"/>
      <c r="CI640" s="269"/>
      <c r="CJ640" s="269"/>
      <c r="CK640" s="269"/>
      <c r="CL640" s="269"/>
      <c r="CM640" s="269"/>
      <c r="CN640" s="269"/>
      <c r="CO640" s="269"/>
      <c r="CP640" s="269"/>
      <c r="CQ640" s="269"/>
      <c r="CR640" s="269"/>
      <c r="CS640" s="269"/>
    </row>
    <row r="641" spans="1:97" ht="12" customHeight="1" x14ac:dyDescent="0.3">
      <c r="A641" s="5"/>
      <c r="B641" s="5"/>
      <c r="C641" s="495">
        <f>C578</f>
        <v>1308</v>
      </c>
      <c r="D641" s="835">
        <f>D640</f>
        <v>0</v>
      </c>
      <c r="E641" s="836">
        <f>E640</f>
        <v>0</v>
      </c>
      <c r="F641" s="836">
        <f>F640</f>
        <v>0</v>
      </c>
      <c r="G641" s="836">
        <f>G640</f>
        <v>0</v>
      </c>
      <c r="H641" s="836">
        <f>H640</f>
        <v>0</v>
      </c>
      <c r="I641" s="836">
        <f>I640</f>
        <v>0</v>
      </c>
      <c r="J641" s="836">
        <f>J640</f>
        <v>0</v>
      </c>
      <c r="K641" s="836">
        <f>K640</f>
        <v>0</v>
      </c>
      <c r="L641" s="836">
        <f>L640</f>
        <v>0</v>
      </c>
      <c r="M641" s="836">
        <f>M640</f>
        <v>0</v>
      </c>
      <c r="N641" s="836">
        <f>N640</f>
        <v>0</v>
      </c>
      <c r="O641" s="836">
        <f>O640</f>
        <v>0</v>
      </c>
      <c r="P641" s="836">
        <f>P640</f>
        <v>0</v>
      </c>
      <c r="Q641" s="836">
        <f>Q640</f>
        <v>0</v>
      </c>
      <c r="R641" s="836">
        <f>R640</f>
        <v>0</v>
      </c>
      <c r="S641" s="836">
        <f>S640</f>
        <v>0</v>
      </c>
      <c r="T641" s="836">
        <f>T640</f>
        <v>0</v>
      </c>
      <c r="U641" s="836">
        <f>U640</f>
        <v>0</v>
      </c>
      <c r="V641" s="836">
        <f>V640</f>
        <v>0</v>
      </c>
      <c r="W641" s="836">
        <f>W640</f>
        <v>0</v>
      </c>
      <c r="X641" s="836">
        <f>X640</f>
        <v>0</v>
      </c>
      <c r="Y641" s="836">
        <f>Y640</f>
        <v>0</v>
      </c>
      <c r="Z641" s="836">
        <f>Z640</f>
        <v>0</v>
      </c>
      <c r="AA641" s="836">
        <f>AA640</f>
        <v>0</v>
      </c>
      <c r="AB641" s="837">
        <f>AB640</f>
        <v>0</v>
      </c>
      <c r="CH641" s="269"/>
      <c r="CI641" s="269"/>
      <c r="CJ641" s="269"/>
      <c r="CK641" s="269"/>
      <c r="CL641" s="269"/>
      <c r="CM641" s="269"/>
      <c r="CN641" s="269"/>
      <c r="CO641" s="269"/>
      <c r="CP641" s="269"/>
      <c r="CQ641" s="269"/>
      <c r="CR641" s="269"/>
      <c r="CS641" s="269"/>
    </row>
    <row r="642" spans="1:97" ht="12" customHeight="1" x14ac:dyDescent="0.3">
      <c r="A642" s="5"/>
      <c r="B642" s="5"/>
      <c r="C642" s="495">
        <f>C579</f>
        <v>1339</v>
      </c>
      <c r="D642" s="835">
        <f>D641</f>
        <v>0</v>
      </c>
      <c r="E642" s="836">
        <f>E641</f>
        <v>0</v>
      </c>
      <c r="F642" s="836">
        <f>F641</f>
        <v>0</v>
      </c>
      <c r="G642" s="836">
        <f>G641</f>
        <v>0</v>
      </c>
      <c r="H642" s="836">
        <f>H641</f>
        <v>0</v>
      </c>
      <c r="I642" s="836">
        <f>I641</f>
        <v>0</v>
      </c>
      <c r="J642" s="836">
        <f>J641</f>
        <v>0</v>
      </c>
      <c r="K642" s="836">
        <f>K641</f>
        <v>0</v>
      </c>
      <c r="L642" s="836">
        <f>L641</f>
        <v>0</v>
      </c>
      <c r="M642" s="836">
        <f>M641</f>
        <v>0</v>
      </c>
      <c r="N642" s="836">
        <f>N641</f>
        <v>0</v>
      </c>
      <c r="O642" s="836">
        <f>O641</f>
        <v>0</v>
      </c>
      <c r="P642" s="836">
        <f>P641</f>
        <v>0</v>
      </c>
      <c r="Q642" s="836">
        <f>Q641</f>
        <v>0</v>
      </c>
      <c r="R642" s="836">
        <f>R641</f>
        <v>0</v>
      </c>
      <c r="S642" s="836">
        <f>S641</f>
        <v>0</v>
      </c>
      <c r="T642" s="836">
        <f>T641</f>
        <v>0</v>
      </c>
      <c r="U642" s="836">
        <f>U641</f>
        <v>0</v>
      </c>
      <c r="V642" s="836">
        <f>V641</f>
        <v>0</v>
      </c>
      <c r="W642" s="836">
        <f>W641</f>
        <v>0</v>
      </c>
      <c r="X642" s="836">
        <f>X641</f>
        <v>0</v>
      </c>
      <c r="Y642" s="836">
        <f>Y641</f>
        <v>0</v>
      </c>
      <c r="Z642" s="836">
        <f>Z641</f>
        <v>0</v>
      </c>
      <c r="AA642" s="836">
        <f>AA641</f>
        <v>0</v>
      </c>
      <c r="AB642" s="837">
        <f>AB641</f>
        <v>0</v>
      </c>
      <c r="CH642" s="269"/>
      <c r="CI642" s="269"/>
      <c r="CJ642" s="269"/>
      <c r="CK642" s="269"/>
      <c r="CL642" s="269"/>
      <c r="CM642" s="269"/>
      <c r="CN642" s="269"/>
      <c r="CO642" s="269"/>
      <c r="CP642" s="269"/>
      <c r="CQ642" s="269"/>
      <c r="CR642" s="269"/>
      <c r="CS642" s="269"/>
    </row>
    <row r="643" spans="1:97" ht="12" customHeight="1" x14ac:dyDescent="0.3">
      <c r="A643" s="5"/>
      <c r="B643" s="5"/>
      <c r="C643" s="495">
        <f>C580</f>
        <v>1369</v>
      </c>
      <c r="D643" s="835">
        <f>D642</f>
        <v>0</v>
      </c>
      <c r="E643" s="836">
        <f>E642</f>
        <v>0</v>
      </c>
      <c r="F643" s="836">
        <f>F642</f>
        <v>0</v>
      </c>
      <c r="G643" s="836">
        <f>G642</f>
        <v>0</v>
      </c>
      <c r="H643" s="836">
        <f>H642</f>
        <v>0</v>
      </c>
      <c r="I643" s="836">
        <f>I642</f>
        <v>0</v>
      </c>
      <c r="J643" s="836">
        <f>J642</f>
        <v>0</v>
      </c>
      <c r="K643" s="836">
        <f>K642</f>
        <v>0</v>
      </c>
      <c r="L643" s="836">
        <f>L642</f>
        <v>0</v>
      </c>
      <c r="M643" s="836">
        <f>M642</f>
        <v>0</v>
      </c>
      <c r="N643" s="836">
        <f>N642</f>
        <v>0</v>
      </c>
      <c r="O643" s="836">
        <f>O642</f>
        <v>0</v>
      </c>
      <c r="P643" s="836">
        <f>P642</f>
        <v>0</v>
      </c>
      <c r="Q643" s="836">
        <f>Q642</f>
        <v>0</v>
      </c>
      <c r="R643" s="836">
        <f>R642</f>
        <v>0</v>
      </c>
      <c r="S643" s="836">
        <f>S642</f>
        <v>0</v>
      </c>
      <c r="T643" s="836">
        <f>T642</f>
        <v>0</v>
      </c>
      <c r="U643" s="836">
        <f>U642</f>
        <v>0</v>
      </c>
      <c r="V643" s="836">
        <f>V642</f>
        <v>0</v>
      </c>
      <c r="W643" s="836">
        <f>W642</f>
        <v>0</v>
      </c>
      <c r="X643" s="836">
        <f>X642</f>
        <v>0</v>
      </c>
      <c r="Y643" s="836">
        <f>Y642</f>
        <v>0</v>
      </c>
      <c r="Z643" s="836">
        <f>Z642</f>
        <v>0</v>
      </c>
      <c r="AA643" s="836">
        <f>AA642</f>
        <v>0</v>
      </c>
      <c r="AB643" s="837">
        <f>AB642</f>
        <v>0</v>
      </c>
      <c r="CH643" s="269"/>
      <c r="CI643" s="269"/>
      <c r="CJ643" s="269"/>
      <c r="CK643" s="269"/>
      <c r="CL643" s="269"/>
      <c r="CM643" s="269"/>
      <c r="CN643" s="269"/>
      <c r="CO643" s="269"/>
      <c r="CP643" s="269"/>
      <c r="CQ643" s="269"/>
      <c r="CR643" s="269"/>
      <c r="CS643" s="269"/>
    </row>
    <row r="644" spans="1:97" ht="12" customHeight="1" x14ac:dyDescent="0.3">
      <c r="A644" s="5"/>
      <c r="B644" s="5"/>
      <c r="C644" s="495">
        <f>C581</f>
        <v>1400</v>
      </c>
      <c r="D644" s="835">
        <f>D643</f>
        <v>0</v>
      </c>
      <c r="E644" s="836">
        <f>E643</f>
        <v>0</v>
      </c>
      <c r="F644" s="836">
        <f>F643</f>
        <v>0</v>
      </c>
      <c r="G644" s="836">
        <f>G643</f>
        <v>0</v>
      </c>
      <c r="H644" s="836">
        <f>H643</f>
        <v>0</v>
      </c>
      <c r="I644" s="836">
        <f>I643</f>
        <v>0</v>
      </c>
      <c r="J644" s="836">
        <f>J643</f>
        <v>0</v>
      </c>
      <c r="K644" s="836">
        <f>K643</f>
        <v>0</v>
      </c>
      <c r="L644" s="836">
        <f>L643</f>
        <v>0</v>
      </c>
      <c r="M644" s="836">
        <f>M643</f>
        <v>0</v>
      </c>
      <c r="N644" s="836">
        <f>N643</f>
        <v>0</v>
      </c>
      <c r="O644" s="836">
        <f>O643</f>
        <v>0</v>
      </c>
      <c r="P644" s="836">
        <f>P643</f>
        <v>0</v>
      </c>
      <c r="Q644" s="836">
        <f>Q643</f>
        <v>0</v>
      </c>
      <c r="R644" s="836">
        <f>R643</f>
        <v>0</v>
      </c>
      <c r="S644" s="836">
        <f>S643</f>
        <v>0</v>
      </c>
      <c r="T644" s="836">
        <f>T643</f>
        <v>0</v>
      </c>
      <c r="U644" s="836">
        <f>U643</f>
        <v>0</v>
      </c>
      <c r="V644" s="836">
        <f>V643</f>
        <v>0</v>
      </c>
      <c r="W644" s="836">
        <f>W643</f>
        <v>0</v>
      </c>
      <c r="X644" s="836">
        <f>X643</f>
        <v>0</v>
      </c>
      <c r="Y644" s="836">
        <f>Y643</f>
        <v>0</v>
      </c>
      <c r="Z644" s="836">
        <f>Z643</f>
        <v>0</v>
      </c>
      <c r="AA644" s="836">
        <f>AA643</f>
        <v>0</v>
      </c>
      <c r="AB644" s="837">
        <f>AB643</f>
        <v>0</v>
      </c>
      <c r="CH644" s="269"/>
      <c r="CI644" s="269"/>
      <c r="CJ644" s="269"/>
      <c r="CK644" s="269"/>
      <c r="CL644" s="269"/>
      <c r="CM644" s="269"/>
      <c r="CN644" s="269"/>
      <c r="CO644" s="269"/>
      <c r="CP644" s="269"/>
      <c r="CQ644" s="269"/>
      <c r="CR644" s="269"/>
      <c r="CS644" s="269"/>
    </row>
    <row r="645" spans="1:97" ht="12" customHeight="1" x14ac:dyDescent="0.3">
      <c r="A645" s="5"/>
      <c r="B645" s="5"/>
      <c r="C645" s="495">
        <f>C582</f>
        <v>1430</v>
      </c>
      <c r="D645" s="835">
        <f>D644</f>
        <v>0</v>
      </c>
      <c r="E645" s="836">
        <f>E644</f>
        <v>0</v>
      </c>
      <c r="F645" s="836">
        <f>F644</f>
        <v>0</v>
      </c>
      <c r="G645" s="836">
        <f>G644</f>
        <v>0</v>
      </c>
      <c r="H645" s="836">
        <f>H644</f>
        <v>0</v>
      </c>
      <c r="I645" s="836">
        <f>I644</f>
        <v>0</v>
      </c>
      <c r="J645" s="836">
        <f>J644</f>
        <v>0</v>
      </c>
      <c r="K645" s="836">
        <f>K644</f>
        <v>0</v>
      </c>
      <c r="L645" s="836">
        <f>L644</f>
        <v>0</v>
      </c>
      <c r="M645" s="836">
        <f>M644</f>
        <v>0</v>
      </c>
      <c r="N645" s="836">
        <f>N644</f>
        <v>0</v>
      </c>
      <c r="O645" s="836">
        <f>O644</f>
        <v>0</v>
      </c>
      <c r="P645" s="836">
        <f>P644</f>
        <v>0</v>
      </c>
      <c r="Q645" s="836">
        <f>Q644</f>
        <v>0</v>
      </c>
      <c r="R645" s="836">
        <f>R644</f>
        <v>0</v>
      </c>
      <c r="S645" s="836">
        <f>S644</f>
        <v>0</v>
      </c>
      <c r="T645" s="836">
        <f>T644</f>
        <v>0</v>
      </c>
      <c r="U645" s="836">
        <f>U644</f>
        <v>0</v>
      </c>
      <c r="V645" s="836">
        <f>V644</f>
        <v>0</v>
      </c>
      <c r="W645" s="836">
        <f>W644</f>
        <v>0</v>
      </c>
      <c r="X645" s="836">
        <f>X644</f>
        <v>0</v>
      </c>
      <c r="Y645" s="836">
        <f>Y644</f>
        <v>0</v>
      </c>
      <c r="Z645" s="836">
        <f>Z644</f>
        <v>0</v>
      </c>
      <c r="AA645" s="836">
        <f>AA644</f>
        <v>0</v>
      </c>
      <c r="AB645" s="837">
        <f>AB644</f>
        <v>0</v>
      </c>
      <c r="CH645" s="269"/>
      <c r="CI645" s="269"/>
      <c r="CJ645" s="269"/>
      <c r="CK645" s="269"/>
      <c r="CL645" s="269"/>
      <c r="CM645" s="269"/>
      <c r="CN645" s="269"/>
      <c r="CO645" s="269"/>
      <c r="CP645" s="269"/>
      <c r="CQ645" s="269"/>
      <c r="CR645" s="269"/>
      <c r="CS645" s="269"/>
    </row>
    <row r="646" spans="1:97" ht="12.75" customHeight="1" thickBot="1" x14ac:dyDescent="0.35">
      <c r="A646" s="5"/>
      <c r="B646" s="5"/>
      <c r="C646" s="496">
        <f>C583</f>
        <v>1461</v>
      </c>
      <c r="D646" s="838">
        <f>D645</f>
        <v>0</v>
      </c>
      <c r="E646" s="839">
        <f>E645</f>
        <v>0</v>
      </c>
      <c r="F646" s="839">
        <f>F645</f>
        <v>0</v>
      </c>
      <c r="G646" s="839">
        <f>G645</f>
        <v>0</v>
      </c>
      <c r="H646" s="839">
        <f>H645</f>
        <v>0</v>
      </c>
      <c r="I646" s="839">
        <f>I645</f>
        <v>0</v>
      </c>
      <c r="J646" s="839">
        <f>J645</f>
        <v>0</v>
      </c>
      <c r="K646" s="839">
        <f>K645</f>
        <v>0</v>
      </c>
      <c r="L646" s="839">
        <f>L645</f>
        <v>0</v>
      </c>
      <c r="M646" s="839">
        <f>M645</f>
        <v>0</v>
      </c>
      <c r="N646" s="839">
        <f>N645</f>
        <v>0</v>
      </c>
      <c r="O646" s="839">
        <f>O645</f>
        <v>0</v>
      </c>
      <c r="P646" s="839">
        <f>P645</f>
        <v>0</v>
      </c>
      <c r="Q646" s="839">
        <f>Q645</f>
        <v>0</v>
      </c>
      <c r="R646" s="839">
        <f>R645</f>
        <v>0</v>
      </c>
      <c r="S646" s="839">
        <f>S645</f>
        <v>0</v>
      </c>
      <c r="T646" s="839">
        <f>T645</f>
        <v>0</v>
      </c>
      <c r="U646" s="839">
        <f>U645</f>
        <v>0</v>
      </c>
      <c r="V646" s="839">
        <f>V645</f>
        <v>0</v>
      </c>
      <c r="W646" s="839">
        <f>W645</f>
        <v>0</v>
      </c>
      <c r="X646" s="839">
        <f>X645</f>
        <v>0</v>
      </c>
      <c r="Y646" s="839">
        <f>Y645</f>
        <v>0</v>
      </c>
      <c r="Z646" s="839">
        <f>Z645</f>
        <v>0</v>
      </c>
      <c r="AA646" s="839">
        <f>AA645</f>
        <v>0</v>
      </c>
      <c r="AB646" s="840">
        <f>AB645</f>
        <v>0</v>
      </c>
      <c r="CH646" s="269"/>
      <c r="CI646" s="269"/>
      <c r="CJ646" s="269"/>
      <c r="CK646" s="269"/>
      <c r="CL646" s="269"/>
      <c r="CM646" s="269"/>
      <c r="CN646" s="269"/>
      <c r="CO646" s="269"/>
      <c r="CP646" s="269"/>
      <c r="CQ646" s="269"/>
      <c r="CR646" s="269"/>
      <c r="CS646" s="269"/>
    </row>
    <row r="647" spans="1:97" ht="12" customHeight="1" x14ac:dyDescent="0.3">
      <c r="A647" s="5"/>
      <c r="B647" s="5"/>
      <c r="C647" s="495">
        <f>C584</f>
        <v>1492</v>
      </c>
      <c r="D647" s="832">
        <f>IF(Years="Five",Input!D73,0)</f>
        <v>0</v>
      </c>
      <c r="E647" s="833">
        <f>IF(Years="Five",Input!E73,0)</f>
        <v>0</v>
      </c>
      <c r="F647" s="833">
        <f>IF(Years="Five",Input!F73,0)</f>
        <v>0</v>
      </c>
      <c r="G647" s="833">
        <f>IF(Years="Five",Input!G73,0)</f>
        <v>0</v>
      </c>
      <c r="H647" s="833">
        <f>IF(Years="Five",Input!H73,0)</f>
        <v>0</v>
      </c>
      <c r="I647" s="833">
        <f>IF(Years="Five",Input!I73,0)</f>
        <v>0</v>
      </c>
      <c r="J647" s="833">
        <f>IF(Years="Five",Input!J73,0)</f>
        <v>0</v>
      </c>
      <c r="K647" s="833">
        <f>IF(Years="Five",Input!K73,0)</f>
        <v>0</v>
      </c>
      <c r="L647" s="833">
        <f>IF(Years="Five",Input!L73,0)</f>
        <v>0</v>
      </c>
      <c r="M647" s="833">
        <f>IF(Years="Five",Input!M73,0)</f>
        <v>0</v>
      </c>
      <c r="N647" s="833">
        <f>IF(Years="Five",Input!N73,0)</f>
        <v>0</v>
      </c>
      <c r="O647" s="833">
        <f>IF(Years="Five",Input!O73,0)</f>
        <v>0</v>
      </c>
      <c r="P647" s="833">
        <f>IF(Years="Five",Input!P73,0)</f>
        <v>0</v>
      </c>
      <c r="Q647" s="833">
        <f>IF(Years="Five",Input!Q73,0)</f>
        <v>0</v>
      </c>
      <c r="R647" s="833">
        <f>IF(Years="Five",Input!R73,0)</f>
        <v>0</v>
      </c>
      <c r="S647" s="833">
        <f>IF(Years="Five",Input!S73,0)</f>
        <v>0</v>
      </c>
      <c r="T647" s="833">
        <f>IF(Years="Five",Input!T73,0)</f>
        <v>0</v>
      </c>
      <c r="U647" s="833">
        <f>IF(Years="Five",Input!U73,0)</f>
        <v>0</v>
      </c>
      <c r="V647" s="833">
        <f>IF(Years="Five",Input!V73,0)</f>
        <v>0</v>
      </c>
      <c r="W647" s="833">
        <f>IF(Years="Five",Input!W73,0)</f>
        <v>0</v>
      </c>
      <c r="X647" s="833">
        <f>IF(Years="Five",Input!X73,0)</f>
        <v>0</v>
      </c>
      <c r="Y647" s="833">
        <f>IF(Years="Five",Input!Y73,0)</f>
        <v>0</v>
      </c>
      <c r="Z647" s="833">
        <f>IF(Years="Five",Input!Z73,0)</f>
        <v>0</v>
      </c>
      <c r="AA647" s="833">
        <f>IF(Years="Five",Input!AA73,0)</f>
        <v>0</v>
      </c>
      <c r="AB647" s="834">
        <f>IF(Years="Five",Input!AB73,0)</f>
        <v>0</v>
      </c>
      <c r="CH647" s="269"/>
      <c r="CI647" s="269"/>
      <c r="CJ647" s="269"/>
      <c r="CK647" s="269"/>
      <c r="CL647" s="269"/>
      <c r="CM647" s="269"/>
      <c r="CN647" s="269"/>
      <c r="CO647" s="269"/>
      <c r="CP647" s="269"/>
      <c r="CQ647" s="269"/>
      <c r="CR647" s="269"/>
      <c r="CS647" s="269"/>
    </row>
    <row r="648" spans="1:97" ht="12" customHeight="1" x14ac:dyDescent="0.3">
      <c r="A648" s="5"/>
      <c r="B648" s="5"/>
      <c r="C648" s="495">
        <f>C585</f>
        <v>1521</v>
      </c>
      <c r="D648" s="835">
        <f>D647</f>
        <v>0</v>
      </c>
      <c r="E648" s="836">
        <f>E647</f>
        <v>0</v>
      </c>
      <c r="F648" s="836">
        <f>F647</f>
        <v>0</v>
      </c>
      <c r="G648" s="836">
        <f>G647</f>
        <v>0</v>
      </c>
      <c r="H648" s="836">
        <f>H647</f>
        <v>0</v>
      </c>
      <c r="I648" s="836">
        <f>I647</f>
        <v>0</v>
      </c>
      <c r="J648" s="836">
        <f>J647</f>
        <v>0</v>
      </c>
      <c r="K648" s="836">
        <f>K647</f>
        <v>0</v>
      </c>
      <c r="L648" s="836">
        <f>L647</f>
        <v>0</v>
      </c>
      <c r="M648" s="836">
        <f>M647</f>
        <v>0</v>
      </c>
      <c r="N648" s="836">
        <f>N647</f>
        <v>0</v>
      </c>
      <c r="O648" s="836">
        <f>O647</f>
        <v>0</v>
      </c>
      <c r="P648" s="836">
        <f>P647</f>
        <v>0</v>
      </c>
      <c r="Q648" s="836">
        <f>Q647</f>
        <v>0</v>
      </c>
      <c r="R648" s="836">
        <f>R647</f>
        <v>0</v>
      </c>
      <c r="S648" s="836">
        <f>S647</f>
        <v>0</v>
      </c>
      <c r="T648" s="836">
        <f>T647</f>
        <v>0</v>
      </c>
      <c r="U648" s="836">
        <f>U647</f>
        <v>0</v>
      </c>
      <c r="V648" s="836">
        <f>V647</f>
        <v>0</v>
      </c>
      <c r="W648" s="836">
        <f>W647</f>
        <v>0</v>
      </c>
      <c r="X648" s="836">
        <f>X647</f>
        <v>0</v>
      </c>
      <c r="Y648" s="836">
        <f>Y647</f>
        <v>0</v>
      </c>
      <c r="Z648" s="836">
        <f>Z647</f>
        <v>0</v>
      </c>
      <c r="AA648" s="836">
        <f>AA647</f>
        <v>0</v>
      </c>
      <c r="AB648" s="837">
        <f>AB647</f>
        <v>0</v>
      </c>
      <c r="CH648" s="269"/>
      <c r="CI648" s="269"/>
      <c r="CJ648" s="269"/>
      <c r="CK648" s="269"/>
      <c r="CL648" s="269"/>
      <c r="CM648" s="269"/>
      <c r="CN648" s="269"/>
      <c r="CO648" s="269"/>
      <c r="CP648" s="269"/>
      <c r="CQ648" s="269"/>
      <c r="CR648" s="269"/>
      <c r="CS648" s="269"/>
    </row>
    <row r="649" spans="1:97" ht="12" customHeight="1" x14ac:dyDescent="0.3">
      <c r="A649" s="5"/>
      <c r="B649" s="5"/>
      <c r="C649" s="495">
        <f>C586</f>
        <v>1552</v>
      </c>
      <c r="D649" s="835">
        <f>D648</f>
        <v>0</v>
      </c>
      <c r="E649" s="836">
        <f>E648</f>
        <v>0</v>
      </c>
      <c r="F649" s="836">
        <f>F648</f>
        <v>0</v>
      </c>
      <c r="G649" s="836">
        <f>G648</f>
        <v>0</v>
      </c>
      <c r="H649" s="836">
        <f>H648</f>
        <v>0</v>
      </c>
      <c r="I649" s="836">
        <f>I648</f>
        <v>0</v>
      </c>
      <c r="J649" s="836">
        <f>J648</f>
        <v>0</v>
      </c>
      <c r="K649" s="836">
        <f>K648</f>
        <v>0</v>
      </c>
      <c r="L649" s="836">
        <f>L648</f>
        <v>0</v>
      </c>
      <c r="M649" s="836">
        <f>M648</f>
        <v>0</v>
      </c>
      <c r="N649" s="836">
        <f>N648</f>
        <v>0</v>
      </c>
      <c r="O649" s="836">
        <f>O648</f>
        <v>0</v>
      </c>
      <c r="P649" s="836">
        <f>P648</f>
        <v>0</v>
      </c>
      <c r="Q649" s="836">
        <f>Q648</f>
        <v>0</v>
      </c>
      <c r="R649" s="836">
        <f>R648</f>
        <v>0</v>
      </c>
      <c r="S649" s="836">
        <f>S648</f>
        <v>0</v>
      </c>
      <c r="T649" s="836">
        <f>T648</f>
        <v>0</v>
      </c>
      <c r="U649" s="836">
        <f>U648</f>
        <v>0</v>
      </c>
      <c r="V649" s="836">
        <f>V648</f>
        <v>0</v>
      </c>
      <c r="W649" s="836">
        <f>W648</f>
        <v>0</v>
      </c>
      <c r="X649" s="836">
        <f>X648</f>
        <v>0</v>
      </c>
      <c r="Y649" s="836">
        <f>Y648</f>
        <v>0</v>
      </c>
      <c r="Z649" s="836">
        <f>Z648</f>
        <v>0</v>
      </c>
      <c r="AA649" s="836">
        <f>AA648</f>
        <v>0</v>
      </c>
      <c r="AB649" s="837">
        <f>AB648</f>
        <v>0</v>
      </c>
      <c r="CH649" s="269"/>
      <c r="CI649" s="269"/>
      <c r="CJ649" s="269"/>
      <c r="CK649" s="269"/>
      <c r="CL649" s="269"/>
      <c r="CM649" s="269"/>
      <c r="CN649" s="269"/>
      <c r="CO649" s="269"/>
      <c r="CP649" s="269"/>
      <c r="CQ649" s="269"/>
      <c r="CR649" s="269"/>
      <c r="CS649" s="269"/>
    </row>
    <row r="650" spans="1:97" ht="12" customHeight="1" x14ac:dyDescent="0.3">
      <c r="A650" s="5"/>
      <c r="B650" s="5"/>
      <c r="C650" s="495">
        <f>C587</f>
        <v>1582</v>
      </c>
      <c r="D650" s="835">
        <f>D649</f>
        <v>0</v>
      </c>
      <c r="E650" s="836">
        <f>E649</f>
        <v>0</v>
      </c>
      <c r="F650" s="836">
        <f>F649</f>
        <v>0</v>
      </c>
      <c r="G650" s="836">
        <f>G649</f>
        <v>0</v>
      </c>
      <c r="H650" s="836">
        <f>H649</f>
        <v>0</v>
      </c>
      <c r="I650" s="836">
        <f>I649</f>
        <v>0</v>
      </c>
      <c r="J650" s="836">
        <f>J649</f>
        <v>0</v>
      </c>
      <c r="K650" s="836">
        <f>K649</f>
        <v>0</v>
      </c>
      <c r="L650" s="836">
        <f>L649</f>
        <v>0</v>
      </c>
      <c r="M650" s="836">
        <f>M649</f>
        <v>0</v>
      </c>
      <c r="N650" s="836">
        <f>N649</f>
        <v>0</v>
      </c>
      <c r="O650" s="836">
        <f>O649</f>
        <v>0</v>
      </c>
      <c r="P650" s="836">
        <f>P649</f>
        <v>0</v>
      </c>
      <c r="Q650" s="836">
        <f>Q649</f>
        <v>0</v>
      </c>
      <c r="R650" s="836">
        <f>R649</f>
        <v>0</v>
      </c>
      <c r="S650" s="836">
        <f>S649</f>
        <v>0</v>
      </c>
      <c r="T650" s="836">
        <f>T649</f>
        <v>0</v>
      </c>
      <c r="U650" s="836">
        <f>U649</f>
        <v>0</v>
      </c>
      <c r="V650" s="836">
        <f>V649</f>
        <v>0</v>
      </c>
      <c r="W650" s="836">
        <f>W649</f>
        <v>0</v>
      </c>
      <c r="X650" s="836">
        <f>X649</f>
        <v>0</v>
      </c>
      <c r="Y650" s="836">
        <f>Y649</f>
        <v>0</v>
      </c>
      <c r="Z650" s="836">
        <f>Z649</f>
        <v>0</v>
      </c>
      <c r="AA650" s="836">
        <f>AA649</f>
        <v>0</v>
      </c>
      <c r="AB650" s="837">
        <f>AB649</f>
        <v>0</v>
      </c>
      <c r="CH650" s="269"/>
      <c r="CI650" s="269"/>
      <c r="CJ650" s="269"/>
      <c r="CK650" s="269"/>
      <c r="CL650" s="269"/>
      <c r="CM650" s="269"/>
      <c r="CN650" s="269"/>
      <c r="CO650" s="269"/>
      <c r="CP650" s="269"/>
      <c r="CQ650" s="269"/>
      <c r="CR650" s="269"/>
      <c r="CS650" s="269"/>
    </row>
    <row r="651" spans="1:97" ht="12" customHeight="1" x14ac:dyDescent="0.3">
      <c r="A651" s="5"/>
      <c r="B651" s="5"/>
      <c r="C651" s="495">
        <f>C588</f>
        <v>1613</v>
      </c>
      <c r="D651" s="835">
        <f>D650</f>
        <v>0</v>
      </c>
      <c r="E651" s="836">
        <f>E650</f>
        <v>0</v>
      </c>
      <c r="F651" s="836">
        <f>F650</f>
        <v>0</v>
      </c>
      <c r="G651" s="836">
        <f>G650</f>
        <v>0</v>
      </c>
      <c r="H651" s="836">
        <f>H650</f>
        <v>0</v>
      </c>
      <c r="I651" s="836">
        <f>I650</f>
        <v>0</v>
      </c>
      <c r="J651" s="836">
        <f>J650</f>
        <v>0</v>
      </c>
      <c r="K651" s="836">
        <f>K650</f>
        <v>0</v>
      </c>
      <c r="L651" s="836">
        <f>L650</f>
        <v>0</v>
      </c>
      <c r="M651" s="836">
        <f>M650</f>
        <v>0</v>
      </c>
      <c r="N651" s="836">
        <f>N650</f>
        <v>0</v>
      </c>
      <c r="O651" s="836">
        <f>O650</f>
        <v>0</v>
      </c>
      <c r="P651" s="836">
        <f>P650</f>
        <v>0</v>
      </c>
      <c r="Q651" s="836">
        <f>Q650</f>
        <v>0</v>
      </c>
      <c r="R651" s="836">
        <f>R650</f>
        <v>0</v>
      </c>
      <c r="S651" s="836">
        <f>S650</f>
        <v>0</v>
      </c>
      <c r="T651" s="836">
        <f>T650</f>
        <v>0</v>
      </c>
      <c r="U651" s="836">
        <f>U650</f>
        <v>0</v>
      </c>
      <c r="V651" s="836">
        <f>V650</f>
        <v>0</v>
      </c>
      <c r="W651" s="836">
        <f>W650</f>
        <v>0</v>
      </c>
      <c r="X651" s="836">
        <f>X650</f>
        <v>0</v>
      </c>
      <c r="Y651" s="836">
        <f>Y650</f>
        <v>0</v>
      </c>
      <c r="Z651" s="836">
        <f>Z650</f>
        <v>0</v>
      </c>
      <c r="AA651" s="836">
        <f>AA650</f>
        <v>0</v>
      </c>
      <c r="AB651" s="837">
        <f>AB650</f>
        <v>0</v>
      </c>
      <c r="CH651" s="269"/>
      <c r="CI651" s="269"/>
      <c r="CJ651" s="269"/>
      <c r="CK651" s="269"/>
      <c r="CL651" s="269"/>
      <c r="CM651" s="269"/>
      <c r="CN651" s="269"/>
      <c r="CO651" s="269"/>
      <c r="CP651" s="269"/>
      <c r="CQ651" s="269"/>
      <c r="CR651" s="269"/>
      <c r="CS651" s="269"/>
    </row>
    <row r="652" spans="1:97" ht="12" customHeight="1" x14ac:dyDescent="0.3">
      <c r="A652" s="5"/>
      <c r="B652" s="5"/>
      <c r="C652" s="495">
        <f>C589</f>
        <v>1643</v>
      </c>
      <c r="D652" s="835">
        <f>D651</f>
      </c>
      <c r="E652" s="836">
        <f>E651</f>
        <v>0</v>
      </c>
      <c r="F652" s="836">
        <f>F651</f>
        <v>0</v>
      </c>
      <c r="G652" s="836">
        <f>G651</f>
        <v>0</v>
      </c>
      <c r="H652" s="836">
        <f>H651</f>
        <v>0</v>
      </c>
      <c r="I652" s="836">
        <f>I651</f>
        <v>0</v>
      </c>
      <c r="J652" s="836">
        <f>J651</f>
        <v>0</v>
      </c>
      <c r="K652" s="836">
        <f>K651</f>
        <v>0</v>
      </c>
      <c r="L652" s="836">
        <f>L651</f>
        <v>0</v>
      </c>
      <c r="M652" s="836">
        <f>M651</f>
        <v>0</v>
      </c>
      <c r="N652" s="836">
        <f>N651</f>
        <v>0</v>
      </c>
      <c r="O652" s="836">
        <f>O651</f>
        <v>0</v>
      </c>
      <c r="P652" s="836">
        <f>P651</f>
        <v>0</v>
      </c>
      <c r="Q652" s="836">
        <f>Q651</f>
        <v>0</v>
      </c>
      <c r="R652" s="836">
        <f>R651</f>
        <v>0</v>
      </c>
      <c r="S652" s="836">
        <f>S651</f>
        <v>0</v>
      </c>
      <c r="T652" s="836">
        <f>T651</f>
        <v>0</v>
      </c>
      <c r="U652" s="836">
        <f>U651</f>
        <v>0</v>
      </c>
      <c r="V652" s="836">
        <f>V651</f>
        <v>0</v>
      </c>
      <c r="W652" s="836">
        <f>W651</f>
        <v>0</v>
      </c>
      <c r="X652" s="836">
        <f>X651</f>
        <v>0</v>
      </c>
      <c r="Y652" s="836">
        <f>Y651</f>
        <v>0</v>
      </c>
      <c r="Z652" s="836">
        <f>Z651</f>
        <v>0</v>
      </c>
      <c r="AA652" s="836">
        <f>AA651</f>
        <v>0</v>
      </c>
      <c r="AB652" s="837">
        <f>AB651</f>
        <v>0</v>
      </c>
      <c r="CH652" s="269"/>
      <c r="CI652" s="269"/>
      <c r="CJ652" s="269"/>
      <c r="CK652" s="269"/>
      <c r="CL652" s="269"/>
      <c r="CM652" s="269"/>
      <c r="CN652" s="269"/>
      <c r="CO652" s="269"/>
      <c r="CP652" s="269"/>
      <c r="CQ652" s="269"/>
      <c r="CR652" s="269"/>
      <c r="CS652" s="269"/>
    </row>
    <row r="653" spans="1:97" ht="12" customHeight="1" x14ac:dyDescent="0.3">
      <c r="A653" s="5"/>
      <c r="B653" s="5"/>
      <c r="C653" s="495">
        <f>C590</f>
        <v>1674</v>
      </c>
      <c r="D653" s="835">
        <f>D652</f>
        <v>0</v>
      </c>
      <c r="E653" s="836">
        <f>E652</f>
        <v>0</v>
      </c>
      <c r="F653" s="836">
        <f>F652</f>
        <v>0</v>
      </c>
      <c r="G653" s="836">
        <f>G652</f>
        <v>0</v>
      </c>
      <c r="H653" s="836">
        <f>H652</f>
        <v>0</v>
      </c>
      <c r="I653" s="836">
        <f>I652</f>
        <v>0</v>
      </c>
      <c r="J653" s="836">
        <f>J652</f>
        <v>0</v>
      </c>
      <c r="K653" s="836">
        <f>K652</f>
        <v>0</v>
      </c>
      <c r="L653" s="836">
        <f>L652</f>
        <v>0</v>
      </c>
      <c r="M653" s="836">
        <f>M652</f>
        <v>0</v>
      </c>
      <c r="N653" s="836">
        <f>N652</f>
        <v>0</v>
      </c>
      <c r="O653" s="836">
        <f>O652</f>
        <v>0</v>
      </c>
      <c r="P653" s="836">
        <f>P652</f>
        <v>0</v>
      </c>
      <c r="Q653" s="836">
        <f>Q652</f>
        <v>0</v>
      </c>
      <c r="R653" s="836">
        <f>R652</f>
        <v>0</v>
      </c>
      <c r="S653" s="836">
        <f>S652</f>
        <v>0</v>
      </c>
      <c r="T653" s="836">
        <f>T652</f>
        <v>0</v>
      </c>
      <c r="U653" s="836">
        <f>U652</f>
        <v>0</v>
      </c>
      <c r="V653" s="836">
        <f>V652</f>
        <v>0</v>
      </c>
      <c r="W653" s="836">
        <f>W652</f>
        <v>0</v>
      </c>
      <c r="X653" s="836">
        <f>X652</f>
        <v>0</v>
      </c>
      <c r="Y653" s="836">
        <f>Y652</f>
        <v>0</v>
      </c>
      <c r="Z653" s="836">
        <f>Z652</f>
        <v>0</v>
      </c>
      <c r="AA653" s="836">
        <f>AA652</f>
        <v>0</v>
      </c>
      <c r="AB653" s="837">
        <f>AB652</f>
        <v>0</v>
      </c>
      <c r="CH653" s="269"/>
      <c r="CI653" s="269"/>
      <c r="CJ653" s="269"/>
      <c r="CK653" s="269"/>
      <c r="CL653" s="269"/>
      <c r="CM653" s="269"/>
      <c r="CN653" s="269"/>
      <c r="CO653" s="269"/>
      <c r="CP653" s="269"/>
      <c r="CQ653" s="269"/>
      <c r="CR653" s="269"/>
      <c r="CS653" s="269"/>
    </row>
    <row r="654" spans="1:97" ht="12" customHeight="1" x14ac:dyDescent="0.3">
      <c r="A654" s="5"/>
      <c r="B654" s="5"/>
      <c r="C654" s="495">
        <f>C591</f>
        <v>1705</v>
      </c>
      <c r="D654" s="835">
        <f>D653</f>
        <v>0</v>
      </c>
      <c r="E654" s="836">
        <f>E653</f>
        <v>0</v>
      </c>
      <c r="F654" s="836">
        <f>F653</f>
        <v>0</v>
      </c>
      <c r="G654" s="836">
        <f>G653</f>
        <v>0</v>
      </c>
      <c r="H654" s="836">
        <f>H653</f>
        <v>0</v>
      </c>
      <c r="I654" s="836">
        <f>I653</f>
        <v>0</v>
      </c>
      <c r="J654" s="836">
        <f>J653</f>
        <v>0</v>
      </c>
      <c r="K654" s="836">
        <f>K653</f>
        <v>0</v>
      </c>
      <c r="L654" s="836">
        <f>L653</f>
        <v>0</v>
      </c>
      <c r="M654" s="836">
        <f>M653</f>
        <v>0</v>
      </c>
      <c r="N654" s="836">
        <f>N653</f>
        <v>0</v>
      </c>
      <c r="O654" s="836">
        <f>O653</f>
        <v>0</v>
      </c>
      <c r="P654" s="836">
        <f>P653</f>
        <v>0</v>
      </c>
      <c r="Q654" s="836">
        <f>Q653</f>
        <v>0</v>
      </c>
      <c r="R654" s="836">
        <f>R653</f>
        <v>0</v>
      </c>
      <c r="S654" s="836">
        <f>S653</f>
        <v>0</v>
      </c>
      <c r="T654" s="836">
        <f>T653</f>
        <v>0</v>
      </c>
      <c r="U654" s="836">
        <f>U653</f>
        <v>0</v>
      </c>
      <c r="V654" s="836">
        <f>V653</f>
        <v>0</v>
      </c>
      <c r="W654" s="836">
        <f>W653</f>
        <v>0</v>
      </c>
      <c r="X654" s="836">
        <f>X653</f>
        <v>0</v>
      </c>
      <c r="Y654" s="836">
        <f>Y653</f>
        <v>0</v>
      </c>
      <c r="Z654" s="836">
        <f>Z653</f>
        <v>0</v>
      </c>
      <c r="AA654" s="836">
        <f>AA653</f>
        <v>0</v>
      </c>
      <c r="AB654" s="837">
        <f>AB653</f>
        <v>0</v>
      </c>
      <c r="CH654" s="269"/>
      <c r="CI654" s="269"/>
      <c r="CJ654" s="269"/>
      <c r="CK654" s="269"/>
      <c r="CL654" s="269"/>
      <c r="CM654" s="269"/>
      <c r="CN654" s="269"/>
      <c r="CO654" s="269"/>
      <c r="CP654" s="269"/>
      <c r="CQ654" s="269"/>
      <c r="CR654" s="269"/>
      <c r="CS654" s="269"/>
    </row>
    <row r="655" spans="1:97" ht="12" customHeight="1" x14ac:dyDescent="0.3">
      <c r="A655" s="5"/>
      <c r="B655" s="5"/>
      <c r="C655" s="495">
        <f>C592</f>
        <v>1735</v>
      </c>
      <c r="D655" s="835">
        <f>D654</f>
        <v>0</v>
      </c>
      <c r="E655" s="836">
        <f>E654</f>
        <v>0</v>
      </c>
      <c r="F655" s="836">
        <f>F654</f>
        <v>0</v>
      </c>
      <c r="G655" s="836">
        <f>G654</f>
        <v>0</v>
      </c>
      <c r="H655" s="836">
        <f>H654</f>
        <v>0</v>
      </c>
      <c r="I655" s="836">
        <f>I654</f>
        <v>0</v>
      </c>
      <c r="J655" s="836">
        <f>J654</f>
        <v>0</v>
      </c>
      <c r="K655" s="836">
        <f>K654</f>
        <v>0</v>
      </c>
      <c r="L655" s="836">
        <f>L654</f>
        <v>0</v>
      </c>
      <c r="M655" s="836">
        <f>M654</f>
        <v>0</v>
      </c>
      <c r="N655" s="836">
        <f>N654</f>
        <v>0</v>
      </c>
      <c r="O655" s="836">
        <f>O654</f>
        <v>0</v>
      </c>
      <c r="P655" s="836">
        <f>P654</f>
        <v>0</v>
      </c>
      <c r="Q655" s="836">
        <f>Q654</f>
        <v>0</v>
      </c>
      <c r="R655" s="836">
        <f>R654</f>
        <v>0</v>
      </c>
      <c r="S655" s="836">
        <f>S654</f>
        <v>0</v>
      </c>
      <c r="T655" s="836">
        <f>T654</f>
        <v>0</v>
      </c>
      <c r="U655" s="836">
        <f>U654</f>
        <v>0</v>
      </c>
      <c r="V655" s="836">
        <f>V654</f>
        <v>0</v>
      </c>
      <c r="W655" s="836">
        <f>W654</f>
        <v>0</v>
      </c>
      <c r="X655" s="836">
        <f>X654</f>
        <v>0</v>
      </c>
      <c r="Y655" s="836">
        <f>Y654</f>
        <v>0</v>
      </c>
      <c r="Z655" s="836">
        <f>Z654</f>
        <v>0</v>
      </c>
      <c r="AA655" s="836">
        <f>AA654</f>
        <v>0</v>
      </c>
      <c r="AB655" s="837">
        <f>AB654</f>
        <v>0</v>
      </c>
      <c r="CH655" s="269"/>
      <c r="CI655" s="269"/>
      <c r="CJ655" s="269"/>
      <c r="CK655" s="269"/>
      <c r="CL655" s="269"/>
      <c r="CM655" s="269"/>
      <c r="CN655" s="269"/>
      <c r="CO655" s="269"/>
      <c r="CP655" s="269"/>
      <c r="CQ655" s="269"/>
      <c r="CR655" s="269"/>
      <c r="CS655" s="269"/>
    </row>
    <row r="656" spans="1:97" ht="12" customHeight="1" x14ac:dyDescent="0.3">
      <c r="A656" s="5"/>
      <c r="B656" s="5"/>
      <c r="C656" s="495">
        <f>C593</f>
        <v>1766</v>
      </c>
      <c r="D656" s="835">
        <f>D655</f>
        <v>0</v>
      </c>
      <c r="E656" s="836">
        <f>E655</f>
        <v>0</v>
      </c>
      <c r="F656" s="836">
        <f>F655</f>
        <v>0</v>
      </c>
      <c r="G656" s="836">
        <f>G655</f>
        <v>0</v>
      </c>
      <c r="H656" s="836">
        <f>H655</f>
        <v>0</v>
      </c>
      <c r="I656" s="836">
        <f>I655</f>
        <v>0</v>
      </c>
      <c r="J656" s="836">
        <f>J655</f>
        <v>0</v>
      </c>
      <c r="K656" s="836">
        <f>K655</f>
        <v>0</v>
      </c>
      <c r="L656" s="836">
        <f>L655</f>
        <v>0</v>
      </c>
      <c r="M656" s="836">
        <f>M655</f>
        <v>0</v>
      </c>
      <c r="N656" s="836">
        <f>N655</f>
        <v>0</v>
      </c>
      <c r="O656" s="836">
        <f>O655</f>
        <v>0</v>
      </c>
      <c r="P656" s="836">
        <f>P655</f>
        <v>0</v>
      </c>
      <c r="Q656" s="836">
        <f>Q655</f>
        <v>0</v>
      </c>
      <c r="R656" s="836">
        <f>R655</f>
        <v>0</v>
      </c>
      <c r="S656" s="836">
        <f>S655</f>
        <v>0</v>
      </c>
      <c r="T656" s="836">
        <f>T655</f>
        <v>0</v>
      </c>
      <c r="U656" s="836">
        <f>U655</f>
        <v>0</v>
      </c>
      <c r="V656" s="836">
        <f>V655</f>
        <v>0</v>
      </c>
      <c r="W656" s="836">
        <f>W655</f>
        <v>0</v>
      </c>
      <c r="X656" s="836">
        <f>X655</f>
        <v>0</v>
      </c>
      <c r="Y656" s="836">
        <f>Y655</f>
        <v>0</v>
      </c>
      <c r="Z656" s="836">
        <f>Z655</f>
        <v>0</v>
      </c>
      <c r="AA656" s="836">
        <f>AA655</f>
        <v>0</v>
      </c>
      <c r="AB656" s="837">
        <f>AB655</f>
        <v>0</v>
      </c>
      <c r="CH656" s="269"/>
      <c r="CI656" s="269"/>
      <c r="CJ656" s="269"/>
      <c r="CK656" s="269"/>
      <c r="CL656" s="269"/>
      <c r="CM656" s="269"/>
      <c r="CN656" s="269"/>
      <c r="CO656" s="269"/>
      <c r="CP656" s="269"/>
      <c r="CQ656" s="269"/>
      <c r="CR656" s="269"/>
      <c r="CS656" s="269"/>
    </row>
    <row r="657" spans="1:97" ht="12" customHeight="1" x14ac:dyDescent="0.3">
      <c r="A657" s="5"/>
      <c r="B657" s="5"/>
      <c r="C657" s="495">
        <f>C594</f>
        <v>1796</v>
      </c>
      <c r="D657" s="835">
        <f>D656</f>
        <v>0</v>
      </c>
      <c r="E657" s="836">
        <f>E656</f>
        <v>0</v>
      </c>
      <c r="F657" s="836">
        <f>F656</f>
        <v>0</v>
      </c>
      <c r="G657" s="836">
        <f>G656</f>
        <v>0</v>
      </c>
      <c r="H657" s="836">
        <f>H656</f>
        <v>0</v>
      </c>
      <c r="I657" s="836">
        <f>I656</f>
        <v>0</v>
      </c>
      <c r="J657" s="836">
        <f>J656</f>
        <v>0</v>
      </c>
      <c r="K657" s="836">
        <f>K656</f>
        <v>0</v>
      </c>
      <c r="L657" s="836">
        <f>L656</f>
        <v>0</v>
      </c>
      <c r="M657" s="836">
        <f>M656</f>
        <v>0</v>
      </c>
      <c r="N657" s="836">
        <f>N656</f>
        <v>0</v>
      </c>
      <c r="O657" s="836">
        <f>O656</f>
        <v>0</v>
      </c>
      <c r="P657" s="836">
        <f>P656</f>
        <v>0</v>
      </c>
      <c r="Q657" s="836">
        <f>Q656</f>
        <v>0</v>
      </c>
      <c r="R657" s="836">
        <f>R656</f>
        <v>0</v>
      </c>
      <c r="S657" s="836">
        <f>S656</f>
        <v>0</v>
      </c>
      <c r="T657" s="836">
        <f>T656</f>
        <v>0</v>
      </c>
      <c r="U657" s="836">
        <f>U656</f>
        <v>0</v>
      </c>
      <c r="V657" s="836">
        <f>V656</f>
        <v>0</v>
      </c>
      <c r="W657" s="836">
        <f>W656</f>
        <v>0</v>
      </c>
      <c r="X657" s="836">
        <f>X656</f>
        <v>0</v>
      </c>
      <c r="Y657" s="836">
        <f>Y656</f>
        <v>0</v>
      </c>
      <c r="Z657" s="836">
        <f>Z656</f>
        <v>0</v>
      </c>
      <c r="AA657" s="836">
        <f>AA656</f>
        <v>0</v>
      </c>
      <c r="AB657" s="837">
        <f>AB656</f>
        <v>0</v>
      </c>
      <c r="CH657" s="269"/>
      <c r="CI657" s="269"/>
      <c r="CJ657" s="269"/>
      <c r="CK657" s="269"/>
      <c r="CL657" s="269"/>
      <c r="CM657" s="269"/>
      <c r="CN657" s="269"/>
      <c r="CO657" s="269"/>
      <c r="CP657" s="269"/>
      <c r="CQ657" s="269"/>
      <c r="CR657" s="269"/>
      <c r="CS657" s="269"/>
    </row>
    <row r="658" spans="1:97" ht="13" customHeight="1" thickBot="1" x14ac:dyDescent="0.35">
      <c r="A658" s="5"/>
      <c r="B658" s="5"/>
      <c r="C658" s="496">
        <f>C595</f>
        <v>1827</v>
      </c>
      <c r="D658" s="838">
        <f>D657</f>
        <v>0</v>
      </c>
      <c r="E658" s="839">
        <f>E657</f>
        <v>0</v>
      </c>
      <c r="F658" s="839">
        <f>F657</f>
        <v>0</v>
      </c>
      <c r="G658" s="839">
        <f>G657</f>
        <v>0</v>
      </c>
      <c r="H658" s="839">
        <f>H657</f>
        <v>0</v>
      </c>
      <c r="I658" s="839">
        <f>I657</f>
        <v>0</v>
      </c>
      <c r="J658" s="839">
        <f>J657</f>
        <v>0</v>
      </c>
      <c r="K658" s="839">
        <f>K657</f>
        <v>0</v>
      </c>
      <c r="L658" s="839">
        <f>L657</f>
        <v>0</v>
      </c>
      <c r="M658" s="839">
        <f>M657</f>
        <v>0</v>
      </c>
      <c r="N658" s="839">
        <f>N657</f>
        <v>0</v>
      </c>
      <c r="O658" s="839">
        <f>O657</f>
        <v>0</v>
      </c>
      <c r="P658" s="839">
        <f>P657</f>
        <v>0</v>
      </c>
      <c r="Q658" s="839">
        <f>Q657</f>
        <v>0</v>
      </c>
      <c r="R658" s="839">
        <f>R657</f>
        <v>0</v>
      </c>
      <c r="S658" s="839">
        <f>S657</f>
        <v>0</v>
      </c>
      <c r="T658" s="839">
        <f>T657</f>
        <v>0</v>
      </c>
      <c r="U658" s="839">
        <f>U657</f>
        <v>0</v>
      </c>
      <c r="V658" s="839">
        <f>V657</f>
        <v>0</v>
      </c>
      <c r="W658" s="839">
        <f>W657</f>
        <v>0</v>
      </c>
      <c r="X658" s="839">
        <f>X657</f>
        <v>0</v>
      </c>
      <c r="Y658" s="839">
        <f>Y657</f>
        <v>0</v>
      </c>
      <c r="Z658" s="839">
        <f>Z657</f>
        <v>0</v>
      </c>
      <c r="AA658" s="839">
        <f>AA657</f>
        <v>0</v>
      </c>
      <c r="AB658" s="840">
        <f>AB657</f>
        <v>0</v>
      </c>
      <c r="CH658" s="269"/>
      <c r="CI658" s="269"/>
      <c r="CJ658" s="269"/>
      <c r="CK658" s="269"/>
      <c r="CL658" s="269"/>
      <c r="CM658" s="269"/>
      <c r="CN658" s="269"/>
      <c r="CO658" s="269"/>
      <c r="CP658" s="269"/>
      <c r="CQ658" s="269"/>
      <c r="CR658" s="269"/>
      <c r="CS658" s="269"/>
    </row>
    <row r="659" spans="1:97" ht="12" hidden="1" customHeight="1" x14ac:dyDescent="0.45">
      <c r="A659" s="5"/>
      <c r="B659" s="5"/>
      <c r="C659" s="841"/>
      <c r="D659" s="816"/>
      <c r="E659" s="817"/>
      <c r="F659" s="817"/>
      <c r="G659" s="817"/>
      <c r="H659" s="817"/>
      <c r="I659" s="817"/>
      <c r="J659" s="817"/>
      <c r="K659" s="817"/>
      <c r="L659" s="817"/>
      <c r="M659" s="817"/>
      <c r="N659" s="817"/>
      <c r="O659" s="817"/>
      <c r="P659" s="817"/>
      <c r="Q659" s="817"/>
      <c r="R659" s="817"/>
      <c r="S659" s="817"/>
      <c r="T659" s="817"/>
      <c r="U659" s="817"/>
      <c r="V659" s="817"/>
      <c r="W659" s="817"/>
      <c r="X659" s="817"/>
      <c r="Y659" s="817"/>
      <c r="Z659" s="817"/>
      <c r="AA659" s="817"/>
      <c r="AB659" s="817"/>
      <c r="CH659" s="269"/>
      <c r="CI659" s="269"/>
      <c r="CJ659" s="269"/>
      <c r="CK659" s="269"/>
      <c r="CL659" s="269"/>
      <c r="CM659" s="269"/>
      <c r="CN659" s="269"/>
      <c r="CO659" s="269"/>
      <c r="CP659" s="269"/>
      <c r="CQ659" s="269"/>
      <c r="CR659" s="269"/>
      <c r="CS659" s="269"/>
    </row>
    <row r="660" spans="1:97" ht="15.75" hidden="1" customHeight="1" x14ac:dyDescent="0.3">
      <c r="A660" s="5"/>
      <c r="B660" s="5"/>
      <c r="C660" s="644"/>
      <c r="D660" s="645"/>
      <c r="E660" s="645"/>
      <c r="F660" s="645"/>
      <c r="G660" s="645"/>
      <c r="H660" s="645"/>
      <c r="I660" s="645"/>
      <c r="J660" s="645"/>
      <c r="K660" s="645"/>
      <c r="L660" s="645"/>
      <c r="M660" s="645"/>
      <c r="N660" s="645"/>
      <c r="O660" s="645"/>
      <c r="P660" s="645"/>
      <c r="Q660" s="645"/>
      <c r="R660" s="645"/>
      <c r="S660" s="645"/>
      <c r="T660" s="645"/>
      <c r="U660" s="645"/>
      <c r="V660" s="645"/>
      <c r="W660" s="645"/>
      <c r="X660" s="645"/>
      <c r="Y660" s="645"/>
      <c r="Z660" s="645"/>
      <c r="AA660" s="645"/>
      <c r="AB660" s="645"/>
      <c r="CH660" s="269"/>
      <c r="CI660" s="269"/>
      <c r="CJ660" s="269"/>
      <c r="CK660" s="269"/>
      <c r="CL660" s="269"/>
      <c r="CM660" s="269"/>
      <c r="CN660" s="269"/>
      <c r="CO660" s="269"/>
      <c r="CP660" s="269"/>
      <c r="CQ660" s="269"/>
      <c r="CR660" s="269"/>
      <c r="CS660" s="269"/>
    </row>
    <row r="661" spans="1:97" ht="18.75" hidden="1" customHeight="1" x14ac:dyDescent="0.35">
      <c r="A661" s="5"/>
      <c r="B661" s="5"/>
      <c r="C661" s="646"/>
      <c r="D661" s="219"/>
      <c r="E661" s="219"/>
      <c r="F661" s="219"/>
      <c r="G661" s="219"/>
      <c r="H661" s="219"/>
      <c r="I661" s="219"/>
      <c r="J661" s="219"/>
      <c r="K661" s="219"/>
      <c r="L661" s="219"/>
      <c r="M661" s="219"/>
      <c r="N661" s="219"/>
      <c r="O661" s="219"/>
      <c r="P661" s="219"/>
      <c r="Q661" s="219"/>
      <c r="R661" s="219"/>
      <c r="S661" s="219"/>
      <c r="T661" s="219"/>
      <c r="U661" s="219"/>
      <c r="V661" s="219"/>
      <c r="W661" s="219"/>
      <c r="X661" s="219"/>
      <c r="Y661" s="219"/>
      <c r="Z661" s="219"/>
      <c r="AA661" s="219"/>
      <c r="AB661" s="219"/>
      <c r="CH661" s="269"/>
      <c r="CI661" s="269"/>
      <c r="CJ661" s="269"/>
      <c r="CK661" s="269"/>
      <c r="CL661" s="269"/>
      <c r="CM661" s="269"/>
      <c r="CN661" s="269"/>
      <c r="CO661" s="269"/>
      <c r="CP661" s="269"/>
      <c r="CQ661" s="269"/>
      <c r="CR661" s="269"/>
      <c r="CS661" s="269"/>
    </row>
    <row r="662" spans="1:97" ht="18.75" hidden="1" customHeight="1" x14ac:dyDescent="0.35">
      <c r="A662" s="5"/>
      <c r="B662" s="5"/>
      <c r="C662" s="646"/>
      <c r="D662" s="219"/>
      <c r="E662" s="219"/>
      <c r="F662" s="219"/>
      <c r="G662" s="219"/>
      <c r="H662" s="219"/>
      <c r="I662" s="219"/>
      <c r="J662" s="219"/>
      <c r="K662" s="219"/>
      <c r="L662" s="219"/>
      <c r="M662" s="219"/>
      <c r="N662" s="219"/>
      <c r="O662" s="219"/>
      <c r="P662" s="219"/>
      <c r="Q662" s="219"/>
      <c r="R662" s="219"/>
      <c r="S662" s="219"/>
      <c r="T662" s="219"/>
      <c r="U662" s="219"/>
      <c r="V662" s="219"/>
      <c r="W662" s="219"/>
      <c r="X662" s="219"/>
      <c r="Y662" s="219"/>
      <c r="Z662" s="219"/>
      <c r="AA662" s="219"/>
      <c r="AB662" s="219"/>
      <c r="CH662" s="269"/>
      <c r="CI662" s="269"/>
      <c r="CJ662" s="269"/>
      <c r="CK662" s="269"/>
      <c r="CL662" s="269"/>
      <c r="CM662" s="269"/>
      <c r="CN662" s="269"/>
      <c r="CO662" s="269"/>
      <c r="CP662" s="269"/>
      <c r="CQ662" s="269"/>
      <c r="CR662" s="269"/>
      <c r="CS662" s="269"/>
    </row>
    <row r="663" spans="1:97" ht="18.75" hidden="1" customHeight="1" x14ac:dyDescent="0.35">
      <c r="C663" s="646"/>
      <c r="D663" s="219"/>
      <c r="E663" s="219"/>
      <c r="F663" s="219"/>
      <c r="G663" s="219"/>
      <c r="H663" s="219"/>
      <c r="I663" s="219"/>
      <c r="J663" s="219"/>
      <c r="K663" s="219"/>
      <c r="L663" s="219"/>
      <c r="M663" s="219"/>
      <c r="N663" s="219"/>
      <c r="O663" s="219"/>
      <c r="P663" s="219"/>
      <c r="Q663" s="219"/>
      <c r="R663" s="219"/>
      <c r="S663" s="219"/>
      <c r="T663" s="219"/>
      <c r="U663" s="219"/>
      <c r="V663" s="219"/>
      <c r="W663" s="219"/>
      <c r="X663" s="219"/>
      <c r="Y663" s="219"/>
      <c r="Z663" s="219"/>
      <c r="AA663" s="219"/>
      <c r="AB663" s="219"/>
      <c r="CH663" s="269"/>
      <c r="CI663" s="269"/>
      <c r="CJ663" s="269"/>
      <c r="CK663" s="269"/>
      <c r="CL663" s="269"/>
      <c r="CM663" s="269"/>
      <c r="CN663" s="269"/>
      <c r="CO663" s="269"/>
      <c r="CP663" s="269"/>
      <c r="CQ663" s="269"/>
      <c r="CR663" s="269"/>
      <c r="CS663" s="269"/>
    </row>
    <row r="664" spans="1:97" ht="13" customHeight="1" x14ac:dyDescent="0.3">
      <c r="C664" s="1347" t="s">
        <v>131</v>
      </c>
      <c r="D664" s="816">
        <f>SUM(D600:D663)</f>
        <v>0</v>
      </c>
      <c r="E664" s="816">
        <f>SUM(E600:E663)</f>
        <v>0</v>
      </c>
      <c r="F664" s="816">
        <f>SUM(F600:F663)</f>
        <v>0</v>
      </c>
      <c r="G664" s="816">
        <f>SUM(G600:G663)</f>
        <v>0</v>
      </c>
      <c r="H664" s="816">
        <f>SUM(H600:H663)</f>
        <v>0</v>
      </c>
      <c r="I664" s="816">
        <f>SUM(I600:I663)</f>
        <v>0</v>
      </c>
      <c r="J664" s="816">
        <f>SUM(J600:J663)</f>
        <v>0</v>
      </c>
      <c r="K664" s="816">
        <f>SUM(K600:K663)</f>
        <v>0</v>
      </c>
      <c r="L664" s="816">
        <f>SUM(L600:L663)</f>
        <v>0</v>
      </c>
      <c r="M664" s="816">
        <f>SUM(M600:M663)</f>
        <v>0</v>
      </c>
      <c r="N664" s="816">
        <f>SUM(N600:N663)</f>
        <v>0</v>
      </c>
      <c r="O664" s="816">
        <f>SUM(O600:O663)</f>
        <v>0</v>
      </c>
      <c r="P664" s="816">
        <f>SUM(P600:P663)</f>
        <v>0</v>
      </c>
      <c r="Q664" s="816">
        <f>SUM(Q600:Q663)</f>
        <v>0</v>
      </c>
      <c r="R664" s="816">
        <f>SUM(R600:R663)</f>
        <v>0</v>
      </c>
      <c r="S664" s="816">
        <f>SUM(S600:S663)</f>
        <v>0</v>
      </c>
      <c r="T664" s="816">
        <f>SUM(T600:T663)</f>
        <v>0</v>
      </c>
      <c r="U664" s="816">
        <f>SUM(U600:U663)</f>
        <v>0</v>
      </c>
      <c r="V664" s="816">
        <f>SUM(V600:V663)</f>
        <v>0</v>
      </c>
      <c r="W664" s="816">
        <f>SUM(W600:W663)</f>
        <v>0</v>
      </c>
      <c r="X664" s="816">
        <f>SUM(X600:X663)</f>
        <v>0</v>
      </c>
      <c r="Y664" s="816">
        <f>SUM(Y600:Y663)</f>
        <v>0</v>
      </c>
      <c r="Z664" s="816">
        <f>SUM(Z600:Z663)</f>
        <v>0</v>
      </c>
      <c r="AA664" s="816">
        <f>SUM(AA600:AA663)</f>
        <v>0</v>
      </c>
      <c r="AB664" s="816">
        <f>SUM(AB600:AB663)</f>
        <v>0</v>
      </c>
      <c r="CH664" s="269"/>
      <c r="CI664" s="269"/>
      <c r="CJ664" s="269"/>
      <c r="CK664" s="269"/>
      <c r="CL664" s="269"/>
      <c r="CM664" s="269"/>
      <c r="CN664" s="269"/>
      <c r="CO664" s="269"/>
      <c r="CP664" s="269"/>
      <c r="CQ664" s="269"/>
      <c r="CR664" s="269"/>
      <c r="CS664" s="269"/>
    </row>
    <row r="665" spans="1:97" ht="15" customHeight="1" x14ac:dyDescent="0.3">
      <c r="B665" s="1830" t="s">
        <v>198</v>
      </c>
      <c r="C665" s="1830"/>
      <c r="D665" s="816"/>
      <c r="E665" s="817"/>
      <c r="F665" s="817"/>
      <c r="G665" s="817"/>
      <c r="H665" s="817"/>
      <c r="I665" s="817"/>
      <c r="J665" s="817"/>
      <c r="K665" s="817"/>
      <c r="L665" s="817"/>
      <c r="M665" s="817"/>
      <c r="N665" s="817"/>
      <c r="O665" s="817"/>
      <c r="P665" s="817"/>
      <c r="Q665" s="817"/>
      <c r="R665" s="817"/>
      <c r="S665" s="817"/>
      <c r="T665" s="817"/>
      <c r="U665" s="817"/>
      <c r="V665" s="817"/>
      <c r="W665" s="817"/>
      <c r="X665" s="817"/>
      <c r="Y665" s="817"/>
      <c r="Z665" s="817"/>
      <c r="AA665" s="817"/>
      <c r="AB665" s="817"/>
      <c r="CH665" s="269"/>
      <c r="CI665" s="269"/>
      <c r="CJ665" s="269"/>
      <c r="CK665" s="269"/>
      <c r="CL665" s="269"/>
      <c r="CM665" s="269"/>
      <c r="CN665" s="269"/>
      <c r="CO665" s="269"/>
      <c r="CP665" s="269"/>
      <c r="CQ665" s="269"/>
      <c r="CR665" s="269"/>
      <c r="CS665" s="269"/>
    </row>
    <row r="666" spans="1:97" ht="12.75" customHeight="1" thickBot="1" x14ac:dyDescent="0.35">
      <c r="B666" s="1830"/>
      <c r="C666" s="1830"/>
      <c r="D666" s="818" t="str">
        <f>D339</f>
        <v>Item 1</v>
      </c>
      <c r="E666" s="818" t="str">
        <f>E339</f>
        <v>Item 2</v>
      </c>
      <c r="F666" s="818" t="str">
        <f>F339</f>
        <v>Item 3</v>
      </c>
      <c r="G666" s="818" t="str">
        <f>G339</f>
        <v>Item 4</v>
      </c>
      <c r="H666" s="818" t="str">
        <f>H339</f>
        <v>Item 5</v>
      </c>
      <c r="I666" s="818" t="str">
        <f>I339</f>
        <v>Item 6</v>
      </c>
      <c r="J666" s="818" t="str">
        <f>J339</f>
        <v>Item 7</v>
      </c>
      <c r="K666" s="818" t="str">
        <f>K339</f>
        <v>Item 8</v>
      </c>
      <c r="L666" s="818" t="str">
        <f>L339</f>
        <v>Item 9</v>
      </c>
      <c r="M666" s="818" t="str">
        <f>M339</f>
        <v>Item 10</v>
      </c>
      <c r="N666" s="818" t="str">
        <f>N339</f>
        <v>Item 11</v>
      </c>
      <c r="O666" s="818" t="str">
        <f>O339</f>
        <v>Item 12</v>
      </c>
      <c r="P666" s="818" t="str">
        <f>P339</f>
        <v>Item 13</v>
      </c>
      <c r="Q666" s="818" t="str">
        <f>Q339</f>
        <v>Item 14</v>
      </c>
      <c r="R666" s="818" t="str">
        <f>R339</f>
        <v>Item 15</v>
      </c>
      <c r="S666" s="818" t="str">
        <f>S339</f>
        <v>Item 16</v>
      </c>
      <c r="T666" s="818" t="str">
        <f>T339</f>
        <v>Item 17</v>
      </c>
      <c r="U666" s="818" t="str">
        <f>U339</f>
        <v>Item 18</v>
      </c>
      <c r="V666" s="818" t="str">
        <f>V339</f>
        <v>Item 19</v>
      </c>
      <c r="W666" s="818" t="str">
        <f>W339</f>
        <v>Item 20</v>
      </c>
      <c r="X666" s="818" t="str">
        <f>X339</f>
        <v>Item 21</v>
      </c>
      <c r="Y666" s="818" t="str">
        <f>Y339</f>
        <v>Item 22</v>
      </c>
      <c r="Z666" s="818" t="str">
        <f>Z339</f>
        <v>Item 23</v>
      </c>
      <c r="AA666" s="818" t="str">
        <f>AA339</f>
        <v>Item 24</v>
      </c>
      <c r="AB666" s="818" t="str">
        <f>AB339</f>
        <v>Item 25</v>
      </c>
      <c r="CH666" s="269"/>
      <c r="CI666" s="269"/>
      <c r="CJ666" s="269"/>
      <c r="CK666" s="269"/>
      <c r="CL666" s="269"/>
      <c r="CM666" s="269"/>
      <c r="CN666" s="269"/>
      <c r="CO666" s="269"/>
      <c r="CP666" s="269"/>
      <c r="CQ666" s="269"/>
      <c r="CR666" s="269"/>
      <c r="CS666" s="269"/>
    </row>
    <row r="667" spans="1:97" ht="12" customHeight="1" x14ac:dyDescent="0.3">
      <c r="C667" s="495">
        <f>C599</f>
        <v>0</v>
      </c>
      <c r="D667" s="246">
        <f>Input!D41</f>
        <v>0</v>
      </c>
      <c r="E667" s="1753">
        <f>Input!E41</f>
        <v>0</v>
      </c>
      <c r="F667" s="1753">
        <f>Input!F41</f>
        <v>0</v>
      </c>
      <c r="G667" s="1753">
        <f>Input!G41</f>
        <v>0</v>
      </c>
      <c r="H667" s="1753">
        <f>Input!H41</f>
        <v>0</v>
      </c>
      <c r="I667" s="1753">
        <f>Input!I41</f>
        <v>0</v>
      </c>
      <c r="J667" s="1753">
        <f>Input!J41</f>
        <v>0</v>
      </c>
      <c r="K667" s="1753">
        <f>Input!K41</f>
        <v>0</v>
      </c>
      <c r="L667" s="1753">
        <f>Input!L41</f>
        <v>0</v>
      </c>
      <c r="M667" s="1753">
        <f>Input!M41</f>
        <v>0</v>
      </c>
      <c r="N667" s="1753">
        <f>Input!N41</f>
        <v>0</v>
      </c>
      <c r="O667" s="1753">
        <f>Input!O41</f>
        <v>0</v>
      </c>
      <c r="P667" s="1753">
        <f>Input!P41</f>
        <v>0</v>
      </c>
      <c r="Q667" s="1753">
        <f>Input!Q41</f>
        <v>0</v>
      </c>
      <c r="R667" s="1753">
        <f>Input!R41</f>
        <v>0</v>
      </c>
      <c r="S667" s="1753">
        <f>Input!S41</f>
        <v>0</v>
      </c>
      <c r="T667" s="1753">
        <f>Input!T41</f>
        <v>0</v>
      </c>
      <c r="U667" s="1753">
        <f>Input!U41</f>
        <v>0</v>
      </c>
      <c r="V667" s="1753">
        <f>Input!V41</f>
        <v>0</v>
      </c>
      <c r="W667" s="1753">
        <f>Input!W41</f>
        <v>0</v>
      </c>
      <c r="X667" s="1753">
        <f>Input!X41</f>
        <v>0</v>
      </c>
      <c r="Y667" s="1753">
        <f>Input!Y41</f>
        <v>0</v>
      </c>
      <c r="Z667" s="1753">
        <f>Input!Z41</f>
        <v>0</v>
      </c>
      <c r="AA667" s="1753">
        <f>Input!AA41</f>
        <v>0</v>
      </c>
      <c r="AB667" s="1753">
        <f>Input!AB41</f>
        <v>0</v>
      </c>
      <c r="CH667" s="269"/>
      <c r="CI667" s="269"/>
      <c r="CJ667" s="269"/>
      <c r="CK667" s="269"/>
      <c r="CL667" s="269"/>
      <c r="CM667" s="269"/>
      <c r="CN667" s="269"/>
      <c r="CO667" s="269"/>
      <c r="CP667" s="269"/>
      <c r="CQ667" s="269"/>
      <c r="CR667" s="269"/>
      <c r="CS667" s="269"/>
    </row>
    <row r="668" spans="1:97" ht="12" customHeight="1" x14ac:dyDescent="0.3">
      <c r="C668" s="495">
        <f>C600</f>
        <v>59</v>
      </c>
      <c r="D668" s="244">
        <f>D667</f>
        <v>0</v>
      </c>
      <c r="E668" s="244">
        <f>E667</f>
        <v>0</v>
      </c>
      <c r="F668" s="244">
        <f>F667</f>
        <v>0</v>
      </c>
      <c r="G668" s="244">
        <f>G667</f>
        <v>0</v>
      </c>
      <c r="H668" s="244">
        <f>H667</f>
        <v>0</v>
      </c>
      <c r="I668" s="244">
        <f>I667</f>
        <v>0</v>
      </c>
      <c r="J668" s="244">
        <f>J667</f>
        <v>0</v>
      </c>
      <c r="K668" s="244">
        <f>K667</f>
        <v>0</v>
      </c>
      <c r="L668" s="244">
        <f>L667</f>
        <v>0</v>
      </c>
      <c r="M668" s="244">
        <f>M667</f>
        <v>0</v>
      </c>
      <c r="N668" s="244">
        <f>N667</f>
        <v>0</v>
      </c>
      <c r="O668" s="244">
        <f>O667</f>
        <v>0</v>
      </c>
      <c r="P668" s="244">
        <f>P667</f>
        <v>0</v>
      </c>
      <c r="Q668" s="244">
        <f>Q667</f>
        <v>0</v>
      </c>
      <c r="R668" s="244">
        <f>R667</f>
        <v>0</v>
      </c>
      <c r="S668" s="244">
        <f>S667</f>
        <v>0</v>
      </c>
      <c r="T668" s="244">
        <f>T667</f>
        <v>0</v>
      </c>
      <c r="U668" s="244">
        <f>U667</f>
        <v>0</v>
      </c>
      <c r="V668" s="244">
        <f>V667</f>
        <v>0</v>
      </c>
      <c r="W668" s="244">
        <f>W667</f>
        <v>0</v>
      </c>
      <c r="X668" s="244">
        <f>X667</f>
        <v>0</v>
      </c>
      <c r="Y668" s="244">
        <f>Y667</f>
        <v>0</v>
      </c>
      <c r="Z668" s="244">
        <f>Z667</f>
        <v>0</v>
      </c>
      <c r="AA668" s="244">
        <f>AA667</f>
        <v>0</v>
      </c>
      <c r="AB668" s="244">
        <f>AB667</f>
        <v>0</v>
      </c>
      <c r="CH668" s="269"/>
      <c r="CI668" s="269"/>
      <c r="CJ668" s="269"/>
      <c r="CK668" s="269"/>
      <c r="CL668" s="269"/>
      <c r="CM668" s="269"/>
      <c r="CN668" s="269"/>
      <c r="CO668" s="269"/>
      <c r="CP668" s="269"/>
      <c r="CQ668" s="269"/>
      <c r="CR668" s="269"/>
      <c r="CS668" s="269"/>
    </row>
    <row r="669" spans="1:97" ht="12" customHeight="1" x14ac:dyDescent="0.3">
      <c r="C669" s="495">
        <f>C601</f>
        <v>91</v>
      </c>
      <c r="D669" s="244">
        <f>D668</f>
        <v>0</v>
      </c>
      <c r="E669" s="243">
        <f>E668</f>
        <v>0</v>
      </c>
      <c r="F669" s="243">
        <f>F668</f>
        <v>0</v>
      </c>
      <c r="G669" s="243">
        <f>G668</f>
        <v>0</v>
      </c>
      <c r="H669" s="243">
        <f>H668</f>
        <v>0</v>
      </c>
      <c r="I669" s="243">
        <f>I668</f>
        <v>0</v>
      </c>
      <c r="J669" s="243">
        <f>J668</f>
        <v>0</v>
      </c>
      <c r="K669" s="243">
        <f>K668</f>
        <v>0</v>
      </c>
      <c r="L669" s="243">
        <f>L668</f>
        <v>0</v>
      </c>
      <c r="M669" s="243">
        <f>M668</f>
        <v>0</v>
      </c>
      <c r="N669" s="243">
        <f>N668</f>
        <v>0</v>
      </c>
      <c r="O669" s="243">
        <f>O668</f>
        <v>0</v>
      </c>
      <c r="P669" s="243">
        <f>P668</f>
        <v>0</v>
      </c>
      <c r="Q669" s="243">
        <f>Q668</f>
        <v>0</v>
      </c>
      <c r="R669" s="243">
        <f>R668</f>
        <v>0</v>
      </c>
      <c r="S669" s="243">
        <f>S668</f>
        <v>0</v>
      </c>
      <c r="T669" s="243">
        <f>T668</f>
        <v>0</v>
      </c>
      <c r="U669" s="243">
        <f>U668</f>
        <v>0</v>
      </c>
      <c r="V669" s="243">
        <f>V668</f>
        <v>0</v>
      </c>
      <c r="W669" s="243">
        <f>W668</f>
        <v>0</v>
      </c>
      <c r="X669" s="243">
        <f>X668</f>
        <v>0</v>
      </c>
      <c r="Y669" s="243">
        <f>Y668</f>
        <v>0</v>
      </c>
      <c r="Z669" s="243">
        <f>Z668</f>
        <v>0</v>
      </c>
      <c r="AA669" s="243">
        <f>AA668</f>
        <v>0</v>
      </c>
      <c r="AB669" s="243">
        <f>AB668</f>
        <v>0</v>
      </c>
      <c r="CH669" s="269"/>
      <c r="CI669" s="269"/>
      <c r="CJ669" s="269"/>
      <c r="CK669" s="269"/>
      <c r="CL669" s="269"/>
      <c r="CM669" s="269"/>
      <c r="CN669" s="269"/>
      <c r="CO669" s="269"/>
      <c r="CP669" s="269"/>
      <c r="CQ669" s="269"/>
      <c r="CR669" s="269"/>
      <c r="CS669" s="269"/>
    </row>
    <row r="670" spans="1:97" ht="12" customHeight="1" x14ac:dyDescent="0.3">
      <c r="C670" s="495">
        <f>C602</f>
        <v>121</v>
      </c>
      <c r="D670" s="244">
        <f>D669</f>
        <v>0</v>
      </c>
      <c r="E670" s="243">
        <f>E669</f>
        <v>0</v>
      </c>
      <c r="F670" s="243">
        <f>F669</f>
        <v>0</v>
      </c>
      <c r="G670" s="243">
        <f>G669</f>
        <v>0</v>
      </c>
      <c r="H670" s="243">
        <f>H669</f>
        <v>0</v>
      </c>
      <c r="I670" s="243">
        <f>I669</f>
        <v>0</v>
      </c>
      <c r="J670" s="243">
        <f>J669</f>
        <v>0</v>
      </c>
      <c r="K670" s="243">
        <f>K669</f>
        <v>0</v>
      </c>
      <c r="L670" s="243">
        <f>L669</f>
        <v>0</v>
      </c>
      <c r="M670" s="243">
        <f>M669</f>
        <v>0</v>
      </c>
      <c r="N670" s="243">
        <f>N669</f>
        <v>0</v>
      </c>
      <c r="O670" s="243">
        <f>O669</f>
        <v>0</v>
      </c>
      <c r="P670" s="243">
        <f>P669</f>
        <v>0</v>
      </c>
      <c r="Q670" s="243">
        <f>Q669</f>
        <v>0</v>
      </c>
      <c r="R670" s="243">
        <f>R669</f>
        <v>0</v>
      </c>
      <c r="S670" s="243">
        <f>S669</f>
        <v>0</v>
      </c>
      <c r="T670" s="243">
        <f>T669</f>
        <v>0</v>
      </c>
      <c r="U670" s="243">
        <f>U669</f>
        <v>0</v>
      </c>
      <c r="V670" s="243">
        <f>V669</f>
        <v>0</v>
      </c>
      <c r="W670" s="243">
        <f>W669</f>
        <v>0</v>
      </c>
      <c r="X670" s="243">
        <f>X669</f>
        <v>0</v>
      </c>
      <c r="Y670" s="243">
        <f>Y669</f>
        <v>0</v>
      </c>
      <c r="Z670" s="243">
        <f>Z669</f>
        <v>0</v>
      </c>
      <c r="AA670" s="243">
        <f>AA669</f>
        <v>0</v>
      </c>
      <c r="AB670" s="243">
        <f>AB669</f>
        <v>0</v>
      </c>
      <c r="CH670" s="269"/>
      <c r="CI670" s="269"/>
      <c r="CJ670" s="269"/>
      <c r="CK670" s="269"/>
      <c r="CL670" s="269"/>
      <c r="CM670" s="269"/>
      <c r="CN670" s="269"/>
      <c r="CO670" s="269"/>
      <c r="CP670" s="269"/>
      <c r="CQ670" s="269"/>
      <c r="CR670" s="269"/>
      <c r="CS670" s="269"/>
    </row>
    <row r="671" spans="1:97" ht="12" customHeight="1" x14ac:dyDescent="0.3">
      <c r="C671" s="495">
        <f>C603</f>
        <v>152</v>
      </c>
      <c r="D671" s="244">
        <f>D670</f>
        <v>0</v>
      </c>
      <c r="E671" s="243">
        <f>E670</f>
        <v>0</v>
      </c>
      <c r="F671" s="243">
        <f>F670</f>
        <v>0</v>
      </c>
      <c r="G671" s="243">
        <f>G670</f>
        <v>0</v>
      </c>
      <c r="H671" s="243">
        <f>H670</f>
        <v>0</v>
      </c>
      <c r="I671" s="243">
        <f>I670</f>
        <v>0</v>
      </c>
      <c r="J671" s="243">
        <f>J670</f>
        <v>0</v>
      </c>
      <c r="K671" s="243">
        <f>K670</f>
        <v>0</v>
      </c>
      <c r="L671" s="243">
        <f>L670</f>
        <v>0</v>
      </c>
      <c r="M671" s="243">
        <f>M670</f>
        <v>0</v>
      </c>
      <c r="N671" s="243">
        <f>N670</f>
        <v>0</v>
      </c>
      <c r="O671" s="243">
        <f>O670</f>
        <v>0</v>
      </c>
      <c r="P671" s="243">
        <f>P670</f>
        <v>0</v>
      </c>
      <c r="Q671" s="243">
        <f>Q670</f>
        <v>0</v>
      </c>
      <c r="R671" s="243">
        <f>R670</f>
        <v>0</v>
      </c>
      <c r="S671" s="243">
        <f>S670</f>
        <v>0</v>
      </c>
      <c r="T671" s="243">
        <f>T670</f>
        <v>0</v>
      </c>
      <c r="U671" s="243">
        <f>U670</f>
        <v>0</v>
      </c>
      <c r="V671" s="243">
        <f>V670</f>
        <v>0</v>
      </c>
      <c r="W671" s="243">
        <f>W670</f>
        <v>0</v>
      </c>
      <c r="X671" s="243">
        <f>X670</f>
        <v>0</v>
      </c>
      <c r="Y671" s="243">
        <f>Y670</f>
        <v>0</v>
      </c>
      <c r="Z671" s="243">
        <f>Z670</f>
        <v>0</v>
      </c>
      <c r="AA671" s="243">
        <f>AA670</f>
        <v>0</v>
      </c>
      <c r="AB671" s="243">
        <f>AB670</f>
        <v>0</v>
      </c>
      <c r="CH671" s="269"/>
      <c r="CI671" s="269"/>
      <c r="CJ671" s="269"/>
      <c r="CK671" s="269"/>
      <c r="CL671" s="269"/>
      <c r="CM671" s="269"/>
      <c r="CN671" s="269"/>
      <c r="CO671" s="269"/>
      <c r="CP671" s="269"/>
      <c r="CQ671" s="269"/>
      <c r="CR671" s="269"/>
      <c r="CS671" s="269"/>
    </row>
    <row r="672" spans="1:97" ht="12" customHeight="1" x14ac:dyDescent="0.3">
      <c r="C672" s="495">
        <f>C604</f>
        <v>182</v>
      </c>
      <c r="D672" s="244">
        <f>D671</f>
        <v>0</v>
      </c>
      <c r="E672" s="243">
        <f>E671</f>
        <v>0</v>
      </c>
      <c r="F672" s="243">
        <f>F671</f>
        <v>0</v>
      </c>
      <c r="G672" s="243">
        <f>G671</f>
        <v>0</v>
      </c>
      <c r="H672" s="243">
        <f>H671</f>
        <v>0</v>
      </c>
      <c r="I672" s="243">
        <f>I671</f>
        <v>0</v>
      </c>
      <c r="J672" s="243">
        <f>J671</f>
        <v>0</v>
      </c>
      <c r="K672" s="243">
        <f>K671</f>
        <v>0</v>
      </c>
      <c r="L672" s="243">
        <f>L671</f>
        <v>0</v>
      </c>
      <c r="M672" s="243">
        <f>M671</f>
        <v>0</v>
      </c>
      <c r="N672" s="243">
        <f>N671</f>
        <v>0</v>
      </c>
      <c r="O672" s="243">
        <f>O671</f>
        <v>0</v>
      </c>
      <c r="P672" s="243">
        <f>P671</f>
        <v>0</v>
      </c>
      <c r="Q672" s="243">
        <f>Q671</f>
        <v>0</v>
      </c>
      <c r="R672" s="243">
        <f>R671</f>
        <v>0</v>
      </c>
      <c r="S672" s="243">
        <f>S671</f>
        <v>0</v>
      </c>
      <c r="T672" s="243">
        <f>T671</f>
        <v>0</v>
      </c>
      <c r="U672" s="243">
        <f>U671</f>
        <v>0</v>
      </c>
      <c r="V672" s="243">
        <f>V671</f>
        <v>0</v>
      </c>
      <c r="W672" s="243">
        <f>W671</f>
        <v>0</v>
      </c>
      <c r="X672" s="243">
        <f>X671</f>
        <v>0</v>
      </c>
      <c r="Y672" s="243">
        <f>Y671</f>
        <v>0</v>
      </c>
      <c r="Z672" s="243">
        <f>Z671</f>
        <v>0</v>
      </c>
      <c r="AA672" s="243">
        <f>AA671</f>
        <v>0</v>
      </c>
      <c r="AB672" s="243">
        <f>AB671</f>
        <v>0</v>
      </c>
      <c r="CH672" s="269"/>
      <c r="CI672" s="269"/>
      <c r="CJ672" s="269"/>
      <c r="CK672" s="269"/>
      <c r="CL672" s="269"/>
      <c r="CM672" s="269"/>
      <c r="CN672" s="269"/>
      <c r="CO672" s="269"/>
      <c r="CP672" s="269"/>
      <c r="CQ672" s="269"/>
      <c r="CR672" s="269"/>
      <c r="CS672" s="269"/>
    </row>
    <row r="673" spans="3:97" ht="12" customHeight="1" x14ac:dyDescent="0.3">
      <c r="C673" s="495">
        <f>C605</f>
        <v>213</v>
      </c>
      <c r="D673" s="244">
        <f>D672</f>
        <v>0</v>
      </c>
      <c r="E673" s="243">
        <f>E672</f>
        <v>0</v>
      </c>
      <c r="F673" s="243">
        <f>F672</f>
        <v>0</v>
      </c>
      <c r="G673" s="243">
        <f>G672</f>
        <v>0</v>
      </c>
      <c r="H673" s="243">
        <f>H672</f>
        <v>0</v>
      </c>
      <c r="I673" s="243">
        <f>I672</f>
        <v>0</v>
      </c>
      <c r="J673" s="243">
        <f>J672</f>
        <v>0</v>
      </c>
      <c r="K673" s="243">
        <f>K672</f>
        <v>0</v>
      </c>
      <c r="L673" s="243">
        <f>L672</f>
        <v>0</v>
      </c>
      <c r="M673" s="243">
        <f>M672</f>
        <v>0</v>
      </c>
      <c r="N673" s="243">
        <f>N672</f>
        <v>0</v>
      </c>
      <c r="O673" s="243">
        <f>O672</f>
        <v>0</v>
      </c>
      <c r="P673" s="243">
        <f>P672</f>
        <v>0</v>
      </c>
      <c r="Q673" s="243">
        <f>Q672</f>
        <v>0</v>
      </c>
      <c r="R673" s="243">
        <f>R672</f>
        <v>0</v>
      </c>
      <c r="S673" s="243">
        <f>S672</f>
        <v>0</v>
      </c>
      <c r="T673" s="243">
        <f>T672</f>
        <v>0</v>
      </c>
      <c r="U673" s="243">
        <f>U672</f>
        <v>0</v>
      </c>
      <c r="V673" s="243">
        <f>V672</f>
        <v>0</v>
      </c>
      <c r="W673" s="243">
        <f>W672</f>
        <v>0</v>
      </c>
      <c r="X673" s="243">
        <f>X672</f>
        <v>0</v>
      </c>
      <c r="Y673" s="243">
        <f>Y672</f>
        <v>0</v>
      </c>
      <c r="Z673" s="243">
        <f>Z672</f>
        <v>0</v>
      </c>
      <c r="AA673" s="243">
        <f>AA672</f>
        <v>0</v>
      </c>
      <c r="AB673" s="243">
        <f>AB672</f>
        <v>0</v>
      </c>
      <c r="CH673" s="269"/>
      <c r="CI673" s="269"/>
      <c r="CJ673" s="269"/>
      <c r="CK673" s="269"/>
      <c r="CL673" s="269"/>
      <c r="CM673" s="269"/>
      <c r="CN673" s="269"/>
      <c r="CO673" s="269"/>
      <c r="CP673" s="269"/>
      <c r="CQ673" s="269"/>
      <c r="CR673" s="269"/>
      <c r="CS673" s="269"/>
    </row>
    <row r="674" spans="3:97" ht="12" customHeight="1" x14ac:dyDescent="0.3">
      <c r="C674" s="495">
        <f>C606</f>
        <v>244</v>
      </c>
      <c r="D674" s="244">
        <f>D673</f>
        <v>0</v>
      </c>
      <c r="E674" s="243">
        <f>E673</f>
        <v>0</v>
      </c>
      <c r="F674" s="243">
        <f>F673</f>
        <v>0</v>
      </c>
      <c r="G674" s="243">
        <f>G673</f>
        <v>0</v>
      </c>
      <c r="H674" s="243">
        <f>H673</f>
        <v>0</v>
      </c>
      <c r="I674" s="243">
        <f>I673</f>
        <v>0</v>
      </c>
      <c r="J674" s="243">
        <f>J673</f>
        <v>0</v>
      </c>
      <c r="K674" s="243">
        <f>K673</f>
        <v>0</v>
      </c>
      <c r="L674" s="243">
        <f>L673</f>
        <v>0</v>
      </c>
      <c r="M674" s="243">
        <f>M673</f>
        <v>0</v>
      </c>
      <c r="N674" s="243">
        <f>N673</f>
        <v>0</v>
      </c>
      <c r="O674" s="243">
        <f>O673</f>
        <v>0</v>
      </c>
      <c r="P674" s="243">
        <f>P673</f>
        <v>0</v>
      </c>
      <c r="Q674" s="243">
        <f>Q673</f>
        <v>0</v>
      </c>
      <c r="R674" s="243">
        <f>R673</f>
        <v>0</v>
      </c>
      <c r="S674" s="243">
        <f>S673</f>
        <v>0</v>
      </c>
      <c r="T674" s="243">
        <f>T673</f>
        <v>0</v>
      </c>
      <c r="U674" s="243">
        <f>U673</f>
        <v>0</v>
      </c>
      <c r="V674" s="243">
        <f>V673</f>
        <v>0</v>
      </c>
      <c r="W674" s="243">
        <f>W673</f>
        <v>0</v>
      </c>
      <c r="X674" s="243">
        <f>X673</f>
        <v>0</v>
      </c>
      <c r="Y674" s="243">
        <f>Y673</f>
        <v>0</v>
      </c>
      <c r="Z674" s="243">
        <f>Z673</f>
        <v>0</v>
      </c>
      <c r="AA674" s="243">
        <f>AA673</f>
        <v>0</v>
      </c>
      <c r="AB674" s="243">
        <f>AB673</f>
        <v>0</v>
      </c>
      <c r="CH674" s="269"/>
      <c r="CI674" s="269"/>
      <c r="CJ674" s="269"/>
      <c r="CK674" s="269"/>
      <c r="CL674" s="269"/>
      <c r="CM674" s="269"/>
      <c r="CN674" s="269"/>
      <c r="CO674" s="269"/>
      <c r="CP674" s="269"/>
      <c r="CQ674" s="269"/>
      <c r="CR674" s="269"/>
      <c r="CS674" s="269"/>
    </row>
    <row r="675" spans="3:97" ht="12" customHeight="1" x14ac:dyDescent="0.3">
      <c r="C675" s="495">
        <f>C607</f>
        <v>274</v>
      </c>
      <c r="D675" s="244">
        <f>D674</f>
        <v>0</v>
      </c>
      <c r="E675" s="243">
        <f>E674</f>
        <v>0</v>
      </c>
      <c r="F675" s="243">
        <f>F674</f>
        <v>0</v>
      </c>
      <c r="G675" s="243">
        <f>G674</f>
        <v>0</v>
      </c>
      <c r="H675" s="243">
        <f>H674</f>
        <v>0</v>
      </c>
      <c r="I675" s="243">
        <f>I674</f>
        <v>0</v>
      </c>
      <c r="J675" s="243">
        <f>J674</f>
        <v>0</v>
      </c>
      <c r="K675" s="243">
        <f>K674</f>
        <v>0</v>
      </c>
      <c r="L675" s="243">
        <f>L674</f>
        <v>0</v>
      </c>
      <c r="M675" s="243">
        <f>M674</f>
        <v>0</v>
      </c>
      <c r="N675" s="243">
        <f>N674</f>
        <v>0</v>
      </c>
      <c r="O675" s="243">
        <f>O674</f>
        <v>0</v>
      </c>
      <c r="P675" s="243">
        <f>P674</f>
        <v>0</v>
      </c>
      <c r="Q675" s="243">
        <f>Q674</f>
        <v>0</v>
      </c>
      <c r="R675" s="243">
        <f>R674</f>
        <v>0</v>
      </c>
      <c r="S675" s="243">
        <f>S674</f>
        <v>0</v>
      </c>
      <c r="T675" s="243">
        <f>T674</f>
        <v>0</v>
      </c>
      <c r="U675" s="243">
        <f>U674</f>
        <v>0</v>
      </c>
      <c r="V675" s="243">
        <f>V674</f>
        <v>0</v>
      </c>
      <c r="W675" s="243">
        <f>W674</f>
        <v>0</v>
      </c>
      <c r="X675" s="243">
        <f>X674</f>
        <v>0</v>
      </c>
      <c r="Y675" s="243">
        <f>Y674</f>
        <v>0</v>
      </c>
      <c r="Z675" s="243">
        <f>Z674</f>
        <v>0</v>
      </c>
      <c r="AA675" s="243">
        <f>AA674</f>
        <v>0</v>
      </c>
      <c r="AB675" s="243">
        <f>AB674</f>
        <v>0</v>
      </c>
      <c r="CH675" s="269"/>
      <c r="CI675" s="269"/>
      <c r="CJ675" s="269"/>
      <c r="CK675" s="269"/>
      <c r="CL675" s="269"/>
      <c r="CM675" s="269"/>
      <c r="CN675" s="269"/>
      <c r="CO675" s="269"/>
      <c r="CP675" s="269"/>
      <c r="CQ675" s="269"/>
      <c r="CR675" s="269"/>
      <c r="CS675" s="269"/>
    </row>
    <row r="676" spans="3:97" ht="12" customHeight="1" x14ac:dyDescent="0.3">
      <c r="C676" s="495">
        <f>C608</f>
        <v>305</v>
      </c>
      <c r="D676" s="244">
        <f>D675</f>
        <v>0</v>
      </c>
      <c r="E676" s="243">
        <f>E675</f>
        <v>0</v>
      </c>
      <c r="F676" s="243">
        <f>F675</f>
        <v>0</v>
      </c>
      <c r="G676" s="243">
        <f>G675</f>
        <v>0</v>
      </c>
      <c r="H676" s="243">
        <f>H675</f>
        <v>0</v>
      </c>
      <c r="I676" s="243">
        <f>I675</f>
        <v>0</v>
      </c>
      <c r="J676" s="243">
        <f>J675</f>
        <v>0</v>
      </c>
      <c r="K676" s="243">
        <f>K675</f>
        <v>0</v>
      </c>
      <c r="L676" s="243">
        <f>L675</f>
        <v>0</v>
      </c>
      <c r="M676" s="243">
        <f>M675</f>
        <v>0</v>
      </c>
      <c r="N676" s="243">
        <f>N675</f>
        <v>0</v>
      </c>
      <c r="O676" s="243">
        <f>O675</f>
        <v>0</v>
      </c>
      <c r="P676" s="243">
        <f>P675</f>
        <v>0</v>
      </c>
      <c r="Q676" s="243">
        <f>Q675</f>
        <v>0</v>
      </c>
      <c r="R676" s="243">
        <f>R675</f>
        <v>0</v>
      </c>
      <c r="S676" s="243">
        <f>S675</f>
        <v>0</v>
      </c>
      <c r="T676" s="243">
        <f>T675</f>
        <v>0</v>
      </c>
      <c r="U676" s="243">
        <f>U675</f>
        <v>0</v>
      </c>
      <c r="V676" s="243">
        <f>V675</f>
        <v>0</v>
      </c>
      <c r="W676" s="243">
        <f>W675</f>
        <v>0</v>
      </c>
      <c r="X676" s="243">
        <f>X675</f>
        <v>0</v>
      </c>
      <c r="Y676" s="243">
        <f>Y675</f>
        <v>0</v>
      </c>
      <c r="Z676" s="243">
        <f>Z675</f>
        <v>0</v>
      </c>
      <c r="AA676" s="243">
        <f>AA675</f>
        <v>0</v>
      </c>
      <c r="AB676" s="243">
        <f>AB675</f>
        <v>0</v>
      </c>
      <c r="CH676" s="269"/>
      <c r="CI676" s="269"/>
      <c r="CJ676" s="269"/>
      <c r="CK676" s="269"/>
      <c r="CL676" s="269"/>
      <c r="CM676" s="269"/>
      <c r="CN676" s="269"/>
      <c r="CO676" s="269"/>
      <c r="CP676" s="269"/>
      <c r="CQ676" s="269"/>
      <c r="CR676" s="269"/>
      <c r="CS676" s="269"/>
    </row>
    <row r="677" spans="3:97" ht="12" customHeight="1" x14ac:dyDescent="0.3">
      <c r="C677" s="495">
        <f>C609</f>
        <v>335</v>
      </c>
      <c r="D677" s="244">
        <f>D676</f>
        <v>0</v>
      </c>
      <c r="E677" s="243">
        <f>E676</f>
        <v>0</v>
      </c>
      <c r="F677" s="243">
        <f>F676</f>
        <v>0</v>
      </c>
      <c r="G677" s="243">
        <f>G676</f>
        <v>0</v>
      </c>
      <c r="H677" s="243">
        <f>H676</f>
        <v>0</v>
      </c>
      <c r="I677" s="243">
        <f>I676</f>
        <v>0</v>
      </c>
      <c r="J677" s="243">
        <f>J676</f>
        <v>0</v>
      </c>
      <c r="K677" s="243">
        <f>K676</f>
        <v>0</v>
      </c>
      <c r="L677" s="243">
        <f>L676</f>
        <v>0</v>
      </c>
      <c r="M677" s="243">
        <f>M676</f>
        <v>0</v>
      </c>
      <c r="N677" s="243">
        <f>N676</f>
        <v>0</v>
      </c>
      <c r="O677" s="243">
        <f>O676</f>
        <v>0</v>
      </c>
      <c r="P677" s="243">
        <f>P676</f>
        <v>0</v>
      </c>
      <c r="Q677" s="243">
        <f>Q676</f>
        <v>0</v>
      </c>
      <c r="R677" s="243">
        <f>R676</f>
        <v>0</v>
      </c>
      <c r="S677" s="243">
        <f>S676</f>
        <v>0</v>
      </c>
      <c r="T677" s="243">
        <f>T676</f>
        <v>0</v>
      </c>
      <c r="U677" s="243">
        <f>U676</f>
        <v>0</v>
      </c>
      <c r="V677" s="243">
        <f>V676</f>
        <v>0</v>
      </c>
      <c r="W677" s="243">
        <f>W676</f>
        <v>0</v>
      </c>
      <c r="X677" s="243">
        <f>X676</f>
        <v>0</v>
      </c>
      <c r="Y677" s="243">
        <f>Y676</f>
        <v>0</v>
      </c>
      <c r="Z677" s="243">
        <f>Z676</f>
        <v>0</v>
      </c>
      <c r="AA677" s="243">
        <f>AA676</f>
        <v>0</v>
      </c>
      <c r="AB677" s="243">
        <f>AB676</f>
        <v>0</v>
      </c>
      <c r="CH677" s="269"/>
      <c r="CI677" s="269"/>
      <c r="CJ677" s="269"/>
      <c r="CK677" s="269"/>
      <c r="CL677" s="269"/>
      <c r="CM677" s="269"/>
      <c r="CN677" s="269"/>
      <c r="CO677" s="269"/>
      <c r="CP677" s="269"/>
      <c r="CQ677" s="269"/>
      <c r="CR677" s="269"/>
      <c r="CS677" s="269"/>
    </row>
    <row r="678" spans="3:97" ht="12.75" customHeight="1" thickBot="1" x14ac:dyDescent="0.35">
      <c r="C678" s="496">
        <f>C610</f>
        <v>366</v>
      </c>
      <c r="D678" s="245">
        <f>D677</f>
        <v>0</v>
      </c>
      <c r="E678" s="245">
        <f>E677</f>
        <v>0</v>
      </c>
      <c r="F678" s="245">
        <f>F677</f>
        <v>0</v>
      </c>
      <c r="G678" s="245">
        <f>G677</f>
        <v>0</v>
      </c>
      <c r="H678" s="245">
        <f>H677</f>
        <v>0</v>
      </c>
      <c r="I678" s="245">
        <f>I677</f>
        <v>0</v>
      </c>
      <c r="J678" s="245">
        <f>J677</f>
        <v>0</v>
      </c>
      <c r="K678" s="245">
        <f>K677</f>
        <v>0</v>
      </c>
      <c r="L678" s="245">
        <f>L677</f>
        <v>0</v>
      </c>
      <c r="M678" s="245">
        <f>M677</f>
        <v>0</v>
      </c>
      <c r="N678" s="245">
        <f>N677</f>
        <v>0</v>
      </c>
      <c r="O678" s="245">
        <f>O677</f>
        <v>0</v>
      </c>
      <c r="P678" s="245">
        <f>P677</f>
        <v>0</v>
      </c>
      <c r="Q678" s="245">
        <f>Q677</f>
        <v>0</v>
      </c>
      <c r="R678" s="245">
        <f>R677</f>
        <v>0</v>
      </c>
      <c r="S678" s="245">
        <f>S677</f>
        <v>0</v>
      </c>
      <c r="T678" s="245">
        <f>T677</f>
        <v>0</v>
      </c>
      <c r="U678" s="245">
        <f>U677</f>
        <v>0</v>
      </c>
      <c r="V678" s="245">
        <f>V677</f>
        <v>0</v>
      </c>
      <c r="W678" s="245">
        <f>W677</f>
        <v>0</v>
      </c>
      <c r="X678" s="245">
        <f>X677</f>
        <v>0</v>
      </c>
      <c r="Y678" s="245">
        <f>Y677</f>
        <v>0</v>
      </c>
      <c r="Z678" s="245">
        <f>Z677</f>
        <v>0</v>
      </c>
      <c r="AA678" s="245">
        <f>AA677</f>
        <v>0</v>
      </c>
      <c r="AB678" s="245">
        <f>AB677</f>
        <v>0</v>
      </c>
      <c r="CH678" s="269"/>
      <c r="CI678" s="269"/>
      <c r="CJ678" s="269"/>
      <c r="CK678" s="269"/>
      <c r="CL678" s="269"/>
      <c r="CM678" s="269"/>
      <c r="CN678" s="269"/>
      <c r="CO678" s="269"/>
      <c r="CP678" s="269"/>
      <c r="CQ678" s="269"/>
      <c r="CR678" s="269"/>
      <c r="CS678" s="269"/>
    </row>
    <row r="679" spans="3:97" ht="12" customHeight="1" x14ac:dyDescent="0.3">
      <c r="C679" s="495">
        <f>C611</f>
        <v>397</v>
      </c>
      <c r="D679" s="242">
        <f>Input!D42</f>
        <v>0</v>
      </c>
      <c r="E679" s="244">
        <f>Input!E42</f>
        <v>0</v>
      </c>
      <c r="F679" s="244">
        <f>Input!F42</f>
        <v>0</v>
      </c>
      <c r="G679" s="244">
        <f>Input!G42</f>
        <v>0</v>
      </c>
      <c r="H679" s="244">
        <f>Input!H42</f>
        <v>0</v>
      </c>
      <c r="I679" s="244">
        <f>Input!I42</f>
        <v>0</v>
      </c>
      <c r="J679" s="244">
        <f>Input!J42</f>
        <v>0</v>
      </c>
      <c r="K679" s="244">
        <f>Input!K42</f>
        <v>0</v>
      </c>
      <c r="L679" s="244">
        <f>Input!L42</f>
        <v>0</v>
      </c>
      <c r="M679" s="244">
        <f>Input!M42</f>
        <v>0</v>
      </c>
      <c r="N679" s="244">
        <f>Input!N42</f>
        <v>0</v>
      </c>
      <c r="O679" s="244">
        <f>Input!O42</f>
        <v>0</v>
      </c>
      <c r="P679" s="244">
        <f>Input!P42</f>
        <v>0</v>
      </c>
      <c r="Q679" s="244">
        <f>Input!Q42</f>
        <v>0</v>
      </c>
      <c r="R679" s="244">
        <f>Input!R42</f>
        <v>0</v>
      </c>
      <c r="S679" s="244">
        <f>Input!S42</f>
        <v>0</v>
      </c>
      <c r="T679" s="244">
        <f>Input!T42</f>
        <v>0</v>
      </c>
      <c r="U679" s="244">
        <f>Input!U42</f>
        <v>0</v>
      </c>
      <c r="V679" s="244">
        <f>Input!V42</f>
        <v>0</v>
      </c>
      <c r="W679" s="244">
        <f>Input!W42</f>
        <v>0</v>
      </c>
      <c r="X679" s="244">
        <f>Input!X42</f>
        <v>0</v>
      </c>
      <c r="Y679" s="244">
        <f>Input!Y42</f>
        <v>0</v>
      </c>
      <c r="Z679" s="244">
        <f>Input!Z42</f>
        <v>0</v>
      </c>
      <c r="AA679" s="244">
        <f>Input!AA42</f>
        <v>0</v>
      </c>
      <c r="AB679" s="244">
        <f>Input!AB42</f>
        <v>0</v>
      </c>
      <c r="CH679" s="269"/>
      <c r="CI679" s="269"/>
      <c r="CJ679" s="269"/>
      <c r="CK679" s="269"/>
      <c r="CL679" s="269"/>
      <c r="CM679" s="269"/>
      <c r="CN679" s="269"/>
      <c r="CO679" s="269"/>
      <c r="CP679" s="269"/>
      <c r="CQ679" s="269"/>
      <c r="CR679" s="269"/>
      <c r="CS679" s="269"/>
    </row>
    <row r="680" spans="3:97" ht="12" customHeight="1" x14ac:dyDescent="0.3">
      <c r="C680" s="495">
        <f>C612</f>
        <v>425</v>
      </c>
      <c r="D680" s="244">
        <f>D679</f>
        <v>0</v>
      </c>
      <c r="E680" s="243">
        <f>E679</f>
        <v>0</v>
      </c>
      <c r="F680" s="243">
        <f>F679</f>
        <v>0</v>
      </c>
      <c r="G680" s="243">
        <f>G679</f>
        <v>0</v>
      </c>
      <c r="H680" s="243">
        <f>H679</f>
        <v>0</v>
      </c>
      <c r="I680" s="243">
        <f>I679</f>
        <v>0</v>
      </c>
      <c r="J680" s="243">
        <f>J679</f>
        <v>0</v>
      </c>
      <c r="K680" s="243">
        <f>K679</f>
        <v>0</v>
      </c>
      <c r="L680" s="243">
        <f>L679</f>
        <v>0</v>
      </c>
      <c r="M680" s="243">
        <f>M679</f>
        <v>0</v>
      </c>
      <c r="N680" s="243">
        <f>N679</f>
        <v>0</v>
      </c>
      <c r="O680" s="243">
        <f>O679</f>
        <v>0</v>
      </c>
      <c r="P680" s="243">
        <f>P679</f>
        <v>0</v>
      </c>
      <c r="Q680" s="243">
        <f>Q679</f>
        <v>0</v>
      </c>
      <c r="R680" s="243">
        <f>R679</f>
        <v>0</v>
      </c>
      <c r="S680" s="243">
        <f>S679</f>
        <v>0</v>
      </c>
      <c r="T680" s="243">
        <f>T679</f>
        <v>0</v>
      </c>
      <c r="U680" s="243">
        <f>U679</f>
        <v>0</v>
      </c>
      <c r="V680" s="243">
        <f>V679</f>
        <v>0</v>
      </c>
      <c r="W680" s="243">
        <f>W679</f>
        <v>0</v>
      </c>
      <c r="X680" s="243">
        <f>X679</f>
        <v>0</v>
      </c>
      <c r="Y680" s="243">
        <f>Y679</f>
        <v>0</v>
      </c>
      <c r="Z680" s="243">
        <f>Z679</f>
        <v>0</v>
      </c>
      <c r="AA680" s="243">
        <f>AA679</f>
        <v>0</v>
      </c>
      <c r="AB680" s="243">
        <f>AB679</f>
        <v>0</v>
      </c>
      <c r="CH680" s="269"/>
      <c r="CI680" s="269"/>
      <c r="CJ680" s="269"/>
      <c r="CK680" s="269"/>
      <c r="CL680" s="269"/>
      <c r="CM680" s="269"/>
      <c r="CN680" s="269"/>
      <c r="CO680" s="269"/>
      <c r="CP680" s="269"/>
      <c r="CQ680" s="269"/>
      <c r="CR680" s="269"/>
      <c r="CS680" s="269"/>
    </row>
    <row r="681" spans="3:97" ht="12" customHeight="1" x14ac:dyDescent="0.3">
      <c r="C681" s="495">
        <f>C613</f>
        <v>456</v>
      </c>
      <c r="D681" s="244">
        <f>D680</f>
        <v>0</v>
      </c>
      <c r="E681" s="243">
        <f>E680</f>
        <v>0</v>
      </c>
      <c r="F681" s="243">
        <f>F680</f>
        <v>0</v>
      </c>
      <c r="G681" s="243">
        <f>G680</f>
        <v>0</v>
      </c>
      <c r="H681" s="243">
        <f>H680</f>
        <v>0</v>
      </c>
      <c r="I681" s="243">
        <f>I680</f>
        <v>0</v>
      </c>
      <c r="J681" s="243">
        <f>J680</f>
        <v>0</v>
      </c>
      <c r="K681" s="243">
        <f>K680</f>
        <v>0</v>
      </c>
      <c r="L681" s="243">
        <f>L680</f>
        <v>0</v>
      </c>
      <c r="M681" s="243">
        <f>M680</f>
        <v>0</v>
      </c>
      <c r="N681" s="243">
        <f>N680</f>
        <v>0</v>
      </c>
      <c r="O681" s="243">
        <f>O680</f>
        <v>0</v>
      </c>
      <c r="P681" s="243">
        <f>P680</f>
        <v>0</v>
      </c>
      <c r="Q681" s="243">
        <f>Q680</f>
        <v>0</v>
      </c>
      <c r="R681" s="243">
        <f>R680</f>
        <v>0</v>
      </c>
      <c r="S681" s="243">
        <f>S680</f>
        <v>0</v>
      </c>
      <c r="T681" s="243">
        <f>T680</f>
        <v>0</v>
      </c>
      <c r="U681" s="243">
        <f>U680</f>
        <v>0</v>
      </c>
      <c r="V681" s="243">
        <f>V680</f>
        <v>0</v>
      </c>
      <c r="W681" s="243">
        <f>W680</f>
        <v>0</v>
      </c>
      <c r="X681" s="243">
        <f>X680</f>
        <v>0</v>
      </c>
      <c r="Y681" s="243">
        <f>Y680</f>
        <v>0</v>
      </c>
      <c r="Z681" s="243">
        <f>Z680</f>
        <v>0</v>
      </c>
      <c r="AA681" s="243">
        <f>AA680</f>
        <v>0</v>
      </c>
      <c r="AB681" s="243">
        <f>AB680</f>
        <v>0</v>
      </c>
      <c r="CH681" s="269"/>
      <c r="CI681" s="269"/>
      <c r="CJ681" s="269"/>
      <c r="CK681" s="269"/>
      <c r="CL681" s="269"/>
      <c r="CM681" s="269"/>
      <c r="CN681" s="269"/>
      <c r="CO681" s="269"/>
      <c r="CP681" s="269"/>
      <c r="CQ681" s="269"/>
      <c r="CR681" s="269"/>
      <c r="CS681" s="269"/>
    </row>
    <row r="682" spans="3:97" ht="12" customHeight="1" x14ac:dyDescent="0.3">
      <c r="C682" s="495">
        <f>C614</f>
        <v>486</v>
      </c>
      <c r="D682" s="244">
        <f>D681</f>
        <v>0</v>
      </c>
      <c r="E682" s="243">
        <f>E681</f>
        <v>0</v>
      </c>
      <c r="F682" s="243">
        <f>F681</f>
        <v>0</v>
      </c>
      <c r="G682" s="243">
        <f>G681</f>
        <v>0</v>
      </c>
      <c r="H682" s="243">
        <f>H681</f>
        <v>0</v>
      </c>
      <c r="I682" s="243">
        <f>I681</f>
        <v>0</v>
      </c>
      <c r="J682" s="243">
        <f>J681</f>
        <v>0</v>
      </c>
      <c r="K682" s="243">
        <f>K681</f>
        <v>0</v>
      </c>
      <c r="L682" s="243">
        <f>L681</f>
        <v>0</v>
      </c>
      <c r="M682" s="243">
        <f>M681</f>
        <v>0</v>
      </c>
      <c r="N682" s="243">
        <f>N681</f>
        <v>0</v>
      </c>
      <c r="O682" s="243">
        <f>O681</f>
        <v>0</v>
      </c>
      <c r="P682" s="243">
        <f>P681</f>
        <v>0</v>
      </c>
      <c r="Q682" s="243">
        <f>Q681</f>
        <v>0</v>
      </c>
      <c r="R682" s="243">
        <f>R681</f>
        <v>0</v>
      </c>
      <c r="S682" s="243">
        <f>S681</f>
        <v>0</v>
      </c>
      <c r="T682" s="243">
        <f>T681</f>
        <v>0</v>
      </c>
      <c r="U682" s="243">
        <f>U681</f>
        <v>0</v>
      </c>
      <c r="V682" s="243">
        <f>V681</f>
        <v>0</v>
      </c>
      <c r="W682" s="243">
        <f>W681</f>
        <v>0</v>
      </c>
      <c r="X682" s="243">
        <f>X681</f>
        <v>0</v>
      </c>
      <c r="Y682" s="243">
        <f>Y681</f>
        <v>0</v>
      </c>
      <c r="Z682" s="243">
        <f>Z681</f>
        <v>0</v>
      </c>
      <c r="AA682" s="243">
        <f>AA681</f>
        <v>0</v>
      </c>
      <c r="AB682" s="243">
        <f>AB681</f>
        <v>0</v>
      </c>
      <c r="CH682" s="269"/>
      <c r="CI682" s="269"/>
      <c r="CJ682" s="269"/>
      <c r="CK682" s="269"/>
      <c r="CL682" s="269"/>
      <c r="CM682" s="269"/>
      <c r="CN682" s="269"/>
      <c r="CO682" s="269"/>
      <c r="CP682" s="269"/>
      <c r="CQ682" s="269"/>
      <c r="CR682" s="269"/>
      <c r="CS682" s="269"/>
    </row>
    <row r="683" spans="3:97" ht="12" customHeight="1" x14ac:dyDescent="0.3">
      <c r="C683" s="495">
        <f>C615</f>
        <v>517</v>
      </c>
      <c r="D683" s="244">
        <f>D682</f>
        <v>0</v>
      </c>
      <c r="E683" s="243">
        <f>E682</f>
        <v>0</v>
      </c>
      <c r="F683" s="243">
        <f>F682</f>
        <v>0</v>
      </c>
      <c r="G683" s="243">
        <f>G682</f>
        <v>0</v>
      </c>
      <c r="H683" s="243">
        <f>H682</f>
        <v>0</v>
      </c>
      <c r="I683" s="243">
        <f>I682</f>
        <v>0</v>
      </c>
      <c r="J683" s="243">
        <f>J682</f>
        <v>0</v>
      </c>
      <c r="K683" s="243">
        <f>K682</f>
        <v>0</v>
      </c>
      <c r="L683" s="243">
        <f>L682</f>
        <v>0</v>
      </c>
      <c r="M683" s="243">
        <f>M682</f>
        <v>0</v>
      </c>
      <c r="N683" s="243">
        <f>N682</f>
        <v>0</v>
      </c>
      <c r="O683" s="243">
        <f>O682</f>
        <v>0</v>
      </c>
      <c r="P683" s="243">
        <f>P682</f>
        <v>0</v>
      </c>
      <c r="Q683" s="243">
        <f>Q682</f>
        <v>0</v>
      </c>
      <c r="R683" s="243">
        <f>R682</f>
        <v>0</v>
      </c>
      <c r="S683" s="243">
        <f>S682</f>
        <v>0</v>
      </c>
      <c r="T683" s="243">
        <f>T682</f>
        <v>0</v>
      </c>
      <c r="U683" s="243">
        <f>U682</f>
        <v>0</v>
      </c>
      <c r="V683" s="243">
        <f>V682</f>
        <v>0</v>
      </c>
      <c r="W683" s="243">
        <f>W682</f>
        <v>0</v>
      </c>
      <c r="X683" s="243">
        <f>X682</f>
        <v>0</v>
      </c>
      <c r="Y683" s="243">
        <f>Y682</f>
        <v>0</v>
      </c>
      <c r="Z683" s="243">
        <f>Z682</f>
        <v>0</v>
      </c>
      <c r="AA683" s="243">
        <f>AA682</f>
        <v>0</v>
      </c>
      <c r="AB683" s="243">
        <f>AB682</f>
        <v>0</v>
      </c>
      <c r="CH683" s="269"/>
      <c r="CI683" s="269"/>
      <c r="CJ683" s="269"/>
      <c r="CK683" s="269"/>
      <c r="CL683" s="269"/>
      <c r="CM683" s="269"/>
      <c r="CN683" s="269"/>
      <c r="CO683" s="269"/>
      <c r="CP683" s="269"/>
      <c r="CQ683" s="269"/>
      <c r="CR683" s="269"/>
      <c r="CS683" s="269"/>
    </row>
    <row r="684" spans="3:97" ht="12" customHeight="1" x14ac:dyDescent="0.3">
      <c r="C684" s="495">
        <f>C616</f>
        <v>547</v>
      </c>
      <c r="D684" s="244">
        <f>D683</f>
        <v>0</v>
      </c>
      <c r="E684" s="243">
        <f>E683</f>
        <v>0</v>
      </c>
      <c r="F684" s="243">
        <f>F683</f>
        <v>0</v>
      </c>
      <c r="G684" s="243">
        <f>G683</f>
        <v>0</v>
      </c>
      <c r="H684" s="243">
        <f>H683</f>
        <v>0</v>
      </c>
      <c r="I684" s="243">
        <f>I683</f>
        <v>0</v>
      </c>
      <c r="J684" s="243">
        <f>J683</f>
        <v>0</v>
      </c>
      <c r="K684" s="243">
        <f>K683</f>
        <v>0</v>
      </c>
      <c r="L684" s="243">
        <f>L683</f>
        <v>0</v>
      </c>
      <c r="M684" s="243">
        <f>M683</f>
        <v>0</v>
      </c>
      <c r="N684" s="243">
        <f>N683</f>
        <v>0</v>
      </c>
      <c r="O684" s="243">
        <f>O683</f>
        <v>0</v>
      </c>
      <c r="P684" s="243">
        <f>P683</f>
        <v>0</v>
      </c>
      <c r="Q684" s="243">
        <f>Q683</f>
        <v>0</v>
      </c>
      <c r="R684" s="243">
        <f>R683</f>
        <v>0</v>
      </c>
      <c r="S684" s="243">
        <f>S683</f>
        <v>0</v>
      </c>
      <c r="T684" s="243">
        <f>T683</f>
        <v>0</v>
      </c>
      <c r="U684" s="243">
        <f>U683</f>
        <v>0</v>
      </c>
      <c r="V684" s="243">
        <f>V683</f>
        <v>0</v>
      </c>
      <c r="W684" s="243">
        <f>W683</f>
        <v>0</v>
      </c>
      <c r="X684" s="243">
        <f>X683</f>
        <v>0</v>
      </c>
      <c r="Y684" s="243">
        <f>Y683</f>
        <v>0</v>
      </c>
      <c r="Z684" s="243">
        <f>Z683</f>
        <v>0</v>
      </c>
      <c r="AA684" s="243">
        <f>AA683</f>
        <v>0</v>
      </c>
      <c r="AB684" s="243">
        <f>AB683</f>
        <v>0</v>
      </c>
      <c r="CH684" s="269"/>
      <c r="CI684" s="269"/>
      <c r="CJ684" s="269"/>
      <c r="CK684" s="269"/>
      <c r="CL684" s="269"/>
      <c r="CM684" s="269"/>
      <c r="CN684" s="269"/>
      <c r="CO684" s="269"/>
      <c r="CP684" s="269"/>
      <c r="CQ684" s="269"/>
      <c r="CR684" s="269"/>
      <c r="CS684" s="269"/>
    </row>
    <row r="685" spans="3:97" ht="12" customHeight="1" x14ac:dyDescent="0.3">
      <c r="C685" s="495">
        <f>C617</f>
        <v>578</v>
      </c>
      <c r="D685" s="244">
        <f>D684</f>
        <v>0</v>
      </c>
      <c r="E685" s="243">
        <f>E684</f>
        <v>0</v>
      </c>
      <c r="F685" s="243">
        <f>F684</f>
        <v>0</v>
      </c>
      <c r="G685" s="243">
        <f>G684</f>
        <v>0</v>
      </c>
      <c r="H685" s="243">
        <f>H684</f>
        <v>0</v>
      </c>
      <c r="I685" s="243">
        <f>I684</f>
        <v>0</v>
      </c>
      <c r="J685" s="243">
        <f>J684</f>
        <v>0</v>
      </c>
      <c r="K685" s="243">
        <f>K684</f>
        <v>0</v>
      </c>
      <c r="L685" s="243">
        <f>L684</f>
        <v>0</v>
      </c>
      <c r="M685" s="243">
        <f>M684</f>
        <v>0</v>
      </c>
      <c r="N685" s="243">
        <f>N684</f>
        <v>0</v>
      </c>
      <c r="O685" s="243">
        <f>O684</f>
        <v>0</v>
      </c>
      <c r="P685" s="243">
        <f>P684</f>
        <v>0</v>
      </c>
      <c r="Q685" s="243">
        <f>Q684</f>
        <v>0</v>
      </c>
      <c r="R685" s="243">
        <f>R684</f>
        <v>0</v>
      </c>
      <c r="S685" s="243">
        <f>S684</f>
        <v>0</v>
      </c>
      <c r="T685" s="243">
        <f>T684</f>
        <v>0</v>
      </c>
      <c r="U685" s="243">
        <f>U684</f>
        <v>0</v>
      </c>
      <c r="V685" s="243">
        <f>V684</f>
        <v>0</v>
      </c>
      <c r="W685" s="243">
        <f>W684</f>
        <v>0</v>
      </c>
      <c r="X685" s="243">
        <f>X684</f>
        <v>0</v>
      </c>
      <c r="Y685" s="243">
        <f>Y684</f>
        <v>0</v>
      </c>
      <c r="Z685" s="243">
        <f>Z684</f>
        <v>0</v>
      </c>
      <c r="AA685" s="243">
        <f>AA684</f>
        <v>0</v>
      </c>
      <c r="AB685" s="243">
        <f>AB684</f>
        <v>0</v>
      </c>
      <c r="CH685" s="269"/>
      <c r="CI685" s="269"/>
      <c r="CJ685" s="269"/>
      <c r="CK685" s="269"/>
      <c r="CL685" s="269"/>
      <c r="CM685" s="269"/>
      <c r="CN685" s="269"/>
      <c r="CO685" s="269"/>
      <c r="CP685" s="269"/>
      <c r="CQ685" s="269"/>
      <c r="CR685" s="269"/>
      <c r="CS685" s="269"/>
    </row>
    <row r="686" spans="3:97" ht="12" customHeight="1" x14ac:dyDescent="0.3">
      <c r="C686" s="495">
        <f>C618</f>
        <v>609</v>
      </c>
      <c r="D686" s="244">
        <f>D685</f>
        <v>0</v>
      </c>
      <c r="E686" s="243">
        <f>E685</f>
        <v>0</v>
      </c>
      <c r="F686" s="243">
        <f>F685</f>
        <v>0</v>
      </c>
      <c r="G686" s="243">
        <f>G685</f>
        <v>0</v>
      </c>
      <c r="H686" s="243">
        <f>H685</f>
        <v>0</v>
      </c>
      <c r="I686" s="243">
        <f>I685</f>
        <v>0</v>
      </c>
      <c r="J686" s="243">
        <f>J685</f>
        <v>0</v>
      </c>
      <c r="K686" s="243">
        <f>K685</f>
        <v>0</v>
      </c>
      <c r="L686" s="243">
        <f>L685</f>
        <v>0</v>
      </c>
      <c r="M686" s="243">
        <f>M685</f>
        <v>0</v>
      </c>
      <c r="N686" s="243">
        <f>N685</f>
        <v>0</v>
      </c>
      <c r="O686" s="243">
        <f>O685</f>
        <v>0</v>
      </c>
      <c r="P686" s="243">
        <f>P685</f>
        <v>0</v>
      </c>
      <c r="Q686" s="243">
        <f>Q685</f>
        <v>0</v>
      </c>
      <c r="R686" s="243">
        <f>R685</f>
        <v>0</v>
      </c>
      <c r="S686" s="243">
        <f>S685</f>
        <v>0</v>
      </c>
      <c r="T686" s="243">
        <f>T685</f>
        <v>0</v>
      </c>
      <c r="U686" s="243">
        <f>U685</f>
        <v>0</v>
      </c>
      <c r="V686" s="243">
        <f>V685</f>
        <v>0</v>
      </c>
      <c r="W686" s="243">
        <f>W685</f>
        <v>0</v>
      </c>
      <c r="X686" s="243">
        <f>X685</f>
        <v>0</v>
      </c>
      <c r="Y686" s="243">
        <f>Y685</f>
        <v>0</v>
      </c>
      <c r="Z686" s="243">
        <f>Z685</f>
        <v>0</v>
      </c>
      <c r="AA686" s="243">
        <f>AA685</f>
        <v>0</v>
      </c>
      <c r="AB686" s="243">
        <f>AB685</f>
        <v>0</v>
      </c>
      <c r="CH686" s="269"/>
      <c r="CI686" s="269"/>
      <c r="CJ686" s="269"/>
      <c r="CK686" s="269"/>
      <c r="CL686" s="269"/>
      <c r="CM686" s="269"/>
      <c r="CN686" s="269"/>
      <c r="CO686" s="269"/>
      <c r="CP686" s="269"/>
      <c r="CQ686" s="269"/>
      <c r="CR686" s="269"/>
      <c r="CS686" s="269"/>
    </row>
    <row r="687" spans="3:97" ht="12" customHeight="1" x14ac:dyDescent="0.3">
      <c r="C687" s="495">
        <f>C619</f>
        <v>639</v>
      </c>
      <c r="D687" s="244">
        <f>D686</f>
        <v>0</v>
      </c>
      <c r="E687" s="243">
        <f>E686</f>
        <v>0</v>
      </c>
      <c r="F687" s="243">
        <f>F686</f>
        <v>0</v>
      </c>
      <c r="G687" s="243">
        <f>G686</f>
        <v>0</v>
      </c>
      <c r="H687" s="243">
        <f>H686</f>
        <v>0</v>
      </c>
      <c r="I687" s="243">
        <f>I686</f>
        <v>0</v>
      </c>
      <c r="J687" s="243">
        <f>J686</f>
        <v>0</v>
      </c>
      <c r="K687" s="243">
        <f>K686</f>
        <v>0</v>
      </c>
      <c r="L687" s="243">
        <f>L686</f>
        <v>0</v>
      </c>
      <c r="M687" s="243">
        <f>M686</f>
        <v>0</v>
      </c>
      <c r="N687" s="243">
        <f>N686</f>
        <v>0</v>
      </c>
      <c r="O687" s="243">
        <f>O686</f>
        <v>0</v>
      </c>
      <c r="P687" s="243">
        <f>P686</f>
        <v>0</v>
      </c>
      <c r="Q687" s="243">
        <f>Q686</f>
        <v>0</v>
      </c>
      <c r="R687" s="243">
        <f>R686</f>
        <v>0</v>
      </c>
      <c r="S687" s="243">
        <f>S686</f>
        <v>0</v>
      </c>
      <c r="T687" s="243">
        <f>T686</f>
        <v>0</v>
      </c>
      <c r="U687" s="243">
        <f>U686</f>
        <v>0</v>
      </c>
      <c r="V687" s="243">
        <f>V686</f>
        <v>0</v>
      </c>
      <c r="W687" s="243">
        <f>W686</f>
        <v>0</v>
      </c>
      <c r="X687" s="243">
        <f>X686</f>
        <v>0</v>
      </c>
      <c r="Y687" s="243">
        <f>Y686</f>
        <v>0</v>
      </c>
      <c r="Z687" s="243">
        <f>Z686</f>
        <v>0</v>
      </c>
      <c r="AA687" s="243">
        <f>AA686</f>
        <v>0</v>
      </c>
      <c r="AB687" s="243">
        <f>AB686</f>
        <v>0</v>
      </c>
      <c r="CH687" s="269"/>
      <c r="CI687" s="269"/>
      <c r="CJ687" s="269"/>
      <c r="CK687" s="269"/>
      <c r="CL687" s="269"/>
      <c r="CM687" s="269"/>
      <c r="CN687" s="269"/>
      <c r="CO687" s="269"/>
      <c r="CP687" s="269"/>
      <c r="CQ687" s="269"/>
      <c r="CR687" s="269"/>
      <c r="CS687" s="269"/>
    </row>
    <row r="688" spans="3:97" ht="12" customHeight="1" x14ac:dyDescent="0.3">
      <c r="C688" s="495">
        <f>C620</f>
        <v>670</v>
      </c>
      <c r="D688" s="244">
        <f>D687</f>
        <v>0</v>
      </c>
      <c r="E688" s="243">
        <f>E687</f>
        <v>0</v>
      </c>
      <c r="F688" s="243">
        <f>F687</f>
        <v>0</v>
      </c>
      <c r="G688" s="243">
        <f>G687</f>
        <v>0</v>
      </c>
      <c r="H688" s="243">
        <f>H687</f>
        <v>0</v>
      </c>
      <c r="I688" s="243">
        <f>I687</f>
        <v>0</v>
      </c>
      <c r="J688" s="243">
        <f>J687</f>
        <v>0</v>
      </c>
      <c r="K688" s="243">
        <f>K687</f>
        <v>0</v>
      </c>
      <c r="L688" s="243">
        <f>L687</f>
        <v>0</v>
      </c>
      <c r="M688" s="243">
        <f>M687</f>
        <v>0</v>
      </c>
      <c r="N688" s="243">
        <f>N687</f>
        <v>0</v>
      </c>
      <c r="O688" s="243">
        <f>O687</f>
        <v>0</v>
      </c>
      <c r="P688" s="243">
        <f>P687</f>
        <v>0</v>
      </c>
      <c r="Q688" s="243">
        <f>Q687</f>
        <v>0</v>
      </c>
      <c r="R688" s="243">
        <f>R687</f>
        <v>0</v>
      </c>
      <c r="S688" s="243">
        <f>S687</f>
        <v>0</v>
      </c>
      <c r="T688" s="243">
        <f>T687</f>
        <v>0</v>
      </c>
      <c r="U688" s="243">
        <f>U687</f>
        <v>0</v>
      </c>
      <c r="V688" s="243">
        <f>V687</f>
        <v>0</v>
      </c>
      <c r="W688" s="243">
        <f>W687</f>
        <v>0</v>
      </c>
      <c r="X688" s="243">
        <f>X687</f>
        <v>0</v>
      </c>
      <c r="Y688" s="243">
        <f>Y687</f>
        <v>0</v>
      </c>
      <c r="Z688" s="243">
        <f>Z687</f>
        <v>0</v>
      </c>
      <c r="AA688" s="243">
        <f>AA687</f>
        <v>0</v>
      </c>
      <c r="AB688" s="243">
        <f>AB687</f>
        <v>0</v>
      </c>
      <c r="CH688" s="269"/>
      <c r="CI688" s="269"/>
      <c r="CJ688" s="269"/>
      <c r="CK688" s="269"/>
      <c r="CL688" s="269"/>
      <c r="CM688" s="269"/>
      <c r="CN688" s="269"/>
      <c r="CO688" s="269"/>
      <c r="CP688" s="269"/>
      <c r="CQ688" s="269"/>
      <c r="CR688" s="269"/>
      <c r="CS688" s="269"/>
    </row>
    <row r="689" spans="3:97" ht="12" customHeight="1" x14ac:dyDescent="0.3">
      <c r="C689" s="495">
        <f>C621</f>
        <v>700</v>
      </c>
      <c r="D689" s="244">
        <f>D688</f>
        <v>0</v>
      </c>
      <c r="E689" s="243">
        <f>E688</f>
        <v>0</v>
      </c>
      <c r="F689" s="243">
        <f>F688</f>
        <v>0</v>
      </c>
      <c r="G689" s="243">
        <f>G688</f>
        <v>0</v>
      </c>
      <c r="H689" s="243">
        <f>H688</f>
        <v>0</v>
      </c>
      <c r="I689" s="243">
        <f>I688</f>
        <v>0</v>
      </c>
      <c r="J689" s="243">
        <f>J688</f>
        <v>0</v>
      </c>
      <c r="K689" s="243">
        <f>K688</f>
        <v>0</v>
      </c>
      <c r="L689" s="243">
        <f>L688</f>
        <v>0</v>
      </c>
      <c r="M689" s="243">
        <f>M688</f>
        <v>0</v>
      </c>
      <c r="N689" s="243">
        <f>N688</f>
        <v>0</v>
      </c>
      <c r="O689" s="243">
        <f>O688</f>
        <v>0</v>
      </c>
      <c r="P689" s="243">
        <f>P688</f>
        <v>0</v>
      </c>
      <c r="Q689" s="243">
        <f>Q688</f>
        <v>0</v>
      </c>
      <c r="R689" s="243">
        <f>R688</f>
        <v>0</v>
      </c>
      <c r="S689" s="243">
        <f>S688</f>
        <v>0</v>
      </c>
      <c r="T689" s="243">
        <f>T688</f>
        <v>0</v>
      </c>
      <c r="U689" s="243">
        <f>U688</f>
        <v>0</v>
      </c>
      <c r="V689" s="243">
        <f>V688</f>
        <v>0</v>
      </c>
      <c r="W689" s="243">
        <f>W688</f>
        <v>0</v>
      </c>
      <c r="X689" s="243">
        <f>X688</f>
        <v>0</v>
      </c>
      <c r="Y689" s="243">
        <f>Y688</f>
        <v>0</v>
      </c>
      <c r="Z689" s="243">
        <f>Z688</f>
        <v>0</v>
      </c>
      <c r="AA689" s="243">
        <f>AA688</f>
        <v>0</v>
      </c>
      <c r="AB689" s="243">
        <f>AB688</f>
        <v>0</v>
      </c>
      <c r="CH689" s="269"/>
      <c r="CI689" s="269"/>
      <c r="CJ689" s="269"/>
      <c r="CK689" s="269"/>
      <c r="CL689" s="269"/>
      <c r="CM689" s="269"/>
      <c r="CN689" s="269"/>
      <c r="CO689" s="269"/>
      <c r="CP689" s="269"/>
      <c r="CQ689" s="269"/>
      <c r="CR689" s="269"/>
      <c r="CS689" s="269"/>
    </row>
    <row r="690" spans="3:97" ht="12" customHeight="1" thickBot="1" x14ac:dyDescent="0.35">
      <c r="C690" s="496">
        <f>C622</f>
        <v>731</v>
      </c>
      <c r="D690" s="245">
        <f>D689</f>
        <v>0</v>
      </c>
      <c r="E690" s="245">
        <f>E689</f>
        <v>0</v>
      </c>
      <c r="F690" s="245">
        <f>F689</f>
        <v>0</v>
      </c>
      <c r="G690" s="245">
        <f>G689</f>
        <v>0</v>
      </c>
      <c r="H690" s="245">
        <f>H689</f>
        <v>0</v>
      </c>
      <c r="I690" s="245">
        <f>I689</f>
        <v>0</v>
      </c>
      <c r="J690" s="245">
        <f>J689</f>
        <v>0</v>
      </c>
      <c r="K690" s="245">
        <f>K689</f>
        <v>0</v>
      </c>
      <c r="L690" s="245">
        <f>L689</f>
        <v>0</v>
      </c>
      <c r="M690" s="245">
        <f>M689</f>
        <v>0</v>
      </c>
      <c r="N690" s="245">
        <f>N689</f>
        <v>0</v>
      </c>
      <c r="O690" s="245">
        <f>O689</f>
        <v>0</v>
      </c>
      <c r="P690" s="245">
        <f>P689</f>
        <v>0</v>
      </c>
      <c r="Q690" s="245">
        <f>Q689</f>
        <v>0</v>
      </c>
      <c r="R690" s="245">
        <f>R689</f>
        <v>0</v>
      </c>
      <c r="S690" s="245">
        <f>S689</f>
        <v>0</v>
      </c>
      <c r="T690" s="245">
        <f>T689</f>
        <v>0</v>
      </c>
      <c r="U690" s="245">
        <f>U689</f>
        <v>0</v>
      </c>
      <c r="V690" s="245">
        <f>V689</f>
        <v>0</v>
      </c>
      <c r="W690" s="245">
        <f>W689</f>
        <v>0</v>
      </c>
      <c r="X690" s="245">
        <f>X689</f>
        <v>0</v>
      </c>
      <c r="Y690" s="245">
        <f>Y689</f>
        <v>0</v>
      </c>
      <c r="Z690" s="245">
        <f>Z689</f>
        <v>0</v>
      </c>
      <c r="AA690" s="245">
        <f>AA689</f>
        <v>0</v>
      </c>
      <c r="AB690" s="245">
        <f>AB689</f>
        <v>0</v>
      </c>
      <c r="CH690" s="269"/>
      <c r="CI690" s="269"/>
      <c r="CJ690" s="269"/>
      <c r="CK690" s="269"/>
      <c r="CL690" s="269"/>
      <c r="CM690" s="269"/>
      <c r="CN690" s="269"/>
      <c r="CO690" s="269"/>
      <c r="CP690" s="269"/>
      <c r="CQ690" s="269"/>
      <c r="CR690" s="269"/>
      <c r="CS690" s="269"/>
    </row>
    <row r="691" spans="3:97" ht="12" customHeight="1" x14ac:dyDescent="0.3">
      <c r="C691" s="495">
        <f>C623</f>
        <v>762</v>
      </c>
      <c r="D691" s="242">
        <f>Input!D43</f>
        <v>0</v>
      </c>
      <c r="E691" s="244">
        <f>Input!E43</f>
        <v>0</v>
      </c>
      <c r="F691" s="244">
        <f>Input!F43</f>
        <v>0</v>
      </c>
      <c r="G691" s="244">
        <f>Input!G43</f>
        <v>0</v>
      </c>
      <c r="H691" s="244">
        <f>Input!H43</f>
        <v>0</v>
      </c>
      <c r="I691" s="244">
        <f>Input!I43</f>
        <v>0</v>
      </c>
      <c r="J691" s="244">
        <f>Input!J43</f>
        <v>0</v>
      </c>
      <c r="K691" s="244">
        <f>Input!K43</f>
        <v>0</v>
      </c>
      <c r="L691" s="244">
        <f>Input!L43</f>
        <v>0</v>
      </c>
      <c r="M691" s="244">
        <f>Input!M43</f>
        <v>0</v>
      </c>
      <c r="N691" s="244">
        <f>Input!N43</f>
        <v>0</v>
      </c>
      <c r="O691" s="244">
        <f>Input!O43</f>
        <v>0</v>
      </c>
      <c r="P691" s="244">
        <f>Input!P43</f>
        <v>0</v>
      </c>
      <c r="Q691" s="244">
        <f>Input!Q43</f>
        <v>0</v>
      </c>
      <c r="R691" s="244">
        <f>Input!R43</f>
        <v>0</v>
      </c>
      <c r="S691" s="244">
        <f>Input!S43</f>
        <v>0</v>
      </c>
      <c r="T691" s="244">
        <f>Input!T43</f>
        <v>0</v>
      </c>
      <c r="U691" s="244">
        <f>Input!U43</f>
        <v>0</v>
      </c>
      <c r="V691" s="244">
        <f>Input!V43</f>
        <v>0</v>
      </c>
      <c r="W691" s="244">
        <f>Input!W43</f>
        <v>0</v>
      </c>
      <c r="X691" s="244">
        <f>Input!X43</f>
        <v>0</v>
      </c>
      <c r="Y691" s="244">
        <f>Input!Y43</f>
        <v>0</v>
      </c>
      <c r="Z691" s="244">
        <f>Input!Z43</f>
        <v>0</v>
      </c>
      <c r="AA691" s="244">
        <f>Input!AA43</f>
        <v>0</v>
      </c>
      <c r="AB691" s="244">
        <f>Input!AB43</f>
        <v>0</v>
      </c>
      <c r="CH691" s="269"/>
      <c r="CI691" s="269"/>
      <c r="CJ691" s="269"/>
      <c r="CK691" s="269"/>
      <c r="CL691" s="269"/>
      <c r="CM691" s="269"/>
      <c r="CN691" s="269"/>
      <c r="CO691" s="269"/>
      <c r="CP691" s="269"/>
      <c r="CQ691" s="269"/>
      <c r="CR691" s="269"/>
      <c r="CS691" s="269"/>
    </row>
    <row r="692" spans="3:97" ht="12" customHeight="1" x14ac:dyDescent="0.3">
      <c r="C692" s="495">
        <f>C624</f>
        <v>790</v>
      </c>
      <c r="D692" s="244">
        <f>D691</f>
        <v>0</v>
      </c>
      <c r="E692" s="243">
        <f>E691</f>
        <v>0</v>
      </c>
      <c r="F692" s="243">
        <f>F691</f>
        <v>0</v>
      </c>
      <c r="G692" s="243">
        <f>G691</f>
        <v>0</v>
      </c>
      <c r="H692" s="243">
        <f>H691</f>
        <v>0</v>
      </c>
      <c r="I692" s="243">
        <f>I691</f>
        <v>0</v>
      </c>
      <c r="J692" s="243">
        <f>J691</f>
        <v>0</v>
      </c>
      <c r="K692" s="243">
        <f>K691</f>
        <v>0</v>
      </c>
      <c r="L692" s="243">
        <f>L691</f>
        <v>0</v>
      </c>
      <c r="M692" s="243">
        <f>M691</f>
        <v>0</v>
      </c>
      <c r="N692" s="243">
        <f>N691</f>
        <v>0</v>
      </c>
      <c r="O692" s="243">
        <f>O691</f>
        <v>0</v>
      </c>
      <c r="P692" s="243">
        <f>P691</f>
        <v>0</v>
      </c>
      <c r="Q692" s="243">
        <f>Q691</f>
        <v>0</v>
      </c>
      <c r="R692" s="243">
        <f>R691</f>
        <v>0</v>
      </c>
      <c r="S692" s="243">
        <f>S691</f>
        <v>0</v>
      </c>
      <c r="T692" s="243">
        <f>T691</f>
        <v>0</v>
      </c>
      <c r="U692" s="243">
        <f>U691</f>
        <v>0</v>
      </c>
      <c r="V692" s="243">
        <f>V691</f>
        <v>0</v>
      </c>
      <c r="W692" s="243">
        <f>W691</f>
        <v>0</v>
      </c>
      <c r="X692" s="243">
        <f>X691</f>
        <v>0</v>
      </c>
      <c r="Y692" s="243">
        <f>Y691</f>
        <v>0</v>
      </c>
      <c r="Z692" s="243">
        <f>Z691</f>
        <v>0</v>
      </c>
      <c r="AA692" s="243">
        <f>AA691</f>
        <v>0</v>
      </c>
      <c r="AB692" s="243">
        <f>AB691</f>
        <v>0</v>
      </c>
      <c r="CH692" s="269"/>
      <c r="CI692" s="269"/>
      <c r="CJ692" s="269"/>
      <c r="CK692" s="269"/>
      <c r="CL692" s="269"/>
      <c r="CM692" s="269"/>
      <c r="CN692" s="269"/>
      <c r="CO692" s="269"/>
      <c r="CP692" s="269"/>
      <c r="CQ692" s="269"/>
      <c r="CR692" s="269"/>
      <c r="CS692" s="269"/>
    </row>
    <row r="693" spans="3:97" ht="12" customHeight="1" x14ac:dyDescent="0.3">
      <c r="C693" s="495">
        <f>C625</f>
        <v>821</v>
      </c>
      <c r="D693" s="244">
        <f>D692</f>
        <v>0</v>
      </c>
      <c r="E693" s="243">
        <f>E692</f>
        <v>0</v>
      </c>
      <c r="F693" s="243">
        <f>F692</f>
        <v>0</v>
      </c>
      <c r="G693" s="243">
        <f>G692</f>
        <v>0</v>
      </c>
      <c r="H693" s="243">
        <f>H692</f>
        <v>0</v>
      </c>
      <c r="I693" s="243">
        <f>I692</f>
        <v>0</v>
      </c>
      <c r="J693" s="243">
        <f>J692</f>
        <v>0</v>
      </c>
      <c r="K693" s="243">
        <f>K692</f>
        <v>0</v>
      </c>
      <c r="L693" s="243">
        <f>L692</f>
        <v>0</v>
      </c>
      <c r="M693" s="243">
        <f>M692</f>
        <v>0</v>
      </c>
      <c r="N693" s="243">
        <f>N692</f>
        <v>0</v>
      </c>
      <c r="O693" s="243">
        <f>O692</f>
        <v>0</v>
      </c>
      <c r="P693" s="243">
        <f>P692</f>
        <v>0</v>
      </c>
      <c r="Q693" s="243">
        <f>Q692</f>
        <v>0</v>
      </c>
      <c r="R693" s="243">
        <f>R692</f>
        <v>0</v>
      </c>
      <c r="S693" s="243">
        <f>S692</f>
        <v>0</v>
      </c>
      <c r="T693" s="243">
        <f>T692</f>
        <v>0</v>
      </c>
      <c r="U693" s="243">
        <f>U692</f>
        <v>0</v>
      </c>
      <c r="V693" s="243">
        <f>V692</f>
        <v>0</v>
      </c>
      <c r="W693" s="243">
        <f>W692</f>
        <v>0</v>
      </c>
      <c r="X693" s="243">
        <f>X692</f>
        <v>0</v>
      </c>
      <c r="Y693" s="243">
        <f>Y692</f>
        <v>0</v>
      </c>
      <c r="Z693" s="243">
        <f>Z692</f>
        <v>0</v>
      </c>
      <c r="AA693" s="243">
        <f>AA692</f>
        <v>0</v>
      </c>
      <c r="AB693" s="243">
        <f>AB692</f>
        <v>0</v>
      </c>
      <c r="CH693" s="269"/>
      <c r="CI693" s="269"/>
      <c r="CJ693" s="269"/>
      <c r="CK693" s="269"/>
      <c r="CL693" s="269"/>
      <c r="CM693" s="269"/>
      <c r="CN693" s="269"/>
      <c r="CO693" s="269"/>
      <c r="CP693" s="269"/>
      <c r="CQ693" s="269"/>
      <c r="CR693" s="269"/>
      <c r="CS693" s="269"/>
    </row>
    <row r="694" spans="3:97" ht="12" customHeight="1" x14ac:dyDescent="0.3">
      <c r="C694" s="495">
        <f>C626</f>
        <v>851</v>
      </c>
      <c r="D694" s="244">
        <f>D693</f>
        <v>0</v>
      </c>
      <c r="E694" s="243">
        <f>E693</f>
        <v>0</v>
      </c>
      <c r="F694" s="243">
        <f>F693</f>
        <v>0</v>
      </c>
      <c r="G694" s="243">
        <f>G693</f>
        <v>0</v>
      </c>
      <c r="H694" s="243">
        <f>H693</f>
        <v>0</v>
      </c>
      <c r="I694" s="243">
        <f>I693</f>
        <v>0</v>
      </c>
      <c r="J694" s="243">
        <f>J693</f>
        <v>0</v>
      </c>
      <c r="K694" s="243">
        <f>K693</f>
        <v>0</v>
      </c>
      <c r="L694" s="243">
        <f>L693</f>
        <v>0</v>
      </c>
      <c r="M694" s="243">
        <f>M693</f>
        <v>0</v>
      </c>
      <c r="N694" s="243">
        <f>N693</f>
        <v>0</v>
      </c>
      <c r="O694" s="243">
        <f>O693</f>
        <v>0</v>
      </c>
      <c r="P694" s="243">
        <f>P693</f>
        <v>0</v>
      </c>
      <c r="Q694" s="243">
        <f>Q693</f>
        <v>0</v>
      </c>
      <c r="R694" s="243">
        <f>R693</f>
        <v>0</v>
      </c>
      <c r="S694" s="243">
        <f>S693</f>
        <v>0</v>
      </c>
      <c r="T694" s="243">
        <f>T693</f>
        <v>0</v>
      </c>
      <c r="U694" s="243">
        <f>U693</f>
        <v>0</v>
      </c>
      <c r="V694" s="243">
        <f>V693</f>
        <v>0</v>
      </c>
      <c r="W694" s="243">
        <f>W693</f>
        <v>0</v>
      </c>
      <c r="X694" s="243">
        <f>X693</f>
        <v>0</v>
      </c>
      <c r="Y694" s="243">
        <f>Y693</f>
        <v>0</v>
      </c>
      <c r="Z694" s="243">
        <f>Z693</f>
        <v>0</v>
      </c>
      <c r="AA694" s="243">
        <f>AA693</f>
        <v>0</v>
      </c>
      <c r="AB694" s="243">
        <f>AB693</f>
        <v>0</v>
      </c>
      <c r="CH694" s="269"/>
      <c r="CI694" s="269"/>
      <c r="CJ694" s="269"/>
      <c r="CK694" s="269"/>
      <c r="CL694" s="269"/>
      <c r="CM694" s="269"/>
      <c r="CN694" s="269"/>
      <c r="CO694" s="269"/>
      <c r="CP694" s="269"/>
      <c r="CQ694" s="269"/>
      <c r="CR694" s="269"/>
      <c r="CS694" s="269"/>
    </row>
    <row r="695" spans="3:97" ht="12" customHeight="1" x14ac:dyDescent="0.3">
      <c r="C695" s="495">
        <f>C627</f>
        <v>882</v>
      </c>
      <c r="D695" s="244">
        <f>D694</f>
        <v>0</v>
      </c>
      <c r="E695" s="243">
        <f>E694</f>
        <v>0</v>
      </c>
      <c r="F695" s="243">
        <f>F694</f>
        <v>0</v>
      </c>
      <c r="G695" s="243">
        <f>G694</f>
        <v>0</v>
      </c>
      <c r="H695" s="243">
        <f>H694</f>
        <v>0</v>
      </c>
      <c r="I695" s="243">
        <f>I694</f>
        <v>0</v>
      </c>
      <c r="J695" s="243">
        <f>J694</f>
        <v>0</v>
      </c>
      <c r="K695" s="243">
        <f>K694</f>
        <v>0</v>
      </c>
      <c r="L695" s="243">
        <f>L694</f>
        <v>0</v>
      </c>
      <c r="M695" s="243">
        <f>M694</f>
        <v>0</v>
      </c>
      <c r="N695" s="243">
        <f>N694</f>
        <v>0</v>
      </c>
      <c r="O695" s="243">
        <f>O694</f>
        <v>0</v>
      </c>
      <c r="P695" s="243">
        <f>P694</f>
        <v>0</v>
      </c>
      <c r="Q695" s="243">
        <f>Q694</f>
        <v>0</v>
      </c>
      <c r="R695" s="243">
        <f>R694</f>
        <v>0</v>
      </c>
      <c r="S695" s="243">
        <f>S694</f>
        <v>0</v>
      </c>
      <c r="T695" s="243">
        <f>T694</f>
        <v>0</v>
      </c>
      <c r="U695" s="243">
        <f>U694</f>
        <v>0</v>
      </c>
      <c r="V695" s="243">
        <f>V694</f>
        <v>0</v>
      </c>
      <c r="W695" s="243">
        <f>W694</f>
        <v>0</v>
      </c>
      <c r="X695" s="243">
        <f>X694</f>
        <v>0</v>
      </c>
      <c r="Y695" s="243">
        <f>Y694</f>
        <v>0</v>
      </c>
      <c r="Z695" s="243">
        <f>Z694</f>
        <v>0</v>
      </c>
      <c r="AA695" s="243">
        <f>AA694</f>
        <v>0</v>
      </c>
      <c r="AB695" s="243">
        <f>AB694</f>
        <v>0</v>
      </c>
      <c r="CH695" s="269"/>
      <c r="CI695" s="269"/>
      <c r="CJ695" s="269"/>
      <c r="CK695" s="269"/>
      <c r="CL695" s="269"/>
      <c r="CM695" s="269"/>
      <c r="CN695" s="269"/>
      <c r="CO695" s="269"/>
      <c r="CP695" s="269"/>
      <c r="CQ695" s="269"/>
      <c r="CR695" s="269"/>
      <c r="CS695" s="269"/>
    </row>
    <row r="696" spans="3:97" ht="12" customHeight="1" x14ac:dyDescent="0.3">
      <c r="C696" s="495">
        <f>C628</f>
        <v>912</v>
      </c>
      <c r="D696" s="244">
        <f>D695</f>
        <v>0</v>
      </c>
      <c r="E696" s="243">
        <f>E695</f>
        <v>0</v>
      </c>
      <c r="F696" s="243">
        <f>F695</f>
        <v>0</v>
      </c>
      <c r="G696" s="243">
        <f>G695</f>
        <v>0</v>
      </c>
      <c r="H696" s="243">
        <f>H695</f>
        <v>0</v>
      </c>
      <c r="I696" s="243">
        <f>I695</f>
        <v>0</v>
      </c>
      <c r="J696" s="243">
        <f>J695</f>
        <v>0</v>
      </c>
      <c r="K696" s="243">
        <f>K695</f>
        <v>0</v>
      </c>
      <c r="L696" s="243">
        <f>L695</f>
        <v>0</v>
      </c>
      <c r="M696" s="243">
        <f>M695</f>
        <v>0</v>
      </c>
      <c r="N696" s="243">
        <f>N695</f>
        <v>0</v>
      </c>
      <c r="O696" s="243">
        <f>O695</f>
        <v>0</v>
      </c>
      <c r="P696" s="243">
        <f>P695</f>
        <v>0</v>
      </c>
      <c r="Q696" s="243">
        <f>Q695</f>
        <v>0</v>
      </c>
      <c r="R696" s="243">
        <f>R695</f>
        <v>0</v>
      </c>
      <c r="S696" s="243">
        <f>S695</f>
        <v>0</v>
      </c>
      <c r="T696" s="243">
        <f>T695</f>
        <v>0</v>
      </c>
      <c r="U696" s="243">
        <f>U695</f>
        <v>0</v>
      </c>
      <c r="V696" s="243">
        <f>V695</f>
        <v>0</v>
      </c>
      <c r="W696" s="243">
        <f>W695</f>
        <v>0</v>
      </c>
      <c r="X696" s="243">
        <f>X695</f>
        <v>0</v>
      </c>
      <c r="Y696" s="243">
        <f>Y695</f>
        <v>0</v>
      </c>
      <c r="Z696" s="243">
        <f>Z695</f>
        <v>0</v>
      </c>
      <c r="AA696" s="243">
        <f>AA695</f>
        <v>0</v>
      </c>
      <c r="AB696" s="243">
        <f>AB695</f>
        <v>0</v>
      </c>
      <c r="CH696" s="269"/>
      <c r="CI696" s="269"/>
      <c r="CJ696" s="269"/>
      <c r="CK696" s="269"/>
      <c r="CL696" s="269"/>
      <c r="CM696" s="269"/>
      <c r="CN696" s="269"/>
      <c r="CO696" s="269"/>
      <c r="CP696" s="269"/>
      <c r="CQ696" s="269"/>
      <c r="CR696" s="269"/>
      <c r="CS696" s="269"/>
    </row>
    <row r="697" spans="3:97" ht="12" customHeight="1" x14ac:dyDescent="0.3">
      <c r="C697" s="495">
        <f>C629</f>
        <v>943</v>
      </c>
      <c r="D697" s="244">
        <f>D696</f>
        <v>0</v>
      </c>
      <c r="E697" s="243">
        <f>E696</f>
        <v>0</v>
      </c>
      <c r="F697" s="243">
        <f>F696</f>
        <v>0</v>
      </c>
      <c r="G697" s="243">
        <f>G696</f>
        <v>0</v>
      </c>
      <c r="H697" s="243">
        <f>H696</f>
        <v>0</v>
      </c>
      <c r="I697" s="243">
        <f>I696</f>
        <v>0</v>
      </c>
      <c r="J697" s="243">
        <f>J696</f>
        <v>0</v>
      </c>
      <c r="K697" s="243">
        <f>K696</f>
        <v>0</v>
      </c>
      <c r="L697" s="243">
        <f>L696</f>
        <v>0</v>
      </c>
      <c r="M697" s="243">
        <f>M696</f>
        <v>0</v>
      </c>
      <c r="N697" s="243">
        <f>N696</f>
        <v>0</v>
      </c>
      <c r="O697" s="243">
        <f>O696</f>
        <v>0</v>
      </c>
      <c r="P697" s="243">
        <f>P696</f>
        <v>0</v>
      </c>
      <c r="Q697" s="243">
        <f>Q696</f>
        <v>0</v>
      </c>
      <c r="R697" s="243">
        <f>R696</f>
        <v>0</v>
      </c>
      <c r="S697" s="243">
        <f>S696</f>
        <v>0</v>
      </c>
      <c r="T697" s="243">
        <f>T696</f>
        <v>0</v>
      </c>
      <c r="U697" s="243">
        <f>U696</f>
        <v>0</v>
      </c>
      <c r="V697" s="243">
        <f>V696</f>
        <v>0</v>
      </c>
      <c r="W697" s="243">
        <f>W696</f>
        <v>0</v>
      </c>
      <c r="X697" s="243">
        <f>X696</f>
        <v>0</v>
      </c>
      <c r="Y697" s="243">
        <f>Y696</f>
        <v>0</v>
      </c>
      <c r="Z697" s="243">
        <f>Z696</f>
        <v>0</v>
      </c>
      <c r="AA697" s="243">
        <f>AA696</f>
        <v>0</v>
      </c>
      <c r="AB697" s="243">
        <f>AB696</f>
        <v>0</v>
      </c>
      <c r="CH697" s="269"/>
      <c r="CI697" s="269"/>
      <c r="CJ697" s="269"/>
      <c r="CK697" s="269"/>
      <c r="CL697" s="269"/>
      <c r="CM697" s="269"/>
      <c r="CN697" s="269"/>
      <c r="CO697" s="269"/>
      <c r="CP697" s="269"/>
      <c r="CQ697" s="269"/>
      <c r="CR697" s="269"/>
      <c r="CS697" s="269"/>
    </row>
    <row r="698" spans="3:97" ht="12" customHeight="1" x14ac:dyDescent="0.3">
      <c r="C698" s="495">
        <f>C630</f>
        <v>974</v>
      </c>
      <c r="D698" s="244">
        <f>D697</f>
        <v>0</v>
      </c>
      <c r="E698" s="243">
        <f>E697</f>
        <v>0</v>
      </c>
      <c r="F698" s="243">
        <f>F697</f>
        <v>0</v>
      </c>
      <c r="G698" s="243">
        <f>G697</f>
        <v>0</v>
      </c>
      <c r="H698" s="243">
        <f>H697</f>
        <v>0</v>
      </c>
      <c r="I698" s="243">
        <f>I697</f>
        <v>0</v>
      </c>
      <c r="J698" s="243">
        <f>J697</f>
        <v>0</v>
      </c>
      <c r="K698" s="243">
        <f>K697</f>
        <v>0</v>
      </c>
      <c r="L698" s="243">
        <f>L697</f>
        <v>0</v>
      </c>
      <c r="M698" s="243">
        <f>M697</f>
        <v>0</v>
      </c>
      <c r="N698" s="243">
        <f>N697</f>
        <v>0</v>
      </c>
      <c r="O698" s="243">
        <f>O697</f>
        <v>0</v>
      </c>
      <c r="P698" s="243">
        <f>P697</f>
        <v>0</v>
      </c>
      <c r="Q698" s="243">
        <f>Q697</f>
        <v>0</v>
      </c>
      <c r="R698" s="243">
        <f>R697</f>
        <v>0</v>
      </c>
      <c r="S698" s="243">
        <f>S697</f>
        <v>0</v>
      </c>
      <c r="T698" s="243">
        <f>T697</f>
        <v>0</v>
      </c>
      <c r="U698" s="243">
        <f>U697</f>
        <v>0</v>
      </c>
      <c r="V698" s="243">
        <f>V697</f>
        <v>0</v>
      </c>
      <c r="W698" s="243">
        <f>W697</f>
        <v>0</v>
      </c>
      <c r="X698" s="243">
        <f>X697</f>
        <v>0</v>
      </c>
      <c r="Y698" s="243">
        <f>Y697</f>
        <v>0</v>
      </c>
      <c r="Z698" s="243">
        <f>Z697</f>
        <v>0</v>
      </c>
      <c r="AA698" s="243">
        <f>AA697</f>
        <v>0</v>
      </c>
      <c r="AB698" s="243">
        <f>AB697</f>
        <v>0</v>
      </c>
      <c r="CH698" s="269"/>
      <c r="CI698" s="269"/>
      <c r="CJ698" s="269"/>
      <c r="CK698" s="269"/>
      <c r="CL698" s="269"/>
      <c r="CM698" s="269"/>
      <c r="CN698" s="269"/>
      <c r="CO698" s="269"/>
      <c r="CP698" s="269"/>
      <c r="CQ698" s="269"/>
      <c r="CR698" s="269"/>
      <c r="CS698" s="269"/>
    </row>
    <row r="699" spans="3:97" ht="12" customHeight="1" x14ac:dyDescent="0.3">
      <c r="C699" s="495">
        <f>C631</f>
        <v>1004</v>
      </c>
      <c r="D699" s="244">
        <f>D698</f>
        <v>0</v>
      </c>
      <c r="E699" s="243">
        <f>E698</f>
        <v>0</v>
      </c>
      <c r="F699" s="243">
        <f>F698</f>
        <v>0</v>
      </c>
      <c r="G699" s="243">
        <f>G698</f>
        <v>0</v>
      </c>
      <c r="H699" s="243">
        <f>H698</f>
        <v>0</v>
      </c>
      <c r="I699" s="243">
        <f>I698</f>
        <v>0</v>
      </c>
      <c r="J699" s="243">
        <f>J698</f>
        <v>0</v>
      </c>
      <c r="K699" s="243">
        <f>K698</f>
        <v>0</v>
      </c>
      <c r="L699" s="243">
        <f>L698</f>
        <v>0</v>
      </c>
      <c r="M699" s="243">
        <f>M698</f>
        <v>0</v>
      </c>
      <c r="N699" s="243">
        <f>N698</f>
        <v>0</v>
      </c>
      <c r="O699" s="243">
        <f>O698</f>
        <v>0</v>
      </c>
      <c r="P699" s="243">
        <f>P698</f>
        <v>0</v>
      </c>
      <c r="Q699" s="243">
        <f>Q698</f>
        <v>0</v>
      </c>
      <c r="R699" s="243">
        <f>R698</f>
        <v>0</v>
      </c>
      <c r="S699" s="243">
        <f>S698</f>
        <v>0</v>
      </c>
      <c r="T699" s="243">
        <f>T698</f>
        <v>0</v>
      </c>
      <c r="U699" s="243">
        <f>U698</f>
        <v>0</v>
      </c>
      <c r="V699" s="243">
        <f>V698</f>
        <v>0</v>
      </c>
      <c r="W699" s="243">
        <f>W698</f>
        <v>0</v>
      </c>
      <c r="X699" s="243">
        <f>X698</f>
        <v>0</v>
      </c>
      <c r="Y699" s="243">
        <f>Y698</f>
        <v>0</v>
      </c>
      <c r="Z699" s="243">
        <f>Z698</f>
        <v>0</v>
      </c>
      <c r="AA699" s="243">
        <f>AA698</f>
        <v>0</v>
      </c>
      <c r="AB699" s="243">
        <f>AB698</f>
        <v>0</v>
      </c>
      <c r="CH699" s="269"/>
      <c r="CI699" s="269"/>
      <c r="CJ699" s="269"/>
      <c r="CK699" s="269"/>
      <c r="CL699" s="269"/>
      <c r="CM699" s="269"/>
      <c r="CN699" s="269"/>
      <c r="CO699" s="269"/>
      <c r="CP699" s="269"/>
      <c r="CQ699" s="269"/>
      <c r="CR699" s="269"/>
      <c r="CS699" s="269"/>
    </row>
    <row r="700" spans="3:97" ht="12" customHeight="1" x14ac:dyDescent="0.3">
      <c r="C700" s="495">
        <f>C632</f>
        <v>1035</v>
      </c>
      <c r="D700" s="244">
        <f>D699</f>
        <v>0</v>
      </c>
      <c r="E700" s="243">
        <f>E699</f>
        <v>0</v>
      </c>
      <c r="F700" s="243">
        <f>F699</f>
        <v>0</v>
      </c>
      <c r="G700" s="243">
        <f>G699</f>
        <v>0</v>
      </c>
      <c r="H700" s="243">
        <f>H699</f>
        <v>0</v>
      </c>
      <c r="I700" s="243">
        <f>I699</f>
        <v>0</v>
      </c>
      <c r="J700" s="243">
        <f>J699</f>
        <v>0</v>
      </c>
      <c r="K700" s="243">
        <f>K699</f>
        <v>0</v>
      </c>
      <c r="L700" s="243">
        <f>L699</f>
        <v>0</v>
      </c>
      <c r="M700" s="243">
        <f>M699</f>
        <v>0</v>
      </c>
      <c r="N700" s="243">
        <f>N699</f>
        <v>0</v>
      </c>
      <c r="O700" s="243">
        <f>O699</f>
        <v>0</v>
      </c>
      <c r="P700" s="243">
        <f>P699</f>
        <v>0</v>
      </c>
      <c r="Q700" s="243">
        <f>Q699</f>
        <v>0</v>
      </c>
      <c r="R700" s="243">
        <f>R699</f>
        <v>0</v>
      </c>
      <c r="S700" s="243">
        <f>S699</f>
        <v>0</v>
      </c>
      <c r="T700" s="243">
        <f>T699</f>
        <v>0</v>
      </c>
      <c r="U700" s="243">
        <f>U699</f>
        <v>0</v>
      </c>
      <c r="V700" s="243">
        <f>V699</f>
        <v>0</v>
      </c>
      <c r="W700" s="243">
        <f>W699</f>
        <v>0</v>
      </c>
      <c r="X700" s="243">
        <f>X699</f>
        <v>0</v>
      </c>
      <c r="Y700" s="243">
        <f>Y699</f>
        <v>0</v>
      </c>
      <c r="Z700" s="243">
        <f>Z699</f>
        <v>0</v>
      </c>
      <c r="AA700" s="243">
        <f>AA699</f>
        <v>0</v>
      </c>
      <c r="AB700" s="243">
        <f>AB699</f>
        <v>0</v>
      </c>
      <c r="CH700" s="269"/>
      <c r="CI700" s="269"/>
      <c r="CJ700" s="269"/>
      <c r="CK700" s="269"/>
      <c r="CL700" s="269"/>
      <c r="CM700" s="269"/>
      <c r="CN700" s="269"/>
      <c r="CO700" s="269"/>
      <c r="CP700" s="269"/>
      <c r="CQ700" s="269"/>
      <c r="CR700" s="269"/>
      <c r="CS700" s="269"/>
    </row>
    <row r="701" spans="3:97" ht="12" customHeight="1" x14ac:dyDescent="0.3">
      <c r="C701" s="495">
        <f>C633</f>
        <v>1065</v>
      </c>
      <c r="D701" s="244">
        <f>D700</f>
        <v>0</v>
      </c>
      <c r="E701" s="243">
        <f>E700</f>
        <v>0</v>
      </c>
      <c r="F701" s="243">
        <f>F700</f>
        <v>0</v>
      </c>
      <c r="G701" s="243">
        <f>G700</f>
        <v>0</v>
      </c>
      <c r="H701" s="243">
        <f>H700</f>
        <v>0</v>
      </c>
      <c r="I701" s="243">
        <f>I700</f>
        <v>0</v>
      </c>
      <c r="J701" s="243">
        <f>J700</f>
        <v>0</v>
      </c>
      <c r="K701" s="243">
        <f>K700</f>
        <v>0</v>
      </c>
      <c r="L701" s="243">
        <f>L700</f>
        <v>0</v>
      </c>
      <c r="M701" s="243">
        <f>M700</f>
        <v>0</v>
      </c>
      <c r="N701" s="243">
        <f>N700</f>
        <v>0</v>
      </c>
      <c r="O701" s="243">
        <f>O700</f>
        <v>0</v>
      </c>
      <c r="P701" s="243">
        <f>P700</f>
        <v>0</v>
      </c>
      <c r="Q701" s="243">
        <f>Q700</f>
        <v>0</v>
      </c>
      <c r="R701" s="243">
        <f>R700</f>
        <v>0</v>
      </c>
      <c r="S701" s="243">
        <f>S700</f>
        <v>0</v>
      </c>
      <c r="T701" s="243">
        <f>T700</f>
        <v>0</v>
      </c>
      <c r="U701" s="243">
        <f>U700</f>
        <v>0</v>
      </c>
      <c r="V701" s="243">
        <f>V700</f>
        <v>0</v>
      </c>
      <c r="W701" s="243">
        <f>W700</f>
        <v>0</v>
      </c>
      <c r="X701" s="243">
        <f>X700</f>
        <v>0</v>
      </c>
      <c r="Y701" s="243">
        <f>Y700</f>
        <v>0</v>
      </c>
      <c r="Z701" s="243">
        <f>Z700</f>
        <v>0</v>
      </c>
      <c r="AA701" s="243">
        <f>AA700</f>
        <v>0</v>
      </c>
      <c r="AB701" s="243">
        <f>AB700</f>
        <v>0</v>
      </c>
      <c r="CH701" s="269"/>
      <c r="CI701" s="269"/>
      <c r="CJ701" s="269"/>
      <c r="CK701" s="269"/>
      <c r="CL701" s="269"/>
      <c r="CM701" s="269"/>
      <c r="CN701" s="269"/>
      <c r="CO701" s="269"/>
      <c r="CP701" s="269"/>
      <c r="CQ701" s="269"/>
      <c r="CR701" s="269"/>
      <c r="CS701" s="269"/>
    </row>
    <row r="702" spans="3:97" ht="12" customHeight="1" thickBot="1" x14ac:dyDescent="0.35">
      <c r="C702" s="496">
        <f>C634</f>
        <v>1096</v>
      </c>
      <c r="D702" s="245">
        <f>D701</f>
        <v>0</v>
      </c>
      <c r="E702" s="245">
        <f>E701</f>
        <v>0</v>
      </c>
      <c r="F702" s="245">
        <f>F701</f>
        <v>0</v>
      </c>
      <c r="G702" s="245">
        <f>G701</f>
        <v>0</v>
      </c>
      <c r="H702" s="245">
        <f>H701</f>
        <v>0</v>
      </c>
      <c r="I702" s="245">
        <f>I701</f>
        <v>0</v>
      </c>
      <c r="J702" s="245">
        <f>J701</f>
        <v>0</v>
      </c>
      <c r="K702" s="245">
        <f>K701</f>
        <v>0</v>
      </c>
      <c r="L702" s="245">
        <f>L701</f>
        <v>0</v>
      </c>
      <c r="M702" s="245">
        <f>M701</f>
        <v>0</v>
      </c>
      <c r="N702" s="245">
        <f>N701</f>
        <v>0</v>
      </c>
      <c r="O702" s="245">
        <f>O701</f>
        <v>0</v>
      </c>
      <c r="P702" s="245">
        <f>P701</f>
        <v>0</v>
      </c>
      <c r="Q702" s="245">
        <f>Q701</f>
        <v>0</v>
      </c>
      <c r="R702" s="245">
        <f>R701</f>
        <v>0</v>
      </c>
      <c r="S702" s="245">
        <f>S701</f>
        <v>0</v>
      </c>
      <c r="T702" s="245">
        <f>T701</f>
        <v>0</v>
      </c>
      <c r="U702" s="245">
        <f>U701</f>
        <v>0</v>
      </c>
      <c r="V702" s="245">
        <f>V701</f>
        <v>0</v>
      </c>
      <c r="W702" s="245">
        <f>W701</f>
        <v>0</v>
      </c>
      <c r="X702" s="245">
        <f>X701</f>
        <v>0</v>
      </c>
      <c r="Y702" s="245">
        <f>Y701</f>
        <v>0</v>
      </c>
      <c r="Z702" s="245">
        <f>Z701</f>
        <v>0</v>
      </c>
      <c r="AA702" s="245">
        <f>AA701</f>
        <v>0</v>
      </c>
      <c r="AB702" s="245">
        <f>AB701</f>
        <v>0</v>
      </c>
      <c r="CH702" s="269"/>
      <c r="CI702" s="269"/>
      <c r="CJ702" s="269"/>
      <c r="CK702" s="269"/>
      <c r="CL702" s="269"/>
      <c r="CM702" s="269"/>
      <c r="CN702" s="269"/>
      <c r="CO702" s="269"/>
      <c r="CP702" s="269"/>
      <c r="CQ702" s="269"/>
      <c r="CR702" s="269"/>
      <c r="CS702" s="269"/>
    </row>
    <row r="703" spans="3:97" ht="12" customHeight="1" x14ac:dyDescent="0.3">
      <c r="C703" s="495">
        <f>C635</f>
        <v>1127</v>
      </c>
      <c r="D703" s="854">
        <f>IF(Years="Five",Input!D44,0)</f>
        <v>0</v>
      </c>
      <c r="E703" s="855">
        <f>IF(Years="Five",Input!E44,0)</f>
        <v>0</v>
      </c>
      <c r="F703" s="855">
        <f>IF(Years="Five",Input!F44,0)</f>
        <v>0</v>
      </c>
      <c r="G703" s="855">
        <f>IF(Years="Five",Input!G44,0)</f>
        <v>0</v>
      </c>
      <c r="H703" s="855">
        <f>IF(Years="Five",Input!H44,0)</f>
        <v>0</v>
      </c>
      <c r="I703" s="855">
        <f>IF(Years="Five",Input!I44,0)</f>
        <v>0</v>
      </c>
      <c r="J703" s="855">
        <f>IF(Years="Five",Input!J44,0)</f>
        <v>0</v>
      </c>
      <c r="K703" s="855">
        <f>IF(Years="Five",Input!K44,0)</f>
        <v>0</v>
      </c>
      <c r="L703" s="855">
        <f>IF(Years="Five",Input!L44,0)</f>
        <v>0</v>
      </c>
      <c r="M703" s="855">
        <f>IF(Years="Five",Input!M44,0)</f>
        <v>0</v>
      </c>
      <c r="N703" s="855">
        <f>IF(Years="Five",Input!N44,0)</f>
        <v>0</v>
      </c>
      <c r="O703" s="855">
        <f>IF(Years="Five",Input!O44,0)</f>
        <v>0</v>
      </c>
      <c r="P703" s="855">
        <f>IF(Years="Five",Input!P44,0)</f>
        <v>0</v>
      </c>
      <c r="Q703" s="855">
        <f>IF(Years="Five",Input!Q44,0)</f>
        <v>0</v>
      </c>
      <c r="R703" s="855">
        <f>IF(Years="Five",Input!R44,0)</f>
        <v>0</v>
      </c>
      <c r="S703" s="855">
        <f>IF(Years="Five",Input!S44,0)</f>
        <v>0</v>
      </c>
      <c r="T703" s="855">
        <f>IF(Years="Five",Input!T44,0)</f>
        <v>0</v>
      </c>
      <c r="U703" s="855">
        <f>IF(Years="Five",Input!U44,0)</f>
        <v>0</v>
      </c>
      <c r="V703" s="855">
        <f>IF(Years="Five",Input!V44,0)</f>
        <v>0</v>
      </c>
      <c r="W703" s="855">
        <f>IF(Years="Five",Input!W44,0)</f>
        <v>0</v>
      </c>
      <c r="X703" s="855">
        <f>IF(Years="Five",Input!X44,0)</f>
        <v>0</v>
      </c>
      <c r="Y703" s="855">
        <f>IF(Years="Five",Input!Y44,0)</f>
        <v>0</v>
      </c>
      <c r="Z703" s="855">
        <f>IF(Years="Five",Input!Z44,0)</f>
        <v>0</v>
      </c>
      <c r="AA703" s="855">
        <f>IF(Years="Five",Input!AA44,0)</f>
        <v>0</v>
      </c>
      <c r="AB703" s="856">
        <f>IF(Years="Five",Input!AB44,0)</f>
        <v>0</v>
      </c>
      <c r="CH703" s="269"/>
      <c r="CI703" s="269"/>
      <c r="CJ703" s="269"/>
      <c r="CK703" s="269"/>
      <c r="CL703" s="269"/>
      <c r="CM703" s="269"/>
      <c r="CN703" s="269"/>
      <c r="CO703" s="269"/>
      <c r="CP703" s="269"/>
      <c r="CQ703" s="269"/>
      <c r="CR703" s="269"/>
      <c r="CS703" s="269"/>
    </row>
    <row r="704" spans="3:97" ht="12" customHeight="1" x14ac:dyDescent="0.3">
      <c r="C704" s="495">
        <f>C636</f>
        <v>1155</v>
      </c>
      <c r="D704" s="857">
        <f>D703</f>
        <v>0</v>
      </c>
      <c r="E704" s="858">
        <f>E703</f>
        <v>0</v>
      </c>
      <c r="F704" s="858">
        <f>F703</f>
        <v>0</v>
      </c>
      <c r="G704" s="858">
        <f>G703</f>
        <v>0</v>
      </c>
      <c r="H704" s="858">
        <f>H703</f>
        <v>0</v>
      </c>
      <c r="I704" s="858">
        <f>I703</f>
        <v>0</v>
      </c>
      <c r="J704" s="858">
        <f>J703</f>
        <v>0</v>
      </c>
      <c r="K704" s="858">
        <f>K703</f>
        <v>0</v>
      </c>
      <c r="L704" s="858">
        <f>L703</f>
        <v>0</v>
      </c>
      <c r="M704" s="858">
        <f>M703</f>
        <v>0</v>
      </c>
      <c r="N704" s="858">
        <f>N703</f>
        <v>0</v>
      </c>
      <c r="O704" s="858">
        <f>O703</f>
        <v>0</v>
      </c>
      <c r="P704" s="858">
        <f>P703</f>
        <v>0</v>
      </c>
      <c r="Q704" s="858">
        <f>Q703</f>
        <v>0</v>
      </c>
      <c r="R704" s="858">
        <f>R703</f>
        <v>0</v>
      </c>
      <c r="S704" s="858">
        <f>S703</f>
        <v>0</v>
      </c>
      <c r="T704" s="858">
        <f>T703</f>
        <v>0</v>
      </c>
      <c r="U704" s="858">
        <f>U703</f>
        <v>0</v>
      </c>
      <c r="V704" s="858">
        <f>V703</f>
        <v>0</v>
      </c>
      <c r="W704" s="858">
        <f>W703</f>
        <v>0</v>
      </c>
      <c r="X704" s="858">
        <f>X703</f>
        <v>0</v>
      </c>
      <c r="Y704" s="858">
        <f>Y703</f>
        <v>0</v>
      </c>
      <c r="Z704" s="858">
        <f>Z703</f>
        <v>0</v>
      </c>
      <c r="AA704" s="858">
        <f>AA703</f>
        <v>0</v>
      </c>
      <c r="AB704" s="859">
        <f>AB703</f>
        <v>0</v>
      </c>
      <c r="CH704" s="269"/>
      <c r="CI704" s="269"/>
      <c r="CJ704" s="269"/>
      <c r="CK704" s="269"/>
      <c r="CL704" s="269"/>
      <c r="CM704" s="269"/>
      <c r="CN704" s="269"/>
      <c r="CO704" s="269"/>
      <c r="CP704" s="269"/>
      <c r="CQ704" s="269"/>
      <c r="CR704" s="269"/>
      <c r="CS704" s="269"/>
    </row>
    <row r="705" spans="3:97" ht="12" customHeight="1" x14ac:dyDescent="0.3">
      <c r="C705" s="495">
        <f>C637</f>
        <v>1186</v>
      </c>
      <c r="D705" s="857">
        <f>D704</f>
        <v>0</v>
      </c>
      <c r="E705" s="858">
        <f>E704</f>
        <v>0</v>
      </c>
      <c r="F705" s="858">
        <f>F704</f>
        <v>0</v>
      </c>
      <c r="G705" s="858">
        <f>G704</f>
        <v>0</v>
      </c>
      <c r="H705" s="858">
        <f>H704</f>
        <v>0</v>
      </c>
      <c r="I705" s="858">
        <f>I704</f>
        <v>0</v>
      </c>
      <c r="J705" s="858">
        <f>J704</f>
        <v>0</v>
      </c>
      <c r="K705" s="858">
        <f>K704</f>
        <v>0</v>
      </c>
      <c r="L705" s="858">
        <f>L704</f>
        <v>0</v>
      </c>
      <c r="M705" s="858">
        <f>M704</f>
        <v>0</v>
      </c>
      <c r="N705" s="858">
        <f>N704</f>
        <v>0</v>
      </c>
      <c r="O705" s="858">
        <f>O704</f>
        <v>0</v>
      </c>
      <c r="P705" s="858">
        <f>P704</f>
        <v>0</v>
      </c>
      <c r="Q705" s="858">
        <f>Q704</f>
        <v>0</v>
      </c>
      <c r="R705" s="858">
        <f>R704</f>
        <v>0</v>
      </c>
      <c r="S705" s="858">
        <f>S704</f>
        <v>0</v>
      </c>
      <c r="T705" s="858">
        <f>T704</f>
        <v>0</v>
      </c>
      <c r="U705" s="858">
        <f>U704</f>
        <v>0</v>
      </c>
      <c r="V705" s="858">
        <f>V704</f>
        <v>0</v>
      </c>
      <c r="W705" s="858">
        <f>W704</f>
        <v>0</v>
      </c>
      <c r="X705" s="858">
        <f>X704</f>
        <v>0</v>
      </c>
      <c r="Y705" s="858">
        <f>Y704</f>
        <v>0</v>
      </c>
      <c r="Z705" s="858">
        <f>Z704</f>
        <v>0</v>
      </c>
      <c r="AA705" s="858">
        <f>AA704</f>
        <v>0</v>
      </c>
      <c r="AB705" s="859">
        <f>AB704</f>
        <v>0</v>
      </c>
      <c r="CH705" s="269"/>
      <c r="CI705" s="269"/>
      <c r="CJ705" s="269"/>
      <c r="CK705" s="269"/>
      <c r="CL705" s="269"/>
      <c r="CM705" s="269"/>
      <c r="CN705" s="269"/>
      <c r="CO705" s="269"/>
      <c r="CP705" s="269"/>
      <c r="CQ705" s="269"/>
      <c r="CR705" s="269"/>
      <c r="CS705" s="269"/>
    </row>
    <row r="706" spans="3:97" ht="12" customHeight="1" x14ac:dyDescent="0.3">
      <c r="C706" s="495">
        <f>C638</f>
        <v>1216</v>
      </c>
      <c r="D706" s="857">
        <f>D705</f>
        <v>0</v>
      </c>
      <c r="E706" s="858">
        <f>E705</f>
        <v>0</v>
      </c>
      <c r="F706" s="858">
        <f>F705</f>
        <v>0</v>
      </c>
      <c r="G706" s="858">
        <f>G705</f>
        <v>0</v>
      </c>
      <c r="H706" s="858">
        <f>H705</f>
        <v>0</v>
      </c>
      <c r="I706" s="858">
        <f>I705</f>
        <v>0</v>
      </c>
      <c r="J706" s="858">
        <f>J705</f>
        <v>0</v>
      </c>
      <c r="K706" s="858">
        <f>K705</f>
        <v>0</v>
      </c>
      <c r="L706" s="858">
        <f>L705</f>
        <v>0</v>
      </c>
      <c r="M706" s="858">
        <f>M705</f>
        <v>0</v>
      </c>
      <c r="N706" s="858">
        <f>N705</f>
        <v>0</v>
      </c>
      <c r="O706" s="858">
        <f>O705</f>
        <v>0</v>
      </c>
      <c r="P706" s="858">
        <f>P705</f>
        <v>0</v>
      </c>
      <c r="Q706" s="858">
        <f>Q705</f>
        <v>0</v>
      </c>
      <c r="R706" s="858">
        <f>R705</f>
        <v>0</v>
      </c>
      <c r="S706" s="858">
        <f>S705</f>
        <v>0</v>
      </c>
      <c r="T706" s="858">
        <f>T705</f>
        <v>0</v>
      </c>
      <c r="U706" s="858">
        <f>U705</f>
        <v>0</v>
      </c>
      <c r="V706" s="858">
        <f>V705</f>
        <v>0</v>
      </c>
      <c r="W706" s="858">
        <f>W705</f>
        <v>0</v>
      </c>
      <c r="X706" s="858">
        <f>X705</f>
        <v>0</v>
      </c>
      <c r="Y706" s="858">
        <f>Y705</f>
        <v>0</v>
      </c>
      <c r="Z706" s="858">
        <f>Z705</f>
        <v>0</v>
      </c>
      <c r="AA706" s="858">
        <f>AA705</f>
        <v>0</v>
      </c>
      <c r="AB706" s="859">
        <f>AB705</f>
        <v>0</v>
      </c>
      <c r="CH706" s="269"/>
      <c r="CI706" s="269"/>
      <c r="CJ706" s="269"/>
      <c r="CK706" s="269"/>
      <c r="CL706" s="269"/>
      <c r="CM706" s="269"/>
      <c r="CN706" s="269"/>
      <c r="CO706" s="269"/>
      <c r="CP706" s="269"/>
      <c r="CQ706" s="269"/>
      <c r="CR706" s="269"/>
      <c r="CS706" s="269"/>
    </row>
    <row r="707" spans="3:97" ht="12" customHeight="1" x14ac:dyDescent="0.3">
      <c r="C707" s="495">
        <f>C639</f>
        <v>1247</v>
      </c>
      <c r="D707" s="857">
        <f>D706</f>
        <v>0</v>
      </c>
      <c r="E707" s="858">
        <f>E706</f>
        <v>0</v>
      </c>
      <c r="F707" s="858">
        <f>F706</f>
        <v>0</v>
      </c>
      <c r="G707" s="858">
        <f>G706</f>
        <v>0</v>
      </c>
      <c r="H707" s="858">
        <f>H706</f>
        <v>0</v>
      </c>
      <c r="I707" s="858">
        <f>I706</f>
        <v>0</v>
      </c>
      <c r="J707" s="858">
        <f>J706</f>
        <v>0</v>
      </c>
      <c r="K707" s="858">
        <f>K706</f>
        <v>0</v>
      </c>
      <c r="L707" s="858">
        <f>L706</f>
        <v>0</v>
      </c>
      <c r="M707" s="858">
        <f>M706</f>
        <v>0</v>
      </c>
      <c r="N707" s="858">
        <f>N706</f>
        <v>0</v>
      </c>
      <c r="O707" s="858">
        <f>O706</f>
        <v>0</v>
      </c>
      <c r="P707" s="858">
        <f>P706</f>
        <v>0</v>
      </c>
      <c r="Q707" s="858">
        <f>Q706</f>
        <v>0</v>
      </c>
      <c r="R707" s="858">
        <f>R706</f>
        <v>0</v>
      </c>
      <c r="S707" s="858">
        <f>S706</f>
        <v>0</v>
      </c>
      <c r="T707" s="858">
        <f>T706</f>
        <v>0</v>
      </c>
      <c r="U707" s="858">
        <f>U706</f>
        <v>0</v>
      </c>
      <c r="V707" s="858">
        <f>V706</f>
        <v>0</v>
      </c>
      <c r="W707" s="858">
        <f>W706</f>
        <v>0</v>
      </c>
      <c r="X707" s="858">
        <f>X706</f>
        <v>0</v>
      </c>
      <c r="Y707" s="858">
        <f>Y706</f>
        <v>0</v>
      </c>
      <c r="Z707" s="858">
        <f>Z706</f>
        <v>0</v>
      </c>
      <c r="AA707" s="858">
        <f>AA706</f>
        <v>0</v>
      </c>
      <c r="AB707" s="859">
        <f>AB706</f>
        <v>0</v>
      </c>
      <c r="CH707" s="269"/>
      <c r="CI707" s="269"/>
      <c r="CJ707" s="269"/>
      <c r="CK707" s="269"/>
      <c r="CL707" s="269"/>
      <c r="CM707" s="269"/>
      <c r="CN707" s="269"/>
      <c r="CO707" s="269"/>
      <c r="CP707" s="269"/>
      <c r="CQ707" s="269"/>
      <c r="CR707" s="269"/>
      <c r="CS707" s="269"/>
    </row>
    <row r="708" spans="3:97" ht="12" customHeight="1" x14ac:dyDescent="0.3">
      <c r="C708" s="495">
        <f>C640</f>
        <v>1277</v>
      </c>
      <c r="D708" s="857">
        <f>D707</f>
        <v>0</v>
      </c>
      <c r="E708" s="858">
        <f>E707</f>
        <v>0</v>
      </c>
      <c r="F708" s="858">
        <f>F707</f>
        <v>0</v>
      </c>
      <c r="G708" s="858">
        <f>G707</f>
        <v>0</v>
      </c>
      <c r="H708" s="858">
        <f>H707</f>
        <v>0</v>
      </c>
      <c r="I708" s="858">
        <f>I707</f>
        <v>0</v>
      </c>
      <c r="J708" s="858">
        <f>J707</f>
        <v>0</v>
      </c>
      <c r="K708" s="858">
        <f>K707</f>
        <v>0</v>
      </c>
      <c r="L708" s="858">
        <f>L707</f>
        <v>0</v>
      </c>
      <c r="M708" s="858">
        <f>M707</f>
        <v>0</v>
      </c>
      <c r="N708" s="858">
        <f>N707</f>
        <v>0</v>
      </c>
      <c r="O708" s="858">
        <f>O707</f>
        <v>0</v>
      </c>
      <c r="P708" s="858">
        <f>P707</f>
        <v>0</v>
      </c>
      <c r="Q708" s="858">
        <f>Q707</f>
        <v>0</v>
      </c>
      <c r="R708" s="858">
        <f>R707</f>
        <v>0</v>
      </c>
      <c r="S708" s="858">
        <f>S707</f>
        <v>0</v>
      </c>
      <c r="T708" s="858">
        <f>T707</f>
        <v>0</v>
      </c>
      <c r="U708" s="858">
        <f>U707</f>
        <v>0</v>
      </c>
      <c r="V708" s="858">
        <f>V707</f>
        <v>0</v>
      </c>
      <c r="W708" s="858">
        <f>W707</f>
        <v>0</v>
      </c>
      <c r="X708" s="858">
        <f>X707</f>
        <v>0</v>
      </c>
      <c r="Y708" s="858">
        <f>Y707</f>
        <v>0</v>
      </c>
      <c r="Z708" s="858">
        <f>Z707</f>
        <v>0</v>
      </c>
      <c r="AA708" s="858">
        <f>AA707</f>
        <v>0</v>
      </c>
      <c r="AB708" s="859">
        <f>AB707</f>
        <v>0</v>
      </c>
      <c r="CH708" s="269"/>
      <c r="CI708" s="269"/>
      <c r="CJ708" s="269"/>
      <c r="CK708" s="269"/>
      <c r="CL708" s="269"/>
      <c r="CM708" s="269"/>
      <c r="CN708" s="269"/>
      <c r="CO708" s="269"/>
      <c r="CP708" s="269"/>
      <c r="CQ708" s="269"/>
      <c r="CR708" s="269"/>
      <c r="CS708" s="269"/>
    </row>
    <row r="709" spans="3:97" ht="12" customHeight="1" x14ac:dyDescent="0.3">
      <c r="C709" s="495">
        <f>C641</f>
        <v>1308</v>
      </c>
      <c r="D709" s="857">
        <f>D708</f>
        <v>0</v>
      </c>
      <c r="E709" s="858">
        <f>E708</f>
        <v>0</v>
      </c>
      <c r="F709" s="858">
        <f>F708</f>
        <v>0</v>
      </c>
      <c r="G709" s="858">
        <f>G708</f>
        <v>0</v>
      </c>
      <c r="H709" s="858">
        <f>H708</f>
        <v>0</v>
      </c>
      <c r="I709" s="858">
        <f>I708</f>
        <v>0</v>
      </c>
      <c r="J709" s="858">
        <f>J708</f>
        <v>0</v>
      </c>
      <c r="K709" s="858">
        <f>K708</f>
        <v>0</v>
      </c>
      <c r="L709" s="858">
        <f>L708</f>
        <v>0</v>
      </c>
      <c r="M709" s="858">
        <f>M708</f>
        <v>0</v>
      </c>
      <c r="N709" s="858">
        <f>N708</f>
        <v>0</v>
      </c>
      <c r="O709" s="858">
        <f>O708</f>
        <v>0</v>
      </c>
      <c r="P709" s="858">
        <f>P708</f>
        <v>0</v>
      </c>
      <c r="Q709" s="858">
        <f>Q708</f>
        <v>0</v>
      </c>
      <c r="R709" s="858">
        <f>R708</f>
        <v>0</v>
      </c>
      <c r="S709" s="858">
        <f>S708</f>
        <v>0</v>
      </c>
      <c r="T709" s="858">
        <f>T708</f>
        <v>0</v>
      </c>
      <c r="U709" s="858">
        <f>U708</f>
        <v>0</v>
      </c>
      <c r="V709" s="858">
        <f>V708</f>
        <v>0</v>
      </c>
      <c r="W709" s="858">
        <f>W708</f>
        <v>0</v>
      </c>
      <c r="X709" s="858">
        <f>X708</f>
        <v>0</v>
      </c>
      <c r="Y709" s="858">
        <f>Y708</f>
        <v>0</v>
      </c>
      <c r="Z709" s="858">
        <f>Z708</f>
        <v>0</v>
      </c>
      <c r="AA709" s="858">
        <f>AA708</f>
        <v>0</v>
      </c>
      <c r="AB709" s="859">
        <f>AB708</f>
        <v>0</v>
      </c>
      <c r="CH709" s="269"/>
      <c r="CI709" s="269"/>
      <c r="CJ709" s="269"/>
      <c r="CK709" s="269"/>
      <c r="CL709" s="269"/>
      <c r="CM709" s="269"/>
      <c r="CN709" s="269"/>
      <c r="CO709" s="269"/>
      <c r="CP709" s="269"/>
      <c r="CQ709" s="269"/>
      <c r="CR709" s="269"/>
      <c r="CS709" s="269"/>
    </row>
    <row r="710" spans="3:97" ht="12" customHeight="1" x14ac:dyDescent="0.3">
      <c r="C710" s="495">
        <f>C642</f>
        <v>1339</v>
      </c>
      <c r="D710" s="857">
        <f>D709</f>
        <v>0</v>
      </c>
      <c r="E710" s="858">
        <f>E709</f>
        <v>0</v>
      </c>
      <c r="F710" s="858">
        <f>F709</f>
        <v>0</v>
      </c>
      <c r="G710" s="858">
        <f>G709</f>
        <v>0</v>
      </c>
      <c r="H710" s="858">
        <f>H709</f>
        <v>0</v>
      </c>
      <c r="I710" s="858">
        <f>I709</f>
        <v>0</v>
      </c>
      <c r="J710" s="858">
        <f>J709</f>
        <v>0</v>
      </c>
      <c r="K710" s="858">
        <f>K709</f>
        <v>0</v>
      </c>
      <c r="L710" s="858">
        <f>L709</f>
        <v>0</v>
      </c>
      <c r="M710" s="858">
        <f>M709</f>
        <v>0</v>
      </c>
      <c r="N710" s="858">
        <f>N709</f>
        <v>0</v>
      </c>
      <c r="O710" s="858">
        <f>O709</f>
        <v>0</v>
      </c>
      <c r="P710" s="858">
        <f>P709</f>
        <v>0</v>
      </c>
      <c r="Q710" s="858">
        <f>Q709</f>
        <v>0</v>
      </c>
      <c r="R710" s="858">
        <f>R709</f>
        <v>0</v>
      </c>
      <c r="S710" s="858">
        <f>S709</f>
        <v>0</v>
      </c>
      <c r="T710" s="858">
        <f>T709</f>
        <v>0</v>
      </c>
      <c r="U710" s="858">
        <f>U709</f>
        <v>0</v>
      </c>
      <c r="V710" s="858">
        <f>V709</f>
        <v>0</v>
      </c>
      <c r="W710" s="858">
        <f>W709</f>
        <v>0</v>
      </c>
      <c r="X710" s="858">
        <f>X709</f>
        <v>0</v>
      </c>
      <c r="Y710" s="858">
        <f>Y709</f>
        <v>0</v>
      </c>
      <c r="Z710" s="858">
        <f>Z709</f>
        <v>0</v>
      </c>
      <c r="AA710" s="858">
        <f>AA709</f>
        <v>0</v>
      </c>
      <c r="AB710" s="859">
        <f>AB709</f>
        <v>0</v>
      </c>
      <c r="CH710" s="269"/>
      <c r="CI710" s="269"/>
      <c r="CJ710" s="269"/>
      <c r="CK710" s="269"/>
      <c r="CL710" s="269"/>
      <c r="CM710" s="269"/>
      <c r="CN710" s="269"/>
      <c r="CO710" s="269"/>
      <c r="CP710" s="269"/>
      <c r="CQ710" s="269"/>
      <c r="CR710" s="269"/>
      <c r="CS710" s="269"/>
    </row>
    <row r="711" spans="3:97" ht="12" customHeight="1" x14ac:dyDescent="0.3">
      <c r="C711" s="495">
        <f>C643</f>
        <v>1369</v>
      </c>
      <c r="D711" s="857">
        <f>D710</f>
        <v>0</v>
      </c>
      <c r="E711" s="858">
        <f>E710</f>
        <v>0</v>
      </c>
      <c r="F711" s="858">
        <f>F710</f>
        <v>0</v>
      </c>
      <c r="G711" s="858">
        <f>G710</f>
        <v>0</v>
      </c>
      <c r="H711" s="858">
        <f>H710</f>
        <v>0</v>
      </c>
      <c r="I711" s="858">
        <f>I710</f>
        <v>0</v>
      </c>
      <c r="J711" s="858">
        <f>J710</f>
        <v>0</v>
      </c>
      <c r="K711" s="858">
        <f>K710</f>
        <v>0</v>
      </c>
      <c r="L711" s="858">
        <f>L710</f>
        <v>0</v>
      </c>
      <c r="M711" s="858">
        <f>M710</f>
        <v>0</v>
      </c>
      <c r="N711" s="858">
        <f>N710</f>
        <v>0</v>
      </c>
      <c r="O711" s="858">
        <f>O710</f>
        <v>0</v>
      </c>
      <c r="P711" s="858">
        <f>P710</f>
        <v>0</v>
      </c>
      <c r="Q711" s="858">
        <f>Q710</f>
        <v>0</v>
      </c>
      <c r="R711" s="858">
        <f>R710</f>
        <v>0</v>
      </c>
      <c r="S711" s="858">
        <f>S710</f>
        <v>0</v>
      </c>
      <c r="T711" s="858">
        <f>T710</f>
        <v>0</v>
      </c>
      <c r="U711" s="858">
        <f>U710</f>
        <v>0</v>
      </c>
      <c r="V711" s="858">
        <f>V710</f>
        <v>0</v>
      </c>
      <c r="W711" s="858">
        <f>W710</f>
        <v>0</v>
      </c>
      <c r="X711" s="858">
        <f>X710</f>
        <v>0</v>
      </c>
      <c r="Y711" s="858">
        <f>Y710</f>
        <v>0</v>
      </c>
      <c r="Z711" s="858">
        <f>Z710</f>
        <v>0</v>
      </c>
      <c r="AA711" s="858">
        <f>AA710</f>
        <v>0</v>
      </c>
      <c r="AB711" s="859">
        <f>AB710</f>
        <v>0</v>
      </c>
      <c r="CH711" s="269"/>
      <c r="CI711" s="269"/>
      <c r="CJ711" s="269"/>
      <c r="CK711" s="269"/>
      <c r="CL711" s="269"/>
      <c r="CM711" s="269"/>
      <c r="CN711" s="269"/>
      <c r="CO711" s="269"/>
      <c r="CP711" s="269"/>
      <c r="CQ711" s="269"/>
      <c r="CR711" s="269"/>
      <c r="CS711" s="269"/>
    </row>
    <row r="712" spans="3:97" ht="12" customHeight="1" x14ac:dyDescent="0.3">
      <c r="C712" s="495">
        <f>C644</f>
        <v>1400</v>
      </c>
      <c r="D712" s="857">
        <f>D711</f>
        <v>0</v>
      </c>
      <c r="E712" s="858">
        <f>E711</f>
        <v>0</v>
      </c>
      <c r="F712" s="858">
        <f>F711</f>
        <v>0</v>
      </c>
      <c r="G712" s="858">
        <f>G711</f>
        <v>0</v>
      </c>
      <c r="H712" s="858">
        <f>H711</f>
        <v>0</v>
      </c>
      <c r="I712" s="858">
        <f>I711</f>
        <v>0</v>
      </c>
      <c r="J712" s="858">
        <f>J711</f>
        <v>0</v>
      </c>
      <c r="K712" s="858">
        <f>K711</f>
        <v>0</v>
      </c>
      <c r="L712" s="858">
        <f>L711</f>
        <v>0</v>
      </c>
      <c r="M712" s="858">
        <f>M711</f>
        <v>0</v>
      </c>
      <c r="N712" s="858">
        <f>N711</f>
        <v>0</v>
      </c>
      <c r="O712" s="858">
        <f>O711</f>
        <v>0</v>
      </c>
      <c r="P712" s="858">
        <f>P711</f>
        <v>0</v>
      </c>
      <c r="Q712" s="858">
        <f>Q711</f>
        <v>0</v>
      </c>
      <c r="R712" s="858">
        <f>R711</f>
        <v>0</v>
      </c>
      <c r="S712" s="858">
        <f>S711</f>
        <v>0</v>
      </c>
      <c r="T712" s="858">
        <f>T711</f>
        <v>0</v>
      </c>
      <c r="U712" s="858">
        <f>U711</f>
        <v>0</v>
      </c>
      <c r="V712" s="858">
        <f>V711</f>
        <v>0</v>
      </c>
      <c r="W712" s="858">
        <f>W711</f>
        <v>0</v>
      </c>
      <c r="X712" s="858">
        <f>X711</f>
        <v>0</v>
      </c>
      <c r="Y712" s="858">
        <f>Y711</f>
        <v>0</v>
      </c>
      <c r="Z712" s="858">
        <f>Z711</f>
        <v>0</v>
      </c>
      <c r="AA712" s="858">
        <f>AA711</f>
        <v>0</v>
      </c>
      <c r="AB712" s="859">
        <f>AB711</f>
        <v>0</v>
      </c>
      <c r="CH712" s="269"/>
      <c r="CI712" s="269"/>
      <c r="CJ712" s="269"/>
      <c r="CK712" s="269"/>
      <c r="CL712" s="269"/>
      <c r="CM712" s="269"/>
      <c r="CN712" s="269"/>
      <c r="CO712" s="269"/>
      <c r="CP712" s="269"/>
      <c r="CQ712" s="269"/>
      <c r="CR712" s="269"/>
      <c r="CS712" s="269"/>
    </row>
    <row r="713" spans="3:97" ht="12" customHeight="1" x14ac:dyDescent="0.3">
      <c r="C713" s="495">
        <f>C645</f>
        <v>1430</v>
      </c>
      <c r="D713" s="857">
        <f>D712</f>
        <v>0</v>
      </c>
      <c r="E713" s="858">
        <f>E712</f>
        <v>0</v>
      </c>
      <c r="F713" s="858">
        <f>F712</f>
        <v>0</v>
      </c>
      <c r="G713" s="858">
        <f>G712</f>
        <v>0</v>
      </c>
      <c r="H713" s="858">
        <f>H712</f>
        <v>0</v>
      </c>
      <c r="I713" s="858">
        <f>I712</f>
        <v>0</v>
      </c>
      <c r="J713" s="858">
        <f>J712</f>
        <v>0</v>
      </c>
      <c r="K713" s="858">
        <f>K712</f>
        <v>0</v>
      </c>
      <c r="L713" s="858">
        <f>L712</f>
        <v>0</v>
      </c>
      <c r="M713" s="858">
        <f>M712</f>
        <v>0</v>
      </c>
      <c r="N713" s="858">
        <f>N712</f>
        <v>0</v>
      </c>
      <c r="O713" s="858">
        <f>O712</f>
        <v>0</v>
      </c>
      <c r="P713" s="858">
        <f>P712</f>
        <v>0</v>
      </c>
      <c r="Q713" s="858">
        <f>Q712</f>
        <v>0</v>
      </c>
      <c r="R713" s="858">
        <f>R712</f>
        <v>0</v>
      </c>
      <c r="S713" s="858">
        <f>S712</f>
        <v>0</v>
      </c>
      <c r="T713" s="858">
        <f>T712</f>
        <v>0</v>
      </c>
      <c r="U713" s="858">
        <f>U712</f>
        <v>0</v>
      </c>
      <c r="V713" s="858">
        <f>V712</f>
        <v>0</v>
      </c>
      <c r="W713" s="858">
        <f>W712</f>
        <v>0</v>
      </c>
      <c r="X713" s="858">
        <f>X712</f>
        <v>0</v>
      </c>
      <c r="Y713" s="858">
        <f>Y712</f>
        <v>0</v>
      </c>
      <c r="Z713" s="858">
        <f>Z712</f>
        <v>0</v>
      </c>
      <c r="AA713" s="858">
        <f>AA712</f>
        <v>0</v>
      </c>
      <c r="AB713" s="859">
        <f>AB712</f>
        <v>0</v>
      </c>
      <c r="CH713" s="269"/>
      <c r="CI713" s="269"/>
      <c r="CJ713" s="269"/>
      <c r="CK713" s="269"/>
      <c r="CL713" s="269"/>
      <c r="CM713" s="269"/>
      <c r="CN713" s="269"/>
      <c r="CO713" s="269"/>
      <c r="CP713" s="269"/>
      <c r="CQ713" s="269"/>
      <c r="CR713" s="269"/>
      <c r="CS713" s="269"/>
    </row>
    <row r="714" spans="3:97" ht="12" customHeight="1" thickBot="1" x14ac:dyDescent="0.35">
      <c r="C714" s="496">
        <f>C646</f>
        <v>1461</v>
      </c>
      <c r="D714" s="860">
        <f>D713</f>
        <v>0</v>
      </c>
      <c r="E714" s="861">
        <f>E713</f>
        <v>0</v>
      </c>
      <c r="F714" s="861">
        <f>F713</f>
        <v>0</v>
      </c>
      <c r="G714" s="861">
        <f>G713</f>
        <v>0</v>
      </c>
      <c r="H714" s="861">
        <f>H713</f>
        <v>0</v>
      </c>
      <c r="I714" s="861">
        <f>I713</f>
        <v>0</v>
      </c>
      <c r="J714" s="861">
        <f>J713</f>
        <v>0</v>
      </c>
      <c r="K714" s="861">
        <f>K713</f>
        <v>0</v>
      </c>
      <c r="L714" s="861">
        <f>L713</f>
        <v>0</v>
      </c>
      <c r="M714" s="861">
        <f>M713</f>
        <v>0</v>
      </c>
      <c r="N714" s="861">
        <f>N713</f>
        <v>0</v>
      </c>
      <c r="O714" s="861">
        <f>O713</f>
        <v>0</v>
      </c>
      <c r="P714" s="861">
        <f>P713</f>
        <v>0</v>
      </c>
      <c r="Q714" s="861">
        <f>Q713</f>
        <v>0</v>
      </c>
      <c r="R714" s="861">
        <f>R713</f>
        <v>0</v>
      </c>
      <c r="S714" s="861">
        <f>S713</f>
        <v>0</v>
      </c>
      <c r="T714" s="861">
        <f>T713</f>
        <v>0</v>
      </c>
      <c r="U714" s="861">
        <f>U713</f>
        <v>0</v>
      </c>
      <c r="V714" s="861">
        <f>V713</f>
        <v>0</v>
      </c>
      <c r="W714" s="861">
        <f>W713</f>
        <v>0</v>
      </c>
      <c r="X714" s="861">
        <f>X713</f>
        <v>0</v>
      </c>
      <c r="Y714" s="861">
        <f>Y713</f>
        <v>0</v>
      </c>
      <c r="Z714" s="861">
        <f>Z713</f>
        <v>0</v>
      </c>
      <c r="AA714" s="861">
        <f>AA713</f>
        <v>0</v>
      </c>
      <c r="AB714" s="862">
        <f>AB713</f>
        <v>0</v>
      </c>
      <c r="CH714" s="269"/>
      <c r="CI714" s="269"/>
      <c r="CJ714" s="269"/>
      <c r="CK714" s="269"/>
      <c r="CL714" s="269"/>
      <c r="CM714" s="269"/>
      <c r="CN714" s="269"/>
      <c r="CO714" s="269"/>
      <c r="CP714" s="269"/>
      <c r="CQ714" s="269"/>
      <c r="CR714" s="269"/>
      <c r="CS714" s="269"/>
    </row>
    <row r="715" spans="3:97" ht="12" customHeight="1" x14ac:dyDescent="0.3">
      <c r="C715" s="495">
        <f>C647</f>
        <v>1492</v>
      </c>
      <c r="D715" s="854">
        <f>IF(Years="Five",Input!D45,0)</f>
        <v>0</v>
      </c>
      <c r="E715" s="855">
        <f>IF(Years="Five",Input!E45,0)</f>
        <v>0</v>
      </c>
      <c r="F715" s="855">
        <f>IF(Years="Five",Input!F45,0)</f>
        <v>0</v>
      </c>
      <c r="G715" s="855">
        <f>IF(Years="Five",Input!G45,0)</f>
        <v>0</v>
      </c>
      <c r="H715" s="855">
        <f>IF(Years="Five",Input!H45,0)</f>
        <v>0</v>
      </c>
      <c r="I715" s="855">
        <f>IF(Years="Five",Input!I45,0)</f>
        <v>0</v>
      </c>
      <c r="J715" s="855">
        <f>IF(Years="Five",Input!J45,0)</f>
        <v>0</v>
      </c>
      <c r="K715" s="855">
        <f>IF(Years="Five",Input!K45,0)</f>
        <v>0</v>
      </c>
      <c r="L715" s="855">
        <f>IF(Years="Five",Input!L45,0)</f>
        <v>0</v>
      </c>
      <c r="M715" s="855">
        <f>IF(Years="Five",Input!M45,0)</f>
        <v>0</v>
      </c>
      <c r="N715" s="855">
        <f>IF(Years="Five",Input!N45,0)</f>
        <v>0</v>
      </c>
      <c r="O715" s="855">
        <f>IF(Years="Five",Input!O45,0)</f>
        <v>0</v>
      </c>
      <c r="P715" s="855">
        <f>IF(Years="Five",Input!P45,0)</f>
        <v>0</v>
      </c>
      <c r="Q715" s="855">
        <f>IF(Years="Five",Input!Q45,0)</f>
        <v>0</v>
      </c>
      <c r="R715" s="855">
        <f>IF(Years="Five",Input!R45,0)</f>
        <v>0</v>
      </c>
      <c r="S715" s="855">
        <f>IF(Years="Five",Input!S45,0)</f>
        <v>0</v>
      </c>
      <c r="T715" s="855">
        <f>IF(Years="Five",Input!T45,0)</f>
        <v>0</v>
      </c>
      <c r="U715" s="855">
        <f>IF(Years="Five",Input!U45,0)</f>
        <v>0</v>
      </c>
      <c r="V715" s="855">
        <f>IF(Years="Five",Input!V45,0)</f>
        <v>0</v>
      </c>
      <c r="W715" s="855">
        <f>IF(Years="Five",Input!W45,0)</f>
        <v>0</v>
      </c>
      <c r="X715" s="855">
        <f>IF(Years="Five",Input!X45,0)</f>
        <v>0</v>
      </c>
      <c r="Y715" s="855">
        <f>IF(Years="Five",Input!Y45,0)</f>
        <v>0</v>
      </c>
      <c r="Z715" s="855">
        <f>IF(Years="Five",Input!Z45,0)</f>
        <v>0</v>
      </c>
      <c r="AA715" s="855">
        <f>IF(Years="Five",Input!AA45,0)</f>
        <v>0</v>
      </c>
      <c r="AB715" s="856">
        <f>IF(Years="Five",Input!AB45,0)</f>
        <v>0</v>
      </c>
      <c r="CH715" s="269"/>
      <c r="CI715" s="269"/>
      <c r="CJ715" s="269"/>
      <c r="CK715" s="269"/>
      <c r="CL715" s="269"/>
      <c r="CM715" s="269"/>
      <c r="CN715" s="269"/>
      <c r="CO715" s="269"/>
      <c r="CP715" s="269"/>
      <c r="CQ715" s="269"/>
      <c r="CR715" s="269"/>
      <c r="CS715" s="269"/>
    </row>
    <row r="716" spans="3:97" ht="12" customHeight="1" x14ac:dyDescent="0.3">
      <c r="C716" s="495">
        <f>C648</f>
        <v>1521</v>
      </c>
      <c r="D716" s="857">
        <f>D715</f>
        <v>0</v>
      </c>
      <c r="E716" s="858">
        <f>E715</f>
        <v>0</v>
      </c>
      <c r="F716" s="858">
        <f>F715</f>
        <v>0</v>
      </c>
      <c r="G716" s="858">
        <f>G715</f>
        <v>0</v>
      </c>
      <c r="H716" s="858">
        <f>H715</f>
        <v>0</v>
      </c>
      <c r="I716" s="858">
        <f>I715</f>
        <v>0</v>
      </c>
      <c r="J716" s="858">
        <f>J715</f>
        <v>0</v>
      </c>
      <c r="K716" s="858">
        <f>K715</f>
        <v>0</v>
      </c>
      <c r="L716" s="858">
        <f>L715</f>
        <v>0</v>
      </c>
      <c r="M716" s="858">
        <f>M715</f>
        <v>0</v>
      </c>
      <c r="N716" s="858">
        <f>N715</f>
        <v>0</v>
      </c>
      <c r="O716" s="858">
        <f>O715</f>
        <v>0</v>
      </c>
      <c r="P716" s="858">
        <f>P715</f>
        <v>0</v>
      </c>
      <c r="Q716" s="858">
        <f>Q715</f>
        <v>0</v>
      </c>
      <c r="R716" s="858">
        <f>R715</f>
        <v>0</v>
      </c>
      <c r="S716" s="858">
        <f>S715</f>
        <v>0</v>
      </c>
      <c r="T716" s="858">
        <f>T715</f>
        <v>0</v>
      </c>
      <c r="U716" s="858">
        <f>U715</f>
        <v>0</v>
      </c>
      <c r="V716" s="858">
        <f>V715</f>
        <v>0</v>
      </c>
      <c r="W716" s="858">
        <f>W715</f>
        <v>0</v>
      </c>
      <c r="X716" s="858">
        <f>X715</f>
        <v>0</v>
      </c>
      <c r="Y716" s="858">
        <f>Y715</f>
        <v>0</v>
      </c>
      <c r="Z716" s="858">
        <f>Z715</f>
        <v>0</v>
      </c>
      <c r="AA716" s="858">
        <f>AA715</f>
        <v>0</v>
      </c>
      <c r="AB716" s="859">
        <f>AB715</f>
        <v>0</v>
      </c>
      <c r="CH716" s="269"/>
      <c r="CI716" s="269"/>
      <c r="CJ716" s="269"/>
      <c r="CK716" s="269"/>
      <c r="CL716" s="269"/>
      <c r="CM716" s="269"/>
      <c r="CN716" s="269"/>
      <c r="CO716" s="269"/>
      <c r="CP716" s="269"/>
      <c r="CQ716" s="269"/>
      <c r="CR716" s="269"/>
      <c r="CS716" s="269"/>
    </row>
    <row r="717" spans="3:97" ht="12" customHeight="1" x14ac:dyDescent="0.3">
      <c r="C717" s="495">
        <f>C649</f>
        <v>1552</v>
      </c>
      <c r="D717" s="857">
        <f>D716</f>
        <v>0</v>
      </c>
      <c r="E717" s="858">
        <f>E716</f>
        <v>0</v>
      </c>
      <c r="F717" s="858">
        <f>F716</f>
        <v>0</v>
      </c>
      <c r="G717" s="858">
        <f>G716</f>
        <v>0</v>
      </c>
      <c r="H717" s="858">
        <f>H716</f>
        <v>0</v>
      </c>
      <c r="I717" s="858">
        <f>I716</f>
        <v>0</v>
      </c>
      <c r="J717" s="858">
        <f>J716</f>
        <v>0</v>
      </c>
      <c r="K717" s="858">
        <f>K716</f>
        <v>0</v>
      </c>
      <c r="L717" s="858">
        <f>L716</f>
        <v>0</v>
      </c>
      <c r="M717" s="858">
        <f>M716</f>
        <v>0</v>
      </c>
      <c r="N717" s="858">
        <f>N716</f>
        <v>0</v>
      </c>
      <c r="O717" s="858">
        <f>O716</f>
        <v>0</v>
      </c>
      <c r="P717" s="858">
        <f>P716</f>
        <v>0</v>
      </c>
      <c r="Q717" s="858">
        <f>Q716</f>
        <v>0</v>
      </c>
      <c r="R717" s="858">
        <f>R716</f>
        <v>0</v>
      </c>
      <c r="S717" s="858">
        <f>S716</f>
        <v>0</v>
      </c>
      <c r="T717" s="858">
        <f>T716</f>
        <v>0</v>
      </c>
      <c r="U717" s="858">
        <f>U716</f>
        <v>0</v>
      </c>
      <c r="V717" s="858">
        <f>V716</f>
        <v>0</v>
      </c>
      <c r="W717" s="858">
        <f>W716</f>
        <v>0</v>
      </c>
      <c r="X717" s="858">
        <f>X716</f>
        <v>0</v>
      </c>
      <c r="Y717" s="858">
        <f>Y716</f>
        <v>0</v>
      </c>
      <c r="Z717" s="858">
        <f>Z716</f>
        <v>0</v>
      </c>
      <c r="AA717" s="858">
        <f>AA716</f>
        <v>0</v>
      </c>
      <c r="AB717" s="859">
        <f>AB716</f>
        <v>0</v>
      </c>
      <c r="CH717" s="269"/>
      <c r="CI717" s="269"/>
      <c r="CJ717" s="269"/>
      <c r="CK717" s="269"/>
      <c r="CL717" s="269"/>
      <c r="CM717" s="269"/>
      <c r="CN717" s="269"/>
      <c r="CO717" s="269"/>
      <c r="CP717" s="269"/>
      <c r="CQ717" s="269"/>
      <c r="CR717" s="269"/>
      <c r="CS717" s="269"/>
    </row>
    <row r="718" spans="3:97" ht="12" customHeight="1" x14ac:dyDescent="0.3">
      <c r="C718" s="495">
        <f>C650</f>
        <v>1582</v>
      </c>
      <c r="D718" s="857">
        <f>D717</f>
        <v>0</v>
      </c>
      <c r="E718" s="858">
        <f>E717</f>
        <v>0</v>
      </c>
      <c r="F718" s="858">
        <f>F717</f>
        <v>0</v>
      </c>
      <c r="G718" s="858">
        <f>G717</f>
        <v>0</v>
      </c>
      <c r="H718" s="858">
        <f>H717</f>
        <v>0</v>
      </c>
      <c r="I718" s="858">
        <f>I717</f>
        <v>0</v>
      </c>
      <c r="J718" s="858">
        <f>J717</f>
        <v>0</v>
      </c>
      <c r="K718" s="858">
        <f>K717</f>
        <v>0</v>
      </c>
      <c r="L718" s="858">
        <f>L717</f>
        <v>0</v>
      </c>
      <c r="M718" s="858">
        <f>M717</f>
        <v>0</v>
      </c>
      <c r="N718" s="858">
        <f>N717</f>
        <v>0</v>
      </c>
      <c r="O718" s="858">
        <f>O717</f>
        <v>0</v>
      </c>
      <c r="P718" s="858">
        <f>P717</f>
        <v>0</v>
      </c>
      <c r="Q718" s="858">
        <f>Q717</f>
        <v>0</v>
      </c>
      <c r="R718" s="858">
        <f>R717</f>
        <v>0</v>
      </c>
      <c r="S718" s="858">
        <f>S717</f>
        <v>0</v>
      </c>
      <c r="T718" s="858">
        <f>T717</f>
        <v>0</v>
      </c>
      <c r="U718" s="858">
        <f>U717</f>
        <v>0</v>
      </c>
      <c r="V718" s="858">
        <f>V717</f>
        <v>0</v>
      </c>
      <c r="W718" s="858">
        <f>W717</f>
        <v>0</v>
      </c>
      <c r="X718" s="858">
        <f>X717</f>
        <v>0</v>
      </c>
      <c r="Y718" s="858">
        <f>Y717</f>
        <v>0</v>
      </c>
      <c r="Z718" s="858">
        <f>Z717</f>
        <v>0</v>
      </c>
      <c r="AA718" s="858">
        <f>AA717</f>
        <v>0</v>
      </c>
      <c r="AB718" s="859">
        <f>AB717</f>
        <v>0</v>
      </c>
      <c r="CH718" s="269"/>
      <c r="CI718" s="269"/>
      <c r="CJ718" s="269"/>
      <c r="CK718" s="269"/>
      <c r="CL718" s="269"/>
      <c r="CM718" s="269"/>
      <c r="CN718" s="269"/>
      <c r="CO718" s="269"/>
      <c r="CP718" s="269"/>
      <c r="CQ718" s="269"/>
      <c r="CR718" s="269"/>
      <c r="CS718" s="269"/>
    </row>
    <row r="719" spans="3:97" ht="12" customHeight="1" x14ac:dyDescent="0.3">
      <c r="C719" s="495">
        <f>C651</f>
        <v>1613</v>
      </c>
      <c r="D719" s="857">
        <f>D718</f>
        <v>0</v>
      </c>
      <c r="E719" s="858">
        <f>E718</f>
        <v>0</v>
      </c>
      <c r="F719" s="858">
        <f>F718</f>
        <v>0</v>
      </c>
      <c r="G719" s="858">
        <f>G718</f>
        <v>0</v>
      </c>
      <c r="H719" s="858">
        <f>H718</f>
        <v>0</v>
      </c>
      <c r="I719" s="858">
        <f>I718</f>
        <v>0</v>
      </c>
      <c r="J719" s="858">
        <f>J718</f>
        <v>0</v>
      </c>
      <c r="K719" s="858">
        <f>K718</f>
        <v>0</v>
      </c>
      <c r="L719" s="858">
        <f>L718</f>
        <v>0</v>
      </c>
      <c r="M719" s="858">
        <f>M718</f>
        <v>0</v>
      </c>
      <c r="N719" s="858">
        <f>N718</f>
        <v>0</v>
      </c>
      <c r="O719" s="858">
        <f>O718</f>
        <v>0</v>
      </c>
      <c r="P719" s="858">
        <f>P718</f>
        <v>0</v>
      </c>
      <c r="Q719" s="858">
        <f>Q718</f>
        <v>0</v>
      </c>
      <c r="R719" s="858">
        <f>R718</f>
        <v>0</v>
      </c>
      <c r="S719" s="858">
        <f>S718</f>
        <v>0</v>
      </c>
      <c r="T719" s="858">
        <f>T718</f>
        <v>0</v>
      </c>
      <c r="U719" s="858">
        <f>U718</f>
        <v>0</v>
      </c>
      <c r="V719" s="858">
        <f>V718</f>
        <v>0</v>
      </c>
      <c r="W719" s="858">
        <f>W718</f>
        <v>0</v>
      </c>
      <c r="X719" s="858">
        <f>X718</f>
        <v>0</v>
      </c>
      <c r="Y719" s="858">
        <f>Y718</f>
        <v>0</v>
      </c>
      <c r="Z719" s="858">
        <f>Z718</f>
        <v>0</v>
      </c>
      <c r="AA719" s="858">
        <f>AA718</f>
        <v>0</v>
      </c>
      <c r="AB719" s="859">
        <f>AB718</f>
        <v>0</v>
      </c>
      <c r="CH719" s="269"/>
      <c r="CI719" s="269"/>
      <c r="CJ719" s="269"/>
      <c r="CK719" s="269"/>
      <c r="CL719" s="269"/>
      <c r="CM719" s="269"/>
      <c r="CN719" s="269"/>
      <c r="CO719" s="269"/>
      <c r="CP719" s="269"/>
      <c r="CQ719" s="269"/>
      <c r="CR719" s="269"/>
      <c r="CS719" s="269"/>
    </row>
    <row r="720" spans="3:97" ht="12" customHeight="1" x14ac:dyDescent="0.3">
      <c r="C720" s="495">
        <f>C652</f>
        <v>1643</v>
      </c>
      <c r="D720" s="857">
        <f>D719</f>
        <v>0</v>
      </c>
      <c r="E720" s="858">
        <f>E719</f>
        <v>0</v>
      </c>
      <c r="F720" s="858">
        <f>F719</f>
        <v>0</v>
      </c>
      <c r="G720" s="858">
        <f>G719</f>
        <v>0</v>
      </c>
      <c r="H720" s="858">
        <f>H719</f>
        <v>0</v>
      </c>
      <c r="I720" s="858">
        <f>I719</f>
        <v>0</v>
      </c>
      <c r="J720" s="858">
        <f>J719</f>
        <v>0</v>
      </c>
      <c r="K720" s="858">
        <f>K719</f>
        <v>0</v>
      </c>
      <c r="L720" s="858">
        <f>L719</f>
        <v>0</v>
      </c>
      <c r="M720" s="858">
        <f>M719</f>
        <v>0</v>
      </c>
      <c r="N720" s="858">
        <f>N719</f>
        <v>0</v>
      </c>
      <c r="O720" s="858">
        <f>O719</f>
        <v>0</v>
      </c>
      <c r="P720" s="858">
        <f>P719</f>
        <v>0</v>
      </c>
      <c r="Q720" s="858">
        <f>Q719</f>
        <v>0</v>
      </c>
      <c r="R720" s="858">
        <f>R719</f>
        <v>0</v>
      </c>
      <c r="S720" s="858">
        <f>S719</f>
        <v>0</v>
      </c>
      <c r="T720" s="858">
        <f>T719</f>
        <v>0</v>
      </c>
      <c r="U720" s="858">
        <f>U719</f>
        <v>0</v>
      </c>
      <c r="V720" s="858">
        <f>V719</f>
        <v>0</v>
      </c>
      <c r="W720" s="858">
        <f>W719</f>
        <v>0</v>
      </c>
      <c r="X720" s="858">
        <f>X719</f>
        <v>0</v>
      </c>
      <c r="Y720" s="858">
        <f>Y719</f>
        <v>0</v>
      </c>
      <c r="Z720" s="858">
        <f>Z719</f>
        <v>0</v>
      </c>
      <c r="AA720" s="858">
        <f>AA719</f>
        <v>0</v>
      </c>
      <c r="AB720" s="859">
        <f>AB719</f>
        <v>0</v>
      </c>
      <c r="CH720" s="269"/>
      <c r="CI720" s="269"/>
      <c r="CJ720" s="269"/>
      <c r="CK720" s="269"/>
      <c r="CL720" s="269"/>
      <c r="CM720" s="269"/>
      <c r="CN720" s="269"/>
      <c r="CO720" s="269"/>
      <c r="CP720" s="269"/>
      <c r="CQ720" s="269"/>
      <c r="CR720" s="269"/>
      <c r="CS720" s="269"/>
    </row>
    <row r="721" spans="2:97" ht="12" customHeight="1" x14ac:dyDescent="0.3">
      <c r="C721" s="495">
        <f>C653</f>
        <v>1674</v>
      </c>
      <c r="D721" s="857">
        <f>D720</f>
        <v>0</v>
      </c>
      <c r="E721" s="858">
        <f>E720</f>
        <v>0</v>
      </c>
      <c r="F721" s="858">
        <f>F720</f>
        <v>0</v>
      </c>
      <c r="G721" s="858">
        <f>G720</f>
        <v>0</v>
      </c>
      <c r="H721" s="858">
        <f>H720</f>
        <v>0</v>
      </c>
      <c r="I721" s="858">
        <f>I720</f>
        <v>0</v>
      </c>
      <c r="J721" s="858">
        <f>J720</f>
        <v>0</v>
      </c>
      <c r="K721" s="858">
        <f>K720</f>
        <v>0</v>
      </c>
      <c r="L721" s="858">
        <f>L720</f>
        <v>0</v>
      </c>
      <c r="M721" s="858">
        <f>M720</f>
        <v>0</v>
      </c>
      <c r="N721" s="858">
        <f>N720</f>
        <v>0</v>
      </c>
      <c r="O721" s="858">
        <f>O720</f>
        <v>0</v>
      </c>
      <c r="P721" s="858">
        <f>P720</f>
        <v>0</v>
      </c>
      <c r="Q721" s="858">
        <f>Q720</f>
        <v>0</v>
      </c>
      <c r="R721" s="858">
        <f>R720</f>
        <v>0</v>
      </c>
      <c r="S721" s="858">
        <f>S720</f>
        <v>0</v>
      </c>
      <c r="T721" s="858">
        <f>T720</f>
        <v>0</v>
      </c>
      <c r="U721" s="858">
        <f>U720</f>
        <v>0</v>
      </c>
      <c r="V721" s="858">
        <f>V720</f>
        <v>0</v>
      </c>
      <c r="W721" s="858">
        <f>W720</f>
        <v>0</v>
      </c>
      <c r="X721" s="858">
        <f>X720</f>
        <v>0</v>
      </c>
      <c r="Y721" s="858">
        <f>Y720</f>
        <v>0</v>
      </c>
      <c r="Z721" s="858">
        <f>Z720</f>
        <v>0</v>
      </c>
      <c r="AA721" s="858">
        <f>AA720</f>
        <v>0</v>
      </c>
      <c r="AB721" s="859">
        <f>AB720</f>
        <v>0</v>
      </c>
      <c r="CH721" s="269"/>
      <c r="CI721" s="269"/>
      <c r="CJ721" s="269"/>
      <c r="CK721" s="269"/>
      <c r="CL721" s="269"/>
      <c r="CM721" s="269"/>
      <c r="CN721" s="269"/>
      <c r="CO721" s="269"/>
      <c r="CP721" s="269"/>
      <c r="CQ721" s="269"/>
      <c r="CR721" s="269"/>
      <c r="CS721" s="269"/>
    </row>
    <row r="722" spans="2:97" ht="12" customHeight="1" x14ac:dyDescent="0.3">
      <c r="C722" s="495">
        <f>C654</f>
        <v>1705</v>
      </c>
      <c r="D722" s="857">
        <f>D721</f>
        <v>0</v>
      </c>
      <c r="E722" s="858">
        <f>E721</f>
        <v>0</v>
      </c>
      <c r="F722" s="858">
        <f>F721</f>
        <v>0</v>
      </c>
      <c r="G722" s="858">
        <f>G721</f>
        <v>0</v>
      </c>
      <c r="H722" s="858">
        <f>H721</f>
        <v>0</v>
      </c>
      <c r="I722" s="858">
        <f>I721</f>
        <v>0</v>
      </c>
      <c r="J722" s="858">
        <f>J721</f>
        <v>0</v>
      </c>
      <c r="K722" s="858">
        <f>K721</f>
        <v>0</v>
      </c>
      <c r="L722" s="858">
        <f>L721</f>
        <v>0</v>
      </c>
      <c r="M722" s="858">
        <f>M721</f>
        <v>0</v>
      </c>
      <c r="N722" s="858">
        <f>N721</f>
        <v>0</v>
      </c>
      <c r="O722" s="858">
        <f>O721</f>
        <v>0</v>
      </c>
      <c r="P722" s="858">
        <f>P721</f>
        <v>0</v>
      </c>
      <c r="Q722" s="858">
        <f>Q721</f>
        <v>0</v>
      </c>
      <c r="R722" s="858">
        <f>R721</f>
        <v>0</v>
      </c>
      <c r="S722" s="858">
        <f>S721</f>
        <v>0</v>
      </c>
      <c r="T722" s="858">
        <f>T721</f>
        <v>0</v>
      </c>
      <c r="U722" s="858">
        <f>U721</f>
        <v>0</v>
      </c>
      <c r="V722" s="858">
        <f>V721</f>
        <v>0</v>
      </c>
      <c r="W722" s="858">
        <f>W721</f>
        <v>0</v>
      </c>
      <c r="X722" s="858">
        <f>X721</f>
        <v>0</v>
      </c>
      <c r="Y722" s="858">
        <f>Y721</f>
        <v>0</v>
      </c>
      <c r="Z722" s="858">
        <f>Z721</f>
        <v>0</v>
      </c>
      <c r="AA722" s="858">
        <f>AA721</f>
        <v>0</v>
      </c>
      <c r="AB722" s="859">
        <f>AB721</f>
        <v>0</v>
      </c>
      <c r="CH722" s="269"/>
      <c r="CI722" s="269"/>
      <c r="CJ722" s="269"/>
      <c r="CK722" s="269"/>
      <c r="CL722" s="269"/>
      <c r="CM722" s="269"/>
      <c r="CN722" s="269"/>
      <c r="CO722" s="269"/>
      <c r="CP722" s="269"/>
      <c r="CQ722" s="269"/>
      <c r="CR722" s="269"/>
      <c r="CS722" s="269"/>
    </row>
    <row r="723" spans="2:97" ht="12" customHeight="1" x14ac:dyDescent="0.3">
      <c r="C723" s="495">
        <f>C655</f>
        <v>1735</v>
      </c>
      <c r="D723" s="857">
        <f>D722</f>
        <v>0</v>
      </c>
      <c r="E723" s="858">
        <f>E722</f>
        <v>0</v>
      </c>
      <c r="F723" s="858">
        <f>F722</f>
        <v>0</v>
      </c>
      <c r="G723" s="858">
        <f>G722</f>
        <v>0</v>
      </c>
      <c r="H723" s="858">
        <f>H722</f>
        <v>0</v>
      </c>
      <c r="I723" s="858">
        <f>I722</f>
        <v>0</v>
      </c>
      <c r="J723" s="858">
        <f>J722</f>
        <v>0</v>
      </c>
      <c r="K723" s="858">
        <f>K722</f>
        <v>0</v>
      </c>
      <c r="L723" s="858">
        <f>L722</f>
        <v>0</v>
      </c>
      <c r="M723" s="858">
        <f>M722</f>
        <v>0</v>
      </c>
      <c r="N723" s="858">
        <f>N722</f>
        <v>0</v>
      </c>
      <c r="O723" s="858">
        <f>O722</f>
        <v>0</v>
      </c>
      <c r="P723" s="858">
        <f>P722</f>
        <v>0</v>
      </c>
      <c r="Q723" s="858">
        <f>Q722</f>
        <v>0</v>
      </c>
      <c r="R723" s="858">
        <f>R722</f>
        <v>0</v>
      </c>
      <c r="S723" s="858">
        <f>S722</f>
        <v>0</v>
      </c>
      <c r="T723" s="858">
        <f>T722</f>
        <v>0</v>
      </c>
      <c r="U723" s="858">
        <f>U722</f>
        <v>0</v>
      </c>
      <c r="V723" s="858">
        <f>V722</f>
        <v>0</v>
      </c>
      <c r="W723" s="858">
        <f>W722</f>
        <v>0</v>
      </c>
      <c r="X723" s="858">
        <f>X722</f>
        <v>0</v>
      </c>
      <c r="Y723" s="858">
        <f>Y722</f>
        <v>0</v>
      </c>
      <c r="Z723" s="858">
        <f>Z722</f>
        <v>0</v>
      </c>
      <c r="AA723" s="858">
        <f>AA722</f>
        <v>0</v>
      </c>
      <c r="AB723" s="859">
        <f>AB722</f>
        <v>0</v>
      </c>
      <c r="CH723" s="269"/>
      <c r="CI723" s="269"/>
      <c r="CJ723" s="269"/>
      <c r="CK723" s="269"/>
      <c r="CL723" s="269"/>
      <c r="CM723" s="269"/>
      <c r="CN723" s="269"/>
      <c r="CO723" s="269"/>
      <c r="CP723" s="269"/>
      <c r="CQ723" s="269"/>
      <c r="CR723" s="269"/>
      <c r="CS723" s="269"/>
    </row>
    <row r="724" spans="2:97" ht="12" customHeight="1" x14ac:dyDescent="0.3">
      <c r="C724" s="495">
        <f>C656</f>
        <v>1766</v>
      </c>
      <c r="D724" s="857">
        <f>D723</f>
        <v>0</v>
      </c>
      <c r="E724" s="858">
        <f>E723</f>
        <v>0</v>
      </c>
      <c r="F724" s="858">
        <f>F723</f>
        <v>0</v>
      </c>
      <c r="G724" s="858">
        <f>G723</f>
        <v>0</v>
      </c>
      <c r="H724" s="858">
        <f>H723</f>
        <v>0</v>
      </c>
      <c r="I724" s="858">
        <f>I723</f>
        <v>0</v>
      </c>
      <c r="J724" s="858">
        <f>J723</f>
        <v>0</v>
      </c>
      <c r="K724" s="858">
        <f>K723</f>
        <v>0</v>
      </c>
      <c r="L724" s="858">
        <f>L723</f>
        <v>0</v>
      </c>
      <c r="M724" s="858">
        <f>M723</f>
        <v>0</v>
      </c>
      <c r="N724" s="858">
        <f>N723</f>
        <v>0</v>
      </c>
      <c r="O724" s="858">
        <f>O723</f>
        <v>0</v>
      </c>
      <c r="P724" s="858">
        <f>P723</f>
        <v>0</v>
      </c>
      <c r="Q724" s="858">
        <f>Q723</f>
        <v>0</v>
      </c>
      <c r="R724" s="858">
        <f>R723</f>
        <v>0</v>
      </c>
      <c r="S724" s="858">
        <f>S723</f>
        <v>0</v>
      </c>
      <c r="T724" s="858">
        <f>T723</f>
        <v>0</v>
      </c>
      <c r="U724" s="858">
        <f>U723</f>
        <v>0</v>
      </c>
      <c r="V724" s="858">
        <f>V723</f>
        <v>0</v>
      </c>
      <c r="W724" s="858">
        <f>W723</f>
        <v>0</v>
      </c>
      <c r="X724" s="858">
        <f>X723</f>
        <v>0</v>
      </c>
      <c r="Y724" s="858">
        <f>Y723</f>
        <v>0</v>
      </c>
      <c r="Z724" s="858">
        <f>Z723</f>
        <v>0</v>
      </c>
      <c r="AA724" s="858">
        <f>AA723</f>
        <v>0</v>
      </c>
      <c r="AB724" s="859">
        <f>AB723</f>
        <v>0</v>
      </c>
      <c r="CH724" s="269"/>
      <c r="CI724" s="269"/>
      <c r="CJ724" s="269"/>
      <c r="CK724" s="269"/>
      <c r="CL724" s="269"/>
      <c r="CM724" s="269"/>
      <c r="CN724" s="269"/>
      <c r="CO724" s="269"/>
      <c r="CP724" s="269"/>
      <c r="CQ724" s="269"/>
      <c r="CR724" s="269"/>
      <c r="CS724" s="269"/>
    </row>
    <row r="725" spans="2:97" ht="12" customHeight="1" x14ac:dyDescent="0.3">
      <c r="C725" s="495">
        <f>C657</f>
        <v>1796</v>
      </c>
      <c r="D725" s="857">
        <f>D724</f>
        <v>0</v>
      </c>
      <c r="E725" s="858">
        <f>E724</f>
        <v>0</v>
      </c>
      <c r="F725" s="858">
        <f>F724</f>
        <v>0</v>
      </c>
      <c r="G725" s="858">
        <f>G724</f>
        <v>0</v>
      </c>
      <c r="H725" s="858">
        <f>H724</f>
        <v>0</v>
      </c>
      <c r="I725" s="858">
        <f>I724</f>
        <v>0</v>
      </c>
      <c r="J725" s="858">
        <f>J724</f>
        <v>0</v>
      </c>
      <c r="K725" s="858">
        <f>K724</f>
        <v>0</v>
      </c>
      <c r="L725" s="858">
        <f>L724</f>
        <v>0</v>
      </c>
      <c r="M725" s="858">
        <f>M724</f>
        <v>0</v>
      </c>
      <c r="N725" s="858">
        <f>N724</f>
        <v>0</v>
      </c>
      <c r="O725" s="858">
        <f>O724</f>
        <v>0</v>
      </c>
      <c r="P725" s="858">
        <f>P724</f>
        <v>0</v>
      </c>
      <c r="Q725" s="858">
        <f>Q724</f>
        <v>0</v>
      </c>
      <c r="R725" s="858">
        <f>R724</f>
        <v>0</v>
      </c>
      <c r="S725" s="858">
        <f>S724</f>
        <v>0</v>
      </c>
      <c r="T725" s="858">
        <f>T724</f>
        <v>0</v>
      </c>
      <c r="U725" s="858">
        <f>U724</f>
        <v>0</v>
      </c>
      <c r="V725" s="858">
        <f>V724</f>
        <v>0</v>
      </c>
      <c r="W725" s="858">
        <f>W724</f>
        <v>0</v>
      </c>
      <c r="X725" s="858">
        <f>X724</f>
        <v>0</v>
      </c>
      <c r="Y725" s="858">
        <f>Y724</f>
        <v>0</v>
      </c>
      <c r="Z725" s="858">
        <f>Z724</f>
        <v>0</v>
      </c>
      <c r="AA725" s="858">
        <f>AA724</f>
        <v>0</v>
      </c>
      <c r="AB725" s="859">
        <f>AB724</f>
        <v>0</v>
      </c>
      <c r="CH725" s="269"/>
      <c r="CI725" s="269"/>
      <c r="CJ725" s="269"/>
      <c r="CK725" s="269"/>
      <c r="CL725" s="269"/>
      <c r="CM725" s="269"/>
      <c r="CN725" s="269"/>
      <c r="CO725" s="269"/>
      <c r="CP725" s="269"/>
      <c r="CQ725" s="269"/>
      <c r="CR725" s="269"/>
      <c r="CS725" s="269"/>
    </row>
    <row r="726" spans="2:97" ht="12" customHeight="1" thickBot="1" x14ac:dyDescent="0.35">
      <c r="C726" s="496">
        <f>C658</f>
        <v>1827</v>
      </c>
      <c r="D726" s="860">
        <f>D725</f>
        <v>0</v>
      </c>
      <c r="E726" s="861">
        <f>E725</f>
        <v>0</v>
      </c>
      <c r="F726" s="861">
        <f>F725</f>
        <v>0</v>
      </c>
      <c r="G726" s="861">
        <f>G725</f>
        <v>0</v>
      </c>
      <c r="H726" s="861">
        <f>H725</f>
        <v>0</v>
      </c>
      <c r="I726" s="861">
        <f>I725</f>
        <v>0</v>
      </c>
      <c r="J726" s="861">
        <f>J725</f>
        <v>0</v>
      </c>
      <c r="K726" s="861">
        <f>K725</f>
        <v>0</v>
      </c>
      <c r="L726" s="861">
        <f>L725</f>
        <v>0</v>
      </c>
      <c r="M726" s="861">
        <f>M725</f>
        <v>0</v>
      </c>
      <c r="N726" s="861">
        <f>N725</f>
        <v>0</v>
      </c>
      <c r="O726" s="861">
        <f>O725</f>
        <v>0</v>
      </c>
      <c r="P726" s="861">
        <f>P725</f>
        <v>0</v>
      </c>
      <c r="Q726" s="861">
        <f>Q725</f>
        <v>0</v>
      </c>
      <c r="R726" s="861">
        <f>R725</f>
        <v>0</v>
      </c>
      <c r="S726" s="861">
        <f>S725</f>
        <v>0</v>
      </c>
      <c r="T726" s="861">
        <f>T725</f>
        <v>0</v>
      </c>
      <c r="U726" s="861">
        <f>U725</f>
        <v>0</v>
      </c>
      <c r="V726" s="861">
        <f>V725</f>
        <v>0</v>
      </c>
      <c r="W726" s="861">
        <f>W725</f>
        <v>0</v>
      </c>
      <c r="X726" s="861">
        <f>X725</f>
        <v>0</v>
      </c>
      <c r="Y726" s="861">
        <f>Y725</f>
        <v>0</v>
      </c>
      <c r="Z726" s="861">
        <f>Z725</f>
        <v>0</v>
      </c>
      <c r="AA726" s="861">
        <f>AA725</f>
        <v>0</v>
      </c>
      <c r="AB726" s="862">
        <f>AB725</f>
        <v>0</v>
      </c>
      <c r="CH726" s="269"/>
      <c r="CI726" s="269"/>
      <c r="CJ726" s="269"/>
      <c r="CK726" s="269"/>
      <c r="CL726" s="269"/>
      <c r="CM726" s="269"/>
      <c r="CN726" s="269"/>
      <c r="CO726" s="269"/>
      <c r="CP726" s="269"/>
      <c r="CQ726" s="269"/>
      <c r="CR726" s="269"/>
      <c r="CS726" s="269"/>
    </row>
    <row r="727" spans="2:97" ht="12" customHeight="1" x14ac:dyDescent="0.45">
      <c r="C727" s="863"/>
      <c r="D727" s="864"/>
      <c r="E727" s="865"/>
      <c r="F727" s="865"/>
      <c r="G727" s="865"/>
      <c r="H727" s="865"/>
      <c r="I727" s="865"/>
      <c r="J727" s="865"/>
      <c r="K727" s="865"/>
      <c r="L727" s="865"/>
      <c r="M727" s="865"/>
      <c r="N727" s="865"/>
      <c r="O727" s="865"/>
      <c r="P727" s="865"/>
      <c r="Q727" s="865"/>
      <c r="R727" s="865"/>
      <c r="S727" s="865"/>
      <c r="T727" s="865"/>
      <c r="U727" s="865"/>
      <c r="V727" s="865"/>
      <c r="W727" s="865"/>
      <c r="X727" s="865"/>
      <c r="Y727" s="865"/>
      <c r="Z727" s="865"/>
      <c r="AA727" s="865"/>
      <c r="AB727" s="865"/>
      <c r="CH727" s="269"/>
      <c r="CI727" s="269"/>
      <c r="CJ727" s="269"/>
      <c r="CK727" s="269"/>
      <c r="CL727" s="269"/>
      <c r="CM727" s="269"/>
      <c r="CN727" s="269"/>
      <c r="CO727" s="269"/>
      <c r="CP727" s="269"/>
      <c r="CQ727" s="269"/>
      <c r="CR727" s="269"/>
      <c r="CS727" s="269"/>
    </row>
    <row r="728" spans="2:97" ht="12" customHeight="1" x14ac:dyDescent="0.3">
      <c r="B728" s="1830" t="s">
        <v>199</v>
      </c>
      <c r="C728" s="1830"/>
      <c r="D728" s="221"/>
      <c r="E728" s="221"/>
      <c r="F728" s="221"/>
      <c r="G728" s="221"/>
      <c r="H728" s="221"/>
      <c r="I728" s="221"/>
      <c r="J728" s="221"/>
      <c r="K728" s="221"/>
      <c r="L728" s="221"/>
      <c r="M728" s="221"/>
      <c r="N728" s="221"/>
      <c r="O728" s="221"/>
      <c r="P728" s="221"/>
      <c r="Q728" s="221"/>
      <c r="R728" s="221"/>
      <c r="S728" s="221"/>
      <c r="T728" s="221"/>
      <c r="U728" s="221"/>
      <c r="V728" s="221"/>
      <c r="W728" s="221"/>
      <c r="X728" s="221"/>
      <c r="Y728" s="221"/>
      <c r="Z728" s="221"/>
      <c r="AA728" s="221"/>
      <c r="AB728" s="221"/>
      <c r="CH728" s="269"/>
      <c r="CI728" s="269"/>
      <c r="CJ728" s="269"/>
      <c r="CK728" s="269"/>
      <c r="CL728" s="269"/>
      <c r="CM728" s="269"/>
      <c r="CN728" s="269"/>
      <c r="CO728" s="269"/>
      <c r="CP728" s="269"/>
      <c r="CQ728" s="269"/>
      <c r="CR728" s="269"/>
      <c r="CS728" s="269"/>
    </row>
    <row r="729" spans="2:97" ht="12" customHeight="1" thickBot="1" x14ac:dyDescent="0.35">
      <c r="B729" s="1830"/>
      <c r="C729" s="1830"/>
      <c r="D729" s="818" t="str">
        <f>D339</f>
        <v>Item 1</v>
      </c>
      <c r="E729" s="818" t="str">
        <f>E339</f>
        <v>Item 2</v>
      </c>
      <c r="F729" s="818" t="str">
        <f>F339</f>
        <v>Item 3</v>
      </c>
      <c r="G729" s="818" t="str">
        <f>G339</f>
        <v>Item 4</v>
      </c>
      <c r="H729" s="818" t="str">
        <f>H339</f>
        <v>Item 5</v>
      </c>
      <c r="I729" s="818" t="str">
        <f>I339</f>
        <v>Item 6</v>
      </c>
      <c r="J729" s="818" t="str">
        <f>J339</f>
        <v>Item 7</v>
      </c>
      <c r="K729" s="818" t="str">
        <f>K339</f>
        <v>Item 8</v>
      </c>
      <c r="L729" s="818" t="str">
        <f>L339</f>
        <v>Item 9</v>
      </c>
      <c r="M729" s="818" t="str">
        <f>M339</f>
        <v>Item 10</v>
      </c>
      <c r="N729" s="818" t="str">
        <f>N339</f>
        <v>Item 11</v>
      </c>
      <c r="O729" s="818" t="str">
        <f>O339</f>
        <v>Item 12</v>
      </c>
      <c r="P729" s="818" t="str">
        <f>P339</f>
        <v>Item 13</v>
      </c>
      <c r="Q729" s="818" t="str">
        <f>Q339</f>
        <v>Item 14</v>
      </c>
      <c r="R729" s="818" t="str">
        <f>R339</f>
        <v>Item 15</v>
      </c>
      <c r="S729" s="818" t="str">
        <f>S339</f>
        <v>Item 16</v>
      </c>
      <c r="T729" s="818" t="str">
        <f>T339</f>
        <v>Item 17</v>
      </c>
      <c r="U729" s="818" t="str">
        <f>U339</f>
        <v>Item 18</v>
      </c>
      <c r="V729" s="818" t="str">
        <f>V339</f>
        <v>Item 19</v>
      </c>
      <c r="W729" s="818" t="str">
        <f>W339</f>
        <v>Item 20</v>
      </c>
      <c r="X729" s="818" t="str">
        <f>X339</f>
        <v>Item 21</v>
      </c>
      <c r="Y729" s="818" t="str">
        <f>Y339</f>
        <v>Item 22</v>
      </c>
      <c r="Z729" s="818" t="str">
        <f>Z339</f>
        <v>Item 23</v>
      </c>
      <c r="AA729" s="818" t="str">
        <f>AA339</f>
        <v>Item 24</v>
      </c>
      <c r="AB729" s="818" t="str">
        <f>AB339</f>
        <v>Item 25</v>
      </c>
      <c r="CH729" s="269"/>
      <c r="CI729" s="269"/>
      <c r="CJ729" s="269"/>
      <c r="CK729" s="269"/>
      <c r="CL729" s="269"/>
      <c r="CM729" s="269"/>
      <c r="CN729" s="269"/>
      <c r="CO729" s="269"/>
      <c r="CP729" s="269"/>
      <c r="CQ729" s="269"/>
      <c r="CR729" s="269"/>
      <c r="CS729" s="269"/>
    </row>
    <row r="730" spans="2:97" ht="12" customHeight="1" x14ac:dyDescent="0.3">
      <c r="C730" s="495">
        <f>C667</f>
        <v>0</v>
      </c>
      <c r="D730" s="246">
        <f>Input!D46</f>
        <v>0</v>
      </c>
      <c r="E730" s="247">
        <f>Input!E46</f>
        <v>0</v>
      </c>
      <c r="F730" s="247">
        <f>Input!F46</f>
        <v>0</v>
      </c>
      <c r="G730" s="247">
        <f>Input!G46</f>
        <v>0</v>
      </c>
      <c r="H730" s="247">
        <f>Input!H46</f>
        <v>0</v>
      </c>
      <c r="I730" s="247">
        <f>Input!I46</f>
        <v>0</v>
      </c>
      <c r="J730" s="247">
        <f>Input!J46</f>
        <v>0</v>
      </c>
      <c r="K730" s="247">
        <f>Input!K46</f>
        <v>0</v>
      </c>
      <c r="L730" s="247">
        <f>Input!L46</f>
        <v>0</v>
      </c>
      <c r="M730" s="247">
        <f>Input!M46</f>
        <v>0</v>
      </c>
      <c r="N730" s="247">
        <f>Input!N46</f>
        <v>0</v>
      </c>
      <c r="O730" s="247">
        <f>Input!O46</f>
        <v>0</v>
      </c>
      <c r="P730" s="247">
        <f>Input!P46</f>
        <v>0</v>
      </c>
      <c r="Q730" s="247">
        <f>Input!Q46</f>
        <v>0</v>
      </c>
      <c r="R730" s="247">
        <f>Input!R46</f>
        <v>0</v>
      </c>
      <c r="S730" s="247">
        <f>Input!S46</f>
        <v>0</v>
      </c>
      <c r="T730" s="247">
        <f>Input!T46</f>
        <v>0</v>
      </c>
      <c r="U730" s="247">
        <f>Input!U46</f>
        <v>0</v>
      </c>
      <c r="V730" s="247">
        <f>Input!V46</f>
        <v>0</v>
      </c>
      <c r="W730" s="247">
        <f>Input!W46</f>
        <v>0</v>
      </c>
      <c r="X730" s="247">
        <f>Input!X46</f>
        <v>0</v>
      </c>
      <c r="Y730" s="247">
        <f>Input!Y46</f>
        <v>0</v>
      </c>
      <c r="Z730" s="247">
        <f>Input!Z46</f>
        <v>0</v>
      </c>
      <c r="AA730" s="247">
        <f>Input!AA46</f>
        <v>0</v>
      </c>
      <c r="AB730" s="247">
        <f>Input!AB46</f>
        <v>0</v>
      </c>
      <c r="CH730" s="269"/>
      <c r="CI730" s="269"/>
      <c r="CJ730" s="269"/>
      <c r="CK730" s="269"/>
      <c r="CL730" s="269"/>
      <c r="CM730" s="269"/>
      <c r="CN730" s="269"/>
      <c r="CO730" s="269"/>
      <c r="CP730" s="269"/>
      <c r="CQ730" s="269"/>
      <c r="CR730" s="269"/>
      <c r="CS730" s="269"/>
    </row>
    <row r="731" spans="2:97" ht="12" customHeight="1" x14ac:dyDescent="0.3">
      <c r="C731" s="495">
        <f>C668</f>
        <v>59</v>
      </c>
      <c r="D731" s="248">
        <f>D730</f>
        <v>0</v>
      </c>
      <c r="E731" s="248">
        <f>E730</f>
        <v>0</v>
      </c>
      <c r="F731" s="248">
        <f>F730</f>
        <v>0</v>
      </c>
      <c r="G731" s="248">
        <f>G730</f>
        <v>0</v>
      </c>
      <c r="H731" s="248">
        <f>H730</f>
        <v>0</v>
      </c>
      <c r="I731" s="248">
        <f>I730</f>
        <v>0</v>
      </c>
      <c r="J731" s="248">
        <f>J730</f>
        <v>0</v>
      </c>
      <c r="K731" s="248">
        <f>K730</f>
        <v>0</v>
      </c>
      <c r="L731" s="248">
        <f>L730</f>
        <v>0</v>
      </c>
      <c r="M731" s="248">
        <f>M730</f>
        <v>0</v>
      </c>
      <c r="N731" s="248">
        <f>N730</f>
        <v>0</v>
      </c>
      <c r="O731" s="248">
        <f>O730</f>
        <v>0</v>
      </c>
      <c r="P731" s="248">
        <f>P730</f>
        <v>0</v>
      </c>
      <c r="Q731" s="248">
        <f>Q730</f>
        <v>0</v>
      </c>
      <c r="R731" s="248">
        <f>R730</f>
        <v>0</v>
      </c>
      <c r="S731" s="248">
        <f>S730</f>
        <v>0</v>
      </c>
      <c r="T731" s="248">
        <f>T730</f>
        <v>0</v>
      </c>
      <c r="U731" s="248">
        <f>U730</f>
        <v>0</v>
      </c>
      <c r="V731" s="248">
        <f>V730</f>
        <v>0</v>
      </c>
      <c r="W731" s="248">
        <f>W730</f>
        <v>0</v>
      </c>
      <c r="X731" s="248">
        <f>X730</f>
        <v>0</v>
      </c>
      <c r="Y731" s="248">
        <f>Y730</f>
        <v>0</v>
      </c>
      <c r="Z731" s="248">
        <f>Z730</f>
        <v>0</v>
      </c>
      <c r="AA731" s="248">
        <f>AA730</f>
        <v>0</v>
      </c>
      <c r="AB731" s="248">
        <f>AB730</f>
        <v>0</v>
      </c>
      <c r="CH731" s="269"/>
      <c r="CI731" s="269"/>
      <c r="CJ731" s="269"/>
      <c r="CK731" s="269"/>
      <c r="CL731" s="269"/>
      <c r="CM731" s="269"/>
      <c r="CN731" s="269"/>
      <c r="CO731" s="269"/>
      <c r="CP731" s="269"/>
      <c r="CQ731" s="269"/>
      <c r="CR731" s="269"/>
      <c r="CS731" s="269"/>
    </row>
    <row r="732" spans="2:97" ht="12" customHeight="1" x14ac:dyDescent="0.3">
      <c r="C732" s="495">
        <f>C669</f>
        <v>91</v>
      </c>
      <c r="D732" s="249">
        <f>D731</f>
        <v>0</v>
      </c>
      <c r="E732" s="249">
        <f>E731</f>
        <v>0</v>
      </c>
      <c r="F732" s="249">
        <f>F731</f>
        <v>0</v>
      </c>
      <c r="G732" s="249">
        <f>G731</f>
        <v>0</v>
      </c>
      <c r="H732" s="249">
        <f>H731</f>
        <v>0</v>
      </c>
      <c r="I732" s="249">
        <f>I731</f>
        <v>0</v>
      </c>
      <c r="J732" s="249">
        <f>J731</f>
        <v>0</v>
      </c>
      <c r="K732" s="249">
        <f>K731</f>
        <v>0</v>
      </c>
      <c r="L732" s="249">
        <f>L731</f>
        <v>0</v>
      </c>
      <c r="M732" s="249">
        <f>M731</f>
        <v>0</v>
      </c>
      <c r="N732" s="249">
        <f>N731</f>
        <v>0</v>
      </c>
      <c r="O732" s="249">
        <f>O731</f>
        <v>0</v>
      </c>
      <c r="P732" s="249">
        <f>P731</f>
        <v>0</v>
      </c>
      <c r="Q732" s="249">
        <f>Q731</f>
        <v>0</v>
      </c>
      <c r="R732" s="249">
        <f>R731</f>
        <v>0</v>
      </c>
      <c r="S732" s="249">
        <f>S731</f>
        <v>0</v>
      </c>
      <c r="T732" s="249">
        <f>T731</f>
        <v>0</v>
      </c>
      <c r="U732" s="249">
        <f>U731</f>
        <v>0</v>
      </c>
      <c r="V732" s="249">
        <f>V731</f>
        <v>0</v>
      </c>
      <c r="W732" s="249">
        <f>W731</f>
        <v>0</v>
      </c>
      <c r="X732" s="249">
        <f>X731</f>
        <v>0</v>
      </c>
      <c r="Y732" s="249">
        <f>Y731</f>
        <v>0</v>
      </c>
      <c r="Z732" s="249">
        <f>Z731</f>
        <v>0</v>
      </c>
      <c r="AA732" s="249">
        <f>AA731</f>
        <v>0</v>
      </c>
      <c r="AB732" s="249">
        <f>AB731</f>
        <v>0</v>
      </c>
      <c r="CH732" s="269"/>
      <c r="CI732" s="269"/>
      <c r="CJ732" s="269"/>
      <c r="CK732" s="269"/>
      <c r="CL732" s="269"/>
      <c r="CM732" s="269"/>
      <c r="CN732" s="269"/>
      <c r="CO732" s="269"/>
      <c r="CP732" s="269"/>
      <c r="CQ732" s="269"/>
      <c r="CR732" s="269"/>
      <c r="CS732" s="269"/>
    </row>
    <row r="733" spans="2:97" ht="12" customHeight="1" x14ac:dyDescent="0.3">
      <c r="C733" s="495">
        <f>C670</f>
        <v>121</v>
      </c>
      <c r="D733" s="249">
        <f>D732</f>
        <v>0</v>
      </c>
      <c r="E733" s="249">
        <f>E732</f>
        <v>0</v>
      </c>
      <c r="F733" s="249">
        <f>F732</f>
        <v>0</v>
      </c>
      <c r="G733" s="249">
        <f>G732</f>
        <v>0</v>
      </c>
      <c r="H733" s="249">
        <f>H732</f>
        <v>0</v>
      </c>
      <c r="I733" s="249">
        <f>I732</f>
        <v>0</v>
      </c>
      <c r="J733" s="249">
        <f>J732</f>
        <v>0</v>
      </c>
      <c r="K733" s="249">
        <f>K732</f>
        <v>0</v>
      </c>
      <c r="L733" s="249">
        <f>L732</f>
        <v>0</v>
      </c>
      <c r="M733" s="249">
        <f>M732</f>
        <v>0</v>
      </c>
      <c r="N733" s="249">
        <f>N732</f>
        <v>0</v>
      </c>
      <c r="O733" s="249">
        <f>O732</f>
        <v>0</v>
      </c>
      <c r="P733" s="249">
        <f>P732</f>
        <v>0</v>
      </c>
      <c r="Q733" s="249">
        <f>Q732</f>
        <v>0</v>
      </c>
      <c r="R733" s="249">
        <f>R732</f>
        <v>0</v>
      </c>
      <c r="S733" s="249">
        <f>S732</f>
        <v>0</v>
      </c>
      <c r="T733" s="249">
        <f>T732</f>
        <v>0</v>
      </c>
      <c r="U733" s="249">
        <f>U732</f>
        <v>0</v>
      </c>
      <c r="V733" s="249">
        <f>V732</f>
        <v>0</v>
      </c>
      <c r="W733" s="249">
        <f>W732</f>
        <v>0</v>
      </c>
      <c r="X733" s="249">
        <f>X732</f>
        <v>0</v>
      </c>
      <c r="Y733" s="249">
        <f>Y732</f>
        <v>0</v>
      </c>
      <c r="Z733" s="249">
        <f>Z732</f>
        <v>0</v>
      </c>
      <c r="AA733" s="249">
        <f>AA732</f>
        <v>0</v>
      </c>
      <c r="AB733" s="249">
        <f>AB732</f>
        <v>0</v>
      </c>
      <c r="CH733" s="269"/>
      <c r="CI733" s="269"/>
      <c r="CJ733" s="269"/>
      <c r="CK733" s="269"/>
      <c r="CL733" s="269"/>
      <c r="CM733" s="269"/>
      <c r="CN733" s="269"/>
      <c r="CO733" s="269"/>
      <c r="CP733" s="269"/>
      <c r="CQ733" s="269"/>
      <c r="CR733" s="269"/>
      <c r="CS733" s="269"/>
    </row>
    <row r="734" spans="2:97" ht="12" customHeight="1" x14ac:dyDescent="0.3">
      <c r="C734" s="495">
        <f>C671</f>
        <v>152</v>
      </c>
      <c r="D734" s="249">
        <f>D733</f>
        <v>0</v>
      </c>
      <c r="E734" s="249">
        <f>E733</f>
        <v>0</v>
      </c>
      <c r="F734" s="249">
        <f>F733</f>
        <v>0</v>
      </c>
      <c r="G734" s="249">
        <f>G733</f>
        <v>0</v>
      </c>
      <c r="H734" s="249">
        <f>H733</f>
        <v>0</v>
      </c>
      <c r="I734" s="249">
        <f>I733</f>
        <v>0</v>
      </c>
      <c r="J734" s="249">
        <f>J733</f>
        <v>0</v>
      </c>
      <c r="K734" s="249">
        <f>K733</f>
        <v>0</v>
      </c>
      <c r="L734" s="249">
        <f>L733</f>
        <v>0</v>
      </c>
      <c r="M734" s="249">
        <f>M733</f>
        <v>0</v>
      </c>
      <c r="N734" s="249">
        <f>N733</f>
        <v>0</v>
      </c>
      <c r="O734" s="249">
        <f>O733</f>
        <v>0</v>
      </c>
      <c r="P734" s="249">
        <f>P733</f>
        <v>0</v>
      </c>
      <c r="Q734" s="249">
        <f>Q733</f>
        <v>0</v>
      </c>
      <c r="R734" s="249">
        <f>R733</f>
        <v>0</v>
      </c>
      <c r="S734" s="249">
        <f>S733</f>
        <v>0</v>
      </c>
      <c r="T734" s="249">
        <f>T733</f>
        <v>0</v>
      </c>
      <c r="U734" s="249">
        <f>U733</f>
        <v>0</v>
      </c>
      <c r="V734" s="249">
        <f>V733</f>
        <v>0</v>
      </c>
      <c r="W734" s="249">
        <f>W733</f>
        <v>0</v>
      </c>
      <c r="X734" s="249">
        <f>X733</f>
        <v>0</v>
      </c>
      <c r="Y734" s="249">
        <f>Y733</f>
        <v>0</v>
      </c>
      <c r="Z734" s="249">
        <f>Z733</f>
        <v>0</v>
      </c>
      <c r="AA734" s="249">
        <f>AA733</f>
        <v>0</v>
      </c>
      <c r="AB734" s="249">
        <f>AB733</f>
        <v>0</v>
      </c>
      <c r="CH734" s="269"/>
      <c r="CI734" s="269"/>
      <c r="CJ734" s="269"/>
      <c r="CK734" s="269"/>
      <c r="CL734" s="269"/>
      <c r="CM734" s="269"/>
      <c r="CN734" s="269"/>
      <c r="CO734" s="269"/>
      <c r="CP734" s="269"/>
      <c r="CQ734" s="269"/>
      <c r="CR734" s="269"/>
      <c r="CS734" s="269"/>
    </row>
    <row r="735" spans="2:97" ht="12" customHeight="1" x14ac:dyDescent="0.3">
      <c r="C735" s="495">
        <f>C672</f>
        <v>182</v>
      </c>
      <c r="D735" s="249">
        <f>D734</f>
        <v>0</v>
      </c>
      <c r="E735" s="249">
        <f>E734</f>
        <v>0</v>
      </c>
      <c r="F735" s="249">
        <f>F734</f>
        <v>0</v>
      </c>
      <c r="G735" s="249">
        <f>G734</f>
        <v>0</v>
      </c>
      <c r="H735" s="249">
        <f>H734</f>
        <v>0</v>
      </c>
      <c r="I735" s="249">
        <f>I734</f>
        <v>0</v>
      </c>
      <c r="J735" s="249">
        <f>J734</f>
        <v>0</v>
      </c>
      <c r="K735" s="249">
        <f>K734</f>
        <v>0</v>
      </c>
      <c r="L735" s="249">
        <f>L734</f>
        <v>0</v>
      </c>
      <c r="M735" s="249">
        <f>M734</f>
        <v>0</v>
      </c>
      <c r="N735" s="249">
        <f>N734</f>
        <v>0</v>
      </c>
      <c r="O735" s="249">
        <f>O734</f>
        <v>0</v>
      </c>
      <c r="P735" s="249">
        <f>P734</f>
        <v>0</v>
      </c>
      <c r="Q735" s="249">
        <f>Q734</f>
        <v>0</v>
      </c>
      <c r="R735" s="249">
        <f>R734</f>
        <v>0</v>
      </c>
      <c r="S735" s="249">
        <f>S734</f>
        <v>0</v>
      </c>
      <c r="T735" s="249">
        <f>T734</f>
        <v>0</v>
      </c>
      <c r="U735" s="249">
        <f>U734</f>
        <v>0</v>
      </c>
      <c r="V735" s="249">
        <f>V734</f>
        <v>0</v>
      </c>
      <c r="W735" s="249">
        <f>W734</f>
        <v>0</v>
      </c>
      <c r="X735" s="249">
        <f>X734</f>
        <v>0</v>
      </c>
      <c r="Y735" s="249">
        <f>Y734</f>
        <v>0</v>
      </c>
      <c r="Z735" s="249">
        <f>Z734</f>
        <v>0</v>
      </c>
      <c r="AA735" s="249">
        <f>AA734</f>
        <v>0</v>
      </c>
      <c r="AB735" s="249">
        <f>AB734</f>
        <v>0</v>
      </c>
      <c r="CH735" s="269"/>
      <c r="CI735" s="269"/>
      <c r="CJ735" s="269"/>
      <c r="CK735" s="269"/>
      <c r="CL735" s="269"/>
      <c r="CM735" s="269"/>
      <c r="CN735" s="269"/>
      <c r="CO735" s="269"/>
      <c r="CP735" s="269"/>
      <c r="CQ735" s="269"/>
      <c r="CR735" s="269"/>
      <c r="CS735" s="269"/>
    </row>
    <row r="736" spans="2:97" ht="12" customHeight="1" x14ac:dyDescent="0.3">
      <c r="C736" s="495">
        <f>C673</f>
        <v>213</v>
      </c>
      <c r="D736" s="249">
        <f>D735</f>
        <v>0</v>
      </c>
      <c r="E736" s="249">
        <f>E735</f>
        <v>0</v>
      </c>
      <c r="F736" s="249">
        <f>F735</f>
        <v>0</v>
      </c>
      <c r="G736" s="249">
        <f>G735</f>
        <v>0</v>
      </c>
      <c r="H736" s="249">
        <f>H735</f>
        <v>0</v>
      </c>
      <c r="I736" s="249">
        <f>I735</f>
        <v>0</v>
      </c>
      <c r="J736" s="249">
        <f>J735</f>
        <v>0</v>
      </c>
      <c r="K736" s="249">
        <f>K735</f>
        <v>0</v>
      </c>
      <c r="L736" s="249">
        <f>L735</f>
        <v>0</v>
      </c>
      <c r="M736" s="249">
        <f>M735</f>
        <v>0</v>
      </c>
      <c r="N736" s="249">
        <f>N735</f>
        <v>0</v>
      </c>
      <c r="O736" s="249">
        <f>O735</f>
        <v>0</v>
      </c>
      <c r="P736" s="249">
        <f>P735</f>
        <v>0</v>
      </c>
      <c r="Q736" s="249">
        <f>Q735</f>
        <v>0</v>
      </c>
      <c r="R736" s="249">
        <f>R735</f>
        <v>0</v>
      </c>
      <c r="S736" s="249">
        <f>S735</f>
        <v>0</v>
      </c>
      <c r="T736" s="249">
        <f>T735</f>
        <v>0</v>
      </c>
      <c r="U736" s="249">
        <f>U735</f>
        <v>0</v>
      </c>
      <c r="V736" s="249">
        <f>V735</f>
        <v>0</v>
      </c>
      <c r="W736" s="249">
        <f>W735</f>
        <v>0</v>
      </c>
      <c r="X736" s="249">
        <f>X735</f>
        <v>0</v>
      </c>
      <c r="Y736" s="249">
        <f>Y735</f>
        <v>0</v>
      </c>
      <c r="Z736" s="249">
        <f>Z735</f>
        <v>0</v>
      </c>
      <c r="AA736" s="249">
        <f>AA735</f>
        <v>0</v>
      </c>
      <c r="AB736" s="249">
        <f>AB735</f>
        <v>0</v>
      </c>
      <c r="CH736" s="269"/>
      <c r="CI736" s="269"/>
      <c r="CJ736" s="269"/>
      <c r="CK736" s="269"/>
      <c r="CL736" s="269"/>
      <c r="CM736" s="269"/>
      <c r="CN736" s="269"/>
      <c r="CO736" s="269"/>
      <c r="CP736" s="269"/>
      <c r="CQ736" s="269"/>
      <c r="CR736" s="269"/>
      <c r="CS736" s="269"/>
    </row>
    <row r="737" spans="3:97" ht="12" customHeight="1" x14ac:dyDescent="0.3">
      <c r="C737" s="495">
        <f>C674</f>
        <v>244</v>
      </c>
      <c r="D737" s="249">
        <f>D736</f>
        <v>0</v>
      </c>
      <c r="E737" s="249">
        <f>E736</f>
        <v>0</v>
      </c>
      <c r="F737" s="249">
        <f>F736</f>
        <v>0</v>
      </c>
      <c r="G737" s="249">
        <f>G736</f>
        <v>0</v>
      </c>
      <c r="H737" s="249">
        <f>H736</f>
        <v>0</v>
      </c>
      <c r="I737" s="249">
        <f>I736</f>
        <v>0</v>
      </c>
      <c r="J737" s="249">
        <f>J736</f>
        <v>0</v>
      </c>
      <c r="K737" s="249">
        <f>K736</f>
        <v>0</v>
      </c>
      <c r="L737" s="249">
        <f>L736</f>
        <v>0</v>
      </c>
      <c r="M737" s="249">
        <f>M736</f>
        <v>0</v>
      </c>
      <c r="N737" s="249">
        <f>N736</f>
        <v>0</v>
      </c>
      <c r="O737" s="249">
        <f>O736</f>
        <v>0</v>
      </c>
      <c r="P737" s="249">
        <f>P736</f>
        <v>0</v>
      </c>
      <c r="Q737" s="249">
        <f>Q736</f>
        <v>0</v>
      </c>
      <c r="R737" s="249">
        <f>R736</f>
        <v>0</v>
      </c>
      <c r="S737" s="249">
        <f>S736</f>
        <v>0</v>
      </c>
      <c r="T737" s="249">
        <f>T736</f>
        <v>0</v>
      </c>
      <c r="U737" s="249">
        <f>U736</f>
        <v>0</v>
      </c>
      <c r="V737" s="249">
        <f>V736</f>
        <v>0</v>
      </c>
      <c r="W737" s="249">
        <f>W736</f>
        <v>0</v>
      </c>
      <c r="X737" s="249">
        <f>X736</f>
        <v>0</v>
      </c>
      <c r="Y737" s="249">
        <f>Y736</f>
        <v>0</v>
      </c>
      <c r="Z737" s="249">
        <f>Z736</f>
        <v>0</v>
      </c>
      <c r="AA737" s="249">
        <f>AA736</f>
        <v>0</v>
      </c>
      <c r="AB737" s="249">
        <f>AB736</f>
        <v>0</v>
      </c>
      <c r="CH737" s="269"/>
      <c r="CI737" s="269"/>
      <c r="CJ737" s="269"/>
      <c r="CK737" s="269"/>
      <c r="CL737" s="269"/>
      <c r="CM737" s="269"/>
      <c r="CN737" s="269"/>
      <c r="CO737" s="269"/>
      <c r="CP737" s="269"/>
      <c r="CQ737" s="269"/>
      <c r="CR737" s="269"/>
      <c r="CS737" s="269"/>
    </row>
    <row r="738" spans="3:97" ht="12" customHeight="1" x14ac:dyDescent="0.3">
      <c r="C738" s="495">
        <f>C675</f>
        <v>274</v>
      </c>
      <c r="D738" s="249">
        <f>D737</f>
        <v>0</v>
      </c>
      <c r="E738" s="249">
        <f>E737</f>
        <v>0</v>
      </c>
      <c r="F738" s="249">
        <f>F737</f>
        <v>0</v>
      </c>
      <c r="G738" s="249">
        <f>G737</f>
        <v>0</v>
      </c>
      <c r="H738" s="249">
        <f>H737</f>
        <v>0</v>
      </c>
      <c r="I738" s="249">
        <f>I737</f>
        <v>0</v>
      </c>
      <c r="J738" s="249">
        <f>J737</f>
        <v>0</v>
      </c>
      <c r="K738" s="249">
        <f>K737</f>
        <v>0</v>
      </c>
      <c r="L738" s="249">
        <f>L737</f>
        <v>0</v>
      </c>
      <c r="M738" s="249">
        <f>M737</f>
        <v>0</v>
      </c>
      <c r="N738" s="249">
        <f>N737</f>
        <v>0</v>
      </c>
      <c r="O738" s="249">
        <f>O737</f>
        <v>0</v>
      </c>
      <c r="P738" s="249">
        <f>P737</f>
        <v>0</v>
      </c>
      <c r="Q738" s="249">
        <f>Q737</f>
        <v>0</v>
      </c>
      <c r="R738" s="249">
        <f>R737</f>
        <v>0</v>
      </c>
      <c r="S738" s="249">
        <f>S737</f>
        <v>0</v>
      </c>
      <c r="T738" s="249">
        <f>T737</f>
        <v>0</v>
      </c>
      <c r="U738" s="249">
        <f>U737</f>
        <v>0</v>
      </c>
      <c r="V738" s="249">
        <f>V737</f>
        <v>0</v>
      </c>
      <c r="W738" s="249">
        <f>W737</f>
        <v>0</v>
      </c>
      <c r="X738" s="249">
        <f>X737</f>
        <v>0</v>
      </c>
      <c r="Y738" s="249">
        <f>Y737</f>
        <v>0</v>
      </c>
      <c r="Z738" s="249">
        <f>Z737</f>
        <v>0</v>
      </c>
      <c r="AA738" s="249">
        <f>AA737</f>
        <v>0</v>
      </c>
      <c r="AB738" s="249">
        <f>AB737</f>
        <v>0</v>
      </c>
      <c r="CH738" s="269"/>
      <c r="CI738" s="269"/>
      <c r="CJ738" s="269"/>
      <c r="CK738" s="269"/>
      <c r="CL738" s="269"/>
      <c r="CM738" s="269"/>
      <c r="CN738" s="269"/>
      <c r="CO738" s="269"/>
      <c r="CP738" s="269"/>
      <c r="CQ738" s="269"/>
      <c r="CR738" s="269"/>
      <c r="CS738" s="269"/>
    </row>
    <row r="739" spans="3:97" ht="12" customHeight="1" x14ac:dyDescent="0.3">
      <c r="C739" s="495">
        <f>C676</f>
        <v>305</v>
      </c>
      <c r="D739" s="249">
        <f>D738</f>
        <v>0</v>
      </c>
      <c r="E739" s="249">
        <f>E738</f>
        <v>0</v>
      </c>
      <c r="F739" s="249">
        <f>F738</f>
        <v>0</v>
      </c>
      <c r="G739" s="249">
        <f>G738</f>
        <v>0</v>
      </c>
      <c r="H739" s="249">
        <f>H738</f>
        <v>0</v>
      </c>
      <c r="I739" s="249">
        <f>I738</f>
        <v>0</v>
      </c>
      <c r="J739" s="249">
        <f>J738</f>
        <v>0</v>
      </c>
      <c r="K739" s="249">
        <f>K738</f>
        <v>0</v>
      </c>
      <c r="L739" s="249">
        <f>L738</f>
        <v>0</v>
      </c>
      <c r="M739" s="249">
        <f>M738</f>
        <v>0</v>
      </c>
      <c r="N739" s="249">
        <f>N738</f>
        <v>0</v>
      </c>
      <c r="O739" s="249">
        <f>O738</f>
        <v>0</v>
      </c>
      <c r="P739" s="249">
        <f>P738</f>
        <v>0</v>
      </c>
      <c r="Q739" s="249">
        <f>Q738</f>
        <v>0</v>
      </c>
      <c r="R739" s="249">
        <f>R738</f>
        <v>0</v>
      </c>
      <c r="S739" s="249">
        <f>S738</f>
        <v>0</v>
      </c>
      <c r="T739" s="249">
        <f>T738</f>
        <v>0</v>
      </c>
      <c r="U739" s="249">
        <f>U738</f>
        <v>0</v>
      </c>
      <c r="V739" s="249">
        <f>V738</f>
        <v>0</v>
      </c>
      <c r="W739" s="249">
        <f>W738</f>
        <v>0</v>
      </c>
      <c r="X739" s="249">
        <f>X738</f>
        <v>0</v>
      </c>
      <c r="Y739" s="249">
        <f>Y738</f>
        <v>0</v>
      </c>
      <c r="Z739" s="249">
        <f>Z738</f>
        <v>0</v>
      </c>
      <c r="AA739" s="249">
        <f>AA738</f>
        <v>0</v>
      </c>
      <c r="AB739" s="249">
        <f>AB738</f>
        <v>0</v>
      </c>
      <c r="CH739" s="269"/>
      <c r="CI739" s="269"/>
      <c r="CJ739" s="269"/>
      <c r="CK739" s="269"/>
      <c r="CL739" s="269"/>
      <c r="CM739" s="269"/>
      <c r="CN739" s="269"/>
      <c r="CO739" s="269"/>
      <c r="CP739" s="269"/>
      <c r="CQ739" s="269"/>
      <c r="CR739" s="269"/>
      <c r="CS739" s="269"/>
    </row>
    <row r="740" spans="3:97" ht="12" customHeight="1" x14ac:dyDescent="0.3">
      <c r="C740" s="495">
        <f>C677</f>
        <v>335</v>
      </c>
      <c r="D740" s="249">
        <f>D739</f>
        <v>0</v>
      </c>
      <c r="E740" s="249">
        <f>E739</f>
        <v>0</v>
      </c>
      <c r="F740" s="249">
        <f>F739</f>
        <v>0</v>
      </c>
      <c r="G740" s="249">
        <f>G739</f>
        <v>0</v>
      </c>
      <c r="H740" s="249">
        <f>H739</f>
        <v>0</v>
      </c>
      <c r="I740" s="249">
        <f>I739</f>
        <v>0</v>
      </c>
      <c r="J740" s="249">
        <f>J739</f>
        <v>0</v>
      </c>
      <c r="K740" s="249">
        <f>K739</f>
        <v>0</v>
      </c>
      <c r="L740" s="249">
        <f>L739</f>
        <v>0</v>
      </c>
      <c r="M740" s="249">
        <f>M739</f>
        <v>0</v>
      </c>
      <c r="N740" s="249">
        <f>N739</f>
        <v>0</v>
      </c>
      <c r="O740" s="249">
        <f>O739</f>
        <v>0</v>
      </c>
      <c r="P740" s="249">
        <f>P739</f>
        <v>0</v>
      </c>
      <c r="Q740" s="249">
        <f>Q739</f>
        <v>0</v>
      </c>
      <c r="R740" s="249">
        <f>R739</f>
        <v>0</v>
      </c>
      <c r="S740" s="249">
        <f>S739</f>
        <v>0</v>
      </c>
      <c r="T740" s="249">
        <f>T739</f>
        <v>0</v>
      </c>
      <c r="U740" s="249">
        <f>U739</f>
        <v>0</v>
      </c>
      <c r="V740" s="249">
        <f>V739</f>
        <v>0</v>
      </c>
      <c r="W740" s="249">
        <f>W739</f>
        <v>0</v>
      </c>
      <c r="X740" s="249">
        <f>X739</f>
        <v>0</v>
      </c>
      <c r="Y740" s="249">
        <f>Y739</f>
        <v>0</v>
      </c>
      <c r="Z740" s="249">
        <f>Z739</f>
        <v>0</v>
      </c>
      <c r="AA740" s="249">
        <f>AA739</f>
        <v>0</v>
      </c>
      <c r="AB740" s="249">
        <f>AB739</f>
        <v>0</v>
      </c>
      <c r="CH740" s="269"/>
      <c r="CI740" s="269"/>
      <c r="CJ740" s="269"/>
      <c r="CK740" s="269"/>
      <c r="CL740" s="269"/>
      <c r="CM740" s="269"/>
      <c r="CN740" s="269"/>
      <c r="CO740" s="269"/>
      <c r="CP740" s="269"/>
      <c r="CQ740" s="269"/>
      <c r="CR740" s="269"/>
      <c r="CS740" s="269"/>
    </row>
    <row r="741" spans="3:97" ht="12" customHeight="1" thickBot="1" x14ac:dyDescent="0.35">
      <c r="C741" s="496">
        <f>C678</f>
        <v>366</v>
      </c>
      <c r="D741" s="250">
        <f>D740</f>
        <v>0</v>
      </c>
      <c r="E741" s="250">
        <f>E740</f>
        <v>0</v>
      </c>
      <c r="F741" s="250">
        <f>F740</f>
        <v>0</v>
      </c>
      <c r="G741" s="250">
        <f>G740</f>
        <v>0</v>
      </c>
      <c r="H741" s="250">
        <f>H740</f>
        <v>0</v>
      </c>
      <c r="I741" s="250">
        <f>I740</f>
        <v>0</v>
      </c>
      <c r="J741" s="250">
        <f>J740</f>
        <v>0</v>
      </c>
      <c r="K741" s="250">
        <f>K740</f>
        <v>0</v>
      </c>
      <c r="L741" s="250">
        <f>L740</f>
        <v>0</v>
      </c>
      <c r="M741" s="250">
        <f>M740</f>
        <v>0</v>
      </c>
      <c r="N741" s="250">
        <f>N740</f>
        <v>0</v>
      </c>
      <c r="O741" s="250">
        <f>O740</f>
        <v>0</v>
      </c>
      <c r="P741" s="250">
        <f>P740</f>
        <v>0</v>
      </c>
      <c r="Q741" s="250">
        <f>Q740</f>
        <v>0</v>
      </c>
      <c r="R741" s="250">
        <f>R740</f>
        <v>0</v>
      </c>
      <c r="S741" s="250">
        <f>S740</f>
        <v>0</v>
      </c>
      <c r="T741" s="250">
        <f>T740</f>
        <v>0</v>
      </c>
      <c r="U741" s="250">
        <f>U740</f>
        <v>0</v>
      </c>
      <c r="V741" s="250">
        <f>V740</f>
        <v>0</v>
      </c>
      <c r="W741" s="250">
        <f>W740</f>
        <v>0</v>
      </c>
      <c r="X741" s="250">
        <f>X740</f>
        <v>0</v>
      </c>
      <c r="Y741" s="250">
        <f>Y740</f>
        <v>0</v>
      </c>
      <c r="Z741" s="250">
        <f>Z740</f>
        <v>0</v>
      </c>
      <c r="AA741" s="250">
        <f>AA740</f>
        <v>0</v>
      </c>
      <c r="AB741" s="250">
        <f>AB740</f>
        <v>0</v>
      </c>
      <c r="CH741" s="269"/>
      <c r="CI741" s="269"/>
      <c r="CJ741" s="269"/>
      <c r="CK741" s="269"/>
      <c r="CL741" s="269"/>
      <c r="CM741" s="269"/>
      <c r="CN741" s="269"/>
      <c r="CO741" s="269"/>
      <c r="CP741" s="269"/>
      <c r="CQ741" s="269"/>
      <c r="CR741" s="269"/>
      <c r="CS741" s="269"/>
    </row>
    <row r="742" spans="3:97" ht="12" customHeight="1" x14ac:dyDescent="0.3">
      <c r="C742" s="495">
        <f>C679</f>
        <v>397</v>
      </c>
      <c r="D742" s="246">
        <f>Input!D47</f>
        <v>0</v>
      </c>
      <c r="E742" s="248">
        <f>Input!E47</f>
        <v>0</v>
      </c>
      <c r="F742" s="248">
        <f>Input!F47</f>
        <v>0</v>
      </c>
      <c r="G742" s="248">
        <f>Input!G47</f>
        <v>0</v>
      </c>
      <c r="H742" s="248">
        <f>Input!H47</f>
        <v>0</v>
      </c>
      <c r="I742" s="248">
        <f>Input!I47</f>
        <v>0</v>
      </c>
      <c r="J742" s="248">
        <f>Input!J47</f>
        <v>0</v>
      </c>
      <c r="K742" s="248">
        <f>Input!K47</f>
        <v>0</v>
      </c>
      <c r="L742" s="248">
        <f>Input!L47</f>
        <v>0</v>
      </c>
      <c r="M742" s="248">
        <f>Input!M47</f>
        <v>0</v>
      </c>
      <c r="N742" s="248">
        <f>Input!N47</f>
        <v>0</v>
      </c>
      <c r="O742" s="248">
        <f>Input!O47</f>
        <v>0</v>
      </c>
      <c r="P742" s="248">
        <f>Input!P47</f>
        <v>0</v>
      </c>
      <c r="Q742" s="248">
        <f>Input!Q47</f>
        <v>0</v>
      </c>
      <c r="R742" s="248">
        <f>Input!R47</f>
        <v>0</v>
      </c>
      <c r="S742" s="248">
        <f>Input!S47</f>
        <v>0</v>
      </c>
      <c r="T742" s="248">
        <f>Input!T47</f>
        <v>0</v>
      </c>
      <c r="U742" s="248">
        <f>Input!U47</f>
        <v>0</v>
      </c>
      <c r="V742" s="248">
        <f>Input!V47</f>
        <v>0</v>
      </c>
      <c r="W742" s="248">
        <f>Input!W47</f>
        <v>0</v>
      </c>
      <c r="X742" s="248">
        <f>Input!X47</f>
        <v>0</v>
      </c>
      <c r="Y742" s="248">
        <f>Input!Y47</f>
        <v>0</v>
      </c>
      <c r="Z742" s="248">
        <f>Input!Z47</f>
        <v>0</v>
      </c>
      <c r="AA742" s="248">
        <f>Input!AA47</f>
        <v>0</v>
      </c>
      <c r="AB742" s="248">
        <f>Input!AB47</f>
        <v>0</v>
      </c>
      <c r="CH742" s="269"/>
      <c r="CI742" s="269"/>
      <c r="CJ742" s="269"/>
      <c r="CK742" s="269"/>
      <c r="CL742" s="269"/>
      <c r="CM742" s="269"/>
      <c r="CN742" s="269"/>
      <c r="CO742" s="269"/>
      <c r="CP742" s="269"/>
      <c r="CQ742" s="269"/>
      <c r="CR742" s="269"/>
      <c r="CS742" s="269"/>
    </row>
    <row r="743" spans="3:97" ht="12" customHeight="1" x14ac:dyDescent="0.3">
      <c r="C743" s="495">
        <f>C680</f>
        <v>425</v>
      </c>
      <c r="D743" s="248">
        <f>D742</f>
        <v>0</v>
      </c>
      <c r="E743" s="249">
        <f>E742</f>
        <v>0</v>
      </c>
      <c r="F743" s="249">
        <f>F742</f>
        <v>0</v>
      </c>
      <c r="G743" s="249">
        <f>G742</f>
        <v>0</v>
      </c>
      <c r="H743" s="249">
        <f>H742</f>
        <v>0</v>
      </c>
      <c r="I743" s="249">
        <f>I742</f>
        <v>0</v>
      </c>
      <c r="J743" s="249">
        <f>J742</f>
        <v>0</v>
      </c>
      <c r="K743" s="249">
        <f>K742</f>
        <v>0</v>
      </c>
      <c r="L743" s="249">
        <f>L742</f>
        <v>0</v>
      </c>
      <c r="M743" s="249">
        <f>M742</f>
        <v>0</v>
      </c>
      <c r="N743" s="249">
        <f>N742</f>
        <v>0</v>
      </c>
      <c r="O743" s="249">
        <f>O742</f>
        <v>0</v>
      </c>
      <c r="P743" s="249">
        <f>P742</f>
        <v>0</v>
      </c>
      <c r="Q743" s="249">
        <f>Q742</f>
        <v>0</v>
      </c>
      <c r="R743" s="249">
        <f>R742</f>
        <v>0</v>
      </c>
      <c r="S743" s="249">
        <f>S742</f>
        <v>0</v>
      </c>
      <c r="T743" s="249">
        <f>T742</f>
        <v>0</v>
      </c>
      <c r="U743" s="249">
        <f>U742</f>
        <v>0</v>
      </c>
      <c r="V743" s="249">
        <f>V742</f>
        <v>0</v>
      </c>
      <c r="W743" s="249">
        <f>W742</f>
        <v>0</v>
      </c>
      <c r="X743" s="249">
        <f>X742</f>
        <v>0</v>
      </c>
      <c r="Y743" s="249">
        <f>Y742</f>
        <v>0</v>
      </c>
      <c r="Z743" s="249">
        <f>Z742</f>
        <v>0</v>
      </c>
      <c r="AA743" s="249">
        <f>AA742</f>
        <v>0</v>
      </c>
      <c r="AB743" s="249">
        <f>AB742</f>
        <v>0</v>
      </c>
      <c r="CH743" s="269"/>
      <c r="CI743" s="269"/>
      <c r="CJ743" s="269"/>
      <c r="CK743" s="269"/>
      <c r="CL743" s="269"/>
      <c r="CM743" s="269"/>
      <c r="CN743" s="269"/>
      <c r="CO743" s="269"/>
      <c r="CP743" s="269"/>
      <c r="CQ743" s="269"/>
      <c r="CR743" s="269"/>
      <c r="CS743" s="269"/>
    </row>
    <row r="744" spans="3:97" ht="12" customHeight="1" x14ac:dyDescent="0.3">
      <c r="C744" s="495">
        <f>C681</f>
        <v>456</v>
      </c>
      <c r="D744" s="249">
        <f>D743</f>
        <v>0</v>
      </c>
      <c r="E744" s="249">
        <f>E743</f>
        <v>0</v>
      </c>
      <c r="F744" s="249">
        <f>F743</f>
        <v>0</v>
      </c>
      <c r="G744" s="249">
        <f>G743</f>
        <v>0</v>
      </c>
      <c r="H744" s="249">
        <f>H743</f>
        <v>0</v>
      </c>
      <c r="I744" s="249">
        <f>I743</f>
        <v>0</v>
      </c>
      <c r="J744" s="249">
        <f>J743</f>
        <v>0</v>
      </c>
      <c r="K744" s="249">
        <f>K743</f>
        <v>0</v>
      </c>
      <c r="L744" s="249">
        <f>L743</f>
        <v>0</v>
      </c>
      <c r="M744" s="249">
        <f>M743</f>
        <v>0</v>
      </c>
      <c r="N744" s="249">
        <f>N743</f>
        <v>0</v>
      </c>
      <c r="O744" s="249">
        <f>O743</f>
        <v>0</v>
      </c>
      <c r="P744" s="249">
        <f>P743</f>
        <v>0</v>
      </c>
      <c r="Q744" s="249">
        <f>Q743</f>
        <v>0</v>
      </c>
      <c r="R744" s="249">
        <f>R743</f>
        <v>0</v>
      </c>
      <c r="S744" s="249">
        <f>S743</f>
        <v>0</v>
      </c>
      <c r="T744" s="249">
        <f>T743</f>
        <v>0</v>
      </c>
      <c r="U744" s="249">
        <f>U743</f>
        <v>0</v>
      </c>
      <c r="V744" s="249">
        <f>V743</f>
        <v>0</v>
      </c>
      <c r="W744" s="249">
        <f>W743</f>
        <v>0</v>
      </c>
      <c r="X744" s="249">
        <f>X743</f>
        <v>0</v>
      </c>
      <c r="Y744" s="249">
        <f>Y743</f>
        <v>0</v>
      </c>
      <c r="Z744" s="249">
        <f>Z743</f>
        <v>0</v>
      </c>
      <c r="AA744" s="249">
        <f>AA743</f>
        <v>0</v>
      </c>
      <c r="AB744" s="249">
        <f>AB743</f>
        <v>0</v>
      </c>
      <c r="CH744" s="269"/>
      <c r="CI744" s="269"/>
      <c r="CJ744" s="269"/>
      <c r="CK744" s="269"/>
      <c r="CL744" s="269"/>
      <c r="CM744" s="269"/>
      <c r="CN744" s="269"/>
      <c r="CO744" s="269"/>
      <c r="CP744" s="269"/>
      <c r="CQ744" s="269"/>
      <c r="CR744" s="269"/>
      <c r="CS744" s="269"/>
    </row>
    <row r="745" spans="3:97" ht="12" customHeight="1" x14ac:dyDescent="0.3">
      <c r="C745" s="495">
        <f>C682</f>
        <v>486</v>
      </c>
      <c r="D745" s="249">
        <f>D744</f>
        <v>0</v>
      </c>
      <c r="E745" s="249">
        <f>E744</f>
        <v>0</v>
      </c>
      <c r="F745" s="249">
        <f>F744</f>
        <v>0</v>
      </c>
      <c r="G745" s="249">
        <f>G744</f>
        <v>0</v>
      </c>
      <c r="H745" s="249">
        <f>H744</f>
        <v>0</v>
      </c>
      <c r="I745" s="249">
        <f>I744</f>
        <v>0</v>
      </c>
      <c r="J745" s="249">
        <f>J744</f>
        <v>0</v>
      </c>
      <c r="K745" s="249">
        <f>K744</f>
        <v>0</v>
      </c>
      <c r="L745" s="249">
        <f>L744</f>
        <v>0</v>
      </c>
      <c r="M745" s="249">
        <f>M744</f>
        <v>0</v>
      </c>
      <c r="N745" s="249">
        <f>N744</f>
        <v>0</v>
      </c>
      <c r="O745" s="249">
        <f>O744</f>
        <v>0</v>
      </c>
      <c r="P745" s="249">
        <f>P744</f>
        <v>0</v>
      </c>
      <c r="Q745" s="249">
        <f>Q744</f>
        <v>0</v>
      </c>
      <c r="R745" s="249">
        <f>R744</f>
        <v>0</v>
      </c>
      <c r="S745" s="249">
        <f>S744</f>
        <v>0</v>
      </c>
      <c r="T745" s="249">
        <f>T744</f>
        <v>0</v>
      </c>
      <c r="U745" s="249">
        <f>U744</f>
        <v>0</v>
      </c>
      <c r="V745" s="249">
        <f>V744</f>
        <v>0</v>
      </c>
      <c r="W745" s="249">
        <f>W744</f>
        <v>0</v>
      </c>
      <c r="X745" s="249">
        <f>X744</f>
        <v>0</v>
      </c>
      <c r="Y745" s="249">
        <f>Y744</f>
        <v>0</v>
      </c>
      <c r="Z745" s="249">
        <f>Z744</f>
        <v>0</v>
      </c>
      <c r="AA745" s="249">
        <f>AA744</f>
        <v>0</v>
      </c>
      <c r="AB745" s="249">
        <f>AB744</f>
        <v>0</v>
      </c>
      <c r="CH745" s="269"/>
      <c r="CI745" s="269"/>
      <c r="CJ745" s="269"/>
      <c r="CK745" s="269"/>
      <c r="CL745" s="269"/>
      <c r="CM745" s="269"/>
      <c r="CN745" s="269"/>
      <c r="CO745" s="269"/>
      <c r="CP745" s="269"/>
      <c r="CQ745" s="269"/>
      <c r="CR745" s="269"/>
      <c r="CS745" s="269"/>
    </row>
    <row r="746" spans="3:97" ht="12" customHeight="1" x14ac:dyDescent="0.3">
      <c r="C746" s="495">
        <f>C683</f>
        <v>517</v>
      </c>
      <c r="D746" s="249">
        <f>D745</f>
        <v>0</v>
      </c>
      <c r="E746" s="249">
        <f>E745</f>
        <v>0</v>
      </c>
      <c r="F746" s="249">
        <f>F745</f>
        <v>0</v>
      </c>
      <c r="G746" s="249">
        <f>G745</f>
        <v>0</v>
      </c>
      <c r="H746" s="249">
        <f>H745</f>
        <v>0</v>
      </c>
      <c r="I746" s="249">
        <f>I745</f>
        <v>0</v>
      </c>
      <c r="J746" s="249">
        <f>J745</f>
        <v>0</v>
      </c>
      <c r="K746" s="249">
        <f>K745</f>
        <v>0</v>
      </c>
      <c r="L746" s="249">
        <f>L745</f>
        <v>0</v>
      </c>
      <c r="M746" s="249">
        <f>M745</f>
        <v>0</v>
      </c>
      <c r="N746" s="249">
        <f>N745</f>
        <v>0</v>
      </c>
      <c r="O746" s="249">
        <f>O745</f>
        <v>0</v>
      </c>
      <c r="P746" s="249">
        <f>P745</f>
        <v>0</v>
      </c>
      <c r="Q746" s="249">
        <f>Q745</f>
        <v>0</v>
      </c>
      <c r="R746" s="249">
        <f>R745</f>
        <v>0</v>
      </c>
      <c r="S746" s="249">
        <f>S745</f>
        <v>0</v>
      </c>
      <c r="T746" s="249">
        <f>T745</f>
        <v>0</v>
      </c>
      <c r="U746" s="249">
        <f>U745</f>
        <v>0</v>
      </c>
      <c r="V746" s="249">
        <f>V745</f>
        <v>0</v>
      </c>
      <c r="W746" s="249">
        <f>W745</f>
        <v>0</v>
      </c>
      <c r="X746" s="249">
        <f>X745</f>
        <v>0</v>
      </c>
      <c r="Y746" s="249">
        <f>Y745</f>
        <v>0</v>
      </c>
      <c r="Z746" s="249">
        <f>Z745</f>
        <v>0</v>
      </c>
      <c r="AA746" s="249">
        <f>AA745</f>
        <v>0</v>
      </c>
      <c r="AB746" s="249">
        <f>AB745</f>
        <v>0</v>
      </c>
      <c r="CH746" s="269"/>
      <c r="CI746" s="269"/>
      <c r="CJ746" s="269"/>
      <c r="CK746" s="269"/>
      <c r="CL746" s="269"/>
      <c r="CM746" s="269"/>
      <c r="CN746" s="269"/>
      <c r="CO746" s="269"/>
      <c r="CP746" s="269"/>
      <c r="CQ746" s="269"/>
      <c r="CR746" s="269"/>
      <c r="CS746" s="269"/>
    </row>
    <row r="747" spans="3:97" ht="12" customHeight="1" x14ac:dyDescent="0.3">
      <c r="C747" s="495">
        <f>C684</f>
        <v>547</v>
      </c>
      <c r="D747" s="249">
        <f>D746</f>
        <v>0</v>
      </c>
      <c r="E747" s="249">
        <f>E746</f>
        <v>0</v>
      </c>
      <c r="F747" s="249">
        <f>F746</f>
        <v>0</v>
      </c>
      <c r="G747" s="249">
        <f>G746</f>
        <v>0</v>
      </c>
      <c r="H747" s="249">
        <f>H746</f>
        <v>0</v>
      </c>
      <c r="I747" s="249">
        <f>I746</f>
        <v>0</v>
      </c>
      <c r="J747" s="249">
        <f>J746</f>
        <v>0</v>
      </c>
      <c r="K747" s="249">
        <f>K746</f>
        <v>0</v>
      </c>
      <c r="L747" s="249">
        <f>L746</f>
        <v>0</v>
      </c>
      <c r="M747" s="249">
        <f>M746</f>
        <v>0</v>
      </c>
      <c r="N747" s="249">
        <f>N746</f>
        <v>0</v>
      </c>
      <c r="O747" s="249">
        <f>O746</f>
        <v>0</v>
      </c>
      <c r="P747" s="249">
        <f>P746</f>
        <v>0</v>
      </c>
      <c r="Q747" s="249">
        <f>Q746</f>
        <v>0</v>
      </c>
      <c r="R747" s="249">
        <f>R746</f>
        <v>0</v>
      </c>
      <c r="S747" s="249">
        <f>S746</f>
        <v>0</v>
      </c>
      <c r="T747" s="249">
        <f>T746</f>
        <v>0</v>
      </c>
      <c r="U747" s="249">
        <f>U746</f>
        <v>0</v>
      </c>
      <c r="V747" s="249">
        <f>V746</f>
        <v>0</v>
      </c>
      <c r="W747" s="249">
        <f>W746</f>
        <v>0</v>
      </c>
      <c r="X747" s="249">
        <f>X746</f>
        <v>0</v>
      </c>
      <c r="Y747" s="249">
        <f>Y746</f>
        <v>0</v>
      </c>
      <c r="Z747" s="249">
        <f>Z746</f>
        <v>0</v>
      </c>
      <c r="AA747" s="249">
        <f>AA746</f>
        <v>0</v>
      </c>
      <c r="AB747" s="249">
        <f>AB746</f>
        <v>0</v>
      </c>
      <c r="CH747" s="269"/>
      <c r="CI747" s="269"/>
      <c r="CJ747" s="269"/>
      <c r="CK747" s="269"/>
      <c r="CL747" s="269"/>
      <c r="CM747" s="269"/>
      <c r="CN747" s="269"/>
      <c r="CO747" s="269"/>
      <c r="CP747" s="269"/>
      <c r="CQ747" s="269"/>
      <c r="CR747" s="269"/>
      <c r="CS747" s="269"/>
    </row>
    <row r="748" spans="3:97" ht="12" customHeight="1" x14ac:dyDescent="0.3">
      <c r="C748" s="495">
        <f>C685</f>
        <v>578</v>
      </c>
      <c r="D748" s="249">
        <f>D747</f>
        <v>0</v>
      </c>
      <c r="E748" s="249">
        <f>E747</f>
        <v>0</v>
      </c>
      <c r="F748" s="249">
        <f>F747</f>
        <v>0</v>
      </c>
      <c r="G748" s="249">
        <f>G747</f>
        <v>0</v>
      </c>
      <c r="H748" s="249">
        <f>H747</f>
        <v>0</v>
      </c>
      <c r="I748" s="249">
        <f>I747</f>
        <v>0</v>
      </c>
      <c r="J748" s="249">
        <f>J747</f>
        <v>0</v>
      </c>
      <c r="K748" s="249">
        <f>K747</f>
        <v>0</v>
      </c>
      <c r="L748" s="249">
        <f>L747</f>
        <v>0</v>
      </c>
      <c r="M748" s="249">
        <f>M747</f>
        <v>0</v>
      </c>
      <c r="N748" s="249">
        <f>N747</f>
        <v>0</v>
      </c>
      <c r="O748" s="249">
        <f>O747</f>
        <v>0</v>
      </c>
      <c r="P748" s="249">
        <f>P747</f>
        <v>0</v>
      </c>
      <c r="Q748" s="249">
        <f>Q747</f>
        <v>0</v>
      </c>
      <c r="R748" s="249">
        <f>R747</f>
        <v>0</v>
      </c>
      <c r="S748" s="249">
        <f>S747</f>
        <v>0</v>
      </c>
      <c r="T748" s="249">
        <f>T747</f>
        <v>0</v>
      </c>
      <c r="U748" s="249">
        <f>U747</f>
        <v>0</v>
      </c>
      <c r="V748" s="249">
        <f>V747</f>
        <v>0</v>
      </c>
      <c r="W748" s="249">
        <f>W747</f>
        <v>0</v>
      </c>
      <c r="X748" s="249">
        <f>X747</f>
        <v>0</v>
      </c>
      <c r="Y748" s="249">
        <f>Y747</f>
        <v>0</v>
      </c>
      <c r="Z748" s="249">
        <f>Z747</f>
        <v>0</v>
      </c>
      <c r="AA748" s="249">
        <f>AA747</f>
        <v>0</v>
      </c>
      <c r="AB748" s="249">
        <f>AB747</f>
        <v>0</v>
      </c>
      <c r="CH748" s="269"/>
      <c r="CI748" s="269"/>
      <c r="CJ748" s="269"/>
      <c r="CK748" s="269"/>
      <c r="CL748" s="269"/>
      <c r="CM748" s="269"/>
      <c r="CN748" s="269"/>
      <c r="CO748" s="269"/>
      <c r="CP748" s="269"/>
      <c r="CQ748" s="269"/>
      <c r="CR748" s="269"/>
      <c r="CS748" s="269"/>
    </row>
    <row r="749" spans="3:97" ht="12" customHeight="1" x14ac:dyDescent="0.3">
      <c r="C749" s="495">
        <f>C686</f>
        <v>609</v>
      </c>
      <c r="D749" s="249">
        <f>D748</f>
        <v>0</v>
      </c>
      <c r="E749" s="249">
        <f>E748</f>
        <v>0</v>
      </c>
      <c r="F749" s="249">
        <f>F748</f>
        <v>0</v>
      </c>
      <c r="G749" s="249">
        <f>G748</f>
        <v>0</v>
      </c>
      <c r="H749" s="249">
        <f>H748</f>
        <v>0</v>
      </c>
      <c r="I749" s="249">
        <f>I748</f>
        <v>0</v>
      </c>
      <c r="J749" s="249">
        <f>J748</f>
        <v>0</v>
      </c>
      <c r="K749" s="249">
        <f>K748</f>
        <v>0</v>
      </c>
      <c r="L749" s="249">
        <f>L748</f>
        <v>0</v>
      </c>
      <c r="M749" s="249">
        <f>M748</f>
        <v>0</v>
      </c>
      <c r="N749" s="249">
        <f>N748</f>
        <v>0</v>
      </c>
      <c r="O749" s="249">
        <f>O748</f>
        <v>0</v>
      </c>
      <c r="P749" s="249">
        <f>P748</f>
        <v>0</v>
      </c>
      <c r="Q749" s="249">
        <f>Q748</f>
        <v>0</v>
      </c>
      <c r="R749" s="249">
        <f>R748</f>
        <v>0</v>
      </c>
      <c r="S749" s="249">
        <f>S748</f>
        <v>0</v>
      </c>
      <c r="T749" s="249">
        <f>T748</f>
        <v>0</v>
      </c>
      <c r="U749" s="249">
        <f>U748</f>
        <v>0</v>
      </c>
      <c r="V749" s="249">
        <f>V748</f>
        <v>0</v>
      </c>
      <c r="W749" s="249">
        <f>W748</f>
        <v>0</v>
      </c>
      <c r="X749" s="249">
        <f>X748</f>
        <v>0</v>
      </c>
      <c r="Y749" s="249">
        <f>Y748</f>
        <v>0</v>
      </c>
      <c r="Z749" s="249">
        <f>Z748</f>
        <v>0</v>
      </c>
      <c r="AA749" s="249">
        <f>AA748</f>
        <v>0</v>
      </c>
      <c r="AB749" s="249">
        <f>AB748</f>
        <v>0</v>
      </c>
      <c r="CH749" s="269"/>
      <c r="CI749" s="269"/>
      <c r="CJ749" s="269"/>
      <c r="CK749" s="269"/>
      <c r="CL749" s="269"/>
      <c r="CM749" s="269"/>
      <c r="CN749" s="269"/>
      <c r="CO749" s="269"/>
      <c r="CP749" s="269"/>
      <c r="CQ749" s="269"/>
      <c r="CR749" s="269"/>
      <c r="CS749" s="269"/>
    </row>
    <row r="750" spans="3:97" ht="12" customHeight="1" x14ac:dyDescent="0.3">
      <c r="C750" s="495">
        <f>C687</f>
        <v>639</v>
      </c>
      <c r="D750" s="249">
        <f>D749</f>
        <v>0</v>
      </c>
      <c r="E750" s="249">
        <f>E749</f>
        <v>0</v>
      </c>
      <c r="F750" s="249">
        <f>F749</f>
        <v>0</v>
      </c>
      <c r="G750" s="249">
        <f>G749</f>
        <v>0</v>
      </c>
      <c r="H750" s="249">
        <f>H749</f>
        <v>0</v>
      </c>
      <c r="I750" s="249">
        <f>I749</f>
        <v>0</v>
      </c>
      <c r="J750" s="249">
        <f>J749</f>
        <v>0</v>
      </c>
      <c r="K750" s="249">
        <f>K749</f>
        <v>0</v>
      </c>
      <c r="L750" s="249">
        <f>L749</f>
        <v>0</v>
      </c>
      <c r="M750" s="249">
        <f>M749</f>
        <v>0</v>
      </c>
      <c r="N750" s="249">
        <f>N749</f>
        <v>0</v>
      </c>
      <c r="O750" s="249">
        <f>O749</f>
        <v>0</v>
      </c>
      <c r="P750" s="249">
        <f>P749</f>
        <v>0</v>
      </c>
      <c r="Q750" s="249">
        <f>Q749</f>
        <v>0</v>
      </c>
      <c r="R750" s="249">
        <f>R749</f>
        <v>0</v>
      </c>
      <c r="S750" s="249">
        <f>S749</f>
        <v>0</v>
      </c>
      <c r="T750" s="249">
        <f>T749</f>
        <v>0</v>
      </c>
      <c r="U750" s="249">
        <f>U749</f>
        <v>0</v>
      </c>
      <c r="V750" s="249">
        <f>V749</f>
        <v>0</v>
      </c>
      <c r="W750" s="249">
        <f>W749</f>
        <v>0</v>
      </c>
      <c r="X750" s="249">
        <f>X749</f>
        <v>0</v>
      </c>
      <c r="Y750" s="249">
        <f>Y749</f>
        <v>0</v>
      </c>
      <c r="Z750" s="249">
        <f>Z749</f>
        <v>0</v>
      </c>
      <c r="AA750" s="249">
        <f>AA749</f>
        <v>0</v>
      </c>
      <c r="AB750" s="249">
        <f>AB749</f>
        <v>0</v>
      </c>
      <c r="CH750" s="269"/>
      <c r="CI750" s="269"/>
      <c r="CJ750" s="269"/>
      <c r="CK750" s="269"/>
      <c r="CL750" s="269"/>
      <c r="CM750" s="269"/>
      <c r="CN750" s="269"/>
      <c r="CO750" s="269"/>
      <c r="CP750" s="269"/>
      <c r="CQ750" s="269"/>
      <c r="CR750" s="269"/>
      <c r="CS750" s="269"/>
    </row>
    <row r="751" spans="3:97" ht="12" customHeight="1" x14ac:dyDescent="0.3">
      <c r="C751" s="495">
        <f>C688</f>
        <v>670</v>
      </c>
      <c r="D751" s="249">
        <f>D750</f>
        <v>0</v>
      </c>
      <c r="E751" s="249">
        <f>E750</f>
        <v>0</v>
      </c>
      <c r="F751" s="249">
        <f>F750</f>
        <v>0</v>
      </c>
      <c r="G751" s="249">
        <f>G750</f>
        <v>0</v>
      </c>
      <c r="H751" s="249">
        <f>H750</f>
        <v>0</v>
      </c>
      <c r="I751" s="249">
        <f>I750</f>
        <v>0</v>
      </c>
      <c r="J751" s="249">
        <f>J750</f>
        <v>0</v>
      </c>
      <c r="K751" s="249">
        <f>K750</f>
        <v>0</v>
      </c>
      <c r="L751" s="249">
        <f>L750</f>
        <v>0</v>
      </c>
      <c r="M751" s="249">
        <f>M750</f>
        <v>0</v>
      </c>
      <c r="N751" s="249">
        <f>N750</f>
        <v>0</v>
      </c>
      <c r="O751" s="249">
        <f>O750</f>
        <v>0</v>
      </c>
      <c r="P751" s="249">
        <f>P750</f>
        <v>0</v>
      </c>
      <c r="Q751" s="249">
        <f>Q750</f>
        <v>0</v>
      </c>
      <c r="R751" s="249">
        <f>R750</f>
        <v>0</v>
      </c>
      <c r="S751" s="249">
        <f>S750</f>
        <v>0</v>
      </c>
      <c r="T751" s="249">
        <f>T750</f>
        <v>0</v>
      </c>
      <c r="U751" s="249">
        <f>U750</f>
        <v>0</v>
      </c>
      <c r="V751" s="249">
        <f>V750</f>
        <v>0</v>
      </c>
      <c r="W751" s="249">
        <f>W750</f>
        <v>0</v>
      </c>
      <c r="X751" s="249">
        <f>X750</f>
        <v>0</v>
      </c>
      <c r="Y751" s="249">
        <f>Y750</f>
        <v>0</v>
      </c>
      <c r="Z751" s="249">
        <f>Z750</f>
        <v>0</v>
      </c>
      <c r="AA751" s="249">
        <f>AA750</f>
        <v>0</v>
      </c>
      <c r="AB751" s="249">
        <f>AB750</f>
        <v>0</v>
      </c>
      <c r="CH751" s="269"/>
      <c r="CI751" s="269"/>
      <c r="CJ751" s="269"/>
      <c r="CK751" s="269"/>
      <c r="CL751" s="269"/>
      <c r="CM751" s="269"/>
      <c r="CN751" s="269"/>
      <c r="CO751" s="269"/>
      <c r="CP751" s="269"/>
      <c r="CQ751" s="269"/>
      <c r="CR751" s="269"/>
      <c r="CS751" s="269"/>
    </row>
    <row r="752" spans="3:97" ht="12" customHeight="1" x14ac:dyDescent="0.3">
      <c r="C752" s="495">
        <f>C689</f>
        <v>700</v>
      </c>
      <c r="D752" s="249">
        <f>D751</f>
        <v>0</v>
      </c>
      <c r="E752" s="249">
        <f>E751</f>
        <v>0</v>
      </c>
      <c r="F752" s="249">
        <f>F751</f>
        <v>0</v>
      </c>
      <c r="G752" s="249">
        <f>G751</f>
        <v>0</v>
      </c>
      <c r="H752" s="249">
        <f>H751</f>
        <v>0</v>
      </c>
      <c r="I752" s="249">
        <f>I751</f>
        <v>0</v>
      </c>
      <c r="J752" s="249">
        <f>J751</f>
        <v>0</v>
      </c>
      <c r="K752" s="249">
        <f>K751</f>
        <v>0</v>
      </c>
      <c r="L752" s="249">
        <f>L751</f>
        <v>0</v>
      </c>
      <c r="M752" s="249">
        <f>M751</f>
        <v>0</v>
      </c>
      <c r="N752" s="249">
        <f>N751</f>
        <v>0</v>
      </c>
      <c r="O752" s="249">
        <f>O751</f>
        <v>0</v>
      </c>
      <c r="P752" s="249">
        <f>P751</f>
        <v>0</v>
      </c>
      <c r="Q752" s="249">
        <f>Q751</f>
        <v>0</v>
      </c>
      <c r="R752" s="249">
        <f>R751</f>
        <v>0</v>
      </c>
      <c r="S752" s="249">
        <f>S751</f>
        <v>0</v>
      </c>
      <c r="T752" s="249">
        <f>T751</f>
        <v>0</v>
      </c>
      <c r="U752" s="249">
        <f>U751</f>
        <v>0</v>
      </c>
      <c r="V752" s="249">
        <f>V751</f>
        <v>0</v>
      </c>
      <c r="W752" s="249">
        <f>W751</f>
        <v>0</v>
      </c>
      <c r="X752" s="249">
        <f>X751</f>
        <v>0</v>
      </c>
      <c r="Y752" s="249">
        <f>Y751</f>
        <v>0</v>
      </c>
      <c r="Z752" s="249">
        <f>Z751</f>
        <v>0</v>
      </c>
      <c r="AA752" s="249">
        <f>AA751</f>
        <v>0</v>
      </c>
      <c r="AB752" s="249">
        <f>AB751</f>
        <v>0</v>
      </c>
      <c r="CH752" s="269"/>
      <c r="CI752" s="269"/>
      <c r="CJ752" s="269"/>
      <c r="CK752" s="269"/>
      <c r="CL752" s="269"/>
      <c r="CM752" s="269"/>
      <c r="CN752" s="269"/>
      <c r="CO752" s="269"/>
      <c r="CP752" s="269"/>
      <c r="CQ752" s="269"/>
      <c r="CR752" s="269"/>
      <c r="CS752" s="269"/>
    </row>
    <row r="753" spans="3:97" ht="12" customHeight="1" thickBot="1" x14ac:dyDescent="0.35">
      <c r="C753" s="496">
        <f>C690</f>
        <v>731</v>
      </c>
      <c r="D753" s="250">
        <f>D752</f>
        <v>0</v>
      </c>
      <c r="E753" s="250">
        <f>E752</f>
        <v>0</v>
      </c>
      <c r="F753" s="250">
        <f>F752</f>
        <v>0</v>
      </c>
      <c r="G753" s="250">
        <f>G752</f>
        <v>0</v>
      </c>
      <c r="H753" s="250">
        <f>H752</f>
        <v>0</v>
      </c>
      <c r="I753" s="250">
        <f>I752</f>
        <v>0</v>
      </c>
      <c r="J753" s="250">
        <f>J752</f>
        <v>0</v>
      </c>
      <c r="K753" s="250">
        <f>K752</f>
        <v>0</v>
      </c>
      <c r="L753" s="250">
        <f>L752</f>
        <v>0</v>
      </c>
      <c r="M753" s="250">
        <f>M752</f>
        <v>0</v>
      </c>
      <c r="N753" s="250">
        <f>N752</f>
        <v>0</v>
      </c>
      <c r="O753" s="250">
        <f>O752</f>
        <v>0</v>
      </c>
      <c r="P753" s="250">
        <f>P752</f>
        <v>0</v>
      </c>
      <c r="Q753" s="250">
        <f>Q752</f>
        <v>0</v>
      </c>
      <c r="R753" s="250">
        <f>R752</f>
        <v>0</v>
      </c>
      <c r="S753" s="250">
        <f>S752</f>
        <v>0</v>
      </c>
      <c r="T753" s="250">
        <f>T752</f>
        <v>0</v>
      </c>
      <c r="U753" s="250">
        <f>U752</f>
        <v>0</v>
      </c>
      <c r="V753" s="250">
        <f>V752</f>
        <v>0</v>
      </c>
      <c r="W753" s="250">
        <f>W752</f>
        <v>0</v>
      </c>
      <c r="X753" s="250">
        <f>X752</f>
        <v>0</v>
      </c>
      <c r="Y753" s="250">
        <f>Y752</f>
        <v>0</v>
      </c>
      <c r="Z753" s="250">
        <f>Z752</f>
        <v>0</v>
      </c>
      <c r="AA753" s="250">
        <f>AA752</f>
        <v>0</v>
      </c>
      <c r="AB753" s="250">
        <f>AB752</f>
        <v>0</v>
      </c>
      <c r="CH753" s="269"/>
      <c r="CI753" s="269"/>
      <c r="CJ753" s="269"/>
      <c r="CK753" s="269"/>
      <c r="CL753" s="269"/>
      <c r="CM753" s="269"/>
      <c r="CN753" s="269"/>
      <c r="CO753" s="269"/>
      <c r="CP753" s="269"/>
      <c r="CQ753" s="269"/>
      <c r="CR753" s="269"/>
      <c r="CS753" s="269"/>
    </row>
    <row r="754" spans="3:97" ht="12" customHeight="1" x14ac:dyDescent="0.3">
      <c r="C754" s="495">
        <f>C691</f>
        <v>762</v>
      </c>
      <c r="D754" s="246">
        <f>Input!D48</f>
        <v>0</v>
      </c>
      <c r="E754" s="248">
        <f>Input!E48</f>
        <v>0</v>
      </c>
      <c r="F754" s="248">
        <f>Input!F48</f>
        <v>0</v>
      </c>
      <c r="G754" s="248">
        <f>Input!G48</f>
        <v>0</v>
      </c>
      <c r="H754" s="248">
        <f>Input!H48</f>
        <v>0</v>
      </c>
      <c r="I754" s="248">
        <f>Input!I48</f>
        <v>0</v>
      </c>
      <c r="J754" s="248">
        <f>Input!J48</f>
        <v>0</v>
      </c>
      <c r="K754" s="248">
        <f>Input!K48</f>
        <v>0</v>
      </c>
      <c r="L754" s="248">
        <f>Input!L48</f>
        <v>0</v>
      </c>
      <c r="M754" s="248">
        <f>Input!M48</f>
        <v>0</v>
      </c>
      <c r="N754" s="248">
        <f>Input!N48</f>
        <v>0</v>
      </c>
      <c r="O754" s="248">
        <f>Input!O48</f>
        <v>0</v>
      </c>
      <c r="P754" s="248">
        <f>Input!P48</f>
        <v>0</v>
      </c>
      <c r="Q754" s="248">
        <f>Input!Q48</f>
        <v>0</v>
      </c>
      <c r="R754" s="248">
        <f>Input!R48</f>
        <v>0</v>
      </c>
      <c r="S754" s="248">
        <f>Input!S48</f>
        <v>0</v>
      </c>
      <c r="T754" s="248">
        <f>Input!T48</f>
        <v>0</v>
      </c>
      <c r="U754" s="248">
        <f>Input!U48</f>
        <v>0</v>
      </c>
      <c r="V754" s="248">
        <f>Input!V48</f>
        <v>0</v>
      </c>
      <c r="W754" s="248">
        <f>Input!W48</f>
        <v>0</v>
      </c>
      <c r="X754" s="248">
        <f>Input!X48</f>
        <v>0</v>
      </c>
      <c r="Y754" s="248">
        <f>Input!Y48</f>
        <v>0</v>
      </c>
      <c r="Z754" s="248">
        <f>Input!Z48</f>
        <v>0</v>
      </c>
      <c r="AA754" s="248">
        <f>Input!AA48</f>
        <v>0</v>
      </c>
      <c r="AB754" s="248">
        <f>Input!AB48</f>
        <v>0</v>
      </c>
      <c r="CH754" s="269"/>
      <c r="CI754" s="269"/>
      <c r="CJ754" s="269"/>
      <c r="CK754" s="269"/>
      <c r="CL754" s="269"/>
      <c r="CM754" s="269"/>
      <c r="CN754" s="269"/>
      <c r="CO754" s="269"/>
      <c r="CP754" s="269"/>
      <c r="CQ754" s="269"/>
      <c r="CR754" s="269"/>
      <c r="CS754" s="269"/>
    </row>
    <row r="755" spans="3:97" ht="12" customHeight="1" x14ac:dyDescent="0.3">
      <c r="C755" s="495">
        <f>C692</f>
        <v>790</v>
      </c>
      <c r="D755" s="248">
        <f>D754</f>
        <v>0</v>
      </c>
      <c r="E755" s="249">
        <f>E754</f>
        <v>0</v>
      </c>
      <c r="F755" s="249">
        <f>F754</f>
        <v>0</v>
      </c>
      <c r="G755" s="249">
        <f>G754</f>
        <v>0</v>
      </c>
      <c r="H755" s="249">
        <f>H754</f>
        <v>0</v>
      </c>
      <c r="I755" s="249">
        <f>I754</f>
        <v>0</v>
      </c>
      <c r="J755" s="249">
        <f>J754</f>
        <v>0</v>
      </c>
      <c r="K755" s="249">
        <f>K754</f>
        <v>0</v>
      </c>
      <c r="L755" s="249">
        <f>L754</f>
        <v>0</v>
      </c>
      <c r="M755" s="249">
        <f>M754</f>
        <v>0</v>
      </c>
      <c r="N755" s="249">
        <f>N754</f>
        <v>0</v>
      </c>
      <c r="O755" s="249">
        <f>O754</f>
        <v>0</v>
      </c>
      <c r="P755" s="249">
        <f>P754</f>
        <v>0</v>
      </c>
      <c r="Q755" s="249">
        <f>Q754</f>
        <v>0</v>
      </c>
      <c r="R755" s="249">
        <f>R754</f>
        <v>0</v>
      </c>
      <c r="S755" s="249">
        <f>S754</f>
        <v>0</v>
      </c>
      <c r="T755" s="249">
        <f>T754</f>
        <v>0</v>
      </c>
      <c r="U755" s="249">
        <f>U754</f>
        <v>0</v>
      </c>
      <c r="V755" s="249">
        <f>V754</f>
        <v>0</v>
      </c>
      <c r="W755" s="249">
        <f>W754</f>
        <v>0</v>
      </c>
      <c r="X755" s="249">
        <f>X754</f>
        <v>0</v>
      </c>
      <c r="Y755" s="249">
        <f>Y754</f>
        <v>0</v>
      </c>
      <c r="Z755" s="249">
        <f>Z754</f>
        <v>0</v>
      </c>
      <c r="AA755" s="249">
        <f>AA754</f>
        <v>0</v>
      </c>
      <c r="AB755" s="249">
        <f>AB754</f>
        <v>0</v>
      </c>
      <c r="CH755" s="269"/>
      <c r="CI755" s="269"/>
      <c r="CJ755" s="269"/>
      <c r="CK755" s="269"/>
      <c r="CL755" s="269"/>
      <c r="CM755" s="269"/>
      <c r="CN755" s="269"/>
      <c r="CO755" s="269"/>
      <c r="CP755" s="269"/>
      <c r="CQ755" s="269"/>
      <c r="CR755" s="269"/>
      <c r="CS755" s="269"/>
    </row>
    <row r="756" spans="3:97" ht="12" customHeight="1" x14ac:dyDescent="0.3">
      <c r="C756" s="495">
        <f>C693</f>
        <v>821</v>
      </c>
      <c r="D756" s="249">
        <f>D755</f>
        <v>0</v>
      </c>
      <c r="E756" s="249">
        <f>E755</f>
        <v>0</v>
      </c>
      <c r="F756" s="249">
        <f>F755</f>
        <v>0</v>
      </c>
      <c r="G756" s="249">
        <f>G755</f>
        <v>0</v>
      </c>
      <c r="H756" s="249">
        <f>H755</f>
        <v>0</v>
      </c>
      <c r="I756" s="249">
        <f>I755</f>
        <v>0</v>
      </c>
      <c r="J756" s="249">
        <f>J755</f>
        <v>0</v>
      </c>
      <c r="K756" s="249">
        <f>K755</f>
        <v>0</v>
      </c>
      <c r="L756" s="249">
        <f>L755</f>
        <v>0</v>
      </c>
      <c r="M756" s="249">
        <f>M755</f>
        <v>0</v>
      </c>
      <c r="N756" s="249">
        <f>N755</f>
        <v>0</v>
      </c>
      <c r="O756" s="249">
        <f>O755</f>
        <v>0</v>
      </c>
      <c r="P756" s="249">
        <f>P755</f>
        <v>0</v>
      </c>
      <c r="Q756" s="249">
        <f>Q755</f>
        <v>0</v>
      </c>
      <c r="R756" s="249">
        <f>R755</f>
        <v>0</v>
      </c>
      <c r="S756" s="249">
        <f>S755</f>
        <v>0</v>
      </c>
      <c r="T756" s="249">
        <f>T755</f>
        <v>0</v>
      </c>
      <c r="U756" s="249">
        <f>U755</f>
        <v>0</v>
      </c>
      <c r="V756" s="249">
        <f>V755</f>
        <v>0</v>
      </c>
      <c r="W756" s="249">
        <f>W755</f>
        <v>0</v>
      </c>
      <c r="X756" s="249">
        <f>X755</f>
        <v>0</v>
      </c>
      <c r="Y756" s="249">
        <f>Y755</f>
        <v>0</v>
      </c>
      <c r="Z756" s="249">
        <f>Z755</f>
        <v>0</v>
      </c>
      <c r="AA756" s="249">
        <f>AA755</f>
        <v>0</v>
      </c>
      <c r="AB756" s="249">
        <f>AB755</f>
        <v>0</v>
      </c>
      <c r="CH756" s="269"/>
      <c r="CI756" s="269"/>
      <c r="CJ756" s="269"/>
      <c r="CK756" s="269"/>
      <c r="CL756" s="269"/>
      <c r="CM756" s="269"/>
      <c r="CN756" s="269"/>
      <c r="CO756" s="269"/>
      <c r="CP756" s="269"/>
      <c r="CQ756" s="269"/>
      <c r="CR756" s="269"/>
      <c r="CS756" s="269"/>
    </row>
    <row r="757" spans="3:97" ht="12" customHeight="1" x14ac:dyDescent="0.3">
      <c r="C757" s="495">
        <f>C694</f>
        <v>851</v>
      </c>
      <c r="D757" s="249">
        <f>D756</f>
        <v>0</v>
      </c>
      <c r="E757" s="249">
        <f>E756</f>
        <v>0</v>
      </c>
      <c r="F757" s="249">
        <f>F756</f>
        <v>0</v>
      </c>
      <c r="G757" s="249">
        <f>G756</f>
        <v>0</v>
      </c>
      <c r="H757" s="249">
        <f>H756</f>
        <v>0</v>
      </c>
      <c r="I757" s="249">
        <f>I756</f>
        <v>0</v>
      </c>
      <c r="J757" s="249">
        <f>J756</f>
        <v>0</v>
      </c>
      <c r="K757" s="249">
        <f>K756</f>
        <v>0</v>
      </c>
      <c r="L757" s="249">
        <f>L756</f>
        <v>0</v>
      </c>
      <c r="M757" s="249">
        <f>M756</f>
        <v>0</v>
      </c>
      <c r="N757" s="249">
        <f>N756</f>
        <v>0</v>
      </c>
      <c r="O757" s="249">
        <f>O756</f>
        <v>0</v>
      </c>
      <c r="P757" s="249">
        <f>P756</f>
        <v>0</v>
      </c>
      <c r="Q757" s="249">
        <f>Q756</f>
        <v>0</v>
      </c>
      <c r="R757" s="249">
        <f>R756</f>
        <v>0</v>
      </c>
      <c r="S757" s="249">
        <f>S756</f>
        <v>0</v>
      </c>
      <c r="T757" s="249">
        <f>T756</f>
        <v>0</v>
      </c>
      <c r="U757" s="249">
        <f>U756</f>
        <v>0</v>
      </c>
      <c r="V757" s="249">
        <f>V756</f>
        <v>0</v>
      </c>
      <c r="W757" s="249">
        <f>W756</f>
        <v>0</v>
      </c>
      <c r="X757" s="249">
        <f>X756</f>
        <v>0</v>
      </c>
      <c r="Y757" s="249">
        <f>Y756</f>
        <v>0</v>
      </c>
      <c r="Z757" s="249">
        <f>Z756</f>
        <v>0</v>
      </c>
      <c r="AA757" s="249">
        <f>AA756</f>
        <v>0</v>
      </c>
      <c r="AB757" s="249">
        <f>AB756</f>
        <v>0</v>
      </c>
      <c r="CH757" s="269"/>
      <c r="CI757" s="269"/>
      <c r="CJ757" s="269"/>
      <c r="CK757" s="269"/>
      <c r="CL757" s="269"/>
      <c r="CM757" s="269"/>
      <c r="CN757" s="269"/>
      <c r="CO757" s="269"/>
      <c r="CP757" s="269"/>
      <c r="CQ757" s="269"/>
      <c r="CR757" s="269"/>
      <c r="CS757" s="269"/>
    </row>
    <row r="758" spans="3:97" ht="12" customHeight="1" x14ac:dyDescent="0.3">
      <c r="C758" s="495">
        <f>C695</f>
        <v>882</v>
      </c>
      <c r="D758" s="249">
        <f>D757</f>
        <v>0</v>
      </c>
      <c r="E758" s="249">
        <f>E757</f>
        <v>0</v>
      </c>
      <c r="F758" s="249">
        <f>F757</f>
        <v>0</v>
      </c>
      <c r="G758" s="249">
        <f>G757</f>
        <v>0</v>
      </c>
      <c r="H758" s="249">
        <f>H757</f>
        <v>0</v>
      </c>
      <c r="I758" s="249">
        <f>I757</f>
        <v>0</v>
      </c>
      <c r="J758" s="249">
        <f>J757</f>
        <v>0</v>
      </c>
      <c r="K758" s="249">
        <f>K757</f>
        <v>0</v>
      </c>
      <c r="L758" s="249">
        <f>L757</f>
        <v>0</v>
      </c>
      <c r="M758" s="249">
        <f>M757</f>
        <v>0</v>
      </c>
      <c r="N758" s="249">
        <f>N757</f>
        <v>0</v>
      </c>
      <c r="O758" s="249">
        <f>O757</f>
        <v>0</v>
      </c>
      <c r="P758" s="249">
        <f>P757</f>
        <v>0</v>
      </c>
      <c r="Q758" s="249">
        <f>Q757</f>
        <v>0</v>
      </c>
      <c r="R758" s="249">
        <f>R757</f>
        <v>0</v>
      </c>
      <c r="S758" s="249">
        <f>S757</f>
        <v>0</v>
      </c>
      <c r="T758" s="249">
        <f>T757</f>
        <v>0</v>
      </c>
      <c r="U758" s="249">
        <f>U757</f>
        <v>0</v>
      </c>
      <c r="V758" s="249">
        <f>V757</f>
        <v>0</v>
      </c>
      <c r="W758" s="249">
        <f>W757</f>
        <v>0</v>
      </c>
      <c r="X758" s="249">
        <f>X757</f>
        <v>0</v>
      </c>
      <c r="Y758" s="249">
        <f>Y757</f>
        <v>0</v>
      </c>
      <c r="Z758" s="249">
        <f>Z757</f>
        <v>0</v>
      </c>
      <c r="AA758" s="249">
        <f>AA757</f>
        <v>0</v>
      </c>
      <c r="AB758" s="249">
        <f>AB757</f>
        <v>0</v>
      </c>
      <c r="CH758" s="269"/>
      <c r="CI758" s="269"/>
      <c r="CJ758" s="269"/>
      <c r="CK758" s="269"/>
      <c r="CL758" s="269"/>
      <c r="CM758" s="269"/>
      <c r="CN758" s="269"/>
      <c r="CO758" s="269"/>
      <c r="CP758" s="269"/>
      <c r="CQ758" s="269"/>
      <c r="CR758" s="269"/>
      <c r="CS758" s="269"/>
    </row>
    <row r="759" spans="3:97" ht="12" customHeight="1" x14ac:dyDescent="0.3">
      <c r="C759" s="495">
        <f>C696</f>
        <v>912</v>
      </c>
      <c r="D759" s="249">
        <f>D758</f>
        <v>0</v>
      </c>
      <c r="E759" s="249">
        <f>E758</f>
        <v>0</v>
      </c>
      <c r="F759" s="249">
        <f>F758</f>
        <v>0</v>
      </c>
      <c r="G759" s="249">
        <f>G758</f>
        <v>0</v>
      </c>
      <c r="H759" s="249">
        <f>H758</f>
        <v>0</v>
      </c>
      <c r="I759" s="249">
        <f>I758</f>
        <v>0</v>
      </c>
      <c r="J759" s="249">
        <f>J758</f>
        <v>0</v>
      </c>
      <c r="K759" s="249">
        <f>K758</f>
        <v>0</v>
      </c>
      <c r="L759" s="249">
        <f>L758</f>
        <v>0</v>
      </c>
      <c r="M759" s="249">
        <f>M758</f>
        <v>0</v>
      </c>
      <c r="N759" s="249">
        <f>N758</f>
        <v>0</v>
      </c>
      <c r="O759" s="249">
        <f>O758</f>
        <v>0</v>
      </c>
      <c r="P759" s="249">
        <f>P758</f>
        <v>0</v>
      </c>
      <c r="Q759" s="249">
        <f>Q758</f>
        <v>0</v>
      </c>
      <c r="R759" s="249">
        <f>R758</f>
        <v>0</v>
      </c>
      <c r="S759" s="249">
        <f>S758</f>
        <v>0</v>
      </c>
      <c r="T759" s="249">
        <f>T758</f>
        <v>0</v>
      </c>
      <c r="U759" s="249">
        <f>U758</f>
        <v>0</v>
      </c>
      <c r="V759" s="249">
        <f>V758</f>
        <v>0</v>
      </c>
      <c r="W759" s="249">
        <f>W758</f>
        <v>0</v>
      </c>
      <c r="X759" s="249">
        <f>X758</f>
        <v>0</v>
      </c>
      <c r="Y759" s="249">
        <f>Y758</f>
        <v>0</v>
      </c>
      <c r="Z759" s="249">
        <f>Z758</f>
        <v>0</v>
      </c>
      <c r="AA759" s="249">
        <f>AA758</f>
        <v>0</v>
      </c>
      <c r="AB759" s="249">
        <f>AB758</f>
        <v>0</v>
      </c>
      <c r="CH759" s="269"/>
      <c r="CI759" s="269"/>
      <c r="CJ759" s="269"/>
      <c r="CK759" s="269"/>
      <c r="CL759" s="269"/>
      <c r="CM759" s="269"/>
      <c r="CN759" s="269"/>
      <c r="CO759" s="269"/>
      <c r="CP759" s="269"/>
      <c r="CQ759" s="269"/>
      <c r="CR759" s="269"/>
      <c r="CS759" s="269"/>
    </row>
    <row r="760" spans="3:97" ht="12" customHeight="1" x14ac:dyDescent="0.3">
      <c r="C760" s="495">
        <f>C697</f>
        <v>943</v>
      </c>
      <c r="D760" s="249">
        <f>D759</f>
        <v>0</v>
      </c>
      <c r="E760" s="249">
        <f>E759</f>
        <v>0</v>
      </c>
      <c r="F760" s="249">
        <f>F759</f>
        <v>0</v>
      </c>
      <c r="G760" s="249">
        <f>G759</f>
        <v>0</v>
      </c>
      <c r="H760" s="249">
        <f>H759</f>
        <v>0</v>
      </c>
      <c r="I760" s="249">
        <f>I759</f>
        <v>0</v>
      </c>
      <c r="J760" s="249">
        <f>J759</f>
        <v>0</v>
      </c>
      <c r="K760" s="249">
        <f>K759</f>
        <v>0</v>
      </c>
      <c r="L760" s="249">
        <f>L759</f>
        <v>0</v>
      </c>
      <c r="M760" s="249">
        <f>M759</f>
        <v>0</v>
      </c>
      <c r="N760" s="249">
        <f>N759</f>
        <v>0</v>
      </c>
      <c r="O760" s="249">
        <f>O759</f>
        <v>0</v>
      </c>
      <c r="P760" s="249">
        <f>P759</f>
        <v>0</v>
      </c>
      <c r="Q760" s="249">
        <f>Q759</f>
        <v>0</v>
      </c>
      <c r="R760" s="249">
        <f>R759</f>
        <v>0</v>
      </c>
      <c r="S760" s="249">
        <f>S759</f>
        <v>0</v>
      </c>
      <c r="T760" s="249">
        <f>T759</f>
        <v>0</v>
      </c>
      <c r="U760" s="249">
        <f>U759</f>
        <v>0</v>
      </c>
      <c r="V760" s="249">
        <f>V759</f>
        <v>0</v>
      </c>
      <c r="W760" s="249">
        <f>W759</f>
        <v>0</v>
      </c>
      <c r="X760" s="249">
        <f>X759</f>
        <v>0</v>
      </c>
      <c r="Y760" s="249">
        <f>Y759</f>
        <v>0</v>
      </c>
      <c r="Z760" s="249">
        <f>Z759</f>
        <v>0</v>
      </c>
      <c r="AA760" s="249">
        <f>AA759</f>
        <v>0</v>
      </c>
      <c r="AB760" s="249">
        <f>AB759</f>
        <v>0</v>
      </c>
      <c r="CH760" s="269"/>
      <c r="CI760" s="269"/>
      <c r="CJ760" s="269"/>
      <c r="CK760" s="269"/>
      <c r="CL760" s="269"/>
      <c r="CM760" s="269"/>
      <c r="CN760" s="269"/>
      <c r="CO760" s="269"/>
      <c r="CP760" s="269"/>
      <c r="CQ760" s="269"/>
      <c r="CR760" s="269"/>
      <c r="CS760" s="269"/>
    </row>
    <row r="761" spans="3:97" ht="12" customHeight="1" x14ac:dyDescent="0.3">
      <c r="C761" s="495">
        <f>C698</f>
        <v>974</v>
      </c>
      <c r="D761" s="249">
        <f>D760</f>
        <v>0</v>
      </c>
      <c r="E761" s="249">
        <f>E760</f>
        <v>0</v>
      </c>
      <c r="F761" s="249">
        <f>F760</f>
        <v>0</v>
      </c>
      <c r="G761" s="249">
        <f>G760</f>
        <v>0</v>
      </c>
      <c r="H761" s="249">
        <f>H760</f>
        <v>0</v>
      </c>
      <c r="I761" s="249">
        <f>I760</f>
        <v>0</v>
      </c>
      <c r="J761" s="249">
        <f>J760</f>
        <v>0</v>
      </c>
      <c r="K761" s="249">
        <f>K760</f>
        <v>0</v>
      </c>
      <c r="L761" s="249">
        <f>L760</f>
        <v>0</v>
      </c>
      <c r="M761" s="249">
        <f>M760</f>
        <v>0</v>
      </c>
      <c r="N761" s="249">
        <f>N760</f>
        <v>0</v>
      </c>
      <c r="O761" s="249">
        <f>O760</f>
        <v>0</v>
      </c>
      <c r="P761" s="249">
        <f>P760</f>
        <v>0</v>
      </c>
      <c r="Q761" s="249">
        <f>Q760</f>
        <v>0</v>
      </c>
      <c r="R761" s="249">
        <f>R760</f>
        <v>0</v>
      </c>
      <c r="S761" s="249">
        <f>S760</f>
        <v>0</v>
      </c>
      <c r="T761" s="249">
        <f>T760</f>
        <v>0</v>
      </c>
      <c r="U761" s="249">
        <f>U760</f>
        <v>0</v>
      </c>
      <c r="V761" s="249">
        <f>V760</f>
        <v>0</v>
      </c>
      <c r="W761" s="249">
        <f>W760</f>
        <v>0</v>
      </c>
      <c r="X761" s="249">
        <f>X760</f>
        <v>0</v>
      </c>
      <c r="Y761" s="249">
        <f>Y760</f>
        <v>0</v>
      </c>
      <c r="Z761" s="249">
        <f>Z760</f>
        <v>0</v>
      </c>
      <c r="AA761" s="249">
        <f>AA760</f>
        <v>0</v>
      </c>
      <c r="AB761" s="249">
        <f>AB760</f>
        <v>0</v>
      </c>
      <c r="CH761" s="269"/>
      <c r="CI761" s="269"/>
      <c r="CJ761" s="269"/>
      <c r="CK761" s="269"/>
      <c r="CL761" s="269"/>
      <c r="CM761" s="269"/>
      <c r="CN761" s="269"/>
      <c r="CO761" s="269"/>
      <c r="CP761" s="269"/>
      <c r="CQ761" s="269"/>
      <c r="CR761" s="269"/>
      <c r="CS761" s="269"/>
    </row>
    <row r="762" spans="3:97" ht="12" customHeight="1" x14ac:dyDescent="0.3">
      <c r="C762" s="495">
        <f>C699</f>
        <v>1004</v>
      </c>
      <c r="D762" s="249">
        <f>D761</f>
        <v>0</v>
      </c>
      <c r="E762" s="249">
        <f>E761</f>
        <v>0</v>
      </c>
      <c r="F762" s="249">
        <f>F761</f>
        <v>0</v>
      </c>
      <c r="G762" s="249">
        <f>G761</f>
        <v>0</v>
      </c>
      <c r="H762" s="249">
        <f>H761</f>
        <v>0</v>
      </c>
      <c r="I762" s="249">
        <f>I761</f>
        <v>0</v>
      </c>
      <c r="J762" s="249">
        <f>J761</f>
        <v>0</v>
      </c>
      <c r="K762" s="249">
        <f>K761</f>
        <v>0</v>
      </c>
      <c r="L762" s="249">
        <f>L761</f>
        <v>0</v>
      </c>
      <c r="M762" s="249">
        <f>M761</f>
        <v>0</v>
      </c>
      <c r="N762" s="249">
        <f>N761</f>
        <v>0</v>
      </c>
      <c r="O762" s="249">
        <f>O761</f>
        <v>0</v>
      </c>
      <c r="P762" s="249">
        <f>P761</f>
        <v>0</v>
      </c>
      <c r="Q762" s="249">
        <f>Q761</f>
        <v>0</v>
      </c>
      <c r="R762" s="249">
        <f>R761</f>
        <v>0</v>
      </c>
      <c r="S762" s="249">
        <f>S761</f>
        <v>0</v>
      </c>
      <c r="T762" s="249">
        <f>T761</f>
        <v>0</v>
      </c>
      <c r="U762" s="249">
        <f>U761</f>
        <v>0</v>
      </c>
      <c r="V762" s="249">
        <f>V761</f>
        <v>0</v>
      </c>
      <c r="W762" s="249">
        <f>W761</f>
        <v>0</v>
      </c>
      <c r="X762" s="249">
        <f>X761</f>
        <v>0</v>
      </c>
      <c r="Y762" s="249">
        <f>Y761</f>
        <v>0</v>
      </c>
      <c r="Z762" s="249">
        <f>Z761</f>
        <v>0</v>
      </c>
      <c r="AA762" s="249">
        <f>AA761</f>
        <v>0</v>
      </c>
      <c r="AB762" s="249">
        <f>AB761</f>
        <v>0</v>
      </c>
      <c r="CH762" s="269"/>
      <c r="CI762" s="269"/>
      <c r="CJ762" s="269"/>
      <c r="CK762" s="269"/>
      <c r="CL762" s="269"/>
      <c r="CM762" s="269"/>
      <c r="CN762" s="269"/>
      <c r="CO762" s="269"/>
      <c r="CP762" s="269"/>
      <c r="CQ762" s="269"/>
      <c r="CR762" s="269"/>
      <c r="CS762" s="269"/>
    </row>
    <row r="763" spans="3:97" ht="12" customHeight="1" x14ac:dyDescent="0.3">
      <c r="C763" s="495">
        <f>C700</f>
        <v>1035</v>
      </c>
      <c r="D763" s="249">
        <f>D762</f>
        <v>0</v>
      </c>
      <c r="E763" s="249">
        <f>E762</f>
        <v>0</v>
      </c>
      <c r="F763" s="249">
        <f>F762</f>
        <v>0</v>
      </c>
      <c r="G763" s="249">
        <f>G762</f>
        <v>0</v>
      </c>
      <c r="H763" s="249">
        <f>H762</f>
        <v>0</v>
      </c>
      <c r="I763" s="249">
        <f>I762</f>
        <v>0</v>
      </c>
      <c r="J763" s="249">
        <f>J762</f>
        <v>0</v>
      </c>
      <c r="K763" s="249">
        <f>K762</f>
        <v>0</v>
      </c>
      <c r="L763" s="249">
        <f>L762</f>
        <v>0</v>
      </c>
      <c r="M763" s="249">
        <f>M762</f>
        <v>0</v>
      </c>
      <c r="N763" s="249">
        <f>N762</f>
        <v>0</v>
      </c>
      <c r="O763" s="249">
        <f>O762</f>
        <v>0</v>
      </c>
      <c r="P763" s="249">
        <f>P762</f>
        <v>0</v>
      </c>
      <c r="Q763" s="249">
        <f>Q762</f>
        <v>0</v>
      </c>
      <c r="R763" s="249">
        <f>R762</f>
        <v>0</v>
      </c>
      <c r="S763" s="249">
        <f>S762</f>
        <v>0</v>
      </c>
      <c r="T763" s="249">
        <f>T762</f>
        <v>0</v>
      </c>
      <c r="U763" s="249">
        <f>U762</f>
        <v>0</v>
      </c>
      <c r="V763" s="249">
        <f>V762</f>
        <v>0</v>
      </c>
      <c r="W763" s="249">
        <f>W762</f>
        <v>0</v>
      </c>
      <c r="X763" s="249">
        <f>X762</f>
        <v>0</v>
      </c>
      <c r="Y763" s="249">
        <f>Y762</f>
        <v>0</v>
      </c>
      <c r="Z763" s="249">
        <f>Z762</f>
        <v>0</v>
      </c>
      <c r="AA763" s="249">
        <f>AA762</f>
        <v>0</v>
      </c>
      <c r="AB763" s="249">
        <f>AB762</f>
        <v>0</v>
      </c>
      <c r="CH763" s="269"/>
      <c r="CI763" s="269"/>
      <c r="CJ763" s="269"/>
      <c r="CK763" s="269"/>
      <c r="CL763" s="269"/>
      <c r="CM763" s="269"/>
      <c r="CN763" s="269"/>
      <c r="CO763" s="269"/>
      <c r="CP763" s="269"/>
      <c r="CQ763" s="269"/>
      <c r="CR763" s="269"/>
      <c r="CS763" s="269"/>
    </row>
    <row r="764" spans="3:97" ht="12" customHeight="1" x14ac:dyDescent="0.3">
      <c r="C764" s="495">
        <f>C701</f>
        <v>1065</v>
      </c>
      <c r="D764" s="249">
        <f>D763</f>
        <v>0</v>
      </c>
      <c r="E764" s="249">
        <f>E763</f>
        <v>0</v>
      </c>
      <c r="F764" s="249">
        <f>F763</f>
        <v>0</v>
      </c>
      <c r="G764" s="249">
        <f>G763</f>
        <v>0</v>
      </c>
      <c r="H764" s="249">
        <f>H763</f>
        <v>0</v>
      </c>
      <c r="I764" s="249">
        <f>I763</f>
        <v>0</v>
      </c>
      <c r="J764" s="249">
        <f>J763</f>
        <v>0</v>
      </c>
      <c r="K764" s="249">
        <f>K763</f>
        <v>0</v>
      </c>
      <c r="L764" s="249">
        <f>L763</f>
        <v>0</v>
      </c>
      <c r="M764" s="249">
        <f>M763</f>
        <v>0</v>
      </c>
      <c r="N764" s="249">
        <f>N763</f>
        <v>0</v>
      </c>
      <c r="O764" s="249">
        <f>O763</f>
        <v>0</v>
      </c>
      <c r="P764" s="249">
        <f>P763</f>
        <v>0</v>
      </c>
      <c r="Q764" s="249">
        <f>Q763</f>
        <v>0</v>
      </c>
      <c r="R764" s="249">
        <f>R763</f>
        <v>0</v>
      </c>
      <c r="S764" s="249">
        <f>S763</f>
        <v>0</v>
      </c>
      <c r="T764" s="249">
        <f>T763</f>
        <v>0</v>
      </c>
      <c r="U764" s="249">
        <f>U763</f>
        <v>0</v>
      </c>
      <c r="V764" s="249">
        <f>V763</f>
        <v>0</v>
      </c>
      <c r="W764" s="249">
        <f>W763</f>
        <v>0</v>
      </c>
      <c r="X764" s="249">
        <f>X763</f>
        <v>0</v>
      </c>
      <c r="Y764" s="249">
        <f>Y763</f>
        <v>0</v>
      </c>
      <c r="Z764" s="249">
        <f>Z763</f>
        <v>0</v>
      </c>
      <c r="AA764" s="249">
        <f>AA763</f>
        <v>0</v>
      </c>
      <c r="AB764" s="249">
        <f>AB763</f>
        <v>0</v>
      </c>
      <c r="CH764" s="269"/>
      <c r="CI764" s="269"/>
      <c r="CJ764" s="269"/>
      <c r="CK764" s="269"/>
      <c r="CL764" s="269"/>
      <c r="CM764" s="269"/>
      <c r="CN764" s="269"/>
      <c r="CO764" s="269"/>
      <c r="CP764" s="269"/>
      <c r="CQ764" s="269"/>
      <c r="CR764" s="269"/>
      <c r="CS764" s="269"/>
    </row>
    <row r="765" spans="3:97" ht="12" customHeight="1" thickBot="1" x14ac:dyDescent="0.35">
      <c r="C765" s="496">
        <f>C702</f>
        <v>1096</v>
      </c>
      <c r="D765" s="250">
        <f>D764</f>
        <v>0</v>
      </c>
      <c r="E765" s="250">
        <f>E764</f>
        <v>0</v>
      </c>
      <c r="F765" s="250">
        <f>F764</f>
        <v>0</v>
      </c>
      <c r="G765" s="250">
        <f>G764</f>
        <v>0</v>
      </c>
      <c r="H765" s="250">
        <f>H764</f>
        <v>0</v>
      </c>
      <c r="I765" s="250">
        <f>I764</f>
        <v>0</v>
      </c>
      <c r="J765" s="250">
        <f>J764</f>
        <v>0</v>
      </c>
      <c r="K765" s="250">
        <f>K764</f>
        <v>0</v>
      </c>
      <c r="L765" s="250">
        <f>L764</f>
        <v>0</v>
      </c>
      <c r="M765" s="250">
        <f>M764</f>
        <v>0</v>
      </c>
      <c r="N765" s="250">
        <f>N764</f>
        <v>0</v>
      </c>
      <c r="O765" s="250">
        <f>O764</f>
        <v>0</v>
      </c>
      <c r="P765" s="250">
        <f>P764</f>
        <v>0</v>
      </c>
      <c r="Q765" s="250">
        <f>Q764</f>
        <v>0</v>
      </c>
      <c r="R765" s="250">
        <f>R764</f>
        <v>0</v>
      </c>
      <c r="S765" s="250">
        <f>S764</f>
        <v>0</v>
      </c>
      <c r="T765" s="250">
        <f>T764</f>
        <v>0</v>
      </c>
      <c r="U765" s="250">
        <f>U764</f>
        <v>0</v>
      </c>
      <c r="V765" s="250">
        <f>V764</f>
        <v>0</v>
      </c>
      <c r="W765" s="250">
        <f>W764</f>
        <v>0</v>
      </c>
      <c r="X765" s="250">
        <f>X764</f>
        <v>0</v>
      </c>
      <c r="Y765" s="250">
        <f>Y764</f>
        <v>0</v>
      </c>
      <c r="Z765" s="250">
        <f>Z764</f>
        <v>0</v>
      </c>
      <c r="AA765" s="250">
        <f>AA764</f>
        <v>0</v>
      </c>
      <c r="AB765" s="250">
        <f>AB764</f>
        <v>0</v>
      </c>
      <c r="CH765" s="269"/>
      <c r="CI765" s="269"/>
      <c r="CJ765" s="269"/>
      <c r="CK765" s="269"/>
      <c r="CL765" s="269"/>
      <c r="CM765" s="269"/>
      <c r="CN765" s="269"/>
      <c r="CO765" s="269"/>
      <c r="CP765" s="269"/>
      <c r="CQ765" s="269"/>
      <c r="CR765" s="269"/>
      <c r="CS765" s="269"/>
    </row>
    <row r="766" spans="3:97" ht="12" customHeight="1" x14ac:dyDescent="0.3">
      <c r="C766" s="495">
        <f>C703</f>
        <v>1127</v>
      </c>
      <c r="D766" s="854">
        <f>IF(Years="Five",Input!D49,0)</f>
        <v>0</v>
      </c>
      <c r="E766" s="855">
        <f>IF(Years="Five",Input!E49,0)</f>
        <v>0</v>
      </c>
      <c r="F766" s="855">
        <f>IF(Years="Five",Input!F49,0)</f>
        <v>0</v>
      </c>
      <c r="G766" s="855">
        <f>IF(Years="Five",Input!G49,0)</f>
        <v>0</v>
      </c>
      <c r="H766" s="855">
        <f>IF(Years="Five",Input!H49,0)</f>
        <v>0</v>
      </c>
      <c r="I766" s="855">
        <f>IF(Years="Five",Input!I49,0)</f>
        <v>0</v>
      </c>
      <c r="J766" s="855">
        <f>IF(Years="Five",Input!J49,0)</f>
        <v>0</v>
      </c>
      <c r="K766" s="855">
        <f>IF(Years="Five",Input!K49,0)</f>
        <v>0</v>
      </c>
      <c r="L766" s="855">
        <f>IF(Years="Five",Input!L49,0)</f>
        <v>0</v>
      </c>
      <c r="M766" s="855">
        <f>IF(Years="Five",Input!M49,0)</f>
        <v>0</v>
      </c>
      <c r="N766" s="855">
        <f>IF(Years="Five",Input!N49,0)</f>
        <v>0</v>
      </c>
      <c r="O766" s="855">
        <f>IF(Years="Five",Input!O49,0)</f>
        <v>0</v>
      </c>
      <c r="P766" s="855">
        <f>IF(Years="Five",Input!P49,0)</f>
        <v>0</v>
      </c>
      <c r="Q766" s="855">
        <f>IF(Years="Five",Input!Q49,0)</f>
        <v>0</v>
      </c>
      <c r="R766" s="855">
        <f>IF(Years="Five",Input!R49,0)</f>
        <v>0</v>
      </c>
      <c r="S766" s="855">
        <f>IF(Years="Five",Input!S49,0)</f>
        <v>0</v>
      </c>
      <c r="T766" s="855">
        <f>IF(Years="Five",Input!T49,0)</f>
        <v>0</v>
      </c>
      <c r="U766" s="855">
        <f>IF(Years="Five",Input!U49,0)</f>
        <v>0</v>
      </c>
      <c r="V766" s="855">
        <f>IF(Years="Five",Input!V49,0)</f>
        <v>0</v>
      </c>
      <c r="W766" s="855">
        <f>IF(Years="Five",Input!W49,0)</f>
        <v>0</v>
      </c>
      <c r="X766" s="855">
        <f>IF(Years="Five",Input!X49,0)</f>
        <v>0</v>
      </c>
      <c r="Y766" s="855">
        <f>IF(Years="Five",Input!Y49,0)</f>
        <v>0</v>
      </c>
      <c r="Z766" s="855">
        <f>IF(Years="Five",Input!Z49,0)</f>
        <v>0</v>
      </c>
      <c r="AA766" s="855">
        <f>IF(Years="Five",Input!AA49,0)</f>
        <v>0</v>
      </c>
      <c r="AB766" s="856">
        <f>IF(Years="Five",Input!AB49,0)</f>
        <v>0</v>
      </c>
      <c r="CH766" s="269"/>
      <c r="CI766" s="269"/>
      <c r="CJ766" s="269"/>
      <c r="CK766" s="269"/>
      <c r="CL766" s="269"/>
      <c r="CM766" s="269"/>
      <c r="CN766" s="269"/>
      <c r="CO766" s="269"/>
      <c r="CP766" s="269"/>
      <c r="CQ766" s="269"/>
      <c r="CR766" s="269"/>
      <c r="CS766" s="269"/>
    </row>
    <row r="767" spans="3:97" ht="12" customHeight="1" x14ac:dyDescent="0.3">
      <c r="C767" s="495">
        <f>C704</f>
        <v>1155</v>
      </c>
      <c r="D767" s="857">
        <f>D766</f>
        <v>0</v>
      </c>
      <c r="E767" s="858">
        <f>E766</f>
        <v>0</v>
      </c>
      <c r="F767" s="858">
        <f>F766</f>
        <v>0</v>
      </c>
      <c r="G767" s="858">
        <f>G766</f>
        <v>0</v>
      </c>
      <c r="H767" s="858">
        <f>H766</f>
        <v>0</v>
      </c>
      <c r="I767" s="858">
        <f>I766</f>
        <v>0</v>
      </c>
      <c r="J767" s="858">
        <f>J766</f>
        <v>0</v>
      </c>
      <c r="K767" s="858">
        <f>K766</f>
        <v>0</v>
      </c>
      <c r="L767" s="858">
        <f>L766</f>
        <v>0</v>
      </c>
      <c r="M767" s="858">
        <f>M766</f>
        <v>0</v>
      </c>
      <c r="N767" s="858">
        <f>N766</f>
        <v>0</v>
      </c>
      <c r="O767" s="858">
        <f>O766</f>
        <v>0</v>
      </c>
      <c r="P767" s="858">
        <f>P766</f>
        <v>0</v>
      </c>
      <c r="Q767" s="858">
        <f>Q766</f>
        <v>0</v>
      </c>
      <c r="R767" s="858">
        <f>R766</f>
        <v>0</v>
      </c>
      <c r="S767" s="858">
        <f>S766</f>
        <v>0</v>
      </c>
      <c r="T767" s="858">
        <f>T766</f>
        <v>0</v>
      </c>
      <c r="U767" s="858">
        <f>U766</f>
        <v>0</v>
      </c>
      <c r="V767" s="858">
        <f>V766</f>
        <v>0</v>
      </c>
      <c r="W767" s="858">
        <f>W766</f>
        <v>0</v>
      </c>
      <c r="X767" s="858">
        <f>X766</f>
        <v>0</v>
      </c>
      <c r="Y767" s="858">
        <f>Y766</f>
        <v>0</v>
      </c>
      <c r="Z767" s="858">
        <f>Z766</f>
        <v>0</v>
      </c>
      <c r="AA767" s="858">
        <f>AA766</f>
        <v>0</v>
      </c>
      <c r="AB767" s="859">
        <f>AB766</f>
        <v>0</v>
      </c>
      <c r="CH767" s="269"/>
      <c r="CI767" s="269"/>
      <c r="CJ767" s="269"/>
      <c r="CK767" s="269"/>
      <c r="CL767" s="269"/>
      <c r="CM767" s="269"/>
      <c r="CN767" s="269"/>
      <c r="CO767" s="269"/>
      <c r="CP767" s="269"/>
      <c r="CQ767" s="269"/>
      <c r="CR767" s="269"/>
      <c r="CS767" s="269"/>
    </row>
    <row r="768" spans="3:97" ht="12" customHeight="1" x14ac:dyDescent="0.3">
      <c r="C768" s="495">
        <f>C705</f>
        <v>1186</v>
      </c>
      <c r="D768" s="857">
        <f>D767</f>
        <v>0</v>
      </c>
      <c r="E768" s="858">
        <f>E767</f>
        <v>0</v>
      </c>
      <c r="F768" s="858">
        <f>F767</f>
        <v>0</v>
      </c>
      <c r="G768" s="858">
        <f>G767</f>
        <v>0</v>
      </c>
      <c r="H768" s="858">
        <f>H767</f>
        <v>0</v>
      </c>
      <c r="I768" s="858">
        <f>I767</f>
        <v>0</v>
      </c>
      <c r="J768" s="858">
        <f>J767</f>
        <v>0</v>
      </c>
      <c r="K768" s="858">
        <f>K767</f>
        <v>0</v>
      </c>
      <c r="L768" s="858">
        <f>L767</f>
        <v>0</v>
      </c>
      <c r="M768" s="858">
        <f>M767</f>
        <v>0</v>
      </c>
      <c r="N768" s="858">
        <f>N767</f>
        <v>0</v>
      </c>
      <c r="O768" s="858">
        <f>O767</f>
        <v>0</v>
      </c>
      <c r="P768" s="858">
        <f>P767</f>
        <v>0</v>
      </c>
      <c r="Q768" s="858">
        <f>Q767</f>
        <v>0</v>
      </c>
      <c r="R768" s="858">
        <f>R767</f>
        <v>0</v>
      </c>
      <c r="S768" s="858">
        <f>S767</f>
        <v>0</v>
      </c>
      <c r="T768" s="858">
        <f>T767</f>
        <v>0</v>
      </c>
      <c r="U768" s="858">
        <f>U767</f>
        <v>0</v>
      </c>
      <c r="V768" s="858">
        <f>V767</f>
        <v>0</v>
      </c>
      <c r="W768" s="858">
        <f>W767</f>
        <v>0</v>
      </c>
      <c r="X768" s="858">
        <f>X767</f>
        <v>0</v>
      </c>
      <c r="Y768" s="858">
        <f>Y767</f>
        <v>0</v>
      </c>
      <c r="Z768" s="858">
        <f>Z767</f>
        <v>0</v>
      </c>
      <c r="AA768" s="858">
        <f>AA767</f>
        <v>0</v>
      </c>
      <c r="AB768" s="859">
        <f>AB767</f>
        <v>0</v>
      </c>
      <c r="CH768" s="269"/>
      <c r="CI768" s="269"/>
      <c r="CJ768" s="269"/>
      <c r="CK768" s="269"/>
      <c r="CL768" s="269"/>
      <c r="CM768" s="269"/>
      <c r="CN768" s="269"/>
      <c r="CO768" s="269"/>
      <c r="CP768" s="269"/>
      <c r="CQ768" s="269"/>
      <c r="CR768" s="269"/>
      <c r="CS768" s="269"/>
    </row>
    <row r="769" spans="3:97" ht="12" customHeight="1" x14ac:dyDescent="0.3">
      <c r="C769" s="495">
        <f>C706</f>
        <v>1216</v>
      </c>
      <c r="D769" s="857">
        <f>D768</f>
        <v>0</v>
      </c>
      <c r="E769" s="858">
        <f>E768</f>
        <v>0</v>
      </c>
      <c r="F769" s="858">
        <f>F768</f>
        <v>0</v>
      </c>
      <c r="G769" s="858">
        <f>G768</f>
        <v>0</v>
      </c>
      <c r="H769" s="858">
        <f>H768</f>
        <v>0</v>
      </c>
      <c r="I769" s="858">
        <f>I768</f>
        <v>0</v>
      </c>
      <c r="J769" s="858">
        <f>J768</f>
        <v>0</v>
      </c>
      <c r="K769" s="858">
        <f>K768</f>
        <v>0</v>
      </c>
      <c r="L769" s="858">
        <f>L768</f>
        <v>0</v>
      </c>
      <c r="M769" s="858">
        <f>M768</f>
        <v>0</v>
      </c>
      <c r="N769" s="858">
        <f>N768</f>
        <v>0</v>
      </c>
      <c r="O769" s="858">
        <f>O768</f>
        <v>0</v>
      </c>
      <c r="P769" s="858">
        <f>P768</f>
        <v>0</v>
      </c>
      <c r="Q769" s="858">
        <f>Q768</f>
        <v>0</v>
      </c>
      <c r="R769" s="858">
        <f>R768</f>
        <v>0</v>
      </c>
      <c r="S769" s="858">
        <f>S768</f>
        <v>0</v>
      </c>
      <c r="T769" s="858">
        <f>T768</f>
        <v>0</v>
      </c>
      <c r="U769" s="858">
        <f>U768</f>
        <v>0</v>
      </c>
      <c r="V769" s="858">
        <f>V768</f>
        <v>0</v>
      </c>
      <c r="W769" s="858">
        <f>W768</f>
        <v>0</v>
      </c>
      <c r="X769" s="858">
        <f>X768</f>
        <v>0</v>
      </c>
      <c r="Y769" s="858">
        <f>Y768</f>
        <v>0</v>
      </c>
      <c r="Z769" s="858">
        <f>Z768</f>
        <v>0</v>
      </c>
      <c r="AA769" s="858">
        <f>AA768</f>
        <v>0</v>
      </c>
      <c r="AB769" s="859">
        <f>AB768</f>
        <v>0</v>
      </c>
      <c r="CH769" s="269"/>
      <c r="CI769" s="269"/>
      <c r="CJ769" s="269"/>
      <c r="CK769" s="269"/>
      <c r="CL769" s="269"/>
      <c r="CM769" s="269"/>
      <c r="CN769" s="269"/>
      <c r="CO769" s="269"/>
      <c r="CP769" s="269"/>
      <c r="CQ769" s="269"/>
      <c r="CR769" s="269"/>
      <c r="CS769" s="269"/>
    </row>
    <row r="770" spans="3:97" ht="12" customHeight="1" x14ac:dyDescent="0.3">
      <c r="C770" s="495">
        <f>C707</f>
        <v>1247</v>
      </c>
      <c r="D770" s="857">
        <f>D769</f>
        <v>0</v>
      </c>
      <c r="E770" s="858">
        <f>E769</f>
        <v>0</v>
      </c>
      <c r="F770" s="858">
        <f>F769</f>
        <v>0</v>
      </c>
      <c r="G770" s="858">
        <f>G769</f>
        <v>0</v>
      </c>
      <c r="H770" s="858">
        <f>H769</f>
        <v>0</v>
      </c>
      <c r="I770" s="858">
        <f>I769</f>
        <v>0</v>
      </c>
      <c r="J770" s="858">
        <f>J769</f>
        <v>0</v>
      </c>
      <c r="K770" s="858">
        <f>K769</f>
        <v>0</v>
      </c>
      <c r="L770" s="858">
        <f>L769</f>
        <v>0</v>
      </c>
      <c r="M770" s="858">
        <f>M769</f>
        <v>0</v>
      </c>
      <c r="N770" s="858">
        <f>N769</f>
        <v>0</v>
      </c>
      <c r="O770" s="858">
        <f>O769</f>
        <v>0</v>
      </c>
      <c r="P770" s="858">
        <f>P769</f>
        <v>0</v>
      </c>
      <c r="Q770" s="858">
        <f>Q769</f>
        <v>0</v>
      </c>
      <c r="R770" s="858">
        <f>R769</f>
        <v>0</v>
      </c>
      <c r="S770" s="858">
        <f>S769</f>
        <v>0</v>
      </c>
      <c r="T770" s="858">
        <f>T769</f>
        <v>0</v>
      </c>
      <c r="U770" s="858">
        <f>U769</f>
        <v>0</v>
      </c>
      <c r="V770" s="858">
        <f>V769</f>
        <v>0</v>
      </c>
      <c r="W770" s="858">
        <f>W769</f>
        <v>0</v>
      </c>
      <c r="X770" s="858">
        <f>X769</f>
        <v>0</v>
      </c>
      <c r="Y770" s="858">
        <f>Y769</f>
        <v>0</v>
      </c>
      <c r="Z770" s="858">
        <f>Z769</f>
        <v>0</v>
      </c>
      <c r="AA770" s="858">
        <f>AA769</f>
        <v>0</v>
      </c>
      <c r="AB770" s="859">
        <f>AB769</f>
        <v>0</v>
      </c>
      <c r="CH770" s="269"/>
      <c r="CI770" s="269"/>
      <c r="CJ770" s="269"/>
      <c r="CK770" s="269"/>
      <c r="CL770" s="269"/>
      <c r="CM770" s="269"/>
      <c r="CN770" s="269"/>
      <c r="CO770" s="269"/>
      <c r="CP770" s="269"/>
      <c r="CQ770" s="269"/>
      <c r="CR770" s="269"/>
      <c r="CS770" s="269"/>
    </row>
    <row r="771" spans="3:97" ht="12" customHeight="1" x14ac:dyDescent="0.3">
      <c r="C771" s="495">
        <f>C708</f>
        <v>1277</v>
      </c>
      <c r="D771" s="857">
        <f>D770</f>
        <v>0</v>
      </c>
      <c r="E771" s="858">
        <f>E770</f>
        <v>0</v>
      </c>
      <c r="F771" s="858">
        <f>F770</f>
        <v>0</v>
      </c>
      <c r="G771" s="858">
        <f>G770</f>
        <v>0</v>
      </c>
      <c r="H771" s="858">
        <f>H770</f>
        <v>0</v>
      </c>
      <c r="I771" s="858">
        <f>I770</f>
        <v>0</v>
      </c>
      <c r="J771" s="858">
        <f>J770</f>
        <v>0</v>
      </c>
      <c r="K771" s="858">
        <f>K770</f>
        <v>0</v>
      </c>
      <c r="L771" s="858">
        <f>L770</f>
        <v>0</v>
      </c>
      <c r="M771" s="858">
        <f>M770</f>
        <v>0</v>
      </c>
      <c r="N771" s="858">
        <f>N770</f>
        <v>0</v>
      </c>
      <c r="O771" s="858">
        <f>O770</f>
        <v>0</v>
      </c>
      <c r="P771" s="858">
        <f>P770</f>
        <v>0</v>
      </c>
      <c r="Q771" s="858">
        <f>Q770</f>
        <v>0</v>
      </c>
      <c r="R771" s="858">
        <f>R770</f>
        <v>0</v>
      </c>
      <c r="S771" s="858">
        <f>S770</f>
        <v>0</v>
      </c>
      <c r="T771" s="858">
        <f>T770</f>
        <v>0</v>
      </c>
      <c r="U771" s="858">
        <f>U770</f>
        <v>0</v>
      </c>
      <c r="V771" s="858">
        <f>V770</f>
        <v>0</v>
      </c>
      <c r="W771" s="858">
        <f>W770</f>
        <v>0</v>
      </c>
      <c r="X771" s="858">
        <f>X770</f>
        <v>0</v>
      </c>
      <c r="Y771" s="858">
        <f>Y770</f>
        <v>0</v>
      </c>
      <c r="Z771" s="858">
        <f>Z770</f>
        <v>0</v>
      </c>
      <c r="AA771" s="858">
        <f>AA770</f>
        <v>0</v>
      </c>
      <c r="AB771" s="859">
        <f>AB770</f>
        <v>0</v>
      </c>
      <c r="CH771" s="269"/>
      <c r="CI771" s="269"/>
      <c r="CJ771" s="269"/>
      <c r="CK771" s="269"/>
      <c r="CL771" s="269"/>
      <c r="CM771" s="269"/>
      <c r="CN771" s="269"/>
      <c r="CO771" s="269"/>
      <c r="CP771" s="269"/>
      <c r="CQ771" s="269"/>
      <c r="CR771" s="269"/>
      <c r="CS771" s="269"/>
    </row>
    <row r="772" spans="3:97" ht="12" customHeight="1" x14ac:dyDescent="0.3">
      <c r="C772" s="495">
        <f>C709</f>
        <v>1308</v>
      </c>
      <c r="D772" s="857">
        <f>D771</f>
        <v>0</v>
      </c>
      <c r="E772" s="858">
        <f>E771</f>
        <v>0</v>
      </c>
      <c r="F772" s="858">
        <f>F771</f>
        <v>0</v>
      </c>
      <c r="G772" s="858">
        <f>G771</f>
        <v>0</v>
      </c>
      <c r="H772" s="858">
        <f>H771</f>
        <v>0</v>
      </c>
      <c r="I772" s="858">
        <f>I771</f>
        <v>0</v>
      </c>
      <c r="J772" s="858">
        <f>J771</f>
        <v>0</v>
      </c>
      <c r="K772" s="858">
        <f>K771</f>
        <v>0</v>
      </c>
      <c r="L772" s="858">
        <f>L771</f>
        <v>0</v>
      </c>
      <c r="M772" s="858">
        <f>M771</f>
        <v>0</v>
      </c>
      <c r="N772" s="858">
        <f>N771</f>
        <v>0</v>
      </c>
      <c r="O772" s="858">
        <f>O771</f>
        <v>0</v>
      </c>
      <c r="P772" s="858">
        <f>P771</f>
        <v>0</v>
      </c>
      <c r="Q772" s="858">
        <f>Q771</f>
        <v>0</v>
      </c>
      <c r="R772" s="858">
        <f>R771</f>
        <v>0</v>
      </c>
      <c r="S772" s="858">
        <f>S771</f>
        <v>0</v>
      </c>
      <c r="T772" s="858">
        <f>T771</f>
        <v>0</v>
      </c>
      <c r="U772" s="858">
        <f>U771</f>
        <v>0</v>
      </c>
      <c r="V772" s="858">
        <f>V771</f>
        <v>0</v>
      </c>
      <c r="W772" s="858">
        <f>W771</f>
        <v>0</v>
      </c>
      <c r="X772" s="858">
        <f>X771</f>
        <v>0</v>
      </c>
      <c r="Y772" s="858">
        <f>Y771</f>
        <v>0</v>
      </c>
      <c r="Z772" s="858">
        <f>Z771</f>
        <v>0</v>
      </c>
      <c r="AA772" s="858">
        <f>AA771</f>
        <v>0</v>
      </c>
      <c r="AB772" s="859">
        <f>AB771</f>
        <v>0</v>
      </c>
      <c r="CH772" s="269"/>
      <c r="CI772" s="269"/>
      <c r="CJ772" s="269"/>
      <c r="CK772" s="269"/>
      <c r="CL772" s="269"/>
      <c r="CM772" s="269"/>
      <c r="CN772" s="269"/>
      <c r="CO772" s="269"/>
      <c r="CP772" s="269"/>
      <c r="CQ772" s="269"/>
      <c r="CR772" s="269"/>
      <c r="CS772" s="269"/>
    </row>
    <row r="773" spans="3:97" ht="12" customHeight="1" x14ac:dyDescent="0.3">
      <c r="C773" s="495">
        <f>C710</f>
        <v>1339</v>
      </c>
      <c r="D773" s="857">
        <f>D772</f>
        <v>0</v>
      </c>
      <c r="E773" s="858">
        <f>E772</f>
        <v>0</v>
      </c>
      <c r="F773" s="858">
        <f>F772</f>
        <v>0</v>
      </c>
      <c r="G773" s="858">
        <f>G772</f>
        <v>0</v>
      </c>
      <c r="H773" s="858">
        <f>H772</f>
        <v>0</v>
      </c>
      <c r="I773" s="858">
        <f>I772</f>
        <v>0</v>
      </c>
      <c r="J773" s="858">
        <f>J772</f>
        <v>0</v>
      </c>
      <c r="K773" s="858">
        <f>K772</f>
        <v>0</v>
      </c>
      <c r="L773" s="858">
        <f>L772</f>
        <v>0</v>
      </c>
      <c r="M773" s="858">
        <f>M772</f>
        <v>0</v>
      </c>
      <c r="N773" s="858">
        <f>N772</f>
        <v>0</v>
      </c>
      <c r="O773" s="858">
        <f>O772</f>
        <v>0</v>
      </c>
      <c r="P773" s="858">
        <f>P772</f>
        <v>0</v>
      </c>
      <c r="Q773" s="858">
        <f>Q772</f>
        <v>0</v>
      </c>
      <c r="R773" s="858">
        <f>R772</f>
        <v>0</v>
      </c>
      <c r="S773" s="858">
        <f>S772</f>
        <v>0</v>
      </c>
      <c r="T773" s="858">
        <f>T772</f>
        <v>0</v>
      </c>
      <c r="U773" s="858">
        <f>U772</f>
        <v>0</v>
      </c>
      <c r="V773" s="858">
        <f>V772</f>
        <v>0</v>
      </c>
      <c r="W773" s="858">
        <f>W772</f>
        <v>0</v>
      </c>
      <c r="X773" s="858">
        <f>X772</f>
        <v>0</v>
      </c>
      <c r="Y773" s="858">
        <f>Y772</f>
        <v>0</v>
      </c>
      <c r="Z773" s="858">
        <f>Z772</f>
        <v>0</v>
      </c>
      <c r="AA773" s="858">
        <f>AA772</f>
        <v>0</v>
      </c>
      <c r="AB773" s="859">
        <f>AB772</f>
        <v>0</v>
      </c>
      <c r="CH773" s="269"/>
      <c r="CI773" s="269"/>
      <c r="CJ773" s="269"/>
      <c r="CK773" s="269"/>
      <c r="CL773" s="269"/>
      <c r="CM773" s="269"/>
      <c r="CN773" s="269"/>
      <c r="CO773" s="269"/>
      <c r="CP773" s="269"/>
      <c r="CQ773" s="269"/>
      <c r="CR773" s="269"/>
      <c r="CS773" s="269"/>
    </row>
    <row r="774" spans="3:97" ht="12" customHeight="1" x14ac:dyDescent="0.3">
      <c r="C774" s="495">
        <f>C711</f>
        <v>1369</v>
      </c>
      <c r="D774" s="857">
        <f>D773</f>
        <v>0</v>
      </c>
      <c r="E774" s="858">
        <f>E773</f>
        <v>0</v>
      </c>
      <c r="F774" s="858">
        <f>F773</f>
        <v>0</v>
      </c>
      <c r="G774" s="858">
        <f>G773</f>
        <v>0</v>
      </c>
      <c r="H774" s="858">
        <f>H773</f>
        <v>0</v>
      </c>
      <c r="I774" s="858">
        <f>I773</f>
        <v>0</v>
      </c>
      <c r="J774" s="858">
        <f>J773</f>
        <v>0</v>
      </c>
      <c r="K774" s="858">
        <f>K773</f>
        <v>0</v>
      </c>
      <c r="L774" s="858">
        <f>L773</f>
        <v>0</v>
      </c>
      <c r="M774" s="858">
        <f>M773</f>
        <v>0</v>
      </c>
      <c r="N774" s="858">
        <f>N773</f>
        <v>0</v>
      </c>
      <c r="O774" s="858">
        <f>O773</f>
        <v>0</v>
      </c>
      <c r="P774" s="858">
        <f>P773</f>
        <v>0</v>
      </c>
      <c r="Q774" s="858">
        <f>Q773</f>
        <v>0</v>
      </c>
      <c r="R774" s="858">
        <f>R773</f>
        <v>0</v>
      </c>
      <c r="S774" s="858">
        <f>S773</f>
        <v>0</v>
      </c>
      <c r="T774" s="858">
        <f>T773</f>
        <v>0</v>
      </c>
      <c r="U774" s="858">
        <f>U773</f>
        <v>0</v>
      </c>
      <c r="V774" s="858">
        <f>V773</f>
        <v>0</v>
      </c>
      <c r="W774" s="858">
        <f>W773</f>
        <v>0</v>
      </c>
      <c r="X774" s="858">
        <f>X773</f>
        <v>0</v>
      </c>
      <c r="Y774" s="858">
        <f>Y773</f>
        <v>0</v>
      </c>
      <c r="Z774" s="858">
        <f>Z773</f>
        <v>0</v>
      </c>
      <c r="AA774" s="858">
        <f>AA773</f>
        <v>0</v>
      </c>
      <c r="AB774" s="859">
        <f>AB773</f>
        <v>0</v>
      </c>
      <c r="CH774" s="269"/>
      <c r="CI774" s="269"/>
      <c r="CJ774" s="269"/>
      <c r="CK774" s="269"/>
      <c r="CL774" s="269"/>
      <c r="CM774" s="269"/>
      <c r="CN774" s="269"/>
      <c r="CO774" s="269"/>
      <c r="CP774" s="269"/>
      <c r="CQ774" s="269"/>
      <c r="CR774" s="269"/>
      <c r="CS774" s="269"/>
    </row>
    <row r="775" spans="3:97" ht="12" customHeight="1" x14ac:dyDescent="0.3">
      <c r="C775" s="495">
        <f>C712</f>
        <v>1400</v>
      </c>
      <c r="D775" s="857">
        <f>D774</f>
        <v>0</v>
      </c>
      <c r="E775" s="858">
        <f>E774</f>
        <v>0</v>
      </c>
      <c r="F775" s="858">
        <f>F774</f>
        <v>0</v>
      </c>
      <c r="G775" s="858">
        <f>G774</f>
        <v>0</v>
      </c>
      <c r="H775" s="858">
        <f>H774</f>
        <v>0</v>
      </c>
      <c r="I775" s="858">
        <f>I774</f>
        <v>0</v>
      </c>
      <c r="J775" s="858">
        <f>J774</f>
        <v>0</v>
      </c>
      <c r="K775" s="858">
        <f>K774</f>
        <v>0</v>
      </c>
      <c r="L775" s="858">
        <f>L774</f>
        <v>0</v>
      </c>
      <c r="M775" s="858">
        <f>M774</f>
        <v>0</v>
      </c>
      <c r="N775" s="858">
        <f>N774</f>
        <v>0</v>
      </c>
      <c r="O775" s="858">
        <f>O774</f>
        <v>0</v>
      </c>
      <c r="P775" s="858">
        <f>P774</f>
        <v>0</v>
      </c>
      <c r="Q775" s="858">
        <f>Q774</f>
        <v>0</v>
      </c>
      <c r="R775" s="858">
        <f>R774</f>
        <v>0</v>
      </c>
      <c r="S775" s="858">
        <f>S774</f>
        <v>0</v>
      </c>
      <c r="T775" s="858">
        <f>T774</f>
        <v>0</v>
      </c>
      <c r="U775" s="858">
        <f>U774</f>
        <v>0</v>
      </c>
      <c r="V775" s="858">
        <f>V774</f>
        <v>0</v>
      </c>
      <c r="W775" s="858">
        <f>W774</f>
        <v>0</v>
      </c>
      <c r="X775" s="858">
        <f>X774</f>
        <v>0</v>
      </c>
      <c r="Y775" s="858">
        <f>Y774</f>
        <v>0</v>
      </c>
      <c r="Z775" s="858">
        <f>Z774</f>
        <v>0</v>
      </c>
      <c r="AA775" s="858">
        <f>AA774</f>
        <v>0</v>
      </c>
      <c r="AB775" s="859">
        <f>AB774</f>
        <v>0</v>
      </c>
      <c r="CH775" s="269"/>
      <c r="CI775" s="269"/>
      <c r="CJ775" s="269"/>
      <c r="CK775" s="269"/>
      <c r="CL775" s="269"/>
      <c r="CM775" s="269"/>
      <c r="CN775" s="269"/>
      <c r="CO775" s="269"/>
      <c r="CP775" s="269"/>
      <c r="CQ775" s="269"/>
      <c r="CR775" s="269"/>
      <c r="CS775" s="269"/>
    </row>
    <row r="776" spans="3:97" ht="12" customHeight="1" x14ac:dyDescent="0.3">
      <c r="C776" s="495">
        <f>C713</f>
        <v>1430</v>
      </c>
      <c r="D776" s="857">
        <f>D775</f>
        <v>0</v>
      </c>
      <c r="E776" s="858">
        <f>E775</f>
        <v>0</v>
      </c>
      <c r="F776" s="858">
        <f>F775</f>
        <v>0</v>
      </c>
      <c r="G776" s="858">
        <f>G775</f>
        <v>0</v>
      </c>
      <c r="H776" s="858">
        <f>H775</f>
        <v>0</v>
      </c>
      <c r="I776" s="858">
        <f>I775</f>
        <v>0</v>
      </c>
      <c r="J776" s="858">
        <f>J775</f>
        <v>0</v>
      </c>
      <c r="K776" s="858">
        <f>K775</f>
        <v>0</v>
      </c>
      <c r="L776" s="858">
        <f>L775</f>
        <v>0</v>
      </c>
      <c r="M776" s="858">
        <f>M775</f>
        <v>0</v>
      </c>
      <c r="N776" s="858">
        <f>N775</f>
        <v>0</v>
      </c>
      <c r="O776" s="858">
        <f>O775</f>
        <v>0</v>
      </c>
      <c r="P776" s="858">
        <f>P775</f>
        <v>0</v>
      </c>
      <c r="Q776" s="858">
        <f>Q775</f>
        <v>0</v>
      </c>
      <c r="R776" s="858">
        <f>R775</f>
        <v>0</v>
      </c>
      <c r="S776" s="858">
        <f>S775</f>
        <v>0</v>
      </c>
      <c r="T776" s="858">
        <f>T775</f>
        <v>0</v>
      </c>
      <c r="U776" s="858">
        <f>U775</f>
        <v>0</v>
      </c>
      <c r="V776" s="858">
        <f>V775</f>
        <v>0</v>
      </c>
      <c r="W776" s="858">
        <f>W775</f>
        <v>0</v>
      </c>
      <c r="X776" s="858">
        <f>X775</f>
        <v>0</v>
      </c>
      <c r="Y776" s="858">
        <f>Y775</f>
        <v>0</v>
      </c>
      <c r="Z776" s="858">
        <f>Z775</f>
        <v>0</v>
      </c>
      <c r="AA776" s="858">
        <f>AA775</f>
        <v>0</v>
      </c>
      <c r="AB776" s="859">
        <f>AB775</f>
        <v>0</v>
      </c>
      <c r="CH776" s="269"/>
      <c r="CI776" s="269"/>
      <c r="CJ776" s="269"/>
      <c r="CK776" s="269"/>
      <c r="CL776" s="269"/>
      <c r="CM776" s="269"/>
      <c r="CN776" s="269"/>
      <c r="CO776" s="269"/>
      <c r="CP776" s="269"/>
      <c r="CQ776" s="269"/>
      <c r="CR776" s="269"/>
      <c r="CS776" s="269"/>
    </row>
    <row r="777" spans="3:97" ht="12" customHeight="1" thickBot="1" x14ac:dyDescent="0.35">
      <c r="C777" s="496">
        <f>C714</f>
        <v>1461</v>
      </c>
      <c r="D777" s="860">
        <f>D776</f>
        <v>0</v>
      </c>
      <c r="E777" s="861">
        <f>E776</f>
        <v>0</v>
      </c>
      <c r="F777" s="861">
        <f>F776</f>
        <v>0</v>
      </c>
      <c r="G777" s="861">
        <f>G776</f>
        <v>0</v>
      </c>
      <c r="H777" s="861">
        <f>H776</f>
        <v>0</v>
      </c>
      <c r="I777" s="861">
        <f>I776</f>
        <v>0</v>
      </c>
      <c r="J777" s="861">
        <f>J776</f>
        <v>0</v>
      </c>
      <c r="K777" s="861">
        <f>K776</f>
        <v>0</v>
      </c>
      <c r="L777" s="861">
        <f>L776</f>
        <v>0</v>
      </c>
      <c r="M777" s="861">
        <f>M776</f>
        <v>0</v>
      </c>
      <c r="N777" s="861">
        <f>N776</f>
        <v>0</v>
      </c>
      <c r="O777" s="861">
        <f>O776</f>
        <v>0</v>
      </c>
      <c r="P777" s="861">
        <f>P776</f>
        <v>0</v>
      </c>
      <c r="Q777" s="861">
        <f>Q776</f>
        <v>0</v>
      </c>
      <c r="R777" s="861">
        <f>R776</f>
        <v>0</v>
      </c>
      <c r="S777" s="861">
        <f>S776</f>
        <v>0</v>
      </c>
      <c r="T777" s="861">
        <f>T776</f>
        <v>0</v>
      </c>
      <c r="U777" s="861">
        <f>U776</f>
        <v>0</v>
      </c>
      <c r="V777" s="861">
        <f>V776</f>
        <v>0</v>
      </c>
      <c r="W777" s="861">
        <f>W776</f>
        <v>0</v>
      </c>
      <c r="X777" s="861">
        <f>X776</f>
        <v>0</v>
      </c>
      <c r="Y777" s="861">
        <f>Y776</f>
        <v>0</v>
      </c>
      <c r="Z777" s="861">
        <f>Z776</f>
        <v>0</v>
      </c>
      <c r="AA777" s="861">
        <f>AA776</f>
        <v>0</v>
      </c>
      <c r="AB777" s="862">
        <f>AB776</f>
        <v>0</v>
      </c>
      <c r="CH777" s="269"/>
      <c r="CI777" s="269"/>
      <c r="CJ777" s="269"/>
      <c r="CK777" s="269"/>
      <c r="CL777" s="269"/>
      <c r="CM777" s="269"/>
      <c r="CN777" s="269"/>
      <c r="CO777" s="269"/>
      <c r="CP777" s="269"/>
      <c r="CQ777" s="269"/>
      <c r="CR777" s="269"/>
      <c r="CS777" s="269"/>
    </row>
    <row r="778" spans="3:97" ht="12" customHeight="1" x14ac:dyDescent="0.3">
      <c r="C778" s="495">
        <f>C715</f>
        <v>1492</v>
      </c>
      <c r="D778" s="854">
        <f>IF(Years="Five",Input!D50,0)</f>
        <v>0</v>
      </c>
      <c r="E778" s="855">
        <f>IF(Years="Five",Input!E50,0)</f>
        <v>0</v>
      </c>
      <c r="F778" s="855">
        <f>IF(Years="Five",Input!F50,0)</f>
        <v>0</v>
      </c>
      <c r="G778" s="855">
        <f>IF(Years="Five",Input!G50,0)</f>
        <v>0</v>
      </c>
      <c r="H778" s="855">
        <f>IF(Years="Five",Input!H50,0)</f>
        <v>0</v>
      </c>
      <c r="I778" s="855">
        <f>IF(Years="Five",Input!I50,0)</f>
        <v>0</v>
      </c>
      <c r="J778" s="855">
        <f>IF(Years="Five",Input!J50,0)</f>
        <v>0</v>
      </c>
      <c r="K778" s="855">
        <f>IF(Years="Five",Input!K50,0)</f>
        <v>0</v>
      </c>
      <c r="L778" s="855">
        <f>IF(Years="Five",Input!L50,0)</f>
        <v>0</v>
      </c>
      <c r="M778" s="855">
        <f>IF(Years="Five",Input!M50,0)</f>
        <v>0</v>
      </c>
      <c r="N778" s="855">
        <f>IF(Years="Five",Input!N50,0)</f>
        <v>0</v>
      </c>
      <c r="O778" s="855">
        <f>IF(Years="Five",Input!O50,0)</f>
        <v>0</v>
      </c>
      <c r="P778" s="855">
        <f>IF(Years="Five",Input!P50,0)</f>
        <v>0</v>
      </c>
      <c r="Q778" s="855">
        <f>IF(Years="Five",Input!Q50,0)</f>
        <v>0</v>
      </c>
      <c r="R778" s="855">
        <f>IF(Years="Five",Input!R50,0)</f>
        <v>0</v>
      </c>
      <c r="S778" s="855">
        <f>IF(Years="Five",Input!S50,0)</f>
        <v>0</v>
      </c>
      <c r="T778" s="855">
        <f>IF(Years="Five",Input!T50,0)</f>
        <v>0</v>
      </c>
      <c r="U778" s="855">
        <f>IF(Years="Five",Input!U50,0)</f>
        <v>0</v>
      </c>
      <c r="V778" s="855">
        <f>IF(Years="Five",Input!V50,0)</f>
        <v>0</v>
      </c>
      <c r="W778" s="855">
        <f>IF(Years="Five",Input!W50,0)</f>
        <v>0</v>
      </c>
      <c r="X778" s="855">
        <f>IF(Years="Five",Input!X50,0)</f>
        <v>0</v>
      </c>
      <c r="Y778" s="855">
        <f>IF(Years="Five",Input!Y50,0)</f>
        <v>0</v>
      </c>
      <c r="Z778" s="855">
        <f>IF(Years="Five",Input!Z50,0)</f>
        <v>0</v>
      </c>
      <c r="AA778" s="855">
        <f>IF(Years="Five",Input!AA50,0)</f>
        <v>0</v>
      </c>
      <c r="AB778" s="856">
        <f>IF(Years="Five",Input!AB50,0)</f>
        <v>0</v>
      </c>
      <c r="CH778" s="269"/>
      <c r="CI778" s="269"/>
      <c r="CJ778" s="269"/>
      <c r="CK778" s="269"/>
      <c r="CL778" s="269"/>
      <c r="CM778" s="269"/>
      <c r="CN778" s="269"/>
      <c r="CO778" s="269"/>
      <c r="CP778" s="269"/>
      <c r="CQ778" s="269"/>
      <c r="CR778" s="269"/>
      <c r="CS778" s="269"/>
    </row>
    <row r="779" spans="3:97" ht="12" customHeight="1" x14ac:dyDescent="0.3">
      <c r="C779" s="495">
        <f>C716</f>
        <v>1521</v>
      </c>
      <c r="D779" s="857">
        <f>D778</f>
        <v>0</v>
      </c>
      <c r="E779" s="858">
        <f>E778</f>
        <v>0</v>
      </c>
      <c r="F779" s="858">
        <f>F778</f>
        <v>0</v>
      </c>
      <c r="G779" s="858">
        <f>G778</f>
        <v>0</v>
      </c>
      <c r="H779" s="858">
        <f>H778</f>
        <v>0</v>
      </c>
      <c r="I779" s="858">
        <f>I778</f>
        <v>0</v>
      </c>
      <c r="J779" s="858">
        <f>J778</f>
        <v>0</v>
      </c>
      <c r="K779" s="858">
        <f>K778</f>
        <v>0</v>
      </c>
      <c r="L779" s="858">
        <f>L778</f>
        <v>0</v>
      </c>
      <c r="M779" s="858">
        <f>M778</f>
        <v>0</v>
      </c>
      <c r="N779" s="858">
        <f>N778</f>
        <v>0</v>
      </c>
      <c r="O779" s="858">
        <f>O778</f>
        <v>0</v>
      </c>
      <c r="P779" s="858">
        <f>P778</f>
        <v>0</v>
      </c>
      <c r="Q779" s="858">
        <f>Q778</f>
        <v>0</v>
      </c>
      <c r="R779" s="858">
        <f>R778</f>
        <v>0</v>
      </c>
      <c r="S779" s="858">
        <f>S778</f>
        <v>0</v>
      </c>
      <c r="T779" s="858">
        <f>T778</f>
        <v>0</v>
      </c>
      <c r="U779" s="858">
        <f>U778</f>
        <v>0</v>
      </c>
      <c r="V779" s="858">
        <f>V778</f>
        <v>0</v>
      </c>
      <c r="W779" s="858">
        <f>W778</f>
        <v>0</v>
      </c>
      <c r="X779" s="858">
        <f>X778</f>
        <v>0</v>
      </c>
      <c r="Y779" s="858">
        <f>Y778</f>
        <v>0</v>
      </c>
      <c r="Z779" s="858">
        <f>Z778</f>
        <v>0</v>
      </c>
      <c r="AA779" s="858">
        <f>AA778</f>
        <v>0</v>
      </c>
      <c r="AB779" s="859">
        <f>AB778</f>
        <v>0</v>
      </c>
      <c r="CH779" s="269"/>
      <c r="CI779" s="269"/>
      <c r="CJ779" s="269"/>
      <c r="CK779" s="269"/>
      <c r="CL779" s="269"/>
      <c r="CM779" s="269"/>
      <c r="CN779" s="269"/>
      <c r="CO779" s="269"/>
      <c r="CP779" s="269"/>
      <c r="CQ779" s="269"/>
      <c r="CR779" s="269"/>
      <c r="CS779" s="269"/>
    </row>
    <row r="780" spans="3:97" ht="12" customHeight="1" x14ac:dyDescent="0.3">
      <c r="C780" s="495">
        <f>C717</f>
        <v>1552</v>
      </c>
      <c r="D780" s="857">
        <f>D779</f>
        <v>0</v>
      </c>
      <c r="E780" s="858">
        <f>E779</f>
        <v>0</v>
      </c>
      <c r="F780" s="858">
        <f>F779</f>
        <v>0</v>
      </c>
      <c r="G780" s="858">
        <f>G779</f>
        <v>0</v>
      </c>
      <c r="H780" s="858">
        <f>H779</f>
        <v>0</v>
      </c>
      <c r="I780" s="858">
        <f>I779</f>
        <v>0</v>
      </c>
      <c r="J780" s="858">
        <f>J779</f>
        <v>0</v>
      </c>
      <c r="K780" s="858">
        <f>K779</f>
        <v>0</v>
      </c>
      <c r="L780" s="858">
        <f>L779</f>
        <v>0</v>
      </c>
      <c r="M780" s="858">
        <f>M779</f>
        <v>0</v>
      </c>
      <c r="N780" s="858">
        <f>N779</f>
        <v>0</v>
      </c>
      <c r="O780" s="858">
        <f>O779</f>
        <v>0</v>
      </c>
      <c r="P780" s="858">
        <f>P779</f>
        <v>0</v>
      </c>
      <c r="Q780" s="858">
        <f>Q779</f>
        <v>0</v>
      </c>
      <c r="R780" s="858">
        <f>R779</f>
        <v>0</v>
      </c>
      <c r="S780" s="858">
        <f>S779</f>
        <v>0</v>
      </c>
      <c r="T780" s="858">
        <f>T779</f>
        <v>0</v>
      </c>
      <c r="U780" s="858">
        <f>U779</f>
        <v>0</v>
      </c>
      <c r="V780" s="858">
        <f>V779</f>
        <v>0</v>
      </c>
      <c r="W780" s="858">
        <f>W779</f>
        <v>0</v>
      </c>
      <c r="X780" s="858">
        <f>X779</f>
        <v>0</v>
      </c>
      <c r="Y780" s="858">
        <f>Y779</f>
        <v>0</v>
      </c>
      <c r="Z780" s="858">
        <f>Z779</f>
        <v>0</v>
      </c>
      <c r="AA780" s="858">
        <f>AA779</f>
        <v>0</v>
      </c>
      <c r="AB780" s="859">
        <f>AB779</f>
        <v>0</v>
      </c>
      <c r="CH780" s="269"/>
      <c r="CI780" s="269"/>
      <c r="CJ780" s="269"/>
      <c r="CK780" s="269"/>
      <c r="CL780" s="269"/>
      <c r="CM780" s="269"/>
      <c r="CN780" s="269"/>
      <c r="CO780" s="269"/>
      <c r="CP780" s="269"/>
      <c r="CQ780" s="269"/>
      <c r="CR780" s="269"/>
      <c r="CS780" s="269"/>
    </row>
    <row r="781" spans="3:97" ht="12" customHeight="1" x14ac:dyDescent="0.3">
      <c r="C781" s="495">
        <f>C718</f>
        <v>1582</v>
      </c>
      <c r="D781" s="857">
        <f>D780</f>
        <v>0</v>
      </c>
      <c r="E781" s="858">
        <f>E780</f>
        <v>0</v>
      </c>
      <c r="F781" s="858">
        <f>F780</f>
        <v>0</v>
      </c>
      <c r="G781" s="858">
        <f>G780</f>
        <v>0</v>
      </c>
      <c r="H781" s="858">
        <f>H780</f>
        <v>0</v>
      </c>
      <c r="I781" s="858">
        <f>I780</f>
        <v>0</v>
      </c>
      <c r="J781" s="858">
        <f>J780</f>
        <v>0</v>
      </c>
      <c r="K781" s="858">
        <f>K780</f>
        <v>0</v>
      </c>
      <c r="L781" s="858">
        <f>L780</f>
        <v>0</v>
      </c>
      <c r="M781" s="858">
        <f>M780</f>
        <v>0</v>
      </c>
      <c r="N781" s="858">
        <f>N780</f>
        <v>0</v>
      </c>
      <c r="O781" s="858">
        <f>O780</f>
        <v>0</v>
      </c>
      <c r="P781" s="858">
        <f>P780</f>
        <v>0</v>
      </c>
      <c r="Q781" s="858">
        <f>Q780</f>
        <v>0</v>
      </c>
      <c r="R781" s="858">
        <f>R780</f>
        <v>0</v>
      </c>
      <c r="S781" s="858">
        <f>S780</f>
        <v>0</v>
      </c>
      <c r="T781" s="858">
        <f>T780</f>
        <v>0</v>
      </c>
      <c r="U781" s="858">
        <f>U780</f>
        <v>0</v>
      </c>
      <c r="V781" s="858">
        <f>V780</f>
        <v>0</v>
      </c>
      <c r="W781" s="858">
        <f>W780</f>
        <v>0</v>
      </c>
      <c r="X781" s="858">
        <f>X780</f>
        <v>0</v>
      </c>
      <c r="Y781" s="858">
        <f>Y780</f>
        <v>0</v>
      </c>
      <c r="Z781" s="858">
        <f>Z780</f>
        <v>0</v>
      </c>
      <c r="AA781" s="858">
        <f>AA780</f>
        <v>0</v>
      </c>
      <c r="AB781" s="859">
        <f>AB780</f>
        <v>0</v>
      </c>
      <c r="CH781" s="269"/>
      <c r="CI781" s="269"/>
      <c r="CJ781" s="269"/>
      <c r="CK781" s="269"/>
      <c r="CL781" s="269"/>
      <c r="CM781" s="269"/>
      <c r="CN781" s="269"/>
      <c r="CO781" s="269"/>
      <c r="CP781" s="269"/>
      <c r="CQ781" s="269"/>
      <c r="CR781" s="269"/>
      <c r="CS781" s="269"/>
    </row>
    <row r="782" spans="3:97" ht="12" customHeight="1" x14ac:dyDescent="0.3">
      <c r="C782" s="495">
        <f>C719</f>
        <v>1613</v>
      </c>
      <c r="D782" s="857">
        <f>D781</f>
        <v>0</v>
      </c>
      <c r="E782" s="858">
        <f>E781</f>
        <v>0</v>
      </c>
      <c r="F782" s="858">
        <f>F781</f>
        <v>0</v>
      </c>
      <c r="G782" s="858">
        <f>G781</f>
        <v>0</v>
      </c>
      <c r="H782" s="858">
        <f>H781</f>
        <v>0</v>
      </c>
      <c r="I782" s="858">
        <f>I781</f>
        <v>0</v>
      </c>
      <c r="J782" s="858">
        <f>J781</f>
        <v>0</v>
      </c>
      <c r="K782" s="858">
        <f>K781</f>
        <v>0</v>
      </c>
      <c r="L782" s="858">
        <f>L781</f>
        <v>0</v>
      </c>
      <c r="M782" s="858">
        <f>M781</f>
        <v>0</v>
      </c>
      <c r="N782" s="858">
        <f>N781</f>
        <v>0</v>
      </c>
      <c r="O782" s="858">
        <f>O781</f>
        <v>0</v>
      </c>
      <c r="P782" s="858">
        <f>P781</f>
        <v>0</v>
      </c>
      <c r="Q782" s="858">
        <f>Q781</f>
        <v>0</v>
      </c>
      <c r="R782" s="858">
        <f>R781</f>
        <v>0</v>
      </c>
      <c r="S782" s="858">
        <f>S781</f>
        <v>0</v>
      </c>
      <c r="T782" s="858">
        <f>T781</f>
        <v>0</v>
      </c>
      <c r="U782" s="858">
        <f>U781</f>
        <v>0</v>
      </c>
      <c r="V782" s="858">
        <f>V781</f>
        <v>0</v>
      </c>
      <c r="W782" s="858">
        <f>W781</f>
        <v>0</v>
      </c>
      <c r="X782" s="858">
        <f>X781</f>
        <v>0</v>
      </c>
      <c r="Y782" s="858">
        <f>Y781</f>
        <v>0</v>
      </c>
      <c r="Z782" s="858">
        <f>Z781</f>
        <v>0</v>
      </c>
      <c r="AA782" s="858">
        <f>AA781</f>
        <v>0</v>
      </c>
      <c r="AB782" s="859">
        <f>AB781</f>
        <v>0</v>
      </c>
      <c r="CH782" s="269"/>
      <c r="CI782" s="269"/>
      <c r="CJ782" s="269"/>
      <c r="CK782" s="269"/>
      <c r="CL782" s="269"/>
      <c r="CM782" s="269"/>
      <c r="CN782" s="269"/>
      <c r="CO782" s="269"/>
      <c r="CP782" s="269"/>
      <c r="CQ782" s="269"/>
      <c r="CR782" s="269"/>
      <c r="CS782" s="269"/>
    </row>
    <row r="783" spans="3:97" ht="12" customHeight="1" x14ac:dyDescent="0.3">
      <c r="C783" s="495">
        <f>C720</f>
        <v>1643</v>
      </c>
      <c r="D783" s="857">
        <f>D782</f>
        <v>0</v>
      </c>
      <c r="E783" s="858">
        <f>E782</f>
        <v>0</v>
      </c>
      <c r="F783" s="858">
        <f>F782</f>
        <v>0</v>
      </c>
      <c r="G783" s="858">
        <f>G782</f>
        <v>0</v>
      </c>
      <c r="H783" s="858">
        <f>H782</f>
        <v>0</v>
      </c>
      <c r="I783" s="858">
        <f>I782</f>
        <v>0</v>
      </c>
      <c r="J783" s="858">
        <f>J782</f>
        <v>0</v>
      </c>
      <c r="K783" s="858">
        <f>K782</f>
        <v>0</v>
      </c>
      <c r="L783" s="858">
        <f>L782</f>
        <v>0</v>
      </c>
      <c r="M783" s="858">
        <f>M782</f>
        <v>0</v>
      </c>
      <c r="N783" s="858">
        <f>N782</f>
        <v>0</v>
      </c>
      <c r="O783" s="858">
        <f>O782</f>
        <v>0</v>
      </c>
      <c r="P783" s="858">
        <f>P782</f>
        <v>0</v>
      </c>
      <c r="Q783" s="858">
        <f>Q782</f>
        <v>0</v>
      </c>
      <c r="R783" s="858">
        <f>R782</f>
        <v>0</v>
      </c>
      <c r="S783" s="858">
        <f>S782</f>
        <v>0</v>
      </c>
      <c r="T783" s="858">
        <f>T782</f>
        <v>0</v>
      </c>
      <c r="U783" s="858">
        <f>U782</f>
        <v>0</v>
      </c>
      <c r="V783" s="858">
        <f>V782</f>
        <v>0</v>
      </c>
      <c r="W783" s="858">
        <f>W782</f>
        <v>0</v>
      </c>
      <c r="X783" s="858">
        <f>X782</f>
        <v>0</v>
      </c>
      <c r="Y783" s="858">
        <f>Y782</f>
        <v>0</v>
      </c>
      <c r="Z783" s="858">
        <f>Z782</f>
        <v>0</v>
      </c>
      <c r="AA783" s="858">
        <f>AA782</f>
        <v>0</v>
      </c>
      <c r="AB783" s="859">
        <f>AB782</f>
        <v>0</v>
      </c>
      <c r="CH783" s="269"/>
      <c r="CI783" s="269"/>
      <c r="CJ783" s="269"/>
      <c r="CK783" s="269"/>
      <c r="CL783" s="269"/>
      <c r="CM783" s="269"/>
      <c r="CN783" s="269"/>
      <c r="CO783" s="269"/>
      <c r="CP783" s="269"/>
      <c r="CQ783" s="269"/>
      <c r="CR783" s="269"/>
      <c r="CS783" s="269"/>
    </row>
    <row r="784" spans="3:97" ht="12" customHeight="1" x14ac:dyDescent="0.3">
      <c r="C784" s="495">
        <f>C721</f>
        <v>1674</v>
      </c>
      <c r="D784" s="857">
        <f>D783</f>
        <v>0</v>
      </c>
      <c r="E784" s="858">
        <f>E783</f>
        <v>0</v>
      </c>
      <c r="F784" s="858">
        <f>F783</f>
        <v>0</v>
      </c>
      <c r="G784" s="858">
        <f>G783</f>
        <v>0</v>
      </c>
      <c r="H784" s="858">
        <f>H783</f>
        <v>0</v>
      </c>
      <c r="I784" s="858">
        <f>I783</f>
        <v>0</v>
      </c>
      <c r="J784" s="858">
        <f>J783</f>
        <v>0</v>
      </c>
      <c r="K784" s="858">
        <f>K783</f>
        <v>0</v>
      </c>
      <c r="L784" s="858">
        <f>L783</f>
        <v>0</v>
      </c>
      <c r="M784" s="858">
        <f>M783</f>
        <v>0</v>
      </c>
      <c r="N784" s="858">
        <f>N783</f>
        <v>0</v>
      </c>
      <c r="O784" s="858">
        <f>O783</f>
        <v>0</v>
      </c>
      <c r="P784" s="858">
        <f>P783</f>
        <v>0</v>
      </c>
      <c r="Q784" s="858">
        <f>Q783</f>
        <v>0</v>
      </c>
      <c r="R784" s="858">
        <f>R783</f>
        <v>0</v>
      </c>
      <c r="S784" s="858">
        <f>S783</f>
        <v>0</v>
      </c>
      <c r="T784" s="858">
        <f>T783</f>
        <v>0</v>
      </c>
      <c r="U784" s="858">
        <f>U783</f>
        <v>0</v>
      </c>
      <c r="V784" s="858">
        <f>V783</f>
        <v>0</v>
      </c>
      <c r="W784" s="858">
        <f>W783</f>
        <v>0</v>
      </c>
      <c r="X784" s="858">
        <f>X783</f>
        <v>0</v>
      </c>
      <c r="Y784" s="858">
        <f>Y783</f>
        <v>0</v>
      </c>
      <c r="Z784" s="858">
        <f>Z783</f>
        <v>0</v>
      </c>
      <c r="AA784" s="858">
        <f>AA783</f>
        <v>0</v>
      </c>
      <c r="AB784" s="859">
        <f>AB783</f>
        <v>0</v>
      </c>
      <c r="CH784" s="269"/>
      <c r="CI784" s="269"/>
      <c r="CJ784" s="269"/>
      <c r="CK784" s="269"/>
      <c r="CL784" s="269"/>
      <c r="CM784" s="269"/>
      <c r="CN784" s="269"/>
      <c r="CO784" s="269"/>
      <c r="CP784" s="269"/>
      <c r="CQ784" s="269"/>
      <c r="CR784" s="269"/>
      <c r="CS784" s="269"/>
    </row>
    <row r="785" spans="1:97" ht="12" customHeight="1" x14ac:dyDescent="0.3">
      <c r="C785" s="495">
        <f>C722</f>
        <v>1705</v>
      </c>
      <c r="D785" s="857">
        <f>D784</f>
        <v>0</v>
      </c>
      <c r="E785" s="858">
        <f>E784</f>
        <v>0</v>
      </c>
      <c r="F785" s="858">
        <f>F784</f>
        <v>0</v>
      </c>
      <c r="G785" s="858">
        <f>G784</f>
        <v>0</v>
      </c>
      <c r="H785" s="858">
        <f>H784</f>
        <v>0</v>
      </c>
      <c r="I785" s="858">
        <f>I784</f>
        <v>0</v>
      </c>
      <c r="J785" s="858">
        <f>J784</f>
        <v>0</v>
      </c>
      <c r="K785" s="858">
        <f>K784</f>
        <v>0</v>
      </c>
      <c r="L785" s="858">
        <f>L784</f>
        <v>0</v>
      </c>
      <c r="M785" s="858">
        <f>M784</f>
        <v>0</v>
      </c>
      <c r="N785" s="858">
        <f>N784</f>
        <v>0</v>
      </c>
      <c r="O785" s="858">
        <f>O784</f>
        <v>0</v>
      </c>
      <c r="P785" s="858">
        <f>P784</f>
        <v>0</v>
      </c>
      <c r="Q785" s="858">
        <f>Q784</f>
        <v>0</v>
      </c>
      <c r="R785" s="858">
        <f>R784</f>
        <v>0</v>
      </c>
      <c r="S785" s="858">
        <f>S784</f>
        <v>0</v>
      </c>
      <c r="T785" s="858">
        <f>T784</f>
        <v>0</v>
      </c>
      <c r="U785" s="858">
        <f>U784</f>
        <v>0</v>
      </c>
      <c r="V785" s="858">
        <f>V784</f>
        <v>0</v>
      </c>
      <c r="W785" s="858">
        <f>W784</f>
        <v>0</v>
      </c>
      <c r="X785" s="858">
        <f>X784</f>
        <v>0</v>
      </c>
      <c r="Y785" s="858">
        <f>Y784</f>
        <v>0</v>
      </c>
      <c r="Z785" s="858">
        <f>Z784</f>
        <v>0</v>
      </c>
      <c r="AA785" s="858">
        <f>AA784</f>
        <v>0</v>
      </c>
      <c r="AB785" s="859">
        <f>AB784</f>
        <v>0</v>
      </c>
      <c r="CH785" s="269"/>
      <c r="CI785" s="269"/>
      <c r="CJ785" s="269"/>
      <c r="CK785" s="269"/>
      <c r="CL785" s="269"/>
      <c r="CM785" s="269"/>
      <c r="CN785" s="269"/>
      <c r="CO785" s="269"/>
      <c r="CP785" s="269"/>
      <c r="CQ785" s="269"/>
      <c r="CR785" s="269"/>
      <c r="CS785" s="269"/>
    </row>
    <row r="786" spans="1:97" ht="12" customHeight="1" x14ac:dyDescent="0.3">
      <c r="C786" s="495">
        <f>C723</f>
        <v>1735</v>
      </c>
      <c r="D786" s="857">
        <f>D785</f>
        <v>0</v>
      </c>
      <c r="E786" s="858">
        <f>E785</f>
        <v>0</v>
      </c>
      <c r="F786" s="858">
        <f>F785</f>
        <v>0</v>
      </c>
      <c r="G786" s="858">
        <f>G785</f>
        <v>0</v>
      </c>
      <c r="H786" s="858">
        <f>H785</f>
        <v>0</v>
      </c>
      <c r="I786" s="858">
        <f>I785</f>
        <v>0</v>
      </c>
      <c r="J786" s="858">
        <f>J785</f>
        <v>0</v>
      </c>
      <c r="K786" s="858">
        <f>K785</f>
        <v>0</v>
      </c>
      <c r="L786" s="858">
        <f>L785</f>
        <v>0</v>
      </c>
      <c r="M786" s="858">
        <f>M785</f>
        <v>0</v>
      </c>
      <c r="N786" s="858">
        <f>N785</f>
        <v>0</v>
      </c>
      <c r="O786" s="858">
        <f>O785</f>
        <v>0</v>
      </c>
      <c r="P786" s="858">
        <f>P785</f>
        <v>0</v>
      </c>
      <c r="Q786" s="858">
        <f>Q785</f>
        <v>0</v>
      </c>
      <c r="R786" s="858">
        <f>R785</f>
        <v>0</v>
      </c>
      <c r="S786" s="858">
        <f>S785</f>
        <v>0</v>
      </c>
      <c r="T786" s="858">
        <f>T785</f>
        <v>0</v>
      </c>
      <c r="U786" s="858">
        <f>U785</f>
        <v>0</v>
      </c>
      <c r="V786" s="858">
        <f>V785</f>
        <v>0</v>
      </c>
      <c r="W786" s="858">
        <f>W785</f>
        <v>0</v>
      </c>
      <c r="X786" s="858">
        <f>X785</f>
        <v>0</v>
      </c>
      <c r="Y786" s="858">
        <f>Y785</f>
        <v>0</v>
      </c>
      <c r="Z786" s="858">
        <f>Z785</f>
        <v>0</v>
      </c>
      <c r="AA786" s="858">
        <f>AA785</f>
        <v>0</v>
      </c>
      <c r="AB786" s="859">
        <f>AB785</f>
        <v>0</v>
      </c>
      <c r="CH786" s="269"/>
      <c r="CI786" s="269"/>
      <c r="CJ786" s="269"/>
      <c r="CK786" s="269"/>
      <c r="CL786" s="269"/>
      <c r="CM786" s="269"/>
      <c r="CN786" s="269"/>
      <c r="CO786" s="269"/>
      <c r="CP786" s="269"/>
      <c r="CQ786" s="269"/>
      <c r="CR786" s="269"/>
      <c r="CS786" s="269"/>
    </row>
    <row r="787" spans="1:97" ht="12" customHeight="1" x14ac:dyDescent="0.3">
      <c r="C787" s="495">
        <f>C724</f>
        <v>1766</v>
      </c>
      <c r="D787" s="857">
        <f>D786</f>
        <v>0</v>
      </c>
      <c r="E787" s="858">
        <f>E786</f>
        <v>0</v>
      </c>
      <c r="F787" s="858">
        <f>F786</f>
        <v>0</v>
      </c>
      <c r="G787" s="858">
        <f>G786</f>
        <v>0</v>
      </c>
      <c r="H787" s="858">
        <f>H786</f>
        <v>0</v>
      </c>
      <c r="I787" s="858">
        <f>I786</f>
        <v>0</v>
      </c>
      <c r="J787" s="858">
        <f>J786</f>
        <v>0</v>
      </c>
      <c r="K787" s="858">
        <f>K786</f>
        <v>0</v>
      </c>
      <c r="L787" s="858">
        <f>L786</f>
        <v>0</v>
      </c>
      <c r="M787" s="858">
        <f>M786</f>
        <v>0</v>
      </c>
      <c r="N787" s="858">
        <f>N786</f>
        <v>0</v>
      </c>
      <c r="O787" s="858">
        <f>O786</f>
        <v>0</v>
      </c>
      <c r="P787" s="858">
        <f>P786</f>
        <v>0</v>
      </c>
      <c r="Q787" s="858">
        <f>Q786</f>
        <v>0</v>
      </c>
      <c r="R787" s="858">
        <f>R786</f>
        <v>0</v>
      </c>
      <c r="S787" s="858">
        <f>S786</f>
        <v>0</v>
      </c>
      <c r="T787" s="858">
        <f>T786</f>
        <v>0</v>
      </c>
      <c r="U787" s="858">
        <f>U786</f>
        <v>0</v>
      </c>
      <c r="V787" s="858">
        <f>V786</f>
        <v>0</v>
      </c>
      <c r="W787" s="858">
        <f>W786</f>
        <v>0</v>
      </c>
      <c r="X787" s="858">
        <f>X786</f>
        <v>0</v>
      </c>
      <c r="Y787" s="858">
        <f>Y786</f>
        <v>0</v>
      </c>
      <c r="Z787" s="858">
        <f>Z786</f>
        <v>0</v>
      </c>
      <c r="AA787" s="858">
        <f>AA786</f>
        <v>0</v>
      </c>
      <c r="AB787" s="859">
        <f>AB786</f>
        <v>0</v>
      </c>
      <c r="CH787" s="269"/>
      <c r="CI787" s="269"/>
      <c r="CJ787" s="269"/>
      <c r="CK787" s="269"/>
      <c r="CL787" s="269"/>
      <c r="CM787" s="269"/>
      <c r="CN787" s="269"/>
      <c r="CO787" s="269"/>
      <c r="CP787" s="269"/>
      <c r="CQ787" s="269"/>
      <c r="CR787" s="269"/>
      <c r="CS787" s="269"/>
    </row>
    <row r="788" spans="1:97" ht="12" customHeight="1" x14ac:dyDescent="0.3">
      <c r="C788" s="495">
        <f>C725</f>
        <v>1796</v>
      </c>
      <c r="D788" s="857">
        <f>D787</f>
        <v>0</v>
      </c>
      <c r="E788" s="858">
        <f>E787</f>
        <v>0</v>
      </c>
      <c r="F788" s="858">
        <f>F787</f>
        <v>0</v>
      </c>
      <c r="G788" s="858">
        <f>G787</f>
        <v>0</v>
      </c>
      <c r="H788" s="858">
        <f>H787</f>
        <v>0</v>
      </c>
      <c r="I788" s="858">
        <f>I787</f>
        <v>0</v>
      </c>
      <c r="J788" s="858">
        <f>J787</f>
        <v>0</v>
      </c>
      <c r="K788" s="858">
        <f>K787</f>
        <v>0</v>
      </c>
      <c r="L788" s="858">
        <f>L787</f>
        <v>0</v>
      </c>
      <c r="M788" s="858">
        <f>M787</f>
        <v>0</v>
      </c>
      <c r="N788" s="858">
        <f>N787</f>
        <v>0</v>
      </c>
      <c r="O788" s="858">
        <f>O787</f>
        <v>0</v>
      </c>
      <c r="P788" s="858">
        <f>P787</f>
        <v>0</v>
      </c>
      <c r="Q788" s="858">
        <f>Q787</f>
        <v>0</v>
      </c>
      <c r="R788" s="858">
        <f>R787</f>
        <v>0</v>
      </c>
      <c r="S788" s="858">
        <f>S787</f>
        <v>0</v>
      </c>
      <c r="T788" s="858">
        <f>T787</f>
        <v>0</v>
      </c>
      <c r="U788" s="858">
        <f>U787</f>
        <v>0</v>
      </c>
      <c r="V788" s="858">
        <f>V787</f>
        <v>0</v>
      </c>
      <c r="W788" s="858">
        <f>W787</f>
        <v>0</v>
      </c>
      <c r="X788" s="858">
        <f>X787</f>
        <v>0</v>
      </c>
      <c r="Y788" s="858">
        <f>Y787</f>
        <v>0</v>
      </c>
      <c r="Z788" s="858">
        <f>Z787</f>
        <v>0</v>
      </c>
      <c r="AA788" s="858">
        <f>AA787</f>
        <v>0</v>
      </c>
      <c r="AB788" s="859">
        <f>AB787</f>
        <v>0</v>
      </c>
      <c r="CH788" s="269"/>
      <c r="CI788" s="269"/>
      <c r="CJ788" s="269"/>
      <c r="CK788" s="269"/>
      <c r="CL788" s="269"/>
      <c r="CM788" s="269"/>
      <c r="CN788" s="269"/>
      <c r="CO788" s="269"/>
      <c r="CP788" s="269"/>
      <c r="CQ788" s="269"/>
      <c r="CR788" s="269"/>
      <c r="CS788" s="269"/>
    </row>
    <row r="789" spans="1:97" ht="12" customHeight="1" thickBot="1" x14ac:dyDescent="0.35">
      <c r="C789" s="496">
        <f>C726</f>
        <v>1827</v>
      </c>
      <c r="D789" s="860">
        <f>D788</f>
        <v>0</v>
      </c>
      <c r="E789" s="861">
        <f>E788</f>
        <v>0</v>
      </c>
      <c r="F789" s="861">
        <f>F788</f>
        <v>0</v>
      </c>
      <c r="G789" s="861">
        <f>G788</f>
        <v>0</v>
      </c>
      <c r="H789" s="861">
        <f>H788</f>
        <v>0</v>
      </c>
      <c r="I789" s="861">
        <f>I788</f>
        <v>0</v>
      </c>
      <c r="J789" s="861">
        <f>J788</f>
        <v>0</v>
      </c>
      <c r="K789" s="861">
        <f>K788</f>
        <v>0</v>
      </c>
      <c r="L789" s="861">
        <f>L788</f>
        <v>0</v>
      </c>
      <c r="M789" s="861">
        <f>M788</f>
        <v>0</v>
      </c>
      <c r="N789" s="861">
        <f>N788</f>
        <v>0</v>
      </c>
      <c r="O789" s="861">
        <f>O788</f>
        <v>0</v>
      </c>
      <c r="P789" s="861">
        <f>P788</f>
        <v>0</v>
      </c>
      <c r="Q789" s="861">
        <f>Q788</f>
        <v>0</v>
      </c>
      <c r="R789" s="861">
        <f>R788</f>
        <v>0</v>
      </c>
      <c r="S789" s="861">
        <f>S788</f>
        <v>0</v>
      </c>
      <c r="T789" s="861">
        <f>T788</f>
        <v>0</v>
      </c>
      <c r="U789" s="861">
        <f>U788</f>
        <v>0</v>
      </c>
      <c r="V789" s="861">
        <f>V788</f>
        <v>0</v>
      </c>
      <c r="W789" s="861">
        <f>W788</f>
        <v>0</v>
      </c>
      <c r="X789" s="861">
        <f>X788</f>
        <v>0</v>
      </c>
      <c r="Y789" s="861">
        <f>Y788</f>
        <v>0</v>
      </c>
      <c r="Z789" s="861">
        <f>Z788</f>
        <v>0</v>
      </c>
      <c r="AA789" s="861">
        <f>AA788</f>
        <v>0</v>
      </c>
      <c r="AB789" s="862">
        <f>AB788</f>
        <v>0</v>
      </c>
      <c r="CH789" s="269"/>
      <c r="CI789" s="269"/>
      <c r="CJ789" s="269"/>
      <c r="CK789" s="269"/>
      <c r="CL789" s="269"/>
      <c r="CM789" s="269"/>
      <c r="CN789" s="269"/>
      <c r="CO789" s="269"/>
      <c r="CP789" s="269"/>
      <c r="CQ789" s="269"/>
      <c r="CR789" s="269"/>
      <c r="CS789" s="269"/>
    </row>
    <row r="790" spans="1:97" ht="12" customHeight="1" x14ac:dyDescent="0.45">
      <c r="C790" s="863"/>
      <c r="D790" s="864"/>
      <c r="E790" s="865"/>
      <c r="F790" s="865"/>
      <c r="G790" s="865"/>
      <c r="H790" s="865"/>
      <c r="I790" s="865"/>
      <c r="J790" s="865"/>
      <c r="K790" s="865"/>
      <c r="L790" s="865"/>
      <c r="M790" s="865"/>
      <c r="N790" s="865"/>
      <c r="O790" s="865"/>
      <c r="P790" s="865"/>
      <c r="Q790" s="865"/>
      <c r="R790" s="865"/>
      <c r="S790" s="865"/>
      <c r="T790" s="865"/>
      <c r="U790" s="865"/>
      <c r="V790" s="865"/>
      <c r="W790" s="865"/>
      <c r="X790" s="865"/>
      <c r="Y790" s="865"/>
      <c r="Z790" s="865"/>
      <c r="AA790" s="865"/>
      <c r="AB790" s="865"/>
      <c r="CH790" s="269"/>
      <c r="CI790" s="269"/>
      <c r="CJ790" s="269"/>
      <c r="CK790" s="269"/>
      <c r="CL790" s="269"/>
      <c r="CM790" s="269"/>
      <c r="CN790" s="269"/>
      <c r="CO790" s="269"/>
      <c r="CP790" s="269"/>
      <c r="CQ790" s="269"/>
      <c r="CR790" s="269"/>
      <c r="CS790" s="269"/>
    </row>
    <row r="791" spans="1:97" ht="12" customHeight="1" x14ac:dyDescent="0.45">
      <c r="A791" s="1799" t="str">
        <f>Input!C51</f>
        <v xml:space="preserve">Bad Debt / Returns </v>
      </c>
      <c r="B791" s="1830" t="s">
        <v>200</v>
      </c>
      <c r="C791" s="1830"/>
      <c r="D791" s="221"/>
      <c r="E791" s="221"/>
      <c r="F791" s="221"/>
      <c r="G791" s="221"/>
      <c r="H791" s="221"/>
      <c r="I791" s="221"/>
      <c r="J791" s="221"/>
      <c r="K791" s="221"/>
      <c r="L791" s="221"/>
      <c r="M791" s="221"/>
      <c r="N791" s="221"/>
      <c r="O791" s="221"/>
      <c r="P791" s="221"/>
      <c r="Q791" s="221"/>
      <c r="R791" s="221"/>
      <c r="S791" s="221"/>
      <c r="T791" s="221"/>
      <c r="U791" s="221"/>
      <c r="V791" s="221"/>
      <c r="W791" s="221"/>
      <c r="X791" s="221"/>
      <c r="Y791" s="221"/>
      <c r="Z791" s="221"/>
      <c r="AA791" s="221"/>
      <c r="AB791" s="221"/>
      <c r="CH791" s="269"/>
      <c r="CI791" s="269"/>
      <c r="CJ791" s="269"/>
      <c r="CK791" s="269"/>
      <c r="CL791" s="269"/>
      <c r="CM791" s="269"/>
      <c r="CN791" s="269"/>
      <c r="CO791" s="269"/>
      <c r="CP791" s="269"/>
      <c r="CQ791" s="269"/>
      <c r="CR791" s="269"/>
      <c r="CS791" s="269"/>
    </row>
    <row r="792" spans="1:97" s="5" customFormat="1" ht="12" customHeight="1" thickBot="1" x14ac:dyDescent="0.35">
      <c r="A792" s="646"/>
      <c r="B792" s="1830"/>
      <c r="C792" s="1830"/>
      <c r="D792" s="820" t="str">
        <f>D339</f>
        <v>Item 1</v>
      </c>
      <c r="E792" s="820" t="str">
        <f>E339</f>
        <v>Item 2</v>
      </c>
      <c r="F792" s="820" t="str">
        <f>F339</f>
        <v>Item 3</v>
      </c>
      <c r="G792" s="820" t="str">
        <f>G339</f>
        <v>Item 4</v>
      </c>
      <c r="H792" s="820" t="str">
        <f>H339</f>
        <v>Item 5</v>
      </c>
      <c r="I792" s="820" t="str">
        <f>I339</f>
        <v>Item 6</v>
      </c>
      <c r="J792" s="820" t="str">
        <f>J339</f>
        <v>Item 7</v>
      </c>
      <c r="K792" s="820" t="str">
        <f>K339</f>
        <v>Item 8</v>
      </c>
      <c r="L792" s="820" t="str">
        <f>L339</f>
        <v>Item 9</v>
      </c>
      <c r="M792" s="820" t="str">
        <f>M339</f>
        <v>Item 10</v>
      </c>
      <c r="N792" s="820" t="str">
        <f>N339</f>
        <v>Item 11</v>
      </c>
      <c r="O792" s="820" t="str">
        <f>O339</f>
        <v>Item 12</v>
      </c>
      <c r="P792" s="820" t="str">
        <f>P339</f>
        <v>Item 13</v>
      </c>
      <c r="Q792" s="820" t="str">
        <f>Q339</f>
        <v>Item 14</v>
      </c>
      <c r="R792" s="820" t="str">
        <f>R339</f>
        <v>Item 15</v>
      </c>
      <c r="S792" s="820" t="str">
        <f>S339</f>
        <v>Item 16</v>
      </c>
      <c r="T792" s="820" t="str">
        <f>T339</f>
        <v>Item 17</v>
      </c>
      <c r="U792" s="820" t="str">
        <f>U339</f>
        <v>Item 18</v>
      </c>
      <c r="V792" s="820" t="str">
        <f>V339</f>
        <v>Item 19</v>
      </c>
      <c r="W792" s="820" t="str">
        <f>W339</f>
        <v>Item 20</v>
      </c>
      <c r="X792" s="820" t="str">
        <f>X339</f>
        <v>Item 21</v>
      </c>
      <c r="Y792" s="820" t="str">
        <f>Y339</f>
        <v>Item 22</v>
      </c>
      <c r="Z792" s="820" t="str">
        <f>Z339</f>
        <v>Item 23</v>
      </c>
      <c r="AA792" s="820" t="str">
        <f>AA339</f>
        <v>Item 24</v>
      </c>
      <c r="AB792" s="820" t="str">
        <f>AB339</f>
        <v>Item 25</v>
      </c>
      <c r="AC792" s="4"/>
      <c r="AD792" s="4"/>
      <c r="AE792" s="4"/>
      <c r="AF792" s="4"/>
      <c r="AG792" s="4"/>
      <c r="AH792" s="4"/>
      <c r="AI792" s="4"/>
      <c r="AJ792" s="4"/>
      <c r="AK792" s="4"/>
      <c r="AL792" s="4"/>
      <c r="AM792" s="4"/>
      <c r="AN792" s="4"/>
      <c r="AO792" s="4"/>
      <c r="AP792" s="4"/>
      <c r="AQ792" s="4"/>
      <c r="AR792" s="4"/>
      <c r="AS792" s="4"/>
      <c r="AT792" s="4"/>
      <c r="AU792" s="4"/>
      <c r="AV792" s="4"/>
      <c r="AW792" s="4"/>
      <c r="AX792" s="4"/>
      <c r="AY792" s="4"/>
      <c r="AZ792" s="4"/>
      <c r="BA792" s="4"/>
      <c r="BB792" s="4"/>
      <c r="BC792" s="4"/>
      <c r="BD792" s="4"/>
      <c r="BE792" s="4"/>
      <c r="BF792" s="4"/>
      <c r="BG792" s="4"/>
      <c r="BH792" s="4"/>
      <c r="BI792" s="4"/>
      <c r="BJ792" s="4"/>
      <c r="BK792" s="4"/>
      <c r="BL792" s="4"/>
      <c r="BM792" s="4"/>
      <c r="BN792" s="4"/>
      <c r="BO792" s="4"/>
      <c r="BP792" s="4"/>
      <c r="BQ792" s="4"/>
      <c r="BR792" s="4"/>
      <c r="BS792" s="4"/>
      <c r="BT792" s="4"/>
      <c r="BU792" s="4"/>
      <c r="BV792" s="4"/>
      <c r="BW792" s="4"/>
      <c r="BX792" s="4"/>
      <c r="BY792" s="4"/>
      <c r="BZ792" s="4"/>
      <c r="CA792" s="4"/>
      <c r="CB792" s="4"/>
      <c r="CC792" s="4"/>
      <c r="CD792" s="4"/>
      <c r="CE792" s="4"/>
      <c r="CF792" s="4"/>
      <c r="CG792" s="4"/>
      <c r="CH792" s="821"/>
      <c r="CI792" s="821"/>
      <c r="CJ792" s="821"/>
      <c r="CK792" s="821"/>
      <c r="CL792" s="821"/>
      <c r="CM792" s="821"/>
      <c r="CN792" s="821"/>
      <c r="CO792" s="821"/>
      <c r="CP792" s="821"/>
      <c r="CQ792" s="821"/>
      <c r="CR792" s="821"/>
      <c r="CS792" s="821"/>
    </row>
    <row r="793" spans="1:97" ht="12" customHeight="1" x14ac:dyDescent="0.3">
      <c r="C793" s="495">
        <f>C730</f>
        <v>0</v>
      </c>
      <c r="D793" s="227">
        <f>Input!D$51*D340</f>
        <v>0</v>
      </c>
      <c r="E793" s="228">
        <f>Input!E$51*E340</f>
        <v>0</v>
      </c>
      <c r="F793" s="228">
        <f>Input!F$51*F340</f>
        <v>0</v>
      </c>
      <c r="G793" s="228">
        <f>Input!G$51*G340</f>
        <v>0</v>
      </c>
      <c r="H793" s="228">
        <f>Input!H$51*H340</f>
        <v>0</v>
      </c>
      <c r="I793" s="228">
        <f>Input!I$51*I340</f>
        <v>0</v>
      </c>
      <c r="J793" s="228">
        <f>Input!J$51*J340</f>
        <v>0</v>
      </c>
      <c r="K793" s="228">
        <f>Input!K$51*K340</f>
        <v>0</v>
      </c>
      <c r="L793" s="228">
        <f>Input!L$51*L340</f>
        <v>0</v>
      </c>
      <c r="M793" s="228">
        <f>Input!M$51*M340</f>
        <v>0</v>
      </c>
      <c r="N793" s="228">
        <f>Input!N$51*N340</f>
        <v>0</v>
      </c>
      <c r="O793" s="228">
        <f>Input!O$51*O340</f>
        <v>0</v>
      </c>
      <c r="P793" s="228">
        <f>Input!P$51*P340</f>
        <v>0</v>
      </c>
      <c r="Q793" s="228">
        <f>Input!Q$51*Q340</f>
        <v>0</v>
      </c>
      <c r="R793" s="228">
        <f>Input!R$51*R340</f>
        <v>0</v>
      </c>
      <c r="S793" s="228">
        <f>Input!S$51*S340</f>
        <v>0</v>
      </c>
      <c r="T793" s="228">
        <f>Input!T$51*T340</f>
        <v>0</v>
      </c>
      <c r="U793" s="228">
        <f>Input!U$51*U340</f>
        <v>0</v>
      </c>
      <c r="V793" s="228">
        <f>Input!V$51*V340</f>
        <v>0</v>
      </c>
      <c r="W793" s="228">
        <f>Input!W$51*W340</f>
        <v>0</v>
      </c>
      <c r="X793" s="228">
        <f>Input!X$51*X340</f>
        <v>0</v>
      </c>
      <c r="Y793" s="228">
        <f>Input!Y$51*Y340</f>
        <v>0</v>
      </c>
      <c r="Z793" s="228">
        <f>Input!Z$51*Z340</f>
        <v>0</v>
      </c>
      <c r="AA793" s="228">
        <f>Input!AA$51*AA340</f>
        <v>0</v>
      </c>
      <c r="AB793" s="228">
        <f>Input!AB$51*AB340</f>
        <v>0</v>
      </c>
      <c r="CH793" s="269"/>
      <c r="CI793" s="269"/>
      <c r="CJ793" s="269"/>
      <c r="CK793" s="269"/>
      <c r="CL793" s="269"/>
      <c r="CM793" s="269"/>
      <c r="CN793" s="269"/>
      <c r="CO793" s="269"/>
      <c r="CP793" s="269"/>
      <c r="CQ793" s="269"/>
      <c r="CR793" s="269"/>
      <c r="CS793" s="269"/>
    </row>
    <row r="794" spans="1:97" ht="12" customHeight="1" x14ac:dyDescent="0.3">
      <c r="C794" s="495">
        <f>C731</f>
        <v>59</v>
      </c>
      <c r="D794" s="229">
        <f>Input!D$51*D341</f>
        <v>0</v>
      </c>
      <c r="E794" s="229">
        <f>Input!E$51*E341</f>
        <v>0</v>
      </c>
      <c r="F794" s="229">
        <f>Input!F$51*F341</f>
        <v>0</v>
      </c>
      <c r="G794" s="229">
        <f>Input!G$51*G341</f>
        <v>0</v>
      </c>
      <c r="H794" s="229">
        <f>Input!H$51*H341</f>
        <v>0</v>
      </c>
      <c r="I794" s="229">
        <f>Input!I$51*I341</f>
        <v>0</v>
      </c>
      <c r="J794" s="229">
        <f>Input!J$51*J341</f>
        <v>0</v>
      </c>
      <c r="K794" s="229">
        <f>Input!K$51*K341</f>
        <v>0</v>
      </c>
      <c r="L794" s="229">
        <f>Input!L$51*L341</f>
        <v>0</v>
      </c>
      <c r="M794" s="229">
        <f>Input!M$51*M341</f>
        <v>0</v>
      </c>
      <c r="N794" s="229">
        <f>Input!N$51*N341</f>
        <v>0</v>
      </c>
      <c r="O794" s="229">
        <f>Input!O$51*O341</f>
        <v>0</v>
      </c>
      <c r="P794" s="229">
        <f>Input!P$51*P341</f>
        <v>0</v>
      </c>
      <c r="Q794" s="229">
        <f>Input!Q$51*Q341</f>
        <v>0</v>
      </c>
      <c r="R794" s="229">
        <f>Input!R$51*R341</f>
        <v>0</v>
      </c>
      <c r="S794" s="229">
        <f>Input!S$51*S341</f>
        <v>0</v>
      </c>
      <c r="T794" s="229">
        <f>Input!T$51*T341</f>
        <v>0</v>
      </c>
      <c r="U794" s="229">
        <f>Input!U$51*U341</f>
        <v>0</v>
      </c>
      <c r="V794" s="229">
        <f>Input!V$51*V341</f>
        <v>0</v>
      </c>
      <c r="W794" s="229">
        <f>Input!W$51*W341</f>
        <v>0</v>
      </c>
      <c r="X794" s="229">
        <f>Input!X$51*X341</f>
        <v>0</v>
      </c>
      <c r="Y794" s="229">
        <f>Input!Y$51*Y341</f>
        <v>0</v>
      </c>
      <c r="Z794" s="229">
        <f>Input!Z$51*Z341</f>
        <v>0</v>
      </c>
      <c r="AA794" s="229">
        <f>Input!AA$51*AA341</f>
        <v>0</v>
      </c>
      <c r="AB794" s="229">
        <f>Input!AB$51*AB341</f>
        <v>0</v>
      </c>
      <c r="CH794" s="269"/>
      <c r="CI794" s="269"/>
      <c r="CJ794" s="269"/>
      <c r="CK794" s="269"/>
      <c r="CL794" s="269"/>
      <c r="CM794" s="269"/>
      <c r="CN794" s="269"/>
      <c r="CO794" s="269"/>
      <c r="CP794" s="269"/>
      <c r="CQ794" s="269"/>
      <c r="CR794" s="269"/>
      <c r="CS794" s="269"/>
    </row>
    <row r="795" spans="1:97" ht="12" customHeight="1" x14ac:dyDescent="0.3">
      <c r="C795" s="495">
        <f>C732</f>
        <v>91</v>
      </c>
      <c r="D795" s="229">
        <f>Input!D$51*D342</f>
        <v>0</v>
      </c>
      <c r="E795" s="229">
        <f>Input!E$51*E342</f>
        <v>0</v>
      </c>
      <c r="F795" s="229">
        <f>Input!F$51*F342</f>
        <v>0</v>
      </c>
      <c r="G795" s="229">
        <f>Input!G$51*G342</f>
        <v>0</v>
      </c>
      <c r="H795" s="229">
        <f>Input!H$51*H342</f>
        <v>0</v>
      </c>
      <c r="I795" s="229">
        <f>Input!I$51*I342</f>
        <v>0</v>
      </c>
      <c r="J795" s="229">
        <f>Input!J$51*J342</f>
        <v>0</v>
      </c>
      <c r="K795" s="229">
        <f>Input!K$51*K342</f>
        <v>0</v>
      </c>
      <c r="L795" s="229">
        <f>Input!L$51*L342</f>
        <v>0</v>
      </c>
      <c r="M795" s="229">
        <f>Input!M$51*M342</f>
        <v>0</v>
      </c>
      <c r="N795" s="229">
        <f>Input!N$51*N342</f>
        <v>0</v>
      </c>
      <c r="O795" s="229">
        <f>Input!O$51*O342</f>
        <v>0</v>
      </c>
      <c r="P795" s="229">
        <f>Input!P$51*P342</f>
        <v>0</v>
      </c>
      <c r="Q795" s="229">
        <f>Input!Q$51*Q342</f>
        <v>0</v>
      </c>
      <c r="R795" s="229">
        <f>Input!R$51*R342</f>
        <v>0</v>
      </c>
      <c r="S795" s="229">
        <f>Input!S$51*S342</f>
        <v>0</v>
      </c>
      <c r="T795" s="229">
        <f>Input!T$51*T342</f>
        <v>0</v>
      </c>
      <c r="U795" s="229">
        <f>Input!U$51*U342</f>
        <v>0</v>
      </c>
      <c r="V795" s="229">
        <f>Input!V$51*V342</f>
        <v>0</v>
      </c>
      <c r="W795" s="229">
        <f>Input!W$51*W342</f>
        <v>0</v>
      </c>
      <c r="X795" s="229">
        <f>Input!X$51*X342</f>
        <v>0</v>
      </c>
      <c r="Y795" s="229">
        <f>Input!Y$51*Y342</f>
        <v>0</v>
      </c>
      <c r="Z795" s="229">
        <f>Input!Z$51*Z342</f>
        <v>0</v>
      </c>
      <c r="AA795" s="229">
        <f>Input!AA$51*AA342</f>
        <v>0</v>
      </c>
      <c r="AB795" s="229">
        <f>Input!AB$51*AB342</f>
        <v>0</v>
      </c>
      <c r="CH795" s="269"/>
      <c r="CI795" s="269"/>
      <c r="CJ795" s="269"/>
      <c r="CK795" s="269"/>
      <c r="CL795" s="269"/>
      <c r="CM795" s="269"/>
      <c r="CN795" s="269"/>
      <c r="CO795" s="269"/>
      <c r="CP795" s="269"/>
      <c r="CQ795" s="269"/>
      <c r="CR795" s="269"/>
      <c r="CS795" s="269"/>
    </row>
    <row r="796" spans="1:97" ht="12" customHeight="1" x14ac:dyDescent="0.3">
      <c r="C796" s="495">
        <f>C733</f>
        <v>121</v>
      </c>
      <c r="D796" s="229">
        <f>Input!D$51*D343</f>
        <v>0</v>
      </c>
      <c r="E796" s="229">
        <f>Input!E$51*E343</f>
        <v>0</v>
      </c>
      <c r="F796" s="229">
        <f>Input!F$51*F343</f>
        <v>0</v>
      </c>
      <c r="G796" s="229">
        <f>Input!G$51*G343</f>
        <v>0</v>
      </c>
      <c r="H796" s="229">
        <f>Input!H$51*H343</f>
        <v>0</v>
      </c>
      <c r="I796" s="229">
        <f>Input!I$51*I343</f>
        <v>0</v>
      </c>
      <c r="J796" s="229">
        <f>Input!J$51*J343</f>
        <v>0</v>
      </c>
      <c r="K796" s="229">
        <f>Input!K$51*K343</f>
        <v>0</v>
      </c>
      <c r="L796" s="229">
        <f>Input!L$51*L343</f>
        <v>0</v>
      </c>
      <c r="M796" s="229">
        <f>Input!M$51*M343</f>
        <v>0</v>
      </c>
      <c r="N796" s="229">
        <f>Input!N$51*N343</f>
        <v>0</v>
      </c>
      <c r="O796" s="229">
        <f>Input!O$51*O343</f>
        <v>0</v>
      </c>
      <c r="P796" s="229">
        <f>Input!P$51*P343</f>
        <v>0</v>
      </c>
      <c r="Q796" s="229">
        <f>Input!Q$51*Q343</f>
        <v>0</v>
      </c>
      <c r="R796" s="229">
        <f>Input!R$51*R343</f>
        <v>0</v>
      </c>
      <c r="S796" s="229">
        <f>Input!S$51*S343</f>
        <v>0</v>
      </c>
      <c r="T796" s="229">
        <f>Input!T$51*T343</f>
        <v>0</v>
      </c>
      <c r="U796" s="229">
        <f>Input!U$51*U343</f>
        <v>0</v>
      </c>
      <c r="V796" s="229">
        <f>Input!V$51*V343</f>
        <v>0</v>
      </c>
      <c r="W796" s="229">
        <f>Input!W$51*W343</f>
        <v>0</v>
      </c>
      <c r="X796" s="229">
        <f>Input!X$51*X343</f>
        <v>0</v>
      </c>
      <c r="Y796" s="229">
        <f>Input!Y$51*Y343</f>
        <v>0</v>
      </c>
      <c r="Z796" s="229">
        <f>Input!Z$51*Z343</f>
        <v>0</v>
      </c>
      <c r="AA796" s="229">
        <f>Input!AA$51*AA343</f>
        <v>0</v>
      </c>
      <c r="AB796" s="229">
        <f>Input!AB$51*AB343</f>
        <v>0</v>
      </c>
      <c r="CH796" s="269"/>
      <c r="CI796" s="269"/>
      <c r="CJ796" s="269"/>
      <c r="CK796" s="269"/>
      <c r="CL796" s="269"/>
      <c r="CM796" s="269"/>
      <c r="CN796" s="269"/>
      <c r="CO796" s="269"/>
      <c r="CP796" s="269"/>
      <c r="CQ796" s="269"/>
      <c r="CR796" s="269"/>
      <c r="CS796" s="269"/>
    </row>
    <row r="797" spans="1:97" ht="12" customHeight="1" x14ac:dyDescent="0.3">
      <c r="C797" s="495">
        <f>C734</f>
        <v>152</v>
      </c>
      <c r="D797" s="229">
        <f>Input!D$51*D344</f>
        <v>0</v>
      </c>
      <c r="E797" s="229">
        <f>Input!E$51*E344</f>
        <v>0</v>
      </c>
      <c r="F797" s="229">
        <f>Input!F$51*F344</f>
        <v>0</v>
      </c>
      <c r="G797" s="229">
        <f>Input!G$51*G344</f>
        <v>0</v>
      </c>
      <c r="H797" s="229">
        <f>Input!H$51*H344</f>
        <v>0</v>
      </c>
      <c r="I797" s="229">
        <f>Input!I$51*I344</f>
        <v>0</v>
      </c>
      <c r="J797" s="229">
        <f>Input!J$51*J344</f>
        <v>0</v>
      </c>
      <c r="K797" s="229">
        <f>Input!K$51*K344</f>
        <v>0</v>
      </c>
      <c r="L797" s="229">
        <f>Input!L$51*L344</f>
        <v>0</v>
      </c>
      <c r="M797" s="229">
        <f>Input!M$51*M344</f>
        <v>0</v>
      </c>
      <c r="N797" s="229">
        <f>Input!N$51*N344</f>
        <v>0</v>
      </c>
      <c r="O797" s="229">
        <f>Input!O$51*O344</f>
        <v>0</v>
      </c>
      <c r="P797" s="229">
        <f>Input!P$51*P344</f>
        <v>0</v>
      </c>
      <c r="Q797" s="229">
        <f>Input!Q$51*Q344</f>
        <v>0</v>
      </c>
      <c r="R797" s="229">
        <f>Input!R$51*R344</f>
        <v>0</v>
      </c>
      <c r="S797" s="229">
        <f>Input!S$51*S344</f>
        <v>0</v>
      </c>
      <c r="T797" s="229">
        <f>Input!T$51*T344</f>
        <v>0</v>
      </c>
      <c r="U797" s="229">
        <f>Input!U$51*U344</f>
        <v>0</v>
      </c>
      <c r="V797" s="229">
        <f>Input!V$51*V344</f>
        <v>0</v>
      </c>
      <c r="W797" s="229">
        <f>Input!W$51*W344</f>
        <v>0</v>
      </c>
      <c r="X797" s="229">
        <f>Input!X$51*X344</f>
        <v>0</v>
      </c>
      <c r="Y797" s="229">
        <f>Input!Y$51*Y344</f>
        <v>0</v>
      </c>
      <c r="Z797" s="229">
        <f>Input!Z$51*Z344</f>
        <v>0</v>
      </c>
      <c r="AA797" s="229">
        <f>Input!AA$51*AA344</f>
        <v>0</v>
      </c>
      <c r="AB797" s="229">
        <f>Input!AB$51*AB344</f>
        <v>0</v>
      </c>
      <c r="CH797" s="269"/>
      <c r="CI797" s="269"/>
      <c r="CJ797" s="269"/>
      <c r="CK797" s="269"/>
      <c r="CL797" s="269"/>
      <c r="CM797" s="269"/>
      <c r="CN797" s="269"/>
      <c r="CO797" s="269"/>
      <c r="CP797" s="269"/>
      <c r="CQ797" s="269"/>
      <c r="CR797" s="269"/>
      <c r="CS797" s="269"/>
    </row>
    <row r="798" spans="1:97" ht="12" customHeight="1" x14ac:dyDescent="0.3">
      <c r="C798" s="495">
        <f>C735</f>
        <v>182</v>
      </c>
      <c r="D798" s="229">
        <f>Input!D$51*D345</f>
        <v>0</v>
      </c>
      <c r="E798" s="229">
        <f>Input!E$51*E345</f>
        <v>0</v>
      </c>
      <c r="F798" s="229">
        <f>Input!F$51*F345</f>
        <v>0</v>
      </c>
      <c r="G798" s="229">
        <f>Input!G$51*G345</f>
        <v>0</v>
      </c>
      <c r="H798" s="229">
        <f>Input!H$51*H345</f>
        <v>0</v>
      </c>
      <c r="I798" s="229">
        <f>Input!I$51*I345</f>
        <v>0</v>
      </c>
      <c r="J798" s="229">
        <f>Input!J$51*J345</f>
        <v>0</v>
      </c>
      <c r="K798" s="229">
        <f>Input!K$51*K345</f>
        <v>0</v>
      </c>
      <c r="L798" s="229">
        <f>Input!L$51*L345</f>
        <v>0</v>
      </c>
      <c r="M798" s="229">
        <f>Input!M$51*M345</f>
        <v>0</v>
      </c>
      <c r="N798" s="229">
        <f>Input!N$51*N345</f>
        <v>0</v>
      </c>
      <c r="O798" s="229">
        <f>Input!O$51*O345</f>
        <v>0</v>
      </c>
      <c r="P798" s="229">
        <f>Input!P$51*P345</f>
        <v>0</v>
      </c>
      <c r="Q798" s="229">
        <f>Input!Q$51*Q345</f>
        <v>0</v>
      </c>
      <c r="R798" s="229">
        <f>Input!R$51*R345</f>
        <v>0</v>
      </c>
      <c r="S798" s="229">
        <f>Input!S$51*S345</f>
        <v>0</v>
      </c>
      <c r="T798" s="229">
        <f>Input!T$51*T345</f>
        <v>0</v>
      </c>
      <c r="U798" s="229">
        <f>Input!U$51*U345</f>
        <v>0</v>
      </c>
      <c r="V798" s="229">
        <f>Input!V$51*V345</f>
        <v>0</v>
      </c>
      <c r="W798" s="229">
        <f>Input!W$51*W345</f>
        <v>0</v>
      </c>
      <c r="X798" s="229">
        <f>Input!X$51*X345</f>
        <v>0</v>
      </c>
      <c r="Y798" s="229">
        <f>Input!Y$51*Y345</f>
        <v>0</v>
      </c>
      <c r="Z798" s="229">
        <f>Input!Z$51*Z345</f>
        <v>0</v>
      </c>
      <c r="AA798" s="229">
        <f>Input!AA$51*AA345</f>
        <v>0</v>
      </c>
      <c r="AB798" s="229">
        <f>Input!AB$51*AB345</f>
        <v>0</v>
      </c>
      <c r="CH798" s="269"/>
      <c r="CI798" s="269"/>
      <c r="CJ798" s="269"/>
      <c r="CK798" s="269"/>
      <c r="CL798" s="269"/>
      <c r="CM798" s="269"/>
      <c r="CN798" s="269"/>
      <c r="CO798" s="269"/>
      <c r="CP798" s="269"/>
      <c r="CQ798" s="269"/>
      <c r="CR798" s="269"/>
      <c r="CS798" s="269"/>
    </row>
    <row r="799" spans="1:97" ht="12" customHeight="1" x14ac:dyDescent="0.3">
      <c r="C799" s="495">
        <f>C736</f>
        <v>213</v>
      </c>
      <c r="D799" s="229">
        <f>Input!D$51*D346</f>
        <v>0</v>
      </c>
      <c r="E799" s="229">
        <f>Input!E$51*E346</f>
        <v>0</v>
      </c>
      <c r="F799" s="229">
        <f>Input!F$51*F346</f>
        <v>0</v>
      </c>
      <c r="G799" s="229">
        <f>Input!G$51*G346</f>
        <v>0</v>
      </c>
      <c r="H799" s="229">
        <f>Input!H$51*H346</f>
        <v>0</v>
      </c>
      <c r="I799" s="229">
        <f>Input!I$51*I346</f>
        <v>0</v>
      </c>
      <c r="J799" s="229">
        <f>Input!J$51*J346</f>
        <v>0</v>
      </c>
      <c r="K799" s="229">
        <f>Input!K$51*K346</f>
        <v>0</v>
      </c>
      <c r="L799" s="229">
        <f>Input!L$51*L346</f>
        <v>0</v>
      </c>
      <c r="M799" s="229">
        <f>Input!M$51*M346</f>
        <v>0</v>
      </c>
      <c r="N799" s="229">
        <f>Input!N$51*N346</f>
        <v>0</v>
      </c>
      <c r="O799" s="229">
        <f>Input!O$51*O346</f>
        <v>0</v>
      </c>
      <c r="P799" s="229">
        <f>Input!P$51*P346</f>
        <v>0</v>
      </c>
      <c r="Q799" s="229">
        <f>Input!Q$51*Q346</f>
        <v>0</v>
      </c>
      <c r="R799" s="229">
        <f>Input!R$51*R346</f>
        <v>0</v>
      </c>
      <c r="S799" s="229">
        <f>Input!S$51*S346</f>
        <v>0</v>
      </c>
      <c r="T799" s="229">
        <f>Input!T$51*T346</f>
        <v>0</v>
      </c>
      <c r="U799" s="229">
        <f>Input!U$51*U346</f>
        <v>0</v>
      </c>
      <c r="V799" s="229">
        <f>Input!V$51*V346</f>
        <v>0</v>
      </c>
      <c r="W799" s="229">
        <f>Input!W$51*W346</f>
        <v>0</v>
      </c>
      <c r="X799" s="229">
        <f>Input!X$51*X346</f>
        <v>0</v>
      </c>
      <c r="Y799" s="229">
        <f>Input!Y$51*Y346</f>
        <v>0</v>
      </c>
      <c r="Z799" s="229">
        <f>Input!Z$51*Z346</f>
        <v>0</v>
      </c>
      <c r="AA799" s="229">
        <f>Input!AA$51*AA346</f>
        <v>0</v>
      </c>
      <c r="AB799" s="229">
        <f>Input!AB$51*AB346</f>
        <v>0</v>
      </c>
      <c r="CH799" s="269"/>
      <c r="CI799" s="269"/>
      <c r="CJ799" s="269"/>
      <c r="CK799" s="269"/>
      <c r="CL799" s="269"/>
      <c r="CM799" s="269"/>
      <c r="CN799" s="269"/>
      <c r="CO799" s="269"/>
      <c r="CP799" s="269"/>
      <c r="CQ799" s="269"/>
      <c r="CR799" s="269"/>
      <c r="CS799" s="269"/>
    </row>
    <row r="800" spans="1:97" ht="12" customHeight="1" x14ac:dyDescent="0.3">
      <c r="C800" s="495">
        <f>C737</f>
        <v>244</v>
      </c>
      <c r="D800" s="229">
        <f>Input!D$51*D347</f>
        <v>0</v>
      </c>
      <c r="E800" s="229">
        <f>Input!E$51*E347</f>
        <v>0</v>
      </c>
      <c r="F800" s="229">
        <f>Input!F$51*F347</f>
        <v>0</v>
      </c>
      <c r="G800" s="229">
        <f>Input!G$51*G347</f>
        <v>0</v>
      </c>
      <c r="H800" s="229">
        <f>Input!H$51*H347</f>
        <v>0</v>
      </c>
      <c r="I800" s="229">
        <f>Input!I$51*I347</f>
        <v>0</v>
      </c>
      <c r="J800" s="229">
        <f>Input!J$51*J347</f>
        <v>0</v>
      </c>
      <c r="K800" s="229">
        <f>Input!K$51*K347</f>
        <v>0</v>
      </c>
      <c r="L800" s="229">
        <f>Input!L$51*L347</f>
        <v>0</v>
      </c>
      <c r="M800" s="229">
        <f>Input!M$51*M347</f>
        <v>0</v>
      </c>
      <c r="N800" s="229">
        <f>Input!N$51*N347</f>
        <v>0</v>
      </c>
      <c r="O800" s="229">
        <f>Input!O$51*O347</f>
        <v>0</v>
      </c>
      <c r="P800" s="229">
        <f>Input!P$51*P347</f>
        <v>0</v>
      </c>
      <c r="Q800" s="229">
        <f>Input!Q$51*Q347</f>
        <v>0</v>
      </c>
      <c r="R800" s="229">
        <f>Input!R$51*R347</f>
        <v>0</v>
      </c>
      <c r="S800" s="229">
        <f>Input!S$51*S347</f>
        <v>0</v>
      </c>
      <c r="T800" s="229">
        <f>Input!T$51*T347</f>
        <v>0</v>
      </c>
      <c r="U800" s="229">
        <f>Input!U$51*U347</f>
        <v>0</v>
      </c>
      <c r="V800" s="229">
        <f>Input!V$51*V347</f>
        <v>0</v>
      </c>
      <c r="W800" s="229">
        <f>Input!W$51*W347</f>
        <v>0</v>
      </c>
      <c r="X800" s="229">
        <f>Input!X$51*X347</f>
        <v>0</v>
      </c>
      <c r="Y800" s="229">
        <f>Input!Y$51*Y347</f>
        <v>0</v>
      </c>
      <c r="Z800" s="229">
        <f>Input!Z$51*Z347</f>
        <v>0</v>
      </c>
      <c r="AA800" s="229">
        <f>Input!AA$51*AA347</f>
        <v>0</v>
      </c>
      <c r="AB800" s="229">
        <f>Input!AB$51*AB347</f>
        <v>0</v>
      </c>
      <c r="CH800" s="269"/>
      <c r="CI800" s="269"/>
      <c r="CJ800" s="269"/>
      <c r="CK800" s="269"/>
      <c r="CL800" s="269"/>
      <c r="CM800" s="269"/>
      <c r="CN800" s="269"/>
      <c r="CO800" s="269"/>
      <c r="CP800" s="269"/>
      <c r="CQ800" s="269"/>
      <c r="CR800" s="269"/>
      <c r="CS800" s="269"/>
    </row>
    <row r="801" spans="3:97" ht="12" customHeight="1" x14ac:dyDescent="0.3">
      <c r="C801" s="495">
        <f>C738</f>
        <v>274</v>
      </c>
      <c r="D801" s="229">
        <f>Input!D$51*D348</f>
        <v>0</v>
      </c>
      <c r="E801" s="229">
        <f>Input!E$51*E348</f>
        <v>0</v>
      </c>
      <c r="F801" s="229">
        <f>Input!F$51*F348</f>
        <v>0</v>
      </c>
      <c r="G801" s="229">
        <f>Input!G$51*G348</f>
        <v>0</v>
      </c>
      <c r="H801" s="229">
        <f>Input!H$51*H348</f>
        <v>0</v>
      </c>
      <c r="I801" s="229">
        <f>Input!I$51*I348</f>
        <v>0</v>
      </c>
      <c r="J801" s="229">
        <f>Input!J$51*J348</f>
        <v>0</v>
      </c>
      <c r="K801" s="229">
        <f>Input!K$51*K348</f>
        <v>0</v>
      </c>
      <c r="L801" s="229">
        <f>Input!L$51*L348</f>
        <v>0</v>
      </c>
      <c r="M801" s="229">
        <f>Input!M$51*M348</f>
        <v>0</v>
      </c>
      <c r="N801" s="229">
        <f>Input!N$51*N348</f>
        <v>0</v>
      </c>
      <c r="O801" s="229">
        <f>Input!O$51*O348</f>
        <v>0</v>
      </c>
      <c r="P801" s="229">
        <f>Input!P$51*P348</f>
        <v>0</v>
      </c>
      <c r="Q801" s="229">
        <f>Input!Q$51*Q348</f>
        <v>0</v>
      </c>
      <c r="R801" s="229">
        <f>Input!R$51*R348</f>
        <v>0</v>
      </c>
      <c r="S801" s="229">
        <f>Input!S$51*S348</f>
        <v>0</v>
      </c>
      <c r="T801" s="229">
        <f>Input!T$51*T348</f>
        <v>0</v>
      </c>
      <c r="U801" s="229">
        <f>Input!U$51*U348</f>
        <v>0</v>
      </c>
      <c r="V801" s="229">
        <f>Input!V$51*V348</f>
        <v>0</v>
      </c>
      <c r="W801" s="229">
        <f>Input!W$51*W348</f>
        <v>0</v>
      </c>
      <c r="X801" s="229">
        <f>Input!X$51*X348</f>
        <v>0</v>
      </c>
      <c r="Y801" s="229">
        <f>Input!Y$51*Y348</f>
        <v>0</v>
      </c>
      <c r="Z801" s="229">
        <f>Input!Z$51*Z348</f>
        <v>0</v>
      </c>
      <c r="AA801" s="229">
        <f>Input!AA$51*AA348</f>
        <v>0</v>
      </c>
      <c r="AB801" s="229">
        <f>Input!AB$51*AB348</f>
        <v>0</v>
      </c>
      <c r="CH801" s="269"/>
      <c r="CI801" s="269"/>
      <c r="CJ801" s="269"/>
      <c r="CK801" s="269"/>
      <c r="CL801" s="269"/>
      <c r="CM801" s="269"/>
      <c r="CN801" s="269"/>
      <c r="CO801" s="269"/>
      <c r="CP801" s="269"/>
      <c r="CQ801" s="269"/>
      <c r="CR801" s="269"/>
      <c r="CS801" s="269"/>
    </row>
    <row r="802" spans="3:97" ht="12" customHeight="1" x14ac:dyDescent="0.3">
      <c r="C802" s="495">
        <f>C739</f>
        <v>305</v>
      </c>
      <c r="D802" s="229">
        <f>Input!D$51*D349</f>
        <v>0</v>
      </c>
      <c r="E802" s="229">
        <f>Input!E$51*E349</f>
        <v>0</v>
      </c>
      <c r="F802" s="229">
        <f>Input!F$51*F349</f>
        <v>0</v>
      </c>
      <c r="G802" s="229">
        <f>Input!G$51*G349</f>
        <v>0</v>
      </c>
      <c r="H802" s="229">
        <f>Input!H$51*H349</f>
        <v>0</v>
      </c>
      <c r="I802" s="229">
        <f>Input!I$51*I349</f>
        <v>0</v>
      </c>
      <c r="J802" s="229">
        <f>Input!J$51*J349</f>
        <v>0</v>
      </c>
      <c r="K802" s="229">
        <f>Input!K$51*K349</f>
        <v>0</v>
      </c>
      <c r="L802" s="229">
        <f>Input!L$51*L349</f>
        <v>0</v>
      </c>
      <c r="M802" s="229">
        <f>Input!M$51*M349</f>
        <v>0</v>
      </c>
      <c r="N802" s="229">
        <f>Input!N$51*N349</f>
        <v>0</v>
      </c>
      <c r="O802" s="229">
        <f>Input!O$51*O349</f>
        <v>0</v>
      </c>
      <c r="P802" s="229">
        <f>Input!P$51*P349</f>
        <v>0</v>
      </c>
      <c r="Q802" s="229">
        <f>Input!Q$51*Q349</f>
        <v>0</v>
      </c>
      <c r="R802" s="229">
        <f>Input!R$51*R349</f>
        <v>0</v>
      </c>
      <c r="S802" s="229">
        <f>Input!S$51*S349</f>
        <v>0</v>
      </c>
      <c r="T802" s="229">
        <f>Input!T$51*T349</f>
        <v>0</v>
      </c>
      <c r="U802" s="229">
        <f>Input!U$51*U349</f>
        <v>0</v>
      </c>
      <c r="V802" s="229">
        <f>Input!V$51*V349</f>
        <v>0</v>
      </c>
      <c r="W802" s="229">
        <f>Input!W$51*W349</f>
        <v>0</v>
      </c>
      <c r="X802" s="229">
        <f>Input!X$51*X349</f>
        <v>0</v>
      </c>
      <c r="Y802" s="229">
        <f>Input!Y$51*Y349</f>
        <v>0</v>
      </c>
      <c r="Z802" s="229">
        <f>Input!Z$51*Z349</f>
        <v>0</v>
      </c>
      <c r="AA802" s="229">
        <f>Input!AA$51*AA349</f>
        <v>0</v>
      </c>
      <c r="AB802" s="229">
        <f>Input!AB$51*AB349</f>
        <v>0</v>
      </c>
      <c r="CH802" s="269"/>
      <c r="CI802" s="269"/>
      <c r="CJ802" s="269"/>
      <c r="CK802" s="269"/>
      <c r="CL802" s="269"/>
      <c r="CM802" s="269"/>
      <c r="CN802" s="269"/>
      <c r="CO802" s="269"/>
      <c r="CP802" s="269"/>
      <c r="CQ802" s="269"/>
      <c r="CR802" s="269"/>
      <c r="CS802" s="269"/>
    </row>
    <row r="803" spans="3:97" ht="12" customHeight="1" x14ac:dyDescent="0.3">
      <c r="C803" s="495">
        <f>C740</f>
        <v>335</v>
      </c>
      <c r="D803" s="229">
        <f>Input!D$51*D350</f>
        <v>0</v>
      </c>
      <c r="E803" s="229">
        <f>Input!E$51*E350</f>
        <v>0</v>
      </c>
      <c r="F803" s="229">
        <f>Input!F$51*F350</f>
        <v>0</v>
      </c>
      <c r="G803" s="229">
        <f>Input!G$51*G350</f>
        <v>0</v>
      </c>
      <c r="H803" s="229">
        <f>Input!H$51*H350</f>
        <v>0</v>
      </c>
      <c r="I803" s="229">
        <f>Input!I$51*I350</f>
        <v>0</v>
      </c>
      <c r="J803" s="229">
        <f>Input!J$51*J350</f>
        <v>0</v>
      </c>
      <c r="K803" s="229">
        <f>Input!K$51*K350</f>
        <v>0</v>
      </c>
      <c r="L803" s="229">
        <f>Input!L$51*L350</f>
        <v>0</v>
      </c>
      <c r="M803" s="229">
        <f>Input!M$51*M350</f>
        <v>0</v>
      </c>
      <c r="N803" s="229">
        <f>Input!N$51*N350</f>
        <v>0</v>
      </c>
      <c r="O803" s="229">
        <f>Input!O$51*O350</f>
        <v>0</v>
      </c>
      <c r="P803" s="229">
        <f>Input!P$51*P350</f>
        <v>0</v>
      </c>
      <c r="Q803" s="229">
        <f>Input!Q$51*Q350</f>
        <v>0</v>
      </c>
      <c r="R803" s="229">
        <f>Input!R$51*R350</f>
        <v>0</v>
      </c>
      <c r="S803" s="229">
        <f>Input!S$51*S350</f>
        <v>0</v>
      </c>
      <c r="T803" s="229">
        <f>Input!T$51*T350</f>
        <v>0</v>
      </c>
      <c r="U803" s="229">
        <f>Input!U$51*U350</f>
        <v>0</v>
      </c>
      <c r="V803" s="229">
        <f>Input!V$51*V350</f>
        <v>0</v>
      </c>
      <c r="W803" s="229">
        <f>Input!W$51*W350</f>
        <v>0</v>
      </c>
      <c r="X803" s="229">
        <f>Input!X$51*X350</f>
        <v>0</v>
      </c>
      <c r="Y803" s="229">
        <f>Input!Y$51*Y350</f>
        <v>0</v>
      </c>
      <c r="Z803" s="229">
        <f>Input!Z$51*Z350</f>
        <v>0</v>
      </c>
      <c r="AA803" s="229">
        <f>Input!AA$51*AA350</f>
        <v>0</v>
      </c>
      <c r="AB803" s="229">
        <f>Input!AB$51*AB350</f>
        <v>0</v>
      </c>
      <c r="CH803" s="269"/>
      <c r="CI803" s="269"/>
      <c r="CJ803" s="269"/>
      <c r="CK803" s="269"/>
      <c r="CL803" s="269"/>
      <c r="CM803" s="269"/>
      <c r="CN803" s="269"/>
      <c r="CO803" s="269"/>
      <c r="CP803" s="269"/>
      <c r="CQ803" s="269"/>
      <c r="CR803" s="269"/>
      <c r="CS803" s="269"/>
    </row>
    <row r="804" spans="3:97" ht="12" customHeight="1" thickBot="1" x14ac:dyDescent="0.35">
      <c r="C804" s="496">
        <f>C741</f>
        <v>366</v>
      </c>
      <c r="D804" s="230">
        <f>Input!D$51*D351</f>
        <v>0</v>
      </c>
      <c r="E804" s="230">
        <f>Input!E$51*E351</f>
        <v>0</v>
      </c>
      <c r="F804" s="230">
        <f>Input!F$51*F351</f>
        <v>0</v>
      </c>
      <c r="G804" s="230">
        <f>Input!G$51*G351</f>
        <v>0</v>
      </c>
      <c r="H804" s="230">
        <f>Input!H$51*H351</f>
        <v>0</v>
      </c>
      <c r="I804" s="230">
        <f>Input!I$51*I351</f>
        <v>0</v>
      </c>
      <c r="J804" s="230">
        <f>Input!J$51*J351</f>
        <v>0</v>
      </c>
      <c r="K804" s="230">
        <f>Input!K$51*K351</f>
        <v>0</v>
      </c>
      <c r="L804" s="230">
        <f>Input!L$51*L351</f>
        <v>0</v>
      </c>
      <c r="M804" s="230">
        <f>Input!M$51*M351</f>
        <v>0</v>
      </c>
      <c r="N804" s="230">
        <f>Input!N$51*N351</f>
        <v>0</v>
      </c>
      <c r="O804" s="230">
        <f>Input!O$51*O351</f>
        <v>0</v>
      </c>
      <c r="P804" s="230">
        <f>Input!P$51*P351</f>
        <v>0</v>
      </c>
      <c r="Q804" s="230">
        <f>Input!Q$51*Q351</f>
        <v>0</v>
      </c>
      <c r="R804" s="230">
        <f>Input!R$51*R351</f>
        <v>0</v>
      </c>
      <c r="S804" s="230">
        <f>Input!S$51*S351</f>
        <v>0</v>
      </c>
      <c r="T804" s="230">
        <f>Input!T$51*T351</f>
        <v>0</v>
      </c>
      <c r="U804" s="230">
        <f>Input!U$51*U351</f>
        <v>0</v>
      </c>
      <c r="V804" s="230">
        <f>Input!V$51*V351</f>
        <v>0</v>
      </c>
      <c r="W804" s="230">
        <f>Input!W$51*W351</f>
        <v>0</v>
      </c>
      <c r="X804" s="230">
        <f>Input!X$51*X351</f>
        <v>0</v>
      </c>
      <c r="Y804" s="230">
        <f>Input!Y$51*Y351</f>
        <v>0</v>
      </c>
      <c r="Z804" s="230">
        <f>Input!Z$51*Z351</f>
        <v>0</v>
      </c>
      <c r="AA804" s="230">
        <f>Input!AA$51*AA351</f>
        <v>0</v>
      </c>
      <c r="AB804" s="230">
        <f>Input!AB$51*AB351</f>
        <v>0</v>
      </c>
      <c r="CH804" s="269"/>
      <c r="CI804" s="269"/>
      <c r="CJ804" s="269"/>
      <c r="CK804" s="269"/>
      <c r="CL804" s="269"/>
      <c r="CM804" s="269"/>
      <c r="CN804" s="269"/>
      <c r="CO804" s="269"/>
      <c r="CP804" s="269"/>
      <c r="CQ804" s="269"/>
      <c r="CR804" s="269"/>
      <c r="CS804" s="269"/>
    </row>
    <row r="805" spans="3:97" ht="12" customHeight="1" x14ac:dyDescent="0.3">
      <c r="C805" s="495">
        <f>C742</f>
        <v>397</v>
      </c>
      <c r="D805" s="231">
        <f>Input!D$51*D352</f>
        <v>0</v>
      </c>
      <c r="E805" s="231">
        <f>Input!E$51*E352</f>
        <v>0</v>
      </c>
      <c r="F805" s="231">
        <f>Input!F$51*F352</f>
        <v>0</v>
      </c>
      <c r="G805" s="231">
        <f>Input!G$51*G352</f>
        <v>0</v>
      </c>
      <c r="H805" s="231">
        <f>Input!H$51*H352</f>
        <v>0</v>
      </c>
      <c r="I805" s="231">
        <f>Input!I$51*I352</f>
        <v>0</v>
      </c>
      <c r="J805" s="231">
        <f>Input!J$51*J352</f>
        <v>0</v>
      </c>
      <c r="K805" s="231">
        <f>Input!K$51*K352</f>
        <v>0</v>
      </c>
      <c r="L805" s="231">
        <f>Input!L$51*L352</f>
        <v>0</v>
      </c>
      <c r="M805" s="231">
        <f>Input!M$51*M352</f>
        <v>0</v>
      </c>
      <c r="N805" s="231">
        <f>Input!N$51*N352</f>
        <v>0</v>
      </c>
      <c r="O805" s="231">
        <f>Input!O$51*O352</f>
        <v>0</v>
      </c>
      <c r="P805" s="231">
        <f>Input!P$51*P352</f>
        <v>0</v>
      </c>
      <c r="Q805" s="231">
        <f>Input!Q$51*Q352</f>
        <v>0</v>
      </c>
      <c r="R805" s="231">
        <f>Input!R$51*R352</f>
        <v>0</v>
      </c>
      <c r="S805" s="231">
        <f>Input!S$51*S352</f>
        <v>0</v>
      </c>
      <c r="T805" s="231">
        <f>Input!T$51*T352</f>
        <v>0</v>
      </c>
      <c r="U805" s="231">
        <f>Input!U$51*U352</f>
        <v>0</v>
      </c>
      <c r="V805" s="231">
        <f>Input!V$51*V352</f>
        <v>0</v>
      </c>
      <c r="W805" s="231">
        <f>Input!W$51*W352</f>
        <v>0</v>
      </c>
      <c r="X805" s="231">
        <f>Input!X$51*X352</f>
        <v>0</v>
      </c>
      <c r="Y805" s="231">
        <f>Input!Y$51*Y352</f>
        <v>0</v>
      </c>
      <c r="Z805" s="231">
        <f>Input!Z$51*Z352</f>
        <v>0</v>
      </c>
      <c r="AA805" s="231">
        <f>Input!AA$51*AA352</f>
        <v>0</v>
      </c>
      <c r="AB805" s="231">
        <f>Input!AB$51*AB352</f>
        <v>0</v>
      </c>
      <c r="CH805" s="269"/>
      <c r="CI805" s="269"/>
      <c r="CJ805" s="269"/>
      <c r="CK805" s="269"/>
      <c r="CL805" s="269"/>
      <c r="CM805" s="269"/>
      <c r="CN805" s="269"/>
      <c r="CO805" s="269"/>
      <c r="CP805" s="269"/>
      <c r="CQ805" s="269"/>
      <c r="CR805" s="269"/>
      <c r="CS805" s="269"/>
    </row>
    <row r="806" spans="3:97" ht="12" customHeight="1" x14ac:dyDescent="0.3">
      <c r="C806" s="495">
        <f>C743</f>
        <v>425</v>
      </c>
      <c r="D806" s="229">
        <f>Input!D$51*D353</f>
        <v>0</v>
      </c>
      <c r="E806" s="229">
        <f>Input!E$51*E353</f>
        <v>0</v>
      </c>
      <c r="F806" s="229">
        <f>Input!F$51*F353</f>
        <v>0</v>
      </c>
      <c r="G806" s="229">
        <f>Input!G$51*G353</f>
        <v>0</v>
      </c>
      <c r="H806" s="229">
        <f>Input!H$51*H353</f>
        <v>0</v>
      </c>
      <c r="I806" s="229">
        <f>Input!I$51*I353</f>
        <v>0</v>
      </c>
      <c r="J806" s="229">
        <f>Input!J$51*J353</f>
        <v>0</v>
      </c>
      <c r="K806" s="229">
        <f>Input!K$51*K353</f>
        <v>0</v>
      </c>
      <c r="L806" s="229">
        <f>Input!L$51*L353</f>
        <v>0</v>
      </c>
      <c r="M806" s="229">
        <f>Input!M$51*M353</f>
        <v>0</v>
      </c>
      <c r="N806" s="229">
        <f>Input!N$51*N353</f>
        <v>0</v>
      </c>
      <c r="O806" s="229">
        <f>Input!O$51*O353</f>
        <v>0</v>
      </c>
      <c r="P806" s="229">
        <f>Input!P$51*P353</f>
        <v>0</v>
      </c>
      <c r="Q806" s="229">
        <f>Input!Q$51*Q353</f>
        <v>0</v>
      </c>
      <c r="R806" s="229">
        <f>Input!R$51*R353</f>
        <v>0</v>
      </c>
      <c r="S806" s="229">
        <f>Input!S$51*S353</f>
        <v>0</v>
      </c>
      <c r="T806" s="229">
        <f>Input!T$51*T353</f>
        <v>0</v>
      </c>
      <c r="U806" s="229">
        <f>Input!U$51*U353</f>
        <v>0</v>
      </c>
      <c r="V806" s="229">
        <f>Input!V$51*V353</f>
        <v>0</v>
      </c>
      <c r="W806" s="229">
        <f>Input!W$51*W353</f>
        <v>0</v>
      </c>
      <c r="X806" s="229">
        <f>Input!X$51*X353</f>
        <v>0</v>
      </c>
      <c r="Y806" s="229">
        <f>Input!Y$51*Y353</f>
        <v>0</v>
      </c>
      <c r="Z806" s="229">
        <f>Input!Z$51*Z353</f>
        <v>0</v>
      </c>
      <c r="AA806" s="229">
        <f>Input!AA$51*AA353</f>
        <v>0</v>
      </c>
      <c r="AB806" s="229">
        <f>Input!AB$51*AB353</f>
        <v>0</v>
      </c>
      <c r="CH806" s="269"/>
      <c r="CI806" s="269"/>
      <c r="CJ806" s="269"/>
      <c r="CK806" s="269"/>
      <c r="CL806" s="269"/>
      <c r="CM806" s="269"/>
      <c r="CN806" s="269"/>
      <c r="CO806" s="269"/>
      <c r="CP806" s="269"/>
      <c r="CQ806" s="269"/>
      <c r="CR806" s="269"/>
      <c r="CS806" s="269"/>
    </row>
    <row r="807" spans="3:97" ht="12" customHeight="1" x14ac:dyDescent="0.3">
      <c r="C807" s="495">
        <f>C744</f>
        <v>456</v>
      </c>
      <c r="D807" s="229">
        <f>Input!D$51*D354</f>
        <v>0</v>
      </c>
      <c r="E807" s="229">
        <f>Input!E$51*E354</f>
        <v>0</v>
      </c>
      <c r="F807" s="229">
        <f>Input!F$51*F354</f>
        <v>0</v>
      </c>
      <c r="G807" s="229">
        <f>Input!G$51*G354</f>
        <v>0</v>
      </c>
      <c r="H807" s="229">
        <f>Input!H$51*H354</f>
        <v>0</v>
      </c>
      <c r="I807" s="229">
        <f>Input!I$51*I354</f>
        <v>0</v>
      </c>
      <c r="J807" s="229">
        <f>Input!J$51*J354</f>
        <v>0</v>
      </c>
      <c r="K807" s="229">
        <f>Input!K$51*K354</f>
        <v>0</v>
      </c>
      <c r="L807" s="229">
        <f>Input!L$51*L354</f>
        <v>0</v>
      </c>
      <c r="M807" s="229">
        <f>Input!M$51*M354</f>
        <v>0</v>
      </c>
      <c r="N807" s="229">
        <f>Input!N$51*N354</f>
        <v>0</v>
      </c>
      <c r="O807" s="229">
        <f>Input!O$51*O354</f>
        <v>0</v>
      </c>
      <c r="P807" s="229">
        <f>Input!P$51*P354</f>
        <v>0</v>
      </c>
      <c r="Q807" s="229">
        <f>Input!Q$51*Q354</f>
        <v>0</v>
      </c>
      <c r="R807" s="229">
        <f>Input!R$51*R354</f>
        <v>0</v>
      </c>
      <c r="S807" s="229">
        <f>Input!S$51*S354</f>
        <v>0</v>
      </c>
      <c r="T807" s="229">
        <f>Input!T$51*T354</f>
        <v>0</v>
      </c>
      <c r="U807" s="229">
        <f>Input!U$51*U354</f>
        <v>0</v>
      </c>
      <c r="V807" s="229">
        <f>Input!V$51*V354</f>
        <v>0</v>
      </c>
      <c r="W807" s="229">
        <f>Input!W$51*W354</f>
        <v>0</v>
      </c>
      <c r="X807" s="229">
        <f>Input!X$51*X354</f>
        <v>0</v>
      </c>
      <c r="Y807" s="229">
        <f>Input!Y$51*Y354</f>
        <v>0</v>
      </c>
      <c r="Z807" s="229">
        <f>Input!Z$51*Z354</f>
        <v>0</v>
      </c>
      <c r="AA807" s="229">
        <f>Input!AA$51*AA354</f>
        <v>0</v>
      </c>
      <c r="AB807" s="229">
        <f>Input!AB$51*AB354</f>
        <v>0</v>
      </c>
      <c r="CH807" s="269"/>
      <c r="CI807" s="269"/>
      <c r="CJ807" s="269"/>
      <c r="CK807" s="269"/>
      <c r="CL807" s="269"/>
      <c r="CM807" s="269"/>
      <c r="CN807" s="269"/>
      <c r="CO807" s="269"/>
      <c r="CP807" s="269"/>
      <c r="CQ807" s="269"/>
      <c r="CR807" s="269"/>
      <c r="CS807" s="269"/>
    </row>
    <row r="808" spans="3:97" ht="12" customHeight="1" x14ac:dyDescent="0.3">
      <c r="C808" s="495">
        <f>C745</f>
        <v>486</v>
      </c>
      <c r="D808" s="229">
        <f>Input!D$51*D355</f>
        <v>0</v>
      </c>
      <c r="E808" s="229">
        <f>Input!E$51*E355</f>
        <v>0</v>
      </c>
      <c r="F808" s="229">
        <f>Input!F$51*F355</f>
        <v>0</v>
      </c>
      <c r="G808" s="229">
        <f>Input!G$51*G355</f>
        <v>0</v>
      </c>
      <c r="H808" s="229">
        <f>Input!H$51*H355</f>
        <v>0</v>
      </c>
      <c r="I808" s="229">
        <f>Input!I$51*I355</f>
        <v>0</v>
      </c>
      <c r="J808" s="229">
        <f>Input!J$51*J355</f>
        <v>0</v>
      </c>
      <c r="K808" s="229">
        <f>Input!K$51*K355</f>
        <v>0</v>
      </c>
      <c r="L808" s="229">
        <f>Input!L$51*L355</f>
        <v>0</v>
      </c>
      <c r="M808" s="229">
        <f>Input!M$51*M355</f>
        <v>0</v>
      </c>
      <c r="N808" s="229">
        <f>Input!N$51*N355</f>
        <v>0</v>
      </c>
      <c r="O808" s="229">
        <f>Input!O$51*O355</f>
        <v>0</v>
      </c>
      <c r="P808" s="229">
        <f>Input!P$51*P355</f>
        <v>0</v>
      </c>
      <c r="Q808" s="229">
        <f>Input!Q$51*Q355</f>
        <v>0</v>
      </c>
      <c r="R808" s="229">
        <f>Input!R$51*R355</f>
        <v>0</v>
      </c>
      <c r="S808" s="229">
        <f>Input!S$51*S355</f>
        <v>0</v>
      </c>
      <c r="T808" s="229">
        <f>Input!T$51*T355</f>
        <v>0</v>
      </c>
      <c r="U808" s="229">
        <f>Input!U$51*U355</f>
        <v>0</v>
      </c>
      <c r="V808" s="229">
        <f>Input!V$51*V355</f>
        <v>0</v>
      </c>
      <c r="W808" s="229">
        <f>Input!W$51*W355</f>
        <v>0</v>
      </c>
      <c r="X808" s="229">
        <f>Input!X$51*X355</f>
        <v>0</v>
      </c>
      <c r="Y808" s="229">
        <f>Input!Y$51*Y355</f>
        <v>0</v>
      </c>
      <c r="Z808" s="229">
        <f>Input!Z$51*Z355</f>
        <v>0</v>
      </c>
      <c r="AA808" s="229">
        <f>Input!AA$51*AA355</f>
        <v>0</v>
      </c>
      <c r="AB808" s="229">
        <f>Input!AB$51*AB355</f>
        <v>0</v>
      </c>
      <c r="CH808" s="269"/>
      <c r="CI808" s="269"/>
      <c r="CJ808" s="269"/>
      <c r="CK808" s="269"/>
      <c r="CL808" s="269"/>
      <c r="CM808" s="269"/>
      <c r="CN808" s="269"/>
      <c r="CO808" s="269"/>
      <c r="CP808" s="269"/>
      <c r="CQ808" s="269"/>
      <c r="CR808" s="269"/>
      <c r="CS808" s="269"/>
    </row>
    <row r="809" spans="3:97" ht="12" customHeight="1" x14ac:dyDescent="0.3">
      <c r="C809" s="495">
        <f>C746</f>
        <v>517</v>
      </c>
      <c r="D809" s="229">
        <f>Input!D$51*D356</f>
        <v>0</v>
      </c>
      <c r="E809" s="229">
        <f>Input!E$51*E356</f>
        <v>0</v>
      </c>
      <c r="F809" s="229">
        <f>Input!F$51*F356</f>
        <v>0</v>
      </c>
      <c r="G809" s="229">
        <f>Input!G$51*G356</f>
        <v>0</v>
      </c>
      <c r="H809" s="229">
        <f>Input!H$51*H356</f>
        <v>0</v>
      </c>
      <c r="I809" s="229">
        <f>Input!I$51*I356</f>
        <v>0</v>
      </c>
      <c r="J809" s="229">
        <f>Input!J$51*J356</f>
        <v>0</v>
      </c>
      <c r="K809" s="229">
        <f>Input!K$51*K356</f>
        <v>0</v>
      </c>
      <c r="L809" s="229">
        <f>Input!L$51*L356</f>
        <v>0</v>
      </c>
      <c r="M809" s="229">
        <f>Input!M$51*M356</f>
        <v>0</v>
      </c>
      <c r="N809" s="229">
        <f>Input!N$51*N356</f>
        <v>0</v>
      </c>
      <c r="O809" s="229">
        <f>Input!O$51*O356</f>
        <v>0</v>
      </c>
      <c r="P809" s="229">
        <f>Input!P$51*P356</f>
        <v>0</v>
      </c>
      <c r="Q809" s="229">
        <f>Input!Q$51*Q356</f>
        <v>0</v>
      </c>
      <c r="R809" s="229">
        <f>Input!R$51*R356</f>
        <v>0</v>
      </c>
      <c r="S809" s="229">
        <f>Input!S$51*S356</f>
        <v>0</v>
      </c>
      <c r="T809" s="229">
        <f>Input!T$51*T356</f>
        <v>0</v>
      </c>
      <c r="U809" s="229">
        <f>Input!U$51*U356</f>
        <v>0</v>
      </c>
      <c r="V809" s="229">
        <f>Input!V$51*V356</f>
        <v>0</v>
      </c>
      <c r="W809" s="229">
        <f>Input!W$51*W356</f>
        <v>0</v>
      </c>
      <c r="X809" s="229">
        <f>Input!X$51*X356</f>
        <v>0</v>
      </c>
      <c r="Y809" s="229">
        <f>Input!Y$51*Y356</f>
        <v>0</v>
      </c>
      <c r="Z809" s="229">
        <f>Input!Z$51*Z356</f>
        <v>0</v>
      </c>
      <c r="AA809" s="229">
        <f>Input!AA$51*AA356</f>
        <v>0</v>
      </c>
      <c r="AB809" s="229">
        <f>Input!AB$51*AB356</f>
        <v>0</v>
      </c>
      <c r="CH809" s="269"/>
      <c r="CI809" s="269"/>
      <c r="CJ809" s="269"/>
      <c r="CK809" s="269"/>
      <c r="CL809" s="269"/>
      <c r="CM809" s="269"/>
      <c r="CN809" s="269"/>
      <c r="CO809" s="269"/>
      <c r="CP809" s="269"/>
      <c r="CQ809" s="269"/>
      <c r="CR809" s="269"/>
      <c r="CS809" s="269"/>
    </row>
    <row r="810" spans="3:97" ht="12" customHeight="1" x14ac:dyDescent="0.3">
      <c r="C810" s="495">
        <f>C747</f>
        <v>547</v>
      </c>
      <c r="D810" s="229">
        <f>Input!D$51*D357</f>
        <v>0</v>
      </c>
      <c r="E810" s="229">
        <f>Input!E$51*E357</f>
        <v>0</v>
      </c>
      <c r="F810" s="229">
        <f>Input!F$51*F357</f>
        <v>0</v>
      </c>
      <c r="G810" s="229">
        <f>Input!G$51*G357</f>
        <v>0</v>
      </c>
      <c r="H810" s="229">
        <f>Input!H$51*H357</f>
        <v>0</v>
      </c>
      <c r="I810" s="229">
        <f>Input!I$51*I357</f>
        <v>0</v>
      </c>
      <c r="J810" s="229">
        <f>Input!J$51*J357</f>
        <v>0</v>
      </c>
      <c r="K810" s="229">
        <f>Input!K$51*K357</f>
        <v>0</v>
      </c>
      <c r="L810" s="229">
        <f>Input!L$51*L357</f>
        <v>0</v>
      </c>
      <c r="M810" s="229">
        <f>Input!M$51*M357</f>
        <v>0</v>
      </c>
      <c r="N810" s="229">
        <f>Input!N$51*N357</f>
        <v>0</v>
      </c>
      <c r="O810" s="229">
        <f>Input!O$51*O357</f>
        <v>0</v>
      </c>
      <c r="P810" s="229">
        <f>Input!P$51*P357</f>
        <v>0</v>
      </c>
      <c r="Q810" s="229">
        <f>Input!Q$51*Q357</f>
        <v>0</v>
      </c>
      <c r="R810" s="229">
        <f>Input!R$51*R357</f>
        <v>0</v>
      </c>
      <c r="S810" s="229">
        <f>Input!S$51*S357</f>
        <v>0</v>
      </c>
      <c r="T810" s="229">
        <f>Input!T$51*T357</f>
        <v>0</v>
      </c>
      <c r="U810" s="229">
        <f>Input!U$51*U357</f>
        <v>0</v>
      </c>
      <c r="V810" s="229">
        <f>Input!V$51*V357</f>
        <v>0</v>
      </c>
      <c r="W810" s="229">
        <f>Input!W$51*W357</f>
        <v>0</v>
      </c>
      <c r="X810" s="229">
        <f>Input!X$51*X357</f>
        <v>0</v>
      </c>
      <c r="Y810" s="229">
        <f>Input!Y$51*Y357</f>
        <v>0</v>
      </c>
      <c r="Z810" s="229">
        <f>Input!Z$51*Z357</f>
        <v>0</v>
      </c>
      <c r="AA810" s="229">
        <f>Input!AA$51*AA357</f>
        <v>0</v>
      </c>
      <c r="AB810" s="229">
        <f>Input!AB$51*AB357</f>
        <v>0</v>
      </c>
      <c r="CH810" s="269"/>
      <c r="CI810" s="269"/>
      <c r="CJ810" s="269"/>
      <c r="CK810" s="269"/>
      <c r="CL810" s="269"/>
      <c r="CM810" s="269"/>
      <c r="CN810" s="269"/>
      <c r="CO810" s="269"/>
      <c r="CP810" s="269"/>
      <c r="CQ810" s="269"/>
      <c r="CR810" s="269"/>
      <c r="CS810" s="269"/>
    </row>
    <row r="811" spans="3:97" ht="12" customHeight="1" x14ac:dyDescent="0.3">
      <c r="C811" s="495">
        <f>C748</f>
        <v>578</v>
      </c>
      <c r="D811" s="229">
        <f>Input!D$51*D358</f>
        <v>0</v>
      </c>
      <c r="E811" s="229">
        <f>Input!E$51*E358</f>
        <v>0</v>
      </c>
      <c r="F811" s="229">
        <f>Input!F$51*F358</f>
        <v>0</v>
      </c>
      <c r="G811" s="229">
        <f>Input!G$51*G358</f>
        <v>0</v>
      </c>
      <c r="H811" s="229">
        <f>Input!H$51*H358</f>
        <v>0</v>
      </c>
      <c r="I811" s="229">
        <f>Input!I$51*I358</f>
        <v>0</v>
      </c>
      <c r="J811" s="229">
        <f>Input!J$51*J358</f>
        <v>0</v>
      </c>
      <c r="K811" s="229">
        <f>Input!K$51*K358</f>
        <v>0</v>
      </c>
      <c r="L811" s="229">
        <f>Input!L$51*L358</f>
        <v>0</v>
      </c>
      <c r="M811" s="229">
        <f>Input!M$51*M358</f>
        <v>0</v>
      </c>
      <c r="N811" s="229">
        <f>Input!N$51*N358</f>
        <v>0</v>
      </c>
      <c r="O811" s="229">
        <f>Input!O$51*O358</f>
        <v>0</v>
      </c>
      <c r="P811" s="229">
        <f>Input!P$51*P358</f>
        <v>0</v>
      </c>
      <c r="Q811" s="229">
        <f>Input!Q$51*Q358</f>
        <v>0</v>
      </c>
      <c r="R811" s="229">
        <f>Input!R$51*R358</f>
        <v>0</v>
      </c>
      <c r="S811" s="229">
        <f>Input!S$51*S358</f>
        <v>0</v>
      </c>
      <c r="T811" s="229">
        <f>Input!T$51*T358</f>
        <v>0</v>
      </c>
      <c r="U811" s="229">
        <f>Input!U$51*U358</f>
        <v>0</v>
      </c>
      <c r="V811" s="229">
        <f>Input!V$51*V358</f>
        <v>0</v>
      </c>
      <c r="W811" s="229">
        <f>Input!W$51*W358</f>
        <v>0</v>
      </c>
      <c r="X811" s="229">
        <f>Input!X$51*X358</f>
        <v>0</v>
      </c>
      <c r="Y811" s="229">
        <f>Input!Y$51*Y358</f>
        <v>0</v>
      </c>
      <c r="Z811" s="229">
        <f>Input!Z$51*Z358</f>
        <v>0</v>
      </c>
      <c r="AA811" s="229">
        <f>Input!AA$51*AA358</f>
        <v>0</v>
      </c>
      <c r="AB811" s="229">
        <f>Input!AB$51*AB358</f>
        <v>0</v>
      </c>
      <c r="CH811" s="269"/>
      <c r="CI811" s="269"/>
      <c r="CJ811" s="269"/>
      <c r="CK811" s="269"/>
      <c r="CL811" s="269"/>
      <c r="CM811" s="269"/>
      <c r="CN811" s="269"/>
      <c r="CO811" s="269"/>
      <c r="CP811" s="269"/>
      <c r="CQ811" s="269"/>
      <c r="CR811" s="269"/>
      <c r="CS811" s="269"/>
    </row>
    <row r="812" spans="3:97" ht="12" customHeight="1" x14ac:dyDescent="0.3">
      <c r="C812" s="495">
        <f>C749</f>
        <v>609</v>
      </c>
      <c r="D812" s="229">
        <f>Input!D$51*D359</f>
        <v>0</v>
      </c>
      <c r="E812" s="229">
        <f>Input!E$51*E359</f>
        <v>0</v>
      </c>
      <c r="F812" s="229">
        <f>Input!F$51*F359</f>
        <v>0</v>
      </c>
      <c r="G812" s="229">
        <f>Input!G$51*G359</f>
        <v>0</v>
      </c>
      <c r="H812" s="229">
        <f>Input!H$51*H359</f>
        <v>0</v>
      </c>
      <c r="I812" s="229">
        <f>Input!I$51*I359</f>
        <v>0</v>
      </c>
      <c r="J812" s="229">
        <f>Input!J$51*J359</f>
        <v>0</v>
      </c>
      <c r="K812" s="229">
        <f>Input!K$51*K359</f>
        <v>0</v>
      </c>
      <c r="L812" s="229">
        <f>Input!L$51*L359</f>
        <v>0</v>
      </c>
      <c r="M812" s="229">
        <f>Input!M$51*M359</f>
        <v>0</v>
      </c>
      <c r="N812" s="229">
        <f>Input!N$51*N359</f>
        <v>0</v>
      </c>
      <c r="O812" s="229">
        <f>Input!O$51*O359</f>
        <v>0</v>
      </c>
      <c r="P812" s="229">
        <f>Input!P$51*P359</f>
        <v>0</v>
      </c>
      <c r="Q812" s="229">
        <f>Input!Q$51*Q359</f>
        <v>0</v>
      </c>
      <c r="R812" s="229">
        <f>Input!R$51*R359</f>
        <v>0</v>
      </c>
      <c r="S812" s="229">
        <f>Input!S$51*S359</f>
        <v>0</v>
      </c>
      <c r="T812" s="229">
        <f>Input!T$51*T359</f>
        <v>0</v>
      </c>
      <c r="U812" s="229">
        <f>Input!U$51*U359</f>
        <v>0</v>
      </c>
      <c r="V812" s="229">
        <f>Input!V$51*V359</f>
        <v>0</v>
      </c>
      <c r="W812" s="229">
        <f>Input!W$51*W359</f>
        <v>0</v>
      </c>
      <c r="X812" s="229">
        <f>Input!X$51*X359</f>
        <v>0</v>
      </c>
      <c r="Y812" s="229">
        <f>Input!Y$51*Y359</f>
        <v>0</v>
      </c>
      <c r="Z812" s="229">
        <f>Input!Z$51*Z359</f>
        <v>0</v>
      </c>
      <c r="AA812" s="229">
        <f>Input!AA$51*AA359</f>
        <v>0</v>
      </c>
      <c r="AB812" s="229">
        <f>Input!AB$51*AB359</f>
        <v>0</v>
      </c>
      <c r="CH812" s="269"/>
      <c r="CI812" s="269"/>
      <c r="CJ812" s="269"/>
      <c r="CK812" s="269"/>
      <c r="CL812" s="269"/>
      <c r="CM812" s="269"/>
      <c r="CN812" s="269"/>
      <c r="CO812" s="269"/>
      <c r="CP812" s="269"/>
      <c r="CQ812" s="269"/>
      <c r="CR812" s="269"/>
      <c r="CS812" s="269"/>
    </row>
    <row r="813" spans="3:97" ht="12" customHeight="1" x14ac:dyDescent="0.3">
      <c r="C813" s="495">
        <f>C750</f>
        <v>639</v>
      </c>
      <c r="D813" s="229">
        <f>Input!D$51*D360</f>
        <v>0</v>
      </c>
      <c r="E813" s="229">
        <f>Input!E$51*E360</f>
        <v>0</v>
      </c>
      <c r="F813" s="229">
        <f>Input!F$51*F360</f>
        <v>0</v>
      </c>
      <c r="G813" s="229">
        <f>Input!G$51*G360</f>
        <v>0</v>
      </c>
      <c r="H813" s="229">
        <f>Input!H$51*H360</f>
        <v>0</v>
      </c>
      <c r="I813" s="229">
        <f>Input!I$51*I360</f>
        <v>0</v>
      </c>
      <c r="J813" s="229">
        <f>Input!J$51*J360</f>
        <v>0</v>
      </c>
      <c r="K813" s="229">
        <f>Input!K$51*K360</f>
        <v>0</v>
      </c>
      <c r="L813" s="229">
        <f>Input!L$51*L360</f>
        <v>0</v>
      </c>
      <c r="M813" s="229">
        <f>Input!M$51*M360</f>
        <v>0</v>
      </c>
      <c r="N813" s="229">
        <f>Input!N$51*N360</f>
        <v>0</v>
      </c>
      <c r="O813" s="229">
        <f>Input!O$51*O360</f>
        <v>0</v>
      </c>
      <c r="P813" s="229">
        <f>Input!P$51*P360</f>
        <v>0</v>
      </c>
      <c r="Q813" s="229">
        <f>Input!Q$51*Q360</f>
        <v>0</v>
      </c>
      <c r="R813" s="229">
        <f>Input!R$51*R360</f>
        <v>0</v>
      </c>
      <c r="S813" s="229">
        <f>Input!S$51*S360</f>
        <v>0</v>
      </c>
      <c r="T813" s="229">
        <f>Input!T$51*T360</f>
        <v>0</v>
      </c>
      <c r="U813" s="229">
        <f>Input!U$51*U360</f>
        <v>0</v>
      </c>
      <c r="V813" s="229">
        <f>Input!V$51*V360</f>
        <v>0</v>
      </c>
      <c r="W813" s="229">
        <f>Input!W$51*W360</f>
        <v>0</v>
      </c>
      <c r="X813" s="229">
        <f>Input!X$51*X360</f>
        <v>0</v>
      </c>
      <c r="Y813" s="229">
        <f>Input!Y$51*Y360</f>
        <v>0</v>
      </c>
      <c r="Z813" s="229">
        <f>Input!Z$51*Z360</f>
        <v>0</v>
      </c>
      <c r="AA813" s="229">
        <f>Input!AA$51*AA360</f>
        <v>0</v>
      </c>
      <c r="AB813" s="229">
        <f>Input!AB$51*AB360</f>
        <v>0</v>
      </c>
      <c r="CH813" s="269"/>
      <c r="CI813" s="269"/>
      <c r="CJ813" s="269"/>
      <c r="CK813" s="269"/>
      <c r="CL813" s="269"/>
      <c r="CM813" s="269"/>
      <c r="CN813" s="269"/>
      <c r="CO813" s="269"/>
      <c r="CP813" s="269"/>
      <c r="CQ813" s="269"/>
      <c r="CR813" s="269"/>
      <c r="CS813" s="269"/>
    </row>
    <row r="814" spans="3:97" ht="12" customHeight="1" x14ac:dyDescent="0.3">
      <c r="C814" s="495">
        <f>C751</f>
        <v>670</v>
      </c>
      <c r="D814" s="229">
        <f>Input!D$51*D361</f>
        <v>0</v>
      </c>
      <c r="E814" s="229">
        <f>Input!E$51*E361</f>
        <v>0</v>
      </c>
      <c r="F814" s="229">
        <f>Input!F$51*F361</f>
        <v>0</v>
      </c>
      <c r="G814" s="229">
        <f>Input!G$51*G361</f>
        <v>0</v>
      </c>
      <c r="H814" s="229">
        <f>Input!H$51*H361</f>
        <v>0</v>
      </c>
      <c r="I814" s="229">
        <f>Input!I$51*I361</f>
        <v>0</v>
      </c>
      <c r="J814" s="229">
        <f>Input!J$51*J361</f>
        <v>0</v>
      </c>
      <c r="K814" s="229">
        <f>Input!K$51*K361</f>
        <v>0</v>
      </c>
      <c r="L814" s="229">
        <f>Input!L$51*L361</f>
        <v>0</v>
      </c>
      <c r="M814" s="229">
        <f>Input!M$51*M361</f>
        <v>0</v>
      </c>
      <c r="N814" s="229">
        <f>Input!N$51*N361</f>
        <v>0</v>
      </c>
      <c r="O814" s="229">
        <f>Input!O$51*O361</f>
        <v>0</v>
      </c>
      <c r="P814" s="229">
        <f>Input!P$51*P361</f>
        <v>0</v>
      </c>
      <c r="Q814" s="229">
        <f>Input!Q$51*Q361</f>
        <v>0</v>
      </c>
      <c r="R814" s="229">
        <f>Input!R$51*R361</f>
        <v>0</v>
      </c>
      <c r="S814" s="229">
        <f>Input!S$51*S361</f>
        <v>0</v>
      </c>
      <c r="T814" s="229">
        <f>Input!T$51*T361</f>
        <v>0</v>
      </c>
      <c r="U814" s="229">
        <f>Input!U$51*U361</f>
        <v>0</v>
      </c>
      <c r="V814" s="229">
        <f>Input!V$51*V361</f>
        <v>0</v>
      </c>
      <c r="W814" s="229">
        <f>Input!W$51*W361</f>
        <v>0</v>
      </c>
      <c r="X814" s="229">
        <f>Input!X$51*X361</f>
        <v>0</v>
      </c>
      <c r="Y814" s="229">
        <f>Input!Y$51*Y361</f>
        <v>0</v>
      </c>
      <c r="Z814" s="229">
        <f>Input!Z$51*Z361</f>
        <v>0</v>
      </c>
      <c r="AA814" s="229">
        <f>Input!AA$51*AA361</f>
        <v>0</v>
      </c>
      <c r="AB814" s="229">
        <f>Input!AB$51*AB361</f>
        <v>0</v>
      </c>
      <c r="CH814" s="269"/>
      <c r="CI814" s="269"/>
      <c r="CJ814" s="269"/>
      <c r="CK814" s="269"/>
      <c r="CL814" s="269"/>
      <c r="CM814" s="269"/>
      <c r="CN814" s="269"/>
      <c r="CO814" s="269"/>
      <c r="CP814" s="269"/>
      <c r="CQ814" s="269"/>
      <c r="CR814" s="269"/>
      <c r="CS814" s="269"/>
    </row>
    <row r="815" spans="3:97" ht="12" customHeight="1" x14ac:dyDescent="0.3">
      <c r="C815" s="495">
        <f>C752</f>
        <v>700</v>
      </c>
      <c r="D815" s="229">
        <f>Input!D$51*D362</f>
        <v>0</v>
      </c>
      <c r="E815" s="229">
        <f>Input!E$51*E362</f>
        <v>0</v>
      </c>
      <c r="F815" s="229">
        <f>Input!F$51*F362</f>
        <v>0</v>
      </c>
      <c r="G815" s="229">
        <f>Input!G$51*G362</f>
        <v>0</v>
      </c>
      <c r="H815" s="229">
        <f>Input!H$51*H362</f>
        <v>0</v>
      </c>
      <c r="I815" s="229">
        <f>Input!I$51*I362</f>
        <v>0</v>
      </c>
      <c r="J815" s="229">
        <f>Input!J$51*J362</f>
        <v>0</v>
      </c>
      <c r="K815" s="229">
        <f>Input!K$51*K362</f>
        <v>0</v>
      </c>
      <c r="L815" s="229">
        <f>Input!L$51*L362</f>
        <v>0</v>
      </c>
      <c r="M815" s="229">
        <f>Input!M$51*M362</f>
        <v>0</v>
      </c>
      <c r="N815" s="229">
        <f>Input!N$51*N362</f>
        <v>0</v>
      </c>
      <c r="O815" s="229">
        <f>Input!O$51*O362</f>
        <v>0</v>
      </c>
      <c r="P815" s="229">
        <f>Input!P$51*P362</f>
        <v>0</v>
      </c>
      <c r="Q815" s="229">
        <f>Input!Q$51*Q362</f>
        <v>0</v>
      </c>
      <c r="R815" s="229">
        <f>Input!R$51*R362</f>
        <v>0</v>
      </c>
      <c r="S815" s="229">
        <f>Input!S$51*S362</f>
        <v>0</v>
      </c>
      <c r="T815" s="229">
        <f>Input!T$51*T362</f>
        <v>0</v>
      </c>
      <c r="U815" s="229">
        <f>Input!U$51*U362</f>
        <v>0</v>
      </c>
      <c r="V815" s="229">
        <f>Input!V$51*V362</f>
        <v>0</v>
      </c>
      <c r="W815" s="229">
        <f>Input!W$51*W362</f>
        <v>0</v>
      </c>
      <c r="X815" s="229">
        <f>Input!X$51*X362</f>
        <v>0</v>
      </c>
      <c r="Y815" s="229">
        <f>Input!Y$51*Y362</f>
        <v>0</v>
      </c>
      <c r="Z815" s="229">
        <f>Input!Z$51*Z362</f>
        <v>0</v>
      </c>
      <c r="AA815" s="229">
        <f>Input!AA$51*AA362</f>
        <v>0</v>
      </c>
      <c r="AB815" s="229">
        <f>Input!AB$51*AB362</f>
        <v>0</v>
      </c>
      <c r="CH815" s="269"/>
      <c r="CI815" s="269"/>
      <c r="CJ815" s="269"/>
      <c r="CK815" s="269"/>
      <c r="CL815" s="269"/>
      <c r="CM815" s="269"/>
      <c r="CN815" s="269"/>
      <c r="CO815" s="269"/>
      <c r="CP815" s="269"/>
      <c r="CQ815" s="269"/>
      <c r="CR815" s="269"/>
      <c r="CS815" s="269"/>
    </row>
    <row r="816" spans="3:97" ht="12" customHeight="1" thickBot="1" x14ac:dyDescent="0.35">
      <c r="C816" s="496">
        <f>C753</f>
        <v>731</v>
      </c>
      <c r="D816" s="230">
        <f>Input!D$51*D363</f>
        <v>0</v>
      </c>
      <c r="E816" s="230">
        <f>Input!E$51*E363</f>
        <v>0</v>
      </c>
      <c r="F816" s="230">
        <f>Input!F$51*F363</f>
        <v>0</v>
      </c>
      <c r="G816" s="230">
        <f>Input!G$51*G363</f>
        <v>0</v>
      </c>
      <c r="H816" s="230">
        <f>Input!H$51*H363</f>
        <v>0</v>
      </c>
      <c r="I816" s="230">
        <f>Input!I$51*I363</f>
        <v>0</v>
      </c>
      <c r="J816" s="230">
        <f>Input!J$51*J363</f>
        <v>0</v>
      </c>
      <c r="K816" s="230">
        <f>Input!K$51*K363</f>
        <v>0</v>
      </c>
      <c r="L816" s="230">
        <f>Input!L$51*L363</f>
        <v>0</v>
      </c>
      <c r="M816" s="230">
        <f>Input!M$51*M363</f>
        <v>0</v>
      </c>
      <c r="N816" s="230">
        <f>Input!N$51*N363</f>
        <v>0</v>
      </c>
      <c r="O816" s="230">
        <f>Input!O$51*O363</f>
        <v>0</v>
      </c>
      <c r="P816" s="230">
        <f>Input!P$51*P363</f>
        <v>0</v>
      </c>
      <c r="Q816" s="230">
        <f>Input!Q$51*Q363</f>
        <v>0</v>
      </c>
      <c r="R816" s="230">
        <f>Input!R$51*R363</f>
        <v>0</v>
      </c>
      <c r="S816" s="230">
        <f>Input!S$51*S363</f>
        <v>0</v>
      </c>
      <c r="T816" s="230">
        <f>Input!T$51*T363</f>
        <v>0</v>
      </c>
      <c r="U816" s="230">
        <f>Input!U$51*U363</f>
        <v>0</v>
      </c>
      <c r="V816" s="230">
        <f>Input!V$51*V363</f>
        <v>0</v>
      </c>
      <c r="W816" s="230">
        <f>Input!W$51*W363</f>
        <v>0</v>
      </c>
      <c r="X816" s="230">
        <f>Input!X$51*X363</f>
        <v>0</v>
      </c>
      <c r="Y816" s="230">
        <f>Input!Y$51*Y363</f>
        <v>0</v>
      </c>
      <c r="Z816" s="230">
        <f>Input!Z$51*Z363</f>
        <v>0</v>
      </c>
      <c r="AA816" s="230">
        <f>Input!AA$51*AA363</f>
        <v>0</v>
      </c>
      <c r="AB816" s="230">
        <f>Input!AB$51*AB363</f>
        <v>0</v>
      </c>
      <c r="CH816" s="269"/>
      <c r="CI816" s="269"/>
      <c r="CJ816" s="269"/>
      <c r="CK816" s="269"/>
      <c r="CL816" s="269"/>
      <c r="CM816" s="269"/>
      <c r="CN816" s="269"/>
      <c r="CO816" s="269"/>
      <c r="CP816" s="269"/>
      <c r="CQ816" s="269"/>
      <c r="CR816" s="269"/>
      <c r="CS816" s="269"/>
    </row>
    <row r="817" spans="3:117" ht="12" customHeight="1" x14ac:dyDescent="0.3">
      <c r="C817" s="495">
        <f>C754</f>
        <v>762</v>
      </c>
      <c r="D817" s="231">
        <f>Input!D$51*D364</f>
        <v>0</v>
      </c>
      <c r="E817" s="231">
        <f>Input!E$51*E364</f>
        <v>0</v>
      </c>
      <c r="F817" s="231">
        <f>Input!F$51*F364</f>
        <v>0</v>
      </c>
      <c r="G817" s="231">
        <f>Input!G$51*G364</f>
        <v>0</v>
      </c>
      <c r="H817" s="231">
        <f>Input!H$51*H364</f>
        <v>0</v>
      </c>
      <c r="I817" s="231">
        <f>Input!I$51*I364</f>
        <v>0</v>
      </c>
      <c r="J817" s="231">
        <f>Input!J$51*J364</f>
        <v>0</v>
      </c>
      <c r="K817" s="231">
        <f>Input!K$51*K364</f>
        <v>0</v>
      </c>
      <c r="L817" s="231">
        <f>Input!L$51*L364</f>
        <v>0</v>
      </c>
      <c r="M817" s="231">
        <f>Input!M$51*M364</f>
        <v>0</v>
      </c>
      <c r="N817" s="231">
        <f>Input!N$51*N364</f>
        <v>0</v>
      </c>
      <c r="O817" s="231">
        <f>Input!O$51*O364</f>
        <v>0</v>
      </c>
      <c r="P817" s="231">
        <f>Input!P$51*P364</f>
        <v>0</v>
      </c>
      <c r="Q817" s="231">
        <f>Input!Q$51*Q364</f>
        <v>0</v>
      </c>
      <c r="R817" s="231">
        <f>Input!R$51*R364</f>
        <v>0</v>
      </c>
      <c r="S817" s="231">
        <f>Input!S$51*S364</f>
        <v>0</v>
      </c>
      <c r="T817" s="231">
        <f>Input!T$51*T364</f>
        <v>0</v>
      </c>
      <c r="U817" s="231">
        <f>Input!U$51*U364</f>
        <v>0</v>
      </c>
      <c r="V817" s="231">
        <f>Input!V$51*V364</f>
        <v>0</v>
      </c>
      <c r="W817" s="231">
        <f>Input!W$51*W364</f>
        <v>0</v>
      </c>
      <c r="X817" s="231">
        <f>Input!X$51*X364</f>
        <v>0</v>
      </c>
      <c r="Y817" s="231">
        <f>Input!Y$51*Y364</f>
        <v>0</v>
      </c>
      <c r="Z817" s="231">
        <f>Input!Z$51*Z364</f>
        <v>0</v>
      </c>
      <c r="AA817" s="231">
        <f>Input!AA$51*AA364</f>
        <v>0</v>
      </c>
      <c r="AB817" s="231">
        <f>Input!AB$51*AB364</f>
        <v>0</v>
      </c>
      <c r="CH817" s="269"/>
      <c r="CI817" s="269"/>
      <c r="CJ817" s="269"/>
      <c r="CK817" s="269"/>
      <c r="CL817" s="269"/>
      <c r="CM817" s="270"/>
      <c r="CN817" s="270"/>
      <c r="CO817" s="270"/>
      <c r="CP817" s="270"/>
      <c r="CQ817" s="270"/>
      <c r="CR817" s="270"/>
      <c r="CS817" s="270"/>
      <c r="CT817" s="220"/>
      <c r="CU817" s="220"/>
      <c r="CV817" s="220"/>
      <c r="CW817" s="220"/>
      <c r="CX817" s="220"/>
      <c r="CY817" s="220"/>
      <c r="CZ817" s="220"/>
      <c r="DA817" s="220"/>
      <c r="DB817" s="220"/>
      <c r="DC817" s="220"/>
      <c r="DD817" s="220"/>
      <c r="DE817" s="220"/>
      <c r="DF817" s="220"/>
      <c r="DG817" s="220"/>
      <c r="DH817" s="220"/>
      <c r="DI817" s="220"/>
      <c r="DJ817" s="220"/>
      <c r="DK817" s="220"/>
      <c r="DL817" s="220"/>
      <c r="DM817" s="220"/>
    </row>
    <row r="818" spans="3:117" ht="12" customHeight="1" x14ac:dyDescent="0.3">
      <c r="C818" s="495">
        <f>C755</f>
        <v>790</v>
      </c>
      <c r="D818" s="229">
        <f>Input!D$51*D365</f>
        <v>0</v>
      </c>
      <c r="E818" s="229">
        <f>Input!E$51*E365</f>
        <v>0</v>
      </c>
      <c r="F818" s="229">
        <f>Input!F$51*F365</f>
        <v>0</v>
      </c>
      <c r="G818" s="229">
        <f>Input!G$51*G365</f>
        <v>0</v>
      </c>
      <c r="H818" s="229">
        <f>Input!H$51*H365</f>
        <v>0</v>
      </c>
      <c r="I818" s="229">
        <f>Input!I$51*I365</f>
        <v>0</v>
      </c>
      <c r="J818" s="229">
        <f>Input!J$51*J365</f>
        <v>0</v>
      </c>
      <c r="K818" s="229">
        <f>Input!K$51*K365</f>
        <v>0</v>
      </c>
      <c r="L818" s="229">
        <f>Input!L$51*L365</f>
        <v>0</v>
      </c>
      <c r="M818" s="229">
        <f>Input!M$51*M365</f>
        <v>0</v>
      </c>
      <c r="N818" s="229">
        <f>Input!N$51*N365</f>
        <v>0</v>
      </c>
      <c r="O818" s="229">
        <f>Input!O$51*O365</f>
        <v>0</v>
      </c>
      <c r="P818" s="229">
        <f>Input!P$51*P365</f>
        <v>0</v>
      </c>
      <c r="Q818" s="229">
        <f>Input!Q$51*Q365</f>
        <v>0</v>
      </c>
      <c r="R818" s="229">
        <f>Input!R$51*R365</f>
        <v>0</v>
      </c>
      <c r="S818" s="229">
        <f>Input!S$51*S365</f>
        <v>0</v>
      </c>
      <c r="T818" s="229">
        <f>Input!T$51*T365</f>
        <v>0</v>
      </c>
      <c r="U818" s="229">
        <f>Input!U$51*U365</f>
        <v>0</v>
      </c>
      <c r="V818" s="229">
        <f>Input!V$51*V365</f>
        <v>0</v>
      </c>
      <c r="W818" s="229">
        <f>Input!W$51*W365</f>
        <v>0</v>
      </c>
      <c r="X818" s="229">
        <f>Input!X$51*X365</f>
        <v>0</v>
      </c>
      <c r="Y818" s="229">
        <f>Input!Y$51*Y365</f>
        <v>0</v>
      </c>
      <c r="Z818" s="229">
        <f>Input!Z$51*Z365</f>
        <v>0</v>
      </c>
      <c r="AA818" s="229">
        <f>Input!AA$51*AA365</f>
        <v>0</v>
      </c>
      <c r="AB818" s="229">
        <f>Input!AB$51*AB365</f>
        <v>0</v>
      </c>
      <c r="CH818" s="269"/>
      <c r="CI818" s="269"/>
      <c r="CJ818" s="269"/>
      <c r="CK818" s="269"/>
      <c r="CL818" s="269"/>
      <c r="CM818" s="270"/>
      <c r="CN818" s="270"/>
      <c r="CO818" s="270"/>
      <c r="CP818" s="270"/>
      <c r="CQ818" s="270"/>
      <c r="CR818" s="270"/>
      <c r="CS818" s="270"/>
      <c r="CT818" s="220"/>
      <c r="CU818" s="220"/>
      <c r="CV818" s="220"/>
      <c r="CW818" s="220"/>
      <c r="CX818" s="220"/>
      <c r="CY818" s="220"/>
      <c r="CZ818" s="220"/>
      <c r="DA818" s="220"/>
      <c r="DB818" s="220"/>
      <c r="DC818" s="220"/>
      <c r="DD818" s="220"/>
      <c r="DE818" s="220"/>
      <c r="DF818" s="220"/>
      <c r="DG818" s="220"/>
      <c r="DH818" s="220"/>
      <c r="DI818" s="220"/>
      <c r="DJ818" s="220"/>
      <c r="DK818" s="220"/>
      <c r="DL818" s="220"/>
      <c r="DM818" s="220"/>
    </row>
    <row r="819" spans="3:117" ht="12" customHeight="1" x14ac:dyDescent="0.35">
      <c r="C819" s="495">
        <f>C756</f>
        <v>821</v>
      </c>
      <c r="D819" s="229">
        <f>Input!D$51*D366</f>
        <v>0</v>
      </c>
      <c r="E819" s="229">
        <f>Input!E$51*E366</f>
        <v>0</v>
      </c>
      <c r="F819" s="229">
        <f>Input!F$51*F366</f>
        <v>0</v>
      </c>
      <c r="G819" s="229">
        <f>Input!G$51*G366</f>
        <v>0</v>
      </c>
      <c r="H819" s="229">
        <f>Input!H$51*H366</f>
        <v>0</v>
      </c>
      <c r="I819" s="229">
        <f>Input!I$51*I366</f>
        <v>0</v>
      </c>
      <c r="J819" s="229">
        <f>Input!J$51*J366</f>
        <v>0</v>
      </c>
      <c r="K819" s="229">
        <f>Input!K$51*K366</f>
        <v>0</v>
      </c>
      <c r="L819" s="229">
        <f>Input!L$51*L366</f>
        <v>0</v>
      </c>
      <c r="M819" s="229">
        <f>Input!M$51*M366</f>
        <v>0</v>
      </c>
      <c r="N819" s="229">
        <f>Input!N$51*N366</f>
        <v>0</v>
      </c>
      <c r="O819" s="229">
        <f>Input!O$51*O366</f>
        <v>0</v>
      </c>
      <c r="P819" s="229">
        <f>Input!P$51*P366</f>
        <v>0</v>
      </c>
      <c r="Q819" s="229">
        <f>Input!Q$51*Q366</f>
        <v>0</v>
      </c>
      <c r="R819" s="229">
        <f>Input!R$51*R366</f>
        <v>0</v>
      </c>
      <c r="S819" s="229">
        <f>Input!S$51*S366</f>
        <v>0</v>
      </c>
      <c r="T819" s="229">
        <f>Input!T$51*T366</f>
        <v>0</v>
      </c>
      <c r="U819" s="229">
        <f>Input!U$51*U366</f>
        <v>0</v>
      </c>
      <c r="V819" s="229">
        <f>Input!V$51*V366</f>
        <v>0</v>
      </c>
      <c r="W819" s="229">
        <f>Input!W$51*W366</f>
        <v>0</v>
      </c>
      <c r="X819" s="229">
        <f>Input!X$51*X366</f>
        <v>0</v>
      </c>
      <c r="Y819" s="229">
        <f>Input!Y$51*Y366</f>
        <v>0</v>
      </c>
      <c r="Z819" s="229">
        <f>Input!Z$51*Z366</f>
        <v>0</v>
      </c>
      <c r="AA819" s="229">
        <f>Input!AA$51*AA366</f>
        <v>0</v>
      </c>
      <c r="AB819" s="229">
        <f>Input!AB$51*AB366</f>
        <v>0</v>
      </c>
      <c r="CH819" s="269"/>
      <c r="CI819" s="269"/>
      <c r="CJ819" s="269"/>
      <c r="CK819" s="269"/>
      <c r="CL819" s="269"/>
      <c r="CM819" s="268"/>
      <c r="CN819" s="268"/>
      <c r="CO819" s="268"/>
      <c r="CP819" s="268"/>
      <c r="CQ819" s="268"/>
      <c r="CR819" s="268"/>
      <c r="CS819" s="268"/>
      <c r="CT819" s="219"/>
      <c r="CU819" s="219"/>
      <c r="CV819" s="219"/>
      <c r="CW819" s="219"/>
      <c r="CX819" s="219"/>
      <c r="CY819" s="219"/>
      <c r="CZ819" s="219"/>
      <c r="DA819" s="219"/>
      <c r="DB819" s="219"/>
      <c r="DC819" s="254"/>
      <c r="DD819" s="254"/>
      <c r="DE819" s="253"/>
      <c r="DF819" s="254"/>
      <c r="DG819" s="254"/>
      <c r="DH819" s="219"/>
      <c r="DI819" s="219"/>
      <c r="DJ819" s="219"/>
      <c r="DK819" s="219"/>
    </row>
    <row r="820" spans="3:117" ht="12" customHeight="1" x14ac:dyDescent="0.35">
      <c r="C820" s="495">
        <f>C757</f>
        <v>851</v>
      </c>
      <c r="D820" s="229">
        <f>Input!D$51*D367</f>
        <v>0</v>
      </c>
      <c r="E820" s="229">
        <f>Input!E$51*E367</f>
        <v>0</v>
      </c>
      <c r="F820" s="229">
        <f>Input!F$51*F367</f>
        <v>0</v>
      </c>
      <c r="G820" s="229">
        <f>Input!G$51*G367</f>
        <v>0</v>
      </c>
      <c r="H820" s="229">
        <f>Input!H$51*H367</f>
        <v>0</v>
      </c>
      <c r="I820" s="229">
        <f>Input!I$51*I367</f>
        <v>0</v>
      </c>
      <c r="J820" s="229">
        <f>Input!J$51*J367</f>
        <v>0</v>
      </c>
      <c r="K820" s="229">
        <f>Input!K$51*K367</f>
        <v>0</v>
      </c>
      <c r="L820" s="229">
        <f>Input!L$51*L367</f>
        <v>0</v>
      </c>
      <c r="M820" s="229">
        <f>Input!M$51*M367</f>
        <v>0</v>
      </c>
      <c r="N820" s="229">
        <f>Input!N$51*N367</f>
        <v>0</v>
      </c>
      <c r="O820" s="229">
        <f>Input!O$51*O367</f>
        <v>0</v>
      </c>
      <c r="P820" s="229">
        <f>Input!P$51*P367</f>
        <v>0</v>
      </c>
      <c r="Q820" s="229">
        <f>Input!Q$51*Q367</f>
        <v>0</v>
      </c>
      <c r="R820" s="229">
        <f>Input!R$51*R367</f>
        <v>0</v>
      </c>
      <c r="S820" s="229">
        <f>Input!S$51*S367</f>
        <v>0</v>
      </c>
      <c r="T820" s="229">
        <f>Input!T$51*T367</f>
        <v>0</v>
      </c>
      <c r="U820" s="229">
        <f>Input!U$51*U367</f>
        <v>0</v>
      </c>
      <c r="V820" s="229">
        <f>Input!V$51*V367</f>
        <v>0</v>
      </c>
      <c r="W820" s="229">
        <f>Input!W$51*W367</f>
        <v>0</v>
      </c>
      <c r="X820" s="229">
        <f>Input!X$51*X367</f>
        <v>0</v>
      </c>
      <c r="Y820" s="229">
        <f>Input!Y$51*Y367</f>
        <v>0</v>
      </c>
      <c r="Z820" s="229">
        <f>Input!Z$51*Z367</f>
        <v>0</v>
      </c>
      <c r="AA820" s="229">
        <f>Input!AA$51*AA367</f>
        <v>0</v>
      </c>
      <c r="AB820" s="229">
        <f>Input!AB$51*AB367</f>
        <v>0</v>
      </c>
      <c r="CH820" s="269"/>
      <c r="CI820" s="269"/>
      <c r="CJ820" s="269"/>
      <c r="CK820" s="269"/>
      <c r="CL820" s="269"/>
      <c r="CM820" s="268"/>
      <c r="CN820" s="268"/>
      <c r="CO820" s="268"/>
      <c r="CP820" s="268"/>
      <c r="CQ820" s="268"/>
      <c r="CR820" s="268"/>
      <c r="CS820" s="268"/>
      <c r="CT820" s="219"/>
      <c r="CU820" s="219"/>
      <c r="CV820" s="219"/>
      <c r="CW820" s="219"/>
      <c r="CX820" s="219"/>
      <c r="CY820" s="219"/>
      <c r="CZ820" s="219"/>
      <c r="DA820" s="262"/>
      <c r="DB820" s="253"/>
      <c r="DC820" s="254"/>
      <c r="DD820" s="254"/>
      <c r="DE820" s="253"/>
      <c r="DF820" s="254"/>
      <c r="DG820" s="254"/>
      <c r="DH820" s="219"/>
      <c r="DI820" s="219"/>
      <c r="DJ820" s="219"/>
      <c r="DK820" s="219"/>
    </row>
    <row r="821" spans="3:117" ht="12" customHeight="1" x14ac:dyDescent="0.35">
      <c r="C821" s="495">
        <f>C758</f>
        <v>882</v>
      </c>
      <c r="D821" s="229">
        <f>Input!D$51*D368</f>
        <v>0</v>
      </c>
      <c r="E821" s="229">
        <f>Input!E$51*E368</f>
        <v>0</v>
      </c>
      <c r="F821" s="229">
        <f>Input!F$51*F368</f>
        <v>0</v>
      </c>
      <c r="G821" s="229">
        <f>Input!G$51*G368</f>
        <v>0</v>
      </c>
      <c r="H821" s="229">
        <f>Input!H$51*H368</f>
        <v>0</v>
      </c>
      <c r="I821" s="229">
        <f>Input!I$51*I368</f>
        <v>0</v>
      </c>
      <c r="J821" s="229">
        <f>Input!J$51*J368</f>
        <v>0</v>
      </c>
      <c r="K821" s="229">
        <f>Input!K$51*K368</f>
        <v>0</v>
      </c>
      <c r="L821" s="229">
        <f>Input!L$51*L368</f>
        <v>0</v>
      </c>
      <c r="M821" s="229">
        <f>Input!M$51*M368</f>
        <v>0</v>
      </c>
      <c r="N821" s="229">
        <f>Input!N$51*N368</f>
        <v>0</v>
      </c>
      <c r="O821" s="229">
        <f>Input!O$51*O368</f>
        <v>0</v>
      </c>
      <c r="P821" s="229">
        <f>Input!P$51*P368</f>
        <v>0</v>
      </c>
      <c r="Q821" s="229">
        <f>Input!Q$51*Q368</f>
        <v>0</v>
      </c>
      <c r="R821" s="229">
        <f>Input!R$51*R368</f>
        <v>0</v>
      </c>
      <c r="S821" s="229">
        <f>Input!S$51*S368</f>
        <v>0</v>
      </c>
      <c r="T821" s="229">
        <f>Input!T$51*T368</f>
        <v>0</v>
      </c>
      <c r="U821" s="229">
        <f>Input!U$51*U368</f>
        <v>0</v>
      </c>
      <c r="V821" s="229">
        <f>Input!V$51*V368</f>
        <v>0</v>
      </c>
      <c r="W821" s="229">
        <f>Input!W$51*W368</f>
        <v>0</v>
      </c>
      <c r="X821" s="229">
        <f>Input!X$51*X368</f>
        <v>0</v>
      </c>
      <c r="Y821" s="229">
        <f>Input!Y$51*Y368</f>
        <v>0</v>
      </c>
      <c r="Z821" s="229">
        <f>Input!Z$51*Z368</f>
        <v>0</v>
      </c>
      <c r="AA821" s="229">
        <f>Input!AA$51*AA368</f>
        <v>0</v>
      </c>
      <c r="AB821" s="229">
        <f>Input!AB$51*AB368</f>
        <v>0</v>
      </c>
      <c r="CH821" s="269"/>
      <c r="CI821" s="269"/>
      <c r="CJ821" s="269"/>
      <c r="CK821" s="269"/>
      <c r="CL821" s="269"/>
      <c r="CM821" s="268"/>
      <c r="CN821" s="268"/>
      <c r="CO821" s="268"/>
      <c r="CP821" s="268"/>
      <c r="CQ821" s="268"/>
      <c r="CR821" s="268"/>
      <c r="CS821" s="268"/>
      <c r="CT821" s="219"/>
      <c r="CU821" s="219"/>
      <c r="CV821" s="219"/>
      <c r="CW821" s="219"/>
      <c r="CX821" s="219"/>
      <c r="CY821" s="219"/>
      <c r="CZ821" s="219"/>
      <c r="DA821" s="262"/>
      <c r="DB821" s="253"/>
      <c r="DC821" s="254"/>
      <c r="DD821" s="254"/>
      <c r="DE821" s="253"/>
      <c r="DF821" s="254"/>
      <c r="DG821" s="254"/>
      <c r="DH821" s="219"/>
      <c r="DI821" s="219"/>
      <c r="DJ821" s="219"/>
      <c r="DK821" s="219"/>
    </row>
    <row r="822" spans="3:117" ht="12" customHeight="1" x14ac:dyDescent="0.35">
      <c r="C822" s="495">
        <f>C759</f>
        <v>912</v>
      </c>
      <c r="D822" s="229">
        <f>Input!D$51*D369</f>
        <v>0</v>
      </c>
      <c r="E822" s="229">
        <f>Input!E$51*E369</f>
        <v>0</v>
      </c>
      <c r="F822" s="229">
        <f>Input!F$51*F369</f>
        <v>0</v>
      </c>
      <c r="G822" s="229">
        <f>Input!G$51*G369</f>
        <v>0</v>
      </c>
      <c r="H822" s="229">
        <f>Input!H$51*H369</f>
        <v>0</v>
      </c>
      <c r="I822" s="229">
        <f>Input!I$51*I369</f>
        <v>0</v>
      </c>
      <c r="J822" s="229">
        <f>Input!J$51*J369</f>
        <v>0</v>
      </c>
      <c r="K822" s="229">
        <f>Input!K$51*K369</f>
        <v>0</v>
      </c>
      <c r="L822" s="229">
        <f>Input!L$51*L369</f>
        <v>0</v>
      </c>
      <c r="M822" s="229">
        <f>Input!M$51*M369</f>
        <v>0</v>
      </c>
      <c r="N822" s="229">
        <f>Input!N$51*N369</f>
        <v>0</v>
      </c>
      <c r="O822" s="229">
        <f>Input!O$51*O369</f>
        <v>0</v>
      </c>
      <c r="P822" s="229">
        <f>Input!P$51*P369</f>
        <v>0</v>
      </c>
      <c r="Q822" s="229">
        <f>Input!Q$51*Q369</f>
        <v>0</v>
      </c>
      <c r="R822" s="229">
        <f>Input!R$51*R369</f>
        <v>0</v>
      </c>
      <c r="S822" s="229">
        <f>Input!S$51*S369</f>
        <v>0</v>
      </c>
      <c r="T822" s="229">
        <f>Input!T$51*T369</f>
        <v>0</v>
      </c>
      <c r="U822" s="229">
        <f>Input!U$51*U369</f>
        <v>0</v>
      </c>
      <c r="V822" s="229">
        <f>Input!V$51*V369</f>
        <v>0</v>
      </c>
      <c r="W822" s="229">
        <f>Input!W$51*W369</f>
        <v>0</v>
      </c>
      <c r="X822" s="229">
        <f>Input!X$51*X369</f>
        <v>0</v>
      </c>
      <c r="Y822" s="229">
        <f>Input!Y$51*Y369</f>
        <v>0</v>
      </c>
      <c r="Z822" s="229">
        <f>Input!Z$51*Z369</f>
        <v>0</v>
      </c>
      <c r="AA822" s="229">
        <f>Input!AA$51*AA369</f>
        <v>0</v>
      </c>
      <c r="AB822" s="229">
        <f>Input!AB$51*AB369</f>
        <v>0</v>
      </c>
      <c r="CH822" s="269"/>
      <c r="CI822" s="269"/>
      <c r="CJ822" s="269"/>
      <c r="CK822" s="269"/>
      <c r="CL822" s="269"/>
      <c r="CM822" s="268"/>
      <c r="CN822" s="268"/>
      <c r="CO822" s="268"/>
      <c r="CP822" s="268"/>
      <c r="CQ822" s="268"/>
      <c r="CR822" s="268"/>
      <c r="CS822" s="268"/>
      <c r="CT822" s="219"/>
      <c r="CU822" s="219"/>
      <c r="CV822" s="219"/>
      <c r="CW822" s="219"/>
      <c r="CX822" s="219"/>
      <c r="CY822" s="219"/>
      <c r="CZ822" s="219"/>
      <c r="DA822" s="262"/>
      <c r="DB822" s="253"/>
      <c r="DC822" s="254"/>
      <c r="DD822" s="254"/>
      <c r="DE822" s="253"/>
      <c r="DF822" s="254"/>
      <c r="DG822" s="254"/>
      <c r="DH822" s="219"/>
      <c r="DI822" s="219"/>
      <c r="DJ822" s="219"/>
      <c r="DK822" s="219"/>
    </row>
    <row r="823" spans="3:117" ht="12" customHeight="1" x14ac:dyDescent="0.35">
      <c r="C823" s="495">
        <f>C760</f>
        <v>943</v>
      </c>
      <c r="D823" s="229">
        <f>Input!D$51*D370</f>
        <v>0</v>
      </c>
      <c r="E823" s="229">
        <f>Input!E$51*E370</f>
        <v>0</v>
      </c>
      <c r="F823" s="229">
        <f>Input!F$51*F370</f>
        <v>0</v>
      </c>
      <c r="G823" s="229">
        <f>Input!G$51*G370</f>
        <v>0</v>
      </c>
      <c r="H823" s="229">
        <f>Input!H$51*H370</f>
        <v>0</v>
      </c>
      <c r="I823" s="229">
        <f>Input!I$51*I370</f>
        <v>0</v>
      </c>
      <c r="J823" s="229">
        <f>Input!J$51*J370</f>
        <v>0</v>
      </c>
      <c r="K823" s="229">
        <f>Input!K$51*K370</f>
        <v>0</v>
      </c>
      <c r="L823" s="229">
        <f>Input!L$51*L370</f>
        <v>0</v>
      </c>
      <c r="M823" s="229">
        <f>Input!M$51*M370</f>
        <v>0</v>
      </c>
      <c r="N823" s="229">
        <f>Input!N$51*N370</f>
        <v>0</v>
      </c>
      <c r="O823" s="229">
        <f>Input!O$51*O370</f>
        <v>0</v>
      </c>
      <c r="P823" s="229">
        <f>Input!P$51*P370</f>
        <v>0</v>
      </c>
      <c r="Q823" s="229">
        <f>Input!Q$51*Q370</f>
        <v>0</v>
      </c>
      <c r="R823" s="229">
        <f>Input!R$51*R370</f>
        <v>0</v>
      </c>
      <c r="S823" s="229">
        <f>Input!S$51*S370</f>
        <v>0</v>
      </c>
      <c r="T823" s="229">
        <f>Input!T$51*T370</f>
        <v>0</v>
      </c>
      <c r="U823" s="229">
        <f>Input!U$51*U370</f>
        <v>0</v>
      </c>
      <c r="V823" s="229">
        <f>Input!V$51*V370</f>
        <v>0</v>
      </c>
      <c r="W823" s="229">
        <f>Input!W$51*W370</f>
        <v>0</v>
      </c>
      <c r="X823" s="229">
        <f>Input!X$51*X370</f>
        <v>0</v>
      </c>
      <c r="Y823" s="229">
        <f>Input!Y$51*Y370</f>
        <v>0</v>
      </c>
      <c r="Z823" s="229">
        <f>Input!Z$51*Z370</f>
        <v>0</v>
      </c>
      <c r="AA823" s="229">
        <f>Input!AA$51*AA370</f>
        <v>0</v>
      </c>
      <c r="AB823" s="229">
        <f>Input!AB$51*AB370</f>
        <v>0</v>
      </c>
      <c r="CH823" s="269"/>
      <c r="CI823" s="269"/>
      <c r="CJ823" s="269"/>
      <c r="CK823" s="269"/>
      <c r="CL823" s="269"/>
      <c r="CM823" s="268"/>
      <c r="CN823" s="268"/>
      <c r="CO823" s="268"/>
      <c r="CP823" s="268"/>
      <c r="CQ823" s="268"/>
      <c r="CR823" s="268"/>
      <c r="CS823" s="268"/>
      <c r="CT823" s="219"/>
      <c r="CU823" s="219"/>
      <c r="CV823" s="219"/>
      <c r="CW823" s="219"/>
      <c r="CX823" s="219"/>
      <c r="CY823" s="219"/>
      <c r="CZ823" s="219"/>
      <c r="DA823" s="262"/>
      <c r="DB823" s="253"/>
      <c r="DC823" s="254"/>
      <c r="DD823" s="254"/>
      <c r="DE823" s="253"/>
      <c r="DF823" s="254"/>
      <c r="DG823" s="254"/>
      <c r="DH823" s="219"/>
      <c r="DI823" s="219"/>
      <c r="DJ823" s="219"/>
      <c r="DK823" s="219"/>
    </row>
    <row r="824" spans="3:117" ht="12" customHeight="1" x14ac:dyDescent="0.35">
      <c r="C824" s="495">
        <f>C761</f>
        <v>974</v>
      </c>
      <c r="D824" s="229">
        <f>Input!D$51*D371</f>
        <v>0</v>
      </c>
      <c r="E824" s="229">
        <f>Input!E$51*E371</f>
        <v>0</v>
      </c>
      <c r="F824" s="229">
        <f>Input!F$51*F371</f>
        <v>0</v>
      </c>
      <c r="G824" s="229">
        <f>Input!G$51*G371</f>
        <v>0</v>
      </c>
      <c r="H824" s="229">
        <f>Input!H$51*H371</f>
        <v>0</v>
      </c>
      <c r="I824" s="229">
        <f>Input!I$51*I371</f>
        <v>0</v>
      </c>
      <c r="J824" s="229">
        <f>Input!J$51*J371</f>
        <v>0</v>
      </c>
      <c r="K824" s="229">
        <f>Input!K$51*K371</f>
        <v>0</v>
      </c>
      <c r="L824" s="229">
        <f>Input!L$51*L371</f>
        <v>0</v>
      </c>
      <c r="M824" s="229">
        <f>Input!M$51*M371</f>
        <v>0</v>
      </c>
      <c r="N824" s="229">
        <f>Input!N$51*N371</f>
        <v>0</v>
      </c>
      <c r="O824" s="229">
        <f>Input!O$51*O371</f>
        <v>0</v>
      </c>
      <c r="P824" s="229">
        <f>Input!P$51*P371</f>
        <v>0</v>
      </c>
      <c r="Q824" s="229">
        <f>Input!Q$51*Q371</f>
        <v>0</v>
      </c>
      <c r="R824" s="229">
        <f>Input!R$51*R371</f>
        <v>0</v>
      </c>
      <c r="S824" s="229">
        <f>Input!S$51*S371</f>
        <v>0</v>
      </c>
      <c r="T824" s="229">
        <f>Input!T$51*T371</f>
        <v>0</v>
      </c>
      <c r="U824" s="229">
        <f>Input!U$51*U371</f>
        <v>0</v>
      </c>
      <c r="V824" s="229">
        <f>Input!V$51*V371</f>
        <v>0</v>
      </c>
      <c r="W824" s="229">
        <f>Input!W$51*W371</f>
        <v>0</v>
      </c>
      <c r="X824" s="229">
        <f>Input!X$51*X371</f>
        <v>0</v>
      </c>
      <c r="Y824" s="229">
        <f>Input!Y$51*Y371</f>
        <v>0</v>
      </c>
      <c r="Z824" s="229">
        <f>Input!Z$51*Z371</f>
        <v>0</v>
      </c>
      <c r="AA824" s="229">
        <f>Input!AA$51*AA371</f>
        <v>0</v>
      </c>
      <c r="AB824" s="229">
        <f>Input!AB$51*AB371</f>
        <v>0</v>
      </c>
      <c r="CH824" s="269"/>
      <c r="CI824" s="269"/>
      <c r="CJ824" s="269"/>
      <c r="CK824" s="269"/>
      <c r="CL824" s="269"/>
      <c r="CM824" s="268"/>
      <c r="CN824" s="268"/>
      <c r="CO824" s="268"/>
      <c r="CP824" s="268"/>
      <c r="CQ824" s="268"/>
      <c r="CR824" s="268"/>
      <c r="CS824" s="268"/>
      <c r="CT824" s="219"/>
      <c r="CU824" s="219"/>
      <c r="CV824" s="219"/>
      <c r="CW824" s="219"/>
      <c r="CX824" s="219"/>
      <c r="CY824" s="219"/>
      <c r="CZ824" s="219"/>
      <c r="DA824" s="262"/>
      <c r="DB824" s="253"/>
      <c r="DC824" s="254"/>
      <c r="DD824" s="254"/>
      <c r="DE824" s="253"/>
      <c r="DF824" s="254"/>
      <c r="DG824" s="254"/>
      <c r="DH824" s="219"/>
      <c r="DI824" s="219"/>
      <c r="DJ824" s="219"/>
      <c r="DK824" s="219"/>
    </row>
    <row r="825" spans="3:117" ht="12" customHeight="1" x14ac:dyDescent="0.35">
      <c r="C825" s="495">
        <f>C762</f>
        <v>1004</v>
      </c>
      <c r="D825" s="229">
        <f>Input!D$51*D372</f>
        <v>0</v>
      </c>
      <c r="E825" s="229">
        <f>Input!E$51*E372</f>
        <v>0</v>
      </c>
      <c r="F825" s="229">
        <f>Input!F$51*F372</f>
        <v>0</v>
      </c>
      <c r="G825" s="229">
        <f>Input!G$51*G372</f>
        <v>0</v>
      </c>
      <c r="H825" s="229">
        <f>Input!H$51*H372</f>
        <v>0</v>
      </c>
      <c r="I825" s="229">
        <f>Input!I$51*I372</f>
        <v>0</v>
      </c>
      <c r="J825" s="229">
        <f>Input!J$51*J372</f>
        <v>0</v>
      </c>
      <c r="K825" s="229">
        <f>Input!K$51*K372</f>
        <v>0</v>
      </c>
      <c r="L825" s="229">
        <f>Input!L$51*L372</f>
        <v>0</v>
      </c>
      <c r="M825" s="229">
        <f>Input!M$51*M372</f>
        <v>0</v>
      </c>
      <c r="N825" s="229">
        <f>Input!N$51*N372</f>
        <v>0</v>
      </c>
      <c r="O825" s="229">
        <f>Input!O$51*O372</f>
        <v>0</v>
      </c>
      <c r="P825" s="229">
        <f>Input!P$51*P372</f>
        <v>0</v>
      </c>
      <c r="Q825" s="229">
        <f>Input!Q$51*Q372</f>
        <v>0</v>
      </c>
      <c r="R825" s="229">
        <f>Input!R$51*R372</f>
        <v>0</v>
      </c>
      <c r="S825" s="229">
        <f>Input!S$51*S372</f>
        <v>0</v>
      </c>
      <c r="T825" s="229">
        <f>Input!T$51*T372</f>
        <v>0</v>
      </c>
      <c r="U825" s="229">
        <f>Input!U$51*U372</f>
        <v>0</v>
      </c>
      <c r="V825" s="229">
        <f>Input!V$51*V372</f>
        <v>0</v>
      </c>
      <c r="W825" s="229">
        <f>Input!W$51*W372</f>
        <v>0</v>
      </c>
      <c r="X825" s="229">
        <f>Input!X$51*X372</f>
        <v>0</v>
      </c>
      <c r="Y825" s="229">
        <f>Input!Y$51*Y372</f>
        <v>0</v>
      </c>
      <c r="Z825" s="229">
        <f>Input!Z$51*Z372</f>
        <v>0</v>
      </c>
      <c r="AA825" s="229">
        <f>Input!AA$51*AA372</f>
        <v>0</v>
      </c>
      <c r="AB825" s="229">
        <f>Input!AB$51*AB372</f>
        <v>0</v>
      </c>
      <c r="CH825" s="269"/>
      <c r="CI825" s="269"/>
      <c r="CJ825" s="269"/>
      <c r="CK825" s="269"/>
      <c r="CL825" s="269"/>
      <c r="CM825" s="268"/>
      <c r="CN825" s="271"/>
      <c r="CO825" s="271"/>
      <c r="CP825" s="272"/>
      <c r="CQ825" s="268"/>
      <c r="CR825" s="268"/>
      <c r="CS825" s="268"/>
      <c r="CT825" s="219"/>
      <c r="CU825" s="219"/>
      <c r="CV825" s="219"/>
      <c r="CW825" s="219"/>
      <c r="CX825" s="219"/>
      <c r="CY825" s="219"/>
      <c r="CZ825" s="219"/>
      <c r="DA825" s="262"/>
      <c r="DB825" s="253"/>
      <c r="DC825" s="254"/>
      <c r="DD825" s="254"/>
      <c r="DE825" s="253"/>
      <c r="DF825" s="254"/>
      <c r="DG825" s="254"/>
      <c r="DH825" s="219"/>
      <c r="DI825" s="219"/>
      <c r="DJ825" s="219"/>
      <c r="DK825" s="219"/>
    </row>
    <row r="826" spans="3:117" ht="12" customHeight="1" x14ac:dyDescent="0.35">
      <c r="C826" s="495">
        <f>C763</f>
        <v>1035</v>
      </c>
      <c r="D826" s="229">
        <f>Input!D$51*D373</f>
        <v>0</v>
      </c>
      <c r="E826" s="229">
        <f>Input!E$51*E373</f>
        <v>0</v>
      </c>
      <c r="F826" s="229">
        <f>Input!F$51*F373</f>
        <v>0</v>
      </c>
      <c r="G826" s="229">
        <f>Input!G$51*G373</f>
        <v>0</v>
      </c>
      <c r="H826" s="229">
        <f>Input!H$51*H373</f>
        <v>0</v>
      </c>
      <c r="I826" s="229">
        <f>Input!I$51*I373</f>
        <v>0</v>
      </c>
      <c r="J826" s="229">
        <f>Input!J$51*J373</f>
        <v>0</v>
      </c>
      <c r="K826" s="229">
        <f>Input!K$51*K373</f>
        <v>0</v>
      </c>
      <c r="L826" s="229">
        <f>Input!L$51*L373</f>
        <v>0</v>
      </c>
      <c r="M826" s="229">
        <f>Input!M$51*M373</f>
        <v>0</v>
      </c>
      <c r="N826" s="229">
        <f>Input!N$51*N373</f>
        <v>0</v>
      </c>
      <c r="O826" s="229">
        <f>Input!O$51*O373</f>
        <v>0</v>
      </c>
      <c r="P826" s="229">
        <f>Input!P$51*P373</f>
        <v>0</v>
      </c>
      <c r="Q826" s="229">
        <f>Input!Q$51*Q373</f>
        <v>0</v>
      </c>
      <c r="R826" s="229">
        <f>Input!R$51*R373</f>
        <v>0</v>
      </c>
      <c r="S826" s="229">
        <f>Input!S$51*S373</f>
        <v>0</v>
      </c>
      <c r="T826" s="229">
        <f>Input!T$51*T373</f>
        <v>0</v>
      </c>
      <c r="U826" s="229">
        <f>Input!U$51*U373</f>
        <v>0</v>
      </c>
      <c r="V826" s="229">
        <f>Input!V$51*V373</f>
        <v>0</v>
      </c>
      <c r="W826" s="229">
        <f>Input!W$51*W373</f>
        <v>0</v>
      </c>
      <c r="X826" s="229">
        <f>Input!X$51*X373</f>
        <v>0</v>
      </c>
      <c r="Y826" s="229">
        <f>Input!Y$51*Y373</f>
        <v>0</v>
      </c>
      <c r="Z826" s="229">
        <f>Input!Z$51*Z373</f>
        <v>0</v>
      </c>
      <c r="AA826" s="229">
        <f>Input!AA$51*AA373</f>
        <v>0</v>
      </c>
      <c r="AB826" s="229">
        <f>Input!AB$51*AB373</f>
        <v>0</v>
      </c>
      <c r="CH826" s="269"/>
      <c r="CI826" s="269"/>
      <c r="CJ826" s="269"/>
      <c r="CK826" s="269"/>
      <c r="CL826" s="269"/>
      <c r="CM826" s="269"/>
      <c r="CN826" s="269"/>
      <c r="CO826" s="269"/>
      <c r="CP826" s="269"/>
      <c r="CQ826" s="269"/>
      <c r="CR826" s="269"/>
      <c r="CS826" s="269"/>
      <c r="DH826" s="219"/>
      <c r="DI826" s="219"/>
      <c r="DJ826" s="219"/>
      <c r="DK826" s="219"/>
    </row>
    <row r="827" spans="3:117" ht="12" customHeight="1" x14ac:dyDescent="0.35">
      <c r="C827" s="495">
        <f>C764</f>
        <v>1065</v>
      </c>
      <c r="D827" s="229">
        <f>Input!D$51*D374</f>
        <v>0</v>
      </c>
      <c r="E827" s="229">
        <f>Input!E$51*E374</f>
        <v>0</v>
      </c>
      <c r="F827" s="229">
        <f>Input!F$51*F374</f>
        <v>0</v>
      </c>
      <c r="G827" s="229">
        <f>Input!G$51*G374</f>
        <v>0</v>
      </c>
      <c r="H827" s="229">
        <f>Input!H$51*H374</f>
        <v>0</v>
      </c>
      <c r="I827" s="229">
        <f>Input!I$51*I374</f>
        <v>0</v>
      </c>
      <c r="J827" s="229">
        <f>Input!J$51*J374</f>
        <v>0</v>
      </c>
      <c r="K827" s="229">
        <f>Input!K$51*K374</f>
        <v>0</v>
      </c>
      <c r="L827" s="229">
        <f>Input!L$51*L374</f>
        <v>0</v>
      </c>
      <c r="M827" s="229">
        <f>Input!M$51*M374</f>
        <v>0</v>
      </c>
      <c r="N827" s="229">
        <f>Input!N$51*N374</f>
        <v>0</v>
      </c>
      <c r="O827" s="229">
        <f>Input!O$51*O374</f>
        <v>0</v>
      </c>
      <c r="P827" s="229">
        <f>Input!P$51*P374</f>
        <v>0</v>
      </c>
      <c r="Q827" s="229">
        <f>Input!Q$51*Q374</f>
        <v>0</v>
      </c>
      <c r="R827" s="229">
        <f>Input!R$51*R374</f>
        <v>0</v>
      </c>
      <c r="S827" s="229">
        <f>Input!S$51*S374</f>
        <v>0</v>
      </c>
      <c r="T827" s="229">
        <f>Input!T$51*T374</f>
        <v>0</v>
      </c>
      <c r="U827" s="229">
        <f>Input!U$51*U374</f>
        <v>0</v>
      </c>
      <c r="V827" s="229">
        <f>Input!V$51*V374</f>
        <v>0</v>
      </c>
      <c r="W827" s="229">
        <f>Input!W$51*W374</f>
        <v>0</v>
      </c>
      <c r="X827" s="229">
        <f>Input!X$51*X374</f>
        <v>0</v>
      </c>
      <c r="Y827" s="229">
        <f>Input!Y$51*Y374</f>
        <v>0</v>
      </c>
      <c r="Z827" s="229">
        <f>Input!Z$51*Z374</f>
        <v>0</v>
      </c>
      <c r="AA827" s="229">
        <f>Input!AA$51*AA374</f>
        <v>0</v>
      </c>
      <c r="AB827" s="229">
        <f>Input!AB$51*AB374</f>
        <v>0</v>
      </c>
      <c r="CH827" s="269"/>
      <c r="CI827" s="269"/>
      <c r="CJ827" s="269"/>
      <c r="CK827" s="269"/>
      <c r="CL827" s="269"/>
      <c r="CM827" s="269"/>
      <c r="CN827" s="269"/>
      <c r="CO827" s="269"/>
      <c r="CP827" s="269"/>
      <c r="CQ827" s="269"/>
      <c r="CR827" s="269"/>
      <c r="CS827" s="269"/>
      <c r="DH827" s="219"/>
      <c r="DI827" s="219"/>
      <c r="DJ827" s="219"/>
      <c r="DK827" s="219"/>
    </row>
    <row r="828" spans="3:117" ht="12" customHeight="1" thickBot="1" x14ac:dyDescent="0.4">
      <c r="C828" s="496">
        <f>C765</f>
        <v>1096</v>
      </c>
      <c r="D828" s="230">
        <f>Input!D$51*D375</f>
        <v>0</v>
      </c>
      <c r="E828" s="230">
        <f>Input!E$51*E375</f>
        <v>0</v>
      </c>
      <c r="F828" s="230">
        <f>Input!F$51*F375</f>
        <v>0</v>
      </c>
      <c r="G828" s="230">
        <f>Input!G$51*G375</f>
        <v>0</v>
      </c>
      <c r="H828" s="230">
        <f>Input!H$51*H375</f>
        <v>0</v>
      </c>
      <c r="I828" s="230">
        <f>Input!I$51*I375</f>
        <v>0</v>
      </c>
      <c r="J828" s="230">
        <f>Input!J$51*J375</f>
        <v>0</v>
      </c>
      <c r="K828" s="230">
        <f>Input!K$51*K375</f>
        <v>0</v>
      </c>
      <c r="L828" s="230">
        <f>Input!L$51*L375</f>
        <v>0</v>
      </c>
      <c r="M828" s="230">
        <f>Input!M$51*M375</f>
        <v>0</v>
      </c>
      <c r="N828" s="230">
        <f>Input!N$51*N375</f>
        <v>0</v>
      </c>
      <c r="O828" s="230">
        <f>Input!O$51*O375</f>
        <v>0</v>
      </c>
      <c r="P828" s="230">
        <f>Input!P$51*P375</f>
        <v>0</v>
      </c>
      <c r="Q828" s="230">
        <f>Input!Q$51*Q375</f>
        <v>0</v>
      </c>
      <c r="R828" s="230">
        <f>Input!R$51*R375</f>
        <v>0</v>
      </c>
      <c r="S828" s="230">
        <f>Input!S$51*S375</f>
        <v>0</v>
      </c>
      <c r="T828" s="230">
        <f>Input!T$51*T375</f>
        <v>0</v>
      </c>
      <c r="U828" s="230">
        <f>Input!U$51*U375</f>
        <v>0</v>
      </c>
      <c r="V828" s="230">
        <f>Input!V$51*V375</f>
        <v>0</v>
      </c>
      <c r="W828" s="230">
        <f>Input!W$51*W375</f>
        <v>0</v>
      </c>
      <c r="X828" s="230">
        <f>Input!X$51*X375</f>
        <v>0</v>
      </c>
      <c r="Y828" s="230">
        <f>Input!Y$51*Y375</f>
        <v>0</v>
      </c>
      <c r="Z828" s="230">
        <f>Input!Z$51*Z375</f>
        <v>0</v>
      </c>
      <c r="AA828" s="230">
        <f>Input!AA$51*AA375</f>
        <v>0</v>
      </c>
      <c r="AB828" s="230">
        <f>Input!AB$51*AB375</f>
        <v>0</v>
      </c>
      <c r="CH828" s="269"/>
      <c r="CI828" s="269"/>
      <c r="CJ828" s="269"/>
      <c r="CK828" s="269"/>
      <c r="CL828" s="269"/>
      <c r="CM828" s="269"/>
      <c r="CN828" s="269"/>
      <c r="CO828" s="269"/>
      <c r="CP828" s="269"/>
      <c r="CQ828" s="269"/>
      <c r="CR828" s="269"/>
      <c r="CS828" s="269"/>
      <c r="DH828" s="219"/>
      <c r="DI828" s="219"/>
      <c r="DJ828" s="219"/>
      <c r="DK828" s="219"/>
    </row>
    <row r="829" spans="3:117" ht="12" customHeight="1" x14ac:dyDescent="0.35">
      <c r="C829" s="638">
        <f>C766</f>
        <v>1127</v>
      </c>
      <c r="D829" s="299">
        <f>IF(Years="Five",Input!D$51*D376,0)</f>
        <v>0</v>
      </c>
      <c r="E829" s="231">
        <f>IF(Years="Five",Input!E$51*E376,0)</f>
        <v>0</v>
      </c>
      <c r="F829" s="231">
        <f>IF(Years="Five",Input!F$51*F376,0)</f>
        <v>0</v>
      </c>
      <c r="G829" s="231">
        <f>IF(Years="Five",Input!G$51*G376,0)</f>
        <v>0</v>
      </c>
      <c r="H829" s="231">
        <f>IF(Years="Five",Input!H$51*H376,0)</f>
        <v>0</v>
      </c>
      <c r="I829" s="231">
        <f>IF(Years="Five",Input!I$51*I376,0)</f>
        <v>0</v>
      </c>
      <c r="J829" s="231">
        <f>IF(Years="Five",Input!J$51*J376,0)</f>
        <v>0</v>
      </c>
      <c r="K829" s="231">
        <f>IF(Years="Five",Input!K$51*K376,0)</f>
        <v>0</v>
      </c>
      <c r="L829" s="231">
        <f>IF(Years="Five",Input!L$51*L376,0)</f>
        <v>0</v>
      </c>
      <c r="M829" s="231">
        <f>IF(Years="Five",Input!M$51*M376,0)</f>
        <v>0</v>
      </c>
      <c r="N829" s="231">
        <f>IF(Years="Five",Input!N$51*N376,0)</f>
        <v>0</v>
      </c>
      <c r="O829" s="231">
        <f>IF(Years="Five",Input!O$51*O376,0)</f>
        <v>0</v>
      </c>
      <c r="P829" s="231">
        <f>IF(Years="Five",Input!P$51*P376,0)</f>
        <v>0</v>
      </c>
      <c r="Q829" s="231">
        <f>IF(Years="Five",Input!Q$51*Q376,0)</f>
        <v>0</v>
      </c>
      <c r="R829" s="231">
        <f>IF(Years="Five",Input!R$51*R376,0)</f>
        <v>0</v>
      </c>
      <c r="S829" s="231">
        <f>IF(Years="Five",Input!S$51*S376,0)</f>
        <v>0</v>
      </c>
      <c r="T829" s="231">
        <f>IF(Years="Five",Input!T$51*T376,0)</f>
        <v>0</v>
      </c>
      <c r="U829" s="231">
        <f>IF(Years="Five",Input!U$51*U376,0)</f>
        <v>0</v>
      </c>
      <c r="V829" s="231">
        <f>IF(Years="Five",Input!V$51*V376,0)</f>
        <v>0</v>
      </c>
      <c r="W829" s="231">
        <f>IF(Years="Five",Input!W$51*W376,0)</f>
        <v>0</v>
      </c>
      <c r="X829" s="231">
        <f>IF(Years="Five",Input!X$51*X376,0)</f>
        <v>0</v>
      </c>
      <c r="Y829" s="231">
        <f>IF(Years="Five",Input!Y$51*Y376,0)</f>
        <v>0</v>
      </c>
      <c r="Z829" s="231">
        <f>IF(Years="Five",Input!Z$51*Z376,0)</f>
        <v>0</v>
      </c>
      <c r="AA829" s="231">
        <f>IF(Years="Five",Input!AA$51*AA376,0)</f>
        <v>0</v>
      </c>
      <c r="AB829" s="300">
        <f>IF(Years="Five",Input!AB$51*AB376,0)</f>
        <v>0</v>
      </c>
      <c r="CH829" s="269"/>
      <c r="CI829" s="269"/>
      <c r="CJ829" s="269"/>
      <c r="CK829" s="269"/>
      <c r="CL829" s="269"/>
      <c r="CM829" s="269"/>
      <c r="CN829" s="269"/>
      <c r="CO829" s="269"/>
      <c r="CP829" s="269"/>
      <c r="CQ829" s="269"/>
      <c r="CR829" s="269"/>
      <c r="CS829" s="269"/>
      <c r="DH829" s="219"/>
      <c r="DI829" s="219"/>
      <c r="DJ829" s="219"/>
      <c r="DK829" s="219"/>
    </row>
    <row r="830" spans="3:117" ht="12" customHeight="1" x14ac:dyDescent="0.35">
      <c r="C830" s="638">
        <f>C767</f>
        <v>1155</v>
      </c>
      <c r="D830" s="297">
        <f>Input!D$51*D377</f>
        <v>0</v>
      </c>
      <c r="E830" s="229">
        <f>Input!E$51*E377</f>
        <v>0</v>
      </c>
      <c r="F830" s="229">
        <f>Input!F$51*F377</f>
        <v>0</v>
      </c>
      <c r="G830" s="229">
        <f>Input!G$51*G377</f>
        <v>0</v>
      </c>
      <c r="H830" s="229">
        <f>Input!H$51*H377</f>
        <v>0</v>
      </c>
      <c r="I830" s="229">
        <f>Input!I$51*I377</f>
        <v>0</v>
      </c>
      <c r="J830" s="229">
        <f>Input!J$51*J377</f>
        <v>0</v>
      </c>
      <c r="K830" s="229">
        <f>Input!K$51*K377</f>
        <v>0</v>
      </c>
      <c r="L830" s="229">
        <f>Input!L$51*L377</f>
        <v>0</v>
      </c>
      <c r="M830" s="229">
        <f>Input!M$51*M377</f>
        <v>0</v>
      </c>
      <c r="N830" s="229">
        <f>Input!N$51*N377</f>
        <v>0</v>
      </c>
      <c r="O830" s="229">
        <f>Input!O$51*O377</f>
        <v>0</v>
      </c>
      <c r="P830" s="229">
        <f>Input!P$51*P377</f>
        <v>0</v>
      </c>
      <c r="Q830" s="229">
        <f>Input!Q$51*Q377</f>
        <v>0</v>
      </c>
      <c r="R830" s="229">
        <f>Input!R$51*R377</f>
        <v>0</v>
      </c>
      <c r="S830" s="229">
        <f>Input!S$51*S377</f>
        <v>0</v>
      </c>
      <c r="T830" s="229">
        <f>Input!T$51*T377</f>
        <v>0</v>
      </c>
      <c r="U830" s="229">
        <f>Input!U$51*U377</f>
        <v>0</v>
      </c>
      <c r="V830" s="229">
        <f>Input!V$51*V377</f>
        <v>0</v>
      </c>
      <c r="W830" s="229">
        <f>Input!W$51*W377</f>
        <v>0</v>
      </c>
      <c r="X830" s="229">
        <f>Input!X$51*X377</f>
        <v>0</v>
      </c>
      <c r="Y830" s="229">
        <f>Input!Y$51*Y377</f>
        <v>0</v>
      </c>
      <c r="Z830" s="229">
        <f>Input!Z$51*Z377</f>
        <v>0</v>
      </c>
      <c r="AA830" s="229">
        <f>Input!AA$51*AA377</f>
        <v>0</v>
      </c>
      <c r="AB830" s="298">
        <f>Input!AB$51*AB377</f>
        <v>0</v>
      </c>
      <c r="CH830" s="269"/>
      <c r="CI830" s="269"/>
      <c r="CJ830" s="269"/>
      <c r="CK830" s="269"/>
      <c r="CL830" s="269"/>
      <c r="CM830" s="269"/>
      <c r="CN830" s="269"/>
      <c r="CO830" s="269"/>
      <c r="CP830" s="269"/>
      <c r="CQ830" s="269"/>
      <c r="CR830" s="269"/>
      <c r="CS830" s="269"/>
      <c r="DH830" s="219"/>
      <c r="DI830" s="219"/>
      <c r="DJ830" s="219"/>
      <c r="DK830" s="219"/>
    </row>
    <row r="831" spans="3:117" ht="12" customHeight="1" x14ac:dyDescent="0.35">
      <c r="C831" s="638">
        <f>C768</f>
        <v>1186</v>
      </c>
      <c r="D831" s="297">
        <f>Input!D$51*D378</f>
        <v>0</v>
      </c>
      <c r="E831" s="229">
        <f>Input!E$51*E378</f>
        <v>0</v>
      </c>
      <c r="F831" s="229">
        <f>Input!F$51*F378</f>
        <v>0</v>
      </c>
      <c r="G831" s="229">
        <f>Input!G$51*G378</f>
        <v>0</v>
      </c>
      <c r="H831" s="229">
        <f>Input!H$51*H378</f>
        <v>0</v>
      </c>
      <c r="I831" s="229">
        <f>Input!I$51*I378</f>
        <v>0</v>
      </c>
      <c r="J831" s="229">
        <f>Input!J$51*J378</f>
        <v>0</v>
      </c>
      <c r="K831" s="229">
        <f>Input!K$51*K378</f>
        <v>0</v>
      </c>
      <c r="L831" s="229">
        <f>Input!L$51*L378</f>
        <v>0</v>
      </c>
      <c r="M831" s="229">
        <f>Input!M$51*M378</f>
        <v>0</v>
      </c>
      <c r="N831" s="229">
        <f>Input!N$51*N378</f>
        <v>0</v>
      </c>
      <c r="O831" s="229">
        <f>Input!O$51*O378</f>
        <v>0</v>
      </c>
      <c r="P831" s="229">
        <f>Input!P$51*P378</f>
        <v>0</v>
      </c>
      <c r="Q831" s="229">
        <f>Input!Q$51*Q378</f>
        <v>0</v>
      </c>
      <c r="R831" s="229">
        <f>Input!R$51*R378</f>
        <v>0</v>
      </c>
      <c r="S831" s="229">
        <f>Input!S$51*S378</f>
        <v>0</v>
      </c>
      <c r="T831" s="229">
        <f>Input!T$51*T378</f>
        <v>0</v>
      </c>
      <c r="U831" s="229">
        <f>Input!U$51*U378</f>
        <v>0</v>
      </c>
      <c r="V831" s="229">
        <f>Input!V$51*V378</f>
        <v>0</v>
      </c>
      <c r="W831" s="229">
        <f>Input!W$51*W378</f>
        <v>0</v>
      </c>
      <c r="X831" s="229">
        <f>Input!X$51*X378</f>
        <v>0</v>
      </c>
      <c r="Y831" s="229">
        <f>Input!Y$51*Y378</f>
        <v>0</v>
      </c>
      <c r="Z831" s="229">
        <f>Input!Z$51*Z378</f>
        <v>0</v>
      </c>
      <c r="AA831" s="229">
        <f>Input!AA$51*AA378</f>
        <v>0</v>
      </c>
      <c r="AB831" s="298">
        <f>Input!AB$51*AB378</f>
        <v>0</v>
      </c>
      <c r="CH831" s="269"/>
      <c r="CI831" s="269"/>
      <c r="CJ831" s="269"/>
      <c r="CK831" s="269"/>
      <c r="CL831" s="269"/>
      <c r="CM831" s="269"/>
      <c r="CN831" s="269"/>
      <c r="CO831" s="269"/>
      <c r="CP831" s="269"/>
      <c r="CQ831" s="269"/>
      <c r="CR831" s="269"/>
      <c r="CS831" s="269"/>
      <c r="DH831" s="219"/>
      <c r="DI831" s="219"/>
      <c r="DJ831" s="219"/>
      <c r="DK831" s="219"/>
    </row>
    <row r="832" spans="3:117" ht="12" customHeight="1" x14ac:dyDescent="0.35">
      <c r="C832" s="638">
        <f>C769</f>
        <v>1216</v>
      </c>
      <c r="D832" s="297">
        <f>Input!D$51*D379</f>
        <v>0</v>
      </c>
      <c r="E832" s="229">
        <f>Input!E$51*E379</f>
        <v>0</v>
      </c>
      <c r="F832" s="229">
        <f>Input!F$51*F379</f>
        <v>0</v>
      </c>
      <c r="G832" s="229">
        <f>Input!G$51*G379</f>
        <v>0</v>
      </c>
      <c r="H832" s="229">
        <f>Input!H$51*H379</f>
        <v>0</v>
      </c>
      <c r="I832" s="229">
        <f>Input!I$51*I379</f>
        <v>0</v>
      </c>
      <c r="J832" s="229">
        <f>Input!J$51*J379</f>
        <v>0</v>
      </c>
      <c r="K832" s="229">
        <f>Input!K$51*K379</f>
        <v>0</v>
      </c>
      <c r="L832" s="229">
        <f>Input!L$51*L379</f>
        <v>0</v>
      </c>
      <c r="M832" s="229">
        <f>Input!M$51*M379</f>
        <v>0</v>
      </c>
      <c r="N832" s="229">
        <f>Input!N$51*N379</f>
        <v>0</v>
      </c>
      <c r="O832" s="229">
        <f>Input!O$51*O379</f>
        <v>0</v>
      </c>
      <c r="P832" s="229">
        <f>Input!P$51*P379</f>
        <v>0</v>
      </c>
      <c r="Q832" s="229">
        <f>Input!Q$51*Q379</f>
        <v>0</v>
      </c>
      <c r="R832" s="229">
        <f>Input!R$51*R379</f>
        <v>0</v>
      </c>
      <c r="S832" s="229">
        <f>Input!S$51*S379</f>
        <v>0</v>
      </c>
      <c r="T832" s="229">
        <f>Input!T$51*T379</f>
        <v>0</v>
      </c>
      <c r="U832" s="229">
        <f>Input!U$51*U379</f>
        <v>0</v>
      </c>
      <c r="V832" s="229">
        <f>Input!V$51*V379</f>
        <v>0</v>
      </c>
      <c r="W832" s="229">
        <f>Input!W$51*W379</f>
        <v>0</v>
      </c>
      <c r="X832" s="229">
        <f>Input!X$51*X379</f>
        <v>0</v>
      </c>
      <c r="Y832" s="229">
        <f>Input!Y$51*Y379</f>
        <v>0</v>
      </c>
      <c r="Z832" s="229">
        <f>Input!Z$51*Z379</f>
        <v>0</v>
      </c>
      <c r="AA832" s="229">
        <f>Input!AA$51*AA379</f>
        <v>0</v>
      </c>
      <c r="AB832" s="298">
        <f>Input!AB$51*AB379</f>
        <v>0</v>
      </c>
      <c r="CH832" s="269"/>
      <c r="CI832" s="269"/>
      <c r="CJ832" s="269"/>
      <c r="CK832" s="269"/>
      <c r="CL832" s="269"/>
      <c r="CM832" s="269"/>
      <c r="CN832" s="269"/>
      <c r="CO832" s="269"/>
      <c r="CP832" s="269"/>
      <c r="CQ832" s="269"/>
      <c r="CR832" s="269"/>
      <c r="CS832" s="269"/>
      <c r="DH832" s="219"/>
      <c r="DI832" s="219"/>
      <c r="DJ832" s="219"/>
      <c r="DK832" s="219"/>
    </row>
    <row r="833" spans="3:115" ht="12" customHeight="1" x14ac:dyDescent="0.35">
      <c r="C833" s="638">
        <f>C770</f>
        <v>1247</v>
      </c>
      <c r="D833" s="297">
        <f>Input!D$51*D380</f>
        <v>0</v>
      </c>
      <c r="E833" s="229">
        <f>Input!E$51*E380</f>
        <v>0</v>
      </c>
      <c r="F833" s="229">
        <f>Input!F$51*F380</f>
        <v>0</v>
      </c>
      <c r="G833" s="229">
        <f>Input!G$51*G380</f>
        <v>0</v>
      </c>
      <c r="H833" s="229">
        <f>Input!H$51*H380</f>
        <v>0</v>
      </c>
      <c r="I833" s="229">
        <f>Input!I$51*I380</f>
        <v>0</v>
      </c>
      <c r="J833" s="229">
        <f>Input!J$51*J380</f>
        <v>0</v>
      </c>
      <c r="K833" s="229">
        <f>Input!K$51*K380</f>
        <v>0</v>
      </c>
      <c r="L833" s="229">
        <f>Input!L$51*L380</f>
        <v>0</v>
      </c>
      <c r="M833" s="229">
        <f>Input!M$51*M380</f>
        <v>0</v>
      </c>
      <c r="N833" s="229">
        <f>Input!N$51*N380</f>
        <v>0</v>
      </c>
      <c r="O833" s="229">
        <f>Input!O$51*O380</f>
        <v>0</v>
      </c>
      <c r="P833" s="229">
        <f>Input!P$51*P380</f>
        <v>0</v>
      </c>
      <c r="Q833" s="229">
        <f>Input!Q$51*Q380</f>
        <v>0</v>
      </c>
      <c r="R833" s="229">
        <f>Input!R$51*R380</f>
        <v>0</v>
      </c>
      <c r="S833" s="229">
        <f>Input!S$51*S380</f>
        <v>0</v>
      </c>
      <c r="T833" s="229">
        <f>Input!T$51*T380</f>
        <v>0</v>
      </c>
      <c r="U833" s="229">
        <f>Input!U$51*U380</f>
        <v>0</v>
      </c>
      <c r="V833" s="229">
        <f>Input!V$51*V380</f>
        <v>0</v>
      </c>
      <c r="W833" s="229">
        <f>Input!W$51*W380</f>
        <v>0</v>
      </c>
      <c r="X833" s="229">
        <f>Input!X$51*X380</f>
        <v>0</v>
      </c>
      <c r="Y833" s="229">
        <f>Input!Y$51*Y380</f>
        <v>0</v>
      </c>
      <c r="Z833" s="229">
        <f>Input!Z$51*Z380</f>
        <v>0</v>
      </c>
      <c r="AA833" s="229">
        <f>Input!AA$51*AA380</f>
        <v>0</v>
      </c>
      <c r="AB833" s="298">
        <f>Input!AB$51*AB380</f>
        <v>0</v>
      </c>
      <c r="CH833" s="269"/>
      <c r="CI833" s="269"/>
      <c r="CJ833" s="269"/>
      <c r="CK833" s="269"/>
      <c r="CL833" s="269"/>
      <c r="CM833" s="269"/>
      <c r="CN833" s="269"/>
      <c r="CO833" s="269"/>
      <c r="CP833" s="269"/>
      <c r="CQ833" s="269"/>
      <c r="CR833" s="269"/>
      <c r="CS833" s="269"/>
      <c r="DH833" s="219"/>
      <c r="DI833" s="219"/>
      <c r="DJ833" s="219"/>
      <c r="DK833" s="219"/>
    </row>
    <row r="834" spans="3:115" ht="12" customHeight="1" x14ac:dyDescent="0.35">
      <c r="C834" s="638">
        <f>C771</f>
        <v>1277</v>
      </c>
      <c r="D834" s="297">
        <f>Input!D$51*D381</f>
        <v>0</v>
      </c>
      <c r="E834" s="229">
        <f>Input!E$51*E381</f>
        <v>0</v>
      </c>
      <c r="F834" s="229">
        <f>Input!F$51*F381</f>
        <v>0</v>
      </c>
      <c r="G834" s="229">
        <f>Input!G$51*G381</f>
        <v>0</v>
      </c>
      <c r="H834" s="229">
        <f>Input!H$51*H381</f>
        <v>0</v>
      </c>
      <c r="I834" s="229">
        <f>Input!I$51*I381</f>
        <v>0</v>
      </c>
      <c r="J834" s="229">
        <f>Input!J$51*J381</f>
        <v>0</v>
      </c>
      <c r="K834" s="229">
        <f>Input!K$51*K381</f>
        <v>0</v>
      </c>
      <c r="L834" s="229">
        <f>Input!L$51*L381</f>
        <v>0</v>
      </c>
      <c r="M834" s="229">
        <f>Input!M$51*M381</f>
        <v>0</v>
      </c>
      <c r="N834" s="229">
        <f>Input!N$51*N381</f>
        <v>0</v>
      </c>
      <c r="O834" s="229">
        <f>Input!O$51*O381</f>
        <v>0</v>
      </c>
      <c r="P834" s="229">
        <f>Input!P$51*P381</f>
        <v>0</v>
      </c>
      <c r="Q834" s="229">
        <f>Input!Q$51*Q381</f>
        <v>0</v>
      </c>
      <c r="R834" s="229">
        <f>Input!R$51*R381</f>
        <v>0</v>
      </c>
      <c r="S834" s="229">
        <f>Input!S$51*S381</f>
        <v>0</v>
      </c>
      <c r="T834" s="229">
        <f>Input!T$51*T381</f>
        <v>0</v>
      </c>
      <c r="U834" s="229">
        <f>Input!U$51*U381</f>
        <v>0</v>
      </c>
      <c r="V834" s="229">
        <f>Input!V$51*V381</f>
        <v>0</v>
      </c>
      <c r="W834" s="229">
        <f>Input!W$51*W381</f>
        <v>0</v>
      </c>
      <c r="X834" s="229">
        <f>Input!X$51*X381</f>
        <v>0</v>
      </c>
      <c r="Y834" s="229">
        <f>Input!Y$51*Y381</f>
        <v>0</v>
      </c>
      <c r="Z834" s="229">
        <f>Input!Z$51*Z381</f>
        <v>0</v>
      </c>
      <c r="AA834" s="229">
        <f>Input!AA$51*AA381</f>
        <v>0</v>
      </c>
      <c r="AB834" s="298">
        <f>Input!AB$51*AB381</f>
        <v>0</v>
      </c>
      <c r="CH834" s="269"/>
      <c r="CI834" s="269"/>
      <c r="CJ834" s="269"/>
      <c r="CK834" s="269"/>
      <c r="CL834" s="269"/>
      <c r="CM834" s="269"/>
      <c r="CN834" s="269"/>
      <c r="CO834" s="269"/>
      <c r="CP834" s="269"/>
      <c r="CQ834" s="269"/>
      <c r="CR834" s="269"/>
      <c r="CS834" s="269"/>
      <c r="DH834" s="219"/>
      <c r="DI834" s="219"/>
      <c r="DJ834" s="219"/>
      <c r="DK834" s="219"/>
    </row>
    <row r="835" spans="3:115" ht="12" customHeight="1" x14ac:dyDescent="0.35">
      <c r="C835" s="638">
        <f>C772</f>
        <v>1308</v>
      </c>
      <c r="D835" s="297">
        <f>Input!D$51*D382</f>
        <v>0</v>
      </c>
      <c r="E835" s="229">
        <f>Input!E$51*E382</f>
        <v>0</v>
      </c>
      <c r="F835" s="229">
        <f>Input!F$51*F382</f>
        <v>0</v>
      </c>
      <c r="G835" s="229">
        <f>Input!G$51*G382</f>
        <v>0</v>
      </c>
      <c r="H835" s="229">
        <f>Input!H$51*H382</f>
        <v>0</v>
      </c>
      <c r="I835" s="229">
        <f>Input!I$51*I382</f>
        <v>0</v>
      </c>
      <c r="J835" s="229">
        <f>Input!J$51*J382</f>
        <v>0</v>
      </c>
      <c r="K835" s="229">
        <f>Input!K$51*K382</f>
        <v>0</v>
      </c>
      <c r="L835" s="229">
        <f>Input!L$51*L382</f>
        <v>0</v>
      </c>
      <c r="M835" s="229">
        <f>Input!M$51*M382</f>
        <v>0</v>
      </c>
      <c r="N835" s="229">
        <f>Input!N$51*N382</f>
        <v>0</v>
      </c>
      <c r="O835" s="229">
        <f>Input!O$51*O382</f>
        <v>0</v>
      </c>
      <c r="P835" s="229">
        <f>Input!P$51*P382</f>
        <v>0</v>
      </c>
      <c r="Q835" s="229">
        <f>Input!Q$51*Q382</f>
        <v>0</v>
      </c>
      <c r="R835" s="229">
        <f>Input!R$51*R382</f>
        <v>0</v>
      </c>
      <c r="S835" s="229">
        <f>Input!S$51*S382</f>
        <v>0</v>
      </c>
      <c r="T835" s="229">
        <f>Input!T$51*T382</f>
        <v>0</v>
      </c>
      <c r="U835" s="229">
        <f>Input!U$51*U382</f>
        <v>0</v>
      </c>
      <c r="V835" s="229">
        <f>Input!V$51*V382</f>
        <v>0</v>
      </c>
      <c r="W835" s="229">
        <f>Input!W$51*W382</f>
        <v>0</v>
      </c>
      <c r="X835" s="229">
        <f>Input!X$51*X382</f>
        <v>0</v>
      </c>
      <c r="Y835" s="229">
        <f>Input!Y$51*Y382</f>
        <v>0</v>
      </c>
      <c r="Z835" s="229">
        <f>Input!Z$51*Z382</f>
        <v>0</v>
      </c>
      <c r="AA835" s="229">
        <f>Input!AA$51*AA382</f>
        <v>0</v>
      </c>
      <c r="AB835" s="298">
        <f>Input!AB$51*AB382</f>
        <v>0</v>
      </c>
      <c r="CH835" s="269"/>
      <c r="CI835" s="269"/>
      <c r="CJ835" s="269"/>
      <c r="CK835" s="269"/>
      <c r="CL835" s="269"/>
      <c r="CM835" s="269"/>
      <c r="CN835" s="269"/>
      <c r="CO835" s="269"/>
      <c r="CP835" s="269"/>
      <c r="CQ835" s="269"/>
      <c r="CR835" s="269"/>
      <c r="CS835" s="269"/>
      <c r="DH835" s="219"/>
      <c r="DI835" s="219"/>
      <c r="DJ835" s="219"/>
      <c r="DK835" s="219"/>
    </row>
    <row r="836" spans="3:115" ht="12" customHeight="1" x14ac:dyDescent="0.35">
      <c r="C836" s="638">
        <f>C773</f>
        <v>1339</v>
      </c>
      <c r="D836" s="297">
        <f>Input!D$51*D383</f>
        <v>0</v>
      </c>
      <c r="E836" s="229">
        <f>Input!E$51*E383</f>
        <v>0</v>
      </c>
      <c r="F836" s="229">
        <f>Input!F$51*F383</f>
        <v>0</v>
      </c>
      <c r="G836" s="229">
        <f>Input!G$51*G383</f>
        <v>0</v>
      </c>
      <c r="H836" s="229">
        <f>Input!H$51*H383</f>
        <v>0</v>
      </c>
      <c r="I836" s="229">
        <f>Input!I$51*I383</f>
        <v>0</v>
      </c>
      <c r="J836" s="229">
        <f>Input!J$51*J383</f>
        <v>0</v>
      </c>
      <c r="K836" s="229">
        <f>Input!K$51*K383</f>
        <v>0</v>
      </c>
      <c r="L836" s="229">
        <f>Input!L$51*L383</f>
        <v>0</v>
      </c>
      <c r="M836" s="229">
        <f>Input!M$51*M383</f>
        <v>0</v>
      </c>
      <c r="N836" s="229">
        <f>Input!N$51*N383</f>
        <v>0</v>
      </c>
      <c r="O836" s="229">
        <f>Input!O$51*O383</f>
        <v>0</v>
      </c>
      <c r="P836" s="229">
        <f>Input!P$51*P383</f>
        <v>0</v>
      </c>
      <c r="Q836" s="229">
        <f>Input!Q$51*Q383</f>
        <v>0</v>
      </c>
      <c r="R836" s="229">
        <f>Input!R$51*R383</f>
        <v>0</v>
      </c>
      <c r="S836" s="229">
        <f>Input!S$51*S383</f>
        <v>0</v>
      </c>
      <c r="T836" s="229">
        <f>Input!T$51*T383</f>
        <v>0</v>
      </c>
      <c r="U836" s="229">
        <f>Input!U$51*U383</f>
        <v>0</v>
      </c>
      <c r="V836" s="229">
        <f>Input!V$51*V383</f>
        <v>0</v>
      </c>
      <c r="W836" s="229">
        <f>Input!W$51*W383</f>
        <v>0</v>
      </c>
      <c r="X836" s="229">
        <f>Input!X$51*X383</f>
        <v>0</v>
      </c>
      <c r="Y836" s="229">
        <f>Input!Y$51*Y383</f>
        <v>0</v>
      </c>
      <c r="Z836" s="229">
        <f>Input!Z$51*Z383</f>
        <v>0</v>
      </c>
      <c r="AA836" s="229">
        <f>Input!AA$51*AA383</f>
        <v>0</v>
      </c>
      <c r="AB836" s="298">
        <f>Input!AB$51*AB383</f>
        <v>0</v>
      </c>
      <c r="CH836" s="269"/>
      <c r="CI836" s="269"/>
      <c r="CJ836" s="269"/>
      <c r="CK836" s="269"/>
      <c r="CL836" s="269"/>
      <c r="CM836" s="269"/>
      <c r="CN836" s="269"/>
      <c r="CO836" s="269"/>
      <c r="CP836" s="269"/>
      <c r="CQ836" s="269"/>
      <c r="CR836" s="269"/>
      <c r="CS836" s="269"/>
      <c r="DH836" s="219"/>
      <c r="DI836" s="219"/>
      <c r="DJ836" s="219"/>
      <c r="DK836" s="219"/>
    </row>
    <row r="837" spans="3:115" ht="12" customHeight="1" x14ac:dyDescent="0.35">
      <c r="C837" s="638">
        <f>C774</f>
        <v>1369</v>
      </c>
      <c r="D837" s="297">
        <f>Input!D$51*D384</f>
        <v>0</v>
      </c>
      <c r="E837" s="229">
        <f>Input!E$51*E384</f>
        <v>0</v>
      </c>
      <c r="F837" s="229">
        <f>Input!F$51*F384</f>
        <v>0</v>
      </c>
      <c r="G837" s="229">
        <f>Input!G$51*G384</f>
        <v>0</v>
      </c>
      <c r="H837" s="229">
        <f>Input!H$51*H384</f>
        <v>0</v>
      </c>
      <c r="I837" s="229">
        <f>Input!I$51*I384</f>
        <v>0</v>
      </c>
      <c r="J837" s="229">
        <f>Input!J$51*J384</f>
        <v>0</v>
      </c>
      <c r="K837" s="229">
        <f>Input!K$51*K384</f>
        <v>0</v>
      </c>
      <c r="L837" s="229">
        <f>Input!L$51*L384</f>
        <v>0</v>
      </c>
      <c r="M837" s="229">
        <f>Input!M$51*M384</f>
        <v>0</v>
      </c>
      <c r="N837" s="229">
        <f>Input!N$51*N384</f>
        <v>0</v>
      </c>
      <c r="O837" s="229">
        <f>Input!O$51*O384</f>
        <v>0</v>
      </c>
      <c r="P837" s="229">
        <f>Input!P$51*P384</f>
        <v>0</v>
      </c>
      <c r="Q837" s="229">
        <f>Input!Q$51*Q384</f>
        <v>0</v>
      </c>
      <c r="R837" s="229">
        <f>Input!R$51*R384</f>
        <v>0</v>
      </c>
      <c r="S837" s="229">
        <f>Input!S$51*S384</f>
        <v>0</v>
      </c>
      <c r="T837" s="229">
        <f>Input!T$51*T384</f>
        <v>0</v>
      </c>
      <c r="U837" s="229">
        <f>Input!U$51*U384</f>
        <v>0</v>
      </c>
      <c r="V837" s="229">
        <f>Input!V$51*V384</f>
        <v>0</v>
      </c>
      <c r="W837" s="229">
        <f>Input!W$51*W384</f>
        <v>0</v>
      </c>
      <c r="X837" s="229">
        <f>Input!X$51*X384</f>
        <v>0</v>
      </c>
      <c r="Y837" s="229">
        <f>Input!Y$51*Y384</f>
        <v>0</v>
      </c>
      <c r="Z837" s="229">
        <f>Input!Z$51*Z384</f>
        <v>0</v>
      </c>
      <c r="AA837" s="229">
        <f>Input!AA$51*AA384</f>
        <v>0</v>
      </c>
      <c r="AB837" s="298">
        <f>Input!AB$51*AB384</f>
        <v>0</v>
      </c>
      <c r="CH837" s="269"/>
      <c r="CI837" s="269"/>
      <c r="CJ837" s="269"/>
      <c r="CK837" s="269"/>
      <c r="CL837" s="269"/>
      <c r="CM837" s="269"/>
      <c r="CN837" s="269"/>
      <c r="CO837" s="269"/>
      <c r="CP837" s="269"/>
      <c r="CQ837" s="269"/>
      <c r="CR837" s="269"/>
      <c r="CS837" s="269"/>
      <c r="DH837" s="255"/>
      <c r="DI837" s="219"/>
      <c r="DJ837" s="219"/>
      <c r="DK837" s="219"/>
    </row>
    <row r="838" spans="3:115" ht="12" customHeight="1" x14ac:dyDescent="0.35">
      <c r="C838" s="638">
        <f>C775</f>
        <v>1400</v>
      </c>
      <c r="D838" s="297">
        <f>Input!D$51*D385</f>
        <v>0</v>
      </c>
      <c r="E838" s="229">
        <f>Input!E$51*E385</f>
        <v>0</v>
      </c>
      <c r="F838" s="229">
        <f>Input!F$51*F385</f>
        <v>0</v>
      </c>
      <c r="G838" s="229">
        <f>Input!G$51*G385</f>
        <v>0</v>
      </c>
      <c r="H838" s="229">
        <f>Input!H$51*H385</f>
        <v>0</v>
      </c>
      <c r="I838" s="229">
        <f>Input!I$51*I385</f>
        <v>0</v>
      </c>
      <c r="J838" s="229">
        <f>Input!J$51*J385</f>
        <v>0</v>
      </c>
      <c r="K838" s="229">
        <f>Input!K$51*K385</f>
        <v>0</v>
      </c>
      <c r="L838" s="229">
        <f>Input!L$51*L385</f>
        <v>0</v>
      </c>
      <c r="M838" s="229">
        <f>Input!M$51*M385</f>
        <v>0</v>
      </c>
      <c r="N838" s="229">
        <f>Input!N$51*N385</f>
        <v>0</v>
      </c>
      <c r="O838" s="229">
        <f>Input!O$51*O385</f>
        <v>0</v>
      </c>
      <c r="P838" s="229">
        <f>Input!P$51*P385</f>
        <v>0</v>
      </c>
      <c r="Q838" s="229">
        <f>Input!Q$51*Q385</f>
        <v>0</v>
      </c>
      <c r="R838" s="229">
        <f>Input!R$51*R385</f>
        <v>0</v>
      </c>
      <c r="S838" s="229">
        <f>Input!S$51*S385</f>
        <v>0</v>
      </c>
      <c r="T838" s="229">
        <f>Input!T$51*T385</f>
        <v>0</v>
      </c>
      <c r="U838" s="229">
        <f>Input!U$51*U385</f>
        <v>0</v>
      </c>
      <c r="V838" s="229">
        <f>Input!V$51*V385</f>
        <v>0</v>
      </c>
      <c r="W838" s="229">
        <f>Input!W$51*W385</f>
        <v>0</v>
      </c>
      <c r="X838" s="229">
        <f>Input!X$51*X385</f>
        <v>0</v>
      </c>
      <c r="Y838" s="229">
        <f>Input!Y$51*Y385</f>
        <v>0</v>
      </c>
      <c r="Z838" s="229">
        <f>Input!Z$51*Z385</f>
        <v>0</v>
      </c>
      <c r="AA838" s="229">
        <f>Input!AA$51*AA385</f>
        <v>0</v>
      </c>
      <c r="AB838" s="298">
        <f>Input!AB$51*AB385</f>
        <v>0</v>
      </c>
      <c r="CH838" s="269"/>
      <c r="CI838" s="269"/>
      <c r="CJ838" s="269"/>
      <c r="CK838" s="269"/>
      <c r="CL838" s="269"/>
      <c r="CM838" s="269"/>
      <c r="CN838" s="269"/>
      <c r="CO838" s="269"/>
      <c r="CP838" s="269"/>
      <c r="CQ838" s="269"/>
      <c r="CR838" s="269"/>
      <c r="CS838" s="269"/>
      <c r="DH838" s="219"/>
      <c r="DI838" s="219"/>
      <c r="DJ838" s="219"/>
      <c r="DK838" s="219"/>
    </row>
    <row r="839" spans="3:115" ht="12" customHeight="1" x14ac:dyDescent="0.35">
      <c r="C839" s="638">
        <f>C776</f>
        <v>1430</v>
      </c>
      <c r="D839" s="297">
        <f>Input!D$51*D386</f>
        <v>0</v>
      </c>
      <c r="E839" s="229">
        <f>Input!E$51*E386</f>
        <v>0</v>
      </c>
      <c r="F839" s="229">
        <f>Input!F$51*F386</f>
        <v>0</v>
      </c>
      <c r="G839" s="229">
        <f>Input!G$51*G386</f>
        <v>0</v>
      </c>
      <c r="H839" s="229">
        <f>Input!H$51*H386</f>
        <v>0</v>
      </c>
      <c r="I839" s="229">
        <f>Input!I$51*I386</f>
        <v>0</v>
      </c>
      <c r="J839" s="229">
        <f>Input!J$51*J386</f>
        <v>0</v>
      </c>
      <c r="K839" s="229">
        <f>Input!K$51*K386</f>
        <v>0</v>
      </c>
      <c r="L839" s="229">
        <f>Input!L$51*L386</f>
        <v>0</v>
      </c>
      <c r="M839" s="229">
        <f>Input!M$51*M386</f>
        <v>0</v>
      </c>
      <c r="N839" s="229">
        <f>Input!N$51*N386</f>
        <v>0</v>
      </c>
      <c r="O839" s="229">
        <f>Input!O$51*O386</f>
        <v>0</v>
      </c>
      <c r="P839" s="229">
        <f>Input!P$51*P386</f>
        <v>0</v>
      </c>
      <c r="Q839" s="229">
        <f>Input!Q$51*Q386</f>
        <v>0</v>
      </c>
      <c r="R839" s="229">
        <f>Input!R$51*R386</f>
        <v>0</v>
      </c>
      <c r="S839" s="229">
        <f>Input!S$51*S386</f>
        <v>0</v>
      </c>
      <c r="T839" s="229">
        <f>Input!T$51*T386</f>
        <v>0</v>
      </c>
      <c r="U839" s="229">
        <f>Input!U$51*U386</f>
        <v>0</v>
      </c>
      <c r="V839" s="229">
        <f>Input!V$51*V386</f>
        <v>0</v>
      </c>
      <c r="W839" s="229">
        <f>Input!W$51*W386</f>
        <v>0</v>
      </c>
      <c r="X839" s="229">
        <f>Input!X$51*X386</f>
        <v>0</v>
      </c>
      <c r="Y839" s="229">
        <f>Input!Y$51*Y386</f>
        <v>0</v>
      </c>
      <c r="Z839" s="229">
        <f>Input!Z$51*Z386</f>
        <v>0</v>
      </c>
      <c r="AA839" s="229">
        <f>Input!AA$51*AA386</f>
        <v>0</v>
      </c>
      <c r="AB839" s="298">
        <f>Input!AB$51*AB386</f>
        <v>0</v>
      </c>
      <c r="CH839" s="269"/>
      <c r="CI839" s="269"/>
      <c r="CJ839" s="269"/>
      <c r="CK839" s="269"/>
      <c r="CL839" s="269"/>
      <c r="CM839" s="269"/>
      <c r="CN839" s="269"/>
      <c r="CO839" s="269"/>
      <c r="CP839" s="269"/>
      <c r="CQ839" s="269"/>
      <c r="CR839" s="269"/>
      <c r="CS839" s="269"/>
      <c r="DH839" s="219"/>
      <c r="DI839" s="219"/>
      <c r="DJ839" s="219"/>
      <c r="DK839" s="219"/>
    </row>
    <row r="840" spans="3:115" ht="12" customHeight="1" thickBot="1" x14ac:dyDescent="0.4">
      <c r="C840" s="639">
        <f>C777</f>
        <v>1461</v>
      </c>
      <c r="D840" s="301">
        <f>Input!D$51*D387</f>
        <v>0</v>
      </c>
      <c r="E840" s="302">
        <f>Input!E$51*E387</f>
        <v>0</v>
      </c>
      <c r="F840" s="302">
        <f>Input!F$51*F387</f>
        <v>0</v>
      </c>
      <c r="G840" s="302">
        <f>Input!G$51*G387</f>
        <v>0</v>
      </c>
      <c r="H840" s="302">
        <f>Input!H$51*H387</f>
        <v>0</v>
      </c>
      <c r="I840" s="302">
        <f>Input!I$51*I387</f>
        <v>0</v>
      </c>
      <c r="J840" s="302">
        <f>Input!J$51*J387</f>
        <v>0</v>
      </c>
      <c r="K840" s="302">
        <f>Input!K$51*K387</f>
        <v>0</v>
      </c>
      <c r="L840" s="302">
        <f>Input!L$51*L387</f>
        <v>0</v>
      </c>
      <c r="M840" s="302">
        <f>Input!M$51*M387</f>
        <v>0</v>
      </c>
      <c r="N840" s="302">
        <f>Input!N$51*N387</f>
        <v>0</v>
      </c>
      <c r="O840" s="302">
        <f>Input!O$51*O387</f>
        <v>0</v>
      </c>
      <c r="P840" s="302">
        <f>Input!P$51*P387</f>
        <v>0</v>
      </c>
      <c r="Q840" s="302">
        <f>Input!Q$51*Q387</f>
        <v>0</v>
      </c>
      <c r="R840" s="302">
        <f>Input!R$51*R387</f>
        <v>0</v>
      </c>
      <c r="S840" s="302">
        <f>Input!S$51*S387</f>
        <v>0</v>
      </c>
      <c r="T840" s="302">
        <f>Input!T$51*T387</f>
        <v>0</v>
      </c>
      <c r="U840" s="302">
        <f>Input!U$51*U387</f>
        <v>0</v>
      </c>
      <c r="V840" s="302">
        <f>Input!V$51*V387</f>
        <v>0</v>
      </c>
      <c r="W840" s="302">
        <f>Input!W$51*W387</f>
        <v>0</v>
      </c>
      <c r="X840" s="302">
        <f>Input!X$51*X387</f>
        <v>0</v>
      </c>
      <c r="Y840" s="302">
        <f>Input!Y$51*Y387</f>
        <v>0</v>
      </c>
      <c r="Z840" s="302">
        <f>Input!Z$51*Z387</f>
        <v>0</v>
      </c>
      <c r="AA840" s="302">
        <f>Input!AA$51*AA387</f>
        <v>0</v>
      </c>
      <c r="AB840" s="303">
        <f>Input!AB$51*AB387</f>
        <v>0</v>
      </c>
      <c r="CH840" s="269"/>
      <c r="CI840" s="269"/>
      <c r="CJ840" s="269"/>
      <c r="CK840" s="269"/>
      <c r="CL840" s="269"/>
      <c r="CM840" s="269"/>
      <c r="CN840" s="269"/>
      <c r="CO840" s="269"/>
      <c r="CP840" s="269"/>
      <c r="CQ840" s="269"/>
      <c r="CR840" s="269"/>
      <c r="CS840" s="269"/>
      <c r="DH840" s="219"/>
      <c r="DI840" s="219"/>
      <c r="DJ840" s="219"/>
      <c r="DK840" s="219"/>
    </row>
    <row r="841" spans="3:115" ht="12" customHeight="1" x14ac:dyDescent="0.35">
      <c r="C841" s="638">
        <f>C778</f>
        <v>1492</v>
      </c>
      <c r="D841" s="299">
        <f>Input!D$51*D388</f>
        <v>0</v>
      </c>
      <c r="E841" s="231">
        <f>Input!E$51*E388</f>
        <v>0</v>
      </c>
      <c r="F841" s="231">
        <f>Input!F$51*F388</f>
        <v>0</v>
      </c>
      <c r="G841" s="231">
        <f>Input!G$51*G388</f>
        <v>0</v>
      </c>
      <c r="H841" s="231">
        <f>Input!H$51*H388</f>
        <v>0</v>
      </c>
      <c r="I841" s="231">
        <f>Input!I$51*I388</f>
        <v>0</v>
      </c>
      <c r="J841" s="231">
        <f>Input!J$51*J388</f>
        <v>0</v>
      </c>
      <c r="K841" s="231">
        <f>Input!K$51*K388</f>
        <v>0</v>
      </c>
      <c r="L841" s="231">
        <f>Input!L$51*L388</f>
        <v>0</v>
      </c>
      <c r="M841" s="231">
        <f>Input!M$51*M388</f>
        <v>0</v>
      </c>
      <c r="N841" s="231">
        <f>Input!N$51*N388</f>
        <v>0</v>
      </c>
      <c r="O841" s="231">
        <f>Input!O$51*O388</f>
        <v>0</v>
      </c>
      <c r="P841" s="231">
        <f>Input!P$51*P388</f>
        <v>0</v>
      </c>
      <c r="Q841" s="231">
        <f>Input!Q$51*Q388</f>
        <v>0</v>
      </c>
      <c r="R841" s="231">
        <f>Input!R$51*R388</f>
        <v>0</v>
      </c>
      <c r="S841" s="231">
        <f>Input!S$51*S388</f>
        <v>0</v>
      </c>
      <c r="T841" s="231">
        <f>Input!T$51*T388</f>
        <v>0</v>
      </c>
      <c r="U841" s="231">
        <f>Input!U$51*U388</f>
        <v>0</v>
      </c>
      <c r="V841" s="231">
        <f>Input!V$51*V388</f>
        <v>0</v>
      </c>
      <c r="W841" s="231">
        <f>Input!W$51*W388</f>
        <v>0</v>
      </c>
      <c r="X841" s="231">
        <f>Input!X$51*X388</f>
        <v>0</v>
      </c>
      <c r="Y841" s="231">
        <f>Input!Y$51*Y388</f>
        <v>0</v>
      </c>
      <c r="Z841" s="231">
        <f>Input!Z$51*Z388</f>
        <v>0</v>
      </c>
      <c r="AA841" s="231">
        <f>Input!AA$51*AA388</f>
        <v>0</v>
      </c>
      <c r="AB841" s="300">
        <f>Input!AB$51*AB388</f>
        <v>0</v>
      </c>
      <c r="CH841" s="269"/>
      <c r="CI841" s="269"/>
      <c r="CJ841" s="269"/>
      <c r="CK841" s="269"/>
      <c r="CL841" s="269"/>
      <c r="CM841" s="269"/>
      <c r="CN841" s="269"/>
      <c r="CO841" s="269"/>
      <c r="CP841" s="269"/>
      <c r="CQ841" s="269"/>
      <c r="CR841" s="269"/>
      <c r="CS841" s="269"/>
      <c r="DH841" s="219"/>
      <c r="DI841" s="219"/>
      <c r="DJ841" s="219"/>
      <c r="DK841" s="219"/>
    </row>
    <row r="842" spans="3:115" ht="12" customHeight="1" x14ac:dyDescent="0.35">
      <c r="C842" s="638">
        <f>C779</f>
        <v>1521</v>
      </c>
      <c r="D842" s="297">
        <f>Input!D$51*D389</f>
        <v>0</v>
      </c>
      <c r="E842" s="229">
        <f>Input!E$51*E389</f>
        <v>0</v>
      </c>
      <c r="F842" s="229">
        <f>Input!F$51*F389</f>
        <v>0</v>
      </c>
      <c r="G842" s="229">
        <f>Input!G$51*G389</f>
        <v>0</v>
      </c>
      <c r="H842" s="229">
        <f>Input!H$51*H389</f>
        <v>0</v>
      </c>
      <c r="I842" s="229">
        <f>Input!I$51*I389</f>
        <v>0</v>
      </c>
      <c r="J842" s="229">
        <f>Input!J$51*J389</f>
        <v>0</v>
      </c>
      <c r="K842" s="229">
        <f>Input!K$51*K389</f>
        <v>0</v>
      </c>
      <c r="L842" s="229">
        <f>Input!L$51*L389</f>
        <v>0</v>
      </c>
      <c r="M842" s="229">
        <f>Input!M$51*M389</f>
        <v>0</v>
      </c>
      <c r="N842" s="229">
        <f>Input!N$51*N389</f>
        <v>0</v>
      </c>
      <c r="O842" s="229">
        <f>Input!O$51*O389</f>
        <v>0</v>
      </c>
      <c r="P842" s="229">
        <f>Input!P$51*P389</f>
        <v>0</v>
      </c>
      <c r="Q842" s="229">
        <f>Input!Q$51*Q389</f>
        <v>0</v>
      </c>
      <c r="R842" s="229">
        <f>Input!R$51*R389</f>
        <v>0</v>
      </c>
      <c r="S842" s="229">
        <f>Input!S$51*S389</f>
        <v>0</v>
      </c>
      <c r="T842" s="229">
        <f>Input!T$51*T389</f>
        <v>0</v>
      </c>
      <c r="U842" s="229">
        <f>Input!U$51*U389</f>
        <v>0</v>
      </c>
      <c r="V842" s="229">
        <f>Input!V$51*V389</f>
        <v>0</v>
      </c>
      <c r="W842" s="229">
        <f>Input!W$51*W389</f>
        <v>0</v>
      </c>
      <c r="X842" s="229">
        <f>Input!X$51*X389</f>
        <v>0</v>
      </c>
      <c r="Y842" s="229">
        <f>Input!Y$51*Y389</f>
        <v>0</v>
      </c>
      <c r="Z842" s="229">
        <f>Input!Z$51*Z389</f>
        <v>0</v>
      </c>
      <c r="AA842" s="229">
        <f>Input!AA$51*AA389</f>
        <v>0</v>
      </c>
      <c r="AB842" s="298">
        <f>Input!AB$51*AB389</f>
        <v>0</v>
      </c>
      <c r="CH842" s="269"/>
      <c r="CI842" s="269"/>
      <c r="CJ842" s="269"/>
      <c r="CK842" s="269"/>
      <c r="CL842" s="269"/>
      <c r="CM842" s="269"/>
      <c r="CN842" s="269"/>
      <c r="CO842" s="269"/>
      <c r="CP842" s="269"/>
      <c r="CQ842" s="269"/>
      <c r="CR842" s="269"/>
      <c r="CS842" s="269"/>
      <c r="DH842" s="219"/>
      <c r="DI842" s="219"/>
      <c r="DJ842" s="219"/>
      <c r="DK842" s="219"/>
    </row>
    <row r="843" spans="3:115" ht="12" customHeight="1" x14ac:dyDescent="0.35">
      <c r="C843" s="638">
        <f>C780</f>
        <v>1552</v>
      </c>
      <c r="D843" s="297">
        <f>Input!D$51*D390</f>
        <v>0</v>
      </c>
      <c r="E843" s="229">
        <f>Input!E$51*E390</f>
        <v>0</v>
      </c>
      <c r="F843" s="229">
        <f>Input!F$51*F390</f>
        <v>0</v>
      </c>
      <c r="G843" s="229">
        <f>Input!G$51*G390</f>
        <v>0</v>
      </c>
      <c r="H843" s="229">
        <f>Input!H$51*H390</f>
        <v>0</v>
      </c>
      <c r="I843" s="229">
        <f>Input!I$51*I390</f>
        <v>0</v>
      </c>
      <c r="J843" s="229">
        <f>Input!J$51*J390</f>
        <v>0</v>
      </c>
      <c r="K843" s="229">
        <f>Input!K$51*K390</f>
        <v>0</v>
      </c>
      <c r="L843" s="229">
        <f>Input!L$51*L390</f>
        <v>0</v>
      </c>
      <c r="M843" s="229">
        <f>Input!M$51*M390</f>
        <v>0</v>
      </c>
      <c r="N843" s="229">
        <f>Input!N$51*N390</f>
        <v>0</v>
      </c>
      <c r="O843" s="229">
        <f>Input!O$51*O390</f>
        <v>0</v>
      </c>
      <c r="P843" s="229">
        <f>Input!P$51*P390</f>
        <v>0</v>
      </c>
      <c r="Q843" s="229">
        <f>Input!Q$51*Q390</f>
        <v>0</v>
      </c>
      <c r="R843" s="229">
        <f>Input!R$51*R390</f>
        <v>0</v>
      </c>
      <c r="S843" s="229">
        <f>Input!S$51*S390</f>
        <v>0</v>
      </c>
      <c r="T843" s="229">
        <f>Input!T$51*T390</f>
        <v>0</v>
      </c>
      <c r="U843" s="229">
        <f>Input!U$51*U390</f>
        <v>0</v>
      </c>
      <c r="V843" s="229">
        <f>Input!V$51*V390</f>
        <v>0</v>
      </c>
      <c r="W843" s="229">
        <f>Input!W$51*W390</f>
        <v>0</v>
      </c>
      <c r="X843" s="229">
        <f>Input!X$51*X390</f>
        <v>0</v>
      </c>
      <c r="Y843" s="229">
        <f>Input!Y$51*Y390</f>
        <v>0</v>
      </c>
      <c r="Z843" s="229">
        <f>Input!Z$51*Z390</f>
        <v>0</v>
      </c>
      <c r="AA843" s="229">
        <f>Input!AA$51*AA390</f>
        <v>0</v>
      </c>
      <c r="AB843" s="298">
        <f>Input!AB$51*AB390</f>
        <v>0</v>
      </c>
      <c r="CH843" s="269"/>
      <c r="CI843" s="269"/>
      <c r="CJ843" s="269"/>
      <c r="CK843" s="269"/>
      <c r="CL843" s="269"/>
      <c r="CM843" s="269"/>
      <c r="CN843" s="269"/>
      <c r="CO843" s="269"/>
      <c r="CP843" s="269"/>
      <c r="CQ843" s="269"/>
      <c r="CR843" s="269"/>
      <c r="CS843" s="269"/>
      <c r="DH843" s="219"/>
      <c r="DI843" s="219"/>
      <c r="DJ843" s="219"/>
      <c r="DK843" s="219"/>
    </row>
    <row r="844" spans="3:115" ht="12" customHeight="1" x14ac:dyDescent="0.35">
      <c r="C844" s="638">
        <f>C781</f>
        <v>1582</v>
      </c>
      <c r="D844" s="297">
        <f>Input!D$51*D391</f>
        <v>0</v>
      </c>
      <c r="E844" s="229">
        <f>Input!E$51*E391</f>
        <v>0</v>
      </c>
      <c r="F844" s="229">
        <f>Input!F$51*F391</f>
        <v>0</v>
      </c>
      <c r="G844" s="229">
        <f>Input!G$51*G391</f>
        <v>0</v>
      </c>
      <c r="H844" s="229">
        <f>Input!H$51*H391</f>
        <v>0</v>
      </c>
      <c r="I844" s="229">
        <f>Input!I$51*I391</f>
        <v>0</v>
      </c>
      <c r="J844" s="229">
        <f>Input!J$51*J391</f>
        <v>0</v>
      </c>
      <c r="K844" s="229">
        <f>Input!K$51*K391</f>
        <v>0</v>
      </c>
      <c r="L844" s="229">
        <f>Input!L$51*L391</f>
        <v>0</v>
      </c>
      <c r="M844" s="229">
        <f>Input!M$51*M391</f>
        <v>0</v>
      </c>
      <c r="N844" s="229">
        <f>Input!N$51*N391</f>
        <v>0</v>
      </c>
      <c r="O844" s="229">
        <f>Input!O$51*O391</f>
        <v>0</v>
      </c>
      <c r="P844" s="229">
        <f>Input!P$51*P391</f>
        <v>0</v>
      </c>
      <c r="Q844" s="229">
        <f>Input!Q$51*Q391</f>
        <v>0</v>
      </c>
      <c r="R844" s="229">
        <f>Input!R$51*R391</f>
        <v>0</v>
      </c>
      <c r="S844" s="229">
        <f>Input!S$51*S391</f>
        <v>0</v>
      </c>
      <c r="T844" s="229">
        <f>Input!T$51*T391</f>
        <v>0</v>
      </c>
      <c r="U844" s="229">
        <f>Input!U$51*U391</f>
        <v>0</v>
      </c>
      <c r="V844" s="229">
        <f>Input!V$51*V391</f>
        <v>0</v>
      </c>
      <c r="W844" s="229">
        <f>Input!W$51*W391</f>
        <v>0</v>
      </c>
      <c r="X844" s="229">
        <f>Input!X$51*X391</f>
        <v>0</v>
      </c>
      <c r="Y844" s="229">
        <f>Input!Y$51*Y391</f>
        <v>0</v>
      </c>
      <c r="Z844" s="229">
        <f>Input!Z$51*Z391</f>
        <v>0</v>
      </c>
      <c r="AA844" s="229">
        <f>Input!AA$51*AA391</f>
        <v>0</v>
      </c>
      <c r="AB844" s="298">
        <f>Input!AB$51*AB391</f>
        <v>0</v>
      </c>
      <c r="CH844" s="269"/>
      <c r="CI844" s="269"/>
      <c r="CJ844" s="269"/>
      <c r="CK844" s="269"/>
      <c r="CL844" s="269"/>
      <c r="CM844" s="269"/>
      <c r="CN844" s="269"/>
      <c r="CO844" s="269"/>
      <c r="CP844" s="269"/>
      <c r="CQ844" s="269"/>
      <c r="CR844" s="269"/>
      <c r="CS844" s="269"/>
      <c r="DH844" s="219"/>
      <c r="DI844" s="219"/>
      <c r="DJ844" s="219"/>
      <c r="DK844" s="219"/>
    </row>
    <row r="845" spans="3:115" ht="12" customHeight="1" x14ac:dyDescent="0.35">
      <c r="C845" s="638">
        <f>C782</f>
        <v>1613</v>
      </c>
      <c r="D845" s="297">
        <f>Input!D$51*D392</f>
        <v>0</v>
      </c>
      <c r="E845" s="229">
        <f>Input!E$51*E392</f>
        <v>0</v>
      </c>
      <c r="F845" s="229">
        <f>Input!F$51*F392</f>
        <v>0</v>
      </c>
      <c r="G845" s="229">
        <f>Input!G$51*G392</f>
        <v>0</v>
      </c>
      <c r="H845" s="229">
        <f>Input!H$51*H392</f>
        <v>0</v>
      </c>
      <c r="I845" s="229">
        <f>Input!I$51*I392</f>
        <v>0</v>
      </c>
      <c r="J845" s="229">
        <f>Input!J$51*J392</f>
        <v>0</v>
      </c>
      <c r="K845" s="229">
        <f>Input!K$51*K392</f>
        <v>0</v>
      </c>
      <c r="L845" s="229">
        <f>Input!L$51*L392</f>
        <v>0</v>
      </c>
      <c r="M845" s="229">
        <f>Input!M$51*M392</f>
        <v>0</v>
      </c>
      <c r="N845" s="229">
        <f>Input!N$51*N392</f>
        <v>0</v>
      </c>
      <c r="O845" s="229">
        <f>Input!O$51*O392</f>
        <v>0</v>
      </c>
      <c r="P845" s="229">
        <f>Input!P$51*P392</f>
        <v>0</v>
      </c>
      <c r="Q845" s="229">
        <f>Input!Q$51*Q392</f>
        <v>0</v>
      </c>
      <c r="R845" s="229">
        <f>Input!R$51*R392</f>
        <v>0</v>
      </c>
      <c r="S845" s="229">
        <f>Input!S$51*S392</f>
        <v>0</v>
      </c>
      <c r="T845" s="229">
        <f>Input!T$51*T392</f>
        <v>0</v>
      </c>
      <c r="U845" s="229">
        <f>Input!U$51*U392</f>
        <v>0</v>
      </c>
      <c r="V845" s="229">
        <f>Input!V$51*V392</f>
        <v>0</v>
      </c>
      <c r="W845" s="229">
        <f>Input!W$51*W392</f>
        <v>0</v>
      </c>
      <c r="X845" s="229">
        <f>Input!X$51*X392</f>
        <v>0</v>
      </c>
      <c r="Y845" s="229">
        <f>Input!Y$51*Y392</f>
        <v>0</v>
      </c>
      <c r="Z845" s="229">
        <f>Input!Z$51*Z392</f>
        <v>0</v>
      </c>
      <c r="AA845" s="229">
        <f>Input!AA$51*AA392</f>
        <v>0</v>
      </c>
      <c r="AB845" s="298">
        <f>Input!AB$51*AB392</f>
        <v>0</v>
      </c>
      <c r="CH845" s="269"/>
      <c r="CI845" s="269"/>
      <c r="CJ845" s="269"/>
      <c r="CK845" s="269"/>
      <c r="CL845" s="269"/>
      <c r="CM845" s="269"/>
      <c r="CN845" s="269"/>
      <c r="CO845" s="269"/>
      <c r="CP845" s="269"/>
      <c r="CQ845" s="269"/>
      <c r="CR845" s="269"/>
      <c r="CS845" s="269"/>
      <c r="DH845" s="219"/>
      <c r="DI845" s="219"/>
      <c r="DJ845" s="219"/>
      <c r="DK845" s="219"/>
    </row>
    <row r="846" spans="3:115" ht="12" customHeight="1" x14ac:dyDescent="0.35">
      <c r="C846" s="638">
        <f>C783</f>
        <v>1643</v>
      </c>
      <c r="D846" s="297">
        <f>Input!D$51*D393</f>
        <v>0</v>
      </c>
      <c r="E846" s="229">
        <f>Input!E$51*E393</f>
        <v>0</v>
      </c>
      <c r="F846" s="229">
        <f>Input!F$51*F393</f>
        <v>0</v>
      </c>
      <c r="G846" s="229">
        <f>Input!G$51*G393</f>
        <v>0</v>
      </c>
      <c r="H846" s="229">
        <f>Input!H$51*H393</f>
        <v>0</v>
      </c>
      <c r="I846" s="229">
        <f>Input!I$51*I393</f>
        <v>0</v>
      </c>
      <c r="J846" s="229">
        <f>Input!J$51*J393</f>
        <v>0</v>
      </c>
      <c r="K846" s="229">
        <f>Input!K$51*K393</f>
        <v>0</v>
      </c>
      <c r="L846" s="229">
        <f>Input!L$51*L393</f>
        <v>0</v>
      </c>
      <c r="M846" s="229">
        <f>Input!M$51*M393</f>
        <v>0</v>
      </c>
      <c r="N846" s="229">
        <f>Input!N$51*N393</f>
        <v>0</v>
      </c>
      <c r="O846" s="229">
        <f>Input!O$51*O393</f>
        <v>0</v>
      </c>
      <c r="P846" s="229">
        <f>Input!P$51*P393</f>
        <v>0</v>
      </c>
      <c r="Q846" s="229">
        <f>Input!Q$51*Q393</f>
        <v>0</v>
      </c>
      <c r="R846" s="229">
        <f>Input!R$51*R393</f>
        <v>0</v>
      </c>
      <c r="S846" s="229">
        <f>Input!S$51*S393</f>
        <v>0</v>
      </c>
      <c r="T846" s="229">
        <f>Input!T$51*T393</f>
        <v>0</v>
      </c>
      <c r="U846" s="229">
        <f>Input!U$51*U393</f>
        <v>0</v>
      </c>
      <c r="V846" s="229">
        <f>Input!V$51*V393</f>
        <v>0</v>
      </c>
      <c r="W846" s="229">
        <f>Input!W$51*W393</f>
        <v>0</v>
      </c>
      <c r="X846" s="229">
        <f>Input!X$51*X393</f>
        <v>0</v>
      </c>
      <c r="Y846" s="229">
        <f>Input!Y$51*Y393</f>
        <v>0</v>
      </c>
      <c r="Z846" s="229">
        <f>Input!Z$51*Z393</f>
        <v>0</v>
      </c>
      <c r="AA846" s="229">
        <f>Input!AA$51*AA393</f>
        <v>0</v>
      </c>
      <c r="AB846" s="298">
        <f>Input!AB$51*AB393</f>
        <v>0</v>
      </c>
      <c r="CH846" s="269"/>
      <c r="CI846" s="269"/>
      <c r="CJ846" s="269"/>
      <c r="CK846" s="269"/>
      <c r="CL846" s="269"/>
      <c r="CM846" s="269"/>
      <c r="CN846" s="269"/>
      <c r="CO846" s="269"/>
      <c r="CP846" s="269"/>
      <c r="CQ846" s="269"/>
      <c r="CR846" s="269"/>
      <c r="CS846" s="269"/>
      <c r="DH846" s="219"/>
      <c r="DI846" s="219"/>
      <c r="DJ846" s="219"/>
      <c r="DK846" s="219"/>
    </row>
    <row r="847" spans="3:115" ht="12" customHeight="1" x14ac:dyDescent="0.35">
      <c r="C847" s="638">
        <f>C784</f>
        <v>1674</v>
      </c>
      <c r="D847" s="297">
        <f>Input!D$51*D394</f>
        <v>0</v>
      </c>
      <c r="E847" s="229">
        <f>Input!E$51*E394</f>
        <v>0</v>
      </c>
      <c r="F847" s="229">
        <f>Input!F$51*F394</f>
        <v>0</v>
      </c>
      <c r="G847" s="229">
        <f>Input!G$51*G394</f>
        <v>0</v>
      </c>
      <c r="H847" s="229">
        <f>Input!H$51*H394</f>
        <v>0</v>
      </c>
      <c r="I847" s="229">
        <f>Input!I$51*I394</f>
        <v>0</v>
      </c>
      <c r="J847" s="229">
        <f>Input!J$51*J394</f>
        <v>0</v>
      </c>
      <c r="K847" s="229">
        <f>Input!K$51*K394</f>
        <v>0</v>
      </c>
      <c r="L847" s="229">
        <f>Input!L$51*L394</f>
        <v>0</v>
      </c>
      <c r="M847" s="229">
        <f>Input!M$51*M394</f>
        <v>0</v>
      </c>
      <c r="N847" s="229">
        <f>Input!N$51*N394</f>
        <v>0</v>
      </c>
      <c r="O847" s="229">
        <f>Input!O$51*O394</f>
        <v>0</v>
      </c>
      <c r="P847" s="229">
        <f>Input!P$51*P394</f>
        <v>0</v>
      </c>
      <c r="Q847" s="229">
        <f>Input!Q$51*Q394</f>
        <v>0</v>
      </c>
      <c r="R847" s="229">
        <f>Input!R$51*R394</f>
        <v>0</v>
      </c>
      <c r="S847" s="229">
        <f>Input!S$51*S394</f>
        <v>0</v>
      </c>
      <c r="T847" s="229">
        <f>Input!T$51*T394</f>
        <v>0</v>
      </c>
      <c r="U847" s="229">
        <f>Input!U$51*U394</f>
        <v>0</v>
      </c>
      <c r="V847" s="229">
        <f>Input!V$51*V394</f>
        <v>0</v>
      </c>
      <c r="W847" s="229">
        <f>Input!W$51*W394</f>
        <v>0</v>
      </c>
      <c r="X847" s="229">
        <f>Input!X$51*X394</f>
        <v>0</v>
      </c>
      <c r="Y847" s="229">
        <f>Input!Y$51*Y394</f>
        <v>0</v>
      </c>
      <c r="Z847" s="229">
        <f>Input!Z$51*Z394</f>
        <v>0</v>
      </c>
      <c r="AA847" s="229">
        <f>Input!AA$51*AA394</f>
        <v>0</v>
      </c>
      <c r="AB847" s="298">
        <f>Input!AB$51*AB394</f>
        <v>0</v>
      </c>
      <c r="CH847" s="269"/>
      <c r="CI847" s="269"/>
      <c r="CJ847" s="269"/>
      <c r="CK847" s="269"/>
      <c r="CL847" s="269"/>
      <c r="CM847" s="269"/>
      <c r="CN847" s="269"/>
      <c r="CO847" s="269"/>
      <c r="CP847" s="269"/>
      <c r="CQ847" s="269"/>
      <c r="CR847" s="269"/>
      <c r="CS847" s="269"/>
      <c r="DH847" s="219"/>
      <c r="DI847" s="219"/>
      <c r="DJ847" s="219"/>
      <c r="DK847" s="219"/>
    </row>
    <row r="848" spans="3:115" ht="12" customHeight="1" x14ac:dyDescent="0.35">
      <c r="C848" s="638">
        <f>C785</f>
        <v>1705</v>
      </c>
      <c r="D848" s="297">
        <f>Input!D$51*D395</f>
        <v>0</v>
      </c>
      <c r="E848" s="229">
        <f>Input!E$51*E395</f>
        <v>0</v>
      </c>
      <c r="F848" s="229">
        <f>Input!F$51*F395</f>
        <v>0</v>
      </c>
      <c r="G848" s="229">
        <f>Input!G$51*G395</f>
        <v>0</v>
      </c>
      <c r="H848" s="229">
        <f>Input!H$51*H395</f>
        <v>0</v>
      </c>
      <c r="I848" s="229">
        <f>Input!I$51*I395</f>
        <v>0</v>
      </c>
      <c r="J848" s="229">
        <f>Input!J$51*J395</f>
        <v>0</v>
      </c>
      <c r="K848" s="229">
        <f>Input!K$51*K395</f>
        <v>0</v>
      </c>
      <c r="L848" s="229">
        <f>Input!L$51*L395</f>
        <v>0</v>
      </c>
      <c r="M848" s="229">
        <f>Input!M$51*M395</f>
        <v>0</v>
      </c>
      <c r="N848" s="229">
        <f>Input!N$51*N395</f>
        <v>0</v>
      </c>
      <c r="O848" s="229">
        <f>Input!O$51*O395</f>
        <v>0</v>
      </c>
      <c r="P848" s="229">
        <f>Input!P$51*P395</f>
        <v>0</v>
      </c>
      <c r="Q848" s="229">
        <f>Input!Q$51*Q395</f>
        <v>0</v>
      </c>
      <c r="R848" s="229">
        <f>Input!R$51*R395</f>
        <v>0</v>
      </c>
      <c r="S848" s="229">
        <f>Input!S$51*S395</f>
        <v>0</v>
      </c>
      <c r="T848" s="229">
        <f>Input!T$51*T395</f>
        <v>0</v>
      </c>
      <c r="U848" s="229">
        <f>Input!U$51*U395</f>
        <v>0</v>
      </c>
      <c r="V848" s="229">
        <f>Input!V$51*V395</f>
        <v>0</v>
      </c>
      <c r="W848" s="229">
        <f>Input!W$51*W395</f>
        <v>0</v>
      </c>
      <c r="X848" s="229">
        <f>Input!X$51*X395</f>
        <v>0</v>
      </c>
      <c r="Y848" s="229">
        <f>Input!Y$51*Y395</f>
        <v>0</v>
      </c>
      <c r="Z848" s="229">
        <f>Input!Z$51*Z395</f>
        <v>0</v>
      </c>
      <c r="AA848" s="229">
        <f>Input!AA$51*AA395</f>
        <v>0</v>
      </c>
      <c r="AB848" s="298">
        <f>Input!AB$51*AB395</f>
        <v>0</v>
      </c>
      <c r="CH848" s="269"/>
      <c r="CI848" s="269"/>
      <c r="CJ848" s="269"/>
      <c r="CK848" s="269"/>
      <c r="CL848" s="269"/>
      <c r="CM848" s="269"/>
      <c r="CN848" s="269"/>
      <c r="CO848" s="269"/>
      <c r="CP848" s="269"/>
      <c r="CQ848" s="269"/>
      <c r="CR848" s="269"/>
      <c r="CS848" s="269"/>
      <c r="DH848" s="219"/>
      <c r="DI848" s="219"/>
      <c r="DJ848" s="219"/>
      <c r="DK848" s="219"/>
    </row>
    <row r="849" spans="2:115" ht="12" customHeight="1" x14ac:dyDescent="0.35">
      <c r="C849" s="638">
        <f>C786</f>
        <v>1735</v>
      </c>
      <c r="D849" s="297">
        <f>Input!D$51*D396</f>
        <v>0</v>
      </c>
      <c r="E849" s="229">
        <f>Input!E$51*E396</f>
        <v>0</v>
      </c>
      <c r="F849" s="229">
        <f>Input!F$51*F396</f>
        <v>0</v>
      </c>
      <c r="G849" s="229">
        <f>Input!G$51*G396</f>
        <v>0</v>
      </c>
      <c r="H849" s="229">
        <f>Input!H$51*H396</f>
        <v>0</v>
      </c>
      <c r="I849" s="229">
        <f>Input!I$51*I396</f>
        <v>0</v>
      </c>
      <c r="J849" s="229">
        <f>Input!J$51*J396</f>
        <v>0</v>
      </c>
      <c r="K849" s="229">
        <f>Input!K$51*K396</f>
        <v>0</v>
      </c>
      <c r="L849" s="229">
        <f>Input!L$51*L396</f>
        <v>0</v>
      </c>
      <c r="M849" s="229">
        <f>Input!M$51*M396</f>
        <v>0</v>
      </c>
      <c r="N849" s="229">
        <f>Input!N$51*N396</f>
        <v>0</v>
      </c>
      <c r="O849" s="229">
        <f>Input!O$51*O396</f>
        <v>0</v>
      </c>
      <c r="P849" s="229">
        <f>Input!P$51*P396</f>
        <v>0</v>
      </c>
      <c r="Q849" s="229">
        <f>Input!Q$51*Q396</f>
        <v>0</v>
      </c>
      <c r="R849" s="229">
        <f>Input!R$51*R396</f>
        <v>0</v>
      </c>
      <c r="S849" s="229">
        <f>Input!S$51*S396</f>
        <v>0</v>
      </c>
      <c r="T849" s="229">
        <f>Input!T$51*T396</f>
        <v>0</v>
      </c>
      <c r="U849" s="229">
        <f>Input!U$51*U396</f>
        <v>0</v>
      </c>
      <c r="V849" s="229">
        <f>Input!V$51*V396</f>
        <v>0</v>
      </c>
      <c r="W849" s="229">
        <f>Input!W$51*W396</f>
        <v>0</v>
      </c>
      <c r="X849" s="229">
        <f>Input!X$51*X396</f>
        <v>0</v>
      </c>
      <c r="Y849" s="229">
        <f>Input!Y$51*Y396</f>
        <v>0</v>
      </c>
      <c r="Z849" s="229">
        <f>Input!Z$51*Z396</f>
        <v>0</v>
      </c>
      <c r="AA849" s="229">
        <f>Input!AA$51*AA396</f>
        <v>0</v>
      </c>
      <c r="AB849" s="298">
        <f>Input!AB$51*AB396</f>
        <v>0</v>
      </c>
      <c r="CH849" s="269"/>
      <c r="CI849" s="269"/>
      <c r="CJ849" s="269"/>
      <c r="CK849" s="269"/>
      <c r="CL849" s="269"/>
      <c r="CM849" s="269"/>
      <c r="CN849" s="269"/>
      <c r="CO849" s="269"/>
      <c r="CP849" s="269"/>
      <c r="CQ849" s="269"/>
      <c r="CR849" s="269"/>
      <c r="CS849" s="269"/>
      <c r="DH849" s="219"/>
      <c r="DI849" s="219"/>
      <c r="DJ849" s="219"/>
      <c r="DK849" s="219"/>
    </row>
    <row r="850" spans="2:115" ht="12" customHeight="1" x14ac:dyDescent="0.35">
      <c r="C850" s="638">
        <f>C787</f>
        <v>1766</v>
      </c>
      <c r="D850" s="297">
        <f>Input!D$51*D397</f>
        <v>0</v>
      </c>
      <c r="E850" s="229">
        <f>Input!E$51*E397</f>
        <v>0</v>
      </c>
      <c r="F850" s="229">
        <f>Input!F$51*F397</f>
        <v>0</v>
      </c>
      <c r="G850" s="229">
        <f>Input!G$51*G397</f>
        <v>0</v>
      </c>
      <c r="H850" s="229">
        <f>Input!H$51*H397</f>
        <v>0</v>
      </c>
      <c r="I850" s="229">
        <f>Input!I$51*I397</f>
        <v>0</v>
      </c>
      <c r="J850" s="229">
        <f>Input!J$51*J397</f>
        <v>0</v>
      </c>
      <c r="K850" s="229">
        <f>Input!K$51*K397</f>
        <v>0</v>
      </c>
      <c r="L850" s="229">
        <f>Input!L$51*L397</f>
        <v>0</v>
      </c>
      <c r="M850" s="229">
        <f>Input!M$51*M397</f>
        <v>0</v>
      </c>
      <c r="N850" s="229">
        <f>Input!N$51*N397</f>
        <v>0</v>
      </c>
      <c r="O850" s="229">
        <f>Input!O$51*O397</f>
        <v>0</v>
      </c>
      <c r="P850" s="229">
        <f>Input!P$51*P397</f>
        <v>0</v>
      </c>
      <c r="Q850" s="229">
        <f>Input!Q$51*Q397</f>
        <v>0</v>
      </c>
      <c r="R850" s="229">
        <f>Input!R$51*R397</f>
        <v>0</v>
      </c>
      <c r="S850" s="229">
        <f>Input!S$51*S397</f>
        <v>0</v>
      </c>
      <c r="T850" s="229">
        <f>Input!T$51*T397</f>
        <v>0</v>
      </c>
      <c r="U850" s="229">
        <f>Input!U$51*U397</f>
        <v>0</v>
      </c>
      <c r="V850" s="229">
        <f>Input!V$51*V397</f>
        <v>0</v>
      </c>
      <c r="W850" s="229">
        <f>Input!W$51*W397</f>
        <v>0</v>
      </c>
      <c r="X850" s="229">
        <f>Input!X$51*X397</f>
        <v>0</v>
      </c>
      <c r="Y850" s="229">
        <f>Input!Y$51*Y397</f>
        <v>0</v>
      </c>
      <c r="Z850" s="229">
        <f>Input!Z$51*Z397</f>
        <v>0</v>
      </c>
      <c r="AA850" s="229">
        <f>Input!AA$51*AA397</f>
        <v>0</v>
      </c>
      <c r="AB850" s="298">
        <f>Input!AB$51*AB397</f>
        <v>0</v>
      </c>
      <c r="CH850" s="269"/>
      <c r="CI850" s="269"/>
      <c r="CJ850" s="269"/>
      <c r="CK850" s="269"/>
      <c r="CL850" s="269"/>
      <c r="CM850" s="269"/>
      <c r="CN850" s="269"/>
      <c r="CO850" s="269"/>
      <c r="CP850" s="269"/>
      <c r="CQ850" s="269"/>
      <c r="CR850" s="269"/>
      <c r="CS850" s="269"/>
      <c r="DH850" s="219"/>
      <c r="DI850" s="219"/>
      <c r="DJ850" s="219"/>
      <c r="DK850" s="219"/>
    </row>
    <row r="851" spans="2:115" ht="12" customHeight="1" x14ac:dyDescent="0.35">
      <c r="C851" s="638">
        <f>C788</f>
        <v>1796</v>
      </c>
      <c r="D851" s="297">
        <f>Input!D$51*D398</f>
        <v>0</v>
      </c>
      <c r="E851" s="229">
        <f>Input!E$51*E398</f>
        <v>0</v>
      </c>
      <c r="F851" s="229">
        <f>Input!F$51*F398</f>
        <v>0</v>
      </c>
      <c r="G851" s="229">
        <f>Input!G$51*G398</f>
        <v>0</v>
      </c>
      <c r="H851" s="229">
        <f>Input!H$51*H398</f>
        <v>0</v>
      </c>
      <c r="I851" s="229">
        <f>Input!I$51*I398</f>
        <v>0</v>
      </c>
      <c r="J851" s="229">
        <f>Input!J$51*J398</f>
        <v>0</v>
      </c>
      <c r="K851" s="229">
        <f>Input!K$51*K398</f>
        <v>0</v>
      </c>
      <c r="L851" s="229">
        <f>Input!L$51*L398</f>
        <v>0</v>
      </c>
      <c r="M851" s="229">
        <f>Input!M$51*M398</f>
        <v>0</v>
      </c>
      <c r="N851" s="229">
        <f>Input!N$51*N398</f>
        <v>0</v>
      </c>
      <c r="O851" s="229">
        <f>Input!O$51*O398</f>
        <v>0</v>
      </c>
      <c r="P851" s="229">
        <f>Input!P$51*P398</f>
        <v>0</v>
      </c>
      <c r="Q851" s="229">
        <f>Input!Q$51*Q398</f>
        <v>0</v>
      </c>
      <c r="R851" s="229">
        <f>Input!R$51*R398</f>
        <v>0</v>
      </c>
      <c r="S851" s="229">
        <f>Input!S$51*S398</f>
        <v>0</v>
      </c>
      <c r="T851" s="229">
        <f>Input!T$51*T398</f>
        <v>0</v>
      </c>
      <c r="U851" s="229">
        <f>Input!U$51*U398</f>
        <v>0</v>
      </c>
      <c r="V851" s="229">
        <f>Input!V$51*V398</f>
        <v>0</v>
      </c>
      <c r="W851" s="229">
        <f>Input!W$51*W398</f>
        <v>0</v>
      </c>
      <c r="X851" s="229">
        <f>Input!X$51*X398</f>
        <v>0</v>
      </c>
      <c r="Y851" s="229">
        <f>Input!Y$51*Y398</f>
        <v>0</v>
      </c>
      <c r="Z851" s="229">
        <f>Input!Z$51*Z398</f>
        <v>0</v>
      </c>
      <c r="AA851" s="229">
        <f>Input!AA$51*AA398</f>
        <v>0</v>
      </c>
      <c r="AB851" s="298">
        <f>Input!AB$51*AB398</f>
        <v>0</v>
      </c>
      <c r="CH851" s="269"/>
      <c r="CI851" s="269"/>
      <c r="CJ851" s="269"/>
      <c r="CK851" s="269"/>
      <c r="CL851" s="269"/>
      <c r="CM851" s="269"/>
      <c r="CN851" s="269"/>
      <c r="CO851" s="269"/>
      <c r="CP851" s="269"/>
      <c r="CQ851" s="269"/>
      <c r="CR851" s="269"/>
      <c r="CS851" s="269"/>
      <c r="DH851" s="219"/>
      <c r="DI851" s="219"/>
      <c r="DJ851" s="219"/>
      <c r="DK851" s="219"/>
    </row>
    <row r="852" spans="2:115" ht="12" customHeight="1" thickBot="1" x14ac:dyDescent="0.4">
      <c r="C852" s="638">
        <f>C789</f>
        <v>1827</v>
      </c>
      <c r="D852" s="301">
        <f>Input!D$51*D399</f>
        <v>0</v>
      </c>
      <c r="E852" s="302">
        <f>Input!E$51*E399</f>
        <v>0</v>
      </c>
      <c r="F852" s="302">
        <f>Input!F$51*F399</f>
        <v>0</v>
      </c>
      <c r="G852" s="302">
        <f>Input!G$51*G399</f>
        <v>0</v>
      </c>
      <c r="H852" s="302">
        <f>Input!H$51*H399</f>
        <v>0</v>
      </c>
      <c r="I852" s="302">
        <f>Input!I$51*I399</f>
        <v>0</v>
      </c>
      <c r="J852" s="302">
        <f>Input!J$51*J399</f>
        <v>0</v>
      </c>
      <c r="K852" s="302">
        <f>Input!K$51*K399</f>
        <v>0</v>
      </c>
      <c r="L852" s="302">
        <f>Input!L$51*L399</f>
        <v>0</v>
      </c>
      <c r="M852" s="302">
        <f>Input!M$51*M399</f>
        <v>0</v>
      </c>
      <c r="N852" s="302">
        <f>Input!N$51*N399</f>
        <v>0</v>
      </c>
      <c r="O852" s="302">
        <f>Input!O$51*O399</f>
        <v>0</v>
      </c>
      <c r="P852" s="302">
        <f>Input!P$51*P399</f>
        <v>0</v>
      </c>
      <c r="Q852" s="302">
        <f>Input!Q$51*Q399</f>
        <v>0</v>
      </c>
      <c r="R852" s="302">
        <f>Input!R$51*R399</f>
        <v>0</v>
      </c>
      <c r="S852" s="302">
        <f>Input!S$51*S399</f>
        <v>0</v>
      </c>
      <c r="T852" s="302">
        <f>Input!T$51*T399</f>
        <v>0</v>
      </c>
      <c r="U852" s="302">
        <f>Input!U$51*U399</f>
        <v>0</v>
      </c>
      <c r="V852" s="302">
        <f>Input!V$51*V399</f>
        <v>0</v>
      </c>
      <c r="W852" s="302">
        <f>Input!W$51*W399</f>
        <v>0</v>
      </c>
      <c r="X852" s="302">
        <f>Input!X$51*X399</f>
        <v>0</v>
      </c>
      <c r="Y852" s="302">
        <f>Input!Y$51*Y399</f>
        <v>0</v>
      </c>
      <c r="Z852" s="302">
        <f>Input!Z$51*Z399</f>
        <v>0</v>
      </c>
      <c r="AA852" s="302">
        <f>Input!AA$51*AA399</f>
        <v>0</v>
      </c>
      <c r="AB852" s="303">
        <f>Input!AB$51*AB399</f>
        <v>0</v>
      </c>
      <c r="CH852" s="269"/>
      <c r="CI852" s="269"/>
      <c r="CJ852" s="269"/>
      <c r="CK852" s="269"/>
      <c r="CL852" s="269"/>
      <c r="CM852" s="269"/>
      <c r="CN852" s="269"/>
      <c r="CO852" s="269"/>
      <c r="CP852" s="269"/>
      <c r="CQ852" s="269"/>
      <c r="CR852" s="269"/>
      <c r="CS852" s="269"/>
      <c r="DH852" s="219"/>
      <c r="DI852" s="219"/>
      <c r="DJ852" s="219"/>
      <c r="DK852" s="219"/>
    </row>
    <row r="853" spans="2:115" ht="12" customHeight="1" x14ac:dyDescent="0.35">
      <c r="C853" s="1347" t="s">
        <v>131</v>
      </c>
      <c r="D853" s="481">
        <f>SUM(D793:D852)</f>
        <v>0</v>
      </c>
      <c r="E853" s="481">
        <f>SUM(E793:E852)</f>
        <v>0</v>
      </c>
      <c r="F853" s="481">
        <f>SUM(F793:F852)</f>
        <v>0</v>
      </c>
      <c r="G853" s="481">
        <f>SUM(G793:G852)</f>
        <v>0</v>
      </c>
      <c r="H853" s="481">
        <f>SUM(H793:H852)</f>
        <v>0</v>
      </c>
      <c r="I853" s="481">
        <f>SUM(I793:I852)</f>
        <v>0</v>
      </c>
      <c r="J853" s="481">
        <f>SUM(J793:J852)</f>
        <v>0</v>
      </c>
      <c r="K853" s="481">
        <f>SUM(K793:K852)</f>
        <v>0</v>
      </c>
      <c r="L853" s="481">
        <f>SUM(L793:L852)</f>
        <v>0</v>
      </c>
      <c r="M853" s="481">
        <f>SUM(M793:M852)</f>
        <v>0</v>
      </c>
      <c r="N853" s="481">
        <f>SUM(N793:N852)</f>
        <v>0</v>
      </c>
      <c r="O853" s="481">
        <f>SUM(O793:O852)</f>
        <v>0</v>
      </c>
      <c r="P853" s="481">
        <f>SUM(P793:P852)</f>
        <v>0</v>
      </c>
      <c r="Q853" s="481">
        <f>SUM(Q793:Q852)</f>
        <v>0</v>
      </c>
      <c r="R853" s="481">
        <f>SUM(R793:R852)</f>
        <v>0</v>
      </c>
      <c r="S853" s="481">
        <f>SUM(S793:S852)</f>
        <v>0</v>
      </c>
      <c r="T853" s="481">
        <f>SUM(T793:T852)</f>
        <v>0</v>
      </c>
      <c r="U853" s="481">
        <f>SUM(U793:U852)</f>
        <v>0</v>
      </c>
      <c r="V853" s="481">
        <f>SUM(V793:V852)</f>
        <v>0</v>
      </c>
      <c r="W853" s="481">
        <f>SUM(W793:W852)</f>
        <v>0</v>
      </c>
      <c r="X853" s="481">
        <f>SUM(X793:X852)</f>
        <v>0</v>
      </c>
      <c r="Y853" s="481">
        <f>SUM(Y793:Y852)</f>
        <v>0</v>
      </c>
      <c r="Z853" s="481">
        <f>SUM(Z793:Z852)</f>
        <v>0</v>
      </c>
      <c r="AA853" s="481">
        <f>SUM(AA793:AA852)</f>
        <v>0</v>
      </c>
      <c r="AB853" s="481">
        <f>SUM(AB793:AB852)</f>
        <v>0</v>
      </c>
      <c r="CH853" s="269"/>
      <c r="CI853" s="269"/>
      <c r="CJ853" s="269"/>
      <c r="CK853" s="269"/>
      <c r="CL853" s="269"/>
      <c r="CM853" s="269"/>
      <c r="CN853" s="269"/>
      <c r="CO853" s="269"/>
      <c r="CP853" s="269"/>
      <c r="CQ853" s="269"/>
      <c r="CR853" s="269"/>
      <c r="CS853" s="269"/>
      <c r="DH853" s="219"/>
      <c r="DI853" s="219"/>
      <c r="DJ853" s="219"/>
      <c r="DK853" s="219"/>
    </row>
    <row r="854" spans="2:115" ht="12" customHeight="1" x14ac:dyDescent="0.35">
      <c r="B854" s="1830" t="s">
        <v>201</v>
      </c>
      <c r="C854" s="1830"/>
      <c r="D854" s="221"/>
      <c r="E854" s="221"/>
      <c r="F854" s="221"/>
      <c r="G854" s="221"/>
      <c r="H854" s="221"/>
      <c r="I854" s="221"/>
      <c r="J854" s="221"/>
      <c r="K854" s="221"/>
      <c r="L854" s="221"/>
      <c r="M854" s="221"/>
      <c r="N854" s="221"/>
      <c r="O854" s="221"/>
      <c r="P854" s="221"/>
      <c r="Q854" s="221"/>
      <c r="R854" s="221"/>
      <c r="S854" s="221"/>
      <c r="T854" s="221"/>
      <c r="U854" s="221"/>
      <c r="V854" s="221"/>
      <c r="W854" s="221"/>
      <c r="X854" s="221"/>
      <c r="Y854" s="221"/>
      <c r="Z854" s="221"/>
      <c r="AA854" s="221"/>
      <c r="AB854" s="221"/>
      <c r="CH854" s="269"/>
      <c r="CI854" s="269"/>
      <c r="CJ854" s="269"/>
      <c r="CK854" s="269"/>
      <c r="CL854" s="269"/>
      <c r="CM854" s="269"/>
      <c r="CN854" s="269"/>
      <c r="CO854" s="269"/>
      <c r="CP854" s="269"/>
      <c r="CQ854" s="269"/>
      <c r="CR854" s="269"/>
      <c r="CS854" s="269"/>
      <c r="DH854" s="219"/>
      <c r="DI854" s="219"/>
      <c r="DJ854" s="219"/>
      <c r="DK854" s="219"/>
    </row>
    <row r="855" spans="2:115" s="5" customFormat="1" ht="12" customHeight="1" thickBot="1" x14ac:dyDescent="0.35">
      <c r="B855" s="1830"/>
      <c r="C855" s="1830"/>
      <c r="D855" s="820" t="str">
        <f>D339</f>
        <v>Item 1</v>
      </c>
      <c r="E855" s="820" t="str">
        <f>E339</f>
        <v>Item 2</v>
      </c>
      <c r="F855" s="820" t="str">
        <f>F339</f>
        <v>Item 3</v>
      </c>
      <c r="G855" s="820" t="str">
        <f>G339</f>
        <v>Item 4</v>
      </c>
      <c r="H855" s="820" t="str">
        <f>H339</f>
        <v>Item 5</v>
      </c>
      <c r="I855" s="820" t="str">
        <f>I339</f>
        <v>Item 6</v>
      </c>
      <c r="J855" s="820" t="str">
        <f>J339</f>
        <v>Item 7</v>
      </c>
      <c r="K855" s="820" t="str">
        <f>K339</f>
        <v>Item 8</v>
      </c>
      <c r="L855" s="820" t="str">
        <f>L339</f>
        <v>Item 9</v>
      </c>
      <c r="M855" s="820" t="str">
        <f>M339</f>
        <v>Item 10</v>
      </c>
      <c r="N855" s="820" t="str">
        <f>N339</f>
        <v>Item 11</v>
      </c>
      <c r="O855" s="820" t="str">
        <f>O339</f>
        <v>Item 12</v>
      </c>
      <c r="P855" s="820" t="str">
        <f>P339</f>
        <v>Item 13</v>
      </c>
      <c r="Q855" s="820" t="str">
        <f>Q339</f>
        <v>Item 14</v>
      </c>
      <c r="R855" s="820" t="str">
        <f>R339</f>
        <v>Item 15</v>
      </c>
      <c r="S855" s="820" t="str">
        <f>S339</f>
        <v>Item 16</v>
      </c>
      <c r="T855" s="820" t="str">
        <f>T339</f>
        <v>Item 17</v>
      </c>
      <c r="U855" s="820" t="str">
        <f>U339</f>
        <v>Item 18</v>
      </c>
      <c r="V855" s="820" t="str">
        <f>V339</f>
        <v>Item 19</v>
      </c>
      <c r="W855" s="820" t="str">
        <f>W339</f>
        <v>Item 20</v>
      </c>
      <c r="X855" s="820" t="str">
        <f>X339</f>
        <v>Item 21</v>
      </c>
      <c r="Y855" s="820" t="str">
        <f>Y339</f>
        <v>Item 22</v>
      </c>
      <c r="Z855" s="820" t="str">
        <f>Z339</f>
        <v>Item 23</v>
      </c>
      <c r="AA855" s="820" t="str">
        <f>AA339</f>
        <v>Item 24</v>
      </c>
      <c r="AB855" s="820" t="str">
        <f>AB339</f>
        <v>Item 25</v>
      </c>
      <c r="AC855" s="4"/>
      <c r="AD855" s="4"/>
      <c r="AE855" s="4"/>
      <c r="AF855" s="4"/>
      <c r="AG855" s="4"/>
      <c r="AH855" s="4"/>
      <c r="AI855" s="4"/>
      <c r="AJ855" s="4"/>
      <c r="AK855" s="4"/>
      <c r="AL855" s="4"/>
      <c r="AM855" s="4"/>
      <c r="AN855" s="4"/>
      <c r="AO855" s="4"/>
      <c r="AP855" s="4"/>
      <c r="AQ855" s="4"/>
      <c r="AR855" s="4"/>
      <c r="AS855" s="4"/>
      <c r="AT855" s="4"/>
      <c r="AU855" s="4"/>
      <c r="AV855" s="4"/>
      <c r="AW855" s="4"/>
      <c r="AX855" s="4"/>
      <c r="AY855" s="4"/>
      <c r="AZ855" s="4"/>
      <c r="BA855" s="4"/>
      <c r="BB855" s="4"/>
      <c r="BC855" s="4"/>
      <c r="BD855" s="4"/>
      <c r="BE855" s="4"/>
      <c r="BF855" s="4"/>
      <c r="BG855" s="4"/>
      <c r="BH855" s="4"/>
      <c r="BI855" s="4"/>
      <c r="BJ855" s="4"/>
      <c r="BK855" s="4"/>
      <c r="BL855" s="4"/>
      <c r="BM855" s="4"/>
      <c r="BN855" s="4"/>
      <c r="BO855" s="4"/>
      <c r="BP855" s="4"/>
      <c r="BQ855" s="4"/>
      <c r="BR855" s="4"/>
      <c r="BS855" s="4"/>
      <c r="BT855" s="4"/>
      <c r="BU855" s="4"/>
      <c r="BV855" s="4"/>
      <c r="BW855" s="4"/>
      <c r="BX855" s="4"/>
      <c r="BY855" s="4"/>
      <c r="BZ855" s="4"/>
      <c r="CA855" s="4"/>
      <c r="CB855" s="4"/>
      <c r="CC855" s="4"/>
      <c r="CD855" s="4"/>
      <c r="CE855" s="4"/>
      <c r="CF855" s="4"/>
      <c r="CG855" s="4"/>
      <c r="CH855" s="821"/>
      <c r="CI855" s="821"/>
      <c r="CJ855" s="821"/>
      <c r="CK855" s="821"/>
      <c r="CL855" s="821"/>
      <c r="CM855" s="821"/>
      <c r="CN855" s="821"/>
      <c r="CO855" s="821"/>
      <c r="CP855" s="821"/>
      <c r="CQ855" s="821"/>
      <c r="CR855" s="821"/>
      <c r="CS855" s="821"/>
      <c r="DH855" s="221"/>
      <c r="DI855" s="221"/>
      <c r="DJ855" s="221"/>
      <c r="DK855" s="221"/>
    </row>
    <row r="856" spans="2:115" ht="12" customHeight="1" x14ac:dyDescent="0.35">
      <c r="C856" s="495">
        <f>C793</f>
        <v>0</v>
      </c>
      <c r="D856" s="227">
        <f>Input!D$52*D340</f>
        <v>0</v>
      </c>
      <c r="E856" s="228">
        <f>Input!E$52*E340</f>
        <v>0</v>
      </c>
      <c r="F856" s="228">
        <f>Input!F$52*F340</f>
        <v>0</v>
      </c>
      <c r="G856" s="228">
        <f>Input!G$52*G340</f>
        <v>0</v>
      </c>
      <c r="H856" s="228">
        <f>Input!H$52*H340</f>
        <v>0</v>
      </c>
      <c r="I856" s="228">
        <f>Input!I$52*I340</f>
        <v>0</v>
      </c>
      <c r="J856" s="228">
        <f>Input!J$52*J340</f>
        <v>0</v>
      </c>
      <c r="K856" s="228">
        <f>Input!K$52*K340</f>
        <v>0</v>
      </c>
      <c r="L856" s="228">
        <f>Input!L$52*L340</f>
        <v>0</v>
      </c>
      <c r="M856" s="228">
        <f>Input!M$52*M340</f>
        <v>0</v>
      </c>
      <c r="N856" s="228">
        <f>Input!N$52*N340</f>
        <v>0</v>
      </c>
      <c r="O856" s="228">
        <f>Input!O$52*O340</f>
        <v>0</v>
      </c>
      <c r="P856" s="228">
        <f>Input!P$52*P340</f>
        <v>0</v>
      </c>
      <c r="Q856" s="228">
        <f>Input!Q$52*Q340</f>
        <v>0</v>
      </c>
      <c r="R856" s="228">
        <f>Input!R$52*R340</f>
        <v>0</v>
      </c>
      <c r="S856" s="228">
        <f>Input!S$52*S340</f>
        <v>0</v>
      </c>
      <c r="T856" s="228">
        <f>Input!T$52*T340</f>
        <v>0</v>
      </c>
      <c r="U856" s="228">
        <f>Input!U$52*U340</f>
        <v>0</v>
      </c>
      <c r="V856" s="228">
        <f>Input!V$52*V340</f>
        <v>0</v>
      </c>
      <c r="W856" s="228">
        <f>Input!W$52*W340</f>
        <v>0</v>
      </c>
      <c r="X856" s="228">
        <f>Input!X$52*X340</f>
        <v>0</v>
      </c>
      <c r="Y856" s="228">
        <f>Input!Y$52*Y340</f>
        <v>0</v>
      </c>
      <c r="Z856" s="228">
        <f>Input!Z$52*Z340</f>
        <v>0</v>
      </c>
      <c r="AA856" s="228">
        <f>Input!AA$52*AA340</f>
        <v>0</v>
      </c>
      <c r="AB856" s="228">
        <f>Input!AB$52*AB340</f>
        <v>0</v>
      </c>
      <c r="CH856" s="269"/>
      <c r="CI856" s="269"/>
      <c r="CJ856" s="269"/>
      <c r="CK856" s="269"/>
      <c r="CL856" s="269"/>
      <c r="CM856" s="269"/>
      <c r="CN856" s="269"/>
      <c r="CO856" s="269"/>
      <c r="CP856" s="269"/>
      <c r="CQ856" s="269"/>
      <c r="CR856" s="269"/>
      <c r="CS856" s="269"/>
      <c r="DH856" s="219"/>
      <c r="DI856" s="219"/>
      <c r="DJ856" s="219"/>
      <c r="DK856" s="219"/>
    </row>
    <row r="857" spans="2:115" ht="12" customHeight="1" x14ac:dyDescent="0.35">
      <c r="C857" s="495">
        <f>C794</f>
        <v>59</v>
      </c>
      <c r="D857" s="229">
        <f>Input!D$52*D341</f>
        <v>0</v>
      </c>
      <c r="E857" s="229">
        <f>Input!E$52*E341</f>
        <v>0</v>
      </c>
      <c r="F857" s="229">
        <f>Input!F$52*F341</f>
        <v>0</v>
      </c>
      <c r="G857" s="229">
        <f>Input!G$52*G341</f>
        <v>0</v>
      </c>
      <c r="H857" s="229">
        <f>Input!H$52*H341</f>
        <v>0</v>
      </c>
      <c r="I857" s="229">
        <f>Input!I$52*I341</f>
        <v>0</v>
      </c>
      <c r="J857" s="229">
        <f>Input!J$52*J341</f>
        <v>0</v>
      </c>
      <c r="K857" s="229">
        <f>Input!K$52*K341</f>
        <v>0</v>
      </c>
      <c r="L857" s="229">
        <f>Input!L$52*L341</f>
        <v>0</v>
      </c>
      <c r="M857" s="229">
        <f>Input!M$52*M341</f>
        <v>0</v>
      </c>
      <c r="N857" s="229">
        <f>Input!N$52*N341</f>
        <v>0</v>
      </c>
      <c r="O857" s="229">
        <f>Input!O$52*O341</f>
        <v>0</v>
      </c>
      <c r="P857" s="229">
        <f>Input!P$52*P341</f>
        <v>0</v>
      </c>
      <c r="Q857" s="229">
        <f>Input!Q$52*Q341</f>
        <v>0</v>
      </c>
      <c r="R857" s="229">
        <f>Input!R$52*R341</f>
        <v>0</v>
      </c>
      <c r="S857" s="229">
        <f>Input!S$52*S341</f>
        <v>0</v>
      </c>
      <c r="T857" s="229">
        <f>Input!T$52*T341</f>
        <v>0</v>
      </c>
      <c r="U857" s="229">
        <f>Input!U$52*U341</f>
        <v>0</v>
      </c>
      <c r="V857" s="229">
        <f>Input!V$52*V341</f>
        <v>0</v>
      </c>
      <c r="W857" s="229">
        <f>Input!W$52*W341</f>
        <v>0</v>
      </c>
      <c r="X857" s="229">
        <f>Input!X$52*X341</f>
        <v>0</v>
      </c>
      <c r="Y857" s="229">
        <f>Input!Y$52*Y341</f>
        <v>0</v>
      </c>
      <c r="Z857" s="229">
        <f>Input!Z$52*Z341</f>
        <v>0</v>
      </c>
      <c r="AA857" s="229">
        <f>Input!AA$52*AA341</f>
        <v>0</v>
      </c>
      <c r="AB857" s="229">
        <f>Input!AB$52*AB341</f>
        <v>0</v>
      </c>
      <c r="CH857" s="269"/>
      <c r="CI857" s="269"/>
      <c r="CJ857" s="269"/>
      <c r="CK857" s="269"/>
      <c r="CL857" s="269"/>
      <c r="CM857" s="269"/>
      <c r="CN857" s="269"/>
      <c r="CO857" s="269"/>
      <c r="CP857" s="269"/>
      <c r="CQ857" s="269"/>
      <c r="CR857" s="269"/>
      <c r="CS857" s="269"/>
      <c r="DH857" s="219"/>
      <c r="DI857" s="219"/>
      <c r="DJ857" s="219"/>
      <c r="DK857" s="219"/>
    </row>
    <row r="858" spans="2:115" ht="12" customHeight="1" x14ac:dyDescent="0.35">
      <c r="C858" s="495">
        <f>C795</f>
        <v>91</v>
      </c>
      <c r="D858" s="229">
        <f>Input!D$52*D342</f>
        <v>0</v>
      </c>
      <c r="E858" s="229">
        <f>Input!E$52*E342</f>
        <v>0</v>
      </c>
      <c r="F858" s="229">
        <f>Input!F$52*F342</f>
        <v>0</v>
      </c>
      <c r="G858" s="229">
        <f>Input!G$52*G342</f>
        <v>0</v>
      </c>
      <c r="H858" s="229">
        <f>Input!H$52*H342</f>
        <v>0</v>
      </c>
      <c r="I858" s="229">
        <f>Input!I$52*I342</f>
        <v>0</v>
      </c>
      <c r="J858" s="229">
        <f>Input!J$52*J342</f>
        <v>0</v>
      </c>
      <c r="K858" s="229">
        <f>Input!K$52*K342</f>
        <v>0</v>
      </c>
      <c r="L858" s="229">
        <f>Input!L$52*L342</f>
        <v>0</v>
      </c>
      <c r="M858" s="229">
        <f>Input!M$52*M342</f>
        <v>0</v>
      </c>
      <c r="N858" s="229">
        <f>Input!N$52*N342</f>
        <v>0</v>
      </c>
      <c r="O858" s="229">
        <f>Input!O$52*O342</f>
        <v>0</v>
      </c>
      <c r="P858" s="229">
        <f>Input!P$52*P342</f>
        <v>0</v>
      </c>
      <c r="Q858" s="229">
        <f>Input!Q$52*Q342</f>
        <v>0</v>
      </c>
      <c r="R858" s="229">
        <f>Input!R$52*R342</f>
        <v>0</v>
      </c>
      <c r="S858" s="229">
        <f>Input!S$52*S342</f>
        <v>0</v>
      </c>
      <c r="T858" s="229">
        <f>Input!T$52*T342</f>
        <v>0</v>
      </c>
      <c r="U858" s="229">
        <f>Input!U$52*U342</f>
        <v>0</v>
      </c>
      <c r="V858" s="229">
        <f>Input!V$52*V342</f>
        <v>0</v>
      </c>
      <c r="W858" s="229">
        <f>Input!W$52*W342</f>
        <v>0</v>
      </c>
      <c r="X858" s="229">
        <f>Input!X$52*X342</f>
        <v>0</v>
      </c>
      <c r="Y858" s="229">
        <f>Input!Y$52*Y342</f>
        <v>0</v>
      </c>
      <c r="Z858" s="229">
        <f>Input!Z$52*Z342</f>
        <v>0</v>
      </c>
      <c r="AA858" s="229">
        <f>Input!AA$52*AA342</f>
        <v>0</v>
      </c>
      <c r="AB858" s="229">
        <f>Input!AB$52*AB342</f>
        <v>0</v>
      </c>
      <c r="CH858" s="269"/>
      <c r="CI858" s="269"/>
      <c r="CJ858" s="269"/>
      <c r="CK858" s="269"/>
      <c r="CL858" s="269"/>
      <c r="CM858" s="269"/>
      <c r="CN858" s="269"/>
      <c r="CO858" s="269"/>
      <c r="CP858" s="269"/>
      <c r="CQ858" s="269"/>
      <c r="CR858" s="269"/>
      <c r="CS858" s="269"/>
      <c r="DH858" s="219"/>
      <c r="DI858" s="219"/>
      <c r="DJ858" s="219"/>
      <c r="DK858" s="219"/>
    </row>
    <row r="859" spans="2:115" ht="12" customHeight="1" x14ac:dyDescent="0.35">
      <c r="C859" s="495">
        <f>C796</f>
        <v>121</v>
      </c>
      <c r="D859" s="229">
        <f>Input!D$52*D343</f>
        <v>0</v>
      </c>
      <c r="E859" s="229">
        <f>Input!E$52*E343</f>
        <v>0</v>
      </c>
      <c r="F859" s="229">
        <f>Input!F$52*F343</f>
        <v>0</v>
      </c>
      <c r="G859" s="229">
        <f>Input!G$52*G343</f>
        <v>0</v>
      </c>
      <c r="H859" s="229">
        <f>Input!H$52*H343</f>
        <v>0</v>
      </c>
      <c r="I859" s="229">
        <f>Input!I$52*I343</f>
        <v>0</v>
      </c>
      <c r="J859" s="229">
        <f>Input!J$52*J343</f>
        <v>0</v>
      </c>
      <c r="K859" s="229">
        <f>Input!K$52*K343</f>
        <v>0</v>
      </c>
      <c r="L859" s="229">
        <f>Input!L$52*L343</f>
        <v>0</v>
      </c>
      <c r="M859" s="229">
        <f>Input!M$52*M343</f>
        <v>0</v>
      </c>
      <c r="N859" s="229">
        <f>Input!N$52*N343</f>
        <v>0</v>
      </c>
      <c r="O859" s="229">
        <f>Input!O$52*O343</f>
        <v>0</v>
      </c>
      <c r="P859" s="229">
        <f>Input!P$52*P343</f>
        <v>0</v>
      </c>
      <c r="Q859" s="229">
        <f>Input!Q$52*Q343</f>
        <v>0</v>
      </c>
      <c r="R859" s="229">
        <f>Input!R$52*R343</f>
        <v>0</v>
      </c>
      <c r="S859" s="229">
        <f>Input!S$52*S343</f>
        <v>0</v>
      </c>
      <c r="T859" s="229">
        <f>Input!T$52*T343</f>
        <v>0</v>
      </c>
      <c r="U859" s="229">
        <f>Input!U$52*U343</f>
        <v>0</v>
      </c>
      <c r="V859" s="229">
        <f>Input!V$52*V343</f>
        <v>0</v>
      </c>
      <c r="W859" s="229">
        <f>Input!W$52*W343</f>
        <v>0</v>
      </c>
      <c r="X859" s="229">
        <f>Input!X$52*X343</f>
        <v>0</v>
      </c>
      <c r="Y859" s="229">
        <f>Input!Y$52*Y343</f>
        <v>0</v>
      </c>
      <c r="Z859" s="229">
        <f>Input!Z$52*Z343</f>
        <v>0</v>
      </c>
      <c r="AA859" s="229">
        <f>Input!AA$52*AA343</f>
        <v>0</v>
      </c>
      <c r="AB859" s="229">
        <f>Input!AB$52*AB343</f>
        <v>0</v>
      </c>
      <c r="CH859" s="269"/>
      <c r="CI859" s="269"/>
      <c r="CJ859" s="269"/>
      <c r="CK859" s="269"/>
      <c r="CL859" s="269"/>
      <c r="CM859" s="269"/>
      <c r="CN859" s="269"/>
      <c r="CO859" s="269"/>
      <c r="CP859" s="269"/>
      <c r="CQ859" s="269"/>
      <c r="CR859" s="269"/>
      <c r="CS859" s="269"/>
      <c r="DH859" s="219"/>
      <c r="DI859" s="219"/>
      <c r="DJ859" s="219"/>
      <c r="DK859" s="219"/>
    </row>
    <row r="860" spans="2:115" ht="12" customHeight="1" x14ac:dyDescent="0.35">
      <c r="C860" s="495">
        <f>C797</f>
        <v>152</v>
      </c>
      <c r="D860" s="229">
        <f>Input!D$52*D344</f>
        <v>0</v>
      </c>
      <c r="E860" s="229">
        <f>Input!E$52*E344</f>
        <v>0</v>
      </c>
      <c r="F860" s="229">
        <f>Input!F$52*F344</f>
        <v>0</v>
      </c>
      <c r="G860" s="229">
        <f>Input!G$52*G344</f>
        <v>0</v>
      </c>
      <c r="H860" s="229">
        <f>Input!H$52*H344</f>
        <v>0</v>
      </c>
      <c r="I860" s="229">
        <f>Input!I$52*I344</f>
        <v>0</v>
      </c>
      <c r="J860" s="229">
        <f>Input!J$52*J344</f>
        <v>0</v>
      </c>
      <c r="K860" s="229">
        <f>Input!K$52*K344</f>
        <v>0</v>
      </c>
      <c r="L860" s="229">
        <f>Input!L$52*L344</f>
        <v>0</v>
      </c>
      <c r="M860" s="229">
        <f>Input!M$52*M344</f>
        <v>0</v>
      </c>
      <c r="N860" s="229">
        <f>Input!N$52*N344</f>
        <v>0</v>
      </c>
      <c r="O860" s="229">
        <f>Input!O$52*O344</f>
        <v>0</v>
      </c>
      <c r="P860" s="229">
        <f>Input!P$52*P344</f>
        <v>0</v>
      </c>
      <c r="Q860" s="229">
        <f>Input!Q$52*Q344</f>
        <v>0</v>
      </c>
      <c r="R860" s="229">
        <f>Input!R$52*R344</f>
        <v>0</v>
      </c>
      <c r="S860" s="229">
        <f>Input!S$52*S344</f>
        <v>0</v>
      </c>
      <c r="T860" s="229">
        <f>Input!T$52*T344</f>
        <v>0</v>
      </c>
      <c r="U860" s="229">
        <f>Input!U$52*U344</f>
        <v>0</v>
      </c>
      <c r="V860" s="229">
        <f>Input!V$52*V344</f>
        <v>0</v>
      </c>
      <c r="W860" s="229">
        <f>Input!W$52*W344</f>
        <v>0</v>
      </c>
      <c r="X860" s="229">
        <f>Input!X$52*X344</f>
        <v>0</v>
      </c>
      <c r="Y860" s="229">
        <f>Input!Y$52*Y344</f>
        <v>0</v>
      </c>
      <c r="Z860" s="229">
        <f>Input!Z$52*Z344</f>
        <v>0</v>
      </c>
      <c r="AA860" s="229">
        <f>Input!AA$52*AA344</f>
        <v>0</v>
      </c>
      <c r="AB860" s="229">
        <f>Input!AB$52*AB344</f>
        <v>0</v>
      </c>
      <c r="CH860" s="269"/>
      <c r="CI860" s="269"/>
      <c r="CJ860" s="269"/>
      <c r="CK860" s="269"/>
      <c r="CL860" s="269"/>
      <c r="CM860" s="269"/>
      <c r="CN860" s="269"/>
      <c r="CO860" s="269"/>
      <c r="CP860" s="269"/>
      <c r="CQ860" s="269"/>
      <c r="CR860" s="269"/>
      <c r="CS860" s="269"/>
      <c r="DH860" s="219"/>
      <c r="DI860" s="219"/>
      <c r="DJ860" s="219"/>
      <c r="DK860" s="219"/>
    </row>
    <row r="861" spans="2:115" ht="12" customHeight="1" x14ac:dyDescent="0.35">
      <c r="C861" s="495">
        <f>C798</f>
        <v>182</v>
      </c>
      <c r="D861" s="229">
        <f>Input!D$52*D345</f>
        <v>0</v>
      </c>
      <c r="E861" s="229">
        <f>Input!E$52*E345</f>
        <v>0</v>
      </c>
      <c r="F861" s="229">
        <f>Input!F$52*F345</f>
        <v>0</v>
      </c>
      <c r="G861" s="229">
        <f>Input!G$52*G345</f>
        <v>0</v>
      </c>
      <c r="H861" s="229">
        <f>Input!H$52*H345</f>
        <v>0</v>
      </c>
      <c r="I861" s="229">
        <f>Input!I$52*I345</f>
        <v>0</v>
      </c>
      <c r="J861" s="229">
        <f>Input!J$52*J345</f>
        <v>0</v>
      </c>
      <c r="K861" s="229">
        <f>Input!K$52*K345</f>
        <v>0</v>
      </c>
      <c r="L861" s="229">
        <f>Input!L$52*L345</f>
        <v>0</v>
      </c>
      <c r="M861" s="229">
        <f>Input!M$52*M345</f>
        <v>0</v>
      </c>
      <c r="N861" s="229">
        <f>Input!N$52*N345</f>
        <v>0</v>
      </c>
      <c r="O861" s="229">
        <f>Input!O$52*O345</f>
        <v>0</v>
      </c>
      <c r="P861" s="229">
        <f>Input!P$52*P345</f>
        <v>0</v>
      </c>
      <c r="Q861" s="229">
        <f>Input!Q$52*Q345</f>
        <v>0</v>
      </c>
      <c r="R861" s="229">
        <f>Input!R$52*R345</f>
        <v>0</v>
      </c>
      <c r="S861" s="229">
        <f>Input!S$52*S345</f>
        <v>0</v>
      </c>
      <c r="T861" s="229">
        <f>Input!T$52*T345</f>
        <v>0</v>
      </c>
      <c r="U861" s="229">
        <f>Input!U$52*U345</f>
        <v>0</v>
      </c>
      <c r="V861" s="229">
        <f>Input!V$52*V345</f>
        <v>0</v>
      </c>
      <c r="W861" s="229">
        <f>Input!W$52*W345</f>
        <v>0</v>
      </c>
      <c r="X861" s="229">
        <f>Input!X$52*X345</f>
        <v>0</v>
      </c>
      <c r="Y861" s="229">
        <f>Input!Y$52*Y345</f>
        <v>0</v>
      </c>
      <c r="Z861" s="229">
        <f>Input!Z$52*Z345</f>
        <v>0</v>
      </c>
      <c r="AA861" s="229">
        <f>Input!AA$52*AA345</f>
        <v>0</v>
      </c>
      <c r="AB861" s="229">
        <f>Input!AB$52*AB345</f>
        <v>0</v>
      </c>
      <c r="CH861" s="269"/>
      <c r="CI861" s="269"/>
      <c r="CJ861" s="269"/>
      <c r="CK861" s="269"/>
      <c r="CL861" s="269"/>
      <c r="CM861" s="269"/>
      <c r="CN861" s="269"/>
      <c r="CO861" s="269"/>
      <c r="CP861" s="269"/>
      <c r="CQ861" s="269"/>
      <c r="CR861" s="269"/>
      <c r="CS861" s="269"/>
      <c r="DH861" s="219"/>
      <c r="DI861" s="219"/>
      <c r="DJ861" s="219"/>
      <c r="DK861" s="219"/>
    </row>
    <row r="862" spans="2:115" ht="12" customHeight="1" x14ac:dyDescent="0.35">
      <c r="C862" s="495">
        <f>C799</f>
        <v>213</v>
      </c>
      <c r="D862" s="229">
        <f>Input!D$52*D346</f>
        <v>0</v>
      </c>
      <c r="E862" s="229">
        <f>Input!E$52*E346</f>
        <v>0</v>
      </c>
      <c r="F862" s="229">
        <f>Input!F$52*F346</f>
        <v>0</v>
      </c>
      <c r="G862" s="229">
        <f>Input!G$52*G346</f>
        <v>0</v>
      </c>
      <c r="H862" s="229">
        <f>Input!H$52*H346</f>
        <v>0</v>
      </c>
      <c r="I862" s="229">
        <f>Input!I$52*I346</f>
        <v>0</v>
      </c>
      <c r="J862" s="229">
        <f>Input!J$52*J346</f>
        <v>0</v>
      </c>
      <c r="K862" s="229">
        <f>Input!K$52*K346</f>
        <v>0</v>
      </c>
      <c r="L862" s="229">
        <f>Input!L$52*L346</f>
        <v>0</v>
      </c>
      <c r="M862" s="229">
        <f>Input!M$52*M346</f>
        <v>0</v>
      </c>
      <c r="N862" s="229">
        <f>Input!N$52*N346</f>
        <v>0</v>
      </c>
      <c r="O862" s="229">
        <f>Input!O$52*O346</f>
        <v>0</v>
      </c>
      <c r="P862" s="229">
        <f>Input!P$52*P346</f>
        <v>0</v>
      </c>
      <c r="Q862" s="229">
        <f>Input!Q$52*Q346</f>
        <v>0</v>
      </c>
      <c r="R862" s="229">
        <f>Input!R$52*R346</f>
        <v>0</v>
      </c>
      <c r="S862" s="229">
        <f>Input!S$52*S346</f>
        <v>0</v>
      </c>
      <c r="T862" s="229">
        <f>Input!T$52*T346</f>
        <v>0</v>
      </c>
      <c r="U862" s="229">
        <f>Input!U$52*U346</f>
        <v>0</v>
      </c>
      <c r="V862" s="229">
        <f>Input!V$52*V346</f>
        <v>0</v>
      </c>
      <c r="W862" s="229">
        <f>Input!W$52*W346</f>
        <v>0</v>
      </c>
      <c r="X862" s="229">
        <f>Input!X$52*X346</f>
        <v>0</v>
      </c>
      <c r="Y862" s="229">
        <f>Input!Y$52*Y346</f>
        <v>0</v>
      </c>
      <c r="Z862" s="229">
        <f>Input!Z$52*Z346</f>
        <v>0</v>
      </c>
      <c r="AA862" s="229">
        <f>Input!AA$52*AA346</f>
        <v>0</v>
      </c>
      <c r="AB862" s="229">
        <f>Input!AB$52*AB346</f>
        <v>0</v>
      </c>
      <c r="CH862" s="269"/>
      <c r="CI862" s="269"/>
      <c r="CJ862" s="269"/>
      <c r="CK862" s="269"/>
      <c r="CL862" s="269"/>
      <c r="CM862" s="269"/>
      <c r="CN862" s="269"/>
      <c r="CO862" s="269"/>
      <c r="CP862" s="269"/>
      <c r="CQ862" s="269"/>
      <c r="CR862" s="269"/>
      <c r="CS862" s="269"/>
      <c r="DH862" s="219"/>
      <c r="DI862" s="219"/>
      <c r="DJ862" s="219"/>
      <c r="DK862" s="219"/>
    </row>
    <row r="863" spans="2:115" ht="12" customHeight="1" x14ac:dyDescent="0.35">
      <c r="C863" s="495">
        <f>C800</f>
        <v>244</v>
      </c>
      <c r="D863" s="229">
        <f>Input!D$52*D347</f>
        <v>0</v>
      </c>
      <c r="E863" s="229">
        <f>Input!E$52*E347</f>
        <v>0</v>
      </c>
      <c r="F863" s="229">
        <f>Input!F$52*F347</f>
        <v>0</v>
      </c>
      <c r="G863" s="229">
        <f>Input!G$52*G347</f>
        <v>0</v>
      </c>
      <c r="H863" s="229">
        <f>Input!H$52*H347</f>
        <v>0</v>
      </c>
      <c r="I863" s="229">
        <f>Input!I$52*I347</f>
        <v>0</v>
      </c>
      <c r="J863" s="229">
        <f>Input!J$52*J347</f>
        <v>0</v>
      </c>
      <c r="K863" s="229">
        <f>Input!K$52*K347</f>
        <v>0</v>
      </c>
      <c r="L863" s="229">
        <f>Input!L$52*L347</f>
        <v>0</v>
      </c>
      <c r="M863" s="229">
        <f>Input!M$52*M347</f>
        <v>0</v>
      </c>
      <c r="N863" s="229">
        <f>Input!N$52*N347</f>
        <v>0</v>
      </c>
      <c r="O863" s="229">
        <f>Input!O$52*O347</f>
        <v>0</v>
      </c>
      <c r="P863" s="229">
        <f>Input!P$52*P347</f>
        <v>0</v>
      </c>
      <c r="Q863" s="229">
        <f>Input!Q$52*Q347</f>
        <v>0</v>
      </c>
      <c r="R863" s="229">
        <f>Input!R$52*R347</f>
        <v>0</v>
      </c>
      <c r="S863" s="229">
        <f>Input!S$52*S347</f>
        <v>0</v>
      </c>
      <c r="T863" s="229">
        <f>Input!T$52*T347</f>
        <v>0</v>
      </c>
      <c r="U863" s="229">
        <f>Input!U$52*U347</f>
        <v>0</v>
      </c>
      <c r="V863" s="229">
        <f>Input!V$52*V347</f>
        <v>0</v>
      </c>
      <c r="W863" s="229">
        <f>Input!W$52*W347</f>
        <v>0</v>
      </c>
      <c r="X863" s="229">
        <f>Input!X$52*X347</f>
        <v>0</v>
      </c>
      <c r="Y863" s="229">
        <f>Input!Y$52*Y347</f>
        <v>0</v>
      </c>
      <c r="Z863" s="229">
        <f>Input!Z$52*Z347</f>
        <v>0</v>
      </c>
      <c r="AA863" s="229">
        <f>Input!AA$52*AA347</f>
        <v>0</v>
      </c>
      <c r="AB863" s="229">
        <f>Input!AB$52*AB347</f>
        <v>0</v>
      </c>
      <c r="CH863" s="269"/>
      <c r="CI863" s="269"/>
      <c r="CJ863" s="269"/>
      <c r="CK863" s="269"/>
      <c r="CL863" s="269"/>
      <c r="CM863" s="269"/>
      <c r="CN863" s="269"/>
      <c r="CO863" s="269"/>
      <c r="CP863" s="269"/>
      <c r="CQ863" s="269"/>
      <c r="CR863" s="269"/>
      <c r="CS863" s="269"/>
      <c r="DH863" s="219"/>
      <c r="DI863" s="219"/>
      <c r="DJ863" s="219"/>
      <c r="DK863" s="219"/>
    </row>
    <row r="864" spans="2:115" ht="12" customHeight="1" x14ac:dyDescent="0.35">
      <c r="C864" s="495">
        <f>C801</f>
        <v>274</v>
      </c>
      <c r="D864" s="229">
        <f>Input!D$52*D348</f>
        <v>0</v>
      </c>
      <c r="E864" s="229">
        <f>Input!E$52*E348</f>
        <v>0</v>
      </c>
      <c r="F864" s="229">
        <f>Input!F$52*F348</f>
        <v>0</v>
      </c>
      <c r="G864" s="229">
        <f>Input!G$52*G348</f>
        <v>0</v>
      </c>
      <c r="H864" s="229">
        <f>Input!H$52*H348</f>
        <v>0</v>
      </c>
      <c r="I864" s="229">
        <f>Input!I$52*I348</f>
        <v>0</v>
      </c>
      <c r="J864" s="229">
        <f>Input!J$52*J348</f>
        <v>0</v>
      </c>
      <c r="K864" s="229">
        <f>Input!K$52*K348</f>
        <v>0</v>
      </c>
      <c r="L864" s="229">
        <f>Input!L$52*L348</f>
        <v>0</v>
      </c>
      <c r="M864" s="229">
        <f>Input!M$52*M348</f>
        <v>0</v>
      </c>
      <c r="N864" s="229">
        <f>Input!N$52*N348</f>
        <v>0</v>
      </c>
      <c r="O864" s="229">
        <f>Input!O$52*O348</f>
        <v>0</v>
      </c>
      <c r="P864" s="229">
        <f>Input!P$52*P348</f>
        <v>0</v>
      </c>
      <c r="Q864" s="229">
        <f>Input!Q$52*Q348</f>
        <v>0</v>
      </c>
      <c r="R864" s="229">
        <f>Input!R$52*R348</f>
        <v>0</v>
      </c>
      <c r="S864" s="229">
        <f>Input!S$52*S348</f>
        <v>0</v>
      </c>
      <c r="T864" s="229">
        <f>Input!T$52*T348</f>
        <v>0</v>
      </c>
      <c r="U864" s="229">
        <f>Input!U$52*U348</f>
        <v>0</v>
      </c>
      <c r="V864" s="229">
        <f>Input!V$52*V348</f>
        <v>0</v>
      </c>
      <c r="W864" s="229">
        <f>Input!W$52*W348</f>
        <v>0</v>
      </c>
      <c r="X864" s="229">
        <f>Input!X$52*X348</f>
        <v>0</v>
      </c>
      <c r="Y864" s="229">
        <f>Input!Y$52*Y348</f>
        <v>0</v>
      </c>
      <c r="Z864" s="229">
        <f>Input!Z$52*Z348</f>
        <v>0</v>
      </c>
      <c r="AA864" s="229">
        <f>Input!AA$52*AA348</f>
        <v>0</v>
      </c>
      <c r="AB864" s="229">
        <f>Input!AB$52*AB348</f>
        <v>0</v>
      </c>
      <c r="CH864" s="269"/>
      <c r="CI864" s="269"/>
      <c r="CJ864" s="269"/>
      <c r="CK864" s="269"/>
      <c r="CL864" s="269"/>
      <c r="CM864" s="269"/>
      <c r="CN864" s="269"/>
      <c r="CO864" s="269"/>
      <c r="CP864" s="269"/>
      <c r="CQ864" s="269"/>
      <c r="CR864" s="269"/>
      <c r="CS864" s="269"/>
      <c r="DH864" s="219"/>
      <c r="DI864" s="219"/>
      <c r="DJ864" s="219"/>
      <c r="DK864" s="219"/>
    </row>
    <row r="865" spans="3:115" ht="12" customHeight="1" x14ac:dyDescent="0.35">
      <c r="C865" s="495">
        <f>C802</f>
        <v>305</v>
      </c>
      <c r="D865" s="229">
        <f>Input!D$52*D349</f>
        <v>0</v>
      </c>
      <c r="E865" s="229">
        <f>Input!E$52*E349</f>
        <v>0</v>
      </c>
      <c r="F865" s="229">
        <f>Input!F$52*F349</f>
        <v>0</v>
      </c>
      <c r="G865" s="229">
        <f>Input!G$52*G349</f>
        <v>0</v>
      </c>
      <c r="H865" s="229">
        <f>Input!H$52*H349</f>
        <v>0</v>
      </c>
      <c r="I865" s="229">
        <f>Input!I$52*I349</f>
        <v>0</v>
      </c>
      <c r="J865" s="229">
        <f>Input!J$52*J349</f>
        <v>0</v>
      </c>
      <c r="K865" s="229">
        <f>Input!K$52*K349</f>
        <v>0</v>
      </c>
      <c r="L865" s="229">
        <f>Input!L$52*L349</f>
        <v>0</v>
      </c>
      <c r="M865" s="229">
        <f>Input!M$52*M349</f>
        <v>0</v>
      </c>
      <c r="N865" s="229">
        <f>Input!N$52*N349</f>
        <v>0</v>
      </c>
      <c r="O865" s="229">
        <f>Input!O$52*O349</f>
        <v>0</v>
      </c>
      <c r="P865" s="229">
        <f>Input!P$52*P349</f>
        <v>0</v>
      </c>
      <c r="Q865" s="229">
        <f>Input!Q$52*Q349</f>
        <v>0</v>
      </c>
      <c r="R865" s="229">
        <f>Input!R$52*R349</f>
        <v>0</v>
      </c>
      <c r="S865" s="229">
        <f>Input!S$52*S349</f>
        <v>0</v>
      </c>
      <c r="T865" s="229">
        <f>Input!T$52*T349</f>
        <v>0</v>
      </c>
      <c r="U865" s="229">
        <f>Input!U$52*U349</f>
        <v>0</v>
      </c>
      <c r="V865" s="229">
        <f>Input!V$52*V349</f>
        <v>0</v>
      </c>
      <c r="W865" s="229">
        <f>Input!W$52*W349</f>
        <v>0</v>
      </c>
      <c r="X865" s="229">
        <f>Input!X$52*X349</f>
        <v>0</v>
      </c>
      <c r="Y865" s="229">
        <f>Input!Y$52*Y349</f>
        <v>0</v>
      </c>
      <c r="Z865" s="229">
        <f>Input!Z$52*Z349</f>
        <v>0</v>
      </c>
      <c r="AA865" s="229">
        <f>Input!AA$52*AA349</f>
        <v>0</v>
      </c>
      <c r="AB865" s="229">
        <f>Input!AB$52*AB349</f>
        <v>0</v>
      </c>
      <c r="CH865" s="269"/>
      <c r="CI865" s="269"/>
      <c r="CJ865" s="269"/>
      <c r="CK865" s="269"/>
      <c r="CL865" s="269"/>
      <c r="CM865" s="269"/>
      <c r="CN865" s="269"/>
      <c r="CO865" s="269"/>
      <c r="CP865" s="269"/>
      <c r="CQ865" s="269"/>
      <c r="CR865" s="269"/>
      <c r="CS865" s="269"/>
      <c r="DH865" s="219"/>
      <c r="DI865" s="219"/>
      <c r="DJ865" s="219"/>
      <c r="DK865" s="219"/>
    </row>
    <row r="866" spans="3:115" ht="12" customHeight="1" x14ac:dyDescent="0.35">
      <c r="C866" s="495">
        <f>C803</f>
        <v>335</v>
      </c>
      <c r="D866" s="229">
        <f>Input!D$52*D350</f>
        <v>0</v>
      </c>
      <c r="E866" s="229">
        <f>Input!E$52*E350</f>
        <v>0</v>
      </c>
      <c r="F866" s="229">
        <f>Input!F$52*F350</f>
        <v>0</v>
      </c>
      <c r="G866" s="229">
        <f>Input!G$52*G350</f>
        <v>0</v>
      </c>
      <c r="H866" s="229">
        <f>Input!H$52*H350</f>
        <v>0</v>
      </c>
      <c r="I866" s="229">
        <f>Input!I$52*I350</f>
        <v>0</v>
      </c>
      <c r="J866" s="229">
        <f>Input!J$52*J350</f>
        <v>0</v>
      </c>
      <c r="K866" s="229">
        <f>Input!K$52*K350</f>
        <v>0</v>
      </c>
      <c r="L866" s="229">
        <f>Input!L$52*L350</f>
        <v>0</v>
      </c>
      <c r="M866" s="229">
        <f>Input!M$52*M350</f>
        <v>0</v>
      </c>
      <c r="N866" s="229">
        <f>Input!N$52*N350</f>
        <v>0</v>
      </c>
      <c r="O866" s="229">
        <f>Input!O$52*O350</f>
        <v>0</v>
      </c>
      <c r="P866" s="229">
        <f>Input!P$52*P350</f>
        <v>0</v>
      </c>
      <c r="Q866" s="229">
        <f>Input!Q$52*Q350</f>
        <v>0</v>
      </c>
      <c r="R866" s="229">
        <f>Input!R$52*R350</f>
        <v>0</v>
      </c>
      <c r="S866" s="229">
        <f>Input!S$52*S350</f>
        <v>0</v>
      </c>
      <c r="T866" s="229">
        <f>Input!T$52*T350</f>
        <v>0</v>
      </c>
      <c r="U866" s="229">
        <f>Input!U$52*U350</f>
        <v>0</v>
      </c>
      <c r="V866" s="229">
        <f>Input!V$52*V350</f>
        <v>0</v>
      </c>
      <c r="W866" s="229">
        <f>Input!W$52*W350</f>
        <v>0</v>
      </c>
      <c r="X866" s="229">
        <f>Input!X$52*X350</f>
        <v>0</v>
      </c>
      <c r="Y866" s="229">
        <f>Input!Y$52*Y350</f>
        <v>0</v>
      </c>
      <c r="Z866" s="229">
        <f>Input!Z$52*Z350</f>
        <v>0</v>
      </c>
      <c r="AA866" s="229">
        <f>Input!AA$52*AA350</f>
        <v>0</v>
      </c>
      <c r="AB866" s="229">
        <f>Input!AB$52*AB350</f>
        <v>0</v>
      </c>
      <c r="CH866" s="269"/>
      <c r="CI866" s="269"/>
      <c r="CJ866" s="269"/>
      <c r="CK866" s="269"/>
      <c r="CL866" s="269"/>
      <c r="CM866" s="269"/>
      <c r="CN866" s="269"/>
      <c r="CO866" s="269"/>
      <c r="CP866" s="269"/>
      <c r="CQ866" s="269"/>
      <c r="CR866" s="269"/>
      <c r="CS866" s="269"/>
      <c r="DH866" s="219"/>
      <c r="DI866" s="219"/>
      <c r="DJ866" s="219"/>
      <c r="DK866" s="219"/>
    </row>
    <row r="867" spans="3:115" ht="12" customHeight="1" thickBot="1" x14ac:dyDescent="0.4">
      <c r="C867" s="496">
        <f>C804</f>
        <v>366</v>
      </c>
      <c r="D867" s="230">
        <f>Input!D$52*D351</f>
        <v>0</v>
      </c>
      <c r="E867" s="230">
        <f>Input!E$52*E351</f>
        <v>0</v>
      </c>
      <c r="F867" s="230">
        <f>Input!F$52*F351</f>
        <v>0</v>
      </c>
      <c r="G867" s="230">
        <f>Input!G$52*G351</f>
        <v>0</v>
      </c>
      <c r="H867" s="230">
        <f>Input!H$52*H351</f>
        <v>0</v>
      </c>
      <c r="I867" s="230">
        <f>Input!I$52*I351</f>
        <v>0</v>
      </c>
      <c r="J867" s="230">
        <f>Input!J$52*J351</f>
        <v>0</v>
      </c>
      <c r="K867" s="230">
        <f>Input!K$52*K351</f>
        <v>0</v>
      </c>
      <c r="L867" s="230">
        <f>Input!L$52*L351</f>
        <v>0</v>
      </c>
      <c r="M867" s="230">
        <f>Input!M$52*M351</f>
        <v>0</v>
      </c>
      <c r="N867" s="230">
        <f>Input!N$52*N351</f>
        <v>0</v>
      </c>
      <c r="O867" s="230">
        <f>Input!O$52*O351</f>
        <v>0</v>
      </c>
      <c r="P867" s="230">
        <f>Input!P$52*P351</f>
        <v>0</v>
      </c>
      <c r="Q867" s="230">
        <f>Input!Q$52*Q351</f>
        <v>0</v>
      </c>
      <c r="R867" s="230">
        <f>Input!R$52*R351</f>
        <v>0</v>
      </c>
      <c r="S867" s="230">
        <f>Input!S$52*S351</f>
        <v>0</v>
      </c>
      <c r="T867" s="230">
        <f>Input!T$52*T351</f>
        <v>0</v>
      </c>
      <c r="U867" s="230">
        <f>Input!U$52*U351</f>
        <v>0</v>
      </c>
      <c r="V867" s="230">
        <f>Input!V$52*V351</f>
        <v>0</v>
      </c>
      <c r="W867" s="230">
        <f>Input!W$52*W351</f>
        <v>0</v>
      </c>
      <c r="X867" s="230">
        <f>Input!X$52*X351</f>
        <v>0</v>
      </c>
      <c r="Y867" s="230">
        <f>Input!Y$52*Y351</f>
        <v>0</v>
      </c>
      <c r="Z867" s="230">
        <f>Input!Z$52*Z351</f>
        <v>0</v>
      </c>
      <c r="AA867" s="230">
        <f>Input!AA$52*AA351</f>
        <v>0</v>
      </c>
      <c r="AB867" s="230">
        <f>Input!AB$52*AB351</f>
        <v>0</v>
      </c>
      <c r="CH867" s="269"/>
      <c r="CI867" s="269"/>
      <c r="CJ867" s="269"/>
      <c r="CK867" s="269"/>
      <c r="CL867" s="269"/>
      <c r="CM867" s="269"/>
      <c r="CN867" s="269"/>
      <c r="CO867" s="269"/>
      <c r="CP867" s="269"/>
      <c r="CQ867" s="269"/>
      <c r="CR867" s="269"/>
      <c r="CS867" s="269"/>
      <c r="DH867" s="219"/>
      <c r="DI867" s="219"/>
      <c r="DJ867" s="219"/>
      <c r="DK867" s="219"/>
    </row>
    <row r="868" spans="3:115" ht="12" customHeight="1" x14ac:dyDescent="0.35">
      <c r="C868" s="495">
        <f>C805</f>
        <v>397</v>
      </c>
      <c r="D868" s="231">
        <f>Input!D$52*D352</f>
        <v>0</v>
      </c>
      <c r="E868" s="231">
        <f>Input!E$52*E352</f>
        <v>0</v>
      </c>
      <c r="F868" s="231">
        <f>Input!F$52*F352</f>
        <v>0</v>
      </c>
      <c r="G868" s="231">
        <f>Input!G$52*G352</f>
        <v>0</v>
      </c>
      <c r="H868" s="231">
        <f>Input!H$52*H352</f>
        <v>0</v>
      </c>
      <c r="I868" s="231">
        <f>Input!I$52*I352</f>
        <v>0</v>
      </c>
      <c r="J868" s="231">
        <f>Input!J$52*J352</f>
        <v>0</v>
      </c>
      <c r="K868" s="231">
        <f>Input!K$52*K352</f>
        <v>0</v>
      </c>
      <c r="L868" s="231">
        <f>Input!L$52*L352</f>
        <v>0</v>
      </c>
      <c r="M868" s="231">
        <f>Input!M$52*M352</f>
        <v>0</v>
      </c>
      <c r="N868" s="231">
        <f>Input!N$52*N352</f>
        <v>0</v>
      </c>
      <c r="O868" s="231">
        <f>Input!O$52*O352</f>
        <v>0</v>
      </c>
      <c r="P868" s="231">
        <f>Input!P$52*P352</f>
        <v>0</v>
      </c>
      <c r="Q868" s="231">
        <f>Input!Q$52*Q352</f>
        <v>0</v>
      </c>
      <c r="R868" s="231">
        <f>Input!R$52*R352</f>
        <v>0</v>
      </c>
      <c r="S868" s="231">
        <f>Input!S$52*S352</f>
        <v>0</v>
      </c>
      <c r="T868" s="231">
        <f>Input!T$52*T352</f>
        <v>0</v>
      </c>
      <c r="U868" s="231">
        <f>Input!U$52*U352</f>
        <v>0</v>
      </c>
      <c r="V868" s="231">
        <f>Input!V$52*V352</f>
        <v>0</v>
      </c>
      <c r="W868" s="231">
        <f>Input!W$52*W352</f>
        <v>0</v>
      </c>
      <c r="X868" s="231">
        <f>Input!X$52*X352</f>
        <v>0</v>
      </c>
      <c r="Y868" s="231">
        <f>Input!Y$52*Y352</f>
        <v>0</v>
      </c>
      <c r="Z868" s="231">
        <f>Input!Z$52*Z352</f>
        <v>0</v>
      </c>
      <c r="AA868" s="231">
        <f>Input!AA$52*AA352</f>
        <v>0</v>
      </c>
      <c r="AB868" s="231">
        <f>Input!AB$52*AB352</f>
        <v>0</v>
      </c>
      <c r="CH868" s="269"/>
      <c r="CI868" s="269"/>
      <c r="CJ868" s="269"/>
      <c r="CK868" s="269"/>
      <c r="CL868" s="269"/>
      <c r="CM868" s="269"/>
      <c r="CN868" s="269"/>
      <c r="CO868" s="269"/>
      <c r="CP868" s="269"/>
      <c r="CQ868" s="269"/>
      <c r="CR868" s="269"/>
      <c r="CS868" s="269"/>
      <c r="DH868" s="219"/>
      <c r="DI868" s="219"/>
      <c r="DJ868" s="219"/>
      <c r="DK868" s="219"/>
    </row>
    <row r="869" spans="3:115" ht="12" customHeight="1" x14ac:dyDescent="0.35">
      <c r="C869" s="495">
        <f>C806</f>
        <v>425</v>
      </c>
      <c r="D869" s="229">
        <f>Input!D$52*D353</f>
        <v>0</v>
      </c>
      <c r="E869" s="229">
        <f>Input!E$52*E353</f>
        <v>0</v>
      </c>
      <c r="F869" s="229">
        <f>Input!F$52*F353</f>
        <v>0</v>
      </c>
      <c r="G869" s="229">
        <f>Input!G$52*G353</f>
        <v>0</v>
      </c>
      <c r="H869" s="229">
        <f>Input!H$52*H353</f>
        <v>0</v>
      </c>
      <c r="I869" s="229">
        <f>Input!I$52*I353</f>
        <v>0</v>
      </c>
      <c r="J869" s="229">
        <f>Input!J$52*J353</f>
        <v>0</v>
      </c>
      <c r="K869" s="229">
        <f>Input!K$52*K353</f>
        <v>0</v>
      </c>
      <c r="L869" s="229">
        <f>Input!L$52*L353</f>
        <v>0</v>
      </c>
      <c r="M869" s="229">
        <f>Input!M$52*M353</f>
        <v>0</v>
      </c>
      <c r="N869" s="229">
        <f>Input!N$52*N353</f>
        <v>0</v>
      </c>
      <c r="O869" s="229">
        <f>Input!O$52*O353</f>
        <v>0</v>
      </c>
      <c r="P869" s="229">
        <f>Input!P$52*P353</f>
        <v>0</v>
      </c>
      <c r="Q869" s="229">
        <f>Input!Q$52*Q353</f>
        <v>0</v>
      </c>
      <c r="R869" s="229">
        <f>Input!R$52*R353</f>
        <v>0</v>
      </c>
      <c r="S869" s="229">
        <f>Input!S$52*S353</f>
        <v>0</v>
      </c>
      <c r="T869" s="229">
        <f>Input!T$52*T353</f>
        <v>0</v>
      </c>
      <c r="U869" s="229">
        <f>Input!U$52*U353</f>
        <v>0</v>
      </c>
      <c r="V869" s="229">
        <f>Input!V$52*V353</f>
        <v>0</v>
      </c>
      <c r="W869" s="229">
        <f>Input!W$52*W353</f>
        <v>0</v>
      </c>
      <c r="X869" s="229">
        <f>Input!X$52*X353</f>
        <v>0</v>
      </c>
      <c r="Y869" s="229">
        <f>Input!Y$52*Y353</f>
        <v>0</v>
      </c>
      <c r="Z869" s="229">
        <f>Input!Z$52*Z353</f>
        <v>0</v>
      </c>
      <c r="AA869" s="229">
        <f>Input!AA$52*AA353</f>
        <v>0</v>
      </c>
      <c r="AB869" s="229">
        <f>Input!AB$52*AB353</f>
        <v>0</v>
      </c>
      <c r="CH869" s="269"/>
      <c r="CI869" s="269"/>
      <c r="CJ869" s="269"/>
      <c r="CK869" s="269"/>
      <c r="CL869" s="269"/>
      <c r="CM869" s="269"/>
      <c r="CN869" s="269"/>
      <c r="CO869" s="269"/>
      <c r="CP869" s="269"/>
      <c r="CQ869" s="269"/>
      <c r="CR869" s="269"/>
      <c r="CS869" s="269"/>
      <c r="DH869" s="219"/>
      <c r="DI869" s="219"/>
      <c r="DJ869" s="219"/>
      <c r="DK869" s="219"/>
    </row>
    <row r="870" spans="3:115" ht="12" customHeight="1" x14ac:dyDescent="0.35">
      <c r="C870" s="495">
        <f>C807</f>
        <v>456</v>
      </c>
      <c r="D870" s="229">
        <f>Input!D$52*D354</f>
        <v>0</v>
      </c>
      <c r="E870" s="229">
        <f>Input!E$52*E354</f>
        <v>0</v>
      </c>
      <c r="F870" s="229">
        <f>Input!F$52*F354</f>
        <v>0</v>
      </c>
      <c r="G870" s="229">
        <f>Input!G$52*G354</f>
        <v>0</v>
      </c>
      <c r="H870" s="229">
        <f>Input!H$52*H354</f>
        <v>0</v>
      </c>
      <c r="I870" s="229">
        <f>Input!I$52*I354</f>
        <v>0</v>
      </c>
      <c r="J870" s="229">
        <f>Input!J$52*J354</f>
        <v>0</v>
      </c>
      <c r="K870" s="229">
        <f>Input!K$52*K354</f>
        <v>0</v>
      </c>
      <c r="L870" s="229">
        <f>Input!L$52*L354</f>
        <v>0</v>
      </c>
      <c r="M870" s="229">
        <f>Input!M$52*M354</f>
        <v>0</v>
      </c>
      <c r="N870" s="229">
        <f>Input!N$52*N354</f>
        <v>0</v>
      </c>
      <c r="O870" s="229">
        <f>Input!O$52*O354</f>
        <v>0</v>
      </c>
      <c r="P870" s="229">
        <f>Input!P$52*P354</f>
        <v>0</v>
      </c>
      <c r="Q870" s="229">
        <f>Input!Q$52*Q354</f>
        <v>0</v>
      </c>
      <c r="R870" s="229">
        <f>Input!R$52*R354</f>
        <v>0</v>
      </c>
      <c r="S870" s="229">
        <f>Input!S$52*S354</f>
        <v>0</v>
      </c>
      <c r="T870" s="229">
        <f>Input!T$52*T354</f>
        <v>0</v>
      </c>
      <c r="U870" s="229">
        <f>Input!U$52*U354</f>
        <v>0</v>
      </c>
      <c r="V870" s="229">
        <f>Input!V$52*V354</f>
        <v>0</v>
      </c>
      <c r="W870" s="229">
        <f>Input!W$52*W354</f>
        <v>0</v>
      </c>
      <c r="X870" s="229">
        <f>Input!X$52*X354</f>
        <v>0</v>
      </c>
      <c r="Y870" s="229">
        <f>Input!Y$52*Y354</f>
        <v>0</v>
      </c>
      <c r="Z870" s="229">
        <f>Input!Z$52*Z354</f>
        <v>0</v>
      </c>
      <c r="AA870" s="229">
        <f>Input!AA$52*AA354</f>
        <v>0</v>
      </c>
      <c r="AB870" s="229">
        <f>Input!AB$52*AB354</f>
        <v>0</v>
      </c>
      <c r="CH870" s="269"/>
      <c r="CI870" s="269"/>
      <c r="CJ870" s="269"/>
      <c r="CK870" s="269"/>
      <c r="CL870" s="269"/>
      <c r="CM870" s="269"/>
      <c r="CN870" s="269"/>
      <c r="CO870" s="269"/>
      <c r="CP870" s="269"/>
      <c r="CQ870" s="269"/>
      <c r="CR870" s="269"/>
      <c r="CS870" s="269"/>
      <c r="DH870" s="219"/>
      <c r="DI870" s="219"/>
      <c r="DJ870" s="219"/>
      <c r="DK870" s="219"/>
    </row>
    <row r="871" spans="3:115" ht="12" customHeight="1" x14ac:dyDescent="0.35">
      <c r="C871" s="495">
        <f>C808</f>
        <v>486</v>
      </c>
      <c r="D871" s="229">
        <f>Input!D$52*D355</f>
        <v>0</v>
      </c>
      <c r="E871" s="229">
        <f>Input!E$52*E355</f>
        <v>0</v>
      </c>
      <c r="F871" s="229">
        <f>Input!F$52*F355</f>
        <v>0</v>
      </c>
      <c r="G871" s="229">
        <f>Input!G$52*G355</f>
        <v>0</v>
      </c>
      <c r="H871" s="229">
        <f>Input!H$52*H355</f>
        <v>0</v>
      </c>
      <c r="I871" s="229">
        <f>Input!I$52*I355</f>
        <v>0</v>
      </c>
      <c r="J871" s="229">
        <f>Input!J$52*J355</f>
        <v>0</v>
      </c>
      <c r="K871" s="229">
        <f>Input!K$52*K355</f>
        <v>0</v>
      </c>
      <c r="L871" s="229">
        <f>Input!L$52*L355</f>
        <v>0</v>
      </c>
      <c r="M871" s="229">
        <f>Input!M$52*M355</f>
        <v>0</v>
      </c>
      <c r="N871" s="229">
        <f>Input!N$52*N355</f>
        <v>0</v>
      </c>
      <c r="O871" s="229">
        <f>Input!O$52*O355</f>
        <v>0</v>
      </c>
      <c r="P871" s="229">
        <f>Input!P$52*P355</f>
        <v>0</v>
      </c>
      <c r="Q871" s="229">
        <f>Input!Q$52*Q355</f>
        <v>0</v>
      </c>
      <c r="R871" s="229">
        <f>Input!R$52*R355</f>
        <v>0</v>
      </c>
      <c r="S871" s="229">
        <f>Input!S$52*S355</f>
        <v>0</v>
      </c>
      <c r="T871" s="229">
        <f>Input!T$52*T355</f>
        <v>0</v>
      </c>
      <c r="U871" s="229">
        <f>Input!U$52*U355</f>
        <v>0</v>
      </c>
      <c r="V871" s="229">
        <f>Input!V$52*V355</f>
        <v>0</v>
      </c>
      <c r="W871" s="229">
        <f>Input!W$52*W355</f>
        <v>0</v>
      </c>
      <c r="X871" s="229">
        <f>Input!X$52*X355</f>
        <v>0</v>
      </c>
      <c r="Y871" s="229">
        <f>Input!Y$52*Y355</f>
        <v>0</v>
      </c>
      <c r="Z871" s="229">
        <f>Input!Z$52*Z355</f>
        <v>0</v>
      </c>
      <c r="AA871" s="229">
        <f>Input!AA$52*AA355</f>
        <v>0</v>
      </c>
      <c r="AB871" s="229">
        <f>Input!AB$52*AB355</f>
        <v>0</v>
      </c>
      <c r="CH871" s="269"/>
      <c r="CI871" s="269"/>
      <c r="CJ871" s="269"/>
      <c r="CK871" s="269"/>
      <c r="CL871" s="269"/>
      <c r="CM871" s="269"/>
      <c r="CN871" s="269"/>
      <c r="CO871" s="269"/>
      <c r="CP871" s="269"/>
      <c r="CQ871" s="269"/>
      <c r="CR871" s="269"/>
      <c r="CS871" s="269"/>
      <c r="DH871" s="219"/>
      <c r="DI871" s="219"/>
      <c r="DJ871" s="219"/>
      <c r="DK871" s="219"/>
    </row>
    <row r="872" spans="3:115" ht="12" customHeight="1" x14ac:dyDescent="0.35">
      <c r="C872" s="495">
        <f>C809</f>
        <v>517</v>
      </c>
      <c r="D872" s="229">
        <f>Input!D$52*D356</f>
        <v>0</v>
      </c>
      <c r="E872" s="229">
        <f>Input!E$52*E356</f>
        <v>0</v>
      </c>
      <c r="F872" s="229">
        <f>Input!F$52*F356</f>
        <v>0</v>
      </c>
      <c r="G872" s="229">
        <f>Input!G$52*G356</f>
        <v>0</v>
      </c>
      <c r="H872" s="229">
        <f>Input!H$52*H356</f>
        <v>0</v>
      </c>
      <c r="I872" s="229">
        <f>Input!I$52*I356</f>
        <v>0</v>
      </c>
      <c r="J872" s="229">
        <f>Input!J$52*J356</f>
        <v>0</v>
      </c>
      <c r="K872" s="229">
        <f>Input!K$52*K356</f>
        <v>0</v>
      </c>
      <c r="L872" s="229">
        <f>Input!L$52*L356</f>
        <v>0</v>
      </c>
      <c r="M872" s="229">
        <f>Input!M$52*M356</f>
        <v>0</v>
      </c>
      <c r="N872" s="229">
        <f>Input!N$52*N356</f>
        <v>0</v>
      </c>
      <c r="O872" s="229">
        <f>Input!O$52*O356</f>
        <v>0</v>
      </c>
      <c r="P872" s="229">
        <f>Input!P$52*P356</f>
        <v>0</v>
      </c>
      <c r="Q872" s="229">
        <f>Input!Q$52*Q356</f>
        <v>0</v>
      </c>
      <c r="R872" s="229">
        <f>Input!R$52*R356</f>
        <v>0</v>
      </c>
      <c r="S872" s="229">
        <f>Input!S$52*S356</f>
        <v>0</v>
      </c>
      <c r="T872" s="229">
        <f>Input!T$52*T356</f>
        <v>0</v>
      </c>
      <c r="U872" s="229">
        <f>Input!U$52*U356</f>
        <v>0</v>
      </c>
      <c r="V872" s="229">
        <f>Input!V$52*V356</f>
        <v>0</v>
      </c>
      <c r="W872" s="229">
        <f>Input!W$52*W356</f>
        <v>0</v>
      </c>
      <c r="X872" s="229">
        <f>Input!X$52*X356</f>
        <v>0</v>
      </c>
      <c r="Y872" s="229">
        <f>Input!Y$52*Y356</f>
        <v>0</v>
      </c>
      <c r="Z872" s="229">
        <f>Input!Z$52*Z356</f>
        <v>0</v>
      </c>
      <c r="AA872" s="229">
        <f>Input!AA$52*AA356</f>
        <v>0</v>
      </c>
      <c r="AB872" s="229">
        <f>Input!AB$52*AB356</f>
        <v>0</v>
      </c>
      <c r="CH872" s="269"/>
      <c r="CI872" s="269"/>
      <c r="CJ872" s="269"/>
      <c r="CK872" s="269"/>
      <c r="CL872" s="269"/>
      <c r="CM872" s="269"/>
      <c r="CN872" s="269"/>
      <c r="CO872" s="269"/>
      <c r="CP872" s="269"/>
      <c r="CQ872" s="269"/>
      <c r="CR872" s="269"/>
      <c r="CS872" s="269"/>
      <c r="DH872" s="219"/>
      <c r="DI872" s="219"/>
      <c r="DJ872" s="219"/>
      <c r="DK872" s="219"/>
    </row>
    <row r="873" spans="3:115" ht="12" customHeight="1" x14ac:dyDescent="0.35">
      <c r="C873" s="495">
        <f>C810</f>
        <v>547</v>
      </c>
      <c r="D873" s="229">
        <f>Input!D$52*D357</f>
        <v>0</v>
      </c>
      <c r="E873" s="229">
        <f>Input!E$52*E357</f>
        <v>0</v>
      </c>
      <c r="F873" s="229">
        <f>Input!F$52*F357</f>
        <v>0</v>
      </c>
      <c r="G873" s="229">
        <f>Input!G$52*G357</f>
        <v>0</v>
      </c>
      <c r="H873" s="229">
        <f>Input!H$52*H357</f>
        <v>0</v>
      </c>
      <c r="I873" s="229">
        <f>Input!I$52*I357</f>
        <v>0</v>
      </c>
      <c r="J873" s="229">
        <f>Input!J$52*J357</f>
        <v>0</v>
      </c>
      <c r="K873" s="229">
        <f>Input!K$52*K357</f>
        <v>0</v>
      </c>
      <c r="L873" s="229">
        <f>Input!L$52*L357</f>
        <v>0</v>
      </c>
      <c r="M873" s="229">
        <f>Input!M$52*M357</f>
        <v>0</v>
      </c>
      <c r="N873" s="229">
        <f>Input!N$52*N357</f>
        <v>0</v>
      </c>
      <c r="O873" s="229">
        <f>Input!O$52*O357</f>
        <v>0</v>
      </c>
      <c r="P873" s="229">
        <f>Input!P$52*P357</f>
        <v>0</v>
      </c>
      <c r="Q873" s="229">
        <f>Input!Q$52*Q357</f>
        <v>0</v>
      </c>
      <c r="R873" s="229">
        <f>Input!R$52*R357</f>
        <v>0</v>
      </c>
      <c r="S873" s="229">
        <f>Input!S$52*S357</f>
        <v>0</v>
      </c>
      <c r="T873" s="229">
        <f>Input!T$52*T357</f>
        <v>0</v>
      </c>
      <c r="U873" s="229">
        <f>Input!U$52*U357</f>
        <v>0</v>
      </c>
      <c r="V873" s="229">
        <f>Input!V$52*V357</f>
        <v>0</v>
      </c>
      <c r="W873" s="229">
        <f>Input!W$52*W357</f>
        <v>0</v>
      </c>
      <c r="X873" s="229">
        <f>Input!X$52*X357</f>
        <v>0</v>
      </c>
      <c r="Y873" s="229">
        <f>Input!Y$52*Y357</f>
        <v>0</v>
      </c>
      <c r="Z873" s="229">
        <f>Input!Z$52*Z357</f>
        <v>0</v>
      </c>
      <c r="AA873" s="229">
        <f>Input!AA$52*AA357</f>
        <v>0</v>
      </c>
      <c r="AB873" s="229">
        <f>Input!AB$52*AB357</f>
        <v>0</v>
      </c>
      <c r="CH873" s="269"/>
      <c r="CI873" s="269"/>
      <c r="CJ873" s="269"/>
      <c r="CK873" s="269"/>
      <c r="CL873" s="269"/>
      <c r="CM873" s="269"/>
      <c r="CN873" s="269"/>
      <c r="CO873" s="269"/>
      <c r="CP873" s="269"/>
      <c r="CQ873" s="269"/>
      <c r="CR873" s="269"/>
      <c r="CS873" s="269"/>
      <c r="DH873" s="219"/>
      <c r="DI873" s="219"/>
      <c r="DJ873" s="219"/>
      <c r="DK873" s="219"/>
    </row>
    <row r="874" spans="3:115" ht="12" customHeight="1" x14ac:dyDescent="0.35">
      <c r="C874" s="495">
        <f>C811</f>
        <v>578</v>
      </c>
      <c r="D874" s="229">
        <f>Input!D$52*D358</f>
        <v>0</v>
      </c>
      <c r="E874" s="229">
        <f>Input!E$52*E358</f>
        <v>0</v>
      </c>
      <c r="F874" s="229">
        <f>Input!F$52*F358</f>
        <v>0</v>
      </c>
      <c r="G874" s="229">
        <f>Input!G$52*G358</f>
        <v>0</v>
      </c>
      <c r="H874" s="229">
        <f>Input!H$52*H358</f>
        <v>0</v>
      </c>
      <c r="I874" s="229">
        <f>Input!I$52*I358</f>
        <v>0</v>
      </c>
      <c r="J874" s="229">
        <f>Input!J$52*J358</f>
        <v>0</v>
      </c>
      <c r="K874" s="229">
        <f>Input!K$52*K358</f>
        <v>0</v>
      </c>
      <c r="L874" s="229">
        <f>Input!L$52*L358</f>
        <v>0</v>
      </c>
      <c r="M874" s="229">
        <f>Input!M$52*M358</f>
        <v>0</v>
      </c>
      <c r="N874" s="229">
        <f>Input!N$52*N358</f>
        <v>0</v>
      </c>
      <c r="O874" s="229">
        <f>Input!O$52*O358</f>
        <v>0</v>
      </c>
      <c r="P874" s="229">
        <f>Input!P$52*P358</f>
        <v>0</v>
      </c>
      <c r="Q874" s="229">
        <f>Input!Q$52*Q358</f>
        <v>0</v>
      </c>
      <c r="R874" s="229">
        <f>Input!R$52*R358</f>
        <v>0</v>
      </c>
      <c r="S874" s="229">
        <f>Input!S$52*S358</f>
        <v>0</v>
      </c>
      <c r="T874" s="229">
        <f>Input!T$52*T358</f>
        <v>0</v>
      </c>
      <c r="U874" s="229">
        <f>Input!U$52*U358</f>
        <v>0</v>
      </c>
      <c r="V874" s="229">
        <f>Input!V$52*V358</f>
        <v>0</v>
      </c>
      <c r="W874" s="229">
        <f>Input!W$52*W358</f>
        <v>0</v>
      </c>
      <c r="X874" s="229">
        <f>Input!X$52*X358</f>
        <v>0</v>
      </c>
      <c r="Y874" s="229">
        <f>Input!Y$52*Y358</f>
        <v>0</v>
      </c>
      <c r="Z874" s="229">
        <f>Input!Z$52*Z358</f>
        <v>0</v>
      </c>
      <c r="AA874" s="229">
        <f>Input!AA$52*AA358</f>
        <v>0</v>
      </c>
      <c r="AB874" s="229">
        <f>Input!AB$52*AB358</f>
        <v>0</v>
      </c>
      <c r="CH874" s="269"/>
      <c r="CI874" s="269"/>
      <c r="CJ874" s="269"/>
      <c r="CK874" s="269"/>
      <c r="CL874" s="269"/>
      <c r="CM874" s="269"/>
      <c r="CN874" s="269"/>
      <c r="CO874" s="269"/>
      <c r="CP874" s="269"/>
      <c r="CQ874" s="269"/>
      <c r="CR874" s="269"/>
      <c r="CS874" s="269"/>
      <c r="DH874" s="219"/>
      <c r="DI874" s="219"/>
      <c r="DJ874" s="219"/>
      <c r="DK874" s="219"/>
    </row>
    <row r="875" spans="3:115" ht="12" customHeight="1" x14ac:dyDescent="0.35">
      <c r="C875" s="495">
        <f>C812</f>
        <v>609</v>
      </c>
      <c r="D875" s="229">
        <f>Input!D$52*D359</f>
        <v>0</v>
      </c>
      <c r="E875" s="229">
        <f>Input!E$52*E359</f>
        <v>0</v>
      </c>
      <c r="F875" s="229">
        <f>Input!F$52*F359</f>
        <v>0</v>
      </c>
      <c r="G875" s="229">
        <f>Input!G$52*G359</f>
        <v>0</v>
      </c>
      <c r="H875" s="229">
        <f>Input!H$52*H359</f>
        <v>0</v>
      </c>
      <c r="I875" s="229">
        <f>Input!I$52*I359</f>
        <v>0</v>
      </c>
      <c r="J875" s="229">
        <f>Input!J$52*J359</f>
        <v>0</v>
      </c>
      <c r="K875" s="229">
        <f>Input!K$52*K359</f>
        <v>0</v>
      </c>
      <c r="L875" s="229">
        <f>Input!L$52*L359</f>
        <v>0</v>
      </c>
      <c r="M875" s="229">
        <f>Input!M$52*M359</f>
        <v>0</v>
      </c>
      <c r="N875" s="229">
        <f>Input!N$52*N359</f>
        <v>0</v>
      </c>
      <c r="O875" s="229">
        <f>Input!O$52*O359</f>
        <v>0</v>
      </c>
      <c r="P875" s="229">
        <f>Input!P$52*P359</f>
        <v>0</v>
      </c>
      <c r="Q875" s="229">
        <f>Input!Q$52*Q359</f>
        <v>0</v>
      </c>
      <c r="R875" s="229">
        <f>Input!R$52*R359</f>
        <v>0</v>
      </c>
      <c r="S875" s="229">
        <f>Input!S$52*S359</f>
        <v>0</v>
      </c>
      <c r="T875" s="229">
        <f>Input!T$52*T359</f>
        <v>0</v>
      </c>
      <c r="U875" s="229">
        <f>Input!U$52*U359</f>
        <v>0</v>
      </c>
      <c r="V875" s="229">
        <f>Input!V$52*V359</f>
        <v>0</v>
      </c>
      <c r="W875" s="229">
        <f>Input!W$52*W359</f>
        <v>0</v>
      </c>
      <c r="X875" s="229">
        <f>Input!X$52*X359</f>
        <v>0</v>
      </c>
      <c r="Y875" s="229">
        <f>Input!Y$52*Y359</f>
        <v>0</v>
      </c>
      <c r="Z875" s="229">
        <f>Input!Z$52*Z359</f>
        <v>0</v>
      </c>
      <c r="AA875" s="229">
        <f>Input!AA$52*AA359</f>
        <v>0</v>
      </c>
      <c r="AB875" s="229">
        <f>Input!AB$52*AB359</f>
        <v>0</v>
      </c>
      <c r="CH875" s="269"/>
      <c r="CI875" s="269"/>
      <c r="CJ875" s="269"/>
      <c r="CK875" s="269"/>
      <c r="CL875" s="269"/>
      <c r="CM875" s="269"/>
      <c r="CN875" s="269"/>
      <c r="CO875" s="269"/>
      <c r="CP875" s="269"/>
      <c r="CQ875" s="269"/>
      <c r="CR875" s="269"/>
      <c r="CS875" s="269"/>
      <c r="DH875" s="219"/>
      <c r="DI875" s="219"/>
      <c r="DJ875" s="219"/>
      <c r="DK875" s="219"/>
    </row>
    <row r="876" spans="3:115" ht="12" customHeight="1" x14ac:dyDescent="0.35">
      <c r="C876" s="495">
        <f>C813</f>
        <v>639</v>
      </c>
      <c r="D876" s="229">
        <f>Input!D$52*D360</f>
        <v>0</v>
      </c>
      <c r="E876" s="229">
        <f>Input!E$52*E360</f>
        <v>0</v>
      </c>
      <c r="F876" s="229">
        <f>Input!F$52*F360</f>
        <v>0</v>
      </c>
      <c r="G876" s="229">
        <f>Input!G$52*G360</f>
        <v>0</v>
      </c>
      <c r="H876" s="229">
        <f>Input!H$52*H360</f>
        <v>0</v>
      </c>
      <c r="I876" s="229">
        <f>Input!I$52*I360</f>
        <v>0</v>
      </c>
      <c r="J876" s="229">
        <f>Input!J$52*J360</f>
        <v>0</v>
      </c>
      <c r="K876" s="229">
        <f>Input!K$52*K360</f>
        <v>0</v>
      </c>
      <c r="L876" s="229">
        <f>Input!L$52*L360</f>
        <v>0</v>
      </c>
      <c r="M876" s="229">
        <f>Input!M$52*M360</f>
        <v>0</v>
      </c>
      <c r="N876" s="229">
        <f>Input!N$52*N360</f>
        <v>0</v>
      </c>
      <c r="O876" s="229">
        <f>Input!O$52*O360</f>
        <v>0</v>
      </c>
      <c r="P876" s="229">
        <f>Input!P$52*P360</f>
        <v>0</v>
      </c>
      <c r="Q876" s="229">
        <f>Input!Q$52*Q360</f>
        <v>0</v>
      </c>
      <c r="R876" s="229">
        <f>Input!R$52*R360</f>
        <v>0</v>
      </c>
      <c r="S876" s="229">
        <f>Input!S$52*S360</f>
        <v>0</v>
      </c>
      <c r="T876" s="229">
        <f>Input!T$52*T360</f>
        <v>0</v>
      </c>
      <c r="U876" s="229">
        <f>Input!U$52*U360</f>
        <v>0</v>
      </c>
      <c r="V876" s="229">
        <f>Input!V$52*V360</f>
        <v>0</v>
      </c>
      <c r="W876" s="229">
        <f>Input!W$52*W360</f>
        <v>0</v>
      </c>
      <c r="X876" s="229">
        <f>Input!X$52*X360</f>
        <v>0</v>
      </c>
      <c r="Y876" s="229">
        <f>Input!Y$52*Y360</f>
        <v>0</v>
      </c>
      <c r="Z876" s="229">
        <f>Input!Z$52*Z360</f>
        <v>0</v>
      </c>
      <c r="AA876" s="229">
        <f>Input!AA$52*AA360</f>
        <v>0</v>
      </c>
      <c r="AB876" s="229">
        <f>Input!AB$52*AB360</f>
        <v>0</v>
      </c>
      <c r="CH876" s="269"/>
      <c r="CI876" s="269"/>
      <c r="CJ876" s="269"/>
      <c r="CK876" s="269"/>
      <c r="CL876" s="269"/>
      <c r="CM876" s="269"/>
      <c r="CN876" s="269"/>
      <c r="CO876" s="269"/>
      <c r="CP876" s="269"/>
      <c r="CQ876" s="269"/>
      <c r="CR876" s="269"/>
      <c r="CS876" s="269"/>
      <c r="DH876" s="219"/>
      <c r="DI876" s="219"/>
      <c r="DJ876" s="219"/>
      <c r="DK876" s="219"/>
    </row>
    <row r="877" spans="3:115" ht="12" customHeight="1" x14ac:dyDescent="0.35">
      <c r="C877" s="495">
        <f>C814</f>
        <v>670</v>
      </c>
      <c r="D877" s="229">
        <f>Input!D$52*D361</f>
        <v>0</v>
      </c>
      <c r="E877" s="229">
        <f>Input!E$52*E361</f>
        <v>0</v>
      </c>
      <c r="F877" s="229">
        <f>Input!F$52*F361</f>
        <v>0</v>
      </c>
      <c r="G877" s="229">
        <f>Input!G$52*G361</f>
        <v>0</v>
      </c>
      <c r="H877" s="229">
        <f>Input!H$52*H361</f>
        <v>0</v>
      </c>
      <c r="I877" s="229">
        <f>Input!I$52*I361</f>
        <v>0</v>
      </c>
      <c r="J877" s="229">
        <f>Input!J$52*J361</f>
        <v>0</v>
      </c>
      <c r="K877" s="229">
        <f>Input!K$52*K361</f>
        <v>0</v>
      </c>
      <c r="L877" s="229">
        <f>Input!L$52*L361</f>
        <v>0</v>
      </c>
      <c r="M877" s="229">
        <f>Input!M$52*M361</f>
        <v>0</v>
      </c>
      <c r="N877" s="229">
        <f>Input!N$52*N361</f>
        <v>0</v>
      </c>
      <c r="O877" s="229">
        <f>Input!O$52*O361</f>
        <v>0</v>
      </c>
      <c r="P877" s="229">
        <f>Input!P$52*P361</f>
        <v>0</v>
      </c>
      <c r="Q877" s="229">
        <f>Input!Q$52*Q361</f>
        <v>0</v>
      </c>
      <c r="R877" s="229">
        <f>Input!R$52*R361</f>
        <v>0</v>
      </c>
      <c r="S877" s="229">
        <f>Input!S$52*S361</f>
        <v>0</v>
      </c>
      <c r="T877" s="229">
        <f>Input!T$52*T361</f>
        <v>0</v>
      </c>
      <c r="U877" s="229">
        <f>Input!U$52*U361</f>
        <v>0</v>
      </c>
      <c r="V877" s="229">
        <f>Input!V$52*V361</f>
        <v>0</v>
      </c>
      <c r="W877" s="229">
        <f>Input!W$52*W361</f>
        <v>0</v>
      </c>
      <c r="X877" s="229">
        <f>Input!X$52*X361</f>
        <v>0</v>
      </c>
      <c r="Y877" s="229">
        <f>Input!Y$52*Y361</f>
        <v>0</v>
      </c>
      <c r="Z877" s="229">
        <f>Input!Z$52*Z361</f>
        <v>0</v>
      </c>
      <c r="AA877" s="229">
        <f>Input!AA$52*AA361</f>
        <v>0</v>
      </c>
      <c r="AB877" s="229">
        <f>Input!AB$52*AB361</f>
        <v>0</v>
      </c>
      <c r="CH877" s="269"/>
      <c r="CI877" s="269"/>
      <c r="CJ877" s="269"/>
      <c r="CK877" s="269"/>
      <c r="CL877" s="269"/>
      <c r="CM877" s="269"/>
      <c r="CN877" s="269"/>
      <c r="CO877" s="269"/>
      <c r="CP877" s="269"/>
      <c r="CQ877" s="269"/>
      <c r="CR877" s="269"/>
      <c r="CS877" s="269"/>
      <c r="DH877" s="219"/>
      <c r="DI877" s="219"/>
      <c r="DJ877" s="219"/>
      <c r="DK877" s="219"/>
    </row>
    <row r="878" spans="3:115" ht="12" customHeight="1" x14ac:dyDescent="0.35">
      <c r="C878" s="495">
        <f>C815</f>
        <v>700</v>
      </c>
      <c r="D878" s="229">
        <f>Input!D$52*D362</f>
        <v>0</v>
      </c>
      <c r="E878" s="229">
        <f>Input!E$52*E362</f>
        <v>0</v>
      </c>
      <c r="F878" s="229">
        <f>Input!F$52*F362</f>
        <v>0</v>
      </c>
      <c r="G878" s="229">
        <f>Input!G$52*G362</f>
        <v>0</v>
      </c>
      <c r="H878" s="229">
        <f>Input!H$52*H362</f>
        <v>0</v>
      </c>
      <c r="I878" s="229">
        <f>Input!I$52*I362</f>
        <v>0</v>
      </c>
      <c r="J878" s="229">
        <f>Input!J$52*J362</f>
        <v>0</v>
      </c>
      <c r="K878" s="229">
        <f>Input!K$52*K362</f>
        <v>0</v>
      </c>
      <c r="L878" s="229">
        <f>Input!L$52*L362</f>
        <v>0</v>
      </c>
      <c r="M878" s="229">
        <f>Input!M$52*M362</f>
        <v>0</v>
      </c>
      <c r="N878" s="229">
        <f>Input!N$52*N362</f>
        <v>0</v>
      </c>
      <c r="O878" s="229">
        <f>Input!O$52*O362</f>
        <v>0</v>
      </c>
      <c r="P878" s="229">
        <f>Input!P$52*P362</f>
        <v>0</v>
      </c>
      <c r="Q878" s="229">
        <f>Input!Q$52*Q362</f>
        <v>0</v>
      </c>
      <c r="R878" s="229">
        <f>Input!R$52*R362</f>
        <v>0</v>
      </c>
      <c r="S878" s="229">
        <f>Input!S$52*S362</f>
        <v>0</v>
      </c>
      <c r="T878" s="229">
        <f>Input!T$52*T362</f>
        <v>0</v>
      </c>
      <c r="U878" s="229">
        <f>Input!U$52*U362</f>
        <v>0</v>
      </c>
      <c r="V878" s="229">
        <f>Input!V$52*V362</f>
        <v>0</v>
      </c>
      <c r="W878" s="229">
        <f>Input!W$52*W362</f>
        <v>0</v>
      </c>
      <c r="X878" s="229">
        <f>Input!X$52*X362</f>
        <v>0</v>
      </c>
      <c r="Y878" s="229">
        <f>Input!Y$52*Y362</f>
        <v>0</v>
      </c>
      <c r="Z878" s="229">
        <f>Input!Z$52*Z362</f>
        <v>0</v>
      </c>
      <c r="AA878" s="229">
        <f>Input!AA$52*AA362</f>
        <v>0</v>
      </c>
      <c r="AB878" s="229">
        <f>Input!AB$52*AB362</f>
        <v>0</v>
      </c>
      <c r="CH878" s="269"/>
      <c r="CI878" s="269"/>
      <c r="CJ878" s="269"/>
      <c r="CK878" s="269"/>
      <c r="CL878" s="269"/>
      <c r="CM878" s="269"/>
      <c r="CN878" s="269"/>
      <c r="CO878" s="269"/>
      <c r="CP878" s="269"/>
      <c r="CQ878" s="269"/>
      <c r="CR878" s="269"/>
      <c r="CS878" s="269"/>
      <c r="DH878" s="219"/>
      <c r="DI878" s="219"/>
      <c r="DJ878" s="219"/>
      <c r="DK878" s="219"/>
    </row>
    <row r="879" spans="3:115" ht="12" customHeight="1" thickBot="1" x14ac:dyDescent="0.4">
      <c r="C879" s="496">
        <f>C816</f>
        <v>731</v>
      </c>
      <c r="D879" s="230">
        <f>Input!D$52*D363</f>
        <v>0</v>
      </c>
      <c r="E879" s="230">
        <f>Input!E$52*E363</f>
        <v>0</v>
      </c>
      <c r="F879" s="230">
        <f>Input!F$52*F363</f>
        <v>0</v>
      </c>
      <c r="G879" s="230">
        <f>Input!G$52*G363</f>
        <v>0</v>
      </c>
      <c r="H879" s="230">
        <f>Input!H$52*H363</f>
        <v>0</v>
      </c>
      <c r="I879" s="230">
        <f>Input!I$52*I363</f>
        <v>0</v>
      </c>
      <c r="J879" s="230">
        <f>Input!J$52*J363</f>
        <v>0</v>
      </c>
      <c r="K879" s="230">
        <f>Input!K$52*K363</f>
        <v>0</v>
      </c>
      <c r="L879" s="230">
        <f>Input!L$52*L363</f>
        <v>0</v>
      </c>
      <c r="M879" s="230">
        <f>Input!M$52*M363</f>
        <v>0</v>
      </c>
      <c r="N879" s="230">
        <f>Input!N$52*N363</f>
        <v>0</v>
      </c>
      <c r="O879" s="230">
        <f>Input!O$52*O363</f>
        <v>0</v>
      </c>
      <c r="P879" s="230">
        <f>Input!P$52*P363</f>
        <v>0</v>
      </c>
      <c r="Q879" s="230">
        <f>Input!Q$52*Q363</f>
        <v>0</v>
      </c>
      <c r="R879" s="230">
        <f>Input!R$52*R363</f>
        <v>0</v>
      </c>
      <c r="S879" s="230">
        <f>Input!S$52*S363</f>
        <v>0</v>
      </c>
      <c r="T879" s="230">
        <f>Input!T$52*T363</f>
        <v>0</v>
      </c>
      <c r="U879" s="230">
        <f>Input!U$52*U363</f>
        <v>0</v>
      </c>
      <c r="V879" s="230">
        <f>Input!V$52*V363</f>
        <v>0</v>
      </c>
      <c r="W879" s="230">
        <f>Input!W$52*W363</f>
        <v>0</v>
      </c>
      <c r="X879" s="230">
        <f>Input!X$52*X363</f>
        <v>0</v>
      </c>
      <c r="Y879" s="230">
        <f>Input!Y$52*Y363</f>
        <v>0</v>
      </c>
      <c r="Z879" s="230">
        <f>Input!Z$52*Z363</f>
        <v>0</v>
      </c>
      <c r="AA879" s="230">
        <f>Input!AA$52*AA363</f>
        <v>0</v>
      </c>
      <c r="AB879" s="230">
        <f>Input!AB$52*AB363</f>
        <v>0</v>
      </c>
      <c r="CH879" s="269"/>
      <c r="CI879" s="269"/>
      <c r="CJ879" s="269"/>
      <c r="CK879" s="269"/>
      <c r="CL879" s="269"/>
      <c r="CM879" s="269"/>
      <c r="CN879" s="269"/>
      <c r="CO879" s="269"/>
      <c r="CP879" s="269"/>
      <c r="CQ879" s="269"/>
      <c r="CR879" s="269"/>
      <c r="CS879" s="269"/>
      <c r="DH879" s="219"/>
      <c r="DI879" s="219"/>
      <c r="DJ879" s="219"/>
      <c r="DK879" s="219"/>
    </row>
    <row r="880" spans="3:115" ht="12" customHeight="1" x14ac:dyDescent="0.35">
      <c r="C880" s="495">
        <f>C817</f>
        <v>762</v>
      </c>
      <c r="D880" s="231">
        <f>Input!D$52*D364</f>
        <v>0</v>
      </c>
      <c r="E880" s="231">
        <f>Input!E$52*E364</f>
        <v>0</v>
      </c>
      <c r="F880" s="231">
        <f>Input!F$52*F364</f>
        <v>0</v>
      </c>
      <c r="G880" s="231">
        <f>Input!G$52*G364</f>
        <v>0</v>
      </c>
      <c r="H880" s="231">
        <f>Input!H$52*H364</f>
        <v>0</v>
      </c>
      <c r="I880" s="231">
        <f>Input!I$52*I364</f>
        <v>0</v>
      </c>
      <c r="J880" s="231">
        <f>Input!J$52*J364</f>
        <v>0</v>
      </c>
      <c r="K880" s="231">
        <f>Input!K$52*K364</f>
        <v>0</v>
      </c>
      <c r="L880" s="231">
        <f>Input!L$52*L364</f>
        <v>0</v>
      </c>
      <c r="M880" s="231">
        <f>Input!M$52*M364</f>
        <v>0</v>
      </c>
      <c r="N880" s="231">
        <f>Input!N$52*N364</f>
        <v>0</v>
      </c>
      <c r="O880" s="231">
        <f>Input!O$52*O364</f>
        <v>0</v>
      </c>
      <c r="P880" s="231">
        <f>Input!P$52*P364</f>
        <v>0</v>
      </c>
      <c r="Q880" s="231">
        <f>Input!Q$52*Q364</f>
        <v>0</v>
      </c>
      <c r="R880" s="231">
        <f>Input!R$52*R364</f>
        <v>0</v>
      </c>
      <c r="S880" s="231">
        <f>Input!S$52*S364</f>
        <v>0</v>
      </c>
      <c r="T880" s="231">
        <f>Input!T$52*T364</f>
        <v>0</v>
      </c>
      <c r="U880" s="231">
        <f>Input!U$52*U364</f>
        <v>0</v>
      </c>
      <c r="V880" s="231">
        <f>Input!V$52*V364</f>
        <v>0</v>
      </c>
      <c r="W880" s="231">
        <f>Input!W$52*W364</f>
        <v>0</v>
      </c>
      <c r="X880" s="231">
        <f>Input!X$52*X364</f>
        <v>0</v>
      </c>
      <c r="Y880" s="231">
        <f>Input!Y$52*Y364</f>
        <v>0</v>
      </c>
      <c r="Z880" s="231">
        <f>Input!Z$52*Z364</f>
        <v>0</v>
      </c>
      <c r="AA880" s="231">
        <f>Input!AA$52*AA364</f>
        <v>0</v>
      </c>
      <c r="AB880" s="231">
        <f>Input!AB$52*AB364</f>
        <v>0</v>
      </c>
      <c r="CH880" s="269"/>
      <c r="CI880" s="269"/>
      <c r="CJ880" s="269"/>
      <c r="CK880" s="269"/>
      <c r="CL880" s="269"/>
      <c r="CM880" s="269"/>
      <c r="CN880" s="269"/>
      <c r="CO880" s="269"/>
      <c r="CP880" s="269"/>
      <c r="CQ880" s="269"/>
      <c r="CR880" s="269"/>
      <c r="CS880" s="269"/>
      <c r="DH880" s="219"/>
      <c r="DI880" s="219"/>
      <c r="DJ880" s="219"/>
      <c r="DK880" s="219"/>
    </row>
    <row r="881" spans="3:115" ht="12" customHeight="1" x14ac:dyDescent="0.35">
      <c r="C881" s="495">
        <f>C818</f>
        <v>790</v>
      </c>
      <c r="D881" s="229">
        <f>Input!D$52*D365</f>
        <v>0</v>
      </c>
      <c r="E881" s="229">
        <f>Input!E$52*E365</f>
        <v>0</v>
      </c>
      <c r="F881" s="229">
        <f>Input!F$52*F365</f>
        <v>0</v>
      </c>
      <c r="G881" s="229">
        <f>Input!G$52*G365</f>
        <v>0</v>
      </c>
      <c r="H881" s="229">
        <f>Input!H$52*H365</f>
        <v>0</v>
      </c>
      <c r="I881" s="229">
        <f>Input!I$52*I365</f>
        <v>0</v>
      </c>
      <c r="J881" s="229">
        <f>Input!J$52*J365</f>
        <v>0</v>
      </c>
      <c r="K881" s="229">
        <f>Input!K$52*K365</f>
        <v>0</v>
      </c>
      <c r="L881" s="229">
        <f>Input!L$52*L365</f>
        <v>0</v>
      </c>
      <c r="M881" s="229">
        <f>Input!M$52*M365</f>
        <v>0</v>
      </c>
      <c r="N881" s="229">
        <f>Input!N$52*N365</f>
        <v>0</v>
      </c>
      <c r="O881" s="229">
        <f>Input!O$52*O365</f>
        <v>0</v>
      </c>
      <c r="P881" s="229">
        <f>Input!P$52*P365</f>
        <v>0</v>
      </c>
      <c r="Q881" s="229">
        <f>Input!Q$52*Q365</f>
        <v>0</v>
      </c>
      <c r="R881" s="229">
        <f>Input!R$52*R365</f>
        <v>0</v>
      </c>
      <c r="S881" s="229">
        <f>Input!S$52*S365</f>
        <v>0</v>
      </c>
      <c r="T881" s="229">
        <f>Input!T$52*T365</f>
        <v>0</v>
      </c>
      <c r="U881" s="229">
        <f>Input!U$52*U365</f>
        <v>0</v>
      </c>
      <c r="V881" s="229">
        <f>Input!V$52*V365</f>
        <v>0</v>
      </c>
      <c r="W881" s="229">
        <f>Input!W$52*W365</f>
        <v>0</v>
      </c>
      <c r="X881" s="229">
        <f>Input!X$52*X365</f>
        <v>0</v>
      </c>
      <c r="Y881" s="229">
        <f>Input!Y$52*Y365</f>
        <v>0</v>
      </c>
      <c r="Z881" s="229">
        <f>Input!Z$52*Z365</f>
        <v>0</v>
      </c>
      <c r="AA881" s="229">
        <f>Input!AA$52*AA365</f>
        <v>0</v>
      </c>
      <c r="AB881" s="229">
        <f>Input!AB$52*AB365</f>
        <v>0</v>
      </c>
      <c r="CH881" s="269"/>
      <c r="CI881" s="269"/>
      <c r="CJ881" s="269"/>
      <c r="CK881" s="269"/>
      <c r="CL881" s="269"/>
      <c r="CM881" s="269"/>
      <c r="CN881" s="269"/>
      <c r="CO881" s="269"/>
      <c r="CP881" s="269"/>
      <c r="CQ881" s="269"/>
      <c r="CR881" s="269"/>
      <c r="CS881" s="269"/>
      <c r="DH881" s="219"/>
      <c r="DI881" s="219"/>
      <c r="DJ881" s="219"/>
      <c r="DK881" s="219"/>
    </row>
    <row r="882" spans="3:115" ht="12" customHeight="1" x14ac:dyDescent="0.35">
      <c r="C882" s="495">
        <f>C819</f>
        <v>821</v>
      </c>
      <c r="D882" s="229">
        <f>Input!D$52*D366</f>
        <v>0</v>
      </c>
      <c r="E882" s="229">
        <f>Input!E$52*E366</f>
        <v>0</v>
      </c>
      <c r="F882" s="229">
        <f>Input!F$52*F366</f>
        <v>0</v>
      </c>
      <c r="G882" s="229">
        <f>Input!G$52*G366</f>
        <v>0</v>
      </c>
      <c r="H882" s="229">
        <f>Input!H$52*H366</f>
        <v>0</v>
      </c>
      <c r="I882" s="229">
        <f>Input!I$52*I366</f>
        <v>0</v>
      </c>
      <c r="J882" s="229">
        <f>Input!J$52*J366</f>
        <v>0</v>
      </c>
      <c r="K882" s="229">
        <f>Input!K$52*K366</f>
        <v>0</v>
      </c>
      <c r="L882" s="229">
        <f>Input!L$52*L366</f>
        <v>0</v>
      </c>
      <c r="M882" s="229">
        <f>Input!M$52*M366</f>
        <v>0</v>
      </c>
      <c r="N882" s="229">
        <f>Input!N$52*N366</f>
        <v>0</v>
      </c>
      <c r="O882" s="229">
        <f>Input!O$52*O366</f>
        <v>0</v>
      </c>
      <c r="P882" s="229">
        <f>Input!P$52*P366</f>
        <v>0</v>
      </c>
      <c r="Q882" s="229">
        <f>Input!Q$52*Q366</f>
        <v>0</v>
      </c>
      <c r="R882" s="229">
        <f>Input!R$52*R366</f>
        <v>0</v>
      </c>
      <c r="S882" s="229">
        <f>Input!S$52*S366</f>
        <v>0</v>
      </c>
      <c r="T882" s="229">
        <f>Input!T$52*T366</f>
        <v>0</v>
      </c>
      <c r="U882" s="229">
        <f>Input!U$52*U366</f>
        <v>0</v>
      </c>
      <c r="V882" s="229">
        <f>Input!V$52*V366</f>
        <v>0</v>
      </c>
      <c r="W882" s="229">
        <f>Input!W$52*W366</f>
        <v>0</v>
      </c>
      <c r="X882" s="229">
        <f>Input!X$52*X366</f>
        <v>0</v>
      </c>
      <c r="Y882" s="229">
        <f>Input!Y$52*Y366</f>
        <v>0</v>
      </c>
      <c r="Z882" s="229">
        <f>Input!Z$52*Z366</f>
        <v>0</v>
      </c>
      <c r="AA882" s="229">
        <f>Input!AA$52*AA366</f>
        <v>0</v>
      </c>
      <c r="AB882" s="229">
        <f>Input!AB$52*AB366</f>
        <v>0</v>
      </c>
      <c r="CH882" s="269"/>
      <c r="CI882" s="269"/>
      <c r="CJ882" s="269"/>
      <c r="CK882" s="269"/>
      <c r="CL882" s="269"/>
      <c r="CM882" s="269"/>
      <c r="CN882" s="269"/>
      <c r="CO882" s="269"/>
      <c r="CP882" s="269"/>
      <c r="CQ882" s="269"/>
      <c r="CR882" s="269"/>
      <c r="CS882" s="269"/>
      <c r="DH882" s="219"/>
      <c r="DI882" s="219"/>
      <c r="DJ882" s="219"/>
      <c r="DK882" s="219"/>
    </row>
    <row r="883" spans="3:115" ht="12" customHeight="1" x14ac:dyDescent="0.35">
      <c r="C883" s="495">
        <f>C820</f>
        <v>851</v>
      </c>
      <c r="D883" s="229">
        <f>Input!D$52*D367</f>
        <v>0</v>
      </c>
      <c r="E883" s="229">
        <f>Input!E$52*E367</f>
        <v>0</v>
      </c>
      <c r="F883" s="229">
        <f>Input!F$52*F367</f>
        <v>0</v>
      </c>
      <c r="G883" s="229">
        <f>Input!G$52*G367</f>
        <v>0</v>
      </c>
      <c r="H883" s="229">
        <f>Input!H$52*H367</f>
        <v>0</v>
      </c>
      <c r="I883" s="229">
        <f>Input!I$52*I367</f>
        <v>0</v>
      </c>
      <c r="J883" s="229">
        <f>Input!J$52*J367</f>
        <v>0</v>
      </c>
      <c r="K883" s="229">
        <f>Input!K$52*K367</f>
        <v>0</v>
      </c>
      <c r="L883" s="229">
        <f>Input!L$52*L367</f>
        <v>0</v>
      </c>
      <c r="M883" s="229">
        <f>Input!M$52*M367</f>
        <v>0</v>
      </c>
      <c r="N883" s="229">
        <f>Input!N$52*N367</f>
        <v>0</v>
      </c>
      <c r="O883" s="229">
        <f>Input!O$52*O367</f>
        <v>0</v>
      </c>
      <c r="P883" s="229">
        <f>Input!P$52*P367</f>
        <v>0</v>
      </c>
      <c r="Q883" s="229">
        <f>Input!Q$52*Q367</f>
        <v>0</v>
      </c>
      <c r="R883" s="229">
        <f>Input!R$52*R367</f>
        <v>0</v>
      </c>
      <c r="S883" s="229">
        <f>Input!S$52*S367</f>
        <v>0</v>
      </c>
      <c r="T883" s="229">
        <f>Input!T$52*T367</f>
        <v>0</v>
      </c>
      <c r="U883" s="229">
        <f>Input!U$52*U367</f>
        <v>0</v>
      </c>
      <c r="V883" s="229">
        <f>Input!V$52*V367</f>
        <v>0</v>
      </c>
      <c r="W883" s="229">
        <f>Input!W$52*W367</f>
        <v>0</v>
      </c>
      <c r="X883" s="229">
        <f>Input!X$52*X367</f>
        <v>0</v>
      </c>
      <c r="Y883" s="229">
        <f>Input!Y$52*Y367</f>
        <v>0</v>
      </c>
      <c r="Z883" s="229">
        <f>Input!Z$52*Z367</f>
        <v>0</v>
      </c>
      <c r="AA883" s="229">
        <f>Input!AA$52*AA367</f>
        <v>0</v>
      </c>
      <c r="AB883" s="229">
        <f>Input!AB$52*AB367</f>
        <v>0</v>
      </c>
      <c r="CH883" s="269"/>
      <c r="CI883" s="269"/>
      <c r="CJ883" s="269"/>
      <c r="CK883" s="269"/>
      <c r="CL883" s="269"/>
      <c r="CM883" s="269"/>
      <c r="CN883" s="269"/>
      <c r="CO883" s="269"/>
      <c r="CP883" s="269"/>
      <c r="CQ883" s="269"/>
      <c r="CR883" s="269"/>
      <c r="CS883" s="269"/>
      <c r="DH883" s="219"/>
      <c r="DI883" s="219"/>
      <c r="DJ883" s="219"/>
      <c r="DK883" s="219"/>
    </row>
    <row r="884" spans="3:115" ht="12" customHeight="1" x14ac:dyDescent="0.35">
      <c r="C884" s="495">
        <f>C821</f>
        <v>882</v>
      </c>
      <c r="D884" s="229">
        <f>Input!D$52*D368</f>
        <v>0</v>
      </c>
      <c r="E884" s="229">
        <f>Input!E$52*E368</f>
        <v>0</v>
      </c>
      <c r="F884" s="229">
        <f>Input!F$52*F368</f>
        <v>0</v>
      </c>
      <c r="G884" s="229">
        <f>Input!G$52*G368</f>
        <v>0</v>
      </c>
      <c r="H884" s="229">
        <f>Input!H$52*H368</f>
        <v>0</v>
      </c>
      <c r="I884" s="229">
        <f>Input!I$52*I368</f>
        <v>0</v>
      </c>
      <c r="J884" s="229">
        <f>Input!J$52*J368</f>
        <v>0</v>
      </c>
      <c r="K884" s="229">
        <f>Input!K$52*K368</f>
        <v>0</v>
      </c>
      <c r="L884" s="229">
        <f>Input!L$52*L368</f>
        <v>0</v>
      </c>
      <c r="M884" s="229">
        <f>Input!M$52*M368</f>
        <v>0</v>
      </c>
      <c r="N884" s="229">
        <f>Input!N$52*N368</f>
        <v>0</v>
      </c>
      <c r="O884" s="229">
        <f>Input!O$52*O368</f>
        <v>0</v>
      </c>
      <c r="P884" s="229">
        <f>Input!P$52*P368</f>
        <v>0</v>
      </c>
      <c r="Q884" s="229">
        <f>Input!Q$52*Q368</f>
        <v>0</v>
      </c>
      <c r="R884" s="229">
        <f>Input!R$52*R368</f>
        <v>0</v>
      </c>
      <c r="S884" s="229">
        <f>Input!S$52*S368</f>
        <v>0</v>
      </c>
      <c r="T884" s="229">
        <f>Input!T$52*T368</f>
        <v>0</v>
      </c>
      <c r="U884" s="229">
        <f>Input!U$52*U368</f>
        <v>0</v>
      </c>
      <c r="V884" s="229">
        <f>Input!V$52*V368</f>
        <v>0</v>
      </c>
      <c r="W884" s="229">
        <f>Input!W$52*W368</f>
        <v>0</v>
      </c>
      <c r="X884" s="229">
        <f>Input!X$52*X368</f>
        <v>0</v>
      </c>
      <c r="Y884" s="229">
        <f>Input!Y$52*Y368</f>
        <v>0</v>
      </c>
      <c r="Z884" s="229">
        <f>Input!Z$52*Z368</f>
        <v>0</v>
      </c>
      <c r="AA884" s="229">
        <f>Input!AA$52*AA368</f>
        <v>0</v>
      </c>
      <c r="AB884" s="229">
        <f>Input!AB$52*AB368</f>
        <v>0</v>
      </c>
      <c r="CH884" s="269"/>
      <c r="CI884" s="269"/>
      <c r="CJ884" s="269"/>
      <c r="CK884" s="269"/>
      <c r="CL884" s="269"/>
      <c r="CM884" s="269"/>
      <c r="CN884" s="269"/>
      <c r="CO884" s="269"/>
      <c r="CP884" s="269"/>
      <c r="CQ884" s="269"/>
      <c r="CR884" s="269"/>
      <c r="CS884" s="269"/>
      <c r="DH884" s="219"/>
      <c r="DI884" s="219"/>
      <c r="DJ884" s="219"/>
      <c r="DK884" s="219"/>
    </row>
    <row r="885" spans="3:115" ht="12" customHeight="1" x14ac:dyDescent="0.35">
      <c r="C885" s="495">
        <f>C822</f>
        <v>912</v>
      </c>
      <c r="D885" s="229">
        <f>Input!D$52*D369</f>
        <v>0</v>
      </c>
      <c r="E885" s="229">
        <f>Input!E$52*E369</f>
        <v>0</v>
      </c>
      <c r="F885" s="229">
        <f>Input!F$52*F369</f>
        <v>0</v>
      </c>
      <c r="G885" s="229">
        <f>Input!G$52*G369</f>
        <v>0</v>
      </c>
      <c r="H885" s="229">
        <f>Input!H$52*H369</f>
        <v>0</v>
      </c>
      <c r="I885" s="229">
        <f>Input!I$52*I369</f>
        <v>0</v>
      </c>
      <c r="J885" s="229">
        <f>Input!J$52*J369</f>
        <v>0</v>
      </c>
      <c r="K885" s="229">
        <f>Input!K$52*K369</f>
        <v>0</v>
      </c>
      <c r="L885" s="229">
        <f>Input!L$52*L369</f>
        <v>0</v>
      </c>
      <c r="M885" s="229">
        <f>Input!M$52*M369</f>
        <v>0</v>
      </c>
      <c r="N885" s="229">
        <f>Input!N$52*N369</f>
        <v>0</v>
      </c>
      <c r="O885" s="229">
        <f>Input!O$52*O369</f>
        <v>0</v>
      </c>
      <c r="P885" s="229">
        <f>Input!P$52*P369</f>
        <v>0</v>
      </c>
      <c r="Q885" s="229">
        <f>Input!Q$52*Q369</f>
        <v>0</v>
      </c>
      <c r="R885" s="229">
        <f>Input!R$52*R369</f>
        <v>0</v>
      </c>
      <c r="S885" s="229">
        <f>Input!S$52*S369</f>
        <v>0</v>
      </c>
      <c r="T885" s="229">
        <f>Input!T$52*T369</f>
        <v>0</v>
      </c>
      <c r="U885" s="229">
        <f>Input!U$52*U369</f>
        <v>0</v>
      </c>
      <c r="V885" s="229">
        <f>Input!V$52*V369</f>
        <v>0</v>
      </c>
      <c r="W885" s="229">
        <f>Input!W$52*W369</f>
        <v>0</v>
      </c>
      <c r="X885" s="229">
        <f>Input!X$52*X369</f>
        <v>0</v>
      </c>
      <c r="Y885" s="229">
        <f>Input!Y$52*Y369</f>
        <v>0</v>
      </c>
      <c r="Z885" s="229">
        <f>Input!Z$52*Z369</f>
        <v>0</v>
      </c>
      <c r="AA885" s="229">
        <f>Input!AA$52*AA369</f>
        <v>0</v>
      </c>
      <c r="AB885" s="229">
        <f>Input!AB$52*AB369</f>
        <v>0</v>
      </c>
      <c r="CH885" s="269"/>
      <c r="CI885" s="269"/>
      <c r="CJ885" s="269"/>
      <c r="CK885" s="269"/>
      <c r="CL885" s="269"/>
      <c r="CM885" s="269"/>
      <c r="CN885" s="269"/>
      <c r="CO885" s="269"/>
      <c r="CP885" s="269"/>
      <c r="CQ885" s="269"/>
      <c r="CR885" s="269"/>
      <c r="CS885" s="269"/>
      <c r="DH885" s="219"/>
      <c r="DI885" s="219"/>
      <c r="DJ885" s="219"/>
      <c r="DK885" s="219"/>
    </row>
    <row r="886" spans="3:115" ht="12" customHeight="1" x14ac:dyDescent="0.35">
      <c r="C886" s="495">
        <f>C823</f>
        <v>943</v>
      </c>
      <c r="D886" s="229">
        <f>Input!D$52*D370</f>
        <v>0</v>
      </c>
      <c r="E886" s="229">
        <f>Input!E$52*E370</f>
        <v>0</v>
      </c>
      <c r="F886" s="229">
        <f>Input!F$52*F370</f>
        <v>0</v>
      </c>
      <c r="G886" s="229">
        <f>Input!G$52*G370</f>
        <v>0</v>
      </c>
      <c r="H886" s="229">
        <f>Input!H$52*H370</f>
        <v>0</v>
      </c>
      <c r="I886" s="229">
        <f>Input!I$52*I370</f>
        <v>0</v>
      </c>
      <c r="J886" s="229">
        <f>Input!J$52*J370</f>
        <v>0</v>
      </c>
      <c r="K886" s="229">
        <f>Input!K$52*K370</f>
        <v>0</v>
      </c>
      <c r="L886" s="229">
        <f>Input!L$52*L370</f>
        <v>0</v>
      </c>
      <c r="M886" s="229">
        <f>Input!M$52*M370</f>
        <v>0</v>
      </c>
      <c r="N886" s="229">
        <f>Input!N$52*N370</f>
        <v>0</v>
      </c>
      <c r="O886" s="229">
        <f>Input!O$52*O370</f>
        <v>0</v>
      </c>
      <c r="P886" s="229">
        <f>Input!P$52*P370</f>
        <v>0</v>
      </c>
      <c r="Q886" s="229">
        <f>Input!Q$52*Q370</f>
        <v>0</v>
      </c>
      <c r="R886" s="229">
        <f>Input!R$52*R370</f>
        <v>0</v>
      </c>
      <c r="S886" s="229">
        <f>Input!S$52*S370</f>
        <v>0</v>
      </c>
      <c r="T886" s="229">
        <f>Input!T$52*T370</f>
        <v>0</v>
      </c>
      <c r="U886" s="229">
        <f>Input!U$52*U370</f>
        <v>0</v>
      </c>
      <c r="V886" s="229">
        <f>Input!V$52*V370</f>
        <v>0</v>
      </c>
      <c r="W886" s="229">
        <f>Input!W$52*W370</f>
        <v>0</v>
      </c>
      <c r="X886" s="229">
        <f>Input!X$52*X370</f>
        <v>0</v>
      </c>
      <c r="Y886" s="229">
        <f>Input!Y$52*Y370</f>
        <v>0</v>
      </c>
      <c r="Z886" s="229">
        <f>Input!Z$52*Z370</f>
        <v>0</v>
      </c>
      <c r="AA886" s="229">
        <f>Input!AA$52*AA370</f>
        <v>0</v>
      </c>
      <c r="AB886" s="229">
        <f>Input!AB$52*AB370</f>
        <v>0</v>
      </c>
      <c r="CH886" s="269"/>
      <c r="CI886" s="269"/>
      <c r="CJ886" s="269"/>
      <c r="CK886" s="269"/>
      <c r="CL886" s="269"/>
      <c r="CM886" s="269"/>
      <c r="CN886" s="269"/>
      <c r="CO886" s="269"/>
      <c r="CP886" s="269"/>
      <c r="CQ886" s="269"/>
      <c r="CR886" s="269"/>
      <c r="CS886" s="269"/>
      <c r="DH886" s="219"/>
      <c r="DI886" s="219"/>
      <c r="DJ886" s="219"/>
      <c r="DK886" s="219"/>
    </row>
    <row r="887" spans="3:115" ht="12" customHeight="1" x14ac:dyDescent="0.35">
      <c r="C887" s="495">
        <f>C824</f>
        <v>974</v>
      </c>
      <c r="D887" s="229">
        <f>Input!D$52*D371</f>
        <v>0</v>
      </c>
      <c r="E887" s="229">
        <f>Input!E$52*E371</f>
        <v>0</v>
      </c>
      <c r="F887" s="229">
        <f>Input!F$52*F371</f>
        <v>0</v>
      </c>
      <c r="G887" s="229">
        <f>Input!G$52*G371</f>
        <v>0</v>
      </c>
      <c r="H887" s="229">
        <f>Input!H$52*H371</f>
        <v>0</v>
      </c>
      <c r="I887" s="229">
        <f>Input!I$52*I371</f>
        <v>0</v>
      </c>
      <c r="J887" s="229">
        <f>Input!J$52*J371</f>
        <v>0</v>
      </c>
      <c r="K887" s="229">
        <f>Input!K$52*K371</f>
        <v>0</v>
      </c>
      <c r="L887" s="229">
        <f>Input!L$52*L371</f>
        <v>0</v>
      </c>
      <c r="M887" s="229">
        <f>Input!M$52*M371</f>
        <v>0</v>
      </c>
      <c r="N887" s="229">
        <f>Input!N$52*N371</f>
        <v>0</v>
      </c>
      <c r="O887" s="229">
        <f>Input!O$52*O371</f>
        <v>0</v>
      </c>
      <c r="P887" s="229">
        <f>Input!P$52*P371</f>
        <v>0</v>
      </c>
      <c r="Q887" s="229">
        <f>Input!Q$52*Q371</f>
        <v>0</v>
      </c>
      <c r="R887" s="229">
        <f>Input!R$52*R371</f>
        <v>0</v>
      </c>
      <c r="S887" s="229">
        <f>Input!S$52*S371</f>
        <v>0</v>
      </c>
      <c r="T887" s="229">
        <f>Input!T$52*T371</f>
        <v>0</v>
      </c>
      <c r="U887" s="229">
        <f>Input!U$52*U371</f>
        <v>0</v>
      </c>
      <c r="V887" s="229">
        <f>Input!V$52*V371</f>
        <v>0</v>
      </c>
      <c r="W887" s="229">
        <f>Input!W$52*W371</f>
        <v>0</v>
      </c>
      <c r="X887" s="229">
        <f>Input!X$52*X371</f>
        <v>0</v>
      </c>
      <c r="Y887" s="229">
        <f>Input!Y$52*Y371</f>
        <v>0</v>
      </c>
      <c r="Z887" s="229">
        <f>Input!Z$52*Z371</f>
        <v>0</v>
      </c>
      <c r="AA887" s="229">
        <f>Input!AA$52*AA371</f>
        <v>0</v>
      </c>
      <c r="AB887" s="229">
        <f>Input!AB$52*AB371</f>
        <v>0</v>
      </c>
      <c r="CH887" s="269"/>
      <c r="CI887" s="269"/>
      <c r="CJ887" s="269"/>
      <c r="CK887" s="269"/>
      <c r="CL887" s="269"/>
      <c r="CM887" s="269"/>
      <c r="CN887" s="269"/>
      <c r="CO887" s="269"/>
      <c r="CP887" s="269"/>
      <c r="CQ887" s="269"/>
      <c r="CR887" s="269"/>
      <c r="CS887" s="269"/>
      <c r="DH887" s="219"/>
      <c r="DI887" s="219"/>
      <c r="DJ887" s="219"/>
      <c r="DK887" s="219"/>
    </row>
    <row r="888" spans="3:115" ht="12" customHeight="1" x14ac:dyDescent="0.35">
      <c r="C888" s="495">
        <f>C825</f>
        <v>1004</v>
      </c>
      <c r="D888" s="229">
        <f>Input!D$52*D372</f>
        <v>0</v>
      </c>
      <c r="E888" s="229">
        <f>Input!E$52*E372</f>
        <v>0</v>
      </c>
      <c r="F888" s="229">
        <f>Input!F$52*F372</f>
        <v>0</v>
      </c>
      <c r="G888" s="229">
        <f>Input!G$52*G372</f>
        <v>0</v>
      </c>
      <c r="H888" s="229">
        <f>Input!H$52*H372</f>
        <v>0</v>
      </c>
      <c r="I888" s="229">
        <f>Input!I$52*I372</f>
        <v>0</v>
      </c>
      <c r="J888" s="229">
        <f>Input!J$52*J372</f>
        <v>0</v>
      </c>
      <c r="K888" s="229">
        <f>Input!K$52*K372</f>
        <v>0</v>
      </c>
      <c r="L888" s="229">
        <f>Input!L$52*L372</f>
        <v>0</v>
      </c>
      <c r="M888" s="229">
        <f>Input!M$52*M372</f>
        <v>0</v>
      </c>
      <c r="N888" s="229">
        <f>Input!N$52*N372</f>
        <v>0</v>
      </c>
      <c r="O888" s="229">
        <f>Input!O$52*O372</f>
        <v>0</v>
      </c>
      <c r="P888" s="229">
        <f>Input!P$52*P372</f>
        <v>0</v>
      </c>
      <c r="Q888" s="229">
        <f>Input!Q$52*Q372</f>
        <v>0</v>
      </c>
      <c r="R888" s="229">
        <f>Input!R$52*R372</f>
        <v>0</v>
      </c>
      <c r="S888" s="229">
        <f>Input!S$52*S372</f>
        <v>0</v>
      </c>
      <c r="T888" s="229">
        <f>Input!T$52*T372</f>
        <v>0</v>
      </c>
      <c r="U888" s="229">
        <f>Input!U$52*U372</f>
        <v>0</v>
      </c>
      <c r="V888" s="229">
        <f>Input!V$52*V372</f>
        <v>0</v>
      </c>
      <c r="W888" s="229">
        <f>Input!W$52*W372</f>
        <v>0</v>
      </c>
      <c r="X888" s="229">
        <f>Input!X$52*X372</f>
        <v>0</v>
      </c>
      <c r="Y888" s="229">
        <f>Input!Y$52*Y372</f>
        <v>0</v>
      </c>
      <c r="Z888" s="229">
        <f>Input!Z$52*Z372</f>
        <v>0</v>
      </c>
      <c r="AA888" s="229">
        <f>Input!AA$52*AA372</f>
        <v>0</v>
      </c>
      <c r="AB888" s="229">
        <f>Input!AB$52*AB372</f>
        <v>0</v>
      </c>
      <c r="CH888" s="269"/>
      <c r="CI888" s="269"/>
      <c r="CJ888" s="269"/>
      <c r="CK888" s="269"/>
      <c r="CL888" s="269"/>
      <c r="CM888" s="269"/>
      <c r="CN888" s="269"/>
      <c r="CO888" s="269"/>
      <c r="CP888" s="269"/>
      <c r="CQ888" s="269"/>
      <c r="CR888" s="269"/>
      <c r="CS888" s="269"/>
      <c r="DH888" s="219"/>
      <c r="DI888" s="219"/>
      <c r="DJ888" s="219"/>
      <c r="DK888" s="219"/>
    </row>
    <row r="889" spans="3:115" ht="12" customHeight="1" x14ac:dyDescent="0.35">
      <c r="C889" s="495">
        <f>C826</f>
        <v>1035</v>
      </c>
      <c r="D889" s="229">
        <f>Input!D$52*D373</f>
        <v>0</v>
      </c>
      <c r="E889" s="229">
        <f>Input!E$52*E373</f>
        <v>0</v>
      </c>
      <c r="F889" s="229">
        <f>Input!F$52*F373</f>
        <v>0</v>
      </c>
      <c r="G889" s="229">
        <f>Input!G$52*G373</f>
        <v>0</v>
      </c>
      <c r="H889" s="229">
        <f>Input!H$52*H373</f>
        <v>0</v>
      </c>
      <c r="I889" s="229">
        <f>Input!I$52*I373</f>
        <v>0</v>
      </c>
      <c r="J889" s="229">
        <f>Input!J$52*J373</f>
        <v>0</v>
      </c>
      <c r="K889" s="229">
        <f>Input!K$52*K373</f>
        <v>0</v>
      </c>
      <c r="L889" s="229">
        <f>Input!L$52*L373</f>
        <v>0</v>
      </c>
      <c r="M889" s="229">
        <f>Input!M$52*M373</f>
        <v>0</v>
      </c>
      <c r="N889" s="229">
        <f>Input!N$52*N373</f>
        <v>0</v>
      </c>
      <c r="O889" s="229">
        <f>Input!O$52*O373</f>
        <v>0</v>
      </c>
      <c r="P889" s="229">
        <f>Input!P$52*P373</f>
        <v>0</v>
      </c>
      <c r="Q889" s="229">
        <f>Input!Q$52*Q373</f>
        <v>0</v>
      </c>
      <c r="R889" s="229">
        <f>Input!R$52*R373</f>
        <v>0</v>
      </c>
      <c r="S889" s="229">
        <f>Input!S$52*S373</f>
        <v>0</v>
      </c>
      <c r="T889" s="229">
        <f>Input!T$52*T373</f>
        <v>0</v>
      </c>
      <c r="U889" s="229">
        <f>Input!U$52*U373</f>
        <v>0</v>
      </c>
      <c r="V889" s="229">
        <f>Input!V$52*V373</f>
        <v>0</v>
      </c>
      <c r="W889" s="229">
        <f>Input!W$52*W373</f>
        <v>0</v>
      </c>
      <c r="X889" s="229">
        <f>Input!X$52*X373</f>
        <v>0</v>
      </c>
      <c r="Y889" s="229">
        <f>Input!Y$52*Y373</f>
        <v>0</v>
      </c>
      <c r="Z889" s="229">
        <f>Input!Z$52*Z373</f>
        <v>0</v>
      </c>
      <c r="AA889" s="229">
        <f>Input!AA$52*AA373</f>
        <v>0</v>
      </c>
      <c r="AB889" s="229">
        <f>Input!AB$52*AB373</f>
        <v>0</v>
      </c>
      <c r="CH889" s="269"/>
      <c r="CI889" s="269"/>
      <c r="CJ889" s="269"/>
      <c r="CK889" s="269"/>
      <c r="CL889" s="269"/>
      <c r="CM889" s="269"/>
      <c r="CN889" s="269"/>
      <c r="CO889" s="269"/>
      <c r="CP889" s="269"/>
      <c r="CQ889" s="269"/>
      <c r="CR889" s="269"/>
      <c r="CS889" s="269"/>
      <c r="DH889" s="219"/>
      <c r="DI889" s="219"/>
      <c r="DJ889" s="219"/>
      <c r="DK889" s="219"/>
    </row>
    <row r="890" spans="3:115" ht="12" customHeight="1" x14ac:dyDescent="0.35">
      <c r="C890" s="495">
        <f>C827</f>
        <v>1065</v>
      </c>
      <c r="D890" s="229">
        <f>Input!D$52*D374</f>
        <v>0</v>
      </c>
      <c r="E890" s="229">
        <f>Input!E$52*E374</f>
        <v>0</v>
      </c>
      <c r="F890" s="229">
        <f>Input!F$52*F374</f>
        <v>0</v>
      </c>
      <c r="G890" s="229">
        <f>Input!G$52*G374</f>
        <v>0</v>
      </c>
      <c r="H890" s="229">
        <f>Input!H$52*H374</f>
        <v>0</v>
      </c>
      <c r="I890" s="229">
        <f>Input!I$52*I374</f>
        <v>0</v>
      </c>
      <c r="J890" s="229">
        <f>Input!J$52*J374</f>
        <v>0</v>
      </c>
      <c r="K890" s="229">
        <f>Input!K$52*K374</f>
        <v>0</v>
      </c>
      <c r="L890" s="229">
        <f>Input!L$52*L374</f>
        <v>0</v>
      </c>
      <c r="M890" s="229">
        <f>Input!M$52*M374</f>
        <v>0</v>
      </c>
      <c r="N890" s="229">
        <f>Input!N$52*N374</f>
        <v>0</v>
      </c>
      <c r="O890" s="229">
        <f>Input!O$52*O374</f>
        <v>0</v>
      </c>
      <c r="P890" s="229">
        <f>Input!P$52*P374</f>
        <v>0</v>
      </c>
      <c r="Q890" s="229">
        <f>Input!Q$52*Q374</f>
        <v>0</v>
      </c>
      <c r="R890" s="229">
        <f>Input!R$52*R374</f>
        <v>0</v>
      </c>
      <c r="S890" s="229">
        <f>Input!S$52*S374</f>
        <v>0</v>
      </c>
      <c r="T890" s="229">
        <f>Input!T$52*T374</f>
        <v>0</v>
      </c>
      <c r="U890" s="229">
        <f>Input!U$52*U374</f>
        <v>0</v>
      </c>
      <c r="V890" s="229">
        <f>Input!V$52*V374</f>
        <v>0</v>
      </c>
      <c r="W890" s="229">
        <f>Input!W$52*W374</f>
        <v>0</v>
      </c>
      <c r="X890" s="229">
        <f>Input!X$52*X374</f>
        <v>0</v>
      </c>
      <c r="Y890" s="229">
        <f>Input!Y$52*Y374</f>
        <v>0</v>
      </c>
      <c r="Z890" s="229">
        <f>Input!Z$52*Z374</f>
        <v>0</v>
      </c>
      <c r="AA890" s="229">
        <f>Input!AA$52*AA374</f>
        <v>0</v>
      </c>
      <c r="AB890" s="229">
        <f>Input!AB$52*AB374</f>
        <v>0</v>
      </c>
      <c r="CH890" s="269"/>
      <c r="CI890" s="269"/>
      <c r="CJ890" s="269"/>
      <c r="CK890" s="269"/>
      <c r="CL890" s="269"/>
      <c r="CM890" s="269"/>
      <c r="CN890" s="269"/>
      <c r="CO890" s="269"/>
      <c r="CP890" s="269"/>
      <c r="CQ890" s="269"/>
      <c r="CR890" s="269"/>
      <c r="CS890" s="269"/>
      <c r="DH890" s="219"/>
      <c r="DI890" s="219"/>
      <c r="DJ890" s="219"/>
      <c r="DK890" s="219"/>
    </row>
    <row r="891" spans="3:115" ht="12" customHeight="1" thickBot="1" x14ac:dyDescent="0.4">
      <c r="C891" s="496">
        <f>C828</f>
        <v>1096</v>
      </c>
      <c r="D891" s="230">
        <f>Input!D$52*D375</f>
        <v>0</v>
      </c>
      <c r="E891" s="230">
        <f>Input!E$52*E375</f>
        <v>0</v>
      </c>
      <c r="F891" s="230">
        <f>Input!F$52*F375</f>
        <v>0</v>
      </c>
      <c r="G891" s="230">
        <f>Input!G$52*G375</f>
        <v>0</v>
      </c>
      <c r="H891" s="230">
        <f>Input!H$52*H375</f>
        <v>0</v>
      </c>
      <c r="I891" s="230">
        <f>Input!I$52*I375</f>
        <v>0</v>
      </c>
      <c r="J891" s="230">
        <f>Input!J$52*J375</f>
        <v>0</v>
      </c>
      <c r="K891" s="230">
        <f>Input!K$52*K375</f>
        <v>0</v>
      </c>
      <c r="L891" s="230">
        <f>Input!L$52*L375</f>
        <v>0</v>
      </c>
      <c r="M891" s="230">
        <f>Input!M$52*M375</f>
        <v>0</v>
      </c>
      <c r="N891" s="230">
        <f>Input!N$52*N375</f>
        <v>0</v>
      </c>
      <c r="O891" s="230">
        <f>Input!O$52*O375</f>
        <v>0</v>
      </c>
      <c r="P891" s="230">
        <f>Input!P$52*P375</f>
        <v>0</v>
      </c>
      <c r="Q891" s="230">
        <f>Input!Q$52*Q375</f>
        <v>0</v>
      </c>
      <c r="R891" s="230">
        <f>Input!R$52*R375</f>
        <v>0</v>
      </c>
      <c r="S891" s="230">
        <f>Input!S$52*S375</f>
        <v>0</v>
      </c>
      <c r="T891" s="230">
        <f>Input!T$52*T375</f>
        <v>0</v>
      </c>
      <c r="U891" s="230">
        <f>Input!U$52*U375</f>
        <v>0</v>
      </c>
      <c r="V891" s="230">
        <f>Input!V$52*V375</f>
        <v>0</v>
      </c>
      <c r="W891" s="230">
        <f>Input!W$52*W375</f>
        <v>0</v>
      </c>
      <c r="X891" s="230">
        <f>Input!X$52*X375</f>
        <v>0</v>
      </c>
      <c r="Y891" s="230">
        <f>Input!Y$52*Y375</f>
        <v>0</v>
      </c>
      <c r="Z891" s="230">
        <f>Input!Z$52*Z375</f>
        <v>0</v>
      </c>
      <c r="AA891" s="230">
        <f>Input!AA$52*AA375</f>
        <v>0</v>
      </c>
      <c r="AB891" s="230">
        <f>Input!AB$52*AB375</f>
        <v>0</v>
      </c>
      <c r="CH891" s="269"/>
      <c r="CI891" s="269"/>
      <c r="CJ891" s="269"/>
      <c r="CK891" s="269"/>
      <c r="CL891" s="269"/>
      <c r="CM891" s="269"/>
      <c r="CN891" s="269"/>
      <c r="CO891" s="269"/>
      <c r="CP891" s="269"/>
      <c r="CQ891" s="269"/>
      <c r="CR891" s="269"/>
      <c r="CS891" s="269"/>
      <c r="DH891" s="219"/>
      <c r="DI891" s="219"/>
      <c r="DJ891" s="219"/>
      <c r="DK891" s="219"/>
    </row>
    <row r="892" spans="3:115" ht="12" customHeight="1" x14ac:dyDescent="0.35">
      <c r="C892" s="638">
        <f>C829</f>
        <v>1127</v>
      </c>
      <c r="D892" s="299">
        <f>IF(Years="Five",Input!D$52*D376,0)</f>
        <v>0</v>
      </c>
      <c r="E892" s="231">
        <f>IF(Years="Five",Input!E$52*E376,0)</f>
        <v>0</v>
      </c>
      <c r="F892" s="231">
        <f>IF(Years="Five",Input!F$52*F376,0)</f>
        <v>0</v>
      </c>
      <c r="G892" s="231">
        <f>IF(Years="Five",Input!G$52*G376,0)</f>
        <v>0</v>
      </c>
      <c r="H892" s="231">
        <f>IF(Years="Five",Input!H$52*H376,0)</f>
        <v>0</v>
      </c>
      <c r="I892" s="231">
        <f>IF(Years="Five",Input!I$52*I376,0)</f>
        <v>0</v>
      </c>
      <c r="J892" s="231">
        <f>IF(Years="Five",Input!J$52*J376,0)</f>
        <v>0</v>
      </c>
      <c r="K892" s="231">
        <f>IF(Years="Five",Input!K$52*K376,0)</f>
        <v>0</v>
      </c>
      <c r="L892" s="231">
        <f>IF(Years="Five",Input!L$52*L376,0)</f>
        <v>0</v>
      </c>
      <c r="M892" s="231">
        <f>IF(Years="Five",Input!M$52*M376,0)</f>
        <v>0</v>
      </c>
      <c r="N892" s="231">
        <f>IF(Years="Five",Input!N$52*N376,0)</f>
        <v>0</v>
      </c>
      <c r="O892" s="231">
        <f>IF(Years="Five",Input!O$52*O376,0)</f>
        <v>0</v>
      </c>
      <c r="P892" s="231">
        <f>IF(Years="Five",Input!P$52*P376,0)</f>
        <v>0</v>
      </c>
      <c r="Q892" s="231">
        <f>IF(Years="Five",Input!Q$52*Q376,0)</f>
        <v>0</v>
      </c>
      <c r="R892" s="231">
        <f>IF(Years="Five",Input!R$52*R376,0)</f>
        <v>0</v>
      </c>
      <c r="S892" s="231">
        <f>IF(Years="Five",Input!S$52*S376,0)</f>
        <v>0</v>
      </c>
      <c r="T892" s="231">
        <f>IF(Years="Five",Input!T$52*T376,0)</f>
        <v>0</v>
      </c>
      <c r="U892" s="231">
        <f>IF(Years="Five",Input!U$52*U376,0)</f>
        <v>0</v>
      </c>
      <c r="V892" s="231">
        <f>IF(Years="Five",Input!V$52*V376,0)</f>
        <v>0</v>
      </c>
      <c r="W892" s="231">
        <f>IF(Years="Five",Input!W$52*W376,0)</f>
        <v>0</v>
      </c>
      <c r="X892" s="231">
        <f>IF(Years="Five",Input!X$52*X376,0)</f>
        <v>0</v>
      </c>
      <c r="Y892" s="231">
        <f>IF(Years="Five",Input!Y$52*Y376,0)</f>
        <v>0</v>
      </c>
      <c r="Z892" s="231">
        <f>IF(Years="Five",Input!Z$52*Z376,0)</f>
        <v>0</v>
      </c>
      <c r="AA892" s="231">
        <f>IF(Years="Five",Input!AA$52*AA376,0)</f>
        <v>0</v>
      </c>
      <c r="AB892" s="300">
        <f>IF(Years="Five",Input!AB$52*AB376,0)</f>
        <v>0</v>
      </c>
      <c r="CH892" s="269"/>
      <c r="CI892" s="269"/>
      <c r="CJ892" s="269"/>
      <c r="CK892" s="269"/>
      <c r="CL892" s="269"/>
      <c r="CM892" s="269"/>
      <c r="CN892" s="269"/>
      <c r="CO892" s="269"/>
      <c r="CP892" s="269"/>
      <c r="CQ892" s="269"/>
      <c r="CR892" s="269"/>
      <c r="CS892" s="269"/>
      <c r="DH892" s="219"/>
      <c r="DI892" s="219"/>
      <c r="DJ892" s="219"/>
      <c r="DK892" s="219"/>
    </row>
    <row r="893" spans="3:115" ht="12" customHeight="1" x14ac:dyDescent="0.35">
      <c r="C893" s="638">
        <f>C830</f>
        <v>1155</v>
      </c>
      <c r="D893" s="297">
        <f>Input!D$52*D377</f>
        <v>0</v>
      </c>
      <c r="E893" s="229">
        <f>Input!E$52*E377</f>
        <v>0</v>
      </c>
      <c r="F893" s="229">
        <f>Input!F$52*F377</f>
        <v>0</v>
      </c>
      <c r="G893" s="229">
        <f>Input!G$52*G377</f>
        <v>0</v>
      </c>
      <c r="H893" s="229">
        <f>Input!H$52*H377</f>
        <v>0</v>
      </c>
      <c r="I893" s="229">
        <f>Input!I$52*I377</f>
        <v>0</v>
      </c>
      <c r="J893" s="229">
        <f>Input!J$52*J377</f>
        <v>0</v>
      </c>
      <c r="K893" s="229">
        <f>Input!K$52*K377</f>
        <v>0</v>
      </c>
      <c r="L893" s="229">
        <f>Input!L$52*L377</f>
        <v>0</v>
      </c>
      <c r="M893" s="229">
        <f>Input!M$52*M377</f>
        <v>0</v>
      </c>
      <c r="N893" s="229">
        <f>Input!N$52*N377</f>
        <v>0</v>
      </c>
      <c r="O893" s="229">
        <f>Input!O$52*O377</f>
        <v>0</v>
      </c>
      <c r="P893" s="229">
        <f>Input!P$52*P377</f>
        <v>0</v>
      </c>
      <c r="Q893" s="229">
        <f>Input!Q$52*Q377</f>
        <v>0</v>
      </c>
      <c r="R893" s="229">
        <f>Input!R$52*R377</f>
        <v>0</v>
      </c>
      <c r="S893" s="229">
        <f>Input!S$52*S377</f>
        <v>0</v>
      </c>
      <c r="T893" s="229">
        <f>Input!T$52*T377</f>
        <v>0</v>
      </c>
      <c r="U893" s="229">
        <f>Input!U$52*U377</f>
        <v>0</v>
      </c>
      <c r="V893" s="229">
        <f>Input!V$52*V377</f>
        <v>0</v>
      </c>
      <c r="W893" s="229">
        <f>Input!W$52*W377</f>
        <v>0</v>
      </c>
      <c r="X893" s="229">
        <f>Input!X$52*X377</f>
        <v>0</v>
      </c>
      <c r="Y893" s="229">
        <f>Input!Y$52*Y377</f>
        <v>0</v>
      </c>
      <c r="Z893" s="229">
        <f>Input!Z$52*Z377</f>
        <v>0</v>
      </c>
      <c r="AA893" s="229">
        <f>Input!AA$52*AA377</f>
        <v>0</v>
      </c>
      <c r="AB893" s="298">
        <f>Input!AB$52*AB377</f>
        <v>0</v>
      </c>
      <c r="CH893" s="269"/>
      <c r="CI893" s="269"/>
      <c r="CJ893" s="269"/>
      <c r="CK893" s="269"/>
      <c r="CL893" s="269"/>
      <c r="CM893" s="269"/>
      <c r="CN893" s="269"/>
      <c r="CO893" s="269"/>
      <c r="CP893" s="269"/>
      <c r="CQ893" s="269"/>
      <c r="CR893" s="269"/>
      <c r="CS893" s="269"/>
      <c r="DH893" s="219"/>
      <c r="DI893" s="219"/>
      <c r="DJ893" s="219"/>
      <c r="DK893" s="219"/>
    </row>
    <row r="894" spans="3:115" ht="12" customHeight="1" x14ac:dyDescent="0.35">
      <c r="C894" s="638">
        <f>C831</f>
        <v>1186</v>
      </c>
      <c r="D894" s="297">
        <f>Input!D$52*D378</f>
        <v>0</v>
      </c>
      <c r="E894" s="229">
        <f>Input!E$52*E378</f>
        <v>0</v>
      </c>
      <c r="F894" s="229">
        <f>Input!F$52*F378</f>
        <v>0</v>
      </c>
      <c r="G894" s="229">
        <f>Input!G$52*G378</f>
        <v>0</v>
      </c>
      <c r="H894" s="229">
        <f>Input!H$52*H378</f>
        <v>0</v>
      </c>
      <c r="I894" s="229">
        <f>Input!I$52*I378</f>
        <v>0</v>
      </c>
      <c r="J894" s="229">
        <f>Input!J$52*J378</f>
        <v>0</v>
      </c>
      <c r="K894" s="229">
        <f>Input!K$52*K378</f>
        <v>0</v>
      </c>
      <c r="L894" s="229">
        <f>Input!L$52*L378</f>
        <v>0</v>
      </c>
      <c r="M894" s="229">
        <f>Input!M$52*M378</f>
        <v>0</v>
      </c>
      <c r="N894" s="229">
        <f>Input!N$52*N378</f>
        <v>0</v>
      </c>
      <c r="O894" s="229">
        <f>Input!O$52*O378</f>
        <v>0</v>
      </c>
      <c r="P894" s="229">
        <f>Input!P$52*P378</f>
        <v>0</v>
      </c>
      <c r="Q894" s="229">
        <f>Input!Q$52*Q378</f>
        <v>0</v>
      </c>
      <c r="R894" s="229">
        <f>Input!R$52*R378</f>
        <v>0</v>
      </c>
      <c r="S894" s="229">
        <f>Input!S$52*S378</f>
        <v>0</v>
      </c>
      <c r="T894" s="229">
        <f>Input!T$52*T378</f>
        <v>0</v>
      </c>
      <c r="U894" s="229">
        <f>Input!U$52*U378</f>
        <v>0</v>
      </c>
      <c r="V894" s="229">
        <f>Input!V$52*V378</f>
        <v>0</v>
      </c>
      <c r="W894" s="229">
        <f>Input!W$52*W378</f>
        <v>0</v>
      </c>
      <c r="X894" s="229">
        <f>Input!X$52*X378</f>
        <v>0</v>
      </c>
      <c r="Y894" s="229">
        <f>Input!Y$52*Y378</f>
        <v>0</v>
      </c>
      <c r="Z894" s="229">
        <f>Input!Z$52*Z378</f>
        <v>0</v>
      </c>
      <c r="AA894" s="229">
        <f>Input!AA$52*AA378</f>
        <v>0</v>
      </c>
      <c r="AB894" s="298">
        <f>Input!AB$52*AB378</f>
        <v>0</v>
      </c>
      <c r="CH894" s="269"/>
      <c r="CI894" s="269"/>
      <c r="CJ894" s="269"/>
      <c r="CK894" s="269"/>
      <c r="CL894" s="269"/>
      <c r="CM894" s="269"/>
      <c r="CN894" s="269"/>
      <c r="CO894" s="269"/>
      <c r="CP894" s="269"/>
      <c r="CQ894" s="269"/>
      <c r="CR894" s="269"/>
      <c r="CS894" s="269"/>
      <c r="DH894" s="219"/>
      <c r="DI894" s="219"/>
      <c r="DJ894" s="219"/>
      <c r="DK894" s="219"/>
    </row>
    <row r="895" spans="3:115" ht="12" customHeight="1" x14ac:dyDescent="0.35">
      <c r="C895" s="638">
        <f>C832</f>
        <v>1216</v>
      </c>
      <c r="D895" s="297">
        <f>Input!D$52*D379</f>
        <v>0</v>
      </c>
      <c r="E895" s="229">
        <f>Input!E$52*E379</f>
        <v>0</v>
      </c>
      <c r="F895" s="229">
        <f>Input!F$52*F379</f>
        <v>0</v>
      </c>
      <c r="G895" s="229">
        <f>Input!G$52*G379</f>
        <v>0</v>
      </c>
      <c r="H895" s="229">
        <f>Input!H$52*H379</f>
        <v>0</v>
      </c>
      <c r="I895" s="229">
        <f>Input!I$52*I379</f>
        <v>0</v>
      </c>
      <c r="J895" s="229">
        <f>Input!J$52*J379</f>
        <v>0</v>
      </c>
      <c r="K895" s="229">
        <f>Input!K$52*K379</f>
        <v>0</v>
      </c>
      <c r="L895" s="229">
        <f>Input!L$52*L379</f>
        <v>0</v>
      </c>
      <c r="M895" s="229">
        <f>Input!M$52*M379</f>
        <v>0</v>
      </c>
      <c r="N895" s="229">
        <f>Input!N$52*N379</f>
        <v>0</v>
      </c>
      <c r="O895" s="229">
        <f>Input!O$52*O379</f>
        <v>0</v>
      </c>
      <c r="P895" s="229">
        <f>Input!P$52*P379</f>
        <v>0</v>
      </c>
      <c r="Q895" s="229">
        <f>Input!Q$52*Q379</f>
        <v>0</v>
      </c>
      <c r="R895" s="229">
        <f>Input!R$52*R379</f>
        <v>0</v>
      </c>
      <c r="S895" s="229">
        <f>Input!S$52*S379</f>
        <v>0</v>
      </c>
      <c r="T895" s="229">
        <f>Input!T$52*T379</f>
        <v>0</v>
      </c>
      <c r="U895" s="229">
        <f>Input!U$52*U379</f>
        <v>0</v>
      </c>
      <c r="V895" s="229">
        <f>Input!V$52*V379</f>
        <v>0</v>
      </c>
      <c r="W895" s="229">
        <f>Input!W$52*W379</f>
        <v>0</v>
      </c>
      <c r="X895" s="229">
        <f>Input!X$52*X379</f>
        <v>0</v>
      </c>
      <c r="Y895" s="229">
        <f>Input!Y$52*Y379</f>
        <v>0</v>
      </c>
      <c r="Z895" s="229">
        <f>Input!Z$52*Z379</f>
        <v>0</v>
      </c>
      <c r="AA895" s="229">
        <f>Input!AA$52*AA379</f>
        <v>0</v>
      </c>
      <c r="AB895" s="298">
        <f>Input!AB$52*AB379</f>
        <v>0</v>
      </c>
      <c r="CH895" s="269"/>
      <c r="CI895" s="269"/>
      <c r="CJ895" s="269"/>
      <c r="CK895" s="269"/>
      <c r="CL895" s="269"/>
      <c r="CM895" s="269"/>
      <c r="CN895" s="269"/>
      <c r="CO895" s="269"/>
      <c r="CP895" s="269"/>
      <c r="CQ895" s="269"/>
      <c r="CR895" s="269"/>
      <c r="CS895" s="269"/>
      <c r="DH895" s="219"/>
      <c r="DI895" s="219"/>
      <c r="DJ895" s="219"/>
      <c r="DK895" s="219"/>
    </row>
    <row r="896" spans="3:115" ht="12" customHeight="1" x14ac:dyDescent="0.35">
      <c r="C896" s="638">
        <f>C833</f>
        <v>1247</v>
      </c>
      <c r="D896" s="297">
        <f>Input!D$52*D380</f>
        <v>0</v>
      </c>
      <c r="E896" s="229">
        <f>Input!E$52*E380</f>
        <v>0</v>
      </c>
      <c r="F896" s="229">
        <f>Input!F$52*F380</f>
        <v>0</v>
      </c>
      <c r="G896" s="229">
        <f>Input!G$52*G380</f>
        <v>0</v>
      </c>
      <c r="H896" s="229">
        <f>Input!H$52*H380</f>
        <v>0</v>
      </c>
      <c r="I896" s="229">
        <f>Input!I$52*I380</f>
        <v>0</v>
      </c>
      <c r="J896" s="229">
        <f>Input!J$52*J380</f>
        <v>0</v>
      </c>
      <c r="K896" s="229">
        <f>Input!K$52*K380</f>
        <v>0</v>
      </c>
      <c r="L896" s="229">
        <f>Input!L$52*L380</f>
        <v>0</v>
      </c>
      <c r="M896" s="229">
        <f>Input!M$52*M380</f>
        <v>0</v>
      </c>
      <c r="N896" s="229">
        <f>Input!N$52*N380</f>
        <v>0</v>
      </c>
      <c r="O896" s="229">
        <f>Input!O$52*O380</f>
        <v>0</v>
      </c>
      <c r="P896" s="229">
        <f>Input!P$52*P380</f>
        <v>0</v>
      </c>
      <c r="Q896" s="229">
        <f>Input!Q$52*Q380</f>
        <v>0</v>
      </c>
      <c r="R896" s="229">
        <f>Input!R$52*R380</f>
        <v>0</v>
      </c>
      <c r="S896" s="229">
        <f>Input!S$52*S380</f>
        <v>0</v>
      </c>
      <c r="T896" s="229">
        <f>Input!T$52*T380</f>
        <v>0</v>
      </c>
      <c r="U896" s="229">
        <f>Input!U$52*U380</f>
        <v>0</v>
      </c>
      <c r="V896" s="229">
        <f>Input!V$52*V380</f>
        <v>0</v>
      </c>
      <c r="W896" s="229">
        <f>Input!W$52*W380</f>
        <v>0</v>
      </c>
      <c r="X896" s="229">
        <f>Input!X$52*X380</f>
        <v>0</v>
      </c>
      <c r="Y896" s="229">
        <f>Input!Y$52*Y380</f>
        <v>0</v>
      </c>
      <c r="Z896" s="229">
        <f>Input!Z$52*Z380</f>
        <v>0</v>
      </c>
      <c r="AA896" s="229">
        <f>Input!AA$52*AA380</f>
        <v>0</v>
      </c>
      <c r="AB896" s="298">
        <f>Input!AB$52*AB380</f>
        <v>0</v>
      </c>
      <c r="CH896" s="269"/>
      <c r="CI896" s="269"/>
      <c r="CJ896" s="269"/>
      <c r="CK896" s="269"/>
      <c r="CL896" s="269"/>
      <c r="CM896" s="269"/>
      <c r="CN896" s="269"/>
      <c r="CO896" s="269"/>
      <c r="CP896" s="269"/>
      <c r="CQ896" s="269"/>
      <c r="CR896" s="269"/>
      <c r="CS896" s="269"/>
      <c r="DH896" s="219"/>
      <c r="DI896" s="219"/>
      <c r="DJ896" s="219"/>
      <c r="DK896" s="219"/>
    </row>
    <row r="897" spans="3:115" ht="12" customHeight="1" x14ac:dyDescent="0.35">
      <c r="C897" s="638">
        <f>C834</f>
        <v>1277</v>
      </c>
      <c r="D897" s="297">
        <f>Input!D$52*D381</f>
        <v>0</v>
      </c>
      <c r="E897" s="229">
        <f>Input!E$52*E381</f>
        <v>0</v>
      </c>
      <c r="F897" s="229">
        <f>Input!F$52*F381</f>
        <v>0</v>
      </c>
      <c r="G897" s="229">
        <f>Input!G$52*G381</f>
        <v>0</v>
      </c>
      <c r="H897" s="229">
        <f>Input!H$52*H381</f>
        <v>0</v>
      </c>
      <c r="I897" s="229">
        <f>Input!I$52*I381</f>
        <v>0</v>
      </c>
      <c r="J897" s="229">
        <f>Input!J$52*J381</f>
        <v>0</v>
      </c>
      <c r="K897" s="229">
        <f>Input!K$52*K381</f>
        <v>0</v>
      </c>
      <c r="L897" s="229">
        <f>Input!L$52*L381</f>
        <v>0</v>
      </c>
      <c r="M897" s="229">
        <f>Input!M$52*M381</f>
        <v>0</v>
      </c>
      <c r="N897" s="229">
        <f>Input!N$52*N381</f>
        <v>0</v>
      </c>
      <c r="O897" s="229">
        <f>Input!O$52*O381</f>
        <v>0</v>
      </c>
      <c r="P897" s="229">
        <f>Input!P$52*P381</f>
        <v>0</v>
      </c>
      <c r="Q897" s="229">
        <f>Input!Q$52*Q381</f>
        <v>0</v>
      </c>
      <c r="R897" s="229">
        <f>Input!R$52*R381</f>
        <v>0</v>
      </c>
      <c r="S897" s="229">
        <f>Input!S$52*S381</f>
        <v>0</v>
      </c>
      <c r="T897" s="229">
        <f>Input!T$52*T381</f>
        <v>0</v>
      </c>
      <c r="U897" s="229">
        <f>Input!U$52*U381</f>
        <v>0</v>
      </c>
      <c r="V897" s="229">
        <f>Input!V$52*V381</f>
        <v>0</v>
      </c>
      <c r="W897" s="229">
        <f>Input!W$52*W381</f>
        <v>0</v>
      </c>
      <c r="X897" s="229">
        <f>Input!X$52*X381</f>
        <v>0</v>
      </c>
      <c r="Y897" s="229">
        <f>Input!Y$52*Y381</f>
        <v>0</v>
      </c>
      <c r="Z897" s="229">
        <f>Input!Z$52*Z381</f>
        <v>0</v>
      </c>
      <c r="AA897" s="229">
        <f>Input!AA$52*AA381</f>
        <v>0</v>
      </c>
      <c r="AB897" s="298">
        <f>Input!AB$52*AB381</f>
        <v>0</v>
      </c>
      <c r="CH897" s="269"/>
      <c r="CI897" s="269"/>
      <c r="CJ897" s="269"/>
      <c r="CK897" s="269"/>
      <c r="CL897" s="269"/>
      <c r="CM897" s="269"/>
      <c r="CN897" s="269"/>
      <c r="CO897" s="269"/>
      <c r="CP897" s="269"/>
      <c r="CQ897" s="269"/>
      <c r="CR897" s="269"/>
      <c r="CS897" s="269"/>
      <c r="DH897" s="219"/>
      <c r="DI897" s="219"/>
      <c r="DJ897" s="219"/>
      <c r="DK897" s="219"/>
    </row>
    <row r="898" spans="3:115" ht="12" customHeight="1" x14ac:dyDescent="0.35">
      <c r="C898" s="638">
        <f>C835</f>
        <v>1308</v>
      </c>
      <c r="D898" s="297">
        <f>Input!D$52*D382</f>
        <v>0</v>
      </c>
      <c r="E898" s="229">
        <f>Input!E$52*E382</f>
        <v>0</v>
      </c>
      <c r="F898" s="229">
        <f>Input!F$52*F382</f>
        <v>0</v>
      </c>
      <c r="G898" s="229">
        <f>Input!G$52*G382</f>
        <v>0</v>
      </c>
      <c r="H898" s="229">
        <f>Input!H$52*H382</f>
        <v>0</v>
      </c>
      <c r="I898" s="229">
        <f>Input!I$52*I382</f>
        <v>0</v>
      </c>
      <c r="J898" s="229">
        <f>Input!J$52*J382</f>
        <v>0</v>
      </c>
      <c r="K898" s="229">
        <f>Input!K$52*K382</f>
        <v>0</v>
      </c>
      <c r="L898" s="229">
        <f>Input!L$52*L382</f>
        <v>0</v>
      </c>
      <c r="M898" s="229">
        <f>Input!M$52*M382</f>
        <v>0</v>
      </c>
      <c r="N898" s="229">
        <f>Input!N$52*N382</f>
        <v>0</v>
      </c>
      <c r="O898" s="229">
        <f>Input!O$52*O382</f>
        <v>0</v>
      </c>
      <c r="P898" s="229">
        <f>Input!P$52*P382</f>
        <v>0</v>
      </c>
      <c r="Q898" s="229">
        <f>Input!Q$52*Q382</f>
        <v>0</v>
      </c>
      <c r="R898" s="229">
        <f>Input!R$52*R382</f>
        <v>0</v>
      </c>
      <c r="S898" s="229">
        <f>Input!S$52*S382</f>
        <v>0</v>
      </c>
      <c r="T898" s="229">
        <f>Input!T$52*T382</f>
        <v>0</v>
      </c>
      <c r="U898" s="229">
        <f>Input!U$52*U382</f>
        <v>0</v>
      </c>
      <c r="V898" s="229">
        <f>Input!V$52*V382</f>
        <v>0</v>
      </c>
      <c r="W898" s="229">
        <f>Input!W$52*W382</f>
        <v>0</v>
      </c>
      <c r="X898" s="229">
        <f>Input!X$52*X382</f>
        <v>0</v>
      </c>
      <c r="Y898" s="229">
        <f>Input!Y$52*Y382</f>
        <v>0</v>
      </c>
      <c r="Z898" s="229">
        <f>Input!Z$52*Z382</f>
        <v>0</v>
      </c>
      <c r="AA898" s="229">
        <f>Input!AA$52*AA382</f>
        <v>0</v>
      </c>
      <c r="AB898" s="298">
        <f>Input!AB$52*AB382</f>
        <v>0</v>
      </c>
      <c r="CH898" s="269"/>
      <c r="CI898" s="269"/>
      <c r="CJ898" s="269"/>
      <c r="CK898" s="269"/>
      <c r="CL898" s="269"/>
      <c r="CM898" s="269"/>
      <c r="CN898" s="269"/>
      <c r="CO898" s="269"/>
      <c r="CP898" s="269"/>
      <c r="CQ898" s="269"/>
      <c r="CR898" s="269"/>
      <c r="CS898" s="269"/>
      <c r="DH898" s="219"/>
      <c r="DI898" s="219"/>
      <c r="DJ898" s="219"/>
      <c r="DK898" s="219"/>
    </row>
    <row r="899" spans="3:115" ht="12" customHeight="1" x14ac:dyDescent="0.35">
      <c r="C899" s="638">
        <f>C836</f>
        <v>1339</v>
      </c>
      <c r="D899" s="297">
        <f>Input!D$52*D383</f>
        <v>0</v>
      </c>
      <c r="E899" s="229">
        <f>Input!E$52*E383</f>
        <v>0</v>
      </c>
      <c r="F899" s="229">
        <f>Input!F$52*F383</f>
        <v>0</v>
      </c>
      <c r="G899" s="229">
        <f>Input!G$52*G383</f>
        <v>0</v>
      </c>
      <c r="H899" s="229">
        <f>Input!H$52*H383</f>
        <v>0</v>
      </c>
      <c r="I899" s="229">
        <f>Input!I$52*I383</f>
        <v>0</v>
      </c>
      <c r="J899" s="229">
        <f>Input!J$52*J383</f>
        <v>0</v>
      </c>
      <c r="K899" s="229">
        <f>Input!K$52*K383</f>
        <v>0</v>
      </c>
      <c r="L899" s="229">
        <f>Input!L$52*L383</f>
        <v>0</v>
      </c>
      <c r="M899" s="229">
        <f>Input!M$52*M383</f>
        <v>0</v>
      </c>
      <c r="N899" s="229">
        <f>Input!N$52*N383</f>
        <v>0</v>
      </c>
      <c r="O899" s="229">
        <f>Input!O$52*O383</f>
        <v>0</v>
      </c>
      <c r="P899" s="229">
        <f>Input!P$52*P383</f>
        <v>0</v>
      </c>
      <c r="Q899" s="229">
        <f>Input!Q$52*Q383</f>
        <v>0</v>
      </c>
      <c r="R899" s="229">
        <f>Input!R$52*R383</f>
        <v>0</v>
      </c>
      <c r="S899" s="229">
        <f>Input!S$52*S383</f>
        <v>0</v>
      </c>
      <c r="T899" s="229">
        <f>Input!T$52*T383</f>
        <v>0</v>
      </c>
      <c r="U899" s="229">
        <f>Input!U$52*U383</f>
        <v>0</v>
      </c>
      <c r="V899" s="229">
        <f>Input!V$52*V383</f>
        <v>0</v>
      </c>
      <c r="W899" s="229">
        <f>Input!W$52*W383</f>
        <v>0</v>
      </c>
      <c r="X899" s="229">
        <f>Input!X$52*X383</f>
        <v>0</v>
      </c>
      <c r="Y899" s="229">
        <f>Input!Y$52*Y383</f>
        <v>0</v>
      </c>
      <c r="Z899" s="229">
        <f>Input!Z$52*Z383</f>
        <v>0</v>
      </c>
      <c r="AA899" s="229">
        <f>Input!AA$52*AA383</f>
        <v>0</v>
      </c>
      <c r="AB899" s="298">
        <f>Input!AB$52*AB383</f>
        <v>0</v>
      </c>
      <c r="CH899" s="269"/>
      <c r="CI899" s="269"/>
      <c r="CJ899" s="269"/>
      <c r="CK899" s="269"/>
      <c r="CL899" s="269"/>
      <c r="CM899" s="269"/>
      <c r="CN899" s="269"/>
      <c r="CO899" s="269"/>
      <c r="CP899" s="269"/>
      <c r="CQ899" s="269"/>
      <c r="CR899" s="269"/>
      <c r="CS899" s="269"/>
      <c r="DH899" s="219"/>
      <c r="DI899" s="219"/>
      <c r="DJ899" s="219"/>
      <c r="DK899" s="219"/>
    </row>
    <row r="900" spans="3:115" ht="12" customHeight="1" x14ac:dyDescent="0.35">
      <c r="C900" s="638">
        <f>C837</f>
        <v>1369</v>
      </c>
      <c r="D900" s="297">
        <f>Input!D$52*D384</f>
        <v>0</v>
      </c>
      <c r="E900" s="229">
        <f>Input!E$52*E384</f>
        <v>0</v>
      </c>
      <c r="F900" s="229">
        <f>Input!F$52*F384</f>
        <v>0</v>
      </c>
      <c r="G900" s="229">
        <f>Input!G$52*G384</f>
        <v>0</v>
      </c>
      <c r="H900" s="229">
        <f>Input!H$52*H384</f>
        <v>0</v>
      </c>
      <c r="I900" s="229">
        <f>Input!I$52*I384</f>
        <v>0</v>
      </c>
      <c r="J900" s="229">
        <f>Input!J$52*J384</f>
        <v>0</v>
      </c>
      <c r="K900" s="229">
        <f>Input!K$52*K384</f>
        <v>0</v>
      </c>
      <c r="L900" s="229">
        <f>Input!L$52*L384</f>
        <v>0</v>
      </c>
      <c r="M900" s="229">
        <f>Input!M$52*M384</f>
        <v>0</v>
      </c>
      <c r="N900" s="229">
        <f>Input!N$52*N384</f>
        <v>0</v>
      </c>
      <c r="O900" s="229">
        <f>Input!O$52*O384</f>
        <v>0</v>
      </c>
      <c r="P900" s="229">
        <f>Input!P$52*P384</f>
        <v>0</v>
      </c>
      <c r="Q900" s="229">
        <f>Input!Q$52*Q384</f>
        <v>0</v>
      </c>
      <c r="R900" s="229">
        <f>Input!R$52*R384</f>
        <v>0</v>
      </c>
      <c r="S900" s="229">
        <f>Input!S$52*S384</f>
        <v>0</v>
      </c>
      <c r="T900" s="229">
        <f>Input!T$52*T384</f>
        <v>0</v>
      </c>
      <c r="U900" s="229">
        <f>Input!U$52*U384</f>
        <v>0</v>
      </c>
      <c r="V900" s="229">
        <f>Input!V$52*V384</f>
        <v>0</v>
      </c>
      <c r="W900" s="229">
        <f>Input!W$52*W384</f>
        <v>0</v>
      </c>
      <c r="X900" s="229">
        <f>Input!X$52*X384</f>
        <v>0</v>
      </c>
      <c r="Y900" s="229">
        <f>Input!Y$52*Y384</f>
        <v>0</v>
      </c>
      <c r="Z900" s="229">
        <f>Input!Z$52*Z384</f>
        <v>0</v>
      </c>
      <c r="AA900" s="229">
        <f>Input!AA$52*AA384</f>
        <v>0</v>
      </c>
      <c r="AB900" s="298">
        <f>Input!AB$52*AB384</f>
        <v>0</v>
      </c>
      <c r="CH900" s="269"/>
      <c r="CI900" s="269"/>
      <c r="CJ900" s="269"/>
      <c r="CK900" s="269"/>
      <c r="CL900" s="269"/>
      <c r="CM900" s="269"/>
      <c r="CN900" s="269"/>
      <c r="CO900" s="269"/>
      <c r="CP900" s="269"/>
      <c r="CQ900" s="269"/>
      <c r="CR900" s="269"/>
      <c r="CS900" s="269"/>
      <c r="DH900" s="219"/>
      <c r="DI900" s="219"/>
      <c r="DJ900" s="219"/>
      <c r="DK900" s="219"/>
    </row>
    <row r="901" spans="3:115" ht="12" customHeight="1" x14ac:dyDescent="0.35">
      <c r="C901" s="638">
        <f>C838</f>
        <v>1400</v>
      </c>
      <c r="D901" s="297">
        <f>Input!D$52*D385</f>
        <v>0</v>
      </c>
      <c r="E901" s="229">
        <f>Input!E$52*E385</f>
        <v>0</v>
      </c>
      <c r="F901" s="229">
        <f>Input!F$52*F385</f>
        <v>0</v>
      </c>
      <c r="G901" s="229">
        <f>Input!G$52*G385</f>
        <v>0</v>
      </c>
      <c r="H901" s="229">
        <f>Input!H$52*H385</f>
        <v>0</v>
      </c>
      <c r="I901" s="229">
        <f>Input!I$52*I385</f>
        <v>0</v>
      </c>
      <c r="J901" s="229">
        <f>Input!J$52*J385</f>
        <v>0</v>
      </c>
      <c r="K901" s="229">
        <f>Input!K$52*K385</f>
        <v>0</v>
      </c>
      <c r="L901" s="229">
        <f>Input!L$52*L385</f>
        <v>0</v>
      </c>
      <c r="M901" s="229">
        <f>Input!M$52*M385</f>
        <v>0</v>
      </c>
      <c r="N901" s="229">
        <f>Input!N$52*N385</f>
        <v>0</v>
      </c>
      <c r="O901" s="229">
        <f>Input!O$52*O385</f>
        <v>0</v>
      </c>
      <c r="P901" s="229">
        <f>Input!P$52*P385</f>
        <v>0</v>
      </c>
      <c r="Q901" s="229">
        <f>Input!Q$52*Q385</f>
        <v>0</v>
      </c>
      <c r="R901" s="229">
        <f>Input!R$52*R385</f>
        <v>0</v>
      </c>
      <c r="S901" s="229">
        <f>Input!S$52*S385</f>
        <v>0</v>
      </c>
      <c r="T901" s="229">
        <f>Input!T$52*T385</f>
        <v>0</v>
      </c>
      <c r="U901" s="229">
        <f>Input!U$52*U385</f>
        <v>0</v>
      </c>
      <c r="V901" s="229">
        <f>Input!V$52*V385</f>
        <v>0</v>
      </c>
      <c r="W901" s="229">
        <f>Input!W$52*W385</f>
        <v>0</v>
      </c>
      <c r="X901" s="229">
        <f>Input!X$52*X385</f>
        <v>0</v>
      </c>
      <c r="Y901" s="229">
        <f>Input!Y$52*Y385</f>
        <v>0</v>
      </c>
      <c r="Z901" s="229">
        <f>Input!Z$52*Z385</f>
        <v>0</v>
      </c>
      <c r="AA901" s="229">
        <f>Input!AA$52*AA385</f>
        <v>0</v>
      </c>
      <c r="AB901" s="298">
        <f>Input!AB$52*AB385</f>
        <v>0</v>
      </c>
      <c r="CH901" s="269"/>
      <c r="CI901" s="269"/>
      <c r="CJ901" s="269"/>
      <c r="CK901" s="269"/>
      <c r="CL901" s="269"/>
      <c r="CM901" s="269"/>
      <c r="CN901" s="269"/>
      <c r="CO901" s="269"/>
      <c r="CP901" s="269"/>
      <c r="CQ901" s="269"/>
      <c r="CR901" s="269"/>
      <c r="CS901" s="269"/>
      <c r="DH901" s="219"/>
      <c r="DI901" s="219"/>
      <c r="DJ901" s="219"/>
      <c r="DK901" s="219"/>
    </row>
    <row r="902" spans="3:115" ht="12" customHeight="1" x14ac:dyDescent="0.35">
      <c r="C902" s="638">
        <f>C839</f>
        <v>1430</v>
      </c>
      <c r="D902" s="297">
        <f>Input!D$52*D386</f>
        <v>0</v>
      </c>
      <c r="E902" s="229">
        <f>Input!E$52*E386</f>
        <v>0</v>
      </c>
      <c r="F902" s="229">
        <f>Input!F$52*F386</f>
        <v>0</v>
      </c>
      <c r="G902" s="229">
        <f>Input!G$52*G386</f>
        <v>0</v>
      </c>
      <c r="H902" s="229">
        <f>Input!H$52*H386</f>
        <v>0</v>
      </c>
      <c r="I902" s="229">
        <f>Input!I$52*I386</f>
        <v>0</v>
      </c>
      <c r="J902" s="229">
        <f>Input!J$52*J386</f>
        <v>0</v>
      </c>
      <c r="K902" s="229">
        <f>Input!K$52*K386</f>
        <v>0</v>
      </c>
      <c r="L902" s="229">
        <f>Input!L$52*L386</f>
        <v>0</v>
      </c>
      <c r="M902" s="229">
        <f>Input!M$52*M386</f>
        <v>0</v>
      </c>
      <c r="N902" s="229">
        <f>Input!N$52*N386</f>
        <v>0</v>
      </c>
      <c r="O902" s="229">
        <f>Input!O$52*O386</f>
        <v>0</v>
      </c>
      <c r="P902" s="229">
        <f>Input!P$52*P386</f>
        <v>0</v>
      </c>
      <c r="Q902" s="229">
        <f>Input!Q$52*Q386</f>
        <v>0</v>
      </c>
      <c r="R902" s="229">
        <f>Input!R$52*R386</f>
        <v>0</v>
      </c>
      <c r="S902" s="229">
        <f>Input!S$52*S386</f>
        <v>0</v>
      </c>
      <c r="T902" s="229">
        <f>Input!T$52*T386</f>
        <v>0</v>
      </c>
      <c r="U902" s="229">
        <f>Input!U$52*U386</f>
        <v>0</v>
      </c>
      <c r="V902" s="229">
        <f>Input!V$52*V386</f>
        <v>0</v>
      </c>
      <c r="W902" s="229">
        <f>Input!W$52*W386</f>
        <v>0</v>
      </c>
      <c r="X902" s="229">
        <f>Input!X$52*X386</f>
        <v>0</v>
      </c>
      <c r="Y902" s="229">
        <f>Input!Y$52*Y386</f>
        <v>0</v>
      </c>
      <c r="Z902" s="229">
        <f>Input!Z$52*Z386</f>
        <v>0</v>
      </c>
      <c r="AA902" s="229">
        <f>Input!AA$52*AA386</f>
        <v>0</v>
      </c>
      <c r="AB902" s="298">
        <f>Input!AB$52*AB386</f>
        <v>0</v>
      </c>
      <c r="CH902" s="269"/>
      <c r="CI902" s="269"/>
      <c r="CJ902" s="269"/>
      <c r="CK902" s="269"/>
      <c r="CL902" s="269"/>
      <c r="CM902" s="269"/>
      <c r="CN902" s="269"/>
      <c r="CO902" s="269"/>
      <c r="CP902" s="269"/>
      <c r="CQ902" s="269"/>
      <c r="CR902" s="269"/>
      <c r="CS902" s="269"/>
      <c r="DH902" s="219"/>
      <c r="DI902" s="219"/>
      <c r="DJ902" s="219"/>
      <c r="DK902" s="219"/>
    </row>
    <row r="903" spans="3:115" ht="12" customHeight="1" thickBot="1" x14ac:dyDescent="0.4">
      <c r="C903" s="639">
        <f>C840</f>
        <v>1461</v>
      </c>
      <c r="D903" s="301">
        <f>Input!D$52*D387</f>
        <v>0</v>
      </c>
      <c r="E903" s="302">
        <f>Input!E$52*E387</f>
        <v>0</v>
      </c>
      <c r="F903" s="302">
        <f>Input!F$52*F387</f>
        <v>0</v>
      </c>
      <c r="G903" s="302">
        <f>Input!G$52*G387</f>
        <v>0</v>
      </c>
      <c r="H903" s="302">
        <f>Input!H$52*H387</f>
        <v>0</v>
      </c>
      <c r="I903" s="302">
        <f>Input!I$52*I387</f>
        <v>0</v>
      </c>
      <c r="J903" s="302">
        <f>Input!J$52*J387</f>
        <v>0</v>
      </c>
      <c r="K903" s="302">
        <f>Input!K$52*K387</f>
        <v>0</v>
      </c>
      <c r="L903" s="302">
        <f>Input!L$52*L387</f>
        <v>0</v>
      </c>
      <c r="M903" s="302">
        <f>Input!M$52*M387</f>
        <v>0</v>
      </c>
      <c r="N903" s="302">
        <f>Input!N$52*N387</f>
        <v>0</v>
      </c>
      <c r="O903" s="302">
        <f>Input!O$52*O387</f>
        <v>0</v>
      </c>
      <c r="P903" s="302">
        <f>Input!P$52*P387</f>
        <v>0</v>
      </c>
      <c r="Q903" s="302">
        <f>Input!Q$52*Q387</f>
        <v>0</v>
      </c>
      <c r="R903" s="302">
        <f>Input!R$52*R387</f>
        <v>0</v>
      </c>
      <c r="S903" s="302">
        <f>Input!S$52*S387</f>
        <v>0</v>
      </c>
      <c r="T903" s="302">
        <f>Input!T$52*T387</f>
        <v>0</v>
      </c>
      <c r="U903" s="302">
        <f>Input!U$52*U387</f>
        <v>0</v>
      </c>
      <c r="V903" s="302">
        <f>Input!V$52*V387</f>
        <v>0</v>
      </c>
      <c r="W903" s="302">
        <f>Input!W$52*W387</f>
        <v>0</v>
      </c>
      <c r="X903" s="302">
        <f>Input!X$52*X387</f>
        <v>0</v>
      </c>
      <c r="Y903" s="302">
        <f>Input!Y$52*Y387</f>
        <v>0</v>
      </c>
      <c r="Z903" s="302">
        <f>Input!Z$52*Z387</f>
        <v>0</v>
      </c>
      <c r="AA903" s="302">
        <f>Input!AA$52*AA387</f>
        <v>0</v>
      </c>
      <c r="AB903" s="303">
        <f>Input!AB$52*AB387</f>
        <v>0</v>
      </c>
      <c r="CH903" s="269"/>
      <c r="CI903" s="269"/>
      <c r="CJ903" s="269"/>
      <c r="CK903" s="269"/>
      <c r="CL903" s="269"/>
      <c r="CM903" s="269"/>
      <c r="CN903" s="269"/>
      <c r="CO903" s="269"/>
      <c r="CP903" s="269"/>
      <c r="CQ903" s="269"/>
      <c r="CR903" s="269"/>
      <c r="CS903" s="269"/>
      <c r="DH903" s="219"/>
      <c r="DI903" s="219"/>
      <c r="DJ903" s="219"/>
      <c r="DK903" s="219"/>
    </row>
    <row r="904" spans="3:115" ht="12" customHeight="1" x14ac:dyDescent="0.35">
      <c r="C904" s="638">
        <f>C841</f>
        <v>1492</v>
      </c>
      <c r="D904" s="299">
        <f>Input!D$52*D388</f>
        <v>0</v>
      </c>
      <c r="E904" s="231">
        <f>Input!E$52*E388</f>
        <v>0</v>
      </c>
      <c r="F904" s="231">
        <f>Input!F$52*F388</f>
        <v>0</v>
      </c>
      <c r="G904" s="231">
        <f>Input!G$52*G388</f>
        <v>0</v>
      </c>
      <c r="H904" s="231">
        <f>Input!H$52*H388</f>
        <v>0</v>
      </c>
      <c r="I904" s="231">
        <f>Input!I$52*I388</f>
        <v>0</v>
      </c>
      <c r="J904" s="231">
        <f>Input!J$52*J388</f>
        <v>0</v>
      </c>
      <c r="K904" s="231">
        <f>Input!K$52*K388</f>
        <v>0</v>
      </c>
      <c r="L904" s="231">
        <f>Input!L$52*L388</f>
        <v>0</v>
      </c>
      <c r="M904" s="231">
        <f>Input!M$52*M388</f>
        <v>0</v>
      </c>
      <c r="N904" s="231">
        <f>Input!N$52*N388</f>
        <v>0</v>
      </c>
      <c r="O904" s="231">
        <f>Input!O$52*O388</f>
        <v>0</v>
      </c>
      <c r="P904" s="231">
        <f>Input!P$52*P388</f>
        <v>0</v>
      </c>
      <c r="Q904" s="231">
        <f>Input!Q$52*Q388</f>
        <v>0</v>
      </c>
      <c r="R904" s="231">
        <f>Input!R$52*R388</f>
        <v>0</v>
      </c>
      <c r="S904" s="231">
        <f>Input!S$52*S388</f>
        <v>0</v>
      </c>
      <c r="T904" s="231">
        <f>Input!T$52*T388</f>
        <v>0</v>
      </c>
      <c r="U904" s="231">
        <f>Input!U$52*U388</f>
        <v>0</v>
      </c>
      <c r="V904" s="231">
        <f>Input!V$52*V388</f>
        <v>0</v>
      </c>
      <c r="W904" s="231">
        <f>Input!W$52*W388</f>
        <v>0</v>
      </c>
      <c r="X904" s="231">
        <f>Input!X$52*X388</f>
        <v>0</v>
      </c>
      <c r="Y904" s="231">
        <f>Input!Y$52*Y388</f>
        <v>0</v>
      </c>
      <c r="Z904" s="231">
        <f>Input!Z$52*Z388</f>
        <v>0</v>
      </c>
      <c r="AA904" s="231">
        <f>Input!AA$52*AA388</f>
        <v>0</v>
      </c>
      <c r="AB904" s="300">
        <f>Input!AB$52*AB388</f>
        <v>0</v>
      </c>
      <c r="CH904" s="269"/>
      <c r="CI904" s="269"/>
      <c r="CJ904" s="269"/>
      <c r="CK904" s="269"/>
      <c r="CL904" s="269"/>
      <c r="CM904" s="269"/>
      <c r="CN904" s="269"/>
      <c r="CO904" s="269"/>
      <c r="CP904" s="269"/>
      <c r="CQ904" s="269"/>
      <c r="CR904" s="269"/>
      <c r="CS904" s="269"/>
      <c r="DH904" s="219"/>
      <c r="DI904" s="219"/>
      <c r="DJ904" s="219"/>
      <c r="DK904" s="219"/>
    </row>
    <row r="905" spans="3:115" ht="12" customHeight="1" x14ac:dyDescent="0.35">
      <c r="C905" s="638">
        <f>C842</f>
        <v>1521</v>
      </c>
      <c r="D905" s="297">
        <f>Input!D$52*D389</f>
        <v>0</v>
      </c>
      <c r="E905" s="229">
        <f>Input!E$52*E389</f>
        <v>0</v>
      </c>
      <c r="F905" s="229">
        <f>Input!F$52*F389</f>
        <v>0</v>
      </c>
      <c r="G905" s="229">
        <f>Input!G$52*G389</f>
        <v>0</v>
      </c>
      <c r="H905" s="229">
        <f>Input!H$52*H389</f>
        <v>0</v>
      </c>
      <c r="I905" s="229">
        <f>Input!I$52*I389</f>
        <v>0</v>
      </c>
      <c r="J905" s="229">
        <f>Input!J$52*J389</f>
        <v>0</v>
      </c>
      <c r="K905" s="229">
        <f>Input!K$52*K389</f>
        <v>0</v>
      </c>
      <c r="L905" s="229">
        <f>Input!L$52*L389</f>
        <v>0</v>
      </c>
      <c r="M905" s="229">
        <f>Input!M$52*M389</f>
        <v>0</v>
      </c>
      <c r="N905" s="229">
        <f>Input!N$52*N389</f>
        <v>0</v>
      </c>
      <c r="O905" s="229">
        <f>Input!O$52*O389</f>
        <v>0</v>
      </c>
      <c r="P905" s="229">
        <f>Input!P$52*P389</f>
        <v>0</v>
      </c>
      <c r="Q905" s="229">
        <f>Input!Q$52*Q389</f>
        <v>0</v>
      </c>
      <c r="R905" s="229">
        <f>Input!R$52*R389</f>
        <v>0</v>
      </c>
      <c r="S905" s="229">
        <f>Input!S$52*S389</f>
        <v>0</v>
      </c>
      <c r="T905" s="229">
        <f>Input!T$52*T389</f>
        <v>0</v>
      </c>
      <c r="U905" s="229">
        <f>Input!U$52*U389</f>
        <v>0</v>
      </c>
      <c r="V905" s="229">
        <f>Input!V$52*V389</f>
        <v>0</v>
      </c>
      <c r="W905" s="229">
        <f>Input!W$52*W389</f>
        <v>0</v>
      </c>
      <c r="X905" s="229">
        <f>Input!X$52*X389</f>
        <v>0</v>
      </c>
      <c r="Y905" s="229">
        <f>Input!Y$52*Y389</f>
        <v>0</v>
      </c>
      <c r="Z905" s="229">
        <f>Input!Z$52*Z389</f>
        <v>0</v>
      </c>
      <c r="AA905" s="229">
        <f>Input!AA$52*AA389</f>
        <v>0</v>
      </c>
      <c r="AB905" s="298">
        <f>Input!AB$52*AB389</f>
        <v>0</v>
      </c>
      <c r="CH905" s="269"/>
      <c r="CI905" s="269"/>
      <c r="CJ905" s="269"/>
      <c r="CK905" s="269"/>
      <c r="CL905" s="269"/>
      <c r="CM905" s="269"/>
      <c r="CN905" s="269"/>
      <c r="CO905" s="269"/>
      <c r="CP905" s="269"/>
      <c r="CQ905" s="269"/>
      <c r="CR905" s="269"/>
      <c r="CS905" s="269"/>
      <c r="DH905" s="219"/>
      <c r="DI905" s="219"/>
      <c r="DJ905" s="219"/>
      <c r="DK905" s="219"/>
    </row>
    <row r="906" spans="3:115" ht="12" customHeight="1" x14ac:dyDescent="0.35">
      <c r="C906" s="638">
        <f>C843</f>
        <v>1552</v>
      </c>
      <c r="D906" s="297">
        <f>Input!D$52*D390</f>
        <v>0</v>
      </c>
      <c r="E906" s="229">
        <f>Input!E$52*E390</f>
        <v>0</v>
      </c>
      <c r="F906" s="229">
        <f>Input!F$52*F390</f>
        <v>0</v>
      </c>
      <c r="G906" s="229">
        <f>Input!G$52*G390</f>
        <v>0</v>
      </c>
      <c r="H906" s="229">
        <f>Input!H$52*H390</f>
        <v>0</v>
      </c>
      <c r="I906" s="229">
        <f>Input!I$52*I390</f>
        <v>0</v>
      </c>
      <c r="J906" s="229">
        <f>Input!J$52*J390</f>
        <v>0</v>
      </c>
      <c r="K906" s="229">
        <f>Input!K$52*K390</f>
        <v>0</v>
      </c>
      <c r="L906" s="229">
        <f>Input!L$52*L390</f>
        <v>0</v>
      </c>
      <c r="M906" s="229">
        <f>Input!M$52*M390</f>
        <v>0</v>
      </c>
      <c r="N906" s="229">
        <f>Input!N$52*N390</f>
        <v>0</v>
      </c>
      <c r="O906" s="229">
        <f>Input!O$52*O390</f>
        <v>0</v>
      </c>
      <c r="P906" s="229">
        <f>Input!P$52*P390</f>
        <v>0</v>
      </c>
      <c r="Q906" s="229">
        <f>Input!Q$52*Q390</f>
        <v>0</v>
      </c>
      <c r="R906" s="229">
        <f>Input!R$52*R390</f>
        <v>0</v>
      </c>
      <c r="S906" s="229">
        <f>Input!S$52*S390</f>
        <v>0</v>
      </c>
      <c r="T906" s="229">
        <f>Input!T$52*T390</f>
        <v>0</v>
      </c>
      <c r="U906" s="229">
        <f>Input!U$52*U390</f>
        <v>0</v>
      </c>
      <c r="V906" s="229">
        <f>Input!V$52*V390</f>
        <v>0</v>
      </c>
      <c r="W906" s="229">
        <f>Input!W$52*W390</f>
        <v>0</v>
      </c>
      <c r="X906" s="229">
        <f>Input!X$52*X390</f>
        <v>0</v>
      </c>
      <c r="Y906" s="229">
        <f>Input!Y$52*Y390</f>
        <v>0</v>
      </c>
      <c r="Z906" s="229">
        <f>Input!Z$52*Z390</f>
        <v>0</v>
      </c>
      <c r="AA906" s="229">
        <f>Input!AA$52*AA390</f>
        <v>0</v>
      </c>
      <c r="AB906" s="298">
        <f>Input!AB$52*AB390</f>
        <v>0</v>
      </c>
      <c r="CH906" s="269"/>
      <c r="CI906" s="269"/>
      <c r="CJ906" s="269"/>
      <c r="CK906" s="269"/>
      <c r="CL906" s="269"/>
      <c r="CM906" s="269"/>
      <c r="CN906" s="269"/>
      <c r="CO906" s="269"/>
      <c r="CP906" s="269"/>
      <c r="CQ906" s="269"/>
      <c r="CR906" s="269"/>
      <c r="CS906" s="269"/>
      <c r="DH906" s="219"/>
      <c r="DI906" s="219"/>
      <c r="DJ906" s="219"/>
      <c r="DK906" s="219"/>
    </row>
    <row r="907" spans="3:115" ht="12" customHeight="1" x14ac:dyDescent="0.35">
      <c r="C907" s="638">
        <f>C844</f>
        <v>1582</v>
      </c>
      <c r="D907" s="297">
        <f>Input!D$52*D391</f>
        <v>0</v>
      </c>
      <c r="E907" s="229">
        <f>Input!E$52*E391</f>
        <v>0</v>
      </c>
      <c r="F907" s="229">
        <f>Input!F$52*F391</f>
        <v>0</v>
      </c>
      <c r="G907" s="229">
        <f>Input!G$52*G391</f>
        <v>0</v>
      </c>
      <c r="H907" s="229">
        <f>Input!H$52*H391</f>
        <v>0</v>
      </c>
      <c r="I907" s="229">
        <f>Input!I$52*I391</f>
        <v>0</v>
      </c>
      <c r="J907" s="229">
        <f>Input!J$52*J391</f>
        <v>0</v>
      </c>
      <c r="K907" s="229">
        <f>Input!K$52*K391</f>
        <v>0</v>
      </c>
      <c r="L907" s="229">
        <f>Input!L$52*L391</f>
        <v>0</v>
      </c>
      <c r="M907" s="229">
        <f>Input!M$52*M391</f>
        <v>0</v>
      </c>
      <c r="N907" s="229">
        <f>Input!N$52*N391</f>
        <v>0</v>
      </c>
      <c r="O907" s="229">
        <f>Input!O$52*O391</f>
        <v>0</v>
      </c>
      <c r="P907" s="229">
        <f>Input!P$52*P391</f>
        <v>0</v>
      </c>
      <c r="Q907" s="229">
        <f>Input!Q$52*Q391</f>
        <v>0</v>
      </c>
      <c r="R907" s="229">
        <f>Input!R$52*R391</f>
        <v>0</v>
      </c>
      <c r="S907" s="229">
        <f>Input!S$52*S391</f>
        <v>0</v>
      </c>
      <c r="T907" s="229">
        <f>Input!T$52*T391</f>
        <v>0</v>
      </c>
      <c r="U907" s="229">
        <f>Input!U$52*U391</f>
        <v>0</v>
      </c>
      <c r="V907" s="229">
        <f>Input!V$52*V391</f>
        <v>0</v>
      </c>
      <c r="W907" s="229">
        <f>Input!W$52*W391</f>
        <v>0</v>
      </c>
      <c r="X907" s="229">
        <f>Input!X$52*X391</f>
        <v>0</v>
      </c>
      <c r="Y907" s="229">
        <f>Input!Y$52*Y391</f>
        <v>0</v>
      </c>
      <c r="Z907" s="229">
        <f>Input!Z$52*Z391</f>
        <v>0</v>
      </c>
      <c r="AA907" s="229">
        <f>Input!AA$52*AA391</f>
        <v>0</v>
      </c>
      <c r="AB907" s="298">
        <f>Input!AB$52*AB391</f>
        <v>0</v>
      </c>
      <c r="CH907" s="269"/>
      <c r="CI907" s="269"/>
      <c r="CJ907" s="269"/>
      <c r="CK907" s="269"/>
      <c r="CL907" s="269"/>
      <c r="CM907" s="269"/>
      <c r="CN907" s="269"/>
      <c r="CO907" s="269"/>
      <c r="CP907" s="269"/>
      <c r="CQ907" s="269"/>
      <c r="CR907" s="269"/>
      <c r="CS907" s="269"/>
      <c r="DH907" s="219"/>
      <c r="DI907" s="219"/>
      <c r="DJ907" s="219"/>
      <c r="DK907" s="219"/>
    </row>
    <row r="908" spans="3:115" ht="12" customHeight="1" x14ac:dyDescent="0.35">
      <c r="C908" s="638">
        <f>C845</f>
        <v>1613</v>
      </c>
      <c r="D908" s="297">
        <f>Input!D$52*D392</f>
        <v>0</v>
      </c>
      <c r="E908" s="229">
        <f>Input!E$52*E392</f>
        <v>0</v>
      </c>
      <c r="F908" s="229">
        <f>Input!F$52*F392</f>
        <v>0</v>
      </c>
      <c r="G908" s="229">
        <f>Input!G$52*G392</f>
        <v>0</v>
      </c>
      <c r="H908" s="229">
        <f>Input!H$52*H392</f>
        <v>0</v>
      </c>
      <c r="I908" s="229">
        <f>Input!I$52*I392</f>
        <v>0</v>
      </c>
      <c r="J908" s="229">
        <f>Input!J$52*J392</f>
        <v>0</v>
      </c>
      <c r="K908" s="229">
        <f>Input!K$52*K392</f>
        <v>0</v>
      </c>
      <c r="L908" s="229">
        <f>Input!L$52*L392</f>
        <v>0</v>
      </c>
      <c r="M908" s="229">
        <f>Input!M$52*M392</f>
        <v>0</v>
      </c>
      <c r="N908" s="229">
        <f>Input!N$52*N392</f>
        <v>0</v>
      </c>
      <c r="O908" s="229">
        <f>Input!O$52*O392</f>
        <v>0</v>
      </c>
      <c r="P908" s="229">
        <f>Input!P$52*P392</f>
        <v>0</v>
      </c>
      <c r="Q908" s="229">
        <f>Input!Q$52*Q392</f>
        <v>0</v>
      </c>
      <c r="R908" s="229">
        <f>Input!R$52*R392</f>
        <v>0</v>
      </c>
      <c r="S908" s="229">
        <f>Input!S$52*S392</f>
        <v>0</v>
      </c>
      <c r="T908" s="229">
        <f>Input!T$52*T392</f>
        <v>0</v>
      </c>
      <c r="U908" s="229">
        <f>Input!U$52*U392</f>
        <v>0</v>
      </c>
      <c r="V908" s="229">
        <f>Input!V$52*V392</f>
        <v>0</v>
      </c>
      <c r="W908" s="229">
        <f>Input!W$52*W392</f>
        <v>0</v>
      </c>
      <c r="X908" s="229">
        <f>Input!X$52*X392</f>
        <v>0</v>
      </c>
      <c r="Y908" s="229">
        <f>Input!Y$52*Y392</f>
        <v>0</v>
      </c>
      <c r="Z908" s="229">
        <f>Input!Z$52*Z392</f>
        <v>0</v>
      </c>
      <c r="AA908" s="229">
        <f>Input!AA$52*AA392</f>
        <v>0</v>
      </c>
      <c r="AB908" s="298">
        <f>Input!AB$52*AB392</f>
        <v>0</v>
      </c>
      <c r="CH908" s="269"/>
      <c r="CI908" s="269"/>
      <c r="CJ908" s="269"/>
      <c r="CK908" s="269"/>
      <c r="CL908" s="269"/>
      <c r="CM908" s="269"/>
      <c r="CN908" s="269"/>
      <c r="CO908" s="269"/>
      <c r="CP908" s="269"/>
      <c r="CQ908" s="269"/>
      <c r="CR908" s="269"/>
      <c r="CS908" s="269"/>
      <c r="DH908" s="219"/>
      <c r="DI908" s="219"/>
      <c r="DJ908" s="219"/>
      <c r="DK908" s="219"/>
    </row>
    <row r="909" spans="3:115" ht="12" customHeight="1" x14ac:dyDescent="0.35">
      <c r="C909" s="638">
        <f>C846</f>
        <v>1643</v>
      </c>
      <c r="D909" s="297">
        <f>Input!D$52*D393</f>
        <v>0</v>
      </c>
      <c r="E909" s="229">
        <f>Input!E$52*E393</f>
        <v>0</v>
      </c>
      <c r="F909" s="229">
        <f>Input!F$52*F393</f>
        <v>0</v>
      </c>
      <c r="G909" s="229">
        <f>Input!G$52*G393</f>
        <v>0</v>
      </c>
      <c r="H909" s="229">
        <f>Input!H$52*H393</f>
        <v>0</v>
      </c>
      <c r="I909" s="229">
        <f>Input!I$52*I393</f>
        <v>0</v>
      </c>
      <c r="J909" s="229">
        <f>Input!J$52*J393</f>
        <v>0</v>
      </c>
      <c r="K909" s="229">
        <f>Input!K$52*K393</f>
        <v>0</v>
      </c>
      <c r="L909" s="229">
        <f>Input!L$52*L393</f>
        <v>0</v>
      </c>
      <c r="M909" s="229">
        <f>Input!M$52*M393</f>
        <v>0</v>
      </c>
      <c r="N909" s="229">
        <f>Input!N$52*N393</f>
        <v>0</v>
      </c>
      <c r="O909" s="229">
        <f>Input!O$52*O393</f>
        <v>0</v>
      </c>
      <c r="P909" s="229">
        <f>Input!P$52*P393</f>
        <v>0</v>
      </c>
      <c r="Q909" s="229">
        <f>Input!Q$52*Q393</f>
        <v>0</v>
      </c>
      <c r="R909" s="229">
        <f>Input!R$52*R393</f>
        <v>0</v>
      </c>
      <c r="S909" s="229">
        <f>Input!S$52*S393</f>
        <v>0</v>
      </c>
      <c r="T909" s="229">
        <f>Input!T$52*T393</f>
        <v>0</v>
      </c>
      <c r="U909" s="229">
        <f>Input!U$52*U393</f>
        <v>0</v>
      </c>
      <c r="V909" s="229">
        <f>Input!V$52*V393</f>
        <v>0</v>
      </c>
      <c r="W909" s="229">
        <f>Input!W$52*W393</f>
        <v>0</v>
      </c>
      <c r="X909" s="229">
        <f>Input!X$52*X393</f>
        <v>0</v>
      </c>
      <c r="Y909" s="229">
        <f>Input!Y$52*Y393</f>
        <v>0</v>
      </c>
      <c r="Z909" s="229">
        <f>Input!Z$52*Z393</f>
        <v>0</v>
      </c>
      <c r="AA909" s="229">
        <f>Input!AA$52*AA393</f>
        <v>0</v>
      </c>
      <c r="AB909" s="298">
        <f>Input!AB$52*AB393</f>
        <v>0</v>
      </c>
      <c r="CH909" s="269"/>
      <c r="CI909" s="269"/>
      <c r="CJ909" s="269"/>
      <c r="CK909" s="269"/>
      <c r="CL909" s="269"/>
      <c r="CM909" s="269"/>
      <c r="CN909" s="269"/>
      <c r="CO909" s="269"/>
      <c r="CP909" s="269"/>
      <c r="CQ909" s="269"/>
      <c r="CR909" s="269"/>
      <c r="CS909" s="269"/>
      <c r="DH909" s="219"/>
      <c r="DI909" s="219"/>
      <c r="DJ909" s="219"/>
      <c r="DK909" s="219"/>
    </row>
    <row r="910" spans="3:115" ht="12" customHeight="1" x14ac:dyDescent="0.35">
      <c r="C910" s="638">
        <f>C847</f>
        <v>1674</v>
      </c>
      <c r="D910" s="297">
        <f>Input!D$52*D394</f>
        <v>0</v>
      </c>
      <c r="E910" s="229">
        <f>Input!E$52*E394</f>
        <v>0</v>
      </c>
      <c r="F910" s="229">
        <f>Input!F$52*F394</f>
        <v>0</v>
      </c>
      <c r="G910" s="229">
        <f>Input!G$52*G394</f>
        <v>0</v>
      </c>
      <c r="H910" s="229">
        <f>Input!H$52*H394</f>
        <v>0</v>
      </c>
      <c r="I910" s="229">
        <f>Input!I$52*I394</f>
        <v>0</v>
      </c>
      <c r="J910" s="229">
        <f>Input!J$52*J394</f>
        <v>0</v>
      </c>
      <c r="K910" s="229">
        <f>Input!K$52*K394</f>
        <v>0</v>
      </c>
      <c r="L910" s="229">
        <f>Input!L$52*L394</f>
        <v>0</v>
      </c>
      <c r="M910" s="229">
        <f>Input!M$52*M394</f>
        <v>0</v>
      </c>
      <c r="N910" s="229">
        <f>Input!N$52*N394</f>
        <v>0</v>
      </c>
      <c r="O910" s="229">
        <f>Input!O$52*O394</f>
        <v>0</v>
      </c>
      <c r="P910" s="229">
        <f>Input!P$52*P394</f>
        <v>0</v>
      </c>
      <c r="Q910" s="229">
        <f>Input!Q$52*Q394</f>
        <v>0</v>
      </c>
      <c r="R910" s="229">
        <f>Input!R$52*R394</f>
        <v>0</v>
      </c>
      <c r="S910" s="229">
        <f>Input!S$52*S394</f>
        <v>0</v>
      </c>
      <c r="T910" s="229">
        <f>Input!T$52*T394</f>
        <v>0</v>
      </c>
      <c r="U910" s="229">
        <f>Input!U$52*U394</f>
        <v>0</v>
      </c>
      <c r="V910" s="229">
        <f>Input!V$52*V394</f>
        <v>0</v>
      </c>
      <c r="W910" s="229">
        <f>Input!W$52*W394</f>
        <v>0</v>
      </c>
      <c r="X910" s="229">
        <f>Input!X$52*X394</f>
        <v>0</v>
      </c>
      <c r="Y910" s="229">
        <f>Input!Y$52*Y394</f>
        <v>0</v>
      </c>
      <c r="Z910" s="229">
        <f>Input!Z$52*Z394</f>
        <v>0</v>
      </c>
      <c r="AA910" s="229">
        <f>Input!AA$52*AA394</f>
        <v>0</v>
      </c>
      <c r="AB910" s="298">
        <f>Input!AB$52*AB394</f>
        <v>0</v>
      </c>
      <c r="CH910" s="269"/>
      <c r="CI910" s="269"/>
      <c r="CJ910" s="269"/>
      <c r="CK910" s="269"/>
      <c r="CL910" s="269"/>
      <c r="CM910" s="269"/>
      <c r="CN910" s="269"/>
      <c r="CO910" s="269"/>
      <c r="CP910" s="269"/>
      <c r="CQ910" s="269"/>
      <c r="CR910" s="269"/>
      <c r="CS910" s="269"/>
      <c r="DH910" s="219"/>
      <c r="DI910" s="219"/>
      <c r="DJ910" s="219"/>
      <c r="DK910" s="219"/>
    </row>
    <row r="911" spans="3:115" ht="12" customHeight="1" x14ac:dyDescent="0.35">
      <c r="C911" s="638">
        <f>C848</f>
        <v>1705</v>
      </c>
      <c r="D911" s="297">
        <f>Input!D$52*D395</f>
        <v>0</v>
      </c>
      <c r="E911" s="229">
        <f>Input!E$52*E395</f>
        <v>0</v>
      </c>
      <c r="F911" s="229">
        <f>Input!F$52*F395</f>
        <v>0</v>
      </c>
      <c r="G911" s="229">
        <f>Input!G$52*G395</f>
        <v>0</v>
      </c>
      <c r="H911" s="229">
        <f>Input!H$52*H395</f>
        <v>0</v>
      </c>
      <c r="I911" s="229">
        <f>Input!I$52*I395</f>
        <v>0</v>
      </c>
      <c r="J911" s="229">
        <f>Input!J$52*J395</f>
        <v>0</v>
      </c>
      <c r="K911" s="229">
        <f>Input!K$52*K395</f>
        <v>0</v>
      </c>
      <c r="L911" s="229">
        <f>Input!L$52*L395</f>
        <v>0</v>
      </c>
      <c r="M911" s="229">
        <f>Input!M$52*M395</f>
        <v>0</v>
      </c>
      <c r="N911" s="229">
        <f>Input!N$52*N395</f>
        <v>0</v>
      </c>
      <c r="O911" s="229">
        <f>Input!O$52*O395</f>
        <v>0</v>
      </c>
      <c r="P911" s="229">
        <f>Input!P$52*P395</f>
        <v>0</v>
      </c>
      <c r="Q911" s="229">
        <f>Input!Q$52*Q395</f>
        <v>0</v>
      </c>
      <c r="R911" s="229">
        <f>Input!R$52*R395</f>
        <v>0</v>
      </c>
      <c r="S911" s="229">
        <f>Input!S$52*S395</f>
        <v>0</v>
      </c>
      <c r="T911" s="229">
        <f>Input!T$52*T395</f>
        <v>0</v>
      </c>
      <c r="U911" s="229">
        <f>Input!U$52*U395</f>
        <v>0</v>
      </c>
      <c r="V911" s="229">
        <f>Input!V$52*V395</f>
        <v>0</v>
      </c>
      <c r="W911" s="229">
        <f>Input!W$52*W395</f>
        <v>0</v>
      </c>
      <c r="X911" s="229">
        <f>Input!X$52*X395</f>
        <v>0</v>
      </c>
      <c r="Y911" s="229">
        <f>Input!Y$52*Y395</f>
        <v>0</v>
      </c>
      <c r="Z911" s="229">
        <f>Input!Z$52*Z395</f>
        <v>0</v>
      </c>
      <c r="AA911" s="229">
        <f>Input!AA$52*AA395</f>
        <v>0</v>
      </c>
      <c r="AB911" s="298">
        <f>Input!AB$52*AB395</f>
        <v>0</v>
      </c>
      <c r="CH911" s="269"/>
      <c r="CI911" s="269"/>
      <c r="CJ911" s="269"/>
      <c r="CK911" s="269"/>
      <c r="CL911" s="269"/>
      <c r="CM911" s="269"/>
      <c r="CN911" s="269"/>
      <c r="CO911" s="269"/>
      <c r="CP911" s="269"/>
      <c r="CQ911" s="269"/>
      <c r="CR911" s="269"/>
      <c r="CS911" s="269"/>
      <c r="DH911" s="219"/>
      <c r="DI911" s="219"/>
      <c r="DJ911" s="219"/>
      <c r="DK911" s="219"/>
    </row>
    <row r="912" spans="3:115" ht="12" customHeight="1" x14ac:dyDescent="0.35">
      <c r="C912" s="638">
        <f>C849</f>
        <v>1735</v>
      </c>
      <c r="D912" s="297">
        <f>Input!D$52*D396</f>
        <v>0</v>
      </c>
      <c r="E912" s="229">
        <f>Input!E$52*E396</f>
        <v>0</v>
      </c>
      <c r="F912" s="229">
        <f>Input!F$52*F396</f>
        <v>0</v>
      </c>
      <c r="G912" s="229">
        <f>Input!G$52*G396</f>
        <v>0</v>
      </c>
      <c r="H912" s="229">
        <f>Input!H$52*H396</f>
        <v>0</v>
      </c>
      <c r="I912" s="229">
        <f>Input!I$52*I396</f>
        <v>0</v>
      </c>
      <c r="J912" s="229">
        <f>Input!J$52*J396</f>
        <v>0</v>
      </c>
      <c r="K912" s="229">
        <f>Input!K$52*K396</f>
        <v>0</v>
      </c>
      <c r="L912" s="229">
        <f>Input!L$52*L396</f>
        <v>0</v>
      </c>
      <c r="M912" s="229">
        <f>Input!M$52*M396</f>
        <v>0</v>
      </c>
      <c r="N912" s="229">
        <f>Input!N$52*N396</f>
        <v>0</v>
      </c>
      <c r="O912" s="229">
        <f>Input!O$52*O396</f>
        <v>0</v>
      </c>
      <c r="P912" s="229">
        <f>Input!P$52*P396</f>
        <v>0</v>
      </c>
      <c r="Q912" s="229">
        <f>Input!Q$52*Q396</f>
        <v>0</v>
      </c>
      <c r="R912" s="229">
        <f>Input!R$52*R396</f>
        <v>0</v>
      </c>
      <c r="S912" s="229">
        <f>Input!S$52*S396</f>
        <v>0</v>
      </c>
      <c r="T912" s="229">
        <f>Input!T$52*T396</f>
        <v>0</v>
      </c>
      <c r="U912" s="229">
        <f>Input!U$52*U396</f>
        <v>0</v>
      </c>
      <c r="V912" s="229">
        <f>Input!V$52*V396</f>
        <v>0</v>
      </c>
      <c r="W912" s="229">
        <f>Input!W$52*W396</f>
        <v>0</v>
      </c>
      <c r="X912" s="229">
        <f>Input!X$52*X396</f>
        <v>0</v>
      </c>
      <c r="Y912" s="229">
        <f>Input!Y$52*Y396</f>
        <v>0</v>
      </c>
      <c r="Z912" s="229">
        <f>Input!Z$52*Z396</f>
        <v>0</v>
      </c>
      <c r="AA912" s="229">
        <f>Input!AA$52*AA396</f>
        <v>0</v>
      </c>
      <c r="AB912" s="298">
        <f>Input!AB$52*AB396</f>
        <v>0</v>
      </c>
      <c r="CH912" s="269"/>
      <c r="CI912" s="269"/>
      <c r="CJ912" s="269"/>
      <c r="CK912" s="269"/>
      <c r="CL912" s="269"/>
      <c r="CM912" s="269"/>
      <c r="CN912" s="269"/>
      <c r="CO912" s="269"/>
      <c r="CP912" s="269"/>
      <c r="CQ912" s="269"/>
      <c r="CR912" s="269"/>
      <c r="CS912" s="269"/>
      <c r="DH912" s="219"/>
      <c r="DI912" s="219"/>
      <c r="DJ912" s="219"/>
      <c r="DK912" s="219"/>
    </row>
    <row r="913" spans="1:115" ht="12" customHeight="1" x14ac:dyDescent="0.35">
      <c r="C913" s="638">
        <f>C850</f>
        <v>1766</v>
      </c>
      <c r="D913" s="297">
        <f>Input!D$52*D397</f>
        <v>0</v>
      </c>
      <c r="E913" s="229">
        <f>Input!E$52*E397</f>
        <v>0</v>
      </c>
      <c r="F913" s="229">
        <f>Input!F$52*F397</f>
        <v>0</v>
      </c>
      <c r="G913" s="229">
        <f>Input!G$52*G397</f>
        <v>0</v>
      </c>
      <c r="H913" s="229">
        <f>Input!H$52*H397</f>
        <v>0</v>
      </c>
      <c r="I913" s="229">
        <f>Input!I$52*I397</f>
        <v>0</v>
      </c>
      <c r="J913" s="229">
        <f>Input!J$52*J397</f>
        <v>0</v>
      </c>
      <c r="K913" s="229">
        <f>Input!K$52*K397</f>
        <v>0</v>
      </c>
      <c r="L913" s="229">
        <f>Input!L$52*L397</f>
        <v>0</v>
      </c>
      <c r="M913" s="229">
        <f>Input!M$52*M397</f>
        <v>0</v>
      </c>
      <c r="N913" s="229">
        <f>Input!N$52*N397</f>
        <v>0</v>
      </c>
      <c r="O913" s="229">
        <f>Input!O$52*O397</f>
        <v>0</v>
      </c>
      <c r="P913" s="229">
        <f>Input!P$52*P397</f>
        <v>0</v>
      </c>
      <c r="Q913" s="229">
        <f>Input!Q$52*Q397</f>
        <v>0</v>
      </c>
      <c r="R913" s="229">
        <f>Input!R$52*R397</f>
        <v>0</v>
      </c>
      <c r="S913" s="229">
        <f>Input!S$52*S397</f>
        <v>0</v>
      </c>
      <c r="T913" s="229">
        <f>Input!T$52*T397</f>
        <v>0</v>
      </c>
      <c r="U913" s="229">
        <f>Input!U$52*U397</f>
        <v>0</v>
      </c>
      <c r="V913" s="229">
        <f>Input!V$52*V397</f>
        <v>0</v>
      </c>
      <c r="W913" s="229">
        <f>Input!W$52*W397</f>
        <v>0</v>
      </c>
      <c r="X913" s="229">
        <f>Input!X$52*X397</f>
        <v>0</v>
      </c>
      <c r="Y913" s="229">
        <f>Input!Y$52*Y397</f>
        <v>0</v>
      </c>
      <c r="Z913" s="229">
        <f>Input!Z$52*Z397</f>
        <v>0</v>
      </c>
      <c r="AA913" s="229">
        <f>Input!AA$52*AA397</f>
        <v>0</v>
      </c>
      <c r="AB913" s="298">
        <f>Input!AB$52*AB397</f>
        <v>0</v>
      </c>
      <c r="CH913" s="269"/>
      <c r="CI913" s="269"/>
      <c r="CJ913" s="269"/>
      <c r="CK913" s="269"/>
      <c r="CL913" s="269"/>
      <c r="CM913" s="269"/>
      <c r="CN913" s="269"/>
      <c r="CO913" s="269"/>
      <c r="CP913" s="269"/>
      <c r="CQ913" s="269"/>
      <c r="CR913" s="269"/>
      <c r="CS913" s="269"/>
      <c r="DH913" s="219"/>
      <c r="DI913" s="219"/>
      <c r="DJ913" s="219"/>
      <c r="DK913" s="219"/>
    </row>
    <row r="914" spans="1:115" ht="12" customHeight="1" x14ac:dyDescent="0.35">
      <c r="C914" s="638">
        <f>C851</f>
        <v>1796</v>
      </c>
      <c r="D914" s="297">
        <f>Input!D$52*D398</f>
        <v>0</v>
      </c>
      <c r="E914" s="229">
        <f>Input!E$52*E398</f>
        <v>0</v>
      </c>
      <c r="F914" s="229">
        <f>Input!F$52*F398</f>
        <v>0</v>
      </c>
      <c r="G914" s="229">
        <f>Input!G$52*G398</f>
        <v>0</v>
      </c>
      <c r="H914" s="229">
        <f>Input!H$52*H398</f>
        <v>0</v>
      </c>
      <c r="I914" s="229">
        <f>Input!I$52*I398</f>
        <v>0</v>
      </c>
      <c r="J914" s="229">
        <f>Input!J$52*J398</f>
        <v>0</v>
      </c>
      <c r="K914" s="229">
        <f>Input!K$52*K398</f>
        <v>0</v>
      </c>
      <c r="L914" s="229">
        <f>Input!L$52*L398</f>
        <v>0</v>
      </c>
      <c r="M914" s="229">
        <f>Input!M$52*M398</f>
        <v>0</v>
      </c>
      <c r="N914" s="229">
        <f>Input!N$52*N398</f>
        <v>0</v>
      </c>
      <c r="O914" s="229">
        <f>Input!O$52*O398</f>
        <v>0</v>
      </c>
      <c r="P914" s="229">
        <f>Input!P$52*P398</f>
        <v>0</v>
      </c>
      <c r="Q914" s="229">
        <f>Input!Q$52*Q398</f>
        <v>0</v>
      </c>
      <c r="R914" s="229">
        <f>Input!R$52*R398</f>
        <v>0</v>
      </c>
      <c r="S914" s="229">
        <f>Input!S$52*S398</f>
        <v>0</v>
      </c>
      <c r="T914" s="229">
        <f>Input!T$52*T398</f>
        <v>0</v>
      </c>
      <c r="U914" s="229">
        <f>Input!U$52*U398</f>
        <v>0</v>
      </c>
      <c r="V914" s="229">
        <f>Input!V$52*V398</f>
        <v>0</v>
      </c>
      <c r="W914" s="229">
        <f>Input!W$52*W398</f>
        <v>0</v>
      </c>
      <c r="X914" s="229">
        <f>Input!X$52*X398</f>
        <v>0</v>
      </c>
      <c r="Y914" s="229">
        <f>Input!Y$52*Y398</f>
        <v>0</v>
      </c>
      <c r="Z914" s="229">
        <f>Input!Z$52*Z398</f>
        <v>0</v>
      </c>
      <c r="AA914" s="229">
        <f>Input!AA$52*AA398</f>
        <v>0</v>
      </c>
      <c r="AB914" s="298">
        <f>Input!AB$52*AB398</f>
        <v>0</v>
      </c>
      <c r="CH914" s="269"/>
      <c r="CI914" s="269"/>
      <c r="CJ914" s="269"/>
      <c r="CK914" s="269"/>
      <c r="CL914" s="269"/>
      <c r="CM914" s="269"/>
      <c r="CN914" s="269"/>
      <c r="CO914" s="269"/>
      <c r="CP914" s="269"/>
      <c r="CQ914" s="269"/>
      <c r="CR914" s="269"/>
      <c r="CS914" s="269"/>
      <c r="DH914" s="219"/>
      <c r="DI914" s="219"/>
      <c r="DJ914" s="219"/>
      <c r="DK914" s="219"/>
    </row>
    <row r="915" spans="1:115" ht="12" customHeight="1" thickBot="1" x14ac:dyDescent="0.4">
      <c r="C915" s="638">
        <f>C852</f>
        <v>1827</v>
      </c>
      <c r="D915" s="301">
        <f>Input!D$52*D399</f>
        <v>0</v>
      </c>
      <c r="E915" s="302">
        <f>Input!E$52*E399</f>
        <v>0</v>
      </c>
      <c r="F915" s="302">
        <f>Input!F$52*F399</f>
        <v>0</v>
      </c>
      <c r="G915" s="302">
        <f>Input!G$52*G399</f>
        <v>0</v>
      </c>
      <c r="H915" s="302">
        <f>Input!H$52*H399</f>
        <v>0</v>
      </c>
      <c r="I915" s="302">
        <f>Input!I$52*I399</f>
        <v>0</v>
      </c>
      <c r="J915" s="302">
        <f>Input!J$52*J399</f>
        <v>0</v>
      </c>
      <c r="K915" s="302">
        <f>Input!K$52*K399</f>
        <v>0</v>
      </c>
      <c r="L915" s="302">
        <f>Input!L$52*L399</f>
        <v>0</v>
      </c>
      <c r="M915" s="302">
        <f>Input!M$52*M399</f>
        <v>0</v>
      </c>
      <c r="N915" s="302">
        <f>Input!N$52*N399</f>
        <v>0</v>
      </c>
      <c r="O915" s="302">
        <f>Input!O$52*O399</f>
        <v>0</v>
      </c>
      <c r="P915" s="302">
        <f>Input!P$52*P399</f>
        <v>0</v>
      </c>
      <c r="Q915" s="302">
        <f>Input!Q$52*Q399</f>
        <v>0</v>
      </c>
      <c r="R915" s="302">
        <f>Input!R$52*R399</f>
        <v>0</v>
      </c>
      <c r="S915" s="302">
        <f>Input!S$52*S399</f>
        <v>0</v>
      </c>
      <c r="T915" s="302">
        <f>Input!T$52*T399</f>
        <v>0</v>
      </c>
      <c r="U915" s="302">
        <f>Input!U$52*U399</f>
        <v>0</v>
      </c>
      <c r="V915" s="302">
        <f>Input!V$52*V399</f>
        <v>0</v>
      </c>
      <c r="W915" s="302">
        <f>Input!W$52*W399</f>
        <v>0</v>
      </c>
      <c r="X915" s="302">
        <f>Input!X$52*X399</f>
        <v>0</v>
      </c>
      <c r="Y915" s="302">
        <f>Input!Y$52*Y399</f>
        <v>0</v>
      </c>
      <c r="Z915" s="302">
        <f>Input!Z$52*Z399</f>
        <v>0</v>
      </c>
      <c r="AA915" s="302">
        <f>Input!AA$52*AA399</f>
        <v>0</v>
      </c>
      <c r="AB915" s="303">
        <f>Input!AB$52*AB399</f>
        <v>0</v>
      </c>
      <c r="CH915" s="269"/>
      <c r="CI915" s="269"/>
      <c r="CJ915" s="269"/>
      <c r="CK915" s="269"/>
      <c r="CL915" s="269"/>
      <c r="CM915" s="269"/>
      <c r="CN915" s="269"/>
      <c r="CO915" s="269"/>
      <c r="CP915" s="269"/>
      <c r="CQ915" s="269"/>
      <c r="CR915" s="269"/>
      <c r="CS915" s="269"/>
      <c r="DH915" s="219"/>
      <c r="DI915" s="219"/>
      <c r="DJ915" s="219"/>
      <c r="DK915" s="219"/>
    </row>
    <row r="916" spans="1:115" ht="12" customHeight="1" x14ac:dyDescent="0.35">
      <c r="C916" s="1347" t="s">
        <v>131</v>
      </c>
      <c r="D916" s="481">
        <f>SUM(D856:D915)</f>
        <v>0</v>
      </c>
      <c r="E916" s="481">
        <f>SUM(E856:E915)</f>
        <v>0</v>
      </c>
      <c r="F916" s="481">
        <f>SUM(F856:F915)</f>
        <v>0</v>
      </c>
      <c r="G916" s="481">
        <f>SUM(G856:G915)</f>
        <v>0</v>
      </c>
      <c r="H916" s="481">
        <f>SUM(H856:H915)</f>
        <v>0</v>
      </c>
      <c r="I916" s="481">
        <f>SUM(I856:I915)</f>
        <v>0</v>
      </c>
      <c r="J916" s="481">
        <f>SUM(J856:J915)</f>
        <v>0</v>
      </c>
      <c r="K916" s="481">
        <f>SUM(K856:K915)</f>
        <v>0</v>
      </c>
      <c r="L916" s="481">
        <f>SUM(L856:L915)</f>
        <v>0</v>
      </c>
      <c r="M916" s="481">
        <f>SUM(M856:M915)</f>
        <v>0</v>
      </c>
      <c r="N916" s="481">
        <f>SUM(N856:N915)</f>
        <v>0</v>
      </c>
      <c r="O916" s="481">
        <f>SUM(O856:O915)</f>
        <v>0</v>
      </c>
      <c r="P916" s="481">
        <f>SUM(P856:P915)</f>
        <v>0</v>
      </c>
      <c r="Q916" s="481">
        <f>SUM(Q856:Q915)</f>
        <v>0</v>
      </c>
      <c r="R916" s="481">
        <f>SUM(R856:R915)</f>
        <v>0</v>
      </c>
      <c r="S916" s="481">
        <f>SUM(S856:S915)</f>
        <v>0</v>
      </c>
      <c r="T916" s="481">
        <f>SUM(T856:T915)</f>
        <v>0</v>
      </c>
      <c r="U916" s="481">
        <f>SUM(U856:U915)</f>
        <v>0</v>
      </c>
      <c r="V916" s="481">
        <f>SUM(V856:V915)</f>
        <v>0</v>
      </c>
      <c r="W916" s="481">
        <f>SUM(W856:W915)</f>
        <v>0</v>
      </c>
      <c r="X916" s="481">
        <f>SUM(X856:X915)</f>
        <v>0</v>
      </c>
      <c r="Y916" s="481">
        <f>SUM(Y856:Y915)</f>
        <v>0</v>
      </c>
      <c r="Z916" s="481">
        <f>SUM(Z856:Z915)</f>
        <v>0</v>
      </c>
      <c r="AA916" s="481">
        <f>SUM(AA856:AA915)</f>
        <v>0</v>
      </c>
      <c r="AB916" s="481">
        <f>SUM(AB856:AB915)</f>
        <v>0</v>
      </c>
      <c r="CH916" s="269"/>
      <c r="CI916" s="269"/>
      <c r="CJ916" s="269"/>
      <c r="CK916" s="269"/>
      <c r="CL916" s="269"/>
      <c r="CM916" s="269"/>
      <c r="CN916" s="269"/>
      <c r="CO916" s="269"/>
      <c r="CP916" s="269"/>
      <c r="CQ916" s="269"/>
      <c r="CR916" s="269"/>
      <c r="CS916" s="269"/>
      <c r="DH916" s="219"/>
      <c r="DI916" s="219"/>
      <c r="DJ916" s="219"/>
      <c r="DK916" s="219"/>
    </row>
    <row r="917" spans="1:115" ht="12" customHeight="1" x14ac:dyDescent="0.45">
      <c r="A917" s="1799" t="str">
        <f>Input!C53</f>
        <v xml:space="preserve">Royalty / Franchise </v>
      </c>
      <c r="B917" s="1830" t="s">
        <v>202</v>
      </c>
      <c r="C917" s="1830"/>
      <c r="D917" s="221"/>
      <c r="E917" s="221"/>
      <c r="F917" s="221"/>
      <c r="G917" s="221"/>
      <c r="H917" s="221"/>
      <c r="I917" s="221"/>
      <c r="J917" s="221"/>
      <c r="K917" s="221"/>
      <c r="L917" s="221"/>
      <c r="M917" s="221"/>
      <c r="N917" s="221"/>
      <c r="O917" s="221"/>
      <c r="P917" s="221"/>
      <c r="Q917" s="221"/>
      <c r="R917" s="221"/>
      <c r="S917" s="221"/>
      <c r="T917" s="221"/>
      <c r="U917" s="221"/>
      <c r="V917" s="221"/>
      <c r="W917" s="221"/>
      <c r="X917" s="221"/>
      <c r="Y917" s="221"/>
      <c r="Z917" s="221"/>
      <c r="AA917" s="221"/>
      <c r="AB917" s="221"/>
      <c r="CH917" s="269"/>
      <c r="CI917" s="269"/>
      <c r="CJ917" s="269"/>
      <c r="CK917" s="269"/>
      <c r="CL917" s="269"/>
      <c r="CM917" s="269"/>
      <c r="CN917" s="269"/>
      <c r="CO917" s="269"/>
      <c r="CP917" s="269"/>
      <c r="CQ917" s="269"/>
      <c r="CR917" s="269"/>
      <c r="CS917" s="269"/>
      <c r="DH917" s="219"/>
      <c r="DI917" s="219"/>
      <c r="DJ917" s="219"/>
      <c r="DK917" s="219"/>
    </row>
    <row r="918" spans="1:115" s="5" customFormat="1" ht="12" customHeight="1" thickBot="1" x14ac:dyDescent="0.35">
      <c r="A918" s="646"/>
      <c r="B918" s="1830"/>
      <c r="C918" s="1830"/>
      <c r="D918" s="820" t="str">
        <f>D339</f>
        <v>Item 1</v>
      </c>
      <c r="E918" s="820" t="str">
        <f>E339</f>
        <v>Item 2</v>
      </c>
      <c r="F918" s="820" t="str">
        <f>F339</f>
        <v>Item 3</v>
      </c>
      <c r="G918" s="820" t="str">
        <f>G339</f>
        <v>Item 4</v>
      </c>
      <c r="H918" s="820" t="str">
        <f>H339</f>
        <v>Item 5</v>
      </c>
      <c r="I918" s="820" t="str">
        <f>I339</f>
        <v>Item 6</v>
      </c>
      <c r="J918" s="820" t="str">
        <f>J339</f>
        <v>Item 7</v>
      </c>
      <c r="K918" s="820" t="str">
        <f>K339</f>
        <v>Item 8</v>
      </c>
      <c r="L918" s="820" t="str">
        <f>L339</f>
        <v>Item 9</v>
      </c>
      <c r="M918" s="820" t="str">
        <f>M339</f>
        <v>Item 10</v>
      </c>
      <c r="N918" s="820" t="str">
        <f>N339</f>
        <v>Item 11</v>
      </c>
      <c r="O918" s="820" t="str">
        <f>O339</f>
        <v>Item 12</v>
      </c>
      <c r="P918" s="820" t="str">
        <f>P339</f>
        <v>Item 13</v>
      </c>
      <c r="Q918" s="820" t="str">
        <f>Q339</f>
        <v>Item 14</v>
      </c>
      <c r="R918" s="820" t="str">
        <f>R339</f>
        <v>Item 15</v>
      </c>
      <c r="S918" s="820" t="str">
        <f>S339</f>
        <v>Item 16</v>
      </c>
      <c r="T918" s="820" t="str">
        <f>T339</f>
        <v>Item 17</v>
      </c>
      <c r="U918" s="820" t="str">
        <f>U339</f>
        <v>Item 18</v>
      </c>
      <c r="V918" s="820" t="str">
        <f>V339</f>
        <v>Item 19</v>
      </c>
      <c r="W918" s="820" t="str">
        <f>W339</f>
        <v>Item 20</v>
      </c>
      <c r="X918" s="820" t="str">
        <f>X339</f>
        <v>Item 21</v>
      </c>
      <c r="Y918" s="820" t="str">
        <f>Y339</f>
        <v>Item 22</v>
      </c>
      <c r="Z918" s="820" t="str">
        <f>Z339</f>
        <v>Item 23</v>
      </c>
      <c r="AA918" s="820" t="str">
        <f>AA339</f>
        <v>Item 24</v>
      </c>
      <c r="AB918" s="820" t="str">
        <f>AB339</f>
        <v>Item 25</v>
      </c>
      <c r="AC918" s="4"/>
      <c r="AD918" s="4"/>
      <c r="AE918" s="4"/>
      <c r="AF918" s="4"/>
      <c r="AG918" s="4"/>
      <c r="AH918" s="4"/>
      <c r="AI918" s="4"/>
      <c r="AJ918" s="4"/>
      <c r="AK918" s="4"/>
      <c r="AL918" s="4"/>
      <c r="AM918" s="4"/>
      <c r="AN918" s="4"/>
      <c r="AO918" s="4"/>
      <c r="AP918" s="4"/>
      <c r="AQ918" s="4"/>
      <c r="AR918" s="4"/>
      <c r="AS918" s="4"/>
      <c r="AT918" s="4"/>
      <c r="AU918" s="4"/>
      <c r="AV918" s="4"/>
      <c r="AW918" s="4"/>
      <c r="AX918" s="4"/>
      <c r="AY918" s="4"/>
      <c r="AZ918" s="4"/>
      <c r="BA918" s="4"/>
      <c r="BB918" s="4"/>
      <c r="BC918" s="4"/>
      <c r="BD918" s="4"/>
      <c r="BE918" s="4"/>
      <c r="BF918" s="4"/>
      <c r="BG918" s="4"/>
      <c r="BH918" s="4"/>
      <c r="BI918" s="4"/>
      <c r="BJ918" s="4"/>
      <c r="BK918" s="4"/>
      <c r="BL918" s="4"/>
      <c r="BM918" s="4"/>
      <c r="BN918" s="4"/>
      <c r="BO918" s="4"/>
      <c r="BP918" s="4"/>
      <c r="BQ918" s="4"/>
      <c r="BR918" s="4"/>
      <c r="BS918" s="4"/>
      <c r="BT918" s="4"/>
      <c r="BU918" s="4"/>
      <c r="BV918" s="4"/>
      <c r="BW918" s="4"/>
      <c r="BX918" s="4"/>
      <c r="BY918" s="4"/>
      <c r="BZ918" s="4"/>
      <c r="CA918" s="4"/>
      <c r="CB918" s="4"/>
      <c r="CC918" s="4"/>
      <c r="CD918" s="4"/>
      <c r="CE918" s="4"/>
      <c r="CF918" s="4"/>
      <c r="CG918" s="4"/>
      <c r="CH918" s="821"/>
      <c r="CI918" s="821"/>
      <c r="CJ918" s="821"/>
      <c r="CK918" s="821"/>
      <c r="CL918" s="821"/>
      <c r="CM918" s="821"/>
      <c r="CN918" s="821"/>
      <c r="CO918" s="821"/>
      <c r="CP918" s="821"/>
      <c r="CQ918" s="821"/>
      <c r="CR918" s="821"/>
      <c r="CS918" s="821"/>
      <c r="DH918" s="221"/>
      <c r="DI918" s="221"/>
      <c r="DJ918" s="221"/>
      <c r="DK918" s="221"/>
    </row>
    <row r="919" spans="1:115" ht="12" customHeight="1" x14ac:dyDescent="0.3">
      <c r="C919" s="495">
        <f>C856</f>
        <v>0</v>
      </c>
      <c r="D919" s="227">
        <f>Input!D$53*D340</f>
        <v>0</v>
      </c>
      <c r="E919" s="228">
        <f>Input!E$53*E340</f>
        <v>0</v>
      </c>
      <c r="F919" s="228">
        <f>Input!F$53*F340</f>
        <v>0</v>
      </c>
      <c r="G919" s="228">
        <f>Input!G$53*G340</f>
        <v>0</v>
      </c>
      <c r="H919" s="228">
        <f>Input!H$53*H340</f>
        <v>0</v>
      </c>
      <c r="I919" s="228">
        <f>Input!I$53*I340</f>
        <v>0</v>
      </c>
      <c r="J919" s="228">
        <f>Input!J$53*J340</f>
        <v>0</v>
      </c>
      <c r="K919" s="228">
        <f>Input!K$53*K340</f>
        <v>0</v>
      </c>
      <c r="L919" s="228">
        <f>Input!L$53*L340</f>
        <v>0</v>
      </c>
      <c r="M919" s="228">
        <f>Input!M$53*M340</f>
        <v>0</v>
      </c>
      <c r="N919" s="228">
        <f>Input!N$53*N340</f>
        <v>0</v>
      </c>
      <c r="O919" s="228">
        <f>Input!O$53*O340</f>
        <v>0</v>
      </c>
      <c r="P919" s="228">
        <f>Input!P$53*P340</f>
        <v>0</v>
      </c>
      <c r="Q919" s="228">
        <f>Input!Q$53*Q340</f>
        <v>0</v>
      </c>
      <c r="R919" s="228">
        <f>Input!R$53*R340</f>
        <v>0</v>
      </c>
      <c r="S919" s="228">
        <f>Input!S$53*S340</f>
        <v>0</v>
      </c>
      <c r="T919" s="228">
        <f>Input!T$53*T340</f>
        <v>0</v>
      </c>
      <c r="U919" s="228">
        <f>Input!U$53*U340</f>
        <v>0</v>
      </c>
      <c r="V919" s="228">
        <f>Input!V$53*V340</f>
        <v>0</v>
      </c>
      <c r="W919" s="228">
        <f>Input!W$53*W340</f>
        <v>0</v>
      </c>
      <c r="X919" s="228">
        <f>Input!X$53*X340</f>
        <v>0</v>
      </c>
      <c r="Y919" s="228">
        <f>Input!Y$53*Y340</f>
        <v>0</v>
      </c>
      <c r="Z919" s="228">
        <f>Input!Z$53*Z340</f>
        <v>0</v>
      </c>
      <c r="AA919" s="228">
        <f>Input!AA$53*AA340</f>
        <v>0</v>
      </c>
      <c r="AB919" s="228">
        <f>Input!AB$53*AB340</f>
        <v>0</v>
      </c>
      <c r="CP919" s="269"/>
      <c r="CQ919" s="269"/>
      <c r="CR919" s="269"/>
      <c r="CS919" s="269"/>
    </row>
    <row r="920" spans="1:115" ht="12" customHeight="1" x14ac:dyDescent="0.3">
      <c r="C920" s="495">
        <f>C857</f>
        <v>59</v>
      </c>
      <c r="D920" s="229">
        <f>Input!D$53*D341</f>
        <v>0</v>
      </c>
      <c r="E920" s="229">
        <f>Input!E$53*E341</f>
        <v>0</v>
      </c>
      <c r="F920" s="229">
        <f>Input!F$53*F341</f>
        <v>0</v>
      </c>
      <c r="G920" s="229">
        <f>Input!G$53*G341</f>
        <v>0</v>
      </c>
      <c r="H920" s="229">
        <f>Input!H$53*H341</f>
        <v>0</v>
      </c>
      <c r="I920" s="229">
        <f>Input!I$53*I341</f>
        <v>0</v>
      </c>
      <c r="J920" s="229">
        <f>Input!J$53*J341</f>
        <v>0</v>
      </c>
      <c r="K920" s="229">
        <f>Input!K$53*K341</f>
        <v>0</v>
      </c>
      <c r="L920" s="229">
        <f>Input!L$53*L341</f>
        <v>0</v>
      </c>
      <c r="M920" s="229">
        <f>Input!M$53*M341</f>
        <v>0</v>
      </c>
      <c r="N920" s="229">
        <f>Input!N$53*N341</f>
        <v>0</v>
      </c>
      <c r="O920" s="229">
        <f>Input!O$53*O341</f>
        <v>0</v>
      </c>
      <c r="P920" s="229">
        <f>Input!P$53*P341</f>
        <v>0</v>
      </c>
      <c r="Q920" s="229">
        <f>Input!Q$53*Q341</f>
        <v>0</v>
      </c>
      <c r="R920" s="229">
        <f>Input!R$53*R341</f>
        <v>0</v>
      </c>
      <c r="S920" s="229">
        <f>Input!S$53*S341</f>
        <v>0</v>
      </c>
      <c r="T920" s="229">
        <f>Input!T$53*T341</f>
        <v>0</v>
      </c>
      <c r="U920" s="229">
        <f>Input!U$53*U341</f>
        <v>0</v>
      </c>
      <c r="V920" s="229">
        <f>Input!V$53*V341</f>
        <v>0</v>
      </c>
      <c r="W920" s="229">
        <f>Input!W$53*W341</f>
        <v>0</v>
      </c>
      <c r="X920" s="229">
        <f>Input!X$53*X341</f>
        <v>0</v>
      </c>
      <c r="Y920" s="229">
        <f>Input!Y$53*Y341</f>
        <v>0</v>
      </c>
      <c r="Z920" s="229">
        <f>Input!Z$53*Z341</f>
        <v>0</v>
      </c>
      <c r="AA920" s="229">
        <f>Input!AA$53*AA341</f>
        <v>0</v>
      </c>
      <c r="AB920" s="229">
        <f>Input!AB$53*AB341</f>
        <v>0</v>
      </c>
      <c r="CH920" s="269"/>
      <c r="CI920" s="269"/>
      <c r="CJ920" s="269"/>
      <c r="CK920" s="269"/>
      <c r="CL920" s="269"/>
      <c r="CM920" s="269"/>
      <c r="CN920" s="269"/>
      <c r="CO920" s="269"/>
      <c r="CP920" s="269"/>
      <c r="CQ920" s="269"/>
      <c r="CR920" s="269"/>
      <c r="CS920" s="269"/>
    </row>
    <row r="921" spans="1:115" ht="12" customHeight="1" x14ac:dyDescent="0.3">
      <c r="C921" s="495">
        <f>C858</f>
        <v>91</v>
      </c>
      <c r="D921" s="229">
        <f>Input!D$53*D342</f>
        <v>0</v>
      </c>
      <c r="E921" s="229">
        <f>Input!E$53*E342</f>
        <v>0</v>
      </c>
      <c r="F921" s="229">
        <f>Input!F$53*F342</f>
        <v>0</v>
      </c>
      <c r="G921" s="229">
        <f>Input!G$53*G342</f>
        <v>0</v>
      </c>
      <c r="H921" s="229">
        <f>Input!H$53*H342</f>
        <v>0</v>
      </c>
      <c r="I921" s="229">
        <f>Input!I$53*I342</f>
        <v>0</v>
      </c>
      <c r="J921" s="229">
        <f>Input!J$53*J342</f>
        <v>0</v>
      </c>
      <c r="K921" s="229">
        <f>Input!K$53*K342</f>
        <v>0</v>
      </c>
      <c r="L921" s="229">
        <f>Input!L$53*L342</f>
        <v>0</v>
      </c>
      <c r="M921" s="229">
        <f>Input!M$53*M342</f>
        <v>0</v>
      </c>
      <c r="N921" s="229">
        <f>Input!N$53*N342</f>
        <v>0</v>
      </c>
      <c r="O921" s="229">
        <f>Input!O$53*O342</f>
        <v>0</v>
      </c>
      <c r="P921" s="229">
        <f>Input!P$53*P342</f>
        <v>0</v>
      </c>
      <c r="Q921" s="229">
        <f>Input!Q$53*Q342</f>
        <v>0</v>
      </c>
      <c r="R921" s="229">
        <f>Input!R$53*R342</f>
        <v>0</v>
      </c>
      <c r="S921" s="229">
        <f>Input!S$53*S342</f>
        <v>0</v>
      </c>
      <c r="T921" s="229">
        <f>Input!T$53*T342</f>
        <v>0</v>
      </c>
      <c r="U921" s="229">
        <f>Input!U$53*U342</f>
        <v>0</v>
      </c>
      <c r="V921" s="229">
        <f>Input!V$53*V342</f>
        <v>0</v>
      </c>
      <c r="W921" s="229">
        <f>Input!W$53*W342</f>
        <v>0</v>
      </c>
      <c r="X921" s="229">
        <f>Input!X$53*X342</f>
        <v>0</v>
      </c>
      <c r="Y921" s="229">
        <f>Input!Y$53*Y342</f>
        <v>0</v>
      </c>
      <c r="Z921" s="229">
        <f>Input!Z$53*Z342</f>
        <v>0</v>
      </c>
      <c r="AA921" s="229">
        <f>Input!AA$53*AA342</f>
        <v>0</v>
      </c>
      <c r="AB921" s="229">
        <f>Input!AB$53*AB342</f>
        <v>0</v>
      </c>
      <c r="CH921" s="269"/>
      <c r="CI921" s="269"/>
      <c r="CJ921" s="269"/>
      <c r="CK921" s="269"/>
      <c r="CL921" s="269"/>
      <c r="CM921" s="269"/>
      <c r="CN921" s="269"/>
      <c r="CO921" s="269"/>
      <c r="CP921" s="269"/>
      <c r="CQ921" s="269"/>
      <c r="CR921" s="269"/>
      <c r="CS921" s="269"/>
    </row>
    <row r="922" spans="1:115" ht="12" customHeight="1" x14ac:dyDescent="0.3">
      <c r="C922" s="495">
        <f>C859</f>
        <v>121</v>
      </c>
      <c r="D922" s="229">
        <f>Input!D$53*D343</f>
        <v>0</v>
      </c>
      <c r="E922" s="229">
        <f>Input!E$53*E343</f>
        <v>0</v>
      </c>
      <c r="F922" s="229">
        <f>Input!F$53*F343</f>
        <v>0</v>
      </c>
      <c r="G922" s="229">
        <f>Input!G$53*G343</f>
        <v>0</v>
      </c>
      <c r="H922" s="229">
        <f>Input!H$53*H343</f>
        <v>0</v>
      </c>
      <c r="I922" s="229">
        <f>Input!I$53*I343</f>
        <v>0</v>
      </c>
      <c r="J922" s="229">
        <f>Input!J$53*J343</f>
        <v>0</v>
      </c>
      <c r="K922" s="229">
        <f>Input!K$53*K343</f>
        <v>0</v>
      </c>
      <c r="L922" s="229">
        <f>Input!L$53*L343</f>
        <v>0</v>
      </c>
      <c r="M922" s="229">
        <f>Input!M$53*M343</f>
        <v>0</v>
      </c>
      <c r="N922" s="229">
        <f>Input!N$53*N343</f>
        <v>0</v>
      </c>
      <c r="O922" s="229">
        <f>Input!O$53*O343</f>
        <v>0</v>
      </c>
      <c r="P922" s="229">
        <f>Input!P$53*P343</f>
        <v>0</v>
      </c>
      <c r="Q922" s="229">
        <f>Input!Q$53*Q343</f>
        <v>0</v>
      </c>
      <c r="R922" s="229">
        <f>Input!R$53*R343</f>
        <v>0</v>
      </c>
      <c r="S922" s="229">
        <f>Input!S$53*S343</f>
        <v>0</v>
      </c>
      <c r="T922" s="229">
        <f>Input!T$53*T343</f>
        <v>0</v>
      </c>
      <c r="U922" s="229">
        <f>Input!U$53*U343</f>
        <v>0</v>
      </c>
      <c r="V922" s="229">
        <f>Input!V$53*V343</f>
        <v>0</v>
      </c>
      <c r="W922" s="229">
        <f>Input!W$53*W343</f>
        <v>0</v>
      </c>
      <c r="X922" s="229">
        <f>Input!X$53*X343</f>
        <v>0</v>
      </c>
      <c r="Y922" s="229">
        <f>Input!Y$53*Y343</f>
        <v>0</v>
      </c>
      <c r="Z922" s="229">
        <f>Input!Z$53*Z343</f>
        <v>0</v>
      </c>
      <c r="AA922" s="229">
        <f>Input!AA$53*AA343</f>
        <v>0</v>
      </c>
      <c r="AB922" s="229">
        <f>Input!AB$53*AB343</f>
        <v>0</v>
      </c>
      <c r="CH922" s="269"/>
      <c r="CI922" s="269"/>
      <c r="CJ922" s="269"/>
      <c r="CK922" s="269"/>
      <c r="CL922" s="269"/>
      <c r="CM922" s="269"/>
      <c r="CN922" s="269"/>
      <c r="CO922" s="269"/>
      <c r="CP922" s="269"/>
      <c r="CQ922" s="269"/>
      <c r="CR922" s="269"/>
      <c r="CS922" s="269"/>
    </row>
    <row r="923" spans="1:115" ht="12" customHeight="1" x14ac:dyDescent="0.3">
      <c r="C923" s="495">
        <f>C860</f>
        <v>152</v>
      </c>
      <c r="D923" s="229">
        <f>Input!D$53*D344</f>
        <v>0</v>
      </c>
      <c r="E923" s="229">
        <f>Input!E$53*E344</f>
        <v>0</v>
      </c>
      <c r="F923" s="229">
        <f>Input!F$53*F344</f>
        <v>0</v>
      </c>
      <c r="G923" s="229">
        <f>Input!G$53*G344</f>
        <v>0</v>
      </c>
      <c r="H923" s="229">
        <f>Input!H$53*H344</f>
        <v>0</v>
      </c>
      <c r="I923" s="229">
        <f>Input!I$53*I344</f>
        <v>0</v>
      </c>
      <c r="J923" s="229">
        <f>Input!J$53*J344</f>
        <v>0</v>
      </c>
      <c r="K923" s="229">
        <f>Input!K$53*K344</f>
        <v>0</v>
      </c>
      <c r="L923" s="229">
        <f>Input!L$53*L344</f>
        <v>0</v>
      </c>
      <c r="M923" s="229">
        <f>Input!M$53*M344</f>
        <v>0</v>
      </c>
      <c r="N923" s="229">
        <f>Input!N$53*N344</f>
        <v>0</v>
      </c>
      <c r="O923" s="229">
        <f>Input!O$53*O344</f>
        <v>0</v>
      </c>
      <c r="P923" s="229">
        <f>Input!P$53*P344</f>
        <v>0</v>
      </c>
      <c r="Q923" s="229">
        <f>Input!Q$53*Q344</f>
        <v>0</v>
      </c>
      <c r="R923" s="229">
        <f>Input!R$53*R344</f>
        <v>0</v>
      </c>
      <c r="S923" s="229">
        <f>Input!S$53*S344</f>
        <v>0</v>
      </c>
      <c r="T923" s="229">
        <f>Input!T$53*T344</f>
        <v>0</v>
      </c>
      <c r="U923" s="229">
        <f>Input!U$53*U344</f>
        <v>0</v>
      </c>
      <c r="V923" s="229">
        <f>Input!V$53*V344</f>
        <v>0</v>
      </c>
      <c r="W923" s="229">
        <f>Input!W$53*W344</f>
        <v>0</v>
      </c>
      <c r="X923" s="229">
        <f>Input!X$53*X344</f>
        <v>0</v>
      </c>
      <c r="Y923" s="229">
        <f>Input!Y$53*Y344</f>
        <v>0</v>
      </c>
      <c r="Z923" s="229">
        <f>Input!Z$53*Z344</f>
        <v>0</v>
      </c>
      <c r="AA923" s="229">
        <f>Input!AA$53*AA344</f>
        <v>0</v>
      </c>
      <c r="AB923" s="229">
        <f>Input!AB$53*AB344</f>
        <v>0</v>
      </c>
      <c r="CH923" s="269"/>
      <c r="CI923" s="269"/>
      <c r="CJ923" s="269"/>
      <c r="CK923" s="269"/>
      <c r="CL923" s="269"/>
      <c r="CM923" s="269"/>
      <c r="CN923" s="269"/>
      <c r="CO923" s="269"/>
      <c r="CP923" s="269"/>
      <c r="CQ923" s="269"/>
      <c r="CR923" s="269"/>
      <c r="CS923" s="269"/>
    </row>
    <row r="924" spans="1:115" ht="12" customHeight="1" x14ac:dyDescent="0.3">
      <c r="C924" s="495">
        <f>C861</f>
        <v>182</v>
      </c>
      <c r="D924" s="229">
        <f>Input!D$53*D345</f>
        <v>0</v>
      </c>
      <c r="E924" s="229">
        <f>Input!E$53*E345</f>
        <v>0</v>
      </c>
      <c r="F924" s="229">
        <f>Input!F$53*F345</f>
        <v>0</v>
      </c>
      <c r="G924" s="229">
        <f>Input!G$53*G345</f>
        <v>0</v>
      </c>
      <c r="H924" s="229">
        <f>Input!H$53*H345</f>
        <v>0</v>
      </c>
      <c r="I924" s="229">
        <f>Input!I$53*I345</f>
        <v>0</v>
      </c>
      <c r="J924" s="229">
        <f>Input!J$53*J345</f>
        <v>0</v>
      </c>
      <c r="K924" s="229">
        <f>Input!K$53*K345</f>
        <v>0</v>
      </c>
      <c r="L924" s="229">
        <f>Input!L$53*L345</f>
        <v>0</v>
      </c>
      <c r="M924" s="229">
        <f>Input!M$53*M345</f>
        <v>0</v>
      </c>
      <c r="N924" s="229">
        <f>Input!N$53*N345</f>
        <v>0</v>
      </c>
      <c r="O924" s="229">
        <f>Input!O$53*O345</f>
        <v>0</v>
      </c>
      <c r="P924" s="229">
        <f>Input!P$53*P345</f>
        <v>0</v>
      </c>
      <c r="Q924" s="229">
        <f>Input!Q$53*Q345</f>
        <v>0</v>
      </c>
      <c r="R924" s="229">
        <f>Input!R$53*R345</f>
        <v>0</v>
      </c>
      <c r="S924" s="229">
        <f>Input!S$53*S345</f>
        <v>0</v>
      </c>
      <c r="T924" s="229">
        <f>Input!T$53*T345</f>
        <v>0</v>
      </c>
      <c r="U924" s="229">
        <f>Input!U$53*U345</f>
        <v>0</v>
      </c>
      <c r="V924" s="229">
        <f>Input!V$53*V345</f>
        <v>0</v>
      </c>
      <c r="W924" s="229">
        <f>Input!W$53*W345</f>
        <v>0</v>
      </c>
      <c r="X924" s="229">
        <f>Input!X$53*X345</f>
        <v>0</v>
      </c>
      <c r="Y924" s="229">
        <f>Input!Y$53*Y345</f>
        <v>0</v>
      </c>
      <c r="Z924" s="229">
        <f>Input!Z$53*Z345</f>
        <v>0</v>
      </c>
      <c r="AA924" s="229">
        <f>Input!AA$53*AA345</f>
        <v>0</v>
      </c>
      <c r="AB924" s="229">
        <f>Input!AB$53*AB345</f>
        <v>0</v>
      </c>
      <c r="CH924" s="269"/>
      <c r="CI924" s="269"/>
      <c r="CJ924" s="269"/>
      <c r="CK924" s="269"/>
      <c r="CL924" s="269"/>
      <c r="CM924" s="269"/>
      <c r="CN924" s="269"/>
      <c r="CO924" s="269"/>
      <c r="CP924" s="269"/>
      <c r="CQ924" s="269"/>
      <c r="CR924" s="269"/>
      <c r="CS924" s="269"/>
    </row>
    <row r="925" spans="1:115" ht="12" customHeight="1" x14ac:dyDescent="0.3">
      <c r="C925" s="495">
        <f>C862</f>
        <v>213</v>
      </c>
      <c r="D925" s="229">
        <f>Input!D$53*D346</f>
        <v>0</v>
      </c>
      <c r="E925" s="229">
        <f>Input!E$53*E346</f>
        <v>0</v>
      </c>
      <c r="F925" s="229">
        <f>Input!F$53*F346</f>
        <v>0</v>
      </c>
      <c r="G925" s="229">
        <f>Input!G$53*G346</f>
        <v>0</v>
      </c>
      <c r="H925" s="229">
        <f>Input!H$53*H346</f>
        <v>0</v>
      </c>
      <c r="I925" s="229">
        <f>Input!I$53*I346</f>
        <v>0</v>
      </c>
      <c r="J925" s="229">
        <f>Input!J$53*J346</f>
        <v>0</v>
      </c>
      <c r="K925" s="229">
        <f>Input!K$53*K346</f>
        <v>0</v>
      </c>
      <c r="L925" s="229">
        <f>Input!L$53*L346</f>
        <v>0</v>
      </c>
      <c r="M925" s="229">
        <f>Input!M$53*M346</f>
        <v>0</v>
      </c>
      <c r="N925" s="229">
        <f>Input!N$53*N346</f>
        <v>0</v>
      </c>
      <c r="O925" s="229">
        <f>Input!O$53*O346</f>
        <v>0</v>
      </c>
      <c r="P925" s="229">
        <f>Input!P$53*P346</f>
        <v>0</v>
      </c>
      <c r="Q925" s="229">
        <f>Input!Q$53*Q346</f>
        <v>0</v>
      </c>
      <c r="R925" s="229">
        <f>Input!R$53*R346</f>
        <v>0</v>
      </c>
      <c r="S925" s="229">
        <f>Input!S$53*S346</f>
        <v>0</v>
      </c>
      <c r="T925" s="229">
        <f>Input!T$53*T346</f>
        <v>0</v>
      </c>
      <c r="U925" s="229">
        <f>Input!U$53*U346</f>
        <v>0</v>
      </c>
      <c r="V925" s="229">
        <f>Input!V$53*V346</f>
        <v>0</v>
      </c>
      <c r="W925" s="229">
        <f>Input!W$53*W346</f>
        <v>0</v>
      </c>
      <c r="X925" s="229">
        <f>Input!X$53*X346</f>
        <v>0</v>
      </c>
      <c r="Y925" s="229">
        <f>Input!Y$53*Y346</f>
        <v>0</v>
      </c>
      <c r="Z925" s="229">
        <f>Input!Z$53*Z346</f>
        <v>0</v>
      </c>
      <c r="AA925" s="229">
        <f>Input!AA$53*AA346</f>
        <v>0</v>
      </c>
      <c r="AB925" s="229">
        <f>Input!AB$53*AB346</f>
        <v>0</v>
      </c>
      <c r="CH925" s="269"/>
      <c r="CI925" s="269"/>
      <c r="CJ925" s="269"/>
      <c r="CK925" s="269"/>
      <c r="CL925" s="269"/>
      <c r="CM925" s="269"/>
      <c r="CN925" s="269"/>
      <c r="CO925" s="269"/>
      <c r="CP925" s="269"/>
      <c r="CQ925" s="269"/>
      <c r="CR925" s="269"/>
      <c r="CS925" s="269"/>
    </row>
    <row r="926" spans="1:115" ht="12" customHeight="1" x14ac:dyDescent="0.3">
      <c r="C926" s="495">
        <f>C863</f>
        <v>244</v>
      </c>
      <c r="D926" s="229">
        <f>Input!D$53*D347</f>
        <v>0</v>
      </c>
      <c r="E926" s="229">
        <f>Input!E$53*E347</f>
        <v>0</v>
      </c>
      <c r="F926" s="229">
        <f>Input!F$53*F347</f>
        <v>0</v>
      </c>
      <c r="G926" s="229">
        <f>Input!G$53*G347</f>
        <v>0</v>
      </c>
      <c r="H926" s="229">
        <f>Input!H$53*H347</f>
        <v>0</v>
      </c>
      <c r="I926" s="229">
        <f>Input!I$53*I347</f>
        <v>0</v>
      </c>
      <c r="J926" s="229">
        <f>Input!J$53*J347</f>
        <v>0</v>
      </c>
      <c r="K926" s="229">
        <f>Input!K$53*K347</f>
        <v>0</v>
      </c>
      <c r="L926" s="229">
        <f>Input!L$53*L347</f>
        <v>0</v>
      </c>
      <c r="M926" s="229">
        <f>Input!M$53*M347</f>
        <v>0</v>
      </c>
      <c r="N926" s="229">
        <f>Input!N$53*N347</f>
        <v>0</v>
      </c>
      <c r="O926" s="229">
        <f>Input!O$53*O347</f>
        <v>0</v>
      </c>
      <c r="P926" s="229">
        <f>Input!P$53*P347</f>
        <v>0</v>
      </c>
      <c r="Q926" s="229">
        <f>Input!Q$53*Q347</f>
        <v>0</v>
      </c>
      <c r="R926" s="229">
        <f>Input!R$53*R347</f>
        <v>0</v>
      </c>
      <c r="S926" s="229">
        <f>Input!S$53*S347</f>
        <v>0</v>
      </c>
      <c r="T926" s="229">
        <f>Input!T$53*T347</f>
        <v>0</v>
      </c>
      <c r="U926" s="229">
        <f>Input!U$53*U347</f>
        <v>0</v>
      </c>
      <c r="V926" s="229">
        <f>Input!V$53*V347</f>
        <v>0</v>
      </c>
      <c r="W926" s="229">
        <f>Input!W$53*W347</f>
        <v>0</v>
      </c>
      <c r="X926" s="229">
        <f>Input!X$53*X347</f>
        <v>0</v>
      </c>
      <c r="Y926" s="229">
        <f>Input!Y$53*Y347</f>
        <v>0</v>
      </c>
      <c r="Z926" s="229">
        <f>Input!Z$53*Z347</f>
        <v>0</v>
      </c>
      <c r="AA926" s="229">
        <f>Input!AA$53*AA347</f>
        <v>0</v>
      </c>
      <c r="AB926" s="229">
        <f>Input!AB$53*AB347</f>
        <v>0</v>
      </c>
      <c r="CH926" s="269"/>
      <c r="CI926" s="269"/>
      <c r="CJ926" s="269"/>
      <c r="CK926" s="269"/>
      <c r="CL926" s="269"/>
      <c r="CM926" s="269"/>
      <c r="CN926" s="269"/>
      <c r="CO926" s="269"/>
      <c r="CP926" s="269"/>
      <c r="CQ926" s="269"/>
      <c r="CR926" s="269"/>
      <c r="CS926" s="269"/>
    </row>
    <row r="927" spans="1:115" ht="12" customHeight="1" x14ac:dyDescent="0.3">
      <c r="C927" s="495">
        <f>C864</f>
        <v>274</v>
      </c>
      <c r="D927" s="229">
        <f>Input!D$53*D348</f>
        <v>0</v>
      </c>
      <c r="E927" s="229">
        <f>Input!E$53*E348</f>
        <v>0</v>
      </c>
      <c r="F927" s="229">
        <f>Input!F$53*F348</f>
        <v>0</v>
      </c>
      <c r="G927" s="229">
        <f>Input!G$53*G348</f>
        <v>0</v>
      </c>
      <c r="H927" s="229">
        <f>Input!H$53*H348</f>
        <v>0</v>
      </c>
      <c r="I927" s="229">
        <f>Input!I$53*I348</f>
        <v>0</v>
      </c>
      <c r="J927" s="229">
        <f>Input!J$53*J348</f>
        <v>0</v>
      </c>
      <c r="K927" s="229">
        <f>Input!K$53*K348</f>
        <v>0</v>
      </c>
      <c r="L927" s="229">
        <f>Input!L$53*L348</f>
        <v>0</v>
      </c>
      <c r="M927" s="229">
        <f>Input!M$53*M348</f>
        <v>0</v>
      </c>
      <c r="N927" s="229">
        <f>Input!N$53*N348</f>
        <v>0</v>
      </c>
      <c r="O927" s="229">
        <f>Input!O$53*O348</f>
        <v>0</v>
      </c>
      <c r="P927" s="229">
        <f>Input!P$53*P348</f>
        <v>0</v>
      </c>
      <c r="Q927" s="229">
        <f>Input!Q$53*Q348</f>
        <v>0</v>
      </c>
      <c r="R927" s="229">
        <f>Input!R$53*R348</f>
        <v>0</v>
      </c>
      <c r="S927" s="229">
        <f>Input!S$53*S348</f>
        <v>0</v>
      </c>
      <c r="T927" s="229">
        <f>Input!T$53*T348</f>
        <v>0</v>
      </c>
      <c r="U927" s="229">
        <f>Input!U$53*U348</f>
        <v>0</v>
      </c>
      <c r="V927" s="229">
        <f>Input!V$53*V348</f>
        <v>0</v>
      </c>
      <c r="W927" s="229">
        <f>Input!W$53*W348</f>
        <v>0</v>
      </c>
      <c r="X927" s="229">
        <f>Input!X$53*X348</f>
        <v>0</v>
      </c>
      <c r="Y927" s="229">
        <f>Input!Y$53*Y348</f>
        <v>0</v>
      </c>
      <c r="Z927" s="229">
        <f>Input!Z$53*Z348</f>
        <v>0</v>
      </c>
      <c r="AA927" s="229">
        <f>Input!AA$53*AA348</f>
        <v>0</v>
      </c>
      <c r="AB927" s="229">
        <f>Input!AB$53*AB348</f>
        <v>0</v>
      </c>
      <c r="CH927" s="269"/>
      <c r="CI927" s="269"/>
      <c r="CJ927" s="269"/>
      <c r="CK927" s="269"/>
      <c r="CL927" s="269"/>
      <c r="CM927" s="269"/>
      <c r="CN927" s="269"/>
      <c r="CO927" s="269"/>
      <c r="CP927" s="269"/>
      <c r="CQ927" s="269"/>
      <c r="CR927" s="269"/>
      <c r="CS927" s="269"/>
    </row>
    <row r="928" spans="1:115" ht="12" customHeight="1" x14ac:dyDescent="0.3">
      <c r="C928" s="495">
        <f>C865</f>
        <v>305</v>
      </c>
      <c r="D928" s="229">
        <f>Input!D$53*D349</f>
        <v>0</v>
      </c>
      <c r="E928" s="229">
        <f>Input!E$53*E349</f>
        <v>0</v>
      </c>
      <c r="F928" s="229">
        <f>Input!F$53*F349</f>
        <v>0</v>
      </c>
      <c r="G928" s="229">
        <f>Input!G$53*G349</f>
        <v>0</v>
      </c>
      <c r="H928" s="229">
        <f>Input!H$53*H349</f>
        <v>0</v>
      </c>
      <c r="I928" s="229">
        <f>Input!I$53*I349</f>
        <v>0</v>
      </c>
      <c r="J928" s="229">
        <f>Input!J$53*J349</f>
        <v>0</v>
      </c>
      <c r="K928" s="229">
        <f>Input!K$53*K349</f>
        <v>0</v>
      </c>
      <c r="L928" s="229">
        <f>Input!L$53*L349</f>
        <v>0</v>
      </c>
      <c r="M928" s="229">
        <f>Input!M$53*M349</f>
        <v>0</v>
      </c>
      <c r="N928" s="229">
        <f>Input!N$53*N349</f>
        <v>0</v>
      </c>
      <c r="O928" s="229">
        <f>Input!O$53*O349</f>
        <v>0</v>
      </c>
      <c r="P928" s="229">
        <f>Input!P$53*P349</f>
        <v>0</v>
      </c>
      <c r="Q928" s="229">
        <f>Input!Q$53*Q349</f>
        <v>0</v>
      </c>
      <c r="R928" s="229">
        <f>Input!R$53*R349</f>
        <v>0</v>
      </c>
      <c r="S928" s="229">
        <f>Input!S$53*S349</f>
        <v>0</v>
      </c>
      <c r="T928" s="229">
        <f>Input!T$53*T349</f>
        <v>0</v>
      </c>
      <c r="U928" s="229">
        <f>Input!U$53*U349</f>
        <v>0</v>
      </c>
      <c r="V928" s="229">
        <f>Input!V$53*V349</f>
        <v>0</v>
      </c>
      <c r="W928" s="229">
        <f>Input!W$53*W349</f>
        <v>0</v>
      </c>
      <c r="X928" s="229">
        <f>Input!X$53*X349</f>
        <v>0</v>
      </c>
      <c r="Y928" s="229">
        <f>Input!Y$53*Y349</f>
        <v>0</v>
      </c>
      <c r="Z928" s="229">
        <f>Input!Z$53*Z349</f>
        <v>0</v>
      </c>
      <c r="AA928" s="229">
        <f>Input!AA$53*AA349</f>
        <v>0</v>
      </c>
      <c r="AB928" s="229">
        <f>Input!AB$53*AB349</f>
        <v>0</v>
      </c>
      <c r="CH928" s="269"/>
      <c r="CI928" s="269"/>
      <c r="CJ928" s="269"/>
      <c r="CK928" s="269"/>
      <c r="CL928" s="269"/>
      <c r="CM928" s="269"/>
      <c r="CN928" s="269"/>
      <c r="CO928" s="269"/>
      <c r="CP928" s="269"/>
      <c r="CQ928" s="269"/>
      <c r="CR928" s="269"/>
      <c r="CS928" s="269"/>
    </row>
    <row r="929" spans="3:97" ht="12" customHeight="1" x14ac:dyDescent="0.3">
      <c r="C929" s="495">
        <f>C866</f>
        <v>335</v>
      </c>
      <c r="D929" s="229">
        <f>Input!D$53*D350</f>
        <v>0</v>
      </c>
      <c r="E929" s="229">
        <f>Input!E$53*E350</f>
        <v>0</v>
      </c>
      <c r="F929" s="229">
        <f>Input!F$53*F350</f>
        <v>0</v>
      </c>
      <c r="G929" s="229">
        <f>Input!G$53*G350</f>
        <v>0</v>
      </c>
      <c r="H929" s="229">
        <f>Input!H$53*H350</f>
        <v>0</v>
      </c>
      <c r="I929" s="229">
        <f>Input!I$53*I350</f>
        <v>0</v>
      </c>
      <c r="J929" s="229">
        <f>Input!J$53*J350</f>
        <v>0</v>
      </c>
      <c r="K929" s="229">
        <f>Input!K$53*K350</f>
        <v>0</v>
      </c>
      <c r="L929" s="229">
        <f>Input!L$53*L350</f>
        <v>0</v>
      </c>
      <c r="M929" s="229">
        <f>Input!M$53*M350</f>
        <v>0</v>
      </c>
      <c r="N929" s="229">
        <f>Input!N$53*N350</f>
        <v>0</v>
      </c>
      <c r="O929" s="229">
        <f>Input!O$53*O350</f>
        <v>0</v>
      </c>
      <c r="P929" s="229">
        <f>Input!P$53*P350</f>
        <v>0</v>
      </c>
      <c r="Q929" s="229">
        <f>Input!Q$53*Q350</f>
        <v>0</v>
      </c>
      <c r="R929" s="229">
        <f>Input!R$53*R350</f>
        <v>0</v>
      </c>
      <c r="S929" s="229">
        <f>Input!S$53*S350</f>
        <v>0</v>
      </c>
      <c r="T929" s="229">
        <f>Input!T$53*T350</f>
        <v>0</v>
      </c>
      <c r="U929" s="229">
        <f>Input!U$53*U350</f>
        <v>0</v>
      </c>
      <c r="V929" s="229">
        <f>Input!V$53*V350</f>
        <v>0</v>
      </c>
      <c r="W929" s="229">
        <f>Input!W$53*W350</f>
        <v>0</v>
      </c>
      <c r="X929" s="229">
        <f>Input!X$53*X350</f>
        <v>0</v>
      </c>
      <c r="Y929" s="229">
        <f>Input!Y$53*Y350</f>
        <v>0</v>
      </c>
      <c r="Z929" s="229">
        <f>Input!Z$53*Z350</f>
        <v>0</v>
      </c>
      <c r="AA929" s="229">
        <f>Input!AA$53*AA350</f>
        <v>0</v>
      </c>
      <c r="AB929" s="229">
        <f>Input!AB$53*AB350</f>
        <v>0</v>
      </c>
      <c r="CH929" s="269"/>
      <c r="CI929" s="269"/>
      <c r="CJ929" s="269"/>
      <c r="CK929" s="269"/>
      <c r="CL929" s="269"/>
      <c r="CM929" s="269"/>
      <c r="CN929" s="269"/>
      <c r="CO929" s="269"/>
      <c r="CP929" s="269"/>
      <c r="CQ929" s="269"/>
      <c r="CR929" s="269"/>
      <c r="CS929" s="269"/>
    </row>
    <row r="930" spans="3:97" ht="12" customHeight="1" thickBot="1" x14ac:dyDescent="0.35">
      <c r="C930" s="496">
        <f>C867</f>
        <v>366</v>
      </c>
      <c r="D930" s="230">
        <f>Input!D$53*D351</f>
        <v>0</v>
      </c>
      <c r="E930" s="230">
        <f>Input!E$53*E351</f>
        <v>0</v>
      </c>
      <c r="F930" s="230">
        <f>Input!F$53*F351</f>
        <v>0</v>
      </c>
      <c r="G930" s="230">
        <f>Input!G$53*G351</f>
        <v>0</v>
      </c>
      <c r="H930" s="230">
        <f>Input!H$53*H351</f>
        <v>0</v>
      </c>
      <c r="I930" s="230">
        <f>Input!I$53*I351</f>
        <v>0</v>
      </c>
      <c r="J930" s="230">
        <f>Input!J$53*J351</f>
        <v>0</v>
      </c>
      <c r="K930" s="230">
        <f>Input!K$53*K351</f>
        <v>0</v>
      </c>
      <c r="L930" s="230">
        <f>Input!L$53*L351</f>
        <v>0</v>
      </c>
      <c r="M930" s="230">
        <f>Input!M$53*M351</f>
        <v>0</v>
      </c>
      <c r="N930" s="230">
        <f>Input!N$53*N351</f>
        <v>0</v>
      </c>
      <c r="O930" s="230">
        <f>Input!O$53*O351</f>
        <v>0</v>
      </c>
      <c r="P930" s="230">
        <f>Input!P$53*P351</f>
        <v>0</v>
      </c>
      <c r="Q930" s="230">
        <f>Input!Q$53*Q351</f>
        <v>0</v>
      </c>
      <c r="R930" s="230">
        <f>Input!R$53*R351</f>
        <v>0</v>
      </c>
      <c r="S930" s="230">
        <f>Input!S$53*S351</f>
        <v>0</v>
      </c>
      <c r="T930" s="230">
        <f>Input!T$53*T351</f>
        <v>0</v>
      </c>
      <c r="U930" s="230">
        <f>Input!U$53*U351</f>
        <v>0</v>
      </c>
      <c r="V930" s="230">
        <f>Input!V$53*V351</f>
        <v>0</v>
      </c>
      <c r="W930" s="230">
        <f>Input!W$53*W351</f>
        <v>0</v>
      </c>
      <c r="X930" s="230">
        <f>Input!X$53*X351</f>
        <v>0</v>
      </c>
      <c r="Y930" s="230">
        <f>Input!Y$53*Y351</f>
        <v>0</v>
      </c>
      <c r="Z930" s="230">
        <f>Input!Z$53*Z351</f>
        <v>0</v>
      </c>
      <c r="AA930" s="230">
        <f>Input!AA$53*AA351</f>
        <v>0</v>
      </c>
      <c r="AB930" s="230">
        <f>Input!AB$53*AB351</f>
        <v>0</v>
      </c>
      <c r="CH930" s="269"/>
      <c r="CI930" s="269"/>
      <c r="CJ930" s="269"/>
      <c r="CK930" s="269"/>
      <c r="CL930" s="269"/>
      <c r="CM930" s="269"/>
      <c r="CN930" s="269"/>
      <c r="CO930" s="269"/>
      <c r="CP930" s="269"/>
      <c r="CQ930" s="269"/>
      <c r="CR930" s="269"/>
      <c r="CS930" s="269"/>
    </row>
    <row r="931" spans="3:97" ht="12" customHeight="1" x14ac:dyDescent="0.3">
      <c r="C931" s="495">
        <f>C868</f>
        <v>397</v>
      </c>
      <c r="D931" s="231">
        <f>Input!D$53*D352</f>
        <v>0</v>
      </c>
      <c r="E931" s="231">
        <f>Input!E$53*E352</f>
        <v>0</v>
      </c>
      <c r="F931" s="231">
        <f>Input!F$53*F352</f>
        <v>0</v>
      </c>
      <c r="G931" s="231">
        <f>Input!G$53*G352</f>
        <v>0</v>
      </c>
      <c r="H931" s="231">
        <f>Input!H$53*H352</f>
        <v>0</v>
      </c>
      <c r="I931" s="231">
        <f>Input!I$53*I352</f>
        <v>0</v>
      </c>
      <c r="J931" s="231">
        <f>Input!J$53*J352</f>
        <v>0</v>
      </c>
      <c r="K931" s="231">
        <f>Input!K$53*K352</f>
        <v>0</v>
      </c>
      <c r="L931" s="231">
        <f>Input!L$53*L352</f>
        <v>0</v>
      </c>
      <c r="M931" s="231">
        <f>Input!M$53*M352</f>
        <v>0</v>
      </c>
      <c r="N931" s="231">
        <f>Input!N$53*N352</f>
        <v>0</v>
      </c>
      <c r="O931" s="231">
        <f>Input!O$53*O352</f>
        <v>0</v>
      </c>
      <c r="P931" s="231">
        <f>Input!P$53*P352</f>
        <v>0</v>
      </c>
      <c r="Q931" s="231">
        <f>Input!Q$53*Q352</f>
        <v>0</v>
      </c>
      <c r="R931" s="231">
        <f>Input!R$53*R352</f>
        <v>0</v>
      </c>
      <c r="S931" s="231">
        <f>Input!S$53*S352</f>
        <v>0</v>
      </c>
      <c r="T931" s="231">
        <f>Input!T$53*T352</f>
        <v>0</v>
      </c>
      <c r="U931" s="231">
        <f>Input!U$53*U352</f>
        <v>0</v>
      </c>
      <c r="V931" s="231">
        <f>Input!V$53*V352</f>
        <v>0</v>
      </c>
      <c r="W931" s="231">
        <f>Input!W$53*W352</f>
        <v>0</v>
      </c>
      <c r="X931" s="231">
        <f>Input!X$53*X352</f>
        <v>0</v>
      </c>
      <c r="Y931" s="231">
        <f>Input!Y$53*Y352</f>
        <v>0</v>
      </c>
      <c r="Z931" s="231">
        <f>Input!Z$53*Z352</f>
        <v>0</v>
      </c>
      <c r="AA931" s="231">
        <f>Input!AA$53*AA352</f>
        <v>0</v>
      </c>
      <c r="AB931" s="231">
        <f>Input!AB$53*AB352</f>
        <v>0</v>
      </c>
      <c r="CH931" s="269"/>
      <c r="CI931" s="269"/>
      <c r="CJ931" s="269"/>
      <c r="CK931" s="269"/>
      <c r="CL931" s="269"/>
      <c r="CM931" s="269"/>
      <c r="CN931" s="269"/>
      <c r="CO931" s="269"/>
      <c r="CP931" s="269"/>
      <c r="CQ931" s="269"/>
      <c r="CR931" s="269"/>
      <c r="CS931" s="269"/>
    </row>
    <row r="932" spans="3:97" ht="12" customHeight="1" x14ac:dyDescent="0.3">
      <c r="C932" s="495">
        <f>C869</f>
        <v>425</v>
      </c>
      <c r="D932" s="229">
        <f>Input!D$53*D353</f>
        <v>0</v>
      </c>
      <c r="E932" s="229">
        <f>Input!E$53*E353</f>
        <v>0</v>
      </c>
      <c r="F932" s="229">
        <f>Input!F$53*F353</f>
        <v>0</v>
      </c>
      <c r="G932" s="229">
        <f>Input!G$53*G353</f>
        <v>0</v>
      </c>
      <c r="H932" s="229">
        <f>Input!H$53*H353</f>
        <v>0</v>
      </c>
      <c r="I932" s="229">
        <f>Input!I$53*I353</f>
        <v>0</v>
      </c>
      <c r="J932" s="229">
        <f>Input!J$53*J353</f>
        <v>0</v>
      </c>
      <c r="K932" s="229">
        <f>Input!K$53*K353</f>
        <v>0</v>
      </c>
      <c r="L932" s="229">
        <f>Input!L$53*L353</f>
        <v>0</v>
      </c>
      <c r="M932" s="229">
        <f>Input!M$53*M353</f>
        <v>0</v>
      </c>
      <c r="N932" s="229">
        <f>Input!N$53*N353</f>
        <v>0</v>
      </c>
      <c r="O932" s="229">
        <f>Input!O$53*O353</f>
        <v>0</v>
      </c>
      <c r="P932" s="229">
        <f>Input!P$53*P353</f>
        <v>0</v>
      </c>
      <c r="Q932" s="229">
        <f>Input!Q$53*Q353</f>
        <v>0</v>
      </c>
      <c r="R932" s="229">
        <f>Input!R$53*R353</f>
        <v>0</v>
      </c>
      <c r="S932" s="229">
        <f>Input!S$53*S353</f>
        <v>0</v>
      </c>
      <c r="T932" s="229">
        <f>Input!T$53*T353</f>
        <v>0</v>
      </c>
      <c r="U932" s="229">
        <f>Input!U$53*U353</f>
        <v>0</v>
      </c>
      <c r="V932" s="229">
        <f>Input!V$53*V353</f>
        <v>0</v>
      </c>
      <c r="W932" s="229">
        <f>Input!W$53*W353</f>
        <v>0</v>
      </c>
      <c r="X932" s="229">
        <f>Input!X$53*X353</f>
        <v>0</v>
      </c>
      <c r="Y932" s="229">
        <f>Input!Y$53*Y353</f>
        <v>0</v>
      </c>
      <c r="Z932" s="229">
        <f>Input!Z$53*Z353</f>
        <v>0</v>
      </c>
      <c r="AA932" s="229">
        <f>Input!AA$53*AA353</f>
        <v>0</v>
      </c>
      <c r="AB932" s="229">
        <f>Input!AB$53*AB353</f>
        <v>0</v>
      </c>
      <c r="CH932" s="269"/>
      <c r="CI932" s="269"/>
      <c r="CJ932" s="269"/>
      <c r="CK932" s="269"/>
      <c r="CL932" s="269"/>
      <c r="CM932" s="269"/>
      <c r="CN932" s="269"/>
      <c r="CO932" s="269"/>
      <c r="CP932" s="269"/>
      <c r="CQ932" s="269"/>
      <c r="CR932" s="269"/>
      <c r="CS932" s="269"/>
    </row>
    <row r="933" spans="3:97" ht="12" customHeight="1" x14ac:dyDescent="0.3">
      <c r="C933" s="495">
        <f>C870</f>
        <v>456</v>
      </c>
      <c r="D933" s="229">
        <f>Input!D$53*D354</f>
        <v>0</v>
      </c>
      <c r="E933" s="229">
        <f>Input!E$53*E354</f>
        <v>0</v>
      </c>
      <c r="F933" s="229">
        <f>Input!F$53*F354</f>
        <v>0</v>
      </c>
      <c r="G933" s="229">
        <f>Input!G$53*G354</f>
        <v>0</v>
      </c>
      <c r="H933" s="229">
        <f>Input!H$53*H354</f>
        <v>0</v>
      </c>
      <c r="I933" s="229">
        <f>Input!I$53*I354</f>
        <v>0</v>
      </c>
      <c r="J933" s="229">
        <f>Input!J$53*J354</f>
        <v>0</v>
      </c>
      <c r="K933" s="229">
        <f>Input!K$53*K354</f>
        <v>0</v>
      </c>
      <c r="L933" s="229">
        <f>Input!L$53*L354</f>
        <v>0</v>
      </c>
      <c r="M933" s="229">
        <f>Input!M$53*M354</f>
        <v>0</v>
      </c>
      <c r="N933" s="229">
        <f>Input!N$53*N354</f>
        <v>0</v>
      </c>
      <c r="O933" s="229">
        <f>Input!O$53*O354</f>
        <v>0</v>
      </c>
      <c r="P933" s="229">
        <f>Input!P$53*P354</f>
        <v>0</v>
      </c>
      <c r="Q933" s="229">
        <f>Input!Q$53*Q354</f>
        <v>0</v>
      </c>
      <c r="R933" s="229">
        <f>Input!R$53*R354</f>
        <v>0</v>
      </c>
      <c r="S933" s="229">
        <f>Input!S$53*S354</f>
        <v>0</v>
      </c>
      <c r="T933" s="229">
        <f>Input!T$53*T354</f>
        <v>0</v>
      </c>
      <c r="U933" s="229">
        <f>Input!U$53*U354</f>
        <v>0</v>
      </c>
      <c r="V933" s="229">
        <f>Input!V$53*V354</f>
        <v>0</v>
      </c>
      <c r="W933" s="229">
        <f>Input!W$53*W354</f>
        <v>0</v>
      </c>
      <c r="X933" s="229">
        <f>Input!X$53*X354</f>
        <v>0</v>
      </c>
      <c r="Y933" s="229">
        <f>Input!Y$53*Y354</f>
        <v>0</v>
      </c>
      <c r="Z933" s="229">
        <f>Input!Z$53*Z354</f>
        <v>0</v>
      </c>
      <c r="AA933" s="229">
        <f>Input!AA$53*AA354</f>
        <v>0</v>
      </c>
      <c r="AB933" s="229">
        <f>Input!AB$53*AB354</f>
        <v>0</v>
      </c>
      <c r="CH933" s="269"/>
      <c r="CI933" s="269"/>
      <c r="CJ933" s="269"/>
      <c r="CK933" s="269"/>
      <c r="CL933" s="269"/>
      <c r="CM933" s="269"/>
      <c r="CN933" s="269"/>
      <c r="CO933" s="269"/>
      <c r="CP933" s="269"/>
      <c r="CQ933" s="269"/>
      <c r="CR933" s="269"/>
      <c r="CS933" s="269"/>
    </row>
    <row r="934" spans="3:97" ht="12" customHeight="1" x14ac:dyDescent="0.3">
      <c r="C934" s="495">
        <f>C871</f>
        <v>486</v>
      </c>
      <c r="D934" s="229">
        <f>Input!D$53*D355</f>
        <v>0</v>
      </c>
      <c r="E934" s="229">
        <f>Input!E$53*E355</f>
        <v>0</v>
      </c>
      <c r="F934" s="229">
        <f>Input!F$53*F355</f>
        <v>0</v>
      </c>
      <c r="G934" s="229">
        <f>Input!G$53*G355</f>
        <v>0</v>
      </c>
      <c r="H934" s="229">
        <f>Input!H$53*H355</f>
        <v>0</v>
      </c>
      <c r="I934" s="229">
        <f>Input!I$53*I355</f>
        <v>0</v>
      </c>
      <c r="J934" s="229">
        <f>Input!J$53*J355</f>
        <v>0</v>
      </c>
      <c r="K934" s="229">
        <f>Input!K$53*K355</f>
        <v>0</v>
      </c>
      <c r="L934" s="229">
        <f>Input!L$53*L355</f>
        <v>0</v>
      </c>
      <c r="M934" s="229">
        <f>Input!M$53*M355</f>
        <v>0</v>
      </c>
      <c r="N934" s="229">
        <f>Input!N$53*N355</f>
        <v>0</v>
      </c>
      <c r="O934" s="229">
        <f>Input!O$53*O355</f>
        <v>0</v>
      </c>
      <c r="P934" s="229">
        <f>Input!P$53*P355</f>
        <v>0</v>
      </c>
      <c r="Q934" s="229">
        <f>Input!Q$53*Q355</f>
        <v>0</v>
      </c>
      <c r="R934" s="229">
        <f>Input!R$53*R355</f>
        <v>0</v>
      </c>
      <c r="S934" s="229">
        <f>Input!S$53*S355</f>
        <v>0</v>
      </c>
      <c r="T934" s="229">
        <f>Input!T$53*T355</f>
        <v>0</v>
      </c>
      <c r="U934" s="229">
        <f>Input!U$53*U355</f>
        <v>0</v>
      </c>
      <c r="V934" s="229">
        <f>Input!V$53*V355</f>
        <v>0</v>
      </c>
      <c r="W934" s="229">
        <f>Input!W$53*W355</f>
        <v>0</v>
      </c>
      <c r="X934" s="229">
        <f>Input!X$53*X355</f>
        <v>0</v>
      </c>
      <c r="Y934" s="229">
        <f>Input!Y$53*Y355</f>
        <v>0</v>
      </c>
      <c r="Z934" s="229">
        <f>Input!Z$53*Z355</f>
        <v>0</v>
      </c>
      <c r="AA934" s="229">
        <f>Input!AA$53*AA355</f>
        <v>0</v>
      </c>
      <c r="AB934" s="229">
        <f>Input!AB$53*AB355</f>
        <v>0</v>
      </c>
      <c r="CH934" s="269"/>
      <c r="CI934" s="269"/>
      <c r="CJ934" s="269"/>
      <c r="CK934" s="269"/>
      <c r="CL934" s="269"/>
      <c r="CM934" s="269"/>
      <c r="CN934" s="269"/>
      <c r="CO934" s="269"/>
      <c r="CP934" s="269"/>
      <c r="CQ934" s="269"/>
      <c r="CR934" s="269"/>
      <c r="CS934" s="269"/>
    </row>
    <row r="935" spans="3:97" ht="12" customHeight="1" x14ac:dyDescent="0.3">
      <c r="C935" s="495">
        <f>C872</f>
        <v>517</v>
      </c>
      <c r="D935" s="229">
        <f>Input!D$53*D356</f>
        <v>0</v>
      </c>
      <c r="E935" s="229">
        <f>Input!E$53*E356</f>
        <v>0</v>
      </c>
      <c r="F935" s="229">
        <f>Input!F$53*F356</f>
        <v>0</v>
      </c>
      <c r="G935" s="229">
        <f>Input!G$53*G356</f>
        <v>0</v>
      </c>
      <c r="H935" s="229">
        <f>Input!H$53*H356</f>
        <v>0</v>
      </c>
      <c r="I935" s="229">
        <f>Input!I$53*I356</f>
        <v>0</v>
      </c>
      <c r="J935" s="229">
        <f>Input!J$53*J356</f>
        <v>0</v>
      </c>
      <c r="K935" s="229">
        <f>Input!K$53*K356</f>
        <v>0</v>
      </c>
      <c r="L935" s="229">
        <f>Input!L$53*L356</f>
        <v>0</v>
      </c>
      <c r="M935" s="229">
        <f>Input!M$53*M356</f>
        <v>0</v>
      </c>
      <c r="N935" s="229">
        <f>Input!N$53*N356</f>
        <v>0</v>
      </c>
      <c r="O935" s="229">
        <f>Input!O$53*O356</f>
        <v>0</v>
      </c>
      <c r="P935" s="229">
        <f>Input!P$53*P356</f>
        <v>0</v>
      </c>
      <c r="Q935" s="229">
        <f>Input!Q$53*Q356</f>
        <v>0</v>
      </c>
      <c r="R935" s="229">
        <f>Input!R$53*R356</f>
        <v>0</v>
      </c>
      <c r="S935" s="229">
        <f>Input!S$53*S356</f>
        <v>0</v>
      </c>
      <c r="T935" s="229">
        <f>Input!T$53*T356</f>
        <v>0</v>
      </c>
      <c r="U935" s="229">
        <f>Input!U$53*U356</f>
        <v>0</v>
      </c>
      <c r="V935" s="229">
        <f>Input!V$53*V356</f>
        <v>0</v>
      </c>
      <c r="W935" s="229">
        <f>Input!W$53*W356</f>
        <v>0</v>
      </c>
      <c r="X935" s="229">
        <f>Input!X$53*X356</f>
        <v>0</v>
      </c>
      <c r="Y935" s="229">
        <f>Input!Y$53*Y356</f>
        <v>0</v>
      </c>
      <c r="Z935" s="229">
        <f>Input!Z$53*Z356</f>
        <v>0</v>
      </c>
      <c r="AA935" s="229">
        <f>Input!AA$53*AA356</f>
        <v>0</v>
      </c>
      <c r="AB935" s="229">
        <f>Input!AB$53*AB356</f>
        <v>0</v>
      </c>
      <c r="CH935" s="269"/>
      <c r="CI935" s="269"/>
      <c r="CJ935" s="269"/>
      <c r="CK935" s="269"/>
      <c r="CL935" s="269"/>
      <c r="CM935" s="269"/>
      <c r="CN935" s="269"/>
      <c r="CO935" s="269"/>
      <c r="CP935" s="269"/>
      <c r="CQ935" s="269"/>
      <c r="CR935" s="269"/>
      <c r="CS935" s="269"/>
    </row>
    <row r="936" spans="3:97" ht="12" customHeight="1" x14ac:dyDescent="0.3">
      <c r="C936" s="495">
        <f>C873</f>
        <v>547</v>
      </c>
      <c r="D936" s="229">
        <f>Input!D$53*D357</f>
        <v>0</v>
      </c>
      <c r="E936" s="229">
        <f>Input!E$53*E357</f>
        <v>0</v>
      </c>
      <c r="F936" s="229">
        <f>Input!F$53*F357</f>
        <v>0</v>
      </c>
      <c r="G936" s="229">
        <f>Input!G$53*G357</f>
        <v>0</v>
      </c>
      <c r="H936" s="229">
        <f>Input!H$53*H357</f>
        <v>0</v>
      </c>
      <c r="I936" s="229">
        <f>Input!I$53*I357</f>
        <v>0</v>
      </c>
      <c r="J936" s="229">
        <f>Input!J$53*J357</f>
        <v>0</v>
      </c>
      <c r="K936" s="229">
        <f>Input!K$53*K357</f>
        <v>0</v>
      </c>
      <c r="L936" s="229">
        <f>Input!L$53*L357</f>
        <v>0</v>
      </c>
      <c r="M936" s="229">
        <f>Input!M$53*M357</f>
        <v>0</v>
      </c>
      <c r="N936" s="229">
        <f>Input!N$53*N357</f>
        <v>0</v>
      </c>
      <c r="O936" s="229">
        <f>Input!O$53*O357</f>
        <v>0</v>
      </c>
      <c r="P936" s="229">
        <f>Input!P$53*P357</f>
        <v>0</v>
      </c>
      <c r="Q936" s="229">
        <f>Input!Q$53*Q357</f>
        <v>0</v>
      </c>
      <c r="R936" s="229">
        <f>Input!R$53*R357</f>
        <v>0</v>
      </c>
      <c r="S936" s="229">
        <f>Input!S$53*S357</f>
        <v>0</v>
      </c>
      <c r="T936" s="229">
        <f>Input!T$53*T357</f>
        <v>0</v>
      </c>
      <c r="U936" s="229">
        <f>Input!U$53*U357</f>
        <v>0</v>
      </c>
      <c r="V936" s="229">
        <f>Input!V$53*V357</f>
        <v>0</v>
      </c>
      <c r="W936" s="229">
        <f>Input!W$53*W357</f>
        <v>0</v>
      </c>
      <c r="X936" s="229">
        <f>Input!X$53*X357</f>
        <v>0</v>
      </c>
      <c r="Y936" s="229">
        <f>Input!Y$53*Y357</f>
        <v>0</v>
      </c>
      <c r="Z936" s="229">
        <f>Input!Z$53*Z357</f>
        <v>0</v>
      </c>
      <c r="AA936" s="229">
        <f>Input!AA$53*AA357</f>
        <v>0</v>
      </c>
      <c r="AB936" s="229">
        <f>Input!AB$53*AB357</f>
        <v>0</v>
      </c>
      <c r="CH936" s="269"/>
      <c r="CI936" s="269"/>
      <c r="CJ936" s="269"/>
      <c r="CK936" s="269"/>
      <c r="CL936" s="269"/>
      <c r="CM936" s="269"/>
      <c r="CN936" s="269"/>
      <c r="CO936" s="269"/>
      <c r="CP936" s="269"/>
      <c r="CQ936" s="269"/>
      <c r="CR936" s="269"/>
      <c r="CS936" s="269"/>
    </row>
    <row r="937" spans="3:97" ht="12" customHeight="1" x14ac:dyDescent="0.3">
      <c r="C937" s="495">
        <f>C874</f>
        <v>578</v>
      </c>
      <c r="D937" s="229">
        <f>Input!D$53*D358</f>
        <v>0</v>
      </c>
      <c r="E937" s="229">
        <f>Input!E$53*E358</f>
        <v>0</v>
      </c>
      <c r="F937" s="229">
        <f>Input!F$53*F358</f>
        <v>0</v>
      </c>
      <c r="G937" s="229">
        <f>Input!G$53*G358</f>
        <v>0</v>
      </c>
      <c r="H937" s="229">
        <f>Input!H$53*H358</f>
        <v>0</v>
      </c>
      <c r="I937" s="229">
        <f>Input!I$53*I358</f>
        <v>0</v>
      </c>
      <c r="J937" s="229">
        <f>Input!J$53*J358</f>
        <v>0</v>
      </c>
      <c r="K937" s="229">
        <f>Input!K$53*K358</f>
        <v>0</v>
      </c>
      <c r="L937" s="229">
        <f>Input!L$53*L358</f>
        <v>0</v>
      </c>
      <c r="M937" s="229">
        <f>Input!M$53*M358</f>
        <v>0</v>
      </c>
      <c r="N937" s="229">
        <f>Input!N$53*N358</f>
        <v>0</v>
      </c>
      <c r="O937" s="229">
        <f>Input!O$53*O358</f>
        <v>0</v>
      </c>
      <c r="P937" s="229">
        <f>Input!P$53*P358</f>
        <v>0</v>
      </c>
      <c r="Q937" s="229">
        <f>Input!Q$53*Q358</f>
        <v>0</v>
      </c>
      <c r="R937" s="229">
        <f>Input!R$53*R358</f>
        <v>0</v>
      </c>
      <c r="S937" s="229">
        <f>Input!S$53*S358</f>
        <v>0</v>
      </c>
      <c r="T937" s="229">
        <f>Input!T$53*T358</f>
        <v>0</v>
      </c>
      <c r="U937" s="229">
        <f>Input!U$53*U358</f>
        <v>0</v>
      </c>
      <c r="V937" s="229">
        <f>Input!V$53*V358</f>
        <v>0</v>
      </c>
      <c r="W937" s="229">
        <f>Input!W$53*W358</f>
        <v>0</v>
      </c>
      <c r="X937" s="229">
        <f>Input!X$53*X358</f>
        <v>0</v>
      </c>
      <c r="Y937" s="229">
        <f>Input!Y$53*Y358</f>
        <v>0</v>
      </c>
      <c r="Z937" s="229">
        <f>Input!Z$53*Z358</f>
        <v>0</v>
      </c>
      <c r="AA937" s="229">
        <f>Input!AA$53*AA358</f>
        <v>0</v>
      </c>
      <c r="AB937" s="229">
        <f>Input!AB$53*AB358</f>
        <v>0</v>
      </c>
      <c r="CH937" s="269"/>
      <c r="CI937" s="269"/>
      <c r="CJ937" s="269"/>
      <c r="CK937" s="269"/>
      <c r="CL937" s="269"/>
      <c r="CM937" s="269"/>
      <c r="CN937" s="269"/>
      <c r="CO937" s="269"/>
      <c r="CP937" s="269"/>
      <c r="CQ937" s="269"/>
      <c r="CR937" s="269"/>
      <c r="CS937" s="269"/>
    </row>
    <row r="938" spans="3:97" ht="12" customHeight="1" x14ac:dyDescent="0.3">
      <c r="C938" s="495">
        <f>C875</f>
        <v>609</v>
      </c>
      <c r="D938" s="229">
        <f>Input!D$53*D359</f>
        <v>0</v>
      </c>
      <c r="E938" s="229">
        <f>Input!E$53*E359</f>
        <v>0</v>
      </c>
      <c r="F938" s="229">
        <f>Input!F$53*F359</f>
        <v>0</v>
      </c>
      <c r="G938" s="229">
        <f>Input!G$53*G359</f>
        <v>0</v>
      </c>
      <c r="H938" s="229">
        <f>Input!H$53*H359</f>
        <v>0</v>
      </c>
      <c r="I938" s="229">
        <f>Input!I$53*I359</f>
        <v>0</v>
      </c>
      <c r="J938" s="229">
        <f>Input!J$53*J359</f>
        <v>0</v>
      </c>
      <c r="K938" s="229">
        <f>Input!K$53*K359</f>
        <v>0</v>
      </c>
      <c r="L938" s="229">
        <f>Input!L$53*L359</f>
        <v>0</v>
      </c>
      <c r="M938" s="229">
        <f>Input!M$53*M359</f>
        <v>0</v>
      </c>
      <c r="N938" s="229">
        <f>Input!N$53*N359</f>
        <v>0</v>
      </c>
      <c r="O938" s="229">
        <f>Input!O$53*O359</f>
        <v>0</v>
      </c>
      <c r="P938" s="229">
        <f>Input!P$53*P359</f>
        <v>0</v>
      </c>
      <c r="Q938" s="229">
        <f>Input!Q$53*Q359</f>
        <v>0</v>
      </c>
      <c r="R938" s="229">
        <f>Input!R$53*R359</f>
        <v>0</v>
      </c>
      <c r="S938" s="229">
        <f>Input!S$53*S359</f>
        <v>0</v>
      </c>
      <c r="T938" s="229">
        <f>Input!T$53*T359</f>
        <v>0</v>
      </c>
      <c r="U938" s="229">
        <f>Input!U$53*U359</f>
        <v>0</v>
      </c>
      <c r="V938" s="229">
        <f>Input!V$53*V359</f>
        <v>0</v>
      </c>
      <c r="W938" s="229">
        <f>Input!W$53*W359</f>
        <v>0</v>
      </c>
      <c r="X938" s="229">
        <f>Input!X$53*X359</f>
        <v>0</v>
      </c>
      <c r="Y938" s="229">
        <f>Input!Y$53*Y359</f>
        <v>0</v>
      </c>
      <c r="Z938" s="229">
        <f>Input!Z$53*Z359</f>
        <v>0</v>
      </c>
      <c r="AA938" s="229">
        <f>Input!AA$53*AA359</f>
        <v>0</v>
      </c>
      <c r="AB938" s="229">
        <f>Input!AB$53*AB359</f>
        <v>0</v>
      </c>
      <c r="CH938" s="269"/>
      <c r="CI938" s="269"/>
      <c r="CJ938" s="269"/>
      <c r="CK938" s="269"/>
      <c r="CL938" s="269"/>
      <c r="CM938" s="269"/>
      <c r="CN938" s="269"/>
      <c r="CO938" s="269"/>
      <c r="CP938" s="269"/>
      <c r="CQ938" s="269"/>
      <c r="CR938" s="269"/>
      <c r="CS938" s="269"/>
    </row>
    <row r="939" spans="3:97" ht="12" customHeight="1" x14ac:dyDescent="0.3">
      <c r="C939" s="495">
        <f>C876</f>
        <v>639</v>
      </c>
      <c r="D939" s="229">
        <f>Input!D$53*D360</f>
        <v>0</v>
      </c>
      <c r="E939" s="229">
        <f>Input!E$53*E360</f>
        <v>0</v>
      </c>
      <c r="F939" s="229">
        <f>Input!F$53*F360</f>
        <v>0</v>
      </c>
      <c r="G939" s="229">
        <f>Input!G$53*G360</f>
        <v>0</v>
      </c>
      <c r="H939" s="229">
        <f>Input!H$53*H360</f>
        <v>0</v>
      </c>
      <c r="I939" s="229">
        <f>Input!I$53*I360</f>
        <v>0</v>
      </c>
      <c r="J939" s="229">
        <f>Input!J$53*J360</f>
        <v>0</v>
      </c>
      <c r="K939" s="229">
        <f>Input!K$53*K360</f>
        <v>0</v>
      </c>
      <c r="L939" s="229">
        <f>Input!L$53*L360</f>
        <v>0</v>
      </c>
      <c r="M939" s="229">
        <f>Input!M$53*M360</f>
        <v>0</v>
      </c>
      <c r="N939" s="229">
        <f>Input!N$53*N360</f>
        <v>0</v>
      </c>
      <c r="O939" s="229">
        <f>Input!O$53*O360</f>
        <v>0</v>
      </c>
      <c r="P939" s="229">
        <f>Input!P$53*P360</f>
        <v>0</v>
      </c>
      <c r="Q939" s="229">
        <f>Input!Q$53*Q360</f>
        <v>0</v>
      </c>
      <c r="R939" s="229">
        <f>Input!R$53*R360</f>
        <v>0</v>
      </c>
      <c r="S939" s="229">
        <f>Input!S$53*S360</f>
        <v>0</v>
      </c>
      <c r="T939" s="229">
        <f>Input!T$53*T360</f>
        <v>0</v>
      </c>
      <c r="U939" s="229">
        <f>Input!U$53*U360</f>
        <v>0</v>
      </c>
      <c r="V939" s="229">
        <f>Input!V$53*V360</f>
        <v>0</v>
      </c>
      <c r="W939" s="229">
        <f>Input!W$53*W360</f>
        <v>0</v>
      </c>
      <c r="X939" s="229">
        <f>Input!X$53*X360</f>
        <v>0</v>
      </c>
      <c r="Y939" s="229">
        <f>Input!Y$53*Y360</f>
        <v>0</v>
      </c>
      <c r="Z939" s="229">
        <f>Input!Z$53*Z360</f>
        <v>0</v>
      </c>
      <c r="AA939" s="229">
        <f>Input!AA$53*AA360</f>
        <v>0</v>
      </c>
      <c r="AB939" s="229">
        <f>Input!AB$53*AB360</f>
        <v>0</v>
      </c>
      <c r="CH939" s="269"/>
      <c r="CI939" s="269"/>
      <c r="CJ939" s="269"/>
      <c r="CK939" s="269"/>
      <c r="CL939" s="269"/>
      <c r="CM939" s="269"/>
      <c r="CN939" s="269"/>
      <c r="CO939" s="269"/>
      <c r="CP939" s="269"/>
      <c r="CQ939" s="269"/>
      <c r="CR939" s="269"/>
      <c r="CS939" s="269"/>
    </row>
    <row r="940" spans="3:97" ht="12" customHeight="1" x14ac:dyDescent="0.3">
      <c r="C940" s="495">
        <f>C877</f>
        <v>670</v>
      </c>
      <c r="D940" s="229">
        <f>Input!D$53*D361</f>
        <v>0</v>
      </c>
      <c r="E940" s="229">
        <f>Input!E$53*E361</f>
        <v>0</v>
      </c>
      <c r="F940" s="229">
        <f>Input!F$53*F361</f>
        <v>0</v>
      </c>
      <c r="G940" s="229">
        <f>Input!G$53*G361</f>
        <v>0</v>
      </c>
      <c r="H940" s="229">
        <f>Input!H$53*H361</f>
        <v>0</v>
      </c>
      <c r="I940" s="229">
        <f>Input!I$53*I361</f>
        <v>0</v>
      </c>
      <c r="J940" s="229">
        <f>Input!J$53*J361</f>
        <v>0</v>
      </c>
      <c r="K940" s="229">
        <f>Input!K$53*K361</f>
        <v>0</v>
      </c>
      <c r="L940" s="229">
        <f>Input!L$53*L361</f>
        <v>0</v>
      </c>
      <c r="M940" s="229">
        <f>Input!M$53*M361</f>
        <v>0</v>
      </c>
      <c r="N940" s="229">
        <f>Input!N$53*N361</f>
        <v>0</v>
      </c>
      <c r="O940" s="229">
        <f>Input!O$53*O361</f>
        <v>0</v>
      </c>
      <c r="P940" s="229">
        <f>Input!P$53*P361</f>
        <v>0</v>
      </c>
      <c r="Q940" s="229">
        <f>Input!Q$53*Q361</f>
        <v>0</v>
      </c>
      <c r="R940" s="229">
        <f>Input!R$53*R361</f>
        <v>0</v>
      </c>
      <c r="S940" s="229">
        <f>Input!S$53*S361</f>
        <v>0</v>
      </c>
      <c r="T940" s="229">
        <f>Input!T$53*T361</f>
        <v>0</v>
      </c>
      <c r="U940" s="229">
        <f>Input!U$53*U361</f>
        <v>0</v>
      </c>
      <c r="V940" s="229">
        <f>Input!V$53*V361</f>
        <v>0</v>
      </c>
      <c r="W940" s="229">
        <f>Input!W$53*W361</f>
        <v>0</v>
      </c>
      <c r="X940" s="229">
        <f>Input!X$53*X361</f>
        <v>0</v>
      </c>
      <c r="Y940" s="229">
        <f>Input!Y$53*Y361</f>
        <v>0</v>
      </c>
      <c r="Z940" s="229">
        <f>Input!Z$53*Z361</f>
        <v>0</v>
      </c>
      <c r="AA940" s="229">
        <f>Input!AA$53*AA361</f>
        <v>0</v>
      </c>
      <c r="AB940" s="229">
        <f>Input!AB$53*AB361</f>
        <v>0</v>
      </c>
      <c r="CH940" s="269"/>
      <c r="CI940" s="269"/>
      <c r="CJ940" s="269"/>
      <c r="CK940" s="269"/>
      <c r="CL940" s="269"/>
      <c r="CM940" s="269"/>
      <c r="CN940" s="269"/>
      <c r="CO940" s="269"/>
      <c r="CP940" s="269"/>
      <c r="CQ940" s="269"/>
      <c r="CR940" s="269"/>
      <c r="CS940" s="269"/>
    </row>
    <row r="941" spans="3:97" ht="12" customHeight="1" x14ac:dyDescent="0.3">
      <c r="C941" s="495">
        <f>C878</f>
        <v>700</v>
      </c>
      <c r="D941" s="229">
        <f>Input!D$53*D362</f>
        <v>0</v>
      </c>
      <c r="E941" s="229">
        <f>Input!E$53*E362</f>
        <v>0</v>
      </c>
      <c r="F941" s="229">
        <f>Input!F$53*F362</f>
        <v>0</v>
      </c>
      <c r="G941" s="229">
        <f>Input!G$53*G362</f>
        <v>0</v>
      </c>
      <c r="H941" s="229">
        <f>Input!H$53*H362</f>
        <v>0</v>
      </c>
      <c r="I941" s="229">
        <f>Input!I$53*I362</f>
        <v>0</v>
      </c>
      <c r="J941" s="229">
        <f>Input!J$53*J362</f>
        <v>0</v>
      </c>
      <c r="K941" s="229">
        <f>Input!K$53*K362</f>
        <v>0</v>
      </c>
      <c r="L941" s="229">
        <f>Input!L$53*L362</f>
        <v>0</v>
      </c>
      <c r="M941" s="229">
        <f>Input!M$53*M362</f>
        <v>0</v>
      </c>
      <c r="N941" s="229">
        <f>Input!N$53*N362</f>
        <v>0</v>
      </c>
      <c r="O941" s="229">
        <f>Input!O$53*O362</f>
        <v>0</v>
      </c>
      <c r="P941" s="229">
        <f>Input!P$53*P362</f>
        <v>0</v>
      </c>
      <c r="Q941" s="229">
        <f>Input!Q$53*Q362</f>
        <v>0</v>
      </c>
      <c r="R941" s="229">
        <f>Input!R$53*R362</f>
        <v>0</v>
      </c>
      <c r="S941" s="229">
        <f>Input!S$53*S362</f>
        <v>0</v>
      </c>
      <c r="T941" s="229">
        <f>Input!T$53*T362</f>
        <v>0</v>
      </c>
      <c r="U941" s="229">
        <f>Input!U$53*U362</f>
        <v>0</v>
      </c>
      <c r="V941" s="229">
        <f>Input!V$53*V362</f>
        <v>0</v>
      </c>
      <c r="W941" s="229">
        <f>Input!W$53*W362</f>
        <v>0</v>
      </c>
      <c r="X941" s="229">
        <f>Input!X$53*X362</f>
        <v>0</v>
      </c>
      <c r="Y941" s="229">
        <f>Input!Y$53*Y362</f>
        <v>0</v>
      </c>
      <c r="Z941" s="229">
        <f>Input!Z$53*Z362</f>
        <v>0</v>
      </c>
      <c r="AA941" s="229">
        <f>Input!AA$53*AA362</f>
        <v>0</v>
      </c>
      <c r="AB941" s="229">
        <f>Input!AB$53*AB362</f>
        <v>0</v>
      </c>
      <c r="CH941" s="269"/>
      <c r="CI941" s="269"/>
      <c r="CJ941" s="269"/>
      <c r="CK941" s="269"/>
      <c r="CL941" s="269"/>
      <c r="CM941" s="269"/>
      <c r="CN941" s="269"/>
      <c r="CO941" s="269"/>
      <c r="CP941" s="269"/>
      <c r="CQ941" s="269"/>
      <c r="CR941" s="269"/>
      <c r="CS941" s="269"/>
    </row>
    <row r="942" spans="3:97" ht="12" customHeight="1" thickBot="1" x14ac:dyDescent="0.35">
      <c r="C942" s="496">
        <f>C879</f>
        <v>731</v>
      </c>
      <c r="D942" s="230">
        <f>Input!D$53*D363</f>
        <v>0</v>
      </c>
      <c r="E942" s="230">
        <f>Input!E$53*E363</f>
        <v>0</v>
      </c>
      <c r="F942" s="230">
        <f>Input!F$53*F363</f>
        <v>0</v>
      </c>
      <c r="G942" s="230">
        <f>Input!G$53*G363</f>
        <v>0</v>
      </c>
      <c r="H942" s="230">
        <f>Input!H$53*H363</f>
        <v>0</v>
      </c>
      <c r="I942" s="230">
        <f>Input!I$53*I363</f>
        <v>0</v>
      </c>
      <c r="J942" s="230">
        <f>Input!J$53*J363</f>
        <v>0</v>
      </c>
      <c r="K942" s="230">
        <f>Input!K$53*K363</f>
        <v>0</v>
      </c>
      <c r="L942" s="230">
        <f>Input!L$53*L363</f>
        <v>0</v>
      </c>
      <c r="M942" s="230">
        <f>Input!M$53*M363</f>
        <v>0</v>
      </c>
      <c r="N942" s="230">
        <f>Input!N$53*N363</f>
        <v>0</v>
      </c>
      <c r="O942" s="230">
        <f>Input!O$53*O363</f>
        <v>0</v>
      </c>
      <c r="P942" s="230">
        <f>Input!P$53*P363</f>
        <v>0</v>
      </c>
      <c r="Q942" s="230">
        <f>Input!Q$53*Q363</f>
        <v>0</v>
      </c>
      <c r="R942" s="230">
        <f>Input!R$53*R363</f>
        <v>0</v>
      </c>
      <c r="S942" s="230">
        <f>Input!S$53*S363</f>
        <v>0</v>
      </c>
      <c r="T942" s="230">
        <f>Input!T$53*T363</f>
        <v>0</v>
      </c>
      <c r="U942" s="230">
        <f>Input!U$53*U363</f>
        <v>0</v>
      </c>
      <c r="V942" s="230">
        <f>Input!V$53*V363</f>
        <v>0</v>
      </c>
      <c r="W942" s="230">
        <f>Input!W$53*W363</f>
        <v>0</v>
      </c>
      <c r="X942" s="230">
        <f>Input!X$53*X363</f>
        <v>0</v>
      </c>
      <c r="Y942" s="230">
        <f>Input!Y$53*Y363</f>
        <v>0</v>
      </c>
      <c r="Z942" s="230">
        <f>Input!Z$53*Z363</f>
        <v>0</v>
      </c>
      <c r="AA942" s="230">
        <f>Input!AA$53*AA363</f>
        <v>0</v>
      </c>
      <c r="AB942" s="230">
        <f>Input!AB$53*AB363</f>
        <v>0</v>
      </c>
      <c r="CH942" s="269"/>
      <c r="CI942" s="269"/>
      <c r="CJ942" s="269"/>
      <c r="CK942" s="269"/>
      <c r="CL942" s="269"/>
      <c r="CM942" s="269"/>
      <c r="CN942" s="269"/>
      <c r="CO942" s="269"/>
      <c r="CP942" s="269"/>
      <c r="CQ942" s="269"/>
      <c r="CR942" s="269"/>
      <c r="CS942" s="269"/>
    </row>
    <row r="943" spans="3:97" ht="12" customHeight="1" x14ac:dyDescent="0.3">
      <c r="C943" s="495">
        <f>C880</f>
        <v>762</v>
      </c>
      <c r="D943" s="231">
        <f>Input!D$53*D364</f>
        <v>0</v>
      </c>
      <c r="E943" s="231">
        <f>Input!E$53*E364</f>
        <v>0</v>
      </c>
      <c r="F943" s="231">
        <f>Input!F$53*F364</f>
        <v>0</v>
      </c>
      <c r="G943" s="231">
        <f>Input!G$53*G364</f>
        <v>0</v>
      </c>
      <c r="H943" s="231">
        <f>Input!H$53*H364</f>
        <v>0</v>
      </c>
      <c r="I943" s="231">
        <f>Input!I$53*I364</f>
        <v>0</v>
      </c>
      <c r="J943" s="231">
        <f>Input!J$53*J364</f>
        <v>0</v>
      </c>
      <c r="K943" s="231">
        <f>Input!K$53*K364</f>
        <v>0</v>
      </c>
      <c r="L943" s="231">
        <f>Input!L$53*L364</f>
        <v>0</v>
      </c>
      <c r="M943" s="231">
        <f>Input!M$53*M364</f>
        <v>0</v>
      </c>
      <c r="N943" s="231">
        <f>Input!N$53*N364</f>
        <v>0</v>
      </c>
      <c r="O943" s="231">
        <f>Input!O$53*O364</f>
        <v>0</v>
      </c>
      <c r="P943" s="231">
        <f>Input!P$53*P364</f>
        <v>0</v>
      </c>
      <c r="Q943" s="231">
        <f>Input!Q$53*Q364</f>
        <v>0</v>
      </c>
      <c r="R943" s="231">
        <f>Input!R$53*R364</f>
        <v>0</v>
      </c>
      <c r="S943" s="231">
        <f>Input!S$53*S364</f>
        <v>0</v>
      </c>
      <c r="T943" s="231">
        <f>Input!T$53*T364</f>
        <v>0</v>
      </c>
      <c r="U943" s="231">
        <f>Input!U$53*U364</f>
        <v>0</v>
      </c>
      <c r="V943" s="231">
        <f>Input!V$53*V364</f>
        <v>0</v>
      </c>
      <c r="W943" s="231">
        <f>Input!W$53*W364</f>
        <v>0</v>
      </c>
      <c r="X943" s="231">
        <f>Input!X$53*X364</f>
        <v>0</v>
      </c>
      <c r="Y943" s="231">
        <f>Input!Y$53*Y364</f>
        <v>0</v>
      </c>
      <c r="Z943" s="231">
        <f>Input!Z$53*Z364</f>
        <v>0</v>
      </c>
      <c r="AA943" s="231">
        <f>Input!AA$53*AA364</f>
        <v>0</v>
      </c>
      <c r="AB943" s="231">
        <f>Input!AB$53*AB364</f>
        <v>0</v>
      </c>
      <c r="CH943" s="269"/>
      <c r="CI943" s="269"/>
      <c r="CJ943" s="269"/>
      <c r="CK943" s="269"/>
      <c r="CL943" s="269"/>
      <c r="CM943" s="269"/>
      <c r="CN943" s="269"/>
      <c r="CO943" s="269"/>
      <c r="CP943" s="269"/>
      <c r="CQ943" s="269"/>
      <c r="CR943" s="269"/>
      <c r="CS943" s="269"/>
    </row>
    <row r="944" spans="3:97" ht="12" customHeight="1" x14ac:dyDescent="0.3">
      <c r="C944" s="495">
        <f>C881</f>
        <v>790</v>
      </c>
      <c r="D944" s="229">
        <f>Input!D$53*D365</f>
        <v>0</v>
      </c>
      <c r="E944" s="229">
        <f>Input!E$53*E365</f>
        <v>0</v>
      </c>
      <c r="F944" s="229">
        <f>Input!F$53*F365</f>
        <v>0</v>
      </c>
      <c r="G944" s="229">
        <f>Input!G$53*G365</f>
        <v>0</v>
      </c>
      <c r="H944" s="229">
        <f>Input!H$53*H365</f>
        <v>0</v>
      </c>
      <c r="I944" s="229">
        <f>Input!I$53*I365</f>
        <v>0</v>
      </c>
      <c r="J944" s="229">
        <f>Input!J$53*J365</f>
        <v>0</v>
      </c>
      <c r="K944" s="229">
        <f>Input!K$53*K365</f>
        <v>0</v>
      </c>
      <c r="L944" s="229">
        <f>Input!L$53*L365</f>
        <v>0</v>
      </c>
      <c r="M944" s="229">
        <f>Input!M$53*M365</f>
        <v>0</v>
      </c>
      <c r="N944" s="229">
        <f>Input!N$53*N365</f>
        <v>0</v>
      </c>
      <c r="O944" s="229">
        <f>Input!O$53*O365</f>
        <v>0</v>
      </c>
      <c r="P944" s="229">
        <f>Input!P$53*P365</f>
        <v>0</v>
      </c>
      <c r="Q944" s="229">
        <f>Input!Q$53*Q365</f>
        <v>0</v>
      </c>
      <c r="R944" s="229">
        <f>Input!R$53*R365</f>
        <v>0</v>
      </c>
      <c r="S944" s="229">
        <f>Input!S$53*S365</f>
        <v>0</v>
      </c>
      <c r="T944" s="229">
        <f>Input!T$53*T365</f>
        <v>0</v>
      </c>
      <c r="U944" s="229">
        <f>Input!U$53*U365</f>
        <v>0</v>
      </c>
      <c r="V944" s="229">
        <f>Input!V$53*V365</f>
        <v>0</v>
      </c>
      <c r="W944" s="229">
        <f>Input!W$53*W365</f>
        <v>0</v>
      </c>
      <c r="X944" s="229">
        <f>Input!X$53*X365</f>
        <v>0</v>
      </c>
      <c r="Y944" s="229">
        <f>Input!Y$53*Y365</f>
        <v>0</v>
      </c>
      <c r="Z944" s="229">
        <f>Input!Z$53*Z365</f>
        <v>0</v>
      </c>
      <c r="AA944" s="229">
        <f>Input!AA$53*AA365</f>
        <v>0</v>
      </c>
      <c r="AB944" s="229">
        <f>Input!AB$53*AB365</f>
        <v>0</v>
      </c>
      <c r="CH944" s="269"/>
      <c r="CI944" s="269"/>
      <c r="CJ944" s="269"/>
      <c r="CK944" s="269"/>
      <c r="CL944" s="269"/>
      <c r="CM944" s="269"/>
      <c r="CN944" s="269"/>
      <c r="CO944" s="269"/>
      <c r="CP944" s="269"/>
      <c r="CQ944" s="269"/>
      <c r="CR944" s="269"/>
      <c r="CS944" s="269"/>
    </row>
    <row r="945" spans="3:97" ht="12" customHeight="1" x14ac:dyDescent="0.3">
      <c r="C945" s="495">
        <f>C882</f>
        <v>821</v>
      </c>
      <c r="D945" s="229">
        <f>Input!D$53*D366</f>
        <v>0</v>
      </c>
      <c r="E945" s="229">
        <f>Input!E$53*E366</f>
        <v>0</v>
      </c>
      <c r="F945" s="229">
        <f>Input!F$53*F366</f>
        <v>0</v>
      </c>
      <c r="G945" s="229">
        <f>Input!G$53*G366</f>
        <v>0</v>
      </c>
      <c r="H945" s="229">
        <f>Input!H$53*H366</f>
        <v>0</v>
      </c>
      <c r="I945" s="229">
        <f>Input!I$53*I366</f>
        <v>0</v>
      </c>
      <c r="J945" s="229">
        <f>Input!J$53*J366</f>
        <v>0</v>
      </c>
      <c r="K945" s="229">
        <f>Input!K$53*K366</f>
        <v>0</v>
      </c>
      <c r="L945" s="229">
        <f>Input!L$53*L366</f>
        <v>0</v>
      </c>
      <c r="M945" s="229">
        <f>Input!M$53*M366</f>
        <v>0</v>
      </c>
      <c r="N945" s="229">
        <f>Input!N$53*N366</f>
        <v>0</v>
      </c>
      <c r="O945" s="229">
        <f>Input!O$53*O366</f>
        <v>0</v>
      </c>
      <c r="P945" s="229">
        <f>Input!P$53*P366</f>
        <v>0</v>
      </c>
      <c r="Q945" s="229">
        <f>Input!Q$53*Q366</f>
        <v>0</v>
      </c>
      <c r="R945" s="229">
        <f>Input!R$53*R366</f>
        <v>0</v>
      </c>
      <c r="S945" s="229">
        <f>Input!S$53*S366</f>
        <v>0</v>
      </c>
      <c r="T945" s="229">
        <f>Input!T$53*T366</f>
        <v>0</v>
      </c>
      <c r="U945" s="229">
        <f>Input!U$53*U366</f>
        <v>0</v>
      </c>
      <c r="V945" s="229">
        <f>Input!V$53*V366</f>
        <v>0</v>
      </c>
      <c r="W945" s="229">
        <f>Input!W$53*W366</f>
        <v>0</v>
      </c>
      <c r="X945" s="229">
        <f>Input!X$53*X366</f>
        <v>0</v>
      </c>
      <c r="Y945" s="229">
        <f>Input!Y$53*Y366</f>
        <v>0</v>
      </c>
      <c r="Z945" s="229">
        <f>Input!Z$53*Z366</f>
        <v>0</v>
      </c>
      <c r="AA945" s="229">
        <f>Input!AA$53*AA366</f>
        <v>0</v>
      </c>
      <c r="AB945" s="229">
        <f>Input!AB$53*AB366</f>
        <v>0</v>
      </c>
      <c r="CH945" s="269"/>
      <c r="CI945" s="269"/>
      <c r="CJ945" s="269"/>
      <c r="CK945" s="269"/>
      <c r="CL945" s="269"/>
      <c r="CM945" s="269"/>
      <c r="CN945" s="269"/>
      <c r="CO945" s="269"/>
      <c r="CP945" s="269"/>
      <c r="CQ945" s="269"/>
      <c r="CR945" s="269"/>
      <c r="CS945" s="269"/>
    </row>
    <row r="946" spans="3:97" ht="12" customHeight="1" x14ac:dyDescent="0.3">
      <c r="C946" s="495">
        <f>C883</f>
        <v>851</v>
      </c>
      <c r="D946" s="229">
        <f>Input!D$53*D367</f>
        <v>0</v>
      </c>
      <c r="E946" s="229">
        <f>Input!E$53*E367</f>
        <v>0</v>
      </c>
      <c r="F946" s="229">
        <f>Input!F$53*F367</f>
        <v>0</v>
      </c>
      <c r="G946" s="229">
        <f>Input!G$53*G367</f>
        <v>0</v>
      </c>
      <c r="H946" s="229">
        <f>Input!H$53*H367</f>
        <v>0</v>
      </c>
      <c r="I946" s="229">
        <f>Input!I$53*I367</f>
        <v>0</v>
      </c>
      <c r="J946" s="229">
        <f>Input!J$53*J367</f>
        <v>0</v>
      </c>
      <c r="K946" s="229">
        <f>Input!K$53*K367</f>
        <v>0</v>
      </c>
      <c r="L946" s="229">
        <f>Input!L$53*L367</f>
        <v>0</v>
      </c>
      <c r="M946" s="229">
        <f>Input!M$53*M367</f>
        <v>0</v>
      </c>
      <c r="N946" s="229">
        <f>Input!N$53*N367</f>
        <v>0</v>
      </c>
      <c r="O946" s="229">
        <f>Input!O$53*O367</f>
        <v>0</v>
      </c>
      <c r="P946" s="229">
        <f>Input!P$53*P367</f>
        <v>0</v>
      </c>
      <c r="Q946" s="229">
        <f>Input!Q$53*Q367</f>
        <v>0</v>
      </c>
      <c r="R946" s="229">
        <f>Input!R$53*R367</f>
        <v>0</v>
      </c>
      <c r="S946" s="229">
        <f>Input!S$53*S367</f>
        <v>0</v>
      </c>
      <c r="T946" s="229">
        <f>Input!T$53*T367</f>
        <v>0</v>
      </c>
      <c r="U946" s="229">
        <f>Input!U$53*U367</f>
        <v>0</v>
      </c>
      <c r="V946" s="229">
        <f>Input!V$53*V367</f>
        <v>0</v>
      </c>
      <c r="W946" s="229">
        <f>Input!W$53*W367</f>
        <v>0</v>
      </c>
      <c r="X946" s="229">
        <f>Input!X$53*X367</f>
        <v>0</v>
      </c>
      <c r="Y946" s="229">
        <f>Input!Y$53*Y367</f>
        <v>0</v>
      </c>
      <c r="Z946" s="229">
        <f>Input!Z$53*Z367</f>
        <v>0</v>
      </c>
      <c r="AA946" s="229">
        <f>Input!AA$53*AA367</f>
        <v>0</v>
      </c>
      <c r="AB946" s="229">
        <f>Input!AB$53*AB367</f>
        <v>0</v>
      </c>
      <c r="CH946" s="269"/>
      <c r="CI946" s="269"/>
      <c r="CJ946" s="269"/>
      <c r="CK946" s="269"/>
      <c r="CL946" s="269"/>
      <c r="CM946" s="269"/>
      <c r="CN946" s="269"/>
      <c r="CO946" s="269"/>
      <c r="CP946" s="269"/>
      <c r="CQ946" s="269"/>
      <c r="CR946" s="269"/>
      <c r="CS946" s="269"/>
    </row>
    <row r="947" spans="3:97" ht="12" customHeight="1" x14ac:dyDescent="0.3">
      <c r="C947" s="495">
        <f>C884</f>
        <v>882</v>
      </c>
      <c r="D947" s="229">
        <f>Input!D$53*D368</f>
        <v>0</v>
      </c>
      <c r="E947" s="229">
        <f>Input!E$53*E368</f>
        <v>0</v>
      </c>
      <c r="F947" s="229">
        <f>Input!F$53*F368</f>
        <v>0</v>
      </c>
      <c r="G947" s="229">
        <f>Input!G$53*G368</f>
        <v>0</v>
      </c>
      <c r="H947" s="229">
        <f>Input!H$53*H368</f>
        <v>0</v>
      </c>
      <c r="I947" s="229">
        <f>Input!I$53*I368</f>
        <v>0</v>
      </c>
      <c r="J947" s="229">
        <f>Input!J$53*J368</f>
        <v>0</v>
      </c>
      <c r="K947" s="229">
        <f>Input!K$53*K368</f>
        <v>0</v>
      </c>
      <c r="L947" s="229">
        <f>Input!L$53*L368</f>
        <v>0</v>
      </c>
      <c r="M947" s="229">
        <f>Input!M$53*M368</f>
        <v>0</v>
      </c>
      <c r="N947" s="229">
        <f>Input!N$53*N368</f>
        <v>0</v>
      </c>
      <c r="O947" s="229">
        <f>Input!O$53*O368</f>
        <v>0</v>
      </c>
      <c r="P947" s="229">
        <f>Input!P$53*P368</f>
        <v>0</v>
      </c>
      <c r="Q947" s="229">
        <f>Input!Q$53*Q368</f>
        <v>0</v>
      </c>
      <c r="R947" s="229">
        <f>Input!R$53*R368</f>
        <v>0</v>
      </c>
      <c r="S947" s="229">
        <f>Input!S$53*S368</f>
        <v>0</v>
      </c>
      <c r="T947" s="229">
        <f>Input!T$53*T368</f>
        <v>0</v>
      </c>
      <c r="U947" s="229">
        <f>Input!U$53*U368</f>
        <v>0</v>
      </c>
      <c r="V947" s="229">
        <f>Input!V$53*V368</f>
        <v>0</v>
      </c>
      <c r="W947" s="229">
        <f>Input!W$53*W368</f>
        <v>0</v>
      </c>
      <c r="X947" s="229">
        <f>Input!X$53*X368</f>
        <v>0</v>
      </c>
      <c r="Y947" s="229">
        <f>Input!Y$53*Y368</f>
        <v>0</v>
      </c>
      <c r="Z947" s="229">
        <f>Input!Z$53*Z368</f>
        <v>0</v>
      </c>
      <c r="AA947" s="229">
        <f>Input!AA$53*AA368</f>
        <v>0</v>
      </c>
      <c r="AB947" s="229">
        <f>Input!AB$53*AB368</f>
        <v>0</v>
      </c>
      <c r="CH947" s="269"/>
      <c r="CI947" s="269"/>
      <c r="CJ947" s="269"/>
      <c r="CK947" s="269"/>
      <c r="CL947" s="269"/>
      <c r="CM947" s="269"/>
      <c r="CN947" s="269"/>
      <c r="CO947" s="269"/>
      <c r="CP947" s="269"/>
      <c r="CQ947" s="269"/>
      <c r="CR947" s="269"/>
      <c r="CS947" s="269"/>
    </row>
    <row r="948" spans="3:97" ht="12" customHeight="1" x14ac:dyDescent="0.3">
      <c r="C948" s="495">
        <f>C885</f>
        <v>912</v>
      </c>
      <c r="D948" s="229">
        <f>Input!D$53*D369</f>
        <v>0</v>
      </c>
      <c r="E948" s="229">
        <f>Input!E$53*E369</f>
        <v>0</v>
      </c>
      <c r="F948" s="229">
        <f>Input!F$53*F369</f>
        <v>0</v>
      </c>
      <c r="G948" s="229">
        <f>Input!G$53*G369</f>
        <v>0</v>
      </c>
      <c r="H948" s="229">
        <f>Input!H$53*H369</f>
        <v>0</v>
      </c>
      <c r="I948" s="229">
        <f>Input!I$53*I369</f>
        <v>0</v>
      </c>
      <c r="J948" s="229">
        <f>Input!J$53*J369</f>
        <v>0</v>
      </c>
      <c r="K948" s="229">
        <f>Input!K$53*K369</f>
        <v>0</v>
      </c>
      <c r="L948" s="229">
        <f>Input!L$53*L369</f>
        <v>0</v>
      </c>
      <c r="M948" s="229">
        <f>Input!M$53*M369</f>
        <v>0</v>
      </c>
      <c r="N948" s="229">
        <f>Input!N$53*N369</f>
        <v>0</v>
      </c>
      <c r="O948" s="229">
        <f>Input!O$53*O369</f>
        <v>0</v>
      </c>
      <c r="P948" s="229">
        <f>Input!P$53*P369</f>
        <v>0</v>
      </c>
      <c r="Q948" s="229">
        <f>Input!Q$53*Q369</f>
        <v>0</v>
      </c>
      <c r="R948" s="229">
        <f>Input!R$53*R369</f>
        <v>0</v>
      </c>
      <c r="S948" s="229">
        <f>Input!S$53*S369</f>
        <v>0</v>
      </c>
      <c r="T948" s="229">
        <f>Input!T$53*T369</f>
        <v>0</v>
      </c>
      <c r="U948" s="229">
        <f>Input!U$53*U369</f>
        <v>0</v>
      </c>
      <c r="V948" s="229">
        <f>Input!V$53*V369</f>
        <v>0</v>
      </c>
      <c r="W948" s="229">
        <f>Input!W$53*W369</f>
        <v>0</v>
      </c>
      <c r="X948" s="229">
        <f>Input!X$53*X369</f>
        <v>0</v>
      </c>
      <c r="Y948" s="229">
        <f>Input!Y$53*Y369</f>
        <v>0</v>
      </c>
      <c r="Z948" s="229">
        <f>Input!Z$53*Z369</f>
        <v>0</v>
      </c>
      <c r="AA948" s="229">
        <f>Input!AA$53*AA369</f>
        <v>0</v>
      </c>
      <c r="AB948" s="229">
        <f>Input!AB$53*AB369</f>
        <v>0</v>
      </c>
      <c r="CH948" s="269"/>
      <c r="CI948" s="269"/>
      <c r="CJ948" s="269"/>
      <c r="CK948" s="269"/>
      <c r="CL948" s="269"/>
      <c r="CM948" s="269"/>
      <c r="CN948" s="269"/>
      <c r="CO948" s="269"/>
      <c r="CP948" s="269"/>
      <c r="CQ948" s="269"/>
      <c r="CR948" s="269"/>
      <c r="CS948" s="269"/>
    </row>
    <row r="949" spans="3:97" ht="12" customHeight="1" x14ac:dyDescent="0.3">
      <c r="C949" s="495">
        <f>C886</f>
        <v>943</v>
      </c>
      <c r="D949" s="229">
        <f>Input!D$53*D370</f>
        <v>0</v>
      </c>
      <c r="E949" s="229">
        <f>Input!E$53*E370</f>
        <v>0</v>
      </c>
      <c r="F949" s="229">
        <f>Input!F$53*F370</f>
        <v>0</v>
      </c>
      <c r="G949" s="229">
        <f>Input!G$53*G370</f>
        <v>0</v>
      </c>
      <c r="H949" s="229">
        <f>Input!H$53*H370</f>
        <v>0</v>
      </c>
      <c r="I949" s="229">
        <f>Input!I$53*I370</f>
        <v>0</v>
      </c>
      <c r="J949" s="229">
        <f>Input!J$53*J370</f>
        <v>0</v>
      </c>
      <c r="K949" s="229">
        <f>Input!K$53*K370</f>
        <v>0</v>
      </c>
      <c r="L949" s="229">
        <f>Input!L$53*L370</f>
        <v>0</v>
      </c>
      <c r="M949" s="229">
        <f>Input!M$53*M370</f>
        <v>0</v>
      </c>
      <c r="N949" s="229">
        <f>Input!N$53*N370</f>
        <v>0</v>
      </c>
      <c r="O949" s="229">
        <f>Input!O$53*O370</f>
        <v>0</v>
      </c>
      <c r="P949" s="229">
        <f>Input!P$53*P370</f>
        <v>0</v>
      </c>
      <c r="Q949" s="229">
        <f>Input!Q$53*Q370</f>
        <v>0</v>
      </c>
      <c r="R949" s="229">
        <f>Input!R$53*R370</f>
        <v>0</v>
      </c>
      <c r="S949" s="229">
        <f>Input!S$53*S370</f>
        <v>0</v>
      </c>
      <c r="T949" s="229">
        <f>Input!T$53*T370</f>
        <v>0</v>
      </c>
      <c r="U949" s="229">
        <f>Input!U$53*U370</f>
        <v>0</v>
      </c>
      <c r="V949" s="229">
        <f>Input!V$53*V370</f>
        <v>0</v>
      </c>
      <c r="W949" s="229">
        <f>Input!W$53*W370</f>
        <v>0</v>
      </c>
      <c r="X949" s="229">
        <f>Input!X$53*X370</f>
        <v>0</v>
      </c>
      <c r="Y949" s="229">
        <f>Input!Y$53*Y370</f>
        <v>0</v>
      </c>
      <c r="Z949" s="229">
        <f>Input!Z$53*Z370</f>
        <v>0</v>
      </c>
      <c r="AA949" s="229">
        <f>Input!AA$53*AA370</f>
        <v>0</v>
      </c>
      <c r="AB949" s="229">
        <f>Input!AB$53*AB370</f>
        <v>0</v>
      </c>
      <c r="CH949" s="269"/>
      <c r="CI949" s="269"/>
      <c r="CJ949" s="269"/>
      <c r="CK949" s="269"/>
      <c r="CL949" s="269"/>
      <c r="CM949" s="269"/>
      <c r="CN949" s="269"/>
      <c r="CO949" s="269"/>
      <c r="CP949" s="269"/>
      <c r="CQ949" s="269"/>
      <c r="CR949" s="269"/>
      <c r="CS949" s="269"/>
    </row>
    <row r="950" spans="3:97" ht="12" customHeight="1" x14ac:dyDescent="0.3">
      <c r="C950" s="495">
        <f>C887</f>
        <v>974</v>
      </c>
      <c r="D950" s="229">
        <f>Input!D$53*D371</f>
        <v>0</v>
      </c>
      <c r="E950" s="229">
        <f>Input!E$53*E371</f>
        <v>0</v>
      </c>
      <c r="F950" s="229">
        <f>Input!F$53*F371</f>
        <v>0</v>
      </c>
      <c r="G950" s="229">
        <f>Input!G$53*G371</f>
        <v>0</v>
      </c>
      <c r="H950" s="229">
        <f>Input!H$53*H371</f>
        <v>0</v>
      </c>
      <c r="I950" s="229">
        <f>Input!I$53*I371</f>
        <v>0</v>
      </c>
      <c r="J950" s="229">
        <f>Input!J$53*J371</f>
        <v>0</v>
      </c>
      <c r="K950" s="229">
        <f>Input!K$53*K371</f>
        <v>0</v>
      </c>
      <c r="L950" s="229">
        <f>Input!L$53*L371</f>
        <v>0</v>
      </c>
      <c r="M950" s="229">
        <f>Input!M$53*M371</f>
        <v>0</v>
      </c>
      <c r="N950" s="229">
        <f>Input!N$53*N371</f>
        <v>0</v>
      </c>
      <c r="O950" s="229">
        <f>Input!O$53*O371</f>
        <v>0</v>
      </c>
      <c r="P950" s="229">
        <f>Input!P$53*P371</f>
        <v>0</v>
      </c>
      <c r="Q950" s="229">
        <f>Input!Q$53*Q371</f>
        <v>0</v>
      </c>
      <c r="R950" s="229">
        <f>Input!R$53*R371</f>
        <v>0</v>
      </c>
      <c r="S950" s="229">
        <f>Input!S$53*S371</f>
        <v>0</v>
      </c>
      <c r="T950" s="229">
        <f>Input!T$53*T371</f>
        <v>0</v>
      </c>
      <c r="U950" s="229">
        <f>Input!U$53*U371</f>
        <v>0</v>
      </c>
      <c r="V950" s="229">
        <f>Input!V$53*V371</f>
        <v>0</v>
      </c>
      <c r="W950" s="229">
        <f>Input!W$53*W371</f>
        <v>0</v>
      </c>
      <c r="X950" s="229">
        <f>Input!X$53*X371</f>
        <v>0</v>
      </c>
      <c r="Y950" s="229">
        <f>Input!Y$53*Y371</f>
        <v>0</v>
      </c>
      <c r="Z950" s="229">
        <f>Input!Z$53*Z371</f>
        <v>0</v>
      </c>
      <c r="AA950" s="229">
        <f>Input!AA$53*AA371</f>
        <v>0</v>
      </c>
      <c r="AB950" s="229">
        <f>Input!AB$53*AB371</f>
        <v>0</v>
      </c>
      <c r="CH950" s="269"/>
      <c r="CI950" s="269"/>
      <c r="CJ950" s="269"/>
      <c r="CK950" s="269"/>
      <c r="CL950" s="269"/>
      <c r="CM950" s="269"/>
      <c r="CN950" s="269"/>
      <c r="CO950" s="269"/>
      <c r="CP950" s="269"/>
      <c r="CQ950" s="269"/>
      <c r="CR950" s="269"/>
      <c r="CS950" s="269"/>
    </row>
    <row r="951" spans="3:97" ht="12" customHeight="1" x14ac:dyDescent="0.3">
      <c r="C951" s="495">
        <f>C888</f>
        <v>1004</v>
      </c>
      <c r="D951" s="229">
        <f>Input!D$53*D372</f>
        <v>0</v>
      </c>
      <c r="E951" s="229">
        <f>Input!E$53*E372</f>
        <v>0</v>
      </c>
      <c r="F951" s="229">
        <f>Input!F$53*F372</f>
        <v>0</v>
      </c>
      <c r="G951" s="229">
        <f>Input!G$53*G372</f>
        <v>0</v>
      </c>
      <c r="H951" s="229">
        <f>Input!H$53*H372</f>
        <v>0</v>
      </c>
      <c r="I951" s="229">
        <f>Input!I$53*I372</f>
        <v>0</v>
      </c>
      <c r="J951" s="229">
        <f>Input!J$53*J372</f>
        <v>0</v>
      </c>
      <c r="K951" s="229">
        <f>Input!K$53*K372</f>
        <v>0</v>
      </c>
      <c r="L951" s="229">
        <f>Input!L$53*L372</f>
        <v>0</v>
      </c>
      <c r="M951" s="229">
        <f>Input!M$53*M372</f>
        <v>0</v>
      </c>
      <c r="N951" s="229">
        <f>Input!N$53*N372</f>
        <v>0</v>
      </c>
      <c r="O951" s="229">
        <f>Input!O$53*O372</f>
        <v>0</v>
      </c>
      <c r="P951" s="229">
        <f>Input!P$53*P372</f>
        <v>0</v>
      </c>
      <c r="Q951" s="229">
        <f>Input!Q$53*Q372</f>
        <v>0</v>
      </c>
      <c r="R951" s="229">
        <f>Input!R$53*R372</f>
        <v>0</v>
      </c>
      <c r="S951" s="229">
        <f>Input!S$53*S372</f>
        <v>0</v>
      </c>
      <c r="T951" s="229">
        <f>Input!T$53*T372</f>
        <v>0</v>
      </c>
      <c r="U951" s="229">
        <f>Input!U$53*U372</f>
        <v>0</v>
      </c>
      <c r="V951" s="229">
        <f>Input!V$53*V372</f>
        <v>0</v>
      </c>
      <c r="W951" s="229">
        <f>Input!W$53*W372</f>
        <v>0</v>
      </c>
      <c r="X951" s="229">
        <f>Input!X$53*X372</f>
        <v>0</v>
      </c>
      <c r="Y951" s="229">
        <f>Input!Y$53*Y372</f>
        <v>0</v>
      </c>
      <c r="Z951" s="229">
        <f>Input!Z$53*Z372</f>
        <v>0</v>
      </c>
      <c r="AA951" s="229">
        <f>Input!AA$53*AA372</f>
        <v>0</v>
      </c>
      <c r="AB951" s="229">
        <f>Input!AB$53*AB372</f>
        <v>0</v>
      </c>
      <c r="CH951" s="269"/>
      <c r="CI951" s="269"/>
      <c r="CJ951" s="269"/>
      <c r="CK951" s="269"/>
      <c r="CL951" s="269"/>
      <c r="CM951" s="269"/>
      <c r="CN951" s="269"/>
      <c r="CO951" s="269"/>
      <c r="CP951" s="269"/>
      <c r="CQ951" s="269"/>
      <c r="CR951" s="269"/>
      <c r="CS951" s="269"/>
    </row>
    <row r="952" spans="3:97" ht="12" customHeight="1" x14ac:dyDescent="0.3">
      <c r="C952" s="495">
        <f>C889</f>
        <v>1035</v>
      </c>
      <c r="D952" s="229">
        <f>Input!D$53*D373</f>
        <v>0</v>
      </c>
      <c r="E952" s="229">
        <f>Input!E$53*E373</f>
        <v>0</v>
      </c>
      <c r="F952" s="229">
        <f>Input!F$53*F373</f>
        <v>0</v>
      </c>
      <c r="G952" s="229">
        <f>Input!G$53*G373</f>
        <v>0</v>
      </c>
      <c r="H952" s="229">
        <f>Input!H$53*H373</f>
        <v>0</v>
      </c>
      <c r="I952" s="229">
        <f>Input!I$53*I373</f>
        <v>0</v>
      </c>
      <c r="J952" s="229">
        <f>Input!J$53*J373</f>
        <v>0</v>
      </c>
      <c r="K952" s="229">
        <f>Input!K$53*K373</f>
        <v>0</v>
      </c>
      <c r="L952" s="229">
        <f>Input!L$53*L373</f>
        <v>0</v>
      </c>
      <c r="M952" s="229">
        <f>Input!M$53*M373</f>
        <v>0</v>
      </c>
      <c r="N952" s="229">
        <f>Input!N$53*N373</f>
        <v>0</v>
      </c>
      <c r="O952" s="229">
        <f>Input!O$53*O373</f>
        <v>0</v>
      </c>
      <c r="P952" s="229">
        <f>Input!P$53*P373</f>
        <v>0</v>
      </c>
      <c r="Q952" s="229">
        <f>Input!Q$53*Q373</f>
        <v>0</v>
      </c>
      <c r="R952" s="229">
        <f>Input!R$53*R373</f>
        <v>0</v>
      </c>
      <c r="S952" s="229">
        <f>Input!S$53*S373</f>
        <v>0</v>
      </c>
      <c r="T952" s="229">
        <f>Input!T$53*T373</f>
        <v>0</v>
      </c>
      <c r="U952" s="229">
        <f>Input!U$53*U373</f>
        <v>0</v>
      </c>
      <c r="V952" s="229">
        <f>Input!V$53*V373</f>
        <v>0</v>
      </c>
      <c r="W952" s="229">
        <f>Input!W$53*W373</f>
        <v>0</v>
      </c>
      <c r="X952" s="229">
        <f>Input!X$53*X373</f>
        <v>0</v>
      </c>
      <c r="Y952" s="229">
        <f>Input!Y$53*Y373</f>
        <v>0</v>
      </c>
      <c r="Z952" s="229">
        <f>Input!Z$53*Z373</f>
        <v>0</v>
      </c>
      <c r="AA952" s="229">
        <f>Input!AA$53*AA373</f>
        <v>0</v>
      </c>
      <c r="AB952" s="229">
        <f>Input!AB$53*AB373</f>
        <v>0</v>
      </c>
      <c r="CH952" s="269"/>
      <c r="CI952" s="269"/>
      <c r="CJ952" s="269"/>
      <c r="CK952" s="269"/>
      <c r="CL952" s="269"/>
      <c r="CM952" s="269"/>
      <c r="CN952" s="269"/>
      <c r="CO952" s="269"/>
      <c r="CP952" s="269"/>
      <c r="CQ952" s="269"/>
      <c r="CR952" s="269"/>
      <c r="CS952" s="269"/>
    </row>
    <row r="953" spans="3:97" ht="12" customHeight="1" x14ac:dyDescent="0.3">
      <c r="C953" s="495">
        <f>C890</f>
        <v>1065</v>
      </c>
      <c r="D953" s="229">
        <f>Input!D$53*D374</f>
        <v>0</v>
      </c>
      <c r="E953" s="229">
        <f>Input!E$53*E374</f>
        <v>0</v>
      </c>
      <c r="F953" s="229">
        <f>Input!F$53*F374</f>
        <v>0</v>
      </c>
      <c r="G953" s="229">
        <f>Input!G$53*G374</f>
        <v>0</v>
      </c>
      <c r="H953" s="229">
        <f>Input!H$53*H374</f>
        <v>0</v>
      </c>
      <c r="I953" s="229">
        <f>Input!I$53*I374</f>
        <v>0</v>
      </c>
      <c r="J953" s="229">
        <f>Input!J$53*J374</f>
        <v>0</v>
      </c>
      <c r="K953" s="229">
        <f>Input!K$53*K374</f>
        <v>0</v>
      </c>
      <c r="L953" s="229">
        <f>Input!L$53*L374</f>
        <v>0</v>
      </c>
      <c r="M953" s="229">
        <f>Input!M$53*M374</f>
        <v>0</v>
      </c>
      <c r="N953" s="229">
        <f>Input!N$53*N374</f>
        <v>0</v>
      </c>
      <c r="O953" s="229">
        <f>Input!O$53*O374</f>
        <v>0</v>
      </c>
      <c r="P953" s="229">
        <f>Input!P$53*P374</f>
        <v>0</v>
      </c>
      <c r="Q953" s="229">
        <f>Input!Q$53*Q374</f>
        <v>0</v>
      </c>
      <c r="R953" s="229">
        <f>Input!R$53*R374</f>
        <v>0</v>
      </c>
      <c r="S953" s="229">
        <f>Input!S$53*S374</f>
        <v>0</v>
      </c>
      <c r="T953" s="229">
        <f>Input!T$53*T374</f>
        <v>0</v>
      </c>
      <c r="U953" s="229">
        <f>Input!U$53*U374</f>
        <v>0</v>
      </c>
      <c r="V953" s="229">
        <f>Input!V$53*V374</f>
        <v>0</v>
      </c>
      <c r="W953" s="229">
        <f>Input!W$53*W374</f>
        <v>0</v>
      </c>
      <c r="X953" s="229">
        <f>Input!X$53*X374</f>
        <v>0</v>
      </c>
      <c r="Y953" s="229">
        <f>Input!Y$53*Y374</f>
        <v>0</v>
      </c>
      <c r="Z953" s="229">
        <f>Input!Z$53*Z374</f>
        <v>0</v>
      </c>
      <c r="AA953" s="229">
        <f>Input!AA$53*AA374</f>
        <v>0</v>
      </c>
      <c r="AB953" s="229">
        <f>Input!AB$53*AB374</f>
        <v>0</v>
      </c>
      <c r="CH953" s="269"/>
      <c r="CI953" s="269"/>
      <c r="CJ953" s="269"/>
      <c r="CK953" s="269"/>
      <c r="CL953" s="269"/>
      <c r="CM953" s="269"/>
      <c r="CN953" s="269"/>
      <c r="CO953" s="269"/>
      <c r="CP953" s="269"/>
      <c r="CQ953" s="269"/>
      <c r="CR953" s="269"/>
      <c r="CS953" s="269"/>
    </row>
    <row r="954" spans="3:97" ht="12" customHeight="1" thickBot="1" x14ac:dyDescent="0.35">
      <c r="C954" s="639">
        <f>C891</f>
        <v>1096</v>
      </c>
      <c r="D954" s="302">
        <f>Input!D$53*D375</f>
        <v>0</v>
      </c>
      <c r="E954" s="302">
        <f>Input!E$53*E375</f>
        <v>0</v>
      </c>
      <c r="F954" s="302">
        <f>Input!F$53*F375</f>
        <v>0</v>
      </c>
      <c r="G954" s="302">
        <f>Input!G$53*G375</f>
        <v>0</v>
      </c>
      <c r="H954" s="302">
        <f>Input!H$53*H375</f>
        <v>0</v>
      </c>
      <c r="I954" s="302">
        <f>Input!I$53*I375</f>
        <v>0</v>
      </c>
      <c r="J954" s="302">
        <f>Input!J$53*J375</f>
        <v>0</v>
      </c>
      <c r="K954" s="302">
        <f>Input!K$53*K375</f>
        <v>0</v>
      </c>
      <c r="L954" s="302">
        <f>Input!L$53*L375</f>
        <v>0</v>
      </c>
      <c r="M954" s="302">
        <f>Input!M$53*M375</f>
        <v>0</v>
      </c>
      <c r="N954" s="302">
        <f>Input!N$53*N375</f>
        <v>0</v>
      </c>
      <c r="O954" s="302">
        <f>Input!O$53*O375</f>
        <v>0</v>
      </c>
      <c r="P954" s="302">
        <f>Input!P$53*P375</f>
        <v>0</v>
      </c>
      <c r="Q954" s="302">
        <f>Input!Q$53*Q375</f>
        <v>0</v>
      </c>
      <c r="R954" s="302">
        <f>Input!R$53*R375</f>
        <v>0</v>
      </c>
      <c r="S954" s="302">
        <f>Input!S$53*S375</f>
        <v>0</v>
      </c>
      <c r="T954" s="302">
        <f>Input!T$53*T375</f>
        <v>0</v>
      </c>
      <c r="U954" s="302">
        <f>Input!U$53*U375</f>
        <v>0</v>
      </c>
      <c r="V954" s="302">
        <f>Input!V$53*V375</f>
        <v>0</v>
      </c>
      <c r="W954" s="302">
        <f>Input!W$53*W375</f>
        <v>0</v>
      </c>
      <c r="X954" s="302">
        <f>Input!X$53*X375</f>
        <v>0</v>
      </c>
      <c r="Y954" s="302">
        <f>Input!Y$53*Y375</f>
        <v>0</v>
      </c>
      <c r="Z954" s="302">
        <f>Input!Z$53*Z375</f>
        <v>0</v>
      </c>
      <c r="AA954" s="302">
        <f>Input!AA$53*AA375</f>
        <v>0</v>
      </c>
      <c r="AB954" s="302">
        <f>Input!AB$53*AB375</f>
        <v>0</v>
      </c>
      <c r="CH954" s="269"/>
      <c r="CI954" s="269"/>
      <c r="CJ954" s="269"/>
      <c r="CK954" s="269"/>
      <c r="CL954" s="269"/>
      <c r="CM954" s="269"/>
      <c r="CN954" s="269"/>
      <c r="CO954" s="269"/>
      <c r="CP954" s="269"/>
      <c r="CQ954" s="269"/>
      <c r="CR954" s="269"/>
      <c r="CS954" s="269"/>
    </row>
    <row r="955" spans="3:97" ht="12" customHeight="1" x14ac:dyDescent="0.3">
      <c r="C955" s="638">
        <f>C892</f>
        <v>1127</v>
      </c>
      <c r="D955" s="299">
        <f>IF(Years="Five",Input!D$53*D376,0)</f>
        <v>0</v>
      </c>
      <c r="E955" s="231">
        <f>IF(Years="Five",Input!E$53*E376,0)</f>
        <v>0</v>
      </c>
      <c r="F955" s="231">
        <f>IF(Years="Five",Input!F$53*F376,0)</f>
        <v>0</v>
      </c>
      <c r="G955" s="231">
        <f>IF(Years="Five",Input!G$53*G376,0)</f>
        <v>0</v>
      </c>
      <c r="H955" s="231">
        <f>IF(Years="Five",Input!H$53*H376,0)</f>
        <v>0</v>
      </c>
      <c r="I955" s="231">
        <f>IF(Years="Five",Input!I$53*I376,0)</f>
        <v>0</v>
      </c>
      <c r="J955" s="231">
        <f>IF(Years="Five",Input!J$53*J376,0)</f>
        <v>0</v>
      </c>
      <c r="K955" s="231">
        <f>IF(Years="Five",Input!K$53*K376,0)</f>
        <v>0</v>
      </c>
      <c r="L955" s="231">
        <f>IF(Years="Five",Input!L$53*L376,0)</f>
        <v>0</v>
      </c>
      <c r="M955" s="231">
        <f>IF(Years="Five",Input!M$53*M376,0)</f>
        <v>0</v>
      </c>
      <c r="N955" s="231">
        <f>IF(Years="Five",Input!N$53*N376,0)</f>
        <v>0</v>
      </c>
      <c r="O955" s="231">
        <f>IF(Years="Five",Input!O$53*O376,0)</f>
        <v>0</v>
      </c>
      <c r="P955" s="231">
        <f>IF(Years="Five",Input!P$53*P376,0)</f>
        <v>0</v>
      </c>
      <c r="Q955" s="231">
        <f>IF(Years="Five",Input!Q$53*Q376,0)</f>
        <v>0</v>
      </c>
      <c r="R955" s="231">
        <f>IF(Years="Five",Input!R$53*R376,0)</f>
        <v>0</v>
      </c>
      <c r="S955" s="231">
        <f>IF(Years="Five",Input!S$53*S376,0)</f>
        <v>0</v>
      </c>
      <c r="T955" s="231">
        <f>IF(Years="Five",Input!T$53*T376,0)</f>
        <v>0</v>
      </c>
      <c r="U955" s="231">
        <f>IF(Years="Five",Input!U$53*U376,0)</f>
        <v>0</v>
      </c>
      <c r="V955" s="231">
        <f>IF(Years="Five",Input!V$53*V376,0)</f>
        <v>0</v>
      </c>
      <c r="W955" s="231">
        <f>IF(Years="Five",Input!W$53*W376,0)</f>
        <v>0</v>
      </c>
      <c r="X955" s="231">
        <f>IF(Years="Five",Input!X$53*X376,0)</f>
        <v>0</v>
      </c>
      <c r="Y955" s="231">
        <f>IF(Years="Five",Input!Y$53*Y376,0)</f>
        <v>0</v>
      </c>
      <c r="Z955" s="231">
        <f>IF(Years="Five",Input!Z$53*Z376,0)</f>
        <v>0</v>
      </c>
      <c r="AA955" s="231">
        <f>IF(Years="Five",Input!AA$53*AA376,0)</f>
        <v>0</v>
      </c>
      <c r="AB955" s="300">
        <f>IF(Years="Five",Input!AB$53*AB376,0)</f>
        <v>0</v>
      </c>
      <c r="CH955" s="269"/>
      <c r="CI955" s="269"/>
      <c r="CJ955" s="269"/>
      <c r="CK955" s="269"/>
      <c r="CL955" s="269"/>
      <c r="CM955" s="269"/>
      <c r="CN955" s="269"/>
      <c r="CO955" s="269"/>
      <c r="CP955" s="269"/>
      <c r="CQ955" s="269"/>
      <c r="CR955" s="269"/>
      <c r="CS955" s="269"/>
    </row>
    <row r="956" spans="3:97" ht="12" customHeight="1" x14ac:dyDescent="0.3">
      <c r="C956" s="638">
        <f>C893</f>
        <v>1155</v>
      </c>
      <c r="D956" s="297">
        <f>Input!D$53*D377</f>
        <v>0</v>
      </c>
      <c r="E956" s="229">
        <f>Input!E$53*E377</f>
        <v>0</v>
      </c>
      <c r="F956" s="229">
        <f>Input!F$53*F377</f>
        <v>0</v>
      </c>
      <c r="G956" s="229">
        <f>Input!G$53*G377</f>
        <v>0</v>
      </c>
      <c r="H956" s="229">
        <f>Input!H$53*H377</f>
        <v>0</v>
      </c>
      <c r="I956" s="229">
        <f>Input!I$53*I377</f>
        <v>0</v>
      </c>
      <c r="J956" s="229">
        <f>Input!J$53*J377</f>
        <v>0</v>
      </c>
      <c r="K956" s="229">
        <f>Input!K$53*K377</f>
        <v>0</v>
      </c>
      <c r="L956" s="229">
        <f>Input!L$53*L377</f>
        <v>0</v>
      </c>
      <c r="M956" s="229">
        <f>Input!M$53*M377</f>
        <v>0</v>
      </c>
      <c r="N956" s="229">
        <f>Input!N$53*N377</f>
        <v>0</v>
      </c>
      <c r="O956" s="229">
        <f>Input!O$53*O377</f>
        <v>0</v>
      </c>
      <c r="P956" s="229">
        <f>Input!P$53*P377</f>
        <v>0</v>
      </c>
      <c r="Q956" s="229">
        <f>Input!Q$53*Q377</f>
        <v>0</v>
      </c>
      <c r="R956" s="229">
        <f>Input!R$53*R377</f>
        <v>0</v>
      </c>
      <c r="S956" s="229">
        <f>Input!S$53*S377</f>
        <v>0</v>
      </c>
      <c r="T956" s="229">
        <f>Input!T$53*T377</f>
        <v>0</v>
      </c>
      <c r="U956" s="229">
        <f>Input!U$53*U377</f>
        <v>0</v>
      </c>
      <c r="V956" s="229">
        <f>Input!V$53*V377</f>
        <v>0</v>
      </c>
      <c r="W956" s="229">
        <f>Input!W$53*W377</f>
        <v>0</v>
      </c>
      <c r="X956" s="229">
        <f>Input!X$53*X377</f>
        <v>0</v>
      </c>
      <c r="Y956" s="229">
        <f>Input!Y$53*Y377</f>
        <v>0</v>
      </c>
      <c r="Z956" s="229">
        <f>Input!Z$53*Z377</f>
        <v>0</v>
      </c>
      <c r="AA956" s="229">
        <f>Input!AA$53*AA377</f>
        <v>0</v>
      </c>
      <c r="AB956" s="298">
        <f>Input!AB$53*AB377</f>
        <v>0</v>
      </c>
      <c r="CH956" s="269"/>
      <c r="CI956" s="269"/>
      <c r="CJ956" s="269"/>
      <c r="CK956" s="269"/>
      <c r="CL956" s="269"/>
      <c r="CM956" s="269"/>
      <c r="CN956" s="269"/>
      <c r="CO956" s="269"/>
      <c r="CP956" s="269"/>
      <c r="CQ956" s="269"/>
      <c r="CR956" s="269"/>
      <c r="CS956" s="269"/>
    </row>
    <row r="957" spans="3:97" ht="12" customHeight="1" x14ac:dyDescent="0.3">
      <c r="C957" s="638">
        <f>C894</f>
        <v>1186</v>
      </c>
      <c r="D957" s="297">
        <f>Input!D$53*D378</f>
        <v>0</v>
      </c>
      <c r="E957" s="229">
        <f>Input!E$53*E378</f>
        <v>0</v>
      </c>
      <c r="F957" s="229">
        <f>Input!F$53*F378</f>
        <v>0</v>
      </c>
      <c r="G957" s="229">
        <f>Input!G$53*G378</f>
        <v>0</v>
      </c>
      <c r="H957" s="229">
        <f>Input!H$53*H378</f>
        <v>0</v>
      </c>
      <c r="I957" s="229">
        <f>Input!I$53*I378</f>
        <v>0</v>
      </c>
      <c r="J957" s="229">
        <f>Input!J$53*J378</f>
        <v>0</v>
      </c>
      <c r="K957" s="229">
        <f>Input!K$53*K378</f>
        <v>0</v>
      </c>
      <c r="L957" s="229">
        <f>Input!L$53*L378</f>
        <v>0</v>
      </c>
      <c r="M957" s="229">
        <f>Input!M$53*M378</f>
        <v>0</v>
      </c>
      <c r="N957" s="229">
        <f>Input!N$53*N378</f>
        <v>0</v>
      </c>
      <c r="O957" s="229">
        <f>Input!O$53*O378</f>
        <v>0</v>
      </c>
      <c r="P957" s="229">
        <f>Input!P$53*P378</f>
        <v>0</v>
      </c>
      <c r="Q957" s="229">
        <f>Input!Q$53*Q378</f>
        <v>0</v>
      </c>
      <c r="R957" s="229">
        <f>Input!R$53*R378</f>
        <v>0</v>
      </c>
      <c r="S957" s="229">
        <f>Input!S$53*S378</f>
        <v>0</v>
      </c>
      <c r="T957" s="229">
        <f>Input!T$53*T378</f>
        <v>0</v>
      </c>
      <c r="U957" s="229">
        <f>Input!U$53*U378</f>
        <v>0</v>
      </c>
      <c r="V957" s="229">
        <f>Input!V$53*V378</f>
        <v>0</v>
      </c>
      <c r="W957" s="229">
        <f>Input!W$53*W378</f>
        <v>0</v>
      </c>
      <c r="X957" s="229">
        <f>Input!X$53*X378</f>
        <v>0</v>
      </c>
      <c r="Y957" s="229">
        <f>Input!Y$53*Y378</f>
        <v>0</v>
      </c>
      <c r="Z957" s="229">
        <f>Input!Z$53*Z378</f>
        <v>0</v>
      </c>
      <c r="AA957" s="229">
        <f>Input!AA$53*AA378</f>
        <v>0</v>
      </c>
      <c r="AB957" s="298">
        <f>Input!AB$53*AB378</f>
        <v>0</v>
      </c>
      <c r="CH957" s="269"/>
      <c r="CI957" s="269"/>
      <c r="CJ957" s="269"/>
      <c r="CK957" s="269"/>
      <c r="CL957" s="269"/>
      <c r="CM957" s="269"/>
      <c r="CN957" s="269"/>
      <c r="CO957" s="269"/>
      <c r="CP957" s="269"/>
      <c r="CQ957" s="269"/>
      <c r="CR957" s="269"/>
      <c r="CS957" s="269"/>
    </row>
    <row r="958" spans="3:97" ht="12" customHeight="1" x14ac:dyDescent="0.3">
      <c r="C958" s="638">
        <f>C895</f>
        <v>1216</v>
      </c>
      <c r="D958" s="297">
        <f>Input!D$53*D379</f>
        <v>0</v>
      </c>
      <c r="E958" s="229">
        <f>Input!E$53*E379</f>
        <v>0</v>
      </c>
      <c r="F958" s="229">
        <f>Input!F$53*F379</f>
        <v>0</v>
      </c>
      <c r="G958" s="229">
        <f>Input!G$53*G379</f>
        <v>0</v>
      </c>
      <c r="H958" s="229">
        <f>Input!H$53*H379</f>
        <v>0</v>
      </c>
      <c r="I958" s="229">
        <f>Input!I$53*I379</f>
        <v>0</v>
      </c>
      <c r="J958" s="229">
        <f>Input!J$53*J379</f>
        <v>0</v>
      </c>
      <c r="K958" s="229">
        <f>Input!K$53*K379</f>
        <v>0</v>
      </c>
      <c r="L958" s="229">
        <f>Input!L$53*L379</f>
        <v>0</v>
      </c>
      <c r="M958" s="229">
        <f>Input!M$53*M379</f>
        <v>0</v>
      </c>
      <c r="N958" s="229">
        <f>Input!N$53*N379</f>
        <v>0</v>
      </c>
      <c r="O958" s="229">
        <f>Input!O$53*O379</f>
        <v>0</v>
      </c>
      <c r="P958" s="229">
        <f>Input!P$53*P379</f>
        <v>0</v>
      </c>
      <c r="Q958" s="229">
        <f>Input!Q$53*Q379</f>
        <v>0</v>
      </c>
      <c r="R958" s="229">
        <f>Input!R$53*R379</f>
        <v>0</v>
      </c>
      <c r="S958" s="229">
        <f>Input!S$53*S379</f>
        <v>0</v>
      </c>
      <c r="T958" s="229">
        <f>Input!T$53*T379</f>
        <v>0</v>
      </c>
      <c r="U958" s="229">
        <f>Input!U$53*U379</f>
        <v>0</v>
      </c>
      <c r="V958" s="229">
        <f>Input!V$53*V379</f>
        <v>0</v>
      </c>
      <c r="W958" s="229">
        <f>Input!W$53*W379</f>
        <v>0</v>
      </c>
      <c r="X958" s="229">
        <f>Input!X$53*X379</f>
        <v>0</v>
      </c>
      <c r="Y958" s="229">
        <f>Input!Y$53*Y379</f>
        <v>0</v>
      </c>
      <c r="Z958" s="229">
        <f>Input!Z$53*Z379</f>
        <v>0</v>
      </c>
      <c r="AA958" s="229">
        <f>Input!AA$53*AA379</f>
        <v>0</v>
      </c>
      <c r="AB958" s="298">
        <f>Input!AB$53*AB379</f>
        <v>0</v>
      </c>
      <c r="CH958" s="269"/>
      <c r="CI958" s="269"/>
      <c r="CJ958" s="269"/>
      <c r="CK958" s="269"/>
      <c r="CL958" s="269"/>
      <c r="CM958" s="269"/>
      <c r="CN958" s="269"/>
      <c r="CO958" s="269"/>
      <c r="CP958" s="269"/>
      <c r="CQ958" s="269"/>
      <c r="CR958" s="269"/>
      <c r="CS958" s="269"/>
    </row>
    <row r="959" spans="3:97" ht="12" customHeight="1" x14ac:dyDescent="0.3">
      <c r="C959" s="638">
        <f>C896</f>
        <v>1247</v>
      </c>
      <c r="D959" s="297">
        <f>Input!D$53*D380</f>
        <v>0</v>
      </c>
      <c r="E959" s="229">
        <f>Input!E$53*E380</f>
        <v>0</v>
      </c>
      <c r="F959" s="229">
        <f>Input!F$53*F380</f>
        <v>0</v>
      </c>
      <c r="G959" s="229">
        <f>Input!G$53*G380</f>
        <v>0</v>
      </c>
      <c r="H959" s="229">
        <f>Input!H$53*H380</f>
        <v>0</v>
      </c>
      <c r="I959" s="229">
        <f>Input!I$53*I380</f>
        <v>0</v>
      </c>
      <c r="J959" s="229">
        <f>Input!J$53*J380</f>
        <v>0</v>
      </c>
      <c r="K959" s="229">
        <f>Input!K$53*K380</f>
        <v>0</v>
      </c>
      <c r="L959" s="229">
        <f>Input!L$53*L380</f>
        <v>0</v>
      </c>
      <c r="M959" s="229">
        <f>Input!M$53*M380</f>
        <v>0</v>
      </c>
      <c r="N959" s="229">
        <f>Input!N$53*N380</f>
        <v>0</v>
      </c>
      <c r="O959" s="229">
        <f>Input!O$53*O380</f>
        <v>0</v>
      </c>
      <c r="P959" s="229">
        <f>Input!P$53*P380</f>
        <v>0</v>
      </c>
      <c r="Q959" s="229">
        <f>Input!Q$53*Q380</f>
        <v>0</v>
      </c>
      <c r="R959" s="229">
        <f>Input!R$53*R380</f>
        <v>0</v>
      </c>
      <c r="S959" s="229">
        <f>Input!S$53*S380</f>
        <v>0</v>
      </c>
      <c r="T959" s="229">
        <f>Input!T$53*T380</f>
        <v>0</v>
      </c>
      <c r="U959" s="229">
        <f>Input!U$53*U380</f>
        <v>0</v>
      </c>
      <c r="V959" s="229">
        <f>Input!V$53*V380</f>
        <v>0</v>
      </c>
      <c r="W959" s="229">
        <f>Input!W$53*W380</f>
        <v>0</v>
      </c>
      <c r="X959" s="229">
        <f>Input!X$53*X380</f>
        <v>0</v>
      </c>
      <c r="Y959" s="229">
        <f>Input!Y$53*Y380</f>
        <v>0</v>
      </c>
      <c r="Z959" s="229">
        <f>Input!Z$53*Z380</f>
        <v>0</v>
      </c>
      <c r="AA959" s="229">
        <f>Input!AA$53*AA380</f>
        <v>0</v>
      </c>
      <c r="AB959" s="298">
        <f>Input!AB$53*AB380</f>
        <v>0</v>
      </c>
      <c r="CH959" s="269"/>
      <c r="CI959" s="269"/>
      <c r="CJ959" s="269"/>
      <c r="CK959" s="269"/>
      <c r="CL959" s="269"/>
      <c r="CM959" s="269"/>
      <c r="CN959" s="269"/>
      <c r="CO959" s="269"/>
      <c r="CP959" s="269"/>
      <c r="CQ959" s="269"/>
      <c r="CR959" s="269"/>
      <c r="CS959" s="269"/>
    </row>
    <row r="960" spans="3:97" ht="12" customHeight="1" x14ac:dyDescent="0.3">
      <c r="C960" s="638">
        <f>C897</f>
        <v>1277</v>
      </c>
      <c r="D960" s="297">
        <f>Input!D$53*D381</f>
        <v>0</v>
      </c>
      <c r="E960" s="229">
        <f>Input!E$53*E381</f>
        <v>0</v>
      </c>
      <c r="F960" s="229">
        <f>Input!F$53*F381</f>
        <v>0</v>
      </c>
      <c r="G960" s="229">
        <f>Input!G$53*G381</f>
        <v>0</v>
      </c>
      <c r="H960" s="229">
        <f>Input!H$53*H381</f>
        <v>0</v>
      </c>
      <c r="I960" s="229">
        <f>Input!I$53*I381</f>
        <v>0</v>
      </c>
      <c r="J960" s="229">
        <f>Input!J$53*J381</f>
        <v>0</v>
      </c>
      <c r="K960" s="229">
        <f>Input!K$53*K381</f>
        <v>0</v>
      </c>
      <c r="L960" s="229">
        <f>Input!L$53*L381</f>
        <v>0</v>
      </c>
      <c r="M960" s="229">
        <f>Input!M$53*M381</f>
        <v>0</v>
      </c>
      <c r="N960" s="229">
        <f>Input!N$53*N381</f>
        <v>0</v>
      </c>
      <c r="O960" s="229">
        <f>Input!O$53*O381</f>
        <v>0</v>
      </c>
      <c r="P960" s="229">
        <f>Input!P$53*P381</f>
        <v>0</v>
      </c>
      <c r="Q960" s="229">
        <f>Input!Q$53*Q381</f>
        <v>0</v>
      </c>
      <c r="R960" s="229">
        <f>Input!R$53*R381</f>
        <v>0</v>
      </c>
      <c r="S960" s="229">
        <f>Input!S$53*S381</f>
        <v>0</v>
      </c>
      <c r="T960" s="229">
        <f>Input!T$53*T381</f>
        <v>0</v>
      </c>
      <c r="U960" s="229">
        <f>Input!U$53*U381</f>
        <v>0</v>
      </c>
      <c r="V960" s="229">
        <f>Input!V$53*V381</f>
        <v>0</v>
      </c>
      <c r="W960" s="229">
        <f>Input!W$53*W381</f>
        <v>0</v>
      </c>
      <c r="X960" s="229">
        <f>Input!X$53*X381</f>
        <v>0</v>
      </c>
      <c r="Y960" s="229">
        <f>Input!Y$53*Y381</f>
        <v>0</v>
      </c>
      <c r="Z960" s="229">
        <f>Input!Z$53*Z381</f>
        <v>0</v>
      </c>
      <c r="AA960" s="229">
        <f>Input!AA$53*AA381</f>
        <v>0</v>
      </c>
      <c r="AB960" s="298">
        <f>Input!AB$53*AB381</f>
        <v>0</v>
      </c>
      <c r="CH960" s="269"/>
      <c r="CI960" s="269"/>
      <c r="CJ960" s="269"/>
      <c r="CK960" s="269"/>
      <c r="CL960" s="269"/>
      <c r="CM960" s="269"/>
      <c r="CN960" s="269"/>
      <c r="CO960" s="269"/>
      <c r="CP960" s="269"/>
      <c r="CQ960" s="269"/>
      <c r="CR960" s="269"/>
      <c r="CS960" s="269"/>
    </row>
    <row r="961" spans="3:97" ht="12" customHeight="1" x14ac:dyDescent="0.3">
      <c r="C961" s="638">
        <f>C898</f>
        <v>1308</v>
      </c>
      <c r="D961" s="297">
        <f>Input!D$53*D382</f>
        <v>0</v>
      </c>
      <c r="E961" s="229">
        <f>Input!E$53*E382</f>
        <v>0</v>
      </c>
      <c r="F961" s="229">
        <f>Input!F$53*F382</f>
        <v>0</v>
      </c>
      <c r="G961" s="229">
        <f>Input!G$53*G382</f>
        <v>0</v>
      </c>
      <c r="H961" s="229">
        <f>Input!H$53*H382</f>
        <v>0</v>
      </c>
      <c r="I961" s="229">
        <f>Input!I$53*I382</f>
        <v>0</v>
      </c>
      <c r="J961" s="229">
        <f>Input!J$53*J382</f>
        <v>0</v>
      </c>
      <c r="K961" s="229">
        <f>Input!K$53*K382</f>
        <v>0</v>
      </c>
      <c r="L961" s="229">
        <f>Input!L$53*L382</f>
        <v>0</v>
      </c>
      <c r="M961" s="229">
        <f>Input!M$53*M382</f>
        <v>0</v>
      </c>
      <c r="N961" s="229">
        <f>Input!N$53*N382</f>
        <v>0</v>
      </c>
      <c r="O961" s="229">
        <f>Input!O$53*O382</f>
        <v>0</v>
      </c>
      <c r="P961" s="229">
        <f>Input!P$53*P382</f>
        <v>0</v>
      </c>
      <c r="Q961" s="229">
        <f>Input!Q$53*Q382</f>
        <v>0</v>
      </c>
      <c r="R961" s="229">
        <f>Input!R$53*R382</f>
        <v>0</v>
      </c>
      <c r="S961" s="229">
        <f>Input!S$53*S382</f>
        <v>0</v>
      </c>
      <c r="T961" s="229">
        <f>Input!T$53*T382</f>
        <v>0</v>
      </c>
      <c r="U961" s="229">
        <f>Input!U$53*U382</f>
        <v>0</v>
      </c>
      <c r="V961" s="229">
        <f>Input!V$53*V382</f>
        <v>0</v>
      </c>
      <c r="W961" s="229">
        <f>Input!W$53*W382</f>
        <v>0</v>
      </c>
      <c r="X961" s="229">
        <f>Input!X$53*X382</f>
        <v>0</v>
      </c>
      <c r="Y961" s="229">
        <f>Input!Y$53*Y382</f>
        <v>0</v>
      </c>
      <c r="Z961" s="229">
        <f>Input!Z$53*Z382</f>
        <v>0</v>
      </c>
      <c r="AA961" s="229">
        <f>Input!AA$53*AA382</f>
        <v>0</v>
      </c>
      <c r="AB961" s="298">
        <f>Input!AB$53*AB382</f>
        <v>0</v>
      </c>
      <c r="CH961" s="269"/>
      <c r="CI961" s="269"/>
      <c r="CJ961" s="269"/>
      <c r="CK961" s="269"/>
      <c r="CL961" s="269"/>
      <c r="CM961" s="269"/>
      <c r="CN961" s="269"/>
      <c r="CO961" s="269"/>
      <c r="CP961" s="269"/>
      <c r="CQ961" s="269"/>
      <c r="CR961" s="269"/>
      <c r="CS961" s="269"/>
    </row>
    <row r="962" spans="3:97" ht="12" customHeight="1" x14ac:dyDescent="0.3">
      <c r="C962" s="638">
        <f>C899</f>
        <v>1339</v>
      </c>
      <c r="D962" s="297">
        <f>Input!D$53*D383</f>
        <v>0</v>
      </c>
      <c r="E962" s="229">
        <f>Input!E$53*E383</f>
        <v>0</v>
      </c>
      <c r="F962" s="229">
        <f>Input!F$53*F383</f>
        <v>0</v>
      </c>
      <c r="G962" s="229">
        <f>Input!G$53*G383</f>
        <v>0</v>
      </c>
      <c r="H962" s="229">
        <f>Input!H$53*H383</f>
        <v>0</v>
      </c>
      <c r="I962" s="229">
        <f>Input!I$53*I383</f>
        <v>0</v>
      </c>
      <c r="J962" s="229">
        <f>Input!J$53*J383</f>
        <v>0</v>
      </c>
      <c r="K962" s="229">
        <f>Input!K$53*K383</f>
        <v>0</v>
      </c>
      <c r="L962" s="229">
        <f>Input!L$53*L383</f>
        <v>0</v>
      </c>
      <c r="M962" s="229">
        <f>Input!M$53*M383</f>
        <v>0</v>
      </c>
      <c r="N962" s="229">
        <f>Input!N$53*N383</f>
        <v>0</v>
      </c>
      <c r="O962" s="229">
        <f>Input!O$53*O383</f>
        <v>0</v>
      </c>
      <c r="P962" s="229">
        <f>Input!P$53*P383</f>
        <v>0</v>
      </c>
      <c r="Q962" s="229">
        <f>Input!Q$53*Q383</f>
        <v>0</v>
      </c>
      <c r="R962" s="229">
        <f>Input!R$53*R383</f>
        <v>0</v>
      </c>
      <c r="S962" s="229">
        <f>Input!S$53*S383</f>
        <v>0</v>
      </c>
      <c r="T962" s="229">
        <f>Input!T$53*T383</f>
        <v>0</v>
      </c>
      <c r="U962" s="229">
        <f>Input!U$53*U383</f>
        <v>0</v>
      </c>
      <c r="V962" s="229">
        <f>Input!V$53*V383</f>
        <v>0</v>
      </c>
      <c r="W962" s="229">
        <f>Input!W$53*W383</f>
        <v>0</v>
      </c>
      <c r="X962" s="229">
        <f>Input!X$53*X383</f>
        <v>0</v>
      </c>
      <c r="Y962" s="229">
        <f>Input!Y$53*Y383</f>
        <v>0</v>
      </c>
      <c r="Z962" s="229">
        <f>Input!Z$53*Z383</f>
        <v>0</v>
      </c>
      <c r="AA962" s="229">
        <f>Input!AA$53*AA383</f>
        <v>0</v>
      </c>
      <c r="AB962" s="298">
        <f>Input!AB$53*AB383</f>
        <v>0</v>
      </c>
      <c r="CH962" s="269"/>
      <c r="CI962" s="269"/>
      <c r="CJ962" s="269"/>
      <c r="CK962" s="269"/>
      <c r="CL962" s="269"/>
      <c r="CM962" s="269"/>
      <c r="CN962" s="269"/>
      <c r="CO962" s="269"/>
      <c r="CP962" s="269"/>
      <c r="CQ962" s="269"/>
      <c r="CR962" s="269"/>
      <c r="CS962" s="269"/>
    </row>
    <row r="963" spans="3:97" ht="12" customHeight="1" x14ac:dyDescent="0.3">
      <c r="C963" s="638">
        <f>C900</f>
        <v>1369</v>
      </c>
      <c r="D963" s="297">
        <f>Input!D$53*D384</f>
        <v>0</v>
      </c>
      <c r="E963" s="229">
        <f>Input!E$53*E384</f>
        <v>0</v>
      </c>
      <c r="F963" s="229">
        <f>Input!F$53*F384</f>
        <v>0</v>
      </c>
      <c r="G963" s="229">
        <f>Input!G$53*G384</f>
        <v>0</v>
      </c>
      <c r="H963" s="229">
        <f>Input!H$53*H384</f>
        <v>0</v>
      </c>
      <c r="I963" s="229">
        <f>Input!I$53*I384</f>
        <v>0</v>
      </c>
      <c r="J963" s="229">
        <f>Input!J$53*J384</f>
        <v>0</v>
      </c>
      <c r="K963" s="229">
        <f>Input!K$53*K384</f>
        <v>0</v>
      </c>
      <c r="L963" s="229">
        <f>Input!L$53*L384</f>
        <v>0</v>
      </c>
      <c r="M963" s="229">
        <f>Input!M$53*M384</f>
        <v>0</v>
      </c>
      <c r="N963" s="229">
        <f>Input!N$53*N384</f>
        <v>0</v>
      </c>
      <c r="O963" s="229">
        <f>Input!O$53*O384</f>
        <v>0</v>
      </c>
      <c r="P963" s="229">
        <f>Input!P$53*P384</f>
        <v>0</v>
      </c>
      <c r="Q963" s="229">
        <f>Input!Q$53*Q384</f>
        <v>0</v>
      </c>
      <c r="R963" s="229">
        <f>Input!R$53*R384</f>
        <v>0</v>
      </c>
      <c r="S963" s="229">
        <f>Input!S$53*S384</f>
        <v>0</v>
      </c>
      <c r="T963" s="229">
        <f>Input!T$53*T384</f>
        <v>0</v>
      </c>
      <c r="U963" s="229">
        <f>Input!U$53*U384</f>
        <v>0</v>
      </c>
      <c r="V963" s="229">
        <f>Input!V$53*V384</f>
        <v>0</v>
      </c>
      <c r="W963" s="229">
        <f>Input!W$53*W384</f>
        <v>0</v>
      </c>
      <c r="X963" s="229">
        <f>Input!X$53*X384</f>
        <v>0</v>
      </c>
      <c r="Y963" s="229">
        <f>Input!Y$53*Y384</f>
        <v>0</v>
      </c>
      <c r="Z963" s="229">
        <f>Input!Z$53*Z384</f>
        <v>0</v>
      </c>
      <c r="AA963" s="229">
        <f>Input!AA$53*AA384</f>
        <v>0</v>
      </c>
      <c r="AB963" s="298">
        <f>Input!AB$53*AB384</f>
        <v>0</v>
      </c>
      <c r="CH963" s="269"/>
      <c r="CI963" s="269"/>
      <c r="CJ963" s="269"/>
      <c r="CK963" s="269"/>
      <c r="CL963" s="269"/>
      <c r="CM963" s="269"/>
      <c r="CN963" s="269"/>
      <c r="CO963" s="269"/>
      <c r="CP963" s="269"/>
      <c r="CQ963" s="269"/>
      <c r="CR963" s="269"/>
      <c r="CS963" s="269"/>
    </row>
    <row r="964" spans="3:97" ht="12" customHeight="1" x14ac:dyDescent="0.3">
      <c r="C964" s="638">
        <f>C901</f>
        <v>1400</v>
      </c>
      <c r="D964" s="297">
        <f>Input!D$53*D385</f>
        <v>0</v>
      </c>
      <c r="E964" s="229">
        <f>Input!E$53*E385</f>
        <v>0</v>
      </c>
      <c r="F964" s="229">
        <f>Input!F$53*F385</f>
        <v>0</v>
      </c>
      <c r="G964" s="229">
        <f>Input!G$53*G385</f>
        <v>0</v>
      </c>
      <c r="H964" s="229">
        <f>Input!H$53*H385</f>
        <v>0</v>
      </c>
      <c r="I964" s="229">
        <f>Input!I$53*I385</f>
        <v>0</v>
      </c>
      <c r="J964" s="229">
        <f>Input!J$53*J385</f>
        <v>0</v>
      </c>
      <c r="K964" s="229">
        <f>Input!K$53*K385</f>
        <v>0</v>
      </c>
      <c r="L964" s="229">
        <f>Input!L$53*L385</f>
        <v>0</v>
      </c>
      <c r="M964" s="229">
        <f>Input!M$53*M385</f>
        <v>0</v>
      </c>
      <c r="N964" s="229">
        <f>Input!N$53*N385</f>
        <v>0</v>
      </c>
      <c r="O964" s="229">
        <f>Input!O$53*O385</f>
        <v>0</v>
      </c>
      <c r="P964" s="229">
        <f>Input!P$53*P385</f>
        <v>0</v>
      </c>
      <c r="Q964" s="229">
        <f>Input!Q$53*Q385</f>
        <v>0</v>
      </c>
      <c r="R964" s="229">
        <f>Input!R$53*R385</f>
        <v>0</v>
      </c>
      <c r="S964" s="229">
        <f>Input!S$53*S385</f>
        <v>0</v>
      </c>
      <c r="T964" s="229">
        <f>Input!T$53*T385</f>
        <v>0</v>
      </c>
      <c r="U964" s="229">
        <f>Input!U$53*U385</f>
        <v>0</v>
      </c>
      <c r="V964" s="229">
        <f>Input!V$53*V385</f>
        <v>0</v>
      </c>
      <c r="W964" s="229">
        <f>Input!W$53*W385</f>
        <v>0</v>
      </c>
      <c r="X964" s="229">
        <f>Input!X$53*X385</f>
        <v>0</v>
      </c>
      <c r="Y964" s="229">
        <f>Input!Y$53*Y385</f>
        <v>0</v>
      </c>
      <c r="Z964" s="229">
        <f>Input!Z$53*Z385</f>
        <v>0</v>
      </c>
      <c r="AA964" s="229">
        <f>Input!AA$53*AA385</f>
        <v>0</v>
      </c>
      <c r="AB964" s="298">
        <f>Input!AB$53*AB385</f>
        <v>0</v>
      </c>
      <c r="CH964" s="269"/>
      <c r="CI964" s="269"/>
      <c r="CJ964" s="269"/>
      <c r="CK964" s="269"/>
      <c r="CL964" s="269"/>
      <c r="CM964" s="269"/>
      <c r="CN964" s="269"/>
      <c r="CO964" s="269"/>
      <c r="CP964" s="269"/>
      <c r="CQ964" s="269"/>
      <c r="CR964" s="269"/>
      <c r="CS964" s="269"/>
    </row>
    <row r="965" spans="3:97" ht="12" customHeight="1" x14ac:dyDescent="0.3">
      <c r="C965" s="638">
        <f>C902</f>
        <v>1430</v>
      </c>
      <c r="D965" s="297">
        <f>Input!D$53*D386</f>
        <v>0</v>
      </c>
      <c r="E965" s="229">
        <f>Input!E$53*E386</f>
        <v>0</v>
      </c>
      <c r="F965" s="229">
        <f>Input!F$53*F386</f>
        <v>0</v>
      </c>
      <c r="G965" s="229">
        <f>Input!G$53*G386</f>
        <v>0</v>
      </c>
      <c r="H965" s="229">
        <f>Input!H$53*H386</f>
        <v>0</v>
      </c>
      <c r="I965" s="229">
        <f>Input!I$53*I386</f>
        <v>0</v>
      </c>
      <c r="J965" s="229">
        <f>Input!J$53*J386</f>
        <v>0</v>
      </c>
      <c r="K965" s="229">
        <f>Input!K$53*K386</f>
        <v>0</v>
      </c>
      <c r="L965" s="229">
        <f>Input!L$53*L386</f>
        <v>0</v>
      </c>
      <c r="M965" s="229">
        <f>Input!M$53*M386</f>
        <v>0</v>
      </c>
      <c r="N965" s="229">
        <f>Input!N$53*N386</f>
        <v>0</v>
      </c>
      <c r="O965" s="229">
        <f>Input!O$53*O386</f>
        <v>0</v>
      </c>
      <c r="P965" s="229">
        <f>Input!P$53*P386</f>
        <v>0</v>
      </c>
      <c r="Q965" s="229">
        <f>Input!Q$53*Q386</f>
        <v>0</v>
      </c>
      <c r="R965" s="229">
        <f>Input!R$53*R386</f>
        <v>0</v>
      </c>
      <c r="S965" s="229">
        <f>Input!S$53*S386</f>
        <v>0</v>
      </c>
      <c r="T965" s="229">
        <f>Input!T$53*T386</f>
        <v>0</v>
      </c>
      <c r="U965" s="229">
        <f>Input!U$53*U386</f>
        <v>0</v>
      </c>
      <c r="V965" s="229">
        <f>Input!V$53*V386</f>
        <v>0</v>
      </c>
      <c r="W965" s="229">
        <f>Input!W$53*W386</f>
        <v>0</v>
      </c>
      <c r="X965" s="229">
        <f>Input!X$53*X386</f>
        <v>0</v>
      </c>
      <c r="Y965" s="229">
        <f>Input!Y$53*Y386</f>
        <v>0</v>
      </c>
      <c r="Z965" s="229">
        <f>Input!Z$53*Z386</f>
        <v>0</v>
      </c>
      <c r="AA965" s="229">
        <f>Input!AA$53*AA386</f>
        <v>0</v>
      </c>
      <c r="AB965" s="298">
        <f>Input!AB$53*AB386</f>
        <v>0</v>
      </c>
      <c r="CH965" s="269"/>
      <c r="CI965" s="269"/>
      <c r="CJ965" s="269"/>
      <c r="CK965" s="269"/>
      <c r="CL965" s="269"/>
      <c r="CM965" s="269"/>
      <c r="CN965" s="269"/>
      <c r="CO965" s="269"/>
      <c r="CP965" s="269"/>
      <c r="CQ965" s="269"/>
      <c r="CR965" s="269"/>
      <c r="CS965" s="269"/>
    </row>
    <row r="966" spans="3:97" ht="12" customHeight="1" thickBot="1" x14ac:dyDescent="0.35">
      <c r="C966" s="639">
        <f>C903</f>
        <v>1461</v>
      </c>
      <c r="D966" s="301">
        <f>Input!D$53*D387</f>
        <v>0</v>
      </c>
      <c r="E966" s="302">
        <f>Input!E$53*E387</f>
        <v>0</v>
      </c>
      <c r="F966" s="302">
        <f>Input!F$53*F387</f>
        <v>0</v>
      </c>
      <c r="G966" s="302">
        <f>Input!G$53*G387</f>
        <v>0</v>
      </c>
      <c r="H966" s="302">
        <f>Input!H$53*H387</f>
        <v>0</v>
      </c>
      <c r="I966" s="302">
        <f>Input!I$53*I387</f>
        <v>0</v>
      </c>
      <c r="J966" s="302">
        <f>Input!J$53*J387</f>
        <v>0</v>
      </c>
      <c r="K966" s="302">
        <f>Input!K$53*K387</f>
        <v>0</v>
      </c>
      <c r="L966" s="302">
        <f>Input!L$53*L387</f>
        <v>0</v>
      </c>
      <c r="M966" s="302">
        <f>Input!M$53*M387</f>
        <v>0</v>
      </c>
      <c r="N966" s="302">
        <f>Input!N$53*N387</f>
        <v>0</v>
      </c>
      <c r="O966" s="302">
        <f>Input!O$53*O387</f>
        <v>0</v>
      </c>
      <c r="P966" s="302">
        <f>Input!P$53*P387</f>
        <v>0</v>
      </c>
      <c r="Q966" s="302">
        <f>Input!Q$53*Q387</f>
        <v>0</v>
      </c>
      <c r="R966" s="302">
        <f>Input!R$53*R387</f>
        <v>0</v>
      </c>
      <c r="S966" s="302">
        <f>Input!S$53*S387</f>
        <v>0</v>
      </c>
      <c r="T966" s="302">
        <f>Input!T$53*T387</f>
        <v>0</v>
      </c>
      <c r="U966" s="302">
        <f>Input!U$53*U387</f>
        <v>0</v>
      </c>
      <c r="V966" s="302">
        <f>Input!V$53*V387</f>
        <v>0</v>
      </c>
      <c r="W966" s="302">
        <f>Input!W$53*W387</f>
        <v>0</v>
      </c>
      <c r="X966" s="302">
        <f>Input!X$53*X387</f>
        <v>0</v>
      </c>
      <c r="Y966" s="302">
        <f>Input!Y$53*Y387</f>
        <v>0</v>
      </c>
      <c r="Z966" s="302">
        <f>Input!Z$53*Z387</f>
        <v>0</v>
      </c>
      <c r="AA966" s="302">
        <f>Input!AA$53*AA387</f>
        <v>0</v>
      </c>
      <c r="AB966" s="303">
        <f>Input!AB$53*AB387</f>
        <v>0</v>
      </c>
      <c r="CH966" s="269"/>
      <c r="CI966" s="269"/>
      <c r="CJ966" s="269"/>
      <c r="CK966" s="269"/>
      <c r="CL966" s="269"/>
      <c r="CM966" s="269"/>
      <c r="CN966" s="269"/>
      <c r="CO966" s="269"/>
      <c r="CP966" s="269"/>
      <c r="CQ966" s="269"/>
      <c r="CR966" s="269"/>
      <c r="CS966" s="269"/>
    </row>
    <row r="967" spans="3:97" ht="12" customHeight="1" x14ac:dyDescent="0.3">
      <c r="C967" s="638">
        <f>C904</f>
        <v>1492</v>
      </c>
      <c r="D967" s="299">
        <f>Input!D$53*D388</f>
        <v>0</v>
      </c>
      <c r="E967" s="231">
        <f>Input!E$53*E388</f>
        <v>0</v>
      </c>
      <c r="F967" s="231">
        <f>Input!F$53*F388</f>
        <v>0</v>
      </c>
      <c r="G967" s="231">
        <f>Input!G$53*G388</f>
        <v>0</v>
      </c>
      <c r="H967" s="231">
        <f>Input!H$53*H388</f>
        <v>0</v>
      </c>
      <c r="I967" s="231">
        <f>Input!I$53*I388</f>
        <v>0</v>
      </c>
      <c r="J967" s="231">
        <f>Input!J$53*J388</f>
        <v>0</v>
      </c>
      <c r="K967" s="231">
        <f>Input!K$53*K388</f>
        <v>0</v>
      </c>
      <c r="L967" s="231">
        <f>Input!L$53*L388</f>
        <v>0</v>
      </c>
      <c r="M967" s="231">
        <f>Input!M$53*M388</f>
        <v>0</v>
      </c>
      <c r="N967" s="231">
        <f>Input!N$53*N388</f>
        <v>0</v>
      </c>
      <c r="O967" s="231">
        <f>Input!O$53*O388</f>
        <v>0</v>
      </c>
      <c r="P967" s="231">
        <f>Input!P$53*P388</f>
        <v>0</v>
      </c>
      <c r="Q967" s="231">
        <f>Input!Q$53*Q388</f>
        <v>0</v>
      </c>
      <c r="R967" s="231">
        <f>Input!R$53*R388</f>
        <v>0</v>
      </c>
      <c r="S967" s="231">
        <f>Input!S$53*S388</f>
        <v>0</v>
      </c>
      <c r="T967" s="231">
        <f>Input!T$53*T388</f>
        <v>0</v>
      </c>
      <c r="U967" s="231">
        <f>Input!U$53*U388</f>
        <v>0</v>
      </c>
      <c r="V967" s="231">
        <f>Input!V$53*V388</f>
        <v>0</v>
      </c>
      <c r="W967" s="231">
        <f>Input!W$53*W388</f>
        <v>0</v>
      </c>
      <c r="X967" s="231">
        <f>Input!X$53*X388</f>
        <v>0</v>
      </c>
      <c r="Y967" s="231">
        <f>Input!Y$53*Y388</f>
        <v>0</v>
      </c>
      <c r="Z967" s="231">
        <f>Input!Z$53*Z388</f>
        <v>0</v>
      </c>
      <c r="AA967" s="231">
        <f>Input!AA$53*AA388</f>
        <v>0</v>
      </c>
      <c r="AB967" s="300">
        <f>Input!AB$53*AB388</f>
        <v>0</v>
      </c>
      <c r="CH967" s="269"/>
      <c r="CI967" s="269"/>
      <c r="CJ967" s="269"/>
      <c r="CK967" s="269"/>
      <c r="CL967" s="269"/>
      <c r="CM967" s="269"/>
      <c r="CN967" s="269"/>
      <c r="CO967" s="269"/>
      <c r="CP967" s="269"/>
      <c r="CQ967" s="269"/>
      <c r="CR967" s="269"/>
      <c r="CS967" s="269"/>
    </row>
    <row r="968" spans="3:97" ht="12" customHeight="1" x14ac:dyDescent="0.3">
      <c r="C968" s="638">
        <f>C905</f>
        <v>1521</v>
      </c>
      <c r="D968" s="297">
        <f>Input!D$53*D389</f>
        <v>0</v>
      </c>
      <c r="E968" s="229">
        <f>Input!E$53*E389</f>
        <v>0</v>
      </c>
      <c r="F968" s="229">
        <f>Input!F$53*F389</f>
        <v>0</v>
      </c>
      <c r="G968" s="229">
        <f>Input!G$53*G389</f>
        <v>0</v>
      </c>
      <c r="H968" s="229">
        <f>Input!H$53*H389</f>
        <v>0</v>
      </c>
      <c r="I968" s="229">
        <f>Input!I$53*I389</f>
        <v>0</v>
      </c>
      <c r="J968" s="229">
        <f>Input!J$53*J389</f>
        <v>0</v>
      </c>
      <c r="K968" s="229">
        <f>Input!K$53*K389</f>
        <v>0</v>
      </c>
      <c r="L968" s="229">
        <f>Input!L$53*L389</f>
        <v>0</v>
      </c>
      <c r="M968" s="229">
        <f>Input!M$53*M389</f>
        <v>0</v>
      </c>
      <c r="N968" s="229">
        <f>Input!N$53*N389</f>
        <v>0</v>
      </c>
      <c r="O968" s="229">
        <f>Input!O$53*O389</f>
        <v>0</v>
      </c>
      <c r="P968" s="229">
        <f>Input!P$53*P389</f>
        <v>0</v>
      </c>
      <c r="Q968" s="229">
        <f>Input!Q$53*Q389</f>
        <v>0</v>
      </c>
      <c r="R968" s="229">
        <f>Input!R$53*R389</f>
        <v>0</v>
      </c>
      <c r="S968" s="229">
        <f>Input!S$53*S389</f>
        <v>0</v>
      </c>
      <c r="T968" s="229">
        <f>Input!T$53*T389</f>
        <v>0</v>
      </c>
      <c r="U968" s="229">
        <f>Input!U$53*U389</f>
        <v>0</v>
      </c>
      <c r="V968" s="229">
        <f>Input!V$53*V389</f>
        <v>0</v>
      </c>
      <c r="W968" s="229">
        <f>Input!W$53*W389</f>
        <v>0</v>
      </c>
      <c r="X968" s="229">
        <f>Input!X$53*X389</f>
        <v>0</v>
      </c>
      <c r="Y968" s="229">
        <f>Input!Y$53*Y389</f>
        <v>0</v>
      </c>
      <c r="Z968" s="229">
        <f>Input!Z$53*Z389</f>
        <v>0</v>
      </c>
      <c r="AA968" s="229">
        <f>Input!AA$53*AA389</f>
        <v>0</v>
      </c>
      <c r="AB968" s="298">
        <f>Input!AB$53*AB389</f>
        <v>0</v>
      </c>
      <c r="CH968" s="269"/>
      <c r="CI968" s="269"/>
      <c r="CJ968" s="269"/>
      <c r="CK968" s="269"/>
      <c r="CL968" s="269"/>
      <c r="CM968" s="269"/>
      <c r="CN968" s="269"/>
      <c r="CO968" s="269"/>
      <c r="CP968" s="269"/>
      <c r="CQ968" s="269"/>
      <c r="CR968" s="269"/>
      <c r="CS968" s="269"/>
    </row>
    <row r="969" spans="3:97" ht="12" customHeight="1" x14ac:dyDescent="0.3">
      <c r="C969" s="638">
        <f>C906</f>
        <v>1552</v>
      </c>
      <c r="D969" s="297">
        <f>Input!D$53*D390</f>
        <v>0</v>
      </c>
      <c r="E969" s="229">
        <f>Input!E$53*E390</f>
        <v>0</v>
      </c>
      <c r="F969" s="229">
        <f>Input!F$53*F390</f>
        <v>0</v>
      </c>
      <c r="G969" s="229">
        <f>Input!G$53*G390</f>
        <v>0</v>
      </c>
      <c r="H969" s="229">
        <f>Input!H$53*H390</f>
        <v>0</v>
      </c>
      <c r="I969" s="229">
        <f>Input!I$53*I390</f>
        <v>0</v>
      </c>
      <c r="J969" s="229">
        <f>Input!J$53*J390</f>
        <v>0</v>
      </c>
      <c r="K969" s="229">
        <f>Input!K$53*K390</f>
        <v>0</v>
      </c>
      <c r="L969" s="229">
        <f>Input!L$53*L390</f>
        <v>0</v>
      </c>
      <c r="M969" s="229">
        <f>Input!M$53*M390</f>
        <v>0</v>
      </c>
      <c r="N969" s="229">
        <f>Input!N$53*N390</f>
        <v>0</v>
      </c>
      <c r="O969" s="229">
        <f>Input!O$53*O390</f>
        <v>0</v>
      </c>
      <c r="P969" s="229">
        <f>Input!P$53*P390</f>
        <v>0</v>
      </c>
      <c r="Q969" s="229">
        <f>Input!Q$53*Q390</f>
        <v>0</v>
      </c>
      <c r="R969" s="229">
        <f>Input!R$53*R390</f>
        <v>0</v>
      </c>
      <c r="S969" s="229">
        <f>Input!S$53*S390</f>
        <v>0</v>
      </c>
      <c r="T969" s="229">
        <f>Input!T$53*T390</f>
        <v>0</v>
      </c>
      <c r="U969" s="229">
        <f>Input!U$53*U390</f>
        <v>0</v>
      </c>
      <c r="V969" s="229">
        <f>Input!V$53*V390</f>
        <v>0</v>
      </c>
      <c r="W969" s="229">
        <f>Input!W$53*W390</f>
        <v>0</v>
      </c>
      <c r="X969" s="229">
        <f>Input!X$53*X390</f>
        <v>0</v>
      </c>
      <c r="Y969" s="229">
        <f>Input!Y$53*Y390</f>
        <v>0</v>
      </c>
      <c r="Z969" s="229">
        <f>Input!Z$53*Z390</f>
        <v>0</v>
      </c>
      <c r="AA969" s="229">
        <f>Input!AA$53*AA390</f>
        <v>0</v>
      </c>
      <c r="AB969" s="298">
        <f>Input!AB$53*AB390</f>
        <v>0</v>
      </c>
      <c r="CH969" s="269"/>
      <c r="CI969" s="269"/>
      <c r="CJ969" s="269"/>
      <c r="CK969" s="269"/>
      <c r="CL969" s="269"/>
      <c r="CM969" s="269"/>
      <c r="CN969" s="269"/>
      <c r="CO969" s="269"/>
      <c r="CP969" s="269"/>
      <c r="CQ969" s="269"/>
      <c r="CR969" s="269"/>
      <c r="CS969" s="269"/>
    </row>
    <row r="970" spans="3:97" ht="12" customHeight="1" x14ac:dyDescent="0.3">
      <c r="C970" s="638">
        <f>C907</f>
        <v>1582</v>
      </c>
      <c r="D970" s="297">
        <f>Input!D$53*D391</f>
        <v>0</v>
      </c>
      <c r="E970" s="229">
        <f>Input!E$53*E391</f>
        <v>0</v>
      </c>
      <c r="F970" s="229">
        <f>Input!F$53*F391</f>
        <v>0</v>
      </c>
      <c r="G970" s="229">
        <f>Input!G$53*G391</f>
        <v>0</v>
      </c>
      <c r="H970" s="229">
        <f>Input!H$53*H391</f>
        <v>0</v>
      </c>
      <c r="I970" s="229">
        <f>Input!I$53*I391</f>
        <v>0</v>
      </c>
      <c r="J970" s="229">
        <f>Input!J$53*J391</f>
        <v>0</v>
      </c>
      <c r="K970" s="229">
        <f>Input!K$53*K391</f>
        <v>0</v>
      </c>
      <c r="L970" s="229">
        <f>Input!L$53*L391</f>
        <v>0</v>
      </c>
      <c r="M970" s="229">
        <f>Input!M$53*M391</f>
        <v>0</v>
      </c>
      <c r="N970" s="229">
        <f>Input!N$53*N391</f>
        <v>0</v>
      </c>
      <c r="O970" s="229">
        <f>Input!O$53*O391</f>
        <v>0</v>
      </c>
      <c r="P970" s="229">
        <f>Input!P$53*P391</f>
        <v>0</v>
      </c>
      <c r="Q970" s="229">
        <f>Input!Q$53*Q391</f>
        <v>0</v>
      </c>
      <c r="R970" s="229">
        <f>Input!R$53*R391</f>
        <v>0</v>
      </c>
      <c r="S970" s="229">
        <f>Input!S$53*S391</f>
        <v>0</v>
      </c>
      <c r="T970" s="229">
        <f>Input!T$53*T391</f>
        <v>0</v>
      </c>
      <c r="U970" s="229">
        <f>Input!U$53*U391</f>
        <v>0</v>
      </c>
      <c r="V970" s="229">
        <f>Input!V$53*V391</f>
        <v>0</v>
      </c>
      <c r="W970" s="229">
        <f>Input!W$53*W391</f>
        <v>0</v>
      </c>
      <c r="X970" s="229">
        <f>Input!X$53*X391</f>
        <v>0</v>
      </c>
      <c r="Y970" s="229">
        <f>Input!Y$53*Y391</f>
        <v>0</v>
      </c>
      <c r="Z970" s="229">
        <f>Input!Z$53*Z391</f>
        <v>0</v>
      </c>
      <c r="AA970" s="229">
        <f>Input!AA$53*AA391</f>
        <v>0</v>
      </c>
      <c r="AB970" s="298">
        <f>Input!AB$53*AB391</f>
        <v>0</v>
      </c>
      <c r="CH970" s="269"/>
      <c r="CI970" s="269"/>
      <c r="CJ970" s="269"/>
      <c r="CK970" s="269"/>
      <c r="CL970" s="269"/>
      <c r="CM970" s="269"/>
      <c r="CN970" s="269"/>
      <c r="CO970" s="269"/>
      <c r="CP970" s="269"/>
      <c r="CQ970" s="269"/>
      <c r="CR970" s="269"/>
      <c r="CS970" s="269"/>
    </row>
    <row r="971" spans="3:97" ht="12" customHeight="1" x14ac:dyDescent="0.3">
      <c r="C971" s="638">
        <f>C908</f>
        <v>1613</v>
      </c>
      <c r="D971" s="297">
        <f>Input!D$53*D392</f>
        <v>0</v>
      </c>
      <c r="E971" s="229">
        <f>Input!E$53*E392</f>
        <v>0</v>
      </c>
      <c r="F971" s="229">
        <f>Input!F$53*F392</f>
        <v>0</v>
      </c>
      <c r="G971" s="229">
        <f>Input!G$53*G392</f>
        <v>0</v>
      </c>
      <c r="H971" s="229">
        <f>Input!H$53*H392</f>
        <v>0</v>
      </c>
      <c r="I971" s="229">
        <f>Input!I$53*I392</f>
        <v>0</v>
      </c>
      <c r="J971" s="229">
        <f>Input!J$53*J392</f>
        <v>0</v>
      </c>
      <c r="K971" s="229">
        <f>Input!K$53*K392</f>
        <v>0</v>
      </c>
      <c r="L971" s="229">
        <f>Input!L$53*L392</f>
        <v>0</v>
      </c>
      <c r="M971" s="229">
        <f>Input!M$53*M392</f>
        <v>0</v>
      </c>
      <c r="N971" s="229">
        <f>Input!N$53*N392</f>
        <v>0</v>
      </c>
      <c r="O971" s="229">
        <f>Input!O$53*O392</f>
        <v>0</v>
      </c>
      <c r="P971" s="229">
        <f>Input!P$53*P392</f>
        <v>0</v>
      </c>
      <c r="Q971" s="229">
        <f>Input!Q$53*Q392</f>
        <v>0</v>
      </c>
      <c r="R971" s="229">
        <f>Input!R$53*R392</f>
        <v>0</v>
      </c>
      <c r="S971" s="229">
        <f>Input!S$53*S392</f>
        <v>0</v>
      </c>
      <c r="T971" s="229">
        <f>Input!T$53*T392</f>
        <v>0</v>
      </c>
      <c r="U971" s="229">
        <f>Input!U$53*U392</f>
        <v>0</v>
      </c>
      <c r="V971" s="229">
        <f>Input!V$53*V392</f>
        <v>0</v>
      </c>
      <c r="W971" s="229">
        <f>Input!W$53*W392</f>
        <v>0</v>
      </c>
      <c r="X971" s="229">
        <f>Input!X$53*X392</f>
        <v>0</v>
      </c>
      <c r="Y971" s="229">
        <f>Input!Y$53*Y392</f>
        <v>0</v>
      </c>
      <c r="Z971" s="229">
        <f>Input!Z$53*Z392</f>
        <v>0</v>
      </c>
      <c r="AA971" s="229">
        <f>Input!AA$53*AA392</f>
        <v>0</v>
      </c>
      <c r="AB971" s="298">
        <f>Input!AB$53*AB392</f>
        <v>0</v>
      </c>
      <c r="CH971" s="269"/>
      <c r="CI971" s="269"/>
      <c r="CJ971" s="269"/>
      <c r="CK971" s="269"/>
      <c r="CL971" s="269"/>
      <c r="CM971" s="269"/>
      <c r="CN971" s="269"/>
      <c r="CO971" s="269"/>
      <c r="CP971" s="269"/>
      <c r="CQ971" s="269"/>
      <c r="CR971" s="269"/>
      <c r="CS971" s="269"/>
    </row>
    <row r="972" spans="3:97" ht="12" customHeight="1" x14ac:dyDescent="0.3">
      <c r="C972" s="638">
        <f>C909</f>
        <v>1643</v>
      </c>
      <c r="D972" s="297">
        <f>Input!D$53*D393</f>
        <v>0</v>
      </c>
      <c r="E972" s="229">
        <f>Input!E$53*E393</f>
        <v>0</v>
      </c>
      <c r="F972" s="229">
        <f>Input!F$53*F393</f>
        <v>0</v>
      </c>
      <c r="G972" s="229">
        <f>Input!G$53*G393</f>
        <v>0</v>
      </c>
      <c r="H972" s="229">
        <f>Input!H$53*H393</f>
        <v>0</v>
      </c>
      <c r="I972" s="229">
        <f>Input!I$53*I393</f>
        <v>0</v>
      </c>
      <c r="J972" s="229">
        <f>Input!J$53*J393</f>
        <v>0</v>
      </c>
      <c r="K972" s="229">
        <f>Input!K$53*K393</f>
        <v>0</v>
      </c>
      <c r="L972" s="229">
        <f>Input!L$53*L393</f>
        <v>0</v>
      </c>
      <c r="M972" s="229">
        <f>Input!M$53*M393</f>
        <v>0</v>
      </c>
      <c r="N972" s="229">
        <f>Input!N$53*N393</f>
        <v>0</v>
      </c>
      <c r="O972" s="229">
        <f>Input!O$53*O393</f>
        <v>0</v>
      </c>
      <c r="P972" s="229">
        <f>Input!P$53*P393</f>
        <v>0</v>
      </c>
      <c r="Q972" s="229">
        <f>Input!Q$53*Q393</f>
        <v>0</v>
      </c>
      <c r="R972" s="229">
        <f>Input!R$53*R393</f>
        <v>0</v>
      </c>
      <c r="S972" s="229">
        <f>Input!S$53*S393</f>
        <v>0</v>
      </c>
      <c r="T972" s="229">
        <f>Input!T$53*T393</f>
        <v>0</v>
      </c>
      <c r="U972" s="229">
        <f>Input!U$53*U393</f>
        <v>0</v>
      </c>
      <c r="V972" s="229">
        <f>Input!V$53*V393</f>
        <v>0</v>
      </c>
      <c r="W972" s="229">
        <f>Input!W$53*W393</f>
        <v>0</v>
      </c>
      <c r="X972" s="229">
        <f>Input!X$53*X393</f>
        <v>0</v>
      </c>
      <c r="Y972" s="229">
        <f>Input!Y$53*Y393</f>
        <v>0</v>
      </c>
      <c r="Z972" s="229">
        <f>Input!Z$53*Z393</f>
        <v>0</v>
      </c>
      <c r="AA972" s="229">
        <f>Input!AA$53*AA393</f>
        <v>0</v>
      </c>
      <c r="AB972" s="298">
        <f>Input!AB$53*AB393</f>
        <v>0</v>
      </c>
      <c r="CH972" s="269"/>
      <c r="CI972" s="269"/>
      <c r="CJ972" s="269"/>
      <c r="CK972" s="269"/>
      <c r="CL972" s="269"/>
      <c r="CM972" s="269"/>
      <c r="CN972" s="269"/>
      <c r="CO972" s="269"/>
      <c r="CP972" s="269"/>
      <c r="CQ972" s="269"/>
      <c r="CR972" s="269"/>
      <c r="CS972" s="269"/>
    </row>
    <row r="973" spans="3:97" ht="12" customHeight="1" x14ac:dyDescent="0.3">
      <c r="C973" s="638">
        <f>C910</f>
        <v>1674</v>
      </c>
      <c r="D973" s="297">
        <f>Input!D$53*D394</f>
        <v>0</v>
      </c>
      <c r="E973" s="229">
        <f>Input!E$53*E394</f>
        <v>0</v>
      </c>
      <c r="F973" s="229">
        <f>Input!F$53*F394</f>
        <v>0</v>
      </c>
      <c r="G973" s="229">
        <f>Input!G$53*G394</f>
        <v>0</v>
      </c>
      <c r="H973" s="229">
        <f>Input!H$53*H394</f>
        <v>0</v>
      </c>
      <c r="I973" s="229">
        <f>Input!I$53*I394</f>
        <v>0</v>
      </c>
      <c r="J973" s="229">
        <f>Input!J$53*J394</f>
        <v>0</v>
      </c>
      <c r="K973" s="229">
        <f>Input!K$53*K394</f>
        <v>0</v>
      </c>
      <c r="L973" s="229">
        <f>Input!L$53*L394</f>
        <v>0</v>
      </c>
      <c r="M973" s="229">
        <f>Input!M$53*M394</f>
        <v>0</v>
      </c>
      <c r="N973" s="229">
        <f>Input!N$53*N394</f>
        <v>0</v>
      </c>
      <c r="O973" s="229">
        <f>Input!O$53*O394</f>
        <v>0</v>
      </c>
      <c r="P973" s="229">
        <f>Input!P$53*P394</f>
        <v>0</v>
      </c>
      <c r="Q973" s="229">
        <f>Input!Q$53*Q394</f>
        <v>0</v>
      </c>
      <c r="R973" s="229">
        <f>Input!R$53*R394</f>
        <v>0</v>
      </c>
      <c r="S973" s="229">
        <f>Input!S$53*S394</f>
        <v>0</v>
      </c>
      <c r="T973" s="229">
        <f>Input!T$53*T394</f>
        <v>0</v>
      </c>
      <c r="U973" s="229">
        <f>Input!U$53*U394</f>
        <v>0</v>
      </c>
      <c r="V973" s="229">
        <f>Input!V$53*V394</f>
        <v>0</v>
      </c>
      <c r="W973" s="229">
        <f>Input!W$53*W394</f>
        <v>0</v>
      </c>
      <c r="X973" s="229">
        <f>Input!X$53*X394</f>
        <v>0</v>
      </c>
      <c r="Y973" s="229">
        <f>Input!Y$53*Y394</f>
        <v>0</v>
      </c>
      <c r="Z973" s="229">
        <f>Input!Z$53*Z394</f>
        <v>0</v>
      </c>
      <c r="AA973" s="229">
        <f>Input!AA$53*AA394</f>
        <v>0</v>
      </c>
      <c r="AB973" s="298">
        <f>Input!AB$53*AB394</f>
        <v>0</v>
      </c>
      <c r="CH973" s="269"/>
      <c r="CI973" s="269"/>
      <c r="CJ973" s="269"/>
      <c r="CK973" s="269"/>
      <c r="CL973" s="269"/>
      <c r="CM973" s="269"/>
      <c r="CN973" s="269"/>
      <c r="CO973" s="269"/>
      <c r="CP973" s="269"/>
      <c r="CQ973" s="269"/>
      <c r="CR973" s="269"/>
      <c r="CS973" s="269"/>
    </row>
    <row r="974" spans="3:97" ht="12" customHeight="1" x14ac:dyDescent="0.3">
      <c r="C974" s="638">
        <f>C911</f>
        <v>1705</v>
      </c>
      <c r="D974" s="297">
        <f>Input!D$53*D395</f>
        <v>0</v>
      </c>
      <c r="E974" s="229">
        <f>Input!E$53*E395</f>
        <v>0</v>
      </c>
      <c r="F974" s="229">
        <f>Input!F$53*F395</f>
        <v>0</v>
      </c>
      <c r="G974" s="229">
        <f>Input!G$53*G395</f>
        <v>0</v>
      </c>
      <c r="H974" s="229">
        <f>Input!H$53*H395</f>
        <v>0</v>
      </c>
      <c r="I974" s="229">
        <f>Input!I$53*I395</f>
        <v>0</v>
      </c>
      <c r="J974" s="229">
        <f>Input!J$53*J395</f>
        <v>0</v>
      </c>
      <c r="K974" s="229">
        <f>Input!K$53*K395</f>
        <v>0</v>
      </c>
      <c r="L974" s="229">
        <f>Input!L$53*L395</f>
        <v>0</v>
      </c>
      <c r="M974" s="229">
        <f>Input!M$53*M395</f>
        <v>0</v>
      </c>
      <c r="N974" s="229">
        <f>Input!N$53*N395</f>
        <v>0</v>
      </c>
      <c r="O974" s="229">
        <f>Input!O$53*O395</f>
        <v>0</v>
      </c>
      <c r="P974" s="229">
        <f>Input!P$53*P395</f>
        <v>0</v>
      </c>
      <c r="Q974" s="229">
        <f>Input!Q$53*Q395</f>
        <v>0</v>
      </c>
      <c r="R974" s="229">
        <f>Input!R$53*R395</f>
        <v>0</v>
      </c>
      <c r="S974" s="229">
        <f>Input!S$53*S395</f>
        <v>0</v>
      </c>
      <c r="T974" s="229">
        <f>Input!T$53*T395</f>
        <v>0</v>
      </c>
      <c r="U974" s="229">
        <f>Input!U$53*U395</f>
        <v>0</v>
      </c>
      <c r="V974" s="229">
        <f>Input!V$53*V395</f>
        <v>0</v>
      </c>
      <c r="W974" s="229">
        <f>Input!W$53*W395</f>
        <v>0</v>
      </c>
      <c r="X974" s="229">
        <f>Input!X$53*X395</f>
        <v>0</v>
      </c>
      <c r="Y974" s="229">
        <f>Input!Y$53*Y395</f>
        <v>0</v>
      </c>
      <c r="Z974" s="229">
        <f>Input!Z$53*Z395</f>
        <v>0</v>
      </c>
      <c r="AA974" s="229">
        <f>Input!AA$53*AA395</f>
        <v>0</v>
      </c>
      <c r="AB974" s="298">
        <f>Input!AB$53*AB395</f>
        <v>0</v>
      </c>
      <c r="CH974" s="269"/>
      <c r="CI974" s="269"/>
      <c r="CJ974" s="269"/>
      <c r="CK974" s="269"/>
      <c r="CL974" s="269"/>
      <c r="CM974" s="269"/>
      <c r="CN974" s="269"/>
      <c r="CO974" s="269"/>
      <c r="CP974" s="269"/>
      <c r="CQ974" s="269"/>
      <c r="CR974" s="269"/>
      <c r="CS974" s="269"/>
    </row>
    <row r="975" spans="3:97" ht="12" customHeight="1" x14ac:dyDescent="0.3">
      <c r="C975" s="638">
        <f>C912</f>
        <v>1735</v>
      </c>
      <c r="D975" s="297">
        <f>Input!D$53*D396</f>
        <v>0</v>
      </c>
      <c r="E975" s="229">
        <f>Input!E$53*E396</f>
        <v>0</v>
      </c>
      <c r="F975" s="229">
        <f>Input!F$53*F396</f>
        <v>0</v>
      </c>
      <c r="G975" s="229">
        <f>Input!G$53*G396</f>
        <v>0</v>
      </c>
      <c r="H975" s="229">
        <f>Input!H$53*H396</f>
        <v>0</v>
      </c>
      <c r="I975" s="229">
        <f>Input!I$53*I396</f>
        <v>0</v>
      </c>
      <c r="J975" s="229">
        <f>Input!J$53*J396</f>
        <v>0</v>
      </c>
      <c r="K975" s="229">
        <f>Input!K$53*K396</f>
        <v>0</v>
      </c>
      <c r="L975" s="229">
        <f>Input!L$53*L396</f>
        <v>0</v>
      </c>
      <c r="M975" s="229">
        <f>Input!M$53*M396</f>
        <v>0</v>
      </c>
      <c r="N975" s="229">
        <f>Input!N$53*N396</f>
        <v>0</v>
      </c>
      <c r="O975" s="229">
        <f>Input!O$53*O396</f>
        <v>0</v>
      </c>
      <c r="P975" s="229">
        <f>Input!P$53*P396</f>
        <v>0</v>
      </c>
      <c r="Q975" s="229">
        <f>Input!Q$53*Q396</f>
        <v>0</v>
      </c>
      <c r="R975" s="229">
        <f>Input!R$53*R396</f>
        <v>0</v>
      </c>
      <c r="S975" s="229">
        <f>Input!S$53*S396</f>
        <v>0</v>
      </c>
      <c r="T975" s="229">
        <f>Input!T$53*T396</f>
        <v>0</v>
      </c>
      <c r="U975" s="229">
        <f>Input!U$53*U396</f>
        <v>0</v>
      </c>
      <c r="V975" s="229">
        <f>Input!V$53*V396</f>
        <v>0</v>
      </c>
      <c r="W975" s="229">
        <f>Input!W$53*W396</f>
        <v>0</v>
      </c>
      <c r="X975" s="229">
        <f>Input!X$53*X396</f>
        <v>0</v>
      </c>
      <c r="Y975" s="229">
        <f>Input!Y$53*Y396</f>
        <v>0</v>
      </c>
      <c r="Z975" s="229">
        <f>Input!Z$53*Z396</f>
        <v>0</v>
      </c>
      <c r="AA975" s="229">
        <f>Input!AA$53*AA396</f>
        <v>0</v>
      </c>
      <c r="AB975" s="298">
        <f>Input!AB$53*AB396</f>
        <v>0</v>
      </c>
      <c r="CH975" s="269"/>
      <c r="CI975" s="269"/>
      <c r="CJ975" s="269"/>
      <c r="CK975" s="269"/>
      <c r="CL975" s="269"/>
      <c r="CM975" s="269"/>
      <c r="CN975" s="269"/>
      <c r="CO975" s="269"/>
      <c r="CP975" s="269"/>
      <c r="CQ975" s="269"/>
      <c r="CR975" s="269"/>
      <c r="CS975" s="269"/>
    </row>
    <row r="976" spans="3:97" ht="12" customHeight="1" x14ac:dyDescent="0.3">
      <c r="C976" s="638">
        <f>C913</f>
        <v>1766</v>
      </c>
      <c r="D976" s="297">
        <f>Input!D$53*D397</f>
        <v>0</v>
      </c>
      <c r="E976" s="229">
        <f>Input!E$53*E397</f>
        <v>0</v>
      </c>
      <c r="F976" s="229">
        <f>Input!F$53*F397</f>
        <v>0</v>
      </c>
      <c r="G976" s="229">
        <f>Input!G$53*G397</f>
        <v>0</v>
      </c>
      <c r="H976" s="229">
        <f>Input!H$53*H397</f>
        <v>0</v>
      </c>
      <c r="I976" s="229">
        <f>Input!I$53*I397</f>
        <v>0</v>
      </c>
      <c r="J976" s="229">
        <f>Input!J$53*J397</f>
        <v>0</v>
      </c>
      <c r="K976" s="229">
        <f>Input!K$53*K397</f>
        <v>0</v>
      </c>
      <c r="L976" s="229">
        <f>Input!L$53*L397</f>
        <v>0</v>
      </c>
      <c r="M976" s="229">
        <f>Input!M$53*M397</f>
        <v>0</v>
      </c>
      <c r="N976" s="229">
        <f>Input!N$53*N397</f>
        <v>0</v>
      </c>
      <c r="O976" s="229">
        <f>Input!O$53*O397</f>
        <v>0</v>
      </c>
      <c r="P976" s="229">
        <f>Input!P$53*P397</f>
        <v>0</v>
      </c>
      <c r="Q976" s="229">
        <f>Input!Q$53*Q397</f>
        <v>0</v>
      </c>
      <c r="R976" s="229">
        <f>Input!R$53*R397</f>
        <v>0</v>
      </c>
      <c r="S976" s="229">
        <f>Input!S$53*S397</f>
        <v>0</v>
      </c>
      <c r="T976" s="229">
        <f>Input!T$53*T397</f>
        <v>0</v>
      </c>
      <c r="U976" s="229">
        <f>Input!U$53*U397</f>
        <v>0</v>
      </c>
      <c r="V976" s="229">
        <f>Input!V$53*V397</f>
        <v>0</v>
      </c>
      <c r="W976" s="229">
        <f>Input!W$53*W397</f>
        <v>0</v>
      </c>
      <c r="X976" s="229">
        <f>Input!X$53*X397</f>
        <v>0</v>
      </c>
      <c r="Y976" s="229">
        <f>Input!Y$53*Y397</f>
        <v>0</v>
      </c>
      <c r="Z976" s="229">
        <f>Input!Z$53*Z397</f>
        <v>0</v>
      </c>
      <c r="AA976" s="229">
        <f>Input!AA$53*AA397</f>
        <v>0</v>
      </c>
      <c r="AB976" s="298">
        <f>Input!AB$53*AB397</f>
        <v>0</v>
      </c>
      <c r="CH976" s="269"/>
      <c r="CI976" s="269"/>
      <c r="CJ976" s="269"/>
      <c r="CK976" s="269"/>
      <c r="CL976" s="269"/>
      <c r="CM976" s="269"/>
      <c r="CN976" s="269"/>
      <c r="CO976" s="269"/>
      <c r="CP976" s="269"/>
      <c r="CQ976" s="269"/>
      <c r="CR976" s="269"/>
      <c r="CS976" s="269"/>
    </row>
    <row r="977" spans="2:97" ht="12" customHeight="1" x14ac:dyDescent="0.3">
      <c r="C977" s="638">
        <f>C914</f>
        <v>1796</v>
      </c>
      <c r="D977" s="297">
        <f>Input!D$53*D398</f>
        <v>0</v>
      </c>
      <c r="E977" s="229">
        <f>Input!E$53*E398</f>
        <v>0</v>
      </c>
      <c r="F977" s="229">
        <f>Input!F$53*F398</f>
        <v>0</v>
      </c>
      <c r="G977" s="229">
        <f>Input!G$53*G398</f>
        <v>0</v>
      </c>
      <c r="H977" s="229">
        <f>Input!H$53*H398</f>
        <v>0</v>
      </c>
      <c r="I977" s="229">
        <f>Input!I$53*I398</f>
        <v>0</v>
      </c>
      <c r="J977" s="229">
        <f>Input!J$53*J398</f>
        <v>0</v>
      </c>
      <c r="K977" s="229">
        <f>Input!K$53*K398</f>
        <v>0</v>
      </c>
      <c r="L977" s="229">
        <f>Input!L$53*L398</f>
        <v>0</v>
      </c>
      <c r="M977" s="229">
        <f>Input!M$53*M398</f>
        <v>0</v>
      </c>
      <c r="N977" s="229">
        <f>Input!N$53*N398</f>
        <v>0</v>
      </c>
      <c r="O977" s="229">
        <f>Input!O$53*O398</f>
        <v>0</v>
      </c>
      <c r="P977" s="229">
        <f>Input!P$53*P398</f>
        <v>0</v>
      </c>
      <c r="Q977" s="229">
        <f>Input!Q$53*Q398</f>
        <v>0</v>
      </c>
      <c r="R977" s="229">
        <f>Input!R$53*R398</f>
        <v>0</v>
      </c>
      <c r="S977" s="229">
        <f>Input!S$53*S398</f>
        <v>0</v>
      </c>
      <c r="T977" s="229">
        <f>Input!T$53*T398</f>
        <v>0</v>
      </c>
      <c r="U977" s="229">
        <f>Input!U$53*U398</f>
        <v>0</v>
      </c>
      <c r="V977" s="229">
        <f>Input!V$53*V398</f>
        <v>0</v>
      </c>
      <c r="W977" s="229">
        <f>Input!W$53*W398</f>
        <v>0</v>
      </c>
      <c r="X977" s="229">
        <f>Input!X$53*X398</f>
        <v>0</v>
      </c>
      <c r="Y977" s="229">
        <f>Input!Y$53*Y398</f>
        <v>0</v>
      </c>
      <c r="Z977" s="229">
        <f>Input!Z$53*Z398</f>
        <v>0</v>
      </c>
      <c r="AA977" s="229">
        <f>Input!AA$53*AA398</f>
        <v>0</v>
      </c>
      <c r="AB977" s="298">
        <f>Input!AB$53*AB398</f>
        <v>0</v>
      </c>
      <c r="CH977" s="269"/>
      <c r="CI977" s="269"/>
      <c r="CJ977" s="269"/>
      <c r="CK977" s="269"/>
      <c r="CL977" s="269"/>
      <c r="CM977" s="269"/>
      <c r="CN977" s="269"/>
      <c r="CO977" s="269"/>
      <c r="CP977" s="269"/>
      <c r="CQ977" s="269"/>
      <c r="CR977" s="269"/>
      <c r="CS977" s="269"/>
    </row>
    <row r="978" spans="2:97" ht="12.75" customHeight="1" thickBot="1" x14ac:dyDescent="0.35">
      <c r="C978" s="638">
        <f>C915</f>
        <v>1827</v>
      </c>
      <c r="D978" s="301">
        <f>Input!D$53*D399</f>
        <v>0</v>
      </c>
      <c r="E978" s="302">
        <f>Input!E$53*E399</f>
        <v>0</v>
      </c>
      <c r="F978" s="302">
        <f>Input!F$53*F399</f>
        <v>0</v>
      </c>
      <c r="G978" s="302">
        <f>Input!G$53*G399</f>
        <v>0</v>
      </c>
      <c r="H978" s="302">
        <f>Input!H$53*H399</f>
        <v>0</v>
      </c>
      <c r="I978" s="302">
        <f>Input!I$53*I399</f>
        <v>0</v>
      </c>
      <c r="J978" s="302">
        <f>Input!J$53*J399</f>
        <v>0</v>
      </c>
      <c r="K978" s="302">
        <f>Input!K$53*K399</f>
        <v>0</v>
      </c>
      <c r="L978" s="302">
        <f>Input!L$53*L399</f>
        <v>0</v>
      </c>
      <c r="M978" s="302">
        <f>Input!M$53*M399</f>
        <v>0</v>
      </c>
      <c r="N978" s="302">
        <f>Input!N$53*N399</f>
        <v>0</v>
      </c>
      <c r="O978" s="302">
        <f>Input!O$53*O399</f>
        <v>0</v>
      </c>
      <c r="P978" s="302">
        <f>Input!P$53*P399</f>
        <v>0</v>
      </c>
      <c r="Q978" s="302">
        <f>Input!Q$53*Q399</f>
        <v>0</v>
      </c>
      <c r="R978" s="302">
        <f>Input!R$53*R399</f>
        <v>0</v>
      </c>
      <c r="S978" s="302">
        <f>Input!S$53*S399</f>
        <v>0</v>
      </c>
      <c r="T978" s="302">
        <f>Input!T$53*T399</f>
        <v>0</v>
      </c>
      <c r="U978" s="302">
        <f>Input!U$53*U399</f>
        <v>0</v>
      </c>
      <c r="V978" s="302">
        <f>Input!V$53*V399</f>
        <v>0</v>
      </c>
      <c r="W978" s="302">
        <f>Input!W$53*W399</f>
        <v>0</v>
      </c>
      <c r="X978" s="302">
        <f>Input!X$53*X399</f>
        <v>0</v>
      </c>
      <c r="Y978" s="302">
        <f>Input!Y$53*Y399</f>
        <v>0</v>
      </c>
      <c r="Z978" s="302">
        <f>Input!Z$53*Z399</f>
        <v>0</v>
      </c>
      <c r="AA978" s="302">
        <f>Input!AA$53*AA399</f>
        <v>0</v>
      </c>
      <c r="AB978" s="303">
        <f>Input!AB$53*AB399</f>
        <v>0</v>
      </c>
      <c r="CH978" s="269"/>
      <c r="CI978" s="269"/>
      <c r="CJ978" s="269"/>
      <c r="CK978" s="269"/>
      <c r="CL978" s="269"/>
      <c r="CM978" s="269"/>
      <c r="CN978" s="269"/>
      <c r="CO978" s="269"/>
      <c r="CP978" s="269"/>
      <c r="CQ978" s="269"/>
      <c r="CR978" s="269"/>
      <c r="CS978" s="269"/>
    </row>
    <row r="979" spans="2:97" x14ac:dyDescent="0.3">
      <c r="C979" s="1347" t="s">
        <v>131</v>
      </c>
      <c r="D979" s="481">
        <f>SUM(D919:D978)</f>
        <v>0</v>
      </c>
      <c r="E979" s="481">
        <f>SUM(E919:E978)</f>
        <v>0</v>
      </c>
      <c r="F979" s="481">
        <f>SUM(F919:F978)</f>
        <v>0</v>
      </c>
      <c r="G979" s="481">
        <f>SUM(G919:G978)</f>
        <v>0</v>
      </c>
      <c r="H979" s="481">
        <f>SUM(H919:H978)</f>
        <v>0</v>
      </c>
      <c r="I979" s="481">
        <f>SUM(I919:I978)</f>
        <v>0</v>
      </c>
      <c r="J979" s="481">
        <f>SUM(J919:J978)</f>
        <v>0</v>
      </c>
      <c r="K979" s="481">
        <f>SUM(K919:K978)</f>
        <v>0</v>
      </c>
      <c r="L979" s="481">
        <f>SUM(L919:L978)</f>
        <v>0</v>
      </c>
      <c r="M979" s="481">
        <f>SUM(M919:M978)</f>
        <v>0</v>
      </c>
      <c r="N979" s="481">
        <f>SUM(N919:N978)</f>
        <v>0</v>
      </c>
      <c r="O979" s="481">
        <f>SUM(O919:O978)</f>
        <v>0</v>
      </c>
      <c r="P979" s="481">
        <f>SUM(P919:P978)</f>
        <v>0</v>
      </c>
      <c r="Q979" s="481">
        <f>SUM(Q919:Q978)</f>
        <v>0</v>
      </c>
      <c r="R979" s="481">
        <f>SUM(R919:R978)</f>
        <v>0</v>
      </c>
      <c r="S979" s="481">
        <f>SUM(S919:S978)</f>
        <v>0</v>
      </c>
      <c r="T979" s="481">
        <f>SUM(T919:T978)</f>
        <v>0</v>
      </c>
      <c r="U979" s="481">
        <f>SUM(U919:U978)</f>
        <v>0</v>
      </c>
      <c r="V979" s="481">
        <f>SUM(V919:V978)</f>
        <v>0</v>
      </c>
      <c r="W979" s="481">
        <f>SUM(W919:W978)</f>
        <v>0</v>
      </c>
      <c r="X979" s="481">
        <f>SUM(X919:X978)</f>
        <v>0</v>
      </c>
      <c r="Y979" s="481">
        <f>SUM(Y919:Y978)</f>
        <v>0</v>
      </c>
      <c r="Z979" s="481">
        <f>SUM(Z919:Z978)</f>
        <v>0</v>
      </c>
      <c r="AA979" s="481">
        <f>SUM(AA919:AA978)</f>
        <v>0</v>
      </c>
      <c r="AB979" s="481">
        <f>SUM(AB919:AB978)</f>
        <v>0</v>
      </c>
      <c r="CH979" s="269"/>
      <c r="CI979" s="269"/>
      <c r="CJ979" s="269"/>
      <c r="CK979" s="269"/>
      <c r="CL979" s="269"/>
      <c r="CM979" s="269"/>
      <c r="CN979" s="269"/>
      <c r="CO979" s="269"/>
      <c r="CP979" s="269"/>
      <c r="CQ979" s="269"/>
      <c r="CR979" s="269"/>
      <c r="CS979" s="269"/>
    </row>
    <row r="980" spans="2:97" ht="15" customHeight="1" x14ac:dyDescent="0.35">
      <c r="B980" s="1830" t="s">
        <v>203</v>
      </c>
      <c r="C980" s="1830"/>
      <c r="D980" s="219"/>
      <c r="E980" s="219"/>
      <c r="F980" s="219"/>
      <c r="G980" s="219"/>
      <c r="H980" s="219"/>
      <c r="I980" s="219"/>
      <c r="J980" s="219"/>
      <c r="K980" s="219"/>
      <c r="L980" s="219"/>
      <c r="M980" s="219"/>
      <c r="N980" s="219"/>
      <c r="O980" s="219"/>
      <c r="P980" s="219"/>
      <c r="Q980" s="219"/>
      <c r="R980" s="219"/>
      <c r="S980" s="219"/>
      <c r="T980" s="219"/>
      <c r="U980" s="219"/>
      <c r="V980" s="219"/>
      <c r="W980" s="219"/>
      <c r="X980" s="219"/>
      <c r="Y980" s="219"/>
      <c r="Z980" s="219"/>
      <c r="AA980" s="219"/>
      <c r="AB980" s="219"/>
      <c r="CH980" s="269"/>
      <c r="CI980" s="269"/>
      <c r="CJ980" s="269"/>
      <c r="CK980" s="269"/>
      <c r="CL980" s="269"/>
      <c r="CM980" s="269"/>
      <c r="CN980" s="269"/>
      <c r="CO980" s="269"/>
      <c r="CP980" s="269"/>
      <c r="CQ980" s="269"/>
      <c r="CR980" s="269"/>
      <c r="CS980" s="269"/>
    </row>
    <row r="981" spans="2:97" ht="12.75" customHeight="1" thickBot="1" x14ac:dyDescent="0.35">
      <c r="B981" s="1830"/>
      <c r="C981" s="1830"/>
      <c r="D981" s="818" t="str">
        <f>D339</f>
        <v>Item 1</v>
      </c>
      <c r="E981" s="818" t="str">
        <f>E339</f>
        <v>Item 2</v>
      </c>
      <c r="F981" s="818" t="str">
        <f>F339</f>
        <v>Item 3</v>
      </c>
      <c r="G981" s="818" t="str">
        <f>G339</f>
        <v>Item 4</v>
      </c>
      <c r="H981" s="818" t="str">
        <f>H339</f>
        <v>Item 5</v>
      </c>
      <c r="I981" s="818" t="str">
        <f>I339</f>
        <v>Item 6</v>
      </c>
      <c r="J981" s="818" t="str">
        <f>J339</f>
        <v>Item 7</v>
      </c>
      <c r="K981" s="818" t="str">
        <f>K339</f>
        <v>Item 8</v>
      </c>
      <c r="L981" s="818" t="str">
        <f>L339</f>
        <v>Item 9</v>
      </c>
      <c r="M981" s="818" t="str">
        <f>M339</f>
        <v>Item 10</v>
      </c>
      <c r="N981" s="818" t="str">
        <f>N339</f>
        <v>Item 11</v>
      </c>
      <c r="O981" s="818" t="str">
        <f>O339</f>
        <v>Item 12</v>
      </c>
      <c r="P981" s="818" t="str">
        <f>P339</f>
        <v>Item 13</v>
      </c>
      <c r="Q981" s="818" t="str">
        <f>Q339</f>
        <v>Item 14</v>
      </c>
      <c r="R981" s="818" t="str">
        <f>R339</f>
        <v>Item 15</v>
      </c>
      <c r="S981" s="818" t="str">
        <f>S339</f>
        <v>Item 16</v>
      </c>
      <c r="T981" s="818" t="str">
        <f>T339</f>
        <v>Item 17</v>
      </c>
      <c r="U981" s="818" t="str">
        <f>U339</f>
        <v>Item 18</v>
      </c>
      <c r="V981" s="818" t="str">
        <f>V339</f>
        <v>Item 19</v>
      </c>
      <c r="W981" s="818" t="str">
        <f>W339</f>
        <v>Item 20</v>
      </c>
      <c r="X981" s="818" t="str">
        <f>X339</f>
        <v>Item 21</v>
      </c>
      <c r="Y981" s="818" t="str">
        <f>Y339</f>
        <v>Item 22</v>
      </c>
      <c r="Z981" s="818" t="str">
        <f>Z339</f>
        <v>Item 23</v>
      </c>
      <c r="AA981" s="818" t="str">
        <f>AA339</f>
        <v>Item 24</v>
      </c>
      <c r="AB981" s="818" t="str">
        <f>AB339</f>
        <v>Item 25</v>
      </c>
      <c r="CH981" s="269"/>
      <c r="CI981" s="269"/>
      <c r="CJ981" s="269"/>
      <c r="CK981" s="269"/>
      <c r="CL981" s="269"/>
      <c r="CM981" s="269"/>
      <c r="CN981" s="269"/>
      <c r="CO981" s="269"/>
      <c r="CP981" s="269"/>
      <c r="CQ981" s="269"/>
      <c r="CR981" s="269"/>
      <c r="CS981" s="269"/>
    </row>
    <row r="982" spans="2:97" x14ac:dyDescent="0.3">
      <c r="C982" s="495">
        <f>C919</f>
        <v>0</v>
      </c>
      <c r="D982" s="227">
        <f>IF(D$338&gt;$D$33,0,IF(Input!D$54&lt;31,Input!D$54/30*D340,IF(Input!D$54&lt;61,(Input!D$54-30)/30*D340,IF(Input!D$54&lt;91,(Input!D$54-60)/30*D340,IF(Input!D$54&lt;121,(Input!D$54-90)/30*D340,IF(Input!D$54&lt;151,(Input!D$54-120)/30*D340,(Input!D$54-150)/30*D340))))))</f>
        <v>0</v>
      </c>
      <c r="E982" s="228">
        <f>IF(E$338&gt;$D$33,0,IF(Input!E$54&lt;31,Input!E$54/30*E340,IF(Input!E$54&lt;61,(Input!E$54-30)/30*E340,IF(Input!E$54&lt;91,(Input!E$54-60)/30*E340,IF(Input!E$54&lt;121,(Input!E$54-90)/30*E340,IF(Input!E$54&lt;151,(Input!E$54-120)/30*E340,(Input!E$54-150)/30*E340))))))</f>
        <v>0</v>
      </c>
      <c r="F982" s="228">
        <f>IF(F$338&gt;$D$33,0,IF(Input!F$54&lt;31,Input!F$54/30*F340,IF(Input!F$54&lt;61,(Input!F$54-30)/30*F340,IF(Input!F$54&lt;91,(Input!F$54-60)/30*F340,IF(Input!F$54&lt;121,(Input!F$54-90)/30*F340,IF(Input!F$54&lt;151,(Input!F$54-120)/30*F340,(Input!F$54-150)/30*F340))))))</f>
        <v>0</v>
      </c>
      <c r="G982" s="228">
        <f>IF(G$338&gt;$D$33,0,IF(Input!G$54&lt;31,Input!G$54/30*G340,IF(Input!G$54&lt;61,(Input!G$54-30)/30*G340,IF(Input!G$54&lt;91,(Input!G$54-60)/30*G340,IF(Input!G$54&lt;121,(Input!G$54-90)/30*G340,IF(Input!G$54&lt;151,(Input!G$54-120)/30*G340,(Input!G$54-150)/30*G340))))))</f>
        <v>0</v>
      </c>
      <c r="H982" s="228">
        <f>IF(H$338&gt;$D$33,0,IF(Input!H$54&lt;31,Input!H$54/30*H340,IF(Input!H$54&lt;61,(Input!H$54-30)/30*H340,IF(Input!H$54&lt;91,(Input!H$54-60)/30*H340,IF(Input!H$54&lt;121,(Input!H$54-90)/30*H340,IF(Input!H$54&lt;151,(Input!H$54-120)/30*H340,(Input!H$54-150)/30*H340))))))</f>
        <v>0</v>
      </c>
      <c r="I982" s="228">
        <f>IF(I$338&gt;$D$33,0,IF(Input!I$54&lt;31,Input!I$54/30*I340,IF(Input!I$54&lt;61,(Input!I$54-30)/30*I340,IF(Input!I$54&lt;91,(Input!I$54-60)/30*I340,IF(Input!I$54&lt;121,(Input!I$54-90)/30*I340,IF(Input!I$54&lt;151,(Input!I$54-120)/30*I340,(Input!I$54-150)/30*I340))))))</f>
        <v>0</v>
      </c>
      <c r="J982" s="228">
        <f>IF(J$338&gt;$D$33,0,IF(Input!J$54&lt;31,Input!J$54/30*J340,IF(Input!J$54&lt;61,(Input!J$54-30)/30*J340,IF(Input!J$54&lt;91,(Input!J$54-60)/30*J340,IF(Input!J$54&lt;121,(Input!J$54-90)/30*J340,IF(Input!J$54&lt;151,(Input!J$54-120)/30*J340,(Input!J$54-150)/30*J340))))))</f>
        <v>0</v>
      </c>
      <c r="K982" s="228">
        <f>IF(K$338&gt;$D$33,0,IF(Input!K$54&lt;31,Input!K$54/30*K340,IF(Input!K$54&lt;61,(Input!K$54-30)/30*K340,IF(Input!K$54&lt;91,(Input!K$54-60)/30*K340,IF(Input!K$54&lt;121,(Input!K$54-90)/30*K340,IF(Input!K$54&lt;151,(Input!K$54-120)/30*K340,(Input!K$54-150)/30*K340))))))</f>
        <v>0</v>
      </c>
      <c r="L982" s="228">
        <f>IF(L$338&gt;$D$33,0,IF(Input!L$54&lt;31,Input!L$54/30*L340,IF(Input!L$54&lt;61,(Input!L$54-30)/30*L340,IF(Input!L$54&lt;91,(Input!L$54-60)/30*L340,IF(Input!L$54&lt;121,(Input!L$54-90)/30*L340,IF(Input!L$54&lt;151,(Input!L$54-120)/30*L340,(Input!L$54-150)/30*L340))))))</f>
        <v>0</v>
      </c>
      <c r="M982" s="228">
        <f>IF(M$338&gt;$D$33,0,IF(Input!M$54&lt;31,Input!M$54/30*M340,IF(Input!M$54&lt;61,(Input!M$54-30)/30*M340,IF(Input!M$54&lt;91,(Input!M$54-60)/30*M340,IF(Input!M$54&lt;121,(Input!M$54-90)/30*M340,IF(Input!M$54&lt;151,(Input!M$54-120)/30*M340,(Input!M$54-150)/30*M340))))))</f>
        <v>0</v>
      </c>
      <c r="N982" s="228">
        <f>IF(N$338&gt;$D$33,0,IF(Input!N$54&lt;31,Input!N$54/30*N340,IF(Input!N$54&lt;61,(Input!N$54-30)/30*N340,IF(Input!N$54&lt;91,(Input!N$54-60)/30*N340,IF(Input!N$54&lt;121,(Input!N$54-90)/30*N340,IF(Input!N$54&lt;151,(Input!N$54-120)/30*N340,(Input!N$54-150)/30*N340))))))</f>
        <v>0</v>
      </c>
      <c r="O982" s="228">
        <f>IF(O$338&gt;$D$33,0,IF(Input!O$54&lt;31,Input!O$54/30*O340,IF(Input!O$54&lt;61,(Input!O$54-30)/30*O340,IF(Input!O$54&lt;91,(Input!O$54-60)/30*O340,IF(Input!O$54&lt;121,(Input!O$54-90)/30*O340,IF(Input!O$54&lt;151,(Input!O$54-120)/30*O340,(Input!O$54-150)/30*O340))))))</f>
        <v>0</v>
      </c>
      <c r="P982" s="228">
        <f>IF(P$338&gt;$D$33,0,IF(Input!P$54&lt;31,Input!P$54/30*P340,IF(Input!P$54&lt;61,(Input!P$54-30)/30*P340,IF(Input!P$54&lt;91,(Input!P$54-60)/30*P340,IF(Input!P$54&lt;121,(Input!P$54-90)/30*P340,IF(Input!P$54&lt;151,(Input!P$54-120)/30*P340,(Input!P$54-150)/30*P340))))))</f>
        <v>0</v>
      </c>
      <c r="Q982" s="228">
        <f>IF(Q$338&gt;$D$33,0,IF(Input!Q$54&lt;31,Input!Q$54/30*Q340,IF(Input!Q$54&lt;61,(Input!Q$54-30)/30*Q340,IF(Input!Q$54&lt;91,(Input!Q$54-60)/30*Q340,IF(Input!Q$54&lt;121,(Input!Q$54-90)/30*Q340,IF(Input!Q$54&lt;151,(Input!Q$54-120)/30*Q340,(Input!Q$54-150)/30*Q340))))))</f>
        <v>0</v>
      </c>
      <c r="R982" s="228">
        <f>IF(R$338&gt;$D$33,0,IF(Input!R$54&lt;31,Input!R$54/30*R340,IF(Input!R$54&lt;61,(Input!R$54-30)/30*R340,IF(Input!R$54&lt;91,(Input!R$54-60)/30*R340,IF(Input!R$54&lt;121,(Input!R$54-90)/30*R340,IF(Input!R$54&lt;151,(Input!R$54-120)/30*R340,(Input!R$54-150)/30*R340))))))</f>
        <v>0</v>
      </c>
      <c r="S982" s="228">
        <f>IF(S$338&gt;$D$33,0,IF(Input!S$54&lt;31,Input!S$54/30*S340,IF(Input!S$54&lt;61,(Input!S$54-30)/30*S340,IF(Input!S$54&lt;91,(Input!S$54-60)/30*S340,IF(Input!S$54&lt;121,(Input!S$54-90)/30*S340,IF(Input!S$54&lt;151,(Input!S$54-120)/30*S340,(Input!S$54-150)/30*S340))))))</f>
        <v>0</v>
      </c>
      <c r="T982" s="228">
        <f>IF(T$338&gt;$D$33,0,IF(Input!T$54&lt;31,Input!T$54/30*T340,IF(Input!T$54&lt;61,(Input!T$54-30)/30*T340,IF(Input!T$54&lt;91,(Input!T$54-60)/30*T340,IF(Input!T$54&lt;121,(Input!T$54-90)/30*T340,IF(Input!T$54&lt;151,(Input!T$54-120)/30*T340,(Input!T$54-150)/30*T340))))))</f>
        <v>0</v>
      </c>
      <c r="U982" s="228">
        <f>IF(U$338&gt;$D$33,0,IF(Input!U$54&lt;31,Input!U$54/30*U340,IF(Input!U$54&lt;61,(Input!U$54-30)/30*U340,IF(Input!U$54&lt;91,(Input!U$54-60)/30*U340,IF(Input!U$54&lt;121,(Input!U$54-90)/30*U340,IF(Input!U$54&lt;151,(Input!U$54-120)/30*U340,(Input!U$54-150)/30*U340))))))</f>
        <v>0</v>
      </c>
      <c r="V982" s="228">
        <f>IF(V$338&gt;$D$33,0,IF(Input!V$54&lt;31,Input!V$54/30*V340,IF(Input!V$54&lt;61,(Input!V$54-30)/30*V340,IF(Input!V$54&lt;91,(Input!V$54-60)/30*V340,IF(Input!V$54&lt;121,(Input!V$54-90)/30*V340,IF(Input!V$54&lt;151,(Input!V$54-120)/30*V340,(Input!V$54-150)/30*V340))))))</f>
        <v>0</v>
      </c>
      <c r="W982" s="228">
        <f>IF(W$338&gt;$D$33,0,IF(Input!W$54&lt;31,Input!W$54/30*W340,IF(Input!W$54&lt;61,(Input!W$54-30)/30*W340,IF(Input!W$54&lt;91,(Input!W$54-60)/30*W340,IF(Input!W$54&lt;121,(Input!W$54-90)/30*W340,IF(Input!W$54&lt;151,(Input!W$54-120)/30*W340,(Input!W$54-150)/30*W340))))))</f>
        <v>0</v>
      </c>
      <c r="X982" s="228">
        <f>IF(X$338&gt;$D$33,0,IF(Input!X$54&lt;31,Input!X$54/30*X340,IF(Input!X$54&lt;61,(Input!X$54-30)/30*X340,IF(Input!X$54&lt;91,(Input!X$54-60)/30*X340,IF(Input!X$54&lt;121,(Input!X$54-90)/30*X340,IF(Input!X$54&lt;151,(Input!X$54-120)/30*X340,(Input!X$54-150)/30*X340))))))</f>
        <v>0</v>
      </c>
      <c r="Y982" s="228">
        <f>IF(Y$338&gt;$D$33,0,IF(Input!Y$54&lt;31,Input!Y$54/30*Y340,IF(Input!Y$54&lt;61,(Input!Y$54-30)/30*Y340,IF(Input!Y$54&lt;91,(Input!Y$54-60)/30*Y340,IF(Input!Y$54&lt;121,(Input!Y$54-90)/30*Y340,IF(Input!Y$54&lt;151,(Input!Y$54-120)/30*Y340,(Input!Y$54-150)/30*Y340))))))</f>
        <v>0</v>
      </c>
      <c r="Z982" s="228">
        <f>IF(Z$338&gt;$D$33,0,IF(Input!Z$54&lt;31,Input!Z$54/30*Z340,IF(Input!Z$54&lt;61,(Input!Z$54-30)/30*Z340,IF(Input!Z$54&lt;91,(Input!Z$54-60)/30*Z340,IF(Input!Z$54&lt;121,(Input!Z$54-90)/30*Z340,IF(Input!Z$54&lt;151,(Input!Z$54-120)/30*Z340,(Input!Z$54-150)/30*Z340))))))</f>
        <v>0</v>
      </c>
      <c r="AA982" s="228">
        <f>IF(AA$338&gt;$D$33,0,IF(Input!AA$54&lt;31,Input!AA$54/30*AA340,IF(Input!AA$54&lt;61,(Input!AA$54-30)/30*AA340,IF(Input!AA$54&lt;91,(Input!AA$54-60)/30*AA340,IF(Input!AA$54&lt;121,(Input!AA$54-90)/30*AA340,IF(Input!AA$54&lt;151,(Input!AA$54-120)/30*AA340,(Input!AA$54-150)/30*AA340))))))</f>
        <v>0</v>
      </c>
      <c r="AB982" s="228">
        <f>IF(AB$338&gt;$D$33,0,IF(Input!AB$54&lt;31,Input!AB$54/30*AB340,IF(Input!AB$54&lt;61,(Input!AB$54-30)/30*AB340,IF(Input!AB$54&lt;91,(Input!AB$54-60)/30*AB340,IF(Input!AB$54&lt;121,(Input!AB$54-90)/30*AB340,IF(Input!AB$54&lt;151,(Input!AB$54-120)/30*AB340,(Input!AB$54-150)/30*AB340))))))</f>
        <v>0</v>
      </c>
      <c r="CP982" s="269"/>
      <c r="CQ982" s="269"/>
      <c r="CR982" s="269"/>
      <c r="CS982" s="269"/>
    </row>
    <row r="983" spans="2:97" x14ac:dyDescent="0.3">
      <c r="C983" s="495">
        <f>C920</f>
        <v>59</v>
      </c>
      <c r="D983" s="229">
        <f>IF(D$338&gt;$D$33,0,IF(Input!D$54&lt;31,Input!D$54/30*D341,IF(Input!D$54&lt;61,(Input!D$54-30)/30*D341,IF(Input!D$54&lt;91,(Input!D$54-60)/30*D341,IF(Input!D$54&lt;121,(Input!D$54-90)/30*D341,IF(Input!D$54&lt;151,(Input!D$54-120)/30*D341,(Input!D$54-150)/30*D341))))))</f>
        <v>0</v>
      </c>
      <c r="E983" s="229">
        <f>IF(E$338&gt;$D$33,0,IF(Input!E$54&lt;31,Input!E$54/30*E341,IF(Input!E$54&lt;61,(Input!E$54-30)/30*E341,IF(Input!E$54&lt;91,(Input!E$54-60)/30*E341,IF(Input!E$54&lt;121,(Input!E$54-90)/30*E341,IF(Input!E$54&lt;151,(Input!E$54-120)/30*E341,(Input!E$54-150)/30*E341))))))</f>
        <v>0</v>
      </c>
      <c r="F983" s="229">
        <f>IF(F$338&gt;$D$33,0,IF(Input!F$54&lt;31,Input!F$54/30*F341,IF(Input!F$54&lt;61,(Input!F$54-30)/30*F341,IF(Input!F$54&lt;91,(Input!F$54-60)/30*F341,IF(Input!F$54&lt;121,(Input!F$54-90)/30*F341,IF(Input!F$54&lt;151,(Input!F$54-120)/30*F341,(Input!F$54-150)/30*F341))))))</f>
        <v>0</v>
      </c>
      <c r="G983" s="229">
        <f>IF(G$338&gt;$D$33,0,IF(Input!G$54&lt;31,Input!G$54/30*G341,IF(Input!G$54&lt;61,(Input!G$54-30)/30*G341,IF(Input!G$54&lt;91,(Input!G$54-60)/30*G341,IF(Input!G$54&lt;121,(Input!G$54-90)/30*G341,IF(Input!G$54&lt;151,(Input!G$54-120)/30*G341,(Input!G$54-150)/30*G341))))))</f>
        <v>0</v>
      </c>
      <c r="H983" s="229">
        <f>IF(H$338&gt;$D$33,0,IF(Input!H$54&lt;31,Input!H$54/30*H341,IF(Input!H$54&lt;61,(Input!H$54-30)/30*H341,IF(Input!H$54&lt;91,(Input!H$54-60)/30*H341,IF(Input!H$54&lt;121,(Input!H$54-90)/30*H341,IF(Input!H$54&lt;151,(Input!H$54-120)/30*H341,(Input!H$54-150)/30*H341))))))</f>
        <v>0</v>
      </c>
      <c r="I983" s="229">
        <f>IF(I$338&gt;$D$33,0,IF(Input!I$54&lt;31,Input!I$54/30*I341,IF(Input!I$54&lt;61,(Input!I$54-30)/30*I341,IF(Input!I$54&lt;91,(Input!I$54-60)/30*I341,IF(Input!I$54&lt;121,(Input!I$54-90)/30*I341,IF(Input!I$54&lt;151,(Input!I$54-120)/30*I341,(Input!I$54-150)/30*I341))))))</f>
        <v>0</v>
      </c>
      <c r="J983" s="229">
        <f>IF(J$338&gt;$D$33,0,IF(Input!J$54&lt;31,Input!J$54/30*J341,IF(Input!J$54&lt;61,(Input!J$54-30)/30*J341,IF(Input!J$54&lt;91,(Input!J$54-60)/30*J341,IF(Input!J$54&lt;121,(Input!J$54-90)/30*J341,IF(Input!J$54&lt;151,(Input!J$54-120)/30*J341,(Input!J$54-150)/30*J341))))))</f>
        <v>0</v>
      </c>
      <c r="K983" s="229">
        <f>IF(K$338&gt;$D$33,0,IF(Input!K$54&lt;31,Input!K$54/30*K341,IF(Input!K$54&lt;61,(Input!K$54-30)/30*K341,IF(Input!K$54&lt;91,(Input!K$54-60)/30*K341,IF(Input!K$54&lt;121,(Input!K$54-90)/30*K341,IF(Input!K$54&lt;151,(Input!K$54-120)/30*K341,(Input!K$54-150)/30*K341))))))</f>
        <v>0</v>
      </c>
      <c r="L983" s="229">
        <f>IF(L$338&gt;$D$33,0,IF(Input!L$54&lt;31,Input!L$54/30*L341,IF(Input!L$54&lt;61,(Input!L$54-30)/30*L341,IF(Input!L$54&lt;91,(Input!L$54-60)/30*L341,IF(Input!L$54&lt;121,(Input!L$54-90)/30*L341,IF(Input!L$54&lt;151,(Input!L$54-120)/30*L341,(Input!L$54-150)/30*L341))))))</f>
        <v>0</v>
      </c>
      <c r="M983" s="229">
        <f>IF(M$338&gt;$D$33,0,IF(Input!M$54&lt;31,Input!M$54/30*M341,IF(Input!M$54&lt;61,(Input!M$54-30)/30*M341,IF(Input!M$54&lt;91,(Input!M$54-60)/30*M341,IF(Input!M$54&lt;121,(Input!M$54-90)/30*M341,IF(Input!M$54&lt;151,(Input!M$54-120)/30*M341,(Input!M$54-150)/30*M341))))))</f>
        <v>0</v>
      </c>
      <c r="N983" s="229">
        <f>IF(N$338&gt;$D$33,0,IF(Input!N$54&lt;31,Input!N$54/30*N341,IF(Input!N$54&lt;61,(Input!N$54-30)/30*N341,IF(Input!N$54&lt;91,(Input!N$54-60)/30*N341,IF(Input!N$54&lt;121,(Input!N$54-90)/30*N341,IF(Input!N$54&lt;151,(Input!N$54-120)/30*N341,(Input!N$54-150)/30*N341))))))</f>
        <v>0</v>
      </c>
      <c r="O983" s="229">
        <f>IF(O$338&gt;$D$33,0,IF(Input!O$54&lt;31,Input!O$54/30*O341,IF(Input!O$54&lt;61,(Input!O$54-30)/30*O341,IF(Input!O$54&lt;91,(Input!O$54-60)/30*O341,IF(Input!O$54&lt;121,(Input!O$54-90)/30*O341,IF(Input!O$54&lt;151,(Input!O$54-120)/30*O341,(Input!O$54-150)/30*O341))))))</f>
        <v>0</v>
      </c>
      <c r="P983" s="229">
        <f>IF(P$338&gt;$D$33,0,IF(Input!P$54&lt;31,Input!P$54/30*P341,IF(Input!P$54&lt;61,(Input!P$54-30)/30*P341,IF(Input!P$54&lt;91,(Input!P$54-60)/30*P341,IF(Input!P$54&lt;121,(Input!P$54-90)/30*P341,IF(Input!P$54&lt;151,(Input!P$54-120)/30*P341,(Input!P$54-150)/30*P341))))))</f>
        <v>0</v>
      </c>
      <c r="Q983" s="229">
        <f>IF(Q$338&gt;$D$33,0,IF(Input!Q$54&lt;31,Input!Q$54/30*Q341,IF(Input!Q$54&lt;61,(Input!Q$54-30)/30*Q341,IF(Input!Q$54&lt;91,(Input!Q$54-60)/30*Q341,IF(Input!Q$54&lt;121,(Input!Q$54-90)/30*Q341,IF(Input!Q$54&lt;151,(Input!Q$54-120)/30*Q341,(Input!Q$54-150)/30*Q341))))))</f>
        <v>0</v>
      </c>
      <c r="R983" s="229">
        <f>IF(R$338&gt;$D$33,0,IF(Input!R$54&lt;31,Input!R$54/30*R341,IF(Input!R$54&lt;61,(Input!R$54-30)/30*R341,IF(Input!R$54&lt;91,(Input!R$54-60)/30*R341,IF(Input!R$54&lt;121,(Input!R$54-90)/30*R341,IF(Input!R$54&lt;151,(Input!R$54-120)/30*R341,(Input!R$54-150)/30*R341))))))</f>
        <v>0</v>
      </c>
      <c r="S983" s="229">
        <f>IF(S$338&gt;$D$33,0,IF(Input!S$54&lt;31,Input!S$54/30*S341,IF(Input!S$54&lt;61,(Input!S$54-30)/30*S341,IF(Input!S$54&lt;91,(Input!S$54-60)/30*S341,IF(Input!S$54&lt;121,(Input!S$54-90)/30*S341,IF(Input!S$54&lt;151,(Input!S$54-120)/30*S341,(Input!S$54-150)/30*S341))))))</f>
        <v>0</v>
      </c>
      <c r="T983" s="229">
        <f>IF(T$338&gt;$D$33,0,IF(Input!T$54&lt;31,Input!T$54/30*T341,IF(Input!T$54&lt;61,(Input!T$54-30)/30*T341,IF(Input!T$54&lt;91,(Input!T$54-60)/30*T341,IF(Input!T$54&lt;121,(Input!T$54-90)/30*T341,IF(Input!T$54&lt;151,(Input!T$54-120)/30*T341,(Input!T$54-150)/30*T341))))))</f>
        <v>0</v>
      </c>
      <c r="U983" s="229">
        <f>IF(U$338&gt;$D$33,0,IF(Input!U$54&lt;31,Input!U$54/30*U341,IF(Input!U$54&lt;61,(Input!U$54-30)/30*U341,IF(Input!U$54&lt;91,(Input!U$54-60)/30*U341,IF(Input!U$54&lt;121,(Input!U$54-90)/30*U341,IF(Input!U$54&lt;151,(Input!U$54-120)/30*U341,(Input!U$54-150)/30*U341))))))</f>
        <v>0</v>
      </c>
      <c r="V983" s="229">
        <f>IF(V$338&gt;$D$33,0,IF(Input!V$54&lt;31,Input!V$54/30*V341,IF(Input!V$54&lt;61,(Input!V$54-30)/30*V341,IF(Input!V$54&lt;91,(Input!V$54-60)/30*V341,IF(Input!V$54&lt;121,(Input!V$54-90)/30*V341,IF(Input!V$54&lt;151,(Input!V$54-120)/30*V341,(Input!V$54-150)/30*V341))))))</f>
        <v>0</v>
      </c>
      <c r="W983" s="229">
        <f>IF(W$338&gt;$D$33,0,IF(Input!W$54&lt;31,Input!W$54/30*W341,IF(Input!W$54&lt;61,(Input!W$54-30)/30*W341,IF(Input!W$54&lt;91,(Input!W$54-60)/30*W341,IF(Input!W$54&lt;121,(Input!W$54-90)/30*W341,IF(Input!W$54&lt;151,(Input!W$54-120)/30*W341,(Input!W$54-150)/30*W341))))))</f>
        <v>0</v>
      </c>
      <c r="X983" s="229">
        <f>IF(X$338&gt;$D$33,0,IF(Input!X$54&lt;31,Input!X$54/30*X341,IF(Input!X$54&lt;61,(Input!X$54-30)/30*X341,IF(Input!X$54&lt;91,(Input!X$54-60)/30*X341,IF(Input!X$54&lt;121,(Input!X$54-90)/30*X341,IF(Input!X$54&lt;151,(Input!X$54-120)/30*X341,(Input!X$54-150)/30*X341))))))</f>
        <v>0</v>
      </c>
      <c r="Y983" s="229">
        <f>IF(Y$338&gt;$D$33,0,IF(Input!Y$54&lt;31,Input!Y$54/30*Y341,IF(Input!Y$54&lt;61,(Input!Y$54-30)/30*Y341,IF(Input!Y$54&lt;91,(Input!Y$54-60)/30*Y341,IF(Input!Y$54&lt;121,(Input!Y$54-90)/30*Y341,IF(Input!Y$54&lt;151,(Input!Y$54-120)/30*Y341,(Input!Y$54-150)/30*Y341))))))</f>
        <v>0</v>
      </c>
      <c r="Z983" s="229">
        <f>IF(Z$338&gt;$D$33,0,IF(Input!Z$54&lt;31,Input!Z$54/30*Z341,IF(Input!Z$54&lt;61,(Input!Z$54-30)/30*Z341,IF(Input!Z$54&lt;91,(Input!Z$54-60)/30*Z341,IF(Input!Z$54&lt;121,(Input!Z$54-90)/30*Z341,IF(Input!Z$54&lt;151,(Input!Z$54-120)/30*Z341,(Input!Z$54-150)/30*Z341))))))</f>
        <v>0</v>
      </c>
      <c r="AA983" s="229">
        <f>IF(AA$338&gt;$D$33,0,IF(Input!AA$54&lt;31,Input!AA$54/30*AA341,IF(Input!AA$54&lt;61,(Input!AA$54-30)/30*AA341,IF(Input!AA$54&lt;91,(Input!AA$54-60)/30*AA341,IF(Input!AA$54&lt;121,(Input!AA$54-90)/30*AA341,IF(Input!AA$54&lt;151,(Input!AA$54-120)/30*AA341,(Input!AA$54-150)/30*AA341))))))</f>
        <v>0</v>
      </c>
      <c r="AB983" s="229">
        <f>IF(AB$338&gt;$D$33,0,IF(Input!AB$54&lt;31,Input!AB$54/30*AB341,IF(Input!AB$54&lt;61,(Input!AB$54-30)/30*AB341,IF(Input!AB$54&lt;91,(Input!AB$54-60)/30*AB341,IF(Input!AB$54&lt;121,(Input!AB$54-90)/30*AB341,IF(Input!AB$54&lt;151,(Input!AB$54-120)/30*AB341,(Input!AB$54-150)/30*AB341))))))</f>
        <v>0</v>
      </c>
      <c r="CH983" s="269"/>
      <c r="CI983" s="269"/>
      <c r="CJ983" s="269"/>
      <c r="CK983" s="269"/>
      <c r="CL983" s="269"/>
      <c r="CM983" s="269"/>
      <c r="CN983" s="269"/>
      <c r="CO983" s="269"/>
      <c r="CP983" s="269"/>
      <c r="CQ983" s="269"/>
      <c r="CR983" s="269"/>
      <c r="CS983" s="269"/>
    </row>
    <row r="984" spans="2:97" x14ac:dyDescent="0.3">
      <c r="C984" s="495">
        <f>C921</f>
        <v>91</v>
      </c>
      <c r="D984" s="229">
        <f>IF(D$338&gt;$D$33,0,IF(Input!D$54&lt;31,Input!D$54/30*D342,IF(Input!D$54&lt;61,(Input!D$54-30)/30*D342,IF(Input!D$54&lt;91,(Input!D$54-60)/30*D342,IF(Input!D$54&lt;121,(Input!D$54-90)/30*D342,IF(Input!D$54&lt;151,(Input!D$54-120)/30*D342,(Input!D$54-150)/30*D342))))))</f>
        <v>0</v>
      </c>
      <c r="E984" s="229">
        <f>IF(E$338&gt;$D$33,0,IF(Input!E$54&lt;31,Input!E$54/30*E342,IF(Input!E$54&lt;61,(Input!E$54-30)/30*E342,IF(Input!E$54&lt;91,(Input!E$54-60)/30*E342,IF(Input!E$54&lt;121,(Input!E$54-90)/30*E342,IF(Input!E$54&lt;151,(Input!E$54-120)/30*E342,(Input!E$54-150)/30*E342))))))</f>
        <v>0</v>
      </c>
      <c r="F984" s="229">
        <f>IF(F$338&gt;$D$33,0,IF(Input!F$54&lt;31,Input!F$54/30*F342,IF(Input!F$54&lt;61,(Input!F$54-30)/30*F342,IF(Input!F$54&lt;91,(Input!F$54-60)/30*F342,IF(Input!F$54&lt;121,(Input!F$54-90)/30*F342,IF(Input!F$54&lt;151,(Input!F$54-120)/30*F342,(Input!F$54-150)/30*F342))))))</f>
        <v>0</v>
      </c>
      <c r="G984" s="229">
        <f>IF(G$338&gt;$D$33,0,IF(Input!G$54&lt;31,Input!G$54/30*G342,IF(Input!G$54&lt;61,(Input!G$54-30)/30*G342,IF(Input!G$54&lt;91,(Input!G$54-60)/30*G342,IF(Input!G$54&lt;121,(Input!G$54-90)/30*G342,IF(Input!G$54&lt;151,(Input!G$54-120)/30*G342,(Input!G$54-150)/30*G342))))))</f>
        <v>0</v>
      </c>
      <c r="H984" s="229">
        <f>IF(H$338&gt;$D$33,0,IF(Input!H$54&lt;31,Input!H$54/30*H342,IF(Input!H$54&lt;61,(Input!H$54-30)/30*H342,IF(Input!H$54&lt;91,(Input!H$54-60)/30*H342,IF(Input!H$54&lt;121,(Input!H$54-90)/30*H342,IF(Input!H$54&lt;151,(Input!H$54-120)/30*H342,(Input!H$54-150)/30*H342))))))</f>
        <v>0</v>
      </c>
      <c r="I984" s="229">
        <f>IF(I$338&gt;$D$33,0,IF(Input!I$54&lt;31,Input!I$54/30*I342,IF(Input!I$54&lt;61,(Input!I$54-30)/30*I342,IF(Input!I$54&lt;91,(Input!I$54-60)/30*I342,IF(Input!I$54&lt;121,(Input!I$54-90)/30*I342,IF(Input!I$54&lt;151,(Input!I$54-120)/30*I342,(Input!I$54-150)/30*I342))))))</f>
        <v>0</v>
      </c>
      <c r="J984" s="229">
        <f>IF(J$338&gt;$D$33,0,IF(Input!J$54&lt;31,Input!J$54/30*J342,IF(Input!J$54&lt;61,(Input!J$54-30)/30*J342,IF(Input!J$54&lt;91,(Input!J$54-60)/30*J342,IF(Input!J$54&lt;121,(Input!J$54-90)/30*J342,IF(Input!J$54&lt;151,(Input!J$54-120)/30*J342,(Input!J$54-150)/30*J342))))))</f>
        <v>0</v>
      </c>
      <c r="K984" s="229">
        <f>IF(K$338&gt;$D$33,0,IF(Input!K$54&lt;31,Input!K$54/30*K342,IF(Input!K$54&lt;61,(Input!K$54-30)/30*K342,IF(Input!K$54&lt;91,(Input!K$54-60)/30*K342,IF(Input!K$54&lt;121,(Input!K$54-90)/30*K342,IF(Input!K$54&lt;151,(Input!K$54-120)/30*K342,(Input!K$54-150)/30*K342))))))</f>
        <v>0</v>
      </c>
      <c r="L984" s="229">
        <f>IF(L$338&gt;$D$33,0,IF(Input!L$54&lt;31,Input!L$54/30*L342,IF(Input!L$54&lt;61,(Input!L$54-30)/30*L342,IF(Input!L$54&lt;91,(Input!L$54-60)/30*L342,IF(Input!L$54&lt;121,(Input!L$54-90)/30*L342,IF(Input!L$54&lt;151,(Input!L$54-120)/30*L342,(Input!L$54-150)/30*L342))))))</f>
        <v>0</v>
      </c>
      <c r="M984" s="229">
        <f>IF(M$338&gt;$D$33,0,IF(Input!M$54&lt;31,Input!M$54/30*M342,IF(Input!M$54&lt;61,(Input!M$54-30)/30*M342,IF(Input!M$54&lt;91,(Input!M$54-60)/30*M342,IF(Input!M$54&lt;121,(Input!M$54-90)/30*M342,IF(Input!M$54&lt;151,(Input!M$54-120)/30*M342,(Input!M$54-150)/30*M342))))))</f>
        <v>0</v>
      </c>
      <c r="N984" s="229">
        <f>IF(N$338&gt;$D$33,0,IF(Input!N$54&lt;31,Input!N$54/30*N342,IF(Input!N$54&lt;61,(Input!N$54-30)/30*N342,IF(Input!N$54&lt;91,(Input!N$54-60)/30*N342,IF(Input!N$54&lt;121,(Input!N$54-90)/30*N342,IF(Input!N$54&lt;151,(Input!N$54-120)/30*N342,(Input!N$54-150)/30*N342))))))</f>
        <v>0</v>
      </c>
      <c r="O984" s="229">
        <f>IF(O$338&gt;$D$33,0,IF(Input!O$54&lt;31,Input!O$54/30*O342,IF(Input!O$54&lt;61,(Input!O$54-30)/30*O342,IF(Input!O$54&lt;91,(Input!O$54-60)/30*O342,IF(Input!O$54&lt;121,(Input!O$54-90)/30*O342,IF(Input!O$54&lt;151,(Input!O$54-120)/30*O342,(Input!O$54-150)/30*O342))))))</f>
        <v>0</v>
      </c>
      <c r="P984" s="229">
        <f>IF(P$338&gt;$D$33,0,IF(Input!P$54&lt;31,Input!P$54/30*P342,IF(Input!P$54&lt;61,(Input!P$54-30)/30*P342,IF(Input!P$54&lt;91,(Input!P$54-60)/30*P342,IF(Input!P$54&lt;121,(Input!P$54-90)/30*P342,IF(Input!P$54&lt;151,(Input!P$54-120)/30*P342,(Input!P$54-150)/30*P342))))))</f>
        <v>0</v>
      </c>
      <c r="Q984" s="229">
        <f>IF(Q$338&gt;$D$33,0,IF(Input!Q$54&lt;31,Input!Q$54/30*Q342,IF(Input!Q$54&lt;61,(Input!Q$54-30)/30*Q342,IF(Input!Q$54&lt;91,(Input!Q$54-60)/30*Q342,IF(Input!Q$54&lt;121,(Input!Q$54-90)/30*Q342,IF(Input!Q$54&lt;151,(Input!Q$54-120)/30*Q342,(Input!Q$54-150)/30*Q342))))))</f>
        <v>0</v>
      </c>
      <c r="R984" s="229">
        <f>IF(R$338&gt;$D$33,0,IF(Input!R$54&lt;31,Input!R$54/30*R342,IF(Input!R$54&lt;61,(Input!R$54-30)/30*R342,IF(Input!R$54&lt;91,(Input!R$54-60)/30*R342,IF(Input!R$54&lt;121,(Input!R$54-90)/30*R342,IF(Input!R$54&lt;151,(Input!R$54-120)/30*R342,(Input!R$54-150)/30*R342))))))</f>
        <v>0</v>
      </c>
      <c r="S984" s="229">
        <f>IF(S$338&gt;$D$33,0,IF(Input!S$54&lt;31,Input!S$54/30*S342,IF(Input!S$54&lt;61,(Input!S$54-30)/30*S342,IF(Input!S$54&lt;91,(Input!S$54-60)/30*S342,IF(Input!S$54&lt;121,(Input!S$54-90)/30*S342,IF(Input!S$54&lt;151,(Input!S$54-120)/30*S342,(Input!S$54-150)/30*S342))))))</f>
        <v>0</v>
      </c>
      <c r="T984" s="229">
        <f>IF(T$338&gt;$D$33,0,IF(Input!T$54&lt;31,Input!T$54/30*T342,IF(Input!T$54&lt;61,(Input!T$54-30)/30*T342,IF(Input!T$54&lt;91,(Input!T$54-60)/30*T342,IF(Input!T$54&lt;121,(Input!T$54-90)/30*T342,IF(Input!T$54&lt;151,(Input!T$54-120)/30*T342,(Input!T$54-150)/30*T342))))))</f>
        <v>0</v>
      </c>
      <c r="U984" s="229">
        <f>IF(U$338&gt;$D$33,0,IF(Input!U$54&lt;31,Input!U$54/30*U342,IF(Input!U$54&lt;61,(Input!U$54-30)/30*U342,IF(Input!U$54&lt;91,(Input!U$54-60)/30*U342,IF(Input!U$54&lt;121,(Input!U$54-90)/30*U342,IF(Input!U$54&lt;151,(Input!U$54-120)/30*U342,(Input!U$54-150)/30*U342))))))</f>
        <v>0</v>
      </c>
      <c r="V984" s="229">
        <f>IF(V$338&gt;$D$33,0,IF(Input!V$54&lt;31,Input!V$54/30*V342,IF(Input!V$54&lt;61,(Input!V$54-30)/30*V342,IF(Input!V$54&lt;91,(Input!V$54-60)/30*V342,IF(Input!V$54&lt;121,(Input!V$54-90)/30*V342,IF(Input!V$54&lt;151,(Input!V$54-120)/30*V342,(Input!V$54-150)/30*V342))))))</f>
        <v>0</v>
      </c>
      <c r="W984" s="229">
        <f>IF(W$338&gt;$D$33,0,IF(Input!W$54&lt;31,Input!W$54/30*W342,IF(Input!W$54&lt;61,(Input!W$54-30)/30*W342,IF(Input!W$54&lt;91,(Input!W$54-60)/30*W342,IF(Input!W$54&lt;121,(Input!W$54-90)/30*W342,IF(Input!W$54&lt;151,(Input!W$54-120)/30*W342,(Input!W$54-150)/30*W342))))))</f>
        <v>0</v>
      </c>
      <c r="X984" s="229">
        <f>IF(X$338&gt;$D$33,0,IF(Input!X$54&lt;31,Input!X$54/30*X342,IF(Input!X$54&lt;61,(Input!X$54-30)/30*X342,IF(Input!X$54&lt;91,(Input!X$54-60)/30*X342,IF(Input!X$54&lt;121,(Input!X$54-90)/30*X342,IF(Input!X$54&lt;151,(Input!X$54-120)/30*X342,(Input!X$54-150)/30*X342))))))</f>
        <v>0</v>
      </c>
      <c r="Y984" s="229">
        <f>IF(Y$338&gt;$D$33,0,IF(Input!Y$54&lt;31,Input!Y$54/30*Y342,IF(Input!Y$54&lt;61,(Input!Y$54-30)/30*Y342,IF(Input!Y$54&lt;91,(Input!Y$54-60)/30*Y342,IF(Input!Y$54&lt;121,(Input!Y$54-90)/30*Y342,IF(Input!Y$54&lt;151,(Input!Y$54-120)/30*Y342,(Input!Y$54-150)/30*Y342))))))</f>
        <v>0</v>
      </c>
      <c r="Z984" s="229">
        <f>IF(Z$338&gt;$D$33,0,IF(Input!Z$54&lt;31,Input!Z$54/30*Z342,IF(Input!Z$54&lt;61,(Input!Z$54-30)/30*Z342,IF(Input!Z$54&lt;91,(Input!Z$54-60)/30*Z342,IF(Input!Z$54&lt;121,(Input!Z$54-90)/30*Z342,IF(Input!Z$54&lt;151,(Input!Z$54-120)/30*Z342,(Input!Z$54-150)/30*Z342))))))</f>
        <v>0</v>
      </c>
      <c r="AA984" s="229">
        <f>IF(AA$338&gt;$D$33,0,IF(Input!AA$54&lt;31,Input!AA$54/30*AA342,IF(Input!AA$54&lt;61,(Input!AA$54-30)/30*AA342,IF(Input!AA$54&lt;91,(Input!AA$54-60)/30*AA342,IF(Input!AA$54&lt;121,(Input!AA$54-90)/30*AA342,IF(Input!AA$54&lt;151,(Input!AA$54-120)/30*AA342,(Input!AA$54-150)/30*AA342))))))</f>
        <v>0</v>
      </c>
      <c r="AB984" s="229">
        <f>IF(AB$338&gt;$D$33,0,IF(Input!AB$54&lt;31,Input!AB$54/30*AB342,IF(Input!AB$54&lt;61,(Input!AB$54-30)/30*AB342,IF(Input!AB$54&lt;91,(Input!AB$54-60)/30*AB342,IF(Input!AB$54&lt;121,(Input!AB$54-90)/30*AB342,IF(Input!AB$54&lt;151,(Input!AB$54-120)/30*AB342,(Input!AB$54-150)/30*AB342))))))</f>
        <v>0</v>
      </c>
      <c r="CH984" s="269"/>
      <c r="CI984" s="269"/>
      <c r="CJ984" s="269"/>
      <c r="CK984" s="269"/>
      <c r="CL984" s="269"/>
      <c r="CM984" s="269"/>
      <c r="CN984" s="269"/>
      <c r="CO984" s="269"/>
      <c r="CP984" s="269"/>
      <c r="CQ984" s="269"/>
      <c r="CR984" s="269"/>
      <c r="CS984" s="269"/>
    </row>
    <row r="985" spans="2:97" x14ac:dyDescent="0.3">
      <c r="C985" s="495">
        <f>C922</f>
        <v>121</v>
      </c>
      <c r="D985" s="229">
        <f>IF(D$338&gt;$D$33,0,IF(Input!D$54&lt;31,Input!D$54/30*D343,IF(Input!D$54&lt;61,(Input!D$54-30)/30*D343,IF(Input!D$54&lt;91,(Input!D$54-60)/30*D343,IF(Input!D$54&lt;121,(Input!D$54-90)/30*D343,IF(Input!D$54&lt;151,(Input!D$54-120)/30*D343,(Input!D$54-150)/30*D343))))))</f>
        <v>0</v>
      </c>
      <c r="E985" s="229">
        <f>IF(E$338&gt;$D$33,0,IF(Input!E$54&lt;31,Input!E$54/30*E343,IF(Input!E$54&lt;61,(Input!E$54-30)/30*E343,IF(Input!E$54&lt;91,(Input!E$54-60)/30*E343,IF(Input!E$54&lt;121,(Input!E$54-90)/30*E343,IF(Input!E$54&lt;151,(Input!E$54-120)/30*E343,(Input!E$54-150)/30*E343))))))</f>
        <v>0</v>
      </c>
      <c r="F985" s="229">
        <f>IF(F$338&gt;$D$33,0,IF(Input!F$54&lt;31,Input!F$54/30*F343,IF(Input!F$54&lt;61,(Input!F$54-30)/30*F343,IF(Input!F$54&lt;91,(Input!F$54-60)/30*F343,IF(Input!F$54&lt;121,(Input!F$54-90)/30*F343,IF(Input!F$54&lt;151,(Input!F$54-120)/30*F343,(Input!F$54-150)/30*F343))))))</f>
        <v>0</v>
      </c>
      <c r="G985" s="229">
        <f>IF(G$338&gt;$D$33,0,IF(Input!G$54&lt;31,Input!G$54/30*G343,IF(Input!G$54&lt;61,(Input!G$54-30)/30*G343,IF(Input!G$54&lt;91,(Input!G$54-60)/30*G343,IF(Input!G$54&lt;121,(Input!G$54-90)/30*G343,IF(Input!G$54&lt;151,(Input!G$54-120)/30*G343,(Input!G$54-150)/30*G343))))))</f>
        <v>0</v>
      </c>
      <c r="H985" s="229">
        <f>IF(H$338&gt;$D$33,0,IF(Input!H$54&lt;31,Input!H$54/30*H343,IF(Input!H$54&lt;61,(Input!H$54-30)/30*H343,IF(Input!H$54&lt;91,(Input!H$54-60)/30*H343,IF(Input!H$54&lt;121,(Input!H$54-90)/30*H343,IF(Input!H$54&lt;151,(Input!H$54-120)/30*H343,(Input!H$54-150)/30*H343))))))</f>
        <v>0</v>
      </c>
      <c r="I985" s="229">
        <f>IF(I$338&gt;$D$33,0,IF(Input!I$54&lt;31,Input!I$54/30*I343,IF(Input!I$54&lt;61,(Input!I$54-30)/30*I343,IF(Input!I$54&lt;91,(Input!I$54-60)/30*I343,IF(Input!I$54&lt;121,(Input!I$54-90)/30*I343,IF(Input!I$54&lt;151,(Input!I$54-120)/30*I343,(Input!I$54-150)/30*I343))))))</f>
        <v>0</v>
      </c>
      <c r="J985" s="229">
        <f>IF(J$338&gt;$D$33,0,IF(Input!J$54&lt;31,Input!J$54/30*J343,IF(Input!J$54&lt;61,(Input!J$54-30)/30*J343,IF(Input!J$54&lt;91,(Input!J$54-60)/30*J343,IF(Input!J$54&lt;121,(Input!J$54-90)/30*J343,IF(Input!J$54&lt;151,(Input!J$54-120)/30*J343,(Input!J$54-150)/30*J343))))))</f>
        <v>0</v>
      </c>
      <c r="K985" s="229">
        <f>IF(K$338&gt;$D$33,0,IF(Input!K$54&lt;31,Input!K$54/30*K343,IF(Input!K$54&lt;61,(Input!K$54-30)/30*K343,IF(Input!K$54&lt;91,(Input!K$54-60)/30*K343,IF(Input!K$54&lt;121,(Input!K$54-90)/30*K343,IF(Input!K$54&lt;151,(Input!K$54-120)/30*K343,(Input!K$54-150)/30*K343))))))</f>
        <v>0</v>
      </c>
      <c r="L985" s="229">
        <f>IF(L$338&gt;$D$33,0,IF(Input!L$54&lt;31,Input!L$54/30*L343,IF(Input!L$54&lt;61,(Input!L$54-30)/30*L343,IF(Input!L$54&lt;91,(Input!L$54-60)/30*L343,IF(Input!L$54&lt;121,(Input!L$54-90)/30*L343,IF(Input!L$54&lt;151,(Input!L$54-120)/30*L343,(Input!L$54-150)/30*L343))))))</f>
        <v>0</v>
      </c>
      <c r="M985" s="229">
        <f>IF(M$338&gt;$D$33,0,IF(Input!M$54&lt;31,Input!M$54/30*M343,IF(Input!M$54&lt;61,(Input!M$54-30)/30*M343,IF(Input!M$54&lt;91,(Input!M$54-60)/30*M343,IF(Input!M$54&lt;121,(Input!M$54-90)/30*M343,IF(Input!M$54&lt;151,(Input!M$54-120)/30*M343,(Input!M$54-150)/30*M343))))))</f>
        <v>0</v>
      </c>
      <c r="N985" s="229">
        <f>IF(N$338&gt;$D$33,0,IF(Input!N$54&lt;31,Input!N$54/30*N343,IF(Input!N$54&lt;61,(Input!N$54-30)/30*N343,IF(Input!N$54&lt;91,(Input!N$54-60)/30*N343,IF(Input!N$54&lt;121,(Input!N$54-90)/30*N343,IF(Input!N$54&lt;151,(Input!N$54-120)/30*N343,(Input!N$54-150)/30*N343))))))</f>
        <v>0</v>
      </c>
      <c r="O985" s="229">
        <f>IF(O$338&gt;$D$33,0,IF(Input!O$54&lt;31,Input!O$54/30*O343,IF(Input!O$54&lt;61,(Input!O$54-30)/30*O343,IF(Input!O$54&lt;91,(Input!O$54-60)/30*O343,IF(Input!O$54&lt;121,(Input!O$54-90)/30*O343,IF(Input!O$54&lt;151,(Input!O$54-120)/30*O343,(Input!O$54-150)/30*O343))))))</f>
        <v>0</v>
      </c>
      <c r="P985" s="229">
        <f>IF(P$338&gt;$D$33,0,IF(Input!P$54&lt;31,Input!P$54/30*P343,IF(Input!P$54&lt;61,(Input!P$54-30)/30*P343,IF(Input!P$54&lt;91,(Input!P$54-60)/30*P343,IF(Input!P$54&lt;121,(Input!P$54-90)/30*P343,IF(Input!P$54&lt;151,(Input!P$54-120)/30*P343,(Input!P$54-150)/30*P343))))))</f>
        <v>0</v>
      </c>
      <c r="Q985" s="229">
        <f>IF(Q$338&gt;$D$33,0,IF(Input!Q$54&lt;31,Input!Q$54/30*Q343,IF(Input!Q$54&lt;61,(Input!Q$54-30)/30*Q343,IF(Input!Q$54&lt;91,(Input!Q$54-60)/30*Q343,IF(Input!Q$54&lt;121,(Input!Q$54-90)/30*Q343,IF(Input!Q$54&lt;151,(Input!Q$54-120)/30*Q343,(Input!Q$54-150)/30*Q343))))))</f>
        <v>0</v>
      </c>
      <c r="R985" s="229">
        <f>IF(R$338&gt;$D$33,0,IF(Input!R$54&lt;31,Input!R$54/30*R343,IF(Input!R$54&lt;61,(Input!R$54-30)/30*R343,IF(Input!R$54&lt;91,(Input!R$54-60)/30*R343,IF(Input!R$54&lt;121,(Input!R$54-90)/30*R343,IF(Input!R$54&lt;151,(Input!R$54-120)/30*R343,(Input!R$54-150)/30*R343))))))</f>
        <v>0</v>
      </c>
      <c r="S985" s="229">
        <f>IF(S$338&gt;$D$33,0,IF(Input!S$54&lt;31,Input!S$54/30*S343,IF(Input!S$54&lt;61,(Input!S$54-30)/30*S343,IF(Input!S$54&lt;91,(Input!S$54-60)/30*S343,IF(Input!S$54&lt;121,(Input!S$54-90)/30*S343,IF(Input!S$54&lt;151,(Input!S$54-120)/30*S343,(Input!S$54-150)/30*S343))))))</f>
        <v>0</v>
      </c>
      <c r="T985" s="229">
        <f>IF(T$338&gt;$D$33,0,IF(Input!T$54&lt;31,Input!T$54/30*T343,IF(Input!T$54&lt;61,(Input!T$54-30)/30*T343,IF(Input!T$54&lt;91,(Input!T$54-60)/30*T343,IF(Input!T$54&lt;121,(Input!T$54-90)/30*T343,IF(Input!T$54&lt;151,(Input!T$54-120)/30*T343,(Input!T$54-150)/30*T343))))))</f>
        <v>0</v>
      </c>
      <c r="U985" s="229">
        <f>IF(U$338&gt;$D$33,0,IF(Input!U$54&lt;31,Input!U$54/30*U343,IF(Input!U$54&lt;61,(Input!U$54-30)/30*U343,IF(Input!U$54&lt;91,(Input!U$54-60)/30*U343,IF(Input!U$54&lt;121,(Input!U$54-90)/30*U343,IF(Input!U$54&lt;151,(Input!U$54-120)/30*U343,(Input!U$54-150)/30*U343))))))</f>
        <v>0</v>
      </c>
      <c r="V985" s="229">
        <f>IF(V$338&gt;$D$33,0,IF(Input!V$54&lt;31,Input!V$54/30*V343,IF(Input!V$54&lt;61,(Input!V$54-30)/30*V343,IF(Input!V$54&lt;91,(Input!V$54-60)/30*V343,IF(Input!V$54&lt;121,(Input!V$54-90)/30*V343,IF(Input!V$54&lt;151,(Input!V$54-120)/30*V343,(Input!V$54-150)/30*V343))))))</f>
        <v>0</v>
      </c>
      <c r="W985" s="229">
        <f>IF(W$338&gt;$D$33,0,IF(Input!W$54&lt;31,Input!W$54/30*W343,IF(Input!W$54&lt;61,(Input!W$54-30)/30*W343,IF(Input!W$54&lt;91,(Input!W$54-60)/30*W343,IF(Input!W$54&lt;121,(Input!W$54-90)/30*W343,IF(Input!W$54&lt;151,(Input!W$54-120)/30*W343,(Input!W$54-150)/30*W343))))))</f>
        <v>0</v>
      </c>
      <c r="X985" s="229">
        <f>IF(X$338&gt;$D$33,0,IF(Input!X$54&lt;31,Input!X$54/30*X343,IF(Input!X$54&lt;61,(Input!X$54-30)/30*X343,IF(Input!X$54&lt;91,(Input!X$54-60)/30*X343,IF(Input!X$54&lt;121,(Input!X$54-90)/30*X343,IF(Input!X$54&lt;151,(Input!X$54-120)/30*X343,(Input!X$54-150)/30*X343))))))</f>
        <v>0</v>
      </c>
      <c r="Y985" s="229">
        <f>IF(Y$338&gt;$D$33,0,IF(Input!Y$54&lt;31,Input!Y$54/30*Y343,IF(Input!Y$54&lt;61,(Input!Y$54-30)/30*Y343,IF(Input!Y$54&lt;91,(Input!Y$54-60)/30*Y343,IF(Input!Y$54&lt;121,(Input!Y$54-90)/30*Y343,IF(Input!Y$54&lt;151,(Input!Y$54-120)/30*Y343,(Input!Y$54-150)/30*Y343))))))</f>
        <v>0</v>
      </c>
      <c r="Z985" s="229">
        <f>IF(Z$338&gt;$D$33,0,IF(Input!Z$54&lt;31,Input!Z$54/30*Z343,IF(Input!Z$54&lt;61,(Input!Z$54-30)/30*Z343,IF(Input!Z$54&lt;91,(Input!Z$54-60)/30*Z343,IF(Input!Z$54&lt;121,(Input!Z$54-90)/30*Z343,IF(Input!Z$54&lt;151,(Input!Z$54-120)/30*Z343,(Input!Z$54-150)/30*Z343))))))</f>
        <v>0</v>
      </c>
      <c r="AA985" s="229">
        <f>IF(AA$338&gt;$D$33,0,IF(Input!AA$54&lt;31,Input!AA$54/30*AA343,IF(Input!AA$54&lt;61,(Input!AA$54-30)/30*AA343,IF(Input!AA$54&lt;91,(Input!AA$54-60)/30*AA343,IF(Input!AA$54&lt;121,(Input!AA$54-90)/30*AA343,IF(Input!AA$54&lt;151,(Input!AA$54-120)/30*AA343,(Input!AA$54-150)/30*AA343))))))</f>
        <v>0</v>
      </c>
      <c r="AB985" s="229">
        <f>IF(AB$338&gt;$D$33,0,IF(Input!AB$54&lt;31,Input!AB$54/30*AB343,IF(Input!AB$54&lt;61,(Input!AB$54-30)/30*AB343,IF(Input!AB$54&lt;91,(Input!AB$54-60)/30*AB343,IF(Input!AB$54&lt;121,(Input!AB$54-90)/30*AB343,IF(Input!AB$54&lt;151,(Input!AB$54-120)/30*AB343,(Input!AB$54-150)/30*AB343))))))</f>
        <v>0</v>
      </c>
      <c r="CH985" s="269"/>
      <c r="CI985" s="269"/>
      <c r="CJ985" s="269"/>
      <c r="CK985" s="269"/>
      <c r="CL985" s="269"/>
      <c r="CM985" s="269"/>
      <c r="CN985" s="269"/>
      <c r="CO985" s="269"/>
      <c r="CP985" s="269"/>
      <c r="CQ985" s="269"/>
      <c r="CR985" s="269"/>
      <c r="CS985" s="269"/>
    </row>
    <row r="986" spans="2:97" x14ac:dyDescent="0.3">
      <c r="C986" s="495">
        <f>C923</f>
        <v>152</v>
      </c>
      <c r="D986" s="229">
        <f>IF(D$338&gt;$D$33,0,IF(Input!D$54&lt;31,Input!D$54/30*D344,IF(Input!D$54&lt;61,(Input!D$54-30)/30*D344,IF(Input!D$54&lt;91,(Input!D$54-60)/30*D344,IF(Input!D$54&lt;121,(Input!D$54-90)/30*D344,IF(Input!D$54&lt;151,(Input!D$54-120)/30*D344,(Input!D$54-150)/30*D344))))))</f>
        <v>0</v>
      </c>
      <c r="E986" s="229">
        <f>IF(E$338&gt;$D$33,0,IF(Input!E$54&lt;31,Input!E$54/30*E344,IF(Input!E$54&lt;61,(Input!E$54-30)/30*E344,IF(Input!E$54&lt;91,(Input!E$54-60)/30*E344,IF(Input!E$54&lt;121,(Input!E$54-90)/30*E344,IF(Input!E$54&lt;151,(Input!E$54-120)/30*E344,(Input!E$54-150)/30*E344))))))</f>
        <v>0</v>
      </c>
      <c r="F986" s="229">
        <f>IF(F$338&gt;$D$33,0,IF(Input!F$54&lt;31,Input!F$54/30*F344,IF(Input!F$54&lt;61,(Input!F$54-30)/30*F344,IF(Input!F$54&lt;91,(Input!F$54-60)/30*F344,IF(Input!F$54&lt;121,(Input!F$54-90)/30*F344,IF(Input!F$54&lt;151,(Input!F$54-120)/30*F344,(Input!F$54-150)/30*F344))))))</f>
        <v>0</v>
      </c>
      <c r="G986" s="229">
        <f>IF(G$338&gt;$D$33,0,IF(Input!G$54&lt;31,Input!G$54/30*G344,IF(Input!G$54&lt;61,(Input!G$54-30)/30*G344,IF(Input!G$54&lt;91,(Input!G$54-60)/30*G344,IF(Input!G$54&lt;121,(Input!G$54-90)/30*G344,IF(Input!G$54&lt;151,(Input!G$54-120)/30*G344,(Input!G$54-150)/30*G344))))))</f>
        <v>0</v>
      </c>
      <c r="H986" s="229">
        <f>IF(H$338&gt;$D$33,0,IF(Input!H$54&lt;31,Input!H$54/30*H344,IF(Input!H$54&lt;61,(Input!H$54-30)/30*H344,IF(Input!H$54&lt;91,(Input!H$54-60)/30*H344,IF(Input!H$54&lt;121,(Input!H$54-90)/30*H344,IF(Input!H$54&lt;151,(Input!H$54-120)/30*H344,(Input!H$54-150)/30*H344))))))</f>
        <v>0</v>
      </c>
      <c r="I986" s="229">
        <f>IF(I$338&gt;$D$33,0,IF(Input!I$54&lt;31,Input!I$54/30*I344,IF(Input!I$54&lt;61,(Input!I$54-30)/30*I344,IF(Input!I$54&lt;91,(Input!I$54-60)/30*I344,IF(Input!I$54&lt;121,(Input!I$54-90)/30*I344,IF(Input!I$54&lt;151,(Input!I$54-120)/30*I344,(Input!I$54-150)/30*I344))))))</f>
        <v>0</v>
      </c>
      <c r="J986" s="229">
        <f>IF(J$338&gt;$D$33,0,IF(Input!J$54&lt;31,Input!J$54/30*J344,IF(Input!J$54&lt;61,(Input!J$54-30)/30*J344,IF(Input!J$54&lt;91,(Input!J$54-60)/30*J344,IF(Input!J$54&lt;121,(Input!J$54-90)/30*J344,IF(Input!J$54&lt;151,(Input!J$54-120)/30*J344,(Input!J$54-150)/30*J344))))))</f>
        <v>0</v>
      </c>
      <c r="K986" s="229">
        <f>IF(K$338&gt;$D$33,0,IF(Input!K$54&lt;31,Input!K$54/30*K344,IF(Input!K$54&lt;61,(Input!K$54-30)/30*K344,IF(Input!K$54&lt;91,(Input!K$54-60)/30*K344,IF(Input!K$54&lt;121,(Input!K$54-90)/30*K344,IF(Input!K$54&lt;151,(Input!K$54-120)/30*K344,(Input!K$54-150)/30*K344))))))</f>
        <v>0</v>
      </c>
      <c r="L986" s="229">
        <f>IF(L$338&gt;$D$33,0,IF(Input!L$54&lt;31,Input!L$54/30*L344,IF(Input!L$54&lt;61,(Input!L$54-30)/30*L344,IF(Input!L$54&lt;91,(Input!L$54-60)/30*L344,IF(Input!L$54&lt;121,(Input!L$54-90)/30*L344,IF(Input!L$54&lt;151,(Input!L$54-120)/30*L344,(Input!L$54-150)/30*L344))))))</f>
        <v>0</v>
      </c>
      <c r="M986" s="229">
        <f>IF(M$338&gt;$D$33,0,IF(Input!M$54&lt;31,Input!M$54/30*M344,IF(Input!M$54&lt;61,(Input!M$54-30)/30*M344,IF(Input!M$54&lt;91,(Input!M$54-60)/30*M344,IF(Input!M$54&lt;121,(Input!M$54-90)/30*M344,IF(Input!M$54&lt;151,(Input!M$54-120)/30*M344,(Input!M$54-150)/30*M344))))))</f>
        <v>0</v>
      </c>
      <c r="N986" s="229">
        <f>IF(N$338&gt;$D$33,0,IF(Input!N$54&lt;31,Input!N$54/30*N344,IF(Input!N$54&lt;61,(Input!N$54-30)/30*N344,IF(Input!N$54&lt;91,(Input!N$54-60)/30*N344,IF(Input!N$54&lt;121,(Input!N$54-90)/30*N344,IF(Input!N$54&lt;151,(Input!N$54-120)/30*N344,(Input!N$54-150)/30*N344))))))</f>
        <v>0</v>
      </c>
      <c r="O986" s="229">
        <f>IF(O$338&gt;$D$33,0,IF(Input!O$54&lt;31,Input!O$54/30*O344,IF(Input!O$54&lt;61,(Input!O$54-30)/30*O344,IF(Input!O$54&lt;91,(Input!O$54-60)/30*O344,IF(Input!O$54&lt;121,(Input!O$54-90)/30*O344,IF(Input!O$54&lt;151,(Input!O$54-120)/30*O344,(Input!O$54-150)/30*O344))))))</f>
        <v>0</v>
      </c>
      <c r="P986" s="229">
        <f>IF(P$338&gt;$D$33,0,IF(Input!P$54&lt;31,Input!P$54/30*P344,IF(Input!P$54&lt;61,(Input!P$54-30)/30*P344,IF(Input!P$54&lt;91,(Input!P$54-60)/30*P344,IF(Input!P$54&lt;121,(Input!P$54-90)/30*P344,IF(Input!P$54&lt;151,(Input!P$54-120)/30*P344,(Input!P$54-150)/30*P344))))))</f>
        <v>0</v>
      </c>
      <c r="Q986" s="229">
        <f>IF(Q$338&gt;$D$33,0,IF(Input!Q$54&lt;31,Input!Q$54/30*Q344,IF(Input!Q$54&lt;61,(Input!Q$54-30)/30*Q344,IF(Input!Q$54&lt;91,(Input!Q$54-60)/30*Q344,IF(Input!Q$54&lt;121,(Input!Q$54-90)/30*Q344,IF(Input!Q$54&lt;151,(Input!Q$54-120)/30*Q344,(Input!Q$54-150)/30*Q344))))))</f>
        <v>0</v>
      </c>
      <c r="R986" s="229">
        <f>IF(R$338&gt;$D$33,0,IF(Input!R$54&lt;31,Input!R$54/30*R344,IF(Input!R$54&lt;61,(Input!R$54-30)/30*R344,IF(Input!R$54&lt;91,(Input!R$54-60)/30*R344,IF(Input!R$54&lt;121,(Input!R$54-90)/30*R344,IF(Input!R$54&lt;151,(Input!R$54-120)/30*R344,(Input!R$54-150)/30*R344))))))</f>
        <v>0</v>
      </c>
      <c r="S986" s="229">
        <f>IF(S$338&gt;$D$33,0,IF(Input!S$54&lt;31,Input!S$54/30*S344,IF(Input!S$54&lt;61,(Input!S$54-30)/30*S344,IF(Input!S$54&lt;91,(Input!S$54-60)/30*S344,IF(Input!S$54&lt;121,(Input!S$54-90)/30*S344,IF(Input!S$54&lt;151,(Input!S$54-120)/30*S344,(Input!S$54-150)/30*S344))))))</f>
        <v>0</v>
      </c>
      <c r="T986" s="229">
        <f>IF(T$338&gt;$D$33,0,IF(Input!T$54&lt;31,Input!T$54/30*T344,IF(Input!T$54&lt;61,(Input!T$54-30)/30*T344,IF(Input!T$54&lt;91,(Input!T$54-60)/30*T344,IF(Input!T$54&lt;121,(Input!T$54-90)/30*T344,IF(Input!T$54&lt;151,(Input!T$54-120)/30*T344,(Input!T$54-150)/30*T344))))))</f>
        <v>0</v>
      </c>
      <c r="U986" s="229">
        <f>IF(U$338&gt;$D$33,0,IF(Input!U$54&lt;31,Input!U$54/30*U344,IF(Input!U$54&lt;61,(Input!U$54-30)/30*U344,IF(Input!U$54&lt;91,(Input!U$54-60)/30*U344,IF(Input!U$54&lt;121,(Input!U$54-90)/30*U344,IF(Input!U$54&lt;151,(Input!U$54-120)/30*U344,(Input!U$54-150)/30*U344))))))</f>
        <v>0</v>
      </c>
      <c r="V986" s="229">
        <f>IF(V$338&gt;$D$33,0,IF(Input!V$54&lt;31,Input!V$54/30*V344,IF(Input!V$54&lt;61,(Input!V$54-30)/30*V344,IF(Input!V$54&lt;91,(Input!V$54-60)/30*V344,IF(Input!V$54&lt;121,(Input!V$54-90)/30*V344,IF(Input!V$54&lt;151,(Input!V$54-120)/30*V344,(Input!V$54-150)/30*V344))))))</f>
        <v>0</v>
      </c>
      <c r="W986" s="229">
        <f>IF(W$338&gt;$D$33,0,IF(Input!W$54&lt;31,Input!W$54/30*W344,IF(Input!W$54&lt;61,(Input!W$54-30)/30*W344,IF(Input!W$54&lt;91,(Input!W$54-60)/30*W344,IF(Input!W$54&lt;121,(Input!W$54-90)/30*W344,IF(Input!W$54&lt;151,(Input!W$54-120)/30*W344,(Input!W$54-150)/30*W344))))))</f>
        <v>0</v>
      </c>
      <c r="X986" s="229">
        <f>IF(X$338&gt;$D$33,0,IF(Input!X$54&lt;31,Input!X$54/30*X344,IF(Input!X$54&lt;61,(Input!X$54-30)/30*X344,IF(Input!X$54&lt;91,(Input!X$54-60)/30*X344,IF(Input!X$54&lt;121,(Input!X$54-90)/30*X344,IF(Input!X$54&lt;151,(Input!X$54-120)/30*X344,(Input!X$54-150)/30*X344))))))</f>
        <v>0</v>
      </c>
      <c r="Y986" s="229">
        <f>IF(Y$338&gt;$D$33,0,IF(Input!Y$54&lt;31,Input!Y$54/30*Y344,IF(Input!Y$54&lt;61,(Input!Y$54-30)/30*Y344,IF(Input!Y$54&lt;91,(Input!Y$54-60)/30*Y344,IF(Input!Y$54&lt;121,(Input!Y$54-90)/30*Y344,IF(Input!Y$54&lt;151,(Input!Y$54-120)/30*Y344,(Input!Y$54-150)/30*Y344))))))</f>
        <v>0</v>
      </c>
      <c r="Z986" s="229">
        <f>IF(Z$338&gt;$D$33,0,IF(Input!Z$54&lt;31,Input!Z$54/30*Z344,IF(Input!Z$54&lt;61,(Input!Z$54-30)/30*Z344,IF(Input!Z$54&lt;91,(Input!Z$54-60)/30*Z344,IF(Input!Z$54&lt;121,(Input!Z$54-90)/30*Z344,IF(Input!Z$54&lt;151,(Input!Z$54-120)/30*Z344,(Input!Z$54-150)/30*Z344))))))</f>
        <v>0</v>
      </c>
      <c r="AA986" s="229">
        <f>IF(AA$338&gt;$D$33,0,IF(Input!AA$54&lt;31,Input!AA$54/30*AA344,IF(Input!AA$54&lt;61,(Input!AA$54-30)/30*AA344,IF(Input!AA$54&lt;91,(Input!AA$54-60)/30*AA344,IF(Input!AA$54&lt;121,(Input!AA$54-90)/30*AA344,IF(Input!AA$54&lt;151,(Input!AA$54-120)/30*AA344,(Input!AA$54-150)/30*AA344))))))</f>
        <v>0</v>
      </c>
      <c r="AB986" s="229">
        <f>IF(AB$338&gt;$D$33,0,IF(Input!AB$54&lt;31,Input!AB$54/30*AB344,IF(Input!AB$54&lt;61,(Input!AB$54-30)/30*AB344,IF(Input!AB$54&lt;91,(Input!AB$54-60)/30*AB344,IF(Input!AB$54&lt;121,(Input!AB$54-90)/30*AB344,IF(Input!AB$54&lt;151,(Input!AB$54-120)/30*AB344,(Input!AB$54-150)/30*AB344))))))</f>
        <v>0</v>
      </c>
      <c r="CH986" s="269"/>
      <c r="CI986" s="269"/>
      <c r="CJ986" s="269"/>
      <c r="CK986" s="269"/>
      <c r="CL986" s="269"/>
      <c r="CM986" s="269"/>
      <c r="CN986" s="269"/>
      <c r="CO986" s="269"/>
      <c r="CP986" s="269"/>
      <c r="CQ986" s="269"/>
      <c r="CR986" s="269"/>
      <c r="CS986" s="269"/>
    </row>
    <row r="987" spans="2:97" x14ac:dyDescent="0.3">
      <c r="C987" s="495">
        <f>C924</f>
        <v>182</v>
      </c>
      <c r="D987" s="229">
        <f>IF(D$338&gt;$D$33,0,IF(Input!D$54&lt;31,Input!D$54/30*D345,IF(Input!D$54&lt;61,(Input!D$54-30)/30*D345,IF(Input!D$54&lt;91,(Input!D$54-60)/30*D345,IF(Input!D$54&lt;121,(Input!D$54-90)/30*D345,IF(Input!D$54&lt;151,(Input!D$54-120)/30*D345,(Input!D$54-150)/30*D345))))))</f>
        <v>0</v>
      </c>
      <c r="E987" s="229">
        <f>IF(E$338&gt;$D$33,0,IF(Input!E$54&lt;31,Input!E$54/30*E345,IF(Input!E$54&lt;61,(Input!E$54-30)/30*E345,IF(Input!E$54&lt;91,(Input!E$54-60)/30*E345,IF(Input!E$54&lt;121,(Input!E$54-90)/30*E345,IF(Input!E$54&lt;151,(Input!E$54-120)/30*E345,(Input!E$54-150)/30*E345))))))</f>
        <v>0</v>
      </c>
      <c r="F987" s="229">
        <f>IF(F$338&gt;$D$33,0,IF(Input!F$54&lt;31,Input!F$54/30*F345,IF(Input!F$54&lt;61,(Input!F$54-30)/30*F345,IF(Input!F$54&lt;91,(Input!F$54-60)/30*F345,IF(Input!F$54&lt;121,(Input!F$54-90)/30*F345,IF(Input!F$54&lt;151,(Input!F$54-120)/30*F345,(Input!F$54-150)/30*F345))))))</f>
        <v>0</v>
      </c>
      <c r="G987" s="229">
        <f>IF(G$338&gt;$D$33,0,IF(Input!G$54&lt;31,Input!G$54/30*G345,IF(Input!G$54&lt;61,(Input!G$54-30)/30*G345,IF(Input!G$54&lt;91,(Input!G$54-60)/30*G345,IF(Input!G$54&lt;121,(Input!G$54-90)/30*G345,IF(Input!G$54&lt;151,(Input!G$54-120)/30*G345,(Input!G$54-150)/30*G345))))))</f>
        <v>0</v>
      </c>
      <c r="H987" s="229">
        <f>IF(H$338&gt;$D$33,0,IF(Input!H$54&lt;31,Input!H$54/30*H345,IF(Input!H$54&lt;61,(Input!H$54-30)/30*H345,IF(Input!H$54&lt;91,(Input!H$54-60)/30*H345,IF(Input!H$54&lt;121,(Input!H$54-90)/30*H345,IF(Input!H$54&lt;151,(Input!H$54-120)/30*H345,(Input!H$54-150)/30*H345))))))</f>
        <v>0</v>
      </c>
      <c r="I987" s="229">
        <f>IF(I$338&gt;$D$33,0,IF(Input!I$54&lt;31,Input!I$54/30*I345,IF(Input!I$54&lt;61,(Input!I$54-30)/30*I345,IF(Input!I$54&lt;91,(Input!I$54-60)/30*I345,IF(Input!I$54&lt;121,(Input!I$54-90)/30*I345,IF(Input!I$54&lt;151,(Input!I$54-120)/30*I345,(Input!I$54-150)/30*I345))))))</f>
        <v>0</v>
      </c>
      <c r="J987" s="229">
        <f>IF(J$338&gt;$D$33,0,IF(Input!J$54&lt;31,Input!J$54/30*J345,IF(Input!J$54&lt;61,(Input!J$54-30)/30*J345,IF(Input!J$54&lt;91,(Input!J$54-60)/30*J345,IF(Input!J$54&lt;121,(Input!J$54-90)/30*J345,IF(Input!J$54&lt;151,(Input!J$54-120)/30*J345,(Input!J$54-150)/30*J345))))))</f>
        <v>0</v>
      </c>
      <c r="K987" s="229">
        <f>IF(K$338&gt;$D$33,0,IF(Input!K$54&lt;31,Input!K$54/30*K345,IF(Input!K$54&lt;61,(Input!K$54-30)/30*K345,IF(Input!K$54&lt;91,(Input!K$54-60)/30*K345,IF(Input!K$54&lt;121,(Input!K$54-90)/30*K345,IF(Input!K$54&lt;151,(Input!K$54-120)/30*K345,(Input!K$54-150)/30*K345))))))</f>
        <v>0</v>
      </c>
      <c r="L987" s="229">
        <f>IF(L$338&gt;$D$33,0,IF(Input!L$54&lt;31,Input!L$54/30*L345,IF(Input!L$54&lt;61,(Input!L$54-30)/30*L345,IF(Input!L$54&lt;91,(Input!L$54-60)/30*L345,IF(Input!L$54&lt;121,(Input!L$54-90)/30*L345,IF(Input!L$54&lt;151,(Input!L$54-120)/30*L345,(Input!L$54-150)/30*L345))))))</f>
        <v>0</v>
      </c>
      <c r="M987" s="229">
        <f>IF(M$338&gt;$D$33,0,IF(Input!M$54&lt;31,Input!M$54/30*M345,IF(Input!M$54&lt;61,(Input!M$54-30)/30*M345,IF(Input!M$54&lt;91,(Input!M$54-60)/30*M345,IF(Input!M$54&lt;121,(Input!M$54-90)/30*M345,IF(Input!M$54&lt;151,(Input!M$54-120)/30*M345,(Input!M$54-150)/30*M345))))))</f>
        <v>0</v>
      </c>
      <c r="N987" s="229">
        <f>IF(N$338&gt;$D$33,0,IF(Input!N$54&lt;31,Input!N$54/30*N345,IF(Input!N$54&lt;61,(Input!N$54-30)/30*N345,IF(Input!N$54&lt;91,(Input!N$54-60)/30*N345,IF(Input!N$54&lt;121,(Input!N$54-90)/30*N345,IF(Input!N$54&lt;151,(Input!N$54-120)/30*N345,(Input!N$54-150)/30*N345))))))</f>
        <v>0</v>
      </c>
      <c r="O987" s="229">
        <f>IF(O$338&gt;$D$33,0,IF(Input!O$54&lt;31,Input!O$54/30*O345,IF(Input!O$54&lt;61,(Input!O$54-30)/30*O345,IF(Input!O$54&lt;91,(Input!O$54-60)/30*O345,IF(Input!O$54&lt;121,(Input!O$54-90)/30*O345,IF(Input!O$54&lt;151,(Input!O$54-120)/30*O345,(Input!O$54-150)/30*O345))))))</f>
        <v>0</v>
      </c>
      <c r="P987" s="229">
        <f>IF(P$338&gt;$D$33,0,IF(Input!P$54&lt;31,Input!P$54/30*P345,IF(Input!P$54&lt;61,(Input!P$54-30)/30*P345,IF(Input!P$54&lt;91,(Input!P$54-60)/30*P345,IF(Input!P$54&lt;121,(Input!P$54-90)/30*P345,IF(Input!P$54&lt;151,(Input!P$54-120)/30*P345,(Input!P$54-150)/30*P345))))))</f>
        <v>0</v>
      </c>
      <c r="Q987" s="229">
        <f>IF(Q$338&gt;$D$33,0,IF(Input!Q$54&lt;31,Input!Q$54/30*Q345,IF(Input!Q$54&lt;61,(Input!Q$54-30)/30*Q345,IF(Input!Q$54&lt;91,(Input!Q$54-60)/30*Q345,IF(Input!Q$54&lt;121,(Input!Q$54-90)/30*Q345,IF(Input!Q$54&lt;151,(Input!Q$54-120)/30*Q345,(Input!Q$54-150)/30*Q345))))))</f>
        <v>0</v>
      </c>
      <c r="R987" s="229">
        <f>IF(R$338&gt;$D$33,0,IF(Input!R$54&lt;31,Input!R$54/30*R345,IF(Input!R$54&lt;61,(Input!R$54-30)/30*R345,IF(Input!R$54&lt;91,(Input!R$54-60)/30*R345,IF(Input!R$54&lt;121,(Input!R$54-90)/30*R345,IF(Input!R$54&lt;151,(Input!R$54-120)/30*R345,(Input!R$54-150)/30*R345))))))</f>
        <v>0</v>
      </c>
      <c r="S987" s="229">
        <f>IF(S$338&gt;$D$33,0,IF(Input!S$54&lt;31,Input!S$54/30*S345,IF(Input!S$54&lt;61,(Input!S$54-30)/30*S345,IF(Input!S$54&lt;91,(Input!S$54-60)/30*S345,IF(Input!S$54&lt;121,(Input!S$54-90)/30*S345,IF(Input!S$54&lt;151,(Input!S$54-120)/30*S345,(Input!S$54-150)/30*S345))))))</f>
        <v>0</v>
      </c>
      <c r="T987" s="229">
        <f>IF(T$338&gt;$D$33,0,IF(Input!T$54&lt;31,Input!T$54/30*T345,IF(Input!T$54&lt;61,(Input!T$54-30)/30*T345,IF(Input!T$54&lt;91,(Input!T$54-60)/30*T345,IF(Input!T$54&lt;121,(Input!T$54-90)/30*T345,IF(Input!T$54&lt;151,(Input!T$54-120)/30*T345,(Input!T$54-150)/30*T345))))))</f>
        <v>0</v>
      </c>
      <c r="U987" s="229">
        <f>IF(U$338&gt;$D$33,0,IF(Input!U$54&lt;31,Input!U$54/30*U345,IF(Input!U$54&lt;61,(Input!U$54-30)/30*U345,IF(Input!U$54&lt;91,(Input!U$54-60)/30*U345,IF(Input!U$54&lt;121,(Input!U$54-90)/30*U345,IF(Input!U$54&lt;151,(Input!U$54-120)/30*U345,(Input!U$54-150)/30*U345))))))</f>
        <v>0</v>
      </c>
      <c r="V987" s="229">
        <f>IF(V$338&gt;$D$33,0,IF(Input!V$54&lt;31,Input!V$54/30*V345,IF(Input!V$54&lt;61,(Input!V$54-30)/30*V345,IF(Input!V$54&lt;91,(Input!V$54-60)/30*V345,IF(Input!V$54&lt;121,(Input!V$54-90)/30*V345,IF(Input!V$54&lt;151,(Input!V$54-120)/30*V345,(Input!V$54-150)/30*V345))))))</f>
        <v>0</v>
      </c>
      <c r="W987" s="229">
        <f>IF(W$338&gt;$D$33,0,IF(Input!W$54&lt;31,Input!W$54/30*W345,IF(Input!W$54&lt;61,(Input!W$54-30)/30*W345,IF(Input!W$54&lt;91,(Input!W$54-60)/30*W345,IF(Input!W$54&lt;121,(Input!W$54-90)/30*W345,IF(Input!W$54&lt;151,(Input!W$54-120)/30*W345,(Input!W$54-150)/30*W345))))))</f>
        <v>0</v>
      </c>
      <c r="X987" s="229">
        <f>IF(X$338&gt;$D$33,0,IF(Input!X$54&lt;31,Input!X$54/30*X345,IF(Input!X$54&lt;61,(Input!X$54-30)/30*X345,IF(Input!X$54&lt;91,(Input!X$54-60)/30*X345,IF(Input!X$54&lt;121,(Input!X$54-90)/30*X345,IF(Input!X$54&lt;151,(Input!X$54-120)/30*X345,(Input!X$54-150)/30*X345))))))</f>
        <v>0</v>
      </c>
      <c r="Y987" s="229">
        <f>IF(Y$338&gt;$D$33,0,IF(Input!Y$54&lt;31,Input!Y$54/30*Y345,IF(Input!Y$54&lt;61,(Input!Y$54-30)/30*Y345,IF(Input!Y$54&lt;91,(Input!Y$54-60)/30*Y345,IF(Input!Y$54&lt;121,(Input!Y$54-90)/30*Y345,IF(Input!Y$54&lt;151,(Input!Y$54-120)/30*Y345,(Input!Y$54-150)/30*Y345))))))</f>
        <v>0</v>
      </c>
      <c r="Z987" s="229">
        <f>IF(Z$338&gt;$D$33,0,IF(Input!Z$54&lt;31,Input!Z$54/30*Z345,IF(Input!Z$54&lt;61,(Input!Z$54-30)/30*Z345,IF(Input!Z$54&lt;91,(Input!Z$54-60)/30*Z345,IF(Input!Z$54&lt;121,(Input!Z$54-90)/30*Z345,IF(Input!Z$54&lt;151,(Input!Z$54-120)/30*Z345,(Input!Z$54-150)/30*Z345))))))</f>
        <v>0</v>
      </c>
      <c r="AA987" s="229">
        <f>IF(AA$338&gt;$D$33,0,IF(Input!AA$54&lt;31,Input!AA$54/30*AA345,IF(Input!AA$54&lt;61,(Input!AA$54-30)/30*AA345,IF(Input!AA$54&lt;91,(Input!AA$54-60)/30*AA345,IF(Input!AA$54&lt;121,(Input!AA$54-90)/30*AA345,IF(Input!AA$54&lt;151,(Input!AA$54-120)/30*AA345,(Input!AA$54-150)/30*AA345))))))</f>
        <v>0</v>
      </c>
      <c r="AB987" s="229">
        <f>IF(AB$338&gt;$D$33,0,IF(Input!AB$54&lt;31,Input!AB$54/30*AB345,IF(Input!AB$54&lt;61,(Input!AB$54-30)/30*AB345,IF(Input!AB$54&lt;91,(Input!AB$54-60)/30*AB345,IF(Input!AB$54&lt;121,(Input!AB$54-90)/30*AB345,IF(Input!AB$54&lt;151,(Input!AB$54-120)/30*AB345,(Input!AB$54-150)/30*AB345))))))</f>
        <v>0</v>
      </c>
      <c r="CH987" s="269"/>
      <c r="CI987" s="269"/>
      <c r="CJ987" s="269"/>
      <c r="CK987" s="269"/>
      <c r="CL987" s="269"/>
      <c r="CM987" s="269"/>
      <c r="CN987" s="269"/>
      <c r="CO987" s="269"/>
      <c r="CP987" s="269"/>
      <c r="CQ987" s="269"/>
      <c r="CR987" s="269"/>
      <c r="CS987" s="269"/>
    </row>
    <row r="988" spans="2:97" x14ac:dyDescent="0.3">
      <c r="C988" s="495">
        <f>C925</f>
        <v>213</v>
      </c>
      <c r="D988" s="229">
        <f>IF(D$338&gt;$D$33,0,IF(Input!D$54&lt;31,Input!D$54/30*D346,IF(Input!D$54&lt;61,(Input!D$54-30)/30*D346,IF(Input!D$54&lt;91,(Input!D$54-60)/30*D346,IF(Input!D$54&lt;121,(Input!D$54-90)/30*D346,IF(Input!D$54&lt;151,(Input!D$54-120)/30*D346,(Input!D$54-150)/30*D346))))))</f>
        <v>0</v>
      </c>
      <c r="E988" s="229">
        <f>IF(E$338&gt;$D$33,0,IF(Input!E$54&lt;31,Input!E$54/30*E346,IF(Input!E$54&lt;61,(Input!E$54-30)/30*E346,IF(Input!E$54&lt;91,(Input!E$54-60)/30*E346,IF(Input!E$54&lt;121,(Input!E$54-90)/30*E346,IF(Input!E$54&lt;151,(Input!E$54-120)/30*E346,(Input!E$54-150)/30*E346))))))</f>
        <v>0</v>
      </c>
      <c r="F988" s="229">
        <f>IF(F$338&gt;$D$33,0,IF(Input!F$54&lt;31,Input!F$54/30*F346,IF(Input!F$54&lt;61,(Input!F$54-30)/30*F346,IF(Input!F$54&lt;91,(Input!F$54-60)/30*F346,IF(Input!F$54&lt;121,(Input!F$54-90)/30*F346,IF(Input!F$54&lt;151,(Input!F$54-120)/30*F346,(Input!F$54-150)/30*F346))))))</f>
        <v>0</v>
      </c>
      <c r="G988" s="229">
        <f>IF(G$338&gt;$D$33,0,IF(Input!G$54&lt;31,Input!G$54/30*G346,IF(Input!G$54&lt;61,(Input!G$54-30)/30*G346,IF(Input!G$54&lt;91,(Input!G$54-60)/30*G346,IF(Input!G$54&lt;121,(Input!G$54-90)/30*G346,IF(Input!G$54&lt;151,(Input!G$54-120)/30*G346,(Input!G$54-150)/30*G346))))))</f>
        <v>0</v>
      </c>
      <c r="H988" s="229">
        <f>IF(H$338&gt;$D$33,0,IF(Input!H$54&lt;31,Input!H$54/30*H346,IF(Input!H$54&lt;61,(Input!H$54-30)/30*H346,IF(Input!H$54&lt;91,(Input!H$54-60)/30*H346,IF(Input!H$54&lt;121,(Input!H$54-90)/30*H346,IF(Input!H$54&lt;151,(Input!H$54-120)/30*H346,(Input!H$54-150)/30*H346))))))</f>
        <v>0</v>
      </c>
      <c r="I988" s="229">
        <f>IF(I$338&gt;$D$33,0,IF(Input!I$54&lt;31,Input!I$54/30*I346,IF(Input!I$54&lt;61,(Input!I$54-30)/30*I346,IF(Input!I$54&lt;91,(Input!I$54-60)/30*I346,IF(Input!I$54&lt;121,(Input!I$54-90)/30*I346,IF(Input!I$54&lt;151,(Input!I$54-120)/30*I346,(Input!I$54-150)/30*I346))))))</f>
        <v>0</v>
      </c>
      <c r="J988" s="229">
        <f>IF(J$338&gt;$D$33,0,IF(Input!J$54&lt;31,Input!J$54/30*J346,IF(Input!J$54&lt;61,(Input!J$54-30)/30*J346,IF(Input!J$54&lt;91,(Input!J$54-60)/30*J346,IF(Input!J$54&lt;121,(Input!J$54-90)/30*J346,IF(Input!J$54&lt;151,(Input!J$54-120)/30*J346,(Input!J$54-150)/30*J346))))))</f>
        <v>0</v>
      </c>
      <c r="K988" s="229">
        <f>IF(K$338&gt;$D$33,0,IF(Input!K$54&lt;31,Input!K$54/30*K346,IF(Input!K$54&lt;61,(Input!K$54-30)/30*K346,IF(Input!K$54&lt;91,(Input!K$54-60)/30*K346,IF(Input!K$54&lt;121,(Input!K$54-90)/30*K346,IF(Input!K$54&lt;151,(Input!K$54-120)/30*K346,(Input!K$54-150)/30*K346))))))</f>
        <v>0</v>
      </c>
      <c r="L988" s="229">
        <f>IF(L$338&gt;$D$33,0,IF(Input!L$54&lt;31,Input!L$54/30*L346,IF(Input!L$54&lt;61,(Input!L$54-30)/30*L346,IF(Input!L$54&lt;91,(Input!L$54-60)/30*L346,IF(Input!L$54&lt;121,(Input!L$54-90)/30*L346,IF(Input!L$54&lt;151,(Input!L$54-120)/30*L346,(Input!L$54-150)/30*L346))))))</f>
        <v>0</v>
      </c>
      <c r="M988" s="229">
        <f>IF(M$338&gt;$D$33,0,IF(Input!M$54&lt;31,Input!M$54/30*M346,IF(Input!M$54&lt;61,(Input!M$54-30)/30*M346,IF(Input!M$54&lt;91,(Input!M$54-60)/30*M346,IF(Input!M$54&lt;121,(Input!M$54-90)/30*M346,IF(Input!M$54&lt;151,(Input!M$54-120)/30*M346,(Input!M$54-150)/30*M346))))))</f>
        <v>0</v>
      </c>
      <c r="N988" s="229">
        <f>IF(N$338&gt;$D$33,0,IF(Input!N$54&lt;31,Input!N$54/30*N346,IF(Input!N$54&lt;61,(Input!N$54-30)/30*N346,IF(Input!N$54&lt;91,(Input!N$54-60)/30*N346,IF(Input!N$54&lt;121,(Input!N$54-90)/30*N346,IF(Input!N$54&lt;151,(Input!N$54-120)/30*N346,(Input!N$54-150)/30*N346))))))</f>
        <v>0</v>
      </c>
      <c r="O988" s="229">
        <f>IF(O$338&gt;$D$33,0,IF(Input!O$54&lt;31,Input!O$54/30*O346,IF(Input!O$54&lt;61,(Input!O$54-30)/30*O346,IF(Input!O$54&lt;91,(Input!O$54-60)/30*O346,IF(Input!O$54&lt;121,(Input!O$54-90)/30*O346,IF(Input!O$54&lt;151,(Input!O$54-120)/30*O346,(Input!O$54-150)/30*O346))))))</f>
        <v>0</v>
      </c>
      <c r="P988" s="229">
        <f>IF(P$338&gt;$D$33,0,IF(Input!P$54&lt;31,Input!P$54/30*P346,IF(Input!P$54&lt;61,(Input!P$54-30)/30*P346,IF(Input!P$54&lt;91,(Input!P$54-60)/30*P346,IF(Input!P$54&lt;121,(Input!P$54-90)/30*P346,IF(Input!P$54&lt;151,(Input!P$54-120)/30*P346,(Input!P$54-150)/30*P346))))))</f>
        <v>0</v>
      </c>
      <c r="Q988" s="229">
        <f>IF(Q$338&gt;$D$33,0,IF(Input!Q$54&lt;31,Input!Q$54/30*Q346,IF(Input!Q$54&lt;61,(Input!Q$54-30)/30*Q346,IF(Input!Q$54&lt;91,(Input!Q$54-60)/30*Q346,IF(Input!Q$54&lt;121,(Input!Q$54-90)/30*Q346,IF(Input!Q$54&lt;151,(Input!Q$54-120)/30*Q346,(Input!Q$54-150)/30*Q346))))))</f>
        <v>0</v>
      </c>
      <c r="R988" s="229">
        <f>IF(R$338&gt;$D$33,0,IF(Input!R$54&lt;31,Input!R$54/30*R346,IF(Input!R$54&lt;61,(Input!R$54-30)/30*R346,IF(Input!R$54&lt;91,(Input!R$54-60)/30*R346,IF(Input!R$54&lt;121,(Input!R$54-90)/30*R346,IF(Input!R$54&lt;151,(Input!R$54-120)/30*R346,(Input!R$54-150)/30*R346))))))</f>
        <v>0</v>
      </c>
      <c r="S988" s="229">
        <f>IF(S$338&gt;$D$33,0,IF(Input!S$54&lt;31,Input!S$54/30*S346,IF(Input!S$54&lt;61,(Input!S$54-30)/30*S346,IF(Input!S$54&lt;91,(Input!S$54-60)/30*S346,IF(Input!S$54&lt;121,(Input!S$54-90)/30*S346,IF(Input!S$54&lt;151,(Input!S$54-120)/30*S346,(Input!S$54-150)/30*S346))))))</f>
        <v>0</v>
      </c>
      <c r="T988" s="229">
        <f>IF(T$338&gt;$D$33,0,IF(Input!T$54&lt;31,Input!T$54/30*T346,IF(Input!T$54&lt;61,(Input!T$54-30)/30*T346,IF(Input!T$54&lt;91,(Input!T$54-60)/30*T346,IF(Input!T$54&lt;121,(Input!T$54-90)/30*T346,IF(Input!T$54&lt;151,(Input!T$54-120)/30*T346,(Input!T$54-150)/30*T346))))))</f>
        <v>0</v>
      </c>
      <c r="U988" s="229">
        <f>IF(U$338&gt;$D$33,0,IF(Input!U$54&lt;31,Input!U$54/30*U346,IF(Input!U$54&lt;61,(Input!U$54-30)/30*U346,IF(Input!U$54&lt;91,(Input!U$54-60)/30*U346,IF(Input!U$54&lt;121,(Input!U$54-90)/30*U346,IF(Input!U$54&lt;151,(Input!U$54-120)/30*U346,(Input!U$54-150)/30*U346))))))</f>
        <v>0</v>
      </c>
      <c r="V988" s="229">
        <f>IF(V$338&gt;$D$33,0,IF(Input!V$54&lt;31,Input!V$54/30*V346,IF(Input!V$54&lt;61,(Input!V$54-30)/30*V346,IF(Input!V$54&lt;91,(Input!V$54-60)/30*V346,IF(Input!V$54&lt;121,(Input!V$54-90)/30*V346,IF(Input!V$54&lt;151,(Input!V$54-120)/30*V346,(Input!V$54-150)/30*V346))))))</f>
        <v>0</v>
      </c>
      <c r="W988" s="229">
        <f>IF(W$338&gt;$D$33,0,IF(Input!W$54&lt;31,Input!W$54/30*W346,IF(Input!W$54&lt;61,(Input!W$54-30)/30*W346,IF(Input!W$54&lt;91,(Input!W$54-60)/30*W346,IF(Input!W$54&lt;121,(Input!W$54-90)/30*W346,IF(Input!W$54&lt;151,(Input!W$54-120)/30*W346,(Input!W$54-150)/30*W346))))))</f>
        <v>0</v>
      </c>
      <c r="X988" s="229">
        <f>IF(X$338&gt;$D$33,0,IF(Input!X$54&lt;31,Input!X$54/30*X346,IF(Input!X$54&lt;61,(Input!X$54-30)/30*X346,IF(Input!X$54&lt;91,(Input!X$54-60)/30*X346,IF(Input!X$54&lt;121,(Input!X$54-90)/30*X346,IF(Input!X$54&lt;151,(Input!X$54-120)/30*X346,(Input!X$54-150)/30*X346))))))</f>
        <v>0</v>
      </c>
      <c r="Y988" s="229">
        <f>IF(Y$338&gt;$D$33,0,IF(Input!Y$54&lt;31,Input!Y$54/30*Y346,IF(Input!Y$54&lt;61,(Input!Y$54-30)/30*Y346,IF(Input!Y$54&lt;91,(Input!Y$54-60)/30*Y346,IF(Input!Y$54&lt;121,(Input!Y$54-90)/30*Y346,IF(Input!Y$54&lt;151,(Input!Y$54-120)/30*Y346,(Input!Y$54-150)/30*Y346))))))</f>
        <v>0</v>
      </c>
      <c r="Z988" s="229">
        <f>IF(Z$338&gt;$D$33,0,IF(Input!Z$54&lt;31,Input!Z$54/30*Z346,IF(Input!Z$54&lt;61,(Input!Z$54-30)/30*Z346,IF(Input!Z$54&lt;91,(Input!Z$54-60)/30*Z346,IF(Input!Z$54&lt;121,(Input!Z$54-90)/30*Z346,IF(Input!Z$54&lt;151,(Input!Z$54-120)/30*Z346,(Input!Z$54-150)/30*Z346))))))</f>
        <v>0</v>
      </c>
      <c r="AA988" s="229">
        <f>IF(AA$338&gt;$D$33,0,IF(Input!AA$54&lt;31,Input!AA$54/30*AA346,IF(Input!AA$54&lt;61,(Input!AA$54-30)/30*AA346,IF(Input!AA$54&lt;91,(Input!AA$54-60)/30*AA346,IF(Input!AA$54&lt;121,(Input!AA$54-90)/30*AA346,IF(Input!AA$54&lt;151,(Input!AA$54-120)/30*AA346,(Input!AA$54-150)/30*AA346))))))</f>
        <v>0</v>
      </c>
      <c r="AB988" s="229">
        <f>IF(AB$338&gt;$D$33,0,IF(Input!AB$54&lt;31,Input!AB$54/30*AB346,IF(Input!AB$54&lt;61,(Input!AB$54-30)/30*AB346,IF(Input!AB$54&lt;91,(Input!AB$54-60)/30*AB346,IF(Input!AB$54&lt;121,(Input!AB$54-90)/30*AB346,IF(Input!AB$54&lt;151,(Input!AB$54-120)/30*AB346,(Input!AB$54-150)/30*AB346))))))</f>
        <v>0</v>
      </c>
      <c r="CH988" s="269"/>
      <c r="CI988" s="269"/>
      <c r="CJ988" s="269"/>
      <c r="CK988" s="269"/>
      <c r="CL988" s="269"/>
      <c r="CM988" s="269"/>
      <c r="CN988" s="269"/>
      <c r="CO988" s="269"/>
      <c r="CP988" s="269"/>
      <c r="CQ988" s="269"/>
      <c r="CR988" s="269"/>
      <c r="CS988" s="269"/>
    </row>
    <row r="989" spans="2:97" x14ac:dyDescent="0.3">
      <c r="C989" s="495">
        <f>C926</f>
        <v>244</v>
      </c>
      <c r="D989" s="229">
        <f>IF(D$338&gt;$D$33,0,IF(Input!D$54&lt;31,Input!D$54/30*D347,IF(Input!D$54&lt;61,(Input!D$54-30)/30*D347,IF(Input!D$54&lt;91,(Input!D$54-60)/30*D347,IF(Input!D$54&lt;121,(Input!D$54-90)/30*D347,IF(Input!D$54&lt;151,(Input!D$54-120)/30*D347,(Input!D$54-150)/30*D347))))))</f>
        <v>0</v>
      </c>
      <c r="E989" s="229">
        <f>IF(E$338&gt;$D$33,0,IF(Input!E$54&lt;31,Input!E$54/30*E347,IF(Input!E$54&lt;61,(Input!E$54-30)/30*E347,IF(Input!E$54&lt;91,(Input!E$54-60)/30*E347,IF(Input!E$54&lt;121,(Input!E$54-90)/30*E347,IF(Input!E$54&lt;151,(Input!E$54-120)/30*E347,(Input!E$54-150)/30*E347))))))</f>
        <v>0</v>
      </c>
      <c r="F989" s="229">
        <f>IF(F$338&gt;$D$33,0,IF(Input!F$54&lt;31,Input!F$54/30*F347,IF(Input!F$54&lt;61,(Input!F$54-30)/30*F347,IF(Input!F$54&lt;91,(Input!F$54-60)/30*F347,IF(Input!F$54&lt;121,(Input!F$54-90)/30*F347,IF(Input!F$54&lt;151,(Input!F$54-120)/30*F347,(Input!F$54-150)/30*F347))))))</f>
        <v>0</v>
      </c>
      <c r="G989" s="229">
        <f>IF(G$338&gt;$D$33,0,IF(Input!G$54&lt;31,Input!G$54/30*G347,IF(Input!G$54&lt;61,(Input!G$54-30)/30*G347,IF(Input!G$54&lt;91,(Input!G$54-60)/30*G347,IF(Input!G$54&lt;121,(Input!G$54-90)/30*G347,IF(Input!G$54&lt;151,(Input!G$54-120)/30*G347,(Input!G$54-150)/30*G347))))))</f>
        <v>0</v>
      </c>
      <c r="H989" s="229">
        <f>IF(H$338&gt;$D$33,0,IF(Input!H$54&lt;31,Input!H$54/30*H347,IF(Input!H$54&lt;61,(Input!H$54-30)/30*H347,IF(Input!H$54&lt;91,(Input!H$54-60)/30*H347,IF(Input!H$54&lt;121,(Input!H$54-90)/30*H347,IF(Input!H$54&lt;151,(Input!H$54-120)/30*H347,(Input!H$54-150)/30*H347))))))</f>
        <v>0</v>
      </c>
      <c r="I989" s="229">
        <f>IF(I$338&gt;$D$33,0,IF(Input!I$54&lt;31,Input!I$54/30*I347,IF(Input!I$54&lt;61,(Input!I$54-30)/30*I347,IF(Input!I$54&lt;91,(Input!I$54-60)/30*I347,IF(Input!I$54&lt;121,(Input!I$54-90)/30*I347,IF(Input!I$54&lt;151,(Input!I$54-120)/30*I347,(Input!I$54-150)/30*I347))))))</f>
        <v>0</v>
      </c>
      <c r="J989" s="229">
        <f>IF(J$338&gt;$D$33,0,IF(Input!J$54&lt;31,Input!J$54/30*J347,IF(Input!J$54&lt;61,(Input!J$54-30)/30*J347,IF(Input!J$54&lt;91,(Input!J$54-60)/30*J347,IF(Input!J$54&lt;121,(Input!J$54-90)/30*J347,IF(Input!J$54&lt;151,(Input!J$54-120)/30*J347,(Input!J$54-150)/30*J347))))))</f>
        <v>0</v>
      </c>
      <c r="K989" s="229">
        <f>IF(K$338&gt;$D$33,0,IF(Input!K$54&lt;31,Input!K$54/30*K347,IF(Input!K$54&lt;61,(Input!K$54-30)/30*K347,IF(Input!K$54&lt;91,(Input!K$54-60)/30*K347,IF(Input!K$54&lt;121,(Input!K$54-90)/30*K347,IF(Input!K$54&lt;151,(Input!K$54-120)/30*K347,(Input!K$54-150)/30*K347))))))</f>
        <v>0</v>
      </c>
      <c r="L989" s="229">
        <f>IF(L$338&gt;$D$33,0,IF(Input!L$54&lt;31,Input!L$54/30*L347,IF(Input!L$54&lt;61,(Input!L$54-30)/30*L347,IF(Input!L$54&lt;91,(Input!L$54-60)/30*L347,IF(Input!L$54&lt;121,(Input!L$54-90)/30*L347,IF(Input!L$54&lt;151,(Input!L$54-120)/30*L347,(Input!L$54-150)/30*L347))))))</f>
        <v>0</v>
      </c>
      <c r="M989" s="229">
        <f>IF(M$338&gt;$D$33,0,IF(Input!M$54&lt;31,Input!M$54/30*M347,IF(Input!M$54&lt;61,(Input!M$54-30)/30*M347,IF(Input!M$54&lt;91,(Input!M$54-60)/30*M347,IF(Input!M$54&lt;121,(Input!M$54-90)/30*M347,IF(Input!M$54&lt;151,(Input!M$54-120)/30*M347,(Input!M$54-150)/30*M347))))))</f>
        <v>0</v>
      </c>
      <c r="N989" s="229">
        <f>IF(N$338&gt;$D$33,0,IF(Input!N$54&lt;31,Input!N$54/30*N347,IF(Input!N$54&lt;61,(Input!N$54-30)/30*N347,IF(Input!N$54&lt;91,(Input!N$54-60)/30*N347,IF(Input!N$54&lt;121,(Input!N$54-90)/30*N347,IF(Input!N$54&lt;151,(Input!N$54-120)/30*N347,(Input!N$54-150)/30*N347))))))</f>
        <v>0</v>
      </c>
      <c r="O989" s="229">
        <f>IF(O$338&gt;$D$33,0,IF(Input!O$54&lt;31,Input!O$54/30*O347,IF(Input!O$54&lt;61,(Input!O$54-30)/30*O347,IF(Input!O$54&lt;91,(Input!O$54-60)/30*O347,IF(Input!O$54&lt;121,(Input!O$54-90)/30*O347,IF(Input!O$54&lt;151,(Input!O$54-120)/30*O347,(Input!O$54-150)/30*O347))))))</f>
        <v>0</v>
      </c>
      <c r="P989" s="229">
        <f>IF(P$338&gt;$D$33,0,IF(Input!P$54&lt;31,Input!P$54/30*P347,IF(Input!P$54&lt;61,(Input!P$54-30)/30*P347,IF(Input!P$54&lt;91,(Input!P$54-60)/30*P347,IF(Input!P$54&lt;121,(Input!P$54-90)/30*P347,IF(Input!P$54&lt;151,(Input!P$54-120)/30*P347,(Input!P$54-150)/30*P347))))))</f>
        <v>0</v>
      </c>
      <c r="Q989" s="229">
        <f>IF(Q$338&gt;$D$33,0,IF(Input!Q$54&lt;31,Input!Q$54/30*Q347,IF(Input!Q$54&lt;61,(Input!Q$54-30)/30*Q347,IF(Input!Q$54&lt;91,(Input!Q$54-60)/30*Q347,IF(Input!Q$54&lt;121,(Input!Q$54-90)/30*Q347,IF(Input!Q$54&lt;151,(Input!Q$54-120)/30*Q347,(Input!Q$54-150)/30*Q347))))))</f>
        <v>0</v>
      </c>
      <c r="R989" s="229">
        <f>IF(R$338&gt;$D$33,0,IF(Input!R$54&lt;31,Input!R$54/30*R347,IF(Input!R$54&lt;61,(Input!R$54-30)/30*R347,IF(Input!R$54&lt;91,(Input!R$54-60)/30*R347,IF(Input!R$54&lt;121,(Input!R$54-90)/30*R347,IF(Input!R$54&lt;151,(Input!R$54-120)/30*R347,(Input!R$54-150)/30*R347))))))</f>
        <v>0</v>
      </c>
      <c r="S989" s="229">
        <f>IF(S$338&gt;$D$33,0,IF(Input!S$54&lt;31,Input!S$54/30*S347,IF(Input!S$54&lt;61,(Input!S$54-30)/30*S347,IF(Input!S$54&lt;91,(Input!S$54-60)/30*S347,IF(Input!S$54&lt;121,(Input!S$54-90)/30*S347,IF(Input!S$54&lt;151,(Input!S$54-120)/30*S347,(Input!S$54-150)/30*S347))))))</f>
        <v>0</v>
      </c>
      <c r="T989" s="229">
        <f>IF(T$338&gt;$D$33,0,IF(Input!T$54&lt;31,Input!T$54/30*T347,IF(Input!T$54&lt;61,(Input!T$54-30)/30*T347,IF(Input!T$54&lt;91,(Input!T$54-60)/30*T347,IF(Input!T$54&lt;121,(Input!T$54-90)/30*T347,IF(Input!T$54&lt;151,(Input!T$54-120)/30*T347,(Input!T$54-150)/30*T347))))))</f>
        <v>0</v>
      </c>
      <c r="U989" s="229">
        <f>IF(U$338&gt;$D$33,0,IF(Input!U$54&lt;31,Input!U$54/30*U347,IF(Input!U$54&lt;61,(Input!U$54-30)/30*U347,IF(Input!U$54&lt;91,(Input!U$54-60)/30*U347,IF(Input!U$54&lt;121,(Input!U$54-90)/30*U347,IF(Input!U$54&lt;151,(Input!U$54-120)/30*U347,(Input!U$54-150)/30*U347))))))</f>
        <v>0</v>
      </c>
      <c r="V989" s="229">
        <f>IF(V$338&gt;$D$33,0,IF(Input!V$54&lt;31,Input!V$54/30*V347,IF(Input!V$54&lt;61,(Input!V$54-30)/30*V347,IF(Input!V$54&lt;91,(Input!V$54-60)/30*V347,IF(Input!V$54&lt;121,(Input!V$54-90)/30*V347,IF(Input!V$54&lt;151,(Input!V$54-120)/30*V347,(Input!V$54-150)/30*V347))))))</f>
        <v>0</v>
      </c>
      <c r="W989" s="229">
        <f>IF(W$338&gt;$D$33,0,IF(Input!W$54&lt;31,Input!W$54/30*W347,IF(Input!W$54&lt;61,(Input!W$54-30)/30*W347,IF(Input!W$54&lt;91,(Input!W$54-60)/30*W347,IF(Input!W$54&lt;121,(Input!W$54-90)/30*W347,IF(Input!W$54&lt;151,(Input!W$54-120)/30*W347,(Input!W$54-150)/30*W347))))))</f>
        <v>0</v>
      </c>
      <c r="X989" s="229">
        <f>IF(X$338&gt;$D$33,0,IF(Input!X$54&lt;31,Input!X$54/30*X347,IF(Input!X$54&lt;61,(Input!X$54-30)/30*X347,IF(Input!X$54&lt;91,(Input!X$54-60)/30*X347,IF(Input!X$54&lt;121,(Input!X$54-90)/30*X347,IF(Input!X$54&lt;151,(Input!X$54-120)/30*X347,(Input!X$54-150)/30*X347))))))</f>
        <v>0</v>
      </c>
      <c r="Y989" s="229">
        <f>IF(Y$338&gt;$D$33,0,IF(Input!Y$54&lt;31,Input!Y$54/30*Y347,IF(Input!Y$54&lt;61,(Input!Y$54-30)/30*Y347,IF(Input!Y$54&lt;91,(Input!Y$54-60)/30*Y347,IF(Input!Y$54&lt;121,(Input!Y$54-90)/30*Y347,IF(Input!Y$54&lt;151,(Input!Y$54-120)/30*Y347,(Input!Y$54-150)/30*Y347))))))</f>
        <v>0</v>
      </c>
      <c r="Z989" s="229">
        <f>IF(Z$338&gt;$D$33,0,IF(Input!Z$54&lt;31,Input!Z$54/30*Z347,IF(Input!Z$54&lt;61,(Input!Z$54-30)/30*Z347,IF(Input!Z$54&lt;91,(Input!Z$54-60)/30*Z347,IF(Input!Z$54&lt;121,(Input!Z$54-90)/30*Z347,IF(Input!Z$54&lt;151,(Input!Z$54-120)/30*Z347,(Input!Z$54-150)/30*Z347))))))</f>
        <v>0</v>
      </c>
      <c r="AA989" s="229">
        <f>IF(AA$338&gt;$D$33,0,IF(Input!AA$54&lt;31,Input!AA$54/30*AA347,IF(Input!AA$54&lt;61,(Input!AA$54-30)/30*AA347,IF(Input!AA$54&lt;91,(Input!AA$54-60)/30*AA347,IF(Input!AA$54&lt;121,(Input!AA$54-90)/30*AA347,IF(Input!AA$54&lt;151,(Input!AA$54-120)/30*AA347,(Input!AA$54-150)/30*AA347))))))</f>
        <v>0</v>
      </c>
      <c r="AB989" s="229">
        <f>IF(AB$338&gt;$D$33,0,IF(Input!AB$54&lt;31,Input!AB$54/30*AB347,IF(Input!AB$54&lt;61,(Input!AB$54-30)/30*AB347,IF(Input!AB$54&lt;91,(Input!AB$54-60)/30*AB347,IF(Input!AB$54&lt;121,(Input!AB$54-90)/30*AB347,IF(Input!AB$54&lt;151,(Input!AB$54-120)/30*AB347,(Input!AB$54-150)/30*AB347))))))</f>
        <v>0</v>
      </c>
      <c r="CH989" s="269"/>
      <c r="CI989" s="269"/>
      <c r="CJ989" s="269"/>
      <c r="CK989" s="269"/>
      <c r="CL989" s="269"/>
      <c r="CM989" s="269"/>
      <c r="CN989" s="269"/>
      <c r="CO989" s="269"/>
      <c r="CP989" s="269"/>
      <c r="CQ989" s="269"/>
      <c r="CR989" s="269"/>
      <c r="CS989" s="269"/>
    </row>
    <row r="990" spans="2:97" x14ac:dyDescent="0.3">
      <c r="C990" s="495">
        <f>C927</f>
        <v>274</v>
      </c>
      <c r="D990" s="229">
        <f>IF(D$338&gt;$D$33,0,IF(Input!D$54&lt;31,Input!D$54/30*D348,IF(Input!D$54&lt;61,(Input!D$54-30)/30*D348,IF(Input!D$54&lt;91,(Input!D$54-60)/30*D348,IF(Input!D$54&lt;121,(Input!D$54-90)/30*D348,IF(Input!D$54&lt;151,(Input!D$54-120)/30*D348,(Input!D$54-150)/30*D348))))))</f>
        <v>0</v>
      </c>
      <c r="E990" s="229">
        <f>IF(E$338&gt;$D$33,0,IF(Input!E$54&lt;31,Input!E$54/30*E348,IF(Input!E$54&lt;61,(Input!E$54-30)/30*E348,IF(Input!E$54&lt;91,(Input!E$54-60)/30*E348,IF(Input!E$54&lt;121,(Input!E$54-90)/30*E348,IF(Input!E$54&lt;151,(Input!E$54-120)/30*E348,(Input!E$54-150)/30*E348))))))</f>
        <v>0</v>
      </c>
      <c r="F990" s="229">
        <f>IF(F$338&gt;$D$33,0,IF(Input!F$54&lt;31,Input!F$54/30*F348,IF(Input!F$54&lt;61,(Input!F$54-30)/30*F348,IF(Input!F$54&lt;91,(Input!F$54-60)/30*F348,IF(Input!F$54&lt;121,(Input!F$54-90)/30*F348,IF(Input!F$54&lt;151,(Input!F$54-120)/30*F348,(Input!F$54-150)/30*F348))))))</f>
        <v>0</v>
      </c>
      <c r="G990" s="229">
        <f>IF(G$338&gt;$D$33,0,IF(Input!G$54&lt;31,Input!G$54/30*G348,IF(Input!G$54&lt;61,(Input!G$54-30)/30*G348,IF(Input!G$54&lt;91,(Input!G$54-60)/30*G348,IF(Input!G$54&lt;121,(Input!G$54-90)/30*G348,IF(Input!G$54&lt;151,(Input!G$54-120)/30*G348,(Input!G$54-150)/30*G348))))))</f>
        <v>0</v>
      </c>
      <c r="H990" s="229">
        <f>IF(H$338&gt;$D$33,0,IF(Input!H$54&lt;31,Input!H$54/30*H348,IF(Input!H$54&lt;61,(Input!H$54-30)/30*H348,IF(Input!H$54&lt;91,(Input!H$54-60)/30*H348,IF(Input!H$54&lt;121,(Input!H$54-90)/30*H348,IF(Input!H$54&lt;151,(Input!H$54-120)/30*H348,(Input!H$54-150)/30*H348))))))</f>
        <v>0</v>
      </c>
      <c r="I990" s="229">
        <f>IF(I$338&gt;$D$33,0,IF(Input!I$54&lt;31,Input!I$54/30*I348,IF(Input!I$54&lt;61,(Input!I$54-30)/30*I348,IF(Input!I$54&lt;91,(Input!I$54-60)/30*I348,IF(Input!I$54&lt;121,(Input!I$54-90)/30*I348,IF(Input!I$54&lt;151,(Input!I$54-120)/30*I348,(Input!I$54-150)/30*I348))))))</f>
        <v>0</v>
      </c>
      <c r="J990" s="229">
        <f>IF(J$338&gt;$D$33,0,IF(Input!J$54&lt;31,Input!J$54/30*J348,IF(Input!J$54&lt;61,(Input!J$54-30)/30*J348,IF(Input!J$54&lt;91,(Input!J$54-60)/30*J348,IF(Input!J$54&lt;121,(Input!J$54-90)/30*J348,IF(Input!J$54&lt;151,(Input!J$54-120)/30*J348,(Input!J$54-150)/30*J348))))))</f>
        <v>0</v>
      </c>
      <c r="K990" s="229">
        <f>IF(K$338&gt;$D$33,0,IF(Input!K$54&lt;31,Input!K$54/30*K348,IF(Input!K$54&lt;61,(Input!K$54-30)/30*K348,IF(Input!K$54&lt;91,(Input!K$54-60)/30*K348,IF(Input!K$54&lt;121,(Input!K$54-90)/30*K348,IF(Input!K$54&lt;151,(Input!K$54-120)/30*K348,(Input!K$54-150)/30*K348))))))</f>
        <v>0</v>
      </c>
      <c r="L990" s="229">
        <f>IF(L$338&gt;$D$33,0,IF(Input!L$54&lt;31,Input!L$54/30*L348,IF(Input!L$54&lt;61,(Input!L$54-30)/30*L348,IF(Input!L$54&lt;91,(Input!L$54-60)/30*L348,IF(Input!L$54&lt;121,(Input!L$54-90)/30*L348,IF(Input!L$54&lt;151,(Input!L$54-120)/30*L348,(Input!L$54-150)/30*L348))))))</f>
        <v>0</v>
      </c>
      <c r="M990" s="229">
        <f>IF(M$338&gt;$D$33,0,IF(Input!M$54&lt;31,Input!M$54/30*M348,IF(Input!M$54&lt;61,(Input!M$54-30)/30*M348,IF(Input!M$54&lt;91,(Input!M$54-60)/30*M348,IF(Input!M$54&lt;121,(Input!M$54-90)/30*M348,IF(Input!M$54&lt;151,(Input!M$54-120)/30*M348,(Input!M$54-150)/30*M348))))))</f>
        <v>0</v>
      </c>
      <c r="N990" s="229">
        <f>IF(N$338&gt;$D$33,0,IF(Input!N$54&lt;31,Input!N$54/30*N348,IF(Input!N$54&lt;61,(Input!N$54-30)/30*N348,IF(Input!N$54&lt;91,(Input!N$54-60)/30*N348,IF(Input!N$54&lt;121,(Input!N$54-90)/30*N348,IF(Input!N$54&lt;151,(Input!N$54-120)/30*N348,(Input!N$54-150)/30*N348))))))</f>
        <v>0</v>
      </c>
      <c r="O990" s="229">
        <f>IF(O$338&gt;$D$33,0,IF(Input!O$54&lt;31,Input!O$54/30*O348,IF(Input!O$54&lt;61,(Input!O$54-30)/30*O348,IF(Input!O$54&lt;91,(Input!O$54-60)/30*O348,IF(Input!O$54&lt;121,(Input!O$54-90)/30*O348,IF(Input!O$54&lt;151,(Input!O$54-120)/30*O348,(Input!O$54-150)/30*O348))))))</f>
        <v>0</v>
      </c>
      <c r="P990" s="229">
        <f>IF(P$338&gt;$D$33,0,IF(Input!P$54&lt;31,Input!P$54/30*P348,IF(Input!P$54&lt;61,(Input!P$54-30)/30*P348,IF(Input!P$54&lt;91,(Input!P$54-60)/30*P348,IF(Input!P$54&lt;121,(Input!P$54-90)/30*P348,IF(Input!P$54&lt;151,(Input!P$54-120)/30*P348,(Input!P$54-150)/30*P348))))))</f>
        <v>0</v>
      </c>
      <c r="Q990" s="229">
        <f>IF(Q$338&gt;$D$33,0,IF(Input!Q$54&lt;31,Input!Q$54/30*Q348,IF(Input!Q$54&lt;61,(Input!Q$54-30)/30*Q348,IF(Input!Q$54&lt;91,(Input!Q$54-60)/30*Q348,IF(Input!Q$54&lt;121,(Input!Q$54-90)/30*Q348,IF(Input!Q$54&lt;151,(Input!Q$54-120)/30*Q348,(Input!Q$54-150)/30*Q348))))))</f>
        <v>0</v>
      </c>
      <c r="R990" s="229">
        <f>IF(R$338&gt;$D$33,0,IF(Input!R$54&lt;31,Input!R$54/30*R348,IF(Input!R$54&lt;61,(Input!R$54-30)/30*R348,IF(Input!R$54&lt;91,(Input!R$54-60)/30*R348,IF(Input!R$54&lt;121,(Input!R$54-90)/30*R348,IF(Input!R$54&lt;151,(Input!R$54-120)/30*R348,(Input!R$54-150)/30*R348))))))</f>
        <v>0</v>
      </c>
      <c r="S990" s="229">
        <f>IF(S$338&gt;$D$33,0,IF(Input!S$54&lt;31,Input!S$54/30*S348,IF(Input!S$54&lt;61,(Input!S$54-30)/30*S348,IF(Input!S$54&lt;91,(Input!S$54-60)/30*S348,IF(Input!S$54&lt;121,(Input!S$54-90)/30*S348,IF(Input!S$54&lt;151,(Input!S$54-120)/30*S348,(Input!S$54-150)/30*S348))))))</f>
        <v>0</v>
      </c>
      <c r="T990" s="229">
        <f>IF(T$338&gt;$D$33,0,IF(Input!T$54&lt;31,Input!T$54/30*T348,IF(Input!T$54&lt;61,(Input!T$54-30)/30*T348,IF(Input!T$54&lt;91,(Input!T$54-60)/30*T348,IF(Input!T$54&lt;121,(Input!T$54-90)/30*T348,IF(Input!T$54&lt;151,(Input!T$54-120)/30*T348,(Input!T$54-150)/30*T348))))))</f>
        <v>0</v>
      </c>
      <c r="U990" s="229">
        <f>IF(U$338&gt;$D$33,0,IF(Input!U$54&lt;31,Input!U$54/30*U348,IF(Input!U$54&lt;61,(Input!U$54-30)/30*U348,IF(Input!U$54&lt;91,(Input!U$54-60)/30*U348,IF(Input!U$54&lt;121,(Input!U$54-90)/30*U348,IF(Input!U$54&lt;151,(Input!U$54-120)/30*U348,(Input!U$54-150)/30*U348))))))</f>
        <v>0</v>
      </c>
      <c r="V990" s="229">
        <f>IF(V$338&gt;$D$33,0,IF(Input!V$54&lt;31,Input!V$54/30*V348,IF(Input!V$54&lt;61,(Input!V$54-30)/30*V348,IF(Input!V$54&lt;91,(Input!V$54-60)/30*V348,IF(Input!V$54&lt;121,(Input!V$54-90)/30*V348,IF(Input!V$54&lt;151,(Input!V$54-120)/30*V348,(Input!V$54-150)/30*V348))))))</f>
        <v>0</v>
      </c>
      <c r="W990" s="229">
        <f>IF(W$338&gt;$D$33,0,IF(Input!W$54&lt;31,Input!W$54/30*W348,IF(Input!W$54&lt;61,(Input!W$54-30)/30*W348,IF(Input!W$54&lt;91,(Input!W$54-60)/30*W348,IF(Input!W$54&lt;121,(Input!W$54-90)/30*W348,IF(Input!W$54&lt;151,(Input!W$54-120)/30*W348,(Input!W$54-150)/30*W348))))))</f>
        <v>0</v>
      </c>
      <c r="X990" s="229">
        <f>IF(X$338&gt;$D$33,0,IF(Input!X$54&lt;31,Input!X$54/30*X348,IF(Input!X$54&lt;61,(Input!X$54-30)/30*X348,IF(Input!X$54&lt;91,(Input!X$54-60)/30*X348,IF(Input!X$54&lt;121,(Input!X$54-90)/30*X348,IF(Input!X$54&lt;151,(Input!X$54-120)/30*X348,(Input!X$54-150)/30*X348))))))</f>
        <v>0</v>
      </c>
      <c r="Y990" s="229">
        <f>IF(Y$338&gt;$D$33,0,IF(Input!Y$54&lt;31,Input!Y$54/30*Y348,IF(Input!Y$54&lt;61,(Input!Y$54-30)/30*Y348,IF(Input!Y$54&lt;91,(Input!Y$54-60)/30*Y348,IF(Input!Y$54&lt;121,(Input!Y$54-90)/30*Y348,IF(Input!Y$54&lt;151,(Input!Y$54-120)/30*Y348,(Input!Y$54-150)/30*Y348))))))</f>
        <v>0</v>
      </c>
      <c r="Z990" s="229">
        <f>IF(Z$338&gt;$D$33,0,IF(Input!Z$54&lt;31,Input!Z$54/30*Z348,IF(Input!Z$54&lt;61,(Input!Z$54-30)/30*Z348,IF(Input!Z$54&lt;91,(Input!Z$54-60)/30*Z348,IF(Input!Z$54&lt;121,(Input!Z$54-90)/30*Z348,IF(Input!Z$54&lt;151,(Input!Z$54-120)/30*Z348,(Input!Z$54-150)/30*Z348))))))</f>
        <v>0</v>
      </c>
      <c r="AA990" s="229">
        <f>IF(AA$338&gt;$D$33,0,IF(Input!AA$54&lt;31,Input!AA$54/30*AA348,IF(Input!AA$54&lt;61,(Input!AA$54-30)/30*AA348,IF(Input!AA$54&lt;91,(Input!AA$54-60)/30*AA348,IF(Input!AA$54&lt;121,(Input!AA$54-90)/30*AA348,IF(Input!AA$54&lt;151,(Input!AA$54-120)/30*AA348,(Input!AA$54-150)/30*AA348))))))</f>
        <v>0</v>
      </c>
      <c r="AB990" s="229">
        <f>IF(AB$338&gt;$D$33,0,IF(Input!AB$54&lt;31,Input!AB$54/30*AB348,IF(Input!AB$54&lt;61,(Input!AB$54-30)/30*AB348,IF(Input!AB$54&lt;91,(Input!AB$54-60)/30*AB348,IF(Input!AB$54&lt;121,(Input!AB$54-90)/30*AB348,IF(Input!AB$54&lt;151,(Input!AB$54-120)/30*AB348,(Input!AB$54-150)/30*AB348))))))</f>
        <v>0</v>
      </c>
      <c r="CH990" s="269"/>
      <c r="CI990" s="269"/>
      <c r="CJ990" s="269"/>
      <c r="CK990" s="269"/>
      <c r="CL990" s="269"/>
      <c r="CM990" s="269"/>
      <c r="CN990" s="269"/>
      <c r="CO990" s="269"/>
      <c r="CP990" s="269"/>
      <c r="CQ990" s="269"/>
      <c r="CR990" s="269"/>
      <c r="CS990" s="269"/>
    </row>
    <row r="991" spans="2:97" x14ac:dyDescent="0.3">
      <c r="C991" s="495">
        <f>C928</f>
        <v>305</v>
      </c>
      <c r="D991" s="229">
        <f>IF(D$338&gt;$D$33,0,IF(Input!D$54&lt;31,Input!D$54/30*D349,IF(Input!D$54&lt;61,(Input!D$54-30)/30*D349,IF(Input!D$54&lt;91,(Input!D$54-60)/30*D349,IF(Input!D$54&lt;121,(Input!D$54-90)/30*D349,IF(Input!D$54&lt;151,(Input!D$54-120)/30*D349,(Input!D$54-150)/30*D349))))))</f>
        <v>0</v>
      </c>
      <c r="E991" s="229">
        <f>IF(E$338&gt;$D$33,0,IF(Input!E$54&lt;31,Input!E$54/30*E349,IF(Input!E$54&lt;61,(Input!E$54-30)/30*E349,IF(Input!E$54&lt;91,(Input!E$54-60)/30*E349,IF(Input!E$54&lt;121,(Input!E$54-90)/30*E349,IF(Input!E$54&lt;151,(Input!E$54-120)/30*E349,(Input!E$54-150)/30*E349))))))</f>
        <v>0</v>
      </c>
      <c r="F991" s="229">
        <f>IF(F$338&gt;$D$33,0,IF(Input!F$54&lt;31,Input!F$54/30*F349,IF(Input!F$54&lt;61,(Input!F$54-30)/30*F349,IF(Input!F$54&lt;91,(Input!F$54-60)/30*F349,IF(Input!F$54&lt;121,(Input!F$54-90)/30*F349,IF(Input!F$54&lt;151,(Input!F$54-120)/30*F349,(Input!F$54-150)/30*F349))))))</f>
        <v>0</v>
      </c>
      <c r="G991" s="229">
        <f>IF(G$338&gt;$D$33,0,IF(Input!G$54&lt;31,Input!G$54/30*G349,IF(Input!G$54&lt;61,(Input!G$54-30)/30*G349,IF(Input!G$54&lt;91,(Input!G$54-60)/30*G349,IF(Input!G$54&lt;121,(Input!G$54-90)/30*G349,IF(Input!G$54&lt;151,(Input!G$54-120)/30*G349,(Input!G$54-150)/30*G349))))))</f>
        <v>0</v>
      </c>
      <c r="H991" s="229">
        <f>IF(H$338&gt;$D$33,0,IF(Input!H$54&lt;31,Input!H$54/30*H349,IF(Input!H$54&lt;61,(Input!H$54-30)/30*H349,IF(Input!H$54&lt;91,(Input!H$54-60)/30*H349,IF(Input!H$54&lt;121,(Input!H$54-90)/30*H349,IF(Input!H$54&lt;151,(Input!H$54-120)/30*H349,(Input!H$54-150)/30*H349))))))</f>
        <v>0</v>
      </c>
      <c r="I991" s="229">
        <f>IF(I$338&gt;$D$33,0,IF(Input!I$54&lt;31,Input!I$54/30*I349,IF(Input!I$54&lt;61,(Input!I$54-30)/30*I349,IF(Input!I$54&lt;91,(Input!I$54-60)/30*I349,IF(Input!I$54&lt;121,(Input!I$54-90)/30*I349,IF(Input!I$54&lt;151,(Input!I$54-120)/30*I349,(Input!I$54-150)/30*I349))))))</f>
        <v>0</v>
      </c>
      <c r="J991" s="229">
        <f>IF(J$338&gt;$D$33,0,IF(Input!J$54&lt;31,Input!J$54/30*J349,IF(Input!J$54&lt;61,(Input!J$54-30)/30*J349,IF(Input!J$54&lt;91,(Input!J$54-60)/30*J349,IF(Input!J$54&lt;121,(Input!J$54-90)/30*J349,IF(Input!J$54&lt;151,(Input!J$54-120)/30*J349,(Input!J$54-150)/30*J349))))))</f>
        <v>0</v>
      </c>
      <c r="K991" s="229">
        <f>IF(K$338&gt;$D$33,0,IF(Input!K$54&lt;31,Input!K$54/30*K349,IF(Input!K$54&lt;61,(Input!K$54-30)/30*K349,IF(Input!K$54&lt;91,(Input!K$54-60)/30*K349,IF(Input!K$54&lt;121,(Input!K$54-90)/30*K349,IF(Input!K$54&lt;151,(Input!K$54-120)/30*K349,(Input!K$54-150)/30*K349))))))</f>
        <v>0</v>
      </c>
      <c r="L991" s="229">
        <f>IF(L$338&gt;$D$33,0,IF(Input!L$54&lt;31,Input!L$54/30*L349,IF(Input!L$54&lt;61,(Input!L$54-30)/30*L349,IF(Input!L$54&lt;91,(Input!L$54-60)/30*L349,IF(Input!L$54&lt;121,(Input!L$54-90)/30*L349,IF(Input!L$54&lt;151,(Input!L$54-120)/30*L349,(Input!L$54-150)/30*L349))))))</f>
        <v>0</v>
      </c>
      <c r="M991" s="229">
        <f>IF(M$338&gt;$D$33,0,IF(Input!M$54&lt;31,Input!M$54/30*M349,IF(Input!M$54&lt;61,(Input!M$54-30)/30*M349,IF(Input!M$54&lt;91,(Input!M$54-60)/30*M349,IF(Input!M$54&lt;121,(Input!M$54-90)/30*M349,IF(Input!M$54&lt;151,(Input!M$54-120)/30*M349,(Input!M$54-150)/30*M349))))))</f>
        <v>0</v>
      </c>
      <c r="N991" s="229">
        <f>IF(N$338&gt;$D$33,0,IF(Input!N$54&lt;31,Input!N$54/30*N349,IF(Input!N$54&lt;61,(Input!N$54-30)/30*N349,IF(Input!N$54&lt;91,(Input!N$54-60)/30*N349,IF(Input!N$54&lt;121,(Input!N$54-90)/30*N349,IF(Input!N$54&lt;151,(Input!N$54-120)/30*N349,(Input!N$54-150)/30*N349))))))</f>
        <v>0</v>
      </c>
      <c r="O991" s="229">
        <f>IF(O$338&gt;$D$33,0,IF(Input!O$54&lt;31,Input!O$54/30*O349,IF(Input!O$54&lt;61,(Input!O$54-30)/30*O349,IF(Input!O$54&lt;91,(Input!O$54-60)/30*O349,IF(Input!O$54&lt;121,(Input!O$54-90)/30*O349,IF(Input!O$54&lt;151,(Input!O$54-120)/30*O349,(Input!O$54-150)/30*O349))))))</f>
        <v>0</v>
      </c>
      <c r="P991" s="229">
        <f>IF(P$338&gt;$D$33,0,IF(Input!P$54&lt;31,Input!P$54/30*P349,IF(Input!P$54&lt;61,(Input!P$54-30)/30*P349,IF(Input!P$54&lt;91,(Input!P$54-60)/30*P349,IF(Input!P$54&lt;121,(Input!P$54-90)/30*P349,IF(Input!P$54&lt;151,(Input!P$54-120)/30*P349,(Input!P$54-150)/30*P349))))))</f>
        <v>0</v>
      </c>
      <c r="Q991" s="229">
        <f>IF(Q$338&gt;$D$33,0,IF(Input!Q$54&lt;31,Input!Q$54/30*Q349,IF(Input!Q$54&lt;61,(Input!Q$54-30)/30*Q349,IF(Input!Q$54&lt;91,(Input!Q$54-60)/30*Q349,IF(Input!Q$54&lt;121,(Input!Q$54-90)/30*Q349,IF(Input!Q$54&lt;151,(Input!Q$54-120)/30*Q349,(Input!Q$54-150)/30*Q349))))))</f>
        <v>0</v>
      </c>
      <c r="R991" s="229">
        <f>IF(R$338&gt;$D$33,0,IF(Input!R$54&lt;31,Input!R$54/30*R349,IF(Input!R$54&lt;61,(Input!R$54-30)/30*R349,IF(Input!R$54&lt;91,(Input!R$54-60)/30*R349,IF(Input!R$54&lt;121,(Input!R$54-90)/30*R349,IF(Input!R$54&lt;151,(Input!R$54-120)/30*R349,(Input!R$54-150)/30*R349))))))</f>
        <v>0</v>
      </c>
      <c r="S991" s="229">
        <f>IF(S$338&gt;$D$33,0,IF(Input!S$54&lt;31,Input!S$54/30*S349,IF(Input!S$54&lt;61,(Input!S$54-30)/30*S349,IF(Input!S$54&lt;91,(Input!S$54-60)/30*S349,IF(Input!S$54&lt;121,(Input!S$54-90)/30*S349,IF(Input!S$54&lt;151,(Input!S$54-120)/30*S349,(Input!S$54-150)/30*S349))))))</f>
        <v>0</v>
      </c>
      <c r="T991" s="229">
        <f>IF(T$338&gt;$D$33,0,IF(Input!T$54&lt;31,Input!T$54/30*T349,IF(Input!T$54&lt;61,(Input!T$54-30)/30*T349,IF(Input!T$54&lt;91,(Input!T$54-60)/30*T349,IF(Input!T$54&lt;121,(Input!T$54-90)/30*T349,IF(Input!T$54&lt;151,(Input!T$54-120)/30*T349,(Input!T$54-150)/30*T349))))))</f>
        <v>0</v>
      </c>
      <c r="U991" s="229">
        <f>IF(U$338&gt;$D$33,0,IF(Input!U$54&lt;31,Input!U$54/30*U349,IF(Input!U$54&lt;61,(Input!U$54-30)/30*U349,IF(Input!U$54&lt;91,(Input!U$54-60)/30*U349,IF(Input!U$54&lt;121,(Input!U$54-90)/30*U349,IF(Input!U$54&lt;151,(Input!U$54-120)/30*U349,(Input!U$54-150)/30*U349))))))</f>
        <v>0</v>
      </c>
      <c r="V991" s="229">
        <f>IF(V$338&gt;$D$33,0,IF(Input!V$54&lt;31,Input!V$54/30*V349,IF(Input!V$54&lt;61,(Input!V$54-30)/30*V349,IF(Input!V$54&lt;91,(Input!V$54-60)/30*V349,IF(Input!V$54&lt;121,(Input!V$54-90)/30*V349,IF(Input!V$54&lt;151,(Input!V$54-120)/30*V349,(Input!V$54-150)/30*V349))))))</f>
        <v>0</v>
      </c>
      <c r="W991" s="229">
        <f>IF(W$338&gt;$D$33,0,IF(Input!W$54&lt;31,Input!W$54/30*W349,IF(Input!W$54&lt;61,(Input!W$54-30)/30*W349,IF(Input!W$54&lt;91,(Input!W$54-60)/30*W349,IF(Input!W$54&lt;121,(Input!W$54-90)/30*W349,IF(Input!W$54&lt;151,(Input!W$54-120)/30*W349,(Input!W$54-150)/30*W349))))))</f>
        <v>0</v>
      </c>
      <c r="X991" s="229">
        <f>IF(X$338&gt;$D$33,0,IF(Input!X$54&lt;31,Input!X$54/30*X349,IF(Input!X$54&lt;61,(Input!X$54-30)/30*X349,IF(Input!X$54&lt;91,(Input!X$54-60)/30*X349,IF(Input!X$54&lt;121,(Input!X$54-90)/30*X349,IF(Input!X$54&lt;151,(Input!X$54-120)/30*X349,(Input!X$54-150)/30*X349))))))</f>
        <v>0</v>
      </c>
      <c r="Y991" s="229">
        <f>IF(Y$338&gt;$D$33,0,IF(Input!Y$54&lt;31,Input!Y$54/30*Y349,IF(Input!Y$54&lt;61,(Input!Y$54-30)/30*Y349,IF(Input!Y$54&lt;91,(Input!Y$54-60)/30*Y349,IF(Input!Y$54&lt;121,(Input!Y$54-90)/30*Y349,IF(Input!Y$54&lt;151,(Input!Y$54-120)/30*Y349,(Input!Y$54-150)/30*Y349))))))</f>
        <v>0</v>
      </c>
      <c r="Z991" s="229">
        <f>IF(Z$338&gt;$D$33,0,IF(Input!Z$54&lt;31,Input!Z$54/30*Z349,IF(Input!Z$54&lt;61,(Input!Z$54-30)/30*Z349,IF(Input!Z$54&lt;91,(Input!Z$54-60)/30*Z349,IF(Input!Z$54&lt;121,(Input!Z$54-90)/30*Z349,IF(Input!Z$54&lt;151,(Input!Z$54-120)/30*Z349,(Input!Z$54-150)/30*Z349))))))</f>
        <v>0</v>
      </c>
      <c r="AA991" s="229">
        <f>IF(AA$338&gt;$D$33,0,IF(Input!AA$54&lt;31,Input!AA$54/30*AA349,IF(Input!AA$54&lt;61,(Input!AA$54-30)/30*AA349,IF(Input!AA$54&lt;91,(Input!AA$54-60)/30*AA349,IF(Input!AA$54&lt;121,(Input!AA$54-90)/30*AA349,IF(Input!AA$54&lt;151,(Input!AA$54-120)/30*AA349,(Input!AA$54-150)/30*AA349))))))</f>
        <v>0</v>
      </c>
      <c r="AB991" s="229">
        <f>IF(AB$338&gt;$D$33,0,IF(Input!AB$54&lt;31,Input!AB$54/30*AB349,IF(Input!AB$54&lt;61,(Input!AB$54-30)/30*AB349,IF(Input!AB$54&lt;91,(Input!AB$54-60)/30*AB349,IF(Input!AB$54&lt;121,(Input!AB$54-90)/30*AB349,IF(Input!AB$54&lt;151,(Input!AB$54-120)/30*AB349,(Input!AB$54-150)/30*AB349))))))</f>
        <v>0</v>
      </c>
      <c r="CH991" s="269"/>
      <c r="CI991" s="269"/>
      <c r="CJ991" s="269"/>
      <c r="CK991" s="269"/>
      <c r="CL991" s="269"/>
      <c r="CM991" s="269"/>
      <c r="CN991" s="269"/>
      <c r="CO991" s="269"/>
      <c r="CP991" s="269"/>
      <c r="CQ991" s="269"/>
      <c r="CR991" s="269"/>
      <c r="CS991" s="269"/>
    </row>
    <row r="992" spans="2:97" x14ac:dyDescent="0.3">
      <c r="C992" s="495">
        <f>C929</f>
        <v>335</v>
      </c>
      <c r="D992" s="229">
        <f>IF(D$338&gt;$D$33,0,IF(Input!D$54&lt;31,Input!D$54/30*D350,IF(Input!D$54&lt;61,(Input!D$54-30)/30*D350,IF(Input!D$54&lt;91,(Input!D$54-60)/30*D350,IF(Input!D$54&lt;121,(Input!D$54-90)/30*D350,IF(Input!D$54&lt;151,(Input!D$54-120)/30*D350,(Input!D$54-150)/30*D350))))))</f>
        <v>0</v>
      </c>
      <c r="E992" s="229">
        <f>IF(E$338&gt;$D$33,0,IF(Input!E$54&lt;31,Input!E$54/30*E350,IF(Input!E$54&lt;61,(Input!E$54-30)/30*E350,IF(Input!E$54&lt;91,(Input!E$54-60)/30*E350,IF(Input!E$54&lt;121,(Input!E$54-90)/30*E350,IF(Input!E$54&lt;151,(Input!E$54-120)/30*E350,(Input!E$54-150)/30*E350))))))</f>
        <v>0</v>
      </c>
      <c r="F992" s="229">
        <f>IF(F$338&gt;$D$33,0,IF(Input!F$54&lt;31,Input!F$54/30*F350,IF(Input!F$54&lt;61,(Input!F$54-30)/30*F350,IF(Input!F$54&lt;91,(Input!F$54-60)/30*F350,IF(Input!F$54&lt;121,(Input!F$54-90)/30*F350,IF(Input!F$54&lt;151,(Input!F$54-120)/30*F350,(Input!F$54-150)/30*F350))))))</f>
        <v>0</v>
      </c>
      <c r="G992" s="229">
        <f>IF(G$338&gt;$D$33,0,IF(Input!G$54&lt;31,Input!G$54/30*G350,IF(Input!G$54&lt;61,(Input!G$54-30)/30*G350,IF(Input!G$54&lt;91,(Input!G$54-60)/30*G350,IF(Input!G$54&lt;121,(Input!G$54-90)/30*G350,IF(Input!G$54&lt;151,(Input!G$54-120)/30*G350,(Input!G$54-150)/30*G350))))))</f>
        <v>0</v>
      </c>
      <c r="H992" s="229">
        <f>IF(H$338&gt;$D$33,0,IF(Input!H$54&lt;31,Input!H$54/30*H350,IF(Input!H$54&lt;61,(Input!H$54-30)/30*H350,IF(Input!H$54&lt;91,(Input!H$54-60)/30*H350,IF(Input!H$54&lt;121,(Input!H$54-90)/30*H350,IF(Input!H$54&lt;151,(Input!H$54-120)/30*H350,(Input!H$54-150)/30*H350))))))</f>
        <v>0</v>
      </c>
      <c r="I992" s="229">
        <f>IF(I$338&gt;$D$33,0,IF(Input!I$54&lt;31,Input!I$54/30*I350,IF(Input!I$54&lt;61,(Input!I$54-30)/30*I350,IF(Input!I$54&lt;91,(Input!I$54-60)/30*I350,IF(Input!I$54&lt;121,(Input!I$54-90)/30*I350,IF(Input!I$54&lt;151,(Input!I$54-120)/30*I350,(Input!I$54-150)/30*I350))))))</f>
        <v>0</v>
      </c>
      <c r="J992" s="229">
        <f>IF(J$338&gt;$D$33,0,IF(Input!J$54&lt;31,Input!J$54/30*J350,IF(Input!J$54&lt;61,(Input!J$54-30)/30*J350,IF(Input!J$54&lt;91,(Input!J$54-60)/30*J350,IF(Input!J$54&lt;121,(Input!J$54-90)/30*J350,IF(Input!J$54&lt;151,(Input!J$54-120)/30*J350,(Input!J$54-150)/30*J350))))))</f>
        <v>0</v>
      </c>
      <c r="K992" s="229">
        <f>IF(K$338&gt;$D$33,0,IF(Input!K$54&lt;31,Input!K$54/30*K350,IF(Input!K$54&lt;61,(Input!K$54-30)/30*K350,IF(Input!K$54&lt;91,(Input!K$54-60)/30*K350,IF(Input!K$54&lt;121,(Input!K$54-90)/30*K350,IF(Input!K$54&lt;151,(Input!K$54-120)/30*K350,(Input!K$54-150)/30*K350))))))</f>
        <v>0</v>
      </c>
      <c r="L992" s="229">
        <f>IF(L$338&gt;$D$33,0,IF(Input!L$54&lt;31,Input!L$54/30*L350,IF(Input!L$54&lt;61,(Input!L$54-30)/30*L350,IF(Input!L$54&lt;91,(Input!L$54-60)/30*L350,IF(Input!L$54&lt;121,(Input!L$54-90)/30*L350,IF(Input!L$54&lt;151,(Input!L$54-120)/30*L350,(Input!L$54-150)/30*L350))))))</f>
        <v>0</v>
      </c>
      <c r="M992" s="229">
        <f>IF(M$338&gt;$D$33,0,IF(Input!M$54&lt;31,Input!M$54/30*M350,IF(Input!M$54&lt;61,(Input!M$54-30)/30*M350,IF(Input!M$54&lt;91,(Input!M$54-60)/30*M350,IF(Input!M$54&lt;121,(Input!M$54-90)/30*M350,IF(Input!M$54&lt;151,(Input!M$54-120)/30*M350,(Input!M$54-150)/30*M350))))))</f>
        <v>0</v>
      </c>
      <c r="N992" s="229">
        <f>IF(N$338&gt;$D$33,0,IF(Input!N$54&lt;31,Input!N$54/30*N350,IF(Input!N$54&lt;61,(Input!N$54-30)/30*N350,IF(Input!N$54&lt;91,(Input!N$54-60)/30*N350,IF(Input!N$54&lt;121,(Input!N$54-90)/30*N350,IF(Input!N$54&lt;151,(Input!N$54-120)/30*N350,(Input!N$54-150)/30*N350))))))</f>
        <v>0</v>
      </c>
      <c r="O992" s="229">
        <f>IF(O$338&gt;$D$33,0,IF(Input!O$54&lt;31,Input!O$54/30*O350,IF(Input!O$54&lt;61,(Input!O$54-30)/30*O350,IF(Input!O$54&lt;91,(Input!O$54-60)/30*O350,IF(Input!O$54&lt;121,(Input!O$54-90)/30*O350,IF(Input!O$54&lt;151,(Input!O$54-120)/30*O350,(Input!O$54-150)/30*O350))))))</f>
        <v>0</v>
      </c>
      <c r="P992" s="229">
        <f>IF(P$338&gt;$D$33,0,IF(Input!P$54&lt;31,Input!P$54/30*P350,IF(Input!P$54&lt;61,(Input!P$54-30)/30*P350,IF(Input!P$54&lt;91,(Input!P$54-60)/30*P350,IF(Input!P$54&lt;121,(Input!P$54-90)/30*P350,IF(Input!P$54&lt;151,(Input!P$54-120)/30*P350,(Input!P$54-150)/30*P350))))))</f>
        <v>0</v>
      </c>
      <c r="Q992" s="229">
        <f>IF(Q$338&gt;$D$33,0,IF(Input!Q$54&lt;31,Input!Q$54/30*Q350,IF(Input!Q$54&lt;61,(Input!Q$54-30)/30*Q350,IF(Input!Q$54&lt;91,(Input!Q$54-60)/30*Q350,IF(Input!Q$54&lt;121,(Input!Q$54-90)/30*Q350,IF(Input!Q$54&lt;151,(Input!Q$54-120)/30*Q350,(Input!Q$54-150)/30*Q350))))))</f>
        <v>0</v>
      </c>
      <c r="R992" s="229">
        <f>IF(R$338&gt;$D$33,0,IF(Input!R$54&lt;31,Input!R$54/30*R350,IF(Input!R$54&lt;61,(Input!R$54-30)/30*R350,IF(Input!R$54&lt;91,(Input!R$54-60)/30*R350,IF(Input!R$54&lt;121,(Input!R$54-90)/30*R350,IF(Input!R$54&lt;151,(Input!R$54-120)/30*R350,(Input!R$54-150)/30*R350))))))</f>
        <v>0</v>
      </c>
      <c r="S992" s="229">
        <f>IF(S$338&gt;$D$33,0,IF(Input!S$54&lt;31,Input!S$54/30*S350,IF(Input!S$54&lt;61,(Input!S$54-30)/30*S350,IF(Input!S$54&lt;91,(Input!S$54-60)/30*S350,IF(Input!S$54&lt;121,(Input!S$54-90)/30*S350,IF(Input!S$54&lt;151,(Input!S$54-120)/30*S350,(Input!S$54-150)/30*S350))))))</f>
        <v>0</v>
      </c>
      <c r="T992" s="229">
        <f>IF(T$338&gt;$D$33,0,IF(Input!T$54&lt;31,Input!T$54/30*T350,IF(Input!T$54&lt;61,(Input!T$54-30)/30*T350,IF(Input!T$54&lt;91,(Input!T$54-60)/30*T350,IF(Input!T$54&lt;121,(Input!T$54-90)/30*T350,IF(Input!T$54&lt;151,(Input!T$54-120)/30*T350,(Input!T$54-150)/30*T350))))))</f>
        <v>0</v>
      </c>
      <c r="U992" s="229">
        <f>IF(U$338&gt;$D$33,0,IF(Input!U$54&lt;31,Input!U$54/30*U350,IF(Input!U$54&lt;61,(Input!U$54-30)/30*U350,IF(Input!U$54&lt;91,(Input!U$54-60)/30*U350,IF(Input!U$54&lt;121,(Input!U$54-90)/30*U350,IF(Input!U$54&lt;151,(Input!U$54-120)/30*U350,(Input!U$54-150)/30*U350))))))</f>
        <v>0</v>
      </c>
      <c r="V992" s="229">
        <f>IF(V$338&gt;$D$33,0,IF(Input!V$54&lt;31,Input!V$54/30*V350,IF(Input!V$54&lt;61,(Input!V$54-30)/30*V350,IF(Input!V$54&lt;91,(Input!V$54-60)/30*V350,IF(Input!V$54&lt;121,(Input!V$54-90)/30*V350,IF(Input!V$54&lt;151,(Input!V$54-120)/30*V350,(Input!V$54-150)/30*V350))))))</f>
        <v>0</v>
      </c>
      <c r="W992" s="229">
        <f>IF(W$338&gt;$D$33,0,IF(Input!W$54&lt;31,Input!W$54/30*W350,IF(Input!W$54&lt;61,(Input!W$54-30)/30*W350,IF(Input!W$54&lt;91,(Input!W$54-60)/30*W350,IF(Input!W$54&lt;121,(Input!W$54-90)/30*W350,IF(Input!W$54&lt;151,(Input!W$54-120)/30*W350,(Input!W$54-150)/30*W350))))))</f>
        <v>0</v>
      </c>
      <c r="X992" s="229">
        <f>IF(X$338&gt;$D$33,0,IF(Input!X$54&lt;31,Input!X$54/30*X350,IF(Input!X$54&lt;61,(Input!X$54-30)/30*X350,IF(Input!X$54&lt;91,(Input!X$54-60)/30*X350,IF(Input!X$54&lt;121,(Input!X$54-90)/30*X350,IF(Input!X$54&lt;151,(Input!X$54-120)/30*X350,(Input!X$54-150)/30*X350))))))</f>
        <v>0</v>
      </c>
      <c r="Y992" s="229">
        <f>IF(Y$338&gt;$D$33,0,IF(Input!Y$54&lt;31,Input!Y$54/30*Y350,IF(Input!Y$54&lt;61,(Input!Y$54-30)/30*Y350,IF(Input!Y$54&lt;91,(Input!Y$54-60)/30*Y350,IF(Input!Y$54&lt;121,(Input!Y$54-90)/30*Y350,IF(Input!Y$54&lt;151,(Input!Y$54-120)/30*Y350,(Input!Y$54-150)/30*Y350))))))</f>
        <v>0</v>
      </c>
      <c r="Z992" s="229">
        <f>IF(Z$338&gt;$D$33,0,IF(Input!Z$54&lt;31,Input!Z$54/30*Z350,IF(Input!Z$54&lt;61,(Input!Z$54-30)/30*Z350,IF(Input!Z$54&lt;91,(Input!Z$54-60)/30*Z350,IF(Input!Z$54&lt;121,(Input!Z$54-90)/30*Z350,IF(Input!Z$54&lt;151,(Input!Z$54-120)/30*Z350,(Input!Z$54-150)/30*Z350))))))</f>
        <v>0</v>
      </c>
      <c r="AA992" s="229">
        <f>IF(AA$338&gt;$D$33,0,IF(Input!AA$54&lt;31,Input!AA$54/30*AA350,IF(Input!AA$54&lt;61,(Input!AA$54-30)/30*AA350,IF(Input!AA$54&lt;91,(Input!AA$54-60)/30*AA350,IF(Input!AA$54&lt;121,(Input!AA$54-90)/30*AA350,IF(Input!AA$54&lt;151,(Input!AA$54-120)/30*AA350,(Input!AA$54-150)/30*AA350))))))</f>
        <v>0</v>
      </c>
      <c r="AB992" s="229">
        <f>IF(AB$338&gt;$D$33,0,IF(Input!AB$54&lt;31,Input!AB$54/30*AB350,IF(Input!AB$54&lt;61,(Input!AB$54-30)/30*AB350,IF(Input!AB$54&lt;91,(Input!AB$54-60)/30*AB350,IF(Input!AB$54&lt;121,(Input!AB$54-90)/30*AB350,IF(Input!AB$54&lt;151,(Input!AB$54-120)/30*AB350,(Input!AB$54-150)/30*AB350))))))</f>
        <v>0</v>
      </c>
      <c r="CH992" s="269"/>
      <c r="CI992" s="269"/>
      <c r="CJ992" s="269"/>
      <c r="CK992" s="269"/>
      <c r="CL992" s="269"/>
      <c r="CM992" s="269"/>
      <c r="CN992" s="269"/>
      <c r="CO992" s="269"/>
      <c r="CP992" s="269"/>
      <c r="CQ992" s="269"/>
      <c r="CR992" s="269"/>
      <c r="CS992" s="269"/>
    </row>
    <row r="993" spans="3:97" ht="12.5" thickBot="1" x14ac:dyDescent="0.35">
      <c r="C993" s="496">
        <f>C930</f>
        <v>366</v>
      </c>
      <c r="D993" s="230">
        <f>IF(D$338&gt;$D$33,0,IF(Input!D$54&lt;31,Input!D$54/30*D351,IF(Input!D$54&lt;61,(Input!D$54-30)/30*D351,IF(Input!D$54&lt;91,(Input!D$54-60)/30*D351,IF(Input!D$54&lt;121,(Input!D$54-90)/30*D351,IF(Input!D$54&lt;151,(Input!D$54-120)/30*D351,(Input!D$54-150)/30*D351))))))</f>
        <v>0</v>
      </c>
      <c r="E993" s="230">
        <f>IF(E$338&gt;$D$33,0,IF(Input!E$54&lt;31,Input!E$54/30*E351,IF(Input!E$54&lt;61,(Input!E$54-30)/30*E351,IF(Input!E$54&lt;91,(Input!E$54-60)/30*E351,IF(Input!E$54&lt;121,(Input!E$54-90)/30*E351,IF(Input!E$54&lt;151,(Input!E$54-120)/30*E351,(Input!E$54-150)/30*E351))))))</f>
        <v>0</v>
      </c>
      <c r="F993" s="230">
        <f>IF(F$338&gt;$D$33,0,IF(Input!F$54&lt;31,Input!F$54/30*F351,IF(Input!F$54&lt;61,(Input!F$54-30)/30*F351,IF(Input!F$54&lt;91,(Input!F$54-60)/30*F351,IF(Input!F$54&lt;121,(Input!F$54-90)/30*F351,IF(Input!F$54&lt;151,(Input!F$54-120)/30*F351,(Input!F$54-150)/30*F351))))))</f>
        <v>0</v>
      </c>
      <c r="G993" s="230">
        <f>IF(G$338&gt;$D$33,0,IF(Input!G$54&lt;31,Input!G$54/30*G351,IF(Input!G$54&lt;61,(Input!G$54-30)/30*G351,IF(Input!G$54&lt;91,(Input!G$54-60)/30*G351,IF(Input!G$54&lt;121,(Input!G$54-90)/30*G351,IF(Input!G$54&lt;151,(Input!G$54-120)/30*G351,(Input!G$54-150)/30*G351))))))</f>
        <v>0</v>
      </c>
      <c r="H993" s="230">
        <f>IF(H$338&gt;$D$33,0,IF(Input!H$54&lt;31,Input!H$54/30*H351,IF(Input!H$54&lt;61,(Input!H$54-30)/30*H351,IF(Input!H$54&lt;91,(Input!H$54-60)/30*H351,IF(Input!H$54&lt;121,(Input!H$54-90)/30*H351,IF(Input!H$54&lt;151,(Input!H$54-120)/30*H351,(Input!H$54-150)/30*H351))))))</f>
        <v>0</v>
      </c>
      <c r="I993" s="230">
        <f>IF(I$338&gt;$D$33,0,IF(Input!I$54&lt;31,Input!I$54/30*I351,IF(Input!I$54&lt;61,(Input!I$54-30)/30*I351,IF(Input!I$54&lt;91,(Input!I$54-60)/30*I351,IF(Input!I$54&lt;121,(Input!I$54-90)/30*I351,IF(Input!I$54&lt;151,(Input!I$54-120)/30*I351,(Input!I$54-150)/30*I351))))))</f>
        <v>0</v>
      </c>
      <c r="J993" s="230">
        <f>IF(J$338&gt;$D$33,0,IF(Input!J$54&lt;31,Input!J$54/30*J351,IF(Input!J$54&lt;61,(Input!J$54-30)/30*J351,IF(Input!J$54&lt;91,(Input!J$54-60)/30*J351,IF(Input!J$54&lt;121,(Input!J$54-90)/30*J351,IF(Input!J$54&lt;151,(Input!J$54-120)/30*J351,(Input!J$54-150)/30*J351))))))</f>
        <v>0</v>
      </c>
      <c r="K993" s="230">
        <f>IF(K$338&gt;$D$33,0,IF(Input!K$54&lt;31,Input!K$54/30*K351,IF(Input!K$54&lt;61,(Input!K$54-30)/30*K351,IF(Input!K$54&lt;91,(Input!K$54-60)/30*K351,IF(Input!K$54&lt;121,(Input!K$54-90)/30*K351,IF(Input!K$54&lt;151,(Input!K$54-120)/30*K351,(Input!K$54-150)/30*K351))))))</f>
        <v>0</v>
      </c>
      <c r="L993" s="230">
        <f>IF(L$338&gt;$D$33,0,IF(Input!L$54&lt;31,Input!L$54/30*L351,IF(Input!L$54&lt;61,(Input!L$54-30)/30*L351,IF(Input!L$54&lt;91,(Input!L$54-60)/30*L351,IF(Input!L$54&lt;121,(Input!L$54-90)/30*L351,IF(Input!L$54&lt;151,(Input!L$54-120)/30*L351,(Input!L$54-150)/30*L351))))))</f>
        <v>0</v>
      </c>
      <c r="M993" s="230">
        <f>IF(M$338&gt;$D$33,0,IF(Input!M$54&lt;31,Input!M$54/30*M351,IF(Input!M$54&lt;61,(Input!M$54-30)/30*M351,IF(Input!M$54&lt;91,(Input!M$54-60)/30*M351,IF(Input!M$54&lt;121,(Input!M$54-90)/30*M351,IF(Input!M$54&lt;151,(Input!M$54-120)/30*M351,(Input!M$54-150)/30*M351))))))</f>
        <v>0</v>
      </c>
      <c r="N993" s="230">
        <f>IF(N$338&gt;$D$33,0,IF(Input!N$54&lt;31,Input!N$54/30*N351,IF(Input!N$54&lt;61,(Input!N$54-30)/30*N351,IF(Input!N$54&lt;91,(Input!N$54-60)/30*N351,IF(Input!N$54&lt;121,(Input!N$54-90)/30*N351,IF(Input!N$54&lt;151,(Input!N$54-120)/30*N351,(Input!N$54-150)/30*N351))))))</f>
        <v>0</v>
      </c>
      <c r="O993" s="230">
        <f>IF(O$338&gt;$D$33,0,IF(Input!O$54&lt;31,Input!O$54/30*O351,IF(Input!O$54&lt;61,(Input!O$54-30)/30*O351,IF(Input!O$54&lt;91,(Input!O$54-60)/30*O351,IF(Input!O$54&lt;121,(Input!O$54-90)/30*O351,IF(Input!O$54&lt;151,(Input!O$54-120)/30*O351,(Input!O$54-150)/30*O351))))))</f>
        <v>0</v>
      </c>
      <c r="P993" s="230">
        <f>IF(P$338&gt;$D$33,0,IF(Input!P$54&lt;31,Input!P$54/30*P351,IF(Input!P$54&lt;61,(Input!P$54-30)/30*P351,IF(Input!P$54&lt;91,(Input!P$54-60)/30*P351,IF(Input!P$54&lt;121,(Input!P$54-90)/30*P351,IF(Input!P$54&lt;151,(Input!P$54-120)/30*P351,(Input!P$54-150)/30*P351))))))</f>
        <v>0</v>
      </c>
      <c r="Q993" s="230">
        <f>IF(Q$338&gt;$D$33,0,IF(Input!Q$54&lt;31,Input!Q$54/30*Q351,IF(Input!Q$54&lt;61,(Input!Q$54-30)/30*Q351,IF(Input!Q$54&lt;91,(Input!Q$54-60)/30*Q351,IF(Input!Q$54&lt;121,(Input!Q$54-90)/30*Q351,IF(Input!Q$54&lt;151,(Input!Q$54-120)/30*Q351,(Input!Q$54-150)/30*Q351))))))</f>
        <v>0</v>
      </c>
      <c r="R993" s="230">
        <f>IF(R$338&gt;$D$33,0,IF(Input!R$54&lt;31,Input!R$54/30*R351,IF(Input!R$54&lt;61,(Input!R$54-30)/30*R351,IF(Input!R$54&lt;91,(Input!R$54-60)/30*R351,IF(Input!R$54&lt;121,(Input!R$54-90)/30*R351,IF(Input!R$54&lt;151,(Input!R$54-120)/30*R351,(Input!R$54-150)/30*R351))))))</f>
        <v>0</v>
      </c>
      <c r="S993" s="230">
        <f>IF(S$338&gt;$D$33,0,IF(Input!S$54&lt;31,Input!S$54/30*S351,IF(Input!S$54&lt;61,(Input!S$54-30)/30*S351,IF(Input!S$54&lt;91,(Input!S$54-60)/30*S351,IF(Input!S$54&lt;121,(Input!S$54-90)/30*S351,IF(Input!S$54&lt;151,(Input!S$54-120)/30*S351,(Input!S$54-150)/30*S351))))))</f>
        <v>0</v>
      </c>
      <c r="T993" s="230">
        <f>IF(T$338&gt;$D$33,0,IF(Input!T$54&lt;31,Input!T$54/30*T351,IF(Input!T$54&lt;61,(Input!T$54-30)/30*T351,IF(Input!T$54&lt;91,(Input!T$54-60)/30*T351,IF(Input!T$54&lt;121,(Input!T$54-90)/30*T351,IF(Input!T$54&lt;151,(Input!T$54-120)/30*T351,(Input!T$54-150)/30*T351))))))</f>
        <v>0</v>
      </c>
      <c r="U993" s="230">
        <f>IF(U$338&gt;$D$33,0,IF(Input!U$54&lt;31,Input!U$54/30*U351,IF(Input!U$54&lt;61,(Input!U$54-30)/30*U351,IF(Input!U$54&lt;91,(Input!U$54-60)/30*U351,IF(Input!U$54&lt;121,(Input!U$54-90)/30*U351,IF(Input!U$54&lt;151,(Input!U$54-120)/30*U351,(Input!U$54-150)/30*U351))))))</f>
        <v>0</v>
      </c>
      <c r="V993" s="230">
        <f>IF(V$338&gt;$D$33,0,IF(Input!V$54&lt;31,Input!V$54/30*V351,IF(Input!V$54&lt;61,(Input!V$54-30)/30*V351,IF(Input!V$54&lt;91,(Input!V$54-60)/30*V351,IF(Input!V$54&lt;121,(Input!V$54-90)/30*V351,IF(Input!V$54&lt;151,(Input!V$54-120)/30*V351,(Input!V$54-150)/30*V351))))))</f>
        <v>0</v>
      </c>
      <c r="W993" s="230">
        <f>IF(W$338&gt;$D$33,0,IF(Input!W$54&lt;31,Input!W$54/30*W351,IF(Input!W$54&lt;61,(Input!W$54-30)/30*W351,IF(Input!W$54&lt;91,(Input!W$54-60)/30*W351,IF(Input!W$54&lt;121,(Input!W$54-90)/30*W351,IF(Input!W$54&lt;151,(Input!W$54-120)/30*W351,(Input!W$54-150)/30*W351))))))</f>
        <v>0</v>
      </c>
      <c r="X993" s="230">
        <f>IF(X$338&gt;$D$33,0,IF(Input!X$54&lt;31,Input!X$54/30*X351,IF(Input!X$54&lt;61,(Input!X$54-30)/30*X351,IF(Input!X$54&lt;91,(Input!X$54-60)/30*X351,IF(Input!X$54&lt;121,(Input!X$54-90)/30*X351,IF(Input!X$54&lt;151,(Input!X$54-120)/30*X351,(Input!X$54-150)/30*X351))))))</f>
        <v>0</v>
      </c>
      <c r="Y993" s="230">
        <f>IF(Y$338&gt;$D$33,0,IF(Input!Y$54&lt;31,Input!Y$54/30*Y351,IF(Input!Y$54&lt;61,(Input!Y$54-30)/30*Y351,IF(Input!Y$54&lt;91,(Input!Y$54-60)/30*Y351,IF(Input!Y$54&lt;121,(Input!Y$54-90)/30*Y351,IF(Input!Y$54&lt;151,(Input!Y$54-120)/30*Y351,(Input!Y$54-150)/30*Y351))))))</f>
        <v>0</v>
      </c>
      <c r="Z993" s="230">
        <f>IF(Z$338&gt;$D$33,0,IF(Input!Z$54&lt;31,Input!Z$54/30*Z351,IF(Input!Z$54&lt;61,(Input!Z$54-30)/30*Z351,IF(Input!Z$54&lt;91,(Input!Z$54-60)/30*Z351,IF(Input!Z$54&lt;121,(Input!Z$54-90)/30*Z351,IF(Input!Z$54&lt;151,(Input!Z$54-120)/30*Z351,(Input!Z$54-150)/30*Z351))))))</f>
        <v>0</v>
      </c>
      <c r="AA993" s="230">
        <f>IF(AA$338&gt;$D$33,0,IF(Input!AA$54&lt;31,Input!AA$54/30*AA351,IF(Input!AA$54&lt;61,(Input!AA$54-30)/30*AA351,IF(Input!AA$54&lt;91,(Input!AA$54-60)/30*AA351,IF(Input!AA$54&lt;121,(Input!AA$54-90)/30*AA351,IF(Input!AA$54&lt;151,(Input!AA$54-120)/30*AA351,(Input!AA$54-150)/30*AA351))))))</f>
        <v>0</v>
      </c>
      <c r="AB993" s="230">
        <f>IF(AB$338&gt;$D$33,0,IF(Input!AB$54&lt;31,Input!AB$54/30*AB351,IF(Input!AB$54&lt;61,(Input!AB$54-30)/30*AB351,IF(Input!AB$54&lt;91,(Input!AB$54-60)/30*AB351,IF(Input!AB$54&lt;121,(Input!AB$54-90)/30*AB351,IF(Input!AB$54&lt;151,(Input!AB$54-120)/30*AB351,(Input!AB$54-150)/30*AB351))))))</f>
        <v>0</v>
      </c>
      <c r="CH993" s="269"/>
      <c r="CI993" s="269"/>
      <c r="CJ993" s="269"/>
      <c r="CK993" s="269"/>
      <c r="CL993" s="269"/>
      <c r="CM993" s="269"/>
      <c r="CN993" s="269"/>
      <c r="CO993" s="269"/>
      <c r="CP993" s="269"/>
      <c r="CQ993" s="269"/>
      <c r="CR993" s="269"/>
      <c r="CS993" s="269"/>
    </row>
    <row r="994" spans="3:97" x14ac:dyDescent="0.3">
      <c r="C994" s="495">
        <f>C931</f>
        <v>397</v>
      </c>
      <c r="D994" s="231">
        <f>IF(D$338&gt;$D$33,0,IF(Input!D$54&lt;31,Input!D$54/30*D352,IF(Input!D$54&lt;61,(Input!D$54-30)/30*D352,IF(Input!D$54&lt;91,(Input!D$54-60)/30*D352,IF(Input!D$54&lt;121,(Input!D$54-90)/30*D352,IF(Input!D$54&lt;151,(Input!D$54-120)/30*D352,(Input!D$54-150)/30*D352))))))</f>
        <v>0</v>
      </c>
      <c r="E994" s="231">
        <f>IF(E$338&gt;$D$33,0,IF(Input!E$54&lt;31,Input!E$54/30*E352,IF(Input!E$54&lt;61,(Input!E$54-30)/30*E352,IF(Input!E$54&lt;91,(Input!E$54-60)/30*E352,IF(Input!E$54&lt;121,(Input!E$54-90)/30*E352,IF(Input!E$54&lt;151,(Input!E$54-120)/30*E352,(Input!E$54-150)/30*E352))))))</f>
        <v>0</v>
      </c>
      <c r="F994" s="231">
        <f>IF(F$338&gt;$D$33,0,IF(Input!F$54&lt;31,Input!F$54/30*F352,IF(Input!F$54&lt;61,(Input!F$54-30)/30*F352,IF(Input!F$54&lt;91,(Input!F$54-60)/30*F352,IF(Input!F$54&lt;121,(Input!F$54-90)/30*F352,IF(Input!F$54&lt;151,(Input!F$54-120)/30*F352,(Input!F$54-150)/30*F352))))))</f>
        <v>0</v>
      </c>
      <c r="G994" s="231">
        <f>IF(G$338&gt;$D$33,0,IF(Input!G$54&lt;31,Input!G$54/30*G352,IF(Input!G$54&lt;61,(Input!G$54-30)/30*G352,IF(Input!G$54&lt;91,(Input!G$54-60)/30*G352,IF(Input!G$54&lt;121,(Input!G$54-90)/30*G352,IF(Input!G$54&lt;151,(Input!G$54-120)/30*G352,(Input!G$54-150)/30*G352))))))</f>
        <v>0</v>
      </c>
      <c r="H994" s="231">
        <f>IF(H$338&gt;$D$33,0,IF(Input!H$54&lt;31,Input!H$54/30*H352,IF(Input!H$54&lt;61,(Input!H$54-30)/30*H352,IF(Input!H$54&lt;91,(Input!H$54-60)/30*H352,IF(Input!H$54&lt;121,(Input!H$54-90)/30*H352,IF(Input!H$54&lt;151,(Input!H$54-120)/30*H352,(Input!H$54-150)/30*H352))))))</f>
        <v>0</v>
      </c>
      <c r="I994" s="231">
        <f>IF(I$338&gt;$D$33,0,IF(Input!I$54&lt;31,Input!I$54/30*I352,IF(Input!I$54&lt;61,(Input!I$54-30)/30*I352,IF(Input!I$54&lt;91,(Input!I$54-60)/30*I352,IF(Input!I$54&lt;121,(Input!I$54-90)/30*I352,IF(Input!I$54&lt;151,(Input!I$54-120)/30*I352,(Input!I$54-150)/30*I352))))))</f>
        <v>0</v>
      </c>
      <c r="J994" s="231">
        <f>IF(J$338&gt;$D$33,0,IF(Input!J$54&lt;31,Input!J$54/30*J352,IF(Input!J$54&lt;61,(Input!J$54-30)/30*J352,IF(Input!J$54&lt;91,(Input!J$54-60)/30*J352,IF(Input!J$54&lt;121,(Input!J$54-90)/30*J352,IF(Input!J$54&lt;151,(Input!J$54-120)/30*J352,(Input!J$54-150)/30*J352))))))</f>
        <v>0</v>
      </c>
      <c r="K994" s="231">
        <f>IF(K$338&gt;$D$33,0,IF(Input!K$54&lt;31,Input!K$54/30*K352,IF(Input!K$54&lt;61,(Input!K$54-30)/30*K352,IF(Input!K$54&lt;91,(Input!K$54-60)/30*K352,IF(Input!K$54&lt;121,(Input!K$54-90)/30*K352,IF(Input!K$54&lt;151,(Input!K$54-120)/30*K352,(Input!K$54-150)/30*K352))))))</f>
        <v>0</v>
      </c>
      <c r="L994" s="231">
        <f>IF(L$338&gt;$D$33,0,IF(Input!L$54&lt;31,Input!L$54/30*L352,IF(Input!L$54&lt;61,(Input!L$54-30)/30*L352,IF(Input!L$54&lt;91,(Input!L$54-60)/30*L352,IF(Input!L$54&lt;121,(Input!L$54-90)/30*L352,IF(Input!L$54&lt;151,(Input!L$54-120)/30*L352,(Input!L$54-150)/30*L352))))))</f>
        <v>0</v>
      </c>
      <c r="M994" s="231">
        <f>IF(M$338&gt;$D$33,0,IF(Input!M$54&lt;31,Input!M$54/30*M352,IF(Input!M$54&lt;61,(Input!M$54-30)/30*M352,IF(Input!M$54&lt;91,(Input!M$54-60)/30*M352,IF(Input!M$54&lt;121,(Input!M$54-90)/30*M352,IF(Input!M$54&lt;151,(Input!M$54-120)/30*M352,(Input!M$54-150)/30*M352))))))</f>
        <v>0</v>
      </c>
      <c r="N994" s="231">
        <f>IF(N$338&gt;$D$33,0,IF(Input!N$54&lt;31,Input!N$54/30*N352,IF(Input!N$54&lt;61,(Input!N$54-30)/30*N352,IF(Input!N$54&lt;91,(Input!N$54-60)/30*N352,IF(Input!N$54&lt;121,(Input!N$54-90)/30*N352,IF(Input!N$54&lt;151,(Input!N$54-120)/30*N352,(Input!N$54-150)/30*N352))))))</f>
        <v>0</v>
      </c>
      <c r="O994" s="231">
        <f>IF(O$338&gt;$D$33,0,IF(Input!O$54&lt;31,Input!O$54/30*O352,IF(Input!O$54&lt;61,(Input!O$54-30)/30*O352,IF(Input!O$54&lt;91,(Input!O$54-60)/30*O352,IF(Input!O$54&lt;121,(Input!O$54-90)/30*O352,IF(Input!O$54&lt;151,(Input!O$54-120)/30*O352,(Input!O$54-150)/30*O352))))))</f>
        <v>0</v>
      </c>
      <c r="P994" s="231">
        <f>IF(P$338&gt;$D$33,0,IF(Input!P$54&lt;31,Input!P$54/30*P352,IF(Input!P$54&lt;61,(Input!P$54-30)/30*P352,IF(Input!P$54&lt;91,(Input!P$54-60)/30*P352,IF(Input!P$54&lt;121,(Input!P$54-90)/30*P352,IF(Input!P$54&lt;151,(Input!P$54-120)/30*P352,(Input!P$54-150)/30*P352))))))</f>
        <v>0</v>
      </c>
      <c r="Q994" s="231">
        <f>IF(Q$338&gt;$D$33,0,IF(Input!Q$54&lt;31,Input!Q$54/30*Q352,IF(Input!Q$54&lt;61,(Input!Q$54-30)/30*Q352,IF(Input!Q$54&lt;91,(Input!Q$54-60)/30*Q352,IF(Input!Q$54&lt;121,(Input!Q$54-90)/30*Q352,IF(Input!Q$54&lt;151,(Input!Q$54-120)/30*Q352,(Input!Q$54-150)/30*Q352))))))</f>
        <v>0</v>
      </c>
      <c r="R994" s="231">
        <f>IF(R$338&gt;$D$33,0,IF(Input!R$54&lt;31,Input!R$54/30*R352,IF(Input!R$54&lt;61,(Input!R$54-30)/30*R352,IF(Input!R$54&lt;91,(Input!R$54-60)/30*R352,IF(Input!R$54&lt;121,(Input!R$54-90)/30*R352,IF(Input!R$54&lt;151,(Input!R$54-120)/30*R352,(Input!R$54-150)/30*R352))))))</f>
        <v>0</v>
      </c>
      <c r="S994" s="231">
        <f>IF(S$338&gt;$D$33,0,IF(Input!S$54&lt;31,Input!S$54/30*S352,IF(Input!S$54&lt;61,(Input!S$54-30)/30*S352,IF(Input!S$54&lt;91,(Input!S$54-60)/30*S352,IF(Input!S$54&lt;121,(Input!S$54-90)/30*S352,IF(Input!S$54&lt;151,(Input!S$54-120)/30*S352,(Input!S$54-150)/30*S352))))))</f>
        <v>0</v>
      </c>
      <c r="T994" s="231">
        <f>IF(T$338&gt;$D$33,0,IF(Input!T$54&lt;31,Input!T$54/30*T352,IF(Input!T$54&lt;61,(Input!T$54-30)/30*T352,IF(Input!T$54&lt;91,(Input!T$54-60)/30*T352,IF(Input!T$54&lt;121,(Input!T$54-90)/30*T352,IF(Input!T$54&lt;151,(Input!T$54-120)/30*T352,(Input!T$54-150)/30*T352))))))</f>
        <v>0</v>
      </c>
      <c r="U994" s="231">
        <f>IF(U$338&gt;$D$33,0,IF(Input!U$54&lt;31,Input!U$54/30*U352,IF(Input!U$54&lt;61,(Input!U$54-30)/30*U352,IF(Input!U$54&lt;91,(Input!U$54-60)/30*U352,IF(Input!U$54&lt;121,(Input!U$54-90)/30*U352,IF(Input!U$54&lt;151,(Input!U$54-120)/30*U352,(Input!U$54-150)/30*U352))))))</f>
        <v>0</v>
      </c>
      <c r="V994" s="231">
        <f>IF(V$338&gt;$D$33,0,IF(Input!V$54&lt;31,Input!V$54/30*V352,IF(Input!V$54&lt;61,(Input!V$54-30)/30*V352,IF(Input!V$54&lt;91,(Input!V$54-60)/30*V352,IF(Input!V$54&lt;121,(Input!V$54-90)/30*V352,IF(Input!V$54&lt;151,(Input!V$54-120)/30*V352,(Input!V$54-150)/30*V352))))))</f>
        <v>0</v>
      </c>
      <c r="W994" s="231">
        <f>IF(W$338&gt;$D$33,0,IF(Input!W$54&lt;31,Input!W$54/30*W352,IF(Input!W$54&lt;61,(Input!W$54-30)/30*W352,IF(Input!W$54&lt;91,(Input!W$54-60)/30*W352,IF(Input!W$54&lt;121,(Input!W$54-90)/30*W352,IF(Input!W$54&lt;151,(Input!W$54-120)/30*W352,(Input!W$54-150)/30*W352))))))</f>
        <v>0</v>
      </c>
      <c r="X994" s="231">
        <f>IF(X$338&gt;$D$33,0,IF(Input!X$54&lt;31,Input!X$54/30*X352,IF(Input!X$54&lt;61,(Input!X$54-30)/30*X352,IF(Input!X$54&lt;91,(Input!X$54-60)/30*X352,IF(Input!X$54&lt;121,(Input!X$54-90)/30*X352,IF(Input!X$54&lt;151,(Input!X$54-120)/30*X352,(Input!X$54-150)/30*X352))))))</f>
        <v>0</v>
      </c>
      <c r="Y994" s="231">
        <f>IF(Y$338&gt;$D$33,0,IF(Input!Y$54&lt;31,Input!Y$54/30*Y352,IF(Input!Y$54&lt;61,(Input!Y$54-30)/30*Y352,IF(Input!Y$54&lt;91,(Input!Y$54-60)/30*Y352,IF(Input!Y$54&lt;121,(Input!Y$54-90)/30*Y352,IF(Input!Y$54&lt;151,(Input!Y$54-120)/30*Y352,(Input!Y$54-150)/30*Y352))))))</f>
        <v>0</v>
      </c>
      <c r="Z994" s="231">
        <f>IF(Z$338&gt;$D$33,0,IF(Input!Z$54&lt;31,Input!Z$54/30*Z352,IF(Input!Z$54&lt;61,(Input!Z$54-30)/30*Z352,IF(Input!Z$54&lt;91,(Input!Z$54-60)/30*Z352,IF(Input!Z$54&lt;121,(Input!Z$54-90)/30*Z352,IF(Input!Z$54&lt;151,(Input!Z$54-120)/30*Z352,(Input!Z$54-150)/30*Z352))))))</f>
        <v>0</v>
      </c>
      <c r="AA994" s="231">
        <f>IF(AA$338&gt;$D$33,0,IF(Input!AA$54&lt;31,Input!AA$54/30*AA352,IF(Input!AA$54&lt;61,(Input!AA$54-30)/30*AA352,IF(Input!AA$54&lt;91,(Input!AA$54-60)/30*AA352,IF(Input!AA$54&lt;121,(Input!AA$54-90)/30*AA352,IF(Input!AA$54&lt;151,(Input!AA$54-120)/30*AA352,(Input!AA$54-150)/30*AA352))))))</f>
        <v>0</v>
      </c>
      <c r="AB994" s="231">
        <f>IF(AB$338&gt;$D$33,0,IF(Input!AB$54&lt;31,Input!AB$54/30*AB352,IF(Input!AB$54&lt;61,(Input!AB$54-30)/30*AB352,IF(Input!AB$54&lt;91,(Input!AB$54-60)/30*AB352,IF(Input!AB$54&lt;121,(Input!AB$54-90)/30*AB352,IF(Input!AB$54&lt;151,(Input!AB$54-120)/30*AB352,(Input!AB$54-150)/30*AB352))))))</f>
        <v>0</v>
      </c>
      <c r="CH994" s="269"/>
      <c r="CI994" s="269"/>
      <c r="CJ994" s="269"/>
      <c r="CK994" s="269"/>
      <c r="CL994" s="269"/>
      <c r="CM994" s="269"/>
      <c r="CN994" s="269"/>
      <c r="CO994" s="269"/>
      <c r="CP994" s="269"/>
      <c r="CQ994" s="269"/>
      <c r="CR994" s="269"/>
      <c r="CS994" s="269"/>
    </row>
    <row r="995" spans="3:97" x14ac:dyDescent="0.3">
      <c r="C995" s="495">
        <f>C932</f>
        <v>425</v>
      </c>
      <c r="D995" s="229">
        <f>IF(D$338&gt;$D$33,0,IF(Input!D$54&lt;31,Input!D$54/30*D353,IF(Input!D$54&lt;61,(Input!D$54-30)/30*D353,IF(Input!D$54&lt;91,(Input!D$54-60)/30*D353,IF(Input!D$54&lt;121,(Input!D$54-90)/30*D353,IF(Input!D$54&lt;151,(Input!D$54-120)/30*D353,(Input!D$54-150)/30*D353))))))</f>
        <v>0</v>
      </c>
      <c r="E995" s="229">
        <f>IF(E$338&gt;$D$33,0,IF(Input!E$54&lt;31,Input!E$54/30*E353,IF(Input!E$54&lt;61,(Input!E$54-30)/30*E353,IF(Input!E$54&lt;91,(Input!E$54-60)/30*E353,IF(Input!E$54&lt;121,(Input!E$54-90)/30*E353,IF(Input!E$54&lt;151,(Input!E$54-120)/30*E353,(Input!E$54-150)/30*E353))))))</f>
        <v>0</v>
      </c>
      <c r="F995" s="229">
        <f>IF(F$338&gt;$D$33,0,IF(Input!F$54&lt;31,Input!F$54/30*F353,IF(Input!F$54&lt;61,(Input!F$54-30)/30*F353,IF(Input!F$54&lt;91,(Input!F$54-60)/30*F353,IF(Input!F$54&lt;121,(Input!F$54-90)/30*F353,IF(Input!F$54&lt;151,(Input!F$54-120)/30*F353,(Input!F$54-150)/30*F353))))))</f>
        <v>0</v>
      </c>
      <c r="G995" s="229">
        <f>IF(G$338&gt;$D$33,0,IF(Input!G$54&lt;31,Input!G$54/30*G353,IF(Input!G$54&lt;61,(Input!G$54-30)/30*G353,IF(Input!G$54&lt;91,(Input!G$54-60)/30*G353,IF(Input!G$54&lt;121,(Input!G$54-90)/30*G353,IF(Input!G$54&lt;151,(Input!G$54-120)/30*G353,(Input!G$54-150)/30*G353))))))</f>
        <v>0</v>
      </c>
      <c r="H995" s="229">
        <f>IF(H$338&gt;$D$33,0,IF(Input!H$54&lt;31,Input!H$54/30*H353,IF(Input!H$54&lt;61,(Input!H$54-30)/30*H353,IF(Input!H$54&lt;91,(Input!H$54-60)/30*H353,IF(Input!H$54&lt;121,(Input!H$54-90)/30*H353,IF(Input!H$54&lt;151,(Input!H$54-120)/30*H353,(Input!H$54-150)/30*H353))))))</f>
        <v>0</v>
      </c>
      <c r="I995" s="229">
        <f>IF(I$338&gt;$D$33,0,IF(Input!I$54&lt;31,Input!I$54/30*I353,IF(Input!I$54&lt;61,(Input!I$54-30)/30*I353,IF(Input!I$54&lt;91,(Input!I$54-60)/30*I353,IF(Input!I$54&lt;121,(Input!I$54-90)/30*I353,IF(Input!I$54&lt;151,(Input!I$54-120)/30*I353,(Input!I$54-150)/30*I353))))))</f>
        <v>0</v>
      </c>
      <c r="J995" s="229">
        <f>IF(J$338&gt;$D$33,0,IF(Input!J$54&lt;31,Input!J$54/30*J353,IF(Input!J$54&lt;61,(Input!J$54-30)/30*J353,IF(Input!J$54&lt;91,(Input!J$54-60)/30*J353,IF(Input!J$54&lt;121,(Input!J$54-90)/30*J353,IF(Input!J$54&lt;151,(Input!J$54-120)/30*J353,(Input!J$54-150)/30*J353))))))</f>
        <v>0</v>
      </c>
      <c r="K995" s="229">
        <f>IF(K$338&gt;$D$33,0,IF(Input!K$54&lt;31,Input!K$54/30*K353,IF(Input!K$54&lt;61,(Input!K$54-30)/30*K353,IF(Input!K$54&lt;91,(Input!K$54-60)/30*K353,IF(Input!K$54&lt;121,(Input!K$54-90)/30*K353,IF(Input!K$54&lt;151,(Input!K$54-120)/30*K353,(Input!K$54-150)/30*K353))))))</f>
        <v>0</v>
      </c>
      <c r="L995" s="229">
        <f>IF(L$338&gt;$D$33,0,IF(Input!L$54&lt;31,Input!L$54/30*L353,IF(Input!L$54&lt;61,(Input!L$54-30)/30*L353,IF(Input!L$54&lt;91,(Input!L$54-60)/30*L353,IF(Input!L$54&lt;121,(Input!L$54-90)/30*L353,IF(Input!L$54&lt;151,(Input!L$54-120)/30*L353,(Input!L$54-150)/30*L353))))))</f>
        <v>0</v>
      </c>
      <c r="M995" s="229">
        <f>IF(M$338&gt;$D$33,0,IF(Input!M$54&lt;31,Input!M$54/30*M353,IF(Input!M$54&lt;61,(Input!M$54-30)/30*M353,IF(Input!M$54&lt;91,(Input!M$54-60)/30*M353,IF(Input!M$54&lt;121,(Input!M$54-90)/30*M353,IF(Input!M$54&lt;151,(Input!M$54-120)/30*M353,(Input!M$54-150)/30*M353))))))</f>
        <v>0</v>
      </c>
      <c r="N995" s="229">
        <f>IF(N$338&gt;$D$33,0,IF(Input!N$54&lt;31,Input!N$54/30*N353,IF(Input!N$54&lt;61,(Input!N$54-30)/30*N353,IF(Input!N$54&lt;91,(Input!N$54-60)/30*N353,IF(Input!N$54&lt;121,(Input!N$54-90)/30*N353,IF(Input!N$54&lt;151,(Input!N$54-120)/30*N353,(Input!N$54-150)/30*N353))))))</f>
        <v>0</v>
      </c>
      <c r="O995" s="229">
        <f>IF(O$338&gt;$D$33,0,IF(Input!O$54&lt;31,Input!O$54/30*O353,IF(Input!O$54&lt;61,(Input!O$54-30)/30*O353,IF(Input!O$54&lt;91,(Input!O$54-60)/30*O353,IF(Input!O$54&lt;121,(Input!O$54-90)/30*O353,IF(Input!O$54&lt;151,(Input!O$54-120)/30*O353,(Input!O$54-150)/30*O353))))))</f>
        <v>0</v>
      </c>
      <c r="P995" s="229">
        <f>IF(P$338&gt;$D$33,0,IF(Input!P$54&lt;31,Input!P$54/30*P353,IF(Input!P$54&lt;61,(Input!P$54-30)/30*P353,IF(Input!P$54&lt;91,(Input!P$54-60)/30*P353,IF(Input!P$54&lt;121,(Input!P$54-90)/30*P353,IF(Input!P$54&lt;151,(Input!P$54-120)/30*P353,(Input!P$54-150)/30*P353))))))</f>
        <v>0</v>
      </c>
      <c r="Q995" s="229">
        <f>IF(Q$338&gt;$D$33,0,IF(Input!Q$54&lt;31,Input!Q$54/30*Q353,IF(Input!Q$54&lt;61,(Input!Q$54-30)/30*Q353,IF(Input!Q$54&lt;91,(Input!Q$54-60)/30*Q353,IF(Input!Q$54&lt;121,(Input!Q$54-90)/30*Q353,IF(Input!Q$54&lt;151,(Input!Q$54-120)/30*Q353,(Input!Q$54-150)/30*Q353))))))</f>
        <v>0</v>
      </c>
      <c r="R995" s="229">
        <f>IF(R$338&gt;$D$33,0,IF(Input!R$54&lt;31,Input!R$54/30*R353,IF(Input!R$54&lt;61,(Input!R$54-30)/30*R353,IF(Input!R$54&lt;91,(Input!R$54-60)/30*R353,IF(Input!R$54&lt;121,(Input!R$54-90)/30*R353,IF(Input!R$54&lt;151,(Input!R$54-120)/30*R353,(Input!R$54-150)/30*R353))))))</f>
        <v>0</v>
      </c>
      <c r="S995" s="229">
        <f>IF(S$338&gt;$D$33,0,IF(Input!S$54&lt;31,Input!S$54/30*S353,IF(Input!S$54&lt;61,(Input!S$54-30)/30*S353,IF(Input!S$54&lt;91,(Input!S$54-60)/30*S353,IF(Input!S$54&lt;121,(Input!S$54-90)/30*S353,IF(Input!S$54&lt;151,(Input!S$54-120)/30*S353,(Input!S$54-150)/30*S353))))))</f>
        <v>0</v>
      </c>
      <c r="T995" s="229">
        <f>IF(T$338&gt;$D$33,0,IF(Input!T$54&lt;31,Input!T$54/30*T353,IF(Input!T$54&lt;61,(Input!T$54-30)/30*T353,IF(Input!T$54&lt;91,(Input!T$54-60)/30*T353,IF(Input!T$54&lt;121,(Input!T$54-90)/30*T353,IF(Input!T$54&lt;151,(Input!T$54-120)/30*T353,(Input!T$54-150)/30*T353))))))</f>
        <v>0</v>
      </c>
      <c r="U995" s="229">
        <f>IF(U$338&gt;$D$33,0,IF(Input!U$54&lt;31,Input!U$54/30*U353,IF(Input!U$54&lt;61,(Input!U$54-30)/30*U353,IF(Input!U$54&lt;91,(Input!U$54-60)/30*U353,IF(Input!U$54&lt;121,(Input!U$54-90)/30*U353,IF(Input!U$54&lt;151,(Input!U$54-120)/30*U353,(Input!U$54-150)/30*U353))))))</f>
        <v>0</v>
      </c>
      <c r="V995" s="229">
        <f>IF(V$338&gt;$D$33,0,IF(Input!V$54&lt;31,Input!V$54/30*V353,IF(Input!V$54&lt;61,(Input!V$54-30)/30*V353,IF(Input!V$54&lt;91,(Input!V$54-60)/30*V353,IF(Input!V$54&lt;121,(Input!V$54-90)/30*V353,IF(Input!V$54&lt;151,(Input!V$54-120)/30*V353,(Input!V$54-150)/30*V353))))))</f>
        <v>0</v>
      </c>
      <c r="W995" s="229">
        <f>IF(W$338&gt;$D$33,0,IF(Input!W$54&lt;31,Input!W$54/30*W353,IF(Input!W$54&lt;61,(Input!W$54-30)/30*W353,IF(Input!W$54&lt;91,(Input!W$54-60)/30*W353,IF(Input!W$54&lt;121,(Input!W$54-90)/30*W353,IF(Input!W$54&lt;151,(Input!W$54-120)/30*W353,(Input!W$54-150)/30*W353))))))</f>
        <v>0</v>
      </c>
      <c r="X995" s="229">
        <f>IF(X$338&gt;$D$33,0,IF(Input!X$54&lt;31,Input!X$54/30*X353,IF(Input!X$54&lt;61,(Input!X$54-30)/30*X353,IF(Input!X$54&lt;91,(Input!X$54-60)/30*X353,IF(Input!X$54&lt;121,(Input!X$54-90)/30*X353,IF(Input!X$54&lt;151,(Input!X$54-120)/30*X353,(Input!X$54-150)/30*X353))))))</f>
        <v>0</v>
      </c>
      <c r="Y995" s="229">
        <f>IF(Y$338&gt;$D$33,0,IF(Input!Y$54&lt;31,Input!Y$54/30*Y353,IF(Input!Y$54&lt;61,(Input!Y$54-30)/30*Y353,IF(Input!Y$54&lt;91,(Input!Y$54-60)/30*Y353,IF(Input!Y$54&lt;121,(Input!Y$54-90)/30*Y353,IF(Input!Y$54&lt;151,(Input!Y$54-120)/30*Y353,(Input!Y$54-150)/30*Y353))))))</f>
        <v>0</v>
      </c>
      <c r="Z995" s="229">
        <f>IF(Z$338&gt;$D$33,0,IF(Input!Z$54&lt;31,Input!Z$54/30*Z353,IF(Input!Z$54&lt;61,(Input!Z$54-30)/30*Z353,IF(Input!Z$54&lt;91,(Input!Z$54-60)/30*Z353,IF(Input!Z$54&lt;121,(Input!Z$54-90)/30*Z353,IF(Input!Z$54&lt;151,(Input!Z$54-120)/30*Z353,(Input!Z$54-150)/30*Z353))))))</f>
        <v>0</v>
      </c>
      <c r="AA995" s="229">
        <f>IF(AA$338&gt;$D$33,0,IF(Input!AA$54&lt;31,Input!AA$54/30*AA353,IF(Input!AA$54&lt;61,(Input!AA$54-30)/30*AA353,IF(Input!AA$54&lt;91,(Input!AA$54-60)/30*AA353,IF(Input!AA$54&lt;121,(Input!AA$54-90)/30*AA353,IF(Input!AA$54&lt;151,(Input!AA$54-120)/30*AA353,(Input!AA$54-150)/30*AA353))))))</f>
        <v>0</v>
      </c>
      <c r="AB995" s="229">
        <f>IF(AB$338&gt;$D$33,0,IF(Input!AB$54&lt;31,Input!AB$54/30*AB353,IF(Input!AB$54&lt;61,(Input!AB$54-30)/30*AB353,IF(Input!AB$54&lt;91,(Input!AB$54-60)/30*AB353,IF(Input!AB$54&lt;121,(Input!AB$54-90)/30*AB353,IF(Input!AB$54&lt;151,(Input!AB$54-120)/30*AB353,(Input!AB$54-150)/30*AB353))))))</f>
        <v>0</v>
      </c>
      <c r="CH995" s="269"/>
      <c r="CI995" s="269"/>
      <c r="CJ995" s="269"/>
      <c r="CK995" s="269"/>
      <c r="CL995" s="269"/>
      <c r="CM995" s="269"/>
      <c r="CN995" s="269"/>
      <c r="CO995" s="269"/>
      <c r="CP995" s="269"/>
      <c r="CQ995" s="269"/>
      <c r="CR995" s="269"/>
      <c r="CS995" s="269"/>
    </row>
    <row r="996" spans="3:97" x14ac:dyDescent="0.3">
      <c r="C996" s="495">
        <f>C933</f>
        <v>456</v>
      </c>
      <c r="D996" s="229">
        <f>IF(D$338&gt;$D$33,0,IF(Input!D$54&lt;31,Input!D$54/30*D354,IF(Input!D$54&lt;61,(Input!D$54-30)/30*D354,IF(Input!D$54&lt;91,(Input!D$54-60)/30*D354,IF(Input!D$54&lt;121,(Input!D$54-90)/30*D354,IF(Input!D$54&lt;151,(Input!D$54-120)/30*D354,(Input!D$54-150)/30*D354))))))</f>
        <v>0</v>
      </c>
      <c r="E996" s="229">
        <f>IF(E$338&gt;$D$33,0,IF(Input!E$54&lt;31,Input!E$54/30*E354,IF(Input!E$54&lt;61,(Input!E$54-30)/30*E354,IF(Input!E$54&lt;91,(Input!E$54-60)/30*E354,IF(Input!E$54&lt;121,(Input!E$54-90)/30*E354,IF(Input!E$54&lt;151,(Input!E$54-120)/30*E354,(Input!E$54-150)/30*E354))))))</f>
        <v>0</v>
      </c>
      <c r="F996" s="229">
        <f>IF(F$338&gt;$D$33,0,IF(Input!F$54&lt;31,Input!F$54/30*F354,IF(Input!F$54&lt;61,(Input!F$54-30)/30*F354,IF(Input!F$54&lt;91,(Input!F$54-60)/30*F354,IF(Input!F$54&lt;121,(Input!F$54-90)/30*F354,IF(Input!F$54&lt;151,(Input!F$54-120)/30*F354,(Input!F$54-150)/30*F354))))))</f>
        <v>0</v>
      </c>
      <c r="G996" s="229">
        <f>IF(G$338&gt;$D$33,0,IF(Input!G$54&lt;31,Input!G$54/30*G354,IF(Input!G$54&lt;61,(Input!G$54-30)/30*G354,IF(Input!G$54&lt;91,(Input!G$54-60)/30*G354,IF(Input!G$54&lt;121,(Input!G$54-90)/30*G354,IF(Input!G$54&lt;151,(Input!G$54-120)/30*G354,(Input!G$54-150)/30*G354))))))</f>
        <v>0</v>
      </c>
      <c r="H996" s="229">
        <f>IF(H$338&gt;$D$33,0,IF(Input!H$54&lt;31,Input!H$54/30*H354,IF(Input!H$54&lt;61,(Input!H$54-30)/30*H354,IF(Input!H$54&lt;91,(Input!H$54-60)/30*H354,IF(Input!H$54&lt;121,(Input!H$54-90)/30*H354,IF(Input!H$54&lt;151,(Input!H$54-120)/30*H354,(Input!H$54-150)/30*H354))))))</f>
        <v>0</v>
      </c>
      <c r="I996" s="229">
        <f>IF(I$338&gt;$D$33,0,IF(Input!I$54&lt;31,Input!I$54/30*I354,IF(Input!I$54&lt;61,(Input!I$54-30)/30*I354,IF(Input!I$54&lt;91,(Input!I$54-60)/30*I354,IF(Input!I$54&lt;121,(Input!I$54-90)/30*I354,IF(Input!I$54&lt;151,(Input!I$54-120)/30*I354,(Input!I$54-150)/30*I354))))))</f>
        <v>0</v>
      </c>
      <c r="J996" s="229">
        <f>IF(J$338&gt;$D$33,0,IF(Input!J$54&lt;31,Input!J$54/30*J354,IF(Input!J$54&lt;61,(Input!J$54-30)/30*J354,IF(Input!J$54&lt;91,(Input!J$54-60)/30*J354,IF(Input!J$54&lt;121,(Input!J$54-90)/30*J354,IF(Input!J$54&lt;151,(Input!J$54-120)/30*J354,(Input!J$54-150)/30*J354))))))</f>
        <v>0</v>
      </c>
      <c r="K996" s="229">
        <f>IF(K$338&gt;$D$33,0,IF(Input!K$54&lt;31,Input!K$54/30*K354,IF(Input!K$54&lt;61,(Input!K$54-30)/30*K354,IF(Input!K$54&lt;91,(Input!K$54-60)/30*K354,IF(Input!K$54&lt;121,(Input!K$54-90)/30*K354,IF(Input!K$54&lt;151,(Input!K$54-120)/30*K354,(Input!K$54-150)/30*K354))))))</f>
        <v>0</v>
      </c>
      <c r="L996" s="229">
        <f>IF(L$338&gt;$D$33,0,IF(Input!L$54&lt;31,Input!L$54/30*L354,IF(Input!L$54&lt;61,(Input!L$54-30)/30*L354,IF(Input!L$54&lt;91,(Input!L$54-60)/30*L354,IF(Input!L$54&lt;121,(Input!L$54-90)/30*L354,IF(Input!L$54&lt;151,(Input!L$54-120)/30*L354,(Input!L$54-150)/30*L354))))))</f>
        <v>0</v>
      </c>
      <c r="M996" s="229">
        <f>IF(M$338&gt;$D$33,0,IF(Input!M$54&lt;31,Input!M$54/30*M354,IF(Input!M$54&lt;61,(Input!M$54-30)/30*M354,IF(Input!M$54&lt;91,(Input!M$54-60)/30*M354,IF(Input!M$54&lt;121,(Input!M$54-90)/30*M354,IF(Input!M$54&lt;151,(Input!M$54-120)/30*M354,(Input!M$54-150)/30*M354))))))</f>
        <v>0</v>
      </c>
      <c r="N996" s="229">
        <f>IF(N$338&gt;$D$33,0,IF(Input!N$54&lt;31,Input!N$54/30*N354,IF(Input!N$54&lt;61,(Input!N$54-30)/30*N354,IF(Input!N$54&lt;91,(Input!N$54-60)/30*N354,IF(Input!N$54&lt;121,(Input!N$54-90)/30*N354,IF(Input!N$54&lt;151,(Input!N$54-120)/30*N354,(Input!N$54-150)/30*N354))))))</f>
        <v>0</v>
      </c>
      <c r="O996" s="229">
        <f>IF(O$338&gt;$D$33,0,IF(Input!O$54&lt;31,Input!O$54/30*O354,IF(Input!O$54&lt;61,(Input!O$54-30)/30*O354,IF(Input!O$54&lt;91,(Input!O$54-60)/30*O354,IF(Input!O$54&lt;121,(Input!O$54-90)/30*O354,IF(Input!O$54&lt;151,(Input!O$54-120)/30*O354,(Input!O$54-150)/30*O354))))))</f>
        <v>0</v>
      </c>
      <c r="P996" s="229">
        <f>IF(P$338&gt;$D$33,0,IF(Input!P$54&lt;31,Input!P$54/30*P354,IF(Input!P$54&lt;61,(Input!P$54-30)/30*P354,IF(Input!P$54&lt;91,(Input!P$54-60)/30*P354,IF(Input!P$54&lt;121,(Input!P$54-90)/30*P354,IF(Input!P$54&lt;151,(Input!P$54-120)/30*P354,(Input!P$54-150)/30*P354))))))</f>
        <v>0</v>
      </c>
      <c r="Q996" s="229">
        <f>IF(Q$338&gt;$D$33,0,IF(Input!Q$54&lt;31,Input!Q$54/30*Q354,IF(Input!Q$54&lt;61,(Input!Q$54-30)/30*Q354,IF(Input!Q$54&lt;91,(Input!Q$54-60)/30*Q354,IF(Input!Q$54&lt;121,(Input!Q$54-90)/30*Q354,IF(Input!Q$54&lt;151,(Input!Q$54-120)/30*Q354,(Input!Q$54-150)/30*Q354))))))</f>
        <v>0</v>
      </c>
      <c r="R996" s="229">
        <f>IF(R$338&gt;$D$33,0,IF(Input!R$54&lt;31,Input!R$54/30*R354,IF(Input!R$54&lt;61,(Input!R$54-30)/30*R354,IF(Input!R$54&lt;91,(Input!R$54-60)/30*R354,IF(Input!R$54&lt;121,(Input!R$54-90)/30*R354,IF(Input!R$54&lt;151,(Input!R$54-120)/30*R354,(Input!R$54-150)/30*R354))))))</f>
        <v>0</v>
      </c>
      <c r="S996" s="229">
        <f>IF(S$338&gt;$D$33,0,IF(Input!S$54&lt;31,Input!S$54/30*S354,IF(Input!S$54&lt;61,(Input!S$54-30)/30*S354,IF(Input!S$54&lt;91,(Input!S$54-60)/30*S354,IF(Input!S$54&lt;121,(Input!S$54-90)/30*S354,IF(Input!S$54&lt;151,(Input!S$54-120)/30*S354,(Input!S$54-150)/30*S354))))))</f>
        <v>0</v>
      </c>
      <c r="T996" s="229">
        <f>IF(T$338&gt;$D$33,0,IF(Input!T$54&lt;31,Input!T$54/30*T354,IF(Input!T$54&lt;61,(Input!T$54-30)/30*T354,IF(Input!T$54&lt;91,(Input!T$54-60)/30*T354,IF(Input!T$54&lt;121,(Input!T$54-90)/30*T354,IF(Input!T$54&lt;151,(Input!T$54-120)/30*T354,(Input!T$54-150)/30*T354))))))</f>
        <v>0</v>
      </c>
      <c r="U996" s="229">
        <f>IF(U$338&gt;$D$33,0,IF(Input!U$54&lt;31,Input!U$54/30*U354,IF(Input!U$54&lt;61,(Input!U$54-30)/30*U354,IF(Input!U$54&lt;91,(Input!U$54-60)/30*U354,IF(Input!U$54&lt;121,(Input!U$54-90)/30*U354,IF(Input!U$54&lt;151,(Input!U$54-120)/30*U354,(Input!U$54-150)/30*U354))))))</f>
        <v>0</v>
      </c>
      <c r="V996" s="229">
        <f>IF(V$338&gt;$D$33,0,IF(Input!V$54&lt;31,Input!V$54/30*V354,IF(Input!V$54&lt;61,(Input!V$54-30)/30*V354,IF(Input!V$54&lt;91,(Input!V$54-60)/30*V354,IF(Input!V$54&lt;121,(Input!V$54-90)/30*V354,IF(Input!V$54&lt;151,(Input!V$54-120)/30*V354,(Input!V$54-150)/30*V354))))))</f>
        <v>0</v>
      </c>
      <c r="W996" s="229">
        <f>IF(W$338&gt;$D$33,0,IF(Input!W$54&lt;31,Input!W$54/30*W354,IF(Input!W$54&lt;61,(Input!W$54-30)/30*W354,IF(Input!W$54&lt;91,(Input!W$54-60)/30*W354,IF(Input!W$54&lt;121,(Input!W$54-90)/30*W354,IF(Input!W$54&lt;151,(Input!W$54-120)/30*W354,(Input!W$54-150)/30*W354))))))</f>
        <v>0</v>
      </c>
      <c r="X996" s="229">
        <f>IF(X$338&gt;$D$33,0,IF(Input!X$54&lt;31,Input!X$54/30*X354,IF(Input!X$54&lt;61,(Input!X$54-30)/30*X354,IF(Input!X$54&lt;91,(Input!X$54-60)/30*X354,IF(Input!X$54&lt;121,(Input!X$54-90)/30*X354,IF(Input!X$54&lt;151,(Input!X$54-120)/30*X354,(Input!X$54-150)/30*X354))))))</f>
        <v>0</v>
      </c>
      <c r="Y996" s="229">
        <f>IF(Y$338&gt;$D$33,0,IF(Input!Y$54&lt;31,Input!Y$54/30*Y354,IF(Input!Y$54&lt;61,(Input!Y$54-30)/30*Y354,IF(Input!Y$54&lt;91,(Input!Y$54-60)/30*Y354,IF(Input!Y$54&lt;121,(Input!Y$54-90)/30*Y354,IF(Input!Y$54&lt;151,(Input!Y$54-120)/30*Y354,(Input!Y$54-150)/30*Y354))))))</f>
        <v>0</v>
      </c>
      <c r="Z996" s="229">
        <f>IF(Z$338&gt;$D$33,0,IF(Input!Z$54&lt;31,Input!Z$54/30*Z354,IF(Input!Z$54&lt;61,(Input!Z$54-30)/30*Z354,IF(Input!Z$54&lt;91,(Input!Z$54-60)/30*Z354,IF(Input!Z$54&lt;121,(Input!Z$54-90)/30*Z354,IF(Input!Z$54&lt;151,(Input!Z$54-120)/30*Z354,(Input!Z$54-150)/30*Z354))))))</f>
        <v>0</v>
      </c>
      <c r="AA996" s="229">
        <f>IF(AA$338&gt;$D$33,0,IF(Input!AA$54&lt;31,Input!AA$54/30*AA354,IF(Input!AA$54&lt;61,(Input!AA$54-30)/30*AA354,IF(Input!AA$54&lt;91,(Input!AA$54-60)/30*AA354,IF(Input!AA$54&lt;121,(Input!AA$54-90)/30*AA354,IF(Input!AA$54&lt;151,(Input!AA$54-120)/30*AA354,(Input!AA$54-150)/30*AA354))))))</f>
        <v>0</v>
      </c>
      <c r="AB996" s="229">
        <f>IF(AB$338&gt;$D$33,0,IF(Input!AB$54&lt;31,Input!AB$54/30*AB354,IF(Input!AB$54&lt;61,(Input!AB$54-30)/30*AB354,IF(Input!AB$54&lt;91,(Input!AB$54-60)/30*AB354,IF(Input!AB$54&lt;121,(Input!AB$54-90)/30*AB354,IF(Input!AB$54&lt;151,(Input!AB$54-120)/30*AB354,(Input!AB$54-150)/30*AB354))))))</f>
        <v>0</v>
      </c>
      <c r="CH996" s="269"/>
      <c r="CI996" s="269"/>
      <c r="CJ996" s="269"/>
      <c r="CK996" s="269"/>
      <c r="CL996" s="269"/>
      <c r="CM996" s="269"/>
      <c r="CN996" s="269"/>
      <c r="CO996" s="269"/>
      <c r="CP996" s="269"/>
      <c r="CQ996" s="269"/>
      <c r="CR996" s="269"/>
      <c r="CS996" s="269"/>
    </row>
    <row r="997" spans="3:97" x14ac:dyDescent="0.3">
      <c r="C997" s="495">
        <f>C934</f>
        <v>486</v>
      </c>
      <c r="D997" s="229">
        <f>IF(D$338&gt;$D$33,0,IF(Input!D$54&lt;31,Input!D$54/30*D355,IF(Input!D$54&lt;61,(Input!D$54-30)/30*D355,IF(Input!D$54&lt;91,(Input!D$54-60)/30*D355,IF(Input!D$54&lt;121,(Input!D$54-90)/30*D355,IF(Input!D$54&lt;151,(Input!D$54-120)/30*D355,(Input!D$54-150)/30*D355))))))</f>
        <v>0</v>
      </c>
      <c r="E997" s="229">
        <f>IF(E$338&gt;$D$33,0,IF(Input!E$54&lt;31,Input!E$54/30*E355,IF(Input!E$54&lt;61,(Input!E$54-30)/30*E355,IF(Input!E$54&lt;91,(Input!E$54-60)/30*E355,IF(Input!E$54&lt;121,(Input!E$54-90)/30*E355,IF(Input!E$54&lt;151,(Input!E$54-120)/30*E355,(Input!E$54-150)/30*E355))))))</f>
        <v>0</v>
      </c>
      <c r="F997" s="229">
        <f>IF(F$338&gt;$D$33,0,IF(Input!F$54&lt;31,Input!F$54/30*F355,IF(Input!F$54&lt;61,(Input!F$54-30)/30*F355,IF(Input!F$54&lt;91,(Input!F$54-60)/30*F355,IF(Input!F$54&lt;121,(Input!F$54-90)/30*F355,IF(Input!F$54&lt;151,(Input!F$54-120)/30*F355,(Input!F$54-150)/30*F355))))))</f>
        <v>0</v>
      </c>
      <c r="G997" s="229">
        <f>IF(G$338&gt;$D$33,0,IF(Input!G$54&lt;31,Input!G$54/30*G355,IF(Input!G$54&lt;61,(Input!G$54-30)/30*G355,IF(Input!G$54&lt;91,(Input!G$54-60)/30*G355,IF(Input!G$54&lt;121,(Input!G$54-90)/30*G355,IF(Input!G$54&lt;151,(Input!G$54-120)/30*G355,(Input!G$54-150)/30*G355))))))</f>
        <v>0</v>
      </c>
      <c r="H997" s="229">
        <f>IF(H$338&gt;$D$33,0,IF(Input!H$54&lt;31,Input!H$54/30*H355,IF(Input!H$54&lt;61,(Input!H$54-30)/30*H355,IF(Input!H$54&lt;91,(Input!H$54-60)/30*H355,IF(Input!H$54&lt;121,(Input!H$54-90)/30*H355,IF(Input!H$54&lt;151,(Input!H$54-120)/30*H355,(Input!H$54-150)/30*H355))))))</f>
        <v>0</v>
      </c>
      <c r="I997" s="229">
        <f>IF(I$338&gt;$D$33,0,IF(Input!I$54&lt;31,Input!I$54/30*I355,IF(Input!I$54&lt;61,(Input!I$54-30)/30*I355,IF(Input!I$54&lt;91,(Input!I$54-60)/30*I355,IF(Input!I$54&lt;121,(Input!I$54-90)/30*I355,IF(Input!I$54&lt;151,(Input!I$54-120)/30*I355,(Input!I$54-150)/30*I355))))))</f>
        <v>0</v>
      </c>
      <c r="J997" s="229">
        <f>IF(J$338&gt;$D$33,0,IF(Input!J$54&lt;31,Input!J$54/30*J355,IF(Input!J$54&lt;61,(Input!J$54-30)/30*J355,IF(Input!J$54&lt;91,(Input!J$54-60)/30*J355,IF(Input!J$54&lt;121,(Input!J$54-90)/30*J355,IF(Input!J$54&lt;151,(Input!J$54-120)/30*J355,(Input!J$54-150)/30*J355))))))</f>
        <v>0</v>
      </c>
      <c r="K997" s="229">
        <f>IF(K$338&gt;$D$33,0,IF(Input!K$54&lt;31,Input!K$54/30*K355,IF(Input!K$54&lt;61,(Input!K$54-30)/30*K355,IF(Input!K$54&lt;91,(Input!K$54-60)/30*K355,IF(Input!K$54&lt;121,(Input!K$54-90)/30*K355,IF(Input!K$54&lt;151,(Input!K$54-120)/30*K355,(Input!K$54-150)/30*K355))))))</f>
        <v>0</v>
      </c>
      <c r="L997" s="229">
        <f>IF(L$338&gt;$D$33,0,IF(Input!L$54&lt;31,Input!L$54/30*L355,IF(Input!L$54&lt;61,(Input!L$54-30)/30*L355,IF(Input!L$54&lt;91,(Input!L$54-60)/30*L355,IF(Input!L$54&lt;121,(Input!L$54-90)/30*L355,IF(Input!L$54&lt;151,(Input!L$54-120)/30*L355,(Input!L$54-150)/30*L355))))))</f>
        <v>0</v>
      </c>
      <c r="M997" s="229">
        <f>IF(M$338&gt;$D$33,0,IF(Input!M$54&lt;31,Input!M$54/30*M355,IF(Input!M$54&lt;61,(Input!M$54-30)/30*M355,IF(Input!M$54&lt;91,(Input!M$54-60)/30*M355,IF(Input!M$54&lt;121,(Input!M$54-90)/30*M355,IF(Input!M$54&lt;151,(Input!M$54-120)/30*M355,(Input!M$54-150)/30*M355))))))</f>
        <v>0</v>
      </c>
      <c r="N997" s="229">
        <f>IF(N$338&gt;$D$33,0,IF(Input!N$54&lt;31,Input!N$54/30*N355,IF(Input!N$54&lt;61,(Input!N$54-30)/30*N355,IF(Input!N$54&lt;91,(Input!N$54-60)/30*N355,IF(Input!N$54&lt;121,(Input!N$54-90)/30*N355,IF(Input!N$54&lt;151,(Input!N$54-120)/30*N355,(Input!N$54-150)/30*N355))))))</f>
        <v>0</v>
      </c>
      <c r="O997" s="229">
        <f>IF(O$338&gt;$D$33,0,IF(Input!O$54&lt;31,Input!O$54/30*O355,IF(Input!O$54&lt;61,(Input!O$54-30)/30*O355,IF(Input!O$54&lt;91,(Input!O$54-60)/30*O355,IF(Input!O$54&lt;121,(Input!O$54-90)/30*O355,IF(Input!O$54&lt;151,(Input!O$54-120)/30*O355,(Input!O$54-150)/30*O355))))))</f>
        <v>0</v>
      </c>
      <c r="P997" s="229">
        <f>IF(P$338&gt;$D$33,0,IF(Input!P$54&lt;31,Input!P$54/30*P355,IF(Input!P$54&lt;61,(Input!P$54-30)/30*P355,IF(Input!P$54&lt;91,(Input!P$54-60)/30*P355,IF(Input!P$54&lt;121,(Input!P$54-90)/30*P355,IF(Input!P$54&lt;151,(Input!P$54-120)/30*P355,(Input!P$54-150)/30*P355))))))</f>
        <v>0</v>
      </c>
      <c r="Q997" s="229">
        <f>IF(Q$338&gt;$D$33,0,IF(Input!Q$54&lt;31,Input!Q$54/30*Q355,IF(Input!Q$54&lt;61,(Input!Q$54-30)/30*Q355,IF(Input!Q$54&lt;91,(Input!Q$54-60)/30*Q355,IF(Input!Q$54&lt;121,(Input!Q$54-90)/30*Q355,IF(Input!Q$54&lt;151,(Input!Q$54-120)/30*Q355,(Input!Q$54-150)/30*Q355))))))</f>
        <v>0</v>
      </c>
      <c r="R997" s="229">
        <f>IF(R$338&gt;$D$33,0,IF(Input!R$54&lt;31,Input!R$54/30*R355,IF(Input!R$54&lt;61,(Input!R$54-30)/30*R355,IF(Input!R$54&lt;91,(Input!R$54-60)/30*R355,IF(Input!R$54&lt;121,(Input!R$54-90)/30*R355,IF(Input!R$54&lt;151,(Input!R$54-120)/30*R355,(Input!R$54-150)/30*R355))))))</f>
        <v>0</v>
      </c>
      <c r="S997" s="229">
        <f>IF(S$338&gt;$D$33,0,IF(Input!S$54&lt;31,Input!S$54/30*S355,IF(Input!S$54&lt;61,(Input!S$54-30)/30*S355,IF(Input!S$54&lt;91,(Input!S$54-60)/30*S355,IF(Input!S$54&lt;121,(Input!S$54-90)/30*S355,IF(Input!S$54&lt;151,(Input!S$54-120)/30*S355,(Input!S$54-150)/30*S355))))))</f>
        <v>0</v>
      </c>
      <c r="T997" s="229">
        <f>IF(T$338&gt;$D$33,0,IF(Input!T$54&lt;31,Input!T$54/30*T355,IF(Input!T$54&lt;61,(Input!T$54-30)/30*T355,IF(Input!T$54&lt;91,(Input!T$54-60)/30*T355,IF(Input!T$54&lt;121,(Input!T$54-90)/30*T355,IF(Input!T$54&lt;151,(Input!T$54-120)/30*T355,(Input!T$54-150)/30*T355))))))</f>
        <v>0</v>
      </c>
      <c r="U997" s="229">
        <f>IF(U$338&gt;$D$33,0,IF(Input!U$54&lt;31,Input!U$54/30*U355,IF(Input!U$54&lt;61,(Input!U$54-30)/30*U355,IF(Input!U$54&lt;91,(Input!U$54-60)/30*U355,IF(Input!U$54&lt;121,(Input!U$54-90)/30*U355,IF(Input!U$54&lt;151,(Input!U$54-120)/30*U355,(Input!U$54-150)/30*U355))))))</f>
        <v>0</v>
      </c>
      <c r="V997" s="229">
        <f>IF(V$338&gt;$D$33,0,IF(Input!V$54&lt;31,Input!V$54/30*V355,IF(Input!V$54&lt;61,(Input!V$54-30)/30*V355,IF(Input!V$54&lt;91,(Input!V$54-60)/30*V355,IF(Input!V$54&lt;121,(Input!V$54-90)/30*V355,IF(Input!V$54&lt;151,(Input!V$54-120)/30*V355,(Input!V$54-150)/30*V355))))))</f>
        <v>0</v>
      </c>
      <c r="W997" s="229">
        <f>IF(W$338&gt;$D$33,0,IF(Input!W$54&lt;31,Input!W$54/30*W355,IF(Input!W$54&lt;61,(Input!W$54-30)/30*W355,IF(Input!W$54&lt;91,(Input!W$54-60)/30*W355,IF(Input!W$54&lt;121,(Input!W$54-90)/30*W355,IF(Input!W$54&lt;151,(Input!W$54-120)/30*W355,(Input!W$54-150)/30*W355))))))</f>
        <v>0</v>
      </c>
      <c r="X997" s="229">
        <f>IF(X$338&gt;$D$33,0,IF(Input!X$54&lt;31,Input!X$54/30*X355,IF(Input!X$54&lt;61,(Input!X$54-30)/30*X355,IF(Input!X$54&lt;91,(Input!X$54-60)/30*X355,IF(Input!X$54&lt;121,(Input!X$54-90)/30*X355,IF(Input!X$54&lt;151,(Input!X$54-120)/30*X355,(Input!X$54-150)/30*X355))))))</f>
        <v>0</v>
      </c>
      <c r="Y997" s="229">
        <f>IF(Y$338&gt;$D$33,0,IF(Input!Y$54&lt;31,Input!Y$54/30*Y355,IF(Input!Y$54&lt;61,(Input!Y$54-30)/30*Y355,IF(Input!Y$54&lt;91,(Input!Y$54-60)/30*Y355,IF(Input!Y$54&lt;121,(Input!Y$54-90)/30*Y355,IF(Input!Y$54&lt;151,(Input!Y$54-120)/30*Y355,(Input!Y$54-150)/30*Y355))))))</f>
        <v>0</v>
      </c>
      <c r="Z997" s="229">
        <f>IF(Z$338&gt;$D$33,0,IF(Input!Z$54&lt;31,Input!Z$54/30*Z355,IF(Input!Z$54&lt;61,(Input!Z$54-30)/30*Z355,IF(Input!Z$54&lt;91,(Input!Z$54-60)/30*Z355,IF(Input!Z$54&lt;121,(Input!Z$54-90)/30*Z355,IF(Input!Z$54&lt;151,(Input!Z$54-120)/30*Z355,(Input!Z$54-150)/30*Z355))))))</f>
        <v>0</v>
      </c>
      <c r="AA997" s="229">
        <f>IF(AA$338&gt;$D$33,0,IF(Input!AA$54&lt;31,Input!AA$54/30*AA355,IF(Input!AA$54&lt;61,(Input!AA$54-30)/30*AA355,IF(Input!AA$54&lt;91,(Input!AA$54-60)/30*AA355,IF(Input!AA$54&lt;121,(Input!AA$54-90)/30*AA355,IF(Input!AA$54&lt;151,(Input!AA$54-120)/30*AA355,(Input!AA$54-150)/30*AA355))))))</f>
        <v>0</v>
      </c>
      <c r="AB997" s="229">
        <f>IF(AB$338&gt;$D$33,0,IF(Input!AB$54&lt;31,Input!AB$54/30*AB355,IF(Input!AB$54&lt;61,(Input!AB$54-30)/30*AB355,IF(Input!AB$54&lt;91,(Input!AB$54-60)/30*AB355,IF(Input!AB$54&lt;121,(Input!AB$54-90)/30*AB355,IF(Input!AB$54&lt;151,(Input!AB$54-120)/30*AB355,(Input!AB$54-150)/30*AB355))))))</f>
        <v>0</v>
      </c>
      <c r="CH997" s="269"/>
      <c r="CI997" s="269"/>
      <c r="CJ997" s="269"/>
      <c r="CK997" s="269"/>
      <c r="CL997" s="269"/>
      <c r="CM997" s="269"/>
      <c r="CN997" s="269"/>
      <c r="CO997" s="269"/>
      <c r="CP997" s="269"/>
      <c r="CQ997" s="269"/>
      <c r="CR997" s="269"/>
      <c r="CS997" s="269"/>
    </row>
    <row r="998" spans="3:97" x14ac:dyDescent="0.3">
      <c r="C998" s="495">
        <f>C935</f>
        <v>517</v>
      </c>
      <c r="D998" s="229">
        <f>IF(D$338&gt;$D$33,0,IF(Input!D$54&lt;31,Input!D$54/30*D356,IF(Input!D$54&lt;61,(Input!D$54-30)/30*D356,IF(Input!D$54&lt;91,(Input!D$54-60)/30*D356,IF(Input!D$54&lt;121,(Input!D$54-90)/30*D356,IF(Input!D$54&lt;151,(Input!D$54-120)/30*D356,(Input!D$54-150)/30*D356))))))</f>
        <v>0</v>
      </c>
      <c r="E998" s="229">
        <f>IF(E$338&gt;$D$33,0,IF(Input!E$54&lt;31,Input!E$54/30*E356,IF(Input!E$54&lt;61,(Input!E$54-30)/30*E356,IF(Input!E$54&lt;91,(Input!E$54-60)/30*E356,IF(Input!E$54&lt;121,(Input!E$54-90)/30*E356,IF(Input!E$54&lt;151,(Input!E$54-120)/30*E356,(Input!E$54-150)/30*E356))))))</f>
        <v>0</v>
      </c>
      <c r="F998" s="229">
        <f>IF(F$338&gt;$D$33,0,IF(Input!F$54&lt;31,Input!F$54/30*F356,IF(Input!F$54&lt;61,(Input!F$54-30)/30*F356,IF(Input!F$54&lt;91,(Input!F$54-60)/30*F356,IF(Input!F$54&lt;121,(Input!F$54-90)/30*F356,IF(Input!F$54&lt;151,(Input!F$54-120)/30*F356,(Input!F$54-150)/30*F356))))))</f>
        <v>0</v>
      </c>
      <c r="G998" s="229">
        <f>IF(G$338&gt;$D$33,0,IF(Input!G$54&lt;31,Input!G$54/30*G356,IF(Input!G$54&lt;61,(Input!G$54-30)/30*G356,IF(Input!G$54&lt;91,(Input!G$54-60)/30*G356,IF(Input!G$54&lt;121,(Input!G$54-90)/30*G356,IF(Input!G$54&lt;151,(Input!G$54-120)/30*G356,(Input!G$54-150)/30*G356))))))</f>
        <v>0</v>
      </c>
      <c r="H998" s="229">
        <f>IF(H$338&gt;$D$33,0,IF(Input!H$54&lt;31,Input!H$54/30*H356,IF(Input!H$54&lt;61,(Input!H$54-30)/30*H356,IF(Input!H$54&lt;91,(Input!H$54-60)/30*H356,IF(Input!H$54&lt;121,(Input!H$54-90)/30*H356,IF(Input!H$54&lt;151,(Input!H$54-120)/30*H356,(Input!H$54-150)/30*H356))))))</f>
        <v>0</v>
      </c>
      <c r="I998" s="229">
        <f>IF(I$338&gt;$D$33,0,IF(Input!I$54&lt;31,Input!I$54/30*I356,IF(Input!I$54&lt;61,(Input!I$54-30)/30*I356,IF(Input!I$54&lt;91,(Input!I$54-60)/30*I356,IF(Input!I$54&lt;121,(Input!I$54-90)/30*I356,IF(Input!I$54&lt;151,(Input!I$54-120)/30*I356,(Input!I$54-150)/30*I356))))))</f>
        <v>0</v>
      </c>
      <c r="J998" s="229">
        <f>IF(J$338&gt;$D$33,0,IF(Input!J$54&lt;31,Input!J$54/30*J356,IF(Input!J$54&lt;61,(Input!J$54-30)/30*J356,IF(Input!J$54&lt;91,(Input!J$54-60)/30*J356,IF(Input!J$54&lt;121,(Input!J$54-90)/30*J356,IF(Input!J$54&lt;151,(Input!J$54-120)/30*J356,(Input!J$54-150)/30*J356))))))</f>
        <v>0</v>
      </c>
      <c r="K998" s="229">
        <f>IF(K$338&gt;$D$33,0,IF(Input!K$54&lt;31,Input!K$54/30*K356,IF(Input!K$54&lt;61,(Input!K$54-30)/30*K356,IF(Input!K$54&lt;91,(Input!K$54-60)/30*K356,IF(Input!K$54&lt;121,(Input!K$54-90)/30*K356,IF(Input!K$54&lt;151,(Input!K$54-120)/30*K356,(Input!K$54-150)/30*K356))))))</f>
        <v>0</v>
      </c>
      <c r="L998" s="229">
        <f>IF(L$338&gt;$D$33,0,IF(Input!L$54&lt;31,Input!L$54/30*L356,IF(Input!L$54&lt;61,(Input!L$54-30)/30*L356,IF(Input!L$54&lt;91,(Input!L$54-60)/30*L356,IF(Input!L$54&lt;121,(Input!L$54-90)/30*L356,IF(Input!L$54&lt;151,(Input!L$54-120)/30*L356,(Input!L$54-150)/30*L356))))))</f>
        <v>0</v>
      </c>
      <c r="M998" s="229">
        <f>IF(M$338&gt;$D$33,0,IF(Input!M$54&lt;31,Input!M$54/30*M356,IF(Input!M$54&lt;61,(Input!M$54-30)/30*M356,IF(Input!M$54&lt;91,(Input!M$54-60)/30*M356,IF(Input!M$54&lt;121,(Input!M$54-90)/30*M356,IF(Input!M$54&lt;151,(Input!M$54-120)/30*M356,(Input!M$54-150)/30*M356))))))</f>
        <v>0</v>
      </c>
      <c r="N998" s="229">
        <f>IF(N$338&gt;$D$33,0,IF(Input!N$54&lt;31,Input!N$54/30*N356,IF(Input!N$54&lt;61,(Input!N$54-30)/30*N356,IF(Input!N$54&lt;91,(Input!N$54-60)/30*N356,IF(Input!N$54&lt;121,(Input!N$54-90)/30*N356,IF(Input!N$54&lt;151,(Input!N$54-120)/30*N356,(Input!N$54-150)/30*N356))))))</f>
        <v>0</v>
      </c>
      <c r="O998" s="229">
        <f>IF(O$338&gt;$D$33,0,IF(Input!O$54&lt;31,Input!O$54/30*O356,IF(Input!O$54&lt;61,(Input!O$54-30)/30*O356,IF(Input!O$54&lt;91,(Input!O$54-60)/30*O356,IF(Input!O$54&lt;121,(Input!O$54-90)/30*O356,IF(Input!O$54&lt;151,(Input!O$54-120)/30*O356,(Input!O$54-150)/30*O356))))))</f>
        <v>0</v>
      </c>
      <c r="P998" s="229">
        <f>IF(P$338&gt;$D$33,0,IF(Input!P$54&lt;31,Input!P$54/30*P356,IF(Input!P$54&lt;61,(Input!P$54-30)/30*P356,IF(Input!P$54&lt;91,(Input!P$54-60)/30*P356,IF(Input!P$54&lt;121,(Input!P$54-90)/30*P356,IF(Input!P$54&lt;151,(Input!P$54-120)/30*P356,(Input!P$54-150)/30*P356))))))</f>
        <v>0</v>
      </c>
      <c r="Q998" s="229">
        <f>IF(Q$338&gt;$D$33,0,IF(Input!Q$54&lt;31,Input!Q$54/30*Q356,IF(Input!Q$54&lt;61,(Input!Q$54-30)/30*Q356,IF(Input!Q$54&lt;91,(Input!Q$54-60)/30*Q356,IF(Input!Q$54&lt;121,(Input!Q$54-90)/30*Q356,IF(Input!Q$54&lt;151,(Input!Q$54-120)/30*Q356,(Input!Q$54-150)/30*Q356))))))</f>
        <v>0</v>
      </c>
      <c r="R998" s="229">
        <f>IF(R$338&gt;$D$33,0,IF(Input!R$54&lt;31,Input!R$54/30*R356,IF(Input!R$54&lt;61,(Input!R$54-30)/30*R356,IF(Input!R$54&lt;91,(Input!R$54-60)/30*R356,IF(Input!R$54&lt;121,(Input!R$54-90)/30*R356,IF(Input!R$54&lt;151,(Input!R$54-120)/30*R356,(Input!R$54-150)/30*R356))))))</f>
        <v>0</v>
      </c>
      <c r="S998" s="229">
        <f>IF(S$338&gt;$D$33,0,IF(Input!S$54&lt;31,Input!S$54/30*S356,IF(Input!S$54&lt;61,(Input!S$54-30)/30*S356,IF(Input!S$54&lt;91,(Input!S$54-60)/30*S356,IF(Input!S$54&lt;121,(Input!S$54-90)/30*S356,IF(Input!S$54&lt;151,(Input!S$54-120)/30*S356,(Input!S$54-150)/30*S356))))))</f>
        <v>0</v>
      </c>
      <c r="T998" s="229">
        <f>IF(T$338&gt;$D$33,0,IF(Input!T$54&lt;31,Input!T$54/30*T356,IF(Input!T$54&lt;61,(Input!T$54-30)/30*T356,IF(Input!T$54&lt;91,(Input!T$54-60)/30*T356,IF(Input!T$54&lt;121,(Input!T$54-90)/30*T356,IF(Input!T$54&lt;151,(Input!T$54-120)/30*T356,(Input!T$54-150)/30*T356))))))</f>
        <v>0</v>
      </c>
      <c r="U998" s="229">
        <f>IF(U$338&gt;$D$33,0,IF(Input!U$54&lt;31,Input!U$54/30*U356,IF(Input!U$54&lt;61,(Input!U$54-30)/30*U356,IF(Input!U$54&lt;91,(Input!U$54-60)/30*U356,IF(Input!U$54&lt;121,(Input!U$54-90)/30*U356,IF(Input!U$54&lt;151,(Input!U$54-120)/30*U356,(Input!U$54-150)/30*U356))))))</f>
        <v>0</v>
      </c>
      <c r="V998" s="229">
        <f>IF(V$338&gt;$D$33,0,IF(Input!V$54&lt;31,Input!V$54/30*V356,IF(Input!V$54&lt;61,(Input!V$54-30)/30*V356,IF(Input!V$54&lt;91,(Input!V$54-60)/30*V356,IF(Input!V$54&lt;121,(Input!V$54-90)/30*V356,IF(Input!V$54&lt;151,(Input!V$54-120)/30*V356,(Input!V$54-150)/30*V356))))))</f>
        <v>0</v>
      </c>
      <c r="W998" s="229">
        <f>IF(W$338&gt;$D$33,0,IF(Input!W$54&lt;31,Input!W$54/30*W356,IF(Input!W$54&lt;61,(Input!W$54-30)/30*W356,IF(Input!W$54&lt;91,(Input!W$54-60)/30*W356,IF(Input!W$54&lt;121,(Input!W$54-90)/30*W356,IF(Input!W$54&lt;151,(Input!W$54-120)/30*W356,(Input!W$54-150)/30*W356))))))</f>
        <v>0</v>
      </c>
      <c r="X998" s="229">
        <f>IF(X$338&gt;$D$33,0,IF(Input!X$54&lt;31,Input!X$54/30*X356,IF(Input!X$54&lt;61,(Input!X$54-30)/30*X356,IF(Input!X$54&lt;91,(Input!X$54-60)/30*X356,IF(Input!X$54&lt;121,(Input!X$54-90)/30*X356,IF(Input!X$54&lt;151,(Input!X$54-120)/30*X356,(Input!X$54-150)/30*X356))))))</f>
        <v>0</v>
      </c>
      <c r="Y998" s="229">
        <f>IF(Y$338&gt;$D$33,0,IF(Input!Y$54&lt;31,Input!Y$54/30*Y356,IF(Input!Y$54&lt;61,(Input!Y$54-30)/30*Y356,IF(Input!Y$54&lt;91,(Input!Y$54-60)/30*Y356,IF(Input!Y$54&lt;121,(Input!Y$54-90)/30*Y356,IF(Input!Y$54&lt;151,(Input!Y$54-120)/30*Y356,(Input!Y$54-150)/30*Y356))))))</f>
        <v>0</v>
      </c>
      <c r="Z998" s="229">
        <f>IF(Z$338&gt;$D$33,0,IF(Input!Z$54&lt;31,Input!Z$54/30*Z356,IF(Input!Z$54&lt;61,(Input!Z$54-30)/30*Z356,IF(Input!Z$54&lt;91,(Input!Z$54-60)/30*Z356,IF(Input!Z$54&lt;121,(Input!Z$54-90)/30*Z356,IF(Input!Z$54&lt;151,(Input!Z$54-120)/30*Z356,(Input!Z$54-150)/30*Z356))))))</f>
        <v>0</v>
      </c>
      <c r="AA998" s="229">
        <f>IF(AA$338&gt;$D$33,0,IF(Input!AA$54&lt;31,Input!AA$54/30*AA356,IF(Input!AA$54&lt;61,(Input!AA$54-30)/30*AA356,IF(Input!AA$54&lt;91,(Input!AA$54-60)/30*AA356,IF(Input!AA$54&lt;121,(Input!AA$54-90)/30*AA356,IF(Input!AA$54&lt;151,(Input!AA$54-120)/30*AA356,(Input!AA$54-150)/30*AA356))))))</f>
        <v>0</v>
      </c>
      <c r="AB998" s="229">
        <f>IF(AB$338&gt;$D$33,0,IF(Input!AB$54&lt;31,Input!AB$54/30*AB356,IF(Input!AB$54&lt;61,(Input!AB$54-30)/30*AB356,IF(Input!AB$54&lt;91,(Input!AB$54-60)/30*AB356,IF(Input!AB$54&lt;121,(Input!AB$54-90)/30*AB356,IF(Input!AB$54&lt;151,(Input!AB$54-120)/30*AB356,(Input!AB$54-150)/30*AB356))))))</f>
        <v>0</v>
      </c>
      <c r="CH998" s="269"/>
      <c r="CI998" s="269"/>
      <c r="CJ998" s="269"/>
      <c r="CK998" s="269"/>
      <c r="CL998" s="269"/>
      <c r="CM998" s="269"/>
      <c r="CN998" s="269"/>
      <c r="CO998" s="269"/>
      <c r="CP998" s="269"/>
      <c r="CQ998" s="269"/>
      <c r="CR998" s="269"/>
      <c r="CS998" s="269"/>
    </row>
    <row r="999" spans="3:97" x14ac:dyDescent="0.3">
      <c r="C999" s="495">
        <f>C936</f>
        <v>547</v>
      </c>
      <c r="D999" s="229">
        <f>IF(D$338&gt;$D$33,0,IF(Input!D$54&lt;31,Input!D$54/30*D357,IF(Input!D$54&lt;61,(Input!D$54-30)/30*D357,IF(Input!D$54&lt;91,(Input!D$54-60)/30*D357,IF(Input!D$54&lt;121,(Input!D$54-90)/30*D357,IF(Input!D$54&lt;151,(Input!D$54-120)/30*D357,(Input!D$54-150)/30*D357))))))</f>
        <v>0</v>
      </c>
      <c r="E999" s="229">
        <f>IF(E$338&gt;$D$33,0,IF(Input!E$54&lt;31,Input!E$54/30*E357,IF(Input!E$54&lt;61,(Input!E$54-30)/30*E357,IF(Input!E$54&lt;91,(Input!E$54-60)/30*E357,IF(Input!E$54&lt;121,(Input!E$54-90)/30*E357,IF(Input!E$54&lt;151,(Input!E$54-120)/30*E357,(Input!E$54-150)/30*E357))))))</f>
        <v>0</v>
      </c>
      <c r="F999" s="229">
        <f>IF(F$338&gt;$D$33,0,IF(Input!F$54&lt;31,Input!F$54/30*F357,IF(Input!F$54&lt;61,(Input!F$54-30)/30*F357,IF(Input!F$54&lt;91,(Input!F$54-60)/30*F357,IF(Input!F$54&lt;121,(Input!F$54-90)/30*F357,IF(Input!F$54&lt;151,(Input!F$54-120)/30*F357,(Input!F$54-150)/30*F357))))))</f>
        <v>0</v>
      </c>
      <c r="G999" s="229">
        <f>IF(G$338&gt;$D$33,0,IF(Input!G$54&lt;31,Input!G$54/30*G357,IF(Input!G$54&lt;61,(Input!G$54-30)/30*G357,IF(Input!G$54&lt;91,(Input!G$54-60)/30*G357,IF(Input!G$54&lt;121,(Input!G$54-90)/30*G357,IF(Input!G$54&lt;151,(Input!G$54-120)/30*G357,(Input!G$54-150)/30*G357))))))</f>
        <v>0</v>
      </c>
      <c r="H999" s="229">
        <f>IF(H$338&gt;$D$33,0,IF(Input!H$54&lt;31,Input!H$54/30*H357,IF(Input!H$54&lt;61,(Input!H$54-30)/30*H357,IF(Input!H$54&lt;91,(Input!H$54-60)/30*H357,IF(Input!H$54&lt;121,(Input!H$54-90)/30*H357,IF(Input!H$54&lt;151,(Input!H$54-120)/30*H357,(Input!H$54-150)/30*H357))))))</f>
        <v>0</v>
      </c>
      <c r="I999" s="229">
        <f>IF(I$338&gt;$D$33,0,IF(Input!I$54&lt;31,Input!I$54/30*I357,IF(Input!I$54&lt;61,(Input!I$54-30)/30*I357,IF(Input!I$54&lt;91,(Input!I$54-60)/30*I357,IF(Input!I$54&lt;121,(Input!I$54-90)/30*I357,IF(Input!I$54&lt;151,(Input!I$54-120)/30*I357,(Input!I$54-150)/30*I357))))))</f>
        <v>0</v>
      </c>
      <c r="J999" s="229">
        <f>IF(J$338&gt;$D$33,0,IF(Input!J$54&lt;31,Input!J$54/30*J357,IF(Input!J$54&lt;61,(Input!J$54-30)/30*J357,IF(Input!J$54&lt;91,(Input!J$54-60)/30*J357,IF(Input!J$54&lt;121,(Input!J$54-90)/30*J357,IF(Input!J$54&lt;151,(Input!J$54-120)/30*J357,(Input!J$54-150)/30*J357))))))</f>
        <v>0</v>
      </c>
      <c r="K999" s="229">
        <f>IF(K$338&gt;$D$33,0,IF(Input!K$54&lt;31,Input!K$54/30*K357,IF(Input!K$54&lt;61,(Input!K$54-30)/30*K357,IF(Input!K$54&lt;91,(Input!K$54-60)/30*K357,IF(Input!K$54&lt;121,(Input!K$54-90)/30*K357,IF(Input!K$54&lt;151,(Input!K$54-120)/30*K357,(Input!K$54-150)/30*K357))))))</f>
        <v>0</v>
      </c>
      <c r="L999" s="229">
        <f>IF(L$338&gt;$D$33,0,IF(Input!L$54&lt;31,Input!L$54/30*L357,IF(Input!L$54&lt;61,(Input!L$54-30)/30*L357,IF(Input!L$54&lt;91,(Input!L$54-60)/30*L357,IF(Input!L$54&lt;121,(Input!L$54-90)/30*L357,IF(Input!L$54&lt;151,(Input!L$54-120)/30*L357,(Input!L$54-150)/30*L357))))))</f>
        <v>0</v>
      </c>
      <c r="M999" s="229">
        <f>IF(M$338&gt;$D$33,0,IF(Input!M$54&lt;31,Input!M$54/30*M357,IF(Input!M$54&lt;61,(Input!M$54-30)/30*M357,IF(Input!M$54&lt;91,(Input!M$54-60)/30*M357,IF(Input!M$54&lt;121,(Input!M$54-90)/30*M357,IF(Input!M$54&lt;151,(Input!M$54-120)/30*M357,(Input!M$54-150)/30*M357))))))</f>
        <v>0</v>
      </c>
      <c r="N999" s="229">
        <f>IF(N$338&gt;$D$33,0,IF(Input!N$54&lt;31,Input!N$54/30*N357,IF(Input!N$54&lt;61,(Input!N$54-30)/30*N357,IF(Input!N$54&lt;91,(Input!N$54-60)/30*N357,IF(Input!N$54&lt;121,(Input!N$54-90)/30*N357,IF(Input!N$54&lt;151,(Input!N$54-120)/30*N357,(Input!N$54-150)/30*N357))))))</f>
        <v>0</v>
      </c>
      <c r="O999" s="229">
        <f>IF(O$338&gt;$D$33,0,IF(Input!O$54&lt;31,Input!O$54/30*O357,IF(Input!O$54&lt;61,(Input!O$54-30)/30*O357,IF(Input!O$54&lt;91,(Input!O$54-60)/30*O357,IF(Input!O$54&lt;121,(Input!O$54-90)/30*O357,IF(Input!O$54&lt;151,(Input!O$54-120)/30*O357,(Input!O$54-150)/30*O357))))))</f>
        <v>0</v>
      </c>
      <c r="P999" s="229">
        <f>IF(P$338&gt;$D$33,0,IF(Input!P$54&lt;31,Input!P$54/30*P357,IF(Input!P$54&lt;61,(Input!P$54-30)/30*P357,IF(Input!P$54&lt;91,(Input!P$54-60)/30*P357,IF(Input!P$54&lt;121,(Input!P$54-90)/30*P357,IF(Input!P$54&lt;151,(Input!P$54-120)/30*P357,(Input!P$54-150)/30*P357))))))</f>
        <v>0</v>
      </c>
      <c r="Q999" s="229">
        <f>IF(Q$338&gt;$D$33,0,IF(Input!Q$54&lt;31,Input!Q$54/30*Q357,IF(Input!Q$54&lt;61,(Input!Q$54-30)/30*Q357,IF(Input!Q$54&lt;91,(Input!Q$54-60)/30*Q357,IF(Input!Q$54&lt;121,(Input!Q$54-90)/30*Q357,IF(Input!Q$54&lt;151,(Input!Q$54-120)/30*Q357,(Input!Q$54-150)/30*Q357))))))</f>
        <v>0</v>
      </c>
      <c r="R999" s="229">
        <f>IF(R$338&gt;$D$33,0,IF(Input!R$54&lt;31,Input!R$54/30*R357,IF(Input!R$54&lt;61,(Input!R$54-30)/30*R357,IF(Input!R$54&lt;91,(Input!R$54-60)/30*R357,IF(Input!R$54&lt;121,(Input!R$54-90)/30*R357,IF(Input!R$54&lt;151,(Input!R$54-120)/30*R357,(Input!R$54-150)/30*R357))))))</f>
        <v>0</v>
      </c>
      <c r="S999" s="229">
        <f>IF(S$338&gt;$D$33,0,IF(Input!S$54&lt;31,Input!S$54/30*S357,IF(Input!S$54&lt;61,(Input!S$54-30)/30*S357,IF(Input!S$54&lt;91,(Input!S$54-60)/30*S357,IF(Input!S$54&lt;121,(Input!S$54-90)/30*S357,IF(Input!S$54&lt;151,(Input!S$54-120)/30*S357,(Input!S$54-150)/30*S357))))))</f>
        <v>0</v>
      </c>
      <c r="T999" s="229">
        <f>IF(T$338&gt;$D$33,0,IF(Input!T$54&lt;31,Input!T$54/30*T357,IF(Input!T$54&lt;61,(Input!T$54-30)/30*T357,IF(Input!T$54&lt;91,(Input!T$54-60)/30*T357,IF(Input!T$54&lt;121,(Input!T$54-90)/30*T357,IF(Input!T$54&lt;151,(Input!T$54-120)/30*T357,(Input!T$54-150)/30*T357))))))</f>
        <v>0</v>
      </c>
      <c r="U999" s="229">
        <f>IF(U$338&gt;$D$33,0,IF(Input!U$54&lt;31,Input!U$54/30*U357,IF(Input!U$54&lt;61,(Input!U$54-30)/30*U357,IF(Input!U$54&lt;91,(Input!U$54-60)/30*U357,IF(Input!U$54&lt;121,(Input!U$54-90)/30*U357,IF(Input!U$54&lt;151,(Input!U$54-120)/30*U357,(Input!U$54-150)/30*U357))))))</f>
        <v>0</v>
      </c>
      <c r="V999" s="229">
        <f>IF(V$338&gt;$D$33,0,IF(Input!V$54&lt;31,Input!V$54/30*V357,IF(Input!V$54&lt;61,(Input!V$54-30)/30*V357,IF(Input!V$54&lt;91,(Input!V$54-60)/30*V357,IF(Input!V$54&lt;121,(Input!V$54-90)/30*V357,IF(Input!V$54&lt;151,(Input!V$54-120)/30*V357,(Input!V$54-150)/30*V357))))))</f>
        <v>0</v>
      </c>
      <c r="W999" s="229">
        <f>IF(W$338&gt;$D$33,0,IF(Input!W$54&lt;31,Input!W$54/30*W357,IF(Input!W$54&lt;61,(Input!W$54-30)/30*W357,IF(Input!W$54&lt;91,(Input!W$54-60)/30*W357,IF(Input!W$54&lt;121,(Input!W$54-90)/30*W357,IF(Input!W$54&lt;151,(Input!W$54-120)/30*W357,(Input!W$54-150)/30*W357))))))</f>
        <v>0</v>
      </c>
      <c r="X999" s="229">
        <f>IF(X$338&gt;$D$33,0,IF(Input!X$54&lt;31,Input!X$54/30*X357,IF(Input!X$54&lt;61,(Input!X$54-30)/30*X357,IF(Input!X$54&lt;91,(Input!X$54-60)/30*X357,IF(Input!X$54&lt;121,(Input!X$54-90)/30*X357,IF(Input!X$54&lt;151,(Input!X$54-120)/30*X357,(Input!X$54-150)/30*X357))))))</f>
        <v>0</v>
      </c>
      <c r="Y999" s="229">
        <f>IF(Y$338&gt;$D$33,0,IF(Input!Y$54&lt;31,Input!Y$54/30*Y357,IF(Input!Y$54&lt;61,(Input!Y$54-30)/30*Y357,IF(Input!Y$54&lt;91,(Input!Y$54-60)/30*Y357,IF(Input!Y$54&lt;121,(Input!Y$54-90)/30*Y357,IF(Input!Y$54&lt;151,(Input!Y$54-120)/30*Y357,(Input!Y$54-150)/30*Y357))))))</f>
        <v>0</v>
      </c>
      <c r="Z999" s="229">
        <f>IF(Z$338&gt;$D$33,0,IF(Input!Z$54&lt;31,Input!Z$54/30*Z357,IF(Input!Z$54&lt;61,(Input!Z$54-30)/30*Z357,IF(Input!Z$54&lt;91,(Input!Z$54-60)/30*Z357,IF(Input!Z$54&lt;121,(Input!Z$54-90)/30*Z357,IF(Input!Z$54&lt;151,(Input!Z$54-120)/30*Z357,(Input!Z$54-150)/30*Z357))))))</f>
        <v>0</v>
      </c>
      <c r="AA999" s="229">
        <f>IF(AA$338&gt;$D$33,0,IF(Input!AA$54&lt;31,Input!AA$54/30*AA357,IF(Input!AA$54&lt;61,(Input!AA$54-30)/30*AA357,IF(Input!AA$54&lt;91,(Input!AA$54-60)/30*AA357,IF(Input!AA$54&lt;121,(Input!AA$54-90)/30*AA357,IF(Input!AA$54&lt;151,(Input!AA$54-120)/30*AA357,(Input!AA$54-150)/30*AA357))))))</f>
        <v>0</v>
      </c>
      <c r="AB999" s="229">
        <f>IF(AB$338&gt;$D$33,0,IF(Input!AB$54&lt;31,Input!AB$54/30*AB357,IF(Input!AB$54&lt;61,(Input!AB$54-30)/30*AB357,IF(Input!AB$54&lt;91,(Input!AB$54-60)/30*AB357,IF(Input!AB$54&lt;121,(Input!AB$54-90)/30*AB357,IF(Input!AB$54&lt;151,(Input!AB$54-120)/30*AB357,(Input!AB$54-150)/30*AB357))))))</f>
        <v>0</v>
      </c>
      <c r="CH999" s="269"/>
      <c r="CI999" s="269"/>
      <c r="CJ999" s="269"/>
      <c r="CK999" s="269"/>
      <c r="CL999" s="269"/>
      <c r="CM999" s="269"/>
      <c r="CN999" s="269"/>
      <c r="CO999" s="269"/>
      <c r="CP999" s="269"/>
      <c r="CQ999" s="269"/>
      <c r="CR999" s="269"/>
      <c r="CS999" s="269"/>
    </row>
    <row r="1000" spans="3:97" x14ac:dyDescent="0.3">
      <c r="C1000" s="495">
        <f>C937</f>
        <v>578</v>
      </c>
      <c r="D1000" s="229">
        <f>IF(D$338&gt;$D$33,0,IF(Input!D$54&lt;31,Input!D$54/30*D358,IF(Input!D$54&lt;61,(Input!D$54-30)/30*D358,IF(Input!D$54&lt;91,(Input!D$54-60)/30*D358,IF(Input!D$54&lt;121,(Input!D$54-90)/30*D358,IF(Input!D$54&lt;151,(Input!D$54-120)/30*D358,(Input!D$54-150)/30*D358))))))</f>
        <v>0</v>
      </c>
      <c r="E1000" s="229">
        <f>IF(E$338&gt;$D$33,0,IF(Input!E$54&lt;31,Input!E$54/30*E358,IF(Input!E$54&lt;61,(Input!E$54-30)/30*E358,IF(Input!E$54&lt;91,(Input!E$54-60)/30*E358,IF(Input!E$54&lt;121,(Input!E$54-90)/30*E358,IF(Input!E$54&lt;151,(Input!E$54-120)/30*E358,(Input!E$54-150)/30*E358))))))</f>
        <v>0</v>
      </c>
      <c r="F1000" s="229">
        <f>IF(F$338&gt;$D$33,0,IF(Input!F$54&lt;31,Input!F$54/30*F358,IF(Input!F$54&lt;61,(Input!F$54-30)/30*F358,IF(Input!F$54&lt;91,(Input!F$54-60)/30*F358,IF(Input!F$54&lt;121,(Input!F$54-90)/30*F358,IF(Input!F$54&lt;151,(Input!F$54-120)/30*F358,(Input!F$54-150)/30*F358))))))</f>
        <v>0</v>
      </c>
      <c r="G1000" s="229">
        <f>IF(G$338&gt;$D$33,0,IF(Input!G$54&lt;31,Input!G$54/30*G358,IF(Input!G$54&lt;61,(Input!G$54-30)/30*G358,IF(Input!G$54&lt;91,(Input!G$54-60)/30*G358,IF(Input!G$54&lt;121,(Input!G$54-90)/30*G358,IF(Input!G$54&lt;151,(Input!G$54-120)/30*G358,(Input!G$54-150)/30*G358))))))</f>
        <v>0</v>
      </c>
      <c r="H1000" s="229">
        <f>IF(H$338&gt;$D$33,0,IF(Input!H$54&lt;31,Input!H$54/30*H358,IF(Input!H$54&lt;61,(Input!H$54-30)/30*H358,IF(Input!H$54&lt;91,(Input!H$54-60)/30*H358,IF(Input!H$54&lt;121,(Input!H$54-90)/30*H358,IF(Input!H$54&lt;151,(Input!H$54-120)/30*H358,(Input!H$54-150)/30*H358))))))</f>
        <v>0</v>
      </c>
      <c r="I1000" s="229">
        <f>IF(I$338&gt;$D$33,0,IF(Input!I$54&lt;31,Input!I$54/30*I358,IF(Input!I$54&lt;61,(Input!I$54-30)/30*I358,IF(Input!I$54&lt;91,(Input!I$54-60)/30*I358,IF(Input!I$54&lt;121,(Input!I$54-90)/30*I358,IF(Input!I$54&lt;151,(Input!I$54-120)/30*I358,(Input!I$54-150)/30*I358))))))</f>
        <v>0</v>
      </c>
      <c r="J1000" s="229">
        <f>IF(J$338&gt;$D$33,0,IF(Input!J$54&lt;31,Input!J$54/30*J358,IF(Input!J$54&lt;61,(Input!J$54-30)/30*J358,IF(Input!J$54&lt;91,(Input!J$54-60)/30*J358,IF(Input!J$54&lt;121,(Input!J$54-90)/30*J358,IF(Input!J$54&lt;151,(Input!J$54-120)/30*J358,(Input!J$54-150)/30*J358))))))</f>
        <v>0</v>
      </c>
      <c r="K1000" s="229">
        <f>IF(K$338&gt;$D$33,0,IF(Input!K$54&lt;31,Input!K$54/30*K358,IF(Input!K$54&lt;61,(Input!K$54-30)/30*K358,IF(Input!K$54&lt;91,(Input!K$54-60)/30*K358,IF(Input!K$54&lt;121,(Input!K$54-90)/30*K358,IF(Input!K$54&lt;151,(Input!K$54-120)/30*K358,(Input!K$54-150)/30*K358))))))</f>
        <v>0</v>
      </c>
      <c r="L1000" s="229">
        <f>IF(L$338&gt;$D$33,0,IF(Input!L$54&lt;31,Input!L$54/30*L358,IF(Input!L$54&lt;61,(Input!L$54-30)/30*L358,IF(Input!L$54&lt;91,(Input!L$54-60)/30*L358,IF(Input!L$54&lt;121,(Input!L$54-90)/30*L358,IF(Input!L$54&lt;151,(Input!L$54-120)/30*L358,(Input!L$54-150)/30*L358))))))</f>
        <v>0</v>
      </c>
      <c r="M1000" s="229">
        <f>IF(M$338&gt;$D$33,0,IF(Input!M$54&lt;31,Input!M$54/30*M358,IF(Input!M$54&lt;61,(Input!M$54-30)/30*M358,IF(Input!M$54&lt;91,(Input!M$54-60)/30*M358,IF(Input!M$54&lt;121,(Input!M$54-90)/30*M358,IF(Input!M$54&lt;151,(Input!M$54-120)/30*M358,(Input!M$54-150)/30*M358))))))</f>
        <v>0</v>
      </c>
      <c r="N1000" s="229">
        <f>IF(N$338&gt;$D$33,0,IF(Input!N$54&lt;31,Input!N$54/30*N358,IF(Input!N$54&lt;61,(Input!N$54-30)/30*N358,IF(Input!N$54&lt;91,(Input!N$54-60)/30*N358,IF(Input!N$54&lt;121,(Input!N$54-90)/30*N358,IF(Input!N$54&lt;151,(Input!N$54-120)/30*N358,(Input!N$54-150)/30*N358))))))</f>
        <v>0</v>
      </c>
      <c r="O1000" s="229">
        <f>IF(O$338&gt;$D$33,0,IF(Input!O$54&lt;31,Input!O$54/30*O358,IF(Input!O$54&lt;61,(Input!O$54-30)/30*O358,IF(Input!O$54&lt;91,(Input!O$54-60)/30*O358,IF(Input!O$54&lt;121,(Input!O$54-90)/30*O358,IF(Input!O$54&lt;151,(Input!O$54-120)/30*O358,(Input!O$54-150)/30*O358))))))</f>
        <v>0</v>
      </c>
      <c r="P1000" s="229">
        <f>IF(P$338&gt;$D$33,0,IF(Input!P$54&lt;31,Input!P$54/30*P358,IF(Input!P$54&lt;61,(Input!P$54-30)/30*P358,IF(Input!P$54&lt;91,(Input!P$54-60)/30*P358,IF(Input!P$54&lt;121,(Input!P$54-90)/30*P358,IF(Input!P$54&lt;151,(Input!P$54-120)/30*P358,(Input!P$54-150)/30*P358))))))</f>
        <v>0</v>
      </c>
      <c r="Q1000" s="229">
        <f>IF(Q$338&gt;$D$33,0,IF(Input!Q$54&lt;31,Input!Q$54/30*Q358,IF(Input!Q$54&lt;61,(Input!Q$54-30)/30*Q358,IF(Input!Q$54&lt;91,(Input!Q$54-60)/30*Q358,IF(Input!Q$54&lt;121,(Input!Q$54-90)/30*Q358,IF(Input!Q$54&lt;151,(Input!Q$54-120)/30*Q358,(Input!Q$54-150)/30*Q358))))))</f>
        <v>0</v>
      </c>
      <c r="R1000" s="229">
        <f>IF(R$338&gt;$D$33,0,IF(Input!R$54&lt;31,Input!R$54/30*R358,IF(Input!R$54&lt;61,(Input!R$54-30)/30*R358,IF(Input!R$54&lt;91,(Input!R$54-60)/30*R358,IF(Input!R$54&lt;121,(Input!R$54-90)/30*R358,IF(Input!R$54&lt;151,(Input!R$54-120)/30*R358,(Input!R$54-150)/30*R358))))))</f>
        <v>0</v>
      </c>
      <c r="S1000" s="229">
        <f>IF(S$338&gt;$D$33,0,IF(Input!S$54&lt;31,Input!S$54/30*S358,IF(Input!S$54&lt;61,(Input!S$54-30)/30*S358,IF(Input!S$54&lt;91,(Input!S$54-60)/30*S358,IF(Input!S$54&lt;121,(Input!S$54-90)/30*S358,IF(Input!S$54&lt;151,(Input!S$54-120)/30*S358,(Input!S$54-150)/30*S358))))))</f>
        <v>0</v>
      </c>
      <c r="T1000" s="229">
        <f>IF(T$338&gt;$D$33,0,IF(Input!T$54&lt;31,Input!T$54/30*T358,IF(Input!T$54&lt;61,(Input!T$54-30)/30*T358,IF(Input!T$54&lt;91,(Input!T$54-60)/30*T358,IF(Input!T$54&lt;121,(Input!T$54-90)/30*T358,IF(Input!T$54&lt;151,(Input!T$54-120)/30*T358,(Input!T$54-150)/30*T358))))))</f>
        <v>0</v>
      </c>
      <c r="U1000" s="229">
        <f>IF(U$338&gt;$D$33,0,IF(Input!U$54&lt;31,Input!U$54/30*U358,IF(Input!U$54&lt;61,(Input!U$54-30)/30*U358,IF(Input!U$54&lt;91,(Input!U$54-60)/30*U358,IF(Input!U$54&lt;121,(Input!U$54-90)/30*U358,IF(Input!U$54&lt;151,(Input!U$54-120)/30*U358,(Input!U$54-150)/30*U358))))))</f>
        <v>0</v>
      </c>
      <c r="V1000" s="229">
        <f>IF(V$338&gt;$D$33,0,IF(Input!V$54&lt;31,Input!V$54/30*V358,IF(Input!V$54&lt;61,(Input!V$54-30)/30*V358,IF(Input!V$54&lt;91,(Input!V$54-60)/30*V358,IF(Input!V$54&lt;121,(Input!V$54-90)/30*V358,IF(Input!V$54&lt;151,(Input!V$54-120)/30*V358,(Input!V$54-150)/30*V358))))))</f>
        <v>0</v>
      </c>
      <c r="W1000" s="229">
        <f>IF(W$338&gt;$D$33,0,IF(Input!W$54&lt;31,Input!W$54/30*W358,IF(Input!W$54&lt;61,(Input!W$54-30)/30*W358,IF(Input!W$54&lt;91,(Input!W$54-60)/30*W358,IF(Input!W$54&lt;121,(Input!W$54-90)/30*W358,IF(Input!W$54&lt;151,(Input!W$54-120)/30*W358,(Input!W$54-150)/30*W358))))))</f>
        <v>0</v>
      </c>
      <c r="X1000" s="229">
        <f>IF(X$338&gt;$D$33,0,IF(Input!X$54&lt;31,Input!X$54/30*X358,IF(Input!X$54&lt;61,(Input!X$54-30)/30*X358,IF(Input!X$54&lt;91,(Input!X$54-60)/30*X358,IF(Input!X$54&lt;121,(Input!X$54-90)/30*X358,IF(Input!X$54&lt;151,(Input!X$54-120)/30*X358,(Input!X$54-150)/30*X358))))))</f>
        <v>0</v>
      </c>
      <c r="Y1000" s="229">
        <f>IF(Y$338&gt;$D$33,0,IF(Input!Y$54&lt;31,Input!Y$54/30*Y358,IF(Input!Y$54&lt;61,(Input!Y$54-30)/30*Y358,IF(Input!Y$54&lt;91,(Input!Y$54-60)/30*Y358,IF(Input!Y$54&lt;121,(Input!Y$54-90)/30*Y358,IF(Input!Y$54&lt;151,(Input!Y$54-120)/30*Y358,(Input!Y$54-150)/30*Y358))))))</f>
        <v>0</v>
      </c>
      <c r="Z1000" s="229">
        <f>IF(Z$338&gt;$D$33,0,IF(Input!Z$54&lt;31,Input!Z$54/30*Z358,IF(Input!Z$54&lt;61,(Input!Z$54-30)/30*Z358,IF(Input!Z$54&lt;91,(Input!Z$54-60)/30*Z358,IF(Input!Z$54&lt;121,(Input!Z$54-90)/30*Z358,IF(Input!Z$54&lt;151,(Input!Z$54-120)/30*Z358,(Input!Z$54-150)/30*Z358))))))</f>
        <v>0</v>
      </c>
      <c r="AA1000" s="229">
        <f>IF(AA$338&gt;$D$33,0,IF(Input!AA$54&lt;31,Input!AA$54/30*AA358,IF(Input!AA$54&lt;61,(Input!AA$54-30)/30*AA358,IF(Input!AA$54&lt;91,(Input!AA$54-60)/30*AA358,IF(Input!AA$54&lt;121,(Input!AA$54-90)/30*AA358,IF(Input!AA$54&lt;151,(Input!AA$54-120)/30*AA358,(Input!AA$54-150)/30*AA358))))))</f>
        <v>0</v>
      </c>
      <c r="AB1000" s="229">
        <f>IF(AB$338&gt;$D$33,0,IF(Input!AB$54&lt;31,Input!AB$54/30*AB358,IF(Input!AB$54&lt;61,(Input!AB$54-30)/30*AB358,IF(Input!AB$54&lt;91,(Input!AB$54-60)/30*AB358,IF(Input!AB$54&lt;121,(Input!AB$54-90)/30*AB358,IF(Input!AB$54&lt;151,(Input!AB$54-120)/30*AB358,(Input!AB$54-150)/30*AB358))))))</f>
        <v>0</v>
      </c>
      <c r="CH1000" s="269"/>
      <c r="CI1000" s="269"/>
      <c r="CJ1000" s="269"/>
      <c r="CK1000" s="269"/>
      <c r="CL1000" s="269"/>
      <c r="CM1000" s="269"/>
      <c r="CN1000" s="269"/>
      <c r="CO1000" s="269"/>
      <c r="CP1000" s="269"/>
      <c r="CQ1000" s="269"/>
      <c r="CR1000" s="269"/>
      <c r="CS1000" s="269"/>
    </row>
    <row r="1001" spans="3:97" x14ac:dyDescent="0.3">
      <c r="C1001" s="495">
        <f>C938</f>
        <v>609</v>
      </c>
      <c r="D1001" s="229">
        <f>IF(D$338&gt;$D$33,0,IF(Input!D$54&lt;31,Input!D$54/30*D359,IF(Input!D$54&lt;61,(Input!D$54-30)/30*D359,IF(Input!D$54&lt;91,(Input!D$54-60)/30*D359,IF(Input!D$54&lt;121,(Input!D$54-90)/30*D359,IF(Input!D$54&lt;151,(Input!D$54-120)/30*D359,(Input!D$54-150)/30*D359))))))</f>
        <v>0</v>
      </c>
      <c r="E1001" s="229">
        <f>IF(E$338&gt;$D$33,0,IF(Input!E$54&lt;31,Input!E$54/30*E359,IF(Input!E$54&lt;61,(Input!E$54-30)/30*E359,IF(Input!E$54&lt;91,(Input!E$54-60)/30*E359,IF(Input!E$54&lt;121,(Input!E$54-90)/30*E359,IF(Input!E$54&lt;151,(Input!E$54-120)/30*E359,(Input!E$54-150)/30*E359))))))</f>
        <v>0</v>
      </c>
      <c r="F1001" s="229">
        <f>IF(F$338&gt;$D$33,0,IF(Input!F$54&lt;31,Input!F$54/30*F359,IF(Input!F$54&lt;61,(Input!F$54-30)/30*F359,IF(Input!F$54&lt;91,(Input!F$54-60)/30*F359,IF(Input!F$54&lt;121,(Input!F$54-90)/30*F359,IF(Input!F$54&lt;151,(Input!F$54-120)/30*F359,(Input!F$54-150)/30*F359))))))</f>
        <v>0</v>
      </c>
      <c r="G1001" s="229">
        <f>IF(G$338&gt;$D$33,0,IF(Input!G$54&lt;31,Input!G$54/30*G359,IF(Input!G$54&lt;61,(Input!G$54-30)/30*G359,IF(Input!G$54&lt;91,(Input!G$54-60)/30*G359,IF(Input!G$54&lt;121,(Input!G$54-90)/30*G359,IF(Input!G$54&lt;151,(Input!G$54-120)/30*G359,(Input!G$54-150)/30*G359))))))</f>
        <v>0</v>
      </c>
      <c r="H1001" s="229">
        <f>IF(H$338&gt;$D$33,0,IF(Input!H$54&lt;31,Input!H$54/30*H359,IF(Input!H$54&lt;61,(Input!H$54-30)/30*H359,IF(Input!H$54&lt;91,(Input!H$54-60)/30*H359,IF(Input!H$54&lt;121,(Input!H$54-90)/30*H359,IF(Input!H$54&lt;151,(Input!H$54-120)/30*H359,(Input!H$54-150)/30*H359))))))</f>
        <v>0</v>
      </c>
      <c r="I1001" s="229">
        <f>IF(I$338&gt;$D$33,0,IF(Input!I$54&lt;31,Input!I$54/30*I359,IF(Input!I$54&lt;61,(Input!I$54-30)/30*I359,IF(Input!I$54&lt;91,(Input!I$54-60)/30*I359,IF(Input!I$54&lt;121,(Input!I$54-90)/30*I359,IF(Input!I$54&lt;151,(Input!I$54-120)/30*I359,(Input!I$54-150)/30*I359))))))</f>
        <v>0</v>
      </c>
      <c r="J1001" s="229">
        <f>IF(J$338&gt;$D$33,0,IF(Input!J$54&lt;31,Input!J$54/30*J359,IF(Input!J$54&lt;61,(Input!J$54-30)/30*J359,IF(Input!J$54&lt;91,(Input!J$54-60)/30*J359,IF(Input!J$54&lt;121,(Input!J$54-90)/30*J359,IF(Input!J$54&lt;151,(Input!J$54-120)/30*J359,(Input!J$54-150)/30*J359))))))</f>
        <v>0</v>
      </c>
      <c r="K1001" s="229">
        <f>IF(K$338&gt;$D$33,0,IF(Input!K$54&lt;31,Input!K$54/30*K359,IF(Input!K$54&lt;61,(Input!K$54-30)/30*K359,IF(Input!K$54&lt;91,(Input!K$54-60)/30*K359,IF(Input!K$54&lt;121,(Input!K$54-90)/30*K359,IF(Input!K$54&lt;151,(Input!K$54-120)/30*K359,(Input!K$54-150)/30*K359))))))</f>
        <v>0</v>
      </c>
      <c r="L1001" s="229">
        <f>IF(L$338&gt;$D$33,0,IF(Input!L$54&lt;31,Input!L$54/30*L359,IF(Input!L$54&lt;61,(Input!L$54-30)/30*L359,IF(Input!L$54&lt;91,(Input!L$54-60)/30*L359,IF(Input!L$54&lt;121,(Input!L$54-90)/30*L359,IF(Input!L$54&lt;151,(Input!L$54-120)/30*L359,(Input!L$54-150)/30*L359))))))</f>
        <v>0</v>
      </c>
      <c r="M1001" s="229">
        <f>IF(M$338&gt;$D$33,0,IF(Input!M$54&lt;31,Input!M$54/30*M359,IF(Input!M$54&lt;61,(Input!M$54-30)/30*M359,IF(Input!M$54&lt;91,(Input!M$54-60)/30*M359,IF(Input!M$54&lt;121,(Input!M$54-90)/30*M359,IF(Input!M$54&lt;151,(Input!M$54-120)/30*M359,(Input!M$54-150)/30*M359))))))</f>
        <v>0</v>
      </c>
      <c r="N1001" s="229">
        <f>IF(N$338&gt;$D$33,0,IF(Input!N$54&lt;31,Input!N$54/30*N359,IF(Input!N$54&lt;61,(Input!N$54-30)/30*N359,IF(Input!N$54&lt;91,(Input!N$54-60)/30*N359,IF(Input!N$54&lt;121,(Input!N$54-90)/30*N359,IF(Input!N$54&lt;151,(Input!N$54-120)/30*N359,(Input!N$54-150)/30*N359))))))</f>
        <v>0</v>
      </c>
      <c r="O1001" s="229">
        <f>IF(O$338&gt;$D$33,0,IF(Input!O$54&lt;31,Input!O$54/30*O359,IF(Input!O$54&lt;61,(Input!O$54-30)/30*O359,IF(Input!O$54&lt;91,(Input!O$54-60)/30*O359,IF(Input!O$54&lt;121,(Input!O$54-90)/30*O359,IF(Input!O$54&lt;151,(Input!O$54-120)/30*O359,(Input!O$54-150)/30*O359))))))</f>
        <v>0</v>
      </c>
      <c r="P1001" s="229">
        <f>IF(P$338&gt;$D$33,0,IF(Input!P$54&lt;31,Input!P$54/30*P359,IF(Input!P$54&lt;61,(Input!P$54-30)/30*P359,IF(Input!P$54&lt;91,(Input!P$54-60)/30*P359,IF(Input!P$54&lt;121,(Input!P$54-90)/30*P359,IF(Input!P$54&lt;151,(Input!P$54-120)/30*P359,(Input!P$54-150)/30*P359))))))</f>
        <v>0</v>
      </c>
      <c r="Q1001" s="229">
        <f>IF(Q$338&gt;$D$33,0,IF(Input!Q$54&lt;31,Input!Q$54/30*Q359,IF(Input!Q$54&lt;61,(Input!Q$54-30)/30*Q359,IF(Input!Q$54&lt;91,(Input!Q$54-60)/30*Q359,IF(Input!Q$54&lt;121,(Input!Q$54-90)/30*Q359,IF(Input!Q$54&lt;151,(Input!Q$54-120)/30*Q359,(Input!Q$54-150)/30*Q359))))))</f>
        <v>0</v>
      </c>
      <c r="R1001" s="229">
        <f>IF(R$338&gt;$D$33,0,IF(Input!R$54&lt;31,Input!R$54/30*R359,IF(Input!R$54&lt;61,(Input!R$54-30)/30*R359,IF(Input!R$54&lt;91,(Input!R$54-60)/30*R359,IF(Input!R$54&lt;121,(Input!R$54-90)/30*R359,IF(Input!R$54&lt;151,(Input!R$54-120)/30*R359,(Input!R$54-150)/30*R359))))))</f>
        <v>0</v>
      </c>
      <c r="S1001" s="229">
        <f>IF(S$338&gt;$D$33,0,IF(Input!S$54&lt;31,Input!S$54/30*S359,IF(Input!S$54&lt;61,(Input!S$54-30)/30*S359,IF(Input!S$54&lt;91,(Input!S$54-60)/30*S359,IF(Input!S$54&lt;121,(Input!S$54-90)/30*S359,IF(Input!S$54&lt;151,(Input!S$54-120)/30*S359,(Input!S$54-150)/30*S359))))))</f>
        <v>0</v>
      </c>
      <c r="T1001" s="229">
        <f>IF(T$338&gt;$D$33,0,IF(Input!T$54&lt;31,Input!T$54/30*T359,IF(Input!T$54&lt;61,(Input!T$54-30)/30*T359,IF(Input!T$54&lt;91,(Input!T$54-60)/30*T359,IF(Input!T$54&lt;121,(Input!T$54-90)/30*T359,IF(Input!T$54&lt;151,(Input!T$54-120)/30*T359,(Input!T$54-150)/30*T359))))))</f>
        <v>0</v>
      </c>
      <c r="U1001" s="229">
        <f>IF(U$338&gt;$D$33,0,IF(Input!U$54&lt;31,Input!U$54/30*U359,IF(Input!U$54&lt;61,(Input!U$54-30)/30*U359,IF(Input!U$54&lt;91,(Input!U$54-60)/30*U359,IF(Input!U$54&lt;121,(Input!U$54-90)/30*U359,IF(Input!U$54&lt;151,(Input!U$54-120)/30*U359,(Input!U$54-150)/30*U359))))))</f>
        <v>0</v>
      </c>
      <c r="V1001" s="229">
        <f>IF(V$338&gt;$D$33,0,IF(Input!V$54&lt;31,Input!V$54/30*V359,IF(Input!V$54&lt;61,(Input!V$54-30)/30*V359,IF(Input!V$54&lt;91,(Input!V$54-60)/30*V359,IF(Input!V$54&lt;121,(Input!V$54-90)/30*V359,IF(Input!V$54&lt;151,(Input!V$54-120)/30*V359,(Input!V$54-150)/30*V359))))))</f>
        <v>0</v>
      </c>
      <c r="W1001" s="229">
        <f>IF(W$338&gt;$D$33,0,IF(Input!W$54&lt;31,Input!W$54/30*W359,IF(Input!W$54&lt;61,(Input!W$54-30)/30*W359,IF(Input!W$54&lt;91,(Input!W$54-60)/30*W359,IF(Input!W$54&lt;121,(Input!W$54-90)/30*W359,IF(Input!W$54&lt;151,(Input!W$54-120)/30*W359,(Input!W$54-150)/30*W359))))))</f>
        <v>0</v>
      </c>
      <c r="X1001" s="229">
        <f>IF(X$338&gt;$D$33,0,IF(Input!X$54&lt;31,Input!X$54/30*X359,IF(Input!X$54&lt;61,(Input!X$54-30)/30*X359,IF(Input!X$54&lt;91,(Input!X$54-60)/30*X359,IF(Input!X$54&lt;121,(Input!X$54-90)/30*X359,IF(Input!X$54&lt;151,(Input!X$54-120)/30*X359,(Input!X$54-150)/30*X359))))))</f>
        <v>0</v>
      </c>
      <c r="Y1001" s="229">
        <f>IF(Y$338&gt;$D$33,0,IF(Input!Y$54&lt;31,Input!Y$54/30*Y359,IF(Input!Y$54&lt;61,(Input!Y$54-30)/30*Y359,IF(Input!Y$54&lt;91,(Input!Y$54-60)/30*Y359,IF(Input!Y$54&lt;121,(Input!Y$54-90)/30*Y359,IF(Input!Y$54&lt;151,(Input!Y$54-120)/30*Y359,(Input!Y$54-150)/30*Y359))))))</f>
        <v>0</v>
      </c>
      <c r="Z1001" s="229">
        <f>IF(Z$338&gt;$D$33,0,IF(Input!Z$54&lt;31,Input!Z$54/30*Z359,IF(Input!Z$54&lt;61,(Input!Z$54-30)/30*Z359,IF(Input!Z$54&lt;91,(Input!Z$54-60)/30*Z359,IF(Input!Z$54&lt;121,(Input!Z$54-90)/30*Z359,IF(Input!Z$54&lt;151,(Input!Z$54-120)/30*Z359,(Input!Z$54-150)/30*Z359))))))</f>
        <v>0</v>
      </c>
      <c r="AA1001" s="229">
        <f>IF(AA$338&gt;$D$33,0,IF(Input!AA$54&lt;31,Input!AA$54/30*AA359,IF(Input!AA$54&lt;61,(Input!AA$54-30)/30*AA359,IF(Input!AA$54&lt;91,(Input!AA$54-60)/30*AA359,IF(Input!AA$54&lt;121,(Input!AA$54-90)/30*AA359,IF(Input!AA$54&lt;151,(Input!AA$54-120)/30*AA359,(Input!AA$54-150)/30*AA359))))))</f>
        <v>0</v>
      </c>
      <c r="AB1001" s="229">
        <f>IF(AB$338&gt;$D$33,0,IF(Input!AB$54&lt;31,Input!AB$54/30*AB359,IF(Input!AB$54&lt;61,(Input!AB$54-30)/30*AB359,IF(Input!AB$54&lt;91,(Input!AB$54-60)/30*AB359,IF(Input!AB$54&lt;121,(Input!AB$54-90)/30*AB359,IF(Input!AB$54&lt;151,(Input!AB$54-120)/30*AB359,(Input!AB$54-150)/30*AB359))))))</f>
        <v>0</v>
      </c>
      <c r="CH1001" s="269"/>
      <c r="CI1001" s="269"/>
      <c r="CJ1001" s="269"/>
      <c r="CK1001" s="269"/>
      <c r="CL1001" s="269"/>
      <c r="CM1001" s="269"/>
      <c r="CN1001" s="269"/>
      <c r="CO1001" s="269"/>
      <c r="CP1001" s="269"/>
      <c r="CQ1001" s="269"/>
      <c r="CR1001" s="269"/>
      <c r="CS1001" s="269"/>
    </row>
    <row r="1002" spans="3:97" x14ac:dyDescent="0.3">
      <c r="C1002" s="495">
        <f>C939</f>
        <v>639</v>
      </c>
      <c r="D1002" s="229">
        <f>IF(D$338&gt;$D$33,0,IF(Input!D$54&lt;31,Input!D$54/30*D360,IF(Input!D$54&lt;61,(Input!D$54-30)/30*D360,IF(Input!D$54&lt;91,(Input!D$54-60)/30*D360,IF(Input!D$54&lt;121,(Input!D$54-90)/30*D360,IF(Input!D$54&lt;151,(Input!D$54-120)/30*D360,(Input!D$54-150)/30*D360))))))</f>
        <v>0</v>
      </c>
      <c r="E1002" s="229">
        <f>IF(E$338&gt;$D$33,0,IF(Input!E$54&lt;31,Input!E$54/30*E360,IF(Input!E$54&lt;61,(Input!E$54-30)/30*E360,IF(Input!E$54&lt;91,(Input!E$54-60)/30*E360,IF(Input!E$54&lt;121,(Input!E$54-90)/30*E360,IF(Input!E$54&lt;151,(Input!E$54-120)/30*E360,(Input!E$54-150)/30*E360))))))</f>
        <v>0</v>
      </c>
      <c r="F1002" s="229">
        <f>IF(F$338&gt;$D$33,0,IF(Input!F$54&lt;31,Input!F$54/30*F360,IF(Input!F$54&lt;61,(Input!F$54-30)/30*F360,IF(Input!F$54&lt;91,(Input!F$54-60)/30*F360,IF(Input!F$54&lt;121,(Input!F$54-90)/30*F360,IF(Input!F$54&lt;151,(Input!F$54-120)/30*F360,(Input!F$54-150)/30*F360))))))</f>
        <v>0</v>
      </c>
      <c r="G1002" s="229">
        <f>IF(G$338&gt;$D$33,0,IF(Input!G$54&lt;31,Input!G$54/30*G360,IF(Input!G$54&lt;61,(Input!G$54-30)/30*G360,IF(Input!G$54&lt;91,(Input!G$54-60)/30*G360,IF(Input!G$54&lt;121,(Input!G$54-90)/30*G360,IF(Input!G$54&lt;151,(Input!G$54-120)/30*G360,(Input!G$54-150)/30*G360))))))</f>
        <v>0</v>
      </c>
      <c r="H1002" s="229">
        <f>IF(H$338&gt;$D$33,0,IF(Input!H$54&lt;31,Input!H$54/30*H360,IF(Input!H$54&lt;61,(Input!H$54-30)/30*H360,IF(Input!H$54&lt;91,(Input!H$54-60)/30*H360,IF(Input!H$54&lt;121,(Input!H$54-90)/30*H360,IF(Input!H$54&lt;151,(Input!H$54-120)/30*H360,(Input!H$54-150)/30*H360))))))</f>
        <v>0</v>
      </c>
      <c r="I1002" s="229">
        <f>IF(I$338&gt;$D$33,0,IF(Input!I$54&lt;31,Input!I$54/30*I360,IF(Input!I$54&lt;61,(Input!I$54-30)/30*I360,IF(Input!I$54&lt;91,(Input!I$54-60)/30*I360,IF(Input!I$54&lt;121,(Input!I$54-90)/30*I360,IF(Input!I$54&lt;151,(Input!I$54-120)/30*I360,(Input!I$54-150)/30*I360))))))</f>
        <v>0</v>
      </c>
      <c r="J1002" s="229">
        <f>IF(J$338&gt;$D$33,0,IF(Input!J$54&lt;31,Input!J$54/30*J360,IF(Input!J$54&lt;61,(Input!J$54-30)/30*J360,IF(Input!J$54&lt;91,(Input!J$54-60)/30*J360,IF(Input!J$54&lt;121,(Input!J$54-90)/30*J360,IF(Input!J$54&lt;151,(Input!J$54-120)/30*J360,(Input!J$54-150)/30*J360))))))</f>
        <v>0</v>
      </c>
      <c r="K1002" s="229">
        <f>IF(K$338&gt;$D$33,0,IF(Input!K$54&lt;31,Input!K$54/30*K360,IF(Input!K$54&lt;61,(Input!K$54-30)/30*K360,IF(Input!K$54&lt;91,(Input!K$54-60)/30*K360,IF(Input!K$54&lt;121,(Input!K$54-90)/30*K360,IF(Input!K$54&lt;151,(Input!K$54-120)/30*K360,(Input!K$54-150)/30*K360))))))</f>
        <v>0</v>
      </c>
      <c r="L1002" s="229">
        <f>IF(L$338&gt;$D$33,0,IF(Input!L$54&lt;31,Input!L$54/30*L360,IF(Input!L$54&lt;61,(Input!L$54-30)/30*L360,IF(Input!L$54&lt;91,(Input!L$54-60)/30*L360,IF(Input!L$54&lt;121,(Input!L$54-90)/30*L360,IF(Input!L$54&lt;151,(Input!L$54-120)/30*L360,(Input!L$54-150)/30*L360))))))</f>
        <v>0</v>
      </c>
      <c r="M1002" s="229">
        <f>IF(M$338&gt;$D$33,0,IF(Input!M$54&lt;31,Input!M$54/30*M360,IF(Input!M$54&lt;61,(Input!M$54-30)/30*M360,IF(Input!M$54&lt;91,(Input!M$54-60)/30*M360,IF(Input!M$54&lt;121,(Input!M$54-90)/30*M360,IF(Input!M$54&lt;151,(Input!M$54-120)/30*M360,(Input!M$54-150)/30*M360))))))</f>
        <v>0</v>
      </c>
      <c r="N1002" s="229">
        <f>IF(N$338&gt;$D$33,0,IF(Input!N$54&lt;31,Input!N$54/30*N360,IF(Input!N$54&lt;61,(Input!N$54-30)/30*N360,IF(Input!N$54&lt;91,(Input!N$54-60)/30*N360,IF(Input!N$54&lt;121,(Input!N$54-90)/30*N360,IF(Input!N$54&lt;151,(Input!N$54-120)/30*N360,(Input!N$54-150)/30*N360))))))</f>
        <v>0</v>
      </c>
      <c r="O1002" s="229">
        <f>IF(O$338&gt;$D$33,0,IF(Input!O$54&lt;31,Input!O$54/30*O360,IF(Input!O$54&lt;61,(Input!O$54-30)/30*O360,IF(Input!O$54&lt;91,(Input!O$54-60)/30*O360,IF(Input!O$54&lt;121,(Input!O$54-90)/30*O360,IF(Input!O$54&lt;151,(Input!O$54-120)/30*O360,(Input!O$54-150)/30*O360))))))</f>
        <v>0</v>
      </c>
      <c r="P1002" s="229">
        <f>IF(P$338&gt;$D$33,0,IF(Input!P$54&lt;31,Input!P$54/30*P360,IF(Input!P$54&lt;61,(Input!P$54-30)/30*P360,IF(Input!P$54&lt;91,(Input!P$54-60)/30*P360,IF(Input!P$54&lt;121,(Input!P$54-90)/30*P360,IF(Input!P$54&lt;151,(Input!P$54-120)/30*P360,(Input!P$54-150)/30*P360))))))</f>
        <v>0</v>
      </c>
      <c r="Q1002" s="229">
        <f>IF(Q$338&gt;$D$33,0,IF(Input!Q$54&lt;31,Input!Q$54/30*Q360,IF(Input!Q$54&lt;61,(Input!Q$54-30)/30*Q360,IF(Input!Q$54&lt;91,(Input!Q$54-60)/30*Q360,IF(Input!Q$54&lt;121,(Input!Q$54-90)/30*Q360,IF(Input!Q$54&lt;151,(Input!Q$54-120)/30*Q360,(Input!Q$54-150)/30*Q360))))))</f>
        <v>0</v>
      </c>
      <c r="R1002" s="229">
        <f>IF(R$338&gt;$D$33,0,IF(Input!R$54&lt;31,Input!R$54/30*R360,IF(Input!R$54&lt;61,(Input!R$54-30)/30*R360,IF(Input!R$54&lt;91,(Input!R$54-60)/30*R360,IF(Input!R$54&lt;121,(Input!R$54-90)/30*R360,IF(Input!R$54&lt;151,(Input!R$54-120)/30*R360,(Input!R$54-150)/30*R360))))))</f>
        <v>0</v>
      </c>
      <c r="S1002" s="229">
        <f>IF(S$338&gt;$D$33,0,IF(Input!S$54&lt;31,Input!S$54/30*S360,IF(Input!S$54&lt;61,(Input!S$54-30)/30*S360,IF(Input!S$54&lt;91,(Input!S$54-60)/30*S360,IF(Input!S$54&lt;121,(Input!S$54-90)/30*S360,IF(Input!S$54&lt;151,(Input!S$54-120)/30*S360,(Input!S$54-150)/30*S360))))))</f>
        <v>0</v>
      </c>
      <c r="T1002" s="229">
        <f>IF(T$338&gt;$D$33,0,IF(Input!T$54&lt;31,Input!T$54/30*T360,IF(Input!T$54&lt;61,(Input!T$54-30)/30*T360,IF(Input!T$54&lt;91,(Input!T$54-60)/30*T360,IF(Input!T$54&lt;121,(Input!T$54-90)/30*T360,IF(Input!T$54&lt;151,(Input!T$54-120)/30*T360,(Input!T$54-150)/30*T360))))))</f>
        <v>0</v>
      </c>
      <c r="U1002" s="229">
        <f>IF(U$338&gt;$D$33,0,IF(Input!U$54&lt;31,Input!U$54/30*U360,IF(Input!U$54&lt;61,(Input!U$54-30)/30*U360,IF(Input!U$54&lt;91,(Input!U$54-60)/30*U360,IF(Input!U$54&lt;121,(Input!U$54-90)/30*U360,IF(Input!U$54&lt;151,(Input!U$54-120)/30*U360,(Input!U$54-150)/30*U360))))))</f>
        <v>0</v>
      </c>
      <c r="V1002" s="229">
        <f>IF(V$338&gt;$D$33,0,IF(Input!V$54&lt;31,Input!V$54/30*V360,IF(Input!V$54&lt;61,(Input!V$54-30)/30*V360,IF(Input!V$54&lt;91,(Input!V$54-60)/30*V360,IF(Input!V$54&lt;121,(Input!V$54-90)/30*V360,IF(Input!V$54&lt;151,(Input!V$54-120)/30*V360,(Input!V$54-150)/30*V360))))))</f>
        <v>0</v>
      </c>
      <c r="W1002" s="229">
        <f>IF(W$338&gt;$D$33,0,IF(Input!W$54&lt;31,Input!W$54/30*W360,IF(Input!W$54&lt;61,(Input!W$54-30)/30*W360,IF(Input!W$54&lt;91,(Input!W$54-60)/30*W360,IF(Input!W$54&lt;121,(Input!W$54-90)/30*W360,IF(Input!W$54&lt;151,(Input!W$54-120)/30*W360,(Input!W$54-150)/30*W360))))))</f>
        <v>0</v>
      </c>
      <c r="X1002" s="229">
        <f>IF(X$338&gt;$D$33,0,IF(Input!X$54&lt;31,Input!X$54/30*X360,IF(Input!X$54&lt;61,(Input!X$54-30)/30*X360,IF(Input!X$54&lt;91,(Input!X$54-60)/30*X360,IF(Input!X$54&lt;121,(Input!X$54-90)/30*X360,IF(Input!X$54&lt;151,(Input!X$54-120)/30*X360,(Input!X$54-150)/30*X360))))))</f>
        <v>0</v>
      </c>
      <c r="Y1002" s="229">
        <f>IF(Y$338&gt;$D$33,0,IF(Input!Y$54&lt;31,Input!Y$54/30*Y360,IF(Input!Y$54&lt;61,(Input!Y$54-30)/30*Y360,IF(Input!Y$54&lt;91,(Input!Y$54-60)/30*Y360,IF(Input!Y$54&lt;121,(Input!Y$54-90)/30*Y360,IF(Input!Y$54&lt;151,(Input!Y$54-120)/30*Y360,(Input!Y$54-150)/30*Y360))))))</f>
        <v>0</v>
      </c>
      <c r="Z1002" s="229">
        <f>IF(Z$338&gt;$D$33,0,IF(Input!Z$54&lt;31,Input!Z$54/30*Z360,IF(Input!Z$54&lt;61,(Input!Z$54-30)/30*Z360,IF(Input!Z$54&lt;91,(Input!Z$54-60)/30*Z360,IF(Input!Z$54&lt;121,(Input!Z$54-90)/30*Z360,IF(Input!Z$54&lt;151,(Input!Z$54-120)/30*Z360,(Input!Z$54-150)/30*Z360))))))</f>
        <v>0</v>
      </c>
      <c r="AA1002" s="229">
        <f>IF(AA$338&gt;$D$33,0,IF(Input!AA$54&lt;31,Input!AA$54/30*AA360,IF(Input!AA$54&lt;61,(Input!AA$54-30)/30*AA360,IF(Input!AA$54&lt;91,(Input!AA$54-60)/30*AA360,IF(Input!AA$54&lt;121,(Input!AA$54-90)/30*AA360,IF(Input!AA$54&lt;151,(Input!AA$54-120)/30*AA360,(Input!AA$54-150)/30*AA360))))))</f>
        <v>0</v>
      </c>
      <c r="AB1002" s="229">
        <f>IF(AB$338&gt;$D$33,0,IF(Input!AB$54&lt;31,Input!AB$54/30*AB360,IF(Input!AB$54&lt;61,(Input!AB$54-30)/30*AB360,IF(Input!AB$54&lt;91,(Input!AB$54-60)/30*AB360,IF(Input!AB$54&lt;121,(Input!AB$54-90)/30*AB360,IF(Input!AB$54&lt;151,(Input!AB$54-120)/30*AB360,(Input!AB$54-150)/30*AB360))))))</f>
        <v>0</v>
      </c>
      <c r="CH1002" s="269"/>
      <c r="CI1002" s="269"/>
      <c r="CJ1002" s="269"/>
      <c r="CK1002" s="269"/>
      <c r="CL1002" s="269"/>
      <c r="CM1002" s="269"/>
      <c r="CN1002" s="269"/>
      <c r="CO1002" s="269"/>
      <c r="CP1002" s="269"/>
      <c r="CQ1002" s="269"/>
      <c r="CR1002" s="269"/>
      <c r="CS1002" s="269"/>
    </row>
    <row r="1003" spans="3:97" x14ac:dyDescent="0.3">
      <c r="C1003" s="495">
        <f>C940</f>
        <v>670</v>
      </c>
      <c r="D1003" s="229">
        <f>IF(D$338&gt;$D$33,0,IF(Input!D$54&lt;31,Input!D$54/30*D361,IF(Input!D$54&lt;61,(Input!D$54-30)/30*D361,IF(Input!D$54&lt;91,(Input!D$54-60)/30*D361,IF(Input!D$54&lt;121,(Input!D$54-90)/30*D361,IF(Input!D$54&lt;151,(Input!D$54-120)/30*D361,(Input!D$54-150)/30*D361))))))</f>
        <v>0</v>
      </c>
      <c r="E1003" s="229">
        <f>IF(E$338&gt;$D$33,0,IF(Input!E$54&lt;31,Input!E$54/30*E361,IF(Input!E$54&lt;61,(Input!E$54-30)/30*E361,IF(Input!E$54&lt;91,(Input!E$54-60)/30*E361,IF(Input!E$54&lt;121,(Input!E$54-90)/30*E361,IF(Input!E$54&lt;151,(Input!E$54-120)/30*E361,(Input!E$54-150)/30*E361))))))</f>
        <v>0</v>
      </c>
      <c r="F1003" s="229">
        <f>IF(F$338&gt;$D$33,0,IF(Input!F$54&lt;31,Input!F$54/30*F361,IF(Input!F$54&lt;61,(Input!F$54-30)/30*F361,IF(Input!F$54&lt;91,(Input!F$54-60)/30*F361,IF(Input!F$54&lt;121,(Input!F$54-90)/30*F361,IF(Input!F$54&lt;151,(Input!F$54-120)/30*F361,(Input!F$54-150)/30*F361))))))</f>
        <v>0</v>
      </c>
      <c r="G1003" s="229">
        <f>IF(G$338&gt;$D$33,0,IF(Input!G$54&lt;31,Input!G$54/30*G361,IF(Input!G$54&lt;61,(Input!G$54-30)/30*G361,IF(Input!G$54&lt;91,(Input!G$54-60)/30*G361,IF(Input!G$54&lt;121,(Input!G$54-90)/30*G361,IF(Input!G$54&lt;151,(Input!G$54-120)/30*G361,(Input!G$54-150)/30*G361))))))</f>
        <v>0</v>
      </c>
      <c r="H1003" s="229">
        <f>IF(H$338&gt;$D$33,0,IF(Input!H$54&lt;31,Input!H$54/30*H361,IF(Input!H$54&lt;61,(Input!H$54-30)/30*H361,IF(Input!H$54&lt;91,(Input!H$54-60)/30*H361,IF(Input!H$54&lt;121,(Input!H$54-90)/30*H361,IF(Input!H$54&lt;151,(Input!H$54-120)/30*H361,(Input!H$54-150)/30*H361))))))</f>
        <v>0</v>
      </c>
      <c r="I1003" s="229">
        <f>IF(I$338&gt;$D$33,0,IF(Input!I$54&lt;31,Input!I$54/30*I361,IF(Input!I$54&lt;61,(Input!I$54-30)/30*I361,IF(Input!I$54&lt;91,(Input!I$54-60)/30*I361,IF(Input!I$54&lt;121,(Input!I$54-90)/30*I361,IF(Input!I$54&lt;151,(Input!I$54-120)/30*I361,(Input!I$54-150)/30*I361))))))</f>
        <v>0</v>
      </c>
      <c r="J1003" s="229">
        <f>IF(J$338&gt;$D$33,0,IF(Input!J$54&lt;31,Input!J$54/30*J361,IF(Input!J$54&lt;61,(Input!J$54-30)/30*J361,IF(Input!J$54&lt;91,(Input!J$54-60)/30*J361,IF(Input!J$54&lt;121,(Input!J$54-90)/30*J361,IF(Input!J$54&lt;151,(Input!J$54-120)/30*J361,(Input!J$54-150)/30*J361))))))</f>
        <v>0</v>
      </c>
      <c r="K1003" s="229">
        <f>IF(K$338&gt;$D$33,0,IF(Input!K$54&lt;31,Input!K$54/30*K361,IF(Input!K$54&lt;61,(Input!K$54-30)/30*K361,IF(Input!K$54&lt;91,(Input!K$54-60)/30*K361,IF(Input!K$54&lt;121,(Input!K$54-90)/30*K361,IF(Input!K$54&lt;151,(Input!K$54-120)/30*K361,(Input!K$54-150)/30*K361))))))</f>
        <v>0</v>
      </c>
      <c r="L1003" s="229">
        <f>IF(L$338&gt;$D$33,0,IF(Input!L$54&lt;31,Input!L$54/30*L361,IF(Input!L$54&lt;61,(Input!L$54-30)/30*L361,IF(Input!L$54&lt;91,(Input!L$54-60)/30*L361,IF(Input!L$54&lt;121,(Input!L$54-90)/30*L361,IF(Input!L$54&lt;151,(Input!L$54-120)/30*L361,(Input!L$54-150)/30*L361))))))</f>
        <v>0</v>
      </c>
      <c r="M1003" s="229">
        <f>IF(M$338&gt;$D$33,0,IF(Input!M$54&lt;31,Input!M$54/30*M361,IF(Input!M$54&lt;61,(Input!M$54-30)/30*M361,IF(Input!M$54&lt;91,(Input!M$54-60)/30*M361,IF(Input!M$54&lt;121,(Input!M$54-90)/30*M361,IF(Input!M$54&lt;151,(Input!M$54-120)/30*M361,(Input!M$54-150)/30*M361))))))</f>
        <v>0</v>
      </c>
      <c r="N1003" s="229">
        <f>IF(N$338&gt;$D$33,0,IF(Input!N$54&lt;31,Input!N$54/30*N361,IF(Input!N$54&lt;61,(Input!N$54-30)/30*N361,IF(Input!N$54&lt;91,(Input!N$54-60)/30*N361,IF(Input!N$54&lt;121,(Input!N$54-90)/30*N361,IF(Input!N$54&lt;151,(Input!N$54-120)/30*N361,(Input!N$54-150)/30*N361))))))</f>
        <v>0</v>
      </c>
      <c r="O1003" s="229">
        <f>IF(O$338&gt;$D$33,0,IF(Input!O$54&lt;31,Input!O$54/30*O361,IF(Input!O$54&lt;61,(Input!O$54-30)/30*O361,IF(Input!O$54&lt;91,(Input!O$54-60)/30*O361,IF(Input!O$54&lt;121,(Input!O$54-90)/30*O361,IF(Input!O$54&lt;151,(Input!O$54-120)/30*O361,(Input!O$54-150)/30*O361))))))</f>
        <v>0</v>
      </c>
      <c r="P1003" s="229">
        <f>IF(P$338&gt;$D$33,0,IF(Input!P$54&lt;31,Input!P$54/30*P361,IF(Input!P$54&lt;61,(Input!P$54-30)/30*P361,IF(Input!P$54&lt;91,(Input!P$54-60)/30*P361,IF(Input!P$54&lt;121,(Input!P$54-90)/30*P361,IF(Input!P$54&lt;151,(Input!P$54-120)/30*P361,(Input!P$54-150)/30*P361))))))</f>
        <v>0</v>
      </c>
      <c r="Q1003" s="229">
        <f>IF(Q$338&gt;$D$33,0,IF(Input!Q$54&lt;31,Input!Q$54/30*Q361,IF(Input!Q$54&lt;61,(Input!Q$54-30)/30*Q361,IF(Input!Q$54&lt;91,(Input!Q$54-60)/30*Q361,IF(Input!Q$54&lt;121,(Input!Q$54-90)/30*Q361,IF(Input!Q$54&lt;151,(Input!Q$54-120)/30*Q361,(Input!Q$54-150)/30*Q361))))))</f>
        <v>0</v>
      </c>
      <c r="R1003" s="229">
        <f>IF(R$338&gt;$D$33,0,IF(Input!R$54&lt;31,Input!R$54/30*R361,IF(Input!R$54&lt;61,(Input!R$54-30)/30*R361,IF(Input!R$54&lt;91,(Input!R$54-60)/30*R361,IF(Input!R$54&lt;121,(Input!R$54-90)/30*R361,IF(Input!R$54&lt;151,(Input!R$54-120)/30*R361,(Input!R$54-150)/30*R361))))))</f>
        <v>0</v>
      </c>
      <c r="S1003" s="229">
        <f>IF(S$338&gt;$D$33,0,IF(Input!S$54&lt;31,Input!S$54/30*S361,IF(Input!S$54&lt;61,(Input!S$54-30)/30*S361,IF(Input!S$54&lt;91,(Input!S$54-60)/30*S361,IF(Input!S$54&lt;121,(Input!S$54-90)/30*S361,IF(Input!S$54&lt;151,(Input!S$54-120)/30*S361,(Input!S$54-150)/30*S361))))))</f>
        <v>0</v>
      </c>
      <c r="T1003" s="229">
        <f>IF(T$338&gt;$D$33,0,IF(Input!T$54&lt;31,Input!T$54/30*T361,IF(Input!T$54&lt;61,(Input!T$54-30)/30*T361,IF(Input!T$54&lt;91,(Input!T$54-60)/30*T361,IF(Input!T$54&lt;121,(Input!T$54-90)/30*T361,IF(Input!T$54&lt;151,(Input!T$54-120)/30*T361,(Input!T$54-150)/30*T361))))))</f>
        <v>0</v>
      </c>
      <c r="U1003" s="229">
        <f>IF(U$338&gt;$D$33,0,IF(Input!U$54&lt;31,Input!U$54/30*U361,IF(Input!U$54&lt;61,(Input!U$54-30)/30*U361,IF(Input!U$54&lt;91,(Input!U$54-60)/30*U361,IF(Input!U$54&lt;121,(Input!U$54-90)/30*U361,IF(Input!U$54&lt;151,(Input!U$54-120)/30*U361,(Input!U$54-150)/30*U361))))))</f>
        <v>0</v>
      </c>
      <c r="V1003" s="229">
        <f>IF(V$338&gt;$D$33,0,IF(Input!V$54&lt;31,Input!V$54/30*V361,IF(Input!V$54&lt;61,(Input!V$54-30)/30*V361,IF(Input!V$54&lt;91,(Input!V$54-60)/30*V361,IF(Input!V$54&lt;121,(Input!V$54-90)/30*V361,IF(Input!V$54&lt;151,(Input!V$54-120)/30*V361,(Input!V$54-150)/30*V361))))))</f>
        <v>0</v>
      </c>
      <c r="W1003" s="229">
        <f>IF(W$338&gt;$D$33,0,IF(Input!W$54&lt;31,Input!W$54/30*W361,IF(Input!W$54&lt;61,(Input!W$54-30)/30*W361,IF(Input!W$54&lt;91,(Input!W$54-60)/30*W361,IF(Input!W$54&lt;121,(Input!W$54-90)/30*W361,IF(Input!W$54&lt;151,(Input!W$54-120)/30*W361,(Input!W$54-150)/30*W361))))))</f>
        <v>0</v>
      </c>
      <c r="X1003" s="229">
        <f>IF(X$338&gt;$D$33,0,IF(Input!X$54&lt;31,Input!X$54/30*X361,IF(Input!X$54&lt;61,(Input!X$54-30)/30*X361,IF(Input!X$54&lt;91,(Input!X$54-60)/30*X361,IF(Input!X$54&lt;121,(Input!X$54-90)/30*X361,IF(Input!X$54&lt;151,(Input!X$54-120)/30*X361,(Input!X$54-150)/30*X361))))))</f>
        <v>0</v>
      </c>
      <c r="Y1003" s="229">
        <f>IF(Y$338&gt;$D$33,0,IF(Input!Y$54&lt;31,Input!Y$54/30*Y361,IF(Input!Y$54&lt;61,(Input!Y$54-30)/30*Y361,IF(Input!Y$54&lt;91,(Input!Y$54-60)/30*Y361,IF(Input!Y$54&lt;121,(Input!Y$54-90)/30*Y361,IF(Input!Y$54&lt;151,(Input!Y$54-120)/30*Y361,(Input!Y$54-150)/30*Y361))))))</f>
        <v>0</v>
      </c>
      <c r="Z1003" s="229">
        <f>IF(Z$338&gt;$D$33,0,IF(Input!Z$54&lt;31,Input!Z$54/30*Z361,IF(Input!Z$54&lt;61,(Input!Z$54-30)/30*Z361,IF(Input!Z$54&lt;91,(Input!Z$54-60)/30*Z361,IF(Input!Z$54&lt;121,(Input!Z$54-90)/30*Z361,IF(Input!Z$54&lt;151,(Input!Z$54-120)/30*Z361,(Input!Z$54-150)/30*Z361))))))</f>
        <v>0</v>
      </c>
      <c r="AA1003" s="229">
        <f>IF(AA$338&gt;$D$33,0,IF(Input!AA$54&lt;31,Input!AA$54/30*AA361,IF(Input!AA$54&lt;61,(Input!AA$54-30)/30*AA361,IF(Input!AA$54&lt;91,(Input!AA$54-60)/30*AA361,IF(Input!AA$54&lt;121,(Input!AA$54-90)/30*AA361,IF(Input!AA$54&lt;151,(Input!AA$54-120)/30*AA361,(Input!AA$54-150)/30*AA361))))))</f>
        <v>0</v>
      </c>
      <c r="AB1003" s="229">
        <f>IF(AB$338&gt;$D$33,0,IF(Input!AB$54&lt;31,Input!AB$54/30*AB361,IF(Input!AB$54&lt;61,(Input!AB$54-30)/30*AB361,IF(Input!AB$54&lt;91,(Input!AB$54-60)/30*AB361,IF(Input!AB$54&lt;121,(Input!AB$54-90)/30*AB361,IF(Input!AB$54&lt;151,(Input!AB$54-120)/30*AB361,(Input!AB$54-150)/30*AB361))))))</f>
        <v>0</v>
      </c>
      <c r="CH1003" s="269"/>
      <c r="CI1003" s="269"/>
      <c r="CJ1003" s="269"/>
      <c r="CK1003" s="269"/>
      <c r="CL1003" s="269"/>
      <c r="CM1003" s="269"/>
      <c r="CN1003" s="269"/>
      <c r="CO1003" s="269"/>
      <c r="CP1003" s="269"/>
      <c r="CQ1003" s="269"/>
      <c r="CR1003" s="269"/>
      <c r="CS1003" s="269"/>
    </row>
    <row r="1004" spans="3:97" x14ac:dyDescent="0.3">
      <c r="C1004" s="495">
        <f>C941</f>
        <v>700</v>
      </c>
      <c r="D1004" s="229">
        <f>IF(D$338&gt;$D$33,0,IF(Input!D$54&lt;31,Input!D$54/30*D362,IF(Input!D$54&lt;61,(Input!D$54-30)/30*D362,IF(Input!D$54&lt;91,(Input!D$54-60)/30*D362,IF(Input!D$54&lt;121,(Input!D$54-90)/30*D362,IF(Input!D$54&lt;151,(Input!D$54-120)/30*D362,(Input!D$54-150)/30*D362))))))</f>
        <v>0</v>
      </c>
      <c r="E1004" s="229">
        <f>IF(E$338&gt;$D$33,0,IF(Input!E$54&lt;31,Input!E$54/30*E362,IF(Input!E$54&lt;61,(Input!E$54-30)/30*E362,IF(Input!E$54&lt;91,(Input!E$54-60)/30*E362,IF(Input!E$54&lt;121,(Input!E$54-90)/30*E362,IF(Input!E$54&lt;151,(Input!E$54-120)/30*E362,(Input!E$54-150)/30*E362))))))</f>
        <v>0</v>
      </c>
      <c r="F1004" s="229">
        <f>IF(F$338&gt;$D$33,0,IF(Input!F$54&lt;31,Input!F$54/30*F362,IF(Input!F$54&lt;61,(Input!F$54-30)/30*F362,IF(Input!F$54&lt;91,(Input!F$54-60)/30*F362,IF(Input!F$54&lt;121,(Input!F$54-90)/30*F362,IF(Input!F$54&lt;151,(Input!F$54-120)/30*F362,(Input!F$54-150)/30*F362))))))</f>
        <v>0</v>
      </c>
      <c r="G1004" s="229">
        <f>IF(G$338&gt;$D$33,0,IF(Input!G$54&lt;31,Input!G$54/30*G362,IF(Input!G$54&lt;61,(Input!G$54-30)/30*G362,IF(Input!G$54&lt;91,(Input!G$54-60)/30*G362,IF(Input!G$54&lt;121,(Input!G$54-90)/30*G362,IF(Input!G$54&lt;151,(Input!G$54-120)/30*G362,(Input!G$54-150)/30*G362))))))</f>
        <v>0</v>
      </c>
      <c r="H1004" s="229">
        <f>IF(H$338&gt;$D$33,0,IF(Input!H$54&lt;31,Input!H$54/30*H362,IF(Input!H$54&lt;61,(Input!H$54-30)/30*H362,IF(Input!H$54&lt;91,(Input!H$54-60)/30*H362,IF(Input!H$54&lt;121,(Input!H$54-90)/30*H362,IF(Input!H$54&lt;151,(Input!H$54-120)/30*H362,(Input!H$54-150)/30*H362))))))</f>
        <v>0</v>
      </c>
      <c r="I1004" s="229">
        <f>IF(I$338&gt;$D$33,0,IF(Input!I$54&lt;31,Input!I$54/30*I362,IF(Input!I$54&lt;61,(Input!I$54-30)/30*I362,IF(Input!I$54&lt;91,(Input!I$54-60)/30*I362,IF(Input!I$54&lt;121,(Input!I$54-90)/30*I362,IF(Input!I$54&lt;151,(Input!I$54-120)/30*I362,(Input!I$54-150)/30*I362))))))</f>
        <v>0</v>
      </c>
      <c r="J1004" s="229">
        <f>IF(J$338&gt;$D$33,0,IF(Input!J$54&lt;31,Input!J$54/30*J362,IF(Input!J$54&lt;61,(Input!J$54-30)/30*J362,IF(Input!J$54&lt;91,(Input!J$54-60)/30*J362,IF(Input!J$54&lt;121,(Input!J$54-90)/30*J362,IF(Input!J$54&lt;151,(Input!J$54-120)/30*J362,(Input!J$54-150)/30*J362))))))</f>
        <v>0</v>
      </c>
      <c r="K1004" s="229">
        <f>IF(K$338&gt;$D$33,0,IF(Input!K$54&lt;31,Input!K$54/30*K362,IF(Input!K$54&lt;61,(Input!K$54-30)/30*K362,IF(Input!K$54&lt;91,(Input!K$54-60)/30*K362,IF(Input!K$54&lt;121,(Input!K$54-90)/30*K362,IF(Input!K$54&lt;151,(Input!K$54-120)/30*K362,(Input!K$54-150)/30*K362))))))</f>
        <v>0</v>
      </c>
      <c r="L1004" s="229">
        <f>IF(L$338&gt;$D$33,0,IF(Input!L$54&lt;31,Input!L$54/30*L362,IF(Input!L$54&lt;61,(Input!L$54-30)/30*L362,IF(Input!L$54&lt;91,(Input!L$54-60)/30*L362,IF(Input!L$54&lt;121,(Input!L$54-90)/30*L362,IF(Input!L$54&lt;151,(Input!L$54-120)/30*L362,(Input!L$54-150)/30*L362))))))</f>
        <v>0</v>
      </c>
      <c r="M1004" s="229">
        <f>IF(M$338&gt;$D$33,0,IF(Input!M$54&lt;31,Input!M$54/30*M362,IF(Input!M$54&lt;61,(Input!M$54-30)/30*M362,IF(Input!M$54&lt;91,(Input!M$54-60)/30*M362,IF(Input!M$54&lt;121,(Input!M$54-90)/30*M362,IF(Input!M$54&lt;151,(Input!M$54-120)/30*M362,(Input!M$54-150)/30*M362))))))</f>
        <v>0</v>
      </c>
      <c r="N1004" s="229">
        <f>IF(N$338&gt;$D$33,0,IF(Input!N$54&lt;31,Input!N$54/30*N362,IF(Input!N$54&lt;61,(Input!N$54-30)/30*N362,IF(Input!N$54&lt;91,(Input!N$54-60)/30*N362,IF(Input!N$54&lt;121,(Input!N$54-90)/30*N362,IF(Input!N$54&lt;151,(Input!N$54-120)/30*N362,(Input!N$54-150)/30*N362))))))</f>
        <v>0</v>
      </c>
      <c r="O1004" s="229">
        <f>IF(O$338&gt;$D$33,0,IF(Input!O$54&lt;31,Input!O$54/30*O362,IF(Input!O$54&lt;61,(Input!O$54-30)/30*O362,IF(Input!O$54&lt;91,(Input!O$54-60)/30*O362,IF(Input!O$54&lt;121,(Input!O$54-90)/30*O362,IF(Input!O$54&lt;151,(Input!O$54-120)/30*O362,(Input!O$54-150)/30*O362))))))</f>
        <v>0</v>
      </c>
      <c r="P1004" s="229">
        <f>IF(P$338&gt;$D$33,0,IF(Input!P$54&lt;31,Input!P$54/30*P362,IF(Input!P$54&lt;61,(Input!P$54-30)/30*P362,IF(Input!P$54&lt;91,(Input!P$54-60)/30*P362,IF(Input!P$54&lt;121,(Input!P$54-90)/30*P362,IF(Input!P$54&lt;151,(Input!P$54-120)/30*P362,(Input!P$54-150)/30*P362))))))</f>
        <v>0</v>
      </c>
      <c r="Q1004" s="229">
        <f>IF(Q$338&gt;$D$33,0,IF(Input!Q$54&lt;31,Input!Q$54/30*Q362,IF(Input!Q$54&lt;61,(Input!Q$54-30)/30*Q362,IF(Input!Q$54&lt;91,(Input!Q$54-60)/30*Q362,IF(Input!Q$54&lt;121,(Input!Q$54-90)/30*Q362,IF(Input!Q$54&lt;151,(Input!Q$54-120)/30*Q362,(Input!Q$54-150)/30*Q362))))))</f>
        <v>0</v>
      </c>
      <c r="R1004" s="229">
        <f>IF(R$338&gt;$D$33,0,IF(Input!R$54&lt;31,Input!R$54/30*R362,IF(Input!R$54&lt;61,(Input!R$54-30)/30*R362,IF(Input!R$54&lt;91,(Input!R$54-60)/30*R362,IF(Input!R$54&lt;121,(Input!R$54-90)/30*R362,IF(Input!R$54&lt;151,(Input!R$54-120)/30*R362,(Input!R$54-150)/30*R362))))))</f>
        <v>0</v>
      </c>
      <c r="S1004" s="229">
        <f>IF(S$338&gt;$D$33,0,IF(Input!S$54&lt;31,Input!S$54/30*S362,IF(Input!S$54&lt;61,(Input!S$54-30)/30*S362,IF(Input!S$54&lt;91,(Input!S$54-60)/30*S362,IF(Input!S$54&lt;121,(Input!S$54-90)/30*S362,IF(Input!S$54&lt;151,(Input!S$54-120)/30*S362,(Input!S$54-150)/30*S362))))))</f>
        <v>0</v>
      </c>
      <c r="T1004" s="229">
        <f>IF(T$338&gt;$D$33,0,IF(Input!T$54&lt;31,Input!T$54/30*T362,IF(Input!T$54&lt;61,(Input!T$54-30)/30*T362,IF(Input!T$54&lt;91,(Input!T$54-60)/30*T362,IF(Input!T$54&lt;121,(Input!T$54-90)/30*T362,IF(Input!T$54&lt;151,(Input!T$54-120)/30*T362,(Input!T$54-150)/30*T362))))))</f>
        <v>0</v>
      </c>
      <c r="U1004" s="229">
        <f>IF(U$338&gt;$D$33,0,IF(Input!U$54&lt;31,Input!U$54/30*U362,IF(Input!U$54&lt;61,(Input!U$54-30)/30*U362,IF(Input!U$54&lt;91,(Input!U$54-60)/30*U362,IF(Input!U$54&lt;121,(Input!U$54-90)/30*U362,IF(Input!U$54&lt;151,(Input!U$54-120)/30*U362,(Input!U$54-150)/30*U362))))))</f>
        <v>0</v>
      </c>
      <c r="V1004" s="229">
        <f>IF(V$338&gt;$D$33,0,IF(Input!V$54&lt;31,Input!V$54/30*V362,IF(Input!V$54&lt;61,(Input!V$54-30)/30*V362,IF(Input!V$54&lt;91,(Input!V$54-60)/30*V362,IF(Input!V$54&lt;121,(Input!V$54-90)/30*V362,IF(Input!V$54&lt;151,(Input!V$54-120)/30*V362,(Input!V$54-150)/30*V362))))))</f>
        <v>0</v>
      </c>
      <c r="W1004" s="229">
        <f>IF(W$338&gt;$D$33,0,IF(Input!W$54&lt;31,Input!W$54/30*W362,IF(Input!W$54&lt;61,(Input!W$54-30)/30*W362,IF(Input!W$54&lt;91,(Input!W$54-60)/30*W362,IF(Input!W$54&lt;121,(Input!W$54-90)/30*W362,IF(Input!W$54&lt;151,(Input!W$54-120)/30*W362,(Input!W$54-150)/30*W362))))))</f>
        <v>0</v>
      </c>
      <c r="X1004" s="229">
        <f>IF(X$338&gt;$D$33,0,IF(Input!X$54&lt;31,Input!X$54/30*X362,IF(Input!X$54&lt;61,(Input!X$54-30)/30*X362,IF(Input!X$54&lt;91,(Input!X$54-60)/30*X362,IF(Input!X$54&lt;121,(Input!X$54-90)/30*X362,IF(Input!X$54&lt;151,(Input!X$54-120)/30*X362,(Input!X$54-150)/30*X362))))))</f>
        <v>0</v>
      </c>
      <c r="Y1004" s="229">
        <f>IF(Y$338&gt;$D$33,0,IF(Input!Y$54&lt;31,Input!Y$54/30*Y362,IF(Input!Y$54&lt;61,(Input!Y$54-30)/30*Y362,IF(Input!Y$54&lt;91,(Input!Y$54-60)/30*Y362,IF(Input!Y$54&lt;121,(Input!Y$54-90)/30*Y362,IF(Input!Y$54&lt;151,(Input!Y$54-120)/30*Y362,(Input!Y$54-150)/30*Y362))))))</f>
        <v>0</v>
      </c>
      <c r="Z1004" s="229">
        <f>IF(Z$338&gt;$D$33,0,IF(Input!Z$54&lt;31,Input!Z$54/30*Z362,IF(Input!Z$54&lt;61,(Input!Z$54-30)/30*Z362,IF(Input!Z$54&lt;91,(Input!Z$54-60)/30*Z362,IF(Input!Z$54&lt;121,(Input!Z$54-90)/30*Z362,IF(Input!Z$54&lt;151,(Input!Z$54-120)/30*Z362,(Input!Z$54-150)/30*Z362))))))</f>
        <v>0</v>
      </c>
      <c r="AA1004" s="229">
        <f>IF(AA$338&gt;$D$33,0,IF(Input!AA$54&lt;31,Input!AA$54/30*AA362,IF(Input!AA$54&lt;61,(Input!AA$54-30)/30*AA362,IF(Input!AA$54&lt;91,(Input!AA$54-60)/30*AA362,IF(Input!AA$54&lt;121,(Input!AA$54-90)/30*AA362,IF(Input!AA$54&lt;151,(Input!AA$54-120)/30*AA362,(Input!AA$54-150)/30*AA362))))))</f>
        <v>0</v>
      </c>
      <c r="AB1004" s="229">
        <f>IF(AB$338&gt;$D$33,0,IF(Input!AB$54&lt;31,Input!AB$54/30*AB362,IF(Input!AB$54&lt;61,(Input!AB$54-30)/30*AB362,IF(Input!AB$54&lt;91,(Input!AB$54-60)/30*AB362,IF(Input!AB$54&lt;121,(Input!AB$54-90)/30*AB362,IF(Input!AB$54&lt;151,(Input!AB$54-120)/30*AB362,(Input!AB$54-150)/30*AB362))))))</f>
        <v>0</v>
      </c>
      <c r="CH1004" s="269"/>
      <c r="CI1004" s="269"/>
      <c r="CJ1004" s="269"/>
      <c r="CK1004" s="269"/>
      <c r="CL1004" s="269"/>
      <c r="CM1004" s="269"/>
      <c r="CN1004" s="269"/>
      <c r="CO1004" s="269"/>
      <c r="CP1004" s="269"/>
      <c r="CQ1004" s="269"/>
      <c r="CR1004" s="269"/>
      <c r="CS1004" s="269"/>
    </row>
    <row r="1005" spans="3:97" ht="12.5" thickBot="1" x14ac:dyDescent="0.35">
      <c r="C1005" s="496">
        <f>C942</f>
        <v>731</v>
      </c>
      <c r="D1005" s="230">
        <f>IF(D$338&gt;$D$33,0,IF(Input!D$54&lt;31,Input!D$54/30*D363,IF(Input!D$54&lt;61,(Input!D$54-30)/30*D363,IF(Input!D$54&lt;91,(Input!D$54-60)/30*D363,IF(Input!D$54&lt;121,(Input!D$54-90)/30*D363,IF(Input!D$54&lt;151,(Input!D$54-120)/30*D363,(Input!D$54-150)/30*D363))))))</f>
        <v>0</v>
      </c>
      <c r="E1005" s="230">
        <f>IF(E$338&gt;$D$33,0,IF(Input!E$54&lt;31,Input!E$54/30*E363,IF(Input!E$54&lt;61,(Input!E$54-30)/30*E363,IF(Input!E$54&lt;91,(Input!E$54-60)/30*E363,IF(Input!E$54&lt;121,(Input!E$54-90)/30*E363,IF(Input!E$54&lt;151,(Input!E$54-120)/30*E363,(Input!E$54-150)/30*E363))))))</f>
        <v>0</v>
      </c>
      <c r="F1005" s="230">
        <f>IF(F$338&gt;$D$33,0,IF(Input!F$54&lt;31,Input!F$54/30*F363,IF(Input!F$54&lt;61,(Input!F$54-30)/30*F363,IF(Input!F$54&lt;91,(Input!F$54-60)/30*F363,IF(Input!F$54&lt;121,(Input!F$54-90)/30*F363,IF(Input!F$54&lt;151,(Input!F$54-120)/30*F363,(Input!F$54-150)/30*F363))))))</f>
        <v>0</v>
      </c>
      <c r="G1005" s="230">
        <f>IF(G$338&gt;$D$33,0,IF(Input!G$54&lt;31,Input!G$54/30*G363,IF(Input!G$54&lt;61,(Input!G$54-30)/30*G363,IF(Input!G$54&lt;91,(Input!G$54-60)/30*G363,IF(Input!G$54&lt;121,(Input!G$54-90)/30*G363,IF(Input!G$54&lt;151,(Input!G$54-120)/30*G363,(Input!G$54-150)/30*G363))))))</f>
        <v>0</v>
      </c>
      <c r="H1005" s="230">
        <f>IF(H$338&gt;$D$33,0,IF(Input!H$54&lt;31,Input!H$54/30*H363,IF(Input!H$54&lt;61,(Input!H$54-30)/30*H363,IF(Input!H$54&lt;91,(Input!H$54-60)/30*H363,IF(Input!H$54&lt;121,(Input!H$54-90)/30*H363,IF(Input!H$54&lt;151,(Input!H$54-120)/30*H363,(Input!H$54-150)/30*H363))))))</f>
        <v>0</v>
      </c>
      <c r="I1005" s="230">
        <f>IF(I$338&gt;$D$33,0,IF(Input!I$54&lt;31,Input!I$54/30*I363,IF(Input!I$54&lt;61,(Input!I$54-30)/30*I363,IF(Input!I$54&lt;91,(Input!I$54-60)/30*I363,IF(Input!I$54&lt;121,(Input!I$54-90)/30*I363,IF(Input!I$54&lt;151,(Input!I$54-120)/30*I363,(Input!I$54-150)/30*I363))))))</f>
        <v>0</v>
      </c>
      <c r="J1005" s="230">
        <f>IF(J$338&gt;$D$33,0,IF(Input!J$54&lt;31,Input!J$54/30*J363,IF(Input!J$54&lt;61,(Input!J$54-30)/30*J363,IF(Input!J$54&lt;91,(Input!J$54-60)/30*J363,IF(Input!J$54&lt;121,(Input!J$54-90)/30*J363,IF(Input!J$54&lt;151,(Input!J$54-120)/30*J363,(Input!J$54-150)/30*J363))))))</f>
        <v>0</v>
      </c>
      <c r="K1005" s="230">
        <f>IF(K$338&gt;$D$33,0,IF(Input!K$54&lt;31,Input!K$54/30*K363,IF(Input!K$54&lt;61,(Input!K$54-30)/30*K363,IF(Input!K$54&lt;91,(Input!K$54-60)/30*K363,IF(Input!K$54&lt;121,(Input!K$54-90)/30*K363,IF(Input!K$54&lt;151,(Input!K$54-120)/30*K363,(Input!K$54-150)/30*K363))))))</f>
        <v>0</v>
      </c>
      <c r="L1005" s="230">
        <f>IF(L$338&gt;$D$33,0,IF(Input!L$54&lt;31,Input!L$54/30*L363,IF(Input!L$54&lt;61,(Input!L$54-30)/30*L363,IF(Input!L$54&lt;91,(Input!L$54-60)/30*L363,IF(Input!L$54&lt;121,(Input!L$54-90)/30*L363,IF(Input!L$54&lt;151,(Input!L$54-120)/30*L363,(Input!L$54-150)/30*L363))))))</f>
        <v>0</v>
      </c>
      <c r="M1005" s="230">
        <f>IF(M$338&gt;$D$33,0,IF(Input!M$54&lt;31,Input!M$54/30*M363,IF(Input!M$54&lt;61,(Input!M$54-30)/30*M363,IF(Input!M$54&lt;91,(Input!M$54-60)/30*M363,IF(Input!M$54&lt;121,(Input!M$54-90)/30*M363,IF(Input!M$54&lt;151,(Input!M$54-120)/30*M363,(Input!M$54-150)/30*M363))))))</f>
        <v>0</v>
      </c>
      <c r="N1005" s="230">
        <f>IF(N$338&gt;$D$33,0,IF(Input!N$54&lt;31,Input!N$54/30*N363,IF(Input!N$54&lt;61,(Input!N$54-30)/30*N363,IF(Input!N$54&lt;91,(Input!N$54-60)/30*N363,IF(Input!N$54&lt;121,(Input!N$54-90)/30*N363,IF(Input!N$54&lt;151,(Input!N$54-120)/30*N363,(Input!N$54-150)/30*N363))))))</f>
        <v>0</v>
      </c>
      <c r="O1005" s="230">
        <f>IF(O$338&gt;$D$33,0,IF(Input!O$54&lt;31,Input!O$54/30*O363,IF(Input!O$54&lt;61,(Input!O$54-30)/30*O363,IF(Input!O$54&lt;91,(Input!O$54-60)/30*O363,IF(Input!O$54&lt;121,(Input!O$54-90)/30*O363,IF(Input!O$54&lt;151,(Input!O$54-120)/30*O363,(Input!O$54-150)/30*O363))))))</f>
        <v>0</v>
      </c>
      <c r="P1005" s="230">
        <f>IF(P$338&gt;$D$33,0,IF(Input!P$54&lt;31,Input!P$54/30*P363,IF(Input!P$54&lt;61,(Input!P$54-30)/30*P363,IF(Input!P$54&lt;91,(Input!P$54-60)/30*P363,IF(Input!P$54&lt;121,(Input!P$54-90)/30*P363,IF(Input!P$54&lt;151,(Input!P$54-120)/30*P363,(Input!P$54-150)/30*P363))))))</f>
        <v>0</v>
      </c>
      <c r="Q1005" s="230">
        <f>IF(Q$338&gt;$D$33,0,IF(Input!Q$54&lt;31,Input!Q$54/30*Q363,IF(Input!Q$54&lt;61,(Input!Q$54-30)/30*Q363,IF(Input!Q$54&lt;91,(Input!Q$54-60)/30*Q363,IF(Input!Q$54&lt;121,(Input!Q$54-90)/30*Q363,IF(Input!Q$54&lt;151,(Input!Q$54-120)/30*Q363,(Input!Q$54-150)/30*Q363))))))</f>
        <v>0</v>
      </c>
      <c r="R1005" s="230">
        <f>IF(R$338&gt;$D$33,0,IF(Input!R$54&lt;31,Input!R$54/30*R363,IF(Input!R$54&lt;61,(Input!R$54-30)/30*R363,IF(Input!R$54&lt;91,(Input!R$54-60)/30*R363,IF(Input!R$54&lt;121,(Input!R$54-90)/30*R363,IF(Input!R$54&lt;151,(Input!R$54-120)/30*R363,(Input!R$54-150)/30*R363))))))</f>
        <v>0</v>
      </c>
      <c r="S1005" s="230">
        <f>IF(S$338&gt;$D$33,0,IF(Input!S$54&lt;31,Input!S$54/30*S363,IF(Input!S$54&lt;61,(Input!S$54-30)/30*S363,IF(Input!S$54&lt;91,(Input!S$54-60)/30*S363,IF(Input!S$54&lt;121,(Input!S$54-90)/30*S363,IF(Input!S$54&lt;151,(Input!S$54-120)/30*S363,(Input!S$54-150)/30*S363))))))</f>
        <v>0</v>
      </c>
      <c r="T1005" s="230">
        <f>IF(T$338&gt;$D$33,0,IF(Input!T$54&lt;31,Input!T$54/30*T363,IF(Input!T$54&lt;61,(Input!T$54-30)/30*T363,IF(Input!T$54&lt;91,(Input!T$54-60)/30*T363,IF(Input!T$54&lt;121,(Input!T$54-90)/30*T363,IF(Input!T$54&lt;151,(Input!T$54-120)/30*T363,(Input!T$54-150)/30*T363))))))</f>
        <v>0</v>
      </c>
      <c r="U1005" s="230">
        <f>IF(U$338&gt;$D$33,0,IF(Input!U$54&lt;31,Input!U$54/30*U363,IF(Input!U$54&lt;61,(Input!U$54-30)/30*U363,IF(Input!U$54&lt;91,(Input!U$54-60)/30*U363,IF(Input!U$54&lt;121,(Input!U$54-90)/30*U363,IF(Input!U$54&lt;151,(Input!U$54-120)/30*U363,(Input!U$54-150)/30*U363))))))</f>
        <v>0</v>
      </c>
      <c r="V1005" s="230">
        <f>IF(V$338&gt;$D$33,0,IF(Input!V$54&lt;31,Input!V$54/30*V363,IF(Input!V$54&lt;61,(Input!V$54-30)/30*V363,IF(Input!V$54&lt;91,(Input!V$54-60)/30*V363,IF(Input!V$54&lt;121,(Input!V$54-90)/30*V363,IF(Input!V$54&lt;151,(Input!V$54-120)/30*V363,(Input!V$54-150)/30*V363))))))</f>
        <v>0</v>
      </c>
      <c r="W1005" s="230">
        <f>IF(W$338&gt;$D$33,0,IF(Input!W$54&lt;31,Input!W$54/30*W363,IF(Input!W$54&lt;61,(Input!W$54-30)/30*W363,IF(Input!W$54&lt;91,(Input!W$54-60)/30*W363,IF(Input!W$54&lt;121,(Input!W$54-90)/30*W363,IF(Input!W$54&lt;151,(Input!W$54-120)/30*W363,(Input!W$54-150)/30*W363))))))</f>
        <v>0</v>
      </c>
      <c r="X1005" s="230">
        <f>IF(X$338&gt;$D$33,0,IF(Input!X$54&lt;31,Input!X$54/30*X363,IF(Input!X$54&lt;61,(Input!X$54-30)/30*X363,IF(Input!X$54&lt;91,(Input!X$54-60)/30*X363,IF(Input!X$54&lt;121,(Input!X$54-90)/30*X363,IF(Input!X$54&lt;151,(Input!X$54-120)/30*X363,(Input!X$54-150)/30*X363))))))</f>
        <v>0</v>
      </c>
      <c r="Y1005" s="230">
        <f>IF(Y$338&gt;$D$33,0,IF(Input!Y$54&lt;31,Input!Y$54/30*Y363,IF(Input!Y$54&lt;61,(Input!Y$54-30)/30*Y363,IF(Input!Y$54&lt;91,(Input!Y$54-60)/30*Y363,IF(Input!Y$54&lt;121,(Input!Y$54-90)/30*Y363,IF(Input!Y$54&lt;151,(Input!Y$54-120)/30*Y363,(Input!Y$54-150)/30*Y363))))))</f>
        <v>0</v>
      </c>
      <c r="Z1005" s="230">
        <f>IF(Z$338&gt;$D$33,0,IF(Input!Z$54&lt;31,Input!Z$54/30*Z363,IF(Input!Z$54&lt;61,(Input!Z$54-30)/30*Z363,IF(Input!Z$54&lt;91,(Input!Z$54-60)/30*Z363,IF(Input!Z$54&lt;121,(Input!Z$54-90)/30*Z363,IF(Input!Z$54&lt;151,(Input!Z$54-120)/30*Z363,(Input!Z$54-150)/30*Z363))))))</f>
        <v>0</v>
      </c>
      <c r="AA1005" s="230">
        <f>IF(AA$338&gt;$D$33,0,IF(Input!AA$54&lt;31,Input!AA$54/30*AA363,IF(Input!AA$54&lt;61,(Input!AA$54-30)/30*AA363,IF(Input!AA$54&lt;91,(Input!AA$54-60)/30*AA363,IF(Input!AA$54&lt;121,(Input!AA$54-90)/30*AA363,IF(Input!AA$54&lt;151,(Input!AA$54-120)/30*AA363,(Input!AA$54-150)/30*AA363))))))</f>
        <v>0</v>
      </c>
      <c r="AB1005" s="230">
        <f>IF(AB$338&gt;$D$33,0,IF(Input!AB$54&lt;31,Input!AB$54/30*AB363,IF(Input!AB$54&lt;61,(Input!AB$54-30)/30*AB363,IF(Input!AB$54&lt;91,(Input!AB$54-60)/30*AB363,IF(Input!AB$54&lt;121,(Input!AB$54-90)/30*AB363,IF(Input!AB$54&lt;151,(Input!AB$54-120)/30*AB363,(Input!AB$54-150)/30*AB363))))))</f>
        <v>0</v>
      </c>
      <c r="CH1005" s="269"/>
      <c r="CI1005" s="269"/>
      <c r="CJ1005" s="269"/>
      <c r="CK1005" s="269"/>
      <c r="CL1005" s="269"/>
      <c r="CM1005" s="269"/>
      <c r="CN1005" s="269"/>
      <c r="CO1005" s="269"/>
      <c r="CP1005" s="269"/>
      <c r="CQ1005" s="269"/>
      <c r="CR1005" s="269"/>
      <c r="CS1005" s="269"/>
    </row>
    <row r="1006" spans="3:97" x14ac:dyDescent="0.3">
      <c r="C1006" s="495">
        <f>C943</f>
        <v>762</v>
      </c>
      <c r="D1006" s="231">
        <f>IF(D$338&gt;$D$33,0,IF(Input!D$54&lt;31,Input!D$54/30*D364,IF(Input!D$54&lt;61,(Input!D$54-30)/30*D364,IF(Input!D$54&lt;91,(Input!D$54-60)/30*D364,IF(Input!D$54&lt;121,(Input!D$54-90)/30*D364,IF(Input!D$54&lt;151,(Input!D$54-120)/30*D364,(Input!D$54-150)/30*D364))))))</f>
        <v>0</v>
      </c>
      <c r="E1006" s="231">
        <f>IF(E$338&gt;$D$33,0,IF(Input!E$54&lt;31,Input!E$54/30*E364,IF(Input!E$54&lt;61,(Input!E$54-30)/30*E364,IF(Input!E$54&lt;91,(Input!E$54-60)/30*E364,IF(Input!E$54&lt;121,(Input!E$54-90)/30*E364,IF(Input!E$54&lt;151,(Input!E$54-120)/30*E364,(Input!E$54-150)/30*E364))))))</f>
        <v>0</v>
      </c>
      <c r="F1006" s="231">
        <f>IF(F$338&gt;$D$33,0,IF(Input!F$54&lt;31,Input!F$54/30*F364,IF(Input!F$54&lt;61,(Input!F$54-30)/30*F364,IF(Input!F$54&lt;91,(Input!F$54-60)/30*F364,IF(Input!F$54&lt;121,(Input!F$54-90)/30*F364,IF(Input!F$54&lt;151,(Input!F$54-120)/30*F364,(Input!F$54-150)/30*F364))))))</f>
        <v>0</v>
      </c>
      <c r="G1006" s="231">
        <f>IF(G$338&gt;$D$33,0,IF(Input!G$54&lt;31,Input!G$54/30*G364,IF(Input!G$54&lt;61,(Input!G$54-30)/30*G364,IF(Input!G$54&lt;91,(Input!G$54-60)/30*G364,IF(Input!G$54&lt;121,(Input!G$54-90)/30*G364,IF(Input!G$54&lt;151,(Input!G$54-120)/30*G364,(Input!G$54-150)/30*G364))))))</f>
        <v>0</v>
      </c>
      <c r="H1006" s="231">
        <f>IF(H$338&gt;$D$33,0,IF(Input!H$54&lt;31,Input!H$54/30*H364,IF(Input!H$54&lt;61,(Input!H$54-30)/30*H364,IF(Input!H$54&lt;91,(Input!H$54-60)/30*H364,IF(Input!H$54&lt;121,(Input!H$54-90)/30*H364,IF(Input!H$54&lt;151,(Input!H$54-120)/30*H364,(Input!H$54-150)/30*H364))))))</f>
        <v>0</v>
      </c>
      <c r="I1006" s="231">
        <f>IF(I$338&gt;$D$33,0,IF(Input!I$54&lt;31,Input!I$54/30*I364,IF(Input!I$54&lt;61,(Input!I$54-30)/30*I364,IF(Input!I$54&lt;91,(Input!I$54-60)/30*I364,IF(Input!I$54&lt;121,(Input!I$54-90)/30*I364,IF(Input!I$54&lt;151,(Input!I$54-120)/30*I364,(Input!I$54-150)/30*I364))))))</f>
        <v>0</v>
      </c>
      <c r="J1006" s="231">
        <f>IF(J$338&gt;$D$33,0,IF(Input!J$54&lt;31,Input!J$54/30*J364,IF(Input!J$54&lt;61,(Input!J$54-30)/30*J364,IF(Input!J$54&lt;91,(Input!J$54-60)/30*J364,IF(Input!J$54&lt;121,(Input!J$54-90)/30*J364,IF(Input!J$54&lt;151,(Input!J$54-120)/30*J364,(Input!J$54-150)/30*J364))))))</f>
        <v>0</v>
      </c>
      <c r="K1006" s="231">
        <f>IF(K$338&gt;$D$33,0,IF(Input!K$54&lt;31,Input!K$54/30*K364,IF(Input!K$54&lt;61,(Input!K$54-30)/30*K364,IF(Input!K$54&lt;91,(Input!K$54-60)/30*K364,IF(Input!K$54&lt;121,(Input!K$54-90)/30*K364,IF(Input!K$54&lt;151,(Input!K$54-120)/30*K364,(Input!K$54-150)/30*K364))))))</f>
        <v>0</v>
      </c>
      <c r="L1006" s="231">
        <f>IF(L$338&gt;$D$33,0,IF(Input!L$54&lt;31,Input!L$54/30*L364,IF(Input!L$54&lt;61,(Input!L$54-30)/30*L364,IF(Input!L$54&lt;91,(Input!L$54-60)/30*L364,IF(Input!L$54&lt;121,(Input!L$54-90)/30*L364,IF(Input!L$54&lt;151,(Input!L$54-120)/30*L364,(Input!L$54-150)/30*L364))))))</f>
        <v>0</v>
      </c>
      <c r="M1006" s="231">
        <f>IF(M$338&gt;$D$33,0,IF(Input!M$54&lt;31,Input!M$54/30*M364,IF(Input!M$54&lt;61,(Input!M$54-30)/30*M364,IF(Input!M$54&lt;91,(Input!M$54-60)/30*M364,IF(Input!M$54&lt;121,(Input!M$54-90)/30*M364,IF(Input!M$54&lt;151,(Input!M$54-120)/30*M364,(Input!M$54-150)/30*M364))))))</f>
        <v>0</v>
      </c>
      <c r="N1006" s="231">
        <f>IF(N$338&gt;$D$33,0,IF(Input!N$54&lt;31,Input!N$54/30*N364,IF(Input!N$54&lt;61,(Input!N$54-30)/30*N364,IF(Input!N$54&lt;91,(Input!N$54-60)/30*N364,IF(Input!N$54&lt;121,(Input!N$54-90)/30*N364,IF(Input!N$54&lt;151,(Input!N$54-120)/30*N364,(Input!N$54-150)/30*N364))))))</f>
        <v>0</v>
      </c>
      <c r="O1006" s="231">
        <f>IF(O$338&gt;$D$33,0,IF(Input!O$54&lt;31,Input!O$54/30*O364,IF(Input!O$54&lt;61,(Input!O$54-30)/30*O364,IF(Input!O$54&lt;91,(Input!O$54-60)/30*O364,IF(Input!O$54&lt;121,(Input!O$54-90)/30*O364,IF(Input!O$54&lt;151,(Input!O$54-120)/30*O364,(Input!O$54-150)/30*O364))))))</f>
        <v>0</v>
      </c>
      <c r="P1006" s="231">
        <f>IF(P$338&gt;$D$33,0,IF(Input!P$54&lt;31,Input!P$54/30*P364,IF(Input!P$54&lt;61,(Input!P$54-30)/30*P364,IF(Input!P$54&lt;91,(Input!P$54-60)/30*P364,IF(Input!P$54&lt;121,(Input!P$54-90)/30*P364,IF(Input!P$54&lt;151,(Input!P$54-120)/30*P364,(Input!P$54-150)/30*P364))))))</f>
        <v>0</v>
      </c>
      <c r="Q1006" s="231">
        <f>IF(Q$338&gt;$D$33,0,IF(Input!Q$54&lt;31,Input!Q$54/30*Q364,IF(Input!Q$54&lt;61,(Input!Q$54-30)/30*Q364,IF(Input!Q$54&lt;91,(Input!Q$54-60)/30*Q364,IF(Input!Q$54&lt;121,(Input!Q$54-90)/30*Q364,IF(Input!Q$54&lt;151,(Input!Q$54-120)/30*Q364,(Input!Q$54-150)/30*Q364))))))</f>
        <v>0</v>
      </c>
      <c r="R1006" s="231">
        <f>IF(R$338&gt;$D$33,0,IF(Input!R$54&lt;31,Input!R$54/30*R364,IF(Input!R$54&lt;61,(Input!R$54-30)/30*R364,IF(Input!R$54&lt;91,(Input!R$54-60)/30*R364,IF(Input!R$54&lt;121,(Input!R$54-90)/30*R364,IF(Input!R$54&lt;151,(Input!R$54-120)/30*R364,(Input!R$54-150)/30*R364))))))</f>
        <v>0</v>
      </c>
      <c r="S1006" s="231">
        <f>IF(S$338&gt;$D$33,0,IF(Input!S$54&lt;31,Input!S$54/30*S364,IF(Input!S$54&lt;61,(Input!S$54-30)/30*S364,IF(Input!S$54&lt;91,(Input!S$54-60)/30*S364,IF(Input!S$54&lt;121,(Input!S$54-90)/30*S364,IF(Input!S$54&lt;151,(Input!S$54-120)/30*S364,(Input!S$54-150)/30*S364))))))</f>
        <v>0</v>
      </c>
      <c r="T1006" s="231">
        <f>IF(T$338&gt;$D$33,0,IF(Input!T$54&lt;31,Input!T$54/30*T364,IF(Input!T$54&lt;61,(Input!T$54-30)/30*T364,IF(Input!T$54&lt;91,(Input!T$54-60)/30*T364,IF(Input!T$54&lt;121,(Input!T$54-90)/30*T364,IF(Input!T$54&lt;151,(Input!T$54-120)/30*T364,(Input!T$54-150)/30*T364))))))</f>
        <v>0</v>
      </c>
      <c r="U1006" s="231">
        <f>IF(U$338&gt;$D$33,0,IF(Input!U$54&lt;31,Input!U$54/30*U364,IF(Input!U$54&lt;61,(Input!U$54-30)/30*U364,IF(Input!U$54&lt;91,(Input!U$54-60)/30*U364,IF(Input!U$54&lt;121,(Input!U$54-90)/30*U364,IF(Input!U$54&lt;151,(Input!U$54-120)/30*U364,(Input!U$54-150)/30*U364))))))</f>
        <v>0</v>
      </c>
      <c r="V1006" s="231">
        <f>IF(V$338&gt;$D$33,0,IF(Input!V$54&lt;31,Input!V$54/30*V364,IF(Input!V$54&lt;61,(Input!V$54-30)/30*V364,IF(Input!V$54&lt;91,(Input!V$54-60)/30*V364,IF(Input!V$54&lt;121,(Input!V$54-90)/30*V364,IF(Input!V$54&lt;151,(Input!V$54-120)/30*V364,(Input!V$54-150)/30*V364))))))</f>
        <v>0</v>
      </c>
      <c r="W1006" s="231">
        <f>IF(W$338&gt;$D$33,0,IF(Input!W$54&lt;31,Input!W$54/30*W364,IF(Input!W$54&lt;61,(Input!W$54-30)/30*W364,IF(Input!W$54&lt;91,(Input!W$54-60)/30*W364,IF(Input!W$54&lt;121,(Input!W$54-90)/30*W364,IF(Input!W$54&lt;151,(Input!W$54-120)/30*W364,(Input!W$54-150)/30*W364))))))</f>
        <v>0</v>
      </c>
      <c r="X1006" s="231">
        <f>IF(X$338&gt;$D$33,0,IF(Input!X$54&lt;31,Input!X$54/30*X364,IF(Input!X$54&lt;61,(Input!X$54-30)/30*X364,IF(Input!X$54&lt;91,(Input!X$54-60)/30*X364,IF(Input!X$54&lt;121,(Input!X$54-90)/30*X364,IF(Input!X$54&lt;151,(Input!X$54-120)/30*X364,(Input!X$54-150)/30*X364))))))</f>
        <v>0</v>
      </c>
      <c r="Y1006" s="231">
        <f>IF(Y$338&gt;$D$33,0,IF(Input!Y$54&lt;31,Input!Y$54/30*Y364,IF(Input!Y$54&lt;61,(Input!Y$54-30)/30*Y364,IF(Input!Y$54&lt;91,(Input!Y$54-60)/30*Y364,IF(Input!Y$54&lt;121,(Input!Y$54-90)/30*Y364,IF(Input!Y$54&lt;151,(Input!Y$54-120)/30*Y364,(Input!Y$54-150)/30*Y364))))))</f>
        <v>0</v>
      </c>
      <c r="Z1006" s="231">
        <f>IF(Z$338&gt;$D$33,0,IF(Input!Z$54&lt;31,Input!Z$54/30*Z364,IF(Input!Z$54&lt;61,(Input!Z$54-30)/30*Z364,IF(Input!Z$54&lt;91,(Input!Z$54-60)/30*Z364,IF(Input!Z$54&lt;121,(Input!Z$54-90)/30*Z364,IF(Input!Z$54&lt;151,(Input!Z$54-120)/30*Z364,(Input!Z$54-150)/30*Z364))))))</f>
        <v>0</v>
      </c>
      <c r="AA1006" s="231">
        <f>IF(AA$338&gt;$D$33,0,IF(Input!AA$54&lt;31,Input!AA$54/30*AA364,IF(Input!AA$54&lt;61,(Input!AA$54-30)/30*AA364,IF(Input!AA$54&lt;91,(Input!AA$54-60)/30*AA364,IF(Input!AA$54&lt;121,(Input!AA$54-90)/30*AA364,IF(Input!AA$54&lt;151,(Input!AA$54-120)/30*AA364,(Input!AA$54-150)/30*AA364))))))</f>
        <v>0</v>
      </c>
      <c r="AB1006" s="231">
        <f>IF(AB$338&gt;$D$33,0,IF(Input!AB$54&lt;31,Input!AB$54/30*AB364,IF(Input!AB$54&lt;61,(Input!AB$54-30)/30*AB364,IF(Input!AB$54&lt;91,(Input!AB$54-60)/30*AB364,IF(Input!AB$54&lt;121,(Input!AB$54-90)/30*AB364,IF(Input!AB$54&lt;151,(Input!AB$54-120)/30*AB364,(Input!AB$54-150)/30*AB364))))))</f>
        <v>0</v>
      </c>
      <c r="CH1006" s="269"/>
      <c r="CI1006" s="269"/>
      <c r="CJ1006" s="269"/>
      <c r="CK1006" s="269"/>
      <c r="CL1006" s="269"/>
      <c r="CM1006" s="269"/>
      <c r="CN1006" s="269"/>
      <c r="CO1006" s="269"/>
      <c r="CP1006" s="269"/>
      <c r="CQ1006" s="269"/>
      <c r="CR1006" s="269"/>
      <c r="CS1006" s="269"/>
    </row>
    <row r="1007" spans="3:97" x14ac:dyDescent="0.3">
      <c r="C1007" s="495">
        <f>C944</f>
        <v>790</v>
      </c>
      <c r="D1007" s="229">
        <f>IF(D$338&gt;$D$33,0,IF(Input!D$54&lt;31,Input!D$54/30*D365,IF(Input!D$54&lt;61,(Input!D$54-30)/30*D365,IF(Input!D$54&lt;91,(Input!D$54-60)/30*D365,IF(Input!D$54&lt;121,(Input!D$54-90)/30*D365,IF(Input!D$54&lt;151,(Input!D$54-120)/30*D365,(Input!D$54-150)/30*D365))))))</f>
        <v>0</v>
      </c>
      <c r="E1007" s="229">
        <f>IF(E$338&gt;$D$33,0,IF(Input!E$54&lt;31,Input!E$54/30*E365,IF(Input!E$54&lt;61,(Input!E$54-30)/30*E365,IF(Input!E$54&lt;91,(Input!E$54-60)/30*E365,IF(Input!E$54&lt;121,(Input!E$54-90)/30*E365,IF(Input!E$54&lt;151,(Input!E$54-120)/30*E365,(Input!E$54-150)/30*E365))))))</f>
        <v>0</v>
      </c>
      <c r="F1007" s="229">
        <f>IF(F$338&gt;$D$33,0,IF(Input!F$54&lt;31,Input!F$54/30*F365,IF(Input!F$54&lt;61,(Input!F$54-30)/30*F365,IF(Input!F$54&lt;91,(Input!F$54-60)/30*F365,IF(Input!F$54&lt;121,(Input!F$54-90)/30*F365,IF(Input!F$54&lt;151,(Input!F$54-120)/30*F365,(Input!F$54-150)/30*F365))))))</f>
        <v>0</v>
      </c>
      <c r="G1007" s="229">
        <f>IF(G$338&gt;$D$33,0,IF(Input!G$54&lt;31,Input!G$54/30*G365,IF(Input!G$54&lt;61,(Input!G$54-30)/30*G365,IF(Input!G$54&lt;91,(Input!G$54-60)/30*G365,IF(Input!G$54&lt;121,(Input!G$54-90)/30*G365,IF(Input!G$54&lt;151,(Input!G$54-120)/30*G365,(Input!G$54-150)/30*G365))))))</f>
        <v>0</v>
      </c>
      <c r="H1007" s="229">
        <f>IF(H$338&gt;$D$33,0,IF(Input!H$54&lt;31,Input!H$54/30*H365,IF(Input!H$54&lt;61,(Input!H$54-30)/30*H365,IF(Input!H$54&lt;91,(Input!H$54-60)/30*H365,IF(Input!H$54&lt;121,(Input!H$54-90)/30*H365,IF(Input!H$54&lt;151,(Input!H$54-120)/30*H365,(Input!H$54-150)/30*H365))))))</f>
        <v>0</v>
      </c>
      <c r="I1007" s="229">
        <f>IF(I$338&gt;$D$33,0,IF(Input!I$54&lt;31,Input!I$54/30*I365,IF(Input!I$54&lt;61,(Input!I$54-30)/30*I365,IF(Input!I$54&lt;91,(Input!I$54-60)/30*I365,IF(Input!I$54&lt;121,(Input!I$54-90)/30*I365,IF(Input!I$54&lt;151,(Input!I$54-120)/30*I365,(Input!I$54-150)/30*I365))))))</f>
        <v>0</v>
      </c>
      <c r="J1007" s="229">
        <f>IF(J$338&gt;$D$33,0,IF(Input!J$54&lt;31,Input!J$54/30*J365,IF(Input!J$54&lt;61,(Input!J$54-30)/30*J365,IF(Input!J$54&lt;91,(Input!J$54-60)/30*J365,IF(Input!J$54&lt;121,(Input!J$54-90)/30*J365,IF(Input!J$54&lt;151,(Input!J$54-120)/30*J365,(Input!J$54-150)/30*J365))))))</f>
        <v>0</v>
      </c>
      <c r="K1007" s="229">
        <f>IF(K$338&gt;$D$33,0,IF(Input!K$54&lt;31,Input!K$54/30*K365,IF(Input!K$54&lt;61,(Input!K$54-30)/30*K365,IF(Input!K$54&lt;91,(Input!K$54-60)/30*K365,IF(Input!K$54&lt;121,(Input!K$54-90)/30*K365,IF(Input!K$54&lt;151,(Input!K$54-120)/30*K365,(Input!K$54-150)/30*K365))))))</f>
        <v>0</v>
      </c>
      <c r="L1007" s="229">
        <f>IF(L$338&gt;$D$33,0,IF(Input!L$54&lt;31,Input!L$54/30*L365,IF(Input!L$54&lt;61,(Input!L$54-30)/30*L365,IF(Input!L$54&lt;91,(Input!L$54-60)/30*L365,IF(Input!L$54&lt;121,(Input!L$54-90)/30*L365,IF(Input!L$54&lt;151,(Input!L$54-120)/30*L365,(Input!L$54-150)/30*L365))))))</f>
        <v>0</v>
      </c>
      <c r="M1007" s="229">
        <f>IF(M$338&gt;$D$33,0,IF(Input!M$54&lt;31,Input!M$54/30*M365,IF(Input!M$54&lt;61,(Input!M$54-30)/30*M365,IF(Input!M$54&lt;91,(Input!M$54-60)/30*M365,IF(Input!M$54&lt;121,(Input!M$54-90)/30*M365,IF(Input!M$54&lt;151,(Input!M$54-120)/30*M365,(Input!M$54-150)/30*M365))))))</f>
        <v>0</v>
      </c>
      <c r="N1007" s="229">
        <f>IF(N$338&gt;$D$33,0,IF(Input!N$54&lt;31,Input!N$54/30*N365,IF(Input!N$54&lt;61,(Input!N$54-30)/30*N365,IF(Input!N$54&lt;91,(Input!N$54-60)/30*N365,IF(Input!N$54&lt;121,(Input!N$54-90)/30*N365,IF(Input!N$54&lt;151,(Input!N$54-120)/30*N365,(Input!N$54-150)/30*N365))))))</f>
        <v>0</v>
      </c>
      <c r="O1007" s="229">
        <f>IF(O$338&gt;$D$33,0,IF(Input!O$54&lt;31,Input!O$54/30*O365,IF(Input!O$54&lt;61,(Input!O$54-30)/30*O365,IF(Input!O$54&lt;91,(Input!O$54-60)/30*O365,IF(Input!O$54&lt;121,(Input!O$54-90)/30*O365,IF(Input!O$54&lt;151,(Input!O$54-120)/30*O365,(Input!O$54-150)/30*O365))))))</f>
        <v>0</v>
      </c>
      <c r="P1007" s="229">
        <f>IF(P$338&gt;$D$33,0,IF(Input!P$54&lt;31,Input!P$54/30*P365,IF(Input!P$54&lt;61,(Input!P$54-30)/30*P365,IF(Input!P$54&lt;91,(Input!P$54-60)/30*P365,IF(Input!P$54&lt;121,(Input!P$54-90)/30*P365,IF(Input!P$54&lt;151,(Input!P$54-120)/30*P365,(Input!P$54-150)/30*P365))))))</f>
        <v>0</v>
      </c>
      <c r="Q1007" s="229">
        <f>IF(Q$338&gt;$D$33,0,IF(Input!Q$54&lt;31,Input!Q$54/30*Q365,IF(Input!Q$54&lt;61,(Input!Q$54-30)/30*Q365,IF(Input!Q$54&lt;91,(Input!Q$54-60)/30*Q365,IF(Input!Q$54&lt;121,(Input!Q$54-90)/30*Q365,IF(Input!Q$54&lt;151,(Input!Q$54-120)/30*Q365,(Input!Q$54-150)/30*Q365))))))</f>
        <v>0</v>
      </c>
      <c r="R1007" s="229">
        <f>IF(R$338&gt;$D$33,0,IF(Input!R$54&lt;31,Input!R$54/30*R365,IF(Input!R$54&lt;61,(Input!R$54-30)/30*R365,IF(Input!R$54&lt;91,(Input!R$54-60)/30*R365,IF(Input!R$54&lt;121,(Input!R$54-90)/30*R365,IF(Input!R$54&lt;151,(Input!R$54-120)/30*R365,(Input!R$54-150)/30*R365))))))</f>
        <v>0</v>
      </c>
      <c r="S1007" s="229">
        <f>IF(S$338&gt;$D$33,0,IF(Input!S$54&lt;31,Input!S$54/30*S365,IF(Input!S$54&lt;61,(Input!S$54-30)/30*S365,IF(Input!S$54&lt;91,(Input!S$54-60)/30*S365,IF(Input!S$54&lt;121,(Input!S$54-90)/30*S365,IF(Input!S$54&lt;151,(Input!S$54-120)/30*S365,(Input!S$54-150)/30*S365))))))</f>
        <v>0</v>
      </c>
      <c r="T1007" s="229">
        <f>IF(T$338&gt;$D$33,0,IF(Input!T$54&lt;31,Input!T$54/30*T365,IF(Input!T$54&lt;61,(Input!T$54-30)/30*T365,IF(Input!T$54&lt;91,(Input!T$54-60)/30*T365,IF(Input!T$54&lt;121,(Input!T$54-90)/30*T365,IF(Input!T$54&lt;151,(Input!T$54-120)/30*T365,(Input!T$54-150)/30*T365))))))</f>
        <v>0</v>
      </c>
      <c r="U1007" s="229">
        <f>IF(U$338&gt;$D$33,0,IF(Input!U$54&lt;31,Input!U$54/30*U365,IF(Input!U$54&lt;61,(Input!U$54-30)/30*U365,IF(Input!U$54&lt;91,(Input!U$54-60)/30*U365,IF(Input!U$54&lt;121,(Input!U$54-90)/30*U365,IF(Input!U$54&lt;151,(Input!U$54-120)/30*U365,(Input!U$54-150)/30*U365))))))</f>
        <v>0</v>
      </c>
      <c r="V1007" s="229">
        <f>IF(V$338&gt;$D$33,0,IF(Input!V$54&lt;31,Input!V$54/30*V365,IF(Input!V$54&lt;61,(Input!V$54-30)/30*V365,IF(Input!V$54&lt;91,(Input!V$54-60)/30*V365,IF(Input!V$54&lt;121,(Input!V$54-90)/30*V365,IF(Input!V$54&lt;151,(Input!V$54-120)/30*V365,(Input!V$54-150)/30*V365))))))</f>
        <v>0</v>
      </c>
      <c r="W1007" s="229">
        <f>IF(W$338&gt;$D$33,0,IF(Input!W$54&lt;31,Input!W$54/30*W365,IF(Input!W$54&lt;61,(Input!W$54-30)/30*W365,IF(Input!W$54&lt;91,(Input!W$54-60)/30*W365,IF(Input!W$54&lt;121,(Input!W$54-90)/30*W365,IF(Input!W$54&lt;151,(Input!W$54-120)/30*W365,(Input!W$54-150)/30*W365))))))</f>
        <v>0</v>
      </c>
      <c r="X1007" s="229">
        <f>IF(X$338&gt;$D$33,0,IF(Input!X$54&lt;31,Input!X$54/30*X365,IF(Input!X$54&lt;61,(Input!X$54-30)/30*X365,IF(Input!X$54&lt;91,(Input!X$54-60)/30*X365,IF(Input!X$54&lt;121,(Input!X$54-90)/30*X365,IF(Input!X$54&lt;151,(Input!X$54-120)/30*X365,(Input!X$54-150)/30*X365))))))</f>
        <v>0</v>
      </c>
      <c r="Y1007" s="229">
        <f>IF(Y$338&gt;$D$33,0,IF(Input!Y$54&lt;31,Input!Y$54/30*Y365,IF(Input!Y$54&lt;61,(Input!Y$54-30)/30*Y365,IF(Input!Y$54&lt;91,(Input!Y$54-60)/30*Y365,IF(Input!Y$54&lt;121,(Input!Y$54-90)/30*Y365,IF(Input!Y$54&lt;151,(Input!Y$54-120)/30*Y365,(Input!Y$54-150)/30*Y365))))))</f>
        <v>0</v>
      </c>
      <c r="Z1007" s="229">
        <f>IF(Z$338&gt;$D$33,0,IF(Input!Z$54&lt;31,Input!Z$54/30*Z365,IF(Input!Z$54&lt;61,(Input!Z$54-30)/30*Z365,IF(Input!Z$54&lt;91,(Input!Z$54-60)/30*Z365,IF(Input!Z$54&lt;121,(Input!Z$54-90)/30*Z365,IF(Input!Z$54&lt;151,(Input!Z$54-120)/30*Z365,(Input!Z$54-150)/30*Z365))))))</f>
        <v>0</v>
      </c>
      <c r="AA1007" s="229">
        <f>IF(AA$338&gt;$D$33,0,IF(Input!AA$54&lt;31,Input!AA$54/30*AA365,IF(Input!AA$54&lt;61,(Input!AA$54-30)/30*AA365,IF(Input!AA$54&lt;91,(Input!AA$54-60)/30*AA365,IF(Input!AA$54&lt;121,(Input!AA$54-90)/30*AA365,IF(Input!AA$54&lt;151,(Input!AA$54-120)/30*AA365,(Input!AA$54-150)/30*AA365))))))</f>
        <v>0</v>
      </c>
      <c r="AB1007" s="229">
        <f>IF(AB$338&gt;$D$33,0,IF(Input!AB$54&lt;31,Input!AB$54/30*AB365,IF(Input!AB$54&lt;61,(Input!AB$54-30)/30*AB365,IF(Input!AB$54&lt;91,(Input!AB$54-60)/30*AB365,IF(Input!AB$54&lt;121,(Input!AB$54-90)/30*AB365,IF(Input!AB$54&lt;151,(Input!AB$54-120)/30*AB365,(Input!AB$54-150)/30*AB365))))))</f>
        <v>0</v>
      </c>
      <c r="CH1007" s="269"/>
      <c r="CI1007" s="269"/>
      <c r="CJ1007" s="269"/>
      <c r="CK1007" s="269"/>
      <c r="CL1007" s="269"/>
      <c r="CM1007" s="269"/>
      <c r="CN1007" s="269"/>
      <c r="CO1007" s="269"/>
      <c r="CP1007" s="269"/>
      <c r="CQ1007" s="269"/>
      <c r="CR1007" s="269"/>
      <c r="CS1007" s="269"/>
    </row>
    <row r="1008" spans="3:97" x14ac:dyDescent="0.3">
      <c r="C1008" s="495">
        <f>C945</f>
        <v>821</v>
      </c>
      <c r="D1008" s="229">
        <f>IF(D$338&gt;$D$33,0,IF(Input!D$54&lt;31,Input!D$54/30*D366,IF(Input!D$54&lt;61,(Input!D$54-30)/30*D366,IF(Input!D$54&lt;91,(Input!D$54-60)/30*D366,IF(Input!D$54&lt;121,(Input!D$54-90)/30*D366,IF(Input!D$54&lt;151,(Input!D$54-120)/30*D366,(Input!D$54-150)/30*D366))))))</f>
        <v>0</v>
      </c>
      <c r="E1008" s="229">
        <f>IF(E$338&gt;$D$33,0,IF(Input!E$54&lt;31,Input!E$54/30*E366,IF(Input!E$54&lt;61,(Input!E$54-30)/30*E366,IF(Input!E$54&lt;91,(Input!E$54-60)/30*E366,IF(Input!E$54&lt;121,(Input!E$54-90)/30*E366,IF(Input!E$54&lt;151,(Input!E$54-120)/30*E366,(Input!E$54-150)/30*E366))))))</f>
        <v>0</v>
      </c>
      <c r="F1008" s="229">
        <f>IF(F$338&gt;$D$33,0,IF(Input!F$54&lt;31,Input!F$54/30*F366,IF(Input!F$54&lt;61,(Input!F$54-30)/30*F366,IF(Input!F$54&lt;91,(Input!F$54-60)/30*F366,IF(Input!F$54&lt;121,(Input!F$54-90)/30*F366,IF(Input!F$54&lt;151,(Input!F$54-120)/30*F366,(Input!F$54-150)/30*F366))))))</f>
        <v>0</v>
      </c>
      <c r="G1008" s="229">
        <f>IF(G$338&gt;$D$33,0,IF(Input!G$54&lt;31,Input!G$54/30*G366,IF(Input!G$54&lt;61,(Input!G$54-30)/30*G366,IF(Input!G$54&lt;91,(Input!G$54-60)/30*G366,IF(Input!G$54&lt;121,(Input!G$54-90)/30*G366,IF(Input!G$54&lt;151,(Input!G$54-120)/30*G366,(Input!G$54-150)/30*G366))))))</f>
        <v>0</v>
      </c>
      <c r="H1008" s="229">
        <f>IF(H$338&gt;$D$33,0,IF(Input!H$54&lt;31,Input!H$54/30*H366,IF(Input!H$54&lt;61,(Input!H$54-30)/30*H366,IF(Input!H$54&lt;91,(Input!H$54-60)/30*H366,IF(Input!H$54&lt;121,(Input!H$54-90)/30*H366,IF(Input!H$54&lt;151,(Input!H$54-120)/30*H366,(Input!H$54-150)/30*H366))))))</f>
        <v>0</v>
      </c>
      <c r="I1008" s="229">
        <f>IF(I$338&gt;$D$33,0,IF(Input!I$54&lt;31,Input!I$54/30*I366,IF(Input!I$54&lt;61,(Input!I$54-30)/30*I366,IF(Input!I$54&lt;91,(Input!I$54-60)/30*I366,IF(Input!I$54&lt;121,(Input!I$54-90)/30*I366,IF(Input!I$54&lt;151,(Input!I$54-120)/30*I366,(Input!I$54-150)/30*I366))))))</f>
        <v>0</v>
      </c>
      <c r="J1008" s="229">
        <f>IF(J$338&gt;$D$33,0,IF(Input!J$54&lt;31,Input!J$54/30*J366,IF(Input!J$54&lt;61,(Input!J$54-30)/30*J366,IF(Input!J$54&lt;91,(Input!J$54-60)/30*J366,IF(Input!J$54&lt;121,(Input!J$54-90)/30*J366,IF(Input!J$54&lt;151,(Input!J$54-120)/30*J366,(Input!J$54-150)/30*J366))))))</f>
        <v>0</v>
      </c>
      <c r="K1008" s="229">
        <f>IF(K$338&gt;$D$33,0,IF(Input!K$54&lt;31,Input!K$54/30*K366,IF(Input!K$54&lt;61,(Input!K$54-30)/30*K366,IF(Input!K$54&lt;91,(Input!K$54-60)/30*K366,IF(Input!K$54&lt;121,(Input!K$54-90)/30*K366,IF(Input!K$54&lt;151,(Input!K$54-120)/30*K366,(Input!K$54-150)/30*K366))))))</f>
        <v>0</v>
      </c>
      <c r="L1008" s="229">
        <f>IF(L$338&gt;$D$33,0,IF(Input!L$54&lt;31,Input!L$54/30*L366,IF(Input!L$54&lt;61,(Input!L$54-30)/30*L366,IF(Input!L$54&lt;91,(Input!L$54-60)/30*L366,IF(Input!L$54&lt;121,(Input!L$54-90)/30*L366,IF(Input!L$54&lt;151,(Input!L$54-120)/30*L366,(Input!L$54-150)/30*L366))))))</f>
        <v>0</v>
      </c>
      <c r="M1008" s="229">
        <f>IF(M$338&gt;$D$33,0,IF(Input!M$54&lt;31,Input!M$54/30*M366,IF(Input!M$54&lt;61,(Input!M$54-30)/30*M366,IF(Input!M$54&lt;91,(Input!M$54-60)/30*M366,IF(Input!M$54&lt;121,(Input!M$54-90)/30*M366,IF(Input!M$54&lt;151,(Input!M$54-120)/30*M366,(Input!M$54-150)/30*M366))))))</f>
        <v>0</v>
      </c>
      <c r="N1008" s="229">
        <f>IF(N$338&gt;$D$33,0,IF(Input!N$54&lt;31,Input!N$54/30*N366,IF(Input!N$54&lt;61,(Input!N$54-30)/30*N366,IF(Input!N$54&lt;91,(Input!N$54-60)/30*N366,IF(Input!N$54&lt;121,(Input!N$54-90)/30*N366,IF(Input!N$54&lt;151,(Input!N$54-120)/30*N366,(Input!N$54-150)/30*N366))))))</f>
        <v>0</v>
      </c>
      <c r="O1008" s="229">
        <f>IF(O$338&gt;$D$33,0,IF(Input!O$54&lt;31,Input!O$54/30*O366,IF(Input!O$54&lt;61,(Input!O$54-30)/30*O366,IF(Input!O$54&lt;91,(Input!O$54-60)/30*O366,IF(Input!O$54&lt;121,(Input!O$54-90)/30*O366,IF(Input!O$54&lt;151,(Input!O$54-120)/30*O366,(Input!O$54-150)/30*O366))))))</f>
        <v>0</v>
      </c>
      <c r="P1008" s="229">
        <f>IF(P$338&gt;$D$33,0,IF(Input!P$54&lt;31,Input!P$54/30*P366,IF(Input!P$54&lt;61,(Input!P$54-30)/30*P366,IF(Input!P$54&lt;91,(Input!P$54-60)/30*P366,IF(Input!P$54&lt;121,(Input!P$54-90)/30*P366,IF(Input!P$54&lt;151,(Input!P$54-120)/30*P366,(Input!P$54-150)/30*P366))))))</f>
        <v>0</v>
      </c>
      <c r="Q1008" s="229">
        <f>IF(Q$338&gt;$D$33,0,IF(Input!Q$54&lt;31,Input!Q$54/30*Q366,IF(Input!Q$54&lt;61,(Input!Q$54-30)/30*Q366,IF(Input!Q$54&lt;91,(Input!Q$54-60)/30*Q366,IF(Input!Q$54&lt;121,(Input!Q$54-90)/30*Q366,IF(Input!Q$54&lt;151,(Input!Q$54-120)/30*Q366,(Input!Q$54-150)/30*Q366))))))</f>
        <v>0</v>
      </c>
      <c r="R1008" s="229">
        <f>IF(R$338&gt;$D$33,0,IF(Input!R$54&lt;31,Input!R$54/30*R366,IF(Input!R$54&lt;61,(Input!R$54-30)/30*R366,IF(Input!R$54&lt;91,(Input!R$54-60)/30*R366,IF(Input!R$54&lt;121,(Input!R$54-90)/30*R366,IF(Input!R$54&lt;151,(Input!R$54-120)/30*R366,(Input!R$54-150)/30*R366))))))</f>
        <v>0</v>
      </c>
      <c r="S1008" s="229">
        <f>IF(S$338&gt;$D$33,0,IF(Input!S$54&lt;31,Input!S$54/30*S366,IF(Input!S$54&lt;61,(Input!S$54-30)/30*S366,IF(Input!S$54&lt;91,(Input!S$54-60)/30*S366,IF(Input!S$54&lt;121,(Input!S$54-90)/30*S366,IF(Input!S$54&lt;151,(Input!S$54-120)/30*S366,(Input!S$54-150)/30*S366))))))</f>
        <v>0</v>
      </c>
      <c r="T1008" s="229">
        <f>IF(T$338&gt;$D$33,0,IF(Input!T$54&lt;31,Input!T$54/30*T366,IF(Input!T$54&lt;61,(Input!T$54-30)/30*T366,IF(Input!T$54&lt;91,(Input!T$54-60)/30*T366,IF(Input!T$54&lt;121,(Input!T$54-90)/30*T366,IF(Input!T$54&lt;151,(Input!T$54-120)/30*T366,(Input!T$54-150)/30*T366))))))</f>
        <v>0</v>
      </c>
      <c r="U1008" s="229">
        <f>IF(U$338&gt;$D$33,0,IF(Input!U$54&lt;31,Input!U$54/30*U366,IF(Input!U$54&lt;61,(Input!U$54-30)/30*U366,IF(Input!U$54&lt;91,(Input!U$54-60)/30*U366,IF(Input!U$54&lt;121,(Input!U$54-90)/30*U366,IF(Input!U$54&lt;151,(Input!U$54-120)/30*U366,(Input!U$54-150)/30*U366))))))</f>
        <v>0</v>
      </c>
      <c r="V1008" s="229">
        <f>IF(V$338&gt;$D$33,0,IF(Input!V$54&lt;31,Input!V$54/30*V366,IF(Input!V$54&lt;61,(Input!V$54-30)/30*V366,IF(Input!V$54&lt;91,(Input!V$54-60)/30*V366,IF(Input!V$54&lt;121,(Input!V$54-90)/30*V366,IF(Input!V$54&lt;151,(Input!V$54-120)/30*V366,(Input!V$54-150)/30*V366))))))</f>
        <v>0</v>
      </c>
      <c r="W1008" s="229">
        <f>IF(W$338&gt;$D$33,0,IF(Input!W$54&lt;31,Input!W$54/30*W366,IF(Input!W$54&lt;61,(Input!W$54-30)/30*W366,IF(Input!W$54&lt;91,(Input!W$54-60)/30*W366,IF(Input!W$54&lt;121,(Input!W$54-90)/30*W366,IF(Input!W$54&lt;151,(Input!W$54-120)/30*W366,(Input!W$54-150)/30*W366))))))</f>
        <v>0</v>
      </c>
      <c r="X1008" s="229">
        <f>IF(X$338&gt;$D$33,0,IF(Input!X$54&lt;31,Input!X$54/30*X366,IF(Input!X$54&lt;61,(Input!X$54-30)/30*X366,IF(Input!X$54&lt;91,(Input!X$54-60)/30*X366,IF(Input!X$54&lt;121,(Input!X$54-90)/30*X366,IF(Input!X$54&lt;151,(Input!X$54-120)/30*X366,(Input!X$54-150)/30*X366))))))</f>
        <v>0</v>
      </c>
      <c r="Y1008" s="229">
        <f>IF(Y$338&gt;$D$33,0,IF(Input!Y$54&lt;31,Input!Y$54/30*Y366,IF(Input!Y$54&lt;61,(Input!Y$54-30)/30*Y366,IF(Input!Y$54&lt;91,(Input!Y$54-60)/30*Y366,IF(Input!Y$54&lt;121,(Input!Y$54-90)/30*Y366,IF(Input!Y$54&lt;151,(Input!Y$54-120)/30*Y366,(Input!Y$54-150)/30*Y366))))))</f>
        <v>0</v>
      </c>
      <c r="Z1008" s="229">
        <f>IF(Z$338&gt;$D$33,0,IF(Input!Z$54&lt;31,Input!Z$54/30*Z366,IF(Input!Z$54&lt;61,(Input!Z$54-30)/30*Z366,IF(Input!Z$54&lt;91,(Input!Z$54-60)/30*Z366,IF(Input!Z$54&lt;121,(Input!Z$54-90)/30*Z366,IF(Input!Z$54&lt;151,(Input!Z$54-120)/30*Z366,(Input!Z$54-150)/30*Z366))))))</f>
        <v>0</v>
      </c>
      <c r="AA1008" s="229">
        <f>IF(AA$338&gt;$D$33,0,IF(Input!AA$54&lt;31,Input!AA$54/30*AA366,IF(Input!AA$54&lt;61,(Input!AA$54-30)/30*AA366,IF(Input!AA$54&lt;91,(Input!AA$54-60)/30*AA366,IF(Input!AA$54&lt;121,(Input!AA$54-90)/30*AA366,IF(Input!AA$54&lt;151,(Input!AA$54-120)/30*AA366,(Input!AA$54-150)/30*AA366))))))</f>
        <v>0</v>
      </c>
      <c r="AB1008" s="229">
        <f>IF(AB$338&gt;$D$33,0,IF(Input!AB$54&lt;31,Input!AB$54/30*AB366,IF(Input!AB$54&lt;61,(Input!AB$54-30)/30*AB366,IF(Input!AB$54&lt;91,(Input!AB$54-60)/30*AB366,IF(Input!AB$54&lt;121,(Input!AB$54-90)/30*AB366,IF(Input!AB$54&lt;151,(Input!AB$54-120)/30*AB366,(Input!AB$54-150)/30*AB366))))))</f>
        <v>0</v>
      </c>
      <c r="CH1008" s="269"/>
      <c r="CI1008" s="269"/>
      <c r="CJ1008" s="269"/>
      <c r="CK1008" s="269"/>
      <c r="CL1008" s="269"/>
      <c r="CM1008" s="269"/>
      <c r="CN1008" s="269"/>
      <c r="CO1008" s="269"/>
      <c r="CP1008" s="269"/>
      <c r="CQ1008" s="269"/>
      <c r="CR1008" s="269"/>
      <c r="CS1008" s="269"/>
    </row>
    <row r="1009" spans="3:97" x14ac:dyDescent="0.3">
      <c r="C1009" s="495">
        <f>C946</f>
        <v>851</v>
      </c>
      <c r="D1009" s="229">
        <f>IF(D$338&gt;$D$33,0,IF(Input!D$54&lt;31,Input!D$54/30*D367,IF(Input!D$54&lt;61,(Input!D$54-30)/30*D367,IF(Input!D$54&lt;91,(Input!D$54-60)/30*D367,IF(Input!D$54&lt;121,(Input!D$54-90)/30*D367,IF(Input!D$54&lt;151,(Input!D$54-120)/30*D367,(Input!D$54-150)/30*D367))))))</f>
        <v>0</v>
      </c>
      <c r="E1009" s="229">
        <f>IF(E$338&gt;$D$33,0,IF(Input!E$54&lt;31,Input!E$54/30*E367,IF(Input!E$54&lt;61,(Input!E$54-30)/30*E367,IF(Input!E$54&lt;91,(Input!E$54-60)/30*E367,IF(Input!E$54&lt;121,(Input!E$54-90)/30*E367,IF(Input!E$54&lt;151,(Input!E$54-120)/30*E367,(Input!E$54-150)/30*E367))))))</f>
        <v>0</v>
      </c>
      <c r="F1009" s="229">
        <f>IF(F$338&gt;$D$33,0,IF(Input!F$54&lt;31,Input!F$54/30*F367,IF(Input!F$54&lt;61,(Input!F$54-30)/30*F367,IF(Input!F$54&lt;91,(Input!F$54-60)/30*F367,IF(Input!F$54&lt;121,(Input!F$54-90)/30*F367,IF(Input!F$54&lt;151,(Input!F$54-120)/30*F367,(Input!F$54-150)/30*F367))))))</f>
        <v>0</v>
      </c>
      <c r="G1009" s="229">
        <f>IF(G$338&gt;$D$33,0,IF(Input!G$54&lt;31,Input!G$54/30*G367,IF(Input!G$54&lt;61,(Input!G$54-30)/30*G367,IF(Input!G$54&lt;91,(Input!G$54-60)/30*G367,IF(Input!G$54&lt;121,(Input!G$54-90)/30*G367,IF(Input!G$54&lt;151,(Input!G$54-120)/30*G367,(Input!G$54-150)/30*G367))))))</f>
        <v>0</v>
      </c>
      <c r="H1009" s="229">
        <f>IF(H$338&gt;$D$33,0,IF(Input!H$54&lt;31,Input!H$54/30*H367,IF(Input!H$54&lt;61,(Input!H$54-30)/30*H367,IF(Input!H$54&lt;91,(Input!H$54-60)/30*H367,IF(Input!H$54&lt;121,(Input!H$54-90)/30*H367,IF(Input!H$54&lt;151,(Input!H$54-120)/30*H367,(Input!H$54-150)/30*H367))))))</f>
        <v>0</v>
      </c>
      <c r="I1009" s="229">
        <f>IF(I$338&gt;$D$33,0,IF(Input!I$54&lt;31,Input!I$54/30*I367,IF(Input!I$54&lt;61,(Input!I$54-30)/30*I367,IF(Input!I$54&lt;91,(Input!I$54-60)/30*I367,IF(Input!I$54&lt;121,(Input!I$54-90)/30*I367,IF(Input!I$54&lt;151,(Input!I$54-120)/30*I367,(Input!I$54-150)/30*I367))))))</f>
        <v>0</v>
      </c>
      <c r="J1009" s="229">
        <f>IF(J$338&gt;$D$33,0,IF(Input!J$54&lt;31,Input!J$54/30*J367,IF(Input!J$54&lt;61,(Input!J$54-30)/30*J367,IF(Input!J$54&lt;91,(Input!J$54-60)/30*J367,IF(Input!J$54&lt;121,(Input!J$54-90)/30*J367,IF(Input!J$54&lt;151,(Input!J$54-120)/30*J367,(Input!J$54-150)/30*J367))))))</f>
        <v>0</v>
      </c>
      <c r="K1009" s="229">
        <f>IF(K$338&gt;$D$33,0,IF(Input!K$54&lt;31,Input!K$54/30*K367,IF(Input!K$54&lt;61,(Input!K$54-30)/30*K367,IF(Input!K$54&lt;91,(Input!K$54-60)/30*K367,IF(Input!K$54&lt;121,(Input!K$54-90)/30*K367,IF(Input!K$54&lt;151,(Input!K$54-120)/30*K367,(Input!K$54-150)/30*K367))))))</f>
        <v>0</v>
      </c>
      <c r="L1009" s="229">
        <f>IF(L$338&gt;$D$33,0,IF(Input!L$54&lt;31,Input!L$54/30*L367,IF(Input!L$54&lt;61,(Input!L$54-30)/30*L367,IF(Input!L$54&lt;91,(Input!L$54-60)/30*L367,IF(Input!L$54&lt;121,(Input!L$54-90)/30*L367,IF(Input!L$54&lt;151,(Input!L$54-120)/30*L367,(Input!L$54-150)/30*L367))))))</f>
        <v>0</v>
      </c>
      <c r="M1009" s="229">
        <f>IF(M$338&gt;$D$33,0,IF(Input!M$54&lt;31,Input!M$54/30*M367,IF(Input!M$54&lt;61,(Input!M$54-30)/30*M367,IF(Input!M$54&lt;91,(Input!M$54-60)/30*M367,IF(Input!M$54&lt;121,(Input!M$54-90)/30*M367,IF(Input!M$54&lt;151,(Input!M$54-120)/30*M367,(Input!M$54-150)/30*M367))))))</f>
        <v>0</v>
      </c>
      <c r="N1009" s="229">
        <f>IF(N$338&gt;$D$33,0,IF(Input!N$54&lt;31,Input!N$54/30*N367,IF(Input!N$54&lt;61,(Input!N$54-30)/30*N367,IF(Input!N$54&lt;91,(Input!N$54-60)/30*N367,IF(Input!N$54&lt;121,(Input!N$54-90)/30*N367,IF(Input!N$54&lt;151,(Input!N$54-120)/30*N367,(Input!N$54-150)/30*N367))))))</f>
        <v>0</v>
      </c>
      <c r="O1009" s="229">
        <f>IF(O$338&gt;$D$33,0,IF(Input!O$54&lt;31,Input!O$54/30*O367,IF(Input!O$54&lt;61,(Input!O$54-30)/30*O367,IF(Input!O$54&lt;91,(Input!O$54-60)/30*O367,IF(Input!O$54&lt;121,(Input!O$54-90)/30*O367,IF(Input!O$54&lt;151,(Input!O$54-120)/30*O367,(Input!O$54-150)/30*O367))))))</f>
        <v>0</v>
      </c>
      <c r="P1009" s="229">
        <f>IF(P$338&gt;$D$33,0,IF(Input!P$54&lt;31,Input!P$54/30*P367,IF(Input!P$54&lt;61,(Input!P$54-30)/30*P367,IF(Input!P$54&lt;91,(Input!P$54-60)/30*P367,IF(Input!P$54&lt;121,(Input!P$54-90)/30*P367,IF(Input!P$54&lt;151,(Input!P$54-120)/30*P367,(Input!P$54-150)/30*P367))))))</f>
        <v>0</v>
      </c>
      <c r="Q1009" s="229">
        <f>IF(Q$338&gt;$D$33,0,IF(Input!Q$54&lt;31,Input!Q$54/30*Q367,IF(Input!Q$54&lt;61,(Input!Q$54-30)/30*Q367,IF(Input!Q$54&lt;91,(Input!Q$54-60)/30*Q367,IF(Input!Q$54&lt;121,(Input!Q$54-90)/30*Q367,IF(Input!Q$54&lt;151,(Input!Q$54-120)/30*Q367,(Input!Q$54-150)/30*Q367))))))</f>
        <v>0</v>
      </c>
      <c r="R1009" s="229">
        <f>IF(R$338&gt;$D$33,0,IF(Input!R$54&lt;31,Input!R$54/30*R367,IF(Input!R$54&lt;61,(Input!R$54-30)/30*R367,IF(Input!R$54&lt;91,(Input!R$54-60)/30*R367,IF(Input!R$54&lt;121,(Input!R$54-90)/30*R367,IF(Input!R$54&lt;151,(Input!R$54-120)/30*R367,(Input!R$54-150)/30*R367))))))</f>
        <v>0</v>
      </c>
      <c r="S1009" s="229">
        <f>IF(S$338&gt;$D$33,0,IF(Input!S$54&lt;31,Input!S$54/30*S367,IF(Input!S$54&lt;61,(Input!S$54-30)/30*S367,IF(Input!S$54&lt;91,(Input!S$54-60)/30*S367,IF(Input!S$54&lt;121,(Input!S$54-90)/30*S367,IF(Input!S$54&lt;151,(Input!S$54-120)/30*S367,(Input!S$54-150)/30*S367))))))</f>
        <v>0</v>
      </c>
      <c r="T1009" s="229">
        <f>IF(T$338&gt;$D$33,0,IF(Input!T$54&lt;31,Input!T$54/30*T367,IF(Input!T$54&lt;61,(Input!T$54-30)/30*T367,IF(Input!T$54&lt;91,(Input!T$54-60)/30*T367,IF(Input!T$54&lt;121,(Input!T$54-90)/30*T367,IF(Input!T$54&lt;151,(Input!T$54-120)/30*T367,(Input!T$54-150)/30*T367))))))</f>
        <v>0</v>
      </c>
      <c r="U1009" s="229">
        <f>IF(U$338&gt;$D$33,0,IF(Input!U$54&lt;31,Input!U$54/30*U367,IF(Input!U$54&lt;61,(Input!U$54-30)/30*U367,IF(Input!U$54&lt;91,(Input!U$54-60)/30*U367,IF(Input!U$54&lt;121,(Input!U$54-90)/30*U367,IF(Input!U$54&lt;151,(Input!U$54-120)/30*U367,(Input!U$54-150)/30*U367))))))</f>
        <v>0</v>
      </c>
      <c r="V1009" s="229">
        <f>IF(V$338&gt;$D$33,0,IF(Input!V$54&lt;31,Input!V$54/30*V367,IF(Input!V$54&lt;61,(Input!V$54-30)/30*V367,IF(Input!V$54&lt;91,(Input!V$54-60)/30*V367,IF(Input!V$54&lt;121,(Input!V$54-90)/30*V367,IF(Input!V$54&lt;151,(Input!V$54-120)/30*V367,(Input!V$54-150)/30*V367))))))</f>
        <v>0</v>
      </c>
      <c r="W1009" s="229">
        <f>IF(W$338&gt;$D$33,0,IF(Input!W$54&lt;31,Input!W$54/30*W367,IF(Input!W$54&lt;61,(Input!W$54-30)/30*W367,IF(Input!W$54&lt;91,(Input!W$54-60)/30*W367,IF(Input!W$54&lt;121,(Input!W$54-90)/30*W367,IF(Input!W$54&lt;151,(Input!W$54-120)/30*W367,(Input!W$54-150)/30*W367))))))</f>
        <v>0</v>
      </c>
      <c r="X1009" s="229">
        <f>IF(X$338&gt;$D$33,0,IF(Input!X$54&lt;31,Input!X$54/30*X367,IF(Input!X$54&lt;61,(Input!X$54-30)/30*X367,IF(Input!X$54&lt;91,(Input!X$54-60)/30*X367,IF(Input!X$54&lt;121,(Input!X$54-90)/30*X367,IF(Input!X$54&lt;151,(Input!X$54-120)/30*X367,(Input!X$54-150)/30*X367))))))</f>
        <v>0</v>
      </c>
      <c r="Y1009" s="229">
        <f>IF(Y$338&gt;$D$33,0,IF(Input!Y$54&lt;31,Input!Y$54/30*Y367,IF(Input!Y$54&lt;61,(Input!Y$54-30)/30*Y367,IF(Input!Y$54&lt;91,(Input!Y$54-60)/30*Y367,IF(Input!Y$54&lt;121,(Input!Y$54-90)/30*Y367,IF(Input!Y$54&lt;151,(Input!Y$54-120)/30*Y367,(Input!Y$54-150)/30*Y367))))))</f>
        <v>0</v>
      </c>
      <c r="Z1009" s="229">
        <f>IF(Z$338&gt;$D$33,0,IF(Input!Z$54&lt;31,Input!Z$54/30*Z367,IF(Input!Z$54&lt;61,(Input!Z$54-30)/30*Z367,IF(Input!Z$54&lt;91,(Input!Z$54-60)/30*Z367,IF(Input!Z$54&lt;121,(Input!Z$54-90)/30*Z367,IF(Input!Z$54&lt;151,(Input!Z$54-120)/30*Z367,(Input!Z$54-150)/30*Z367))))))</f>
        <v>0</v>
      </c>
      <c r="AA1009" s="229">
        <f>IF(AA$338&gt;$D$33,0,IF(Input!AA$54&lt;31,Input!AA$54/30*AA367,IF(Input!AA$54&lt;61,(Input!AA$54-30)/30*AA367,IF(Input!AA$54&lt;91,(Input!AA$54-60)/30*AA367,IF(Input!AA$54&lt;121,(Input!AA$54-90)/30*AA367,IF(Input!AA$54&lt;151,(Input!AA$54-120)/30*AA367,(Input!AA$54-150)/30*AA367))))))</f>
        <v>0</v>
      </c>
      <c r="AB1009" s="229">
        <f>IF(AB$338&gt;$D$33,0,IF(Input!AB$54&lt;31,Input!AB$54/30*AB367,IF(Input!AB$54&lt;61,(Input!AB$54-30)/30*AB367,IF(Input!AB$54&lt;91,(Input!AB$54-60)/30*AB367,IF(Input!AB$54&lt;121,(Input!AB$54-90)/30*AB367,IF(Input!AB$54&lt;151,(Input!AB$54-120)/30*AB367,(Input!AB$54-150)/30*AB367))))))</f>
        <v>0</v>
      </c>
      <c r="CH1009" s="269"/>
      <c r="CI1009" s="269"/>
      <c r="CJ1009" s="269"/>
      <c r="CK1009" s="269"/>
      <c r="CL1009" s="269"/>
      <c r="CM1009" s="269"/>
      <c r="CN1009" s="269"/>
      <c r="CO1009" s="269"/>
      <c r="CP1009" s="269"/>
      <c r="CQ1009" s="269"/>
      <c r="CR1009" s="269"/>
      <c r="CS1009" s="269"/>
    </row>
    <row r="1010" spans="3:97" x14ac:dyDescent="0.3">
      <c r="C1010" s="495">
        <f>C947</f>
        <v>882</v>
      </c>
      <c r="D1010" s="229">
        <f>IF(D$338&gt;$D$33,0,IF(Input!D$54&lt;31,Input!D$54/30*D368,IF(Input!D$54&lt;61,(Input!D$54-30)/30*D368,IF(Input!D$54&lt;91,(Input!D$54-60)/30*D368,IF(Input!D$54&lt;121,(Input!D$54-90)/30*D368,IF(Input!D$54&lt;151,(Input!D$54-120)/30*D368,(Input!D$54-150)/30*D368))))))</f>
        <v>0</v>
      </c>
      <c r="E1010" s="229">
        <f>IF(E$338&gt;$D$33,0,IF(Input!E$54&lt;31,Input!E$54/30*E368,IF(Input!E$54&lt;61,(Input!E$54-30)/30*E368,IF(Input!E$54&lt;91,(Input!E$54-60)/30*E368,IF(Input!E$54&lt;121,(Input!E$54-90)/30*E368,IF(Input!E$54&lt;151,(Input!E$54-120)/30*E368,(Input!E$54-150)/30*E368))))))</f>
        <v>0</v>
      </c>
      <c r="F1010" s="229">
        <f>IF(F$338&gt;$D$33,0,IF(Input!F$54&lt;31,Input!F$54/30*F368,IF(Input!F$54&lt;61,(Input!F$54-30)/30*F368,IF(Input!F$54&lt;91,(Input!F$54-60)/30*F368,IF(Input!F$54&lt;121,(Input!F$54-90)/30*F368,IF(Input!F$54&lt;151,(Input!F$54-120)/30*F368,(Input!F$54-150)/30*F368))))))</f>
        <v>0</v>
      </c>
      <c r="G1010" s="229">
        <f>IF(G$338&gt;$D$33,0,IF(Input!G$54&lt;31,Input!G$54/30*G368,IF(Input!G$54&lt;61,(Input!G$54-30)/30*G368,IF(Input!G$54&lt;91,(Input!G$54-60)/30*G368,IF(Input!G$54&lt;121,(Input!G$54-90)/30*G368,IF(Input!G$54&lt;151,(Input!G$54-120)/30*G368,(Input!G$54-150)/30*G368))))))</f>
        <v>0</v>
      </c>
      <c r="H1010" s="229">
        <f>IF(H$338&gt;$D$33,0,IF(Input!H$54&lt;31,Input!H$54/30*H368,IF(Input!H$54&lt;61,(Input!H$54-30)/30*H368,IF(Input!H$54&lt;91,(Input!H$54-60)/30*H368,IF(Input!H$54&lt;121,(Input!H$54-90)/30*H368,IF(Input!H$54&lt;151,(Input!H$54-120)/30*H368,(Input!H$54-150)/30*H368))))))</f>
        <v>0</v>
      </c>
      <c r="I1010" s="229">
        <f>IF(I$338&gt;$D$33,0,IF(Input!I$54&lt;31,Input!I$54/30*I368,IF(Input!I$54&lt;61,(Input!I$54-30)/30*I368,IF(Input!I$54&lt;91,(Input!I$54-60)/30*I368,IF(Input!I$54&lt;121,(Input!I$54-90)/30*I368,IF(Input!I$54&lt;151,(Input!I$54-120)/30*I368,(Input!I$54-150)/30*I368))))))</f>
        <v>0</v>
      </c>
      <c r="J1010" s="229">
        <f>IF(J$338&gt;$D$33,0,IF(Input!J$54&lt;31,Input!J$54/30*J368,IF(Input!J$54&lt;61,(Input!J$54-30)/30*J368,IF(Input!J$54&lt;91,(Input!J$54-60)/30*J368,IF(Input!J$54&lt;121,(Input!J$54-90)/30*J368,IF(Input!J$54&lt;151,(Input!J$54-120)/30*J368,(Input!J$54-150)/30*J368))))))</f>
        <v>0</v>
      </c>
      <c r="K1010" s="229">
        <f>IF(K$338&gt;$D$33,0,IF(Input!K$54&lt;31,Input!K$54/30*K368,IF(Input!K$54&lt;61,(Input!K$54-30)/30*K368,IF(Input!K$54&lt;91,(Input!K$54-60)/30*K368,IF(Input!K$54&lt;121,(Input!K$54-90)/30*K368,IF(Input!K$54&lt;151,(Input!K$54-120)/30*K368,(Input!K$54-150)/30*K368))))))</f>
        <v>0</v>
      </c>
      <c r="L1010" s="229">
        <f>IF(L$338&gt;$D$33,0,IF(Input!L$54&lt;31,Input!L$54/30*L368,IF(Input!L$54&lt;61,(Input!L$54-30)/30*L368,IF(Input!L$54&lt;91,(Input!L$54-60)/30*L368,IF(Input!L$54&lt;121,(Input!L$54-90)/30*L368,IF(Input!L$54&lt;151,(Input!L$54-120)/30*L368,(Input!L$54-150)/30*L368))))))</f>
        <v>0</v>
      </c>
      <c r="M1010" s="229">
        <f>IF(M$338&gt;$D$33,0,IF(Input!M$54&lt;31,Input!M$54/30*M368,IF(Input!M$54&lt;61,(Input!M$54-30)/30*M368,IF(Input!M$54&lt;91,(Input!M$54-60)/30*M368,IF(Input!M$54&lt;121,(Input!M$54-90)/30*M368,IF(Input!M$54&lt;151,(Input!M$54-120)/30*M368,(Input!M$54-150)/30*M368))))))</f>
        <v>0</v>
      </c>
      <c r="N1010" s="229">
        <f>IF(N$338&gt;$D$33,0,IF(Input!N$54&lt;31,Input!N$54/30*N368,IF(Input!N$54&lt;61,(Input!N$54-30)/30*N368,IF(Input!N$54&lt;91,(Input!N$54-60)/30*N368,IF(Input!N$54&lt;121,(Input!N$54-90)/30*N368,IF(Input!N$54&lt;151,(Input!N$54-120)/30*N368,(Input!N$54-150)/30*N368))))))</f>
        <v>0</v>
      </c>
      <c r="O1010" s="229">
        <f>IF(O$338&gt;$D$33,0,IF(Input!O$54&lt;31,Input!O$54/30*O368,IF(Input!O$54&lt;61,(Input!O$54-30)/30*O368,IF(Input!O$54&lt;91,(Input!O$54-60)/30*O368,IF(Input!O$54&lt;121,(Input!O$54-90)/30*O368,IF(Input!O$54&lt;151,(Input!O$54-120)/30*O368,(Input!O$54-150)/30*O368))))))</f>
        <v>0</v>
      </c>
      <c r="P1010" s="229">
        <f>IF(P$338&gt;$D$33,0,IF(Input!P$54&lt;31,Input!P$54/30*P368,IF(Input!P$54&lt;61,(Input!P$54-30)/30*P368,IF(Input!P$54&lt;91,(Input!P$54-60)/30*P368,IF(Input!P$54&lt;121,(Input!P$54-90)/30*P368,IF(Input!P$54&lt;151,(Input!P$54-120)/30*P368,(Input!P$54-150)/30*P368))))))</f>
        <v>0</v>
      </c>
      <c r="Q1010" s="229">
        <f>IF(Q$338&gt;$D$33,0,IF(Input!Q$54&lt;31,Input!Q$54/30*Q368,IF(Input!Q$54&lt;61,(Input!Q$54-30)/30*Q368,IF(Input!Q$54&lt;91,(Input!Q$54-60)/30*Q368,IF(Input!Q$54&lt;121,(Input!Q$54-90)/30*Q368,IF(Input!Q$54&lt;151,(Input!Q$54-120)/30*Q368,(Input!Q$54-150)/30*Q368))))))</f>
        <v>0</v>
      </c>
      <c r="R1010" s="229">
        <f>IF(R$338&gt;$D$33,0,IF(Input!R$54&lt;31,Input!R$54/30*R368,IF(Input!R$54&lt;61,(Input!R$54-30)/30*R368,IF(Input!R$54&lt;91,(Input!R$54-60)/30*R368,IF(Input!R$54&lt;121,(Input!R$54-90)/30*R368,IF(Input!R$54&lt;151,(Input!R$54-120)/30*R368,(Input!R$54-150)/30*R368))))))</f>
        <v>0</v>
      </c>
      <c r="S1010" s="229">
        <f>IF(S$338&gt;$D$33,0,IF(Input!S$54&lt;31,Input!S$54/30*S368,IF(Input!S$54&lt;61,(Input!S$54-30)/30*S368,IF(Input!S$54&lt;91,(Input!S$54-60)/30*S368,IF(Input!S$54&lt;121,(Input!S$54-90)/30*S368,IF(Input!S$54&lt;151,(Input!S$54-120)/30*S368,(Input!S$54-150)/30*S368))))))</f>
        <v>0</v>
      </c>
      <c r="T1010" s="229">
        <f>IF(T$338&gt;$D$33,0,IF(Input!T$54&lt;31,Input!T$54/30*T368,IF(Input!T$54&lt;61,(Input!T$54-30)/30*T368,IF(Input!T$54&lt;91,(Input!T$54-60)/30*T368,IF(Input!T$54&lt;121,(Input!T$54-90)/30*T368,IF(Input!T$54&lt;151,(Input!T$54-120)/30*T368,(Input!T$54-150)/30*T368))))))</f>
        <v>0</v>
      </c>
      <c r="U1010" s="229">
        <f>IF(U$338&gt;$D$33,0,IF(Input!U$54&lt;31,Input!U$54/30*U368,IF(Input!U$54&lt;61,(Input!U$54-30)/30*U368,IF(Input!U$54&lt;91,(Input!U$54-60)/30*U368,IF(Input!U$54&lt;121,(Input!U$54-90)/30*U368,IF(Input!U$54&lt;151,(Input!U$54-120)/30*U368,(Input!U$54-150)/30*U368))))))</f>
        <v>0</v>
      </c>
      <c r="V1010" s="229">
        <f>IF(V$338&gt;$D$33,0,IF(Input!V$54&lt;31,Input!V$54/30*V368,IF(Input!V$54&lt;61,(Input!V$54-30)/30*V368,IF(Input!V$54&lt;91,(Input!V$54-60)/30*V368,IF(Input!V$54&lt;121,(Input!V$54-90)/30*V368,IF(Input!V$54&lt;151,(Input!V$54-120)/30*V368,(Input!V$54-150)/30*V368))))))</f>
        <v>0</v>
      </c>
      <c r="W1010" s="229">
        <f>IF(W$338&gt;$D$33,0,IF(Input!W$54&lt;31,Input!W$54/30*W368,IF(Input!W$54&lt;61,(Input!W$54-30)/30*W368,IF(Input!W$54&lt;91,(Input!W$54-60)/30*W368,IF(Input!W$54&lt;121,(Input!W$54-90)/30*W368,IF(Input!W$54&lt;151,(Input!W$54-120)/30*W368,(Input!W$54-150)/30*W368))))))</f>
        <v>0</v>
      </c>
      <c r="X1010" s="229">
        <f>IF(X$338&gt;$D$33,0,IF(Input!X$54&lt;31,Input!X$54/30*X368,IF(Input!X$54&lt;61,(Input!X$54-30)/30*X368,IF(Input!X$54&lt;91,(Input!X$54-60)/30*X368,IF(Input!X$54&lt;121,(Input!X$54-90)/30*X368,IF(Input!X$54&lt;151,(Input!X$54-120)/30*X368,(Input!X$54-150)/30*X368))))))</f>
        <v>0</v>
      </c>
      <c r="Y1010" s="229">
        <f>IF(Y$338&gt;$D$33,0,IF(Input!Y$54&lt;31,Input!Y$54/30*Y368,IF(Input!Y$54&lt;61,(Input!Y$54-30)/30*Y368,IF(Input!Y$54&lt;91,(Input!Y$54-60)/30*Y368,IF(Input!Y$54&lt;121,(Input!Y$54-90)/30*Y368,IF(Input!Y$54&lt;151,(Input!Y$54-120)/30*Y368,(Input!Y$54-150)/30*Y368))))))</f>
        <v>0</v>
      </c>
      <c r="Z1010" s="229">
        <f>IF(Z$338&gt;$D$33,0,IF(Input!Z$54&lt;31,Input!Z$54/30*Z368,IF(Input!Z$54&lt;61,(Input!Z$54-30)/30*Z368,IF(Input!Z$54&lt;91,(Input!Z$54-60)/30*Z368,IF(Input!Z$54&lt;121,(Input!Z$54-90)/30*Z368,IF(Input!Z$54&lt;151,(Input!Z$54-120)/30*Z368,(Input!Z$54-150)/30*Z368))))))</f>
        <v>0</v>
      </c>
      <c r="AA1010" s="229">
        <f>IF(AA$338&gt;$D$33,0,IF(Input!AA$54&lt;31,Input!AA$54/30*AA368,IF(Input!AA$54&lt;61,(Input!AA$54-30)/30*AA368,IF(Input!AA$54&lt;91,(Input!AA$54-60)/30*AA368,IF(Input!AA$54&lt;121,(Input!AA$54-90)/30*AA368,IF(Input!AA$54&lt;151,(Input!AA$54-120)/30*AA368,(Input!AA$54-150)/30*AA368))))))</f>
        <v>0</v>
      </c>
      <c r="AB1010" s="229">
        <f>IF(AB$338&gt;$D$33,0,IF(Input!AB$54&lt;31,Input!AB$54/30*AB368,IF(Input!AB$54&lt;61,(Input!AB$54-30)/30*AB368,IF(Input!AB$54&lt;91,(Input!AB$54-60)/30*AB368,IF(Input!AB$54&lt;121,(Input!AB$54-90)/30*AB368,IF(Input!AB$54&lt;151,(Input!AB$54-120)/30*AB368,(Input!AB$54-150)/30*AB368))))))</f>
        <v>0</v>
      </c>
      <c r="CH1010" s="269"/>
      <c r="CI1010" s="269"/>
      <c r="CJ1010" s="269"/>
      <c r="CK1010" s="269"/>
      <c r="CL1010" s="269"/>
      <c r="CM1010" s="269"/>
      <c r="CN1010" s="269"/>
      <c r="CO1010" s="269"/>
      <c r="CP1010" s="269"/>
      <c r="CQ1010" s="269"/>
      <c r="CR1010" s="269"/>
      <c r="CS1010" s="269"/>
    </row>
    <row r="1011" spans="3:97" x14ac:dyDescent="0.3">
      <c r="C1011" s="495">
        <f>C948</f>
        <v>912</v>
      </c>
      <c r="D1011" s="229">
        <f>IF(D$338&gt;$D$33,0,IF(Input!D$54&lt;31,Input!D$54/30*D369,IF(Input!D$54&lt;61,(Input!D$54-30)/30*D369,IF(Input!D$54&lt;91,(Input!D$54-60)/30*D369,IF(Input!D$54&lt;121,(Input!D$54-90)/30*D369,IF(Input!D$54&lt;151,(Input!D$54-120)/30*D369,(Input!D$54-150)/30*D369))))))</f>
        <v>0</v>
      </c>
      <c r="E1011" s="229">
        <f>IF(E$338&gt;$D$33,0,IF(Input!E$54&lt;31,Input!E$54/30*E369,IF(Input!E$54&lt;61,(Input!E$54-30)/30*E369,IF(Input!E$54&lt;91,(Input!E$54-60)/30*E369,IF(Input!E$54&lt;121,(Input!E$54-90)/30*E369,IF(Input!E$54&lt;151,(Input!E$54-120)/30*E369,(Input!E$54-150)/30*E369))))))</f>
        <v>0</v>
      </c>
      <c r="F1011" s="229">
        <f>IF(F$338&gt;$D$33,0,IF(Input!F$54&lt;31,Input!F$54/30*F369,IF(Input!F$54&lt;61,(Input!F$54-30)/30*F369,IF(Input!F$54&lt;91,(Input!F$54-60)/30*F369,IF(Input!F$54&lt;121,(Input!F$54-90)/30*F369,IF(Input!F$54&lt;151,(Input!F$54-120)/30*F369,(Input!F$54-150)/30*F369))))))</f>
        <v>0</v>
      </c>
      <c r="G1011" s="229">
        <f>IF(G$338&gt;$D$33,0,IF(Input!G$54&lt;31,Input!G$54/30*G369,IF(Input!G$54&lt;61,(Input!G$54-30)/30*G369,IF(Input!G$54&lt;91,(Input!G$54-60)/30*G369,IF(Input!G$54&lt;121,(Input!G$54-90)/30*G369,IF(Input!G$54&lt;151,(Input!G$54-120)/30*G369,(Input!G$54-150)/30*G369))))))</f>
        <v>0</v>
      </c>
      <c r="H1011" s="229">
        <f>IF(H$338&gt;$D$33,0,IF(Input!H$54&lt;31,Input!H$54/30*H369,IF(Input!H$54&lt;61,(Input!H$54-30)/30*H369,IF(Input!H$54&lt;91,(Input!H$54-60)/30*H369,IF(Input!H$54&lt;121,(Input!H$54-90)/30*H369,IF(Input!H$54&lt;151,(Input!H$54-120)/30*H369,(Input!H$54-150)/30*H369))))))</f>
        <v>0</v>
      </c>
      <c r="I1011" s="229">
        <f>IF(I$338&gt;$D$33,0,IF(Input!I$54&lt;31,Input!I$54/30*I369,IF(Input!I$54&lt;61,(Input!I$54-30)/30*I369,IF(Input!I$54&lt;91,(Input!I$54-60)/30*I369,IF(Input!I$54&lt;121,(Input!I$54-90)/30*I369,IF(Input!I$54&lt;151,(Input!I$54-120)/30*I369,(Input!I$54-150)/30*I369))))))</f>
        <v>0</v>
      </c>
      <c r="J1011" s="229">
        <f>IF(J$338&gt;$D$33,0,IF(Input!J$54&lt;31,Input!J$54/30*J369,IF(Input!J$54&lt;61,(Input!J$54-30)/30*J369,IF(Input!J$54&lt;91,(Input!J$54-60)/30*J369,IF(Input!J$54&lt;121,(Input!J$54-90)/30*J369,IF(Input!J$54&lt;151,(Input!J$54-120)/30*J369,(Input!J$54-150)/30*J369))))))</f>
        <v>0</v>
      </c>
      <c r="K1011" s="229">
        <f>IF(K$338&gt;$D$33,0,IF(Input!K$54&lt;31,Input!K$54/30*K369,IF(Input!K$54&lt;61,(Input!K$54-30)/30*K369,IF(Input!K$54&lt;91,(Input!K$54-60)/30*K369,IF(Input!K$54&lt;121,(Input!K$54-90)/30*K369,IF(Input!K$54&lt;151,(Input!K$54-120)/30*K369,(Input!K$54-150)/30*K369))))))</f>
        <v>0</v>
      </c>
      <c r="L1011" s="229">
        <f>IF(L$338&gt;$D$33,0,IF(Input!L$54&lt;31,Input!L$54/30*L369,IF(Input!L$54&lt;61,(Input!L$54-30)/30*L369,IF(Input!L$54&lt;91,(Input!L$54-60)/30*L369,IF(Input!L$54&lt;121,(Input!L$54-90)/30*L369,IF(Input!L$54&lt;151,(Input!L$54-120)/30*L369,(Input!L$54-150)/30*L369))))))</f>
        <v>0</v>
      </c>
      <c r="M1011" s="229">
        <f>IF(M$338&gt;$D$33,0,IF(Input!M$54&lt;31,Input!M$54/30*M369,IF(Input!M$54&lt;61,(Input!M$54-30)/30*M369,IF(Input!M$54&lt;91,(Input!M$54-60)/30*M369,IF(Input!M$54&lt;121,(Input!M$54-90)/30*M369,IF(Input!M$54&lt;151,(Input!M$54-120)/30*M369,(Input!M$54-150)/30*M369))))))</f>
        <v>0</v>
      </c>
      <c r="N1011" s="229">
        <f>IF(N$338&gt;$D$33,0,IF(Input!N$54&lt;31,Input!N$54/30*N369,IF(Input!N$54&lt;61,(Input!N$54-30)/30*N369,IF(Input!N$54&lt;91,(Input!N$54-60)/30*N369,IF(Input!N$54&lt;121,(Input!N$54-90)/30*N369,IF(Input!N$54&lt;151,(Input!N$54-120)/30*N369,(Input!N$54-150)/30*N369))))))</f>
        <v>0</v>
      </c>
      <c r="O1011" s="229">
        <f>IF(O$338&gt;$D$33,0,IF(Input!O$54&lt;31,Input!O$54/30*O369,IF(Input!O$54&lt;61,(Input!O$54-30)/30*O369,IF(Input!O$54&lt;91,(Input!O$54-60)/30*O369,IF(Input!O$54&lt;121,(Input!O$54-90)/30*O369,IF(Input!O$54&lt;151,(Input!O$54-120)/30*O369,(Input!O$54-150)/30*O369))))))</f>
        <v>0</v>
      </c>
      <c r="P1011" s="229">
        <f>IF(P$338&gt;$D$33,0,IF(Input!P$54&lt;31,Input!P$54/30*P369,IF(Input!P$54&lt;61,(Input!P$54-30)/30*P369,IF(Input!P$54&lt;91,(Input!P$54-60)/30*P369,IF(Input!P$54&lt;121,(Input!P$54-90)/30*P369,IF(Input!P$54&lt;151,(Input!P$54-120)/30*P369,(Input!P$54-150)/30*P369))))))</f>
        <v>0</v>
      </c>
      <c r="Q1011" s="229">
        <f>IF(Q$338&gt;$D$33,0,IF(Input!Q$54&lt;31,Input!Q$54/30*Q369,IF(Input!Q$54&lt;61,(Input!Q$54-30)/30*Q369,IF(Input!Q$54&lt;91,(Input!Q$54-60)/30*Q369,IF(Input!Q$54&lt;121,(Input!Q$54-90)/30*Q369,IF(Input!Q$54&lt;151,(Input!Q$54-120)/30*Q369,(Input!Q$54-150)/30*Q369))))))</f>
        <v>0</v>
      </c>
      <c r="R1011" s="229">
        <f>IF(R$338&gt;$D$33,0,IF(Input!R$54&lt;31,Input!R$54/30*R369,IF(Input!R$54&lt;61,(Input!R$54-30)/30*R369,IF(Input!R$54&lt;91,(Input!R$54-60)/30*R369,IF(Input!R$54&lt;121,(Input!R$54-90)/30*R369,IF(Input!R$54&lt;151,(Input!R$54-120)/30*R369,(Input!R$54-150)/30*R369))))))</f>
        <v>0</v>
      </c>
      <c r="S1011" s="229">
        <f>IF(S$338&gt;$D$33,0,IF(Input!S$54&lt;31,Input!S$54/30*S369,IF(Input!S$54&lt;61,(Input!S$54-30)/30*S369,IF(Input!S$54&lt;91,(Input!S$54-60)/30*S369,IF(Input!S$54&lt;121,(Input!S$54-90)/30*S369,IF(Input!S$54&lt;151,(Input!S$54-120)/30*S369,(Input!S$54-150)/30*S369))))))</f>
        <v>0</v>
      </c>
      <c r="T1011" s="229">
        <f>IF(T$338&gt;$D$33,0,IF(Input!T$54&lt;31,Input!T$54/30*T369,IF(Input!T$54&lt;61,(Input!T$54-30)/30*T369,IF(Input!T$54&lt;91,(Input!T$54-60)/30*T369,IF(Input!T$54&lt;121,(Input!T$54-90)/30*T369,IF(Input!T$54&lt;151,(Input!T$54-120)/30*T369,(Input!T$54-150)/30*T369))))))</f>
        <v>0</v>
      </c>
      <c r="U1011" s="229">
        <f>IF(U$338&gt;$D$33,0,IF(Input!U$54&lt;31,Input!U$54/30*U369,IF(Input!U$54&lt;61,(Input!U$54-30)/30*U369,IF(Input!U$54&lt;91,(Input!U$54-60)/30*U369,IF(Input!U$54&lt;121,(Input!U$54-90)/30*U369,IF(Input!U$54&lt;151,(Input!U$54-120)/30*U369,(Input!U$54-150)/30*U369))))))</f>
        <v>0</v>
      </c>
      <c r="V1011" s="229">
        <f>IF(V$338&gt;$D$33,0,IF(Input!V$54&lt;31,Input!V$54/30*V369,IF(Input!V$54&lt;61,(Input!V$54-30)/30*V369,IF(Input!V$54&lt;91,(Input!V$54-60)/30*V369,IF(Input!V$54&lt;121,(Input!V$54-90)/30*V369,IF(Input!V$54&lt;151,(Input!V$54-120)/30*V369,(Input!V$54-150)/30*V369))))))</f>
        <v>0</v>
      </c>
      <c r="W1011" s="229">
        <f>IF(W$338&gt;$D$33,0,IF(Input!W$54&lt;31,Input!W$54/30*W369,IF(Input!W$54&lt;61,(Input!W$54-30)/30*W369,IF(Input!W$54&lt;91,(Input!W$54-60)/30*W369,IF(Input!W$54&lt;121,(Input!W$54-90)/30*W369,IF(Input!W$54&lt;151,(Input!W$54-120)/30*W369,(Input!W$54-150)/30*W369))))))</f>
        <v>0</v>
      </c>
      <c r="X1011" s="229">
        <f>IF(X$338&gt;$D$33,0,IF(Input!X$54&lt;31,Input!X$54/30*X369,IF(Input!X$54&lt;61,(Input!X$54-30)/30*X369,IF(Input!X$54&lt;91,(Input!X$54-60)/30*X369,IF(Input!X$54&lt;121,(Input!X$54-90)/30*X369,IF(Input!X$54&lt;151,(Input!X$54-120)/30*X369,(Input!X$54-150)/30*X369))))))</f>
        <v>0</v>
      </c>
      <c r="Y1011" s="229">
        <f>IF(Y$338&gt;$D$33,0,IF(Input!Y$54&lt;31,Input!Y$54/30*Y369,IF(Input!Y$54&lt;61,(Input!Y$54-30)/30*Y369,IF(Input!Y$54&lt;91,(Input!Y$54-60)/30*Y369,IF(Input!Y$54&lt;121,(Input!Y$54-90)/30*Y369,IF(Input!Y$54&lt;151,(Input!Y$54-120)/30*Y369,(Input!Y$54-150)/30*Y369))))))</f>
        <v>0</v>
      </c>
      <c r="Z1011" s="229">
        <f>IF(Z$338&gt;$D$33,0,IF(Input!Z$54&lt;31,Input!Z$54/30*Z369,IF(Input!Z$54&lt;61,(Input!Z$54-30)/30*Z369,IF(Input!Z$54&lt;91,(Input!Z$54-60)/30*Z369,IF(Input!Z$54&lt;121,(Input!Z$54-90)/30*Z369,IF(Input!Z$54&lt;151,(Input!Z$54-120)/30*Z369,(Input!Z$54-150)/30*Z369))))))</f>
        <v>0</v>
      </c>
      <c r="AA1011" s="229">
        <f>IF(AA$338&gt;$D$33,0,IF(Input!AA$54&lt;31,Input!AA$54/30*AA369,IF(Input!AA$54&lt;61,(Input!AA$54-30)/30*AA369,IF(Input!AA$54&lt;91,(Input!AA$54-60)/30*AA369,IF(Input!AA$54&lt;121,(Input!AA$54-90)/30*AA369,IF(Input!AA$54&lt;151,(Input!AA$54-120)/30*AA369,(Input!AA$54-150)/30*AA369))))))</f>
        <v>0</v>
      </c>
      <c r="AB1011" s="229">
        <f>IF(AB$338&gt;$D$33,0,IF(Input!AB$54&lt;31,Input!AB$54/30*AB369,IF(Input!AB$54&lt;61,(Input!AB$54-30)/30*AB369,IF(Input!AB$54&lt;91,(Input!AB$54-60)/30*AB369,IF(Input!AB$54&lt;121,(Input!AB$54-90)/30*AB369,IF(Input!AB$54&lt;151,(Input!AB$54-120)/30*AB369,(Input!AB$54-150)/30*AB369))))))</f>
        <v>0</v>
      </c>
      <c r="CH1011" s="269"/>
      <c r="CI1011" s="269"/>
      <c r="CJ1011" s="269"/>
      <c r="CK1011" s="269"/>
      <c r="CL1011" s="269"/>
      <c r="CM1011" s="269"/>
      <c r="CN1011" s="269"/>
      <c r="CO1011" s="269"/>
      <c r="CP1011" s="269"/>
      <c r="CQ1011" s="269"/>
      <c r="CR1011" s="269"/>
      <c r="CS1011" s="269"/>
    </row>
    <row r="1012" spans="3:97" x14ac:dyDescent="0.3">
      <c r="C1012" s="495">
        <f>C949</f>
        <v>943</v>
      </c>
      <c r="D1012" s="229">
        <f>IF(D$338&gt;$D$33,0,IF(Input!D$54&lt;31,Input!D$54/30*D370,IF(Input!D$54&lt;61,(Input!D$54-30)/30*D370,IF(Input!D$54&lt;91,(Input!D$54-60)/30*D370,IF(Input!D$54&lt;121,(Input!D$54-90)/30*D370,IF(Input!D$54&lt;151,(Input!D$54-120)/30*D370,(Input!D$54-150)/30*D370))))))</f>
        <v>0</v>
      </c>
      <c r="E1012" s="229">
        <f>IF(E$338&gt;$D$33,0,IF(Input!E$54&lt;31,Input!E$54/30*E370,IF(Input!E$54&lt;61,(Input!E$54-30)/30*E370,IF(Input!E$54&lt;91,(Input!E$54-60)/30*E370,IF(Input!E$54&lt;121,(Input!E$54-90)/30*E370,IF(Input!E$54&lt;151,(Input!E$54-120)/30*E370,(Input!E$54-150)/30*E370))))))</f>
        <v>0</v>
      </c>
      <c r="F1012" s="229">
        <f>IF(F$338&gt;$D$33,0,IF(Input!F$54&lt;31,Input!F$54/30*F370,IF(Input!F$54&lt;61,(Input!F$54-30)/30*F370,IF(Input!F$54&lt;91,(Input!F$54-60)/30*F370,IF(Input!F$54&lt;121,(Input!F$54-90)/30*F370,IF(Input!F$54&lt;151,(Input!F$54-120)/30*F370,(Input!F$54-150)/30*F370))))))</f>
        <v>0</v>
      </c>
      <c r="G1012" s="229">
        <f>IF(G$338&gt;$D$33,0,IF(Input!G$54&lt;31,Input!G$54/30*G370,IF(Input!G$54&lt;61,(Input!G$54-30)/30*G370,IF(Input!G$54&lt;91,(Input!G$54-60)/30*G370,IF(Input!G$54&lt;121,(Input!G$54-90)/30*G370,IF(Input!G$54&lt;151,(Input!G$54-120)/30*G370,(Input!G$54-150)/30*G370))))))</f>
        <v>0</v>
      </c>
      <c r="H1012" s="229">
        <f>IF(H$338&gt;$D$33,0,IF(Input!H$54&lt;31,Input!H$54/30*H370,IF(Input!H$54&lt;61,(Input!H$54-30)/30*H370,IF(Input!H$54&lt;91,(Input!H$54-60)/30*H370,IF(Input!H$54&lt;121,(Input!H$54-90)/30*H370,IF(Input!H$54&lt;151,(Input!H$54-120)/30*H370,(Input!H$54-150)/30*H370))))))</f>
        <v>0</v>
      </c>
      <c r="I1012" s="229">
        <f>IF(I$338&gt;$D$33,0,IF(Input!I$54&lt;31,Input!I$54/30*I370,IF(Input!I$54&lt;61,(Input!I$54-30)/30*I370,IF(Input!I$54&lt;91,(Input!I$54-60)/30*I370,IF(Input!I$54&lt;121,(Input!I$54-90)/30*I370,IF(Input!I$54&lt;151,(Input!I$54-120)/30*I370,(Input!I$54-150)/30*I370))))))</f>
        <v>0</v>
      </c>
      <c r="J1012" s="229">
        <f>IF(J$338&gt;$D$33,0,IF(Input!J$54&lt;31,Input!J$54/30*J370,IF(Input!J$54&lt;61,(Input!J$54-30)/30*J370,IF(Input!J$54&lt;91,(Input!J$54-60)/30*J370,IF(Input!J$54&lt;121,(Input!J$54-90)/30*J370,IF(Input!J$54&lt;151,(Input!J$54-120)/30*J370,(Input!J$54-150)/30*J370))))))</f>
        <v>0</v>
      </c>
      <c r="K1012" s="229">
        <f>IF(K$338&gt;$D$33,0,IF(Input!K$54&lt;31,Input!K$54/30*K370,IF(Input!K$54&lt;61,(Input!K$54-30)/30*K370,IF(Input!K$54&lt;91,(Input!K$54-60)/30*K370,IF(Input!K$54&lt;121,(Input!K$54-90)/30*K370,IF(Input!K$54&lt;151,(Input!K$54-120)/30*K370,(Input!K$54-150)/30*K370))))))</f>
        <v>0</v>
      </c>
      <c r="L1012" s="229">
        <f>IF(L$338&gt;$D$33,0,IF(Input!L$54&lt;31,Input!L$54/30*L370,IF(Input!L$54&lt;61,(Input!L$54-30)/30*L370,IF(Input!L$54&lt;91,(Input!L$54-60)/30*L370,IF(Input!L$54&lt;121,(Input!L$54-90)/30*L370,IF(Input!L$54&lt;151,(Input!L$54-120)/30*L370,(Input!L$54-150)/30*L370))))))</f>
        <v>0</v>
      </c>
      <c r="M1012" s="229">
        <f>IF(M$338&gt;$D$33,0,IF(Input!M$54&lt;31,Input!M$54/30*M370,IF(Input!M$54&lt;61,(Input!M$54-30)/30*M370,IF(Input!M$54&lt;91,(Input!M$54-60)/30*M370,IF(Input!M$54&lt;121,(Input!M$54-90)/30*M370,IF(Input!M$54&lt;151,(Input!M$54-120)/30*M370,(Input!M$54-150)/30*M370))))))</f>
        <v>0</v>
      </c>
      <c r="N1012" s="229">
        <f>IF(N$338&gt;$D$33,0,IF(Input!N$54&lt;31,Input!N$54/30*N370,IF(Input!N$54&lt;61,(Input!N$54-30)/30*N370,IF(Input!N$54&lt;91,(Input!N$54-60)/30*N370,IF(Input!N$54&lt;121,(Input!N$54-90)/30*N370,IF(Input!N$54&lt;151,(Input!N$54-120)/30*N370,(Input!N$54-150)/30*N370))))))</f>
        <v>0</v>
      </c>
      <c r="O1012" s="229">
        <f>IF(O$338&gt;$D$33,0,IF(Input!O$54&lt;31,Input!O$54/30*O370,IF(Input!O$54&lt;61,(Input!O$54-30)/30*O370,IF(Input!O$54&lt;91,(Input!O$54-60)/30*O370,IF(Input!O$54&lt;121,(Input!O$54-90)/30*O370,IF(Input!O$54&lt;151,(Input!O$54-120)/30*O370,(Input!O$54-150)/30*O370))))))</f>
        <v>0</v>
      </c>
      <c r="P1012" s="229">
        <f>IF(P$338&gt;$D$33,0,IF(Input!P$54&lt;31,Input!P$54/30*P370,IF(Input!P$54&lt;61,(Input!P$54-30)/30*P370,IF(Input!P$54&lt;91,(Input!P$54-60)/30*P370,IF(Input!P$54&lt;121,(Input!P$54-90)/30*P370,IF(Input!P$54&lt;151,(Input!P$54-120)/30*P370,(Input!P$54-150)/30*P370))))))</f>
        <v>0</v>
      </c>
      <c r="Q1012" s="229">
        <f>IF(Q$338&gt;$D$33,0,IF(Input!Q$54&lt;31,Input!Q$54/30*Q370,IF(Input!Q$54&lt;61,(Input!Q$54-30)/30*Q370,IF(Input!Q$54&lt;91,(Input!Q$54-60)/30*Q370,IF(Input!Q$54&lt;121,(Input!Q$54-90)/30*Q370,IF(Input!Q$54&lt;151,(Input!Q$54-120)/30*Q370,(Input!Q$54-150)/30*Q370))))))</f>
        <v>0</v>
      </c>
      <c r="R1012" s="229">
        <f>IF(R$338&gt;$D$33,0,IF(Input!R$54&lt;31,Input!R$54/30*R370,IF(Input!R$54&lt;61,(Input!R$54-30)/30*R370,IF(Input!R$54&lt;91,(Input!R$54-60)/30*R370,IF(Input!R$54&lt;121,(Input!R$54-90)/30*R370,IF(Input!R$54&lt;151,(Input!R$54-120)/30*R370,(Input!R$54-150)/30*R370))))))</f>
        <v>0</v>
      </c>
      <c r="S1012" s="229">
        <f>IF(S$338&gt;$D$33,0,IF(Input!S$54&lt;31,Input!S$54/30*S370,IF(Input!S$54&lt;61,(Input!S$54-30)/30*S370,IF(Input!S$54&lt;91,(Input!S$54-60)/30*S370,IF(Input!S$54&lt;121,(Input!S$54-90)/30*S370,IF(Input!S$54&lt;151,(Input!S$54-120)/30*S370,(Input!S$54-150)/30*S370))))))</f>
        <v>0</v>
      </c>
      <c r="T1012" s="229">
        <f>IF(T$338&gt;$D$33,0,IF(Input!T$54&lt;31,Input!T$54/30*T370,IF(Input!T$54&lt;61,(Input!T$54-30)/30*T370,IF(Input!T$54&lt;91,(Input!T$54-60)/30*T370,IF(Input!T$54&lt;121,(Input!T$54-90)/30*T370,IF(Input!T$54&lt;151,(Input!T$54-120)/30*T370,(Input!T$54-150)/30*T370))))))</f>
        <v>0</v>
      </c>
      <c r="U1012" s="229">
        <f>IF(U$338&gt;$D$33,0,IF(Input!U$54&lt;31,Input!U$54/30*U370,IF(Input!U$54&lt;61,(Input!U$54-30)/30*U370,IF(Input!U$54&lt;91,(Input!U$54-60)/30*U370,IF(Input!U$54&lt;121,(Input!U$54-90)/30*U370,IF(Input!U$54&lt;151,(Input!U$54-120)/30*U370,(Input!U$54-150)/30*U370))))))</f>
        <v>0</v>
      </c>
      <c r="V1012" s="229">
        <f>IF(V$338&gt;$D$33,0,IF(Input!V$54&lt;31,Input!V$54/30*V370,IF(Input!V$54&lt;61,(Input!V$54-30)/30*V370,IF(Input!V$54&lt;91,(Input!V$54-60)/30*V370,IF(Input!V$54&lt;121,(Input!V$54-90)/30*V370,IF(Input!V$54&lt;151,(Input!V$54-120)/30*V370,(Input!V$54-150)/30*V370))))))</f>
        <v>0</v>
      </c>
      <c r="W1012" s="229">
        <f>IF(W$338&gt;$D$33,0,IF(Input!W$54&lt;31,Input!W$54/30*W370,IF(Input!W$54&lt;61,(Input!W$54-30)/30*W370,IF(Input!W$54&lt;91,(Input!W$54-60)/30*W370,IF(Input!W$54&lt;121,(Input!W$54-90)/30*W370,IF(Input!W$54&lt;151,(Input!W$54-120)/30*W370,(Input!W$54-150)/30*W370))))))</f>
        <v>0</v>
      </c>
      <c r="X1012" s="229">
        <f>IF(X$338&gt;$D$33,0,IF(Input!X$54&lt;31,Input!X$54/30*X370,IF(Input!X$54&lt;61,(Input!X$54-30)/30*X370,IF(Input!X$54&lt;91,(Input!X$54-60)/30*X370,IF(Input!X$54&lt;121,(Input!X$54-90)/30*X370,IF(Input!X$54&lt;151,(Input!X$54-120)/30*X370,(Input!X$54-150)/30*X370))))))</f>
        <v>0</v>
      </c>
      <c r="Y1012" s="229">
        <f>IF(Y$338&gt;$D$33,0,IF(Input!Y$54&lt;31,Input!Y$54/30*Y370,IF(Input!Y$54&lt;61,(Input!Y$54-30)/30*Y370,IF(Input!Y$54&lt;91,(Input!Y$54-60)/30*Y370,IF(Input!Y$54&lt;121,(Input!Y$54-90)/30*Y370,IF(Input!Y$54&lt;151,(Input!Y$54-120)/30*Y370,(Input!Y$54-150)/30*Y370))))))</f>
        <v>0</v>
      </c>
      <c r="Z1012" s="229">
        <f>IF(Z$338&gt;$D$33,0,IF(Input!Z$54&lt;31,Input!Z$54/30*Z370,IF(Input!Z$54&lt;61,(Input!Z$54-30)/30*Z370,IF(Input!Z$54&lt;91,(Input!Z$54-60)/30*Z370,IF(Input!Z$54&lt;121,(Input!Z$54-90)/30*Z370,IF(Input!Z$54&lt;151,(Input!Z$54-120)/30*Z370,(Input!Z$54-150)/30*Z370))))))</f>
        <v>0</v>
      </c>
      <c r="AA1012" s="229">
        <f>IF(AA$338&gt;$D$33,0,IF(Input!AA$54&lt;31,Input!AA$54/30*AA370,IF(Input!AA$54&lt;61,(Input!AA$54-30)/30*AA370,IF(Input!AA$54&lt;91,(Input!AA$54-60)/30*AA370,IF(Input!AA$54&lt;121,(Input!AA$54-90)/30*AA370,IF(Input!AA$54&lt;151,(Input!AA$54-120)/30*AA370,(Input!AA$54-150)/30*AA370))))))</f>
        <v>0</v>
      </c>
      <c r="AB1012" s="229">
        <f>IF(AB$338&gt;$D$33,0,IF(Input!AB$54&lt;31,Input!AB$54/30*AB370,IF(Input!AB$54&lt;61,(Input!AB$54-30)/30*AB370,IF(Input!AB$54&lt;91,(Input!AB$54-60)/30*AB370,IF(Input!AB$54&lt;121,(Input!AB$54-90)/30*AB370,IF(Input!AB$54&lt;151,(Input!AB$54-120)/30*AB370,(Input!AB$54-150)/30*AB370))))))</f>
        <v>0</v>
      </c>
      <c r="CH1012" s="269"/>
      <c r="CI1012" s="269"/>
      <c r="CJ1012" s="269"/>
      <c r="CK1012" s="269"/>
      <c r="CL1012" s="269"/>
      <c r="CM1012" s="269"/>
      <c r="CN1012" s="269"/>
      <c r="CO1012" s="269"/>
      <c r="CP1012" s="269"/>
      <c r="CQ1012" s="269"/>
      <c r="CR1012" s="269"/>
      <c r="CS1012" s="269"/>
    </row>
    <row r="1013" spans="3:97" x14ac:dyDescent="0.3">
      <c r="C1013" s="495">
        <f>C950</f>
        <v>974</v>
      </c>
      <c r="D1013" s="229">
        <f>IF(D$338&gt;$D$33,0,IF(Input!D$54&lt;31,Input!D$54/30*D371,IF(Input!D$54&lt;61,(Input!D$54-30)/30*D371,IF(Input!D$54&lt;91,(Input!D$54-60)/30*D371,IF(Input!D$54&lt;121,(Input!D$54-90)/30*D371,IF(Input!D$54&lt;151,(Input!D$54-120)/30*D371,(Input!D$54-150)/30*D371))))))</f>
        <v>0</v>
      </c>
      <c r="E1013" s="229">
        <f>IF(E$338&gt;$D$33,0,IF(Input!E$54&lt;31,Input!E$54/30*E371,IF(Input!E$54&lt;61,(Input!E$54-30)/30*E371,IF(Input!E$54&lt;91,(Input!E$54-60)/30*E371,IF(Input!E$54&lt;121,(Input!E$54-90)/30*E371,IF(Input!E$54&lt;151,(Input!E$54-120)/30*E371,(Input!E$54-150)/30*E371))))))</f>
        <v>0</v>
      </c>
      <c r="F1013" s="229">
        <f>IF(F$338&gt;$D$33,0,IF(Input!F$54&lt;31,Input!F$54/30*F371,IF(Input!F$54&lt;61,(Input!F$54-30)/30*F371,IF(Input!F$54&lt;91,(Input!F$54-60)/30*F371,IF(Input!F$54&lt;121,(Input!F$54-90)/30*F371,IF(Input!F$54&lt;151,(Input!F$54-120)/30*F371,(Input!F$54-150)/30*F371))))))</f>
        <v>0</v>
      </c>
      <c r="G1013" s="229">
        <f>IF(G$338&gt;$D$33,0,IF(Input!G$54&lt;31,Input!G$54/30*G371,IF(Input!G$54&lt;61,(Input!G$54-30)/30*G371,IF(Input!G$54&lt;91,(Input!G$54-60)/30*G371,IF(Input!G$54&lt;121,(Input!G$54-90)/30*G371,IF(Input!G$54&lt;151,(Input!G$54-120)/30*G371,(Input!G$54-150)/30*G371))))))</f>
        <v>0</v>
      </c>
      <c r="H1013" s="229">
        <f>IF(H$338&gt;$D$33,0,IF(Input!H$54&lt;31,Input!H$54/30*H371,IF(Input!H$54&lt;61,(Input!H$54-30)/30*H371,IF(Input!H$54&lt;91,(Input!H$54-60)/30*H371,IF(Input!H$54&lt;121,(Input!H$54-90)/30*H371,IF(Input!H$54&lt;151,(Input!H$54-120)/30*H371,(Input!H$54-150)/30*H371))))))</f>
        <v>0</v>
      </c>
      <c r="I1013" s="229">
        <f>IF(I$338&gt;$D$33,0,IF(Input!I$54&lt;31,Input!I$54/30*I371,IF(Input!I$54&lt;61,(Input!I$54-30)/30*I371,IF(Input!I$54&lt;91,(Input!I$54-60)/30*I371,IF(Input!I$54&lt;121,(Input!I$54-90)/30*I371,IF(Input!I$54&lt;151,(Input!I$54-120)/30*I371,(Input!I$54-150)/30*I371))))))</f>
        <v>0</v>
      </c>
      <c r="J1013" s="229">
        <f>IF(J$338&gt;$D$33,0,IF(Input!J$54&lt;31,Input!J$54/30*J371,IF(Input!J$54&lt;61,(Input!J$54-30)/30*J371,IF(Input!J$54&lt;91,(Input!J$54-60)/30*J371,IF(Input!J$54&lt;121,(Input!J$54-90)/30*J371,IF(Input!J$54&lt;151,(Input!J$54-120)/30*J371,(Input!J$54-150)/30*J371))))))</f>
        <v>0</v>
      </c>
      <c r="K1013" s="229">
        <f>IF(K$338&gt;$D$33,0,IF(Input!K$54&lt;31,Input!K$54/30*K371,IF(Input!K$54&lt;61,(Input!K$54-30)/30*K371,IF(Input!K$54&lt;91,(Input!K$54-60)/30*K371,IF(Input!K$54&lt;121,(Input!K$54-90)/30*K371,IF(Input!K$54&lt;151,(Input!K$54-120)/30*K371,(Input!K$54-150)/30*K371))))))</f>
        <v>0</v>
      </c>
      <c r="L1013" s="229">
        <f>IF(L$338&gt;$D$33,0,IF(Input!L$54&lt;31,Input!L$54/30*L371,IF(Input!L$54&lt;61,(Input!L$54-30)/30*L371,IF(Input!L$54&lt;91,(Input!L$54-60)/30*L371,IF(Input!L$54&lt;121,(Input!L$54-90)/30*L371,IF(Input!L$54&lt;151,(Input!L$54-120)/30*L371,(Input!L$54-150)/30*L371))))))</f>
        <v>0</v>
      </c>
      <c r="M1013" s="229">
        <f>IF(M$338&gt;$D$33,0,IF(Input!M$54&lt;31,Input!M$54/30*M371,IF(Input!M$54&lt;61,(Input!M$54-30)/30*M371,IF(Input!M$54&lt;91,(Input!M$54-60)/30*M371,IF(Input!M$54&lt;121,(Input!M$54-90)/30*M371,IF(Input!M$54&lt;151,(Input!M$54-120)/30*M371,(Input!M$54-150)/30*M371))))))</f>
        <v>0</v>
      </c>
      <c r="N1013" s="229">
        <f>IF(N$338&gt;$D$33,0,IF(Input!N$54&lt;31,Input!N$54/30*N371,IF(Input!N$54&lt;61,(Input!N$54-30)/30*N371,IF(Input!N$54&lt;91,(Input!N$54-60)/30*N371,IF(Input!N$54&lt;121,(Input!N$54-90)/30*N371,IF(Input!N$54&lt;151,(Input!N$54-120)/30*N371,(Input!N$54-150)/30*N371))))))</f>
        <v>0</v>
      </c>
      <c r="O1013" s="229">
        <f>IF(O$338&gt;$D$33,0,IF(Input!O$54&lt;31,Input!O$54/30*O371,IF(Input!O$54&lt;61,(Input!O$54-30)/30*O371,IF(Input!O$54&lt;91,(Input!O$54-60)/30*O371,IF(Input!O$54&lt;121,(Input!O$54-90)/30*O371,IF(Input!O$54&lt;151,(Input!O$54-120)/30*O371,(Input!O$54-150)/30*O371))))))</f>
        <v>0</v>
      </c>
      <c r="P1013" s="229">
        <f>IF(P$338&gt;$D$33,0,IF(Input!P$54&lt;31,Input!P$54/30*P371,IF(Input!P$54&lt;61,(Input!P$54-30)/30*P371,IF(Input!P$54&lt;91,(Input!P$54-60)/30*P371,IF(Input!P$54&lt;121,(Input!P$54-90)/30*P371,IF(Input!P$54&lt;151,(Input!P$54-120)/30*P371,(Input!P$54-150)/30*P371))))))</f>
        <v>0</v>
      </c>
      <c r="Q1013" s="229">
        <f>IF(Q$338&gt;$D$33,0,IF(Input!Q$54&lt;31,Input!Q$54/30*Q371,IF(Input!Q$54&lt;61,(Input!Q$54-30)/30*Q371,IF(Input!Q$54&lt;91,(Input!Q$54-60)/30*Q371,IF(Input!Q$54&lt;121,(Input!Q$54-90)/30*Q371,IF(Input!Q$54&lt;151,(Input!Q$54-120)/30*Q371,(Input!Q$54-150)/30*Q371))))))</f>
        <v>0</v>
      </c>
      <c r="R1013" s="229">
        <f>IF(R$338&gt;$D$33,0,IF(Input!R$54&lt;31,Input!R$54/30*R371,IF(Input!R$54&lt;61,(Input!R$54-30)/30*R371,IF(Input!R$54&lt;91,(Input!R$54-60)/30*R371,IF(Input!R$54&lt;121,(Input!R$54-90)/30*R371,IF(Input!R$54&lt;151,(Input!R$54-120)/30*R371,(Input!R$54-150)/30*R371))))))</f>
        <v>0</v>
      </c>
      <c r="S1013" s="229">
        <f>IF(S$338&gt;$D$33,0,IF(Input!S$54&lt;31,Input!S$54/30*S371,IF(Input!S$54&lt;61,(Input!S$54-30)/30*S371,IF(Input!S$54&lt;91,(Input!S$54-60)/30*S371,IF(Input!S$54&lt;121,(Input!S$54-90)/30*S371,IF(Input!S$54&lt;151,(Input!S$54-120)/30*S371,(Input!S$54-150)/30*S371))))))</f>
        <v>0</v>
      </c>
      <c r="T1013" s="229">
        <f>IF(T$338&gt;$D$33,0,IF(Input!T$54&lt;31,Input!T$54/30*T371,IF(Input!T$54&lt;61,(Input!T$54-30)/30*T371,IF(Input!T$54&lt;91,(Input!T$54-60)/30*T371,IF(Input!T$54&lt;121,(Input!T$54-90)/30*T371,IF(Input!T$54&lt;151,(Input!T$54-120)/30*T371,(Input!T$54-150)/30*T371))))))</f>
        <v>0</v>
      </c>
      <c r="U1013" s="229">
        <f>IF(U$338&gt;$D$33,0,IF(Input!U$54&lt;31,Input!U$54/30*U371,IF(Input!U$54&lt;61,(Input!U$54-30)/30*U371,IF(Input!U$54&lt;91,(Input!U$54-60)/30*U371,IF(Input!U$54&lt;121,(Input!U$54-90)/30*U371,IF(Input!U$54&lt;151,(Input!U$54-120)/30*U371,(Input!U$54-150)/30*U371))))))</f>
        <v>0</v>
      </c>
      <c r="V1013" s="229">
        <f>IF(V$338&gt;$D$33,0,IF(Input!V$54&lt;31,Input!V$54/30*V371,IF(Input!V$54&lt;61,(Input!V$54-30)/30*V371,IF(Input!V$54&lt;91,(Input!V$54-60)/30*V371,IF(Input!V$54&lt;121,(Input!V$54-90)/30*V371,IF(Input!V$54&lt;151,(Input!V$54-120)/30*V371,(Input!V$54-150)/30*V371))))))</f>
        <v>0</v>
      </c>
      <c r="W1013" s="229">
        <f>IF(W$338&gt;$D$33,0,IF(Input!W$54&lt;31,Input!W$54/30*W371,IF(Input!W$54&lt;61,(Input!W$54-30)/30*W371,IF(Input!W$54&lt;91,(Input!W$54-60)/30*W371,IF(Input!W$54&lt;121,(Input!W$54-90)/30*W371,IF(Input!W$54&lt;151,(Input!W$54-120)/30*W371,(Input!W$54-150)/30*W371))))))</f>
        <v>0</v>
      </c>
      <c r="X1013" s="229">
        <f>IF(X$338&gt;$D$33,0,IF(Input!X$54&lt;31,Input!X$54/30*X371,IF(Input!X$54&lt;61,(Input!X$54-30)/30*X371,IF(Input!X$54&lt;91,(Input!X$54-60)/30*X371,IF(Input!X$54&lt;121,(Input!X$54-90)/30*X371,IF(Input!X$54&lt;151,(Input!X$54-120)/30*X371,(Input!X$54-150)/30*X371))))))</f>
        <v>0</v>
      </c>
      <c r="Y1013" s="229">
        <f>IF(Y$338&gt;$D$33,0,IF(Input!Y$54&lt;31,Input!Y$54/30*Y371,IF(Input!Y$54&lt;61,(Input!Y$54-30)/30*Y371,IF(Input!Y$54&lt;91,(Input!Y$54-60)/30*Y371,IF(Input!Y$54&lt;121,(Input!Y$54-90)/30*Y371,IF(Input!Y$54&lt;151,(Input!Y$54-120)/30*Y371,(Input!Y$54-150)/30*Y371))))))</f>
        <v>0</v>
      </c>
      <c r="Z1013" s="229">
        <f>IF(Z$338&gt;$D$33,0,IF(Input!Z$54&lt;31,Input!Z$54/30*Z371,IF(Input!Z$54&lt;61,(Input!Z$54-30)/30*Z371,IF(Input!Z$54&lt;91,(Input!Z$54-60)/30*Z371,IF(Input!Z$54&lt;121,(Input!Z$54-90)/30*Z371,IF(Input!Z$54&lt;151,(Input!Z$54-120)/30*Z371,(Input!Z$54-150)/30*Z371))))))</f>
        <v>0</v>
      </c>
      <c r="AA1013" s="229">
        <f>IF(AA$338&gt;$D$33,0,IF(Input!AA$54&lt;31,Input!AA$54/30*AA371,IF(Input!AA$54&lt;61,(Input!AA$54-30)/30*AA371,IF(Input!AA$54&lt;91,(Input!AA$54-60)/30*AA371,IF(Input!AA$54&lt;121,(Input!AA$54-90)/30*AA371,IF(Input!AA$54&lt;151,(Input!AA$54-120)/30*AA371,(Input!AA$54-150)/30*AA371))))))</f>
        <v>0</v>
      </c>
      <c r="AB1013" s="229">
        <f>IF(AB$338&gt;$D$33,0,IF(Input!AB$54&lt;31,Input!AB$54/30*AB371,IF(Input!AB$54&lt;61,(Input!AB$54-30)/30*AB371,IF(Input!AB$54&lt;91,(Input!AB$54-60)/30*AB371,IF(Input!AB$54&lt;121,(Input!AB$54-90)/30*AB371,IF(Input!AB$54&lt;151,(Input!AB$54-120)/30*AB371,(Input!AB$54-150)/30*AB371))))))</f>
        <v>0</v>
      </c>
      <c r="CH1013" s="269"/>
      <c r="CI1013" s="269"/>
      <c r="CJ1013" s="269"/>
      <c r="CK1013" s="269"/>
      <c r="CL1013" s="269"/>
      <c r="CM1013" s="269"/>
      <c r="CN1013" s="269"/>
      <c r="CO1013" s="269"/>
      <c r="CP1013" s="269"/>
      <c r="CQ1013" s="269"/>
      <c r="CR1013" s="269"/>
      <c r="CS1013" s="269"/>
    </row>
    <row r="1014" spans="3:97" x14ac:dyDescent="0.3">
      <c r="C1014" s="495">
        <f>C951</f>
        <v>1004</v>
      </c>
      <c r="D1014" s="229">
        <f>IF(D$338&gt;$D$33,0,IF(Input!D$54&lt;31,Input!D$54/30*D372,IF(Input!D$54&lt;61,(Input!D$54-30)/30*D372,IF(Input!D$54&lt;91,(Input!D$54-60)/30*D372,IF(Input!D$54&lt;121,(Input!D$54-90)/30*D372,IF(Input!D$54&lt;151,(Input!D$54-120)/30*D372,(Input!D$54-150)/30*D372))))))</f>
        <v>0</v>
      </c>
      <c r="E1014" s="229">
        <f>IF(E$338&gt;$D$33,0,IF(Input!E$54&lt;31,Input!E$54/30*E372,IF(Input!E$54&lt;61,(Input!E$54-30)/30*E372,IF(Input!E$54&lt;91,(Input!E$54-60)/30*E372,IF(Input!E$54&lt;121,(Input!E$54-90)/30*E372,IF(Input!E$54&lt;151,(Input!E$54-120)/30*E372,(Input!E$54-150)/30*E372))))))</f>
        <v>0</v>
      </c>
      <c r="F1014" s="229">
        <f>IF(F$338&gt;$D$33,0,IF(Input!F$54&lt;31,Input!F$54/30*F372,IF(Input!F$54&lt;61,(Input!F$54-30)/30*F372,IF(Input!F$54&lt;91,(Input!F$54-60)/30*F372,IF(Input!F$54&lt;121,(Input!F$54-90)/30*F372,IF(Input!F$54&lt;151,(Input!F$54-120)/30*F372,(Input!F$54-150)/30*F372))))))</f>
        <v>0</v>
      </c>
      <c r="G1014" s="229">
        <f>IF(G$338&gt;$D$33,0,IF(Input!G$54&lt;31,Input!G$54/30*G372,IF(Input!G$54&lt;61,(Input!G$54-30)/30*G372,IF(Input!G$54&lt;91,(Input!G$54-60)/30*G372,IF(Input!G$54&lt;121,(Input!G$54-90)/30*G372,IF(Input!G$54&lt;151,(Input!G$54-120)/30*G372,(Input!G$54-150)/30*G372))))))</f>
        <v>0</v>
      </c>
      <c r="H1014" s="229">
        <f>IF(H$338&gt;$D$33,0,IF(Input!H$54&lt;31,Input!H$54/30*H372,IF(Input!H$54&lt;61,(Input!H$54-30)/30*H372,IF(Input!H$54&lt;91,(Input!H$54-60)/30*H372,IF(Input!H$54&lt;121,(Input!H$54-90)/30*H372,IF(Input!H$54&lt;151,(Input!H$54-120)/30*H372,(Input!H$54-150)/30*H372))))))</f>
        <v>0</v>
      </c>
      <c r="I1014" s="229">
        <f>IF(I$338&gt;$D$33,0,IF(Input!I$54&lt;31,Input!I$54/30*I372,IF(Input!I$54&lt;61,(Input!I$54-30)/30*I372,IF(Input!I$54&lt;91,(Input!I$54-60)/30*I372,IF(Input!I$54&lt;121,(Input!I$54-90)/30*I372,IF(Input!I$54&lt;151,(Input!I$54-120)/30*I372,(Input!I$54-150)/30*I372))))))</f>
        <v>0</v>
      </c>
      <c r="J1014" s="229">
        <f>IF(J$338&gt;$D$33,0,IF(Input!J$54&lt;31,Input!J$54/30*J372,IF(Input!J$54&lt;61,(Input!J$54-30)/30*J372,IF(Input!J$54&lt;91,(Input!J$54-60)/30*J372,IF(Input!J$54&lt;121,(Input!J$54-90)/30*J372,IF(Input!J$54&lt;151,(Input!J$54-120)/30*J372,(Input!J$54-150)/30*J372))))))</f>
        <v>0</v>
      </c>
      <c r="K1014" s="229">
        <f>IF(K$338&gt;$D$33,0,IF(Input!K$54&lt;31,Input!K$54/30*K372,IF(Input!K$54&lt;61,(Input!K$54-30)/30*K372,IF(Input!K$54&lt;91,(Input!K$54-60)/30*K372,IF(Input!K$54&lt;121,(Input!K$54-90)/30*K372,IF(Input!K$54&lt;151,(Input!K$54-120)/30*K372,(Input!K$54-150)/30*K372))))))</f>
        <v>0</v>
      </c>
      <c r="L1014" s="229">
        <f>IF(L$338&gt;$D$33,0,IF(Input!L$54&lt;31,Input!L$54/30*L372,IF(Input!L$54&lt;61,(Input!L$54-30)/30*L372,IF(Input!L$54&lt;91,(Input!L$54-60)/30*L372,IF(Input!L$54&lt;121,(Input!L$54-90)/30*L372,IF(Input!L$54&lt;151,(Input!L$54-120)/30*L372,(Input!L$54-150)/30*L372))))))</f>
        <v>0</v>
      </c>
      <c r="M1014" s="229">
        <f>IF(M$338&gt;$D$33,0,IF(Input!M$54&lt;31,Input!M$54/30*M372,IF(Input!M$54&lt;61,(Input!M$54-30)/30*M372,IF(Input!M$54&lt;91,(Input!M$54-60)/30*M372,IF(Input!M$54&lt;121,(Input!M$54-90)/30*M372,IF(Input!M$54&lt;151,(Input!M$54-120)/30*M372,(Input!M$54-150)/30*M372))))))</f>
        <v>0</v>
      </c>
      <c r="N1014" s="229">
        <f>IF(N$338&gt;$D$33,0,IF(Input!N$54&lt;31,Input!N$54/30*N372,IF(Input!N$54&lt;61,(Input!N$54-30)/30*N372,IF(Input!N$54&lt;91,(Input!N$54-60)/30*N372,IF(Input!N$54&lt;121,(Input!N$54-90)/30*N372,IF(Input!N$54&lt;151,(Input!N$54-120)/30*N372,(Input!N$54-150)/30*N372))))))</f>
        <v>0</v>
      </c>
      <c r="O1014" s="229">
        <f>IF(O$338&gt;$D$33,0,IF(Input!O$54&lt;31,Input!O$54/30*O372,IF(Input!O$54&lt;61,(Input!O$54-30)/30*O372,IF(Input!O$54&lt;91,(Input!O$54-60)/30*O372,IF(Input!O$54&lt;121,(Input!O$54-90)/30*O372,IF(Input!O$54&lt;151,(Input!O$54-120)/30*O372,(Input!O$54-150)/30*O372))))))</f>
        <v>0</v>
      </c>
      <c r="P1014" s="229">
        <f>IF(P$338&gt;$D$33,0,IF(Input!P$54&lt;31,Input!P$54/30*P372,IF(Input!P$54&lt;61,(Input!P$54-30)/30*P372,IF(Input!P$54&lt;91,(Input!P$54-60)/30*P372,IF(Input!P$54&lt;121,(Input!P$54-90)/30*P372,IF(Input!P$54&lt;151,(Input!P$54-120)/30*P372,(Input!P$54-150)/30*P372))))))</f>
        <v>0</v>
      </c>
      <c r="Q1014" s="229">
        <f>IF(Q$338&gt;$D$33,0,IF(Input!Q$54&lt;31,Input!Q$54/30*Q372,IF(Input!Q$54&lt;61,(Input!Q$54-30)/30*Q372,IF(Input!Q$54&lt;91,(Input!Q$54-60)/30*Q372,IF(Input!Q$54&lt;121,(Input!Q$54-90)/30*Q372,IF(Input!Q$54&lt;151,(Input!Q$54-120)/30*Q372,(Input!Q$54-150)/30*Q372))))))</f>
        <v>0</v>
      </c>
      <c r="R1014" s="229">
        <f>IF(R$338&gt;$D$33,0,IF(Input!R$54&lt;31,Input!R$54/30*R372,IF(Input!R$54&lt;61,(Input!R$54-30)/30*R372,IF(Input!R$54&lt;91,(Input!R$54-60)/30*R372,IF(Input!R$54&lt;121,(Input!R$54-90)/30*R372,IF(Input!R$54&lt;151,(Input!R$54-120)/30*R372,(Input!R$54-150)/30*R372))))))</f>
        <v>0</v>
      </c>
      <c r="S1014" s="229">
        <f>IF(S$338&gt;$D$33,0,IF(Input!S$54&lt;31,Input!S$54/30*S372,IF(Input!S$54&lt;61,(Input!S$54-30)/30*S372,IF(Input!S$54&lt;91,(Input!S$54-60)/30*S372,IF(Input!S$54&lt;121,(Input!S$54-90)/30*S372,IF(Input!S$54&lt;151,(Input!S$54-120)/30*S372,(Input!S$54-150)/30*S372))))))</f>
        <v>0</v>
      </c>
      <c r="T1014" s="229">
        <f>IF(T$338&gt;$D$33,0,IF(Input!T$54&lt;31,Input!T$54/30*T372,IF(Input!T$54&lt;61,(Input!T$54-30)/30*T372,IF(Input!T$54&lt;91,(Input!T$54-60)/30*T372,IF(Input!T$54&lt;121,(Input!T$54-90)/30*T372,IF(Input!T$54&lt;151,(Input!T$54-120)/30*T372,(Input!T$54-150)/30*T372))))))</f>
        <v>0</v>
      </c>
      <c r="U1014" s="229">
        <f>IF(U$338&gt;$D$33,0,IF(Input!U$54&lt;31,Input!U$54/30*U372,IF(Input!U$54&lt;61,(Input!U$54-30)/30*U372,IF(Input!U$54&lt;91,(Input!U$54-60)/30*U372,IF(Input!U$54&lt;121,(Input!U$54-90)/30*U372,IF(Input!U$54&lt;151,(Input!U$54-120)/30*U372,(Input!U$54-150)/30*U372))))))</f>
        <v>0</v>
      </c>
      <c r="V1014" s="229">
        <f>IF(V$338&gt;$D$33,0,IF(Input!V$54&lt;31,Input!V$54/30*V372,IF(Input!V$54&lt;61,(Input!V$54-30)/30*V372,IF(Input!V$54&lt;91,(Input!V$54-60)/30*V372,IF(Input!V$54&lt;121,(Input!V$54-90)/30*V372,IF(Input!V$54&lt;151,(Input!V$54-120)/30*V372,(Input!V$54-150)/30*V372))))))</f>
        <v>0</v>
      </c>
      <c r="W1014" s="229">
        <f>IF(W$338&gt;$D$33,0,IF(Input!W$54&lt;31,Input!W$54/30*W372,IF(Input!W$54&lt;61,(Input!W$54-30)/30*W372,IF(Input!W$54&lt;91,(Input!W$54-60)/30*W372,IF(Input!W$54&lt;121,(Input!W$54-90)/30*W372,IF(Input!W$54&lt;151,(Input!W$54-120)/30*W372,(Input!W$54-150)/30*W372))))))</f>
        <v>0</v>
      </c>
      <c r="X1014" s="229">
        <f>IF(X$338&gt;$D$33,0,IF(Input!X$54&lt;31,Input!X$54/30*X372,IF(Input!X$54&lt;61,(Input!X$54-30)/30*X372,IF(Input!X$54&lt;91,(Input!X$54-60)/30*X372,IF(Input!X$54&lt;121,(Input!X$54-90)/30*X372,IF(Input!X$54&lt;151,(Input!X$54-120)/30*X372,(Input!X$54-150)/30*X372))))))</f>
        <v>0</v>
      </c>
      <c r="Y1014" s="229">
        <f>IF(Y$338&gt;$D$33,0,IF(Input!Y$54&lt;31,Input!Y$54/30*Y372,IF(Input!Y$54&lt;61,(Input!Y$54-30)/30*Y372,IF(Input!Y$54&lt;91,(Input!Y$54-60)/30*Y372,IF(Input!Y$54&lt;121,(Input!Y$54-90)/30*Y372,IF(Input!Y$54&lt;151,(Input!Y$54-120)/30*Y372,(Input!Y$54-150)/30*Y372))))))</f>
        <v>0</v>
      </c>
      <c r="Z1014" s="229">
        <f>IF(Z$338&gt;$D$33,0,IF(Input!Z$54&lt;31,Input!Z$54/30*Z372,IF(Input!Z$54&lt;61,(Input!Z$54-30)/30*Z372,IF(Input!Z$54&lt;91,(Input!Z$54-60)/30*Z372,IF(Input!Z$54&lt;121,(Input!Z$54-90)/30*Z372,IF(Input!Z$54&lt;151,(Input!Z$54-120)/30*Z372,(Input!Z$54-150)/30*Z372))))))</f>
        <v>0</v>
      </c>
      <c r="AA1014" s="229">
        <f>IF(AA$338&gt;$D$33,0,IF(Input!AA$54&lt;31,Input!AA$54/30*AA372,IF(Input!AA$54&lt;61,(Input!AA$54-30)/30*AA372,IF(Input!AA$54&lt;91,(Input!AA$54-60)/30*AA372,IF(Input!AA$54&lt;121,(Input!AA$54-90)/30*AA372,IF(Input!AA$54&lt;151,(Input!AA$54-120)/30*AA372,(Input!AA$54-150)/30*AA372))))))</f>
        <v>0</v>
      </c>
      <c r="AB1014" s="229">
        <f>IF(AB$338&gt;$D$33,0,IF(Input!AB$54&lt;31,Input!AB$54/30*AB372,IF(Input!AB$54&lt;61,(Input!AB$54-30)/30*AB372,IF(Input!AB$54&lt;91,(Input!AB$54-60)/30*AB372,IF(Input!AB$54&lt;121,(Input!AB$54-90)/30*AB372,IF(Input!AB$54&lt;151,(Input!AB$54-120)/30*AB372,(Input!AB$54-150)/30*AB372))))))</f>
        <v>0</v>
      </c>
      <c r="CH1014" s="269"/>
      <c r="CI1014" s="269"/>
      <c r="CJ1014" s="269"/>
      <c r="CK1014" s="269"/>
      <c r="CL1014" s="269"/>
      <c r="CM1014" s="269"/>
      <c r="CN1014" s="269"/>
      <c r="CO1014" s="269"/>
      <c r="CP1014" s="269"/>
      <c r="CQ1014" s="269"/>
      <c r="CR1014" s="269"/>
      <c r="CS1014" s="269"/>
    </row>
    <row r="1015" spans="3:97" x14ac:dyDescent="0.3">
      <c r="C1015" s="495">
        <f>C952</f>
        <v>1035</v>
      </c>
      <c r="D1015" s="229">
        <f>IF(D$338&gt;$D$33,0,IF(Input!D$54&lt;31,Input!D$54/30*D373,IF(Input!D$54&lt;61,(Input!D$54-30)/30*D373,IF(Input!D$54&lt;91,(Input!D$54-60)/30*D373,IF(Input!D$54&lt;121,(Input!D$54-90)/30*D373,IF(Input!D$54&lt;151,(Input!D$54-120)/30*D373,(Input!D$54-150)/30*D373))))))</f>
        <v>0</v>
      </c>
      <c r="E1015" s="229">
        <f>IF(E$338&gt;$D$33,0,IF(Input!E$54&lt;31,Input!E$54/30*E373,IF(Input!E$54&lt;61,(Input!E$54-30)/30*E373,IF(Input!E$54&lt;91,(Input!E$54-60)/30*E373,IF(Input!E$54&lt;121,(Input!E$54-90)/30*E373,IF(Input!E$54&lt;151,(Input!E$54-120)/30*E373,(Input!E$54-150)/30*E373))))))</f>
        <v>0</v>
      </c>
      <c r="F1015" s="229">
        <f>IF(F$338&gt;$D$33,0,IF(Input!F$54&lt;31,Input!F$54/30*F373,IF(Input!F$54&lt;61,(Input!F$54-30)/30*F373,IF(Input!F$54&lt;91,(Input!F$54-60)/30*F373,IF(Input!F$54&lt;121,(Input!F$54-90)/30*F373,IF(Input!F$54&lt;151,(Input!F$54-120)/30*F373,(Input!F$54-150)/30*F373))))))</f>
        <v>0</v>
      </c>
      <c r="G1015" s="229">
        <f>IF(G$338&gt;$D$33,0,IF(Input!G$54&lt;31,Input!G$54/30*G373,IF(Input!G$54&lt;61,(Input!G$54-30)/30*G373,IF(Input!G$54&lt;91,(Input!G$54-60)/30*G373,IF(Input!G$54&lt;121,(Input!G$54-90)/30*G373,IF(Input!G$54&lt;151,(Input!G$54-120)/30*G373,(Input!G$54-150)/30*G373))))))</f>
        <v>0</v>
      </c>
      <c r="H1015" s="229">
        <f>IF(H$338&gt;$D$33,0,IF(Input!H$54&lt;31,Input!H$54/30*H373,IF(Input!H$54&lt;61,(Input!H$54-30)/30*H373,IF(Input!H$54&lt;91,(Input!H$54-60)/30*H373,IF(Input!H$54&lt;121,(Input!H$54-90)/30*H373,IF(Input!H$54&lt;151,(Input!H$54-120)/30*H373,(Input!H$54-150)/30*H373))))))</f>
        <v>0</v>
      </c>
      <c r="I1015" s="229">
        <f>IF(I$338&gt;$D$33,0,IF(Input!I$54&lt;31,Input!I$54/30*I373,IF(Input!I$54&lt;61,(Input!I$54-30)/30*I373,IF(Input!I$54&lt;91,(Input!I$54-60)/30*I373,IF(Input!I$54&lt;121,(Input!I$54-90)/30*I373,IF(Input!I$54&lt;151,(Input!I$54-120)/30*I373,(Input!I$54-150)/30*I373))))))</f>
        <v>0</v>
      </c>
      <c r="J1015" s="229">
        <f>IF(J$338&gt;$D$33,0,IF(Input!J$54&lt;31,Input!J$54/30*J373,IF(Input!J$54&lt;61,(Input!J$54-30)/30*J373,IF(Input!J$54&lt;91,(Input!J$54-60)/30*J373,IF(Input!J$54&lt;121,(Input!J$54-90)/30*J373,IF(Input!J$54&lt;151,(Input!J$54-120)/30*J373,(Input!J$54-150)/30*J373))))))</f>
        <v>0</v>
      </c>
      <c r="K1015" s="229">
        <f>IF(K$338&gt;$D$33,0,IF(Input!K$54&lt;31,Input!K$54/30*K373,IF(Input!K$54&lt;61,(Input!K$54-30)/30*K373,IF(Input!K$54&lt;91,(Input!K$54-60)/30*K373,IF(Input!K$54&lt;121,(Input!K$54-90)/30*K373,IF(Input!K$54&lt;151,(Input!K$54-120)/30*K373,(Input!K$54-150)/30*K373))))))</f>
        <v>0</v>
      </c>
      <c r="L1015" s="229">
        <f>IF(L$338&gt;$D$33,0,IF(Input!L$54&lt;31,Input!L$54/30*L373,IF(Input!L$54&lt;61,(Input!L$54-30)/30*L373,IF(Input!L$54&lt;91,(Input!L$54-60)/30*L373,IF(Input!L$54&lt;121,(Input!L$54-90)/30*L373,IF(Input!L$54&lt;151,(Input!L$54-120)/30*L373,(Input!L$54-150)/30*L373))))))</f>
        <v>0</v>
      </c>
      <c r="M1015" s="229">
        <f>IF(M$338&gt;$D$33,0,IF(Input!M$54&lt;31,Input!M$54/30*M373,IF(Input!M$54&lt;61,(Input!M$54-30)/30*M373,IF(Input!M$54&lt;91,(Input!M$54-60)/30*M373,IF(Input!M$54&lt;121,(Input!M$54-90)/30*M373,IF(Input!M$54&lt;151,(Input!M$54-120)/30*M373,(Input!M$54-150)/30*M373))))))</f>
        <v>0</v>
      </c>
      <c r="N1015" s="229">
        <f>IF(N$338&gt;$D$33,0,IF(Input!N$54&lt;31,Input!N$54/30*N373,IF(Input!N$54&lt;61,(Input!N$54-30)/30*N373,IF(Input!N$54&lt;91,(Input!N$54-60)/30*N373,IF(Input!N$54&lt;121,(Input!N$54-90)/30*N373,IF(Input!N$54&lt;151,(Input!N$54-120)/30*N373,(Input!N$54-150)/30*N373))))))</f>
        <v>0</v>
      </c>
      <c r="O1015" s="229">
        <f>IF(O$338&gt;$D$33,0,IF(Input!O$54&lt;31,Input!O$54/30*O373,IF(Input!O$54&lt;61,(Input!O$54-30)/30*O373,IF(Input!O$54&lt;91,(Input!O$54-60)/30*O373,IF(Input!O$54&lt;121,(Input!O$54-90)/30*O373,IF(Input!O$54&lt;151,(Input!O$54-120)/30*O373,(Input!O$54-150)/30*O373))))))</f>
        <v>0</v>
      </c>
      <c r="P1015" s="229">
        <f>IF(P$338&gt;$D$33,0,IF(Input!P$54&lt;31,Input!P$54/30*P373,IF(Input!P$54&lt;61,(Input!P$54-30)/30*P373,IF(Input!P$54&lt;91,(Input!P$54-60)/30*P373,IF(Input!P$54&lt;121,(Input!P$54-90)/30*P373,IF(Input!P$54&lt;151,(Input!P$54-120)/30*P373,(Input!P$54-150)/30*P373))))))</f>
        <v>0</v>
      </c>
      <c r="Q1015" s="229">
        <f>IF(Q$338&gt;$D$33,0,IF(Input!Q$54&lt;31,Input!Q$54/30*Q373,IF(Input!Q$54&lt;61,(Input!Q$54-30)/30*Q373,IF(Input!Q$54&lt;91,(Input!Q$54-60)/30*Q373,IF(Input!Q$54&lt;121,(Input!Q$54-90)/30*Q373,IF(Input!Q$54&lt;151,(Input!Q$54-120)/30*Q373,(Input!Q$54-150)/30*Q373))))))</f>
        <v>0</v>
      </c>
      <c r="R1015" s="229">
        <f>IF(R$338&gt;$D$33,0,IF(Input!R$54&lt;31,Input!R$54/30*R373,IF(Input!R$54&lt;61,(Input!R$54-30)/30*R373,IF(Input!R$54&lt;91,(Input!R$54-60)/30*R373,IF(Input!R$54&lt;121,(Input!R$54-90)/30*R373,IF(Input!R$54&lt;151,(Input!R$54-120)/30*R373,(Input!R$54-150)/30*R373))))))</f>
        <v>0</v>
      </c>
      <c r="S1015" s="229">
        <f>IF(S$338&gt;$D$33,0,IF(Input!S$54&lt;31,Input!S$54/30*S373,IF(Input!S$54&lt;61,(Input!S$54-30)/30*S373,IF(Input!S$54&lt;91,(Input!S$54-60)/30*S373,IF(Input!S$54&lt;121,(Input!S$54-90)/30*S373,IF(Input!S$54&lt;151,(Input!S$54-120)/30*S373,(Input!S$54-150)/30*S373))))))</f>
        <v>0</v>
      </c>
      <c r="T1015" s="229">
        <f>IF(T$338&gt;$D$33,0,IF(Input!T$54&lt;31,Input!T$54/30*T373,IF(Input!T$54&lt;61,(Input!T$54-30)/30*T373,IF(Input!T$54&lt;91,(Input!T$54-60)/30*T373,IF(Input!T$54&lt;121,(Input!T$54-90)/30*T373,IF(Input!T$54&lt;151,(Input!T$54-120)/30*T373,(Input!T$54-150)/30*T373))))))</f>
        <v>0</v>
      </c>
      <c r="U1015" s="229">
        <f>IF(U$338&gt;$D$33,0,IF(Input!U$54&lt;31,Input!U$54/30*U373,IF(Input!U$54&lt;61,(Input!U$54-30)/30*U373,IF(Input!U$54&lt;91,(Input!U$54-60)/30*U373,IF(Input!U$54&lt;121,(Input!U$54-90)/30*U373,IF(Input!U$54&lt;151,(Input!U$54-120)/30*U373,(Input!U$54-150)/30*U373))))))</f>
        <v>0</v>
      </c>
      <c r="V1015" s="229">
        <f>IF(V$338&gt;$D$33,0,IF(Input!V$54&lt;31,Input!V$54/30*V373,IF(Input!V$54&lt;61,(Input!V$54-30)/30*V373,IF(Input!V$54&lt;91,(Input!V$54-60)/30*V373,IF(Input!V$54&lt;121,(Input!V$54-90)/30*V373,IF(Input!V$54&lt;151,(Input!V$54-120)/30*V373,(Input!V$54-150)/30*V373))))))</f>
        <v>0</v>
      </c>
      <c r="W1015" s="229">
        <f>IF(W$338&gt;$D$33,0,IF(Input!W$54&lt;31,Input!W$54/30*W373,IF(Input!W$54&lt;61,(Input!W$54-30)/30*W373,IF(Input!W$54&lt;91,(Input!W$54-60)/30*W373,IF(Input!W$54&lt;121,(Input!W$54-90)/30*W373,IF(Input!W$54&lt;151,(Input!W$54-120)/30*W373,(Input!W$54-150)/30*W373))))))</f>
        <v>0</v>
      </c>
      <c r="X1015" s="229">
        <f>IF(X$338&gt;$D$33,0,IF(Input!X$54&lt;31,Input!X$54/30*X373,IF(Input!X$54&lt;61,(Input!X$54-30)/30*X373,IF(Input!X$54&lt;91,(Input!X$54-60)/30*X373,IF(Input!X$54&lt;121,(Input!X$54-90)/30*X373,IF(Input!X$54&lt;151,(Input!X$54-120)/30*X373,(Input!X$54-150)/30*X373))))))</f>
        <v>0</v>
      </c>
      <c r="Y1015" s="229">
        <f>IF(Y$338&gt;$D$33,0,IF(Input!Y$54&lt;31,Input!Y$54/30*Y373,IF(Input!Y$54&lt;61,(Input!Y$54-30)/30*Y373,IF(Input!Y$54&lt;91,(Input!Y$54-60)/30*Y373,IF(Input!Y$54&lt;121,(Input!Y$54-90)/30*Y373,IF(Input!Y$54&lt;151,(Input!Y$54-120)/30*Y373,(Input!Y$54-150)/30*Y373))))))</f>
        <v>0</v>
      </c>
      <c r="Z1015" s="229">
        <f>IF(Z$338&gt;$D$33,0,IF(Input!Z$54&lt;31,Input!Z$54/30*Z373,IF(Input!Z$54&lt;61,(Input!Z$54-30)/30*Z373,IF(Input!Z$54&lt;91,(Input!Z$54-60)/30*Z373,IF(Input!Z$54&lt;121,(Input!Z$54-90)/30*Z373,IF(Input!Z$54&lt;151,(Input!Z$54-120)/30*Z373,(Input!Z$54-150)/30*Z373))))))</f>
        <v>0</v>
      </c>
      <c r="AA1015" s="229">
        <f>IF(AA$338&gt;$D$33,0,IF(Input!AA$54&lt;31,Input!AA$54/30*AA373,IF(Input!AA$54&lt;61,(Input!AA$54-30)/30*AA373,IF(Input!AA$54&lt;91,(Input!AA$54-60)/30*AA373,IF(Input!AA$54&lt;121,(Input!AA$54-90)/30*AA373,IF(Input!AA$54&lt;151,(Input!AA$54-120)/30*AA373,(Input!AA$54-150)/30*AA373))))))</f>
        <v>0</v>
      </c>
      <c r="AB1015" s="229">
        <f>IF(AB$338&gt;$D$33,0,IF(Input!AB$54&lt;31,Input!AB$54/30*AB373,IF(Input!AB$54&lt;61,(Input!AB$54-30)/30*AB373,IF(Input!AB$54&lt;91,(Input!AB$54-60)/30*AB373,IF(Input!AB$54&lt;121,(Input!AB$54-90)/30*AB373,IF(Input!AB$54&lt;151,(Input!AB$54-120)/30*AB373,(Input!AB$54-150)/30*AB373))))))</f>
        <v>0</v>
      </c>
      <c r="CH1015" s="269"/>
      <c r="CI1015" s="269"/>
      <c r="CJ1015" s="269"/>
      <c r="CK1015" s="269"/>
      <c r="CL1015" s="269"/>
      <c r="CM1015" s="269"/>
      <c r="CN1015" s="269"/>
      <c r="CO1015" s="269"/>
      <c r="CP1015" s="269"/>
      <c r="CQ1015" s="269"/>
      <c r="CR1015" s="269"/>
      <c r="CS1015" s="269"/>
    </row>
    <row r="1016" spans="3:97" x14ac:dyDescent="0.3">
      <c r="C1016" s="495">
        <f>C953</f>
        <v>1065</v>
      </c>
      <c r="D1016" s="229">
        <f>IF(D$338&gt;$D$33,0,IF(Input!D$54&lt;31,Input!D$54/30*D374,IF(Input!D$54&lt;61,(Input!D$54-30)/30*D374,IF(Input!D$54&lt;91,(Input!D$54-60)/30*D374,IF(Input!D$54&lt;121,(Input!D$54-90)/30*D374,IF(Input!D$54&lt;151,(Input!D$54-120)/30*D374,(Input!D$54-150)/30*D374))))))</f>
        <v>0</v>
      </c>
      <c r="E1016" s="229">
        <f>IF(E$338&gt;$D$33,0,IF(Input!E$54&lt;31,Input!E$54/30*E374,IF(Input!E$54&lt;61,(Input!E$54-30)/30*E374,IF(Input!E$54&lt;91,(Input!E$54-60)/30*E374,IF(Input!E$54&lt;121,(Input!E$54-90)/30*E374,IF(Input!E$54&lt;151,(Input!E$54-120)/30*E374,(Input!E$54-150)/30*E374))))))</f>
        <v>0</v>
      </c>
      <c r="F1016" s="229">
        <f>IF(F$338&gt;$D$33,0,IF(Input!F$54&lt;31,Input!F$54/30*F374,IF(Input!F$54&lt;61,(Input!F$54-30)/30*F374,IF(Input!F$54&lt;91,(Input!F$54-60)/30*F374,IF(Input!F$54&lt;121,(Input!F$54-90)/30*F374,IF(Input!F$54&lt;151,(Input!F$54-120)/30*F374,(Input!F$54-150)/30*F374))))))</f>
        <v>0</v>
      </c>
      <c r="G1016" s="229">
        <f>IF(G$338&gt;$D$33,0,IF(Input!G$54&lt;31,Input!G$54/30*G374,IF(Input!G$54&lt;61,(Input!G$54-30)/30*G374,IF(Input!G$54&lt;91,(Input!G$54-60)/30*G374,IF(Input!G$54&lt;121,(Input!G$54-90)/30*G374,IF(Input!G$54&lt;151,(Input!G$54-120)/30*G374,(Input!G$54-150)/30*G374))))))</f>
        <v>0</v>
      </c>
      <c r="H1016" s="229">
        <f>IF(H$338&gt;$D$33,0,IF(Input!H$54&lt;31,Input!H$54/30*H374,IF(Input!H$54&lt;61,(Input!H$54-30)/30*H374,IF(Input!H$54&lt;91,(Input!H$54-60)/30*H374,IF(Input!H$54&lt;121,(Input!H$54-90)/30*H374,IF(Input!H$54&lt;151,(Input!H$54-120)/30*H374,(Input!H$54-150)/30*H374))))))</f>
        <v>0</v>
      </c>
      <c r="I1016" s="229">
        <f>IF(I$338&gt;$D$33,0,IF(Input!I$54&lt;31,Input!I$54/30*I374,IF(Input!I$54&lt;61,(Input!I$54-30)/30*I374,IF(Input!I$54&lt;91,(Input!I$54-60)/30*I374,IF(Input!I$54&lt;121,(Input!I$54-90)/30*I374,IF(Input!I$54&lt;151,(Input!I$54-120)/30*I374,(Input!I$54-150)/30*I374))))))</f>
        <v>0</v>
      </c>
      <c r="J1016" s="229">
        <f>IF(J$338&gt;$D$33,0,IF(Input!J$54&lt;31,Input!J$54/30*J374,IF(Input!J$54&lt;61,(Input!J$54-30)/30*J374,IF(Input!J$54&lt;91,(Input!J$54-60)/30*J374,IF(Input!J$54&lt;121,(Input!J$54-90)/30*J374,IF(Input!J$54&lt;151,(Input!J$54-120)/30*J374,(Input!J$54-150)/30*J374))))))</f>
        <v>0</v>
      </c>
      <c r="K1016" s="229">
        <f>IF(K$338&gt;$D$33,0,IF(Input!K$54&lt;31,Input!K$54/30*K374,IF(Input!K$54&lt;61,(Input!K$54-30)/30*K374,IF(Input!K$54&lt;91,(Input!K$54-60)/30*K374,IF(Input!K$54&lt;121,(Input!K$54-90)/30*K374,IF(Input!K$54&lt;151,(Input!K$54-120)/30*K374,(Input!K$54-150)/30*K374))))))</f>
        <v>0</v>
      </c>
      <c r="L1016" s="229">
        <f>IF(L$338&gt;$D$33,0,IF(Input!L$54&lt;31,Input!L$54/30*L374,IF(Input!L$54&lt;61,(Input!L$54-30)/30*L374,IF(Input!L$54&lt;91,(Input!L$54-60)/30*L374,IF(Input!L$54&lt;121,(Input!L$54-90)/30*L374,IF(Input!L$54&lt;151,(Input!L$54-120)/30*L374,(Input!L$54-150)/30*L374))))))</f>
        <v>0</v>
      </c>
      <c r="M1016" s="229">
        <f>IF(M$338&gt;$D$33,0,IF(Input!M$54&lt;31,Input!M$54/30*M374,IF(Input!M$54&lt;61,(Input!M$54-30)/30*M374,IF(Input!M$54&lt;91,(Input!M$54-60)/30*M374,IF(Input!M$54&lt;121,(Input!M$54-90)/30*M374,IF(Input!M$54&lt;151,(Input!M$54-120)/30*M374,(Input!M$54-150)/30*M374))))))</f>
        <v>0</v>
      </c>
      <c r="N1016" s="229">
        <f>IF(N$338&gt;$D$33,0,IF(Input!N$54&lt;31,Input!N$54/30*N374,IF(Input!N$54&lt;61,(Input!N$54-30)/30*N374,IF(Input!N$54&lt;91,(Input!N$54-60)/30*N374,IF(Input!N$54&lt;121,(Input!N$54-90)/30*N374,IF(Input!N$54&lt;151,(Input!N$54-120)/30*N374,(Input!N$54-150)/30*N374))))))</f>
        <v>0</v>
      </c>
      <c r="O1016" s="229">
        <f>IF(O$338&gt;$D$33,0,IF(Input!O$54&lt;31,Input!O$54/30*O374,IF(Input!O$54&lt;61,(Input!O$54-30)/30*O374,IF(Input!O$54&lt;91,(Input!O$54-60)/30*O374,IF(Input!O$54&lt;121,(Input!O$54-90)/30*O374,IF(Input!O$54&lt;151,(Input!O$54-120)/30*O374,(Input!O$54-150)/30*O374))))))</f>
        <v>0</v>
      </c>
      <c r="P1016" s="229">
        <f>IF(P$338&gt;$D$33,0,IF(Input!P$54&lt;31,Input!P$54/30*P374,IF(Input!P$54&lt;61,(Input!P$54-30)/30*P374,IF(Input!P$54&lt;91,(Input!P$54-60)/30*P374,IF(Input!P$54&lt;121,(Input!P$54-90)/30*P374,IF(Input!P$54&lt;151,(Input!P$54-120)/30*P374,(Input!P$54-150)/30*P374))))))</f>
        <v>0</v>
      </c>
      <c r="Q1016" s="229">
        <f>IF(Q$338&gt;$D$33,0,IF(Input!Q$54&lt;31,Input!Q$54/30*Q374,IF(Input!Q$54&lt;61,(Input!Q$54-30)/30*Q374,IF(Input!Q$54&lt;91,(Input!Q$54-60)/30*Q374,IF(Input!Q$54&lt;121,(Input!Q$54-90)/30*Q374,IF(Input!Q$54&lt;151,(Input!Q$54-120)/30*Q374,(Input!Q$54-150)/30*Q374))))))</f>
        <v>0</v>
      </c>
      <c r="R1016" s="229">
        <f>IF(R$338&gt;$D$33,0,IF(Input!R$54&lt;31,Input!R$54/30*R374,IF(Input!R$54&lt;61,(Input!R$54-30)/30*R374,IF(Input!R$54&lt;91,(Input!R$54-60)/30*R374,IF(Input!R$54&lt;121,(Input!R$54-90)/30*R374,IF(Input!R$54&lt;151,(Input!R$54-120)/30*R374,(Input!R$54-150)/30*R374))))))</f>
        <v>0</v>
      </c>
      <c r="S1016" s="229">
        <f>IF(S$338&gt;$D$33,0,IF(Input!S$54&lt;31,Input!S$54/30*S374,IF(Input!S$54&lt;61,(Input!S$54-30)/30*S374,IF(Input!S$54&lt;91,(Input!S$54-60)/30*S374,IF(Input!S$54&lt;121,(Input!S$54-90)/30*S374,IF(Input!S$54&lt;151,(Input!S$54-120)/30*S374,(Input!S$54-150)/30*S374))))))</f>
        <v>0</v>
      </c>
      <c r="T1016" s="229">
        <f>IF(T$338&gt;$D$33,0,IF(Input!T$54&lt;31,Input!T$54/30*T374,IF(Input!T$54&lt;61,(Input!T$54-30)/30*T374,IF(Input!T$54&lt;91,(Input!T$54-60)/30*T374,IF(Input!T$54&lt;121,(Input!T$54-90)/30*T374,IF(Input!T$54&lt;151,(Input!T$54-120)/30*T374,(Input!T$54-150)/30*T374))))))</f>
        <v>0</v>
      </c>
      <c r="U1016" s="229">
        <f>IF(U$338&gt;$D$33,0,IF(Input!U$54&lt;31,Input!U$54/30*U374,IF(Input!U$54&lt;61,(Input!U$54-30)/30*U374,IF(Input!U$54&lt;91,(Input!U$54-60)/30*U374,IF(Input!U$54&lt;121,(Input!U$54-90)/30*U374,IF(Input!U$54&lt;151,(Input!U$54-120)/30*U374,(Input!U$54-150)/30*U374))))))</f>
        <v>0</v>
      </c>
      <c r="V1016" s="229">
        <f>IF(V$338&gt;$D$33,0,IF(Input!V$54&lt;31,Input!V$54/30*V374,IF(Input!V$54&lt;61,(Input!V$54-30)/30*V374,IF(Input!V$54&lt;91,(Input!V$54-60)/30*V374,IF(Input!V$54&lt;121,(Input!V$54-90)/30*V374,IF(Input!V$54&lt;151,(Input!V$54-120)/30*V374,(Input!V$54-150)/30*V374))))))</f>
        <v>0</v>
      </c>
      <c r="W1016" s="229">
        <f>IF(W$338&gt;$D$33,0,IF(Input!W$54&lt;31,Input!W$54/30*W374,IF(Input!W$54&lt;61,(Input!W$54-30)/30*W374,IF(Input!W$54&lt;91,(Input!W$54-60)/30*W374,IF(Input!W$54&lt;121,(Input!W$54-90)/30*W374,IF(Input!W$54&lt;151,(Input!W$54-120)/30*W374,(Input!W$54-150)/30*W374))))))</f>
        <v>0</v>
      </c>
      <c r="X1016" s="229">
        <f>IF(X$338&gt;$D$33,0,IF(Input!X$54&lt;31,Input!X$54/30*X374,IF(Input!X$54&lt;61,(Input!X$54-30)/30*X374,IF(Input!X$54&lt;91,(Input!X$54-60)/30*X374,IF(Input!X$54&lt;121,(Input!X$54-90)/30*X374,IF(Input!X$54&lt;151,(Input!X$54-120)/30*X374,(Input!X$54-150)/30*X374))))))</f>
        <v>0</v>
      </c>
      <c r="Y1016" s="229">
        <f>IF(Y$338&gt;$D$33,0,IF(Input!Y$54&lt;31,Input!Y$54/30*Y374,IF(Input!Y$54&lt;61,(Input!Y$54-30)/30*Y374,IF(Input!Y$54&lt;91,(Input!Y$54-60)/30*Y374,IF(Input!Y$54&lt;121,(Input!Y$54-90)/30*Y374,IF(Input!Y$54&lt;151,(Input!Y$54-120)/30*Y374,(Input!Y$54-150)/30*Y374))))))</f>
        <v>0</v>
      </c>
      <c r="Z1016" s="229">
        <f>IF(Z$338&gt;$D$33,0,IF(Input!Z$54&lt;31,Input!Z$54/30*Z374,IF(Input!Z$54&lt;61,(Input!Z$54-30)/30*Z374,IF(Input!Z$54&lt;91,(Input!Z$54-60)/30*Z374,IF(Input!Z$54&lt;121,(Input!Z$54-90)/30*Z374,IF(Input!Z$54&lt;151,(Input!Z$54-120)/30*Z374,(Input!Z$54-150)/30*Z374))))))</f>
        <v>0</v>
      </c>
      <c r="AA1016" s="229">
        <f>IF(AA$338&gt;$D$33,0,IF(Input!AA$54&lt;31,Input!AA$54/30*AA374,IF(Input!AA$54&lt;61,(Input!AA$54-30)/30*AA374,IF(Input!AA$54&lt;91,(Input!AA$54-60)/30*AA374,IF(Input!AA$54&lt;121,(Input!AA$54-90)/30*AA374,IF(Input!AA$54&lt;151,(Input!AA$54-120)/30*AA374,(Input!AA$54-150)/30*AA374))))))</f>
        <v>0</v>
      </c>
      <c r="AB1016" s="229">
        <f>IF(AB$338&gt;$D$33,0,IF(Input!AB$54&lt;31,Input!AB$54/30*AB374,IF(Input!AB$54&lt;61,(Input!AB$54-30)/30*AB374,IF(Input!AB$54&lt;91,(Input!AB$54-60)/30*AB374,IF(Input!AB$54&lt;121,(Input!AB$54-90)/30*AB374,IF(Input!AB$54&lt;151,(Input!AB$54-120)/30*AB374,(Input!AB$54-150)/30*AB374))))))</f>
        <v>0</v>
      </c>
      <c r="CH1016" s="269"/>
      <c r="CI1016" s="269"/>
      <c r="CJ1016" s="269"/>
      <c r="CK1016" s="269"/>
      <c r="CL1016" s="269"/>
      <c r="CM1016" s="269"/>
      <c r="CN1016" s="269"/>
      <c r="CO1016" s="269"/>
      <c r="CP1016" s="269"/>
      <c r="CQ1016" s="269"/>
      <c r="CR1016" s="269"/>
      <c r="CS1016" s="269"/>
    </row>
    <row r="1017" spans="3:97" ht="12.5" thickBot="1" x14ac:dyDescent="0.35">
      <c r="C1017" s="496">
        <f>C954</f>
        <v>1096</v>
      </c>
      <c r="D1017" s="230">
        <f>IF(D$338&gt;$D$33,0,IF(Input!D$54&lt;31,Input!D$54/30*D375,IF(Input!D$54&lt;61,(Input!D$54-30)/30*D375,IF(Input!D$54&lt;91,(Input!D$54-60)/30*D375,IF(Input!D$54&lt;121,(Input!D$54-90)/30*D375,IF(Input!D$54&lt;151,(Input!D$54-120)/30*D375,(Input!D$54-150)/30*D375))))))</f>
        <v>0</v>
      </c>
      <c r="E1017" s="230">
        <f>IF(E$338&gt;$D$33,0,IF(Input!E$54&lt;31,Input!E$54/30*E375,IF(Input!E$54&lt;61,(Input!E$54-30)/30*E375,IF(Input!E$54&lt;91,(Input!E$54-60)/30*E375,IF(Input!E$54&lt;121,(Input!E$54-90)/30*E375,IF(Input!E$54&lt;151,(Input!E$54-120)/30*E375,(Input!E$54-150)/30*E375))))))</f>
        <v>0</v>
      </c>
      <c r="F1017" s="230">
        <f>IF(F$338&gt;$D$33,0,IF(Input!F$54&lt;31,Input!F$54/30*F375,IF(Input!F$54&lt;61,(Input!F$54-30)/30*F375,IF(Input!F$54&lt;91,(Input!F$54-60)/30*F375,IF(Input!F$54&lt;121,(Input!F$54-90)/30*F375,IF(Input!F$54&lt;151,(Input!F$54-120)/30*F375,(Input!F$54-150)/30*F375))))))</f>
        <v>0</v>
      </c>
      <c r="G1017" s="230">
        <f>IF(G$338&gt;$D$33,0,IF(Input!G$54&lt;31,Input!G$54/30*G375,IF(Input!G$54&lt;61,(Input!G$54-30)/30*G375,IF(Input!G$54&lt;91,(Input!G$54-60)/30*G375,IF(Input!G$54&lt;121,(Input!G$54-90)/30*G375,IF(Input!G$54&lt;151,(Input!G$54-120)/30*G375,(Input!G$54-150)/30*G375))))))</f>
        <v>0</v>
      </c>
      <c r="H1017" s="230">
        <f>IF(H$338&gt;$D$33,0,IF(Input!H$54&lt;31,Input!H$54/30*H375,IF(Input!H$54&lt;61,(Input!H$54-30)/30*H375,IF(Input!H$54&lt;91,(Input!H$54-60)/30*H375,IF(Input!H$54&lt;121,(Input!H$54-90)/30*H375,IF(Input!H$54&lt;151,(Input!H$54-120)/30*H375,(Input!H$54-150)/30*H375))))))</f>
        <v>0</v>
      </c>
      <c r="I1017" s="230">
        <f>IF(I$338&gt;$D$33,0,IF(Input!I$54&lt;31,Input!I$54/30*I375,IF(Input!I$54&lt;61,(Input!I$54-30)/30*I375,IF(Input!I$54&lt;91,(Input!I$54-60)/30*I375,IF(Input!I$54&lt;121,(Input!I$54-90)/30*I375,IF(Input!I$54&lt;151,(Input!I$54-120)/30*I375,(Input!I$54-150)/30*I375))))))</f>
        <v>0</v>
      </c>
      <c r="J1017" s="230">
        <f>IF(J$338&gt;$D$33,0,IF(Input!J$54&lt;31,Input!J$54/30*J375,IF(Input!J$54&lt;61,(Input!J$54-30)/30*J375,IF(Input!J$54&lt;91,(Input!J$54-60)/30*J375,IF(Input!J$54&lt;121,(Input!J$54-90)/30*J375,IF(Input!J$54&lt;151,(Input!J$54-120)/30*J375,(Input!J$54-150)/30*J375))))))</f>
        <v>0</v>
      </c>
      <c r="K1017" s="230">
        <f>IF(K$338&gt;$D$33,0,IF(Input!K$54&lt;31,Input!K$54/30*K375,IF(Input!K$54&lt;61,(Input!K$54-30)/30*K375,IF(Input!K$54&lt;91,(Input!K$54-60)/30*K375,IF(Input!K$54&lt;121,(Input!K$54-90)/30*K375,IF(Input!K$54&lt;151,(Input!K$54-120)/30*K375,(Input!K$54-150)/30*K375))))))</f>
        <v>0</v>
      </c>
      <c r="L1017" s="230">
        <f>IF(L$338&gt;$D$33,0,IF(Input!L$54&lt;31,Input!L$54/30*L375,IF(Input!L$54&lt;61,(Input!L$54-30)/30*L375,IF(Input!L$54&lt;91,(Input!L$54-60)/30*L375,IF(Input!L$54&lt;121,(Input!L$54-90)/30*L375,IF(Input!L$54&lt;151,(Input!L$54-120)/30*L375,(Input!L$54-150)/30*L375))))))</f>
        <v>0</v>
      </c>
      <c r="M1017" s="230">
        <f>IF(M$338&gt;$D$33,0,IF(Input!M$54&lt;31,Input!M$54/30*M375,IF(Input!M$54&lt;61,(Input!M$54-30)/30*M375,IF(Input!M$54&lt;91,(Input!M$54-60)/30*M375,IF(Input!M$54&lt;121,(Input!M$54-90)/30*M375,IF(Input!M$54&lt;151,(Input!M$54-120)/30*M375,(Input!M$54-150)/30*M375))))))</f>
        <v>0</v>
      </c>
      <c r="N1017" s="230">
        <f>IF(N$338&gt;$D$33,0,IF(Input!N$54&lt;31,Input!N$54/30*N375,IF(Input!N$54&lt;61,(Input!N$54-30)/30*N375,IF(Input!N$54&lt;91,(Input!N$54-60)/30*N375,IF(Input!N$54&lt;121,(Input!N$54-90)/30*N375,IF(Input!N$54&lt;151,(Input!N$54-120)/30*N375,(Input!N$54-150)/30*N375))))))</f>
        <v>0</v>
      </c>
      <c r="O1017" s="230">
        <f>IF(O$338&gt;$D$33,0,IF(Input!O$54&lt;31,Input!O$54/30*O375,IF(Input!O$54&lt;61,(Input!O$54-30)/30*O375,IF(Input!O$54&lt;91,(Input!O$54-60)/30*O375,IF(Input!O$54&lt;121,(Input!O$54-90)/30*O375,IF(Input!O$54&lt;151,(Input!O$54-120)/30*O375,(Input!O$54-150)/30*O375))))))</f>
        <v>0</v>
      </c>
      <c r="P1017" s="230">
        <f>IF(P$338&gt;$D$33,0,IF(Input!P$54&lt;31,Input!P$54/30*P375,IF(Input!P$54&lt;61,(Input!P$54-30)/30*P375,IF(Input!P$54&lt;91,(Input!P$54-60)/30*P375,IF(Input!P$54&lt;121,(Input!P$54-90)/30*P375,IF(Input!P$54&lt;151,(Input!P$54-120)/30*P375,(Input!P$54-150)/30*P375))))))</f>
        <v>0</v>
      </c>
      <c r="Q1017" s="230">
        <f>IF(Q$338&gt;$D$33,0,IF(Input!Q$54&lt;31,Input!Q$54/30*Q375,IF(Input!Q$54&lt;61,(Input!Q$54-30)/30*Q375,IF(Input!Q$54&lt;91,(Input!Q$54-60)/30*Q375,IF(Input!Q$54&lt;121,(Input!Q$54-90)/30*Q375,IF(Input!Q$54&lt;151,(Input!Q$54-120)/30*Q375,(Input!Q$54-150)/30*Q375))))))</f>
        <v>0</v>
      </c>
      <c r="R1017" s="230">
        <f>IF(R$338&gt;$D$33,0,IF(Input!R$54&lt;31,Input!R$54/30*R375,IF(Input!R$54&lt;61,(Input!R$54-30)/30*R375,IF(Input!R$54&lt;91,(Input!R$54-60)/30*R375,IF(Input!R$54&lt;121,(Input!R$54-90)/30*R375,IF(Input!R$54&lt;151,(Input!R$54-120)/30*R375,(Input!R$54-150)/30*R375))))))</f>
        <v>0</v>
      </c>
      <c r="S1017" s="230">
        <f>IF(S$338&gt;$D$33,0,IF(Input!S$54&lt;31,Input!S$54/30*S375,IF(Input!S$54&lt;61,(Input!S$54-30)/30*S375,IF(Input!S$54&lt;91,(Input!S$54-60)/30*S375,IF(Input!S$54&lt;121,(Input!S$54-90)/30*S375,IF(Input!S$54&lt;151,(Input!S$54-120)/30*S375,(Input!S$54-150)/30*S375))))))</f>
        <v>0</v>
      </c>
      <c r="T1017" s="230">
        <f>IF(T$338&gt;$D$33,0,IF(Input!T$54&lt;31,Input!T$54/30*T375,IF(Input!T$54&lt;61,(Input!T$54-30)/30*T375,IF(Input!T$54&lt;91,(Input!T$54-60)/30*T375,IF(Input!T$54&lt;121,(Input!T$54-90)/30*T375,IF(Input!T$54&lt;151,(Input!T$54-120)/30*T375,(Input!T$54-150)/30*T375))))))</f>
        <v>0</v>
      </c>
      <c r="U1017" s="230">
        <f>IF(U$338&gt;$D$33,0,IF(Input!U$54&lt;31,Input!U$54/30*U375,IF(Input!U$54&lt;61,(Input!U$54-30)/30*U375,IF(Input!U$54&lt;91,(Input!U$54-60)/30*U375,IF(Input!U$54&lt;121,(Input!U$54-90)/30*U375,IF(Input!U$54&lt;151,(Input!U$54-120)/30*U375,(Input!U$54-150)/30*U375))))))</f>
        <v>0</v>
      </c>
      <c r="V1017" s="230">
        <f>IF(V$338&gt;$D$33,0,IF(Input!V$54&lt;31,Input!V$54/30*V375,IF(Input!V$54&lt;61,(Input!V$54-30)/30*V375,IF(Input!V$54&lt;91,(Input!V$54-60)/30*V375,IF(Input!V$54&lt;121,(Input!V$54-90)/30*V375,IF(Input!V$54&lt;151,(Input!V$54-120)/30*V375,(Input!V$54-150)/30*V375))))))</f>
        <v>0</v>
      </c>
      <c r="W1017" s="230">
        <f>IF(W$338&gt;$D$33,0,IF(Input!W$54&lt;31,Input!W$54/30*W375,IF(Input!W$54&lt;61,(Input!W$54-30)/30*W375,IF(Input!W$54&lt;91,(Input!W$54-60)/30*W375,IF(Input!W$54&lt;121,(Input!W$54-90)/30*W375,IF(Input!W$54&lt;151,(Input!W$54-120)/30*W375,(Input!W$54-150)/30*W375))))))</f>
        <v>0</v>
      </c>
      <c r="X1017" s="230">
        <f>IF(X$338&gt;$D$33,0,IF(Input!X$54&lt;31,Input!X$54/30*X375,IF(Input!X$54&lt;61,(Input!X$54-30)/30*X375,IF(Input!X$54&lt;91,(Input!X$54-60)/30*X375,IF(Input!X$54&lt;121,(Input!X$54-90)/30*X375,IF(Input!X$54&lt;151,(Input!X$54-120)/30*X375,(Input!X$54-150)/30*X375))))))</f>
        <v>0</v>
      </c>
      <c r="Y1017" s="230">
        <f>IF(Y$338&gt;$D$33,0,IF(Input!Y$54&lt;31,Input!Y$54/30*Y375,IF(Input!Y$54&lt;61,(Input!Y$54-30)/30*Y375,IF(Input!Y$54&lt;91,(Input!Y$54-60)/30*Y375,IF(Input!Y$54&lt;121,(Input!Y$54-90)/30*Y375,IF(Input!Y$54&lt;151,(Input!Y$54-120)/30*Y375,(Input!Y$54-150)/30*Y375))))))</f>
        <v>0</v>
      </c>
      <c r="Z1017" s="230">
        <f>IF(Z$338&gt;$D$33,0,IF(Input!Z$54&lt;31,Input!Z$54/30*Z375,IF(Input!Z$54&lt;61,(Input!Z$54-30)/30*Z375,IF(Input!Z$54&lt;91,(Input!Z$54-60)/30*Z375,IF(Input!Z$54&lt;121,(Input!Z$54-90)/30*Z375,IF(Input!Z$54&lt;151,(Input!Z$54-120)/30*Z375,(Input!Z$54-150)/30*Z375))))))</f>
        <v>0</v>
      </c>
      <c r="AA1017" s="230">
        <f>IF(AA$338&gt;$D$33,0,IF(Input!AA$54&lt;31,Input!AA$54/30*AA375,IF(Input!AA$54&lt;61,(Input!AA$54-30)/30*AA375,IF(Input!AA$54&lt;91,(Input!AA$54-60)/30*AA375,IF(Input!AA$54&lt;121,(Input!AA$54-90)/30*AA375,IF(Input!AA$54&lt;151,(Input!AA$54-120)/30*AA375,(Input!AA$54-150)/30*AA375))))))</f>
        <v>0</v>
      </c>
      <c r="AB1017" s="230">
        <f>IF(AB$338&gt;$D$33,0,IF(Input!AB$54&lt;31,Input!AB$54/30*AB375,IF(Input!AB$54&lt;61,(Input!AB$54-30)/30*AB375,IF(Input!AB$54&lt;91,(Input!AB$54-60)/30*AB375,IF(Input!AB$54&lt;121,(Input!AB$54-90)/30*AB375,IF(Input!AB$54&lt;151,(Input!AB$54-120)/30*AB375,(Input!AB$54-150)/30*AB375))))))</f>
        <v>0</v>
      </c>
      <c r="CH1017" s="269"/>
      <c r="CI1017" s="269"/>
      <c r="CJ1017" s="269"/>
      <c r="CK1017" s="269"/>
      <c r="CL1017" s="269"/>
      <c r="CM1017" s="269"/>
      <c r="CN1017" s="269"/>
      <c r="CO1017" s="269"/>
      <c r="CP1017" s="269"/>
      <c r="CQ1017" s="269"/>
      <c r="CR1017" s="269"/>
      <c r="CS1017" s="269"/>
    </row>
    <row r="1018" spans="3:97" x14ac:dyDescent="0.3">
      <c r="C1018" s="638">
        <f>C955</f>
        <v>1127</v>
      </c>
      <c r="D1018" s="299">
        <f>IF(Years="Five",IF(D$338&gt;$D$33,0,IF(Input!D$54&lt;31,Input!D$54/30*D376,IF(Input!D$54&lt;61,(Input!D$54-30)/30*D376,IF(Input!D$54&lt;91,(Input!D$54-60)/30*D376,IF(Input!D$54&lt;121,(Input!D$54-90)/30*D376,IF(Input!D$54&lt;151,(Input!D$54-120)/30*D376,(Input!D$54-150)/30*D376)))))),0)</f>
        <v>0</v>
      </c>
      <c r="E1018" s="231">
        <f>IF(Years="Five",IF(E$338&gt;$D$33,0,IF(Input!E$54&lt;31,Input!E$54/30*E376,IF(Input!E$54&lt;61,(Input!E$54-30)/30*E376,IF(Input!E$54&lt;91,(Input!E$54-60)/30*E376,IF(Input!E$54&lt;121,(Input!E$54-90)/30*E376,IF(Input!E$54&lt;151,(Input!E$54-120)/30*E376,(Input!E$54-150)/30*E376)))))),0)</f>
        <v>0</v>
      </c>
      <c r="F1018" s="231">
        <f>IF(Years="Five",IF(F$338&gt;$D$33,0,IF(Input!F$54&lt;31,Input!F$54/30*F376,IF(Input!F$54&lt;61,(Input!F$54-30)/30*F376,IF(Input!F$54&lt;91,(Input!F$54-60)/30*F376,IF(Input!F$54&lt;121,(Input!F$54-90)/30*F376,IF(Input!F$54&lt;151,(Input!F$54-120)/30*F376,(Input!F$54-150)/30*F376)))))),0)</f>
        <v>0</v>
      </c>
      <c r="G1018" s="231">
        <f>IF(Years="Five",IF(G$338&gt;$D$33,0,IF(Input!G$54&lt;31,Input!G$54/30*G376,IF(Input!G$54&lt;61,(Input!G$54-30)/30*G376,IF(Input!G$54&lt;91,(Input!G$54-60)/30*G376,IF(Input!G$54&lt;121,(Input!G$54-90)/30*G376,IF(Input!G$54&lt;151,(Input!G$54-120)/30*G376,(Input!G$54-150)/30*G376)))))),0)</f>
        <v>0</v>
      </c>
      <c r="H1018" s="231">
        <f>IF(Years="Five",IF(H$338&gt;$D$33,0,IF(Input!H$54&lt;31,Input!H$54/30*H376,IF(Input!H$54&lt;61,(Input!H$54-30)/30*H376,IF(Input!H$54&lt;91,(Input!H$54-60)/30*H376,IF(Input!H$54&lt;121,(Input!H$54-90)/30*H376,IF(Input!H$54&lt;151,(Input!H$54-120)/30*H376,(Input!H$54-150)/30*H376)))))),0)</f>
        <v>0</v>
      </c>
      <c r="I1018" s="231">
        <f>IF(Years="Five",IF(I$338&gt;$D$33,0,IF(Input!I$54&lt;31,Input!I$54/30*I376,IF(Input!I$54&lt;61,(Input!I$54-30)/30*I376,IF(Input!I$54&lt;91,(Input!I$54-60)/30*I376,IF(Input!I$54&lt;121,(Input!I$54-90)/30*I376,IF(Input!I$54&lt;151,(Input!I$54-120)/30*I376,(Input!I$54-150)/30*I376)))))),0)</f>
        <v>0</v>
      </c>
      <c r="J1018" s="231">
        <f>IF(Years="Five",IF(J$338&gt;$D$33,0,IF(Input!J$54&lt;31,Input!J$54/30*J376,IF(Input!J$54&lt;61,(Input!J$54-30)/30*J376,IF(Input!J$54&lt;91,(Input!J$54-60)/30*J376,IF(Input!J$54&lt;121,(Input!J$54-90)/30*J376,IF(Input!J$54&lt;151,(Input!J$54-120)/30*J376,(Input!J$54-150)/30*J376)))))),0)</f>
        <v>0</v>
      </c>
      <c r="K1018" s="231">
        <f>IF(Years="Five",IF(K$338&gt;$D$33,0,IF(Input!K$54&lt;31,Input!K$54/30*K376,IF(Input!K$54&lt;61,(Input!K$54-30)/30*K376,IF(Input!K$54&lt;91,(Input!K$54-60)/30*K376,IF(Input!K$54&lt;121,(Input!K$54-90)/30*K376,IF(Input!K$54&lt;151,(Input!K$54-120)/30*K376,(Input!K$54-150)/30*K376)))))),0)</f>
        <v>0</v>
      </c>
      <c r="L1018" s="231">
        <f>IF(Years="Five",IF(L$338&gt;$D$33,0,IF(Input!L$54&lt;31,Input!L$54/30*L376,IF(Input!L$54&lt;61,(Input!L$54-30)/30*L376,IF(Input!L$54&lt;91,(Input!L$54-60)/30*L376,IF(Input!L$54&lt;121,(Input!L$54-90)/30*L376,IF(Input!L$54&lt;151,(Input!L$54-120)/30*L376,(Input!L$54-150)/30*L376)))))),0)</f>
        <v>0</v>
      </c>
      <c r="M1018" s="231">
        <f>IF(Years="Five",IF(M$338&gt;$D$33,0,IF(Input!M$54&lt;31,Input!M$54/30*M376,IF(Input!M$54&lt;61,(Input!M$54-30)/30*M376,IF(Input!M$54&lt;91,(Input!M$54-60)/30*M376,IF(Input!M$54&lt;121,(Input!M$54-90)/30*M376,IF(Input!M$54&lt;151,(Input!M$54-120)/30*M376,(Input!M$54-150)/30*M376)))))),0)</f>
        <v>0</v>
      </c>
      <c r="N1018" s="231">
        <f>IF(Years="Five",IF(N$338&gt;$D$33,0,IF(Input!N$54&lt;31,Input!N$54/30*N376,IF(Input!N$54&lt;61,(Input!N$54-30)/30*N376,IF(Input!N$54&lt;91,(Input!N$54-60)/30*N376,IF(Input!N$54&lt;121,(Input!N$54-90)/30*N376,IF(Input!N$54&lt;151,(Input!N$54-120)/30*N376,(Input!N$54-150)/30*N376)))))),0)</f>
        <v>0</v>
      </c>
      <c r="O1018" s="231">
        <f>IF(Years="Five",IF(O$338&gt;$D$33,0,IF(Input!O$54&lt;31,Input!O$54/30*O376,IF(Input!O$54&lt;61,(Input!O$54-30)/30*O376,IF(Input!O$54&lt;91,(Input!O$54-60)/30*O376,IF(Input!O$54&lt;121,(Input!O$54-90)/30*O376,IF(Input!O$54&lt;151,(Input!O$54-120)/30*O376,(Input!O$54-150)/30*O376)))))),0)</f>
        <v>0</v>
      </c>
      <c r="P1018" s="231">
        <f>IF(Years="Five",IF(P$338&gt;$D$33,0,IF(Input!P$54&lt;31,Input!P$54/30*P376,IF(Input!P$54&lt;61,(Input!P$54-30)/30*P376,IF(Input!P$54&lt;91,(Input!P$54-60)/30*P376,IF(Input!P$54&lt;121,(Input!P$54-90)/30*P376,IF(Input!P$54&lt;151,(Input!P$54-120)/30*P376,(Input!P$54-150)/30*P376)))))),0)</f>
        <v>0</v>
      </c>
      <c r="Q1018" s="231">
        <f>IF(Years="Five",IF(Q$338&gt;$D$33,0,IF(Input!Q$54&lt;31,Input!Q$54/30*Q376,IF(Input!Q$54&lt;61,(Input!Q$54-30)/30*Q376,IF(Input!Q$54&lt;91,(Input!Q$54-60)/30*Q376,IF(Input!Q$54&lt;121,(Input!Q$54-90)/30*Q376,IF(Input!Q$54&lt;151,(Input!Q$54-120)/30*Q376,(Input!Q$54-150)/30*Q376)))))),0)</f>
        <v>0</v>
      </c>
      <c r="R1018" s="231">
        <f>IF(Years="Five",IF(R$338&gt;$D$33,0,IF(Input!R$54&lt;31,Input!R$54/30*R376,IF(Input!R$54&lt;61,(Input!R$54-30)/30*R376,IF(Input!R$54&lt;91,(Input!R$54-60)/30*R376,IF(Input!R$54&lt;121,(Input!R$54-90)/30*R376,IF(Input!R$54&lt;151,(Input!R$54-120)/30*R376,(Input!R$54-150)/30*R376)))))),0)</f>
        <v>0</v>
      </c>
      <c r="S1018" s="231">
        <f>IF(Years="Five",IF(S$338&gt;$D$33,0,IF(Input!S$54&lt;31,Input!S$54/30*S376,IF(Input!S$54&lt;61,(Input!S$54-30)/30*S376,IF(Input!S$54&lt;91,(Input!S$54-60)/30*S376,IF(Input!S$54&lt;121,(Input!S$54-90)/30*S376,IF(Input!S$54&lt;151,(Input!S$54-120)/30*S376,(Input!S$54-150)/30*S376)))))),0)</f>
        <v>0</v>
      </c>
      <c r="T1018" s="231">
        <f>IF(Years="Five",IF(T$338&gt;$D$33,0,IF(Input!T$54&lt;31,Input!T$54/30*T376,IF(Input!T$54&lt;61,(Input!T$54-30)/30*T376,IF(Input!T$54&lt;91,(Input!T$54-60)/30*T376,IF(Input!T$54&lt;121,(Input!T$54-90)/30*T376,IF(Input!T$54&lt;151,(Input!T$54-120)/30*T376,(Input!T$54-150)/30*T376)))))),0)</f>
        <v>0</v>
      </c>
      <c r="U1018" s="231">
        <f>IF(Years="Five",IF(U$338&gt;$D$33,0,IF(Input!U$54&lt;31,Input!U$54/30*U376,IF(Input!U$54&lt;61,(Input!U$54-30)/30*U376,IF(Input!U$54&lt;91,(Input!U$54-60)/30*U376,IF(Input!U$54&lt;121,(Input!U$54-90)/30*U376,IF(Input!U$54&lt;151,(Input!U$54-120)/30*U376,(Input!U$54-150)/30*U376)))))),0)</f>
        <v>0</v>
      </c>
      <c r="V1018" s="231">
        <f>IF(Years="Five",IF(V$338&gt;$D$33,0,IF(Input!V$54&lt;31,Input!V$54/30*V376,IF(Input!V$54&lt;61,(Input!V$54-30)/30*V376,IF(Input!V$54&lt;91,(Input!V$54-60)/30*V376,IF(Input!V$54&lt;121,(Input!V$54-90)/30*V376,IF(Input!V$54&lt;151,(Input!V$54-120)/30*V376,(Input!V$54-150)/30*V376)))))),0)</f>
        <v>0</v>
      </c>
      <c r="W1018" s="231">
        <f>IF(Years="Five",IF(W$338&gt;$D$33,0,IF(Input!W$54&lt;31,Input!W$54/30*W376,IF(Input!W$54&lt;61,(Input!W$54-30)/30*W376,IF(Input!W$54&lt;91,(Input!W$54-60)/30*W376,IF(Input!W$54&lt;121,(Input!W$54-90)/30*W376,IF(Input!W$54&lt;151,(Input!W$54-120)/30*W376,(Input!W$54-150)/30*W376)))))),0)</f>
        <v>0</v>
      </c>
      <c r="X1018" s="231">
        <f>IF(Years="Five",IF(X$338&gt;$D$33,0,IF(Input!X$54&lt;31,Input!X$54/30*X376,IF(Input!X$54&lt;61,(Input!X$54-30)/30*X376,IF(Input!X$54&lt;91,(Input!X$54-60)/30*X376,IF(Input!X$54&lt;121,(Input!X$54-90)/30*X376,IF(Input!X$54&lt;151,(Input!X$54-120)/30*X376,(Input!X$54-150)/30*X376)))))),0)</f>
        <v>0</v>
      </c>
      <c r="Y1018" s="231">
        <f>IF(Years="Five",IF(Y$338&gt;$D$33,0,IF(Input!Y$54&lt;31,Input!Y$54/30*Y376,IF(Input!Y$54&lt;61,(Input!Y$54-30)/30*Y376,IF(Input!Y$54&lt;91,(Input!Y$54-60)/30*Y376,IF(Input!Y$54&lt;121,(Input!Y$54-90)/30*Y376,IF(Input!Y$54&lt;151,(Input!Y$54-120)/30*Y376,(Input!Y$54-150)/30*Y376)))))),0)</f>
        <v>0</v>
      </c>
      <c r="Z1018" s="231">
        <f>IF(Years="Five",IF(Z$338&gt;$D$33,0,IF(Input!Z$54&lt;31,Input!Z$54/30*Z376,IF(Input!Z$54&lt;61,(Input!Z$54-30)/30*Z376,IF(Input!Z$54&lt;91,(Input!Z$54-60)/30*Z376,IF(Input!Z$54&lt;121,(Input!Z$54-90)/30*Z376,IF(Input!Z$54&lt;151,(Input!Z$54-120)/30*Z376,(Input!Z$54-150)/30*Z376)))))),0)</f>
        <v>0</v>
      </c>
      <c r="AA1018" s="231">
        <f>IF(Years="Five",IF(AA$338&gt;$D$33,0,IF(Input!AA$54&lt;31,Input!AA$54/30*AA376,IF(Input!AA$54&lt;61,(Input!AA$54-30)/30*AA376,IF(Input!AA$54&lt;91,(Input!AA$54-60)/30*AA376,IF(Input!AA$54&lt;121,(Input!AA$54-90)/30*AA376,IF(Input!AA$54&lt;151,(Input!AA$54-120)/30*AA376,(Input!AA$54-150)/30*AA376)))))),0)</f>
        <v>0</v>
      </c>
      <c r="AB1018" s="300">
        <f>IF(Years="Five",IF(AB$338&gt;$D$33,0,IF(Input!AB$54&lt;31,Input!AB$54/30*AB376,IF(Input!AB$54&lt;61,(Input!AB$54-30)/30*AB376,IF(Input!AB$54&lt;91,(Input!AB$54-60)/30*AB376,IF(Input!AB$54&lt;121,(Input!AB$54-90)/30*AB376,IF(Input!AB$54&lt;151,(Input!AB$54-120)/30*AB376,(Input!AB$54-150)/30*AB376)))))),0)</f>
        <v>0</v>
      </c>
      <c r="CH1018" s="269"/>
      <c r="CI1018" s="269"/>
      <c r="CJ1018" s="269"/>
      <c r="CK1018" s="269"/>
      <c r="CL1018" s="269"/>
      <c r="CM1018" s="269"/>
      <c r="CN1018" s="269"/>
      <c r="CO1018" s="269"/>
      <c r="CP1018" s="269"/>
      <c r="CQ1018" s="269"/>
      <c r="CR1018" s="269"/>
      <c r="CS1018" s="269"/>
    </row>
    <row r="1019" spans="3:97" x14ac:dyDescent="0.3">
      <c r="C1019" s="638">
        <f>C956</f>
        <v>1155</v>
      </c>
      <c r="D1019" s="297">
        <f>IF(Years="Five",IF(D$338&gt;$D$33,0,IF(Input!D$54&lt;31,Input!D$54/30*D377,IF(Input!D$54&lt;61,(Input!D$54-30)/30*D377,IF(Input!D$54&lt;91,(Input!D$54-60)/30*D377,IF(Input!D$54&lt;121,(Input!D$54-90)/30*D377,IF(Input!D$54&lt;151,(Input!D$54-120)/30*D377,(Input!D$54-150)/30*D377)))))),0)</f>
        <v>0</v>
      </c>
      <c r="E1019" s="229">
        <f>IF(Years="Five",IF(E$338&gt;$D$33,0,IF(Input!E$54&lt;31,Input!E$54/30*E377,IF(Input!E$54&lt;61,(Input!E$54-30)/30*E377,IF(Input!E$54&lt;91,(Input!E$54-60)/30*E377,IF(Input!E$54&lt;121,(Input!E$54-90)/30*E377,IF(Input!E$54&lt;151,(Input!E$54-120)/30*E377,(Input!E$54-150)/30*E377)))))),0)</f>
        <v>0</v>
      </c>
      <c r="F1019" s="229">
        <f>IF(Years="Five",IF(F$338&gt;$D$33,0,IF(Input!F$54&lt;31,Input!F$54/30*F377,IF(Input!F$54&lt;61,(Input!F$54-30)/30*F377,IF(Input!F$54&lt;91,(Input!F$54-60)/30*F377,IF(Input!F$54&lt;121,(Input!F$54-90)/30*F377,IF(Input!F$54&lt;151,(Input!F$54-120)/30*F377,(Input!F$54-150)/30*F377)))))),0)</f>
        <v>0</v>
      </c>
      <c r="G1019" s="229">
        <f>IF(Years="Five",IF(G$338&gt;$D$33,0,IF(Input!G$54&lt;31,Input!G$54/30*G377,IF(Input!G$54&lt;61,(Input!G$54-30)/30*G377,IF(Input!G$54&lt;91,(Input!G$54-60)/30*G377,IF(Input!G$54&lt;121,(Input!G$54-90)/30*G377,IF(Input!G$54&lt;151,(Input!G$54-120)/30*G377,(Input!G$54-150)/30*G377)))))),0)</f>
        <v>0</v>
      </c>
      <c r="H1019" s="229">
        <f>IF(Years="Five",IF(H$338&gt;$D$33,0,IF(Input!H$54&lt;31,Input!H$54/30*H377,IF(Input!H$54&lt;61,(Input!H$54-30)/30*H377,IF(Input!H$54&lt;91,(Input!H$54-60)/30*H377,IF(Input!H$54&lt;121,(Input!H$54-90)/30*H377,IF(Input!H$54&lt;151,(Input!H$54-120)/30*H377,(Input!H$54-150)/30*H377)))))),0)</f>
        <v>0</v>
      </c>
      <c r="I1019" s="229">
        <f>IF(Years="Five",IF(I$338&gt;$D$33,0,IF(Input!I$54&lt;31,Input!I$54/30*I377,IF(Input!I$54&lt;61,(Input!I$54-30)/30*I377,IF(Input!I$54&lt;91,(Input!I$54-60)/30*I377,IF(Input!I$54&lt;121,(Input!I$54-90)/30*I377,IF(Input!I$54&lt;151,(Input!I$54-120)/30*I377,(Input!I$54-150)/30*I377)))))),0)</f>
        <v>0</v>
      </c>
      <c r="J1019" s="229">
        <f>IF(Years="Five",IF(J$338&gt;$D$33,0,IF(Input!J$54&lt;31,Input!J$54/30*J377,IF(Input!J$54&lt;61,(Input!J$54-30)/30*J377,IF(Input!J$54&lt;91,(Input!J$54-60)/30*J377,IF(Input!J$54&lt;121,(Input!J$54-90)/30*J377,IF(Input!J$54&lt;151,(Input!J$54-120)/30*J377,(Input!J$54-150)/30*J377)))))),0)</f>
        <v>0</v>
      </c>
      <c r="K1019" s="229">
        <f>IF(Years="Five",IF(K$338&gt;$D$33,0,IF(Input!K$54&lt;31,Input!K$54/30*K377,IF(Input!K$54&lt;61,(Input!K$54-30)/30*K377,IF(Input!K$54&lt;91,(Input!K$54-60)/30*K377,IF(Input!K$54&lt;121,(Input!K$54-90)/30*K377,IF(Input!K$54&lt;151,(Input!K$54-120)/30*K377,(Input!K$54-150)/30*K377)))))),0)</f>
        <v>0</v>
      </c>
      <c r="L1019" s="229">
        <f>IF(Years="Five",IF(L$338&gt;$D$33,0,IF(Input!L$54&lt;31,Input!L$54/30*L377,IF(Input!L$54&lt;61,(Input!L$54-30)/30*L377,IF(Input!L$54&lt;91,(Input!L$54-60)/30*L377,IF(Input!L$54&lt;121,(Input!L$54-90)/30*L377,IF(Input!L$54&lt;151,(Input!L$54-120)/30*L377,(Input!L$54-150)/30*L377)))))),0)</f>
        <v>0</v>
      </c>
      <c r="M1019" s="229">
        <f>IF(Years="Five",IF(M$338&gt;$D$33,0,IF(Input!M$54&lt;31,Input!M$54/30*M377,IF(Input!M$54&lt;61,(Input!M$54-30)/30*M377,IF(Input!M$54&lt;91,(Input!M$54-60)/30*M377,IF(Input!M$54&lt;121,(Input!M$54-90)/30*M377,IF(Input!M$54&lt;151,(Input!M$54-120)/30*M377,(Input!M$54-150)/30*M377)))))),0)</f>
        <v>0</v>
      </c>
      <c r="N1019" s="229">
        <f>IF(Years="Five",IF(N$338&gt;$D$33,0,IF(Input!N$54&lt;31,Input!N$54/30*N377,IF(Input!N$54&lt;61,(Input!N$54-30)/30*N377,IF(Input!N$54&lt;91,(Input!N$54-60)/30*N377,IF(Input!N$54&lt;121,(Input!N$54-90)/30*N377,IF(Input!N$54&lt;151,(Input!N$54-120)/30*N377,(Input!N$54-150)/30*N377)))))),0)</f>
        <v>0</v>
      </c>
      <c r="O1019" s="229">
        <f>IF(Years="Five",IF(O$338&gt;$D$33,0,IF(Input!O$54&lt;31,Input!O$54/30*O377,IF(Input!O$54&lt;61,(Input!O$54-30)/30*O377,IF(Input!O$54&lt;91,(Input!O$54-60)/30*O377,IF(Input!O$54&lt;121,(Input!O$54-90)/30*O377,IF(Input!O$54&lt;151,(Input!O$54-120)/30*O377,(Input!O$54-150)/30*O377)))))),0)</f>
        <v>0</v>
      </c>
      <c r="P1019" s="229">
        <f>IF(Years="Five",IF(P$338&gt;$D$33,0,IF(Input!P$54&lt;31,Input!P$54/30*P377,IF(Input!P$54&lt;61,(Input!P$54-30)/30*P377,IF(Input!P$54&lt;91,(Input!P$54-60)/30*P377,IF(Input!P$54&lt;121,(Input!P$54-90)/30*P377,IF(Input!P$54&lt;151,(Input!P$54-120)/30*P377,(Input!P$54-150)/30*P377)))))),0)</f>
        <v>0</v>
      </c>
      <c r="Q1019" s="229">
        <f>IF(Years="Five",IF(Q$338&gt;$D$33,0,IF(Input!Q$54&lt;31,Input!Q$54/30*Q377,IF(Input!Q$54&lt;61,(Input!Q$54-30)/30*Q377,IF(Input!Q$54&lt;91,(Input!Q$54-60)/30*Q377,IF(Input!Q$54&lt;121,(Input!Q$54-90)/30*Q377,IF(Input!Q$54&lt;151,(Input!Q$54-120)/30*Q377,(Input!Q$54-150)/30*Q377)))))),0)</f>
        <v>0</v>
      </c>
      <c r="R1019" s="229">
        <f>IF(Years="Five",IF(R$338&gt;$D$33,0,IF(Input!R$54&lt;31,Input!R$54/30*R377,IF(Input!R$54&lt;61,(Input!R$54-30)/30*R377,IF(Input!R$54&lt;91,(Input!R$54-60)/30*R377,IF(Input!R$54&lt;121,(Input!R$54-90)/30*R377,IF(Input!R$54&lt;151,(Input!R$54-120)/30*R377,(Input!R$54-150)/30*R377)))))),0)</f>
        <v>0</v>
      </c>
      <c r="S1019" s="229">
        <f>IF(Years="Five",IF(S$338&gt;$D$33,0,IF(Input!S$54&lt;31,Input!S$54/30*S377,IF(Input!S$54&lt;61,(Input!S$54-30)/30*S377,IF(Input!S$54&lt;91,(Input!S$54-60)/30*S377,IF(Input!S$54&lt;121,(Input!S$54-90)/30*S377,IF(Input!S$54&lt;151,(Input!S$54-120)/30*S377,(Input!S$54-150)/30*S377)))))),0)</f>
        <v>0</v>
      </c>
      <c r="T1019" s="229">
        <f>IF(Years="Five",IF(T$338&gt;$D$33,0,IF(Input!T$54&lt;31,Input!T$54/30*T377,IF(Input!T$54&lt;61,(Input!T$54-30)/30*T377,IF(Input!T$54&lt;91,(Input!T$54-60)/30*T377,IF(Input!T$54&lt;121,(Input!T$54-90)/30*T377,IF(Input!T$54&lt;151,(Input!T$54-120)/30*T377,(Input!T$54-150)/30*T377)))))),0)</f>
        <v>0</v>
      </c>
      <c r="U1019" s="229">
        <f>IF(Years="Five",IF(U$338&gt;$D$33,0,IF(Input!U$54&lt;31,Input!U$54/30*U377,IF(Input!U$54&lt;61,(Input!U$54-30)/30*U377,IF(Input!U$54&lt;91,(Input!U$54-60)/30*U377,IF(Input!U$54&lt;121,(Input!U$54-90)/30*U377,IF(Input!U$54&lt;151,(Input!U$54-120)/30*U377,(Input!U$54-150)/30*U377)))))),0)</f>
        <v>0</v>
      </c>
      <c r="V1019" s="229">
        <f>IF(Years="Five",IF(V$338&gt;$D$33,0,IF(Input!V$54&lt;31,Input!V$54/30*V377,IF(Input!V$54&lt;61,(Input!V$54-30)/30*V377,IF(Input!V$54&lt;91,(Input!V$54-60)/30*V377,IF(Input!V$54&lt;121,(Input!V$54-90)/30*V377,IF(Input!V$54&lt;151,(Input!V$54-120)/30*V377,(Input!V$54-150)/30*V377)))))),0)</f>
        <v>0</v>
      </c>
      <c r="W1019" s="229">
        <f>IF(Years="Five",IF(W$338&gt;$D$33,0,IF(Input!W$54&lt;31,Input!W$54/30*W377,IF(Input!W$54&lt;61,(Input!W$54-30)/30*W377,IF(Input!W$54&lt;91,(Input!W$54-60)/30*W377,IF(Input!W$54&lt;121,(Input!W$54-90)/30*W377,IF(Input!W$54&lt;151,(Input!W$54-120)/30*W377,(Input!W$54-150)/30*W377)))))),0)</f>
        <v>0</v>
      </c>
      <c r="X1019" s="229">
        <f>IF(Years="Five",IF(X$338&gt;$D$33,0,IF(Input!X$54&lt;31,Input!X$54/30*X377,IF(Input!X$54&lt;61,(Input!X$54-30)/30*X377,IF(Input!X$54&lt;91,(Input!X$54-60)/30*X377,IF(Input!X$54&lt;121,(Input!X$54-90)/30*X377,IF(Input!X$54&lt;151,(Input!X$54-120)/30*X377,(Input!X$54-150)/30*X377)))))),0)</f>
        <v>0</v>
      </c>
      <c r="Y1019" s="229">
        <f>IF(Years="Five",IF(Y$338&gt;$D$33,0,IF(Input!Y$54&lt;31,Input!Y$54/30*Y377,IF(Input!Y$54&lt;61,(Input!Y$54-30)/30*Y377,IF(Input!Y$54&lt;91,(Input!Y$54-60)/30*Y377,IF(Input!Y$54&lt;121,(Input!Y$54-90)/30*Y377,IF(Input!Y$54&lt;151,(Input!Y$54-120)/30*Y377,(Input!Y$54-150)/30*Y377)))))),0)</f>
        <v>0</v>
      </c>
      <c r="Z1019" s="229">
        <f>IF(Years="Five",IF(Z$338&gt;$D$33,0,IF(Input!Z$54&lt;31,Input!Z$54/30*Z377,IF(Input!Z$54&lt;61,(Input!Z$54-30)/30*Z377,IF(Input!Z$54&lt;91,(Input!Z$54-60)/30*Z377,IF(Input!Z$54&lt;121,(Input!Z$54-90)/30*Z377,IF(Input!Z$54&lt;151,(Input!Z$54-120)/30*Z377,(Input!Z$54-150)/30*Z377)))))),0)</f>
        <v>0</v>
      </c>
      <c r="AA1019" s="229">
        <f>IF(Years="Five",IF(AA$338&gt;$D$33,0,IF(Input!AA$54&lt;31,Input!AA$54/30*AA377,IF(Input!AA$54&lt;61,(Input!AA$54-30)/30*AA377,IF(Input!AA$54&lt;91,(Input!AA$54-60)/30*AA377,IF(Input!AA$54&lt;121,(Input!AA$54-90)/30*AA377,IF(Input!AA$54&lt;151,(Input!AA$54-120)/30*AA377,(Input!AA$54-150)/30*AA377)))))),0)</f>
        <v>0</v>
      </c>
      <c r="AB1019" s="298">
        <f>IF(Years="Five",IF(AB$338&gt;$D$33,0,IF(Input!AB$54&lt;31,Input!AB$54/30*AB377,IF(Input!AB$54&lt;61,(Input!AB$54-30)/30*AB377,IF(Input!AB$54&lt;91,(Input!AB$54-60)/30*AB377,IF(Input!AB$54&lt;121,(Input!AB$54-90)/30*AB377,IF(Input!AB$54&lt;151,(Input!AB$54-120)/30*AB377,(Input!AB$54-150)/30*AB377)))))),0)</f>
        <v>0</v>
      </c>
      <c r="CH1019" s="269"/>
      <c r="CI1019" s="269"/>
      <c r="CJ1019" s="269"/>
      <c r="CK1019" s="269"/>
      <c r="CL1019" s="269"/>
      <c r="CM1019" s="269"/>
      <c r="CN1019" s="269"/>
      <c r="CO1019" s="269"/>
      <c r="CP1019" s="269"/>
      <c r="CQ1019" s="269"/>
      <c r="CR1019" s="269"/>
      <c r="CS1019" s="269"/>
    </row>
    <row r="1020" spans="3:97" x14ac:dyDescent="0.3">
      <c r="C1020" s="638">
        <f>C957</f>
        <v>1186</v>
      </c>
      <c r="D1020" s="297">
        <f>IF(Years="Five",IF(D$338&gt;$D$33,0,IF(Input!D$54&lt;31,Input!D$54/30*D378,IF(Input!D$54&lt;61,(Input!D$54-30)/30*D378,IF(Input!D$54&lt;91,(Input!D$54-60)/30*D378,IF(Input!D$54&lt;121,(Input!D$54-90)/30*D378,IF(Input!D$54&lt;151,(Input!D$54-120)/30*D378,(Input!D$54-150)/30*D378)))))),0)</f>
        <v>0</v>
      </c>
      <c r="E1020" s="229">
        <f>IF(Years="Five",IF(E$338&gt;$D$33,0,IF(Input!E$54&lt;31,Input!E$54/30*E378,IF(Input!E$54&lt;61,(Input!E$54-30)/30*E378,IF(Input!E$54&lt;91,(Input!E$54-60)/30*E378,IF(Input!E$54&lt;121,(Input!E$54-90)/30*E378,IF(Input!E$54&lt;151,(Input!E$54-120)/30*E378,(Input!E$54-150)/30*E378)))))),0)</f>
        <v>0</v>
      </c>
      <c r="F1020" s="229">
        <f>IF(Years="Five",IF(F$338&gt;$D$33,0,IF(Input!F$54&lt;31,Input!F$54/30*F378,IF(Input!F$54&lt;61,(Input!F$54-30)/30*F378,IF(Input!F$54&lt;91,(Input!F$54-60)/30*F378,IF(Input!F$54&lt;121,(Input!F$54-90)/30*F378,IF(Input!F$54&lt;151,(Input!F$54-120)/30*F378,(Input!F$54-150)/30*F378)))))),0)</f>
        <v>0</v>
      </c>
      <c r="G1020" s="229">
        <f>IF(Years="Five",IF(G$338&gt;$D$33,0,IF(Input!G$54&lt;31,Input!G$54/30*G378,IF(Input!G$54&lt;61,(Input!G$54-30)/30*G378,IF(Input!G$54&lt;91,(Input!G$54-60)/30*G378,IF(Input!G$54&lt;121,(Input!G$54-90)/30*G378,IF(Input!G$54&lt;151,(Input!G$54-120)/30*G378,(Input!G$54-150)/30*G378)))))),0)</f>
        <v>0</v>
      </c>
      <c r="H1020" s="229">
        <f>IF(Years="Five",IF(H$338&gt;$D$33,0,IF(Input!H$54&lt;31,Input!H$54/30*H378,IF(Input!H$54&lt;61,(Input!H$54-30)/30*H378,IF(Input!H$54&lt;91,(Input!H$54-60)/30*H378,IF(Input!H$54&lt;121,(Input!H$54-90)/30*H378,IF(Input!H$54&lt;151,(Input!H$54-120)/30*H378,(Input!H$54-150)/30*H378)))))),0)</f>
        <v>0</v>
      </c>
      <c r="I1020" s="229">
        <f>IF(Years="Five",IF(I$338&gt;$D$33,0,IF(Input!I$54&lt;31,Input!I$54/30*I378,IF(Input!I$54&lt;61,(Input!I$54-30)/30*I378,IF(Input!I$54&lt;91,(Input!I$54-60)/30*I378,IF(Input!I$54&lt;121,(Input!I$54-90)/30*I378,IF(Input!I$54&lt;151,(Input!I$54-120)/30*I378,(Input!I$54-150)/30*I378)))))),0)</f>
        <v>0</v>
      </c>
      <c r="J1020" s="229">
        <f>IF(Years="Five",IF(J$338&gt;$D$33,0,IF(Input!J$54&lt;31,Input!J$54/30*J378,IF(Input!J$54&lt;61,(Input!J$54-30)/30*J378,IF(Input!J$54&lt;91,(Input!J$54-60)/30*J378,IF(Input!J$54&lt;121,(Input!J$54-90)/30*J378,IF(Input!J$54&lt;151,(Input!J$54-120)/30*J378,(Input!J$54-150)/30*J378)))))),0)</f>
        <v>0</v>
      </c>
      <c r="K1020" s="229">
        <f>IF(Years="Five",IF(K$338&gt;$D$33,0,IF(Input!K$54&lt;31,Input!K$54/30*K378,IF(Input!K$54&lt;61,(Input!K$54-30)/30*K378,IF(Input!K$54&lt;91,(Input!K$54-60)/30*K378,IF(Input!K$54&lt;121,(Input!K$54-90)/30*K378,IF(Input!K$54&lt;151,(Input!K$54-120)/30*K378,(Input!K$54-150)/30*K378)))))),0)</f>
        <v>0</v>
      </c>
      <c r="L1020" s="229">
        <f>IF(Years="Five",IF(L$338&gt;$D$33,0,IF(Input!L$54&lt;31,Input!L$54/30*L378,IF(Input!L$54&lt;61,(Input!L$54-30)/30*L378,IF(Input!L$54&lt;91,(Input!L$54-60)/30*L378,IF(Input!L$54&lt;121,(Input!L$54-90)/30*L378,IF(Input!L$54&lt;151,(Input!L$54-120)/30*L378,(Input!L$54-150)/30*L378)))))),0)</f>
        <v>0</v>
      </c>
      <c r="M1020" s="229">
        <f>IF(Years="Five",IF(M$338&gt;$D$33,0,IF(Input!M$54&lt;31,Input!M$54/30*M378,IF(Input!M$54&lt;61,(Input!M$54-30)/30*M378,IF(Input!M$54&lt;91,(Input!M$54-60)/30*M378,IF(Input!M$54&lt;121,(Input!M$54-90)/30*M378,IF(Input!M$54&lt;151,(Input!M$54-120)/30*M378,(Input!M$54-150)/30*M378)))))),0)</f>
        <v>0</v>
      </c>
      <c r="N1020" s="229">
        <f>IF(Years="Five",IF(N$338&gt;$D$33,0,IF(Input!N$54&lt;31,Input!N$54/30*N378,IF(Input!N$54&lt;61,(Input!N$54-30)/30*N378,IF(Input!N$54&lt;91,(Input!N$54-60)/30*N378,IF(Input!N$54&lt;121,(Input!N$54-90)/30*N378,IF(Input!N$54&lt;151,(Input!N$54-120)/30*N378,(Input!N$54-150)/30*N378)))))),0)</f>
        <v>0</v>
      </c>
      <c r="O1020" s="229">
        <f>IF(Years="Five",IF(O$338&gt;$D$33,0,IF(Input!O$54&lt;31,Input!O$54/30*O378,IF(Input!O$54&lt;61,(Input!O$54-30)/30*O378,IF(Input!O$54&lt;91,(Input!O$54-60)/30*O378,IF(Input!O$54&lt;121,(Input!O$54-90)/30*O378,IF(Input!O$54&lt;151,(Input!O$54-120)/30*O378,(Input!O$54-150)/30*O378)))))),0)</f>
        <v>0</v>
      </c>
      <c r="P1020" s="229">
        <f>IF(Years="Five",IF(P$338&gt;$D$33,0,IF(Input!P$54&lt;31,Input!P$54/30*P378,IF(Input!P$54&lt;61,(Input!P$54-30)/30*P378,IF(Input!P$54&lt;91,(Input!P$54-60)/30*P378,IF(Input!P$54&lt;121,(Input!P$54-90)/30*P378,IF(Input!P$54&lt;151,(Input!P$54-120)/30*P378,(Input!P$54-150)/30*P378)))))),0)</f>
        <v>0</v>
      </c>
      <c r="Q1020" s="229">
        <f>IF(Years="Five",IF(Q$338&gt;$D$33,0,IF(Input!Q$54&lt;31,Input!Q$54/30*Q378,IF(Input!Q$54&lt;61,(Input!Q$54-30)/30*Q378,IF(Input!Q$54&lt;91,(Input!Q$54-60)/30*Q378,IF(Input!Q$54&lt;121,(Input!Q$54-90)/30*Q378,IF(Input!Q$54&lt;151,(Input!Q$54-120)/30*Q378,(Input!Q$54-150)/30*Q378)))))),0)</f>
        <v>0</v>
      </c>
      <c r="R1020" s="229">
        <f>IF(Years="Five",IF(R$338&gt;$D$33,0,IF(Input!R$54&lt;31,Input!R$54/30*R378,IF(Input!R$54&lt;61,(Input!R$54-30)/30*R378,IF(Input!R$54&lt;91,(Input!R$54-60)/30*R378,IF(Input!R$54&lt;121,(Input!R$54-90)/30*R378,IF(Input!R$54&lt;151,(Input!R$54-120)/30*R378,(Input!R$54-150)/30*R378)))))),0)</f>
        <v>0</v>
      </c>
      <c r="S1020" s="229">
        <f>IF(Years="Five",IF(S$338&gt;$D$33,0,IF(Input!S$54&lt;31,Input!S$54/30*S378,IF(Input!S$54&lt;61,(Input!S$54-30)/30*S378,IF(Input!S$54&lt;91,(Input!S$54-60)/30*S378,IF(Input!S$54&lt;121,(Input!S$54-90)/30*S378,IF(Input!S$54&lt;151,(Input!S$54-120)/30*S378,(Input!S$54-150)/30*S378)))))),0)</f>
        <v>0</v>
      </c>
      <c r="T1020" s="229">
        <f>IF(Years="Five",IF(T$338&gt;$D$33,0,IF(Input!T$54&lt;31,Input!T$54/30*T378,IF(Input!T$54&lt;61,(Input!T$54-30)/30*T378,IF(Input!T$54&lt;91,(Input!T$54-60)/30*T378,IF(Input!T$54&lt;121,(Input!T$54-90)/30*T378,IF(Input!T$54&lt;151,(Input!T$54-120)/30*T378,(Input!T$54-150)/30*T378)))))),0)</f>
        <v>0</v>
      </c>
      <c r="U1020" s="229">
        <f>IF(Years="Five",IF(U$338&gt;$D$33,0,IF(Input!U$54&lt;31,Input!U$54/30*U378,IF(Input!U$54&lt;61,(Input!U$54-30)/30*U378,IF(Input!U$54&lt;91,(Input!U$54-60)/30*U378,IF(Input!U$54&lt;121,(Input!U$54-90)/30*U378,IF(Input!U$54&lt;151,(Input!U$54-120)/30*U378,(Input!U$54-150)/30*U378)))))),0)</f>
        <v>0</v>
      </c>
      <c r="V1020" s="229">
        <f>IF(Years="Five",IF(V$338&gt;$D$33,0,IF(Input!V$54&lt;31,Input!V$54/30*V378,IF(Input!V$54&lt;61,(Input!V$54-30)/30*V378,IF(Input!V$54&lt;91,(Input!V$54-60)/30*V378,IF(Input!V$54&lt;121,(Input!V$54-90)/30*V378,IF(Input!V$54&lt;151,(Input!V$54-120)/30*V378,(Input!V$54-150)/30*V378)))))),0)</f>
        <v>0</v>
      </c>
      <c r="W1020" s="229">
        <f>IF(Years="Five",IF(W$338&gt;$D$33,0,IF(Input!W$54&lt;31,Input!W$54/30*W378,IF(Input!W$54&lt;61,(Input!W$54-30)/30*W378,IF(Input!W$54&lt;91,(Input!W$54-60)/30*W378,IF(Input!W$54&lt;121,(Input!W$54-90)/30*W378,IF(Input!W$54&lt;151,(Input!W$54-120)/30*W378,(Input!W$54-150)/30*W378)))))),0)</f>
        <v>0</v>
      </c>
      <c r="X1020" s="229">
        <f>IF(Years="Five",IF(X$338&gt;$D$33,0,IF(Input!X$54&lt;31,Input!X$54/30*X378,IF(Input!X$54&lt;61,(Input!X$54-30)/30*X378,IF(Input!X$54&lt;91,(Input!X$54-60)/30*X378,IF(Input!X$54&lt;121,(Input!X$54-90)/30*X378,IF(Input!X$54&lt;151,(Input!X$54-120)/30*X378,(Input!X$54-150)/30*X378)))))),0)</f>
        <v>0</v>
      </c>
      <c r="Y1020" s="229">
        <f>IF(Years="Five",IF(Y$338&gt;$D$33,0,IF(Input!Y$54&lt;31,Input!Y$54/30*Y378,IF(Input!Y$54&lt;61,(Input!Y$54-30)/30*Y378,IF(Input!Y$54&lt;91,(Input!Y$54-60)/30*Y378,IF(Input!Y$54&lt;121,(Input!Y$54-90)/30*Y378,IF(Input!Y$54&lt;151,(Input!Y$54-120)/30*Y378,(Input!Y$54-150)/30*Y378)))))),0)</f>
        <v>0</v>
      </c>
      <c r="Z1020" s="229">
        <f>IF(Years="Five",IF(Z$338&gt;$D$33,0,IF(Input!Z$54&lt;31,Input!Z$54/30*Z378,IF(Input!Z$54&lt;61,(Input!Z$54-30)/30*Z378,IF(Input!Z$54&lt;91,(Input!Z$54-60)/30*Z378,IF(Input!Z$54&lt;121,(Input!Z$54-90)/30*Z378,IF(Input!Z$54&lt;151,(Input!Z$54-120)/30*Z378,(Input!Z$54-150)/30*Z378)))))),0)</f>
        <v>0</v>
      </c>
      <c r="AA1020" s="229">
        <f>IF(Years="Five",IF(AA$338&gt;$D$33,0,IF(Input!AA$54&lt;31,Input!AA$54/30*AA378,IF(Input!AA$54&lt;61,(Input!AA$54-30)/30*AA378,IF(Input!AA$54&lt;91,(Input!AA$54-60)/30*AA378,IF(Input!AA$54&lt;121,(Input!AA$54-90)/30*AA378,IF(Input!AA$54&lt;151,(Input!AA$54-120)/30*AA378,(Input!AA$54-150)/30*AA378)))))),0)</f>
        <v>0</v>
      </c>
      <c r="AB1020" s="298">
        <f>IF(Years="Five",IF(AB$338&gt;$D$33,0,IF(Input!AB$54&lt;31,Input!AB$54/30*AB378,IF(Input!AB$54&lt;61,(Input!AB$54-30)/30*AB378,IF(Input!AB$54&lt;91,(Input!AB$54-60)/30*AB378,IF(Input!AB$54&lt;121,(Input!AB$54-90)/30*AB378,IF(Input!AB$54&lt;151,(Input!AB$54-120)/30*AB378,(Input!AB$54-150)/30*AB378)))))),0)</f>
        <v>0</v>
      </c>
      <c r="CH1020" s="269"/>
      <c r="CI1020" s="269"/>
      <c r="CJ1020" s="269"/>
      <c r="CK1020" s="269"/>
      <c r="CL1020" s="269"/>
      <c r="CM1020" s="269"/>
      <c r="CN1020" s="269"/>
      <c r="CO1020" s="269"/>
      <c r="CP1020" s="269"/>
      <c r="CQ1020" s="269"/>
      <c r="CR1020" s="269"/>
      <c r="CS1020" s="269"/>
    </row>
    <row r="1021" spans="3:97" x14ac:dyDescent="0.3">
      <c r="C1021" s="638">
        <f>C958</f>
        <v>1216</v>
      </c>
      <c r="D1021" s="297">
        <f>IF(Years="Five",IF(D$338&gt;$D$33,0,IF(Input!D$54&lt;31,Input!D$54/30*D379,IF(Input!D$54&lt;61,(Input!D$54-30)/30*D379,IF(Input!D$54&lt;91,(Input!D$54-60)/30*D379,IF(Input!D$54&lt;121,(Input!D$54-90)/30*D379,IF(Input!D$54&lt;151,(Input!D$54-120)/30*D379,(Input!D$54-150)/30*D379)))))),0)</f>
        <v>0</v>
      </c>
      <c r="E1021" s="229">
        <f>IF(Years="Five",IF(E$338&gt;$D$33,0,IF(Input!E$54&lt;31,Input!E$54/30*E379,IF(Input!E$54&lt;61,(Input!E$54-30)/30*E379,IF(Input!E$54&lt;91,(Input!E$54-60)/30*E379,IF(Input!E$54&lt;121,(Input!E$54-90)/30*E379,IF(Input!E$54&lt;151,(Input!E$54-120)/30*E379,(Input!E$54-150)/30*E379)))))),0)</f>
        <v>0</v>
      </c>
      <c r="F1021" s="229">
        <f>IF(Years="Five",IF(F$338&gt;$D$33,0,IF(Input!F$54&lt;31,Input!F$54/30*F379,IF(Input!F$54&lt;61,(Input!F$54-30)/30*F379,IF(Input!F$54&lt;91,(Input!F$54-60)/30*F379,IF(Input!F$54&lt;121,(Input!F$54-90)/30*F379,IF(Input!F$54&lt;151,(Input!F$54-120)/30*F379,(Input!F$54-150)/30*F379)))))),0)</f>
        <v>0</v>
      </c>
      <c r="G1021" s="229">
        <f>IF(Years="Five",IF(G$338&gt;$D$33,0,IF(Input!G$54&lt;31,Input!G$54/30*G379,IF(Input!G$54&lt;61,(Input!G$54-30)/30*G379,IF(Input!G$54&lt;91,(Input!G$54-60)/30*G379,IF(Input!G$54&lt;121,(Input!G$54-90)/30*G379,IF(Input!G$54&lt;151,(Input!G$54-120)/30*G379,(Input!G$54-150)/30*G379)))))),0)</f>
        <v>0</v>
      </c>
      <c r="H1021" s="229">
        <f>IF(Years="Five",IF(H$338&gt;$D$33,0,IF(Input!H$54&lt;31,Input!H$54/30*H379,IF(Input!H$54&lt;61,(Input!H$54-30)/30*H379,IF(Input!H$54&lt;91,(Input!H$54-60)/30*H379,IF(Input!H$54&lt;121,(Input!H$54-90)/30*H379,IF(Input!H$54&lt;151,(Input!H$54-120)/30*H379,(Input!H$54-150)/30*H379)))))),0)</f>
        <v>0</v>
      </c>
      <c r="I1021" s="229">
        <f>IF(Years="Five",IF(I$338&gt;$D$33,0,IF(Input!I$54&lt;31,Input!I$54/30*I379,IF(Input!I$54&lt;61,(Input!I$54-30)/30*I379,IF(Input!I$54&lt;91,(Input!I$54-60)/30*I379,IF(Input!I$54&lt;121,(Input!I$54-90)/30*I379,IF(Input!I$54&lt;151,(Input!I$54-120)/30*I379,(Input!I$54-150)/30*I379)))))),0)</f>
        <v>0</v>
      </c>
      <c r="J1021" s="229">
        <f>IF(Years="Five",IF(J$338&gt;$D$33,0,IF(Input!J$54&lt;31,Input!J$54/30*J379,IF(Input!J$54&lt;61,(Input!J$54-30)/30*J379,IF(Input!J$54&lt;91,(Input!J$54-60)/30*J379,IF(Input!J$54&lt;121,(Input!J$54-90)/30*J379,IF(Input!J$54&lt;151,(Input!J$54-120)/30*J379,(Input!J$54-150)/30*J379)))))),0)</f>
        <v>0</v>
      </c>
      <c r="K1021" s="229">
        <f>IF(Years="Five",IF(K$338&gt;$D$33,0,IF(Input!K$54&lt;31,Input!K$54/30*K379,IF(Input!K$54&lt;61,(Input!K$54-30)/30*K379,IF(Input!K$54&lt;91,(Input!K$54-60)/30*K379,IF(Input!K$54&lt;121,(Input!K$54-90)/30*K379,IF(Input!K$54&lt;151,(Input!K$54-120)/30*K379,(Input!K$54-150)/30*K379)))))),0)</f>
        <v>0</v>
      </c>
      <c r="L1021" s="229">
        <f>IF(Years="Five",IF(L$338&gt;$D$33,0,IF(Input!L$54&lt;31,Input!L$54/30*L379,IF(Input!L$54&lt;61,(Input!L$54-30)/30*L379,IF(Input!L$54&lt;91,(Input!L$54-60)/30*L379,IF(Input!L$54&lt;121,(Input!L$54-90)/30*L379,IF(Input!L$54&lt;151,(Input!L$54-120)/30*L379,(Input!L$54-150)/30*L379)))))),0)</f>
        <v>0</v>
      </c>
      <c r="M1021" s="229">
        <f>IF(Years="Five",IF(M$338&gt;$D$33,0,IF(Input!M$54&lt;31,Input!M$54/30*M379,IF(Input!M$54&lt;61,(Input!M$54-30)/30*M379,IF(Input!M$54&lt;91,(Input!M$54-60)/30*M379,IF(Input!M$54&lt;121,(Input!M$54-90)/30*M379,IF(Input!M$54&lt;151,(Input!M$54-120)/30*M379,(Input!M$54-150)/30*M379)))))),0)</f>
        <v>0</v>
      </c>
      <c r="N1021" s="229">
        <f>IF(Years="Five",IF(N$338&gt;$D$33,0,IF(Input!N$54&lt;31,Input!N$54/30*N379,IF(Input!N$54&lt;61,(Input!N$54-30)/30*N379,IF(Input!N$54&lt;91,(Input!N$54-60)/30*N379,IF(Input!N$54&lt;121,(Input!N$54-90)/30*N379,IF(Input!N$54&lt;151,(Input!N$54-120)/30*N379,(Input!N$54-150)/30*N379)))))),0)</f>
        <v>0</v>
      </c>
      <c r="O1021" s="229">
        <f>IF(Years="Five",IF(O$338&gt;$D$33,0,IF(Input!O$54&lt;31,Input!O$54/30*O379,IF(Input!O$54&lt;61,(Input!O$54-30)/30*O379,IF(Input!O$54&lt;91,(Input!O$54-60)/30*O379,IF(Input!O$54&lt;121,(Input!O$54-90)/30*O379,IF(Input!O$54&lt;151,(Input!O$54-120)/30*O379,(Input!O$54-150)/30*O379)))))),0)</f>
        <v>0</v>
      </c>
      <c r="P1021" s="229">
        <f>IF(Years="Five",IF(P$338&gt;$D$33,0,IF(Input!P$54&lt;31,Input!P$54/30*P379,IF(Input!P$54&lt;61,(Input!P$54-30)/30*P379,IF(Input!P$54&lt;91,(Input!P$54-60)/30*P379,IF(Input!P$54&lt;121,(Input!P$54-90)/30*P379,IF(Input!P$54&lt;151,(Input!P$54-120)/30*P379,(Input!P$54-150)/30*P379)))))),0)</f>
        <v>0</v>
      </c>
      <c r="Q1021" s="229">
        <f>IF(Years="Five",IF(Q$338&gt;$D$33,0,IF(Input!Q$54&lt;31,Input!Q$54/30*Q379,IF(Input!Q$54&lt;61,(Input!Q$54-30)/30*Q379,IF(Input!Q$54&lt;91,(Input!Q$54-60)/30*Q379,IF(Input!Q$54&lt;121,(Input!Q$54-90)/30*Q379,IF(Input!Q$54&lt;151,(Input!Q$54-120)/30*Q379,(Input!Q$54-150)/30*Q379)))))),0)</f>
        <v>0</v>
      </c>
      <c r="R1021" s="229">
        <f>IF(Years="Five",IF(R$338&gt;$D$33,0,IF(Input!R$54&lt;31,Input!R$54/30*R379,IF(Input!R$54&lt;61,(Input!R$54-30)/30*R379,IF(Input!R$54&lt;91,(Input!R$54-60)/30*R379,IF(Input!R$54&lt;121,(Input!R$54-90)/30*R379,IF(Input!R$54&lt;151,(Input!R$54-120)/30*R379,(Input!R$54-150)/30*R379)))))),0)</f>
        <v>0</v>
      </c>
      <c r="S1021" s="229">
        <f>IF(Years="Five",IF(S$338&gt;$D$33,0,IF(Input!S$54&lt;31,Input!S$54/30*S379,IF(Input!S$54&lt;61,(Input!S$54-30)/30*S379,IF(Input!S$54&lt;91,(Input!S$54-60)/30*S379,IF(Input!S$54&lt;121,(Input!S$54-90)/30*S379,IF(Input!S$54&lt;151,(Input!S$54-120)/30*S379,(Input!S$54-150)/30*S379)))))),0)</f>
        <v>0</v>
      </c>
      <c r="T1021" s="229">
        <f>IF(Years="Five",IF(T$338&gt;$D$33,0,IF(Input!T$54&lt;31,Input!T$54/30*T379,IF(Input!T$54&lt;61,(Input!T$54-30)/30*T379,IF(Input!T$54&lt;91,(Input!T$54-60)/30*T379,IF(Input!T$54&lt;121,(Input!T$54-90)/30*T379,IF(Input!T$54&lt;151,(Input!T$54-120)/30*T379,(Input!T$54-150)/30*T379)))))),0)</f>
        <v>0</v>
      </c>
      <c r="U1021" s="229">
        <f>IF(Years="Five",IF(U$338&gt;$D$33,0,IF(Input!U$54&lt;31,Input!U$54/30*U379,IF(Input!U$54&lt;61,(Input!U$54-30)/30*U379,IF(Input!U$54&lt;91,(Input!U$54-60)/30*U379,IF(Input!U$54&lt;121,(Input!U$54-90)/30*U379,IF(Input!U$54&lt;151,(Input!U$54-120)/30*U379,(Input!U$54-150)/30*U379)))))),0)</f>
        <v>0</v>
      </c>
      <c r="V1021" s="229">
        <f>IF(Years="Five",IF(V$338&gt;$D$33,0,IF(Input!V$54&lt;31,Input!V$54/30*V379,IF(Input!V$54&lt;61,(Input!V$54-30)/30*V379,IF(Input!V$54&lt;91,(Input!V$54-60)/30*V379,IF(Input!V$54&lt;121,(Input!V$54-90)/30*V379,IF(Input!V$54&lt;151,(Input!V$54-120)/30*V379,(Input!V$54-150)/30*V379)))))),0)</f>
        <v>0</v>
      </c>
      <c r="W1021" s="229">
        <f>IF(Years="Five",IF(W$338&gt;$D$33,0,IF(Input!W$54&lt;31,Input!W$54/30*W379,IF(Input!W$54&lt;61,(Input!W$54-30)/30*W379,IF(Input!W$54&lt;91,(Input!W$54-60)/30*W379,IF(Input!W$54&lt;121,(Input!W$54-90)/30*W379,IF(Input!W$54&lt;151,(Input!W$54-120)/30*W379,(Input!W$54-150)/30*W379)))))),0)</f>
        <v>0</v>
      </c>
      <c r="X1021" s="229">
        <f>IF(Years="Five",IF(X$338&gt;$D$33,0,IF(Input!X$54&lt;31,Input!X$54/30*X379,IF(Input!X$54&lt;61,(Input!X$54-30)/30*X379,IF(Input!X$54&lt;91,(Input!X$54-60)/30*X379,IF(Input!X$54&lt;121,(Input!X$54-90)/30*X379,IF(Input!X$54&lt;151,(Input!X$54-120)/30*X379,(Input!X$54-150)/30*X379)))))),0)</f>
        <v>0</v>
      </c>
      <c r="Y1021" s="229">
        <f>IF(Years="Five",IF(Y$338&gt;$D$33,0,IF(Input!Y$54&lt;31,Input!Y$54/30*Y379,IF(Input!Y$54&lt;61,(Input!Y$54-30)/30*Y379,IF(Input!Y$54&lt;91,(Input!Y$54-60)/30*Y379,IF(Input!Y$54&lt;121,(Input!Y$54-90)/30*Y379,IF(Input!Y$54&lt;151,(Input!Y$54-120)/30*Y379,(Input!Y$54-150)/30*Y379)))))),0)</f>
        <v>0</v>
      </c>
      <c r="Z1021" s="229">
        <f>IF(Years="Five",IF(Z$338&gt;$D$33,0,IF(Input!Z$54&lt;31,Input!Z$54/30*Z379,IF(Input!Z$54&lt;61,(Input!Z$54-30)/30*Z379,IF(Input!Z$54&lt;91,(Input!Z$54-60)/30*Z379,IF(Input!Z$54&lt;121,(Input!Z$54-90)/30*Z379,IF(Input!Z$54&lt;151,(Input!Z$54-120)/30*Z379,(Input!Z$54-150)/30*Z379)))))),0)</f>
        <v>0</v>
      </c>
      <c r="AA1021" s="229">
        <f>IF(Years="Five",IF(AA$338&gt;$D$33,0,IF(Input!AA$54&lt;31,Input!AA$54/30*AA379,IF(Input!AA$54&lt;61,(Input!AA$54-30)/30*AA379,IF(Input!AA$54&lt;91,(Input!AA$54-60)/30*AA379,IF(Input!AA$54&lt;121,(Input!AA$54-90)/30*AA379,IF(Input!AA$54&lt;151,(Input!AA$54-120)/30*AA379,(Input!AA$54-150)/30*AA379)))))),0)</f>
        <v>0</v>
      </c>
      <c r="AB1021" s="298">
        <f>IF(Years="Five",IF(AB$338&gt;$D$33,0,IF(Input!AB$54&lt;31,Input!AB$54/30*AB379,IF(Input!AB$54&lt;61,(Input!AB$54-30)/30*AB379,IF(Input!AB$54&lt;91,(Input!AB$54-60)/30*AB379,IF(Input!AB$54&lt;121,(Input!AB$54-90)/30*AB379,IF(Input!AB$54&lt;151,(Input!AB$54-120)/30*AB379,(Input!AB$54-150)/30*AB379)))))),0)</f>
        <v>0</v>
      </c>
      <c r="CH1021" s="269"/>
      <c r="CI1021" s="269"/>
      <c r="CJ1021" s="269"/>
      <c r="CK1021" s="269"/>
      <c r="CL1021" s="269"/>
      <c r="CM1021" s="269"/>
      <c r="CN1021" s="269"/>
      <c r="CO1021" s="269"/>
      <c r="CP1021" s="269"/>
      <c r="CQ1021" s="269"/>
      <c r="CR1021" s="269"/>
      <c r="CS1021" s="269"/>
    </row>
    <row r="1022" spans="3:97" x14ac:dyDescent="0.3">
      <c r="C1022" s="638">
        <f>C959</f>
        <v>1247</v>
      </c>
      <c r="D1022" s="297">
        <f>IF(Years="Five",IF(D$338&gt;$D$33,0,IF(Input!D$54&lt;31,Input!D$54/30*D380,IF(Input!D$54&lt;61,(Input!D$54-30)/30*D380,IF(Input!D$54&lt;91,(Input!D$54-60)/30*D380,IF(Input!D$54&lt;121,(Input!D$54-90)/30*D380,IF(Input!D$54&lt;151,(Input!D$54-120)/30*D380,(Input!D$54-150)/30*D380)))))),0)</f>
        <v>0</v>
      </c>
      <c r="E1022" s="229">
        <f>IF(Years="Five",IF(E$338&gt;$D$33,0,IF(Input!E$54&lt;31,Input!E$54/30*E380,IF(Input!E$54&lt;61,(Input!E$54-30)/30*E380,IF(Input!E$54&lt;91,(Input!E$54-60)/30*E380,IF(Input!E$54&lt;121,(Input!E$54-90)/30*E380,IF(Input!E$54&lt;151,(Input!E$54-120)/30*E380,(Input!E$54-150)/30*E380)))))),0)</f>
        <v>0</v>
      </c>
      <c r="F1022" s="229">
        <f>IF(Years="Five",IF(F$338&gt;$D$33,0,IF(Input!F$54&lt;31,Input!F$54/30*F380,IF(Input!F$54&lt;61,(Input!F$54-30)/30*F380,IF(Input!F$54&lt;91,(Input!F$54-60)/30*F380,IF(Input!F$54&lt;121,(Input!F$54-90)/30*F380,IF(Input!F$54&lt;151,(Input!F$54-120)/30*F380,(Input!F$54-150)/30*F380)))))),0)</f>
        <v>0</v>
      </c>
      <c r="G1022" s="229">
        <f>IF(Years="Five",IF(G$338&gt;$D$33,0,IF(Input!G$54&lt;31,Input!G$54/30*G380,IF(Input!G$54&lt;61,(Input!G$54-30)/30*G380,IF(Input!G$54&lt;91,(Input!G$54-60)/30*G380,IF(Input!G$54&lt;121,(Input!G$54-90)/30*G380,IF(Input!G$54&lt;151,(Input!G$54-120)/30*G380,(Input!G$54-150)/30*G380)))))),0)</f>
        <v>0</v>
      </c>
      <c r="H1022" s="229">
        <f>IF(Years="Five",IF(H$338&gt;$D$33,0,IF(Input!H$54&lt;31,Input!H$54/30*H380,IF(Input!H$54&lt;61,(Input!H$54-30)/30*H380,IF(Input!H$54&lt;91,(Input!H$54-60)/30*H380,IF(Input!H$54&lt;121,(Input!H$54-90)/30*H380,IF(Input!H$54&lt;151,(Input!H$54-120)/30*H380,(Input!H$54-150)/30*H380)))))),0)</f>
        <v>0</v>
      </c>
      <c r="I1022" s="229">
        <f>IF(Years="Five",IF(I$338&gt;$D$33,0,IF(Input!I$54&lt;31,Input!I$54/30*I380,IF(Input!I$54&lt;61,(Input!I$54-30)/30*I380,IF(Input!I$54&lt;91,(Input!I$54-60)/30*I380,IF(Input!I$54&lt;121,(Input!I$54-90)/30*I380,IF(Input!I$54&lt;151,(Input!I$54-120)/30*I380,(Input!I$54-150)/30*I380)))))),0)</f>
        <v>0</v>
      </c>
      <c r="J1022" s="229">
        <f>IF(Years="Five",IF(J$338&gt;$D$33,0,IF(Input!J$54&lt;31,Input!J$54/30*J380,IF(Input!J$54&lt;61,(Input!J$54-30)/30*J380,IF(Input!J$54&lt;91,(Input!J$54-60)/30*J380,IF(Input!J$54&lt;121,(Input!J$54-90)/30*J380,IF(Input!J$54&lt;151,(Input!J$54-120)/30*J380,(Input!J$54-150)/30*J380)))))),0)</f>
        <v>0</v>
      </c>
      <c r="K1022" s="229">
        <f>IF(Years="Five",IF(K$338&gt;$D$33,0,IF(Input!K$54&lt;31,Input!K$54/30*K380,IF(Input!K$54&lt;61,(Input!K$54-30)/30*K380,IF(Input!K$54&lt;91,(Input!K$54-60)/30*K380,IF(Input!K$54&lt;121,(Input!K$54-90)/30*K380,IF(Input!K$54&lt;151,(Input!K$54-120)/30*K380,(Input!K$54-150)/30*K380)))))),0)</f>
        <v>0</v>
      </c>
      <c r="L1022" s="229">
        <f>IF(Years="Five",IF(L$338&gt;$D$33,0,IF(Input!L$54&lt;31,Input!L$54/30*L380,IF(Input!L$54&lt;61,(Input!L$54-30)/30*L380,IF(Input!L$54&lt;91,(Input!L$54-60)/30*L380,IF(Input!L$54&lt;121,(Input!L$54-90)/30*L380,IF(Input!L$54&lt;151,(Input!L$54-120)/30*L380,(Input!L$54-150)/30*L380)))))),0)</f>
        <v>0</v>
      </c>
      <c r="M1022" s="229">
        <f>IF(Years="Five",IF(M$338&gt;$D$33,0,IF(Input!M$54&lt;31,Input!M$54/30*M380,IF(Input!M$54&lt;61,(Input!M$54-30)/30*M380,IF(Input!M$54&lt;91,(Input!M$54-60)/30*M380,IF(Input!M$54&lt;121,(Input!M$54-90)/30*M380,IF(Input!M$54&lt;151,(Input!M$54-120)/30*M380,(Input!M$54-150)/30*M380)))))),0)</f>
        <v>0</v>
      </c>
      <c r="N1022" s="229">
        <f>IF(Years="Five",IF(N$338&gt;$D$33,0,IF(Input!N$54&lt;31,Input!N$54/30*N380,IF(Input!N$54&lt;61,(Input!N$54-30)/30*N380,IF(Input!N$54&lt;91,(Input!N$54-60)/30*N380,IF(Input!N$54&lt;121,(Input!N$54-90)/30*N380,IF(Input!N$54&lt;151,(Input!N$54-120)/30*N380,(Input!N$54-150)/30*N380)))))),0)</f>
        <v>0</v>
      </c>
      <c r="O1022" s="229">
        <f>IF(Years="Five",IF(O$338&gt;$D$33,0,IF(Input!O$54&lt;31,Input!O$54/30*O380,IF(Input!O$54&lt;61,(Input!O$54-30)/30*O380,IF(Input!O$54&lt;91,(Input!O$54-60)/30*O380,IF(Input!O$54&lt;121,(Input!O$54-90)/30*O380,IF(Input!O$54&lt;151,(Input!O$54-120)/30*O380,(Input!O$54-150)/30*O380)))))),0)</f>
        <v>0</v>
      </c>
      <c r="P1022" s="229">
        <f>IF(Years="Five",IF(P$338&gt;$D$33,0,IF(Input!P$54&lt;31,Input!P$54/30*P380,IF(Input!P$54&lt;61,(Input!P$54-30)/30*P380,IF(Input!P$54&lt;91,(Input!P$54-60)/30*P380,IF(Input!P$54&lt;121,(Input!P$54-90)/30*P380,IF(Input!P$54&lt;151,(Input!P$54-120)/30*P380,(Input!P$54-150)/30*P380)))))),0)</f>
        <v>0</v>
      </c>
      <c r="Q1022" s="229">
        <f>IF(Years="Five",IF(Q$338&gt;$D$33,0,IF(Input!Q$54&lt;31,Input!Q$54/30*Q380,IF(Input!Q$54&lt;61,(Input!Q$54-30)/30*Q380,IF(Input!Q$54&lt;91,(Input!Q$54-60)/30*Q380,IF(Input!Q$54&lt;121,(Input!Q$54-90)/30*Q380,IF(Input!Q$54&lt;151,(Input!Q$54-120)/30*Q380,(Input!Q$54-150)/30*Q380)))))),0)</f>
        <v>0</v>
      </c>
      <c r="R1022" s="229">
        <f>IF(Years="Five",IF(R$338&gt;$D$33,0,IF(Input!R$54&lt;31,Input!R$54/30*R380,IF(Input!R$54&lt;61,(Input!R$54-30)/30*R380,IF(Input!R$54&lt;91,(Input!R$54-60)/30*R380,IF(Input!R$54&lt;121,(Input!R$54-90)/30*R380,IF(Input!R$54&lt;151,(Input!R$54-120)/30*R380,(Input!R$54-150)/30*R380)))))),0)</f>
        <v>0</v>
      </c>
      <c r="S1022" s="229">
        <f>IF(Years="Five",IF(S$338&gt;$D$33,0,IF(Input!S$54&lt;31,Input!S$54/30*S380,IF(Input!S$54&lt;61,(Input!S$54-30)/30*S380,IF(Input!S$54&lt;91,(Input!S$54-60)/30*S380,IF(Input!S$54&lt;121,(Input!S$54-90)/30*S380,IF(Input!S$54&lt;151,(Input!S$54-120)/30*S380,(Input!S$54-150)/30*S380)))))),0)</f>
        <v>0</v>
      </c>
      <c r="T1022" s="229">
        <f>IF(Years="Five",IF(T$338&gt;$D$33,0,IF(Input!T$54&lt;31,Input!T$54/30*T380,IF(Input!T$54&lt;61,(Input!T$54-30)/30*T380,IF(Input!T$54&lt;91,(Input!T$54-60)/30*T380,IF(Input!T$54&lt;121,(Input!T$54-90)/30*T380,IF(Input!T$54&lt;151,(Input!T$54-120)/30*T380,(Input!T$54-150)/30*T380)))))),0)</f>
        <v>0</v>
      </c>
      <c r="U1022" s="229">
        <f>IF(Years="Five",IF(U$338&gt;$D$33,0,IF(Input!U$54&lt;31,Input!U$54/30*U380,IF(Input!U$54&lt;61,(Input!U$54-30)/30*U380,IF(Input!U$54&lt;91,(Input!U$54-60)/30*U380,IF(Input!U$54&lt;121,(Input!U$54-90)/30*U380,IF(Input!U$54&lt;151,(Input!U$54-120)/30*U380,(Input!U$54-150)/30*U380)))))),0)</f>
        <v>0</v>
      </c>
      <c r="V1022" s="229">
        <f>IF(Years="Five",IF(V$338&gt;$D$33,0,IF(Input!V$54&lt;31,Input!V$54/30*V380,IF(Input!V$54&lt;61,(Input!V$54-30)/30*V380,IF(Input!V$54&lt;91,(Input!V$54-60)/30*V380,IF(Input!V$54&lt;121,(Input!V$54-90)/30*V380,IF(Input!V$54&lt;151,(Input!V$54-120)/30*V380,(Input!V$54-150)/30*V380)))))),0)</f>
        <v>0</v>
      </c>
      <c r="W1022" s="229">
        <f>IF(Years="Five",IF(W$338&gt;$D$33,0,IF(Input!W$54&lt;31,Input!W$54/30*W380,IF(Input!W$54&lt;61,(Input!W$54-30)/30*W380,IF(Input!W$54&lt;91,(Input!W$54-60)/30*W380,IF(Input!W$54&lt;121,(Input!W$54-90)/30*W380,IF(Input!W$54&lt;151,(Input!W$54-120)/30*W380,(Input!W$54-150)/30*W380)))))),0)</f>
        <v>0</v>
      </c>
      <c r="X1022" s="229">
        <f>IF(Years="Five",IF(X$338&gt;$D$33,0,IF(Input!X$54&lt;31,Input!X$54/30*X380,IF(Input!X$54&lt;61,(Input!X$54-30)/30*X380,IF(Input!X$54&lt;91,(Input!X$54-60)/30*X380,IF(Input!X$54&lt;121,(Input!X$54-90)/30*X380,IF(Input!X$54&lt;151,(Input!X$54-120)/30*X380,(Input!X$54-150)/30*X380)))))),0)</f>
        <v>0</v>
      </c>
      <c r="Y1022" s="229">
        <f>IF(Years="Five",IF(Y$338&gt;$D$33,0,IF(Input!Y$54&lt;31,Input!Y$54/30*Y380,IF(Input!Y$54&lt;61,(Input!Y$54-30)/30*Y380,IF(Input!Y$54&lt;91,(Input!Y$54-60)/30*Y380,IF(Input!Y$54&lt;121,(Input!Y$54-90)/30*Y380,IF(Input!Y$54&lt;151,(Input!Y$54-120)/30*Y380,(Input!Y$54-150)/30*Y380)))))),0)</f>
        <v>0</v>
      </c>
      <c r="Z1022" s="229">
        <f>IF(Years="Five",IF(Z$338&gt;$D$33,0,IF(Input!Z$54&lt;31,Input!Z$54/30*Z380,IF(Input!Z$54&lt;61,(Input!Z$54-30)/30*Z380,IF(Input!Z$54&lt;91,(Input!Z$54-60)/30*Z380,IF(Input!Z$54&lt;121,(Input!Z$54-90)/30*Z380,IF(Input!Z$54&lt;151,(Input!Z$54-120)/30*Z380,(Input!Z$54-150)/30*Z380)))))),0)</f>
        <v>0</v>
      </c>
      <c r="AA1022" s="229">
        <f>IF(Years="Five",IF(AA$338&gt;$D$33,0,IF(Input!AA$54&lt;31,Input!AA$54/30*AA380,IF(Input!AA$54&lt;61,(Input!AA$54-30)/30*AA380,IF(Input!AA$54&lt;91,(Input!AA$54-60)/30*AA380,IF(Input!AA$54&lt;121,(Input!AA$54-90)/30*AA380,IF(Input!AA$54&lt;151,(Input!AA$54-120)/30*AA380,(Input!AA$54-150)/30*AA380)))))),0)</f>
        <v>0</v>
      </c>
      <c r="AB1022" s="298">
        <f>IF(Years="Five",IF(AB$338&gt;$D$33,0,IF(Input!AB$54&lt;31,Input!AB$54/30*AB380,IF(Input!AB$54&lt;61,(Input!AB$54-30)/30*AB380,IF(Input!AB$54&lt;91,(Input!AB$54-60)/30*AB380,IF(Input!AB$54&lt;121,(Input!AB$54-90)/30*AB380,IF(Input!AB$54&lt;151,(Input!AB$54-120)/30*AB380,(Input!AB$54-150)/30*AB380)))))),0)</f>
        <v>0</v>
      </c>
      <c r="CH1022" s="269"/>
      <c r="CI1022" s="269"/>
      <c r="CJ1022" s="269"/>
      <c r="CK1022" s="269"/>
      <c r="CL1022" s="269"/>
      <c r="CM1022" s="269"/>
      <c r="CN1022" s="269"/>
      <c r="CO1022" s="269"/>
      <c r="CP1022" s="269"/>
      <c r="CQ1022" s="269"/>
      <c r="CR1022" s="269"/>
      <c r="CS1022" s="269"/>
    </row>
    <row r="1023" spans="3:97" x14ac:dyDescent="0.3">
      <c r="C1023" s="638">
        <f>C960</f>
        <v>1277</v>
      </c>
      <c r="D1023" s="297">
        <f>IF(Years="Five",IF(D$338&gt;$D$33,0,IF(Input!D$54&lt;31,Input!D$54/30*D381,IF(Input!D$54&lt;61,(Input!D$54-30)/30*D381,IF(Input!D$54&lt;91,(Input!D$54-60)/30*D381,IF(Input!D$54&lt;121,(Input!D$54-90)/30*D381,IF(Input!D$54&lt;151,(Input!D$54-120)/30*D381,(Input!D$54-150)/30*D381)))))),0)</f>
        <v>0</v>
      </c>
      <c r="E1023" s="229">
        <f>IF(Years="Five",IF(E$338&gt;$D$33,0,IF(Input!E$54&lt;31,Input!E$54/30*E381,IF(Input!E$54&lt;61,(Input!E$54-30)/30*E381,IF(Input!E$54&lt;91,(Input!E$54-60)/30*E381,IF(Input!E$54&lt;121,(Input!E$54-90)/30*E381,IF(Input!E$54&lt;151,(Input!E$54-120)/30*E381,(Input!E$54-150)/30*E381)))))),0)</f>
        <v>0</v>
      </c>
      <c r="F1023" s="229">
        <f>IF(Years="Five",IF(F$338&gt;$D$33,0,IF(Input!F$54&lt;31,Input!F$54/30*F381,IF(Input!F$54&lt;61,(Input!F$54-30)/30*F381,IF(Input!F$54&lt;91,(Input!F$54-60)/30*F381,IF(Input!F$54&lt;121,(Input!F$54-90)/30*F381,IF(Input!F$54&lt;151,(Input!F$54-120)/30*F381,(Input!F$54-150)/30*F381)))))),0)</f>
        <v>0</v>
      </c>
      <c r="G1023" s="229">
        <f>IF(Years="Five",IF(G$338&gt;$D$33,0,IF(Input!G$54&lt;31,Input!G$54/30*G381,IF(Input!G$54&lt;61,(Input!G$54-30)/30*G381,IF(Input!G$54&lt;91,(Input!G$54-60)/30*G381,IF(Input!G$54&lt;121,(Input!G$54-90)/30*G381,IF(Input!G$54&lt;151,(Input!G$54-120)/30*G381,(Input!G$54-150)/30*G381)))))),0)</f>
        <v>0</v>
      </c>
      <c r="H1023" s="229">
        <f>IF(Years="Five",IF(H$338&gt;$D$33,0,IF(Input!H$54&lt;31,Input!H$54/30*H381,IF(Input!H$54&lt;61,(Input!H$54-30)/30*H381,IF(Input!H$54&lt;91,(Input!H$54-60)/30*H381,IF(Input!H$54&lt;121,(Input!H$54-90)/30*H381,IF(Input!H$54&lt;151,(Input!H$54-120)/30*H381,(Input!H$54-150)/30*H381)))))),0)</f>
        <v>0</v>
      </c>
      <c r="I1023" s="229">
        <f>IF(Years="Five",IF(I$338&gt;$D$33,0,IF(Input!I$54&lt;31,Input!I$54/30*I381,IF(Input!I$54&lt;61,(Input!I$54-30)/30*I381,IF(Input!I$54&lt;91,(Input!I$54-60)/30*I381,IF(Input!I$54&lt;121,(Input!I$54-90)/30*I381,IF(Input!I$54&lt;151,(Input!I$54-120)/30*I381,(Input!I$54-150)/30*I381)))))),0)</f>
        <v>0</v>
      </c>
      <c r="J1023" s="229">
        <f>IF(Years="Five",IF(J$338&gt;$D$33,0,IF(Input!J$54&lt;31,Input!J$54/30*J381,IF(Input!J$54&lt;61,(Input!J$54-30)/30*J381,IF(Input!J$54&lt;91,(Input!J$54-60)/30*J381,IF(Input!J$54&lt;121,(Input!J$54-90)/30*J381,IF(Input!J$54&lt;151,(Input!J$54-120)/30*J381,(Input!J$54-150)/30*J381)))))),0)</f>
        <v>0</v>
      </c>
      <c r="K1023" s="229">
        <f>IF(Years="Five",IF(K$338&gt;$D$33,0,IF(Input!K$54&lt;31,Input!K$54/30*K381,IF(Input!K$54&lt;61,(Input!K$54-30)/30*K381,IF(Input!K$54&lt;91,(Input!K$54-60)/30*K381,IF(Input!K$54&lt;121,(Input!K$54-90)/30*K381,IF(Input!K$54&lt;151,(Input!K$54-120)/30*K381,(Input!K$54-150)/30*K381)))))),0)</f>
        <v>0</v>
      </c>
      <c r="L1023" s="229">
        <f>IF(Years="Five",IF(L$338&gt;$D$33,0,IF(Input!L$54&lt;31,Input!L$54/30*L381,IF(Input!L$54&lt;61,(Input!L$54-30)/30*L381,IF(Input!L$54&lt;91,(Input!L$54-60)/30*L381,IF(Input!L$54&lt;121,(Input!L$54-90)/30*L381,IF(Input!L$54&lt;151,(Input!L$54-120)/30*L381,(Input!L$54-150)/30*L381)))))),0)</f>
        <v>0</v>
      </c>
      <c r="M1023" s="229">
        <f>IF(Years="Five",IF(M$338&gt;$D$33,0,IF(Input!M$54&lt;31,Input!M$54/30*M381,IF(Input!M$54&lt;61,(Input!M$54-30)/30*M381,IF(Input!M$54&lt;91,(Input!M$54-60)/30*M381,IF(Input!M$54&lt;121,(Input!M$54-90)/30*M381,IF(Input!M$54&lt;151,(Input!M$54-120)/30*M381,(Input!M$54-150)/30*M381)))))),0)</f>
        <v>0</v>
      </c>
      <c r="N1023" s="229">
        <f>IF(Years="Five",IF(N$338&gt;$D$33,0,IF(Input!N$54&lt;31,Input!N$54/30*N381,IF(Input!N$54&lt;61,(Input!N$54-30)/30*N381,IF(Input!N$54&lt;91,(Input!N$54-60)/30*N381,IF(Input!N$54&lt;121,(Input!N$54-90)/30*N381,IF(Input!N$54&lt;151,(Input!N$54-120)/30*N381,(Input!N$54-150)/30*N381)))))),0)</f>
        <v>0</v>
      </c>
      <c r="O1023" s="229">
        <f>IF(Years="Five",IF(O$338&gt;$D$33,0,IF(Input!O$54&lt;31,Input!O$54/30*O381,IF(Input!O$54&lt;61,(Input!O$54-30)/30*O381,IF(Input!O$54&lt;91,(Input!O$54-60)/30*O381,IF(Input!O$54&lt;121,(Input!O$54-90)/30*O381,IF(Input!O$54&lt;151,(Input!O$54-120)/30*O381,(Input!O$54-150)/30*O381)))))),0)</f>
        <v>0</v>
      </c>
      <c r="P1023" s="229">
        <f>IF(Years="Five",IF(P$338&gt;$D$33,0,IF(Input!P$54&lt;31,Input!P$54/30*P381,IF(Input!P$54&lt;61,(Input!P$54-30)/30*P381,IF(Input!P$54&lt;91,(Input!P$54-60)/30*P381,IF(Input!P$54&lt;121,(Input!P$54-90)/30*P381,IF(Input!P$54&lt;151,(Input!P$54-120)/30*P381,(Input!P$54-150)/30*P381)))))),0)</f>
        <v>0</v>
      </c>
      <c r="Q1023" s="229">
        <f>IF(Years="Five",IF(Q$338&gt;$D$33,0,IF(Input!Q$54&lt;31,Input!Q$54/30*Q381,IF(Input!Q$54&lt;61,(Input!Q$54-30)/30*Q381,IF(Input!Q$54&lt;91,(Input!Q$54-60)/30*Q381,IF(Input!Q$54&lt;121,(Input!Q$54-90)/30*Q381,IF(Input!Q$54&lt;151,(Input!Q$54-120)/30*Q381,(Input!Q$54-150)/30*Q381)))))),0)</f>
        <v>0</v>
      </c>
      <c r="R1023" s="229">
        <f>IF(Years="Five",IF(R$338&gt;$D$33,0,IF(Input!R$54&lt;31,Input!R$54/30*R381,IF(Input!R$54&lt;61,(Input!R$54-30)/30*R381,IF(Input!R$54&lt;91,(Input!R$54-60)/30*R381,IF(Input!R$54&lt;121,(Input!R$54-90)/30*R381,IF(Input!R$54&lt;151,(Input!R$54-120)/30*R381,(Input!R$54-150)/30*R381)))))),0)</f>
        <v>0</v>
      </c>
      <c r="S1023" s="229">
        <f>IF(Years="Five",IF(S$338&gt;$D$33,0,IF(Input!S$54&lt;31,Input!S$54/30*S381,IF(Input!S$54&lt;61,(Input!S$54-30)/30*S381,IF(Input!S$54&lt;91,(Input!S$54-60)/30*S381,IF(Input!S$54&lt;121,(Input!S$54-90)/30*S381,IF(Input!S$54&lt;151,(Input!S$54-120)/30*S381,(Input!S$54-150)/30*S381)))))),0)</f>
        <v>0</v>
      </c>
      <c r="T1023" s="229">
        <f>IF(Years="Five",IF(T$338&gt;$D$33,0,IF(Input!T$54&lt;31,Input!T$54/30*T381,IF(Input!T$54&lt;61,(Input!T$54-30)/30*T381,IF(Input!T$54&lt;91,(Input!T$54-60)/30*T381,IF(Input!T$54&lt;121,(Input!T$54-90)/30*T381,IF(Input!T$54&lt;151,(Input!T$54-120)/30*T381,(Input!T$54-150)/30*T381)))))),0)</f>
        <v>0</v>
      </c>
      <c r="U1023" s="229">
        <f>IF(Years="Five",IF(U$338&gt;$D$33,0,IF(Input!U$54&lt;31,Input!U$54/30*U381,IF(Input!U$54&lt;61,(Input!U$54-30)/30*U381,IF(Input!U$54&lt;91,(Input!U$54-60)/30*U381,IF(Input!U$54&lt;121,(Input!U$54-90)/30*U381,IF(Input!U$54&lt;151,(Input!U$54-120)/30*U381,(Input!U$54-150)/30*U381)))))),0)</f>
        <v>0</v>
      </c>
      <c r="V1023" s="229">
        <f>IF(Years="Five",IF(V$338&gt;$D$33,0,IF(Input!V$54&lt;31,Input!V$54/30*V381,IF(Input!V$54&lt;61,(Input!V$54-30)/30*V381,IF(Input!V$54&lt;91,(Input!V$54-60)/30*V381,IF(Input!V$54&lt;121,(Input!V$54-90)/30*V381,IF(Input!V$54&lt;151,(Input!V$54-120)/30*V381,(Input!V$54-150)/30*V381)))))),0)</f>
        <v>0</v>
      </c>
      <c r="W1023" s="229">
        <f>IF(Years="Five",IF(W$338&gt;$D$33,0,IF(Input!W$54&lt;31,Input!W$54/30*W381,IF(Input!W$54&lt;61,(Input!W$54-30)/30*W381,IF(Input!W$54&lt;91,(Input!W$54-60)/30*W381,IF(Input!W$54&lt;121,(Input!W$54-90)/30*W381,IF(Input!W$54&lt;151,(Input!W$54-120)/30*W381,(Input!W$54-150)/30*W381)))))),0)</f>
        <v>0</v>
      </c>
      <c r="X1023" s="229">
        <f>IF(Years="Five",IF(X$338&gt;$D$33,0,IF(Input!X$54&lt;31,Input!X$54/30*X381,IF(Input!X$54&lt;61,(Input!X$54-30)/30*X381,IF(Input!X$54&lt;91,(Input!X$54-60)/30*X381,IF(Input!X$54&lt;121,(Input!X$54-90)/30*X381,IF(Input!X$54&lt;151,(Input!X$54-120)/30*X381,(Input!X$54-150)/30*X381)))))),0)</f>
        <v>0</v>
      </c>
      <c r="Y1023" s="229">
        <f>IF(Years="Five",IF(Y$338&gt;$D$33,0,IF(Input!Y$54&lt;31,Input!Y$54/30*Y381,IF(Input!Y$54&lt;61,(Input!Y$54-30)/30*Y381,IF(Input!Y$54&lt;91,(Input!Y$54-60)/30*Y381,IF(Input!Y$54&lt;121,(Input!Y$54-90)/30*Y381,IF(Input!Y$54&lt;151,(Input!Y$54-120)/30*Y381,(Input!Y$54-150)/30*Y381)))))),0)</f>
        <v>0</v>
      </c>
      <c r="Z1023" s="229">
        <f>IF(Years="Five",IF(Z$338&gt;$D$33,0,IF(Input!Z$54&lt;31,Input!Z$54/30*Z381,IF(Input!Z$54&lt;61,(Input!Z$54-30)/30*Z381,IF(Input!Z$54&lt;91,(Input!Z$54-60)/30*Z381,IF(Input!Z$54&lt;121,(Input!Z$54-90)/30*Z381,IF(Input!Z$54&lt;151,(Input!Z$54-120)/30*Z381,(Input!Z$54-150)/30*Z381)))))),0)</f>
        <v>0</v>
      </c>
      <c r="AA1023" s="229">
        <f>IF(Years="Five",IF(AA$338&gt;$D$33,0,IF(Input!AA$54&lt;31,Input!AA$54/30*AA381,IF(Input!AA$54&lt;61,(Input!AA$54-30)/30*AA381,IF(Input!AA$54&lt;91,(Input!AA$54-60)/30*AA381,IF(Input!AA$54&lt;121,(Input!AA$54-90)/30*AA381,IF(Input!AA$54&lt;151,(Input!AA$54-120)/30*AA381,(Input!AA$54-150)/30*AA381)))))),0)</f>
        <v>0</v>
      </c>
      <c r="AB1023" s="298">
        <f>IF(Years="Five",IF(AB$338&gt;$D$33,0,IF(Input!AB$54&lt;31,Input!AB$54/30*AB381,IF(Input!AB$54&lt;61,(Input!AB$54-30)/30*AB381,IF(Input!AB$54&lt;91,(Input!AB$54-60)/30*AB381,IF(Input!AB$54&lt;121,(Input!AB$54-90)/30*AB381,IF(Input!AB$54&lt;151,(Input!AB$54-120)/30*AB381,(Input!AB$54-150)/30*AB381)))))),0)</f>
        <v>0</v>
      </c>
      <c r="CH1023" s="269"/>
      <c r="CI1023" s="269"/>
      <c r="CJ1023" s="269"/>
      <c r="CK1023" s="269"/>
      <c r="CL1023" s="269"/>
      <c r="CM1023" s="269"/>
      <c r="CN1023" s="269"/>
      <c r="CO1023" s="269"/>
      <c r="CP1023" s="269"/>
      <c r="CQ1023" s="269"/>
      <c r="CR1023" s="269"/>
      <c r="CS1023" s="269"/>
    </row>
    <row r="1024" spans="3:97" x14ac:dyDescent="0.3">
      <c r="C1024" s="638">
        <f>C961</f>
        <v>1308</v>
      </c>
      <c r="D1024" s="297">
        <f>IF(Years="Five",IF(D$338&gt;$D$33,0,IF(Input!D$54&lt;31,Input!D$54/30*D382,IF(Input!D$54&lt;61,(Input!D$54-30)/30*D382,IF(Input!D$54&lt;91,(Input!D$54-60)/30*D382,IF(Input!D$54&lt;121,(Input!D$54-90)/30*D382,IF(Input!D$54&lt;151,(Input!D$54-120)/30*D382,(Input!D$54-150)/30*D382)))))),0)</f>
        <v>0</v>
      </c>
      <c r="E1024" s="229">
        <f>IF(Years="Five",IF(E$338&gt;$D$33,0,IF(Input!E$54&lt;31,Input!E$54/30*E382,IF(Input!E$54&lt;61,(Input!E$54-30)/30*E382,IF(Input!E$54&lt;91,(Input!E$54-60)/30*E382,IF(Input!E$54&lt;121,(Input!E$54-90)/30*E382,IF(Input!E$54&lt;151,(Input!E$54-120)/30*E382,(Input!E$54-150)/30*E382)))))),0)</f>
        <v>0</v>
      </c>
      <c r="F1024" s="229">
        <f>IF(Years="Five",IF(F$338&gt;$D$33,0,IF(Input!F$54&lt;31,Input!F$54/30*F382,IF(Input!F$54&lt;61,(Input!F$54-30)/30*F382,IF(Input!F$54&lt;91,(Input!F$54-60)/30*F382,IF(Input!F$54&lt;121,(Input!F$54-90)/30*F382,IF(Input!F$54&lt;151,(Input!F$54-120)/30*F382,(Input!F$54-150)/30*F382)))))),0)</f>
        <v>0</v>
      </c>
      <c r="G1024" s="229">
        <f>IF(Years="Five",IF(G$338&gt;$D$33,0,IF(Input!G$54&lt;31,Input!G$54/30*G382,IF(Input!G$54&lt;61,(Input!G$54-30)/30*G382,IF(Input!G$54&lt;91,(Input!G$54-60)/30*G382,IF(Input!G$54&lt;121,(Input!G$54-90)/30*G382,IF(Input!G$54&lt;151,(Input!G$54-120)/30*G382,(Input!G$54-150)/30*G382)))))),0)</f>
        <v>0</v>
      </c>
      <c r="H1024" s="229">
        <f>IF(Years="Five",IF(H$338&gt;$D$33,0,IF(Input!H$54&lt;31,Input!H$54/30*H382,IF(Input!H$54&lt;61,(Input!H$54-30)/30*H382,IF(Input!H$54&lt;91,(Input!H$54-60)/30*H382,IF(Input!H$54&lt;121,(Input!H$54-90)/30*H382,IF(Input!H$54&lt;151,(Input!H$54-120)/30*H382,(Input!H$54-150)/30*H382)))))),0)</f>
        <v>0</v>
      </c>
      <c r="I1024" s="229">
        <f>IF(Years="Five",IF(I$338&gt;$D$33,0,IF(Input!I$54&lt;31,Input!I$54/30*I382,IF(Input!I$54&lt;61,(Input!I$54-30)/30*I382,IF(Input!I$54&lt;91,(Input!I$54-60)/30*I382,IF(Input!I$54&lt;121,(Input!I$54-90)/30*I382,IF(Input!I$54&lt;151,(Input!I$54-120)/30*I382,(Input!I$54-150)/30*I382)))))),0)</f>
        <v>0</v>
      </c>
      <c r="J1024" s="229">
        <f>IF(Years="Five",IF(J$338&gt;$D$33,0,IF(Input!J$54&lt;31,Input!J$54/30*J382,IF(Input!J$54&lt;61,(Input!J$54-30)/30*J382,IF(Input!J$54&lt;91,(Input!J$54-60)/30*J382,IF(Input!J$54&lt;121,(Input!J$54-90)/30*J382,IF(Input!J$54&lt;151,(Input!J$54-120)/30*J382,(Input!J$54-150)/30*J382)))))),0)</f>
        <v>0</v>
      </c>
      <c r="K1024" s="229">
        <f>IF(Years="Five",IF(K$338&gt;$D$33,0,IF(Input!K$54&lt;31,Input!K$54/30*K382,IF(Input!K$54&lt;61,(Input!K$54-30)/30*K382,IF(Input!K$54&lt;91,(Input!K$54-60)/30*K382,IF(Input!K$54&lt;121,(Input!K$54-90)/30*K382,IF(Input!K$54&lt;151,(Input!K$54-120)/30*K382,(Input!K$54-150)/30*K382)))))),0)</f>
        <v>0</v>
      </c>
      <c r="L1024" s="229">
        <f>IF(Years="Five",IF(L$338&gt;$D$33,0,IF(Input!L$54&lt;31,Input!L$54/30*L382,IF(Input!L$54&lt;61,(Input!L$54-30)/30*L382,IF(Input!L$54&lt;91,(Input!L$54-60)/30*L382,IF(Input!L$54&lt;121,(Input!L$54-90)/30*L382,IF(Input!L$54&lt;151,(Input!L$54-120)/30*L382,(Input!L$54-150)/30*L382)))))),0)</f>
        <v>0</v>
      </c>
      <c r="M1024" s="229">
        <f>IF(Years="Five",IF(M$338&gt;$D$33,0,IF(Input!M$54&lt;31,Input!M$54/30*M382,IF(Input!M$54&lt;61,(Input!M$54-30)/30*M382,IF(Input!M$54&lt;91,(Input!M$54-60)/30*M382,IF(Input!M$54&lt;121,(Input!M$54-90)/30*M382,IF(Input!M$54&lt;151,(Input!M$54-120)/30*M382,(Input!M$54-150)/30*M382)))))),0)</f>
        <v>0</v>
      </c>
      <c r="N1024" s="229">
        <f>IF(Years="Five",IF(N$338&gt;$D$33,0,IF(Input!N$54&lt;31,Input!N$54/30*N382,IF(Input!N$54&lt;61,(Input!N$54-30)/30*N382,IF(Input!N$54&lt;91,(Input!N$54-60)/30*N382,IF(Input!N$54&lt;121,(Input!N$54-90)/30*N382,IF(Input!N$54&lt;151,(Input!N$54-120)/30*N382,(Input!N$54-150)/30*N382)))))),0)</f>
        <v>0</v>
      </c>
      <c r="O1024" s="229">
        <f>IF(Years="Five",IF(O$338&gt;$D$33,0,IF(Input!O$54&lt;31,Input!O$54/30*O382,IF(Input!O$54&lt;61,(Input!O$54-30)/30*O382,IF(Input!O$54&lt;91,(Input!O$54-60)/30*O382,IF(Input!O$54&lt;121,(Input!O$54-90)/30*O382,IF(Input!O$54&lt;151,(Input!O$54-120)/30*O382,(Input!O$54-150)/30*O382)))))),0)</f>
        <v>0</v>
      </c>
      <c r="P1024" s="229">
        <f>IF(Years="Five",IF(P$338&gt;$D$33,0,IF(Input!P$54&lt;31,Input!P$54/30*P382,IF(Input!P$54&lt;61,(Input!P$54-30)/30*P382,IF(Input!P$54&lt;91,(Input!P$54-60)/30*P382,IF(Input!P$54&lt;121,(Input!P$54-90)/30*P382,IF(Input!P$54&lt;151,(Input!P$54-120)/30*P382,(Input!P$54-150)/30*P382)))))),0)</f>
        <v>0</v>
      </c>
      <c r="Q1024" s="229">
        <f>IF(Years="Five",IF(Q$338&gt;$D$33,0,IF(Input!Q$54&lt;31,Input!Q$54/30*Q382,IF(Input!Q$54&lt;61,(Input!Q$54-30)/30*Q382,IF(Input!Q$54&lt;91,(Input!Q$54-60)/30*Q382,IF(Input!Q$54&lt;121,(Input!Q$54-90)/30*Q382,IF(Input!Q$54&lt;151,(Input!Q$54-120)/30*Q382,(Input!Q$54-150)/30*Q382)))))),0)</f>
        <v>0</v>
      </c>
      <c r="R1024" s="229">
        <f>IF(Years="Five",IF(R$338&gt;$D$33,0,IF(Input!R$54&lt;31,Input!R$54/30*R382,IF(Input!R$54&lt;61,(Input!R$54-30)/30*R382,IF(Input!R$54&lt;91,(Input!R$54-60)/30*R382,IF(Input!R$54&lt;121,(Input!R$54-90)/30*R382,IF(Input!R$54&lt;151,(Input!R$54-120)/30*R382,(Input!R$54-150)/30*R382)))))),0)</f>
        <v>0</v>
      </c>
      <c r="S1024" s="229">
        <f>IF(Years="Five",IF(S$338&gt;$D$33,0,IF(Input!S$54&lt;31,Input!S$54/30*S382,IF(Input!S$54&lt;61,(Input!S$54-30)/30*S382,IF(Input!S$54&lt;91,(Input!S$54-60)/30*S382,IF(Input!S$54&lt;121,(Input!S$54-90)/30*S382,IF(Input!S$54&lt;151,(Input!S$54-120)/30*S382,(Input!S$54-150)/30*S382)))))),0)</f>
        <v>0</v>
      </c>
      <c r="T1024" s="229">
        <f>IF(Years="Five",IF(T$338&gt;$D$33,0,IF(Input!T$54&lt;31,Input!T$54/30*T382,IF(Input!T$54&lt;61,(Input!T$54-30)/30*T382,IF(Input!T$54&lt;91,(Input!T$54-60)/30*T382,IF(Input!T$54&lt;121,(Input!T$54-90)/30*T382,IF(Input!T$54&lt;151,(Input!T$54-120)/30*T382,(Input!T$54-150)/30*T382)))))),0)</f>
        <v>0</v>
      </c>
      <c r="U1024" s="229">
        <f>IF(Years="Five",IF(U$338&gt;$D$33,0,IF(Input!U$54&lt;31,Input!U$54/30*U382,IF(Input!U$54&lt;61,(Input!U$54-30)/30*U382,IF(Input!U$54&lt;91,(Input!U$54-60)/30*U382,IF(Input!U$54&lt;121,(Input!U$54-90)/30*U382,IF(Input!U$54&lt;151,(Input!U$54-120)/30*U382,(Input!U$54-150)/30*U382)))))),0)</f>
        <v>0</v>
      </c>
      <c r="V1024" s="229">
        <f>IF(Years="Five",IF(V$338&gt;$D$33,0,IF(Input!V$54&lt;31,Input!V$54/30*V382,IF(Input!V$54&lt;61,(Input!V$54-30)/30*V382,IF(Input!V$54&lt;91,(Input!V$54-60)/30*V382,IF(Input!V$54&lt;121,(Input!V$54-90)/30*V382,IF(Input!V$54&lt;151,(Input!V$54-120)/30*V382,(Input!V$54-150)/30*V382)))))),0)</f>
        <v>0</v>
      </c>
      <c r="W1024" s="229">
        <f>IF(Years="Five",IF(W$338&gt;$D$33,0,IF(Input!W$54&lt;31,Input!W$54/30*W382,IF(Input!W$54&lt;61,(Input!W$54-30)/30*W382,IF(Input!W$54&lt;91,(Input!W$54-60)/30*W382,IF(Input!W$54&lt;121,(Input!W$54-90)/30*W382,IF(Input!W$54&lt;151,(Input!W$54-120)/30*W382,(Input!W$54-150)/30*W382)))))),0)</f>
        <v>0</v>
      </c>
      <c r="X1024" s="229">
        <f>IF(Years="Five",IF(X$338&gt;$D$33,0,IF(Input!X$54&lt;31,Input!X$54/30*X382,IF(Input!X$54&lt;61,(Input!X$54-30)/30*X382,IF(Input!X$54&lt;91,(Input!X$54-60)/30*X382,IF(Input!X$54&lt;121,(Input!X$54-90)/30*X382,IF(Input!X$54&lt;151,(Input!X$54-120)/30*X382,(Input!X$54-150)/30*X382)))))),0)</f>
        <v>0</v>
      </c>
      <c r="Y1024" s="229">
        <f>IF(Years="Five",IF(Y$338&gt;$D$33,0,IF(Input!Y$54&lt;31,Input!Y$54/30*Y382,IF(Input!Y$54&lt;61,(Input!Y$54-30)/30*Y382,IF(Input!Y$54&lt;91,(Input!Y$54-60)/30*Y382,IF(Input!Y$54&lt;121,(Input!Y$54-90)/30*Y382,IF(Input!Y$54&lt;151,(Input!Y$54-120)/30*Y382,(Input!Y$54-150)/30*Y382)))))),0)</f>
        <v>0</v>
      </c>
      <c r="Z1024" s="229">
        <f>IF(Years="Five",IF(Z$338&gt;$D$33,0,IF(Input!Z$54&lt;31,Input!Z$54/30*Z382,IF(Input!Z$54&lt;61,(Input!Z$54-30)/30*Z382,IF(Input!Z$54&lt;91,(Input!Z$54-60)/30*Z382,IF(Input!Z$54&lt;121,(Input!Z$54-90)/30*Z382,IF(Input!Z$54&lt;151,(Input!Z$54-120)/30*Z382,(Input!Z$54-150)/30*Z382)))))),0)</f>
        <v>0</v>
      </c>
      <c r="AA1024" s="229">
        <f>IF(Years="Five",IF(AA$338&gt;$D$33,0,IF(Input!AA$54&lt;31,Input!AA$54/30*AA382,IF(Input!AA$54&lt;61,(Input!AA$54-30)/30*AA382,IF(Input!AA$54&lt;91,(Input!AA$54-60)/30*AA382,IF(Input!AA$54&lt;121,(Input!AA$54-90)/30*AA382,IF(Input!AA$54&lt;151,(Input!AA$54-120)/30*AA382,(Input!AA$54-150)/30*AA382)))))),0)</f>
        <v>0</v>
      </c>
      <c r="AB1024" s="298">
        <f>IF(Years="Five",IF(AB$338&gt;$D$33,0,IF(Input!AB$54&lt;31,Input!AB$54/30*AB382,IF(Input!AB$54&lt;61,(Input!AB$54-30)/30*AB382,IF(Input!AB$54&lt;91,(Input!AB$54-60)/30*AB382,IF(Input!AB$54&lt;121,(Input!AB$54-90)/30*AB382,IF(Input!AB$54&lt;151,(Input!AB$54-120)/30*AB382,(Input!AB$54-150)/30*AB382)))))),0)</f>
        <v>0</v>
      </c>
      <c r="CH1024" s="269"/>
      <c r="CI1024" s="269"/>
      <c r="CJ1024" s="269"/>
      <c r="CK1024" s="269"/>
      <c r="CL1024" s="269"/>
      <c r="CM1024" s="269"/>
      <c r="CN1024" s="269"/>
      <c r="CO1024" s="269"/>
      <c r="CP1024" s="269"/>
      <c r="CQ1024" s="269"/>
      <c r="CR1024" s="269"/>
      <c r="CS1024" s="269"/>
    </row>
    <row r="1025" spans="3:97" x14ac:dyDescent="0.3">
      <c r="C1025" s="638">
        <f>C962</f>
        <v>1339</v>
      </c>
      <c r="D1025" s="297">
        <f>IF(Years="Five",IF(D$338&gt;$D$33,0,IF(Input!D$54&lt;31,Input!D$54/30*D383,IF(Input!D$54&lt;61,(Input!D$54-30)/30*D383,IF(Input!D$54&lt;91,(Input!D$54-60)/30*D383,IF(Input!D$54&lt;121,(Input!D$54-90)/30*D383,IF(Input!D$54&lt;151,(Input!D$54-120)/30*D383,(Input!D$54-150)/30*D383)))))),0)</f>
        <v>0</v>
      </c>
      <c r="E1025" s="229">
        <f>IF(Years="Five",IF(E$338&gt;$D$33,0,IF(Input!E$54&lt;31,Input!E$54/30*E383,IF(Input!E$54&lt;61,(Input!E$54-30)/30*E383,IF(Input!E$54&lt;91,(Input!E$54-60)/30*E383,IF(Input!E$54&lt;121,(Input!E$54-90)/30*E383,IF(Input!E$54&lt;151,(Input!E$54-120)/30*E383,(Input!E$54-150)/30*E383)))))),0)</f>
        <v>0</v>
      </c>
      <c r="F1025" s="229">
        <f>IF(Years="Five",IF(F$338&gt;$D$33,0,IF(Input!F$54&lt;31,Input!F$54/30*F383,IF(Input!F$54&lt;61,(Input!F$54-30)/30*F383,IF(Input!F$54&lt;91,(Input!F$54-60)/30*F383,IF(Input!F$54&lt;121,(Input!F$54-90)/30*F383,IF(Input!F$54&lt;151,(Input!F$54-120)/30*F383,(Input!F$54-150)/30*F383)))))),0)</f>
        <v>0</v>
      </c>
      <c r="G1025" s="229">
        <f>IF(Years="Five",IF(G$338&gt;$D$33,0,IF(Input!G$54&lt;31,Input!G$54/30*G383,IF(Input!G$54&lt;61,(Input!G$54-30)/30*G383,IF(Input!G$54&lt;91,(Input!G$54-60)/30*G383,IF(Input!G$54&lt;121,(Input!G$54-90)/30*G383,IF(Input!G$54&lt;151,(Input!G$54-120)/30*G383,(Input!G$54-150)/30*G383)))))),0)</f>
        <v>0</v>
      </c>
      <c r="H1025" s="229">
        <f>IF(Years="Five",IF(H$338&gt;$D$33,0,IF(Input!H$54&lt;31,Input!H$54/30*H383,IF(Input!H$54&lt;61,(Input!H$54-30)/30*H383,IF(Input!H$54&lt;91,(Input!H$54-60)/30*H383,IF(Input!H$54&lt;121,(Input!H$54-90)/30*H383,IF(Input!H$54&lt;151,(Input!H$54-120)/30*H383,(Input!H$54-150)/30*H383)))))),0)</f>
        <v>0</v>
      </c>
      <c r="I1025" s="229">
        <f>IF(Years="Five",IF(I$338&gt;$D$33,0,IF(Input!I$54&lt;31,Input!I$54/30*I383,IF(Input!I$54&lt;61,(Input!I$54-30)/30*I383,IF(Input!I$54&lt;91,(Input!I$54-60)/30*I383,IF(Input!I$54&lt;121,(Input!I$54-90)/30*I383,IF(Input!I$54&lt;151,(Input!I$54-120)/30*I383,(Input!I$54-150)/30*I383)))))),0)</f>
        <v>0</v>
      </c>
      <c r="J1025" s="229">
        <f>IF(Years="Five",IF(J$338&gt;$D$33,0,IF(Input!J$54&lt;31,Input!J$54/30*J383,IF(Input!J$54&lt;61,(Input!J$54-30)/30*J383,IF(Input!J$54&lt;91,(Input!J$54-60)/30*J383,IF(Input!J$54&lt;121,(Input!J$54-90)/30*J383,IF(Input!J$54&lt;151,(Input!J$54-120)/30*J383,(Input!J$54-150)/30*J383)))))),0)</f>
        <v>0</v>
      </c>
      <c r="K1025" s="229">
        <f>IF(Years="Five",IF(K$338&gt;$D$33,0,IF(Input!K$54&lt;31,Input!K$54/30*K383,IF(Input!K$54&lt;61,(Input!K$54-30)/30*K383,IF(Input!K$54&lt;91,(Input!K$54-60)/30*K383,IF(Input!K$54&lt;121,(Input!K$54-90)/30*K383,IF(Input!K$54&lt;151,(Input!K$54-120)/30*K383,(Input!K$54-150)/30*K383)))))),0)</f>
        <v>0</v>
      </c>
      <c r="L1025" s="229">
        <f>IF(Years="Five",IF(L$338&gt;$D$33,0,IF(Input!L$54&lt;31,Input!L$54/30*L383,IF(Input!L$54&lt;61,(Input!L$54-30)/30*L383,IF(Input!L$54&lt;91,(Input!L$54-60)/30*L383,IF(Input!L$54&lt;121,(Input!L$54-90)/30*L383,IF(Input!L$54&lt;151,(Input!L$54-120)/30*L383,(Input!L$54-150)/30*L383)))))),0)</f>
        <v>0</v>
      </c>
      <c r="M1025" s="229">
        <f>IF(Years="Five",IF(M$338&gt;$D$33,0,IF(Input!M$54&lt;31,Input!M$54/30*M383,IF(Input!M$54&lt;61,(Input!M$54-30)/30*M383,IF(Input!M$54&lt;91,(Input!M$54-60)/30*M383,IF(Input!M$54&lt;121,(Input!M$54-90)/30*M383,IF(Input!M$54&lt;151,(Input!M$54-120)/30*M383,(Input!M$54-150)/30*M383)))))),0)</f>
        <v>0</v>
      </c>
      <c r="N1025" s="229">
        <f>IF(Years="Five",IF(N$338&gt;$D$33,0,IF(Input!N$54&lt;31,Input!N$54/30*N383,IF(Input!N$54&lt;61,(Input!N$54-30)/30*N383,IF(Input!N$54&lt;91,(Input!N$54-60)/30*N383,IF(Input!N$54&lt;121,(Input!N$54-90)/30*N383,IF(Input!N$54&lt;151,(Input!N$54-120)/30*N383,(Input!N$54-150)/30*N383)))))),0)</f>
        <v>0</v>
      </c>
      <c r="O1025" s="229">
        <f>IF(Years="Five",IF(O$338&gt;$D$33,0,IF(Input!O$54&lt;31,Input!O$54/30*O383,IF(Input!O$54&lt;61,(Input!O$54-30)/30*O383,IF(Input!O$54&lt;91,(Input!O$54-60)/30*O383,IF(Input!O$54&lt;121,(Input!O$54-90)/30*O383,IF(Input!O$54&lt;151,(Input!O$54-120)/30*O383,(Input!O$54-150)/30*O383)))))),0)</f>
        <v>0</v>
      </c>
      <c r="P1025" s="229">
        <f>IF(Years="Five",IF(P$338&gt;$D$33,0,IF(Input!P$54&lt;31,Input!P$54/30*P383,IF(Input!P$54&lt;61,(Input!P$54-30)/30*P383,IF(Input!P$54&lt;91,(Input!P$54-60)/30*P383,IF(Input!P$54&lt;121,(Input!P$54-90)/30*P383,IF(Input!P$54&lt;151,(Input!P$54-120)/30*P383,(Input!P$54-150)/30*P383)))))),0)</f>
        <v>0</v>
      </c>
      <c r="Q1025" s="229">
        <f>IF(Years="Five",IF(Q$338&gt;$D$33,0,IF(Input!Q$54&lt;31,Input!Q$54/30*Q383,IF(Input!Q$54&lt;61,(Input!Q$54-30)/30*Q383,IF(Input!Q$54&lt;91,(Input!Q$54-60)/30*Q383,IF(Input!Q$54&lt;121,(Input!Q$54-90)/30*Q383,IF(Input!Q$54&lt;151,(Input!Q$54-120)/30*Q383,(Input!Q$54-150)/30*Q383)))))),0)</f>
        <v>0</v>
      </c>
      <c r="R1025" s="229">
        <f>IF(Years="Five",IF(R$338&gt;$D$33,0,IF(Input!R$54&lt;31,Input!R$54/30*R383,IF(Input!R$54&lt;61,(Input!R$54-30)/30*R383,IF(Input!R$54&lt;91,(Input!R$54-60)/30*R383,IF(Input!R$54&lt;121,(Input!R$54-90)/30*R383,IF(Input!R$54&lt;151,(Input!R$54-120)/30*R383,(Input!R$54-150)/30*R383)))))),0)</f>
        <v>0</v>
      </c>
      <c r="S1025" s="229">
        <f>IF(Years="Five",IF(S$338&gt;$D$33,0,IF(Input!S$54&lt;31,Input!S$54/30*S383,IF(Input!S$54&lt;61,(Input!S$54-30)/30*S383,IF(Input!S$54&lt;91,(Input!S$54-60)/30*S383,IF(Input!S$54&lt;121,(Input!S$54-90)/30*S383,IF(Input!S$54&lt;151,(Input!S$54-120)/30*S383,(Input!S$54-150)/30*S383)))))),0)</f>
        <v>0</v>
      </c>
      <c r="T1025" s="229">
        <f>IF(Years="Five",IF(T$338&gt;$D$33,0,IF(Input!T$54&lt;31,Input!T$54/30*T383,IF(Input!T$54&lt;61,(Input!T$54-30)/30*T383,IF(Input!T$54&lt;91,(Input!T$54-60)/30*T383,IF(Input!T$54&lt;121,(Input!T$54-90)/30*T383,IF(Input!T$54&lt;151,(Input!T$54-120)/30*T383,(Input!T$54-150)/30*T383)))))),0)</f>
        <v>0</v>
      </c>
      <c r="U1025" s="229">
        <f>IF(Years="Five",IF(U$338&gt;$D$33,0,IF(Input!U$54&lt;31,Input!U$54/30*U383,IF(Input!U$54&lt;61,(Input!U$54-30)/30*U383,IF(Input!U$54&lt;91,(Input!U$54-60)/30*U383,IF(Input!U$54&lt;121,(Input!U$54-90)/30*U383,IF(Input!U$54&lt;151,(Input!U$54-120)/30*U383,(Input!U$54-150)/30*U383)))))),0)</f>
        <v>0</v>
      </c>
      <c r="V1025" s="229">
        <f>IF(Years="Five",IF(V$338&gt;$D$33,0,IF(Input!V$54&lt;31,Input!V$54/30*V383,IF(Input!V$54&lt;61,(Input!V$54-30)/30*V383,IF(Input!V$54&lt;91,(Input!V$54-60)/30*V383,IF(Input!V$54&lt;121,(Input!V$54-90)/30*V383,IF(Input!V$54&lt;151,(Input!V$54-120)/30*V383,(Input!V$54-150)/30*V383)))))),0)</f>
        <v>0</v>
      </c>
      <c r="W1025" s="229">
        <f>IF(Years="Five",IF(W$338&gt;$D$33,0,IF(Input!W$54&lt;31,Input!W$54/30*W383,IF(Input!W$54&lt;61,(Input!W$54-30)/30*W383,IF(Input!W$54&lt;91,(Input!W$54-60)/30*W383,IF(Input!W$54&lt;121,(Input!W$54-90)/30*W383,IF(Input!W$54&lt;151,(Input!W$54-120)/30*W383,(Input!W$54-150)/30*W383)))))),0)</f>
        <v>0</v>
      </c>
      <c r="X1025" s="229">
        <f>IF(Years="Five",IF(X$338&gt;$D$33,0,IF(Input!X$54&lt;31,Input!X$54/30*X383,IF(Input!X$54&lt;61,(Input!X$54-30)/30*X383,IF(Input!X$54&lt;91,(Input!X$54-60)/30*X383,IF(Input!X$54&lt;121,(Input!X$54-90)/30*X383,IF(Input!X$54&lt;151,(Input!X$54-120)/30*X383,(Input!X$54-150)/30*X383)))))),0)</f>
        <v>0</v>
      </c>
      <c r="Y1025" s="229">
        <f>IF(Years="Five",IF(Y$338&gt;$D$33,0,IF(Input!Y$54&lt;31,Input!Y$54/30*Y383,IF(Input!Y$54&lt;61,(Input!Y$54-30)/30*Y383,IF(Input!Y$54&lt;91,(Input!Y$54-60)/30*Y383,IF(Input!Y$54&lt;121,(Input!Y$54-90)/30*Y383,IF(Input!Y$54&lt;151,(Input!Y$54-120)/30*Y383,(Input!Y$54-150)/30*Y383)))))),0)</f>
        <v>0</v>
      </c>
      <c r="Z1025" s="229">
        <f>IF(Years="Five",IF(Z$338&gt;$D$33,0,IF(Input!Z$54&lt;31,Input!Z$54/30*Z383,IF(Input!Z$54&lt;61,(Input!Z$54-30)/30*Z383,IF(Input!Z$54&lt;91,(Input!Z$54-60)/30*Z383,IF(Input!Z$54&lt;121,(Input!Z$54-90)/30*Z383,IF(Input!Z$54&lt;151,(Input!Z$54-120)/30*Z383,(Input!Z$54-150)/30*Z383)))))),0)</f>
        <v>0</v>
      </c>
      <c r="AA1025" s="229">
        <f>IF(Years="Five",IF(AA$338&gt;$D$33,0,IF(Input!AA$54&lt;31,Input!AA$54/30*AA383,IF(Input!AA$54&lt;61,(Input!AA$54-30)/30*AA383,IF(Input!AA$54&lt;91,(Input!AA$54-60)/30*AA383,IF(Input!AA$54&lt;121,(Input!AA$54-90)/30*AA383,IF(Input!AA$54&lt;151,(Input!AA$54-120)/30*AA383,(Input!AA$54-150)/30*AA383)))))),0)</f>
        <v>0</v>
      </c>
      <c r="AB1025" s="298">
        <f>IF(Years="Five",IF(AB$338&gt;$D$33,0,IF(Input!AB$54&lt;31,Input!AB$54/30*AB383,IF(Input!AB$54&lt;61,(Input!AB$54-30)/30*AB383,IF(Input!AB$54&lt;91,(Input!AB$54-60)/30*AB383,IF(Input!AB$54&lt;121,(Input!AB$54-90)/30*AB383,IF(Input!AB$54&lt;151,(Input!AB$54-120)/30*AB383,(Input!AB$54-150)/30*AB383)))))),0)</f>
        <v>0</v>
      </c>
      <c r="CH1025" s="269"/>
      <c r="CI1025" s="269"/>
      <c r="CJ1025" s="269"/>
      <c r="CK1025" s="269"/>
      <c r="CL1025" s="269"/>
      <c r="CM1025" s="269"/>
      <c r="CN1025" s="269"/>
      <c r="CO1025" s="269"/>
      <c r="CP1025" s="269"/>
      <c r="CQ1025" s="269"/>
      <c r="CR1025" s="269"/>
      <c r="CS1025" s="269"/>
    </row>
    <row r="1026" spans="3:97" x14ac:dyDescent="0.3">
      <c r="C1026" s="638">
        <f>C963</f>
        <v>1369</v>
      </c>
      <c r="D1026" s="297">
        <f>IF(Years="Five",IF(D$338&gt;$D$33,0,IF(Input!D$54&lt;31,Input!D$54/30*D384,IF(Input!D$54&lt;61,(Input!D$54-30)/30*D384,IF(Input!D$54&lt;91,(Input!D$54-60)/30*D384,IF(Input!D$54&lt;121,(Input!D$54-90)/30*D384,IF(Input!D$54&lt;151,(Input!D$54-120)/30*D384,(Input!D$54-150)/30*D384)))))),0)</f>
        <v>0</v>
      </c>
      <c r="E1026" s="229">
        <f>IF(Years="Five",IF(E$338&gt;$D$33,0,IF(Input!E$54&lt;31,Input!E$54/30*E384,IF(Input!E$54&lt;61,(Input!E$54-30)/30*E384,IF(Input!E$54&lt;91,(Input!E$54-60)/30*E384,IF(Input!E$54&lt;121,(Input!E$54-90)/30*E384,IF(Input!E$54&lt;151,(Input!E$54-120)/30*E384,(Input!E$54-150)/30*E384)))))),0)</f>
        <v>0</v>
      </c>
      <c r="F1026" s="229">
        <f>IF(Years="Five",IF(F$338&gt;$D$33,0,IF(Input!F$54&lt;31,Input!F$54/30*F384,IF(Input!F$54&lt;61,(Input!F$54-30)/30*F384,IF(Input!F$54&lt;91,(Input!F$54-60)/30*F384,IF(Input!F$54&lt;121,(Input!F$54-90)/30*F384,IF(Input!F$54&lt;151,(Input!F$54-120)/30*F384,(Input!F$54-150)/30*F384)))))),0)</f>
        <v>0</v>
      </c>
      <c r="G1026" s="229">
        <f>IF(Years="Five",IF(G$338&gt;$D$33,0,IF(Input!G$54&lt;31,Input!G$54/30*G384,IF(Input!G$54&lt;61,(Input!G$54-30)/30*G384,IF(Input!G$54&lt;91,(Input!G$54-60)/30*G384,IF(Input!G$54&lt;121,(Input!G$54-90)/30*G384,IF(Input!G$54&lt;151,(Input!G$54-120)/30*G384,(Input!G$54-150)/30*G384)))))),0)</f>
        <v>0</v>
      </c>
      <c r="H1026" s="229">
        <f>IF(Years="Five",IF(H$338&gt;$D$33,0,IF(Input!H$54&lt;31,Input!H$54/30*H384,IF(Input!H$54&lt;61,(Input!H$54-30)/30*H384,IF(Input!H$54&lt;91,(Input!H$54-60)/30*H384,IF(Input!H$54&lt;121,(Input!H$54-90)/30*H384,IF(Input!H$54&lt;151,(Input!H$54-120)/30*H384,(Input!H$54-150)/30*H384)))))),0)</f>
        <v>0</v>
      </c>
      <c r="I1026" s="229">
        <f>IF(Years="Five",IF(I$338&gt;$D$33,0,IF(Input!I$54&lt;31,Input!I$54/30*I384,IF(Input!I$54&lt;61,(Input!I$54-30)/30*I384,IF(Input!I$54&lt;91,(Input!I$54-60)/30*I384,IF(Input!I$54&lt;121,(Input!I$54-90)/30*I384,IF(Input!I$54&lt;151,(Input!I$54-120)/30*I384,(Input!I$54-150)/30*I384)))))),0)</f>
        <v>0</v>
      </c>
      <c r="J1026" s="229">
        <f>IF(Years="Five",IF(J$338&gt;$D$33,0,IF(Input!J$54&lt;31,Input!J$54/30*J384,IF(Input!J$54&lt;61,(Input!J$54-30)/30*J384,IF(Input!J$54&lt;91,(Input!J$54-60)/30*J384,IF(Input!J$54&lt;121,(Input!J$54-90)/30*J384,IF(Input!J$54&lt;151,(Input!J$54-120)/30*J384,(Input!J$54-150)/30*J384)))))),0)</f>
        <v>0</v>
      </c>
      <c r="K1026" s="229">
        <f>IF(Years="Five",IF(K$338&gt;$D$33,0,IF(Input!K$54&lt;31,Input!K$54/30*K384,IF(Input!K$54&lt;61,(Input!K$54-30)/30*K384,IF(Input!K$54&lt;91,(Input!K$54-60)/30*K384,IF(Input!K$54&lt;121,(Input!K$54-90)/30*K384,IF(Input!K$54&lt;151,(Input!K$54-120)/30*K384,(Input!K$54-150)/30*K384)))))),0)</f>
        <v>0</v>
      </c>
      <c r="L1026" s="229">
        <f>IF(Years="Five",IF(L$338&gt;$D$33,0,IF(Input!L$54&lt;31,Input!L$54/30*L384,IF(Input!L$54&lt;61,(Input!L$54-30)/30*L384,IF(Input!L$54&lt;91,(Input!L$54-60)/30*L384,IF(Input!L$54&lt;121,(Input!L$54-90)/30*L384,IF(Input!L$54&lt;151,(Input!L$54-120)/30*L384,(Input!L$54-150)/30*L384)))))),0)</f>
        <v>0</v>
      </c>
      <c r="M1026" s="229">
        <f>IF(Years="Five",IF(M$338&gt;$D$33,0,IF(Input!M$54&lt;31,Input!M$54/30*M384,IF(Input!M$54&lt;61,(Input!M$54-30)/30*M384,IF(Input!M$54&lt;91,(Input!M$54-60)/30*M384,IF(Input!M$54&lt;121,(Input!M$54-90)/30*M384,IF(Input!M$54&lt;151,(Input!M$54-120)/30*M384,(Input!M$54-150)/30*M384)))))),0)</f>
        <v>0</v>
      </c>
      <c r="N1026" s="229">
        <f>IF(Years="Five",IF(N$338&gt;$D$33,0,IF(Input!N$54&lt;31,Input!N$54/30*N384,IF(Input!N$54&lt;61,(Input!N$54-30)/30*N384,IF(Input!N$54&lt;91,(Input!N$54-60)/30*N384,IF(Input!N$54&lt;121,(Input!N$54-90)/30*N384,IF(Input!N$54&lt;151,(Input!N$54-120)/30*N384,(Input!N$54-150)/30*N384)))))),0)</f>
        <v>0</v>
      </c>
      <c r="O1026" s="229">
        <f>IF(Years="Five",IF(O$338&gt;$D$33,0,IF(Input!O$54&lt;31,Input!O$54/30*O384,IF(Input!O$54&lt;61,(Input!O$54-30)/30*O384,IF(Input!O$54&lt;91,(Input!O$54-60)/30*O384,IF(Input!O$54&lt;121,(Input!O$54-90)/30*O384,IF(Input!O$54&lt;151,(Input!O$54-120)/30*O384,(Input!O$54-150)/30*O384)))))),0)</f>
        <v>0</v>
      </c>
      <c r="P1026" s="229">
        <f>IF(Years="Five",IF(P$338&gt;$D$33,0,IF(Input!P$54&lt;31,Input!P$54/30*P384,IF(Input!P$54&lt;61,(Input!P$54-30)/30*P384,IF(Input!P$54&lt;91,(Input!P$54-60)/30*P384,IF(Input!P$54&lt;121,(Input!P$54-90)/30*P384,IF(Input!P$54&lt;151,(Input!P$54-120)/30*P384,(Input!P$54-150)/30*P384)))))),0)</f>
        <v>0</v>
      </c>
      <c r="Q1026" s="229">
        <f>IF(Years="Five",IF(Q$338&gt;$D$33,0,IF(Input!Q$54&lt;31,Input!Q$54/30*Q384,IF(Input!Q$54&lt;61,(Input!Q$54-30)/30*Q384,IF(Input!Q$54&lt;91,(Input!Q$54-60)/30*Q384,IF(Input!Q$54&lt;121,(Input!Q$54-90)/30*Q384,IF(Input!Q$54&lt;151,(Input!Q$54-120)/30*Q384,(Input!Q$54-150)/30*Q384)))))),0)</f>
        <v>0</v>
      </c>
      <c r="R1026" s="229">
        <f>IF(Years="Five",IF(R$338&gt;$D$33,0,IF(Input!R$54&lt;31,Input!R$54/30*R384,IF(Input!R$54&lt;61,(Input!R$54-30)/30*R384,IF(Input!R$54&lt;91,(Input!R$54-60)/30*R384,IF(Input!R$54&lt;121,(Input!R$54-90)/30*R384,IF(Input!R$54&lt;151,(Input!R$54-120)/30*R384,(Input!R$54-150)/30*R384)))))),0)</f>
        <v>0</v>
      </c>
      <c r="S1026" s="229">
        <f>IF(Years="Five",IF(S$338&gt;$D$33,0,IF(Input!S$54&lt;31,Input!S$54/30*S384,IF(Input!S$54&lt;61,(Input!S$54-30)/30*S384,IF(Input!S$54&lt;91,(Input!S$54-60)/30*S384,IF(Input!S$54&lt;121,(Input!S$54-90)/30*S384,IF(Input!S$54&lt;151,(Input!S$54-120)/30*S384,(Input!S$54-150)/30*S384)))))),0)</f>
        <v>0</v>
      </c>
      <c r="T1026" s="229">
        <f>IF(Years="Five",IF(T$338&gt;$D$33,0,IF(Input!T$54&lt;31,Input!T$54/30*T384,IF(Input!T$54&lt;61,(Input!T$54-30)/30*T384,IF(Input!T$54&lt;91,(Input!T$54-60)/30*T384,IF(Input!T$54&lt;121,(Input!T$54-90)/30*T384,IF(Input!T$54&lt;151,(Input!T$54-120)/30*T384,(Input!T$54-150)/30*T384)))))),0)</f>
        <v>0</v>
      </c>
      <c r="U1026" s="229">
        <f>IF(Years="Five",IF(U$338&gt;$D$33,0,IF(Input!U$54&lt;31,Input!U$54/30*U384,IF(Input!U$54&lt;61,(Input!U$54-30)/30*U384,IF(Input!U$54&lt;91,(Input!U$54-60)/30*U384,IF(Input!U$54&lt;121,(Input!U$54-90)/30*U384,IF(Input!U$54&lt;151,(Input!U$54-120)/30*U384,(Input!U$54-150)/30*U384)))))),0)</f>
        <v>0</v>
      </c>
      <c r="V1026" s="229">
        <f>IF(Years="Five",IF(V$338&gt;$D$33,0,IF(Input!V$54&lt;31,Input!V$54/30*V384,IF(Input!V$54&lt;61,(Input!V$54-30)/30*V384,IF(Input!V$54&lt;91,(Input!V$54-60)/30*V384,IF(Input!V$54&lt;121,(Input!V$54-90)/30*V384,IF(Input!V$54&lt;151,(Input!V$54-120)/30*V384,(Input!V$54-150)/30*V384)))))),0)</f>
        <v>0</v>
      </c>
      <c r="W1026" s="229">
        <f>IF(Years="Five",IF(W$338&gt;$D$33,0,IF(Input!W$54&lt;31,Input!W$54/30*W384,IF(Input!W$54&lt;61,(Input!W$54-30)/30*W384,IF(Input!W$54&lt;91,(Input!W$54-60)/30*W384,IF(Input!W$54&lt;121,(Input!W$54-90)/30*W384,IF(Input!W$54&lt;151,(Input!W$54-120)/30*W384,(Input!W$54-150)/30*W384)))))),0)</f>
        <v>0</v>
      </c>
      <c r="X1026" s="229">
        <f>IF(Years="Five",IF(X$338&gt;$D$33,0,IF(Input!X$54&lt;31,Input!X$54/30*X384,IF(Input!X$54&lt;61,(Input!X$54-30)/30*X384,IF(Input!X$54&lt;91,(Input!X$54-60)/30*X384,IF(Input!X$54&lt;121,(Input!X$54-90)/30*X384,IF(Input!X$54&lt;151,(Input!X$54-120)/30*X384,(Input!X$54-150)/30*X384)))))),0)</f>
        <v>0</v>
      </c>
      <c r="Y1026" s="229">
        <f>IF(Years="Five",IF(Y$338&gt;$D$33,0,IF(Input!Y$54&lt;31,Input!Y$54/30*Y384,IF(Input!Y$54&lt;61,(Input!Y$54-30)/30*Y384,IF(Input!Y$54&lt;91,(Input!Y$54-60)/30*Y384,IF(Input!Y$54&lt;121,(Input!Y$54-90)/30*Y384,IF(Input!Y$54&lt;151,(Input!Y$54-120)/30*Y384,(Input!Y$54-150)/30*Y384)))))),0)</f>
        <v>0</v>
      </c>
      <c r="Z1026" s="229">
        <f>IF(Years="Five",IF(Z$338&gt;$D$33,0,IF(Input!Z$54&lt;31,Input!Z$54/30*Z384,IF(Input!Z$54&lt;61,(Input!Z$54-30)/30*Z384,IF(Input!Z$54&lt;91,(Input!Z$54-60)/30*Z384,IF(Input!Z$54&lt;121,(Input!Z$54-90)/30*Z384,IF(Input!Z$54&lt;151,(Input!Z$54-120)/30*Z384,(Input!Z$54-150)/30*Z384)))))),0)</f>
        <v>0</v>
      </c>
      <c r="AA1026" s="229">
        <f>IF(Years="Five",IF(AA$338&gt;$D$33,0,IF(Input!AA$54&lt;31,Input!AA$54/30*AA384,IF(Input!AA$54&lt;61,(Input!AA$54-30)/30*AA384,IF(Input!AA$54&lt;91,(Input!AA$54-60)/30*AA384,IF(Input!AA$54&lt;121,(Input!AA$54-90)/30*AA384,IF(Input!AA$54&lt;151,(Input!AA$54-120)/30*AA384,(Input!AA$54-150)/30*AA384)))))),0)</f>
        <v>0</v>
      </c>
      <c r="AB1026" s="298">
        <f>IF(Years="Five",IF(AB$338&gt;$D$33,0,IF(Input!AB$54&lt;31,Input!AB$54/30*AB384,IF(Input!AB$54&lt;61,(Input!AB$54-30)/30*AB384,IF(Input!AB$54&lt;91,(Input!AB$54-60)/30*AB384,IF(Input!AB$54&lt;121,(Input!AB$54-90)/30*AB384,IF(Input!AB$54&lt;151,(Input!AB$54-120)/30*AB384,(Input!AB$54-150)/30*AB384)))))),0)</f>
        <v>0</v>
      </c>
      <c r="CH1026" s="269"/>
      <c r="CI1026" s="269"/>
      <c r="CJ1026" s="269"/>
      <c r="CK1026" s="269"/>
      <c r="CL1026" s="269"/>
      <c r="CM1026" s="269"/>
      <c r="CN1026" s="269"/>
      <c r="CO1026" s="269"/>
      <c r="CP1026" s="269"/>
      <c r="CQ1026" s="269"/>
      <c r="CR1026" s="269"/>
      <c r="CS1026" s="269"/>
    </row>
    <row r="1027" spans="3:97" x14ac:dyDescent="0.3">
      <c r="C1027" s="638">
        <f>C964</f>
        <v>1400</v>
      </c>
      <c r="D1027" s="297">
        <f>IF(Years="Five",IF(D$338&gt;$D$33,0,IF(Input!D$54&lt;31,Input!D$54/30*D385,IF(Input!D$54&lt;61,(Input!D$54-30)/30*D385,IF(Input!D$54&lt;91,(Input!D$54-60)/30*D385,IF(Input!D$54&lt;121,(Input!D$54-90)/30*D385,IF(Input!D$54&lt;151,(Input!D$54-120)/30*D385,(Input!D$54-150)/30*D385)))))),0)</f>
        <v>0</v>
      </c>
      <c r="E1027" s="229">
        <f>IF(Years="Five",IF(E$338&gt;$D$33,0,IF(Input!E$54&lt;31,Input!E$54/30*E385,IF(Input!E$54&lt;61,(Input!E$54-30)/30*E385,IF(Input!E$54&lt;91,(Input!E$54-60)/30*E385,IF(Input!E$54&lt;121,(Input!E$54-90)/30*E385,IF(Input!E$54&lt;151,(Input!E$54-120)/30*E385,(Input!E$54-150)/30*E385)))))),0)</f>
        <v>0</v>
      </c>
      <c r="F1027" s="229">
        <f>IF(Years="Five",IF(F$338&gt;$D$33,0,IF(Input!F$54&lt;31,Input!F$54/30*F385,IF(Input!F$54&lt;61,(Input!F$54-30)/30*F385,IF(Input!F$54&lt;91,(Input!F$54-60)/30*F385,IF(Input!F$54&lt;121,(Input!F$54-90)/30*F385,IF(Input!F$54&lt;151,(Input!F$54-120)/30*F385,(Input!F$54-150)/30*F385)))))),0)</f>
        <v>0</v>
      </c>
      <c r="G1027" s="229">
        <f>IF(Years="Five",IF(G$338&gt;$D$33,0,IF(Input!G$54&lt;31,Input!G$54/30*G385,IF(Input!G$54&lt;61,(Input!G$54-30)/30*G385,IF(Input!G$54&lt;91,(Input!G$54-60)/30*G385,IF(Input!G$54&lt;121,(Input!G$54-90)/30*G385,IF(Input!G$54&lt;151,(Input!G$54-120)/30*G385,(Input!G$54-150)/30*G385)))))),0)</f>
        <v>0</v>
      </c>
      <c r="H1027" s="229">
        <f>IF(Years="Five",IF(H$338&gt;$D$33,0,IF(Input!H$54&lt;31,Input!H$54/30*H385,IF(Input!H$54&lt;61,(Input!H$54-30)/30*H385,IF(Input!H$54&lt;91,(Input!H$54-60)/30*H385,IF(Input!H$54&lt;121,(Input!H$54-90)/30*H385,IF(Input!H$54&lt;151,(Input!H$54-120)/30*H385,(Input!H$54-150)/30*H385)))))),0)</f>
        <v>0</v>
      </c>
      <c r="I1027" s="229">
        <f>IF(Years="Five",IF(I$338&gt;$D$33,0,IF(Input!I$54&lt;31,Input!I$54/30*I385,IF(Input!I$54&lt;61,(Input!I$54-30)/30*I385,IF(Input!I$54&lt;91,(Input!I$54-60)/30*I385,IF(Input!I$54&lt;121,(Input!I$54-90)/30*I385,IF(Input!I$54&lt;151,(Input!I$54-120)/30*I385,(Input!I$54-150)/30*I385)))))),0)</f>
        <v>0</v>
      </c>
      <c r="J1027" s="229">
        <f>IF(Years="Five",IF(J$338&gt;$D$33,0,IF(Input!J$54&lt;31,Input!J$54/30*J385,IF(Input!J$54&lt;61,(Input!J$54-30)/30*J385,IF(Input!J$54&lt;91,(Input!J$54-60)/30*J385,IF(Input!J$54&lt;121,(Input!J$54-90)/30*J385,IF(Input!J$54&lt;151,(Input!J$54-120)/30*J385,(Input!J$54-150)/30*J385)))))),0)</f>
        <v>0</v>
      </c>
      <c r="K1027" s="229">
        <f>IF(Years="Five",IF(K$338&gt;$D$33,0,IF(Input!K$54&lt;31,Input!K$54/30*K385,IF(Input!K$54&lt;61,(Input!K$54-30)/30*K385,IF(Input!K$54&lt;91,(Input!K$54-60)/30*K385,IF(Input!K$54&lt;121,(Input!K$54-90)/30*K385,IF(Input!K$54&lt;151,(Input!K$54-120)/30*K385,(Input!K$54-150)/30*K385)))))),0)</f>
        <v>0</v>
      </c>
      <c r="L1027" s="229">
        <f>IF(Years="Five",IF(L$338&gt;$D$33,0,IF(Input!L$54&lt;31,Input!L$54/30*L385,IF(Input!L$54&lt;61,(Input!L$54-30)/30*L385,IF(Input!L$54&lt;91,(Input!L$54-60)/30*L385,IF(Input!L$54&lt;121,(Input!L$54-90)/30*L385,IF(Input!L$54&lt;151,(Input!L$54-120)/30*L385,(Input!L$54-150)/30*L385)))))),0)</f>
        <v>0</v>
      </c>
      <c r="M1027" s="229">
        <f>IF(Years="Five",IF(M$338&gt;$D$33,0,IF(Input!M$54&lt;31,Input!M$54/30*M385,IF(Input!M$54&lt;61,(Input!M$54-30)/30*M385,IF(Input!M$54&lt;91,(Input!M$54-60)/30*M385,IF(Input!M$54&lt;121,(Input!M$54-90)/30*M385,IF(Input!M$54&lt;151,(Input!M$54-120)/30*M385,(Input!M$54-150)/30*M385)))))),0)</f>
        <v>0</v>
      </c>
      <c r="N1027" s="229">
        <f>IF(Years="Five",IF(N$338&gt;$D$33,0,IF(Input!N$54&lt;31,Input!N$54/30*N385,IF(Input!N$54&lt;61,(Input!N$54-30)/30*N385,IF(Input!N$54&lt;91,(Input!N$54-60)/30*N385,IF(Input!N$54&lt;121,(Input!N$54-90)/30*N385,IF(Input!N$54&lt;151,(Input!N$54-120)/30*N385,(Input!N$54-150)/30*N385)))))),0)</f>
        <v>0</v>
      </c>
      <c r="O1027" s="229">
        <f>IF(Years="Five",IF(O$338&gt;$D$33,0,IF(Input!O$54&lt;31,Input!O$54/30*O385,IF(Input!O$54&lt;61,(Input!O$54-30)/30*O385,IF(Input!O$54&lt;91,(Input!O$54-60)/30*O385,IF(Input!O$54&lt;121,(Input!O$54-90)/30*O385,IF(Input!O$54&lt;151,(Input!O$54-120)/30*O385,(Input!O$54-150)/30*O385)))))),0)</f>
        <v>0</v>
      </c>
      <c r="P1027" s="229">
        <f>IF(Years="Five",IF(P$338&gt;$D$33,0,IF(Input!P$54&lt;31,Input!P$54/30*P385,IF(Input!P$54&lt;61,(Input!P$54-30)/30*P385,IF(Input!P$54&lt;91,(Input!P$54-60)/30*P385,IF(Input!P$54&lt;121,(Input!P$54-90)/30*P385,IF(Input!P$54&lt;151,(Input!P$54-120)/30*P385,(Input!P$54-150)/30*P385)))))),0)</f>
        <v>0</v>
      </c>
      <c r="Q1027" s="229">
        <f>IF(Years="Five",IF(Q$338&gt;$D$33,0,IF(Input!Q$54&lt;31,Input!Q$54/30*Q385,IF(Input!Q$54&lt;61,(Input!Q$54-30)/30*Q385,IF(Input!Q$54&lt;91,(Input!Q$54-60)/30*Q385,IF(Input!Q$54&lt;121,(Input!Q$54-90)/30*Q385,IF(Input!Q$54&lt;151,(Input!Q$54-120)/30*Q385,(Input!Q$54-150)/30*Q385)))))),0)</f>
        <v>0</v>
      </c>
      <c r="R1027" s="229">
        <f>IF(Years="Five",IF(R$338&gt;$D$33,0,IF(Input!R$54&lt;31,Input!R$54/30*R385,IF(Input!R$54&lt;61,(Input!R$54-30)/30*R385,IF(Input!R$54&lt;91,(Input!R$54-60)/30*R385,IF(Input!R$54&lt;121,(Input!R$54-90)/30*R385,IF(Input!R$54&lt;151,(Input!R$54-120)/30*R385,(Input!R$54-150)/30*R385)))))),0)</f>
        <v>0</v>
      </c>
      <c r="S1027" s="229">
        <f>IF(Years="Five",IF(S$338&gt;$D$33,0,IF(Input!S$54&lt;31,Input!S$54/30*S385,IF(Input!S$54&lt;61,(Input!S$54-30)/30*S385,IF(Input!S$54&lt;91,(Input!S$54-60)/30*S385,IF(Input!S$54&lt;121,(Input!S$54-90)/30*S385,IF(Input!S$54&lt;151,(Input!S$54-120)/30*S385,(Input!S$54-150)/30*S385)))))),0)</f>
        <v>0</v>
      </c>
      <c r="T1027" s="229">
        <f>IF(Years="Five",IF(T$338&gt;$D$33,0,IF(Input!T$54&lt;31,Input!T$54/30*T385,IF(Input!T$54&lt;61,(Input!T$54-30)/30*T385,IF(Input!T$54&lt;91,(Input!T$54-60)/30*T385,IF(Input!T$54&lt;121,(Input!T$54-90)/30*T385,IF(Input!T$54&lt;151,(Input!T$54-120)/30*T385,(Input!T$54-150)/30*T385)))))),0)</f>
        <v>0</v>
      </c>
      <c r="U1027" s="229">
        <f>IF(Years="Five",IF(U$338&gt;$D$33,0,IF(Input!U$54&lt;31,Input!U$54/30*U385,IF(Input!U$54&lt;61,(Input!U$54-30)/30*U385,IF(Input!U$54&lt;91,(Input!U$54-60)/30*U385,IF(Input!U$54&lt;121,(Input!U$54-90)/30*U385,IF(Input!U$54&lt;151,(Input!U$54-120)/30*U385,(Input!U$54-150)/30*U385)))))),0)</f>
        <v>0</v>
      </c>
      <c r="V1027" s="229">
        <f>IF(Years="Five",IF(V$338&gt;$D$33,0,IF(Input!V$54&lt;31,Input!V$54/30*V385,IF(Input!V$54&lt;61,(Input!V$54-30)/30*V385,IF(Input!V$54&lt;91,(Input!V$54-60)/30*V385,IF(Input!V$54&lt;121,(Input!V$54-90)/30*V385,IF(Input!V$54&lt;151,(Input!V$54-120)/30*V385,(Input!V$54-150)/30*V385)))))),0)</f>
        <v>0</v>
      </c>
      <c r="W1027" s="229">
        <f>IF(Years="Five",IF(W$338&gt;$D$33,0,IF(Input!W$54&lt;31,Input!W$54/30*W385,IF(Input!W$54&lt;61,(Input!W$54-30)/30*W385,IF(Input!W$54&lt;91,(Input!W$54-60)/30*W385,IF(Input!W$54&lt;121,(Input!W$54-90)/30*W385,IF(Input!W$54&lt;151,(Input!W$54-120)/30*W385,(Input!W$54-150)/30*W385)))))),0)</f>
        <v>0</v>
      </c>
      <c r="X1027" s="229">
        <f>IF(Years="Five",IF(X$338&gt;$D$33,0,IF(Input!X$54&lt;31,Input!X$54/30*X385,IF(Input!X$54&lt;61,(Input!X$54-30)/30*X385,IF(Input!X$54&lt;91,(Input!X$54-60)/30*X385,IF(Input!X$54&lt;121,(Input!X$54-90)/30*X385,IF(Input!X$54&lt;151,(Input!X$54-120)/30*X385,(Input!X$54-150)/30*X385)))))),0)</f>
        <v>0</v>
      </c>
      <c r="Y1027" s="229">
        <f>IF(Years="Five",IF(Y$338&gt;$D$33,0,IF(Input!Y$54&lt;31,Input!Y$54/30*Y385,IF(Input!Y$54&lt;61,(Input!Y$54-30)/30*Y385,IF(Input!Y$54&lt;91,(Input!Y$54-60)/30*Y385,IF(Input!Y$54&lt;121,(Input!Y$54-90)/30*Y385,IF(Input!Y$54&lt;151,(Input!Y$54-120)/30*Y385,(Input!Y$54-150)/30*Y385)))))),0)</f>
        <v>0</v>
      </c>
      <c r="Z1027" s="229">
        <f>IF(Years="Five",IF(Z$338&gt;$D$33,0,IF(Input!Z$54&lt;31,Input!Z$54/30*Z385,IF(Input!Z$54&lt;61,(Input!Z$54-30)/30*Z385,IF(Input!Z$54&lt;91,(Input!Z$54-60)/30*Z385,IF(Input!Z$54&lt;121,(Input!Z$54-90)/30*Z385,IF(Input!Z$54&lt;151,(Input!Z$54-120)/30*Z385,(Input!Z$54-150)/30*Z385)))))),0)</f>
        <v>0</v>
      </c>
      <c r="AA1027" s="229">
        <f>IF(Years="Five",IF(AA$338&gt;$D$33,0,IF(Input!AA$54&lt;31,Input!AA$54/30*AA385,IF(Input!AA$54&lt;61,(Input!AA$54-30)/30*AA385,IF(Input!AA$54&lt;91,(Input!AA$54-60)/30*AA385,IF(Input!AA$54&lt;121,(Input!AA$54-90)/30*AA385,IF(Input!AA$54&lt;151,(Input!AA$54-120)/30*AA385,(Input!AA$54-150)/30*AA385)))))),0)</f>
        <v>0</v>
      </c>
      <c r="AB1027" s="298">
        <f>IF(Years="Five",IF(AB$338&gt;$D$33,0,IF(Input!AB$54&lt;31,Input!AB$54/30*AB385,IF(Input!AB$54&lt;61,(Input!AB$54-30)/30*AB385,IF(Input!AB$54&lt;91,(Input!AB$54-60)/30*AB385,IF(Input!AB$54&lt;121,(Input!AB$54-90)/30*AB385,IF(Input!AB$54&lt;151,(Input!AB$54-120)/30*AB385,(Input!AB$54-150)/30*AB385)))))),0)</f>
        <v>0</v>
      </c>
      <c r="CH1027" s="269"/>
      <c r="CI1027" s="269"/>
      <c r="CJ1027" s="269"/>
      <c r="CK1027" s="269"/>
      <c r="CL1027" s="269"/>
      <c r="CM1027" s="269"/>
      <c r="CN1027" s="269"/>
      <c r="CO1027" s="269"/>
      <c r="CP1027" s="269"/>
      <c r="CQ1027" s="269"/>
      <c r="CR1027" s="269"/>
      <c r="CS1027" s="269"/>
    </row>
    <row r="1028" spans="3:97" x14ac:dyDescent="0.3">
      <c r="C1028" s="638">
        <f>C965</f>
        <v>1430</v>
      </c>
      <c r="D1028" s="297">
        <f>IF(Years="Five",IF(D$338&gt;$D$33,0,IF(Input!D$54&lt;31,Input!D$54/30*D386,IF(Input!D$54&lt;61,(Input!D$54-30)/30*D386,IF(Input!D$54&lt;91,(Input!D$54-60)/30*D386,IF(Input!D$54&lt;121,(Input!D$54-90)/30*D386,IF(Input!D$54&lt;151,(Input!D$54-120)/30*D386,(Input!D$54-150)/30*D386)))))),0)</f>
        <v>0</v>
      </c>
      <c r="E1028" s="229">
        <f>IF(Years="Five",IF(E$338&gt;$D$33,0,IF(Input!E$54&lt;31,Input!E$54/30*E386,IF(Input!E$54&lt;61,(Input!E$54-30)/30*E386,IF(Input!E$54&lt;91,(Input!E$54-60)/30*E386,IF(Input!E$54&lt;121,(Input!E$54-90)/30*E386,IF(Input!E$54&lt;151,(Input!E$54-120)/30*E386,(Input!E$54-150)/30*E386)))))),0)</f>
        <v>0</v>
      </c>
      <c r="F1028" s="229">
        <f>IF(Years="Five",IF(F$338&gt;$D$33,0,IF(Input!F$54&lt;31,Input!F$54/30*F386,IF(Input!F$54&lt;61,(Input!F$54-30)/30*F386,IF(Input!F$54&lt;91,(Input!F$54-60)/30*F386,IF(Input!F$54&lt;121,(Input!F$54-90)/30*F386,IF(Input!F$54&lt;151,(Input!F$54-120)/30*F386,(Input!F$54-150)/30*F386)))))),0)</f>
        <v>0</v>
      </c>
      <c r="G1028" s="229">
        <f>IF(Years="Five",IF(G$338&gt;$D$33,0,IF(Input!G$54&lt;31,Input!G$54/30*G386,IF(Input!G$54&lt;61,(Input!G$54-30)/30*G386,IF(Input!G$54&lt;91,(Input!G$54-60)/30*G386,IF(Input!G$54&lt;121,(Input!G$54-90)/30*G386,IF(Input!G$54&lt;151,(Input!G$54-120)/30*G386,(Input!G$54-150)/30*G386)))))),0)</f>
        <v>0</v>
      </c>
      <c r="H1028" s="229">
        <f>IF(Years="Five",IF(H$338&gt;$D$33,0,IF(Input!H$54&lt;31,Input!H$54/30*H386,IF(Input!H$54&lt;61,(Input!H$54-30)/30*H386,IF(Input!H$54&lt;91,(Input!H$54-60)/30*H386,IF(Input!H$54&lt;121,(Input!H$54-90)/30*H386,IF(Input!H$54&lt;151,(Input!H$54-120)/30*H386,(Input!H$54-150)/30*H386)))))),0)</f>
        <v>0</v>
      </c>
      <c r="I1028" s="229">
        <f>IF(Years="Five",IF(I$338&gt;$D$33,0,IF(Input!I$54&lt;31,Input!I$54/30*I386,IF(Input!I$54&lt;61,(Input!I$54-30)/30*I386,IF(Input!I$54&lt;91,(Input!I$54-60)/30*I386,IF(Input!I$54&lt;121,(Input!I$54-90)/30*I386,IF(Input!I$54&lt;151,(Input!I$54-120)/30*I386,(Input!I$54-150)/30*I386)))))),0)</f>
        <v>0</v>
      </c>
      <c r="J1028" s="229">
        <f>IF(Years="Five",IF(J$338&gt;$D$33,0,IF(Input!J$54&lt;31,Input!J$54/30*J386,IF(Input!J$54&lt;61,(Input!J$54-30)/30*J386,IF(Input!J$54&lt;91,(Input!J$54-60)/30*J386,IF(Input!J$54&lt;121,(Input!J$54-90)/30*J386,IF(Input!J$54&lt;151,(Input!J$54-120)/30*J386,(Input!J$54-150)/30*J386)))))),0)</f>
        <v>0</v>
      </c>
      <c r="K1028" s="229">
        <f>IF(Years="Five",IF(K$338&gt;$D$33,0,IF(Input!K$54&lt;31,Input!K$54/30*K386,IF(Input!K$54&lt;61,(Input!K$54-30)/30*K386,IF(Input!K$54&lt;91,(Input!K$54-60)/30*K386,IF(Input!K$54&lt;121,(Input!K$54-90)/30*K386,IF(Input!K$54&lt;151,(Input!K$54-120)/30*K386,(Input!K$54-150)/30*K386)))))),0)</f>
        <v>0</v>
      </c>
      <c r="L1028" s="229">
        <f>IF(Years="Five",IF(L$338&gt;$D$33,0,IF(Input!L$54&lt;31,Input!L$54/30*L386,IF(Input!L$54&lt;61,(Input!L$54-30)/30*L386,IF(Input!L$54&lt;91,(Input!L$54-60)/30*L386,IF(Input!L$54&lt;121,(Input!L$54-90)/30*L386,IF(Input!L$54&lt;151,(Input!L$54-120)/30*L386,(Input!L$54-150)/30*L386)))))),0)</f>
        <v>0</v>
      </c>
      <c r="M1028" s="229">
        <f>IF(Years="Five",IF(M$338&gt;$D$33,0,IF(Input!M$54&lt;31,Input!M$54/30*M386,IF(Input!M$54&lt;61,(Input!M$54-30)/30*M386,IF(Input!M$54&lt;91,(Input!M$54-60)/30*M386,IF(Input!M$54&lt;121,(Input!M$54-90)/30*M386,IF(Input!M$54&lt;151,(Input!M$54-120)/30*M386,(Input!M$54-150)/30*M386)))))),0)</f>
        <v>0</v>
      </c>
      <c r="N1028" s="229">
        <f>IF(Years="Five",IF(N$338&gt;$D$33,0,IF(Input!N$54&lt;31,Input!N$54/30*N386,IF(Input!N$54&lt;61,(Input!N$54-30)/30*N386,IF(Input!N$54&lt;91,(Input!N$54-60)/30*N386,IF(Input!N$54&lt;121,(Input!N$54-90)/30*N386,IF(Input!N$54&lt;151,(Input!N$54-120)/30*N386,(Input!N$54-150)/30*N386)))))),0)</f>
        <v>0</v>
      </c>
      <c r="O1028" s="229">
        <f>IF(Years="Five",IF(O$338&gt;$D$33,0,IF(Input!O$54&lt;31,Input!O$54/30*O386,IF(Input!O$54&lt;61,(Input!O$54-30)/30*O386,IF(Input!O$54&lt;91,(Input!O$54-60)/30*O386,IF(Input!O$54&lt;121,(Input!O$54-90)/30*O386,IF(Input!O$54&lt;151,(Input!O$54-120)/30*O386,(Input!O$54-150)/30*O386)))))),0)</f>
        <v>0</v>
      </c>
      <c r="P1028" s="229">
        <f>IF(Years="Five",IF(P$338&gt;$D$33,0,IF(Input!P$54&lt;31,Input!P$54/30*P386,IF(Input!P$54&lt;61,(Input!P$54-30)/30*P386,IF(Input!P$54&lt;91,(Input!P$54-60)/30*P386,IF(Input!P$54&lt;121,(Input!P$54-90)/30*P386,IF(Input!P$54&lt;151,(Input!P$54-120)/30*P386,(Input!P$54-150)/30*P386)))))),0)</f>
        <v>0</v>
      </c>
      <c r="Q1028" s="229">
        <f>IF(Years="Five",IF(Q$338&gt;$D$33,0,IF(Input!Q$54&lt;31,Input!Q$54/30*Q386,IF(Input!Q$54&lt;61,(Input!Q$54-30)/30*Q386,IF(Input!Q$54&lt;91,(Input!Q$54-60)/30*Q386,IF(Input!Q$54&lt;121,(Input!Q$54-90)/30*Q386,IF(Input!Q$54&lt;151,(Input!Q$54-120)/30*Q386,(Input!Q$54-150)/30*Q386)))))),0)</f>
        <v>0</v>
      </c>
      <c r="R1028" s="229">
        <f>IF(Years="Five",IF(R$338&gt;$D$33,0,IF(Input!R$54&lt;31,Input!R$54/30*R386,IF(Input!R$54&lt;61,(Input!R$54-30)/30*R386,IF(Input!R$54&lt;91,(Input!R$54-60)/30*R386,IF(Input!R$54&lt;121,(Input!R$54-90)/30*R386,IF(Input!R$54&lt;151,(Input!R$54-120)/30*R386,(Input!R$54-150)/30*R386)))))),0)</f>
        <v>0</v>
      </c>
      <c r="S1028" s="229">
        <f>IF(Years="Five",IF(S$338&gt;$D$33,0,IF(Input!S$54&lt;31,Input!S$54/30*S386,IF(Input!S$54&lt;61,(Input!S$54-30)/30*S386,IF(Input!S$54&lt;91,(Input!S$54-60)/30*S386,IF(Input!S$54&lt;121,(Input!S$54-90)/30*S386,IF(Input!S$54&lt;151,(Input!S$54-120)/30*S386,(Input!S$54-150)/30*S386)))))),0)</f>
        <v>0</v>
      </c>
      <c r="T1028" s="229">
        <f>IF(Years="Five",IF(T$338&gt;$D$33,0,IF(Input!T$54&lt;31,Input!T$54/30*T386,IF(Input!T$54&lt;61,(Input!T$54-30)/30*T386,IF(Input!T$54&lt;91,(Input!T$54-60)/30*T386,IF(Input!T$54&lt;121,(Input!T$54-90)/30*T386,IF(Input!T$54&lt;151,(Input!T$54-120)/30*T386,(Input!T$54-150)/30*T386)))))),0)</f>
        <v>0</v>
      </c>
      <c r="U1028" s="229">
        <f>IF(Years="Five",IF(U$338&gt;$D$33,0,IF(Input!U$54&lt;31,Input!U$54/30*U386,IF(Input!U$54&lt;61,(Input!U$54-30)/30*U386,IF(Input!U$54&lt;91,(Input!U$54-60)/30*U386,IF(Input!U$54&lt;121,(Input!U$54-90)/30*U386,IF(Input!U$54&lt;151,(Input!U$54-120)/30*U386,(Input!U$54-150)/30*U386)))))),0)</f>
        <v>0</v>
      </c>
      <c r="V1028" s="229">
        <f>IF(Years="Five",IF(V$338&gt;$D$33,0,IF(Input!V$54&lt;31,Input!V$54/30*V386,IF(Input!V$54&lt;61,(Input!V$54-30)/30*V386,IF(Input!V$54&lt;91,(Input!V$54-60)/30*V386,IF(Input!V$54&lt;121,(Input!V$54-90)/30*V386,IF(Input!V$54&lt;151,(Input!V$54-120)/30*V386,(Input!V$54-150)/30*V386)))))),0)</f>
        <v>0</v>
      </c>
      <c r="W1028" s="229">
        <f>IF(Years="Five",IF(W$338&gt;$D$33,0,IF(Input!W$54&lt;31,Input!W$54/30*W386,IF(Input!W$54&lt;61,(Input!W$54-30)/30*W386,IF(Input!W$54&lt;91,(Input!W$54-60)/30*W386,IF(Input!W$54&lt;121,(Input!W$54-90)/30*W386,IF(Input!W$54&lt;151,(Input!W$54-120)/30*W386,(Input!W$54-150)/30*W386)))))),0)</f>
        <v>0</v>
      </c>
      <c r="X1028" s="229">
        <f>IF(Years="Five",IF(X$338&gt;$D$33,0,IF(Input!X$54&lt;31,Input!X$54/30*X386,IF(Input!X$54&lt;61,(Input!X$54-30)/30*X386,IF(Input!X$54&lt;91,(Input!X$54-60)/30*X386,IF(Input!X$54&lt;121,(Input!X$54-90)/30*X386,IF(Input!X$54&lt;151,(Input!X$54-120)/30*X386,(Input!X$54-150)/30*X386)))))),0)</f>
        <v>0</v>
      </c>
      <c r="Y1028" s="229">
        <f>IF(Years="Five",IF(Y$338&gt;$D$33,0,IF(Input!Y$54&lt;31,Input!Y$54/30*Y386,IF(Input!Y$54&lt;61,(Input!Y$54-30)/30*Y386,IF(Input!Y$54&lt;91,(Input!Y$54-60)/30*Y386,IF(Input!Y$54&lt;121,(Input!Y$54-90)/30*Y386,IF(Input!Y$54&lt;151,(Input!Y$54-120)/30*Y386,(Input!Y$54-150)/30*Y386)))))),0)</f>
        <v>0</v>
      </c>
      <c r="Z1028" s="229">
        <f>IF(Years="Five",IF(Z$338&gt;$D$33,0,IF(Input!Z$54&lt;31,Input!Z$54/30*Z386,IF(Input!Z$54&lt;61,(Input!Z$54-30)/30*Z386,IF(Input!Z$54&lt;91,(Input!Z$54-60)/30*Z386,IF(Input!Z$54&lt;121,(Input!Z$54-90)/30*Z386,IF(Input!Z$54&lt;151,(Input!Z$54-120)/30*Z386,(Input!Z$54-150)/30*Z386)))))),0)</f>
        <v>0</v>
      </c>
      <c r="AA1028" s="229">
        <f>IF(Years="Five",IF(AA$338&gt;$D$33,0,IF(Input!AA$54&lt;31,Input!AA$54/30*AA386,IF(Input!AA$54&lt;61,(Input!AA$54-30)/30*AA386,IF(Input!AA$54&lt;91,(Input!AA$54-60)/30*AA386,IF(Input!AA$54&lt;121,(Input!AA$54-90)/30*AA386,IF(Input!AA$54&lt;151,(Input!AA$54-120)/30*AA386,(Input!AA$54-150)/30*AA386)))))),0)</f>
        <v>0</v>
      </c>
      <c r="AB1028" s="298">
        <f>IF(Years="Five",IF(AB$338&gt;$D$33,0,IF(Input!AB$54&lt;31,Input!AB$54/30*AB386,IF(Input!AB$54&lt;61,(Input!AB$54-30)/30*AB386,IF(Input!AB$54&lt;91,(Input!AB$54-60)/30*AB386,IF(Input!AB$54&lt;121,(Input!AB$54-90)/30*AB386,IF(Input!AB$54&lt;151,(Input!AB$54-120)/30*AB386,(Input!AB$54-150)/30*AB386)))))),0)</f>
        <v>0</v>
      </c>
      <c r="CH1028" s="269"/>
      <c r="CI1028" s="269"/>
      <c r="CJ1028" s="269"/>
      <c r="CK1028" s="269"/>
      <c r="CL1028" s="269"/>
      <c r="CM1028" s="269"/>
      <c r="CN1028" s="269"/>
      <c r="CO1028" s="269"/>
      <c r="CP1028" s="269"/>
      <c r="CQ1028" s="269"/>
      <c r="CR1028" s="269"/>
      <c r="CS1028" s="269"/>
    </row>
    <row r="1029" spans="3:97" ht="12.5" thickBot="1" x14ac:dyDescent="0.35">
      <c r="C1029" s="639">
        <f>C966</f>
        <v>1461</v>
      </c>
      <c r="D1029" s="301">
        <f>IF(Years="Five",IF(D$338&gt;$D$33,0,IF(Input!D$54&lt;31,Input!D$54/30*D387,IF(Input!D$54&lt;61,(Input!D$54-30)/30*D387,IF(Input!D$54&lt;91,(Input!D$54-60)/30*D387,IF(Input!D$54&lt;121,(Input!D$54-90)/30*D387,IF(Input!D$54&lt;151,(Input!D$54-120)/30*D387,(Input!D$54-150)/30*D387)))))),0)</f>
        <v>0</v>
      </c>
      <c r="E1029" s="302">
        <f>IF(Years="Five",IF(E$338&gt;$D$33,0,IF(Input!E$54&lt;31,Input!E$54/30*E387,IF(Input!E$54&lt;61,(Input!E$54-30)/30*E387,IF(Input!E$54&lt;91,(Input!E$54-60)/30*E387,IF(Input!E$54&lt;121,(Input!E$54-90)/30*E387,IF(Input!E$54&lt;151,(Input!E$54-120)/30*E387,(Input!E$54-150)/30*E387)))))),0)</f>
        <v>0</v>
      </c>
      <c r="F1029" s="302">
        <f>IF(Years="Five",IF(F$338&gt;$D$33,0,IF(Input!F$54&lt;31,Input!F$54/30*F387,IF(Input!F$54&lt;61,(Input!F$54-30)/30*F387,IF(Input!F$54&lt;91,(Input!F$54-60)/30*F387,IF(Input!F$54&lt;121,(Input!F$54-90)/30*F387,IF(Input!F$54&lt;151,(Input!F$54-120)/30*F387,(Input!F$54-150)/30*F387)))))),0)</f>
        <v>0</v>
      </c>
      <c r="G1029" s="302">
        <f>IF(Years="Five",IF(G$338&gt;$D$33,0,IF(Input!G$54&lt;31,Input!G$54/30*G387,IF(Input!G$54&lt;61,(Input!G$54-30)/30*G387,IF(Input!G$54&lt;91,(Input!G$54-60)/30*G387,IF(Input!G$54&lt;121,(Input!G$54-90)/30*G387,IF(Input!G$54&lt;151,(Input!G$54-120)/30*G387,(Input!G$54-150)/30*G387)))))),0)</f>
        <v>0</v>
      </c>
      <c r="H1029" s="302">
        <f>IF(Years="Five",IF(H$338&gt;$D$33,0,IF(Input!H$54&lt;31,Input!H$54/30*H387,IF(Input!H$54&lt;61,(Input!H$54-30)/30*H387,IF(Input!H$54&lt;91,(Input!H$54-60)/30*H387,IF(Input!H$54&lt;121,(Input!H$54-90)/30*H387,IF(Input!H$54&lt;151,(Input!H$54-120)/30*H387,(Input!H$54-150)/30*H387)))))),0)</f>
        <v>0</v>
      </c>
      <c r="I1029" s="302">
        <f>IF(Years="Five",IF(I$338&gt;$D$33,0,IF(Input!I$54&lt;31,Input!I$54/30*I387,IF(Input!I$54&lt;61,(Input!I$54-30)/30*I387,IF(Input!I$54&lt;91,(Input!I$54-60)/30*I387,IF(Input!I$54&lt;121,(Input!I$54-90)/30*I387,IF(Input!I$54&lt;151,(Input!I$54-120)/30*I387,(Input!I$54-150)/30*I387)))))),0)</f>
        <v>0</v>
      </c>
      <c r="J1029" s="302">
        <f>IF(Years="Five",IF(J$338&gt;$D$33,0,IF(Input!J$54&lt;31,Input!J$54/30*J387,IF(Input!J$54&lt;61,(Input!J$54-30)/30*J387,IF(Input!J$54&lt;91,(Input!J$54-60)/30*J387,IF(Input!J$54&lt;121,(Input!J$54-90)/30*J387,IF(Input!J$54&lt;151,(Input!J$54-120)/30*J387,(Input!J$54-150)/30*J387)))))),0)</f>
        <v>0</v>
      </c>
      <c r="K1029" s="302">
        <f>IF(Years="Five",IF(K$338&gt;$D$33,0,IF(Input!K$54&lt;31,Input!K$54/30*K387,IF(Input!K$54&lt;61,(Input!K$54-30)/30*K387,IF(Input!K$54&lt;91,(Input!K$54-60)/30*K387,IF(Input!K$54&lt;121,(Input!K$54-90)/30*K387,IF(Input!K$54&lt;151,(Input!K$54-120)/30*K387,(Input!K$54-150)/30*K387)))))),0)</f>
        <v>0</v>
      </c>
      <c r="L1029" s="302">
        <f>IF(Years="Five",IF(L$338&gt;$D$33,0,IF(Input!L$54&lt;31,Input!L$54/30*L387,IF(Input!L$54&lt;61,(Input!L$54-30)/30*L387,IF(Input!L$54&lt;91,(Input!L$54-60)/30*L387,IF(Input!L$54&lt;121,(Input!L$54-90)/30*L387,IF(Input!L$54&lt;151,(Input!L$54-120)/30*L387,(Input!L$54-150)/30*L387)))))),0)</f>
        <v>0</v>
      </c>
      <c r="M1029" s="302">
        <f>IF(Years="Five",IF(M$338&gt;$D$33,0,IF(Input!M$54&lt;31,Input!M$54/30*M387,IF(Input!M$54&lt;61,(Input!M$54-30)/30*M387,IF(Input!M$54&lt;91,(Input!M$54-60)/30*M387,IF(Input!M$54&lt;121,(Input!M$54-90)/30*M387,IF(Input!M$54&lt;151,(Input!M$54-120)/30*M387,(Input!M$54-150)/30*M387)))))),0)</f>
        <v>0</v>
      </c>
      <c r="N1029" s="302">
        <f>IF(Years="Five",IF(N$338&gt;$D$33,0,IF(Input!N$54&lt;31,Input!N$54/30*N387,IF(Input!N$54&lt;61,(Input!N$54-30)/30*N387,IF(Input!N$54&lt;91,(Input!N$54-60)/30*N387,IF(Input!N$54&lt;121,(Input!N$54-90)/30*N387,IF(Input!N$54&lt;151,(Input!N$54-120)/30*N387,(Input!N$54-150)/30*N387)))))),0)</f>
        <v>0</v>
      </c>
      <c r="O1029" s="302">
        <f>IF(Years="Five",IF(O$338&gt;$D$33,0,IF(Input!O$54&lt;31,Input!O$54/30*O387,IF(Input!O$54&lt;61,(Input!O$54-30)/30*O387,IF(Input!O$54&lt;91,(Input!O$54-60)/30*O387,IF(Input!O$54&lt;121,(Input!O$54-90)/30*O387,IF(Input!O$54&lt;151,(Input!O$54-120)/30*O387,(Input!O$54-150)/30*O387)))))),0)</f>
        <v>0</v>
      </c>
      <c r="P1029" s="302">
        <f>IF(Years="Five",IF(P$338&gt;$D$33,0,IF(Input!P$54&lt;31,Input!P$54/30*P387,IF(Input!P$54&lt;61,(Input!P$54-30)/30*P387,IF(Input!P$54&lt;91,(Input!P$54-60)/30*P387,IF(Input!P$54&lt;121,(Input!P$54-90)/30*P387,IF(Input!P$54&lt;151,(Input!P$54-120)/30*P387,(Input!P$54-150)/30*P387)))))),0)</f>
        <v>0</v>
      </c>
      <c r="Q1029" s="302">
        <f>IF(Years="Five",IF(Q$338&gt;$D$33,0,IF(Input!Q$54&lt;31,Input!Q$54/30*Q387,IF(Input!Q$54&lt;61,(Input!Q$54-30)/30*Q387,IF(Input!Q$54&lt;91,(Input!Q$54-60)/30*Q387,IF(Input!Q$54&lt;121,(Input!Q$54-90)/30*Q387,IF(Input!Q$54&lt;151,(Input!Q$54-120)/30*Q387,(Input!Q$54-150)/30*Q387)))))),0)</f>
        <v>0</v>
      </c>
      <c r="R1029" s="302">
        <f>IF(Years="Five",IF(R$338&gt;$D$33,0,IF(Input!R$54&lt;31,Input!R$54/30*R387,IF(Input!R$54&lt;61,(Input!R$54-30)/30*R387,IF(Input!R$54&lt;91,(Input!R$54-60)/30*R387,IF(Input!R$54&lt;121,(Input!R$54-90)/30*R387,IF(Input!R$54&lt;151,(Input!R$54-120)/30*R387,(Input!R$54-150)/30*R387)))))),0)</f>
        <v>0</v>
      </c>
      <c r="S1029" s="302">
        <f>IF(Years="Five",IF(S$338&gt;$D$33,0,IF(Input!S$54&lt;31,Input!S$54/30*S387,IF(Input!S$54&lt;61,(Input!S$54-30)/30*S387,IF(Input!S$54&lt;91,(Input!S$54-60)/30*S387,IF(Input!S$54&lt;121,(Input!S$54-90)/30*S387,IF(Input!S$54&lt;151,(Input!S$54-120)/30*S387,(Input!S$54-150)/30*S387)))))),0)</f>
        <v>0</v>
      </c>
      <c r="T1029" s="302">
        <f>IF(Years="Five",IF(T$338&gt;$D$33,0,IF(Input!T$54&lt;31,Input!T$54/30*T387,IF(Input!T$54&lt;61,(Input!T$54-30)/30*T387,IF(Input!T$54&lt;91,(Input!T$54-60)/30*T387,IF(Input!T$54&lt;121,(Input!T$54-90)/30*T387,IF(Input!T$54&lt;151,(Input!T$54-120)/30*T387,(Input!T$54-150)/30*T387)))))),0)</f>
        <v>0</v>
      </c>
      <c r="U1029" s="302">
        <f>IF(Years="Five",IF(U$338&gt;$D$33,0,IF(Input!U$54&lt;31,Input!U$54/30*U387,IF(Input!U$54&lt;61,(Input!U$54-30)/30*U387,IF(Input!U$54&lt;91,(Input!U$54-60)/30*U387,IF(Input!U$54&lt;121,(Input!U$54-90)/30*U387,IF(Input!U$54&lt;151,(Input!U$54-120)/30*U387,(Input!U$54-150)/30*U387)))))),0)</f>
        <v>0</v>
      </c>
      <c r="V1029" s="302">
        <f>IF(Years="Five",IF(V$338&gt;$D$33,0,IF(Input!V$54&lt;31,Input!V$54/30*V387,IF(Input!V$54&lt;61,(Input!V$54-30)/30*V387,IF(Input!V$54&lt;91,(Input!V$54-60)/30*V387,IF(Input!V$54&lt;121,(Input!V$54-90)/30*V387,IF(Input!V$54&lt;151,(Input!V$54-120)/30*V387,(Input!V$54-150)/30*V387)))))),0)</f>
        <v>0</v>
      </c>
      <c r="W1029" s="302">
        <f>IF(Years="Five",IF(W$338&gt;$D$33,0,IF(Input!W$54&lt;31,Input!W$54/30*W387,IF(Input!W$54&lt;61,(Input!W$54-30)/30*W387,IF(Input!W$54&lt;91,(Input!W$54-60)/30*W387,IF(Input!W$54&lt;121,(Input!W$54-90)/30*W387,IF(Input!W$54&lt;151,(Input!W$54-120)/30*W387,(Input!W$54-150)/30*W387)))))),0)</f>
        <v>0</v>
      </c>
      <c r="X1029" s="302">
        <f>IF(Years="Five",IF(X$338&gt;$D$33,0,IF(Input!X$54&lt;31,Input!X$54/30*X387,IF(Input!X$54&lt;61,(Input!X$54-30)/30*X387,IF(Input!X$54&lt;91,(Input!X$54-60)/30*X387,IF(Input!X$54&lt;121,(Input!X$54-90)/30*X387,IF(Input!X$54&lt;151,(Input!X$54-120)/30*X387,(Input!X$54-150)/30*X387)))))),0)</f>
        <v>0</v>
      </c>
      <c r="Y1029" s="302">
        <f>IF(Years="Five",IF(Y$338&gt;$D$33,0,IF(Input!Y$54&lt;31,Input!Y$54/30*Y387,IF(Input!Y$54&lt;61,(Input!Y$54-30)/30*Y387,IF(Input!Y$54&lt;91,(Input!Y$54-60)/30*Y387,IF(Input!Y$54&lt;121,(Input!Y$54-90)/30*Y387,IF(Input!Y$54&lt;151,(Input!Y$54-120)/30*Y387,(Input!Y$54-150)/30*Y387)))))),0)</f>
        <v>0</v>
      </c>
      <c r="Z1029" s="302">
        <f>IF(Years="Five",IF(Z$338&gt;$D$33,0,IF(Input!Z$54&lt;31,Input!Z$54/30*Z387,IF(Input!Z$54&lt;61,(Input!Z$54-30)/30*Z387,IF(Input!Z$54&lt;91,(Input!Z$54-60)/30*Z387,IF(Input!Z$54&lt;121,(Input!Z$54-90)/30*Z387,IF(Input!Z$54&lt;151,(Input!Z$54-120)/30*Z387,(Input!Z$54-150)/30*Z387)))))),0)</f>
        <v>0</v>
      </c>
      <c r="AA1029" s="302">
        <f>IF(Years="Five",IF(AA$338&gt;$D$33,0,IF(Input!AA$54&lt;31,Input!AA$54/30*AA387,IF(Input!AA$54&lt;61,(Input!AA$54-30)/30*AA387,IF(Input!AA$54&lt;91,(Input!AA$54-60)/30*AA387,IF(Input!AA$54&lt;121,(Input!AA$54-90)/30*AA387,IF(Input!AA$54&lt;151,(Input!AA$54-120)/30*AA387,(Input!AA$54-150)/30*AA387)))))),0)</f>
        <v>0</v>
      </c>
      <c r="AB1029" s="303">
        <f>IF(Years="Five",IF(AB$338&gt;$D$33,0,IF(Input!AB$54&lt;31,Input!AB$54/30*AB387,IF(Input!AB$54&lt;61,(Input!AB$54-30)/30*AB387,IF(Input!AB$54&lt;91,(Input!AB$54-60)/30*AB387,IF(Input!AB$54&lt;121,(Input!AB$54-90)/30*AB387,IF(Input!AB$54&lt;151,(Input!AB$54-120)/30*AB387,(Input!AB$54-150)/30*AB387)))))),0)</f>
        <v>0</v>
      </c>
      <c r="CH1029" s="269"/>
      <c r="CI1029" s="269"/>
      <c r="CJ1029" s="269"/>
      <c r="CK1029" s="269"/>
      <c r="CL1029" s="269"/>
      <c r="CM1029" s="269"/>
      <c r="CN1029" s="269"/>
      <c r="CO1029" s="269"/>
      <c r="CP1029" s="269"/>
      <c r="CQ1029" s="269"/>
      <c r="CR1029" s="269"/>
      <c r="CS1029" s="269"/>
    </row>
    <row r="1030" spans="3:97" x14ac:dyDescent="0.3">
      <c r="C1030" s="638">
        <f>C967</f>
        <v>1492</v>
      </c>
      <c r="D1030" s="299">
        <f>IF(Years="Five",IF(D$338&gt;$D$33,0,IF(Input!D$54&lt;31,Input!D$54/30*D388,IF(Input!D$54&lt;61,(Input!D$54-30)/30*D388,IF(Input!D$54&lt;91,(Input!D$54-60)/30*D388,IF(Input!D$54&lt;121,(Input!D$54-90)/30*D388,IF(Input!D$54&lt;151,(Input!D$54-120)/30*D388,(Input!D$54-150)/30*D388)))))),0)</f>
        <v>0</v>
      </c>
      <c r="E1030" s="231">
        <f>IF(Years="Five",IF(E$338&gt;$D$33,0,IF(Input!E$54&lt;31,Input!E$54/30*E388,IF(Input!E$54&lt;61,(Input!E$54-30)/30*E388,IF(Input!E$54&lt;91,(Input!E$54-60)/30*E388,IF(Input!E$54&lt;121,(Input!E$54-90)/30*E388,IF(Input!E$54&lt;151,(Input!E$54-120)/30*E388,(Input!E$54-150)/30*E388)))))),0)</f>
        <v>0</v>
      </c>
      <c r="F1030" s="231">
        <f>IF(Years="Five",IF(F$338&gt;$D$33,0,IF(Input!F$54&lt;31,Input!F$54/30*F388,IF(Input!F$54&lt;61,(Input!F$54-30)/30*F388,IF(Input!F$54&lt;91,(Input!F$54-60)/30*F388,IF(Input!F$54&lt;121,(Input!F$54-90)/30*F388,IF(Input!F$54&lt;151,(Input!F$54-120)/30*F388,(Input!F$54-150)/30*F388)))))),0)</f>
        <v>0</v>
      </c>
      <c r="G1030" s="231">
        <f>IF(Years="Five",IF(G$338&gt;$D$33,0,IF(Input!G$54&lt;31,Input!G$54/30*G388,IF(Input!G$54&lt;61,(Input!G$54-30)/30*G388,IF(Input!G$54&lt;91,(Input!G$54-60)/30*G388,IF(Input!G$54&lt;121,(Input!G$54-90)/30*G388,IF(Input!G$54&lt;151,(Input!G$54-120)/30*G388,(Input!G$54-150)/30*G388)))))),0)</f>
        <v>0</v>
      </c>
      <c r="H1030" s="231">
        <f>IF(Years="Five",IF(H$338&gt;$D$33,0,IF(Input!H$54&lt;31,Input!H$54/30*H388,IF(Input!H$54&lt;61,(Input!H$54-30)/30*H388,IF(Input!H$54&lt;91,(Input!H$54-60)/30*H388,IF(Input!H$54&lt;121,(Input!H$54-90)/30*H388,IF(Input!H$54&lt;151,(Input!H$54-120)/30*H388,(Input!H$54-150)/30*H388)))))),0)</f>
        <v>0</v>
      </c>
      <c r="I1030" s="231">
        <f>IF(Years="Five",IF(I$338&gt;$D$33,0,IF(Input!I$54&lt;31,Input!I$54/30*I388,IF(Input!I$54&lt;61,(Input!I$54-30)/30*I388,IF(Input!I$54&lt;91,(Input!I$54-60)/30*I388,IF(Input!I$54&lt;121,(Input!I$54-90)/30*I388,IF(Input!I$54&lt;151,(Input!I$54-120)/30*I388,(Input!I$54-150)/30*I388)))))),0)</f>
        <v>0</v>
      </c>
      <c r="J1030" s="231">
        <f>IF(Years="Five",IF(J$338&gt;$D$33,0,IF(Input!J$54&lt;31,Input!J$54/30*J388,IF(Input!J$54&lt;61,(Input!J$54-30)/30*J388,IF(Input!J$54&lt;91,(Input!J$54-60)/30*J388,IF(Input!J$54&lt;121,(Input!J$54-90)/30*J388,IF(Input!J$54&lt;151,(Input!J$54-120)/30*J388,(Input!J$54-150)/30*J388)))))),0)</f>
        <v>0</v>
      </c>
      <c r="K1030" s="231">
        <f>IF(Years="Five",IF(K$338&gt;$D$33,0,IF(Input!K$54&lt;31,Input!K$54/30*K388,IF(Input!K$54&lt;61,(Input!K$54-30)/30*K388,IF(Input!K$54&lt;91,(Input!K$54-60)/30*K388,IF(Input!K$54&lt;121,(Input!K$54-90)/30*K388,IF(Input!K$54&lt;151,(Input!K$54-120)/30*K388,(Input!K$54-150)/30*K388)))))),0)</f>
        <v>0</v>
      </c>
      <c r="L1030" s="231">
        <f>IF(Years="Five",IF(L$338&gt;$D$33,0,IF(Input!L$54&lt;31,Input!L$54/30*L388,IF(Input!L$54&lt;61,(Input!L$54-30)/30*L388,IF(Input!L$54&lt;91,(Input!L$54-60)/30*L388,IF(Input!L$54&lt;121,(Input!L$54-90)/30*L388,IF(Input!L$54&lt;151,(Input!L$54-120)/30*L388,(Input!L$54-150)/30*L388)))))),0)</f>
        <v>0</v>
      </c>
      <c r="M1030" s="231">
        <f>IF(Years="Five",IF(M$338&gt;$D$33,0,IF(Input!M$54&lt;31,Input!M$54/30*M388,IF(Input!M$54&lt;61,(Input!M$54-30)/30*M388,IF(Input!M$54&lt;91,(Input!M$54-60)/30*M388,IF(Input!M$54&lt;121,(Input!M$54-90)/30*M388,IF(Input!M$54&lt;151,(Input!M$54-120)/30*M388,(Input!M$54-150)/30*M388)))))),0)</f>
        <v>0</v>
      </c>
      <c r="N1030" s="231">
        <f>IF(Years="Five",IF(N$338&gt;$D$33,0,IF(Input!N$54&lt;31,Input!N$54/30*N388,IF(Input!N$54&lt;61,(Input!N$54-30)/30*N388,IF(Input!N$54&lt;91,(Input!N$54-60)/30*N388,IF(Input!N$54&lt;121,(Input!N$54-90)/30*N388,IF(Input!N$54&lt;151,(Input!N$54-120)/30*N388,(Input!N$54-150)/30*N388)))))),0)</f>
        <v>0</v>
      </c>
      <c r="O1030" s="231">
        <f>IF(Years="Five",IF(O$338&gt;$D$33,0,IF(Input!O$54&lt;31,Input!O$54/30*O388,IF(Input!O$54&lt;61,(Input!O$54-30)/30*O388,IF(Input!O$54&lt;91,(Input!O$54-60)/30*O388,IF(Input!O$54&lt;121,(Input!O$54-90)/30*O388,IF(Input!O$54&lt;151,(Input!O$54-120)/30*O388,(Input!O$54-150)/30*O388)))))),0)</f>
        <v>0</v>
      </c>
      <c r="P1030" s="231">
        <f>IF(Years="Five",IF(P$338&gt;$D$33,0,IF(Input!P$54&lt;31,Input!P$54/30*P388,IF(Input!P$54&lt;61,(Input!P$54-30)/30*P388,IF(Input!P$54&lt;91,(Input!P$54-60)/30*P388,IF(Input!P$54&lt;121,(Input!P$54-90)/30*P388,IF(Input!P$54&lt;151,(Input!P$54-120)/30*P388,(Input!P$54-150)/30*P388)))))),0)</f>
        <v>0</v>
      </c>
      <c r="Q1030" s="231">
        <f>IF(Years="Five",IF(Q$338&gt;$D$33,0,IF(Input!Q$54&lt;31,Input!Q$54/30*Q388,IF(Input!Q$54&lt;61,(Input!Q$54-30)/30*Q388,IF(Input!Q$54&lt;91,(Input!Q$54-60)/30*Q388,IF(Input!Q$54&lt;121,(Input!Q$54-90)/30*Q388,IF(Input!Q$54&lt;151,(Input!Q$54-120)/30*Q388,(Input!Q$54-150)/30*Q388)))))),0)</f>
        <v>0</v>
      </c>
      <c r="R1030" s="231">
        <f>IF(Years="Five",IF(R$338&gt;$D$33,0,IF(Input!R$54&lt;31,Input!R$54/30*R388,IF(Input!R$54&lt;61,(Input!R$54-30)/30*R388,IF(Input!R$54&lt;91,(Input!R$54-60)/30*R388,IF(Input!R$54&lt;121,(Input!R$54-90)/30*R388,IF(Input!R$54&lt;151,(Input!R$54-120)/30*R388,(Input!R$54-150)/30*R388)))))),0)</f>
        <v>0</v>
      </c>
      <c r="S1030" s="231">
        <f>IF(Years="Five",IF(S$338&gt;$D$33,0,IF(Input!S$54&lt;31,Input!S$54/30*S388,IF(Input!S$54&lt;61,(Input!S$54-30)/30*S388,IF(Input!S$54&lt;91,(Input!S$54-60)/30*S388,IF(Input!S$54&lt;121,(Input!S$54-90)/30*S388,IF(Input!S$54&lt;151,(Input!S$54-120)/30*S388,(Input!S$54-150)/30*S388)))))),0)</f>
        <v>0</v>
      </c>
      <c r="T1030" s="231">
        <f>IF(Years="Five",IF(T$338&gt;$D$33,0,IF(Input!T$54&lt;31,Input!T$54/30*T388,IF(Input!T$54&lt;61,(Input!T$54-30)/30*T388,IF(Input!T$54&lt;91,(Input!T$54-60)/30*T388,IF(Input!T$54&lt;121,(Input!T$54-90)/30*T388,IF(Input!T$54&lt;151,(Input!T$54-120)/30*T388,(Input!T$54-150)/30*T388)))))),0)</f>
        <v>0</v>
      </c>
      <c r="U1030" s="231">
        <f>IF(Years="Five",IF(U$338&gt;$D$33,0,IF(Input!U$54&lt;31,Input!U$54/30*U388,IF(Input!U$54&lt;61,(Input!U$54-30)/30*U388,IF(Input!U$54&lt;91,(Input!U$54-60)/30*U388,IF(Input!U$54&lt;121,(Input!U$54-90)/30*U388,IF(Input!U$54&lt;151,(Input!U$54-120)/30*U388,(Input!U$54-150)/30*U388)))))),0)</f>
        <v>0</v>
      </c>
      <c r="V1030" s="231">
        <f>IF(Years="Five",IF(V$338&gt;$D$33,0,IF(Input!V$54&lt;31,Input!V$54/30*V388,IF(Input!V$54&lt;61,(Input!V$54-30)/30*V388,IF(Input!V$54&lt;91,(Input!V$54-60)/30*V388,IF(Input!V$54&lt;121,(Input!V$54-90)/30*V388,IF(Input!V$54&lt;151,(Input!V$54-120)/30*V388,(Input!V$54-150)/30*V388)))))),0)</f>
        <v>0</v>
      </c>
      <c r="W1030" s="231">
        <f>IF(Years="Five",IF(W$338&gt;$D$33,0,IF(Input!W$54&lt;31,Input!W$54/30*W388,IF(Input!W$54&lt;61,(Input!W$54-30)/30*W388,IF(Input!W$54&lt;91,(Input!W$54-60)/30*W388,IF(Input!W$54&lt;121,(Input!W$54-90)/30*W388,IF(Input!W$54&lt;151,(Input!W$54-120)/30*W388,(Input!W$54-150)/30*W388)))))),0)</f>
        <v>0</v>
      </c>
      <c r="X1030" s="231">
        <f>IF(Years="Five",IF(X$338&gt;$D$33,0,IF(Input!X$54&lt;31,Input!X$54/30*X388,IF(Input!X$54&lt;61,(Input!X$54-30)/30*X388,IF(Input!X$54&lt;91,(Input!X$54-60)/30*X388,IF(Input!X$54&lt;121,(Input!X$54-90)/30*X388,IF(Input!X$54&lt;151,(Input!X$54-120)/30*X388,(Input!X$54-150)/30*X388)))))),0)</f>
        <v>0</v>
      </c>
      <c r="Y1030" s="231">
        <f>IF(Years="Five",IF(Y$338&gt;$D$33,0,IF(Input!Y$54&lt;31,Input!Y$54/30*Y388,IF(Input!Y$54&lt;61,(Input!Y$54-30)/30*Y388,IF(Input!Y$54&lt;91,(Input!Y$54-60)/30*Y388,IF(Input!Y$54&lt;121,(Input!Y$54-90)/30*Y388,IF(Input!Y$54&lt;151,(Input!Y$54-120)/30*Y388,(Input!Y$54-150)/30*Y388)))))),0)</f>
        <v>0</v>
      </c>
      <c r="Z1030" s="231">
        <f>IF(Years="Five",IF(Z$338&gt;$D$33,0,IF(Input!Z$54&lt;31,Input!Z$54/30*Z388,IF(Input!Z$54&lt;61,(Input!Z$54-30)/30*Z388,IF(Input!Z$54&lt;91,(Input!Z$54-60)/30*Z388,IF(Input!Z$54&lt;121,(Input!Z$54-90)/30*Z388,IF(Input!Z$54&lt;151,(Input!Z$54-120)/30*Z388,(Input!Z$54-150)/30*Z388)))))),0)</f>
        <v>0</v>
      </c>
      <c r="AA1030" s="231">
        <f>IF(Years="Five",IF(AA$338&gt;$D$33,0,IF(Input!AA$54&lt;31,Input!AA$54/30*AA388,IF(Input!AA$54&lt;61,(Input!AA$54-30)/30*AA388,IF(Input!AA$54&lt;91,(Input!AA$54-60)/30*AA388,IF(Input!AA$54&lt;121,(Input!AA$54-90)/30*AA388,IF(Input!AA$54&lt;151,(Input!AA$54-120)/30*AA388,(Input!AA$54-150)/30*AA388)))))),0)</f>
        <v>0</v>
      </c>
      <c r="AB1030" s="300">
        <f>IF(Years="Five",IF(AB$338&gt;$D$33,0,IF(Input!AB$54&lt;31,Input!AB$54/30*AB388,IF(Input!AB$54&lt;61,(Input!AB$54-30)/30*AB388,IF(Input!AB$54&lt;91,(Input!AB$54-60)/30*AB388,IF(Input!AB$54&lt;121,(Input!AB$54-90)/30*AB388,IF(Input!AB$54&lt;151,(Input!AB$54-120)/30*AB388,(Input!AB$54-150)/30*AB388)))))),0)</f>
        <v>0</v>
      </c>
      <c r="CH1030" s="269"/>
      <c r="CI1030" s="269"/>
      <c r="CJ1030" s="269"/>
      <c r="CK1030" s="269"/>
      <c r="CL1030" s="269"/>
      <c r="CM1030" s="269"/>
      <c r="CN1030" s="269"/>
      <c r="CO1030" s="269"/>
      <c r="CP1030" s="269"/>
      <c r="CQ1030" s="269"/>
      <c r="CR1030" s="269"/>
      <c r="CS1030" s="269"/>
    </row>
    <row r="1031" spans="3:97" x14ac:dyDescent="0.3">
      <c r="C1031" s="638">
        <f>C968</f>
        <v>1521</v>
      </c>
      <c r="D1031" s="297">
        <f>IF(Years="Five",IF(D$338&gt;$D$33,0,IF(Input!D$54&lt;31,Input!D$54/30*D389,IF(Input!D$54&lt;61,(Input!D$54-30)/30*D389,IF(Input!D$54&lt;91,(Input!D$54-60)/30*D389,IF(Input!D$54&lt;121,(Input!D$54-90)/30*D389,IF(Input!D$54&lt;151,(Input!D$54-120)/30*D389,(Input!D$54-150)/30*D389)))))),0)</f>
        <v>0</v>
      </c>
      <c r="E1031" s="229">
        <f>IF(Years="Five",IF(E$338&gt;$D$33,0,IF(Input!E$54&lt;31,Input!E$54/30*E389,IF(Input!E$54&lt;61,(Input!E$54-30)/30*E389,IF(Input!E$54&lt;91,(Input!E$54-60)/30*E389,IF(Input!E$54&lt;121,(Input!E$54-90)/30*E389,IF(Input!E$54&lt;151,(Input!E$54-120)/30*E389,(Input!E$54-150)/30*E389)))))),0)</f>
        <v>0</v>
      </c>
      <c r="F1031" s="229">
        <f>IF(Years="Five",IF(F$338&gt;$D$33,0,IF(Input!F$54&lt;31,Input!F$54/30*F389,IF(Input!F$54&lt;61,(Input!F$54-30)/30*F389,IF(Input!F$54&lt;91,(Input!F$54-60)/30*F389,IF(Input!F$54&lt;121,(Input!F$54-90)/30*F389,IF(Input!F$54&lt;151,(Input!F$54-120)/30*F389,(Input!F$54-150)/30*F389)))))),0)</f>
        <v>0</v>
      </c>
      <c r="G1031" s="229">
        <f>IF(Years="Five",IF(G$338&gt;$D$33,0,IF(Input!G$54&lt;31,Input!G$54/30*G389,IF(Input!G$54&lt;61,(Input!G$54-30)/30*G389,IF(Input!G$54&lt;91,(Input!G$54-60)/30*G389,IF(Input!G$54&lt;121,(Input!G$54-90)/30*G389,IF(Input!G$54&lt;151,(Input!G$54-120)/30*G389,(Input!G$54-150)/30*G389)))))),0)</f>
        <v>0</v>
      </c>
      <c r="H1031" s="229">
        <f>IF(Years="Five",IF(H$338&gt;$D$33,0,IF(Input!H$54&lt;31,Input!H$54/30*H389,IF(Input!H$54&lt;61,(Input!H$54-30)/30*H389,IF(Input!H$54&lt;91,(Input!H$54-60)/30*H389,IF(Input!H$54&lt;121,(Input!H$54-90)/30*H389,IF(Input!H$54&lt;151,(Input!H$54-120)/30*H389,(Input!H$54-150)/30*H389)))))),0)</f>
        <v>0</v>
      </c>
      <c r="I1031" s="229">
        <f>IF(Years="Five",IF(I$338&gt;$D$33,0,IF(Input!I$54&lt;31,Input!I$54/30*I389,IF(Input!I$54&lt;61,(Input!I$54-30)/30*I389,IF(Input!I$54&lt;91,(Input!I$54-60)/30*I389,IF(Input!I$54&lt;121,(Input!I$54-90)/30*I389,IF(Input!I$54&lt;151,(Input!I$54-120)/30*I389,(Input!I$54-150)/30*I389)))))),0)</f>
        <v>0</v>
      </c>
      <c r="J1031" s="229">
        <f>IF(Years="Five",IF(J$338&gt;$D$33,0,IF(Input!J$54&lt;31,Input!J$54/30*J389,IF(Input!J$54&lt;61,(Input!J$54-30)/30*J389,IF(Input!J$54&lt;91,(Input!J$54-60)/30*J389,IF(Input!J$54&lt;121,(Input!J$54-90)/30*J389,IF(Input!J$54&lt;151,(Input!J$54-120)/30*J389,(Input!J$54-150)/30*J389)))))),0)</f>
        <v>0</v>
      </c>
      <c r="K1031" s="229">
        <f>IF(Years="Five",IF(K$338&gt;$D$33,0,IF(Input!K$54&lt;31,Input!K$54/30*K389,IF(Input!K$54&lt;61,(Input!K$54-30)/30*K389,IF(Input!K$54&lt;91,(Input!K$54-60)/30*K389,IF(Input!K$54&lt;121,(Input!K$54-90)/30*K389,IF(Input!K$54&lt;151,(Input!K$54-120)/30*K389,(Input!K$54-150)/30*K389)))))),0)</f>
        <v>0</v>
      </c>
      <c r="L1031" s="229">
        <f>IF(Years="Five",IF(L$338&gt;$D$33,0,IF(Input!L$54&lt;31,Input!L$54/30*L389,IF(Input!L$54&lt;61,(Input!L$54-30)/30*L389,IF(Input!L$54&lt;91,(Input!L$54-60)/30*L389,IF(Input!L$54&lt;121,(Input!L$54-90)/30*L389,IF(Input!L$54&lt;151,(Input!L$54-120)/30*L389,(Input!L$54-150)/30*L389)))))),0)</f>
        <v>0</v>
      </c>
      <c r="M1031" s="229">
        <f>IF(Years="Five",IF(M$338&gt;$D$33,0,IF(Input!M$54&lt;31,Input!M$54/30*M389,IF(Input!M$54&lt;61,(Input!M$54-30)/30*M389,IF(Input!M$54&lt;91,(Input!M$54-60)/30*M389,IF(Input!M$54&lt;121,(Input!M$54-90)/30*M389,IF(Input!M$54&lt;151,(Input!M$54-120)/30*M389,(Input!M$54-150)/30*M389)))))),0)</f>
        <v>0</v>
      </c>
      <c r="N1031" s="229">
        <f>IF(Years="Five",IF(N$338&gt;$D$33,0,IF(Input!N$54&lt;31,Input!N$54/30*N389,IF(Input!N$54&lt;61,(Input!N$54-30)/30*N389,IF(Input!N$54&lt;91,(Input!N$54-60)/30*N389,IF(Input!N$54&lt;121,(Input!N$54-90)/30*N389,IF(Input!N$54&lt;151,(Input!N$54-120)/30*N389,(Input!N$54-150)/30*N389)))))),0)</f>
        <v>0</v>
      </c>
      <c r="O1031" s="229">
        <f>IF(Years="Five",IF(O$338&gt;$D$33,0,IF(Input!O$54&lt;31,Input!O$54/30*O389,IF(Input!O$54&lt;61,(Input!O$54-30)/30*O389,IF(Input!O$54&lt;91,(Input!O$54-60)/30*O389,IF(Input!O$54&lt;121,(Input!O$54-90)/30*O389,IF(Input!O$54&lt;151,(Input!O$54-120)/30*O389,(Input!O$54-150)/30*O389)))))),0)</f>
        <v>0</v>
      </c>
      <c r="P1031" s="229">
        <f>IF(Years="Five",IF(P$338&gt;$D$33,0,IF(Input!P$54&lt;31,Input!P$54/30*P389,IF(Input!P$54&lt;61,(Input!P$54-30)/30*P389,IF(Input!P$54&lt;91,(Input!P$54-60)/30*P389,IF(Input!P$54&lt;121,(Input!P$54-90)/30*P389,IF(Input!P$54&lt;151,(Input!P$54-120)/30*P389,(Input!P$54-150)/30*P389)))))),0)</f>
        <v>0</v>
      </c>
      <c r="Q1031" s="229">
        <f>IF(Years="Five",IF(Q$338&gt;$D$33,0,IF(Input!Q$54&lt;31,Input!Q$54/30*Q389,IF(Input!Q$54&lt;61,(Input!Q$54-30)/30*Q389,IF(Input!Q$54&lt;91,(Input!Q$54-60)/30*Q389,IF(Input!Q$54&lt;121,(Input!Q$54-90)/30*Q389,IF(Input!Q$54&lt;151,(Input!Q$54-120)/30*Q389,(Input!Q$54-150)/30*Q389)))))),0)</f>
        <v>0</v>
      </c>
      <c r="R1031" s="229">
        <f>IF(Years="Five",IF(R$338&gt;$D$33,0,IF(Input!R$54&lt;31,Input!R$54/30*R389,IF(Input!R$54&lt;61,(Input!R$54-30)/30*R389,IF(Input!R$54&lt;91,(Input!R$54-60)/30*R389,IF(Input!R$54&lt;121,(Input!R$54-90)/30*R389,IF(Input!R$54&lt;151,(Input!R$54-120)/30*R389,(Input!R$54-150)/30*R389)))))),0)</f>
        <v>0</v>
      </c>
      <c r="S1031" s="229">
        <f>IF(Years="Five",IF(S$338&gt;$D$33,0,IF(Input!S$54&lt;31,Input!S$54/30*S389,IF(Input!S$54&lt;61,(Input!S$54-30)/30*S389,IF(Input!S$54&lt;91,(Input!S$54-60)/30*S389,IF(Input!S$54&lt;121,(Input!S$54-90)/30*S389,IF(Input!S$54&lt;151,(Input!S$54-120)/30*S389,(Input!S$54-150)/30*S389)))))),0)</f>
        <v>0</v>
      </c>
      <c r="T1031" s="229">
        <f>IF(Years="Five",IF(T$338&gt;$D$33,0,IF(Input!T$54&lt;31,Input!T$54/30*T389,IF(Input!T$54&lt;61,(Input!T$54-30)/30*T389,IF(Input!T$54&lt;91,(Input!T$54-60)/30*T389,IF(Input!T$54&lt;121,(Input!T$54-90)/30*T389,IF(Input!T$54&lt;151,(Input!T$54-120)/30*T389,(Input!T$54-150)/30*T389)))))),0)</f>
        <v>0</v>
      </c>
      <c r="U1031" s="229">
        <f>IF(Years="Five",IF(U$338&gt;$D$33,0,IF(Input!U$54&lt;31,Input!U$54/30*U389,IF(Input!U$54&lt;61,(Input!U$54-30)/30*U389,IF(Input!U$54&lt;91,(Input!U$54-60)/30*U389,IF(Input!U$54&lt;121,(Input!U$54-90)/30*U389,IF(Input!U$54&lt;151,(Input!U$54-120)/30*U389,(Input!U$54-150)/30*U389)))))),0)</f>
        <v>0</v>
      </c>
      <c r="V1031" s="229">
        <f>IF(Years="Five",IF(V$338&gt;$D$33,0,IF(Input!V$54&lt;31,Input!V$54/30*V389,IF(Input!V$54&lt;61,(Input!V$54-30)/30*V389,IF(Input!V$54&lt;91,(Input!V$54-60)/30*V389,IF(Input!V$54&lt;121,(Input!V$54-90)/30*V389,IF(Input!V$54&lt;151,(Input!V$54-120)/30*V389,(Input!V$54-150)/30*V389)))))),0)</f>
        <v>0</v>
      </c>
      <c r="W1031" s="229">
        <f>IF(Years="Five",IF(W$338&gt;$D$33,0,IF(Input!W$54&lt;31,Input!W$54/30*W389,IF(Input!W$54&lt;61,(Input!W$54-30)/30*W389,IF(Input!W$54&lt;91,(Input!W$54-60)/30*W389,IF(Input!W$54&lt;121,(Input!W$54-90)/30*W389,IF(Input!W$54&lt;151,(Input!W$54-120)/30*W389,(Input!W$54-150)/30*W389)))))),0)</f>
        <v>0</v>
      </c>
      <c r="X1031" s="229">
        <f>IF(Years="Five",IF(X$338&gt;$D$33,0,IF(Input!X$54&lt;31,Input!X$54/30*X389,IF(Input!X$54&lt;61,(Input!X$54-30)/30*X389,IF(Input!X$54&lt;91,(Input!X$54-60)/30*X389,IF(Input!X$54&lt;121,(Input!X$54-90)/30*X389,IF(Input!X$54&lt;151,(Input!X$54-120)/30*X389,(Input!X$54-150)/30*X389)))))),0)</f>
        <v>0</v>
      </c>
      <c r="Y1031" s="229">
        <f>IF(Years="Five",IF(Y$338&gt;$D$33,0,IF(Input!Y$54&lt;31,Input!Y$54/30*Y389,IF(Input!Y$54&lt;61,(Input!Y$54-30)/30*Y389,IF(Input!Y$54&lt;91,(Input!Y$54-60)/30*Y389,IF(Input!Y$54&lt;121,(Input!Y$54-90)/30*Y389,IF(Input!Y$54&lt;151,(Input!Y$54-120)/30*Y389,(Input!Y$54-150)/30*Y389)))))),0)</f>
        <v>0</v>
      </c>
      <c r="Z1031" s="229">
        <f>IF(Years="Five",IF(Z$338&gt;$D$33,0,IF(Input!Z$54&lt;31,Input!Z$54/30*Z389,IF(Input!Z$54&lt;61,(Input!Z$54-30)/30*Z389,IF(Input!Z$54&lt;91,(Input!Z$54-60)/30*Z389,IF(Input!Z$54&lt;121,(Input!Z$54-90)/30*Z389,IF(Input!Z$54&lt;151,(Input!Z$54-120)/30*Z389,(Input!Z$54-150)/30*Z389)))))),0)</f>
        <v>0</v>
      </c>
      <c r="AA1031" s="229">
        <f>IF(Years="Five",IF(AA$338&gt;$D$33,0,IF(Input!AA$54&lt;31,Input!AA$54/30*AA389,IF(Input!AA$54&lt;61,(Input!AA$54-30)/30*AA389,IF(Input!AA$54&lt;91,(Input!AA$54-60)/30*AA389,IF(Input!AA$54&lt;121,(Input!AA$54-90)/30*AA389,IF(Input!AA$54&lt;151,(Input!AA$54-120)/30*AA389,(Input!AA$54-150)/30*AA389)))))),0)</f>
        <v>0</v>
      </c>
      <c r="AB1031" s="298">
        <f>IF(Years="Five",IF(AB$338&gt;$D$33,0,IF(Input!AB$54&lt;31,Input!AB$54/30*AB389,IF(Input!AB$54&lt;61,(Input!AB$54-30)/30*AB389,IF(Input!AB$54&lt;91,(Input!AB$54-60)/30*AB389,IF(Input!AB$54&lt;121,(Input!AB$54-90)/30*AB389,IF(Input!AB$54&lt;151,(Input!AB$54-120)/30*AB389,(Input!AB$54-150)/30*AB389)))))),0)</f>
        <v>0</v>
      </c>
      <c r="CH1031" s="269"/>
      <c r="CI1031" s="269"/>
      <c r="CJ1031" s="269"/>
      <c r="CK1031" s="269"/>
      <c r="CL1031" s="269"/>
      <c r="CM1031" s="269"/>
      <c r="CN1031" s="269"/>
      <c r="CO1031" s="269"/>
      <c r="CP1031" s="269"/>
      <c r="CQ1031" s="269"/>
      <c r="CR1031" s="269"/>
      <c r="CS1031" s="269"/>
    </row>
    <row r="1032" spans="3:97" x14ac:dyDescent="0.3">
      <c r="C1032" s="638">
        <f>C969</f>
        <v>1552</v>
      </c>
      <c r="D1032" s="297">
        <f>IF(Years="Five",IF(D$338&gt;$D$33,0,IF(Input!D$54&lt;31,Input!D$54/30*D390,IF(Input!D$54&lt;61,(Input!D$54-30)/30*D390,IF(Input!D$54&lt;91,(Input!D$54-60)/30*D390,IF(Input!D$54&lt;121,(Input!D$54-90)/30*D390,IF(Input!D$54&lt;151,(Input!D$54-120)/30*D390,(Input!D$54-150)/30*D390)))))),0)</f>
        <v>0</v>
      </c>
      <c r="E1032" s="229">
        <f>IF(Years="Five",IF(E$338&gt;$D$33,0,IF(Input!E$54&lt;31,Input!E$54/30*E390,IF(Input!E$54&lt;61,(Input!E$54-30)/30*E390,IF(Input!E$54&lt;91,(Input!E$54-60)/30*E390,IF(Input!E$54&lt;121,(Input!E$54-90)/30*E390,IF(Input!E$54&lt;151,(Input!E$54-120)/30*E390,(Input!E$54-150)/30*E390)))))),0)</f>
        <v>0</v>
      </c>
      <c r="F1032" s="229">
        <f>IF(Years="Five",IF(F$338&gt;$D$33,0,IF(Input!F$54&lt;31,Input!F$54/30*F390,IF(Input!F$54&lt;61,(Input!F$54-30)/30*F390,IF(Input!F$54&lt;91,(Input!F$54-60)/30*F390,IF(Input!F$54&lt;121,(Input!F$54-90)/30*F390,IF(Input!F$54&lt;151,(Input!F$54-120)/30*F390,(Input!F$54-150)/30*F390)))))),0)</f>
        <v>0</v>
      </c>
      <c r="G1032" s="229">
        <f>IF(Years="Five",IF(G$338&gt;$D$33,0,IF(Input!G$54&lt;31,Input!G$54/30*G390,IF(Input!G$54&lt;61,(Input!G$54-30)/30*G390,IF(Input!G$54&lt;91,(Input!G$54-60)/30*G390,IF(Input!G$54&lt;121,(Input!G$54-90)/30*G390,IF(Input!G$54&lt;151,(Input!G$54-120)/30*G390,(Input!G$54-150)/30*G390)))))),0)</f>
        <v>0</v>
      </c>
      <c r="H1032" s="229">
        <f>IF(Years="Five",IF(H$338&gt;$D$33,0,IF(Input!H$54&lt;31,Input!H$54/30*H390,IF(Input!H$54&lt;61,(Input!H$54-30)/30*H390,IF(Input!H$54&lt;91,(Input!H$54-60)/30*H390,IF(Input!H$54&lt;121,(Input!H$54-90)/30*H390,IF(Input!H$54&lt;151,(Input!H$54-120)/30*H390,(Input!H$54-150)/30*H390)))))),0)</f>
        <v>0</v>
      </c>
      <c r="I1032" s="229">
        <f>IF(Years="Five",IF(I$338&gt;$D$33,0,IF(Input!I$54&lt;31,Input!I$54/30*I390,IF(Input!I$54&lt;61,(Input!I$54-30)/30*I390,IF(Input!I$54&lt;91,(Input!I$54-60)/30*I390,IF(Input!I$54&lt;121,(Input!I$54-90)/30*I390,IF(Input!I$54&lt;151,(Input!I$54-120)/30*I390,(Input!I$54-150)/30*I390)))))),0)</f>
        <v>0</v>
      </c>
      <c r="J1032" s="229">
        <f>IF(Years="Five",IF(J$338&gt;$D$33,0,IF(Input!J$54&lt;31,Input!J$54/30*J390,IF(Input!J$54&lt;61,(Input!J$54-30)/30*J390,IF(Input!J$54&lt;91,(Input!J$54-60)/30*J390,IF(Input!J$54&lt;121,(Input!J$54-90)/30*J390,IF(Input!J$54&lt;151,(Input!J$54-120)/30*J390,(Input!J$54-150)/30*J390)))))),0)</f>
        <v>0</v>
      </c>
      <c r="K1032" s="229">
        <f>IF(Years="Five",IF(K$338&gt;$D$33,0,IF(Input!K$54&lt;31,Input!K$54/30*K390,IF(Input!K$54&lt;61,(Input!K$54-30)/30*K390,IF(Input!K$54&lt;91,(Input!K$54-60)/30*K390,IF(Input!K$54&lt;121,(Input!K$54-90)/30*K390,IF(Input!K$54&lt;151,(Input!K$54-120)/30*K390,(Input!K$54-150)/30*K390)))))),0)</f>
        <v>0</v>
      </c>
      <c r="L1032" s="229">
        <f>IF(Years="Five",IF(L$338&gt;$D$33,0,IF(Input!L$54&lt;31,Input!L$54/30*L390,IF(Input!L$54&lt;61,(Input!L$54-30)/30*L390,IF(Input!L$54&lt;91,(Input!L$54-60)/30*L390,IF(Input!L$54&lt;121,(Input!L$54-90)/30*L390,IF(Input!L$54&lt;151,(Input!L$54-120)/30*L390,(Input!L$54-150)/30*L390)))))),0)</f>
        <v>0</v>
      </c>
      <c r="M1032" s="229">
        <f>IF(Years="Five",IF(M$338&gt;$D$33,0,IF(Input!M$54&lt;31,Input!M$54/30*M390,IF(Input!M$54&lt;61,(Input!M$54-30)/30*M390,IF(Input!M$54&lt;91,(Input!M$54-60)/30*M390,IF(Input!M$54&lt;121,(Input!M$54-90)/30*M390,IF(Input!M$54&lt;151,(Input!M$54-120)/30*M390,(Input!M$54-150)/30*M390)))))),0)</f>
        <v>0</v>
      </c>
      <c r="N1032" s="229">
        <f>IF(Years="Five",IF(N$338&gt;$D$33,0,IF(Input!N$54&lt;31,Input!N$54/30*N390,IF(Input!N$54&lt;61,(Input!N$54-30)/30*N390,IF(Input!N$54&lt;91,(Input!N$54-60)/30*N390,IF(Input!N$54&lt;121,(Input!N$54-90)/30*N390,IF(Input!N$54&lt;151,(Input!N$54-120)/30*N390,(Input!N$54-150)/30*N390)))))),0)</f>
        <v>0</v>
      </c>
      <c r="O1032" s="229">
        <f>IF(Years="Five",IF(O$338&gt;$D$33,0,IF(Input!O$54&lt;31,Input!O$54/30*O390,IF(Input!O$54&lt;61,(Input!O$54-30)/30*O390,IF(Input!O$54&lt;91,(Input!O$54-60)/30*O390,IF(Input!O$54&lt;121,(Input!O$54-90)/30*O390,IF(Input!O$54&lt;151,(Input!O$54-120)/30*O390,(Input!O$54-150)/30*O390)))))),0)</f>
        <v>0</v>
      </c>
      <c r="P1032" s="229">
        <f>IF(Years="Five",IF(P$338&gt;$D$33,0,IF(Input!P$54&lt;31,Input!P$54/30*P390,IF(Input!P$54&lt;61,(Input!P$54-30)/30*P390,IF(Input!P$54&lt;91,(Input!P$54-60)/30*P390,IF(Input!P$54&lt;121,(Input!P$54-90)/30*P390,IF(Input!P$54&lt;151,(Input!P$54-120)/30*P390,(Input!P$54-150)/30*P390)))))),0)</f>
        <v>0</v>
      </c>
      <c r="Q1032" s="229">
        <f>IF(Years="Five",IF(Q$338&gt;$D$33,0,IF(Input!Q$54&lt;31,Input!Q$54/30*Q390,IF(Input!Q$54&lt;61,(Input!Q$54-30)/30*Q390,IF(Input!Q$54&lt;91,(Input!Q$54-60)/30*Q390,IF(Input!Q$54&lt;121,(Input!Q$54-90)/30*Q390,IF(Input!Q$54&lt;151,(Input!Q$54-120)/30*Q390,(Input!Q$54-150)/30*Q390)))))),0)</f>
        <v>0</v>
      </c>
      <c r="R1032" s="229">
        <f>IF(Years="Five",IF(R$338&gt;$D$33,0,IF(Input!R$54&lt;31,Input!R$54/30*R390,IF(Input!R$54&lt;61,(Input!R$54-30)/30*R390,IF(Input!R$54&lt;91,(Input!R$54-60)/30*R390,IF(Input!R$54&lt;121,(Input!R$54-90)/30*R390,IF(Input!R$54&lt;151,(Input!R$54-120)/30*R390,(Input!R$54-150)/30*R390)))))),0)</f>
        <v>0</v>
      </c>
      <c r="S1032" s="229">
        <f>IF(Years="Five",IF(S$338&gt;$D$33,0,IF(Input!S$54&lt;31,Input!S$54/30*S390,IF(Input!S$54&lt;61,(Input!S$54-30)/30*S390,IF(Input!S$54&lt;91,(Input!S$54-60)/30*S390,IF(Input!S$54&lt;121,(Input!S$54-90)/30*S390,IF(Input!S$54&lt;151,(Input!S$54-120)/30*S390,(Input!S$54-150)/30*S390)))))),0)</f>
        <v>0</v>
      </c>
      <c r="T1032" s="229">
        <f>IF(Years="Five",IF(T$338&gt;$D$33,0,IF(Input!T$54&lt;31,Input!T$54/30*T390,IF(Input!T$54&lt;61,(Input!T$54-30)/30*T390,IF(Input!T$54&lt;91,(Input!T$54-60)/30*T390,IF(Input!T$54&lt;121,(Input!T$54-90)/30*T390,IF(Input!T$54&lt;151,(Input!T$54-120)/30*T390,(Input!T$54-150)/30*T390)))))),0)</f>
        <v>0</v>
      </c>
      <c r="U1032" s="229">
        <f>IF(Years="Five",IF(U$338&gt;$D$33,0,IF(Input!U$54&lt;31,Input!U$54/30*U390,IF(Input!U$54&lt;61,(Input!U$54-30)/30*U390,IF(Input!U$54&lt;91,(Input!U$54-60)/30*U390,IF(Input!U$54&lt;121,(Input!U$54-90)/30*U390,IF(Input!U$54&lt;151,(Input!U$54-120)/30*U390,(Input!U$54-150)/30*U390)))))),0)</f>
        <v>0</v>
      </c>
      <c r="V1032" s="229">
        <f>IF(Years="Five",IF(V$338&gt;$D$33,0,IF(Input!V$54&lt;31,Input!V$54/30*V390,IF(Input!V$54&lt;61,(Input!V$54-30)/30*V390,IF(Input!V$54&lt;91,(Input!V$54-60)/30*V390,IF(Input!V$54&lt;121,(Input!V$54-90)/30*V390,IF(Input!V$54&lt;151,(Input!V$54-120)/30*V390,(Input!V$54-150)/30*V390)))))),0)</f>
        <v>0</v>
      </c>
      <c r="W1032" s="229">
        <f>IF(Years="Five",IF(W$338&gt;$D$33,0,IF(Input!W$54&lt;31,Input!W$54/30*W390,IF(Input!W$54&lt;61,(Input!W$54-30)/30*W390,IF(Input!W$54&lt;91,(Input!W$54-60)/30*W390,IF(Input!W$54&lt;121,(Input!W$54-90)/30*W390,IF(Input!W$54&lt;151,(Input!W$54-120)/30*W390,(Input!W$54-150)/30*W390)))))),0)</f>
        <v>0</v>
      </c>
      <c r="X1032" s="229">
        <f>IF(Years="Five",IF(X$338&gt;$D$33,0,IF(Input!X$54&lt;31,Input!X$54/30*X390,IF(Input!X$54&lt;61,(Input!X$54-30)/30*X390,IF(Input!X$54&lt;91,(Input!X$54-60)/30*X390,IF(Input!X$54&lt;121,(Input!X$54-90)/30*X390,IF(Input!X$54&lt;151,(Input!X$54-120)/30*X390,(Input!X$54-150)/30*X390)))))),0)</f>
        <v>0</v>
      </c>
      <c r="Y1032" s="229">
        <f>IF(Years="Five",IF(Y$338&gt;$D$33,0,IF(Input!Y$54&lt;31,Input!Y$54/30*Y390,IF(Input!Y$54&lt;61,(Input!Y$54-30)/30*Y390,IF(Input!Y$54&lt;91,(Input!Y$54-60)/30*Y390,IF(Input!Y$54&lt;121,(Input!Y$54-90)/30*Y390,IF(Input!Y$54&lt;151,(Input!Y$54-120)/30*Y390,(Input!Y$54-150)/30*Y390)))))),0)</f>
        <v>0</v>
      </c>
      <c r="Z1032" s="229">
        <f>IF(Years="Five",IF(Z$338&gt;$D$33,0,IF(Input!Z$54&lt;31,Input!Z$54/30*Z390,IF(Input!Z$54&lt;61,(Input!Z$54-30)/30*Z390,IF(Input!Z$54&lt;91,(Input!Z$54-60)/30*Z390,IF(Input!Z$54&lt;121,(Input!Z$54-90)/30*Z390,IF(Input!Z$54&lt;151,(Input!Z$54-120)/30*Z390,(Input!Z$54-150)/30*Z390)))))),0)</f>
        <v>0</v>
      </c>
      <c r="AA1032" s="229">
        <f>IF(Years="Five",IF(AA$338&gt;$D$33,0,IF(Input!AA$54&lt;31,Input!AA$54/30*AA390,IF(Input!AA$54&lt;61,(Input!AA$54-30)/30*AA390,IF(Input!AA$54&lt;91,(Input!AA$54-60)/30*AA390,IF(Input!AA$54&lt;121,(Input!AA$54-90)/30*AA390,IF(Input!AA$54&lt;151,(Input!AA$54-120)/30*AA390,(Input!AA$54-150)/30*AA390)))))),0)</f>
        <v>0</v>
      </c>
      <c r="AB1032" s="298">
        <f>IF(Years="Five",IF(AB$338&gt;$D$33,0,IF(Input!AB$54&lt;31,Input!AB$54/30*AB390,IF(Input!AB$54&lt;61,(Input!AB$54-30)/30*AB390,IF(Input!AB$54&lt;91,(Input!AB$54-60)/30*AB390,IF(Input!AB$54&lt;121,(Input!AB$54-90)/30*AB390,IF(Input!AB$54&lt;151,(Input!AB$54-120)/30*AB390,(Input!AB$54-150)/30*AB390)))))),0)</f>
        <v>0</v>
      </c>
      <c r="CH1032" s="269"/>
      <c r="CI1032" s="269"/>
      <c r="CJ1032" s="269"/>
      <c r="CK1032" s="269"/>
      <c r="CL1032" s="269"/>
      <c r="CM1032" s="269"/>
      <c r="CN1032" s="269"/>
      <c r="CO1032" s="269"/>
      <c r="CP1032" s="269"/>
      <c r="CQ1032" s="269"/>
      <c r="CR1032" s="269"/>
      <c r="CS1032" s="269"/>
    </row>
    <row r="1033" spans="3:97" x14ac:dyDescent="0.3">
      <c r="C1033" s="638">
        <f>C970</f>
        <v>1582</v>
      </c>
      <c r="D1033" s="297">
        <f>IF(Years="Five",IF(D$338&gt;$D$33,0,IF(Input!D$54&lt;31,Input!D$54/30*D391,IF(Input!D$54&lt;61,(Input!D$54-30)/30*D391,IF(Input!D$54&lt;91,(Input!D$54-60)/30*D391,IF(Input!D$54&lt;121,(Input!D$54-90)/30*D391,IF(Input!D$54&lt;151,(Input!D$54-120)/30*D391,(Input!D$54-150)/30*D391)))))),0)</f>
        <v>0</v>
      </c>
      <c r="E1033" s="229">
        <f>IF(Years="Five",IF(E$338&gt;$D$33,0,IF(Input!E$54&lt;31,Input!E$54/30*E391,IF(Input!E$54&lt;61,(Input!E$54-30)/30*E391,IF(Input!E$54&lt;91,(Input!E$54-60)/30*E391,IF(Input!E$54&lt;121,(Input!E$54-90)/30*E391,IF(Input!E$54&lt;151,(Input!E$54-120)/30*E391,(Input!E$54-150)/30*E391)))))),0)</f>
        <v>0</v>
      </c>
      <c r="F1033" s="229">
        <f>IF(Years="Five",IF(F$338&gt;$D$33,0,IF(Input!F$54&lt;31,Input!F$54/30*F391,IF(Input!F$54&lt;61,(Input!F$54-30)/30*F391,IF(Input!F$54&lt;91,(Input!F$54-60)/30*F391,IF(Input!F$54&lt;121,(Input!F$54-90)/30*F391,IF(Input!F$54&lt;151,(Input!F$54-120)/30*F391,(Input!F$54-150)/30*F391)))))),0)</f>
        <v>0</v>
      </c>
      <c r="G1033" s="229">
        <f>IF(Years="Five",IF(G$338&gt;$D$33,0,IF(Input!G$54&lt;31,Input!G$54/30*G391,IF(Input!G$54&lt;61,(Input!G$54-30)/30*G391,IF(Input!G$54&lt;91,(Input!G$54-60)/30*G391,IF(Input!G$54&lt;121,(Input!G$54-90)/30*G391,IF(Input!G$54&lt;151,(Input!G$54-120)/30*G391,(Input!G$54-150)/30*G391)))))),0)</f>
        <v>0</v>
      </c>
      <c r="H1033" s="229">
        <f>IF(Years="Five",IF(H$338&gt;$D$33,0,IF(Input!H$54&lt;31,Input!H$54/30*H391,IF(Input!H$54&lt;61,(Input!H$54-30)/30*H391,IF(Input!H$54&lt;91,(Input!H$54-60)/30*H391,IF(Input!H$54&lt;121,(Input!H$54-90)/30*H391,IF(Input!H$54&lt;151,(Input!H$54-120)/30*H391,(Input!H$54-150)/30*H391)))))),0)</f>
        <v>0</v>
      </c>
      <c r="I1033" s="229">
        <f>IF(Years="Five",IF(I$338&gt;$D$33,0,IF(Input!I$54&lt;31,Input!I$54/30*I391,IF(Input!I$54&lt;61,(Input!I$54-30)/30*I391,IF(Input!I$54&lt;91,(Input!I$54-60)/30*I391,IF(Input!I$54&lt;121,(Input!I$54-90)/30*I391,IF(Input!I$54&lt;151,(Input!I$54-120)/30*I391,(Input!I$54-150)/30*I391)))))),0)</f>
        <v>0</v>
      </c>
      <c r="J1033" s="229">
        <f>IF(Years="Five",IF(J$338&gt;$D$33,0,IF(Input!J$54&lt;31,Input!J$54/30*J391,IF(Input!J$54&lt;61,(Input!J$54-30)/30*J391,IF(Input!J$54&lt;91,(Input!J$54-60)/30*J391,IF(Input!J$54&lt;121,(Input!J$54-90)/30*J391,IF(Input!J$54&lt;151,(Input!J$54-120)/30*J391,(Input!J$54-150)/30*J391)))))),0)</f>
        <v>0</v>
      </c>
      <c r="K1033" s="229">
        <f>IF(Years="Five",IF(K$338&gt;$D$33,0,IF(Input!K$54&lt;31,Input!K$54/30*K391,IF(Input!K$54&lt;61,(Input!K$54-30)/30*K391,IF(Input!K$54&lt;91,(Input!K$54-60)/30*K391,IF(Input!K$54&lt;121,(Input!K$54-90)/30*K391,IF(Input!K$54&lt;151,(Input!K$54-120)/30*K391,(Input!K$54-150)/30*K391)))))),0)</f>
        <v>0</v>
      </c>
      <c r="L1033" s="229">
        <f>IF(Years="Five",IF(L$338&gt;$D$33,0,IF(Input!L$54&lt;31,Input!L$54/30*L391,IF(Input!L$54&lt;61,(Input!L$54-30)/30*L391,IF(Input!L$54&lt;91,(Input!L$54-60)/30*L391,IF(Input!L$54&lt;121,(Input!L$54-90)/30*L391,IF(Input!L$54&lt;151,(Input!L$54-120)/30*L391,(Input!L$54-150)/30*L391)))))),0)</f>
        <v>0</v>
      </c>
      <c r="M1033" s="229">
        <f>IF(Years="Five",IF(M$338&gt;$D$33,0,IF(Input!M$54&lt;31,Input!M$54/30*M391,IF(Input!M$54&lt;61,(Input!M$54-30)/30*M391,IF(Input!M$54&lt;91,(Input!M$54-60)/30*M391,IF(Input!M$54&lt;121,(Input!M$54-90)/30*M391,IF(Input!M$54&lt;151,(Input!M$54-120)/30*M391,(Input!M$54-150)/30*M391)))))),0)</f>
        <v>0</v>
      </c>
      <c r="N1033" s="229">
        <f>IF(Years="Five",IF(N$338&gt;$D$33,0,IF(Input!N$54&lt;31,Input!N$54/30*N391,IF(Input!N$54&lt;61,(Input!N$54-30)/30*N391,IF(Input!N$54&lt;91,(Input!N$54-60)/30*N391,IF(Input!N$54&lt;121,(Input!N$54-90)/30*N391,IF(Input!N$54&lt;151,(Input!N$54-120)/30*N391,(Input!N$54-150)/30*N391)))))),0)</f>
        <v>0</v>
      </c>
      <c r="O1033" s="229">
        <f>IF(Years="Five",IF(O$338&gt;$D$33,0,IF(Input!O$54&lt;31,Input!O$54/30*O391,IF(Input!O$54&lt;61,(Input!O$54-30)/30*O391,IF(Input!O$54&lt;91,(Input!O$54-60)/30*O391,IF(Input!O$54&lt;121,(Input!O$54-90)/30*O391,IF(Input!O$54&lt;151,(Input!O$54-120)/30*O391,(Input!O$54-150)/30*O391)))))),0)</f>
        <v>0</v>
      </c>
      <c r="P1033" s="229">
        <f>IF(Years="Five",IF(P$338&gt;$D$33,0,IF(Input!P$54&lt;31,Input!P$54/30*P391,IF(Input!P$54&lt;61,(Input!P$54-30)/30*P391,IF(Input!P$54&lt;91,(Input!P$54-60)/30*P391,IF(Input!P$54&lt;121,(Input!P$54-90)/30*P391,IF(Input!P$54&lt;151,(Input!P$54-120)/30*P391,(Input!P$54-150)/30*P391)))))),0)</f>
        <v>0</v>
      </c>
      <c r="Q1033" s="229">
        <f>IF(Years="Five",IF(Q$338&gt;$D$33,0,IF(Input!Q$54&lt;31,Input!Q$54/30*Q391,IF(Input!Q$54&lt;61,(Input!Q$54-30)/30*Q391,IF(Input!Q$54&lt;91,(Input!Q$54-60)/30*Q391,IF(Input!Q$54&lt;121,(Input!Q$54-90)/30*Q391,IF(Input!Q$54&lt;151,(Input!Q$54-120)/30*Q391,(Input!Q$54-150)/30*Q391)))))),0)</f>
        <v>0</v>
      </c>
      <c r="R1033" s="229">
        <f>IF(Years="Five",IF(R$338&gt;$D$33,0,IF(Input!R$54&lt;31,Input!R$54/30*R391,IF(Input!R$54&lt;61,(Input!R$54-30)/30*R391,IF(Input!R$54&lt;91,(Input!R$54-60)/30*R391,IF(Input!R$54&lt;121,(Input!R$54-90)/30*R391,IF(Input!R$54&lt;151,(Input!R$54-120)/30*R391,(Input!R$54-150)/30*R391)))))),0)</f>
        <v>0</v>
      </c>
      <c r="S1033" s="229">
        <f>IF(Years="Five",IF(S$338&gt;$D$33,0,IF(Input!S$54&lt;31,Input!S$54/30*S391,IF(Input!S$54&lt;61,(Input!S$54-30)/30*S391,IF(Input!S$54&lt;91,(Input!S$54-60)/30*S391,IF(Input!S$54&lt;121,(Input!S$54-90)/30*S391,IF(Input!S$54&lt;151,(Input!S$54-120)/30*S391,(Input!S$54-150)/30*S391)))))),0)</f>
        <v>0</v>
      </c>
      <c r="T1033" s="229">
        <f>IF(Years="Five",IF(T$338&gt;$D$33,0,IF(Input!T$54&lt;31,Input!T$54/30*T391,IF(Input!T$54&lt;61,(Input!T$54-30)/30*T391,IF(Input!T$54&lt;91,(Input!T$54-60)/30*T391,IF(Input!T$54&lt;121,(Input!T$54-90)/30*T391,IF(Input!T$54&lt;151,(Input!T$54-120)/30*T391,(Input!T$54-150)/30*T391)))))),0)</f>
        <v>0</v>
      </c>
      <c r="U1033" s="229">
        <f>IF(Years="Five",IF(U$338&gt;$D$33,0,IF(Input!U$54&lt;31,Input!U$54/30*U391,IF(Input!U$54&lt;61,(Input!U$54-30)/30*U391,IF(Input!U$54&lt;91,(Input!U$54-60)/30*U391,IF(Input!U$54&lt;121,(Input!U$54-90)/30*U391,IF(Input!U$54&lt;151,(Input!U$54-120)/30*U391,(Input!U$54-150)/30*U391)))))),0)</f>
        <v>0</v>
      </c>
      <c r="V1033" s="229">
        <f>IF(Years="Five",IF(V$338&gt;$D$33,0,IF(Input!V$54&lt;31,Input!V$54/30*V391,IF(Input!V$54&lt;61,(Input!V$54-30)/30*V391,IF(Input!V$54&lt;91,(Input!V$54-60)/30*V391,IF(Input!V$54&lt;121,(Input!V$54-90)/30*V391,IF(Input!V$54&lt;151,(Input!V$54-120)/30*V391,(Input!V$54-150)/30*V391)))))),0)</f>
        <v>0</v>
      </c>
      <c r="W1033" s="229">
        <f>IF(Years="Five",IF(W$338&gt;$D$33,0,IF(Input!W$54&lt;31,Input!W$54/30*W391,IF(Input!W$54&lt;61,(Input!W$54-30)/30*W391,IF(Input!W$54&lt;91,(Input!W$54-60)/30*W391,IF(Input!W$54&lt;121,(Input!W$54-90)/30*W391,IF(Input!W$54&lt;151,(Input!W$54-120)/30*W391,(Input!W$54-150)/30*W391)))))),0)</f>
        <v>0</v>
      </c>
      <c r="X1033" s="229">
        <f>IF(Years="Five",IF(X$338&gt;$D$33,0,IF(Input!X$54&lt;31,Input!X$54/30*X391,IF(Input!X$54&lt;61,(Input!X$54-30)/30*X391,IF(Input!X$54&lt;91,(Input!X$54-60)/30*X391,IF(Input!X$54&lt;121,(Input!X$54-90)/30*X391,IF(Input!X$54&lt;151,(Input!X$54-120)/30*X391,(Input!X$54-150)/30*X391)))))),0)</f>
        <v>0</v>
      </c>
      <c r="Y1033" s="229">
        <f>IF(Years="Five",IF(Y$338&gt;$D$33,0,IF(Input!Y$54&lt;31,Input!Y$54/30*Y391,IF(Input!Y$54&lt;61,(Input!Y$54-30)/30*Y391,IF(Input!Y$54&lt;91,(Input!Y$54-60)/30*Y391,IF(Input!Y$54&lt;121,(Input!Y$54-90)/30*Y391,IF(Input!Y$54&lt;151,(Input!Y$54-120)/30*Y391,(Input!Y$54-150)/30*Y391)))))),0)</f>
        <v>0</v>
      </c>
      <c r="Z1033" s="229">
        <f>IF(Years="Five",IF(Z$338&gt;$D$33,0,IF(Input!Z$54&lt;31,Input!Z$54/30*Z391,IF(Input!Z$54&lt;61,(Input!Z$54-30)/30*Z391,IF(Input!Z$54&lt;91,(Input!Z$54-60)/30*Z391,IF(Input!Z$54&lt;121,(Input!Z$54-90)/30*Z391,IF(Input!Z$54&lt;151,(Input!Z$54-120)/30*Z391,(Input!Z$54-150)/30*Z391)))))),0)</f>
        <v>0</v>
      </c>
      <c r="AA1033" s="229">
        <f>IF(Years="Five",IF(AA$338&gt;$D$33,0,IF(Input!AA$54&lt;31,Input!AA$54/30*AA391,IF(Input!AA$54&lt;61,(Input!AA$54-30)/30*AA391,IF(Input!AA$54&lt;91,(Input!AA$54-60)/30*AA391,IF(Input!AA$54&lt;121,(Input!AA$54-90)/30*AA391,IF(Input!AA$54&lt;151,(Input!AA$54-120)/30*AA391,(Input!AA$54-150)/30*AA391)))))),0)</f>
        <v>0</v>
      </c>
      <c r="AB1033" s="298">
        <f>IF(Years="Five",IF(AB$338&gt;$D$33,0,IF(Input!AB$54&lt;31,Input!AB$54/30*AB391,IF(Input!AB$54&lt;61,(Input!AB$54-30)/30*AB391,IF(Input!AB$54&lt;91,(Input!AB$54-60)/30*AB391,IF(Input!AB$54&lt;121,(Input!AB$54-90)/30*AB391,IF(Input!AB$54&lt;151,(Input!AB$54-120)/30*AB391,(Input!AB$54-150)/30*AB391)))))),0)</f>
        <v>0</v>
      </c>
      <c r="CH1033" s="269"/>
      <c r="CI1033" s="269"/>
      <c r="CJ1033" s="269"/>
      <c r="CK1033" s="269"/>
      <c r="CL1033" s="269"/>
      <c r="CM1033" s="269"/>
      <c r="CN1033" s="269"/>
      <c r="CO1033" s="269"/>
      <c r="CP1033" s="269"/>
      <c r="CQ1033" s="269"/>
      <c r="CR1033" s="269"/>
      <c r="CS1033" s="269"/>
    </row>
    <row r="1034" spans="3:97" x14ac:dyDescent="0.3">
      <c r="C1034" s="638">
        <f>C971</f>
        <v>1613</v>
      </c>
      <c r="D1034" s="297">
        <f>IF(Years="Five",IF(D$338&gt;$D$33,0,IF(Input!D$54&lt;31,Input!D$54/30*D392,IF(Input!D$54&lt;61,(Input!D$54-30)/30*D392,IF(Input!D$54&lt;91,(Input!D$54-60)/30*D392,IF(Input!D$54&lt;121,(Input!D$54-90)/30*D392,IF(Input!D$54&lt;151,(Input!D$54-120)/30*D392,(Input!D$54-150)/30*D392)))))),0)</f>
        <v>0</v>
      </c>
      <c r="E1034" s="229">
        <f>IF(Years="Five",IF(E$338&gt;$D$33,0,IF(Input!E$54&lt;31,Input!E$54/30*E392,IF(Input!E$54&lt;61,(Input!E$54-30)/30*E392,IF(Input!E$54&lt;91,(Input!E$54-60)/30*E392,IF(Input!E$54&lt;121,(Input!E$54-90)/30*E392,IF(Input!E$54&lt;151,(Input!E$54-120)/30*E392,(Input!E$54-150)/30*E392)))))),0)</f>
        <v>0</v>
      </c>
      <c r="F1034" s="229">
        <f>IF(Years="Five",IF(F$338&gt;$D$33,0,IF(Input!F$54&lt;31,Input!F$54/30*F392,IF(Input!F$54&lt;61,(Input!F$54-30)/30*F392,IF(Input!F$54&lt;91,(Input!F$54-60)/30*F392,IF(Input!F$54&lt;121,(Input!F$54-90)/30*F392,IF(Input!F$54&lt;151,(Input!F$54-120)/30*F392,(Input!F$54-150)/30*F392)))))),0)</f>
        <v>0</v>
      </c>
      <c r="G1034" s="229">
        <f>IF(Years="Five",IF(G$338&gt;$D$33,0,IF(Input!G$54&lt;31,Input!G$54/30*G392,IF(Input!G$54&lt;61,(Input!G$54-30)/30*G392,IF(Input!G$54&lt;91,(Input!G$54-60)/30*G392,IF(Input!G$54&lt;121,(Input!G$54-90)/30*G392,IF(Input!G$54&lt;151,(Input!G$54-120)/30*G392,(Input!G$54-150)/30*G392)))))),0)</f>
        <v>0</v>
      </c>
      <c r="H1034" s="229">
        <f>IF(Years="Five",IF(H$338&gt;$D$33,0,IF(Input!H$54&lt;31,Input!H$54/30*H392,IF(Input!H$54&lt;61,(Input!H$54-30)/30*H392,IF(Input!H$54&lt;91,(Input!H$54-60)/30*H392,IF(Input!H$54&lt;121,(Input!H$54-90)/30*H392,IF(Input!H$54&lt;151,(Input!H$54-120)/30*H392,(Input!H$54-150)/30*H392)))))),0)</f>
        <v>0</v>
      </c>
      <c r="I1034" s="229">
        <f>IF(Years="Five",IF(I$338&gt;$D$33,0,IF(Input!I$54&lt;31,Input!I$54/30*I392,IF(Input!I$54&lt;61,(Input!I$54-30)/30*I392,IF(Input!I$54&lt;91,(Input!I$54-60)/30*I392,IF(Input!I$54&lt;121,(Input!I$54-90)/30*I392,IF(Input!I$54&lt;151,(Input!I$54-120)/30*I392,(Input!I$54-150)/30*I392)))))),0)</f>
        <v>0</v>
      </c>
      <c r="J1034" s="229">
        <f>IF(Years="Five",IF(J$338&gt;$D$33,0,IF(Input!J$54&lt;31,Input!J$54/30*J392,IF(Input!J$54&lt;61,(Input!J$54-30)/30*J392,IF(Input!J$54&lt;91,(Input!J$54-60)/30*J392,IF(Input!J$54&lt;121,(Input!J$54-90)/30*J392,IF(Input!J$54&lt;151,(Input!J$54-120)/30*J392,(Input!J$54-150)/30*J392)))))),0)</f>
        <v>0</v>
      </c>
      <c r="K1034" s="229">
        <f>IF(Years="Five",IF(K$338&gt;$D$33,0,IF(Input!K$54&lt;31,Input!K$54/30*K392,IF(Input!K$54&lt;61,(Input!K$54-30)/30*K392,IF(Input!K$54&lt;91,(Input!K$54-60)/30*K392,IF(Input!K$54&lt;121,(Input!K$54-90)/30*K392,IF(Input!K$54&lt;151,(Input!K$54-120)/30*K392,(Input!K$54-150)/30*K392)))))),0)</f>
        <v>0</v>
      </c>
      <c r="L1034" s="229">
        <f>IF(Years="Five",IF(L$338&gt;$D$33,0,IF(Input!L$54&lt;31,Input!L$54/30*L392,IF(Input!L$54&lt;61,(Input!L$54-30)/30*L392,IF(Input!L$54&lt;91,(Input!L$54-60)/30*L392,IF(Input!L$54&lt;121,(Input!L$54-90)/30*L392,IF(Input!L$54&lt;151,(Input!L$54-120)/30*L392,(Input!L$54-150)/30*L392)))))),0)</f>
        <v>0</v>
      </c>
      <c r="M1034" s="229">
        <f>IF(Years="Five",IF(M$338&gt;$D$33,0,IF(Input!M$54&lt;31,Input!M$54/30*M392,IF(Input!M$54&lt;61,(Input!M$54-30)/30*M392,IF(Input!M$54&lt;91,(Input!M$54-60)/30*M392,IF(Input!M$54&lt;121,(Input!M$54-90)/30*M392,IF(Input!M$54&lt;151,(Input!M$54-120)/30*M392,(Input!M$54-150)/30*M392)))))),0)</f>
        <v>0</v>
      </c>
      <c r="N1034" s="229">
        <f>IF(Years="Five",IF(N$338&gt;$D$33,0,IF(Input!N$54&lt;31,Input!N$54/30*N392,IF(Input!N$54&lt;61,(Input!N$54-30)/30*N392,IF(Input!N$54&lt;91,(Input!N$54-60)/30*N392,IF(Input!N$54&lt;121,(Input!N$54-90)/30*N392,IF(Input!N$54&lt;151,(Input!N$54-120)/30*N392,(Input!N$54-150)/30*N392)))))),0)</f>
        <v>0</v>
      </c>
      <c r="O1034" s="229">
        <f>IF(Years="Five",IF(O$338&gt;$D$33,0,IF(Input!O$54&lt;31,Input!O$54/30*O392,IF(Input!O$54&lt;61,(Input!O$54-30)/30*O392,IF(Input!O$54&lt;91,(Input!O$54-60)/30*O392,IF(Input!O$54&lt;121,(Input!O$54-90)/30*O392,IF(Input!O$54&lt;151,(Input!O$54-120)/30*O392,(Input!O$54-150)/30*O392)))))),0)</f>
        <v>0</v>
      </c>
      <c r="P1034" s="229">
        <f>IF(Years="Five",IF(P$338&gt;$D$33,0,IF(Input!P$54&lt;31,Input!P$54/30*P392,IF(Input!P$54&lt;61,(Input!P$54-30)/30*P392,IF(Input!P$54&lt;91,(Input!P$54-60)/30*P392,IF(Input!P$54&lt;121,(Input!P$54-90)/30*P392,IF(Input!P$54&lt;151,(Input!P$54-120)/30*P392,(Input!P$54-150)/30*P392)))))),0)</f>
        <v>0</v>
      </c>
      <c r="Q1034" s="229">
        <f>IF(Years="Five",IF(Q$338&gt;$D$33,0,IF(Input!Q$54&lt;31,Input!Q$54/30*Q392,IF(Input!Q$54&lt;61,(Input!Q$54-30)/30*Q392,IF(Input!Q$54&lt;91,(Input!Q$54-60)/30*Q392,IF(Input!Q$54&lt;121,(Input!Q$54-90)/30*Q392,IF(Input!Q$54&lt;151,(Input!Q$54-120)/30*Q392,(Input!Q$54-150)/30*Q392)))))),0)</f>
        <v>0</v>
      </c>
      <c r="R1034" s="229">
        <f>IF(Years="Five",IF(R$338&gt;$D$33,0,IF(Input!R$54&lt;31,Input!R$54/30*R392,IF(Input!R$54&lt;61,(Input!R$54-30)/30*R392,IF(Input!R$54&lt;91,(Input!R$54-60)/30*R392,IF(Input!R$54&lt;121,(Input!R$54-90)/30*R392,IF(Input!R$54&lt;151,(Input!R$54-120)/30*R392,(Input!R$54-150)/30*R392)))))),0)</f>
        <v>0</v>
      </c>
      <c r="S1034" s="229">
        <f>IF(Years="Five",IF(S$338&gt;$D$33,0,IF(Input!S$54&lt;31,Input!S$54/30*S392,IF(Input!S$54&lt;61,(Input!S$54-30)/30*S392,IF(Input!S$54&lt;91,(Input!S$54-60)/30*S392,IF(Input!S$54&lt;121,(Input!S$54-90)/30*S392,IF(Input!S$54&lt;151,(Input!S$54-120)/30*S392,(Input!S$54-150)/30*S392)))))),0)</f>
        <v>0</v>
      </c>
      <c r="T1034" s="229">
        <f>IF(Years="Five",IF(T$338&gt;$D$33,0,IF(Input!T$54&lt;31,Input!T$54/30*T392,IF(Input!T$54&lt;61,(Input!T$54-30)/30*T392,IF(Input!T$54&lt;91,(Input!T$54-60)/30*T392,IF(Input!T$54&lt;121,(Input!T$54-90)/30*T392,IF(Input!T$54&lt;151,(Input!T$54-120)/30*T392,(Input!T$54-150)/30*T392)))))),0)</f>
        <v>0</v>
      </c>
      <c r="U1034" s="229">
        <f>IF(Years="Five",IF(U$338&gt;$D$33,0,IF(Input!U$54&lt;31,Input!U$54/30*U392,IF(Input!U$54&lt;61,(Input!U$54-30)/30*U392,IF(Input!U$54&lt;91,(Input!U$54-60)/30*U392,IF(Input!U$54&lt;121,(Input!U$54-90)/30*U392,IF(Input!U$54&lt;151,(Input!U$54-120)/30*U392,(Input!U$54-150)/30*U392)))))),0)</f>
        <v>0</v>
      </c>
      <c r="V1034" s="229">
        <f>IF(Years="Five",IF(V$338&gt;$D$33,0,IF(Input!V$54&lt;31,Input!V$54/30*V392,IF(Input!V$54&lt;61,(Input!V$54-30)/30*V392,IF(Input!V$54&lt;91,(Input!V$54-60)/30*V392,IF(Input!V$54&lt;121,(Input!V$54-90)/30*V392,IF(Input!V$54&lt;151,(Input!V$54-120)/30*V392,(Input!V$54-150)/30*V392)))))),0)</f>
        <v>0</v>
      </c>
      <c r="W1034" s="229">
        <f>IF(Years="Five",IF(W$338&gt;$D$33,0,IF(Input!W$54&lt;31,Input!W$54/30*W392,IF(Input!W$54&lt;61,(Input!W$54-30)/30*W392,IF(Input!W$54&lt;91,(Input!W$54-60)/30*W392,IF(Input!W$54&lt;121,(Input!W$54-90)/30*W392,IF(Input!W$54&lt;151,(Input!W$54-120)/30*W392,(Input!W$54-150)/30*W392)))))),0)</f>
        <v>0</v>
      </c>
      <c r="X1034" s="229">
        <f>IF(Years="Five",IF(X$338&gt;$D$33,0,IF(Input!X$54&lt;31,Input!X$54/30*X392,IF(Input!X$54&lt;61,(Input!X$54-30)/30*X392,IF(Input!X$54&lt;91,(Input!X$54-60)/30*X392,IF(Input!X$54&lt;121,(Input!X$54-90)/30*X392,IF(Input!X$54&lt;151,(Input!X$54-120)/30*X392,(Input!X$54-150)/30*X392)))))),0)</f>
        <v>0</v>
      </c>
      <c r="Y1034" s="229">
        <f>IF(Years="Five",IF(Y$338&gt;$D$33,0,IF(Input!Y$54&lt;31,Input!Y$54/30*Y392,IF(Input!Y$54&lt;61,(Input!Y$54-30)/30*Y392,IF(Input!Y$54&lt;91,(Input!Y$54-60)/30*Y392,IF(Input!Y$54&lt;121,(Input!Y$54-90)/30*Y392,IF(Input!Y$54&lt;151,(Input!Y$54-120)/30*Y392,(Input!Y$54-150)/30*Y392)))))),0)</f>
        <v>0</v>
      </c>
      <c r="Z1034" s="229">
        <f>IF(Years="Five",IF(Z$338&gt;$D$33,0,IF(Input!Z$54&lt;31,Input!Z$54/30*Z392,IF(Input!Z$54&lt;61,(Input!Z$54-30)/30*Z392,IF(Input!Z$54&lt;91,(Input!Z$54-60)/30*Z392,IF(Input!Z$54&lt;121,(Input!Z$54-90)/30*Z392,IF(Input!Z$54&lt;151,(Input!Z$54-120)/30*Z392,(Input!Z$54-150)/30*Z392)))))),0)</f>
        <v>0</v>
      </c>
      <c r="AA1034" s="229">
        <f>IF(Years="Five",IF(AA$338&gt;$D$33,0,IF(Input!AA$54&lt;31,Input!AA$54/30*AA392,IF(Input!AA$54&lt;61,(Input!AA$54-30)/30*AA392,IF(Input!AA$54&lt;91,(Input!AA$54-60)/30*AA392,IF(Input!AA$54&lt;121,(Input!AA$54-90)/30*AA392,IF(Input!AA$54&lt;151,(Input!AA$54-120)/30*AA392,(Input!AA$54-150)/30*AA392)))))),0)</f>
        <v>0</v>
      </c>
      <c r="AB1034" s="298">
        <f>IF(Years="Five",IF(AB$338&gt;$D$33,0,IF(Input!AB$54&lt;31,Input!AB$54/30*AB392,IF(Input!AB$54&lt;61,(Input!AB$54-30)/30*AB392,IF(Input!AB$54&lt;91,(Input!AB$54-60)/30*AB392,IF(Input!AB$54&lt;121,(Input!AB$54-90)/30*AB392,IF(Input!AB$54&lt;151,(Input!AB$54-120)/30*AB392,(Input!AB$54-150)/30*AB392)))))),0)</f>
        <v>0</v>
      </c>
      <c r="CH1034" s="269"/>
      <c r="CI1034" s="269"/>
      <c r="CJ1034" s="269"/>
      <c r="CK1034" s="269"/>
      <c r="CL1034" s="269"/>
      <c r="CM1034" s="269"/>
      <c r="CN1034" s="269"/>
      <c r="CO1034" s="269"/>
      <c r="CP1034" s="269"/>
      <c r="CQ1034" s="269"/>
      <c r="CR1034" s="269"/>
      <c r="CS1034" s="269"/>
    </row>
    <row r="1035" spans="3:97" x14ac:dyDescent="0.3">
      <c r="C1035" s="638">
        <f>C972</f>
        <v>1643</v>
      </c>
      <c r="D1035" s="297">
        <f>IF(Years="Five",IF(D$338&gt;$D$33,0,IF(Input!D$54&lt;31,Input!D$54/30*D393,IF(Input!D$54&lt;61,(Input!D$54-30)/30*D393,IF(Input!D$54&lt;91,(Input!D$54-60)/30*D393,IF(Input!D$54&lt;121,(Input!D$54-90)/30*D393,IF(Input!D$54&lt;151,(Input!D$54-120)/30*D393,(Input!D$54-150)/30*D393)))))),0)</f>
        <v>0</v>
      </c>
      <c r="E1035" s="229">
        <f>IF(Years="Five",IF(E$338&gt;$D$33,0,IF(Input!E$54&lt;31,Input!E$54/30*E393,IF(Input!E$54&lt;61,(Input!E$54-30)/30*E393,IF(Input!E$54&lt;91,(Input!E$54-60)/30*E393,IF(Input!E$54&lt;121,(Input!E$54-90)/30*E393,IF(Input!E$54&lt;151,(Input!E$54-120)/30*E393,(Input!E$54-150)/30*E393)))))),0)</f>
        <v>0</v>
      </c>
      <c r="F1035" s="229">
        <f>IF(Years="Five",IF(F$338&gt;$D$33,0,IF(Input!F$54&lt;31,Input!F$54/30*F393,IF(Input!F$54&lt;61,(Input!F$54-30)/30*F393,IF(Input!F$54&lt;91,(Input!F$54-60)/30*F393,IF(Input!F$54&lt;121,(Input!F$54-90)/30*F393,IF(Input!F$54&lt;151,(Input!F$54-120)/30*F393,(Input!F$54-150)/30*F393)))))),0)</f>
        <v>0</v>
      </c>
      <c r="G1035" s="229">
        <f>IF(Years="Five",IF(G$338&gt;$D$33,0,IF(Input!G$54&lt;31,Input!G$54/30*G393,IF(Input!G$54&lt;61,(Input!G$54-30)/30*G393,IF(Input!G$54&lt;91,(Input!G$54-60)/30*G393,IF(Input!G$54&lt;121,(Input!G$54-90)/30*G393,IF(Input!G$54&lt;151,(Input!G$54-120)/30*G393,(Input!G$54-150)/30*G393)))))),0)</f>
        <v>0</v>
      </c>
      <c r="H1035" s="229">
        <f>IF(Years="Five",IF(H$338&gt;$D$33,0,IF(Input!H$54&lt;31,Input!H$54/30*H393,IF(Input!H$54&lt;61,(Input!H$54-30)/30*H393,IF(Input!H$54&lt;91,(Input!H$54-60)/30*H393,IF(Input!H$54&lt;121,(Input!H$54-90)/30*H393,IF(Input!H$54&lt;151,(Input!H$54-120)/30*H393,(Input!H$54-150)/30*H393)))))),0)</f>
        <v>0</v>
      </c>
      <c r="I1035" s="229">
        <f>IF(Years="Five",IF(I$338&gt;$D$33,0,IF(Input!I$54&lt;31,Input!I$54/30*I393,IF(Input!I$54&lt;61,(Input!I$54-30)/30*I393,IF(Input!I$54&lt;91,(Input!I$54-60)/30*I393,IF(Input!I$54&lt;121,(Input!I$54-90)/30*I393,IF(Input!I$54&lt;151,(Input!I$54-120)/30*I393,(Input!I$54-150)/30*I393)))))),0)</f>
        <v>0</v>
      </c>
      <c r="J1035" s="229">
        <f>IF(Years="Five",IF(J$338&gt;$D$33,0,IF(Input!J$54&lt;31,Input!J$54/30*J393,IF(Input!J$54&lt;61,(Input!J$54-30)/30*J393,IF(Input!J$54&lt;91,(Input!J$54-60)/30*J393,IF(Input!J$54&lt;121,(Input!J$54-90)/30*J393,IF(Input!J$54&lt;151,(Input!J$54-120)/30*J393,(Input!J$54-150)/30*J393)))))),0)</f>
        <v>0</v>
      </c>
      <c r="K1035" s="229">
        <f>IF(Years="Five",IF(K$338&gt;$D$33,0,IF(Input!K$54&lt;31,Input!K$54/30*K393,IF(Input!K$54&lt;61,(Input!K$54-30)/30*K393,IF(Input!K$54&lt;91,(Input!K$54-60)/30*K393,IF(Input!K$54&lt;121,(Input!K$54-90)/30*K393,IF(Input!K$54&lt;151,(Input!K$54-120)/30*K393,(Input!K$54-150)/30*K393)))))),0)</f>
        <v>0</v>
      </c>
      <c r="L1035" s="229">
        <f>IF(Years="Five",IF(L$338&gt;$D$33,0,IF(Input!L$54&lt;31,Input!L$54/30*L393,IF(Input!L$54&lt;61,(Input!L$54-30)/30*L393,IF(Input!L$54&lt;91,(Input!L$54-60)/30*L393,IF(Input!L$54&lt;121,(Input!L$54-90)/30*L393,IF(Input!L$54&lt;151,(Input!L$54-120)/30*L393,(Input!L$54-150)/30*L393)))))),0)</f>
        <v>0</v>
      </c>
      <c r="M1035" s="229">
        <f>IF(Years="Five",IF(M$338&gt;$D$33,0,IF(Input!M$54&lt;31,Input!M$54/30*M393,IF(Input!M$54&lt;61,(Input!M$54-30)/30*M393,IF(Input!M$54&lt;91,(Input!M$54-60)/30*M393,IF(Input!M$54&lt;121,(Input!M$54-90)/30*M393,IF(Input!M$54&lt;151,(Input!M$54-120)/30*M393,(Input!M$54-150)/30*M393)))))),0)</f>
        <v>0</v>
      </c>
      <c r="N1035" s="229">
        <f>IF(Years="Five",IF(N$338&gt;$D$33,0,IF(Input!N$54&lt;31,Input!N$54/30*N393,IF(Input!N$54&lt;61,(Input!N$54-30)/30*N393,IF(Input!N$54&lt;91,(Input!N$54-60)/30*N393,IF(Input!N$54&lt;121,(Input!N$54-90)/30*N393,IF(Input!N$54&lt;151,(Input!N$54-120)/30*N393,(Input!N$54-150)/30*N393)))))),0)</f>
        <v>0</v>
      </c>
      <c r="O1035" s="229">
        <f>IF(Years="Five",IF(O$338&gt;$D$33,0,IF(Input!O$54&lt;31,Input!O$54/30*O393,IF(Input!O$54&lt;61,(Input!O$54-30)/30*O393,IF(Input!O$54&lt;91,(Input!O$54-60)/30*O393,IF(Input!O$54&lt;121,(Input!O$54-90)/30*O393,IF(Input!O$54&lt;151,(Input!O$54-120)/30*O393,(Input!O$54-150)/30*O393)))))),0)</f>
        <v>0</v>
      </c>
      <c r="P1035" s="229">
        <f>IF(Years="Five",IF(P$338&gt;$D$33,0,IF(Input!P$54&lt;31,Input!P$54/30*P393,IF(Input!P$54&lt;61,(Input!P$54-30)/30*P393,IF(Input!P$54&lt;91,(Input!P$54-60)/30*P393,IF(Input!P$54&lt;121,(Input!P$54-90)/30*P393,IF(Input!P$54&lt;151,(Input!P$54-120)/30*P393,(Input!P$54-150)/30*P393)))))),0)</f>
        <v>0</v>
      </c>
      <c r="Q1035" s="229">
        <f>IF(Years="Five",IF(Q$338&gt;$D$33,0,IF(Input!Q$54&lt;31,Input!Q$54/30*Q393,IF(Input!Q$54&lt;61,(Input!Q$54-30)/30*Q393,IF(Input!Q$54&lt;91,(Input!Q$54-60)/30*Q393,IF(Input!Q$54&lt;121,(Input!Q$54-90)/30*Q393,IF(Input!Q$54&lt;151,(Input!Q$54-120)/30*Q393,(Input!Q$54-150)/30*Q393)))))),0)</f>
        <v>0</v>
      </c>
      <c r="R1035" s="229">
        <f>IF(Years="Five",IF(R$338&gt;$D$33,0,IF(Input!R$54&lt;31,Input!R$54/30*R393,IF(Input!R$54&lt;61,(Input!R$54-30)/30*R393,IF(Input!R$54&lt;91,(Input!R$54-60)/30*R393,IF(Input!R$54&lt;121,(Input!R$54-90)/30*R393,IF(Input!R$54&lt;151,(Input!R$54-120)/30*R393,(Input!R$54-150)/30*R393)))))),0)</f>
        <v>0</v>
      </c>
      <c r="S1035" s="229">
        <f>IF(Years="Five",IF(S$338&gt;$D$33,0,IF(Input!S$54&lt;31,Input!S$54/30*S393,IF(Input!S$54&lt;61,(Input!S$54-30)/30*S393,IF(Input!S$54&lt;91,(Input!S$54-60)/30*S393,IF(Input!S$54&lt;121,(Input!S$54-90)/30*S393,IF(Input!S$54&lt;151,(Input!S$54-120)/30*S393,(Input!S$54-150)/30*S393)))))),0)</f>
        <v>0</v>
      </c>
      <c r="T1035" s="229">
        <f>IF(Years="Five",IF(T$338&gt;$D$33,0,IF(Input!T$54&lt;31,Input!T$54/30*T393,IF(Input!T$54&lt;61,(Input!T$54-30)/30*T393,IF(Input!T$54&lt;91,(Input!T$54-60)/30*T393,IF(Input!T$54&lt;121,(Input!T$54-90)/30*T393,IF(Input!T$54&lt;151,(Input!T$54-120)/30*T393,(Input!T$54-150)/30*T393)))))),0)</f>
        <v>0</v>
      </c>
      <c r="U1035" s="229">
        <f>IF(Years="Five",IF(U$338&gt;$D$33,0,IF(Input!U$54&lt;31,Input!U$54/30*U393,IF(Input!U$54&lt;61,(Input!U$54-30)/30*U393,IF(Input!U$54&lt;91,(Input!U$54-60)/30*U393,IF(Input!U$54&lt;121,(Input!U$54-90)/30*U393,IF(Input!U$54&lt;151,(Input!U$54-120)/30*U393,(Input!U$54-150)/30*U393)))))),0)</f>
        <v>0</v>
      </c>
      <c r="V1035" s="229">
        <f>IF(Years="Five",IF(V$338&gt;$D$33,0,IF(Input!V$54&lt;31,Input!V$54/30*V393,IF(Input!V$54&lt;61,(Input!V$54-30)/30*V393,IF(Input!V$54&lt;91,(Input!V$54-60)/30*V393,IF(Input!V$54&lt;121,(Input!V$54-90)/30*V393,IF(Input!V$54&lt;151,(Input!V$54-120)/30*V393,(Input!V$54-150)/30*V393)))))),0)</f>
        <v>0</v>
      </c>
      <c r="W1035" s="229">
        <f>IF(Years="Five",IF(W$338&gt;$D$33,0,IF(Input!W$54&lt;31,Input!W$54/30*W393,IF(Input!W$54&lt;61,(Input!W$54-30)/30*W393,IF(Input!W$54&lt;91,(Input!W$54-60)/30*W393,IF(Input!W$54&lt;121,(Input!W$54-90)/30*W393,IF(Input!W$54&lt;151,(Input!W$54-120)/30*W393,(Input!W$54-150)/30*W393)))))),0)</f>
        <v>0</v>
      </c>
      <c r="X1035" s="229">
        <f>IF(Years="Five",IF(X$338&gt;$D$33,0,IF(Input!X$54&lt;31,Input!X$54/30*X393,IF(Input!X$54&lt;61,(Input!X$54-30)/30*X393,IF(Input!X$54&lt;91,(Input!X$54-60)/30*X393,IF(Input!X$54&lt;121,(Input!X$54-90)/30*X393,IF(Input!X$54&lt;151,(Input!X$54-120)/30*X393,(Input!X$54-150)/30*X393)))))),0)</f>
        <v>0</v>
      </c>
      <c r="Y1035" s="229">
        <f>IF(Years="Five",IF(Y$338&gt;$D$33,0,IF(Input!Y$54&lt;31,Input!Y$54/30*Y393,IF(Input!Y$54&lt;61,(Input!Y$54-30)/30*Y393,IF(Input!Y$54&lt;91,(Input!Y$54-60)/30*Y393,IF(Input!Y$54&lt;121,(Input!Y$54-90)/30*Y393,IF(Input!Y$54&lt;151,(Input!Y$54-120)/30*Y393,(Input!Y$54-150)/30*Y393)))))),0)</f>
        <v>0</v>
      </c>
      <c r="Z1035" s="229">
        <f>IF(Years="Five",IF(Z$338&gt;$D$33,0,IF(Input!Z$54&lt;31,Input!Z$54/30*Z393,IF(Input!Z$54&lt;61,(Input!Z$54-30)/30*Z393,IF(Input!Z$54&lt;91,(Input!Z$54-60)/30*Z393,IF(Input!Z$54&lt;121,(Input!Z$54-90)/30*Z393,IF(Input!Z$54&lt;151,(Input!Z$54-120)/30*Z393,(Input!Z$54-150)/30*Z393)))))),0)</f>
        <v>0</v>
      </c>
      <c r="AA1035" s="229">
        <f>IF(Years="Five",IF(AA$338&gt;$D$33,0,IF(Input!AA$54&lt;31,Input!AA$54/30*AA393,IF(Input!AA$54&lt;61,(Input!AA$54-30)/30*AA393,IF(Input!AA$54&lt;91,(Input!AA$54-60)/30*AA393,IF(Input!AA$54&lt;121,(Input!AA$54-90)/30*AA393,IF(Input!AA$54&lt;151,(Input!AA$54-120)/30*AA393,(Input!AA$54-150)/30*AA393)))))),0)</f>
        <v>0</v>
      </c>
      <c r="AB1035" s="298">
        <f>IF(Years="Five",IF(AB$338&gt;$D$33,0,IF(Input!AB$54&lt;31,Input!AB$54/30*AB393,IF(Input!AB$54&lt;61,(Input!AB$54-30)/30*AB393,IF(Input!AB$54&lt;91,(Input!AB$54-60)/30*AB393,IF(Input!AB$54&lt;121,(Input!AB$54-90)/30*AB393,IF(Input!AB$54&lt;151,(Input!AB$54-120)/30*AB393,(Input!AB$54-150)/30*AB393)))))),0)</f>
        <v>0</v>
      </c>
      <c r="CH1035" s="269"/>
      <c r="CI1035" s="269"/>
      <c r="CJ1035" s="269"/>
      <c r="CK1035" s="269"/>
      <c r="CL1035" s="269"/>
      <c r="CM1035" s="269"/>
      <c r="CN1035" s="269"/>
      <c r="CO1035" s="269"/>
      <c r="CP1035" s="269"/>
      <c r="CQ1035" s="269"/>
      <c r="CR1035" s="269"/>
      <c r="CS1035" s="269"/>
    </row>
    <row r="1036" spans="3:97" x14ac:dyDescent="0.3">
      <c r="C1036" s="638">
        <f>C973</f>
        <v>1674</v>
      </c>
      <c r="D1036" s="297">
        <f>IF(Years="Five",IF(D$338&gt;$D$33,0,IF(Input!D$54&lt;31,Input!D$54/30*D394,IF(Input!D$54&lt;61,(Input!D$54-30)/30*D394,IF(Input!D$54&lt;91,(Input!D$54-60)/30*D394,IF(Input!D$54&lt;121,(Input!D$54-90)/30*D394,IF(Input!D$54&lt;151,(Input!D$54-120)/30*D394,(Input!D$54-150)/30*D394)))))),0)</f>
        <v>0</v>
      </c>
      <c r="E1036" s="229">
        <f>IF(Years="Five",IF(E$338&gt;$D$33,0,IF(Input!E$54&lt;31,Input!E$54/30*E394,IF(Input!E$54&lt;61,(Input!E$54-30)/30*E394,IF(Input!E$54&lt;91,(Input!E$54-60)/30*E394,IF(Input!E$54&lt;121,(Input!E$54-90)/30*E394,IF(Input!E$54&lt;151,(Input!E$54-120)/30*E394,(Input!E$54-150)/30*E394)))))),0)</f>
        <v>0</v>
      </c>
      <c r="F1036" s="229">
        <f>IF(Years="Five",IF(F$338&gt;$D$33,0,IF(Input!F$54&lt;31,Input!F$54/30*F394,IF(Input!F$54&lt;61,(Input!F$54-30)/30*F394,IF(Input!F$54&lt;91,(Input!F$54-60)/30*F394,IF(Input!F$54&lt;121,(Input!F$54-90)/30*F394,IF(Input!F$54&lt;151,(Input!F$54-120)/30*F394,(Input!F$54-150)/30*F394)))))),0)</f>
        <v>0</v>
      </c>
      <c r="G1036" s="229">
        <f>IF(Years="Five",IF(G$338&gt;$D$33,0,IF(Input!G$54&lt;31,Input!G$54/30*G394,IF(Input!G$54&lt;61,(Input!G$54-30)/30*G394,IF(Input!G$54&lt;91,(Input!G$54-60)/30*G394,IF(Input!G$54&lt;121,(Input!G$54-90)/30*G394,IF(Input!G$54&lt;151,(Input!G$54-120)/30*G394,(Input!G$54-150)/30*G394)))))),0)</f>
        <v>0</v>
      </c>
      <c r="H1036" s="229">
        <f>IF(Years="Five",IF(H$338&gt;$D$33,0,IF(Input!H$54&lt;31,Input!H$54/30*H394,IF(Input!H$54&lt;61,(Input!H$54-30)/30*H394,IF(Input!H$54&lt;91,(Input!H$54-60)/30*H394,IF(Input!H$54&lt;121,(Input!H$54-90)/30*H394,IF(Input!H$54&lt;151,(Input!H$54-120)/30*H394,(Input!H$54-150)/30*H394)))))),0)</f>
        <v>0</v>
      </c>
      <c r="I1036" s="229">
        <f>IF(Years="Five",IF(I$338&gt;$D$33,0,IF(Input!I$54&lt;31,Input!I$54/30*I394,IF(Input!I$54&lt;61,(Input!I$54-30)/30*I394,IF(Input!I$54&lt;91,(Input!I$54-60)/30*I394,IF(Input!I$54&lt;121,(Input!I$54-90)/30*I394,IF(Input!I$54&lt;151,(Input!I$54-120)/30*I394,(Input!I$54-150)/30*I394)))))),0)</f>
        <v>0</v>
      </c>
      <c r="J1036" s="229">
        <f>IF(Years="Five",IF(J$338&gt;$D$33,0,IF(Input!J$54&lt;31,Input!J$54/30*J394,IF(Input!J$54&lt;61,(Input!J$54-30)/30*J394,IF(Input!J$54&lt;91,(Input!J$54-60)/30*J394,IF(Input!J$54&lt;121,(Input!J$54-90)/30*J394,IF(Input!J$54&lt;151,(Input!J$54-120)/30*J394,(Input!J$54-150)/30*J394)))))),0)</f>
        <v>0</v>
      </c>
      <c r="K1036" s="229">
        <f>IF(Years="Five",IF(K$338&gt;$D$33,0,IF(Input!K$54&lt;31,Input!K$54/30*K394,IF(Input!K$54&lt;61,(Input!K$54-30)/30*K394,IF(Input!K$54&lt;91,(Input!K$54-60)/30*K394,IF(Input!K$54&lt;121,(Input!K$54-90)/30*K394,IF(Input!K$54&lt;151,(Input!K$54-120)/30*K394,(Input!K$54-150)/30*K394)))))),0)</f>
        <v>0</v>
      </c>
      <c r="L1036" s="229">
        <f>IF(Years="Five",IF(L$338&gt;$D$33,0,IF(Input!L$54&lt;31,Input!L$54/30*L394,IF(Input!L$54&lt;61,(Input!L$54-30)/30*L394,IF(Input!L$54&lt;91,(Input!L$54-60)/30*L394,IF(Input!L$54&lt;121,(Input!L$54-90)/30*L394,IF(Input!L$54&lt;151,(Input!L$54-120)/30*L394,(Input!L$54-150)/30*L394)))))),0)</f>
        <v>0</v>
      </c>
      <c r="M1036" s="229">
        <f>IF(Years="Five",IF(M$338&gt;$D$33,0,IF(Input!M$54&lt;31,Input!M$54/30*M394,IF(Input!M$54&lt;61,(Input!M$54-30)/30*M394,IF(Input!M$54&lt;91,(Input!M$54-60)/30*M394,IF(Input!M$54&lt;121,(Input!M$54-90)/30*M394,IF(Input!M$54&lt;151,(Input!M$54-120)/30*M394,(Input!M$54-150)/30*M394)))))),0)</f>
        <v>0</v>
      </c>
      <c r="N1036" s="229">
        <f>IF(Years="Five",IF(N$338&gt;$D$33,0,IF(Input!N$54&lt;31,Input!N$54/30*N394,IF(Input!N$54&lt;61,(Input!N$54-30)/30*N394,IF(Input!N$54&lt;91,(Input!N$54-60)/30*N394,IF(Input!N$54&lt;121,(Input!N$54-90)/30*N394,IF(Input!N$54&lt;151,(Input!N$54-120)/30*N394,(Input!N$54-150)/30*N394)))))),0)</f>
        <v>0</v>
      </c>
      <c r="O1036" s="229">
        <f>IF(Years="Five",IF(O$338&gt;$D$33,0,IF(Input!O$54&lt;31,Input!O$54/30*O394,IF(Input!O$54&lt;61,(Input!O$54-30)/30*O394,IF(Input!O$54&lt;91,(Input!O$54-60)/30*O394,IF(Input!O$54&lt;121,(Input!O$54-90)/30*O394,IF(Input!O$54&lt;151,(Input!O$54-120)/30*O394,(Input!O$54-150)/30*O394)))))),0)</f>
        <v>0</v>
      </c>
      <c r="P1036" s="229">
        <f>IF(Years="Five",IF(P$338&gt;$D$33,0,IF(Input!P$54&lt;31,Input!P$54/30*P394,IF(Input!P$54&lt;61,(Input!P$54-30)/30*P394,IF(Input!P$54&lt;91,(Input!P$54-60)/30*P394,IF(Input!P$54&lt;121,(Input!P$54-90)/30*P394,IF(Input!P$54&lt;151,(Input!P$54-120)/30*P394,(Input!P$54-150)/30*P394)))))),0)</f>
        <v>0</v>
      </c>
      <c r="Q1036" s="229">
        <f>IF(Years="Five",IF(Q$338&gt;$D$33,0,IF(Input!Q$54&lt;31,Input!Q$54/30*Q394,IF(Input!Q$54&lt;61,(Input!Q$54-30)/30*Q394,IF(Input!Q$54&lt;91,(Input!Q$54-60)/30*Q394,IF(Input!Q$54&lt;121,(Input!Q$54-90)/30*Q394,IF(Input!Q$54&lt;151,(Input!Q$54-120)/30*Q394,(Input!Q$54-150)/30*Q394)))))),0)</f>
        <v>0</v>
      </c>
      <c r="R1036" s="229">
        <f>IF(Years="Five",IF(R$338&gt;$D$33,0,IF(Input!R$54&lt;31,Input!R$54/30*R394,IF(Input!R$54&lt;61,(Input!R$54-30)/30*R394,IF(Input!R$54&lt;91,(Input!R$54-60)/30*R394,IF(Input!R$54&lt;121,(Input!R$54-90)/30*R394,IF(Input!R$54&lt;151,(Input!R$54-120)/30*R394,(Input!R$54-150)/30*R394)))))),0)</f>
        <v>0</v>
      </c>
      <c r="S1036" s="229">
        <f>IF(Years="Five",IF(S$338&gt;$D$33,0,IF(Input!S$54&lt;31,Input!S$54/30*S394,IF(Input!S$54&lt;61,(Input!S$54-30)/30*S394,IF(Input!S$54&lt;91,(Input!S$54-60)/30*S394,IF(Input!S$54&lt;121,(Input!S$54-90)/30*S394,IF(Input!S$54&lt;151,(Input!S$54-120)/30*S394,(Input!S$54-150)/30*S394)))))),0)</f>
        <v>0</v>
      </c>
      <c r="T1036" s="229">
        <f>IF(Years="Five",IF(T$338&gt;$D$33,0,IF(Input!T$54&lt;31,Input!T$54/30*T394,IF(Input!T$54&lt;61,(Input!T$54-30)/30*T394,IF(Input!T$54&lt;91,(Input!T$54-60)/30*T394,IF(Input!T$54&lt;121,(Input!T$54-90)/30*T394,IF(Input!T$54&lt;151,(Input!T$54-120)/30*T394,(Input!T$54-150)/30*T394)))))),0)</f>
        <v>0</v>
      </c>
      <c r="U1036" s="229">
        <f>IF(Years="Five",IF(U$338&gt;$D$33,0,IF(Input!U$54&lt;31,Input!U$54/30*U394,IF(Input!U$54&lt;61,(Input!U$54-30)/30*U394,IF(Input!U$54&lt;91,(Input!U$54-60)/30*U394,IF(Input!U$54&lt;121,(Input!U$54-90)/30*U394,IF(Input!U$54&lt;151,(Input!U$54-120)/30*U394,(Input!U$54-150)/30*U394)))))),0)</f>
        <v>0</v>
      </c>
      <c r="V1036" s="229">
        <f>IF(Years="Five",IF(V$338&gt;$D$33,0,IF(Input!V$54&lt;31,Input!V$54/30*V394,IF(Input!V$54&lt;61,(Input!V$54-30)/30*V394,IF(Input!V$54&lt;91,(Input!V$54-60)/30*V394,IF(Input!V$54&lt;121,(Input!V$54-90)/30*V394,IF(Input!V$54&lt;151,(Input!V$54-120)/30*V394,(Input!V$54-150)/30*V394)))))),0)</f>
        <v>0</v>
      </c>
      <c r="W1036" s="229">
        <f>IF(Years="Five",IF(W$338&gt;$D$33,0,IF(Input!W$54&lt;31,Input!W$54/30*W394,IF(Input!W$54&lt;61,(Input!W$54-30)/30*W394,IF(Input!W$54&lt;91,(Input!W$54-60)/30*W394,IF(Input!W$54&lt;121,(Input!W$54-90)/30*W394,IF(Input!W$54&lt;151,(Input!W$54-120)/30*W394,(Input!W$54-150)/30*W394)))))),0)</f>
        <v>0</v>
      </c>
      <c r="X1036" s="229">
        <f>IF(Years="Five",IF(X$338&gt;$D$33,0,IF(Input!X$54&lt;31,Input!X$54/30*X394,IF(Input!X$54&lt;61,(Input!X$54-30)/30*X394,IF(Input!X$54&lt;91,(Input!X$54-60)/30*X394,IF(Input!X$54&lt;121,(Input!X$54-90)/30*X394,IF(Input!X$54&lt;151,(Input!X$54-120)/30*X394,(Input!X$54-150)/30*X394)))))),0)</f>
        <v>0</v>
      </c>
      <c r="Y1036" s="229">
        <f>IF(Years="Five",IF(Y$338&gt;$D$33,0,IF(Input!Y$54&lt;31,Input!Y$54/30*Y394,IF(Input!Y$54&lt;61,(Input!Y$54-30)/30*Y394,IF(Input!Y$54&lt;91,(Input!Y$54-60)/30*Y394,IF(Input!Y$54&lt;121,(Input!Y$54-90)/30*Y394,IF(Input!Y$54&lt;151,(Input!Y$54-120)/30*Y394,(Input!Y$54-150)/30*Y394)))))),0)</f>
        <v>0</v>
      </c>
      <c r="Z1036" s="229">
        <f>IF(Years="Five",IF(Z$338&gt;$D$33,0,IF(Input!Z$54&lt;31,Input!Z$54/30*Z394,IF(Input!Z$54&lt;61,(Input!Z$54-30)/30*Z394,IF(Input!Z$54&lt;91,(Input!Z$54-60)/30*Z394,IF(Input!Z$54&lt;121,(Input!Z$54-90)/30*Z394,IF(Input!Z$54&lt;151,(Input!Z$54-120)/30*Z394,(Input!Z$54-150)/30*Z394)))))),0)</f>
        <v>0</v>
      </c>
      <c r="AA1036" s="229">
        <f>IF(Years="Five",IF(AA$338&gt;$D$33,0,IF(Input!AA$54&lt;31,Input!AA$54/30*AA394,IF(Input!AA$54&lt;61,(Input!AA$54-30)/30*AA394,IF(Input!AA$54&lt;91,(Input!AA$54-60)/30*AA394,IF(Input!AA$54&lt;121,(Input!AA$54-90)/30*AA394,IF(Input!AA$54&lt;151,(Input!AA$54-120)/30*AA394,(Input!AA$54-150)/30*AA394)))))),0)</f>
        <v>0</v>
      </c>
      <c r="AB1036" s="298">
        <f>IF(Years="Five",IF(AB$338&gt;$D$33,0,IF(Input!AB$54&lt;31,Input!AB$54/30*AB394,IF(Input!AB$54&lt;61,(Input!AB$54-30)/30*AB394,IF(Input!AB$54&lt;91,(Input!AB$54-60)/30*AB394,IF(Input!AB$54&lt;121,(Input!AB$54-90)/30*AB394,IF(Input!AB$54&lt;151,(Input!AB$54-120)/30*AB394,(Input!AB$54-150)/30*AB394)))))),0)</f>
        <v>0</v>
      </c>
      <c r="CH1036" s="269"/>
      <c r="CI1036" s="269"/>
      <c r="CJ1036" s="269"/>
      <c r="CK1036" s="269"/>
      <c r="CL1036" s="269"/>
      <c r="CM1036" s="269"/>
      <c r="CN1036" s="269"/>
      <c r="CO1036" s="269"/>
      <c r="CP1036" s="269"/>
      <c r="CQ1036" s="269"/>
      <c r="CR1036" s="269"/>
      <c r="CS1036" s="269"/>
    </row>
    <row r="1037" spans="3:97" x14ac:dyDescent="0.3">
      <c r="C1037" s="638">
        <f>C974</f>
        <v>1705</v>
      </c>
      <c r="D1037" s="297">
        <f>IF(Years="Five",IF(D$338&gt;$D$33,0,IF(Input!D$54&lt;31,Input!D$54/30*D395,IF(Input!D$54&lt;61,(Input!D$54-30)/30*D395,IF(Input!D$54&lt;91,(Input!D$54-60)/30*D395,IF(Input!D$54&lt;121,(Input!D$54-90)/30*D395,IF(Input!D$54&lt;151,(Input!D$54-120)/30*D395,(Input!D$54-150)/30*D395)))))),0)</f>
        <v>0</v>
      </c>
      <c r="E1037" s="229">
        <f>IF(Years="Five",IF(E$338&gt;$D$33,0,IF(Input!E$54&lt;31,Input!E$54/30*E395,IF(Input!E$54&lt;61,(Input!E$54-30)/30*E395,IF(Input!E$54&lt;91,(Input!E$54-60)/30*E395,IF(Input!E$54&lt;121,(Input!E$54-90)/30*E395,IF(Input!E$54&lt;151,(Input!E$54-120)/30*E395,(Input!E$54-150)/30*E395)))))),0)</f>
        <v>0</v>
      </c>
      <c r="F1037" s="229">
        <f>IF(Years="Five",IF(F$338&gt;$D$33,0,IF(Input!F$54&lt;31,Input!F$54/30*F395,IF(Input!F$54&lt;61,(Input!F$54-30)/30*F395,IF(Input!F$54&lt;91,(Input!F$54-60)/30*F395,IF(Input!F$54&lt;121,(Input!F$54-90)/30*F395,IF(Input!F$54&lt;151,(Input!F$54-120)/30*F395,(Input!F$54-150)/30*F395)))))),0)</f>
        <v>0</v>
      </c>
      <c r="G1037" s="229">
        <f>IF(Years="Five",IF(G$338&gt;$D$33,0,IF(Input!G$54&lt;31,Input!G$54/30*G395,IF(Input!G$54&lt;61,(Input!G$54-30)/30*G395,IF(Input!G$54&lt;91,(Input!G$54-60)/30*G395,IF(Input!G$54&lt;121,(Input!G$54-90)/30*G395,IF(Input!G$54&lt;151,(Input!G$54-120)/30*G395,(Input!G$54-150)/30*G395)))))),0)</f>
        <v>0</v>
      </c>
      <c r="H1037" s="229">
        <f>IF(Years="Five",IF(H$338&gt;$D$33,0,IF(Input!H$54&lt;31,Input!H$54/30*H395,IF(Input!H$54&lt;61,(Input!H$54-30)/30*H395,IF(Input!H$54&lt;91,(Input!H$54-60)/30*H395,IF(Input!H$54&lt;121,(Input!H$54-90)/30*H395,IF(Input!H$54&lt;151,(Input!H$54-120)/30*H395,(Input!H$54-150)/30*H395)))))),0)</f>
        <v>0</v>
      </c>
      <c r="I1037" s="229">
        <f>IF(Years="Five",IF(I$338&gt;$D$33,0,IF(Input!I$54&lt;31,Input!I$54/30*I395,IF(Input!I$54&lt;61,(Input!I$54-30)/30*I395,IF(Input!I$54&lt;91,(Input!I$54-60)/30*I395,IF(Input!I$54&lt;121,(Input!I$54-90)/30*I395,IF(Input!I$54&lt;151,(Input!I$54-120)/30*I395,(Input!I$54-150)/30*I395)))))),0)</f>
        <v>0</v>
      </c>
      <c r="J1037" s="229">
        <f>IF(Years="Five",IF(J$338&gt;$D$33,0,IF(Input!J$54&lt;31,Input!J$54/30*J395,IF(Input!J$54&lt;61,(Input!J$54-30)/30*J395,IF(Input!J$54&lt;91,(Input!J$54-60)/30*J395,IF(Input!J$54&lt;121,(Input!J$54-90)/30*J395,IF(Input!J$54&lt;151,(Input!J$54-120)/30*J395,(Input!J$54-150)/30*J395)))))),0)</f>
        <v>0</v>
      </c>
      <c r="K1037" s="229">
        <f>IF(Years="Five",IF(K$338&gt;$D$33,0,IF(Input!K$54&lt;31,Input!K$54/30*K395,IF(Input!K$54&lt;61,(Input!K$54-30)/30*K395,IF(Input!K$54&lt;91,(Input!K$54-60)/30*K395,IF(Input!K$54&lt;121,(Input!K$54-90)/30*K395,IF(Input!K$54&lt;151,(Input!K$54-120)/30*K395,(Input!K$54-150)/30*K395)))))),0)</f>
        <v>0</v>
      </c>
      <c r="L1037" s="229">
        <f>IF(Years="Five",IF(L$338&gt;$D$33,0,IF(Input!L$54&lt;31,Input!L$54/30*L395,IF(Input!L$54&lt;61,(Input!L$54-30)/30*L395,IF(Input!L$54&lt;91,(Input!L$54-60)/30*L395,IF(Input!L$54&lt;121,(Input!L$54-90)/30*L395,IF(Input!L$54&lt;151,(Input!L$54-120)/30*L395,(Input!L$54-150)/30*L395)))))),0)</f>
        <v>0</v>
      </c>
      <c r="M1037" s="229">
        <f>IF(Years="Five",IF(M$338&gt;$D$33,0,IF(Input!M$54&lt;31,Input!M$54/30*M395,IF(Input!M$54&lt;61,(Input!M$54-30)/30*M395,IF(Input!M$54&lt;91,(Input!M$54-60)/30*M395,IF(Input!M$54&lt;121,(Input!M$54-90)/30*M395,IF(Input!M$54&lt;151,(Input!M$54-120)/30*M395,(Input!M$54-150)/30*M395)))))),0)</f>
        <v>0</v>
      </c>
      <c r="N1037" s="229">
        <f>IF(Years="Five",IF(N$338&gt;$D$33,0,IF(Input!N$54&lt;31,Input!N$54/30*N395,IF(Input!N$54&lt;61,(Input!N$54-30)/30*N395,IF(Input!N$54&lt;91,(Input!N$54-60)/30*N395,IF(Input!N$54&lt;121,(Input!N$54-90)/30*N395,IF(Input!N$54&lt;151,(Input!N$54-120)/30*N395,(Input!N$54-150)/30*N395)))))),0)</f>
        <v>0</v>
      </c>
      <c r="O1037" s="229">
        <f>IF(Years="Five",IF(O$338&gt;$D$33,0,IF(Input!O$54&lt;31,Input!O$54/30*O395,IF(Input!O$54&lt;61,(Input!O$54-30)/30*O395,IF(Input!O$54&lt;91,(Input!O$54-60)/30*O395,IF(Input!O$54&lt;121,(Input!O$54-90)/30*O395,IF(Input!O$54&lt;151,(Input!O$54-120)/30*O395,(Input!O$54-150)/30*O395)))))),0)</f>
        <v>0</v>
      </c>
      <c r="P1037" s="229">
        <f>IF(Years="Five",IF(P$338&gt;$D$33,0,IF(Input!P$54&lt;31,Input!P$54/30*P395,IF(Input!P$54&lt;61,(Input!P$54-30)/30*P395,IF(Input!P$54&lt;91,(Input!P$54-60)/30*P395,IF(Input!P$54&lt;121,(Input!P$54-90)/30*P395,IF(Input!P$54&lt;151,(Input!P$54-120)/30*P395,(Input!P$54-150)/30*P395)))))),0)</f>
        <v>0</v>
      </c>
      <c r="Q1037" s="229">
        <f>IF(Years="Five",IF(Q$338&gt;$D$33,0,IF(Input!Q$54&lt;31,Input!Q$54/30*Q395,IF(Input!Q$54&lt;61,(Input!Q$54-30)/30*Q395,IF(Input!Q$54&lt;91,(Input!Q$54-60)/30*Q395,IF(Input!Q$54&lt;121,(Input!Q$54-90)/30*Q395,IF(Input!Q$54&lt;151,(Input!Q$54-120)/30*Q395,(Input!Q$54-150)/30*Q395)))))),0)</f>
        <v>0</v>
      </c>
      <c r="R1037" s="229">
        <f>IF(Years="Five",IF(R$338&gt;$D$33,0,IF(Input!R$54&lt;31,Input!R$54/30*R395,IF(Input!R$54&lt;61,(Input!R$54-30)/30*R395,IF(Input!R$54&lt;91,(Input!R$54-60)/30*R395,IF(Input!R$54&lt;121,(Input!R$54-90)/30*R395,IF(Input!R$54&lt;151,(Input!R$54-120)/30*R395,(Input!R$54-150)/30*R395)))))),0)</f>
        <v>0</v>
      </c>
      <c r="S1037" s="229">
        <f>IF(Years="Five",IF(S$338&gt;$D$33,0,IF(Input!S$54&lt;31,Input!S$54/30*S395,IF(Input!S$54&lt;61,(Input!S$54-30)/30*S395,IF(Input!S$54&lt;91,(Input!S$54-60)/30*S395,IF(Input!S$54&lt;121,(Input!S$54-90)/30*S395,IF(Input!S$54&lt;151,(Input!S$54-120)/30*S395,(Input!S$54-150)/30*S395)))))),0)</f>
        <v>0</v>
      </c>
      <c r="T1037" s="229">
        <f>IF(Years="Five",IF(T$338&gt;$D$33,0,IF(Input!T$54&lt;31,Input!T$54/30*T395,IF(Input!T$54&lt;61,(Input!T$54-30)/30*T395,IF(Input!T$54&lt;91,(Input!T$54-60)/30*T395,IF(Input!T$54&lt;121,(Input!T$54-90)/30*T395,IF(Input!T$54&lt;151,(Input!T$54-120)/30*T395,(Input!T$54-150)/30*T395)))))),0)</f>
        <v>0</v>
      </c>
      <c r="U1037" s="229">
        <f>IF(Years="Five",IF(U$338&gt;$D$33,0,IF(Input!U$54&lt;31,Input!U$54/30*U395,IF(Input!U$54&lt;61,(Input!U$54-30)/30*U395,IF(Input!U$54&lt;91,(Input!U$54-60)/30*U395,IF(Input!U$54&lt;121,(Input!U$54-90)/30*U395,IF(Input!U$54&lt;151,(Input!U$54-120)/30*U395,(Input!U$54-150)/30*U395)))))),0)</f>
        <v>0</v>
      </c>
      <c r="V1037" s="229">
        <f>IF(Years="Five",IF(V$338&gt;$D$33,0,IF(Input!V$54&lt;31,Input!V$54/30*V395,IF(Input!V$54&lt;61,(Input!V$54-30)/30*V395,IF(Input!V$54&lt;91,(Input!V$54-60)/30*V395,IF(Input!V$54&lt;121,(Input!V$54-90)/30*V395,IF(Input!V$54&lt;151,(Input!V$54-120)/30*V395,(Input!V$54-150)/30*V395)))))),0)</f>
        <v>0</v>
      </c>
      <c r="W1037" s="229">
        <f>IF(Years="Five",IF(W$338&gt;$D$33,0,IF(Input!W$54&lt;31,Input!W$54/30*W395,IF(Input!W$54&lt;61,(Input!W$54-30)/30*W395,IF(Input!W$54&lt;91,(Input!W$54-60)/30*W395,IF(Input!W$54&lt;121,(Input!W$54-90)/30*W395,IF(Input!W$54&lt;151,(Input!W$54-120)/30*W395,(Input!W$54-150)/30*W395)))))),0)</f>
        <v>0</v>
      </c>
      <c r="X1037" s="229">
        <f>IF(Years="Five",IF(X$338&gt;$D$33,0,IF(Input!X$54&lt;31,Input!X$54/30*X395,IF(Input!X$54&lt;61,(Input!X$54-30)/30*X395,IF(Input!X$54&lt;91,(Input!X$54-60)/30*X395,IF(Input!X$54&lt;121,(Input!X$54-90)/30*X395,IF(Input!X$54&lt;151,(Input!X$54-120)/30*X395,(Input!X$54-150)/30*X395)))))),0)</f>
        <v>0</v>
      </c>
      <c r="Y1037" s="229">
        <f>IF(Years="Five",IF(Y$338&gt;$D$33,0,IF(Input!Y$54&lt;31,Input!Y$54/30*Y395,IF(Input!Y$54&lt;61,(Input!Y$54-30)/30*Y395,IF(Input!Y$54&lt;91,(Input!Y$54-60)/30*Y395,IF(Input!Y$54&lt;121,(Input!Y$54-90)/30*Y395,IF(Input!Y$54&lt;151,(Input!Y$54-120)/30*Y395,(Input!Y$54-150)/30*Y395)))))),0)</f>
        <v>0</v>
      </c>
      <c r="Z1037" s="229">
        <f>IF(Years="Five",IF(Z$338&gt;$D$33,0,IF(Input!Z$54&lt;31,Input!Z$54/30*Z395,IF(Input!Z$54&lt;61,(Input!Z$54-30)/30*Z395,IF(Input!Z$54&lt;91,(Input!Z$54-60)/30*Z395,IF(Input!Z$54&lt;121,(Input!Z$54-90)/30*Z395,IF(Input!Z$54&lt;151,(Input!Z$54-120)/30*Z395,(Input!Z$54-150)/30*Z395)))))),0)</f>
        <v>0</v>
      </c>
      <c r="AA1037" s="229">
        <f>IF(Years="Five",IF(AA$338&gt;$D$33,0,IF(Input!AA$54&lt;31,Input!AA$54/30*AA395,IF(Input!AA$54&lt;61,(Input!AA$54-30)/30*AA395,IF(Input!AA$54&lt;91,(Input!AA$54-60)/30*AA395,IF(Input!AA$54&lt;121,(Input!AA$54-90)/30*AA395,IF(Input!AA$54&lt;151,(Input!AA$54-120)/30*AA395,(Input!AA$54-150)/30*AA395)))))),0)</f>
        <v>0</v>
      </c>
      <c r="AB1037" s="298">
        <f>IF(Years="Five",IF(AB$338&gt;$D$33,0,IF(Input!AB$54&lt;31,Input!AB$54/30*AB395,IF(Input!AB$54&lt;61,(Input!AB$54-30)/30*AB395,IF(Input!AB$54&lt;91,(Input!AB$54-60)/30*AB395,IF(Input!AB$54&lt;121,(Input!AB$54-90)/30*AB395,IF(Input!AB$54&lt;151,(Input!AB$54-120)/30*AB395,(Input!AB$54-150)/30*AB395)))))),0)</f>
        <v>0</v>
      </c>
      <c r="CH1037" s="269"/>
      <c r="CI1037" s="269"/>
      <c r="CJ1037" s="269"/>
      <c r="CK1037" s="269"/>
      <c r="CL1037" s="269"/>
      <c r="CM1037" s="269"/>
      <c r="CN1037" s="269"/>
      <c r="CO1037" s="269"/>
      <c r="CP1037" s="269"/>
      <c r="CQ1037" s="269"/>
      <c r="CR1037" s="269"/>
      <c r="CS1037" s="269"/>
    </row>
    <row r="1038" spans="3:97" x14ac:dyDescent="0.3">
      <c r="C1038" s="638">
        <f>C975</f>
        <v>1735</v>
      </c>
      <c r="D1038" s="297">
        <f>IF(Years="Five",IF(D$338&gt;$D$33,0,IF(Input!D$54&lt;31,Input!D$54/30*D396,IF(Input!D$54&lt;61,(Input!D$54-30)/30*D396,IF(Input!D$54&lt;91,(Input!D$54-60)/30*D396,IF(Input!D$54&lt;121,(Input!D$54-90)/30*D396,IF(Input!D$54&lt;151,(Input!D$54-120)/30*D396,(Input!D$54-150)/30*D396)))))),0)</f>
        <v>0</v>
      </c>
      <c r="E1038" s="229">
        <f>IF(Years="Five",IF(E$338&gt;$D$33,0,IF(Input!E$54&lt;31,Input!E$54/30*E396,IF(Input!E$54&lt;61,(Input!E$54-30)/30*E396,IF(Input!E$54&lt;91,(Input!E$54-60)/30*E396,IF(Input!E$54&lt;121,(Input!E$54-90)/30*E396,IF(Input!E$54&lt;151,(Input!E$54-120)/30*E396,(Input!E$54-150)/30*E396)))))),0)</f>
        <v>0</v>
      </c>
      <c r="F1038" s="229">
        <f>IF(Years="Five",IF(F$338&gt;$D$33,0,IF(Input!F$54&lt;31,Input!F$54/30*F396,IF(Input!F$54&lt;61,(Input!F$54-30)/30*F396,IF(Input!F$54&lt;91,(Input!F$54-60)/30*F396,IF(Input!F$54&lt;121,(Input!F$54-90)/30*F396,IF(Input!F$54&lt;151,(Input!F$54-120)/30*F396,(Input!F$54-150)/30*F396)))))),0)</f>
        <v>0</v>
      </c>
      <c r="G1038" s="229">
        <f>IF(Years="Five",IF(G$338&gt;$D$33,0,IF(Input!G$54&lt;31,Input!G$54/30*G396,IF(Input!G$54&lt;61,(Input!G$54-30)/30*G396,IF(Input!G$54&lt;91,(Input!G$54-60)/30*G396,IF(Input!G$54&lt;121,(Input!G$54-90)/30*G396,IF(Input!G$54&lt;151,(Input!G$54-120)/30*G396,(Input!G$54-150)/30*G396)))))),0)</f>
        <v>0</v>
      </c>
      <c r="H1038" s="229">
        <f>IF(Years="Five",IF(H$338&gt;$D$33,0,IF(Input!H$54&lt;31,Input!H$54/30*H396,IF(Input!H$54&lt;61,(Input!H$54-30)/30*H396,IF(Input!H$54&lt;91,(Input!H$54-60)/30*H396,IF(Input!H$54&lt;121,(Input!H$54-90)/30*H396,IF(Input!H$54&lt;151,(Input!H$54-120)/30*H396,(Input!H$54-150)/30*H396)))))),0)</f>
        <v>0</v>
      </c>
      <c r="I1038" s="229">
        <f>IF(Years="Five",IF(I$338&gt;$D$33,0,IF(Input!I$54&lt;31,Input!I$54/30*I396,IF(Input!I$54&lt;61,(Input!I$54-30)/30*I396,IF(Input!I$54&lt;91,(Input!I$54-60)/30*I396,IF(Input!I$54&lt;121,(Input!I$54-90)/30*I396,IF(Input!I$54&lt;151,(Input!I$54-120)/30*I396,(Input!I$54-150)/30*I396)))))),0)</f>
        <v>0</v>
      </c>
      <c r="J1038" s="229">
        <f>IF(Years="Five",IF(J$338&gt;$D$33,0,IF(Input!J$54&lt;31,Input!J$54/30*J396,IF(Input!J$54&lt;61,(Input!J$54-30)/30*J396,IF(Input!J$54&lt;91,(Input!J$54-60)/30*J396,IF(Input!J$54&lt;121,(Input!J$54-90)/30*J396,IF(Input!J$54&lt;151,(Input!J$54-120)/30*J396,(Input!J$54-150)/30*J396)))))),0)</f>
        <v>0</v>
      </c>
      <c r="K1038" s="229">
        <f>IF(Years="Five",IF(K$338&gt;$D$33,0,IF(Input!K$54&lt;31,Input!K$54/30*K396,IF(Input!K$54&lt;61,(Input!K$54-30)/30*K396,IF(Input!K$54&lt;91,(Input!K$54-60)/30*K396,IF(Input!K$54&lt;121,(Input!K$54-90)/30*K396,IF(Input!K$54&lt;151,(Input!K$54-120)/30*K396,(Input!K$54-150)/30*K396)))))),0)</f>
        <v>0</v>
      </c>
      <c r="L1038" s="229">
        <f>IF(Years="Five",IF(L$338&gt;$D$33,0,IF(Input!L$54&lt;31,Input!L$54/30*L396,IF(Input!L$54&lt;61,(Input!L$54-30)/30*L396,IF(Input!L$54&lt;91,(Input!L$54-60)/30*L396,IF(Input!L$54&lt;121,(Input!L$54-90)/30*L396,IF(Input!L$54&lt;151,(Input!L$54-120)/30*L396,(Input!L$54-150)/30*L396)))))),0)</f>
        <v>0</v>
      </c>
      <c r="M1038" s="229">
        <f>IF(Years="Five",IF(M$338&gt;$D$33,0,IF(Input!M$54&lt;31,Input!M$54/30*M396,IF(Input!M$54&lt;61,(Input!M$54-30)/30*M396,IF(Input!M$54&lt;91,(Input!M$54-60)/30*M396,IF(Input!M$54&lt;121,(Input!M$54-90)/30*M396,IF(Input!M$54&lt;151,(Input!M$54-120)/30*M396,(Input!M$54-150)/30*M396)))))),0)</f>
        <v>0</v>
      </c>
      <c r="N1038" s="229">
        <f>IF(Years="Five",IF(N$338&gt;$D$33,0,IF(Input!N$54&lt;31,Input!N$54/30*N396,IF(Input!N$54&lt;61,(Input!N$54-30)/30*N396,IF(Input!N$54&lt;91,(Input!N$54-60)/30*N396,IF(Input!N$54&lt;121,(Input!N$54-90)/30*N396,IF(Input!N$54&lt;151,(Input!N$54-120)/30*N396,(Input!N$54-150)/30*N396)))))),0)</f>
        <v>0</v>
      </c>
      <c r="O1038" s="229">
        <f>IF(Years="Five",IF(O$338&gt;$D$33,0,IF(Input!O$54&lt;31,Input!O$54/30*O396,IF(Input!O$54&lt;61,(Input!O$54-30)/30*O396,IF(Input!O$54&lt;91,(Input!O$54-60)/30*O396,IF(Input!O$54&lt;121,(Input!O$54-90)/30*O396,IF(Input!O$54&lt;151,(Input!O$54-120)/30*O396,(Input!O$54-150)/30*O396)))))),0)</f>
        <v>0</v>
      </c>
      <c r="P1038" s="229">
        <f>IF(Years="Five",IF(P$338&gt;$D$33,0,IF(Input!P$54&lt;31,Input!P$54/30*P396,IF(Input!P$54&lt;61,(Input!P$54-30)/30*P396,IF(Input!P$54&lt;91,(Input!P$54-60)/30*P396,IF(Input!P$54&lt;121,(Input!P$54-90)/30*P396,IF(Input!P$54&lt;151,(Input!P$54-120)/30*P396,(Input!P$54-150)/30*P396)))))),0)</f>
        <v>0</v>
      </c>
      <c r="Q1038" s="229">
        <f>IF(Years="Five",IF(Q$338&gt;$D$33,0,IF(Input!Q$54&lt;31,Input!Q$54/30*Q396,IF(Input!Q$54&lt;61,(Input!Q$54-30)/30*Q396,IF(Input!Q$54&lt;91,(Input!Q$54-60)/30*Q396,IF(Input!Q$54&lt;121,(Input!Q$54-90)/30*Q396,IF(Input!Q$54&lt;151,(Input!Q$54-120)/30*Q396,(Input!Q$54-150)/30*Q396)))))),0)</f>
        <v>0</v>
      </c>
      <c r="R1038" s="229">
        <f>IF(Years="Five",IF(R$338&gt;$D$33,0,IF(Input!R$54&lt;31,Input!R$54/30*R396,IF(Input!R$54&lt;61,(Input!R$54-30)/30*R396,IF(Input!R$54&lt;91,(Input!R$54-60)/30*R396,IF(Input!R$54&lt;121,(Input!R$54-90)/30*R396,IF(Input!R$54&lt;151,(Input!R$54-120)/30*R396,(Input!R$54-150)/30*R396)))))),0)</f>
        <v>0</v>
      </c>
      <c r="S1038" s="229">
        <f>IF(Years="Five",IF(S$338&gt;$D$33,0,IF(Input!S$54&lt;31,Input!S$54/30*S396,IF(Input!S$54&lt;61,(Input!S$54-30)/30*S396,IF(Input!S$54&lt;91,(Input!S$54-60)/30*S396,IF(Input!S$54&lt;121,(Input!S$54-90)/30*S396,IF(Input!S$54&lt;151,(Input!S$54-120)/30*S396,(Input!S$54-150)/30*S396)))))),0)</f>
        <v>0</v>
      </c>
      <c r="T1038" s="229">
        <f>IF(Years="Five",IF(T$338&gt;$D$33,0,IF(Input!T$54&lt;31,Input!T$54/30*T396,IF(Input!T$54&lt;61,(Input!T$54-30)/30*T396,IF(Input!T$54&lt;91,(Input!T$54-60)/30*T396,IF(Input!T$54&lt;121,(Input!T$54-90)/30*T396,IF(Input!T$54&lt;151,(Input!T$54-120)/30*T396,(Input!T$54-150)/30*T396)))))),0)</f>
        <v>0</v>
      </c>
      <c r="U1038" s="229">
        <f>IF(Years="Five",IF(U$338&gt;$D$33,0,IF(Input!U$54&lt;31,Input!U$54/30*U396,IF(Input!U$54&lt;61,(Input!U$54-30)/30*U396,IF(Input!U$54&lt;91,(Input!U$54-60)/30*U396,IF(Input!U$54&lt;121,(Input!U$54-90)/30*U396,IF(Input!U$54&lt;151,(Input!U$54-120)/30*U396,(Input!U$54-150)/30*U396)))))),0)</f>
        <v>0</v>
      </c>
      <c r="V1038" s="229">
        <f>IF(Years="Five",IF(V$338&gt;$D$33,0,IF(Input!V$54&lt;31,Input!V$54/30*V396,IF(Input!V$54&lt;61,(Input!V$54-30)/30*V396,IF(Input!V$54&lt;91,(Input!V$54-60)/30*V396,IF(Input!V$54&lt;121,(Input!V$54-90)/30*V396,IF(Input!V$54&lt;151,(Input!V$54-120)/30*V396,(Input!V$54-150)/30*V396)))))),0)</f>
        <v>0</v>
      </c>
      <c r="W1038" s="229">
        <f>IF(Years="Five",IF(W$338&gt;$D$33,0,IF(Input!W$54&lt;31,Input!W$54/30*W396,IF(Input!W$54&lt;61,(Input!W$54-30)/30*W396,IF(Input!W$54&lt;91,(Input!W$54-60)/30*W396,IF(Input!W$54&lt;121,(Input!W$54-90)/30*W396,IF(Input!W$54&lt;151,(Input!W$54-120)/30*W396,(Input!W$54-150)/30*W396)))))),0)</f>
        <v>0</v>
      </c>
      <c r="X1038" s="229">
        <f>IF(Years="Five",IF(X$338&gt;$D$33,0,IF(Input!X$54&lt;31,Input!X$54/30*X396,IF(Input!X$54&lt;61,(Input!X$54-30)/30*X396,IF(Input!X$54&lt;91,(Input!X$54-60)/30*X396,IF(Input!X$54&lt;121,(Input!X$54-90)/30*X396,IF(Input!X$54&lt;151,(Input!X$54-120)/30*X396,(Input!X$54-150)/30*X396)))))),0)</f>
        <v>0</v>
      </c>
      <c r="Y1038" s="229">
        <f>IF(Years="Five",IF(Y$338&gt;$D$33,0,IF(Input!Y$54&lt;31,Input!Y$54/30*Y396,IF(Input!Y$54&lt;61,(Input!Y$54-30)/30*Y396,IF(Input!Y$54&lt;91,(Input!Y$54-60)/30*Y396,IF(Input!Y$54&lt;121,(Input!Y$54-90)/30*Y396,IF(Input!Y$54&lt;151,(Input!Y$54-120)/30*Y396,(Input!Y$54-150)/30*Y396)))))),0)</f>
        <v>0</v>
      </c>
      <c r="Z1038" s="229">
        <f>IF(Years="Five",IF(Z$338&gt;$D$33,0,IF(Input!Z$54&lt;31,Input!Z$54/30*Z396,IF(Input!Z$54&lt;61,(Input!Z$54-30)/30*Z396,IF(Input!Z$54&lt;91,(Input!Z$54-60)/30*Z396,IF(Input!Z$54&lt;121,(Input!Z$54-90)/30*Z396,IF(Input!Z$54&lt;151,(Input!Z$54-120)/30*Z396,(Input!Z$54-150)/30*Z396)))))),0)</f>
        <v>0</v>
      </c>
      <c r="AA1038" s="229">
        <f>IF(Years="Five",IF(AA$338&gt;$D$33,0,IF(Input!AA$54&lt;31,Input!AA$54/30*AA396,IF(Input!AA$54&lt;61,(Input!AA$54-30)/30*AA396,IF(Input!AA$54&lt;91,(Input!AA$54-60)/30*AA396,IF(Input!AA$54&lt;121,(Input!AA$54-90)/30*AA396,IF(Input!AA$54&lt;151,(Input!AA$54-120)/30*AA396,(Input!AA$54-150)/30*AA396)))))),0)</f>
        <v>0</v>
      </c>
      <c r="AB1038" s="298">
        <f>IF(Years="Five",IF(AB$338&gt;$D$33,0,IF(Input!AB$54&lt;31,Input!AB$54/30*AB396,IF(Input!AB$54&lt;61,(Input!AB$54-30)/30*AB396,IF(Input!AB$54&lt;91,(Input!AB$54-60)/30*AB396,IF(Input!AB$54&lt;121,(Input!AB$54-90)/30*AB396,IF(Input!AB$54&lt;151,(Input!AB$54-120)/30*AB396,(Input!AB$54-150)/30*AB396)))))),0)</f>
        <v>0</v>
      </c>
      <c r="CH1038" s="269"/>
      <c r="CI1038" s="269"/>
      <c r="CJ1038" s="269"/>
      <c r="CK1038" s="269"/>
      <c r="CL1038" s="269"/>
      <c r="CM1038" s="269"/>
      <c r="CN1038" s="269"/>
      <c r="CO1038" s="269"/>
      <c r="CP1038" s="269"/>
      <c r="CQ1038" s="269"/>
      <c r="CR1038" s="269"/>
      <c r="CS1038" s="269"/>
    </row>
    <row r="1039" spans="3:97" x14ac:dyDescent="0.3">
      <c r="C1039" s="638">
        <f>C976</f>
        <v>1766</v>
      </c>
      <c r="D1039" s="297">
        <f>IF(Years="Five",IF(D$338&gt;$D$33,0,IF(Input!D$54&lt;31,Input!D$54/30*D397,IF(Input!D$54&lt;61,(Input!D$54-30)/30*D397,IF(Input!D$54&lt;91,(Input!D$54-60)/30*D397,IF(Input!D$54&lt;121,(Input!D$54-90)/30*D397,IF(Input!D$54&lt;151,(Input!D$54-120)/30*D397,(Input!D$54-150)/30*D397)))))),0)</f>
        <v>0</v>
      </c>
      <c r="E1039" s="229">
        <f>IF(Years="Five",IF(E$338&gt;$D$33,0,IF(Input!E$54&lt;31,Input!E$54/30*E397,IF(Input!E$54&lt;61,(Input!E$54-30)/30*E397,IF(Input!E$54&lt;91,(Input!E$54-60)/30*E397,IF(Input!E$54&lt;121,(Input!E$54-90)/30*E397,IF(Input!E$54&lt;151,(Input!E$54-120)/30*E397,(Input!E$54-150)/30*E397)))))),0)</f>
        <v>0</v>
      </c>
      <c r="F1039" s="229">
        <f>IF(Years="Five",IF(F$338&gt;$D$33,0,IF(Input!F$54&lt;31,Input!F$54/30*F397,IF(Input!F$54&lt;61,(Input!F$54-30)/30*F397,IF(Input!F$54&lt;91,(Input!F$54-60)/30*F397,IF(Input!F$54&lt;121,(Input!F$54-90)/30*F397,IF(Input!F$54&lt;151,(Input!F$54-120)/30*F397,(Input!F$54-150)/30*F397)))))),0)</f>
        <v>0</v>
      </c>
      <c r="G1039" s="229">
        <f>IF(Years="Five",IF(G$338&gt;$D$33,0,IF(Input!G$54&lt;31,Input!G$54/30*G397,IF(Input!G$54&lt;61,(Input!G$54-30)/30*G397,IF(Input!G$54&lt;91,(Input!G$54-60)/30*G397,IF(Input!G$54&lt;121,(Input!G$54-90)/30*G397,IF(Input!G$54&lt;151,(Input!G$54-120)/30*G397,(Input!G$54-150)/30*G397)))))),0)</f>
        <v>0</v>
      </c>
      <c r="H1039" s="229">
        <f>IF(Years="Five",IF(H$338&gt;$D$33,0,IF(Input!H$54&lt;31,Input!H$54/30*H397,IF(Input!H$54&lt;61,(Input!H$54-30)/30*H397,IF(Input!H$54&lt;91,(Input!H$54-60)/30*H397,IF(Input!H$54&lt;121,(Input!H$54-90)/30*H397,IF(Input!H$54&lt;151,(Input!H$54-120)/30*H397,(Input!H$54-150)/30*H397)))))),0)</f>
        <v>0</v>
      </c>
      <c r="I1039" s="229">
        <f>IF(Years="Five",IF(I$338&gt;$D$33,0,IF(Input!I$54&lt;31,Input!I$54/30*I397,IF(Input!I$54&lt;61,(Input!I$54-30)/30*I397,IF(Input!I$54&lt;91,(Input!I$54-60)/30*I397,IF(Input!I$54&lt;121,(Input!I$54-90)/30*I397,IF(Input!I$54&lt;151,(Input!I$54-120)/30*I397,(Input!I$54-150)/30*I397)))))),0)</f>
        <v>0</v>
      </c>
      <c r="J1039" s="229">
        <f>IF(Years="Five",IF(J$338&gt;$D$33,0,IF(Input!J$54&lt;31,Input!J$54/30*J397,IF(Input!J$54&lt;61,(Input!J$54-30)/30*J397,IF(Input!J$54&lt;91,(Input!J$54-60)/30*J397,IF(Input!J$54&lt;121,(Input!J$54-90)/30*J397,IF(Input!J$54&lt;151,(Input!J$54-120)/30*J397,(Input!J$54-150)/30*J397)))))),0)</f>
        <v>0</v>
      </c>
      <c r="K1039" s="229">
        <f>IF(Years="Five",IF(K$338&gt;$D$33,0,IF(Input!K$54&lt;31,Input!K$54/30*K397,IF(Input!K$54&lt;61,(Input!K$54-30)/30*K397,IF(Input!K$54&lt;91,(Input!K$54-60)/30*K397,IF(Input!K$54&lt;121,(Input!K$54-90)/30*K397,IF(Input!K$54&lt;151,(Input!K$54-120)/30*K397,(Input!K$54-150)/30*K397)))))),0)</f>
        <v>0</v>
      </c>
      <c r="L1039" s="229">
        <f>IF(Years="Five",IF(L$338&gt;$D$33,0,IF(Input!L$54&lt;31,Input!L$54/30*L397,IF(Input!L$54&lt;61,(Input!L$54-30)/30*L397,IF(Input!L$54&lt;91,(Input!L$54-60)/30*L397,IF(Input!L$54&lt;121,(Input!L$54-90)/30*L397,IF(Input!L$54&lt;151,(Input!L$54-120)/30*L397,(Input!L$54-150)/30*L397)))))),0)</f>
        <v>0</v>
      </c>
      <c r="M1039" s="229">
        <f>IF(Years="Five",IF(M$338&gt;$D$33,0,IF(Input!M$54&lt;31,Input!M$54/30*M397,IF(Input!M$54&lt;61,(Input!M$54-30)/30*M397,IF(Input!M$54&lt;91,(Input!M$54-60)/30*M397,IF(Input!M$54&lt;121,(Input!M$54-90)/30*M397,IF(Input!M$54&lt;151,(Input!M$54-120)/30*M397,(Input!M$54-150)/30*M397)))))),0)</f>
        <v>0</v>
      </c>
      <c r="N1039" s="229">
        <f>IF(Years="Five",IF(N$338&gt;$D$33,0,IF(Input!N$54&lt;31,Input!N$54/30*N397,IF(Input!N$54&lt;61,(Input!N$54-30)/30*N397,IF(Input!N$54&lt;91,(Input!N$54-60)/30*N397,IF(Input!N$54&lt;121,(Input!N$54-90)/30*N397,IF(Input!N$54&lt;151,(Input!N$54-120)/30*N397,(Input!N$54-150)/30*N397)))))),0)</f>
        <v>0</v>
      </c>
      <c r="O1039" s="229">
        <f>IF(Years="Five",IF(O$338&gt;$D$33,0,IF(Input!O$54&lt;31,Input!O$54/30*O397,IF(Input!O$54&lt;61,(Input!O$54-30)/30*O397,IF(Input!O$54&lt;91,(Input!O$54-60)/30*O397,IF(Input!O$54&lt;121,(Input!O$54-90)/30*O397,IF(Input!O$54&lt;151,(Input!O$54-120)/30*O397,(Input!O$54-150)/30*O397)))))),0)</f>
        <v>0</v>
      </c>
      <c r="P1039" s="229">
        <f>IF(Years="Five",IF(P$338&gt;$D$33,0,IF(Input!P$54&lt;31,Input!P$54/30*P397,IF(Input!P$54&lt;61,(Input!P$54-30)/30*P397,IF(Input!P$54&lt;91,(Input!P$54-60)/30*P397,IF(Input!P$54&lt;121,(Input!P$54-90)/30*P397,IF(Input!P$54&lt;151,(Input!P$54-120)/30*P397,(Input!P$54-150)/30*P397)))))),0)</f>
        <v>0</v>
      </c>
      <c r="Q1039" s="229">
        <f>IF(Years="Five",IF(Q$338&gt;$D$33,0,IF(Input!Q$54&lt;31,Input!Q$54/30*Q397,IF(Input!Q$54&lt;61,(Input!Q$54-30)/30*Q397,IF(Input!Q$54&lt;91,(Input!Q$54-60)/30*Q397,IF(Input!Q$54&lt;121,(Input!Q$54-90)/30*Q397,IF(Input!Q$54&lt;151,(Input!Q$54-120)/30*Q397,(Input!Q$54-150)/30*Q397)))))),0)</f>
        <v>0</v>
      </c>
      <c r="R1039" s="229">
        <f>IF(Years="Five",IF(R$338&gt;$D$33,0,IF(Input!R$54&lt;31,Input!R$54/30*R397,IF(Input!R$54&lt;61,(Input!R$54-30)/30*R397,IF(Input!R$54&lt;91,(Input!R$54-60)/30*R397,IF(Input!R$54&lt;121,(Input!R$54-90)/30*R397,IF(Input!R$54&lt;151,(Input!R$54-120)/30*R397,(Input!R$54-150)/30*R397)))))),0)</f>
        <v>0</v>
      </c>
      <c r="S1039" s="229">
        <f>IF(Years="Five",IF(S$338&gt;$D$33,0,IF(Input!S$54&lt;31,Input!S$54/30*S397,IF(Input!S$54&lt;61,(Input!S$54-30)/30*S397,IF(Input!S$54&lt;91,(Input!S$54-60)/30*S397,IF(Input!S$54&lt;121,(Input!S$54-90)/30*S397,IF(Input!S$54&lt;151,(Input!S$54-120)/30*S397,(Input!S$54-150)/30*S397)))))),0)</f>
        <v>0</v>
      </c>
      <c r="T1039" s="229">
        <f>IF(Years="Five",IF(T$338&gt;$D$33,0,IF(Input!T$54&lt;31,Input!T$54/30*T397,IF(Input!T$54&lt;61,(Input!T$54-30)/30*T397,IF(Input!T$54&lt;91,(Input!T$54-60)/30*T397,IF(Input!T$54&lt;121,(Input!T$54-90)/30*T397,IF(Input!T$54&lt;151,(Input!T$54-120)/30*T397,(Input!T$54-150)/30*T397)))))),0)</f>
        <v>0</v>
      </c>
      <c r="U1039" s="229">
        <f>IF(Years="Five",IF(U$338&gt;$D$33,0,IF(Input!U$54&lt;31,Input!U$54/30*U397,IF(Input!U$54&lt;61,(Input!U$54-30)/30*U397,IF(Input!U$54&lt;91,(Input!U$54-60)/30*U397,IF(Input!U$54&lt;121,(Input!U$54-90)/30*U397,IF(Input!U$54&lt;151,(Input!U$54-120)/30*U397,(Input!U$54-150)/30*U397)))))),0)</f>
        <v>0</v>
      </c>
      <c r="V1039" s="229">
        <f>IF(Years="Five",IF(V$338&gt;$D$33,0,IF(Input!V$54&lt;31,Input!V$54/30*V397,IF(Input!V$54&lt;61,(Input!V$54-30)/30*V397,IF(Input!V$54&lt;91,(Input!V$54-60)/30*V397,IF(Input!V$54&lt;121,(Input!V$54-90)/30*V397,IF(Input!V$54&lt;151,(Input!V$54-120)/30*V397,(Input!V$54-150)/30*V397)))))),0)</f>
        <v>0</v>
      </c>
      <c r="W1039" s="229">
        <f>IF(Years="Five",IF(W$338&gt;$D$33,0,IF(Input!W$54&lt;31,Input!W$54/30*W397,IF(Input!W$54&lt;61,(Input!W$54-30)/30*W397,IF(Input!W$54&lt;91,(Input!W$54-60)/30*W397,IF(Input!W$54&lt;121,(Input!W$54-90)/30*W397,IF(Input!W$54&lt;151,(Input!W$54-120)/30*W397,(Input!W$54-150)/30*W397)))))),0)</f>
        <v>0</v>
      </c>
      <c r="X1039" s="229">
        <f>IF(Years="Five",IF(X$338&gt;$D$33,0,IF(Input!X$54&lt;31,Input!X$54/30*X397,IF(Input!X$54&lt;61,(Input!X$54-30)/30*X397,IF(Input!X$54&lt;91,(Input!X$54-60)/30*X397,IF(Input!X$54&lt;121,(Input!X$54-90)/30*X397,IF(Input!X$54&lt;151,(Input!X$54-120)/30*X397,(Input!X$54-150)/30*X397)))))),0)</f>
        <v>0</v>
      </c>
      <c r="Y1039" s="229">
        <f>IF(Years="Five",IF(Y$338&gt;$D$33,0,IF(Input!Y$54&lt;31,Input!Y$54/30*Y397,IF(Input!Y$54&lt;61,(Input!Y$54-30)/30*Y397,IF(Input!Y$54&lt;91,(Input!Y$54-60)/30*Y397,IF(Input!Y$54&lt;121,(Input!Y$54-90)/30*Y397,IF(Input!Y$54&lt;151,(Input!Y$54-120)/30*Y397,(Input!Y$54-150)/30*Y397)))))),0)</f>
        <v>0</v>
      </c>
      <c r="Z1039" s="229">
        <f>IF(Years="Five",IF(Z$338&gt;$D$33,0,IF(Input!Z$54&lt;31,Input!Z$54/30*Z397,IF(Input!Z$54&lt;61,(Input!Z$54-30)/30*Z397,IF(Input!Z$54&lt;91,(Input!Z$54-60)/30*Z397,IF(Input!Z$54&lt;121,(Input!Z$54-90)/30*Z397,IF(Input!Z$54&lt;151,(Input!Z$54-120)/30*Z397,(Input!Z$54-150)/30*Z397)))))),0)</f>
        <v>0</v>
      </c>
      <c r="AA1039" s="229">
        <f>IF(Years="Five",IF(AA$338&gt;$D$33,0,IF(Input!AA$54&lt;31,Input!AA$54/30*AA397,IF(Input!AA$54&lt;61,(Input!AA$54-30)/30*AA397,IF(Input!AA$54&lt;91,(Input!AA$54-60)/30*AA397,IF(Input!AA$54&lt;121,(Input!AA$54-90)/30*AA397,IF(Input!AA$54&lt;151,(Input!AA$54-120)/30*AA397,(Input!AA$54-150)/30*AA397)))))),0)</f>
        <v>0</v>
      </c>
      <c r="AB1039" s="298">
        <f>IF(Years="Five",IF(AB$338&gt;$D$33,0,IF(Input!AB$54&lt;31,Input!AB$54/30*AB397,IF(Input!AB$54&lt;61,(Input!AB$54-30)/30*AB397,IF(Input!AB$54&lt;91,(Input!AB$54-60)/30*AB397,IF(Input!AB$54&lt;121,(Input!AB$54-90)/30*AB397,IF(Input!AB$54&lt;151,(Input!AB$54-120)/30*AB397,(Input!AB$54-150)/30*AB397)))))),0)</f>
        <v>0</v>
      </c>
      <c r="CH1039" s="269"/>
      <c r="CI1039" s="269"/>
      <c r="CJ1039" s="269"/>
      <c r="CK1039" s="269"/>
      <c r="CL1039" s="269"/>
      <c r="CM1039" s="269"/>
      <c r="CN1039" s="269"/>
      <c r="CO1039" s="269"/>
      <c r="CP1039" s="269"/>
      <c r="CQ1039" s="269"/>
      <c r="CR1039" s="269"/>
      <c r="CS1039" s="269"/>
    </row>
    <row r="1040" spans="3:97" x14ac:dyDescent="0.3">
      <c r="C1040" s="638">
        <f>C977</f>
        <v>1796</v>
      </c>
      <c r="D1040" s="297">
        <f>IF(Years="Five",IF(D$338&gt;$D$33,0,IF(Input!D$54&lt;31,Input!D$54/30*D398,IF(Input!D$54&lt;61,(Input!D$54-30)/30*D398,IF(Input!D$54&lt;91,(Input!D$54-60)/30*D398,IF(Input!D$54&lt;121,(Input!D$54-90)/30*D398,IF(Input!D$54&lt;151,(Input!D$54-120)/30*D398,(Input!D$54-150)/30*D398)))))),0)</f>
        <v>0</v>
      </c>
      <c r="E1040" s="229">
        <f>IF(Years="Five",IF(E$338&gt;$D$33,0,IF(Input!E$54&lt;31,Input!E$54/30*E398,IF(Input!E$54&lt;61,(Input!E$54-30)/30*E398,IF(Input!E$54&lt;91,(Input!E$54-60)/30*E398,IF(Input!E$54&lt;121,(Input!E$54-90)/30*E398,IF(Input!E$54&lt;151,(Input!E$54-120)/30*E398,(Input!E$54-150)/30*E398)))))),0)</f>
        <v>0</v>
      </c>
      <c r="F1040" s="229">
        <f>IF(Years="Five",IF(F$338&gt;$D$33,0,IF(Input!F$54&lt;31,Input!F$54/30*F398,IF(Input!F$54&lt;61,(Input!F$54-30)/30*F398,IF(Input!F$54&lt;91,(Input!F$54-60)/30*F398,IF(Input!F$54&lt;121,(Input!F$54-90)/30*F398,IF(Input!F$54&lt;151,(Input!F$54-120)/30*F398,(Input!F$54-150)/30*F398)))))),0)</f>
        <v>0</v>
      </c>
      <c r="G1040" s="229">
        <f>IF(Years="Five",IF(G$338&gt;$D$33,0,IF(Input!G$54&lt;31,Input!G$54/30*G398,IF(Input!G$54&lt;61,(Input!G$54-30)/30*G398,IF(Input!G$54&lt;91,(Input!G$54-60)/30*G398,IF(Input!G$54&lt;121,(Input!G$54-90)/30*G398,IF(Input!G$54&lt;151,(Input!G$54-120)/30*G398,(Input!G$54-150)/30*G398)))))),0)</f>
        <v>0</v>
      </c>
      <c r="H1040" s="229">
        <f>IF(Years="Five",IF(H$338&gt;$D$33,0,IF(Input!H$54&lt;31,Input!H$54/30*H398,IF(Input!H$54&lt;61,(Input!H$54-30)/30*H398,IF(Input!H$54&lt;91,(Input!H$54-60)/30*H398,IF(Input!H$54&lt;121,(Input!H$54-90)/30*H398,IF(Input!H$54&lt;151,(Input!H$54-120)/30*H398,(Input!H$54-150)/30*H398)))))),0)</f>
        <v>0</v>
      </c>
      <c r="I1040" s="229">
        <f>IF(Years="Five",IF(I$338&gt;$D$33,0,IF(Input!I$54&lt;31,Input!I$54/30*I398,IF(Input!I$54&lt;61,(Input!I$54-30)/30*I398,IF(Input!I$54&lt;91,(Input!I$54-60)/30*I398,IF(Input!I$54&lt;121,(Input!I$54-90)/30*I398,IF(Input!I$54&lt;151,(Input!I$54-120)/30*I398,(Input!I$54-150)/30*I398)))))),0)</f>
        <v>0</v>
      </c>
      <c r="J1040" s="229">
        <f>IF(Years="Five",IF(J$338&gt;$D$33,0,IF(Input!J$54&lt;31,Input!J$54/30*J398,IF(Input!J$54&lt;61,(Input!J$54-30)/30*J398,IF(Input!J$54&lt;91,(Input!J$54-60)/30*J398,IF(Input!J$54&lt;121,(Input!J$54-90)/30*J398,IF(Input!J$54&lt;151,(Input!J$54-120)/30*J398,(Input!J$54-150)/30*J398)))))),0)</f>
        <v>0</v>
      </c>
      <c r="K1040" s="229">
        <f>IF(Years="Five",IF(K$338&gt;$D$33,0,IF(Input!K$54&lt;31,Input!K$54/30*K398,IF(Input!K$54&lt;61,(Input!K$54-30)/30*K398,IF(Input!K$54&lt;91,(Input!K$54-60)/30*K398,IF(Input!K$54&lt;121,(Input!K$54-90)/30*K398,IF(Input!K$54&lt;151,(Input!K$54-120)/30*K398,(Input!K$54-150)/30*K398)))))),0)</f>
        <v>0</v>
      </c>
      <c r="L1040" s="229">
        <f>IF(Years="Five",IF(L$338&gt;$D$33,0,IF(Input!L$54&lt;31,Input!L$54/30*L398,IF(Input!L$54&lt;61,(Input!L$54-30)/30*L398,IF(Input!L$54&lt;91,(Input!L$54-60)/30*L398,IF(Input!L$54&lt;121,(Input!L$54-90)/30*L398,IF(Input!L$54&lt;151,(Input!L$54-120)/30*L398,(Input!L$54-150)/30*L398)))))),0)</f>
        <v>0</v>
      </c>
      <c r="M1040" s="229">
        <f>IF(Years="Five",IF(M$338&gt;$D$33,0,IF(Input!M$54&lt;31,Input!M$54/30*M398,IF(Input!M$54&lt;61,(Input!M$54-30)/30*M398,IF(Input!M$54&lt;91,(Input!M$54-60)/30*M398,IF(Input!M$54&lt;121,(Input!M$54-90)/30*M398,IF(Input!M$54&lt;151,(Input!M$54-120)/30*M398,(Input!M$54-150)/30*M398)))))),0)</f>
        <v>0</v>
      </c>
      <c r="N1040" s="229">
        <f>IF(Years="Five",IF(N$338&gt;$D$33,0,IF(Input!N$54&lt;31,Input!N$54/30*N398,IF(Input!N$54&lt;61,(Input!N$54-30)/30*N398,IF(Input!N$54&lt;91,(Input!N$54-60)/30*N398,IF(Input!N$54&lt;121,(Input!N$54-90)/30*N398,IF(Input!N$54&lt;151,(Input!N$54-120)/30*N398,(Input!N$54-150)/30*N398)))))),0)</f>
        <v>0</v>
      </c>
      <c r="O1040" s="229">
        <f>IF(Years="Five",IF(O$338&gt;$D$33,0,IF(Input!O$54&lt;31,Input!O$54/30*O398,IF(Input!O$54&lt;61,(Input!O$54-30)/30*O398,IF(Input!O$54&lt;91,(Input!O$54-60)/30*O398,IF(Input!O$54&lt;121,(Input!O$54-90)/30*O398,IF(Input!O$54&lt;151,(Input!O$54-120)/30*O398,(Input!O$54-150)/30*O398)))))),0)</f>
        <v>0</v>
      </c>
      <c r="P1040" s="229">
        <f>IF(Years="Five",IF(P$338&gt;$D$33,0,IF(Input!P$54&lt;31,Input!P$54/30*P398,IF(Input!P$54&lt;61,(Input!P$54-30)/30*P398,IF(Input!P$54&lt;91,(Input!P$54-60)/30*P398,IF(Input!P$54&lt;121,(Input!P$54-90)/30*P398,IF(Input!P$54&lt;151,(Input!P$54-120)/30*P398,(Input!P$54-150)/30*P398)))))),0)</f>
        <v>0</v>
      </c>
      <c r="Q1040" s="229">
        <f>IF(Years="Five",IF(Q$338&gt;$D$33,0,IF(Input!Q$54&lt;31,Input!Q$54/30*Q398,IF(Input!Q$54&lt;61,(Input!Q$54-30)/30*Q398,IF(Input!Q$54&lt;91,(Input!Q$54-60)/30*Q398,IF(Input!Q$54&lt;121,(Input!Q$54-90)/30*Q398,IF(Input!Q$54&lt;151,(Input!Q$54-120)/30*Q398,(Input!Q$54-150)/30*Q398)))))),0)</f>
        <v>0</v>
      </c>
      <c r="R1040" s="229">
        <f>IF(Years="Five",IF(R$338&gt;$D$33,0,IF(Input!R$54&lt;31,Input!R$54/30*R398,IF(Input!R$54&lt;61,(Input!R$54-30)/30*R398,IF(Input!R$54&lt;91,(Input!R$54-60)/30*R398,IF(Input!R$54&lt;121,(Input!R$54-90)/30*R398,IF(Input!R$54&lt;151,(Input!R$54-120)/30*R398,(Input!R$54-150)/30*R398)))))),0)</f>
        <v>0</v>
      </c>
      <c r="S1040" s="229">
        <f>IF(Years="Five",IF(S$338&gt;$D$33,0,IF(Input!S$54&lt;31,Input!S$54/30*S398,IF(Input!S$54&lt;61,(Input!S$54-30)/30*S398,IF(Input!S$54&lt;91,(Input!S$54-60)/30*S398,IF(Input!S$54&lt;121,(Input!S$54-90)/30*S398,IF(Input!S$54&lt;151,(Input!S$54-120)/30*S398,(Input!S$54-150)/30*S398)))))),0)</f>
        <v>0</v>
      </c>
      <c r="T1040" s="229">
        <f>IF(Years="Five",IF(T$338&gt;$D$33,0,IF(Input!T$54&lt;31,Input!T$54/30*T398,IF(Input!T$54&lt;61,(Input!T$54-30)/30*T398,IF(Input!T$54&lt;91,(Input!T$54-60)/30*T398,IF(Input!T$54&lt;121,(Input!T$54-90)/30*T398,IF(Input!T$54&lt;151,(Input!T$54-120)/30*T398,(Input!T$54-150)/30*T398)))))),0)</f>
        <v>0</v>
      </c>
      <c r="U1040" s="229">
        <f>IF(Years="Five",IF(U$338&gt;$D$33,0,IF(Input!U$54&lt;31,Input!U$54/30*U398,IF(Input!U$54&lt;61,(Input!U$54-30)/30*U398,IF(Input!U$54&lt;91,(Input!U$54-60)/30*U398,IF(Input!U$54&lt;121,(Input!U$54-90)/30*U398,IF(Input!U$54&lt;151,(Input!U$54-120)/30*U398,(Input!U$54-150)/30*U398)))))),0)</f>
        <v>0</v>
      </c>
      <c r="V1040" s="229">
        <f>IF(Years="Five",IF(V$338&gt;$D$33,0,IF(Input!V$54&lt;31,Input!V$54/30*V398,IF(Input!V$54&lt;61,(Input!V$54-30)/30*V398,IF(Input!V$54&lt;91,(Input!V$54-60)/30*V398,IF(Input!V$54&lt;121,(Input!V$54-90)/30*V398,IF(Input!V$54&lt;151,(Input!V$54-120)/30*V398,(Input!V$54-150)/30*V398)))))),0)</f>
        <v>0</v>
      </c>
      <c r="W1040" s="229">
        <f>IF(Years="Five",IF(W$338&gt;$D$33,0,IF(Input!W$54&lt;31,Input!W$54/30*W398,IF(Input!W$54&lt;61,(Input!W$54-30)/30*W398,IF(Input!W$54&lt;91,(Input!W$54-60)/30*W398,IF(Input!W$54&lt;121,(Input!W$54-90)/30*W398,IF(Input!W$54&lt;151,(Input!W$54-120)/30*W398,(Input!W$54-150)/30*W398)))))),0)</f>
        <v>0</v>
      </c>
      <c r="X1040" s="229">
        <f>IF(Years="Five",IF(X$338&gt;$D$33,0,IF(Input!X$54&lt;31,Input!X$54/30*X398,IF(Input!X$54&lt;61,(Input!X$54-30)/30*X398,IF(Input!X$54&lt;91,(Input!X$54-60)/30*X398,IF(Input!X$54&lt;121,(Input!X$54-90)/30*X398,IF(Input!X$54&lt;151,(Input!X$54-120)/30*X398,(Input!X$54-150)/30*X398)))))),0)</f>
        <v>0</v>
      </c>
      <c r="Y1040" s="229">
        <f>IF(Years="Five",IF(Y$338&gt;$D$33,0,IF(Input!Y$54&lt;31,Input!Y$54/30*Y398,IF(Input!Y$54&lt;61,(Input!Y$54-30)/30*Y398,IF(Input!Y$54&lt;91,(Input!Y$54-60)/30*Y398,IF(Input!Y$54&lt;121,(Input!Y$54-90)/30*Y398,IF(Input!Y$54&lt;151,(Input!Y$54-120)/30*Y398,(Input!Y$54-150)/30*Y398)))))),0)</f>
        <v>0</v>
      </c>
      <c r="Z1040" s="229">
        <f>IF(Years="Five",IF(Z$338&gt;$D$33,0,IF(Input!Z$54&lt;31,Input!Z$54/30*Z398,IF(Input!Z$54&lt;61,(Input!Z$54-30)/30*Z398,IF(Input!Z$54&lt;91,(Input!Z$54-60)/30*Z398,IF(Input!Z$54&lt;121,(Input!Z$54-90)/30*Z398,IF(Input!Z$54&lt;151,(Input!Z$54-120)/30*Z398,(Input!Z$54-150)/30*Z398)))))),0)</f>
        <v>0</v>
      </c>
      <c r="AA1040" s="229">
        <f>IF(Years="Five",IF(AA$338&gt;$D$33,0,IF(Input!AA$54&lt;31,Input!AA$54/30*AA398,IF(Input!AA$54&lt;61,(Input!AA$54-30)/30*AA398,IF(Input!AA$54&lt;91,(Input!AA$54-60)/30*AA398,IF(Input!AA$54&lt;121,(Input!AA$54-90)/30*AA398,IF(Input!AA$54&lt;151,(Input!AA$54-120)/30*AA398,(Input!AA$54-150)/30*AA398)))))),0)</f>
        <v>0</v>
      </c>
      <c r="AB1040" s="298">
        <f>IF(Years="Five",IF(AB$338&gt;$D$33,0,IF(Input!AB$54&lt;31,Input!AB$54/30*AB398,IF(Input!AB$54&lt;61,(Input!AB$54-30)/30*AB398,IF(Input!AB$54&lt;91,(Input!AB$54-60)/30*AB398,IF(Input!AB$54&lt;121,(Input!AB$54-90)/30*AB398,IF(Input!AB$54&lt;151,(Input!AB$54-120)/30*AB398,(Input!AB$54-150)/30*AB398)))))),0)</f>
        <v>0</v>
      </c>
      <c r="CH1040" s="269"/>
      <c r="CI1040" s="269"/>
      <c r="CJ1040" s="269"/>
      <c r="CK1040" s="269"/>
      <c r="CL1040" s="269"/>
      <c r="CM1040" s="269"/>
      <c r="CN1040" s="269"/>
      <c r="CO1040" s="269"/>
      <c r="CP1040" s="269"/>
      <c r="CQ1040" s="269"/>
      <c r="CR1040" s="269"/>
      <c r="CS1040" s="269"/>
    </row>
    <row r="1041" spans="2:97" ht="12.5" thickBot="1" x14ac:dyDescent="0.35">
      <c r="C1041" s="638">
        <f>C978</f>
        <v>1827</v>
      </c>
      <c r="D1041" s="301">
        <f>IF(Years="Five",IF(D$338&gt;$D$33,0,IF(Input!D$54&lt;31,Input!D$54/30*D399,IF(Input!D$54&lt;61,(Input!D$54-30)/30*D399,IF(Input!D$54&lt;91,(Input!D$54-60)/30*D399,IF(Input!D$54&lt;121,(Input!D$54-90)/30*D399,IF(Input!D$54&lt;151,(Input!D$54-120)/30*D399,(Input!D$54-150)/30*D399)))))),0)</f>
        <v>0</v>
      </c>
      <c r="E1041" s="302">
        <f>IF(Years="Five",IF(E$338&gt;$D$33,0,IF(Input!E$54&lt;31,Input!E$54/30*E399,IF(Input!E$54&lt;61,(Input!E$54-30)/30*E399,IF(Input!E$54&lt;91,(Input!E$54-60)/30*E399,IF(Input!E$54&lt;121,(Input!E$54-90)/30*E399,IF(Input!E$54&lt;151,(Input!E$54-120)/30*E399,(Input!E$54-150)/30*E399)))))),0)</f>
        <v>0</v>
      </c>
      <c r="F1041" s="302">
        <f>IF(Years="Five",IF(F$338&gt;$D$33,0,IF(Input!F$54&lt;31,Input!F$54/30*F399,IF(Input!F$54&lt;61,(Input!F$54-30)/30*F399,IF(Input!F$54&lt;91,(Input!F$54-60)/30*F399,IF(Input!F$54&lt;121,(Input!F$54-90)/30*F399,IF(Input!F$54&lt;151,(Input!F$54-120)/30*F399,(Input!F$54-150)/30*F399)))))),0)</f>
        <v>0</v>
      </c>
      <c r="G1041" s="302">
        <f>IF(Years="Five",IF(G$338&gt;$D$33,0,IF(Input!G$54&lt;31,Input!G$54/30*G399,IF(Input!G$54&lt;61,(Input!G$54-30)/30*G399,IF(Input!G$54&lt;91,(Input!G$54-60)/30*G399,IF(Input!G$54&lt;121,(Input!G$54-90)/30*G399,IF(Input!G$54&lt;151,(Input!G$54-120)/30*G399,(Input!G$54-150)/30*G399)))))),0)</f>
        <v>0</v>
      </c>
      <c r="H1041" s="302">
        <f>IF(Years="Five",IF(H$338&gt;$D$33,0,IF(Input!H$54&lt;31,Input!H$54/30*H399,IF(Input!H$54&lt;61,(Input!H$54-30)/30*H399,IF(Input!H$54&lt;91,(Input!H$54-60)/30*H399,IF(Input!H$54&lt;121,(Input!H$54-90)/30*H399,IF(Input!H$54&lt;151,(Input!H$54-120)/30*H399,(Input!H$54-150)/30*H399)))))),0)</f>
        <v>0</v>
      </c>
      <c r="I1041" s="302">
        <f>IF(Years="Five",IF(I$338&gt;$D$33,0,IF(Input!I$54&lt;31,Input!I$54/30*I399,IF(Input!I$54&lt;61,(Input!I$54-30)/30*I399,IF(Input!I$54&lt;91,(Input!I$54-60)/30*I399,IF(Input!I$54&lt;121,(Input!I$54-90)/30*I399,IF(Input!I$54&lt;151,(Input!I$54-120)/30*I399,(Input!I$54-150)/30*I399)))))),0)</f>
        <v>0</v>
      </c>
      <c r="J1041" s="302">
        <f>IF(Years="Five",IF(J$338&gt;$D$33,0,IF(Input!J$54&lt;31,Input!J$54/30*J399,IF(Input!J$54&lt;61,(Input!J$54-30)/30*J399,IF(Input!J$54&lt;91,(Input!J$54-60)/30*J399,IF(Input!J$54&lt;121,(Input!J$54-90)/30*J399,IF(Input!J$54&lt;151,(Input!J$54-120)/30*J399,(Input!J$54-150)/30*J399)))))),0)</f>
        <v>0</v>
      </c>
      <c r="K1041" s="302">
        <f>IF(Years="Five",IF(K$338&gt;$D$33,0,IF(Input!K$54&lt;31,Input!K$54/30*K399,IF(Input!K$54&lt;61,(Input!K$54-30)/30*K399,IF(Input!K$54&lt;91,(Input!K$54-60)/30*K399,IF(Input!K$54&lt;121,(Input!K$54-90)/30*K399,IF(Input!K$54&lt;151,(Input!K$54-120)/30*K399,(Input!K$54-150)/30*K399)))))),0)</f>
        <v>0</v>
      </c>
      <c r="L1041" s="302">
        <f>IF(Years="Five",IF(L$338&gt;$D$33,0,IF(Input!L$54&lt;31,Input!L$54/30*L399,IF(Input!L$54&lt;61,(Input!L$54-30)/30*L399,IF(Input!L$54&lt;91,(Input!L$54-60)/30*L399,IF(Input!L$54&lt;121,(Input!L$54-90)/30*L399,IF(Input!L$54&lt;151,(Input!L$54-120)/30*L399,(Input!L$54-150)/30*L399)))))),0)</f>
        <v>0</v>
      </c>
      <c r="M1041" s="302">
        <f>IF(Years="Five",IF(M$338&gt;$D$33,0,IF(Input!M$54&lt;31,Input!M$54/30*M399,IF(Input!M$54&lt;61,(Input!M$54-30)/30*M399,IF(Input!M$54&lt;91,(Input!M$54-60)/30*M399,IF(Input!M$54&lt;121,(Input!M$54-90)/30*M399,IF(Input!M$54&lt;151,(Input!M$54-120)/30*M399,(Input!M$54-150)/30*M399)))))),0)</f>
        <v>0</v>
      </c>
      <c r="N1041" s="302">
        <f>IF(Years="Five",IF(N$338&gt;$D$33,0,IF(Input!N$54&lt;31,Input!N$54/30*N399,IF(Input!N$54&lt;61,(Input!N$54-30)/30*N399,IF(Input!N$54&lt;91,(Input!N$54-60)/30*N399,IF(Input!N$54&lt;121,(Input!N$54-90)/30*N399,IF(Input!N$54&lt;151,(Input!N$54-120)/30*N399,(Input!N$54-150)/30*N399)))))),0)</f>
        <v>0</v>
      </c>
      <c r="O1041" s="302">
        <f>IF(Years="Five",IF(O$338&gt;$D$33,0,IF(Input!O$54&lt;31,Input!O$54/30*O399,IF(Input!O$54&lt;61,(Input!O$54-30)/30*O399,IF(Input!O$54&lt;91,(Input!O$54-60)/30*O399,IF(Input!O$54&lt;121,(Input!O$54-90)/30*O399,IF(Input!O$54&lt;151,(Input!O$54-120)/30*O399,(Input!O$54-150)/30*O399)))))),0)</f>
        <v>0</v>
      </c>
      <c r="P1041" s="302">
        <f>IF(Years="Five",IF(P$338&gt;$D$33,0,IF(Input!P$54&lt;31,Input!P$54/30*P399,IF(Input!P$54&lt;61,(Input!P$54-30)/30*P399,IF(Input!P$54&lt;91,(Input!P$54-60)/30*P399,IF(Input!P$54&lt;121,(Input!P$54-90)/30*P399,IF(Input!P$54&lt;151,(Input!P$54-120)/30*P399,(Input!P$54-150)/30*P399)))))),0)</f>
        <v>0</v>
      </c>
      <c r="Q1041" s="302">
        <f>IF(Years="Five",IF(Q$338&gt;$D$33,0,IF(Input!Q$54&lt;31,Input!Q$54/30*Q399,IF(Input!Q$54&lt;61,(Input!Q$54-30)/30*Q399,IF(Input!Q$54&lt;91,(Input!Q$54-60)/30*Q399,IF(Input!Q$54&lt;121,(Input!Q$54-90)/30*Q399,IF(Input!Q$54&lt;151,(Input!Q$54-120)/30*Q399,(Input!Q$54-150)/30*Q399)))))),0)</f>
        <v>0</v>
      </c>
      <c r="R1041" s="302">
        <f>IF(Years="Five",IF(R$338&gt;$D$33,0,IF(Input!R$54&lt;31,Input!R$54/30*R399,IF(Input!R$54&lt;61,(Input!R$54-30)/30*R399,IF(Input!R$54&lt;91,(Input!R$54-60)/30*R399,IF(Input!R$54&lt;121,(Input!R$54-90)/30*R399,IF(Input!R$54&lt;151,(Input!R$54-120)/30*R399,(Input!R$54-150)/30*R399)))))),0)</f>
        <v>0</v>
      </c>
      <c r="S1041" s="302">
        <f>IF(Years="Five",IF(S$338&gt;$D$33,0,IF(Input!S$54&lt;31,Input!S$54/30*S399,IF(Input!S$54&lt;61,(Input!S$54-30)/30*S399,IF(Input!S$54&lt;91,(Input!S$54-60)/30*S399,IF(Input!S$54&lt;121,(Input!S$54-90)/30*S399,IF(Input!S$54&lt;151,(Input!S$54-120)/30*S399,(Input!S$54-150)/30*S399)))))),0)</f>
        <v>0</v>
      </c>
      <c r="T1041" s="302">
        <f>IF(Years="Five",IF(T$338&gt;$D$33,0,IF(Input!T$54&lt;31,Input!T$54/30*T399,IF(Input!T$54&lt;61,(Input!T$54-30)/30*T399,IF(Input!T$54&lt;91,(Input!T$54-60)/30*T399,IF(Input!T$54&lt;121,(Input!T$54-90)/30*T399,IF(Input!T$54&lt;151,(Input!T$54-120)/30*T399,(Input!T$54-150)/30*T399)))))),0)</f>
        <v>0</v>
      </c>
      <c r="U1041" s="302">
        <f>IF(Years="Five",IF(U$338&gt;$D$33,0,IF(Input!U$54&lt;31,Input!U$54/30*U399,IF(Input!U$54&lt;61,(Input!U$54-30)/30*U399,IF(Input!U$54&lt;91,(Input!U$54-60)/30*U399,IF(Input!U$54&lt;121,(Input!U$54-90)/30*U399,IF(Input!U$54&lt;151,(Input!U$54-120)/30*U399,(Input!U$54-150)/30*U399)))))),0)</f>
        <v>0</v>
      </c>
      <c r="V1041" s="302">
        <f>IF(Years="Five",IF(V$338&gt;$D$33,0,IF(Input!V$54&lt;31,Input!V$54/30*V399,IF(Input!V$54&lt;61,(Input!V$54-30)/30*V399,IF(Input!V$54&lt;91,(Input!V$54-60)/30*V399,IF(Input!V$54&lt;121,(Input!V$54-90)/30*V399,IF(Input!V$54&lt;151,(Input!V$54-120)/30*V399,(Input!V$54-150)/30*V399)))))),0)</f>
        <v>0</v>
      </c>
      <c r="W1041" s="302">
        <f>IF(Years="Five",IF(W$338&gt;$D$33,0,IF(Input!W$54&lt;31,Input!W$54/30*W399,IF(Input!W$54&lt;61,(Input!W$54-30)/30*W399,IF(Input!W$54&lt;91,(Input!W$54-60)/30*W399,IF(Input!W$54&lt;121,(Input!W$54-90)/30*W399,IF(Input!W$54&lt;151,(Input!W$54-120)/30*W399,(Input!W$54-150)/30*W399)))))),0)</f>
        <v>0</v>
      </c>
      <c r="X1041" s="302">
        <f>IF(Years="Five",IF(X$338&gt;$D$33,0,IF(Input!X$54&lt;31,Input!X$54/30*X399,IF(Input!X$54&lt;61,(Input!X$54-30)/30*X399,IF(Input!X$54&lt;91,(Input!X$54-60)/30*X399,IF(Input!X$54&lt;121,(Input!X$54-90)/30*X399,IF(Input!X$54&lt;151,(Input!X$54-120)/30*X399,(Input!X$54-150)/30*X399)))))),0)</f>
        <v>0</v>
      </c>
      <c r="Y1041" s="302">
        <f>IF(Years="Five",IF(Y$338&gt;$D$33,0,IF(Input!Y$54&lt;31,Input!Y$54/30*Y399,IF(Input!Y$54&lt;61,(Input!Y$54-30)/30*Y399,IF(Input!Y$54&lt;91,(Input!Y$54-60)/30*Y399,IF(Input!Y$54&lt;121,(Input!Y$54-90)/30*Y399,IF(Input!Y$54&lt;151,(Input!Y$54-120)/30*Y399,(Input!Y$54-150)/30*Y399)))))),0)</f>
        <v>0</v>
      </c>
      <c r="Z1041" s="302">
        <f>IF(Years="Five",IF(Z$338&gt;$D$33,0,IF(Input!Z$54&lt;31,Input!Z$54/30*Z399,IF(Input!Z$54&lt;61,(Input!Z$54-30)/30*Z399,IF(Input!Z$54&lt;91,(Input!Z$54-60)/30*Z399,IF(Input!Z$54&lt;121,(Input!Z$54-90)/30*Z399,IF(Input!Z$54&lt;151,(Input!Z$54-120)/30*Z399,(Input!Z$54-150)/30*Z399)))))),0)</f>
        <v>0</v>
      </c>
      <c r="AA1041" s="302">
        <f>IF(Years="Five",IF(AA$338&gt;$D$33,0,IF(Input!AA$54&lt;31,Input!AA$54/30*AA399,IF(Input!AA$54&lt;61,(Input!AA$54-30)/30*AA399,IF(Input!AA$54&lt;91,(Input!AA$54-60)/30*AA399,IF(Input!AA$54&lt;121,(Input!AA$54-90)/30*AA399,IF(Input!AA$54&lt;151,(Input!AA$54-120)/30*AA399,(Input!AA$54-150)/30*AA399)))))),0)</f>
        <v>0</v>
      </c>
      <c r="AB1041" s="303">
        <f>IF(Years="Five",IF(AB$338&gt;$D$33,0,IF(Input!AB$54&lt;31,Input!AB$54/30*AB399,IF(Input!AB$54&lt;61,(Input!AB$54-30)/30*AB399,IF(Input!AB$54&lt;91,(Input!AB$54-60)/30*AB399,IF(Input!AB$54&lt;121,(Input!AB$54-90)/30*AB399,IF(Input!AB$54&lt;151,(Input!AB$54-120)/30*AB399,(Input!AB$54-150)/30*AB399)))))),0)</f>
        <v>0</v>
      </c>
      <c r="CH1041" s="269"/>
      <c r="CI1041" s="269"/>
      <c r="CJ1041" s="269"/>
      <c r="CK1041" s="269"/>
      <c r="CL1041" s="269"/>
      <c r="CM1041" s="269"/>
      <c r="CN1041" s="269"/>
      <c r="CO1041" s="269"/>
      <c r="CP1041" s="269"/>
      <c r="CQ1041" s="269"/>
      <c r="CR1041" s="269"/>
      <c r="CS1041" s="269"/>
    </row>
    <row r="1042" spans="2:97" x14ac:dyDescent="0.3">
      <c r="C1042" s="1347" t="s">
        <v>131</v>
      </c>
      <c r="D1042" s="481">
        <f>SUM(D982:D1041)</f>
        <v>0</v>
      </c>
      <c r="E1042" s="481">
        <f>SUM(E982:E1041)</f>
        <v>0</v>
      </c>
      <c r="F1042" s="481">
        <f>SUM(F982:F1041)</f>
        <v>0</v>
      </c>
      <c r="G1042" s="481">
        <f>SUM(G982:G1041)</f>
        <v>0</v>
      </c>
      <c r="H1042" s="481">
        <f>SUM(H982:H1041)</f>
        <v>0</v>
      </c>
      <c r="I1042" s="481">
        <f>SUM(I982:I1041)</f>
        <v>0</v>
      </c>
      <c r="J1042" s="481">
        <f>SUM(J982:J1041)</f>
        <v>0</v>
      </c>
      <c r="K1042" s="481">
        <f>SUM(K982:K1041)</f>
        <v>0</v>
      </c>
      <c r="L1042" s="481">
        <f>SUM(L982:L1041)</f>
        <v>0</v>
      </c>
      <c r="M1042" s="481">
        <f>SUM(M982:M1041)</f>
        <v>0</v>
      </c>
      <c r="N1042" s="481">
        <f>SUM(N982:N1041)</f>
        <v>0</v>
      </c>
      <c r="O1042" s="481">
        <f>SUM(O982:O1041)</f>
        <v>0</v>
      </c>
      <c r="P1042" s="481">
        <f>SUM(P982:P1041)</f>
        <v>0</v>
      </c>
      <c r="Q1042" s="481">
        <f>SUM(Q982:Q1041)</f>
        <v>0</v>
      </c>
      <c r="R1042" s="481">
        <f>SUM(R982:R1041)</f>
        <v>0</v>
      </c>
      <c r="S1042" s="481">
        <f>SUM(S982:S1041)</f>
        <v>0</v>
      </c>
      <c r="T1042" s="481">
        <f>SUM(T982:T1041)</f>
        <v>0</v>
      </c>
      <c r="U1042" s="481">
        <f>SUM(U982:U1041)</f>
        <v>0</v>
      </c>
      <c r="V1042" s="481">
        <f>SUM(V982:V1041)</f>
        <v>0</v>
      </c>
      <c r="W1042" s="481">
        <f>SUM(W982:W1041)</f>
        <v>0</v>
      </c>
      <c r="X1042" s="481">
        <f>SUM(X982:X1041)</f>
        <v>0</v>
      </c>
      <c r="Y1042" s="481">
        <f>SUM(Y982:Y1041)</f>
        <v>0</v>
      </c>
      <c r="Z1042" s="481">
        <f>SUM(Z982:Z1041)</f>
        <v>0</v>
      </c>
      <c r="AA1042" s="481">
        <f>SUM(AA982:AA1041)</f>
        <v>0</v>
      </c>
      <c r="AB1042" s="481">
        <f>SUM(AB982:AB1041)</f>
        <v>0</v>
      </c>
      <c r="CH1042" s="269"/>
      <c r="CI1042" s="269"/>
      <c r="CJ1042" s="269"/>
      <c r="CK1042" s="269"/>
      <c r="CL1042" s="269"/>
      <c r="CM1042" s="269"/>
      <c r="CN1042" s="269"/>
      <c r="CO1042" s="269"/>
      <c r="CP1042" s="269"/>
      <c r="CQ1042" s="269"/>
      <c r="CR1042" s="269"/>
      <c r="CS1042" s="269"/>
    </row>
    <row r="1043" spans="2:97" ht="15" customHeight="1" x14ac:dyDescent="0.35">
      <c r="B1043" s="1830" t="s">
        <v>204</v>
      </c>
      <c r="C1043" s="1830"/>
      <c r="D1043" s="219"/>
      <c r="E1043" s="219"/>
      <c r="F1043" s="219"/>
      <c r="G1043" s="219"/>
      <c r="H1043" s="219"/>
      <c r="I1043" s="219"/>
      <c r="J1043" s="219"/>
      <c r="K1043" s="219"/>
      <c r="L1043" s="219"/>
      <c r="M1043" s="219"/>
      <c r="N1043" s="219"/>
      <c r="O1043" s="219"/>
      <c r="P1043" s="219"/>
      <c r="Q1043" s="219"/>
      <c r="R1043" s="219"/>
      <c r="S1043" s="219"/>
      <c r="T1043" s="219"/>
      <c r="U1043" s="219"/>
      <c r="V1043" s="219"/>
      <c r="W1043" s="219"/>
      <c r="X1043" s="219"/>
      <c r="Y1043" s="219"/>
      <c r="Z1043" s="219"/>
      <c r="AA1043" s="219"/>
      <c r="AB1043" s="219"/>
      <c r="CH1043" s="269"/>
      <c r="CI1043" s="269"/>
      <c r="CJ1043" s="269"/>
      <c r="CK1043" s="269"/>
      <c r="CL1043" s="269"/>
      <c r="CM1043" s="269"/>
      <c r="CN1043" s="269"/>
      <c r="CO1043" s="269"/>
      <c r="CP1043" s="269"/>
      <c r="CQ1043" s="269"/>
      <c r="CR1043" s="269"/>
      <c r="CS1043" s="269"/>
    </row>
    <row r="1044" spans="2:97" ht="12.75" customHeight="1" thickBot="1" x14ac:dyDescent="0.35">
      <c r="B1044" s="1830"/>
      <c r="C1044" s="1830"/>
      <c r="D1044" s="818" t="str">
        <f>D339</f>
        <v>Item 1</v>
      </c>
      <c r="E1044" s="818" t="str">
        <f>E339</f>
        <v>Item 2</v>
      </c>
      <c r="F1044" s="818" t="str">
        <f>F339</f>
        <v>Item 3</v>
      </c>
      <c r="G1044" s="818" t="str">
        <f>G339</f>
        <v>Item 4</v>
      </c>
      <c r="H1044" s="818" t="str">
        <f>H339</f>
        <v>Item 5</v>
      </c>
      <c r="I1044" s="818" t="str">
        <f>I339</f>
        <v>Item 6</v>
      </c>
      <c r="J1044" s="818" t="str">
        <f>J339</f>
        <v>Item 7</v>
      </c>
      <c r="K1044" s="818" t="str">
        <f>K339</f>
        <v>Item 8</v>
      </c>
      <c r="L1044" s="818" t="str">
        <f>L339</f>
        <v>Item 9</v>
      </c>
      <c r="M1044" s="818" t="str">
        <f>M339</f>
        <v>Item 10</v>
      </c>
      <c r="N1044" s="818" t="str">
        <f>N339</f>
        <v>Item 11</v>
      </c>
      <c r="O1044" s="818" t="str">
        <f>O339</f>
        <v>Item 12</v>
      </c>
      <c r="P1044" s="818" t="str">
        <f>P339</f>
        <v>Item 13</v>
      </c>
      <c r="Q1044" s="818" t="str">
        <f>Q339</f>
        <v>Item 14</v>
      </c>
      <c r="R1044" s="818" t="str">
        <f>R339</f>
        <v>Item 15</v>
      </c>
      <c r="S1044" s="818" t="str">
        <f>S339</f>
        <v>Item 16</v>
      </c>
      <c r="T1044" s="818" t="str">
        <f>T339</f>
        <v>Item 17</v>
      </c>
      <c r="U1044" s="818" t="str">
        <f>U339</f>
        <v>Item 18</v>
      </c>
      <c r="V1044" s="818" t="str">
        <f>V339</f>
        <v>Item 19</v>
      </c>
      <c r="W1044" s="818" t="str">
        <f>W339</f>
        <v>Item 20</v>
      </c>
      <c r="X1044" s="818" t="str">
        <f>X339</f>
        <v>Item 21</v>
      </c>
      <c r="Y1044" s="818" t="str">
        <f>Y339</f>
        <v>Item 22</v>
      </c>
      <c r="Z1044" s="818" t="str">
        <f>Z339</f>
        <v>Item 23</v>
      </c>
      <c r="AA1044" s="818" t="str">
        <f>AA339</f>
        <v>Item 24</v>
      </c>
      <c r="AB1044" s="818" t="str">
        <f>AB339</f>
        <v>Item 25</v>
      </c>
      <c r="CH1044" s="269"/>
      <c r="CI1044" s="269"/>
      <c r="CJ1044" s="269"/>
      <c r="CK1044" s="269"/>
      <c r="CL1044" s="269"/>
      <c r="CM1044" s="269"/>
      <c r="CN1044" s="269"/>
      <c r="CO1044" s="269"/>
      <c r="CP1044" s="269"/>
      <c r="CQ1044" s="269"/>
      <c r="CR1044" s="269"/>
      <c r="CS1044" s="269"/>
    </row>
    <row r="1045" spans="2:97" x14ac:dyDescent="0.3">
      <c r="C1045" s="495">
        <f>C982</f>
        <v>0</v>
      </c>
      <c r="D1045" s="227">
        <f>IF(D$338&gt;$D$33,0,IF(Input!D$55=0,0,IF(Input!D$55&lt;31,Input!D$55/30*D410,IF(Input!D$55&lt;61,(Input!D$55-30)/30*D409+D410,IF(Input!D$55&lt;91,(Input!D$55-60)/30*D408+D409+D410,IF(Input!D$55&lt;121,(Input!D$55-90)/30*D407+D408+D409+D410,IF(Input!D$55&lt;151,(Input!D$55-120)/30*D406+D407+D408+D409+D410,(Input!D$55-150)/30*D405+D406+D407+D408+D409+D410)))))))</f>
        <v>0</v>
      </c>
      <c r="E1045" s="228">
        <f>IF(E$338&gt;$D$33,0,IF(Input!E$55=0,0,IF(Input!E$55&lt;31,Input!E$55/30*E410,IF(Input!E$55&lt;61,(Input!E$55-30)/30*E409+E410,IF(Input!E$55&lt;91,(Input!E$55-60)/30*E408+E409+E410,IF(Input!E$55&lt;121,(Input!E$55-90)/30*E407+E408+E409+E410,IF(Input!E$55&lt;151,(Input!E$55-120)/30*E406+E407+E408+E409+E410,(Input!E$55-150)/30*E405+E406+E407+E408+E409+E410)))))))</f>
        <v>0</v>
      </c>
      <c r="F1045" s="228">
        <f>IF(F$338&gt;$D$33,0,IF(Input!F$55=0,0,IF(Input!F$55&lt;31,Input!F$55/30*F410,IF(Input!F$55&lt;61,(Input!F$55-30)/30*F409+F410,IF(Input!F$55&lt;91,(Input!F$55-60)/30*F408+F409+F410,IF(Input!F$55&lt;121,(Input!F$55-90)/30*F407+F408+F409+F410,IF(Input!F$55&lt;151,(Input!F$55-120)/30*F406+F407+F408+F409+F410,(Input!F$55-150)/30*F405+F406+F407+F408+F409+F410)))))))</f>
        <v>0</v>
      </c>
      <c r="G1045" s="228">
        <f>IF(G$338&gt;$D$33,0,IF(Input!G$55=0,0,IF(Input!G$55&lt;31,Input!G$55/30*G410,IF(Input!G$55&lt;61,(Input!G$55-30)/30*G409+G410,IF(Input!G$55&lt;91,(Input!G$55-60)/30*G408+G409+G410,IF(Input!G$55&lt;121,(Input!G$55-90)/30*G407+G408+G409+G410,IF(Input!G$55&lt;151,(Input!G$55-120)/30*G406+G407+G408+G409+G410,(Input!G$55-150)/30*G405+G406+G407+G408+G409+G410)))))))</f>
        <v>0</v>
      </c>
      <c r="H1045" s="228">
        <f>IF(H$338&gt;$D$33,0,IF(Input!H$55=0,0,IF(Input!H$55&lt;31,Input!H$55/30*H410,IF(Input!H$55&lt;61,(Input!H$55-30)/30*H409+H410,IF(Input!H$55&lt;91,(Input!H$55-60)/30*H408+H409+H410,IF(Input!H$55&lt;121,(Input!H$55-90)/30*H407+H408+H409+H410,IF(Input!H$55&lt;151,(Input!H$55-120)/30*H406+H407+H408+H409+H410,(Input!H$55-150)/30*H405+H406+H407+H408+H409+H410)))))))</f>
        <v>0</v>
      </c>
      <c r="I1045" s="228">
        <f>IF(I$338&gt;$D$33,0,IF(Input!I$55=0,0,IF(Input!I$55&lt;31,Input!I$55/30*I410,IF(Input!I$55&lt;61,(Input!I$55-30)/30*I409+I410,IF(Input!I$55&lt;91,(Input!I$55-60)/30*I408+I409+I410,IF(Input!I$55&lt;121,(Input!I$55-90)/30*I407+I408+I409+I410,IF(Input!I$55&lt;151,(Input!I$55-120)/30*I406+I407+I408+I409+I410,(Input!I$55-150)/30*I405+I406+I407+I408+I409+I410)))))))</f>
        <v>0</v>
      </c>
      <c r="J1045" s="228">
        <f>IF(J$338&gt;$D$33,0,IF(Input!J$55=0,0,IF(Input!J$55&lt;31,Input!J$55/30*J410,IF(Input!J$55&lt;61,(Input!J$55-30)/30*J409+J410,IF(Input!J$55&lt;91,(Input!J$55-60)/30*J408+J409+J410,IF(Input!J$55&lt;121,(Input!J$55-90)/30*J407+J408+J409+J410,IF(Input!J$55&lt;151,(Input!J$55-120)/30*J406+J407+J408+J409+J410,(Input!J$55-150)/30*J405+J406+J407+J408+J409+J410)))))))</f>
        <v>0</v>
      </c>
      <c r="K1045" s="228">
        <f>IF(K$338&gt;$D$33,0,IF(Input!K$55=0,0,IF(Input!K$55&lt;31,Input!K$55/30*K410,IF(Input!K$55&lt;61,(Input!K$55-30)/30*K409+K410,IF(Input!K$55&lt;91,(Input!K$55-60)/30*K408+K409+K410,IF(Input!K$55&lt;121,(Input!K$55-90)/30*K407+K408+K409+K410,IF(Input!K$55&lt;151,(Input!K$55-120)/30*K406+K407+K408+K409+K410,(Input!K$55-150)/30*K405+K406+K407+K408+K409+K410)))))))</f>
        <v>0</v>
      </c>
      <c r="L1045" s="228">
        <f>IF(L$338&gt;$D$33,0,IF(Input!L$55=0,0,IF(Input!L$55&lt;31,Input!L$55/30*L410,IF(Input!L$55&lt;61,(Input!L$55-30)/30*L409+L410,IF(Input!L$55&lt;91,(Input!L$55-60)/30*L408+L409+L410,IF(Input!L$55&lt;121,(Input!L$55-90)/30*L407+L408+L409+L410,IF(Input!L$55&lt;151,(Input!L$55-120)/30*L406+L407+L408+L409+L410,(Input!L$55-150)/30*L405+L406+L407+L408+L409+L410)))))))</f>
        <v>0</v>
      </c>
      <c r="M1045" s="228">
        <f>IF(M$338&gt;$D$33,0,IF(Input!M$55=0,0,IF(Input!M$55&lt;31,Input!M$55/30*M410,IF(Input!M$55&lt;61,(Input!M$55-30)/30*M409+M410,IF(Input!M$55&lt;91,(Input!M$55-60)/30*M408+M409+M410,IF(Input!M$55&lt;121,(Input!M$55-90)/30*M407+M408+M409+M410,IF(Input!M$55&lt;151,(Input!M$55-120)/30*M406+M407+M408+M409+M410,(Input!M$55-150)/30*M405+M406+M407+M408+M409+M410)))))))</f>
        <v>0</v>
      </c>
      <c r="N1045" s="228">
        <f>IF(N$338&gt;$D$33,0,IF(Input!N$55=0,0,IF(Input!N$55&lt;31,Input!N$55/30*N410,IF(Input!N$55&lt;61,(Input!N$55-30)/30*N409+N410,IF(Input!N$55&lt;91,(Input!N$55-60)/30*N408+N409+N410,IF(Input!N$55&lt;121,(Input!N$55-90)/30*N407+N408+N409+N410,IF(Input!N$55&lt;151,(Input!N$55-120)/30*N406+N407+N408+N409+N410,(Input!N$55-150)/30*N405+N406+N407+N408+N409+N410)))))))</f>
        <v>0</v>
      </c>
      <c r="O1045" s="228">
        <f>IF(O$338&gt;$D$33,0,IF(Input!O$55=0,0,IF(Input!O$55&lt;31,Input!O$55/30*O410,IF(Input!O$55&lt;61,(Input!O$55-30)/30*O409+O410,IF(Input!O$55&lt;91,(Input!O$55-60)/30*O408+O409+O410,IF(Input!O$55&lt;121,(Input!O$55-90)/30*O407+O408+O409+O410,IF(Input!O$55&lt;151,(Input!O$55-120)/30*O406+O407+O408+O409+O410,(Input!O$55-150)/30*O405+O406+O407+O408+O409+O410)))))))</f>
        <v>0</v>
      </c>
      <c r="P1045" s="228">
        <f>IF(P$338&gt;$D$33,0,IF(Input!P$55=0,0,IF(Input!P$55&lt;31,Input!P$55/30*P410,IF(Input!P$55&lt;61,(Input!P$55-30)/30*P409+P410,IF(Input!P$55&lt;91,(Input!P$55-60)/30*P408+P409+P410,IF(Input!P$55&lt;121,(Input!P$55-90)/30*P407+P408+P409+P410,IF(Input!P$55&lt;151,(Input!P$55-120)/30*P406+P407+P408+P409+P410,(Input!P$55-150)/30*P405+P406+P407+P408+P409+P410)))))))</f>
        <v>0</v>
      </c>
      <c r="Q1045" s="228">
        <f>IF(Q$338&gt;$D$33,0,IF(Input!Q$55=0,0,IF(Input!Q$55&lt;31,Input!Q$55/30*Q410,IF(Input!Q$55&lt;61,(Input!Q$55-30)/30*Q409+Q410,IF(Input!Q$55&lt;91,(Input!Q$55-60)/30*Q408+Q409+Q410,IF(Input!Q$55&lt;121,(Input!Q$55-90)/30*Q407+Q408+Q409+Q410,IF(Input!Q$55&lt;151,(Input!Q$55-120)/30*Q406+Q407+Q408+Q409+Q410,(Input!Q$55-150)/30*Q405+Q406+Q407+Q408+Q409+Q410)))))))</f>
        <v>0</v>
      </c>
      <c r="R1045" s="228">
        <f>IF(R$338&gt;$D$33,0,IF(Input!R$55=0,0,IF(Input!R$55&lt;31,Input!R$55/30*R410,IF(Input!R$55&lt;61,(Input!R$55-30)/30*R409+R410,IF(Input!R$55&lt;91,(Input!R$55-60)/30*R408+R409+R410,IF(Input!R$55&lt;121,(Input!R$55-90)/30*R407+R408+R409+R410,IF(Input!R$55&lt;151,(Input!R$55-120)/30*R406+R407+R408+R409+R410,(Input!R$55-150)/30*R405+R406+R407+R408+R409+R410)))))))</f>
        <v>0</v>
      </c>
      <c r="S1045" s="228">
        <f>IF(S$338&gt;$D$33,0,IF(Input!S$55=0,0,IF(Input!S$55&lt;31,Input!S$55/30*S410,IF(Input!S$55&lt;61,(Input!S$55-30)/30*S409+S410,IF(Input!S$55&lt;91,(Input!S$55-60)/30*S408+S409+S410,IF(Input!S$55&lt;121,(Input!S$55-90)/30*S407+S408+S409+S410,IF(Input!S$55&lt;151,(Input!S$55-120)/30*S406+S407+S408+S409+S410,(Input!S$55-150)/30*S405+S406+S407+S408+S409+S410)))))))</f>
        <v>0</v>
      </c>
      <c r="T1045" s="228">
        <f>IF(T$338&gt;$D$33,0,IF(Input!T$55=0,0,IF(Input!T$55&lt;31,Input!T$55/30*T410,IF(Input!T$55&lt;61,(Input!T$55-30)/30*T409+T410,IF(Input!T$55&lt;91,(Input!T$55-60)/30*T408+T409+T410,IF(Input!T$55&lt;121,(Input!T$55-90)/30*T407+T408+T409+T410,IF(Input!T$55&lt;151,(Input!T$55-120)/30*T406+T407+T408+T409+T410,(Input!T$55-150)/30*T405+T406+T407+T408+T409+T410)))))))</f>
        <v>0</v>
      </c>
      <c r="U1045" s="228">
        <f>IF(U$338&gt;$D$33,0,IF(Input!U$55=0,0,IF(Input!U$55&lt;31,Input!U$55/30*U410,IF(Input!U$55&lt;61,(Input!U$55-30)/30*U409+U410,IF(Input!U$55&lt;91,(Input!U$55-60)/30*U408+U409+U410,IF(Input!U$55&lt;121,(Input!U$55-90)/30*U407+U408+U409+U410,IF(Input!U$55&lt;151,(Input!U$55-120)/30*U406+U407+U408+U409+U410,(Input!U$55-150)/30*U405+U406+U407+U408+U409+U410)))))))</f>
        <v>0</v>
      </c>
      <c r="V1045" s="228">
        <f>IF(V$338&gt;$D$33,0,IF(Input!V$55=0,0,IF(Input!V$55&lt;31,Input!V$55/30*V410,IF(Input!V$55&lt;61,(Input!V$55-30)/30*V409+V410,IF(Input!V$55&lt;91,(Input!V$55-60)/30*V408+V409+V410,IF(Input!V$55&lt;121,(Input!V$55-90)/30*V407+V408+V409+V410,IF(Input!V$55&lt;151,(Input!V$55-120)/30*V406+V407+V408+V409+V410,(Input!V$55-150)/30*V405+V406+V407+V408+V409+V410)))))))</f>
        <v>0</v>
      </c>
      <c r="W1045" s="228">
        <f>IF(W$338&gt;$D$33,0,IF(Input!W$55=0,0,IF(Input!W$55&lt;31,Input!W$55/30*W410,IF(Input!W$55&lt;61,(Input!W$55-30)/30*W409+W410,IF(Input!W$55&lt;91,(Input!W$55-60)/30*W408+W409+W410,IF(Input!W$55&lt;121,(Input!W$55-90)/30*W407+W408+W409+W410,IF(Input!W$55&lt;151,(Input!W$55-120)/30*W406+W407+W408+W409+W410,(Input!W$55-150)/30*W405+W406+W407+W408+W409+W410)))))))</f>
        <v>0</v>
      </c>
      <c r="X1045" s="228">
        <f>IF(X$338&gt;$D$33,0,IF(Input!X$55=0,0,IF(Input!X$55&lt;31,Input!X$55/30*X410,IF(Input!X$55&lt;61,(Input!X$55-30)/30*X409+X410,IF(Input!X$55&lt;91,(Input!X$55-60)/30*X408+X409+X410,IF(Input!X$55&lt;121,(Input!X$55-90)/30*X407+X408+X409+X410,IF(Input!X$55&lt;151,(Input!X$55-120)/30*X406+X407+X408+X409+X410,(Input!X$55-150)/30*X405+X406+X407+X408+X409+X410)))))))</f>
        <v>0</v>
      </c>
      <c r="Y1045" s="228">
        <f>IF(Y$338&gt;$D$33,0,IF(Input!Y$55=0,0,IF(Input!Y$55&lt;31,Input!Y$55/30*Y410,IF(Input!Y$55&lt;61,(Input!Y$55-30)/30*Y409+Y410,IF(Input!Y$55&lt;91,(Input!Y$55-60)/30*Y408+Y409+Y410,IF(Input!Y$55&lt;121,(Input!Y$55-90)/30*Y407+Y408+Y409+Y410,IF(Input!Y$55&lt;151,(Input!Y$55-120)/30*Y406+Y407+Y408+Y409+Y410,(Input!Y$55-150)/30*Y405+Y406+Y407+Y408+Y409+Y410)))))))</f>
        <v>0</v>
      </c>
      <c r="Z1045" s="228">
        <f>IF(Z$338&gt;$D$33,0,IF(Input!Z$55=0,0,IF(Input!Z$55&lt;31,Input!Z$55/30*Z410,IF(Input!Z$55&lt;61,(Input!Z$55-30)/30*Z409+Z410,IF(Input!Z$55&lt;91,(Input!Z$55-60)/30*Z408+Z409+Z410,IF(Input!Z$55&lt;121,(Input!Z$55-90)/30*Z407+Z408+Z409+Z410,IF(Input!Z$55&lt;151,(Input!Z$55-120)/30*Z406+Z407+Z408+Z409+Z410,(Input!Z$55-150)/30*Z405+Z406+Z407+Z408+Z409+Z410)))))))</f>
        <v>0</v>
      </c>
      <c r="AA1045" s="228">
        <f>IF(AA$338&gt;$D$33,0,IF(Input!AA$55=0,0,IF(Input!AA$55&lt;31,Input!AA$55/30*AA410,IF(Input!AA$55&lt;61,(Input!AA$55-30)/30*AA409+AA410,IF(Input!AA$55&lt;91,(Input!AA$55-60)/30*AA408+AA409+AA410,IF(Input!AA$55&lt;121,(Input!AA$55-90)/30*AA407+AA408+AA409+AA410,IF(Input!AA$55&lt;151,(Input!AA$55-120)/30*AA406+AA407+AA408+AA409+AA410,(Input!AA$55-150)/30*AA405+AA406+AA407+AA408+AA409+AA410)))))))</f>
        <v>0</v>
      </c>
      <c r="AB1045" s="228">
        <f>IF(AB$338&gt;$D$33,0,IF(Input!AB$55=0,0,IF(Input!AB$55&lt;31,Input!AB$55/30*AB410,IF(Input!AB$55&lt;61,(Input!AB$55-30)/30*AB409+AB410,IF(Input!AB$55&lt;91,(Input!AB$55-60)/30*AB408+AB409+AB410,IF(Input!AB$55&lt;121,(Input!AB$55-90)/30*AB407+AB408+AB409+AB410,IF(Input!AB$55&lt;151,(Input!AB$55-120)/30*AB406+AB407+AB408+AB409+AB410,(Input!AB$55-150)/30*AB405+AB406+AB407+AB408+AB409+AB410)))))))</f>
        <v>0</v>
      </c>
      <c r="CP1045" s="269"/>
      <c r="CQ1045" s="269"/>
      <c r="CR1045" s="269"/>
      <c r="CS1045" s="269"/>
    </row>
    <row r="1046" spans="2:97" x14ac:dyDescent="0.3">
      <c r="C1046" s="495">
        <f>C983</f>
        <v>59</v>
      </c>
      <c r="D1046" s="229">
        <f>IF(D$338&gt;$D$33,0,IF(Input!D$55=0,0,IF(Input!D$55&lt;31,Input!D$55/30*D411,IF(Input!D$55&lt;61,(Input!D$55-30)/30*D410+D411,IF(Input!D$55&lt;91,(Input!D$55-60)/30*D409+D410+D411,IF(Input!D$55&lt;121,(Input!D$55-90)/30*D408+D409+D410+D411,IF(Input!D$55&lt;151,(Input!D$55-120)/30*D407+D408+D409+D410+D411,(Input!D$55-150)/30*D406+D407+D408+D409+D410+D411)))))))</f>
        <v>0</v>
      </c>
      <c r="E1046" s="229">
        <f>IF(E$338&gt;$D$33,0,IF(Input!E$55=0,0,IF(Input!E$55&lt;31,Input!E$55/30*E411,IF(Input!E$55&lt;61,(Input!E$55-30)/30*E410+E411,IF(Input!E$55&lt;91,(Input!E$55-60)/30*E409+E410+E411,IF(Input!E$55&lt;121,(Input!E$55-90)/30*E408+E409+E410+E411,IF(Input!E$55&lt;151,(Input!E$55-120)/30*E407+E408+E409+E410+E411,(Input!E$55-150)/30*E406+E407+E408+E409+E410+E411)))))))</f>
        <v>0</v>
      </c>
      <c r="F1046" s="229">
        <f>IF(F$338&gt;$D$33,0,IF(Input!F$55=0,0,IF(Input!F$55&lt;31,Input!F$55/30*F411,IF(Input!F$55&lt;61,(Input!F$55-30)/30*F410+F411,IF(Input!F$55&lt;91,(Input!F$55-60)/30*F409+F410+F411,IF(Input!F$55&lt;121,(Input!F$55-90)/30*F408+F409+F410+F411,IF(Input!F$55&lt;151,(Input!F$55-120)/30*F407+F408+F409+F410+F411,(Input!F$55-150)/30*F406+F407+F408+F409+F410+F411)))))))</f>
        <v>0</v>
      </c>
      <c r="G1046" s="229">
        <f>IF(G$338&gt;$D$33,0,IF(Input!G$55=0,0,IF(Input!G$55&lt;31,Input!G$55/30*G411,IF(Input!G$55&lt;61,(Input!G$55-30)/30*G410+G411,IF(Input!G$55&lt;91,(Input!G$55-60)/30*G409+G410+G411,IF(Input!G$55&lt;121,(Input!G$55-90)/30*G408+G409+G410+G411,IF(Input!G$55&lt;151,(Input!G$55-120)/30*G407+G408+G409+G410+G411,(Input!G$55-150)/30*G406+G407+G408+G409+G410+G411)))))))</f>
        <v>0</v>
      </c>
      <c r="H1046" s="229">
        <f>IF(H$338&gt;$D$33,0,IF(Input!H$55=0,0,IF(Input!H$55&lt;31,Input!H$55/30*H411,IF(Input!H$55&lt;61,(Input!H$55-30)/30*H410+H411,IF(Input!H$55&lt;91,(Input!H$55-60)/30*H409+H410+H411,IF(Input!H$55&lt;121,(Input!H$55-90)/30*H408+H409+H410+H411,IF(Input!H$55&lt;151,(Input!H$55-120)/30*H407+H408+H409+H410+H411,(Input!H$55-150)/30*H406+H407+H408+H409+H410+H411)))))))</f>
        <v>0</v>
      </c>
      <c r="I1046" s="229">
        <f>IF(I$338&gt;$D$33,0,IF(Input!I$55=0,0,IF(Input!I$55&lt;31,Input!I$55/30*I411,IF(Input!I$55&lt;61,(Input!I$55-30)/30*I410+I411,IF(Input!I$55&lt;91,(Input!I$55-60)/30*I409+I410+I411,IF(Input!I$55&lt;121,(Input!I$55-90)/30*I408+I409+I410+I411,IF(Input!I$55&lt;151,(Input!I$55-120)/30*I407+I408+I409+I410+I411,(Input!I$55-150)/30*I406+I407+I408+I409+I410+I411)))))))</f>
        <v>0</v>
      </c>
      <c r="J1046" s="229">
        <f>IF(J$338&gt;$D$33,0,IF(Input!J$55=0,0,IF(Input!J$55&lt;31,Input!J$55/30*J411,IF(Input!J$55&lt;61,(Input!J$55-30)/30*J410+J411,IF(Input!J$55&lt;91,(Input!J$55-60)/30*J409+J410+J411,IF(Input!J$55&lt;121,(Input!J$55-90)/30*J408+J409+J410+J411,IF(Input!J$55&lt;151,(Input!J$55-120)/30*J407+J408+J409+J410+J411,(Input!J$55-150)/30*J406+J407+J408+J409+J410+J411)))))))</f>
        <v>0</v>
      </c>
      <c r="K1046" s="229">
        <f>IF(K$338&gt;$D$33,0,IF(Input!K$55=0,0,IF(Input!K$55&lt;31,Input!K$55/30*K411,IF(Input!K$55&lt;61,(Input!K$55-30)/30*K410+K411,IF(Input!K$55&lt;91,(Input!K$55-60)/30*K409+K410+K411,IF(Input!K$55&lt;121,(Input!K$55-90)/30*K408+K409+K410+K411,IF(Input!K$55&lt;151,(Input!K$55-120)/30*K407+K408+K409+K410+K411,(Input!K$55-150)/30*K406+K407+K408+K409+K410+K411)))))))</f>
        <v>0</v>
      </c>
      <c r="L1046" s="229">
        <f>IF(L$338&gt;$D$33,0,IF(Input!L$55=0,0,IF(Input!L$55&lt;31,Input!L$55/30*L411,IF(Input!L$55&lt;61,(Input!L$55-30)/30*L410+L411,IF(Input!L$55&lt;91,(Input!L$55-60)/30*L409+L410+L411,IF(Input!L$55&lt;121,(Input!L$55-90)/30*L408+L409+L410+L411,IF(Input!L$55&lt;151,(Input!L$55-120)/30*L407+L408+L409+L410+L411,(Input!L$55-150)/30*L406+L407+L408+L409+L410+L411)))))))</f>
        <v>0</v>
      </c>
      <c r="M1046" s="229">
        <f>IF(M$338&gt;$D$33,0,IF(Input!M$55=0,0,IF(Input!M$55&lt;31,Input!M$55/30*M411,IF(Input!M$55&lt;61,(Input!M$55-30)/30*M410+M411,IF(Input!M$55&lt;91,(Input!M$55-60)/30*M409+M410+M411,IF(Input!M$55&lt;121,(Input!M$55-90)/30*M408+M409+M410+M411,IF(Input!M$55&lt;151,(Input!M$55-120)/30*M407+M408+M409+M410+M411,(Input!M$55-150)/30*M406+M407+M408+M409+M410+M411)))))))</f>
        <v>0</v>
      </c>
      <c r="N1046" s="229">
        <f>IF(N$338&gt;$D$33,0,IF(Input!N$55=0,0,IF(Input!N$55&lt;31,Input!N$55/30*N411,IF(Input!N$55&lt;61,(Input!N$55-30)/30*N410+N411,IF(Input!N$55&lt;91,(Input!N$55-60)/30*N409+N410+N411,IF(Input!N$55&lt;121,(Input!N$55-90)/30*N408+N409+N410+N411,IF(Input!N$55&lt;151,(Input!N$55-120)/30*N407+N408+N409+N410+N411,(Input!N$55-150)/30*N406+N407+N408+N409+N410+N411)))))))</f>
        <v>0</v>
      </c>
      <c r="O1046" s="229">
        <f>IF(O$338&gt;$D$33,0,IF(Input!O$55=0,0,IF(Input!O$55&lt;31,Input!O$55/30*O411,IF(Input!O$55&lt;61,(Input!O$55-30)/30*O410+O411,IF(Input!O$55&lt;91,(Input!O$55-60)/30*O409+O410+O411,IF(Input!O$55&lt;121,(Input!O$55-90)/30*O408+O409+O410+O411,IF(Input!O$55&lt;151,(Input!O$55-120)/30*O407+O408+O409+O410+O411,(Input!O$55-150)/30*O406+O407+O408+O409+O410+O411)))))))</f>
        <v>0</v>
      </c>
      <c r="P1046" s="229">
        <f>IF(P$338&gt;$D$33,0,IF(Input!P$55=0,0,IF(Input!P$55&lt;31,Input!P$55/30*P411,IF(Input!P$55&lt;61,(Input!P$55-30)/30*P410+P411,IF(Input!P$55&lt;91,(Input!P$55-60)/30*P409+P410+P411,IF(Input!P$55&lt;121,(Input!P$55-90)/30*P408+P409+P410+P411,IF(Input!P$55&lt;151,(Input!P$55-120)/30*P407+P408+P409+P410+P411,(Input!P$55-150)/30*P406+P407+P408+P409+P410+P411)))))))</f>
        <v>0</v>
      </c>
      <c r="Q1046" s="229">
        <f>IF(Q$338&gt;$D$33,0,IF(Input!Q$55=0,0,IF(Input!Q$55&lt;31,Input!Q$55/30*Q411,IF(Input!Q$55&lt;61,(Input!Q$55-30)/30*Q410+Q411,IF(Input!Q$55&lt;91,(Input!Q$55-60)/30*Q409+Q410+Q411,IF(Input!Q$55&lt;121,(Input!Q$55-90)/30*Q408+Q409+Q410+Q411,IF(Input!Q$55&lt;151,(Input!Q$55-120)/30*Q407+Q408+Q409+Q410+Q411,(Input!Q$55-150)/30*Q406+Q407+Q408+Q409+Q410+Q411)))))))</f>
        <v>0</v>
      </c>
      <c r="R1046" s="229">
        <f>IF(R$338&gt;$D$33,0,IF(Input!R$55=0,0,IF(Input!R$55&lt;31,Input!R$55/30*R411,IF(Input!R$55&lt;61,(Input!R$55-30)/30*R410+R411,IF(Input!R$55&lt;91,(Input!R$55-60)/30*R409+R410+R411,IF(Input!R$55&lt;121,(Input!R$55-90)/30*R408+R409+R410+R411,IF(Input!R$55&lt;151,(Input!R$55-120)/30*R407+R408+R409+R410+R411,(Input!R$55-150)/30*R406+R407+R408+R409+R410+R411)))))))</f>
        <v>0</v>
      </c>
      <c r="S1046" s="229">
        <f>IF(S$338&gt;$D$33,0,IF(Input!S$55=0,0,IF(Input!S$55&lt;31,Input!S$55/30*S411,IF(Input!S$55&lt;61,(Input!S$55-30)/30*S410+S411,IF(Input!S$55&lt;91,(Input!S$55-60)/30*S409+S410+S411,IF(Input!S$55&lt;121,(Input!S$55-90)/30*S408+S409+S410+S411,IF(Input!S$55&lt;151,(Input!S$55-120)/30*S407+S408+S409+S410+S411,(Input!S$55-150)/30*S406+S407+S408+S409+S410+S411)))))))</f>
        <v>0</v>
      </c>
      <c r="T1046" s="229">
        <f>IF(T$338&gt;$D$33,0,IF(Input!T$55=0,0,IF(Input!T$55&lt;31,Input!T$55/30*T411,IF(Input!T$55&lt;61,(Input!T$55-30)/30*T410+T411,IF(Input!T$55&lt;91,(Input!T$55-60)/30*T409+T410+T411,IF(Input!T$55&lt;121,(Input!T$55-90)/30*T408+T409+T410+T411,IF(Input!T$55&lt;151,(Input!T$55-120)/30*T407+T408+T409+T410+T411,(Input!T$55-150)/30*T406+T407+T408+T409+T410+T411)))))))</f>
        <v>0</v>
      </c>
      <c r="U1046" s="229">
        <f>IF(U$338&gt;$D$33,0,IF(Input!U$55=0,0,IF(Input!U$55&lt;31,Input!U$55/30*U411,IF(Input!U$55&lt;61,(Input!U$55-30)/30*U410+U411,IF(Input!U$55&lt;91,(Input!U$55-60)/30*U409+U410+U411,IF(Input!U$55&lt;121,(Input!U$55-90)/30*U408+U409+U410+U411,IF(Input!U$55&lt;151,(Input!U$55-120)/30*U407+U408+U409+U410+U411,(Input!U$55-150)/30*U406+U407+U408+U409+U410+U411)))))))</f>
        <v>0</v>
      </c>
      <c r="V1046" s="229">
        <f>IF(V$338&gt;$D$33,0,IF(Input!V$55=0,0,IF(Input!V$55&lt;31,Input!V$55/30*V411,IF(Input!V$55&lt;61,(Input!V$55-30)/30*V410+V411,IF(Input!V$55&lt;91,(Input!V$55-60)/30*V409+V410+V411,IF(Input!V$55&lt;121,(Input!V$55-90)/30*V408+V409+V410+V411,IF(Input!V$55&lt;151,(Input!V$55-120)/30*V407+V408+V409+V410+V411,(Input!V$55-150)/30*V406+V407+V408+V409+V410+V411)))))))</f>
        <v>0</v>
      </c>
      <c r="W1046" s="229">
        <f>IF(W$338&gt;$D$33,0,IF(Input!W$55=0,0,IF(Input!W$55&lt;31,Input!W$55/30*W411,IF(Input!W$55&lt;61,(Input!W$55-30)/30*W410+W411,IF(Input!W$55&lt;91,(Input!W$55-60)/30*W409+W410+W411,IF(Input!W$55&lt;121,(Input!W$55-90)/30*W408+W409+W410+W411,IF(Input!W$55&lt;151,(Input!W$55-120)/30*W407+W408+W409+W410+W411,(Input!W$55-150)/30*W406+W407+W408+W409+W410+W411)))))))</f>
        <v>0</v>
      </c>
      <c r="X1046" s="229">
        <f>IF(X$338&gt;$D$33,0,IF(Input!X$55=0,0,IF(Input!X$55&lt;31,Input!X$55/30*X411,IF(Input!X$55&lt;61,(Input!X$55-30)/30*X410+X411,IF(Input!X$55&lt;91,(Input!X$55-60)/30*X409+X410+X411,IF(Input!X$55&lt;121,(Input!X$55-90)/30*X408+X409+X410+X411,IF(Input!X$55&lt;151,(Input!X$55-120)/30*X407+X408+X409+X410+X411,(Input!X$55-150)/30*X406+X407+X408+X409+X410+X411)))))))</f>
        <v>0</v>
      </c>
      <c r="Y1046" s="229">
        <f>IF(Y$338&gt;$D$33,0,IF(Input!Y$55=0,0,IF(Input!Y$55&lt;31,Input!Y$55/30*Y411,IF(Input!Y$55&lt;61,(Input!Y$55-30)/30*Y410+Y411,IF(Input!Y$55&lt;91,(Input!Y$55-60)/30*Y409+Y410+Y411,IF(Input!Y$55&lt;121,(Input!Y$55-90)/30*Y408+Y409+Y410+Y411,IF(Input!Y$55&lt;151,(Input!Y$55-120)/30*Y407+Y408+Y409+Y410+Y411,(Input!Y$55-150)/30*Y406+Y407+Y408+Y409+Y410+Y411)))))))</f>
        <v>0</v>
      </c>
      <c r="Z1046" s="229">
        <f>IF(Z$338&gt;$D$33,0,IF(Input!Z$55=0,0,IF(Input!Z$55&lt;31,Input!Z$55/30*Z411,IF(Input!Z$55&lt;61,(Input!Z$55-30)/30*Z410+Z411,IF(Input!Z$55&lt;91,(Input!Z$55-60)/30*Z409+Z410+Z411,IF(Input!Z$55&lt;121,(Input!Z$55-90)/30*Z408+Z409+Z410+Z411,IF(Input!Z$55&lt;151,(Input!Z$55-120)/30*Z407+Z408+Z409+Z410+Z411,(Input!Z$55-150)/30*Z406+Z407+Z408+Z409+Z410+Z411)))))))</f>
        <v>0</v>
      </c>
      <c r="AA1046" s="229">
        <f>IF(AA$338&gt;$D$33,0,IF(Input!AA$55=0,0,IF(Input!AA$55&lt;31,Input!AA$55/30*AA411,IF(Input!AA$55&lt;61,(Input!AA$55-30)/30*AA410+AA411,IF(Input!AA$55&lt;91,(Input!AA$55-60)/30*AA409+AA410+AA411,IF(Input!AA$55&lt;121,(Input!AA$55-90)/30*AA408+AA409+AA410+AA411,IF(Input!AA$55&lt;151,(Input!AA$55-120)/30*AA407+AA408+AA409+AA410+AA411,(Input!AA$55-150)/30*AA406+AA407+AA408+AA409+AA410+AA411)))))))</f>
        <v>0</v>
      </c>
      <c r="AB1046" s="229">
        <f>IF(AB$338&gt;$D$33,0,IF(Input!AB$55=0,0,IF(Input!AB$55&lt;31,Input!AB$55/30*AB411,IF(Input!AB$55&lt;61,(Input!AB$55-30)/30*AB410+AB411,IF(Input!AB$55&lt;91,(Input!AB$55-60)/30*AB409+AB410+AB411,IF(Input!AB$55&lt;121,(Input!AB$55-90)/30*AB408+AB409+AB410+AB411,IF(Input!AB$55&lt;151,(Input!AB$55-120)/30*AB407+AB408+AB409+AB410+AB411,(Input!AB$55-150)/30*AB406+AB407+AB408+AB409+AB410+AB411)))))))</f>
        <v>0</v>
      </c>
      <c r="CH1046" s="269"/>
      <c r="CI1046" s="269"/>
      <c r="CJ1046" s="269"/>
      <c r="CK1046" s="269"/>
      <c r="CL1046" s="269"/>
      <c r="CM1046" s="269"/>
      <c r="CN1046" s="269"/>
      <c r="CO1046" s="269"/>
      <c r="CP1046" s="269"/>
      <c r="CQ1046" s="269"/>
      <c r="CR1046" s="269"/>
      <c r="CS1046" s="269"/>
    </row>
    <row r="1047" spans="2:97" x14ac:dyDescent="0.3">
      <c r="C1047" s="495">
        <f>C984</f>
        <v>91</v>
      </c>
      <c r="D1047" s="229">
        <f>IF(D$338&gt;$D$33,0,IF(Input!D$55=0,0,IF(Input!D$55&lt;31,Input!D$55/30*D412,IF(Input!D$55&lt;61,(Input!D$55-30)/30*D411+D412,IF(Input!D$55&lt;91,(Input!D$55-60)/30*D410+D411+D412,IF(Input!D$55&lt;121,(Input!D$55-90)/30*D409+D410+D411+D412,IF(Input!D$55&lt;151,(Input!D$55-120)/30*D408+D409+D410+D411+D412,(Input!D$55-150)/30*D407+D408+D409+D410+D411+D412)))))))</f>
        <v>0</v>
      </c>
      <c r="E1047" s="229">
        <f>IF(E$338&gt;$D$33,0,IF(Input!E$55=0,0,IF(Input!E$55&lt;31,Input!E$55/30*E412,IF(Input!E$55&lt;61,(Input!E$55-30)/30*E411+E412,IF(Input!E$55&lt;91,(Input!E$55-60)/30*E410+E411+E412,IF(Input!E$55&lt;121,(Input!E$55-90)/30*E409+E410+E411+E412,IF(Input!E$55&lt;151,(Input!E$55-120)/30*E408+E409+E410+E411+E412,(Input!E$55-150)/30*E407+E408+E409+E410+E411+E412)))))))</f>
        <v>0</v>
      </c>
      <c r="F1047" s="229">
        <f>IF(F$338&gt;$D$33,0,IF(Input!F$55=0,0,IF(Input!F$55&lt;31,Input!F$55/30*F412,IF(Input!F$55&lt;61,(Input!F$55-30)/30*F411+F412,IF(Input!F$55&lt;91,(Input!F$55-60)/30*F410+F411+F412,IF(Input!F$55&lt;121,(Input!F$55-90)/30*F409+F410+F411+F412,IF(Input!F$55&lt;151,(Input!F$55-120)/30*F408+F409+F410+F411+F412,(Input!F$55-150)/30*F407+F408+F409+F410+F411+F412)))))))</f>
        <v>0</v>
      </c>
      <c r="G1047" s="229">
        <f>IF(G$338&gt;$D$33,0,IF(Input!G$55=0,0,IF(Input!G$55&lt;31,Input!G$55/30*G412,IF(Input!G$55&lt;61,(Input!G$55-30)/30*G411+G412,IF(Input!G$55&lt;91,(Input!G$55-60)/30*G410+G411+G412,IF(Input!G$55&lt;121,(Input!G$55-90)/30*G409+G410+G411+G412,IF(Input!G$55&lt;151,(Input!G$55-120)/30*G408+G409+G410+G411+G412,(Input!G$55-150)/30*G407+G408+G409+G410+G411+G412)))))))</f>
        <v>0</v>
      </c>
      <c r="H1047" s="229">
        <f>IF(H$338&gt;$D$33,0,IF(Input!H$55=0,0,IF(Input!H$55&lt;31,Input!H$55/30*H412,IF(Input!H$55&lt;61,(Input!H$55-30)/30*H411+H412,IF(Input!H$55&lt;91,(Input!H$55-60)/30*H410+H411+H412,IF(Input!H$55&lt;121,(Input!H$55-90)/30*H409+H410+H411+H412,IF(Input!H$55&lt;151,(Input!H$55-120)/30*H408+H409+H410+H411+H412,(Input!H$55-150)/30*H407+H408+H409+H410+H411+H412)))))))</f>
        <v>0</v>
      </c>
      <c r="I1047" s="229">
        <f>IF(I$338&gt;$D$33,0,IF(Input!I$55=0,0,IF(Input!I$55&lt;31,Input!I$55/30*I412,IF(Input!I$55&lt;61,(Input!I$55-30)/30*I411+I412,IF(Input!I$55&lt;91,(Input!I$55-60)/30*I410+I411+I412,IF(Input!I$55&lt;121,(Input!I$55-90)/30*I409+I410+I411+I412,IF(Input!I$55&lt;151,(Input!I$55-120)/30*I408+I409+I410+I411+I412,(Input!I$55-150)/30*I407+I408+I409+I410+I411+I412)))))))</f>
        <v>0</v>
      </c>
      <c r="J1047" s="229">
        <f>IF(J$338&gt;$D$33,0,IF(Input!J$55=0,0,IF(Input!J$55&lt;31,Input!J$55/30*J412,IF(Input!J$55&lt;61,(Input!J$55-30)/30*J411+J412,IF(Input!J$55&lt;91,(Input!J$55-60)/30*J410+J411+J412,IF(Input!J$55&lt;121,(Input!J$55-90)/30*J409+J410+J411+J412,IF(Input!J$55&lt;151,(Input!J$55-120)/30*J408+J409+J410+J411+J412,(Input!J$55-150)/30*J407+J408+J409+J410+J411+J412)))))))</f>
        <v>0</v>
      </c>
      <c r="K1047" s="229">
        <f>IF(K$338&gt;$D$33,0,IF(Input!K$55=0,0,IF(Input!K$55&lt;31,Input!K$55/30*K412,IF(Input!K$55&lt;61,(Input!K$55-30)/30*K411+K412,IF(Input!K$55&lt;91,(Input!K$55-60)/30*K410+K411+K412,IF(Input!K$55&lt;121,(Input!K$55-90)/30*K409+K410+K411+K412,IF(Input!K$55&lt;151,(Input!K$55-120)/30*K408+K409+K410+K411+K412,(Input!K$55-150)/30*K407+K408+K409+K410+K411+K412)))))))</f>
        <v>0</v>
      </c>
      <c r="L1047" s="229">
        <f>IF(L$338&gt;$D$33,0,IF(Input!L$55=0,0,IF(Input!L$55&lt;31,Input!L$55/30*L412,IF(Input!L$55&lt;61,(Input!L$55-30)/30*L411+L412,IF(Input!L$55&lt;91,(Input!L$55-60)/30*L410+L411+L412,IF(Input!L$55&lt;121,(Input!L$55-90)/30*L409+L410+L411+L412,IF(Input!L$55&lt;151,(Input!L$55-120)/30*L408+L409+L410+L411+L412,(Input!L$55-150)/30*L407+L408+L409+L410+L411+L412)))))))</f>
        <v>0</v>
      </c>
      <c r="M1047" s="229">
        <f>IF(M$338&gt;$D$33,0,IF(Input!M$55=0,0,IF(Input!M$55&lt;31,Input!M$55/30*M412,IF(Input!M$55&lt;61,(Input!M$55-30)/30*M411+M412,IF(Input!M$55&lt;91,(Input!M$55-60)/30*M410+M411+M412,IF(Input!M$55&lt;121,(Input!M$55-90)/30*M409+M410+M411+M412,IF(Input!M$55&lt;151,(Input!M$55-120)/30*M408+M409+M410+M411+M412,(Input!M$55-150)/30*M407+M408+M409+M410+M411+M412)))))))</f>
        <v>0</v>
      </c>
      <c r="N1047" s="229">
        <f>IF(N$338&gt;$D$33,0,IF(Input!N$55=0,0,IF(Input!N$55&lt;31,Input!N$55/30*N412,IF(Input!N$55&lt;61,(Input!N$55-30)/30*N411+N412,IF(Input!N$55&lt;91,(Input!N$55-60)/30*N410+N411+N412,IF(Input!N$55&lt;121,(Input!N$55-90)/30*N409+N410+N411+N412,IF(Input!N$55&lt;151,(Input!N$55-120)/30*N408+N409+N410+N411+N412,(Input!N$55-150)/30*N407+N408+N409+N410+N411+N412)))))))</f>
        <v>0</v>
      </c>
      <c r="O1047" s="229">
        <f>IF(O$338&gt;$D$33,0,IF(Input!O$55=0,0,IF(Input!O$55&lt;31,Input!O$55/30*O412,IF(Input!O$55&lt;61,(Input!O$55-30)/30*O411+O412,IF(Input!O$55&lt;91,(Input!O$55-60)/30*O410+O411+O412,IF(Input!O$55&lt;121,(Input!O$55-90)/30*O409+O410+O411+O412,IF(Input!O$55&lt;151,(Input!O$55-120)/30*O408+O409+O410+O411+O412,(Input!O$55-150)/30*O407+O408+O409+O410+O411+O412)))))))</f>
        <v>0</v>
      </c>
      <c r="P1047" s="229">
        <f>IF(P$338&gt;$D$33,0,IF(Input!P$55=0,0,IF(Input!P$55&lt;31,Input!P$55/30*P412,IF(Input!P$55&lt;61,(Input!P$55-30)/30*P411+P412,IF(Input!P$55&lt;91,(Input!P$55-60)/30*P410+P411+P412,IF(Input!P$55&lt;121,(Input!P$55-90)/30*P409+P410+P411+P412,IF(Input!P$55&lt;151,(Input!P$55-120)/30*P408+P409+P410+P411+P412,(Input!P$55-150)/30*P407+P408+P409+P410+P411+P412)))))))</f>
        <v>0</v>
      </c>
      <c r="Q1047" s="229">
        <f>IF(Q$338&gt;$D$33,0,IF(Input!Q$55=0,0,IF(Input!Q$55&lt;31,Input!Q$55/30*Q412,IF(Input!Q$55&lt;61,(Input!Q$55-30)/30*Q411+Q412,IF(Input!Q$55&lt;91,(Input!Q$55-60)/30*Q410+Q411+Q412,IF(Input!Q$55&lt;121,(Input!Q$55-90)/30*Q409+Q410+Q411+Q412,IF(Input!Q$55&lt;151,(Input!Q$55-120)/30*Q408+Q409+Q410+Q411+Q412,(Input!Q$55-150)/30*Q407+Q408+Q409+Q410+Q411+Q412)))))))</f>
        <v>0</v>
      </c>
      <c r="R1047" s="229">
        <f>IF(R$338&gt;$D$33,0,IF(Input!R$55=0,0,IF(Input!R$55&lt;31,Input!R$55/30*R412,IF(Input!R$55&lt;61,(Input!R$55-30)/30*R411+R412,IF(Input!R$55&lt;91,(Input!R$55-60)/30*R410+R411+R412,IF(Input!R$55&lt;121,(Input!R$55-90)/30*R409+R410+R411+R412,IF(Input!R$55&lt;151,(Input!R$55-120)/30*R408+R409+R410+R411+R412,(Input!R$55-150)/30*R407+R408+R409+R410+R411+R412)))))))</f>
        <v>0</v>
      </c>
      <c r="S1047" s="229">
        <f>IF(S$338&gt;$D$33,0,IF(Input!S$55=0,0,IF(Input!S$55&lt;31,Input!S$55/30*S412,IF(Input!S$55&lt;61,(Input!S$55-30)/30*S411+S412,IF(Input!S$55&lt;91,(Input!S$55-60)/30*S410+S411+S412,IF(Input!S$55&lt;121,(Input!S$55-90)/30*S409+S410+S411+S412,IF(Input!S$55&lt;151,(Input!S$55-120)/30*S408+S409+S410+S411+S412,(Input!S$55-150)/30*S407+S408+S409+S410+S411+S412)))))))</f>
        <v>0</v>
      </c>
      <c r="T1047" s="229">
        <f>IF(T$338&gt;$D$33,0,IF(Input!T$55=0,0,IF(Input!T$55&lt;31,Input!T$55/30*T412,IF(Input!T$55&lt;61,(Input!T$55-30)/30*T411+T412,IF(Input!T$55&lt;91,(Input!T$55-60)/30*T410+T411+T412,IF(Input!T$55&lt;121,(Input!T$55-90)/30*T409+T410+T411+T412,IF(Input!T$55&lt;151,(Input!T$55-120)/30*T408+T409+T410+T411+T412,(Input!T$55-150)/30*T407+T408+T409+T410+T411+T412)))))))</f>
        <v>0</v>
      </c>
      <c r="U1047" s="229">
        <f>IF(U$338&gt;$D$33,0,IF(Input!U$55=0,0,IF(Input!U$55&lt;31,Input!U$55/30*U412,IF(Input!U$55&lt;61,(Input!U$55-30)/30*U411+U412,IF(Input!U$55&lt;91,(Input!U$55-60)/30*U410+U411+U412,IF(Input!U$55&lt;121,(Input!U$55-90)/30*U409+U410+U411+U412,IF(Input!U$55&lt;151,(Input!U$55-120)/30*U408+U409+U410+U411+U412,(Input!U$55-150)/30*U407+U408+U409+U410+U411+U412)))))))</f>
        <v>0</v>
      </c>
      <c r="V1047" s="229">
        <f>IF(V$338&gt;$D$33,0,IF(Input!V$55=0,0,IF(Input!V$55&lt;31,Input!V$55/30*V412,IF(Input!V$55&lt;61,(Input!V$55-30)/30*V411+V412,IF(Input!V$55&lt;91,(Input!V$55-60)/30*V410+V411+V412,IF(Input!V$55&lt;121,(Input!V$55-90)/30*V409+V410+V411+V412,IF(Input!V$55&lt;151,(Input!V$55-120)/30*V408+V409+V410+V411+V412,(Input!V$55-150)/30*V407+V408+V409+V410+V411+V412)))))))</f>
        <v>0</v>
      </c>
      <c r="W1047" s="229">
        <f>IF(W$338&gt;$D$33,0,IF(Input!W$55=0,0,IF(Input!W$55&lt;31,Input!W$55/30*W412,IF(Input!W$55&lt;61,(Input!W$55-30)/30*W411+W412,IF(Input!W$55&lt;91,(Input!W$55-60)/30*W410+W411+W412,IF(Input!W$55&lt;121,(Input!W$55-90)/30*W409+W410+W411+W412,IF(Input!W$55&lt;151,(Input!W$55-120)/30*W408+W409+W410+W411+W412,(Input!W$55-150)/30*W407+W408+W409+W410+W411+W412)))))))</f>
        <v>0</v>
      </c>
      <c r="X1047" s="229">
        <f>IF(X$338&gt;$D$33,0,IF(Input!X$55=0,0,IF(Input!X$55&lt;31,Input!X$55/30*X412,IF(Input!X$55&lt;61,(Input!X$55-30)/30*X411+X412,IF(Input!X$55&lt;91,(Input!X$55-60)/30*X410+X411+X412,IF(Input!X$55&lt;121,(Input!X$55-90)/30*X409+X410+X411+X412,IF(Input!X$55&lt;151,(Input!X$55-120)/30*X408+X409+X410+X411+X412,(Input!X$55-150)/30*X407+X408+X409+X410+X411+X412)))))))</f>
        <v>0</v>
      </c>
      <c r="Y1047" s="229">
        <f>IF(Y$338&gt;$D$33,0,IF(Input!Y$55=0,0,IF(Input!Y$55&lt;31,Input!Y$55/30*Y412,IF(Input!Y$55&lt;61,(Input!Y$55-30)/30*Y411+Y412,IF(Input!Y$55&lt;91,(Input!Y$55-60)/30*Y410+Y411+Y412,IF(Input!Y$55&lt;121,(Input!Y$55-90)/30*Y409+Y410+Y411+Y412,IF(Input!Y$55&lt;151,(Input!Y$55-120)/30*Y408+Y409+Y410+Y411+Y412,(Input!Y$55-150)/30*Y407+Y408+Y409+Y410+Y411+Y412)))))))</f>
        <v>0</v>
      </c>
      <c r="Z1047" s="229">
        <f>IF(Z$338&gt;$D$33,0,IF(Input!Z$55=0,0,IF(Input!Z$55&lt;31,Input!Z$55/30*Z412,IF(Input!Z$55&lt;61,(Input!Z$55-30)/30*Z411+Z412,IF(Input!Z$55&lt;91,(Input!Z$55-60)/30*Z410+Z411+Z412,IF(Input!Z$55&lt;121,(Input!Z$55-90)/30*Z409+Z410+Z411+Z412,IF(Input!Z$55&lt;151,(Input!Z$55-120)/30*Z408+Z409+Z410+Z411+Z412,(Input!Z$55-150)/30*Z407+Z408+Z409+Z410+Z411+Z412)))))))</f>
        <v>0</v>
      </c>
      <c r="AA1047" s="229">
        <f>IF(AA$338&gt;$D$33,0,IF(Input!AA$55=0,0,IF(Input!AA$55&lt;31,Input!AA$55/30*AA412,IF(Input!AA$55&lt;61,(Input!AA$55-30)/30*AA411+AA412,IF(Input!AA$55&lt;91,(Input!AA$55-60)/30*AA410+AA411+AA412,IF(Input!AA$55&lt;121,(Input!AA$55-90)/30*AA409+AA410+AA411+AA412,IF(Input!AA$55&lt;151,(Input!AA$55-120)/30*AA408+AA409+AA410+AA411+AA412,(Input!AA$55-150)/30*AA407+AA408+AA409+AA410+AA411+AA412)))))))</f>
        <v>0</v>
      </c>
      <c r="AB1047" s="229">
        <f>IF(AB$338&gt;$D$33,0,IF(Input!AB$55=0,0,IF(Input!AB$55&lt;31,Input!AB$55/30*AB412,IF(Input!AB$55&lt;61,(Input!AB$55-30)/30*AB411+AB412,IF(Input!AB$55&lt;91,(Input!AB$55-60)/30*AB410+AB411+AB412,IF(Input!AB$55&lt;121,(Input!AB$55-90)/30*AB409+AB410+AB411+AB412,IF(Input!AB$55&lt;151,(Input!AB$55-120)/30*AB408+AB409+AB410+AB411+AB412,(Input!AB$55-150)/30*AB407+AB408+AB409+AB410+AB411+AB412)))))))</f>
        <v>0</v>
      </c>
      <c r="CH1047" s="269"/>
      <c r="CI1047" s="269"/>
      <c r="CJ1047" s="269"/>
      <c r="CK1047" s="269"/>
      <c r="CL1047" s="269"/>
      <c r="CM1047" s="269"/>
      <c r="CN1047" s="269"/>
      <c r="CO1047" s="269"/>
      <c r="CP1047" s="269"/>
      <c r="CQ1047" s="269"/>
      <c r="CR1047" s="269"/>
      <c r="CS1047" s="269"/>
    </row>
    <row r="1048" spans="2:97" x14ac:dyDescent="0.3">
      <c r="C1048" s="495">
        <f>C985</f>
        <v>121</v>
      </c>
      <c r="D1048" s="229">
        <f>IF(D$338&gt;$D$33,0,IF(Input!D$55=0,0,IF(Input!D$55&lt;31,Input!D$55/30*D413,IF(Input!D$55&lt;61,(Input!D$55-30)/30*D412+D413,IF(Input!D$55&lt;91,(Input!D$55-60)/30*D411+D412+D413,IF(Input!D$55&lt;121,(Input!D$55-90)/30*D410+D411+D412+D413,IF(Input!D$55&lt;151,(Input!D$55-120)/30*D409+D410+D411+D412+D413,(Input!D$55-150)/30*D408+D409+D410+D411+D412+D413)))))))</f>
        <v>0</v>
      </c>
      <c r="E1048" s="229">
        <f>IF(E$338&gt;$D$33,0,IF(Input!E$55=0,0,IF(Input!E$55&lt;31,Input!E$55/30*E413,IF(Input!E$55&lt;61,(Input!E$55-30)/30*E412+E413,IF(Input!E$55&lt;91,(Input!E$55-60)/30*E411+E412+E413,IF(Input!E$55&lt;121,(Input!E$55-90)/30*E410+E411+E412+E413,IF(Input!E$55&lt;151,(Input!E$55-120)/30*E409+E410+E411+E412+E413,(Input!E$55-150)/30*E408+E409+E410+E411+E412+E413)))))))</f>
        <v>0</v>
      </c>
      <c r="F1048" s="229">
        <f>IF(F$338&gt;$D$33,0,IF(Input!F$55=0,0,IF(Input!F$55&lt;31,Input!F$55/30*F413,IF(Input!F$55&lt;61,(Input!F$55-30)/30*F412+F413,IF(Input!F$55&lt;91,(Input!F$55-60)/30*F411+F412+F413,IF(Input!F$55&lt;121,(Input!F$55-90)/30*F410+F411+F412+F413,IF(Input!F$55&lt;151,(Input!F$55-120)/30*F409+F410+F411+F412+F413,(Input!F$55-150)/30*F408+F409+F410+F411+F412+F413)))))))</f>
        <v>0</v>
      </c>
      <c r="G1048" s="229">
        <f>IF(G$338&gt;$D$33,0,IF(Input!G$55=0,0,IF(Input!G$55&lt;31,Input!G$55/30*G413,IF(Input!G$55&lt;61,(Input!G$55-30)/30*G412+G413,IF(Input!G$55&lt;91,(Input!G$55-60)/30*G411+G412+G413,IF(Input!G$55&lt;121,(Input!G$55-90)/30*G410+G411+G412+G413,IF(Input!G$55&lt;151,(Input!G$55-120)/30*G409+G410+G411+G412+G413,(Input!G$55-150)/30*G408+G409+G410+G411+G412+G413)))))))</f>
        <v>0</v>
      </c>
      <c r="H1048" s="229">
        <f>IF(H$338&gt;$D$33,0,IF(Input!H$55=0,0,IF(Input!H$55&lt;31,Input!H$55/30*H413,IF(Input!H$55&lt;61,(Input!H$55-30)/30*H412+H413,IF(Input!H$55&lt;91,(Input!H$55-60)/30*H411+H412+H413,IF(Input!H$55&lt;121,(Input!H$55-90)/30*H410+H411+H412+H413,IF(Input!H$55&lt;151,(Input!H$55-120)/30*H409+H410+H411+H412+H413,(Input!H$55-150)/30*H408+H409+H410+H411+H412+H413)))))))</f>
        <v>0</v>
      </c>
      <c r="I1048" s="229">
        <f>IF(I$338&gt;$D$33,0,IF(Input!I$55=0,0,IF(Input!I$55&lt;31,Input!I$55/30*I413,IF(Input!I$55&lt;61,(Input!I$55-30)/30*I412+I413,IF(Input!I$55&lt;91,(Input!I$55-60)/30*I411+I412+I413,IF(Input!I$55&lt;121,(Input!I$55-90)/30*I410+I411+I412+I413,IF(Input!I$55&lt;151,(Input!I$55-120)/30*I409+I410+I411+I412+I413,(Input!I$55-150)/30*I408+I409+I410+I411+I412+I413)))))))</f>
        <v>0</v>
      </c>
      <c r="J1048" s="229">
        <f>IF(J$338&gt;$D$33,0,IF(Input!J$55=0,0,IF(Input!J$55&lt;31,Input!J$55/30*J413,IF(Input!J$55&lt;61,(Input!J$55-30)/30*J412+J413,IF(Input!J$55&lt;91,(Input!J$55-60)/30*J411+J412+J413,IF(Input!J$55&lt;121,(Input!J$55-90)/30*J410+J411+J412+J413,IF(Input!J$55&lt;151,(Input!J$55-120)/30*J409+J410+J411+J412+J413,(Input!J$55-150)/30*J408+J409+J410+J411+J412+J413)))))))</f>
        <v>0</v>
      </c>
      <c r="K1048" s="229">
        <f>IF(K$338&gt;$D$33,0,IF(Input!K$55=0,0,IF(Input!K$55&lt;31,Input!K$55/30*K413,IF(Input!K$55&lt;61,(Input!K$55-30)/30*K412+K413,IF(Input!K$55&lt;91,(Input!K$55-60)/30*K411+K412+K413,IF(Input!K$55&lt;121,(Input!K$55-90)/30*K410+K411+K412+K413,IF(Input!K$55&lt;151,(Input!K$55-120)/30*K409+K410+K411+K412+K413,(Input!K$55-150)/30*K408+K409+K410+K411+K412+K413)))))))</f>
        <v>0</v>
      </c>
      <c r="L1048" s="229">
        <f>IF(L$338&gt;$D$33,0,IF(Input!L$55=0,0,IF(Input!L$55&lt;31,Input!L$55/30*L413,IF(Input!L$55&lt;61,(Input!L$55-30)/30*L412+L413,IF(Input!L$55&lt;91,(Input!L$55-60)/30*L411+L412+L413,IF(Input!L$55&lt;121,(Input!L$55-90)/30*L410+L411+L412+L413,IF(Input!L$55&lt;151,(Input!L$55-120)/30*L409+L410+L411+L412+L413,(Input!L$55-150)/30*L408+L409+L410+L411+L412+L413)))))))</f>
        <v>0</v>
      </c>
      <c r="M1048" s="229">
        <f>IF(M$338&gt;$D$33,0,IF(Input!M$55=0,0,IF(Input!M$55&lt;31,Input!M$55/30*M413,IF(Input!M$55&lt;61,(Input!M$55-30)/30*M412+M413,IF(Input!M$55&lt;91,(Input!M$55-60)/30*M411+M412+M413,IF(Input!M$55&lt;121,(Input!M$55-90)/30*M410+M411+M412+M413,IF(Input!M$55&lt;151,(Input!M$55-120)/30*M409+M410+M411+M412+M413,(Input!M$55-150)/30*M408+M409+M410+M411+M412+M413)))))))</f>
        <v>0</v>
      </c>
      <c r="N1048" s="229">
        <f>IF(N$338&gt;$D$33,0,IF(Input!N$55=0,0,IF(Input!N$55&lt;31,Input!N$55/30*N413,IF(Input!N$55&lt;61,(Input!N$55-30)/30*N412+N413,IF(Input!N$55&lt;91,(Input!N$55-60)/30*N411+N412+N413,IF(Input!N$55&lt;121,(Input!N$55-90)/30*N410+N411+N412+N413,IF(Input!N$55&lt;151,(Input!N$55-120)/30*N409+N410+N411+N412+N413,(Input!N$55-150)/30*N408+N409+N410+N411+N412+N413)))))))</f>
        <v>0</v>
      </c>
      <c r="O1048" s="229">
        <f>IF(O$338&gt;$D$33,0,IF(Input!O$55=0,0,IF(Input!O$55&lt;31,Input!O$55/30*O413,IF(Input!O$55&lt;61,(Input!O$55-30)/30*O412+O413,IF(Input!O$55&lt;91,(Input!O$55-60)/30*O411+O412+O413,IF(Input!O$55&lt;121,(Input!O$55-90)/30*O410+O411+O412+O413,IF(Input!O$55&lt;151,(Input!O$55-120)/30*O409+O410+O411+O412+O413,(Input!O$55-150)/30*O408+O409+O410+O411+O412+O413)))))))</f>
        <v>0</v>
      </c>
      <c r="P1048" s="229">
        <f>IF(P$338&gt;$D$33,0,IF(Input!P$55=0,0,IF(Input!P$55&lt;31,Input!P$55/30*P413,IF(Input!P$55&lt;61,(Input!P$55-30)/30*P412+P413,IF(Input!P$55&lt;91,(Input!P$55-60)/30*P411+P412+P413,IF(Input!P$55&lt;121,(Input!P$55-90)/30*P410+P411+P412+P413,IF(Input!P$55&lt;151,(Input!P$55-120)/30*P409+P410+P411+P412+P413,(Input!P$55-150)/30*P408+P409+P410+P411+P412+P413)))))))</f>
        <v>0</v>
      </c>
      <c r="Q1048" s="229">
        <f>IF(Q$338&gt;$D$33,0,IF(Input!Q$55=0,0,IF(Input!Q$55&lt;31,Input!Q$55/30*Q413,IF(Input!Q$55&lt;61,(Input!Q$55-30)/30*Q412+Q413,IF(Input!Q$55&lt;91,(Input!Q$55-60)/30*Q411+Q412+Q413,IF(Input!Q$55&lt;121,(Input!Q$55-90)/30*Q410+Q411+Q412+Q413,IF(Input!Q$55&lt;151,(Input!Q$55-120)/30*Q409+Q410+Q411+Q412+Q413,(Input!Q$55-150)/30*Q408+Q409+Q410+Q411+Q412+Q413)))))))</f>
        <v>0</v>
      </c>
      <c r="R1048" s="229">
        <f>IF(R$338&gt;$D$33,0,IF(Input!R$55=0,0,IF(Input!R$55&lt;31,Input!R$55/30*R413,IF(Input!R$55&lt;61,(Input!R$55-30)/30*R412+R413,IF(Input!R$55&lt;91,(Input!R$55-60)/30*R411+R412+R413,IF(Input!R$55&lt;121,(Input!R$55-90)/30*R410+R411+R412+R413,IF(Input!R$55&lt;151,(Input!R$55-120)/30*R409+R410+R411+R412+R413,(Input!R$55-150)/30*R408+R409+R410+R411+R412+R413)))))))</f>
        <v>0</v>
      </c>
      <c r="S1048" s="229">
        <f>IF(S$338&gt;$D$33,0,IF(Input!S$55=0,0,IF(Input!S$55&lt;31,Input!S$55/30*S413,IF(Input!S$55&lt;61,(Input!S$55-30)/30*S412+S413,IF(Input!S$55&lt;91,(Input!S$55-60)/30*S411+S412+S413,IF(Input!S$55&lt;121,(Input!S$55-90)/30*S410+S411+S412+S413,IF(Input!S$55&lt;151,(Input!S$55-120)/30*S409+S410+S411+S412+S413,(Input!S$55-150)/30*S408+S409+S410+S411+S412+S413)))))))</f>
        <v>0</v>
      </c>
      <c r="T1048" s="229">
        <f>IF(T$338&gt;$D$33,0,IF(Input!T$55=0,0,IF(Input!T$55&lt;31,Input!T$55/30*T413,IF(Input!T$55&lt;61,(Input!T$55-30)/30*T412+T413,IF(Input!T$55&lt;91,(Input!T$55-60)/30*T411+T412+T413,IF(Input!T$55&lt;121,(Input!T$55-90)/30*T410+T411+T412+T413,IF(Input!T$55&lt;151,(Input!T$55-120)/30*T409+T410+T411+T412+T413,(Input!T$55-150)/30*T408+T409+T410+T411+T412+T413)))))))</f>
        <v>0</v>
      </c>
      <c r="U1048" s="229">
        <f>IF(U$338&gt;$D$33,0,IF(Input!U$55=0,0,IF(Input!U$55&lt;31,Input!U$55/30*U413,IF(Input!U$55&lt;61,(Input!U$55-30)/30*U412+U413,IF(Input!U$55&lt;91,(Input!U$55-60)/30*U411+U412+U413,IF(Input!U$55&lt;121,(Input!U$55-90)/30*U410+U411+U412+U413,IF(Input!U$55&lt;151,(Input!U$55-120)/30*U409+U410+U411+U412+U413,(Input!U$55-150)/30*U408+U409+U410+U411+U412+U413)))))))</f>
        <v>0</v>
      </c>
      <c r="V1048" s="229">
        <f>IF(V$338&gt;$D$33,0,IF(Input!V$55=0,0,IF(Input!V$55&lt;31,Input!V$55/30*V413,IF(Input!V$55&lt;61,(Input!V$55-30)/30*V412+V413,IF(Input!V$55&lt;91,(Input!V$55-60)/30*V411+V412+V413,IF(Input!V$55&lt;121,(Input!V$55-90)/30*V410+V411+V412+V413,IF(Input!V$55&lt;151,(Input!V$55-120)/30*V409+V410+V411+V412+V413,(Input!V$55-150)/30*V408+V409+V410+V411+V412+V413)))))))</f>
        <v>0</v>
      </c>
      <c r="W1048" s="229">
        <f>IF(W$338&gt;$D$33,0,IF(Input!W$55=0,0,IF(Input!W$55&lt;31,Input!W$55/30*W413,IF(Input!W$55&lt;61,(Input!W$55-30)/30*W412+W413,IF(Input!W$55&lt;91,(Input!W$55-60)/30*W411+W412+W413,IF(Input!W$55&lt;121,(Input!W$55-90)/30*W410+W411+W412+W413,IF(Input!W$55&lt;151,(Input!W$55-120)/30*W409+W410+W411+W412+W413,(Input!W$55-150)/30*W408+W409+W410+W411+W412+W413)))))))</f>
        <v>0</v>
      </c>
      <c r="X1048" s="229">
        <f>IF(X$338&gt;$D$33,0,IF(Input!X$55=0,0,IF(Input!X$55&lt;31,Input!X$55/30*X413,IF(Input!X$55&lt;61,(Input!X$55-30)/30*X412+X413,IF(Input!X$55&lt;91,(Input!X$55-60)/30*X411+X412+X413,IF(Input!X$55&lt;121,(Input!X$55-90)/30*X410+X411+X412+X413,IF(Input!X$55&lt;151,(Input!X$55-120)/30*X409+X410+X411+X412+X413,(Input!X$55-150)/30*X408+X409+X410+X411+X412+X413)))))))</f>
        <v>0</v>
      </c>
      <c r="Y1048" s="229">
        <f>IF(Y$338&gt;$D$33,0,IF(Input!Y$55=0,0,IF(Input!Y$55&lt;31,Input!Y$55/30*Y413,IF(Input!Y$55&lt;61,(Input!Y$55-30)/30*Y412+Y413,IF(Input!Y$55&lt;91,(Input!Y$55-60)/30*Y411+Y412+Y413,IF(Input!Y$55&lt;121,(Input!Y$55-90)/30*Y410+Y411+Y412+Y413,IF(Input!Y$55&lt;151,(Input!Y$55-120)/30*Y409+Y410+Y411+Y412+Y413,(Input!Y$55-150)/30*Y408+Y409+Y410+Y411+Y412+Y413)))))))</f>
        <v>0</v>
      </c>
      <c r="Z1048" s="229">
        <f>IF(Z$338&gt;$D$33,0,IF(Input!Z$55=0,0,IF(Input!Z$55&lt;31,Input!Z$55/30*Z413,IF(Input!Z$55&lt;61,(Input!Z$55-30)/30*Z412+Z413,IF(Input!Z$55&lt;91,(Input!Z$55-60)/30*Z411+Z412+Z413,IF(Input!Z$55&lt;121,(Input!Z$55-90)/30*Z410+Z411+Z412+Z413,IF(Input!Z$55&lt;151,(Input!Z$55-120)/30*Z409+Z410+Z411+Z412+Z413,(Input!Z$55-150)/30*Z408+Z409+Z410+Z411+Z412+Z413)))))))</f>
        <v>0</v>
      </c>
      <c r="AA1048" s="229">
        <f>IF(AA$338&gt;$D$33,0,IF(Input!AA$55=0,0,IF(Input!AA$55&lt;31,Input!AA$55/30*AA413,IF(Input!AA$55&lt;61,(Input!AA$55-30)/30*AA412+AA413,IF(Input!AA$55&lt;91,(Input!AA$55-60)/30*AA411+AA412+AA413,IF(Input!AA$55&lt;121,(Input!AA$55-90)/30*AA410+AA411+AA412+AA413,IF(Input!AA$55&lt;151,(Input!AA$55-120)/30*AA409+AA410+AA411+AA412+AA413,(Input!AA$55-150)/30*AA408+AA409+AA410+AA411+AA412+AA413)))))))</f>
        <v>0</v>
      </c>
      <c r="AB1048" s="229">
        <f>IF(AB$338&gt;$D$33,0,IF(Input!AB$55=0,0,IF(Input!AB$55&lt;31,Input!AB$55/30*AB413,IF(Input!AB$55&lt;61,(Input!AB$55-30)/30*AB412+AB413,IF(Input!AB$55&lt;91,(Input!AB$55-60)/30*AB411+AB412+AB413,IF(Input!AB$55&lt;121,(Input!AB$55-90)/30*AB410+AB411+AB412+AB413,IF(Input!AB$55&lt;151,(Input!AB$55-120)/30*AB409+AB410+AB411+AB412+AB413,(Input!AB$55-150)/30*AB408+AB409+AB410+AB411+AB412+AB413)))))))</f>
        <v>0</v>
      </c>
      <c r="CH1048" s="269"/>
      <c r="CI1048" s="269"/>
      <c r="CJ1048" s="269"/>
      <c r="CK1048" s="269"/>
      <c r="CL1048" s="269"/>
      <c r="CM1048" s="269"/>
      <c r="CN1048" s="269"/>
      <c r="CO1048" s="269"/>
      <c r="CP1048" s="269"/>
      <c r="CQ1048" s="269"/>
      <c r="CR1048" s="269"/>
      <c r="CS1048" s="269"/>
    </row>
    <row r="1049" spans="2:97" x14ac:dyDescent="0.3">
      <c r="C1049" s="495">
        <f>C986</f>
        <v>152</v>
      </c>
      <c r="D1049" s="229">
        <f>IF(D$338&gt;$D$33,0,IF(Input!D$55=0,0,IF(Input!D$55&lt;31,Input!D$55/30*D414,IF(Input!D$55&lt;61,(Input!D$55-30)/30*D413+D414,IF(Input!D$55&lt;91,(Input!D$55-60)/30*D412+D413+D414,IF(Input!D$55&lt;121,(Input!D$55-90)/30*D411+D412+D413+D414,IF(Input!D$55&lt;151,(Input!D$55-120)/30*D410+D411+D412+D413+D414,(Input!D$55-150)/30*D409+D410+D411+D412+D413+D414)))))))</f>
        <v>0</v>
      </c>
      <c r="E1049" s="229">
        <f>IF(E$338&gt;$D$33,0,IF(Input!E$55=0,0,IF(Input!E$55&lt;31,Input!E$55/30*E414,IF(Input!E$55&lt;61,(Input!E$55-30)/30*E413+E414,IF(Input!E$55&lt;91,(Input!E$55-60)/30*E412+E413+E414,IF(Input!E$55&lt;121,(Input!E$55-90)/30*E411+E412+E413+E414,IF(Input!E$55&lt;151,(Input!E$55-120)/30*E410+E411+E412+E413+E414,(Input!E$55-150)/30*E409+E410+E411+E412+E413+E414)))))))</f>
        <v>0</v>
      </c>
      <c r="F1049" s="229">
        <f>IF(F$338&gt;$D$33,0,IF(Input!F$55=0,0,IF(Input!F$55&lt;31,Input!F$55/30*F414,IF(Input!F$55&lt;61,(Input!F$55-30)/30*F413+F414,IF(Input!F$55&lt;91,(Input!F$55-60)/30*F412+F413+F414,IF(Input!F$55&lt;121,(Input!F$55-90)/30*F411+F412+F413+F414,IF(Input!F$55&lt;151,(Input!F$55-120)/30*F410+F411+F412+F413+F414,(Input!F$55-150)/30*F409+F410+F411+F412+F413+F414)))))))</f>
        <v>0</v>
      </c>
      <c r="G1049" s="229">
        <f>IF(G$338&gt;$D$33,0,IF(Input!G$55=0,0,IF(Input!G$55&lt;31,Input!G$55/30*G414,IF(Input!G$55&lt;61,(Input!G$55-30)/30*G413+G414,IF(Input!G$55&lt;91,(Input!G$55-60)/30*G412+G413+G414,IF(Input!G$55&lt;121,(Input!G$55-90)/30*G411+G412+G413+G414,IF(Input!G$55&lt;151,(Input!G$55-120)/30*G410+G411+G412+G413+G414,(Input!G$55-150)/30*G409+G410+G411+G412+G413+G414)))))))</f>
        <v>0</v>
      </c>
      <c r="H1049" s="229">
        <f>IF(H$338&gt;$D$33,0,IF(Input!H$55=0,0,IF(Input!H$55&lt;31,Input!H$55/30*H414,IF(Input!H$55&lt;61,(Input!H$55-30)/30*H413+H414,IF(Input!H$55&lt;91,(Input!H$55-60)/30*H412+H413+H414,IF(Input!H$55&lt;121,(Input!H$55-90)/30*H411+H412+H413+H414,IF(Input!H$55&lt;151,(Input!H$55-120)/30*H410+H411+H412+H413+H414,(Input!H$55-150)/30*H409+H410+H411+H412+H413+H414)))))))</f>
        <v>0</v>
      </c>
      <c r="I1049" s="229">
        <f>IF(I$338&gt;$D$33,0,IF(Input!I$55=0,0,IF(Input!I$55&lt;31,Input!I$55/30*I414,IF(Input!I$55&lt;61,(Input!I$55-30)/30*I413+I414,IF(Input!I$55&lt;91,(Input!I$55-60)/30*I412+I413+I414,IF(Input!I$55&lt;121,(Input!I$55-90)/30*I411+I412+I413+I414,IF(Input!I$55&lt;151,(Input!I$55-120)/30*I410+I411+I412+I413+I414,(Input!I$55-150)/30*I409+I410+I411+I412+I413+I414)))))))</f>
        <v>0</v>
      </c>
      <c r="J1049" s="229">
        <f>IF(J$338&gt;$D$33,0,IF(Input!J$55=0,0,IF(Input!J$55&lt;31,Input!J$55/30*J414,IF(Input!J$55&lt;61,(Input!J$55-30)/30*J413+J414,IF(Input!J$55&lt;91,(Input!J$55-60)/30*J412+J413+J414,IF(Input!J$55&lt;121,(Input!J$55-90)/30*J411+J412+J413+J414,IF(Input!J$55&lt;151,(Input!J$55-120)/30*J410+J411+J412+J413+J414,(Input!J$55-150)/30*J409+J410+J411+J412+J413+J414)))))))</f>
        <v>0</v>
      </c>
      <c r="K1049" s="229">
        <f>IF(K$338&gt;$D$33,0,IF(Input!K$55=0,0,IF(Input!K$55&lt;31,Input!K$55/30*K414,IF(Input!K$55&lt;61,(Input!K$55-30)/30*K413+K414,IF(Input!K$55&lt;91,(Input!K$55-60)/30*K412+K413+K414,IF(Input!K$55&lt;121,(Input!K$55-90)/30*K411+K412+K413+K414,IF(Input!K$55&lt;151,(Input!K$55-120)/30*K410+K411+K412+K413+K414,(Input!K$55-150)/30*K409+K410+K411+K412+K413+K414)))))))</f>
        <v>0</v>
      </c>
      <c r="L1049" s="229">
        <f>IF(L$338&gt;$D$33,0,IF(Input!L$55=0,0,IF(Input!L$55&lt;31,Input!L$55/30*L414,IF(Input!L$55&lt;61,(Input!L$55-30)/30*L413+L414,IF(Input!L$55&lt;91,(Input!L$55-60)/30*L412+L413+L414,IF(Input!L$55&lt;121,(Input!L$55-90)/30*L411+L412+L413+L414,IF(Input!L$55&lt;151,(Input!L$55-120)/30*L410+L411+L412+L413+L414,(Input!L$55-150)/30*L409+L410+L411+L412+L413+L414)))))))</f>
        <v>0</v>
      </c>
      <c r="M1049" s="229">
        <f>IF(M$338&gt;$D$33,0,IF(Input!M$55=0,0,IF(Input!M$55&lt;31,Input!M$55/30*M414,IF(Input!M$55&lt;61,(Input!M$55-30)/30*M413+M414,IF(Input!M$55&lt;91,(Input!M$55-60)/30*M412+M413+M414,IF(Input!M$55&lt;121,(Input!M$55-90)/30*M411+M412+M413+M414,IF(Input!M$55&lt;151,(Input!M$55-120)/30*M410+M411+M412+M413+M414,(Input!M$55-150)/30*M409+M410+M411+M412+M413+M414)))))))</f>
        <v>0</v>
      </c>
      <c r="N1049" s="229">
        <f>IF(N$338&gt;$D$33,0,IF(Input!N$55=0,0,IF(Input!N$55&lt;31,Input!N$55/30*N414,IF(Input!N$55&lt;61,(Input!N$55-30)/30*N413+N414,IF(Input!N$55&lt;91,(Input!N$55-60)/30*N412+N413+N414,IF(Input!N$55&lt;121,(Input!N$55-90)/30*N411+N412+N413+N414,IF(Input!N$55&lt;151,(Input!N$55-120)/30*N410+N411+N412+N413+N414,(Input!N$55-150)/30*N409+N410+N411+N412+N413+N414)))))))</f>
        <v>0</v>
      </c>
      <c r="O1049" s="229">
        <f>IF(O$338&gt;$D$33,0,IF(Input!O$55=0,0,IF(Input!O$55&lt;31,Input!O$55/30*O414,IF(Input!O$55&lt;61,(Input!O$55-30)/30*O413+O414,IF(Input!O$55&lt;91,(Input!O$55-60)/30*O412+O413+O414,IF(Input!O$55&lt;121,(Input!O$55-90)/30*O411+O412+O413+O414,IF(Input!O$55&lt;151,(Input!O$55-120)/30*O410+O411+O412+O413+O414,(Input!O$55-150)/30*O409+O410+O411+O412+O413+O414)))))))</f>
        <v>0</v>
      </c>
      <c r="P1049" s="229">
        <f>IF(P$338&gt;$D$33,0,IF(Input!P$55=0,0,IF(Input!P$55&lt;31,Input!P$55/30*P414,IF(Input!P$55&lt;61,(Input!P$55-30)/30*P413+P414,IF(Input!P$55&lt;91,(Input!P$55-60)/30*P412+P413+P414,IF(Input!P$55&lt;121,(Input!P$55-90)/30*P411+P412+P413+P414,IF(Input!P$55&lt;151,(Input!P$55-120)/30*P410+P411+P412+P413+P414,(Input!P$55-150)/30*P409+P410+P411+P412+P413+P414)))))))</f>
        <v>0</v>
      </c>
      <c r="Q1049" s="229">
        <f>IF(Q$338&gt;$D$33,0,IF(Input!Q$55=0,0,IF(Input!Q$55&lt;31,Input!Q$55/30*Q414,IF(Input!Q$55&lt;61,(Input!Q$55-30)/30*Q413+Q414,IF(Input!Q$55&lt;91,(Input!Q$55-60)/30*Q412+Q413+Q414,IF(Input!Q$55&lt;121,(Input!Q$55-90)/30*Q411+Q412+Q413+Q414,IF(Input!Q$55&lt;151,(Input!Q$55-120)/30*Q410+Q411+Q412+Q413+Q414,(Input!Q$55-150)/30*Q409+Q410+Q411+Q412+Q413+Q414)))))))</f>
        <v>0</v>
      </c>
      <c r="R1049" s="229">
        <f>IF(R$338&gt;$D$33,0,IF(Input!R$55=0,0,IF(Input!R$55&lt;31,Input!R$55/30*R414,IF(Input!R$55&lt;61,(Input!R$55-30)/30*R413+R414,IF(Input!R$55&lt;91,(Input!R$55-60)/30*R412+R413+R414,IF(Input!R$55&lt;121,(Input!R$55-90)/30*R411+R412+R413+R414,IF(Input!R$55&lt;151,(Input!R$55-120)/30*R410+R411+R412+R413+R414,(Input!R$55-150)/30*R409+R410+R411+R412+R413+R414)))))))</f>
        <v>0</v>
      </c>
      <c r="S1049" s="229">
        <f>IF(S$338&gt;$D$33,0,IF(Input!S$55=0,0,IF(Input!S$55&lt;31,Input!S$55/30*S414,IF(Input!S$55&lt;61,(Input!S$55-30)/30*S413+S414,IF(Input!S$55&lt;91,(Input!S$55-60)/30*S412+S413+S414,IF(Input!S$55&lt;121,(Input!S$55-90)/30*S411+S412+S413+S414,IF(Input!S$55&lt;151,(Input!S$55-120)/30*S410+S411+S412+S413+S414,(Input!S$55-150)/30*S409+S410+S411+S412+S413+S414)))))))</f>
        <v>0</v>
      </c>
      <c r="T1049" s="229">
        <f>IF(T$338&gt;$D$33,0,IF(Input!T$55=0,0,IF(Input!T$55&lt;31,Input!T$55/30*T414,IF(Input!T$55&lt;61,(Input!T$55-30)/30*T413+T414,IF(Input!T$55&lt;91,(Input!T$55-60)/30*T412+T413+T414,IF(Input!T$55&lt;121,(Input!T$55-90)/30*T411+T412+T413+T414,IF(Input!T$55&lt;151,(Input!T$55-120)/30*T410+T411+T412+T413+T414,(Input!T$55-150)/30*T409+T410+T411+T412+T413+T414)))))))</f>
        <v>0</v>
      </c>
      <c r="U1049" s="229">
        <f>IF(U$338&gt;$D$33,0,IF(Input!U$55=0,0,IF(Input!U$55&lt;31,Input!U$55/30*U414,IF(Input!U$55&lt;61,(Input!U$55-30)/30*U413+U414,IF(Input!U$55&lt;91,(Input!U$55-60)/30*U412+U413+U414,IF(Input!U$55&lt;121,(Input!U$55-90)/30*U411+U412+U413+U414,IF(Input!U$55&lt;151,(Input!U$55-120)/30*U410+U411+U412+U413+U414,(Input!U$55-150)/30*U409+U410+U411+U412+U413+U414)))))))</f>
        <v>0</v>
      </c>
      <c r="V1049" s="229">
        <f>IF(V$338&gt;$D$33,0,IF(Input!V$55=0,0,IF(Input!V$55&lt;31,Input!V$55/30*V414,IF(Input!V$55&lt;61,(Input!V$55-30)/30*V413+V414,IF(Input!V$55&lt;91,(Input!V$55-60)/30*V412+V413+V414,IF(Input!V$55&lt;121,(Input!V$55-90)/30*V411+V412+V413+V414,IF(Input!V$55&lt;151,(Input!V$55-120)/30*V410+V411+V412+V413+V414,(Input!V$55-150)/30*V409+V410+V411+V412+V413+V414)))))))</f>
        <v>0</v>
      </c>
      <c r="W1049" s="229">
        <f>IF(W$338&gt;$D$33,0,IF(Input!W$55=0,0,IF(Input!W$55&lt;31,Input!W$55/30*W414,IF(Input!W$55&lt;61,(Input!W$55-30)/30*W413+W414,IF(Input!W$55&lt;91,(Input!W$55-60)/30*W412+W413+W414,IF(Input!W$55&lt;121,(Input!W$55-90)/30*W411+W412+W413+W414,IF(Input!W$55&lt;151,(Input!W$55-120)/30*W410+W411+W412+W413+W414,(Input!W$55-150)/30*W409+W410+W411+W412+W413+W414)))))))</f>
        <v>0</v>
      </c>
      <c r="X1049" s="229">
        <f>IF(X$338&gt;$D$33,0,IF(Input!X$55=0,0,IF(Input!X$55&lt;31,Input!X$55/30*X414,IF(Input!X$55&lt;61,(Input!X$55-30)/30*X413+X414,IF(Input!X$55&lt;91,(Input!X$55-60)/30*X412+X413+X414,IF(Input!X$55&lt;121,(Input!X$55-90)/30*X411+X412+X413+X414,IF(Input!X$55&lt;151,(Input!X$55-120)/30*X410+X411+X412+X413+X414,(Input!X$55-150)/30*X409+X410+X411+X412+X413+X414)))))))</f>
        <v>0</v>
      </c>
      <c r="Y1049" s="229">
        <f>IF(Y$338&gt;$D$33,0,IF(Input!Y$55=0,0,IF(Input!Y$55&lt;31,Input!Y$55/30*Y414,IF(Input!Y$55&lt;61,(Input!Y$55-30)/30*Y413+Y414,IF(Input!Y$55&lt;91,(Input!Y$55-60)/30*Y412+Y413+Y414,IF(Input!Y$55&lt;121,(Input!Y$55-90)/30*Y411+Y412+Y413+Y414,IF(Input!Y$55&lt;151,(Input!Y$55-120)/30*Y410+Y411+Y412+Y413+Y414,(Input!Y$55-150)/30*Y409+Y410+Y411+Y412+Y413+Y414)))))))</f>
        <v>0</v>
      </c>
      <c r="Z1049" s="229">
        <f>IF(Z$338&gt;$D$33,0,IF(Input!Z$55=0,0,IF(Input!Z$55&lt;31,Input!Z$55/30*Z414,IF(Input!Z$55&lt;61,(Input!Z$55-30)/30*Z413+Z414,IF(Input!Z$55&lt;91,(Input!Z$55-60)/30*Z412+Z413+Z414,IF(Input!Z$55&lt;121,(Input!Z$55-90)/30*Z411+Z412+Z413+Z414,IF(Input!Z$55&lt;151,(Input!Z$55-120)/30*Z410+Z411+Z412+Z413+Z414,(Input!Z$55-150)/30*Z409+Z410+Z411+Z412+Z413+Z414)))))))</f>
        <v>0</v>
      </c>
      <c r="AA1049" s="229">
        <f>IF(AA$338&gt;$D$33,0,IF(Input!AA$55=0,0,IF(Input!AA$55&lt;31,Input!AA$55/30*AA414,IF(Input!AA$55&lt;61,(Input!AA$55-30)/30*AA413+AA414,IF(Input!AA$55&lt;91,(Input!AA$55-60)/30*AA412+AA413+AA414,IF(Input!AA$55&lt;121,(Input!AA$55-90)/30*AA411+AA412+AA413+AA414,IF(Input!AA$55&lt;151,(Input!AA$55-120)/30*AA410+AA411+AA412+AA413+AA414,(Input!AA$55-150)/30*AA409+AA410+AA411+AA412+AA413+AA414)))))))</f>
        <v>0</v>
      </c>
      <c r="AB1049" s="229">
        <f>IF(AB$338&gt;$D$33,0,IF(Input!AB$55=0,0,IF(Input!AB$55&lt;31,Input!AB$55/30*AB414,IF(Input!AB$55&lt;61,(Input!AB$55-30)/30*AB413+AB414,IF(Input!AB$55&lt;91,(Input!AB$55-60)/30*AB412+AB413+AB414,IF(Input!AB$55&lt;121,(Input!AB$55-90)/30*AB411+AB412+AB413+AB414,IF(Input!AB$55&lt;151,(Input!AB$55-120)/30*AB410+AB411+AB412+AB413+AB414,(Input!AB$55-150)/30*AB409+AB410+AB411+AB412+AB413+AB414)))))))</f>
        <v>0</v>
      </c>
      <c r="CH1049" s="269"/>
      <c r="CI1049" s="269"/>
      <c r="CJ1049" s="269"/>
      <c r="CK1049" s="269"/>
      <c r="CL1049" s="269"/>
      <c r="CM1049" s="269"/>
      <c r="CN1049" s="269"/>
      <c r="CO1049" s="269"/>
      <c r="CP1049" s="269"/>
      <c r="CQ1049" s="269"/>
      <c r="CR1049" s="269"/>
      <c r="CS1049" s="269"/>
    </row>
    <row r="1050" spans="2:97" x14ac:dyDescent="0.3">
      <c r="C1050" s="495">
        <f>C987</f>
        <v>182</v>
      </c>
      <c r="D1050" s="229">
        <f>IF(D$338&gt;$D$33,0,IF(Input!D$55=0,0,IF(Input!D$55&lt;31,Input!D$55/30*D415,IF(Input!D$55&lt;61,(Input!D$55-30)/30*D414+D415,IF(Input!D$55&lt;91,(Input!D$55-60)/30*D413+D414+D415,IF(Input!D$55&lt;121,(Input!D$55-90)/30*D412+D413+D414+D415,IF(Input!D$55&lt;151,(Input!D$55-120)/30*D411+D412+D413+D414+D415,(Input!D$55-150)/30*D410+D411+D412+D413+D414+D415)))))))</f>
        <v>0</v>
      </c>
      <c r="E1050" s="229">
        <f>IF(E$338&gt;$D$33,0,IF(Input!E$55=0,0,IF(Input!E$55&lt;31,Input!E$55/30*E415,IF(Input!E$55&lt;61,(Input!E$55-30)/30*E414+E415,IF(Input!E$55&lt;91,(Input!E$55-60)/30*E413+E414+E415,IF(Input!E$55&lt;121,(Input!E$55-90)/30*E412+E413+E414+E415,IF(Input!E$55&lt;151,(Input!E$55-120)/30*E411+E412+E413+E414+E415,(Input!E$55-150)/30*E410+E411+E412+E413+E414+E415)))))))</f>
        <v>0</v>
      </c>
      <c r="F1050" s="229">
        <f>IF(F$338&gt;$D$33,0,IF(Input!F$55=0,0,IF(Input!F$55&lt;31,Input!F$55/30*F415,IF(Input!F$55&lt;61,(Input!F$55-30)/30*F414+F415,IF(Input!F$55&lt;91,(Input!F$55-60)/30*F413+F414+F415,IF(Input!F$55&lt;121,(Input!F$55-90)/30*F412+F413+F414+F415,IF(Input!F$55&lt;151,(Input!F$55-120)/30*F411+F412+F413+F414+F415,(Input!F$55-150)/30*F410+F411+F412+F413+F414+F415)))))))</f>
        <v>0</v>
      </c>
      <c r="G1050" s="229">
        <f>IF(G$338&gt;$D$33,0,IF(Input!G$55=0,0,IF(Input!G$55&lt;31,Input!G$55/30*G415,IF(Input!G$55&lt;61,(Input!G$55-30)/30*G414+G415,IF(Input!G$55&lt;91,(Input!G$55-60)/30*G413+G414+G415,IF(Input!G$55&lt;121,(Input!G$55-90)/30*G412+G413+G414+G415,IF(Input!G$55&lt;151,(Input!G$55-120)/30*G411+G412+G413+G414+G415,(Input!G$55-150)/30*G410+G411+G412+G413+G414+G415)))))))</f>
        <v>0</v>
      </c>
      <c r="H1050" s="229">
        <f>IF(H$338&gt;$D$33,0,IF(Input!H$55=0,0,IF(Input!H$55&lt;31,Input!H$55/30*H415,IF(Input!H$55&lt;61,(Input!H$55-30)/30*H414+H415,IF(Input!H$55&lt;91,(Input!H$55-60)/30*H413+H414+H415,IF(Input!H$55&lt;121,(Input!H$55-90)/30*H412+H413+H414+H415,IF(Input!H$55&lt;151,(Input!H$55-120)/30*H411+H412+H413+H414+H415,(Input!H$55-150)/30*H410+H411+H412+H413+H414+H415)))))))</f>
        <v>0</v>
      </c>
      <c r="I1050" s="229">
        <f>IF(I$338&gt;$D$33,0,IF(Input!I$55=0,0,IF(Input!I$55&lt;31,Input!I$55/30*I415,IF(Input!I$55&lt;61,(Input!I$55-30)/30*I414+I415,IF(Input!I$55&lt;91,(Input!I$55-60)/30*I413+I414+I415,IF(Input!I$55&lt;121,(Input!I$55-90)/30*I412+I413+I414+I415,IF(Input!I$55&lt;151,(Input!I$55-120)/30*I411+I412+I413+I414+I415,(Input!I$55-150)/30*I410+I411+I412+I413+I414+I415)))))))</f>
        <v>0</v>
      </c>
      <c r="J1050" s="229">
        <f>IF(J$338&gt;$D$33,0,IF(Input!J$55=0,0,IF(Input!J$55&lt;31,Input!J$55/30*J415,IF(Input!J$55&lt;61,(Input!J$55-30)/30*J414+J415,IF(Input!J$55&lt;91,(Input!J$55-60)/30*J413+J414+J415,IF(Input!J$55&lt;121,(Input!J$55-90)/30*J412+J413+J414+J415,IF(Input!J$55&lt;151,(Input!J$55-120)/30*J411+J412+J413+J414+J415,(Input!J$55-150)/30*J410+J411+J412+J413+J414+J415)))))))</f>
        <v>0</v>
      </c>
      <c r="K1050" s="229">
        <f>IF(K$338&gt;$D$33,0,IF(Input!K$55=0,0,IF(Input!K$55&lt;31,Input!K$55/30*K415,IF(Input!K$55&lt;61,(Input!K$55-30)/30*K414+K415,IF(Input!K$55&lt;91,(Input!K$55-60)/30*K413+K414+K415,IF(Input!K$55&lt;121,(Input!K$55-90)/30*K412+K413+K414+K415,IF(Input!K$55&lt;151,(Input!K$55-120)/30*K411+K412+K413+K414+K415,(Input!K$55-150)/30*K410+K411+K412+K413+K414+K415)))))))</f>
        <v>0</v>
      </c>
      <c r="L1050" s="229">
        <f>IF(L$338&gt;$D$33,0,IF(Input!L$55=0,0,IF(Input!L$55&lt;31,Input!L$55/30*L415,IF(Input!L$55&lt;61,(Input!L$55-30)/30*L414+L415,IF(Input!L$55&lt;91,(Input!L$55-60)/30*L413+L414+L415,IF(Input!L$55&lt;121,(Input!L$55-90)/30*L412+L413+L414+L415,IF(Input!L$55&lt;151,(Input!L$55-120)/30*L411+L412+L413+L414+L415,(Input!L$55-150)/30*L410+L411+L412+L413+L414+L415)))))))</f>
        <v>0</v>
      </c>
      <c r="M1050" s="229">
        <f>IF(M$338&gt;$D$33,0,IF(Input!M$55=0,0,IF(Input!M$55&lt;31,Input!M$55/30*M415,IF(Input!M$55&lt;61,(Input!M$55-30)/30*M414+M415,IF(Input!M$55&lt;91,(Input!M$55-60)/30*M413+M414+M415,IF(Input!M$55&lt;121,(Input!M$55-90)/30*M412+M413+M414+M415,IF(Input!M$55&lt;151,(Input!M$55-120)/30*M411+M412+M413+M414+M415,(Input!M$55-150)/30*M410+M411+M412+M413+M414+M415)))))))</f>
        <v>0</v>
      </c>
      <c r="N1050" s="229">
        <f>IF(N$338&gt;$D$33,0,IF(Input!N$55=0,0,IF(Input!N$55&lt;31,Input!N$55/30*N415,IF(Input!N$55&lt;61,(Input!N$55-30)/30*N414+N415,IF(Input!N$55&lt;91,(Input!N$55-60)/30*N413+N414+N415,IF(Input!N$55&lt;121,(Input!N$55-90)/30*N412+N413+N414+N415,IF(Input!N$55&lt;151,(Input!N$55-120)/30*N411+N412+N413+N414+N415,(Input!N$55-150)/30*N410+N411+N412+N413+N414+N415)))))))</f>
        <v>0</v>
      </c>
      <c r="O1050" s="229">
        <f>IF(O$338&gt;$D$33,0,IF(Input!O$55=0,0,IF(Input!O$55&lt;31,Input!O$55/30*O415,IF(Input!O$55&lt;61,(Input!O$55-30)/30*O414+O415,IF(Input!O$55&lt;91,(Input!O$55-60)/30*O413+O414+O415,IF(Input!O$55&lt;121,(Input!O$55-90)/30*O412+O413+O414+O415,IF(Input!O$55&lt;151,(Input!O$55-120)/30*O411+O412+O413+O414+O415,(Input!O$55-150)/30*O410+O411+O412+O413+O414+O415)))))))</f>
        <v>0</v>
      </c>
      <c r="P1050" s="229">
        <f>IF(P$338&gt;$D$33,0,IF(Input!P$55=0,0,IF(Input!P$55&lt;31,Input!P$55/30*P415,IF(Input!P$55&lt;61,(Input!P$55-30)/30*P414+P415,IF(Input!P$55&lt;91,(Input!P$55-60)/30*P413+P414+P415,IF(Input!P$55&lt;121,(Input!P$55-90)/30*P412+P413+P414+P415,IF(Input!P$55&lt;151,(Input!P$55-120)/30*P411+P412+P413+P414+P415,(Input!P$55-150)/30*P410+P411+P412+P413+P414+P415)))))))</f>
        <v>0</v>
      </c>
      <c r="Q1050" s="229">
        <f>IF(Q$338&gt;$D$33,0,IF(Input!Q$55=0,0,IF(Input!Q$55&lt;31,Input!Q$55/30*Q415,IF(Input!Q$55&lt;61,(Input!Q$55-30)/30*Q414+Q415,IF(Input!Q$55&lt;91,(Input!Q$55-60)/30*Q413+Q414+Q415,IF(Input!Q$55&lt;121,(Input!Q$55-90)/30*Q412+Q413+Q414+Q415,IF(Input!Q$55&lt;151,(Input!Q$55-120)/30*Q411+Q412+Q413+Q414+Q415,(Input!Q$55-150)/30*Q410+Q411+Q412+Q413+Q414+Q415)))))))</f>
        <v>0</v>
      </c>
      <c r="R1050" s="229">
        <f>IF(R$338&gt;$D$33,0,IF(Input!R$55=0,0,IF(Input!R$55&lt;31,Input!R$55/30*R415,IF(Input!R$55&lt;61,(Input!R$55-30)/30*R414+R415,IF(Input!R$55&lt;91,(Input!R$55-60)/30*R413+R414+R415,IF(Input!R$55&lt;121,(Input!R$55-90)/30*R412+R413+R414+R415,IF(Input!R$55&lt;151,(Input!R$55-120)/30*R411+R412+R413+R414+R415,(Input!R$55-150)/30*R410+R411+R412+R413+R414+R415)))))))</f>
        <v>0</v>
      </c>
      <c r="S1050" s="229">
        <f>IF(S$338&gt;$D$33,0,IF(Input!S$55=0,0,IF(Input!S$55&lt;31,Input!S$55/30*S415,IF(Input!S$55&lt;61,(Input!S$55-30)/30*S414+S415,IF(Input!S$55&lt;91,(Input!S$55-60)/30*S413+S414+S415,IF(Input!S$55&lt;121,(Input!S$55-90)/30*S412+S413+S414+S415,IF(Input!S$55&lt;151,(Input!S$55-120)/30*S411+S412+S413+S414+S415,(Input!S$55-150)/30*S410+S411+S412+S413+S414+S415)))))))</f>
        <v>0</v>
      </c>
      <c r="T1050" s="229">
        <f>IF(T$338&gt;$D$33,0,IF(Input!T$55=0,0,IF(Input!T$55&lt;31,Input!T$55/30*T415,IF(Input!T$55&lt;61,(Input!T$55-30)/30*T414+T415,IF(Input!T$55&lt;91,(Input!T$55-60)/30*T413+T414+T415,IF(Input!T$55&lt;121,(Input!T$55-90)/30*T412+T413+T414+T415,IF(Input!T$55&lt;151,(Input!T$55-120)/30*T411+T412+T413+T414+T415,(Input!T$55-150)/30*T410+T411+T412+T413+T414+T415)))))))</f>
        <v>0</v>
      </c>
      <c r="U1050" s="229">
        <f>IF(U$338&gt;$D$33,0,IF(Input!U$55=0,0,IF(Input!U$55&lt;31,Input!U$55/30*U415,IF(Input!U$55&lt;61,(Input!U$55-30)/30*U414+U415,IF(Input!U$55&lt;91,(Input!U$55-60)/30*U413+U414+U415,IF(Input!U$55&lt;121,(Input!U$55-90)/30*U412+U413+U414+U415,IF(Input!U$55&lt;151,(Input!U$55-120)/30*U411+U412+U413+U414+U415,(Input!U$55-150)/30*U410+U411+U412+U413+U414+U415)))))))</f>
        <v>0</v>
      </c>
      <c r="V1050" s="229">
        <f>IF(V$338&gt;$D$33,0,IF(Input!V$55=0,0,IF(Input!V$55&lt;31,Input!V$55/30*V415,IF(Input!V$55&lt;61,(Input!V$55-30)/30*V414+V415,IF(Input!V$55&lt;91,(Input!V$55-60)/30*V413+V414+V415,IF(Input!V$55&lt;121,(Input!V$55-90)/30*V412+V413+V414+V415,IF(Input!V$55&lt;151,(Input!V$55-120)/30*V411+V412+V413+V414+V415,(Input!V$55-150)/30*V410+V411+V412+V413+V414+V415)))))))</f>
        <v>0</v>
      </c>
      <c r="W1050" s="229">
        <f>IF(W$338&gt;$D$33,0,IF(Input!W$55=0,0,IF(Input!W$55&lt;31,Input!W$55/30*W415,IF(Input!W$55&lt;61,(Input!W$55-30)/30*W414+W415,IF(Input!W$55&lt;91,(Input!W$55-60)/30*W413+W414+W415,IF(Input!W$55&lt;121,(Input!W$55-90)/30*W412+W413+W414+W415,IF(Input!W$55&lt;151,(Input!W$55-120)/30*W411+W412+W413+W414+W415,(Input!W$55-150)/30*W410+W411+W412+W413+W414+W415)))))))</f>
        <v>0</v>
      </c>
      <c r="X1050" s="229">
        <f>IF(X$338&gt;$D$33,0,IF(Input!X$55=0,0,IF(Input!X$55&lt;31,Input!X$55/30*X415,IF(Input!X$55&lt;61,(Input!X$55-30)/30*X414+X415,IF(Input!X$55&lt;91,(Input!X$55-60)/30*X413+X414+X415,IF(Input!X$55&lt;121,(Input!X$55-90)/30*X412+X413+X414+X415,IF(Input!X$55&lt;151,(Input!X$55-120)/30*X411+X412+X413+X414+X415,(Input!X$55-150)/30*X410+X411+X412+X413+X414+X415)))))))</f>
        <v>0</v>
      </c>
      <c r="Y1050" s="229">
        <f>IF(Y$338&gt;$D$33,0,IF(Input!Y$55=0,0,IF(Input!Y$55&lt;31,Input!Y$55/30*Y415,IF(Input!Y$55&lt;61,(Input!Y$55-30)/30*Y414+Y415,IF(Input!Y$55&lt;91,(Input!Y$55-60)/30*Y413+Y414+Y415,IF(Input!Y$55&lt;121,(Input!Y$55-90)/30*Y412+Y413+Y414+Y415,IF(Input!Y$55&lt;151,(Input!Y$55-120)/30*Y411+Y412+Y413+Y414+Y415,(Input!Y$55-150)/30*Y410+Y411+Y412+Y413+Y414+Y415)))))))</f>
        <v>0</v>
      </c>
      <c r="Z1050" s="229">
        <f>IF(Z$338&gt;$D$33,0,IF(Input!Z$55=0,0,IF(Input!Z$55&lt;31,Input!Z$55/30*Z415,IF(Input!Z$55&lt;61,(Input!Z$55-30)/30*Z414+Z415,IF(Input!Z$55&lt;91,(Input!Z$55-60)/30*Z413+Z414+Z415,IF(Input!Z$55&lt;121,(Input!Z$55-90)/30*Z412+Z413+Z414+Z415,IF(Input!Z$55&lt;151,(Input!Z$55-120)/30*Z411+Z412+Z413+Z414+Z415,(Input!Z$55-150)/30*Z410+Z411+Z412+Z413+Z414+Z415)))))))</f>
        <v>0</v>
      </c>
      <c r="AA1050" s="229">
        <f>IF(AA$338&gt;$D$33,0,IF(Input!AA$55=0,0,IF(Input!AA$55&lt;31,Input!AA$55/30*AA415,IF(Input!AA$55&lt;61,(Input!AA$55-30)/30*AA414+AA415,IF(Input!AA$55&lt;91,(Input!AA$55-60)/30*AA413+AA414+AA415,IF(Input!AA$55&lt;121,(Input!AA$55-90)/30*AA412+AA413+AA414+AA415,IF(Input!AA$55&lt;151,(Input!AA$55-120)/30*AA411+AA412+AA413+AA414+AA415,(Input!AA$55-150)/30*AA410+AA411+AA412+AA413+AA414+AA415)))))))</f>
        <v>0</v>
      </c>
      <c r="AB1050" s="229">
        <f>IF(AB$338&gt;$D$33,0,IF(Input!AB$55=0,0,IF(Input!AB$55&lt;31,Input!AB$55/30*AB415,IF(Input!AB$55&lt;61,(Input!AB$55-30)/30*AB414+AB415,IF(Input!AB$55&lt;91,(Input!AB$55-60)/30*AB413+AB414+AB415,IF(Input!AB$55&lt;121,(Input!AB$55-90)/30*AB412+AB413+AB414+AB415,IF(Input!AB$55&lt;151,(Input!AB$55-120)/30*AB411+AB412+AB413+AB414+AB415,(Input!AB$55-150)/30*AB410+AB411+AB412+AB413+AB414+AB415)))))))</f>
        <v>0</v>
      </c>
      <c r="CH1050" s="269"/>
      <c r="CI1050" s="269"/>
      <c r="CJ1050" s="269"/>
      <c r="CK1050" s="269"/>
      <c r="CL1050" s="269"/>
      <c r="CM1050" s="269"/>
      <c r="CN1050" s="269"/>
      <c r="CO1050" s="269"/>
      <c r="CP1050" s="269"/>
      <c r="CQ1050" s="269"/>
      <c r="CR1050" s="269"/>
      <c r="CS1050" s="269"/>
    </row>
    <row r="1051" spans="2:97" x14ac:dyDescent="0.3">
      <c r="C1051" s="495">
        <f>C988</f>
        <v>213</v>
      </c>
      <c r="D1051" s="229">
        <f>IF(D$338&gt;$D$33,0,IF(Input!D$55=0,0,IF(Input!D$55&lt;31,Input!D$55/30*D416,IF(Input!D$55&lt;61,(Input!D$55-30)/30*D415+D416,IF(Input!D$55&lt;91,(Input!D$55-60)/30*D414+D415+D416,IF(Input!D$55&lt;121,(Input!D$55-90)/30*D413+D414+D415+D416,IF(Input!D$55&lt;151,(Input!D$55-120)/30*D412+D413+D414+D415+D416,(Input!D$55-150)/30*D411+D412+D413+D414+D415+D416)))))))</f>
        <v>0</v>
      </c>
      <c r="E1051" s="229">
        <f>IF(E$338&gt;$D$33,0,IF(Input!E$55=0,0,IF(Input!E$55&lt;31,Input!E$55/30*E416,IF(Input!E$55&lt;61,(Input!E$55-30)/30*E415+E416,IF(Input!E$55&lt;91,(Input!E$55-60)/30*E414+E415+E416,IF(Input!E$55&lt;121,(Input!E$55-90)/30*E413+E414+E415+E416,IF(Input!E$55&lt;151,(Input!E$55-120)/30*E412+E413+E414+E415+E416,(Input!E$55-150)/30*E411+E412+E413+E414+E415+E416)))))))</f>
        <v>0</v>
      </c>
      <c r="F1051" s="229">
        <f>IF(F$338&gt;$D$33,0,IF(Input!F$55=0,0,IF(Input!F$55&lt;31,Input!F$55/30*F416,IF(Input!F$55&lt;61,(Input!F$55-30)/30*F415+F416,IF(Input!F$55&lt;91,(Input!F$55-60)/30*F414+F415+F416,IF(Input!F$55&lt;121,(Input!F$55-90)/30*F413+F414+F415+F416,IF(Input!F$55&lt;151,(Input!F$55-120)/30*F412+F413+F414+F415+F416,(Input!F$55-150)/30*F411+F412+F413+F414+F415+F416)))))))</f>
        <v>0</v>
      </c>
      <c r="G1051" s="229">
        <f>IF(G$338&gt;$D$33,0,IF(Input!G$55=0,0,IF(Input!G$55&lt;31,Input!G$55/30*G416,IF(Input!G$55&lt;61,(Input!G$55-30)/30*G415+G416,IF(Input!G$55&lt;91,(Input!G$55-60)/30*G414+G415+G416,IF(Input!G$55&lt;121,(Input!G$55-90)/30*G413+G414+G415+G416,IF(Input!G$55&lt;151,(Input!G$55-120)/30*G412+G413+G414+G415+G416,(Input!G$55-150)/30*G411+G412+G413+G414+G415+G416)))))))</f>
        <v>0</v>
      </c>
      <c r="H1051" s="229">
        <f>IF(H$338&gt;$D$33,0,IF(Input!H$55=0,0,IF(Input!H$55&lt;31,Input!H$55/30*H416,IF(Input!H$55&lt;61,(Input!H$55-30)/30*H415+H416,IF(Input!H$55&lt;91,(Input!H$55-60)/30*H414+H415+H416,IF(Input!H$55&lt;121,(Input!H$55-90)/30*H413+H414+H415+H416,IF(Input!H$55&lt;151,(Input!H$55-120)/30*H412+H413+H414+H415+H416,(Input!H$55-150)/30*H411+H412+H413+H414+H415+H416)))))))</f>
        <v>0</v>
      </c>
      <c r="I1051" s="229">
        <f>IF(I$338&gt;$D$33,0,IF(Input!I$55=0,0,IF(Input!I$55&lt;31,Input!I$55/30*I416,IF(Input!I$55&lt;61,(Input!I$55-30)/30*I415+I416,IF(Input!I$55&lt;91,(Input!I$55-60)/30*I414+I415+I416,IF(Input!I$55&lt;121,(Input!I$55-90)/30*I413+I414+I415+I416,IF(Input!I$55&lt;151,(Input!I$55-120)/30*I412+I413+I414+I415+I416,(Input!I$55-150)/30*I411+I412+I413+I414+I415+I416)))))))</f>
        <v>0</v>
      </c>
      <c r="J1051" s="229">
        <f>IF(J$338&gt;$D$33,0,IF(Input!J$55=0,0,IF(Input!J$55&lt;31,Input!J$55/30*J416,IF(Input!J$55&lt;61,(Input!J$55-30)/30*J415+J416,IF(Input!J$55&lt;91,(Input!J$55-60)/30*J414+J415+J416,IF(Input!J$55&lt;121,(Input!J$55-90)/30*J413+J414+J415+J416,IF(Input!J$55&lt;151,(Input!J$55-120)/30*J412+J413+J414+J415+J416,(Input!J$55-150)/30*J411+J412+J413+J414+J415+J416)))))))</f>
        <v>0</v>
      </c>
      <c r="K1051" s="229">
        <f>IF(K$338&gt;$D$33,0,IF(Input!K$55=0,0,IF(Input!K$55&lt;31,Input!K$55/30*K416,IF(Input!K$55&lt;61,(Input!K$55-30)/30*K415+K416,IF(Input!K$55&lt;91,(Input!K$55-60)/30*K414+K415+K416,IF(Input!K$55&lt;121,(Input!K$55-90)/30*K413+K414+K415+K416,IF(Input!K$55&lt;151,(Input!K$55-120)/30*K412+K413+K414+K415+K416,(Input!K$55-150)/30*K411+K412+K413+K414+K415+K416)))))))</f>
        <v>0</v>
      </c>
      <c r="L1051" s="229">
        <f>IF(L$338&gt;$D$33,0,IF(Input!L$55=0,0,IF(Input!L$55&lt;31,Input!L$55/30*L416,IF(Input!L$55&lt;61,(Input!L$55-30)/30*L415+L416,IF(Input!L$55&lt;91,(Input!L$55-60)/30*L414+L415+L416,IF(Input!L$55&lt;121,(Input!L$55-90)/30*L413+L414+L415+L416,IF(Input!L$55&lt;151,(Input!L$55-120)/30*L412+L413+L414+L415+L416,(Input!L$55-150)/30*L411+L412+L413+L414+L415+L416)))))))</f>
        <v>0</v>
      </c>
      <c r="M1051" s="229">
        <f>IF(M$338&gt;$D$33,0,IF(Input!M$55=0,0,IF(Input!M$55&lt;31,Input!M$55/30*M416,IF(Input!M$55&lt;61,(Input!M$55-30)/30*M415+M416,IF(Input!M$55&lt;91,(Input!M$55-60)/30*M414+M415+M416,IF(Input!M$55&lt;121,(Input!M$55-90)/30*M413+M414+M415+M416,IF(Input!M$55&lt;151,(Input!M$55-120)/30*M412+M413+M414+M415+M416,(Input!M$55-150)/30*M411+M412+M413+M414+M415+M416)))))))</f>
        <v>0</v>
      </c>
      <c r="N1051" s="229">
        <f>IF(N$338&gt;$D$33,0,IF(Input!N$55=0,0,IF(Input!N$55&lt;31,Input!N$55/30*N416,IF(Input!N$55&lt;61,(Input!N$55-30)/30*N415+N416,IF(Input!N$55&lt;91,(Input!N$55-60)/30*N414+N415+N416,IF(Input!N$55&lt;121,(Input!N$55-90)/30*N413+N414+N415+N416,IF(Input!N$55&lt;151,(Input!N$55-120)/30*N412+N413+N414+N415+N416,(Input!N$55-150)/30*N411+N412+N413+N414+N415+N416)))))))</f>
        <v>0</v>
      </c>
      <c r="O1051" s="229">
        <f>IF(O$338&gt;$D$33,0,IF(Input!O$55=0,0,IF(Input!O$55&lt;31,Input!O$55/30*O416,IF(Input!O$55&lt;61,(Input!O$55-30)/30*O415+O416,IF(Input!O$55&lt;91,(Input!O$55-60)/30*O414+O415+O416,IF(Input!O$55&lt;121,(Input!O$55-90)/30*O413+O414+O415+O416,IF(Input!O$55&lt;151,(Input!O$55-120)/30*O412+O413+O414+O415+O416,(Input!O$55-150)/30*O411+O412+O413+O414+O415+O416)))))))</f>
        <v>0</v>
      </c>
      <c r="P1051" s="229">
        <f>IF(P$338&gt;$D$33,0,IF(Input!P$55=0,0,IF(Input!P$55&lt;31,Input!P$55/30*P416,IF(Input!P$55&lt;61,(Input!P$55-30)/30*P415+P416,IF(Input!P$55&lt;91,(Input!P$55-60)/30*P414+P415+P416,IF(Input!P$55&lt;121,(Input!P$55-90)/30*P413+P414+P415+P416,IF(Input!P$55&lt;151,(Input!P$55-120)/30*P412+P413+P414+P415+P416,(Input!P$55-150)/30*P411+P412+P413+P414+P415+P416)))))))</f>
        <v>0</v>
      </c>
      <c r="Q1051" s="229">
        <f>IF(Q$338&gt;$D$33,0,IF(Input!Q$55=0,0,IF(Input!Q$55&lt;31,Input!Q$55/30*Q416,IF(Input!Q$55&lt;61,(Input!Q$55-30)/30*Q415+Q416,IF(Input!Q$55&lt;91,(Input!Q$55-60)/30*Q414+Q415+Q416,IF(Input!Q$55&lt;121,(Input!Q$55-90)/30*Q413+Q414+Q415+Q416,IF(Input!Q$55&lt;151,(Input!Q$55-120)/30*Q412+Q413+Q414+Q415+Q416,(Input!Q$55-150)/30*Q411+Q412+Q413+Q414+Q415+Q416)))))))</f>
        <v>0</v>
      </c>
      <c r="R1051" s="229">
        <f>IF(R$338&gt;$D$33,0,IF(Input!R$55=0,0,IF(Input!R$55&lt;31,Input!R$55/30*R416,IF(Input!R$55&lt;61,(Input!R$55-30)/30*R415+R416,IF(Input!R$55&lt;91,(Input!R$55-60)/30*R414+R415+R416,IF(Input!R$55&lt;121,(Input!R$55-90)/30*R413+R414+R415+R416,IF(Input!R$55&lt;151,(Input!R$55-120)/30*R412+R413+R414+R415+R416,(Input!R$55-150)/30*R411+R412+R413+R414+R415+R416)))))))</f>
        <v>0</v>
      </c>
      <c r="S1051" s="229">
        <f>IF(S$338&gt;$D$33,0,IF(Input!S$55=0,0,IF(Input!S$55&lt;31,Input!S$55/30*S416,IF(Input!S$55&lt;61,(Input!S$55-30)/30*S415+S416,IF(Input!S$55&lt;91,(Input!S$55-60)/30*S414+S415+S416,IF(Input!S$55&lt;121,(Input!S$55-90)/30*S413+S414+S415+S416,IF(Input!S$55&lt;151,(Input!S$55-120)/30*S412+S413+S414+S415+S416,(Input!S$55-150)/30*S411+S412+S413+S414+S415+S416)))))))</f>
        <v>0</v>
      </c>
      <c r="T1051" s="229">
        <f>IF(T$338&gt;$D$33,0,IF(Input!T$55=0,0,IF(Input!T$55&lt;31,Input!T$55/30*T416,IF(Input!T$55&lt;61,(Input!T$55-30)/30*T415+T416,IF(Input!T$55&lt;91,(Input!T$55-60)/30*T414+T415+T416,IF(Input!T$55&lt;121,(Input!T$55-90)/30*T413+T414+T415+T416,IF(Input!T$55&lt;151,(Input!T$55-120)/30*T412+T413+T414+T415+T416,(Input!T$55-150)/30*T411+T412+T413+T414+T415+T416)))))))</f>
        <v>0</v>
      </c>
      <c r="U1051" s="229">
        <f>IF(U$338&gt;$D$33,0,IF(Input!U$55=0,0,IF(Input!U$55&lt;31,Input!U$55/30*U416,IF(Input!U$55&lt;61,(Input!U$55-30)/30*U415+U416,IF(Input!U$55&lt;91,(Input!U$55-60)/30*U414+U415+U416,IF(Input!U$55&lt;121,(Input!U$55-90)/30*U413+U414+U415+U416,IF(Input!U$55&lt;151,(Input!U$55-120)/30*U412+U413+U414+U415+U416,(Input!U$55-150)/30*U411+U412+U413+U414+U415+U416)))))))</f>
        <v>0</v>
      </c>
      <c r="V1051" s="229">
        <f>IF(V$338&gt;$D$33,0,IF(Input!V$55=0,0,IF(Input!V$55&lt;31,Input!V$55/30*V416,IF(Input!V$55&lt;61,(Input!V$55-30)/30*V415+V416,IF(Input!V$55&lt;91,(Input!V$55-60)/30*V414+V415+V416,IF(Input!V$55&lt;121,(Input!V$55-90)/30*V413+V414+V415+V416,IF(Input!V$55&lt;151,(Input!V$55-120)/30*V412+V413+V414+V415+V416,(Input!V$55-150)/30*V411+V412+V413+V414+V415+V416)))))))</f>
        <v>0</v>
      </c>
      <c r="W1051" s="229">
        <f>IF(W$338&gt;$D$33,0,IF(Input!W$55=0,0,IF(Input!W$55&lt;31,Input!W$55/30*W416,IF(Input!W$55&lt;61,(Input!W$55-30)/30*W415+W416,IF(Input!W$55&lt;91,(Input!W$55-60)/30*W414+W415+W416,IF(Input!W$55&lt;121,(Input!W$55-90)/30*W413+W414+W415+W416,IF(Input!W$55&lt;151,(Input!W$55-120)/30*W412+W413+W414+W415+W416,(Input!W$55-150)/30*W411+W412+W413+W414+W415+W416)))))))</f>
        <v>0</v>
      </c>
      <c r="X1051" s="229">
        <f>IF(X$338&gt;$D$33,0,IF(Input!X$55=0,0,IF(Input!X$55&lt;31,Input!X$55/30*X416,IF(Input!X$55&lt;61,(Input!X$55-30)/30*X415+X416,IF(Input!X$55&lt;91,(Input!X$55-60)/30*X414+X415+X416,IF(Input!X$55&lt;121,(Input!X$55-90)/30*X413+X414+X415+X416,IF(Input!X$55&lt;151,(Input!X$55-120)/30*X412+X413+X414+X415+X416,(Input!X$55-150)/30*X411+X412+X413+X414+X415+X416)))))))</f>
        <v>0</v>
      </c>
      <c r="Y1051" s="229">
        <f>IF(Y$338&gt;$D$33,0,IF(Input!Y$55=0,0,IF(Input!Y$55&lt;31,Input!Y$55/30*Y416,IF(Input!Y$55&lt;61,(Input!Y$55-30)/30*Y415+Y416,IF(Input!Y$55&lt;91,(Input!Y$55-60)/30*Y414+Y415+Y416,IF(Input!Y$55&lt;121,(Input!Y$55-90)/30*Y413+Y414+Y415+Y416,IF(Input!Y$55&lt;151,(Input!Y$55-120)/30*Y412+Y413+Y414+Y415+Y416,(Input!Y$55-150)/30*Y411+Y412+Y413+Y414+Y415+Y416)))))))</f>
        <v>0</v>
      </c>
      <c r="Z1051" s="229">
        <f>IF(Z$338&gt;$D$33,0,IF(Input!Z$55=0,0,IF(Input!Z$55&lt;31,Input!Z$55/30*Z416,IF(Input!Z$55&lt;61,(Input!Z$55-30)/30*Z415+Z416,IF(Input!Z$55&lt;91,(Input!Z$55-60)/30*Z414+Z415+Z416,IF(Input!Z$55&lt;121,(Input!Z$55-90)/30*Z413+Z414+Z415+Z416,IF(Input!Z$55&lt;151,(Input!Z$55-120)/30*Z412+Z413+Z414+Z415+Z416,(Input!Z$55-150)/30*Z411+Z412+Z413+Z414+Z415+Z416)))))))</f>
        <v>0</v>
      </c>
      <c r="AA1051" s="229">
        <f>IF(AA$338&gt;$D$33,0,IF(Input!AA$55=0,0,IF(Input!AA$55&lt;31,Input!AA$55/30*AA416,IF(Input!AA$55&lt;61,(Input!AA$55-30)/30*AA415+AA416,IF(Input!AA$55&lt;91,(Input!AA$55-60)/30*AA414+AA415+AA416,IF(Input!AA$55&lt;121,(Input!AA$55-90)/30*AA413+AA414+AA415+AA416,IF(Input!AA$55&lt;151,(Input!AA$55-120)/30*AA412+AA413+AA414+AA415+AA416,(Input!AA$55-150)/30*AA411+AA412+AA413+AA414+AA415+AA416)))))))</f>
        <v>0</v>
      </c>
      <c r="AB1051" s="229">
        <f>IF(AB$338&gt;$D$33,0,IF(Input!AB$55=0,0,IF(Input!AB$55&lt;31,Input!AB$55/30*AB416,IF(Input!AB$55&lt;61,(Input!AB$55-30)/30*AB415+AB416,IF(Input!AB$55&lt;91,(Input!AB$55-60)/30*AB414+AB415+AB416,IF(Input!AB$55&lt;121,(Input!AB$55-90)/30*AB413+AB414+AB415+AB416,IF(Input!AB$55&lt;151,(Input!AB$55-120)/30*AB412+AB413+AB414+AB415+AB416,(Input!AB$55-150)/30*AB411+AB412+AB413+AB414+AB415+AB416)))))))</f>
        <v>0</v>
      </c>
      <c r="CH1051" s="269"/>
      <c r="CI1051" s="269"/>
      <c r="CJ1051" s="269"/>
      <c r="CK1051" s="269"/>
      <c r="CL1051" s="269"/>
      <c r="CM1051" s="269"/>
      <c r="CN1051" s="269"/>
      <c r="CO1051" s="269"/>
      <c r="CP1051" s="269"/>
      <c r="CQ1051" s="269"/>
      <c r="CR1051" s="269"/>
      <c r="CS1051" s="269"/>
    </row>
    <row r="1052" spans="2:97" x14ac:dyDescent="0.3">
      <c r="C1052" s="495">
        <f>C989</f>
        <v>244</v>
      </c>
      <c r="D1052" s="229">
        <f>IF(D$338&gt;$D$33,0,IF(Input!D$55=0,0,IF(Input!D$55&lt;31,Input!D$55/30*D417,IF(Input!D$55&lt;61,(Input!D$55-30)/30*D416+D417,IF(Input!D$55&lt;91,(Input!D$55-60)/30*D415+D416+D417,IF(Input!D$55&lt;121,(Input!D$55-90)/30*D414+D415+D416+D417,IF(Input!D$55&lt;151,(Input!D$55-120)/30*D413+D414+D415+D416+D417,(Input!D$55-150)/30*D412+D413+D414+D415+D416+D417)))))))</f>
        <v>0</v>
      </c>
      <c r="E1052" s="229">
        <f>IF(E$338&gt;$D$33,0,IF(Input!E$55=0,0,IF(Input!E$55&lt;31,Input!E$55/30*E417,IF(Input!E$55&lt;61,(Input!E$55-30)/30*E416+E417,IF(Input!E$55&lt;91,(Input!E$55-60)/30*E415+E416+E417,IF(Input!E$55&lt;121,(Input!E$55-90)/30*E414+E415+E416+E417,IF(Input!E$55&lt;151,(Input!E$55-120)/30*E413+E414+E415+E416+E417,(Input!E$55-150)/30*E412+E413+E414+E415+E416+E417)))))))</f>
        <v>0</v>
      </c>
      <c r="F1052" s="229">
        <f>IF(F$338&gt;$D$33,0,IF(Input!F$55=0,0,IF(Input!F$55&lt;31,Input!F$55/30*F417,IF(Input!F$55&lt;61,(Input!F$55-30)/30*F416+F417,IF(Input!F$55&lt;91,(Input!F$55-60)/30*F415+F416+F417,IF(Input!F$55&lt;121,(Input!F$55-90)/30*F414+F415+F416+F417,IF(Input!F$55&lt;151,(Input!F$55-120)/30*F413+F414+F415+F416+F417,(Input!F$55-150)/30*F412+F413+F414+F415+F416+F417)))))))</f>
        <v>0</v>
      </c>
      <c r="G1052" s="229">
        <f>IF(G$338&gt;$D$33,0,IF(Input!G$55=0,0,IF(Input!G$55&lt;31,Input!G$55/30*G417,IF(Input!G$55&lt;61,(Input!G$55-30)/30*G416+G417,IF(Input!G$55&lt;91,(Input!G$55-60)/30*G415+G416+G417,IF(Input!G$55&lt;121,(Input!G$55-90)/30*G414+G415+G416+G417,IF(Input!G$55&lt;151,(Input!G$55-120)/30*G413+G414+G415+G416+G417,(Input!G$55-150)/30*G412+G413+G414+G415+G416+G417)))))))</f>
        <v>0</v>
      </c>
      <c r="H1052" s="229">
        <f>IF(H$338&gt;$D$33,0,IF(Input!H$55=0,0,IF(Input!H$55&lt;31,Input!H$55/30*H417,IF(Input!H$55&lt;61,(Input!H$55-30)/30*H416+H417,IF(Input!H$55&lt;91,(Input!H$55-60)/30*H415+H416+H417,IF(Input!H$55&lt;121,(Input!H$55-90)/30*H414+H415+H416+H417,IF(Input!H$55&lt;151,(Input!H$55-120)/30*H413+H414+H415+H416+H417,(Input!H$55-150)/30*H412+H413+H414+H415+H416+H417)))))))</f>
        <v>0</v>
      </c>
      <c r="I1052" s="229">
        <f>IF(I$338&gt;$D$33,0,IF(Input!I$55=0,0,IF(Input!I$55&lt;31,Input!I$55/30*I417,IF(Input!I$55&lt;61,(Input!I$55-30)/30*I416+I417,IF(Input!I$55&lt;91,(Input!I$55-60)/30*I415+I416+I417,IF(Input!I$55&lt;121,(Input!I$55-90)/30*I414+I415+I416+I417,IF(Input!I$55&lt;151,(Input!I$55-120)/30*I413+I414+I415+I416+I417,(Input!I$55-150)/30*I412+I413+I414+I415+I416+I417)))))))</f>
        <v>0</v>
      </c>
      <c r="J1052" s="229">
        <f>IF(J$338&gt;$D$33,0,IF(Input!J$55=0,0,IF(Input!J$55&lt;31,Input!J$55/30*J417,IF(Input!J$55&lt;61,(Input!J$55-30)/30*J416+J417,IF(Input!J$55&lt;91,(Input!J$55-60)/30*J415+J416+J417,IF(Input!J$55&lt;121,(Input!J$55-90)/30*J414+J415+J416+J417,IF(Input!J$55&lt;151,(Input!J$55-120)/30*J413+J414+J415+J416+J417,(Input!J$55-150)/30*J412+J413+J414+J415+J416+J417)))))))</f>
        <v>0</v>
      </c>
      <c r="K1052" s="229">
        <f>IF(K$338&gt;$D$33,0,IF(Input!K$55=0,0,IF(Input!K$55&lt;31,Input!K$55/30*K417,IF(Input!K$55&lt;61,(Input!K$55-30)/30*K416+K417,IF(Input!K$55&lt;91,(Input!K$55-60)/30*K415+K416+K417,IF(Input!K$55&lt;121,(Input!K$55-90)/30*K414+K415+K416+K417,IF(Input!K$55&lt;151,(Input!K$55-120)/30*K413+K414+K415+K416+K417,(Input!K$55-150)/30*K412+K413+K414+K415+K416+K417)))))))</f>
        <v>0</v>
      </c>
      <c r="L1052" s="229">
        <f>IF(L$338&gt;$D$33,0,IF(Input!L$55=0,0,IF(Input!L$55&lt;31,Input!L$55/30*L417,IF(Input!L$55&lt;61,(Input!L$55-30)/30*L416+L417,IF(Input!L$55&lt;91,(Input!L$55-60)/30*L415+L416+L417,IF(Input!L$55&lt;121,(Input!L$55-90)/30*L414+L415+L416+L417,IF(Input!L$55&lt;151,(Input!L$55-120)/30*L413+L414+L415+L416+L417,(Input!L$55-150)/30*L412+L413+L414+L415+L416+L417)))))))</f>
        <v>0</v>
      </c>
      <c r="M1052" s="229">
        <f>IF(M$338&gt;$D$33,0,IF(Input!M$55=0,0,IF(Input!M$55&lt;31,Input!M$55/30*M417,IF(Input!M$55&lt;61,(Input!M$55-30)/30*M416+M417,IF(Input!M$55&lt;91,(Input!M$55-60)/30*M415+M416+M417,IF(Input!M$55&lt;121,(Input!M$55-90)/30*M414+M415+M416+M417,IF(Input!M$55&lt;151,(Input!M$55-120)/30*M413+M414+M415+M416+M417,(Input!M$55-150)/30*M412+M413+M414+M415+M416+M417)))))))</f>
        <v>0</v>
      </c>
      <c r="N1052" s="229">
        <f>IF(N$338&gt;$D$33,0,IF(Input!N$55=0,0,IF(Input!N$55&lt;31,Input!N$55/30*N417,IF(Input!N$55&lt;61,(Input!N$55-30)/30*N416+N417,IF(Input!N$55&lt;91,(Input!N$55-60)/30*N415+N416+N417,IF(Input!N$55&lt;121,(Input!N$55-90)/30*N414+N415+N416+N417,IF(Input!N$55&lt;151,(Input!N$55-120)/30*N413+N414+N415+N416+N417,(Input!N$55-150)/30*N412+N413+N414+N415+N416+N417)))))))</f>
        <v>0</v>
      </c>
      <c r="O1052" s="229">
        <f>IF(O$338&gt;$D$33,0,IF(Input!O$55=0,0,IF(Input!O$55&lt;31,Input!O$55/30*O417,IF(Input!O$55&lt;61,(Input!O$55-30)/30*O416+O417,IF(Input!O$55&lt;91,(Input!O$55-60)/30*O415+O416+O417,IF(Input!O$55&lt;121,(Input!O$55-90)/30*O414+O415+O416+O417,IF(Input!O$55&lt;151,(Input!O$55-120)/30*O413+O414+O415+O416+O417,(Input!O$55-150)/30*O412+O413+O414+O415+O416+O417)))))))</f>
        <v>0</v>
      </c>
      <c r="P1052" s="229">
        <f>IF(P$338&gt;$D$33,0,IF(Input!P$55=0,0,IF(Input!P$55&lt;31,Input!P$55/30*P417,IF(Input!P$55&lt;61,(Input!P$55-30)/30*P416+P417,IF(Input!P$55&lt;91,(Input!P$55-60)/30*P415+P416+P417,IF(Input!P$55&lt;121,(Input!P$55-90)/30*P414+P415+P416+P417,IF(Input!P$55&lt;151,(Input!P$55-120)/30*P413+P414+P415+P416+P417,(Input!P$55-150)/30*P412+P413+P414+P415+P416+P417)))))))</f>
        <v>0</v>
      </c>
      <c r="Q1052" s="229">
        <f>IF(Q$338&gt;$D$33,0,IF(Input!Q$55=0,0,IF(Input!Q$55&lt;31,Input!Q$55/30*Q417,IF(Input!Q$55&lt;61,(Input!Q$55-30)/30*Q416+Q417,IF(Input!Q$55&lt;91,(Input!Q$55-60)/30*Q415+Q416+Q417,IF(Input!Q$55&lt;121,(Input!Q$55-90)/30*Q414+Q415+Q416+Q417,IF(Input!Q$55&lt;151,(Input!Q$55-120)/30*Q413+Q414+Q415+Q416+Q417,(Input!Q$55-150)/30*Q412+Q413+Q414+Q415+Q416+Q417)))))))</f>
        <v>0</v>
      </c>
      <c r="R1052" s="229">
        <f>IF(R$338&gt;$D$33,0,IF(Input!R$55=0,0,IF(Input!R$55&lt;31,Input!R$55/30*R417,IF(Input!R$55&lt;61,(Input!R$55-30)/30*R416+R417,IF(Input!R$55&lt;91,(Input!R$55-60)/30*R415+R416+R417,IF(Input!R$55&lt;121,(Input!R$55-90)/30*R414+R415+R416+R417,IF(Input!R$55&lt;151,(Input!R$55-120)/30*R413+R414+R415+R416+R417,(Input!R$55-150)/30*R412+R413+R414+R415+R416+R417)))))))</f>
        <v>0</v>
      </c>
      <c r="S1052" s="229">
        <f>IF(S$338&gt;$D$33,0,IF(Input!S$55=0,0,IF(Input!S$55&lt;31,Input!S$55/30*S417,IF(Input!S$55&lt;61,(Input!S$55-30)/30*S416+S417,IF(Input!S$55&lt;91,(Input!S$55-60)/30*S415+S416+S417,IF(Input!S$55&lt;121,(Input!S$55-90)/30*S414+S415+S416+S417,IF(Input!S$55&lt;151,(Input!S$55-120)/30*S413+S414+S415+S416+S417,(Input!S$55-150)/30*S412+S413+S414+S415+S416+S417)))))))</f>
        <v>0</v>
      </c>
      <c r="T1052" s="229">
        <f>IF(T$338&gt;$D$33,0,IF(Input!T$55=0,0,IF(Input!T$55&lt;31,Input!T$55/30*T417,IF(Input!T$55&lt;61,(Input!T$55-30)/30*T416+T417,IF(Input!T$55&lt;91,(Input!T$55-60)/30*T415+T416+T417,IF(Input!T$55&lt;121,(Input!T$55-90)/30*T414+T415+T416+T417,IF(Input!T$55&lt;151,(Input!T$55-120)/30*T413+T414+T415+T416+T417,(Input!T$55-150)/30*T412+T413+T414+T415+T416+T417)))))))</f>
        <v>0</v>
      </c>
      <c r="U1052" s="229">
        <f>IF(U$338&gt;$D$33,0,IF(Input!U$55=0,0,IF(Input!U$55&lt;31,Input!U$55/30*U417,IF(Input!U$55&lt;61,(Input!U$55-30)/30*U416+U417,IF(Input!U$55&lt;91,(Input!U$55-60)/30*U415+U416+U417,IF(Input!U$55&lt;121,(Input!U$55-90)/30*U414+U415+U416+U417,IF(Input!U$55&lt;151,(Input!U$55-120)/30*U413+U414+U415+U416+U417,(Input!U$55-150)/30*U412+U413+U414+U415+U416+U417)))))))</f>
        <v>0</v>
      </c>
      <c r="V1052" s="229">
        <f>IF(V$338&gt;$D$33,0,IF(Input!V$55=0,0,IF(Input!V$55&lt;31,Input!V$55/30*V417,IF(Input!V$55&lt;61,(Input!V$55-30)/30*V416+V417,IF(Input!V$55&lt;91,(Input!V$55-60)/30*V415+V416+V417,IF(Input!V$55&lt;121,(Input!V$55-90)/30*V414+V415+V416+V417,IF(Input!V$55&lt;151,(Input!V$55-120)/30*V413+V414+V415+V416+V417,(Input!V$55-150)/30*V412+V413+V414+V415+V416+V417)))))))</f>
        <v>0</v>
      </c>
      <c r="W1052" s="229">
        <f>IF(W$338&gt;$D$33,0,IF(Input!W$55=0,0,IF(Input!W$55&lt;31,Input!W$55/30*W417,IF(Input!W$55&lt;61,(Input!W$55-30)/30*W416+W417,IF(Input!W$55&lt;91,(Input!W$55-60)/30*W415+W416+W417,IF(Input!W$55&lt;121,(Input!W$55-90)/30*W414+W415+W416+W417,IF(Input!W$55&lt;151,(Input!W$55-120)/30*W413+W414+W415+W416+W417,(Input!W$55-150)/30*W412+W413+W414+W415+W416+W417)))))))</f>
        <v>0</v>
      </c>
      <c r="X1052" s="229">
        <f>IF(X$338&gt;$D$33,0,IF(Input!X$55=0,0,IF(Input!X$55&lt;31,Input!X$55/30*X417,IF(Input!X$55&lt;61,(Input!X$55-30)/30*X416+X417,IF(Input!X$55&lt;91,(Input!X$55-60)/30*X415+X416+X417,IF(Input!X$55&lt;121,(Input!X$55-90)/30*X414+X415+X416+X417,IF(Input!X$55&lt;151,(Input!X$55-120)/30*X413+X414+X415+X416+X417,(Input!X$55-150)/30*X412+X413+X414+X415+X416+X417)))))))</f>
        <v>0</v>
      </c>
      <c r="Y1052" s="229">
        <f>IF(Y$338&gt;$D$33,0,IF(Input!Y$55=0,0,IF(Input!Y$55&lt;31,Input!Y$55/30*Y417,IF(Input!Y$55&lt;61,(Input!Y$55-30)/30*Y416+Y417,IF(Input!Y$55&lt;91,(Input!Y$55-60)/30*Y415+Y416+Y417,IF(Input!Y$55&lt;121,(Input!Y$55-90)/30*Y414+Y415+Y416+Y417,IF(Input!Y$55&lt;151,(Input!Y$55-120)/30*Y413+Y414+Y415+Y416+Y417,(Input!Y$55-150)/30*Y412+Y413+Y414+Y415+Y416+Y417)))))))</f>
        <v>0</v>
      </c>
      <c r="Z1052" s="229">
        <f>IF(Z$338&gt;$D$33,0,IF(Input!Z$55=0,0,IF(Input!Z$55&lt;31,Input!Z$55/30*Z417,IF(Input!Z$55&lt;61,(Input!Z$55-30)/30*Z416+Z417,IF(Input!Z$55&lt;91,(Input!Z$55-60)/30*Z415+Z416+Z417,IF(Input!Z$55&lt;121,(Input!Z$55-90)/30*Z414+Z415+Z416+Z417,IF(Input!Z$55&lt;151,(Input!Z$55-120)/30*Z413+Z414+Z415+Z416+Z417,(Input!Z$55-150)/30*Z412+Z413+Z414+Z415+Z416+Z417)))))))</f>
        <v>0</v>
      </c>
      <c r="AA1052" s="229">
        <f>IF(AA$338&gt;$D$33,0,IF(Input!AA$55=0,0,IF(Input!AA$55&lt;31,Input!AA$55/30*AA417,IF(Input!AA$55&lt;61,(Input!AA$55-30)/30*AA416+AA417,IF(Input!AA$55&lt;91,(Input!AA$55-60)/30*AA415+AA416+AA417,IF(Input!AA$55&lt;121,(Input!AA$55-90)/30*AA414+AA415+AA416+AA417,IF(Input!AA$55&lt;151,(Input!AA$55-120)/30*AA413+AA414+AA415+AA416+AA417,(Input!AA$55-150)/30*AA412+AA413+AA414+AA415+AA416+AA417)))))))</f>
        <v>0</v>
      </c>
      <c r="AB1052" s="229">
        <f>IF(AB$338&gt;$D$33,0,IF(Input!AB$55=0,0,IF(Input!AB$55&lt;31,Input!AB$55/30*AB417,IF(Input!AB$55&lt;61,(Input!AB$55-30)/30*AB416+AB417,IF(Input!AB$55&lt;91,(Input!AB$55-60)/30*AB415+AB416+AB417,IF(Input!AB$55&lt;121,(Input!AB$55-90)/30*AB414+AB415+AB416+AB417,IF(Input!AB$55&lt;151,(Input!AB$55-120)/30*AB413+AB414+AB415+AB416+AB417,(Input!AB$55-150)/30*AB412+AB413+AB414+AB415+AB416+AB417)))))))</f>
        <v>0</v>
      </c>
      <c r="CH1052" s="269"/>
      <c r="CI1052" s="269"/>
      <c r="CJ1052" s="269"/>
      <c r="CK1052" s="269"/>
      <c r="CL1052" s="269"/>
      <c r="CM1052" s="269"/>
      <c r="CN1052" s="269"/>
      <c r="CO1052" s="269"/>
      <c r="CP1052" s="269"/>
      <c r="CQ1052" s="269"/>
      <c r="CR1052" s="269"/>
      <c r="CS1052" s="269"/>
    </row>
    <row r="1053" spans="2:97" x14ac:dyDescent="0.3">
      <c r="C1053" s="495">
        <f>C990</f>
        <v>274</v>
      </c>
      <c r="D1053" s="229">
        <f>IF(D$338&gt;$D$33,0,IF(Input!D$55=0,0,IF(Input!D$55&lt;31,Input!D$55/30*D418,IF(Input!D$55&lt;61,(Input!D$55-30)/30*D417+D418,IF(Input!D$55&lt;91,(Input!D$55-60)/30*D416+D417+D418,IF(Input!D$55&lt;121,(Input!D$55-90)/30*D415+D416+D417+D418,IF(Input!D$55&lt;151,(Input!D$55-120)/30*D414+D415+D416+D417+D418,(Input!D$55-150)/30*D413+D414+D415+D416+D417+D418)))))))</f>
        <v>0</v>
      </c>
      <c r="E1053" s="229">
        <f>IF(E$338&gt;$D$33,0,IF(Input!E$55=0,0,IF(Input!E$55&lt;31,Input!E$55/30*E418,IF(Input!E$55&lt;61,(Input!E$55-30)/30*E417+E418,IF(Input!E$55&lt;91,(Input!E$55-60)/30*E416+E417+E418,IF(Input!E$55&lt;121,(Input!E$55-90)/30*E415+E416+E417+E418,IF(Input!E$55&lt;151,(Input!E$55-120)/30*E414+E415+E416+E417+E418,(Input!E$55-150)/30*E413+E414+E415+E416+E417+E418)))))))</f>
        <v>0</v>
      </c>
      <c r="F1053" s="229">
        <f>IF(F$338&gt;$D$33,0,IF(Input!F$55=0,0,IF(Input!F$55&lt;31,Input!F$55/30*F418,IF(Input!F$55&lt;61,(Input!F$55-30)/30*F417+F418,IF(Input!F$55&lt;91,(Input!F$55-60)/30*F416+F417+F418,IF(Input!F$55&lt;121,(Input!F$55-90)/30*F415+F416+F417+F418,IF(Input!F$55&lt;151,(Input!F$55-120)/30*F414+F415+F416+F417+F418,(Input!F$55-150)/30*F413+F414+F415+F416+F417+F418)))))))</f>
        <v>0</v>
      </c>
      <c r="G1053" s="229">
        <f>IF(G$338&gt;$D$33,0,IF(Input!G$55=0,0,IF(Input!G$55&lt;31,Input!G$55/30*G418,IF(Input!G$55&lt;61,(Input!G$55-30)/30*G417+G418,IF(Input!G$55&lt;91,(Input!G$55-60)/30*G416+G417+G418,IF(Input!G$55&lt;121,(Input!G$55-90)/30*G415+G416+G417+G418,IF(Input!G$55&lt;151,(Input!G$55-120)/30*G414+G415+G416+G417+G418,(Input!G$55-150)/30*G413+G414+G415+G416+G417+G418)))))))</f>
        <v>0</v>
      </c>
      <c r="H1053" s="229">
        <f>IF(H$338&gt;$D$33,0,IF(Input!H$55=0,0,IF(Input!H$55&lt;31,Input!H$55/30*H418,IF(Input!H$55&lt;61,(Input!H$55-30)/30*H417+H418,IF(Input!H$55&lt;91,(Input!H$55-60)/30*H416+H417+H418,IF(Input!H$55&lt;121,(Input!H$55-90)/30*H415+H416+H417+H418,IF(Input!H$55&lt;151,(Input!H$55-120)/30*H414+H415+H416+H417+H418,(Input!H$55-150)/30*H413+H414+H415+H416+H417+H418)))))))</f>
        <v>0</v>
      </c>
      <c r="I1053" s="229">
        <f>IF(I$338&gt;$D$33,0,IF(Input!I$55=0,0,IF(Input!I$55&lt;31,Input!I$55/30*I418,IF(Input!I$55&lt;61,(Input!I$55-30)/30*I417+I418,IF(Input!I$55&lt;91,(Input!I$55-60)/30*I416+I417+I418,IF(Input!I$55&lt;121,(Input!I$55-90)/30*I415+I416+I417+I418,IF(Input!I$55&lt;151,(Input!I$55-120)/30*I414+I415+I416+I417+I418,(Input!I$55-150)/30*I413+I414+I415+I416+I417+I418)))))))</f>
        <v>0</v>
      </c>
      <c r="J1053" s="229">
        <f>IF(J$338&gt;$D$33,0,IF(Input!J$55=0,0,IF(Input!J$55&lt;31,Input!J$55/30*J418,IF(Input!J$55&lt;61,(Input!J$55-30)/30*J417+J418,IF(Input!J$55&lt;91,(Input!J$55-60)/30*J416+J417+J418,IF(Input!J$55&lt;121,(Input!J$55-90)/30*J415+J416+J417+J418,IF(Input!J$55&lt;151,(Input!J$55-120)/30*J414+J415+J416+J417+J418,(Input!J$55-150)/30*J413+J414+J415+J416+J417+J418)))))))</f>
        <v>0</v>
      </c>
      <c r="K1053" s="229">
        <f>IF(K$338&gt;$D$33,0,IF(Input!K$55=0,0,IF(Input!K$55&lt;31,Input!K$55/30*K418,IF(Input!K$55&lt;61,(Input!K$55-30)/30*K417+K418,IF(Input!K$55&lt;91,(Input!K$55-60)/30*K416+K417+K418,IF(Input!K$55&lt;121,(Input!K$55-90)/30*K415+K416+K417+K418,IF(Input!K$55&lt;151,(Input!K$55-120)/30*K414+K415+K416+K417+K418,(Input!K$55-150)/30*K413+K414+K415+K416+K417+K418)))))))</f>
        <v>0</v>
      </c>
      <c r="L1053" s="229">
        <f>IF(L$338&gt;$D$33,0,IF(Input!L$55=0,0,IF(Input!L$55&lt;31,Input!L$55/30*L418,IF(Input!L$55&lt;61,(Input!L$55-30)/30*L417+L418,IF(Input!L$55&lt;91,(Input!L$55-60)/30*L416+L417+L418,IF(Input!L$55&lt;121,(Input!L$55-90)/30*L415+L416+L417+L418,IF(Input!L$55&lt;151,(Input!L$55-120)/30*L414+L415+L416+L417+L418,(Input!L$55-150)/30*L413+L414+L415+L416+L417+L418)))))))</f>
        <v>0</v>
      </c>
      <c r="M1053" s="229">
        <f>IF(M$338&gt;$D$33,0,IF(Input!M$55=0,0,IF(Input!M$55&lt;31,Input!M$55/30*M418,IF(Input!M$55&lt;61,(Input!M$55-30)/30*M417+M418,IF(Input!M$55&lt;91,(Input!M$55-60)/30*M416+M417+M418,IF(Input!M$55&lt;121,(Input!M$55-90)/30*M415+M416+M417+M418,IF(Input!M$55&lt;151,(Input!M$55-120)/30*M414+M415+M416+M417+M418,(Input!M$55-150)/30*M413+M414+M415+M416+M417+M418)))))))</f>
        <v>0</v>
      </c>
      <c r="N1053" s="229">
        <f>IF(N$338&gt;$D$33,0,IF(Input!N$55=0,0,IF(Input!N$55&lt;31,Input!N$55/30*N418,IF(Input!N$55&lt;61,(Input!N$55-30)/30*N417+N418,IF(Input!N$55&lt;91,(Input!N$55-60)/30*N416+N417+N418,IF(Input!N$55&lt;121,(Input!N$55-90)/30*N415+N416+N417+N418,IF(Input!N$55&lt;151,(Input!N$55-120)/30*N414+N415+N416+N417+N418,(Input!N$55-150)/30*N413+N414+N415+N416+N417+N418)))))))</f>
        <v>0</v>
      </c>
      <c r="O1053" s="229">
        <f>IF(O$338&gt;$D$33,0,IF(Input!O$55=0,0,IF(Input!O$55&lt;31,Input!O$55/30*O418,IF(Input!O$55&lt;61,(Input!O$55-30)/30*O417+O418,IF(Input!O$55&lt;91,(Input!O$55-60)/30*O416+O417+O418,IF(Input!O$55&lt;121,(Input!O$55-90)/30*O415+O416+O417+O418,IF(Input!O$55&lt;151,(Input!O$55-120)/30*O414+O415+O416+O417+O418,(Input!O$55-150)/30*O413+O414+O415+O416+O417+O418)))))))</f>
        <v>0</v>
      </c>
      <c r="P1053" s="229">
        <f>IF(P$338&gt;$D$33,0,IF(Input!P$55=0,0,IF(Input!P$55&lt;31,Input!P$55/30*P418,IF(Input!P$55&lt;61,(Input!P$55-30)/30*P417+P418,IF(Input!P$55&lt;91,(Input!P$55-60)/30*P416+P417+P418,IF(Input!P$55&lt;121,(Input!P$55-90)/30*P415+P416+P417+P418,IF(Input!P$55&lt;151,(Input!P$55-120)/30*P414+P415+P416+P417+P418,(Input!P$55-150)/30*P413+P414+P415+P416+P417+P418)))))))</f>
        <v>0</v>
      </c>
      <c r="Q1053" s="229">
        <f>IF(Q$338&gt;$D$33,0,IF(Input!Q$55=0,0,IF(Input!Q$55&lt;31,Input!Q$55/30*Q418,IF(Input!Q$55&lt;61,(Input!Q$55-30)/30*Q417+Q418,IF(Input!Q$55&lt;91,(Input!Q$55-60)/30*Q416+Q417+Q418,IF(Input!Q$55&lt;121,(Input!Q$55-90)/30*Q415+Q416+Q417+Q418,IF(Input!Q$55&lt;151,(Input!Q$55-120)/30*Q414+Q415+Q416+Q417+Q418,(Input!Q$55-150)/30*Q413+Q414+Q415+Q416+Q417+Q418)))))))</f>
        <v>0</v>
      </c>
      <c r="R1053" s="229">
        <f>IF(R$338&gt;$D$33,0,IF(Input!R$55=0,0,IF(Input!R$55&lt;31,Input!R$55/30*R418,IF(Input!R$55&lt;61,(Input!R$55-30)/30*R417+R418,IF(Input!R$55&lt;91,(Input!R$55-60)/30*R416+R417+R418,IF(Input!R$55&lt;121,(Input!R$55-90)/30*R415+R416+R417+R418,IF(Input!R$55&lt;151,(Input!R$55-120)/30*R414+R415+R416+R417+R418,(Input!R$55-150)/30*R413+R414+R415+R416+R417+R418)))))))</f>
        <v>0</v>
      </c>
      <c r="S1053" s="229">
        <f>IF(S$338&gt;$D$33,0,IF(Input!S$55=0,0,IF(Input!S$55&lt;31,Input!S$55/30*S418,IF(Input!S$55&lt;61,(Input!S$55-30)/30*S417+S418,IF(Input!S$55&lt;91,(Input!S$55-60)/30*S416+S417+S418,IF(Input!S$55&lt;121,(Input!S$55-90)/30*S415+S416+S417+S418,IF(Input!S$55&lt;151,(Input!S$55-120)/30*S414+S415+S416+S417+S418,(Input!S$55-150)/30*S413+S414+S415+S416+S417+S418)))))))</f>
        <v>0</v>
      </c>
      <c r="T1053" s="229">
        <f>IF(T$338&gt;$D$33,0,IF(Input!T$55=0,0,IF(Input!T$55&lt;31,Input!T$55/30*T418,IF(Input!T$55&lt;61,(Input!T$55-30)/30*T417+T418,IF(Input!T$55&lt;91,(Input!T$55-60)/30*T416+T417+T418,IF(Input!T$55&lt;121,(Input!T$55-90)/30*T415+T416+T417+T418,IF(Input!T$55&lt;151,(Input!T$55-120)/30*T414+T415+T416+T417+T418,(Input!T$55-150)/30*T413+T414+T415+T416+T417+T418)))))))</f>
        <v>0</v>
      </c>
      <c r="U1053" s="229">
        <f>IF(U$338&gt;$D$33,0,IF(Input!U$55=0,0,IF(Input!U$55&lt;31,Input!U$55/30*U418,IF(Input!U$55&lt;61,(Input!U$55-30)/30*U417+U418,IF(Input!U$55&lt;91,(Input!U$55-60)/30*U416+U417+U418,IF(Input!U$55&lt;121,(Input!U$55-90)/30*U415+U416+U417+U418,IF(Input!U$55&lt;151,(Input!U$55-120)/30*U414+U415+U416+U417+U418,(Input!U$55-150)/30*U413+U414+U415+U416+U417+U418)))))))</f>
        <v>0</v>
      </c>
      <c r="V1053" s="229">
        <f>IF(V$338&gt;$D$33,0,IF(Input!V$55=0,0,IF(Input!V$55&lt;31,Input!V$55/30*V418,IF(Input!V$55&lt;61,(Input!V$55-30)/30*V417+V418,IF(Input!V$55&lt;91,(Input!V$55-60)/30*V416+V417+V418,IF(Input!V$55&lt;121,(Input!V$55-90)/30*V415+V416+V417+V418,IF(Input!V$55&lt;151,(Input!V$55-120)/30*V414+V415+V416+V417+V418,(Input!V$55-150)/30*V413+V414+V415+V416+V417+V418)))))))</f>
        <v>0</v>
      </c>
      <c r="W1053" s="229">
        <f>IF(W$338&gt;$D$33,0,IF(Input!W$55=0,0,IF(Input!W$55&lt;31,Input!W$55/30*W418,IF(Input!W$55&lt;61,(Input!W$55-30)/30*W417+W418,IF(Input!W$55&lt;91,(Input!W$55-60)/30*W416+W417+W418,IF(Input!W$55&lt;121,(Input!W$55-90)/30*W415+W416+W417+W418,IF(Input!W$55&lt;151,(Input!W$55-120)/30*W414+W415+W416+W417+W418,(Input!W$55-150)/30*W413+W414+W415+W416+W417+W418)))))))</f>
        <v>0</v>
      </c>
      <c r="X1053" s="229">
        <f>IF(X$338&gt;$D$33,0,IF(Input!X$55=0,0,IF(Input!X$55&lt;31,Input!X$55/30*X418,IF(Input!X$55&lt;61,(Input!X$55-30)/30*X417+X418,IF(Input!X$55&lt;91,(Input!X$55-60)/30*X416+X417+X418,IF(Input!X$55&lt;121,(Input!X$55-90)/30*X415+X416+X417+X418,IF(Input!X$55&lt;151,(Input!X$55-120)/30*X414+X415+X416+X417+X418,(Input!X$55-150)/30*X413+X414+X415+X416+X417+X418)))))))</f>
        <v>0</v>
      </c>
      <c r="Y1053" s="229">
        <f>IF(Y$338&gt;$D$33,0,IF(Input!Y$55=0,0,IF(Input!Y$55&lt;31,Input!Y$55/30*Y418,IF(Input!Y$55&lt;61,(Input!Y$55-30)/30*Y417+Y418,IF(Input!Y$55&lt;91,(Input!Y$55-60)/30*Y416+Y417+Y418,IF(Input!Y$55&lt;121,(Input!Y$55-90)/30*Y415+Y416+Y417+Y418,IF(Input!Y$55&lt;151,(Input!Y$55-120)/30*Y414+Y415+Y416+Y417+Y418,(Input!Y$55-150)/30*Y413+Y414+Y415+Y416+Y417+Y418)))))))</f>
        <v>0</v>
      </c>
      <c r="Z1053" s="229">
        <f>IF(Z$338&gt;$D$33,0,IF(Input!Z$55=0,0,IF(Input!Z$55&lt;31,Input!Z$55/30*Z418,IF(Input!Z$55&lt;61,(Input!Z$55-30)/30*Z417+Z418,IF(Input!Z$55&lt;91,(Input!Z$55-60)/30*Z416+Z417+Z418,IF(Input!Z$55&lt;121,(Input!Z$55-90)/30*Z415+Z416+Z417+Z418,IF(Input!Z$55&lt;151,(Input!Z$55-120)/30*Z414+Z415+Z416+Z417+Z418,(Input!Z$55-150)/30*Z413+Z414+Z415+Z416+Z417+Z418)))))))</f>
        <v>0</v>
      </c>
      <c r="AA1053" s="229">
        <f>IF(AA$338&gt;$D$33,0,IF(Input!AA$55=0,0,IF(Input!AA$55&lt;31,Input!AA$55/30*AA418,IF(Input!AA$55&lt;61,(Input!AA$55-30)/30*AA417+AA418,IF(Input!AA$55&lt;91,(Input!AA$55-60)/30*AA416+AA417+AA418,IF(Input!AA$55&lt;121,(Input!AA$55-90)/30*AA415+AA416+AA417+AA418,IF(Input!AA$55&lt;151,(Input!AA$55-120)/30*AA414+AA415+AA416+AA417+AA418,(Input!AA$55-150)/30*AA413+AA414+AA415+AA416+AA417+AA418)))))))</f>
        <v>0</v>
      </c>
      <c r="AB1053" s="229">
        <f>IF(AB$338&gt;$D$33,0,IF(Input!AB$55=0,0,IF(Input!AB$55&lt;31,Input!AB$55/30*AB418,IF(Input!AB$55&lt;61,(Input!AB$55-30)/30*AB417+AB418,IF(Input!AB$55&lt;91,(Input!AB$55-60)/30*AB416+AB417+AB418,IF(Input!AB$55&lt;121,(Input!AB$55-90)/30*AB415+AB416+AB417+AB418,IF(Input!AB$55&lt;151,(Input!AB$55-120)/30*AB414+AB415+AB416+AB417+AB418,(Input!AB$55-150)/30*AB413+AB414+AB415+AB416+AB417+AB418)))))))</f>
        <v>0</v>
      </c>
      <c r="CH1053" s="269"/>
      <c r="CI1053" s="269"/>
      <c r="CJ1053" s="269"/>
      <c r="CK1053" s="269"/>
      <c r="CL1053" s="269"/>
      <c r="CM1053" s="269"/>
      <c r="CN1053" s="269"/>
      <c r="CO1053" s="269"/>
      <c r="CP1053" s="269"/>
      <c r="CQ1053" s="269"/>
      <c r="CR1053" s="269"/>
      <c r="CS1053" s="269"/>
    </row>
    <row r="1054" spans="2:97" x14ac:dyDescent="0.3">
      <c r="C1054" s="495">
        <f>C991</f>
        <v>305</v>
      </c>
      <c r="D1054" s="229">
        <f>IF(D$338&gt;$D$33,0,IF(Input!D$55=0,0,IF(Input!D$55&lt;31,Input!D$55/30*D419,IF(Input!D$55&lt;61,(Input!D$55-30)/30*D418+D419,IF(Input!D$55&lt;91,(Input!D$55-60)/30*D417+D418+D419,IF(Input!D$55&lt;121,(Input!D$55-90)/30*D416+D417+D418+D419,IF(Input!D$55&lt;151,(Input!D$55-120)/30*D415+D416+D417+D418+D419,(Input!D$55-150)/30*D414+D415+D416+D417+D418+D419)))))))</f>
        <v>0</v>
      </c>
      <c r="E1054" s="229">
        <f>IF(E$338&gt;$D$33,0,IF(Input!E$55=0,0,IF(Input!E$55&lt;31,Input!E$55/30*E419,IF(Input!E$55&lt;61,(Input!E$55-30)/30*E418+E419,IF(Input!E$55&lt;91,(Input!E$55-60)/30*E417+E418+E419,IF(Input!E$55&lt;121,(Input!E$55-90)/30*E416+E417+E418+E419,IF(Input!E$55&lt;151,(Input!E$55-120)/30*E415+E416+E417+E418+E419,(Input!E$55-150)/30*E414+E415+E416+E417+E418+E419)))))))</f>
        <v>0</v>
      </c>
      <c r="F1054" s="229">
        <f>IF(F$338&gt;$D$33,0,IF(Input!F$55=0,0,IF(Input!F$55&lt;31,Input!F$55/30*F419,IF(Input!F$55&lt;61,(Input!F$55-30)/30*F418+F419,IF(Input!F$55&lt;91,(Input!F$55-60)/30*F417+F418+F419,IF(Input!F$55&lt;121,(Input!F$55-90)/30*F416+F417+F418+F419,IF(Input!F$55&lt;151,(Input!F$55-120)/30*F415+F416+F417+F418+F419,(Input!F$55-150)/30*F414+F415+F416+F417+F418+F419)))))))</f>
        <v>0</v>
      </c>
      <c r="G1054" s="229">
        <f>IF(G$338&gt;$D$33,0,IF(Input!G$55=0,0,IF(Input!G$55&lt;31,Input!G$55/30*G419,IF(Input!G$55&lt;61,(Input!G$55-30)/30*G418+G419,IF(Input!G$55&lt;91,(Input!G$55-60)/30*G417+G418+G419,IF(Input!G$55&lt;121,(Input!G$55-90)/30*G416+G417+G418+G419,IF(Input!G$55&lt;151,(Input!G$55-120)/30*G415+G416+G417+G418+G419,(Input!G$55-150)/30*G414+G415+G416+G417+G418+G419)))))))</f>
        <v>0</v>
      </c>
      <c r="H1054" s="229">
        <f>IF(H$338&gt;$D$33,0,IF(Input!H$55=0,0,IF(Input!H$55&lt;31,Input!H$55/30*H419,IF(Input!H$55&lt;61,(Input!H$55-30)/30*H418+H419,IF(Input!H$55&lt;91,(Input!H$55-60)/30*H417+H418+H419,IF(Input!H$55&lt;121,(Input!H$55-90)/30*H416+H417+H418+H419,IF(Input!H$55&lt;151,(Input!H$55-120)/30*H415+H416+H417+H418+H419,(Input!H$55-150)/30*H414+H415+H416+H417+H418+H419)))))))</f>
        <v>0</v>
      </c>
      <c r="I1054" s="229">
        <f>IF(I$338&gt;$D$33,0,IF(Input!I$55=0,0,IF(Input!I$55&lt;31,Input!I$55/30*I419,IF(Input!I$55&lt;61,(Input!I$55-30)/30*I418+I419,IF(Input!I$55&lt;91,(Input!I$55-60)/30*I417+I418+I419,IF(Input!I$55&lt;121,(Input!I$55-90)/30*I416+I417+I418+I419,IF(Input!I$55&lt;151,(Input!I$55-120)/30*I415+I416+I417+I418+I419,(Input!I$55-150)/30*I414+I415+I416+I417+I418+I419)))))))</f>
        <v>0</v>
      </c>
      <c r="J1054" s="229">
        <f>IF(J$338&gt;$D$33,0,IF(Input!J$55=0,0,IF(Input!J$55&lt;31,Input!J$55/30*J419,IF(Input!J$55&lt;61,(Input!J$55-30)/30*J418+J419,IF(Input!J$55&lt;91,(Input!J$55-60)/30*J417+J418+J419,IF(Input!J$55&lt;121,(Input!J$55-90)/30*J416+J417+J418+J419,IF(Input!J$55&lt;151,(Input!J$55-120)/30*J415+J416+J417+J418+J419,(Input!J$55-150)/30*J414+J415+J416+J417+J418+J419)))))))</f>
        <v>0</v>
      </c>
      <c r="K1054" s="229">
        <f>IF(K$338&gt;$D$33,0,IF(Input!K$55=0,0,IF(Input!K$55&lt;31,Input!K$55/30*K419,IF(Input!K$55&lt;61,(Input!K$55-30)/30*K418+K419,IF(Input!K$55&lt;91,(Input!K$55-60)/30*K417+K418+K419,IF(Input!K$55&lt;121,(Input!K$55-90)/30*K416+K417+K418+K419,IF(Input!K$55&lt;151,(Input!K$55-120)/30*K415+K416+K417+K418+K419,(Input!K$55-150)/30*K414+K415+K416+K417+K418+K419)))))))</f>
        <v>0</v>
      </c>
      <c r="L1054" s="229">
        <f>IF(L$338&gt;$D$33,0,IF(Input!L$55=0,0,IF(Input!L$55&lt;31,Input!L$55/30*L419,IF(Input!L$55&lt;61,(Input!L$55-30)/30*L418+L419,IF(Input!L$55&lt;91,(Input!L$55-60)/30*L417+L418+L419,IF(Input!L$55&lt;121,(Input!L$55-90)/30*L416+L417+L418+L419,IF(Input!L$55&lt;151,(Input!L$55-120)/30*L415+L416+L417+L418+L419,(Input!L$55-150)/30*L414+L415+L416+L417+L418+L419)))))))</f>
        <v>0</v>
      </c>
      <c r="M1054" s="229">
        <f>IF(M$338&gt;$D$33,0,IF(Input!M$55=0,0,IF(Input!M$55&lt;31,Input!M$55/30*M419,IF(Input!M$55&lt;61,(Input!M$55-30)/30*M418+M419,IF(Input!M$55&lt;91,(Input!M$55-60)/30*M417+M418+M419,IF(Input!M$55&lt;121,(Input!M$55-90)/30*M416+M417+M418+M419,IF(Input!M$55&lt;151,(Input!M$55-120)/30*M415+M416+M417+M418+M419,(Input!M$55-150)/30*M414+M415+M416+M417+M418+M419)))))))</f>
        <v>0</v>
      </c>
      <c r="N1054" s="229">
        <f>IF(N$338&gt;$D$33,0,IF(Input!N$55=0,0,IF(Input!N$55&lt;31,Input!N$55/30*N419,IF(Input!N$55&lt;61,(Input!N$55-30)/30*N418+N419,IF(Input!N$55&lt;91,(Input!N$55-60)/30*N417+N418+N419,IF(Input!N$55&lt;121,(Input!N$55-90)/30*N416+N417+N418+N419,IF(Input!N$55&lt;151,(Input!N$55-120)/30*N415+N416+N417+N418+N419,(Input!N$55-150)/30*N414+N415+N416+N417+N418+N419)))))))</f>
        <v>0</v>
      </c>
      <c r="O1054" s="229">
        <f>IF(O$338&gt;$D$33,0,IF(Input!O$55=0,0,IF(Input!O$55&lt;31,Input!O$55/30*O419,IF(Input!O$55&lt;61,(Input!O$55-30)/30*O418+O419,IF(Input!O$55&lt;91,(Input!O$55-60)/30*O417+O418+O419,IF(Input!O$55&lt;121,(Input!O$55-90)/30*O416+O417+O418+O419,IF(Input!O$55&lt;151,(Input!O$55-120)/30*O415+O416+O417+O418+O419,(Input!O$55-150)/30*O414+O415+O416+O417+O418+O419)))))))</f>
        <v>0</v>
      </c>
      <c r="P1054" s="229">
        <f>IF(P$338&gt;$D$33,0,IF(Input!P$55=0,0,IF(Input!P$55&lt;31,Input!P$55/30*P419,IF(Input!P$55&lt;61,(Input!P$55-30)/30*P418+P419,IF(Input!P$55&lt;91,(Input!P$55-60)/30*P417+P418+P419,IF(Input!P$55&lt;121,(Input!P$55-90)/30*P416+P417+P418+P419,IF(Input!P$55&lt;151,(Input!P$55-120)/30*P415+P416+P417+P418+P419,(Input!P$55-150)/30*P414+P415+P416+P417+P418+P419)))))))</f>
        <v>0</v>
      </c>
      <c r="Q1054" s="229">
        <f>IF(Q$338&gt;$D$33,0,IF(Input!Q$55=0,0,IF(Input!Q$55&lt;31,Input!Q$55/30*Q419,IF(Input!Q$55&lt;61,(Input!Q$55-30)/30*Q418+Q419,IF(Input!Q$55&lt;91,(Input!Q$55-60)/30*Q417+Q418+Q419,IF(Input!Q$55&lt;121,(Input!Q$55-90)/30*Q416+Q417+Q418+Q419,IF(Input!Q$55&lt;151,(Input!Q$55-120)/30*Q415+Q416+Q417+Q418+Q419,(Input!Q$55-150)/30*Q414+Q415+Q416+Q417+Q418+Q419)))))))</f>
        <v>0</v>
      </c>
      <c r="R1054" s="229">
        <f>IF(R$338&gt;$D$33,0,IF(Input!R$55=0,0,IF(Input!R$55&lt;31,Input!R$55/30*R419,IF(Input!R$55&lt;61,(Input!R$55-30)/30*R418+R419,IF(Input!R$55&lt;91,(Input!R$55-60)/30*R417+R418+R419,IF(Input!R$55&lt;121,(Input!R$55-90)/30*R416+R417+R418+R419,IF(Input!R$55&lt;151,(Input!R$55-120)/30*R415+R416+R417+R418+R419,(Input!R$55-150)/30*R414+R415+R416+R417+R418+R419)))))))</f>
        <v>0</v>
      </c>
      <c r="S1054" s="229">
        <f>IF(S$338&gt;$D$33,0,IF(Input!S$55=0,0,IF(Input!S$55&lt;31,Input!S$55/30*S419,IF(Input!S$55&lt;61,(Input!S$55-30)/30*S418+S419,IF(Input!S$55&lt;91,(Input!S$55-60)/30*S417+S418+S419,IF(Input!S$55&lt;121,(Input!S$55-90)/30*S416+S417+S418+S419,IF(Input!S$55&lt;151,(Input!S$55-120)/30*S415+S416+S417+S418+S419,(Input!S$55-150)/30*S414+S415+S416+S417+S418+S419)))))))</f>
        <v>0</v>
      </c>
      <c r="T1054" s="229">
        <f>IF(T$338&gt;$D$33,0,IF(Input!T$55=0,0,IF(Input!T$55&lt;31,Input!T$55/30*T419,IF(Input!T$55&lt;61,(Input!T$55-30)/30*T418+T419,IF(Input!T$55&lt;91,(Input!T$55-60)/30*T417+T418+T419,IF(Input!T$55&lt;121,(Input!T$55-90)/30*T416+T417+T418+T419,IF(Input!T$55&lt;151,(Input!T$55-120)/30*T415+T416+T417+T418+T419,(Input!T$55-150)/30*T414+T415+T416+T417+T418+T419)))))))</f>
        <v>0</v>
      </c>
      <c r="U1054" s="229">
        <f>IF(U$338&gt;$D$33,0,IF(Input!U$55=0,0,IF(Input!U$55&lt;31,Input!U$55/30*U419,IF(Input!U$55&lt;61,(Input!U$55-30)/30*U418+U419,IF(Input!U$55&lt;91,(Input!U$55-60)/30*U417+U418+U419,IF(Input!U$55&lt;121,(Input!U$55-90)/30*U416+U417+U418+U419,IF(Input!U$55&lt;151,(Input!U$55-120)/30*U415+U416+U417+U418+U419,(Input!U$55-150)/30*U414+U415+U416+U417+U418+U419)))))))</f>
        <v>0</v>
      </c>
      <c r="V1054" s="229">
        <f>IF(V$338&gt;$D$33,0,IF(Input!V$55=0,0,IF(Input!V$55&lt;31,Input!V$55/30*V419,IF(Input!V$55&lt;61,(Input!V$55-30)/30*V418+V419,IF(Input!V$55&lt;91,(Input!V$55-60)/30*V417+V418+V419,IF(Input!V$55&lt;121,(Input!V$55-90)/30*V416+V417+V418+V419,IF(Input!V$55&lt;151,(Input!V$55-120)/30*V415+V416+V417+V418+V419,(Input!V$55-150)/30*V414+V415+V416+V417+V418+V419)))))))</f>
        <v>0</v>
      </c>
      <c r="W1054" s="229">
        <f>IF(W$338&gt;$D$33,0,IF(Input!W$55=0,0,IF(Input!W$55&lt;31,Input!W$55/30*W419,IF(Input!W$55&lt;61,(Input!W$55-30)/30*W418+W419,IF(Input!W$55&lt;91,(Input!W$55-60)/30*W417+W418+W419,IF(Input!W$55&lt;121,(Input!W$55-90)/30*W416+W417+W418+W419,IF(Input!W$55&lt;151,(Input!W$55-120)/30*W415+W416+W417+W418+W419,(Input!W$55-150)/30*W414+W415+W416+W417+W418+W419)))))))</f>
        <v>0</v>
      </c>
      <c r="X1054" s="229">
        <f>IF(X$338&gt;$D$33,0,IF(Input!X$55=0,0,IF(Input!X$55&lt;31,Input!X$55/30*X419,IF(Input!X$55&lt;61,(Input!X$55-30)/30*X418+X419,IF(Input!X$55&lt;91,(Input!X$55-60)/30*X417+X418+X419,IF(Input!X$55&lt;121,(Input!X$55-90)/30*X416+X417+X418+X419,IF(Input!X$55&lt;151,(Input!X$55-120)/30*X415+X416+X417+X418+X419,(Input!X$55-150)/30*X414+X415+X416+X417+X418+X419)))))))</f>
        <v>0</v>
      </c>
      <c r="Y1054" s="229">
        <f>IF(Y$338&gt;$D$33,0,IF(Input!Y$55=0,0,IF(Input!Y$55&lt;31,Input!Y$55/30*Y419,IF(Input!Y$55&lt;61,(Input!Y$55-30)/30*Y418+Y419,IF(Input!Y$55&lt;91,(Input!Y$55-60)/30*Y417+Y418+Y419,IF(Input!Y$55&lt;121,(Input!Y$55-90)/30*Y416+Y417+Y418+Y419,IF(Input!Y$55&lt;151,(Input!Y$55-120)/30*Y415+Y416+Y417+Y418+Y419,(Input!Y$55-150)/30*Y414+Y415+Y416+Y417+Y418+Y419)))))))</f>
        <v>0</v>
      </c>
      <c r="Z1054" s="229">
        <f>IF(Z$338&gt;$D$33,0,IF(Input!Z$55=0,0,IF(Input!Z$55&lt;31,Input!Z$55/30*Z419,IF(Input!Z$55&lt;61,(Input!Z$55-30)/30*Z418+Z419,IF(Input!Z$55&lt;91,(Input!Z$55-60)/30*Z417+Z418+Z419,IF(Input!Z$55&lt;121,(Input!Z$55-90)/30*Z416+Z417+Z418+Z419,IF(Input!Z$55&lt;151,(Input!Z$55-120)/30*Z415+Z416+Z417+Z418+Z419,(Input!Z$55-150)/30*Z414+Z415+Z416+Z417+Z418+Z419)))))))</f>
        <v>0</v>
      </c>
      <c r="AA1054" s="229">
        <f>IF(AA$338&gt;$D$33,0,IF(Input!AA$55=0,0,IF(Input!AA$55&lt;31,Input!AA$55/30*AA419,IF(Input!AA$55&lt;61,(Input!AA$55-30)/30*AA418+AA419,IF(Input!AA$55&lt;91,(Input!AA$55-60)/30*AA417+AA418+AA419,IF(Input!AA$55&lt;121,(Input!AA$55-90)/30*AA416+AA417+AA418+AA419,IF(Input!AA$55&lt;151,(Input!AA$55-120)/30*AA415+AA416+AA417+AA418+AA419,(Input!AA$55-150)/30*AA414+AA415+AA416+AA417+AA418+AA419)))))))</f>
        <v>0</v>
      </c>
      <c r="AB1054" s="229">
        <f>IF(AB$338&gt;$D$33,0,IF(Input!AB$55=0,0,IF(Input!AB$55&lt;31,Input!AB$55/30*AB419,IF(Input!AB$55&lt;61,(Input!AB$55-30)/30*AB418+AB419,IF(Input!AB$55&lt;91,(Input!AB$55-60)/30*AB417+AB418+AB419,IF(Input!AB$55&lt;121,(Input!AB$55-90)/30*AB416+AB417+AB418+AB419,IF(Input!AB$55&lt;151,(Input!AB$55-120)/30*AB415+AB416+AB417+AB418+AB419,(Input!AB$55-150)/30*AB414+AB415+AB416+AB417+AB418+AB419)))))))</f>
        <v>0</v>
      </c>
      <c r="CH1054" s="269"/>
      <c r="CI1054" s="269"/>
      <c r="CJ1054" s="269"/>
      <c r="CK1054" s="269"/>
      <c r="CL1054" s="269"/>
      <c r="CM1054" s="269"/>
      <c r="CN1054" s="269"/>
      <c r="CO1054" s="269"/>
      <c r="CP1054" s="269"/>
      <c r="CQ1054" s="269"/>
      <c r="CR1054" s="269"/>
      <c r="CS1054" s="269"/>
    </row>
    <row r="1055" spans="2:97" x14ac:dyDescent="0.3">
      <c r="C1055" s="495">
        <f>C992</f>
        <v>335</v>
      </c>
      <c r="D1055" s="229">
        <f>IF(D$338&gt;$D$33,0,IF(Input!D$55=0,0,IF(Input!D$55&lt;31,Input!D$55/30*D420,IF(Input!D$55&lt;61,(Input!D$55-30)/30*D419+D420,IF(Input!D$55&lt;91,(Input!D$55-60)/30*D418+D419+D420,IF(Input!D$55&lt;121,(Input!D$55-90)/30*D417+D418+D419+D420,IF(Input!D$55&lt;151,(Input!D$55-120)/30*D416+D417+D418+D419+D420,(Input!D$55-150)/30*D415+D416+D417+D418+D419+D420)))))))</f>
        <v>0</v>
      </c>
      <c r="E1055" s="229">
        <f>IF(E$338&gt;$D$33,0,IF(Input!E$55=0,0,IF(Input!E$55&lt;31,Input!E$55/30*E420,IF(Input!E$55&lt;61,(Input!E$55-30)/30*E419+E420,IF(Input!E$55&lt;91,(Input!E$55-60)/30*E418+E419+E420,IF(Input!E$55&lt;121,(Input!E$55-90)/30*E417+E418+E419+E420,IF(Input!E$55&lt;151,(Input!E$55-120)/30*E416+E417+E418+E419+E420,(Input!E$55-150)/30*E415+E416+E417+E418+E419+E420)))))))</f>
        <v>0</v>
      </c>
      <c r="F1055" s="229">
        <f>IF(F$338&gt;$D$33,0,IF(Input!F$55=0,0,IF(Input!F$55&lt;31,Input!F$55/30*F420,IF(Input!F$55&lt;61,(Input!F$55-30)/30*F419+F420,IF(Input!F$55&lt;91,(Input!F$55-60)/30*F418+F419+F420,IF(Input!F$55&lt;121,(Input!F$55-90)/30*F417+F418+F419+F420,IF(Input!F$55&lt;151,(Input!F$55-120)/30*F416+F417+F418+F419+F420,(Input!F$55-150)/30*F415+F416+F417+F418+F419+F420)))))))</f>
        <v>0</v>
      </c>
      <c r="G1055" s="229">
        <f>IF(G$338&gt;$D$33,0,IF(Input!G$55=0,0,IF(Input!G$55&lt;31,Input!G$55/30*G420,IF(Input!G$55&lt;61,(Input!G$55-30)/30*G419+G420,IF(Input!G$55&lt;91,(Input!G$55-60)/30*G418+G419+G420,IF(Input!G$55&lt;121,(Input!G$55-90)/30*G417+G418+G419+G420,IF(Input!G$55&lt;151,(Input!G$55-120)/30*G416+G417+G418+G419+G420,(Input!G$55-150)/30*G415+G416+G417+G418+G419+G420)))))))</f>
        <v>0</v>
      </c>
      <c r="H1055" s="229">
        <f>IF(H$338&gt;$D$33,0,IF(Input!H$55=0,0,IF(Input!H$55&lt;31,Input!H$55/30*H420,IF(Input!H$55&lt;61,(Input!H$55-30)/30*H419+H420,IF(Input!H$55&lt;91,(Input!H$55-60)/30*H418+H419+H420,IF(Input!H$55&lt;121,(Input!H$55-90)/30*H417+H418+H419+H420,IF(Input!H$55&lt;151,(Input!H$55-120)/30*H416+H417+H418+H419+H420,(Input!H$55-150)/30*H415+H416+H417+H418+H419+H420)))))))</f>
        <v>0</v>
      </c>
      <c r="I1055" s="229">
        <f>IF(I$338&gt;$D$33,0,IF(Input!I$55=0,0,IF(Input!I$55&lt;31,Input!I$55/30*I420,IF(Input!I$55&lt;61,(Input!I$55-30)/30*I419+I420,IF(Input!I$55&lt;91,(Input!I$55-60)/30*I418+I419+I420,IF(Input!I$55&lt;121,(Input!I$55-90)/30*I417+I418+I419+I420,IF(Input!I$55&lt;151,(Input!I$55-120)/30*I416+I417+I418+I419+I420,(Input!I$55-150)/30*I415+I416+I417+I418+I419+I420)))))))</f>
        <v>0</v>
      </c>
      <c r="J1055" s="229">
        <f>IF(J$338&gt;$D$33,0,IF(Input!J$55=0,0,IF(Input!J$55&lt;31,Input!J$55/30*J420,IF(Input!J$55&lt;61,(Input!J$55-30)/30*J419+J420,IF(Input!J$55&lt;91,(Input!J$55-60)/30*J418+J419+J420,IF(Input!J$55&lt;121,(Input!J$55-90)/30*J417+J418+J419+J420,IF(Input!J$55&lt;151,(Input!J$55-120)/30*J416+J417+J418+J419+J420,(Input!J$55-150)/30*J415+J416+J417+J418+J419+J420)))))))</f>
        <v>0</v>
      </c>
      <c r="K1055" s="229">
        <f>IF(K$338&gt;$D$33,0,IF(Input!K$55=0,0,IF(Input!K$55&lt;31,Input!K$55/30*K420,IF(Input!K$55&lt;61,(Input!K$55-30)/30*K419+K420,IF(Input!K$55&lt;91,(Input!K$55-60)/30*K418+K419+K420,IF(Input!K$55&lt;121,(Input!K$55-90)/30*K417+K418+K419+K420,IF(Input!K$55&lt;151,(Input!K$55-120)/30*K416+K417+K418+K419+K420,(Input!K$55-150)/30*K415+K416+K417+K418+K419+K420)))))))</f>
        <v>0</v>
      </c>
      <c r="L1055" s="229">
        <f>IF(L$338&gt;$D$33,0,IF(Input!L$55=0,0,IF(Input!L$55&lt;31,Input!L$55/30*L420,IF(Input!L$55&lt;61,(Input!L$55-30)/30*L419+L420,IF(Input!L$55&lt;91,(Input!L$55-60)/30*L418+L419+L420,IF(Input!L$55&lt;121,(Input!L$55-90)/30*L417+L418+L419+L420,IF(Input!L$55&lt;151,(Input!L$55-120)/30*L416+L417+L418+L419+L420,(Input!L$55-150)/30*L415+L416+L417+L418+L419+L420)))))))</f>
        <v>0</v>
      </c>
      <c r="M1055" s="229">
        <f>IF(M$338&gt;$D$33,0,IF(Input!M$55=0,0,IF(Input!M$55&lt;31,Input!M$55/30*M420,IF(Input!M$55&lt;61,(Input!M$55-30)/30*M419+M420,IF(Input!M$55&lt;91,(Input!M$55-60)/30*M418+M419+M420,IF(Input!M$55&lt;121,(Input!M$55-90)/30*M417+M418+M419+M420,IF(Input!M$55&lt;151,(Input!M$55-120)/30*M416+M417+M418+M419+M420,(Input!M$55-150)/30*M415+M416+M417+M418+M419+M420)))))))</f>
        <v>0</v>
      </c>
      <c r="N1055" s="229">
        <f>IF(N$338&gt;$D$33,0,IF(Input!N$55=0,0,IF(Input!N$55&lt;31,Input!N$55/30*N420,IF(Input!N$55&lt;61,(Input!N$55-30)/30*N419+N420,IF(Input!N$55&lt;91,(Input!N$55-60)/30*N418+N419+N420,IF(Input!N$55&lt;121,(Input!N$55-90)/30*N417+N418+N419+N420,IF(Input!N$55&lt;151,(Input!N$55-120)/30*N416+N417+N418+N419+N420,(Input!N$55-150)/30*N415+N416+N417+N418+N419+N420)))))))</f>
        <v>0</v>
      </c>
      <c r="O1055" s="229">
        <f>IF(O$338&gt;$D$33,0,IF(Input!O$55=0,0,IF(Input!O$55&lt;31,Input!O$55/30*O420,IF(Input!O$55&lt;61,(Input!O$55-30)/30*O419+O420,IF(Input!O$55&lt;91,(Input!O$55-60)/30*O418+O419+O420,IF(Input!O$55&lt;121,(Input!O$55-90)/30*O417+O418+O419+O420,IF(Input!O$55&lt;151,(Input!O$55-120)/30*O416+O417+O418+O419+O420,(Input!O$55-150)/30*O415+O416+O417+O418+O419+O420)))))))</f>
        <v>0</v>
      </c>
      <c r="P1055" s="229">
        <f>IF(P$338&gt;$D$33,0,IF(Input!P$55=0,0,IF(Input!P$55&lt;31,Input!P$55/30*P420,IF(Input!P$55&lt;61,(Input!P$55-30)/30*P419+P420,IF(Input!P$55&lt;91,(Input!P$55-60)/30*P418+P419+P420,IF(Input!P$55&lt;121,(Input!P$55-90)/30*P417+P418+P419+P420,IF(Input!P$55&lt;151,(Input!P$55-120)/30*P416+P417+P418+P419+P420,(Input!P$55-150)/30*P415+P416+P417+P418+P419+P420)))))))</f>
        <v>0</v>
      </c>
      <c r="Q1055" s="229">
        <f>IF(Q$338&gt;$D$33,0,IF(Input!Q$55=0,0,IF(Input!Q$55&lt;31,Input!Q$55/30*Q420,IF(Input!Q$55&lt;61,(Input!Q$55-30)/30*Q419+Q420,IF(Input!Q$55&lt;91,(Input!Q$55-60)/30*Q418+Q419+Q420,IF(Input!Q$55&lt;121,(Input!Q$55-90)/30*Q417+Q418+Q419+Q420,IF(Input!Q$55&lt;151,(Input!Q$55-120)/30*Q416+Q417+Q418+Q419+Q420,(Input!Q$55-150)/30*Q415+Q416+Q417+Q418+Q419+Q420)))))))</f>
        <v>0</v>
      </c>
      <c r="R1055" s="229">
        <f>IF(R$338&gt;$D$33,0,IF(Input!R$55=0,0,IF(Input!R$55&lt;31,Input!R$55/30*R420,IF(Input!R$55&lt;61,(Input!R$55-30)/30*R419+R420,IF(Input!R$55&lt;91,(Input!R$55-60)/30*R418+R419+R420,IF(Input!R$55&lt;121,(Input!R$55-90)/30*R417+R418+R419+R420,IF(Input!R$55&lt;151,(Input!R$55-120)/30*R416+R417+R418+R419+R420,(Input!R$55-150)/30*R415+R416+R417+R418+R419+R420)))))))</f>
        <v>0</v>
      </c>
      <c r="S1055" s="229">
        <f>IF(S$338&gt;$D$33,0,IF(Input!S$55=0,0,IF(Input!S$55&lt;31,Input!S$55/30*S420,IF(Input!S$55&lt;61,(Input!S$55-30)/30*S419+S420,IF(Input!S$55&lt;91,(Input!S$55-60)/30*S418+S419+S420,IF(Input!S$55&lt;121,(Input!S$55-90)/30*S417+S418+S419+S420,IF(Input!S$55&lt;151,(Input!S$55-120)/30*S416+S417+S418+S419+S420,(Input!S$55-150)/30*S415+S416+S417+S418+S419+S420)))))))</f>
        <v>0</v>
      </c>
      <c r="T1055" s="229">
        <f>IF(T$338&gt;$D$33,0,IF(Input!T$55=0,0,IF(Input!T$55&lt;31,Input!T$55/30*T420,IF(Input!T$55&lt;61,(Input!T$55-30)/30*T419+T420,IF(Input!T$55&lt;91,(Input!T$55-60)/30*T418+T419+T420,IF(Input!T$55&lt;121,(Input!T$55-90)/30*T417+T418+T419+T420,IF(Input!T$55&lt;151,(Input!T$55-120)/30*T416+T417+T418+T419+T420,(Input!T$55-150)/30*T415+T416+T417+T418+T419+T420)))))))</f>
        <v>0</v>
      </c>
      <c r="U1055" s="229">
        <f>IF(U$338&gt;$D$33,0,IF(Input!U$55=0,0,IF(Input!U$55&lt;31,Input!U$55/30*U420,IF(Input!U$55&lt;61,(Input!U$55-30)/30*U419+U420,IF(Input!U$55&lt;91,(Input!U$55-60)/30*U418+U419+U420,IF(Input!U$55&lt;121,(Input!U$55-90)/30*U417+U418+U419+U420,IF(Input!U$55&lt;151,(Input!U$55-120)/30*U416+U417+U418+U419+U420,(Input!U$55-150)/30*U415+U416+U417+U418+U419+U420)))))))</f>
        <v>0</v>
      </c>
      <c r="V1055" s="229">
        <f>IF(V$338&gt;$D$33,0,IF(Input!V$55=0,0,IF(Input!V$55&lt;31,Input!V$55/30*V420,IF(Input!V$55&lt;61,(Input!V$55-30)/30*V419+V420,IF(Input!V$55&lt;91,(Input!V$55-60)/30*V418+V419+V420,IF(Input!V$55&lt;121,(Input!V$55-90)/30*V417+V418+V419+V420,IF(Input!V$55&lt;151,(Input!V$55-120)/30*V416+V417+V418+V419+V420,(Input!V$55-150)/30*V415+V416+V417+V418+V419+V420)))))))</f>
        <v>0</v>
      </c>
      <c r="W1055" s="229">
        <f>IF(W$338&gt;$D$33,0,IF(Input!W$55=0,0,IF(Input!W$55&lt;31,Input!W$55/30*W420,IF(Input!W$55&lt;61,(Input!W$55-30)/30*W419+W420,IF(Input!W$55&lt;91,(Input!W$55-60)/30*W418+W419+W420,IF(Input!W$55&lt;121,(Input!W$55-90)/30*W417+W418+W419+W420,IF(Input!W$55&lt;151,(Input!W$55-120)/30*W416+W417+W418+W419+W420,(Input!W$55-150)/30*W415+W416+W417+W418+W419+W420)))))))</f>
        <v>0</v>
      </c>
      <c r="X1055" s="229">
        <f>IF(X$338&gt;$D$33,0,IF(Input!X$55=0,0,IF(Input!X$55&lt;31,Input!X$55/30*X420,IF(Input!X$55&lt;61,(Input!X$55-30)/30*X419+X420,IF(Input!X$55&lt;91,(Input!X$55-60)/30*X418+X419+X420,IF(Input!X$55&lt;121,(Input!X$55-90)/30*X417+X418+X419+X420,IF(Input!X$55&lt;151,(Input!X$55-120)/30*X416+X417+X418+X419+X420,(Input!X$55-150)/30*X415+X416+X417+X418+X419+X420)))))))</f>
        <v>0</v>
      </c>
      <c r="Y1055" s="229">
        <f>IF(Y$338&gt;$D$33,0,IF(Input!Y$55=0,0,IF(Input!Y$55&lt;31,Input!Y$55/30*Y420,IF(Input!Y$55&lt;61,(Input!Y$55-30)/30*Y419+Y420,IF(Input!Y$55&lt;91,(Input!Y$55-60)/30*Y418+Y419+Y420,IF(Input!Y$55&lt;121,(Input!Y$55-90)/30*Y417+Y418+Y419+Y420,IF(Input!Y$55&lt;151,(Input!Y$55-120)/30*Y416+Y417+Y418+Y419+Y420,(Input!Y$55-150)/30*Y415+Y416+Y417+Y418+Y419+Y420)))))))</f>
        <v>0</v>
      </c>
      <c r="Z1055" s="229">
        <f>IF(Z$338&gt;$D$33,0,IF(Input!Z$55=0,0,IF(Input!Z$55&lt;31,Input!Z$55/30*Z420,IF(Input!Z$55&lt;61,(Input!Z$55-30)/30*Z419+Z420,IF(Input!Z$55&lt;91,(Input!Z$55-60)/30*Z418+Z419+Z420,IF(Input!Z$55&lt;121,(Input!Z$55-90)/30*Z417+Z418+Z419+Z420,IF(Input!Z$55&lt;151,(Input!Z$55-120)/30*Z416+Z417+Z418+Z419+Z420,(Input!Z$55-150)/30*Z415+Z416+Z417+Z418+Z419+Z420)))))))</f>
        <v>0</v>
      </c>
      <c r="AA1055" s="229">
        <f>IF(AA$338&gt;$D$33,0,IF(Input!AA$55=0,0,IF(Input!AA$55&lt;31,Input!AA$55/30*AA420,IF(Input!AA$55&lt;61,(Input!AA$55-30)/30*AA419+AA420,IF(Input!AA$55&lt;91,(Input!AA$55-60)/30*AA418+AA419+AA420,IF(Input!AA$55&lt;121,(Input!AA$55-90)/30*AA417+AA418+AA419+AA420,IF(Input!AA$55&lt;151,(Input!AA$55-120)/30*AA416+AA417+AA418+AA419+AA420,(Input!AA$55-150)/30*AA415+AA416+AA417+AA418+AA419+AA420)))))))</f>
        <v>0</v>
      </c>
      <c r="AB1055" s="229">
        <f>IF(AB$338&gt;$D$33,0,IF(Input!AB$55=0,0,IF(Input!AB$55&lt;31,Input!AB$55/30*AB420,IF(Input!AB$55&lt;61,(Input!AB$55-30)/30*AB419+AB420,IF(Input!AB$55&lt;91,(Input!AB$55-60)/30*AB418+AB419+AB420,IF(Input!AB$55&lt;121,(Input!AB$55-90)/30*AB417+AB418+AB419+AB420,IF(Input!AB$55&lt;151,(Input!AB$55-120)/30*AB416+AB417+AB418+AB419+AB420,(Input!AB$55-150)/30*AB415+AB416+AB417+AB418+AB419+AB420)))))))</f>
        <v>0</v>
      </c>
      <c r="CH1055" s="269"/>
      <c r="CI1055" s="269"/>
      <c r="CJ1055" s="269"/>
      <c r="CK1055" s="269"/>
      <c r="CL1055" s="269"/>
      <c r="CM1055" s="269"/>
      <c r="CN1055" s="269"/>
      <c r="CO1055" s="269"/>
      <c r="CP1055" s="269"/>
      <c r="CQ1055" s="269"/>
      <c r="CR1055" s="269"/>
      <c r="CS1055" s="269"/>
    </row>
    <row r="1056" spans="2:97" ht="12.5" thickBot="1" x14ac:dyDescent="0.35">
      <c r="C1056" s="496">
        <f>C993</f>
        <v>366</v>
      </c>
      <c r="D1056" s="230">
        <f>IF(D$338&gt;$D$33,0,IF(Input!D$55=0,0,IF(Input!D$55&lt;31,Input!D$55/30*D421,IF(Input!D$55&lt;61,(Input!D$55-30)/30*D420+D421,IF(Input!D$55&lt;91,(Input!D$55-60)/30*D419+D420+D421,IF(Input!D$55&lt;121,(Input!D$55-90)/30*D418+D419+D420+D421,IF(Input!D$55&lt;151,(Input!D$55-120)/30*D417+D418+D419+D420+D421,(Input!D$55-150)/30*D416+D417+D418+D419+D420+D421)))))))</f>
        <v>0</v>
      </c>
      <c r="E1056" s="230">
        <f>IF(E$338&gt;$D$33,0,IF(Input!E$55=0,0,IF(Input!E$55&lt;31,Input!E$55/30*E421,IF(Input!E$55&lt;61,(Input!E$55-30)/30*E420+E421,IF(Input!E$55&lt;91,(Input!E$55-60)/30*E419+E420+E421,IF(Input!E$55&lt;121,(Input!E$55-90)/30*E418+E419+E420+E421,IF(Input!E$55&lt;151,(Input!E$55-120)/30*E417+E418+E419+E420+E421,(Input!E$55-150)/30*E416+E417+E418+E419+E420+E421)))))))</f>
        <v>0</v>
      </c>
      <c r="F1056" s="230">
        <f>IF(F$338&gt;$D$33,0,IF(Input!F$55=0,0,IF(Input!F$55&lt;31,Input!F$55/30*F421,IF(Input!F$55&lt;61,(Input!F$55-30)/30*F420+F421,IF(Input!F$55&lt;91,(Input!F$55-60)/30*F419+F420+F421,IF(Input!F$55&lt;121,(Input!F$55-90)/30*F418+F419+F420+F421,IF(Input!F$55&lt;151,(Input!F$55-120)/30*F417+F418+F419+F420+F421,(Input!F$55-150)/30*F416+F417+F418+F419+F420+F421)))))))</f>
        <v>0</v>
      </c>
      <c r="G1056" s="230">
        <f>IF(G$338&gt;$D$33,0,IF(Input!G$55=0,0,IF(Input!G$55&lt;31,Input!G$55/30*G421,IF(Input!G$55&lt;61,(Input!G$55-30)/30*G420+G421,IF(Input!G$55&lt;91,(Input!G$55-60)/30*G419+G420+G421,IF(Input!G$55&lt;121,(Input!G$55-90)/30*G418+G419+G420+G421,IF(Input!G$55&lt;151,(Input!G$55-120)/30*G417+G418+G419+G420+G421,(Input!G$55-150)/30*G416+G417+G418+G419+G420+G421)))))))</f>
        <v>0</v>
      </c>
      <c r="H1056" s="230">
        <f>IF(H$338&gt;$D$33,0,IF(Input!H$55=0,0,IF(Input!H$55&lt;31,Input!H$55/30*H421,IF(Input!H$55&lt;61,(Input!H$55-30)/30*H420+H421,IF(Input!H$55&lt;91,(Input!H$55-60)/30*H419+H420+H421,IF(Input!H$55&lt;121,(Input!H$55-90)/30*H418+H419+H420+H421,IF(Input!H$55&lt;151,(Input!H$55-120)/30*H417+H418+H419+H420+H421,(Input!H$55-150)/30*H416+H417+H418+H419+H420+H421)))))))</f>
        <v>0</v>
      </c>
      <c r="I1056" s="230">
        <f>IF(I$338&gt;$D$33,0,IF(Input!I$55=0,0,IF(Input!I$55&lt;31,Input!I$55/30*I421,IF(Input!I$55&lt;61,(Input!I$55-30)/30*I420+I421,IF(Input!I$55&lt;91,(Input!I$55-60)/30*I419+I420+I421,IF(Input!I$55&lt;121,(Input!I$55-90)/30*I418+I419+I420+I421,IF(Input!I$55&lt;151,(Input!I$55-120)/30*I417+I418+I419+I420+I421,(Input!I$55-150)/30*I416+I417+I418+I419+I420+I421)))))))</f>
        <v>0</v>
      </c>
      <c r="J1056" s="230">
        <f>IF(J$338&gt;$D$33,0,IF(Input!J$55=0,0,IF(Input!J$55&lt;31,Input!J$55/30*J421,IF(Input!J$55&lt;61,(Input!J$55-30)/30*J420+J421,IF(Input!J$55&lt;91,(Input!J$55-60)/30*J419+J420+J421,IF(Input!J$55&lt;121,(Input!J$55-90)/30*J418+J419+J420+J421,IF(Input!J$55&lt;151,(Input!J$55-120)/30*J417+J418+J419+J420+J421,(Input!J$55-150)/30*J416+J417+J418+J419+J420+J421)))))))</f>
        <v>0</v>
      </c>
      <c r="K1056" s="230">
        <f>IF(K$338&gt;$D$33,0,IF(Input!K$55=0,0,IF(Input!K$55&lt;31,Input!K$55/30*K421,IF(Input!K$55&lt;61,(Input!K$55-30)/30*K420+K421,IF(Input!K$55&lt;91,(Input!K$55-60)/30*K419+K420+K421,IF(Input!K$55&lt;121,(Input!K$55-90)/30*K418+K419+K420+K421,IF(Input!K$55&lt;151,(Input!K$55-120)/30*K417+K418+K419+K420+K421,(Input!K$55-150)/30*K416+K417+K418+K419+K420+K421)))))))</f>
        <v>0</v>
      </c>
      <c r="L1056" s="230">
        <f>IF(L$338&gt;$D$33,0,IF(Input!L$55=0,0,IF(Input!L$55&lt;31,Input!L$55/30*L421,IF(Input!L$55&lt;61,(Input!L$55-30)/30*L420+L421,IF(Input!L$55&lt;91,(Input!L$55-60)/30*L419+L420+L421,IF(Input!L$55&lt;121,(Input!L$55-90)/30*L418+L419+L420+L421,IF(Input!L$55&lt;151,(Input!L$55-120)/30*L417+L418+L419+L420+L421,(Input!L$55-150)/30*L416+L417+L418+L419+L420+L421)))))))</f>
        <v>0</v>
      </c>
      <c r="M1056" s="230">
        <f>IF(M$338&gt;$D$33,0,IF(Input!M$55=0,0,IF(Input!M$55&lt;31,Input!M$55/30*M421,IF(Input!M$55&lt;61,(Input!M$55-30)/30*M420+M421,IF(Input!M$55&lt;91,(Input!M$55-60)/30*M419+M420+M421,IF(Input!M$55&lt;121,(Input!M$55-90)/30*M418+M419+M420+M421,IF(Input!M$55&lt;151,(Input!M$55-120)/30*M417+M418+M419+M420+M421,(Input!M$55-150)/30*M416+M417+M418+M419+M420+M421)))))))</f>
        <v>0</v>
      </c>
      <c r="N1056" s="230">
        <f>IF(N$338&gt;$D$33,0,IF(Input!N$55=0,0,IF(Input!N$55&lt;31,Input!N$55/30*N421,IF(Input!N$55&lt;61,(Input!N$55-30)/30*N420+N421,IF(Input!N$55&lt;91,(Input!N$55-60)/30*N419+N420+N421,IF(Input!N$55&lt;121,(Input!N$55-90)/30*N418+N419+N420+N421,IF(Input!N$55&lt;151,(Input!N$55-120)/30*N417+N418+N419+N420+N421,(Input!N$55-150)/30*N416+N417+N418+N419+N420+N421)))))))</f>
        <v>0</v>
      </c>
      <c r="O1056" s="230">
        <f>IF(O$338&gt;$D$33,0,IF(Input!O$55=0,0,IF(Input!O$55&lt;31,Input!O$55/30*O421,IF(Input!O$55&lt;61,(Input!O$55-30)/30*O420+O421,IF(Input!O$55&lt;91,(Input!O$55-60)/30*O419+O420+O421,IF(Input!O$55&lt;121,(Input!O$55-90)/30*O418+O419+O420+O421,IF(Input!O$55&lt;151,(Input!O$55-120)/30*O417+O418+O419+O420+O421,(Input!O$55-150)/30*O416+O417+O418+O419+O420+O421)))))))</f>
        <v>0</v>
      </c>
      <c r="P1056" s="230">
        <f>IF(P$338&gt;$D$33,0,IF(Input!P$55=0,0,IF(Input!P$55&lt;31,Input!P$55/30*P421,IF(Input!P$55&lt;61,(Input!P$55-30)/30*P420+P421,IF(Input!P$55&lt;91,(Input!P$55-60)/30*P419+P420+P421,IF(Input!P$55&lt;121,(Input!P$55-90)/30*P418+P419+P420+P421,IF(Input!P$55&lt;151,(Input!P$55-120)/30*P417+P418+P419+P420+P421,(Input!P$55-150)/30*P416+P417+P418+P419+P420+P421)))))))</f>
        <v>0</v>
      </c>
      <c r="Q1056" s="230">
        <f>IF(Q$338&gt;$D$33,0,IF(Input!Q$55=0,0,IF(Input!Q$55&lt;31,Input!Q$55/30*Q421,IF(Input!Q$55&lt;61,(Input!Q$55-30)/30*Q420+Q421,IF(Input!Q$55&lt;91,(Input!Q$55-60)/30*Q419+Q420+Q421,IF(Input!Q$55&lt;121,(Input!Q$55-90)/30*Q418+Q419+Q420+Q421,IF(Input!Q$55&lt;151,(Input!Q$55-120)/30*Q417+Q418+Q419+Q420+Q421,(Input!Q$55-150)/30*Q416+Q417+Q418+Q419+Q420+Q421)))))))</f>
        <v>0</v>
      </c>
      <c r="R1056" s="230">
        <f>IF(R$338&gt;$D$33,0,IF(Input!R$55=0,0,IF(Input!R$55&lt;31,Input!R$55/30*R421,IF(Input!R$55&lt;61,(Input!R$55-30)/30*R420+R421,IF(Input!R$55&lt;91,(Input!R$55-60)/30*R419+R420+R421,IF(Input!R$55&lt;121,(Input!R$55-90)/30*R418+R419+R420+R421,IF(Input!R$55&lt;151,(Input!R$55-120)/30*R417+R418+R419+R420+R421,(Input!R$55-150)/30*R416+R417+R418+R419+R420+R421)))))))</f>
        <v>0</v>
      </c>
      <c r="S1056" s="230">
        <f>IF(S$338&gt;$D$33,0,IF(Input!S$55=0,0,IF(Input!S$55&lt;31,Input!S$55/30*S421,IF(Input!S$55&lt;61,(Input!S$55-30)/30*S420+S421,IF(Input!S$55&lt;91,(Input!S$55-60)/30*S419+S420+S421,IF(Input!S$55&lt;121,(Input!S$55-90)/30*S418+S419+S420+S421,IF(Input!S$55&lt;151,(Input!S$55-120)/30*S417+S418+S419+S420+S421,(Input!S$55-150)/30*S416+S417+S418+S419+S420+S421)))))))</f>
        <v>0</v>
      </c>
      <c r="T1056" s="230">
        <f>IF(T$338&gt;$D$33,0,IF(Input!T$55=0,0,IF(Input!T$55&lt;31,Input!T$55/30*T421,IF(Input!T$55&lt;61,(Input!T$55-30)/30*T420+T421,IF(Input!T$55&lt;91,(Input!T$55-60)/30*T419+T420+T421,IF(Input!T$55&lt;121,(Input!T$55-90)/30*T418+T419+T420+T421,IF(Input!T$55&lt;151,(Input!T$55-120)/30*T417+T418+T419+T420+T421,(Input!T$55-150)/30*T416+T417+T418+T419+T420+T421)))))))</f>
        <v>0</v>
      </c>
      <c r="U1056" s="230">
        <f>IF(U$338&gt;$D$33,0,IF(Input!U$55=0,0,IF(Input!U$55&lt;31,Input!U$55/30*U421,IF(Input!U$55&lt;61,(Input!U$55-30)/30*U420+U421,IF(Input!U$55&lt;91,(Input!U$55-60)/30*U419+U420+U421,IF(Input!U$55&lt;121,(Input!U$55-90)/30*U418+U419+U420+U421,IF(Input!U$55&lt;151,(Input!U$55-120)/30*U417+U418+U419+U420+U421,(Input!U$55-150)/30*U416+U417+U418+U419+U420+U421)))))))</f>
        <v>0</v>
      </c>
      <c r="V1056" s="230">
        <f>IF(V$338&gt;$D$33,0,IF(Input!V$55=0,0,IF(Input!V$55&lt;31,Input!V$55/30*V421,IF(Input!V$55&lt;61,(Input!V$55-30)/30*V420+V421,IF(Input!V$55&lt;91,(Input!V$55-60)/30*V419+V420+V421,IF(Input!V$55&lt;121,(Input!V$55-90)/30*V418+V419+V420+V421,IF(Input!V$55&lt;151,(Input!V$55-120)/30*V417+V418+V419+V420+V421,(Input!V$55-150)/30*V416+V417+V418+V419+V420+V421)))))))</f>
        <v>0</v>
      </c>
      <c r="W1056" s="230">
        <f>IF(W$338&gt;$D$33,0,IF(Input!W$55=0,0,IF(Input!W$55&lt;31,Input!W$55/30*W421,IF(Input!W$55&lt;61,(Input!W$55-30)/30*W420+W421,IF(Input!W$55&lt;91,(Input!W$55-60)/30*W419+W420+W421,IF(Input!W$55&lt;121,(Input!W$55-90)/30*W418+W419+W420+W421,IF(Input!W$55&lt;151,(Input!W$55-120)/30*W417+W418+W419+W420+W421,(Input!W$55-150)/30*W416+W417+W418+W419+W420+W421)))))))</f>
        <v>0</v>
      </c>
      <c r="X1056" s="230">
        <f>IF(X$338&gt;$D$33,0,IF(Input!X$55=0,0,IF(Input!X$55&lt;31,Input!X$55/30*X421,IF(Input!X$55&lt;61,(Input!X$55-30)/30*X420+X421,IF(Input!X$55&lt;91,(Input!X$55-60)/30*X419+X420+X421,IF(Input!X$55&lt;121,(Input!X$55-90)/30*X418+X419+X420+X421,IF(Input!X$55&lt;151,(Input!X$55-120)/30*X417+X418+X419+X420+X421,(Input!X$55-150)/30*X416+X417+X418+X419+X420+X421)))))))</f>
        <v>0</v>
      </c>
      <c r="Y1056" s="230">
        <f>IF(Y$338&gt;$D$33,0,IF(Input!Y$55=0,0,IF(Input!Y$55&lt;31,Input!Y$55/30*Y421,IF(Input!Y$55&lt;61,(Input!Y$55-30)/30*Y420+Y421,IF(Input!Y$55&lt;91,(Input!Y$55-60)/30*Y419+Y420+Y421,IF(Input!Y$55&lt;121,(Input!Y$55-90)/30*Y418+Y419+Y420+Y421,IF(Input!Y$55&lt;151,(Input!Y$55-120)/30*Y417+Y418+Y419+Y420+Y421,(Input!Y$55-150)/30*Y416+Y417+Y418+Y419+Y420+Y421)))))))</f>
        <v>0</v>
      </c>
      <c r="Z1056" s="230">
        <f>IF(Z$338&gt;$D$33,0,IF(Input!Z$55=0,0,IF(Input!Z$55&lt;31,Input!Z$55/30*Z421,IF(Input!Z$55&lt;61,(Input!Z$55-30)/30*Z420+Z421,IF(Input!Z$55&lt;91,(Input!Z$55-60)/30*Z419+Z420+Z421,IF(Input!Z$55&lt;121,(Input!Z$55-90)/30*Z418+Z419+Z420+Z421,IF(Input!Z$55&lt;151,(Input!Z$55-120)/30*Z417+Z418+Z419+Z420+Z421,(Input!Z$55-150)/30*Z416+Z417+Z418+Z419+Z420+Z421)))))))</f>
        <v>0</v>
      </c>
      <c r="AA1056" s="230">
        <f>IF(AA$338&gt;$D$33,0,IF(Input!AA$55=0,0,IF(Input!AA$55&lt;31,Input!AA$55/30*AA421,IF(Input!AA$55&lt;61,(Input!AA$55-30)/30*AA420+AA421,IF(Input!AA$55&lt;91,(Input!AA$55-60)/30*AA419+AA420+AA421,IF(Input!AA$55&lt;121,(Input!AA$55-90)/30*AA418+AA419+AA420+AA421,IF(Input!AA$55&lt;151,(Input!AA$55-120)/30*AA417+AA418+AA419+AA420+AA421,(Input!AA$55-150)/30*AA416+AA417+AA418+AA419+AA420+AA421)))))))</f>
        <v>0</v>
      </c>
      <c r="AB1056" s="230">
        <f>IF(AB$338&gt;$D$33,0,IF(Input!AB$55=0,0,IF(Input!AB$55&lt;31,Input!AB$55/30*AB421,IF(Input!AB$55&lt;61,(Input!AB$55-30)/30*AB420+AB421,IF(Input!AB$55&lt;91,(Input!AB$55-60)/30*AB419+AB420+AB421,IF(Input!AB$55&lt;121,(Input!AB$55-90)/30*AB418+AB419+AB420+AB421,IF(Input!AB$55&lt;151,(Input!AB$55-120)/30*AB417+AB418+AB419+AB420+AB421,(Input!AB$55-150)/30*AB416+AB417+AB418+AB419+AB420+AB421)))))))</f>
        <v>0</v>
      </c>
      <c r="CH1056" s="269"/>
      <c r="CI1056" s="269"/>
      <c r="CJ1056" s="269"/>
      <c r="CK1056" s="269"/>
      <c r="CL1056" s="269"/>
      <c r="CM1056" s="269"/>
      <c r="CN1056" s="269"/>
      <c r="CO1056" s="269"/>
      <c r="CP1056" s="269"/>
      <c r="CQ1056" s="269"/>
      <c r="CR1056" s="269"/>
      <c r="CS1056" s="269"/>
    </row>
    <row r="1057" spans="3:97" x14ac:dyDescent="0.3">
      <c r="C1057" s="495">
        <f>C994</f>
        <v>397</v>
      </c>
      <c r="D1057" s="231">
        <f>IF(D$338&gt;$D$33,0,IF(Input!D$55=0,0,IF(Input!D$55&lt;31,Input!D$55/30*D422,IF(Input!D$55&lt;61,(Input!D$55-30)/30*D421+D422,IF(Input!D$55&lt;91,(Input!D$55-60)/30*D420+D421+D422,IF(Input!D$55&lt;121,(Input!D$55-90)/30*D419+D420+D421+D422,IF(Input!D$55&lt;151,(Input!D$55-120)/30*D418+D419+D420+D421+D422,(Input!D$55-150)/30*D417+D418+D419+D420+D421+D422)))))))</f>
        <v>0</v>
      </c>
      <c r="E1057" s="231">
        <f>IF(E$338&gt;$D$33,0,IF(Input!E$55=0,0,IF(Input!E$55&lt;31,Input!E$55/30*E422,IF(Input!E$55&lt;61,(Input!E$55-30)/30*E421+E422,IF(Input!E$55&lt;91,(Input!E$55-60)/30*E420+E421+E422,IF(Input!E$55&lt;121,(Input!E$55-90)/30*E419+E420+E421+E422,IF(Input!E$55&lt;151,(Input!E$55-120)/30*E418+E419+E420+E421+E422,(Input!E$55-150)/30*E417+E418+E419+E420+E421+E422)))))))</f>
        <v>0</v>
      </c>
      <c r="F1057" s="231">
        <f>IF(F$338&gt;$D$33,0,IF(Input!F$55=0,0,IF(Input!F$55&lt;31,Input!F$55/30*F422,IF(Input!F$55&lt;61,(Input!F$55-30)/30*F421+F422,IF(Input!F$55&lt;91,(Input!F$55-60)/30*F420+F421+F422,IF(Input!F$55&lt;121,(Input!F$55-90)/30*F419+F420+F421+F422,IF(Input!F$55&lt;151,(Input!F$55-120)/30*F418+F419+F420+F421+F422,(Input!F$55-150)/30*F417+F418+F419+F420+F421+F422)))))))</f>
        <v>0</v>
      </c>
      <c r="G1057" s="231">
        <f>IF(G$338&gt;$D$33,0,IF(Input!G$55=0,0,IF(Input!G$55&lt;31,Input!G$55/30*G422,IF(Input!G$55&lt;61,(Input!G$55-30)/30*G421+G422,IF(Input!G$55&lt;91,(Input!G$55-60)/30*G420+G421+G422,IF(Input!G$55&lt;121,(Input!G$55-90)/30*G419+G420+G421+G422,IF(Input!G$55&lt;151,(Input!G$55-120)/30*G418+G419+G420+G421+G422,(Input!G$55-150)/30*G417+G418+G419+G420+G421+G422)))))))</f>
        <v>0</v>
      </c>
      <c r="H1057" s="231">
        <f>IF(H$338&gt;$D$33,0,IF(Input!H$55=0,0,IF(Input!H$55&lt;31,Input!H$55/30*H422,IF(Input!H$55&lt;61,(Input!H$55-30)/30*H421+H422,IF(Input!H$55&lt;91,(Input!H$55-60)/30*H420+H421+H422,IF(Input!H$55&lt;121,(Input!H$55-90)/30*H419+H420+H421+H422,IF(Input!H$55&lt;151,(Input!H$55-120)/30*H418+H419+H420+H421+H422,(Input!H$55-150)/30*H417+H418+H419+H420+H421+H422)))))))</f>
        <v>0</v>
      </c>
      <c r="I1057" s="231">
        <f>IF(I$338&gt;$D$33,0,IF(Input!I$55=0,0,IF(Input!I$55&lt;31,Input!I$55/30*I422,IF(Input!I$55&lt;61,(Input!I$55-30)/30*I421+I422,IF(Input!I$55&lt;91,(Input!I$55-60)/30*I420+I421+I422,IF(Input!I$55&lt;121,(Input!I$55-90)/30*I419+I420+I421+I422,IF(Input!I$55&lt;151,(Input!I$55-120)/30*I418+I419+I420+I421+I422,(Input!I$55-150)/30*I417+I418+I419+I420+I421+I422)))))))</f>
        <v>0</v>
      </c>
      <c r="J1057" s="231">
        <f>IF(J$338&gt;$D$33,0,IF(Input!J$55=0,0,IF(Input!J$55&lt;31,Input!J$55/30*J422,IF(Input!J$55&lt;61,(Input!J$55-30)/30*J421+J422,IF(Input!J$55&lt;91,(Input!J$55-60)/30*J420+J421+J422,IF(Input!J$55&lt;121,(Input!J$55-90)/30*J419+J420+J421+J422,IF(Input!J$55&lt;151,(Input!J$55-120)/30*J418+J419+J420+J421+J422,(Input!J$55-150)/30*J417+J418+J419+J420+J421+J422)))))))</f>
        <v>0</v>
      </c>
      <c r="K1057" s="231">
        <f>IF(K$338&gt;$D$33,0,IF(Input!K$55=0,0,IF(Input!K$55&lt;31,Input!K$55/30*K422,IF(Input!K$55&lt;61,(Input!K$55-30)/30*K421+K422,IF(Input!K$55&lt;91,(Input!K$55-60)/30*K420+K421+K422,IF(Input!K$55&lt;121,(Input!K$55-90)/30*K419+K420+K421+K422,IF(Input!K$55&lt;151,(Input!K$55-120)/30*K418+K419+K420+K421+K422,(Input!K$55-150)/30*K417+K418+K419+K420+K421+K422)))))))</f>
        <v>0</v>
      </c>
      <c r="L1057" s="231">
        <f>IF(L$338&gt;$D$33,0,IF(Input!L$55=0,0,IF(Input!L$55&lt;31,Input!L$55/30*L422,IF(Input!L$55&lt;61,(Input!L$55-30)/30*L421+L422,IF(Input!L$55&lt;91,(Input!L$55-60)/30*L420+L421+L422,IF(Input!L$55&lt;121,(Input!L$55-90)/30*L419+L420+L421+L422,IF(Input!L$55&lt;151,(Input!L$55-120)/30*L418+L419+L420+L421+L422,(Input!L$55-150)/30*L417+L418+L419+L420+L421+L422)))))))</f>
        <v>0</v>
      </c>
      <c r="M1057" s="231">
        <f>IF(M$338&gt;$D$33,0,IF(Input!M$55=0,0,IF(Input!M$55&lt;31,Input!M$55/30*M422,IF(Input!M$55&lt;61,(Input!M$55-30)/30*M421+M422,IF(Input!M$55&lt;91,(Input!M$55-60)/30*M420+M421+M422,IF(Input!M$55&lt;121,(Input!M$55-90)/30*M419+M420+M421+M422,IF(Input!M$55&lt;151,(Input!M$55-120)/30*M418+M419+M420+M421+M422,(Input!M$55-150)/30*M417+M418+M419+M420+M421+M422)))))))</f>
        <v>0</v>
      </c>
      <c r="N1057" s="231">
        <f>IF(N$338&gt;$D$33,0,IF(Input!N$55=0,0,IF(Input!N$55&lt;31,Input!N$55/30*N422,IF(Input!N$55&lt;61,(Input!N$55-30)/30*N421+N422,IF(Input!N$55&lt;91,(Input!N$55-60)/30*N420+N421+N422,IF(Input!N$55&lt;121,(Input!N$55-90)/30*N419+N420+N421+N422,IF(Input!N$55&lt;151,(Input!N$55-120)/30*N418+N419+N420+N421+N422,(Input!N$55-150)/30*N417+N418+N419+N420+N421+N422)))))))</f>
        <v>0</v>
      </c>
      <c r="O1057" s="231">
        <f>IF(O$338&gt;$D$33,0,IF(Input!O$55=0,0,IF(Input!O$55&lt;31,Input!O$55/30*O422,IF(Input!O$55&lt;61,(Input!O$55-30)/30*O421+O422,IF(Input!O$55&lt;91,(Input!O$55-60)/30*O420+O421+O422,IF(Input!O$55&lt;121,(Input!O$55-90)/30*O419+O420+O421+O422,IF(Input!O$55&lt;151,(Input!O$55-120)/30*O418+O419+O420+O421+O422,(Input!O$55-150)/30*O417+O418+O419+O420+O421+O422)))))))</f>
        <v>0</v>
      </c>
      <c r="P1057" s="231">
        <f>IF(P$338&gt;$D$33,0,IF(Input!P$55=0,0,IF(Input!P$55&lt;31,Input!P$55/30*P422,IF(Input!P$55&lt;61,(Input!P$55-30)/30*P421+P422,IF(Input!P$55&lt;91,(Input!P$55-60)/30*P420+P421+P422,IF(Input!P$55&lt;121,(Input!P$55-90)/30*P419+P420+P421+P422,IF(Input!P$55&lt;151,(Input!P$55-120)/30*P418+P419+P420+P421+P422,(Input!P$55-150)/30*P417+P418+P419+P420+P421+P422)))))))</f>
        <v>0</v>
      </c>
      <c r="Q1057" s="231">
        <f>IF(Q$338&gt;$D$33,0,IF(Input!Q$55=0,0,IF(Input!Q$55&lt;31,Input!Q$55/30*Q422,IF(Input!Q$55&lt;61,(Input!Q$55-30)/30*Q421+Q422,IF(Input!Q$55&lt;91,(Input!Q$55-60)/30*Q420+Q421+Q422,IF(Input!Q$55&lt;121,(Input!Q$55-90)/30*Q419+Q420+Q421+Q422,IF(Input!Q$55&lt;151,(Input!Q$55-120)/30*Q418+Q419+Q420+Q421+Q422,(Input!Q$55-150)/30*Q417+Q418+Q419+Q420+Q421+Q422)))))))</f>
        <v>0</v>
      </c>
      <c r="R1057" s="231">
        <f>IF(R$338&gt;$D$33,0,IF(Input!R$55=0,0,IF(Input!R$55&lt;31,Input!R$55/30*R422,IF(Input!R$55&lt;61,(Input!R$55-30)/30*R421+R422,IF(Input!R$55&lt;91,(Input!R$55-60)/30*R420+R421+R422,IF(Input!R$55&lt;121,(Input!R$55-90)/30*R419+R420+R421+R422,IF(Input!R$55&lt;151,(Input!R$55-120)/30*R418+R419+R420+R421+R422,(Input!R$55-150)/30*R417+R418+R419+R420+R421+R422)))))))</f>
        <v>0</v>
      </c>
      <c r="S1057" s="231">
        <f>IF(S$338&gt;$D$33,0,IF(Input!S$55=0,0,IF(Input!S$55&lt;31,Input!S$55/30*S422,IF(Input!S$55&lt;61,(Input!S$55-30)/30*S421+S422,IF(Input!S$55&lt;91,(Input!S$55-60)/30*S420+S421+S422,IF(Input!S$55&lt;121,(Input!S$55-90)/30*S419+S420+S421+S422,IF(Input!S$55&lt;151,(Input!S$55-120)/30*S418+S419+S420+S421+S422,(Input!S$55-150)/30*S417+S418+S419+S420+S421+S422)))))))</f>
        <v>0</v>
      </c>
      <c r="T1057" s="231">
        <f>IF(T$338&gt;$D$33,0,IF(Input!T$55=0,0,IF(Input!T$55&lt;31,Input!T$55/30*T422,IF(Input!T$55&lt;61,(Input!T$55-30)/30*T421+T422,IF(Input!T$55&lt;91,(Input!T$55-60)/30*T420+T421+T422,IF(Input!T$55&lt;121,(Input!T$55-90)/30*T419+T420+T421+T422,IF(Input!T$55&lt;151,(Input!T$55-120)/30*T418+T419+T420+T421+T422,(Input!T$55-150)/30*T417+T418+T419+T420+T421+T422)))))))</f>
        <v>0</v>
      </c>
      <c r="U1057" s="231">
        <f>IF(U$338&gt;$D$33,0,IF(Input!U$55=0,0,IF(Input!U$55&lt;31,Input!U$55/30*U422,IF(Input!U$55&lt;61,(Input!U$55-30)/30*U421+U422,IF(Input!U$55&lt;91,(Input!U$55-60)/30*U420+U421+U422,IF(Input!U$55&lt;121,(Input!U$55-90)/30*U419+U420+U421+U422,IF(Input!U$55&lt;151,(Input!U$55-120)/30*U418+U419+U420+U421+U422,(Input!U$55-150)/30*U417+U418+U419+U420+U421+U422)))))))</f>
        <v>0</v>
      </c>
      <c r="V1057" s="231">
        <f>IF(V$338&gt;$D$33,0,IF(Input!V$55=0,0,IF(Input!V$55&lt;31,Input!V$55/30*V422,IF(Input!V$55&lt;61,(Input!V$55-30)/30*V421+V422,IF(Input!V$55&lt;91,(Input!V$55-60)/30*V420+V421+V422,IF(Input!V$55&lt;121,(Input!V$55-90)/30*V419+V420+V421+V422,IF(Input!V$55&lt;151,(Input!V$55-120)/30*V418+V419+V420+V421+V422,(Input!V$55-150)/30*V417+V418+V419+V420+V421+V422)))))))</f>
        <v>0</v>
      </c>
      <c r="W1057" s="231">
        <f>IF(W$338&gt;$D$33,0,IF(Input!W$55=0,0,IF(Input!W$55&lt;31,Input!W$55/30*W422,IF(Input!W$55&lt;61,(Input!W$55-30)/30*W421+W422,IF(Input!W$55&lt;91,(Input!W$55-60)/30*W420+W421+W422,IF(Input!W$55&lt;121,(Input!W$55-90)/30*W419+W420+W421+W422,IF(Input!W$55&lt;151,(Input!W$55-120)/30*W418+W419+W420+W421+W422,(Input!W$55-150)/30*W417+W418+W419+W420+W421+W422)))))))</f>
        <v>0</v>
      </c>
      <c r="X1057" s="231">
        <f>IF(X$338&gt;$D$33,0,IF(Input!X$55=0,0,IF(Input!X$55&lt;31,Input!X$55/30*X422,IF(Input!X$55&lt;61,(Input!X$55-30)/30*X421+X422,IF(Input!X$55&lt;91,(Input!X$55-60)/30*X420+X421+X422,IF(Input!X$55&lt;121,(Input!X$55-90)/30*X419+X420+X421+X422,IF(Input!X$55&lt;151,(Input!X$55-120)/30*X418+X419+X420+X421+X422,(Input!X$55-150)/30*X417+X418+X419+X420+X421+X422)))))))</f>
        <v>0</v>
      </c>
      <c r="Y1057" s="231">
        <f>IF(Y$338&gt;$D$33,0,IF(Input!Y$55=0,0,IF(Input!Y$55&lt;31,Input!Y$55/30*Y422,IF(Input!Y$55&lt;61,(Input!Y$55-30)/30*Y421+Y422,IF(Input!Y$55&lt;91,(Input!Y$55-60)/30*Y420+Y421+Y422,IF(Input!Y$55&lt;121,(Input!Y$55-90)/30*Y419+Y420+Y421+Y422,IF(Input!Y$55&lt;151,(Input!Y$55-120)/30*Y418+Y419+Y420+Y421+Y422,(Input!Y$55-150)/30*Y417+Y418+Y419+Y420+Y421+Y422)))))))</f>
        <v>0</v>
      </c>
      <c r="Z1057" s="231">
        <f>IF(Z$338&gt;$D$33,0,IF(Input!Z$55=0,0,IF(Input!Z$55&lt;31,Input!Z$55/30*Z422,IF(Input!Z$55&lt;61,(Input!Z$55-30)/30*Z421+Z422,IF(Input!Z$55&lt;91,(Input!Z$55-60)/30*Z420+Z421+Z422,IF(Input!Z$55&lt;121,(Input!Z$55-90)/30*Z419+Z420+Z421+Z422,IF(Input!Z$55&lt;151,(Input!Z$55-120)/30*Z418+Z419+Z420+Z421+Z422,(Input!Z$55-150)/30*Z417+Z418+Z419+Z420+Z421+Z422)))))))</f>
        <v>0</v>
      </c>
      <c r="AA1057" s="231">
        <f>IF(AA$338&gt;$D$33,0,IF(Input!AA$55=0,0,IF(Input!AA$55&lt;31,Input!AA$55/30*AA422,IF(Input!AA$55&lt;61,(Input!AA$55-30)/30*AA421+AA422,IF(Input!AA$55&lt;91,(Input!AA$55-60)/30*AA420+AA421+AA422,IF(Input!AA$55&lt;121,(Input!AA$55-90)/30*AA419+AA420+AA421+AA422,IF(Input!AA$55&lt;151,(Input!AA$55-120)/30*AA418+AA419+AA420+AA421+AA422,(Input!AA$55-150)/30*AA417+AA418+AA419+AA420+AA421+AA422)))))))</f>
        <v>0</v>
      </c>
      <c r="AB1057" s="231">
        <f>IF(AB$338&gt;$D$33,0,IF(Input!AB$55=0,0,IF(Input!AB$55&lt;31,Input!AB$55/30*AB422,IF(Input!AB$55&lt;61,(Input!AB$55-30)/30*AB421+AB422,IF(Input!AB$55&lt;91,(Input!AB$55-60)/30*AB420+AB421+AB422,IF(Input!AB$55&lt;121,(Input!AB$55-90)/30*AB419+AB420+AB421+AB422,IF(Input!AB$55&lt;151,(Input!AB$55-120)/30*AB418+AB419+AB420+AB421+AB422,(Input!AB$55-150)/30*AB417+AB418+AB419+AB420+AB421+AB422)))))))</f>
        <v>0</v>
      </c>
      <c r="CH1057" s="269"/>
      <c r="CI1057" s="269"/>
      <c r="CJ1057" s="269"/>
      <c r="CK1057" s="269"/>
      <c r="CL1057" s="269"/>
      <c r="CM1057" s="269"/>
      <c r="CN1057" s="269"/>
      <c r="CO1057" s="269"/>
      <c r="CP1057" s="269"/>
      <c r="CQ1057" s="269"/>
      <c r="CR1057" s="269"/>
      <c r="CS1057" s="269"/>
    </row>
    <row r="1058" spans="3:97" x14ac:dyDescent="0.3">
      <c r="C1058" s="495">
        <f>C995</f>
        <v>425</v>
      </c>
      <c r="D1058" s="229">
        <f>IF(D$338&gt;$D$33,0,IF(Input!D$55=0,0,IF(Input!D$55&lt;31,Input!D$55/30*D423,IF(Input!D$55&lt;61,(Input!D$55-30)/30*D422+D423,IF(Input!D$55&lt;91,(Input!D$55-60)/30*D421+D422+D423,IF(Input!D$55&lt;121,(Input!D$55-90)/30*D420+D421+D422+D423,IF(Input!D$55&lt;151,(Input!D$55-120)/30*D419+D420+D421+D422+D423,(Input!D$55-150)/30*D418+D419+D420+D421+D422+D423)))))))</f>
        <v>0</v>
      </c>
      <c r="E1058" s="229">
        <f>IF(E$338&gt;$D$33,0,IF(Input!E$55=0,0,IF(Input!E$55&lt;31,Input!E$55/30*E423,IF(Input!E$55&lt;61,(Input!E$55-30)/30*E422+E423,IF(Input!E$55&lt;91,(Input!E$55-60)/30*E421+E422+E423,IF(Input!E$55&lt;121,(Input!E$55-90)/30*E420+E421+E422+E423,IF(Input!E$55&lt;151,(Input!E$55-120)/30*E419+E420+E421+E422+E423,(Input!E$55-150)/30*E418+E419+E420+E421+E422+E423)))))))</f>
        <v>0</v>
      </c>
      <c r="F1058" s="229">
        <f>IF(F$338&gt;$D$33,0,IF(Input!F$55=0,0,IF(Input!F$55&lt;31,Input!F$55/30*F423,IF(Input!F$55&lt;61,(Input!F$55-30)/30*F422+F423,IF(Input!F$55&lt;91,(Input!F$55-60)/30*F421+F422+F423,IF(Input!F$55&lt;121,(Input!F$55-90)/30*F420+F421+F422+F423,IF(Input!F$55&lt;151,(Input!F$55-120)/30*F419+F420+F421+F422+F423,(Input!F$55-150)/30*F418+F419+F420+F421+F422+F423)))))))</f>
        <v>0</v>
      </c>
      <c r="G1058" s="229">
        <f>IF(G$338&gt;$D$33,0,IF(Input!G$55=0,0,IF(Input!G$55&lt;31,Input!G$55/30*G423,IF(Input!G$55&lt;61,(Input!G$55-30)/30*G422+G423,IF(Input!G$55&lt;91,(Input!G$55-60)/30*G421+G422+G423,IF(Input!G$55&lt;121,(Input!G$55-90)/30*G420+G421+G422+G423,IF(Input!G$55&lt;151,(Input!G$55-120)/30*G419+G420+G421+G422+G423,(Input!G$55-150)/30*G418+G419+G420+G421+G422+G423)))))))</f>
        <v>0</v>
      </c>
      <c r="H1058" s="229">
        <f>IF(H$338&gt;$D$33,0,IF(Input!H$55=0,0,IF(Input!H$55&lt;31,Input!H$55/30*H423,IF(Input!H$55&lt;61,(Input!H$55-30)/30*H422+H423,IF(Input!H$55&lt;91,(Input!H$55-60)/30*H421+H422+H423,IF(Input!H$55&lt;121,(Input!H$55-90)/30*H420+H421+H422+H423,IF(Input!H$55&lt;151,(Input!H$55-120)/30*H419+H420+H421+H422+H423,(Input!H$55-150)/30*H418+H419+H420+H421+H422+H423)))))))</f>
        <v>0</v>
      </c>
      <c r="I1058" s="229">
        <f>IF(I$338&gt;$D$33,0,IF(Input!I$55=0,0,IF(Input!I$55&lt;31,Input!I$55/30*I423,IF(Input!I$55&lt;61,(Input!I$55-30)/30*I422+I423,IF(Input!I$55&lt;91,(Input!I$55-60)/30*I421+I422+I423,IF(Input!I$55&lt;121,(Input!I$55-90)/30*I420+I421+I422+I423,IF(Input!I$55&lt;151,(Input!I$55-120)/30*I419+I420+I421+I422+I423,(Input!I$55-150)/30*I418+I419+I420+I421+I422+I423)))))))</f>
        <v>0</v>
      </c>
      <c r="J1058" s="229">
        <f>IF(J$338&gt;$D$33,0,IF(Input!J$55=0,0,IF(Input!J$55&lt;31,Input!J$55/30*J423,IF(Input!J$55&lt;61,(Input!J$55-30)/30*J422+J423,IF(Input!J$55&lt;91,(Input!J$55-60)/30*J421+J422+J423,IF(Input!J$55&lt;121,(Input!J$55-90)/30*J420+J421+J422+J423,IF(Input!J$55&lt;151,(Input!J$55-120)/30*J419+J420+J421+J422+J423,(Input!J$55-150)/30*J418+J419+J420+J421+J422+J423)))))))</f>
        <v>0</v>
      </c>
      <c r="K1058" s="229">
        <f>IF(K$338&gt;$D$33,0,IF(Input!K$55=0,0,IF(Input!K$55&lt;31,Input!K$55/30*K423,IF(Input!K$55&lt;61,(Input!K$55-30)/30*K422+K423,IF(Input!K$55&lt;91,(Input!K$55-60)/30*K421+K422+K423,IF(Input!K$55&lt;121,(Input!K$55-90)/30*K420+K421+K422+K423,IF(Input!K$55&lt;151,(Input!K$55-120)/30*K419+K420+K421+K422+K423,(Input!K$55-150)/30*K418+K419+K420+K421+K422+K423)))))))</f>
        <v>0</v>
      </c>
      <c r="L1058" s="229">
        <f>IF(L$338&gt;$D$33,0,IF(Input!L$55=0,0,IF(Input!L$55&lt;31,Input!L$55/30*L423,IF(Input!L$55&lt;61,(Input!L$55-30)/30*L422+L423,IF(Input!L$55&lt;91,(Input!L$55-60)/30*L421+L422+L423,IF(Input!L$55&lt;121,(Input!L$55-90)/30*L420+L421+L422+L423,IF(Input!L$55&lt;151,(Input!L$55-120)/30*L419+L420+L421+L422+L423,(Input!L$55-150)/30*L418+L419+L420+L421+L422+L423)))))))</f>
        <v>0</v>
      </c>
      <c r="M1058" s="229">
        <f>IF(M$338&gt;$D$33,0,IF(Input!M$55=0,0,IF(Input!M$55&lt;31,Input!M$55/30*M423,IF(Input!M$55&lt;61,(Input!M$55-30)/30*M422+M423,IF(Input!M$55&lt;91,(Input!M$55-60)/30*M421+M422+M423,IF(Input!M$55&lt;121,(Input!M$55-90)/30*M420+M421+M422+M423,IF(Input!M$55&lt;151,(Input!M$55-120)/30*M419+M420+M421+M422+M423,(Input!M$55-150)/30*M418+M419+M420+M421+M422+M423)))))))</f>
        <v>0</v>
      </c>
      <c r="N1058" s="229">
        <f>IF(N$338&gt;$D$33,0,IF(Input!N$55=0,0,IF(Input!N$55&lt;31,Input!N$55/30*N423,IF(Input!N$55&lt;61,(Input!N$55-30)/30*N422+N423,IF(Input!N$55&lt;91,(Input!N$55-60)/30*N421+N422+N423,IF(Input!N$55&lt;121,(Input!N$55-90)/30*N420+N421+N422+N423,IF(Input!N$55&lt;151,(Input!N$55-120)/30*N419+N420+N421+N422+N423,(Input!N$55-150)/30*N418+N419+N420+N421+N422+N423)))))))</f>
        <v>0</v>
      </c>
      <c r="O1058" s="229">
        <f>IF(O$338&gt;$D$33,0,IF(Input!O$55=0,0,IF(Input!O$55&lt;31,Input!O$55/30*O423,IF(Input!O$55&lt;61,(Input!O$55-30)/30*O422+O423,IF(Input!O$55&lt;91,(Input!O$55-60)/30*O421+O422+O423,IF(Input!O$55&lt;121,(Input!O$55-90)/30*O420+O421+O422+O423,IF(Input!O$55&lt;151,(Input!O$55-120)/30*O419+O420+O421+O422+O423,(Input!O$55-150)/30*O418+O419+O420+O421+O422+O423)))))))</f>
        <v>0</v>
      </c>
      <c r="P1058" s="229">
        <f>IF(P$338&gt;$D$33,0,IF(Input!P$55=0,0,IF(Input!P$55&lt;31,Input!P$55/30*P423,IF(Input!P$55&lt;61,(Input!P$55-30)/30*P422+P423,IF(Input!P$55&lt;91,(Input!P$55-60)/30*P421+P422+P423,IF(Input!P$55&lt;121,(Input!P$55-90)/30*P420+P421+P422+P423,IF(Input!P$55&lt;151,(Input!P$55-120)/30*P419+P420+P421+P422+P423,(Input!P$55-150)/30*P418+P419+P420+P421+P422+P423)))))))</f>
        <v>0</v>
      </c>
      <c r="Q1058" s="229">
        <f>IF(Q$338&gt;$D$33,0,IF(Input!Q$55=0,0,IF(Input!Q$55&lt;31,Input!Q$55/30*Q423,IF(Input!Q$55&lt;61,(Input!Q$55-30)/30*Q422+Q423,IF(Input!Q$55&lt;91,(Input!Q$55-60)/30*Q421+Q422+Q423,IF(Input!Q$55&lt;121,(Input!Q$55-90)/30*Q420+Q421+Q422+Q423,IF(Input!Q$55&lt;151,(Input!Q$55-120)/30*Q419+Q420+Q421+Q422+Q423,(Input!Q$55-150)/30*Q418+Q419+Q420+Q421+Q422+Q423)))))))</f>
        <v>0</v>
      </c>
      <c r="R1058" s="229">
        <f>IF(R$338&gt;$D$33,0,IF(Input!R$55=0,0,IF(Input!R$55&lt;31,Input!R$55/30*R423,IF(Input!R$55&lt;61,(Input!R$55-30)/30*R422+R423,IF(Input!R$55&lt;91,(Input!R$55-60)/30*R421+R422+R423,IF(Input!R$55&lt;121,(Input!R$55-90)/30*R420+R421+R422+R423,IF(Input!R$55&lt;151,(Input!R$55-120)/30*R419+R420+R421+R422+R423,(Input!R$55-150)/30*R418+R419+R420+R421+R422+R423)))))))</f>
        <v>0</v>
      </c>
      <c r="S1058" s="229">
        <f>IF(S$338&gt;$D$33,0,IF(Input!S$55=0,0,IF(Input!S$55&lt;31,Input!S$55/30*S423,IF(Input!S$55&lt;61,(Input!S$55-30)/30*S422+S423,IF(Input!S$55&lt;91,(Input!S$55-60)/30*S421+S422+S423,IF(Input!S$55&lt;121,(Input!S$55-90)/30*S420+S421+S422+S423,IF(Input!S$55&lt;151,(Input!S$55-120)/30*S419+S420+S421+S422+S423,(Input!S$55-150)/30*S418+S419+S420+S421+S422+S423)))))))</f>
        <v>0</v>
      </c>
      <c r="T1058" s="229">
        <f>IF(T$338&gt;$D$33,0,IF(Input!T$55=0,0,IF(Input!T$55&lt;31,Input!T$55/30*T423,IF(Input!T$55&lt;61,(Input!T$55-30)/30*T422+T423,IF(Input!T$55&lt;91,(Input!T$55-60)/30*T421+T422+T423,IF(Input!T$55&lt;121,(Input!T$55-90)/30*T420+T421+T422+T423,IF(Input!T$55&lt;151,(Input!T$55-120)/30*T419+T420+T421+T422+T423,(Input!T$55-150)/30*T418+T419+T420+T421+T422+T423)))))))</f>
        <v>0</v>
      </c>
      <c r="U1058" s="229">
        <f>IF(U$338&gt;$D$33,0,IF(Input!U$55=0,0,IF(Input!U$55&lt;31,Input!U$55/30*U423,IF(Input!U$55&lt;61,(Input!U$55-30)/30*U422+U423,IF(Input!U$55&lt;91,(Input!U$55-60)/30*U421+U422+U423,IF(Input!U$55&lt;121,(Input!U$55-90)/30*U420+U421+U422+U423,IF(Input!U$55&lt;151,(Input!U$55-120)/30*U419+U420+U421+U422+U423,(Input!U$55-150)/30*U418+U419+U420+U421+U422+U423)))))))</f>
        <v>0</v>
      </c>
      <c r="V1058" s="229">
        <f>IF(V$338&gt;$D$33,0,IF(Input!V$55=0,0,IF(Input!V$55&lt;31,Input!V$55/30*V423,IF(Input!V$55&lt;61,(Input!V$55-30)/30*V422+V423,IF(Input!V$55&lt;91,(Input!V$55-60)/30*V421+V422+V423,IF(Input!V$55&lt;121,(Input!V$55-90)/30*V420+V421+V422+V423,IF(Input!V$55&lt;151,(Input!V$55-120)/30*V419+V420+V421+V422+V423,(Input!V$55-150)/30*V418+V419+V420+V421+V422+V423)))))))</f>
        <v>0</v>
      </c>
      <c r="W1058" s="229">
        <f>IF(W$338&gt;$D$33,0,IF(Input!W$55=0,0,IF(Input!W$55&lt;31,Input!W$55/30*W423,IF(Input!W$55&lt;61,(Input!W$55-30)/30*W422+W423,IF(Input!W$55&lt;91,(Input!W$55-60)/30*W421+W422+W423,IF(Input!W$55&lt;121,(Input!W$55-90)/30*W420+W421+W422+W423,IF(Input!W$55&lt;151,(Input!W$55-120)/30*W419+W420+W421+W422+W423,(Input!W$55-150)/30*W418+W419+W420+W421+W422+W423)))))))</f>
        <v>0</v>
      </c>
      <c r="X1058" s="229">
        <f>IF(X$338&gt;$D$33,0,IF(Input!X$55=0,0,IF(Input!X$55&lt;31,Input!X$55/30*X423,IF(Input!X$55&lt;61,(Input!X$55-30)/30*X422+X423,IF(Input!X$55&lt;91,(Input!X$55-60)/30*X421+X422+X423,IF(Input!X$55&lt;121,(Input!X$55-90)/30*X420+X421+X422+X423,IF(Input!X$55&lt;151,(Input!X$55-120)/30*X419+X420+X421+X422+X423,(Input!X$55-150)/30*X418+X419+X420+X421+X422+X423)))))))</f>
        <v>0</v>
      </c>
      <c r="Y1058" s="229">
        <f>IF(Y$338&gt;$D$33,0,IF(Input!Y$55=0,0,IF(Input!Y$55&lt;31,Input!Y$55/30*Y423,IF(Input!Y$55&lt;61,(Input!Y$55-30)/30*Y422+Y423,IF(Input!Y$55&lt;91,(Input!Y$55-60)/30*Y421+Y422+Y423,IF(Input!Y$55&lt;121,(Input!Y$55-90)/30*Y420+Y421+Y422+Y423,IF(Input!Y$55&lt;151,(Input!Y$55-120)/30*Y419+Y420+Y421+Y422+Y423,(Input!Y$55-150)/30*Y418+Y419+Y420+Y421+Y422+Y423)))))))</f>
        <v>0</v>
      </c>
      <c r="Z1058" s="229">
        <f>IF(Z$338&gt;$D$33,0,IF(Input!Z$55=0,0,IF(Input!Z$55&lt;31,Input!Z$55/30*Z423,IF(Input!Z$55&lt;61,(Input!Z$55-30)/30*Z422+Z423,IF(Input!Z$55&lt;91,(Input!Z$55-60)/30*Z421+Z422+Z423,IF(Input!Z$55&lt;121,(Input!Z$55-90)/30*Z420+Z421+Z422+Z423,IF(Input!Z$55&lt;151,(Input!Z$55-120)/30*Z419+Z420+Z421+Z422+Z423,(Input!Z$55-150)/30*Z418+Z419+Z420+Z421+Z422+Z423)))))))</f>
        <v>0</v>
      </c>
      <c r="AA1058" s="229">
        <f>IF(AA$338&gt;$D$33,0,IF(Input!AA$55=0,0,IF(Input!AA$55&lt;31,Input!AA$55/30*AA423,IF(Input!AA$55&lt;61,(Input!AA$55-30)/30*AA422+AA423,IF(Input!AA$55&lt;91,(Input!AA$55-60)/30*AA421+AA422+AA423,IF(Input!AA$55&lt;121,(Input!AA$55-90)/30*AA420+AA421+AA422+AA423,IF(Input!AA$55&lt;151,(Input!AA$55-120)/30*AA419+AA420+AA421+AA422+AA423,(Input!AA$55-150)/30*AA418+AA419+AA420+AA421+AA422+AA423)))))))</f>
        <v>0</v>
      </c>
      <c r="AB1058" s="229">
        <f>IF(AB$338&gt;$D$33,0,IF(Input!AB$55=0,0,IF(Input!AB$55&lt;31,Input!AB$55/30*AB423,IF(Input!AB$55&lt;61,(Input!AB$55-30)/30*AB422+AB423,IF(Input!AB$55&lt;91,(Input!AB$55-60)/30*AB421+AB422+AB423,IF(Input!AB$55&lt;121,(Input!AB$55-90)/30*AB420+AB421+AB422+AB423,IF(Input!AB$55&lt;151,(Input!AB$55-120)/30*AB419+AB420+AB421+AB422+AB423,(Input!AB$55-150)/30*AB418+AB419+AB420+AB421+AB422+AB423)))))))</f>
        <v>0</v>
      </c>
      <c r="CH1058" s="269"/>
      <c r="CI1058" s="269"/>
      <c r="CJ1058" s="269"/>
      <c r="CK1058" s="269"/>
      <c r="CL1058" s="269"/>
      <c r="CM1058" s="269"/>
      <c r="CN1058" s="269"/>
      <c r="CO1058" s="269"/>
      <c r="CP1058" s="269"/>
      <c r="CQ1058" s="269"/>
      <c r="CR1058" s="269"/>
      <c r="CS1058" s="269"/>
    </row>
    <row r="1059" spans="3:97" x14ac:dyDescent="0.3">
      <c r="C1059" s="495">
        <f>C996</f>
        <v>456</v>
      </c>
      <c r="D1059" s="229">
        <f>IF(D$338&gt;$D$33,0,IF(Input!D$55=0,0,IF(Input!D$55&lt;31,Input!D$55/30*D424,IF(Input!D$55&lt;61,(Input!D$55-30)/30*D423+D424,IF(Input!D$55&lt;91,(Input!D$55-60)/30*D422+D423+D424,IF(Input!D$55&lt;121,(Input!D$55-90)/30*D421+D422+D423+D424,IF(Input!D$55&lt;151,(Input!D$55-120)/30*D420+D421+D422+D423+D424,(Input!D$55-150)/30*D419+D420+D421+D422+D423+D424)))))))</f>
        <v>0</v>
      </c>
      <c r="E1059" s="229">
        <f>IF(E$338&gt;$D$33,0,IF(Input!E$55=0,0,IF(Input!E$55&lt;31,Input!E$55/30*E424,IF(Input!E$55&lt;61,(Input!E$55-30)/30*E423+E424,IF(Input!E$55&lt;91,(Input!E$55-60)/30*E422+E423+E424,IF(Input!E$55&lt;121,(Input!E$55-90)/30*E421+E422+E423+E424,IF(Input!E$55&lt;151,(Input!E$55-120)/30*E420+E421+E422+E423+E424,(Input!E$55-150)/30*E419+E420+E421+E422+E423+E424)))))))</f>
        <v>0</v>
      </c>
      <c r="F1059" s="229">
        <f>IF(F$338&gt;$D$33,0,IF(Input!F$55=0,0,IF(Input!F$55&lt;31,Input!F$55/30*F424,IF(Input!F$55&lt;61,(Input!F$55-30)/30*F423+F424,IF(Input!F$55&lt;91,(Input!F$55-60)/30*F422+F423+F424,IF(Input!F$55&lt;121,(Input!F$55-90)/30*F421+F422+F423+F424,IF(Input!F$55&lt;151,(Input!F$55-120)/30*F420+F421+F422+F423+F424,(Input!F$55-150)/30*F419+F420+F421+F422+F423+F424)))))))</f>
        <v>0</v>
      </c>
      <c r="G1059" s="229">
        <f>IF(G$338&gt;$D$33,0,IF(Input!G$55=0,0,IF(Input!G$55&lt;31,Input!G$55/30*G424,IF(Input!G$55&lt;61,(Input!G$55-30)/30*G423+G424,IF(Input!G$55&lt;91,(Input!G$55-60)/30*G422+G423+G424,IF(Input!G$55&lt;121,(Input!G$55-90)/30*G421+G422+G423+G424,IF(Input!G$55&lt;151,(Input!G$55-120)/30*G420+G421+G422+G423+G424,(Input!G$55-150)/30*G419+G420+G421+G422+G423+G424)))))))</f>
        <v>0</v>
      </c>
      <c r="H1059" s="229">
        <f>IF(H$338&gt;$D$33,0,IF(Input!H$55=0,0,IF(Input!H$55&lt;31,Input!H$55/30*H424,IF(Input!H$55&lt;61,(Input!H$55-30)/30*H423+H424,IF(Input!H$55&lt;91,(Input!H$55-60)/30*H422+H423+H424,IF(Input!H$55&lt;121,(Input!H$55-90)/30*H421+H422+H423+H424,IF(Input!H$55&lt;151,(Input!H$55-120)/30*H420+H421+H422+H423+H424,(Input!H$55-150)/30*H419+H420+H421+H422+H423+H424)))))))</f>
        <v>0</v>
      </c>
      <c r="I1059" s="229">
        <f>IF(I$338&gt;$D$33,0,IF(Input!I$55=0,0,IF(Input!I$55&lt;31,Input!I$55/30*I424,IF(Input!I$55&lt;61,(Input!I$55-30)/30*I423+I424,IF(Input!I$55&lt;91,(Input!I$55-60)/30*I422+I423+I424,IF(Input!I$55&lt;121,(Input!I$55-90)/30*I421+I422+I423+I424,IF(Input!I$55&lt;151,(Input!I$55-120)/30*I420+I421+I422+I423+I424,(Input!I$55-150)/30*I419+I420+I421+I422+I423+I424)))))))</f>
        <v>0</v>
      </c>
      <c r="J1059" s="229">
        <f>IF(J$338&gt;$D$33,0,IF(Input!J$55=0,0,IF(Input!J$55&lt;31,Input!J$55/30*J424,IF(Input!J$55&lt;61,(Input!J$55-30)/30*J423+J424,IF(Input!J$55&lt;91,(Input!J$55-60)/30*J422+J423+J424,IF(Input!J$55&lt;121,(Input!J$55-90)/30*J421+J422+J423+J424,IF(Input!J$55&lt;151,(Input!J$55-120)/30*J420+J421+J422+J423+J424,(Input!J$55-150)/30*J419+J420+J421+J422+J423+J424)))))))</f>
        <v>0</v>
      </c>
      <c r="K1059" s="229">
        <f>IF(K$338&gt;$D$33,0,IF(Input!K$55=0,0,IF(Input!K$55&lt;31,Input!K$55/30*K424,IF(Input!K$55&lt;61,(Input!K$55-30)/30*K423+K424,IF(Input!K$55&lt;91,(Input!K$55-60)/30*K422+K423+K424,IF(Input!K$55&lt;121,(Input!K$55-90)/30*K421+K422+K423+K424,IF(Input!K$55&lt;151,(Input!K$55-120)/30*K420+K421+K422+K423+K424,(Input!K$55-150)/30*K419+K420+K421+K422+K423+K424)))))))</f>
        <v>0</v>
      </c>
      <c r="L1059" s="229">
        <f>IF(L$338&gt;$D$33,0,IF(Input!L$55=0,0,IF(Input!L$55&lt;31,Input!L$55/30*L424,IF(Input!L$55&lt;61,(Input!L$55-30)/30*L423+L424,IF(Input!L$55&lt;91,(Input!L$55-60)/30*L422+L423+L424,IF(Input!L$55&lt;121,(Input!L$55-90)/30*L421+L422+L423+L424,IF(Input!L$55&lt;151,(Input!L$55-120)/30*L420+L421+L422+L423+L424,(Input!L$55-150)/30*L419+L420+L421+L422+L423+L424)))))))</f>
        <v>0</v>
      </c>
      <c r="M1059" s="229">
        <f>IF(M$338&gt;$D$33,0,IF(Input!M$55=0,0,IF(Input!M$55&lt;31,Input!M$55/30*M424,IF(Input!M$55&lt;61,(Input!M$55-30)/30*M423+M424,IF(Input!M$55&lt;91,(Input!M$55-60)/30*M422+M423+M424,IF(Input!M$55&lt;121,(Input!M$55-90)/30*M421+M422+M423+M424,IF(Input!M$55&lt;151,(Input!M$55-120)/30*M420+M421+M422+M423+M424,(Input!M$55-150)/30*M419+M420+M421+M422+M423+M424)))))))</f>
        <v>0</v>
      </c>
      <c r="N1059" s="229">
        <f>IF(N$338&gt;$D$33,0,IF(Input!N$55=0,0,IF(Input!N$55&lt;31,Input!N$55/30*N424,IF(Input!N$55&lt;61,(Input!N$55-30)/30*N423+N424,IF(Input!N$55&lt;91,(Input!N$55-60)/30*N422+N423+N424,IF(Input!N$55&lt;121,(Input!N$55-90)/30*N421+N422+N423+N424,IF(Input!N$55&lt;151,(Input!N$55-120)/30*N420+N421+N422+N423+N424,(Input!N$55-150)/30*N419+N420+N421+N422+N423+N424)))))))</f>
        <v>0</v>
      </c>
      <c r="O1059" s="229">
        <f>IF(O$338&gt;$D$33,0,IF(Input!O$55=0,0,IF(Input!O$55&lt;31,Input!O$55/30*O424,IF(Input!O$55&lt;61,(Input!O$55-30)/30*O423+O424,IF(Input!O$55&lt;91,(Input!O$55-60)/30*O422+O423+O424,IF(Input!O$55&lt;121,(Input!O$55-90)/30*O421+O422+O423+O424,IF(Input!O$55&lt;151,(Input!O$55-120)/30*O420+O421+O422+O423+O424,(Input!O$55-150)/30*O419+O420+O421+O422+O423+O424)))))))</f>
        <v>0</v>
      </c>
      <c r="P1059" s="229">
        <f>IF(P$338&gt;$D$33,0,IF(Input!P$55=0,0,IF(Input!P$55&lt;31,Input!P$55/30*P424,IF(Input!P$55&lt;61,(Input!P$55-30)/30*P423+P424,IF(Input!P$55&lt;91,(Input!P$55-60)/30*P422+P423+P424,IF(Input!P$55&lt;121,(Input!P$55-90)/30*P421+P422+P423+P424,IF(Input!P$55&lt;151,(Input!P$55-120)/30*P420+P421+P422+P423+P424,(Input!P$55-150)/30*P419+P420+P421+P422+P423+P424)))))))</f>
        <v>0</v>
      </c>
      <c r="Q1059" s="229">
        <f>IF(Q$338&gt;$D$33,0,IF(Input!Q$55=0,0,IF(Input!Q$55&lt;31,Input!Q$55/30*Q424,IF(Input!Q$55&lt;61,(Input!Q$55-30)/30*Q423+Q424,IF(Input!Q$55&lt;91,(Input!Q$55-60)/30*Q422+Q423+Q424,IF(Input!Q$55&lt;121,(Input!Q$55-90)/30*Q421+Q422+Q423+Q424,IF(Input!Q$55&lt;151,(Input!Q$55-120)/30*Q420+Q421+Q422+Q423+Q424,(Input!Q$55-150)/30*Q419+Q420+Q421+Q422+Q423+Q424)))))))</f>
        <v>0</v>
      </c>
      <c r="R1059" s="229">
        <f>IF(R$338&gt;$D$33,0,IF(Input!R$55=0,0,IF(Input!R$55&lt;31,Input!R$55/30*R424,IF(Input!R$55&lt;61,(Input!R$55-30)/30*R423+R424,IF(Input!R$55&lt;91,(Input!R$55-60)/30*R422+R423+R424,IF(Input!R$55&lt;121,(Input!R$55-90)/30*R421+R422+R423+R424,IF(Input!R$55&lt;151,(Input!R$55-120)/30*R420+R421+R422+R423+R424,(Input!R$55-150)/30*R419+R420+R421+R422+R423+R424)))))))</f>
        <v>0</v>
      </c>
      <c r="S1059" s="229">
        <f>IF(S$338&gt;$D$33,0,IF(Input!S$55=0,0,IF(Input!S$55&lt;31,Input!S$55/30*S424,IF(Input!S$55&lt;61,(Input!S$55-30)/30*S423+S424,IF(Input!S$55&lt;91,(Input!S$55-60)/30*S422+S423+S424,IF(Input!S$55&lt;121,(Input!S$55-90)/30*S421+S422+S423+S424,IF(Input!S$55&lt;151,(Input!S$55-120)/30*S420+S421+S422+S423+S424,(Input!S$55-150)/30*S419+S420+S421+S422+S423+S424)))))))</f>
        <v>0</v>
      </c>
      <c r="T1059" s="229">
        <f>IF(T$338&gt;$D$33,0,IF(Input!T$55=0,0,IF(Input!T$55&lt;31,Input!T$55/30*T424,IF(Input!T$55&lt;61,(Input!T$55-30)/30*T423+T424,IF(Input!T$55&lt;91,(Input!T$55-60)/30*T422+T423+T424,IF(Input!T$55&lt;121,(Input!T$55-90)/30*T421+T422+T423+T424,IF(Input!T$55&lt;151,(Input!T$55-120)/30*T420+T421+T422+T423+T424,(Input!T$55-150)/30*T419+T420+T421+T422+T423+T424)))))))</f>
        <v>0</v>
      </c>
      <c r="U1059" s="229">
        <f>IF(U$338&gt;$D$33,0,IF(Input!U$55=0,0,IF(Input!U$55&lt;31,Input!U$55/30*U424,IF(Input!U$55&lt;61,(Input!U$55-30)/30*U423+U424,IF(Input!U$55&lt;91,(Input!U$55-60)/30*U422+U423+U424,IF(Input!U$55&lt;121,(Input!U$55-90)/30*U421+U422+U423+U424,IF(Input!U$55&lt;151,(Input!U$55-120)/30*U420+U421+U422+U423+U424,(Input!U$55-150)/30*U419+U420+U421+U422+U423+U424)))))))</f>
        <v>0</v>
      </c>
      <c r="V1059" s="229">
        <f>IF(V$338&gt;$D$33,0,IF(Input!V$55=0,0,IF(Input!V$55&lt;31,Input!V$55/30*V424,IF(Input!V$55&lt;61,(Input!V$55-30)/30*V423+V424,IF(Input!V$55&lt;91,(Input!V$55-60)/30*V422+V423+V424,IF(Input!V$55&lt;121,(Input!V$55-90)/30*V421+V422+V423+V424,IF(Input!V$55&lt;151,(Input!V$55-120)/30*V420+V421+V422+V423+V424,(Input!V$55-150)/30*V419+V420+V421+V422+V423+V424)))))))</f>
        <v>0</v>
      </c>
      <c r="W1059" s="229">
        <f>IF(W$338&gt;$D$33,0,IF(Input!W$55=0,0,IF(Input!W$55&lt;31,Input!W$55/30*W424,IF(Input!W$55&lt;61,(Input!W$55-30)/30*W423+W424,IF(Input!W$55&lt;91,(Input!W$55-60)/30*W422+W423+W424,IF(Input!W$55&lt;121,(Input!W$55-90)/30*W421+W422+W423+W424,IF(Input!W$55&lt;151,(Input!W$55-120)/30*W420+W421+W422+W423+W424,(Input!W$55-150)/30*W419+W420+W421+W422+W423+W424)))))))</f>
        <v>0</v>
      </c>
      <c r="X1059" s="229">
        <f>IF(X$338&gt;$D$33,0,IF(Input!X$55=0,0,IF(Input!X$55&lt;31,Input!X$55/30*X424,IF(Input!X$55&lt;61,(Input!X$55-30)/30*X423+X424,IF(Input!X$55&lt;91,(Input!X$55-60)/30*X422+X423+X424,IF(Input!X$55&lt;121,(Input!X$55-90)/30*X421+X422+X423+X424,IF(Input!X$55&lt;151,(Input!X$55-120)/30*X420+X421+X422+X423+X424,(Input!X$55-150)/30*X419+X420+X421+X422+X423+X424)))))))</f>
        <v>0</v>
      </c>
      <c r="Y1059" s="229">
        <f>IF(Y$338&gt;$D$33,0,IF(Input!Y$55=0,0,IF(Input!Y$55&lt;31,Input!Y$55/30*Y424,IF(Input!Y$55&lt;61,(Input!Y$55-30)/30*Y423+Y424,IF(Input!Y$55&lt;91,(Input!Y$55-60)/30*Y422+Y423+Y424,IF(Input!Y$55&lt;121,(Input!Y$55-90)/30*Y421+Y422+Y423+Y424,IF(Input!Y$55&lt;151,(Input!Y$55-120)/30*Y420+Y421+Y422+Y423+Y424,(Input!Y$55-150)/30*Y419+Y420+Y421+Y422+Y423+Y424)))))))</f>
        <v>0</v>
      </c>
      <c r="Z1059" s="229">
        <f>IF(Z$338&gt;$D$33,0,IF(Input!Z$55=0,0,IF(Input!Z$55&lt;31,Input!Z$55/30*Z424,IF(Input!Z$55&lt;61,(Input!Z$55-30)/30*Z423+Z424,IF(Input!Z$55&lt;91,(Input!Z$55-60)/30*Z422+Z423+Z424,IF(Input!Z$55&lt;121,(Input!Z$55-90)/30*Z421+Z422+Z423+Z424,IF(Input!Z$55&lt;151,(Input!Z$55-120)/30*Z420+Z421+Z422+Z423+Z424,(Input!Z$55-150)/30*Z419+Z420+Z421+Z422+Z423+Z424)))))))</f>
        <v>0</v>
      </c>
      <c r="AA1059" s="229">
        <f>IF(AA$338&gt;$D$33,0,IF(Input!AA$55=0,0,IF(Input!AA$55&lt;31,Input!AA$55/30*AA424,IF(Input!AA$55&lt;61,(Input!AA$55-30)/30*AA423+AA424,IF(Input!AA$55&lt;91,(Input!AA$55-60)/30*AA422+AA423+AA424,IF(Input!AA$55&lt;121,(Input!AA$55-90)/30*AA421+AA422+AA423+AA424,IF(Input!AA$55&lt;151,(Input!AA$55-120)/30*AA420+AA421+AA422+AA423+AA424,(Input!AA$55-150)/30*AA419+AA420+AA421+AA422+AA423+AA424)))))))</f>
        <v>0</v>
      </c>
      <c r="AB1059" s="229">
        <f>IF(AB$338&gt;$D$33,0,IF(Input!AB$55=0,0,IF(Input!AB$55&lt;31,Input!AB$55/30*AB424,IF(Input!AB$55&lt;61,(Input!AB$55-30)/30*AB423+AB424,IF(Input!AB$55&lt;91,(Input!AB$55-60)/30*AB422+AB423+AB424,IF(Input!AB$55&lt;121,(Input!AB$55-90)/30*AB421+AB422+AB423+AB424,IF(Input!AB$55&lt;151,(Input!AB$55-120)/30*AB420+AB421+AB422+AB423+AB424,(Input!AB$55-150)/30*AB419+AB420+AB421+AB422+AB423+AB424)))))))</f>
        <v>0</v>
      </c>
      <c r="CH1059" s="269"/>
      <c r="CI1059" s="269"/>
      <c r="CJ1059" s="269"/>
      <c r="CK1059" s="269"/>
      <c r="CL1059" s="269"/>
      <c r="CM1059" s="269"/>
      <c r="CN1059" s="269"/>
      <c r="CO1059" s="269"/>
      <c r="CP1059" s="269"/>
      <c r="CQ1059" s="269"/>
      <c r="CR1059" s="269"/>
      <c r="CS1059" s="269"/>
    </row>
    <row r="1060" spans="3:97" x14ac:dyDescent="0.3">
      <c r="C1060" s="495">
        <f>C997</f>
        <v>486</v>
      </c>
      <c r="D1060" s="229">
        <f>IF(D$338&gt;$D$33,0,IF(Input!D$55=0,0,IF(Input!D$55&lt;31,Input!D$55/30*D425,IF(Input!D$55&lt;61,(Input!D$55-30)/30*D424+D425,IF(Input!D$55&lt;91,(Input!D$55-60)/30*D423+D424+D425,IF(Input!D$55&lt;121,(Input!D$55-90)/30*D422+D423+D424+D425,IF(Input!D$55&lt;151,(Input!D$55-120)/30*D421+D422+D423+D424+D425,(Input!D$55-150)/30*D420+D421+D422+D423+D424+D425)))))))</f>
        <v>0</v>
      </c>
      <c r="E1060" s="229">
        <f>IF(E$338&gt;$D$33,0,IF(Input!E$55=0,0,IF(Input!E$55&lt;31,Input!E$55/30*E425,IF(Input!E$55&lt;61,(Input!E$55-30)/30*E424+E425,IF(Input!E$55&lt;91,(Input!E$55-60)/30*E423+E424+E425,IF(Input!E$55&lt;121,(Input!E$55-90)/30*E422+E423+E424+E425,IF(Input!E$55&lt;151,(Input!E$55-120)/30*E421+E422+E423+E424+E425,(Input!E$55-150)/30*E420+E421+E422+E423+E424+E425)))))))</f>
        <v>0</v>
      </c>
      <c r="F1060" s="229">
        <f>IF(F$338&gt;$D$33,0,IF(Input!F$55=0,0,IF(Input!F$55&lt;31,Input!F$55/30*F425,IF(Input!F$55&lt;61,(Input!F$55-30)/30*F424+F425,IF(Input!F$55&lt;91,(Input!F$55-60)/30*F423+F424+F425,IF(Input!F$55&lt;121,(Input!F$55-90)/30*F422+F423+F424+F425,IF(Input!F$55&lt;151,(Input!F$55-120)/30*F421+F422+F423+F424+F425,(Input!F$55-150)/30*F420+F421+F422+F423+F424+F425)))))))</f>
        <v>0</v>
      </c>
      <c r="G1060" s="229">
        <f>IF(G$338&gt;$D$33,0,IF(Input!G$55=0,0,IF(Input!G$55&lt;31,Input!G$55/30*G425,IF(Input!G$55&lt;61,(Input!G$55-30)/30*G424+G425,IF(Input!G$55&lt;91,(Input!G$55-60)/30*G423+G424+G425,IF(Input!G$55&lt;121,(Input!G$55-90)/30*G422+G423+G424+G425,IF(Input!G$55&lt;151,(Input!G$55-120)/30*G421+G422+G423+G424+G425,(Input!G$55-150)/30*G420+G421+G422+G423+G424+G425)))))))</f>
        <v>0</v>
      </c>
      <c r="H1060" s="229">
        <f>IF(H$338&gt;$D$33,0,IF(Input!H$55=0,0,IF(Input!H$55&lt;31,Input!H$55/30*H425,IF(Input!H$55&lt;61,(Input!H$55-30)/30*H424+H425,IF(Input!H$55&lt;91,(Input!H$55-60)/30*H423+H424+H425,IF(Input!H$55&lt;121,(Input!H$55-90)/30*H422+H423+H424+H425,IF(Input!H$55&lt;151,(Input!H$55-120)/30*H421+H422+H423+H424+H425,(Input!H$55-150)/30*H420+H421+H422+H423+H424+H425)))))))</f>
        <v>0</v>
      </c>
      <c r="I1060" s="229">
        <f>IF(I$338&gt;$D$33,0,IF(Input!I$55=0,0,IF(Input!I$55&lt;31,Input!I$55/30*I425,IF(Input!I$55&lt;61,(Input!I$55-30)/30*I424+I425,IF(Input!I$55&lt;91,(Input!I$55-60)/30*I423+I424+I425,IF(Input!I$55&lt;121,(Input!I$55-90)/30*I422+I423+I424+I425,IF(Input!I$55&lt;151,(Input!I$55-120)/30*I421+I422+I423+I424+I425,(Input!I$55-150)/30*I420+I421+I422+I423+I424+I425)))))))</f>
        <v>0</v>
      </c>
      <c r="J1060" s="229">
        <f>IF(J$338&gt;$D$33,0,IF(Input!J$55=0,0,IF(Input!J$55&lt;31,Input!J$55/30*J425,IF(Input!J$55&lt;61,(Input!J$55-30)/30*J424+J425,IF(Input!J$55&lt;91,(Input!J$55-60)/30*J423+J424+J425,IF(Input!J$55&lt;121,(Input!J$55-90)/30*J422+J423+J424+J425,IF(Input!J$55&lt;151,(Input!J$55-120)/30*J421+J422+J423+J424+J425,(Input!J$55-150)/30*J420+J421+J422+J423+J424+J425)))))))</f>
        <v>0</v>
      </c>
      <c r="K1060" s="229">
        <f>IF(K$338&gt;$D$33,0,IF(Input!K$55=0,0,IF(Input!K$55&lt;31,Input!K$55/30*K425,IF(Input!K$55&lt;61,(Input!K$55-30)/30*K424+K425,IF(Input!K$55&lt;91,(Input!K$55-60)/30*K423+K424+K425,IF(Input!K$55&lt;121,(Input!K$55-90)/30*K422+K423+K424+K425,IF(Input!K$55&lt;151,(Input!K$55-120)/30*K421+K422+K423+K424+K425,(Input!K$55-150)/30*K420+K421+K422+K423+K424+K425)))))))</f>
        <v>0</v>
      </c>
      <c r="L1060" s="229">
        <f>IF(L$338&gt;$D$33,0,IF(Input!L$55=0,0,IF(Input!L$55&lt;31,Input!L$55/30*L425,IF(Input!L$55&lt;61,(Input!L$55-30)/30*L424+L425,IF(Input!L$55&lt;91,(Input!L$55-60)/30*L423+L424+L425,IF(Input!L$55&lt;121,(Input!L$55-90)/30*L422+L423+L424+L425,IF(Input!L$55&lt;151,(Input!L$55-120)/30*L421+L422+L423+L424+L425,(Input!L$55-150)/30*L420+L421+L422+L423+L424+L425)))))))</f>
        <v>0</v>
      </c>
      <c r="M1060" s="229">
        <f>IF(M$338&gt;$D$33,0,IF(Input!M$55=0,0,IF(Input!M$55&lt;31,Input!M$55/30*M425,IF(Input!M$55&lt;61,(Input!M$55-30)/30*M424+M425,IF(Input!M$55&lt;91,(Input!M$55-60)/30*M423+M424+M425,IF(Input!M$55&lt;121,(Input!M$55-90)/30*M422+M423+M424+M425,IF(Input!M$55&lt;151,(Input!M$55-120)/30*M421+M422+M423+M424+M425,(Input!M$55-150)/30*M420+M421+M422+M423+M424+M425)))))))</f>
        <v>0</v>
      </c>
      <c r="N1060" s="229">
        <f>IF(N$338&gt;$D$33,0,IF(Input!N$55=0,0,IF(Input!N$55&lt;31,Input!N$55/30*N425,IF(Input!N$55&lt;61,(Input!N$55-30)/30*N424+N425,IF(Input!N$55&lt;91,(Input!N$55-60)/30*N423+N424+N425,IF(Input!N$55&lt;121,(Input!N$55-90)/30*N422+N423+N424+N425,IF(Input!N$55&lt;151,(Input!N$55-120)/30*N421+N422+N423+N424+N425,(Input!N$55-150)/30*N420+N421+N422+N423+N424+N425)))))))</f>
        <v>0</v>
      </c>
      <c r="O1060" s="229">
        <f>IF(O$338&gt;$D$33,0,IF(Input!O$55=0,0,IF(Input!O$55&lt;31,Input!O$55/30*O425,IF(Input!O$55&lt;61,(Input!O$55-30)/30*O424+O425,IF(Input!O$55&lt;91,(Input!O$55-60)/30*O423+O424+O425,IF(Input!O$55&lt;121,(Input!O$55-90)/30*O422+O423+O424+O425,IF(Input!O$55&lt;151,(Input!O$55-120)/30*O421+O422+O423+O424+O425,(Input!O$55-150)/30*O420+O421+O422+O423+O424+O425)))))))</f>
        <v>0</v>
      </c>
      <c r="P1060" s="229">
        <f>IF(P$338&gt;$D$33,0,IF(Input!P$55=0,0,IF(Input!P$55&lt;31,Input!P$55/30*P425,IF(Input!P$55&lt;61,(Input!P$55-30)/30*P424+P425,IF(Input!P$55&lt;91,(Input!P$55-60)/30*P423+P424+P425,IF(Input!P$55&lt;121,(Input!P$55-90)/30*P422+P423+P424+P425,IF(Input!P$55&lt;151,(Input!P$55-120)/30*P421+P422+P423+P424+P425,(Input!P$55-150)/30*P420+P421+P422+P423+P424+P425)))))))</f>
        <v>0</v>
      </c>
      <c r="Q1060" s="229">
        <f>IF(Q$338&gt;$D$33,0,IF(Input!Q$55=0,0,IF(Input!Q$55&lt;31,Input!Q$55/30*Q425,IF(Input!Q$55&lt;61,(Input!Q$55-30)/30*Q424+Q425,IF(Input!Q$55&lt;91,(Input!Q$55-60)/30*Q423+Q424+Q425,IF(Input!Q$55&lt;121,(Input!Q$55-90)/30*Q422+Q423+Q424+Q425,IF(Input!Q$55&lt;151,(Input!Q$55-120)/30*Q421+Q422+Q423+Q424+Q425,(Input!Q$55-150)/30*Q420+Q421+Q422+Q423+Q424+Q425)))))))</f>
        <v>0</v>
      </c>
      <c r="R1060" s="229">
        <f>IF(R$338&gt;$D$33,0,IF(Input!R$55=0,0,IF(Input!R$55&lt;31,Input!R$55/30*R425,IF(Input!R$55&lt;61,(Input!R$55-30)/30*R424+R425,IF(Input!R$55&lt;91,(Input!R$55-60)/30*R423+R424+R425,IF(Input!R$55&lt;121,(Input!R$55-90)/30*R422+R423+R424+R425,IF(Input!R$55&lt;151,(Input!R$55-120)/30*R421+R422+R423+R424+R425,(Input!R$55-150)/30*R420+R421+R422+R423+R424+R425)))))))</f>
        <v>0</v>
      </c>
      <c r="S1060" s="229">
        <f>IF(S$338&gt;$D$33,0,IF(Input!S$55=0,0,IF(Input!S$55&lt;31,Input!S$55/30*S425,IF(Input!S$55&lt;61,(Input!S$55-30)/30*S424+S425,IF(Input!S$55&lt;91,(Input!S$55-60)/30*S423+S424+S425,IF(Input!S$55&lt;121,(Input!S$55-90)/30*S422+S423+S424+S425,IF(Input!S$55&lt;151,(Input!S$55-120)/30*S421+S422+S423+S424+S425,(Input!S$55-150)/30*S420+S421+S422+S423+S424+S425)))))))</f>
        <v>0</v>
      </c>
      <c r="T1060" s="229">
        <f>IF(T$338&gt;$D$33,0,IF(Input!T$55=0,0,IF(Input!T$55&lt;31,Input!T$55/30*T425,IF(Input!T$55&lt;61,(Input!T$55-30)/30*T424+T425,IF(Input!T$55&lt;91,(Input!T$55-60)/30*T423+T424+T425,IF(Input!T$55&lt;121,(Input!T$55-90)/30*T422+T423+T424+T425,IF(Input!T$55&lt;151,(Input!T$55-120)/30*T421+T422+T423+T424+T425,(Input!T$55-150)/30*T420+T421+T422+T423+T424+T425)))))))</f>
        <v>0</v>
      </c>
      <c r="U1060" s="229">
        <f>IF(U$338&gt;$D$33,0,IF(Input!U$55=0,0,IF(Input!U$55&lt;31,Input!U$55/30*U425,IF(Input!U$55&lt;61,(Input!U$55-30)/30*U424+U425,IF(Input!U$55&lt;91,(Input!U$55-60)/30*U423+U424+U425,IF(Input!U$55&lt;121,(Input!U$55-90)/30*U422+U423+U424+U425,IF(Input!U$55&lt;151,(Input!U$55-120)/30*U421+U422+U423+U424+U425,(Input!U$55-150)/30*U420+U421+U422+U423+U424+U425)))))))</f>
        <v>0</v>
      </c>
      <c r="V1060" s="229">
        <f>IF(V$338&gt;$D$33,0,IF(Input!V$55=0,0,IF(Input!V$55&lt;31,Input!V$55/30*V425,IF(Input!V$55&lt;61,(Input!V$55-30)/30*V424+V425,IF(Input!V$55&lt;91,(Input!V$55-60)/30*V423+V424+V425,IF(Input!V$55&lt;121,(Input!V$55-90)/30*V422+V423+V424+V425,IF(Input!V$55&lt;151,(Input!V$55-120)/30*V421+V422+V423+V424+V425,(Input!V$55-150)/30*V420+V421+V422+V423+V424+V425)))))))</f>
        <v>0</v>
      </c>
      <c r="W1060" s="229">
        <f>IF(W$338&gt;$D$33,0,IF(Input!W$55=0,0,IF(Input!W$55&lt;31,Input!W$55/30*W425,IF(Input!W$55&lt;61,(Input!W$55-30)/30*W424+W425,IF(Input!W$55&lt;91,(Input!W$55-60)/30*W423+W424+W425,IF(Input!W$55&lt;121,(Input!W$55-90)/30*W422+W423+W424+W425,IF(Input!W$55&lt;151,(Input!W$55-120)/30*W421+W422+W423+W424+W425,(Input!W$55-150)/30*W420+W421+W422+W423+W424+W425)))))))</f>
        <v>0</v>
      </c>
      <c r="X1060" s="229">
        <f>IF(X$338&gt;$D$33,0,IF(Input!X$55=0,0,IF(Input!X$55&lt;31,Input!X$55/30*X425,IF(Input!X$55&lt;61,(Input!X$55-30)/30*X424+X425,IF(Input!X$55&lt;91,(Input!X$55-60)/30*X423+X424+X425,IF(Input!X$55&lt;121,(Input!X$55-90)/30*X422+X423+X424+X425,IF(Input!X$55&lt;151,(Input!X$55-120)/30*X421+X422+X423+X424+X425,(Input!X$55-150)/30*X420+X421+X422+X423+X424+X425)))))))</f>
        <v>0</v>
      </c>
      <c r="Y1060" s="229">
        <f>IF(Y$338&gt;$D$33,0,IF(Input!Y$55=0,0,IF(Input!Y$55&lt;31,Input!Y$55/30*Y425,IF(Input!Y$55&lt;61,(Input!Y$55-30)/30*Y424+Y425,IF(Input!Y$55&lt;91,(Input!Y$55-60)/30*Y423+Y424+Y425,IF(Input!Y$55&lt;121,(Input!Y$55-90)/30*Y422+Y423+Y424+Y425,IF(Input!Y$55&lt;151,(Input!Y$55-120)/30*Y421+Y422+Y423+Y424+Y425,(Input!Y$55-150)/30*Y420+Y421+Y422+Y423+Y424+Y425)))))))</f>
        <v>0</v>
      </c>
      <c r="Z1060" s="229">
        <f>IF(Z$338&gt;$D$33,0,IF(Input!Z$55=0,0,IF(Input!Z$55&lt;31,Input!Z$55/30*Z425,IF(Input!Z$55&lt;61,(Input!Z$55-30)/30*Z424+Z425,IF(Input!Z$55&lt;91,(Input!Z$55-60)/30*Z423+Z424+Z425,IF(Input!Z$55&lt;121,(Input!Z$55-90)/30*Z422+Z423+Z424+Z425,IF(Input!Z$55&lt;151,(Input!Z$55-120)/30*Z421+Z422+Z423+Z424+Z425,(Input!Z$55-150)/30*Z420+Z421+Z422+Z423+Z424+Z425)))))))</f>
        <v>0</v>
      </c>
      <c r="AA1060" s="229">
        <f>IF(AA$338&gt;$D$33,0,IF(Input!AA$55=0,0,IF(Input!AA$55&lt;31,Input!AA$55/30*AA425,IF(Input!AA$55&lt;61,(Input!AA$55-30)/30*AA424+AA425,IF(Input!AA$55&lt;91,(Input!AA$55-60)/30*AA423+AA424+AA425,IF(Input!AA$55&lt;121,(Input!AA$55-90)/30*AA422+AA423+AA424+AA425,IF(Input!AA$55&lt;151,(Input!AA$55-120)/30*AA421+AA422+AA423+AA424+AA425,(Input!AA$55-150)/30*AA420+AA421+AA422+AA423+AA424+AA425)))))))</f>
        <v>0</v>
      </c>
      <c r="AB1060" s="229">
        <f>IF(AB$338&gt;$D$33,0,IF(Input!AB$55=0,0,IF(Input!AB$55&lt;31,Input!AB$55/30*AB425,IF(Input!AB$55&lt;61,(Input!AB$55-30)/30*AB424+AB425,IF(Input!AB$55&lt;91,(Input!AB$55-60)/30*AB423+AB424+AB425,IF(Input!AB$55&lt;121,(Input!AB$55-90)/30*AB422+AB423+AB424+AB425,IF(Input!AB$55&lt;151,(Input!AB$55-120)/30*AB421+AB422+AB423+AB424+AB425,(Input!AB$55-150)/30*AB420+AB421+AB422+AB423+AB424+AB425)))))))</f>
        <v>0</v>
      </c>
      <c r="CH1060" s="269"/>
      <c r="CI1060" s="269"/>
      <c r="CJ1060" s="269"/>
      <c r="CK1060" s="269"/>
      <c r="CL1060" s="269"/>
      <c r="CM1060" s="269"/>
      <c r="CN1060" s="269"/>
      <c r="CO1060" s="269"/>
      <c r="CP1060" s="269"/>
      <c r="CQ1060" s="269"/>
      <c r="CR1060" s="269"/>
      <c r="CS1060" s="269"/>
    </row>
    <row r="1061" spans="3:97" x14ac:dyDescent="0.3">
      <c r="C1061" s="495">
        <f>C998</f>
        <v>517</v>
      </c>
      <c r="D1061" s="229">
        <f>IF(D$338&gt;$D$33,0,IF(Input!D$55=0,0,IF(Input!D$55&lt;31,Input!D$55/30*D426,IF(Input!D$55&lt;61,(Input!D$55-30)/30*D425+D426,IF(Input!D$55&lt;91,(Input!D$55-60)/30*D424+D425+D426,IF(Input!D$55&lt;121,(Input!D$55-90)/30*D423+D424+D425+D426,IF(Input!D$55&lt;151,(Input!D$55-120)/30*D422+D423+D424+D425+D426,(Input!D$55-150)/30*D421+D422+D423+D424+D425+D426)))))))</f>
        <v>0</v>
      </c>
      <c r="E1061" s="229">
        <f>IF(E$338&gt;$D$33,0,IF(Input!E$55=0,0,IF(Input!E$55&lt;31,Input!E$55/30*E426,IF(Input!E$55&lt;61,(Input!E$55-30)/30*E425+E426,IF(Input!E$55&lt;91,(Input!E$55-60)/30*E424+E425+E426,IF(Input!E$55&lt;121,(Input!E$55-90)/30*E423+E424+E425+E426,IF(Input!E$55&lt;151,(Input!E$55-120)/30*E422+E423+E424+E425+E426,(Input!E$55-150)/30*E421+E422+E423+E424+E425+E426)))))))</f>
        <v>0</v>
      </c>
      <c r="F1061" s="229">
        <f>IF(F$338&gt;$D$33,0,IF(Input!F$55=0,0,IF(Input!F$55&lt;31,Input!F$55/30*F426,IF(Input!F$55&lt;61,(Input!F$55-30)/30*F425+F426,IF(Input!F$55&lt;91,(Input!F$55-60)/30*F424+F425+F426,IF(Input!F$55&lt;121,(Input!F$55-90)/30*F423+F424+F425+F426,IF(Input!F$55&lt;151,(Input!F$55-120)/30*F422+F423+F424+F425+F426,(Input!F$55-150)/30*F421+F422+F423+F424+F425+F426)))))))</f>
        <v>0</v>
      </c>
      <c r="G1061" s="229">
        <f>IF(G$338&gt;$D$33,0,IF(Input!G$55=0,0,IF(Input!G$55&lt;31,Input!G$55/30*G426,IF(Input!G$55&lt;61,(Input!G$55-30)/30*G425+G426,IF(Input!G$55&lt;91,(Input!G$55-60)/30*G424+G425+G426,IF(Input!G$55&lt;121,(Input!G$55-90)/30*G423+G424+G425+G426,IF(Input!G$55&lt;151,(Input!G$55-120)/30*G422+G423+G424+G425+G426,(Input!G$55-150)/30*G421+G422+G423+G424+G425+G426)))))))</f>
        <v>0</v>
      </c>
      <c r="H1061" s="229">
        <f>IF(H$338&gt;$D$33,0,IF(Input!H$55=0,0,IF(Input!H$55&lt;31,Input!H$55/30*H426,IF(Input!H$55&lt;61,(Input!H$55-30)/30*H425+H426,IF(Input!H$55&lt;91,(Input!H$55-60)/30*H424+H425+H426,IF(Input!H$55&lt;121,(Input!H$55-90)/30*H423+H424+H425+H426,IF(Input!H$55&lt;151,(Input!H$55-120)/30*H422+H423+H424+H425+H426,(Input!H$55-150)/30*H421+H422+H423+H424+H425+H426)))))))</f>
        <v>0</v>
      </c>
      <c r="I1061" s="229">
        <f>IF(I$338&gt;$D$33,0,IF(Input!I$55=0,0,IF(Input!I$55&lt;31,Input!I$55/30*I426,IF(Input!I$55&lt;61,(Input!I$55-30)/30*I425+I426,IF(Input!I$55&lt;91,(Input!I$55-60)/30*I424+I425+I426,IF(Input!I$55&lt;121,(Input!I$55-90)/30*I423+I424+I425+I426,IF(Input!I$55&lt;151,(Input!I$55-120)/30*I422+I423+I424+I425+I426,(Input!I$55-150)/30*I421+I422+I423+I424+I425+I426)))))))</f>
        <v>0</v>
      </c>
      <c r="J1061" s="229">
        <f>IF(J$338&gt;$D$33,0,IF(Input!J$55=0,0,IF(Input!J$55&lt;31,Input!J$55/30*J426,IF(Input!J$55&lt;61,(Input!J$55-30)/30*J425+J426,IF(Input!J$55&lt;91,(Input!J$55-60)/30*J424+J425+J426,IF(Input!J$55&lt;121,(Input!J$55-90)/30*J423+J424+J425+J426,IF(Input!J$55&lt;151,(Input!J$55-120)/30*J422+J423+J424+J425+J426,(Input!J$55-150)/30*J421+J422+J423+J424+J425+J426)))))))</f>
        <v>0</v>
      </c>
      <c r="K1061" s="229">
        <f>IF(K$338&gt;$D$33,0,IF(Input!K$55=0,0,IF(Input!K$55&lt;31,Input!K$55/30*K426,IF(Input!K$55&lt;61,(Input!K$55-30)/30*K425+K426,IF(Input!K$55&lt;91,(Input!K$55-60)/30*K424+K425+K426,IF(Input!K$55&lt;121,(Input!K$55-90)/30*K423+K424+K425+K426,IF(Input!K$55&lt;151,(Input!K$55-120)/30*K422+K423+K424+K425+K426,(Input!K$55-150)/30*K421+K422+K423+K424+K425+K426)))))))</f>
        <v>0</v>
      </c>
      <c r="L1061" s="229">
        <f>IF(L$338&gt;$D$33,0,IF(Input!L$55=0,0,IF(Input!L$55&lt;31,Input!L$55/30*L426,IF(Input!L$55&lt;61,(Input!L$55-30)/30*L425+L426,IF(Input!L$55&lt;91,(Input!L$55-60)/30*L424+L425+L426,IF(Input!L$55&lt;121,(Input!L$55-90)/30*L423+L424+L425+L426,IF(Input!L$55&lt;151,(Input!L$55-120)/30*L422+L423+L424+L425+L426,(Input!L$55-150)/30*L421+L422+L423+L424+L425+L426)))))))</f>
        <v>0</v>
      </c>
      <c r="M1061" s="229">
        <f>IF(M$338&gt;$D$33,0,IF(Input!M$55=0,0,IF(Input!M$55&lt;31,Input!M$55/30*M426,IF(Input!M$55&lt;61,(Input!M$55-30)/30*M425+M426,IF(Input!M$55&lt;91,(Input!M$55-60)/30*M424+M425+M426,IF(Input!M$55&lt;121,(Input!M$55-90)/30*M423+M424+M425+M426,IF(Input!M$55&lt;151,(Input!M$55-120)/30*M422+M423+M424+M425+M426,(Input!M$55-150)/30*M421+M422+M423+M424+M425+M426)))))))</f>
        <v>0</v>
      </c>
      <c r="N1061" s="229">
        <f>IF(N$338&gt;$D$33,0,IF(Input!N$55=0,0,IF(Input!N$55&lt;31,Input!N$55/30*N426,IF(Input!N$55&lt;61,(Input!N$55-30)/30*N425+N426,IF(Input!N$55&lt;91,(Input!N$55-60)/30*N424+N425+N426,IF(Input!N$55&lt;121,(Input!N$55-90)/30*N423+N424+N425+N426,IF(Input!N$55&lt;151,(Input!N$55-120)/30*N422+N423+N424+N425+N426,(Input!N$55-150)/30*N421+N422+N423+N424+N425+N426)))))))</f>
        <v>0</v>
      </c>
      <c r="O1061" s="229">
        <f>IF(O$338&gt;$D$33,0,IF(Input!O$55=0,0,IF(Input!O$55&lt;31,Input!O$55/30*O426,IF(Input!O$55&lt;61,(Input!O$55-30)/30*O425+O426,IF(Input!O$55&lt;91,(Input!O$55-60)/30*O424+O425+O426,IF(Input!O$55&lt;121,(Input!O$55-90)/30*O423+O424+O425+O426,IF(Input!O$55&lt;151,(Input!O$55-120)/30*O422+O423+O424+O425+O426,(Input!O$55-150)/30*O421+O422+O423+O424+O425+O426)))))))</f>
        <v>0</v>
      </c>
      <c r="P1061" s="229">
        <f>IF(P$338&gt;$D$33,0,IF(Input!P$55=0,0,IF(Input!P$55&lt;31,Input!P$55/30*P426,IF(Input!P$55&lt;61,(Input!P$55-30)/30*P425+P426,IF(Input!P$55&lt;91,(Input!P$55-60)/30*P424+P425+P426,IF(Input!P$55&lt;121,(Input!P$55-90)/30*P423+P424+P425+P426,IF(Input!P$55&lt;151,(Input!P$55-120)/30*P422+P423+P424+P425+P426,(Input!P$55-150)/30*P421+P422+P423+P424+P425+P426)))))))</f>
        <v>0</v>
      </c>
      <c r="Q1061" s="229">
        <f>IF(Q$338&gt;$D$33,0,IF(Input!Q$55=0,0,IF(Input!Q$55&lt;31,Input!Q$55/30*Q426,IF(Input!Q$55&lt;61,(Input!Q$55-30)/30*Q425+Q426,IF(Input!Q$55&lt;91,(Input!Q$55-60)/30*Q424+Q425+Q426,IF(Input!Q$55&lt;121,(Input!Q$55-90)/30*Q423+Q424+Q425+Q426,IF(Input!Q$55&lt;151,(Input!Q$55-120)/30*Q422+Q423+Q424+Q425+Q426,(Input!Q$55-150)/30*Q421+Q422+Q423+Q424+Q425+Q426)))))))</f>
        <v>0</v>
      </c>
      <c r="R1061" s="229">
        <f>IF(R$338&gt;$D$33,0,IF(Input!R$55=0,0,IF(Input!R$55&lt;31,Input!R$55/30*R426,IF(Input!R$55&lt;61,(Input!R$55-30)/30*R425+R426,IF(Input!R$55&lt;91,(Input!R$55-60)/30*R424+R425+R426,IF(Input!R$55&lt;121,(Input!R$55-90)/30*R423+R424+R425+R426,IF(Input!R$55&lt;151,(Input!R$55-120)/30*R422+R423+R424+R425+R426,(Input!R$55-150)/30*R421+R422+R423+R424+R425+R426)))))))</f>
        <v>0</v>
      </c>
      <c r="S1061" s="229">
        <f>IF(S$338&gt;$D$33,0,IF(Input!S$55=0,0,IF(Input!S$55&lt;31,Input!S$55/30*S426,IF(Input!S$55&lt;61,(Input!S$55-30)/30*S425+S426,IF(Input!S$55&lt;91,(Input!S$55-60)/30*S424+S425+S426,IF(Input!S$55&lt;121,(Input!S$55-90)/30*S423+S424+S425+S426,IF(Input!S$55&lt;151,(Input!S$55-120)/30*S422+S423+S424+S425+S426,(Input!S$55-150)/30*S421+S422+S423+S424+S425+S426)))))))</f>
        <v>0</v>
      </c>
      <c r="T1061" s="229">
        <f>IF(T$338&gt;$D$33,0,IF(Input!T$55=0,0,IF(Input!T$55&lt;31,Input!T$55/30*T426,IF(Input!T$55&lt;61,(Input!T$55-30)/30*T425+T426,IF(Input!T$55&lt;91,(Input!T$55-60)/30*T424+T425+T426,IF(Input!T$55&lt;121,(Input!T$55-90)/30*T423+T424+T425+T426,IF(Input!T$55&lt;151,(Input!T$55-120)/30*T422+T423+T424+T425+T426,(Input!T$55-150)/30*T421+T422+T423+T424+T425+T426)))))))</f>
        <v>0</v>
      </c>
      <c r="U1061" s="229">
        <f>IF(U$338&gt;$D$33,0,IF(Input!U$55=0,0,IF(Input!U$55&lt;31,Input!U$55/30*U426,IF(Input!U$55&lt;61,(Input!U$55-30)/30*U425+U426,IF(Input!U$55&lt;91,(Input!U$55-60)/30*U424+U425+U426,IF(Input!U$55&lt;121,(Input!U$55-90)/30*U423+U424+U425+U426,IF(Input!U$55&lt;151,(Input!U$55-120)/30*U422+U423+U424+U425+U426,(Input!U$55-150)/30*U421+U422+U423+U424+U425+U426)))))))</f>
        <v>0</v>
      </c>
      <c r="V1061" s="229">
        <f>IF(V$338&gt;$D$33,0,IF(Input!V$55=0,0,IF(Input!V$55&lt;31,Input!V$55/30*V426,IF(Input!V$55&lt;61,(Input!V$55-30)/30*V425+V426,IF(Input!V$55&lt;91,(Input!V$55-60)/30*V424+V425+V426,IF(Input!V$55&lt;121,(Input!V$55-90)/30*V423+V424+V425+V426,IF(Input!V$55&lt;151,(Input!V$55-120)/30*V422+V423+V424+V425+V426,(Input!V$55-150)/30*V421+V422+V423+V424+V425+V426)))))))</f>
        <v>0</v>
      </c>
      <c r="W1061" s="229">
        <f>IF(W$338&gt;$D$33,0,IF(Input!W$55=0,0,IF(Input!W$55&lt;31,Input!W$55/30*W426,IF(Input!W$55&lt;61,(Input!W$55-30)/30*W425+W426,IF(Input!W$55&lt;91,(Input!W$55-60)/30*W424+W425+W426,IF(Input!W$55&lt;121,(Input!W$55-90)/30*W423+W424+W425+W426,IF(Input!W$55&lt;151,(Input!W$55-120)/30*W422+W423+W424+W425+W426,(Input!W$55-150)/30*W421+W422+W423+W424+W425+W426)))))))</f>
        <v>0</v>
      </c>
      <c r="X1061" s="229">
        <f>IF(X$338&gt;$D$33,0,IF(Input!X$55=0,0,IF(Input!X$55&lt;31,Input!X$55/30*X426,IF(Input!X$55&lt;61,(Input!X$55-30)/30*X425+X426,IF(Input!X$55&lt;91,(Input!X$55-60)/30*X424+X425+X426,IF(Input!X$55&lt;121,(Input!X$55-90)/30*X423+X424+X425+X426,IF(Input!X$55&lt;151,(Input!X$55-120)/30*X422+X423+X424+X425+X426,(Input!X$55-150)/30*X421+X422+X423+X424+X425+X426)))))))</f>
        <v>0</v>
      </c>
      <c r="Y1061" s="229">
        <f>IF(Y$338&gt;$D$33,0,IF(Input!Y$55=0,0,IF(Input!Y$55&lt;31,Input!Y$55/30*Y426,IF(Input!Y$55&lt;61,(Input!Y$55-30)/30*Y425+Y426,IF(Input!Y$55&lt;91,(Input!Y$55-60)/30*Y424+Y425+Y426,IF(Input!Y$55&lt;121,(Input!Y$55-90)/30*Y423+Y424+Y425+Y426,IF(Input!Y$55&lt;151,(Input!Y$55-120)/30*Y422+Y423+Y424+Y425+Y426,(Input!Y$55-150)/30*Y421+Y422+Y423+Y424+Y425+Y426)))))))</f>
        <v>0</v>
      </c>
      <c r="Z1061" s="229">
        <f>IF(Z$338&gt;$D$33,0,IF(Input!Z$55=0,0,IF(Input!Z$55&lt;31,Input!Z$55/30*Z426,IF(Input!Z$55&lt;61,(Input!Z$55-30)/30*Z425+Z426,IF(Input!Z$55&lt;91,(Input!Z$55-60)/30*Z424+Z425+Z426,IF(Input!Z$55&lt;121,(Input!Z$55-90)/30*Z423+Z424+Z425+Z426,IF(Input!Z$55&lt;151,(Input!Z$55-120)/30*Z422+Z423+Z424+Z425+Z426,(Input!Z$55-150)/30*Z421+Z422+Z423+Z424+Z425+Z426)))))))</f>
        <v>0</v>
      </c>
      <c r="AA1061" s="229">
        <f>IF(AA$338&gt;$D$33,0,IF(Input!AA$55=0,0,IF(Input!AA$55&lt;31,Input!AA$55/30*AA426,IF(Input!AA$55&lt;61,(Input!AA$55-30)/30*AA425+AA426,IF(Input!AA$55&lt;91,(Input!AA$55-60)/30*AA424+AA425+AA426,IF(Input!AA$55&lt;121,(Input!AA$55-90)/30*AA423+AA424+AA425+AA426,IF(Input!AA$55&lt;151,(Input!AA$55-120)/30*AA422+AA423+AA424+AA425+AA426,(Input!AA$55-150)/30*AA421+AA422+AA423+AA424+AA425+AA426)))))))</f>
        <v>0</v>
      </c>
      <c r="AB1061" s="229">
        <f>IF(AB$338&gt;$D$33,0,IF(Input!AB$55=0,0,IF(Input!AB$55&lt;31,Input!AB$55/30*AB426,IF(Input!AB$55&lt;61,(Input!AB$55-30)/30*AB425+AB426,IF(Input!AB$55&lt;91,(Input!AB$55-60)/30*AB424+AB425+AB426,IF(Input!AB$55&lt;121,(Input!AB$55-90)/30*AB423+AB424+AB425+AB426,IF(Input!AB$55&lt;151,(Input!AB$55-120)/30*AB422+AB423+AB424+AB425+AB426,(Input!AB$55-150)/30*AB421+AB422+AB423+AB424+AB425+AB426)))))))</f>
        <v>0</v>
      </c>
      <c r="CH1061" s="269"/>
      <c r="CI1061" s="269"/>
      <c r="CJ1061" s="269"/>
      <c r="CK1061" s="269"/>
      <c r="CL1061" s="269"/>
      <c r="CM1061" s="269"/>
      <c r="CN1061" s="269"/>
      <c r="CO1061" s="269"/>
      <c r="CP1061" s="269"/>
      <c r="CQ1061" s="269"/>
      <c r="CR1061" s="269"/>
      <c r="CS1061" s="269"/>
    </row>
    <row r="1062" spans="3:97" x14ac:dyDescent="0.3">
      <c r="C1062" s="495">
        <f>C999</f>
        <v>547</v>
      </c>
      <c r="D1062" s="229">
        <f>IF(D$338&gt;$D$33,0,IF(Input!D$55=0,0,IF(Input!D$55&lt;31,Input!D$55/30*D427,IF(Input!D$55&lt;61,(Input!D$55-30)/30*D426+D427,IF(Input!D$55&lt;91,(Input!D$55-60)/30*D425+D426+D427,IF(Input!D$55&lt;121,(Input!D$55-90)/30*D424+D425+D426+D427,IF(Input!D$55&lt;151,(Input!D$55-120)/30*D423+D424+D425+D426+D427,(Input!D$55-150)/30*D422+D423+D424+D425+D426+D427)))))))</f>
        <v>0</v>
      </c>
      <c r="E1062" s="229">
        <f>IF(E$338&gt;$D$33,0,IF(Input!E$55=0,0,IF(Input!E$55&lt;31,Input!E$55/30*E427,IF(Input!E$55&lt;61,(Input!E$55-30)/30*E426+E427,IF(Input!E$55&lt;91,(Input!E$55-60)/30*E425+E426+E427,IF(Input!E$55&lt;121,(Input!E$55-90)/30*E424+E425+E426+E427,IF(Input!E$55&lt;151,(Input!E$55-120)/30*E423+E424+E425+E426+E427,(Input!E$55-150)/30*E422+E423+E424+E425+E426+E427)))))))</f>
        <v>0</v>
      </c>
      <c r="F1062" s="229">
        <f>IF(F$338&gt;$D$33,0,IF(Input!F$55=0,0,IF(Input!F$55&lt;31,Input!F$55/30*F427,IF(Input!F$55&lt;61,(Input!F$55-30)/30*F426+F427,IF(Input!F$55&lt;91,(Input!F$55-60)/30*F425+F426+F427,IF(Input!F$55&lt;121,(Input!F$55-90)/30*F424+F425+F426+F427,IF(Input!F$55&lt;151,(Input!F$55-120)/30*F423+F424+F425+F426+F427,(Input!F$55-150)/30*F422+F423+F424+F425+F426+F427)))))))</f>
        <v>0</v>
      </c>
      <c r="G1062" s="229">
        <f>IF(G$338&gt;$D$33,0,IF(Input!G$55=0,0,IF(Input!G$55&lt;31,Input!G$55/30*G427,IF(Input!G$55&lt;61,(Input!G$55-30)/30*G426+G427,IF(Input!G$55&lt;91,(Input!G$55-60)/30*G425+G426+G427,IF(Input!G$55&lt;121,(Input!G$55-90)/30*G424+G425+G426+G427,IF(Input!G$55&lt;151,(Input!G$55-120)/30*G423+G424+G425+G426+G427,(Input!G$55-150)/30*G422+G423+G424+G425+G426+G427)))))))</f>
        <v>0</v>
      </c>
      <c r="H1062" s="229">
        <f>IF(H$338&gt;$D$33,0,IF(Input!H$55=0,0,IF(Input!H$55&lt;31,Input!H$55/30*H427,IF(Input!H$55&lt;61,(Input!H$55-30)/30*H426+H427,IF(Input!H$55&lt;91,(Input!H$55-60)/30*H425+H426+H427,IF(Input!H$55&lt;121,(Input!H$55-90)/30*H424+H425+H426+H427,IF(Input!H$55&lt;151,(Input!H$55-120)/30*H423+H424+H425+H426+H427,(Input!H$55-150)/30*H422+H423+H424+H425+H426+H427)))))))</f>
        <v>0</v>
      </c>
      <c r="I1062" s="229">
        <f>IF(I$338&gt;$D$33,0,IF(Input!I$55=0,0,IF(Input!I$55&lt;31,Input!I$55/30*I427,IF(Input!I$55&lt;61,(Input!I$55-30)/30*I426+I427,IF(Input!I$55&lt;91,(Input!I$55-60)/30*I425+I426+I427,IF(Input!I$55&lt;121,(Input!I$55-90)/30*I424+I425+I426+I427,IF(Input!I$55&lt;151,(Input!I$55-120)/30*I423+I424+I425+I426+I427,(Input!I$55-150)/30*I422+I423+I424+I425+I426+I427)))))))</f>
        <v>0</v>
      </c>
      <c r="J1062" s="229">
        <f>IF(J$338&gt;$D$33,0,IF(Input!J$55=0,0,IF(Input!J$55&lt;31,Input!J$55/30*J427,IF(Input!J$55&lt;61,(Input!J$55-30)/30*J426+J427,IF(Input!J$55&lt;91,(Input!J$55-60)/30*J425+J426+J427,IF(Input!J$55&lt;121,(Input!J$55-90)/30*J424+J425+J426+J427,IF(Input!J$55&lt;151,(Input!J$55-120)/30*J423+J424+J425+J426+J427,(Input!J$55-150)/30*J422+J423+J424+J425+J426+J427)))))))</f>
        <v>0</v>
      </c>
      <c r="K1062" s="229">
        <f>IF(K$338&gt;$D$33,0,IF(Input!K$55=0,0,IF(Input!K$55&lt;31,Input!K$55/30*K427,IF(Input!K$55&lt;61,(Input!K$55-30)/30*K426+K427,IF(Input!K$55&lt;91,(Input!K$55-60)/30*K425+K426+K427,IF(Input!K$55&lt;121,(Input!K$55-90)/30*K424+K425+K426+K427,IF(Input!K$55&lt;151,(Input!K$55-120)/30*K423+K424+K425+K426+K427,(Input!K$55-150)/30*K422+K423+K424+K425+K426+K427)))))))</f>
        <v>0</v>
      </c>
      <c r="L1062" s="229">
        <f>IF(L$338&gt;$D$33,0,IF(Input!L$55=0,0,IF(Input!L$55&lt;31,Input!L$55/30*L427,IF(Input!L$55&lt;61,(Input!L$55-30)/30*L426+L427,IF(Input!L$55&lt;91,(Input!L$55-60)/30*L425+L426+L427,IF(Input!L$55&lt;121,(Input!L$55-90)/30*L424+L425+L426+L427,IF(Input!L$55&lt;151,(Input!L$55-120)/30*L423+L424+L425+L426+L427,(Input!L$55-150)/30*L422+L423+L424+L425+L426+L427)))))))</f>
        <v>0</v>
      </c>
      <c r="M1062" s="229">
        <f>IF(M$338&gt;$D$33,0,IF(Input!M$55=0,0,IF(Input!M$55&lt;31,Input!M$55/30*M427,IF(Input!M$55&lt;61,(Input!M$55-30)/30*M426+M427,IF(Input!M$55&lt;91,(Input!M$55-60)/30*M425+M426+M427,IF(Input!M$55&lt;121,(Input!M$55-90)/30*M424+M425+M426+M427,IF(Input!M$55&lt;151,(Input!M$55-120)/30*M423+M424+M425+M426+M427,(Input!M$55-150)/30*M422+M423+M424+M425+M426+M427)))))))</f>
        <v>0</v>
      </c>
      <c r="N1062" s="229">
        <f>IF(N$338&gt;$D$33,0,IF(Input!N$55=0,0,IF(Input!N$55&lt;31,Input!N$55/30*N427,IF(Input!N$55&lt;61,(Input!N$55-30)/30*N426+N427,IF(Input!N$55&lt;91,(Input!N$55-60)/30*N425+N426+N427,IF(Input!N$55&lt;121,(Input!N$55-90)/30*N424+N425+N426+N427,IF(Input!N$55&lt;151,(Input!N$55-120)/30*N423+N424+N425+N426+N427,(Input!N$55-150)/30*N422+N423+N424+N425+N426+N427)))))))</f>
        <v>0</v>
      </c>
      <c r="O1062" s="229">
        <f>IF(O$338&gt;$D$33,0,IF(Input!O$55=0,0,IF(Input!O$55&lt;31,Input!O$55/30*O427,IF(Input!O$55&lt;61,(Input!O$55-30)/30*O426+O427,IF(Input!O$55&lt;91,(Input!O$55-60)/30*O425+O426+O427,IF(Input!O$55&lt;121,(Input!O$55-90)/30*O424+O425+O426+O427,IF(Input!O$55&lt;151,(Input!O$55-120)/30*O423+O424+O425+O426+O427,(Input!O$55-150)/30*O422+O423+O424+O425+O426+O427)))))))</f>
        <v>0</v>
      </c>
      <c r="P1062" s="229">
        <f>IF(P$338&gt;$D$33,0,IF(Input!P$55=0,0,IF(Input!P$55&lt;31,Input!P$55/30*P427,IF(Input!P$55&lt;61,(Input!P$55-30)/30*P426+P427,IF(Input!P$55&lt;91,(Input!P$55-60)/30*P425+P426+P427,IF(Input!P$55&lt;121,(Input!P$55-90)/30*P424+P425+P426+P427,IF(Input!P$55&lt;151,(Input!P$55-120)/30*P423+P424+P425+P426+P427,(Input!P$55-150)/30*P422+P423+P424+P425+P426+P427)))))))</f>
        <v>0</v>
      </c>
      <c r="Q1062" s="229">
        <f>IF(Q$338&gt;$D$33,0,IF(Input!Q$55=0,0,IF(Input!Q$55&lt;31,Input!Q$55/30*Q427,IF(Input!Q$55&lt;61,(Input!Q$55-30)/30*Q426+Q427,IF(Input!Q$55&lt;91,(Input!Q$55-60)/30*Q425+Q426+Q427,IF(Input!Q$55&lt;121,(Input!Q$55-90)/30*Q424+Q425+Q426+Q427,IF(Input!Q$55&lt;151,(Input!Q$55-120)/30*Q423+Q424+Q425+Q426+Q427,(Input!Q$55-150)/30*Q422+Q423+Q424+Q425+Q426+Q427)))))))</f>
        <v>0</v>
      </c>
      <c r="R1062" s="229">
        <f>IF(R$338&gt;$D$33,0,IF(Input!R$55=0,0,IF(Input!R$55&lt;31,Input!R$55/30*R427,IF(Input!R$55&lt;61,(Input!R$55-30)/30*R426+R427,IF(Input!R$55&lt;91,(Input!R$55-60)/30*R425+R426+R427,IF(Input!R$55&lt;121,(Input!R$55-90)/30*R424+R425+R426+R427,IF(Input!R$55&lt;151,(Input!R$55-120)/30*R423+R424+R425+R426+R427,(Input!R$55-150)/30*R422+R423+R424+R425+R426+R427)))))))</f>
        <v>0</v>
      </c>
      <c r="S1062" s="229">
        <f>IF(S$338&gt;$D$33,0,IF(Input!S$55=0,0,IF(Input!S$55&lt;31,Input!S$55/30*S427,IF(Input!S$55&lt;61,(Input!S$55-30)/30*S426+S427,IF(Input!S$55&lt;91,(Input!S$55-60)/30*S425+S426+S427,IF(Input!S$55&lt;121,(Input!S$55-90)/30*S424+S425+S426+S427,IF(Input!S$55&lt;151,(Input!S$55-120)/30*S423+S424+S425+S426+S427,(Input!S$55-150)/30*S422+S423+S424+S425+S426+S427)))))))</f>
        <v>0</v>
      </c>
      <c r="T1062" s="229">
        <f>IF(T$338&gt;$D$33,0,IF(Input!T$55=0,0,IF(Input!T$55&lt;31,Input!T$55/30*T427,IF(Input!T$55&lt;61,(Input!T$55-30)/30*T426+T427,IF(Input!T$55&lt;91,(Input!T$55-60)/30*T425+T426+T427,IF(Input!T$55&lt;121,(Input!T$55-90)/30*T424+T425+T426+T427,IF(Input!T$55&lt;151,(Input!T$55-120)/30*T423+T424+T425+T426+T427,(Input!T$55-150)/30*T422+T423+T424+T425+T426+T427)))))))</f>
        <v>0</v>
      </c>
      <c r="U1062" s="229">
        <f>IF(U$338&gt;$D$33,0,IF(Input!U$55=0,0,IF(Input!U$55&lt;31,Input!U$55/30*U427,IF(Input!U$55&lt;61,(Input!U$55-30)/30*U426+U427,IF(Input!U$55&lt;91,(Input!U$55-60)/30*U425+U426+U427,IF(Input!U$55&lt;121,(Input!U$55-90)/30*U424+U425+U426+U427,IF(Input!U$55&lt;151,(Input!U$55-120)/30*U423+U424+U425+U426+U427,(Input!U$55-150)/30*U422+U423+U424+U425+U426+U427)))))))</f>
        <v>0</v>
      </c>
      <c r="V1062" s="229">
        <f>IF(V$338&gt;$D$33,0,IF(Input!V$55=0,0,IF(Input!V$55&lt;31,Input!V$55/30*V427,IF(Input!V$55&lt;61,(Input!V$55-30)/30*V426+V427,IF(Input!V$55&lt;91,(Input!V$55-60)/30*V425+V426+V427,IF(Input!V$55&lt;121,(Input!V$55-90)/30*V424+V425+V426+V427,IF(Input!V$55&lt;151,(Input!V$55-120)/30*V423+V424+V425+V426+V427,(Input!V$55-150)/30*V422+V423+V424+V425+V426+V427)))))))</f>
        <v>0</v>
      </c>
      <c r="W1062" s="229">
        <f>IF(W$338&gt;$D$33,0,IF(Input!W$55=0,0,IF(Input!W$55&lt;31,Input!W$55/30*W427,IF(Input!W$55&lt;61,(Input!W$55-30)/30*W426+W427,IF(Input!W$55&lt;91,(Input!W$55-60)/30*W425+W426+W427,IF(Input!W$55&lt;121,(Input!W$55-90)/30*W424+W425+W426+W427,IF(Input!W$55&lt;151,(Input!W$55-120)/30*W423+W424+W425+W426+W427,(Input!W$55-150)/30*W422+W423+W424+W425+W426+W427)))))))</f>
        <v>0</v>
      </c>
      <c r="X1062" s="229">
        <f>IF(X$338&gt;$D$33,0,IF(Input!X$55=0,0,IF(Input!X$55&lt;31,Input!X$55/30*X427,IF(Input!X$55&lt;61,(Input!X$55-30)/30*X426+X427,IF(Input!X$55&lt;91,(Input!X$55-60)/30*X425+X426+X427,IF(Input!X$55&lt;121,(Input!X$55-90)/30*X424+X425+X426+X427,IF(Input!X$55&lt;151,(Input!X$55-120)/30*X423+X424+X425+X426+X427,(Input!X$55-150)/30*X422+X423+X424+X425+X426+X427)))))))</f>
        <v>0</v>
      </c>
      <c r="Y1062" s="229">
        <f>IF(Y$338&gt;$D$33,0,IF(Input!Y$55=0,0,IF(Input!Y$55&lt;31,Input!Y$55/30*Y427,IF(Input!Y$55&lt;61,(Input!Y$55-30)/30*Y426+Y427,IF(Input!Y$55&lt;91,(Input!Y$55-60)/30*Y425+Y426+Y427,IF(Input!Y$55&lt;121,(Input!Y$55-90)/30*Y424+Y425+Y426+Y427,IF(Input!Y$55&lt;151,(Input!Y$55-120)/30*Y423+Y424+Y425+Y426+Y427,(Input!Y$55-150)/30*Y422+Y423+Y424+Y425+Y426+Y427)))))))</f>
        <v>0</v>
      </c>
      <c r="Z1062" s="229">
        <f>IF(Z$338&gt;$D$33,0,IF(Input!Z$55=0,0,IF(Input!Z$55&lt;31,Input!Z$55/30*Z427,IF(Input!Z$55&lt;61,(Input!Z$55-30)/30*Z426+Z427,IF(Input!Z$55&lt;91,(Input!Z$55-60)/30*Z425+Z426+Z427,IF(Input!Z$55&lt;121,(Input!Z$55-90)/30*Z424+Z425+Z426+Z427,IF(Input!Z$55&lt;151,(Input!Z$55-120)/30*Z423+Z424+Z425+Z426+Z427,(Input!Z$55-150)/30*Z422+Z423+Z424+Z425+Z426+Z427)))))))</f>
        <v>0</v>
      </c>
      <c r="AA1062" s="229">
        <f>IF(AA$338&gt;$D$33,0,IF(Input!AA$55=0,0,IF(Input!AA$55&lt;31,Input!AA$55/30*AA427,IF(Input!AA$55&lt;61,(Input!AA$55-30)/30*AA426+AA427,IF(Input!AA$55&lt;91,(Input!AA$55-60)/30*AA425+AA426+AA427,IF(Input!AA$55&lt;121,(Input!AA$55-90)/30*AA424+AA425+AA426+AA427,IF(Input!AA$55&lt;151,(Input!AA$55-120)/30*AA423+AA424+AA425+AA426+AA427,(Input!AA$55-150)/30*AA422+AA423+AA424+AA425+AA426+AA427)))))))</f>
        <v>0</v>
      </c>
      <c r="AB1062" s="229">
        <f>IF(AB$338&gt;$D$33,0,IF(Input!AB$55=0,0,IF(Input!AB$55&lt;31,Input!AB$55/30*AB427,IF(Input!AB$55&lt;61,(Input!AB$55-30)/30*AB426+AB427,IF(Input!AB$55&lt;91,(Input!AB$55-60)/30*AB425+AB426+AB427,IF(Input!AB$55&lt;121,(Input!AB$55-90)/30*AB424+AB425+AB426+AB427,IF(Input!AB$55&lt;151,(Input!AB$55-120)/30*AB423+AB424+AB425+AB426+AB427,(Input!AB$55-150)/30*AB422+AB423+AB424+AB425+AB426+AB427)))))))</f>
        <v>0</v>
      </c>
      <c r="CH1062" s="269"/>
      <c r="CI1062" s="269"/>
      <c r="CJ1062" s="269"/>
      <c r="CK1062" s="269"/>
      <c r="CL1062" s="269"/>
      <c r="CM1062" s="269"/>
      <c r="CN1062" s="269"/>
      <c r="CO1062" s="269"/>
      <c r="CP1062" s="269"/>
      <c r="CQ1062" s="269"/>
      <c r="CR1062" s="269"/>
      <c r="CS1062" s="269"/>
    </row>
    <row r="1063" spans="3:97" x14ac:dyDescent="0.3">
      <c r="C1063" s="495">
        <f>C1000</f>
        <v>578</v>
      </c>
      <c r="D1063" s="229">
        <f>IF(D$338&gt;$D$33,0,IF(Input!D$55=0,0,IF(Input!D$55&lt;31,Input!D$55/30*D428,IF(Input!D$55&lt;61,(Input!D$55-30)/30*D427+D428,IF(Input!D$55&lt;91,(Input!D$55-60)/30*D426+D427+D428,IF(Input!D$55&lt;121,(Input!D$55-90)/30*D425+D426+D427+D428,IF(Input!D$55&lt;151,(Input!D$55-120)/30*D424+D425+D426+D427+D428,(Input!D$55-150)/30*D423+D424+D425+D426+D427+D428)))))))</f>
        <v>0</v>
      </c>
      <c r="E1063" s="229">
        <f>IF(E$338&gt;$D$33,0,IF(Input!E$55=0,0,IF(Input!E$55&lt;31,Input!E$55/30*E428,IF(Input!E$55&lt;61,(Input!E$55-30)/30*E427+E428,IF(Input!E$55&lt;91,(Input!E$55-60)/30*E426+E427+E428,IF(Input!E$55&lt;121,(Input!E$55-90)/30*E425+E426+E427+E428,IF(Input!E$55&lt;151,(Input!E$55-120)/30*E424+E425+E426+E427+E428,(Input!E$55-150)/30*E423+E424+E425+E426+E427+E428)))))))</f>
        <v>0</v>
      </c>
      <c r="F1063" s="229">
        <f>IF(F$338&gt;$D$33,0,IF(Input!F$55=0,0,IF(Input!F$55&lt;31,Input!F$55/30*F428,IF(Input!F$55&lt;61,(Input!F$55-30)/30*F427+F428,IF(Input!F$55&lt;91,(Input!F$55-60)/30*F426+F427+F428,IF(Input!F$55&lt;121,(Input!F$55-90)/30*F425+F426+F427+F428,IF(Input!F$55&lt;151,(Input!F$55-120)/30*F424+F425+F426+F427+F428,(Input!F$55-150)/30*F423+F424+F425+F426+F427+F428)))))))</f>
        <v>0</v>
      </c>
      <c r="G1063" s="229">
        <f>IF(G$338&gt;$D$33,0,IF(Input!G$55=0,0,IF(Input!G$55&lt;31,Input!G$55/30*G428,IF(Input!G$55&lt;61,(Input!G$55-30)/30*G427+G428,IF(Input!G$55&lt;91,(Input!G$55-60)/30*G426+G427+G428,IF(Input!G$55&lt;121,(Input!G$55-90)/30*G425+G426+G427+G428,IF(Input!G$55&lt;151,(Input!G$55-120)/30*G424+G425+G426+G427+G428,(Input!G$55-150)/30*G423+G424+G425+G426+G427+G428)))))))</f>
        <v>0</v>
      </c>
      <c r="H1063" s="229">
        <f>IF(H$338&gt;$D$33,0,IF(Input!H$55=0,0,IF(Input!H$55&lt;31,Input!H$55/30*H428,IF(Input!H$55&lt;61,(Input!H$55-30)/30*H427+H428,IF(Input!H$55&lt;91,(Input!H$55-60)/30*H426+H427+H428,IF(Input!H$55&lt;121,(Input!H$55-90)/30*H425+H426+H427+H428,IF(Input!H$55&lt;151,(Input!H$55-120)/30*H424+H425+H426+H427+H428,(Input!H$55-150)/30*H423+H424+H425+H426+H427+H428)))))))</f>
        <v>0</v>
      </c>
      <c r="I1063" s="229">
        <f>IF(I$338&gt;$D$33,0,IF(Input!I$55=0,0,IF(Input!I$55&lt;31,Input!I$55/30*I428,IF(Input!I$55&lt;61,(Input!I$55-30)/30*I427+I428,IF(Input!I$55&lt;91,(Input!I$55-60)/30*I426+I427+I428,IF(Input!I$55&lt;121,(Input!I$55-90)/30*I425+I426+I427+I428,IF(Input!I$55&lt;151,(Input!I$55-120)/30*I424+I425+I426+I427+I428,(Input!I$55-150)/30*I423+I424+I425+I426+I427+I428)))))))</f>
        <v>0</v>
      </c>
      <c r="J1063" s="229">
        <f>IF(J$338&gt;$D$33,0,IF(Input!J$55=0,0,IF(Input!J$55&lt;31,Input!J$55/30*J428,IF(Input!J$55&lt;61,(Input!J$55-30)/30*J427+J428,IF(Input!J$55&lt;91,(Input!J$55-60)/30*J426+J427+J428,IF(Input!J$55&lt;121,(Input!J$55-90)/30*J425+J426+J427+J428,IF(Input!J$55&lt;151,(Input!J$55-120)/30*J424+J425+J426+J427+J428,(Input!J$55-150)/30*J423+J424+J425+J426+J427+J428)))))))</f>
        <v>0</v>
      </c>
      <c r="K1063" s="229">
        <f>IF(K$338&gt;$D$33,0,IF(Input!K$55=0,0,IF(Input!K$55&lt;31,Input!K$55/30*K428,IF(Input!K$55&lt;61,(Input!K$55-30)/30*K427+K428,IF(Input!K$55&lt;91,(Input!K$55-60)/30*K426+K427+K428,IF(Input!K$55&lt;121,(Input!K$55-90)/30*K425+K426+K427+K428,IF(Input!K$55&lt;151,(Input!K$55-120)/30*K424+K425+K426+K427+K428,(Input!K$55-150)/30*K423+K424+K425+K426+K427+K428)))))))</f>
        <v>0</v>
      </c>
      <c r="L1063" s="229">
        <f>IF(L$338&gt;$D$33,0,IF(Input!L$55=0,0,IF(Input!L$55&lt;31,Input!L$55/30*L428,IF(Input!L$55&lt;61,(Input!L$55-30)/30*L427+L428,IF(Input!L$55&lt;91,(Input!L$55-60)/30*L426+L427+L428,IF(Input!L$55&lt;121,(Input!L$55-90)/30*L425+L426+L427+L428,IF(Input!L$55&lt;151,(Input!L$55-120)/30*L424+L425+L426+L427+L428,(Input!L$55-150)/30*L423+L424+L425+L426+L427+L428)))))))</f>
        <v>0</v>
      </c>
      <c r="M1063" s="229">
        <f>IF(M$338&gt;$D$33,0,IF(Input!M$55=0,0,IF(Input!M$55&lt;31,Input!M$55/30*M428,IF(Input!M$55&lt;61,(Input!M$55-30)/30*M427+M428,IF(Input!M$55&lt;91,(Input!M$55-60)/30*M426+M427+M428,IF(Input!M$55&lt;121,(Input!M$55-90)/30*M425+M426+M427+M428,IF(Input!M$55&lt;151,(Input!M$55-120)/30*M424+M425+M426+M427+M428,(Input!M$55-150)/30*M423+M424+M425+M426+M427+M428)))))))</f>
        <v>0</v>
      </c>
      <c r="N1063" s="229">
        <f>IF(N$338&gt;$D$33,0,IF(Input!N$55=0,0,IF(Input!N$55&lt;31,Input!N$55/30*N428,IF(Input!N$55&lt;61,(Input!N$55-30)/30*N427+N428,IF(Input!N$55&lt;91,(Input!N$55-60)/30*N426+N427+N428,IF(Input!N$55&lt;121,(Input!N$55-90)/30*N425+N426+N427+N428,IF(Input!N$55&lt;151,(Input!N$55-120)/30*N424+N425+N426+N427+N428,(Input!N$55-150)/30*N423+N424+N425+N426+N427+N428)))))))</f>
        <v>0</v>
      </c>
      <c r="O1063" s="229">
        <f>IF(O$338&gt;$D$33,0,IF(Input!O$55=0,0,IF(Input!O$55&lt;31,Input!O$55/30*O428,IF(Input!O$55&lt;61,(Input!O$55-30)/30*O427+O428,IF(Input!O$55&lt;91,(Input!O$55-60)/30*O426+O427+O428,IF(Input!O$55&lt;121,(Input!O$55-90)/30*O425+O426+O427+O428,IF(Input!O$55&lt;151,(Input!O$55-120)/30*O424+O425+O426+O427+O428,(Input!O$55-150)/30*O423+O424+O425+O426+O427+O428)))))))</f>
        <v>0</v>
      </c>
      <c r="P1063" s="229">
        <f>IF(P$338&gt;$D$33,0,IF(Input!P$55=0,0,IF(Input!P$55&lt;31,Input!P$55/30*P428,IF(Input!P$55&lt;61,(Input!P$55-30)/30*P427+P428,IF(Input!P$55&lt;91,(Input!P$55-60)/30*P426+P427+P428,IF(Input!P$55&lt;121,(Input!P$55-90)/30*P425+P426+P427+P428,IF(Input!P$55&lt;151,(Input!P$55-120)/30*P424+P425+P426+P427+P428,(Input!P$55-150)/30*P423+P424+P425+P426+P427+P428)))))))</f>
        <v>0</v>
      </c>
      <c r="Q1063" s="229">
        <f>IF(Q$338&gt;$D$33,0,IF(Input!Q$55=0,0,IF(Input!Q$55&lt;31,Input!Q$55/30*Q428,IF(Input!Q$55&lt;61,(Input!Q$55-30)/30*Q427+Q428,IF(Input!Q$55&lt;91,(Input!Q$55-60)/30*Q426+Q427+Q428,IF(Input!Q$55&lt;121,(Input!Q$55-90)/30*Q425+Q426+Q427+Q428,IF(Input!Q$55&lt;151,(Input!Q$55-120)/30*Q424+Q425+Q426+Q427+Q428,(Input!Q$55-150)/30*Q423+Q424+Q425+Q426+Q427+Q428)))))))</f>
        <v>0</v>
      </c>
      <c r="R1063" s="229">
        <f>IF(R$338&gt;$D$33,0,IF(Input!R$55=0,0,IF(Input!R$55&lt;31,Input!R$55/30*R428,IF(Input!R$55&lt;61,(Input!R$55-30)/30*R427+R428,IF(Input!R$55&lt;91,(Input!R$55-60)/30*R426+R427+R428,IF(Input!R$55&lt;121,(Input!R$55-90)/30*R425+R426+R427+R428,IF(Input!R$55&lt;151,(Input!R$55-120)/30*R424+R425+R426+R427+R428,(Input!R$55-150)/30*R423+R424+R425+R426+R427+R428)))))))</f>
        <v>0</v>
      </c>
      <c r="S1063" s="229">
        <f>IF(S$338&gt;$D$33,0,IF(Input!S$55=0,0,IF(Input!S$55&lt;31,Input!S$55/30*S428,IF(Input!S$55&lt;61,(Input!S$55-30)/30*S427+S428,IF(Input!S$55&lt;91,(Input!S$55-60)/30*S426+S427+S428,IF(Input!S$55&lt;121,(Input!S$55-90)/30*S425+S426+S427+S428,IF(Input!S$55&lt;151,(Input!S$55-120)/30*S424+S425+S426+S427+S428,(Input!S$55-150)/30*S423+S424+S425+S426+S427+S428)))))))</f>
        <v>0</v>
      </c>
      <c r="T1063" s="229">
        <f>IF(T$338&gt;$D$33,0,IF(Input!T$55=0,0,IF(Input!T$55&lt;31,Input!T$55/30*T428,IF(Input!T$55&lt;61,(Input!T$55-30)/30*T427+T428,IF(Input!T$55&lt;91,(Input!T$55-60)/30*T426+T427+T428,IF(Input!T$55&lt;121,(Input!T$55-90)/30*T425+T426+T427+T428,IF(Input!T$55&lt;151,(Input!T$55-120)/30*T424+T425+T426+T427+T428,(Input!T$55-150)/30*T423+T424+T425+T426+T427+T428)))))))</f>
        <v>0</v>
      </c>
      <c r="U1063" s="229">
        <f>IF(U$338&gt;$D$33,0,IF(Input!U$55=0,0,IF(Input!U$55&lt;31,Input!U$55/30*U428,IF(Input!U$55&lt;61,(Input!U$55-30)/30*U427+U428,IF(Input!U$55&lt;91,(Input!U$55-60)/30*U426+U427+U428,IF(Input!U$55&lt;121,(Input!U$55-90)/30*U425+U426+U427+U428,IF(Input!U$55&lt;151,(Input!U$55-120)/30*U424+U425+U426+U427+U428,(Input!U$55-150)/30*U423+U424+U425+U426+U427+U428)))))))</f>
        <v>0</v>
      </c>
      <c r="V1063" s="229">
        <f>IF(V$338&gt;$D$33,0,IF(Input!V$55=0,0,IF(Input!V$55&lt;31,Input!V$55/30*V428,IF(Input!V$55&lt;61,(Input!V$55-30)/30*V427+V428,IF(Input!V$55&lt;91,(Input!V$55-60)/30*V426+V427+V428,IF(Input!V$55&lt;121,(Input!V$55-90)/30*V425+V426+V427+V428,IF(Input!V$55&lt;151,(Input!V$55-120)/30*V424+V425+V426+V427+V428,(Input!V$55-150)/30*V423+V424+V425+V426+V427+V428)))))))</f>
        <v>0</v>
      </c>
      <c r="W1063" s="229">
        <f>IF(W$338&gt;$D$33,0,IF(Input!W$55=0,0,IF(Input!W$55&lt;31,Input!W$55/30*W428,IF(Input!W$55&lt;61,(Input!W$55-30)/30*W427+W428,IF(Input!W$55&lt;91,(Input!W$55-60)/30*W426+W427+W428,IF(Input!W$55&lt;121,(Input!W$55-90)/30*W425+W426+W427+W428,IF(Input!W$55&lt;151,(Input!W$55-120)/30*W424+W425+W426+W427+W428,(Input!W$55-150)/30*W423+W424+W425+W426+W427+W428)))))))</f>
        <v>0</v>
      </c>
      <c r="X1063" s="229">
        <f>IF(X$338&gt;$D$33,0,IF(Input!X$55=0,0,IF(Input!X$55&lt;31,Input!X$55/30*X428,IF(Input!X$55&lt;61,(Input!X$55-30)/30*X427+X428,IF(Input!X$55&lt;91,(Input!X$55-60)/30*X426+X427+X428,IF(Input!X$55&lt;121,(Input!X$55-90)/30*X425+X426+X427+X428,IF(Input!X$55&lt;151,(Input!X$55-120)/30*X424+X425+X426+X427+X428,(Input!X$55-150)/30*X423+X424+X425+X426+X427+X428)))))))</f>
        <v>0</v>
      </c>
      <c r="Y1063" s="229">
        <f>IF(Y$338&gt;$D$33,0,IF(Input!Y$55=0,0,IF(Input!Y$55&lt;31,Input!Y$55/30*Y428,IF(Input!Y$55&lt;61,(Input!Y$55-30)/30*Y427+Y428,IF(Input!Y$55&lt;91,(Input!Y$55-60)/30*Y426+Y427+Y428,IF(Input!Y$55&lt;121,(Input!Y$55-90)/30*Y425+Y426+Y427+Y428,IF(Input!Y$55&lt;151,(Input!Y$55-120)/30*Y424+Y425+Y426+Y427+Y428,(Input!Y$55-150)/30*Y423+Y424+Y425+Y426+Y427+Y428)))))))</f>
        <v>0</v>
      </c>
      <c r="Z1063" s="229">
        <f>IF(Z$338&gt;$D$33,0,IF(Input!Z$55=0,0,IF(Input!Z$55&lt;31,Input!Z$55/30*Z428,IF(Input!Z$55&lt;61,(Input!Z$55-30)/30*Z427+Z428,IF(Input!Z$55&lt;91,(Input!Z$55-60)/30*Z426+Z427+Z428,IF(Input!Z$55&lt;121,(Input!Z$55-90)/30*Z425+Z426+Z427+Z428,IF(Input!Z$55&lt;151,(Input!Z$55-120)/30*Z424+Z425+Z426+Z427+Z428,(Input!Z$55-150)/30*Z423+Z424+Z425+Z426+Z427+Z428)))))))</f>
        <v>0</v>
      </c>
      <c r="AA1063" s="229">
        <f>IF(AA$338&gt;$D$33,0,IF(Input!AA$55=0,0,IF(Input!AA$55&lt;31,Input!AA$55/30*AA428,IF(Input!AA$55&lt;61,(Input!AA$55-30)/30*AA427+AA428,IF(Input!AA$55&lt;91,(Input!AA$55-60)/30*AA426+AA427+AA428,IF(Input!AA$55&lt;121,(Input!AA$55-90)/30*AA425+AA426+AA427+AA428,IF(Input!AA$55&lt;151,(Input!AA$55-120)/30*AA424+AA425+AA426+AA427+AA428,(Input!AA$55-150)/30*AA423+AA424+AA425+AA426+AA427+AA428)))))))</f>
        <v>0</v>
      </c>
      <c r="AB1063" s="229">
        <f>IF(AB$338&gt;$D$33,0,IF(Input!AB$55=0,0,IF(Input!AB$55&lt;31,Input!AB$55/30*AB428,IF(Input!AB$55&lt;61,(Input!AB$55-30)/30*AB427+AB428,IF(Input!AB$55&lt;91,(Input!AB$55-60)/30*AB426+AB427+AB428,IF(Input!AB$55&lt;121,(Input!AB$55-90)/30*AB425+AB426+AB427+AB428,IF(Input!AB$55&lt;151,(Input!AB$55-120)/30*AB424+AB425+AB426+AB427+AB428,(Input!AB$55-150)/30*AB423+AB424+AB425+AB426+AB427+AB428)))))))</f>
        <v>0</v>
      </c>
      <c r="CH1063" s="269"/>
      <c r="CI1063" s="269"/>
      <c r="CJ1063" s="269"/>
      <c r="CK1063" s="269"/>
      <c r="CL1063" s="269"/>
      <c r="CM1063" s="269"/>
      <c r="CN1063" s="269"/>
      <c r="CO1063" s="269"/>
      <c r="CP1063" s="269"/>
      <c r="CQ1063" s="269"/>
      <c r="CR1063" s="269"/>
      <c r="CS1063" s="269"/>
    </row>
    <row r="1064" spans="3:97" x14ac:dyDescent="0.3">
      <c r="C1064" s="495">
        <f>C1001</f>
        <v>609</v>
      </c>
      <c r="D1064" s="229">
        <f>IF(D$338&gt;$D$33,0,IF(Input!D$55=0,0,IF(Input!D$55&lt;31,Input!D$55/30*D429,IF(Input!D$55&lt;61,(Input!D$55-30)/30*D428+D429,IF(Input!D$55&lt;91,(Input!D$55-60)/30*D427+D428+D429,IF(Input!D$55&lt;121,(Input!D$55-90)/30*D426+D427+D428+D429,IF(Input!D$55&lt;151,(Input!D$55-120)/30*D425+D426+D427+D428+D429,(Input!D$55-150)/30*D424+D425+D426+D427+D428+D429)))))))</f>
        <v>0</v>
      </c>
      <c r="E1064" s="229">
        <f>IF(E$338&gt;$D$33,0,IF(Input!E$55=0,0,IF(Input!E$55&lt;31,Input!E$55/30*E429,IF(Input!E$55&lt;61,(Input!E$55-30)/30*E428+E429,IF(Input!E$55&lt;91,(Input!E$55-60)/30*E427+E428+E429,IF(Input!E$55&lt;121,(Input!E$55-90)/30*E426+E427+E428+E429,IF(Input!E$55&lt;151,(Input!E$55-120)/30*E425+E426+E427+E428+E429,(Input!E$55-150)/30*E424+E425+E426+E427+E428+E429)))))))</f>
        <v>0</v>
      </c>
      <c r="F1064" s="229">
        <f>IF(F$338&gt;$D$33,0,IF(Input!F$55=0,0,IF(Input!F$55&lt;31,Input!F$55/30*F429,IF(Input!F$55&lt;61,(Input!F$55-30)/30*F428+F429,IF(Input!F$55&lt;91,(Input!F$55-60)/30*F427+F428+F429,IF(Input!F$55&lt;121,(Input!F$55-90)/30*F426+F427+F428+F429,IF(Input!F$55&lt;151,(Input!F$55-120)/30*F425+F426+F427+F428+F429,(Input!F$55-150)/30*F424+F425+F426+F427+F428+F429)))))))</f>
        <v>0</v>
      </c>
      <c r="G1064" s="229">
        <f>IF(G$338&gt;$D$33,0,IF(Input!G$55=0,0,IF(Input!G$55&lt;31,Input!G$55/30*G429,IF(Input!G$55&lt;61,(Input!G$55-30)/30*G428+G429,IF(Input!G$55&lt;91,(Input!G$55-60)/30*G427+G428+G429,IF(Input!G$55&lt;121,(Input!G$55-90)/30*G426+G427+G428+G429,IF(Input!G$55&lt;151,(Input!G$55-120)/30*G425+G426+G427+G428+G429,(Input!G$55-150)/30*G424+G425+G426+G427+G428+G429)))))))</f>
        <v>0</v>
      </c>
      <c r="H1064" s="229">
        <f>IF(H$338&gt;$D$33,0,IF(Input!H$55=0,0,IF(Input!H$55&lt;31,Input!H$55/30*H429,IF(Input!H$55&lt;61,(Input!H$55-30)/30*H428+H429,IF(Input!H$55&lt;91,(Input!H$55-60)/30*H427+H428+H429,IF(Input!H$55&lt;121,(Input!H$55-90)/30*H426+H427+H428+H429,IF(Input!H$55&lt;151,(Input!H$55-120)/30*H425+H426+H427+H428+H429,(Input!H$55-150)/30*H424+H425+H426+H427+H428+H429)))))))</f>
        <v>0</v>
      </c>
      <c r="I1064" s="229">
        <f>IF(I$338&gt;$D$33,0,IF(Input!I$55=0,0,IF(Input!I$55&lt;31,Input!I$55/30*I429,IF(Input!I$55&lt;61,(Input!I$55-30)/30*I428+I429,IF(Input!I$55&lt;91,(Input!I$55-60)/30*I427+I428+I429,IF(Input!I$55&lt;121,(Input!I$55-90)/30*I426+I427+I428+I429,IF(Input!I$55&lt;151,(Input!I$55-120)/30*I425+I426+I427+I428+I429,(Input!I$55-150)/30*I424+I425+I426+I427+I428+I429)))))))</f>
        <v>0</v>
      </c>
      <c r="J1064" s="229">
        <f>IF(J$338&gt;$D$33,0,IF(Input!J$55=0,0,IF(Input!J$55&lt;31,Input!J$55/30*J429,IF(Input!J$55&lt;61,(Input!J$55-30)/30*J428+J429,IF(Input!J$55&lt;91,(Input!J$55-60)/30*J427+J428+J429,IF(Input!J$55&lt;121,(Input!J$55-90)/30*J426+J427+J428+J429,IF(Input!J$55&lt;151,(Input!J$55-120)/30*J425+J426+J427+J428+J429,(Input!J$55-150)/30*J424+J425+J426+J427+J428+J429)))))))</f>
        <v>0</v>
      </c>
      <c r="K1064" s="229">
        <f>IF(K$338&gt;$D$33,0,IF(Input!K$55=0,0,IF(Input!K$55&lt;31,Input!K$55/30*K429,IF(Input!K$55&lt;61,(Input!K$55-30)/30*K428+K429,IF(Input!K$55&lt;91,(Input!K$55-60)/30*K427+K428+K429,IF(Input!K$55&lt;121,(Input!K$55-90)/30*K426+K427+K428+K429,IF(Input!K$55&lt;151,(Input!K$55-120)/30*K425+K426+K427+K428+K429,(Input!K$55-150)/30*K424+K425+K426+K427+K428+K429)))))))</f>
        <v>0</v>
      </c>
      <c r="L1064" s="229">
        <f>IF(L$338&gt;$D$33,0,IF(Input!L$55=0,0,IF(Input!L$55&lt;31,Input!L$55/30*L429,IF(Input!L$55&lt;61,(Input!L$55-30)/30*L428+L429,IF(Input!L$55&lt;91,(Input!L$55-60)/30*L427+L428+L429,IF(Input!L$55&lt;121,(Input!L$55-90)/30*L426+L427+L428+L429,IF(Input!L$55&lt;151,(Input!L$55-120)/30*L425+L426+L427+L428+L429,(Input!L$55-150)/30*L424+L425+L426+L427+L428+L429)))))))</f>
        <v>0</v>
      </c>
      <c r="M1064" s="229">
        <f>IF(M$338&gt;$D$33,0,IF(Input!M$55=0,0,IF(Input!M$55&lt;31,Input!M$55/30*M429,IF(Input!M$55&lt;61,(Input!M$55-30)/30*M428+M429,IF(Input!M$55&lt;91,(Input!M$55-60)/30*M427+M428+M429,IF(Input!M$55&lt;121,(Input!M$55-90)/30*M426+M427+M428+M429,IF(Input!M$55&lt;151,(Input!M$55-120)/30*M425+M426+M427+M428+M429,(Input!M$55-150)/30*M424+M425+M426+M427+M428+M429)))))))</f>
        <v>0</v>
      </c>
      <c r="N1064" s="229">
        <f>IF(N$338&gt;$D$33,0,IF(Input!N$55=0,0,IF(Input!N$55&lt;31,Input!N$55/30*N429,IF(Input!N$55&lt;61,(Input!N$55-30)/30*N428+N429,IF(Input!N$55&lt;91,(Input!N$55-60)/30*N427+N428+N429,IF(Input!N$55&lt;121,(Input!N$55-90)/30*N426+N427+N428+N429,IF(Input!N$55&lt;151,(Input!N$55-120)/30*N425+N426+N427+N428+N429,(Input!N$55-150)/30*N424+N425+N426+N427+N428+N429)))))))</f>
        <v>0</v>
      </c>
      <c r="O1064" s="229">
        <f>IF(O$338&gt;$D$33,0,IF(Input!O$55=0,0,IF(Input!O$55&lt;31,Input!O$55/30*O429,IF(Input!O$55&lt;61,(Input!O$55-30)/30*O428+O429,IF(Input!O$55&lt;91,(Input!O$55-60)/30*O427+O428+O429,IF(Input!O$55&lt;121,(Input!O$55-90)/30*O426+O427+O428+O429,IF(Input!O$55&lt;151,(Input!O$55-120)/30*O425+O426+O427+O428+O429,(Input!O$55-150)/30*O424+O425+O426+O427+O428+O429)))))))</f>
        <v>0</v>
      </c>
      <c r="P1064" s="229">
        <f>IF(P$338&gt;$D$33,0,IF(Input!P$55=0,0,IF(Input!P$55&lt;31,Input!P$55/30*P429,IF(Input!P$55&lt;61,(Input!P$55-30)/30*P428+P429,IF(Input!P$55&lt;91,(Input!P$55-60)/30*P427+P428+P429,IF(Input!P$55&lt;121,(Input!P$55-90)/30*P426+P427+P428+P429,IF(Input!P$55&lt;151,(Input!P$55-120)/30*P425+P426+P427+P428+P429,(Input!P$55-150)/30*P424+P425+P426+P427+P428+P429)))))))</f>
        <v>0</v>
      </c>
      <c r="Q1064" s="229">
        <f>IF(Q$338&gt;$D$33,0,IF(Input!Q$55=0,0,IF(Input!Q$55&lt;31,Input!Q$55/30*Q429,IF(Input!Q$55&lt;61,(Input!Q$55-30)/30*Q428+Q429,IF(Input!Q$55&lt;91,(Input!Q$55-60)/30*Q427+Q428+Q429,IF(Input!Q$55&lt;121,(Input!Q$55-90)/30*Q426+Q427+Q428+Q429,IF(Input!Q$55&lt;151,(Input!Q$55-120)/30*Q425+Q426+Q427+Q428+Q429,(Input!Q$55-150)/30*Q424+Q425+Q426+Q427+Q428+Q429)))))))</f>
        <v>0</v>
      </c>
      <c r="R1064" s="229">
        <f>IF(R$338&gt;$D$33,0,IF(Input!R$55=0,0,IF(Input!R$55&lt;31,Input!R$55/30*R429,IF(Input!R$55&lt;61,(Input!R$55-30)/30*R428+R429,IF(Input!R$55&lt;91,(Input!R$55-60)/30*R427+R428+R429,IF(Input!R$55&lt;121,(Input!R$55-90)/30*R426+R427+R428+R429,IF(Input!R$55&lt;151,(Input!R$55-120)/30*R425+R426+R427+R428+R429,(Input!R$55-150)/30*R424+R425+R426+R427+R428+R429)))))))</f>
        <v>0</v>
      </c>
      <c r="S1064" s="229">
        <f>IF(S$338&gt;$D$33,0,IF(Input!S$55=0,0,IF(Input!S$55&lt;31,Input!S$55/30*S429,IF(Input!S$55&lt;61,(Input!S$55-30)/30*S428+S429,IF(Input!S$55&lt;91,(Input!S$55-60)/30*S427+S428+S429,IF(Input!S$55&lt;121,(Input!S$55-90)/30*S426+S427+S428+S429,IF(Input!S$55&lt;151,(Input!S$55-120)/30*S425+S426+S427+S428+S429,(Input!S$55-150)/30*S424+S425+S426+S427+S428+S429)))))))</f>
        <v>0</v>
      </c>
      <c r="T1064" s="229">
        <f>IF(T$338&gt;$D$33,0,IF(Input!T$55=0,0,IF(Input!T$55&lt;31,Input!T$55/30*T429,IF(Input!T$55&lt;61,(Input!T$55-30)/30*T428+T429,IF(Input!T$55&lt;91,(Input!T$55-60)/30*T427+T428+T429,IF(Input!T$55&lt;121,(Input!T$55-90)/30*T426+T427+T428+T429,IF(Input!T$55&lt;151,(Input!T$55-120)/30*T425+T426+T427+T428+T429,(Input!T$55-150)/30*T424+T425+T426+T427+T428+T429)))))))</f>
        <v>0</v>
      </c>
      <c r="U1064" s="229">
        <f>IF(U$338&gt;$D$33,0,IF(Input!U$55=0,0,IF(Input!U$55&lt;31,Input!U$55/30*U429,IF(Input!U$55&lt;61,(Input!U$55-30)/30*U428+U429,IF(Input!U$55&lt;91,(Input!U$55-60)/30*U427+U428+U429,IF(Input!U$55&lt;121,(Input!U$55-90)/30*U426+U427+U428+U429,IF(Input!U$55&lt;151,(Input!U$55-120)/30*U425+U426+U427+U428+U429,(Input!U$55-150)/30*U424+U425+U426+U427+U428+U429)))))))</f>
        <v>0</v>
      </c>
      <c r="V1064" s="229">
        <f>IF(V$338&gt;$D$33,0,IF(Input!V$55=0,0,IF(Input!V$55&lt;31,Input!V$55/30*V429,IF(Input!V$55&lt;61,(Input!V$55-30)/30*V428+V429,IF(Input!V$55&lt;91,(Input!V$55-60)/30*V427+V428+V429,IF(Input!V$55&lt;121,(Input!V$55-90)/30*V426+V427+V428+V429,IF(Input!V$55&lt;151,(Input!V$55-120)/30*V425+V426+V427+V428+V429,(Input!V$55-150)/30*V424+V425+V426+V427+V428+V429)))))))</f>
        <v>0</v>
      </c>
      <c r="W1064" s="229">
        <f>IF(W$338&gt;$D$33,0,IF(Input!W$55=0,0,IF(Input!W$55&lt;31,Input!W$55/30*W429,IF(Input!W$55&lt;61,(Input!W$55-30)/30*W428+W429,IF(Input!W$55&lt;91,(Input!W$55-60)/30*W427+W428+W429,IF(Input!W$55&lt;121,(Input!W$55-90)/30*W426+W427+W428+W429,IF(Input!W$55&lt;151,(Input!W$55-120)/30*W425+W426+W427+W428+W429,(Input!W$55-150)/30*W424+W425+W426+W427+W428+W429)))))))</f>
        <v>0</v>
      </c>
      <c r="X1064" s="229">
        <f>IF(X$338&gt;$D$33,0,IF(Input!X$55=0,0,IF(Input!X$55&lt;31,Input!X$55/30*X429,IF(Input!X$55&lt;61,(Input!X$55-30)/30*X428+X429,IF(Input!X$55&lt;91,(Input!X$55-60)/30*X427+X428+X429,IF(Input!X$55&lt;121,(Input!X$55-90)/30*X426+X427+X428+X429,IF(Input!X$55&lt;151,(Input!X$55-120)/30*X425+X426+X427+X428+X429,(Input!X$55-150)/30*X424+X425+X426+X427+X428+X429)))))))</f>
        <v>0</v>
      </c>
      <c r="Y1064" s="229">
        <f>IF(Y$338&gt;$D$33,0,IF(Input!Y$55=0,0,IF(Input!Y$55&lt;31,Input!Y$55/30*Y429,IF(Input!Y$55&lt;61,(Input!Y$55-30)/30*Y428+Y429,IF(Input!Y$55&lt;91,(Input!Y$55-60)/30*Y427+Y428+Y429,IF(Input!Y$55&lt;121,(Input!Y$55-90)/30*Y426+Y427+Y428+Y429,IF(Input!Y$55&lt;151,(Input!Y$55-120)/30*Y425+Y426+Y427+Y428+Y429,(Input!Y$55-150)/30*Y424+Y425+Y426+Y427+Y428+Y429)))))))</f>
        <v>0</v>
      </c>
      <c r="Z1064" s="229">
        <f>IF(Z$338&gt;$D$33,0,IF(Input!Z$55=0,0,IF(Input!Z$55&lt;31,Input!Z$55/30*Z429,IF(Input!Z$55&lt;61,(Input!Z$55-30)/30*Z428+Z429,IF(Input!Z$55&lt;91,(Input!Z$55-60)/30*Z427+Z428+Z429,IF(Input!Z$55&lt;121,(Input!Z$55-90)/30*Z426+Z427+Z428+Z429,IF(Input!Z$55&lt;151,(Input!Z$55-120)/30*Z425+Z426+Z427+Z428+Z429,(Input!Z$55-150)/30*Z424+Z425+Z426+Z427+Z428+Z429)))))))</f>
        <v>0</v>
      </c>
      <c r="AA1064" s="229">
        <f>IF(AA$338&gt;$D$33,0,IF(Input!AA$55=0,0,IF(Input!AA$55&lt;31,Input!AA$55/30*AA429,IF(Input!AA$55&lt;61,(Input!AA$55-30)/30*AA428+AA429,IF(Input!AA$55&lt;91,(Input!AA$55-60)/30*AA427+AA428+AA429,IF(Input!AA$55&lt;121,(Input!AA$55-90)/30*AA426+AA427+AA428+AA429,IF(Input!AA$55&lt;151,(Input!AA$55-120)/30*AA425+AA426+AA427+AA428+AA429,(Input!AA$55-150)/30*AA424+AA425+AA426+AA427+AA428+AA429)))))))</f>
        <v>0</v>
      </c>
      <c r="AB1064" s="229">
        <f>IF(AB$338&gt;$D$33,0,IF(Input!AB$55=0,0,IF(Input!AB$55&lt;31,Input!AB$55/30*AB429,IF(Input!AB$55&lt;61,(Input!AB$55-30)/30*AB428+AB429,IF(Input!AB$55&lt;91,(Input!AB$55-60)/30*AB427+AB428+AB429,IF(Input!AB$55&lt;121,(Input!AB$55-90)/30*AB426+AB427+AB428+AB429,IF(Input!AB$55&lt;151,(Input!AB$55-120)/30*AB425+AB426+AB427+AB428+AB429,(Input!AB$55-150)/30*AB424+AB425+AB426+AB427+AB428+AB429)))))))</f>
        <v>0</v>
      </c>
      <c r="CH1064" s="269"/>
      <c r="CI1064" s="269"/>
      <c r="CJ1064" s="269"/>
      <c r="CK1064" s="269"/>
      <c r="CL1064" s="269"/>
      <c r="CM1064" s="269"/>
      <c r="CN1064" s="269"/>
      <c r="CO1064" s="269"/>
      <c r="CP1064" s="269"/>
      <c r="CQ1064" s="269"/>
      <c r="CR1064" s="269"/>
      <c r="CS1064" s="269"/>
    </row>
    <row r="1065" spans="3:97" x14ac:dyDescent="0.3">
      <c r="C1065" s="495">
        <f>C1002</f>
        <v>639</v>
      </c>
      <c r="D1065" s="229">
        <f>IF(D$338&gt;$D$33,0,IF(Input!D$55=0,0,IF(Input!D$55&lt;31,Input!D$55/30*D430,IF(Input!D$55&lt;61,(Input!D$55-30)/30*D429+D430,IF(Input!D$55&lt;91,(Input!D$55-60)/30*D428+D429+D430,IF(Input!D$55&lt;121,(Input!D$55-90)/30*D427+D428+D429+D430,IF(Input!D$55&lt;151,(Input!D$55-120)/30*D426+D427+D428+D429+D430,(Input!D$55-150)/30*D425+D426+D427+D428+D429+D430)))))))</f>
        <v>0</v>
      </c>
      <c r="E1065" s="229">
        <f>IF(E$338&gt;$D$33,0,IF(Input!E$55=0,0,IF(Input!E$55&lt;31,Input!E$55/30*E430,IF(Input!E$55&lt;61,(Input!E$55-30)/30*E429+E430,IF(Input!E$55&lt;91,(Input!E$55-60)/30*E428+E429+E430,IF(Input!E$55&lt;121,(Input!E$55-90)/30*E427+E428+E429+E430,IF(Input!E$55&lt;151,(Input!E$55-120)/30*E426+E427+E428+E429+E430,(Input!E$55-150)/30*E425+E426+E427+E428+E429+E430)))))))</f>
        <v>0</v>
      </c>
      <c r="F1065" s="229">
        <f>IF(F$338&gt;$D$33,0,IF(Input!F$55=0,0,IF(Input!F$55&lt;31,Input!F$55/30*F430,IF(Input!F$55&lt;61,(Input!F$55-30)/30*F429+F430,IF(Input!F$55&lt;91,(Input!F$55-60)/30*F428+F429+F430,IF(Input!F$55&lt;121,(Input!F$55-90)/30*F427+F428+F429+F430,IF(Input!F$55&lt;151,(Input!F$55-120)/30*F426+F427+F428+F429+F430,(Input!F$55-150)/30*F425+F426+F427+F428+F429+F430)))))))</f>
        <v>0</v>
      </c>
      <c r="G1065" s="229">
        <f>IF(G$338&gt;$D$33,0,IF(Input!G$55=0,0,IF(Input!G$55&lt;31,Input!G$55/30*G430,IF(Input!G$55&lt;61,(Input!G$55-30)/30*G429+G430,IF(Input!G$55&lt;91,(Input!G$55-60)/30*G428+G429+G430,IF(Input!G$55&lt;121,(Input!G$55-90)/30*G427+G428+G429+G430,IF(Input!G$55&lt;151,(Input!G$55-120)/30*G426+G427+G428+G429+G430,(Input!G$55-150)/30*G425+G426+G427+G428+G429+G430)))))))</f>
        <v>0</v>
      </c>
      <c r="H1065" s="229">
        <f>IF(H$338&gt;$D$33,0,IF(Input!H$55=0,0,IF(Input!H$55&lt;31,Input!H$55/30*H430,IF(Input!H$55&lt;61,(Input!H$55-30)/30*H429+H430,IF(Input!H$55&lt;91,(Input!H$55-60)/30*H428+H429+H430,IF(Input!H$55&lt;121,(Input!H$55-90)/30*H427+H428+H429+H430,IF(Input!H$55&lt;151,(Input!H$55-120)/30*H426+H427+H428+H429+H430,(Input!H$55-150)/30*H425+H426+H427+H428+H429+H430)))))))</f>
        <v>0</v>
      </c>
      <c r="I1065" s="229">
        <f>IF(I$338&gt;$D$33,0,IF(Input!I$55=0,0,IF(Input!I$55&lt;31,Input!I$55/30*I430,IF(Input!I$55&lt;61,(Input!I$55-30)/30*I429+I430,IF(Input!I$55&lt;91,(Input!I$55-60)/30*I428+I429+I430,IF(Input!I$55&lt;121,(Input!I$55-90)/30*I427+I428+I429+I430,IF(Input!I$55&lt;151,(Input!I$55-120)/30*I426+I427+I428+I429+I430,(Input!I$55-150)/30*I425+I426+I427+I428+I429+I430)))))))</f>
        <v>0</v>
      </c>
      <c r="J1065" s="229">
        <f>IF(J$338&gt;$D$33,0,IF(Input!J$55=0,0,IF(Input!J$55&lt;31,Input!J$55/30*J430,IF(Input!J$55&lt;61,(Input!J$55-30)/30*J429+J430,IF(Input!J$55&lt;91,(Input!J$55-60)/30*J428+J429+J430,IF(Input!J$55&lt;121,(Input!J$55-90)/30*J427+J428+J429+J430,IF(Input!J$55&lt;151,(Input!J$55-120)/30*J426+J427+J428+J429+J430,(Input!J$55-150)/30*J425+J426+J427+J428+J429+J430)))))))</f>
        <v>0</v>
      </c>
      <c r="K1065" s="229">
        <f>IF(K$338&gt;$D$33,0,IF(Input!K$55=0,0,IF(Input!K$55&lt;31,Input!K$55/30*K430,IF(Input!K$55&lt;61,(Input!K$55-30)/30*K429+K430,IF(Input!K$55&lt;91,(Input!K$55-60)/30*K428+K429+K430,IF(Input!K$55&lt;121,(Input!K$55-90)/30*K427+K428+K429+K430,IF(Input!K$55&lt;151,(Input!K$55-120)/30*K426+K427+K428+K429+K430,(Input!K$55-150)/30*K425+K426+K427+K428+K429+K430)))))))</f>
        <v>0</v>
      </c>
      <c r="L1065" s="229">
        <f>IF(L$338&gt;$D$33,0,IF(Input!L$55=0,0,IF(Input!L$55&lt;31,Input!L$55/30*L430,IF(Input!L$55&lt;61,(Input!L$55-30)/30*L429+L430,IF(Input!L$55&lt;91,(Input!L$55-60)/30*L428+L429+L430,IF(Input!L$55&lt;121,(Input!L$55-90)/30*L427+L428+L429+L430,IF(Input!L$55&lt;151,(Input!L$55-120)/30*L426+L427+L428+L429+L430,(Input!L$55-150)/30*L425+L426+L427+L428+L429+L430)))))))</f>
        <v>0</v>
      </c>
      <c r="M1065" s="229">
        <f>IF(M$338&gt;$D$33,0,IF(Input!M$55=0,0,IF(Input!M$55&lt;31,Input!M$55/30*M430,IF(Input!M$55&lt;61,(Input!M$55-30)/30*M429+M430,IF(Input!M$55&lt;91,(Input!M$55-60)/30*M428+M429+M430,IF(Input!M$55&lt;121,(Input!M$55-90)/30*M427+M428+M429+M430,IF(Input!M$55&lt;151,(Input!M$55-120)/30*M426+M427+M428+M429+M430,(Input!M$55-150)/30*M425+M426+M427+M428+M429+M430)))))))</f>
        <v>0</v>
      </c>
      <c r="N1065" s="229">
        <f>IF(N$338&gt;$D$33,0,IF(Input!N$55=0,0,IF(Input!N$55&lt;31,Input!N$55/30*N430,IF(Input!N$55&lt;61,(Input!N$55-30)/30*N429+N430,IF(Input!N$55&lt;91,(Input!N$55-60)/30*N428+N429+N430,IF(Input!N$55&lt;121,(Input!N$55-90)/30*N427+N428+N429+N430,IF(Input!N$55&lt;151,(Input!N$55-120)/30*N426+N427+N428+N429+N430,(Input!N$55-150)/30*N425+N426+N427+N428+N429+N430)))))))</f>
        <v>0</v>
      </c>
      <c r="O1065" s="229">
        <f>IF(O$338&gt;$D$33,0,IF(Input!O$55=0,0,IF(Input!O$55&lt;31,Input!O$55/30*O430,IF(Input!O$55&lt;61,(Input!O$55-30)/30*O429+O430,IF(Input!O$55&lt;91,(Input!O$55-60)/30*O428+O429+O430,IF(Input!O$55&lt;121,(Input!O$55-90)/30*O427+O428+O429+O430,IF(Input!O$55&lt;151,(Input!O$55-120)/30*O426+O427+O428+O429+O430,(Input!O$55-150)/30*O425+O426+O427+O428+O429+O430)))))))</f>
        <v>0</v>
      </c>
      <c r="P1065" s="229">
        <f>IF(P$338&gt;$D$33,0,IF(Input!P$55=0,0,IF(Input!P$55&lt;31,Input!P$55/30*P430,IF(Input!P$55&lt;61,(Input!P$55-30)/30*P429+P430,IF(Input!P$55&lt;91,(Input!P$55-60)/30*P428+P429+P430,IF(Input!P$55&lt;121,(Input!P$55-90)/30*P427+P428+P429+P430,IF(Input!P$55&lt;151,(Input!P$55-120)/30*P426+P427+P428+P429+P430,(Input!P$55-150)/30*P425+P426+P427+P428+P429+P430)))))))</f>
        <v>0</v>
      </c>
      <c r="Q1065" s="229">
        <f>IF(Q$338&gt;$D$33,0,IF(Input!Q$55=0,0,IF(Input!Q$55&lt;31,Input!Q$55/30*Q430,IF(Input!Q$55&lt;61,(Input!Q$55-30)/30*Q429+Q430,IF(Input!Q$55&lt;91,(Input!Q$55-60)/30*Q428+Q429+Q430,IF(Input!Q$55&lt;121,(Input!Q$55-90)/30*Q427+Q428+Q429+Q430,IF(Input!Q$55&lt;151,(Input!Q$55-120)/30*Q426+Q427+Q428+Q429+Q430,(Input!Q$55-150)/30*Q425+Q426+Q427+Q428+Q429+Q430)))))))</f>
        <v>0</v>
      </c>
      <c r="R1065" s="229">
        <f>IF(R$338&gt;$D$33,0,IF(Input!R$55=0,0,IF(Input!R$55&lt;31,Input!R$55/30*R430,IF(Input!R$55&lt;61,(Input!R$55-30)/30*R429+R430,IF(Input!R$55&lt;91,(Input!R$55-60)/30*R428+R429+R430,IF(Input!R$55&lt;121,(Input!R$55-90)/30*R427+R428+R429+R430,IF(Input!R$55&lt;151,(Input!R$55-120)/30*R426+R427+R428+R429+R430,(Input!R$55-150)/30*R425+R426+R427+R428+R429+R430)))))))</f>
        <v>0</v>
      </c>
      <c r="S1065" s="229">
        <f>IF(S$338&gt;$D$33,0,IF(Input!S$55=0,0,IF(Input!S$55&lt;31,Input!S$55/30*S430,IF(Input!S$55&lt;61,(Input!S$55-30)/30*S429+S430,IF(Input!S$55&lt;91,(Input!S$55-60)/30*S428+S429+S430,IF(Input!S$55&lt;121,(Input!S$55-90)/30*S427+S428+S429+S430,IF(Input!S$55&lt;151,(Input!S$55-120)/30*S426+S427+S428+S429+S430,(Input!S$55-150)/30*S425+S426+S427+S428+S429+S430)))))))</f>
        <v>0</v>
      </c>
      <c r="T1065" s="229">
        <f>IF(T$338&gt;$D$33,0,IF(Input!T$55=0,0,IF(Input!T$55&lt;31,Input!T$55/30*T430,IF(Input!T$55&lt;61,(Input!T$55-30)/30*T429+T430,IF(Input!T$55&lt;91,(Input!T$55-60)/30*T428+T429+T430,IF(Input!T$55&lt;121,(Input!T$55-90)/30*T427+T428+T429+T430,IF(Input!T$55&lt;151,(Input!T$55-120)/30*T426+T427+T428+T429+T430,(Input!T$55-150)/30*T425+T426+T427+T428+T429+T430)))))))</f>
        <v>0</v>
      </c>
      <c r="U1065" s="229">
        <f>IF(U$338&gt;$D$33,0,IF(Input!U$55=0,0,IF(Input!U$55&lt;31,Input!U$55/30*U430,IF(Input!U$55&lt;61,(Input!U$55-30)/30*U429+U430,IF(Input!U$55&lt;91,(Input!U$55-60)/30*U428+U429+U430,IF(Input!U$55&lt;121,(Input!U$55-90)/30*U427+U428+U429+U430,IF(Input!U$55&lt;151,(Input!U$55-120)/30*U426+U427+U428+U429+U430,(Input!U$55-150)/30*U425+U426+U427+U428+U429+U430)))))))</f>
        <v>0</v>
      </c>
      <c r="V1065" s="229">
        <f>IF(V$338&gt;$D$33,0,IF(Input!V$55=0,0,IF(Input!V$55&lt;31,Input!V$55/30*V430,IF(Input!V$55&lt;61,(Input!V$55-30)/30*V429+V430,IF(Input!V$55&lt;91,(Input!V$55-60)/30*V428+V429+V430,IF(Input!V$55&lt;121,(Input!V$55-90)/30*V427+V428+V429+V430,IF(Input!V$55&lt;151,(Input!V$55-120)/30*V426+V427+V428+V429+V430,(Input!V$55-150)/30*V425+V426+V427+V428+V429+V430)))))))</f>
        <v>0</v>
      </c>
      <c r="W1065" s="229">
        <f>IF(W$338&gt;$D$33,0,IF(Input!W$55=0,0,IF(Input!W$55&lt;31,Input!W$55/30*W430,IF(Input!W$55&lt;61,(Input!W$55-30)/30*W429+W430,IF(Input!W$55&lt;91,(Input!W$55-60)/30*W428+W429+W430,IF(Input!W$55&lt;121,(Input!W$55-90)/30*W427+W428+W429+W430,IF(Input!W$55&lt;151,(Input!W$55-120)/30*W426+W427+W428+W429+W430,(Input!W$55-150)/30*W425+W426+W427+W428+W429+W430)))))))</f>
        <v>0</v>
      </c>
      <c r="X1065" s="229">
        <f>IF(X$338&gt;$D$33,0,IF(Input!X$55=0,0,IF(Input!X$55&lt;31,Input!X$55/30*X430,IF(Input!X$55&lt;61,(Input!X$55-30)/30*X429+X430,IF(Input!X$55&lt;91,(Input!X$55-60)/30*X428+X429+X430,IF(Input!X$55&lt;121,(Input!X$55-90)/30*X427+X428+X429+X430,IF(Input!X$55&lt;151,(Input!X$55-120)/30*X426+X427+X428+X429+X430,(Input!X$55-150)/30*X425+X426+X427+X428+X429+X430)))))))</f>
        <v>0</v>
      </c>
      <c r="Y1065" s="229">
        <f>IF(Y$338&gt;$D$33,0,IF(Input!Y$55=0,0,IF(Input!Y$55&lt;31,Input!Y$55/30*Y430,IF(Input!Y$55&lt;61,(Input!Y$55-30)/30*Y429+Y430,IF(Input!Y$55&lt;91,(Input!Y$55-60)/30*Y428+Y429+Y430,IF(Input!Y$55&lt;121,(Input!Y$55-90)/30*Y427+Y428+Y429+Y430,IF(Input!Y$55&lt;151,(Input!Y$55-120)/30*Y426+Y427+Y428+Y429+Y430,(Input!Y$55-150)/30*Y425+Y426+Y427+Y428+Y429+Y430)))))))</f>
        <v>0</v>
      </c>
      <c r="Z1065" s="229">
        <f>IF(Z$338&gt;$D$33,0,IF(Input!Z$55=0,0,IF(Input!Z$55&lt;31,Input!Z$55/30*Z430,IF(Input!Z$55&lt;61,(Input!Z$55-30)/30*Z429+Z430,IF(Input!Z$55&lt;91,(Input!Z$55-60)/30*Z428+Z429+Z430,IF(Input!Z$55&lt;121,(Input!Z$55-90)/30*Z427+Z428+Z429+Z430,IF(Input!Z$55&lt;151,(Input!Z$55-120)/30*Z426+Z427+Z428+Z429+Z430,(Input!Z$55-150)/30*Z425+Z426+Z427+Z428+Z429+Z430)))))))</f>
        <v>0</v>
      </c>
      <c r="AA1065" s="229">
        <f>IF(AA$338&gt;$D$33,0,IF(Input!AA$55=0,0,IF(Input!AA$55&lt;31,Input!AA$55/30*AA430,IF(Input!AA$55&lt;61,(Input!AA$55-30)/30*AA429+AA430,IF(Input!AA$55&lt;91,(Input!AA$55-60)/30*AA428+AA429+AA430,IF(Input!AA$55&lt;121,(Input!AA$55-90)/30*AA427+AA428+AA429+AA430,IF(Input!AA$55&lt;151,(Input!AA$55-120)/30*AA426+AA427+AA428+AA429+AA430,(Input!AA$55-150)/30*AA425+AA426+AA427+AA428+AA429+AA430)))))))</f>
        <v>0</v>
      </c>
      <c r="AB1065" s="229">
        <f>IF(AB$338&gt;$D$33,0,IF(Input!AB$55=0,0,IF(Input!AB$55&lt;31,Input!AB$55/30*AB430,IF(Input!AB$55&lt;61,(Input!AB$55-30)/30*AB429+AB430,IF(Input!AB$55&lt;91,(Input!AB$55-60)/30*AB428+AB429+AB430,IF(Input!AB$55&lt;121,(Input!AB$55-90)/30*AB427+AB428+AB429+AB430,IF(Input!AB$55&lt;151,(Input!AB$55-120)/30*AB426+AB427+AB428+AB429+AB430,(Input!AB$55-150)/30*AB425+AB426+AB427+AB428+AB429+AB430)))))))</f>
        <v>0</v>
      </c>
      <c r="CH1065" s="269"/>
      <c r="CI1065" s="269"/>
      <c r="CJ1065" s="269"/>
      <c r="CK1065" s="269"/>
      <c r="CL1065" s="269"/>
      <c r="CM1065" s="269"/>
      <c r="CN1065" s="269"/>
      <c r="CO1065" s="269"/>
      <c r="CP1065" s="269"/>
      <c r="CQ1065" s="269"/>
      <c r="CR1065" s="269"/>
      <c r="CS1065" s="269"/>
    </row>
    <row r="1066" spans="3:97" x14ac:dyDescent="0.3">
      <c r="C1066" s="495">
        <f>C1003</f>
        <v>670</v>
      </c>
      <c r="D1066" s="229">
        <f>IF(D$338&gt;$D$33,0,IF(Input!D$55=0,0,IF(Input!D$55&lt;31,Input!D$55/30*D431,IF(Input!D$55&lt;61,(Input!D$55-30)/30*D430+D431,IF(Input!D$55&lt;91,(Input!D$55-60)/30*D429+D430+D431,IF(Input!D$55&lt;121,(Input!D$55-90)/30*D428+D429+D430+D431,IF(Input!D$55&lt;151,(Input!D$55-120)/30*D427+D428+D429+D430+D431,(Input!D$55-150)/30*D426+D427+D428+D429+D430+D431)))))))</f>
        <v>0</v>
      </c>
      <c r="E1066" s="229">
        <f>IF(E$338&gt;$D$33,0,IF(Input!E$55=0,0,IF(Input!E$55&lt;31,Input!E$55/30*E431,IF(Input!E$55&lt;61,(Input!E$55-30)/30*E430+E431,IF(Input!E$55&lt;91,(Input!E$55-60)/30*E429+E430+E431,IF(Input!E$55&lt;121,(Input!E$55-90)/30*E428+E429+E430+E431,IF(Input!E$55&lt;151,(Input!E$55-120)/30*E427+E428+E429+E430+E431,(Input!E$55-150)/30*E426+E427+E428+E429+E430+E431)))))))</f>
        <v>0</v>
      </c>
      <c r="F1066" s="229">
        <f>IF(F$338&gt;$D$33,0,IF(Input!F$55=0,0,IF(Input!F$55&lt;31,Input!F$55/30*F431,IF(Input!F$55&lt;61,(Input!F$55-30)/30*F430+F431,IF(Input!F$55&lt;91,(Input!F$55-60)/30*F429+F430+F431,IF(Input!F$55&lt;121,(Input!F$55-90)/30*F428+F429+F430+F431,IF(Input!F$55&lt;151,(Input!F$55-120)/30*F427+F428+F429+F430+F431,(Input!F$55-150)/30*F426+F427+F428+F429+F430+F431)))))))</f>
        <v>0</v>
      </c>
      <c r="G1066" s="229">
        <f>IF(G$338&gt;$D$33,0,IF(Input!G$55=0,0,IF(Input!G$55&lt;31,Input!G$55/30*G431,IF(Input!G$55&lt;61,(Input!G$55-30)/30*G430+G431,IF(Input!G$55&lt;91,(Input!G$55-60)/30*G429+G430+G431,IF(Input!G$55&lt;121,(Input!G$55-90)/30*G428+G429+G430+G431,IF(Input!G$55&lt;151,(Input!G$55-120)/30*G427+G428+G429+G430+G431,(Input!G$55-150)/30*G426+G427+G428+G429+G430+G431)))))))</f>
        <v>0</v>
      </c>
      <c r="H1066" s="229">
        <f>IF(H$338&gt;$D$33,0,IF(Input!H$55=0,0,IF(Input!H$55&lt;31,Input!H$55/30*H431,IF(Input!H$55&lt;61,(Input!H$55-30)/30*H430+H431,IF(Input!H$55&lt;91,(Input!H$55-60)/30*H429+H430+H431,IF(Input!H$55&lt;121,(Input!H$55-90)/30*H428+H429+H430+H431,IF(Input!H$55&lt;151,(Input!H$55-120)/30*H427+H428+H429+H430+H431,(Input!H$55-150)/30*H426+H427+H428+H429+H430+H431)))))))</f>
        <v>0</v>
      </c>
      <c r="I1066" s="229">
        <f>IF(I$338&gt;$D$33,0,IF(Input!I$55=0,0,IF(Input!I$55&lt;31,Input!I$55/30*I431,IF(Input!I$55&lt;61,(Input!I$55-30)/30*I430+I431,IF(Input!I$55&lt;91,(Input!I$55-60)/30*I429+I430+I431,IF(Input!I$55&lt;121,(Input!I$55-90)/30*I428+I429+I430+I431,IF(Input!I$55&lt;151,(Input!I$55-120)/30*I427+I428+I429+I430+I431,(Input!I$55-150)/30*I426+I427+I428+I429+I430+I431)))))))</f>
        <v>0</v>
      </c>
      <c r="J1066" s="229">
        <f>IF(J$338&gt;$D$33,0,IF(Input!J$55=0,0,IF(Input!J$55&lt;31,Input!J$55/30*J431,IF(Input!J$55&lt;61,(Input!J$55-30)/30*J430+J431,IF(Input!J$55&lt;91,(Input!J$55-60)/30*J429+J430+J431,IF(Input!J$55&lt;121,(Input!J$55-90)/30*J428+J429+J430+J431,IF(Input!J$55&lt;151,(Input!J$55-120)/30*J427+J428+J429+J430+J431,(Input!J$55-150)/30*J426+J427+J428+J429+J430+J431)))))))</f>
        <v>0</v>
      </c>
      <c r="K1066" s="229">
        <f>IF(K$338&gt;$D$33,0,IF(Input!K$55=0,0,IF(Input!K$55&lt;31,Input!K$55/30*K431,IF(Input!K$55&lt;61,(Input!K$55-30)/30*K430+K431,IF(Input!K$55&lt;91,(Input!K$55-60)/30*K429+K430+K431,IF(Input!K$55&lt;121,(Input!K$55-90)/30*K428+K429+K430+K431,IF(Input!K$55&lt;151,(Input!K$55-120)/30*K427+K428+K429+K430+K431,(Input!K$55-150)/30*K426+K427+K428+K429+K430+K431)))))))</f>
        <v>0</v>
      </c>
      <c r="L1066" s="229">
        <f>IF(L$338&gt;$D$33,0,IF(Input!L$55=0,0,IF(Input!L$55&lt;31,Input!L$55/30*L431,IF(Input!L$55&lt;61,(Input!L$55-30)/30*L430+L431,IF(Input!L$55&lt;91,(Input!L$55-60)/30*L429+L430+L431,IF(Input!L$55&lt;121,(Input!L$55-90)/30*L428+L429+L430+L431,IF(Input!L$55&lt;151,(Input!L$55-120)/30*L427+L428+L429+L430+L431,(Input!L$55-150)/30*L426+L427+L428+L429+L430+L431)))))))</f>
        <v>0</v>
      </c>
      <c r="M1066" s="229">
        <f>IF(M$338&gt;$D$33,0,IF(Input!M$55=0,0,IF(Input!M$55&lt;31,Input!M$55/30*M431,IF(Input!M$55&lt;61,(Input!M$55-30)/30*M430+M431,IF(Input!M$55&lt;91,(Input!M$55-60)/30*M429+M430+M431,IF(Input!M$55&lt;121,(Input!M$55-90)/30*M428+M429+M430+M431,IF(Input!M$55&lt;151,(Input!M$55-120)/30*M427+M428+M429+M430+M431,(Input!M$55-150)/30*M426+M427+M428+M429+M430+M431)))))))</f>
        <v>0</v>
      </c>
      <c r="N1066" s="229">
        <f>IF(N$338&gt;$D$33,0,IF(Input!N$55=0,0,IF(Input!N$55&lt;31,Input!N$55/30*N431,IF(Input!N$55&lt;61,(Input!N$55-30)/30*N430+N431,IF(Input!N$55&lt;91,(Input!N$55-60)/30*N429+N430+N431,IF(Input!N$55&lt;121,(Input!N$55-90)/30*N428+N429+N430+N431,IF(Input!N$55&lt;151,(Input!N$55-120)/30*N427+N428+N429+N430+N431,(Input!N$55-150)/30*N426+N427+N428+N429+N430+N431)))))))</f>
        <v>0</v>
      </c>
      <c r="O1066" s="229">
        <f>IF(O$338&gt;$D$33,0,IF(Input!O$55=0,0,IF(Input!O$55&lt;31,Input!O$55/30*O431,IF(Input!O$55&lt;61,(Input!O$55-30)/30*O430+O431,IF(Input!O$55&lt;91,(Input!O$55-60)/30*O429+O430+O431,IF(Input!O$55&lt;121,(Input!O$55-90)/30*O428+O429+O430+O431,IF(Input!O$55&lt;151,(Input!O$55-120)/30*O427+O428+O429+O430+O431,(Input!O$55-150)/30*O426+O427+O428+O429+O430+O431)))))))</f>
        <v>0</v>
      </c>
      <c r="P1066" s="229">
        <f>IF(P$338&gt;$D$33,0,IF(Input!P$55=0,0,IF(Input!P$55&lt;31,Input!P$55/30*P431,IF(Input!P$55&lt;61,(Input!P$55-30)/30*P430+P431,IF(Input!P$55&lt;91,(Input!P$55-60)/30*P429+P430+P431,IF(Input!P$55&lt;121,(Input!P$55-90)/30*P428+P429+P430+P431,IF(Input!P$55&lt;151,(Input!P$55-120)/30*P427+P428+P429+P430+P431,(Input!P$55-150)/30*P426+P427+P428+P429+P430+P431)))))))</f>
        <v>0</v>
      </c>
      <c r="Q1066" s="229">
        <f>IF(Q$338&gt;$D$33,0,IF(Input!Q$55=0,0,IF(Input!Q$55&lt;31,Input!Q$55/30*Q431,IF(Input!Q$55&lt;61,(Input!Q$55-30)/30*Q430+Q431,IF(Input!Q$55&lt;91,(Input!Q$55-60)/30*Q429+Q430+Q431,IF(Input!Q$55&lt;121,(Input!Q$55-90)/30*Q428+Q429+Q430+Q431,IF(Input!Q$55&lt;151,(Input!Q$55-120)/30*Q427+Q428+Q429+Q430+Q431,(Input!Q$55-150)/30*Q426+Q427+Q428+Q429+Q430+Q431)))))))</f>
        <v>0</v>
      </c>
      <c r="R1066" s="229">
        <f>IF(R$338&gt;$D$33,0,IF(Input!R$55=0,0,IF(Input!R$55&lt;31,Input!R$55/30*R431,IF(Input!R$55&lt;61,(Input!R$55-30)/30*R430+R431,IF(Input!R$55&lt;91,(Input!R$55-60)/30*R429+R430+R431,IF(Input!R$55&lt;121,(Input!R$55-90)/30*R428+R429+R430+R431,IF(Input!R$55&lt;151,(Input!R$55-120)/30*R427+R428+R429+R430+R431,(Input!R$55-150)/30*R426+R427+R428+R429+R430+R431)))))))</f>
        <v>0</v>
      </c>
      <c r="S1066" s="229">
        <f>IF(S$338&gt;$D$33,0,IF(Input!S$55=0,0,IF(Input!S$55&lt;31,Input!S$55/30*S431,IF(Input!S$55&lt;61,(Input!S$55-30)/30*S430+S431,IF(Input!S$55&lt;91,(Input!S$55-60)/30*S429+S430+S431,IF(Input!S$55&lt;121,(Input!S$55-90)/30*S428+S429+S430+S431,IF(Input!S$55&lt;151,(Input!S$55-120)/30*S427+S428+S429+S430+S431,(Input!S$55-150)/30*S426+S427+S428+S429+S430+S431)))))))</f>
        <v>0</v>
      </c>
      <c r="T1066" s="229">
        <f>IF(T$338&gt;$D$33,0,IF(Input!T$55=0,0,IF(Input!T$55&lt;31,Input!T$55/30*T431,IF(Input!T$55&lt;61,(Input!T$55-30)/30*T430+T431,IF(Input!T$55&lt;91,(Input!T$55-60)/30*T429+T430+T431,IF(Input!T$55&lt;121,(Input!T$55-90)/30*T428+T429+T430+T431,IF(Input!T$55&lt;151,(Input!T$55-120)/30*T427+T428+T429+T430+T431,(Input!T$55-150)/30*T426+T427+T428+T429+T430+T431)))))))</f>
        <v>0</v>
      </c>
      <c r="U1066" s="229">
        <f>IF(U$338&gt;$D$33,0,IF(Input!U$55=0,0,IF(Input!U$55&lt;31,Input!U$55/30*U431,IF(Input!U$55&lt;61,(Input!U$55-30)/30*U430+U431,IF(Input!U$55&lt;91,(Input!U$55-60)/30*U429+U430+U431,IF(Input!U$55&lt;121,(Input!U$55-90)/30*U428+U429+U430+U431,IF(Input!U$55&lt;151,(Input!U$55-120)/30*U427+U428+U429+U430+U431,(Input!U$55-150)/30*U426+U427+U428+U429+U430+U431)))))))</f>
        <v>0</v>
      </c>
      <c r="V1066" s="229">
        <f>IF(V$338&gt;$D$33,0,IF(Input!V$55=0,0,IF(Input!V$55&lt;31,Input!V$55/30*V431,IF(Input!V$55&lt;61,(Input!V$55-30)/30*V430+V431,IF(Input!V$55&lt;91,(Input!V$55-60)/30*V429+V430+V431,IF(Input!V$55&lt;121,(Input!V$55-90)/30*V428+V429+V430+V431,IF(Input!V$55&lt;151,(Input!V$55-120)/30*V427+V428+V429+V430+V431,(Input!V$55-150)/30*V426+V427+V428+V429+V430+V431)))))))</f>
        <v>0</v>
      </c>
      <c r="W1066" s="229">
        <f>IF(W$338&gt;$D$33,0,IF(Input!W$55=0,0,IF(Input!W$55&lt;31,Input!W$55/30*W431,IF(Input!W$55&lt;61,(Input!W$55-30)/30*W430+W431,IF(Input!W$55&lt;91,(Input!W$55-60)/30*W429+W430+W431,IF(Input!W$55&lt;121,(Input!W$55-90)/30*W428+W429+W430+W431,IF(Input!W$55&lt;151,(Input!W$55-120)/30*W427+W428+W429+W430+W431,(Input!W$55-150)/30*W426+W427+W428+W429+W430+W431)))))))</f>
        <v>0</v>
      </c>
      <c r="X1066" s="229">
        <f>IF(X$338&gt;$D$33,0,IF(Input!X$55=0,0,IF(Input!X$55&lt;31,Input!X$55/30*X431,IF(Input!X$55&lt;61,(Input!X$55-30)/30*X430+X431,IF(Input!X$55&lt;91,(Input!X$55-60)/30*X429+X430+X431,IF(Input!X$55&lt;121,(Input!X$55-90)/30*X428+X429+X430+X431,IF(Input!X$55&lt;151,(Input!X$55-120)/30*X427+X428+X429+X430+X431,(Input!X$55-150)/30*X426+X427+X428+X429+X430+X431)))))))</f>
        <v>0</v>
      </c>
      <c r="Y1066" s="229">
        <f>IF(Y$338&gt;$D$33,0,IF(Input!Y$55=0,0,IF(Input!Y$55&lt;31,Input!Y$55/30*Y431,IF(Input!Y$55&lt;61,(Input!Y$55-30)/30*Y430+Y431,IF(Input!Y$55&lt;91,(Input!Y$55-60)/30*Y429+Y430+Y431,IF(Input!Y$55&lt;121,(Input!Y$55-90)/30*Y428+Y429+Y430+Y431,IF(Input!Y$55&lt;151,(Input!Y$55-120)/30*Y427+Y428+Y429+Y430+Y431,(Input!Y$55-150)/30*Y426+Y427+Y428+Y429+Y430+Y431)))))))</f>
        <v>0</v>
      </c>
      <c r="Z1066" s="229">
        <f>IF(Z$338&gt;$D$33,0,IF(Input!Z$55=0,0,IF(Input!Z$55&lt;31,Input!Z$55/30*Z431,IF(Input!Z$55&lt;61,(Input!Z$55-30)/30*Z430+Z431,IF(Input!Z$55&lt;91,(Input!Z$55-60)/30*Z429+Z430+Z431,IF(Input!Z$55&lt;121,(Input!Z$55-90)/30*Z428+Z429+Z430+Z431,IF(Input!Z$55&lt;151,(Input!Z$55-120)/30*Z427+Z428+Z429+Z430+Z431,(Input!Z$55-150)/30*Z426+Z427+Z428+Z429+Z430+Z431)))))))</f>
        <v>0</v>
      </c>
      <c r="AA1066" s="229">
        <f>IF(AA$338&gt;$D$33,0,IF(Input!AA$55=0,0,IF(Input!AA$55&lt;31,Input!AA$55/30*AA431,IF(Input!AA$55&lt;61,(Input!AA$55-30)/30*AA430+AA431,IF(Input!AA$55&lt;91,(Input!AA$55-60)/30*AA429+AA430+AA431,IF(Input!AA$55&lt;121,(Input!AA$55-90)/30*AA428+AA429+AA430+AA431,IF(Input!AA$55&lt;151,(Input!AA$55-120)/30*AA427+AA428+AA429+AA430+AA431,(Input!AA$55-150)/30*AA426+AA427+AA428+AA429+AA430+AA431)))))))</f>
        <v>0</v>
      </c>
      <c r="AB1066" s="229">
        <f>IF(AB$338&gt;$D$33,0,IF(Input!AB$55=0,0,IF(Input!AB$55&lt;31,Input!AB$55/30*AB431,IF(Input!AB$55&lt;61,(Input!AB$55-30)/30*AB430+AB431,IF(Input!AB$55&lt;91,(Input!AB$55-60)/30*AB429+AB430+AB431,IF(Input!AB$55&lt;121,(Input!AB$55-90)/30*AB428+AB429+AB430+AB431,IF(Input!AB$55&lt;151,(Input!AB$55-120)/30*AB427+AB428+AB429+AB430+AB431,(Input!AB$55-150)/30*AB426+AB427+AB428+AB429+AB430+AB431)))))))</f>
        <v>0</v>
      </c>
      <c r="CH1066" s="269"/>
      <c r="CI1066" s="269"/>
      <c r="CJ1066" s="269"/>
      <c r="CK1066" s="269"/>
      <c r="CL1066" s="269"/>
      <c r="CM1066" s="269"/>
      <c r="CN1066" s="269"/>
      <c r="CO1066" s="269"/>
      <c r="CP1066" s="269"/>
      <c r="CQ1066" s="269"/>
      <c r="CR1066" s="269"/>
      <c r="CS1066" s="269"/>
    </row>
    <row r="1067" spans="3:97" x14ac:dyDescent="0.3">
      <c r="C1067" s="495">
        <f>C1004</f>
        <v>700</v>
      </c>
      <c r="D1067" s="229">
        <f>IF(D$338&gt;$D$33,0,IF(Input!D$55=0,0,IF(Input!D$55&lt;31,Input!D$55/30*D432,IF(Input!D$55&lt;61,(Input!D$55-30)/30*D431+D432,IF(Input!D$55&lt;91,(Input!D$55-60)/30*D430+D431+D432,IF(Input!D$55&lt;121,(Input!D$55-90)/30*D429+D430+D431+D432,IF(Input!D$55&lt;151,(Input!D$55-120)/30*D428+D429+D430+D431+D432,(Input!D$55-150)/30*D427+D428+D429+D430+D431+D432)))))))</f>
        <v>0</v>
      </c>
      <c r="E1067" s="229">
        <f>IF(E$338&gt;$D$33,0,IF(Input!E$55=0,0,IF(Input!E$55&lt;31,Input!E$55/30*E432,IF(Input!E$55&lt;61,(Input!E$55-30)/30*E431+E432,IF(Input!E$55&lt;91,(Input!E$55-60)/30*E430+E431+E432,IF(Input!E$55&lt;121,(Input!E$55-90)/30*E429+E430+E431+E432,IF(Input!E$55&lt;151,(Input!E$55-120)/30*E428+E429+E430+E431+E432,(Input!E$55-150)/30*E427+E428+E429+E430+E431+E432)))))))</f>
        <v>0</v>
      </c>
      <c r="F1067" s="229">
        <f>IF(F$338&gt;$D$33,0,IF(Input!F$55=0,0,IF(Input!F$55&lt;31,Input!F$55/30*F432,IF(Input!F$55&lt;61,(Input!F$55-30)/30*F431+F432,IF(Input!F$55&lt;91,(Input!F$55-60)/30*F430+F431+F432,IF(Input!F$55&lt;121,(Input!F$55-90)/30*F429+F430+F431+F432,IF(Input!F$55&lt;151,(Input!F$55-120)/30*F428+F429+F430+F431+F432,(Input!F$55-150)/30*F427+F428+F429+F430+F431+F432)))))))</f>
        <v>0</v>
      </c>
      <c r="G1067" s="229">
        <f>IF(G$338&gt;$D$33,0,IF(Input!G$55=0,0,IF(Input!G$55&lt;31,Input!G$55/30*G432,IF(Input!G$55&lt;61,(Input!G$55-30)/30*G431+G432,IF(Input!G$55&lt;91,(Input!G$55-60)/30*G430+G431+G432,IF(Input!G$55&lt;121,(Input!G$55-90)/30*G429+G430+G431+G432,IF(Input!G$55&lt;151,(Input!G$55-120)/30*G428+G429+G430+G431+G432,(Input!G$55-150)/30*G427+G428+G429+G430+G431+G432)))))))</f>
        <v>0</v>
      </c>
      <c r="H1067" s="229">
        <f>IF(H$338&gt;$D$33,0,IF(Input!H$55=0,0,IF(Input!H$55&lt;31,Input!H$55/30*H432,IF(Input!H$55&lt;61,(Input!H$55-30)/30*H431+H432,IF(Input!H$55&lt;91,(Input!H$55-60)/30*H430+H431+H432,IF(Input!H$55&lt;121,(Input!H$55-90)/30*H429+H430+H431+H432,IF(Input!H$55&lt;151,(Input!H$55-120)/30*H428+H429+H430+H431+H432,(Input!H$55-150)/30*H427+H428+H429+H430+H431+H432)))))))</f>
        <v>0</v>
      </c>
      <c r="I1067" s="229">
        <f>IF(I$338&gt;$D$33,0,IF(Input!I$55=0,0,IF(Input!I$55&lt;31,Input!I$55/30*I432,IF(Input!I$55&lt;61,(Input!I$55-30)/30*I431+I432,IF(Input!I$55&lt;91,(Input!I$55-60)/30*I430+I431+I432,IF(Input!I$55&lt;121,(Input!I$55-90)/30*I429+I430+I431+I432,IF(Input!I$55&lt;151,(Input!I$55-120)/30*I428+I429+I430+I431+I432,(Input!I$55-150)/30*I427+I428+I429+I430+I431+I432)))))))</f>
        <v>0</v>
      </c>
      <c r="J1067" s="229">
        <f>IF(J$338&gt;$D$33,0,IF(Input!J$55=0,0,IF(Input!J$55&lt;31,Input!J$55/30*J432,IF(Input!J$55&lt;61,(Input!J$55-30)/30*J431+J432,IF(Input!J$55&lt;91,(Input!J$55-60)/30*J430+J431+J432,IF(Input!J$55&lt;121,(Input!J$55-90)/30*J429+J430+J431+J432,IF(Input!J$55&lt;151,(Input!J$55-120)/30*J428+J429+J430+J431+J432,(Input!J$55-150)/30*J427+J428+J429+J430+J431+J432)))))))</f>
        <v>0</v>
      </c>
      <c r="K1067" s="229">
        <f>IF(K$338&gt;$D$33,0,IF(Input!K$55=0,0,IF(Input!K$55&lt;31,Input!K$55/30*K432,IF(Input!K$55&lt;61,(Input!K$55-30)/30*K431+K432,IF(Input!K$55&lt;91,(Input!K$55-60)/30*K430+K431+K432,IF(Input!K$55&lt;121,(Input!K$55-90)/30*K429+K430+K431+K432,IF(Input!K$55&lt;151,(Input!K$55-120)/30*K428+K429+K430+K431+K432,(Input!K$55-150)/30*K427+K428+K429+K430+K431+K432)))))))</f>
        <v>0</v>
      </c>
      <c r="L1067" s="229">
        <f>IF(L$338&gt;$D$33,0,IF(Input!L$55=0,0,IF(Input!L$55&lt;31,Input!L$55/30*L432,IF(Input!L$55&lt;61,(Input!L$55-30)/30*L431+L432,IF(Input!L$55&lt;91,(Input!L$55-60)/30*L430+L431+L432,IF(Input!L$55&lt;121,(Input!L$55-90)/30*L429+L430+L431+L432,IF(Input!L$55&lt;151,(Input!L$55-120)/30*L428+L429+L430+L431+L432,(Input!L$55-150)/30*L427+L428+L429+L430+L431+L432)))))))</f>
        <v>0</v>
      </c>
      <c r="M1067" s="229">
        <f>IF(M$338&gt;$D$33,0,IF(Input!M$55=0,0,IF(Input!M$55&lt;31,Input!M$55/30*M432,IF(Input!M$55&lt;61,(Input!M$55-30)/30*M431+M432,IF(Input!M$55&lt;91,(Input!M$55-60)/30*M430+M431+M432,IF(Input!M$55&lt;121,(Input!M$55-90)/30*M429+M430+M431+M432,IF(Input!M$55&lt;151,(Input!M$55-120)/30*M428+M429+M430+M431+M432,(Input!M$55-150)/30*M427+M428+M429+M430+M431+M432)))))))</f>
        <v>0</v>
      </c>
      <c r="N1067" s="229">
        <f>IF(N$338&gt;$D$33,0,IF(Input!N$55=0,0,IF(Input!N$55&lt;31,Input!N$55/30*N432,IF(Input!N$55&lt;61,(Input!N$55-30)/30*N431+N432,IF(Input!N$55&lt;91,(Input!N$55-60)/30*N430+N431+N432,IF(Input!N$55&lt;121,(Input!N$55-90)/30*N429+N430+N431+N432,IF(Input!N$55&lt;151,(Input!N$55-120)/30*N428+N429+N430+N431+N432,(Input!N$55-150)/30*N427+N428+N429+N430+N431+N432)))))))</f>
        <v>0</v>
      </c>
      <c r="O1067" s="229">
        <f>IF(O$338&gt;$D$33,0,IF(Input!O$55=0,0,IF(Input!O$55&lt;31,Input!O$55/30*O432,IF(Input!O$55&lt;61,(Input!O$55-30)/30*O431+O432,IF(Input!O$55&lt;91,(Input!O$55-60)/30*O430+O431+O432,IF(Input!O$55&lt;121,(Input!O$55-90)/30*O429+O430+O431+O432,IF(Input!O$55&lt;151,(Input!O$55-120)/30*O428+O429+O430+O431+O432,(Input!O$55-150)/30*O427+O428+O429+O430+O431+O432)))))))</f>
        <v>0</v>
      </c>
      <c r="P1067" s="229">
        <f>IF(P$338&gt;$D$33,0,IF(Input!P$55=0,0,IF(Input!P$55&lt;31,Input!P$55/30*P432,IF(Input!P$55&lt;61,(Input!P$55-30)/30*P431+P432,IF(Input!P$55&lt;91,(Input!P$55-60)/30*P430+P431+P432,IF(Input!P$55&lt;121,(Input!P$55-90)/30*P429+P430+P431+P432,IF(Input!P$55&lt;151,(Input!P$55-120)/30*P428+P429+P430+P431+P432,(Input!P$55-150)/30*P427+P428+P429+P430+P431+P432)))))))</f>
        <v>0</v>
      </c>
      <c r="Q1067" s="229">
        <f>IF(Q$338&gt;$D$33,0,IF(Input!Q$55=0,0,IF(Input!Q$55&lt;31,Input!Q$55/30*Q432,IF(Input!Q$55&lt;61,(Input!Q$55-30)/30*Q431+Q432,IF(Input!Q$55&lt;91,(Input!Q$55-60)/30*Q430+Q431+Q432,IF(Input!Q$55&lt;121,(Input!Q$55-90)/30*Q429+Q430+Q431+Q432,IF(Input!Q$55&lt;151,(Input!Q$55-120)/30*Q428+Q429+Q430+Q431+Q432,(Input!Q$55-150)/30*Q427+Q428+Q429+Q430+Q431+Q432)))))))</f>
        <v>0</v>
      </c>
      <c r="R1067" s="229">
        <f>IF(R$338&gt;$D$33,0,IF(Input!R$55=0,0,IF(Input!R$55&lt;31,Input!R$55/30*R432,IF(Input!R$55&lt;61,(Input!R$55-30)/30*R431+R432,IF(Input!R$55&lt;91,(Input!R$55-60)/30*R430+R431+R432,IF(Input!R$55&lt;121,(Input!R$55-90)/30*R429+R430+R431+R432,IF(Input!R$55&lt;151,(Input!R$55-120)/30*R428+R429+R430+R431+R432,(Input!R$55-150)/30*R427+R428+R429+R430+R431+R432)))))))</f>
        <v>0</v>
      </c>
      <c r="S1067" s="229">
        <f>IF(S$338&gt;$D$33,0,IF(Input!S$55=0,0,IF(Input!S$55&lt;31,Input!S$55/30*S432,IF(Input!S$55&lt;61,(Input!S$55-30)/30*S431+S432,IF(Input!S$55&lt;91,(Input!S$55-60)/30*S430+S431+S432,IF(Input!S$55&lt;121,(Input!S$55-90)/30*S429+S430+S431+S432,IF(Input!S$55&lt;151,(Input!S$55-120)/30*S428+S429+S430+S431+S432,(Input!S$55-150)/30*S427+S428+S429+S430+S431+S432)))))))</f>
        <v>0</v>
      </c>
      <c r="T1067" s="229">
        <f>IF(T$338&gt;$D$33,0,IF(Input!T$55=0,0,IF(Input!T$55&lt;31,Input!T$55/30*T432,IF(Input!T$55&lt;61,(Input!T$55-30)/30*T431+T432,IF(Input!T$55&lt;91,(Input!T$55-60)/30*T430+T431+T432,IF(Input!T$55&lt;121,(Input!T$55-90)/30*T429+T430+T431+T432,IF(Input!T$55&lt;151,(Input!T$55-120)/30*T428+T429+T430+T431+T432,(Input!T$55-150)/30*T427+T428+T429+T430+T431+T432)))))))</f>
        <v>0</v>
      </c>
      <c r="U1067" s="229">
        <f>IF(U$338&gt;$D$33,0,IF(Input!U$55=0,0,IF(Input!U$55&lt;31,Input!U$55/30*U432,IF(Input!U$55&lt;61,(Input!U$55-30)/30*U431+U432,IF(Input!U$55&lt;91,(Input!U$55-60)/30*U430+U431+U432,IF(Input!U$55&lt;121,(Input!U$55-90)/30*U429+U430+U431+U432,IF(Input!U$55&lt;151,(Input!U$55-120)/30*U428+U429+U430+U431+U432,(Input!U$55-150)/30*U427+U428+U429+U430+U431+U432)))))))</f>
        <v>0</v>
      </c>
      <c r="V1067" s="229">
        <f>IF(V$338&gt;$D$33,0,IF(Input!V$55=0,0,IF(Input!V$55&lt;31,Input!V$55/30*V432,IF(Input!V$55&lt;61,(Input!V$55-30)/30*V431+V432,IF(Input!V$55&lt;91,(Input!V$55-60)/30*V430+V431+V432,IF(Input!V$55&lt;121,(Input!V$55-90)/30*V429+V430+V431+V432,IF(Input!V$55&lt;151,(Input!V$55-120)/30*V428+V429+V430+V431+V432,(Input!V$55-150)/30*V427+V428+V429+V430+V431+V432)))))))</f>
        <v>0</v>
      </c>
      <c r="W1067" s="229">
        <f>IF(W$338&gt;$D$33,0,IF(Input!W$55=0,0,IF(Input!W$55&lt;31,Input!W$55/30*W432,IF(Input!W$55&lt;61,(Input!W$55-30)/30*W431+W432,IF(Input!W$55&lt;91,(Input!W$55-60)/30*W430+W431+W432,IF(Input!W$55&lt;121,(Input!W$55-90)/30*W429+W430+W431+W432,IF(Input!W$55&lt;151,(Input!W$55-120)/30*W428+W429+W430+W431+W432,(Input!W$55-150)/30*W427+W428+W429+W430+W431+W432)))))))</f>
        <v>0</v>
      </c>
      <c r="X1067" s="229">
        <f>IF(X$338&gt;$D$33,0,IF(Input!X$55=0,0,IF(Input!X$55&lt;31,Input!X$55/30*X432,IF(Input!X$55&lt;61,(Input!X$55-30)/30*X431+X432,IF(Input!X$55&lt;91,(Input!X$55-60)/30*X430+X431+X432,IF(Input!X$55&lt;121,(Input!X$55-90)/30*X429+X430+X431+X432,IF(Input!X$55&lt;151,(Input!X$55-120)/30*X428+X429+X430+X431+X432,(Input!X$55-150)/30*X427+X428+X429+X430+X431+X432)))))))</f>
        <v>0</v>
      </c>
      <c r="Y1067" s="229">
        <f>IF(Y$338&gt;$D$33,0,IF(Input!Y$55=0,0,IF(Input!Y$55&lt;31,Input!Y$55/30*Y432,IF(Input!Y$55&lt;61,(Input!Y$55-30)/30*Y431+Y432,IF(Input!Y$55&lt;91,(Input!Y$55-60)/30*Y430+Y431+Y432,IF(Input!Y$55&lt;121,(Input!Y$55-90)/30*Y429+Y430+Y431+Y432,IF(Input!Y$55&lt;151,(Input!Y$55-120)/30*Y428+Y429+Y430+Y431+Y432,(Input!Y$55-150)/30*Y427+Y428+Y429+Y430+Y431+Y432)))))))</f>
        <v>0</v>
      </c>
      <c r="Z1067" s="229">
        <f>IF(Z$338&gt;$D$33,0,IF(Input!Z$55=0,0,IF(Input!Z$55&lt;31,Input!Z$55/30*Z432,IF(Input!Z$55&lt;61,(Input!Z$55-30)/30*Z431+Z432,IF(Input!Z$55&lt;91,(Input!Z$55-60)/30*Z430+Z431+Z432,IF(Input!Z$55&lt;121,(Input!Z$55-90)/30*Z429+Z430+Z431+Z432,IF(Input!Z$55&lt;151,(Input!Z$55-120)/30*Z428+Z429+Z430+Z431+Z432,(Input!Z$55-150)/30*Z427+Z428+Z429+Z430+Z431+Z432)))))))</f>
        <v>0</v>
      </c>
      <c r="AA1067" s="229">
        <f>IF(AA$338&gt;$D$33,0,IF(Input!AA$55=0,0,IF(Input!AA$55&lt;31,Input!AA$55/30*AA432,IF(Input!AA$55&lt;61,(Input!AA$55-30)/30*AA431+AA432,IF(Input!AA$55&lt;91,(Input!AA$55-60)/30*AA430+AA431+AA432,IF(Input!AA$55&lt;121,(Input!AA$55-90)/30*AA429+AA430+AA431+AA432,IF(Input!AA$55&lt;151,(Input!AA$55-120)/30*AA428+AA429+AA430+AA431+AA432,(Input!AA$55-150)/30*AA427+AA428+AA429+AA430+AA431+AA432)))))))</f>
        <v>0</v>
      </c>
      <c r="AB1067" s="229">
        <f>IF(AB$338&gt;$D$33,0,IF(Input!AB$55=0,0,IF(Input!AB$55&lt;31,Input!AB$55/30*AB432,IF(Input!AB$55&lt;61,(Input!AB$55-30)/30*AB431+AB432,IF(Input!AB$55&lt;91,(Input!AB$55-60)/30*AB430+AB431+AB432,IF(Input!AB$55&lt;121,(Input!AB$55-90)/30*AB429+AB430+AB431+AB432,IF(Input!AB$55&lt;151,(Input!AB$55-120)/30*AB428+AB429+AB430+AB431+AB432,(Input!AB$55-150)/30*AB427+AB428+AB429+AB430+AB431+AB432)))))))</f>
        <v>0</v>
      </c>
      <c r="CH1067" s="269"/>
      <c r="CI1067" s="269"/>
      <c r="CJ1067" s="269"/>
      <c r="CK1067" s="269"/>
      <c r="CL1067" s="269"/>
      <c r="CM1067" s="269"/>
      <c r="CN1067" s="269"/>
      <c r="CO1067" s="269"/>
      <c r="CP1067" s="269"/>
      <c r="CQ1067" s="269"/>
      <c r="CR1067" s="269"/>
      <c r="CS1067" s="269"/>
    </row>
    <row r="1068" spans="3:97" ht="12.5" thickBot="1" x14ac:dyDescent="0.35">
      <c r="C1068" s="496">
        <f>C1005</f>
        <v>731</v>
      </c>
      <c r="D1068" s="230">
        <f>IF(D$338&gt;$D$33,0,IF(Input!D$55=0,0,IF(Input!D$55&lt;31,Input!D$55/30*D433,IF(Input!D$55&lt;61,(Input!D$55-30)/30*D432+D433,IF(Input!D$55&lt;91,(Input!D$55-60)/30*D431+D432+D433,IF(Input!D$55&lt;121,(Input!D$55-90)/30*D430+D431+D432+D433,IF(Input!D$55&lt;151,(Input!D$55-120)/30*D429+D430+D431+D432+D433,(Input!D$55-150)/30*D428+D429+D430+D431+D432+D433)))))))</f>
        <v>0</v>
      </c>
      <c r="E1068" s="230">
        <f>IF(E$338&gt;$D$33,0,IF(Input!E$55=0,0,IF(Input!E$55&lt;31,Input!E$55/30*E433,IF(Input!E$55&lt;61,(Input!E$55-30)/30*E432+E433,IF(Input!E$55&lt;91,(Input!E$55-60)/30*E431+E432+E433,IF(Input!E$55&lt;121,(Input!E$55-90)/30*E430+E431+E432+E433,IF(Input!E$55&lt;151,(Input!E$55-120)/30*E429+E430+E431+E432+E433,(Input!E$55-150)/30*E428+E429+E430+E431+E432+E433)))))))</f>
        <v>0</v>
      </c>
      <c r="F1068" s="230">
        <f>IF(F$338&gt;$D$33,0,IF(Input!F$55=0,0,IF(Input!F$55&lt;31,Input!F$55/30*F433,IF(Input!F$55&lt;61,(Input!F$55-30)/30*F432+F433,IF(Input!F$55&lt;91,(Input!F$55-60)/30*F431+F432+F433,IF(Input!F$55&lt;121,(Input!F$55-90)/30*F430+F431+F432+F433,IF(Input!F$55&lt;151,(Input!F$55-120)/30*F429+F430+F431+F432+F433,(Input!F$55-150)/30*F428+F429+F430+F431+F432+F433)))))))</f>
        <v>0</v>
      </c>
      <c r="G1068" s="230">
        <f>IF(G$338&gt;$D$33,0,IF(Input!G$55=0,0,IF(Input!G$55&lt;31,Input!G$55/30*G433,IF(Input!G$55&lt;61,(Input!G$55-30)/30*G432+G433,IF(Input!G$55&lt;91,(Input!G$55-60)/30*G431+G432+G433,IF(Input!G$55&lt;121,(Input!G$55-90)/30*G430+G431+G432+G433,IF(Input!G$55&lt;151,(Input!G$55-120)/30*G429+G430+G431+G432+G433,(Input!G$55-150)/30*G428+G429+G430+G431+G432+G433)))))))</f>
        <v>0</v>
      </c>
      <c r="H1068" s="230">
        <f>IF(H$338&gt;$D$33,0,IF(Input!H$55=0,0,IF(Input!H$55&lt;31,Input!H$55/30*H433,IF(Input!H$55&lt;61,(Input!H$55-30)/30*H432+H433,IF(Input!H$55&lt;91,(Input!H$55-60)/30*H431+H432+H433,IF(Input!H$55&lt;121,(Input!H$55-90)/30*H430+H431+H432+H433,IF(Input!H$55&lt;151,(Input!H$55-120)/30*H429+H430+H431+H432+H433,(Input!H$55-150)/30*H428+H429+H430+H431+H432+H433)))))))</f>
        <v>0</v>
      </c>
      <c r="I1068" s="230">
        <f>IF(I$338&gt;$D$33,0,IF(Input!I$55=0,0,IF(Input!I$55&lt;31,Input!I$55/30*I433,IF(Input!I$55&lt;61,(Input!I$55-30)/30*I432+I433,IF(Input!I$55&lt;91,(Input!I$55-60)/30*I431+I432+I433,IF(Input!I$55&lt;121,(Input!I$55-90)/30*I430+I431+I432+I433,IF(Input!I$55&lt;151,(Input!I$55-120)/30*I429+I430+I431+I432+I433,(Input!I$55-150)/30*I428+I429+I430+I431+I432+I433)))))))</f>
        <v>0</v>
      </c>
      <c r="J1068" s="230">
        <f>IF(J$338&gt;$D$33,0,IF(Input!J$55=0,0,IF(Input!J$55&lt;31,Input!J$55/30*J433,IF(Input!J$55&lt;61,(Input!J$55-30)/30*J432+J433,IF(Input!J$55&lt;91,(Input!J$55-60)/30*J431+J432+J433,IF(Input!J$55&lt;121,(Input!J$55-90)/30*J430+J431+J432+J433,IF(Input!J$55&lt;151,(Input!J$55-120)/30*J429+J430+J431+J432+J433,(Input!J$55-150)/30*J428+J429+J430+J431+J432+J433)))))))</f>
        <v>0</v>
      </c>
      <c r="K1068" s="230">
        <f>IF(K$338&gt;$D$33,0,IF(Input!K$55=0,0,IF(Input!K$55&lt;31,Input!K$55/30*K433,IF(Input!K$55&lt;61,(Input!K$55-30)/30*K432+K433,IF(Input!K$55&lt;91,(Input!K$55-60)/30*K431+K432+K433,IF(Input!K$55&lt;121,(Input!K$55-90)/30*K430+K431+K432+K433,IF(Input!K$55&lt;151,(Input!K$55-120)/30*K429+K430+K431+K432+K433,(Input!K$55-150)/30*K428+K429+K430+K431+K432+K433)))))))</f>
        <v>0</v>
      </c>
      <c r="L1068" s="230">
        <f>IF(L$338&gt;$D$33,0,IF(Input!L$55=0,0,IF(Input!L$55&lt;31,Input!L$55/30*L433,IF(Input!L$55&lt;61,(Input!L$55-30)/30*L432+L433,IF(Input!L$55&lt;91,(Input!L$55-60)/30*L431+L432+L433,IF(Input!L$55&lt;121,(Input!L$55-90)/30*L430+L431+L432+L433,IF(Input!L$55&lt;151,(Input!L$55-120)/30*L429+L430+L431+L432+L433,(Input!L$55-150)/30*L428+L429+L430+L431+L432+L433)))))))</f>
        <v>0</v>
      </c>
      <c r="M1068" s="230">
        <f>IF(M$338&gt;$D$33,0,IF(Input!M$55=0,0,IF(Input!M$55&lt;31,Input!M$55/30*M433,IF(Input!M$55&lt;61,(Input!M$55-30)/30*M432+M433,IF(Input!M$55&lt;91,(Input!M$55-60)/30*M431+M432+M433,IF(Input!M$55&lt;121,(Input!M$55-90)/30*M430+M431+M432+M433,IF(Input!M$55&lt;151,(Input!M$55-120)/30*M429+M430+M431+M432+M433,(Input!M$55-150)/30*M428+M429+M430+M431+M432+M433)))))))</f>
        <v>0</v>
      </c>
      <c r="N1068" s="230">
        <f>IF(N$338&gt;$D$33,0,IF(Input!N$55=0,0,IF(Input!N$55&lt;31,Input!N$55/30*N433,IF(Input!N$55&lt;61,(Input!N$55-30)/30*N432+N433,IF(Input!N$55&lt;91,(Input!N$55-60)/30*N431+N432+N433,IF(Input!N$55&lt;121,(Input!N$55-90)/30*N430+N431+N432+N433,IF(Input!N$55&lt;151,(Input!N$55-120)/30*N429+N430+N431+N432+N433,(Input!N$55-150)/30*N428+N429+N430+N431+N432+N433)))))))</f>
        <v>0</v>
      </c>
      <c r="O1068" s="230">
        <f>IF(O$338&gt;$D$33,0,IF(Input!O$55=0,0,IF(Input!O$55&lt;31,Input!O$55/30*O433,IF(Input!O$55&lt;61,(Input!O$55-30)/30*O432+O433,IF(Input!O$55&lt;91,(Input!O$55-60)/30*O431+O432+O433,IF(Input!O$55&lt;121,(Input!O$55-90)/30*O430+O431+O432+O433,IF(Input!O$55&lt;151,(Input!O$55-120)/30*O429+O430+O431+O432+O433,(Input!O$55-150)/30*O428+O429+O430+O431+O432+O433)))))))</f>
        <v>0</v>
      </c>
      <c r="P1068" s="230">
        <f>IF(P$338&gt;$D$33,0,IF(Input!P$55=0,0,IF(Input!P$55&lt;31,Input!P$55/30*P433,IF(Input!P$55&lt;61,(Input!P$55-30)/30*P432+P433,IF(Input!P$55&lt;91,(Input!P$55-60)/30*P431+P432+P433,IF(Input!P$55&lt;121,(Input!P$55-90)/30*P430+P431+P432+P433,IF(Input!P$55&lt;151,(Input!P$55-120)/30*P429+P430+P431+P432+P433,(Input!P$55-150)/30*P428+P429+P430+P431+P432+P433)))))))</f>
        <v>0</v>
      </c>
      <c r="Q1068" s="230">
        <f>IF(Q$338&gt;$D$33,0,IF(Input!Q$55=0,0,IF(Input!Q$55&lt;31,Input!Q$55/30*Q433,IF(Input!Q$55&lt;61,(Input!Q$55-30)/30*Q432+Q433,IF(Input!Q$55&lt;91,(Input!Q$55-60)/30*Q431+Q432+Q433,IF(Input!Q$55&lt;121,(Input!Q$55-90)/30*Q430+Q431+Q432+Q433,IF(Input!Q$55&lt;151,(Input!Q$55-120)/30*Q429+Q430+Q431+Q432+Q433,(Input!Q$55-150)/30*Q428+Q429+Q430+Q431+Q432+Q433)))))))</f>
        <v>0</v>
      </c>
      <c r="R1068" s="230">
        <f>IF(R$338&gt;$D$33,0,IF(Input!R$55=0,0,IF(Input!R$55&lt;31,Input!R$55/30*R433,IF(Input!R$55&lt;61,(Input!R$55-30)/30*R432+R433,IF(Input!R$55&lt;91,(Input!R$55-60)/30*R431+R432+R433,IF(Input!R$55&lt;121,(Input!R$55-90)/30*R430+R431+R432+R433,IF(Input!R$55&lt;151,(Input!R$55-120)/30*R429+R430+R431+R432+R433,(Input!R$55-150)/30*R428+R429+R430+R431+R432+R433)))))))</f>
        <v>0</v>
      </c>
      <c r="S1068" s="230">
        <f>IF(S$338&gt;$D$33,0,IF(Input!S$55=0,0,IF(Input!S$55&lt;31,Input!S$55/30*S433,IF(Input!S$55&lt;61,(Input!S$55-30)/30*S432+S433,IF(Input!S$55&lt;91,(Input!S$55-60)/30*S431+S432+S433,IF(Input!S$55&lt;121,(Input!S$55-90)/30*S430+S431+S432+S433,IF(Input!S$55&lt;151,(Input!S$55-120)/30*S429+S430+S431+S432+S433,(Input!S$55-150)/30*S428+S429+S430+S431+S432+S433)))))))</f>
        <v>0</v>
      </c>
      <c r="T1068" s="230">
        <f>IF(T$338&gt;$D$33,0,IF(Input!T$55=0,0,IF(Input!T$55&lt;31,Input!T$55/30*T433,IF(Input!T$55&lt;61,(Input!T$55-30)/30*T432+T433,IF(Input!T$55&lt;91,(Input!T$55-60)/30*T431+T432+T433,IF(Input!T$55&lt;121,(Input!T$55-90)/30*T430+T431+T432+T433,IF(Input!T$55&lt;151,(Input!T$55-120)/30*T429+T430+T431+T432+T433,(Input!T$55-150)/30*T428+T429+T430+T431+T432+T433)))))))</f>
        <v>0</v>
      </c>
      <c r="U1068" s="230">
        <f>IF(U$338&gt;$D$33,0,IF(Input!U$55=0,0,IF(Input!U$55&lt;31,Input!U$55/30*U433,IF(Input!U$55&lt;61,(Input!U$55-30)/30*U432+U433,IF(Input!U$55&lt;91,(Input!U$55-60)/30*U431+U432+U433,IF(Input!U$55&lt;121,(Input!U$55-90)/30*U430+U431+U432+U433,IF(Input!U$55&lt;151,(Input!U$55-120)/30*U429+U430+U431+U432+U433,(Input!U$55-150)/30*U428+U429+U430+U431+U432+U433)))))))</f>
        <v>0</v>
      </c>
      <c r="V1068" s="230">
        <f>IF(V$338&gt;$D$33,0,IF(Input!V$55=0,0,IF(Input!V$55&lt;31,Input!V$55/30*V433,IF(Input!V$55&lt;61,(Input!V$55-30)/30*V432+V433,IF(Input!V$55&lt;91,(Input!V$55-60)/30*V431+V432+V433,IF(Input!V$55&lt;121,(Input!V$55-90)/30*V430+V431+V432+V433,IF(Input!V$55&lt;151,(Input!V$55-120)/30*V429+V430+V431+V432+V433,(Input!V$55-150)/30*V428+V429+V430+V431+V432+V433)))))))</f>
        <v>0</v>
      </c>
      <c r="W1068" s="230">
        <f>IF(W$338&gt;$D$33,0,IF(Input!W$55=0,0,IF(Input!W$55&lt;31,Input!W$55/30*W433,IF(Input!W$55&lt;61,(Input!W$55-30)/30*W432+W433,IF(Input!W$55&lt;91,(Input!W$55-60)/30*W431+W432+W433,IF(Input!W$55&lt;121,(Input!W$55-90)/30*W430+W431+W432+W433,IF(Input!W$55&lt;151,(Input!W$55-120)/30*W429+W430+W431+W432+W433,(Input!W$55-150)/30*W428+W429+W430+W431+W432+W433)))))))</f>
        <v>0</v>
      </c>
      <c r="X1068" s="230">
        <f>IF(X$338&gt;$D$33,0,IF(Input!X$55=0,0,IF(Input!X$55&lt;31,Input!X$55/30*X433,IF(Input!X$55&lt;61,(Input!X$55-30)/30*X432+X433,IF(Input!X$55&lt;91,(Input!X$55-60)/30*X431+X432+X433,IF(Input!X$55&lt;121,(Input!X$55-90)/30*X430+X431+X432+X433,IF(Input!X$55&lt;151,(Input!X$55-120)/30*X429+X430+X431+X432+X433,(Input!X$55-150)/30*X428+X429+X430+X431+X432+X433)))))))</f>
        <v>0</v>
      </c>
      <c r="Y1068" s="230">
        <f>IF(Y$338&gt;$D$33,0,IF(Input!Y$55=0,0,IF(Input!Y$55&lt;31,Input!Y$55/30*Y433,IF(Input!Y$55&lt;61,(Input!Y$55-30)/30*Y432+Y433,IF(Input!Y$55&lt;91,(Input!Y$55-60)/30*Y431+Y432+Y433,IF(Input!Y$55&lt;121,(Input!Y$55-90)/30*Y430+Y431+Y432+Y433,IF(Input!Y$55&lt;151,(Input!Y$55-120)/30*Y429+Y430+Y431+Y432+Y433,(Input!Y$55-150)/30*Y428+Y429+Y430+Y431+Y432+Y433)))))))</f>
        <v>0</v>
      </c>
      <c r="Z1068" s="230">
        <f>IF(Z$338&gt;$D$33,0,IF(Input!Z$55=0,0,IF(Input!Z$55&lt;31,Input!Z$55/30*Z433,IF(Input!Z$55&lt;61,(Input!Z$55-30)/30*Z432+Z433,IF(Input!Z$55&lt;91,(Input!Z$55-60)/30*Z431+Z432+Z433,IF(Input!Z$55&lt;121,(Input!Z$55-90)/30*Z430+Z431+Z432+Z433,IF(Input!Z$55&lt;151,(Input!Z$55-120)/30*Z429+Z430+Z431+Z432+Z433,(Input!Z$55-150)/30*Z428+Z429+Z430+Z431+Z432+Z433)))))))</f>
        <v>0</v>
      </c>
      <c r="AA1068" s="230">
        <f>IF(AA$338&gt;$D$33,0,IF(Input!AA$55=0,0,IF(Input!AA$55&lt;31,Input!AA$55/30*AA433,IF(Input!AA$55&lt;61,(Input!AA$55-30)/30*AA432+AA433,IF(Input!AA$55&lt;91,(Input!AA$55-60)/30*AA431+AA432+AA433,IF(Input!AA$55&lt;121,(Input!AA$55-90)/30*AA430+AA431+AA432+AA433,IF(Input!AA$55&lt;151,(Input!AA$55-120)/30*AA429+AA430+AA431+AA432+AA433,(Input!AA$55-150)/30*AA428+AA429+AA430+AA431+AA432+AA433)))))))</f>
        <v>0</v>
      </c>
      <c r="AB1068" s="230">
        <f>IF(AB$338&gt;$D$33,0,IF(Input!AB$55=0,0,IF(Input!AB$55&lt;31,Input!AB$55/30*AB433,IF(Input!AB$55&lt;61,(Input!AB$55-30)/30*AB432+AB433,IF(Input!AB$55&lt;91,(Input!AB$55-60)/30*AB431+AB432+AB433,IF(Input!AB$55&lt;121,(Input!AB$55-90)/30*AB430+AB431+AB432+AB433,IF(Input!AB$55&lt;151,(Input!AB$55-120)/30*AB429+AB430+AB431+AB432+AB433,(Input!AB$55-150)/30*AB428+AB429+AB430+AB431+AB432+AB433)))))))</f>
        <v>0</v>
      </c>
      <c r="CH1068" s="269"/>
      <c r="CI1068" s="269"/>
      <c r="CJ1068" s="269"/>
      <c r="CK1068" s="269"/>
      <c r="CL1068" s="269"/>
      <c r="CM1068" s="269"/>
      <c r="CN1068" s="269"/>
      <c r="CO1068" s="269"/>
      <c r="CP1068" s="269"/>
      <c r="CQ1068" s="269"/>
      <c r="CR1068" s="269"/>
      <c r="CS1068" s="269"/>
    </row>
    <row r="1069" spans="3:97" x14ac:dyDescent="0.3">
      <c r="C1069" s="495">
        <f>C1006</f>
        <v>762</v>
      </c>
      <c r="D1069" s="231">
        <f>IF(D$338&gt;$D$33,0,IF(Input!D$55=0,0,IF(Input!D$55&lt;31,Input!D$55/30*D434,IF(Input!D$55&lt;61,(Input!D$55-30)/30*D433+D434,IF(Input!D$55&lt;91,(Input!D$55-60)/30*D432+D433+D434,IF(Input!D$55&lt;121,(Input!D$55-90)/30*D431+D432+D433+D434,IF(Input!D$55&lt;151,(Input!D$55-120)/30*D430+D431+D432+D433+D434,(Input!D$55-150)/30*D429+D430+D431+D432+D433+D434)))))))</f>
        <v>0</v>
      </c>
      <c r="E1069" s="231">
        <f>IF(E$338&gt;$D$33,0,IF(Input!E$55=0,0,IF(Input!E$55&lt;31,Input!E$55/30*E434,IF(Input!E$55&lt;61,(Input!E$55-30)/30*E433+E434,IF(Input!E$55&lt;91,(Input!E$55-60)/30*E432+E433+E434,IF(Input!E$55&lt;121,(Input!E$55-90)/30*E431+E432+E433+E434,IF(Input!E$55&lt;151,(Input!E$55-120)/30*E430+E431+E432+E433+E434,(Input!E$55-150)/30*E429+E430+E431+E432+E433+E434)))))))</f>
        <v>0</v>
      </c>
      <c r="F1069" s="231">
        <f>IF(F$338&gt;$D$33,0,IF(Input!F$55=0,0,IF(Input!F$55&lt;31,Input!F$55/30*F434,IF(Input!F$55&lt;61,(Input!F$55-30)/30*F433+F434,IF(Input!F$55&lt;91,(Input!F$55-60)/30*F432+F433+F434,IF(Input!F$55&lt;121,(Input!F$55-90)/30*F431+F432+F433+F434,IF(Input!F$55&lt;151,(Input!F$55-120)/30*F430+F431+F432+F433+F434,(Input!F$55-150)/30*F429+F430+F431+F432+F433+F434)))))))</f>
        <v>0</v>
      </c>
      <c r="G1069" s="231">
        <f>IF(G$338&gt;$D$33,0,IF(Input!G$55=0,0,IF(Input!G$55&lt;31,Input!G$55/30*G434,IF(Input!G$55&lt;61,(Input!G$55-30)/30*G433+G434,IF(Input!G$55&lt;91,(Input!G$55-60)/30*G432+G433+G434,IF(Input!G$55&lt;121,(Input!G$55-90)/30*G431+G432+G433+G434,IF(Input!G$55&lt;151,(Input!G$55-120)/30*G430+G431+G432+G433+G434,(Input!G$55-150)/30*G429+G430+G431+G432+G433+G434)))))))</f>
        <v>0</v>
      </c>
      <c r="H1069" s="231">
        <f>IF(H$338&gt;$D$33,0,IF(Input!H$55=0,0,IF(Input!H$55&lt;31,Input!H$55/30*H434,IF(Input!H$55&lt;61,(Input!H$55-30)/30*H433+H434,IF(Input!H$55&lt;91,(Input!H$55-60)/30*H432+H433+H434,IF(Input!H$55&lt;121,(Input!H$55-90)/30*H431+H432+H433+H434,IF(Input!H$55&lt;151,(Input!H$55-120)/30*H430+H431+H432+H433+H434,(Input!H$55-150)/30*H429+H430+H431+H432+H433+H434)))))))</f>
        <v>0</v>
      </c>
      <c r="I1069" s="231">
        <f>IF(I$338&gt;$D$33,0,IF(Input!I$55=0,0,IF(Input!I$55&lt;31,Input!I$55/30*I434,IF(Input!I$55&lt;61,(Input!I$55-30)/30*I433+I434,IF(Input!I$55&lt;91,(Input!I$55-60)/30*I432+I433+I434,IF(Input!I$55&lt;121,(Input!I$55-90)/30*I431+I432+I433+I434,IF(Input!I$55&lt;151,(Input!I$55-120)/30*I430+I431+I432+I433+I434,(Input!I$55-150)/30*I429+I430+I431+I432+I433+I434)))))))</f>
        <v>0</v>
      </c>
      <c r="J1069" s="231">
        <f>IF(J$338&gt;$D$33,0,IF(Input!J$55=0,0,IF(Input!J$55&lt;31,Input!J$55/30*J434,IF(Input!J$55&lt;61,(Input!J$55-30)/30*J433+J434,IF(Input!J$55&lt;91,(Input!J$55-60)/30*J432+J433+J434,IF(Input!J$55&lt;121,(Input!J$55-90)/30*J431+J432+J433+J434,IF(Input!J$55&lt;151,(Input!J$55-120)/30*J430+J431+J432+J433+J434,(Input!J$55-150)/30*J429+J430+J431+J432+J433+J434)))))))</f>
        <v>0</v>
      </c>
      <c r="K1069" s="231">
        <f>IF(K$338&gt;$D$33,0,IF(Input!K$55=0,0,IF(Input!K$55&lt;31,Input!K$55/30*K434,IF(Input!K$55&lt;61,(Input!K$55-30)/30*K433+K434,IF(Input!K$55&lt;91,(Input!K$55-60)/30*K432+K433+K434,IF(Input!K$55&lt;121,(Input!K$55-90)/30*K431+K432+K433+K434,IF(Input!K$55&lt;151,(Input!K$55-120)/30*K430+K431+K432+K433+K434,(Input!K$55-150)/30*K429+K430+K431+K432+K433+K434)))))))</f>
        <v>0</v>
      </c>
      <c r="L1069" s="231">
        <f>IF(L$338&gt;$D$33,0,IF(Input!L$55=0,0,IF(Input!L$55&lt;31,Input!L$55/30*L434,IF(Input!L$55&lt;61,(Input!L$55-30)/30*L433+L434,IF(Input!L$55&lt;91,(Input!L$55-60)/30*L432+L433+L434,IF(Input!L$55&lt;121,(Input!L$55-90)/30*L431+L432+L433+L434,IF(Input!L$55&lt;151,(Input!L$55-120)/30*L430+L431+L432+L433+L434,(Input!L$55-150)/30*L429+L430+L431+L432+L433+L434)))))))</f>
        <v>0</v>
      </c>
      <c r="M1069" s="231">
        <f>IF(M$338&gt;$D$33,0,IF(Input!M$55=0,0,IF(Input!M$55&lt;31,Input!M$55/30*M434,IF(Input!M$55&lt;61,(Input!M$55-30)/30*M433+M434,IF(Input!M$55&lt;91,(Input!M$55-60)/30*M432+M433+M434,IF(Input!M$55&lt;121,(Input!M$55-90)/30*M431+M432+M433+M434,IF(Input!M$55&lt;151,(Input!M$55-120)/30*M430+M431+M432+M433+M434,(Input!M$55-150)/30*M429+M430+M431+M432+M433+M434)))))))</f>
        <v>0</v>
      </c>
      <c r="N1069" s="231">
        <f>IF(N$338&gt;$D$33,0,IF(Input!N$55=0,0,IF(Input!N$55&lt;31,Input!N$55/30*N434,IF(Input!N$55&lt;61,(Input!N$55-30)/30*N433+N434,IF(Input!N$55&lt;91,(Input!N$55-60)/30*N432+N433+N434,IF(Input!N$55&lt;121,(Input!N$55-90)/30*N431+N432+N433+N434,IF(Input!N$55&lt;151,(Input!N$55-120)/30*N430+N431+N432+N433+N434,(Input!N$55-150)/30*N429+N430+N431+N432+N433+N434)))))))</f>
        <v>0</v>
      </c>
      <c r="O1069" s="231">
        <f>IF(O$338&gt;$D$33,0,IF(Input!O$55=0,0,IF(Input!O$55&lt;31,Input!O$55/30*O434,IF(Input!O$55&lt;61,(Input!O$55-30)/30*O433+O434,IF(Input!O$55&lt;91,(Input!O$55-60)/30*O432+O433+O434,IF(Input!O$55&lt;121,(Input!O$55-90)/30*O431+O432+O433+O434,IF(Input!O$55&lt;151,(Input!O$55-120)/30*O430+O431+O432+O433+O434,(Input!O$55-150)/30*O429+O430+O431+O432+O433+O434)))))))</f>
        <v>0</v>
      </c>
      <c r="P1069" s="231">
        <f>IF(P$338&gt;$D$33,0,IF(Input!P$55=0,0,IF(Input!P$55&lt;31,Input!P$55/30*P434,IF(Input!P$55&lt;61,(Input!P$55-30)/30*P433+P434,IF(Input!P$55&lt;91,(Input!P$55-60)/30*P432+P433+P434,IF(Input!P$55&lt;121,(Input!P$55-90)/30*P431+P432+P433+P434,IF(Input!P$55&lt;151,(Input!P$55-120)/30*P430+P431+P432+P433+P434,(Input!P$55-150)/30*P429+P430+P431+P432+P433+P434)))))))</f>
        <v>0</v>
      </c>
      <c r="Q1069" s="231">
        <f>IF(Q$338&gt;$D$33,0,IF(Input!Q$55=0,0,IF(Input!Q$55&lt;31,Input!Q$55/30*Q434,IF(Input!Q$55&lt;61,(Input!Q$55-30)/30*Q433+Q434,IF(Input!Q$55&lt;91,(Input!Q$55-60)/30*Q432+Q433+Q434,IF(Input!Q$55&lt;121,(Input!Q$55-90)/30*Q431+Q432+Q433+Q434,IF(Input!Q$55&lt;151,(Input!Q$55-120)/30*Q430+Q431+Q432+Q433+Q434,(Input!Q$55-150)/30*Q429+Q430+Q431+Q432+Q433+Q434)))))))</f>
        <v>0</v>
      </c>
      <c r="R1069" s="231">
        <f>IF(R$338&gt;$D$33,0,IF(Input!R$55=0,0,IF(Input!R$55&lt;31,Input!R$55/30*R434,IF(Input!R$55&lt;61,(Input!R$55-30)/30*R433+R434,IF(Input!R$55&lt;91,(Input!R$55-60)/30*R432+R433+R434,IF(Input!R$55&lt;121,(Input!R$55-90)/30*R431+R432+R433+R434,IF(Input!R$55&lt;151,(Input!R$55-120)/30*R430+R431+R432+R433+R434,(Input!R$55-150)/30*R429+R430+R431+R432+R433+R434)))))))</f>
        <v>0</v>
      </c>
      <c r="S1069" s="231">
        <f>IF(S$338&gt;$D$33,0,IF(Input!S$55=0,0,IF(Input!S$55&lt;31,Input!S$55/30*S434,IF(Input!S$55&lt;61,(Input!S$55-30)/30*S433+S434,IF(Input!S$55&lt;91,(Input!S$55-60)/30*S432+S433+S434,IF(Input!S$55&lt;121,(Input!S$55-90)/30*S431+S432+S433+S434,IF(Input!S$55&lt;151,(Input!S$55-120)/30*S430+S431+S432+S433+S434,(Input!S$55-150)/30*S429+S430+S431+S432+S433+S434)))))))</f>
        <v>0</v>
      </c>
      <c r="T1069" s="231">
        <f>IF(T$338&gt;$D$33,0,IF(Input!T$55=0,0,IF(Input!T$55&lt;31,Input!T$55/30*T434,IF(Input!T$55&lt;61,(Input!T$55-30)/30*T433+T434,IF(Input!T$55&lt;91,(Input!T$55-60)/30*T432+T433+T434,IF(Input!T$55&lt;121,(Input!T$55-90)/30*T431+T432+T433+T434,IF(Input!T$55&lt;151,(Input!T$55-120)/30*T430+T431+T432+T433+T434,(Input!T$55-150)/30*T429+T430+T431+T432+T433+T434)))))))</f>
        <v>0</v>
      </c>
      <c r="U1069" s="231">
        <f>IF(U$338&gt;$D$33,0,IF(Input!U$55=0,0,IF(Input!U$55&lt;31,Input!U$55/30*U434,IF(Input!U$55&lt;61,(Input!U$55-30)/30*U433+U434,IF(Input!U$55&lt;91,(Input!U$55-60)/30*U432+U433+U434,IF(Input!U$55&lt;121,(Input!U$55-90)/30*U431+U432+U433+U434,IF(Input!U$55&lt;151,(Input!U$55-120)/30*U430+U431+U432+U433+U434,(Input!U$55-150)/30*U429+U430+U431+U432+U433+U434)))))))</f>
        <v>0</v>
      </c>
      <c r="V1069" s="231">
        <f>IF(V$338&gt;$D$33,0,IF(Input!V$55=0,0,IF(Input!V$55&lt;31,Input!V$55/30*V434,IF(Input!V$55&lt;61,(Input!V$55-30)/30*V433+V434,IF(Input!V$55&lt;91,(Input!V$55-60)/30*V432+V433+V434,IF(Input!V$55&lt;121,(Input!V$55-90)/30*V431+V432+V433+V434,IF(Input!V$55&lt;151,(Input!V$55-120)/30*V430+V431+V432+V433+V434,(Input!V$55-150)/30*V429+V430+V431+V432+V433+V434)))))))</f>
        <v>0</v>
      </c>
      <c r="W1069" s="231">
        <f>IF(W$338&gt;$D$33,0,IF(Input!W$55=0,0,IF(Input!W$55&lt;31,Input!W$55/30*W434,IF(Input!W$55&lt;61,(Input!W$55-30)/30*W433+W434,IF(Input!W$55&lt;91,(Input!W$55-60)/30*W432+W433+W434,IF(Input!W$55&lt;121,(Input!W$55-90)/30*W431+W432+W433+W434,IF(Input!W$55&lt;151,(Input!W$55-120)/30*W430+W431+W432+W433+W434,(Input!W$55-150)/30*W429+W430+W431+W432+W433+W434)))))))</f>
        <v>0</v>
      </c>
      <c r="X1069" s="231">
        <f>IF(X$338&gt;$D$33,0,IF(Input!X$55=0,0,IF(Input!X$55&lt;31,Input!X$55/30*X434,IF(Input!X$55&lt;61,(Input!X$55-30)/30*X433+X434,IF(Input!X$55&lt;91,(Input!X$55-60)/30*X432+X433+X434,IF(Input!X$55&lt;121,(Input!X$55-90)/30*X431+X432+X433+X434,IF(Input!X$55&lt;151,(Input!X$55-120)/30*X430+X431+X432+X433+X434,(Input!X$55-150)/30*X429+X430+X431+X432+X433+X434)))))))</f>
        <v>0</v>
      </c>
      <c r="Y1069" s="231">
        <f>IF(Y$338&gt;$D$33,0,IF(Input!Y$55=0,0,IF(Input!Y$55&lt;31,Input!Y$55/30*Y434,IF(Input!Y$55&lt;61,(Input!Y$55-30)/30*Y433+Y434,IF(Input!Y$55&lt;91,(Input!Y$55-60)/30*Y432+Y433+Y434,IF(Input!Y$55&lt;121,(Input!Y$55-90)/30*Y431+Y432+Y433+Y434,IF(Input!Y$55&lt;151,(Input!Y$55-120)/30*Y430+Y431+Y432+Y433+Y434,(Input!Y$55-150)/30*Y429+Y430+Y431+Y432+Y433+Y434)))))))</f>
        <v>0</v>
      </c>
      <c r="Z1069" s="231">
        <f>IF(Z$338&gt;$D$33,0,IF(Input!Z$55=0,0,IF(Input!Z$55&lt;31,Input!Z$55/30*Z434,IF(Input!Z$55&lt;61,(Input!Z$55-30)/30*Z433+Z434,IF(Input!Z$55&lt;91,(Input!Z$55-60)/30*Z432+Z433+Z434,IF(Input!Z$55&lt;121,(Input!Z$55-90)/30*Z431+Z432+Z433+Z434,IF(Input!Z$55&lt;151,(Input!Z$55-120)/30*Z430+Z431+Z432+Z433+Z434,(Input!Z$55-150)/30*Z429+Z430+Z431+Z432+Z433+Z434)))))))</f>
        <v>0</v>
      </c>
      <c r="AA1069" s="231">
        <f>IF(AA$338&gt;$D$33,0,IF(Input!AA$55=0,0,IF(Input!AA$55&lt;31,Input!AA$55/30*AA434,IF(Input!AA$55&lt;61,(Input!AA$55-30)/30*AA433+AA434,IF(Input!AA$55&lt;91,(Input!AA$55-60)/30*AA432+AA433+AA434,IF(Input!AA$55&lt;121,(Input!AA$55-90)/30*AA431+AA432+AA433+AA434,IF(Input!AA$55&lt;151,(Input!AA$55-120)/30*AA430+AA431+AA432+AA433+AA434,(Input!AA$55-150)/30*AA429+AA430+AA431+AA432+AA433+AA434)))))))</f>
        <v>0</v>
      </c>
      <c r="AB1069" s="231">
        <f>IF(AB$338&gt;$D$33,0,IF(Input!AB$55=0,0,IF(Input!AB$55&lt;31,Input!AB$55/30*AB434,IF(Input!AB$55&lt;61,(Input!AB$55-30)/30*AB433+AB434,IF(Input!AB$55&lt;91,(Input!AB$55-60)/30*AB432+AB433+AB434,IF(Input!AB$55&lt;121,(Input!AB$55-90)/30*AB431+AB432+AB433+AB434,IF(Input!AB$55&lt;151,(Input!AB$55-120)/30*AB430+AB431+AB432+AB433+AB434,(Input!AB$55-150)/30*AB429+AB430+AB431+AB432+AB433+AB434)))))))</f>
        <v>0</v>
      </c>
      <c r="CH1069" s="269"/>
      <c r="CI1069" s="269"/>
      <c r="CJ1069" s="269"/>
      <c r="CK1069" s="269"/>
      <c r="CL1069" s="269"/>
      <c r="CM1069" s="269"/>
      <c r="CN1069" s="269"/>
      <c r="CO1069" s="269"/>
      <c r="CP1069" s="269"/>
      <c r="CQ1069" s="269"/>
      <c r="CR1069" s="269"/>
      <c r="CS1069" s="269"/>
    </row>
    <row r="1070" spans="3:97" x14ac:dyDescent="0.3">
      <c r="C1070" s="495">
        <f>C1007</f>
        <v>790</v>
      </c>
      <c r="D1070" s="229">
        <f>IF(D$338&gt;$D$33,0,IF(Input!D$55=0,0,IF(Input!D$55&lt;31,Input!D$55/30*D435,IF(Input!D$55&lt;61,(Input!D$55-30)/30*D434+D435,IF(Input!D$55&lt;91,(Input!D$55-60)/30*D433+D434+D435,IF(Input!D$55&lt;121,(Input!D$55-90)/30*D432+D433+D434+D435,IF(Input!D$55&lt;151,(Input!D$55-120)/30*D431+D432+D433+D434+D435,(Input!D$55-150)/30*D430+D431+D432+D433+D434+D435)))))))</f>
        <v>0</v>
      </c>
      <c r="E1070" s="229">
        <f>IF(E$338&gt;$D$33,0,IF(Input!E$55=0,0,IF(Input!E$55&lt;31,Input!E$55/30*E435,IF(Input!E$55&lt;61,(Input!E$55-30)/30*E434+E435,IF(Input!E$55&lt;91,(Input!E$55-60)/30*E433+E434+E435,IF(Input!E$55&lt;121,(Input!E$55-90)/30*E432+E433+E434+E435,IF(Input!E$55&lt;151,(Input!E$55-120)/30*E431+E432+E433+E434+E435,(Input!E$55-150)/30*E430+E431+E432+E433+E434+E435)))))))</f>
        <v>0</v>
      </c>
      <c r="F1070" s="229">
        <f>IF(F$338&gt;$D$33,0,IF(Input!F$55=0,0,IF(Input!F$55&lt;31,Input!F$55/30*F435,IF(Input!F$55&lt;61,(Input!F$55-30)/30*F434+F435,IF(Input!F$55&lt;91,(Input!F$55-60)/30*F433+F434+F435,IF(Input!F$55&lt;121,(Input!F$55-90)/30*F432+F433+F434+F435,IF(Input!F$55&lt;151,(Input!F$55-120)/30*F431+F432+F433+F434+F435,(Input!F$55-150)/30*F430+F431+F432+F433+F434+F435)))))))</f>
        <v>0</v>
      </c>
      <c r="G1070" s="229">
        <f>IF(G$338&gt;$D$33,0,IF(Input!G$55=0,0,IF(Input!G$55&lt;31,Input!G$55/30*G435,IF(Input!G$55&lt;61,(Input!G$55-30)/30*G434+G435,IF(Input!G$55&lt;91,(Input!G$55-60)/30*G433+G434+G435,IF(Input!G$55&lt;121,(Input!G$55-90)/30*G432+G433+G434+G435,IF(Input!G$55&lt;151,(Input!G$55-120)/30*G431+G432+G433+G434+G435,(Input!G$55-150)/30*G430+G431+G432+G433+G434+G435)))))))</f>
        <v>0</v>
      </c>
      <c r="H1070" s="229">
        <f>IF(H$338&gt;$D$33,0,IF(Input!H$55=0,0,IF(Input!H$55&lt;31,Input!H$55/30*H435,IF(Input!H$55&lt;61,(Input!H$55-30)/30*H434+H435,IF(Input!H$55&lt;91,(Input!H$55-60)/30*H433+H434+H435,IF(Input!H$55&lt;121,(Input!H$55-90)/30*H432+H433+H434+H435,IF(Input!H$55&lt;151,(Input!H$55-120)/30*H431+H432+H433+H434+H435,(Input!H$55-150)/30*H430+H431+H432+H433+H434+H435)))))))</f>
        <v>0</v>
      </c>
      <c r="I1070" s="229">
        <f>IF(I$338&gt;$D$33,0,IF(Input!I$55=0,0,IF(Input!I$55&lt;31,Input!I$55/30*I435,IF(Input!I$55&lt;61,(Input!I$55-30)/30*I434+I435,IF(Input!I$55&lt;91,(Input!I$55-60)/30*I433+I434+I435,IF(Input!I$55&lt;121,(Input!I$55-90)/30*I432+I433+I434+I435,IF(Input!I$55&lt;151,(Input!I$55-120)/30*I431+I432+I433+I434+I435,(Input!I$55-150)/30*I430+I431+I432+I433+I434+I435)))))))</f>
        <v>0</v>
      </c>
      <c r="J1070" s="229">
        <f>IF(J$338&gt;$D$33,0,IF(Input!J$55=0,0,IF(Input!J$55&lt;31,Input!J$55/30*J435,IF(Input!J$55&lt;61,(Input!J$55-30)/30*J434+J435,IF(Input!J$55&lt;91,(Input!J$55-60)/30*J433+J434+J435,IF(Input!J$55&lt;121,(Input!J$55-90)/30*J432+J433+J434+J435,IF(Input!J$55&lt;151,(Input!J$55-120)/30*J431+J432+J433+J434+J435,(Input!J$55-150)/30*J430+J431+J432+J433+J434+J435)))))))</f>
        <v>0</v>
      </c>
      <c r="K1070" s="229">
        <f>IF(K$338&gt;$D$33,0,IF(Input!K$55=0,0,IF(Input!K$55&lt;31,Input!K$55/30*K435,IF(Input!K$55&lt;61,(Input!K$55-30)/30*K434+K435,IF(Input!K$55&lt;91,(Input!K$55-60)/30*K433+K434+K435,IF(Input!K$55&lt;121,(Input!K$55-90)/30*K432+K433+K434+K435,IF(Input!K$55&lt;151,(Input!K$55-120)/30*K431+K432+K433+K434+K435,(Input!K$55-150)/30*K430+K431+K432+K433+K434+K435)))))))</f>
        <v>0</v>
      </c>
      <c r="L1070" s="229">
        <f>IF(L$338&gt;$D$33,0,IF(Input!L$55=0,0,IF(Input!L$55&lt;31,Input!L$55/30*L435,IF(Input!L$55&lt;61,(Input!L$55-30)/30*L434+L435,IF(Input!L$55&lt;91,(Input!L$55-60)/30*L433+L434+L435,IF(Input!L$55&lt;121,(Input!L$55-90)/30*L432+L433+L434+L435,IF(Input!L$55&lt;151,(Input!L$55-120)/30*L431+L432+L433+L434+L435,(Input!L$55-150)/30*L430+L431+L432+L433+L434+L435)))))))</f>
        <v>0</v>
      </c>
      <c r="M1070" s="229">
        <f>IF(M$338&gt;$D$33,0,IF(Input!M$55=0,0,IF(Input!M$55&lt;31,Input!M$55/30*M435,IF(Input!M$55&lt;61,(Input!M$55-30)/30*M434+M435,IF(Input!M$55&lt;91,(Input!M$55-60)/30*M433+M434+M435,IF(Input!M$55&lt;121,(Input!M$55-90)/30*M432+M433+M434+M435,IF(Input!M$55&lt;151,(Input!M$55-120)/30*M431+M432+M433+M434+M435,(Input!M$55-150)/30*M430+M431+M432+M433+M434+M435)))))))</f>
        <v>0</v>
      </c>
      <c r="N1070" s="229">
        <f>IF(N$338&gt;$D$33,0,IF(Input!N$55=0,0,IF(Input!N$55&lt;31,Input!N$55/30*N435,IF(Input!N$55&lt;61,(Input!N$55-30)/30*N434+N435,IF(Input!N$55&lt;91,(Input!N$55-60)/30*N433+N434+N435,IF(Input!N$55&lt;121,(Input!N$55-90)/30*N432+N433+N434+N435,IF(Input!N$55&lt;151,(Input!N$55-120)/30*N431+N432+N433+N434+N435,(Input!N$55-150)/30*N430+N431+N432+N433+N434+N435)))))))</f>
        <v>0</v>
      </c>
      <c r="O1070" s="229">
        <f>IF(O$338&gt;$D$33,0,IF(Input!O$55=0,0,IF(Input!O$55&lt;31,Input!O$55/30*O435,IF(Input!O$55&lt;61,(Input!O$55-30)/30*O434+O435,IF(Input!O$55&lt;91,(Input!O$55-60)/30*O433+O434+O435,IF(Input!O$55&lt;121,(Input!O$55-90)/30*O432+O433+O434+O435,IF(Input!O$55&lt;151,(Input!O$55-120)/30*O431+O432+O433+O434+O435,(Input!O$55-150)/30*O430+O431+O432+O433+O434+O435)))))))</f>
        <v>0</v>
      </c>
      <c r="P1070" s="229">
        <f>IF(P$338&gt;$D$33,0,IF(Input!P$55=0,0,IF(Input!P$55&lt;31,Input!P$55/30*P435,IF(Input!P$55&lt;61,(Input!P$55-30)/30*P434+P435,IF(Input!P$55&lt;91,(Input!P$55-60)/30*P433+P434+P435,IF(Input!P$55&lt;121,(Input!P$55-90)/30*P432+P433+P434+P435,IF(Input!P$55&lt;151,(Input!P$55-120)/30*P431+P432+P433+P434+P435,(Input!P$55-150)/30*P430+P431+P432+P433+P434+P435)))))))</f>
        <v>0</v>
      </c>
      <c r="Q1070" s="229">
        <f>IF(Q$338&gt;$D$33,0,IF(Input!Q$55=0,0,IF(Input!Q$55&lt;31,Input!Q$55/30*Q435,IF(Input!Q$55&lt;61,(Input!Q$55-30)/30*Q434+Q435,IF(Input!Q$55&lt;91,(Input!Q$55-60)/30*Q433+Q434+Q435,IF(Input!Q$55&lt;121,(Input!Q$55-90)/30*Q432+Q433+Q434+Q435,IF(Input!Q$55&lt;151,(Input!Q$55-120)/30*Q431+Q432+Q433+Q434+Q435,(Input!Q$55-150)/30*Q430+Q431+Q432+Q433+Q434+Q435)))))))</f>
        <v>0</v>
      </c>
      <c r="R1070" s="229">
        <f>IF(R$338&gt;$D$33,0,IF(Input!R$55=0,0,IF(Input!R$55&lt;31,Input!R$55/30*R435,IF(Input!R$55&lt;61,(Input!R$55-30)/30*R434+R435,IF(Input!R$55&lt;91,(Input!R$55-60)/30*R433+R434+R435,IF(Input!R$55&lt;121,(Input!R$55-90)/30*R432+R433+R434+R435,IF(Input!R$55&lt;151,(Input!R$55-120)/30*R431+R432+R433+R434+R435,(Input!R$55-150)/30*R430+R431+R432+R433+R434+R435)))))))</f>
        <v>0</v>
      </c>
      <c r="S1070" s="229">
        <f>IF(S$338&gt;$D$33,0,IF(Input!S$55=0,0,IF(Input!S$55&lt;31,Input!S$55/30*S435,IF(Input!S$55&lt;61,(Input!S$55-30)/30*S434+S435,IF(Input!S$55&lt;91,(Input!S$55-60)/30*S433+S434+S435,IF(Input!S$55&lt;121,(Input!S$55-90)/30*S432+S433+S434+S435,IF(Input!S$55&lt;151,(Input!S$55-120)/30*S431+S432+S433+S434+S435,(Input!S$55-150)/30*S430+S431+S432+S433+S434+S435)))))))</f>
        <v>0</v>
      </c>
      <c r="T1070" s="229">
        <f>IF(T$338&gt;$D$33,0,IF(Input!T$55=0,0,IF(Input!T$55&lt;31,Input!T$55/30*T435,IF(Input!T$55&lt;61,(Input!T$55-30)/30*T434+T435,IF(Input!T$55&lt;91,(Input!T$55-60)/30*T433+T434+T435,IF(Input!T$55&lt;121,(Input!T$55-90)/30*T432+T433+T434+T435,IF(Input!T$55&lt;151,(Input!T$55-120)/30*T431+T432+T433+T434+T435,(Input!T$55-150)/30*T430+T431+T432+T433+T434+T435)))))))</f>
        <v>0</v>
      </c>
      <c r="U1070" s="229">
        <f>IF(U$338&gt;$D$33,0,IF(Input!U$55=0,0,IF(Input!U$55&lt;31,Input!U$55/30*U435,IF(Input!U$55&lt;61,(Input!U$55-30)/30*U434+U435,IF(Input!U$55&lt;91,(Input!U$55-60)/30*U433+U434+U435,IF(Input!U$55&lt;121,(Input!U$55-90)/30*U432+U433+U434+U435,IF(Input!U$55&lt;151,(Input!U$55-120)/30*U431+U432+U433+U434+U435,(Input!U$55-150)/30*U430+U431+U432+U433+U434+U435)))))))</f>
        <v>0</v>
      </c>
      <c r="V1070" s="229">
        <f>IF(V$338&gt;$D$33,0,IF(Input!V$55=0,0,IF(Input!V$55&lt;31,Input!V$55/30*V435,IF(Input!V$55&lt;61,(Input!V$55-30)/30*V434+V435,IF(Input!V$55&lt;91,(Input!V$55-60)/30*V433+V434+V435,IF(Input!V$55&lt;121,(Input!V$55-90)/30*V432+V433+V434+V435,IF(Input!V$55&lt;151,(Input!V$55-120)/30*V431+V432+V433+V434+V435,(Input!V$55-150)/30*V430+V431+V432+V433+V434+V435)))))))</f>
        <v>0</v>
      </c>
      <c r="W1070" s="229">
        <f>IF(W$338&gt;$D$33,0,IF(Input!W$55=0,0,IF(Input!W$55&lt;31,Input!W$55/30*W435,IF(Input!W$55&lt;61,(Input!W$55-30)/30*W434+W435,IF(Input!W$55&lt;91,(Input!W$55-60)/30*W433+W434+W435,IF(Input!W$55&lt;121,(Input!W$55-90)/30*W432+W433+W434+W435,IF(Input!W$55&lt;151,(Input!W$55-120)/30*W431+W432+W433+W434+W435,(Input!W$55-150)/30*W430+W431+W432+W433+W434+W435)))))))</f>
        <v>0</v>
      </c>
      <c r="X1070" s="229">
        <f>IF(X$338&gt;$D$33,0,IF(Input!X$55=0,0,IF(Input!X$55&lt;31,Input!X$55/30*X435,IF(Input!X$55&lt;61,(Input!X$55-30)/30*X434+X435,IF(Input!X$55&lt;91,(Input!X$55-60)/30*X433+X434+X435,IF(Input!X$55&lt;121,(Input!X$55-90)/30*X432+X433+X434+X435,IF(Input!X$55&lt;151,(Input!X$55-120)/30*X431+X432+X433+X434+X435,(Input!X$55-150)/30*X430+X431+X432+X433+X434+X435)))))))</f>
        <v>0</v>
      </c>
      <c r="Y1070" s="229">
        <f>IF(Y$338&gt;$D$33,0,IF(Input!Y$55=0,0,IF(Input!Y$55&lt;31,Input!Y$55/30*Y435,IF(Input!Y$55&lt;61,(Input!Y$55-30)/30*Y434+Y435,IF(Input!Y$55&lt;91,(Input!Y$55-60)/30*Y433+Y434+Y435,IF(Input!Y$55&lt;121,(Input!Y$55-90)/30*Y432+Y433+Y434+Y435,IF(Input!Y$55&lt;151,(Input!Y$55-120)/30*Y431+Y432+Y433+Y434+Y435,(Input!Y$55-150)/30*Y430+Y431+Y432+Y433+Y434+Y435)))))))</f>
        <v>0</v>
      </c>
      <c r="Z1070" s="229">
        <f>IF(Z$338&gt;$D$33,0,IF(Input!Z$55=0,0,IF(Input!Z$55&lt;31,Input!Z$55/30*Z435,IF(Input!Z$55&lt;61,(Input!Z$55-30)/30*Z434+Z435,IF(Input!Z$55&lt;91,(Input!Z$55-60)/30*Z433+Z434+Z435,IF(Input!Z$55&lt;121,(Input!Z$55-90)/30*Z432+Z433+Z434+Z435,IF(Input!Z$55&lt;151,(Input!Z$55-120)/30*Z431+Z432+Z433+Z434+Z435,(Input!Z$55-150)/30*Z430+Z431+Z432+Z433+Z434+Z435)))))))</f>
        <v>0</v>
      </c>
      <c r="AA1070" s="229">
        <f>IF(AA$338&gt;$D$33,0,IF(Input!AA$55=0,0,IF(Input!AA$55&lt;31,Input!AA$55/30*AA435,IF(Input!AA$55&lt;61,(Input!AA$55-30)/30*AA434+AA435,IF(Input!AA$55&lt;91,(Input!AA$55-60)/30*AA433+AA434+AA435,IF(Input!AA$55&lt;121,(Input!AA$55-90)/30*AA432+AA433+AA434+AA435,IF(Input!AA$55&lt;151,(Input!AA$55-120)/30*AA431+AA432+AA433+AA434+AA435,(Input!AA$55-150)/30*AA430+AA431+AA432+AA433+AA434+AA435)))))))</f>
        <v>0</v>
      </c>
      <c r="AB1070" s="229">
        <f>IF(AB$338&gt;$D$33,0,IF(Input!AB$55=0,0,IF(Input!AB$55&lt;31,Input!AB$55/30*AB435,IF(Input!AB$55&lt;61,(Input!AB$55-30)/30*AB434+AB435,IF(Input!AB$55&lt;91,(Input!AB$55-60)/30*AB433+AB434+AB435,IF(Input!AB$55&lt;121,(Input!AB$55-90)/30*AB432+AB433+AB434+AB435,IF(Input!AB$55&lt;151,(Input!AB$55-120)/30*AB431+AB432+AB433+AB434+AB435,(Input!AB$55-150)/30*AB430+AB431+AB432+AB433+AB434+AB435)))))))</f>
        <v>0</v>
      </c>
      <c r="CH1070" s="269"/>
      <c r="CI1070" s="269"/>
      <c r="CJ1070" s="269"/>
      <c r="CK1070" s="269"/>
      <c r="CL1070" s="269"/>
      <c r="CM1070" s="269"/>
      <c r="CN1070" s="269"/>
      <c r="CO1070" s="269"/>
      <c r="CP1070" s="269"/>
      <c r="CQ1070" s="269"/>
      <c r="CR1070" s="269"/>
      <c r="CS1070" s="269"/>
    </row>
    <row r="1071" spans="3:97" x14ac:dyDescent="0.3">
      <c r="C1071" s="495">
        <f>C1008</f>
        <v>821</v>
      </c>
      <c r="D1071" s="229">
        <f>IF(D$338&gt;$D$33,0,IF(Input!D$55=0,0,IF(Input!D$55&lt;31,Input!D$55/30*D436,IF(Input!D$55&lt;61,(Input!D$55-30)/30*D435+D436,IF(Input!D$55&lt;91,(Input!D$55-60)/30*D434+D435+D436,IF(Input!D$55&lt;121,(Input!D$55-90)/30*D433+D434+D435+D436,IF(Input!D$55&lt;151,(Input!D$55-120)/30*D432+D433+D434+D435+D436,(Input!D$55-150)/30*D431+D432+D433+D434+D435+D436)))))))</f>
        <v>0</v>
      </c>
      <c r="E1071" s="229">
        <f>IF(E$338&gt;$D$33,0,IF(Input!E$55=0,0,IF(Input!E$55&lt;31,Input!E$55/30*E436,IF(Input!E$55&lt;61,(Input!E$55-30)/30*E435+E436,IF(Input!E$55&lt;91,(Input!E$55-60)/30*E434+E435+E436,IF(Input!E$55&lt;121,(Input!E$55-90)/30*E433+E434+E435+E436,IF(Input!E$55&lt;151,(Input!E$55-120)/30*E432+E433+E434+E435+E436,(Input!E$55-150)/30*E431+E432+E433+E434+E435+E436)))))))</f>
        <v>0</v>
      </c>
      <c r="F1071" s="229">
        <f>IF(F$338&gt;$D$33,0,IF(Input!F$55=0,0,IF(Input!F$55&lt;31,Input!F$55/30*F436,IF(Input!F$55&lt;61,(Input!F$55-30)/30*F435+F436,IF(Input!F$55&lt;91,(Input!F$55-60)/30*F434+F435+F436,IF(Input!F$55&lt;121,(Input!F$55-90)/30*F433+F434+F435+F436,IF(Input!F$55&lt;151,(Input!F$55-120)/30*F432+F433+F434+F435+F436,(Input!F$55-150)/30*F431+F432+F433+F434+F435+F436)))))))</f>
        <v>0</v>
      </c>
      <c r="G1071" s="229">
        <f>IF(G$338&gt;$D$33,0,IF(Input!G$55=0,0,IF(Input!G$55&lt;31,Input!G$55/30*G436,IF(Input!G$55&lt;61,(Input!G$55-30)/30*G435+G436,IF(Input!G$55&lt;91,(Input!G$55-60)/30*G434+G435+G436,IF(Input!G$55&lt;121,(Input!G$55-90)/30*G433+G434+G435+G436,IF(Input!G$55&lt;151,(Input!G$55-120)/30*G432+G433+G434+G435+G436,(Input!G$55-150)/30*G431+G432+G433+G434+G435+G436)))))))</f>
        <v>0</v>
      </c>
      <c r="H1071" s="229">
        <f>IF(H$338&gt;$D$33,0,IF(Input!H$55=0,0,IF(Input!H$55&lt;31,Input!H$55/30*H436,IF(Input!H$55&lt;61,(Input!H$55-30)/30*H435+H436,IF(Input!H$55&lt;91,(Input!H$55-60)/30*H434+H435+H436,IF(Input!H$55&lt;121,(Input!H$55-90)/30*H433+H434+H435+H436,IF(Input!H$55&lt;151,(Input!H$55-120)/30*H432+H433+H434+H435+H436,(Input!H$55-150)/30*H431+H432+H433+H434+H435+H436)))))))</f>
        <v>0</v>
      </c>
      <c r="I1071" s="229">
        <f>IF(I$338&gt;$D$33,0,IF(Input!I$55=0,0,IF(Input!I$55&lt;31,Input!I$55/30*I436,IF(Input!I$55&lt;61,(Input!I$55-30)/30*I435+I436,IF(Input!I$55&lt;91,(Input!I$55-60)/30*I434+I435+I436,IF(Input!I$55&lt;121,(Input!I$55-90)/30*I433+I434+I435+I436,IF(Input!I$55&lt;151,(Input!I$55-120)/30*I432+I433+I434+I435+I436,(Input!I$55-150)/30*I431+I432+I433+I434+I435+I436)))))))</f>
        <v>0</v>
      </c>
      <c r="J1071" s="229">
        <f>IF(J$338&gt;$D$33,0,IF(Input!J$55=0,0,IF(Input!J$55&lt;31,Input!J$55/30*J436,IF(Input!J$55&lt;61,(Input!J$55-30)/30*J435+J436,IF(Input!J$55&lt;91,(Input!J$55-60)/30*J434+J435+J436,IF(Input!J$55&lt;121,(Input!J$55-90)/30*J433+J434+J435+J436,IF(Input!J$55&lt;151,(Input!J$55-120)/30*J432+J433+J434+J435+J436,(Input!J$55-150)/30*J431+J432+J433+J434+J435+J436)))))))</f>
        <v>0</v>
      </c>
      <c r="K1071" s="229">
        <f>IF(K$338&gt;$D$33,0,IF(Input!K$55=0,0,IF(Input!K$55&lt;31,Input!K$55/30*K436,IF(Input!K$55&lt;61,(Input!K$55-30)/30*K435+K436,IF(Input!K$55&lt;91,(Input!K$55-60)/30*K434+K435+K436,IF(Input!K$55&lt;121,(Input!K$55-90)/30*K433+K434+K435+K436,IF(Input!K$55&lt;151,(Input!K$55-120)/30*K432+K433+K434+K435+K436,(Input!K$55-150)/30*K431+K432+K433+K434+K435+K436)))))))</f>
        <v>0</v>
      </c>
      <c r="L1071" s="229">
        <f>IF(L$338&gt;$D$33,0,IF(Input!L$55=0,0,IF(Input!L$55&lt;31,Input!L$55/30*L436,IF(Input!L$55&lt;61,(Input!L$55-30)/30*L435+L436,IF(Input!L$55&lt;91,(Input!L$55-60)/30*L434+L435+L436,IF(Input!L$55&lt;121,(Input!L$55-90)/30*L433+L434+L435+L436,IF(Input!L$55&lt;151,(Input!L$55-120)/30*L432+L433+L434+L435+L436,(Input!L$55-150)/30*L431+L432+L433+L434+L435+L436)))))))</f>
        <v>0</v>
      </c>
      <c r="M1071" s="229">
        <f>IF(M$338&gt;$D$33,0,IF(Input!M$55=0,0,IF(Input!M$55&lt;31,Input!M$55/30*M436,IF(Input!M$55&lt;61,(Input!M$55-30)/30*M435+M436,IF(Input!M$55&lt;91,(Input!M$55-60)/30*M434+M435+M436,IF(Input!M$55&lt;121,(Input!M$55-90)/30*M433+M434+M435+M436,IF(Input!M$55&lt;151,(Input!M$55-120)/30*M432+M433+M434+M435+M436,(Input!M$55-150)/30*M431+M432+M433+M434+M435+M436)))))))</f>
        <v>0</v>
      </c>
      <c r="N1071" s="229">
        <f>IF(N$338&gt;$D$33,0,IF(Input!N$55=0,0,IF(Input!N$55&lt;31,Input!N$55/30*N436,IF(Input!N$55&lt;61,(Input!N$55-30)/30*N435+N436,IF(Input!N$55&lt;91,(Input!N$55-60)/30*N434+N435+N436,IF(Input!N$55&lt;121,(Input!N$55-90)/30*N433+N434+N435+N436,IF(Input!N$55&lt;151,(Input!N$55-120)/30*N432+N433+N434+N435+N436,(Input!N$55-150)/30*N431+N432+N433+N434+N435+N436)))))))</f>
        <v>0</v>
      </c>
      <c r="O1071" s="229">
        <f>IF(O$338&gt;$D$33,0,IF(Input!O$55=0,0,IF(Input!O$55&lt;31,Input!O$55/30*O436,IF(Input!O$55&lt;61,(Input!O$55-30)/30*O435+O436,IF(Input!O$55&lt;91,(Input!O$55-60)/30*O434+O435+O436,IF(Input!O$55&lt;121,(Input!O$55-90)/30*O433+O434+O435+O436,IF(Input!O$55&lt;151,(Input!O$55-120)/30*O432+O433+O434+O435+O436,(Input!O$55-150)/30*O431+O432+O433+O434+O435+O436)))))))</f>
        <v>0</v>
      </c>
      <c r="P1071" s="229">
        <f>IF(P$338&gt;$D$33,0,IF(Input!P$55=0,0,IF(Input!P$55&lt;31,Input!P$55/30*P436,IF(Input!P$55&lt;61,(Input!P$55-30)/30*P435+P436,IF(Input!P$55&lt;91,(Input!P$55-60)/30*P434+P435+P436,IF(Input!P$55&lt;121,(Input!P$55-90)/30*P433+P434+P435+P436,IF(Input!P$55&lt;151,(Input!P$55-120)/30*P432+P433+P434+P435+P436,(Input!P$55-150)/30*P431+P432+P433+P434+P435+P436)))))))</f>
        <v>0</v>
      </c>
      <c r="Q1071" s="229">
        <f>IF(Q$338&gt;$D$33,0,IF(Input!Q$55=0,0,IF(Input!Q$55&lt;31,Input!Q$55/30*Q436,IF(Input!Q$55&lt;61,(Input!Q$55-30)/30*Q435+Q436,IF(Input!Q$55&lt;91,(Input!Q$55-60)/30*Q434+Q435+Q436,IF(Input!Q$55&lt;121,(Input!Q$55-90)/30*Q433+Q434+Q435+Q436,IF(Input!Q$55&lt;151,(Input!Q$55-120)/30*Q432+Q433+Q434+Q435+Q436,(Input!Q$55-150)/30*Q431+Q432+Q433+Q434+Q435+Q436)))))))</f>
        <v>0</v>
      </c>
      <c r="R1071" s="229">
        <f>IF(R$338&gt;$D$33,0,IF(Input!R$55=0,0,IF(Input!R$55&lt;31,Input!R$55/30*R436,IF(Input!R$55&lt;61,(Input!R$55-30)/30*R435+R436,IF(Input!R$55&lt;91,(Input!R$55-60)/30*R434+R435+R436,IF(Input!R$55&lt;121,(Input!R$55-90)/30*R433+R434+R435+R436,IF(Input!R$55&lt;151,(Input!R$55-120)/30*R432+R433+R434+R435+R436,(Input!R$55-150)/30*R431+R432+R433+R434+R435+R436)))))))</f>
        <v>0</v>
      </c>
      <c r="S1071" s="229">
        <f>IF(S$338&gt;$D$33,0,IF(Input!S$55=0,0,IF(Input!S$55&lt;31,Input!S$55/30*S436,IF(Input!S$55&lt;61,(Input!S$55-30)/30*S435+S436,IF(Input!S$55&lt;91,(Input!S$55-60)/30*S434+S435+S436,IF(Input!S$55&lt;121,(Input!S$55-90)/30*S433+S434+S435+S436,IF(Input!S$55&lt;151,(Input!S$55-120)/30*S432+S433+S434+S435+S436,(Input!S$55-150)/30*S431+S432+S433+S434+S435+S436)))))))</f>
        <v>0</v>
      </c>
      <c r="T1071" s="229">
        <f>IF(T$338&gt;$D$33,0,IF(Input!T$55=0,0,IF(Input!T$55&lt;31,Input!T$55/30*T436,IF(Input!T$55&lt;61,(Input!T$55-30)/30*T435+T436,IF(Input!T$55&lt;91,(Input!T$55-60)/30*T434+T435+T436,IF(Input!T$55&lt;121,(Input!T$55-90)/30*T433+T434+T435+T436,IF(Input!T$55&lt;151,(Input!T$55-120)/30*T432+T433+T434+T435+T436,(Input!T$55-150)/30*T431+T432+T433+T434+T435+T436)))))))</f>
        <v>0</v>
      </c>
      <c r="U1071" s="229">
        <f>IF(U$338&gt;$D$33,0,IF(Input!U$55=0,0,IF(Input!U$55&lt;31,Input!U$55/30*U436,IF(Input!U$55&lt;61,(Input!U$55-30)/30*U435+U436,IF(Input!U$55&lt;91,(Input!U$55-60)/30*U434+U435+U436,IF(Input!U$55&lt;121,(Input!U$55-90)/30*U433+U434+U435+U436,IF(Input!U$55&lt;151,(Input!U$55-120)/30*U432+U433+U434+U435+U436,(Input!U$55-150)/30*U431+U432+U433+U434+U435+U436)))))))</f>
        <v>0</v>
      </c>
      <c r="V1071" s="229">
        <f>IF(V$338&gt;$D$33,0,IF(Input!V$55=0,0,IF(Input!V$55&lt;31,Input!V$55/30*V436,IF(Input!V$55&lt;61,(Input!V$55-30)/30*V435+V436,IF(Input!V$55&lt;91,(Input!V$55-60)/30*V434+V435+V436,IF(Input!V$55&lt;121,(Input!V$55-90)/30*V433+V434+V435+V436,IF(Input!V$55&lt;151,(Input!V$55-120)/30*V432+V433+V434+V435+V436,(Input!V$55-150)/30*V431+V432+V433+V434+V435+V436)))))))</f>
        <v>0</v>
      </c>
      <c r="W1071" s="229">
        <f>IF(W$338&gt;$D$33,0,IF(Input!W$55=0,0,IF(Input!W$55&lt;31,Input!W$55/30*W436,IF(Input!W$55&lt;61,(Input!W$55-30)/30*W435+W436,IF(Input!W$55&lt;91,(Input!W$55-60)/30*W434+W435+W436,IF(Input!W$55&lt;121,(Input!W$55-90)/30*W433+W434+W435+W436,IF(Input!W$55&lt;151,(Input!W$55-120)/30*W432+W433+W434+W435+W436,(Input!W$55-150)/30*W431+W432+W433+W434+W435+W436)))))))</f>
        <v>0</v>
      </c>
      <c r="X1071" s="229">
        <f>IF(X$338&gt;$D$33,0,IF(Input!X$55=0,0,IF(Input!X$55&lt;31,Input!X$55/30*X436,IF(Input!X$55&lt;61,(Input!X$55-30)/30*X435+X436,IF(Input!X$55&lt;91,(Input!X$55-60)/30*X434+X435+X436,IF(Input!X$55&lt;121,(Input!X$55-90)/30*X433+X434+X435+X436,IF(Input!X$55&lt;151,(Input!X$55-120)/30*X432+X433+X434+X435+X436,(Input!X$55-150)/30*X431+X432+X433+X434+X435+X436)))))))</f>
        <v>0</v>
      </c>
      <c r="Y1071" s="229">
        <f>IF(Y$338&gt;$D$33,0,IF(Input!Y$55=0,0,IF(Input!Y$55&lt;31,Input!Y$55/30*Y436,IF(Input!Y$55&lt;61,(Input!Y$55-30)/30*Y435+Y436,IF(Input!Y$55&lt;91,(Input!Y$55-60)/30*Y434+Y435+Y436,IF(Input!Y$55&lt;121,(Input!Y$55-90)/30*Y433+Y434+Y435+Y436,IF(Input!Y$55&lt;151,(Input!Y$55-120)/30*Y432+Y433+Y434+Y435+Y436,(Input!Y$55-150)/30*Y431+Y432+Y433+Y434+Y435+Y436)))))))</f>
        <v>0</v>
      </c>
      <c r="Z1071" s="229">
        <f>IF(Z$338&gt;$D$33,0,IF(Input!Z$55=0,0,IF(Input!Z$55&lt;31,Input!Z$55/30*Z436,IF(Input!Z$55&lt;61,(Input!Z$55-30)/30*Z435+Z436,IF(Input!Z$55&lt;91,(Input!Z$55-60)/30*Z434+Z435+Z436,IF(Input!Z$55&lt;121,(Input!Z$55-90)/30*Z433+Z434+Z435+Z436,IF(Input!Z$55&lt;151,(Input!Z$55-120)/30*Z432+Z433+Z434+Z435+Z436,(Input!Z$55-150)/30*Z431+Z432+Z433+Z434+Z435+Z436)))))))</f>
        <v>0</v>
      </c>
      <c r="AA1071" s="229">
        <f>IF(AA$338&gt;$D$33,0,IF(Input!AA$55=0,0,IF(Input!AA$55&lt;31,Input!AA$55/30*AA436,IF(Input!AA$55&lt;61,(Input!AA$55-30)/30*AA435+AA436,IF(Input!AA$55&lt;91,(Input!AA$55-60)/30*AA434+AA435+AA436,IF(Input!AA$55&lt;121,(Input!AA$55-90)/30*AA433+AA434+AA435+AA436,IF(Input!AA$55&lt;151,(Input!AA$55-120)/30*AA432+AA433+AA434+AA435+AA436,(Input!AA$55-150)/30*AA431+AA432+AA433+AA434+AA435+AA436)))))))</f>
        <v>0</v>
      </c>
      <c r="AB1071" s="229">
        <f>IF(AB$338&gt;$D$33,0,IF(Input!AB$55=0,0,IF(Input!AB$55&lt;31,Input!AB$55/30*AB436,IF(Input!AB$55&lt;61,(Input!AB$55-30)/30*AB435+AB436,IF(Input!AB$55&lt;91,(Input!AB$55-60)/30*AB434+AB435+AB436,IF(Input!AB$55&lt;121,(Input!AB$55-90)/30*AB433+AB434+AB435+AB436,IF(Input!AB$55&lt;151,(Input!AB$55-120)/30*AB432+AB433+AB434+AB435+AB436,(Input!AB$55-150)/30*AB431+AB432+AB433+AB434+AB435+AB436)))))))</f>
        <v>0</v>
      </c>
      <c r="CH1071" s="269"/>
      <c r="CI1071" s="269"/>
      <c r="CJ1071" s="269"/>
      <c r="CK1071" s="269"/>
      <c r="CL1071" s="269"/>
      <c r="CM1071" s="269"/>
      <c r="CN1071" s="269"/>
      <c r="CO1071" s="269"/>
      <c r="CP1071" s="269"/>
      <c r="CQ1071" s="269"/>
      <c r="CR1071" s="269"/>
      <c r="CS1071" s="269"/>
    </row>
    <row r="1072" spans="3:97" x14ac:dyDescent="0.3">
      <c r="C1072" s="495">
        <f>C1009</f>
        <v>851</v>
      </c>
      <c r="D1072" s="229">
        <f>IF(D$338&gt;$D$33,0,IF(Input!D$55=0,0,IF(Input!D$55&lt;31,Input!D$55/30*D437,IF(Input!D$55&lt;61,(Input!D$55-30)/30*D436+D437,IF(Input!D$55&lt;91,(Input!D$55-60)/30*D435+D436+D437,IF(Input!D$55&lt;121,(Input!D$55-90)/30*D434+D435+D436+D437,IF(Input!D$55&lt;151,(Input!D$55-120)/30*D433+D434+D435+D436+D437,(Input!D$55-150)/30*D432+D433+D434+D435+D436+D437)))))))</f>
        <v>0</v>
      </c>
      <c r="E1072" s="229">
        <f>IF(E$338&gt;$D$33,0,IF(Input!E$55=0,0,IF(Input!E$55&lt;31,Input!E$55/30*E437,IF(Input!E$55&lt;61,(Input!E$55-30)/30*E436+E437,IF(Input!E$55&lt;91,(Input!E$55-60)/30*E435+E436+E437,IF(Input!E$55&lt;121,(Input!E$55-90)/30*E434+E435+E436+E437,IF(Input!E$55&lt;151,(Input!E$55-120)/30*E433+E434+E435+E436+E437,(Input!E$55-150)/30*E432+E433+E434+E435+E436+E437)))))))</f>
        <v>0</v>
      </c>
      <c r="F1072" s="229">
        <f>IF(F$338&gt;$D$33,0,IF(Input!F$55=0,0,IF(Input!F$55&lt;31,Input!F$55/30*F437,IF(Input!F$55&lt;61,(Input!F$55-30)/30*F436+F437,IF(Input!F$55&lt;91,(Input!F$55-60)/30*F435+F436+F437,IF(Input!F$55&lt;121,(Input!F$55-90)/30*F434+F435+F436+F437,IF(Input!F$55&lt;151,(Input!F$55-120)/30*F433+F434+F435+F436+F437,(Input!F$55-150)/30*F432+F433+F434+F435+F436+F437)))))))</f>
        <v>0</v>
      </c>
      <c r="G1072" s="229">
        <f>IF(G$338&gt;$D$33,0,IF(Input!G$55=0,0,IF(Input!G$55&lt;31,Input!G$55/30*G437,IF(Input!G$55&lt;61,(Input!G$55-30)/30*G436+G437,IF(Input!G$55&lt;91,(Input!G$55-60)/30*G435+G436+G437,IF(Input!G$55&lt;121,(Input!G$55-90)/30*G434+G435+G436+G437,IF(Input!G$55&lt;151,(Input!G$55-120)/30*G433+G434+G435+G436+G437,(Input!G$55-150)/30*G432+G433+G434+G435+G436+G437)))))))</f>
        <v>0</v>
      </c>
      <c r="H1072" s="229">
        <f>IF(H$338&gt;$D$33,0,IF(Input!H$55=0,0,IF(Input!H$55&lt;31,Input!H$55/30*H437,IF(Input!H$55&lt;61,(Input!H$55-30)/30*H436+H437,IF(Input!H$55&lt;91,(Input!H$55-60)/30*H435+H436+H437,IF(Input!H$55&lt;121,(Input!H$55-90)/30*H434+H435+H436+H437,IF(Input!H$55&lt;151,(Input!H$55-120)/30*H433+H434+H435+H436+H437,(Input!H$55-150)/30*H432+H433+H434+H435+H436+H437)))))))</f>
        <v>0</v>
      </c>
      <c r="I1072" s="229">
        <f>IF(I$338&gt;$D$33,0,IF(Input!I$55=0,0,IF(Input!I$55&lt;31,Input!I$55/30*I437,IF(Input!I$55&lt;61,(Input!I$55-30)/30*I436+I437,IF(Input!I$55&lt;91,(Input!I$55-60)/30*I435+I436+I437,IF(Input!I$55&lt;121,(Input!I$55-90)/30*I434+I435+I436+I437,IF(Input!I$55&lt;151,(Input!I$55-120)/30*I433+I434+I435+I436+I437,(Input!I$55-150)/30*I432+I433+I434+I435+I436+I437)))))))</f>
        <v>0</v>
      </c>
      <c r="J1072" s="229">
        <f>IF(J$338&gt;$D$33,0,IF(Input!J$55=0,0,IF(Input!J$55&lt;31,Input!J$55/30*J437,IF(Input!J$55&lt;61,(Input!J$55-30)/30*J436+J437,IF(Input!J$55&lt;91,(Input!J$55-60)/30*J435+J436+J437,IF(Input!J$55&lt;121,(Input!J$55-90)/30*J434+J435+J436+J437,IF(Input!J$55&lt;151,(Input!J$55-120)/30*J433+J434+J435+J436+J437,(Input!J$55-150)/30*J432+J433+J434+J435+J436+J437)))))))</f>
        <v>0</v>
      </c>
      <c r="K1072" s="229">
        <f>IF(K$338&gt;$D$33,0,IF(Input!K$55=0,0,IF(Input!K$55&lt;31,Input!K$55/30*K437,IF(Input!K$55&lt;61,(Input!K$55-30)/30*K436+K437,IF(Input!K$55&lt;91,(Input!K$55-60)/30*K435+K436+K437,IF(Input!K$55&lt;121,(Input!K$55-90)/30*K434+K435+K436+K437,IF(Input!K$55&lt;151,(Input!K$55-120)/30*K433+K434+K435+K436+K437,(Input!K$55-150)/30*K432+K433+K434+K435+K436+K437)))))))</f>
        <v>0</v>
      </c>
      <c r="L1072" s="229">
        <f>IF(L$338&gt;$D$33,0,IF(Input!L$55=0,0,IF(Input!L$55&lt;31,Input!L$55/30*L437,IF(Input!L$55&lt;61,(Input!L$55-30)/30*L436+L437,IF(Input!L$55&lt;91,(Input!L$55-60)/30*L435+L436+L437,IF(Input!L$55&lt;121,(Input!L$55-90)/30*L434+L435+L436+L437,IF(Input!L$55&lt;151,(Input!L$55-120)/30*L433+L434+L435+L436+L437,(Input!L$55-150)/30*L432+L433+L434+L435+L436+L437)))))))</f>
        <v>0</v>
      </c>
      <c r="M1072" s="229">
        <f>IF(M$338&gt;$D$33,0,IF(Input!M$55=0,0,IF(Input!M$55&lt;31,Input!M$55/30*M437,IF(Input!M$55&lt;61,(Input!M$55-30)/30*M436+M437,IF(Input!M$55&lt;91,(Input!M$55-60)/30*M435+M436+M437,IF(Input!M$55&lt;121,(Input!M$55-90)/30*M434+M435+M436+M437,IF(Input!M$55&lt;151,(Input!M$55-120)/30*M433+M434+M435+M436+M437,(Input!M$55-150)/30*M432+M433+M434+M435+M436+M437)))))))</f>
        <v>0</v>
      </c>
      <c r="N1072" s="229">
        <f>IF(N$338&gt;$D$33,0,IF(Input!N$55=0,0,IF(Input!N$55&lt;31,Input!N$55/30*N437,IF(Input!N$55&lt;61,(Input!N$55-30)/30*N436+N437,IF(Input!N$55&lt;91,(Input!N$55-60)/30*N435+N436+N437,IF(Input!N$55&lt;121,(Input!N$55-90)/30*N434+N435+N436+N437,IF(Input!N$55&lt;151,(Input!N$55-120)/30*N433+N434+N435+N436+N437,(Input!N$55-150)/30*N432+N433+N434+N435+N436+N437)))))))</f>
        <v>0</v>
      </c>
      <c r="O1072" s="229">
        <f>IF(O$338&gt;$D$33,0,IF(Input!O$55=0,0,IF(Input!O$55&lt;31,Input!O$55/30*O437,IF(Input!O$55&lt;61,(Input!O$55-30)/30*O436+O437,IF(Input!O$55&lt;91,(Input!O$55-60)/30*O435+O436+O437,IF(Input!O$55&lt;121,(Input!O$55-90)/30*O434+O435+O436+O437,IF(Input!O$55&lt;151,(Input!O$55-120)/30*O433+O434+O435+O436+O437,(Input!O$55-150)/30*O432+O433+O434+O435+O436+O437)))))))</f>
        <v>0</v>
      </c>
      <c r="P1072" s="229">
        <f>IF(P$338&gt;$D$33,0,IF(Input!P$55=0,0,IF(Input!P$55&lt;31,Input!P$55/30*P437,IF(Input!P$55&lt;61,(Input!P$55-30)/30*P436+P437,IF(Input!P$55&lt;91,(Input!P$55-60)/30*P435+P436+P437,IF(Input!P$55&lt;121,(Input!P$55-90)/30*P434+P435+P436+P437,IF(Input!P$55&lt;151,(Input!P$55-120)/30*P433+P434+P435+P436+P437,(Input!P$55-150)/30*P432+P433+P434+P435+P436+P437)))))))</f>
        <v>0</v>
      </c>
      <c r="Q1072" s="229">
        <f>IF(Q$338&gt;$D$33,0,IF(Input!Q$55=0,0,IF(Input!Q$55&lt;31,Input!Q$55/30*Q437,IF(Input!Q$55&lt;61,(Input!Q$55-30)/30*Q436+Q437,IF(Input!Q$55&lt;91,(Input!Q$55-60)/30*Q435+Q436+Q437,IF(Input!Q$55&lt;121,(Input!Q$55-90)/30*Q434+Q435+Q436+Q437,IF(Input!Q$55&lt;151,(Input!Q$55-120)/30*Q433+Q434+Q435+Q436+Q437,(Input!Q$55-150)/30*Q432+Q433+Q434+Q435+Q436+Q437)))))))</f>
        <v>0</v>
      </c>
      <c r="R1072" s="229">
        <f>IF(R$338&gt;$D$33,0,IF(Input!R$55=0,0,IF(Input!R$55&lt;31,Input!R$55/30*R437,IF(Input!R$55&lt;61,(Input!R$55-30)/30*R436+R437,IF(Input!R$55&lt;91,(Input!R$55-60)/30*R435+R436+R437,IF(Input!R$55&lt;121,(Input!R$55-90)/30*R434+R435+R436+R437,IF(Input!R$55&lt;151,(Input!R$55-120)/30*R433+R434+R435+R436+R437,(Input!R$55-150)/30*R432+R433+R434+R435+R436+R437)))))))</f>
        <v>0</v>
      </c>
      <c r="S1072" s="229">
        <f>IF(S$338&gt;$D$33,0,IF(Input!S$55=0,0,IF(Input!S$55&lt;31,Input!S$55/30*S437,IF(Input!S$55&lt;61,(Input!S$55-30)/30*S436+S437,IF(Input!S$55&lt;91,(Input!S$55-60)/30*S435+S436+S437,IF(Input!S$55&lt;121,(Input!S$55-90)/30*S434+S435+S436+S437,IF(Input!S$55&lt;151,(Input!S$55-120)/30*S433+S434+S435+S436+S437,(Input!S$55-150)/30*S432+S433+S434+S435+S436+S437)))))))</f>
        <v>0</v>
      </c>
      <c r="T1072" s="229">
        <f>IF(T$338&gt;$D$33,0,IF(Input!T$55=0,0,IF(Input!T$55&lt;31,Input!T$55/30*T437,IF(Input!T$55&lt;61,(Input!T$55-30)/30*T436+T437,IF(Input!T$55&lt;91,(Input!T$55-60)/30*T435+T436+T437,IF(Input!T$55&lt;121,(Input!T$55-90)/30*T434+T435+T436+T437,IF(Input!T$55&lt;151,(Input!T$55-120)/30*T433+T434+T435+T436+T437,(Input!T$55-150)/30*T432+T433+T434+T435+T436+T437)))))))</f>
        <v>0</v>
      </c>
      <c r="U1072" s="229">
        <f>IF(U$338&gt;$D$33,0,IF(Input!U$55=0,0,IF(Input!U$55&lt;31,Input!U$55/30*U437,IF(Input!U$55&lt;61,(Input!U$55-30)/30*U436+U437,IF(Input!U$55&lt;91,(Input!U$55-60)/30*U435+U436+U437,IF(Input!U$55&lt;121,(Input!U$55-90)/30*U434+U435+U436+U437,IF(Input!U$55&lt;151,(Input!U$55-120)/30*U433+U434+U435+U436+U437,(Input!U$55-150)/30*U432+U433+U434+U435+U436+U437)))))))</f>
        <v>0</v>
      </c>
      <c r="V1072" s="229">
        <f>IF(V$338&gt;$D$33,0,IF(Input!V$55=0,0,IF(Input!V$55&lt;31,Input!V$55/30*V437,IF(Input!V$55&lt;61,(Input!V$55-30)/30*V436+V437,IF(Input!V$55&lt;91,(Input!V$55-60)/30*V435+V436+V437,IF(Input!V$55&lt;121,(Input!V$55-90)/30*V434+V435+V436+V437,IF(Input!V$55&lt;151,(Input!V$55-120)/30*V433+V434+V435+V436+V437,(Input!V$55-150)/30*V432+V433+V434+V435+V436+V437)))))))</f>
        <v>0</v>
      </c>
      <c r="W1072" s="229">
        <f>IF(W$338&gt;$D$33,0,IF(Input!W$55=0,0,IF(Input!W$55&lt;31,Input!W$55/30*W437,IF(Input!W$55&lt;61,(Input!W$55-30)/30*W436+W437,IF(Input!W$55&lt;91,(Input!W$55-60)/30*W435+W436+W437,IF(Input!W$55&lt;121,(Input!W$55-90)/30*W434+W435+W436+W437,IF(Input!W$55&lt;151,(Input!W$55-120)/30*W433+W434+W435+W436+W437,(Input!W$55-150)/30*W432+W433+W434+W435+W436+W437)))))))</f>
        <v>0</v>
      </c>
      <c r="X1072" s="229">
        <f>IF(X$338&gt;$D$33,0,IF(Input!X$55=0,0,IF(Input!X$55&lt;31,Input!X$55/30*X437,IF(Input!X$55&lt;61,(Input!X$55-30)/30*X436+X437,IF(Input!X$55&lt;91,(Input!X$55-60)/30*X435+X436+X437,IF(Input!X$55&lt;121,(Input!X$55-90)/30*X434+X435+X436+X437,IF(Input!X$55&lt;151,(Input!X$55-120)/30*X433+X434+X435+X436+X437,(Input!X$55-150)/30*X432+X433+X434+X435+X436+X437)))))))</f>
        <v>0</v>
      </c>
      <c r="Y1072" s="229">
        <f>IF(Y$338&gt;$D$33,0,IF(Input!Y$55=0,0,IF(Input!Y$55&lt;31,Input!Y$55/30*Y437,IF(Input!Y$55&lt;61,(Input!Y$55-30)/30*Y436+Y437,IF(Input!Y$55&lt;91,(Input!Y$55-60)/30*Y435+Y436+Y437,IF(Input!Y$55&lt;121,(Input!Y$55-90)/30*Y434+Y435+Y436+Y437,IF(Input!Y$55&lt;151,(Input!Y$55-120)/30*Y433+Y434+Y435+Y436+Y437,(Input!Y$55-150)/30*Y432+Y433+Y434+Y435+Y436+Y437)))))))</f>
        <v>0</v>
      </c>
      <c r="Z1072" s="229">
        <f>IF(Z$338&gt;$D$33,0,IF(Input!Z$55=0,0,IF(Input!Z$55&lt;31,Input!Z$55/30*Z437,IF(Input!Z$55&lt;61,(Input!Z$55-30)/30*Z436+Z437,IF(Input!Z$55&lt;91,(Input!Z$55-60)/30*Z435+Z436+Z437,IF(Input!Z$55&lt;121,(Input!Z$55-90)/30*Z434+Z435+Z436+Z437,IF(Input!Z$55&lt;151,(Input!Z$55-120)/30*Z433+Z434+Z435+Z436+Z437,(Input!Z$55-150)/30*Z432+Z433+Z434+Z435+Z436+Z437)))))))</f>
        <v>0</v>
      </c>
      <c r="AA1072" s="229">
        <f>IF(AA$338&gt;$D$33,0,IF(Input!AA$55=0,0,IF(Input!AA$55&lt;31,Input!AA$55/30*AA437,IF(Input!AA$55&lt;61,(Input!AA$55-30)/30*AA436+AA437,IF(Input!AA$55&lt;91,(Input!AA$55-60)/30*AA435+AA436+AA437,IF(Input!AA$55&lt;121,(Input!AA$55-90)/30*AA434+AA435+AA436+AA437,IF(Input!AA$55&lt;151,(Input!AA$55-120)/30*AA433+AA434+AA435+AA436+AA437,(Input!AA$55-150)/30*AA432+AA433+AA434+AA435+AA436+AA437)))))))</f>
        <v>0</v>
      </c>
      <c r="AB1072" s="229">
        <f>IF(AB$338&gt;$D$33,0,IF(Input!AB$55=0,0,IF(Input!AB$55&lt;31,Input!AB$55/30*AB437,IF(Input!AB$55&lt;61,(Input!AB$55-30)/30*AB436+AB437,IF(Input!AB$55&lt;91,(Input!AB$55-60)/30*AB435+AB436+AB437,IF(Input!AB$55&lt;121,(Input!AB$55-90)/30*AB434+AB435+AB436+AB437,IF(Input!AB$55&lt;151,(Input!AB$55-120)/30*AB433+AB434+AB435+AB436+AB437,(Input!AB$55-150)/30*AB432+AB433+AB434+AB435+AB436+AB437)))))))</f>
        <v>0</v>
      </c>
      <c r="CH1072" s="269"/>
      <c r="CI1072" s="269"/>
      <c r="CJ1072" s="269"/>
      <c r="CK1072" s="269"/>
      <c r="CL1072" s="269"/>
      <c r="CM1072" s="269"/>
      <c r="CN1072" s="269"/>
      <c r="CO1072" s="269"/>
      <c r="CP1072" s="269"/>
      <c r="CQ1072" s="269"/>
      <c r="CR1072" s="269"/>
      <c r="CS1072" s="269"/>
    </row>
    <row r="1073" spans="3:97" x14ac:dyDescent="0.3">
      <c r="C1073" s="495">
        <f>C1010</f>
        <v>882</v>
      </c>
      <c r="D1073" s="229">
        <f>IF(D$338&gt;$D$33,0,IF(Input!D$55=0,0,IF(Input!D$55&lt;31,Input!D$55/30*D438,IF(Input!D$55&lt;61,(Input!D$55-30)/30*D437+D438,IF(Input!D$55&lt;91,(Input!D$55-60)/30*D436+D437+D438,IF(Input!D$55&lt;121,(Input!D$55-90)/30*D435+D436+D437+D438,IF(Input!D$55&lt;151,(Input!D$55-120)/30*D434+D435+D436+D437+D438,(Input!D$55-150)/30*D433+D434+D435+D436+D437+D438)))))))</f>
        <v>0</v>
      </c>
      <c r="E1073" s="229">
        <f>IF(E$338&gt;$D$33,0,IF(Input!E$55=0,0,IF(Input!E$55&lt;31,Input!E$55/30*E438,IF(Input!E$55&lt;61,(Input!E$55-30)/30*E437+E438,IF(Input!E$55&lt;91,(Input!E$55-60)/30*E436+E437+E438,IF(Input!E$55&lt;121,(Input!E$55-90)/30*E435+E436+E437+E438,IF(Input!E$55&lt;151,(Input!E$55-120)/30*E434+E435+E436+E437+E438,(Input!E$55-150)/30*E433+E434+E435+E436+E437+E438)))))))</f>
        <v>0</v>
      </c>
      <c r="F1073" s="229">
        <f>IF(F$338&gt;$D$33,0,IF(Input!F$55=0,0,IF(Input!F$55&lt;31,Input!F$55/30*F438,IF(Input!F$55&lt;61,(Input!F$55-30)/30*F437+F438,IF(Input!F$55&lt;91,(Input!F$55-60)/30*F436+F437+F438,IF(Input!F$55&lt;121,(Input!F$55-90)/30*F435+F436+F437+F438,IF(Input!F$55&lt;151,(Input!F$55-120)/30*F434+F435+F436+F437+F438,(Input!F$55-150)/30*F433+F434+F435+F436+F437+F438)))))))</f>
        <v>0</v>
      </c>
      <c r="G1073" s="229">
        <f>IF(G$338&gt;$D$33,0,IF(Input!G$55=0,0,IF(Input!G$55&lt;31,Input!G$55/30*G438,IF(Input!G$55&lt;61,(Input!G$55-30)/30*G437+G438,IF(Input!G$55&lt;91,(Input!G$55-60)/30*G436+G437+G438,IF(Input!G$55&lt;121,(Input!G$55-90)/30*G435+G436+G437+G438,IF(Input!G$55&lt;151,(Input!G$55-120)/30*G434+G435+G436+G437+G438,(Input!G$55-150)/30*G433+G434+G435+G436+G437+G438)))))))</f>
        <v>0</v>
      </c>
      <c r="H1073" s="229">
        <f>IF(H$338&gt;$D$33,0,IF(Input!H$55=0,0,IF(Input!H$55&lt;31,Input!H$55/30*H438,IF(Input!H$55&lt;61,(Input!H$55-30)/30*H437+H438,IF(Input!H$55&lt;91,(Input!H$55-60)/30*H436+H437+H438,IF(Input!H$55&lt;121,(Input!H$55-90)/30*H435+H436+H437+H438,IF(Input!H$55&lt;151,(Input!H$55-120)/30*H434+H435+H436+H437+H438,(Input!H$55-150)/30*H433+H434+H435+H436+H437+H438)))))))</f>
        <v>0</v>
      </c>
      <c r="I1073" s="229">
        <f>IF(I$338&gt;$D$33,0,IF(Input!I$55=0,0,IF(Input!I$55&lt;31,Input!I$55/30*I438,IF(Input!I$55&lt;61,(Input!I$55-30)/30*I437+I438,IF(Input!I$55&lt;91,(Input!I$55-60)/30*I436+I437+I438,IF(Input!I$55&lt;121,(Input!I$55-90)/30*I435+I436+I437+I438,IF(Input!I$55&lt;151,(Input!I$55-120)/30*I434+I435+I436+I437+I438,(Input!I$55-150)/30*I433+I434+I435+I436+I437+I438)))))))</f>
        <v>0</v>
      </c>
      <c r="J1073" s="229">
        <f>IF(J$338&gt;$D$33,0,IF(Input!J$55=0,0,IF(Input!J$55&lt;31,Input!J$55/30*J438,IF(Input!J$55&lt;61,(Input!J$55-30)/30*J437+J438,IF(Input!J$55&lt;91,(Input!J$55-60)/30*J436+J437+J438,IF(Input!J$55&lt;121,(Input!J$55-90)/30*J435+J436+J437+J438,IF(Input!J$55&lt;151,(Input!J$55-120)/30*J434+J435+J436+J437+J438,(Input!J$55-150)/30*J433+J434+J435+J436+J437+J438)))))))</f>
        <v>0</v>
      </c>
      <c r="K1073" s="229">
        <f>IF(K$338&gt;$D$33,0,IF(Input!K$55=0,0,IF(Input!K$55&lt;31,Input!K$55/30*K438,IF(Input!K$55&lt;61,(Input!K$55-30)/30*K437+K438,IF(Input!K$55&lt;91,(Input!K$55-60)/30*K436+K437+K438,IF(Input!K$55&lt;121,(Input!K$55-90)/30*K435+K436+K437+K438,IF(Input!K$55&lt;151,(Input!K$55-120)/30*K434+K435+K436+K437+K438,(Input!K$55-150)/30*K433+K434+K435+K436+K437+K438)))))))</f>
        <v>0</v>
      </c>
      <c r="L1073" s="229">
        <f>IF(L$338&gt;$D$33,0,IF(Input!L$55=0,0,IF(Input!L$55&lt;31,Input!L$55/30*L438,IF(Input!L$55&lt;61,(Input!L$55-30)/30*L437+L438,IF(Input!L$55&lt;91,(Input!L$55-60)/30*L436+L437+L438,IF(Input!L$55&lt;121,(Input!L$55-90)/30*L435+L436+L437+L438,IF(Input!L$55&lt;151,(Input!L$55-120)/30*L434+L435+L436+L437+L438,(Input!L$55-150)/30*L433+L434+L435+L436+L437+L438)))))))</f>
        <v>0</v>
      </c>
      <c r="M1073" s="229">
        <f>IF(M$338&gt;$D$33,0,IF(Input!M$55=0,0,IF(Input!M$55&lt;31,Input!M$55/30*M438,IF(Input!M$55&lt;61,(Input!M$55-30)/30*M437+M438,IF(Input!M$55&lt;91,(Input!M$55-60)/30*M436+M437+M438,IF(Input!M$55&lt;121,(Input!M$55-90)/30*M435+M436+M437+M438,IF(Input!M$55&lt;151,(Input!M$55-120)/30*M434+M435+M436+M437+M438,(Input!M$55-150)/30*M433+M434+M435+M436+M437+M438)))))))</f>
        <v>0</v>
      </c>
      <c r="N1073" s="229">
        <f>IF(N$338&gt;$D$33,0,IF(Input!N$55=0,0,IF(Input!N$55&lt;31,Input!N$55/30*N438,IF(Input!N$55&lt;61,(Input!N$55-30)/30*N437+N438,IF(Input!N$55&lt;91,(Input!N$55-60)/30*N436+N437+N438,IF(Input!N$55&lt;121,(Input!N$55-90)/30*N435+N436+N437+N438,IF(Input!N$55&lt;151,(Input!N$55-120)/30*N434+N435+N436+N437+N438,(Input!N$55-150)/30*N433+N434+N435+N436+N437+N438)))))))</f>
        <v>0</v>
      </c>
      <c r="O1073" s="229">
        <f>IF(O$338&gt;$D$33,0,IF(Input!O$55=0,0,IF(Input!O$55&lt;31,Input!O$55/30*O438,IF(Input!O$55&lt;61,(Input!O$55-30)/30*O437+O438,IF(Input!O$55&lt;91,(Input!O$55-60)/30*O436+O437+O438,IF(Input!O$55&lt;121,(Input!O$55-90)/30*O435+O436+O437+O438,IF(Input!O$55&lt;151,(Input!O$55-120)/30*O434+O435+O436+O437+O438,(Input!O$55-150)/30*O433+O434+O435+O436+O437+O438)))))))</f>
        <v>0</v>
      </c>
      <c r="P1073" s="229">
        <f>IF(P$338&gt;$D$33,0,IF(Input!P$55=0,0,IF(Input!P$55&lt;31,Input!P$55/30*P438,IF(Input!P$55&lt;61,(Input!P$55-30)/30*P437+P438,IF(Input!P$55&lt;91,(Input!P$55-60)/30*P436+P437+P438,IF(Input!P$55&lt;121,(Input!P$55-90)/30*P435+P436+P437+P438,IF(Input!P$55&lt;151,(Input!P$55-120)/30*P434+P435+P436+P437+P438,(Input!P$55-150)/30*P433+P434+P435+P436+P437+P438)))))))</f>
        <v>0</v>
      </c>
      <c r="Q1073" s="229">
        <f>IF(Q$338&gt;$D$33,0,IF(Input!Q$55=0,0,IF(Input!Q$55&lt;31,Input!Q$55/30*Q438,IF(Input!Q$55&lt;61,(Input!Q$55-30)/30*Q437+Q438,IF(Input!Q$55&lt;91,(Input!Q$55-60)/30*Q436+Q437+Q438,IF(Input!Q$55&lt;121,(Input!Q$55-90)/30*Q435+Q436+Q437+Q438,IF(Input!Q$55&lt;151,(Input!Q$55-120)/30*Q434+Q435+Q436+Q437+Q438,(Input!Q$55-150)/30*Q433+Q434+Q435+Q436+Q437+Q438)))))))</f>
        <v>0</v>
      </c>
      <c r="R1073" s="229">
        <f>IF(R$338&gt;$D$33,0,IF(Input!R$55=0,0,IF(Input!R$55&lt;31,Input!R$55/30*R438,IF(Input!R$55&lt;61,(Input!R$55-30)/30*R437+R438,IF(Input!R$55&lt;91,(Input!R$55-60)/30*R436+R437+R438,IF(Input!R$55&lt;121,(Input!R$55-90)/30*R435+R436+R437+R438,IF(Input!R$55&lt;151,(Input!R$55-120)/30*R434+R435+R436+R437+R438,(Input!R$55-150)/30*R433+R434+R435+R436+R437+R438)))))))</f>
        <v>0</v>
      </c>
      <c r="S1073" s="229">
        <f>IF(S$338&gt;$D$33,0,IF(Input!S$55=0,0,IF(Input!S$55&lt;31,Input!S$55/30*S438,IF(Input!S$55&lt;61,(Input!S$55-30)/30*S437+S438,IF(Input!S$55&lt;91,(Input!S$55-60)/30*S436+S437+S438,IF(Input!S$55&lt;121,(Input!S$55-90)/30*S435+S436+S437+S438,IF(Input!S$55&lt;151,(Input!S$55-120)/30*S434+S435+S436+S437+S438,(Input!S$55-150)/30*S433+S434+S435+S436+S437+S438)))))))</f>
        <v>0</v>
      </c>
      <c r="T1073" s="229">
        <f>IF(T$338&gt;$D$33,0,IF(Input!T$55=0,0,IF(Input!T$55&lt;31,Input!T$55/30*T438,IF(Input!T$55&lt;61,(Input!T$55-30)/30*T437+T438,IF(Input!T$55&lt;91,(Input!T$55-60)/30*T436+T437+T438,IF(Input!T$55&lt;121,(Input!T$55-90)/30*T435+T436+T437+T438,IF(Input!T$55&lt;151,(Input!T$55-120)/30*T434+T435+T436+T437+T438,(Input!T$55-150)/30*T433+T434+T435+T436+T437+T438)))))))</f>
        <v>0</v>
      </c>
      <c r="U1073" s="229">
        <f>IF(U$338&gt;$D$33,0,IF(Input!U$55=0,0,IF(Input!U$55&lt;31,Input!U$55/30*U438,IF(Input!U$55&lt;61,(Input!U$55-30)/30*U437+U438,IF(Input!U$55&lt;91,(Input!U$55-60)/30*U436+U437+U438,IF(Input!U$55&lt;121,(Input!U$55-90)/30*U435+U436+U437+U438,IF(Input!U$55&lt;151,(Input!U$55-120)/30*U434+U435+U436+U437+U438,(Input!U$55-150)/30*U433+U434+U435+U436+U437+U438)))))))</f>
        <v>0</v>
      </c>
      <c r="V1073" s="229">
        <f>IF(V$338&gt;$D$33,0,IF(Input!V$55=0,0,IF(Input!V$55&lt;31,Input!V$55/30*V438,IF(Input!V$55&lt;61,(Input!V$55-30)/30*V437+V438,IF(Input!V$55&lt;91,(Input!V$55-60)/30*V436+V437+V438,IF(Input!V$55&lt;121,(Input!V$55-90)/30*V435+V436+V437+V438,IF(Input!V$55&lt;151,(Input!V$55-120)/30*V434+V435+V436+V437+V438,(Input!V$55-150)/30*V433+V434+V435+V436+V437+V438)))))))</f>
        <v>0</v>
      </c>
      <c r="W1073" s="229">
        <f>IF(W$338&gt;$D$33,0,IF(Input!W$55=0,0,IF(Input!W$55&lt;31,Input!W$55/30*W438,IF(Input!W$55&lt;61,(Input!W$55-30)/30*W437+W438,IF(Input!W$55&lt;91,(Input!W$55-60)/30*W436+W437+W438,IF(Input!W$55&lt;121,(Input!W$55-90)/30*W435+W436+W437+W438,IF(Input!W$55&lt;151,(Input!W$55-120)/30*W434+W435+W436+W437+W438,(Input!W$55-150)/30*W433+W434+W435+W436+W437+W438)))))))</f>
        <v>0</v>
      </c>
      <c r="X1073" s="229">
        <f>IF(X$338&gt;$D$33,0,IF(Input!X$55=0,0,IF(Input!X$55&lt;31,Input!X$55/30*X438,IF(Input!X$55&lt;61,(Input!X$55-30)/30*X437+X438,IF(Input!X$55&lt;91,(Input!X$55-60)/30*X436+X437+X438,IF(Input!X$55&lt;121,(Input!X$55-90)/30*X435+X436+X437+X438,IF(Input!X$55&lt;151,(Input!X$55-120)/30*X434+X435+X436+X437+X438,(Input!X$55-150)/30*X433+X434+X435+X436+X437+X438)))))))</f>
        <v>0</v>
      </c>
      <c r="Y1073" s="229">
        <f>IF(Y$338&gt;$D$33,0,IF(Input!Y$55=0,0,IF(Input!Y$55&lt;31,Input!Y$55/30*Y438,IF(Input!Y$55&lt;61,(Input!Y$55-30)/30*Y437+Y438,IF(Input!Y$55&lt;91,(Input!Y$55-60)/30*Y436+Y437+Y438,IF(Input!Y$55&lt;121,(Input!Y$55-90)/30*Y435+Y436+Y437+Y438,IF(Input!Y$55&lt;151,(Input!Y$55-120)/30*Y434+Y435+Y436+Y437+Y438,(Input!Y$55-150)/30*Y433+Y434+Y435+Y436+Y437+Y438)))))))</f>
        <v>0</v>
      </c>
      <c r="Z1073" s="229">
        <f>IF(Z$338&gt;$D$33,0,IF(Input!Z$55=0,0,IF(Input!Z$55&lt;31,Input!Z$55/30*Z438,IF(Input!Z$55&lt;61,(Input!Z$55-30)/30*Z437+Z438,IF(Input!Z$55&lt;91,(Input!Z$55-60)/30*Z436+Z437+Z438,IF(Input!Z$55&lt;121,(Input!Z$55-90)/30*Z435+Z436+Z437+Z438,IF(Input!Z$55&lt;151,(Input!Z$55-120)/30*Z434+Z435+Z436+Z437+Z438,(Input!Z$55-150)/30*Z433+Z434+Z435+Z436+Z437+Z438)))))))</f>
        <v>0</v>
      </c>
      <c r="AA1073" s="229">
        <f>IF(AA$338&gt;$D$33,0,IF(Input!AA$55=0,0,IF(Input!AA$55&lt;31,Input!AA$55/30*AA438,IF(Input!AA$55&lt;61,(Input!AA$55-30)/30*AA437+AA438,IF(Input!AA$55&lt;91,(Input!AA$55-60)/30*AA436+AA437+AA438,IF(Input!AA$55&lt;121,(Input!AA$55-90)/30*AA435+AA436+AA437+AA438,IF(Input!AA$55&lt;151,(Input!AA$55-120)/30*AA434+AA435+AA436+AA437+AA438,(Input!AA$55-150)/30*AA433+AA434+AA435+AA436+AA437+AA438)))))))</f>
        <v>0</v>
      </c>
      <c r="AB1073" s="229">
        <f>IF(AB$338&gt;$D$33,0,IF(Input!AB$55=0,0,IF(Input!AB$55&lt;31,Input!AB$55/30*AB438,IF(Input!AB$55&lt;61,(Input!AB$55-30)/30*AB437+AB438,IF(Input!AB$55&lt;91,(Input!AB$55-60)/30*AB436+AB437+AB438,IF(Input!AB$55&lt;121,(Input!AB$55-90)/30*AB435+AB436+AB437+AB438,IF(Input!AB$55&lt;151,(Input!AB$55-120)/30*AB434+AB435+AB436+AB437+AB438,(Input!AB$55-150)/30*AB433+AB434+AB435+AB436+AB437+AB438)))))))</f>
        <v>0</v>
      </c>
      <c r="CH1073" s="269"/>
      <c r="CI1073" s="269"/>
      <c r="CJ1073" s="269"/>
      <c r="CK1073" s="269"/>
      <c r="CL1073" s="269"/>
      <c r="CM1073" s="269"/>
      <c r="CN1073" s="269"/>
      <c r="CO1073" s="269"/>
      <c r="CP1073" s="269"/>
      <c r="CQ1073" s="269"/>
      <c r="CR1073" s="269"/>
      <c r="CS1073" s="269"/>
    </row>
    <row r="1074" spans="3:97" x14ac:dyDescent="0.3">
      <c r="C1074" s="495">
        <f>C1011</f>
        <v>912</v>
      </c>
      <c r="D1074" s="229">
        <f>IF(D$338&gt;$D$33,0,IF(Input!D$55=0,0,IF(Input!D$55&lt;31,Input!D$55/30*D439,IF(Input!D$55&lt;61,(Input!D$55-30)/30*D438+D439,IF(Input!D$55&lt;91,(Input!D$55-60)/30*D437+D438+D439,IF(Input!D$55&lt;121,(Input!D$55-90)/30*D436+D437+D438+D439,IF(Input!D$55&lt;151,(Input!D$55-120)/30*D435+D436+D437+D438+D439,(Input!D$55-150)/30*D434+D435+D436+D437+D438+D439)))))))</f>
        <v>0</v>
      </c>
      <c r="E1074" s="229">
        <f>IF(E$338&gt;$D$33,0,IF(Input!E$55=0,0,IF(Input!E$55&lt;31,Input!E$55/30*E439,IF(Input!E$55&lt;61,(Input!E$55-30)/30*E438+E439,IF(Input!E$55&lt;91,(Input!E$55-60)/30*E437+E438+E439,IF(Input!E$55&lt;121,(Input!E$55-90)/30*E436+E437+E438+E439,IF(Input!E$55&lt;151,(Input!E$55-120)/30*E435+E436+E437+E438+E439,(Input!E$55-150)/30*E434+E435+E436+E437+E438+E439)))))))</f>
        <v>0</v>
      </c>
      <c r="F1074" s="229">
        <f>IF(F$338&gt;$D$33,0,IF(Input!F$55=0,0,IF(Input!F$55&lt;31,Input!F$55/30*F439,IF(Input!F$55&lt;61,(Input!F$55-30)/30*F438+F439,IF(Input!F$55&lt;91,(Input!F$55-60)/30*F437+F438+F439,IF(Input!F$55&lt;121,(Input!F$55-90)/30*F436+F437+F438+F439,IF(Input!F$55&lt;151,(Input!F$55-120)/30*F435+F436+F437+F438+F439,(Input!F$55-150)/30*F434+F435+F436+F437+F438+F439)))))))</f>
        <v>0</v>
      </c>
      <c r="G1074" s="229">
        <f>IF(G$338&gt;$D$33,0,IF(Input!G$55=0,0,IF(Input!G$55&lt;31,Input!G$55/30*G439,IF(Input!G$55&lt;61,(Input!G$55-30)/30*G438+G439,IF(Input!G$55&lt;91,(Input!G$55-60)/30*G437+G438+G439,IF(Input!G$55&lt;121,(Input!G$55-90)/30*G436+G437+G438+G439,IF(Input!G$55&lt;151,(Input!G$55-120)/30*G435+G436+G437+G438+G439,(Input!G$55-150)/30*G434+G435+G436+G437+G438+G439)))))))</f>
        <v>0</v>
      </c>
      <c r="H1074" s="229">
        <f>IF(H$338&gt;$D$33,0,IF(Input!H$55=0,0,IF(Input!H$55&lt;31,Input!H$55/30*H439,IF(Input!H$55&lt;61,(Input!H$55-30)/30*H438+H439,IF(Input!H$55&lt;91,(Input!H$55-60)/30*H437+H438+H439,IF(Input!H$55&lt;121,(Input!H$55-90)/30*H436+H437+H438+H439,IF(Input!H$55&lt;151,(Input!H$55-120)/30*H435+H436+H437+H438+H439,(Input!H$55-150)/30*H434+H435+H436+H437+H438+H439)))))))</f>
        <v>0</v>
      </c>
      <c r="I1074" s="229">
        <f>IF(I$338&gt;$D$33,0,IF(Input!I$55=0,0,IF(Input!I$55&lt;31,Input!I$55/30*I439,IF(Input!I$55&lt;61,(Input!I$55-30)/30*I438+I439,IF(Input!I$55&lt;91,(Input!I$55-60)/30*I437+I438+I439,IF(Input!I$55&lt;121,(Input!I$55-90)/30*I436+I437+I438+I439,IF(Input!I$55&lt;151,(Input!I$55-120)/30*I435+I436+I437+I438+I439,(Input!I$55-150)/30*I434+I435+I436+I437+I438+I439)))))))</f>
        <v>0</v>
      </c>
      <c r="J1074" s="229">
        <f>IF(J$338&gt;$D$33,0,IF(Input!J$55=0,0,IF(Input!J$55&lt;31,Input!J$55/30*J439,IF(Input!J$55&lt;61,(Input!J$55-30)/30*J438+J439,IF(Input!J$55&lt;91,(Input!J$55-60)/30*J437+J438+J439,IF(Input!J$55&lt;121,(Input!J$55-90)/30*J436+J437+J438+J439,IF(Input!J$55&lt;151,(Input!J$55-120)/30*J435+J436+J437+J438+J439,(Input!J$55-150)/30*J434+J435+J436+J437+J438+J439)))))))</f>
        <v>0</v>
      </c>
      <c r="K1074" s="229">
        <f>IF(K$338&gt;$D$33,0,IF(Input!K$55=0,0,IF(Input!K$55&lt;31,Input!K$55/30*K439,IF(Input!K$55&lt;61,(Input!K$55-30)/30*K438+K439,IF(Input!K$55&lt;91,(Input!K$55-60)/30*K437+K438+K439,IF(Input!K$55&lt;121,(Input!K$55-90)/30*K436+K437+K438+K439,IF(Input!K$55&lt;151,(Input!K$55-120)/30*K435+K436+K437+K438+K439,(Input!K$55-150)/30*K434+K435+K436+K437+K438+K439)))))))</f>
        <v>0</v>
      </c>
      <c r="L1074" s="229">
        <f>IF(L$338&gt;$D$33,0,IF(Input!L$55=0,0,IF(Input!L$55&lt;31,Input!L$55/30*L439,IF(Input!L$55&lt;61,(Input!L$55-30)/30*L438+L439,IF(Input!L$55&lt;91,(Input!L$55-60)/30*L437+L438+L439,IF(Input!L$55&lt;121,(Input!L$55-90)/30*L436+L437+L438+L439,IF(Input!L$55&lt;151,(Input!L$55-120)/30*L435+L436+L437+L438+L439,(Input!L$55-150)/30*L434+L435+L436+L437+L438+L439)))))))</f>
        <v>0</v>
      </c>
      <c r="M1074" s="229">
        <f>IF(M$338&gt;$D$33,0,IF(Input!M$55=0,0,IF(Input!M$55&lt;31,Input!M$55/30*M439,IF(Input!M$55&lt;61,(Input!M$55-30)/30*M438+M439,IF(Input!M$55&lt;91,(Input!M$55-60)/30*M437+M438+M439,IF(Input!M$55&lt;121,(Input!M$55-90)/30*M436+M437+M438+M439,IF(Input!M$55&lt;151,(Input!M$55-120)/30*M435+M436+M437+M438+M439,(Input!M$55-150)/30*M434+M435+M436+M437+M438+M439)))))))</f>
        <v>0</v>
      </c>
      <c r="N1074" s="229">
        <f>IF(N$338&gt;$D$33,0,IF(Input!N$55=0,0,IF(Input!N$55&lt;31,Input!N$55/30*N439,IF(Input!N$55&lt;61,(Input!N$55-30)/30*N438+N439,IF(Input!N$55&lt;91,(Input!N$55-60)/30*N437+N438+N439,IF(Input!N$55&lt;121,(Input!N$55-90)/30*N436+N437+N438+N439,IF(Input!N$55&lt;151,(Input!N$55-120)/30*N435+N436+N437+N438+N439,(Input!N$55-150)/30*N434+N435+N436+N437+N438+N439)))))))</f>
        <v>0</v>
      </c>
      <c r="O1074" s="229">
        <f>IF(O$338&gt;$D$33,0,IF(Input!O$55=0,0,IF(Input!O$55&lt;31,Input!O$55/30*O439,IF(Input!O$55&lt;61,(Input!O$55-30)/30*O438+O439,IF(Input!O$55&lt;91,(Input!O$55-60)/30*O437+O438+O439,IF(Input!O$55&lt;121,(Input!O$55-90)/30*O436+O437+O438+O439,IF(Input!O$55&lt;151,(Input!O$55-120)/30*O435+O436+O437+O438+O439,(Input!O$55-150)/30*O434+O435+O436+O437+O438+O439)))))))</f>
        <v>0</v>
      </c>
      <c r="P1074" s="229">
        <f>IF(P$338&gt;$D$33,0,IF(Input!P$55=0,0,IF(Input!P$55&lt;31,Input!P$55/30*P439,IF(Input!P$55&lt;61,(Input!P$55-30)/30*P438+P439,IF(Input!P$55&lt;91,(Input!P$55-60)/30*P437+P438+P439,IF(Input!P$55&lt;121,(Input!P$55-90)/30*P436+P437+P438+P439,IF(Input!P$55&lt;151,(Input!P$55-120)/30*P435+P436+P437+P438+P439,(Input!P$55-150)/30*P434+P435+P436+P437+P438+P439)))))))</f>
        <v>0</v>
      </c>
      <c r="Q1074" s="229">
        <f>IF(Q$338&gt;$D$33,0,IF(Input!Q$55=0,0,IF(Input!Q$55&lt;31,Input!Q$55/30*Q439,IF(Input!Q$55&lt;61,(Input!Q$55-30)/30*Q438+Q439,IF(Input!Q$55&lt;91,(Input!Q$55-60)/30*Q437+Q438+Q439,IF(Input!Q$55&lt;121,(Input!Q$55-90)/30*Q436+Q437+Q438+Q439,IF(Input!Q$55&lt;151,(Input!Q$55-120)/30*Q435+Q436+Q437+Q438+Q439,(Input!Q$55-150)/30*Q434+Q435+Q436+Q437+Q438+Q439)))))))</f>
        <v>0</v>
      </c>
      <c r="R1074" s="229">
        <f>IF(R$338&gt;$D$33,0,IF(Input!R$55=0,0,IF(Input!R$55&lt;31,Input!R$55/30*R439,IF(Input!R$55&lt;61,(Input!R$55-30)/30*R438+R439,IF(Input!R$55&lt;91,(Input!R$55-60)/30*R437+R438+R439,IF(Input!R$55&lt;121,(Input!R$55-90)/30*R436+R437+R438+R439,IF(Input!R$55&lt;151,(Input!R$55-120)/30*R435+R436+R437+R438+R439,(Input!R$55-150)/30*R434+R435+R436+R437+R438+R439)))))))</f>
        <v>0</v>
      </c>
      <c r="S1074" s="229">
        <f>IF(S$338&gt;$D$33,0,IF(Input!S$55=0,0,IF(Input!S$55&lt;31,Input!S$55/30*S439,IF(Input!S$55&lt;61,(Input!S$55-30)/30*S438+S439,IF(Input!S$55&lt;91,(Input!S$55-60)/30*S437+S438+S439,IF(Input!S$55&lt;121,(Input!S$55-90)/30*S436+S437+S438+S439,IF(Input!S$55&lt;151,(Input!S$55-120)/30*S435+S436+S437+S438+S439,(Input!S$55-150)/30*S434+S435+S436+S437+S438+S439)))))))</f>
        <v>0</v>
      </c>
      <c r="T1074" s="229">
        <f>IF(T$338&gt;$D$33,0,IF(Input!T$55=0,0,IF(Input!T$55&lt;31,Input!T$55/30*T439,IF(Input!T$55&lt;61,(Input!T$55-30)/30*T438+T439,IF(Input!T$55&lt;91,(Input!T$55-60)/30*T437+T438+T439,IF(Input!T$55&lt;121,(Input!T$55-90)/30*T436+T437+T438+T439,IF(Input!T$55&lt;151,(Input!T$55-120)/30*T435+T436+T437+T438+T439,(Input!T$55-150)/30*T434+T435+T436+T437+T438+T439)))))))</f>
        <v>0</v>
      </c>
      <c r="U1074" s="229">
        <f>IF(U$338&gt;$D$33,0,IF(Input!U$55=0,0,IF(Input!U$55&lt;31,Input!U$55/30*U439,IF(Input!U$55&lt;61,(Input!U$55-30)/30*U438+U439,IF(Input!U$55&lt;91,(Input!U$55-60)/30*U437+U438+U439,IF(Input!U$55&lt;121,(Input!U$55-90)/30*U436+U437+U438+U439,IF(Input!U$55&lt;151,(Input!U$55-120)/30*U435+U436+U437+U438+U439,(Input!U$55-150)/30*U434+U435+U436+U437+U438+U439)))))))</f>
        <v>0</v>
      </c>
      <c r="V1074" s="229">
        <f>IF(V$338&gt;$D$33,0,IF(Input!V$55=0,0,IF(Input!V$55&lt;31,Input!V$55/30*V439,IF(Input!V$55&lt;61,(Input!V$55-30)/30*V438+V439,IF(Input!V$55&lt;91,(Input!V$55-60)/30*V437+V438+V439,IF(Input!V$55&lt;121,(Input!V$55-90)/30*V436+V437+V438+V439,IF(Input!V$55&lt;151,(Input!V$55-120)/30*V435+V436+V437+V438+V439,(Input!V$55-150)/30*V434+V435+V436+V437+V438+V439)))))))</f>
        <v>0</v>
      </c>
      <c r="W1074" s="229">
        <f>IF(W$338&gt;$D$33,0,IF(Input!W$55=0,0,IF(Input!W$55&lt;31,Input!W$55/30*W439,IF(Input!W$55&lt;61,(Input!W$55-30)/30*W438+W439,IF(Input!W$55&lt;91,(Input!W$55-60)/30*W437+W438+W439,IF(Input!W$55&lt;121,(Input!W$55-90)/30*W436+W437+W438+W439,IF(Input!W$55&lt;151,(Input!W$55-120)/30*W435+W436+W437+W438+W439,(Input!W$55-150)/30*W434+W435+W436+W437+W438+W439)))))))</f>
        <v>0</v>
      </c>
      <c r="X1074" s="229">
        <f>IF(X$338&gt;$D$33,0,IF(Input!X$55=0,0,IF(Input!X$55&lt;31,Input!X$55/30*X439,IF(Input!X$55&lt;61,(Input!X$55-30)/30*X438+X439,IF(Input!X$55&lt;91,(Input!X$55-60)/30*X437+X438+X439,IF(Input!X$55&lt;121,(Input!X$55-90)/30*X436+X437+X438+X439,IF(Input!X$55&lt;151,(Input!X$55-120)/30*X435+X436+X437+X438+X439,(Input!X$55-150)/30*X434+X435+X436+X437+X438+X439)))))))</f>
        <v>0</v>
      </c>
      <c r="Y1074" s="229">
        <f>IF(Y$338&gt;$D$33,0,IF(Input!Y$55=0,0,IF(Input!Y$55&lt;31,Input!Y$55/30*Y439,IF(Input!Y$55&lt;61,(Input!Y$55-30)/30*Y438+Y439,IF(Input!Y$55&lt;91,(Input!Y$55-60)/30*Y437+Y438+Y439,IF(Input!Y$55&lt;121,(Input!Y$55-90)/30*Y436+Y437+Y438+Y439,IF(Input!Y$55&lt;151,(Input!Y$55-120)/30*Y435+Y436+Y437+Y438+Y439,(Input!Y$55-150)/30*Y434+Y435+Y436+Y437+Y438+Y439)))))))</f>
        <v>0</v>
      </c>
      <c r="Z1074" s="229">
        <f>IF(Z$338&gt;$D$33,0,IF(Input!Z$55=0,0,IF(Input!Z$55&lt;31,Input!Z$55/30*Z439,IF(Input!Z$55&lt;61,(Input!Z$55-30)/30*Z438+Z439,IF(Input!Z$55&lt;91,(Input!Z$55-60)/30*Z437+Z438+Z439,IF(Input!Z$55&lt;121,(Input!Z$55-90)/30*Z436+Z437+Z438+Z439,IF(Input!Z$55&lt;151,(Input!Z$55-120)/30*Z435+Z436+Z437+Z438+Z439,(Input!Z$55-150)/30*Z434+Z435+Z436+Z437+Z438+Z439)))))))</f>
        <v>0</v>
      </c>
      <c r="AA1074" s="229">
        <f>IF(AA$338&gt;$D$33,0,IF(Input!AA$55=0,0,IF(Input!AA$55&lt;31,Input!AA$55/30*AA439,IF(Input!AA$55&lt;61,(Input!AA$55-30)/30*AA438+AA439,IF(Input!AA$55&lt;91,(Input!AA$55-60)/30*AA437+AA438+AA439,IF(Input!AA$55&lt;121,(Input!AA$55-90)/30*AA436+AA437+AA438+AA439,IF(Input!AA$55&lt;151,(Input!AA$55-120)/30*AA435+AA436+AA437+AA438+AA439,(Input!AA$55-150)/30*AA434+AA435+AA436+AA437+AA438+AA439)))))))</f>
        <v>0</v>
      </c>
      <c r="AB1074" s="229">
        <f>IF(AB$338&gt;$D$33,0,IF(Input!AB$55=0,0,IF(Input!AB$55&lt;31,Input!AB$55/30*AB439,IF(Input!AB$55&lt;61,(Input!AB$55-30)/30*AB438+AB439,IF(Input!AB$55&lt;91,(Input!AB$55-60)/30*AB437+AB438+AB439,IF(Input!AB$55&lt;121,(Input!AB$55-90)/30*AB436+AB437+AB438+AB439,IF(Input!AB$55&lt;151,(Input!AB$55-120)/30*AB435+AB436+AB437+AB438+AB439,(Input!AB$55-150)/30*AB434+AB435+AB436+AB437+AB438+AB439)))))))</f>
        <v>0</v>
      </c>
      <c r="CH1074" s="269"/>
      <c r="CI1074" s="269"/>
      <c r="CJ1074" s="269"/>
      <c r="CK1074" s="269"/>
      <c r="CL1074" s="269"/>
      <c r="CM1074" s="269"/>
      <c r="CN1074" s="269"/>
      <c r="CO1074" s="269"/>
      <c r="CP1074" s="269"/>
      <c r="CQ1074" s="269"/>
      <c r="CR1074" s="269"/>
      <c r="CS1074" s="269"/>
    </row>
    <row r="1075" spans="3:97" x14ac:dyDescent="0.3">
      <c r="C1075" s="495">
        <f>C1012</f>
        <v>943</v>
      </c>
      <c r="D1075" s="229">
        <f>IF(D$338&gt;$D$33,0,IF(Input!D$55=0,0,IF(Input!D$55&lt;31,Input!D$55/30*D440,IF(Input!D$55&lt;61,(Input!D$55-30)/30*D439+D440,IF(Input!D$55&lt;91,(Input!D$55-60)/30*D438+D439+D440,IF(Input!D$55&lt;121,(Input!D$55-90)/30*D437+D438+D439+D440,IF(Input!D$55&lt;151,(Input!D$55-120)/30*D436+D437+D438+D439+D440,(Input!D$55-150)/30*D435+D436+D437+D438+D439+D440)))))))</f>
        <v>0</v>
      </c>
      <c r="E1075" s="229">
        <f>IF(E$338&gt;$D$33,0,IF(Input!E$55=0,0,IF(Input!E$55&lt;31,Input!E$55/30*E440,IF(Input!E$55&lt;61,(Input!E$55-30)/30*E439+E440,IF(Input!E$55&lt;91,(Input!E$55-60)/30*E438+E439+E440,IF(Input!E$55&lt;121,(Input!E$55-90)/30*E437+E438+E439+E440,IF(Input!E$55&lt;151,(Input!E$55-120)/30*E436+E437+E438+E439+E440,(Input!E$55-150)/30*E435+E436+E437+E438+E439+E440)))))))</f>
        <v>0</v>
      </c>
      <c r="F1075" s="229">
        <f>IF(F$338&gt;$D$33,0,IF(Input!F$55=0,0,IF(Input!F$55&lt;31,Input!F$55/30*F440,IF(Input!F$55&lt;61,(Input!F$55-30)/30*F439+F440,IF(Input!F$55&lt;91,(Input!F$55-60)/30*F438+F439+F440,IF(Input!F$55&lt;121,(Input!F$55-90)/30*F437+F438+F439+F440,IF(Input!F$55&lt;151,(Input!F$55-120)/30*F436+F437+F438+F439+F440,(Input!F$55-150)/30*F435+F436+F437+F438+F439+F440)))))))</f>
        <v>0</v>
      </c>
      <c r="G1075" s="229">
        <f>IF(G$338&gt;$D$33,0,IF(Input!G$55=0,0,IF(Input!G$55&lt;31,Input!G$55/30*G440,IF(Input!G$55&lt;61,(Input!G$55-30)/30*G439+G440,IF(Input!G$55&lt;91,(Input!G$55-60)/30*G438+G439+G440,IF(Input!G$55&lt;121,(Input!G$55-90)/30*G437+G438+G439+G440,IF(Input!G$55&lt;151,(Input!G$55-120)/30*G436+G437+G438+G439+G440,(Input!G$55-150)/30*G435+G436+G437+G438+G439+G440)))))))</f>
        <v>0</v>
      </c>
      <c r="H1075" s="229">
        <f>IF(H$338&gt;$D$33,0,IF(Input!H$55=0,0,IF(Input!H$55&lt;31,Input!H$55/30*H440,IF(Input!H$55&lt;61,(Input!H$55-30)/30*H439+H440,IF(Input!H$55&lt;91,(Input!H$55-60)/30*H438+H439+H440,IF(Input!H$55&lt;121,(Input!H$55-90)/30*H437+H438+H439+H440,IF(Input!H$55&lt;151,(Input!H$55-120)/30*H436+H437+H438+H439+H440,(Input!H$55-150)/30*H435+H436+H437+H438+H439+H440)))))))</f>
        <v>0</v>
      </c>
      <c r="I1075" s="229">
        <f>IF(I$338&gt;$D$33,0,IF(Input!I$55=0,0,IF(Input!I$55&lt;31,Input!I$55/30*I440,IF(Input!I$55&lt;61,(Input!I$55-30)/30*I439+I440,IF(Input!I$55&lt;91,(Input!I$55-60)/30*I438+I439+I440,IF(Input!I$55&lt;121,(Input!I$55-90)/30*I437+I438+I439+I440,IF(Input!I$55&lt;151,(Input!I$55-120)/30*I436+I437+I438+I439+I440,(Input!I$55-150)/30*I435+I436+I437+I438+I439+I440)))))))</f>
        <v>0</v>
      </c>
      <c r="J1075" s="229">
        <f>IF(J$338&gt;$D$33,0,IF(Input!J$55=0,0,IF(Input!J$55&lt;31,Input!J$55/30*J440,IF(Input!J$55&lt;61,(Input!J$55-30)/30*J439+J440,IF(Input!J$55&lt;91,(Input!J$55-60)/30*J438+J439+J440,IF(Input!J$55&lt;121,(Input!J$55-90)/30*J437+J438+J439+J440,IF(Input!J$55&lt;151,(Input!J$55-120)/30*J436+J437+J438+J439+J440,(Input!J$55-150)/30*J435+J436+J437+J438+J439+J440)))))))</f>
        <v>0</v>
      </c>
      <c r="K1075" s="229">
        <f>IF(K$338&gt;$D$33,0,IF(Input!K$55=0,0,IF(Input!K$55&lt;31,Input!K$55/30*K440,IF(Input!K$55&lt;61,(Input!K$55-30)/30*K439+K440,IF(Input!K$55&lt;91,(Input!K$55-60)/30*K438+K439+K440,IF(Input!K$55&lt;121,(Input!K$55-90)/30*K437+K438+K439+K440,IF(Input!K$55&lt;151,(Input!K$55-120)/30*K436+K437+K438+K439+K440,(Input!K$55-150)/30*K435+K436+K437+K438+K439+K440)))))))</f>
        <v>0</v>
      </c>
      <c r="L1075" s="229">
        <f>IF(L$338&gt;$D$33,0,IF(Input!L$55=0,0,IF(Input!L$55&lt;31,Input!L$55/30*L440,IF(Input!L$55&lt;61,(Input!L$55-30)/30*L439+L440,IF(Input!L$55&lt;91,(Input!L$55-60)/30*L438+L439+L440,IF(Input!L$55&lt;121,(Input!L$55-90)/30*L437+L438+L439+L440,IF(Input!L$55&lt;151,(Input!L$55-120)/30*L436+L437+L438+L439+L440,(Input!L$55-150)/30*L435+L436+L437+L438+L439+L440)))))))</f>
        <v>0</v>
      </c>
      <c r="M1075" s="229">
        <f>IF(M$338&gt;$D$33,0,IF(Input!M$55=0,0,IF(Input!M$55&lt;31,Input!M$55/30*M440,IF(Input!M$55&lt;61,(Input!M$55-30)/30*M439+M440,IF(Input!M$55&lt;91,(Input!M$55-60)/30*M438+M439+M440,IF(Input!M$55&lt;121,(Input!M$55-90)/30*M437+M438+M439+M440,IF(Input!M$55&lt;151,(Input!M$55-120)/30*M436+M437+M438+M439+M440,(Input!M$55-150)/30*M435+M436+M437+M438+M439+M440)))))))</f>
        <v>0</v>
      </c>
      <c r="N1075" s="229">
        <f>IF(N$338&gt;$D$33,0,IF(Input!N$55=0,0,IF(Input!N$55&lt;31,Input!N$55/30*N440,IF(Input!N$55&lt;61,(Input!N$55-30)/30*N439+N440,IF(Input!N$55&lt;91,(Input!N$55-60)/30*N438+N439+N440,IF(Input!N$55&lt;121,(Input!N$55-90)/30*N437+N438+N439+N440,IF(Input!N$55&lt;151,(Input!N$55-120)/30*N436+N437+N438+N439+N440,(Input!N$55-150)/30*N435+N436+N437+N438+N439+N440)))))))</f>
        <v>0</v>
      </c>
      <c r="O1075" s="229">
        <f>IF(O$338&gt;$D$33,0,IF(Input!O$55=0,0,IF(Input!O$55&lt;31,Input!O$55/30*O440,IF(Input!O$55&lt;61,(Input!O$55-30)/30*O439+O440,IF(Input!O$55&lt;91,(Input!O$55-60)/30*O438+O439+O440,IF(Input!O$55&lt;121,(Input!O$55-90)/30*O437+O438+O439+O440,IF(Input!O$55&lt;151,(Input!O$55-120)/30*O436+O437+O438+O439+O440,(Input!O$55-150)/30*O435+O436+O437+O438+O439+O440)))))))</f>
        <v>0</v>
      </c>
      <c r="P1075" s="229">
        <f>IF(P$338&gt;$D$33,0,IF(Input!P$55=0,0,IF(Input!P$55&lt;31,Input!P$55/30*P440,IF(Input!P$55&lt;61,(Input!P$55-30)/30*P439+P440,IF(Input!P$55&lt;91,(Input!P$55-60)/30*P438+P439+P440,IF(Input!P$55&lt;121,(Input!P$55-90)/30*P437+P438+P439+P440,IF(Input!P$55&lt;151,(Input!P$55-120)/30*P436+P437+P438+P439+P440,(Input!P$55-150)/30*P435+P436+P437+P438+P439+P440)))))))</f>
        <v>0</v>
      </c>
      <c r="Q1075" s="229">
        <f>IF(Q$338&gt;$D$33,0,IF(Input!Q$55=0,0,IF(Input!Q$55&lt;31,Input!Q$55/30*Q440,IF(Input!Q$55&lt;61,(Input!Q$55-30)/30*Q439+Q440,IF(Input!Q$55&lt;91,(Input!Q$55-60)/30*Q438+Q439+Q440,IF(Input!Q$55&lt;121,(Input!Q$55-90)/30*Q437+Q438+Q439+Q440,IF(Input!Q$55&lt;151,(Input!Q$55-120)/30*Q436+Q437+Q438+Q439+Q440,(Input!Q$55-150)/30*Q435+Q436+Q437+Q438+Q439+Q440)))))))</f>
        <v>0</v>
      </c>
      <c r="R1075" s="229">
        <f>IF(R$338&gt;$D$33,0,IF(Input!R$55=0,0,IF(Input!R$55&lt;31,Input!R$55/30*R440,IF(Input!R$55&lt;61,(Input!R$55-30)/30*R439+R440,IF(Input!R$55&lt;91,(Input!R$55-60)/30*R438+R439+R440,IF(Input!R$55&lt;121,(Input!R$55-90)/30*R437+R438+R439+R440,IF(Input!R$55&lt;151,(Input!R$55-120)/30*R436+R437+R438+R439+R440,(Input!R$55-150)/30*R435+R436+R437+R438+R439+R440)))))))</f>
        <v>0</v>
      </c>
      <c r="S1075" s="229">
        <f>IF(S$338&gt;$D$33,0,IF(Input!S$55=0,0,IF(Input!S$55&lt;31,Input!S$55/30*S440,IF(Input!S$55&lt;61,(Input!S$55-30)/30*S439+S440,IF(Input!S$55&lt;91,(Input!S$55-60)/30*S438+S439+S440,IF(Input!S$55&lt;121,(Input!S$55-90)/30*S437+S438+S439+S440,IF(Input!S$55&lt;151,(Input!S$55-120)/30*S436+S437+S438+S439+S440,(Input!S$55-150)/30*S435+S436+S437+S438+S439+S440)))))))</f>
        <v>0</v>
      </c>
      <c r="T1075" s="229">
        <f>IF(T$338&gt;$D$33,0,IF(Input!T$55=0,0,IF(Input!T$55&lt;31,Input!T$55/30*T440,IF(Input!T$55&lt;61,(Input!T$55-30)/30*T439+T440,IF(Input!T$55&lt;91,(Input!T$55-60)/30*T438+T439+T440,IF(Input!T$55&lt;121,(Input!T$55-90)/30*T437+T438+T439+T440,IF(Input!T$55&lt;151,(Input!T$55-120)/30*T436+T437+T438+T439+T440,(Input!T$55-150)/30*T435+T436+T437+T438+T439+T440)))))))</f>
        <v>0</v>
      </c>
      <c r="U1075" s="229">
        <f>IF(U$338&gt;$D$33,0,IF(Input!U$55=0,0,IF(Input!U$55&lt;31,Input!U$55/30*U440,IF(Input!U$55&lt;61,(Input!U$55-30)/30*U439+U440,IF(Input!U$55&lt;91,(Input!U$55-60)/30*U438+U439+U440,IF(Input!U$55&lt;121,(Input!U$55-90)/30*U437+U438+U439+U440,IF(Input!U$55&lt;151,(Input!U$55-120)/30*U436+U437+U438+U439+U440,(Input!U$55-150)/30*U435+U436+U437+U438+U439+U440)))))))</f>
        <v>0</v>
      </c>
      <c r="V1075" s="229">
        <f>IF(V$338&gt;$D$33,0,IF(Input!V$55=0,0,IF(Input!V$55&lt;31,Input!V$55/30*V440,IF(Input!V$55&lt;61,(Input!V$55-30)/30*V439+V440,IF(Input!V$55&lt;91,(Input!V$55-60)/30*V438+V439+V440,IF(Input!V$55&lt;121,(Input!V$55-90)/30*V437+V438+V439+V440,IF(Input!V$55&lt;151,(Input!V$55-120)/30*V436+V437+V438+V439+V440,(Input!V$55-150)/30*V435+V436+V437+V438+V439+V440)))))))</f>
        <v>0</v>
      </c>
      <c r="W1075" s="229">
        <f>IF(W$338&gt;$D$33,0,IF(Input!W$55=0,0,IF(Input!W$55&lt;31,Input!W$55/30*W440,IF(Input!W$55&lt;61,(Input!W$55-30)/30*W439+W440,IF(Input!W$55&lt;91,(Input!W$55-60)/30*W438+W439+W440,IF(Input!W$55&lt;121,(Input!W$55-90)/30*W437+W438+W439+W440,IF(Input!W$55&lt;151,(Input!W$55-120)/30*W436+W437+W438+W439+W440,(Input!W$55-150)/30*W435+W436+W437+W438+W439+W440)))))))</f>
        <v>0</v>
      </c>
      <c r="X1075" s="229">
        <f>IF(X$338&gt;$D$33,0,IF(Input!X$55=0,0,IF(Input!X$55&lt;31,Input!X$55/30*X440,IF(Input!X$55&lt;61,(Input!X$55-30)/30*X439+X440,IF(Input!X$55&lt;91,(Input!X$55-60)/30*X438+X439+X440,IF(Input!X$55&lt;121,(Input!X$55-90)/30*X437+X438+X439+X440,IF(Input!X$55&lt;151,(Input!X$55-120)/30*X436+X437+X438+X439+X440,(Input!X$55-150)/30*X435+X436+X437+X438+X439+X440)))))))</f>
        <v>0</v>
      </c>
      <c r="Y1075" s="229">
        <f>IF(Y$338&gt;$D$33,0,IF(Input!Y$55=0,0,IF(Input!Y$55&lt;31,Input!Y$55/30*Y440,IF(Input!Y$55&lt;61,(Input!Y$55-30)/30*Y439+Y440,IF(Input!Y$55&lt;91,(Input!Y$55-60)/30*Y438+Y439+Y440,IF(Input!Y$55&lt;121,(Input!Y$55-90)/30*Y437+Y438+Y439+Y440,IF(Input!Y$55&lt;151,(Input!Y$55-120)/30*Y436+Y437+Y438+Y439+Y440,(Input!Y$55-150)/30*Y435+Y436+Y437+Y438+Y439+Y440)))))))</f>
        <v>0</v>
      </c>
      <c r="Z1075" s="229">
        <f>IF(Z$338&gt;$D$33,0,IF(Input!Z$55=0,0,IF(Input!Z$55&lt;31,Input!Z$55/30*Z440,IF(Input!Z$55&lt;61,(Input!Z$55-30)/30*Z439+Z440,IF(Input!Z$55&lt;91,(Input!Z$55-60)/30*Z438+Z439+Z440,IF(Input!Z$55&lt;121,(Input!Z$55-90)/30*Z437+Z438+Z439+Z440,IF(Input!Z$55&lt;151,(Input!Z$55-120)/30*Z436+Z437+Z438+Z439+Z440,(Input!Z$55-150)/30*Z435+Z436+Z437+Z438+Z439+Z440)))))))</f>
        <v>0</v>
      </c>
      <c r="AA1075" s="229">
        <f>IF(AA$338&gt;$D$33,0,IF(Input!AA$55=0,0,IF(Input!AA$55&lt;31,Input!AA$55/30*AA440,IF(Input!AA$55&lt;61,(Input!AA$55-30)/30*AA439+AA440,IF(Input!AA$55&lt;91,(Input!AA$55-60)/30*AA438+AA439+AA440,IF(Input!AA$55&lt;121,(Input!AA$55-90)/30*AA437+AA438+AA439+AA440,IF(Input!AA$55&lt;151,(Input!AA$55-120)/30*AA436+AA437+AA438+AA439+AA440,(Input!AA$55-150)/30*AA435+AA436+AA437+AA438+AA439+AA440)))))))</f>
        <v>0</v>
      </c>
      <c r="AB1075" s="229">
        <f>IF(AB$338&gt;$D$33,0,IF(Input!AB$55=0,0,IF(Input!AB$55&lt;31,Input!AB$55/30*AB440,IF(Input!AB$55&lt;61,(Input!AB$55-30)/30*AB439+AB440,IF(Input!AB$55&lt;91,(Input!AB$55-60)/30*AB438+AB439+AB440,IF(Input!AB$55&lt;121,(Input!AB$55-90)/30*AB437+AB438+AB439+AB440,IF(Input!AB$55&lt;151,(Input!AB$55-120)/30*AB436+AB437+AB438+AB439+AB440,(Input!AB$55-150)/30*AB435+AB436+AB437+AB438+AB439+AB440)))))))</f>
        <v>0</v>
      </c>
      <c r="CH1075" s="269"/>
      <c r="CI1075" s="269"/>
      <c r="CJ1075" s="269"/>
      <c r="CK1075" s="269"/>
      <c r="CL1075" s="269"/>
      <c r="CM1075" s="269"/>
      <c r="CN1075" s="269"/>
      <c r="CO1075" s="269"/>
      <c r="CP1075" s="269"/>
      <c r="CQ1075" s="269"/>
      <c r="CR1075" s="269"/>
      <c r="CS1075" s="269"/>
    </row>
    <row r="1076" spans="3:97" x14ac:dyDescent="0.3">
      <c r="C1076" s="495">
        <f>C1013</f>
        <v>974</v>
      </c>
      <c r="D1076" s="229">
        <f>IF(D$338&gt;$D$33,0,IF(Input!D$55=0,0,IF(Input!D$55&lt;31,Input!D$55/30*D441,IF(Input!D$55&lt;61,(Input!D$55-30)/30*D440+D441,IF(Input!D$55&lt;91,(Input!D$55-60)/30*D439+D440+D441,IF(Input!D$55&lt;121,(Input!D$55-90)/30*D438+D439+D440+D441,IF(Input!D$55&lt;151,(Input!D$55-120)/30*D437+D438+D439+D440+D441,(Input!D$55-150)/30*D436+D437+D438+D439+D440+D441)))))))</f>
        <v>0</v>
      </c>
      <c r="E1076" s="229">
        <f>IF(E$338&gt;$D$33,0,IF(Input!E$55=0,0,IF(Input!E$55&lt;31,Input!E$55/30*E441,IF(Input!E$55&lt;61,(Input!E$55-30)/30*E440+E441,IF(Input!E$55&lt;91,(Input!E$55-60)/30*E439+E440+E441,IF(Input!E$55&lt;121,(Input!E$55-90)/30*E438+E439+E440+E441,IF(Input!E$55&lt;151,(Input!E$55-120)/30*E437+E438+E439+E440+E441,(Input!E$55-150)/30*E436+E437+E438+E439+E440+E441)))))))</f>
        <v>0</v>
      </c>
      <c r="F1076" s="229">
        <f>IF(F$338&gt;$D$33,0,IF(Input!F$55=0,0,IF(Input!F$55&lt;31,Input!F$55/30*F441,IF(Input!F$55&lt;61,(Input!F$55-30)/30*F440+F441,IF(Input!F$55&lt;91,(Input!F$55-60)/30*F439+F440+F441,IF(Input!F$55&lt;121,(Input!F$55-90)/30*F438+F439+F440+F441,IF(Input!F$55&lt;151,(Input!F$55-120)/30*F437+F438+F439+F440+F441,(Input!F$55-150)/30*F436+F437+F438+F439+F440+F441)))))))</f>
        <v>0</v>
      </c>
      <c r="G1076" s="229">
        <f>IF(G$338&gt;$D$33,0,IF(Input!G$55=0,0,IF(Input!G$55&lt;31,Input!G$55/30*G441,IF(Input!G$55&lt;61,(Input!G$55-30)/30*G440+G441,IF(Input!G$55&lt;91,(Input!G$55-60)/30*G439+G440+G441,IF(Input!G$55&lt;121,(Input!G$55-90)/30*G438+G439+G440+G441,IF(Input!G$55&lt;151,(Input!G$55-120)/30*G437+G438+G439+G440+G441,(Input!G$55-150)/30*G436+G437+G438+G439+G440+G441)))))))</f>
        <v>0</v>
      </c>
      <c r="H1076" s="229">
        <f>IF(H$338&gt;$D$33,0,IF(Input!H$55=0,0,IF(Input!H$55&lt;31,Input!H$55/30*H441,IF(Input!H$55&lt;61,(Input!H$55-30)/30*H440+H441,IF(Input!H$55&lt;91,(Input!H$55-60)/30*H439+H440+H441,IF(Input!H$55&lt;121,(Input!H$55-90)/30*H438+H439+H440+H441,IF(Input!H$55&lt;151,(Input!H$55-120)/30*H437+H438+H439+H440+H441,(Input!H$55-150)/30*H436+H437+H438+H439+H440+H441)))))))</f>
        <v>0</v>
      </c>
      <c r="I1076" s="229">
        <f>IF(I$338&gt;$D$33,0,IF(Input!I$55=0,0,IF(Input!I$55&lt;31,Input!I$55/30*I441,IF(Input!I$55&lt;61,(Input!I$55-30)/30*I440+I441,IF(Input!I$55&lt;91,(Input!I$55-60)/30*I439+I440+I441,IF(Input!I$55&lt;121,(Input!I$55-90)/30*I438+I439+I440+I441,IF(Input!I$55&lt;151,(Input!I$55-120)/30*I437+I438+I439+I440+I441,(Input!I$55-150)/30*I436+I437+I438+I439+I440+I441)))))))</f>
        <v>0</v>
      </c>
      <c r="J1076" s="229">
        <f>IF(J$338&gt;$D$33,0,IF(Input!J$55=0,0,IF(Input!J$55&lt;31,Input!J$55/30*J441,IF(Input!J$55&lt;61,(Input!J$55-30)/30*J440+J441,IF(Input!J$55&lt;91,(Input!J$55-60)/30*J439+J440+J441,IF(Input!J$55&lt;121,(Input!J$55-90)/30*J438+J439+J440+J441,IF(Input!J$55&lt;151,(Input!J$55-120)/30*J437+J438+J439+J440+J441,(Input!J$55-150)/30*J436+J437+J438+J439+J440+J441)))))))</f>
        <v>0</v>
      </c>
      <c r="K1076" s="229">
        <f>IF(K$338&gt;$D$33,0,IF(Input!K$55=0,0,IF(Input!K$55&lt;31,Input!K$55/30*K441,IF(Input!K$55&lt;61,(Input!K$55-30)/30*K440+K441,IF(Input!K$55&lt;91,(Input!K$55-60)/30*K439+K440+K441,IF(Input!K$55&lt;121,(Input!K$55-90)/30*K438+K439+K440+K441,IF(Input!K$55&lt;151,(Input!K$55-120)/30*K437+K438+K439+K440+K441,(Input!K$55-150)/30*K436+K437+K438+K439+K440+K441)))))))</f>
        <v>0</v>
      </c>
      <c r="L1076" s="229">
        <f>IF(L$338&gt;$D$33,0,IF(Input!L$55=0,0,IF(Input!L$55&lt;31,Input!L$55/30*L441,IF(Input!L$55&lt;61,(Input!L$55-30)/30*L440+L441,IF(Input!L$55&lt;91,(Input!L$55-60)/30*L439+L440+L441,IF(Input!L$55&lt;121,(Input!L$55-90)/30*L438+L439+L440+L441,IF(Input!L$55&lt;151,(Input!L$55-120)/30*L437+L438+L439+L440+L441,(Input!L$55-150)/30*L436+L437+L438+L439+L440+L441)))))))</f>
        <v>0</v>
      </c>
      <c r="M1076" s="229">
        <f>IF(M$338&gt;$D$33,0,IF(Input!M$55=0,0,IF(Input!M$55&lt;31,Input!M$55/30*M441,IF(Input!M$55&lt;61,(Input!M$55-30)/30*M440+M441,IF(Input!M$55&lt;91,(Input!M$55-60)/30*M439+M440+M441,IF(Input!M$55&lt;121,(Input!M$55-90)/30*M438+M439+M440+M441,IF(Input!M$55&lt;151,(Input!M$55-120)/30*M437+M438+M439+M440+M441,(Input!M$55-150)/30*M436+M437+M438+M439+M440+M441)))))))</f>
        <v>0</v>
      </c>
      <c r="N1076" s="229">
        <f>IF(N$338&gt;$D$33,0,IF(Input!N$55=0,0,IF(Input!N$55&lt;31,Input!N$55/30*N441,IF(Input!N$55&lt;61,(Input!N$55-30)/30*N440+N441,IF(Input!N$55&lt;91,(Input!N$55-60)/30*N439+N440+N441,IF(Input!N$55&lt;121,(Input!N$55-90)/30*N438+N439+N440+N441,IF(Input!N$55&lt;151,(Input!N$55-120)/30*N437+N438+N439+N440+N441,(Input!N$55-150)/30*N436+N437+N438+N439+N440+N441)))))))</f>
        <v>0</v>
      </c>
      <c r="O1076" s="229">
        <f>IF(O$338&gt;$D$33,0,IF(Input!O$55=0,0,IF(Input!O$55&lt;31,Input!O$55/30*O441,IF(Input!O$55&lt;61,(Input!O$55-30)/30*O440+O441,IF(Input!O$55&lt;91,(Input!O$55-60)/30*O439+O440+O441,IF(Input!O$55&lt;121,(Input!O$55-90)/30*O438+O439+O440+O441,IF(Input!O$55&lt;151,(Input!O$55-120)/30*O437+O438+O439+O440+O441,(Input!O$55-150)/30*O436+O437+O438+O439+O440+O441)))))))</f>
        <v>0</v>
      </c>
      <c r="P1076" s="229">
        <f>IF(P$338&gt;$D$33,0,IF(Input!P$55=0,0,IF(Input!P$55&lt;31,Input!P$55/30*P441,IF(Input!P$55&lt;61,(Input!P$55-30)/30*P440+P441,IF(Input!P$55&lt;91,(Input!P$55-60)/30*P439+P440+P441,IF(Input!P$55&lt;121,(Input!P$55-90)/30*P438+P439+P440+P441,IF(Input!P$55&lt;151,(Input!P$55-120)/30*P437+P438+P439+P440+P441,(Input!P$55-150)/30*P436+P437+P438+P439+P440+P441)))))))</f>
        <v>0</v>
      </c>
      <c r="Q1076" s="229">
        <f>IF(Q$338&gt;$D$33,0,IF(Input!Q$55=0,0,IF(Input!Q$55&lt;31,Input!Q$55/30*Q441,IF(Input!Q$55&lt;61,(Input!Q$55-30)/30*Q440+Q441,IF(Input!Q$55&lt;91,(Input!Q$55-60)/30*Q439+Q440+Q441,IF(Input!Q$55&lt;121,(Input!Q$55-90)/30*Q438+Q439+Q440+Q441,IF(Input!Q$55&lt;151,(Input!Q$55-120)/30*Q437+Q438+Q439+Q440+Q441,(Input!Q$55-150)/30*Q436+Q437+Q438+Q439+Q440+Q441)))))))</f>
        <v>0</v>
      </c>
      <c r="R1076" s="229">
        <f>IF(R$338&gt;$D$33,0,IF(Input!R$55=0,0,IF(Input!R$55&lt;31,Input!R$55/30*R441,IF(Input!R$55&lt;61,(Input!R$55-30)/30*R440+R441,IF(Input!R$55&lt;91,(Input!R$55-60)/30*R439+R440+R441,IF(Input!R$55&lt;121,(Input!R$55-90)/30*R438+R439+R440+R441,IF(Input!R$55&lt;151,(Input!R$55-120)/30*R437+R438+R439+R440+R441,(Input!R$55-150)/30*R436+R437+R438+R439+R440+R441)))))))</f>
        <v>0</v>
      </c>
      <c r="S1076" s="229">
        <f>IF(S$338&gt;$D$33,0,IF(Input!S$55=0,0,IF(Input!S$55&lt;31,Input!S$55/30*S441,IF(Input!S$55&lt;61,(Input!S$55-30)/30*S440+S441,IF(Input!S$55&lt;91,(Input!S$55-60)/30*S439+S440+S441,IF(Input!S$55&lt;121,(Input!S$55-90)/30*S438+S439+S440+S441,IF(Input!S$55&lt;151,(Input!S$55-120)/30*S437+S438+S439+S440+S441,(Input!S$55-150)/30*S436+S437+S438+S439+S440+S441)))))))</f>
        <v>0</v>
      </c>
      <c r="T1076" s="229">
        <f>IF(T$338&gt;$D$33,0,IF(Input!T$55=0,0,IF(Input!T$55&lt;31,Input!T$55/30*T441,IF(Input!T$55&lt;61,(Input!T$55-30)/30*T440+T441,IF(Input!T$55&lt;91,(Input!T$55-60)/30*T439+T440+T441,IF(Input!T$55&lt;121,(Input!T$55-90)/30*T438+T439+T440+T441,IF(Input!T$55&lt;151,(Input!T$55-120)/30*T437+T438+T439+T440+T441,(Input!T$55-150)/30*T436+T437+T438+T439+T440+T441)))))))</f>
        <v>0</v>
      </c>
      <c r="U1076" s="229">
        <f>IF(U$338&gt;$D$33,0,IF(Input!U$55=0,0,IF(Input!U$55&lt;31,Input!U$55/30*U441,IF(Input!U$55&lt;61,(Input!U$55-30)/30*U440+U441,IF(Input!U$55&lt;91,(Input!U$55-60)/30*U439+U440+U441,IF(Input!U$55&lt;121,(Input!U$55-90)/30*U438+U439+U440+U441,IF(Input!U$55&lt;151,(Input!U$55-120)/30*U437+U438+U439+U440+U441,(Input!U$55-150)/30*U436+U437+U438+U439+U440+U441)))))))</f>
        <v>0</v>
      </c>
      <c r="V1076" s="229">
        <f>IF(V$338&gt;$D$33,0,IF(Input!V$55=0,0,IF(Input!V$55&lt;31,Input!V$55/30*V441,IF(Input!V$55&lt;61,(Input!V$55-30)/30*V440+V441,IF(Input!V$55&lt;91,(Input!V$55-60)/30*V439+V440+V441,IF(Input!V$55&lt;121,(Input!V$55-90)/30*V438+V439+V440+V441,IF(Input!V$55&lt;151,(Input!V$55-120)/30*V437+V438+V439+V440+V441,(Input!V$55-150)/30*V436+V437+V438+V439+V440+V441)))))))</f>
        <v>0</v>
      </c>
      <c r="W1076" s="229">
        <f>IF(W$338&gt;$D$33,0,IF(Input!W$55=0,0,IF(Input!W$55&lt;31,Input!W$55/30*W441,IF(Input!W$55&lt;61,(Input!W$55-30)/30*W440+W441,IF(Input!W$55&lt;91,(Input!W$55-60)/30*W439+W440+W441,IF(Input!W$55&lt;121,(Input!W$55-90)/30*W438+W439+W440+W441,IF(Input!W$55&lt;151,(Input!W$55-120)/30*W437+W438+W439+W440+W441,(Input!W$55-150)/30*W436+W437+W438+W439+W440+W441)))))))</f>
        <v>0</v>
      </c>
      <c r="X1076" s="229">
        <f>IF(X$338&gt;$D$33,0,IF(Input!X$55=0,0,IF(Input!X$55&lt;31,Input!X$55/30*X441,IF(Input!X$55&lt;61,(Input!X$55-30)/30*X440+X441,IF(Input!X$55&lt;91,(Input!X$55-60)/30*X439+X440+X441,IF(Input!X$55&lt;121,(Input!X$55-90)/30*X438+X439+X440+X441,IF(Input!X$55&lt;151,(Input!X$55-120)/30*X437+X438+X439+X440+X441,(Input!X$55-150)/30*X436+X437+X438+X439+X440+X441)))))))</f>
        <v>0</v>
      </c>
      <c r="Y1076" s="229">
        <f>IF(Y$338&gt;$D$33,0,IF(Input!Y$55=0,0,IF(Input!Y$55&lt;31,Input!Y$55/30*Y441,IF(Input!Y$55&lt;61,(Input!Y$55-30)/30*Y440+Y441,IF(Input!Y$55&lt;91,(Input!Y$55-60)/30*Y439+Y440+Y441,IF(Input!Y$55&lt;121,(Input!Y$55-90)/30*Y438+Y439+Y440+Y441,IF(Input!Y$55&lt;151,(Input!Y$55-120)/30*Y437+Y438+Y439+Y440+Y441,(Input!Y$55-150)/30*Y436+Y437+Y438+Y439+Y440+Y441)))))))</f>
        <v>0</v>
      </c>
      <c r="Z1076" s="229">
        <f>IF(Z$338&gt;$D$33,0,IF(Input!Z$55=0,0,IF(Input!Z$55&lt;31,Input!Z$55/30*Z441,IF(Input!Z$55&lt;61,(Input!Z$55-30)/30*Z440+Z441,IF(Input!Z$55&lt;91,(Input!Z$55-60)/30*Z439+Z440+Z441,IF(Input!Z$55&lt;121,(Input!Z$55-90)/30*Z438+Z439+Z440+Z441,IF(Input!Z$55&lt;151,(Input!Z$55-120)/30*Z437+Z438+Z439+Z440+Z441,(Input!Z$55-150)/30*Z436+Z437+Z438+Z439+Z440+Z441)))))))</f>
        <v>0</v>
      </c>
      <c r="AA1076" s="229">
        <f>IF(AA$338&gt;$D$33,0,IF(Input!AA$55=0,0,IF(Input!AA$55&lt;31,Input!AA$55/30*AA441,IF(Input!AA$55&lt;61,(Input!AA$55-30)/30*AA440+AA441,IF(Input!AA$55&lt;91,(Input!AA$55-60)/30*AA439+AA440+AA441,IF(Input!AA$55&lt;121,(Input!AA$55-90)/30*AA438+AA439+AA440+AA441,IF(Input!AA$55&lt;151,(Input!AA$55-120)/30*AA437+AA438+AA439+AA440+AA441,(Input!AA$55-150)/30*AA436+AA437+AA438+AA439+AA440+AA441)))))))</f>
        <v>0</v>
      </c>
      <c r="AB1076" s="229">
        <f>IF(AB$338&gt;$D$33,0,IF(Input!AB$55=0,0,IF(Input!AB$55&lt;31,Input!AB$55/30*AB441,IF(Input!AB$55&lt;61,(Input!AB$55-30)/30*AB440+AB441,IF(Input!AB$55&lt;91,(Input!AB$55-60)/30*AB439+AB440+AB441,IF(Input!AB$55&lt;121,(Input!AB$55-90)/30*AB438+AB439+AB440+AB441,IF(Input!AB$55&lt;151,(Input!AB$55-120)/30*AB437+AB438+AB439+AB440+AB441,(Input!AB$55-150)/30*AB436+AB437+AB438+AB439+AB440+AB441)))))))</f>
        <v>0</v>
      </c>
      <c r="CH1076" s="269"/>
      <c r="CI1076" s="269"/>
      <c r="CJ1076" s="269"/>
      <c r="CK1076" s="269"/>
      <c r="CL1076" s="269"/>
      <c r="CM1076" s="269"/>
      <c r="CN1076" s="269"/>
      <c r="CO1076" s="269"/>
      <c r="CP1076" s="269"/>
      <c r="CQ1076" s="269"/>
      <c r="CR1076" s="269"/>
      <c r="CS1076" s="269"/>
    </row>
    <row r="1077" spans="3:97" x14ac:dyDescent="0.3">
      <c r="C1077" s="495">
        <f>C1014</f>
        <v>1004</v>
      </c>
      <c r="D1077" s="229">
        <f>IF(D$338&gt;$D$33,0,IF(Input!D$55=0,0,IF(Input!D$55&lt;31,Input!D$55/30*D442,IF(Input!D$55&lt;61,(Input!D$55-30)/30*D441+D442,IF(Input!D$55&lt;91,(Input!D$55-60)/30*D440+D441+D442,IF(Input!D$55&lt;121,(Input!D$55-90)/30*D439+D440+D441+D442,IF(Input!D$55&lt;151,(Input!D$55-120)/30*D438+D439+D440+D441+D442,(Input!D$55-150)/30*D437+D438+D439+D440+D441+D442)))))))</f>
        <v>0</v>
      </c>
      <c r="E1077" s="229">
        <f>IF(E$338&gt;$D$33,0,IF(Input!E$55=0,0,IF(Input!E$55&lt;31,Input!E$55/30*E442,IF(Input!E$55&lt;61,(Input!E$55-30)/30*E441+E442,IF(Input!E$55&lt;91,(Input!E$55-60)/30*E440+E441+E442,IF(Input!E$55&lt;121,(Input!E$55-90)/30*E439+E440+E441+E442,IF(Input!E$55&lt;151,(Input!E$55-120)/30*E438+E439+E440+E441+E442,(Input!E$55-150)/30*E437+E438+E439+E440+E441+E442)))))))</f>
        <v>0</v>
      </c>
      <c r="F1077" s="229">
        <f>IF(F$338&gt;$D$33,0,IF(Input!F$55=0,0,IF(Input!F$55&lt;31,Input!F$55/30*F442,IF(Input!F$55&lt;61,(Input!F$55-30)/30*F441+F442,IF(Input!F$55&lt;91,(Input!F$55-60)/30*F440+F441+F442,IF(Input!F$55&lt;121,(Input!F$55-90)/30*F439+F440+F441+F442,IF(Input!F$55&lt;151,(Input!F$55-120)/30*F438+F439+F440+F441+F442,(Input!F$55-150)/30*F437+F438+F439+F440+F441+F442)))))))</f>
        <v>0</v>
      </c>
      <c r="G1077" s="229">
        <f>IF(G$338&gt;$D$33,0,IF(Input!G$55=0,0,IF(Input!G$55&lt;31,Input!G$55/30*G442,IF(Input!G$55&lt;61,(Input!G$55-30)/30*G441+G442,IF(Input!G$55&lt;91,(Input!G$55-60)/30*G440+G441+G442,IF(Input!G$55&lt;121,(Input!G$55-90)/30*G439+G440+G441+G442,IF(Input!G$55&lt;151,(Input!G$55-120)/30*G438+G439+G440+G441+G442,(Input!G$55-150)/30*G437+G438+G439+G440+G441+G442)))))))</f>
        <v>0</v>
      </c>
      <c r="H1077" s="229">
        <f>IF(H$338&gt;$D$33,0,IF(Input!H$55=0,0,IF(Input!H$55&lt;31,Input!H$55/30*H442,IF(Input!H$55&lt;61,(Input!H$55-30)/30*H441+H442,IF(Input!H$55&lt;91,(Input!H$55-60)/30*H440+H441+H442,IF(Input!H$55&lt;121,(Input!H$55-90)/30*H439+H440+H441+H442,IF(Input!H$55&lt;151,(Input!H$55-120)/30*H438+H439+H440+H441+H442,(Input!H$55-150)/30*H437+H438+H439+H440+H441+H442)))))))</f>
        <v>0</v>
      </c>
      <c r="I1077" s="229">
        <f>IF(I$338&gt;$D$33,0,IF(Input!I$55=0,0,IF(Input!I$55&lt;31,Input!I$55/30*I442,IF(Input!I$55&lt;61,(Input!I$55-30)/30*I441+I442,IF(Input!I$55&lt;91,(Input!I$55-60)/30*I440+I441+I442,IF(Input!I$55&lt;121,(Input!I$55-90)/30*I439+I440+I441+I442,IF(Input!I$55&lt;151,(Input!I$55-120)/30*I438+I439+I440+I441+I442,(Input!I$55-150)/30*I437+I438+I439+I440+I441+I442)))))))</f>
        <v>0</v>
      </c>
      <c r="J1077" s="229">
        <f>IF(J$338&gt;$D$33,0,IF(Input!J$55=0,0,IF(Input!J$55&lt;31,Input!J$55/30*J442,IF(Input!J$55&lt;61,(Input!J$55-30)/30*J441+J442,IF(Input!J$55&lt;91,(Input!J$55-60)/30*J440+J441+J442,IF(Input!J$55&lt;121,(Input!J$55-90)/30*J439+J440+J441+J442,IF(Input!J$55&lt;151,(Input!J$55-120)/30*J438+J439+J440+J441+J442,(Input!J$55-150)/30*J437+J438+J439+J440+J441+J442)))))))</f>
        <v>0</v>
      </c>
      <c r="K1077" s="229">
        <f>IF(K$338&gt;$D$33,0,IF(Input!K$55=0,0,IF(Input!K$55&lt;31,Input!K$55/30*K442,IF(Input!K$55&lt;61,(Input!K$55-30)/30*K441+K442,IF(Input!K$55&lt;91,(Input!K$55-60)/30*K440+K441+K442,IF(Input!K$55&lt;121,(Input!K$55-90)/30*K439+K440+K441+K442,IF(Input!K$55&lt;151,(Input!K$55-120)/30*K438+K439+K440+K441+K442,(Input!K$55-150)/30*K437+K438+K439+K440+K441+K442)))))))</f>
        <v>0</v>
      </c>
      <c r="L1077" s="229">
        <f>IF(L$338&gt;$D$33,0,IF(Input!L$55=0,0,IF(Input!L$55&lt;31,Input!L$55/30*L442,IF(Input!L$55&lt;61,(Input!L$55-30)/30*L441+L442,IF(Input!L$55&lt;91,(Input!L$55-60)/30*L440+L441+L442,IF(Input!L$55&lt;121,(Input!L$55-90)/30*L439+L440+L441+L442,IF(Input!L$55&lt;151,(Input!L$55-120)/30*L438+L439+L440+L441+L442,(Input!L$55-150)/30*L437+L438+L439+L440+L441+L442)))))))</f>
        <v>0</v>
      </c>
      <c r="M1077" s="229">
        <f>IF(M$338&gt;$D$33,0,IF(Input!M$55=0,0,IF(Input!M$55&lt;31,Input!M$55/30*M442,IF(Input!M$55&lt;61,(Input!M$55-30)/30*M441+M442,IF(Input!M$55&lt;91,(Input!M$55-60)/30*M440+M441+M442,IF(Input!M$55&lt;121,(Input!M$55-90)/30*M439+M440+M441+M442,IF(Input!M$55&lt;151,(Input!M$55-120)/30*M438+M439+M440+M441+M442,(Input!M$55-150)/30*M437+M438+M439+M440+M441+M442)))))))</f>
        <v>0</v>
      </c>
      <c r="N1077" s="229">
        <f>IF(N$338&gt;$D$33,0,IF(Input!N$55=0,0,IF(Input!N$55&lt;31,Input!N$55/30*N442,IF(Input!N$55&lt;61,(Input!N$55-30)/30*N441+N442,IF(Input!N$55&lt;91,(Input!N$55-60)/30*N440+N441+N442,IF(Input!N$55&lt;121,(Input!N$55-90)/30*N439+N440+N441+N442,IF(Input!N$55&lt;151,(Input!N$55-120)/30*N438+N439+N440+N441+N442,(Input!N$55-150)/30*N437+N438+N439+N440+N441+N442)))))))</f>
        <v>0</v>
      </c>
      <c r="O1077" s="229">
        <f>IF(O$338&gt;$D$33,0,IF(Input!O$55=0,0,IF(Input!O$55&lt;31,Input!O$55/30*O442,IF(Input!O$55&lt;61,(Input!O$55-30)/30*O441+O442,IF(Input!O$55&lt;91,(Input!O$55-60)/30*O440+O441+O442,IF(Input!O$55&lt;121,(Input!O$55-90)/30*O439+O440+O441+O442,IF(Input!O$55&lt;151,(Input!O$55-120)/30*O438+O439+O440+O441+O442,(Input!O$55-150)/30*O437+O438+O439+O440+O441+O442)))))))</f>
        <v>0</v>
      </c>
      <c r="P1077" s="229">
        <f>IF(P$338&gt;$D$33,0,IF(Input!P$55=0,0,IF(Input!P$55&lt;31,Input!P$55/30*P442,IF(Input!P$55&lt;61,(Input!P$55-30)/30*P441+P442,IF(Input!P$55&lt;91,(Input!P$55-60)/30*P440+P441+P442,IF(Input!P$55&lt;121,(Input!P$55-90)/30*P439+P440+P441+P442,IF(Input!P$55&lt;151,(Input!P$55-120)/30*P438+P439+P440+P441+P442,(Input!P$55-150)/30*P437+P438+P439+P440+P441+P442)))))))</f>
        <v>0</v>
      </c>
      <c r="Q1077" s="229">
        <f>IF(Q$338&gt;$D$33,0,IF(Input!Q$55=0,0,IF(Input!Q$55&lt;31,Input!Q$55/30*Q442,IF(Input!Q$55&lt;61,(Input!Q$55-30)/30*Q441+Q442,IF(Input!Q$55&lt;91,(Input!Q$55-60)/30*Q440+Q441+Q442,IF(Input!Q$55&lt;121,(Input!Q$55-90)/30*Q439+Q440+Q441+Q442,IF(Input!Q$55&lt;151,(Input!Q$55-120)/30*Q438+Q439+Q440+Q441+Q442,(Input!Q$55-150)/30*Q437+Q438+Q439+Q440+Q441+Q442)))))))</f>
        <v>0</v>
      </c>
      <c r="R1077" s="229">
        <f>IF(R$338&gt;$D$33,0,IF(Input!R$55=0,0,IF(Input!R$55&lt;31,Input!R$55/30*R442,IF(Input!R$55&lt;61,(Input!R$55-30)/30*R441+R442,IF(Input!R$55&lt;91,(Input!R$55-60)/30*R440+R441+R442,IF(Input!R$55&lt;121,(Input!R$55-90)/30*R439+R440+R441+R442,IF(Input!R$55&lt;151,(Input!R$55-120)/30*R438+R439+R440+R441+R442,(Input!R$55-150)/30*R437+R438+R439+R440+R441+R442)))))))</f>
        <v>0</v>
      </c>
      <c r="S1077" s="229">
        <f>IF(S$338&gt;$D$33,0,IF(Input!S$55=0,0,IF(Input!S$55&lt;31,Input!S$55/30*S442,IF(Input!S$55&lt;61,(Input!S$55-30)/30*S441+S442,IF(Input!S$55&lt;91,(Input!S$55-60)/30*S440+S441+S442,IF(Input!S$55&lt;121,(Input!S$55-90)/30*S439+S440+S441+S442,IF(Input!S$55&lt;151,(Input!S$55-120)/30*S438+S439+S440+S441+S442,(Input!S$55-150)/30*S437+S438+S439+S440+S441+S442)))))))</f>
        <v>0</v>
      </c>
      <c r="T1077" s="229">
        <f>IF(T$338&gt;$D$33,0,IF(Input!T$55=0,0,IF(Input!T$55&lt;31,Input!T$55/30*T442,IF(Input!T$55&lt;61,(Input!T$55-30)/30*T441+T442,IF(Input!T$55&lt;91,(Input!T$55-60)/30*T440+T441+T442,IF(Input!T$55&lt;121,(Input!T$55-90)/30*T439+T440+T441+T442,IF(Input!T$55&lt;151,(Input!T$55-120)/30*T438+T439+T440+T441+T442,(Input!T$55-150)/30*T437+T438+T439+T440+T441+T442)))))))</f>
        <v>0</v>
      </c>
      <c r="U1077" s="229">
        <f>IF(U$338&gt;$D$33,0,IF(Input!U$55=0,0,IF(Input!U$55&lt;31,Input!U$55/30*U442,IF(Input!U$55&lt;61,(Input!U$55-30)/30*U441+U442,IF(Input!U$55&lt;91,(Input!U$55-60)/30*U440+U441+U442,IF(Input!U$55&lt;121,(Input!U$55-90)/30*U439+U440+U441+U442,IF(Input!U$55&lt;151,(Input!U$55-120)/30*U438+U439+U440+U441+U442,(Input!U$55-150)/30*U437+U438+U439+U440+U441+U442)))))))</f>
        <v>0</v>
      </c>
      <c r="V1077" s="229">
        <f>IF(V$338&gt;$D$33,0,IF(Input!V$55=0,0,IF(Input!V$55&lt;31,Input!V$55/30*V442,IF(Input!V$55&lt;61,(Input!V$55-30)/30*V441+V442,IF(Input!V$55&lt;91,(Input!V$55-60)/30*V440+V441+V442,IF(Input!V$55&lt;121,(Input!V$55-90)/30*V439+V440+V441+V442,IF(Input!V$55&lt;151,(Input!V$55-120)/30*V438+V439+V440+V441+V442,(Input!V$55-150)/30*V437+V438+V439+V440+V441+V442)))))))</f>
        <v>0</v>
      </c>
      <c r="W1077" s="229">
        <f>IF(W$338&gt;$D$33,0,IF(Input!W$55=0,0,IF(Input!W$55&lt;31,Input!W$55/30*W442,IF(Input!W$55&lt;61,(Input!W$55-30)/30*W441+W442,IF(Input!W$55&lt;91,(Input!W$55-60)/30*W440+W441+W442,IF(Input!W$55&lt;121,(Input!W$55-90)/30*W439+W440+W441+W442,IF(Input!W$55&lt;151,(Input!W$55-120)/30*W438+W439+W440+W441+W442,(Input!W$55-150)/30*W437+W438+W439+W440+W441+W442)))))))</f>
        <v>0</v>
      </c>
      <c r="X1077" s="229">
        <f>IF(X$338&gt;$D$33,0,IF(Input!X$55=0,0,IF(Input!X$55&lt;31,Input!X$55/30*X442,IF(Input!X$55&lt;61,(Input!X$55-30)/30*X441+X442,IF(Input!X$55&lt;91,(Input!X$55-60)/30*X440+X441+X442,IF(Input!X$55&lt;121,(Input!X$55-90)/30*X439+X440+X441+X442,IF(Input!X$55&lt;151,(Input!X$55-120)/30*X438+X439+X440+X441+X442,(Input!X$55-150)/30*X437+X438+X439+X440+X441+X442)))))))</f>
        <v>0</v>
      </c>
      <c r="Y1077" s="229">
        <f>IF(Y$338&gt;$D$33,0,IF(Input!Y$55=0,0,IF(Input!Y$55&lt;31,Input!Y$55/30*Y442,IF(Input!Y$55&lt;61,(Input!Y$55-30)/30*Y441+Y442,IF(Input!Y$55&lt;91,(Input!Y$55-60)/30*Y440+Y441+Y442,IF(Input!Y$55&lt;121,(Input!Y$55-90)/30*Y439+Y440+Y441+Y442,IF(Input!Y$55&lt;151,(Input!Y$55-120)/30*Y438+Y439+Y440+Y441+Y442,(Input!Y$55-150)/30*Y437+Y438+Y439+Y440+Y441+Y442)))))))</f>
        <v>0</v>
      </c>
      <c r="Z1077" s="229">
        <f>IF(Z$338&gt;$D$33,0,IF(Input!Z$55=0,0,IF(Input!Z$55&lt;31,Input!Z$55/30*Z442,IF(Input!Z$55&lt;61,(Input!Z$55-30)/30*Z441+Z442,IF(Input!Z$55&lt;91,(Input!Z$55-60)/30*Z440+Z441+Z442,IF(Input!Z$55&lt;121,(Input!Z$55-90)/30*Z439+Z440+Z441+Z442,IF(Input!Z$55&lt;151,(Input!Z$55-120)/30*Z438+Z439+Z440+Z441+Z442,(Input!Z$55-150)/30*Z437+Z438+Z439+Z440+Z441+Z442)))))))</f>
        <v>0</v>
      </c>
      <c r="AA1077" s="229">
        <f>IF(AA$338&gt;$D$33,0,IF(Input!AA$55=0,0,IF(Input!AA$55&lt;31,Input!AA$55/30*AA442,IF(Input!AA$55&lt;61,(Input!AA$55-30)/30*AA441+AA442,IF(Input!AA$55&lt;91,(Input!AA$55-60)/30*AA440+AA441+AA442,IF(Input!AA$55&lt;121,(Input!AA$55-90)/30*AA439+AA440+AA441+AA442,IF(Input!AA$55&lt;151,(Input!AA$55-120)/30*AA438+AA439+AA440+AA441+AA442,(Input!AA$55-150)/30*AA437+AA438+AA439+AA440+AA441+AA442)))))))</f>
        <v>0</v>
      </c>
      <c r="AB1077" s="229">
        <f>IF(AB$338&gt;$D$33,0,IF(Input!AB$55=0,0,IF(Input!AB$55&lt;31,Input!AB$55/30*AB442,IF(Input!AB$55&lt;61,(Input!AB$55-30)/30*AB441+AB442,IF(Input!AB$55&lt;91,(Input!AB$55-60)/30*AB440+AB441+AB442,IF(Input!AB$55&lt;121,(Input!AB$55-90)/30*AB439+AB440+AB441+AB442,IF(Input!AB$55&lt;151,(Input!AB$55-120)/30*AB438+AB439+AB440+AB441+AB442,(Input!AB$55-150)/30*AB437+AB438+AB439+AB440+AB441+AB442)))))))</f>
        <v>0</v>
      </c>
      <c r="CH1077" s="269"/>
      <c r="CI1077" s="269"/>
      <c r="CJ1077" s="269"/>
      <c r="CK1077" s="269"/>
      <c r="CL1077" s="269"/>
      <c r="CM1077" s="269"/>
      <c r="CN1077" s="269"/>
      <c r="CO1077" s="269"/>
      <c r="CP1077" s="269"/>
      <c r="CQ1077" s="269"/>
      <c r="CR1077" s="269"/>
      <c r="CS1077" s="269"/>
    </row>
    <row r="1078" spans="3:97" x14ac:dyDescent="0.3">
      <c r="C1078" s="495">
        <f>C1015</f>
        <v>1035</v>
      </c>
      <c r="D1078" s="229">
        <f>IF(D$338&gt;$D$33,0,IF(Input!D$55=0,0,IF(Input!D$55&lt;31,Input!D$55/30*D443,IF(Input!D$55&lt;61,(Input!D$55-30)/30*D442+D443,IF(Input!D$55&lt;91,(Input!D$55-60)/30*D441+D442+D443,IF(Input!D$55&lt;121,(Input!D$55-90)/30*D440+D441+D442+D443,IF(Input!D$55&lt;151,(Input!D$55-120)/30*D439+D440+D441+D442+D443,(Input!D$55-150)/30*D438+D439+D440+D441+D442+D443)))))))</f>
        <v>0</v>
      </c>
      <c r="E1078" s="229">
        <f>IF(E$338&gt;$D$33,0,IF(Input!E$55=0,0,IF(Input!E$55&lt;31,Input!E$55/30*E443,IF(Input!E$55&lt;61,(Input!E$55-30)/30*E442+E443,IF(Input!E$55&lt;91,(Input!E$55-60)/30*E441+E442+E443,IF(Input!E$55&lt;121,(Input!E$55-90)/30*E440+E441+E442+E443,IF(Input!E$55&lt;151,(Input!E$55-120)/30*E439+E440+E441+E442+E443,(Input!E$55-150)/30*E438+E439+E440+E441+E442+E443)))))))</f>
        <v>0</v>
      </c>
      <c r="F1078" s="229">
        <f>IF(F$338&gt;$D$33,0,IF(Input!F$55=0,0,IF(Input!F$55&lt;31,Input!F$55/30*F443,IF(Input!F$55&lt;61,(Input!F$55-30)/30*F442+F443,IF(Input!F$55&lt;91,(Input!F$55-60)/30*F441+F442+F443,IF(Input!F$55&lt;121,(Input!F$55-90)/30*F440+F441+F442+F443,IF(Input!F$55&lt;151,(Input!F$55-120)/30*F439+F440+F441+F442+F443,(Input!F$55-150)/30*F438+F439+F440+F441+F442+F443)))))))</f>
        <v>0</v>
      </c>
      <c r="G1078" s="229">
        <f>IF(G$338&gt;$D$33,0,IF(Input!G$55=0,0,IF(Input!G$55&lt;31,Input!G$55/30*G443,IF(Input!G$55&lt;61,(Input!G$55-30)/30*G442+G443,IF(Input!G$55&lt;91,(Input!G$55-60)/30*G441+G442+G443,IF(Input!G$55&lt;121,(Input!G$55-90)/30*G440+G441+G442+G443,IF(Input!G$55&lt;151,(Input!G$55-120)/30*G439+G440+G441+G442+G443,(Input!G$55-150)/30*G438+G439+G440+G441+G442+G443)))))))</f>
        <v>0</v>
      </c>
      <c r="H1078" s="229">
        <f>IF(H$338&gt;$D$33,0,IF(Input!H$55=0,0,IF(Input!H$55&lt;31,Input!H$55/30*H443,IF(Input!H$55&lt;61,(Input!H$55-30)/30*H442+H443,IF(Input!H$55&lt;91,(Input!H$55-60)/30*H441+H442+H443,IF(Input!H$55&lt;121,(Input!H$55-90)/30*H440+H441+H442+H443,IF(Input!H$55&lt;151,(Input!H$55-120)/30*H439+H440+H441+H442+H443,(Input!H$55-150)/30*H438+H439+H440+H441+H442+H443)))))))</f>
        <v>0</v>
      </c>
      <c r="I1078" s="229">
        <f>IF(I$338&gt;$D$33,0,IF(Input!I$55=0,0,IF(Input!I$55&lt;31,Input!I$55/30*I443,IF(Input!I$55&lt;61,(Input!I$55-30)/30*I442+I443,IF(Input!I$55&lt;91,(Input!I$55-60)/30*I441+I442+I443,IF(Input!I$55&lt;121,(Input!I$55-90)/30*I440+I441+I442+I443,IF(Input!I$55&lt;151,(Input!I$55-120)/30*I439+I440+I441+I442+I443,(Input!I$55-150)/30*I438+I439+I440+I441+I442+I443)))))))</f>
        <v>0</v>
      </c>
      <c r="J1078" s="229">
        <f>IF(J$338&gt;$D$33,0,IF(Input!J$55=0,0,IF(Input!J$55&lt;31,Input!J$55/30*J443,IF(Input!J$55&lt;61,(Input!J$55-30)/30*J442+J443,IF(Input!J$55&lt;91,(Input!J$55-60)/30*J441+J442+J443,IF(Input!J$55&lt;121,(Input!J$55-90)/30*J440+J441+J442+J443,IF(Input!J$55&lt;151,(Input!J$55-120)/30*J439+J440+J441+J442+J443,(Input!J$55-150)/30*J438+J439+J440+J441+J442+J443)))))))</f>
        <v>0</v>
      </c>
      <c r="K1078" s="229">
        <f>IF(K$338&gt;$D$33,0,IF(Input!K$55=0,0,IF(Input!K$55&lt;31,Input!K$55/30*K443,IF(Input!K$55&lt;61,(Input!K$55-30)/30*K442+K443,IF(Input!K$55&lt;91,(Input!K$55-60)/30*K441+K442+K443,IF(Input!K$55&lt;121,(Input!K$55-90)/30*K440+K441+K442+K443,IF(Input!K$55&lt;151,(Input!K$55-120)/30*K439+K440+K441+K442+K443,(Input!K$55-150)/30*K438+K439+K440+K441+K442+K443)))))))</f>
        <v>0</v>
      </c>
      <c r="L1078" s="229">
        <f>IF(L$338&gt;$D$33,0,IF(Input!L$55=0,0,IF(Input!L$55&lt;31,Input!L$55/30*L443,IF(Input!L$55&lt;61,(Input!L$55-30)/30*L442+L443,IF(Input!L$55&lt;91,(Input!L$55-60)/30*L441+L442+L443,IF(Input!L$55&lt;121,(Input!L$55-90)/30*L440+L441+L442+L443,IF(Input!L$55&lt;151,(Input!L$55-120)/30*L439+L440+L441+L442+L443,(Input!L$55-150)/30*L438+L439+L440+L441+L442+L443)))))))</f>
        <v>0</v>
      </c>
      <c r="M1078" s="229">
        <f>IF(M$338&gt;$D$33,0,IF(Input!M$55=0,0,IF(Input!M$55&lt;31,Input!M$55/30*M443,IF(Input!M$55&lt;61,(Input!M$55-30)/30*M442+M443,IF(Input!M$55&lt;91,(Input!M$55-60)/30*M441+M442+M443,IF(Input!M$55&lt;121,(Input!M$55-90)/30*M440+M441+M442+M443,IF(Input!M$55&lt;151,(Input!M$55-120)/30*M439+M440+M441+M442+M443,(Input!M$55-150)/30*M438+M439+M440+M441+M442+M443)))))))</f>
        <v>0</v>
      </c>
      <c r="N1078" s="229">
        <f>IF(N$338&gt;$D$33,0,IF(Input!N$55=0,0,IF(Input!N$55&lt;31,Input!N$55/30*N443,IF(Input!N$55&lt;61,(Input!N$55-30)/30*N442+N443,IF(Input!N$55&lt;91,(Input!N$55-60)/30*N441+N442+N443,IF(Input!N$55&lt;121,(Input!N$55-90)/30*N440+N441+N442+N443,IF(Input!N$55&lt;151,(Input!N$55-120)/30*N439+N440+N441+N442+N443,(Input!N$55-150)/30*N438+N439+N440+N441+N442+N443)))))))</f>
        <v>0</v>
      </c>
      <c r="O1078" s="229">
        <f>IF(O$338&gt;$D$33,0,IF(Input!O$55=0,0,IF(Input!O$55&lt;31,Input!O$55/30*O443,IF(Input!O$55&lt;61,(Input!O$55-30)/30*O442+O443,IF(Input!O$55&lt;91,(Input!O$55-60)/30*O441+O442+O443,IF(Input!O$55&lt;121,(Input!O$55-90)/30*O440+O441+O442+O443,IF(Input!O$55&lt;151,(Input!O$55-120)/30*O439+O440+O441+O442+O443,(Input!O$55-150)/30*O438+O439+O440+O441+O442+O443)))))))</f>
        <v>0</v>
      </c>
      <c r="P1078" s="229">
        <f>IF(P$338&gt;$D$33,0,IF(Input!P$55=0,0,IF(Input!P$55&lt;31,Input!P$55/30*P443,IF(Input!P$55&lt;61,(Input!P$55-30)/30*P442+P443,IF(Input!P$55&lt;91,(Input!P$55-60)/30*P441+P442+P443,IF(Input!P$55&lt;121,(Input!P$55-90)/30*P440+P441+P442+P443,IF(Input!P$55&lt;151,(Input!P$55-120)/30*P439+P440+P441+P442+P443,(Input!P$55-150)/30*P438+P439+P440+P441+P442+P443)))))))</f>
        <v>0</v>
      </c>
      <c r="Q1078" s="229">
        <f>IF(Q$338&gt;$D$33,0,IF(Input!Q$55=0,0,IF(Input!Q$55&lt;31,Input!Q$55/30*Q443,IF(Input!Q$55&lt;61,(Input!Q$55-30)/30*Q442+Q443,IF(Input!Q$55&lt;91,(Input!Q$55-60)/30*Q441+Q442+Q443,IF(Input!Q$55&lt;121,(Input!Q$55-90)/30*Q440+Q441+Q442+Q443,IF(Input!Q$55&lt;151,(Input!Q$55-120)/30*Q439+Q440+Q441+Q442+Q443,(Input!Q$55-150)/30*Q438+Q439+Q440+Q441+Q442+Q443)))))))</f>
        <v>0</v>
      </c>
      <c r="R1078" s="229">
        <f>IF(R$338&gt;$D$33,0,IF(Input!R$55=0,0,IF(Input!R$55&lt;31,Input!R$55/30*R443,IF(Input!R$55&lt;61,(Input!R$55-30)/30*R442+R443,IF(Input!R$55&lt;91,(Input!R$55-60)/30*R441+R442+R443,IF(Input!R$55&lt;121,(Input!R$55-90)/30*R440+R441+R442+R443,IF(Input!R$55&lt;151,(Input!R$55-120)/30*R439+R440+R441+R442+R443,(Input!R$55-150)/30*R438+R439+R440+R441+R442+R443)))))))</f>
        <v>0</v>
      </c>
      <c r="S1078" s="229">
        <f>IF(S$338&gt;$D$33,0,IF(Input!S$55=0,0,IF(Input!S$55&lt;31,Input!S$55/30*S443,IF(Input!S$55&lt;61,(Input!S$55-30)/30*S442+S443,IF(Input!S$55&lt;91,(Input!S$55-60)/30*S441+S442+S443,IF(Input!S$55&lt;121,(Input!S$55-90)/30*S440+S441+S442+S443,IF(Input!S$55&lt;151,(Input!S$55-120)/30*S439+S440+S441+S442+S443,(Input!S$55-150)/30*S438+S439+S440+S441+S442+S443)))))))</f>
        <v>0</v>
      </c>
      <c r="T1078" s="229">
        <f>IF(T$338&gt;$D$33,0,IF(Input!T$55=0,0,IF(Input!T$55&lt;31,Input!T$55/30*T443,IF(Input!T$55&lt;61,(Input!T$55-30)/30*T442+T443,IF(Input!T$55&lt;91,(Input!T$55-60)/30*T441+T442+T443,IF(Input!T$55&lt;121,(Input!T$55-90)/30*T440+T441+T442+T443,IF(Input!T$55&lt;151,(Input!T$55-120)/30*T439+T440+T441+T442+T443,(Input!T$55-150)/30*T438+T439+T440+T441+T442+T443)))))))</f>
        <v>0</v>
      </c>
      <c r="U1078" s="229">
        <f>IF(U$338&gt;$D$33,0,IF(Input!U$55=0,0,IF(Input!U$55&lt;31,Input!U$55/30*U443,IF(Input!U$55&lt;61,(Input!U$55-30)/30*U442+U443,IF(Input!U$55&lt;91,(Input!U$55-60)/30*U441+U442+U443,IF(Input!U$55&lt;121,(Input!U$55-90)/30*U440+U441+U442+U443,IF(Input!U$55&lt;151,(Input!U$55-120)/30*U439+U440+U441+U442+U443,(Input!U$55-150)/30*U438+U439+U440+U441+U442+U443)))))))</f>
        <v>0</v>
      </c>
      <c r="V1078" s="229">
        <f>IF(V$338&gt;$D$33,0,IF(Input!V$55=0,0,IF(Input!V$55&lt;31,Input!V$55/30*V443,IF(Input!V$55&lt;61,(Input!V$55-30)/30*V442+V443,IF(Input!V$55&lt;91,(Input!V$55-60)/30*V441+V442+V443,IF(Input!V$55&lt;121,(Input!V$55-90)/30*V440+V441+V442+V443,IF(Input!V$55&lt;151,(Input!V$55-120)/30*V439+V440+V441+V442+V443,(Input!V$55-150)/30*V438+V439+V440+V441+V442+V443)))))))</f>
        <v>0</v>
      </c>
      <c r="W1078" s="229">
        <f>IF(W$338&gt;$D$33,0,IF(Input!W$55=0,0,IF(Input!W$55&lt;31,Input!W$55/30*W443,IF(Input!W$55&lt;61,(Input!W$55-30)/30*W442+W443,IF(Input!W$55&lt;91,(Input!W$55-60)/30*W441+W442+W443,IF(Input!W$55&lt;121,(Input!W$55-90)/30*W440+W441+W442+W443,IF(Input!W$55&lt;151,(Input!W$55-120)/30*W439+W440+W441+W442+W443,(Input!W$55-150)/30*W438+W439+W440+W441+W442+W443)))))))</f>
        <v>0</v>
      </c>
      <c r="X1078" s="229">
        <f>IF(X$338&gt;$D$33,0,IF(Input!X$55=0,0,IF(Input!X$55&lt;31,Input!X$55/30*X443,IF(Input!X$55&lt;61,(Input!X$55-30)/30*X442+X443,IF(Input!X$55&lt;91,(Input!X$55-60)/30*X441+X442+X443,IF(Input!X$55&lt;121,(Input!X$55-90)/30*X440+X441+X442+X443,IF(Input!X$55&lt;151,(Input!X$55-120)/30*X439+X440+X441+X442+X443,(Input!X$55-150)/30*X438+X439+X440+X441+X442+X443)))))))</f>
        <v>0</v>
      </c>
      <c r="Y1078" s="229">
        <f>IF(Y$338&gt;$D$33,0,IF(Input!Y$55=0,0,IF(Input!Y$55&lt;31,Input!Y$55/30*Y443,IF(Input!Y$55&lt;61,(Input!Y$55-30)/30*Y442+Y443,IF(Input!Y$55&lt;91,(Input!Y$55-60)/30*Y441+Y442+Y443,IF(Input!Y$55&lt;121,(Input!Y$55-90)/30*Y440+Y441+Y442+Y443,IF(Input!Y$55&lt;151,(Input!Y$55-120)/30*Y439+Y440+Y441+Y442+Y443,(Input!Y$55-150)/30*Y438+Y439+Y440+Y441+Y442+Y443)))))))</f>
        <v>0</v>
      </c>
      <c r="Z1078" s="229">
        <f>IF(Z$338&gt;$D$33,0,IF(Input!Z$55=0,0,IF(Input!Z$55&lt;31,Input!Z$55/30*Z443,IF(Input!Z$55&lt;61,(Input!Z$55-30)/30*Z442+Z443,IF(Input!Z$55&lt;91,(Input!Z$55-60)/30*Z441+Z442+Z443,IF(Input!Z$55&lt;121,(Input!Z$55-90)/30*Z440+Z441+Z442+Z443,IF(Input!Z$55&lt;151,(Input!Z$55-120)/30*Z439+Z440+Z441+Z442+Z443,(Input!Z$55-150)/30*Z438+Z439+Z440+Z441+Z442+Z443)))))))</f>
        <v>0</v>
      </c>
      <c r="AA1078" s="229">
        <f>IF(AA$338&gt;$D$33,0,IF(Input!AA$55=0,0,IF(Input!AA$55&lt;31,Input!AA$55/30*AA443,IF(Input!AA$55&lt;61,(Input!AA$55-30)/30*AA442+AA443,IF(Input!AA$55&lt;91,(Input!AA$55-60)/30*AA441+AA442+AA443,IF(Input!AA$55&lt;121,(Input!AA$55-90)/30*AA440+AA441+AA442+AA443,IF(Input!AA$55&lt;151,(Input!AA$55-120)/30*AA439+AA440+AA441+AA442+AA443,(Input!AA$55-150)/30*AA438+AA439+AA440+AA441+AA442+AA443)))))))</f>
        <v>0</v>
      </c>
      <c r="AB1078" s="229">
        <f>IF(AB$338&gt;$D$33,0,IF(Input!AB$55=0,0,IF(Input!AB$55&lt;31,Input!AB$55/30*AB443,IF(Input!AB$55&lt;61,(Input!AB$55-30)/30*AB442+AB443,IF(Input!AB$55&lt;91,(Input!AB$55-60)/30*AB441+AB442+AB443,IF(Input!AB$55&lt;121,(Input!AB$55-90)/30*AB440+AB441+AB442+AB443,IF(Input!AB$55&lt;151,(Input!AB$55-120)/30*AB439+AB440+AB441+AB442+AB443,(Input!AB$55-150)/30*AB438+AB439+AB440+AB441+AB442+AB443)))))))</f>
        <v>0</v>
      </c>
      <c r="CH1078" s="269"/>
      <c r="CI1078" s="269"/>
      <c r="CJ1078" s="269"/>
      <c r="CK1078" s="269"/>
      <c r="CL1078" s="269"/>
      <c r="CM1078" s="269"/>
      <c r="CN1078" s="269"/>
      <c r="CO1078" s="269"/>
      <c r="CP1078" s="269"/>
      <c r="CQ1078" s="269"/>
      <c r="CR1078" s="269"/>
      <c r="CS1078" s="269"/>
    </row>
    <row r="1079" spans="3:97" x14ac:dyDescent="0.3">
      <c r="C1079" s="495">
        <f>C1016</f>
        <v>1065</v>
      </c>
      <c r="D1079" s="229">
        <f>IF(D$338&gt;$D$33,0,IF(Input!D$55=0,0,IF(Input!D$55&lt;31,Input!D$55/30*D444,IF(Input!D$55&lt;61,(Input!D$55-30)/30*D443+D444,IF(Input!D$55&lt;91,(Input!D$55-60)/30*D442+D443+D444,IF(Input!D$55&lt;121,(Input!D$55-90)/30*D441+D442+D443+D444,IF(Input!D$55&lt;151,(Input!D$55-120)/30*D440+D441+D442+D443+D444,(Input!D$55-150)/30*D439+D440+D441+D442+D443+D444)))))))</f>
        <v>0</v>
      </c>
      <c r="E1079" s="229">
        <f>IF(E$338&gt;$D$33,0,IF(Input!E$55=0,0,IF(Input!E$55&lt;31,Input!E$55/30*E444,IF(Input!E$55&lt;61,(Input!E$55-30)/30*E443+E444,IF(Input!E$55&lt;91,(Input!E$55-60)/30*E442+E443+E444,IF(Input!E$55&lt;121,(Input!E$55-90)/30*E441+E442+E443+E444,IF(Input!E$55&lt;151,(Input!E$55-120)/30*E440+E441+E442+E443+E444,(Input!E$55-150)/30*E439+E440+E441+E442+E443+E444)))))))</f>
        <v>0</v>
      </c>
      <c r="F1079" s="229">
        <f>IF(F$338&gt;$D$33,0,IF(Input!F$55=0,0,IF(Input!F$55&lt;31,Input!F$55/30*F444,IF(Input!F$55&lt;61,(Input!F$55-30)/30*F443+F444,IF(Input!F$55&lt;91,(Input!F$55-60)/30*F442+F443+F444,IF(Input!F$55&lt;121,(Input!F$55-90)/30*F441+F442+F443+F444,IF(Input!F$55&lt;151,(Input!F$55-120)/30*F440+F441+F442+F443+F444,(Input!F$55-150)/30*F439+F440+F441+F442+F443+F444)))))))</f>
        <v>0</v>
      </c>
      <c r="G1079" s="229">
        <f>IF(G$338&gt;$D$33,0,IF(Input!G$55=0,0,IF(Input!G$55&lt;31,Input!G$55/30*G444,IF(Input!G$55&lt;61,(Input!G$55-30)/30*G443+G444,IF(Input!G$55&lt;91,(Input!G$55-60)/30*G442+G443+G444,IF(Input!G$55&lt;121,(Input!G$55-90)/30*G441+G442+G443+G444,IF(Input!G$55&lt;151,(Input!G$55-120)/30*G440+G441+G442+G443+G444,(Input!G$55-150)/30*G439+G440+G441+G442+G443+G444)))))))</f>
        <v>0</v>
      </c>
      <c r="H1079" s="229">
        <f>IF(H$338&gt;$D$33,0,IF(Input!H$55=0,0,IF(Input!H$55&lt;31,Input!H$55/30*H444,IF(Input!H$55&lt;61,(Input!H$55-30)/30*H443+H444,IF(Input!H$55&lt;91,(Input!H$55-60)/30*H442+H443+H444,IF(Input!H$55&lt;121,(Input!H$55-90)/30*H441+H442+H443+H444,IF(Input!H$55&lt;151,(Input!H$55-120)/30*H440+H441+H442+H443+H444,(Input!H$55-150)/30*H439+H440+H441+H442+H443+H444)))))))</f>
        <v>0</v>
      </c>
      <c r="I1079" s="229">
        <f>IF(I$338&gt;$D$33,0,IF(Input!I$55=0,0,IF(Input!I$55&lt;31,Input!I$55/30*I444,IF(Input!I$55&lt;61,(Input!I$55-30)/30*I443+I444,IF(Input!I$55&lt;91,(Input!I$55-60)/30*I442+I443+I444,IF(Input!I$55&lt;121,(Input!I$55-90)/30*I441+I442+I443+I444,IF(Input!I$55&lt;151,(Input!I$55-120)/30*I440+I441+I442+I443+I444,(Input!I$55-150)/30*I439+I440+I441+I442+I443+I444)))))))</f>
        <v>0</v>
      </c>
      <c r="J1079" s="229">
        <f>IF(J$338&gt;$D$33,0,IF(Input!J$55=0,0,IF(Input!J$55&lt;31,Input!J$55/30*J444,IF(Input!J$55&lt;61,(Input!J$55-30)/30*J443+J444,IF(Input!J$55&lt;91,(Input!J$55-60)/30*J442+J443+J444,IF(Input!J$55&lt;121,(Input!J$55-90)/30*J441+J442+J443+J444,IF(Input!J$55&lt;151,(Input!J$55-120)/30*J440+J441+J442+J443+J444,(Input!J$55-150)/30*J439+J440+J441+J442+J443+J444)))))))</f>
        <v>0</v>
      </c>
      <c r="K1079" s="229">
        <f>IF(K$338&gt;$D$33,0,IF(Input!K$55=0,0,IF(Input!K$55&lt;31,Input!K$55/30*K444,IF(Input!K$55&lt;61,(Input!K$55-30)/30*K443+K444,IF(Input!K$55&lt;91,(Input!K$55-60)/30*K442+K443+K444,IF(Input!K$55&lt;121,(Input!K$55-90)/30*K441+K442+K443+K444,IF(Input!K$55&lt;151,(Input!K$55-120)/30*K440+K441+K442+K443+K444,(Input!K$55-150)/30*K439+K440+K441+K442+K443+K444)))))))</f>
        <v>0</v>
      </c>
      <c r="L1079" s="229">
        <f>IF(L$338&gt;$D$33,0,IF(Input!L$55=0,0,IF(Input!L$55&lt;31,Input!L$55/30*L444,IF(Input!L$55&lt;61,(Input!L$55-30)/30*L443+L444,IF(Input!L$55&lt;91,(Input!L$55-60)/30*L442+L443+L444,IF(Input!L$55&lt;121,(Input!L$55-90)/30*L441+L442+L443+L444,IF(Input!L$55&lt;151,(Input!L$55-120)/30*L440+L441+L442+L443+L444,(Input!L$55-150)/30*L439+L440+L441+L442+L443+L444)))))))</f>
        <v>0</v>
      </c>
      <c r="M1079" s="229">
        <f>IF(M$338&gt;$D$33,0,IF(Input!M$55=0,0,IF(Input!M$55&lt;31,Input!M$55/30*M444,IF(Input!M$55&lt;61,(Input!M$55-30)/30*M443+M444,IF(Input!M$55&lt;91,(Input!M$55-60)/30*M442+M443+M444,IF(Input!M$55&lt;121,(Input!M$55-90)/30*M441+M442+M443+M444,IF(Input!M$55&lt;151,(Input!M$55-120)/30*M440+M441+M442+M443+M444,(Input!M$55-150)/30*M439+M440+M441+M442+M443+M444)))))))</f>
        <v>0</v>
      </c>
      <c r="N1079" s="229">
        <f>IF(N$338&gt;$D$33,0,IF(Input!N$55=0,0,IF(Input!N$55&lt;31,Input!N$55/30*N444,IF(Input!N$55&lt;61,(Input!N$55-30)/30*N443+N444,IF(Input!N$55&lt;91,(Input!N$55-60)/30*N442+N443+N444,IF(Input!N$55&lt;121,(Input!N$55-90)/30*N441+N442+N443+N444,IF(Input!N$55&lt;151,(Input!N$55-120)/30*N440+N441+N442+N443+N444,(Input!N$55-150)/30*N439+N440+N441+N442+N443+N444)))))))</f>
        <v>0</v>
      </c>
      <c r="O1079" s="229">
        <f>IF(O$338&gt;$D$33,0,IF(Input!O$55=0,0,IF(Input!O$55&lt;31,Input!O$55/30*O444,IF(Input!O$55&lt;61,(Input!O$55-30)/30*O443+O444,IF(Input!O$55&lt;91,(Input!O$55-60)/30*O442+O443+O444,IF(Input!O$55&lt;121,(Input!O$55-90)/30*O441+O442+O443+O444,IF(Input!O$55&lt;151,(Input!O$55-120)/30*O440+O441+O442+O443+O444,(Input!O$55-150)/30*O439+O440+O441+O442+O443+O444)))))))</f>
        <v>0</v>
      </c>
      <c r="P1079" s="229">
        <f>IF(P$338&gt;$D$33,0,IF(Input!P$55=0,0,IF(Input!P$55&lt;31,Input!P$55/30*P444,IF(Input!P$55&lt;61,(Input!P$55-30)/30*P443+P444,IF(Input!P$55&lt;91,(Input!P$55-60)/30*P442+P443+P444,IF(Input!P$55&lt;121,(Input!P$55-90)/30*P441+P442+P443+P444,IF(Input!P$55&lt;151,(Input!P$55-120)/30*P440+P441+P442+P443+P444,(Input!P$55-150)/30*P439+P440+P441+P442+P443+P444)))))))</f>
        <v>0</v>
      </c>
      <c r="Q1079" s="229">
        <f>IF(Q$338&gt;$D$33,0,IF(Input!Q$55=0,0,IF(Input!Q$55&lt;31,Input!Q$55/30*Q444,IF(Input!Q$55&lt;61,(Input!Q$55-30)/30*Q443+Q444,IF(Input!Q$55&lt;91,(Input!Q$55-60)/30*Q442+Q443+Q444,IF(Input!Q$55&lt;121,(Input!Q$55-90)/30*Q441+Q442+Q443+Q444,IF(Input!Q$55&lt;151,(Input!Q$55-120)/30*Q440+Q441+Q442+Q443+Q444,(Input!Q$55-150)/30*Q439+Q440+Q441+Q442+Q443+Q444)))))))</f>
        <v>0</v>
      </c>
      <c r="R1079" s="229">
        <f>IF(R$338&gt;$D$33,0,IF(Input!R$55=0,0,IF(Input!R$55&lt;31,Input!R$55/30*R444,IF(Input!R$55&lt;61,(Input!R$55-30)/30*R443+R444,IF(Input!R$55&lt;91,(Input!R$55-60)/30*R442+R443+R444,IF(Input!R$55&lt;121,(Input!R$55-90)/30*R441+R442+R443+R444,IF(Input!R$55&lt;151,(Input!R$55-120)/30*R440+R441+R442+R443+R444,(Input!R$55-150)/30*R439+R440+R441+R442+R443+R444)))))))</f>
        <v>0</v>
      </c>
      <c r="S1079" s="229">
        <f>IF(S$338&gt;$D$33,0,IF(Input!S$55=0,0,IF(Input!S$55&lt;31,Input!S$55/30*S444,IF(Input!S$55&lt;61,(Input!S$55-30)/30*S443+S444,IF(Input!S$55&lt;91,(Input!S$55-60)/30*S442+S443+S444,IF(Input!S$55&lt;121,(Input!S$55-90)/30*S441+S442+S443+S444,IF(Input!S$55&lt;151,(Input!S$55-120)/30*S440+S441+S442+S443+S444,(Input!S$55-150)/30*S439+S440+S441+S442+S443+S444)))))))</f>
        <v>0</v>
      </c>
      <c r="T1079" s="229">
        <f>IF(T$338&gt;$D$33,0,IF(Input!T$55=0,0,IF(Input!T$55&lt;31,Input!T$55/30*T444,IF(Input!T$55&lt;61,(Input!T$55-30)/30*T443+T444,IF(Input!T$55&lt;91,(Input!T$55-60)/30*T442+T443+T444,IF(Input!T$55&lt;121,(Input!T$55-90)/30*T441+T442+T443+T444,IF(Input!T$55&lt;151,(Input!T$55-120)/30*T440+T441+T442+T443+T444,(Input!T$55-150)/30*T439+T440+T441+T442+T443+T444)))))))</f>
        <v>0</v>
      </c>
      <c r="U1079" s="229">
        <f>IF(U$338&gt;$D$33,0,IF(Input!U$55=0,0,IF(Input!U$55&lt;31,Input!U$55/30*U444,IF(Input!U$55&lt;61,(Input!U$55-30)/30*U443+U444,IF(Input!U$55&lt;91,(Input!U$55-60)/30*U442+U443+U444,IF(Input!U$55&lt;121,(Input!U$55-90)/30*U441+U442+U443+U444,IF(Input!U$55&lt;151,(Input!U$55-120)/30*U440+U441+U442+U443+U444,(Input!U$55-150)/30*U439+U440+U441+U442+U443+U444)))))))</f>
        <v>0</v>
      </c>
      <c r="V1079" s="229">
        <f>IF(V$338&gt;$D$33,0,IF(Input!V$55=0,0,IF(Input!V$55&lt;31,Input!V$55/30*V444,IF(Input!V$55&lt;61,(Input!V$55-30)/30*V443+V444,IF(Input!V$55&lt;91,(Input!V$55-60)/30*V442+V443+V444,IF(Input!V$55&lt;121,(Input!V$55-90)/30*V441+V442+V443+V444,IF(Input!V$55&lt;151,(Input!V$55-120)/30*V440+V441+V442+V443+V444,(Input!V$55-150)/30*V439+V440+V441+V442+V443+V444)))))))</f>
        <v>0</v>
      </c>
      <c r="W1079" s="229">
        <f>IF(W$338&gt;$D$33,0,IF(Input!W$55=0,0,IF(Input!W$55&lt;31,Input!W$55/30*W444,IF(Input!W$55&lt;61,(Input!W$55-30)/30*W443+W444,IF(Input!W$55&lt;91,(Input!W$55-60)/30*W442+W443+W444,IF(Input!W$55&lt;121,(Input!W$55-90)/30*W441+W442+W443+W444,IF(Input!W$55&lt;151,(Input!W$55-120)/30*W440+W441+W442+W443+W444,(Input!W$55-150)/30*W439+W440+W441+W442+W443+W444)))))))</f>
        <v>0</v>
      </c>
      <c r="X1079" s="229">
        <f>IF(X$338&gt;$D$33,0,IF(Input!X$55=0,0,IF(Input!X$55&lt;31,Input!X$55/30*X444,IF(Input!X$55&lt;61,(Input!X$55-30)/30*X443+X444,IF(Input!X$55&lt;91,(Input!X$55-60)/30*X442+X443+X444,IF(Input!X$55&lt;121,(Input!X$55-90)/30*X441+X442+X443+X444,IF(Input!X$55&lt;151,(Input!X$55-120)/30*X440+X441+X442+X443+X444,(Input!X$55-150)/30*X439+X440+X441+X442+X443+X444)))))))</f>
        <v>0</v>
      </c>
      <c r="Y1079" s="229">
        <f>IF(Y$338&gt;$D$33,0,IF(Input!Y$55=0,0,IF(Input!Y$55&lt;31,Input!Y$55/30*Y444,IF(Input!Y$55&lt;61,(Input!Y$55-30)/30*Y443+Y444,IF(Input!Y$55&lt;91,(Input!Y$55-60)/30*Y442+Y443+Y444,IF(Input!Y$55&lt;121,(Input!Y$55-90)/30*Y441+Y442+Y443+Y444,IF(Input!Y$55&lt;151,(Input!Y$55-120)/30*Y440+Y441+Y442+Y443+Y444,(Input!Y$55-150)/30*Y439+Y440+Y441+Y442+Y443+Y444)))))))</f>
        <v>0</v>
      </c>
      <c r="Z1079" s="229">
        <f>IF(Z$338&gt;$D$33,0,IF(Input!Z$55=0,0,IF(Input!Z$55&lt;31,Input!Z$55/30*Z444,IF(Input!Z$55&lt;61,(Input!Z$55-30)/30*Z443+Z444,IF(Input!Z$55&lt;91,(Input!Z$55-60)/30*Z442+Z443+Z444,IF(Input!Z$55&lt;121,(Input!Z$55-90)/30*Z441+Z442+Z443+Z444,IF(Input!Z$55&lt;151,(Input!Z$55-120)/30*Z440+Z441+Z442+Z443+Z444,(Input!Z$55-150)/30*Z439+Z440+Z441+Z442+Z443+Z444)))))))</f>
        <v>0</v>
      </c>
      <c r="AA1079" s="229">
        <f>IF(AA$338&gt;$D$33,0,IF(Input!AA$55=0,0,IF(Input!AA$55&lt;31,Input!AA$55/30*AA444,IF(Input!AA$55&lt;61,(Input!AA$55-30)/30*AA443+AA444,IF(Input!AA$55&lt;91,(Input!AA$55-60)/30*AA442+AA443+AA444,IF(Input!AA$55&lt;121,(Input!AA$55-90)/30*AA441+AA442+AA443+AA444,IF(Input!AA$55&lt;151,(Input!AA$55-120)/30*AA440+AA441+AA442+AA443+AA444,(Input!AA$55-150)/30*AA439+AA440+AA441+AA442+AA443+AA444)))))))</f>
        <v>0</v>
      </c>
      <c r="AB1079" s="229">
        <f>IF(AB$338&gt;$D$33,0,IF(Input!AB$55=0,0,IF(Input!AB$55&lt;31,Input!AB$55/30*AB444,IF(Input!AB$55&lt;61,(Input!AB$55-30)/30*AB443+AB444,IF(Input!AB$55&lt;91,(Input!AB$55-60)/30*AB442+AB443+AB444,IF(Input!AB$55&lt;121,(Input!AB$55-90)/30*AB441+AB442+AB443+AB444,IF(Input!AB$55&lt;151,(Input!AB$55-120)/30*AB440+AB441+AB442+AB443+AB444,(Input!AB$55-150)/30*AB439+AB440+AB441+AB442+AB443+AB444)))))))</f>
        <v>0</v>
      </c>
      <c r="CH1079" s="269"/>
      <c r="CI1079" s="269"/>
      <c r="CJ1079" s="269"/>
      <c r="CK1079" s="269"/>
      <c r="CL1079" s="269"/>
      <c r="CM1079" s="269"/>
      <c r="CN1079" s="269"/>
      <c r="CO1079" s="269"/>
      <c r="CP1079" s="269"/>
      <c r="CQ1079" s="269"/>
      <c r="CR1079" s="269"/>
      <c r="CS1079" s="269"/>
    </row>
    <row r="1080" spans="3:97" ht="12.5" thickBot="1" x14ac:dyDescent="0.35">
      <c r="C1080" s="496">
        <f>C1017</f>
        <v>1096</v>
      </c>
      <c r="D1080" s="302">
        <f>IF(D$338&gt;$D$33,0,IF(Input!D$55=0,0,IF(Input!D$55&lt;31,Input!D$55/30*D445,IF(Input!D$55&lt;61,(Input!D$55-30)/30*D444+D445,IF(Input!D$55&lt;91,(Input!D$55-60)/30*D443+D444+D445,IF(Input!D$55&lt;121,(Input!D$55-90)/30*D442+D443+D444+D445,IF(Input!D$55&lt;151,(Input!D$55-120)/30*D441+D442+D443+D444+D445,(Input!D$55-150)/30*D440+D441+D442+D443+D444+D445)))))))</f>
        <v>0</v>
      </c>
      <c r="E1080" s="302">
        <f>IF(E$338&gt;$D$33,0,IF(Input!E$55=0,0,IF(Input!E$55&lt;31,Input!E$55/30*E445,IF(Input!E$55&lt;61,(Input!E$55-30)/30*E444+E445,IF(Input!E$55&lt;91,(Input!E$55-60)/30*E443+E444+E445,IF(Input!E$55&lt;121,(Input!E$55-90)/30*E442+E443+E444+E445,IF(Input!E$55&lt;151,(Input!E$55-120)/30*E441+E442+E443+E444+E445,(Input!E$55-150)/30*E440+E441+E442+E443+E444+E445)))))))</f>
        <v>0</v>
      </c>
      <c r="F1080" s="302">
        <f>IF(F$338&gt;$D$33,0,IF(Input!F$55=0,0,IF(Input!F$55&lt;31,Input!F$55/30*F445,IF(Input!F$55&lt;61,(Input!F$55-30)/30*F444+F445,IF(Input!F$55&lt;91,(Input!F$55-60)/30*F443+F444+F445,IF(Input!F$55&lt;121,(Input!F$55-90)/30*F442+F443+F444+F445,IF(Input!F$55&lt;151,(Input!F$55-120)/30*F441+F442+F443+F444+F445,(Input!F$55-150)/30*F440+F441+F442+F443+F444+F445)))))))</f>
        <v>0</v>
      </c>
      <c r="G1080" s="302">
        <f>IF(G$338&gt;$D$33,0,IF(Input!G$55=0,0,IF(Input!G$55&lt;31,Input!G$55/30*G445,IF(Input!G$55&lt;61,(Input!G$55-30)/30*G444+G445,IF(Input!G$55&lt;91,(Input!G$55-60)/30*G443+G444+G445,IF(Input!G$55&lt;121,(Input!G$55-90)/30*G442+G443+G444+G445,IF(Input!G$55&lt;151,(Input!G$55-120)/30*G441+G442+G443+G444+G445,(Input!G$55-150)/30*G440+G441+G442+G443+G444+G445)))))))</f>
        <v>0</v>
      </c>
      <c r="H1080" s="302">
        <f>IF(H$338&gt;$D$33,0,IF(Input!H$55=0,0,IF(Input!H$55&lt;31,Input!H$55/30*H445,IF(Input!H$55&lt;61,(Input!H$55-30)/30*H444+H445,IF(Input!H$55&lt;91,(Input!H$55-60)/30*H443+H444+H445,IF(Input!H$55&lt;121,(Input!H$55-90)/30*H442+H443+H444+H445,IF(Input!H$55&lt;151,(Input!H$55-120)/30*H441+H442+H443+H444+H445,(Input!H$55-150)/30*H440+H441+H442+H443+H444+H445)))))))</f>
        <v>0</v>
      </c>
      <c r="I1080" s="302">
        <f>IF(I$338&gt;$D$33,0,IF(Input!I$55=0,0,IF(Input!I$55&lt;31,Input!I$55/30*I445,IF(Input!I$55&lt;61,(Input!I$55-30)/30*I444+I445,IF(Input!I$55&lt;91,(Input!I$55-60)/30*I443+I444+I445,IF(Input!I$55&lt;121,(Input!I$55-90)/30*I442+I443+I444+I445,IF(Input!I$55&lt;151,(Input!I$55-120)/30*I441+I442+I443+I444+I445,(Input!I$55-150)/30*I440+I441+I442+I443+I444+I445)))))))</f>
        <v>0</v>
      </c>
      <c r="J1080" s="302">
        <f>IF(J$338&gt;$D$33,0,IF(Input!J$55=0,0,IF(Input!J$55&lt;31,Input!J$55/30*J445,IF(Input!J$55&lt;61,(Input!J$55-30)/30*J444+J445,IF(Input!J$55&lt;91,(Input!J$55-60)/30*J443+J444+J445,IF(Input!J$55&lt;121,(Input!J$55-90)/30*J442+J443+J444+J445,IF(Input!J$55&lt;151,(Input!J$55-120)/30*J441+J442+J443+J444+J445,(Input!J$55-150)/30*J440+J441+J442+J443+J444+J445)))))))</f>
        <v>0</v>
      </c>
      <c r="K1080" s="302">
        <f>IF(K$338&gt;$D$33,0,IF(Input!K$55=0,0,IF(Input!K$55&lt;31,Input!K$55/30*K445,IF(Input!K$55&lt;61,(Input!K$55-30)/30*K444+K445,IF(Input!K$55&lt;91,(Input!K$55-60)/30*K443+K444+K445,IF(Input!K$55&lt;121,(Input!K$55-90)/30*K442+K443+K444+K445,IF(Input!K$55&lt;151,(Input!K$55-120)/30*K441+K442+K443+K444+K445,(Input!K$55-150)/30*K440+K441+K442+K443+K444+K445)))))))</f>
        <v>0</v>
      </c>
      <c r="L1080" s="302">
        <f>IF(L$338&gt;$D$33,0,IF(Input!L$55=0,0,IF(Input!L$55&lt;31,Input!L$55/30*L445,IF(Input!L$55&lt;61,(Input!L$55-30)/30*L444+L445,IF(Input!L$55&lt;91,(Input!L$55-60)/30*L443+L444+L445,IF(Input!L$55&lt;121,(Input!L$55-90)/30*L442+L443+L444+L445,IF(Input!L$55&lt;151,(Input!L$55-120)/30*L441+L442+L443+L444+L445,(Input!L$55-150)/30*L440+L441+L442+L443+L444+L445)))))))</f>
        <v>0</v>
      </c>
      <c r="M1080" s="302">
        <f>IF(M$338&gt;$D$33,0,IF(Input!M$55=0,0,IF(Input!M$55&lt;31,Input!M$55/30*M445,IF(Input!M$55&lt;61,(Input!M$55-30)/30*M444+M445,IF(Input!M$55&lt;91,(Input!M$55-60)/30*M443+M444+M445,IF(Input!M$55&lt;121,(Input!M$55-90)/30*M442+M443+M444+M445,IF(Input!M$55&lt;151,(Input!M$55-120)/30*M441+M442+M443+M444+M445,(Input!M$55-150)/30*M440+M441+M442+M443+M444+M445)))))))</f>
        <v>0</v>
      </c>
      <c r="N1080" s="302">
        <f>IF(N$338&gt;$D$33,0,IF(Input!N$55=0,0,IF(Input!N$55&lt;31,Input!N$55/30*N445,IF(Input!N$55&lt;61,(Input!N$55-30)/30*N444+N445,IF(Input!N$55&lt;91,(Input!N$55-60)/30*N443+N444+N445,IF(Input!N$55&lt;121,(Input!N$55-90)/30*N442+N443+N444+N445,IF(Input!N$55&lt;151,(Input!N$55-120)/30*N441+N442+N443+N444+N445,(Input!N$55-150)/30*N440+N441+N442+N443+N444+N445)))))))</f>
        <v>0</v>
      </c>
      <c r="O1080" s="302">
        <f>IF(O$338&gt;$D$33,0,IF(Input!O$55=0,0,IF(Input!O$55&lt;31,Input!O$55/30*O445,IF(Input!O$55&lt;61,(Input!O$55-30)/30*O444+O445,IF(Input!O$55&lt;91,(Input!O$55-60)/30*O443+O444+O445,IF(Input!O$55&lt;121,(Input!O$55-90)/30*O442+O443+O444+O445,IF(Input!O$55&lt;151,(Input!O$55-120)/30*O441+O442+O443+O444+O445,(Input!O$55-150)/30*O440+O441+O442+O443+O444+O445)))))))</f>
        <v>0</v>
      </c>
      <c r="P1080" s="302">
        <f>IF(P$338&gt;$D$33,0,IF(Input!P$55=0,0,IF(Input!P$55&lt;31,Input!P$55/30*P445,IF(Input!P$55&lt;61,(Input!P$55-30)/30*P444+P445,IF(Input!P$55&lt;91,(Input!P$55-60)/30*P443+P444+P445,IF(Input!P$55&lt;121,(Input!P$55-90)/30*P442+P443+P444+P445,IF(Input!P$55&lt;151,(Input!P$55-120)/30*P441+P442+P443+P444+P445,(Input!P$55-150)/30*P440+P441+P442+P443+P444+P445)))))))</f>
        <v>0</v>
      </c>
      <c r="Q1080" s="302">
        <f>IF(Q$338&gt;$D$33,0,IF(Input!Q$55=0,0,IF(Input!Q$55&lt;31,Input!Q$55/30*Q445,IF(Input!Q$55&lt;61,(Input!Q$55-30)/30*Q444+Q445,IF(Input!Q$55&lt;91,(Input!Q$55-60)/30*Q443+Q444+Q445,IF(Input!Q$55&lt;121,(Input!Q$55-90)/30*Q442+Q443+Q444+Q445,IF(Input!Q$55&lt;151,(Input!Q$55-120)/30*Q441+Q442+Q443+Q444+Q445,(Input!Q$55-150)/30*Q440+Q441+Q442+Q443+Q444+Q445)))))))</f>
        <v>0</v>
      </c>
      <c r="R1080" s="302">
        <f>IF(R$338&gt;$D$33,0,IF(Input!R$55=0,0,IF(Input!R$55&lt;31,Input!R$55/30*R445,IF(Input!R$55&lt;61,(Input!R$55-30)/30*R444+R445,IF(Input!R$55&lt;91,(Input!R$55-60)/30*R443+R444+R445,IF(Input!R$55&lt;121,(Input!R$55-90)/30*R442+R443+R444+R445,IF(Input!R$55&lt;151,(Input!R$55-120)/30*R441+R442+R443+R444+R445,(Input!R$55-150)/30*R440+R441+R442+R443+R444+R445)))))))</f>
        <v>0</v>
      </c>
      <c r="S1080" s="302">
        <f>IF(S$338&gt;$D$33,0,IF(Input!S$55=0,0,IF(Input!S$55&lt;31,Input!S$55/30*S445,IF(Input!S$55&lt;61,(Input!S$55-30)/30*S444+S445,IF(Input!S$55&lt;91,(Input!S$55-60)/30*S443+S444+S445,IF(Input!S$55&lt;121,(Input!S$55-90)/30*S442+S443+S444+S445,IF(Input!S$55&lt;151,(Input!S$55-120)/30*S441+S442+S443+S444+S445,(Input!S$55-150)/30*S440+S441+S442+S443+S444+S445)))))))</f>
        <v>0</v>
      </c>
      <c r="T1080" s="302">
        <f>IF(T$338&gt;$D$33,0,IF(Input!T$55=0,0,IF(Input!T$55&lt;31,Input!T$55/30*T445,IF(Input!T$55&lt;61,(Input!T$55-30)/30*T444+T445,IF(Input!T$55&lt;91,(Input!T$55-60)/30*T443+T444+T445,IF(Input!T$55&lt;121,(Input!T$55-90)/30*T442+T443+T444+T445,IF(Input!T$55&lt;151,(Input!T$55-120)/30*T441+T442+T443+T444+T445,(Input!T$55-150)/30*T440+T441+T442+T443+T444+T445)))))))</f>
        <v>0</v>
      </c>
      <c r="U1080" s="302">
        <f>IF(U$338&gt;$D$33,0,IF(Input!U$55=0,0,IF(Input!U$55&lt;31,Input!U$55/30*U445,IF(Input!U$55&lt;61,(Input!U$55-30)/30*U444+U445,IF(Input!U$55&lt;91,(Input!U$55-60)/30*U443+U444+U445,IF(Input!U$55&lt;121,(Input!U$55-90)/30*U442+U443+U444+U445,IF(Input!U$55&lt;151,(Input!U$55-120)/30*U441+U442+U443+U444+U445,(Input!U$55-150)/30*U440+U441+U442+U443+U444+U445)))))))</f>
        <v>0</v>
      </c>
      <c r="V1080" s="302">
        <f>IF(V$338&gt;$D$33,0,IF(Input!V$55=0,0,IF(Input!V$55&lt;31,Input!V$55/30*V445,IF(Input!V$55&lt;61,(Input!V$55-30)/30*V444+V445,IF(Input!V$55&lt;91,(Input!V$55-60)/30*V443+V444+V445,IF(Input!V$55&lt;121,(Input!V$55-90)/30*V442+V443+V444+V445,IF(Input!V$55&lt;151,(Input!V$55-120)/30*V441+V442+V443+V444+V445,(Input!V$55-150)/30*V440+V441+V442+V443+V444+V445)))))))</f>
        <v>0</v>
      </c>
      <c r="W1080" s="302">
        <f>IF(W$338&gt;$D$33,0,IF(Input!W$55=0,0,IF(Input!W$55&lt;31,Input!W$55/30*W445,IF(Input!W$55&lt;61,(Input!W$55-30)/30*W444+W445,IF(Input!W$55&lt;91,(Input!W$55-60)/30*W443+W444+W445,IF(Input!W$55&lt;121,(Input!W$55-90)/30*W442+W443+W444+W445,IF(Input!W$55&lt;151,(Input!W$55-120)/30*W441+W442+W443+W444+W445,(Input!W$55-150)/30*W440+W441+W442+W443+W444+W445)))))))</f>
        <v>0</v>
      </c>
      <c r="X1080" s="302">
        <f>IF(X$338&gt;$D$33,0,IF(Input!X$55=0,0,IF(Input!X$55&lt;31,Input!X$55/30*X445,IF(Input!X$55&lt;61,(Input!X$55-30)/30*X444+X445,IF(Input!X$55&lt;91,(Input!X$55-60)/30*X443+X444+X445,IF(Input!X$55&lt;121,(Input!X$55-90)/30*X442+X443+X444+X445,IF(Input!X$55&lt;151,(Input!X$55-120)/30*X441+X442+X443+X444+X445,(Input!X$55-150)/30*X440+X441+X442+X443+X444+X445)))))))</f>
        <v>0</v>
      </c>
      <c r="Y1080" s="302">
        <f>IF(Y$338&gt;$D$33,0,IF(Input!Y$55=0,0,IF(Input!Y$55&lt;31,Input!Y$55/30*Y445,IF(Input!Y$55&lt;61,(Input!Y$55-30)/30*Y444+Y445,IF(Input!Y$55&lt;91,(Input!Y$55-60)/30*Y443+Y444+Y445,IF(Input!Y$55&lt;121,(Input!Y$55-90)/30*Y442+Y443+Y444+Y445,IF(Input!Y$55&lt;151,(Input!Y$55-120)/30*Y441+Y442+Y443+Y444+Y445,(Input!Y$55-150)/30*Y440+Y441+Y442+Y443+Y444+Y445)))))))</f>
        <v>0</v>
      </c>
      <c r="Z1080" s="302">
        <f>IF(Z$338&gt;$D$33,0,IF(Input!Z$55=0,0,IF(Input!Z$55&lt;31,Input!Z$55/30*Z445,IF(Input!Z$55&lt;61,(Input!Z$55-30)/30*Z444+Z445,IF(Input!Z$55&lt;91,(Input!Z$55-60)/30*Z443+Z444+Z445,IF(Input!Z$55&lt;121,(Input!Z$55-90)/30*Z442+Z443+Z444+Z445,IF(Input!Z$55&lt;151,(Input!Z$55-120)/30*Z441+Z442+Z443+Z444+Z445,(Input!Z$55-150)/30*Z440+Z441+Z442+Z443+Z444+Z445)))))))</f>
        <v>0</v>
      </c>
      <c r="AA1080" s="302">
        <f>IF(AA$338&gt;$D$33,0,IF(Input!AA$55=0,0,IF(Input!AA$55&lt;31,Input!AA$55/30*AA445,IF(Input!AA$55&lt;61,(Input!AA$55-30)/30*AA444+AA445,IF(Input!AA$55&lt;91,(Input!AA$55-60)/30*AA443+AA444+AA445,IF(Input!AA$55&lt;121,(Input!AA$55-90)/30*AA442+AA443+AA444+AA445,IF(Input!AA$55&lt;151,(Input!AA$55-120)/30*AA441+AA442+AA443+AA444+AA445,(Input!AA$55-150)/30*AA440+AA441+AA442+AA443+AA444+AA445)))))))</f>
        <v>0</v>
      </c>
      <c r="AB1080" s="302">
        <f>IF(AB$338&gt;$D$33,0,IF(Input!AB$55=0,0,IF(Input!AB$55&lt;31,Input!AB$55/30*AB445,IF(Input!AB$55&lt;61,(Input!AB$55-30)/30*AB444+AB445,IF(Input!AB$55&lt;91,(Input!AB$55-60)/30*AB443+AB444+AB445,IF(Input!AB$55&lt;121,(Input!AB$55-90)/30*AB442+AB443+AB444+AB445,IF(Input!AB$55&lt;151,(Input!AB$55-120)/30*AB441+AB442+AB443+AB444+AB445,(Input!AB$55-150)/30*AB440+AB441+AB442+AB443+AB444+AB445)))))))</f>
        <v>0</v>
      </c>
      <c r="CH1080" s="269"/>
      <c r="CI1080" s="269"/>
      <c r="CJ1080" s="269"/>
      <c r="CK1080" s="269"/>
      <c r="CL1080" s="269"/>
      <c r="CM1080" s="269"/>
      <c r="CN1080" s="269"/>
      <c r="CO1080" s="269"/>
      <c r="CP1080" s="269"/>
      <c r="CQ1080" s="269"/>
      <c r="CR1080" s="269"/>
      <c r="CS1080" s="269"/>
    </row>
    <row r="1081" spans="3:97" x14ac:dyDescent="0.3">
      <c r="C1081" s="638">
        <f>C1018</f>
        <v>1127</v>
      </c>
      <c r="D1081" s="299">
        <f>IF(Years="Five",IF(D$338&gt;$D$33,0,IF(Input!D$55=0,0,IF(Input!D$55&lt;31,Input!D$55/30*D446,IF(Input!D$55&lt;61,(Input!D$55-30)/30*D445+D446,IF(Input!D$55&lt;91,(Input!D$55-60)/30*D444+D445+D446,IF(Input!D$55&lt;121,(Input!D$55-90)/30*D443+D444+D445+D446,IF(Input!D$55&lt;151,(Input!D$55-120)/30*D442+D443+D444+D445+D446,(Input!D$55-150)/30*D441+D442+D443+D444+D445+D446))))))),0)</f>
        <v>0</v>
      </c>
      <c r="E1081" s="231">
        <f>IF(Years="Five",IF(E$338&gt;$D$33,0,IF(Input!E$55=0,0,IF(Input!E$55&lt;31,Input!E$55/30*E446,IF(Input!E$55&lt;61,(Input!E$55-30)/30*E445+E446,IF(Input!E$55&lt;91,(Input!E$55-60)/30*E444+E445+E446,IF(Input!E$55&lt;121,(Input!E$55-90)/30*E443+E444+E445+E446,IF(Input!E$55&lt;151,(Input!E$55-120)/30*E442+E443+E444+E445+E446,(Input!E$55-150)/30*E441+E442+E443+E444+E445+E446))))))),0)</f>
        <v>0</v>
      </c>
      <c r="F1081" s="231">
        <f>IF(Years="Five",IF(F$338&gt;$D$33,0,IF(Input!F$55=0,0,IF(Input!F$55&lt;31,Input!F$55/30*F446,IF(Input!F$55&lt;61,(Input!F$55-30)/30*F445+F446,IF(Input!F$55&lt;91,(Input!F$55-60)/30*F444+F445+F446,IF(Input!F$55&lt;121,(Input!F$55-90)/30*F443+F444+F445+F446,IF(Input!F$55&lt;151,(Input!F$55-120)/30*F442+F443+F444+F445+F446,(Input!F$55-150)/30*F441+F442+F443+F444+F445+F446))))))),0)</f>
        <v>0</v>
      </c>
      <c r="G1081" s="231">
        <f>IF(Years="Five",IF(G$338&gt;$D$33,0,IF(Input!G$55=0,0,IF(Input!G$55&lt;31,Input!G$55/30*G446,IF(Input!G$55&lt;61,(Input!G$55-30)/30*G445+G446,IF(Input!G$55&lt;91,(Input!G$55-60)/30*G444+G445+G446,IF(Input!G$55&lt;121,(Input!G$55-90)/30*G443+G444+G445+G446,IF(Input!G$55&lt;151,(Input!G$55-120)/30*G442+G443+G444+G445+G446,(Input!G$55-150)/30*G441+G442+G443+G444+G445+G446))))))),0)</f>
        <v>0</v>
      </c>
      <c r="H1081" s="231">
        <f>IF(Years="Five",IF(H$338&gt;$D$33,0,IF(Input!H$55=0,0,IF(Input!H$55&lt;31,Input!H$55/30*H446,IF(Input!H$55&lt;61,(Input!H$55-30)/30*H445+H446,IF(Input!H$55&lt;91,(Input!H$55-60)/30*H444+H445+H446,IF(Input!H$55&lt;121,(Input!H$55-90)/30*H443+H444+H445+H446,IF(Input!H$55&lt;151,(Input!H$55-120)/30*H442+H443+H444+H445+H446,(Input!H$55-150)/30*H441+H442+H443+H444+H445+H446))))))),0)</f>
        <v>0</v>
      </c>
      <c r="I1081" s="231">
        <f>IF(Years="Five",IF(I$338&gt;$D$33,0,IF(Input!I$55=0,0,IF(Input!I$55&lt;31,Input!I$55/30*I446,IF(Input!I$55&lt;61,(Input!I$55-30)/30*I445+I446,IF(Input!I$55&lt;91,(Input!I$55-60)/30*I444+I445+I446,IF(Input!I$55&lt;121,(Input!I$55-90)/30*I443+I444+I445+I446,IF(Input!I$55&lt;151,(Input!I$55-120)/30*I442+I443+I444+I445+I446,(Input!I$55-150)/30*I441+I442+I443+I444+I445+I446))))))),0)</f>
        <v>0</v>
      </c>
      <c r="J1081" s="231">
        <f>IF(Years="Five",IF(J$338&gt;$D$33,0,IF(Input!J$55=0,0,IF(Input!J$55&lt;31,Input!J$55/30*J446,IF(Input!J$55&lt;61,(Input!J$55-30)/30*J445+J446,IF(Input!J$55&lt;91,(Input!J$55-60)/30*J444+J445+J446,IF(Input!J$55&lt;121,(Input!J$55-90)/30*J443+J444+J445+J446,IF(Input!J$55&lt;151,(Input!J$55-120)/30*J442+J443+J444+J445+J446,(Input!J$55-150)/30*J441+J442+J443+J444+J445+J446))))))),0)</f>
        <v>0</v>
      </c>
      <c r="K1081" s="231">
        <f>IF(Years="Five",IF(K$338&gt;$D$33,0,IF(Input!K$55=0,0,IF(Input!K$55&lt;31,Input!K$55/30*K446,IF(Input!K$55&lt;61,(Input!K$55-30)/30*K445+K446,IF(Input!K$55&lt;91,(Input!K$55-60)/30*K444+K445+K446,IF(Input!K$55&lt;121,(Input!K$55-90)/30*K443+K444+K445+K446,IF(Input!K$55&lt;151,(Input!K$55-120)/30*K442+K443+K444+K445+K446,(Input!K$55-150)/30*K441+K442+K443+K444+K445+K446))))))),0)</f>
        <v>0</v>
      </c>
      <c r="L1081" s="231">
        <f>IF(Years="Five",IF(L$338&gt;$D$33,0,IF(Input!L$55=0,0,IF(Input!L$55&lt;31,Input!L$55/30*L446,IF(Input!L$55&lt;61,(Input!L$55-30)/30*L445+L446,IF(Input!L$55&lt;91,(Input!L$55-60)/30*L444+L445+L446,IF(Input!L$55&lt;121,(Input!L$55-90)/30*L443+L444+L445+L446,IF(Input!L$55&lt;151,(Input!L$55-120)/30*L442+L443+L444+L445+L446,(Input!L$55-150)/30*L441+L442+L443+L444+L445+L446))))))),0)</f>
        <v>0</v>
      </c>
      <c r="M1081" s="231">
        <f>IF(Years="Five",IF(M$338&gt;$D$33,0,IF(Input!M$55=0,0,IF(Input!M$55&lt;31,Input!M$55/30*M446,IF(Input!M$55&lt;61,(Input!M$55-30)/30*M445+M446,IF(Input!M$55&lt;91,(Input!M$55-60)/30*M444+M445+M446,IF(Input!M$55&lt;121,(Input!M$55-90)/30*M443+M444+M445+M446,IF(Input!M$55&lt;151,(Input!M$55-120)/30*M442+M443+M444+M445+M446,(Input!M$55-150)/30*M441+M442+M443+M444+M445+M446))))))),0)</f>
        <v>0</v>
      </c>
      <c r="N1081" s="231">
        <f>IF(Years="Five",IF(N$338&gt;$D$33,0,IF(Input!N$55=0,0,IF(Input!N$55&lt;31,Input!N$55/30*N446,IF(Input!N$55&lt;61,(Input!N$55-30)/30*N445+N446,IF(Input!N$55&lt;91,(Input!N$55-60)/30*N444+N445+N446,IF(Input!N$55&lt;121,(Input!N$55-90)/30*N443+N444+N445+N446,IF(Input!N$55&lt;151,(Input!N$55-120)/30*N442+N443+N444+N445+N446,(Input!N$55-150)/30*N441+N442+N443+N444+N445+N446))))))),0)</f>
        <v>0</v>
      </c>
      <c r="O1081" s="231">
        <f>IF(Years="Five",IF(O$338&gt;$D$33,0,IF(Input!O$55=0,0,IF(Input!O$55&lt;31,Input!O$55/30*O446,IF(Input!O$55&lt;61,(Input!O$55-30)/30*O445+O446,IF(Input!O$55&lt;91,(Input!O$55-60)/30*O444+O445+O446,IF(Input!O$55&lt;121,(Input!O$55-90)/30*O443+O444+O445+O446,IF(Input!O$55&lt;151,(Input!O$55-120)/30*O442+O443+O444+O445+O446,(Input!O$55-150)/30*O441+O442+O443+O444+O445+O446))))))),0)</f>
        <v>0</v>
      </c>
      <c r="P1081" s="231">
        <f>IF(Years="Five",IF(P$338&gt;$D$33,0,IF(Input!P$55=0,0,IF(Input!P$55&lt;31,Input!P$55/30*P446,IF(Input!P$55&lt;61,(Input!P$55-30)/30*P445+P446,IF(Input!P$55&lt;91,(Input!P$55-60)/30*P444+P445+P446,IF(Input!P$55&lt;121,(Input!P$55-90)/30*P443+P444+P445+P446,IF(Input!P$55&lt;151,(Input!P$55-120)/30*P442+P443+P444+P445+P446,(Input!P$55-150)/30*P441+P442+P443+P444+P445+P446))))))),0)</f>
        <v>0</v>
      </c>
      <c r="Q1081" s="231">
        <f>IF(Years="Five",IF(Q$338&gt;$D$33,0,IF(Input!Q$55=0,0,IF(Input!Q$55&lt;31,Input!Q$55/30*Q446,IF(Input!Q$55&lt;61,(Input!Q$55-30)/30*Q445+Q446,IF(Input!Q$55&lt;91,(Input!Q$55-60)/30*Q444+Q445+Q446,IF(Input!Q$55&lt;121,(Input!Q$55-90)/30*Q443+Q444+Q445+Q446,IF(Input!Q$55&lt;151,(Input!Q$55-120)/30*Q442+Q443+Q444+Q445+Q446,(Input!Q$55-150)/30*Q441+Q442+Q443+Q444+Q445+Q446))))))),0)</f>
        <v>0</v>
      </c>
      <c r="R1081" s="231">
        <f>IF(Years="Five",IF(R$338&gt;$D$33,0,IF(Input!R$55=0,0,IF(Input!R$55&lt;31,Input!R$55/30*R446,IF(Input!R$55&lt;61,(Input!R$55-30)/30*R445+R446,IF(Input!R$55&lt;91,(Input!R$55-60)/30*R444+R445+R446,IF(Input!R$55&lt;121,(Input!R$55-90)/30*R443+R444+R445+R446,IF(Input!R$55&lt;151,(Input!R$55-120)/30*R442+R443+R444+R445+R446,(Input!R$55-150)/30*R441+R442+R443+R444+R445+R446))))))),0)</f>
        <v>0</v>
      </c>
      <c r="S1081" s="231">
        <f>IF(Years="Five",IF(S$338&gt;$D$33,0,IF(Input!S$55=0,0,IF(Input!S$55&lt;31,Input!S$55/30*S446,IF(Input!S$55&lt;61,(Input!S$55-30)/30*S445+S446,IF(Input!S$55&lt;91,(Input!S$55-60)/30*S444+S445+S446,IF(Input!S$55&lt;121,(Input!S$55-90)/30*S443+S444+S445+S446,IF(Input!S$55&lt;151,(Input!S$55-120)/30*S442+S443+S444+S445+S446,(Input!S$55-150)/30*S441+S442+S443+S444+S445+S446))))))),0)</f>
        <v>0</v>
      </c>
      <c r="T1081" s="231">
        <f>IF(Years="Five",IF(T$338&gt;$D$33,0,IF(Input!T$55=0,0,IF(Input!T$55&lt;31,Input!T$55/30*T446,IF(Input!T$55&lt;61,(Input!T$55-30)/30*T445+T446,IF(Input!T$55&lt;91,(Input!T$55-60)/30*T444+T445+T446,IF(Input!T$55&lt;121,(Input!T$55-90)/30*T443+T444+T445+T446,IF(Input!T$55&lt;151,(Input!T$55-120)/30*T442+T443+T444+T445+T446,(Input!T$55-150)/30*T441+T442+T443+T444+T445+T446))))))),0)</f>
        <v>0</v>
      </c>
      <c r="U1081" s="231">
        <f>IF(Years="Five",IF(U$338&gt;$D$33,0,IF(Input!U$55=0,0,IF(Input!U$55&lt;31,Input!U$55/30*U446,IF(Input!U$55&lt;61,(Input!U$55-30)/30*U445+U446,IF(Input!U$55&lt;91,(Input!U$55-60)/30*U444+U445+U446,IF(Input!U$55&lt;121,(Input!U$55-90)/30*U443+U444+U445+U446,IF(Input!U$55&lt;151,(Input!U$55-120)/30*U442+U443+U444+U445+U446,(Input!U$55-150)/30*U441+U442+U443+U444+U445+U446))))))),0)</f>
        <v>0</v>
      </c>
      <c r="V1081" s="231">
        <f>IF(Years="Five",IF(V$338&gt;$D$33,0,IF(Input!V$55=0,0,IF(Input!V$55&lt;31,Input!V$55/30*V446,IF(Input!V$55&lt;61,(Input!V$55-30)/30*V445+V446,IF(Input!V$55&lt;91,(Input!V$55-60)/30*V444+V445+V446,IF(Input!V$55&lt;121,(Input!V$55-90)/30*V443+V444+V445+V446,IF(Input!V$55&lt;151,(Input!V$55-120)/30*V442+V443+V444+V445+V446,(Input!V$55-150)/30*V441+V442+V443+V444+V445+V446))))))),0)</f>
        <v>0</v>
      </c>
      <c r="W1081" s="231">
        <f>IF(Years="Five",IF(W$338&gt;$D$33,0,IF(Input!W$55=0,0,IF(Input!W$55&lt;31,Input!W$55/30*W446,IF(Input!W$55&lt;61,(Input!W$55-30)/30*W445+W446,IF(Input!W$55&lt;91,(Input!W$55-60)/30*W444+W445+W446,IF(Input!W$55&lt;121,(Input!W$55-90)/30*W443+W444+W445+W446,IF(Input!W$55&lt;151,(Input!W$55-120)/30*W442+W443+W444+W445+W446,(Input!W$55-150)/30*W441+W442+W443+W444+W445+W446))))))),0)</f>
        <v>0</v>
      </c>
      <c r="X1081" s="231">
        <f>IF(Years="Five",IF(X$338&gt;$D$33,0,IF(Input!X$55=0,0,IF(Input!X$55&lt;31,Input!X$55/30*X446,IF(Input!X$55&lt;61,(Input!X$55-30)/30*X445+X446,IF(Input!X$55&lt;91,(Input!X$55-60)/30*X444+X445+X446,IF(Input!X$55&lt;121,(Input!X$55-90)/30*X443+X444+X445+X446,IF(Input!X$55&lt;151,(Input!X$55-120)/30*X442+X443+X444+X445+X446,(Input!X$55-150)/30*X441+X442+X443+X444+X445+X446))))))),0)</f>
        <v>0</v>
      </c>
      <c r="Y1081" s="231">
        <f>IF(Years="Five",IF(Y$338&gt;$D$33,0,IF(Input!Y$55=0,0,IF(Input!Y$55&lt;31,Input!Y$55/30*Y446,IF(Input!Y$55&lt;61,(Input!Y$55-30)/30*Y445+Y446,IF(Input!Y$55&lt;91,(Input!Y$55-60)/30*Y444+Y445+Y446,IF(Input!Y$55&lt;121,(Input!Y$55-90)/30*Y443+Y444+Y445+Y446,IF(Input!Y$55&lt;151,(Input!Y$55-120)/30*Y442+Y443+Y444+Y445+Y446,(Input!Y$55-150)/30*Y441+Y442+Y443+Y444+Y445+Y446))))))),0)</f>
        <v>0</v>
      </c>
      <c r="Z1081" s="231">
        <f>IF(Years="Five",IF(Z$338&gt;$D$33,0,IF(Input!Z$55=0,0,IF(Input!Z$55&lt;31,Input!Z$55/30*Z446,IF(Input!Z$55&lt;61,(Input!Z$55-30)/30*Z445+Z446,IF(Input!Z$55&lt;91,(Input!Z$55-60)/30*Z444+Z445+Z446,IF(Input!Z$55&lt;121,(Input!Z$55-90)/30*Z443+Z444+Z445+Z446,IF(Input!Z$55&lt;151,(Input!Z$55-120)/30*Z442+Z443+Z444+Z445+Z446,(Input!Z$55-150)/30*Z441+Z442+Z443+Z444+Z445+Z446))))))),0)</f>
        <v>0</v>
      </c>
      <c r="AA1081" s="231">
        <f>IF(Years="Five",IF(AA$338&gt;$D$33,0,IF(Input!AA$55=0,0,IF(Input!AA$55&lt;31,Input!AA$55/30*AA446,IF(Input!AA$55&lt;61,(Input!AA$55-30)/30*AA445+AA446,IF(Input!AA$55&lt;91,(Input!AA$55-60)/30*AA444+AA445+AA446,IF(Input!AA$55&lt;121,(Input!AA$55-90)/30*AA443+AA444+AA445+AA446,IF(Input!AA$55&lt;151,(Input!AA$55-120)/30*AA442+AA443+AA444+AA445+AA446,(Input!AA$55-150)/30*AA441+AA442+AA443+AA444+AA445+AA446))))))),0)</f>
        <v>0</v>
      </c>
      <c r="AB1081" s="300">
        <f>IF(Years="Five",IF(AB$338&gt;$D$33,0,IF(Input!AB$55=0,0,IF(Input!AB$55&lt;31,Input!AB$55/30*AB446,IF(Input!AB$55&lt;61,(Input!AB$55-30)/30*AB445+AB446,IF(Input!AB$55&lt;91,(Input!AB$55-60)/30*AB444+AB445+AB446,IF(Input!AB$55&lt;121,(Input!AB$55-90)/30*AB443+AB444+AB445+AB446,IF(Input!AB$55&lt;151,(Input!AB$55-120)/30*AB442+AB443+AB444+AB445+AB446,(Input!AB$55-150)/30*AB441+AB442+AB443+AB444+AB445+AB446))))))),0)</f>
        <v>0</v>
      </c>
      <c r="CH1081" s="269"/>
      <c r="CI1081" s="269"/>
      <c r="CJ1081" s="269"/>
      <c r="CK1081" s="269"/>
      <c r="CL1081" s="269"/>
      <c r="CM1081" s="269"/>
      <c r="CN1081" s="269"/>
      <c r="CO1081" s="269"/>
      <c r="CP1081" s="269"/>
      <c r="CQ1081" s="269"/>
      <c r="CR1081" s="269"/>
      <c r="CS1081" s="269"/>
    </row>
    <row r="1082" spans="3:97" x14ac:dyDescent="0.3">
      <c r="C1082" s="638">
        <f>C1019</f>
        <v>1155</v>
      </c>
      <c r="D1082" s="297">
        <f>IF(Years="Five",IF(D$338&gt;$D$33,0,IF(Input!D$55=0,0,IF(Input!D$55&lt;31,Input!D$55/30*D447,IF(Input!D$55&lt;61,(Input!D$55-30)/30*D446+D447,IF(Input!D$55&lt;91,(Input!D$55-60)/30*D445+D446+D447,IF(Input!D$55&lt;121,(Input!D$55-90)/30*D444+D445+D446+D447,IF(Input!D$55&lt;151,(Input!D$55-120)/30*D443+D444+D445+D446+D447,(Input!D$55-150)/30*D442+D443+D444+D445+D446+D447))))))),0)</f>
        <v>0</v>
      </c>
      <c r="E1082" s="229">
        <f>IF(Years="Five",IF(E$338&gt;$D$33,0,IF(Input!E$55=0,0,IF(Input!E$55&lt;31,Input!E$55/30*E447,IF(Input!E$55&lt;61,(Input!E$55-30)/30*E446+E447,IF(Input!E$55&lt;91,(Input!E$55-60)/30*E445+E446+E447,IF(Input!E$55&lt;121,(Input!E$55-90)/30*E444+E445+E446+E447,IF(Input!E$55&lt;151,(Input!E$55-120)/30*E443+E444+E445+E446+E447,(Input!E$55-150)/30*E442+E443+E444+E445+E446+E447))))))),0)</f>
        <v>0</v>
      </c>
      <c r="F1082" s="229">
        <f>IF(Years="Five",IF(F$338&gt;$D$33,0,IF(Input!F$55=0,0,IF(Input!F$55&lt;31,Input!F$55/30*F447,IF(Input!F$55&lt;61,(Input!F$55-30)/30*F446+F447,IF(Input!F$55&lt;91,(Input!F$55-60)/30*F445+F446+F447,IF(Input!F$55&lt;121,(Input!F$55-90)/30*F444+F445+F446+F447,IF(Input!F$55&lt;151,(Input!F$55-120)/30*F443+F444+F445+F446+F447,(Input!F$55-150)/30*F442+F443+F444+F445+F446+F447))))))),0)</f>
        <v>0</v>
      </c>
      <c r="G1082" s="229">
        <f>IF(Years="Five",IF(G$338&gt;$D$33,0,IF(Input!G$55=0,0,IF(Input!G$55&lt;31,Input!G$55/30*G447,IF(Input!G$55&lt;61,(Input!G$55-30)/30*G446+G447,IF(Input!G$55&lt;91,(Input!G$55-60)/30*G445+G446+G447,IF(Input!G$55&lt;121,(Input!G$55-90)/30*G444+G445+G446+G447,IF(Input!G$55&lt;151,(Input!G$55-120)/30*G443+G444+G445+G446+G447,(Input!G$55-150)/30*G442+G443+G444+G445+G446+G447))))))),0)</f>
        <v>0</v>
      </c>
      <c r="H1082" s="229">
        <f>IF(Years="Five",IF(H$338&gt;$D$33,0,IF(Input!H$55=0,0,IF(Input!H$55&lt;31,Input!H$55/30*H447,IF(Input!H$55&lt;61,(Input!H$55-30)/30*H446+H447,IF(Input!H$55&lt;91,(Input!H$55-60)/30*H445+H446+H447,IF(Input!H$55&lt;121,(Input!H$55-90)/30*H444+H445+H446+H447,IF(Input!H$55&lt;151,(Input!H$55-120)/30*H443+H444+H445+H446+H447,(Input!H$55-150)/30*H442+H443+H444+H445+H446+H447))))))),0)</f>
        <v>0</v>
      </c>
      <c r="I1082" s="229">
        <f>IF(Years="Five",IF(I$338&gt;$D$33,0,IF(Input!I$55=0,0,IF(Input!I$55&lt;31,Input!I$55/30*I447,IF(Input!I$55&lt;61,(Input!I$55-30)/30*I446+I447,IF(Input!I$55&lt;91,(Input!I$55-60)/30*I445+I446+I447,IF(Input!I$55&lt;121,(Input!I$55-90)/30*I444+I445+I446+I447,IF(Input!I$55&lt;151,(Input!I$55-120)/30*I443+I444+I445+I446+I447,(Input!I$55-150)/30*I442+I443+I444+I445+I446+I447))))))),0)</f>
        <v>0</v>
      </c>
      <c r="J1082" s="229">
        <f>IF(Years="Five",IF(J$338&gt;$D$33,0,IF(Input!J$55=0,0,IF(Input!J$55&lt;31,Input!J$55/30*J447,IF(Input!J$55&lt;61,(Input!J$55-30)/30*J446+J447,IF(Input!J$55&lt;91,(Input!J$55-60)/30*J445+J446+J447,IF(Input!J$55&lt;121,(Input!J$55-90)/30*J444+J445+J446+J447,IF(Input!J$55&lt;151,(Input!J$55-120)/30*J443+J444+J445+J446+J447,(Input!J$55-150)/30*J442+J443+J444+J445+J446+J447))))))),0)</f>
        <v>0</v>
      </c>
      <c r="K1082" s="229">
        <f>IF(Years="Five",IF(K$338&gt;$D$33,0,IF(Input!K$55=0,0,IF(Input!K$55&lt;31,Input!K$55/30*K447,IF(Input!K$55&lt;61,(Input!K$55-30)/30*K446+K447,IF(Input!K$55&lt;91,(Input!K$55-60)/30*K445+K446+K447,IF(Input!K$55&lt;121,(Input!K$55-90)/30*K444+K445+K446+K447,IF(Input!K$55&lt;151,(Input!K$55-120)/30*K443+K444+K445+K446+K447,(Input!K$55-150)/30*K442+K443+K444+K445+K446+K447))))))),0)</f>
        <v>0</v>
      </c>
      <c r="L1082" s="229">
        <f>IF(Years="Five",IF(L$338&gt;$D$33,0,IF(Input!L$55=0,0,IF(Input!L$55&lt;31,Input!L$55/30*L447,IF(Input!L$55&lt;61,(Input!L$55-30)/30*L446+L447,IF(Input!L$55&lt;91,(Input!L$55-60)/30*L445+L446+L447,IF(Input!L$55&lt;121,(Input!L$55-90)/30*L444+L445+L446+L447,IF(Input!L$55&lt;151,(Input!L$55-120)/30*L443+L444+L445+L446+L447,(Input!L$55-150)/30*L442+L443+L444+L445+L446+L447))))))),0)</f>
        <v>0</v>
      </c>
      <c r="M1082" s="229">
        <f>IF(Years="Five",IF(M$338&gt;$D$33,0,IF(Input!M$55=0,0,IF(Input!M$55&lt;31,Input!M$55/30*M447,IF(Input!M$55&lt;61,(Input!M$55-30)/30*M446+M447,IF(Input!M$55&lt;91,(Input!M$55-60)/30*M445+M446+M447,IF(Input!M$55&lt;121,(Input!M$55-90)/30*M444+M445+M446+M447,IF(Input!M$55&lt;151,(Input!M$55-120)/30*M443+M444+M445+M446+M447,(Input!M$55-150)/30*M442+M443+M444+M445+M446+M447))))))),0)</f>
        <v>0</v>
      </c>
      <c r="N1082" s="229">
        <f>IF(Years="Five",IF(N$338&gt;$D$33,0,IF(Input!N$55=0,0,IF(Input!N$55&lt;31,Input!N$55/30*N447,IF(Input!N$55&lt;61,(Input!N$55-30)/30*N446+N447,IF(Input!N$55&lt;91,(Input!N$55-60)/30*N445+N446+N447,IF(Input!N$55&lt;121,(Input!N$55-90)/30*N444+N445+N446+N447,IF(Input!N$55&lt;151,(Input!N$55-120)/30*N443+N444+N445+N446+N447,(Input!N$55-150)/30*N442+N443+N444+N445+N446+N447))))))),0)</f>
        <v>0</v>
      </c>
      <c r="O1082" s="229">
        <f>IF(Years="Five",IF(O$338&gt;$D$33,0,IF(Input!O$55=0,0,IF(Input!O$55&lt;31,Input!O$55/30*O447,IF(Input!O$55&lt;61,(Input!O$55-30)/30*O446+O447,IF(Input!O$55&lt;91,(Input!O$55-60)/30*O445+O446+O447,IF(Input!O$55&lt;121,(Input!O$55-90)/30*O444+O445+O446+O447,IF(Input!O$55&lt;151,(Input!O$55-120)/30*O443+O444+O445+O446+O447,(Input!O$55-150)/30*O442+O443+O444+O445+O446+O447))))))),0)</f>
        <v>0</v>
      </c>
      <c r="P1082" s="229">
        <f>IF(Years="Five",IF(P$338&gt;$D$33,0,IF(Input!P$55=0,0,IF(Input!P$55&lt;31,Input!P$55/30*P447,IF(Input!P$55&lt;61,(Input!P$55-30)/30*P446+P447,IF(Input!P$55&lt;91,(Input!P$55-60)/30*P445+P446+P447,IF(Input!P$55&lt;121,(Input!P$55-90)/30*P444+P445+P446+P447,IF(Input!P$55&lt;151,(Input!P$55-120)/30*P443+P444+P445+P446+P447,(Input!P$55-150)/30*P442+P443+P444+P445+P446+P447))))))),0)</f>
        <v>0</v>
      </c>
      <c r="Q1082" s="229">
        <f>IF(Years="Five",IF(Q$338&gt;$D$33,0,IF(Input!Q$55=0,0,IF(Input!Q$55&lt;31,Input!Q$55/30*Q447,IF(Input!Q$55&lt;61,(Input!Q$55-30)/30*Q446+Q447,IF(Input!Q$55&lt;91,(Input!Q$55-60)/30*Q445+Q446+Q447,IF(Input!Q$55&lt;121,(Input!Q$55-90)/30*Q444+Q445+Q446+Q447,IF(Input!Q$55&lt;151,(Input!Q$55-120)/30*Q443+Q444+Q445+Q446+Q447,(Input!Q$55-150)/30*Q442+Q443+Q444+Q445+Q446+Q447))))))),0)</f>
        <v>0</v>
      </c>
      <c r="R1082" s="229">
        <f>IF(Years="Five",IF(R$338&gt;$D$33,0,IF(Input!R$55=0,0,IF(Input!R$55&lt;31,Input!R$55/30*R447,IF(Input!R$55&lt;61,(Input!R$55-30)/30*R446+R447,IF(Input!R$55&lt;91,(Input!R$55-60)/30*R445+R446+R447,IF(Input!R$55&lt;121,(Input!R$55-90)/30*R444+R445+R446+R447,IF(Input!R$55&lt;151,(Input!R$55-120)/30*R443+R444+R445+R446+R447,(Input!R$55-150)/30*R442+R443+R444+R445+R446+R447))))))),0)</f>
        <v>0</v>
      </c>
      <c r="S1082" s="229">
        <f>IF(Years="Five",IF(S$338&gt;$D$33,0,IF(Input!S$55=0,0,IF(Input!S$55&lt;31,Input!S$55/30*S447,IF(Input!S$55&lt;61,(Input!S$55-30)/30*S446+S447,IF(Input!S$55&lt;91,(Input!S$55-60)/30*S445+S446+S447,IF(Input!S$55&lt;121,(Input!S$55-90)/30*S444+S445+S446+S447,IF(Input!S$55&lt;151,(Input!S$55-120)/30*S443+S444+S445+S446+S447,(Input!S$55-150)/30*S442+S443+S444+S445+S446+S447))))))),0)</f>
        <v>0</v>
      </c>
      <c r="T1082" s="229">
        <f>IF(Years="Five",IF(T$338&gt;$D$33,0,IF(Input!T$55=0,0,IF(Input!T$55&lt;31,Input!T$55/30*T447,IF(Input!T$55&lt;61,(Input!T$55-30)/30*T446+T447,IF(Input!T$55&lt;91,(Input!T$55-60)/30*T445+T446+T447,IF(Input!T$55&lt;121,(Input!T$55-90)/30*T444+T445+T446+T447,IF(Input!T$55&lt;151,(Input!T$55-120)/30*T443+T444+T445+T446+T447,(Input!T$55-150)/30*T442+T443+T444+T445+T446+T447))))))),0)</f>
        <v>0</v>
      </c>
      <c r="U1082" s="229">
        <f>IF(Years="Five",IF(U$338&gt;$D$33,0,IF(Input!U$55=0,0,IF(Input!U$55&lt;31,Input!U$55/30*U447,IF(Input!U$55&lt;61,(Input!U$55-30)/30*U446+U447,IF(Input!U$55&lt;91,(Input!U$55-60)/30*U445+U446+U447,IF(Input!U$55&lt;121,(Input!U$55-90)/30*U444+U445+U446+U447,IF(Input!U$55&lt;151,(Input!U$55-120)/30*U443+U444+U445+U446+U447,(Input!U$55-150)/30*U442+U443+U444+U445+U446+U447))))))),0)</f>
        <v>0</v>
      </c>
      <c r="V1082" s="229">
        <f>IF(Years="Five",IF(V$338&gt;$D$33,0,IF(Input!V$55=0,0,IF(Input!V$55&lt;31,Input!V$55/30*V447,IF(Input!V$55&lt;61,(Input!V$55-30)/30*V446+V447,IF(Input!V$55&lt;91,(Input!V$55-60)/30*V445+V446+V447,IF(Input!V$55&lt;121,(Input!V$55-90)/30*V444+V445+V446+V447,IF(Input!V$55&lt;151,(Input!V$55-120)/30*V443+V444+V445+V446+V447,(Input!V$55-150)/30*V442+V443+V444+V445+V446+V447))))))),0)</f>
        <v>0</v>
      </c>
      <c r="W1082" s="229">
        <f>IF(Years="Five",IF(W$338&gt;$D$33,0,IF(Input!W$55=0,0,IF(Input!W$55&lt;31,Input!W$55/30*W447,IF(Input!W$55&lt;61,(Input!W$55-30)/30*W446+W447,IF(Input!W$55&lt;91,(Input!W$55-60)/30*W445+W446+W447,IF(Input!W$55&lt;121,(Input!W$55-90)/30*W444+W445+W446+W447,IF(Input!W$55&lt;151,(Input!W$55-120)/30*W443+W444+W445+W446+W447,(Input!W$55-150)/30*W442+W443+W444+W445+W446+W447))))))),0)</f>
        <v>0</v>
      </c>
      <c r="X1082" s="229">
        <f>IF(Years="Five",IF(X$338&gt;$D$33,0,IF(Input!X$55=0,0,IF(Input!X$55&lt;31,Input!X$55/30*X447,IF(Input!X$55&lt;61,(Input!X$55-30)/30*X446+X447,IF(Input!X$55&lt;91,(Input!X$55-60)/30*X445+X446+X447,IF(Input!X$55&lt;121,(Input!X$55-90)/30*X444+X445+X446+X447,IF(Input!X$55&lt;151,(Input!X$55-120)/30*X443+X444+X445+X446+X447,(Input!X$55-150)/30*X442+X443+X444+X445+X446+X447))))))),0)</f>
        <v>0</v>
      </c>
      <c r="Y1082" s="229">
        <f>IF(Years="Five",IF(Y$338&gt;$D$33,0,IF(Input!Y$55=0,0,IF(Input!Y$55&lt;31,Input!Y$55/30*Y447,IF(Input!Y$55&lt;61,(Input!Y$55-30)/30*Y446+Y447,IF(Input!Y$55&lt;91,(Input!Y$55-60)/30*Y445+Y446+Y447,IF(Input!Y$55&lt;121,(Input!Y$55-90)/30*Y444+Y445+Y446+Y447,IF(Input!Y$55&lt;151,(Input!Y$55-120)/30*Y443+Y444+Y445+Y446+Y447,(Input!Y$55-150)/30*Y442+Y443+Y444+Y445+Y446+Y447))))))),0)</f>
        <v>0</v>
      </c>
      <c r="Z1082" s="229">
        <f>IF(Years="Five",IF(Z$338&gt;$D$33,0,IF(Input!Z$55=0,0,IF(Input!Z$55&lt;31,Input!Z$55/30*Z447,IF(Input!Z$55&lt;61,(Input!Z$55-30)/30*Z446+Z447,IF(Input!Z$55&lt;91,(Input!Z$55-60)/30*Z445+Z446+Z447,IF(Input!Z$55&lt;121,(Input!Z$55-90)/30*Z444+Z445+Z446+Z447,IF(Input!Z$55&lt;151,(Input!Z$55-120)/30*Z443+Z444+Z445+Z446+Z447,(Input!Z$55-150)/30*Z442+Z443+Z444+Z445+Z446+Z447))))))),0)</f>
        <v>0</v>
      </c>
      <c r="AA1082" s="229">
        <f>IF(Years="Five",IF(AA$338&gt;$D$33,0,IF(Input!AA$55=0,0,IF(Input!AA$55&lt;31,Input!AA$55/30*AA447,IF(Input!AA$55&lt;61,(Input!AA$55-30)/30*AA446+AA447,IF(Input!AA$55&lt;91,(Input!AA$55-60)/30*AA445+AA446+AA447,IF(Input!AA$55&lt;121,(Input!AA$55-90)/30*AA444+AA445+AA446+AA447,IF(Input!AA$55&lt;151,(Input!AA$55-120)/30*AA443+AA444+AA445+AA446+AA447,(Input!AA$55-150)/30*AA442+AA443+AA444+AA445+AA446+AA447))))))),0)</f>
        <v>0</v>
      </c>
      <c r="AB1082" s="298">
        <f>IF(Years="Five",IF(AB$338&gt;$D$33,0,IF(Input!AB$55=0,0,IF(Input!AB$55&lt;31,Input!AB$55/30*AB447,IF(Input!AB$55&lt;61,(Input!AB$55-30)/30*AB446+AB447,IF(Input!AB$55&lt;91,(Input!AB$55-60)/30*AB445+AB446+AB447,IF(Input!AB$55&lt;121,(Input!AB$55-90)/30*AB444+AB445+AB446+AB447,IF(Input!AB$55&lt;151,(Input!AB$55-120)/30*AB443+AB444+AB445+AB446+AB447,(Input!AB$55-150)/30*AB442+AB443+AB444+AB445+AB446+AB447))))))),0)</f>
        <v>0</v>
      </c>
      <c r="CH1082" s="269"/>
      <c r="CI1082" s="269"/>
      <c r="CJ1082" s="269"/>
      <c r="CK1082" s="269"/>
      <c r="CL1082" s="269"/>
      <c r="CM1082" s="269"/>
      <c r="CN1082" s="269"/>
      <c r="CO1082" s="269"/>
      <c r="CP1082" s="269"/>
      <c r="CQ1082" s="269"/>
      <c r="CR1082" s="269"/>
      <c r="CS1082" s="269"/>
    </row>
    <row r="1083" spans="3:97" x14ac:dyDescent="0.3">
      <c r="C1083" s="638">
        <f>C1020</f>
        <v>1186</v>
      </c>
      <c r="D1083" s="297">
        <f>IF(Years="Five",IF(D$338&gt;$D$33,0,IF(Input!D$55=0,0,IF(Input!D$55&lt;31,Input!D$55/30*D448,IF(Input!D$55&lt;61,(Input!D$55-30)/30*D447+D448,IF(Input!D$55&lt;91,(Input!D$55-60)/30*D446+D447+D448,IF(Input!D$55&lt;121,(Input!D$55-90)/30*D445+D446+D447+D448,IF(Input!D$55&lt;151,(Input!D$55-120)/30*D444+D445+D446+D447+D448,(Input!D$55-150)/30*D443+D444+D445+D446+D447+D448))))))),0)</f>
        <v>0</v>
      </c>
      <c r="E1083" s="229">
        <f>IF(Years="Five",IF(E$338&gt;$D$33,0,IF(Input!E$55=0,0,IF(Input!E$55&lt;31,Input!E$55/30*E448,IF(Input!E$55&lt;61,(Input!E$55-30)/30*E447+E448,IF(Input!E$55&lt;91,(Input!E$55-60)/30*E446+E447+E448,IF(Input!E$55&lt;121,(Input!E$55-90)/30*E445+E446+E447+E448,IF(Input!E$55&lt;151,(Input!E$55-120)/30*E444+E445+E446+E447+E448,(Input!E$55-150)/30*E443+E444+E445+E446+E447+E448))))))),0)</f>
        <v>0</v>
      </c>
      <c r="F1083" s="229">
        <f>IF(Years="Five",IF(F$338&gt;$D$33,0,IF(Input!F$55=0,0,IF(Input!F$55&lt;31,Input!F$55/30*F448,IF(Input!F$55&lt;61,(Input!F$55-30)/30*F447+F448,IF(Input!F$55&lt;91,(Input!F$55-60)/30*F446+F447+F448,IF(Input!F$55&lt;121,(Input!F$55-90)/30*F445+F446+F447+F448,IF(Input!F$55&lt;151,(Input!F$55-120)/30*F444+F445+F446+F447+F448,(Input!F$55-150)/30*F443+F444+F445+F446+F447+F448))))))),0)</f>
        <v>0</v>
      </c>
      <c r="G1083" s="229">
        <f>IF(Years="Five",IF(G$338&gt;$D$33,0,IF(Input!G$55=0,0,IF(Input!G$55&lt;31,Input!G$55/30*G448,IF(Input!G$55&lt;61,(Input!G$55-30)/30*G447+G448,IF(Input!G$55&lt;91,(Input!G$55-60)/30*G446+G447+G448,IF(Input!G$55&lt;121,(Input!G$55-90)/30*G445+G446+G447+G448,IF(Input!G$55&lt;151,(Input!G$55-120)/30*G444+G445+G446+G447+G448,(Input!G$55-150)/30*G443+G444+G445+G446+G447+G448))))))),0)</f>
        <v>0</v>
      </c>
      <c r="H1083" s="229">
        <f>IF(Years="Five",IF(H$338&gt;$D$33,0,IF(Input!H$55=0,0,IF(Input!H$55&lt;31,Input!H$55/30*H448,IF(Input!H$55&lt;61,(Input!H$55-30)/30*H447+H448,IF(Input!H$55&lt;91,(Input!H$55-60)/30*H446+H447+H448,IF(Input!H$55&lt;121,(Input!H$55-90)/30*H445+H446+H447+H448,IF(Input!H$55&lt;151,(Input!H$55-120)/30*H444+H445+H446+H447+H448,(Input!H$55-150)/30*H443+H444+H445+H446+H447+H448))))))),0)</f>
        <v>0</v>
      </c>
      <c r="I1083" s="229">
        <f>IF(Years="Five",IF(I$338&gt;$D$33,0,IF(Input!I$55=0,0,IF(Input!I$55&lt;31,Input!I$55/30*I448,IF(Input!I$55&lt;61,(Input!I$55-30)/30*I447+I448,IF(Input!I$55&lt;91,(Input!I$55-60)/30*I446+I447+I448,IF(Input!I$55&lt;121,(Input!I$55-90)/30*I445+I446+I447+I448,IF(Input!I$55&lt;151,(Input!I$55-120)/30*I444+I445+I446+I447+I448,(Input!I$55-150)/30*I443+I444+I445+I446+I447+I448))))))),0)</f>
        <v>0</v>
      </c>
      <c r="J1083" s="229">
        <f>IF(Years="Five",IF(J$338&gt;$D$33,0,IF(Input!J$55=0,0,IF(Input!J$55&lt;31,Input!J$55/30*J448,IF(Input!J$55&lt;61,(Input!J$55-30)/30*J447+J448,IF(Input!J$55&lt;91,(Input!J$55-60)/30*J446+J447+J448,IF(Input!J$55&lt;121,(Input!J$55-90)/30*J445+J446+J447+J448,IF(Input!J$55&lt;151,(Input!J$55-120)/30*J444+J445+J446+J447+J448,(Input!J$55-150)/30*J443+J444+J445+J446+J447+J448))))))),0)</f>
        <v>0</v>
      </c>
      <c r="K1083" s="229">
        <f>IF(Years="Five",IF(K$338&gt;$D$33,0,IF(Input!K$55=0,0,IF(Input!K$55&lt;31,Input!K$55/30*K448,IF(Input!K$55&lt;61,(Input!K$55-30)/30*K447+K448,IF(Input!K$55&lt;91,(Input!K$55-60)/30*K446+K447+K448,IF(Input!K$55&lt;121,(Input!K$55-90)/30*K445+K446+K447+K448,IF(Input!K$55&lt;151,(Input!K$55-120)/30*K444+K445+K446+K447+K448,(Input!K$55-150)/30*K443+K444+K445+K446+K447+K448))))))),0)</f>
        <v>0</v>
      </c>
      <c r="L1083" s="229">
        <f>IF(Years="Five",IF(L$338&gt;$D$33,0,IF(Input!L$55=0,0,IF(Input!L$55&lt;31,Input!L$55/30*L448,IF(Input!L$55&lt;61,(Input!L$55-30)/30*L447+L448,IF(Input!L$55&lt;91,(Input!L$55-60)/30*L446+L447+L448,IF(Input!L$55&lt;121,(Input!L$55-90)/30*L445+L446+L447+L448,IF(Input!L$55&lt;151,(Input!L$55-120)/30*L444+L445+L446+L447+L448,(Input!L$55-150)/30*L443+L444+L445+L446+L447+L448))))))),0)</f>
        <v>0</v>
      </c>
      <c r="M1083" s="229">
        <f>IF(Years="Five",IF(M$338&gt;$D$33,0,IF(Input!M$55=0,0,IF(Input!M$55&lt;31,Input!M$55/30*M448,IF(Input!M$55&lt;61,(Input!M$55-30)/30*M447+M448,IF(Input!M$55&lt;91,(Input!M$55-60)/30*M446+M447+M448,IF(Input!M$55&lt;121,(Input!M$55-90)/30*M445+M446+M447+M448,IF(Input!M$55&lt;151,(Input!M$55-120)/30*M444+M445+M446+M447+M448,(Input!M$55-150)/30*M443+M444+M445+M446+M447+M448))))))),0)</f>
        <v>0</v>
      </c>
      <c r="N1083" s="229">
        <f>IF(Years="Five",IF(N$338&gt;$D$33,0,IF(Input!N$55=0,0,IF(Input!N$55&lt;31,Input!N$55/30*N448,IF(Input!N$55&lt;61,(Input!N$55-30)/30*N447+N448,IF(Input!N$55&lt;91,(Input!N$55-60)/30*N446+N447+N448,IF(Input!N$55&lt;121,(Input!N$55-90)/30*N445+N446+N447+N448,IF(Input!N$55&lt;151,(Input!N$55-120)/30*N444+N445+N446+N447+N448,(Input!N$55-150)/30*N443+N444+N445+N446+N447+N448))))))),0)</f>
        <v>0</v>
      </c>
      <c r="O1083" s="229">
        <f>IF(Years="Five",IF(O$338&gt;$D$33,0,IF(Input!O$55=0,0,IF(Input!O$55&lt;31,Input!O$55/30*O448,IF(Input!O$55&lt;61,(Input!O$55-30)/30*O447+O448,IF(Input!O$55&lt;91,(Input!O$55-60)/30*O446+O447+O448,IF(Input!O$55&lt;121,(Input!O$55-90)/30*O445+O446+O447+O448,IF(Input!O$55&lt;151,(Input!O$55-120)/30*O444+O445+O446+O447+O448,(Input!O$55-150)/30*O443+O444+O445+O446+O447+O448))))))),0)</f>
        <v>0</v>
      </c>
      <c r="P1083" s="229">
        <f>IF(Years="Five",IF(P$338&gt;$D$33,0,IF(Input!P$55=0,0,IF(Input!P$55&lt;31,Input!P$55/30*P448,IF(Input!P$55&lt;61,(Input!P$55-30)/30*P447+P448,IF(Input!P$55&lt;91,(Input!P$55-60)/30*P446+P447+P448,IF(Input!P$55&lt;121,(Input!P$55-90)/30*P445+P446+P447+P448,IF(Input!P$55&lt;151,(Input!P$55-120)/30*P444+P445+P446+P447+P448,(Input!P$55-150)/30*P443+P444+P445+P446+P447+P448))))))),0)</f>
        <v>0</v>
      </c>
      <c r="Q1083" s="229">
        <f>IF(Years="Five",IF(Q$338&gt;$D$33,0,IF(Input!Q$55=0,0,IF(Input!Q$55&lt;31,Input!Q$55/30*Q448,IF(Input!Q$55&lt;61,(Input!Q$55-30)/30*Q447+Q448,IF(Input!Q$55&lt;91,(Input!Q$55-60)/30*Q446+Q447+Q448,IF(Input!Q$55&lt;121,(Input!Q$55-90)/30*Q445+Q446+Q447+Q448,IF(Input!Q$55&lt;151,(Input!Q$55-120)/30*Q444+Q445+Q446+Q447+Q448,(Input!Q$55-150)/30*Q443+Q444+Q445+Q446+Q447+Q448))))))),0)</f>
        <v>0</v>
      </c>
      <c r="R1083" s="229">
        <f>IF(Years="Five",IF(R$338&gt;$D$33,0,IF(Input!R$55=0,0,IF(Input!R$55&lt;31,Input!R$55/30*R448,IF(Input!R$55&lt;61,(Input!R$55-30)/30*R447+R448,IF(Input!R$55&lt;91,(Input!R$55-60)/30*R446+R447+R448,IF(Input!R$55&lt;121,(Input!R$55-90)/30*R445+R446+R447+R448,IF(Input!R$55&lt;151,(Input!R$55-120)/30*R444+R445+R446+R447+R448,(Input!R$55-150)/30*R443+R444+R445+R446+R447+R448))))))),0)</f>
        <v>0</v>
      </c>
      <c r="S1083" s="229">
        <f>IF(Years="Five",IF(S$338&gt;$D$33,0,IF(Input!S$55=0,0,IF(Input!S$55&lt;31,Input!S$55/30*S448,IF(Input!S$55&lt;61,(Input!S$55-30)/30*S447+S448,IF(Input!S$55&lt;91,(Input!S$55-60)/30*S446+S447+S448,IF(Input!S$55&lt;121,(Input!S$55-90)/30*S445+S446+S447+S448,IF(Input!S$55&lt;151,(Input!S$55-120)/30*S444+S445+S446+S447+S448,(Input!S$55-150)/30*S443+S444+S445+S446+S447+S448))))))),0)</f>
        <v>0</v>
      </c>
      <c r="T1083" s="229">
        <f>IF(Years="Five",IF(T$338&gt;$D$33,0,IF(Input!T$55=0,0,IF(Input!T$55&lt;31,Input!T$55/30*T448,IF(Input!T$55&lt;61,(Input!T$55-30)/30*T447+T448,IF(Input!T$55&lt;91,(Input!T$55-60)/30*T446+T447+T448,IF(Input!T$55&lt;121,(Input!T$55-90)/30*T445+T446+T447+T448,IF(Input!T$55&lt;151,(Input!T$55-120)/30*T444+T445+T446+T447+T448,(Input!T$55-150)/30*T443+T444+T445+T446+T447+T448))))))),0)</f>
        <v>0</v>
      </c>
      <c r="U1083" s="229">
        <f>IF(Years="Five",IF(U$338&gt;$D$33,0,IF(Input!U$55=0,0,IF(Input!U$55&lt;31,Input!U$55/30*U448,IF(Input!U$55&lt;61,(Input!U$55-30)/30*U447+U448,IF(Input!U$55&lt;91,(Input!U$55-60)/30*U446+U447+U448,IF(Input!U$55&lt;121,(Input!U$55-90)/30*U445+U446+U447+U448,IF(Input!U$55&lt;151,(Input!U$55-120)/30*U444+U445+U446+U447+U448,(Input!U$55-150)/30*U443+U444+U445+U446+U447+U448))))))),0)</f>
        <v>0</v>
      </c>
      <c r="V1083" s="229">
        <f>IF(Years="Five",IF(V$338&gt;$D$33,0,IF(Input!V$55=0,0,IF(Input!V$55&lt;31,Input!V$55/30*V448,IF(Input!V$55&lt;61,(Input!V$55-30)/30*V447+V448,IF(Input!V$55&lt;91,(Input!V$55-60)/30*V446+V447+V448,IF(Input!V$55&lt;121,(Input!V$55-90)/30*V445+V446+V447+V448,IF(Input!V$55&lt;151,(Input!V$55-120)/30*V444+V445+V446+V447+V448,(Input!V$55-150)/30*V443+V444+V445+V446+V447+V448))))))),0)</f>
        <v>0</v>
      </c>
      <c r="W1083" s="229">
        <f>IF(Years="Five",IF(W$338&gt;$D$33,0,IF(Input!W$55=0,0,IF(Input!W$55&lt;31,Input!W$55/30*W448,IF(Input!W$55&lt;61,(Input!W$55-30)/30*W447+W448,IF(Input!W$55&lt;91,(Input!W$55-60)/30*W446+W447+W448,IF(Input!W$55&lt;121,(Input!W$55-90)/30*W445+W446+W447+W448,IF(Input!W$55&lt;151,(Input!W$55-120)/30*W444+W445+W446+W447+W448,(Input!W$55-150)/30*W443+W444+W445+W446+W447+W448))))))),0)</f>
        <v>0</v>
      </c>
      <c r="X1083" s="229">
        <f>IF(Years="Five",IF(X$338&gt;$D$33,0,IF(Input!X$55=0,0,IF(Input!X$55&lt;31,Input!X$55/30*X448,IF(Input!X$55&lt;61,(Input!X$55-30)/30*X447+X448,IF(Input!X$55&lt;91,(Input!X$55-60)/30*X446+X447+X448,IF(Input!X$55&lt;121,(Input!X$55-90)/30*X445+X446+X447+X448,IF(Input!X$55&lt;151,(Input!X$55-120)/30*X444+X445+X446+X447+X448,(Input!X$55-150)/30*X443+X444+X445+X446+X447+X448))))))),0)</f>
        <v>0</v>
      </c>
      <c r="Y1083" s="229">
        <f>IF(Years="Five",IF(Y$338&gt;$D$33,0,IF(Input!Y$55=0,0,IF(Input!Y$55&lt;31,Input!Y$55/30*Y448,IF(Input!Y$55&lt;61,(Input!Y$55-30)/30*Y447+Y448,IF(Input!Y$55&lt;91,(Input!Y$55-60)/30*Y446+Y447+Y448,IF(Input!Y$55&lt;121,(Input!Y$55-90)/30*Y445+Y446+Y447+Y448,IF(Input!Y$55&lt;151,(Input!Y$55-120)/30*Y444+Y445+Y446+Y447+Y448,(Input!Y$55-150)/30*Y443+Y444+Y445+Y446+Y447+Y448))))))),0)</f>
        <v>0</v>
      </c>
      <c r="Z1083" s="229">
        <f>IF(Years="Five",IF(Z$338&gt;$D$33,0,IF(Input!Z$55=0,0,IF(Input!Z$55&lt;31,Input!Z$55/30*Z448,IF(Input!Z$55&lt;61,(Input!Z$55-30)/30*Z447+Z448,IF(Input!Z$55&lt;91,(Input!Z$55-60)/30*Z446+Z447+Z448,IF(Input!Z$55&lt;121,(Input!Z$55-90)/30*Z445+Z446+Z447+Z448,IF(Input!Z$55&lt;151,(Input!Z$55-120)/30*Z444+Z445+Z446+Z447+Z448,(Input!Z$55-150)/30*Z443+Z444+Z445+Z446+Z447+Z448))))))),0)</f>
        <v>0</v>
      </c>
      <c r="AA1083" s="229">
        <f>IF(Years="Five",IF(AA$338&gt;$D$33,0,IF(Input!AA$55=0,0,IF(Input!AA$55&lt;31,Input!AA$55/30*AA448,IF(Input!AA$55&lt;61,(Input!AA$55-30)/30*AA447+AA448,IF(Input!AA$55&lt;91,(Input!AA$55-60)/30*AA446+AA447+AA448,IF(Input!AA$55&lt;121,(Input!AA$55-90)/30*AA445+AA446+AA447+AA448,IF(Input!AA$55&lt;151,(Input!AA$55-120)/30*AA444+AA445+AA446+AA447+AA448,(Input!AA$55-150)/30*AA443+AA444+AA445+AA446+AA447+AA448))))))),0)</f>
        <v>0</v>
      </c>
      <c r="AB1083" s="298">
        <f>IF(Years="Five",IF(AB$338&gt;$D$33,0,IF(Input!AB$55=0,0,IF(Input!AB$55&lt;31,Input!AB$55/30*AB448,IF(Input!AB$55&lt;61,(Input!AB$55-30)/30*AB447+AB448,IF(Input!AB$55&lt;91,(Input!AB$55-60)/30*AB446+AB447+AB448,IF(Input!AB$55&lt;121,(Input!AB$55-90)/30*AB445+AB446+AB447+AB448,IF(Input!AB$55&lt;151,(Input!AB$55-120)/30*AB444+AB445+AB446+AB447+AB448,(Input!AB$55-150)/30*AB443+AB444+AB445+AB446+AB447+AB448))))))),0)</f>
        <v>0</v>
      </c>
      <c r="CH1083" s="269"/>
      <c r="CI1083" s="269"/>
      <c r="CJ1083" s="269"/>
      <c r="CK1083" s="269"/>
      <c r="CL1083" s="269"/>
      <c r="CM1083" s="269"/>
      <c r="CN1083" s="269"/>
      <c r="CO1083" s="269"/>
      <c r="CP1083" s="269"/>
      <c r="CQ1083" s="269"/>
      <c r="CR1083" s="269"/>
      <c r="CS1083" s="269"/>
    </row>
    <row r="1084" spans="3:97" x14ac:dyDescent="0.3">
      <c r="C1084" s="638">
        <f>C1021</f>
        <v>1216</v>
      </c>
      <c r="D1084" s="297">
        <f>IF(Years="Five",IF(D$338&gt;$D$33,0,IF(Input!D$55=0,0,IF(Input!D$55&lt;31,Input!D$55/30*D449,IF(Input!D$55&lt;61,(Input!D$55-30)/30*D448+D449,IF(Input!D$55&lt;91,(Input!D$55-60)/30*D447+D448+D449,IF(Input!D$55&lt;121,(Input!D$55-90)/30*D446+D447+D448+D449,IF(Input!D$55&lt;151,(Input!D$55-120)/30*D445+D446+D447+D448+D449,(Input!D$55-150)/30*D444+D445+D446+D447+D448+D449))))))),0)</f>
        <v>0</v>
      </c>
      <c r="E1084" s="229">
        <f>IF(Years="Five",IF(E$338&gt;$D$33,0,IF(Input!E$55=0,0,IF(Input!E$55&lt;31,Input!E$55/30*E449,IF(Input!E$55&lt;61,(Input!E$55-30)/30*E448+E449,IF(Input!E$55&lt;91,(Input!E$55-60)/30*E447+E448+E449,IF(Input!E$55&lt;121,(Input!E$55-90)/30*E446+E447+E448+E449,IF(Input!E$55&lt;151,(Input!E$55-120)/30*E445+E446+E447+E448+E449,(Input!E$55-150)/30*E444+E445+E446+E447+E448+E449))))))),0)</f>
        <v>0</v>
      </c>
      <c r="F1084" s="229">
        <f>IF(Years="Five",IF(F$338&gt;$D$33,0,IF(Input!F$55=0,0,IF(Input!F$55&lt;31,Input!F$55/30*F449,IF(Input!F$55&lt;61,(Input!F$55-30)/30*F448+F449,IF(Input!F$55&lt;91,(Input!F$55-60)/30*F447+F448+F449,IF(Input!F$55&lt;121,(Input!F$55-90)/30*F446+F447+F448+F449,IF(Input!F$55&lt;151,(Input!F$55-120)/30*F445+F446+F447+F448+F449,(Input!F$55-150)/30*F444+F445+F446+F447+F448+F449))))))),0)</f>
        <v>0</v>
      </c>
      <c r="G1084" s="229">
        <f>IF(Years="Five",IF(G$338&gt;$D$33,0,IF(Input!G$55=0,0,IF(Input!G$55&lt;31,Input!G$55/30*G449,IF(Input!G$55&lt;61,(Input!G$55-30)/30*G448+G449,IF(Input!G$55&lt;91,(Input!G$55-60)/30*G447+G448+G449,IF(Input!G$55&lt;121,(Input!G$55-90)/30*G446+G447+G448+G449,IF(Input!G$55&lt;151,(Input!G$55-120)/30*G445+G446+G447+G448+G449,(Input!G$55-150)/30*G444+G445+G446+G447+G448+G449))))))),0)</f>
        <v>0</v>
      </c>
      <c r="H1084" s="229">
        <f>IF(Years="Five",IF(H$338&gt;$D$33,0,IF(Input!H$55=0,0,IF(Input!H$55&lt;31,Input!H$55/30*H449,IF(Input!H$55&lt;61,(Input!H$55-30)/30*H448+H449,IF(Input!H$55&lt;91,(Input!H$55-60)/30*H447+H448+H449,IF(Input!H$55&lt;121,(Input!H$55-90)/30*H446+H447+H448+H449,IF(Input!H$55&lt;151,(Input!H$55-120)/30*H445+H446+H447+H448+H449,(Input!H$55-150)/30*H444+H445+H446+H447+H448+H449))))))),0)</f>
        <v>0</v>
      </c>
      <c r="I1084" s="229">
        <f>IF(Years="Five",IF(I$338&gt;$D$33,0,IF(Input!I$55=0,0,IF(Input!I$55&lt;31,Input!I$55/30*I449,IF(Input!I$55&lt;61,(Input!I$55-30)/30*I448+I449,IF(Input!I$55&lt;91,(Input!I$55-60)/30*I447+I448+I449,IF(Input!I$55&lt;121,(Input!I$55-90)/30*I446+I447+I448+I449,IF(Input!I$55&lt;151,(Input!I$55-120)/30*I445+I446+I447+I448+I449,(Input!I$55-150)/30*I444+I445+I446+I447+I448+I449))))))),0)</f>
        <v>0</v>
      </c>
      <c r="J1084" s="229">
        <f>IF(Years="Five",IF(J$338&gt;$D$33,0,IF(Input!J$55=0,0,IF(Input!J$55&lt;31,Input!J$55/30*J449,IF(Input!J$55&lt;61,(Input!J$55-30)/30*J448+J449,IF(Input!J$55&lt;91,(Input!J$55-60)/30*J447+J448+J449,IF(Input!J$55&lt;121,(Input!J$55-90)/30*J446+J447+J448+J449,IF(Input!J$55&lt;151,(Input!J$55-120)/30*J445+J446+J447+J448+J449,(Input!J$55-150)/30*J444+J445+J446+J447+J448+J449))))))),0)</f>
        <v>0</v>
      </c>
      <c r="K1084" s="229">
        <f>IF(Years="Five",IF(K$338&gt;$D$33,0,IF(Input!K$55=0,0,IF(Input!K$55&lt;31,Input!K$55/30*K449,IF(Input!K$55&lt;61,(Input!K$55-30)/30*K448+K449,IF(Input!K$55&lt;91,(Input!K$55-60)/30*K447+K448+K449,IF(Input!K$55&lt;121,(Input!K$55-90)/30*K446+K447+K448+K449,IF(Input!K$55&lt;151,(Input!K$55-120)/30*K445+K446+K447+K448+K449,(Input!K$55-150)/30*K444+K445+K446+K447+K448+K449))))))),0)</f>
        <v>0</v>
      </c>
      <c r="L1084" s="229">
        <f>IF(Years="Five",IF(L$338&gt;$D$33,0,IF(Input!L$55=0,0,IF(Input!L$55&lt;31,Input!L$55/30*L449,IF(Input!L$55&lt;61,(Input!L$55-30)/30*L448+L449,IF(Input!L$55&lt;91,(Input!L$55-60)/30*L447+L448+L449,IF(Input!L$55&lt;121,(Input!L$55-90)/30*L446+L447+L448+L449,IF(Input!L$55&lt;151,(Input!L$55-120)/30*L445+L446+L447+L448+L449,(Input!L$55-150)/30*L444+L445+L446+L447+L448+L449))))))),0)</f>
        <v>0</v>
      </c>
      <c r="M1084" s="229">
        <f>IF(Years="Five",IF(M$338&gt;$D$33,0,IF(Input!M$55=0,0,IF(Input!M$55&lt;31,Input!M$55/30*M449,IF(Input!M$55&lt;61,(Input!M$55-30)/30*M448+M449,IF(Input!M$55&lt;91,(Input!M$55-60)/30*M447+M448+M449,IF(Input!M$55&lt;121,(Input!M$55-90)/30*M446+M447+M448+M449,IF(Input!M$55&lt;151,(Input!M$55-120)/30*M445+M446+M447+M448+M449,(Input!M$55-150)/30*M444+M445+M446+M447+M448+M449))))))),0)</f>
        <v>0</v>
      </c>
      <c r="N1084" s="229">
        <f>IF(Years="Five",IF(N$338&gt;$D$33,0,IF(Input!N$55=0,0,IF(Input!N$55&lt;31,Input!N$55/30*N449,IF(Input!N$55&lt;61,(Input!N$55-30)/30*N448+N449,IF(Input!N$55&lt;91,(Input!N$55-60)/30*N447+N448+N449,IF(Input!N$55&lt;121,(Input!N$55-90)/30*N446+N447+N448+N449,IF(Input!N$55&lt;151,(Input!N$55-120)/30*N445+N446+N447+N448+N449,(Input!N$55-150)/30*N444+N445+N446+N447+N448+N449))))))),0)</f>
        <v>0</v>
      </c>
      <c r="O1084" s="229">
        <f>IF(Years="Five",IF(O$338&gt;$D$33,0,IF(Input!O$55=0,0,IF(Input!O$55&lt;31,Input!O$55/30*O449,IF(Input!O$55&lt;61,(Input!O$55-30)/30*O448+O449,IF(Input!O$55&lt;91,(Input!O$55-60)/30*O447+O448+O449,IF(Input!O$55&lt;121,(Input!O$55-90)/30*O446+O447+O448+O449,IF(Input!O$55&lt;151,(Input!O$55-120)/30*O445+O446+O447+O448+O449,(Input!O$55-150)/30*O444+O445+O446+O447+O448+O449))))))),0)</f>
        <v>0</v>
      </c>
      <c r="P1084" s="229">
        <f>IF(Years="Five",IF(P$338&gt;$D$33,0,IF(Input!P$55=0,0,IF(Input!P$55&lt;31,Input!P$55/30*P449,IF(Input!P$55&lt;61,(Input!P$55-30)/30*P448+P449,IF(Input!P$55&lt;91,(Input!P$55-60)/30*P447+P448+P449,IF(Input!P$55&lt;121,(Input!P$55-90)/30*P446+P447+P448+P449,IF(Input!P$55&lt;151,(Input!P$55-120)/30*P445+P446+P447+P448+P449,(Input!P$55-150)/30*P444+P445+P446+P447+P448+P449))))))),0)</f>
        <v>0</v>
      </c>
      <c r="Q1084" s="229">
        <f>IF(Years="Five",IF(Q$338&gt;$D$33,0,IF(Input!Q$55=0,0,IF(Input!Q$55&lt;31,Input!Q$55/30*Q449,IF(Input!Q$55&lt;61,(Input!Q$55-30)/30*Q448+Q449,IF(Input!Q$55&lt;91,(Input!Q$55-60)/30*Q447+Q448+Q449,IF(Input!Q$55&lt;121,(Input!Q$55-90)/30*Q446+Q447+Q448+Q449,IF(Input!Q$55&lt;151,(Input!Q$55-120)/30*Q445+Q446+Q447+Q448+Q449,(Input!Q$55-150)/30*Q444+Q445+Q446+Q447+Q448+Q449))))))),0)</f>
        <v>0</v>
      </c>
      <c r="R1084" s="229">
        <f>IF(Years="Five",IF(R$338&gt;$D$33,0,IF(Input!R$55=0,0,IF(Input!R$55&lt;31,Input!R$55/30*R449,IF(Input!R$55&lt;61,(Input!R$55-30)/30*R448+R449,IF(Input!R$55&lt;91,(Input!R$55-60)/30*R447+R448+R449,IF(Input!R$55&lt;121,(Input!R$55-90)/30*R446+R447+R448+R449,IF(Input!R$55&lt;151,(Input!R$55-120)/30*R445+R446+R447+R448+R449,(Input!R$55-150)/30*R444+R445+R446+R447+R448+R449))))))),0)</f>
        <v>0</v>
      </c>
      <c r="S1084" s="229">
        <f>IF(Years="Five",IF(S$338&gt;$D$33,0,IF(Input!S$55=0,0,IF(Input!S$55&lt;31,Input!S$55/30*S449,IF(Input!S$55&lt;61,(Input!S$55-30)/30*S448+S449,IF(Input!S$55&lt;91,(Input!S$55-60)/30*S447+S448+S449,IF(Input!S$55&lt;121,(Input!S$55-90)/30*S446+S447+S448+S449,IF(Input!S$55&lt;151,(Input!S$55-120)/30*S445+S446+S447+S448+S449,(Input!S$55-150)/30*S444+S445+S446+S447+S448+S449))))))),0)</f>
        <v>0</v>
      </c>
      <c r="T1084" s="229">
        <f>IF(Years="Five",IF(T$338&gt;$D$33,0,IF(Input!T$55=0,0,IF(Input!T$55&lt;31,Input!T$55/30*T449,IF(Input!T$55&lt;61,(Input!T$55-30)/30*T448+T449,IF(Input!T$55&lt;91,(Input!T$55-60)/30*T447+T448+T449,IF(Input!T$55&lt;121,(Input!T$55-90)/30*T446+T447+T448+T449,IF(Input!T$55&lt;151,(Input!T$55-120)/30*T445+T446+T447+T448+T449,(Input!T$55-150)/30*T444+T445+T446+T447+T448+T449))))))),0)</f>
        <v>0</v>
      </c>
      <c r="U1084" s="229">
        <f>IF(Years="Five",IF(U$338&gt;$D$33,0,IF(Input!U$55=0,0,IF(Input!U$55&lt;31,Input!U$55/30*U449,IF(Input!U$55&lt;61,(Input!U$55-30)/30*U448+U449,IF(Input!U$55&lt;91,(Input!U$55-60)/30*U447+U448+U449,IF(Input!U$55&lt;121,(Input!U$55-90)/30*U446+U447+U448+U449,IF(Input!U$55&lt;151,(Input!U$55-120)/30*U445+U446+U447+U448+U449,(Input!U$55-150)/30*U444+U445+U446+U447+U448+U449))))))),0)</f>
        <v>0</v>
      </c>
      <c r="V1084" s="229">
        <f>IF(Years="Five",IF(V$338&gt;$D$33,0,IF(Input!V$55=0,0,IF(Input!V$55&lt;31,Input!V$55/30*V449,IF(Input!V$55&lt;61,(Input!V$55-30)/30*V448+V449,IF(Input!V$55&lt;91,(Input!V$55-60)/30*V447+V448+V449,IF(Input!V$55&lt;121,(Input!V$55-90)/30*V446+V447+V448+V449,IF(Input!V$55&lt;151,(Input!V$55-120)/30*V445+V446+V447+V448+V449,(Input!V$55-150)/30*V444+V445+V446+V447+V448+V449))))))),0)</f>
        <v>0</v>
      </c>
      <c r="W1084" s="229">
        <f>IF(Years="Five",IF(W$338&gt;$D$33,0,IF(Input!W$55=0,0,IF(Input!W$55&lt;31,Input!W$55/30*W449,IF(Input!W$55&lt;61,(Input!W$55-30)/30*W448+W449,IF(Input!W$55&lt;91,(Input!W$55-60)/30*W447+W448+W449,IF(Input!W$55&lt;121,(Input!W$55-90)/30*W446+W447+W448+W449,IF(Input!W$55&lt;151,(Input!W$55-120)/30*W445+W446+W447+W448+W449,(Input!W$55-150)/30*W444+W445+W446+W447+W448+W449))))))),0)</f>
        <v>0</v>
      </c>
      <c r="X1084" s="229">
        <f>IF(Years="Five",IF(X$338&gt;$D$33,0,IF(Input!X$55=0,0,IF(Input!X$55&lt;31,Input!X$55/30*X449,IF(Input!X$55&lt;61,(Input!X$55-30)/30*X448+X449,IF(Input!X$55&lt;91,(Input!X$55-60)/30*X447+X448+X449,IF(Input!X$55&lt;121,(Input!X$55-90)/30*X446+X447+X448+X449,IF(Input!X$55&lt;151,(Input!X$55-120)/30*X445+X446+X447+X448+X449,(Input!X$55-150)/30*X444+X445+X446+X447+X448+X449))))))),0)</f>
        <v>0</v>
      </c>
      <c r="Y1084" s="229">
        <f>IF(Years="Five",IF(Y$338&gt;$D$33,0,IF(Input!Y$55=0,0,IF(Input!Y$55&lt;31,Input!Y$55/30*Y449,IF(Input!Y$55&lt;61,(Input!Y$55-30)/30*Y448+Y449,IF(Input!Y$55&lt;91,(Input!Y$55-60)/30*Y447+Y448+Y449,IF(Input!Y$55&lt;121,(Input!Y$55-90)/30*Y446+Y447+Y448+Y449,IF(Input!Y$55&lt;151,(Input!Y$55-120)/30*Y445+Y446+Y447+Y448+Y449,(Input!Y$55-150)/30*Y444+Y445+Y446+Y447+Y448+Y449))))))),0)</f>
        <v>0</v>
      </c>
      <c r="Z1084" s="229">
        <f>IF(Years="Five",IF(Z$338&gt;$D$33,0,IF(Input!Z$55=0,0,IF(Input!Z$55&lt;31,Input!Z$55/30*Z449,IF(Input!Z$55&lt;61,(Input!Z$55-30)/30*Z448+Z449,IF(Input!Z$55&lt;91,(Input!Z$55-60)/30*Z447+Z448+Z449,IF(Input!Z$55&lt;121,(Input!Z$55-90)/30*Z446+Z447+Z448+Z449,IF(Input!Z$55&lt;151,(Input!Z$55-120)/30*Z445+Z446+Z447+Z448+Z449,(Input!Z$55-150)/30*Z444+Z445+Z446+Z447+Z448+Z449))))))),0)</f>
        <v>0</v>
      </c>
      <c r="AA1084" s="229">
        <f>IF(Years="Five",IF(AA$338&gt;$D$33,0,IF(Input!AA$55=0,0,IF(Input!AA$55&lt;31,Input!AA$55/30*AA449,IF(Input!AA$55&lt;61,(Input!AA$55-30)/30*AA448+AA449,IF(Input!AA$55&lt;91,(Input!AA$55-60)/30*AA447+AA448+AA449,IF(Input!AA$55&lt;121,(Input!AA$55-90)/30*AA446+AA447+AA448+AA449,IF(Input!AA$55&lt;151,(Input!AA$55-120)/30*AA445+AA446+AA447+AA448+AA449,(Input!AA$55-150)/30*AA444+AA445+AA446+AA447+AA448+AA449))))))),0)</f>
        <v>0</v>
      </c>
      <c r="AB1084" s="298">
        <f>IF(Years="Five",IF(AB$338&gt;$D$33,0,IF(Input!AB$55=0,0,IF(Input!AB$55&lt;31,Input!AB$55/30*AB449,IF(Input!AB$55&lt;61,(Input!AB$55-30)/30*AB448+AB449,IF(Input!AB$55&lt;91,(Input!AB$55-60)/30*AB447+AB448+AB449,IF(Input!AB$55&lt;121,(Input!AB$55-90)/30*AB446+AB447+AB448+AB449,IF(Input!AB$55&lt;151,(Input!AB$55-120)/30*AB445+AB446+AB447+AB448+AB449,(Input!AB$55-150)/30*AB444+AB445+AB446+AB447+AB448+AB449))))))),0)</f>
        <v>0</v>
      </c>
      <c r="CH1084" s="269"/>
      <c r="CI1084" s="269"/>
      <c r="CJ1084" s="269"/>
      <c r="CK1084" s="269"/>
      <c r="CL1084" s="269"/>
      <c r="CM1084" s="269"/>
      <c r="CN1084" s="269"/>
      <c r="CO1084" s="269"/>
      <c r="CP1084" s="269"/>
      <c r="CQ1084" s="269"/>
      <c r="CR1084" s="269"/>
      <c r="CS1084" s="269"/>
    </row>
    <row r="1085" spans="3:97" x14ac:dyDescent="0.3">
      <c r="C1085" s="638">
        <f>C1022</f>
        <v>1247</v>
      </c>
      <c r="D1085" s="297">
        <f>IF(Years="Five",IF(D$338&gt;$D$33,0,IF(Input!D$55=0,0,IF(Input!D$55&lt;31,Input!D$55/30*D450,IF(Input!D$55&lt;61,(Input!D$55-30)/30*D449+D450,IF(Input!D$55&lt;91,(Input!D$55-60)/30*D448+D449+D450,IF(Input!D$55&lt;121,(Input!D$55-90)/30*D447+D448+D449+D450,IF(Input!D$55&lt;151,(Input!D$55-120)/30*D446+D447+D448+D449+D450,(Input!D$55-150)/30*D445+D446+D447+D448+D449+D450))))))),0)</f>
        <v>0</v>
      </c>
      <c r="E1085" s="229">
        <f>IF(Years="Five",IF(E$338&gt;$D$33,0,IF(Input!E$55=0,0,IF(Input!E$55&lt;31,Input!E$55/30*E450,IF(Input!E$55&lt;61,(Input!E$55-30)/30*E449+E450,IF(Input!E$55&lt;91,(Input!E$55-60)/30*E448+E449+E450,IF(Input!E$55&lt;121,(Input!E$55-90)/30*E447+E448+E449+E450,IF(Input!E$55&lt;151,(Input!E$55-120)/30*E446+E447+E448+E449+E450,(Input!E$55-150)/30*E445+E446+E447+E448+E449+E450))))))),0)</f>
        <v>0</v>
      </c>
      <c r="F1085" s="229">
        <f>IF(Years="Five",IF(F$338&gt;$D$33,0,IF(Input!F$55=0,0,IF(Input!F$55&lt;31,Input!F$55/30*F450,IF(Input!F$55&lt;61,(Input!F$55-30)/30*F449+F450,IF(Input!F$55&lt;91,(Input!F$55-60)/30*F448+F449+F450,IF(Input!F$55&lt;121,(Input!F$55-90)/30*F447+F448+F449+F450,IF(Input!F$55&lt;151,(Input!F$55-120)/30*F446+F447+F448+F449+F450,(Input!F$55-150)/30*F445+F446+F447+F448+F449+F450))))))),0)</f>
        <v>0</v>
      </c>
      <c r="G1085" s="229">
        <f>IF(Years="Five",IF(G$338&gt;$D$33,0,IF(Input!G$55=0,0,IF(Input!G$55&lt;31,Input!G$55/30*G450,IF(Input!G$55&lt;61,(Input!G$55-30)/30*G449+G450,IF(Input!G$55&lt;91,(Input!G$55-60)/30*G448+G449+G450,IF(Input!G$55&lt;121,(Input!G$55-90)/30*G447+G448+G449+G450,IF(Input!G$55&lt;151,(Input!G$55-120)/30*G446+G447+G448+G449+G450,(Input!G$55-150)/30*G445+G446+G447+G448+G449+G450))))))),0)</f>
        <v>0</v>
      </c>
      <c r="H1085" s="229">
        <f>IF(Years="Five",IF(H$338&gt;$D$33,0,IF(Input!H$55=0,0,IF(Input!H$55&lt;31,Input!H$55/30*H450,IF(Input!H$55&lt;61,(Input!H$55-30)/30*H449+H450,IF(Input!H$55&lt;91,(Input!H$55-60)/30*H448+H449+H450,IF(Input!H$55&lt;121,(Input!H$55-90)/30*H447+H448+H449+H450,IF(Input!H$55&lt;151,(Input!H$55-120)/30*H446+H447+H448+H449+H450,(Input!H$55-150)/30*H445+H446+H447+H448+H449+H450))))))),0)</f>
        <v>0</v>
      </c>
      <c r="I1085" s="229">
        <f>IF(Years="Five",IF(I$338&gt;$D$33,0,IF(Input!I$55=0,0,IF(Input!I$55&lt;31,Input!I$55/30*I450,IF(Input!I$55&lt;61,(Input!I$55-30)/30*I449+I450,IF(Input!I$55&lt;91,(Input!I$55-60)/30*I448+I449+I450,IF(Input!I$55&lt;121,(Input!I$55-90)/30*I447+I448+I449+I450,IF(Input!I$55&lt;151,(Input!I$55-120)/30*I446+I447+I448+I449+I450,(Input!I$55-150)/30*I445+I446+I447+I448+I449+I450))))))),0)</f>
        <v>0</v>
      </c>
      <c r="J1085" s="229">
        <f>IF(Years="Five",IF(J$338&gt;$D$33,0,IF(Input!J$55=0,0,IF(Input!J$55&lt;31,Input!J$55/30*J450,IF(Input!J$55&lt;61,(Input!J$55-30)/30*J449+J450,IF(Input!J$55&lt;91,(Input!J$55-60)/30*J448+J449+J450,IF(Input!J$55&lt;121,(Input!J$55-90)/30*J447+J448+J449+J450,IF(Input!J$55&lt;151,(Input!J$55-120)/30*J446+J447+J448+J449+J450,(Input!J$55-150)/30*J445+J446+J447+J448+J449+J450))))))),0)</f>
        <v>0</v>
      </c>
      <c r="K1085" s="229">
        <f>IF(Years="Five",IF(K$338&gt;$D$33,0,IF(Input!K$55=0,0,IF(Input!K$55&lt;31,Input!K$55/30*K450,IF(Input!K$55&lt;61,(Input!K$55-30)/30*K449+K450,IF(Input!K$55&lt;91,(Input!K$55-60)/30*K448+K449+K450,IF(Input!K$55&lt;121,(Input!K$55-90)/30*K447+K448+K449+K450,IF(Input!K$55&lt;151,(Input!K$55-120)/30*K446+K447+K448+K449+K450,(Input!K$55-150)/30*K445+K446+K447+K448+K449+K450))))))),0)</f>
        <v>0</v>
      </c>
      <c r="L1085" s="229">
        <f>IF(Years="Five",IF(L$338&gt;$D$33,0,IF(Input!L$55=0,0,IF(Input!L$55&lt;31,Input!L$55/30*L450,IF(Input!L$55&lt;61,(Input!L$55-30)/30*L449+L450,IF(Input!L$55&lt;91,(Input!L$55-60)/30*L448+L449+L450,IF(Input!L$55&lt;121,(Input!L$55-90)/30*L447+L448+L449+L450,IF(Input!L$55&lt;151,(Input!L$55-120)/30*L446+L447+L448+L449+L450,(Input!L$55-150)/30*L445+L446+L447+L448+L449+L450))))))),0)</f>
        <v>0</v>
      </c>
      <c r="M1085" s="229">
        <f>IF(Years="Five",IF(M$338&gt;$D$33,0,IF(Input!M$55=0,0,IF(Input!M$55&lt;31,Input!M$55/30*M450,IF(Input!M$55&lt;61,(Input!M$55-30)/30*M449+M450,IF(Input!M$55&lt;91,(Input!M$55-60)/30*M448+M449+M450,IF(Input!M$55&lt;121,(Input!M$55-90)/30*M447+M448+M449+M450,IF(Input!M$55&lt;151,(Input!M$55-120)/30*M446+M447+M448+M449+M450,(Input!M$55-150)/30*M445+M446+M447+M448+M449+M450))))))),0)</f>
        <v>0</v>
      </c>
      <c r="N1085" s="229">
        <f>IF(Years="Five",IF(N$338&gt;$D$33,0,IF(Input!N$55=0,0,IF(Input!N$55&lt;31,Input!N$55/30*N450,IF(Input!N$55&lt;61,(Input!N$55-30)/30*N449+N450,IF(Input!N$55&lt;91,(Input!N$55-60)/30*N448+N449+N450,IF(Input!N$55&lt;121,(Input!N$55-90)/30*N447+N448+N449+N450,IF(Input!N$55&lt;151,(Input!N$55-120)/30*N446+N447+N448+N449+N450,(Input!N$55-150)/30*N445+N446+N447+N448+N449+N450))))))),0)</f>
        <v>0</v>
      </c>
      <c r="O1085" s="229">
        <f>IF(Years="Five",IF(O$338&gt;$D$33,0,IF(Input!O$55=0,0,IF(Input!O$55&lt;31,Input!O$55/30*O450,IF(Input!O$55&lt;61,(Input!O$55-30)/30*O449+O450,IF(Input!O$55&lt;91,(Input!O$55-60)/30*O448+O449+O450,IF(Input!O$55&lt;121,(Input!O$55-90)/30*O447+O448+O449+O450,IF(Input!O$55&lt;151,(Input!O$55-120)/30*O446+O447+O448+O449+O450,(Input!O$55-150)/30*O445+O446+O447+O448+O449+O450))))))),0)</f>
        <v>0</v>
      </c>
      <c r="P1085" s="229">
        <f>IF(Years="Five",IF(P$338&gt;$D$33,0,IF(Input!P$55=0,0,IF(Input!P$55&lt;31,Input!P$55/30*P450,IF(Input!P$55&lt;61,(Input!P$55-30)/30*P449+P450,IF(Input!P$55&lt;91,(Input!P$55-60)/30*P448+P449+P450,IF(Input!P$55&lt;121,(Input!P$55-90)/30*P447+P448+P449+P450,IF(Input!P$55&lt;151,(Input!P$55-120)/30*P446+P447+P448+P449+P450,(Input!P$55-150)/30*P445+P446+P447+P448+P449+P450))))))),0)</f>
        <v>0</v>
      </c>
      <c r="Q1085" s="229">
        <f>IF(Years="Five",IF(Q$338&gt;$D$33,0,IF(Input!Q$55=0,0,IF(Input!Q$55&lt;31,Input!Q$55/30*Q450,IF(Input!Q$55&lt;61,(Input!Q$55-30)/30*Q449+Q450,IF(Input!Q$55&lt;91,(Input!Q$55-60)/30*Q448+Q449+Q450,IF(Input!Q$55&lt;121,(Input!Q$55-90)/30*Q447+Q448+Q449+Q450,IF(Input!Q$55&lt;151,(Input!Q$55-120)/30*Q446+Q447+Q448+Q449+Q450,(Input!Q$55-150)/30*Q445+Q446+Q447+Q448+Q449+Q450))))))),0)</f>
        <v>0</v>
      </c>
      <c r="R1085" s="229">
        <f>IF(Years="Five",IF(R$338&gt;$D$33,0,IF(Input!R$55=0,0,IF(Input!R$55&lt;31,Input!R$55/30*R450,IF(Input!R$55&lt;61,(Input!R$55-30)/30*R449+R450,IF(Input!R$55&lt;91,(Input!R$55-60)/30*R448+R449+R450,IF(Input!R$55&lt;121,(Input!R$55-90)/30*R447+R448+R449+R450,IF(Input!R$55&lt;151,(Input!R$55-120)/30*R446+R447+R448+R449+R450,(Input!R$55-150)/30*R445+R446+R447+R448+R449+R450))))))),0)</f>
        <v>0</v>
      </c>
      <c r="S1085" s="229">
        <f>IF(Years="Five",IF(S$338&gt;$D$33,0,IF(Input!S$55=0,0,IF(Input!S$55&lt;31,Input!S$55/30*S450,IF(Input!S$55&lt;61,(Input!S$55-30)/30*S449+S450,IF(Input!S$55&lt;91,(Input!S$55-60)/30*S448+S449+S450,IF(Input!S$55&lt;121,(Input!S$55-90)/30*S447+S448+S449+S450,IF(Input!S$55&lt;151,(Input!S$55-120)/30*S446+S447+S448+S449+S450,(Input!S$55-150)/30*S445+S446+S447+S448+S449+S450))))))),0)</f>
        <v>0</v>
      </c>
      <c r="T1085" s="229">
        <f>IF(Years="Five",IF(T$338&gt;$D$33,0,IF(Input!T$55=0,0,IF(Input!T$55&lt;31,Input!T$55/30*T450,IF(Input!T$55&lt;61,(Input!T$55-30)/30*T449+T450,IF(Input!T$55&lt;91,(Input!T$55-60)/30*T448+T449+T450,IF(Input!T$55&lt;121,(Input!T$55-90)/30*T447+T448+T449+T450,IF(Input!T$55&lt;151,(Input!T$55-120)/30*T446+T447+T448+T449+T450,(Input!T$55-150)/30*T445+T446+T447+T448+T449+T450))))))),0)</f>
        <v>0</v>
      </c>
      <c r="U1085" s="229">
        <f>IF(Years="Five",IF(U$338&gt;$D$33,0,IF(Input!U$55=0,0,IF(Input!U$55&lt;31,Input!U$55/30*U450,IF(Input!U$55&lt;61,(Input!U$55-30)/30*U449+U450,IF(Input!U$55&lt;91,(Input!U$55-60)/30*U448+U449+U450,IF(Input!U$55&lt;121,(Input!U$55-90)/30*U447+U448+U449+U450,IF(Input!U$55&lt;151,(Input!U$55-120)/30*U446+U447+U448+U449+U450,(Input!U$55-150)/30*U445+U446+U447+U448+U449+U450))))))),0)</f>
        <v>0</v>
      </c>
      <c r="V1085" s="229">
        <f>IF(Years="Five",IF(V$338&gt;$D$33,0,IF(Input!V$55=0,0,IF(Input!V$55&lt;31,Input!V$55/30*V450,IF(Input!V$55&lt;61,(Input!V$55-30)/30*V449+V450,IF(Input!V$55&lt;91,(Input!V$55-60)/30*V448+V449+V450,IF(Input!V$55&lt;121,(Input!V$55-90)/30*V447+V448+V449+V450,IF(Input!V$55&lt;151,(Input!V$55-120)/30*V446+V447+V448+V449+V450,(Input!V$55-150)/30*V445+V446+V447+V448+V449+V450))))))),0)</f>
        <v>0</v>
      </c>
      <c r="W1085" s="229">
        <f>IF(Years="Five",IF(W$338&gt;$D$33,0,IF(Input!W$55=0,0,IF(Input!W$55&lt;31,Input!W$55/30*W450,IF(Input!W$55&lt;61,(Input!W$55-30)/30*W449+W450,IF(Input!W$55&lt;91,(Input!W$55-60)/30*W448+W449+W450,IF(Input!W$55&lt;121,(Input!W$55-90)/30*W447+W448+W449+W450,IF(Input!W$55&lt;151,(Input!W$55-120)/30*W446+W447+W448+W449+W450,(Input!W$55-150)/30*W445+W446+W447+W448+W449+W450))))))),0)</f>
        <v>0</v>
      </c>
      <c r="X1085" s="229">
        <f>IF(Years="Five",IF(X$338&gt;$D$33,0,IF(Input!X$55=0,0,IF(Input!X$55&lt;31,Input!X$55/30*X450,IF(Input!X$55&lt;61,(Input!X$55-30)/30*X449+X450,IF(Input!X$55&lt;91,(Input!X$55-60)/30*X448+X449+X450,IF(Input!X$55&lt;121,(Input!X$55-90)/30*X447+X448+X449+X450,IF(Input!X$55&lt;151,(Input!X$55-120)/30*X446+X447+X448+X449+X450,(Input!X$55-150)/30*X445+X446+X447+X448+X449+X450))))))),0)</f>
        <v>0</v>
      </c>
      <c r="Y1085" s="229">
        <f>IF(Years="Five",IF(Y$338&gt;$D$33,0,IF(Input!Y$55=0,0,IF(Input!Y$55&lt;31,Input!Y$55/30*Y450,IF(Input!Y$55&lt;61,(Input!Y$55-30)/30*Y449+Y450,IF(Input!Y$55&lt;91,(Input!Y$55-60)/30*Y448+Y449+Y450,IF(Input!Y$55&lt;121,(Input!Y$55-90)/30*Y447+Y448+Y449+Y450,IF(Input!Y$55&lt;151,(Input!Y$55-120)/30*Y446+Y447+Y448+Y449+Y450,(Input!Y$55-150)/30*Y445+Y446+Y447+Y448+Y449+Y450))))))),0)</f>
        <v>0</v>
      </c>
      <c r="Z1085" s="229">
        <f>IF(Years="Five",IF(Z$338&gt;$D$33,0,IF(Input!Z$55=0,0,IF(Input!Z$55&lt;31,Input!Z$55/30*Z450,IF(Input!Z$55&lt;61,(Input!Z$55-30)/30*Z449+Z450,IF(Input!Z$55&lt;91,(Input!Z$55-60)/30*Z448+Z449+Z450,IF(Input!Z$55&lt;121,(Input!Z$55-90)/30*Z447+Z448+Z449+Z450,IF(Input!Z$55&lt;151,(Input!Z$55-120)/30*Z446+Z447+Z448+Z449+Z450,(Input!Z$55-150)/30*Z445+Z446+Z447+Z448+Z449+Z450))))))),0)</f>
        <v>0</v>
      </c>
      <c r="AA1085" s="229">
        <f>IF(Years="Five",IF(AA$338&gt;$D$33,0,IF(Input!AA$55=0,0,IF(Input!AA$55&lt;31,Input!AA$55/30*AA450,IF(Input!AA$55&lt;61,(Input!AA$55-30)/30*AA449+AA450,IF(Input!AA$55&lt;91,(Input!AA$55-60)/30*AA448+AA449+AA450,IF(Input!AA$55&lt;121,(Input!AA$55-90)/30*AA447+AA448+AA449+AA450,IF(Input!AA$55&lt;151,(Input!AA$55-120)/30*AA446+AA447+AA448+AA449+AA450,(Input!AA$55-150)/30*AA445+AA446+AA447+AA448+AA449+AA450))))))),0)</f>
        <v>0</v>
      </c>
      <c r="AB1085" s="298">
        <f>IF(Years="Five",IF(AB$338&gt;$D$33,0,IF(Input!AB$55=0,0,IF(Input!AB$55&lt;31,Input!AB$55/30*AB450,IF(Input!AB$55&lt;61,(Input!AB$55-30)/30*AB449+AB450,IF(Input!AB$55&lt;91,(Input!AB$55-60)/30*AB448+AB449+AB450,IF(Input!AB$55&lt;121,(Input!AB$55-90)/30*AB447+AB448+AB449+AB450,IF(Input!AB$55&lt;151,(Input!AB$55-120)/30*AB446+AB447+AB448+AB449+AB450,(Input!AB$55-150)/30*AB445+AB446+AB447+AB448+AB449+AB450))))))),0)</f>
        <v>0</v>
      </c>
      <c r="CH1085" s="269"/>
      <c r="CI1085" s="269"/>
      <c r="CJ1085" s="269"/>
      <c r="CK1085" s="269"/>
      <c r="CL1085" s="269"/>
      <c r="CM1085" s="269"/>
      <c r="CN1085" s="269"/>
      <c r="CO1085" s="269"/>
      <c r="CP1085" s="269"/>
      <c r="CQ1085" s="269"/>
      <c r="CR1085" s="269"/>
      <c r="CS1085" s="269"/>
    </row>
    <row r="1086" spans="3:97" x14ac:dyDescent="0.3">
      <c r="C1086" s="638">
        <f>C1023</f>
        <v>1277</v>
      </c>
      <c r="D1086" s="297">
        <f>IF(Years="Five",IF(D$338&gt;$D$33,0,IF(Input!D$55=0,0,IF(Input!D$55&lt;31,Input!D$55/30*D451,IF(Input!D$55&lt;61,(Input!D$55-30)/30*D450+D451,IF(Input!D$55&lt;91,(Input!D$55-60)/30*D449+D450+D451,IF(Input!D$55&lt;121,(Input!D$55-90)/30*D448+D449+D450+D451,IF(Input!D$55&lt;151,(Input!D$55-120)/30*D447+D448+D449+D450+D451,(Input!D$55-150)/30*D446+D447+D448+D449+D450+D451))))))),0)</f>
        <v>0</v>
      </c>
      <c r="E1086" s="229">
        <f>IF(Years="Five",IF(E$338&gt;$D$33,0,IF(Input!E$55=0,0,IF(Input!E$55&lt;31,Input!E$55/30*E451,IF(Input!E$55&lt;61,(Input!E$55-30)/30*E450+E451,IF(Input!E$55&lt;91,(Input!E$55-60)/30*E449+E450+E451,IF(Input!E$55&lt;121,(Input!E$55-90)/30*E448+E449+E450+E451,IF(Input!E$55&lt;151,(Input!E$55-120)/30*E447+E448+E449+E450+E451,(Input!E$55-150)/30*E446+E447+E448+E449+E450+E451))))))),0)</f>
        <v>0</v>
      </c>
      <c r="F1086" s="229">
        <f>IF(Years="Five",IF(F$338&gt;$D$33,0,IF(Input!F$55=0,0,IF(Input!F$55&lt;31,Input!F$55/30*F451,IF(Input!F$55&lt;61,(Input!F$55-30)/30*F450+F451,IF(Input!F$55&lt;91,(Input!F$55-60)/30*F449+F450+F451,IF(Input!F$55&lt;121,(Input!F$55-90)/30*F448+F449+F450+F451,IF(Input!F$55&lt;151,(Input!F$55-120)/30*F447+F448+F449+F450+F451,(Input!F$55-150)/30*F446+F447+F448+F449+F450+F451))))))),0)</f>
        <v>0</v>
      </c>
      <c r="G1086" s="229">
        <f>IF(Years="Five",IF(G$338&gt;$D$33,0,IF(Input!G$55=0,0,IF(Input!G$55&lt;31,Input!G$55/30*G451,IF(Input!G$55&lt;61,(Input!G$55-30)/30*G450+G451,IF(Input!G$55&lt;91,(Input!G$55-60)/30*G449+G450+G451,IF(Input!G$55&lt;121,(Input!G$55-90)/30*G448+G449+G450+G451,IF(Input!G$55&lt;151,(Input!G$55-120)/30*G447+G448+G449+G450+G451,(Input!G$55-150)/30*G446+G447+G448+G449+G450+G451))))))),0)</f>
        <v>0</v>
      </c>
      <c r="H1086" s="229">
        <f>IF(Years="Five",IF(H$338&gt;$D$33,0,IF(Input!H$55=0,0,IF(Input!H$55&lt;31,Input!H$55/30*H451,IF(Input!H$55&lt;61,(Input!H$55-30)/30*H450+H451,IF(Input!H$55&lt;91,(Input!H$55-60)/30*H449+H450+H451,IF(Input!H$55&lt;121,(Input!H$55-90)/30*H448+H449+H450+H451,IF(Input!H$55&lt;151,(Input!H$55-120)/30*H447+H448+H449+H450+H451,(Input!H$55-150)/30*H446+H447+H448+H449+H450+H451))))))),0)</f>
        <v>0</v>
      </c>
      <c r="I1086" s="229">
        <f>IF(Years="Five",IF(I$338&gt;$D$33,0,IF(Input!I$55=0,0,IF(Input!I$55&lt;31,Input!I$55/30*I451,IF(Input!I$55&lt;61,(Input!I$55-30)/30*I450+I451,IF(Input!I$55&lt;91,(Input!I$55-60)/30*I449+I450+I451,IF(Input!I$55&lt;121,(Input!I$55-90)/30*I448+I449+I450+I451,IF(Input!I$55&lt;151,(Input!I$55-120)/30*I447+I448+I449+I450+I451,(Input!I$55-150)/30*I446+I447+I448+I449+I450+I451))))))),0)</f>
        <v>0</v>
      </c>
      <c r="J1086" s="229">
        <f>IF(Years="Five",IF(J$338&gt;$D$33,0,IF(Input!J$55=0,0,IF(Input!J$55&lt;31,Input!J$55/30*J451,IF(Input!J$55&lt;61,(Input!J$55-30)/30*J450+J451,IF(Input!J$55&lt;91,(Input!J$55-60)/30*J449+J450+J451,IF(Input!J$55&lt;121,(Input!J$55-90)/30*J448+J449+J450+J451,IF(Input!J$55&lt;151,(Input!J$55-120)/30*J447+J448+J449+J450+J451,(Input!J$55-150)/30*J446+J447+J448+J449+J450+J451))))))),0)</f>
        <v>0</v>
      </c>
      <c r="K1086" s="229">
        <f>IF(Years="Five",IF(K$338&gt;$D$33,0,IF(Input!K$55=0,0,IF(Input!K$55&lt;31,Input!K$55/30*K451,IF(Input!K$55&lt;61,(Input!K$55-30)/30*K450+K451,IF(Input!K$55&lt;91,(Input!K$55-60)/30*K449+K450+K451,IF(Input!K$55&lt;121,(Input!K$55-90)/30*K448+K449+K450+K451,IF(Input!K$55&lt;151,(Input!K$55-120)/30*K447+K448+K449+K450+K451,(Input!K$55-150)/30*K446+K447+K448+K449+K450+K451))))))),0)</f>
        <v>0</v>
      </c>
      <c r="L1086" s="229">
        <f>IF(Years="Five",IF(L$338&gt;$D$33,0,IF(Input!L$55=0,0,IF(Input!L$55&lt;31,Input!L$55/30*L451,IF(Input!L$55&lt;61,(Input!L$55-30)/30*L450+L451,IF(Input!L$55&lt;91,(Input!L$55-60)/30*L449+L450+L451,IF(Input!L$55&lt;121,(Input!L$55-90)/30*L448+L449+L450+L451,IF(Input!L$55&lt;151,(Input!L$55-120)/30*L447+L448+L449+L450+L451,(Input!L$55-150)/30*L446+L447+L448+L449+L450+L451))))))),0)</f>
        <v>0</v>
      </c>
      <c r="M1086" s="229">
        <f>IF(Years="Five",IF(M$338&gt;$D$33,0,IF(Input!M$55=0,0,IF(Input!M$55&lt;31,Input!M$55/30*M451,IF(Input!M$55&lt;61,(Input!M$55-30)/30*M450+M451,IF(Input!M$55&lt;91,(Input!M$55-60)/30*M449+M450+M451,IF(Input!M$55&lt;121,(Input!M$55-90)/30*M448+M449+M450+M451,IF(Input!M$55&lt;151,(Input!M$55-120)/30*M447+M448+M449+M450+M451,(Input!M$55-150)/30*M446+M447+M448+M449+M450+M451))))))),0)</f>
        <v>0</v>
      </c>
      <c r="N1086" s="229">
        <f>IF(Years="Five",IF(N$338&gt;$D$33,0,IF(Input!N$55=0,0,IF(Input!N$55&lt;31,Input!N$55/30*N451,IF(Input!N$55&lt;61,(Input!N$55-30)/30*N450+N451,IF(Input!N$55&lt;91,(Input!N$55-60)/30*N449+N450+N451,IF(Input!N$55&lt;121,(Input!N$55-90)/30*N448+N449+N450+N451,IF(Input!N$55&lt;151,(Input!N$55-120)/30*N447+N448+N449+N450+N451,(Input!N$55-150)/30*N446+N447+N448+N449+N450+N451))))))),0)</f>
        <v>0</v>
      </c>
      <c r="O1086" s="229">
        <f>IF(Years="Five",IF(O$338&gt;$D$33,0,IF(Input!O$55=0,0,IF(Input!O$55&lt;31,Input!O$55/30*O451,IF(Input!O$55&lt;61,(Input!O$55-30)/30*O450+O451,IF(Input!O$55&lt;91,(Input!O$55-60)/30*O449+O450+O451,IF(Input!O$55&lt;121,(Input!O$55-90)/30*O448+O449+O450+O451,IF(Input!O$55&lt;151,(Input!O$55-120)/30*O447+O448+O449+O450+O451,(Input!O$55-150)/30*O446+O447+O448+O449+O450+O451))))))),0)</f>
        <v>0</v>
      </c>
      <c r="P1086" s="229">
        <f>IF(Years="Five",IF(P$338&gt;$D$33,0,IF(Input!P$55=0,0,IF(Input!P$55&lt;31,Input!P$55/30*P451,IF(Input!P$55&lt;61,(Input!P$55-30)/30*P450+P451,IF(Input!P$55&lt;91,(Input!P$55-60)/30*P449+P450+P451,IF(Input!P$55&lt;121,(Input!P$55-90)/30*P448+P449+P450+P451,IF(Input!P$55&lt;151,(Input!P$55-120)/30*P447+P448+P449+P450+P451,(Input!P$55-150)/30*P446+P447+P448+P449+P450+P451))))))),0)</f>
        <v>0</v>
      </c>
      <c r="Q1086" s="229">
        <f>IF(Years="Five",IF(Q$338&gt;$D$33,0,IF(Input!Q$55=0,0,IF(Input!Q$55&lt;31,Input!Q$55/30*Q451,IF(Input!Q$55&lt;61,(Input!Q$55-30)/30*Q450+Q451,IF(Input!Q$55&lt;91,(Input!Q$55-60)/30*Q449+Q450+Q451,IF(Input!Q$55&lt;121,(Input!Q$55-90)/30*Q448+Q449+Q450+Q451,IF(Input!Q$55&lt;151,(Input!Q$55-120)/30*Q447+Q448+Q449+Q450+Q451,(Input!Q$55-150)/30*Q446+Q447+Q448+Q449+Q450+Q451))))))),0)</f>
        <v>0</v>
      </c>
      <c r="R1086" s="229">
        <f>IF(Years="Five",IF(R$338&gt;$D$33,0,IF(Input!R$55=0,0,IF(Input!R$55&lt;31,Input!R$55/30*R451,IF(Input!R$55&lt;61,(Input!R$55-30)/30*R450+R451,IF(Input!R$55&lt;91,(Input!R$55-60)/30*R449+R450+R451,IF(Input!R$55&lt;121,(Input!R$55-90)/30*R448+R449+R450+R451,IF(Input!R$55&lt;151,(Input!R$55-120)/30*R447+R448+R449+R450+R451,(Input!R$55-150)/30*R446+R447+R448+R449+R450+R451))))))),0)</f>
        <v>0</v>
      </c>
      <c r="S1086" s="229">
        <f>IF(Years="Five",IF(S$338&gt;$D$33,0,IF(Input!S$55=0,0,IF(Input!S$55&lt;31,Input!S$55/30*S451,IF(Input!S$55&lt;61,(Input!S$55-30)/30*S450+S451,IF(Input!S$55&lt;91,(Input!S$55-60)/30*S449+S450+S451,IF(Input!S$55&lt;121,(Input!S$55-90)/30*S448+S449+S450+S451,IF(Input!S$55&lt;151,(Input!S$55-120)/30*S447+S448+S449+S450+S451,(Input!S$55-150)/30*S446+S447+S448+S449+S450+S451))))))),0)</f>
        <v>0</v>
      </c>
      <c r="T1086" s="229">
        <f>IF(Years="Five",IF(T$338&gt;$D$33,0,IF(Input!T$55=0,0,IF(Input!T$55&lt;31,Input!T$55/30*T451,IF(Input!T$55&lt;61,(Input!T$55-30)/30*T450+T451,IF(Input!T$55&lt;91,(Input!T$55-60)/30*T449+T450+T451,IF(Input!T$55&lt;121,(Input!T$55-90)/30*T448+T449+T450+T451,IF(Input!T$55&lt;151,(Input!T$55-120)/30*T447+T448+T449+T450+T451,(Input!T$55-150)/30*T446+T447+T448+T449+T450+T451))))))),0)</f>
        <v>0</v>
      </c>
      <c r="U1086" s="229">
        <f>IF(Years="Five",IF(U$338&gt;$D$33,0,IF(Input!U$55=0,0,IF(Input!U$55&lt;31,Input!U$55/30*U451,IF(Input!U$55&lt;61,(Input!U$55-30)/30*U450+U451,IF(Input!U$55&lt;91,(Input!U$55-60)/30*U449+U450+U451,IF(Input!U$55&lt;121,(Input!U$55-90)/30*U448+U449+U450+U451,IF(Input!U$55&lt;151,(Input!U$55-120)/30*U447+U448+U449+U450+U451,(Input!U$55-150)/30*U446+U447+U448+U449+U450+U451))))))),0)</f>
        <v>0</v>
      </c>
      <c r="V1086" s="229">
        <f>IF(Years="Five",IF(V$338&gt;$D$33,0,IF(Input!V$55=0,0,IF(Input!V$55&lt;31,Input!V$55/30*V451,IF(Input!V$55&lt;61,(Input!V$55-30)/30*V450+V451,IF(Input!V$55&lt;91,(Input!V$55-60)/30*V449+V450+V451,IF(Input!V$55&lt;121,(Input!V$55-90)/30*V448+V449+V450+V451,IF(Input!V$55&lt;151,(Input!V$55-120)/30*V447+V448+V449+V450+V451,(Input!V$55-150)/30*V446+V447+V448+V449+V450+V451))))))),0)</f>
        <v>0</v>
      </c>
      <c r="W1086" s="229">
        <f>IF(Years="Five",IF(W$338&gt;$D$33,0,IF(Input!W$55=0,0,IF(Input!W$55&lt;31,Input!W$55/30*W451,IF(Input!W$55&lt;61,(Input!W$55-30)/30*W450+W451,IF(Input!W$55&lt;91,(Input!W$55-60)/30*W449+W450+W451,IF(Input!W$55&lt;121,(Input!W$55-90)/30*W448+W449+W450+W451,IF(Input!W$55&lt;151,(Input!W$55-120)/30*W447+W448+W449+W450+W451,(Input!W$55-150)/30*W446+W447+W448+W449+W450+W451))))))),0)</f>
        <v>0</v>
      </c>
      <c r="X1086" s="229">
        <f>IF(Years="Five",IF(X$338&gt;$D$33,0,IF(Input!X$55=0,0,IF(Input!X$55&lt;31,Input!X$55/30*X451,IF(Input!X$55&lt;61,(Input!X$55-30)/30*X450+X451,IF(Input!X$55&lt;91,(Input!X$55-60)/30*X449+X450+X451,IF(Input!X$55&lt;121,(Input!X$55-90)/30*X448+X449+X450+X451,IF(Input!X$55&lt;151,(Input!X$55-120)/30*X447+X448+X449+X450+X451,(Input!X$55-150)/30*X446+X447+X448+X449+X450+X451))))))),0)</f>
        <v>0</v>
      </c>
      <c r="Y1086" s="229">
        <f>IF(Years="Five",IF(Y$338&gt;$D$33,0,IF(Input!Y$55=0,0,IF(Input!Y$55&lt;31,Input!Y$55/30*Y451,IF(Input!Y$55&lt;61,(Input!Y$55-30)/30*Y450+Y451,IF(Input!Y$55&lt;91,(Input!Y$55-60)/30*Y449+Y450+Y451,IF(Input!Y$55&lt;121,(Input!Y$55-90)/30*Y448+Y449+Y450+Y451,IF(Input!Y$55&lt;151,(Input!Y$55-120)/30*Y447+Y448+Y449+Y450+Y451,(Input!Y$55-150)/30*Y446+Y447+Y448+Y449+Y450+Y451))))))),0)</f>
        <v>0</v>
      </c>
      <c r="Z1086" s="229">
        <f>IF(Years="Five",IF(Z$338&gt;$D$33,0,IF(Input!Z$55=0,0,IF(Input!Z$55&lt;31,Input!Z$55/30*Z451,IF(Input!Z$55&lt;61,(Input!Z$55-30)/30*Z450+Z451,IF(Input!Z$55&lt;91,(Input!Z$55-60)/30*Z449+Z450+Z451,IF(Input!Z$55&lt;121,(Input!Z$55-90)/30*Z448+Z449+Z450+Z451,IF(Input!Z$55&lt;151,(Input!Z$55-120)/30*Z447+Z448+Z449+Z450+Z451,(Input!Z$55-150)/30*Z446+Z447+Z448+Z449+Z450+Z451))))))),0)</f>
        <v>0</v>
      </c>
      <c r="AA1086" s="229">
        <f>IF(Years="Five",IF(AA$338&gt;$D$33,0,IF(Input!AA$55=0,0,IF(Input!AA$55&lt;31,Input!AA$55/30*AA451,IF(Input!AA$55&lt;61,(Input!AA$55-30)/30*AA450+AA451,IF(Input!AA$55&lt;91,(Input!AA$55-60)/30*AA449+AA450+AA451,IF(Input!AA$55&lt;121,(Input!AA$55-90)/30*AA448+AA449+AA450+AA451,IF(Input!AA$55&lt;151,(Input!AA$55-120)/30*AA447+AA448+AA449+AA450+AA451,(Input!AA$55-150)/30*AA446+AA447+AA448+AA449+AA450+AA451))))))),0)</f>
        <v>0</v>
      </c>
      <c r="AB1086" s="298">
        <f>IF(Years="Five",IF(AB$338&gt;$D$33,0,IF(Input!AB$55=0,0,IF(Input!AB$55&lt;31,Input!AB$55/30*AB451,IF(Input!AB$55&lt;61,(Input!AB$55-30)/30*AB450+AB451,IF(Input!AB$55&lt;91,(Input!AB$55-60)/30*AB449+AB450+AB451,IF(Input!AB$55&lt;121,(Input!AB$55-90)/30*AB448+AB449+AB450+AB451,IF(Input!AB$55&lt;151,(Input!AB$55-120)/30*AB447+AB448+AB449+AB450+AB451,(Input!AB$55-150)/30*AB446+AB447+AB448+AB449+AB450+AB451))))))),0)</f>
        <v>0</v>
      </c>
      <c r="CH1086" s="269"/>
      <c r="CI1086" s="269"/>
      <c r="CJ1086" s="269"/>
      <c r="CK1086" s="269"/>
      <c r="CL1086" s="269"/>
      <c r="CM1086" s="269"/>
      <c r="CN1086" s="269"/>
      <c r="CO1086" s="269"/>
      <c r="CP1086" s="269"/>
      <c r="CQ1086" s="269"/>
      <c r="CR1086" s="269"/>
      <c r="CS1086" s="269"/>
    </row>
    <row r="1087" spans="3:97" x14ac:dyDescent="0.3">
      <c r="C1087" s="638">
        <f>C1024</f>
        <v>1308</v>
      </c>
      <c r="D1087" s="297">
        <f>IF(Years="Five",IF(D$338&gt;$D$33,0,IF(Input!D$55=0,0,IF(Input!D$55&lt;31,Input!D$55/30*D452,IF(Input!D$55&lt;61,(Input!D$55-30)/30*D451+D452,IF(Input!D$55&lt;91,(Input!D$55-60)/30*D450+D451+D452,IF(Input!D$55&lt;121,(Input!D$55-90)/30*D449+D450+D451+D452,IF(Input!D$55&lt;151,(Input!D$55-120)/30*D448+D449+D450+D451+D452,(Input!D$55-150)/30*D447+D448+D449+D450+D451+D452))))))),0)</f>
        <v>0</v>
      </c>
      <c r="E1087" s="229">
        <f>IF(Years="Five",IF(E$338&gt;$D$33,0,IF(Input!E$55=0,0,IF(Input!E$55&lt;31,Input!E$55/30*E452,IF(Input!E$55&lt;61,(Input!E$55-30)/30*E451+E452,IF(Input!E$55&lt;91,(Input!E$55-60)/30*E450+E451+E452,IF(Input!E$55&lt;121,(Input!E$55-90)/30*E449+E450+E451+E452,IF(Input!E$55&lt;151,(Input!E$55-120)/30*E448+E449+E450+E451+E452,(Input!E$55-150)/30*E447+E448+E449+E450+E451+E452))))))),0)</f>
        <v>0</v>
      </c>
      <c r="F1087" s="229">
        <f>IF(Years="Five",IF(F$338&gt;$D$33,0,IF(Input!F$55=0,0,IF(Input!F$55&lt;31,Input!F$55/30*F452,IF(Input!F$55&lt;61,(Input!F$55-30)/30*F451+F452,IF(Input!F$55&lt;91,(Input!F$55-60)/30*F450+F451+F452,IF(Input!F$55&lt;121,(Input!F$55-90)/30*F449+F450+F451+F452,IF(Input!F$55&lt;151,(Input!F$55-120)/30*F448+F449+F450+F451+F452,(Input!F$55-150)/30*F447+F448+F449+F450+F451+F452))))))),0)</f>
        <v>0</v>
      </c>
      <c r="G1087" s="229">
        <f>IF(Years="Five",IF(G$338&gt;$D$33,0,IF(Input!G$55=0,0,IF(Input!G$55&lt;31,Input!G$55/30*G452,IF(Input!G$55&lt;61,(Input!G$55-30)/30*G451+G452,IF(Input!G$55&lt;91,(Input!G$55-60)/30*G450+G451+G452,IF(Input!G$55&lt;121,(Input!G$55-90)/30*G449+G450+G451+G452,IF(Input!G$55&lt;151,(Input!G$55-120)/30*G448+G449+G450+G451+G452,(Input!G$55-150)/30*G447+G448+G449+G450+G451+G452))))))),0)</f>
        <v>0</v>
      </c>
      <c r="H1087" s="229">
        <f>IF(Years="Five",IF(H$338&gt;$D$33,0,IF(Input!H$55=0,0,IF(Input!H$55&lt;31,Input!H$55/30*H452,IF(Input!H$55&lt;61,(Input!H$55-30)/30*H451+H452,IF(Input!H$55&lt;91,(Input!H$55-60)/30*H450+H451+H452,IF(Input!H$55&lt;121,(Input!H$55-90)/30*H449+H450+H451+H452,IF(Input!H$55&lt;151,(Input!H$55-120)/30*H448+H449+H450+H451+H452,(Input!H$55-150)/30*H447+H448+H449+H450+H451+H452))))))),0)</f>
        <v>0</v>
      </c>
      <c r="I1087" s="229">
        <f>IF(Years="Five",IF(I$338&gt;$D$33,0,IF(Input!I$55=0,0,IF(Input!I$55&lt;31,Input!I$55/30*I452,IF(Input!I$55&lt;61,(Input!I$55-30)/30*I451+I452,IF(Input!I$55&lt;91,(Input!I$55-60)/30*I450+I451+I452,IF(Input!I$55&lt;121,(Input!I$55-90)/30*I449+I450+I451+I452,IF(Input!I$55&lt;151,(Input!I$55-120)/30*I448+I449+I450+I451+I452,(Input!I$55-150)/30*I447+I448+I449+I450+I451+I452))))))),0)</f>
        <v>0</v>
      </c>
      <c r="J1087" s="229">
        <f>IF(Years="Five",IF(J$338&gt;$D$33,0,IF(Input!J$55=0,0,IF(Input!J$55&lt;31,Input!J$55/30*J452,IF(Input!J$55&lt;61,(Input!J$55-30)/30*J451+J452,IF(Input!J$55&lt;91,(Input!J$55-60)/30*J450+J451+J452,IF(Input!J$55&lt;121,(Input!J$55-90)/30*J449+J450+J451+J452,IF(Input!J$55&lt;151,(Input!J$55-120)/30*J448+J449+J450+J451+J452,(Input!J$55-150)/30*J447+J448+J449+J450+J451+J452))))))),0)</f>
        <v>0</v>
      </c>
      <c r="K1087" s="229">
        <f>IF(Years="Five",IF(K$338&gt;$D$33,0,IF(Input!K$55=0,0,IF(Input!K$55&lt;31,Input!K$55/30*K452,IF(Input!K$55&lt;61,(Input!K$55-30)/30*K451+K452,IF(Input!K$55&lt;91,(Input!K$55-60)/30*K450+K451+K452,IF(Input!K$55&lt;121,(Input!K$55-90)/30*K449+K450+K451+K452,IF(Input!K$55&lt;151,(Input!K$55-120)/30*K448+K449+K450+K451+K452,(Input!K$55-150)/30*K447+K448+K449+K450+K451+K452))))))),0)</f>
        <v>0</v>
      </c>
      <c r="L1087" s="229">
        <f>IF(Years="Five",IF(L$338&gt;$D$33,0,IF(Input!L$55=0,0,IF(Input!L$55&lt;31,Input!L$55/30*L452,IF(Input!L$55&lt;61,(Input!L$55-30)/30*L451+L452,IF(Input!L$55&lt;91,(Input!L$55-60)/30*L450+L451+L452,IF(Input!L$55&lt;121,(Input!L$55-90)/30*L449+L450+L451+L452,IF(Input!L$55&lt;151,(Input!L$55-120)/30*L448+L449+L450+L451+L452,(Input!L$55-150)/30*L447+L448+L449+L450+L451+L452))))))),0)</f>
        <v>0</v>
      </c>
      <c r="M1087" s="229">
        <f>IF(Years="Five",IF(M$338&gt;$D$33,0,IF(Input!M$55=0,0,IF(Input!M$55&lt;31,Input!M$55/30*M452,IF(Input!M$55&lt;61,(Input!M$55-30)/30*M451+M452,IF(Input!M$55&lt;91,(Input!M$55-60)/30*M450+M451+M452,IF(Input!M$55&lt;121,(Input!M$55-90)/30*M449+M450+M451+M452,IF(Input!M$55&lt;151,(Input!M$55-120)/30*M448+M449+M450+M451+M452,(Input!M$55-150)/30*M447+M448+M449+M450+M451+M452))))))),0)</f>
        <v>0</v>
      </c>
      <c r="N1087" s="229">
        <f>IF(Years="Five",IF(N$338&gt;$D$33,0,IF(Input!N$55=0,0,IF(Input!N$55&lt;31,Input!N$55/30*N452,IF(Input!N$55&lt;61,(Input!N$55-30)/30*N451+N452,IF(Input!N$55&lt;91,(Input!N$55-60)/30*N450+N451+N452,IF(Input!N$55&lt;121,(Input!N$55-90)/30*N449+N450+N451+N452,IF(Input!N$55&lt;151,(Input!N$55-120)/30*N448+N449+N450+N451+N452,(Input!N$55-150)/30*N447+N448+N449+N450+N451+N452))))))),0)</f>
        <v>0</v>
      </c>
      <c r="O1087" s="229">
        <f>IF(Years="Five",IF(O$338&gt;$D$33,0,IF(Input!O$55=0,0,IF(Input!O$55&lt;31,Input!O$55/30*O452,IF(Input!O$55&lt;61,(Input!O$55-30)/30*O451+O452,IF(Input!O$55&lt;91,(Input!O$55-60)/30*O450+O451+O452,IF(Input!O$55&lt;121,(Input!O$55-90)/30*O449+O450+O451+O452,IF(Input!O$55&lt;151,(Input!O$55-120)/30*O448+O449+O450+O451+O452,(Input!O$55-150)/30*O447+O448+O449+O450+O451+O452))))))),0)</f>
        <v>0</v>
      </c>
      <c r="P1087" s="229">
        <f>IF(Years="Five",IF(P$338&gt;$D$33,0,IF(Input!P$55=0,0,IF(Input!P$55&lt;31,Input!P$55/30*P452,IF(Input!P$55&lt;61,(Input!P$55-30)/30*P451+P452,IF(Input!P$55&lt;91,(Input!P$55-60)/30*P450+P451+P452,IF(Input!P$55&lt;121,(Input!P$55-90)/30*P449+P450+P451+P452,IF(Input!P$55&lt;151,(Input!P$55-120)/30*P448+P449+P450+P451+P452,(Input!P$55-150)/30*P447+P448+P449+P450+P451+P452))))))),0)</f>
        <v>0</v>
      </c>
      <c r="Q1087" s="229">
        <f>IF(Years="Five",IF(Q$338&gt;$D$33,0,IF(Input!Q$55=0,0,IF(Input!Q$55&lt;31,Input!Q$55/30*Q452,IF(Input!Q$55&lt;61,(Input!Q$55-30)/30*Q451+Q452,IF(Input!Q$55&lt;91,(Input!Q$55-60)/30*Q450+Q451+Q452,IF(Input!Q$55&lt;121,(Input!Q$55-90)/30*Q449+Q450+Q451+Q452,IF(Input!Q$55&lt;151,(Input!Q$55-120)/30*Q448+Q449+Q450+Q451+Q452,(Input!Q$55-150)/30*Q447+Q448+Q449+Q450+Q451+Q452))))))),0)</f>
        <v>0</v>
      </c>
      <c r="R1087" s="229">
        <f>IF(Years="Five",IF(R$338&gt;$D$33,0,IF(Input!R$55=0,0,IF(Input!R$55&lt;31,Input!R$55/30*R452,IF(Input!R$55&lt;61,(Input!R$55-30)/30*R451+R452,IF(Input!R$55&lt;91,(Input!R$55-60)/30*R450+R451+R452,IF(Input!R$55&lt;121,(Input!R$55-90)/30*R449+R450+R451+R452,IF(Input!R$55&lt;151,(Input!R$55-120)/30*R448+R449+R450+R451+R452,(Input!R$55-150)/30*R447+R448+R449+R450+R451+R452))))))),0)</f>
        <v>0</v>
      </c>
      <c r="S1087" s="229">
        <f>IF(Years="Five",IF(S$338&gt;$D$33,0,IF(Input!S$55=0,0,IF(Input!S$55&lt;31,Input!S$55/30*S452,IF(Input!S$55&lt;61,(Input!S$55-30)/30*S451+S452,IF(Input!S$55&lt;91,(Input!S$55-60)/30*S450+S451+S452,IF(Input!S$55&lt;121,(Input!S$55-90)/30*S449+S450+S451+S452,IF(Input!S$55&lt;151,(Input!S$55-120)/30*S448+S449+S450+S451+S452,(Input!S$55-150)/30*S447+S448+S449+S450+S451+S452))))))),0)</f>
        <v>0</v>
      </c>
      <c r="T1087" s="229">
        <f>IF(Years="Five",IF(T$338&gt;$D$33,0,IF(Input!T$55=0,0,IF(Input!T$55&lt;31,Input!T$55/30*T452,IF(Input!T$55&lt;61,(Input!T$55-30)/30*T451+T452,IF(Input!T$55&lt;91,(Input!T$55-60)/30*T450+T451+T452,IF(Input!T$55&lt;121,(Input!T$55-90)/30*T449+T450+T451+T452,IF(Input!T$55&lt;151,(Input!T$55-120)/30*T448+T449+T450+T451+T452,(Input!T$55-150)/30*T447+T448+T449+T450+T451+T452))))))),0)</f>
        <v>0</v>
      </c>
      <c r="U1087" s="229">
        <f>IF(Years="Five",IF(U$338&gt;$D$33,0,IF(Input!U$55=0,0,IF(Input!U$55&lt;31,Input!U$55/30*U452,IF(Input!U$55&lt;61,(Input!U$55-30)/30*U451+U452,IF(Input!U$55&lt;91,(Input!U$55-60)/30*U450+U451+U452,IF(Input!U$55&lt;121,(Input!U$55-90)/30*U449+U450+U451+U452,IF(Input!U$55&lt;151,(Input!U$55-120)/30*U448+U449+U450+U451+U452,(Input!U$55-150)/30*U447+U448+U449+U450+U451+U452))))))),0)</f>
        <v>0</v>
      </c>
      <c r="V1087" s="229">
        <f>IF(Years="Five",IF(V$338&gt;$D$33,0,IF(Input!V$55=0,0,IF(Input!V$55&lt;31,Input!V$55/30*V452,IF(Input!V$55&lt;61,(Input!V$55-30)/30*V451+V452,IF(Input!V$55&lt;91,(Input!V$55-60)/30*V450+V451+V452,IF(Input!V$55&lt;121,(Input!V$55-90)/30*V449+V450+V451+V452,IF(Input!V$55&lt;151,(Input!V$55-120)/30*V448+V449+V450+V451+V452,(Input!V$55-150)/30*V447+V448+V449+V450+V451+V452))))))),0)</f>
        <v>0</v>
      </c>
      <c r="W1087" s="229">
        <f>IF(Years="Five",IF(W$338&gt;$D$33,0,IF(Input!W$55=0,0,IF(Input!W$55&lt;31,Input!W$55/30*W452,IF(Input!W$55&lt;61,(Input!W$55-30)/30*W451+W452,IF(Input!W$55&lt;91,(Input!W$55-60)/30*W450+W451+W452,IF(Input!W$55&lt;121,(Input!W$55-90)/30*W449+W450+W451+W452,IF(Input!W$55&lt;151,(Input!W$55-120)/30*W448+W449+W450+W451+W452,(Input!W$55-150)/30*W447+W448+W449+W450+W451+W452))))))),0)</f>
        <v>0</v>
      </c>
      <c r="X1087" s="229">
        <f>IF(Years="Five",IF(X$338&gt;$D$33,0,IF(Input!X$55=0,0,IF(Input!X$55&lt;31,Input!X$55/30*X452,IF(Input!X$55&lt;61,(Input!X$55-30)/30*X451+X452,IF(Input!X$55&lt;91,(Input!X$55-60)/30*X450+X451+X452,IF(Input!X$55&lt;121,(Input!X$55-90)/30*X449+X450+X451+X452,IF(Input!X$55&lt;151,(Input!X$55-120)/30*X448+X449+X450+X451+X452,(Input!X$55-150)/30*X447+X448+X449+X450+X451+X452))))))),0)</f>
        <v>0</v>
      </c>
      <c r="Y1087" s="229">
        <f>IF(Years="Five",IF(Y$338&gt;$D$33,0,IF(Input!Y$55=0,0,IF(Input!Y$55&lt;31,Input!Y$55/30*Y452,IF(Input!Y$55&lt;61,(Input!Y$55-30)/30*Y451+Y452,IF(Input!Y$55&lt;91,(Input!Y$55-60)/30*Y450+Y451+Y452,IF(Input!Y$55&lt;121,(Input!Y$55-90)/30*Y449+Y450+Y451+Y452,IF(Input!Y$55&lt;151,(Input!Y$55-120)/30*Y448+Y449+Y450+Y451+Y452,(Input!Y$55-150)/30*Y447+Y448+Y449+Y450+Y451+Y452))))))),0)</f>
        <v>0</v>
      </c>
      <c r="Z1087" s="229">
        <f>IF(Years="Five",IF(Z$338&gt;$D$33,0,IF(Input!Z$55=0,0,IF(Input!Z$55&lt;31,Input!Z$55/30*Z452,IF(Input!Z$55&lt;61,(Input!Z$55-30)/30*Z451+Z452,IF(Input!Z$55&lt;91,(Input!Z$55-60)/30*Z450+Z451+Z452,IF(Input!Z$55&lt;121,(Input!Z$55-90)/30*Z449+Z450+Z451+Z452,IF(Input!Z$55&lt;151,(Input!Z$55-120)/30*Z448+Z449+Z450+Z451+Z452,(Input!Z$55-150)/30*Z447+Z448+Z449+Z450+Z451+Z452))))))),0)</f>
        <v>0</v>
      </c>
      <c r="AA1087" s="229">
        <f>IF(Years="Five",IF(AA$338&gt;$D$33,0,IF(Input!AA$55=0,0,IF(Input!AA$55&lt;31,Input!AA$55/30*AA452,IF(Input!AA$55&lt;61,(Input!AA$55-30)/30*AA451+AA452,IF(Input!AA$55&lt;91,(Input!AA$55-60)/30*AA450+AA451+AA452,IF(Input!AA$55&lt;121,(Input!AA$55-90)/30*AA449+AA450+AA451+AA452,IF(Input!AA$55&lt;151,(Input!AA$55-120)/30*AA448+AA449+AA450+AA451+AA452,(Input!AA$55-150)/30*AA447+AA448+AA449+AA450+AA451+AA452))))))),0)</f>
        <v>0</v>
      </c>
      <c r="AB1087" s="298">
        <f>IF(Years="Five",IF(AB$338&gt;$D$33,0,IF(Input!AB$55=0,0,IF(Input!AB$55&lt;31,Input!AB$55/30*AB452,IF(Input!AB$55&lt;61,(Input!AB$55-30)/30*AB451+AB452,IF(Input!AB$55&lt;91,(Input!AB$55-60)/30*AB450+AB451+AB452,IF(Input!AB$55&lt;121,(Input!AB$55-90)/30*AB449+AB450+AB451+AB452,IF(Input!AB$55&lt;151,(Input!AB$55-120)/30*AB448+AB449+AB450+AB451+AB452,(Input!AB$55-150)/30*AB447+AB448+AB449+AB450+AB451+AB452))))))),0)</f>
        <v>0</v>
      </c>
      <c r="CH1087" s="269"/>
      <c r="CI1087" s="269"/>
      <c r="CJ1087" s="269"/>
      <c r="CK1087" s="269"/>
      <c r="CL1087" s="269"/>
      <c r="CM1087" s="269"/>
      <c r="CN1087" s="269"/>
      <c r="CO1087" s="269"/>
      <c r="CP1087" s="269"/>
      <c r="CQ1087" s="269"/>
      <c r="CR1087" s="269"/>
      <c r="CS1087" s="269"/>
    </row>
    <row r="1088" spans="3:97" x14ac:dyDescent="0.3">
      <c r="C1088" s="638">
        <f>C1025</f>
        <v>1339</v>
      </c>
      <c r="D1088" s="297">
        <f>IF(Years="Five",IF(D$338&gt;$D$33,0,IF(Input!D$55=0,0,IF(Input!D$55&lt;31,Input!D$55/30*D453,IF(Input!D$55&lt;61,(Input!D$55-30)/30*D452+D453,IF(Input!D$55&lt;91,(Input!D$55-60)/30*D451+D452+D453,IF(Input!D$55&lt;121,(Input!D$55-90)/30*D450+D451+D452+D453,IF(Input!D$55&lt;151,(Input!D$55-120)/30*D449+D450+D451+D452+D453,(Input!D$55-150)/30*D448+D449+D450+D451+D452+D453))))))),0)</f>
        <v>0</v>
      </c>
      <c r="E1088" s="229">
        <f>IF(Years="Five",IF(E$338&gt;$D$33,0,IF(Input!E$55=0,0,IF(Input!E$55&lt;31,Input!E$55/30*E453,IF(Input!E$55&lt;61,(Input!E$55-30)/30*E452+E453,IF(Input!E$55&lt;91,(Input!E$55-60)/30*E451+E452+E453,IF(Input!E$55&lt;121,(Input!E$55-90)/30*E450+E451+E452+E453,IF(Input!E$55&lt;151,(Input!E$55-120)/30*E449+E450+E451+E452+E453,(Input!E$55-150)/30*E448+E449+E450+E451+E452+E453))))))),0)</f>
        <v>0</v>
      </c>
      <c r="F1088" s="229">
        <f>IF(Years="Five",IF(F$338&gt;$D$33,0,IF(Input!F$55=0,0,IF(Input!F$55&lt;31,Input!F$55/30*F453,IF(Input!F$55&lt;61,(Input!F$55-30)/30*F452+F453,IF(Input!F$55&lt;91,(Input!F$55-60)/30*F451+F452+F453,IF(Input!F$55&lt;121,(Input!F$55-90)/30*F450+F451+F452+F453,IF(Input!F$55&lt;151,(Input!F$55-120)/30*F449+F450+F451+F452+F453,(Input!F$55-150)/30*F448+F449+F450+F451+F452+F453))))))),0)</f>
        <v>0</v>
      </c>
      <c r="G1088" s="229">
        <f>IF(Years="Five",IF(G$338&gt;$D$33,0,IF(Input!G$55=0,0,IF(Input!G$55&lt;31,Input!G$55/30*G453,IF(Input!G$55&lt;61,(Input!G$55-30)/30*G452+G453,IF(Input!G$55&lt;91,(Input!G$55-60)/30*G451+G452+G453,IF(Input!G$55&lt;121,(Input!G$55-90)/30*G450+G451+G452+G453,IF(Input!G$55&lt;151,(Input!G$55-120)/30*G449+G450+G451+G452+G453,(Input!G$55-150)/30*G448+G449+G450+G451+G452+G453))))))),0)</f>
        <v>0</v>
      </c>
      <c r="H1088" s="229">
        <f>IF(Years="Five",IF(H$338&gt;$D$33,0,IF(Input!H$55=0,0,IF(Input!H$55&lt;31,Input!H$55/30*H453,IF(Input!H$55&lt;61,(Input!H$55-30)/30*H452+H453,IF(Input!H$55&lt;91,(Input!H$55-60)/30*H451+H452+H453,IF(Input!H$55&lt;121,(Input!H$55-90)/30*H450+H451+H452+H453,IF(Input!H$55&lt;151,(Input!H$55-120)/30*H449+H450+H451+H452+H453,(Input!H$55-150)/30*H448+H449+H450+H451+H452+H453))))))),0)</f>
        <v>0</v>
      </c>
      <c r="I1088" s="229">
        <f>IF(Years="Five",IF(I$338&gt;$D$33,0,IF(Input!I$55=0,0,IF(Input!I$55&lt;31,Input!I$55/30*I453,IF(Input!I$55&lt;61,(Input!I$55-30)/30*I452+I453,IF(Input!I$55&lt;91,(Input!I$55-60)/30*I451+I452+I453,IF(Input!I$55&lt;121,(Input!I$55-90)/30*I450+I451+I452+I453,IF(Input!I$55&lt;151,(Input!I$55-120)/30*I449+I450+I451+I452+I453,(Input!I$55-150)/30*I448+I449+I450+I451+I452+I453))))))),0)</f>
        <v>0</v>
      </c>
      <c r="J1088" s="229">
        <f>IF(Years="Five",IF(J$338&gt;$D$33,0,IF(Input!J$55=0,0,IF(Input!J$55&lt;31,Input!J$55/30*J453,IF(Input!J$55&lt;61,(Input!J$55-30)/30*J452+J453,IF(Input!J$55&lt;91,(Input!J$55-60)/30*J451+J452+J453,IF(Input!J$55&lt;121,(Input!J$55-90)/30*J450+J451+J452+J453,IF(Input!J$55&lt;151,(Input!J$55-120)/30*J449+J450+J451+J452+J453,(Input!J$55-150)/30*J448+J449+J450+J451+J452+J453))))))),0)</f>
        <v>0</v>
      </c>
      <c r="K1088" s="229">
        <f>IF(Years="Five",IF(K$338&gt;$D$33,0,IF(Input!K$55=0,0,IF(Input!K$55&lt;31,Input!K$55/30*K453,IF(Input!K$55&lt;61,(Input!K$55-30)/30*K452+K453,IF(Input!K$55&lt;91,(Input!K$55-60)/30*K451+K452+K453,IF(Input!K$55&lt;121,(Input!K$55-90)/30*K450+K451+K452+K453,IF(Input!K$55&lt;151,(Input!K$55-120)/30*K449+K450+K451+K452+K453,(Input!K$55-150)/30*K448+K449+K450+K451+K452+K453))))))),0)</f>
        <v>0</v>
      </c>
      <c r="L1088" s="229">
        <f>IF(Years="Five",IF(L$338&gt;$D$33,0,IF(Input!L$55=0,0,IF(Input!L$55&lt;31,Input!L$55/30*L453,IF(Input!L$55&lt;61,(Input!L$55-30)/30*L452+L453,IF(Input!L$55&lt;91,(Input!L$55-60)/30*L451+L452+L453,IF(Input!L$55&lt;121,(Input!L$55-90)/30*L450+L451+L452+L453,IF(Input!L$55&lt;151,(Input!L$55-120)/30*L449+L450+L451+L452+L453,(Input!L$55-150)/30*L448+L449+L450+L451+L452+L453))))))),0)</f>
        <v>0</v>
      </c>
      <c r="M1088" s="229">
        <f>IF(Years="Five",IF(M$338&gt;$D$33,0,IF(Input!M$55=0,0,IF(Input!M$55&lt;31,Input!M$55/30*M453,IF(Input!M$55&lt;61,(Input!M$55-30)/30*M452+M453,IF(Input!M$55&lt;91,(Input!M$55-60)/30*M451+M452+M453,IF(Input!M$55&lt;121,(Input!M$55-90)/30*M450+M451+M452+M453,IF(Input!M$55&lt;151,(Input!M$55-120)/30*M449+M450+M451+M452+M453,(Input!M$55-150)/30*M448+M449+M450+M451+M452+M453))))))),0)</f>
        <v>0</v>
      </c>
      <c r="N1088" s="229">
        <f>IF(Years="Five",IF(N$338&gt;$D$33,0,IF(Input!N$55=0,0,IF(Input!N$55&lt;31,Input!N$55/30*N453,IF(Input!N$55&lt;61,(Input!N$55-30)/30*N452+N453,IF(Input!N$55&lt;91,(Input!N$55-60)/30*N451+N452+N453,IF(Input!N$55&lt;121,(Input!N$55-90)/30*N450+N451+N452+N453,IF(Input!N$55&lt;151,(Input!N$55-120)/30*N449+N450+N451+N452+N453,(Input!N$55-150)/30*N448+N449+N450+N451+N452+N453))))))),0)</f>
        <v>0</v>
      </c>
      <c r="O1088" s="229">
        <f>IF(Years="Five",IF(O$338&gt;$D$33,0,IF(Input!O$55=0,0,IF(Input!O$55&lt;31,Input!O$55/30*O453,IF(Input!O$55&lt;61,(Input!O$55-30)/30*O452+O453,IF(Input!O$55&lt;91,(Input!O$55-60)/30*O451+O452+O453,IF(Input!O$55&lt;121,(Input!O$55-90)/30*O450+O451+O452+O453,IF(Input!O$55&lt;151,(Input!O$55-120)/30*O449+O450+O451+O452+O453,(Input!O$55-150)/30*O448+O449+O450+O451+O452+O453))))))),0)</f>
        <v>0</v>
      </c>
      <c r="P1088" s="229">
        <f>IF(Years="Five",IF(P$338&gt;$D$33,0,IF(Input!P$55=0,0,IF(Input!P$55&lt;31,Input!P$55/30*P453,IF(Input!P$55&lt;61,(Input!P$55-30)/30*P452+P453,IF(Input!P$55&lt;91,(Input!P$55-60)/30*P451+P452+P453,IF(Input!P$55&lt;121,(Input!P$55-90)/30*P450+P451+P452+P453,IF(Input!P$55&lt;151,(Input!P$55-120)/30*P449+P450+P451+P452+P453,(Input!P$55-150)/30*P448+P449+P450+P451+P452+P453))))))),0)</f>
        <v>0</v>
      </c>
      <c r="Q1088" s="229">
        <f>IF(Years="Five",IF(Q$338&gt;$D$33,0,IF(Input!Q$55=0,0,IF(Input!Q$55&lt;31,Input!Q$55/30*Q453,IF(Input!Q$55&lt;61,(Input!Q$55-30)/30*Q452+Q453,IF(Input!Q$55&lt;91,(Input!Q$55-60)/30*Q451+Q452+Q453,IF(Input!Q$55&lt;121,(Input!Q$55-90)/30*Q450+Q451+Q452+Q453,IF(Input!Q$55&lt;151,(Input!Q$55-120)/30*Q449+Q450+Q451+Q452+Q453,(Input!Q$55-150)/30*Q448+Q449+Q450+Q451+Q452+Q453))))))),0)</f>
        <v>0</v>
      </c>
      <c r="R1088" s="229">
        <f>IF(Years="Five",IF(R$338&gt;$D$33,0,IF(Input!R$55=0,0,IF(Input!R$55&lt;31,Input!R$55/30*R453,IF(Input!R$55&lt;61,(Input!R$55-30)/30*R452+R453,IF(Input!R$55&lt;91,(Input!R$55-60)/30*R451+R452+R453,IF(Input!R$55&lt;121,(Input!R$55-90)/30*R450+R451+R452+R453,IF(Input!R$55&lt;151,(Input!R$55-120)/30*R449+R450+R451+R452+R453,(Input!R$55-150)/30*R448+R449+R450+R451+R452+R453))))))),0)</f>
        <v>0</v>
      </c>
      <c r="S1088" s="229">
        <f>IF(Years="Five",IF(S$338&gt;$D$33,0,IF(Input!S$55=0,0,IF(Input!S$55&lt;31,Input!S$55/30*S453,IF(Input!S$55&lt;61,(Input!S$55-30)/30*S452+S453,IF(Input!S$55&lt;91,(Input!S$55-60)/30*S451+S452+S453,IF(Input!S$55&lt;121,(Input!S$55-90)/30*S450+S451+S452+S453,IF(Input!S$55&lt;151,(Input!S$55-120)/30*S449+S450+S451+S452+S453,(Input!S$55-150)/30*S448+S449+S450+S451+S452+S453))))))),0)</f>
        <v>0</v>
      </c>
      <c r="T1088" s="229">
        <f>IF(Years="Five",IF(T$338&gt;$D$33,0,IF(Input!T$55=0,0,IF(Input!T$55&lt;31,Input!T$55/30*T453,IF(Input!T$55&lt;61,(Input!T$55-30)/30*T452+T453,IF(Input!T$55&lt;91,(Input!T$55-60)/30*T451+T452+T453,IF(Input!T$55&lt;121,(Input!T$55-90)/30*T450+T451+T452+T453,IF(Input!T$55&lt;151,(Input!T$55-120)/30*T449+T450+T451+T452+T453,(Input!T$55-150)/30*T448+T449+T450+T451+T452+T453))))))),0)</f>
        <v>0</v>
      </c>
      <c r="U1088" s="229">
        <f>IF(Years="Five",IF(U$338&gt;$D$33,0,IF(Input!U$55=0,0,IF(Input!U$55&lt;31,Input!U$55/30*U453,IF(Input!U$55&lt;61,(Input!U$55-30)/30*U452+U453,IF(Input!U$55&lt;91,(Input!U$55-60)/30*U451+U452+U453,IF(Input!U$55&lt;121,(Input!U$55-90)/30*U450+U451+U452+U453,IF(Input!U$55&lt;151,(Input!U$55-120)/30*U449+U450+U451+U452+U453,(Input!U$55-150)/30*U448+U449+U450+U451+U452+U453))))))),0)</f>
        <v>0</v>
      </c>
      <c r="V1088" s="229">
        <f>IF(Years="Five",IF(V$338&gt;$D$33,0,IF(Input!V$55=0,0,IF(Input!V$55&lt;31,Input!V$55/30*V453,IF(Input!V$55&lt;61,(Input!V$55-30)/30*V452+V453,IF(Input!V$55&lt;91,(Input!V$55-60)/30*V451+V452+V453,IF(Input!V$55&lt;121,(Input!V$55-90)/30*V450+V451+V452+V453,IF(Input!V$55&lt;151,(Input!V$55-120)/30*V449+V450+V451+V452+V453,(Input!V$55-150)/30*V448+V449+V450+V451+V452+V453))))))),0)</f>
        <v>0</v>
      </c>
      <c r="W1088" s="229">
        <f>IF(Years="Five",IF(W$338&gt;$D$33,0,IF(Input!W$55=0,0,IF(Input!W$55&lt;31,Input!W$55/30*W453,IF(Input!W$55&lt;61,(Input!W$55-30)/30*W452+W453,IF(Input!W$55&lt;91,(Input!W$55-60)/30*W451+W452+W453,IF(Input!W$55&lt;121,(Input!W$55-90)/30*W450+W451+W452+W453,IF(Input!W$55&lt;151,(Input!W$55-120)/30*W449+W450+W451+W452+W453,(Input!W$55-150)/30*W448+W449+W450+W451+W452+W453))))))),0)</f>
        <v>0</v>
      </c>
      <c r="X1088" s="229">
        <f>IF(Years="Five",IF(X$338&gt;$D$33,0,IF(Input!X$55=0,0,IF(Input!X$55&lt;31,Input!X$55/30*X453,IF(Input!X$55&lt;61,(Input!X$55-30)/30*X452+X453,IF(Input!X$55&lt;91,(Input!X$55-60)/30*X451+X452+X453,IF(Input!X$55&lt;121,(Input!X$55-90)/30*X450+X451+X452+X453,IF(Input!X$55&lt;151,(Input!X$55-120)/30*X449+X450+X451+X452+X453,(Input!X$55-150)/30*X448+X449+X450+X451+X452+X453))))))),0)</f>
        <v>0</v>
      </c>
      <c r="Y1088" s="229">
        <f>IF(Years="Five",IF(Y$338&gt;$D$33,0,IF(Input!Y$55=0,0,IF(Input!Y$55&lt;31,Input!Y$55/30*Y453,IF(Input!Y$55&lt;61,(Input!Y$55-30)/30*Y452+Y453,IF(Input!Y$55&lt;91,(Input!Y$55-60)/30*Y451+Y452+Y453,IF(Input!Y$55&lt;121,(Input!Y$55-90)/30*Y450+Y451+Y452+Y453,IF(Input!Y$55&lt;151,(Input!Y$55-120)/30*Y449+Y450+Y451+Y452+Y453,(Input!Y$55-150)/30*Y448+Y449+Y450+Y451+Y452+Y453))))))),0)</f>
        <v>0</v>
      </c>
      <c r="Z1088" s="229">
        <f>IF(Years="Five",IF(Z$338&gt;$D$33,0,IF(Input!Z$55=0,0,IF(Input!Z$55&lt;31,Input!Z$55/30*Z453,IF(Input!Z$55&lt;61,(Input!Z$55-30)/30*Z452+Z453,IF(Input!Z$55&lt;91,(Input!Z$55-60)/30*Z451+Z452+Z453,IF(Input!Z$55&lt;121,(Input!Z$55-90)/30*Z450+Z451+Z452+Z453,IF(Input!Z$55&lt;151,(Input!Z$55-120)/30*Z449+Z450+Z451+Z452+Z453,(Input!Z$55-150)/30*Z448+Z449+Z450+Z451+Z452+Z453))))))),0)</f>
        <v>0</v>
      </c>
      <c r="AA1088" s="229">
        <f>IF(Years="Five",IF(AA$338&gt;$D$33,0,IF(Input!AA$55=0,0,IF(Input!AA$55&lt;31,Input!AA$55/30*AA453,IF(Input!AA$55&lt;61,(Input!AA$55-30)/30*AA452+AA453,IF(Input!AA$55&lt;91,(Input!AA$55-60)/30*AA451+AA452+AA453,IF(Input!AA$55&lt;121,(Input!AA$55-90)/30*AA450+AA451+AA452+AA453,IF(Input!AA$55&lt;151,(Input!AA$55-120)/30*AA449+AA450+AA451+AA452+AA453,(Input!AA$55-150)/30*AA448+AA449+AA450+AA451+AA452+AA453))))))),0)</f>
        <v>0</v>
      </c>
      <c r="AB1088" s="298">
        <f>IF(Years="Five",IF(AB$338&gt;$D$33,0,IF(Input!AB$55=0,0,IF(Input!AB$55&lt;31,Input!AB$55/30*AB453,IF(Input!AB$55&lt;61,(Input!AB$55-30)/30*AB452+AB453,IF(Input!AB$55&lt;91,(Input!AB$55-60)/30*AB451+AB452+AB453,IF(Input!AB$55&lt;121,(Input!AB$55-90)/30*AB450+AB451+AB452+AB453,IF(Input!AB$55&lt;151,(Input!AB$55-120)/30*AB449+AB450+AB451+AB452+AB453,(Input!AB$55-150)/30*AB448+AB449+AB450+AB451+AB452+AB453))))))),0)</f>
        <v>0</v>
      </c>
      <c r="CH1088" s="269"/>
      <c r="CI1088" s="269"/>
      <c r="CJ1088" s="269"/>
      <c r="CK1088" s="269"/>
      <c r="CL1088" s="269"/>
      <c r="CM1088" s="269"/>
      <c r="CN1088" s="269"/>
      <c r="CO1088" s="269"/>
      <c r="CP1088" s="269"/>
      <c r="CQ1088" s="269"/>
      <c r="CR1088" s="269"/>
      <c r="CS1088" s="269"/>
    </row>
    <row r="1089" spans="3:97" x14ac:dyDescent="0.3">
      <c r="C1089" s="638">
        <f>C1026</f>
        <v>1369</v>
      </c>
      <c r="D1089" s="297">
        <f>IF(Years="Five",IF(D$338&gt;$D$33,0,IF(Input!D$55=0,0,IF(Input!D$55&lt;31,Input!D$55/30*D454,IF(Input!D$55&lt;61,(Input!D$55-30)/30*D453+D454,IF(Input!D$55&lt;91,(Input!D$55-60)/30*D452+D453+D454,IF(Input!D$55&lt;121,(Input!D$55-90)/30*D451+D452+D453+D454,IF(Input!D$55&lt;151,(Input!D$55-120)/30*D450+D451+D452+D453+D454,(Input!D$55-150)/30*D449+D450+D451+D452+D453+D454))))))),0)</f>
        <v>0</v>
      </c>
      <c r="E1089" s="229">
        <f>IF(Years="Five",IF(E$338&gt;$D$33,0,IF(Input!E$55=0,0,IF(Input!E$55&lt;31,Input!E$55/30*E454,IF(Input!E$55&lt;61,(Input!E$55-30)/30*E453+E454,IF(Input!E$55&lt;91,(Input!E$55-60)/30*E452+E453+E454,IF(Input!E$55&lt;121,(Input!E$55-90)/30*E451+E452+E453+E454,IF(Input!E$55&lt;151,(Input!E$55-120)/30*E450+E451+E452+E453+E454,(Input!E$55-150)/30*E449+E450+E451+E452+E453+E454))))))),0)</f>
        <v>0</v>
      </c>
      <c r="F1089" s="229">
        <f>IF(Years="Five",IF(F$338&gt;$D$33,0,IF(Input!F$55=0,0,IF(Input!F$55&lt;31,Input!F$55/30*F454,IF(Input!F$55&lt;61,(Input!F$55-30)/30*F453+F454,IF(Input!F$55&lt;91,(Input!F$55-60)/30*F452+F453+F454,IF(Input!F$55&lt;121,(Input!F$55-90)/30*F451+F452+F453+F454,IF(Input!F$55&lt;151,(Input!F$55-120)/30*F450+F451+F452+F453+F454,(Input!F$55-150)/30*F449+F450+F451+F452+F453+F454))))))),0)</f>
        <v>0</v>
      </c>
      <c r="G1089" s="229">
        <f>IF(Years="Five",IF(G$338&gt;$D$33,0,IF(Input!G$55=0,0,IF(Input!G$55&lt;31,Input!G$55/30*G454,IF(Input!G$55&lt;61,(Input!G$55-30)/30*G453+G454,IF(Input!G$55&lt;91,(Input!G$55-60)/30*G452+G453+G454,IF(Input!G$55&lt;121,(Input!G$55-90)/30*G451+G452+G453+G454,IF(Input!G$55&lt;151,(Input!G$55-120)/30*G450+G451+G452+G453+G454,(Input!G$55-150)/30*G449+G450+G451+G452+G453+G454))))))),0)</f>
        <v>0</v>
      </c>
      <c r="H1089" s="229">
        <f>IF(Years="Five",IF(H$338&gt;$D$33,0,IF(Input!H$55=0,0,IF(Input!H$55&lt;31,Input!H$55/30*H454,IF(Input!H$55&lt;61,(Input!H$55-30)/30*H453+H454,IF(Input!H$55&lt;91,(Input!H$55-60)/30*H452+H453+H454,IF(Input!H$55&lt;121,(Input!H$55-90)/30*H451+H452+H453+H454,IF(Input!H$55&lt;151,(Input!H$55-120)/30*H450+H451+H452+H453+H454,(Input!H$55-150)/30*H449+H450+H451+H452+H453+H454))))))),0)</f>
        <v>0</v>
      </c>
      <c r="I1089" s="229">
        <f>IF(Years="Five",IF(I$338&gt;$D$33,0,IF(Input!I$55=0,0,IF(Input!I$55&lt;31,Input!I$55/30*I454,IF(Input!I$55&lt;61,(Input!I$55-30)/30*I453+I454,IF(Input!I$55&lt;91,(Input!I$55-60)/30*I452+I453+I454,IF(Input!I$55&lt;121,(Input!I$55-90)/30*I451+I452+I453+I454,IF(Input!I$55&lt;151,(Input!I$55-120)/30*I450+I451+I452+I453+I454,(Input!I$55-150)/30*I449+I450+I451+I452+I453+I454))))))),0)</f>
        <v>0</v>
      </c>
      <c r="J1089" s="229">
        <f>IF(Years="Five",IF(J$338&gt;$D$33,0,IF(Input!J$55=0,0,IF(Input!J$55&lt;31,Input!J$55/30*J454,IF(Input!J$55&lt;61,(Input!J$55-30)/30*J453+J454,IF(Input!J$55&lt;91,(Input!J$55-60)/30*J452+J453+J454,IF(Input!J$55&lt;121,(Input!J$55-90)/30*J451+J452+J453+J454,IF(Input!J$55&lt;151,(Input!J$55-120)/30*J450+J451+J452+J453+J454,(Input!J$55-150)/30*J449+J450+J451+J452+J453+J454))))))),0)</f>
        <v>0</v>
      </c>
      <c r="K1089" s="229">
        <f>IF(Years="Five",IF(K$338&gt;$D$33,0,IF(Input!K$55=0,0,IF(Input!K$55&lt;31,Input!K$55/30*K454,IF(Input!K$55&lt;61,(Input!K$55-30)/30*K453+K454,IF(Input!K$55&lt;91,(Input!K$55-60)/30*K452+K453+K454,IF(Input!K$55&lt;121,(Input!K$55-90)/30*K451+K452+K453+K454,IF(Input!K$55&lt;151,(Input!K$55-120)/30*K450+K451+K452+K453+K454,(Input!K$55-150)/30*K449+K450+K451+K452+K453+K454))))))),0)</f>
        <v>0</v>
      </c>
      <c r="L1089" s="229">
        <f>IF(Years="Five",IF(L$338&gt;$D$33,0,IF(Input!L$55=0,0,IF(Input!L$55&lt;31,Input!L$55/30*L454,IF(Input!L$55&lt;61,(Input!L$55-30)/30*L453+L454,IF(Input!L$55&lt;91,(Input!L$55-60)/30*L452+L453+L454,IF(Input!L$55&lt;121,(Input!L$55-90)/30*L451+L452+L453+L454,IF(Input!L$55&lt;151,(Input!L$55-120)/30*L450+L451+L452+L453+L454,(Input!L$55-150)/30*L449+L450+L451+L452+L453+L454))))))),0)</f>
        <v>0</v>
      </c>
      <c r="M1089" s="229">
        <f>IF(Years="Five",IF(M$338&gt;$D$33,0,IF(Input!M$55=0,0,IF(Input!M$55&lt;31,Input!M$55/30*M454,IF(Input!M$55&lt;61,(Input!M$55-30)/30*M453+M454,IF(Input!M$55&lt;91,(Input!M$55-60)/30*M452+M453+M454,IF(Input!M$55&lt;121,(Input!M$55-90)/30*M451+M452+M453+M454,IF(Input!M$55&lt;151,(Input!M$55-120)/30*M450+M451+M452+M453+M454,(Input!M$55-150)/30*M449+M450+M451+M452+M453+M454))))))),0)</f>
        <v>0</v>
      </c>
      <c r="N1089" s="229">
        <f>IF(Years="Five",IF(N$338&gt;$D$33,0,IF(Input!N$55=0,0,IF(Input!N$55&lt;31,Input!N$55/30*N454,IF(Input!N$55&lt;61,(Input!N$55-30)/30*N453+N454,IF(Input!N$55&lt;91,(Input!N$55-60)/30*N452+N453+N454,IF(Input!N$55&lt;121,(Input!N$55-90)/30*N451+N452+N453+N454,IF(Input!N$55&lt;151,(Input!N$55-120)/30*N450+N451+N452+N453+N454,(Input!N$55-150)/30*N449+N450+N451+N452+N453+N454))))))),0)</f>
        <v>0</v>
      </c>
      <c r="O1089" s="229">
        <f>IF(Years="Five",IF(O$338&gt;$D$33,0,IF(Input!O$55=0,0,IF(Input!O$55&lt;31,Input!O$55/30*O454,IF(Input!O$55&lt;61,(Input!O$55-30)/30*O453+O454,IF(Input!O$55&lt;91,(Input!O$55-60)/30*O452+O453+O454,IF(Input!O$55&lt;121,(Input!O$55-90)/30*O451+O452+O453+O454,IF(Input!O$55&lt;151,(Input!O$55-120)/30*O450+O451+O452+O453+O454,(Input!O$55-150)/30*O449+O450+O451+O452+O453+O454))))))),0)</f>
        <v>0</v>
      </c>
      <c r="P1089" s="229">
        <f>IF(Years="Five",IF(P$338&gt;$D$33,0,IF(Input!P$55=0,0,IF(Input!P$55&lt;31,Input!P$55/30*P454,IF(Input!P$55&lt;61,(Input!P$55-30)/30*P453+P454,IF(Input!P$55&lt;91,(Input!P$55-60)/30*P452+P453+P454,IF(Input!P$55&lt;121,(Input!P$55-90)/30*P451+P452+P453+P454,IF(Input!P$55&lt;151,(Input!P$55-120)/30*P450+P451+P452+P453+P454,(Input!P$55-150)/30*P449+P450+P451+P452+P453+P454))))))),0)</f>
        <v>0</v>
      </c>
      <c r="Q1089" s="229">
        <f>IF(Years="Five",IF(Q$338&gt;$D$33,0,IF(Input!Q$55=0,0,IF(Input!Q$55&lt;31,Input!Q$55/30*Q454,IF(Input!Q$55&lt;61,(Input!Q$55-30)/30*Q453+Q454,IF(Input!Q$55&lt;91,(Input!Q$55-60)/30*Q452+Q453+Q454,IF(Input!Q$55&lt;121,(Input!Q$55-90)/30*Q451+Q452+Q453+Q454,IF(Input!Q$55&lt;151,(Input!Q$55-120)/30*Q450+Q451+Q452+Q453+Q454,(Input!Q$55-150)/30*Q449+Q450+Q451+Q452+Q453+Q454))))))),0)</f>
        <v>0</v>
      </c>
      <c r="R1089" s="229">
        <f>IF(Years="Five",IF(R$338&gt;$D$33,0,IF(Input!R$55=0,0,IF(Input!R$55&lt;31,Input!R$55/30*R454,IF(Input!R$55&lt;61,(Input!R$55-30)/30*R453+R454,IF(Input!R$55&lt;91,(Input!R$55-60)/30*R452+R453+R454,IF(Input!R$55&lt;121,(Input!R$55-90)/30*R451+R452+R453+R454,IF(Input!R$55&lt;151,(Input!R$55-120)/30*R450+R451+R452+R453+R454,(Input!R$55-150)/30*R449+R450+R451+R452+R453+R454))))))),0)</f>
        <v>0</v>
      </c>
      <c r="S1089" s="229">
        <f>IF(Years="Five",IF(S$338&gt;$D$33,0,IF(Input!S$55=0,0,IF(Input!S$55&lt;31,Input!S$55/30*S454,IF(Input!S$55&lt;61,(Input!S$55-30)/30*S453+S454,IF(Input!S$55&lt;91,(Input!S$55-60)/30*S452+S453+S454,IF(Input!S$55&lt;121,(Input!S$55-90)/30*S451+S452+S453+S454,IF(Input!S$55&lt;151,(Input!S$55-120)/30*S450+S451+S452+S453+S454,(Input!S$55-150)/30*S449+S450+S451+S452+S453+S454))))))),0)</f>
        <v>0</v>
      </c>
      <c r="T1089" s="229">
        <f>IF(Years="Five",IF(T$338&gt;$D$33,0,IF(Input!T$55=0,0,IF(Input!T$55&lt;31,Input!T$55/30*T454,IF(Input!T$55&lt;61,(Input!T$55-30)/30*T453+T454,IF(Input!T$55&lt;91,(Input!T$55-60)/30*T452+T453+T454,IF(Input!T$55&lt;121,(Input!T$55-90)/30*T451+T452+T453+T454,IF(Input!T$55&lt;151,(Input!T$55-120)/30*T450+T451+T452+T453+T454,(Input!T$55-150)/30*T449+T450+T451+T452+T453+T454))))))),0)</f>
        <v>0</v>
      </c>
      <c r="U1089" s="229">
        <f>IF(Years="Five",IF(U$338&gt;$D$33,0,IF(Input!U$55=0,0,IF(Input!U$55&lt;31,Input!U$55/30*U454,IF(Input!U$55&lt;61,(Input!U$55-30)/30*U453+U454,IF(Input!U$55&lt;91,(Input!U$55-60)/30*U452+U453+U454,IF(Input!U$55&lt;121,(Input!U$55-90)/30*U451+U452+U453+U454,IF(Input!U$55&lt;151,(Input!U$55-120)/30*U450+U451+U452+U453+U454,(Input!U$55-150)/30*U449+U450+U451+U452+U453+U454))))))),0)</f>
        <v>0</v>
      </c>
      <c r="V1089" s="229">
        <f>IF(Years="Five",IF(V$338&gt;$D$33,0,IF(Input!V$55=0,0,IF(Input!V$55&lt;31,Input!V$55/30*V454,IF(Input!V$55&lt;61,(Input!V$55-30)/30*V453+V454,IF(Input!V$55&lt;91,(Input!V$55-60)/30*V452+V453+V454,IF(Input!V$55&lt;121,(Input!V$55-90)/30*V451+V452+V453+V454,IF(Input!V$55&lt;151,(Input!V$55-120)/30*V450+V451+V452+V453+V454,(Input!V$55-150)/30*V449+V450+V451+V452+V453+V454))))))),0)</f>
        <v>0</v>
      </c>
      <c r="W1089" s="229">
        <f>IF(Years="Five",IF(W$338&gt;$D$33,0,IF(Input!W$55=0,0,IF(Input!W$55&lt;31,Input!W$55/30*W454,IF(Input!W$55&lt;61,(Input!W$55-30)/30*W453+W454,IF(Input!W$55&lt;91,(Input!W$55-60)/30*W452+W453+W454,IF(Input!W$55&lt;121,(Input!W$55-90)/30*W451+W452+W453+W454,IF(Input!W$55&lt;151,(Input!W$55-120)/30*W450+W451+W452+W453+W454,(Input!W$55-150)/30*W449+W450+W451+W452+W453+W454))))))),0)</f>
        <v>0</v>
      </c>
      <c r="X1089" s="229">
        <f>IF(Years="Five",IF(X$338&gt;$D$33,0,IF(Input!X$55=0,0,IF(Input!X$55&lt;31,Input!X$55/30*X454,IF(Input!X$55&lt;61,(Input!X$55-30)/30*X453+X454,IF(Input!X$55&lt;91,(Input!X$55-60)/30*X452+X453+X454,IF(Input!X$55&lt;121,(Input!X$55-90)/30*X451+X452+X453+X454,IF(Input!X$55&lt;151,(Input!X$55-120)/30*X450+X451+X452+X453+X454,(Input!X$55-150)/30*X449+X450+X451+X452+X453+X454))))))),0)</f>
        <v>0</v>
      </c>
      <c r="Y1089" s="229">
        <f>IF(Years="Five",IF(Y$338&gt;$D$33,0,IF(Input!Y$55=0,0,IF(Input!Y$55&lt;31,Input!Y$55/30*Y454,IF(Input!Y$55&lt;61,(Input!Y$55-30)/30*Y453+Y454,IF(Input!Y$55&lt;91,(Input!Y$55-60)/30*Y452+Y453+Y454,IF(Input!Y$55&lt;121,(Input!Y$55-90)/30*Y451+Y452+Y453+Y454,IF(Input!Y$55&lt;151,(Input!Y$55-120)/30*Y450+Y451+Y452+Y453+Y454,(Input!Y$55-150)/30*Y449+Y450+Y451+Y452+Y453+Y454))))))),0)</f>
        <v>0</v>
      </c>
      <c r="Z1089" s="229">
        <f>IF(Years="Five",IF(Z$338&gt;$D$33,0,IF(Input!Z$55=0,0,IF(Input!Z$55&lt;31,Input!Z$55/30*Z454,IF(Input!Z$55&lt;61,(Input!Z$55-30)/30*Z453+Z454,IF(Input!Z$55&lt;91,(Input!Z$55-60)/30*Z452+Z453+Z454,IF(Input!Z$55&lt;121,(Input!Z$55-90)/30*Z451+Z452+Z453+Z454,IF(Input!Z$55&lt;151,(Input!Z$55-120)/30*Z450+Z451+Z452+Z453+Z454,(Input!Z$55-150)/30*Z449+Z450+Z451+Z452+Z453+Z454))))))),0)</f>
        <v>0</v>
      </c>
      <c r="AA1089" s="229">
        <f>IF(Years="Five",IF(AA$338&gt;$D$33,0,IF(Input!AA$55=0,0,IF(Input!AA$55&lt;31,Input!AA$55/30*AA454,IF(Input!AA$55&lt;61,(Input!AA$55-30)/30*AA453+AA454,IF(Input!AA$55&lt;91,(Input!AA$55-60)/30*AA452+AA453+AA454,IF(Input!AA$55&lt;121,(Input!AA$55-90)/30*AA451+AA452+AA453+AA454,IF(Input!AA$55&lt;151,(Input!AA$55-120)/30*AA450+AA451+AA452+AA453+AA454,(Input!AA$55-150)/30*AA449+AA450+AA451+AA452+AA453+AA454))))))),0)</f>
        <v>0</v>
      </c>
      <c r="AB1089" s="298">
        <f>IF(Years="Five",IF(AB$338&gt;$D$33,0,IF(Input!AB$55=0,0,IF(Input!AB$55&lt;31,Input!AB$55/30*AB454,IF(Input!AB$55&lt;61,(Input!AB$55-30)/30*AB453+AB454,IF(Input!AB$55&lt;91,(Input!AB$55-60)/30*AB452+AB453+AB454,IF(Input!AB$55&lt;121,(Input!AB$55-90)/30*AB451+AB452+AB453+AB454,IF(Input!AB$55&lt;151,(Input!AB$55-120)/30*AB450+AB451+AB452+AB453+AB454,(Input!AB$55-150)/30*AB449+AB450+AB451+AB452+AB453+AB454))))))),0)</f>
        <v>0</v>
      </c>
      <c r="CH1089" s="269"/>
      <c r="CI1089" s="269"/>
      <c r="CJ1089" s="269"/>
      <c r="CK1089" s="269"/>
      <c r="CL1089" s="269"/>
      <c r="CM1089" s="269"/>
      <c r="CN1089" s="269"/>
      <c r="CO1089" s="269"/>
      <c r="CP1089" s="269"/>
      <c r="CQ1089" s="269"/>
      <c r="CR1089" s="269"/>
      <c r="CS1089" s="269"/>
    </row>
    <row r="1090" spans="3:97" x14ac:dyDescent="0.3">
      <c r="C1090" s="638">
        <f>C1027</f>
        <v>1400</v>
      </c>
      <c r="D1090" s="297">
        <f>IF(Years="Five",IF(D$338&gt;$D$33,0,IF(Input!D$55=0,0,IF(Input!D$55&lt;31,Input!D$55/30*D455,IF(Input!D$55&lt;61,(Input!D$55-30)/30*D454+D455,IF(Input!D$55&lt;91,(Input!D$55-60)/30*D453+D454+D455,IF(Input!D$55&lt;121,(Input!D$55-90)/30*D452+D453+D454+D455,IF(Input!D$55&lt;151,(Input!D$55-120)/30*D451+D452+D453+D454+D455,(Input!D$55-150)/30*D450+D451+D452+D453+D454+D455))))))),0)</f>
        <v>0</v>
      </c>
      <c r="E1090" s="229">
        <f>IF(Years="Five",IF(E$338&gt;$D$33,0,IF(Input!E$55=0,0,IF(Input!E$55&lt;31,Input!E$55/30*E455,IF(Input!E$55&lt;61,(Input!E$55-30)/30*E454+E455,IF(Input!E$55&lt;91,(Input!E$55-60)/30*E453+E454+E455,IF(Input!E$55&lt;121,(Input!E$55-90)/30*E452+E453+E454+E455,IF(Input!E$55&lt;151,(Input!E$55-120)/30*E451+E452+E453+E454+E455,(Input!E$55-150)/30*E450+E451+E452+E453+E454+E455))))))),0)</f>
        <v>0</v>
      </c>
      <c r="F1090" s="229">
        <f>IF(Years="Five",IF(F$338&gt;$D$33,0,IF(Input!F$55=0,0,IF(Input!F$55&lt;31,Input!F$55/30*F455,IF(Input!F$55&lt;61,(Input!F$55-30)/30*F454+F455,IF(Input!F$55&lt;91,(Input!F$55-60)/30*F453+F454+F455,IF(Input!F$55&lt;121,(Input!F$55-90)/30*F452+F453+F454+F455,IF(Input!F$55&lt;151,(Input!F$55-120)/30*F451+F452+F453+F454+F455,(Input!F$55-150)/30*F450+F451+F452+F453+F454+F455))))))),0)</f>
        <v>0</v>
      </c>
      <c r="G1090" s="229">
        <f>IF(Years="Five",IF(G$338&gt;$D$33,0,IF(Input!G$55=0,0,IF(Input!G$55&lt;31,Input!G$55/30*G455,IF(Input!G$55&lt;61,(Input!G$55-30)/30*G454+G455,IF(Input!G$55&lt;91,(Input!G$55-60)/30*G453+G454+G455,IF(Input!G$55&lt;121,(Input!G$55-90)/30*G452+G453+G454+G455,IF(Input!G$55&lt;151,(Input!G$55-120)/30*G451+G452+G453+G454+G455,(Input!G$55-150)/30*G450+G451+G452+G453+G454+G455))))))),0)</f>
        <v>0</v>
      </c>
      <c r="H1090" s="229">
        <f>IF(Years="Five",IF(H$338&gt;$D$33,0,IF(Input!H$55=0,0,IF(Input!H$55&lt;31,Input!H$55/30*H455,IF(Input!H$55&lt;61,(Input!H$55-30)/30*H454+H455,IF(Input!H$55&lt;91,(Input!H$55-60)/30*H453+H454+H455,IF(Input!H$55&lt;121,(Input!H$55-90)/30*H452+H453+H454+H455,IF(Input!H$55&lt;151,(Input!H$55-120)/30*H451+H452+H453+H454+H455,(Input!H$55-150)/30*H450+H451+H452+H453+H454+H455))))))),0)</f>
        <v>0</v>
      </c>
      <c r="I1090" s="229">
        <f>IF(Years="Five",IF(I$338&gt;$D$33,0,IF(Input!I$55=0,0,IF(Input!I$55&lt;31,Input!I$55/30*I455,IF(Input!I$55&lt;61,(Input!I$55-30)/30*I454+I455,IF(Input!I$55&lt;91,(Input!I$55-60)/30*I453+I454+I455,IF(Input!I$55&lt;121,(Input!I$55-90)/30*I452+I453+I454+I455,IF(Input!I$55&lt;151,(Input!I$55-120)/30*I451+I452+I453+I454+I455,(Input!I$55-150)/30*I450+I451+I452+I453+I454+I455))))))),0)</f>
        <v>0</v>
      </c>
      <c r="J1090" s="229">
        <f>IF(Years="Five",IF(J$338&gt;$D$33,0,IF(Input!J$55=0,0,IF(Input!J$55&lt;31,Input!J$55/30*J455,IF(Input!J$55&lt;61,(Input!J$55-30)/30*J454+J455,IF(Input!J$55&lt;91,(Input!J$55-60)/30*J453+J454+J455,IF(Input!J$55&lt;121,(Input!J$55-90)/30*J452+J453+J454+J455,IF(Input!J$55&lt;151,(Input!J$55-120)/30*J451+J452+J453+J454+J455,(Input!J$55-150)/30*J450+J451+J452+J453+J454+J455))))))),0)</f>
        <v>0</v>
      </c>
      <c r="K1090" s="229">
        <f>IF(Years="Five",IF(K$338&gt;$D$33,0,IF(Input!K$55=0,0,IF(Input!K$55&lt;31,Input!K$55/30*K455,IF(Input!K$55&lt;61,(Input!K$55-30)/30*K454+K455,IF(Input!K$55&lt;91,(Input!K$55-60)/30*K453+K454+K455,IF(Input!K$55&lt;121,(Input!K$55-90)/30*K452+K453+K454+K455,IF(Input!K$55&lt;151,(Input!K$55-120)/30*K451+K452+K453+K454+K455,(Input!K$55-150)/30*K450+K451+K452+K453+K454+K455))))))),0)</f>
        <v>0</v>
      </c>
      <c r="L1090" s="229">
        <f>IF(Years="Five",IF(L$338&gt;$D$33,0,IF(Input!L$55=0,0,IF(Input!L$55&lt;31,Input!L$55/30*L455,IF(Input!L$55&lt;61,(Input!L$55-30)/30*L454+L455,IF(Input!L$55&lt;91,(Input!L$55-60)/30*L453+L454+L455,IF(Input!L$55&lt;121,(Input!L$55-90)/30*L452+L453+L454+L455,IF(Input!L$55&lt;151,(Input!L$55-120)/30*L451+L452+L453+L454+L455,(Input!L$55-150)/30*L450+L451+L452+L453+L454+L455))))))),0)</f>
        <v>0</v>
      </c>
      <c r="M1090" s="229">
        <f>IF(Years="Five",IF(M$338&gt;$D$33,0,IF(Input!M$55=0,0,IF(Input!M$55&lt;31,Input!M$55/30*M455,IF(Input!M$55&lt;61,(Input!M$55-30)/30*M454+M455,IF(Input!M$55&lt;91,(Input!M$55-60)/30*M453+M454+M455,IF(Input!M$55&lt;121,(Input!M$55-90)/30*M452+M453+M454+M455,IF(Input!M$55&lt;151,(Input!M$55-120)/30*M451+M452+M453+M454+M455,(Input!M$55-150)/30*M450+M451+M452+M453+M454+M455))))))),0)</f>
        <v>0</v>
      </c>
      <c r="N1090" s="229">
        <f>IF(Years="Five",IF(N$338&gt;$D$33,0,IF(Input!N$55=0,0,IF(Input!N$55&lt;31,Input!N$55/30*N455,IF(Input!N$55&lt;61,(Input!N$55-30)/30*N454+N455,IF(Input!N$55&lt;91,(Input!N$55-60)/30*N453+N454+N455,IF(Input!N$55&lt;121,(Input!N$55-90)/30*N452+N453+N454+N455,IF(Input!N$55&lt;151,(Input!N$55-120)/30*N451+N452+N453+N454+N455,(Input!N$55-150)/30*N450+N451+N452+N453+N454+N455))))))),0)</f>
        <v>0</v>
      </c>
      <c r="O1090" s="229">
        <f>IF(Years="Five",IF(O$338&gt;$D$33,0,IF(Input!O$55=0,0,IF(Input!O$55&lt;31,Input!O$55/30*O455,IF(Input!O$55&lt;61,(Input!O$55-30)/30*O454+O455,IF(Input!O$55&lt;91,(Input!O$55-60)/30*O453+O454+O455,IF(Input!O$55&lt;121,(Input!O$55-90)/30*O452+O453+O454+O455,IF(Input!O$55&lt;151,(Input!O$55-120)/30*O451+O452+O453+O454+O455,(Input!O$55-150)/30*O450+O451+O452+O453+O454+O455))))))),0)</f>
        <v>0</v>
      </c>
      <c r="P1090" s="229">
        <f>IF(Years="Five",IF(P$338&gt;$D$33,0,IF(Input!P$55=0,0,IF(Input!P$55&lt;31,Input!P$55/30*P455,IF(Input!P$55&lt;61,(Input!P$55-30)/30*P454+P455,IF(Input!P$55&lt;91,(Input!P$55-60)/30*P453+P454+P455,IF(Input!P$55&lt;121,(Input!P$55-90)/30*P452+P453+P454+P455,IF(Input!P$55&lt;151,(Input!P$55-120)/30*P451+P452+P453+P454+P455,(Input!P$55-150)/30*P450+P451+P452+P453+P454+P455))))))),0)</f>
        <v>0</v>
      </c>
      <c r="Q1090" s="229">
        <f>IF(Years="Five",IF(Q$338&gt;$D$33,0,IF(Input!Q$55=0,0,IF(Input!Q$55&lt;31,Input!Q$55/30*Q455,IF(Input!Q$55&lt;61,(Input!Q$55-30)/30*Q454+Q455,IF(Input!Q$55&lt;91,(Input!Q$55-60)/30*Q453+Q454+Q455,IF(Input!Q$55&lt;121,(Input!Q$55-90)/30*Q452+Q453+Q454+Q455,IF(Input!Q$55&lt;151,(Input!Q$55-120)/30*Q451+Q452+Q453+Q454+Q455,(Input!Q$55-150)/30*Q450+Q451+Q452+Q453+Q454+Q455))))))),0)</f>
        <v>0</v>
      </c>
      <c r="R1090" s="229">
        <f>IF(Years="Five",IF(R$338&gt;$D$33,0,IF(Input!R$55=0,0,IF(Input!R$55&lt;31,Input!R$55/30*R455,IF(Input!R$55&lt;61,(Input!R$55-30)/30*R454+R455,IF(Input!R$55&lt;91,(Input!R$55-60)/30*R453+R454+R455,IF(Input!R$55&lt;121,(Input!R$55-90)/30*R452+R453+R454+R455,IF(Input!R$55&lt;151,(Input!R$55-120)/30*R451+R452+R453+R454+R455,(Input!R$55-150)/30*R450+R451+R452+R453+R454+R455))))))),0)</f>
        <v>0</v>
      </c>
      <c r="S1090" s="229">
        <f>IF(Years="Five",IF(S$338&gt;$D$33,0,IF(Input!S$55=0,0,IF(Input!S$55&lt;31,Input!S$55/30*S455,IF(Input!S$55&lt;61,(Input!S$55-30)/30*S454+S455,IF(Input!S$55&lt;91,(Input!S$55-60)/30*S453+S454+S455,IF(Input!S$55&lt;121,(Input!S$55-90)/30*S452+S453+S454+S455,IF(Input!S$55&lt;151,(Input!S$55-120)/30*S451+S452+S453+S454+S455,(Input!S$55-150)/30*S450+S451+S452+S453+S454+S455))))))),0)</f>
        <v>0</v>
      </c>
      <c r="T1090" s="229">
        <f>IF(Years="Five",IF(T$338&gt;$D$33,0,IF(Input!T$55=0,0,IF(Input!T$55&lt;31,Input!T$55/30*T455,IF(Input!T$55&lt;61,(Input!T$55-30)/30*T454+T455,IF(Input!T$55&lt;91,(Input!T$55-60)/30*T453+T454+T455,IF(Input!T$55&lt;121,(Input!T$55-90)/30*T452+T453+T454+T455,IF(Input!T$55&lt;151,(Input!T$55-120)/30*T451+T452+T453+T454+T455,(Input!T$55-150)/30*T450+T451+T452+T453+T454+T455))))))),0)</f>
        <v>0</v>
      </c>
      <c r="U1090" s="229">
        <f>IF(Years="Five",IF(U$338&gt;$D$33,0,IF(Input!U$55=0,0,IF(Input!U$55&lt;31,Input!U$55/30*U455,IF(Input!U$55&lt;61,(Input!U$55-30)/30*U454+U455,IF(Input!U$55&lt;91,(Input!U$55-60)/30*U453+U454+U455,IF(Input!U$55&lt;121,(Input!U$55-90)/30*U452+U453+U454+U455,IF(Input!U$55&lt;151,(Input!U$55-120)/30*U451+U452+U453+U454+U455,(Input!U$55-150)/30*U450+U451+U452+U453+U454+U455))))))),0)</f>
        <v>0</v>
      </c>
      <c r="V1090" s="229">
        <f>IF(Years="Five",IF(V$338&gt;$D$33,0,IF(Input!V$55=0,0,IF(Input!V$55&lt;31,Input!V$55/30*V455,IF(Input!V$55&lt;61,(Input!V$55-30)/30*V454+V455,IF(Input!V$55&lt;91,(Input!V$55-60)/30*V453+V454+V455,IF(Input!V$55&lt;121,(Input!V$55-90)/30*V452+V453+V454+V455,IF(Input!V$55&lt;151,(Input!V$55-120)/30*V451+V452+V453+V454+V455,(Input!V$55-150)/30*V450+V451+V452+V453+V454+V455))))))),0)</f>
        <v>0</v>
      </c>
      <c r="W1090" s="229">
        <f>IF(Years="Five",IF(W$338&gt;$D$33,0,IF(Input!W$55=0,0,IF(Input!W$55&lt;31,Input!W$55/30*W455,IF(Input!W$55&lt;61,(Input!W$55-30)/30*W454+W455,IF(Input!W$55&lt;91,(Input!W$55-60)/30*W453+W454+W455,IF(Input!W$55&lt;121,(Input!W$55-90)/30*W452+W453+W454+W455,IF(Input!W$55&lt;151,(Input!W$55-120)/30*W451+W452+W453+W454+W455,(Input!W$55-150)/30*W450+W451+W452+W453+W454+W455))))))),0)</f>
        <v>0</v>
      </c>
      <c r="X1090" s="229">
        <f>IF(Years="Five",IF(X$338&gt;$D$33,0,IF(Input!X$55=0,0,IF(Input!X$55&lt;31,Input!X$55/30*X455,IF(Input!X$55&lt;61,(Input!X$55-30)/30*X454+X455,IF(Input!X$55&lt;91,(Input!X$55-60)/30*X453+X454+X455,IF(Input!X$55&lt;121,(Input!X$55-90)/30*X452+X453+X454+X455,IF(Input!X$55&lt;151,(Input!X$55-120)/30*X451+X452+X453+X454+X455,(Input!X$55-150)/30*X450+X451+X452+X453+X454+X455))))))),0)</f>
        <v>0</v>
      </c>
      <c r="Y1090" s="229">
        <f>IF(Years="Five",IF(Y$338&gt;$D$33,0,IF(Input!Y$55=0,0,IF(Input!Y$55&lt;31,Input!Y$55/30*Y455,IF(Input!Y$55&lt;61,(Input!Y$55-30)/30*Y454+Y455,IF(Input!Y$55&lt;91,(Input!Y$55-60)/30*Y453+Y454+Y455,IF(Input!Y$55&lt;121,(Input!Y$55-90)/30*Y452+Y453+Y454+Y455,IF(Input!Y$55&lt;151,(Input!Y$55-120)/30*Y451+Y452+Y453+Y454+Y455,(Input!Y$55-150)/30*Y450+Y451+Y452+Y453+Y454+Y455))))))),0)</f>
        <v>0</v>
      </c>
      <c r="Z1090" s="229">
        <f>IF(Years="Five",IF(Z$338&gt;$D$33,0,IF(Input!Z$55=0,0,IF(Input!Z$55&lt;31,Input!Z$55/30*Z455,IF(Input!Z$55&lt;61,(Input!Z$55-30)/30*Z454+Z455,IF(Input!Z$55&lt;91,(Input!Z$55-60)/30*Z453+Z454+Z455,IF(Input!Z$55&lt;121,(Input!Z$55-90)/30*Z452+Z453+Z454+Z455,IF(Input!Z$55&lt;151,(Input!Z$55-120)/30*Z451+Z452+Z453+Z454+Z455,(Input!Z$55-150)/30*Z450+Z451+Z452+Z453+Z454+Z455))))))),0)</f>
        <v>0</v>
      </c>
      <c r="AA1090" s="229">
        <f>IF(Years="Five",IF(AA$338&gt;$D$33,0,IF(Input!AA$55=0,0,IF(Input!AA$55&lt;31,Input!AA$55/30*AA455,IF(Input!AA$55&lt;61,(Input!AA$55-30)/30*AA454+AA455,IF(Input!AA$55&lt;91,(Input!AA$55-60)/30*AA453+AA454+AA455,IF(Input!AA$55&lt;121,(Input!AA$55-90)/30*AA452+AA453+AA454+AA455,IF(Input!AA$55&lt;151,(Input!AA$55-120)/30*AA451+AA452+AA453+AA454+AA455,(Input!AA$55-150)/30*AA450+AA451+AA452+AA453+AA454+AA455))))))),0)</f>
        <v>0</v>
      </c>
      <c r="AB1090" s="298">
        <f>IF(Years="Five",IF(AB$338&gt;$D$33,0,IF(Input!AB$55=0,0,IF(Input!AB$55&lt;31,Input!AB$55/30*AB455,IF(Input!AB$55&lt;61,(Input!AB$55-30)/30*AB454+AB455,IF(Input!AB$55&lt;91,(Input!AB$55-60)/30*AB453+AB454+AB455,IF(Input!AB$55&lt;121,(Input!AB$55-90)/30*AB452+AB453+AB454+AB455,IF(Input!AB$55&lt;151,(Input!AB$55-120)/30*AB451+AB452+AB453+AB454+AB455,(Input!AB$55-150)/30*AB450+AB451+AB452+AB453+AB454+AB455))))))),0)</f>
        <v>0</v>
      </c>
      <c r="CH1090" s="269"/>
      <c r="CI1090" s="269"/>
      <c r="CJ1090" s="269"/>
      <c r="CK1090" s="269"/>
      <c r="CL1090" s="269"/>
      <c r="CM1090" s="269"/>
      <c r="CN1090" s="269"/>
      <c r="CO1090" s="269"/>
      <c r="CP1090" s="269"/>
      <c r="CQ1090" s="269"/>
      <c r="CR1090" s="269"/>
      <c r="CS1090" s="269"/>
    </row>
    <row r="1091" spans="3:97" x14ac:dyDescent="0.3">
      <c r="C1091" s="638">
        <f>C1028</f>
        <v>1430</v>
      </c>
      <c r="D1091" s="297">
        <f>IF(Years="Five",IF(D$338&gt;$D$33,0,IF(Input!D$55=0,0,IF(Input!D$55&lt;31,Input!D$55/30*D456,IF(Input!D$55&lt;61,(Input!D$55-30)/30*D455+D456,IF(Input!D$55&lt;91,(Input!D$55-60)/30*D454+D455+D456,IF(Input!D$55&lt;121,(Input!D$55-90)/30*D453+D454+D455+D456,IF(Input!D$55&lt;151,(Input!D$55-120)/30*D452+D453+D454+D455+D456,(Input!D$55-150)/30*D451+D452+D453+D454+D455+D456))))))),0)</f>
        <v>0</v>
      </c>
      <c r="E1091" s="229">
        <f>IF(Years="Five",IF(E$338&gt;$D$33,0,IF(Input!E$55=0,0,IF(Input!E$55&lt;31,Input!E$55/30*E456,IF(Input!E$55&lt;61,(Input!E$55-30)/30*E455+E456,IF(Input!E$55&lt;91,(Input!E$55-60)/30*E454+E455+E456,IF(Input!E$55&lt;121,(Input!E$55-90)/30*E453+E454+E455+E456,IF(Input!E$55&lt;151,(Input!E$55-120)/30*E452+E453+E454+E455+E456,(Input!E$55-150)/30*E451+E452+E453+E454+E455+E456))))))),0)</f>
        <v>0</v>
      </c>
      <c r="F1091" s="229">
        <f>IF(Years="Five",IF(F$338&gt;$D$33,0,IF(Input!F$55=0,0,IF(Input!F$55&lt;31,Input!F$55/30*F456,IF(Input!F$55&lt;61,(Input!F$55-30)/30*F455+F456,IF(Input!F$55&lt;91,(Input!F$55-60)/30*F454+F455+F456,IF(Input!F$55&lt;121,(Input!F$55-90)/30*F453+F454+F455+F456,IF(Input!F$55&lt;151,(Input!F$55-120)/30*F452+F453+F454+F455+F456,(Input!F$55-150)/30*F451+F452+F453+F454+F455+F456))))))),0)</f>
        <v>0</v>
      </c>
      <c r="G1091" s="229">
        <f>IF(Years="Five",IF(G$338&gt;$D$33,0,IF(Input!G$55=0,0,IF(Input!G$55&lt;31,Input!G$55/30*G456,IF(Input!G$55&lt;61,(Input!G$55-30)/30*G455+G456,IF(Input!G$55&lt;91,(Input!G$55-60)/30*G454+G455+G456,IF(Input!G$55&lt;121,(Input!G$55-90)/30*G453+G454+G455+G456,IF(Input!G$55&lt;151,(Input!G$55-120)/30*G452+G453+G454+G455+G456,(Input!G$55-150)/30*G451+G452+G453+G454+G455+G456))))))),0)</f>
        <v>0</v>
      </c>
      <c r="H1091" s="229">
        <f>IF(Years="Five",IF(H$338&gt;$D$33,0,IF(Input!H$55=0,0,IF(Input!H$55&lt;31,Input!H$55/30*H456,IF(Input!H$55&lt;61,(Input!H$55-30)/30*H455+H456,IF(Input!H$55&lt;91,(Input!H$55-60)/30*H454+H455+H456,IF(Input!H$55&lt;121,(Input!H$55-90)/30*H453+H454+H455+H456,IF(Input!H$55&lt;151,(Input!H$55-120)/30*H452+H453+H454+H455+H456,(Input!H$55-150)/30*H451+H452+H453+H454+H455+H456))))))),0)</f>
        <v>0</v>
      </c>
      <c r="I1091" s="229">
        <f>IF(Years="Five",IF(I$338&gt;$D$33,0,IF(Input!I$55=0,0,IF(Input!I$55&lt;31,Input!I$55/30*I456,IF(Input!I$55&lt;61,(Input!I$55-30)/30*I455+I456,IF(Input!I$55&lt;91,(Input!I$55-60)/30*I454+I455+I456,IF(Input!I$55&lt;121,(Input!I$55-90)/30*I453+I454+I455+I456,IF(Input!I$55&lt;151,(Input!I$55-120)/30*I452+I453+I454+I455+I456,(Input!I$55-150)/30*I451+I452+I453+I454+I455+I456))))))),0)</f>
        <v>0</v>
      </c>
      <c r="J1091" s="229">
        <f>IF(Years="Five",IF(J$338&gt;$D$33,0,IF(Input!J$55=0,0,IF(Input!J$55&lt;31,Input!J$55/30*J456,IF(Input!J$55&lt;61,(Input!J$55-30)/30*J455+J456,IF(Input!J$55&lt;91,(Input!J$55-60)/30*J454+J455+J456,IF(Input!J$55&lt;121,(Input!J$55-90)/30*J453+J454+J455+J456,IF(Input!J$55&lt;151,(Input!J$55-120)/30*J452+J453+J454+J455+J456,(Input!J$55-150)/30*J451+J452+J453+J454+J455+J456))))))),0)</f>
        <v>0</v>
      </c>
      <c r="K1091" s="229">
        <f>IF(Years="Five",IF(K$338&gt;$D$33,0,IF(Input!K$55=0,0,IF(Input!K$55&lt;31,Input!K$55/30*K456,IF(Input!K$55&lt;61,(Input!K$55-30)/30*K455+K456,IF(Input!K$55&lt;91,(Input!K$55-60)/30*K454+K455+K456,IF(Input!K$55&lt;121,(Input!K$55-90)/30*K453+K454+K455+K456,IF(Input!K$55&lt;151,(Input!K$55-120)/30*K452+K453+K454+K455+K456,(Input!K$55-150)/30*K451+K452+K453+K454+K455+K456))))))),0)</f>
        <v>0</v>
      </c>
      <c r="L1091" s="229">
        <f>IF(Years="Five",IF(L$338&gt;$D$33,0,IF(Input!L$55=0,0,IF(Input!L$55&lt;31,Input!L$55/30*L456,IF(Input!L$55&lt;61,(Input!L$55-30)/30*L455+L456,IF(Input!L$55&lt;91,(Input!L$55-60)/30*L454+L455+L456,IF(Input!L$55&lt;121,(Input!L$55-90)/30*L453+L454+L455+L456,IF(Input!L$55&lt;151,(Input!L$55-120)/30*L452+L453+L454+L455+L456,(Input!L$55-150)/30*L451+L452+L453+L454+L455+L456))))))),0)</f>
        <v>0</v>
      </c>
      <c r="M1091" s="229">
        <f>IF(Years="Five",IF(M$338&gt;$D$33,0,IF(Input!M$55=0,0,IF(Input!M$55&lt;31,Input!M$55/30*M456,IF(Input!M$55&lt;61,(Input!M$55-30)/30*M455+M456,IF(Input!M$55&lt;91,(Input!M$55-60)/30*M454+M455+M456,IF(Input!M$55&lt;121,(Input!M$55-90)/30*M453+M454+M455+M456,IF(Input!M$55&lt;151,(Input!M$55-120)/30*M452+M453+M454+M455+M456,(Input!M$55-150)/30*M451+M452+M453+M454+M455+M456))))))),0)</f>
        <v>0</v>
      </c>
      <c r="N1091" s="229">
        <f>IF(Years="Five",IF(N$338&gt;$D$33,0,IF(Input!N$55=0,0,IF(Input!N$55&lt;31,Input!N$55/30*N456,IF(Input!N$55&lt;61,(Input!N$55-30)/30*N455+N456,IF(Input!N$55&lt;91,(Input!N$55-60)/30*N454+N455+N456,IF(Input!N$55&lt;121,(Input!N$55-90)/30*N453+N454+N455+N456,IF(Input!N$55&lt;151,(Input!N$55-120)/30*N452+N453+N454+N455+N456,(Input!N$55-150)/30*N451+N452+N453+N454+N455+N456))))))),0)</f>
        <v>0</v>
      </c>
      <c r="O1091" s="229">
        <f>IF(Years="Five",IF(O$338&gt;$D$33,0,IF(Input!O$55=0,0,IF(Input!O$55&lt;31,Input!O$55/30*O456,IF(Input!O$55&lt;61,(Input!O$55-30)/30*O455+O456,IF(Input!O$55&lt;91,(Input!O$55-60)/30*O454+O455+O456,IF(Input!O$55&lt;121,(Input!O$55-90)/30*O453+O454+O455+O456,IF(Input!O$55&lt;151,(Input!O$55-120)/30*O452+O453+O454+O455+O456,(Input!O$55-150)/30*O451+O452+O453+O454+O455+O456))))))),0)</f>
        <v>0</v>
      </c>
      <c r="P1091" s="229">
        <f>IF(Years="Five",IF(P$338&gt;$D$33,0,IF(Input!P$55=0,0,IF(Input!P$55&lt;31,Input!P$55/30*P456,IF(Input!P$55&lt;61,(Input!P$55-30)/30*P455+P456,IF(Input!P$55&lt;91,(Input!P$55-60)/30*P454+P455+P456,IF(Input!P$55&lt;121,(Input!P$55-90)/30*P453+P454+P455+P456,IF(Input!P$55&lt;151,(Input!P$55-120)/30*P452+P453+P454+P455+P456,(Input!P$55-150)/30*P451+P452+P453+P454+P455+P456))))))),0)</f>
        <v>0</v>
      </c>
      <c r="Q1091" s="229">
        <f>IF(Years="Five",IF(Q$338&gt;$D$33,0,IF(Input!Q$55=0,0,IF(Input!Q$55&lt;31,Input!Q$55/30*Q456,IF(Input!Q$55&lt;61,(Input!Q$55-30)/30*Q455+Q456,IF(Input!Q$55&lt;91,(Input!Q$55-60)/30*Q454+Q455+Q456,IF(Input!Q$55&lt;121,(Input!Q$55-90)/30*Q453+Q454+Q455+Q456,IF(Input!Q$55&lt;151,(Input!Q$55-120)/30*Q452+Q453+Q454+Q455+Q456,(Input!Q$55-150)/30*Q451+Q452+Q453+Q454+Q455+Q456))))))),0)</f>
        <v>0</v>
      </c>
      <c r="R1091" s="229">
        <f>IF(Years="Five",IF(R$338&gt;$D$33,0,IF(Input!R$55=0,0,IF(Input!R$55&lt;31,Input!R$55/30*R456,IF(Input!R$55&lt;61,(Input!R$55-30)/30*R455+R456,IF(Input!R$55&lt;91,(Input!R$55-60)/30*R454+R455+R456,IF(Input!R$55&lt;121,(Input!R$55-90)/30*R453+R454+R455+R456,IF(Input!R$55&lt;151,(Input!R$55-120)/30*R452+R453+R454+R455+R456,(Input!R$55-150)/30*R451+R452+R453+R454+R455+R456))))))),0)</f>
        <v>0</v>
      </c>
      <c r="S1091" s="229">
        <f>IF(Years="Five",IF(S$338&gt;$D$33,0,IF(Input!S$55=0,0,IF(Input!S$55&lt;31,Input!S$55/30*S456,IF(Input!S$55&lt;61,(Input!S$55-30)/30*S455+S456,IF(Input!S$55&lt;91,(Input!S$55-60)/30*S454+S455+S456,IF(Input!S$55&lt;121,(Input!S$55-90)/30*S453+S454+S455+S456,IF(Input!S$55&lt;151,(Input!S$55-120)/30*S452+S453+S454+S455+S456,(Input!S$55-150)/30*S451+S452+S453+S454+S455+S456))))))),0)</f>
        <v>0</v>
      </c>
      <c r="T1091" s="229">
        <f>IF(Years="Five",IF(T$338&gt;$D$33,0,IF(Input!T$55=0,0,IF(Input!T$55&lt;31,Input!T$55/30*T456,IF(Input!T$55&lt;61,(Input!T$55-30)/30*T455+T456,IF(Input!T$55&lt;91,(Input!T$55-60)/30*T454+T455+T456,IF(Input!T$55&lt;121,(Input!T$55-90)/30*T453+T454+T455+T456,IF(Input!T$55&lt;151,(Input!T$55-120)/30*T452+T453+T454+T455+T456,(Input!T$55-150)/30*T451+T452+T453+T454+T455+T456))))))),0)</f>
        <v>0</v>
      </c>
      <c r="U1091" s="229">
        <f>IF(Years="Five",IF(U$338&gt;$D$33,0,IF(Input!U$55=0,0,IF(Input!U$55&lt;31,Input!U$55/30*U456,IF(Input!U$55&lt;61,(Input!U$55-30)/30*U455+U456,IF(Input!U$55&lt;91,(Input!U$55-60)/30*U454+U455+U456,IF(Input!U$55&lt;121,(Input!U$55-90)/30*U453+U454+U455+U456,IF(Input!U$55&lt;151,(Input!U$55-120)/30*U452+U453+U454+U455+U456,(Input!U$55-150)/30*U451+U452+U453+U454+U455+U456))))))),0)</f>
        <v>0</v>
      </c>
      <c r="V1091" s="229">
        <f>IF(Years="Five",IF(V$338&gt;$D$33,0,IF(Input!V$55=0,0,IF(Input!V$55&lt;31,Input!V$55/30*V456,IF(Input!V$55&lt;61,(Input!V$55-30)/30*V455+V456,IF(Input!V$55&lt;91,(Input!V$55-60)/30*V454+V455+V456,IF(Input!V$55&lt;121,(Input!V$55-90)/30*V453+V454+V455+V456,IF(Input!V$55&lt;151,(Input!V$55-120)/30*V452+V453+V454+V455+V456,(Input!V$55-150)/30*V451+V452+V453+V454+V455+V456))))))),0)</f>
        <v>0</v>
      </c>
      <c r="W1091" s="229">
        <f>IF(Years="Five",IF(W$338&gt;$D$33,0,IF(Input!W$55=0,0,IF(Input!W$55&lt;31,Input!W$55/30*W456,IF(Input!W$55&lt;61,(Input!W$55-30)/30*W455+W456,IF(Input!W$55&lt;91,(Input!W$55-60)/30*W454+W455+W456,IF(Input!W$55&lt;121,(Input!W$55-90)/30*W453+W454+W455+W456,IF(Input!W$55&lt;151,(Input!W$55-120)/30*W452+W453+W454+W455+W456,(Input!W$55-150)/30*W451+W452+W453+W454+W455+W456))))))),0)</f>
        <v>0</v>
      </c>
      <c r="X1091" s="229">
        <f>IF(Years="Five",IF(X$338&gt;$D$33,0,IF(Input!X$55=0,0,IF(Input!X$55&lt;31,Input!X$55/30*X456,IF(Input!X$55&lt;61,(Input!X$55-30)/30*X455+X456,IF(Input!X$55&lt;91,(Input!X$55-60)/30*X454+X455+X456,IF(Input!X$55&lt;121,(Input!X$55-90)/30*X453+X454+X455+X456,IF(Input!X$55&lt;151,(Input!X$55-120)/30*X452+X453+X454+X455+X456,(Input!X$55-150)/30*X451+X452+X453+X454+X455+X456))))))),0)</f>
        <v>0</v>
      </c>
      <c r="Y1091" s="229">
        <f>IF(Years="Five",IF(Y$338&gt;$D$33,0,IF(Input!Y$55=0,0,IF(Input!Y$55&lt;31,Input!Y$55/30*Y456,IF(Input!Y$55&lt;61,(Input!Y$55-30)/30*Y455+Y456,IF(Input!Y$55&lt;91,(Input!Y$55-60)/30*Y454+Y455+Y456,IF(Input!Y$55&lt;121,(Input!Y$55-90)/30*Y453+Y454+Y455+Y456,IF(Input!Y$55&lt;151,(Input!Y$55-120)/30*Y452+Y453+Y454+Y455+Y456,(Input!Y$55-150)/30*Y451+Y452+Y453+Y454+Y455+Y456))))))),0)</f>
        <v>0</v>
      </c>
      <c r="Z1091" s="229">
        <f>IF(Years="Five",IF(Z$338&gt;$D$33,0,IF(Input!Z$55=0,0,IF(Input!Z$55&lt;31,Input!Z$55/30*Z456,IF(Input!Z$55&lt;61,(Input!Z$55-30)/30*Z455+Z456,IF(Input!Z$55&lt;91,(Input!Z$55-60)/30*Z454+Z455+Z456,IF(Input!Z$55&lt;121,(Input!Z$55-90)/30*Z453+Z454+Z455+Z456,IF(Input!Z$55&lt;151,(Input!Z$55-120)/30*Z452+Z453+Z454+Z455+Z456,(Input!Z$55-150)/30*Z451+Z452+Z453+Z454+Z455+Z456))))))),0)</f>
        <v>0</v>
      </c>
      <c r="AA1091" s="229">
        <f>IF(Years="Five",IF(AA$338&gt;$D$33,0,IF(Input!AA$55=0,0,IF(Input!AA$55&lt;31,Input!AA$55/30*AA456,IF(Input!AA$55&lt;61,(Input!AA$55-30)/30*AA455+AA456,IF(Input!AA$55&lt;91,(Input!AA$55-60)/30*AA454+AA455+AA456,IF(Input!AA$55&lt;121,(Input!AA$55-90)/30*AA453+AA454+AA455+AA456,IF(Input!AA$55&lt;151,(Input!AA$55-120)/30*AA452+AA453+AA454+AA455+AA456,(Input!AA$55-150)/30*AA451+AA452+AA453+AA454+AA455+AA456))))))),0)</f>
        <v>0</v>
      </c>
      <c r="AB1091" s="298">
        <f>IF(Years="Five",IF(AB$338&gt;$D$33,0,IF(Input!AB$55=0,0,IF(Input!AB$55&lt;31,Input!AB$55/30*AB456,IF(Input!AB$55&lt;61,(Input!AB$55-30)/30*AB455+AB456,IF(Input!AB$55&lt;91,(Input!AB$55-60)/30*AB454+AB455+AB456,IF(Input!AB$55&lt;121,(Input!AB$55-90)/30*AB453+AB454+AB455+AB456,IF(Input!AB$55&lt;151,(Input!AB$55-120)/30*AB452+AB453+AB454+AB455+AB456,(Input!AB$55-150)/30*AB451+AB452+AB453+AB454+AB455+AB456))))))),0)</f>
        <v>0</v>
      </c>
      <c r="CH1091" s="269"/>
      <c r="CI1091" s="269"/>
      <c r="CJ1091" s="269"/>
      <c r="CK1091" s="269"/>
      <c r="CL1091" s="269"/>
      <c r="CM1091" s="269"/>
      <c r="CN1091" s="269"/>
      <c r="CO1091" s="269"/>
      <c r="CP1091" s="269"/>
      <c r="CQ1091" s="269"/>
      <c r="CR1091" s="269"/>
      <c r="CS1091" s="269"/>
    </row>
    <row r="1092" spans="3:97" ht="12.5" thickBot="1" x14ac:dyDescent="0.35">
      <c r="C1092" s="639">
        <f>C1029</f>
        <v>1461</v>
      </c>
      <c r="D1092" s="301">
        <f>IF(Years="Five",IF(D$338&gt;$D$33,0,IF(Input!D$55=0,0,IF(Input!D$55&lt;31,Input!D$55/30*D457,IF(Input!D$55&lt;61,(Input!D$55-30)/30*D456+D457,IF(Input!D$55&lt;91,(Input!D$55-60)/30*D455+D456+D457,IF(Input!D$55&lt;121,(Input!D$55-90)/30*D454+D455+D456+D457,IF(Input!D$55&lt;151,(Input!D$55-120)/30*D453+D454+D455+D456+D457,(Input!D$55-150)/30*D452+D453+D454+D455+D456+D457))))))),0)</f>
        <v>0</v>
      </c>
      <c r="E1092" s="302">
        <f>IF(Years="Five",IF(E$338&gt;$D$33,0,IF(Input!E$55=0,0,IF(Input!E$55&lt;31,Input!E$55/30*E457,IF(Input!E$55&lt;61,(Input!E$55-30)/30*E456+E457,IF(Input!E$55&lt;91,(Input!E$55-60)/30*E455+E456+E457,IF(Input!E$55&lt;121,(Input!E$55-90)/30*E454+E455+E456+E457,IF(Input!E$55&lt;151,(Input!E$55-120)/30*E453+E454+E455+E456+E457,(Input!E$55-150)/30*E452+E453+E454+E455+E456+E457))))))),0)</f>
        <v>0</v>
      </c>
      <c r="F1092" s="302">
        <f>IF(Years="Five",IF(F$338&gt;$D$33,0,IF(Input!F$55=0,0,IF(Input!F$55&lt;31,Input!F$55/30*F457,IF(Input!F$55&lt;61,(Input!F$55-30)/30*F456+F457,IF(Input!F$55&lt;91,(Input!F$55-60)/30*F455+F456+F457,IF(Input!F$55&lt;121,(Input!F$55-90)/30*F454+F455+F456+F457,IF(Input!F$55&lt;151,(Input!F$55-120)/30*F453+F454+F455+F456+F457,(Input!F$55-150)/30*F452+F453+F454+F455+F456+F457))))))),0)</f>
        <v>0</v>
      </c>
      <c r="G1092" s="302">
        <f>IF(Years="Five",IF(G$338&gt;$D$33,0,IF(Input!G$55=0,0,IF(Input!G$55&lt;31,Input!G$55/30*G457,IF(Input!G$55&lt;61,(Input!G$55-30)/30*G456+G457,IF(Input!G$55&lt;91,(Input!G$55-60)/30*G455+G456+G457,IF(Input!G$55&lt;121,(Input!G$55-90)/30*G454+G455+G456+G457,IF(Input!G$55&lt;151,(Input!G$55-120)/30*G453+G454+G455+G456+G457,(Input!G$55-150)/30*G452+G453+G454+G455+G456+G457))))))),0)</f>
        <v>0</v>
      </c>
      <c r="H1092" s="302">
        <f>IF(Years="Five",IF(H$338&gt;$D$33,0,IF(Input!H$55=0,0,IF(Input!H$55&lt;31,Input!H$55/30*H457,IF(Input!H$55&lt;61,(Input!H$55-30)/30*H456+H457,IF(Input!H$55&lt;91,(Input!H$55-60)/30*H455+H456+H457,IF(Input!H$55&lt;121,(Input!H$55-90)/30*H454+H455+H456+H457,IF(Input!H$55&lt;151,(Input!H$55-120)/30*H453+H454+H455+H456+H457,(Input!H$55-150)/30*H452+H453+H454+H455+H456+H457))))))),0)</f>
        <v>0</v>
      </c>
      <c r="I1092" s="302">
        <f>IF(Years="Five",IF(I$338&gt;$D$33,0,IF(Input!I$55=0,0,IF(Input!I$55&lt;31,Input!I$55/30*I457,IF(Input!I$55&lt;61,(Input!I$55-30)/30*I456+I457,IF(Input!I$55&lt;91,(Input!I$55-60)/30*I455+I456+I457,IF(Input!I$55&lt;121,(Input!I$55-90)/30*I454+I455+I456+I457,IF(Input!I$55&lt;151,(Input!I$55-120)/30*I453+I454+I455+I456+I457,(Input!I$55-150)/30*I452+I453+I454+I455+I456+I457))))))),0)</f>
        <v>0</v>
      </c>
      <c r="J1092" s="302">
        <f>IF(Years="Five",IF(J$338&gt;$D$33,0,IF(Input!J$55=0,0,IF(Input!J$55&lt;31,Input!J$55/30*J457,IF(Input!J$55&lt;61,(Input!J$55-30)/30*J456+J457,IF(Input!J$55&lt;91,(Input!J$55-60)/30*J455+J456+J457,IF(Input!J$55&lt;121,(Input!J$55-90)/30*J454+J455+J456+J457,IF(Input!J$55&lt;151,(Input!J$55-120)/30*J453+J454+J455+J456+J457,(Input!J$55-150)/30*J452+J453+J454+J455+J456+J457))))))),0)</f>
        <v>0</v>
      </c>
      <c r="K1092" s="302">
        <f>IF(Years="Five",IF(K$338&gt;$D$33,0,IF(Input!K$55=0,0,IF(Input!K$55&lt;31,Input!K$55/30*K457,IF(Input!K$55&lt;61,(Input!K$55-30)/30*K456+K457,IF(Input!K$55&lt;91,(Input!K$55-60)/30*K455+K456+K457,IF(Input!K$55&lt;121,(Input!K$55-90)/30*K454+K455+K456+K457,IF(Input!K$55&lt;151,(Input!K$55-120)/30*K453+K454+K455+K456+K457,(Input!K$55-150)/30*K452+K453+K454+K455+K456+K457))))))),0)</f>
        <v>0</v>
      </c>
      <c r="L1092" s="302">
        <f>IF(Years="Five",IF(L$338&gt;$D$33,0,IF(Input!L$55=0,0,IF(Input!L$55&lt;31,Input!L$55/30*L457,IF(Input!L$55&lt;61,(Input!L$55-30)/30*L456+L457,IF(Input!L$55&lt;91,(Input!L$55-60)/30*L455+L456+L457,IF(Input!L$55&lt;121,(Input!L$55-90)/30*L454+L455+L456+L457,IF(Input!L$55&lt;151,(Input!L$55-120)/30*L453+L454+L455+L456+L457,(Input!L$55-150)/30*L452+L453+L454+L455+L456+L457))))))),0)</f>
        <v>0</v>
      </c>
      <c r="M1092" s="302">
        <f>IF(Years="Five",IF(M$338&gt;$D$33,0,IF(Input!M$55=0,0,IF(Input!M$55&lt;31,Input!M$55/30*M457,IF(Input!M$55&lt;61,(Input!M$55-30)/30*M456+M457,IF(Input!M$55&lt;91,(Input!M$55-60)/30*M455+M456+M457,IF(Input!M$55&lt;121,(Input!M$55-90)/30*M454+M455+M456+M457,IF(Input!M$55&lt;151,(Input!M$55-120)/30*M453+M454+M455+M456+M457,(Input!M$55-150)/30*M452+M453+M454+M455+M456+M457))))))),0)</f>
        <v>0</v>
      </c>
      <c r="N1092" s="302">
        <f>IF(Years="Five",IF(N$338&gt;$D$33,0,IF(Input!N$55=0,0,IF(Input!N$55&lt;31,Input!N$55/30*N457,IF(Input!N$55&lt;61,(Input!N$55-30)/30*N456+N457,IF(Input!N$55&lt;91,(Input!N$55-60)/30*N455+N456+N457,IF(Input!N$55&lt;121,(Input!N$55-90)/30*N454+N455+N456+N457,IF(Input!N$55&lt;151,(Input!N$55-120)/30*N453+N454+N455+N456+N457,(Input!N$55-150)/30*N452+N453+N454+N455+N456+N457))))))),0)</f>
        <v>0</v>
      </c>
      <c r="O1092" s="302">
        <f>IF(Years="Five",IF(O$338&gt;$D$33,0,IF(Input!O$55=0,0,IF(Input!O$55&lt;31,Input!O$55/30*O457,IF(Input!O$55&lt;61,(Input!O$55-30)/30*O456+O457,IF(Input!O$55&lt;91,(Input!O$55-60)/30*O455+O456+O457,IF(Input!O$55&lt;121,(Input!O$55-90)/30*O454+O455+O456+O457,IF(Input!O$55&lt;151,(Input!O$55-120)/30*O453+O454+O455+O456+O457,(Input!O$55-150)/30*O452+O453+O454+O455+O456+O457))))))),0)</f>
        <v>0</v>
      </c>
      <c r="P1092" s="302">
        <f>IF(Years="Five",IF(P$338&gt;$D$33,0,IF(Input!P$55=0,0,IF(Input!P$55&lt;31,Input!P$55/30*P457,IF(Input!P$55&lt;61,(Input!P$55-30)/30*P456+P457,IF(Input!P$55&lt;91,(Input!P$55-60)/30*P455+P456+P457,IF(Input!P$55&lt;121,(Input!P$55-90)/30*P454+P455+P456+P457,IF(Input!P$55&lt;151,(Input!P$55-120)/30*P453+P454+P455+P456+P457,(Input!P$55-150)/30*P452+P453+P454+P455+P456+P457))))))),0)</f>
        <v>0</v>
      </c>
      <c r="Q1092" s="302">
        <f>IF(Years="Five",IF(Q$338&gt;$D$33,0,IF(Input!Q$55=0,0,IF(Input!Q$55&lt;31,Input!Q$55/30*Q457,IF(Input!Q$55&lt;61,(Input!Q$55-30)/30*Q456+Q457,IF(Input!Q$55&lt;91,(Input!Q$55-60)/30*Q455+Q456+Q457,IF(Input!Q$55&lt;121,(Input!Q$55-90)/30*Q454+Q455+Q456+Q457,IF(Input!Q$55&lt;151,(Input!Q$55-120)/30*Q453+Q454+Q455+Q456+Q457,(Input!Q$55-150)/30*Q452+Q453+Q454+Q455+Q456+Q457))))))),0)</f>
        <v>0</v>
      </c>
      <c r="R1092" s="302">
        <f>IF(Years="Five",IF(R$338&gt;$D$33,0,IF(Input!R$55=0,0,IF(Input!R$55&lt;31,Input!R$55/30*R457,IF(Input!R$55&lt;61,(Input!R$55-30)/30*R456+R457,IF(Input!R$55&lt;91,(Input!R$55-60)/30*R455+R456+R457,IF(Input!R$55&lt;121,(Input!R$55-90)/30*R454+R455+R456+R457,IF(Input!R$55&lt;151,(Input!R$55-120)/30*R453+R454+R455+R456+R457,(Input!R$55-150)/30*R452+R453+R454+R455+R456+R457))))))),0)</f>
        <v>0</v>
      </c>
      <c r="S1092" s="302">
        <f>IF(Years="Five",IF(S$338&gt;$D$33,0,IF(Input!S$55=0,0,IF(Input!S$55&lt;31,Input!S$55/30*S457,IF(Input!S$55&lt;61,(Input!S$55-30)/30*S456+S457,IF(Input!S$55&lt;91,(Input!S$55-60)/30*S455+S456+S457,IF(Input!S$55&lt;121,(Input!S$55-90)/30*S454+S455+S456+S457,IF(Input!S$55&lt;151,(Input!S$55-120)/30*S453+S454+S455+S456+S457,(Input!S$55-150)/30*S452+S453+S454+S455+S456+S457))))))),0)</f>
        <v>0</v>
      </c>
      <c r="T1092" s="302">
        <f>IF(Years="Five",IF(T$338&gt;$D$33,0,IF(Input!T$55=0,0,IF(Input!T$55&lt;31,Input!T$55/30*T457,IF(Input!T$55&lt;61,(Input!T$55-30)/30*T456+T457,IF(Input!T$55&lt;91,(Input!T$55-60)/30*T455+T456+T457,IF(Input!T$55&lt;121,(Input!T$55-90)/30*T454+T455+T456+T457,IF(Input!T$55&lt;151,(Input!T$55-120)/30*T453+T454+T455+T456+T457,(Input!T$55-150)/30*T452+T453+T454+T455+T456+T457))))))),0)</f>
        <v>0</v>
      </c>
      <c r="U1092" s="302">
        <f>IF(Years="Five",IF(U$338&gt;$D$33,0,IF(Input!U$55=0,0,IF(Input!U$55&lt;31,Input!U$55/30*U457,IF(Input!U$55&lt;61,(Input!U$55-30)/30*U456+U457,IF(Input!U$55&lt;91,(Input!U$55-60)/30*U455+U456+U457,IF(Input!U$55&lt;121,(Input!U$55-90)/30*U454+U455+U456+U457,IF(Input!U$55&lt;151,(Input!U$55-120)/30*U453+U454+U455+U456+U457,(Input!U$55-150)/30*U452+U453+U454+U455+U456+U457))))))),0)</f>
        <v>0</v>
      </c>
      <c r="V1092" s="302">
        <f>IF(Years="Five",IF(V$338&gt;$D$33,0,IF(Input!V$55=0,0,IF(Input!V$55&lt;31,Input!V$55/30*V457,IF(Input!V$55&lt;61,(Input!V$55-30)/30*V456+V457,IF(Input!V$55&lt;91,(Input!V$55-60)/30*V455+V456+V457,IF(Input!V$55&lt;121,(Input!V$55-90)/30*V454+V455+V456+V457,IF(Input!V$55&lt;151,(Input!V$55-120)/30*V453+V454+V455+V456+V457,(Input!V$55-150)/30*V452+V453+V454+V455+V456+V457))))))),0)</f>
        <v>0</v>
      </c>
      <c r="W1092" s="302">
        <f>IF(Years="Five",IF(W$338&gt;$D$33,0,IF(Input!W$55=0,0,IF(Input!W$55&lt;31,Input!W$55/30*W457,IF(Input!W$55&lt;61,(Input!W$55-30)/30*W456+W457,IF(Input!W$55&lt;91,(Input!W$55-60)/30*W455+W456+W457,IF(Input!W$55&lt;121,(Input!W$55-90)/30*W454+W455+W456+W457,IF(Input!W$55&lt;151,(Input!W$55-120)/30*W453+W454+W455+W456+W457,(Input!W$55-150)/30*W452+W453+W454+W455+W456+W457))))))),0)</f>
        <v>0</v>
      </c>
      <c r="X1092" s="302">
        <f>IF(Years="Five",IF(X$338&gt;$D$33,0,IF(Input!X$55=0,0,IF(Input!X$55&lt;31,Input!X$55/30*X457,IF(Input!X$55&lt;61,(Input!X$55-30)/30*X456+X457,IF(Input!X$55&lt;91,(Input!X$55-60)/30*X455+X456+X457,IF(Input!X$55&lt;121,(Input!X$55-90)/30*X454+X455+X456+X457,IF(Input!X$55&lt;151,(Input!X$55-120)/30*X453+X454+X455+X456+X457,(Input!X$55-150)/30*X452+X453+X454+X455+X456+X457))))))),0)</f>
        <v>0</v>
      </c>
      <c r="Y1092" s="302">
        <f>IF(Years="Five",IF(Y$338&gt;$D$33,0,IF(Input!Y$55=0,0,IF(Input!Y$55&lt;31,Input!Y$55/30*Y457,IF(Input!Y$55&lt;61,(Input!Y$55-30)/30*Y456+Y457,IF(Input!Y$55&lt;91,(Input!Y$55-60)/30*Y455+Y456+Y457,IF(Input!Y$55&lt;121,(Input!Y$55-90)/30*Y454+Y455+Y456+Y457,IF(Input!Y$55&lt;151,(Input!Y$55-120)/30*Y453+Y454+Y455+Y456+Y457,(Input!Y$55-150)/30*Y452+Y453+Y454+Y455+Y456+Y457))))))),0)</f>
        <v>0</v>
      </c>
      <c r="Z1092" s="302">
        <f>IF(Years="Five",IF(Z$338&gt;$D$33,0,IF(Input!Z$55=0,0,IF(Input!Z$55&lt;31,Input!Z$55/30*Z457,IF(Input!Z$55&lt;61,(Input!Z$55-30)/30*Z456+Z457,IF(Input!Z$55&lt;91,(Input!Z$55-60)/30*Z455+Z456+Z457,IF(Input!Z$55&lt;121,(Input!Z$55-90)/30*Z454+Z455+Z456+Z457,IF(Input!Z$55&lt;151,(Input!Z$55-120)/30*Z453+Z454+Z455+Z456+Z457,(Input!Z$55-150)/30*Z452+Z453+Z454+Z455+Z456+Z457))))))),0)</f>
        <v>0</v>
      </c>
      <c r="AA1092" s="302">
        <f>IF(Years="Five",IF(AA$338&gt;$D$33,0,IF(Input!AA$55=0,0,IF(Input!AA$55&lt;31,Input!AA$55/30*AA457,IF(Input!AA$55&lt;61,(Input!AA$55-30)/30*AA456+AA457,IF(Input!AA$55&lt;91,(Input!AA$55-60)/30*AA455+AA456+AA457,IF(Input!AA$55&lt;121,(Input!AA$55-90)/30*AA454+AA455+AA456+AA457,IF(Input!AA$55&lt;151,(Input!AA$55-120)/30*AA453+AA454+AA455+AA456+AA457,(Input!AA$55-150)/30*AA452+AA453+AA454+AA455+AA456+AA457))))))),0)</f>
        <v>0</v>
      </c>
      <c r="AB1092" s="303">
        <f>IF(Years="Five",IF(AB$338&gt;$D$33,0,IF(Input!AB$55=0,0,IF(Input!AB$55&lt;31,Input!AB$55/30*AB457,IF(Input!AB$55&lt;61,(Input!AB$55-30)/30*AB456+AB457,IF(Input!AB$55&lt;91,(Input!AB$55-60)/30*AB455+AB456+AB457,IF(Input!AB$55&lt;121,(Input!AB$55-90)/30*AB454+AB455+AB456+AB457,IF(Input!AB$55&lt;151,(Input!AB$55-120)/30*AB453+AB454+AB455+AB456+AB457,(Input!AB$55-150)/30*AB452+AB453+AB454+AB455+AB456+AB457))))))),0)</f>
        <v>0</v>
      </c>
      <c r="CH1092" s="269"/>
      <c r="CI1092" s="269"/>
      <c r="CJ1092" s="269"/>
      <c r="CK1092" s="269"/>
      <c r="CL1092" s="269"/>
      <c r="CM1092" s="269"/>
      <c r="CN1092" s="269"/>
      <c r="CO1092" s="269"/>
      <c r="CP1092" s="269"/>
      <c r="CQ1092" s="269"/>
      <c r="CR1092" s="269"/>
      <c r="CS1092" s="269"/>
    </row>
    <row r="1093" spans="3:97" x14ac:dyDescent="0.3">
      <c r="C1093" s="638">
        <f>C1030</f>
        <v>1492</v>
      </c>
      <c r="D1093" s="299">
        <f>IF(Years="Five",IF(D$338&gt;$D$33,0,IF(Input!D$55=0,0,IF(Input!D$55&lt;31,Input!D$55/30*D458,IF(Input!D$55&lt;61,(Input!D$55-30)/30*D457+D458,IF(Input!D$55&lt;91,(Input!D$55-60)/30*D456+D457+D458,IF(Input!D$55&lt;121,(Input!D$55-90)/30*D455+D456+D457+D458,IF(Input!D$55&lt;151,(Input!D$55-120)/30*D454+D455+D456+D457+D458,(Input!D$55-150)/30*D453+D454+D455+D456+D457+D458))))))),0)</f>
        <v>0</v>
      </c>
      <c r="E1093" s="231">
        <f>IF(Years="Five",IF(E$338&gt;$D$33,0,IF(Input!E$55=0,0,IF(Input!E$55&lt;31,Input!E$55/30*E458,IF(Input!E$55&lt;61,(Input!E$55-30)/30*E457+E458,IF(Input!E$55&lt;91,(Input!E$55-60)/30*E456+E457+E458,IF(Input!E$55&lt;121,(Input!E$55-90)/30*E455+E456+E457+E458,IF(Input!E$55&lt;151,(Input!E$55-120)/30*E454+E455+E456+E457+E458,(Input!E$55-150)/30*E453+E454+E455+E456+E457+E458))))))),0)</f>
        <v>0</v>
      </c>
      <c r="F1093" s="231">
        <f>IF(Years="Five",IF(F$338&gt;$D$33,0,IF(Input!F$55=0,0,IF(Input!F$55&lt;31,Input!F$55/30*F458,IF(Input!F$55&lt;61,(Input!F$55-30)/30*F457+F458,IF(Input!F$55&lt;91,(Input!F$55-60)/30*F456+F457+F458,IF(Input!F$55&lt;121,(Input!F$55-90)/30*F455+F456+F457+F458,IF(Input!F$55&lt;151,(Input!F$55-120)/30*F454+F455+F456+F457+F458,(Input!F$55-150)/30*F453+F454+F455+F456+F457+F458))))))),0)</f>
        <v>0</v>
      </c>
      <c r="G1093" s="231">
        <f>IF(Years="Five",IF(G$338&gt;$D$33,0,IF(Input!G$55=0,0,IF(Input!G$55&lt;31,Input!G$55/30*G458,IF(Input!G$55&lt;61,(Input!G$55-30)/30*G457+G458,IF(Input!G$55&lt;91,(Input!G$55-60)/30*G456+G457+G458,IF(Input!G$55&lt;121,(Input!G$55-90)/30*G455+G456+G457+G458,IF(Input!G$55&lt;151,(Input!G$55-120)/30*G454+G455+G456+G457+G458,(Input!G$55-150)/30*G453+G454+G455+G456+G457+G458))))))),0)</f>
        <v>0</v>
      </c>
      <c r="H1093" s="231">
        <f>IF(Years="Five",IF(H$338&gt;$D$33,0,IF(Input!H$55=0,0,IF(Input!H$55&lt;31,Input!H$55/30*H458,IF(Input!H$55&lt;61,(Input!H$55-30)/30*H457+H458,IF(Input!H$55&lt;91,(Input!H$55-60)/30*H456+H457+H458,IF(Input!H$55&lt;121,(Input!H$55-90)/30*H455+H456+H457+H458,IF(Input!H$55&lt;151,(Input!H$55-120)/30*H454+H455+H456+H457+H458,(Input!H$55-150)/30*H453+H454+H455+H456+H457+H458))))))),0)</f>
        <v>0</v>
      </c>
      <c r="I1093" s="231">
        <f>IF(Years="Five",IF(I$338&gt;$D$33,0,IF(Input!I$55=0,0,IF(Input!I$55&lt;31,Input!I$55/30*I458,IF(Input!I$55&lt;61,(Input!I$55-30)/30*I457+I458,IF(Input!I$55&lt;91,(Input!I$55-60)/30*I456+I457+I458,IF(Input!I$55&lt;121,(Input!I$55-90)/30*I455+I456+I457+I458,IF(Input!I$55&lt;151,(Input!I$55-120)/30*I454+I455+I456+I457+I458,(Input!I$55-150)/30*I453+I454+I455+I456+I457+I458))))))),0)</f>
        <v>0</v>
      </c>
      <c r="J1093" s="231">
        <f>IF(Years="Five",IF(J$338&gt;$D$33,0,IF(Input!J$55=0,0,IF(Input!J$55&lt;31,Input!J$55/30*J458,IF(Input!J$55&lt;61,(Input!J$55-30)/30*J457+J458,IF(Input!J$55&lt;91,(Input!J$55-60)/30*J456+J457+J458,IF(Input!J$55&lt;121,(Input!J$55-90)/30*J455+J456+J457+J458,IF(Input!J$55&lt;151,(Input!J$55-120)/30*J454+J455+J456+J457+J458,(Input!J$55-150)/30*J453+J454+J455+J456+J457+J458))))))),0)</f>
        <v>0</v>
      </c>
      <c r="K1093" s="231">
        <f>IF(Years="Five",IF(K$338&gt;$D$33,0,IF(Input!K$55=0,0,IF(Input!K$55&lt;31,Input!K$55/30*K458,IF(Input!K$55&lt;61,(Input!K$55-30)/30*K457+K458,IF(Input!K$55&lt;91,(Input!K$55-60)/30*K456+K457+K458,IF(Input!K$55&lt;121,(Input!K$55-90)/30*K455+K456+K457+K458,IF(Input!K$55&lt;151,(Input!K$55-120)/30*K454+K455+K456+K457+K458,(Input!K$55-150)/30*K453+K454+K455+K456+K457+K458))))))),0)</f>
        <v>0</v>
      </c>
      <c r="L1093" s="231">
        <f>IF(Years="Five",IF(L$338&gt;$D$33,0,IF(Input!L$55=0,0,IF(Input!L$55&lt;31,Input!L$55/30*L458,IF(Input!L$55&lt;61,(Input!L$55-30)/30*L457+L458,IF(Input!L$55&lt;91,(Input!L$55-60)/30*L456+L457+L458,IF(Input!L$55&lt;121,(Input!L$55-90)/30*L455+L456+L457+L458,IF(Input!L$55&lt;151,(Input!L$55-120)/30*L454+L455+L456+L457+L458,(Input!L$55-150)/30*L453+L454+L455+L456+L457+L458))))))),0)</f>
        <v>0</v>
      </c>
      <c r="M1093" s="231">
        <f>IF(Years="Five",IF(M$338&gt;$D$33,0,IF(Input!M$55=0,0,IF(Input!M$55&lt;31,Input!M$55/30*M458,IF(Input!M$55&lt;61,(Input!M$55-30)/30*M457+M458,IF(Input!M$55&lt;91,(Input!M$55-60)/30*M456+M457+M458,IF(Input!M$55&lt;121,(Input!M$55-90)/30*M455+M456+M457+M458,IF(Input!M$55&lt;151,(Input!M$55-120)/30*M454+M455+M456+M457+M458,(Input!M$55-150)/30*M453+M454+M455+M456+M457+M458))))))),0)</f>
        <v>0</v>
      </c>
      <c r="N1093" s="231">
        <f>IF(Years="Five",IF(N$338&gt;$D$33,0,IF(Input!N$55=0,0,IF(Input!N$55&lt;31,Input!N$55/30*N458,IF(Input!N$55&lt;61,(Input!N$55-30)/30*N457+N458,IF(Input!N$55&lt;91,(Input!N$55-60)/30*N456+N457+N458,IF(Input!N$55&lt;121,(Input!N$55-90)/30*N455+N456+N457+N458,IF(Input!N$55&lt;151,(Input!N$55-120)/30*N454+N455+N456+N457+N458,(Input!N$55-150)/30*N453+N454+N455+N456+N457+N458))))))),0)</f>
        <v>0</v>
      </c>
      <c r="O1093" s="231">
        <f>IF(Years="Five",IF(O$338&gt;$D$33,0,IF(Input!O$55=0,0,IF(Input!O$55&lt;31,Input!O$55/30*O458,IF(Input!O$55&lt;61,(Input!O$55-30)/30*O457+O458,IF(Input!O$55&lt;91,(Input!O$55-60)/30*O456+O457+O458,IF(Input!O$55&lt;121,(Input!O$55-90)/30*O455+O456+O457+O458,IF(Input!O$55&lt;151,(Input!O$55-120)/30*O454+O455+O456+O457+O458,(Input!O$55-150)/30*O453+O454+O455+O456+O457+O458))))))),0)</f>
        <v>0</v>
      </c>
      <c r="P1093" s="231">
        <f>IF(Years="Five",IF(P$338&gt;$D$33,0,IF(Input!P$55=0,0,IF(Input!P$55&lt;31,Input!P$55/30*P458,IF(Input!P$55&lt;61,(Input!P$55-30)/30*P457+P458,IF(Input!P$55&lt;91,(Input!P$55-60)/30*P456+P457+P458,IF(Input!P$55&lt;121,(Input!P$55-90)/30*P455+P456+P457+P458,IF(Input!P$55&lt;151,(Input!P$55-120)/30*P454+P455+P456+P457+P458,(Input!P$55-150)/30*P453+P454+P455+P456+P457+P458))))))),0)</f>
        <v>0</v>
      </c>
      <c r="Q1093" s="231">
        <f>IF(Years="Five",IF(Q$338&gt;$D$33,0,IF(Input!Q$55=0,0,IF(Input!Q$55&lt;31,Input!Q$55/30*Q458,IF(Input!Q$55&lt;61,(Input!Q$55-30)/30*Q457+Q458,IF(Input!Q$55&lt;91,(Input!Q$55-60)/30*Q456+Q457+Q458,IF(Input!Q$55&lt;121,(Input!Q$55-90)/30*Q455+Q456+Q457+Q458,IF(Input!Q$55&lt;151,(Input!Q$55-120)/30*Q454+Q455+Q456+Q457+Q458,(Input!Q$55-150)/30*Q453+Q454+Q455+Q456+Q457+Q458))))))),0)</f>
        <v>0</v>
      </c>
      <c r="R1093" s="231">
        <f>IF(Years="Five",IF(R$338&gt;$D$33,0,IF(Input!R$55=0,0,IF(Input!R$55&lt;31,Input!R$55/30*R458,IF(Input!R$55&lt;61,(Input!R$55-30)/30*R457+R458,IF(Input!R$55&lt;91,(Input!R$55-60)/30*R456+R457+R458,IF(Input!R$55&lt;121,(Input!R$55-90)/30*R455+R456+R457+R458,IF(Input!R$55&lt;151,(Input!R$55-120)/30*R454+R455+R456+R457+R458,(Input!R$55-150)/30*R453+R454+R455+R456+R457+R458))))))),0)</f>
        <v>0</v>
      </c>
      <c r="S1093" s="231">
        <f>IF(Years="Five",IF(S$338&gt;$D$33,0,IF(Input!S$55=0,0,IF(Input!S$55&lt;31,Input!S$55/30*S458,IF(Input!S$55&lt;61,(Input!S$55-30)/30*S457+S458,IF(Input!S$55&lt;91,(Input!S$55-60)/30*S456+S457+S458,IF(Input!S$55&lt;121,(Input!S$55-90)/30*S455+S456+S457+S458,IF(Input!S$55&lt;151,(Input!S$55-120)/30*S454+S455+S456+S457+S458,(Input!S$55-150)/30*S453+S454+S455+S456+S457+S458))))))),0)</f>
        <v>0</v>
      </c>
      <c r="T1093" s="231">
        <f>IF(Years="Five",IF(T$338&gt;$D$33,0,IF(Input!T$55=0,0,IF(Input!T$55&lt;31,Input!T$55/30*T458,IF(Input!T$55&lt;61,(Input!T$55-30)/30*T457+T458,IF(Input!T$55&lt;91,(Input!T$55-60)/30*T456+T457+T458,IF(Input!T$55&lt;121,(Input!T$55-90)/30*T455+T456+T457+T458,IF(Input!T$55&lt;151,(Input!T$55-120)/30*T454+T455+T456+T457+T458,(Input!T$55-150)/30*T453+T454+T455+T456+T457+T458))))))),0)</f>
        <v>0</v>
      </c>
      <c r="U1093" s="231">
        <f>IF(Years="Five",IF(U$338&gt;$D$33,0,IF(Input!U$55=0,0,IF(Input!U$55&lt;31,Input!U$55/30*U458,IF(Input!U$55&lt;61,(Input!U$55-30)/30*U457+U458,IF(Input!U$55&lt;91,(Input!U$55-60)/30*U456+U457+U458,IF(Input!U$55&lt;121,(Input!U$55-90)/30*U455+U456+U457+U458,IF(Input!U$55&lt;151,(Input!U$55-120)/30*U454+U455+U456+U457+U458,(Input!U$55-150)/30*U453+U454+U455+U456+U457+U458))))))),0)</f>
        <v>0</v>
      </c>
      <c r="V1093" s="231">
        <f>IF(Years="Five",IF(V$338&gt;$D$33,0,IF(Input!V$55=0,0,IF(Input!V$55&lt;31,Input!V$55/30*V458,IF(Input!V$55&lt;61,(Input!V$55-30)/30*V457+V458,IF(Input!V$55&lt;91,(Input!V$55-60)/30*V456+V457+V458,IF(Input!V$55&lt;121,(Input!V$55-90)/30*V455+V456+V457+V458,IF(Input!V$55&lt;151,(Input!V$55-120)/30*V454+V455+V456+V457+V458,(Input!V$55-150)/30*V453+V454+V455+V456+V457+V458))))))),0)</f>
        <v>0</v>
      </c>
      <c r="W1093" s="231">
        <f>IF(Years="Five",IF(W$338&gt;$D$33,0,IF(Input!W$55=0,0,IF(Input!W$55&lt;31,Input!W$55/30*W458,IF(Input!W$55&lt;61,(Input!W$55-30)/30*W457+W458,IF(Input!W$55&lt;91,(Input!W$55-60)/30*W456+W457+W458,IF(Input!W$55&lt;121,(Input!W$55-90)/30*W455+W456+W457+W458,IF(Input!W$55&lt;151,(Input!W$55-120)/30*W454+W455+W456+W457+W458,(Input!W$55-150)/30*W453+W454+W455+W456+W457+W458))))))),0)</f>
        <v>0</v>
      </c>
      <c r="X1093" s="231">
        <f>IF(Years="Five",IF(X$338&gt;$D$33,0,IF(Input!X$55=0,0,IF(Input!X$55&lt;31,Input!X$55/30*X458,IF(Input!X$55&lt;61,(Input!X$55-30)/30*X457+X458,IF(Input!X$55&lt;91,(Input!X$55-60)/30*X456+X457+X458,IF(Input!X$55&lt;121,(Input!X$55-90)/30*X455+X456+X457+X458,IF(Input!X$55&lt;151,(Input!X$55-120)/30*X454+X455+X456+X457+X458,(Input!X$55-150)/30*X453+X454+X455+X456+X457+X458))))))),0)</f>
        <v>0</v>
      </c>
      <c r="Y1093" s="231">
        <f>IF(Years="Five",IF(Y$338&gt;$D$33,0,IF(Input!Y$55=0,0,IF(Input!Y$55&lt;31,Input!Y$55/30*Y458,IF(Input!Y$55&lt;61,(Input!Y$55-30)/30*Y457+Y458,IF(Input!Y$55&lt;91,(Input!Y$55-60)/30*Y456+Y457+Y458,IF(Input!Y$55&lt;121,(Input!Y$55-90)/30*Y455+Y456+Y457+Y458,IF(Input!Y$55&lt;151,(Input!Y$55-120)/30*Y454+Y455+Y456+Y457+Y458,(Input!Y$55-150)/30*Y453+Y454+Y455+Y456+Y457+Y458))))))),0)</f>
        <v>0</v>
      </c>
      <c r="Z1093" s="231">
        <f>IF(Years="Five",IF(Z$338&gt;$D$33,0,IF(Input!Z$55=0,0,IF(Input!Z$55&lt;31,Input!Z$55/30*Z458,IF(Input!Z$55&lt;61,(Input!Z$55-30)/30*Z457+Z458,IF(Input!Z$55&lt;91,(Input!Z$55-60)/30*Z456+Z457+Z458,IF(Input!Z$55&lt;121,(Input!Z$55-90)/30*Z455+Z456+Z457+Z458,IF(Input!Z$55&lt;151,(Input!Z$55-120)/30*Z454+Z455+Z456+Z457+Z458,(Input!Z$55-150)/30*Z453+Z454+Z455+Z456+Z457+Z458))))))),0)</f>
        <v>0</v>
      </c>
      <c r="AA1093" s="231">
        <f>IF(Years="Five",IF(AA$338&gt;$D$33,0,IF(Input!AA$55=0,0,IF(Input!AA$55&lt;31,Input!AA$55/30*AA458,IF(Input!AA$55&lt;61,(Input!AA$55-30)/30*AA457+AA458,IF(Input!AA$55&lt;91,(Input!AA$55-60)/30*AA456+AA457+AA458,IF(Input!AA$55&lt;121,(Input!AA$55-90)/30*AA455+AA456+AA457+AA458,IF(Input!AA$55&lt;151,(Input!AA$55-120)/30*AA454+AA455+AA456+AA457+AA458,(Input!AA$55-150)/30*AA453+AA454+AA455+AA456+AA457+AA458))))))),0)</f>
        <v>0</v>
      </c>
      <c r="AB1093" s="300">
        <f>IF(Years="Five",IF(AB$338&gt;$D$33,0,IF(Input!AB$55=0,0,IF(Input!AB$55&lt;31,Input!AB$55/30*AB458,IF(Input!AB$55&lt;61,(Input!AB$55-30)/30*AB457+AB458,IF(Input!AB$55&lt;91,(Input!AB$55-60)/30*AB456+AB457+AB458,IF(Input!AB$55&lt;121,(Input!AB$55-90)/30*AB455+AB456+AB457+AB458,IF(Input!AB$55&lt;151,(Input!AB$55-120)/30*AB454+AB455+AB456+AB457+AB458,(Input!AB$55-150)/30*AB453+AB454+AB455+AB456+AB457+AB458))))))),0)</f>
        <v>0</v>
      </c>
      <c r="CH1093" s="269"/>
      <c r="CI1093" s="269"/>
      <c r="CJ1093" s="269"/>
      <c r="CK1093" s="269"/>
      <c r="CL1093" s="269"/>
      <c r="CM1093" s="269"/>
      <c r="CN1093" s="269"/>
      <c r="CO1093" s="269"/>
      <c r="CP1093" s="269"/>
      <c r="CQ1093" s="269"/>
      <c r="CR1093" s="269"/>
      <c r="CS1093" s="269"/>
    </row>
    <row r="1094" spans="3:97" x14ac:dyDescent="0.3">
      <c r="C1094" s="638">
        <f>C1031</f>
        <v>1521</v>
      </c>
      <c r="D1094" s="297">
        <f>IF(Years="Five",IF(D$338&gt;$D$33,0,IF(Input!D$55=0,0,IF(Input!D$55&lt;31,Input!D$55/30*D459,IF(Input!D$55&lt;61,(Input!D$55-30)/30*D458+D459,IF(Input!D$55&lt;91,(Input!D$55-60)/30*D457+D458+D459,IF(Input!D$55&lt;121,(Input!D$55-90)/30*D456+D457+D458+D459,IF(Input!D$55&lt;151,(Input!D$55-120)/30*D455+D456+D457+D458+D459,(Input!D$55-150)/30*D454+D455+D456+D457+D458+D459))))))),0)</f>
        <v>0</v>
      </c>
      <c r="E1094" s="229">
        <f>IF(Years="Five",IF(E$338&gt;$D$33,0,IF(Input!E$55=0,0,IF(Input!E$55&lt;31,Input!E$55/30*E459,IF(Input!E$55&lt;61,(Input!E$55-30)/30*E458+E459,IF(Input!E$55&lt;91,(Input!E$55-60)/30*E457+E458+E459,IF(Input!E$55&lt;121,(Input!E$55-90)/30*E456+E457+E458+E459,IF(Input!E$55&lt;151,(Input!E$55-120)/30*E455+E456+E457+E458+E459,(Input!E$55-150)/30*E454+E455+E456+E457+E458+E459))))))),0)</f>
        <v>0</v>
      </c>
      <c r="F1094" s="229">
        <f>IF(Years="Five",IF(F$338&gt;$D$33,0,IF(Input!F$55=0,0,IF(Input!F$55&lt;31,Input!F$55/30*F459,IF(Input!F$55&lt;61,(Input!F$55-30)/30*F458+F459,IF(Input!F$55&lt;91,(Input!F$55-60)/30*F457+F458+F459,IF(Input!F$55&lt;121,(Input!F$55-90)/30*F456+F457+F458+F459,IF(Input!F$55&lt;151,(Input!F$55-120)/30*F455+F456+F457+F458+F459,(Input!F$55-150)/30*F454+F455+F456+F457+F458+F459))))))),0)</f>
        <v>0</v>
      </c>
      <c r="G1094" s="229">
        <f>IF(Years="Five",IF(G$338&gt;$D$33,0,IF(Input!G$55=0,0,IF(Input!G$55&lt;31,Input!G$55/30*G459,IF(Input!G$55&lt;61,(Input!G$55-30)/30*G458+G459,IF(Input!G$55&lt;91,(Input!G$55-60)/30*G457+G458+G459,IF(Input!G$55&lt;121,(Input!G$55-90)/30*G456+G457+G458+G459,IF(Input!G$55&lt;151,(Input!G$55-120)/30*G455+G456+G457+G458+G459,(Input!G$55-150)/30*G454+G455+G456+G457+G458+G459))))))),0)</f>
        <v>0</v>
      </c>
      <c r="H1094" s="229">
        <f>IF(Years="Five",IF(H$338&gt;$D$33,0,IF(Input!H$55=0,0,IF(Input!H$55&lt;31,Input!H$55/30*H459,IF(Input!H$55&lt;61,(Input!H$55-30)/30*H458+H459,IF(Input!H$55&lt;91,(Input!H$55-60)/30*H457+H458+H459,IF(Input!H$55&lt;121,(Input!H$55-90)/30*H456+H457+H458+H459,IF(Input!H$55&lt;151,(Input!H$55-120)/30*H455+H456+H457+H458+H459,(Input!H$55-150)/30*H454+H455+H456+H457+H458+H459))))))),0)</f>
        <v>0</v>
      </c>
      <c r="I1094" s="229">
        <f>IF(Years="Five",IF(I$338&gt;$D$33,0,IF(Input!I$55=0,0,IF(Input!I$55&lt;31,Input!I$55/30*I459,IF(Input!I$55&lt;61,(Input!I$55-30)/30*I458+I459,IF(Input!I$55&lt;91,(Input!I$55-60)/30*I457+I458+I459,IF(Input!I$55&lt;121,(Input!I$55-90)/30*I456+I457+I458+I459,IF(Input!I$55&lt;151,(Input!I$55-120)/30*I455+I456+I457+I458+I459,(Input!I$55-150)/30*I454+I455+I456+I457+I458+I459))))))),0)</f>
        <v>0</v>
      </c>
      <c r="J1094" s="229">
        <f>IF(Years="Five",IF(J$338&gt;$D$33,0,IF(Input!J$55=0,0,IF(Input!J$55&lt;31,Input!J$55/30*J459,IF(Input!J$55&lt;61,(Input!J$55-30)/30*J458+J459,IF(Input!J$55&lt;91,(Input!J$55-60)/30*J457+J458+J459,IF(Input!J$55&lt;121,(Input!J$55-90)/30*J456+J457+J458+J459,IF(Input!J$55&lt;151,(Input!J$55-120)/30*J455+J456+J457+J458+J459,(Input!J$55-150)/30*J454+J455+J456+J457+J458+J459))))))),0)</f>
        <v>0</v>
      </c>
      <c r="K1094" s="229">
        <f>IF(Years="Five",IF(K$338&gt;$D$33,0,IF(Input!K$55=0,0,IF(Input!K$55&lt;31,Input!K$55/30*K459,IF(Input!K$55&lt;61,(Input!K$55-30)/30*K458+K459,IF(Input!K$55&lt;91,(Input!K$55-60)/30*K457+K458+K459,IF(Input!K$55&lt;121,(Input!K$55-90)/30*K456+K457+K458+K459,IF(Input!K$55&lt;151,(Input!K$55-120)/30*K455+K456+K457+K458+K459,(Input!K$55-150)/30*K454+K455+K456+K457+K458+K459))))))),0)</f>
        <v>0</v>
      </c>
      <c r="L1094" s="229">
        <f>IF(Years="Five",IF(L$338&gt;$D$33,0,IF(Input!L$55=0,0,IF(Input!L$55&lt;31,Input!L$55/30*L459,IF(Input!L$55&lt;61,(Input!L$55-30)/30*L458+L459,IF(Input!L$55&lt;91,(Input!L$55-60)/30*L457+L458+L459,IF(Input!L$55&lt;121,(Input!L$55-90)/30*L456+L457+L458+L459,IF(Input!L$55&lt;151,(Input!L$55-120)/30*L455+L456+L457+L458+L459,(Input!L$55-150)/30*L454+L455+L456+L457+L458+L459))))))),0)</f>
        <v>0</v>
      </c>
      <c r="M1094" s="229">
        <f>IF(Years="Five",IF(M$338&gt;$D$33,0,IF(Input!M$55=0,0,IF(Input!M$55&lt;31,Input!M$55/30*M459,IF(Input!M$55&lt;61,(Input!M$55-30)/30*M458+M459,IF(Input!M$55&lt;91,(Input!M$55-60)/30*M457+M458+M459,IF(Input!M$55&lt;121,(Input!M$55-90)/30*M456+M457+M458+M459,IF(Input!M$55&lt;151,(Input!M$55-120)/30*M455+M456+M457+M458+M459,(Input!M$55-150)/30*M454+M455+M456+M457+M458+M459))))))),0)</f>
        <v>0</v>
      </c>
      <c r="N1094" s="229">
        <f>IF(Years="Five",IF(N$338&gt;$D$33,0,IF(Input!N$55=0,0,IF(Input!N$55&lt;31,Input!N$55/30*N459,IF(Input!N$55&lt;61,(Input!N$55-30)/30*N458+N459,IF(Input!N$55&lt;91,(Input!N$55-60)/30*N457+N458+N459,IF(Input!N$55&lt;121,(Input!N$55-90)/30*N456+N457+N458+N459,IF(Input!N$55&lt;151,(Input!N$55-120)/30*N455+N456+N457+N458+N459,(Input!N$55-150)/30*N454+N455+N456+N457+N458+N459))))))),0)</f>
        <v>0</v>
      </c>
      <c r="O1094" s="229">
        <f>IF(Years="Five",IF(O$338&gt;$D$33,0,IF(Input!O$55=0,0,IF(Input!O$55&lt;31,Input!O$55/30*O459,IF(Input!O$55&lt;61,(Input!O$55-30)/30*O458+O459,IF(Input!O$55&lt;91,(Input!O$55-60)/30*O457+O458+O459,IF(Input!O$55&lt;121,(Input!O$55-90)/30*O456+O457+O458+O459,IF(Input!O$55&lt;151,(Input!O$55-120)/30*O455+O456+O457+O458+O459,(Input!O$55-150)/30*O454+O455+O456+O457+O458+O459))))))),0)</f>
        <v>0</v>
      </c>
      <c r="P1094" s="229">
        <f>IF(Years="Five",IF(P$338&gt;$D$33,0,IF(Input!P$55=0,0,IF(Input!P$55&lt;31,Input!P$55/30*P459,IF(Input!P$55&lt;61,(Input!P$55-30)/30*P458+P459,IF(Input!P$55&lt;91,(Input!P$55-60)/30*P457+P458+P459,IF(Input!P$55&lt;121,(Input!P$55-90)/30*P456+P457+P458+P459,IF(Input!P$55&lt;151,(Input!P$55-120)/30*P455+P456+P457+P458+P459,(Input!P$55-150)/30*P454+P455+P456+P457+P458+P459))))))),0)</f>
        <v>0</v>
      </c>
      <c r="Q1094" s="229">
        <f>IF(Years="Five",IF(Q$338&gt;$D$33,0,IF(Input!Q$55=0,0,IF(Input!Q$55&lt;31,Input!Q$55/30*Q459,IF(Input!Q$55&lt;61,(Input!Q$55-30)/30*Q458+Q459,IF(Input!Q$55&lt;91,(Input!Q$55-60)/30*Q457+Q458+Q459,IF(Input!Q$55&lt;121,(Input!Q$55-90)/30*Q456+Q457+Q458+Q459,IF(Input!Q$55&lt;151,(Input!Q$55-120)/30*Q455+Q456+Q457+Q458+Q459,(Input!Q$55-150)/30*Q454+Q455+Q456+Q457+Q458+Q459))))))),0)</f>
        <v>0</v>
      </c>
      <c r="R1094" s="229">
        <f>IF(Years="Five",IF(R$338&gt;$D$33,0,IF(Input!R$55=0,0,IF(Input!R$55&lt;31,Input!R$55/30*R459,IF(Input!R$55&lt;61,(Input!R$55-30)/30*R458+R459,IF(Input!R$55&lt;91,(Input!R$55-60)/30*R457+R458+R459,IF(Input!R$55&lt;121,(Input!R$55-90)/30*R456+R457+R458+R459,IF(Input!R$55&lt;151,(Input!R$55-120)/30*R455+R456+R457+R458+R459,(Input!R$55-150)/30*R454+R455+R456+R457+R458+R459))))))),0)</f>
        <v>0</v>
      </c>
      <c r="S1094" s="229">
        <f>IF(Years="Five",IF(S$338&gt;$D$33,0,IF(Input!S$55=0,0,IF(Input!S$55&lt;31,Input!S$55/30*S459,IF(Input!S$55&lt;61,(Input!S$55-30)/30*S458+S459,IF(Input!S$55&lt;91,(Input!S$55-60)/30*S457+S458+S459,IF(Input!S$55&lt;121,(Input!S$55-90)/30*S456+S457+S458+S459,IF(Input!S$55&lt;151,(Input!S$55-120)/30*S455+S456+S457+S458+S459,(Input!S$55-150)/30*S454+S455+S456+S457+S458+S459))))))),0)</f>
        <v>0</v>
      </c>
      <c r="T1094" s="229">
        <f>IF(Years="Five",IF(T$338&gt;$D$33,0,IF(Input!T$55=0,0,IF(Input!T$55&lt;31,Input!T$55/30*T459,IF(Input!T$55&lt;61,(Input!T$55-30)/30*T458+T459,IF(Input!T$55&lt;91,(Input!T$55-60)/30*T457+T458+T459,IF(Input!T$55&lt;121,(Input!T$55-90)/30*T456+T457+T458+T459,IF(Input!T$55&lt;151,(Input!T$55-120)/30*T455+T456+T457+T458+T459,(Input!T$55-150)/30*T454+T455+T456+T457+T458+T459))))))),0)</f>
        <v>0</v>
      </c>
      <c r="U1094" s="229">
        <f>IF(Years="Five",IF(U$338&gt;$D$33,0,IF(Input!U$55=0,0,IF(Input!U$55&lt;31,Input!U$55/30*U459,IF(Input!U$55&lt;61,(Input!U$55-30)/30*U458+U459,IF(Input!U$55&lt;91,(Input!U$55-60)/30*U457+U458+U459,IF(Input!U$55&lt;121,(Input!U$55-90)/30*U456+U457+U458+U459,IF(Input!U$55&lt;151,(Input!U$55-120)/30*U455+U456+U457+U458+U459,(Input!U$55-150)/30*U454+U455+U456+U457+U458+U459))))))),0)</f>
        <v>0</v>
      </c>
      <c r="V1094" s="229">
        <f>IF(Years="Five",IF(V$338&gt;$D$33,0,IF(Input!V$55=0,0,IF(Input!V$55&lt;31,Input!V$55/30*V459,IF(Input!V$55&lt;61,(Input!V$55-30)/30*V458+V459,IF(Input!V$55&lt;91,(Input!V$55-60)/30*V457+V458+V459,IF(Input!V$55&lt;121,(Input!V$55-90)/30*V456+V457+V458+V459,IF(Input!V$55&lt;151,(Input!V$55-120)/30*V455+V456+V457+V458+V459,(Input!V$55-150)/30*V454+V455+V456+V457+V458+V459))))))),0)</f>
        <v>0</v>
      </c>
      <c r="W1094" s="229">
        <f>IF(Years="Five",IF(W$338&gt;$D$33,0,IF(Input!W$55=0,0,IF(Input!W$55&lt;31,Input!W$55/30*W459,IF(Input!W$55&lt;61,(Input!W$55-30)/30*W458+W459,IF(Input!W$55&lt;91,(Input!W$55-60)/30*W457+W458+W459,IF(Input!W$55&lt;121,(Input!W$55-90)/30*W456+W457+W458+W459,IF(Input!W$55&lt;151,(Input!W$55-120)/30*W455+W456+W457+W458+W459,(Input!W$55-150)/30*W454+W455+W456+W457+W458+W459))))))),0)</f>
        <v>0</v>
      </c>
      <c r="X1094" s="229">
        <f>IF(Years="Five",IF(X$338&gt;$D$33,0,IF(Input!X$55=0,0,IF(Input!X$55&lt;31,Input!X$55/30*X459,IF(Input!X$55&lt;61,(Input!X$55-30)/30*X458+X459,IF(Input!X$55&lt;91,(Input!X$55-60)/30*X457+X458+X459,IF(Input!X$55&lt;121,(Input!X$55-90)/30*X456+X457+X458+X459,IF(Input!X$55&lt;151,(Input!X$55-120)/30*X455+X456+X457+X458+X459,(Input!X$55-150)/30*X454+X455+X456+X457+X458+X459))))))),0)</f>
        <v>0</v>
      </c>
      <c r="Y1094" s="229">
        <f>IF(Years="Five",IF(Y$338&gt;$D$33,0,IF(Input!Y$55=0,0,IF(Input!Y$55&lt;31,Input!Y$55/30*Y459,IF(Input!Y$55&lt;61,(Input!Y$55-30)/30*Y458+Y459,IF(Input!Y$55&lt;91,(Input!Y$55-60)/30*Y457+Y458+Y459,IF(Input!Y$55&lt;121,(Input!Y$55-90)/30*Y456+Y457+Y458+Y459,IF(Input!Y$55&lt;151,(Input!Y$55-120)/30*Y455+Y456+Y457+Y458+Y459,(Input!Y$55-150)/30*Y454+Y455+Y456+Y457+Y458+Y459))))))),0)</f>
        <v>0</v>
      </c>
      <c r="Z1094" s="229">
        <f>IF(Years="Five",IF(Z$338&gt;$D$33,0,IF(Input!Z$55=0,0,IF(Input!Z$55&lt;31,Input!Z$55/30*Z459,IF(Input!Z$55&lt;61,(Input!Z$55-30)/30*Z458+Z459,IF(Input!Z$55&lt;91,(Input!Z$55-60)/30*Z457+Z458+Z459,IF(Input!Z$55&lt;121,(Input!Z$55-90)/30*Z456+Z457+Z458+Z459,IF(Input!Z$55&lt;151,(Input!Z$55-120)/30*Z455+Z456+Z457+Z458+Z459,(Input!Z$55-150)/30*Z454+Z455+Z456+Z457+Z458+Z459))))))),0)</f>
        <v>0</v>
      </c>
      <c r="AA1094" s="229">
        <f>IF(Years="Five",IF(AA$338&gt;$D$33,0,IF(Input!AA$55=0,0,IF(Input!AA$55&lt;31,Input!AA$55/30*AA459,IF(Input!AA$55&lt;61,(Input!AA$55-30)/30*AA458+AA459,IF(Input!AA$55&lt;91,(Input!AA$55-60)/30*AA457+AA458+AA459,IF(Input!AA$55&lt;121,(Input!AA$55-90)/30*AA456+AA457+AA458+AA459,IF(Input!AA$55&lt;151,(Input!AA$55-120)/30*AA455+AA456+AA457+AA458+AA459,(Input!AA$55-150)/30*AA454+AA455+AA456+AA457+AA458+AA459))))))),0)</f>
        <v>0</v>
      </c>
      <c r="AB1094" s="298">
        <f>IF(Years="Five",IF(AB$338&gt;$D$33,0,IF(Input!AB$55=0,0,IF(Input!AB$55&lt;31,Input!AB$55/30*AB459,IF(Input!AB$55&lt;61,(Input!AB$55-30)/30*AB458+AB459,IF(Input!AB$55&lt;91,(Input!AB$55-60)/30*AB457+AB458+AB459,IF(Input!AB$55&lt;121,(Input!AB$55-90)/30*AB456+AB457+AB458+AB459,IF(Input!AB$55&lt;151,(Input!AB$55-120)/30*AB455+AB456+AB457+AB458+AB459,(Input!AB$55-150)/30*AB454+AB455+AB456+AB457+AB458+AB459))))))),0)</f>
        <v>0</v>
      </c>
      <c r="CH1094" s="269"/>
      <c r="CI1094" s="269"/>
      <c r="CJ1094" s="269"/>
      <c r="CK1094" s="269"/>
      <c r="CL1094" s="269"/>
      <c r="CM1094" s="269"/>
      <c r="CN1094" s="269"/>
      <c r="CO1094" s="269"/>
      <c r="CP1094" s="269"/>
      <c r="CQ1094" s="269"/>
      <c r="CR1094" s="269"/>
      <c r="CS1094" s="269"/>
    </row>
    <row r="1095" spans="3:97" x14ac:dyDescent="0.3">
      <c r="C1095" s="638">
        <f>C1032</f>
        <v>1552</v>
      </c>
      <c r="D1095" s="297">
        <f>IF(Years="Five",IF(D$338&gt;$D$33,0,IF(Input!D$55=0,0,IF(Input!D$55&lt;31,Input!D$55/30*D460,IF(Input!D$55&lt;61,(Input!D$55-30)/30*D459+D460,IF(Input!D$55&lt;91,(Input!D$55-60)/30*D458+D459+D460,IF(Input!D$55&lt;121,(Input!D$55-90)/30*D457+D458+D459+D460,IF(Input!D$55&lt;151,(Input!D$55-120)/30*D456+D457+D458+D459+D460,(Input!D$55-150)/30*D455+D456+D457+D458+D459+D460))))))),0)</f>
        <v>0</v>
      </c>
      <c r="E1095" s="229">
        <f>IF(Years="Five",IF(E$338&gt;$D$33,0,IF(Input!E$55=0,0,IF(Input!E$55&lt;31,Input!E$55/30*E460,IF(Input!E$55&lt;61,(Input!E$55-30)/30*E459+E460,IF(Input!E$55&lt;91,(Input!E$55-60)/30*E458+E459+E460,IF(Input!E$55&lt;121,(Input!E$55-90)/30*E457+E458+E459+E460,IF(Input!E$55&lt;151,(Input!E$55-120)/30*E456+E457+E458+E459+E460,(Input!E$55-150)/30*E455+E456+E457+E458+E459+E460))))))),0)</f>
        <v>0</v>
      </c>
      <c r="F1095" s="229">
        <f>IF(Years="Five",IF(F$338&gt;$D$33,0,IF(Input!F$55=0,0,IF(Input!F$55&lt;31,Input!F$55/30*F460,IF(Input!F$55&lt;61,(Input!F$55-30)/30*F459+F460,IF(Input!F$55&lt;91,(Input!F$55-60)/30*F458+F459+F460,IF(Input!F$55&lt;121,(Input!F$55-90)/30*F457+F458+F459+F460,IF(Input!F$55&lt;151,(Input!F$55-120)/30*F456+F457+F458+F459+F460,(Input!F$55-150)/30*F455+F456+F457+F458+F459+F460))))))),0)</f>
        <v>0</v>
      </c>
      <c r="G1095" s="229">
        <f>IF(Years="Five",IF(G$338&gt;$D$33,0,IF(Input!G$55=0,0,IF(Input!G$55&lt;31,Input!G$55/30*G460,IF(Input!G$55&lt;61,(Input!G$55-30)/30*G459+G460,IF(Input!G$55&lt;91,(Input!G$55-60)/30*G458+G459+G460,IF(Input!G$55&lt;121,(Input!G$55-90)/30*G457+G458+G459+G460,IF(Input!G$55&lt;151,(Input!G$55-120)/30*G456+G457+G458+G459+G460,(Input!G$55-150)/30*G455+G456+G457+G458+G459+G460))))))),0)</f>
        <v>0</v>
      </c>
      <c r="H1095" s="229">
        <f>IF(Years="Five",IF(H$338&gt;$D$33,0,IF(Input!H$55=0,0,IF(Input!H$55&lt;31,Input!H$55/30*H460,IF(Input!H$55&lt;61,(Input!H$55-30)/30*H459+H460,IF(Input!H$55&lt;91,(Input!H$55-60)/30*H458+H459+H460,IF(Input!H$55&lt;121,(Input!H$55-90)/30*H457+H458+H459+H460,IF(Input!H$55&lt;151,(Input!H$55-120)/30*H456+H457+H458+H459+H460,(Input!H$55-150)/30*H455+H456+H457+H458+H459+H460))))))),0)</f>
        <v>0</v>
      </c>
      <c r="I1095" s="229">
        <f>IF(Years="Five",IF(I$338&gt;$D$33,0,IF(Input!I$55=0,0,IF(Input!I$55&lt;31,Input!I$55/30*I460,IF(Input!I$55&lt;61,(Input!I$55-30)/30*I459+I460,IF(Input!I$55&lt;91,(Input!I$55-60)/30*I458+I459+I460,IF(Input!I$55&lt;121,(Input!I$55-90)/30*I457+I458+I459+I460,IF(Input!I$55&lt;151,(Input!I$55-120)/30*I456+I457+I458+I459+I460,(Input!I$55-150)/30*I455+I456+I457+I458+I459+I460))))))),0)</f>
        <v>0</v>
      </c>
      <c r="J1095" s="229">
        <f>IF(Years="Five",IF(J$338&gt;$D$33,0,IF(Input!J$55=0,0,IF(Input!J$55&lt;31,Input!J$55/30*J460,IF(Input!J$55&lt;61,(Input!J$55-30)/30*J459+J460,IF(Input!J$55&lt;91,(Input!J$55-60)/30*J458+J459+J460,IF(Input!J$55&lt;121,(Input!J$55-90)/30*J457+J458+J459+J460,IF(Input!J$55&lt;151,(Input!J$55-120)/30*J456+J457+J458+J459+J460,(Input!J$55-150)/30*J455+J456+J457+J458+J459+J460))))))),0)</f>
        <v>0</v>
      </c>
      <c r="K1095" s="229">
        <f>IF(Years="Five",IF(K$338&gt;$D$33,0,IF(Input!K$55=0,0,IF(Input!K$55&lt;31,Input!K$55/30*K460,IF(Input!K$55&lt;61,(Input!K$55-30)/30*K459+K460,IF(Input!K$55&lt;91,(Input!K$55-60)/30*K458+K459+K460,IF(Input!K$55&lt;121,(Input!K$55-90)/30*K457+K458+K459+K460,IF(Input!K$55&lt;151,(Input!K$55-120)/30*K456+K457+K458+K459+K460,(Input!K$55-150)/30*K455+K456+K457+K458+K459+K460))))))),0)</f>
        <v>0</v>
      </c>
      <c r="L1095" s="229">
        <f>IF(Years="Five",IF(L$338&gt;$D$33,0,IF(Input!L$55=0,0,IF(Input!L$55&lt;31,Input!L$55/30*L460,IF(Input!L$55&lt;61,(Input!L$55-30)/30*L459+L460,IF(Input!L$55&lt;91,(Input!L$55-60)/30*L458+L459+L460,IF(Input!L$55&lt;121,(Input!L$55-90)/30*L457+L458+L459+L460,IF(Input!L$55&lt;151,(Input!L$55-120)/30*L456+L457+L458+L459+L460,(Input!L$55-150)/30*L455+L456+L457+L458+L459+L460))))))),0)</f>
        <v>0</v>
      </c>
      <c r="M1095" s="229">
        <f>IF(Years="Five",IF(M$338&gt;$D$33,0,IF(Input!M$55=0,0,IF(Input!M$55&lt;31,Input!M$55/30*M460,IF(Input!M$55&lt;61,(Input!M$55-30)/30*M459+M460,IF(Input!M$55&lt;91,(Input!M$55-60)/30*M458+M459+M460,IF(Input!M$55&lt;121,(Input!M$55-90)/30*M457+M458+M459+M460,IF(Input!M$55&lt;151,(Input!M$55-120)/30*M456+M457+M458+M459+M460,(Input!M$55-150)/30*M455+M456+M457+M458+M459+M460))))))),0)</f>
        <v>0</v>
      </c>
      <c r="N1095" s="229">
        <f>IF(Years="Five",IF(N$338&gt;$D$33,0,IF(Input!N$55=0,0,IF(Input!N$55&lt;31,Input!N$55/30*N460,IF(Input!N$55&lt;61,(Input!N$55-30)/30*N459+N460,IF(Input!N$55&lt;91,(Input!N$55-60)/30*N458+N459+N460,IF(Input!N$55&lt;121,(Input!N$55-90)/30*N457+N458+N459+N460,IF(Input!N$55&lt;151,(Input!N$55-120)/30*N456+N457+N458+N459+N460,(Input!N$55-150)/30*N455+N456+N457+N458+N459+N460))))))),0)</f>
        <v>0</v>
      </c>
      <c r="O1095" s="229">
        <f>IF(Years="Five",IF(O$338&gt;$D$33,0,IF(Input!O$55=0,0,IF(Input!O$55&lt;31,Input!O$55/30*O460,IF(Input!O$55&lt;61,(Input!O$55-30)/30*O459+O460,IF(Input!O$55&lt;91,(Input!O$55-60)/30*O458+O459+O460,IF(Input!O$55&lt;121,(Input!O$55-90)/30*O457+O458+O459+O460,IF(Input!O$55&lt;151,(Input!O$55-120)/30*O456+O457+O458+O459+O460,(Input!O$55-150)/30*O455+O456+O457+O458+O459+O460))))))),0)</f>
        <v>0</v>
      </c>
      <c r="P1095" s="229">
        <f>IF(Years="Five",IF(P$338&gt;$D$33,0,IF(Input!P$55=0,0,IF(Input!P$55&lt;31,Input!P$55/30*P460,IF(Input!P$55&lt;61,(Input!P$55-30)/30*P459+P460,IF(Input!P$55&lt;91,(Input!P$55-60)/30*P458+P459+P460,IF(Input!P$55&lt;121,(Input!P$55-90)/30*P457+P458+P459+P460,IF(Input!P$55&lt;151,(Input!P$55-120)/30*P456+P457+P458+P459+P460,(Input!P$55-150)/30*P455+P456+P457+P458+P459+P460))))))),0)</f>
        <v>0</v>
      </c>
      <c r="Q1095" s="229">
        <f>IF(Years="Five",IF(Q$338&gt;$D$33,0,IF(Input!Q$55=0,0,IF(Input!Q$55&lt;31,Input!Q$55/30*Q460,IF(Input!Q$55&lt;61,(Input!Q$55-30)/30*Q459+Q460,IF(Input!Q$55&lt;91,(Input!Q$55-60)/30*Q458+Q459+Q460,IF(Input!Q$55&lt;121,(Input!Q$55-90)/30*Q457+Q458+Q459+Q460,IF(Input!Q$55&lt;151,(Input!Q$55-120)/30*Q456+Q457+Q458+Q459+Q460,(Input!Q$55-150)/30*Q455+Q456+Q457+Q458+Q459+Q460))))))),0)</f>
        <v>0</v>
      </c>
      <c r="R1095" s="229">
        <f>IF(Years="Five",IF(R$338&gt;$D$33,0,IF(Input!R$55=0,0,IF(Input!R$55&lt;31,Input!R$55/30*R460,IF(Input!R$55&lt;61,(Input!R$55-30)/30*R459+R460,IF(Input!R$55&lt;91,(Input!R$55-60)/30*R458+R459+R460,IF(Input!R$55&lt;121,(Input!R$55-90)/30*R457+R458+R459+R460,IF(Input!R$55&lt;151,(Input!R$55-120)/30*R456+R457+R458+R459+R460,(Input!R$55-150)/30*R455+R456+R457+R458+R459+R460))))))),0)</f>
        <v>0</v>
      </c>
      <c r="S1095" s="229">
        <f>IF(Years="Five",IF(S$338&gt;$D$33,0,IF(Input!S$55=0,0,IF(Input!S$55&lt;31,Input!S$55/30*S460,IF(Input!S$55&lt;61,(Input!S$55-30)/30*S459+S460,IF(Input!S$55&lt;91,(Input!S$55-60)/30*S458+S459+S460,IF(Input!S$55&lt;121,(Input!S$55-90)/30*S457+S458+S459+S460,IF(Input!S$55&lt;151,(Input!S$55-120)/30*S456+S457+S458+S459+S460,(Input!S$55-150)/30*S455+S456+S457+S458+S459+S460))))))),0)</f>
        <v>0</v>
      </c>
      <c r="T1095" s="229">
        <f>IF(Years="Five",IF(T$338&gt;$D$33,0,IF(Input!T$55=0,0,IF(Input!T$55&lt;31,Input!T$55/30*T460,IF(Input!T$55&lt;61,(Input!T$55-30)/30*T459+T460,IF(Input!T$55&lt;91,(Input!T$55-60)/30*T458+T459+T460,IF(Input!T$55&lt;121,(Input!T$55-90)/30*T457+T458+T459+T460,IF(Input!T$55&lt;151,(Input!T$55-120)/30*T456+T457+T458+T459+T460,(Input!T$55-150)/30*T455+T456+T457+T458+T459+T460))))))),0)</f>
        <v>0</v>
      </c>
      <c r="U1095" s="229">
        <f>IF(Years="Five",IF(U$338&gt;$D$33,0,IF(Input!U$55=0,0,IF(Input!U$55&lt;31,Input!U$55/30*U460,IF(Input!U$55&lt;61,(Input!U$55-30)/30*U459+U460,IF(Input!U$55&lt;91,(Input!U$55-60)/30*U458+U459+U460,IF(Input!U$55&lt;121,(Input!U$55-90)/30*U457+U458+U459+U460,IF(Input!U$55&lt;151,(Input!U$55-120)/30*U456+U457+U458+U459+U460,(Input!U$55-150)/30*U455+U456+U457+U458+U459+U460))))))),0)</f>
        <v>0</v>
      </c>
      <c r="V1095" s="229">
        <f>IF(Years="Five",IF(V$338&gt;$D$33,0,IF(Input!V$55=0,0,IF(Input!V$55&lt;31,Input!V$55/30*V460,IF(Input!V$55&lt;61,(Input!V$55-30)/30*V459+V460,IF(Input!V$55&lt;91,(Input!V$55-60)/30*V458+V459+V460,IF(Input!V$55&lt;121,(Input!V$55-90)/30*V457+V458+V459+V460,IF(Input!V$55&lt;151,(Input!V$55-120)/30*V456+V457+V458+V459+V460,(Input!V$55-150)/30*V455+V456+V457+V458+V459+V460))))))),0)</f>
        <v>0</v>
      </c>
      <c r="W1095" s="229">
        <f>IF(Years="Five",IF(W$338&gt;$D$33,0,IF(Input!W$55=0,0,IF(Input!W$55&lt;31,Input!W$55/30*W460,IF(Input!W$55&lt;61,(Input!W$55-30)/30*W459+W460,IF(Input!W$55&lt;91,(Input!W$55-60)/30*W458+W459+W460,IF(Input!W$55&lt;121,(Input!W$55-90)/30*W457+W458+W459+W460,IF(Input!W$55&lt;151,(Input!W$55-120)/30*W456+W457+W458+W459+W460,(Input!W$55-150)/30*W455+W456+W457+W458+W459+W460))))))),0)</f>
        <v>0</v>
      </c>
      <c r="X1095" s="229">
        <f>IF(Years="Five",IF(X$338&gt;$D$33,0,IF(Input!X$55=0,0,IF(Input!X$55&lt;31,Input!X$55/30*X460,IF(Input!X$55&lt;61,(Input!X$55-30)/30*X459+X460,IF(Input!X$55&lt;91,(Input!X$55-60)/30*X458+X459+X460,IF(Input!X$55&lt;121,(Input!X$55-90)/30*X457+X458+X459+X460,IF(Input!X$55&lt;151,(Input!X$55-120)/30*X456+X457+X458+X459+X460,(Input!X$55-150)/30*X455+X456+X457+X458+X459+X460))))))),0)</f>
        <v>0</v>
      </c>
      <c r="Y1095" s="229">
        <f>IF(Years="Five",IF(Y$338&gt;$D$33,0,IF(Input!Y$55=0,0,IF(Input!Y$55&lt;31,Input!Y$55/30*Y460,IF(Input!Y$55&lt;61,(Input!Y$55-30)/30*Y459+Y460,IF(Input!Y$55&lt;91,(Input!Y$55-60)/30*Y458+Y459+Y460,IF(Input!Y$55&lt;121,(Input!Y$55-90)/30*Y457+Y458+Y459+Y460,IF(Input!Y$55&lt;151,(Input!Y$55-120)/30*Y456+Y457+Y458+Y459+Y460,(Input!Y$55-150)/30*Y455+Y456+Y457+Y458+Y459+Y460))))))),0)</f>
        <v>0</v>
      </c>
      <c r="Z1095" s="229">
        <f>IF(Years="Five",IF(Z$338&gt;$D$33,0,IF(Input!Z$55=0,0,IF(Input!Z$55&lt;31,Input!Z$55/30*Z460,IF(Input!Z$55&lt;61,(Input!Z$55-30)/30*Z459+Z460,IF(Input!Z$55&lt;91,(Input!Z$55-60)/30*Z458+Z459+Z460,IF(Input!Z$55&lt;121,(Input!Z$55-90)/30*Z457+Z458+Z459+Z460,IF(Input!Z$55&lt;151,(Input!Z$55-120)/30*Z456+Z457+Z458+Z459+Z460,(Input!Z$55-150)/30*Z455+Z456+Z457+Z458+Z459+Z460))))))),0)</f>
        <v>0</v>
      </c>
      <c r="AA1095" s="229">
        <f>IF(Years="Five",IF(AA$338&gt;$D$33,0,IF(Input!AA$55=0,0,IF(Input!AA$55&lt;31,Input!AA$55/30*AA460,IF(Input!AA$55&lt;61,(Input!AA$55-30)/30*AA459+AA460,IF(Input!AA$55&lt;91,(Input!AA$55-60)/30*AA458+AA459+AA460,IF(Input!AA$55&lt;121,(Input!AA$55-90)/30*AA457+AA458+AA459+AA460,IF(Input!AA$55&lt;151,(Input!AA$55-120)/30*AA456+AA457+AA458+AA459+AA460,(Input!AA$55-150)/30*AA455+AA456+AA457+AA458+AA459+AA460))))))),0)</f>
        <v>0</v>
      </c>
      <c r="AB1095" s="298">
        <f>IF(Years="Five",IF(AB$338&gt;$D$33,0,IF(Input!AB$55=0,0,IF(Input!AB$55&lt;31,Input!AB$55/30*AB460,IF(Input!AB$55&lt;61,(Input!AB$55-30)/30*AB459+AB460,IF(Input!AB$55&lt;91,(Input!AB$55-60)/30*AB458+AB459+AB460,IF(Input!AB$55&lt;121,(Input!AB$55-90)/30*AB457+AB458+AB459+AB460,IF(Input!AB$55&lt;151,(Input!AB$55-120)/30*AB456+AB457+AB458+AB459+AB460,(Input!AB$55-150)/30*AB455+AB456+AB457+AB458+AB459+AB460))))))),0)</f>
        <v>0</v>
      </c>
      <c r="CH1095" s="269"/>
      <c r="CI1095" s="269"/>
      <c r="CJ1095" s="269"/>
      <c r="CK1095" s="269"/>
      <c r="CL1095" s="269"/>
      <c r="CM1095" s="269"/>
      <c r="CN1095" s="269"/>
      <c r="CO1095" s="269"/>
      <c r="CP1095" s="269"/>
      <c r="CQ1095" s="269"/>
      <c r="CR1095" s="269"/>
      <c r="CS1095" s="269"/>
    </row>
    <row r="1096" spans="3:97" x14ac:dyDescent="0.3">
      <c r="C1096" s="638">
        <f>C1033</f>
        <v>1582</v>
      </c>
      <c r="D1096" s="297">
        <f>IF(Years="Five",IF(D$338&gt;$D$33,0,IF(Input!D$55=0,0,IF(Input!D$55&lt;31,Input!D$55/30*D461,IF(Input!D$55&lt;61,(Input!D$55-30)/30*D460+D461,IF(Input!D$55&lt;91,(Input!D$55-60)/30*D459+D460+D461,IF(Input!D$55&lt;121,(Input!D$55-90)/30*D458+D459+D460+D461,IF(Input!D$55&lt;151,(Input!D$55-120)/30*D457+D458+D459+D460+D461,(Input!D$55-150)/30*D456+D457+D458+D459+D460+D461))))))),0)</f>
        <v>0</v>
      </c>
      <c r="E1096" s="229">
        <f>IF(Years="Five",IF(E$338&gt;$D$33,0,IF(Input!E$55=0,0,IF(Input!E$55&lt;31,Input!E$55/30*E461,IF(Input!E$55&lt;61,(Input!E$55-30)/30*E460+E461,IF(Input!E$55&lt;91,(Input!E$55-60)/30*E459+E460+E461,IF(Input!E$55&lt;121,(Input!E$55-90)/30*E458+E459+E460+E461,IF(Input!E$55&lt;151,(Input!E$55-120)/30*E457+E458+E459+E460+E461,(Input!E$55-150)/30*E456+E457+E458+E459+E460+E461))))))),0)</f>
        <v>0</v>
      </c>
      <c r="F1096" s="229">
        <f>IF(Years="Five",IF(F$338&gt;$D$33,0,IF(Input!F$55=0,0,IF(Input!F$55&lt;31,Input!F$55/30*F461,IF(Input!F$55&lt;61,(Input!F$55-30)/30*F460+F461,IF(Input!F$55&lt;91,(Input!F$55-60)/30*F459+F460+F461,IF(Input!F$55&lt;121,(Input!F$55-90)/30*F458+F459+F460+F461,IF(Input!F$55&lt;151,(Input!F$55-120)/30*F457+F458+F459+F460+F461,(Input!F$55-150)/30*F456+F457+F458+F459+F460+F461))))))),0)</f>
        <v>0</v>
      </c>
      <c r="G1096" s="229">
        <f>IF(Years="Five",IF(G$338&gt;$D$33,0,IF(Input!G$55=0,0,IF(Input!G$55&lt;31,Input!G$55/30*G461,IF(Input!G$55&lt;61,(Input!G$55-30)/30*G460+G461,IF(Input!G$55&lt;91,(Input!G$55-60)/30*G459+G460+G461,IF(Input!G$55&lt;121,(Input!G$55-90)/30*G458+G459+G460+G461,IF(Input!G$55&lt;151,(Input!G$55-120)/30*G457+G458+G459+G460+G461,(Input!G$55-150)/30*G456+G457+G458+G459+G460+G461))))))),0)</f>
        <v>0</v>
      </c>
      <c r="H1096" s="229">
        <f>IF(Years="Five",IF(H$338&gt;$D$33,0,IF(Input!H$55=0,0,IF(Input!H$55&lt;31,Input!H$55/30*H461,IF(Input!H$55&lt;61,(Input!H$55-30)/30*H460+H461,IF(Input!H$55&lt;91,(Input!H$55-60)/30*H459+H460+H461,IF(Input!H$55&lt;121,(Input!H$55-90)/30*H458+H459+H460+H461,IF(Input!H$55&lt;151,(Input!H$55-120)/30*H457+H458+H459+H460+H461,(Input!H$55-150)/30*H456+H457+H458+H459+H460+H461))))))),0)</f>
        <v>0</v>
      </c>
      <c r="I1096" s="229">
        <f>IF(Years="Five",IF(I$338&gt;$D$33,0,IF(Input!I$55=0,0,IF(Input!I$55&lt;31,Input!I$55/30*I461,IF(Input!I$55&lt;61,(Input!I$55-30)/30*I460+I461,IF(Input!I$55&lt;91,(Input!I$55-60)/30*I459+I460+I461,IF(Input!I$55&lt;121,(Input!I$55-90)/30*I458+I459+I460+I461,IF(Input!I$55&lt;151,(Input!I$55-120)/30*I457+I458+I459+I460+I461,(Input!I$55-150)/30*I456+I457+I458+I459+I460+I461))))))),0)</f>
        <v>0</v>
      </c>
      <c r="J1096" s="229">
        <f>IF(Years="Five",IF(J$338&gt;$D$33,0,IF(Input!J$55=0,0,IF(Input!J$55&lt;31,Input!J$55/30*J461,IF(Input!J$55&lt;61,(Input!J$55-30)/30*J460+J461,IF(Input!J$55&lt;91,(Input!J$55-60)/30*J459+J460+J461,IF(Input!J$55&lt;121,(Input!J$55-90)/30*J458+J459+J460+J461,IF(Input!J$55&lt;151,(Input!J$55-120)/30*J457+J458+J459+J460+J461,(Input!J$55-150)/30*J456+J457+J458+J459+J460+J461))))))),0)</f>
        <v>0</v>
      </c>
      <c r="K1096" s="229">
        <f>IF(Years="Five",IF(K$338&gt;$D$33,0,IF(Input!K$55=0,0,IF(Input!K$55&lt;31,Input!K$55/30*K461,IF(Input!K$55&lt;61,(Input!K$55-30)/30*K460+K461,IF(Input!K$55&lt;91,(Input!K$55-60)/30*K459+K460+K461,IF(Input!K$55&lt;121,(Input!K$55-90)/30*K458+K459+K460+K461,IF(Input!K$55&lt;151,(Input!K$55-120)/30*K457+K458+K459+K460+K461,(Input!K$55-150)/30*K456+K457+K458+K459+K460+K461))))))),0)</f>
        <v>0</v>
      </c>
      <c r="L1096" s="229">
        <f>IF(Years="Five",IF(L$338&gt;$D$33,0,IF(Input!L$55=0,0,IF(Input!L$55&lt;31,Input!L$55/30*L461,IF(Input!L$55&lt;61,(Input!L$55-30)/30*L460+L461,IF(Input!L$55&lt;91,(Input!L$55-60)/30*L459+L460+L461,IF(Input!L$55&lt;121,(Input!L$55-90)/30*L458+L459+L460+L461,IF(Input!L$55&lt;151,(Input!L$55-120)/30*L457+L458+L459+L460+L461,(Input!L$55-150)/30*L456+L457+L458+L459+L460+L461))))))),0)</f>
        <v>0</v>
      </c>
      <c r="M1096" s="229">
        <f>IF(Years="Five",IF(M$338&gt;$D$33,0,IF(Input!M$55=0,0,IF(Input!M$55&lt;31,Input!M$55/30*M461,IF(Input!M$55&lt;61,(Input!M$55-30)/30*M460+M461,IF(Input!M$55&lt;91,(Input!M$55-60)/30*M459+M460+M461,IF(Input!M$55&lt;121,(Input!M$55-90)/30*M458+M459+M460+M461,IF(Input!M$55&lt;151,(Input!M$55-120)/30*M457+M458+M459+M460+M461,(Input!M$55-150)/30*M456+M457+M458+M459+M460+M461))))))),0)</f>
        <v>0</v>
      </c>
      <c r="N1096" s="229">
        <f>IF(Years="Five",IF(N$338&gt;$D$33,0,IF(Input!N$55=0,0,IF(Input!N$55&lt;31,Input!N$55/30*N461,IF(Input!N$55&lt;61,(Input!N$55-30)/30*N460+N461,IF(Input!N$55&lt;91,(Input!N$55-60)/30*N459+N460+N461,IF(Input!N$55&lt;121,(Input!N$55-90)/30*N458+N459+N460+N461,IF(Input!N$55&lt;151,(Input!N$55-120)/30*N457+N458+N459+N460+N461,(Input!N$55-150)/30*N456+N457+N458+N459+N460+N461))))))),0)</f>
        <v>0</v>
      </c>
      <c r="O1096" s="229">
        <f>IF(Years="Five",IF(O$338&gt;$D$33,0,IF(Input!O$55=0,0,IF(Input!O$55&lt;31,Input!O$55/30*O461,IF(Input!O$55&lt;61,(Input!O$55-30)/30*O460+O461,IF(Input!O$55&lt;91,(Input!O$55-60)/30*O459+O460+O461,IF(Input!O$55&lt;121,(Input!O$55-90)/30*O458+O459+O460+O461,IF(Input!O$55&lt;151,(Input!O$55-120)/30*O457+O458+O459+O460+O461,(Input!O$55-150)/30*O456+O457+O458+O459+O460+O461))))))),0)</f>
        <v>0</v>
      </c>
      <c r="P1096" s="229">
        <f>IF(Years="Five",IF(P$338&gt;$D$33,0,IF(Input!P$55=0,0,IF(Input!P$55&lt;31,Input!P$55/30*P461,IF(Input!P$55&lt;61,(Input!P$55-30)/30*P460+P461,IF(Input!P$55&lt;91,(Input!P$55-60)/30*P459+P460+P461,IF(Input!P$55&lt;121,(Input!P$55-90)/30*P458+P459+P460+P461,IF(Input!P$55&lt;151,(Input!P$55-120)/30*P457+P458+P459+P460+P461,(Input!P$55-150)/30*P456+P457+P458+P459+P460+P461))))))),0)</f>
        <v>0</v>
      </c>
      <c r="Q1096" s="229">
        <f>IF(Years="Five",IF(Q$338&gt;$D$33,0,IF(Input!Q$55=0,0,IF(Input!Q$55&lt;31,Input!Q$55/30*Q461,IF(Input!Q$55&lt;61,(Input!Q$55-30)/30*Q460+Q461,IF(Input!Q$55&lt;91,(Input!Q$55-60)/30*Q459+Q460+Q461,IF(Input!Q$55&lt;121,(Input!Q$55-90)/30*Q458+Q459+Q460+Q461,IF(Input!Q$55&lt;151,(Input!Q$55-120)/30*Q457+Q458+Q459+Q460+Q461,(Input!Q$55-150)/30*Q456+Q457+Q458+Q459+Q460+Q461))))))),0)</f>
        <v>0</v>
      </c>
      <c r="R1096" s="229">
        <f>IF(Years="Five",IF(R$338&gt;$D$33,0,IF(Input!R$55=0,0,IF(Input!R$55&lt;31,Input!R$55/30*R461,IF(Input!R$55&lt;61,(Input!R$55-30)/30*R460+R461,IF(Input!R$55&lt;91,(Input!R$55-60)/30*R459+R460+R461,IF(Input!R$55&lt;121,(Input!R$55-90)/30*R458+R459+R460+R461,IF(Input!R$55&lt;151,(Input!R$55-120)/30*R457+R458+R459+R460+R461,(Input!R$55-150)/30*R456+R457+R458+R459+R460+R461))))))),0)</f>
        <v>0</v>
      </c>
      <c r="S1096" s="229">
        <f>IF(Years="Five",IF(S$338&gt;$D$33,0,IF(Input!S$55=0,0,IF(Input!S$55&lt;31,Input!S$55/30*S461,IF(Input!S$55&lt;61,(Input!S$55-30)/30*S460+S461,IF(Input!S$55&lt;91,(Input!S$55-60)/30*S459+S460+S461,IF(Input!S$55&lt;121,(Input!S$55-90)/30*S458+S459+S460+S461,IF(Input!S$55&lt;151,(Input!S$55-120)/30*S457+S458+S459+S460+S461,(Input!S$55-150)/30*S456+S457+S458+S459+S460+S461))))))),0)</f>
        <v>0</v>
      </c>
      <c r="T1096" s="229">
        <f>IF(Years="Five",IF(T$338&gt;$D$33,0,IF(Input!T$55=0,0,IF(Input!T$55&lt;31,Input!T$55/30*T461,IF(Input!T$55&lt;61,(Input!T$55-30)/30*T460+T461,IF(Input!T$55&lt;91,(Input!T$55-60)/30*T459+T460+T461,IF(Input!T$55&lt;121,(Input!T$55-90)/30*T458+T459+T460+T461,IF(Input!T$55&lt;151,(Input!T$55-120)/30*T457+T458+T459+T460+T461,(Input!T$55-150)/30*T456+T457+T458+T459+T460+T461))))))),0)</f>
        <v>0</v>
      </c>
      <c r="U1096" s="229">
        <f>IF(Years="Five",IF(U$338&gt;$D$33,0,IF(Input!U$55=0,0,IF(Input!U$55&lt;31,Input!U$55/30*U461,IF(Input!U$55&lt;61,(Input!U$55-30)/30*U460+U461,IF(Input!U$55&lt;91,(Input!U$55-60)/30*U459+U460+U461,IF(Input!U$55&lt;121,(Input!U$55-90)/30*U458+U459+U460+U461,IF(Input!U$55&lt;151,(Input!U$55-120)/30*U457+U458+U459+U460+U461,(Input!U$55-150)/30*U456+U457+U458+U459+U460+U461))))))),0)</f>
        <v>0</v>
      </c>
      <c r="V1096" s="229">
        <f>IF(Years="Five",IF(V$338&gt;$D$33,0,IF(Input!V$55=0,0,IF(Input!V$55&lt;31,Input!V$55/30*V461,IF(Input!V$55&lt;61,(Input!V$55-30)/30*V460+V461,IF(Input!V$55&lt;91,(Input!V$55-60)/30*V459+V460+V461,IF(Input!V$55&lt;121,(Input!V$55-90)/30*V458+V459+V460+V461,IF(Input!V$55&lt;151,(Input!V$55-120)/30*V457+V458+V459+V460+V461,(Input!V$55-150)/30*V456+V457+V458+V459+V460+V461))))))),0)</f>
        <v>0</v>
      </c>
      <c r="W1096" s="229">
        <f>IF(Years="Five",IF(W$338&gt;$D$33,0,IF(Input!W$55=0,0,IF(Input!W$55&lt;31,Input!W$55/30*W461,IF(Input!W$55&lt;61,(Input!W$55-30)/30*W460+W461,IF(Input!W$55&lt;91,(Input!W$55-60)/30*W459+W460+W461,IF(Input!W$55&lt;121,(Input!W$55-90)/30*W458+W459+W460+W461,IF(Input!W$55&lt;151,(Input!W$55-120)/30*W457+W458+W459+W460+W461,(Input!W$55-150)/30*W456+W457+W458+W459+W460+W461))))))),0)</f>
        <v>0</v>
      </c>
      <c r="X1096" s="229">
        <f>IF(Years="Five",IF(X$338&gt;$D$33,0,IF(Input!X$55=0,0,IF(Input!X$55&lt;31,Input!X$55/30*X461,IF(Input!X$55&lt;61,(Input!X$55-30)/30*X460+X461,IF(Input!X$55&lt;91,(Input!X$55-60)/30*X459+X460+X461,IF(Input!X$55&lt;121,(Input!X$55-90)/30*X458+X459+X460+X461,IF(Input!X$55&lt;151,(Input!X$55-120)/30*X457+X458+X459+X460+X461,(Input!X$55-150)/30*X456+X457+X458+X459+X460+X461))))))),0)</f>
        <v>0</v>
      </c>
      <c r="Y1096" s="229">
        <f>IF(Years="Five",IF(Y$338&gt;$D$33,0,IF(Input!Y$55=0,0,IF(Input!Y$55&lt;31,Input!Y$55/30*Y461,IF(Input!Y$55&lt;61,(Input!Y$55-30)/30*Y460+Y461,IF(Input!Y$55&lt;91,(Input!Y$55-60)/30*Y459+Y460+Y461,IF(Input!Y$55&lt;121,(Input!Y$55-90)/30*Y458+Y459+Y460+Y461,IF(Input!Y$55&lt;151,(Input!Y$55-120)/30*Y457+Y458+Y459+Y460+Y461,(Input!Y$55-150)/30*Y456+Y457+Y458+Y459+Y460+Y461))))))),0)</f>
        <v>0</v>
      </c>
      <c r="Z1096" s="229">
        <f>IF(Years="Five",IF(Z$338&gt;$D$33,0,IF(Input!Z$55=0,0,IF(Input!Z$55&lt;31,Input!Z$55/30*Z461,IF(Input!Z$55&lt;61,(Input!Z$55-30)/30*Z460+Z461,IF(Input!Z$55&lt;91,(Input!Z$55-60)/30*Z459+Z460+Z461,IF(Input!Z$55&lt;121,(Input!Z$55-90)/30*Z458+Z459+Z460+Z461,IF(Input!Z$55&lt;151,(Input!Z$55-120)/30*Z457+Z458+Z459+Z460+Z461,(Input!Z$55-150)/30*Z456+Z457+Z458+Z459+Z460+Z461))))))),0)</f>
        <v>0</v>
      </c>
      <c r="AA1096" s="229">
        <f>IF(Years="Five",IF(AA$338&gt;$D$33,0,IF(Input!AA$55=0,0,IF(Input!AA$55&lt;31,Input!AA$55/30*AA461,IF(Input!AA$55&lt;61,(Input!AA$55-30)/30*AA460+AA461,IF(Input!AA$55&lt;91,(Input!AA$55-60)/30*AA459+AA460+AA461,IF(Input!AA$55&lt;121,(Input!AA$55-90)/30*AA458+AA459+AA460+AA461,IF(Input!AA$55&lt;151,(Input!AA$55-120)/30*AA457+AA458+AA459+AA460+AA461,(Input!AA$55-150)/30*AA456+AA457+AA458+AA459+AA460+AA461))))))),0)</f>
        <v>0</v>
      </c>
      <c r="AB1096" s="298">
        <f>IF(Years="Five",IF(AB$338&gt;$D$33,0,IF(Input!AB$55=0,0,IF(Input!AB$55&lt;31,Input!AB$55/30*AB461,IF(Input!AB$55&lt;61,(Input!AB$55-30)/30*AB460+AB461,IF(Input!AB$55&lt;91,(Input!AB$55-60)/30*AB459+AB460+AB461,IF(Input!AB$55&lt;121,(Input!AB$55-90)/30*AB458+AB459+AB460+AB461,IF(Input!AB$55&lt;151,(Input!AB$55-120)/30*AB457+AB458+AB459+AB460+AB461,(Input!AB$55-150)/30*AB456+AB457+AB458+AB459+AB460+AB461))))))),0)</f>
        <v>0</v>
      </c>
      <c r="CH1096" s="269"/>
      <c r="CI1096" s="269"/>
      <c r="CJ1096" s="269"/>
      <c r="CK1096" s="269"/>
      <c r="CL1096" s="269"/>
      <c r="CM1096" s="269"/>
      <c r="CN1096" s="269"/>
      <c r="CO1096" s="269"/>
      <c r="CP1096" s="269"/>
      <c r="CQ1096" s="269"/>
      <c r="CR1096" s="269"/>
      <c r="CS1096" s="269"/>
    </row>
    <row r="1097" spans="3:97" x14ac:dyDescent="0.3">
      <c r="C1097" s="638">
        <f>C1034</f>
        <v>1613</v>
      </c>
      <c r="D1097" s="297">
        <f>IF(Years="Five",IF(D$338&gt;$D$33,0,IF(Input!D$55=0,0,IF(Input!D$55&lt;31,Input!D$55/30*D462,IF(Input!D$55&lt;61,(Input!D$55-30)/30*D461+D462,IF(Input!D$55&lt;91,(Input!D$55-60)/30*D460+D461+D462,IF(Input!D$55&lt;121,(Input!D$55-90)/30*D459+D460+D461+D462,IF(Input!D$55&lt;151,(Input!D$55-120)/30*D458+D459+D460+D461+D462,(Input!D$55-150)/30*D457+D458+D459+D460+D461+D462))))))),0)</f>
        <v>0</v>
      </c>
      <c r="E1097" s="229">
        <f>IF(Years="Five",IF(E$338&gt;$D$33,0,IF(Input!E$55=0,0,IF(Input!E$55&lt;31,Input!E$55/30*E462,IF(Input!E$55&lt;61,(Input!E$55-30)/30*E461+E462,IF(Input!E$55&lt;91,(Input!E$55-60)/30*E460+E461+E462,IF(Input!E$55&lt;121,(Input!E$55-90)/30*E459+E460+E461+E462,IF(Input!E$55&lt;151,(Input!E$55-120)/30*E458+E459+E460+E461+E462,(Input!E$55-150)/30*E457+E458+E459+E460+E461+E462))))))),0)</f>
        <v>0</v>
      </c>
      <c r="F1097" s="229">
        <f>IF(Years="Five",IF(F$338&gt;$D$33,0,IF(Input!F$55=0,0,IF(Input!F$55&lt;31,Input!F$55/30*F462,IF(Input!F$55&lt;61,(Input!F$55-30)/30*F461+F462,IF(Input!F$55&lt;91,(Input!F$55-60)/30*F460+F461+F462,IF(Input!F$55&lt;121,(Input!F$55-90)/30*F459+F460+F461+F462,IF(Input!F$55&lt;151,(Input!F$55-120)/30*F458+F459+F460+F461+F462,(Input!F$55-150)/30*F457+F458+F459+F460+F461+F462))))))),0)</f>
        <v>0</v>
      </c>
      <c r="G1097" s="229">
        <f>IF(Years="Five",IF(G$338&gt;$D$33,0,IF(Input!G$55=0,0,IF(Input!G$55&lt;31,Input!G$55/30*G462,IF(Input!G$55&lt;61,(Input!G$55-30)/30*G461+G462,IF(Input!G$55&lt;91,(Input!G$55-60)/30*G460+G461+G462,IF(Input!G$55&lt;121,(Input!G$55-90)/30*G459+G460+G461+G462,IF(Input!G$55&lt;151,(Input!G$55-120)/30*G458+G459+G460+G461+G462,(Input!G$55-150)/30*G457+G458+G459+G460+G461+G462))))))),0)</f>
        <v>0</v>
      </c>
      <c r="H1097" s="229">
        <f>IF(Years="Five",IF(H$338&gt;$D$33,0,IF(Input!H$55=0,0,IF(Input!H$55&lt;31,Input!H$55/30*H462,IF(Input!H$55&lt;61,(Input!H$55-30)/30*H461+H462,IF(Input!H$55&lt;91,(Input!H$55-60)/30*H460+H461+H462,IF(Input!H$55&lt;121,(Input!H$55-90)/30*H459+H460+H461+H462,IF(Input!H$55&lt;151,(Input!H$55-120)/30*H458+H459+H460+H461+H462,(Input!H$55-150)/30*H457+H458+H459+H460+H461+H462))))))),0)</f>
        <v>0</v>
      </c>
      <c r="I1097" s="229">
        <f>IF(Years="Five",IF(I$338&gt;$D$33,0,IF(Input!I$55=0,0,IF(Input!I$55&lt;31,Input!I$55/30*I462,IF(Input!I$55&lt;61,(Input!I$55-30)/30*I461+I462,IF(Input!I$55&lt;91,(Input!I$55-60)/30*I460+I461+I462,IF(Input!I$55&lt;121,(Input!I$55-90)/30*I459+I460+I461+I462,IF(Input!I$55&lt;151,(Input!I$55-120)/30*I458+I459+I460+I461+I462,(Input!I$55-150)/30*I457+I458+I459+I460+I461+I462))))))),0)</f>
        <v>0</v>
      </c>
      <c r="J1097" s="229">
        <f>IF(Years="Five",IF(J$338&gt;$D$33,0,IF(Input!J$55=0,0,IF(Input!J$55&lt;31,Input!J$55/30*J462,IF(Input!J$55&lt;61,(Input!J$55-30)/30*J461+J462,IF(Input!J$55&lt;91,(Input!J$55-60)/30*J460+J461+J462,IF(Input!J$55&lt;121,(Input!J$55-90)/30*J459+J460+J461+J462,IF(Input!J$55&lt;151,(Input!J$55-120)/30*J458+J459+J460+J461+J462,(Input!J$55-150)/30*J457+J458+J459+J460+J461+J462))))))),0)</f>
        <v>0</v>
      </c>
      <c r="K1097" s="229">
        <f>IF(Years="Five",IF(K$338&gt;$D$33,0,IF(Input!K$55=0,0,IF(Input!K$55&lt;31,Input!K$55/30*K462,IF(Input!K$55&lt;61,(Input!K$55-30)/30*K461+K462,IF(Input!K$55&lt;91,(Input!K$55-60)/30*K460+K461+K462,IF(Input!K$55&lt;121,(Input!K$55-90)/30*K459+K460+K461+K462,IF(Input!K$55&lt;151,(Input!K$55-120)/30*K458+K459+K460+K461+K462,(Input!K$55-150)/30*K457+K458+K459+K460+K461+K462))))))),0)</f>
        <v>0</v>
      </c>
      <c r="L1097" s="229">
        <f>IF(Years="Five",IF(L$338&gt;$D$33,0,IF(Input!L$55=0,0,IF(Input!L$55&lt;31,Input!L$55/30*L462,IF(Input!L$55&lt;61,(Input!L$55-30)/30*L461+L462,IF(Input!L$55&lt;91,(Input!L$55-60)/30*L460+L461+L462,IF(Input!L$55&lt;121,(Input!L$55-90)/30*L459+L460+L461+L462,IF(Input!L$55&lt;151,(Input!L$55-120)/30*L458+L459+L460+L461+L462,(Input!L$55-150)/30*L457+L458+L459+L460+L461+L462))))))),0)</f>
        <v>0</v>
      </c>
      <c r="M1097" s="229">
        <f>IF(Years="Five",IF(M$338&gt;$D$33,0,IF(Input!M$55=0,0,IF(Input!M$55&lt;31,Input!M$55/30*M462,IF(Input!M$55&lt;61,(Input!M$55-30)/30*M461+M462,IF(Input!M$55&lt;91,(Input!M$55-60)/30*M460+M461+M462,IF(Input!M$55&lt;121,(Input!M$55-90)/30*M459+M460+M461+M462,IF(Input!M$55&lt;151,(Input!M$55-120)/30*M458+M459+M460+M461+M462,(Input!M$55-150)/30*M457+M458+M459+M460+M461+M462))))))),0)</f>
        <v>0</v>
      </c>
      <c r="N1097" s="229">
        <f>IF(Years="Five",IF(N$338&gt;$D$33,0,IF(Input!N$55=0,0,IF(Input!N$55&lt;31,Input!N$55/30*N462,IF(Input!N$55&lt;61,(Input!N$55-30)/30*N461+N462,IF(Input!N$55&lt;91,(Input!N$55-60)/30*N460+N461+N462,IF(Input!N$55&lt;121,(Input!N$55-90)/30*N459+N460+N461+N462,IF(Input!N$55&lt;151,(Input!N$55-120)/30*N458+N459+N460+N461+N462,(Input!N$55-150)/30*N457+N458+N459+N460+N461+N462))))))),0)</f>
        <v>0</v>
      </c>
      <c r="O1097" s="229">
        <f>IF(Years="Five",IF(O$338&gt;$D$33,0,IF(Input!O$55=0,0,IF(Input!O$55&lt;31,Input!O$55/30*O462,IF(Input!O$55&lt;61,(Input!O$55-30)/30*O461+O462,IF(Input!O$55&lt;91,(Input!O$55-60)/30*O460+O461+O462,IF(Input!O$55&lt;121,(Input!O$55-90)/30*O459+O460+O461+O462,IF(Input!O$55&lt;151,(Input!O$55-120)/30*O458+O459+O460+O461+O462,(Input!O$55-150)/30*O457+O458+O459+O460+O461+O462))))))),0)</f>
        <v>0</v>
      </c>
      <c r="P1097" s="229">
        <f>IF(Years="Five",IF(P$338&gt;$D$33,0,IF(Input!P$55=0,0,IF(Input!P$55&lt;31,Input!P$55/30*P462,IF(Input!P$55&lt;61,(Input!P$55-30)/30*P461+P462,IF(Input!P$55&lt;91,(Input!P$55-60)/30*P460+P461+P462,IF(Input!P$55&lt;121,(Input!P$55-90)/30*P459+P460+P461+P462,IF(Input!P$55&lt;151,(Input!P$55-120)/30*P458+P459+P460+P461+P462,(Input!P$55-150)/30*P457+P458+P459+P460+P461+P462))))))),0)</f>
        <v>0</v>
      </c>
      <c r="Q1097" s="229">
        <f>IF(Years="Five",IF(Q$338&gt;$D$33,0,IF(Input!Q$55=0,0,IF(Input!Q$55&lt;31,Input!Q$55/30*Q462,IF(Input!Q$55&lt;61,(Input!Q$55-30)/30*Q461+Q462,IF(Input!Q$55&lt;91,(Input!Q$55-60)/30*Q460+Q461+Q462,IF(Input!Q$55&lt;121,(Input!Q$55-90)/30*Q459+Q460+Q461+Q462,IF(Input!Q$55&lt;151,(Input!Q$55-120)/30*Q458+Q459+Q460+Q461+Q462,(Input!Q$55-150)/30*Q457+Q458+Q459+Q460+Q461+Q462))))))),0)</f>
        <v>0</v>
      </c>
      <c r="R1097" s="229">
        <f>IF(Years="Five",IF(R$338&gt;$D$33,0,IF(Input!R$55=0,0,IF(Input!R$55&lt;31,Input!R$55/30*R462,IF(Input!R$55&lt;61,(Input!R$55-30)/30*R461+R462,IF(Input!R$55&lt;91,(Input!R$55-60)/30*R460+R461+R462,IF(Input!R$55&lt;121,(Input!R$55-90)/30*R459+R460+R461+R462,IF(Input!R$55&lt;151,(Input!R$55-120)/30*R458+R459+R460+R461+R462,(Input!R$55-150)/30*R457+R458+R459+R460+R461+R462))))))),0)</f>
        <v>0</v>
      </c>
      <c r="S1097" s="229">
        <f>IF(Years="Five",IF(S$338&gt;$D$33,0,IF(Input!S$55=0,0,IF(Input!S$55&lt;31,Input!S$55/30*S462,IF(Input!S$55&lt;61,(Input!S$55-30)/30*S461+S462,IF(Input!S$55&lt;91,(Input!S$55-60)/30*S460+S461+S462,IF(Input!S$55&lt;121,(Input!S$55-90)/30*S459+S460+S461+S462,IF(Input!S$55&lt;151,(Input!S$55-120)/30*S458+S459+S460+S461+S462,(Input!S$55-150)/30*S457+S458+S459+S460+S461+S462))))))),0)</f>
        <v>0</v>
      </c>
      <c r="T1097" s="229">
        <f>IF(Years="Five",IF(T$338&gt;$D$33,0,IF(Input!T$55=0,0,IF(Input!T$55&lt;31,Input!T$55/30*T462,IF(Input!T$55&lt;61,(Input!T$55-30)/30*T461+T462,IF(Input!T$55&lt;91,(Input!T$55-60)/30*T460+T461+T462,IF(Input!T$55&lt;121,(Input!T$55-90)/30*T459+T460+T461+T462,IF(Input!T$55&lt;151,(Input!T$55-120)/30*T458+T459+T460+T461+T462,(Input!T$55-150)/30*T457+T458+T459+T460+T461+T462))))))),0)</f>
        <v>0</v>
      </c>
      <c r="U1097" s="229">
        <f>IF(Years="Five",IF(U$338&gt;$D$33,0,IF(Input!U$55=0,0,IF(Input!U$55&lt;31,Input!U$55/30*U462,IF(Input!U$55&lt;61,(Input!U$55-30)/30*U461+U462,IF(Input!U$55&lt;91,(Input!U$55-60)/30*U460+U461+U462,IF(Input!U$55&lt;121,(Input!U$55-90)/30*U459+U460+U461+U462,IF(Input!U$55&lt;151,(Input!U$55-120)/30*U458+U459+U460+U461+U462,(Input!U$55-150)/30*U457+U458+U459+U460+U461+U462))))))),0)</f>
        <v>0</v>
      </c>
      <c r="V1097" s="229">
        <f>IF(Years="Five",IF(V$338&gt;$D$33,0,IF(Input!V$55=0,0,IF(Input!V$55&lt;31,Input!V$55/30*V462,IF(Input!V$55&lt;61,(Input!V$55-30)/30*V461+V462,IF(Input!V$55&lt;91,(Input!V$55-60)/30*V460+V461+V462,IF(Input!V$55&lt;121,(Input!V$55-90)/30*V459+V460+V461+V462,IF(Input!V$55&lt;151,(Input!V$55-120)/30*V458+V459+V460+V461+V462,(Input!V$55-150)/30*V457+V458+V459+V460+V461+V462))))))),0)</f>
        <v>0</v>
      </c>
      <c r="W1097" s="229">
        <f>IF(Years="Five",IF(W$338&gt;$D$33,0,IF(Input!W$55=0,0,IF(Input!W$55&lt;31,Input!W$55/30*W462,IF(Input!W$55&lt;61,(Input!W$55-30)/30*W461+W462,IF(Input!W$55&lt;91,(Input!W$55-60)/30*W460+W461+W462,IF(Input!W$55&lt;121,(Input!W$55-90)/30*W459+W460+W461+W462,IF(Input!W$55&lt;151,(Input!W$55-120)/30*W458+W459+W460+W461+W462,(Input!W$55-150)/30*W457+W458+W459+W460+W461+W462))))))),0)</f>
        <v>0</v>
      </c>
      <c r="X1097" s="229">
        <f>IF(Years="Five",IF(X$338&gt;$D$33,0,IF(Input!X$55=0,0,IF(Input!X$55&lt;31,Input!X$55/30*X462,IF(Input!X$55&lt;61,(Input!X$55-30)/30*X461+X462,IF(Input!X$55&lt;91,(Input!X$55-60)/30*X460+X461+X462,IF(Input!X$55&lt;121,(Input!X$55-90)/30*X459+X460+X461+X462,IF(Input!X$55&lt;151,(Input!X$55-120)/30*X458+X459+X460+X461+X462,(Input!X$55-150)/30*X457+X458+X459+X460+X461+X462))))))),0)</f>
        <v>0</v>
      </c>
      <c r="Y1097" s="229">
        <f>IF(Years="Five",IF(Y$338&gt;$D$33,0,IF(Input!Y$55=0,0,IF(Input!Y$55&lt;31,Input!Y$55/30*Y462,IF(Input!Y$55&lt;61,(Input!Y$55-30)/30*Y461+Y462,IF(Input!Y$55&lt;91,(Input!Y$55-60)/30*Y460+Y461+Y462,IF(Input!Y$55&lt;121,(Input!Y$55-90)/30*Y459+Y460+Y461+Y462,IF(Input!Y$55&lt;151,(Input!Y$55-120)/30*Y458+Y459+Y460+Y461+Y462,(Input!Y$55-150)/30*Y457+Y458+Y459+Y460+Y461+Y462))))))),0)</f>
        <v>0</v>
      </c>
      <c r="Z1097" s="229">
        <f>IF(Years="Five",IF(Z$338&gt;$D$33,0,IF(Input!Z$55=0,0,IF(Input!Z$55&lt;31,Input!Z$55/30*Z462,IF(Input!Z$55&lt;61,(Input!Z$55-30)/30*Z461+Z462,IF(Input!Z$55&lt;91,(Input!Z$55-60)/30*Z460+Z461+Z462,IF(Input!Z$55&lt;121,(Input!Z$55-90)/30*Z459+Z460+Z461+Z462,IF(Input!Z$55&lt;151,(Input!Z$55-120)/30*Z458+Z459+Z460+Z461+Z462,(Input!Z$55-150)/30*Z457+Z458+Z459+Z460+Z461+Z462))))))),0)</f>
        <v>0</v>
      </c>
      <c r="AA1097" s="229">
        <f>IF(Years="Five",IF(AA$338&gt;$D$33,0,IF(Input!AA$55=0,0,IF(Input!AA$55&lt;31,Input!AA$55/30*AA462,IF(Input!AA$55&lt;61,(Input!AA$55-30)/30*AA461+AA462,IF(Input!AA$55&lt;91,(Input!AA$55-60)/30*AA460+AA461+AA462,IF(Input!AA$55&lt;121,(Input!AA$55-90)/30*AA459+AA460+AA461+AA462,IF(Input!AA$55&lt;151,(Input!AA$55-120)/30*AA458+AA459+AA460+AA461+AA462,(Input!AA$55-150)/30*AA457+AA458+AA459+AA460+AA461+AA462))))))),0)</f>
        <v>0</v>
      </c>
      <c r="AB1097" s="298">
        <f>IF(Years="Five",IF(AB$338&gt;$D$33,0,IF(Input!AB$55=0,0,IF(Input!AB$55&lt;31,Input!AB$55/30*AB462,IF(Input!AB$55&lt;61,(Input!AB$55-30)/30*AB461+AB462,IF(Input!AB$55&lt;91,(Input!AB$55-60)/30*AB460+AB461+AB462,IF(Input!AB$55&lt;121,(Input!AB$55-90)/30*AB459+AB460+AB461+AB462,IF(Input!AB$55&lt;151,(Input!AB$55-120)/30*AB458+AB459+AB460+AB461+AB462,(Input!AB$55-150)/30*AB457+AB458+AB459+AB460+AB461+AB462))))))),0)</f>
        <v>0</v>
      </c>
      <c r="CH1097" s="269"/>
      <c r="CI1097" s="269"/>
      <c r="CJ1097" s="269"/>
      <c r="CK1097" s="269"/>
      <c r="CL1097" s="269"/>
      <c r="CM1097" s="269"/>
      <c r="CN1097" s="269"/>
      <c r="CO1097" s="269"/>
      <c r="CP1097" s="269"/>
      <c r="CQ1097" s="269"/>
      <c r="CR1097" s="269"/>
      <c r="CS1097" s="269"/>
    </row>
    <row r="1098" spans="3:97" x14ac:dyDescent="0.3">
      <c r="C1098" s="638">
        <f>C1035</f>
        <v>1643</v>
      </c>
      <c r="D1098" s="297">
        <f>IF(Years="Five",IF(D$338&gt;$D$33,0,IF(Input!D$55=0,0,IF(Input!D$55&lt;31,Input!D$55/30*D463,IF(Input!D$55&lt;61,(Input!D$55-30)/30*D462+D463,IF(Input!D$55&lt;91,(Input!D$55-60)/30*D461+D462+D463,IF(Input!D$55&lt;121,(Input!D$55-90)/30*D460+D461+D462+D463,IF(Input!D$55&lt;151,(Input!D$55-120)/30*D459+D460+D461+D462+D463,(Input!D$55-150)/30*D458+D459+D460+D461+D462+D463))))))),0)</f>
        <v>0</v>
      </c>
      <c r="E1098" s="229">
        <f>IF(Years="Five",IF(E$338&gt;$D$33,0,IF(Input!E$55=0,0,IF(Input!E$55&lt;31,Input!E$55/30*E463,IF(Input!E$55&lt;61,(Input!E$55-30)/30*E462+E463,IF(Input!E$55&lt;91,(Input!E$55-60)/30*E461+E462+E463,IF(Input!E$55&lt;121,(Input!E$55-90)/30*E460+E461+E462+E463,IF(Input!E$55&lt;151,(Input!E$55-120)/30*E459+E460+E461+E462+E463,(Input!E$55-150)/30*E458+E459+E460+E461+E462+E463))))))),0)</f>
        <v>0</v>
      </c>
      <c r="F1098" s="229">
        <f>IF(Years="Five",IF(F$338&gt;$D$33,0,IF(Input!F$55=0,0,IF(Input!F$55&lt;31,Input!F$55/30*F463,IF(Input!F$55&lt;61,(Input!F$55-30)/30*F462+F463,IF(Input!F$55&lt;91,(Input!F$55-60)/30*F461+F462+F463,IF(Input!F$55&lt;121,(Input!F$55-90)/30*F460+F461+F462+F463,IF(Input!F$55&lt;151,(Input!F$55-120)/30*F459+F460+F461+F462+F463,(Input!F$55-150)/30*F458+F459+F460+F461+F462+F463))))))),0)</f>
        <v>0</v>
      </c>
      <c r="G1098" s="229">
        <f>IF(Years="Five",IF(G$338&gt;$D$33,0,IF(Input!G$55=0,0,IF(Input!G$55&lt;31,Input!G$55/30*G463,IF(Input!G$55&lt;61,(Input!G$55-30)/30*G462+G463,IF(Input!G$55&lt;91,(Input!G$55-60)/30*G461+G462+G463,IF(Input!G$55&lt;121,(Input!G$55-90)/30*G460+G461+G462+G463,IF(Input!G$55&lt;151,(Input!G$55-120)/30*G459+G460+G461+G462+G463,(Input!G$55-150)/30*G458+G459+G460+G461+G462+G463))))))),0)</f>
        <v>0</v>
      </c>
      <c r="H1098" s="229">
        <f>IF(Years="Five",IF(H$338&gt;$D$33,0,IF(Input!H$55=0,0,IF(Input!H$55&lt;31,Input!H$55/30*H463,IF(Input!H$55&lt;61,(Input!H$55-30)/30*H462+H463,IF(Input!H$55&lt;91,(Input!H$55-60)/30*H461+H462+H463,IF(Input!H$55&lt;121,(Input!H$55-90)/30*H460+H461+H462+H463,IF(Input!H$55&lt;151,(Input!H$55-120)/30*H459+H460+H461+H462+H463,(Input!H$55-150)/30*H458+H459+H460+H461+H462+H463))))))),0)</f>
        <v>0</v>
      </c>
      <c r="I1098" s="229">
        <f>IF(Years="Five",IF(I$338&gt;$D$33,0,IF(Input!I$55=0,0,IF(Input!I$55&lt;31,Input!I$55/30*I463,IF(Input!I$55&lt;61,(Input!I$55-30)/30*I462+I463,IF(Input!I$55&lt;91,(Input!I$55-60)/30*I461+I462+I463,IF(Input!I$55&lt;121,(Input!I$55-90)/30*I460+I461+I462+I463,IF(Input!I$55&lt;151,(Input!I$55-120)/30*I459+I460+I461+I462+I463,(Input!I$55-150)/30*I458+I459+I460+I461+I462+I463))))))),0)</f>
        <v>0</v>
      </c>
      <c r="J1098" s="229">
        <f>IF(Years="Five",IF(J$338&gt;$D$33,0,IF(Input!J$55=0,0,IF(Input!J$55&lt;31,Input!J$55/30*J463,IF(Input!J$55&lt;61,(Input!J$55-30)/30*J462+J463,IF(Input!J$55&lt;91,(Input!J$55-60)/30*J461+J462+J463,IF(Input!J$55&lt;121,(Input!J$55-90)/30*J460+J461+J462+J463,IF(Input!J$55&lt;151,(Input!J$55-120)/30*J459+J460+J461+J462+J463,(Input!J$55-150)/30*J458+J459+J460+J461+J462+J463))))))),0)</f>
        <v>0</v>
      </c>
      <c r="K1098" s="229">
        <f>IF(Years="Five",IF(K$338&gt;$D$33,0,IF(Input!K$55=0,0,IF(Input!K$55&lt;31,Input!K$55/30*K463,IF(Input!K$55&lt;61,(Input!K$55-30)/30*K462+K463,IF(Input!K$55&lt;91,(Input!K$55-60)/30*K461+K462+K463,IF(Input!K$55&lt;121,(Input!K$55-90)/30*K460+K461+K462+K463,IF(Input!K$55&lt;151,(Input!K$55-120)/30*K459+K460+K461+K462+K463,(Input!K$55-150)/30*K458+K459+K460+K461+K462+K463))))))),0)</f>
        <v>0</v>
      </c>
      <c r="L1098" s="229">
        <f>IF(Years="Five",IF(L$338&gt;$D$33,0,IF(Input!L$55=0,0,IF(Input!L$55&lt;31,Input!L$55/30*L463,IF(Input!L$55&lt;61,(Input!L$55-30)/30*L462+L463,IF(Input!L$55&lt;91,(Input!L$55-60)/30*L461+L462+L463,IF(Input!L$55&lt;121,(Input!L$55-90)/30*L460+L461+L462+L463,IF(Input!L$55&lt;151,(Input!L$55-120)/30*L459+L460+L461+L462+L463,(Input!L$55-150)/30*L458+L459+L460+L461+L462+L463))))))),0)</f>
        <v>0</v>
      </c>
      <c r="M1098" s="229">
        <f>IF(Years="Five",IF(M$338&gt;$D$33,0,IF(Input!M$55=0,0,IF(Input!M$55&lt;31,Input!M$55/30*M463,IF(Input!M$55&lt;61,(Input!M$55-30)/30*M462+M463,IF(Input!M$55&lt;91,(Input!M$55-60)/30*M461+M462+M463,IF(Input!M$55&lt;121,(Input!M$55-90)/30*M460+M461+M462+M463,IF(Input!M$55&lt;151,(Input!M$55-120)/30*M459+M460+M461+M462+M463,(Input!M$55-150)/30*M458+M459+M460+M461+M462+M463))))))),0)</f>
        <v>0</v>
      </c>
      <c r="N1098" s="229">
        <f>IF(Years="Five",IF(N$338&gt;$D$33,0,IF(Input!N$55=0,0,IF(Input!N$55&lt;31,Input!N$55/30*N463,IF(Input!N$55&lt;61,(Input!N$55-30)/30*N462+N463,IF(Input!N$55&lt;91,(Input!N$55-60)/30*N461+N462+N463,IF(Input!N$55&lt;121,(Input!N$55-90)/30*N460+N461+N462+N463,IF(Input!N$55&lt;151,(Input!N$55-120)/30*N459+N460+N461+N462+N463,(Input!N$55-150)/30*N458+N459+N460+N461+N462+N463))))))),0)</f>
        <v>0</v>
      </c>
      <c r="O1098" s="229">
        <f>IF(Years="Five",IF(O$338&gt;$D$33,0,IF(Input!O$55=0,0,IF(Input!O$55&lt;31,Input!O$55/30*O463,IF(Input!O$55&lt;61,(Input!O$55-30)/30*O462+O463,IF(Input!O$55&lt;91,(Input!O$55-60)/30*O461+O462+O463,IF(Input!O$55&lt;121,(Input!O$55-90)/30*O460+O461+O462+O463,IF(Input!O$55&lt;151,(Input!O$55-120)/30*O459+O460+O461+O462+O463,(Input!O$55-150)/30*O458+O459+O460+O461+O462+O463))))))),0)</f>
        <v>0</v>
      </c>
      <c r="P1098" s="229">
        <f>IF(Years="Five",IF(P$338&gt;$D$33,0,IF(Input!P$55=0,0,IF(Input!P$55&lt;31,Input!P$55/30*P463,IF(Input!P$55&lt;61,(Input!P$55-30)/30*P462+P463,IF(Input!P$55&lt;91,(Input!P$55-60)/30*P461+P462+P463,IF(Input!P$55&lt;121,(Input!P$55-90)/30*P460+P461+P462+P463,IF(Input!P$55&lt;151,(Input!P$55-120)/30*P459+P460+P461+P462+P463,(Input!P$55-150)/30*P458+P459+P460+P461+P462+P463))))))),0)</f>
        <v>0</v>
      </c>
      <c r="Q1098" s="229">
        <f>IF(Years="Five",IF(Q$338&gt;$D$33,0,IF(Input!Q$55=0,0,IF(Input!Q$55&lt;31,Input!Q$55/30*Q463,IF(Input!Q$55&lt;61,(Input!Q$55-30)/30*Q462+Q463,IF(Input!Q$55&lt;91,(Input!Q$55-60)/30*Q461+Q462+Q463,IF(Input!Q$55&lt;121,(Input!Q$55-90)/30*Q460+Q461+Q462+Q463,IF(Input!Q$55&lt;151,(Input!Q$55-120)/30*Q459+Q460+Q461+Q462+Q463,(Input!Q$55-150)/30*Q458+Q459+Q460+Q461+Q462+Q463))))))),0)</f>
        <v>0</v>
      </c>
      <c r="R1098" s="229">
        <f>IF(Years="Five",IF(R$338&gt;$D$33,0,IF(Input!R$55=0,0,IF(Input!R$55&lt;31,Input!R$55/30*R463,IF(Input!R$55&lt;61,(Input!R$55-30)/30*R462+R463,IF(Input!R$55&lt;91,(Input!R$55-60)/30*R461+R462+R463,IF(Input!R$55&lt;121,(Input!R$55-90)/30*R460+R461+R462+R463,IF(Input!R$55&lt;151,(Input!R$55-120)/30*R459+R460+R461+R462+R463,(Input!R$55-150)/30*R458+R459+R460+R461+R462+R463))))))),0)</f>
        <v>0</v>
      </c>
      <c r="S1098" s="229">
        <f>IF(Years="Five",IF(S$338&gt;$D$33,0,IF(Input!S$55=0,0,IF(Input!S$55&lt;31,Input!S$55/30*S463,IF(Input!S$55&lt;61,(Input!S$55-30)/30*S462+S463,IF(Input!S$55&lt;91,(Input!S$55-60)/30*S461+S462+S463,IF(Input!S$55&lt;121,(Input!S$55-90)/30*S460+S461+S462+S463,IF(Input!S$55&lt;151,(Input!S$55-120)/30*S459+S460+S461+S462+S463,(Input!S$55-150)/30*S458+S459+S460+S461+S462+S463))))))),0)</f>
        <v>0</v>
      </c>
      <c r="T1098" s="229">
        <f>IF(Years="Five",IF(T$338&gt;$D$33,0,IF(Input!T$55=0,0,IF(Input!T$55&lt;31,Input!T$55/30*T463,IF(Input!T$55&lt;61,(Input!T$55-30)/30*T462+T463,IF(Input!T$55&lt;91,(Input!T$55-60)/30*T461+T462+T463,IF(Input!T$55&lt;121,(Input!T$55-90)/30*T460+T461+T462+T463,IF(Input!T$55&lt;151,(Input!T$55-120)/30*T459+T460+T461+T462+T463,(Input!T$55-150)/30*T458+T459+T460+T461+T462+T463))))))),0)</f>
        <v>0</v>
      </c>
      <c r="U1098" s="229">
        <f>IF(Years="Five",IF(U$338&gt;$D$33,0,IF(Input!U$55=0,0,IF(Input!U$55&lt;31,Input!U$55/30*U463,IF(Input!U$55&lt;61,(Input!U$55-30)/30*U462+U463,IF(Input!U$55&lt;91,(Input!U$55-60)/30*U461+U462+U463,IF(Input!U$55&lt;121,(Input!U$55-90)/30*U460+U461+U462+U463,IF(Input!U$55&lt;151,(Input!U$55-120)/30*U459+U460+U461+U462+U463,(Input!U$55-150)/30*U458+U459+U460+U461+U462+U463))))))),0)</f>
        <v>0</v>
      </c>
      <c r="V1098" s="229">
        <f>IF(Years="Five",IF(V$338&gt;$D$33,0,IF(Input!V$55=0,0,IF(Input!V$55&lt;31,Input!V$55/30*V463,IF(Input!V$55&lt;61,(Input!V$55-30)/30*V462+V463,IF(Input!V$55&lt;91,(Input!V$55-60)/30*V461+V462+V463,IF(Input!V$55&lt;121,(Input!V$55-90)/30*V460+V461+V462+V463,IF(Input!V$55&lt;151,(Input!V$55-120)/30*V459+V460+V461+V462+V463,(Input!V$55-150)/30*V458+V459+V460+V461+V462+V463))))))),0)</f>
        <v>0</v>
      </c>
      <c r="W1098" s="229">
        <f>IF(Years="Five",IF(W$338&gt;$D$33,0,IF(Input!W$55=0,0,IF(Input!W$55&lt;31,Input!W$55/30*W463,IF(Input!W$55&lt;61,(Input!W$55-30)/30*W462+W463,IF(Input!W$55&lt;91,(Input!W$55-60)/30*W461+W462+W463,IF(Input!W$55&lt;121,(Input!W$55-90)/30*W460+W461+W462+W463,IF(Input!W$55&lt;151,(Input!W$55-120)/30*W459+W460+W461+W462+W463,(Input!W$55-150)/30*W458+W459+W460+W461+W462+W463))))))),0)</f>
        <v>0</v>
      </c>
      <c r="X1098" s="229">
        <f>IF(Years="Five",IF(X$338&gt;$D$33,0,IF(Input!X$55=0,0,IF(Input!X$55&lt;31,Input!X$55/30*X463,IF(Input!X$55&lt;61,(Input!X$55-30)/30*X462+X463,IF(Input!X$55&lt;91,(Input!X$55-60)/30*X461+X462+X463,IF(Input!X$55&lt;121,(Input!X$55-90)/30*X460+X461+X462+X463,IF(Input!X$55&lt;151,(Input!X$55-120)/30*X459+X460+X461+X462+X463,(Input!X$55-150)/30*X458+X459+X460+X461+X462+X463))))))),0)</f>
        <v>0</v>
      </c>
      <c r="Y1098" s="229">
        <f>IF(Years="Five",IF(Y$338&gt;$D$33,0,IF(Input!Y$55=0,0,IF(Input!Y$55&lt;31,Input!Y$55/30*Y463,IF(Input!Y$55&lt;61,(Input!Y$55-30)/30*Y462+Y463,IF(Input!Y$55&lt;91,(Input!Y$55-60)/30*Y461+Y462+Y463,IF(Input!Y$55&lt;121,(Input!Y$55-90)/30*Y460+Y461+Y462+Y463,IF(Input!Y$55&lt;151,(Input!Y$55-120)/30*Y459+Y460+Y461+Y462+Y463,(Input!Y$55-150)/30*Y458+Y459+Y460+Y461+Y462+Y463))))))),0)</f>
        <v>0</v>
      </c>
      <c r="Z1098" s="229">
        <f>IF(Years="Five",IF(Z$338&gt;$D$33,0,IF(Input!Z$55=0,0,IF(Input!Z$55&lt;31,Input!Z$55/30*Z463,IF(Input!Z$55&lt;61,(Input!Z$55-30)/30*Z462+Z463,IF(Input!Z$55&lt;91,(Input!Z$55-60)/30*Z461+Z462+Z463,IF(Input!Z$55&lt;121,(Input!Z$55-90)/30*Z460+Z461+Z462+Z463,IF(Input!Z$55&lt;151,(Input!Z$55-120)/30*Z459+Z460+Z461+Z462+Z463,(Input!Z$55-150)/30*Z458+Z459+Z460+Z461+Z462+Z463))))))),0)</f>
        <v>0</v>
      </c>
      <c r="AA1098" s="229">
        <f>IF(Years="Five",IF(AA$338&gt;$D$33,0,IF(Input!AA$55=0,0,IF(Input!AA$55&lt;31,Input!AA$55/30*AA463,IF(Input!AA$55&lt;61,(Input!AA$55-30)/30*AA462+AA463,IF(Input!AA$55&lt;91,(Input!AA$55-60)/30*AA461+AA462+AA463,IF(Input!AA$55&lt;121,(Input!AA$55-90)/30*AA460+AA461+AA462+AA463,IF(Input!AA$55&lt;151,(Input!AA$55-120)/30*AA459+AA460+AA461+AA462+AA463,(Input!AA$55-150)/30*AA458+AA459+AA460+AA461+AA462+AA463))))))),0)</f>
        <v>0</v>
      </c>
      <c r="AB1098" s="298">
        <f>IF(Years="Five",IF(AB$338&gt;$D$33,0,IF(Input!AB$55=0,0,IF(Input!AB$55&lt;31,Input!AB$55/30*AB463,IF(Input!AB$55&lt;61,(Input!AB$55-30)/30*AB462+AB463,IF(Input!AB$55&lt;91,(Input!AB$55-60)/30*AB461+AB462+AB463,IF(Input!AB$55&lt;121,(Input!AB$55-90)/30*AB460+AB461+AB462+AB463,IF(Input!AB$55&lt;151,(Input!AB$55-120)/30*AB459+AB460+AB461+AB462+AB463,(Input!AB$55-150)/30*AB458+AB459+AB460+AB461+AB462+AB463))))))),0)</f>
        <v>0</v>
      </c>
      <c r="CH1098" s="269"/>
      <c r="CI1098" s="269"/>
      <c r="CJ1098" s="269"/>
      <c r="CK1098" s="269"/>
      <c r="CL1098" s="269"/>
      <c r="CM1098" s="269"/>
      <c r="CN1098" s="269"/>
      <c r="CO1098" s="269"/>
      <c r="CP1098" s="269"/>
      <c r="CQ1098" s="269"/>
      <c r="CR1098" s="269"/>
      <c r="CS1098" s="269"/>
    </row>
    <row r="1099" spans="3:97" x14ac:dyDescent="0.3">
      <c r="C1099" s="638">
        <f>C1036</f>
        <v>1674</v>
      </c>
      <c r="D1099" s="297">
        <f>IF(Years="Five",IF(D$338&gt;$D$33,0,IF(Input!D$55=0,0,IF(Input!D$55&lt;31,Input!D$55/30*D464,IF(Input!D$55&lt;61,(Input!D$55-30)/30*D463+D464,IF(Input!D$55&lt;91,(Input!D$55-60)/30*D462+D463+D464,IF(Input!D$55&lt;121,(Input!D$55-90)/30*D461+D462+D463+D464,IF(Input!D$55&lt;151,(Input!D$55-120)/30*D460+D461+D462+D463+D464,(Input!D$55-150)/30*D459+D460+D461+D462+D463+D464))))))),0)</f>
        <v>0</v>
      </c>
      <c r="E1099" s="229">
        <f>IF(Years="Five",IF(E$338&gt;$D$33,0,IF(Input!E$55=0,0,IF(Input!E$55&lt;31,Input!E$55/30*E464,IF(Input!E$55&lt;61,(Input!E$55-30)/30*E463+E464,IF(Input!E$55&lt;91,(Input!E$55-60)/30*E462+E463+E464,IF(Input!E$55&lt;121,(Input!E$55-90)/30*E461+E462+E463+E464,IF(Input!E$55&lt;151,(Input!E$55-120)/30*E460+E461+E462+E463+E464,(Input!E$55-150)/30*E459+E460+E461+E462+E463+E464))))))),0)</f>
        <v>0</v>
      </c>
      <c r="F1099" s="229">
        <f>IF(Years="Five",IF(F$338&gt;$D$33,0,IF(Input!F$55=0,0,IF(Input!F$55&lt;31,Input!F$55/30*F464,IF(Input!F$55&lt;61,(Input!F$55-30)/30*F463+F464,IF(Input!F$55&lt;91,(Input!F$55-60)/30*F462+F463+F464,IF(Input!F$55&lt;121,(Input!F$55-90)/30*F461+F462+F463+F464,IF(Input!F$55&lt;151,(Input!F$55-120)/30*F460+F461+F462+F463+F464,(Input!F$55-150)/30*F459+F460+F461+F462+F463+F464))))))),0)</f>
        <v>0</v>
      </c>
      <c r="G1099" s="229">
        <f>IF(Years="Five",IF(G$338&gt;$D$33,0,IF(Input!G$55=0,0,IF(Input!G$55&lt;31,Input!G$55/30*G464,IF(Input!G$55&lt;61,(Input!G$55-30)/30*G463+G464,IF(Input!G$55&lt;91,(Input!G$55-60)/30*G462+G463+G464,IF(Input!G$55&lt;121,(Input!G$55-90)/30*G461+G462+G463+G464,IF(Input!G$55&lt;151,(Input!G$55-120)/30*G460+G461+G462+G463+G464,(Input!G$55-150)/30*G459+G460+G461+G462+G463+G464))))))),0)</f>
        <v>0</v>
      </c>
      <c r="H1099" s="229">
        <f>IF(Years="Five",IF(H$338&gt;$D$33,0,IF(Input!H$55=0,0,IF(Input!H$55&lt;31,Input!H$55/30*H464,IF(Input!H$55&lt;61,(Input!H$55-30)/30*H463+H464,IF(Input!H$55&lt;91,(Input!H$55-60)/30*H462+H463+H464,IF(Input!H$55&lt;121,(Input!H$55-90)/30*H461+H462+H463+H464,IF(Input!H$55&lt;151,(Input!H$55-120)/30*H460+H461+H462+H463+H464,(Input!H$55-150)/30*H459+H460+H461+H462+H463+H464))))))),0)</f>
        <v>0</v>
      </c>
      <c r="I1099" s="229">
        <f>IF(Years="Five",IF(I$338&gt;$D$33,0,IF(Input!I$55=0,0,IF(Input!I$55&lt;31,Input!I$55/30*I464,IF(Input!I$55&lt;61,(Input!I$55-30)/30*I463+I464,IF(Input!I$55&lt;91,(Input!I$55-60)/30*I462+I463+I464,IF(Input!I$55&lt;121,(Input!I$55-90)/30*I461+I462+I463+I464,IF(Input!I$55&lt;151,(Input!I$55-120)/30*I460+I461+I462+I463+I464,(Input!I$55-150)/30*I459+I460+I461+I462+I463+I464))))))),0)</f>
        <v>0</v>
      </c>
      <c r="J1099" s="229">
        <f>IF(Years="Five",IF(J$338&gt;$D$33,0,IF(Input!J$55=0,0,IF(Input!J$55&lt;31,Input!J$55/30*J464,IF(Input!J$55&lt;61,(Input!J$55-30)/30*J463+J464,IF(Input!J$55&lt;91,(Input!J$55-60)/30*J462+J463+J464,IF(Input!J$55&lt;121,(Input!J$55-90)/30*J461+J462+J463+J464,IF(Input!J$55&lt;151,(Input!J$55-120)/30*J460+J461+J462+J463+J464,(Input!J$55-150)/30*J459+J460+J461+J462+J463+J464))))))),0)</f>
        <v>0</v>
      </c>
      <c r="K1099" s="229">
        <f>IF(Years="Five",IF(K$338&gt;$D$33,0,IF(Input!K$55=0,0,IF(Input!K$55&lt;31,Input!K$55/30*K464,IF(Input!K$55&lt;61,(Input!K$55-30)/30*K463+K464,IF(Input!K$55&lt;91,(Input!K$55-60)/30*K462+K463+K464,IF(Input!K$55&lt;121,(Input!K$55-90)/30*K461+K462+K463+K464,IF(Input!K$55&lt;151,(Input!K$55-120)/30*K460+K461+K462+K463+K464,(Input!K$55-150)/30*K459+K460+K461+K462+K463+K464))))))),0)</f>
        <v>0</v>
      </c>
      <c r="L1099" s="229">
        <f>IF(Years="Five",IF(L$338&gt;$D$33,0,IF(Input!L$55=0,0,IF(Input!L$55&lt;31,Input!L$55/30*L464,IF(Input!L$55&lt;61,(Input!L$55-30)/30*L463+L464,IF(Input!L$55&lt;91,(Input!L$55-60)/30*L462+L463+L464,IF(Input!L$55&lt;121,(Input!L$55-90)/30*L461+L462+L463+L464,IF(Input!L$55&lt;151,(Input!L$55-120)/30*L460+L461+L462+L463+L464,(Input!L$55-150)/30*L459+L460+L461+L462+L463+L464))))))),0)</f>
        <v>0</v>
      </c>
      <c r="M1099" s="229">
        <f>IF(Years="Five",IF(M$338&gt;$D$33,0,IF(Input!M$55=0,0,IF(Input!M$55&lt;31,Input!M$55/30*M464,IF(Input!M$55&lt;61,(Input!M$55-30)/30*M463+M464,IF(Input!M$55&lt;91,(Input!M$55-60)/30*M462+M463+M464,IF(Input!M$55&lt;121,(Input!M$55-90)/30*M461+M462+M463+M464,IF(Input!M$55&lt;151,(Input!M$55-120)/30*M460+M461+M462+M463+M464,(Input!M$55-150)/30*M459+M460+M461+M462+M463+M464))))))),0)</f>
        <v>0</v>
      </c>
      <c r="N1099" s="229">
        <f>IF(Years="Five",IF(N$338&gt;$D$33,0,IF(Input!N$55=0,0,IF(Input!N$55&lt;31,Input!N$55/30*N464,IF(Input!N$55&lt;61,(Input!N$55-30)/30*N463+N464,IF(Input!N$55&lt;91,(Input!N$55-60)/30*N462+N463+N464,IF(Input!N$55&lt;121,(Input!N$55-90)/30*N461+N462+N463+N464,IF(Input!N$55&lt;151,(Input!N$55-120)/30*N460+N461+N462+N463+N464,(Input!N$55-150)/30*N459+N460+N461+N462+N463+N464))))))),0)</f>
        <v>0</v>
      </c>
      <c r="O1099" s="229">
        <f>IF(Years="Five",IF(O$338&gt;$D$33,0,IF(Input!O$55=0,0,IF(Input!O$55&lt;31,Input!O$55/30*O464,IF(Input!O$55&lt;61,(Input!O$55-30)/30*O463+O464,IF(Input!O$55&lt;91,(Input!O$55-60)/30*O462+O463+O464,IF(Input!O$55&lt;121,(Input!O$55-90)/30*O461+O462+O463+O464,IF(Input!O$55&lt;151,(Input!O$55-120)/30*O460+O461+O462+O463+O464,(Input!O$55-150)/30*O459+O460+O461+O462+O463+O464))))))),0)</f>
        <v>0</v>
      </c>
      <c r="P1099" s="229">
        <f>IF(Years="Five",IF(P$338&gt;$D$33,0,IF(Input!P$55=0,0,IF(Input!P$55&lt;31,Input!P$55/30*P464,IF(Input!P$55&lt;61,(Input!P$55-30)/30*P463+P464,IF(Input!P$55&lt;91,(Input!P$55-60)/30*P462+P463+P464,IF(Input!P$55&lt;121,(Input!P$55-90)/30*P461+P462+P463+P464,IF(Input!P$55&lt;151,(Input!P$55-120)/30*P460+P461+P462+P463+P464,(Input!P$55-150)/30*P459+P460+P461+P462+P463+P464))))))),0)</f>
        <v>0</v>
      </c>
      <c r="Q1099" s="229">
        <f>IF(Years="Five",IF(Q$338&gt;$D$33,0,IF(Input!Q$55=0,0,IF(Input!Q$55&lt;31,Input!Q$55/30*Q464,IF(Input!Q$55&lt;61,(Input!Q$55-30)/30*Q463+Q464,IF(Input!Q$55&lt;91,(Input!Q$55-60)/30*Q462+Q463+Q464,IF(Input!Q$55&lt;121,(Input!Q$55-90)/30*Q461+Q462+Q463+Q464,IF(Input!Q$55&lt;151,(Input!Q$55-120)/30*Q460+Q461+Q462+Q463+Q464,(Input!Q$55-150)/30*Q459+Q460+Q461+Q462+Q463+Q464))))))),0)</f>
        <v>0</v>
      </c>
      <c r="R1099" s="229">
        <f>IF(Years="Five",IF(R$338&gt;$D$33,0,IF(Input!R$55=0,0,IF(Input!R$55&lt;31,Input!R$55/30*R464,IF(Input!R$55&lt;61,(Input!R$55-30)/30*R463+R464,IF(Input!R$55&lt;91,(Input!R$55-60)/30*R462+R463+R464,IF(Input!R$55&lt;121,(Input!R$55-90)/30*R461+R462+R463+R464,IF(Input!R$55&lt;151,(Input!R$55-120)/30*R460+R461+R462+R463+R464,(Input!R$55-150)/30*R459+R460+R461+R462+R463+R464))))))),0)</f>
        <v>0</v>
      </c>
      <c r="S1099" s="229">
        <f>IF(Years="Five",IF(S$338&gt;$D$33,0,IF(Input!S$55=0,0,IF(Input!S$55&lt;31,Input!S$55/30*S464,IF(Input!S$55&lt;61,(Input!S$55-30)/30*S463+S464,IF(Input!S$55&lt;91,(Input!S$55-60)/30*S462+S463+S464,IF(Input!S$55&lt;121,(Input!S$55-90)/30*S461+S462+S463+S464,IF(Input!S$55&lt;151,(Input!S$55-120)/30*S460+S461+S462+S463+S464,(Input!S$55-150)/30*S459+S460+S461+S462+S463+S464))))))),0)</f>
        <v>0</v>
      </c>
      <c r="T1099" s="229">
        <f>IF(Years="Five",IF(T$338&gt;$D$33,0,IF(Input!T$55=0,0,IF(Input!T$55&lt;31,Input!T$55/30*T464,IF(Input!T$55&lt;61,(Input!T$55-30)/30*T463+T464,IF(Input!T$55&lt;91,(Input!T$55-60)/30*T462+T463+T464,IF(Input!T$55&lt;121,(Input!T$55-90)/30*T461+T462+T463+T464,IF(Input!T$55&lt;151,(Input!T$55-120)/30*T460+T461+T462+T463+T464,(Input!T$55-150)/30*T459+T460+T461+T462+T463+T464))))))),0)</f>
        <v>0</v>
      </c>
      <c r="U1099" s="229">
        <f>IF(Years="Five",IF(U$338&gt;$D$33,0,IF(Input!U$55=0,0,IF(Input!U$55&lt;31,Input!U$55/30*U464,IF(Input!U$55&lt;61,(Input!U$55-30)/30*U463+U464,IF(Input!U$55&lt;91,(Input!U$55-60)/30*U462+U463+U464,IF(Input!U$55&lt;121,(Input!U$55-90)/30*U461+U462+U463+U464,IF(Input!U$55&lt;151,(Input!U$55-120)/30*U460+U461+U462+U463+U464,(Input!U$55-150)/30*U459+U460+U461+U462+U463+U464))))))),0)</f>
        <v>0</v>
      </c>
      <c r="V1099" s="229">
        <f>IF(Years="Five",IF(V$338&gt;$D$33,0,IF(Input!V$55=0,0,IF(Input!V$55&lt;31,Input!V$55/30*V464,IF(Input!V$55&lt;61,(Input!V$55-30)/30*V463+V464,IF(Input!V$55&lt;91,(Input!V$55-60)/30*V462+V463+V464,IF(Input!V$55&lt;121,(Input!V$55-90)/30*V461+V462+V463+V464,IF(Input!V$55&lt;151,(Input!V$55-120)/30*V460+V461+V462+V463+V464,(Input!V$55-150)/30*V459+V460+V461+V462+V463+V464))))))),0)</f>
        <v>0</v>
      </c>
      <c r="W1099" s="229">
        <f>IF(Years="Five",IF(W$338&gt;$D$33,0,IF(Input!W$55=0,0,IF(Input!W$55&lt;31,Input!W$55/30*W464,IF(Input!W$55&lt;61,(Input!W$55-30)/30*W463+W464,IF(Input!W$55&lt;91,(Input!W$55-60)/30*W462+W463+W464,IF(Input!W$55&lt;121,(Input!W$55-90)/30*W461+W462+W463+W464,IF(Input!W$55&lt;151,(Input!W$55-120)/30*W460+W461+W462+W463+W464,(Input!W$55-150)/30*W459+W460+W461+W462+W463+W464))))))),0)</f>
        <v>0</v>
      </c>
      <c r="X1099" s="229">
        <f>IF(Years="Five",IF(X$338&gt;$D$33,0,IF(Input!X$55=0,0,IF(Input!X$55&lt;31,Input!X$55/30*X464,IF(Input!X$55&lt;61,(Input!X$55-30)/30*X463+X464,IF(Input!X$55&lt;91,(Input!X$55-60)/30*X462+X463+X464,IF(Input!X$55&lt;121,(Input!X$55-90)/30*X461+X462+X463+X464,IF(Input!X$55&lt;151,(Input!X$55-120)/30*X460+X461+X462+X463+X464,(Input!X$55-150)/30*X459+X460+X461+X462+X463+X464))))))),0)</f>
        <v>0</v>
      </c>
      <c r="Y1099" s="229">
        <f>IF(Years="Five",IF(Y$338&gt;$D$33,0,IF(Input!Y$55=0,0,IF(Input!Y$55&lt;31,Input!Y$55/30*Y464,IF(Input!Y$55&lt;61,(Input!Y$55-30)/30*Y463+Y464,IF(Input!Y$55&lt;91,(Input!Y$55-60)/30*Y462+Y463+Y464,IF(Input!Y$55&lt;121,(Input!Y$55-90)/30*Y461+Y462+Y463+Y464,IF(Input!Y$55&lt;151,(Input!Y$55-120)/30*Y460+Y461+Y462+Y463+Y464,(Input!Y$55-150)/30*Y459+Y460+Y461+Y462+Y463+Y464))))))),0)</f>
        <v>0</v>
      </c>
      <c r="Z1099" s="229">
        <f>IF(Years="Five",IF(Z$338&gt;$D$33,0,IF(Input!Z$55=0,0,IF(Input!Z$55&lt;31,Input!Z$55/30*Z464,IF(Input!Z$55&lt;61,(Input!Z$55-30)/30*Z463+Z464,IF(Input!Z$55&lt;91,(Input!Z$55-60)/30*Z462+Z463+Z464,IF(Input!Z$55&lt;121,(Input!Z$55-90)/30*Z461+Z462+Z463+Z464,IF(Input!Z$55&lt;151,(Input!Z$55-120)/30*Z460+Z461+Z462+Z463+Z464,(Input!Z$55-150)/30*Z459+Z460+Z461+Z462+Z463+Z464))))))),0)</f>
        <v>0</v>
      </c>
      <c r="AA1099" s="229">
        <f>IF(Years="Five",IF(AA$338&gt;$D$33,0,IF(Input!AA$55=0,0,IF(Input!AA$55&lt;31,Input!AA$55/30*AA464,IF(Input!AA$55&lt;61,(Input!AA$55-30)/30*AA463+AA464,IF(Input!AA$55&lt;91,(Input!AA$55-60)/30*AA462+AA463+AA464,IF(Input!AA$55&lt;121,(Input!AA$55-90)/30*AA461+AA462+AA463+AA464,IF(Input!AA$55&lt;151,(Input!AA$55-120)/30*AA460+AA461+AA462+AA463+AA464,(Input!AA$55-150)/30*AA459+AA460+AA461+AA462+AA463+AA464))))))),0)</f>
        <v>0</v>
      </c>
      <c r="AB1099" s="298">
        <f>IF(Years="Five",IF(AB$338&gt;$D$33,0,IF(Input!AB$55=0,0,IF(Input!AB$55&lt;31,Input!AB$55/30*AB464,IF(Input!AB$55&lt;61,(Input!AB$55-30)/30*AB463+AB464,IF(Input!AB$55&lt;91,(Input!AB$55-60)/30*AB462+AB463+AB464,IF(Input!AB$55&lt;121,(Input!AB$55-90)/30*AB461+AB462+AB463+AB464,IF(Input!AB$55&lt;151,(Input!AB$55-120)/30*AB460+AB461+AB462+AB463+AB464,(Input!AB$55-150)/30*AB459+AB460+AB461+AB462+AB463+AB464))))))),0)</f>
        <v>0</v>
      </c>
      <c r="CH1099" s="269"/>
      <c r="CI1099" s="269"/>
      <c r="CJ1099" s="269"/>
      <c r="CK1099" s="269"/>
      <c r="CL1099" s="269"/>
      <c r="CM1099" s="269"/>
      <c r="CN1099" s="269"/>
      <c r="CO1099" s="269"/>
      <c r="CP1099" s="269"/>
      <c r="CQ1099" s="269"/>
      <c r="CR1099" s="269"/>
      <c r="CS1099" s="269"/>
    </row>
    <row r="1100" spans="3:97" x14ac:dyDescent="0.3">
      <c r="C1100" s="638">
        <f>C1037</f>
        <v>1705</v>
      </c>
      <c r="D1100" s="297">
        <f>IF(Years="Five",IF(D$338&gt;$D$33,0,IF(Input!D$55=0,0,IF(Input!D$55&lt;31,Input!D$55/30*D465,IF(Input!D$55&lt;61,(Input!D$55-30)/30*D464+D465,IF(Input!D$55&lt;91,(Input!D$55-60)/30*D463+D464+D465,IF(Input!D$55&lt;121,(Input!D$55-90)/30*D462+D463+D464+D465,IF(Input!D$55&lt;151,(Input!D$55-120)/30*D461+D462+D463+D464+D465,(Input!D$55-150)/30*D460+D461+D462+D463+D464+D465))))))),0)</f>
        <v>0</v>
      </c>
      <c r="E1100" s="229">
        <f>IF(Years="Five",IF(E$338&gt;$D$33,0,IF(Input!E$55=0,0,IF(Input!E$55&lt;31,Input!E$55/30*E465,IF(Input!E$55&lt;61,(Input!E$55-30)/30*E464+E465,IF(Input!E$55&lt;91,(Input!E$55-60)/30*E463+E464+E465,IF(Input!E$55&lt;121,(Input!E$55-90)/30*E462+E463+E464+E465,IF(Input!E$55&lt;151,(Input!E$55-120)/30*E461+E462+E463+E464+E465,(Input!E$55-150)/30*E460+E461+E462+E463+E464+E465))))))),0)</f>
        <v>0</v>
      </c>
      <c r="F1100" s="229">
        <f>IF(Years="Five",IF(F$338&gt;$D$33,0,IF(Input!F$55=0,0,IF(Input!F$55&lt;31,Input!F$55/30*F465,IF(Input!F$55&lt;61,(Input!F$55-30)/30*F464+F465,IF(Input!F$55&lt;91,(Input!F$55-60)/30*F463+F464+F465,IF(Input!F$55&lt;121,(Input!F$55-90)/30*F462+F463+F464+F465,IF(Input!F$55&lt;151,(Input!F$55-120)/30*F461+F462+F463+F464+F465,(Input!F$55-150)/30*F460+F461+F462+F463+F464+F465))))))),0)</f>
        <v>0</v>
      </c>
      <c r="G1100" s="229">
        <f>IF(Years="Five",IF(G$338&gt;$D$33,0,IF(Input!G$55=0,0,IF(Input!G$55&lt;31,Input!G$55/30*G465,IF(Input!G$55&lt;61,(Input!G$55-30)/30*G464+G465,IF(Input!G$55&lt;91,(Input!G$55-60)/30*G463+G464+G465,IF(Input!G$55&lt;121,(Input!G$55-90)/30*G462+G463+G464+G465,IF(Input!G$55&lt;151,(Input!G$55-120)/30*G461+G462+G463+G464+G465,(Input!G$55-150)/30*G460+G461+G462+G463+G464+G465))))))),0)</f>
        <v>0</v>
      </c>
      <c r="H1100" s="229">
        <f>IF(Years="Five",IF(H$338&gt;$D$33,0,IF(Input!H$55=0,0,IF(Input!H$55&lt;31,Input!H$55/30*H465,IF(Input!H$55&lt;61,(Input!H$55-30)/30*H464+H465,IF(Input!H$55&lt;91,(Input!H$55-60)/30*H463+H464+H465,IF(Input!H$55&lt;121,(Input!H$55-90)/30*H462+H463+H464+H465,IF(Input!H$55&lt;151,(Input!H$55-120)/30*H461+H462+H463+H464+H465,(Input!H$55-150)/30*H460+H461+H462+H463+H464+H465))))))),0)</f>
        <v>0</v>
      </c>
      <c r="I1100" s="229">
        <f>IF(Years="Five",IF(I$338&gt;$D$33,0,IF(Input!I$55=0,0,IF(Input!I$55&lt;31,Input!I$55/30*I465,IF(Input!I$55&lt;61,(Input!I$55-30)/30*I464+I465,IF(Input!I$55&lt;91,(Input!I$55-60)/30*I463+I464+I465,IF(Input!I$55&lt;121,(Input!I$55-90)/30*I462+I463+I464+I465,IF(Input!I$55&lt;151,(Input!I$55-120)/30*I461+I462+I463+I464+I465,(Input!I$55-150)/30*I460+I461+I462+I463+I464+I465))))))),0)</f>
        <v>0</v>
      </c>
      <c r="J1100" s="229">
        <f>IF(Years="Five",IF(J$338&gt;$D$33,0,IF(Input!J$55=0,0,IF(Input!J$55&lt;31,Input!J$55/30*J465,IF(Input!J$55&lt;61,(Input!J$55-30)/30*J464+J465,IF(Input!J$55&lt;91,(Input!J$55-60)/30*J463+J464+J465,IF(Input!J$55&lt;121,(Input!J$55-90)/30*J462+J463+J464+J465,IF(Input!J$55&lt;151,(Input!J$55-120)/30*J461+J462+J463+J464+J465,(Input!J$55-150)/30*J460+J461+J462+J463+J464+J465))))))),0)</f>
        <v>0</v>
      </c>
      <c r="K1100" s="229">
        <f>IF(Years="Five",IF(K$338&gt;$D$33,0,IF(Input!K$55=0,0,IF(Input!K$55&lt;31,Input!K$55/30*K465,IF(Input!K$55&lt;61,(Input!K$55-30)/30*K464+K465,IF(Input!K$55&lt;91,(Input!K$55-60)/30*K463+K464+K465,IF(Input!K$55&lt;121,(Input!K$55-90)/30*K462+K463+K464+K465,IF(Input!K$55&lt;151,(Input!K$55-120)/30*K461+K462+K463+K464+K465,(Input!K$55-150)/30*K460+K461+K462+K463+K464+K465))))))),0)</f>
        <v>0</v>
      </c>
      <c r="L1100" s="229">
        <f>IF(Years="Five",IF(L$338&gt;$D$33,0,IF(Input!L$55=0,0,IF(Input!L$55&lt;31,Input!L$55/30*L465,IF(Input!L$55&lt;61,(Input!L$55-30)/30*L464+L465,IF(Input!L$55&lt;91,(Input!L$55-60)/30*L463+L464+L465,IF(Input!L$55&lt;121,(Input!L$55-90)/30*L462+L463+L464+L465,IF(Input!L$55&lt;151,(Input!L$55-120)/30*L461+L462+L463+L464+L465,(Input!L$55-150)/30*L460+L461+L462+L463+L464+L465))))))),0)</f>
        <v>0</v>
      </c>
      <c r="M1100" s="229">
        <f>IF(Years="Five",IF(M$338&gt;$D$33,0,IF(Input!M$55=0,0,IF(Input!M$55&lt;31,Input!M$55/30*M465,IF(Input!M$55&lt;61,(Input!M$55-30)/30*M464+M465,IF(Input!M$55&lt;91,(Input!M$55-60)/30*M463+M464+M465,IF(Input!M$55&lt;121,(Input!M$55-90)/30*M462+M463+M464+M465,IF(Input!M$55&lt;151,(Input!M$55-120)/30*M461+M462+M463+M464+M465,(Input!M$55-150)/30*M460+M461+M462+M463+M464+M465))))))),0)</f>
        <v>0</v>
      </c>
      <c r="N1100" s="229">
        <f>IF(Years="Five",IF(N$338&gt;$D$33,0,IF(Input!N$55=0,0,IF(Input!N$55&lt;31,Input!N$55/30*N465,IF(Input!N$55&lt;61,(Input!N$55-30)/30*N464+N465,IF(Input!N$55&lt;91,(Input!N$55-60)/30*N463+N464+N465,IF(Input!N$55&lt;121,(Input!N$55-90)/30*N462+N463+N464+N465,IF(Input!N$55&lt;151,(Input!N$55-120)/30*N461+N462+N463+N464+N465,(Input!N$55-150)/30*N460+N461+N462+N463+N464+N465))))))),0)</f>
        <v>0</v>
      </c>
      <c r="O1100" s="229">
        <f>IF(Years="Five",IF(O$338&gt;$D$33,0,IF(Input!O$55=0,0,IF(Input!O$55&lt;31,Input!O$55/30*O465,IF(Input!O$55&lt;61,(Input!O$55-30)/30*O464+O465,IF(Input!O$55&lt;91,(Input!O$55-60)/30*O463+O464+O465,IF(Input!O$55&lt;121,(Input!O$55-90)/30*O462+O463+O464+O465,IF(Input!O$55&lt;151,(Input!O$55-120)/30*O461+O462+O463+O464+O465,(Input!O$55-150)/30*O460+O461+O462+O463+O464+O465))))))),0)</f>
        <v>0</v>
      </c>
      <c r="P1100" s="229">
        <f>IF(Years="Five",IF(P$338&gt;$D$33,0,IF(Input!P$55=0,0,IF(Input!P$55&lt;31,Input!P$55/30*P465,IF(Input!P$55&lt;61,(Input!P$55-30)/30*P464+P465,IF(Input!P$55&lt;91,(Input!P$55-60)/30*P463+P464+P465,IF(Input!P$55&lt;121,(Input!P$55-90)/30*P462+P463+P464+P465,IF(Input!P$55&lt;151,(Input!P$55-120)/30*P461+P462+P463+P464+P465,(Input!P$55-150)/30*P460+P461+P462+P463+P464+P465))))))),0)</f>
        <v>0</v>
      </c>
      <c r="Q1100" s="229">
        <f>IF(Years="Five",IF(Q$338&gt;$D$33,0,IF(Input!Q$55=0,0,IF(Input!Q$55&lt;31,Input!Q$55/30*Q465,IF(Input!Q$55&lt;61,(Input!Q$55-30)/30*Q464+Q465,IF(Input!Q$55&lt;91,(Input!Q$55-60)/30*Q463+Q464+Q465,IF(Input!Q$55&lt;121,(Input!Q$55-90)/30*Q462+Q463+Q464+Q465,IF(Input!Q$55&lt;151,(Input!Q$55-120)/30*Q461+Q462+Q463+Q464+Q465,(Input!Q$55-150)/30*Q460+Q461+Q462+Q463+Q464+Q465))))))),0)</f>
        <v>0</v>
      </c>
      <c r="R1100" s="229">
        <f>IF(Years="Five",IF(R$338&gt;$D$33,0,IF(Input!R$55=0,0,IF(Input!R$55&lt;31,Input!R$55/30*R465,IF(Input!R$55&lt;61,(Input!R$55-30)/30*R464+R465,IF(Input!R$55&lt;91,(Input!R$55-60)/30*R463+R464+R465,IF(Input!R$55&lt;121,(Input!R$55-90)/30*R462+R463+R464+R465,IF(Input!R$55&lt;151,(Input!R$55-120)/30*R461+R462+R463+R464+R465,(Input!R$55-150)/30*R460+R461+R462+R463+R464+R465))))))),0)</f>
        <v>0</v>
      </c>
      <c r="S1100" s="229">
        <f>IF(Years="Five",IF(S$338&gt;$D$33,0,IF(Input!S$55=0,0,IF(Input!S$55&lt;31,Input!S$55/30*S465,IF(Input!S$55&lt;61,(Input!S$55-30)/30*S464+S465,IF(Input!S$55&lt;91,(Input!S$55-60)/30*S463+S464+S465,IF(Input!S$55&lt;121,(Input!S$55-90)/30*S462+S463+S464+S465,IF(Input!S$55&lt;151,(Input!S$55-120)/30*S461+S462+S463+S464+S465,(Input!S$55-150)/30*S460+S461+S462+S463+S464+S465))))))),0)</f>
        <v>0</v>
      </c>
      <c r="T1100" s="229">
        <f>IF(Years="Five",IF(T$338&gt;$D$33,0,IF(Input!T$55=0,0,IF(Input!T$55&lt;31,Input!T$55/30*T465,IF(Input!T$55&lt;61,(Input!T$55-30)/30*T464+T465,IF(Input!T$55&lt;91,(Input!T$55-60)/30*T463+T464+T465,IF(Input!T$55&lt;121,(Input!T$55-90)/30*T462+T463+T464+T465,IF(Input!T$55&lt;151,(Input!T$55-120)/30*T461+T462+T463+T464+T465,(Input!T$55-150)/30*T460+T461+T462+T463+T464+T465))))))),0)</f>
        <v>0</v>
      </c>
      <c r="U1100" s="229">
        <f>IF(Years="Five",IF(U$338&gt;$D$33,0,IF(Input!U$55=0,0,IF(Input!U$55&lt;31,Input!U$55/30*U465,IF(Input!U$55&lt;61,(Input!U$55-30)/30*U464+U465,IF(Input!U$55&lt;91,(Input!U$55-60)/30*U463+U464+U465,IF(Input!U$55&lt;121,(Input!U$55-90)/30*U462+U463+U464+U465,IF(Input!U$55&lt;151,(Input!U$55-120)/30*U461+U462+U463+U464+U465,(Input!U$55-150)/30*U460+U461+U462+U463+U464+U465))))))),0)</f>
        <v>0</v>
      </c>
      <c r="V1100" s="229">
        <f>IF(Years="Five",IF(V$338&gt;$D$33,0,IF(Input!V$55=0,0,IF(Input!V$55&lt;31,Input!V$55/30*V465,IF(Input!V$55&lt;61,(Input!V$55-30)/30*V464+V465,IF(Input!V$55&lt;91,(Input!V$55-60)/30*V463+V464+V465,IF(Input!V$55&lt;121,(Input!V$55-90)/30*V462+V463+V464+V465,IF(Input!V$55&lt;151,(Input!V$55-120)/30*V461+V462+V463+V464+V465,(Input!V$55-150)/30*V460+V461+V462+V463+V464+V465))))))),0)</f>
        <v>0</v>
      </c>
      <c r="W1100" s="229">
        <f>IF(Years="Five",IF(W$338&gt;$D$33,0,IF(Input!W$55=0,0,IF(Input!W$55&lt;31,Input!W$55/30*W465,IF(Input!W$55&lt;61,(Input!W$55-30)/30*W464+W465,IF(Input!W$55&lt;91,(Input!W$55-60)/30*W463+W464+W465,IF(Input!W$55&lt;121,(Input!W$55-90)/30*W462+W463+W464+W465,IF(Input!W$55&lt;151,(Input!W$55-120)/30*W461+W462+W463+W464+W465,(Input!W$55-150)/30*W460+W461+W462+W463+W464+W465))))))),0)</f>
        <v>0</v>
      </c>
      <c r="X1100" s="229">
        <f>IF(Years="Five",IF(X$338&gt;$D$33,0,IF(Input!X$55=0,0,IF(Input!X$55&lt;31,Input!X$55/30*X465,IF(Input!X$55&lt;61,(Input!X$55-30)/30*X464+X465,IF(Input!X$55&lt;91,(Input!X$55-60)/30*X463+X464+X465,IF(Input!X$55&lt;121,(Input!X$55-90)/30*X462+X463+X464+X465,IF(Input!X$55&lt;151,(Input!X$55-120)/30*X461+X462+X463+X464+X465,(Input!X$55-150)/30*X460+X461+X462+X463+X464+X465))))))),0)</f>
        <v>0</v>
      </c>
      <c r="Y1100" s="229">
        <f>IF(Years="Five",IF(Y$338&gt;$D$33,0,IF(Input!Y$55=0,0,IF(Input!Y$55&lt;31,Input!Y$55/30*Y465,IF(Input!Y$55&lt;61,(Input!Y$55-30)/30*Y464+Y465,IF(Input!Y$55&lt;91,(Input!Y$55-60)/30*Y463+Y464+Y465,IF(Input!Y$55&lt;121,(Input!Y$55-90)/30*Y462+Y463+Y464+Y465,IF(Input!Y$55&lt;151,(Input!Y$55-120)/30*Y461+Y462+Y463+Y464+Y465,(Input!Y$55-150)/30*Y460+Y461+Y462+Y463+Y464+Y465))))))),0)</f>
        <v>0</v>
      </c>
      <c r="Z1100" s="229">
        <f>IF(Years="Five",IF(Z$338&gt;$D$33,0,IF(Input!Z$55=0,0,IF(Input!Z$55&lt;31,Input!Z$55/30*Z465,IF(Input!Z$55&lt;61,(Input!Z$55-30)/30*Z464+Z465,IF(Input!Z$55&lt;91,(Input!Z$55-60)/30*Z463+Z464+Z465,IF(Input!Z$55&lt;121,(Input!Z$55-90)/30*Z462+Z463+Z464+Z465,IF(Input!Z$55&lt;151,(Input!Z$55-120)/30*Z461+Z462+Z463+Z464+Z465,(Input!Z$55-150)/30*Z460+Z461+Z462+Z463+Z464+Z465))))))),0)</f>
        <v>0</v>
      </c>
      <c r="AA1100" s="229">
        <f>IF(Years="Five",IF(AA$338&gt;$D$33,0,IF(Input!AA$55=0,0,IF(Input!AA$55&lt;31,Input!AA$55/30*AA465,IF(Input!AA$55&lt;61,(Input!AA$55-30)/30*AA464+AA465,IF(Input!AA$55&lt;91,(Input!AA$55-60)/30*AA463+AA464+AA465,IF(Input!AA$55&lt;121,(Input!AA$55-90)/30*AA462+AA463+AA464+AA465,IF(Input!AA$55&lt;151,(Input!AA$55-120)/30*AA461+AA462+AA463+AA464+AA465,(Input!AA$55-150)/30*AA460+AA461+AA462+AA463+AA464+AA465))))))),0)</f>
        <v>0</v>
      </c>
      <c r="AB1100" s="298">
        <f>IF(Years="Five",IF(AB$338&gt;$D$33,0,IF(Input!AB$55=0,0,IF(Input!AB$55&lt;31,Input!AB$55/30*AB465,IF(Input!AB$55&lt;61,(Input!AB$55-30)/30*AB464+AB465,IF(Input!AB$55&lt;91,(Input!AB$55-60)/30*AB463+AB464+AB465,IF(Input!AB$55&lt;121,(Input!AB$55-90)/30*AB462+AB463+AB464+AB465,IF(Input!AB$55&lt;151,(Input!AB$55-120)/30*AB461+AB462+AB463+AB464+AB465,(Input!AB$55-150)/30*AB460+AB461+AB462+AB463+AB464+AB465))))))),0)</f>
        <v>0</v>
      </c>
      <c r="CH1100" s="269"/>
      <c r="CI1100" s="269"/>
      <c r="CJ1100" s="269"/>
      <c r="CK1100" s="269"/>
      <c r="CL1100" s="269"/>
      <c r="CM1100" s="269"/>
      <c r="CN1100" s="269"/>
      <c r="CO1100" s="269"/>
      <c r="CP1100" s="269"/>
      <c r="CQ1100" s="269"/>
      <c r="CR1100" s="269"/>
      <c r="CS1100" s="269"/>
    </row>
    <row r="1101" spans="3:97" x14ac:dyDescent="0.3">
      <c r="C1101" s="638">
        <f>C1038</f>
        <v>1735</v>
      </c>
      <c r="D1101" s="297">
        <f>IF(Years="Five",IF(D$338&gt;$D$33,0,IF(Input!D$55=0,0,IF(Input!D$55&lt;31,Input!D$55/30*D466,IF(Input!D$55&lt;61,(Input!D$55-30)/30*D465+D466,IF(Input!D$55&lt;91,(Input!D$55-60)/30*D464+D465+D466,IF(Input!D$55&lt;121,(Input!D$55-90)/30*D463+D464+D465+D466,IF(Input!D$55&lt;151,(Input!D$55-120)/30*D462+D463+D464+D465+D466,(Input!D$55-150)/30*D461+D462+D463+D464+D465+D466))))))),0)</f>
        <v>0</v>
      </c>
      <c r="E1101" s="229">
        <f>IF(Years="Five",IF(E$338&gt;$D$33,0,IF(Input!E$55=0,0,IF(Input!E$55&lt;31,Input!E$55/30*E466,IF(Input!E$55&lt;61,(Input!E$55-30)/30*E465+E466,IF(Input!E$55&lt;91,(Input!E$55-60)/30*E464+E465+E466,IF(Input!E$55&lt;121,(Input!E$55-90)/30*E463+E464+E465+E466,IF(Input!E$55&lt;151,(Input!E$55-120)/30*E462+E463+E464+E465+E466,(Input!E$55-150)/30*E461+E462+E463+E464+E465+E466))))))),0)</f>
        <v>0</v>
      </c>
      <c r="F1101" s="229">
        <f>IF(Years="Five",IF(F$338&gt;$D$33,0,IF(Input!F$55=0,0,IF(Input!F$55&lt;31,Input!F$55/30*F466,IF(Input!F$55&lt;61,(Input!F$55-30)/30*F465+F466,IF(Input!F$55&lt;91,(Input!F$55-60)/30*F464+F465+F466,IF(Input!F$55&lt;121,(Input!F$55-90)/30*F463+F464+F465+F466,IF(Input!F$55&lt;151,(Input!F$55-120)/30*F462+F463+F464+F465+F466,(Input!F$55-150)/30*F461+F462+F463+F464+F465+F466))))))),0)</f>
        <v>0</v>
      </c>
      <c r="G1101" s="229">
        <f>IF(Years="Five",IF(G$338&gt;$D$33,0,IF(Input!G$55=0,0,IF(Input!G$55&lt;31,Input!G$55/30*G466,IF(Input!G$55&lt;61,(Input!G$55-30)/30*G465+G466,IF(Input!G$55&lt;91,(Input!G$55-60)/30*G464+G465+G466,IF(Input!G$55&lt;121,(Input!G$55-90)/30*G463+G464+G465+G466,IF(Input!G$55&lt;151,(Input!G$55-120)/30*G462+G463+G464+G465+G466,(Input!G$55-150)/30*G461+G462+G463+G464+G465+G466))))))),0)</f>
        <v>0</v>
      </c>
      <c r="H1101" s="229">
        <f>IF(Years="Five",IF(H$338&gt;$D$33,0,IF(Input!H$55=0,0,IF(Input!H$55&lt;31,Input!H$55/30*H466,IF(Input!H$55&lt;61,(Input!H$55-30)/30*H465+H466,IF(Input!H$55&lt;91,(Input!H$55-60)/30*H464+H465+H466,IF(Input!H$55&lt;121,(Input!H$55-90)/30*H463+H464+H465+H466,IF(Input!H$55&lt;151,(Input!H$55-120)/30*H462+H463+H464+H465+H466,(Input!H$55-150)/30*H461+H462+H463+H464+H465+H466))))))),0)</f>
        <v>0</v>
      </c>
      <c r="I1101" s="229">
        <f>IF(Years="Five",IF(I$338&gt;$D$33,0,IF(Input!I$55=0,0,IF(Input!I$55&lt;31,Input!I$55/30*I466,IF(Input!I$55&lt;61,(Input!I$55-30)/30*I465+I466,IF(Input!I$55&lt;91,(Input!I$55-60)/30*I464+I465+I466,IF(Input!I$55&lt;121,(Input!I$55-90)/30*I463+I464+I465+I466,IF(Input!I$55&lt;151,(Input!I$55-120)/30*I462+I463+I464+I465+I466,(Input!I$55-150)/30*I461+I462+I463+I464+I465+I466))))))),0)</f>
        <v>0</v>
      </c>
      <c r="J1101" s="229">
        <f>IF(Years="Five",IF(J$338&gt;$D$33,0,IF(Input!J$55=0,0,IF(Input!J$55&lt;31,Input!J$55/30*J466,IF(Input!J$55&lt;61,(Input!J$55-30)/30*J465+J466,IF(Input!J$55&lt;91,(Input!J$55-60)/30*J464+J465+J466,IF(Input!J$55&lt;121,(Input!J$55-90)/30*J463+J464+J465+J466,IF(Input!J$55&lt;151,(Input!J$55-120)/30*J462+J463+J464+J465+J466,(Input!J$55-150)/30*J461+J462+J463+J464+J465+J466))))))),0)</f>
        <v>0</v>
      </c>
      <c r="K1101" s="229">
        <f>IF(Years="Five",IF(K$338&gt;$D$33,0,IF(Input!K$55=0,0,IF(Input!K$55&lt;31,Input!K$55/30*K466,IF(Input!K$55&lt;61,(Input!K$55-30)/30*K465+K466,IF(Input!K$55&lt;91,(Input!K$55-60)/30*K464+K465+K466,IF(Input!K$55&lt;121,(Input!K$55-90)/30*K463+K464+K465+K466,IF(Input!K$55&lt;151,(Input!K$55-120)/30*K462+K463+K464+K465+K466,(Input!K$55-150)/30*K461+K462+K463+K464+K465+K466))))))),0)</f>
        <v>0</v>
      </c>
      <c r="L1101" s="229">
        <f>IF(Years="Five",IF(L$338&gt;$D$33,0,IF(Input!L$55=0,0,IF(Input!L$55&lt;31,Input!L$55/30*L466,IF(Input!L$55&lt;61,(Input!L$55-30)/30*L465+L466,IF(Input!L$55&lt;91,(Input!L$55-60)/30*L464+L465+L466,IF(Input!L$55&lt;121,(Input!L$55-90)/30*L463+L464+L465+L466,IF(Input!L$55&lt;151,(Input!L$55-120)/30*L462+L463+L464+L465+L466,(Input!L$55-150)/30*L461+L462+L463+L464+L465+L466))))))),0)</f>
        <v>0</v>
      </c>
      <c r="M1101" s="229">
        <f>IF(Years="Five",IF(M$338&gt;$D$33,0,IF(Input!M$55=0,0,IF(Input!M$55&lt;31,Input!M$55/30*M466,IF(Input!M$55&lt;61,(Input!M$55-30)/30*M465+M466,IF(Input!M$55&lt;91,(Input!M$55-60)/30*M464+M465+M466,IF(Input!M$55&lt;121,(Input!M$55-90)/30*M463+M464+M465+M466,IF(Input!M$55&lt;151,(Input!M$55-120)/30*M462+M463+M464+M465+M466,(Input!M$55-150)/30*M461+M462+M463+M464+M465+M466))))))),0)</f>
        <v>0</v>
      </c>
      <c r="N1101" s="229">
        <f>IF(Years="Five",IF(N$338&gt;$D$33,0,IF(Input!N$55=0,0,IF(Input!N$55&lt;31,Input!N$55/30*N466,IF(Input!N$55&lt;61,(Input!N$55-30)/30*N465+N466,IF(Input!N$55&lt;91,(Input!N$55-60)/30*N464+N465+N466,IF(Input!N$55&lt;121,(Input!N$55-90)/30*N463+N464+N465+N466,IF(Input!N$55&lt;151,(Input!N$55-120)/30*N462+N463+N464+N465+N466,(Input!N$55-150)/30*N461+N462+N463+N464+N465+N466))))))),0)</f>
        <v>0</v>
      </c>
      <c r="O1101" s="229">
        <f>IF(Years="Five",IF(O$338&gt;$D$33,0,IF(Input!O$55=0,0,IF(Input!O$55&lt;31,Input!O$55/30*O466,IF(Input!O$55&lt;61,(Input!O$55-30)/30*O465+O466,IF(Input!O$55&lt;91,(Input!O$55-60)/30*O464+O465+O466,IF(Input!O$55&lt;121,(Input!O$55-90)/30*O463+O464+O465+O466,IF(Input!O$55&lt;151,(Input!O$55-120)/30*O462+O463+O464+O465+O466,(Input!O$55-150)/30*O461+O462+O463+O464+O465+O466))))))),0)</f>
        <v>0</v>
      </c>
      <c r="P1101" s="229">
        <f>IF(Years="Five",IF(P$338&gt;$D$33,0,IF(Input!P$55=0,0,IF(Input!P$55&lt;31,Input!P$55/30*P466,IF(Input!P$55&lt;61,(Input!P$55-30)/30*P465+P466,IF(Input!P$55&lt;91,(Input!P$55-60)/30*P464+P465+P466,IF(Input!P$55&lt;121,(Input!P$55-90)/30*P463+P464+P465+P466,IF(Input!P$55&lt;151,(Input!P$55-120)/30*P462+P463+P464+P465+P466,(Input!P$55-150)/30*P461+P462+P463+P464+P465+P466))))))),0)</f>
        <v>0</v>
      </c>
      <c r="Q1101" s="229">
        <f>IF(Years="Five",IF(Q$338&gt;$D$33,0,IF(Input!Q$55=0,0,IF(Input!Q$55&lt;31,Input!Q$55/30*Q466,IF(Input!Q$55&lt;61,(Input!Q$55-30)/30*Q465+Q466,IF(Input!Q$55&lt;91,(Input!Q$55-60)/30*Q464+Q465+Q466,IF(Input!Q$55&lt;121,(Input!Q$55-90)/30*Q463+Q464+Q465+Q466,IF(Input!Q$55&lt;151,(Input!Q$55-120)/30*Q462+Q463+Q464+Q465+Q466,(Input!Q$55-150)/30*Q461+Q462+Q463+Q464+Q465+Q466))))))),0)</f>
        <v>0</v>
      </c>
      <c r="R1101" s="229">
        <f>IF(Years="Five",IF(R$338&gt;$D$33,0,IF(Input!R$55=0,0,IF(Input!R$55&lt;31,Input!R$55/30*R466,IF(Input!R$55&lt;61,(Input!R$55-30)/30*R465+R466,IF(Input!R$55&lt;91,(Input!R$55-60)/30*R464+R465+R466,IF(Input!R$55&lt;121,(Input!R$55-90)/30*R463+R464+R465+R466,IF(Input!R$55&lt;151,(Input!R$55-120)/30*R462+R463+R464+R465+R466,(Input!R$55-150)/30*R461+R462+R463+R464+R465+R466))))))),0)</f>
        <v>0</v>
      </c>
      <c r="S1101" s="229">
        <f>IF(Years="Five",IF(S$338&gt;$D$33,0,IF(Input!S$55=0,0,IF(Input!S$55&lt;31,Input!S$55/30*S466,IF(Input!S$55&lt;61,(Input!S$55-30)/30*S465+S466,IF(Input!S$55&lt;91,(Input!S$55-60)/30*S464+S465+S466,IF(Input!S$55&lt;121,(Input!S$55-90)/30*S463+S464+S465+S466,IF(Input!S$55&lt;151,(Input!S$55-120)/30*S462+S463+S464+S465+S466,(Input!S$55-150)/30*S461+S462+S463+S464+S465+S466))))))),0)</f>
        <v>0</v>
      </c>
      <c r="T1101" s="229">
        <f>IF(Years="Five",IF(T$338&gt;$D$33,0,IF(Input!T$55=0,0,IF(Input!T$55&lt;31,Input!T$55/30*T466,IF(Input!T$55&lt;61,(Input!T$55-30)/30*T465+T466,IF(Input!T$55&lt;91,(Input!T$55-60)/30*T464+T465+T466,IF(Input!T$55&lt;121,(Input!T$55-90)/30*T463+T464+T465+T466,IF(Input!T$55&lt;151,(Input!T$55-120)/30*T462+T463+T464+T465+T466,(Input!T$55-150)/30*T461+T462+T463+T464+T465+T466))))))),0)</f>
        <v>0</v>
      </c>
      <c r="U1101" s="229">
        <f>IF(Years="Five",IF(U$338&gt;$D$33,0,IF(Input!U$55=0,0,IF(Input!U$55&lt;31,Input!U$55/30*U466,IF(Input!U$55&lt;61,(Input!U$55-30)/30*U465+U466,IF(Input!U$55&lt;91,(Input!U$55-60)/30*U464+U465+U466,IF(Input!U$55&lt;121,(Input!U$55-90)/30*U463+U464+U465+U466,IF(Input!U$55&lt;151,(Input!U$55-120)/30*U462+U463+U464+U465+U466,(Input!U$55-150)/30*U461+U462+U463+U464+U465+U466))))))),0)</f>
        <v>0</v>
      </c>
      <c r="V1101" s="229">
        <f>IF(Years="Five",IF(V$338&gt;$D$33,0,IF(Input!V$55=0,0,IF(Input!V$55&lt;31,Input!V$55/30*V466,IF(Input!V$55&lt;61,(Input!V$55-30)/30*V465+V466,IF(Input!V$55&lt;91,(Input!V$55-60)/30*V464+V465+V466,IF(Input!V$55&lt;121,(Input!V$55-90)/30*V463+V464+V465+V466,IF(Input!V$55&lt;151,(Input!V$55-120)/30*V462+V463+V464+V465+V466,(Input!V$55-150)/30*V461+V462+V463+V464+V465+V466))))))),0)</f>
        <v>0</v>
      </c>
      <c r="W1101" s="229">
        <f>IF(Years="Five",IF(W$338&gt;$D$33,0,IF(Input!W$55=0,0,IF(Input!W$55&lt;31,Input!W$55/30*W466,IF(Input!W$55&lt;61,(Input!W$55-30)/30*W465+W466,IF(Input!W$55&lt;91,(Input!W$55-60)/30*W464+W465+W466,IF(Input!W$55&lt;121,(Input!W$55-90)/30*W463+W464+W465+W466,IF(Input!W$55&lt;151,(Input!W$55-120)/30*W462+W463+W464+W465+W466,(Input!W$55-150)/30*W461+W462+W463+W464+W465+W466))))))),0)</f>
        <v>0</v>
      </c>
      <c r="X1101" s="229">
        <f>IF(Years="Five",IF(X$338&gt;$D$33,0,IF(Input!X$55=0,0,IF(Input!X$55&lt;31,Input!X$55/30*X466,IF(Input!X$55&lt;61,(Input!X$55-30)/30*X465+X466,IF(Input!X$55&lt;91,(Input!X$55-60)/30*X464+X465+X466,IF(Input!X$55&lt;121,(Input!X$55-90)/30*X463+X464+X465+X466,IF(Input!X$55&lt;151,(Input!X$55-120)/30*X462+X463+X464+X465+X466,(Input!X$55-150)/30*X461+X462+X463+X464+X465+X466))))))),0)</f>
        <v>0</v>
      </c>
      <c r="Y1101" s="229">
        <f>IF(Years="Five",IF(Y$338&gt;$D$33,0,IF(Input!Y$55=0,0,IF(Input!Y$55&lt;31,Input!Y$55/30*Y466,IF(Input!Y$55&lt;61,(Input!Y$55-30)/30*Y465+Y466,IF(Input!Y$55&lt;91,(Input!Y$55-60)/30*Y464+Y465+Y466,IF(Input!Y$55&lt;121,(Input!Y$55-90)/30*Y463+Y464+Y465+Y466,IF(Input!Y$55&lt;151,(Input!Y$55-120)/30*Y462+Y463+Y464+Y465+Y466,(Input!Y$55-150)/30*Y461+Y462+Y463+Y464+Y465+Y466))))))),0)</f>
        <v>0</v>
      </c>
      <c r="Z1101" s="229">
        <f>IF(Years="Five",IF(Z$338&gt;$D$33,0,IF(Input!Z$55=0,0,IF(Input!Z$55&lt;31,Input!Z$55/30*Z466,IF(Input!Z$55&lt;61,(Input!Z$55-30)/30*Z465+Z466,IF(Input!Z$55&lt;91,(Input!Z$55-60)/30*Z464+Z465+Z466,IF(Input!Z$55&lt;121,(Input!Z$55-90)/30*Z463+Z464+Z465+Z466,IF(Input!Z$55&lt;151,(Input!Z$55-120)/30*Z462+Z463+Z464+Z465+Z466,(Input!Z$55-150)/30*Z461+Z462+Z463+Z464+Z465+Z466))))))),0)</f>
        <v>0</v>
      </c>
      <c r="AA1101" s="229">
        <f>IF(Years="Five",IF(AA$338&gt;$D$33,0,IF(Input!AA$55=0,0,IF(Input!AA$55&lt;31,Input!AA$55/30*AA466,IF(Input!AA$55&lt;61,(Input!AA$55-30)/30*AA465+AA466,IF(Input!AA$55&lt;91,(Input!AA$55-60)/30*AA464+AA465+AA466,IF(Input!AA$55&lt;121,(Input!AA$55-90)/30*AA463+AA464+AA465+AA466,IF(Input!AA$55&lt;151,(Input!AA$55-120)/30*AA462+AA463+AA464+AA465+AA466,(Input!AA$55-150)/30*AA461+AA462+AA463+AA464+AA465+AA466))))))),0)</f>
        <v>0</v>
      </c>
      <c r="AB1101" s="298">
        <f>IF(Years="Five",IF(AB$338&gt;$D$33,0,IF(Input!AB$55=0,0,IF(Input!AB$55&lt;31,Input!AB$55/30*AB466,IF(Input!AB$55&lt;61,(Input!AB$55-30)/30*AB465+AB466,IF(Input!AB$55&lt;91,(Input!AB$55-60)/30*AB464+AB465+AB466,IF(Input!AB$55&lt;121,(Input!AB$55-90)/30*AB463+AB464+AB465+AB466,IF(Input!AB$55&lt;151,(Input!AB$55-120)/30*AB462+AB463+AB464+AB465+AB466,(Input!AB$55-150)/30*AB461+AB462+AB463+AB464+AB465+AB466))))))),0)</f>
        <v>0</v>
      </c>
      <c r="CH1101" s="269"/>
      <c r="CI1101" s="269"/>
      <c r="CJ1101" s="269"/>
      <c r="CK1101" s="269"/>
      <c r="CL1101" s="269"/>
      <c r="CM1101" s="269"/>
      <c r="CN1101" s="269"/>
      <c r="CO1101" s="269"/>
      <c r="CP1101" s="269"/>
      <c r="CQ1101" s="269"/>
      <c r="CR1101" s="269"/>
      <c r="CS1101" s="269"/>
    </row>
    <row r="1102" spans="3:97" x14ac:dyDescent="0.3">
      <c r="C1102" s="638">
        <f>C1039</f>
        <v>1766</v>
      </c>
      <c r="D1102" s="297">
        <f>IF(Years="Five",IF(D$338&gt;$D$33,0,IF(Input!D$55=0,0,IF(Input!D$55&lt;31,Input!D$55/30*D467,IF(Input!D$55&lt;61,(Input!D$55-30)/30*D466+D467,IF(Input!D$55&lt;91,(Input!D$55-60)/30*D465+D466+D467,IF(Input!D$55&lt;121,(Input!D$55-90)/30*D464+D465+D466+D467,IF(Input!D$55&lt;151,(Input!D$55-120)/30*D463+D464+D465+D466+D467,(Input!D$55-150)/30*D462+D463+D464+D465+D466+D467))))))),0)</f>
        <v>0</v>
      </c>
      <c r="E1102" s="229">
        <f>IF(Years="Five",IF(E$338&gt;$D$33,0,IF(Input!E$55=0,0,IF(Input!E$55&lt;31,Input!E$55/30*E467,IF(Input!E$55&lt;61,(Input!E$55-30)/30*E466+E467,IF(Input!E$55&lt;91,(Input!E$55-60)/30*E465+E466+E467,IF(Input!E$55&lt;121,(Input!E$55-90)/30*E464+E465+E466+E467,IF(Input!E$55&lt;151,(Input!E$55-120)/30*E463+E464+E465+E466+E467,(Input!E$55-150)/30*E462+E463+E464+E465+E466+E467))))))),0)</f>
        <v>0</v>
      </c>
      <c r="F1102" s="229">
        <f>IF(Years="Five",IF(F$338&gt;$D$33,0,IF(Input!F$55=0,0,IF(Input!F$55&lt;31,Input!F$55/30*F467,IF(Input!F$55&lt;61,(Input!F$55-30)/30*F466+F467,IF(Input!F$55&lt;91,(Input!F$55-60)/30*F465+F466+F467,IF(Input!F$55&lt;121,(Input!F$55-90)/30*F464+F465+F466+F467,IF(Input!F$55&lt;151,(Input!F$55-120)/30*F463+F464+F465+F466+F467,(Input!F$55-150)/30*F462+F463+F464+F465+F466+F467))))))),0)</f>
        <v>0</v>
      </c>
      <c r="G1102" s="229">
        <f>IF(Years="Five",IF(G$338&gt;$D$33,0,IF(Input!G$55=0,0,IF(Input!G$55&lt;31,Input!G$55/30*G467,IF(Input!G$55&lt;61,(Input!G$55-30)/30*G466+G467,IF(Input!G$55&lt;91,(Input!G$55-60)/30*G465+G466+G467,IF(Input!G$55&lt;121,(Input!G$55-90)/30*G464+G465+G466+G467,IF(Input!G$55&lt;151,(Input!G$55-120)/30*G463+G464+G465+G466+G467,(Input!G$55-150)/30*G462+G463+G464+G465+G466+G467))))))),0)</f>
        <v>0</v>
      </c>
      <c r="H1102" s="229">
        <f>IF(Years="Five",IF(H$338&gt;$D$33,0,IF(Input!H$55=0,0,IF(Input!H$55&lt;31,Input!H$55/30*H467,IF(Input!H$55&lt;61,(Input!H$55-30)/30*H466+H467,IF(Input!H$55&lt;91,(Input!H$55-60)/30*H465+H466+H467,IF(Input!H$55&lt;121,(Input!H$55-90)/30*H464+H465+H466+H467,IF(Input!H$55&lt;151,(Input!H$55-120)/30*H463+H464+H465+H466+H467,(Input!H$55-150)/30*H462+H463+H464+H465+H466+H467))))))),0)</f>
        <v>0</v>
      </c>
      <c r="I1102" s="229">
        <f>IF(Years="Five",IF(I$338&gt;$D$33,0,IF(Input!I$55=0,0,IF(Input!I$55&lt;31,Input!I$55/30*I467,IF(Input!I$55&lt;61,(Input!I$55-30)/30*I466+I467,IF(Input!I$55&lt;91,(Input!I$55-60)/30*I465+I466+I467,IF(Input!I$55&lt;121,(Input!I$55-90)/30*I464+I465+I466+I467,IF(Input!I$55&lt;151,(Input!I$55-120)/30*I463+I464+I465+I466+I467,(Input!I$55-150)/30*I462+I463+I464+I465+I466+I467))))))),0)</f>
        <v>0</v>
      </c>
      <c r="J1102" s="229">
        <f>IF(Years="Five",IF(J$338&gt;$D$33,0,IF(Input!J$55=0,0,IF(Input!J$55&lt;31,Input!J$55/30*J467,IF(Input!J$55&lt;61,(Input!J$55-30)/30*J466+J467,IF(Input!J$55&lt;91,(Input!J$55-60)/30*J465+J466+J467,IF(Input!J$55&lt;121,(Input!J$55-90)/30*J464+J465+J466+J467,IF(Input!J$55&lt;151,(Input!J$55-120)/30*J463+J464+J465+J466+J467,(Input!J$55-150)/30*J462+J463+J464+J465+J466+J467))))))),0)</f>
        <v>0</v>
      </c>
      <c r="K1102" s="229">
        <f>IF(Years="Five",IF(K$338&gt;$D$33,0,IF(Input!K$55=0,0,IF(Input!K$55&lt;31,Input!K$55/30*K467,IF(Input!K$55&lt;61,(Input!K$55-30)/30*K466+K467,IF(Input!K$55&lt;91,(Input!K$55-60)/30*K465+K466+K467,IF(Input!K$55&lt;121,(Input!K$55-90)/30*K464+K465+K466+K467,IF(Input!K$55&lt;151,(Input!K$55-120)/30*K463+K464+K465+K466+K467,(Input!K$55-150)/30*K462+K463+K464+K465+K466+K467))))))),0)</f>
        <v>0</v>
      </c>
      <c r="L1102" s="229">
        <f>IF(Years="Five",IF(L$338&gt;$D$33,0,IF(Input!L$55=0,0,IF(Input!L$55&lt;31,Input!L$55/30*L467,IF(Input!L$55&lt;61,(Input!L$55-30)/30*L466+L467,IF(Input!L$55&lt;91,(Input!L$55-60)/30*L465+L466+L467,IF(Input!L$55&lt;121,(Input!L$55-90)/30*L464+L465+L466+L467,IF(Input!L$55&lt;151,(Input!L$55-120)/30*L463+L464+L465+L466+L467,(Input!L$55-150)/30*L462+L463+L464+L465+L466+L467))))))),0)</f>
        <v>0</v>
      </c>
      <c r="M1102" s="229">
        <f>IF(Years="Five",IF(M$338&gt;$D$33,0,IF(Input!M$55=0,0,IF(Input!M$55&lt;31,Input!M$55/30*M467,IF(Input!M$55&lt;61,(Input!M$55-30)/30*M466+M467,IF(Input!M$55&lt;91,(Input!M$55-60)/30*M465+M466+M467,IF(Input!M$55&lt;121,(Input!M$55-90)/30*M464+M465+M466+M467,IF(Input!M$55&lt;151,(Input!M$55-120)/30*M463+M464+M465+M466+M467,(Input!M$55-150)/30*M462+M463+M464+M465+M466+M467))))))),0)</f>
        <v>0</v>
      </c>
      <c r="N1102" s="229">
        <f>IF(Years="Five",IF(N$338&gt;$D$33,0,IF(Input!N$55=0,0,IF(Input!N$55&lt;31,Input!N$55/30*N467,IF(Input!N$55&lt;61,(Input!N$55-30)/30*N466+N467,IF(Input!N$55&lt;91,(Input!N$55-60)/30*N465+N466+N467,IF(Input!N$55&lt;121,(Input!N$55-90)/30*N464+N465+N466+N467,IF(Input!N$55&lt;151,(Input!N$55-120)/30*N463+N464+N465+N466+N467,(Input!N$55-150)/30*N462+N463+N464+N465+N466+N467))))))),0)</f>
        <v>0</v>
      </c>
      <c r="O1102" s="229">
        <f>IF(Years="Five",IF(O$338&gt;$D$33,0,IF(Input!O$55=0,0,IF(Input!O$55&lt;31,Input!O$55/30*O467,IF(Input!O$55&lt;61,(Input!O$55-30)/30*O466+O467,IF(Input!O$55&lt;91,(Input!O$55-60)/30*O465+O466+O467,IF(Input!O$55&lt;121,(Input!O$55-90)/30*O464+O465+O466+O467,IF(Input!O$55&lt;151,(Input!O$55-120)/30*O463+O464+O465+O466+O467,(Input!O$55-150)/30*O462+O463+O464+O465+O466+O467))))))),0)</f>
        <v>0</v>
      </c>
      <c r="P1102" s="229">
        <f>IF(Years="Five",IF(P$338&gt;$D$33,0,IF(Input!P$55=0,0,IF(Input!P$55&lt;31,Input!P$55/30*P467,IF(Input!P$55&lt;61,(Input!P$55-30)/30*P466+P467,IF(Input!P$55&lt;91,(Input!P$55-60)/30*P465+P466+P467,IF(Input!P$55&lt;121,(Input!P$55-90)/30*P464+P465+P466+P467,IF(Input!P$55&lt;151,(Input!P$55-120)/30*P463+P464+P465+P466+P467,(Input!P$55-150)/30*P462+P463+P464+P465+P466+P467))))))),0)</f>
        <v>0</v>
      </c>
      <c r="Q1102" s="229">
        <f>IF(Years="Five",IF(Q$338&gt;$D$33,0,IF(Input!Q$55=0,0,IF(Input!Q$55&lt;31,Input!Q$55/30*Q467,IF(Input!Q$55&lt;61,(Input!Q$55-30)/30*Q466+Q467,IF(Input!Q$55&lt;91,(Input!Q$55-60)/30*Q465+Q466+Q467,IF(Input!Q$55&lt;121,(Input!Q$55-90)/30*Q464+Q465+Q466+Q467,IF(Input!Q$55&lt;151,(Input!Q$55-120)/30*Q463+Q464+Q465+Q466+Q467,(Input!Q$55-150)/30*Q462+Q463+Q464+Q465+Q466+Q467))))))),0)</f>
        <v>0</v>
      </c>
      <c r="R1102" s="229">
        <f>IF(Years="Five",IF(R$338&gt;$D$33,0,IF(Input!R$55=0,0,IF(Input!R$55&lt;31,Input!R$55/30*R467,IF(Input!R$55&lt;61,(Input!R$55-30)/30*R466+R467,IF(Input!R$55&lt;91,(Input!R$55-60)/30*R465+R466+R467,IF(Input!R$55&lt;121,(Input!R$55-90)/30*R464+R465+R466+R467,IF(Input!R$55&lt;151,(Input!R$55-120)/30*R463+R464+R465+R466+R467,(Input!R$55-150)/30*R462+R463+R464+R465+R466+R467))))))),0)</f>
        <v>0</v>
      </c>
      <c r="S1102" s="229">
        <f>IF(Years="Five",IF(S$338&gt;$D$33,0,IF(Input!S$55=0,0,IF(Input!S$55&lt;31,Input!S$55/30*S467,IF(Input!S$55&lt;61,(Input!S$55-30)/30*S466+S467,IF(Input!S$55&lt;91,(Input!S$55-60)/30*S465+S466+S467,IF(Input!S$55&lt;121,(Input!S$55-90)/30*S464+S465+S466+S467,IF(Input!S$55&lt;151,(Input!S$55-120)/30*S463+S464+S465+S466+S467,(Input!S$55-150)/30*S462+S463+S464+S465+S466+S467))))))),0)</f>
        <v>0</v>
      </c>
      <c r="T1102" s="229">
        <f>IF(Years="Five",IF(T$338&gt;$D$33,0,IF(Input!T$55=0,0,IF(Input!T$55&lt;31,Input!T$55/30*T467,IF(Input!T$55&lt;61,(Input!T$55-30)/30*T466+T467,IF(Input!T$55&lt;91,(Input!T$55-60)/30*T465+T466+T467,IF(Input!T$55&lt;121,(Input!T$55-90)/30*T464+T465+T466+T467,IF(Input!T$55&lt;151,(Input!T$55-120)/30*T463+T464+T465+T466+T467,(Input!T$55-150)/30*T462+T463+T464+T465+T466+T467))))))),0)</f>
        <v>0</v>
      </c>
      <c r="U1102" s="229">
        <f>IF(Years="Five",IF(U$338&gt;$D$33,0,IF(Input!U$55=0,0,IF(Input!U$55&lt;31,Input!U$55/30*U467,IF(Input!U$55&lt;61,(Input!U$55-30)/30*U466+U467,IF(Input!U$55&lt;91,(Input!U$55-60)/30*U465+U466+U467,IF(Input!U$55&lt;121,(Input!U$55-90)/30*U464+U465+U466+U467,IF(Input!U$55&lt;151,(Input!U$55-120)/30*U463+U464+U465+U466+U467,(Input!U$55-150)/30*U462+U463+U464+U465+U466+U467))))))),0)</f>
        <v>0</v>
      </c>
      <c r="V1102" s="229">
        <f>IF(Years="Five",IF(V$338&gt;$D$33,0,IF(Input!V$55=0,0,IF(Input!V$55&lt;31,Input!V$55/30*V467,IF(Input!V$55&lt;61,(Input!V$55-30)/30*V466+V467,IF(Input!V$55&lt;91,(Input!V$55-60)/30*V465+V466+V467,IF(Input!V$55&lt;121,(Input!V$55-90)/30*V464+V465+V466+V467,IF(Input!V$55&lt;151,(Input!V$55-120)/30*V463+V464+V465+V466+V467,(Input!V$55-150)/30*V462+V463+V464+V465+V466+V467))))))),0)</f>
        <v>0</v>
      </c>
      <c r="W1102" s="229">
        <f>IF(Years="Five",IF(W$338&gt;$D$33,0,IF(Input!W$55=0,0,IF(Input!W$55&lt;31,Input!W$55/30*W467,IF(Input!W$55&lt;61,(Input!W$55-30)/30*W466+W467,IF(Input!W$55&lt;91,(Input!W$55-60)/30*W465+W466+W467,IF(Input!W$55&lt;121,(Input!W$55-90)/30*W464+W465+W466+W467,IF(Input!W$55&lt;151,(Input!W$55-120)/30*W463+W464+W465+W466+W467,(Input!W$55-150)/30*W462+W463+W464+W465+W466+W467))))))),0)</f>
        <v>0</v>
      </c>
      <c r="X1102" s="229">
        <f>IF(Years="Five",IF(X$338&gt;$D$33,0,IF(Input!X$55=0,0,IF(Input!X$55&lt;31,Input!X$55/30*X467,IF(Input!X$55&lt;61,(Input!X$55-30)/30*X466+X467,IF(Input!X$55&lt;91,(Input!X$55-60)/30*X465+X466+X467,IF(Input!X$55&lt;121,(Input!X$55-90)/30*X464+X465+X466+X467,IF(Input!X$55&lt;151,(Input!X$55-120)/30*X463+X464+X465+X466+X467,(Input!X$55-150)/30*X462+X463+X464+X465+X466+X467))))))),0)</f>
        <v>0</v>
      </c>
      <c r="Y1102" s="229">
        <f>IF(Years="Five",IF(Y$338&gt;$D$33,0,IF(Input!Y$55=0,0,IF(Input!Y$55&lt;31,Input!Y$55/30*Y467,IF(Input!Y$55&lt;61,(Input!Y$55-30)/30*Y466+Y467,IF(Input!Y$55&lt;91,(Input!Y$55-60)/30*Y465+Y466+Y467,IF(Input!Y$55&lt;121,(Input!Y$55-90)/30*Y464+Y465+Y466+Y467,IF(Input!Y$55&lt;151,(Input!Y$55-120)/30*Y463+Y464+Y465+Y466+Y467,(Input!Y$55-150)/30*Y462+Y463+Y464+Y465+Y466+Y467))))))),0)</f>
        <v>0</v>
      </c>
      <c r="Z1102" s="229">
        <f>IF(Years="Five",IF(Z$338&gt;$D$33,0,IF(Input!Z$55=0,0,IF(Input!Z$55&lt;31,Input!Z$55/30*Z467,IF(Input!Z$55&lt;61,(Input!Z$55-30)/30*Z466+Z467,IF(Input!Z$55&lt;91,(Input!Z$55-60)/30*Z465+Z466+Z467,IF(Input!Z$55&lt;121,(Input!Z$55-90)/30*Z464+Z465+Z466+Z467,IF(Input!Z$55&lt;151,(Input!Z$55-120)/30*Z463+Z464+Z465+Z466+Z467,(Input!Z$55-150)/30*Z462+Z463+Z464+Z465+Z466+Z467))))))),0)</f>
        <v>0</v>
      </c>
      <c r="AA1102" s="229">
        <f>IF(Years="Five",IF(AA$338&gt;$D$33,0,IF(Input!AA$55=0,0,IF(Input!AA$55&lt;31,Input!AA$55/30*AA467,IF(Input!AA$55&lt;61,(Input!AA$55-30)/30*AA466+AA467,IF(Input!AA$55&lt;91,(Input!AA$55-60)/30*AA465+AA466+AA467,IF(Input!AA$55&lt;121,(Input!AA$55-90)/30*AA464+AA465+AA466+AA467,IF(Input!AA$55&lt;151,(Input!AA$55-120)/30*AA463+AA464+AA465+AA466+AA467,(Input!AA$55-150)/30*AA462+AA463+AA464+AA465+AA466+AA467))))))),0)</f>
        <v>0</v>
      </c>
      <c r="AB1102" s="298">
        <f>IF(Years="Five",IF(AB$338&gt;$D$33,0,IF(Input!AB$55=0,0,IF(Input!AB$55&lt;31,Input!AB$55/30*AB467,IF(Input!AB$55&lt;61,(Input!AB$55-30)/30*AB466+AB467,IF(Input!AB$55&lt;91,(Input!AB$55-60)/30*AB465+AB466+AB467,IF(Input!AB$55&lt;121,(Input!AB$55-90)/30*AB464+AB465+AB466+AB467,IF(Input!AB$55&lt;151,(Input!AB$55-120)/30*AB463+AB464+AB465+AB466+AB467,(Input!AB$55-150)/30*AB462+AB463+AB464+AB465+AB466+AB467))))))),0)</f>
        <v>0</v>
      </c>
      <c r="CH1102" s="269"/>
      <c r="CI1102" s="269"/>
      <c r="CJ1102" s="269"/>
      <c r="CK1102" s="269"/>
      <c r="CL1102" s="269"/>
      <c r="CM1102" s="269"/>
      <c r="CN1102" s="269"/>
      <c r="CO1102" s="269"/>
      <c r="CP1102" s="269"/>
      <c r="CQ1102" s="269"/>
      <c r="CR1102" s="269"/>
      <c r="CS1102" s="269"/>
    </row>
    <row r="1103" spans="3:97" x14ac:dyDescent="0.3">
      <c r="C1103" s="638">
        <f>C1040</f>
        <v>1796</v>
      </c>
      <c r="D1103" s="297">
        <f>IF(Years="Five",IF(D$338&gt;$D$33,0,IF(Input!D$55=0,0,IF(Input!D$55&lt;31,Input!D$55/30*D468,IF(Input!D$55&lt;61,(Input!D$55-30)/30*D467+D468,IF(Input!D$55&lt;91,(Input!D$55-60)/30*D466+D467+D468,IF(Input!D$55&lt;121,(Input!D$55-90)/30*D465+D466+D467+D468,IF(Input!D$55&lt;151,(Input!D$55-120)/30*D464+D465+D466+D467+D468,(Input!D$55-150)/30*D463+D464+D465+D466+D467+D468))))))),0)</f>
        <v>0</v>
      </c>
      <c r="E1103" s="229">
        <f>IF(Years="Five",IF(E$338&gt;$D$33,0,IF(Input!E$55=0,0,IF(Input!E$55&lt;31,Input!E$55/30*E468,IF(Input!E$55&lt;61,(Input!E$55-30)/30*E467+E468,IF(Input!E$55&lt;91,(Input!E$55-60)/30*E466+E467+E468,IF(Input!E$55&lt;121,(Input!E$55-90)/30*E465+E466+E467+E468,IF(Input!E$55&lt;151,(Input!E$55-120)/30*E464+E465+E466+E467+E468,(Input!E$55-150)/30*E463+E464+E465+E466+E467+E468))))))),0)</f>
        <v>0</v>
      </c>
      <c r="F1103" s="229">
        <f>IF(Years="Five",IF(F$338&gt;$D$33,0,IF(Input!F$55=0,0,IF(Input!F$55&lt;31,Input!F$55/30*F468,IF(Input!F$55&lt;61,(Input!F$55-30)/30*F467+F468,IF(Input!F$55&lt;91,(Input!F$55-60)/30*F466+F467+F468,IF(Input!F$55&lt;121,(Input!F$55-90)/30*F465+F466+F467+F468,IF(Input!F$55&lt;151,(Input!F$55-120)/30*F464+F465+F466+F467+F468,(Input!F$55-150)/30*F463+F464+F465+F466+F467+F468))))))),0)</f>
        <v>0</v>
      </c>
      <c r="G1103" s="229">
        <f>IF(Years="Five",IF(G$338&gt;$D$33,0,IF(Input!G$55=0,0,IF(Input!G$55&lt;31,Input!G$55/30*G468,IF(Input!G$55&lt;61,(Input!G$55-30)/30*G467+G468,IF(Input!G$55&lt;91,(Input!G$55-60)/30*G466+G467+G468,IF(Input!G$55&lt;121,(Input!G$55-90)/30*G465+G466+G467+G468,IF(Input!G$55&lt;151,(Input!G$55-120)/30*G464+G465+G466+G467+G468,(Input!G$55-150)/30*G463+G464+G465+G466+G467+G468))))))),0)</f>
        <v>0</v>
      </c>
      <c r="H1103" s="229">
        <f>IF(Years="Five",IF(H$338&gt;$D$33,0,IF(Input!H$55=0,0,IF(Input!H$55&lt;31,Input!H$55/30*H468,IF(Input!H$55&lt;61,(Input!H$55-30)/30*H467+H468,IF(Input!H$55&lt;91,(Input!H$55-60)/30*H466+H467+H468,IF(Input!H$55&lt;121,(Input!H$55-90)/30*H465+H466+H467+H468,IF(Input!H$55&lt;151,(Input!H$55-120)/30*H464+H465+H466+H467+H468,(Input!H$55-150)/30*H463+H464+H465+H466+H467+H468))))))),0)</f>
        <v>0</v>
      </c>
      <c r="I1103" s="229">
        <f>IF(Years="Five",IF(I$338&gt;$D$33,0,IF(Input!I$55=0,0,IF(Input!I$55&lt;31,Input!I$55/30*I468,IF(Input!I$55&lt;61,(Input!I$55-30)/30*I467+I468,IF(Input!I$55&lt;91,(Input!I$55-60)/30*I466+I467+I468,IF(Input!I$55&lt;121,(Input!I$55-90)/30*I465+I466+I467+I468,IF(Input!I$55&lt;151,(Input!I$55-120)/30*I464+I465+I466+I467+I468,(Input!I$55-150)/30*I463+I464+I465+I466+I467+I468))))))),0)</f>
        <v>0</v>
      </c>
      <c r="J1103" s="229">
        <f>IF(Years="Five",IF(J$338&gt;$D$33,0,IF(Input!J$55=0,0,IF(Input!J$55&lt;31,Input!J$55/30*J468,IF(Input!J$55&lt;61,(Input!J$55-30)/30*J467+J468,IF(Input!J$55&lt;91,(Input!J$55-60)/30*J466+J467+J468,IF(Input!J$55&lt;121,(Input!J$55-90)/30*J465+J466+J467+J468,IF(Input!J$55&lt;151,(Input!J$55-120)/30*J464+J465+J466+J467+J468,(Input!J$55-150)/30*J463+J464+J465+J466+J467+J468))))))),0)</f>
        <v>0</v>
      </c>
      <c r="K1103" s="229">
        <f>IF(Years="Five",IF(K$338&gt;$D$33,0,IF(Input!K$55=0,0,IF(Input!K$55&lt;31,Input!K$55/30*K468,IF(Input!K$55&lt;61,(Input!K$55-30)/30*K467+K468,IF(Input!K$55&lt;91,(Input!K$55-60)/30*K466+K467+K468,IF(Input!K$55&lt;121,(Input!K$55-90)/30*K465+K466+K467+K468,IF(Input!K$55&lt;151,(Input!K$55-120)/30*K464+K465+K466+K467+K468,(Input!K$55-150)/30*K463+K464+K465+K466+K467+K468))))))),0)</f>
        <v>0</v>
      </c>
      <c r="L1103" s="229">
        <f>IF(Years="Five",IF(L$338&gt;$D$33,0,IF(Input!L$55=0,0,IF(Input!L$55&lt;31,Input!L$55/30*L468,IF(Input!L$55&lt;61,(Input!L$55-30)/30*L467+L468,IF(Input!L$55&lt;91,(Input!L$55-60)/30*L466+L467+L468,IF(Input!L$55&lt;121,(Input!L$55-90)/30*L465+L466+L467+L468,IF(Input!L$55&lt;151,(Input!L$55-120)/30*L464+L465+L466+L467+L468,(Input!L$55-150)/30*L463+L464+L465+L466+L467+L468))))))),0)</f>
        <v>0</v>
      </c>
      <c r="M1103" s="229">
        <f>IF(Years="Five",IF(M$338&gt;$D$33,0,IF(Input!M$55=0,0,IF(Input!M$55&lt;31,Input!M$55/30*M468,IF(Input!M$55&lt;61,(Input!M$55-30)/30*M467+M468,IF(Input!M$55&lt;91,(Input!M$55-60)/30*M466+M467+M468,IF(Input!M$55&lt;121,(Input!M$55-90)/30*M465+M466+M467+M468,IF(Input!M$55&lt;151,(Input!M$55-120)/30*M464+M465+M466+M467+M468,(Input!M$55-150)/30*M463+M464+M465+M466+M467+M468))))))),0)</f>
        <v>0</v>
      </c>
      <c r="N1103" s="229">
        <f>IF(Years="Five",IF(N$338&gt;$D$33,0,IF(Input!N$55=0,0,IF(Input!N$55&lt;31,Input!N$55/30*N468,IF(Input!N$55&lt;61,(Input!N$55-30)/30*N467+N468,IF(Input!N$55&lt;91,(Input!N$55-60)/30*N466+N467+N468,IF(Input!N$55&lt;121,(Input!N$55-90)/30*N465+N466+N467+N468,IF(Input!N$55&lt;151,(Input!N$55-120)/30*N464+N465+N466+N467+N468,(Input!N$55-150)/30*N463+N464+N465+N466+N467+N468))))))),0)</f>
        <v>0</v>
      </c>
      <c r="O1103" s="229">
        <f>IF(Years="Five",IF(O$338&gt;$D$33,0,IF(Input!O$55=0,0,IF(Input!O$55&lt;31,Input!O$55/30*O468,IF(Input!O$55&lt;61,(Input!O$55-30)/30*O467+O468,IF(Input!O$55&lt;91,(Input!O$55-60)/30*O466+O467+O468,IF(Input!O$55&lt;121,(Input!O$55-90)/30*O465+O466+O467+O468,IF(Input!O$55&lt;151,(Input!O$55-120)/30*O464+O465+O466+O467+O468,(Input!O$55-150)/30*O463+O464+O465+O466+O467+O468))))))),0)</f>
        <v>0</v>
      </c>
      <c r="P1103" s="229">
        <f>IF(Years="Five",IF(P$338&gt;$D$33,0,IF(Input!P$55=0,0,IF(Input!P$55&lt;31,Input!P$55/30*P468,IF(Input!P$55&lt;61,(Input!P$55-30)/30*P467+P468,IF(Input!P$55&lt;91,(Input!P$55-60)/30*P466+P467+P468,IF(Input!P$55&lt;121,(Input!P$55-90)/30*P465+P466+P467+P468,IF(Input!P$55&lt;151,(Input!P$55-120)/30*P464+P465+P466+P467+P468,(Input!P$55-150)/30*P463+P464+P465+P466+P467+P468))))))),0)</f>
        <v>0</v>
      </c>
      <c r="Q1103" s="229">
        <f>IF(Years="Five",IF(Q$338&gt;$D$33,0,IF(Input!Q$55=0,0,IF(Input!Q$55&lt;31,Input!Q$55/30*Q468,IF(Input!Q$55&lt;61,(Input!Q$55-30)/30*Q467+Q468,IF(Input!Q$55&lt;91,(Input!Q$55-60)/30*Q466+Q467+Q468,IF(Input!Q$55&lt;121,(Input!Q$55-90)/30*Q465+Q466+Q467+Q468,IF(Input!Q$55&lt;151,(Input!Q$55-120)/30*Q464+Q465+Q466+Q467+Q468,(Input!Q$55-150)/30*Q463+Q464+Q465+Q466+Q467+Q468))))))),0)</f>
        <v>0</v>
      </c>
      <c r="R1103" s="229">
        <f>IF(Years="Five",IF(R$338&gt;$D$33,0,IF(Input!R$55=0,0,IF(Input!R$55&lt;31,Input!R$55/30*R468,IF(Input!R$55&lt;61,(Input!R$55-30)/30*R467+R468,IF(Input!R$55&lt;91,(Input!R$55-60)/30*R466+R467+R468,IF(Input!R$55&lt;121,(Input!R$55-90)/30*R465+R466+R467+R468,IF(Input!R$55&lt;151,(Input!R$55-120)/30*R464+R465+R466+R467+R468,(Input!R$55-150)/30*R463+R464+R465+R466+R467+R468))))))),0)</f>
        <v>0</v>
      </c>
      <c r="S1103" s="229">
        <f>IF(Years="Five",IF(S$338&gt;$D$33,0,IF(Input!S$55=0,0,IF(Input!S$55&lt;31,Input!S$55/30*S468,IF(Input!S$55&lt;61,(Input!S$55-30)/30*S467+S468,IF(Input!S$55&lt;91,(Input!S$55-60)/30*S466+S467+S468,IF(Input!S$55&lt;121,(Input!S$55-90)/30*S465+S466+S467+S468,IF(Input!S$55&lt;151,(Input!S$55-120)/30*S464+S465+S466+S467+S468,(Input!S$55-150)/30*S463+S464+S465+S466+S467+S468))))))),0)</f>
        <v>0</v>
      </c>
      <c r="T1103" s="229">
        <f>IF(Years="Five",IF(T$338&gt;$D$33,0,IF(Input!T$55=0,0,IF(Input!T$55&lt;31,Input!T$55/30*T468,IF(Input!T$55&lt;61,(Input!T$55-30)/30*T467+T468,IF(Input!T$55&lt;91,(Input!T$55-60)/30*T466+T467+T468,IF(Input!T$55&lt;121,(Input!T$55-90)/30*T465+T466+T467+T468,IF(Input!T$55&lt;151,(Input!T$55-120)/30*T464+T465+T466+T467+T468,(Input!T$55-150)/30*T463+T464+T465+T466+T467+T468))))))),0)</f>
        <v>0</v>
      </c>
      <c r="U1103" s="229">
        <f>IF(Years="Five",IF(U$338&gt;$D$33,0,IF(Input!U$55=0,0,IF(Input!U$55&lt;31,Input!U$55/30*U468,IF(Input!U$55&lt;61,(Input!U$55-30)/30*U467+U468,IF(Input!U$55&lt;91,(Input!U$55-60)/30*U466+U467+U468,IF(Input!U$55&lt;121,(Input!U$55-90)/30*U465+U466+U467+U468,IF(Input!U$55&lt;151,(Input!U$55-120)/30*U464+U465+U466+U467+U468,(Input!U$55-150)/30*U463+U464+U465+U466+U467+U468))))))),0)</f>
        <v>0</v>
      </c>
      <c r="V1103" s="229">
        <f>IF(Years="Five",IF(V$338&gt;$D$33,0,IF(Input!V$55=0,0,IF(Input!V$55&lt;31,Input!V$55/30*V468,IF(Input!V$55&lt;61,(Input!V$55-30)/30*V467+V468,IF(Input!V$55&lt;91,(Input!V$55-60)/30*V466+V467+V468,IF(Input!V$55&lt;121,(Input!V$55-90)/30*V465+V466+V467+V468,IF(Input!V$55&lt;151,(Input!V$55-120)/30*V464+V465+V466+V467+V468,(Input!V$55-150)/30*V463+V464+V465+V466+V467+V468))))))),0)</f>
        <v>0</v>
      </c>
      <c r="W1103" s="229">
        <f>IF(Years="Five",IF(W$338&gt;$D$33,0,IF(Input!W$55=0,0,IF(Input!W$55&lt;31,Input!W$55/30*W468,IF(Input!W$55&lt;61,(Input!W$55-30)/30*W467+W468,IF(Input!W$55&lt;91,(Input!W$55-60)/30*W466+W467+W468,IF(Input!W$55&lt;121,(Input!W$55-90)/30*W465+W466+W467+W468,IF(Input!W$55&lt;151,(Input!W$55-120)/30*W464+W465+W466+W467+W468,(Input!W$55-150)/30*W463+W464+W465+W466+W467+W468))))))),0)</f>
        <v>0</v>
      </c>
      <c r="X1103" s="229">
        <f>IF(Years="Five",IF(X$338&gt;$D$33,0,IF(Input!X$55=0,0,IF(Input!X$55&lt;31,Input!X$55/30*X468,IF(Input!X$55&lt;61,(Input!X$55-30)/30*X467+X468,IF(Input!X$55&lt;91,(Input!X$55-60)/30*X466+X467+X468,IF(Input!X$55&lt;121,(Input!X$55-90)/30*X465+X466+X467+X468,IF(Input!X$55&lt;151,(Input!X$55-120)/30*X464+X465+X466+X467+X468,(Input!X$55-150)/30*X463+X464+X465+X466+X467+X468))))))),0)</f>
        <v>0</v>
      </c>
      <c r="Y1103" s="229">
        <f>IF(Years="Five",IF(Y$338&gt;$D$33,0,IF(Input!Y$55=0,0,IF(Input!Y$55&lt;31,Input!Y$55/30*Y468,IF(Input!Y$55&lt;61,(Input!Y$55-30)/30*Y467+Y468,IF(Input!Y$55&lt;91,(Input!Y$55-60)/30*Y466+Y467+Y468,IF(Input!Y$55&lt;121,(Input!Y$55-90)/30*Y465+Y466+Y467+Y468,IF(Input!Y$55&lt;151,(Input!Y$55-120)/30*Y464+Y465+Y466+Y467+Y468,(Input!Y$55-150)/30*Y463+Y464+Y465+Y466+Y467+Y468))))))),0)</f>
        <v>0</v>
      </c>
      <c r="Z1103" s="229">
        <f>IF(Years="Five",IF(Z$338&gt;$D$33,0,IF(Input!Z$55=0,0,IF(Input!Z$55&lt;31,Input!Z$55/30*Z468,IF(Input!Z$55&lt;61,(Input!Z$55-30)/30*Z467+Z468,IF(Input!Z$55&lt;91,(Input!Z$55-60)/30*Z466+Z467+Z468,IF(Input!Z$55&lt;121,(Input!Z$55-90)/30*Z465+Z466+Z467+Z468,IF(Input!Z$55&lt;151,(Input!Z$55-120)/30*Z464+Z465+Z466+Z467+Z468,(Input!Z$55-150)/30*Z463+Z464+Z465+Z466+Z467+Z468))))))),0)</f>
        <v>0</v>
      </c>
      <c r="AA1103" s="229">
        <f>IF(Years="Five",IF(AA$338&gt;$D$33,0,IF(Input!AA$55=0,0,IF(Input!AA$55&lt;31,Input!AA$55/30*AA468,IF(Input!AA$55&lt;61,(Input!AA$55-30)/30*AA467+AA468,IF(Input!AA$55&lt;91,(Input!AA$55-60)/30*AA466+AA467+AA468,IF(Input!AA$55&lt;121,(Input!AA$55-90)/30*AA465+AA466+AA467+AA468,IF(Input!AA$55&lt;151,(Input!AA$55-120)/30*AA464+AA465+AA466+AA467+AA468,(Input!AA$55-150)/30*AA463+AA464+AA465+AA466+AA467+AA468))))))),0)</f>
        <v>0</v>
      </c>
      <c r="AB1103" s="298">
        <f>IF(Years="Five",IF(AB$338&gt;$D$33,0,IF(Input!AB$55=0,0,IF(Input!AB$55&lt;31,Input!AB$55/30*AB468,IF(Input!AB$55&lt;61,(Input!AB$55-30)/30*AB467+AB468,IF(Input!AB$55&lt;91,(Input!AB$55-60)/30*AB466+AB467+AB468,IF(Input!AB$55&lt;121,(Input!AB$55-90)/30*AB465+AB466+AB467+AB468,IF(Input!AB$55&lt;151,(Input!AB$55-120)/30*AB464+AB465+AB466+AB467+AB468,(Input!AB$55-150)/30*AB463+AB464+AB465+AB466+AB467+AB468))))))),0)</f>
        <v>0</v>
      </c>
      <c r="CH1103" s="269"/>
      <c r="CI1103" s="269"/>
      <c r="CJ1103" s="269"/>
      <c r="CK1103" s="269"/>
      <c r="CL1103" s="269"/>
      <c r="CM1103" s="269"/>
      <c r="CN1103" s="269"/>
      <c r="CO1103" s="269"/>
      <c r="CP1103" s="269"/>
      <c r="CQ1103" s="269"/>
      <c r="CR1103" s="269"/>
      <c r="CS1103" s="269"/>
    </row>
    <row r="1104" spans="3:97" ht="12.5" thickBot="1" x14ac:dyDescent="0.35">
      <c r="C1104" s="638">
        <f>C1041</f>
        <v>1827</v>
      </c>
      <c r="D1104" s="301">
        <f>IF(Years="Five",IF(D$338&gt;$D$33,0,IF(Input!D$55=0,0,IF(Input!D$55&lt;31,Input!D$55/30*D469,IF(Input!D$55&lt;61,(Input!D$55-30)/30*D468+D469,IF(Input!D$55&lt;91,(Input!D$55-60)/30*D467+D468+D469,IF(Input!D$55&lt;121,(Input!D$55-90)/30*D466+D467+D468+D469,IF(Input!D$55&lt;151,(Input!D$55-120)/30*D465+D466+D467+D468+D469,(Input!D$55-150)/30*D464+D465+D466+D467+D468+D469))))))),0)</f>
        <v>0</v>
      </c>
      <c r="E1104" s="302">
        <f>IF(Years="Five",IF(E$338&gt;$D$33,0,IF(Input!E$55=0,0,IF(Input!E$55&lt;31,Input!E$55/30*E469,IF(Input!E$55&lt;61,(Input!E$55-30)/30*E468+E469,IF(Input!E$55&lt;91,(Input!E$55-60)/30*E467+E468+E469,IF(Input!E$55&lt;121,(Input!E$55-90)/30*E466+E467+E468+E469,IF(Input!E$55&lt;151,(Input!E$55-120)/30*E465+E466+E467+E468+E469,(Input!E$55-150)/30*E464+E465+E466+E467+E468+E469))))))),0)</f>
        <v>0</v>
      </c>
      <c r="F1104" s="302">
        <f>IF(Years="Five",IF(F$338&gt;$D$33,0,IF(Input!F$55=0,0,IF(Input!F$55&lt;31,Input!F$55/30*F469,IF(Input!F$55&lt;61,(Input!F$55-30)/30*F468+F469,IF(Input!F$55&lt;91,(Input!F$55-60)/30*F467+F468+F469,IF(Input!F$55&lt;121,(Input!F$55-90)/30*F466+F467+F468+F469,IF(Input!F$55&lt;151,(Input!F$55-120)/30*F465+F466+F467+F468+F469,(Input!F$55-150)/30*F464+F465+F466+F467+F468+F469))))))),0)</f>
        <v>0</v>
      </c>
      <c r="G1104" s="302">
        <f>IF(Years="Five",IF(G$338&gt;$D$33,0,IF(Input!G$55=0,0,IF(Input!G$55&lt;31,Input!G$55/30*G469,IF(Input!G$55&lt;61,(Input!G$55-30)/30*G468+G469,IF(Input!G$55&lt;91,(Input!G$55-60)/30*G467+G468+G469,IF(Input!G$55&lt;121,(Input!G$55-90)/30*G466+G467+G468+G469,IF(Input!G$55&lt;151,(Input!G$55-120)/30*G465+G466+G467+G468+G469,(Input!G$55-150)/30*G464+G465+G466+G467+G468+G469))))))),0)</f>
        <v>0</v>
      </c>
      <c r="H1104" s="302">
        <f>IF(Years="Five",IF(H$338&gt;$D$33,0,IF(Input!H$55=0,0,IF(Input!H$55&lt;31,Input!H$55/30*H469,IF(Input!H$55&lt;61,(Input!H$55-30)/30*H468+H469,IF(Input!H$55&lt;91,(Input!H$55-60)/30*H467+H468+H469,IF(Input!H$55&lt;121,(Input!H$55-90)/30*H466+H467+H468+H469,IF(Input!H$55&lt;151,(Input!H$55-120)/30*H465+H466+H467+H468+H469,(Input!H$55-150)/30*H464+H465+H466+H467+H468+H469))))))),0)</f>
        <v>0</v>
      </c>
      <c r="I1104" s="302">
        <f>IF(Years="Five",IF(I$338&gt;$D$33,0,IF(Input!I$55=0,0,IF(Input!I$55&lt;31,Input!I$55/30*I469,IF(Input!I$55&lt;61,(Input!I$55-30)/30*I468+I469,IF(Input!I$55&lt;91,(Input!I$55-60)/30*I467+I468+I469,IF(Input!I$55&lt;121,(Input!I$55-90)/30*I466+I467+I468+I469,IF(Input!I$55&lt;151,(Input!I$55-120)/30*I465+I466+I467+I468+I469,(Input!I$55-150)/30*I464+I465+I466+I467+I468+I469))))))),0)</f>
        <v>0</v>
      </c>
      <c r="J1104" s="302">
        <f>IF(Years="Five",IF(J$338&gt;$D$33,0,IF(Input!J$55=0,0,IF(Input!J$55&lt;31,Input!J$55/30*J469,IF(Input!J$55&lt;61,(Input!J$55-30)/30*J468+J469,IF(Input!J$55&lt;91,(Input!J$55-60)/30*J467+J468+J469,IF(Input!J$55&lt;121,(Input!J$55-90)/30*J466+J467+J468+J469,IF(Input!J$55&lt;151,(Input!J$55-120)/30*J465+J466+J467+J468+J469,(Input!J$55-150)/30*J464+J465+J466+J467+J468+J469))))))),0)</f>
        <v>0</v>
      </c>
      <c r="K1104" s="302">
        <f>IF(Years="Five",IF(K$338&gt;$D$33,0,IF(Input!K$55=0,0,IF(Input!K$55&lt;31,Input!K$55/30*K469,IF(Input!K$55&lt;61,(Input!K$55-30)/30*K468+K469,IF(Input!K$55&lt;91,(Input!K$55-60)/30*K467+K468+K469,IF(Input!K$55&lt;121,(Input!K$55-90)/30*K466+K467+K468+K469,IF(Input!K$55&lt;151,(Input!K$55-120)/30*K465+K466+K467+K468+K469,(Input!K$55-150)/30*K464+K465+K466+K467+K468+K469))))))),0)</f>
        <v>0</v>
      </c>
      <c r="L1104" s="302">
        <f>IF(Years="Five",IF(L$338&gt;$D$33,0,IF(Input!L$55=0,0,IF(Input!L$55&lt;31,Input!L$55/30*L469,IF(Input!L$55&lt;61,(Input!L$55-30)/30*L468+L469,IF(Input!L$55&lt;91,(Input!L$55-60)/30*L467+L468+L469,IF(Input!L$55&lt;121,(Input!L$55-90)/30*L466+L467+L468+L469,IF(Input!L$55&lt;151,(Input!L$55-120)/30*L465+L466+L467+L468+L469,(Input!L$55-150)/30*L464+L465+L466+L467+L468+L469))))))),0)</f>
        <v>0</v>
      </c>
      <c r="M1104" s="302">
        <f>IF(Years="Five",IF(M$338&gt;$D$33,0,IF(Input!M$55=0,0,IF(Input!M$55&lt;31,Input!M$55/30*M469,IF(Input!M$55&lt;61,(Input!M$55-30)/30*M468+M469,IF(Input!M$55&lt;91,(Input!M$55-60)/30*M467+M468+M469,IF(Input!M$55&lt;121,(Input!M$55-90)/30*M466+M467+M468+M469,IF(Input!M$55&lt;151,(Input!M$55-120)/30*M465+M466+M467+M468+M469,(Input!M$55-150)/30*M464+M465+M466+M467+M468+M469))))))),0)</f>
        <v>0</v>
      </c>
      <c r="N1104" s="302">
        <f>IF(Years="Five",IF(N$338&gt;$D$33,0,IF(Input!N$55=0,0,IF(Input!N$55&lt;31,Input!N$55/30*N469,IF(Input!N$55&lt;61,(Input!N$55-30)/30*N468+N469,IF(Input!N$55&lt;91,(Input!N$55-60)/30*N467+N468+N469,IF(Input!N$55&lt;121,(Input!N$55-90)/30*N466+N467+N468+N469,IF(Input!N$55&lt;151,(Input!N$55-120)/30*N465+N466+N467+N468+N469,(Input!N$55-150)/30*N464+N465+N466+N467+N468+N469))))))),0)</f>
        <v>0</v>
      </c>
      <c r="O1104" s="302">
        <f>IF(Years="Five",IF(O$338&gt;$D$33,0,IF(Input!O$55=0,0,IF(Input!O$55&lt;31,Input!O$55/30*O469,IF(Input!O$55&lt;61,(Input!O$55-30)/30*O468+O469,IF(Input!O$55&lt;91,(Input!O$55-60)/30*O467+O468+O469,IF(Input!O$55&lt;121,(Input!O$55-90)/30*O466+O467+O468+O469,IF(Input!O$55&lt;151,(Input!O$55-120)/30*O465+O466+O467+O468+O469,(Input!O$55-150)/30*O464+O465+O466+O467+O468+O469))))))),0)</f>
        <v>0</v>
      </c>
      <c r="P1104" s="302">
        <f>IF(Years="Five",IF(P$338&gt;$D$33,0,IF(Input!P$55=0,0,IF(Input!P$55&lt;31,Input!P$55/30*P469,IF(Input!P$55&lt;61,(Input!P$55-30)/30*P468+P469,IF(Input!P$55&lt;91,(Input!P$55-60)/30*P467+P468+P469,IF(Input!P$55&lt;121,(Input!P$55-90)/30*P466+P467+P468+P469,IF(Input!P$55&lt;151,(Input!P$55-120)/30*P465+P466+P467+P468+P469,(Input!P$55-150)/30*P464+P465+P466+P467+P468+P469))))))),0)</f>
        <v>0</v>
      </c>
      <c r="Q1104" s="302">
        <f>IF(Years="Five",IF(Q$338&gt;$D$33,0,IF(Input!Q$55=0,0,IF(Input!Q$55&lt;31,Input!Q$55/30*Q469,IF(Input!Q$55&lt;61,(Input!Q$55-30)/30*Q468+Q469,IF(Input!Q$55&lt;91,(Input!Q$55-60)/30*Q467+Q468+Q469,IF(Input!Q$55&lt;121,(Input!Q$55-90)/30*Q466+Q467+Q468+Q469,IF(Input!Q$55&lt;151,(Input!Q$55-120)/30*Q465+Q466+Q467+Q468+Q469,(Input!Q$55-150)/30*Q464+Q465+Q466+Q467+Q468+Q469))))))),0)</f>
        <v>0</v>
      </c>
      <c r="R1104" s="302">
        <f>IF(Years="Five",IF(R$338&gt;$D$33,0,IF(Input!R$55=0,0,IF(Input!R$55&lt;31,Input!R$55/30*R469,IF(Input!R$55&lt;61,(Input!R$55-30)/30*R468+R469,IF(Input!R$55&lt;91,(Input!R$55-60)/30*R467+R468+R469,IF(Input!R$55&lt;121,(Input!R$55-90)/30*R466+R467+R468+R469,IF(Input!R$55&lt;151,(Input!R$55-120)/30*R465+R466+R467+R468+R469,(Input!R$55-150)/30*R464+R465+R466+R467+R468+R469))))))),0)</f>
        <v>0</v>
      </c>
      <c r="S1104" s="302">
        <f>IF(Years="Five",IF(S$338&gt;$D$33,0,IF(Input!S$55=0,0,IF(Input!S$55&lt;31,Input!S$55/30*S469,IF(Input!S$55&lt;61,(Input!S$55-30)/30*S468+S469,IF(Input!S$55&lt;91,(Input!S$55-60)/30*S467+S468+S469,IF(Input!S$55&lt;121,(Input!S$55-90)/30*S466+S467+S468+S469,IF(Input!S$55&lt;151,(Input!S$55-120)/30*S465+S466+S467+S468+S469,(Input!S$55-150)/30*S464+S465+S466+S467+S468+S469))))))),0)</f>
        <v>0</v>
      </c>
      <c r="T1104" s="302">
        <f>IF(Years="Five",IF(T$338&gt;$D$33,0,IF(Input!T$55=0,0,IF(Input!T$55&lt;31,Input!T$55/30*T469,IF(Input!T$55&lt;61,(Input!T$55-30)/30*T468+T469,IF(Input!T$55&lt;91,(Input!T$55-60)/30*T467+T468+T469,IF(Input!T$55&lt;121,(Input!T$55-90)/30*T466+T467+T468+T469,IF(Input!T$55&lt;151,(Input!T$55-120)/30*T465+T466+T467+T468+T469,(Input!T$55-150)/30*T464+T465+T466+T467+T468+T469))))))),0)</f>
        <v>0</v>
      </c>
      <c r="U1104" s="302">
        <f>IF(Years="Five",IF(U$338&gt;$D$33,0,IF(Input!U$55=0,0,IF(Input!U$55&lt;31,Input!U$55/30*U469,IF(Input!U$55&lt;61,(Input!U$55-30)/30*U468+U469,IF(Input!U$55&lt;91,(Input!U$55-60)/30*U467+U468+U469,IF(Input!U$55&lt;121,(Input!U$55-90)/30*U466+U467+U468+U469,IF(Input!U$55&lt;151,(Input!U$55-120)/30*U465+U466+U467+U468+U469,(Input!U$55-150)/30*U464+U465+U466+U467+U468+U469))))))),0)</f>
        <v>0</v>
      </c>
      <c r="V1104" s="302">
        <f>IF(Years="Five",IF(V$338&gt;$D$33,0,IF(Input!V$55=0,0,IF(Input!V$55&lt;31,Input!V$55/30*V469,IF(Input!V$55&lt;61,(Input!V$55-30)/30*V468+V469,IF(Input!V$55&lt;91,(Input!V$55-60)/30*V467+V468+V469,IF(Input!V$55&lt;121,(Input!V$55-90)/30*V466+V467+V468+V469,IF(Input!V$55&lt;151,(Input!V$55-120)/30*V465+V466+V467+V468+V469,(Input!V$55-150)/30*V464+V465+V466+V467+V468+V469))))))),0)</f>
        <v>0</v>
      </c>
      <c r="W1104" s="302">
        <f>IF(Years="Five",IF(W$338&gt;$D$33,0,IF(Input!W$55=0,0,IF(Input!W$55&lt;31,Input!W$55/30*W469,IF(Input!W$55&lt;61,(Input!W$55-30)/30*W468+W469,IF(Input!W$55&lt;91,(Input!W$55-60)/30*W467+W468+W469,IF(Input!W$55&lt;121,(Input!W$55-90)/30*W466+W467+W468+W469,IF(Input!W$55&lt;151,(Input!W$55-120)/30*W465+W466+W467+W468+W469,(Input!W$55-150)/30*W464+W465+W466+W467+W468+W469))))))),0)</f>
        <v>0</v>
      </c>
      <c r="X1104" s="302">
        <f>IF(Years="Five",IF(X$338&gt;$D$33,0,IF(Input!X$55=0,0,IF(Input!X$55&lt;31,Input!X$55/30*X469,IF(Input!X$55&lt;61,(Input!X$55-30)/30*X468+X469,IF(Input!X$55&lt;91,(Input!X$55-60)/30*X467+X468+X469,IF(Input!X$55&lt;121,(Input!X$55-90)/30*X466+X467+X468+X469,IF(Input!X$55&lt;151,(Input!X$55-120)/30*X465+X466+X467+X468+X469,(Input!X$55-150)/30*X464+X465+X466+X467+X468+X469))))))),0)</f>
        <v>0</v>
      </c>
      <c r="Y1104" s="302">
        <f>IF(Years="Five",IF(Y$338&gt;$D$33,0,IF(Input!Y$55=0,0,IF(Input!Y$55&lt;31,Input!Y$55/30*Y469,IF(Input!Y$55&lt;61,(Input!Y$55-30)/30*Y468+Y469,IF(Input!Y$55&lt;91,(Input!Y$55-60)/30*Y467+Y468+Y469,IF(Input!Y$55&lt;121,(Input!Y$55-90)/30*Y466+Y467+Y468+Y469,IF(Input!Y$55&lt;151,(Input!Y$55-120)/30*Y465+Y466+Y467+Y468+Y469,(Input!Y$55-150)/30*Y464+Y465+Y466+Y467+Y468+Y469))))))),0)</f>
        <v>0</v>
      </c>
      <c r="Z1104" s="302">
        <f>IF(Years="Five",IF(Z$338&gt;$D$33,0,IF(Input!Z$55=0,0,IF(Input!Z$55&lt;31,Input!Z$55/30*Z469,IF(Input!Z$55&lt;61,(Input!Z$55-30)/30*Z468+Z469,IF(Input!Z$55&lt;91,(Input!Z$55-60)/30*Z467+Z468+Z469,IF(Input!Z$55&lt;121,(Input!Z$55-90)/30*Z466+Z467+Z468+Z469,IF(Input!Z$55&lt;151,(Input!Z$55-120)/30*Z465+Z466+Z467+Z468+Z469,(Input!Z$55-150)/30*Z464+Z465+Z466+Z467+Z468+Z469))))))),0)</f>
        <v>0</v>
      </c>
      <c r="AA1104" s="302">
        <f>IF(Years="Five",IF(AA$338&gt;$D$33,0,IF(Input!AA$55=0,0,IF(Input!AA$55&lt;31,Input!AA$55/30*AA469,IF(Input!AA$55&lt;61,(Input!AA$55-30)/30*AA468+AA469,IF(Input!AA$55&lt;91,(Input!AA$55-60)/30*AA467+AA468+AA469,IF(Input!AA$55&lt;121,(Input!AA$55-90)/30*AA466+AA467+AA468+AA469,IF(Input!AA$55&lt;151,(Input!AA$55-120)/30*AA465+AA466+AA467+AA468+AA469,(Input!AA$55-150)/30*AA464+AA465+AA466+AA467+AA468+AA469))))))),0)</f>
        <v>0</v>
      </c>
      <c r="AB1104" s="303">
        <f>IF(Years="Five",IF(AB$338&gt;$D$33,0,IF(Input!AB$55=0,0,IF(Input!AB$55&lt;31,Input!AB$55/30*AB469,IF(Input!AB$55&lt;61,(Input!AB$55-30)/30*AB468+AB469,IF(Input!AB$55&lt;91,(Input!AB$55-60)/30*AB467+AB468+AB469,IF(Input!AB$55&lt;121,(Input!AB$55-90)/30*AB466+AB467+AB468+AB469,IF(Input!AB$55&lt;151,(Input!AB$55-120)/30*AB465+AB466+AB467+AB468+AB469,(Input!AB$55-150)/30*AB464+AB465+AB466+AB467+AB468+AB469))))))),0)</f>
        <v>0</v>
      </c>
      <c r="CH1104" s="269"/>
      <c r="CI1104" s="269"/>
      <c r="CJ1104" s="269"/>
      <c r="CK1104" s="269"/>
      <c r="CL1104" s="269"/>
      <c r="CM1104" s="269"/>
      <c r="CN1104" s="269"/>
      <c r="CO1104" s="269"/>
      <c r="CP1104" s="269"/>
      <c r="CQ1104" s="269"/>
      <c r="CR1104" s="269"/>
      <c r="CS1104" s="269"/>
    </row>
    <row r="1105" spans="2:97" ht="18.5" x14ac:dyDescent="0.45">
      <c r="C1105" s="819"/>
      <c r="D1105" s="219"/>
      <c r="E1105" s="219"/>
      <c r="F1105" s="219"/>
      <c r="G1105" s="219"/>
      <c r="H1105" s="219"/>
      <c r="I1105" s="219"/>
      <c r="J1105" s="219"/>
      <c r="K1105" s="219"/>
      <c r="L1105" s="219"/>
      <c r="M1105" s="219"/>
      <c r="N1105" s="219"/>
      <c r="O1105" s="219"/>
      <c r="P1105" s="219"/>
      <c r="Q1105" s="219"/>
      <c r="R1105" s="219"/>
      <c r="S1105" s="219"/>
      <c r="T1105" s="219"/>
      <c r="U1105" s="219"/>
      <c r="V1105" s="219"/>
      <c r="W1105" s="219"/>
      <c r="X1105" s="219"/>
      <c r="Y1105" s="219"/>
      <c r="Z1105" s="219"/>
      <c r="AA1105" s="219"/>
      <c r="AB1105" s="219"/>
      <c r="CH1105" s="269"/>
      <c r="CI1105" s="269"/>
      <c r="CJ1105" s="269"/>
      <c r="CK1105" s="269"/>
      <c r="CL1105" s="269"/>
      <c r="CM1105" s="269"/>
      <c r="CN1105" s="269"/>
      <c r="CO1105" s="269"/>
      <c r="CP1105" s="269"/>
      <c r="CQ1105" s="269"/>
      <c r="CR1105" s="269"/>
      <c r="CS1105" s="269"/>
    </row>
    <row r="1106" spans="2:97" ht="15" customHeight="1" x14ac:dyDescent="0.35">
      <c r="B1106" s="1830" t="s">
        <v>15</v>
      </c>
      <c r="C1106" s="1830"/>
      <c r="D1106" s="219"/>
      <c r="E1106" s="219"/>
      <c r="F1106" s="219"/>
      <c r="G1106" s="219"/>
      <c r="H1106" s="219"/>
      <c r="I1106" s="219"/>
      <c r="J1106" s="219"/>
      <c r="K1106" s="219"/>
      <c r="L1106" s="219"/>
      <c r="M1106" s="219"/>
      <c r="N1106" s="219"/>
      <c r="O1106" s="219"/>
      <c r="P1106" s="219"/>
      <c r="Q1106" s="219"/>
      <c r="R1106" s="219"/>
      <c r="S1106" s="219"/>
      <c r="T1106" s="219"/>
      <c r="U1106" s="219"/>
      <c r="V1106" s="219"/>
      <c r="W1106" s="219"/>
      <c r="X1106" s="219"/>
      <c r="Y1106" s="219"/>
      <c r="Z1106" s="219"/>
      <c r="AA1106" s="219"/>
      <c r="AB1106" s="219"/>
      <c r="CH1106" s="269"/>
      <c r="CI1106" s="269"/>
      <c r="CJ1106" s="269"/>
      <c r="CK1106" s="269"/>
      <c r="CL1106" s="269"/>
      <c r="CM1106" s="269"/>
      <c r="CN1106" s="269"/>
      <c r="CO1106" s="269"/>
      <c r="CP1106" s="269"/>
      <c r="CQ1106" s="269"/>
      <c r="CR1106" s="269"/>
      <c r="CS1106" s="269"/>
    </row>
    <row r="1107" spans="2:97" ht="12.75" customHeight="1" thickBot="1" x14ac:dyDescent="0.35">
      <c r="B1107" s="1830"/>
      <c r="C1107" s="1830"/>
      <c r="D1107" s="818" t="str">
        <f>D339</f>
        <v>Item 1</v>
      </c>
      <c r="E1107" s="818" t="str">
        <f>E339</f>
        <v>Item 2</v>
      </c>
      <c r="F1107" s="818" t="str">
        <f>F339</f>
        <v>Item 3</v>
      </c>
      <c r="G1107" s="818" t="str">
        <f>G339</f>
        <v>Item 4</v>
      </c>
      <c r="H1107" s="818" t="str">
        <f>H339</f>
        <v>Item 5</v>
      </c>
      <c r="I1107" s="818" t="str">
        <f>I339</f>
        <v>Item 6</v>
      </c>
      <c r="J1107" s="818" t="str">
        <f>J339</f>
        <v>Item 7</v>
      </c>
      <c r="K1107" s="818" t="str">
        <f>K339</f>
        <v>Item 8</v>
      </c>
      <c r="L1107" s="818" t="str">
        <f>L339</f>
        <v>Item 9</v>
      </c>
      <c r="M1107" s="818" t="str">
        <f>M339</f>
        <v>Item 10</v>
      </c>
      <c r="N1107" s="818" t="str">
        <f>N339</f>
        <v>Item 11</v>
      </c>
      <c r="O1107" s="818" t="str">
        <f>O339</f>
        <v>Item 12</v>
      </c>
      <c r="P1107" s="818" t="str">
        <f>P339</f>
        <v>Item 13</v>
      </c>
      <c r="Q1107" s="818" t="str">
        <f>Q339</f>
        <v>Item 14</v>
      </c>
      <c r="R1107" s="818" t="str">
        <f>R339</f>
        <v>Item 15</v>
      </c>
      <c r="S1107" s="818" t="str">
        <f>S339</f>
        <v>Item 16</v>
      </c>
      <c r="T1107" s="818" t="str">
        <f>T339</f>
        <v>Item 17</v>
      </c>
      <c r="U1107" s="818" t="str">
        <f>U339</f>
        <v>Item 18</v>
      </c>
      <c r="V1107" s="818" t="str">
        <f>V339</f>
        <v>Item 19</v>
      </c>
      <c r="W1107" s="818" t="str">
        <f>W339</f>
        <v>Item 20</v>
      </c>
      <c r="X1107" s="818" t="str">
        <f>X339</f>
        <v>Item 21</v>
      </c>
      <c r="Y1107" s="818" t="str">
        <f>Y339</f>
        <v>Item 22</v>
      </c>
      <c r="Z1107" s="818" t="str">
        <f>Z339</f>
        <v>Item 23</v>
      </c>
      <c r="AA1107" s="818" t="str">
        <f>AA339</f>
        <v>Item 24</v>
      </c>
      <c r="AB1107" s="818" t="str">
        <f>AB339</f>
        <v>Item 25</v>
      </c>
      <c r="CH1107" s="269"/>
      <c r="CI1107" s="269"/>
      <c r="CJ1107" s="269"/>
      <c r="CK1107" s="269"/>
      <c r="CL1107" s="269"/>
      <c r="CM1107" s="269"/>
      <c r="CN1107" s="269"/>
      <c r="CO1107" s="269"/>
      <c r="CP1107" s="269"/>
      <c r="CQ1107" s="269"/>
      <c r="CR1107" s="269"/>
      <c r="CS1107" s="269"/>
    </row>
    <row r="1108" spans="2:97" x14ac:dyDescent="0.3">
      <c r="C1108" s="495">
        <f>C1045</f>
        <v>0</v>
      </c>
      <c r="D1108" s="227">
        <f>IF(D$338&gt;$D$33,0,D410*Input!D$56/30)</f>
        <v>0</v>
      </c>
      <c r="E1108" s="228">
        <f>IF(E$338&gt;$D$33,0,E410*Input!E$56/30)</f>
        <v>0</v>
      </c>
      <c r="F1108" s="228">
        <f>IF(F$338&gt;$D$33,0,F410*Input!F$56/30)</f>
        <v>0</v>
      </c>
      <c r="G1108" s="228">
        <f>IF(G$338&gt;$D$33,0,G410*Input!G$56/30)</f>
        <v>0</v>
      </c>
      <c r="H1108" s="228">
        <f>IF(H$338&gt;$D$33,0,H410*Input!H$56/30)</f>
        <v>0</v>
      </c>
      <c r="I1108" s="228">
        <f>IF(I$338&gt;$D$33,0,I410*Input!I$56/30)</f>
        <v>0</v>
      </c>
      <c r="J1108" s="228">
        <f>IF(J$338&gt;$D$33,0,J410*Input!J$56/30)</f>
        <v>0</v>
      </c>
      <c r="K1108" s="228">
        <f>IF(K$338&gt;$D$33,0,K410*Input!K$56/30)</f>
        <v>0</v>
      </c>
      <c r="L1108" s="228">
        <f>IF(L$338&gt;$D$33,0,L410*Input!L$56/30)</f>
        <v>0</v>
      </c>
      <c r="M1108" s="228">
        <f>IF(M$338&gt;$D$33,0,M410*Input!M$56/30)</f>
        <v>0</v>
      </c>
      <c r="N1108" s="228">
        <f>IF(N$338&gt;$D$33,0,N410*Input!N$56/30)</f>
        <v>0</v>
      </c>
      <c r="O1108" s="228">
        <f>IF(O$338&gt;$D$33,0,O410*Input!O$56/30)</f>
        <v>0</v>
      </c>
      <c r="P1108" s="228">
        <f>IF(P$338&gt;$D$33,0,P410*Input!P$56/30)</f>
        <v>0</v>
      </c>
      <c r="Q1108" s="228">
        <f>IF(Q$338&gt;$D$33,0,Q410*Input!Q$56/30)</f>
        <v>0</v>
      </c>
      <c r="R1108" s="228">
        <f>IF(R$338&gt;$D$33,0,R410*Input!R$56/30)</f>
        <v>0</v>
      </c>
      <c r="S1108" s="228">
        <f>IF(S$338&gt;$D$33,0,S410*Input!S$56/30)</f>
        <v>0</v>
      </c>
      <c r="T1108" s="228">
        <f>IF(T$338&gt;$D$33,0,T410*Input!T$56/30)</f>
        <v>0</v>
      </c>
      <c r="U1108" s="228">
        <f>IF(U$338&gt;$D$33,0,U410*Input!U$56/30)</f>
        <v>0</v>
      </c>
      <c r="V1108" s="228">
        <f>IF(V$338&gt;$D$33,0,V410*Input!V$56/30)</f>
        <v>0</v>
      </c>
      <c r="W1108" s="228">
        <f>IF(W$338&gt;$D$33,0,W410*Input!W$56/30)</f>
        <v>0</v>
      </c>
      <c r="X1108" s="228">
        <f>IF(X$338&gt;$D$33,0,X410*Input!X$56/30)</f>
        <v>0</v>
      </c>
      <c r="Y1108" s="228">
        <f>IF(Y$338&gt;$D$33,0,Y410*Input!Y$56/30)</f>
        <v>0</v>
      </c>
      <c r="Z1108" s="228">
        <f>IF(Z$338&gt;$D$33,0,Z410*Input!Z$56/30)</f>
        <v>0</v>
      </c>
      <c r="AA1108" s="228">
        <f>IF(AA$338&gt;$D$33,0,AA410*Input!AA$56/30)</f>
        <v>0</v>
      </c>
      <c r="AB1108" s="228">
        <f>IF(AB$338&gt;$D$33,0,AB410*Input!AB$56/30)</f>
        <v>0</v>
      </c>
      <c r="CP1108" s="269"/>
      <c r="CQ1108" s="269"/>
      <c r="CR1108" s="269"/>
      <c r="CS1108" s="269"/>
    </row>
    <row r="1109" spans="2:97" x14ac:dyDescent="0.3">
      <c r="C1109" s="495">
        <f>C1046</f>
        <v>59</v>
      </c>
      <c r="D1109" s="229">
        <f>IF(D$338&gt;$D$33,0,D411*Input!D$56/30)</f>
        <v>0</v>
      </c>
      <c r="E1109" s="229">
        <f>IF(E$338&gt;$D$33,0,E411*Input!E$56/30)</f>
        <v>0</v>
      </c>
      <c r="F1109" s="229">
        <f>IF(F$338&gt;$D$33,0,F411*Input!F$56/30)</f>
        <v>0</v>
      </c>
      <c r="G1109" s="229">
        <f>IF(G$338&gt;$D$33,0,G411*Input!G$56/30)</f>
        <v>0</v>
      </c>
      <c r="H1109" s="229">
        <f>IF(H$338&gt;$D$33,0,H411*Input!H$56/30)</f>
        <v>0</v>
      </c>
      <c r="I1109" s="229">
        <f>IF(I$338&gt;$D$33,0,I411*Input!I$56/30)</f>
        <v>0</v>
      </c>
      <c r="J1109" s="229">
        <f>IF(J$338&gt;$D$33,0,J411*Input!J$56/30)</f>
        <v>0</v>
      </c>
      <c r="K1109" s="229">
        <f>IF(K$338&gt;$D$33,0,K411*Input!K$56/30)</f>
        <v>0</v>
      </c>
      <c r="L1109" s="229">
        <f>IF(L$338&gt;$D$33,0,L411*Input!L$56/30)</f>
        <v>0</v>
      </c>
      <c r="M1109" s="229">
        <f>IF(M$338&gt;$D$33,0,M411*Input!M$56/30)</f>
        <v>0</v>
      </c>
      <c r="N1109" s="229">
        <f>IF(N$338&gt;$D$33,0,N411*Input!N$56/30)</f>
        <v>0</v>
      </c>
      <c r="O1109" s="229">
        <f>IF(O$338&gt;$D$33,0,O411*Input!O$56/30)</f>
        <v>0</v>
      </c>
      <c r="P1109" s="229">
        <f>IF(P$338&gt;$D$33,0,P411*Input!P$56/30)</f>
        <v>0</v>
      </c>
      <c r="Q1109" s="229">
        <f>IF(Q$338&gt;$D$33,0,Q411*Input!Q$56/30)</f>
        <v>0</v>
      </c>
      <c r="R1109" s="229">
        <f>IF(R$338&gt;$D$33,0,R411*Input!R$56/30)</f>
        <v>0</v>
      </c>
      <c r="S1109" s="229">
        <f>IF(S$338&gt;$D$33,0,S411*Input!S$56/30)</f>
        <v>0</v>
      </c>
      <c r="T1109" s="229">
        <f>IF(T$338&gt;$D$33,0,T411*Input!T$56/30)</f>
        <v>0</v>
      </c>
      <c r="U1109" s="229">
        <f>IF(U$338&gt;$D$33,0,U411*Input!U$56/30)</f>
        <v>0</v>
      </c>
      <c r="V1109" s="229">
        <f>IF(V$338&gt;$D$33,0,V411*Input!V$56/30)</f>
        <v>0</v>
      </c>
      <c r="W1109" s="229">
        <f>IF(W$338&gt;$D$33,0,W411*Input!W$56/30)</f>
        <v>0</v>
      </c>
      <c r="X1109" s="229">
        <f>IF(X$338&gt;$D$33,0,X411*Input!X$56/30)</f>
        <v>0</v>
      </c>
      <c r="Y1109" s="229">
        <f>IF(Y$338&gt;$D$33,0,Y411*Input!Y$56/30)</f>
        <v>0</v>
      </c>
      <c r="Z1109" s="229">
        <f>IF(Z$338&gt;$D$33,0,Z411*Input!Z$56/30)</f>
        <v>0</v>
      </c>
      <c r="AA1109" s="229">
        <f>IF(AA$338&gt;$D$33,0,AA411*Input!AA$56/30)</f>
        <v>0</v>
      </c>
      <c r="AB1109" s="229">
        <f>IF(AB$338&gt;$D$33,0,AB411*Input!AB$56/30)</f>
        <v>0</v>
      </c>
      <c r="CH1109" s="269"/>
      <c r="CI1109" s="269"/>
      <c r="CJ1109" s="269"/>
      <c r="CK1109" s="269"/>
      <c r="CL1109" s="269"/>
      <c r="CM1109" s="269"/>
      <c r="CN1109" s="269"/>
      <c r="CO1109" s="269"/>
      <c r="CP1109" s="269"/>
      <c r="CQ1109" s="269"/>
      <c r="CR1109" s="269"/>
      <c r="CS1109" s="269"/>
    </row>
    <row r="1110" spans="2:97" x14ac:dyDescent="0.3">
      <c r="C1110" s="495">
        <f>C1047</f>
        <v>91</v>
      </c>
      <c r="D1110" s="229">
        <f>IF(D$338&gt;$D$33,0,D412*Input!D$56/30)</f>
        <v>0</v>
      </c>
      <c r="E1110" s="229">
        <f>IF(E$338&gt;$D$33,0,E412*Input!E$56/30)</f>
        <v>0</v>
      </c>
      <c r="F1110" s="229">
        <f>IF(F$338&gt;$D$33,0,F412*Input!F$56/30)</f>
        <v>0</v>
      </c>
      <c r="G1110" s="229">
        <f>IF(G$338&gt;$D$33,0,G412*Input!G$56/30)</f>
        <v>0</v>
      </c>
      <c r="H1110" s="229">
        <f>IF(H$338&gt;$D$33,0,H412*Input!H$56/30)</f>
        <v>0</v>
      </c>
      <c r="I1110" s="229">
        <f>IF(I$338&gt;$D$33,0,I412*Input!I$56/30)</f>
        <v>0</v>
      </c>
      <c r="J1110" s="229">
        <f>IF(J$338&gt;$D$33,0,J412*Input!J$56/30)</f>
        <v>0</v>
      </c>
      <c r="K1110" s="229">
        <f>IF(K$338&gt;$D$33,0,K412*Input!K$56/30)</f>
        <v>0</v>
      </c>
      <c r="L1110" s="229">
        <f>IF(L$338&gt;$D$33,0,L412*Input!L$56/30)</f>
        <v>0</v>
      </c>
      <c r="M1110" s="229">
        <f>IF(M$338&gt;$D$33,0,M412*Input!M$56/30)</f>
        <v>0</v>
      </c>
      <c r="N1110" s="229">
        <f>IF(N$338&gt;$D$33,0,N412*Input!N$56/30)</f>
        <v>0</v>
      </c>
      <c r="O1110" s="229">
        <f>IF(O$338&gt;$D$33,0,O412*Input!O$56/30)</f>
        <v>0</v>
      </c>
      <c r="P1110" s="229">
        <f>IF(P$338&gt;$D$33,0,P412*Input!P$56/30)</f>
        <v>0</v>
      </c>
      <c r="Q1110" s="229">
        <f>IF(Q$338&gt;$D$33,0,Q412*Input!Q$56/30)</f>
        <v>0</v>
      </c>
      <c r="R1110" s="229">
        <f>IF(R$338&gt;$D$33,0,R412*Input!R$56/30)</f>
        <v>0</v>
      </c>
      <c r="S1110" s="229">
        <f>IF(S$338&gt;$D$33,0,S412*Input!S$56/30)</f>
        <v>0</v>
      </c>
      <c r="T1110" s="229">
        <f>IF(T$338&gt;$D$33,0,T412*Input!T$56/30)</f>
        <v>0</v>
      </c>
      <c r="U1110" s="229">
        <f>IF(U$338&gt;$D$33,0,U412*Input!U$56/30)</f>
        <v>0</v>
      </c>
      <c r="V1110" s="229">
        <f>IF(V$338&gt;$D$33,0,V412*Input!V$56/30)</f>
        <v>0</v>
      </c>
      <c r="W1110" s="229">
        <f>IF(W$338&gt;$D$33,0,W412*Input!W$56/30)</f>
        <v>0</v>
      </c>
      <c r="X1110" s="229">
        <f>IF(X$338&gt;$D$33,0,X412*Input!X$56/30)</f>
        <v>0</v>
      </c>
      <c r="Y1110" s="229">
        <f>IF(Y$338&gt;$D$33,0,Y412*Input!Y$56/30)</f>
        <v>0</v>
      </c>
      <c r="Z1110" s="229">
        <f>IF(Z$338&gt;$D$33,0,Z412*Input!Z$56/30)</f>
        <v>0</v>
      </c>
      <c r="AA1110" s="229">
        <f>IF(AA$338&gt;$D$33,0,AA412*Input!AA$56/30)</f>
        <v>0</v>
      </c>
      <c r="AB1110" s="229">
        <f>IF(AB$338&gt;$D$33,0,AB412*Input!AB$56/30)</f>
        <v>0</v>
      </c>
      <c r="CH1110" s="269"/>
      <c r="CI1110" s="269"/>
      <c r="CJ1110" s="269"/>
      <c r="CK1110" s="269"/>
      <c r="CL1110" s="269"/>
      <c r="CM1110" s="269"/>
      <c r="CN1110" s="269"/>
      <c r="CO1110" s="269"/>
      <c r="CP1110" s="269"/>
      <c r="CQ1110" s="269"/>
      <c r="CR1110" s="269"/>
      <c r="CS1110" s="269"/>
    </row>
    <row r="1111" spans="2:97" x14ac:dyDescent="0.3">
      <c r="C1111" s="495">
        <f>C1048</f>
        <v>121</v>
      </c>
      <c r="D1111" s="229">
        <f>IF(D$338&gt;$D$33,0,D413*Input!D$56/30)</f>
        <v>0</v>
      </c>
      <c r="E1111" s="229">
        <f>IF(E$338&gt;$D$33,0,E413*Input!E$56/30)</f>
        <v>0</v>
      </c>
      <c r="F1111" s="229">
        <f>IF(F$338&gt;$D$33,0,F413*Input!F$56/30)</f>
        <v>0</v>
      </c>
      <c r="G1111" s="229">
        <f>IF(G$338&gt;$D$33,0,G413*Input!G$56/30)</f>
        <v>0</v>
      </c>
      <c r="H1111" s="229">
        <f>IF(H$338&gt;$D$33,0,H413*Input!H$56/30)</f>
        <v>0</v>
      </c>
      <c r="I1111" s="229">
        <f>IF(I$338&gt;$D$33,0,I413*Input!I$56/30)</f>
        <v>0</v>
      </c>
      <c r="J1111" s="229">
        <f>IF(J$338&gt;$D$33,0,J413*Input!J$56/30)</f>
        <v>0</v>
      </c>
      <c r="K1111" s="229">
        <f>IF(K$338&gt;$D$33,0,K413*Input!K$56/30)</f>
        <v>0</v>
      </c>
      <c r="L1111" s="229">
        <f>IF(L$338&gt;$D$33,0,L413*Input!L$56/30)</f>
        <v>0</v>
      </c>
      <c r="M1111" s="229">
        <f>IF(M$338&gt;$D$33,0,M413*Input!M$56/30)</f>
        <v>0</v>
      </c>
      <c r="N1111" s="229">
        <f>IF(N$338&gt;$D$33,0,N413*Input!N$56/30)</f>
        <v>0</v>
      </c>
      <c r="O1111" s="229">
        <f>IF(O$338&gt;$D$33,0,O413*Input!O$56/30)</f>
        <v>0</v>
      </c>
      <c r="P1111" s="229">
        <f>IF(P$338&gt;$D$33,0,P413*Input!P$56/30)</f>
        <v>0</v>
      </c>
      <c r="Q1111" s="229">
        <f>IF(Q$338&gt;$D$33,0,Q413*Input!Q$56/30)</f>
        <v>0</v>
      </c>
      <c r="R1111" s="229">
        <f>IF(R$338&gt;$D$33,0,R413*Input!R$56/30)</f>
        <v>0</v>
      </c>
      <c r="S1111" s="229">
        <f>IF(S$338&gt;$D$33,0,S413*Input!S$56/30)</f>
        <v>0</v>
      </c>
      <c r="T1111" s="229">
        <f>IF(T$338&gt;$D$33,0,T413*Input!T$56/30)</f>
        <v>0</v>
      </c>
      <c r="U1111" s="229">
        <f>IF(U$338&gt;$D$33,0,U413*Input!U$56/30)</f>
        <v>0</v>
      </c>
      <c r="V1111" s="229">
        <f>IF(V$338&gt;$D$33,0,V413*Input!V$56/30)</f>
        <v>0</v>
      </c>
      <c r="W1111" s="229">
        <f>IF(W$338&gt;$D$33,0,W413*Input!W$56/30)</f>
        <v>0</v>
      </c>
      <c r="X1111" s="229">
        <f>IF(X$338&gt;$D$33,0,X413*Input!X$56/30)</f>
        <v>0</v>
      </c>
      <c r="Y1111" s="229">
        <f>IF(Y$338&gt;$D$33,0,Y413*Input!Y$56/30)</f>
        <v>0</v>
      </c>
      <c r="Z1111" s="229">
        <f>IF(Z$338&gt;$D$33,0,Z413*Input!Z$56/30)</f>
        <v>0</v>
      </c>
      <c r="AA1111" s="229">
        <f>IF(AA$338&gt;$D$33,0,AA413*Input!AA$56/30)</f>
        <v>0</v>
      </c>
      <c r="AB1111" s="229">
        <f>IF(AB$338&gt;$D$33,0,AB413*Input!AB$56/30)</f>
        <v>0</v>
      </c>
      <c r="CH1111" s="269"/>
      <c r="CI1111" s="269"/>
      <c r="CJ1111" s="269"/>
      <c r="CK1111" s="269"/>
      <c r="CL1111" s="269"/>
      <c r="CM1111" s="269"/>
      <c r="CN1111" s="269"/>
      <c r="CO1111" s="269"/>
      <c r="CP1111" s="269"/>
      <c r="CQ1111" s="269"/>
      <c r="CR1111" s="269"/>
      <c r="CS1111" s="269"/>
    </row>
    <row r="1112" spans="2:97" x14ac:dyDescent="0.3">
      <c r="C1112" s="495">
        <f>C1049</f>
        <v>152</v>
      </c>
      <c r="D1112" s="229">
        <f>IF(D$338&gt;$D$33,0,D414*Input!D$56/30)</f>
        <v>0</v>
      </c>
      <c r="E1112" s="229">
        <f>IF(E$338&gt;$D$33,0,E414*Input!E$56/30)</f>
        <v>0</v>
      </c>
      <c r="F1112" s="229">
        <f>IF(F$338&gt;$D$33,0,F414*Input!F$56/30)</f>
        <v>0</v>
      </c>
      <c r="G1112" s="229">
        <f>IF(G$338&gt;$D$33,0,G414*Input!G$56/30)</f>
        <v>0</v>
      </c>
      <c r="H1112" s="229">
        <f>IF(H$338&gt;$D$33,0,H414*Input!H$56/30)</f>
        <v>0</v>
      </c>
      <c r="I1112" s="229">
        <f>IF(I$338&gt;$D$33,0,I414*Input!I$56/30)</f>
        <v>0</v>
      </c>
      <c r="J1112" s="229">
        <f>IF(J$338&gt;$D$33,0,J414*Input!J$56/30)</f>
        <v>0</v>
      </c>
      <c r="K1112" s="229">
        <f>IF(K$338&gt;$D$33,0,K414*Input!K$56/30)</f>
        <v>0</v>
      </c>
      <c r="L1112" s="229">
        <f>IF(L$338&gt;$D$33,0,L414*Input!L$56/30)</f>
        <v>0</v>
      </c>
      <c r="M1112" s="229">
        <f>IF(M$338&gt;$D$33,0,M414*Input!M$56/30)</f>
        <v>0</v>
      </c>
      <c r="N1112" s="229">
        <f>IF(N$338&gt;$D$33,0,N414*Input!N$56/30)</f>
        <v>0</v>
      </c>
      <c r="O1112" s="229">
        <f>IF(O$338&gt;$D$33,0,O414*Input!O$56/30)</f>
        <v>0</v>
      </c>
      <c r="P1112" s="229">
        <f>IF(P$338&gt;$D$33,0,P414*Input!P$56/30)</f>
        <v>0</v>
      </c>
      <c r="Q1112" s="229">
        <f>IF(Q$338&gt;$D$33,0,Q414*Input!Q$56/30)</f>
        <v>0</v>
      </c>
      <c r="R1112" s="229">
        <f>IF(R$338&gt;$D$33,0,R414*Input!R$56/30)</f>
        <v>0</v>
      </c>
      <c r="S1112" s="229">
        <f>IF(S$338&gt;$D$33,0,S414*Input!S$56/30)</f>
        <v>0</v>
      </c>
      <c r="T1112" s="229">
        <f>IF(T$338&gt;$D$33,0,T414*Input!T$56/30)</f>
        <v>0</v>
      </c>
      <c r="U1112" s="229">
        <f>IF(U$338&gt;$D$33,0,U414*Input!U$56/30)</f>
        <v>0</v>
      </c>
      <c r="V1112" s="229">
        <f>IF(V$338&gt;$D$33,0,V414*Input!V$56/30)</f>
        <v>0</v>
      </c>
      <c r="W1112" s="229">
        <f>IF(W$338&gt;$D$33,0,W414*Input!W$56/30)</f>
        <v>0</v>
      </c>
      <c r="X1112" s="229">
        <f>IF(X$338&gt;$D$33,0,X414*Input!X$56/30)</f>
        <v>0</v>
      </c>
      <c r="Y1112" s="229">
        <f>IF(Y$338&gt;$D$33,0,Y414*Input!Y$56/30)</f>
        <v>0</v>
      </c>
      <c r="Z1112" s="229">
        <f>IF(Z$338&gt;$D$33,0,Z414*Input!Z$56/30)</f>
        <v>0</v>
      </c>
      <c r="AA1112" s="229">
        <f>IF(AA$338&gt;$D$33,0,AA414*Input!AA$56/30)</f>
        <v>0</v>
      </c>
      <c r="AB1112" s="229">
        <f>IF(AB$338&gt;$D$33,0,AB414*Input!AB$56/30)</f>
        <v>0</v>
      </c>
      <c r="CH1112" s="269"/>
      <c r="CI1112" s="269"/>
      <c r="CJ1112" s="269"/>
      <c r="CK1112" s="269"/>
      <c r="CL1112" s="269"/>
      <c r="CM1112" s="269"/>
      <c r="CN1112" s="269"/>
      <c r="CO1112" s="269"/>
      <c r="CP1112" s="269"/>
      <c r="CQ1112" s="269"/>
      <c r="CR1112" s="269"/>
      <c r="CS1112" s="269"/>
    </row>
    <row r="1113" spans="2:97" x14ac:dyDescent="0.3">
      <c r="C1113" s="495">
        <f>C1050</f>
        <v>182</v>
      </c>
      <c r="D1113" s="229">
        <f>IF(D$338&gt;$D$33,0,D415*Input!D$56/30)</f>
        <v>0</v>
      </c>
      <c r="E1113" s="229">
        <f>IF(E$338&gt;$D$33,0,E415*Input!E$56/30)</f>
        <v>0</v>
      </c>
      <c r="F1113" s="229">
        <f>IF(F$338&gt;$D$33,0,F415*Input!F$56/30)</f>
        <v>0</v>
      </c>
      <c r="G1113" s="229">
        <f>IF(G$338&gt;$D$33,0,G415*Input!G$56/30)</f>
        <v>0</v>
      </c>
      <c r="H1113" s="229">
        <f>IF(H$338&gt;$D$33,0,H415*Input!H$56/30)</f>
        <v>0</v>
      </c>
      <c r="I1113" s="229">
        <f>IF(I$338&gt;$D$33,0,I415*Input!I$56/30)</f>
        <v>0</v>
      </c>
      <c r="J1113" s="229">
        <f>IF(J$338&gt;$D$33,0,J415*Input!J$56/30)</f>
        <v>0</v>
      </c>
      <c r="K1113" s="229">
        <f>IF(K$338&gt;$D$33,0,K415*Input!K$56/30)</f>
        <v>0</v>
      </c>
      <c r="L1113" s="229">
        <f>IF(L$338&gt;$D$33,0,L415*Input!L$56/30)</f>
        <v>0</v>
      </c>
      <c r="M1113" s="229">
        <f>IF(M$338&gt;$D$33,0,M415*Input!M$56/30)</f>
        <v>0</v>
      </c>
      <c r="N1113" s="229">
        <f>IF(N$338&gt;$D$33,0,N415*Input!N$56/30)</f>
        <v>0</v>
      </c>
      <c r="O1113" s="229">
        <f>IF(O$338&gt;$D$33,0,O415*Input!O$56/30)</f>
        <v>0</v>
      </c>
      <c r="P1113" s="229">
        <f>IF(P$338&gt;$D$33,0,P415*Input!P$56/30)</f>
        <v>0</v>
      </c>
      <c r="Q1113" s="229">
        <f>IF(Q$338&gt;$D$33,0,Q415*Input!Q$56/30)</f>
        <v>0</v>
      </c>
      <c r="R1113" s="229">
        <f>IF(R$338&gt;$D$33,0,R415*Input!R$56/30)</f>
        <v>0</v>
      </c>
      <c r="S1113" s="229">
        <f>IF(S$338&gt;$D$33,0,S415*Input!S$56/30)</f>
        <v>0</v>
      </c>
      <c r="T1113" s="229">
        <f>IF(T$338&gt;$D$33,0,T415*Input!T$56/30)</f>
        <v>0</v>
      </c>
      <c r="U1113" s="229">
        <f>IF(U$338&gt;$D$33,0,U415*Input!U$56/30)</f>
        <v>0</v>
      </c>
      <c r="V1113" s="229">
        <f>IF(V$338&gt;$D$33,0,V415*Input!V$56/30)</f>
        <v>0</v>
      </c>
      <c r="W1113" s="229">
        <f>IF(W$338&gt;$D$33,0,W415*Input!W$56/30)</f>
        <v>0</v>
      </c>
      <c r="X1113" s="229">
        <f>IF(X$338&gt;$D$33,0,X415*Input!X$56/30)</f>
        <v>0</v>
      </c>
      <c r="Y1113" s="229">
        <f>IF(Y$338&gt;$D$33,0,Y415*Input!Y$56/30)</f>
        <v>0</v>
      </c>
      <c r="Z1113" s="229">
        <f>IF(Z$338&gt;$D$33,0,Z415*Input!Z$56/30)</f>
        <v>0</v>
      </c>
      <c r="AA1113" s="229">
        <f>IF(AA$338&gt;$D$33,0,AA415*Input!AA$56/30)</f>
        <v>0</v>
      </c>
      <c r="AB1113" s="229">
        <f>IF(AB$338&gt;$D$33,0,AB415*Input!AB$56/30)</f>
        <v>0</v>
      </c>
      <c r="CH1113" s="269"/>
      <c r="CI1113" s="269"/>
      <c r="CJ1113" s="269"/>
      <c r="CK1113" s="269"/>
      <c r="CL1113" s="269"/>
      <c r="CM1113" s="269"/>
      <c r="CN1113" s="269"/>
      <c r="CO1113" s="269"/>
      <c r="CP1113" s="269"/>
      <c r="CQ1113" s="269"/>
      <c r="CR1113" s="269"/>
      <c r="CS1113" s="269"/>
    </row>
    <row r="1114" spans="2:97" x14ac:dyDescent="0.3">
      <c r="C1114" s="495">
        <f>C1051</f>
        <v>213</v>
      </c>
      <c r="D1114" s="229">
        <f>IF(D$338&gt;$D$33,0,D416*Input!D$56/30)</f>
        <v>0</v>
      </c>
      <c r="E1114" s="229">
        <f>IF(E$338&gt;$D$33,0,E416*Input!E$56/30)</f>
        <v>0</v>
      </c>
      <c r="F1114" s="229">
        <f>IF(F$338&gt;$D$33,0,F416*Input!F$56/30)</f>
        <v>0</v>
      </c>
      <c r="G1114" s="229">
        <f>IF(G$338&gt;$D$33,0,G416*Input!G$56/30)</f>
        <v>0</v>
      </c>
      <c r="H1114" s="229">
        <f>IF(H$338&gt;$D$33,0,H416*Input!H$56/30)</f>
        <v>0</v>
      </c>
      <c r="I1114" s="229">
        <f>IF(I$338&gt;$D$33,0,I416*Input!I$56/30)</f>
        <v>0</v>
      </c>
      <c r="J1114" s="229">
        <f>IF(J$338&gt;$D$33,0,J416*Input!J$56/30)</f>
        <v>0</v>
      </c>
      <c r="K1114" s="229">
        <f>IF(K$338&gt;$D$33,0,K416*Input!K$56/30)</f>
        <v>0</v>
      </c>
      <c r="L1114" s="229">
        <f>IF(L$338&gt;$D$33,0,L416*Input!L$56/30)</f>
        <v>0</v>
      </c>
      <c r="M1114" s="229">
        <f>IF(M$338&gt;$D$33,0,M416*Input!M$56/30)</f>
        <v>0</v>
      </c>
      <c r="N1114" s="229">
        <f>IF(N$338&gt;$D$33,0,N416*Input!N$56/30)</f>
        <v>0</v>
      </c>
      <c r="O1114" s="229">
        <f>IF(O$338&gt;$D$33,0,O416*Input!O$56/30)</f>
        <v>0</v>
      </c>
      <c r="P1114" s="229">
        <f>IF(P$338&gt;$D$33,0,P416*Input!P$56/30)</f>
        <v>0</v>
      </c>
      <c r="Q1114" s="229">
        <f>IF(Q$338&gt;$D$33,0,Q416*Input!Q$56/30)</f>
        <v>0</v>
      </c>
      <c r="R1114" s="229">
        <f>IF(R$338&gt;$D$33,0,R416*Input!R$56/30)</f>
        <v>0</v>
      </c>
      <c r="S1114" s="229">
        <f>IF(S$338&gt;$D$33,0,S416*Input!S$56/30)</f>
        <v>0</v>
      </c>
      <c r="T1114" s="229">
        <f>IF(T$338&gt;$D$33,0,T416*Input!T$56/30)</f>
        <v>0</v>
      </c>
      <c r="U1114" s="229">
        <f>IF(U$338&gt;$D$33,0,U416*Input!U$56/30)</f>
        <v>0</v>
      </c>
      <c r="V1114" s="229">
        <f>IF(V$338&gt;$D$33,0,V416*Input!V$56/30)</f>
        <v>0</v>
      </c>
      <c r="W1114" s="229">
        <f>IF(W$338&gt;$D$33,0,W416*Input!W$56/30)</f>
        <v>0</v>
      </c>
      <c r="X1114" s="229">
        <f>IF(X$338&gt;$D$33,0,X416*Input!X$56/30)</f>
        <v>0</v>
      </c>
      <c r="Y1114" s="229">
        <f>IF(Y$338&gt;$D$33,0,Y416*Input!Y$56/30)</f>
        <v>0</v>
      </c>
      <c r="Z1114" s="229">
        <f>IF(Z$338&gt;$D$33,0,Z416*Input!Z$56/30)</f>
        <v>0</v>
      </c>
      <c r="AA1114" s="229">
        <f>IF(AA$338&gt;$D$33,0,AA416*Input!AA$56/30)</f>
        <v>0</v>
      </c>
      <c r="AB1114" s="229">
        <f>IF(AB$338&gt;$D$33,0,AB416*Input!AB$56/30)</f>
        <v>0</v>
      </c>
      <c r="CH1114" s="269"/>
      <c r="CI1114" s="269"/>
      <c r="CJ1114" s="269"/>
      <c r="CK1114" s="269"/>
      <c r="CL1114" s="269"/>
      <c r="CM1114" s="269"/>
      <c r="CN1114" s="269"/>
      <c r="CO1114" s="269"/>
      <c r="CP1114" s="269"/>
      <c r="CQ1114" s="269"/>
      <c r="CR1114" s="269"/>
      <c r="CS1114" s="269"/>
    </row>
    <row r="1115" spans="2:97" x14ac:dyDescent="0.3">
      <c r="C1115" s="495">
        <f>C1052</f>
        <v>244</v>
      </c>
      <c r="D1115" s="229">
        <f>IF(D$338&gt;$D$33,0,D417*Input!D$56/30)</f>
        <v>0</v>
      </c>
      <c r="E1115" s="229">
        <f>IF(E$338&gt;$D$33,0,E417*Input!E$56/30)</f>
        <v>0</v>
      </c>
      <c r="F1115" s="229">
        <f>IF(F$338&gt;$D$33,0,F417*Input!F$56/30)</f>
        <v>0</v>
      </c>
      <c r="G1115" s="229">
        <f>IF(G$338&gt;$D$33,0,G417*Input!G$56/30)</f>
        <v>0</v>
      </c>
      <c r="H1115" s="229">
        <f>IF(H$338&gt;$D$33,0,H417*Input!H$56/30)</f>
        <v>0</v>
      </c>
      <c r="I1115" s="229">
        <f>IF(I$338&gt;$D$33,0,I417*Input!I$56/30)</f>
        <v>0</v>
      </c>
      <c r="J1115" s="229">
        <f>IF(J$338&gt;$D$33,0,J417*Input!J$56/30)</f>
        <v>0</v>
      </c>
      <c r="K1115" s="229">
        <f>IF(K$338&gt;$D$33,0,K417*Input!K$56/30)</f>
        <v>0</v>
      </c>
      <c r="L1115" s="229">
        <f>IF(L$338&gt;$D$33,0,L417*Input!L$56/30)</f>
        <v>0</v>
      </c>
      <c r="M1115" s="229">
        <f>IF(M$338&gt;$D$33,0,M417*Input!M$56/30)</f>
        <v>0</v>
      </c>
      <c r="N1115" s="229">
        <f>IF(N$338&gt;$D$33,0,N417*Input!N$56/30)</f>
        <v>0</v>
      </c>
      <c r="O1115" s="229">
        <f>IF(O$338&gt;$D$33,0,O417*Input!O$56/30)</f>
        <v>0</v>
      </c>
      <c r="P1115" s="229">
        <f>IF(P$338&gt;$D$33,0,P417*Input!P$56/30)</f>
        <v>0</v>
      </c>
      <c r="Q1115" s="229">
        <f>IF(Q$338&gt;$D$33,0,Q417*Input!Q$56/30)</f>
        <v>0</v>
      </c>
      <c r="R1115" s="229">
        <f>IF(R$338&gt;$D$33,0,R417*Input!R$56/30)</f>
        <v>0</v>
      </c>
      <c r="S1115" s="229">
        <f>IF(S$338&gt;$D$33,0,S417*Input!S$56/30)</f>
        <v>0</v>
      </c>
      <c r="T1115" s="229">
        <f>IF(T$338&gt;$D$33,0,T417*Input!T$56/30)</f>
        <v>0</v>
      </c>
      <c r="U1115" s="229">
        <f>IF(U$338&gt;$D$33,0,U417*Input!U$56/30)</f>
        <v>0</v>
      </c>
      <c r="V1115" s="229">
        <f>IF(V$338&gt;$D$33,0,V417*Input!V$56/30)</f>
        <v>0</v>
      </c>
      <c r="W1115" s="229">
        <f>IF(W$338&gt;$D$33,0,W417*Input!W$56/30)</f>
        <v>0</v>
      </c>
      <c r="X1115" s="229">
        <f>IF(X$338&gt;$D$33,0,X417*Input!X$56/30)</f>
        <v>0</v>
      </c>
      <c r="Y1115" s="229">
        <f>IF(Y$338&gt;$D$33,0,Y417*Input!Y$56/30)</f>
        <v>0</v>
      </c>
      <c r="Z1115" s="229">
        <f>IF(Z$338&gt;$D$33,0,Z417*Input!Z$56/30)</f>
        <v>0</v>
      </c>
      <c r="AA1115" s="229">
        <f>IF(AA$338&gt;$D$33,0,AA417*Input!AA$56/30)</f>
        <v>0</v>
      </c>
      <c r="AB1115" s="229">
        <f>IF(AB$338&gt;$D$33,0,AB417*Input!AB$56/30)</f>
        <v>0</v>
      </c>
      <c r="CH1115" s="269"/>
      <c r="CI1115" s="269"/>
      <c r="CJ1115" s="269"/>
      <c r="CK1115" s="269"/>
      <c r="CL1115" s="269"/>
      <c r="CM1115" s="269"/>
      <c r="CN1115" s="269"/>
      <c r="CO1115" s="269"/>
      <c r="CP1115" s="269"/>
      <c r="CQ1115" s="269"/>
      <c r="CR1115" s="269"/>
      <c r="CS1115" s="269"/>
    </row>
    <row r="1116" spans="2:97" x14ac:dyDescent="0.3">
      <c r="C1116" s="495">
        <f>C1053</f>
        <v>274</v>
      </c>
      <c r="D1116" s="229">
        <f>IF(D$338&gt;$D$33,0,D418*Input!D$56/30)</f>
        <v>0</v>
      </c>
      <c r="E1116" s="229">
        <f>IF(E$338&gt;$D$33,0,E418*Input!E$56/30)</f>
        <v>0</v>
      </c>
      <c r="F1116" s="229">
        <f>IF(F$338&gt;$D$33,0,F418*Input!F$56/30)</f>
        <v>0</v>
      </c>
      <c r="G1116" s="229">
        <f>IF(G$338&gt;$D$33,0,G418*Input!G$56/30)</f>
        <v>0</v>
      </c>
      <c r="H1116" s="229">
        <f>IF(H$338&gt;$D$33,0,H418*Input!H$56/30)</f>
        <v>0</v>
      </c>
      <c r="I1116" s="229">
        <f>IF(I$338&gt;$D$33,0,I418*Input!I$56/30)</f>
        <v>0</v>
      </c>
      <c r="J1116" s="229">
        <f>IF(J$338&gt;$D$33,0,J418*Input!J$56/30)</f>
        <v>0</v>
      </c>
      <c r="K1116" s="229">
        <f>IF(K$338&gt;$D$33,0,K418*Input!K$56/30)</f>
        <v>0</v>
      </c>
      <c r="L1116" s="229">
        <f>IF(L$338&gt;$D$33,0,L418*Input!L$56/30)</f>
        <v>0</v>
      </c>
      <c r="M1116" s="229">
        <f>IF(M$338&gt;$D$33,0,M418*Input!M$56/30)</f>
        <v>0</v>
      </c>
      <c r="N1116" s="229">
        <f>IF(N$338&gt;$D$33,0,N418*Input!N$56/30)</f>
        <v>0</v>
      </c>
      <c r="O1116" s="229">
        <f>IF(O$338&gt;$D$33,0,O418*Input!O$56/30)</f>
        <v>0</v>
      </c>
      <c r="P1116" s="229">
        <f>IF(P$338&gt;$D$33,0,P418*Input!P$56/30)</f>
        <v>0</v>
      </c>
      <c r="Q1116" s="229">
        <f>IF(Q$338&gt;$D$33,0,Q418*Input!Q$56/30)</f>
        <v>0</v>
      </c>
      <c r="R1116" s="229">
        <f>IF(R$338&gt;$D$33,0,R418*Input!R$56/30)</f>
        <v>0</v>
      </c>
      <c r="S1116" s="229">
        <f>IF(S$338&gt;$D$33,0,S418*Input!S$56/30)</f>
        <v>0</v>
      </c>
      <c r="T1116" s="229">
        <f>IF(T$338&gt;$D$33,0,T418*Input!T$56/30)</f>
        <v>0</v>
      </c>
      <c r="U1116" s="229">
        <f>IF(U$338&gt;$D$33,0,U418*Input!U$56/30)</f>
        <v>0</v>
      </c>
      <c r="V1116" s="229">
        <f>IF(V$338&gt;$D$33,0,V418*Input!V$56/30)</f>
        <v>0</v>
      </c>
      <c r="W1116" s="229">
        <f>IF(W$338&gt;$D$33,0,W418*Input!W$56/30)</f>
        <v>0</v>
      </c>
      <c r="X1116" s="229">
        <f>IF(X$338&gt;$D$33,0,X418*Input!X$56/30)</f>
        <v>0</v>
      </c>
      <c r="Y1116" s="229">
        <f>IF(Y$338&gt;$D$33,0,Y418*Input!Y$56/30)</f>
        <v>0</v>
      </c>
      <c r="Z1116" s="229">
        <f>IF(Z$338&gt;$D$33,0,Z418*Input!Z$56/30)</f>
        <v>0</v>
      </c>
      <c r="AA1116" s="229">
        <f>IF(AA$338&gt;$D$33,0,AA418*Input!AA$56/30)</f>
        <v>0</v>
      </c>
      <c r="AB1116" s="229">
        <f>IF(AB$338&gt;$D$33,0,AB418*Input!AB$56/30)</f>
        <v>0</v>
      </c>
      <c r="CH1116" s="269"/>
      <c r="CI1116" s="269"/>
      <c r="CJ1116" s="269"/>
      <c r="CK1116" s="269"/>
      <c r="CL1116" s="269"/>
      <c r="CM1116" s="269"/>
      <c r="CN1116" s="269"/>
      <c r="CO1116" s="269"/>
      <c r="CP1116" s="269"/>
      <c r="CQ1116" s="269"/>
      <c r="CR1116" s="269"/>
      <c r="CS1116" s="269"/>
    </row>
    <row r="1117" spans="2:97" x14ac:dyDescent="0.3">
      <c r="C1117" s="495">
        <f>C1054</f>
        <v>305</v>
      </c>
      <c r="D1117" s="229">
        <f>IF(D$338&gt;$D$33,0,D419*Input!D$56/30)</f>
        <v>0</v>
      </c>
      <c r="E1117" s="229">
        <f>IF(E$338&gt;$D$33,0,E419*Input!E$56/30)</f>
        <v>0</v>
      </c>
      <c r="F1117" s="229">
        <f>IF(F$338&gt;$D$33,0,F419*Input!F$56/30)</f>
        <v>0</v>
      </c>
      <c r="G1117" s="229">
        <f>IF(G$338&gt;$D$33,0,G419*Input!G$56/30)</f>
        <v>0</v>
      </c>
      <c r="H1117" s="229">
        <f>IF(H$338&gt;$D$33,0,H419*Input!H$56/30)</f>
        <v>0</v>
      </c>
      <c r="I1117" s="229">
        <f>IF(I$338&gt;$D$33,0,I419*Input!I$56/30)</f>
        <v>0</v>
      </c>
      <c r="J1117" s="229">
        <f>IF(J$338&gt;$D$33,0,J419*Input!J$56/30)</f>
        <v>0</v>
      </c>
      <c r="K1117" s="229">
        <f>IF(K$338&gt;$D$33,0,K419*Input!K$56/30)</f>
        <v>0</v>
      </c>
      <c r="L1117" s="229">
        <f>IF(L$338&gt;$D$33,0,L419*Input!L$56/30)</f>
        <v>0</v>
      </c>
      <c r="M1117" s="229">
        <f>IF(M$338&gt;$D$33,0,M419*Input!M$56/30)</f>
        <v>0</v>
      </c>
      <c r="N1117" s="229">
        <f>IF(N$338&gt;$D$33,0,N419*Input!N$56/30)</f>
        <v>0</v>
      </c>
      <c r="O1117" s="229">
        <f>IF(O$338&gt;$D$33,0,O419*Input!O$56/30)</f>
        <v>0</v>
      </c>
      <c r="P1117" s="229">
        <f>IF(P$338&gt;$D$33,0,P419*Input!P$56/30)</f>
        <v>0</v>
      </c>
      <c r="Q1117" s="229">
        <f>IF(Q$338&gt;$D$33,0,Q419*Input!Q$56/30)</f>
        <v>0</v>
      </c>
      <c r="R1117" s="229">
        <f>IF(R$338&gt;$D$33,0,R419*Input!R$56/30)</f>
        <v>0</v>
      </c>
      <c r="S1117" s="229">
        <f>IF(S$338&gt;$D$33,0,S419*Input!S$56/30)</f>
        <v>0</v>
      </c>
      <c r="T1117" s="229">
        <f>IF(T$338&gt;$D$33,0,T419*Input!T$56/30)</f>
        <v>0</v>
      </c>
      <c r="U1117" s="229">
        <f>IF(U$338&gt;$D$33,0,U419*Input!U$56/30)</f>
        <v>0</v>
      </c>
      <c r="V1117" s="229">
        <f>IF(V$338&gt;$D$33,0,V419*Input!V$56/30)</f>
        <v>0</v>
      </c>
      <c r="W1117" s="229">
        <f>IF(W$338&gt;$D$33,0,W419*Input!W$56/30)</f>
        <v>0</v>
      </c>
      <c r="X1117" s="229">
        <f>IF(X$338&gt;$D$33,0,X419*Input!X$56/30)</f>
        <v>0</v>
      </c>
      <c r="Y1117" s="229">
        <f>IF(Y$338&gt;$D$33,0,Y419*Input!Y$56/30)</f>
        <v>0</v>
      </c>
      <c r="Z1117" s="229">
        <f>IF(Z$338&gt;$D$33,0,Z419*Input!Z$56/30)</f>
        <v>0</v>
      </c>
      <c r="AA1117" s="229">
        <f>IF(AA$338&gt;$D$33,0,AA419*Input!AA$56/30)</f>
        <v>0</v>
      </c>
      <c r="AB1117" s="229">
        <f>IF(AB$338&gt;$D$33,0,AB419*Input!AB$56/30)</f>
        <v>0</v>
      </c>
      <c r="CH1117" s="269"/>
      <c r="CI1117" s="269"/>
      <c r="CJ1117" s="269"/>
      <c r="CK1117" s="269"/>
      <c r="CL1117" s="269"/>
      <c r="CM1117" s="269"/>
      <c r="CN1117" s="269"/>
      <c r="CO1117" s="269"/>
      <c r="CP1117" s="269"/>
      <c r="CQ1117" s="269"/>
      <c r="CR1117" s="269"/>
      <c r="CS1117" s="269"/>
    </row>
    <row r="1118" spans="2:97" x14ac:dyDescent="0.3">
      <c r="C1118" s="495">
        <f>C1055</f>
        <v>335</v>
      </c>
      <c r="D1118" s="229">
        <f>IF(D$338&gt;$D$33,0,D420*Input!D$56/30)</f>
        <v>0</v>
      </c>
      <c r="E1118" s="229">
        <f>IF(E$338&gt;$D$33,0,E420*Input!E$56/30)</f>
        <v>0</v>
      </c>
      <c r="F1118" s="229">
        <f>IF(F$338&gt;$D$33,0,F420*Input!F$56/30)</f>
        <v>0</v>
      </c>
      <c r="G1118" s="229">
        <f>IF(G$338&gt;$D$33,0,G420*Input!G$56/30)</f>
        <v>0</v>
      </c>
      <c r="H1118" s="229">
        <f>IF(H$338&gt;$D$33,0,H420*Input!H$56/30)</f>
        <v>0</v>
      </c>
      <c r="I1118" s="229">
        <f>IF(I$338&gt;$D$33,0,I420*Input!I$56/30)</f>
        <v>0</v>
      </c>
      <c r="J1118" s="229">
        <f>IF(J$338&gt;$D$33,0,J420*Input!J$56/30)</f>
        <v>0</v>
      </c>
      <c r="K1118" s="229">
        <f>IF(K$338&gt;$D$33,0,K420*Input!K$56/30)</f>
        <v>0</v>
      </c>
      <c r="L1118" s="229">
        <f>IF(L$338&gt;$D$33,0,L420*Input!L$56/30)</f>
        <v>0</v>
      </c>
      <c r="M1118" s="229">
        <f>IF(M$338&gt;$D$33,0,M420*Input!M$56/30)</f>
        <v>0</v>
      </c>
      <c r="N1118" s="229">
        <f>IF(N$338&gt;$D$33,0,N420*Input!N$56/30)</f>
        <v>0</v>
      </c>
      <c r="O1118" s="229">
        <f>IF(O$338&gt;$D$33,0,O420*Input!O$56/30)</f>
        <v>0</v>
      </c>
      <c r="P1118" s="229">
        <f>IF(P$338&gt;$D$33,0,P420*Input!P$56/30)</f>
        <v>0</v>
      </c>
      <c r="Q1118" s="229">
        <f>IF(Q$338&gt;$D$33,0,Q420*Input!Q$56/30)</f>
        <v>0</v>
      </c>
      <c r="R1118" s="229">
        <f>IF(R$338&gt;$D$33,0,R420*Input!R$56/30)</f>
        <v>0</v>
      </c>
      <c r="S1118" s="229">
        <f>IF(S$338&gt;$D$33,0,S420*Input!S$56/30)</f>
        <v>0</v>
      </c>
      <c r="T1118" s="229">
        <f>IF(T$338&gt;$D$33,0,T420*Input!T$56/30)</f>
        <v>0</v>
      </c>
      <c r="U1118" s="229">
        <f>IF(U$338&gt;$D$33,0,U420*Input!U$56/30)</f>
        <v>0</v>
      </c>
      <c r="V1118" s="229">
        <f>IF(V$338&gt;$D$33,0,V420*Input!V$56/30)</f>
        <v>0</v>
      </c>
      <c r="W1118" s="229">
        <f>IF(W$338&gt;$D$33,0,W420*Input!W$56/30)</f>
        <v>0</v>
      </c>
      <c r="X1118" s="229">
        <f>IF(X$338&gt;$D$33,0,X420*Input!X$56/30)</f>
        <v>0</v>
      </c>
      <c r="Y1118" s="229">
        <f>IF(Y$338&gt;$D$33,0,Y420*Input!Y$56/30)</f>
        <v>0</v>
      </c>
      <c r="Z1118" s="229">
        <f>IF(Z$338&gt;$D$33,0,Z420*Input!Z$56/30)</f>
        <v>0</v>
      </c>
      <c r="AA1118" s="229">
        <f>IF(AA$338&gt;$D$33,0,AA420*Input!AA$56/30)</f>
        <v>0</v>
      </c>
      <c r="AB1118" s="229">
        <f>IF(AB$338&gt;$D$33,0,AB420*Input!AB$56/30)</f>
        <v>0</v>
      </c>
      <c r="CH1118" s="269"/>
      <c r="CI1118" s="269"/>
      <c r="CJ1118" s="269"/>
      <c r="CK1118" s="269"/>
      <c r="CL1118" s="269"/>
      <c r="CM1118" s="269"/>
      <c r="CN1118" s="269"/>
      <c r="CO1118" s="269"/>
      <c r="CP1118" s="269"/>
      <c r="CQ1118" s="269"/>
      <c r="CR1118" s="269"/>
      <c r="CS1118" s="269"/>
    </row>
    <row r="1119" spans="2:97" ht="12.5" thickBot="1" x14ac:dyDescent="0.35">
      <c r="C1119" s="496">
        <f>C1056</f>
        <v>366</v>
      </c>
      <c r="D1119" s="230">
        <f>IF(D$338&gt;$D$33,0,D421*Input!D$56/30)</f>
        <v>0</v>
      </c>
      <c r="E1119" s="230">
        <f>IF(E$338&gt;$D$33,0,E421*Input!E$56/30)</f>
        <v>0</v>
      </c>
      <c r="F1119" s="230">
        <f>IF(F$338&gt;$D$33,0,F421*Input!F$56/30)</f>
        <v>0</v>
      </c>
      <c r="G1119" s="230">
        <f>IF(G$338&gt;$D$33,0,G421*Input!G$56/30)</f>
        <v>0</v>
      </c>
      <c r="H1119" s="230">
        <f>IF(H$338&gt;$D$33,0,H421*Input!H$56/30)</f>
        <v>0</v>
      </c>
      <c r="I1119" s="230">
        <f>IF(I$338&gt;$D$33,0,I421*Input!I$56/30)</f>
        <v>0</v>
      </c>
      <c r="J1119" s="230">
        <f>IF(J$338&gt;$D$33,0,J421*Input!J$56/30)</f>
        <v>0</v>
      </c>
      <c r="K1119" s="230">
        <f>IF(K$338&gt;$D$33,0,K421*Input!K$56/30)</f>
        <v>0</v>
      </c>
      <c r="L1119" s="230">
        <f>IF(L$338&gt;$D$33,0,L421*Input!L$56/30)</f>
        <v>0</v>
      </c>
      <c r="M1119" s="230">
        <f>IF(M$338&gt;$D$33,0,M421*Input!M$56/30)</f>
        <v>0</v>
      </c>
      <c r="N1119" s="230">
        <f>IF(N$338&gt;$D$33,0,N421*Input!N$56/30)</f>
        <v>0</v>
      </c>
      <c r="O1119" s="230">
        <f>IF(O$338&gt;$D$33,0,O421*Input!O$56/30)</f>
        <v>0</v>
      </c>
      <c r="P1119" s="230">
        <f>IF(P$338&gt;$D$33,0,P421*Input!P$56/30)</f>
        <v>0</v>
      </c>
      <c r="Q1119" s="230">
        <f>IF(Q$338&gt;$D$33,0,Q421*Input!Q$56/30)</f>
        <v>0</v>
      </c>
      <c r="R1119" s="230">
        <f>IF(R$338&gt;$D$33,0,R421*Input!R$56/30)</f>
        <v>0</v>
      </c>
      <c r="S1119" s="230">
        <f>IF(S$338&gt;$D$33,0,S421*Input!S$56/30)</f>
        <v>0</v>
      </c>
      <c r="T1119" s="230">
        <f>IF(T$338&gt;$D$33,0,T421*Input!T$56/30)</f>
        <v>0</v>
      </c>
      <c r="U1119" s="230">
        <f>IF(U$338&gt;$D$33,0,U421*Input!U$56/30)</f>
        <v>0</v>
      </c>
      <c r="V1119" s="230">
        <f>IF(V$338&gt;$D$33,0,V421*Input!V$56/30)</f>
        <v>0</v>
      </c>
      <c r="W1119" s="230">
        <f>IF(W$338&gt;$D$33,0,W421*Input!W$56/30)</f>
        <v>0</v>
      </c>
      <c r="X1119" s="230">
        <f>IF(X$338&gt;$D$33,0,X421*Input!X$56/30)</f>
        <v>0</v>
      </c>
      <c r="Y1119" s="230">
        <f>IF(Y$338&gt;$D$33,0,Y421*Input!Y$56/30)</f>
        <v>0</v>
      </c>
      <c r="Z1119" s="230">
        <f>IF(Z$338&gt;$D$33,0,Z421*Input!Z$56/30)</f>
        <v>0</v>
      </c>
      <c r="AA1119" s="230">
        <f>IF(AA$338&gt;$D$33,0,AA421*Input!AA$56/30)</f>
        <v>0</v>
      </c>
      <c r="AB1119" s="230">
        <f>IF(AB$338&gt;$D$33,0,AB421*Input!AB$56/30)</f>
        <v>0</v>
      </c>
      <c r="CH1119" s="269"/>
      <c r="CI1119" s="269"/>
      <c r="CJ1119" s="269"/>
      <c r="CK1119" s="269"/>
      <c r="CL1119" s="269"/>
      <c r="CM1119" s="269"/>
      <c r="CN1119" s="269"/>
      <c r="CO1119" s="269"/>
      <c r="CP1119" s="269"/>
      <c r="CQ1119" s="269"/>
      <c r="CR1119" s="269"/>
      <c r="CS1119" s="269"/>
    </row>
    <row r="1120" spans="2:97" x14ac:dyDescent="0.3">
      <c r="C1120" s="495">
        <f>C1057</f>
        <v>397</v>
      </c>
      <c r="D1120" s="231">
        <f>IF(D$338&gt;$D$33,0,D422*Input!D$56/30)</f>
        <v>0</v>
      </c>
      <c r="E1120" s="231">
        <f>IF(E$338&gt;$D$33,0,E422*Input!E$56/30)</f>
        <v>0</v>
      </c>
      <c r="F1120" s="231">
        <f>IF(F$338&gt;$D$33,0,F422*Input!F$56/30)</f>
        <v>0</v>
      </c>
      <c r="G1120" s="231">
        <f>IF(G$338&gt;$D$33,0,G422*Input!G$56/30)</f>
        <v>0</v>
      </c>
      <c r="H1120" s="231">
        <f>IF(H$338&gt;$D$33,0,H422*Input!H$56/30)</f>
        <v>0</v>
      </c>
      <c r="I1120" s="231">
        <f>IF(I$338&gt;$D$33,0,I422*Input!I$56/30)</f>
        <v>0</v>
      </c>
      <c r="J1120" s="231">
        <f>IF(J$338&gt;$D$33,0,J422*Input!J$56/30)</f>
        <v>0</v>
      </c>
      <c r="K1120" s="231">
        <f>IF(K$338&gt;$D$33,0,K422*Input!K$56/30)</f>
        <v>0</v>
      </c>
      <c r="L1120" s="231">
        <f>IF(L$338&gt;$D$33,0,L422*Input!L$56/30)</f>
        <v>0</v>
      </c>
      <c r="M1120" s="231">
        <f>IF(M$338&gt;$D$33,0,M422*Input!M$56/30)</f>
        <v>0</v>
      </c>
      <c r="N1120" s="231">
        <f>IF(N$338&gt;$D$33,0,N422*Input!N$56/30)</f>
        <v>0</v>
      </c>
      <c r="O1120" s="231">
        <f>IF(O$338&gt;$D$33,0,O422*Input!O$56/30)</f>
        <v>0</v>
      </c>
      <c r="P1120" s="231">
        <f>IF(P$338&gt;$D$33,0,P422*Input!P$56/30)</f>
        <v>0</v>
      </c>
      <c r="Q1120" s="231">
        <f>IF(Q$338&gt;$D$33,0,Q422*Input!Q$56/30)</f>
        <v>0</v>
      </c>
      <c r="R1120" s="231">
        <f>IF(R$338&gt;$D$33,0,R422*Input!R$56/30)</f>
        <v>0</v>
      </c>
      <c r="S1120" s="231">
        <f>IF(S$338&gt;$D$33,0,S422*Input!S$56/30)</f>
        <v>0</v>
      </c>
      <c r="T1120" s="231">
        <f>IF(T$338&gt;$D$33,0,T422*Input!T$56/30)</f>
        <v>0</v>
      </c>
      <c r="U1120" s="231">
        <f>IF(U$338&gt;$D$33,0,U422*Input!U$56/30)</f>
        <v>0</v>
      </c>
      <c r="V1120" s="231">
        <f>IF(V$338&gt;$D$33,0,V422*Input!V$56/30)</f>
        <v>0</v>
      </c>
      <c r="W1120" s="231">
        <f>IF(W$338&gt;$D$33,0,W422*Input!W$56/30)</f>
        <v>0</v>
      </c>
      <c r="X1120" s="231">
        <f>IF(X$338&gt;$D$33,0,X422*Input!X$56/30)</f>
        <v>0</v>
      </c>
      <c r="Y1120" s="231">
        <f>IF(Y$338&gt;$D$33,0,Y422*Input!Y$56/30)</f>
        <v>0</v>
      </c>
      <c r="Z1120" s="231">
        <f>IF(Z$338&gt;$D$33,0,Z422*Input!Z$56/30)</f>
        <v>0</v>
      </c>
      <c r="AA1120" s="231">
        <f>IF(AA$338&gt;$D$33,0,AA422*Input!AA$56/30)</f>
        <v>0</v>
      </c>
      <c r="AB1120" s="231">
        <f>IF(AB$338&gt;$D$33,0,AB422*Input!AB$56/30)</f>
        <v>0</v>
      </c>
      <c r="CH1120" s="269"/>
      <c r="CI1120" s="269"/>
      <c r="CJ1120" s="269"/>
      <c r="CK1120" s="269"/>
      <c r="CL1120" s="269"/>
      <c r="CM1120" s="269"/>
      <c r="CN1120" s="269"/>
      <c r="CO1120" s="269"/>
      <c r="CP1120" s="269"/>
      <c r="CQ1120" s="269"/>
      <c r="CR1120" s="269"/>
      <c r="CS1120" s="269"/>
    </row>
    <row r="1121" spans="3:97" x14ac:dyDescent="0.3">
      <c r="C1121" s="495">
        <f>C1058</f>
        <v>425</v>
      </c>
      <c r="D1121" s="229">
        <f>IF(D$338&gt;$D$33,0,D423*Input!D$56/30)</f>
        <v>0</v>
      </c>
      <c r="E1121" s="229">
        <f>IF(E$338&gt;$D$33,0,E423*Input!E$56/30)</f>
        <v>0</v>
      </c>
      <c r="F1121" s="229">
        <f>IF(F$338&gt;$D$33,0,F423*Input!F$56/30)</f>
        <v>0</v>
      </c>
      <c r="G1121" s="229">
        <f>IF(G$338&gt;$D$33,0,G423*Input!G$56/30)</f>
        <v>0</v>
      </c>
      <c r="H1121" s="229">
        <f>IF(H$338&gt;$D$33,0,H423*Input!H$56/30)</f>
        <v>0</v>
      </c>
      <c r="I1121" s="229">
        <f>IF(I$338&gt;$D$33,0,I423*Input!I$56/30)</f>
        <v>0</v>
      </c>
      <c r="J1121" s="229">
        <f>IF(J$338&gt;$D$33,0,J423*Input!J$56/30)</f>
        <v>0</v>
      </c>
      <c r="K1121" s="229">
        <f>IF(K$338&gt;$D$33,0,K423*Input!K$56/30)</f>
        <v>0</v>
      </c>
      <c r="L1121" s="229">
        <f>IF(L$338&gt;$D$33,0,L423*Input!L$56/30)</f>
        <v>0</v>
      </c>
      <c r="M1121" s="229">
        <f>IF(M$338&gt;$D$33,0,M423*Input!M$56/30)</f>
        <v>0</v>
      </c>
      <c r="N1121" s="229">
        <f>IF(N$338&gt;$D$33,0,N423*Input!N$56/30)</f>
        <v>0</v>
      </c>
      <c r="O1121" s="229">
        <f>IF(O$338&gt;$D$33,0,O423*Input!O$56/30)</f>
        <v>0</v>
      </c>
      <c r="P1121" s="229">
        <f>IF(P$338&gt;$D$33,0,P423*Input!P$56/30)</f>
        <v>0</v>
      </c>
      <c r="Q1121" s="229">
        <f>IF(Q$338&gt;$D$33,0,Q423*Input!Q$56/30)</f>
        <v>0</v>
      </c>
      <c r="R1121" s="229">
        <f>IF(R$338&gt;$D$33,0,R423*Input!R$56/30)</f>
        <v>0</v>
      </c>
      <c r="S1121" s="229">
        <f>IF(S$338&gt;$D$33,0,S423*Input!S$56/30)</f>
        <v>0</v>
      </c>
      <c r="T1121" s="229">
        <f>IF(T$338&gt;$D$33,0,T423*Input!T$56/30)</f>
        <v>0</v>
      </c>
      <c r="U1121" s="229">
        <f>IF(U$338&gt;$D$33,0,U423*Input!U$56/30)</f>
        <v>0</v>
      </c>
      <c r="V1121" s="229">
        <f>IF(V$338&gt;$D$33,0,V423*Input!V$56/30)</f>
        <v>0</v>
      </c>
      <c r="W1121" s="229">
        <f>IF(W$338&gt;$D$33,0,W423*Input!W$56/30)</f>
        <v>0</v>
      </c>
      <c r="X1121" s="229">
        <f>IF(X$338&gt;$D$33,0,X423*Input!X$56/30)</f>
        <v>0</v>
      </c>
      <c r="Y1121" s="229">
        <f>IF(Y$338&gt;$D$33,0,Y423*Input!Y$56/30)</f>
        <v>0</v>
      </c>
      <c r="Z1121" s="229">
        <f>IF(Z$338&gt;$D$33,0,Z423*Input!Z$56/30)</f>
        <v>0</v>
      </c>
      <c r="AA1121" s="229">
        <f>IF(AA$338&gt;$D$33,0,AA423*Input!AA$56/30)</f>
        <v>0</v>
      </c>
      <c r="AB1121" s="229">
        <f>IF(AB$338&gt;$D$33,0,AB423*Input!AB$56/30)</f>
        <v>0</v>
      </c>
      <c r="CH1121" s="269"/>
      <c r="CI1121" s="269"/>
      <c r="CJ1121" s="269"/>
      <c r="CK1121" s="269"/>
      <c r="CL1121" s="269"/>
      <c r="CM1121" s="269"/>
      <c r="CN1121" s="269"/>
      <c r="CO1121" s="269"/>
      <c r="CP1121" s="269"/>
      <c r="CQ1121" s="269"/>
      <c r="CR1121" s="269"/>
      <c r="CS1121" s="269"/>
    </row>
    <row r="1122" spans="3:97" x14ac:dyDescent="0.3">
      <c r="C1122" s="495">
        <f>C1059</f>
        <v>456</v>
      </c>
      <c r="D1122" s="229">
        <f>IF(D$338&gt;$D$33,0,D424*Input!D$56/30)</f>
        <v>0</v>
      </c>
      <c r="E1122" s="229">
        <f>IF(E$338&gt;$D$33,0,E424*Input!E$56/30)</f>
        <v>0</v>
      </c>
      <c r="F1122" s="229">
        <f>IF(F$338&gt;$D$33,0,F424*Input!F$56/30)</f>
        <v>0</v>
      </c>
      <c r="G1122" s="229">
        <f>IF(G$338&gt;$D$33,0,G424*Input!G$56/30)</f>
        <v>0</v>
      </c>
      <c r="H1122" s="229">
        <f>IF(H$338&gt;$D$33,0,H424*Input!H$56/30)</f>
        <v>0</v>
      </c>
      <c r="I1122" s="229">
        <f>IF(I$338&gt;$D$33,0,I424*Input!I$56/30)</f>
        <v>0</v>
      </c>
      <c r="J1122" s="229">
        <f>IF(J$338&gt;$D$33,0,J424*Input!J$56/30)</f>
        <v>0</v>
      </c>
      <c r="K1122" s="229">
        <f>IF(K$338&gt;$D$33,0,K424*Input!K$56/30)</f>
        <v>0</v>
      </c>
      <c r="L1122" s="229">
        <f>IF(L$338&gt;$D$33,0,L424*Input!L$56/30)</f>
        <v>0</v>
      </c>
      <c r="M1122" s="229">
        <f>IF(M$338&gt;$D$33,0,M424*Input!M$56/30)</f>
        <v>0</v>
      </c>
      <c r="N1122" s="229">
        <f>IF(N$338&gt;$D$33,0,N424*Input!N$56/30)</f>
        <v>0</v>
      </c>
      <c r="O1122" s="229">
        <f>IF(O$338&gt;$D$33,0,O424*Input!O$56/30)</f>
        <v>0</v>
      </c>
      <c r="P1122" s="229">
        <f>IF(P$338&gt;$D$33,0,P424*Input!P$56/30)</f>
        <v>0</v>
      </c>
      <c r="Q1122" s="229">
        <f>IF(Q$338&gt;$D$33,0,Q424*Input!Q$56/30)</f>
        <v>0</v>
      </c>
      <c r="R1122" s="229">
        <f>IF(R$338&gt;$D$33,0,R424*Input!R$56/30)</f>
        <v>0</v>
      </c>
      <c r="S1122" s="229">
        <f>IF(S$338&gt;$D$33,0,S424*Input!S$56/30)</f>
        <v>0</v>
      </c>
      <c r="T1122" s="229">
        <f>IF(T$338&gt;$D$33,0,T424*Input!T$56/30)</f>
        <v>0</v>
      </c>
      <c r="U1122" s="229">
        <f>IF(U$338&gt;$D$33,0,U424*Input!U$56/30)</f>
        <v>0</v>
      </c>
      <c r="V1122" s="229">
        <f>IF(V$338&gt;$D$33,0,V424*Input!V$56/30)</f>
        <v>0</v>
      </c>
      <c r="W1122" s="229">
        <f>IF(W$338&gt;$D$33,0,W424*Input!W$56/30)</f>
        <v>0</v>
      </c>
      <c r="X1122" s="229">
        <f>IF(X$338&gt;$D$33,0,X424*Input!X$56/30)</f>
        <v>0</v>
      </c>
      <c r="Y1122" s="229">
        <f>IF(Y$338&gt;$D$33,0,Y424*Input!Y$56/30)</f>
        <v>0</v>
      </c>
      <c r="Z1122" s="229">
        <f>IF(Z$338&gt;$D$33,0,Z424*Input!Z$56/30)</f>
        <v>0</v>
      </c>
      <c r="AA1122" s="229">
        <f>IF(AA$338&gt;$D$33,0,AA424*Input!AA$56/30)</f>
        <v>0</v>
      </c>
      <c r="AB1122" s="229">
        <f>IF(AB$338&gt;$D$33,0,AB424*Input!AB$56/30)</f>
        <v>0</v>
      </c>
      <c r="CH1122" s="269"/>
      <c r="CI1122" s="269"/>
      <c r="CJ1122" s="269"/>
      <c r="CK1122" s="269"/>
      <c r="CL1122" s="269"/>
      <c r="CM1122" s="269"/>
      <c r="CN1122" s="269"/>
      <c r="CO1122" s="269"/>
      <c r="CP1122" s="269"/>
      <c r="CQ1122" s="269"/>
      <c r="CR1122" s="269"/>
      <c r="CS1122" s="269"/>
    </row>
    <row r="1123" spans="3:97" x14ac:dyDescent="0.3">
      <c r="C1123" s="495">
        <f>C1060</f>
        <v>486</v>
      </c>
      <c r="D1123" s="229">
        <f>IF(D$338&gt;$D$33,0,D425*Input!D$56/30)</f>
        <v>0</v>
      </c>
      <c r="E1123" s="229">
        <f>IF(E$338&gt;$D$33,0,E425*Input!E$56/30)</f>
        <v>0</v>
      </c>
      <c r="F1123" s="229">
        <f>IF(F$338&gt;$D$33,0,F425*Input!F$56/30)</f>
        <v>0</v>
      </c>
      <c r="G1123" s="229">
        <f>IF(G$338&gt;$D$33,0,G425*Input!G$56/30)</f>
        <v>0</v>
      </c>
      <c r="H1123" s="229">
        <f>IF(H$338&gt;$D$33,0,H425*Input!H$56/30)</f>
        <v>0</v>
      </c>
      <c r="I1123" s="229">
        <f>IF(I$338&gt;$D$33,0,I425*Input!I$56/30)</f>
        <v>0</v>
      </c>
      <c r="J1123" s="229">
        <f>IF(J$338&gt;$D$33,0,J425*Input!J$56/30)</f>
        <v>0</v>
      </c>
      <c r="K1123" s="229">
        <f>IF(K$338&gt;$D$33,0,K425*Input!K$56/30)</f>
        <v>0</v>
      </c>
      <c r="L1123" s="229">
        <f>IF(L$338&gt;$D$33,0,L425*Input!L$56/30)</f>
        <v>0</v>
      </c>
      <c r="M1123" s="229">
        <f>IF(M$338&gt;$D$33,0,M425*Input!M$56/30)</f>
        <v>0</v>
      </c>
      <c r="N1123" s="229">
        <f>IF(N$338&gt;$D$33,0,N425*Input!N$56/30)</f>
        <v>0</v>
      </c>
      <c r="O1123" s="229">
        <f>IF(O$338&gt;$D$33,0,O425*Input!O$56/30)</f>
        <v>0</v>
      </c>
      <c r="P1123" s="229">
        <f>IF(P$338&gt;$D$33,0,P425*Input!P$56/30)</f>
        <v>0</v>
      </c>
      <c r="Q1123" s="229">
        <f>IF(Q$338&gt;$D$33,0,Q425*Input!Q$56/30)</f>
        <v>0</v>
      </c>
      <c r="R1123" s="229">
        <f>IF(R$338&gt;$D$33,0,R425*Input!R$56/30)</f>
        <v>0</v>
      </c>
      <c r="S1123" s="229">
        <f>IF(S$338&gt;$D$33,0,S425*Input!S$56/30)</f>
        <v>0</v>
      </c>
      <c r="T1123" s="229">
        <f>IF(T$338&gt;$D$33,0,T425*Input!T$56/30)</f>
        <v>0</v>
      </c>
      <c r="U1123" s="229">
        <f>IF(U$338&gt;$D$33,0,U425*Input!U$56/30)</f>
        <v>0</v>
      </c>
      <c r="V1123" s="229">
        <f>IF(V$338&gt;$D$33,0,V425*Input!V$56/30)</f>
        <v>0</v>
      </c>
      <c r="W1123" s="229">
        <f>IF(W$338&gt;$D$33,0,W425*Input!W$56/30)</f>
        <v>0</v>
      </c>
      <c r="X1123" s="229">
        <f>IF(X$338&gt;$D$33,0,X425*Input!X$56/30)</f>
        <v>0</v>
      </c>
      <c r="Y1123" s="229">
        <f>IF(Y$338&gt;$D$33,0,Y425*Input!Y$56/30)</f>
        <v>0</v>
      </c>
      <c r="Z1123" s="229">
        <f>IF(Z$338&gt;$D$33,0,Z425*Input!Z$56/30)</f>
        <v>0</v>
      </c>
      <c r="AA1123" s="229">
        <f>IF(AA$338&gt;$D$33,0,AA425*Input!AA$56/30)</f>
        <v>0</v>
      </c>
      <c r="AB1123" s="229">
        <f>IF(AB$338&gt;$D$33,0,AB425*Input!AB$56/30)</f>
        <v>0</v>
      </c>
      <c r="CH1123" s="269"/>
      <c r="CI1123" s="269"/>
      <c r="CJ1123" s="269"/>
      <c r="CK1123" s="269"/>
      <c r="CL1123" s="269"/>
      <c r="CM1123" s="269"/>
      <c r="CN1123" s="269"/>
      <c r="CO1123" s="269"/>
      <c r="CP1123" s="269"/>
      <c r="CQ1123" s="269"/>
      <c r="CR1123" s="269"/>
      <c r="CS1123" s="269"/>
    </row>
    <row r="1124" spans="3:97" x14ac:dyDescent="0.3">
      <c r="C1124" s="495">
        <f>C1061</f>
        <v>517</v>
      </c>
      <c r="D1124" s="229">
        <f>IF(D$338&gt;$D$33,0,D426*Input!D$56/30)</f>
        <v>0</v>
      </c>
      <c r="E1124" s="229">
        <f>IF(E$338&gt;$D$33,0,E426*Input!E$56/30)</f>
        <v>0</v>
      </c>
      <c r="F1124" s="229">
        <f>IF(F$338&gt;$D$33,0,F426*Input!F$56/30)</f>
        <v>0</v>
      </c>
      <c r="G1124" s="229">
        <f>IF(G$338&gt;$D$33,0,G426*Input!G$56/30)</f>
        <v>0</v>
      </c>
      <c r="H1124" s="229">
        <f>IF(H$338&gt;$D$33,0,H426*Input!H$56/30)</f>
        <v>0</v>
      </c>
      <c r="I1124" s="229">
        <f>IF(I$338&gt;$D$33,0,I426*Input!I$56/30)</f>
        <v>0</v>
      </c>
      <c r="J1124" s="229">
        <f>IF(J$338&gt;$D$33,0,J426*Input!J$56/30)</f>
        <v>0</v>
      </c>
      <c r="K1124" s="229">
        <f>IF(K$338&gt;$D$33,0,K426*Input!K$56/30)</f>
        <v>0</v>
      </c>
      <c r="L1124" s="229">
        <f>IF(L$338&gt;$D$33,0,L426*Input!L$56/30)</f>
        <v>0</v>
      </c>
      <c r="M1124" s="229">
        <f>IF(M$338&gt;$D$33,0,M426*Input!M$56/30)</f>
        <v>0</v>
      </c>
      <c r="N1124" s="229">
        <f>IF(N$338&gt;$D$33,0,N426*Input!N$56/30)</f>
        <v>0</v>
      </c>
      <c r="O1124" s="229">
        <f>IF(O$338&gt;$D$33,0,O426*Input!O$56/30)</f>
        <v>0</v>
      </c>
      <c r="P1124" s="229">
        <f>IF(P$338&gt;$D$33,0,P426*Input!P$56/30)</f>
        <v>0</v>
      </c>
      <c r="Q1124" s="229">
        <f>IF(Q$338&gt;$D$33,0,Q426*Input!Q$56/30)</f>
        <v>0</v>
      </c>
      <c r="R1124" s="229">
        <f>IF(R$338&gt;$D$33,0,R426*Input!R$56/30)</f>
        <v>0</v>
      </c>
      <c r="S1124" s="229">
        <f>IF(S$338&gt;$D$33,0,S426*Input!S$56/30)</f>
        <v>0</v>
      </c>
      <c r="T1124" s="229">
        <f>IF(T$338&gt;$D$33,0,T426*Input!T$56/30)</f>
        <v>0</v>
      </c>
      <c r="U1124" s="229">
        <f>IF(U$338&gt;$D$33,0,U426*Input!U$56/30)</f>
        <v>0</v>
      </c>
      <c r="V1124" s="229">
        <f>IF(V$338&gt;$D$33,0,V426*Input!V$56/30)</f>
        <v>0</v>
      </c>
      <c r="W1124" s="229">
        <f>IF(W$338&gt;$D$33,0,W426*Input!W$56/30)</f>
        <v>0</v>
      </c>
      <c r="X1124" s="229">
        <f>IF(X$338&gt;$D$33,0,X426*Input!X$56/30)</f>
        <v>0</v>
      </c>
      <c r="Y1124" s="229">
        <f>IF(Y$338&gt;$D$33,0,Y426*Input!Y$56/30)</f>
        <v>0</v>
      </c>
      <c r="Z1124" s="229">
        <f>IF(Z$338&gt;$D$33,0,Z426*Input!Z$56/30)</f>
        <v>0</v>
      </c>
      <c r="AA1124" s="229">
        <f>IF(AA$338&gt;$D$33,0,AA426*Input!AA$56/30)</f>
        <v>0</v>
      </c>
      <c r="AB1124" s="229">
        <f>IF(AB$338&gt;$D$33,0,AB426*Input!AB$56/30)</f>
        <v>0</v>
      </c>
      <c r="CH1124" s="269"/>
      <c r="CI1124" s="269"/>
      <c r="CJ1124" s="269"/>
      <c r="CK1124" s="269"/>
      <c r="CL1124" s="269"/>
      <c r="CM1124" s="269"/>
      <c r="CN1124" s="269"/>
      <c r="CO1124" s="269"/>
      <c r="CP1124" s="269"/>
      <c r="CQ1124" s="269"/>
      <c r="CR1124" s="269"/>
      <c r="CS1124" s="269"/>
    </row>
    <row r="1125" spans="3:97" x14ac:dyDescent="0.3">
      <c r="C1125" s="495">
        <f>C1062</f>
        <v>547</v>
      </c>
      <c r="D1125" s="229">
        <f>IF(D$338&gt;$D$33,0,D427*Input!D$56/30)</f>
        <v>0</v>
      </c>
      <c r="E1125" s="229">
        <f>IF(E$338&gt;$D$33,0,E427*Input!E$56/30)</f>
        <v>0</v>
      </c>
      <c r="F1125" s="229">
        <f>IF(F$338&gt;$D$33,0,F427*Input!F$56/30)</f>
        <v>0</v>
      </c>
      <c r="G1125" s="229">
        <f>IF(G$338&gt;$D$33,0,G427*Input!G$56/30)</f>
        <v>0</v>
      </c>
      <c r="H1125" s="229">
        <f>IF(H$338&gt;$D$33,0,H427*Input!H$56/30)</f>
        <v>0</v>
      </c>
      <c r="I1125" s="229">
        <f>IF(I$338&gt;$D$33,0,I427*Input!I$56/30)</f>
        <v>0</v>
      </c>
      <c r="J1125" s="229">
        <f>IF(J$338&gt;$D$33,0,J427*Input!J$56/30)</f>
        <v>0</v>
      </c>
      <c r="K1125" s="229">
        <f>IF(K$338&gt;$D$33,0,K427*Input!K$56/30)</f>
        <v>0</v>
      </c>
      <c r="L1125" s="229">
        <f>IF(L$338&gt;$D$33,0,L427*Input!L$56/30)</f>
        <v>0</v>
      </c>
      <c r="M1125" s="229">
        <f>IF(M$338&gt;$D$33,0,M427*Input!M$56/30)</f>
        <v>0</v>
      </c>
      <c r="N1125" s="229">
        <f>IF(N$338&gt;$D$33,0,N427*Input!N$56/30)</f>
        <v>0</v>
      </c>
      <c r="O1125" s="229">
        <f>IF(O$338&gt;$D$33,0,O427*Input!O$56/30)</f>
        <v>0</v>
      </c>
      <c r="P1125" s="229">
        <f>IF(P$338&gt;$D$33,0,P427*Input!P$56/30)</f>
        <v>0</v>
      </c>
      <c r="Q1125" s="229">
        <f>IF(Q$338&gt;$D$33,0,Q427*Input!Q$56/30)</f>
        <v>0</v>
      </c>
      <c r="R1125" s="229">
        <f>IF(R$338&gt;$D$33,0,R427*Input!R$56/30)</f>
        <v>0</v>
      </c>
      <c r="S1125" s="229">
        <f>IF(S$338&gt;$D$33,0,S427*Input!S$56/30)</f>
        <v>0</v>
      </c>
      <c r="T1125" s="229">
        <f>IF(T$338&gt;$D$33,0,T427*Input!T$56/30)</f>
        <v>0</v>
      </c>
      <c r="U1125" s="229">
        <f>IF(U$338&gt;$D$33,0,U427*Input!U$56/30)</f>
        <v>0</v>
      </c>
      <c r="V1125" s="229">
        <f>IF(V$338&gt;$D$33,0,V427*Input!V$56/30)</f>
        <v>0</v>
      </c>
      <c r="W1125" s="229">
        <f>IF(W$338&gt;$D$33,0,W427*Input!W$56/30)</f>
        <v>0</v>
      </c>
      <c r="X1125" s="229">
        <f>IF(X$338&gt;$D$33,0,X427*Input!X$56/30)</f>
        <v>0</v>
      </c>
      <c r="Y1125" s="229">
        <f>IF(Y$338&gt;$D$33,0,Y427*Input!Y$56/30)</f>
        <v>0</v>
      </c>
      <c r="Z1125" s="229">
        <f>IF(Z$338&gt;$D$33,0,Z427*Input!Z$56/30)</f>
        <v>0</v>
      </c>
      <c r="AA1125" s="229">
        <f>IF(AA$338&gt;$D$33,0,AA427*Input!AA$56/30)</f>
        <v>0</v>
      </c>
      <c r="AB1125" s="229">
        <f>IF(AB$338&gt;$D$33,0,AB427*Input!AB$56/30)</f>
        <v>0</v>
      </c>
      <c r="CH1125" s="269"/>
      <c r="CI1125" s="269"/>
      <c r="CJ1125" s="269"/>
      <c r="CK1125" s="269"/>
      <c r="CL1125" s="269"/>
      <c r="CM1125" s="269"/>
      <c r="CN1125" s="269"/>
      <c r="CO1125" s="269"/>
      <c r="CP1125" s="269"/>
      <c r="CQ1125" s="269"/>
      <c r="CR1125" s="269"/>
      <c r="CS1125" s="269"/>
    </row>
    <row r="1126" spans="3:97" x14ac:dyDescent="0.3">
      <c r="C1126" s="495">
        <f>C1063</f>
        <v>578</v>
      </c>
      <c r="D1126" s="229">
        <f>IF(D$338&gt;$D$33,0,D428*Input!D$56/30)</f>
        <v>0</v>
      </c>
      <c r="E1126" s="229">
        <f>IF(E$338&gt;$D$33,0,E428*Input!E$56/30)</f>
        <v>0</v>
      </c>
      <c r="F1126" s="229">
        <f>IF(F$338&gt;$D$33,0,F428*Input!F$56/30)</f>
        <v>0</v>
      </c>
      <c r="G1126" s="229">
        <f>IF(G$338&gt;$D$33,0,G428*Input!G$56/30)</f>
        <v>0</v>
      </c>
      <c r="H1126" s="229">
        <f>IF(H$338&gt;$D$33,0,H428*Input!H$56/30)</f>
        <v>0</v>
      </c>
      <c r="I1126" s="229">
        <f>IF(I$338&gt;$D$33,0,I428*Input!I$56/30)</f>
        <v>0</v>
      </c>
      <c r="J1126" s="229">
        <f>IF(J$338&gt;$D$33,0,J428*Input!J$56/30)</f>
        <v>0</v>
      </c>
      <c r="K1126" s="229">
        <f>IF(K$338&gt;$D$33,0,K428*Input!K$56/30)</f>
        <v>0</v>
      </c>
      <c r="L1126" s="229">
        <f>IF(L$338&gt;$D$33,0,L428*Input!L$56/30)</f>
        <v>0</v>
      </c>
      <c r="M1126" s="229">
        <f>IF(M$338&gt;$D$33,0,M428*Input!M$56/30)</f>
        <v>0</v>
      </c>
      <c r="N1126" s="229">
        <f>IF(N$338&gt;$D$33,0,N428*Input!N$56/30)</f>
        <v>0</v>
      </c>
      <c r="O1126" s="229">
        <f>IF(O$338&gt;$D$33,0,O428*Input!O$56/30)</f>
        <v>0</v>
      </c>
      <c r="P1126" s="229">
        <f>IF(P$338&gt;$D$33,0,P428*Input!P$56/30)</f>
        <v>0</v>
      </c>
      <c r="Q1126" s="229">
        <f>IF(Q$338&gt;$D$33,0,Q428*Input!Q$56/30)</f>
        <v>0</v>
      </c>
      <c r="R1126" s="229">
        <f>IF(R$338&gt;$D$33,0,R428*Input!R$56/30)</f>
        <v>0</v>
      </c>
      <c r="S1126" s="229">
        <f>IF(S$338&gt;$D$33,0,S428*Input!S$56/30)</f>
        <v>0</v>
      </c>
      <c r="T1126" s="229">
        <f>IF(T$338&gt;$D$33,0,T428*Input!T$56/30)</f>
        <v>0</v>
      </c>
      <c r="U1126" s="229">
        <f>IF(U$338&gt;$D$33,0,U428*Input!U$56/30)</f>
        <v>0</v>
      </c>
      <c r="V1126" s="229">
        <f>IF(V$338&gt;$D$33,0,V428*Input!V$56/30)</f>
        <v>0</v>
      </c>
      <c r="W1126" s="229">
        <f>IF(W$338&gt;$D$33,0,W428*Input!W$56/30)</f>
        <v>0</v>
      </c>
      <c r="X1126" s="229">
        <f>IF(X$338&gt;$D$33,0,X428*Input!X$56/30)</f>
        <v>0</v>
      </c>
      <c r="Y1126" s="229">
        <f>IF(Y$338&gt;$D$33,0,Y428*Input!Y$56/30)</f>
        <v>0</v>
      </c>
      <c r="Z1126" s="229">
        <f>IF(Z$338&gt;$D$33,0,Z428*Input!Z$56/30)</f>
        <v>0</v>
      </c>
      <c r="AA1126" s="229">
        <f>IF(AA$338&gt;$D$33,0,AA428*Input!AA$56/30)</f>
        <v>0</v>
      </c>
      <c r="AB1126" s="229">
        <f>IF(AB$338&gt;$D$33,0,AB428*Input!AB$56/30)</f>
        <v>0</v>
      </c>
      <c r="CH1126" s="269"/>
      <c r="CI1126" s="269"/>
      <c r="CJ1126" s="269"/>
      <c r="CK1126" s="269"/>
      <c r="CL1126" s="269"/>
      <c r="CM1126" s="269"/>
      <c r="CN1126" s="269"/>
      <c r="CO1126" s="269"/>
      <c r="CP1126" s="269"/>
      <c r="CQ1126" s="269"/>
      <c r="CR1126" s="269"/>
      <c r="CS1126" s="269"/>
    </row>
    <row r="1127" spans="3:97" x14ac:dyDescent="0.3">
      <c r="C1127" s="495">
        <f>C1064</f>
        <v>609</v>
      </c>
      <c r="D1127" s="229">
        <f>IF(D$338&gt;$D$33,0,D429*Input!D$56/30)</f>
        <v>0</v>
      </c>
      <c r="E1127" s="229">
        <f>IF(E$338&gt;$D$33,0,E429*Input!E$56/30)</f>
        <v>0</v>
      </c>
      <c r="F1127" s="229">
        <f>IF(F$338&gt;$D$33,0,F429*Input!F$56/30)</f>
        <v>0</v>
      </c>
      <c r="G1127" s="229">
        <f>IF(G$338&gt;$D$33,0,G429*Input!G$56/30)</f>
        <v>0</v>
      </c>
      <c r="H1127" s="229">
        <f>IF(H$338&gt;$D$33,0,H429*Input!H$56/30)</f>
        <v>0</v>
      </c>
      <c r="I1127" s="229">
        <f>IF(I$338&gt;$D$33,0,I429*Input!I$56/30)</f>
        <v>0</v>
      </c>
      <c r="J1127" s="229">
        <f>IF(J$338&gt;$D$33,0,J429*Input!J$56/30)</f>
        <v>0</v>
      </c>
      <c r="K1127" s="229">
        <f>IF(K$338&gt;$D$33,0,K429*Input!K$56/30)</f>
        <v>0</v>
      </c>
      <c r="L1127" s="229">
        <f>IF(L$338&gt;$D$33,0,L429*Input!L$56/30)</f>
        <v>0</v>
      </c>
      <c r="M1127" s="229">
        <f>IF(M$338&gt;$D$33,0,M429*Input!M$56/30)</f>
        <v>0</v>
      </c>
      <c r="N1127" s="229">
        <f>IF(N$338&gt;$D$33,0,N429*Input!N$56/30)</f>
        <v>0</v>
      </c>
      <c r="O1127" s="229">
        <f>IF(O$338&gt;$D$33,0,O429*Input!O$56/30)</f>
        <v>0</v>
      </c>
      <c r="P1127" s="229">
        <f>IF(P$338&gt;$D$33,0,P429*Input!P$56/30)</f>
        <v>0</v>
      </c>
      <c r="Q1127" s="229">
        <f>IF(Q$338&gt;$D$33,0,Q429*Input!Q$56/30)</f>
        <v>0</v>
      </c>
      <c r="R1127" s="229">
        <f>IF(R$338&gt;$D$33,0,R429*Input!R$56/30)</f>
        <v>0</v>
      </c>
      <c r="S1127" s="229">
        <f>IF(S$338&gt;$D$33,0,S429*Input!S$56/30)</f>
        <v>0</v>
      </c>
      <c r="T1127" s="229">
        <f>IF(T$338&gt;$D$33,0,T429*Input!T$56/30)</f>
        <v>0</v>
      </c>
      <c r="U1127" s="229">
        <f>IF(U$338&gt;$D$33,0,U429*Input!U$56/30)</f>
        <v>0</v>
      </c>
      <c r="V1127" s="229">
        <f>IF(V$338&gt;$D$33,0,V429*Input!V$56/30)</f>
        <v>0</v>
      </c>
      <c r="W1127" s="229">
        <f>IF(W$338&gt;$D$33,0,W429*Input!W$56/30)</f>
        <v>0</v>
      </c>
      <c r="X1127" s="229">
        <f>IF(X$338&gt;$D$33,0,X429*Input!X$56/30)</f>
        <v>0</v>
      </c>
      <c r="Y1127" s="229">
        <f>IF(Y$338&gt;$D$33,0,Y429*Input!Y$56/30)</f>
        <v>0</v>
      </c>
      <c r="Z1127" s="229">
        <f>IF(Z$338&gt;$D$33,0,Z429*Input!Z$56/30)</f>
        <v>0</v>
      </c>
      <c r="AA1127" s="229">
        <f>IF(AA$338&gt;$D$33,0,AA429*Input!AA$56/30)</f>
        <v>0</v>
      </c>
      <c r="AB1127" s="229">
        <f>IF(AB$338&gt;$D$33,0,AB429*Input!AB$56/30)</f>
        <v>0</v>
      </c>
      <c r="CH1127" s="269"/>
      <c r="CI1127" s="269"/>
      <c r="CJ1127" s="269"/>
      <c r="CK1127" s="269"/>
      <c r="CL1127" s="269"/>
      <c r="CM1127" s="269"/>
      <c r="CN1127" s="269"/>
      <c r="CO1127" s="269"/>
      <c r="CP1127" s="269"/>
      <c r="CQ1127" s="269"/>
      <c r="CR1127" s="269"/>
      <c r="CS1127" s="269"/>
    </row>
    <row r="1128" spans="3:97" x14ac:dyDescent="0.3">
      <c r="C1128" s="495">
        <f>C1065</f>
        <v>639</v>
      </c>
      <c r="D1128" s="229">
        <f>IF(D$338&gt;$D$33,0,D430*Input!D$56/30)</f>
        <v>0</v>
      </c>
      <c r="E1128" s="229">
        <f>IF(E$338&gt;$D$33,0,E430*Input!E$56/30)</f>
        <v>0</v>
      </c>
      <c r="F1128" s="229">
        <f>IF(F$338&gt;$D$33,0,F430*Input!F$56/30)</f>
        <v>0</v>
      </c>
      <c r="G1128" s="229">
        <f>IF(G$338&gt;$D$33,0,G430*Input!G$56/30)</f>
        <v>0</v>
      </c>
      <c r="H1128" s="229">
        <f>IF(H$338&gt;$D$33,0,H430*Input!H$56/30)</f>
        <v>0</v>
      </c>
      <c r="I1128" s="229">
        <f>IF(I$338&gt;$D$33,0,I430*Input!I$56/30)</f>
        <v>0</v>
      </c>
      <c r="J1128" s="229">
        <f>IF(J$338&gt;$D$33,0,J430*Input!J$56/30)</f>
        <v>0</v>
      </c>
      <c r="K1128" s="229">
        <f>IF(K$338&gt;$D$33,0,K430*Input!K$56/30)</f>
        <v>0</v>
      </c>
      <c r="L1128" s="229">
        <f>IF(L$338&gt;$D$33,0,L430*Input!L$56/30)</f>
        <v>0</v>
      </c>
      <c r="M1128" s="229">
        <f>IF(M$338&gt;$D$33,0,M430*Input!M$56/30)</f>
        <v>0</v>
      </c>
      <c r="N1128" s="229">
        <f>IF(N$338&gt;$D$33,0,N430*Input!N$56/30)</f>
        <v>0</v>
      </c>
      <c r="O1128" s="229">
        <f>IF(O$338&gt;$D$33,0,O430*Input!O$56/30)</f>
        <v>0</v>
      </c>
      <c r="P1128" s="229">
        <f>IF(P$338&gt;$D$33,0,P430*Input!P$56/30)</f>
        <v>0</v>
      </c>
      <c r="Q1128" s="229">
        <f>IF(Q$338&gt;$D$33,0,Q430*Input!Q$56/30)</f>
        <v>0</v>
      </c>
      <c r="R1128" s="229">
        <f>IF(R$338&gt;$D$33,0,R430*Input!R$56/30)</f>
        <v>0</v>
      </c>
      <c r="S1128" s="229">
        <f>IF(S$338&gt;$D$33,0,S430*Input!S$56/30)</f>
        <v>0</v>
      </c>
      <c r="T1128" s="229">
        <f>IF(T$338&gt;$D$33,0,T430*Input!T$56/30)</f>
        <v>0</v>
      </c>
      <c r="U1128" s="229">
        <f>IF(U$338&gt;$D$33,0,U430*Input!U$56/30)</f>
        <v>0</v>
      </c>
      <c r="V1128" s="229">
        <f>IF(V$338&gt;$D$33,0,V430*Input!V$56/30)</f>
        <v>0</v>
      </c>
      <c r="W1128" s="229">
        <f>IF(W$338&gt;$D$33,0,W430*Input!W$56/30)</f>
        <v>0</v>
      </c>
      <c r="X1128" s="229">
        <f>IF(X$338&gt;$D$33,0,X430*Input!X$56/30)</f>
        <v>0</v>
      </c>
      <c r="Y1128" s="229">
        <f>IF(Y$338&gt;$D$33,0,Y430*Input!Y$56/30)</f>
        <v>0</v>
      </c>
      <c r="Z1128" s="229">
        <f>IF(Z$338&gt;$D$33,0,Z430*Input!Z$56/30)</f>
        <v>0</v>
      </c>
      <c r="AA1128" s="229">
        <f>IF(AA$338&gt;$D$33,0,AA430*Input!AA$56/30)</f>
        <v>0</v>
      </c>
      <c r="AB1128" s="229">
        <f>IF(AB$338&gt;$D$33,0,AB430*Input!AB$56/30)</f>
        <v>0</v>
      </c>
      <c r="CH1128" s="269"/>
      <c r="CI1128" s="269"/>
      <c r="CJ1128" s="269"/>
      <c r="CK1128" s="269"/>
      <c r="CL1128" s="269"/>
      <c r="CM1128" s="269"/>
      <c r="CN1128" s="269"/>
      <c r="CO1128" s="269"/>
      <c r="CP1128" s="269"/>
      <c r="CQ1128" s="269"/>
      <c r="CR1128" s="269"/>
      <c r="CS1128" s="269"/>
    </row>
    <row r="1129" spans="3:97" x14ac:dyDescent="0.3">
      <c r="C1129" s="495">
        <f>C1066</f>
        <v>670</v>
      </c>
      <c r="D1129" s="229">
        <f>IF(D$338&gt;$D$33,0,D431*Input!D$56/30)</f>
        <v>0</v>
      </c>
      <c r="E1129" s="229">
        <f>IF(E$338&gt;$D$33,0,E431*Input!E$56/30)</f>
        <v>0</v>
      </c>
      <c r="F1129" s="229">
        <f>IF(F$338&gt;$D$33,0,F431*Input!F$56/30)</f>
        <v>0</v>
      </c>
      <c r="G1129" s="229">
        <f>IF(G$338&gt;$D$33,0,G431*Input!G$56/30)</f>
        <v>0</v>
      </c>
      <c r="H1129" s="229">
        <f>IF(H$338&gt;$D$33,0,H431*Input!H$56/30)</f>
        <v>0</v>
      </c>
      <c r="I1129" s="229">
        <f>IF(I$338&gt;$D$33,0,I431*Input!I$56/30)</f>
        <v>0</v>
      </c>
      <c r="J1129" s="229">
        <f>IF(J$338&gt;$D$33,0,J431*Input!J$56/30)</f>
        <v>0</v>
      </c>
      <c r="K1129" s="229">
        <f>IF(K$338&gt;$D$33,0,K431*Input!K$56/30)</f>
        <v>0</v>
      </c>
      <c r="L1129" s="229">
        <f>IF(L$338&gt;$D$33,0,L431*Input!L$56/30)</f>
        <v>0</v>
      </c>
      <c r="M1129" s="229">
        <f>IF(M$338&gt;$D$33,0,M431*Input!M$56/30)</f>
        <v>0</v>
      </c>
      <c r="N1129" s="229">
        <f>IF(N$338&gt;$D$33,0,N431*Input!N$56/30)</f>
        <v>0</v>
      </c>
      <c r="O1129" s="229">
        <f>IF(O$338&gt;$D$33,0,O431*Input!O$56/30)</f>
        <v>0</v>
      </c>
      <c r="P1129" s="229">
        <f>IF(P$338&gt;$D$33,0,P431*Input!P$56/30)</f>
        <v>0</v>
      </c>
      <c r="Q1129" s="229">
        <f>IF(Q$338&gt;$D$33,0,Q431*Input!Q$56/30)</f>
        <v>0</v>
      </c>
      <c r="R1129" s="229">
        <f>IF(R$338&gt;$D$33,0,R431*Input!R$56/30)</f>
        <v>0</v>
      </c>
      <c r="S1129" s="229">
        <f>IF(S$338&gt;$D$33,0,S431*Input!S$56/30)</f>
        <v>0</v>
      </c>
      <c r="T1129" s="229">
        <f>IF(T$338&gt;$D$33,0,T431*Input!T$56/30)</f>
        <v>0</v>
      </c>
      <c r="U1129" s="229">
        <f>IF(U$338&gt;$D$33,0,U431*Input!U$56/30)</f>
        <v>0</v>
      </c>
      <c r="V1129" s="229">
        <f>IF(V$338&gt;$D$33,0,V431*Input!V$56/30)</f>
        <v>0</v>
      </c>
      <c r="W1129" s="229">
        <f>IF(W$338&gt;$D$33,0,W431*Input!W$56/30)</f>
        <v>0</v>
      </c>
      <c r="X1129" s="229">
        <f>IF(X$338&gt;$D$33,0,X431*Input!X$56/30)</f>
        <v>0</v>
      </c>
      <c r="Y1129" s="229">
        <f>IF(Y$338&gt;$D$33,0,Y431*Input!Y$56/30)</f>
        <v>0</v>
      </c>
      <c r="Z1129" s="229">
        <f>IF(Z$338&gt;$D$33,0,Z431*Input!Z$56/30)</f>
        <v>0</v>
      </c>
      <c r="AA1129" s="229">
        <f>IF(AA$338&gt;$D$33,0,AA431*Input!AA$56/30)</f>
        <v>0</v>
      </c>
      <c r="AB1129" s="229">
        <f>IF(AB$338&gt;$D$33,0,AB431*Input!AB$56/30)</f>
        <v>0</v>
      </c>
      <c r="CH1129" s="269"/>
      <c r="CI1129" s="269"/>
      <c r="CJ1129" s="269"/>
      <c r="CK1129" s="269"/>
      <c r="CL1129" s="269"/>
      <c r="CM1129" s="269"/>
      <c r="CN1129" s="269"/>
      <c r="CO1129" s="269"/>
      <c r="CP1129" s="269"/>
      <c r="CQ1129" s="269"/>
      <c r="CR1129" s="269"/>
      <c r="CS1129" s="269"/>
    </row>
    <row r="1130" spans="3:97" x14ac:dyDescent="0.3">
      <c r="C1130" s="495">
        <f>C1067</f>
        <v>700</v>
      </c>
      <c r="D1130" s="229">
        <f>IF(D$338&gt;$D$33,0,D432*Input!D$56/30)</f>
        <v>0</v>
      </c>
      <c r="E1130" s="229">
        <f>IF(E$338&gt;$D$33,0,E432*Input!E$56/30)</f>
        <v>0</v>
      </c>
      <c r="F1130" s="229">
        <f>IF(F$338&gt;$D$33,0,F432*Input!F$56/30)</f>
        <v>0</v>
      </c>
      <c r="G1130" s="229">
        <f>IF(G$338&gt;$D$33,0,G432*Input!G$56/30)</f>
        <v>0</v>
      </c>
      <c r="H1130" s="229">
        <f>IF(H$338&gt;$D$33,0,H432*Input!H$56/30)</f>
        <v>0</v>
      </c>
      <c r="I1130" s="229">
        <f>IF(I$338&gt;$D$33,0,I432*Input!I$56/30)</f>
        <v>0</v>
      </c>
      <c r="J1130" s="229">
        <f>IF(J$338&gt;$D$33,0,J432*Input!J$56/30)</f>
        <v>0</v>
      </c>
      <c r="K1130" s="229">
        <f>IF(K$338&gt;$D$33,0,K432*Input!K$56/30)</f>
        <v>0</v>
      </c>
      <c r="L1130" s="229">
        <f>IF(L$338&gt;$D$33,0,L432*Input!L$56/30)</f>
        <v>0</v>
      </c>
      <c r="M1130" s="229">
        <f>IF(M$338&gt;$D$33,0,M432*Input!M$56/30)</f>
        <v>0</v>
      </c>
      <c r="N1130" s="229">
        <f>IF(N$338&gt;$D$33,0,N432*Input!N$56/30)</f>
        <v>0</v>
      </c>
      <c r="O1130" s="229">
        <f>IF(O$338&gt;$D$33,0,O432*Input!O$56/30)</f>
        <v>0</v>
      </c>
      <c r="P1130" s="229">
        <f>IF(P$338&gt;$D$33,0,P432*Input!P$56/30)</f>
        <v>0</v>
      </c>
      <c r="Q1130" s="229">
        <f>IF(Q$338&gt;$D$33,0,Q432*Input!Q$56/30)</f>
        <v>0</v>
      </c>
      <c r="R1130" s="229">
        <f>IF(R$338&gt;$D$33,0,R432*Input!R$56/30)</f>
        <v>0</v>
      </c>
      <c r="S1130" s="229">
        <f>IF(S$338&gt;$D$33,0,S432*Input!S$56/30)</f>
        <v>0</v>
      </c>
      <c r="T1130" s="229">
        <f>IF(T$338&gt;$D$33,0,T432*Input!T$56/30)</f>
        <v>0</v>
      </c>
      <c r="U1130" s="229">
        <f>IF(U$338&gt;$D$33,0,U432*Input!U$56/30)</f>
        <v>0</v>
      </c>
      <c r="V1130" s="229">
        <f>IF(V$338&gt;$D$33,0,V432*Input!V$56/30)</f>
        <v>0</v>
      </c>
      <c r="W1130" s="229">
        <f>IF(W$338&gt;$D$33,0,W432*Input!W$56/30)</f>
        <v>0</v>
      </c>
      <c r="X1130" s="229">
        <f>IF(X$338&gt;$D$33,0,X432*Input!X$56/30)</f>
        <v>0</v>
      </c>
      <c r="Y1130" s="229">
        <f>IF(Y$338&gt;$D$33,0,Y432*Input!Y$56/30)</f>
        <v>0</v>
      </c>
      <c r="Z1130" s="229">
        <f>IF(Z$338&gt;$D$33,0,Z432*Input!Z$56/30)</f>
        <v>0</v>
      </c>
      <c r="AA1130" s="229">
        <f>IF(AA$338&gt;$D$33,0,AA432*Input!AA$56/30)</f>
        <v>0</v>
      </c>
      <c r="AB1130" s="229">
        <f>IF(AB$338&gt;$D$33,0,AB432*Input!AB$56/30)</f>
        <v>0</v>
      </c>
      <c r="CH1130" s="269"/>
      <c r="CI1130" s="269"/>
      <c r="CJ1130" s="269"/>
      <c r="CK1130" s="269"/>
      <c r="CL1130" s="269"/>
      <c r="CM1130" s="269"/>
      <c r="CN1130" s="269"/>
      <c r="CO1130" s="269"/>
      <c r="CP1130" s="269"/>
      <c r="CQ1130" s="269"/>
      <c r="CR1130" s="269"/>
      <c r="CS1130" s="269"/>
    </row>
    <row r="1131" spans="3:97" ht="12.5" thickBot="1" x14ac:dyDescent="0.35">
      <c r="C1131" s="496">
        <f>C1068</f>
        <v>731</v>
      </c>
      <c r="D1131" s="230">
        <f>IF(D$338&gt;$D$33,0,D433*Input!D$56/30)</f>
        <v>0</v>
      </c>
      <c r="E1131" s="230">
        <f>IF(E$338&gt;$D$33,0,E433*Input!E$56/30)</f>
        <v>0</v>
      </c>
      <c r="F1131" s="230">
        <f>IF(F$338&gt;$D$33,0,F433*Input!F$56/30)</f>
        <v>0</v>
      </c>
      <c r="G1131" s="230">
        <f>IF(G$338&gt;$D$33,0,G433*Input!G$56/30)</f>
        <v>0</v>
      </c>
      <c r="H1131" s="230">
        <f>IF(H$338&gt;$D$33,0,H433*Input!H$56/30)</f>
        <v>0</v>
      </c>
      <c r="I1131" s="230">
        <f>IF(I$338&gt;$D$33,0,I433*Input!I$56/30)</f>
        <v>0</v>
      </c>
      <c r="J1131" s="230">
        <f>IF(J$338&gt;$D$33,0,J433*Input!J$56/30)</f>
        <v>0</v>
      </c>
      <c r="K1131" s="230">
        <f>IF(K$338&gt;$D$33,0,K433*Input!K$56/30)</f>
        <v>0</v>
      </c>
      <c r="L1131" s="230">
        <f>IF(L$338&gt;$D$33,0,L433*Input!L$56/30)</f>
        <v>0</v>
      </c>
      <c r="M1131" s="230">
        <f>IF(M$338&gt;$D$33,0,M433*Input!M$56/30)</f>
        <v>0</v>
      </c>
      <c r="N1131" s="230">
        <f>IF(N$338&gt;$D$33,0,N433*Input!N$56/30)</f>
        <v>0</v>
      </c>
      <c r="O1131" s="230">
        <f>IF(O$338&gt;$D$33,0,O433*Input!O$56/30)</f>
        <v>0</v>
      </c>
      <c r="P1131" s="230">
        <f>IF(P$338&gt;$D$33,0,P433*Input!P$56/30)</f>
        <v>0</v>
      </c>
      <c r="Q1131" s="230">
        <f>IF(Q$338&gt;$D$33,0,Q433*Input!Q$56/30)</f>
        <v>0</v>
      </c>
      <c r="R1131" s="230">
        <f>IF(R$338&gt;$D$33,0,R433*Input!R$56/30)</f>
        <v>0</v>
      </c>
      <c r="S1131" s="230">
        <f>IF(S$338&gt;$D$33,0,S433*Input!S$56/30)</f>
        <v>0</v>
      </c>
      <c r="T1131" s="230">
        <f>IF(T$338&gt;$D$33,0,T433*Input!T$56/30)</f>
        <v>0</v>
      </c>
      <c r="U1131" s="230">
        <f>IF(U$338&gt;$D$33,0,U433*Input!U$56/30)</f>
        <v>0</v>
      </c>
      <c r="V1131" s="230">
        <f>IF(V$338&gt;$D$33,0,V433*Input!V$56/30)</f>
        <v>0</v>
      </c>
      <c r="W1131" s="230">
        <f>IF(W$338&gt;$D$33,0,W433*Input!W$56/30)</f>
        <v>0</v>
      </c>
      <c r="X1131" s="230">
        <f>IF(X$338&gt;$D$33,0,X433*Input!X$56/30)</f>
        <v>0</v>
      </c>
      <c r="Y1131" s="230">
        <f>IF(Y$338&gt;$D$33,0,Y433*Input!Y$56/30)</f>
        <v>0</v>
      </c>
      <c r="Z1131" s="230">
        <f>IF(Z$338&gt;$D$33,0,Z433*Input!Z$56/30)</f>
        <v>0</v>
      </c>
      <c r="AA1131" s="230">
        <f>IF(AA$338&gt;$D$33,0,AA433*Input!AA$56/30)</f>
        <v>0</v>
      </c>
      <c r="AB1131" s="230">
        <f>IF(AB$338&gt;$D$33,0,AB433*Input!AB$56/30)</f>
        <v>0</v>
      </c>
      <c r="CH1131" s="269"/>
      <c r="CI1131" s="269"/>
      <c r="CJ1131" s="269"/>
      <c r="CK1131" s="269"/>
      <c r="CL1131" s="269"/>
      <c r="CM1131" s="269"/>
      <c r="CN1131" s="269"/>
      <c r="CO1131" s="269"/>
      <c r="CP1131" s="269"/>
      <c r="CQ1131" s="269"/>
      <c r="CR1131" s="269"/>
      <c r="CS1131" s="269"/>
    </row>
    <row r="1132" spans="3:97" x14ac:dyDescent="0.3">
      <c r="C1132" s="495">
        <f>C1069</f>
        <v>762</v>
      </c>
      <c r="D1132" s="231">
        <f>IF(D$338&gt;$D$33,0,D434*Input!D$56/30)</f>
        <v>0</v>
      </c>
      <c r="E1132" s="231">
        <f>IF(E$338&gt;$D$33,0,E434*Input!E$56/30)</f>
        <v>0</v>
      </c>
      <c r="F1132" s="231">
        <f>IF(F$338&gt;$D$33,0,F434*Input!F$56/30)</f>
        <v>0</v>
      </c>
      <c r="G1132" s="231">
        <f>IF(G$338&gt;$D$33,0,G434*Input!G$56/30)</f>
        <v>0</v>
      </c>
      <c r="H1132" s="231">
        <f>IF(H$338&gt;$D$33,0,H434*Input!H$56/30)</f>
        <v>0</v>
      </c>
      <c r="I1132" s="231">
        <f>IF(I$338&gt;$D$33,0,I434*Input!I$56/30)</f>
        <v>0</v>
      </c>
      <c r="J1132" s="231">
        <f>IF(J$338&gt;$D$33,0,J434*Input!J$56/30)</f>
        <v>0</v>
      </c>
      <c r="K1132" s="231">
        <f>IF(K$338&gt;$D$33,0,K434*Input!K$56/30)</f>
        <v>0</v>
      </c>
      <c r="L1132" s="231">
        <f>IF(L$338&gt;$D$33,0,L434*Input!L$56/30)</f>
        <v>0</v>
      </c>
      <c r="M1132" s="231">
        <f>IF(M$338&gt;$D$33,0,M434*Input!M$56/30)</f>
        <v>0</v>
      </c>
      <c r="N1132" s="231">
        <f>IF(N$338&gt;$D$33,0,N434*Input!N$56/30)</f>
        <v>0</v>
      </c>
      <c r="O1132" s="231">
        <f>IF(O$338&gt;$D$33,0,O434*Input!O$56/30)</f>
        <v>0</v>
      </c>
      <c r="P1132" s="231">
        <f>IF(P$338&gt;$D$33,0,P434*Input!P$56/30)</f>
        <v>0</v>
      </c>
      <c r="Q1132" s="231">
        <f>IF(Q$338&gt;$D$33,0,Q434*Input!Q$56/30)</f>
        <v>0</v>
      </c>
      <c r="R1132" s="231">
        <f>IF(R$338&gt;$D$33,0,R434*Input!R$56/30)</f>
        <v>0</v>
      </c>
      <c r="S1132" s="231">
        <f>IF(S$338&gt;$D$33,0,S434*Input!S$56/30)</f>
        <v>0</v>
      </c>
      <c r="T1132" s="231">
        <f>IF(T$338&gt;$D$33,0,T434*Input!T$56/30)</f>
        <v>0</v>
      </c>
      <c r="U1132" s="231">
        <f>IF(U$338&gt;$D$33,0,U434*Input!U$56/30)</f>
        <v>0</v>
      </c>
      <c r="V1132" s="231">
        <f>IF(V$338&gt;$D$33,0,V434*Input!V$56/30)</f>
        <v>0</v>
      </c>
      <c r="W1132" s="231">
        <f>IF(W$338&gt;$D$33,0,W434*Input!W$56/30)</f>
        <v>0</v>
      </c>
      <c r="X1132" s="231">
        <f>IF(X$338&gt;$D$33,0,X434*Input!X$56/30)</f>
        <v>0</v>
      </c>
      <c r="Y1132" s="231">
        <f>IF(Y$338&gt;$D$33,0,Y434*Input!Y$56/30)</f>
        <v>0</v>
      </c>
      <c r="Z1132" s="231">
        <f>IF(Z$338&gt;$D$33,0,Z434*Input!Z$56/30)</f>
        <v>0</v>
      </c>
      <c r="AA1132" s="231">
        <f>IF(AA$338&gt;$D$33,0,AA434*Input!AA$56/30)</f>
        <v>0</v>
      </c>
      <c r="AB1132" s="231">
        <f>IF(AB$338&gt;$D$33,0,AB434*Input!AB$56/30)</f>
        <v>0</v>
      </c>
      <c r="CH1132" s="269"/>
      <c r="CI1132" s="269"/>
      <c r="CJ1132" s="269"/>
      <c r="CK1132" s="269"/>
      <c r="CL1132" s="269"/>
      <c r="CM1132" s="269"/>
      <c r="CN1132" s="269"/>
      <c r="CO1132" s="269"/>
      <c r="CP1132" s="269"/>
      <c r="CQ1132" s="269"/>
      <c r="CR1132" s="269"/>
      <c r="CS1132" s="269"/>
    </row>
    <row r="1133" spans="3:97" x14ac:dyDescent="0.3">
      <c r="C1133" s="495">
        <f>C1070</f>
        <v>790</v>
      </c>
      <c r="D1133" s="229">
        <f>IF(D$338&gt;$D$33,0,D435*Input!D$56/30)</f>
        <v>0</v>
      </c>
      <c r="E1133" s="229">
        <f>IF(E$338&gt;$D$33,0,E435*Input!E$56/30)</f>
        <v>0</v>
      </c>
      <c r="F1133" s="229">
        <f>IF(F$338&gt;$D$33,0,F435*Input!F$56/30)</f>
        <v>0</v>
      </c>
      <c r="G1133" s="229">
        <f>IF(G$338&gt;$D$33,0,G435*Input!G$56/30)</f>
        <v>0</v>
      </c>
      <c r="H1133" s="229">
        <f>IF(H$338&gt;$D$33,0,H435*Input!H$56/30)</f>
        <v>0</v>
      </c>
      <c r="I1133" s="229">
        <f>IF(I$338&gt;$D$33,0,I435*Input!I$56/30)</f>
        <v>0</v>
      </c>
      <c r="J1133" s="229">
        <f>IF(J$338&gt;$D$33,0,J435*Input!J$56/30)</f>
        <v>0</v>
      </c>
      <c r="K1133" s="229">
        <f>IF(K$338&gt;$D$33,0,K435*Input!K$56/30)</f>
        <v>0</v>
      </c>
      <c r="L1133" s="229">
        <f>IF(L$338&gt;$D$33,0,L435*Input!L$56/30)</f>
        <v>0</v>
      </c>
      <c r="M1133" s="229">
        <f>IF(M$338&gt;$D$33,0,M435*Input!M$56/30)</f>
        <v>0</v>
      </c>
      <c r="N1133" s="229">
        <f>IF(N$338&gt;$D$33,0,N435*Input!N$56/30)</f>
        <v>0</v>
      </c>
      <c r="O1133" s="229">
        <f>IF(O$338&gt;$D$33,0,O435*Input!O$56/30)</f>
        <v>0</v>
      </c>
      <c r="P1133" s="229">
        <f>IF(P$338&gt;$D$33,0,P435*Input!P$56/30)</f>
        <v>0</v>
      </c>
      <c r="Q1133" s="229">
        <f>IF(Q$338&gt;$D$33,0,Q435*Input!Q$56/30)</f>
        <v>0</v>
      </c>
      <c r="R1133" s="229">
        <f>IF(R$338&gt;$D$33,0,R435*Input!R$56/30)</f>
        <v>0</v>
      </c>
      <c r="S1133" s="229">
        <f>IF(S$338&gt;$D$33,0,S435*Input!S$56/30)</f>
        <v>0</v>
      </c>
      <c r="T1133" s="229">
        <f>IF(T$338&gt;$D$33,0,T435*Input!T$56/30)</f>
        <v>0</v>
      </c>
      <c r="U1133" s="229">
        <f>IF(U$338&gt;$D$33,0,U435*Input!U$56/30)</f>
        <v>0</v>
      </c>
      <c r="V1133" s="229">
        <f>IF(V$338&gt;$D$33,0,V435*Input!V$56/30)</f>
        <v>0</v>
      </c>
      <c r="W1133" s="229">
        <f>IF(W$338&gt;$D$33,0,W435*Input!W$56/30)</f>
        <v>0</v>
      </c>
      <c r="X1133" s="229">
        <f>IF(X$338&gt;$D$33,0,X435*Input!X$56/30)</f>
        <v>0</v>
      </c>
      <c r="Y1133" s="229">
        <f>IF(Y$338&gt;$D$33,0,Y435*Input!Y$56/30)</f>
        <v>0</v>
      </c>
      <c r="Z1133" s="229">
        <f>IF(Z$338&gt;$D$33,0,Z435*Input!Z$56/30)</f>
        <v>0</v>
      </c>
      <c r="AA1133" s="229">
        <f>IF(AA$338&gt;$D$33,0,AA435*Input!AA$56/30)</f>
        <v>0</v>
      </c>
      <c r="AB1133" s="229">
        <f>IF(AB$338&gt;$D$33,0,AB435*Input!AB$56/30)</f>
        <v>0</v>
      </c>
      <c r="CH1133" s="269"/>
      <c r="CI1133" s="269"/>
      <c r="CJ1133" s="269"/>
      <c r="CK1133" s="269"/>
      <c r="CL1133" s="269"/>
      <c r="CM1133" s="269"/>
      <c r="CN1133" s="269"/>
      <c r="CO1133" s="269"/>
      <c r="CP1133" s="269"/>
      <c r="CQ1133" s="269"/>
      <c r="CR1133" s="269"/>
      <c r="CS1133" s="269"/>
    </row>
    <row r="1134" spans="3:97" x14ac:dyDescent="0.3">
      <c r="C1134" s="495">
        <f>C1071</f>
        <v>821</v>
      </c>
      <c r="D1134" s="229">
        <f>IF(D$338&gt;$D$33,0,D436*Input!D$56/30)</f>
        <v>0</v>
      </c>
      <c r="E1134" s="229">
        <f>IF(E$338&gt;$D$33,0,E436*Input!E$56/30)</f>
        <v>0</v>
      </c>
      <c r="F1134" s="229">
        <f>IF(F$338&gt;$D$33,0,F436*Input!F$56/30)</f>
        <v>0</v>
      </c>
      <c r="G1134" s="229">
        <f>IF(G$338&gt;$D$33,0,G436*Input!G$56/30)</f>
        <v>0</v>
      </c>
      <c r="H1134" s="229">
        <f>IF(H$338&gt;$D$33,0,H436*Input!H$56/30)</f>
        <v>0</v>
      </c>
      <c r="I1134" s="229">
        <f>IF(I$338&gt;$D$33,0,I436*Input!I$56/30)</f>
        <v>0</v>
      </c>
      <c r="J1134" s="229">
        <f>IF(J$338&gt;$D$33,0,J436*Input!J$56/30)</f>
        <v>0</v>
      </c>
      <c r="K1134" s="229">
        <f>IF(K$338&gt;$D$33,0,K436*Input!K$56/30)</f>
        <v>0</v>
      </c>
      <c r="L1134" s="229">
        <f>IF(L$338&gt;$D$33,0,L436*Input!L$56/30)</f>
        <v>0</v>
      </c>
      <c r="M1134" s="229">
        <f>IF(M$338&gt;$D$33,0,M436*Input!M$56/30)</f>
        <v>0</v>
      </c>
      <c r="N1134" s="229">
        <f>IF(N$338&gt;$D$33,0,N436*Input!N$56/30)</f>
        <v>0</v>
      </c>
      <c r="O1134" s="229">
        <f>IF(O$338&gt;$D$33,0,O436*Input!O$56/30)</f>
        <v>0</v>
      </c>
      <c r="P1134" s="229">
        <f>IF(P$338&gt;$D$33,0,P436*Input!P$56/30)</f>
        <v>0</v>
      </c>
      <c r="Q1134" s="229">
        <f>IF(Q$338&gt;$D$33,0,Q436*Input!Q$56/30)</f>
        <v>0</v>
      </c>
      <c r="R1134" s="229">
        <f>IF(R$338&gt;$D$33,0,R436*Input!R$56/30)</f>
        <v>0</v>
      </c>
      <c r="S1134" s="229">
        <f>IF(S$338&gt;$D$33,0,S436*Input!S$56/30)</f>
        <v>0</v>
      </c>
      <c r="T1134" s="229">
        <f>IF(T$338&gt;$D$33,0,T436*Input!T$56/30)</f>
        <v>0</v>
      </c>
      <c r="U1134" s="229">
        <f>IF(U$338&gt;$D$33,0,U436*Input!U$56/30)</f>
        <v>0</v>
      </c>
      <c r="V1134" s="229">
        <f>IF(V$338&gt;$D$33,0,V436*Input!V$56/30)</f>
        <v>0</v>
      </c>
      <c r="W1134" s="229">
        <f>IF(W$338&gt;$D$33,0,W436*Input!W$56/30)</f>
        <v>0</v>
      </c>
      <c r="X1134" s="229">
        <f>IF(X$338&gt;$D$33,0,X436*Input!X$56/30)</f>
        <v>0</v>
      </c>
      <c r="Y1134" s="229">
        <f>IF(Y$338&gt;$D$33,0,Y436*Input!Y$56/30)</f>
        <v>0</v>
      </c>
      <c r="Z1134" s="229">
        <f>IF(Z$338&gt;$D$33,0,Z436*Input!Z$56/30)</f>
        <v>0</v>
      </c>
      <c r="AA1134" s="229">
        <f>IF(AA$338&gt;$D$33,0,AA436*Input!AA$56/30)</f>
        <v>0</v>
      </c>
      <c r="AB1134" s="229">
        <f>IF(AB$338&gt;$D$33,0,AB436*Input!AB$56/30)</f>
        <v>0</v>
      </c>
      <c r="CH1134" s="269"/>
      <c r="CI1134" s="269"/>
      <c r="CJ1134" s="269"/>
      <c r="CK1134" s="269"/>
      <c r="CL1134" s="269"/>
      <c r="CM1134" s="269"/>
      <c r="CN1134" s="269"/>
      <c r="CO1134" s="269"/>
      <c r="CP1134" s="269"/>
      <c r="CQ1134" s="269"/>
      <c r="CR1134" s="269"/>
      <c r="CS1134" s="269"/>
    </row>
    <row r="1135" spans="3:97" x14ac:dyDescent="0.3">
      <c r="C1135" s="495">
        <f>C1072</f>
        <v>851</v>
      </c>
      <c r="D1135" s="229">
        <f>IF(D$338&gt;$D$33,0,D437*Input!D$56/30)</f>
        <v>0</v>
      </c>
      <c r="E1135" s="229">
        <f>IF(E$338&gt;$D$33,0,E437*Input!E$56/30)</f>
        <v>0</v>
      </c>
      <c r="F1135" s="229">
        <f>IF(F$338&gt;$D$33,0,F437*Input!F$56/30)</f>
        <v>0</v>
      </c>
      <c r="G1135" s="229">
        <f>IF(G$338&gt;$D$33,0,G437*Input!G$56/30)</f>
        <v>0</v>
      </c>
      <c r="H1135" s="229">
        <f>IF(H$338&gt;$D$33,0,H437*Input!H$56/30)</f>
        <v>0</v>
      </c>
      <c r="I1135" s="229">
        <f>IF(I$338&gt;$D$33,0,I437*Input!I$56/30)</f>
        <v>0</v>
      </c>
      <c r="J1135" s="229">
        <f>IF(J$338&gt;$D$33,0,J437*Input!J$56/30)</f>
        <v>0</v>
      </c>
      <c r="K1135" s="229">
        <f>IF(K$338&gt;$D$33,0,K437*Input!K$56/30)</f>
        <v>0</v>
      </c>
      <c r="L1135" s="229">
        <f>IF(L$338&gt;$D$33,0,L437*Input!L$56/30)</f>
        <v>0</v>
      </c>
      <c r="M1135" s="229">
        <f>IF(M$338&gt;$D$33,0,M437*Input!M$56/30)</f>
        <v>0</v>
      </c>
      <c r="N1135" s="229">
        <f>IF(N$338&gt;$D$33,0,N437*Input!N$56/30)</f>
        <v>0</v>
      </c>
      <c r="O1135" s="229">
        <f>IF(O$338&gt;$D$33,0,O437*Input!O$56/30)</f>
        <v>0</v>
      </c>
      <c r="P1135" s="229">
        <f>IF(P$338&gt;$D$33,0,P437*Input!P$56/30)</f>
        <v>0</v>
      </c>
      <c r="Q1135" s="229">
        <f>IF(Q$338&gt;$D$33,0,Q437*Input!Q$56/30)</f>
        <v>0</v>
      </c>
      <c r="R1135" s="229">
        <f>IF(R$338&gt;$D$33,0,R437*Input!R$56/30)</f>
        <v>0</v>
      </c>
      <c r="S1135" s="229">
        <f>IF(S$338&gt;$D$33,0,S437*Input!S$56/30)</f>
        <v>0</v>
      </c>
      <c r="T1135" s="229">
        <f>IF(T$338&gt;$D$33,0,T437*Input!T$56/30)</f>
        <v>0</v>
      </c>
      <c r="U1135" s="229">
        <f>IF(U$338&gt;$D$33,0,U437*Input!U$56/30)</f>
        <v>0</v>
      </c>
      <c r="V1135" s="229">
        <f>IF(V$338&gt;$D$33,0,V437*Input!V$56/30)</f>
        <v>0</v>
      </c>
      <c r="W1135" s="229">
        <f>IF(W$338&gt;$D$33,0,W437*Input!W$56/30)</f>
        <v>0</v>
      </c>
      <c r="X1135" s="229">
        <f>IF(X$338&gt;$D$33,0,X437*Input!X$56/30)</f>
        <v>0</v>
      </c>
      <c r="Y1135" s="229">
        <f>IF(Y$338&gt;$D$33,0,Y437*Input!Y$56/30)</f>
        <v>0</v>
      </c>
      <c r="Z1135" s="229">
        <f>IF(Z$338&gt;$D$33,0,Z437*Input!Z$56/30)</f>
        <v>0</v>
      </c>
      <c r="AA1135" s="229">
        <f>IF(AA$338&gt;$D$33,0,AA437*Input!AA$56/30)</f>
        <v>0</v>
      </c>
      <c r="AB1135" s="229">
        <f>IF(AB$338&gt;$D$33,0,AB437*Input!AB$56/30)</f>
        <v>0</v>
      </c>
      <c r="CH1135" s="269"/>
      <c r="CI1135" s="269"/>
      <c r="CJ1135" s="269"/>
      <c r="CK1135" s="269"/>
      <c r="CL1135" s="269"/>
      <c r="CM1135" s="269"/>
      <c r="CN1135" s="269"/>
      <c r="CO1135" s="269"/>
      <c r="CP1135" s="269"/>
      <c r="CQ1135" s="269"/>
      <c r="CR1135" s="269"/>
      <c r="CS1135" s="269"/>
    </row>
    <row r="1136" spans="3:97" x14ac:dyDescent="0.3">
      <c r="C1136" s="495">
        <f>C1073</f>
        <v>882</v>
      </c>
      <c r="D1136" s="229">
        <f>IF(D$338&gt;$D$33,0,D438*Input!D$56/30)</f>
        <v>0</v>
      </c>
      <c r="E1136" s="229">
        <f>IF(E$338&gt;$D$33,0,E438*Input!E$56/30)</f>
        <v>0</v>
      </c>
      <c r="F1136" s="229">
        <f>IF(F$338&gt;$D$33,0,F438*Input!F$56/30)</f>
        <v>0</v>
      </c>
      <c r="G1136" s="229">
        <f>IF(G$338&gt;$D$33,0,G438*Input!G$56/30)</f>
        <v>0</v>
      </c>
      <c r="H1136" s="229">
        <f>IF(H$338&gt;$D$33,0,H438*Input!H$56/30)</f>
        <v>0</v>
      </c>
      <c r="I1136" s="229">
        <f>IF(I$338&gt;$D$33,0,I438*Input!I$56/30)</f>
        <v>0</v>
      </c>
      <c r="J1136" s="229">
        <f>IF(J$338&gt;$D$33,0,J438*Input!J$56/30)</f>
        <v>0</v>
      </c>
      <c r="K1136" s="229">
        <f>IF(K$338&gt;$D$33,0,K438*Input!K$56/30)</f>
        <v>0</v>
      </c>
      <c r="L1136" s="229">
        <f>IF(L$338&gt;$D$33,0,L438*Input!L$56/30)</f>
        <v>0</v>
      </c>
      <c r="M1136" s="229">
        <f>IF(M$338&gt;$D$33,0,M438*Input!M$56/30)</f>
        <v>0</v>
      </c>
      <c r="N1136" s="229">
        <f>IF(N$338&gt;$D$33,0,N438*Input!N$56/30)</f>
        <v>0</v>
      </c>
      <c r="O1136" s="229">
        <f>IF(O$338&gt;$D$33,0,O438*Input!O$56/30)</f>
        <v>0</v>
      </c>
      <c r="P1136" s="229">
        <f>IF(P$338&gt;$D$33,0,P438*Input!P$56/30)</f>
        <v>0</v>
      </c>
      <c r="Q1136" s="229">
        <f>IF(Q$338&gt;$D$33,0,Q438*Input!Q$56/30)</f>
        <v>0</v>
      </c>
      <c r="R1136" s="229">
        <f>IF(R$338&gt;$D$33,0,R438*Input!R$56/30)</f>
        <v>0</v>
      </c>
      <c r="S1136" s="229">
        <f>IF(S$338&gt;$D$33,0,S438*Input!S$56/30)</f>
        <v>0</v>
      </c>
      <c r="T1136" s="229">
        <f>IF(T$338&gt;$D$33,0,T438*Input!T$56/30)</f>
        <v>0</v>
      </c>
      <c r="U1136" s="229">
        <f>IF(U$338&gt;$D$33,0,U438*Input!U$56/30)</f>
        <v>0</v>
      </c>
      <c r="V1136" s="229">
        <f>IF(V$338&gt;$D$33,0,V438*Input!V$56/30)</f>
        <v>0</v>
      </c>
      <c r="W1136" s="229">
        <f>IF(W$338&gt;$D$33,0,W438*Input!W$56/30)</f>
        <v>0</v>
      </c>
      <c r="X1136" s="229">
        <f>IF(X$338&gt;$D$33,0,X438*Input!X$56/30)</f>
        <v>0</v>
      </c>
      <c r="Y1136" s="229">
        <f>IF(Y$338&gt;$D$33,0,Y438*Input!Y$56/30)</f>
        <v>0</v>
      </c>
      <c r="Z1136" s="229">
        <f>IF(Z$338&gt;$D$33,0,Z438*Input!Z$56/30)</f>
        <v>0</v>
      </c>
      <c r="AA1136" s="229">
        <f>IF(AA$338&gt;$D$33,0,AA438*Input!AA$56/30)</f>
        <v>0</v>
      </c>
      <c r="AB1136" s="229">
        <f>IF(AB$338&gt;$D$33,0,AB438*Input!AB$56/30)</f>
        <v>0</v>
      </c>
      <c r="CH1136" s="269"/>
      <c r="CI1136" s="269"/>
      <c r="CJ1136" s="269"/>
      <c r="CK1136" s="269"/>
      <c r="CL1136" s="269"/>
      <c r="CM1136" s="269"/>
      <c r="CN1136" s="269"/>
      <c r="CO1136" s="269"/>
      <c r="CP1136" s="269"/>
      <c r="CQ1136" s="269"/>
      <c r="CR1136" s="269"/>
      <c r="CS1136" s="269"/>
    </row>
    <row r="1137" spans="3:97" x14ac:dyDescent="0.3">
      <c r="C1137" s="495">
        <f>C1074</f>
        <v>912</v>
      </c>
      <c r="D1137" s="229">
        <f>IF(D$338&gt;$D$33,0,D439*Input!D$56/30)</f>
        <v>0</v>
      </c>
      <c r="E1137" s="229">
        <f>IF(E$338&gt;$D$33,0,E439*Input!E$56/30)</f>
        <v>0</v>
      </c>
      <c r="F1137" s="229">
        <f>IF(F$338&gt;$D$33,0,F439*Input!F$56/30)</f>
        <v>0</v>
      </c>
      <c r="G1137" s="229">
        <f>IF(G$338&gt;$D$33,0,G439*Input!G$56/30)</f>
        <v>0</v>
      </c>
      <c r="H1137" s="229">
        <f>IF(H$338&gt;$D$33,0,H439*Input!H$56/30)</f>
        <v>0</v>
      </c>
      <c r="I1137" s="229">
        <f>IF(I$338&gt;$D$33,0,I439*Input!I$56/30)</f>
        <v>0</v>
      </c>
      <c r="J1137" s="229">
        <f>IF(J$338&gt;$D$33,0,J439*Input!J$56/30)</f>
        <v>0</v>
      </c>
      <c r="K1137" s="229">
        <f>IF(K$338&gt;$D$33,0,K439*Input!K$56/30)</f>
        <v>0</v>
      </c>
      <c r="L1137" s="229">
        <f>IF(L$338&gt;$D$33,0,L439*Input!L$56/30)</f>
        <v>0</v>
      </c>
      <c r="M1137" s="229">
        <f>IF(M$338&gt;$D$33,0,M439*Input!M$56/30)</f>
        <v>0</v>
      </c>
      <c r="N1137" s="229">
        <f>IF(N$338&gt;$D$33,0,N439*Input!N$56/30)</f>
        <v>0</v>
      </c>
      <c r="O1137" s="229">
        <f>IF(O$338&gt;$D$33,0,O439*Input!O$56/30)</f>
        <v>0</v>
      </c>
      <c r="P1137" s="229">
        <f>IF(P$338&gt;$D$33,0,P439*Input!P$56/30)</f>
        <v>0</v>
      </c>
      <c r="Q1137" s="229">
        <f>IF(Q$338&gt;$D$33,0,Q439*Input!Q$56/30)</f>
        <v>0</v>
      </c>
      <c r="R1137" s="229">
        <f>IF(R$338&gt;$D$33,0,R439*Input!R$56/30)</f>
        <v>0</v>
      </c>
      <c r="S1137" s="229">
        <f>IF(S$338&gt;$D$33,0,S439*Input!S$56/30)</f>
        <v>0</v>
      </c>
      <c r="T1137" s="229">
        <f>IF(T$338&gt;$D$33,0,T439*Input!T$56/30)</f>
        <v>0</v>
      </c>
      <c r="U1137" s="229">
        <f>IF(U$338&gt;$D$33,0,U439*Input!U$56/30)</f>
        <v>0</v>
      </c>
      <c r="V1137" s="229">
        <f>IF(V$338&gt;$D$33,0,V439*Input!V$56/30)</f>
        <v>0</v>
      </c>
      <c r="W1137" s="229">
        <f>IF(W$338&gt;$D$33,0,W439*Input!W$56/30)</f>
        <v>0</v>
      </c>
      <c r="X1137" s="229">
        <f>IF(X$338&gt;$D$33,0,X439*Input!X$56/30)</f>
        <v>0</v>
      </c>
      <c r="Y1137" s="229">
        <f>IF(Y$338&gt;$D$33,0,Y439*Input!Y$56/30)</f>
        <v>0</v>
      </c>
      <c r="Z1137" s="229">
        <f>IF(Z$338&gt;$D$33,0,Z439*Input!Z$56/30)</f>
        <v>0</v>
      </c>
      <c r="AA1137" s="229">
        <f>IF(AA$338&gt;$D$33,0,AA439*Input!AA$56/30)</f>
        <v>0</v>
      </c>
      <c r="AB1137" s="229">
        <f>IF(AB$338&gt;$D$33,0,AB439*Input!AB$56/30)</f>
        <v>0</v>
      </c>
      <c r="CH1137" s="269"/>
      <c r="CI1137" s="269"/>
      <c r="CJ1137" s="269"/>
      <c r="CK1137" s="269"/>
      <c r="CL1137" s="269"/>
      <c r="CM1137" s="269"/>
      <c r="CN1137" s="269"/>
      <c r="CO1137" s="269"/>
      <c r="CP1137" s="269"/>
      <c r="CQ1137" s="269"/>
      <c r="CR1137" s="269"/>
      <c r="CS1137" s="269"/>
    </row>
    <row r="1138" spans="3:97" x14ac:dyDescent="0.3">
      <c r="C1138" s="495">
        <f>C1075</f>
        <v>943</v>
      </c>
      <c r="D1138" s="229">
        <f>IF(D$338&gt;$D$33,0,D440*Input!D$56/30)</f>
        <v>0</v>
      </c>
      <c r="E1138" s="229">
        <f>IF(E$338&gt;$D$33,0,E440*Input!E$56/30)</f>
        <v>0</v>
      </c>
      <c r="F1138" s="229">
        <f>IF(F$338&gt;$D$33,0,F440*Input!F$56/30)</f>
        <v>0</v>
      </c>
      <c r="G1138" s="229">
        <f>IF(G$338&gt;$D$33,0,G440*Input!G$56/30)</f>
        <v>0</v>
      </c>
      <c r="H1138" s="229">
        <f>IF(H$338&gt;$D$33,0,H440*Input!H$56/30)</f>
        <v>0</v>
      </c>
      <c r="I1138" s="229">
        <f>IF(I$338&gt;$D$33,0,I440*Input!I$56/30)</f>
        <v>0</v>
      </c>
      <c r="J1138" s="229">
        <f>IF(J$338&gt;$D$33,0,J440*Input!J$56/30)</f>
        <v>0</v>
      </c>
      <c r="K1138" s="229">
        <f>IF(K$338&gt;$D$33,0,K440*Input!K$56/30)</f>
        <v>0</v>
      </c>
      <c r="L1138" s="229">
        <f>IF(L$338&gt;$D$33,0,L440*Input!L$56/30)</f>
        <v>0</v>
      </c>
      <c r="M1138" s="229">
        <f>IF(M$338&gt;$D$33,0,M440*Input!M$56/30)</f>
        <v>0</v>
      </c>
      <c r="N1138" s="229">
        <f>IF(N$338&gt;$D$33,0,N440*Input!N$56/30)</f>
        <v>0</v>
      </c>
      <c r="O1138" s="229">
        <f>IF(O$338&gt;$D$33,0,O440*Input!O$56/30)</f>
        <v>0</v>
      </c>
      <c r="P1138" s="229">
        <f>IF(P$338&gt;$D$33,0,P440*Input!P$56/30)</f>
        <v>0</v>
      </c>
      <c r="Q1138" s="229">
        <f>IF(Q$338&gt;$D$33,0,Q440*Input!Q$56/30)</f>
        <v>0</v>
      </c>
      <c r="R1138" s="229">
        <f>IF(R$338&gt;$D$33,0,R440*Input!R$56/30)</f>
        <v>0</v>
      </c>
      <c r="S1138" s="229">
        <f>IF(S$338&gt;$D$33,0,S440*Input!S$56/30)</f>
        <v>0</v>
      </c>
      <c r="T1138" s="229">
        <f>IF(T$338&gt;$D$33,0,T440*Input!T$56/30)</f>
        <v>0</v>
      </c>
      <c r="U1138" s="229">
        <f>IF(U$338&gt;$D$33,0,U440*Input!U$56/30)</f>
        <v>0</v>
      </c>
      <c r="V1138" s="229">
        <f>IF(V$338&gt;$D$33,0,V440*Input!V$56/30)</f>
        <v>0</v>
      </c>
      <c r="W1138" s="229">
        <f>IF(W$338&gt;$D$33,0,W440*Input!W$56/30)</f>
        <v>0</v>
      </c>
      <c r="X1138" s="229">
        <f>IF(X$338&gt;$D$33,0,X440*Input!X$56/30)</f>
        <v>0</v>
      </c>
      <c r="Y1138" s="229">
        <f>IF(Y$338&gt;$D$33,0,Y440*Input!Y$56/30)</f>
        <v>0</v>
      </c>
      <c r="Z1138" s="229">
        <f>IF(Z$338&gt;$D$33,0,Z440*Input!Z$56/30)</f>
        <v>0</v>
      </c>
      <c r="AA1138" s="229">
        <f>IF(AA$338&gt;$D$33,0,AA440*Input!AA$56/30)</f>
        <v>0</v>
      </c>
      <c r="AB1138" s="229">
        <f>IF(AB$338&gt;$D$33,0,AB440*Input!AB$56/30)</f>
        <v>0</v>
      </c>
      <c r="CH1138" s="269"/>
      <c r="CI1138" s="269"/>
      <c r="CJ1138" s="269"/>
      <c r="CK1138" s="269"/>
      <c r="CL1138" s="269"/>
      <c r="CM1138" s="269"/>
      <c r="CN1138" s="269"/>
      <c r="CO1138" s="269"/>
      <c r="CP1138" s="269"/>
      <c r="CQ1138" s="269"/>
      <c r="CR1138" s="269"/>
      <c r="CS1138" s="269"/>
    </row>
    <row r="1139" spans="3:97" x14ac:dyDescent="0.3">
      <c r="C1139" s="495">
        <f>C1076</f>
        <v>974</v>
      </c>
      <c r="D1139" s="229">
        <f>IF(D$338&gt;$D$33,0,D441*Input!D$56/30)</f>
        <v>0</v>
      </c>
      <c r="E1139" s="229">
        <f>IF(E$338&gt;$D$33,0,E441*Input!E$56/30)</f>
        <v>0</v>
      </c>
      <c r="F1139" s="229">
        <f>IF(F$338&gt;$D$33,0,F441*Input!F$56/30)</f>
        <v>0</v>
      </c>
      <c r="G1139" s="229">
        <f>IF(G$338&gt;$D$33,0,G441*Input!G$56/30)</f>
        <v>0</v>
      </c>
      <c r="H1139" s="229">
        <f>IF(H$338&gt;$D$33,0,H441*Input!H$56/30)</f>
        <v>0</v>
      </c>
      <c r="I1139" s="229">
        <f>IF(I$338&gt;$D$33,0,I441*Input!I$56/30)</f>
        <v>0</v>
      </c>
      <c r="J1139" s="229">
        <f>IF(J$338&gt;$D$33,0,J441*Input!J$56/30)</f>
        <v>0</v>
      </c>
      <c r="K1139" s="229">
        <f>IF(K$338&gt;$D$33,0,K441*Input!K$56/30)</f>
        <v>0</v>
      </c>
      <c r="L1139" s="229">
        <f>IF(L$338&gt;$D$33,0,L441*Input!L$56/30)</f>
        <v>0</v>
      </c>
      <c r="M1139" s="229">
        <f>IF(M$338&gt;$D$33,0,M441*Input!M$56/30)</f>
        <v>0</v>
      </c>
      <c r="N1139" s="229">
        <f>IF(N$338&gt;$D$33,0,N441*Input!N$56/30)</f>
        <v>0</v>
      </c>
      <c r="O1139" s="229">
        <f>IF(O$338&gt;$D$33,0,O441*Input!O$56/30)</f>
        <v>0</v>
      </c>
      <c r="P1139" s="229">
        <f>IF(P$338&gt;$D$33,0,P441*Input!P$56/30)</f>
        <v>0</v>
      </c>
      <c r="Q1139" s="229">
        <f>IF(Q$338&gt;$D$33,0,Q441*Input!Q$56/30)</f>
        <v>0</v>
      </c>
      <c r="R1139" s="229">
        <f>IF(R$338&gt;$D$33,0,R441*Input!R$56/30)</f>
        <v>0</v>
      </c>
      <c r="S1139" s="229">
        <f>IF(S$338&gt;$D$33,0,S441*Input!S$56/30)</f>
        <v>0</v>
      </c>
      <c r="T1139" s="229">
        <f>IF(T$338&gt;$D$33,0,T441*Input!T$56/30)</f>
        <v>0</v>
      </c>
      <c r="U1139" s="229">
        <f>IF(U$338&gt;$D$33,0,U441*Input!U$56/30)</f>
        <v>0</v>
      </c>
      <c r="V1139" s="229">
        <f>IF(V$338&gt;$D$33,0,V441*Input!V$56/30)</f>
        <v>0</v>
      </c>
      <c r="W1139" s="229">
        <f>IF(W$338&gt;$D$33,0,W441*Input!W$56/30)</f>
        <v>0</v>
      </c>
      <c r="X1139" s="229">
        <f>IF(X$338&gt;$D$33,0,X441*Input!X$56/30)</f>
        <v>0</v>
      </c>
      <c r="Y1139" s="229">
        <f>IF(Y$338&gt;$D$33,0,Y441*Input!Y$56/30)</f>
        <v>0</v>
      </c>
      <c r="Z1139" s="229">
        <f>IF(Z$338&gt;$D$33,0,Z441*Input!Z$56/30)</f>
        <v>0</v>
      </c>
      <c r="AA1139" s="229">
        <f>IF(AA$338&gt;$D$33,0,AA441*Input!AA$56/30)</f>
        <v>0</v>
      </c>
      <c r="AB1139" s="229">
        <f>IF(AB$338&gt;$D$33,0,AB441*Input!AB$56/30)</f>
        <v>0</v>
      </c>
      <c r="CH1139" s="269"/>
      <c r="CI1139" s="269"/>
      <c r="CJ1139" s="269"/>
      <c r="CK1139" s="269"/>
      <c r="CL1139" s="269"/>
      <c r="CM1139" s="269"/>
      <c r="CN1139" s="269"/>
      <c r="CO1139" s="269"/>
      <c r="CP1139" s="269"/>
      <c r="CQ1139" s="269"/>
      <c r="CR1139" s="269"/>
      <c r="CS1139" s="269"/>
    </row>
    <row r="1140" spans="3:97" x14ac:dyDescent="0.3">
      <c r="C1140" s="495">
        <f>C1077</f>
        <v>1004</v>
      </c>
      <c r="D1140" s="229">
        <f>IF(D$338&gt;$D$33,0,D442*Input!D$56/30)</f>
        <v>0</v>
      </c>
      <c r="E1140" s="229">
        <f>IF(E$338&gt;$D$33,0,E442*Input!E$56/30)</f>
        <v>0</v>
      </c>
      <c r="F1140" s="229">
        <f>IF(F$338&gt;$D$33,0,F442*Input!F$56/30)</f>
        <v>0</v>
      </c>
      <c r="G1140" s="229">
        <f>IF(G$338&gt;$D$33,0,G442*Input!G$56/30)</f>
        <v>0</v>
      </c>
      <c r="H1140" s="229">
        <f>IF(H$338&gt;$D$33,0,H442*Input!H$56/30)</f>
        <v>0</v>
      </c>
      <c r="I1140" s="229">
        <f>IF(I$338&gt;$D$33,0,I442*Input!I$56/30)</f>
        <v>0</v>
      </c>
      <c r="J1140" s="229">
        <f>IF(J$338&gt;$D$33,0,J442*Input!J$56/30)</f>
        <v>0</v>
      </c>
      <c r="K1140" s="229">
        <f>IF(K$338&gt;$D$33,0,K442*Input!K$56/30)</f>
        <v>0</v>
      </c>
      <c r="L1140" s="229">
        <f>IF(L$338&gt;$D$33,0,L442*Input!L$56/30)</f>
        <v>0</v>
      </c>
      <c r="M1140" s="229">
        <f>IF(M$338&gt;$D$33,0,M442*Input!M$56/30)</f>
        <v>0</v>
      </c>
      <c r="N1140" s="229">
        <f>IF(N$338&gt;$D$33,0,N442*Input!N$56/30)</f>
        <v>0</v>
      </c>
      <c r="O1140" s="229">
        <f>IF(O$338&gt;$D$33,0,O442*Input!O$56/30)</f>
        <v>0</v>
      </c>
      <c r="P1140" s="229">
        <f>IF(P$338&gt;$D$33,0,P442*Input!P$56/30)</f>
        <v>0</v>
      </c>
      <c r="Q1140" s="229">
        <f>IF(Q$338&gt;$D$33,0,Q442*Input!Q$56/30)</f>
        <v>0</v>
      </c>
      <c r="R1140" s="229">
        <f>IF(R$338&gt;$D$33,0,R442*Input!R$56/30)</f>
        <v>0</v>
      </c>
      <c r="S1140" s="229">
        <f>IF(S$338&gt;$D$33,0,S442*Input!S$56/30)</f>
        <v>0</v>
      </c>
      <c r="T1140" s="229">
        <f>IF(T$338&gt;$D$33,0,T442*Input!T$56/30)</f>
        <v>0</v>
      </c>
      <c r="U1140" s="229">
        <f>IF(U$338&gt;$D$33,0,U442*Input!U$56/30)</f>
        <v>0</v>
      </c>
      <c r="V1140" s="229">
        <f>IF(V$338&gt;$D$33,0,V442*Input!V$56/30)</f>
        <v>0</v>
      </c>
      <c r="W1140" s="229">
        <f>IF(W$338&gt;$D$33,0,W442*Input!W$56/30)</f>
        <v>0</v>
      </c>
      <c r="X1140" s="229">
        <f>IF(X$338&gt;$D$33,0,X442*Input!X$56/30)</f>
        <v>0</v>
      </c>
      <c r="Y1140" s="229">
        <f>IF(Y$338&gt;$D$33,0,Y442*Input!Y$56/30)</f>
        <v>0</v>
      </c>
      <c r="Z1140" s="229">
        <f>IF(Z$338&gt;$D$33,0,Z442*Input!Z$56/30)</f>
        <v>0</v>
      </c>
      <c r="AA1140" s="229">
        <f>IF(AA$338&gt;$D$33,0,AA442*Input!AA$56/30)</f>
        <v>0</v>
      </c>
      <c r="AB1140" s="229">
        <f>IF(AB$338&gt;$D$33,0,AB442*Input!AB$56/30)</f>
        <v>0</v>
      </c>
      <c r="CH1140" s="269"/>
      <c r="CI1140" s="269"/>
      <c r="CJ1140" s="269"/>
      <c r="CK1140" s="269"/>
      <c r="CL1140" s="269"/>
      <c r="CM1140" s="269"/>
      <c r="CN1140" s="269"/>
      <c r="CO1140" s="269"/>
      <c r="CP1140" s="269"/>
      <c r="CQ1140" s="269"/>
      <c r="CR1140" s="269"/>
      <c r="CS1140" s="269"/>
    </row>
    <row r="1141" spans="3:97" x14ac:dyDescent="0.3">
      <c r="C1141" s="495">
        <f>C1078</f>
        <v>1035</v>
      </c>
      <c r="D1141" s="229">
        <f>IF(D$338&gt;$D$33,0,D443*Input!D$56/30)</f>
        <v>0</v>
      </c>
      <c r="E1141" s="229">
        <f>IF(E$338&gt;$D$33,0,E443*Input!E$56/30)</f>
        <v>0</v>
      </c>
      <c r="F1141" s="229">
        <f>IF(F$338&gt;$D$33,0,F443*Input!F$56/30)</f>
        <v>0</v>
      </c>
      <c r="G1141" s="229">
        <f>IF(G$338&gt;$D$33,0,G443*Input!G$56/30)</f>
        <v>0</v>
      </c>
      <c r="H1141" s="229">
        <f>IF(H$338&gt;$D$33,0,H443*Input!H$56/30)</f>
        <v>0</v>
      </c>
      <c r="I1141" s="229">
        <f>IF(I$338&gt;$D$33,0,I443*Input!I$56/30)</f>
        <v>0</v>
      </c>
      <c r="J1141" s="229">
        <f>IF(J$338&gt;$D$33,0,J443*Input!J$56/30)</f>
        <v>0</v>
      </c>
      <c r="K1141" s="229">
        <f>IF(K$338&gt;$D$33,0,K443*Input!K$56/30)</f>
        <v>0</v>
      </c>
      <c r="L1141" s="229">
        <f>IF(L$338&gt;$D$33,0,L443*Input!L$56/30)</f>
        <v>0</v>
      </c>
      <c r="M1141" s="229">
        <f>IF(M$338&gt;$D$33,0,M443*Input!M$56/30)</f>
        <v>0</v>
      </c>
      <c r="N1141" s="229">
        <f>IF(N$338&gt;$D$33,0,N443*Input!N$56/30)</f>
        <v>0</v>
      </c>
      <c r="O1141" s="229">
        <f>IF(O$338&gt;$D$33,0,O443*Input!O$56/30)</f>
        <v>0</v>
      </c>
      <c r="P1141" s="229">
        <f>IF(P$338&gt;$D$33,0,P443*Input!P$56/30)</f>
        <v>0</v>
      </c>
      <c r="Q1141" s="229">
        <f>IF(Q$338&gt;$D$33,0,Q443*Input!Q$56/30)</f>
        <v>0</v>
      </c>
      <c r="R1141" s="229">
        <f>IF(R$338&gt;$D$33,0,R443*Input!R$56/30)</f>
        <v>0</v>
      </c>
      <c r="S1141" s="229">
        <f>IF(S$338&gt;$D$33,0,S443*Input!S$56/30)</f>
        <v>0</v>
      </c>
      <c r="T1141" s="229">
        <f>IF(T$338&gt;$D$33,0,T443*Input!T$56/30)</f>
        <v>0</v>
      </c>
      <c r="U1141" s="229">
        <f>IF(U$338&gt;$D$33,0,U443*Input!U$56/30)</f>
        <v>0</v>
      </c>
      <c r="V1141" s="229">
        <f>IF(V$338&gt;$D$33,0,V443*Input!V$56/30)</f>
        <v>0</v>
      </c>
      <c r="W1141" s="229">
        <f>IF(W$338&gt;$D$33,0,W443*Input!W$56/30)</f>
        <v>0</v>
      </c>
      <c r="X1141" s="229">
        <f>IF(X$338&gt;$D$33,0,X443*Input!X$56/30)</f>
        <v>0</v>
      </c>
      <c r="Y1141" s="229">
        <f>IF(Y$338&gt;$D$33,0,Y443*Input!Y$56/30)</f>
        <v>0</v>
      </c>
      <c r="Z1141" s="229">
        <f>IF(Z$338&gt;$D$33,0,Z443*Input!Z$56/30)</f>
        <v>0</v>
      </c>
      <c r="AA1141" s="229">
        <f>IF(AA$338&gt;$D$33,0,AA443*Input!AA$56/30)</f>
        <v>0</v>
      </c>
      <c r="AB1141" s="229">
        <f>IF(AB$338&gt;$D$33,0,AB443*Input!AB$56/30)</f>
        <v>0</v>
      </c>
      <c r="CH1141" s="269"/>
      <c r="CI1141" s="269"/>
      <c r="CJ1141" s="269"/>
      <c r="CK1141" s="269"/>
      <c r="CL1141" s="269"/>
      <c r="CM1141" s="269"/>
      <c r="CN1141" s="269"/>
      <c r="CO1141" s="269"/>
      <c r="CP1141" s="269"/>
      <c r="CQ1141" s="269"/>
      <c r="CR1141" s="269"/>
      <c r="CS1141" s="269"/>
    </row>
    <row r="1142" spans="3:97" x14ac:dyDescent="0.3">
      <c r="C1142" s="495">
        <f>C1079</f>
        <v>1065</v>
      </c>
      <c r="D1142" s="229">
        <f>IF(D$338&gt;$D$33,0,D444*Input!D$56/30)</f>
        <v>0</v>
      </c>
      <c r="E1142" s="229">
        <f>IF(E$338&gt;$D$33,0,E444*Input!E$56/30)</f>
        <v>0</v>
      </c>
      <c r="F1142" s="229">
        <f>IF(F$338&gt;$D$33,0,F444*Input!F$56/30)</f>
        <v>0</v>
      </c>
      <c r="G1142" s="229">
        <f>IF(G$338&gt;$D$33,0,G444*Input!G$56/30)</f>
        <v>0</v>
      </c>
      <c r="H1142" s="229">
        <f>IF(H$338&gt;$D$33,0,H444*Input!H$56/30)</f>
        <v>0</v>
      </c>
      <c r="I1142" s="229">
        <f>IF(I$338&gt;$D$33,0,I444*Input!I$56/30)</f>
        <v>0</v>
      </c>
      <c r="J1142" s="229">
        <f>IF(J$338&gt;$D$33,0,J444*Input!J$56/30)</f>
        <v>0</v>
      </c>
      <c r="K1142" s="229">
        <f>IF(K$338&gt;$D$33,0,K444*Input!K$56/30)</f>
        <v>0</v>
      </c>
      <c r="L1142" s="229">
        <f>IF(L$338&gt;$D$33,0,L444*Input!L$56/30)</f>
        <v>0</v>
      </c>
      <c r="M1142" s="229">
        <f>IF(M$338&gt;$D$33,0,M444*Input!M$56/30)</f>
        <v>0</v>
      </c>
      <c r="N1142" s="229">
        <f>IF(N$338&gt;$D$33,0,N444*Input!N$56/30)</f>
        <v>0</v>
      </c>
      <c r="O1142" s="229">
        <f>IF(O$338&gt;$D$33,0,O444*Input!O$56/30)</f>
        <v>0</v>
      </c>
      <c r="P1142" s="229">
        <f>IF(P$338&gt;$D$33,0,P444*Input!P$56/30)</f>
        <v>0</v>
      </c>
      <c r="Q1142" s="229">
        <f>IF(Q$338&gt;$D$33,0,Q444*Input!Q$56/30)</f>
        <v>0</v>
      </c>
      <c r="R1142" s="229">
        <f>IF(R$338&gt;$D$33,0,R444*Input!R$56/30)</f>
        <v>0</v>
      </c>
      <c r="S1142" s="229">
        <f>IF(S$338&gt;$D$33,0,S444*Input!S$56/30)</f>
        <v>0</v>
      </c>
      <c r="T1142" s="229">
        <f>IF(T$338&gt;$D$33,0,T444*Input!T$56/30)</f>
        <v>0</v>
      </c>
      <c r="U1142" s="229">
        <f>IF(U$338&gt;$D$33,0,U444*Input!U$56/30)</f>
        <v>0</v>
      </c>
      <c r="V1142" s="229">
        <f>IF(V$338&gt;$D$33,0,V444*Input!V$56/30)</f>
        <v>0</v>
      </c>
      <c r="W1142" s="229">
        <f>IF(W$338&gt;$D$33,0,W444*Input!W$56/30)</f>
        <v>0</v>
      </c>
      <c r="X1142" s="229">
        <f>IF(X$338&gt;$D$33,0,X444*Input!X$56/30)</f>
        <v>0</v>
      </c>
      <c r="Y1142" s="229">
        <f>IF(Y$338&gt;$D$33,0,Y444*Input!Y$56/30)</f>
        <v>0</v>
      </c>
      <c r="Z1142" s="229">
        <f>IF(Z$338&gt;$D$33,0,Z444*Input!Z$56/30)</f>
        <v>0</v>
      </c>
      <c r="AA1142" s="229">
        <f>IF(AA$338&gt;$D$33,0,AA444*Input!AA$56/30)</f>
        <v>0</v>
      </c>
      <c r="AB1142" s="229">
        <f>IF(AB$338&gt;$D$33,0,AB444*Input!AB$56/30)</f>
        <v>0</v>
      </c>
      <c r="CH1142" s="269"/>
      <c r="CI1142" s="269"/>
      <c r="CJ1142" s="269"/>
      <c r="CK1142" s="269"/>
      <c r="CL1142" s="269"/>
      <c r="CM1142" s="269"/>
      <c r="CN1142" s="269"/>
      <c r="CO1142" s="269"/>
      <c r="CP1142" s="269"/>
      <c r="CQ1142" s="269"/>
      <c r="CR1142" s="269"/>
      <c r="CS1142" s="269"/>
    </row>
    <row r="1143" spans="3:97" ht="12.5" thickBot="1" x14ac:dyDescent="0.35">
      <c r="C1143" s="496">
        <f>C1080</f>
        <v>1096</v>
      </c>
      <c r="D1143" s="230">
        <f>IF(D$338&gt;$D$33,0,D445*Input!D$56/30)</f>
        <v>0</v>
      </c>
      <c r="E1143" s="230">
        <f>IF(E$338&gt;$D$33,0,E445*Input!E$56/30)</f>
        <v>0</v>
      </c>
      <c r="F1143" s="230">
        <f>IF(F$338&gt;$D$33,0,F445*Input!F$56/30)</f>
        <v>0</v>
      </c>
      <c r="G1143" s="230">
        <f>IF(G$338&gt;$D$33,0,G445*Input!G$56/30)</f>
        <v>0</v>
      </c>
      <c r="H1143" s="230">
        <f>IF(H$338&gt;$D$33,0,H445*Input!H$56/30)</f>
        <v>0</v>
      </c>
      <c r="I1143" s="230">
        <f>IF(I$338&gt;$D$33,0,I445*Input!I$56/30)</f>
        <v>0</v>
      </c>
      <c r="J1143" s="230">
        <f>IF(J$338&gt;$D$33,0,J445*Input!J$56/30)</f>
        <v>0</v>
      </c>
      <c r="K1143" s="230">
        <f>IF(K$338&gt;$D$33,0,K445*Input!K$56/30)</f>
        <v>0</v>
      </c>
      <c r="L1143" s="230">
        <f>IF(L$338&gt;$D$33,0,L445*Input!L$56/30)</f>
        <v>0</v>
      </c>
      <c r="M1143" s="230">
        <f>IF(M$338&gt;$D$33,0,M445*Input!M$56/30)</f>
        <v>0</v>
      </c>
      <c r="N1143" s="230">
        <f>IF(N$338&gt;$D$33,0,N445*Input!N$56/30)</f>
        <v>0</v>
      </c>
      <c r="O1143" s="230">
        <f>IF(O$338&gt;$D$33,0,O445*Input!O$56/30)</f>
        <v>0</v>
      </c>
      <c r="P1143" s="230">
        <f>IF(P$338&gt;$D$33,0,P445*Input!P$56/30)</f>
        <v>0</v>
      </c>
      <c r="Q1143" s="230">
        <f>IF(Q$338&gt;$D$33,0,Q445*Input!Q$56/30)</f>
        <v>0</v>
      </c>
      <c r="R1143" s="230">
        <f>IF(R$338&gt;$D$33,0,R445*Input!R$56/30)</f>
        <v>0</v>
      </c>
      <c r="S1143" s="230">
        <f>IF(S$338&gt;$D$33,0,S445*Input!S$56/30)</f>
        <v>0</v>
      </c>
      <c r="T1143" s="230">
        <f>IF(T$338&gt;$D$33,0,T445*Input!T$56/30)</f>
        <v>0</v>
      </c>
      <c r="U1143" s="230">
        <f>IF(U$338&gt;$D$33,0,U445*Input!U$56/30)</f>
        <v>0</v>
      </c>
      <c r="V1143" s="230">
        <f>IF(V$338&gt;$D$33,0,V445*Input!V$56/30)</f>
        <v>0</v>
      </c>
      <c r="W1143" s="230">
        <f>IF(W$338&gt;$D$33,0,W445*Input!W$56/30)</f>
        <v>0</v>
      </c>
      <c r="X1143" s="230">
        <f>IF(X$338&gt;$D$33,0,X445*Input!X$56/30)</f>
        <v>0</v>
      </c>
      <c r="Y1143" s="230">
        <f>IF(Y$338&gt;$D$33,0,Y445*Input!Y$56/30)</f>
        <v>0</v>
      </c>
      <c r="Z1143" s="230">
        <f>IF(Z$338&gt;$D$33,0,Z445*Input!Z$56/30)</f>
        <v>0</v>
      </c>
      <c r="AA1143" s="230">
        <f>IF(AA$338&gt;$D$33,0,AA445*Input!AA$56/30)</f>
        <v>0</v>
      </c>
      <c r="AB1143" s="230">
        <f>IF(AB$338&gt;$D$33,0,AB445*Input!AB$56/30)</f>
        <v>0</v>
      </c>
      <c r="CH1143" s="269"/>
      <c r="CI1143" s="269"/>
      <c r="CJ1143" s="269"/>
      <c r="CK1143" s="269"/>
      <c r="CL1143" s="269"/>
      <c r="CM1143" s="269"/>
      <c r="CN1143" s="269"/>
      <c r="CO1143" s="269"/>
      <c r="CP1143" s="269"/>
      <c r="CQ1143" s="269"/>
      <c r="CR1143" s="269"/>
      <c r="CS1143" s="269"/>
    </row>
    <row r="1144" spans="3:97" x14ac:dyDescent="0.3">
      <c r="C1144" s="638">
        <f>C1081</f>
        <v>1127</v>
      </c>
      <c r="D1144" s="299">
        <f>IF(Years="Five",IF(D$338&gt;$D$33,0,D446*Input!D$56/30),0)</f>
        <v>0</v>
      </c>
      <c r="E1144" s="231">
        <f>IF(Years="Five",IF(E$338&gt;$D$33,0,E446*Input!E$56/30),0)</f>
        <v>0</v>
      </c>
      <c r="F1144" s="231">
        <f>IF(Years="Five",IF(F$338&gt;$D$33,0,F446*Input!F$56/30),0)</f>
        <v>0</v>
      </c>
      <c r="G1144" s="231">
        <f>IF(Years="Five",IF(G$338&gt;$D$33,0,G446*Input!G$56/30),0)</f>
        <v>0</v>
      </c>
      <c r="H1144" s="231">
        <f>IF(Years="Five",IF(H$338&gt;$D$33,0,H446*Input!H$56/30),0)</f>
        <v>0</v>
      </c>
      <c r="I1144" s="231">
        <f>IF(Years="Five",IF(I$338&gt;$D$33,0,I446*Input!I$56/30),0)</f>
        <v>0</v>
      </c>
      <c r="J1144" s="231">
        <f>IF(Years="Five",IF(J$338&gt;$D$33,0,J446*Input!J$56/30),0)</f>
        <v>0</v>
      </c>
      <c r="K1144" s="231">
        <f>IF(Years="Five",IF(K$338&gt;$D$33,0,K446*Input!K$56/30),0)</f>
        <v>0</v>
      </c>
      <c r="L1144" s="231">
        <f>IF(Years="Five",IF(L$338&gt;$D$33,0,L446*Input!L$56/30),0)</f>
        <v>0</v>
      </c>
      <c r="M1144" s="231">
        <f>IF(Years="Five",IF(M$338&gt;$D$33,0,M446*Input!M$56/30),0)</f>
        <v>0</v>
      </c>
      <c r="N1144" s="231">
        <f>IF(Years="Five",IF(N$338&gt;$D$33,0,N446*Input!N$56/30),0)</f>
        <v>0</v>
      </c>
      <c r="O1144" s="231">
        <f>IF(Years="Five",IF(O$338&gt;$D$33,0,O446*Input!O$56/30),0)</f>
        <v>0</v>
      </c>
      <c r="P1144" s="231">
        <f>IF(Years="Five",IF(P$338&gt;$D$33,0,P446*Input!P$56/30),0)</f>
        <v>0</v>
      </c>
      <c r="Q1144" s="231">
        <f>IF(Years="Five",IF(Q$338&gt;$D$33,0,Q446*Input!Q$56/30),0)</f>
        <v>0</v>
      </c>
      <c r="R1144" s="231">
        <f>IF(Years="Five",IF(R$338&gt;$D$33,0,R446*Input!R$56/30),0)</f>
        <v>0</v>
      </c>
      <c r="S1144" s="231">
        <f>IF(Years="Five",IF(S$338&gt;$D$33,0,S446*Input!S$56/30),0)</f>
        <v>0</v>
      </c>
      <c r="T1144" s="231">
        <f>IF(Years="Five",IF(T$338&gt;$D$33,0,T446*Input!T$56/30),0)</f>
        <v>0</v>
      </c>
      <c r="U1144" s="231">
        <f>IF(Years="Five",IF(U$338&gt;$D$33,0,U446*Input!U$56/30),0)</f>
        <v>0</v>
      </c>
      <c r="V1144" s="231">
        <f>IF(Years="Five",IF(V$338&gt;$D$33,0,V446*Input!V$56/30),0)</f>
        <v>0</v>
      </c>
      <c r="W1144" s="231">
        <f>IF(Years="Five",IF(W$338&gt;$D$33,0,W446*Input!W$56/30),0)</f>
        <v>0</v>
      </c>
      <c r="X1144" s="231">
        <f>IF(Years="Five",IF(X$338&gt;$D$33,0,X446*Input!X$56/30),0)</f>
        <v>0</v>
      </c>
      <c r="Y1144" s="231">
        <f>IF(Years="Five",IF(Y$338&gt;$D$33,0,Y446*Input!Y$56/30),0)</f>
        <v>0</v>
      </c>
      <c r="Z1144" s="231">
        <f>IF(Years="Five",IF(Z$338&gt;$D$33,0,Z446*Input!Z$56/30),0)</f>
        <v>0</v>
      </c>
      <c r="AA1144" s="231">
        <f>IF(Years="Five",IF(AA$338&gt;$D$33,0,AA446*Input!AA$56/30),0)</f>
        <v>0</v>
      </c>
      <c r="AB1144" s="300">
        <f>IF(Years="Five",IF(AB$338&gt;$D$33,0,AB446*Input!AB$56/30),0)</f>
        <v>0</v>
      </c>
      <c r="CH1144" s="269"/>
      <c r="CI1144" s="269"/>
      <c r="CJ1144" s="269"/>
      <c r="CK1144" s="269"/>
      <c r="CL1144" s="269"/>
      <c r="CM1144" s="269"/>
      <c r="CN1144" s="269"/>
      <c r="CO1144" s="269"/>
      <c r="CP1144" s="269"/>
      <c r="CQ1144" s="269"/>
      <c r="CR1144" s="269"/>
      <c r="CS1144" s="269"/>
    </row>
    <row r="1145" spans="3:97" x14ac:dyDescent="0.3">
      <c r="C1145" s="638">
        <f>C1082</f>
        <v>1155</v>
      </c>
      <c r="D1145" s="297">
        <f>IF(Years="Five",IF(D$338&gt;$D$33,0,D447*Input!D$56/30),0)</f>
        <v>0</v>
      </c>
      <c r="E1145" s="229">
        <f>IF(Years="Five",IF(E$338&gt;$D$33,0,E447*Input!E$56/30),0)</f>
        <v>0</v>
      </c>
      <c r="F1145" s="229">
        <f>IF(Years="Five",IF(F$338&gt;$D$33,0,F447*Input!F$56/30),0)</f>
        <v>0</v>
      </c>
      <c r="G1145" s="229">
        <f>IF(Years="Five",IF(G$338&gt;$D$33,0,G447*Input!G$56/30),0)</f>
        <v>0</v>
      </c>
      <c r="H1145" s="229">
        <f>IF(Years="Five",IF(H$338&gt;$D$33,0,H447*Input!H$56/30),0)</f>
        <v>0</v>
      </c>
      <c r="I1145" s="229">
        <f>IF(Years="Five",IF(I$338&gt;$D$33,0,I447*Input!I$56/30),0)</f>
        <v>0</v>
      </c>
      <c r="J1145" s="229">
        <f>IF(Years="Five",IF(J$338&gt;$D$33,0,J447*Input!J$56/30),0)</f>
        <v>0</v>
      </c>
      <c r="K1145" s="229">
        <f>IF(Years="Five",IF(K$338&gt;$D$33,0,K447*Input!K$56/30),0)</f>
        <v>0</v>
      </c>
      <c r="L1145" s="229">
        <f>IF(Years="Five",IF(L$338&gt;$D$33,0,L447*Input!L$56/30),0)</f>
        <v>0</v>
      </c>
      <c r="M1145" s="229">
        <f>IF(Years="Five",IF(M$338&gt;$D$33,0,M447*Input!M$56/30),0)</f>
        <v>0</v>
      </c>
      <c r="N1145" s="229">
        <f>IF(Years="Five",IF(N$338&gt;$D$33,0,N447*Input!N$56/30),0)</f>
        <v>0</v>
      </c>
      <c r="O1145" s="229">
        <f>IF(Years="Five",IF(O$338&gt;$D$33,0,O447*Input!O$56/30),0)</f>
        <v>0</v>
      </c>
      <c r="P1145" s="229">
        <f>IF(Years="Five",IF(P$338&gt;$D$33,0,P447*Input!P$56/30),0)</f>
        <v>0</v>
      </c>
      <c r="Q1145" s="229">
        <f>IF(Years="Five",IF(Q$338&gt;$D$33,0,Q447*Input!Q$56/30),0)</f>
        <v>0</v>
      </c>
      <c r="R1145" s="229">
        <f>IF(Years="Five",IF(R$338&gt;$D$33,0,R447*Input!R$56/30),0)</f>
        <v>0</v>
      </c>
      <c r="S1145" s="229">
        <f>IF(Years="Five",IF(S$338&gt;$D$33,0,S447*Input!S$56/30),0)</f>
        <v>0</v>
      </c>
      <c r="T1145" s="229">
        <f>IF(Years="Five",IF(T$338&gt;$D$33,0,T447*Input!T$56/30),0)</f>
        <v>0</v>
      </c>
      <c r="U1145" s="229">
        <f>IF(Years="Five",IF(U$338&gt;$D$33,0,U447*Input!U$56/30),0)</f>
        <v>0</v>
      </c>
      <c r="V1145" s="229">
        <f>IF(Years="Five",IF(V$338&gt;$D$33,0,V447*Input!V$56/30),0)</f>
        <v>0</v>
      </c>
      <c r="W1145" s="229">
        <f>IF(Years="Five",IF(W$338&gt;$D$33,0,W447*Input!W$56/30),0)</f>
        <v>0</v>
      </c>
      <c r="X1145" s="229">
        <f>IF(Years="Five",IF(X$338&gt;$D$33,0,X447*Input!X$56/30),0)</f>
        <v>0</v>
      </c>
      <c r="Y1145" s="229">
        <f>IF(Years="Five",IF(Y$338&gt;$D$33,0,Y447*Input!Y$56/30),0)</f>
        <v>0</v>
      </c>
      <c r="Z1145" s="229">
        <f>IF(Years="Five",IF(Z$338&gt;$D$33,0,Z447*Input!Z$56/30),0)</f>
        <v>0</v>
      </c>
      <c r="AA1145" s="229">
        <f>IF(Years="Five",IF(AA$338&gt;$D$33,0,AA447*Input!AA$56/30),0)</f>
        <v>0</v>
      </c>
      <c r="AB1145" s="298">
        <f>IF(Years="Five",IF(AB$338&gt;$D$33,0,AB447*Input!AB$56/30),0)</f>
        <v>0</v>
      </c>
      <c r="CH1145" s="269"/>
      <c r="CI1145" s="269"/>
      <c r="CJ1145" s="269"/>
      <c r="CK1145" s="269"/>
      <c r="CL1145" s="269"/>
      <c r="CM1145" s="269"/>
      <c r="CN1145" s="269"/>
      <c r="CO1145" s="269"/>
      <c r="CP1145" s="269"/>
      <c r="CQ1145" s="269"/>
      <c r="CR1145" s="269"/>
      <c r="CS1145" s="269"/>
    </row>
    <row r="1146" spans="3:97" x14ac:dyDescent="0.3">
      <c r="C1146" s="638">
        <f>C1083</f>
        <v>1186</v>
      </c>
      <c r="D1146" s="297">
        <f>IF(Years="Five",IF(D$338&gt;$D$33,0,D448*Input!D$56/30),0)</f>
        <v>0</v>
      </c>
      <c r="E1146" s="229">
        <f>IF(Years="Five",IF(E$338&gt;$D$33,0,E448*Input!E$56/30),0)</f>
        <v>0</v>
      </c>
      <c r="F1146" s="229">
        <f>IF(Years="Five",IF(F$338&gt;$D$33,0,F448*Input!F$56/30),0)</f>
        <v>0</v>
      </c>
      <c r="G1146" s="229">
        <f>IF(Years="Five",IF(G$338&gt;$D$33,0,G448*Input!G$56/30),0)</f>
        <v>0</v>
      </c>
      <c r="H1146" s="229">
        <f>IF(Years="Five",IF(H$338&gt;$D$33,0,H448*Input!H$56/30),0)</f>
        <v>0</v>
      </c>
      <c r="I1146" s="229">
        <f>IF(Years="Five",IF(I$338&gt;$D$33,0,I448*Input!I$56/30),0)</f>
        <v>0</v>
      </c>
      <c r="J1146" s="229">
        <f>IF(Years="Five",IF(J$338&gt;$D$33,0,J448*Input!J$56/30),0)</f>
        <v>0</v>
      </c>
      <c r="K1146" s="229">
        <f>IF(Years="Five",IF(K$338&gt;$D$33,0,K448*Input!K$56/30),0)</f>
        <v>0</v>
      </c>
      <c r="L1146" s="229">
        <f>IF(Years="Five",IF(L$338&gt;$D$33,0,L448*Input!L$56/30),0)</f>
        <v>0</v>
      </c>
      <c r="M1146" s="229">
        <f>IF(Years="Five",IF(M$338&gt;$D$33,0,M448*Input!M$56/30),0)</f>
        <v>0</v>
      </c>
      <c r="N1146" s="229">
        <f>IF(Years="Five",IF(N$338&gt;$D$33,0,N448*Input!N$56/30),0)</f>
        <v>0</v>
      </c>
      <c r="O1146" s="229">
        <f>IF(Years="Five",IF(O$338&gt;$D$33,0,O448*Input!O$56/30),0)</f>
        <v>0</v>
      </c>
      <c r="P1146" s="229">
        <f>IF(Years="Five",IF(P$338&gt;$D$33,0,P448*Input!P$56/30),0)</f>
        <v>0</v>
      </c>
      <c r="Q1146" s="229">
        <f>IF(Years="Five",IF(Q$338&gt;$D$33,0,Q448*Input!Q$56/30),0)</f>
        <v>0</v>
      </c>
      <c r="R1146" s="229">
        <f>IF(Years="Five",IF(R$338&gt;$D$33,0,R448*Input!R$56/30),0)</f>
        <v>0</v>
      </c>
      <c r="S1146" s="229">
        <f>IF(Years="Five",IF(S$338&gt;$D$33,0,S448*Input!S$56/30),0)</f>
        <v>0</v>
      </c>
      <c r="T1146" s="229">
        <f>IF(Years="Five",IF(T$338&gt;$D$33,0,T448*Input!T$56/30),0)</f>
        <v>0</v>
      </c>
      <c r="U1146" s="229">
        <f>IF(Years="Five",IF(U$338&gt;$D$33,0,U448*Input!U$56/30),0)</f>
        <v>0</v>
      </c>
      <c r="V1146" s="229">
        <f>IF(Years="Five",IF(V$338&gt;$D$33,0,V448*Input!V$56/30),0)</f>
        <v>0</v>
      </c>
      <c r="W1146" s="229">
        <f>IF(Years="Five",IF(W$338&gt;$D$33,0,W448*Input!W$56/30),0)</f>
        <v>0</v>
      </c>
      <c r="X1146" s="229">
        <f>IF(Years="Five",IF(X$338&gt;$D$33,0,X448*Input!X$56/30),0)</f>
        <v>0</v>
      </c>
      <c r="Y1146" s="229">
        <f>IF(Years="Five",IF(Y$338&gt;$D$33,0,Y448*Input!Y$56/30),0)</f>
        <v>0</v>
      </c>
      <c r="Z1146" s="229">
        <f>IF(Years="Five",IF(Z$338&gt;$D$33,0,Z448*Input!Z$56/30),0)</f>
        <v>0</v>
      </c>
      <c r="AA1146" s="229">
        <f>IF(Years="Five",IF(AA$338&gt;$D$33,0,AA448*Input!AA$56/30),0)</f>
        <v>0</v>
      </c>
      <c r="AB1146" s="298">
        <f>IF(Years="Five",IF(AB$338&gt;$D$33,0,AB448*Input!AB$56/30),0)</f>
        <v>0</v>
      </c>
      <c r="CH1146" s="269"/>
      <c r="CI1146" s="269"/>
      <c r="CJ1146" s="269"/>
      <c r="CK1146" s="269"/>
      <c r="CL1146" s="269"/>
      <c r="CM1146" s="269"/>
      <c r="CN1146" s="269"/>
      <c r="CO1146" s="269"/>
      <c r="CP1146" s="269"/>
      <c r="CQ1146" s="269"/>
      <c r="CR1146" s="269"/>
      <c r="CS1146" s="269"/>
    </row>
    <row r="1147" spans="3:97" x14ac:dyDescent="0.3">
      <c r="C1147" s="638">
        <f>C1084</f>
        <v>1216</v>
      </c>
      <c r="D1147" s="297">
        <f>IF(Years="Five",IF(D$338&gt;$D$33,0,D449*Input!D$56/30),0)</f>
        <v>0</v>
      </c>
      <c r="E1147" s="229">
        <f>IF(Years="Five",IF(E$338&gt;$D$33,0,E449*Input!E$56/30),0)</f>
        <v>0</v>
      </c>
      <c r="F1147" s="229">
        <f>IF(Years="Five",IF(F$338&gt;$D$33,0,F449*Input!F$56/30),0)</f>
        <v>0</v>
      </c>
      <c r="G1147" s="229">
        <f>IF(Years="Five",IF(G$338&gt;$D$33,0,G449*Input!G$56/30),0)</f>
        <v>0</v>
      </c>
      <c r="H1147" s="229">
        <f>IF(Years="Five",IF(H$338&gt;$D$33,0,H449*Input!H$56/30),0)</f>
        <v>0</v>
      </c>
      <c r="I1147" s="229">
        <f>IF(Years="Five",IF(I$338&gt;$D$33,0,I449*Input!I$56/30),0)</f>
        <v>0</v>
      </c>
      <c r="J1147" s="229">
        <f>IF(Years="Five",IF(J$338&gt;$D$33,0,J449*Input!J$56/30),0)</f>
        <v>0</v>
      </c>
      <c r="K1147" s="229">
        <f>IF(Years="Five",IF(K$338&gt;$D$33,0,K449*Input!K$56/30),0)</f>
        <v>0</v>
      </c>
      <c r="L1147" s="229">
        <f>IF(Years="Five",IF(L$338&gt;$D$33,0,L449*Input!L$56/30),0)</f>
        <v>0</v>
      </c>
      <c r="M1147" s="229">
        <f>IF(Years="Five",IF(M$338&gt;$D$33,0,M449*Input!M$56/30),0)</f>
        <v>0</v>
      </c>
      <c r="N1147" s="229">
        <f>IF(Years="Five",IF(N$338&gt;$D$33,0,N449*Input!N$56/30),0)</f>
        <v>0</v>
      </c>
      <c r="O1147" s="229">
        <f>IF(Years="Five",IF(O$338&gt;$D$33,0,O449*Input!O$56/30),0)</f>
        <v>0</v>
      </c>
      <c r="P1147" s="229">
        <f>IF(Years="Five",IF(P$338&gt;$D$33,0,P449*Input!P$56/30),0)</f>
        <v>0</v>
      </c>
      <c r="Q1147" s="229">
        <f>IF(Years="Five",IF(Q$338&gt;$D$33,0,Q449*Input!Q$56/30),0)</f>
        <v>0</v>
      </c>
      <c r="R1147" s="229">
        <f>IF(Years="Five",IF(R$338&gt;$D$33,0,R449*Input!R$56/30),0)</f>
        <v>0</v>
      </c>
      <c r="S1147" s="229">
        <f>IF(Years="Five",IF(S$338&gt;$D$33,0,S449*Input!S$56/30),0)</f>
        <v>0</v>
      </c>
      <c r="T1147" s="229">
        <f>IF(Years="Five",IF(T$338&gt;$D$33,0,T449*Input!T$56/30),0)</f>
        <v>0</v>
      </c>
      <c r="U1147" s="229">
        <f>IF(Years="Five",IF(U$338&gt;$D$33,0,U449*Input!U$56/30),0)</f>
        <v>0</v>
      </c>
      <c r="V1147" s="229">
        <f>IF(Years="Five",IF(V$338&gt;$D$33,0,V449*Input!V$56/30),0)</f>
        <v>0</v>
      </c>
      <c r="W1147" s="229">
        <f>IF(Years="Five",IF(W$338&gt;$D$33,0,W449*Input!W$56/30),0)</f>
        <v>0</v>
      </c>
      <c r="X1147" s="229">
        <f>IF(Years="Five",IF(X$338&gt;$D$33,0,X449*Input!X$56/30),0)</f>
        <v>0</v>
      </c>
      <c r="Y1147" s="229">
        <f>IF(Years="Five",IF(Y$338&gt;$D$33,0,Y449*Input!Y$56/30),0)</f>
        <v>0</v>
      </c>
      <c r="Z1147" s="229">
        <f>IF(Years="Five",IF(Z$338&gt;$D$33,0,Z449*Input!Z$56/30),0)</f>
        <v>0</v>
      </c>
      <c r="AA1147" s="229">
        <f>IF(Years="Five",IF(AA$338&gt;$D$33,0,AA449*Input!AA$56/30),0)</f>
        <v>0</v>
      </c>
      <c r="AB1147" s="298">
        <f>IF(Years="Five",IF(AB$338&gt;$D$33,0,AB449*Input!AB$56/30),0)</f>
        <v>0</v>
      </c>
      <c r="CH1147" s="269"/>
      <c r="CI1147" s="269"/>
      <c r="CJ1147" s="269"/>
      <c r="CK1147" s="269"/>
      <c r="CL1147" s="269"/>
      <c r="CM1147" s="269"/>
      <c r="CN1147" s="269"/>
      <c r="CO1147" s="269"/>
      <c r="CP1147" s="269"/>
      <c r="CQ1147" s="269"/>
      <c r="CR1147" s="269"/>
      <c r="CS1147" s="269"/>
    </row>
    <row r="1148" spans="3:97" x14ac:dyDescent="0.3">
      <c r="C1148" s="638">
        <f>C1085</f>
        <v>1247</v>
      </c>
      <c r="D1148" s="297">
        <f>IF(Years="Five",IF(D$338&gt;$D$33,0,D450*Input!D$56/30),0)</f>
        <v>0</v>
      </c>
      <c r="E1148" s="229">
        <f>IF(Years="Five",IF(E$338&gt;$D$33,0,E450*Input!E$56/30),0)</f>
        <v>0</v>
      </c>
      <c r="F1148" s="229">
        <f>IF(Years="Five",IF(F$338&gt;$D$33,0,F450*Input!F$56/30),0)</f>
        <v>0</v>
      </c>
      <c r="G1148" s="229">
        <f>IF(Years="Five",IF(G$338&gt;$D$33,0,G450*Input!G$56/30),0)</f>
        <v>0</v>
      </c>
      <c r="H1148" s="229">
        <f>IF(Years="Five",IF(H$338&gt;$D$33,0,H450*Input!H$56/30),0)</f>
        <v>0</v>
      </c>
      <c r="I1148" s="229">
        <f>IF(Years="Five",IF(I$338&gt;$D$33,0,I450*Input!I$56/30),0)</f>
        <v>0</v>
      </c>
      <c r="J1148" s="229">
        <f>IF(Years="Five",IF(J$338&gt;$D$33,0,J450*Input!J$56/30),0)</f>
        <v>0</v>
      </c>
      <c r="K1148" s="229">
        <f>IF(Years="Five",IF(K$338&gt;$D$33,0,K450*Input!K$56/30),0)</f>
        <v>0</v>
      </c>
      <c r="L1148" s="229">
        <f>IF(Years="Five",IF(L$338&gt;$D$33,0,L450*Input!L$56/30),0)</f>
        <v>0</v>
      </c>
      <c r="M1148" s="229">
        <f>IF(Years="Five",IF(M$338&gt;$D$33,0,M450*Input!M$56/30),0)</f>
        <v>0</v>
      </c>
      <c r="N1148" s="229">
        <f>IF(Years="Five",IF(N$338&gt;$D$33,0,N450*Input!N$56/30),0)</f>
        <v>0</v>
      </c>
      <c r="O1148" s="229">
        <f>IF(Years="Five",IF(O$338&gt;$D$33,0,O450*Input!O$56/30),0)</f>
        <v>0</v>
      </c>
      <c r="P1148" s="229">
        <f>IF(Years="Five",IF(P$338&gt;$D$33,0,P450*Input!P$56/30),0)</f>
        <v>0</v>
      </c>
      <c r="Q1148" s="229">
        <f>IF(Years="Five",IF(Q$338&gt;$D$33,0,Q450*Input!Q$56/30),0)</f>
        <v>0</v>
      </c>
      <c r="R1148" s="229">
        <f>IF(Years="Five",IF(R$338&gt;$D$33,0,R450*Input!R$56/30),0)</f>
        <v>0</v>
      </c>
      <c r="S1148" s="229">
        <f>IF(Years="Five",IF(S$338&gt;$D$33,0,S450*Input!S$56/30),0)</f>
        <v>0</v>
      </c>
      <c r="T1148" s="229">
        <f>IF(Years="Five",IF(T$338&gt;$D$33,0,T450*Input!T$56/30),0)</f>
        <v>0</v>
      </c>
      <c r="U1148" s="229">
        <f>IF(Years="Five",IF(U$338&gt;$D$33,0,U450*Input!U$56/30),0)</f>
        <v>0</v>
      </c>
      <c r="V1148" s="229">
        <f>IF(Years="Five",IF(V$338&gt;$D$33,0,V450*Input!V$56/30),0)</f>
        <v>0</v>
      </c>
      <c r="W1148" s="229">
        <f>IF(Years="Five",IF(W$338&gt;$D$33,0,W450*Input!W$56/30),0)</f>
        <v>0</v>
      </c>
      <c r="X1148" s="229">
        <f>IF(Years="Five",IF(X$338&gt;$D$33,0,X450*Input!X$56/30),0)</f>
        <v>0</v>
      </c>
      <c r="Y1148" s="229">
        <f>IF(Years="Five",IF(Y$338&gt;$D$33,0,Y450*Input!Y$56/30),0)</f>
        <v>0</v>
      </c>
      <c r="Z1148" s="229">
        <f>IF(Years="Five",IF(Z$338&gt;$D$33,0,Z450*Input!Z$56/30),0)</f>
        <v>0</v>
      </c>
      <c r="AA1148" s="229">
        <f>IF(Years="Five",IF(AA$338&gt;$D$33,0,AA450*Input!AA$56/30),0)</f>
        <v>0</v>
      </c>
      <c r="AB1148" s="298">
        <f>IF(Years="Five",IF(AB$338&gt;$D$33,0,AB450*Input!AB$56/30),0)</f>
        <v>0</v>
      </c>
      <c r="CH1148" s="269"/>
      <c r="CI1148" s="269"/>
      <c r="CJ1148" s="269"/>
      <c r="CK1148" s="269"/>
      <c r="CL1148" s="269"/>
      <c r="CM1148" s="269"/>
      <c r="CN1148" s="269"/>
      <c r="CO1148" s="269"/>
      <c r="CP1148" s="269"/>
      <c r="CQ1148" s="269"/>
      <c r="CR1148" s="269"/>
      <c r="CS1148" s="269"/>
    </row>
    <row r="1149" spans="3:97" x14ac:dyDescent="0.3">
      <c r="C1149" s="638">
        <f>C1086</f>
        <v>1277</v>
      </c>
      <c r="D1149" s="297">
        <f>IF(Years="Five",IF(D$338&gt;$D$33,0,D451*Input!D$56/30),0)</f>
        <v>0</v>
      </c>
      <c r="E1149" s="229">
        <f>IF(Years="Five",IF(E$338&gt;$D$33,0,E451*Input!E$56/30),0)</f>
        <v>0</v>
      </c>
      <c r="F1149" s="229">
        <f>IF(Years="Five",IF(F$338&gt;$D$33,0,F451*Input!F$56/30),0)</f>
        <v>0</v>
      </c>
      <c r="G1149" s="229">
        <f>IF(Years="Five",IF(G$338&gt;$D$33,0,G451*Input!G$56/30),0)</f>
        <v>0</v>
      </c>
      <c r="H1149" s="229">
        <f>IF(Years="Five",IF(H$338&gt;$D$33,0,H451*Input!H$56/30),0)</f>
        <v>0</v>
      </c>
      <c r="I1149" s="229">
        <f>IF(Years="Five",IF(I$338&gt;$D$33,0,I451*Input!I$56/30),0)</f>
        <v>0</v>
      </c>
      <c r="J1149" s="229">
        <f>IF(Years="Five",IF(J$338&gt;$D$33,0,J451*Input!J$56/30),0)</f>
        <v>0</v>
      </c>
      <c r="K1149" s="229">
        <f>IF(Years="Five",IF(K$338&gt;$D$33,0,K451*Input!K$56/30),0)</f>
        <v>0</v>
      </c>
      <c r="L1149" s="229">
        <f>IF(Years="Five",IF(L$338&gt;$D$33,0,L451*Input!L$56/30),0)</f>
        <v>0</v>
      </c>
      <c r="M1149" s="229">
        <f>IF(Years="Five",IF(M$338&gt;$D$33,0,M451*Input!M$56/30),0)</f>
        <v>0</v>
      </c>
      <c r="N1149" s="229">
        <f>IF(Years="Five",IF(N$338&gt;$D$33,0,N451*Input!N$56/30),0)</f>
        <v>0</v>
      </c>
      <c r="O1149" s="229">
        <f>IF(Years="Five",IF(O$338&gt;$D$33,0,O451*Input!O$56/30),0)</f>
        <v>0</v>
      </c>
      <c r="P1149" s="229">
        <f>IF(Years="Five",IF(P$338&gt;$D$33,0,P451*Input!P$56/30),0)</f>
        <v>0</v>
      </c>
      <c r="Q1149" s="229">
        <f>IF(Years="Five",IF(Q$338&gt;$D$33,0,Q451*Input!Q$56/30),0)</f>
        <v>0</v>
      </c>
      <c r="R1149" s="229">
        <f>IF(Years="Five",IF(R$338&gt;$D$33,0,R451*Input!R$56/30),0)</f>
        <v>0</v>
      </c>
      <c r="S1149" s="229">
        <f>IF(Years="Five",IF(S$338&gt;$D$33,0,S451*Input!S$56/30),0)</f>
        <v>0</v>
      </c>
      <c r="T1149" s="229">
        <f>IF(Years="Five",IF(T$338&gt;$D$33,0,T451*Input!T$56/30),0)</f>
        <v>0</v>
      </c>
      <c r="U1149" s="229">
        <f>IF(Years="Five",IF(U$338&gt;$D$33,0,U451*Input!U$56/30),0)</f>
        <v>0</v>
      </c>
      <c r="V1149" s="229">
        <f>IF(Years="Five",IF(V$338&gt;$D$33,0,V451*Input!V$56/30),0)</f>
        <v>0</v>
      </c>
      <c r="W1149" s="229">
        <f>IF(Years="Five",IF(W$338&gt;$D$33,0,W451*Input!W$56/30),0)</f>
        <v>0</v>
      </c>
      <c r="X1149" s="229">
        <f>IF(Years="Five",IF(X$338&gt;$D$33,0,X451*Input!X$56/30),0)</f>
        <v>0</v>
      </c>
      <c r="Y1149" s="229">
        <f>IF(Years="Five",IF(Y$338&gt;$D$33,0,Y451*Input!Y$56/30),0)</f>
        <v>0</v>
      </c>
      <c r="Z1149" s="229">
        <f>IF(Years="Five",IF(Z$338&gt;$D$33,0,Z451*Input!Z$56/30),0)</f>
        <v>0</v>
      </c>
      <c r="AA1149" s="229">
        <f>IF(Years="Five",IF(AA$338&gt;$D$33,0,AA451*Input!AA$56/30),0)</f>
        <v>0</v>
      </c>
      <c r="AB1149" s="298">
        <f>IF(Years="Five",IF(AB$338&gt;$D$33,0,AB451*Input!AB$56/30),0)</f>
        <v>0</v>
      </c>
      <c r="CH1149" s="269"/>
      <c r="CI1149" s="269"/>
      <c r="CJ1149" s="269"/>
      <c r="CK1149" s="269"/>
      <c r="CL1149" s="269"/>
      <c r="CM1149" s="269"/>
      <c r="CN1149" s="269"/>
      <c r="CO1149" s="269"/>
      <c r="CP1149" s="269"/>
      <c r="CQ1149" s="269"/>
      <c r="CR1149" s="269"/>
      <c r="CS1149" s="269"/>
    </row>
    <row r="1150" spans="3:97" x14ac:dyDescent="0.3">
      <c r="C1150" s="638">
        <f>C1087</f>
        <v>1308</v>
      </c>
      <c r="D1150" s="297">
        <f>IF(Years="Five",IF(D$338&gt;$D$33,0,D452*Input!D$56/30),0)</f>
        <v>0</v>
      </c>
      <c r="E1150" s="229">
        <f>IF(Years="Five",IF(E$338&gt;$D$33,0,E452*Input!E$56/30),0)</f>
        <v>0</v>
      </c>
      <c r="F1150" s="229">
        <f>IF(Years="Five",IF(F$338&gt;$D$33,0,F452*Input!F$56/30),0)</f>
        <v>0</v>
      </c>
      <c r="G1150" s="229">
        <f>IF(Years="Five",IF(G$338&gt;$D$33,0,G452*Input!G$56/30),0)</f>
        <v>0</v>
      </c>
      <c r="H1150" s="229">
        <f>IF(Years="Five",IF(H$338&gt;$D$33,0,H452*Input!H$56/30),0)</f>
        <v>0</v>
      </c>
      <c r="I1150" s="229">
        <f>IF(Years="Five",IF(I$338&gt;$D$33,0,I452*Input!I$56/30),0)</f>
        <v>0</v>
      </c>
      <c r="J1150" s="229">
        <f>IF(Years="Five",IF(J$338&gt;$D$33,0,J452*Input!J$56/30),0)</f>
        <v>0</v>
      </c>
      <c r="K1150" s="229">
        <f>IF(Years="Five",IF(K$338&gt;$D$33,0,K452*Input!K$56/30),0)</f>
        <v>0</v>
      </c>
      <c r="L1150" s="229">
        <f>IF(Years="Five",IF(L$338&gt;$D$33,0,L452*Input!L$56/30),0)</f>
        <v>0</v>
      </c>
      <c r="M1150" s="229">
        <f>IF(Years="Five",IF(M$338&gt;$D$33,0,M452*Input!M$56/30),0)</f>
        <v>0</v>
      </c>
      <c r="N1150" s="229">
        <f>IF(Years="Five",IF(N$338&gt;$D$33,0,N452*Input!N$56/30),0)</f>
        <v>0</v>
      </c>
      <c r="O1150" s="229">
        <f>IF(Years="Five",IF(O$338&gt;$D$33,0,O452*Input!O$56/30),0)</f>
        <v>0</v>
      </c>
      <c r="P1150" s="229">
        <f>IF(Years="Five",IF(P$338&gt;$D$33,0,P452*Input!P$56/30),0)</f>
        <v>0</v>
      </c>
      <c r="Q1150" s="229">
        <f>IF(Years="Five",IF(Q$338&gt;$D$33,0,Q452*Input!Q$56/30),0)</f>
        <v>0</v>
      </c>
      <c r="R1150" s="229">
        <f>IF(Years="Five",IF(R$338&gt;$D$33,0,R452*Input!R$56/30),0)</f>
        <v>0</v>
      </c>
      <c r="S1150" s="229">
        <f>IF(Years="Five",IF(S$338&gt;$D$33,0,S452*Input!S$56/30),0)</f>
        <v>0</v>
      </c>
      <c r="T1150" s="229">
        <f>IF(Years="Five",IF(T$338&gt;$D$33,0,T452*Input!T$56/30),0)</f>
        <v>0</v>
      </c>
      <c r="U1150" s="229">
        <f>IF(Years="Five",IF(U$338&gt;$D$33,0,U452*Input!U$56/30),0)</f>
        <v>0</v>
      </c>
      <c r="V1150" s="229">
        <f>IF(Years="Five",IF(V$338&gt;$D$33,0,V452*Input!V$56/30),0)</f>
        <v>0</v>
      </c>
      <c r="W1150" s="229">
        <f>IF(Years="Five",IF(W$338&gt;$D$33,0,W452*Input!W$56/30),0)</f>
        <v>0</v>
      </c>
      <c r="X1150" s="229">
        <f>IF(Years="Five",IF(X$338&gt;$D$33,0,X452*Input!X$56/30),0)</f>
        <v>0</v>
      </c>
      <c r="Y1150" s="229">
        <f>IF(Years="Five",IF(Y$338&gt;$D$33,0,Y452*Input!Y$56/30),0)</f>
        <v>0</v>
      </c>
      <c r="Z1150" s="229">
        <f>IF(Years="Five",IF(Z$338&gt;$D$33,0,Z452*Input!Z$56/30),0)</f>
        <v>0</v>
      </c>
      <c r="AA1150" s="229">
        <f>IF(Years="Five",IF(AA$338&gt;$D$33,0,AA452*Input!AA$56/30),0)</f>
        <v>0</v>
      </c>
      <c r="AB1150" s="298">
        <f>IF(Years="Five",IF(AB$338&gt;$D$33,0,AB452*Input!AB$56/30),0)</f>
        <v>0</v>
      </c>
      <c r="CH1150" s="269"/>
      <c r="CI1150" s="269"/>
      <c r="CJ1150" s="269"/>
      <c r="CK1150" s="269"/>
      <c r="CL1150" s="269"/>
      <c r="CM1150" s="269"/>
      <c r="CN1150" s="269"/>
      <c r="CO1150" s="269"/>
      <c r="CP1150" s="269"/>
      <c r="CQ1150" s="269"/>
      <c r="CR1150" s="269"/>
      <c r="CS1150" s="269"/>
    </row>
    <row r="1151" spans="3:97" x14ac:dyDescent="0.3">
      <c r="C1151" s="638">
        <f>C1088</f>
        <v>1339</v>
      </c>
      <c r="D1151" s="297">
        <f>IF(Years="Five",IF(D$338&gt;$D$33,0,D453*Input!D$56/30),0)</f>
        <v>0</v>
      </c>
      <c r="E1151" s="229">
        <f>IF(Years="Five",IF(E$338&gt;$D$33,0,E453*Input!E$56/30),0)</f>
        <v>0</v>
      </c>
      <c r="F1151" s="229">
        <f>IF(Years="Five",IF(F$338&gt;$D$33,0,F453*Input!F$56/30),0)</f>
        <v>0</v>
      </c>
      <c r="G1151" s="229">
        <f>IF(Years="Five",IF(G$338&gt;$D$33,0,G453*Input!G$56/30),0)</f>
        <v>0</v>
      </c>
      <c r="H1151" s="229">
        <f>IF(Years="Five",IF(H$338&gt;$D$33,0,H453*Input!H$56/30),0)</f>
        <v>0</v>
      </c>
      <c r="I1151" s="229">
        <f>IF(Years="Five",IF(I$338&gt;$D$33,0,I453*Input!I$56/30),0)</f>
        <v>0</v>
      </c>
      <c r="J1151" s="229">
        <f>IF(Years="Five",IF(J$338&gt;$D$33,0,J453*Input!J$56/30),0)</f>
        <v>0</v>
      </c>
      <c r="K1151" s="229">
        <f>IF(Years="Five",IF(K$338&gt;$D$33,0,K453*Input!K$56/30),0)</f>
        <v>0</v>
      </c>
      <c r="L1151" s="229">
        <f>IF(Years="Five",IF(L$338&gt;$D$33,0,L453*Input!L$56/30),0)</f>
        <v>0</v>
      </c>
      <c r="M1151" s="229">
        <f>IF(Years="Five",IF(M$338&gt;$D$33,0,M453*Input!M$56/30),0)</f>
        <v>0</v>
      </c>
      <c r="N1151" s="229">
        <f>IF(Years="Five",IF(N$338&gt;$D$33,0,N453*Input!N$56/30),0)</f>
        <v>0</v>
      </c>
      <c r="O1151" s="229">
        <f>IF(Years="Five",IF(O$338&gt;$D$33,0,O453*Input!O$56/30),0)</f>
        <v>0</v>
      </c>
      <c r="P1151" s="229">
        <f>IF(Years="Five",IF(P$338&gt;$D$33,0,P453*Input!P$56/30),0)</f>
        <v>0</v>
      </c>
      <c r="Q1151" s="229">
        <f>IF(Years="Five",IF(Q$338&gt;$D$33,0,Q453*Input!Q$56/30),0)</f>
        <v>0</v>
      </c>
      <c r="R1151" s="229">
        <f>IF(Years="Five",IF(R$338&gt;$D$33,0,R453*Input!R$56/30),0)</f>
        <v>0</v>
      </c>
      <c r="S1151" s="229">
        <f>IF(Years="Five",IF(S$338&gt;$D$33,0,S453*Input!S$56/30),0)</f>
        <v>0</v>
      </c>
      <c r="T1151" s="229">
        <f>IF(Years="Five",IF(T$338&gt;$D$33,0,T453*Input!T$56/30),0)</f>
        <v>0</v>
      </c>
      <c r="U1151" s="229">
        <f>IF(Years="Five",IF(U$338&gt;$D$33,0,U453*Input!U$56/30),0)</f>
        <v>0</v>
      </c>
      <c r="V1151" s="229">
        <f>IF(Years="Five",IF(V$338&gt;$D$33,0,V453*Input!V$56/30),0)</f>
        <v>0</v>
      </c>
      <c r="W1151" s="229">
        <f>IF(Years="Five",IF(W$338&gt;$D$33,0,W453*Input!W$56/30),0)</f>
        <v>0</v>
      </c>
      <c r="X1151" s="229">
        <f>IF(Years="Five",IF(X$338&gt;$D$33,0,X453*Input!X$56/30),0)</f>
        <v>0</v>
      </c>
      <c r="Y1151" s="229">
        <f>IF(Years="Five",IF(Y$338&gt;$D$33,0,Y453*Input!Y$56/30),0)</f>
        <v>0</v>
      </c>
      <c r="Z1151" s="229">
        <f>IF(Years="Five",IF(Z$338&gt;$D$33,0,Z453*Input!Z$56/30),0)</f>
        <v>0</v>
      </c>
      <c r="AA1151" s="229">
        <f>IF(Years="Five",IF(AA$338&gt;$D$33,0,AA453*Input!AA$56/30),0)</f>
        <v>0</v>
      </c>
      <c r="AB1151" s="298">
        <f>IF(Years="Five",IF(AB$338&gt;$D$33,0,AB453*Input!AB$56/30),0)</f>
        <v>0</v>
      </c>
      <c r="CH1151" s="269"/>
      <c r="CI1151" s="269"/>
      <c r="CJ1151" s="269"/>
      <c r="CK1151" s="269"/>
      <c r="CL1151" s="269"/>
      <c r="CM1151" s="269"/>
      <c r="CN1151" s="269"/>
      <c r="CO1151" s="269"/>
      <c r="CP1151" s="269"/>
      <c r="CQ1151" s="269"/>
      <c r="CR1151" s="269"/>
      <c r="CS1151" s="269"/>
    </row>
    <row r="1152" spans="3:97" x14ac:dyDescent="0.3">
      <c r="C1152" s="638">
        <f>C1089</f>
        <v>1369</v>
      </c>
      <c r="D1152" s="297">
        <f>IF(Years="Five",IF(D$338&gt;$D$33,0,D454*Input!D$56/30),0)</f>
        <v>0</v>
      </c>
      <c r="E1152" s="229">
        <f>IF(Years="Five",IF(E$338&gt;$D$33,0,E454*Input!E$56/30),0)</f>
        <v>0</v>
      </c>
      <c r="F1152" s="229">
        <f>IF(Years="Five",IF(F$338&gt;$D$33,0,F454*Input!F$56/30),0)</f>
        <v>0</v>
      </c>
      <c r="G1152" s="229">
        <f>IF(Years="Five",IF(G$338&gt;$D$33,0,G454*Input!G$56/30),0)</f>
        <v>0</v>
      </c>
      <c r="H1152" s="229">
        <f>IF(Years="Five",IF(H$338&gt;$D$33,0,H454*Input!H$56/30),0)</f>
        <v>0</v>
      </c>
      <c r="I1152" s="229">
        <f>IF(Years="Five",IF(I$338&gt;$D$33,0,I454*Input!I$56/30),0)</f>
        <v>0</v>
      </c>
      <c r="J1152" s="229">
        <f>IF(Years="Five",IF(J$338&gt;$D$33,0,J454*Input!J$56/30),0)</f>
        <v>0</v>
      </c>
      <c r="K1152" s="229">
        <f>IF(Years="Five",IF(K$338&gt;$D$33,0,K454*Input!K$56/30),0)</f>
        <v>0</v>
      </c>
      <c r="L1152" s="229">
        <f>IF(Years="Five",IF(L$338&gt;$D$33,0,L454*Input!L$56/30),0)</f>
        <v>0</v>
      </c>
      <c r="M1152" s="229">
        <f>IF(Years="Five",IF(M$338&gt;$D$33,0,M454*Input!M$56/30),0)</f>
        <v>0</v>
      </c>
      <c r="N1152" s="229">
        <f>IF(Years="Five",IF(N$338&gt;$D$33,0,N454*Input!N$56/30),0)</f>
        <v>0</v>
      </c>
      <c r="O1152" s="229">
        <f>IF(Years="Five",IF(O$338&gt;$D$33,0,O454*Input!O$56/30),0)</f>
        <v>0</v>
      </c>
      <c r="P1152" s="229">
        <f>IF(Years="Five",IF(P$338&gt;$D$33,0,P454*Input!P$56/30),0)</f>
        <v>0</v>
      </c>
      <c r="Q1152" s="229">
        <f>IF(Years="Five",IF(Q$338&gt;$D$33,0,Q454*Input!Q$56/30),0)</f>
        <v>0</v>
      </c>
      <c r="R1152" s="229">
        <f>IF(Years="Five",IF(R$338&gt;$D$33,0,R454*Input!R$56/30),0)</f>
        <v>0</v>
      </c>
      <c r="S1152" s="229">
        <f>IF(Years="Five",IF(S$338&gt;$D$33,0,S454*Input!S$56/30),0)</f>
        <v>0</v>
      </c>
      <c r="T1152" s="229">
        <f>IF(Years="Five",IF(T$338&gt;$D$33,0,T454*Input!T$56/30),0)</f>
        <v>0</v>
      </c>
      <c r="U1152" s="229">
        <f>IF(Years="Five",IF(U$338&gt;$D$33,0,U454*Input!U$56/30),0)</f>
        <v>0</v>
      </c>
      <c r="V1152" s="229">
        <f>IF(Years="Five",IF(V$338&gt;$D$33,0,V454*Input!V$56/30),0)</f>
        <v>0</v>
      </c>
      <c r="W1152" s="229">
        <f>IF(Years="Five",IF(W$338&gt;$D$33,0,W454*Input!W$56/30),0)</f>
        <v>0</v>
      </c>
      <c r="X1152" s="229">
        <f>IF(Years="Five",IF(X$338&gt;$D$33,0,X454*Input!X$56/30),0)</f>
        <v>0</v>
      </c>
      <c r="Y1152" s="229">
        <f>IF(Years="Five",IF(Y$338&gt;$D$33,0,Y454*Input!Y$56/30),0)</f>
        <v>0</v>
      </c>
      <c r="Z1152" s="229">
        <f>IF(Years="Five",IF(Z$338&gt;$D$33,0,Z454*Input!Z$56/30),0)</f>
        <v>0</v>
      </c>
      <c r="AA1152" s="229">
        <f>IF(Years="Five",IF(AA$338&gt;$D$33,0,AA454*Input!AA$56/30),0)</f>
        <v>0</v>
      </c>
      <c r="AB1152" s="298">
        <f>IF(Years="Five",IF(AB$338&gt;$D$33,0,AB454*Input!AB$56/30),0)</f>
        <v>0</v>
      </c>
      <c r="CH1152" s="269"/>
      <c r="CI1152" s="269"/>
      <c r="CJ1152" s="269"/>
      <c r="CK1152" s="269"/>
      <c r="CL1152" s="269"/>
      <c r="CM1152" s="269"/>
      <c r="CN1152" s="269"/>
      <c r="CO1152" s="269"/>
      <c r="CP1152" s="269"/>
      <c r="CQ1152" s="269"/>
      <c r="CR1152" s="269"/>
      <c r="CS1152" s="269"/>
    </row>
    <row r="1153" spans="3:97" x14ac:dyDescent="0.3">
      <c r="C1153" s="638">
        <f>C1090</f>
        <v>1400</v>
      </c>
      <c r="D1153" s="297">
        <f>IF(Years="Five",IF(D$338&gt;$D$33,0,D455*Input!D$56/30),0)</f>
        <v>0</v>
      </c>
      <c r="E1153" s="229">
        <f>IF(Years="Five",IF(E$338&gt;$D$33,0,E455*Input!E$56/30),0)</f>
        <v>0</v>
      </c>
      <c r="F1153" s="229">
        <f>IF(Years="Five",IF(F$338&gt;$D$33,0,F455*Input!F$56/30),0)</f>
        <v>0</v>
      </c>
      <c r="G1153" s="229">
        <f>IF(Years="Five",IF(G$338&gt;$D$33,0,G455*Input!G$56/30),0)</f>
        <v>0</v>
      </c>
      <c r="H1153" s="229">
        <f>IF(Years="Five",IF(H$338&gt;$D$33,0,H455*Input!H$56/30),0)</f>
        <v>0</v>
      </c>
      <c r="I1153" s="229">
        <f>IF(Years="Five",IF(I$338&gt;$D$33,0,I455*Input!I$56/30),0)</f>
        <v>0</v>
      </c>
      <c r="J1153" s="229">
        <f>IF(Years="Five",IF(J$338&gt;$D$33,0,J455*Input!J$56/30),0)</f>
        <v>0</v>
      </c>
      <c r="K1153" s="229">
        <f>IF(Years="Five",IF(K$338&gt;$D$33,0,K455*Input!K$56/30),0)</f>
        <v>0</v>
      </c>
      <c r="L1153" s="229">
        <f>IF(Years="Five",IF(L$338&gt;$D$33,0,L455*Input!L$56/30),0)</f>
        <v>0</v>
      </c>
      <c r="M1153" s="229">
        <f>IF(Years="Five",IF(M$338&gt;$D$33,0,M455*Input!M$56/30),0)</f>
        <v>0</v>
      </c>
      <c r="N1153" s="229">
        <f>IF(Years="Five",IF(N$338&gt;$D$33,0,N455*Input!N$56/30),0)</f>
        <v>0</v>
      </c>
      <c r="O1153" s="229">
        <f>IF(Years="Five",IF(O$338&gt;$D$33,0,O455*Input!O$56/30),0)</f>
        <v>0</v>
      </c>
      <c r="P1153" s="229">
        <f>IF(Years="Five",IF(P$338&gt;$D$33,0,P455*Input!P$56/30),0)</f>
        <v>0</v>
      </c>
      <c r="Q1153" s="229">
        <f>IF(Years="Five",IF(Q$338&gt;$D$33,0,Q455*Input!Q$56/30),0)</f>
        <v>0</v>
      </c>
      <c r="R1153" s="229">
        <f>IF(Years="Five",IF(R$338&gt;$D$33,0,R455*Input!R$56/30),0)</f>
        <v>0</v>
      </c>
      <c r="S1153" s="229">
        <f>IF(Years="Five",IF(S$338&gt;$D$33,0,S455*Input!S$56/30),0)</f>
        <v>0</v>
      </c>
      <c r="T1153" s="229">
        <f>IF(Years="Five",IF(T$338&gt;$D$33,0,T455*Input!T$56/30),0)</f>
        <v>0</v>
      </c>
      <c r="U1153" s="229">
        <f>IF(Years="Five",IF(U$338&gt;$D$33,0,U455*Input!U$56/30),0)</f>
        <v>0</v>
      </c>
      <c r="V1153" s="229">
        <f>IF(Years="Five",IF(V$338&gt;$D$33,0,V455*Input!V$56/30),0)</f>
        <v>0</v>
      </c>
      <c r="W1153" s="229">
        <f>IF(Years="Five",IF(W$338&gt;$D$33,0,W455*Input!W$56/30),0)</f>
        <v>0</v>
      </c>
      <c r="X1153" s="229">
        <f>IF(Years="Five",IF(X$338&gt;$D$33,0,X455*Input!X$56/30),0)</f>
        <v>0</v>
      </c>
      <c r="Y1153" s="229">
        <f>IF(Years="Five",IF(Y$338&gt;$D$33,0,Y455*Input!Y$56/30),0)</f>
        <v>0</v>
      </c>
      <c r="Z1153" s="229">
        <f>IF(Years="Five",IF(Z$338&gt;$D$33,0,Z455*Input!Z$56/30),0)</f>
        <v>0</v>
      </c>
      <c r="AA1153" s="229">
        <f>IF(Years="Five",IF(AA$338&gt;$D$33,0,AA455*Input!AA$56/30),0)</f>
        <v>0</v>
      </c>
      <c r="AB1153" s="298">
        <f>IF(Years="Five",IF(AB$338&gt;$D$33,0,AB455*Input!AB$56/30),0)</f>
        <v>0</v>
      </c>
      <c r="CH1153" s="269"/>
      <c r="CI1153" s="269"/>
      <c r="CJ1153" s="269"/>
      <c r="CK1153" s="269"/>
      <c r="CL1153" s="269"/>
      <c r="CM1153" s="269"/>
      <c r="CN1153" s="269"/>
      <c r="CO1153" s="269"/>
      <c r="CP1153" s="269"/>
      <c r="CQ1153" s="269"/>
      <c r="CR1153" s="269"/>
      <c r="CS1153" s="269"/>
    </row>
    <row r="1154" spans="3:97" x14ac:dyDescent="0.3">
      <c r="C1154" s="638">
        <f>C1091</f>
        <v>1430</v>
      </c>
      <c r="D1154" s="297">
        <f>IF(Years="Five",IF(D$338&gt;$D$33,0,D456*Input!D$56/30),0)</f>
        <v>0</v>
      </c>
      <c r="E1154" s="229">
        <f>IF(Years="Five",IF(E$338&gt;$D$33,0,E456*Input!E$56/30),0)</f>
        <v>0</v>
      </c>
      <c r="F1154" s="229">
        <f>IF(Years="Five",IF(F$338&gt;$D$33,0,F456*Input!F$56/30),0)</f>
        <v>0</v>
      </c>
      <c r="G1154" s="229">
        <f>IF(Years="Five",IF(G$338&gt;$D$33,0,G456*Input!G$56/30),0)</f>
        <v>0</v>
      </c>
      <c r="H1154" s="229">
        <f>IF(Years="Five",IF(H$338&gt;$D$33,0,H456*Input!H$56/30),0)</f>
        <v>0</v>
      </c>
      <c r="I1154" s="229">
        <f>IF(Years="Five",IF(I$338&gt;$D$33,0,I456*Input!I$56/30),0)</f>
        <v>0</v>
      </c>
      <c r="J1154" s="229">
        <f>IF(Years="Five",IF(J$338&gt;$D$33,0,J456*Input!J$56/30),0)</f>
        <v>0</v>
      </c>
      <c r="K1154" s="229">
        <f>IF(Years="Five",IF(K$338&gt;$D$33,0,K456*Input!K$56/30),0)</f>
        <v>0</v>
      </c>
      <c r="L1154" s="229">
        <f>IF(Years="Five",IF(L$338&gt;$D$33,0,L456*Input!L$56/30),0)</f>
        <v>0</v>
      </c>
      <c r="M1154" s="229">
        <f>IF(Years="Five",IF(M$338&gt;$D$33,0,M456*Input!M$56/30),0)</f>
        <v>0</v>
      </c>
      <c r="N1154" s="229">
        <f>IF(Years="Five",IF(N$338&gt;$D$33,0,N456*Input!N$56/30),0)</f>
        <v>0</v>
      </c>
      <c r="O1154" s="229">
        <f>IF(Years="Five",IF(O$338&gt;$D$33,0,O456*Input!O$56/30),0)</f>
        <v>0</v>
      </c>
      <c r="P1154" s="229">
        <f>IF(Years="Five",IF(P$338&gt;$D$33,0,P456*Input!P$56/30),0)</f>
        <v>0</v>
      </c>
      <c r="Q1154" s="229">
        <f>IF(Years="Five",IF(Q$338&gt;$D$33,0,Q456*Input!Q$56/30),0)</f>
        <v>0</v>
      </c>
      <c r="R1154" s="229">
        <f>IF(Years="Five",IF(R$338&gt;$D$33,0,R456*Input!R$56/30),0)</f>
        <v>0</v>
      </c>
      <c r="S1154" s="229">
        <f>IF(Years="Five",IF(S$338&gt;$D$33,0,S456*Input!S$56/30),0)</f>
        <v>0</v>
      </c>
      <c r="T1154" s="229">
        <f>IF(Years="Five",IF(T$338&gt;$D$33,0,T456*Input!T$56/30),0)</f>
        <v>0</v>
      </c>
      <c r="U1154" s="229">
        <f>IF(Years="Five",IF(U$338&gt;$D$33,0,U456*Input!U$56/30),0)</f>
        <v>0</v>
      </c>
      <c r="V1154" s="229">
        <f>IF(Years="Five",IF(V$338&gt;$D$33,0,V456*Input!V$56/30),0)</f>
        <v>0</v>
      </c>
      <c r="W1154" s="229">
        <f>IF(Years="Five",IF(W$338&gt;$D$33,0,W456*Input!W$56/30),0)</f>
        <v>0</v>
      </c>
      <c r="X1154" s="229">
        <f>IF(Years="Five",IF(X$338&gt;$D$33,0,X456*Input!X$56/30),0)</f>
        <v>0</v>
      </c>
      <c r="Y1154" s="229">
        <f>IF(Years="Five",IF(Y$338&gt;$D$33,0,Y456*Input!Y$56/30),0)</f>
        <v>0</v>
      </c>
      <c r="Z1154" s="229">
        <f>IF(Years="Five",IF(Z$338&gt;$D$33,0,Z456*Input!Z$56/30),0)</f>
        <v>0</v>
      </c>
      <c r="AA1154" s="229">
        <f>IF(Years="Five",IF(AA$338&gt;$D$33,0,AA456*Input!AA$56/30),0)</f>
        <v>0</v>
      </c>
      <c r="AB1154" s="298">
        <f>IF(Years="Five",IF(AB$338&gt;$D$33,0,AB456*Input!AB$56/30),0)</f>
        <v>0</v>
      </c>
      <c r="CH1154" s="269"/>
      <c r="CI1154" s="269"/>
      <c r="CJ1154" s="269"/>
      <c r="CK1154" s="269"/>
      <c r="CL1154" s="269"/>
      <c r="CM1154" s="269"/>
      <c r="CN1154" s="269"/>
      <c r="CO1154" s="269"/>
      <c r="CP1154" s="269"/>
      <c r="CQ1154" s="269"/>
      <c r="CR1154" s="269"/>
      <c r="CS1154" s="269"/>
    </row>
    <row r="1155" spans="3:97" ht="12.5" thickBot="1" x14ac:dyDescent="0.35">
      <c r="C1155" s="639">
        <f>C1092</f>
        <v>1461</v>
      </c>
      <c r="D1155" s="301">
        <f>IF(Years="Five",IF(D$338&gt;$D$33,0,D457*Input!D$56/30),0)</f>
        <v>0</v>
      </c>
      <c r="E1155" s="302">
        <f>IF(Years="Five",IF(E$338&gt;$D$33,0,E457*Input!E$56/30),0)</f>
        <v>0</v>
      </c>
      <c r="F1155" s="302">
        <f>IF(Years="Five",IF(F$338&gt;$D$33,0,F457*Input!F$56/30),0)</f>
        <v>0</v>
      </c>
      <c r="G1155" s="302">
        <f>IF(Years="Five",IF(G$338&gt;$D$33,0,G457*Input!G$56/30),0)</f>
        <v>0</v>
      </c>
      <c r="H1155" s="302">
        <f>IF(Years="Five",IF(H$338&gt;$D$33,0,H457*Input!H$56/30),0)</f>
        <v>0</v>
      </c>
      <c r="I1155" s="302">
        <f>IF(Years="Five",IF(I$338&gt;$D$33,0,I457*Input!I$56/30),0)</f>
        <v>0</v>
      </c>
      <c r="J1155" s="302">
        <f>IF(Years="Five",IF(J$338&gt;$D$33,0,J457*Input!J$56/30),0)</f>
        <v>0</v>
      </c>
      <c r="K1155" s="302">
        <f>IF(Years="Five",IF(K$338&gt;$D$33,0,K457*Input!K$56/30),0)</f>
        <v>0</v>
      </c>
      <c r="L1155" s="302">
        <f>IF(Years="Five",IF(L$338&gt;$D$33,0,L457*Input!L$56/30),0)</f>
        <v>0</v>
      </c>
      <c r="M1155" s="302">
        <f>IF(Years="Five",IF(M$338&gt;$D$33,0,M457*Input!M$56/30),0)</f>
        <v>0</v>
      </c>
      <c r="N1155" s="302">
        <f>IF(Years="Five",IF(N$338&gt;$D$33,0,N457*Input!N$56/30),0)</f>
        <v>0</v>
      </c>
      <c r="O1155" s="302">
        <f>IF(Years="Five",IF(O$338&gt;$D$33,0,O457*Input!O$56/30),0)</f>
        <v>0</v>
      </c>
      <c r="P1155" s="302">
        <f>IF(Years="Five",IF(P$338&gt;$D$33,0,P457*Input!P$56/30),0)</f>
        <v>0</v>
      </c>
      <c r="Q1155" s="302">
        <f>IF(Years="Five",IF(Q$338&gt;$D$33,0,Q457*Input!Q$56/30),0)</f>
        <v>0</v>
      </c>
      <c r="R1155" s="302">
        <f>IF(Years="Five",IF(R$338&gt;$D$33,0,R457*Input!R$56/30),0)</f>
        <v>0</v>
      </c>
      <c r="S1155" s="302">
        <f>IF(Years="Five",IF(S$338&gt;$D$33,0,S457*Input!S$56/30),0)</f>
        <v>0</v>
      </c>
      <c r="T1155" s="302">
        <f>IF(Years="Five",IF(T$338&gt;$D$33,0,T457*Input!T$56/30),0)</f>
        <v>0</v>
      </c>
      <c r="U1155" s="302">
        <f>IF(Years="Five",IF(U$338&gt;$D$33,0,U457*Input!U$56/30),0)</f>
        <v>0</v>
      </c>
      <c r="V1155" s="302">
        <f>IF(Years="Five",IF(V$338&gt;$D$33,0,V457*Input!V$56/30),0)</f>
        <v>0</v>
      </c>
      <c r="W1155" s="302">
        <f>IF(Years="Five",IF(W$338&gt;$D$33,0,W457*Input!W$56/30),0)</f>
        <v>0</v>
      </c>
      <c r="X1155" s="302">
        <f>IF(Years="Five",IF(X$338&gt;$D$33,0,X457*Input!X$56/30),0)</f>
        <v>0</v>
      </c>
      <c r="Y1155" s="302">
        <f>IF(Years="Five",IF(Y$338&gt;$D$33,0,Y457*Input!Y$56/30),0)</f>
        <v>0</v>
      </c>
      <c r="Z1155" s="302">
        <f>IF(Years="Five",IF(Z$338&gt;$D$33,0,Z457*Input!Z$56/30),0)</f>
        <v>0</v>
      </c>
      <c r="AA1155" s="302">
        <f>IF(Years="Five",IF(AA$338&gt;$D$33,0,AA457*Input!AA$56/30),0)</f>
        <v>0</v>
      </c>
      <c r="AB1155" s="303">
        <f>IF(Years="Five",IF(AB$338&gt;$D$33,0,AB457*Input!AB$56/30),0)</f>
        <v>0</v>
      </c>
      <c r="CH1155" s="269"/>
      <c r="CI1155" s="269"/>
      <c r="CJ1155" s="269"/>
      <c r="CK1155" s="269"/>
      <c r="CL1155" s="269"/>
      <c r="CM1155" s="269"/>
      <c r="CN1155" s="269"/>
      <c r="CO1155" s="269"/>
      <c r="CP1155" s="269"/>
      <c r="CQ1155" s="269"/>
      <c r="CR1155" s="269"/>
      <c r="CS1155" s="269"/>
    </row>
    <row r="1156" spans="3:97" x14ac:dyDescent="0.3">
      <c r="C1156" s="638">
        <f>C1093</f>
        <v>1492</v>
      </c>
      <c r="D1156" s="299">
        <f>IF(Years="Five",IF(D$338&gt;$D$33,0,D458*Input!D$56/30),0)</f>
        <v>0</v>
      </c>
      <c r="E1156" s="231">
        <f>IF(Years="Five",IF(E$338&gt;$D$33,0,E458*Input!E$56/30),0)</f>
        <v>0</v>
      </c>
      <c r="F1156" s="231">
        <f>IF(Years="Five",IF(F$338&gt;$D$33,0,F458*Input!F$56/30),0)</f>
        <v>0</v>
      </c>
      <c r="G1156" s="231">
        <f>IF(Years="Five",IF(G$338&gt;$D$33,0,G458*Input!G$56/30),0)</f>
        <v>0</v>
      </c>
      <c r="H1156" s="231">
        <f>IF(Years="Five",IF(H$338&gt;$D$33,0,H458*Input!H$56/30),0)</f>
        <v>0</v>
      </c>
      <c r="I1156" s="231">
        <f>IF(Years="Five",IF(I$338&gt;$D$33,0,I458*Input!I$56/30),0)</f>
        <v>0</v>
      </c>
      <c r="J1156" s="231">
        <f>IF(Years="Five",IF(J$338&gt;$D$33,0,J458*Input!J$56/30),0)</f>
        <v>0</v>
      </c>
      <c r="K1156" s="231">
        <f>IF(Years="Five",IF(K$338&gt;$D$33,0,K458*Input!K$56/30),0)</f>
        <v>0</v>
      </c>
      <c r="L1156" s="231">
        <f>IF(Years="Five",IF(L$338&gt;$D$33,0,L458*Input!L$56/30),0)</f>
        <v>0</v>
      </c>
      <c r="M1156" s="231">
        <f>IF(Years="Five",IF(M$338&gt;$D$33,0,M458*Input!M$56/30),0)</f>
        <v>0</v>
      </c>
      <c r="N1156" s="231">
        <f>IF(Years="Five",IF(N$338&gt;$D$33,0,N458*Input!N$56/30),0)</f>
        <v>0</v>
      </c>
      <c r="O1156" s="231">
        <f>IF(Years="Five",IF(O$338&gt;$D$33,0,O458*Input!O$56/30),0)</f>
        <v>0</v>
      </c>
      <c r="P1156" s="231">
        <f>IF(Years="Five",IF(P$338&gt;$D$33,0,P458*Input!P$56/30),0)</f>
        <v>0</v>
      </c>
      <c r="Q1156" s="231">
        <f>IF(Years="Five",IF(Q$338&gt;$D$33,0,Q458*Input!Q$56/30),0)</f>
        <v>0</v>
      </c>
      <c r="R1156" s="231">
        <f>IF(Years="Five",IF(R$338&gt;$D$33,0,R458*Input!R$56/30),0)</f>
        <v>0</v>
      </c>
      <c r="S1156" s="231">
        <f>IF(Years="Five",IF(S$338&gt;$D$33,0,S458*Input!S$56/30),0)</f>
        <v>0</v>
      </c>
      <c r="T1156" s="231">
        <f>IF(Years="Five",IF(T$338&gt;$D$33,0,T458*Input!T$56/30),0)</f>
        <v>0</v>
      </c>
      <c r="U1156" s="231">
        <f>IF(Years="Five",IF(U$338&gt;$D$33,0,U458*Input!U$56/30),0)</f>
        <v>0</v>
      </c>
      <c r="V1156" s="231">
        <f>IF(Years="Five",IF(V$338&gt;$D$33,0,V458*Input!V$56/30),0)</f>
        <v>0</v>
      </c>
      <c r="W1156" s="231">
        <f>IF(Years="Five",IF(W$338&gt;$D$33,0,W458*Input!W$56/30),0)</f>
        <v>0</v>
      </c>
      <c r="X1156" s="231">
        <f>IF(Years="Five",IF(X$338&gt;$D$33,0,X458*Input!X$56/30),0)</f>
        <v>0</v>
      </c>
      <c r="Y1156" s="231">
        <f>IF(Years="Five",IF(Y$338&gt;$D$33,0,Y458*Input!Y$56/30),0)</f>
        <v>0</v>
      </c>
      <c r="Z1156" s="231">
        <f>IF(Years="Five",IF(Z$338&gt;$D$33,0,Z458*Input!Z$56/30),0)</f>
        <v>0</v>
      </c>
      <c r="AA1156" s="231">
        <f>IF(Years="Five",IF(AA$338&gt;$D$33,0,AA458*Input!AA$56/30),0)</f>
        <v>0</v>
      </c>
      <c r="AB1156" s="300">
        <f>IF(Years="Five",IF(AB$338&gt;$D$33,0,AB458*Input!AB$56/30),0)</f>
        <v>0</v>
      </c>
      <c r="CH1156" s="269"/>
      <c r="CI1156" s="269"/>
      <c r="CJ1156" s="269"/>
      <c r="CK1156" s="269"/>
      <c r="CL1156" s="269"/>
      <c r="CM1156" s="269"/>
      <c r="CN1156" s="269"/>
      <c r="CO1156" s="269"/>
      <c r="CP1156" s="269"/>
      <c r="CQ1156" s="269"/>
      <c r="CR1156" s="269"/>
      <c r="CS1156" s="269"/>
    </row>
    <row r="1157" spans="3:97" x14ac:dyDescent="0.3">
      <c r="C1157" s="638">
        <f>C1094</f>
        <v>1521</v>
      </c>
      <c r="D1157" s="297">
        <f>IF(Years="Five",IF(D$338&gt;$D$33,0,D459*Input!D$56/30),0)</f>
        <v>0</v>
      </c>
      <c r="E1157" s="229">
        <f>IF(Years="Five",IF(E$338&gt;$D$33,0,E459*Input!E$56/30),0)</f>
        <v>0</v>
      </c>
      <c r="F1157" s="229">
        <f>IF(Years="Five",IF(F$338&gt;$D$33,0,F459*Input!F$56/30),0)</f>
        <v>0</v>
      </c>
      <c r="G1157" s="229">
        <f>IF(Years="Five",IF(G$338&gt;$D$33,0,G459*Input!G$56/30),0)</f>
        <v>0</v>
      </c>
      <c r="H1157" s="229">
        <f>IF(Years="Five",IF(H$338&gt;$D$33,0,H459*Input!H$56/30),0)</f>
        <v>0</v>
      </c>
      <c r="I1157" s="229">
        <f>IF(Years="Five",IF(I$338&gt;$D$33,0,I459*Input!I$56/30),0)</f>
        <v>0</v>
      </c>
      <c r="J1157" s="229">
        <f>IF(Years="Five",IF(J$338&gt;$D$33,0,J459*Input!J$56/30),0)</f>
        <v>0</v>
      </c>
      <c r="K1157" s="229">
        <f>IF(Years="Five",IF(K$338&gt;$D$33,0,K459*Input!K$56/30),0)</f>
        <v>0</v>
      </c>
      <c r="L1157" s="229">
        <f>IF(Years="Five",IF(L$338&gt;$D$33,0,L459*Input!L$56/30),0)</f>
        <v>0</v>
      </c>
      <c r="M1157" s="229">
        <f>IF(Years="Five",IF(M$338&gt;$D$33,0,M459*Input!M$56/30),0)</f>
        <v>0</v>
      </c>
      <c r="N1157" s="229">
        <f>IF(Years="Five",IF(N$338&gt;$D$33,0,N459*Input!N$56/30),0)</f>
        <v>0</v>
      </c>
      <c r="O1157" s="229">
        <f>IF(Years="Five",IF(O$338&gt;$D$33,0,O459*Input!O$56/30),0)</f>
        <v>0</v>
      </c>
      <c r="P1157" s="229">
        <f>IF(Years="Five",IF(P$338&gt;$D$33,0,P459*Input!P$56/30),0)</f>
        <v>0</v>
      </c>
      <c r="Q1157" s="229">
        <f>IF(Years="Five",IF(Q$338&gt;$D$33,0,Q459*Input!Q$56/30),0)</f>
        <v>0</v>
      </c>
      <c r="R1157" s="229">
        <f>IF(Years="Five",IF(R$338&gt;$D$33,0,R459*Input!R$56/30),0)</f>
        <v>0</v>
      </c>
      <c r="S1157" s="229">
        <f>IF(Years="Five",IF(S$338&gt;$D$33,0,S459*Input!S$56/30),0)</f>
        <v>0</v>
      </c>
      <c r="T1157" s="229">
        <f>IF(Years="Five",IF(T$338&gt;$D$33,0,T459*Input!T$56/30),0)</f>
        <v>0</v>
      </c>
      <c r="U1157" s="229">
        <f>IF(Years="Five",IF(U$338&gt;$D$33,0,U459*Input!U$56/30),0)</f>
        <v>0</v>
      </c>
      <c r="V1157" s="229">
        <f>IF(Years="Five",IF(V$338&gt;$D$33,0,V459*Input!V$56/30),0)</f>
        <v>0</v>
      </c>
      <c r="W1157" s="229">
        <f>IF(Years="Five",IF(W$338&gt;$D$33,0,W459*Input!W$56/30),0)</f>
        <v>0</v>
      </c>
      <c r="X1157" s="229">
        <f>IF(Years="Five",IF(X$338&gt;$D$33,0,X459*Input!X$56/30),0)</f>
        <v>0</v>
      </c>
      <c r="Y1157" s="229">
        <f>IF(Years="Five",IF(Y$338&gt;$D$33,0,Y459*Input!Y$56/30),0)</f>
        <v>0</v>
      </c>
      <c r="Z1157" s="229">
        <f>IF(Years="Five",IF(Z$338&gt;$D$33,0,Z459*Input!Z$56/30),0)</f>
        <v>0</v>
      </c>
      <c r="AA1157" s="229">
        <f>IF(Years="Five",IF(AA$338&gt;$D$33,0,AA459*Input!AA$56/30),0)</f>
        <v>0</v>
      </c>
      <c r="AB1157" s="298">
        <f>IF(Years="Five",IF(AB$338&gt;$D$33,0,AB459*Input!AB$56/30),0)</f>
        <v>0</v>
      </c>
      <c r="CH1157" s="269"/>
      <c r="CI1157" s="269"/>
      <c r="CJ1157" s="269"/>
      <c r="CK1157" s="269"/>
      <c r="CL1157" s="269"/>
      <c r="CM1157" s="269"/>
      <c r="CN1157" s="269"/>
      <c r="CO1157" s="269"/>
      <c r="CP1157" s="269"/>
      <c r="CQ1157" s="269"/>
      <c r="CR1157" s="269"/>
      <c r="CS1157" s="269"/>
    </row>
    <row r="1158" spans="3:97" x14ac:dyDescent="0.3">
      <c r="C1158" s="638">
        <f>C1095</f>
        <v>1552</v>
      </c>
      <c r="D1158" s="297">
        <f>IF(Years="Five",IF(D$338&gt;$D$33,0,D460*Input!D$56/30),0)</f>
        <v>0</v>
      </c>
      <c r="E1158" s="229">
        <f>IF(Years="Five",IF(E$338&gt;$D$33,0,E460*Input!E$56/30),0)</f>
        <v>0</v>
      </c>
      <c r="F1158" s="229">
        <f>IF(Years="Five",IF(F$338&gt;$D$33,0,F460*Input!F$56/30),0)</f>
        <v>0</v>
      </c>
      <c r="G1158" s="229">
        <f>IF(Years="Five",IF(G$338&gt;$D$33,0,G460*Input!G$56/30),0)</f>
        <v>0</v>
      </c>
      <c r="H1158" s="229">
        <f>IF(Years="Five",IF(H$338&gt;$D$33,0,H460*Input!H$56/30),0)</f>
        <v>0</v>
      </c>
      <c r="I1158" s="229">
        <f>IF(Years="Five",IF(I$338&gt;$D$33,0,I460*Input!I$56/30),0)</f>
        <v>0</v>
      </c>
      <c r="J1158" s="229">
        <f>IF(Years="Five",IF(J$338&gt;$D$33,0,J460*Input!J$56/30),0)</f>
        <v>0</v>
      </c>
      <c r="K1158" s="229">
        <f>IF(Years="Five",IF(K$338&gt;$D$33,0,K460*Input!K$56/30),0)</f>
        <v>0</v>
      </c>
      <c r="L1158" s="229">
        <f>IF(Years="Five",IF(L$338&gt;$D$33,0,L460*Input!L$56/30),0)</f>
        <v>0</v>
      </c>
      <c r="M1158" s="229">
        <f>IF(Years="Five",IF(M$338&gt;$D$33,0,M460*Input!M$56/30),0)</f>
        <v>0</v>
      </c>
      <c r="N1158" s="229">
        <f>IF(Years="Five",IF(N$338&gt;$D$33,0,N460*Input!N$56/30),0)</f>
        <v>0</v>
      </c>
      <c r="O1158" s="229">
        <f>IF(Years="Five",IF(O$338&gt;$D$33,0,O460*Input!O$56/30),0)</f>
        <v>0</v>
      </c>
      <c r="P1158" s="229">
        <f>IF(Years="Five",IF(P$338&gt;$D$33,0,P460*Input!P$56/30),0)</f>
        <v>0</v>
      </c>
      <c r="Q1158" s="229">
        <f>IF(Years="Five",IF(Q$338&gt;$D$33,0,Q460*Input!Q$56/30),0)</f>
        <v>0</v>
      </c>
      <c r="R1158" s="229">
        <f>IF(Years="Five",IF(R$338&gt;$D$33,0,R460*Input!R$56/30),0)</f>
        <v>0</v>
      </c>
      <c r="S1158" s="229">
        <f>IF(Years="Five",IF(S$338&gt;$D$33,0,S460*Input!S$56/30),0)</f>
        <v>0</v>
      </c>
      <c r="T1158" s="229">
        <f>IF(Years="Five",IF(T$338&gt;$D$33,0,T460*Input!T$56/30),0)</f>
        <v>0</v>
      </c>
      <c r="U1158" s="229">
        <f>IF(Years="Five",IF(U$338&gt;$D$33,0,U460*Input!U$56/30),0)</f>
        <v>0</v>
      </c>
      <c r="V1158" s="229">
        <f>IF(Years="Five",IF(V$338&gt;$D$33,0,V460*Input!V$56/30),0)</f>
        <v>0</v>
      </c>
      <c r="W1158" s="229">
        <f>IF(Years="Five",IF(W$338&gt;$D$33,0,W460*Input!W$56/30),0)</f>
        <v>0</v>
      </c>
      <c r="X1158" s="229">
        <f>IF(Years="Five",IF(X$338&gt;$D$33,0,X460*Input!X$56/30),0)</f>
        <v>0</v>
      </c>
      <c r="Y1158" s="229">
        <f>IF(Years="Five",IF(Y$338&gt;$D$33,0,Y460*Input!Y$56/30),0)</f>
        <v>0</v>
      </c>
      <c r="Z1158" s="229">
        <f>IF(Years="Five",IF(Z$338&gt;$D$33,0,Z460*Input!Z$56/30),0)</f>
        <v>0</v>
      </c>
      <c r="AA1158" s="229">
        <f>IF(Years="Five",IF(AA$338&gt;$D$33,0,AA460*Input!AA$56/30),0)</f>
        <v>0</v>
      </c>
      <c r="AB1158" s="298">
        <f>IF(Years="Five",IF(AB$338&gt;$D$33,0,AB460*Input!AB$56/30),0)</f>
        <v>0</v>
      </c>
      <c r="CH1158" s="269"/>
      <c r="CI1158" s="269"/>
      <c r="CJ1158" s="269"/>
      <c r="CK1158" s="269"/>
      <c r="CL1158" s="269"/>
      <c r="CM1158" s="269"/>
      <c r="CN1158" s="269"/>
      <c r="CO1158" s="269"/>
      <c r="CP1158" s="269"/>
      <c r="CQ1158" s="269"/>
      <c r="CR1158" s="269"/>
      <c r="CS1158" s="269"/>
    </row>
    <row r="1159" spans="3:97" x14ac:dyDescent="0.3">
      <c r="C1159" s="638">
        <f>C1096</f>
        <v>1582</v>
      </c>
      <c r="D1159" s="297">
        <f>IF(Years="Five",IF(D$338&gt;$D$33,0,D461*Input!D$56/30),0)</f>
        <v>0</v>
      </c>
      <c r="E1159" s="229">
        <f>IF(Years="Five",IF(E$338&gt;$D$33,0,E461*Input!E$56/30),0)</f>
        <v>0</v>
      </c>
      <c r="F1159" s="229">
        <f>IF(Years="Five",IF(F$338&gt;$D$33,0,F461*Input!F$56/30),0)</f>
        <v>0</v>
      </c>
      <c r="G1159" s="229">
        <f>IF(Years="Five",IF(G$338&gt;$D$33,0,G461*Input!G$56/30),0)</f>
        <v>0</v>
      </c>
      <c r="H1159" s="229">
        <f>IF(Years="Five",IF(H$338&gt;$D$33,0,H461*Input!H$56/30),0)</f>
        <v>0</v>
      </c>
      <c r="I1159" s="229">
        <f>IF(Years="Five",IF(I$338&gt;$D$33,0,I461*Input!I$56/30),0)</f>
        <v>0</v>
      </c>
      <c r="J1159" s="229">
        <f>IF(Years="Five",IF(J$338&gt;$D$33,0,J461*Input!J$56/30),0)</f>
        <v>0</v>
      </c>
      <c r="K1159" s="229">
        <f>IF(Years="Five",IF(K$338&gt;$D$33,0,K461*Input!K$56/30),0)</f>
        <v>0</v>
      </c>
      <c r="L1159" s="229">
        <f>IF(Years="Five",IF(L$338&gt;$D$33,0,L461*Input!L$56/30),0)</f>
        <v>0</v>
      </c>
      <c r="M1159" s="229">
        <f>IF(Years="Five",IF(M$338&gt;$D$33,0,M461*Input!M$56/30),0)</f>
        <v>0</v>
      </c>
      <c r="N1159" s="229">
        <f>IF(Years="Five",IF(N$338&gt;$D$33,0,N461*Input!N$56/30),0)</f>
        <v>0</v>
      </c>
      <c r="O1159" s="229">
        <f>IF(Years="Five",IF(O$338&gt;$D$33,0,O461*Input!O$56/30),0)</f>
        <v>0</v>
      </c>
      <c r="P1159" s="229">
        <f>IF(Years="Five",IF(P$338&gt;$D$33,0,P461*Input!P$56/30),0)</f>
        <v>0</v>
      </c>
      <c r="Q1159" s="229">
        <f>IF(Years="Five",IF(Q$338&gt;$D$33,0,Q461*Input!Q$56/30),0)</f>
        <v>0</v>
      </c>
      <c r="R1159" s="229">
        <f>IF(Years="Five",IF(R$338&gt;$D$33,0,R461*Input!R$56/30),0)</f>
        <v>0</v>
      </c>
      <c r="S1159" s="229">
        <f>IF(Years="Five",IF(S$338&gt;$D$33,0,S461*Input!S$56/30),0)</f>
        <v>0</v>
      </c>
      <c r="T1159" s="229">
        <f>IF(Years="Five",IF(T$338&gt;$D$33,0,T461*Input!T$56/30),0)</f>
        <v>0</v>
      </c>
      <c r="U1159" s="229">
        <f>IF(Years="Five",IF(U$338&gt;$D$33,0,U461*Input!U$56/30),0)</f>
        <v>0</v>
      </c>
      <c r="V1159" s="229">
        <f>IF(Years="Five",IF(V$338&gt;$D$33,0,V461*Input!V$56/30),0)</f>
        <v>0</v>
      </c>
      <c r="W1159" s="229">
        <f>IF(Years="Five",IF(W$338&gt;$D$33,0,W461*Input!W$56/30),0)</f>
        <v>0</v>
      </c>
      <c r="X1159" s="229">
        <f>IF(Years="Five",IF(X$338&gt;$D$33,0,X461*Input!X$56/30),0)</f>
        <v>0</v>
      </c>
      <c r="Y1159" s="229">
        <f>IF(Years="Five",IF(Y$338&gt;$D$33,0,Y461*Input!Y$56/30),0)</f>
        <v>0</v>
      </c>
      <c r="Z1159" s="229">
        <f>IF(Years="Five",IF(Z$338&gt;$D$33,0,Z461*Input!Z$56/30),0)</f>
        <v>0</v>
      </c>
      <c r="AA1159" s="229">
        <f>IF(Years="Five",IF(AA$338&gt;$D$33,0,AA461*Input!AA$56/30),0)</f>
        <v>0</v>
      </c>
      <c r="AB1159" s="298">
        <f>IF(Years="Five",IF(AB$338&gt;$D$33,0,AB461*Input!AB$56/30),0)</f>
        <v>0</v>
      </c>
      <c r="CH1159" s="269"/>
      <c r="CI1159" s="269"/>
      <c r="CJ1159" s="269"/>
      <c r="CK1159" s="269"/>
      <c r="CL1159" s="269"/>
      <c r="CM1159" s="269"/>
      <c r="CN1159" s="269"/>
      <c r="CO1159" s="269"/>
      <c r="CP1159" s="269"/>
      <c r="CQ1159" s="269"/>
      <c r="CR1159" s="269"/>
      <c r="CS1159" s="269"/>
    </row>
    <row r="1160" spans="3:97" x14ac:dyDescent="0.3">
      <c r="C1160" s="638">
        <f>C1097</f>
        <v>1613</v>
      </c>
      <c r="D1160" s="297">
        <f>IF(Years="Five",IF(D$338&gt;$D$33,0,D462*Input!D$56/30),0)</f>
        <v>0</v>
      </c>
      <c r="E1160" s="229">
        <f>IF(Years="Five",IF(E$338&gt;$D$33,0,E462*Input!E$56/30),0)</f>
        <v>0</v>
      </c>
      <c r="F1160" s="229">
        <f>IF(Years="Five",IF(F$338&gt;$D$33,0,F462*Input!F$56/30),0)</f>
        <v>0</v>
      </c>
      <c r="G1160" s="229">
        <f>IF(Years="Five",IF(G$338&gt;$D$33,0,G462*Input!G$56/30),0)</f>
        <v>0</v>
      </c>
      <c r="H1160" s="229">
        <f>IF(Years="Five",IF(H$338&gt;$D$33,0,H462*Input!H$56/30),0)</f>
        <v>0</v>
      </c>
      <c r="I1160" s="229">
        <f>IF(Years="Five",IF(I$338&gt;$D$33,0,I462*Input!I$56/30),0)</f>
        <v>0</v>
      </c>
      <c r="J1160" s="229">
        <f>IF(Years="Five",IF(J$338&gt;$D$33,0,J462*Input!J$56/30),0)</f>
        <v>0</v>
      </c>
      <c r="K1160" s="229">
        <f>IF(Years="Five",IF(K$338&gt;$D$33,0,K462*Input!K$56/30),0)</f>
        <v>0</v>
      </c>
      <c r="L1160" s="229">
        <f>IF(Years="Five",IF(L$338&gt;$D$33,0,L462*Input!L$56/30),0)</f>
        <v>0</v>
      </c>
      <c r="M1160" s="229">
        <f>IF(Years="Five",IF(M$338&gt;$D$33,0,M462*Input!M$56/30),0)</f>
        <v>0</v>
      </c>
      <c r="N1160" s="229">
        <f>IF(Years="Five",IF(N$338&gt;$D$33,0,N462*Input!N$56/30),0)</f>
        <v>0</v>
      </c>
      <c r="O1160" s="229">
        <f>IF(Years="Five",IF(O$338&gt;$D$33,0,O462*Input!O$56/30),0)</f>
        <v>0</v>
      </c>
      <c r="P1160" s="229">
        <f>IF(Years="Five",IF(P$338&gt;$D$33,0,P462*Input!P$56/30),0)</f>
        <v>0</v>
      </c>
      <c r="Q1160" s="229">
        <f>IF(Years="Five",IF(Q$338&gt;$D$33,0,Q462*Input!Q$56/30),0)</f>
        <v>0</v>
      </c>
      <c r="R1160" s="229">
        <f>IF(Years="Five",IF(R$338&gt;$D$33,0,R462*Input!R$56/30),0)</f>
        <v>0</v>
      </c>
      <c r="S1160" s="229">
        <f>IF(Years="Five",IF(S$338&gt;$D$33,0,S462*Input!S$56/30),0)</f>
        <v>0</v>
      </c>
      <c r="T1160" s="229">
        <f>IF(Years="Five",IF(T$338&gt;$D$33,0,T462*Input!T$56/30),0)</f>
        <v>0</v>
      </c>
      <c r="U1160" s="229">
        <f>IF(Years="Five",IF(U$338&gt;$D$33,0,U462*Input!U$56/30),0)</f>
        <v>0</v>
      </c>
      <c r="V1160" s="229">
        <f>IF(Years="Five",IF(V$338&gt;$D$33,0,V462*Input!V$56/30),0)</f>
        <v>0</v>
      </c>
      <c r="W1160" s="229">
        <f>IF(Years="Five",IF(W$338&gt;$D$33,0,W462*Input!W$56/30),0)</f>
        <v>0</v>
      </c>
      <c r="X1160" s="229">
        <f>IF(Years="Five",IF(X$338&gt;$D$33,0,X462*Input!X$56/30),0)</f>
        <v>0</v>
      </c>
      <c r="Y1160" s="229">
        <f>IF(Years="Five",IF(Y$338&gt;$D$33,0,Y462*Input!Y$56/30),0)</f>
        <v>0</v>
      </c>
      <c r="Z1160" s="229">
        <f>IF(Years="Five",IF(Z$338&gt;$D$33,0,Z462*Input!Z$56/30),0)</f>
        <v>0</v>
      </c>
      <c r="AA1160" s="229">
        <f>IF(Years="Five",IF(AA$338&gt;$D$33,0,AA462*Input!AA$56/30),0)</f>
        <v>0</v>
      </c>
      <c r="AB1160" s="298">
        <f>IF(Years="Five",IF(AB$338&gt;$D$33,0,AB462*Input!AB$56/30),0)</f>
        <v>0</v>
      </c>
      <c r="CH1160" s="269"/>
      <c r="CI1160" s="269"/>
      <c r="CJ1160" s="269"/>
      <c r="CK1160" s="269"/>
      <c r="CL1160" s="269"/>
      <c r="CM1160" s="269"/>
      <c r="CN1160" s="269"/>
      <c r="CO1160" s="269"/>
      <c r="CP1160" s="269"/>
      <c r="CQ1160" s="269"/>
      <c r="CR1160" s="269"/>
      <c r="CS1160" s="269"/>
    </row>
    <row r="1161" spans="3:97" x14ac:dyDescent="0.3">
      <c r="C1161" s="638">
        <f>C1098</f>
        <v>1643</v>
      </c>
      <c r="D1161" s="297">
        <f>IF(Years="Five",IF(D$338&gt;$D$33,0,D463*Input!D$56/30),0)</f>
        <v>0</v>
      </c>
      <c r="E1161" s="229">
        <f>IF(Years="Five",IF(E$338&gt;$D$33,0,E463*Input!E$56/30),0)</f>
        <v>0</v>
      </c>
      <c r="F1161" s="229">
        <f>IF(Years="Five",IF(F$338&gt;$D$33,0,F463*Input!F$56/30),0)</f>
        <v>0</v>
      </c>
      <c r="G1161" s="229">
        <f>IF(Years="Five",IF(G$338&gt;$D$33,0,G463*Input!G$56/30),0)</f>
        <v>0</v>
      </c>
      <c r="H1161" s="229">
        <f>IF(Years="Five",IF(H$338&gt;$D$33,0,H463*Input!H$56/30),0)</f>
        <v>0</v>
      </c>
      <c r="I1161" s="229">
        <f>IF(Years="Five",IF(I$338&gt;$D$33,0,I463*Input!I$56/30),0)</f>
        <v>0</v>
      </c>
      <c r="J1161" s="229">
        <f>IF(Years="Five",IF(J$338&gt;$D$33,0,J463*Input!J$56/30),0)</f>
        <v>0</v>
      </c>
      <c r="K1161" s="229">
        <f>IF(Years="Five",IF(K$338&gt;$D$33,0,K463*Input!K$56/30),0)</f>
        <v>0</v>
      </c>
      <c r="L1161" s="229">
        <f>IF(Years="Five",IF(L$338&gt;$D$33,0,L463*Input!L$56/30),0)</f>
        <v>0</v>
      </c>
      <c r="M1161" s="229">
        <f>IF(Years="Five",IF(M$338&gt;$D$33,0,M463*Input!M$56/30),0)</f>
        <v>0</v>
      </c>
      <c r="N1161" s="229">
        <f>IF(Years="Five",IF(N$338&gt;$D$33,0,N463*Input!N$56/30),0)</f>
        <v>0</v>
      </c>
      <c r="O1161" s="229">
        <f>IF(Years="Five",IF(O$338&gt;$D$33,0,O463*Input!O$56/30),0)</f>
        <v>0</v>
      </c>
      <c r="P1161" s="229">
        <f>IF(Years="Five",IF(P$338&gt;$D$33,0,P463*Input!P$56/30),0)</f>
        <v>0</v>
      </c>
      <c r="Q1161" s="229">
        <f>IF(Years="Five",IF(Q$338&gt;$D$33,0,Q463*Input!Q$56/30),0)</f>
        <v>0</v>
      </c>
      <c r="R1161" s="229">
        <f>IF(Years="Five",IF(R$338&gt;$D$33,0,R463*Input!R$56/30),0)</f>
        <v>0</v>
      </c>
      <c r="S1161" s="229">
        <f>IF(Years="Five",IF(S$338&gt;$D$33,0,S463*Input!S$56/30),0)</f>
        <v>0</v>
      </c>
      <c r="T1161" s="229">
        <f>IF(Years="Five",IF(T$338&gt;$D$33,0,T463*Input!T$56/30),0)</f>
        <v>0</v>
      </c>
      <c r="U1161" s="229">
        <f>IF(Years="Five",IF(U$338&gt;$D$33,0,U463*Input!U$56/30),0)</f>
        <v>0</v>
      </c>
      <c r="V1161" s="229">
        <f>IF(Years="Five",IF(V$338&gt;$D$33,0,V463*Input!V$56/30),0)</f>
        <v>0</v>
      </c>
      <c r="W1161" s="229">
        <f>IF(Years="Five",IF(W$338&gt;$D$33,0,W463*Input!W$56/30),0)</f>
        <v>0</v>
      </c>
      <c r="X1161" s="229">
        <f>IF(Years="Five",IF(X$338&gt;$D$33,0,X463*Input!X$56/30),0)</f>
        <v>0</v>
      </c>
      <c r="Y1161" s="229">
        <f>IF(Years="Five",IF(Y$338&gt;$D$33,0,Y463*Input!Y$56/30),0)</f>
        <v>0</v>
      </c>
      <c r="Z1161" s="229">
        <f>IF(Years="Five",IF(Z$338&gt;$D$33,0,Z463*Input!Z$56/30),0)</f>
        <v>0</v>
      </c>
      <c r="AA1161" s="229">
        <f>IF(Years="Five",IF(AA$338&gt;$D$33,0,AA463*Input!AA$56/30),0)</f>
        <v>0</v>
      </c>
      <c r="AB1161" s="298">
        <f>IF(Years="Five",IF(AB$338&gt;$D$33,0,AB463*Input!AB$56/30),0)</f>
        <v>0</v>
      </c>
      <c r="CH1161" s="269"/>
      <c r="CI1161" s="269"/>
      <c r="CJ1161" s="269"/>
      <c r="CK1161" s="269"/>
      <c r="CL1161" s="269"/>
      <c r="CM1161" s="269"/>
      <c r="CN1161" s="269"/>
      <c r="CO1161" s="269"/>
      <c r="CP1161" s="269"/>
      <c r="CQ1161" s="269"/>
      <c r="CR1161" s="269"/>
      <c r="CS1161" s="269"/>
    </row>
    <row r="1162" spans="3:97" x14ac:dyDescent="0.3">
      <c r="C1162" s="638">
        <f>C1099</f>
        <v>1674</v>
      </c>
      <c r="D1162" s="297">
        <f>IF(Years="Five",IF(D$338&gt;$D$33,0,D464*Input!D$56/30),0)</f>
        <v>0</v>
      </c>
      <c r="E1162" s="229">
        <f>IF(Years="Five",IF(E$338&gt;$D$33,0,E464*Input!E$56/30),0)</f>
        <v>0</v>
      </c>
      <c r="F1162" s="229">
        <f>IF(Years="Five",IF(F$338&gt;$D$33,0,F464*Input!F$56/30),0)</f>
        <v>0</v>
      </c>
      <c r="G1162" s="229">
        <f>IF(Years="Five",IF(G$338&gt;$D$33,0,G464*Input!G$56/30),0)</f>
        <v>0</v>
      </c>
      <c r="H1162" s="229">
        <f>IF(Years="Five",IF(H$338&gt;$D$33,0,H464*Input!H$56/30),0)</f>
        <v>0</v>
      </c>
      <c r="I1162" s="229">
        <f>IF(Years="Five",IF(I$338&gt;$D$33,0,I464*Input!I$56/30),0)</f>
        <v>0</v>
      </c>
      <c r="J1162" s="229">
        <f>IF(Years="Five",IF(J$338&gt;$D$33,0,J464*Input!J$56/30),0)</f>
        <v>0</v>
      </c>
      <c r="K1162" s="229">
        <f>IF(Years="Five",IF(K$338&gt;$D$33,0,K464*Input!K$56/30),0)</f>
        <v>0</v>
      </c>
      <c r="L1162" s="229">
        <f>IF(Years="Five",IF(L$338&gt;$D$33,0,L464*Input!L$56/30),0)</f>
        <v>0</v>
      </c>
      <c r="M1162" s="229">
        <f>IF(Years="Five",IF(M$338&gt;$D$33,0,M464*Input!M$56/30),0)</f>
        <v>0</v>
      </c>
      <c r="N1162" s="229">
        <f>IF(Years="Five",IF(N$338&gt;$D$33,0,N464*Input!N$56/30),0)</f>
        <v>0</v>
      </c>
      <c r="O1162" s="229">
        <f>IF(Years="Five",IF(O$338&gt;$D$33,0,O464*Input!O$56/30),0)</f>
        <v>0</v>
      </c>
      <c r="P1162" s="229">
        <f>IF(Years="Five",IF(P$338&gt;$D$33,0,P464*Input!P$56/30),0)</f>
        <v>0</v>
      </c>
      <c r="Q1162" s="229">
        <f>IF(Years="Five",IF(Q$338&gt;$D$33,0,Q464*Input!Q$56/30),0)</f>
        <v>0</v>
      </c>
      <c r="R1162" s="229">
        <f>IF(Years="Five",IF(R$338&gt;$D$33,0,R464*Input!R$56/30),0)</f>
        <v>0</v>
      </c>
      <c r="S1162" s="229">
        <f>IF(Years="Five",IF(S$338&gt;$D$33,0,S464*Input!S$56/30),0)</f>
        <v>0</v>
      </c>
      <c r="T1162" s="229">
        <f>IF(Years="Five",IF(T$338&gt;$D$33,0,T464*Input!T$56/30),0)</f>
        <v>0</v>
      </c>
      <c r="U1162" s="229">
        <f>IF(Years="Five",IF(U$338&gt;$D$33,0,U464*Input!U$56/30),0)</f>
        <v>0</v>
      </c>
      <c r="V1162" s="229">
        <f>IF(Years="Five",IF(V$338&gt;$D$33,0,V464*Input!V$56/30),0)</f>
        <v>0</v>
      </c>
      <c r="W1162" s="229">
        <f>IF(Years="Five",IF(W$338&gt;$D$33,0,W464*Input!W$56/30),0)</f>
        <v>0</v>
      </c>
      <c r="X1162" s="229">
        <f>IF(Years="Five",IF(X$338&gt;$D$33,0,X464*Input!X$56/30),0)</f>
        <v>0</v>
      </c>
      <c r="Y1162" s="229">
        <f>IF(Years="Five",IF(Y$338&gt;$D$33,0,Y464*Input!Y$56/30),0)</f>
        <v>0</v>
      </c>
      <c r="Z1162" s="229">
        <f>IF(Years="Five",IF(Z$338&gt;$D$33,0,Z464*Input!Z$56/30),0)</f>
        <v>0</v>
      </c>
      <c r="AA1162" s="229">
        <f>IF(Years="Five",IF(AA$338&gt;$D$33,0,AA464*Input!AA$56/30),0)</f>
        <v>0</v>
      </c>
      <c r="AB1162" s="298">
        <f>IF(Years="Five",IF(AB$338&gt;$D$33,0,AB464*Input!AB$56/30),0)</f>
        <v>0</v>
      </c>
      <c r="CH1162" s="269"/>
      <c r="CI1162" s="269"/>
      <c r="CJ1162" s="269"/>
      <c r="CK1162" s="269"/>
      <c r="CL1162" s="269"/>
      <c r="CM1162" s="269"/>
      <c r="CN1162" s="269"/>
      <c r="CO1162" s="269"/>
      <c r="CP1162" s="269"/>
      <c r="CQ1162" s="269"/>
      <c r="CR1162" s="269"/>
      <c r="CS1162" s="269"/>
    </row>
    <row r="1163" spans="3:97" x14ac:dyDescent="0.3">
      <c r="C1163" s="638">
        <f>C1100</f>
        <v>1705</v>
      </c>
      <c r="D1163" s="297">
        <f>IF(Years="Five",IF(D$338&gt;$D$33,0,D465*Input!D$56/30),0)</f>
        <v>0</v>
      </c>
      <c r="E1163" s="229">
        <f>IF(Years="Five",IF(E$338&gt;$D$33,0,E465*Input!E$56/30),0)</f>
        <v>0</v>
      </c>
      <c r="F1163" s="229">
        <f>IF(Years="Five",IF(F$338&gt;$D$33,0,F465*Input!F$56/30),0)</f>
        <v>0</v>
      </c>
      <c r="G1163" s="229">
        <f>IF(Years="Five",IF(G$338&gt;$D$33,0,G465*Input!G$56/30),0)</f>
        <v>0</v>
      </c>
      <c r="H1163" s="229">
        <f>IF(Years="Five",IF(H$338&gt;$D$33,0,H465*Input!H$56/30),0)</f>
        <v>0</v>
      </c>
      <c r="I1163" s="229">
        <f>IF(Years="Five",IF(I$338&gt;$D$33,0,I465*Input!I$56/30),0)</f>
        <v>0</v>
      </c>
      <c r="J1163" s="229">
        <f>IF(Years="Five",IF(J$338&gt;$D$33,0,J465*Input!J$56/30),0)</f>
        <v>0</v>
      </c>
      <c r="K1163" s="229">
        <f>IF(Years="Five",IF(K$338&gt;$D$33,0,K465*Input!K$56/30),0)</f>
        <v>0</v>
      </c>
      <c r="L1163" s="229">
        <f>IF(Years="Five",IF(L$338&gt;$D$33,0,L465*Input!L$56/30),0)</f>
        <v>0</v>
      </c>
      <c r="M1163" s="229">
        <f>IF(Years="Five",IF(M$338&gt;$D$33,0,M465*Input!M$56/30),0)</f>
        <v>0</v>
      </c>
      <c r="N1163" s="229">
        <f>IF(Years="Five",IF(N$338&gt;$D$33,0,N465*Input!N$56/30),0)</f>
        <v>0</v>
      </c>
      <c r="O1163" s="229">
        <f>IF(Years="Five",IF(O$338&gt;$D$33,0,O465*Input!O$56/30),0)</f>
        <v>0</v>
      </c>
      <c r="P1163" s="229">
        <f>IF(Years="Five",IF(P$338&gt;$D$33,0,P465*Input!P$56/30),0)</f>
        <v>0</v>
      </c>
      <c r="Q1163" s="229">
        <f>IF(Years="Five",IF(Q$338&gt;$D$33,0,Q465*Input!Q$56/30),0)</f>
        <v>0</v>
      </c>
      <c r="R1163" s="229">
        <f>IF(Years="Five",IF(R$338&gt;$D$33,0,R465*Input!R$56/30),0)</f>
        <v>0</v>
      </c>
      <c r="S1163" s="229">
        <f>IF(Years="Five",IF(S$338&gt;$D$33,0,S465*Input!S$56/30),0)</f>
        <v>0</v>
      </c>
      <c r="T1163" s="229">
        <f>IF(Years="Five",IF(T$338&gt;$D$33,0,T465*Input!T$56/30),0)</f>
        <v>0</v>
      </c>
      <c r="U1163" s="229">
        <f>IF(Years="Five",IF(U$338&gt;$D$33,0,U465*Input!U$56/30),0)</f>
        <v>0</v>
      </c>
      <c r="V1163" s="229">
        <f>IF(Years="Five",IF(V$338&gt;$D$33,0,V465*Input!V$56/30),0)</f>
        <v>0</v>
      </c>
      <c r="W1163" s="229">
        <f>IF(Years="Five",IF(W$338&gt;$D$33,0,W465*Input!W$56/30),0)</f>
        <v>0</v>
      </c>
      <c r="X1163" s="229">
        <f>IF(Years="Five",IF(X$338&gt;$D$33,0,X465*Input!X$56/30),0)</f>
        <v>0</v>
      </c>
      <c r="Y1163" s="229">
        <f>IF(Years="Five",IF(Y$338&gt;$D$33,0,Y465*Input!Y$56/30),0)</f>
        <v>0</v>
      </c>
      <c r="Z1163" s="229">
        <f>IF(Years="Five",IF(Z$338&gt;$D$33,0,Z465*Input!Z$56/30),0)</f>
        <v>0</v>
      </c>
      <c r="AA1163" s="229">
        <f>IF(Years="Five",IF(AA$338&gt;$D$33,0,AA465*Input!AA$56/30),0)</f>
        <v>0</v>
      </c>
      <c r="AB1163" s="298">
        <f>IF(Years="Five",IF(AB$338&gt;$D$33,0,AB465*Input!AB$56/30),0)</f>
        <v>0</v>
      </c>
      <c r="CH1163" s="269"/>
      <c r="CI1163" s="269"/>
      <c r="CJ1163" s="269"/>
      <c r="CK1163" s="269"/>
      <c r="CL1163" s="269"/>
      <c r="CM1163" s="269"/>
      <c r="CN1163" s="269"/>
      <c r="CO1163" s="269"/>
      <c r="CP1163" s="269"/>
      <c r="CQ1163" s="269"/>
      <c r="CR1163" s="269"/>
      <c r="CS1163" s="269"/>
    </row>
    <row r="1164" spans="3:97" x14ac:dyDescent="0.3">
      <c r="C1164" s="638">
        <f>C1101</f>
        <v>1735</v>
      </c>
      <c r="D1164" s="297">
        <f>IF(Years="Five",IF(D$338&gt;$D$33,0,D466*Input!D$56/30),0)</f>
        <v>0</v>
      </c>
      <c r="E1164" s="229">
        <f>IF(Years="Five",IF(E$338&gt;$D$33,0,E466*Input!E$56/30),0)</f>
        <v>0</v>
      </c>
      <c r="F1164" s="229">
        <f>IF(Years="Five",IF(F$338&gt;$D$33,0,F466*Input!F$56/30),0)</f>
        <v>0</v>
      </c>
      <c r="G1164" s="229">
        <f>IF(Years="Five",IF(G$338&gt;$D$33,0,G466*Input!G$56/30),0)</f>
        <v>0</v>
      </c>
      <c r="H1164" s="229">
        <f>IF(Years="Five",IF(H$338&gt;$D$33,0,H466*Input!H$56/30),0)</f>
        <v>0</v>
      </c>
      <c r="I1164" s="229">
        <f>IF(Years="Five",IF(I$338&gt;$D$33,0,I466*Input!I$56/30),0)</f>
        <v>0</v>
      </c>
      <c r="J1164" s="229">
        <f>IF(Years="Five",IF(J$338&gt;$D$33,0,J466*Input!J$56/30),0)</f>
        <v>0</v>
      </c>
      <c r="K1164" s="229">
        <f>IF(Years="Five",IF(K$338&gt;$D$33,0,K466*Input!K$56/30),0)</f>
        <v>0</v>
      </c>
      <c r="L1164" s="229">
        <f>IF(Years="Five",IF(L$338&gt;$D$33,0,L466*Input!L$56/30),0)</f>
        <v>0</v>
      </c>
      <c r="M1164" s="229">
        <f>IF(Years="Five",IF(M$338&gt;$D$33,0,M466*Input!M$56/30),0)</f>
        <v>0</v>
      </c>
      <c r="N1164" s="229">
        <f>IF(Years="Five",IF(N$338&gt;$D$33,0,N466*Input!N$56/30),0)</f>
        <v>0</v>
      </c>
      <c r="O1164" s="229">
        <f>IF(Years="Five",IF(O$338&gt;$D$33,0,O466*Input!O$56/30),0)</f>
        <v>0</v>
      </c>
      <c r="P1164" s="229">
        <f>IF(Years="Five",IF(P$338&gt;$D$33,0,P466*Input!P$56/30),0)</f>
        <v>0</v>
      </c>
      <c r="Q1164" s="229">
        <f>IF(Years="Five",IF(Q$338&gt;$D$33,0,Q466*Input!Q$56/30),0)</f>
        <v>0</v>
      </c>
      <c r="R1164" s="229">
        <f>IF(Years="Five",IF(R$338&gt;$D$33,0,R466*Input!R$56/30),0)</f>
        <v>0</v>
      </c>
      <c r="S1164" s="229">
        <f>IF(Years="Five",IF(S$338&gt;$D$33,0,S466*Input!S$56/30),0)</f>
        <v>0</v>
      </c>
      <c r="T1164" s="229">
        <f>IF(Years="Five",IF(T$338&gt;$D$33,0,T466*Input!T$56/30),0)</f>
        <v>0</v>
      </c>
      <c r="U1164" s="229">
        <f>IF(Years="Five",IF(U$338&gt;$D$33,0,U466*Input!U$56/30),0)</f>
        <v>0</v>
      </c>
      <c r="V1164" s="229">
        <f>IF(Years="Five",IF(V$338&gt;$D$33,0,V466*Input!V$56/30),0)</f>
        <v>0</v>
      </c>
      <c r="W1164" s="229">
        <f>IF(Years="Five",IF(W$338&gt;$D$33,0,W466*Input!W$56/30),0)</f>
        <v>0</v>
      </c>
      <c r="X1164" s="229">
        <f>IF(Years="Five",IF(X$338&gt;$D$33,0,X466*Input!X$56/30),0)</f>
        <v>0</v>
      </c>
      <c r="Y1164" s="229">
        <f>IF(Years="Five",IF(Y$338&gt;$D$33,0,Y466*Input!Y$56/30),0)</f>
        <v>0</v>
      </c>
      <c r="Z1164" s="229">
        <f>IF(Years="Five",IF(Z$338&gt;$D$33,0,Z466*Input!Z$56/30),0)</f>
        <v>0</v>
      </c>
      <c r="AA1164" s="229">
        <f>IF(Years="Five",IF(AA$338&gt;$D$33,0,AA466*Input!AA$56/30),0)</f>
        <v>0</v>
      </c>
      <c r="AB1164" s="298">
        <f>IF(Years="Five",IF(AB$338&gt;$D$33,0,AB466*Input!AB$56/30),0)</f>
        <v>0</v>
      </c>
      <c r="CH1164" s="269"/>
      <c r="CI1164" s="269"/>
      <c r="CJ1164" s="269"/>
      <c r="CK1164" s="269"/>
      <c r="CL1164" s="269"/>
      <c r="CM1164" s="269"/>
      <c r="CN1164" s="269"/>
      <c r="CO1164" s="269"/>
      <c r="CP1164" s="269"/>
      <c r="CQ1164" s="269"/>
      <c r="CR1164" s="269"/>
      <c r="CS1164" s="269"/>
    </row>
    <row r="1165" spans="3:97" x14ac:dyDescent="0.3">
      <c r="C1165" s="638">
        <f>C1102</f>
        <v>1766</v>
      </c>
      <c r="D1165" s="297">
        <f>IF(Years="Five",IF(D$338&gt;$D$33,0,D467*Input!D$56/30),0)</f>
        <v>0</v>
      </c>
      <c r="E1165" s="229">
        <f>IF(Years="Five",IF(E$338&gt;$D$33,0,E467*Input!E$56/30),0)</f>
        <v>0</v>
      </c>
      <c r="F1165" s="229">
        <f>IF(Years="Five",IF(F$338&gt;$D$33,0,F467*Input!F$56/30),0)</f>
        <v>0</v>
      </c>
      <c r="G1165" s="229">
        <f>IF(Years="Five",IF(G$338&gt;$D$33,0,G467*Input!G$56/30),0)</f>
        <v>0</v>
      </c>
      <c r="H1165" s="229">
        <f>IF(Years="Five",IF(H$338&gt;$D$33,0,H467*Input!H$56/30),0)</f>
        <v>0</v>
      </c>
      <c r="I1165" s="229">
        <f>IF(Years="Five",IF(I$338&gt;$D$33,0,I467*Input!I$56/30),0)</f>
        <v>0</v>
      </c>
      <c r="J1165" s="229">
        <f>IF(Years="Five",IF(J$338&gt;$D$33,0,J467*Input!J$56/30),0)</f>
        <v>0</v>
      </c>
      <c r="K1165" s="229">
        <f>IF(Years="Five",IF(K$338&gt;$D$33,0,K467*Input!K$56/30),0)</f>
        <v>0</v>
      </c>
      <c r="L1165" s="229">
        <f>IF(Years="Five",IF(L$338&gt;$D$33,0,L467*Input!L$56/30),0)</f>
        <v>0</v>
      </c>
      <c r="M1165" s="229">
        <f>IF(Years="Five",IF(M$338&gt;$D$33,0,M467*Input!M$56/30),0)</f>
        <v>0</v>
      </c>
      <c r="N1165" s="229">
        <f>IF(Years="Five",IF(N$338&gt;$D$33,0,N467*Input!N$56/30),0)</f>
        <v>0</v>
      </c>
      <c r="O1165" s="229">
        <f>IF(Years="Five",IF(O$338&gt;$D$33,0,O467*Input!O$56/30),0)</f>
        <v>0</v>
      </c>
      <c r="P1165" s="229">
        <f>IF(Years="Five",IF(P$338&gt;$D$33,0,P467*Input!P$56/30),0)</f>
        <v>0</v>
      </c>
      <c r="Q1165" s="229">
        <f>IF(Years="Five",IF(Q$338&gt;$D$33,0,Q467*Input!Q$56/30),0)</f>
        <v>0</v>
      </c>
      <c r="R1165" s="229">
        <f>IF(Years="Five",IF(R$338&gt;$D$33,0,R467*Input!R$56/30),0)</f>
        <v>0</v>
      </c>
      <c r="S1165" s="229">
        <f>IF(Years="Five",IF(S$338&gt;$D$33,0,S467*Input!S$56/30),0)</f>
        <v>0</v>
      </c>
      <c r="T1165" s="229">
        <f>IF(Years="Five",IF(T$338&gt;$D$33,0,T467*Input!T$56/30),0)</f>
        <v>0</v>
      </c>
      <c r="U1165" s="229">
        <f>IF(Years="Five",IF(U$338&gt;$D$33,0,U467*Input!U$56/30),0)</f>
        <v>0</v>
      </c>
      <c r="V1165" s="229">
        <f>IF(Years="Five",IF(V$338&gt;$D$33,0,V467*Input!V$56/30),0)</f>
        <v>0</v>
      </c>
      <c r="W1165" s="229">
        <f>IF(Years="Five",IF(W$338&gt;$D$33,0,W467*Input!W$56/30),0)</f>
        <v>0</v>
      </c>
      <c r="X1165" s="229">
        <f>IF(Years="Five",IF(X$338&gt;$D$33,0,X467*Input!X$56/30),0)</f>
        <v>0</v>
      </c>
      <c r="Y1165" s="229">
        <f>IF(Years="Five",IF(Y$338&gt;$D$33,0,Y467*Input!Y$56/30),0)</f>
        <v>0</v>
      </c>
      <c r="Z1165" s="229">
        <f>IF(Years="Five",IF(Z$338&gt;$D$33,0,Z467*Input!Z$56/30),0)</f>
        <v>0</v>
      </c>
      <c r="AA1165" s="229">
        <f>IF(Years="Five",IF(AA$338&gt;$D$33,0,AA467*Input!AA$56/30),0)</f>
        <v>0</v>
      </c>
      <c r="AB1165" s="298">
        <f>IF(Years="Five",IF(AB$338&gt;$D$33,0,AB467*Input!AB$56/30),0)</f>
        <v>0</v>
      </c>
      <c r="CH1165" s="269"/>
      <c r="CI1165" s="269"/>
      <c r="CJ1165" s="269"/>
      <c r="CK1165" s="269"/>
      <c r="CL1165" s="269"/>
      <c r="CM1165" s="269"/>
      <c r="CN1165" s="269"/>
      <c r="CO1165" s="269"/>
      <c r="CP1165" s="269"/>
      <c r="CQ1165" s="269"/>
      <c r="CR1165" s="269"/>
      <c r="CS1165" s="269"/>
    </row>
    <row r="1166" spans="3:97" x14ac:dyDescent="0.3">
      <c r="C1166" s="638">
        <f>C1103</f>
        <v>1796</v>
      </c>
      <c r="D1166" s="297">
        <f>IF(Years="Five",IF(D$338&gt;$D$33,0,D468*Input!D$56/30),0)</f>
        <v>0</v>
      </c>
      <c r="E1166" s="229">
        <f>IF(Years="Five",IF(E$338&gt;$D$33,0,E468*Input!E$56/30),0)</f>
        <v>0</v>
      </c>
      <c r="F1166" s="229">
        <f>IF(Years="Five",IF(F$338&gt;$D$33,0,F468*Input!F$56/30),0)</f>
        <v>0</v>
      </c>
      <c r="G1166" s="229">
        <f>IF(Years="Five",IF(G$338&gt;$D$33,0,G468*Input!G$56/30),0)</f>
        <v>0</v>
      </c>
      <c r="H1166" s="229">
        <f>IF(Years="Five",IF(H$338&gt;$D$33,0,H468*Input!H$56/30),0)</f>
        <v>0</v>
      </c>
      <c r="I1166" s="229">
        <f>IF(Years="Five",IF(I$338&gt;$D$33,0,I468*Input!I$56/30),0)</f>
        <v>0</v>
      </c>
      <c r="J1166" s="229">
        <f>IF(Years="Five",IF(J$338&gt;$D$33,0,J468*Input!J$56/30),0)</f>
        <v>0</v>
      </c>
      <c r="K1166" s="229">
        <f>IF(Years="Five",IF(K$338&gt;$D$33,0,K468*Input!K$56/30),0)</f>
        <v>0</v>
      </c>
      <c r="L1166" s="229">
        <f>IF(Years="Five",IF(L$338&gt;$D$33,0,L468*Input!L$56/30),0)</f>
        <v>0</v>
      </c>
      <c r="M1166" s="229">
        <f>IF(Years="Five",IF(M$338&gt;$D$33,0,M468*Input!M$56/30),0)</f>
        <v>0</v>
      </c>
      <c r="N1166" s="229">
        <f>IF(Years="Five",IF(N$338&gt;$D$33,0,N468*Input!N$56/30),0)</f>
        <v>0</v>
      </c>
      <c r="O1166" s="229">
        <f>IF(Years="Five",IF(O$338&gt;$D$33,0,O468*Input!O$56/30),0)</f>
        <v>0</v>
      </c>
      <c r="P1166" s="229">
        <f>IF(Years="Five",IF(P$338&gt;$D$33,0,P468*Input!P$56/30),0)</f>
        <v>0</v>
      </c>
      <c r="Q1166" s="229">
        <f>IF(Years="Five",IF(Q$338&gt;$D$33,0,Q468*Input!Q$56/30),0)</f>
        <v>0</v>
      </c>
      <c r="R1166" s="229">
        <f>IF(Years="Five",IF(R$338&gt;$D$33,0,R468*Input!R$56/30),0)</f>
        <v>0</v>
      </c>
      <c r="S1166" s="229">
        <f>IF(Years="Five",IF(S$338&gt;$D$33,0,S468*Input!S$56/30),0)</f>
        <v>0</v>
      </c>
      <c r="T1166" s="229">
        <f>IF(Years="Five",IF(T$338&gt;$D$33,0,T468*Input!T$56/30),0)</f>
        <v>0</v>
      </c>
      <c r="U1166" s="229">
        <f>IF(Years="Five",IF(U$338&gt;$D$33,0,U468*Input!U$56/30),0)</f>
        <v>0</v>
      </c>
      <c r="V1166" s="229">
        <f>IF(Years="Five",IF(V$338&gt;$D$33,0,V468*Input!V$56/30),0)</f>
        <v>0</v>
      </c>
      <c r="W1166" s="229">
        <f>IF(Years="Five",IF(W$338&gt;$D$33,0,W468*Input!W$56/30),0)</f>
        <v>0</v>
      </c>
      <c r="X1166" s="229">
        <f>IF(Years="Five",IF(X$338&gt;$D$33,0,X468*Input!X$56/30),0)</f>
        <v>0</v>
      </c>
      <c r="Y1166" s="229">
        <f>IF(Years="Five",IF(Y$338&gt;$D$33,0,Y468*Input!Y$56/30),0)</f>
        <v>0</v>
      </c>
      <c r="Z1166" s="229">
        <f>IF(Years="Five",IF(Z$338&gt;$D$33,0,Z468*Input!Z$56/30),0)</f>
        <v>0</v>
      </c>
      <c r="AA1166" s="229">
        <f>IF(Years="Five",IF(AA$338&gt;$D$33,0,AA468*Input!AA$56/30),0)</f>
        <v>0</v>
      </c>
      <c r="AB1166" s="298">
        <f>IF(Years="Five",IF(AB$338&gt;$D$33,0,AB468*Input!AB$56/30),0)</f>
        <v>0</v>
      </c>
      <c r="CH1166" s="269"/>
      <c r="CI1166" s="269"/>
      <c r="CJ1166" s="269"/>
      <c r="CK1166" s="269"/>
      <c r="CL1166" s="269"/>
      <c r="CM1166" s="269"/>
      <c r="CN1166" s="269"/>
      <c r="CO1166" s="269"/>
      <c r="CP1166" s="269"/>
      <c r="CQ1166" s="269"/>
      <c r="CR1166" s="269"/>
      <c r="CS1166" s="269"/>
    </row>
    <row r="1167" spans="3:97" ht="12.5" thickBot="1" x14ac:dyDescent="0.35">
      <c r="C1167" s="638">
        <f>C1104</f>
        <v>1827</v>
      </c>
      <c r="D1167" s="301">
        <f>IF(Years="Five",IF(D$338&gt;$D$33,0,D469*Input!D$56/30),0)</f>
        <v>0</v>
      </c>
      <c r="E1167" s="302">
        <f>IF(Years="Five",IF(E$338&gt;$D$33,0,E469*Input!E$56/30),0)</f>
        <v>0</v>
      </c>
      <c r="F1167" s="302">
        <f>IF(Years="Five",IF(F$338&gt;$D$33,0,F469*Input!F$56/30),0)</f>
        <v>0</v>
      </c>
      <c r="G1167" s="302">
        <f>IF(Years="Five",IF(G$338&gt;$D$33,0,G469*Input!G$56/30),0)</f>
        <v>0</v>
      </c>
      <c r="H1167" s="302">
        <f>IF(Years="Five",IF(H$338&gt;$D$33,0,H469*Input!H$56/30),0)</f>
        <v>0</v>
      </c>
      <c r="I1167" s="302">
        <f>IF(Years="Five",IF(I$338&gt;$D$33,0,I469*Input!I$56/30),0)</f>
        <v>0</v>
      </c>
      <c r="J1167" s="302">
        <f>IF(Years="Five",IF(J$338&gt;$D$33,0,J469*Input!J$56/30),0)</f>
        <v>0</v>
      </c>
      <c r="K1167" s="302">
        <f>IF(Years="Five",IF(K$338&gt;$D$33,0,K469*Input!K$56/30),0)</f>
        <v>0</v>
      </c>
      <c r="L1167" s="302">
        <f>IF(Years="Five",IF(L$338&gt;$D$33,0,L469*Input!L$56/30),0)</f>
        <v>0</v>
      </c>
      <c r="M1167" s="302">
        <f>IF(Years="Five",IF(M$338&gt;$D$33,0,M469*Input!M$56/30),0)</f>
        <v>0</v>
      </c>
      <c r="N1167" s="302">
        <f>IF(Years="Five",IF(N$338&gt;$D$33,0,N469*Input!N$56/30),0)</f>
        <v>0</v>
      </c>
      <c r="O1167" s="302">
        <f>IF(Years="Five",IF(O$338&gt;$D$33,0,O469*Input!O$56/30),0)</f>
        <v>0</v>
      </c>
      <c r="P1167" s="302">
        <f>IF(Years="Five",IF(P$338&gt;$D$33,0,P469*Input!P$56/30),0)</f>
        <v>0</v>
      </c>
      <c r="Q1167" s="302">
        <f>IF(Years="Five",IF(Q$338&gt;$D$33,0,Q469*Input!Q$56/30),0)</f>
        <v>0</v>
      </c>
      <c r="R1167" s="302">
        <f>IF(Years="Five",IF(R$338&gt;$D$33,0,R469*Input!R$56/30),0)</f>
        <v>0</v>
      </c>
      <c r="S1167" s="302">
        <f>IF(Years="Five",IF(S$338&gt;$D$33,0,S469*Input!S$56/30),0)</f>
        <v>0</v>
      </c>
      <c r="T1167" s="302">
        <f>IF(Years="Five",IF(T$338&gt;$D$33,0,T469*Input!T$56/30),0)</f>
        <v>0</v>
      </c>
      <c r="U1167" s="302">
        <f>IF(Years="Five",IF(U$338&gt;$D$33,0,U469*Input!U$56/30),0)</f>
        <v>0</v>
      </c>
      <c r="V1167" s="302">
        <f>IF(Years="Five",IF(V$338&gt;$D$33,0,V469*Input!V$56/30),0)</f>
        <v>0</v>
      </c>
      <c r="W1167" s="302">
        <f>IF(Years="Five",IF(W$338&gt;$D$33,0,W469*Input!W$56/30),0)</f>
        <v>0</v>
      </c>
      <c r="X1167" s="302">
        <f>IF(Years="Five",IF(X$338&gt;$D$33,0,X469*Input!X$56/30),0)</f>
        <v>0</v>
      </c>
      <c r="Y1167" s="302">
        <f>IF(Years="Five",IF(Y$338&gt;$D$33,0,Y469*Input!Y$56/30),0)</f>
        <v>0</v>
      </c>
      <c r="Z1167" s="302">
        <f>IF(Years="Five",IF(Z$338&gt;$D$33,0,Z469*Input!Z$56/30),0)</f>
        <v>0</v>
      </c>
      <c r="AA1167" s="302">
        <f>IF(Years="Five",IF(AA$338&gt;$D$33,0,AA469*Input!AA$56/30),0)</f>
        <v>0</v>
      </c>
      <c r="AB1167" s="303">
        <f>IF(Years="Five",IF(AB$338&gt;$D$33,0,AB469*Input!AB$56/30),0)</f>
        <v>0</v>
      </c>
      <c r="CH1167" s="269"/>
      <c r="CI1167" s="269"/>
      <c r="CJ1167" s="269"/>
      <c r="CK1167" s="269"/>
      <c r="CL1167" s="269"/>
      <c r="CM1167" s="269"/>
      <c r="CN1167" s="269"/>
      <c r="CO1167" s="269"/>
      <c r="CP1167" s="269"/>
      <c r="CQ1167" s="269"/>
      <c r="CR1167" s="269"/>
      <c r="CS1167" s="269"/>
    </row>
    <row r="1168" spans="3:97" ht="18.5" x14ac:dyDescent="0.45">
      <c r="C1168" s="819"/>
      <c r="D1168" s="481">
        <f>SUM(D1108:D1167)</f>
        <v>0</v>
      </c>
      <c r="E1168" s="482">
        <f>SUM(E1108:E1167)</f>
        <v>0</v>
      </c>
      <c r="F1168" s="482">
        <f>SUM(F1108:F1167)</f>
        <v>0</v>
      </c>
      <c r="G1168" s="482">
        <f>SUM(G1108:G1167)</f>
        <v>0</v>
      </c>
      <c r="H1168" s="482">
        <f>SUM(H1108:H1167)</f>
        <v>0</v>
      </c>
      <c r="I1168" s="482">
        <f>SUM(I1108:I1167)</f>
        <v>0</v>
      </c>
      <c r="J1168" s="482">
        <f>SUM(J1108:J1167)</f>
        <v>0</v>
      </c>
      <c r="K1168" s="482">
        <f>SUM(K1108:K1167)</f>
        <v>0</v>
      </c>
      <c r="L1168" s="482">
        <f>SUM(L1108:L1167)</f>
        <v>0</v>
      </c>
      <c r="M1168" s="482">
        <f>SUM(M1108:M1167)</f>
        <v>0</v>
      </c>
      <c r="N1168" s="482">
        <f>SUM(N1108:N1167)</f>
        <v>0</v>
      </c>
      <c r="O1168" s="482">
        <f>SUM(O1108:O1167)</f>
        <v>0</v>
      </c>
      <c r="P1168" s="482">
        <f>SUM(P1108:P1167)</f>
        <v>0</v>
      </c>
      <c r="Q1168" s="482">
        <f>SUM(Q1108:Q1167)</f>
        <v>0</v>
      </c>
      <c r="R1168" s="482">
        <f>SUM(R1108:R1167)</f>
        <v>0</v>
      </c>
      <c r="S1168" s="482">
        <f>SUM(S1108:S1167)</f>
        <v>0</v>
      </c>
      <c r="T1168" s="482">
        <f>SUM(T1108:T1167)</f>
        <v>0</v>
      </c>
      <c r="U1168" s="482">
        <f>SUM(U1108:U1167)</f>
        <v>0</v>
      </c>
      <c r="V1168" s="482">
        <f>SUM(V1108:V1167)</f>
        <v>0</v>
      </c>
      <c r="W1168" s="482">
        <f>SUM(W1108:W1167)</f>
        <v>0</v>
      </c>
      <c r="X1168" s="482">
        <f>SUM(X1108:X1167)</f>
        <v>0</v>
      </c>
      <c r="Y1168" s="482">
        <f>SUM(Y1108:Y1167)</f>
        <v>0</v>
      </c>
      <c r="Z1168" s="482">
        <f>SUM(Z1108:Z1167)</f>
        <v>0</v>
      </c>
      <c r="AA1168" s="482">
        <f>SUM(AA1108:AA1167)</f>
        <v>0</v>
      </c>
      <c r="AB1168" s="482">
        <f>SUM(AB1108:AB1167)</f>
        <v>0</v>
      </c>
      <c r="CH1168" s="269"/>
      <c r="CI1168" s="269"/>
      <c r="CJ1168" s="269"/>
      <c r="CK1168" s="269"/>
      <c r="CL1168" s="269"/>
      <c r="CM1168" s="269"/>
      <c r="CN1168" s="269"/>
      <c r="CO1168" s="269"/>
      <c r="CP1168" s="269"/>
      <c r="CQ1168" s="269"/>
      <c r="CR1168" s="269"/>
      <c r="CS1168" s="269"/>
    </row>
    <row r="1169" spans="1:97" x14ac:dyDescent="0.3">
      <c r="CH1169" s="269"/>
      <c r="CI1169" s="269"/>
      <c r="CJ1169" s="269"/>
      <c r="CK1169" s="269"/>
      <c r="CL1169" s="269"/>
      <c r="CM1169" s="269"/>
      <c r="CN1169" s="269"/>
      <c r="CO1169" s="269"/>
      <c r="CP1169" s="269"/>
      <c r="CQ1169" s="269"/>
      <c r="CR1169" s="269"/>
      <c r="CS1169" s="269"/>
    </row>
    <row r="1170" spans="1:97" ht="15" customHeight="1" x14ac:dyDescent="0.35">
      <c r="B1170" s="1830" t="s">
        <v>205</v>
      </c>
      <c r="C1170" s="1830"/>
      <c r="D1170" s="219"/>
      <c r="E1170" s="219"/>
      <c r="F1170" s="219"/>
      <c r="G1170" s="219"/>
      <c r="H1170" s="219"/>
      <c r="I1170" s="219"/>
      <c r="J1170" s="219"/>
      <c r="K1170" s="219"/>
      <c r="L1170" s="219"/>
      <c r="M1170" s="219"/>
      <c r="N1170" s="219"/>
      <c r="O1170" s="219"/>
      <c r="P1170" s="219"/>
      <c r="Q1170" s="219"/>
      <c r="R1170" s="219"/>
      <c r="S1170" s="219"/>
      <c r="T1170" s="219"/>
      <c r="U1170" s="219"/>
      <c r="V1170" s="219"/>
      <c r="W1170" s="219"/>
      <c r="X1170" s="219"/>
      <c r="Y1170" s="219"/>
      <c r="Z1170" s="219"/>
      <c r="AA1170" s="219"/>
      <c r="AB1170" s="219"/>
      <c r="CH1170" s="269"/>
      <c r="CI1170" s="269"/>
      <c r="CJ1170" s="269"/>
      <c r="CK1170" s="269"/>
      <c r="CL1170" s="269"/>
      <c r="CM1170" s="269"/>
      <c r="CN1170" s="269"/>
      <c r="CO1170" s="269"/>
      <c r="CP1170" s="269"/>
      <c r="CQ1170" s="269"/>
      <c r="CR1170" s="269"/>
      <c r="CS1170" s="269"/>
    </row>
    <row r="1171" spans="1:97" s="5" customFormat="1" ht="12.75" customHeight="1" thickBot="1" x14ac:dyDescent="0.35">
      <c r="A1171" s="646"/>
      <c r="B1171" s="1830"/>
      <c r="C1171" s="1830"/>
      <c r="D1171" s="820" t="str">
        <f>D74</f>
        <v>Item 1</v>
      </c>
      <c r="E1171" s="820" t="str">
        <f>E74</f>
        <v>Item 2</v>
      </c>
      <c r="F1171" s="820" t="str">
        <f>F74</f>
        <v>Item 3</v>
      </c>
      <c r="G1171" s="820" t="str">
        <f>G74</f>
        <v>Item 4</v>
      </c>
      <c r="H1171" s="820" t="str">
        <f>H74</f>
        <v>Item 5</v>
      </c>
      <c r="I1171" s="820" t="str">
        <f>I74</f>
        <v>Item 6</v>
      </c>
      <c r="J1171" s="820" t="str">
        <f>J74</f>
        <v>Item 7</v>
      </c>
      <c r="K1171" s="820" t="str">
        <f>K74</f>
        <v>Item 8</v>
      </c>
      <c r="L1171" s="820" t="str">
        <f>L74</f>
        <v>Item 9</v>
      </c>
      <c r="M1171" s="820" t="str">
        <f>M74</f>
        <v>Item 10</v>
      </c>
      <c r="N1171" s="820" t="str">
        <f>N74</f>
        <v>Item 11</v>
      </c>
      <c r="O1171" s="820" t="str">
        <f>O74</f>
        <v>Item 12</v>
      </c>
      <c r="P1171" s="820" t="str">
        <f>P74</f>
        <v>Item 13</v>
      </c>
      <c r="Q1171" s="820" t="str">
        <f>Q74</f>
        <v>Item 14</v>
      </c>
      <c r="R1171" s="820" t="str">
        <f>R74</f>
        <v>Item 15</v>
      </c>
      <c r="S1171" s="820" t="str">
        <f>S74</f>
        <v>Item 16</v>
      </c>
      <c r="T1171" s="820" t="str">
        <f>T74</f>
        <v>Item 17</v>
      </c>
      <c r="U1171" s="820" t="str">
        <f>U74</f>
        <v>Item 18</v>
      </c>
      <c r="V1171" s="820" t="str">
        <f>V74</f>
        <v>Item 19</v>
      </c>
      <c r="W1171" s="820" t="str">
        <f>W74</f>
        <v>Item 20</v>
      </c>
      <c r="X1171" s="820" t="str">
        <f>X74</f>
        <v>Item 21</v>
      </c>
      <c r="Y1171" s="820" t="str">
        <f>Y74</f>
        <v>Item 22</v>
      </c>
      <c r="Z1171" s="820" t="str">
        <f>Z74</f>
        <v>Item 23</v>
      </c>
      <c r="AA1171" s="820" t="str">
        <f>AA74</f>
        <v>Item 24</v>
      </c>
      <c r="AB1171" s="820" t="str">
        <f>AB74</f>
        <v>Item 25</v>
      </c>
      <c r="AC1171" s="4"/>
      <c r="AD1171" s="4"/>
      <c r="AE1171" s="4"/>
      <c r="AF1171" s="4"/>
      <c r="AG1171" s="4"/>
      <c r="AH1171" s="4"/>
      <c r="AI1171" s="4"/>
      <c r="AJ1171" s="4"/>
      <c r="AK1171" s="4"/>
      <c r="AL1171" s="4"/>
      <c r="AM1171" s="4"/>
      <c r="AN1171" s="4"/>
      <c r="AO1171" s="4"/>
      <c r="AP1171" s="4"/>
      <c r="AQ1171" s="4"/>
      <c r="AR1171" s="4"/>
      <c r="AS1171" s="4"/>
      <c r="AT1171" s="4"/>
      <c r="AU1171" s="4"/>
      <c r="AV1171" s="4"/>
      <c r="AW1171" s="4"/>
      <c r="AX1171" s="4"/>
      <c r="AY1171" s="4"/>
      <c r="AZ1171" s="4"/>
      <c r="BA1171" s="4"/>
      <c r="BB1171" s="4"/>
      <c r="BC1171" s="4"/>
      <c r="BD1171" s="4"/>
      <c r="BE1171" s="4"/>
      <c r="BF1171" s="4"/>
      <c r="BG1171" s="4"/>
      <c r="BH1171" s="4"/>
      <c r="BI1171" s="4"/>
      <c r="BJ1171" s="4"/>
      <c r="BK1171" s="4"/>
      <c r="BL1171" s="4"/>
      <c r="BM1171" s="4"/>
      <c r="BN1171" s="4"/>
      <c r="BO1171" s="4"/>
      <c r="BP1171" s="4"/>
      <c r="BQ1171" s="4"/>
      <c r="BR1171" s="4"/>
      <c r="BS1171" s="4"/>
      <c r="BT1171" s="4"/>
      <c r="BU1171" s="4"/>
      <c r="BV1171" s="4"/>
      <c r="BW1171" s="4"/>
      <c r="BX1171" s="4"/>
      <c r="BY1171" s="4"/>
      <c r="BZ1171" s="4"/>
      <c r="CA1171" s="4"/>
      <c r="CB1171" s="4"/>
      <c r="CC1171" s="4"/>
      <c r="CD1171" s="4"/>
      <c r="CE1171" s="4"/>
      <c r="CF1171" s="4"/>
      <c r="CG1171" s="4"/>
      <c r="CH1171" s="821"/>
      <c r="CI1171" s="821"/>
      <c r="CJ1171" s="821"/>
      <c r="CK1171" s="821"/>
      <c r="CL1171" s="821"/>
      <c r="CM1171" s="821"/>
      <c r="CN1171" s="821"/>
      <c r="CO1171" s="821"/>
      <c r="CP1171" s="821"/>
      <c r="CQ1171" s="821"/>
      <c r="CR1171" s="821"/>
      <c r="CS1171" s="821"/>
    </row>
    <row r="1172" spans="1:97" x14ac:dyDescent="0.3">
      <c r="C1172" s="477">
        <f>C1108</f>
        <v>0</v>
      </c>
      <c r="D1172" s="648">
        <f>SUMIF(Input!$D$40:$AB$40,D$1171,$D340:$AB340)</f>
        <v>0</v>
      </c>
      <c r="E1172" s="648">
        <f>SUMIF(Input!$D$40:$AB$40,E$1171,$D340:$AB340)</f>
        <v>0</v>
      </c>
      <c r="F1172" s="648">
        <f>SUMIF(Input!$D$40:$AB$40,F$1171,$D340:$AB340)</f>
        <v>0</v>
      </c>
      <c r="G1172" s="648">
        <f>SUMIF(Input!$D$40:$AB$40,G$1171,$D340:$AB340)</f>
        <v>0</v>
      </c>
      <c r="H1172" s="648">
        <f>SUMIF(Input!$D$40:$AB$40,H$1171,$D340:$AB340)</f>
        <v>0</v>
      </c>
      <c r="I1172" s="648">
        <f>SUMIF(Input!$D$40:$AB$40,I$1171,$D340:$AB340)</f>
        <v>0</v>
      </c>
      <c r="J1172" s="648">
        <f>SUMIF(Input!$D$40:$AB$40,J$1171,$D340:$AB340)</f>
        <v>0</v>
      </c>
      <c r="K1172" s="228">
        <f>SUMIF(Input!$D$40:$AB$40,K$1171,$D340:$AB340)</f>
        <v>0</v>
      </c>
      <c r="L1172" s="228">
        <f>SUMIF(Input!$D$40:$AB$40,L$1171,$D340:$AB340)</f>
        <v>0</v>
      </c>
      <c r="M1172" s="228">
        <f>SUMIF(Input!$D$40:$AB$40,M$1171,$D340:$AB340)</f>
        <v>0</v>
      </c>
      <c r="N1172" s="228">
        <f>SUMIF(Input!$D$40:$AB$40,N$1171,$D340:$AB340)</f>
        <v>0</v>
      </c>
      <c r="O1172" s="228">
        <f>SUMIF(Input!$D$40:$AB$40,O$1171,$D340:$AB340)</f>
        <v>0</v>
      </c>
      <c r="P1172" s="228">
        <f>SUMIF(Input!$D$40:$AB$40,P$1171,$D340:$AB340)</f>
        <v>0</v>
      </c>
      <c r="Q1172" s="228">
        <f>SUMIF(Input!$D$40:$AB$40,Q$1171,$D340:$AB340)</f>
        <v>0</v>
      </c>
      <c r="R1172" s="228">
        <f>SUMIF(Input!$D$40:$AB$40,R$1171,$D340:$AB340)</f>
        <v>0</v>
      </c>
      <c r="S1172" s="228">
        <f>SUMIF(Input!$D$40:$AB$40,S$1171,$D340:$AB340)</f>
        <v>0</v>
      </c>
      <c r="T1172" s="228">
        <f>SUMIF(Input!$D$40:$AB$40,T$1171,$D340:$AB340)</f>
        <v>0</v>
      </c>
      <c r="U1172" s="228">
        <f>SUMIF(Input!$D$40:$AB$40,U$1171,$D340:$AB340)</f>
        <v>0</v>
      </c>
      <c r="V1172" s="228">
        <f>SUMIF(Input!$D$40:$AB$40,V$1171,$D340:$AB340)</f>
        <v>0</v>
      </c>
      <c r="W1172" s="228">
        <f>SUMIF(Input!$D$40:$AB$40,W$1171,$D340:$AB340)</f>
        <v>0</v>
      </c>
      <c r="X1172" s="228">
        <f>SUMIF(Input!$D$40:$AB$40,X$1171,$D340:$AB340)</f>
        <v>0</v>
      </c>
      <c r="Y1172" s="228">
        <f>SUMIF(Input!$D$40:$AB$40,Y$1171,$D340:$AB340)</f>
        <v>0</v>
      </c>
      <c r="Z1172" s="228">
        <f>SUMIF(Input!$D$40:$AB$40,Z$1171,$D340:$AB340)</f>
        <v>0</v>
      </c>
      <c r="AA1172" s="228">
        <f>SUMIF(Input!$D$40:$AB$40,AA$1171,$D340:$AB340)</f>
        <v>0</v>
      </c>
      <c r="AB1172" s="228">
        <f>SUMIF(Input!$D$40:$AB$40,AB$1171,$D340:$AB340)</f>
        <v>0</v>
      </c>
      <c r="CH1172" s="269"/>
      <c r="CI1172" s="269"/>
      <c r="CJ1172" s="269"/>
      <c r="CK1172" s="269"/>
      <c r="CL1172" s="269"/>
      <c r="CM1172" s="269"/>
      <c r="CN1172" s="269"/>
      <c r="CO1172" s="269"/>
      <c r="CP1172" s="269"/>
      <c r="CQ1172" s="269"/>
      <c r="CR1172" s="269"/>
      <c r="CS1172" s="269"/>
    </row>
    <row r="1173" spans="1:97" x14ac:dyDescent="0.3">
      <c r="C1173" s="479">
        <f>C1109</f>
        <v>59</v>
      </c>
      <c r="D1173" s="229">
        <f>SUMIF(Input!$D$40:$AB$40,D$1171,$D341:$AB341)</f>
        <v>0</v>
      </c>
      <c r="E1173" s="229">
        <f>SUMIF(Input!$D$40:$AB$40,E$1171,$D341:$AB341)</f>
        <v>0</v>
      </c>
      <c r="F1173" s="229">
        <f>SUMIF(Input!$D$40:$AB$40,F$1171,$D341:$AB341)</f>
        <v>0</v>
      </c>
      <c r="G1173" s="229">
        <f>SUMIF(Input!$D$40:$AB$40,G$1171,$D341:$AB341)</f>
        <v>0</v>
      </c>
      <c r="H1173" s="229">
        <f>SUMIF(Input!$D$40:$AB$40,H$1171,$D341:$AB341)</f>
        <v>0</v>
      </c>
      <c r="I1173" s="229">
        <f>SUMIF(Input!$D$40:$AB$40,I$1171,$D341:$AB341)</f>
        <v>0</v>
      </c>
      <c r="J1173" s="229">
        <f>SUMIF(Input!$D$40:$AB$40,J$1171,$D341:$AB341)</f>
        <v>0</v>
      </c>
      <c r="K1173" s="229">
        <f>SUMIF(Input!$D$40:$AB$40,K$1171,$D341:$AB341)</f>
        <v>0</v>
      </c>
      <c r="L1173" s="229">
        <f>SUMIF(Input!$D$40:$AB$40,L$1171,$D341:$AB341)</f>
        <v>0</v>
      </c>
      <c r="M1173" s="229">
        <f>SUMIF(Input!$D$40:$AB$40,M$1171,$D341:$AB341)</f>
        <v>0</v>
      </c>
      <c r="N1173" s="229">
        <f>SUMIF(Input!$D$40:$AB$40,N$1171,$D341:$AB341)</f>
        <v>0</v>
      </c>
      <c r="O1173" s="229">
        <f>SUMIF(Input!$D$40:$AB$40,O$1171,$D341:$AB341)</f>
        <v>0</v>
      </c>
      <c r="P1173" s="229">
        <f>SUMIF(Input!$D$40:$AB$40,P$1171,$D341:$AB341)</f>
        <v>0</v>
      </c>
      <c r="Q1173" s="229">
        <f>SUMIF(Input!$D$40:$AB$40,Q$1171,$D341:$AB341)</f>
        <v>0</v>
      </c>
      <c r="R1173" s="229">
        <f>SUMIF(Input!$D$40:$AB$40,R$1171,$D341:$AB341)</f>
        <v>0</v>
      </c>
      <c r="S1173" s="229">
        <f>SUMIF(Input!$D$40:$AB$40,S$1171,$D341:$AB341)</f>
        <v>0</v>
      </c>
      <c r="T1173" s="229">
        <f>SUMIF(Input!$D$40:$AB$40,T$1171,$D341:$AB341)</f>
        <v>0</v>
      </c>
      <c r="U1173" s="229">
        <f>SUMIF(Input!$D$40:$AB$40,U$1171,$D341:$AB341)</f>
        <v>0</v>
      </c>
      <c r="V1173" s="229">
        <f>SUMIF(Input!$D$40:$AB$40,V$1171,$D341:$AB341)</f>
        <v>0</v>
      </c>
      <c r="W1173" s="229">
        <f>SUMIF(Input!$D$40:$AB$40,W$1171,$D341:$AB341)</f>
        <v>0</v>
      </c>
      <c r="X1173" s="229">
        <f>SUMIF(Input!$D$40:$AB$40,X$1171,$D341:$AB341)</f>
        <v>0</v>
      </c>
      <c r="Y1173" s="229">
        <f>SUMIF(Input!$D$40:$AB$40,Y$1171,$D341:$AB341)</f>
        <v>0</v>
      </c>
      <c r="Z1173" s="229">
        <f>SUMIF(Input!$D$40:$AB$40,Z$1171,$D341:$AB341)</f>
        <v>0</v>
      </c>
      <c r="AA1173" s="229">
        <f>SUMIF(Input!$D$40:$AB$40,AA$1171,$D341:$AB341)</f>
        <v>0</v>
      </c>
      <c r="AB1173" s="229">
        <f>SUMIF(Input!$D$40:$AB$40,AB$1171,$D341:$AB341)</f>
        <v>0</v>
      </c>
      <c r="CH1173" s="269"/>
      <c r="CI1173" s="269"/>
      <c r="CJ1173" s="269"/>
      <c r="CK1173" s="269"/>
      <c r="CL1173" s="269"/>
      <c r="CM1173" s="269"/>
      <c r="CN1173" s="269"/>
      <c r="CO1173" s="269"/>
      <c r="CP1173" s="269"/>
      <c r="CQ1173" s="269"/>
      <c r="CR1173" s="269"/>
      <c r="CS1173" s="269"/>
    </row>
    <row r="1174" spans="1:97" x14ac:dyDescent="0.3">
      <c r="C1174" s="479">
        <f>C1110</f>
        <v>91</v>
      </c>
      <c r="D1174" s="229">
        <f>SUMIF(Input!$D$40:$AB$40,D$1171,$D342:$AB342)</f>
        <v>0</v>
      </c>
      <c r="E1174" s="229">
        <f>SUMIF(Input!$D$40:$AB$40,E$1171,$D342:$AB342)</f>
        <v>0</v>
      </c>
      <c r="F1174" s="229">
        <f>SUMIF(Input!$D$40:$AB$40,F$1171,$D342:$AB342)</f>
        <v>0</v>
      </c>
      <c r="G1174" s="229">
        <f>SUMIF(Input!$D$40:$AB$40,G$1171,$D342:$AB342)</f>
        <v>0</v>
      </c>
      <c r="H1174" s="229">
        <f>SUMIF(Input!$D$40:$AB$40,H$1171,$D342:$AB342)</f>
        <v>0</v>
      </c>
      <c r="I1174" s="229">
        <f>SUMIF(Input!$D$40:$AB$40,I$1171,$D342:$AB342)</f>
        <v>0</v>
      </c>
      <c r="J1174" s="229">
        <f>SUMIF(Input!$D$40:$AB$40,J$1171,$D342:$AB342)</f>
        <v>0</v>
      </c>
      <c r="K1174" s="229">
        <f>SUMIF(Input!$D$40:$AB$40,K$1171,$D342:$AB342)</f>
        <v>0</v>
      </c>
      <c r="L1174" s="229">
        <f>SUMIF(Input!$D$40:$AB$40,L$1171,$D342:$AB342)</f>
        <v>0</v>
      </c>
      <c r="M1174" s="229">
        <f>SUMIF(Input!$D$40:$AB$40,M$1171,$D342:$AB342)</f>
        <v>0</v>
      </c>
      <c r="N1174" s="229">
        <f>SUMIF(Input!$D$40:$AB$40,N$1171,$D342:$AB342)</f>
        <v>0</v>
      </c>
      <c r="O1174" s="229">
        <f>SUMIF(Input!$D$40:$AB$40,O$1171,$D342:$AB342)</f>
        <v>0</v>
      </c>
      <c r="P1174" s="229">
        <f>SUMIF(Input!$D$40:$AB$40,P$1171,$D342:$AB342)</f>
        <v>0</v>
      </c>
      <c r="Q1174" s="229">
        <f>SUMIF(Input!$D$40:$AB$40,Q$1171,$D342:$AB342)</f>
        <v>0</v>
      </c>
      <c r="R1174" s="229">
        <f>SUMIF(Input!$D$40:$AB$40,R$1171,$D342:$AB342)</f>
        <v>0</v>
      </c>
      <c r="S1174" s="229">
        <f>SUMIF(Input!$D$40:$AB$40,S$1171,$D342:$AB342)</f>
        <v>0</v>
      </c>
      <c r="T1174" s="229">
        <f>SUMIF(Input!$D$40:$AB$40,T$1171,$D342:$AB342)</f>
        <v>0</v>
      </c>
      <c r="U1174" s="229">
        <f>SUMIF(Input!$D$40:$AB$40,U$1171,$D342:$AB342)</f>
        <v>0</v>
      </c>
      <c r="V1174" s="229">
        <f>SUMIF(Input!$D$40:$AB$40,V$1171,$D342:$AB342)</f>
        <v>0</v>
      </c>
      <c r="W1174" s="229">
        <f>SUMIF(Input!$D$40:$AB$40,W$1171,$D342:$AB342)</f>
        <v>0</v>
      </c>
      <c r="X1174" s="229">
        <f>SUMIF(Input!$D$40:$AB$40,X$1171,$D342:$AB342)</f>
        <v>0</v>
      </c>
      <c r="Y1174" s="229">
        <f>SUMIF(Input!$D$40:$AB$40,Y$1171,$D342:$AB342)</f>
        <v>0</v>
      </c>
      <c r="Z1174" s="229">
        <f>SUMIF(Input!$D$40:$AB$40,Z$1171,$D342:$AB342)</f>
        <v>0</v>
      </c>
      <c r="AA1174" s="229">
        <f>SUMIF(Input!$D$40:$AB$40,AA$1171,$D342:$AB342)</f>
        <v>0</v>
      </c>
      <c r="AB1174" s="229">
        <f>SUMIF(Input!$D$40:$AB$40,AB$1171,$D342:$AB342)</f>
        <v>0</v>
      </c>
      <c r="CH1174" s="269"/>
      <c r="CI1174" s="269"/>
      <c r="CJ1174" s="269"/>
      <c r="CK1174" s="269"/>
      <c r="CL1174" s="269"/>
      <c r="CM1174" s="269"/>
      <c r="CN1174" s="269"/>
      <c r="CO1174" s="269"/>
      <c r="CP1174" s="269"/>
      <c r="CQ1174" s="269"/>
      <c r="CR1174" s="269"/>
      <c r="CS1174" s="269"/>
    </row>
    <row r="1175" spans="1:97" x14ac:dyDescent="0.3">
      <c r="C1175" s="479">
        <f>C1111</f>
        <v>121</v>
      </c>
      <c r="D1175" s="229">
        <f>SUMIF(Input!$D$40:$AB$40,D$1171,$D343:$AB343)</f>
        <v>0</v>
      </c>
      <c r="E1175" s="229">
        <f>SUMIF(Input!$D$40:$AB$40,E$1171,$D343:$AB343)</f>
        <v>0</v>
      </c>
      <c r="F1175" s="229">
        <f>SUMIF(Input!$D$40:$AB$40,F$1171,$D343:$AB343)</f>
        <v>0</v>
      </c>
      <c r="G1175" s="229">
        <f>SUMIF(Input!$D$40:$AB$40,G$1171,$D343:$AB343)</f>
        <v>0</v>
      </c>
      <c r="H1175" s="229">
        <f>SUMIF(Input!$D$40:$AB$40,H$1171,$D343:$AB343)</f>
        <v>0</v>
      </c>
      <c r="I1175" s="229">
        <f>SUMIF(Input!$D$40:$AB$40,I$1171,$D343:$AB343)</f>
        <v>0</v>
      </c>
      <c r="J1175" s="229">
        <f>SUMIF(Input!$D$40:$AB$40,J$1171,$D343:$AB343)</f>
        <v>0</v>
      </c>
      <c r="K1175" s="229">
        <f>SUMIF(Input!$D$40:$AB$40,K$1171,$D343:$AB343)</f>
        <v>0</v>
      </c>
      <c r="L1175" s="229">
        <f>SUMIF(Input!$D$40:$AB$40,L$1171,$D343:$AB343)</f>
        <v>0</v>
      </c>
      <c r="M1175" s="229">
        <f>SUMIF(Input!$D$40:$AB$40,M$1171,$D343:$AB343)</f>
        <v>0</v>
      </c>
      <c r="N1175" s="229">
        <f>SUMIF(Input!$D$40:$AB$40,N$1171,$D343:$AB343)</f>
        <v>0</v>
      </c>
      <c r="O1175" s="229">
        <f>SUMIF(Input!$D$40:$AB$40,O$1171,$D343:$AB343)</f>
        <v>0</v>
      </c>
      <c r="P1175" s="229">
        <f>SUMIF(Input!$D$40:$AB$40,P$1171,$D343:$AB343)</f>
        <v>0</v>
      </c>
      <c r="Q1175" s="229">
        <f>SUMIF(Input!$D$40:$AB$40,Q$1171,$D343:$AB343)</f>
        <v>0</v>
      </c>
      <c r="R1175" s="229">
        <f>SUMIF(Input!$D$40:$AB$40,R$1171,$D343:$AB343)</f>
        <v>0</v>
      </c>
      <c r="S1175" s="229">
        <f>SUMIF(Input!$D$40:$AB$40,S$1171,$D343:$AB343)</f>
        <v>0</v>
      </c>
      <c r="T1175" s="229">
        <f>SUMIF(Input!$D$40:$AB$40,T$1171,$D343:$AB343)</f>
        <v>0</v>
      </c>
      <c r="U1175" s="229">
        <f>SUMIF(Input!$D$40:$AB$40,U$1171,$D343:$AB343)</f>
        <v>0</v>
      </c>
      <c r="V1175" s="229">
        <f>SUMIF(Input!$D$40:$AB$40,V$1171,$D343:$AB343)</f>
        <v>0</v>
      </c>
      <c r="W1175" s="229">
        <f>SUMIF(Input!$D$40:$AB$40,W$1171,$D343:$AB343)</f>
        <v>0</v>
      </c>
      <c r="X1175" s="229">
        <f>SUMIF(Input!$D$40:$AB$40,X$1171,$D343:$AB343)</f>
        <v>0</v>
      </c>
      <c r="Y1175" s="229">
        <f>SUMIF(Input!$D$40:$AB$40,Y$1171,$D343:$AB343)</f>
        <v>0</v>
      </c>
      <c r="Z1175" s="229">
        <f>SUMIF(Input!$D$40:$AB$40,Z$1171,$D343:$AB343)</f>
        <v>0</v>
      </c>
      <c r="AA1175" s="229">
        <f>SUMIF(Input!$D$40:$AB$40,AA$1171,$D343:$AB343)</f>
        <v>0</v>
      </c>
      <c r="AB1175" s="229">
        <f>SUMIF(Input!$D$40:$AB$40,AB$1171,$D343:$AB343)</f>
        <v>0</v>
      </c>
      <c r="CH1175" s="269"/>
      <c r="CI1175" s="269"/>
      <c r="CJ1175" s="269"/>
      <c r="CK1175" s="269"/>
      <c r="CL1175" s="269"/>
      <c r="CM1175" s="269"/>
      <c r="CN1175" s="269"/>
      <c r="CO1175" s="269"/>
      <c r="CP1175" s="269"/>
      <c r="CQ1175" s="269"/>
      <c r="CR1175" s="269"/>
      <c r="CS1175" s="269"/>
    </row>
    <row r="1176" spans="1:97" x14ac:dyDescent="0.3">
      <c r="C1176" s="479">
        <f>C1112</f>
        <v>152</v>
      </c>
      <c r="D1176" s="229">
        <f>SUMIF(Input!$D$40:$AB$40,D$1171,$D344:$AB344)</f>
        <v>0</v>
      </c>
      <c r="E1176" s="229">
        <f>SUMIF(Input!$D$40:$AB$40,E$1171,$D344:$AB344)</f>
        <v>0</v>
      </c>
      <c r="F1176" s="229">
        <f>SUMIF(Input!$D$40:$AB$40,F$1171,$D344:$AB344)</f>
        <v>0</v>
      </c>
      <c r="G1176" s="229">
        <f>SUMIF(Input!$D$40:$AB$40,G$1171,$D344:$AB344)</f>
        <v>0</v>
      </c>
      <c r="H1176" s="229">
        <f>SUMIF(Input!$D$40:$AB$40,H$1171,$D344:$AB344)</f>
        <v>0</v>
      </c>
      <c r="I1176" s="229">
        <f>SUMIF(Input!$D$40:$AB$40,I$1171,$D344:$AB344)</f>
        <v>0</v>
      </c>
      <c r="J1176" s="229">
        <f>SUMIF(Input!$D$40:$AB$40,J$1171,$D344:$AB344)</f>
        <v>0</v>
      </c>
      <c r="K1176" s="229">
        <f>SUMIF(Input!$D$40:$AB$40,K$1171,$D344:$AB344)</f>
        <v>0</v>
      </c>
      <c r="L1176" s="229">
        <f>SUMIF(Input!$D$40:$AB$40,L$1171,$D344:$AB344)</f>
        <v>0</v>
      </c>
      <c r="M1176" s="229">
        <f>SUMIF(Input!$D$40:$AB$40,M$1171,$D344:$AB344)</f>
        <v>0</v>
      </c>
      <c r="N1176" s="229">
        <f>SUMIF(Input!$D$40:$AB$40,N$1171,$D344:$AB344)</f>
        <v>0</v>
      </c>
      <c r="O1176" s="229">
        <f>SUMIF(Input!$D$40:$AB$40,O$1171,$D344:$AB344)</f>
        <v>0</v>
      </c>
      <c r="P1176" s="229">
        <f>SUMIF(Input!$D$40:$AB$40,P$1171,$D344:$AB344)</f>
        <v>0</v>
      </c>
      <c r="Q1176" s="229">
        <f>SUMIF(Input!$D$40:$AB$40,Q$1171,$D344:$AB344)</f>
        <v>0</v>
      </c>
      <c r="R1176" s="229">
        <f>SUMIF(Input!$D$40:$AB$40,R$1171,$D344:$AB344)</f>
        <v>0</v>
      </c>
      <c r="S1176" s="229">
        <f>SUMIF(Input!$D$40:$AB$40,S$1171,$D344:$AB344)</f>
        <v>0</v>
      </c>
      <c r="T1176" s="229">
        <f>SUMIF(Input!$D$40:$AB$40,T$1171,$D344:$AB344)</f>
        <v>0</v>
      </c>
      <c r="U1176" s="229">
        <f>SUMIF(Input!$D$40:$AB$40,U$1171,$D344:$AB344)</f>
        <v>0</v>
      </c>
      <c r="V1176" s="229">
        <f>SUMIF(Input!$D$40:$AB$40,V$1171,$D344:$AB344)</f>
        <v>0</v>
      </c>
      <c r="W1176" s="229">
        <f>SUMIF(Input!$D$40:$AB$40,W$1171,$D344:$AB344)</f>
        <v>0</v>
      </c>
      <c r="X1176" s="229">
        <f>SUMIF(Input!$D$40:$AB$40,X$1171,$D344:$AB344)</f>
        <v>0</v>
      </c>
      <c r="Y1176" s="229">
        <f>SUMIF(Input!$D$40:$AB$40,Y$1171,$D344:$AB344)</f>
        <v>0</v>
      </c>
      <c r="Z1176" s="229">
        <f>SUMIF(Input!$D$40:$AB$40,Z$1171,$D344:$AB344)</f>
        <v>0</v>
      </c>
      <c r="AA1176" s="229">
        <f>SUMIF(Input!$D$40:$AB$40,AA$1171,$D344:$AB344)</f>
        <v>0</v>
      </c>
      <c r="AB1176" s="229">
        <f>SUMIF(Input!$D$40:$AB$40,AB$1171,$D344:$AB344)</f>
        <v>0</v>
      </c>
      <c r="CH1176" s="269"/>
      <c r="CI1176" s="269"/>
      <c r="CJ1176" s="269"/>
      <c r="CK1176" s="269"/>
      <c r="CL1176" s="269"/>
      <c r="CM1176" s="269"/>
      <c r="CN1176" s="269"/>
      <c r="CO1176" s="269"/>
      <c r="CP1176" s="269"/>
      <c r="CQ1176" s="269"/>
      <c r="CR1176" s="269"/>
      <c r="CS1176" s="269"/>
    </row>
    <row r="1177" spans="1:97" x14ac:dyDescent="0.3">
      <c r="C1177" s="479">
        <f>C1113</f>
        <v>182</v>
      </c>
      <c r="D1177" s="229">
        <f>SUMIF(Input!$D$40:$AB$40,D$1171,$D345:$AB345)</f>
        <v>0</v>
      </c>
      <c r="E1177" s="229">
        <f>SUMIF(Input!$D$40:$AB$40,E$1171,$D345:$AB345)</f>
        <v>0</v>
      </c>
      <c r="F1177" s="229">
        <f>SUMIF(Input!$D$40:$AB$40,F$1171,$D345:$AB345)</f>
        <v>0</v>
      </c>
      <c r="G1177" s="229">
        <f>SUMIF(Input!$D$40:$AB$40,G$1171,$D345:$AB345)</f>
        <v>0</v>
      </c>
      <c r="H1177" s="229">
        <f>SUMIF(Input!$D$40:$AB$40,H$1171,$D345:$AB345)</f>
        <v>0</v>
      </c>
      <c r="I1177" s="229">
        <f>SUMIF(Input!$D$40:$AB$40,I$1171,$D345:$AB345)</f>
        <v>0</v>
      </c>
      <c r="J1177" s="229">
        <f>SUMIF(Input!$D$40:$AB$40,J$1171,$D345:$AB345)</f>
        <v>0</v>
      </c>
      <c r="K1177" s="229">
        <f>SUMIF(Input!$D$40:$AB$40,K$1171,$D345:$AB345)</f>
        <v>0</v>
      </c>
      <c r="L1177" s="229">
        <f>SUMIF(Input!$D$40:$AB$40,L$1171,$D345:$AB345)</f>
        <v>0</v>
      </c>
      <c r="M1177" s="229">
        <f>SUMIF(Input!$D$40:$AB$40,M$1171,$D345:$AB345)</f>
        <v>0</v>
      </c>
      <c r="N1177" s="229">
        <f>SUMIF(Input!$D$40:$AB$40,N$1171,$D345:$AB345)</f>
        <v>0</v>
      </c>
      <c r="O1177" s="229">
        <f>SUMIF(Input!$D$40:$AB$40,O$1171,$D345:$AB345)</f>
        <v>0</v>
      </c>
      <c r="P1177" s="229">
        <f>SUMIF(Input!$D$40:$AB$40,P$1171,$D345:$AB345)</f>
        <v>0</v>
      </c>
      <c r="Q1177" s="229">
        <f>SUMIF(Input!$D$40:$AB$40,Q$1171,$D345:$AB345)</f>
        <v>0</v>
      </c>
      <c r="R1177" s="229">
        <f>SUMIF(Input!$D$40:$AB$40,R$1171,$D345:$AB345)</f>
        <v>0</v>
      </c>
      <c r="S1177" s="229">
        <f>SUMIF(Input!$D$40:$AB$40,S$1171,$D345:$AB345)</f>
        <v>0</v>
      </c>
      <c r="T1177" s="229">
        <f>SUMIF(Input!$D$40:$AB$40,T$1171,$D345:$AB345)</f>
        <v>0</v>
      </c>
      <c r="U1177" s="229">
        <f>SUMIF(Input!$D$40:$AB$40,U$1171,$D345:$AB345)</f>
        <v>0</v>
      </c>
      <c r="V1177" s="229">
        <f>SUMIF(Input!$D$40:$AB$40,V$1171,$D345:$AB345)</f>
        <v>0</v>
      </c>
      <c r="W1177" s="229">
        <f>SUMIF(Input!$D$40:$AB$40,W$1171,$D345:$AB345)</f>
        <v>0</v>
      </c>
      <c r="X1177" s="229">
        <f>SUMIF(Input!$D$40:$AB$40,X$1171,$D345:$AB345)</f>
        <v>0</v>
      </c>
      <c r="Y1177" s="229">
        <f>SUMIF(Input!$D$40:$AB$40,Y$1171,$D345:$AB345)</f>
        <v>0</v>
      </c>
      <c r="Z1177" s="229">
        <f>SUMIF(Input!$D$40:$AB$40,Z$1171,$D345:$AB345)</f>
        <v>0</v>
      </c>
      <c r="AA1177" s="229">
        <f>SUMIF(Input!$D$40:$AB$40,AA$1171,$D345:$AB345)</f>
        <v>0</v>
      </c>
      <c r="AB1177" s="229">
        <f>SUMIF(Input!$D$40:$AB$40,AB$1171,$D345:$AB345)</f>
        <v>0</v>
      </c>
      <c r="CH1177" s="269"/>
      <c r="CI1177" s="269"/>
      <c r="CJ1177" s="269"/>
      <c r="CK1177" s="269"/>
      <c r="CL1177" s="269"/>
      <c r="CM1177" s="269"/>
      <c r="CN1177" s="269"/>
      <c r="CO1177" s="269"/>
      <c r="CP1177" s="269"/>
      <c r="CQ1177" s="269"/>
      <c r="CR1177" s="269"/>
      <c r="CS1177" s="269"/>
    </row>
    <row r="1178" spans="1:97" x14ac:dyDescent="0.3">
      <c r="C1178" s="479">
        <f>C1114</f>
        <v>213</v>
      </c>
      <c r="D1178" s="229">
        <f>SUMIF(Input!$D$40:$AB$40,D$1171,$D346:$AB346)</f>
        <v>0</v>
      </c>
      <c r="E1178" s="229">
        <f>SUMIF(Input!$D$40:$AB$40,E$1171,$D346:$AB346)</f>
        <v>0</v>
      </c>
      <c r="F1178" s="229">
        <f>SUMIF(Input!$D$40:$AB$40,F$1171,$D346:$AB346)</f>
        <v>0</v>
      </c>
      <c r="G1178" s="229">
        <f>SUMIF(Input!$D$40:$AB$40,G$1171,$D346:$AB346)</f>
        <v>0</v>
      </c>
      <c r="H1178" s="229">
        <f>SUMIF(Input!$D$40:$AB$40,H$1171,$D346:$AB346)</f>
        <v>0</v>
      </c>
      <c r="I1178" s="229">
        <f>SUMIF(Input!$D$40:$AB$40,I$1171,$D346:$AB346)</f>
        <v>0</v>
      </c>
      <c r="J1178" s="229">
        <f>SUMIF(Input!$D$40:$AB$40,J$1171,$D346:$AB346)</f>
        <v>0</v>
      </c>
      <c r="K1178" s="229">
        <f>SUMIF(Input!$D$40:$AB$40,K$1171,$D346:$AB346)</f>
        <v>0</v>
      </c>
      <c r="L1178" s="229">
        <f>SUMIF(Input!$D$40:$AB$40,L$1171,$D346:$AB346)</f>
        <v>0</v>
      </c>
      <c r="M1178" s="229">
        <f>SUMIF(Input!$D$40:$AB$40,M$1171,$D346:$AB346)</f>
        <v>0</v>
      </c>
      <c r="N1178" s="229">
        <f>SUMIF(Input!$D$40:$AB$40,N$1171,$D346:$AB346)</f>
        <v>0</v>
      </c>
      <c r="O1178" s="229">
        <f>SUMIF(Input!$D$40:$AB$40,O$1171,$D346:$AB346)</f>
        <v>0</v>
      </c>
      <c r="P1178" s="229">
        <f>SUMIF(Input!$D$40:$AB$40,P$1171,$D346:$AB346)</f>
        <v>0</v>
      </c>
      <c r="Q1178" s="229">
        <f>SUMIF(Input!$D$40:$AB$40,Q$1171,$D346:$AB346)</f>
        <v>0</v>
      </c>
      <c r="R1178" s="229">
        <f>SUMIF(Input!$D$40:$AB$40,R$1171,$D346:$AB346)</f>
        <v>0</v>
      </c>
      <c r="S1178" s="229">
        <f>SUMIF(Input!$D$40:$AB$40,S$1171,$D346:$AB346)</f>
        <v>0</v>
      </c>
      <c r="T1178" s="229">
        <f>SUMIF(Input!$D$40:$AB$40,T$1171,$D346:$AB346)</f>
        <v>0</v>
      </c>
      <c r="U1178" s="229">
        <f>SUMIF(Input!$D$40:$AB$40,U$1171,$D346:$AB346)</f>
        <v>0</v>
      </c>
      <c r="V1178" s="229">
        <f>SUMIF(Input!$D$40:$AB$40,V$1171,$D346:$AB346)</f>
        <v>0</v>
      </c>
      <c r="W1178" s="229">
        <f>SUMIF(Input!$D$40:$AB$40,W$1171,$D346:$AB346)</f>
        <v>0</v>
      </c>
      <c r="X1178" s="229">
        <f>SUMIF(Input!$D$40:$AB$40,X$1171,$D346:$AB346)</f>
        <v>0</v>
      </c>
      <c r="Y1178" s="229">
        <f>SUMIF(Input!$D$40:$AB$40,Y$1171,$D346:$AB346)</f>
        <v>0</v>
      </c>
      <c r="Z1178" s="229">
        <f>SUMIF(Input!$D$40:$AB$40,Z$1171,$D346:$AB346)</f>
        <v>0</v>
      </c>
      <c r="AA1178" s="229">
        <f>SUMIF(Input!$D$40:$AB$40,AA$1171,$D346:$AB346)</f>
        <v>0</v>
      </c>
      <c r="AB1178" s="229">
        <f>SUMIF(Input!$D$40:$AB$40,AB$1171,$D346:$AB346)</f>
        <v>0</v>
      </c>
      <c r="CH1178" s="269"/>
      <c r="CI1178" s="269"/>
      <c r="CJ1178" s="269"/>
      <c r="CK1178" s="269"/>
      <c r="CL1178" s="269"/>
      <c r="CM1178" s="269"/>
      <c r="CN1178" s="269"/>
      <c r="CO1178" s="269"/>
      <c r="CP1178" s="269"/>
      <c r="CQ1178" s="269"/>
      <c r="CR1178" s="269"/>
      <c r="CS1178" s="269"/>
    </row>
    <row r="1179" spans="1:97" x14ac:dyDescent="0.3">
      <c r="C1179" s="479">
        <f>C1115</f>
        <v>244</v>
      </c>
      <c r="D1179" s="229">
        <f>SUMIF(Input!$D$40:$AB$40,D$1171,$D347:$AB347)</f>
        <v>0</v>
      </c>
      <c r="E1179" s="229">
        <f>SUMIF(Input!$D$40:$AB$40,E$1171,$D347:$AB347)</f>
        <v>0</v>
      </c>
      <c r="F1179" s="229">
        <f>SUMIF(Input!$D$40:$AB$40,F$1171,$D347:$AB347)</f>
        <v>0</v>
      </c>
      <c r="G1179" s="229">
        <f>SUMIF(Input!$D$40:$AB$40,G$1171,$D347:$AB347)</f>
        <v>0</v>
      </c>
      <c r="H1179" s="229">
        <f>SUMIF(Input!$D$40:$AB$40,H$1171,$D347:$AB347)</f>
        <v>0</v>
      </c>
      <c r="I1179" s="229">
        <f>SUMIF(Input!$D$40:$AB$40,I$1171,$D347:$AB347)</f>
        <v>0</v>
      </c>
      <c r="J1179" s="229">
        <f>SUMIF(Input!$D$40:$AB$40,J$1171,$D347:$AB347)</f>
        <v>0</v>
      </c>
      <c r="K1179" s="229">
        <f>SUMIF(Input!$D$40:$AB$40,K$1171,$D347:$AB347)</f>
        <v>0</v>
      </c>
      <c r="L1179" s="229">
        <f>SUMIF(Input!$D$40:$AB$40,L$1171,$D347:$AB347)</f>
        <v>0</v>
      </c>
      <c r="M1179" s="229">
        <f>SUMIF(Input!$D$40:$AB$40,M$1171,$D347:$AB347)</f>
        <v>0</v>
      </c>
      <c r="N1179" s="229">
        <f>SUMIF(Input!$D$40:$AB$40,N$1171,$D347:$AB347)</f>
        <v>0</v>
      </c>
      <c r="O1179" s="229">
        <f>SUMIF(Input!$D$40:$AB$40,O$1171,$D347:$AB347)</f>
        <v>0</v>
      </c>
      <c r="P1179" s="229">
        <f>SUMIF(Input!$D$40:$AB$40,P$1171,$D347:$AB347)</f>
        <v>0</v>
      </c>
      <c r="Q1179" s="229">
        <f>SUMIF(Input!$D$40:$AB$40,Q$1171,$D347:$AB347)</f>
        <v>0</v>
      </c>
      <c r="R1179" s="229">
        <f>SUMIF(Input!$D$40:$AB$40,R$1171,$D347:$AB347)</f>
        <v>0</v>
      </c>
      <c r="S1179" s="229">
        <f>SUMIF(Input!$D$40:$AB$40,S$1171,$D347:$AB347)</f>
        <v>0</v>
      </c>
      <c r="T1179" s="229">
        <f>SUMIF(Input!$D$40:$AB$40,T$1171,$D347:$AB347)</f>
        <v>0</v>
      </c>
      <c r="U1179" s="229">
        <f>SUMIF(Input!$D$40:$AB$40,U$1171,$D347:$AB347)</f>
        <v>0</v>
      </c>
      <c r="V1179" s="229">
        <f>SUMIF(Input!$D$40:$AB$40,V$1171,$D347:$AB347)</f>
        <v>0</v>
      </c>
      <c r="W1179" s="229">
        <f>SUMIF(Input!$D$40:$AB$40,W$1171,$D347:$AB347)</f>
        <v>0</v>
      </c>
      <c r="X1179" s="229">
        <f>SUMIF(Input!$D$40:$AB$40,X$1171,$D347:$AB347)</f>
        <v>0</v>
      </c>
      <c r="Y1179" s="229">
        <f>SUMIF(Input!$D$40:$AB$40,Y$1171,$D347:$AB347)</f>
        <v>0</v>
      </c>
      <c r="Z1179" s="229">
        <f>SUMIF(Input!$D$40:$AB$40,Z$1171,$D347:$AB347)</f>
        <v>0</v>
      </c>
      <c r="AA1179" s="229">
        <f>SUMIF(Input!$D$40:$AB$40,AA$1171,$D347:$AB347)</f>
        <v>0</v>
      </c>
      <c r="AB1179" s="229">
        <f>SUMIF(Input!$D$40:$AB$40,AB$1171,$D347:$AB347)</f>
        <v>0</v>
      </c>
      <c r="CH1179" s="269"/>
      <c r="CI1179" s="269"/>
      <c r="CJ1179" s="269"/>
      <c r="CK1179" s="269"/>
      <c r="CL1179" s="269"/>
      <c r="CM1179" s="269"/>
      <c r="CN1179" s="269"/>
      <c r="CO1179" s="269"/>
      <c r="CP1179" s="269"/>
      <c r="CQ1179" s="269"/>
      <c r="CR1179" s="269"/>
      <c r="CS1179" s="269"/>
    </row>
    <row r="1180" spans="1:97" x14ac:dyDescent="0.3">
      <c r="C1180" s="479">
        <f>C1116</f>
        <v>274</v>
      </c>
      <c r="D1180" s="229">
        <f>SUMIF(Input!$D$40:$AB$40,D$1171,$D348:$AB348)</f>
        <v>0</v>
      </c>
      <c r="E1180" s="229">
        <f>SUMIF(Input!$D$40:$AB$40,E$1171,$D348:$AB348)</f>
        <v>0</v>
      </c>
      <c r="F1180" s="229">
        <f>SUMIF(Input!$D$40:$AB$40,F$1171,$D348:$AB348)</f>
        <v>0</v>
      </c>
      <c r="G1180" s="229">
        <f>SUMIF(Input!$D$40:$AB$40,G$1171,$D348:$AB348)</f>
        <v>0</v>
      </c>
      <c r="H1180" s="229">
        <f>SUMIF(Input!$D$40:$AB$40,H$1171,$D348:$AB348)</f>
        <v>0</v>
      </c>
      <c r="I1180" s="229">
        <f>SUMIF(Input!$D$40:$AB$40,I$1171,$D348:$AB348)</f>
        <v>0</v>
      </c>
      <c r="J1180" s="229">
        <f>SUMIF(Input!$D$40:$AB$40,J$1171,$D348:$AB348)</f>
        <v>0</v>
      </c>
      <c r="K1180" s="229">
        <f>SUMIF(Input!$D$40:$AB$40,K$1171,$D348:$AB348)</f>
        <v>0</v>
      </c>
      <c r="L1180" s="229">
        <f>SUMIF(Input!$D$40:$AB$40,L$1171,$D348:$AB348)</f>
        <v>0</v>
      </c>
      <c r="M1180" s="229">
        <f>SUMIF(Input!$D$40:$AB$40,M$1171,$D348:$AB348)</f>
        <v>0</v>
      </c>
      <c r="N1180" s="229">
        <f>SUMIF(Input!$D$40:$AB$40,N$1171,$D348:$AB348)</f>
        <v>0</v>
      </c>
      <c r="O1180" s="229">
        <f>SUMIF(Input!$D$40:$AB$40,O$1171,$D348:$AB348)</f>
        <v>0</v>
      </c>
      <c r="P1180" s="229">
        <f>SUMIF(Input!$D$40:$AB$40,P$1171,$D348:$AB348)</f>
        <v>0</v>
      </c>
      <c r="Q1180" s="229">
        <f>SUMIF(Input!$D$40:$AB$40,Q$1171,$D348:$AB348)</f>
        <v>0</v>
      </c>
      <c r="R1180" s="229">
        <f>SUMIF(Input!$D$40:$AB$40,R$1171,$D348:$AB348)</f>
        <v>0</v>
      </c>
      <c r="S1180" s="229">
        <f>SUMIF(Input!$D$40:$AB$40,S$1171,$D348:$AB348)</f>
        <v>0</v>
      </c>
      <c r="T1180" s="229">
        <f>SUMIF(Input!$D$40:$AB$40,T$1171,$D348:$AB348)</f>
        <v>0</v>
      </c>
      <c r="U1180" s="229">
        <f>SUMIF(Input!$D$40:$AB$40,U$1171,$D348:$AB348)</f>
        <v>0</v>
      </c>
      <c r="V1180" s="229">
        <f>SUMIF(Input!$D$40:$AB$40,V$1171,$D348:$AB348)</f>
        <v>0</v>
      </c>
      <c r="W1180" s="229">
        <f>SUMIF(Input!$D$40:$AB$40,W$1171,$D348:$AB348)</f>
        <v>0</v>
      </c>
      <c r="X1180" s="229">
        <f>SUMIF(Input!$D$40:$AB$40,X$1171,$D348:$AB348)</f>
        <v>0</v>
      </c>
      <c r="Y1180" s="229">
        <f>SUMIF(Input!$D$40:$AB$40,Y$1171,$D348:$AB348)</f>
        <v>0</v>
      </c>
      <c r="Z1180" s="229">
        <f>SUMIF(Input!$D$40:$AB$40,Z$1171,$D348:$AB348)</f>
        <v>0</v>
      </c>
      <c r="AA1180" s="229">
        <f>SUMIF(Input!$D$40:$AB$40,AA$1171,$D348:$AB348)</f>
        <v>0</v>
      </c>
      <c r="AB1180" s="229">
        <f>SUMIF(Input!$D$40:$AB$40,AB$1171,$D348:$AB348)</f>
        <v>0</v>
      </c>
      <c r="CH1180" s="269"/>
      <c r="CI1180" s="269"/>
      <c r="CJ1180" s="269"/>
      <c r="CK1180" s="269"/>
      <c r="CL1180" s="269"/>
      <c r="CM1180" s="269"/>
      <c r="CN1180" s="269"/>
      <c r="CO1180" s="269"/>
      <c r="CP1180" s="269"/>
      <c r="CQ1180" s="269"/>
      <c r="CR1180" s="269"/>
      <c r="CS1180" s="269"/>
    </row>
    <row r="1181" spans="1:97" x14ac:dyDescent="0.3">
      <c r="C1181" s="479">
        <f>C1117</f>
        <v>305</v>
      </c>
      <c r="D1181" s="229">
        <f>SUMIF(Input!$D$40:$AB$40,D$1171,$D349:$AB349)</f>
        <v>0</v>
      </c>
      <c r="E1181" s="229">
        <f>SUMIF(Input!$D$40:$AB$40,E$1171,$D349:$AB349)</f>
        <v>0</v>
      </c>
      <c r="F1181" s="229">
        <f>SUMIF(Input!$D$40:$AB$40,F$1171,$D349:$AB349)</f>
        <v>0</v>
      </c>
      <c r="G1181" s="229">
        <f>SUMIF(Input!$D$40:$AB$40,G$1171,$D349:$AB349)</f>
        <v>0</v>
      </c>
      <c r="H1181" s="229">
        <f>SUMIF(Input!$D$40:$AB$40,H$1171,$D349:$AB349)</f>
        <v>0</v>
      </c>
      <c r="I1181" s="229">
        <f>SUMIF(Input!$D$40:$AB$40,I$1171,$D349:$AB349)</f>
        <v>0</v>
      </c>
      <c r="J1181" s="229">
        <f>SUMIF(Input!$D$40:$AB$40,J$1171,$D349:$AB349)</f>
        <v>0</v>
      </c>
      <c r="K1181" s="229">
        <f>SUMIF(Input!$D$40:$AB$40,K$1171,$D349:$AB349)</f>
        <v>0</v>
      </c>
      <c r="L1181" s="229">
        <f>SUMIF(Input!$D$40:$AB$40,L$1171,$D349:$AB349)</f>
        <v>0</v>
      </c>
      <c r="M1181" s="229">
        <f>SUMIF(Input!$D$40:$AB$40,M$1171,$D349:$AB349)</f>
        <v>0</v>
      </c>
      <c r="N1181" s="229">
        <f>SUMIF(Input!$D$40:$AB$40,N$1171,$D349:$AB349)</f>
        <v>0</v>
      </c>
      <c r="O1181" s="229">
        <f>SUMIF(Input!$D$40:$AB$40,O$1171,$D349:$AB349)</f>
        <v>0</v>
      </c>
      <c r="P1181" s="229">
        <f>SUMIF(Input!$D$40:$AB$40,P$1171,$D349:$AB349)</f>
        <v>0</v>
      </c>
      <c r="Q1181" s="229">
        <f>SUMIF(Input!$D$40:$AB$40,Q$1171,$D349:$AB349)</f>
        <v>0</v>
      </c>
      <c r="R1181" s="229">
        <f>SUMIF(Input!$D$40:$AB$40,R$1171,$D349:$AB349)</f>
        <v>0</v>
      </c>
      <c r="S1181" s="229">
        <f>SUMIF(Input!$D$40:$AB$40,S$1171,$D349:$AB349)</f>
        <v>0</v>
      </c>
      <c r="T1181" s="229">
        <f>SUMIF(Input!$D$40:$AB$40,T$1171,$D349:$AB349)</f>
        <v>0</v>
      </c>
      <c r="U1181" s="229">
        <f>SUMIF(Input!$D$40:$AB$40,U$1171,$D349:$AB349)</f>
        <v>0</v>
      </c>
      <c r="V1181" s="229">
        <f>SUMIF(Input!$D$40:$AB$40,V$1171,$D349:$AB349)</f>
        <v>0</v>
      </c>
      <c r="W1181" s="229">
        <f>SUMIF(Input!$D$40:$AB$40,W$1171,$D349:$AB349)</f>
        <v>0</v>
      </c>
      <c r="X1181" s="229">
        <f>SUMIF(Input!$D$40:$AB$40,X$1171,$D349:$AB349)</f>
        <v>0</v>
      </c>
      <c r="Y1181" s="229">
        <f>SUMIF(Input!$D$40:$AB$40,Y$1171,$D349:$AB349)</f>
        <v>0</v>
      </c>
      <c r="Z1181" s="229">
        <f>SUMIF(Input!$D$40:$AB$40,Z$1171,$D349:$AB349)</f>
        <v>0</v>
      </c>
      <c r="AA1181" s="229">
        <f>SUMIF(Input!$D$40:$AB$40,AA$1171,$D349:$AB349)</f>
        <v>0</v>
      </c>
      <c r="AB1181" s="229">
        <f>SUMIF(Input!$D$40:$AB$40,AB$1171,$D349:$AB349)</f>
        <v>0</v>
      </c>
      <c r="CH1181" s="269"/>
      <c r="CI1181" s="269"/>
      <c r="CJ1181" s="269"/>
      <c r="CK1181" s="269"/>
      <c r="CL1181" s="269"/>
      <c r="CM1181" s="269"/>
      <c r="CN1181" s="269"/>
      <c r="CO1181" s="269"/>
      <c r="CP1181" s="269"/>
      <c r="CQ1181" s="269"/>
      <c r="CR1181" s="269"/>
      <c r="CS1181" s="269"/>
    </row>
    <row r="1182" spans="1:97" x14ac:dyDescent="0.3">
      <c r="C1182" s="479">
        <f>C1118</f>
        <v>335</v>
      </c>
      <c r="D1182" s="229">
        <f>SUMIF(Input!$D$40:$AB$40,D$1171,$D350:$AB350)</f>
        <v>0</v>
      </c>
      <c r="E1182" s="229">
        <f>SUMIF(Input!$D$40:$AB$40,E$1171,$D350:$AB350)</f>
        <v>0</v>
      </c>
      <c r="F1182" s="229">
        <f>SUMIF(Input!$D$40:$AB$40,F$1171,$D350:$AB350)</f>
        <v>0</v>
      </c>
      <c r="G1182" s="229">
        <f>SUMIF(Input!$D$40:$AB$40,G$1171,$D350:$AB350)</f>
        <v>0</v>
      </c>
      <c r="H1182" s="229">
        <f>SUMIF(Input!$D$40:$AB$40,H$1171,$D350:$AB350)</f>
        <v>0</v>
      </c>
      <c r="I1182" s="229">
        <f>SUMIF(Input!$D$40:$AB$40,I$1171,$D350:$AB350)</f>
        <v>0</v>
      </c>
      <c r="J1182" s="229">
        <f>SUMIF(Input!$D$40:$AB$40,J$1171,$D350:$AB350)</f>
        <v>0</v>
      </c>
      <c r="K1182" s="229">
        <f>SUMIF(Input!$D$40:$AB$40,K$1171,$D350:$AB350)</f>
        <v>0</v>
      </c>
      <c r="L1182" s="229">
        <f>SUMIF(Input!$D$40:$AB$40,L$1171,$D350:$AB350)</f>
        <v>0</v>
      </c>
      <c r="M1182" s="229">
        <f>SUMIF(Input!$D$40:$AB$40,M$1171,$D350:$AB350)</f>
        <v>0</v>
      </c>
      <c r="N1182" s="229">
        <f>SUMIF(Input!$D$40:$AB$40,N$1171,$D350:$AB350)</f>
        <v>0</v>
      </c>
      <c r="O1182" s="229">
        <f>SUMIF(Input!$D$40:$AB$40,O$1171,$D350:$AB350)</f>
        <v>0</v>
      </c>
      <c r="P1182" s="229">
        <f>SUMIF(Input!$D$40:$AB$40,P$1171,$D350:$AB350)</f>
        <v>0</v>
      </c>
      <c r="Q1182" s="229">
        <f>SUMIF(Input!$D$40:$AB$40,Q$1171,$D350:$AB350)</f>
        <v>0</v>
      </c>
      <c r="R1182" s="229">
        <f>SUMIF(Input!$D$40:$AB$40,R$1171,$D350:$AB350)</f>
        <v>0</v>
      </c>
      <c r="S1182" s="229">
        <f>SUMIF(Input!$D$40:$AB$40,S$1171,$D350:$AB350)</f>
        <v>0</v>
      </c>
      <c r="T1182" s="229">
        <f>SUMIF(Input!$D$40:$AB$40,T$1171,$D350:$AB350)</f>
        <v>0</v>
      </c>
      <c r="U1182" s="229">
        <f>SUMIF(Input!$D$40:$AB$40,U$1171,$D350:$AB350)</f>
        <v>0</v>
      </c>
      <c r="V1182" s="229">
        <f>SUMIF(Input!$D$40:$AB$40,V$1171,$D350:$AB350)</f>
        <v>0</v>
      </c>
      <c r="W1182" s="229">
        <f>SUMIF(Input!$D$40:$AB$40,W$1171,$D350:$AB350)</f>
        <v>0</v>
      </c>
      <c r="X1182" s="229">
        <f>SUMIF(Input!$D$40:$AB$40,X$1171,$D350:$AB350)</f>
        <v>0</v>
      </c>
      <c r="Y1182" s="229">
        <f>SUMIF(Input!$D$40:$AB$40,Y$1171,$D350:$AB350)</f>
        <v>0</v>
      </c>
      <c r="Z1182" s="229">
        <f>SUMIF(Input!$D$40:$AB$40,Z$1171,$D350:$AB350)</f>
        <v>0</v>
      </c>
      <c r="AA1182" s="229">
        <f>SUMIF(Input!$D$40:$AB$40,AA$1171,$D350:$AB350)</f>
        <v>0</v>
      </c>
      <c r="AB1182" s="229">
        <f>SUMIF(Input!$D$40:$AB$40,AB$1171,$D350:$AB350)</f>
        <v>0</v>
      </c>
      <c r="CH1182" s="269"/>
      <c r="CI1182" s="269"/>
      <c r="CJ1182" s="269"/>
      <c r="CK1182" s="269"/>
      <c r="CL1182" s="269"/>
      <c r="CM1182" s="269"/>
      <c r="CN1182" s="269"/>
      <c r="CO1182" s="269"/>
      <c r="CP1182" s="269"/>
      <c r="CQ1182" s="269"/>
      <c r="CR1182" s="269"/>
      <c r="CS1182" s="269"/>
    </row>
    <row r="1183" spans="1:97" ht="12.5" thickBot="1" x14ac:dyDescent="0.35">
      <c r="C1183" s="480">
        <f>C1119</f>
        <v>366</v>
      </c>
      <c r="D1183" s="230">
        <f>SUMIF(Input!$D$40:$AB$40,D$1171,$D351:$AB351)</f>
        <v>0</v>
      </c>
      <c r="E1183" s="230">
        <f>SUMIF(Input!$D$40:$AB$40,E$1171,$D351:$AB351)</f>
        <v>0</v>
      </c>
      <c r="F1183" s="230">
        <f>SUMIF(Input!$D$40:$AB$40,F$1171,$D351:$AB351)</f>
        <v>0</v>
      </c>
      <c r="G1183" s="230">
        <f>SUMIF(Input!$D$40:$AB$40,G$1171,$D351:$AB351)</f>
        <v>0</v>
      </c>
      <c r="H1183" s="230">
        <f>SUMIF(Input!$D$40:$AB$40,H$1171,$D351:$AB351)</f>
        <v>0</v>
      </c>
      <c r="I1183" s="230">
        <f>SUMIF(Input!$D$40:$AB$40,I$1171,$D351:$AB351)</f>
        <v>0</v>
      </c>
      <c r="J1183" s="230">
        <f>SUMIF(Input!$D$40:$AB$40,J$1171,$D351:$AB351)</f>
        <v>0</v>
      </c>
      <c r="K1183" s="230">
        <f>SUMIF(Input!$D$40:$AB$40,K$1171,$D351:$AB351)</f>
        <v>0</v>
      </c>
      <c r="L1183" s="230">
        <f>SUMIF(Input!$D$40:$AB$40,L$1171,$D351:$AB351)</f>
        <v>0</v>
      </c>
      <c r="M1183" s="230">
        <f>SUMIF(Input!$D$40:$AB$40,M$1171,$D351:$AB351)</f>
        <v>0</v>
      </c>
      <c r="N1183" s="230">
        <f>SUMIF(Input!$D$40:$AB$40,N$1171,$D351:$AB351)</f>
        <v>0</v>
      </c>
      <c r="O1183" s="230">
        <f>SUMIF(Input!$D$40:$AB$40,O$1171,$D351:$AB351)</f>
        <v>0</v>
      </c>
      <c r="P1183" s="230">
        <f>SUMIF(Input!$D$40:$AB$40,P$1171,$D351:$AB351)</f>
        <v>0</v>
      </c>
      <c r="Q1183" s="230">
        <f>SUMIF(Input!$D$40:$AB$40,Q$1171,$D351:$AB351)</f>
        <v>0</v>
      </c>
      <c r="R1183" s="230">
        <f>SUMIF(Input!$D$40:$AB$40,R$1171,$D351:$AB351)</f>
        <v>0</v>
      </c>
      <c r="S1183" s="230">
        <f>SUMIF(Input!$D$40:$AB$40,S$1171,$D351:$AB351)</f>
        <v>0</v>
      </c>
      <c r="T1183" s="230">
        <f>SUMIF(Input!$D$40:$AB$40,T$1171,$D351:$AB351)</f>
        <v>0</v>
      </c>
      <c r="U1183" s="230">
        <f>SUMIF(Input!$D$40:$AB$40,U$1171,$D351:$AB351)</f>
        <v>0</v>
      </c>
      <c r="V1183" s="230">
        <f>SUMIF(Input!$D$40:$AB$40,V$1171,$D351:$AB351)</f>
        <v>0</v>
      </c>
      <c r="W1183" s="230">
        <f>SUMIF(Input!$D$40:$AB$40,W$1171,$D351:$AB351)</f>
        <v>0</v>
      </c>
      <c r="X1183" s="230">
        <f>SUMIF(Input!$D$40:$AB$40,X$1171,$D351:$AB351)</f>
        <v>0</v>
      </c>
      <c r="Y1183" s="230">
        <f>SUMIF(Input!$D$40:$AB$40,Y$1171,$D351:$AB351)</f>
        <v>0</v>
      </c>
      <c r="Z1183" s="230">
        <f>SUMIF(Input!$D$40:$AB$40,Z$1171,$D351:$AB351)</f>
        <v>0</v>
      </c>
      <c r="AA1183" s="230">
        <f>SUMIF(Input!$D$40:$AB$40,AA$1171,$D351:$AB351)</f>
        <v>0</v>
      </c>
      <c r="AB1183" s="230">
        <f>SUMIF(Input!$D$40:$AB$40,AB$1171,$D351:$AB351)</f>
        <v>0</v>
      </c>
      <c r="CH1183" s="269"/>
      <c r="CI1183" s="269"/>
      <c r="CJ1183" s="269"/>
      <c r="CK1183" s="269"/>
      <c r="CL1183" s="269"/>
      <c r="CM1183" s="269"/>
      <c r="CN1183" s="269"/>
      <c r="CO1183" s="269"/>
      <c r="CP1183" s="269"/>
      <c r="CQ1183" s="269"/>
      <c r="CR1183" s="269"/>
      <c r="CS1183" s="269"/>
    </row>
    <row r="1184" spans="1:97" x14ac:dyDescent="0.3">
      <c r="C1184" s="479">
        <f>C1120</f>
        <v>397</v>
      </c>
      <c r="D1184" s="231">
        <f>SUMIF(Input!$D$40:$AB$40,D$1171,$D352:$AB352)</f>
        <v>0</v>
      </c>
      <c r="E1184" s="231">
        <f>SUMIF(Input!$D$40:$AB$40,E$1171,$D352:$AB352)</f>
        <v>0</v>
      </c>
      <c r="F1184" s="231">
        <f>SUMIF(Input!$D$40:$AB$40,F$1171,$D352:$AB352)</f>
        <v>0</v>
      </c>
      <c r="G1184" s="231">
        <f>SUMIF(Input!$D$40:$AB$40,G$1171,$D352:$AB352)</f>
        <v>0</v>
      </c>
      <c r="H1184" s="231">
        <f>SUMIF(Input!$D$40:$AB$40,H$1171,$D352:$AB352)</f>
        <v>0</v>
      </c>
      <c r="I1184" s="231">
        <f>SUMIF(Input!$D$40:$AB$40,I$1171,$D352:$AB352)</f>
        <v>0</v>
      </c>
      <c r="J1184" s="231">
        <f>SUMIF(Input!$D$40:$AB$40,J$1171,$D352:$AB352)</f>
        <v>0</v>
      </c>
      <c r="K1184" s="231">
        <f>SUMIF(Input!$D$40:$AB$40,K$1171,$D352:$AB352)</f>
        <v>0</v>
      </c>
      <c r="L1184" s="231">
        <f>SUMIF(Input!$D$40:$AB$40,L$1171,$D352:$AB352)</f>
        <v>0</v>
      </c>
      <c r="M1184" s="231">
        <f>SUMIF(Input!$D$40:$AB$40,M$1171,$D352:$AB352)</f>
        <v>0</v>
      </c>
      <c r="N1184" s="231">
        <f>SUMIF(Input!$D$40:$AB$40,N$1171,$D352:$AB352)</f>
        <v>0</v>
      </c>
      <c r="O1184" s="231">
        <f>SUMIF(Input!$D$40:$AB$40,O$1171,$D352:$AB352)</f>
        <v>0</v>
      </c>
      <c r="P1184" s="231">
        <f>SUMIF(Input!$D$40:$AB$40,P$1171,$D352:$AB352)</f>
        <v>0</v>
      </c>
      <c r="Q1184" s="231">
        <f>SUMIF(Input!$D$40:$AB$40,Q$1171,$D352:$AB352)</f>
        <v>0</v>
      </c>
      <c r="R1184" s="231">
        <f>SUMIF(Input!$D$40:$AB$40,R$1171,$D352:$AB352)</f>
        <v>0</v>
      </c>
      <c r="S1184" s="231">
        <f>SUMIF(Input!$D$40:$AB$40,S$1171,$D352:$AB352)</f>
        <v>0</v>
      </c>
      <c r="T1184" s="231">
        <f>SUMIF(Input!$D$40:$AB$40,T$1171,$D352:$AB352)</f>
        <v>0</v>
      </c>
      <c r="U1184" s="231">
        <f>SUMIF(Input!$D$40:$AB$40,U$1171,$D352:$AB352)</f>
        <v>0</v>
      </c>
      <c r="V1184" s="231">
        <f>SUMIF(Input!$D$40:$AB$40,V$1171,$D352:$AB352)</f>
        <v>0</v>
      </c>
      <c r="W1184" s="231">
        <f>SUMIF(Input!$D$40:$AB$40,W$1171,$D352:$AB352)</f>
        <v>0</v>
      </c>
      <c r="X1184" s="231">
        <f>SUMIF(Input!$D$40:$AB$40,X$1171,$D352:$AB352)</f>
        <v>0</v>
      </c>
      <c r="Y1184" s="231">
        <f>SUMIF(Input!$D$40:$AB$40,Y$1171,$D352:$AB352)</f>
        <v>0</v>
      </c>
      <c r="Z1184" s="231">
        <f>SUMIF(Input!$D$40:$AB$40,Z$1171,$D352:$AB352)</f>
        <v>0</v>
      </c>
      <c r="AA1184" s="231">
        <f>SUMIF(Input!$D$40:$AB$40,AA$1171,$D352:$AB352)</f>
        <v>0</v>
      </c>
      <c r="AB1184" s="231">
        <f>SUMIF(Input!$D$40:$AB$40,AB$1171,$D352:$AB352)</f>
        <v>0</v>
      </c>
      <c r="CH1184" s="269"/>
      <c r="CI1184" s="269"/>
      <c r="CJ1184" s="269"/>
      <c r="CK1184" s="269"/>
      <c r="CL1184" s="269"/>
      <c r="CM1184" s="269"/>
      <c r="CN1184" s="269"/>
      <c r="CO1184" s="269"/>
      <c r="CP1184" s="269"/>
      <c r="CQ1184" s="269"/>
      <c r="CR1184" s="269"/>
      <c r="CS1184" s="269"/>
    </row>
    <row r="1185" spans="3:97" x14ac:dyDescent="0.3">
      <c r="C1185" s="479">
        <f>C1121</f>
        <v>425</v>
      </c>
      <c r="D1185" s="229">
        <f>SUMIF(Input!$D$40:$AB$40,D$1171,$D353:$AB353)</f>
        <v>0</v>
      </c>
      <c r="E1185" s="229">
        <f>SUMIF(Input!$D$40:$AB$40,E$1171,$D353:$AB353)</f>
        <v>0</v>
      </c>
      <c r="F1185" s="229">
        <f>SUMIF(Input!$D$40:$AB$40,F$1171,$D353:$AB353)</f>
        <v>0</v>
      </c>
      <c r="G1185" s="229">
        <f>SUMIF(Input!$D$40:$AB$40,G$1171,$D353:$AB353)</f>
        <v>0</v>
      </c>
      <c r="H1185" s="229">
        <f>SUMIF(Input!$D$40:$AB$40,H$1171,$D353:$AB353)</f>
        <v>0</v>
      </c>
      <c r="I1185" s="229">
        <f>SUMIF(Input!$D$40:$AB$40,I$1171,$D353:$AB353)</f>
        <v>0</v>
      </c>
      <c r="J1185" s="229">
        <f>SUMIF(Input!$D$40:$AB$40,J$1171,$D353:$AB353)</f>
        <v>0</v>
      </c>
      <c r="K1185" s="229">
        <f>SUMIF(Input!$D$40:$AB$40,K$1171,$D353:$AB353)</f>
        <v>0</v>
      </c>
      <c r="L1185" s="229">
        <f>SUMIF(Input!$D$40:$AB$40,L$1171,$D353:$AB353)</f>
        <v>0</v>
      </c>
      <c r="M1185" s="229">
        <f>SUMIF(Input!$D$40:$AB$40,M$1171,$D353:$AB353)</f>
        <v>0</v>
      </c>
      <c r="N1185" s="229">
        <f>SUMIF(Input!$D$40:$AB$40,N$1171,$D353:$AB353)</f>
        <v>0</v>
      </c>
      <c r="O1185" s="229">
        <f>SUMIF(Input!$D$40:$AB$40,O$1171,$D353:$AB353)</f>
        <v>0</v>
      </c>
      <c r="P1185" s="229">
        <f>SUMIF(Input!$D$40:$AB$40,P$1171,$D353:$AB353)</f>
        <v>0</v>
      </c>
      <c r="Q1185" s="229">
        <f>SUMIF(Input!$D$40:$AB$40,Q$1171,$D353:$AB353)</f>
        <v>0</v>
      </c>
      <c r="R1185" s="229">
        <f>SUMIF(Input!$D$40:$AB$40,R$1171,$D353:$AB353)</f>
        <v>0</v>
      </c>
      <c r="S1185" s="229">
        <f>SUMIF(Input!$D$40:$AB$40,S$1171,$D353:$AB353)</f>
        <v>0</v>
      </c>
      <c r="T1185" s="229">
        <f>SUMIF(Input!$D$40:$AB$40,T$1171,$D353:$AB353)</f>
        <v>0</v>
      </c>
      <c r="U1185" s="229">
        <f>SUMIF(Input!$D$40:$AB$40,U$1171,$D353:$AB353)</f>
        <v>0</v>
      </c>
      <c r="V1185" s="229">
        <f>SUMIF(Input!$D$40:$AB$40,V$1171,$D353:$AB353)</f>
        <v>0</v>
      </c>
      <c r="W1185" s="229">
        <f>SUMIF(Input!$D$40:$AB$40,W$1171,$D353:$AB353)</f>
        <v>0</v>
      </c>
      <c r="X1185" s="229">
        <f>SUMIF(Input!$D$40:$AB$40,X$1171,$D353:$AB353)</f>
        <v>0</v>
      </c>
      <c r="Y1185" s="229">
        <f>SUMIF(Input!$D$40:$AB$40,Y$1171,$D353:$AB353)</f>
        <v>0</v>
      </c>
      <c r="Z1185" s="229">
        <f>SUMIF(Input!$D$40:$AB$40,Z$1171,$D353:$AB353)</f>
        <v>0</v>
      </c>
      <c r="AA1185" s="229">
        <f>SUMIF(Input!$D$40:$AB$40,AA$1171,$D353:$AB353)</f>
        <v>0</v>
      </c>
      <c r="AB1185" s="229">
        <f>SUMIF(Input!$D$40:$AB$40,AB$1171,$D353:$AB353)</f>
        <v>0</v>
      </c>
      <c r="CH1185" s="269"/>
      <c r="CI1185" s="269"/>
      <c r="CJ1185" s="269"/>
      <c r="CK1185" s="269"/>
      <c r="CL1185" s="269"/>
      <c r="CM1185" s="269"/>
      <c r="CN1185" s="269"/>
      <c r="CO1185" s="269"/>
      <c r="CP1185" s="269"/>
      <c r="CQ1185" s="269"/>
      <c r="CR1185" s="269"/>
      <c r="CS1185" s="269"/>
    </row>
    <row r="1186" spans="3:97" x14ac:dyDescent="0.3">
      <c r="C1186" s="479">
        <f>C1122</f>
        <v>456</v>
      </c>
      <c r="D1186" s="229">
        <f>SUMIF(Input!$D$40:$AB$40,D$1171,$D354:$AB354)</f>
        <v>0</v>
      </c>
      <c r="E1186" s="229">
        <f>SUMIF(Input!$D$40:$AB$40,E$1171,$D354:$AB354)</f>
        <v>0</v>
      </c>
      <c r="F1186" s="229">
        <f>SUMIF(Input!$D$40:$AB$40,F$1171,$D354:$AB354)</f>
        <v>0</v>
      </c>
      <c r="G1186" s="229">
        <f>SUMIF(Input!$D$40:$AB$40,G$1171,$D354:$AB354)</f>
        <v>0</v>
      </c>
      <c r="H1186" s="229">
        <f>SUMIF(Input!$D$40:$AB$40,H$1171,$D354:$AB354)</f>
        <v>0</v>
      </c>
      <c r="I1186" s="229">
        <f>SUMIF(Input!$D$40:$AB$40,I$1171,$D354:$AB354)</f>
        <v>0</v>
      </c>
      <c r="J1186" s="229">
        <f>SUMIF(Input!$D$40:$AB$40,J$1171,$D354:$AB354)</f>
        <v>0</v>
      </c>
      <c r="K1186" s="229">
        <f>SUMIF(Input!$D$40:$AB$40,K$1171,$D354:$AB354)</f>
        <v>0</v>
      </c>
      <c r="L1186" s="229">
        <f>SUMIF(Input!$D$40:$AB$40,L$1171,$D354:$AB354)</f>
        <v>0</v>
      </c>
      <c r="M1186" s="229">
        <f>SUMIF(Input!$D$40:$AB$40,M$1171,$D354:$AB354)</f>
        <v>0</v>
      </c>
      <c r="N1186" s="229">
        <f>SUMIF(Input!$D$40:$AB$40,N$1171,$D354:$AB354)</f>
        <v>0</v>
      </c>
      <c r="O1186" s="229">
        <f>SUMIF(Input!$D$40:$AB$40,O$1171,$D354:$AB354)</f>
        <v>0</v>
      </c>
      <c r="P1186" s="229">
        <f>SUMIF(Input!$D$40:$AB$40,P$1171,$D354:$AB354)</f>
        <v>0</v>
      </c>
      <c r="Q1186" s="229">
        <f>SUMIF(Input!$D$40:$AB$40,Q$1171,$D354:$AB354)</f>
        <v>0</v>
      </c>
      <c r="R1186" s="229">
        <f>SUMIF(Input!$D$40:$AB$40,R$1171,$D354:$AB354)</f>
        <v>0</v>
      </c>
      <c r="S1186" s="229">
        <f>SUMIF(Input!$D$40:$AB$40,S$1171,$D354:$AB354)</f>
        <v>0</v>
      </c>
      <c r="T1186" s="229">
        <f>SUMIF(Input!$D$40:$AB$40,T$1171,$D354:$AB354)</f>
        <v>0</v>
      </c>
      <c r="U1186" s="229">
        <f>SUMIF(Input!$D$40:$AB$40,U$1171,$D354:$AB354)</f>
        <v>0</v>
      </c>
      <c r="V1186" s="229">
        <f>SUMIF(Input!$D$40:$AB$40,V$1171,$D354:$AB354)</f>
        <v>0</v>
      </c>
      <c r="W1186" s="229">
        <f>SUMIF(Input!$D$40:$AB$40,W$1171,$D354:$AB354)</f>
        <v>0</v>
      </c>
      <c r="X1186" s="229">
        <f>SUMIF(Input!$D$40:$AB$40,X$1171,$D354:$AB354)</f>
        <v>0</v>
      </c>
      <c r="Y1186" s="229">
        <f>SUMIF(Input!$D$40:$AB$40,Y$1171,$D354:$AB354)</f>
        <v>0</v>
      </c>
      <c r="Z1186" s="229">
        <f>SUMIF(Input!$D$40:$AB$40,Z$1171,$D354:$AB354)</f>
        <v>0</v>
      </c>
      <c r="AA1186" s="229">
        <f>SUMIF(Input!$D$40:$AB$40,AA$1171,$D354:$AB354)</f>
        <v>0</v>
      </c>
      <c r="AB1186" s="229">
        <f>SUMIF(Input!$D$40:$AB$40,AB$1171,$D354:$AB354)</f>
        <v>0</v>
      </c>
    </row>
    <row r="1187" spans="3:97" x14ac:dyDescent="0.3">
      <c r="C1187" s="479">
        <f>C1123</f>
        <v>486</v>
      </c>
      <c r="D1187" s="229">
        <f>SUMIF(Input!$D$40:$AB$40,D$1171,$D355:$AB355)</f>
        <v>0</v>
      </c>
      <c r="E1187" s="229">
        <f>SUMIF(Input!$D$40:$AB$40,E$1171,$D355:$AB355)</f>
        <v>0</v>
      </c>
      <c r="F1187" s="229">
        <f>SUMIF(Input!$D$40:$AB$40,F$1171,$D355:$AB355)</f>
        <v>0</v>
      </c>
      <c r="G1187" s="229">
        <f>SUMIF(Input!$D$40:$AB$40,G$1171,$D355:$AB355)</f>
        <v>0</v>
      </c>
      <c r="H1187" s="229">
        <f>SUMIF(Input!$D$40:$AB$40,H$1171,$D355:$AB355)</f>
        <v>0</v>
      </c>
      <c r="I1187" s="229">
        <f>SUMIF(Input!$D$40:$AB$40,I$1171,$D355:$AB355)</f>
        <v>0</v>
      </c>
      <c r="J1187" s="229">
        <f>SUMIF(Input!$D$40:$AB$40,J$1171,$D355:$AB355)</f>
        <v>0</v>
      </c>
      <c r="K1187" s="229">
        <f>SUMIF(Input!$D$40:$AB$40,K$1171,$D355:$AB355)</f>
        <v>0</v>
      </c>
      <c r="L1187" s="229">
        <f>SUMIF(Input!$D$40:$AB$40,L$1171,$D355:$AB355)</f>
        <v>0</v>
      </c>
      <c r="M1187" s="229">
        <f>SUMIF(Input!$D$40:$AB$40,M$1171,$D355:$AB355)</f>
        <v>0</v>
      </c>
      <c r="N1187" s="229">
        <f>SUMIF(Input!$D$40:$AB$40,N$1171,$D355:$AB355)</f>
        <v>0</v>
      </c>
      <c r="O1187" s="229">
        <f>SUMIF(Input!$D$40:$AB$40,O$1171,$D355:$AB355)</f>
        <v>0</v>
      </c>
      <c r="P1187" s="229">
        <f>SUMIF(Input!$D$40:$AB$40,P$1171,$D355:$AB355)</f>
        <v>0</v>
      </c>
      <c r="Q1187" s="229">
        <f>SUMIF(Input!$D$40:$AB$40,Q$1171,$D355:$AB355)</f>
        <v>0</v>
      </c>
      <c r="R1187" s="229">
        <f>SUMIF(Input!$D$40:$AB$40,R$1171,$D355:$AB355)</f>
        <v>0</v>
      </c>
      <c r="S1187" s="229">
        <f>SUMIF(Input!$D$40:$AB$40,S$1171,$D355:$AB355)</f>
        <v>0</v>
      </c>
      <c r="T1187" s="229">
        <f>SUMIF(Input!$D$40:$AB$40,T$1171,$D355:$AB355)</f>
        <v>0</v>
      </c>
      <c r="U1187" s="229">
        <f>SUMIF(Input!$D$40:$AB$40,U$1171,$D355:$AB355)</f>
        <v>0</v>
      </c>
      <c r="V1187" s="229">
        <f>SUMIF(Input!$D$40:$AB$40,V$1171,$D355:$AB355)</f>
        <v>0</v>
      </c>
      <c r="W1187" s="229">
        <f>SUMIF(Input!$D$40:$AB$40,W$1171,$D355:$AB355)</f>
        <v>0</v>
      </c>
      <c r="X1187" s="229">
        <f>SUMIF(Input!$D$40:$AB$40,X$1171,$D355:$AB355)</f>
        <v>0</v>
      </c>
      <c r="Y1187" s="229">
        <f>SUMIF(Input!$D$40:$AB$40,Y$1171,$D355:$AB355)</f>
        <v>0</v>
      </c>
      <c r="Z1187" s="229">
        <f>SUMIF(Input!$D$40:$AB$40,Z$1171,$D355:$AB355)</f>
        <v>0</v>
      </c>
      <c r="AA1187" s="229">
        <f>SUMIF(Input!$D$40:$AB$40,AA$1171,$D355:$AB355)</f>
        <v>0</v>
      </c>
      <c r="AB1187" s="229">
        <f>SUMIF(Input!$D$40:$AB$40,AB$1171,$D355:$AB355)</f>
        <v>0</v>
      </c>
    </row>
    <row r="1188" spans="3:97" x14ac:dyDescent="0.3">
      <c r="C1188" s="479">
        <f>C1124</f>
        <v>517</v>
      </c>
      <c r="D1188" s="229">
        <f>SUMIF(Input!$D$40:$AB$40,D$1171,$D356:$AB356)</f>
        <v>0</v>
      </c>
      <c r="E1188" s="229">
        <f>SUMIF(Input!$D$40:$AB$40,E$1171,$D356:$AB356)</f>
        <v>0</v>
      </c>
      <c r="F1188" s="229">
        <f>SUMIF(Input!$D$40:$AB$40,F$1171,$D356:$AB356)</f>
        <v>0</v>
      </c>
      <c r="G1188" s="229">
        <f>SUMIF(Input!$D$40:$AB$40,G$1171,$D356:$AB356)</f>
        <v>0</v>
      </c>
      <c r="H1188" s="229">
        <f>SUMIF(Input!$D$40:$AB$40,H$1171,$D356:$AB356)</f>
        <v>0</v>
      </c>
      <c r="I1188" s="229">
        <f>SUMIF(Input!$D$40:$AB$40,I$1171,$D356:$AB356)</f>
        <v>0</v>
      </c>
      <c r="J1188" s="229">
        <f>SUMIF(Input!$D$40:$AB$40,J$1171,$D356:$AB356)</f>
        <v>0</v>
      </c>
      <c r="K1188" s="229">
        <f>SUMIF(Input!$D$40:$AB$40,K$1171,$D356:$AB356)</f>
        <v>0</v>
      </c>
      <c r="L1188" s="229">
        <f>SUMIF(Input!$D$40:$AB$40,L$1171,$D356:$AB356)</f>
        <v>0</v>
      </c>
      <c r="M1188" s="229">
        <f>SUMIF(Input!$D$40:$AB$40,M$1171,$D356:$AB356)</f>
        <v>0</v>
      </c>
      <c r="N1188" s="229">
        <f>SUMIF(Input!$D$40:$AB$40,N$1171,$D356:$AB356)</f>
        <v>0</v>
      </c>
      <c r="O1188" s="229">
        <f>SUMIF(Input!$D$40:$AB$40,O$1171,$D356:$AB356)</f>
        <v>0</v>
      </c>
      <c r="P1188" s="229">
        <f>SUMIF(Input!$D$40:$AB$40,P$1171,$D356:$AB356)</f>
        <v>0</v>
      </c>
      <c r="Q1188" s="229">
        <f>SUMIF(Input!$D$40:$AB$40,Q$1171,$D356:$AB356)</f>
        <v>0</v>
      </c>
      <c r="R1188" s="229">
        <f>SUMIF(Input!$D$40:$AB$40,R$1171,$D356:$AB356)</f>
        <v>0</v>
      </c>
      <c r="S1188" s="229">
        <f>SUMIF(Input!$D$40:$AB$40,S$1171,$D356:$AB356)</f>
        <v>0</v>
      </c>
      <c r="T1188" s="229">
        <f>SUMIF(Input!$D$40:$AB$40,T$1171,$D356:$AB356)</f>
        <v>0</v>
      </c>
      <c r="U1188" s="229">
        <f>SUMIF(Input!$D$40:$AB$40,U$1171,$D356:$AB356)</f>
        <v>0</v>
      </c>
      <c r="V1188" s="229">
        <f>SUMIF(Input!$D$40:$AB$40,V$1171,$D356:$AB356)</f>
        <v>0</v>
      </c>
      <c r="W1188" s="229">
        <f>SUMIF(Input!$D$40:$AB$40,W$1171,$D356:$AB356)</f>
        <v>0</v>
      </c>
      <c r="X1188" s="229">
        <f>SUMIF(Input!$D$40:$AB$40,X$1171,$D356:$AB356)</f>
        <v>0</v>
      </c>
      <c r="Y1188" s="229">
        <f>SUMIF(Input!$D$40:$AB$40,Y$1171,$D356:$AB356)</f>
        <v>0</v>
      </c>
      <c r="Z1188" s="229">
        <f>SUMIF(Input!$D$40:$AB$40,Z$1171,$D356:$AB356)</f>
        <v>0</v>
      </c>
      <c r="AA1188" s="229">
        <f>SUMIF(Input!$D$40:$AB$40,AA$1171,$D356:$AB356)</f>
        <v>0</v>
      </c>
      <c r="AB1188" s="229">
        <f>SUMIF(Input!$D$40:$AB$40,AB$1171,$D356:$AB356)</f>
        <v>0</v>
      </c>
    </row>
    <row r="1189" spans="3:97" x14ac:dyDescent="0.3">
      <c r="C1189" s="479">
        <f>C1125</f>
        <v>547</v>
      </c>
      <c r="D1189" s="229">
        <f>SUMIF(Input!$D$40:$AB$40,D$1171,$D357:$AB357)</f>
        <v>0</v>
      </c>
      <c r="E1189" s="229">
        <f>SUMIF(Input!$D$40:$AB$40,E$1171,$D357:$AB357)</f>
        <v>0</v>
      </c>
      <c r="F1189" s="229">
        <f>SUMIF(Input!$D$40:$AB$40,F$1171,$D357:$AB357)</f>
        <v>0</v>
      </c>
      <c r="G1189" s="229">
        <f>SUMIF(Input!$D$40:$AB$40,G$1171,$D357:$AB357)</f>
        <v>0</v>
      </c>
      <c r="H1189" s="229">
        <f>SUMIF(Input!$D$40:$AB$40,H$1171,$D357:$AB357)</f>
        <v>0</v>
      </c>
      <c r="I1189" s="229">
        <f>SUMIF(Input!$D$40:$AB$40,I$1171,$D357:$AB357)</f>
        <v>0</v>
      </c>
      <c r="J1189" s="229">
        <f>SUMIF(Input!$D$40:$AB$40,J$1171,$D357:$AB357)</f>
        <v>0</v>
      </c>
      <c r="K1189" s="229">
        <f>SUMIF(Input!$D$40:$AB$40,K$1171,$D357:$AB357)</f>
        <v>0</v>
      </c>
      <c r="L1189" s="229">
        <f>SUMIF(Input!$D$40:$AB$40,L$1171,$D357:$AB357)</f>
        <v>0</v>
      </c>
      <c r="M1189" s="229">
        <f>SUMIF(Input!$D$40:$AB$40,M$1171,$D357:$AB357)</f>
        <v>0</v>
      </c>
      <c r="N1189" s="229">
        <f>SUMIF(Input!$D$40:$AB$40,N$1171,$D357:$AB357)</f>
        <v>0</v>
      </c>
      <c r="O1189" s="229">
        <f>SUMIF(Input!$D$40:$AB$40,O$1171,$D357:$AB357)</f>
        <v>0</v>
      </c>
      <c r="P1189" s="229">
        <f>SUMIF(Input!$D$40:$AB$40,P$1171,$D357:$AB357)</f>
        <v>0</v>
      </c>
      <c r="Q1189" s="229">
        <f>SUMIF(Input!$D$40:$AB$40,Q$1171,$D357:$AB357)</f>
        <v>0</v>
      </c>
      <c r="R1189" s="229">
        <f>SUMIF(Input!$D$40:$AB$40,R$1171,$D357:$AB357)</f>
        <v>0</v>
      </c>
      <c r="S1189" s="229">
        <f>SUMIF(Input!$D$40:$AB$40,S$1171,$D357:$AB357)</f>
        <v>0</v>
      </c>
      <c r="T1189" s="229">
        <f>SUMIF(Input!$D$40:$AB$40,T$1171,$D357:$AB357)</f>
        <v>0</v>
      </c>
      <c r="U1189" s="229">
        <f>SUMIF(Input!$D$40:$AB$40,U$1171,$D357:$AB357)</f>
        <v>0</v>
      </c>
      <c r="V1189" s="229">
        <f>SUMIF(Input!$D$40:$AB$40,V$1171,$D357:$AB357)</f>
        <v>0</v>
      </c>
      <c r="W1189" s="229">
        <f>SUMIF(Input!$D$40:$AB$40,W$1171,$D357:$AB357)</f>
        <v>0</v>
      </c>
      <c r="X1189" s="229">
        <f>SUMIF(Input!$D$40:$AB$40,X$1171,$D357:$AB357)</f>
        <v>0</v>
      </c>
      <c r="Y1189" s="229">
        <f>SUMIF(Input!$D$40:$AB$40,Y$1171,$D357:$AB357)</f>
        <v>0</v>
      </c>
      <c r="Z1189" s="229">
        <f>SUMIF(Input!$D$40:$AB$40,Z$1171,$D357:$AB357)</f>
        <v>0</v>
      </c>
      <c r="AA1189" s="229">
        <f>SUMIF(Input!$D$40:$AB$40,AA$1171,$D357:$AB357)</f>
        <v>0</v>
      </c>
      <c r="AB1189" s="229">
        <f>SUMIF(Input!$D$40:$AB$40,AB$1171,$D357:$AB357)</f>
        <v>0</v>
      </c>
    </row>
    <row r="1190" spans="3:97" x14ac:dyDescent="0.3">
      <c r="C1190" s="479">
        <f>C1126</f>
        <v>578</v>
      </c>
      <c r="D1190" s="229">
        <f>SUMIF(Input!$D$40:$AB$40,D$1171,$D358:$AB358)</f>
        <v>0</v>
      </c>
      <c r="E1190" s="229">
        <f>SUMIF(Input!$D$40:$AB$40,E$1171,$D358:$AB358)</f>
        <v>0</v>
      </c>
      <c r="F1190" s="229">
        <f>SUMIF(Input!$D$40:$AB$40,F$1171,$D358:$AB358)</f>
        <v>0</v>
      </c>
      <c r="G1190" s="229">
        <f>SUMIF(Input!$D$40:$AB$40,G$1171,$D358:$AB358)</f>
        <v>0</v>
      </c>
      <c r="H1190" s="229">
        <f>SUMIF(Input!$D$40:$AB$40,H$1171,$D358:$AB358)</f>
        <v>0</v>
      </c>
      <c r="I1190" s="229">
        <f>SUMIF(Input!$D$40:$AB$40,I$1171,$D358:$AB358)</f>
        <v>0</v>
      </c>
      <c r="J1190" s="229">
        <f>SUMIF(Input!$D$40:$AB$40,J$1171,$D358:$AB358)</f>
        <v>0</v>
      </c>
      <c r="K1190" s="229">
        <f>SUMIF(Input!$D$40:$AB$40,K$1171,$D358:$AB358)</f>
        <v>0</v>
      </c>
      <c r="L1190" s="229">
        <f>SUMIF(Input!$D$40:$AB$40,L$1171,$D358:$AB358)</f>
        <v>0</v>
      </c>
      <c r="M1190" s="229">
        <f>SUMIF(Input!$D$40:$AB$40,M$1171,$D358:$AB358)</f>
        <v>0</v>
      </c>
      <c r="N1190" s="229">
        <f>SUMIF(Input!$D$40:$AB$40,N$1171,$D358:$AB358)</f>
        <v>0</v>
      </c>
      <c r="O1190" s="229">
        <f>SUMIF(Input!$D$40:$AB$40,O$1171,$D358:$AB358)</f>
        <v>0</v>
      </c>
      <c r="P1190" s="229">
        <f>SUMIF(Input!$D$40:$AB$40,P$1171,$D358:$AB358)</f>
        <v>0</v>
      </c>
      <c r="Q1190" s="229">
        <f>SUMIF(Input!$D$40:$AB$40,Q$1171,$D358:$AB358)</f>
        <v>0</v>
      </c>
      <c r="R1190" s="229">
        <f>SUMIF(Input!$D$40:$AB$40,R$1171,$D358:$AB358)</f>
        <v>0</v>
      </c>
      <c r="S1190" s="229">
        <f>SUMIF(Input!$D$40:$AB$40,S$1171,$D358:$AB358)</f>
        <v>0</v>
      </c>
      <c r="T1190" s="229">
        <f>SUMIF(Input!$D$40:$AB$40,T$1171,$D358:$AB358)</f>
        <v>0</v>
      </c>
      <c r="U1190" s="229">
        <f>SUMIF(Input!$D$40:$AB$40,U$1171,$D358:$AB358)</f>
        <v>0</v>
      </c>
      <c r="V1190" s="229">
        <f>SUMIF(Input!$D$40:$AB$40,V$1171,$D358:$AB358)</f>
        <v>0</v>
      </c>
      <c r="W1190" s="229">
        <f>SUMIF(Input!$D$40:$AB$40,W$1171,$D358:$AB358)</f>
        <v>0</v>
      </c>
      <c r="X1190" s="229">
        <f>SUMIF(Input!$D$40:$AB$40,X$1171,$D358:$AB358)</f>
        <v>0</v>
      </c>
      <c r="Y1190" s="229">
        <f>SUMIF(Input!$D$40:$AB$40,Y$1171,$D358:$AB358)</f>
        <v>0</v>
      </c>
      <c r="Z1190" s="229">
        <f>SUMIF(Input!$D$40:$AB$40,Z$1171,$D358:$AB358)</f>
        <v>0</v>
      </c>
      <c r="AA1190" s="229">
        <f>SUMIF(Input!$D$40:$AB$40,AA$1171,$D358:$AB358)</f>
        <v>0</v>
      </c>
      <c r="AB1190" s="229">
        <f>SUMIF(Input!$D$40:$AB$40,AB$1171,$D358:$AB358)</f>
        <v>0</v>
      </c>
    </row>
    <row r="1191" spans="3:97" x14ac:dyDescent="0.3">
      <c r="C1191" s="479">
        <f>C1127</f>
        <v>609</v>
      </c>
      <c r="D1191" s="229">
        <f>SUMIF(Input!$D$40:$AB$40,D$1171,$D359:$AB359)</f>
        <v>0</v>
      </c>
      <c r="E1191" s="229">
        <f>SUMIF(Input!$D$40:$AB$40,E$1171,$D359:$AB359)</f>
        <v>0</v>
      </c>
      <c r="F1191" s="229">
        <f>SUMIF(Input!$D$40:$AB$40,F$1171,$D359:$AB359)</f>
        <v>0</v>
      </c>
      <c r="G1191" s="229">
        <f>SUMIF(Input!$D$40:$AB$40,G$1171,$D359:$AB359)</f>
        <v>0</v>
      </c>
      <c r="H1191" s="229">
        <f>SUMIF(Input!$D$40:$AB$40,H$1171,$D359:$AB359)</f>
        <v>0</v>
      </c>
      <c r="I1191" s="229">
        <f>SUMIF(Input!$D$40:$AB$40,I$1171,$D359:$AB359)</f>
        <v>0</v>
      </c>
      <c r="J1191" s="229">
        <f>SUMIF(Input!$D$40:$AB$40,J$1171,$D359:$AB359)</f>
        <v>0</v>
      </c>
      <c r="K1191" s="229">
        <f>SUMIF(Input!$D$40:$AB$40,K$1171,$D359:$AB359)</f>
        <v>0</v>
      </c>
      <c r="L1191" s="229">
        <f>SUMIF(Input!$D$40:$AB$40,L$1171,$D359:$AB359)</f>
        <v>0</v>
      </c>
      <c r="M1191" s="229">
        <f>SUMIF(Input!$D$40:$AB$40,M$1171,$D359:$AB359)</f>
        <v>0</v>
      </c>
      <c r="N1191" s="229">
        <f>SUMIF(Input!$D$40:$AB$40,N$1171,$D359:$AB359)</f>
        <v>0</v>
      </c>
      <c r="O1191" s="229">
        <f>SUMIF(Input!$D$40:$AB$40,O$1171,$D359:$AB359)</f>
        <v>0</v>
      </c>
      <c r="P1191" s="229">
        <f>SUMIF(Input!$D$40:$AB$40,P$1171,$D359:$AB359)</f>
        <v>0</v>
      </c>
      <c r="Q1191" s="229">
        <f>SUMIF(Input!$D$40:$AB$40,Q$1171,$D359:$AB359)</f>
        <v>0</v>
      </c>
      <c r="R1191" s="229">
        <f>SUMIF(Input!$D$40:$AB$40,R$1171,$D359:$AB359)</f>
        <v>0</v>
      </c>
      <c r="S1191" s="229">
        <f>SUMIF(Input!$D$40:$AB$40,S$1171,$D359:$AB359)</f>
        <v>0</v>
      </c>
      <c r="T1191" s="229">
        <f>SUMIF(Input!$D$40:$AB$40,T$1171,$D359:$AB359)</f>
        <v>0</v>
      </c>
      <c r="U1191" s="229">
        <f>SUMIF(Input!$D$40:$AB$40,U$1171,$D359:$AB359)</f>
        <v>0</v>
      </c>
      <c r="V1191" s="229">
        <f>SUMIF(Input!$D$40:$AB$40,V$1171,$D359:$AB359)</f>
        <v>0</v>
      </c>
      <c r="W1191" s="229">
        <f>SUMIF(Input!$D$40:$AB$40,W$1171,$D359:$AB359)</f>
        <v>0</v>
      </c>
      <c r="X1191" s="229">
        <f>SUMIF(Input!$D$40:$AB$40,X$1171,$D359:$AB359)</f>
        <v>0</v>
      </c>
      <c r="Y1191" s="229">
        <f>SUMIF(Input!$D$40:$AB$40,Y$1171,$D359:$AB359)</f>
        <v>0</v>
      </c>
      <c r="Z1191" s="229">
        <f>SUMIF(Input!$D$40:$AB$40,Z$1171,$D359:$AB359)</f>
        <v>0</v>
      </c>
      <c r="AA1191" s="229">
        <f>SUMIF(Input!$D$40:$AB$40,AA$1171,$D359:$AB359)</f>
        <v>0</v>
      </c>
      <c r="AB1191" s="229">
        <f>SUMIF(Input!$D$40:$AB$40,AB$1171,$D359:$AB359)</f>
        <v>0</v>
      </c>
    </row>
    <row r="1192" spans="3:97" x14ac:dyDescent="0.3">
      <c r="C1192" s="479">
        <f>C1128</f>
        <v>639</v>
      </c>
      <c r="D1192" s="229">
        <f>SUMIF(Input!$D$40:$AB$40,D$1171,$D360:$AB360)</f>
        <v>0</v>
      </c>
      <c r="E1192" s="229">
        <f>SUMIF(Input!$D$40:$AB$40,E$1171,$D360:$AB360)</f>
        <v>0</v>
      </c>
      <c r="F1192" s="229">
        <f>SUMIF(Input!$D$40:$AB$40,F$1171,$D360:$AB360)</f>
        <v>0</v>
      </c>
      <c r="G1192" s="229">
        <f>SUMIF(Input!$D$40:$AB$40,G$1171,$D360:$AB360)</f>
        <v>0</v>
      </c>
      <c r="H1192" s="229">
        <f>SUMIF(Input!$D$40:$AB$40,H$1171,$D360:$AB360)</f>
        <v>0</v>
      </c>
      <c r="I1192" s="229">
        <f>SUMIF(Input!$D$40:$AB$40,I$1171,$D360:$AB360)</f>
        <v>0</v>
      </c>
      <c r="J1192" s="229">
        <f>SUMIF(Input!$D$40:$AB$40,J$1171,$D360:$AB360)</f>
        <v>0</v>
      </c>
      <c r="K1192" s="229">
        <f>SUMIF(Input!$D$40:$AB$40,K$1171,$D360:$AB360)</f>
        <v>0</v>
      </c>
      <c r="L1192" s="229">
        <f>SUMIF(Input!$D$40:$AB$40,L$1171,$D360:$AB360)</f>
        <v>0</v>
      </c>
      <c r="M1192" s="229">
        <f>SUMIF(Input!$D$40:$AB$40,M$1171,$D360:$AB360)</f>
        <v>0</v>
      </c>
      <c r="N1192" s="229">
        <f>SUMIF(Input!$D$40:$AB$40,N$1171,$D360:$AB360)</f>
        <v>0</v>
      </c>
      <c r="O1192" s="229">
        <f>SUMIF(Input!$D$40:$AB$40,O$1171,$D360:$AB360)</f>
        <v>0</v>
      </c>
      <c r="P1192" s="229">
        <f>SUMIF(Input!$D$40:$AB$40,P$1171,$D360:$AB360)</f>
        <v>0</v>
      </c>
      <c r="Q1192" s="229">
        <f>SUMIF(Input!$D$40:$AB$40,Q$1171,$D360:$AB360)</f>
        <v>0</v>
      </c>
      <c r="R1192" s="229">
        <f>SUMIF(Input!$D$40:$AB$40,R$1171,$D360:$AB360)</f>
        <v>0</v>
      </c>
      <c r="S1192" s="229">
        <f>SUMIF(Input!$D$40:$AB$40,S$1171,$D360:$AB360)</f>
        <v>0</v>
      </c>
      <c r="T1192" s="229">
        <f>SUMIF(Input!$D$40:$AB$40,T$1171,$D360:$AB360)</f>
        <v>0</v>
      </c>
      <c r="U1192" s="229">
        <f>SUMIF(Input!$D$40:$AB$40,U$1171,$D360:$AB360)</f>
        <v>0</v>
      </c>
      <c r="V1192" s="229">
        <f>SUMIF(Input!$D$40:$AB$40,V$1171,$D360:$AB360)</f>
        <v>0</v>
      </c>
      <c r="W1192" s="229">
        <f>SUMIF(Input!$D$40:$AB$40,W$1171,$D360:$AB360)</f>
        <v>0</v>
      </c>
      <c r="X1192" s="229">
        <f>SUMIF(Input!$D$40:$AB$40,X$1171,$D360:$AB360)</f>
        <v>0</v>
      </c>
      <c r="Y1192" s="229">
        <f>SUMIF(Input!$D$40:$AB$40,Y$1171,$D360:$AB360)</f>
        <v>0</v>
      </c>
      <c r="Z1192" s="229">
        <f>SUMIF(Input!$D$40:$AB$40,Z$1171,$D360:$AB360)</f>
        <v>0</v>
      </c>
      <c r="AA1192" s="229">
        <f>SUMIF(Input!$D$40:$AB$40,AA$1171,$D360:$AB360)</f>
        <v>0</v>
      </c>
      <c r="AB1192" s="229">
        <f>SUMIF(Input!$D$40:$AB$40,AB$1171,$D360:$AB360)</f>
        <v>0</v>
      </c>
    </row>
    <row r="1193" spans="3:97" x14ac:dyDescent="0.3">
      <c r="C1193" s="479">
        <f>C1129</f>
        <v>670</v>
      </c>
      <c r="D1193" s="229">
        <f>SUMIF(Input!$D$40:$AB$40,D$1171,$D361:$AB361)</f>
        <v>0</v>
      </c>
      <c r="E1193" s="229">
        <f>SUMIF(Input!$D$40:$AB$40,E$1171,$D361:$AB361)</f>
        <v>0</v>
      </c>
      <c r="F1193" s="229">
        <f>SUMIF(Input!$D$40:$AB$40,F$1171,$D361:$AB361)</f>
        <v>0</v>
      </c>
      <c r="G1193" s="229">
        <f>SUMIF(Input!$D$40:$AB$40,G$1171,$D361:$AB361)</f>
        <v>0</v>
      </c>
      <c r="H1193" s="229">
        <f>SUMIF(Input!$D$40:$AB$40,H$1171,$D361:$AB361)</f>
        <v>0</v>
      </c>
      <c r="I1193" s="229">
        <f>SUMIF(Input!$D$40:$AB$40,I$1171,$D361:$AB361)</f>
        <v>0</v>
      </c>
      <c r="J1193" s="229">
        <f>SUMIF(Input!$D$40:$AB$40,J$1171,$D361:$AB361)</f>
        <v>0</v>
      </c>
      <c r="K1193" s="229">
        <f>SUMIF(Input!$D$40:$AB$40,K$1171,$D361:$AB361)</f>
        <v>0</v>
      </c>
      <c r="L1193" s="229">
        <f>SUMIF(Input!$D$40:$AB$40,L$1171,$D361:$AB361)</f>
        <v>0</v>
      </c>
      <c r="M1193" s="229">
        <f>SUMIF(Input!$D$40:$AB$40,M$1171,$D361:$AB361)</f>
        <v>0</v>
      </c>
      <c r="N1193" s="229">
        <f>SUMIF(Input!$D$40:$AB$40,N$1171,$D361:$AB361)</f>
        <v>0</v>
      </c>
      <c r="O1193" s="229">
        <f>SUMIF(Input!$D$40:$AB$40,O$1171,$D361:$AB361)</f>
        <v>0</v>
      </c>
      <c r="P1193" s="229">
        <f>SUMIF(Input!$D$40:$AB$40,P$1171,$D361:$AB361)</f>
        <v>0</v>
      </c>
      <c r="Q1193" s="229">
        <f>SUMIF(Input!$D$40:$AB$40,Q$1171,$D361:$AB361)</f>
        <v>0</v>
      </c>
      <c r="R1193" s="229">
        <f>SUMIF(Input!$D$40:$AB$40,R$1171,$D361:$AB361)</f>
        <v>0</v>
      </c>
      <c r="S1193" s="229">
        <f>SUMIF(Input!$D$40:$AB$40,S$1171,$D361:$AB361)</f>
        <v>0</v>
      </c>
      <c r="T1193" s="229">
        <f>SUMIF(Input!$D$40:$AB$40,T$1171,$D361:$AB361)</f>
        <v>0</v>
      </c>
      <c r="U1193" s="229">
        <f>SUMIF(Input!$D$40:$AB$40,U$1171,$D361:$AB361)</f>
        <v>0</v>
      </c>
      <c r="V1193" s="229">
        <f>SUMIF(Input!$D$40:$AB$40,V$1171,$D361:$AB361)</f>
        <v>0</v>
      </c>
      <c r="W1193" s="229">
        <f>SUMIF(Input!$D$40:$AB$40,W$1171,$D361:$AB361)</f>
        <v>0</v>
      </c>
      <c r="X1193" s="229">
        <f>SUMIF(Input!$D$40:$AB$40,X$1171,$D361:$AB361)</f>
        <v>0</v>
      </c>
      <c r="Y1193" s="229">
        <f>SUMIF(Input!$D$40:$AB$40,Y$1171,$D361:$AB361)</f>
        <v>0</v>
      </c>
      <c r="Z1193" s="229">
        <f>SUMIF(Input!$D$40:$AB$40,Z$1171,$D361:$AB361)</f>
        <v>0</v>
      </c>
      <c r="AA1193" s="229">
        <f>SUMIF(Input!$D$40:$AB$40,AA$1171,$D361:$AB361)</f>
        <v>0</v>
      </c>
      <c r="AB1193" s="229">
        <f>SUMIF(Input!$D$40:$AB$40,AB$1171,$D361:$AB361)</f>
        <v>0</v>
      </c>
    </row>
    <row r="1194" spans="3:97" x14ac:dyDescent="0.3">
      <c r="C1194" s="479">
        <f>C1130</f>
        <v>700</v>
      </c>
      <c r="D1194" s="229">
        <f>SUMIF(Input!$D$40:$AB$40,D$1171,$D362:$AB362)</f>
        <v>0</v>
      </c>
      <c r="E1194" s="229">
        <f>SUMIF(Input!$D$40:$AB$40,E$1171,$D362:$AB362)</f>
        <v>0</v>
      </c>
      <c r="F1194" s="229">
        <f>SUMIF(Input!$D$40:$AB$40,F$1171,$D362:$AB362)</f>
        <v>0</v>
      </c>
      <c r="G1194" s="229">
        <f>SUMIF(Input!$D$40:$AB$40,G$1171,$D362:$AB362)</f>
        <v>0</v>
      </c>
      <c r="H1194" s="229">
        <f>SUMIF(Input!$D$40:$AB$40,H$1171,$D362:$AB362)</f>
        <v>0</v>
      </c>
      <c r="I1194" s="229">
        <f>SUMIF(Input!$D$40:$AB$40,I$1171,$D362:$AB362)</f>
        <v>0</v>
      </c>
      <c r="J1194" s="229">
        <f>SUMIF(Input!$D$40:$AB$40,J$1171,$D362:$AB362)</f>
        <v>0</v>
      </c>
      <c r="K1194" s="229">
        <f>SUMIF(Input!$D$40:$AB$40,K$1171,$D362:$AB362)</f>
        <v>0</v>
      </c>
      <c r="L1194" s="229">
        <f>SUMIF(Input!$D$40:$AB$40,L$1171,$D362:$AB362)</f>
        <v>0</v>
      </c>
      <c r="M1194" s="229">
        <f>SUMIF(Input!$D$40:$AB$40,M$1171,$D362:$AB362)</f>
        <v>0</v>
      </c>
      <c r="N1194" s="229">
        <f>SUMIF(Input!$D$40:$AB$40,N$1171,$D362:$AB362)</f>
        <v>0</v>
      </c>
      <c r="O1194" s="229">
        <f>SUMIF(Input!$D$40:$AB$40,O$1171,$D362:$AB362)</f>
        <v>0</v>
      </c>
      <c r="P1194" s="229">
        <f>SUMIF(Input!$D$40:$AB$40,P$1171,$D362:$AB362)</f>
        <v>0</v>
      </c>
      <c r="Q1194" s="229">
        <f>SUMIF(Input!$D$40:$AB$40,Q$1171,$D362:$AB362)</f>
        <v>0</v>
      </c>
      <c r="R1194" s="229">
        <f>SUMIF(Input!$D$40:$AB$40,R$1171,$D362:$AB362)</f>
        <v>0</v>
      </c>
      <c r="S1194" s="229">
        <f>SUMIF(Input!$D$40:$AB$40,S$1171,$D362:$AB362)</f>
        <v>0</v>
      </c>
      <c r="T1194" s="229">
        <f>SUMIF(Input!$D$40:$AB$40,T$1171,$D362:$AB362)</f>
        <v>0</v>
      </c>
      <c r="U1194" s="229">
        <f>SUMIF(Input!$D$40:$AB$40,U$1171,$D362:$AB362)</f>
        <v>0</v>
      </c>
      <c r="V1194" s="229">
        <f>SUMIF(Input!$D$40:$AB$40,V$1171,$D362:$AB362)</f>
        <v>0</v>
      </c>
      <c r="W1194" s="229">
        <f>SUMIF(Input!$D$40:$AB$40,W$1171,$D362:$AB362)</f>
        <v>0</v>
      </c>
      <c r="X1194" s="229">
        <f>SUMIF(Input!$D$40:$AB$40,X$1171,$D362:$AB362)</f>
        <v>0</v>
      </c>
      <c r="Y1194" s="229">
        <f>SUMIF(Input!$D$40:$AB$40,Y$1171,$D362:$AB362)</f>
        <v>0</v>
      </c>
      <c r="Z1194" s="229">
        <f>SUMIF(Input!$D$40:$AB$40,Z$1171,$D362:$AB362)</f>
        <v>0</v>
      </c>
      <c r="AA1194" s="229">
        <f>SUMIF(Input!$D$40:$AB$40,AA$1171,$D362:$AB362)</f>
        <v>0</v>
      </c>
      <c r="AB1194" s="229">
        <f>SUMIF(Input!$D$40:$AB$40,AB$1171,$D362:$AB362)</f>
        <v>0</v>
      </c>
    </row>
    <row r="1195" spans="3:97" ht="12.5" thickBot="1" x14ac:dyDescent="0.35">
      <c r="C1195" s="480">
        <f>C1131</f>
        <v>731</v>
      </c>
      <c r="D1195" s="230">
        <f>SUMIF(Input!$D$40:$AB$40,D$1171,$D363:$AB363)</f>
        <v>0</v>
      </c>
      <c r="E1195" s="230">
        <f>SUMIF(Input!$D$40:$AB$40,E$1171,$D363:$AB363)</f>
        <v>0</v>
      </c>
      <c r="F1195" s="230">
        <f>SUMIF(Input!$D$40:$AB$40,F$1171,$D363:$AB363)</f>
        <v>0</v>
      </c>
      <c r="G1195" s="230">
        <f>SUMIF(Input!$D$40:$AB$40,G$1171,$D363:$AB363)</f>
        <v>0</v>
      </c>
      <c r="H1195" s="230">
        <f>SUMIF(Input!$D$40:$AB$40,H$1171,$D363:$AB363)</f>
        <v>0</v>
      </c>
      <c r="I1195" s="230">
        <f>SUMIF(Input!$D$40:$AB$40,I$1171,$D363:$AB363)</f>
        <v>0</v>
      </c>
      <c r="J1195" s="230">
        <f>SUMIF(Input!$D$40:$AB$40,J$1171,$D363:$AB363)</f>
        <v>0</v>
      </c>
      <c r="K1195" s="230">
        <f>SUMIF(Input!$D$40:$AB$40,K$1171,$D363:$AB363)</f>
        <v>0</v>
      </c>
      <c r="L1195" s="230">
        <f>SUMIF(Input!$D$40:$AB$40,L$1171,$D363:$AB363)</f>
        <v>0</v>
      </c>
      <c r="M1195" s="230">
        <f>SUMIF(Input!$D$40:$AB$40,M$1171,$D363:$AB363)</f>
        <v>0</v>
      </c>
      <c r="N1195" s="230">
        <f>SUMIF(Input!$D$40:$AB$40,N$1171,$D363:$AB363)</f>
        <v>0</v>
      </c>
      <c r="O1195" s="230">
        <f>SUMIF(Input!$D$40:$AB$40,O$1171,$D363:$AB363)</f>
        <v>0</v>
      </c>
      <c r="P1195" s="230">
        <f>SUMIF(Input!$D$40:$AB$40,P$1171,$D363:$AB363)</f>
        <v>0</v>
      </c>
      <c r="Q1195" s="230">
        <f>SUMIF(Input!$D$40:$AB$40,Q$1171,$D363:$AB363)</f>
        <v>0</v>
      </c>
      <c r="R1195" s="230">
        <f>SUMIF(Input!$D$40:$AB$40,R$1171,$D363:$AB363)</f>
        <v>0</v>
      </c>
      <c r="S1195" s="230">
        <f>SUMIF(Input!$D$40:$AB$40,S$1171,$D363:$AB363)</f>
        <v>0</v>
      </c>
      <c r="T1195" s="230">
        <f>SUMIF(Input!$D$40:$AB$40,T$1171,$D363:$AB363)</f>
        <v>0</v>
      </c>
      <c r="U1195" s="230">
        <f>SUMIF(Input!$D$40:$AB$40,U$1171,$D363:$AB363)</f>
        <v>0</v>
      </c>
      <c r="V1195" s="230">
        <f>SUMIF(Input!$D$40:$AB$40,V$1171,$D363:$AB363)</f>
        <v>0</v>
      </c>
      <c r="W1195" s="230">
        <f>SUMIF(Input!$D$40:$AB$40,W$1171,$D363:$AB363)</f>
        <v>0</v>
      </c>
      <c r="X1195" s="230">
        <f>SUMIF(Input!$D$40:$AB$40,X$1171,$D363:$AB363)</f>
        <v>0</v>
      </c>
      <c r="Y1195" s="230">
        <f>SUMIF(Input!$D$40:$AB$40,Y$1171,$D363:$AB363)</f>
        <v>0</v>
      </c>
      <c r="Z1195" s="230">
        <f>SUMIF(Input!$D$40:$AB$40,Z$1171,$D363:$AB363)</f>
        <v>0</v>
      </c>
      <c r="AA1195" s="230">
        <f>SUMIF(Input!$D$40:$AB$40,AA$1171,$D363:$AB363)</f>
        <v>0</v>
      </c>
      <c r="AB1195" s="230">
        <f>SUMIF(Input!$D$40:$AB$40,AB$1171,$D363:$AB363)</f>
        <v>0</v>
      </c>
    </row>
    <row r="1196" spans="3:97" x14ac:dyDescent="0.3">
      <c r="C1196" s="479">
        <f>C1132</f>
        <v>762</v>
      </c>
      <c r="D1196" s="231">
        <f>SUMIF(Input!$D$40:$AB$40,D$1171,$D364:$AB364)</f>
        <v>0</v>
      </c>
      <c r="E1196" s="231">
        <f>SUMIF(Input!$D$40:$AB$40,E$1171,$D364:$AB364)</f>
        <v>0</v>
      </c>
      <c r="F1196" s="231">
        <f>SUMIF(Input!$D$40:$AB$40,F$1171,$D364:$AB364)</f>
        <v>0</v>
      </c>
      <c r="G1196" s="231">
        <f>SUMIF(Input!$D$40:$AB$40,G$1171,$D364:$AB364)</f>
        <v>0</v>
      </c>
      <c r="H1196" s="231">
        <f>SUMIF(Input!$D$40:$AB$40,H$1171,$D364:$AB364)</f>
        <v>0</v>
      </c>
      <c r="I1196" s="231">
        <f>SUMIF(Input!$D$40:$AB$40,I$1171,$D364:$AB364)</f>
        <v>0</v>
      </c>
      <c r="J1196" s="231">
        <f>SUMIF(Input!$D$40:$AB$40,J$1171,$D364:$AB364)</f>
        <v>0</v>
      </c>
      <c r="K1196" s="231">
        <f>SUMIF(Input!$D$40:$AB$40,K$1171,$D364:$AB364)</f>
        <v>0</v>
      </c>
      <c r="L1196" s="231">
        <f>SUMIF(Input!$D$40:$AB$40,L$1171,$D364:$AB364)</f>
        <v>0</v>
      </c>
      <c r="M1196" s="231">
        <f>SUMIF(Input!$D$40:$AB$40,M$1171,$D364:$AB364)</f>
        <v>0</v>
      </c>
      <c r="N1196" s="231">
        <f>SUMIF(Input!$D$40:$AB$40,N$1171,$D364:$AB364)</f>
        <v>0</v>
      </c>
      <c r="O1196" s="231">
        <f>SUMIF(Input!$D$40:$AB$40,O$1171,$D364:$AB364)</f>
        <v>0</v>
      </c>
      <c r="P1196" s="231">
        <f>SUMIF(Input!$D$40:$AB$40,P$1171,$D364:$AB364)</f>
        <v>0</v>
      </c>
      <c r="Q1196" s="231">
        <f>SUMIF(Input!$D$40:$AB$40,Q$1171,$D364:$AB364)</f>
        <v>0</v>
      </c>
      <c r="R1196" s="231">
        <f>SUMIF(Input!$D$40:$AB$40,R$1171,$D364:$AB364)</f>
        <v>0</v>
      </c>
      <c r="S1196" s="231">
        <f>SUMIF(Input!$D$40:$AB$40,S$1171,$D364:$AB364)</f>
        <v>0</v>
      </c>
      <c r="T1196" s="231">
        <f>SUMIF(Input!$D$40:$AB$40,T$1171,$D364:$AB364)</f>
        <v>0</v>
      </c>
      <c r="U1196" s="231">
        <f>SUMIF(Input!$D$40:$AB$40,U$1171,$D364:$AB364)</f>
        <v>0</v>
      </c>
      <c r="V1196" s="231">
        <f>SUMIF(Input!$D$40:$AB$40,V$1171,$D364:$AB364)</f>
        <v>0</v>
      </c>
      <c r="W1196" s="231">
        <f>SUMIF(Input!$D$40:$AB$40,W$1171,$D364:$AB364)</f>
        <v>0</v>
      </c>
      <c r="X1196" s="231">
        <f>SUMIF(Input!$D$40:$AB$40,X$1171,$D364:$AB364)</f>
        <v>0</v>
      </c>
      <c r="Y1196" s="231">
        <f>SUMIF(Input!$D$40:$AB$40,Y$1171,$D364:$AB364)</f>
        <v>0</v>
      </c>
      <c r="Z1196" s="231">
        <f>SUMIF(Input!$D$40:$AB$40,Z$1171,$D364:$AB364)</f>
        <v>0</v>
      </c>
      <c r="AA1196" s="231">
        <f>SUMIF(Input!$D$40:$AB$40,AA$1171,$D364:$AB364)</f>
        <v>0</v>
      </c>
      <c r="AB1196" s="231">
        <f>SUMIF(Input!$D$40:$AB$40,AB$1171,$D364:$AB364)</f>
        <v>0</v>
      </c>
    </row>
    <row r="1197" spans="3:97" x14ac:dyDescent="0.3">
      <c r="C1197" s="479">
        <f>C1133</f>
        <v>790</v>
      </c>
      <c r="D1197" s="229">
        <f>SUMIF(Input!$D$40:$AB$40,D$1171,$D365:$AB365)</f>
        <v>0</v>
      </c>
      <c r="E1197" s="229">
        <f>SUMIF(Input!$D$40:$AB$40,E$1171,$D365:$AB365)</f>
        <v>0</v>
      </c>
      <c r="F1197" s="229">
        <f>SUMIF(Input!$D$40:$AB$40,F$1171,$D365:$AB365)</f>
        <v>0</v>
      </c>
      <c r="G1197" s="229">
        <f>SUMIF(Input!$D$40:$AB$40,G$1171,$D365:$AB365)</f>
        <v>0</v>
      </c>
      <c r="H1197" s="229">
        <f>SUMIF(Input!$D$40:$AB$40,H$1171,$D365:$AB365)</f>
        <v>0</v>
      </c>
      <c r="I1197" s="229">
        <f>SUMIF(Input!$D$40:$AB$40,I$1171,$D365:$AB365)</f>
        <v>0</v>
      </c>
      <c r="J1197" s="229">
        <f>SUMIF(Input!$D$40:$AB$40,J$1171,$D365:$AB365)</f>
        <v>0</v>
      </c>
      <c r="K1197" s="229">
        <f>SUMIF(Input!$D$40:$AB$40,K$1171,$D365:$AB365)</f>
        <v>0</v>
      </c>
      <c r="L1197" s="229">
        <f>SUMIF(Input!$D$40:$AB$40,L$1171,$D365:$AB365)</f>
        <v>0</v>
      </c>
      <c r="M1197" s="229">
        <f>SUMIF(Input!$D$40:$AB$40,M$1171,$D365:$AB365)</f>
        <v>0</v>
      </c>
      <c r="N1197" s="229">
        <f>SUMIF(Input!$D$40:$AB$40,N$1171,$D365:$AB365)</f>
        <v>0</v>
      </c>
      <c r="O1197" s="229">
        <f>SUMIF(Input!$D$40:$AB$40,O$1171,$D365:$AB365)</f>
        <v>0</v>
      </c>
      <c r="P1197" s="229">
        <f>SUMIF(Input!$D$40:$AB$40,P$1171,$D365:$AB365)</f>
        <v>0</v>
      </c>
      <c r="Q1197" s="229">
        <f>SUMIF(Input!$D$40:$AB$40,Q$1171,$D365:$AB365)</f>
        <v>0</v>
      </c>
      <c r="R1197" s="229">
        <f>SUMIF(Input!$D$40:$AB$40,R$1171,$D365:$AB365)</f>
        <v>0</v>
      </c>
      <c r="S1197" s="229">
        <f>SUMIF(Input!$D$40:$AB$40,S$1171,$D365:$AB365)</f>
        <v>0</v>
      </c>
      <c r="T1197" s="229">
        <f>SUMIF(Input!$D$40:$AB$40,T$1171,$D365:$AB365)</f>
        <v>0</v>
      </c>
      <c r="U1197" s="229">
        <f>SUMIF(Input!$D$40:$AB$40,U$1171,$D365:$AB365)</f>
        <v>0</v>
      </c>
      <c r="V1197" s="229">
        <f>SUMIF(Input!$D$40:$AB$40,V$1171,$D365:$AB365)</f>
        <v>0</v>
      </c>
      <c r="W1197" s="229">
        <f>SUMIF(Input!$D$40:$AB$40,W$1171,$D365:$AB365)</f>
        <v>0</v>
      </c>
      <c r="X1197" s="229">
        <f>SUMIF(Input!$D$40:$AB$40,X$1171,$D365:$AB365)</f>
        <v>0</v>
      </c>
      <c r="Y1197" s="229">
        <f>SUMIF(Input!$D$40:$AB$40,Y$1171,$D365:$AB365)</f>
        <v>0</v>
      </c>
      <c r="Z1197" s="229">
        <f>SUMIF(Input!$D$40:$AB$40,Z$1171,$D365:$AB365)</f>
        <v>0</v>
      </c>
      <c r="AA1197" s="229">
        <f>SUMIF(Input!$D$40:$AB$40,AA$1171,$D365:$AB365)</f>
        <v>0</v>
      </c>
      <c r="AB1197" s="229">
        <f>SUMIF(Input!$D$40:$AB$40,AB$1171,$D365:$AB365)</f>
        <v>0</v>
      </c>
    </row>
    <row r="1198" spans="3:97" x14ac:dyDescent="0.3">
      <c r="C1198" s="479">
        <f>C1134</f>
        <v>821</v>
      </c>
      <c r="D1198" s="229">
        <f>SUMIF(Input!$D$40:$AB$40,D$1171,$D366:$AB366)</f>
        <v>0</v>
      </c>
      <c r="E1198" s="229">
        <f>SUMIF(Input!$D$40:$AB$40,E$1171,$D366:$AB366)</f>
        <v>0</v>
      </c>
      <c r="F1198" s="229">
        <f>SUMIF(Input!$D$40:$AB$40,F$1171,$D366:$AB366)</f>
        <v>0</v>
      </c>
      <c r="G1198" s="229">
        <f>SUMIF(Input!$D$40:$AB$40,G$1171,$D366:$AB366)</f>
        <v>0</v>
      </c>
      <c r="H1198" s="229">
        <f>SUMIF(Input!$D$40:$AB$40,H$1171,$D366:$AB366)</f>
        <v>0</v>
      </c>
      <c r="I1198" s="229">
        <f>SUMIF(Input!$D$40:$AB$40,I$1171,$D366:$AB366)</f>
        <v>0</v>
      </c>
      <c r="J1198" s="229">
        <f>SUMIF(Input!$D$40:$AB$40,J$1171,$D366:$AB366)</f>
        <v>0</v>
      </c>
      <c r="K1198" s="229">
        <f>SUMIF(Input!$D$40:$AB$40,K$1171,$D366:$AB366)</f>
        <v>0</v>
      </c>
      <c r="L1198" s="229">
        <f>SUMIF(Input!$D$40:$AB$40,L$1171,$D366:$AB366)</f>
        <v>0</v>
      </c>
      <c r="M1198" s="229">
        <f>SUMIF(Input!$D$40:$AB$40,M$1171,$D366:$AB366)</f>
        <v>0</v>
      </c>
      <c r="N1198" s="229">
        <f>SUMIF(Input!$D$40:$AB$40,N$1171,$D366:$AB366)</f>
        <v>0</v>
      </c>
      <c r="O1198" s="229">
        <f>SUMIF(Input!$D$40:$AB$40,O$1171,$D366:$AB366)</f>
        <v>0</v>
      </c>
      <c r="P1198" s="229">
        <f>SUMIF(Input!$D$40:$AB$40,P$1171,$D366:$AB366)</f>
        <v>0</v>
      </c>
      <c r="Q1198" s="229">
        <f>SUMIF(Input!$D$40:$AB$40,Q$1171,$D366:$AB366)</f>
        <v>0</v>
      </c>
      <c r="R1198" s="229">
        <f>SUMIF(Input!$D$40:$AB$40,R$1171,$D366:$AB366)</f>
        <v>0</v>
      </c>
      <c r="S1198" s="229">
        <f>SUMIF(Input!$D$40:$AB$40,S$1171,$D366:$AB366)</f>
        <v>0</v>
      </c>
      <c r="T1198" s="229">
        <f>SUMIF(Input!$D$40:$AB$40,T$1171,$D366:$AB366)</f>
        <v>0</v>
      </c>
      <c r="U1198" s="229">
        <f>SUMIF(Input!$D$40:$AB$40,U$1171,$D366:$AB366)</f>
        <v>0</v>
      </c>
      <c r="V1198" s="229">
        <f>SUMIF(Input!$D$40:$AB$40,V$1171,$D366:$AB366)</f>
        <v>0</v>
      </c>
      <c r="W1198" s="229">
        <f>SUMIF(Input!$D$40:$AB$40,W$1171,$D366:$AB366)</f>
        <v>0</v>
      </c>
      <c r="X1198" s="229">
        <f>SUMIF(Input!$D$40:$AB$40,X$1171,$D366:$AB366)</f>
        <v>0</v>
      </c>
      <c r="Y1198" s="229">
        <f>SUMIF(Input!$D$40:$AB$40,Y$1171,$D366:$AB366)</f>
        <v>0</v>
      </c>
      <c r="Z1198" s="229">
        <f>SUMIF(Input!$D$40:$AB$40,Z$1171,$D366:$AB366)</f>
        <v>0</v>
      </c>
      <c r="AA1198" s="229">
        <f>SUMIF(Input!$D$40:$AB$40,AA$1171,$D366:$AB366)</f>
        <v>0</v>
      </c>
      <c r="AB1198" s="229">
        <f>SUMIF(Input!$D$40:$AB$40,AB$1171,$D366:$AB366)</f>
        <v>0</v>
      </c>
    </row>
    <row r="1199" spans="3:97" x14ac:dyDescent="0.3">
      <c r="C1199" s="479">
        <f>C1135</f>
        <v>851</v>
      </c>
      <c r="D1199" s="229">
        <f>SUMIF(Input!$D$40:$AB$40,D$1171,$D367:$AB367)</f>
        <v>0</v>
      </c>
      <c r="E1199" s="229">
        <f>SUMIF(Input!$D$40:$AB$40,E$1171,$D367:$AB367)</f>
        <v>0</v>
      </c>
      <c r="F1199" s="229">
        <f>SUMIF(Input!$D$40:$AB$40,F$1171,$D367:$AB367)</f>
        <v>0</v>
      </c>
      <c r="G1199" s="229">
        <f>SUMIF(Input!$D$40:$AB$40,G$1171,$D367:$AB367)</f>
        <v>0</v>
      </c>
      <c r="H1199" s="229">
        <f>SUMIF(Input!$D$40:$AB$40,H$1171,$D367:$AB367)</f>
        <v>0</v>
      </c>
      <c r="I1199" s="229">
        <f>SUMIF(Input!$D$40:$AB$40,I$1171,$D367:$AB367)</f>
        <v>0</v>
      </c>
      <c r="J1199" s="229">
        <f>SUMIF(Input!$D$40:$AB$40,J$1171,$D367:$AB367)</f>
        <v>0</v>
      </c>
      <c r="K1199" s="229">
        <f>SUMIF(Input!$D$40:$AB$40,K$1171,$D367:$AB367)</f>
        <v>0</v>
      </c>
      <c r="L1199" s="229">
        <f>SUMIF(Input!$D$40:$AB$40,L$1171,$D367:$AB367)</f>
        <v>0</v>
      </c>
      <c r="M1199" s="229">
        <f>SUMIF(Input!$D$40:$AB$40,M$1171,$D367:$AB367)</f>
        <v>0</v>
      </c>
      <c r="N1199" s="229">
        <f>SUMIF(Input!$D$40:$AB$40,N$1171,$D367:$AB367)</f>
        <v>0</v>
      </c>
      <c r="O1199" s="229">
        <f>SUMIF(Input!$D$40:$AB$40,O$1171,$D367:$AB367)</f>
        <v>0</v>
      </c>
      <c r="P1199" s="229">
        <f>SUMIF(Input!$D$40:$AB$40,P$1171,$D367:$AB367)</f>
        <v>0</v>
      </c>
      <c r="Q1199" s="229">
        <f>SUMIF(Input!$D$40:$AB$40,Q$1171,$D367:$AB367)</f>
        <v>0</v>
      </c>
      <c r="R1199" s="229">
        <f>SUMIF(Input!$D$40:$AB$40,R$1171,$D367:$AB367)</f>
        <v>0</v>
      </c>
      <c r="S1199" s="229">
        <f>SUMIF(Input!$D$40:$AB$40,S$1171,$D367:$AB367)</f>
        <v>0</v>
      </c>
      <c r="T1199" s="229">
        <f>SUMIF(Input!$D$40:$AB$40,T$1171,$D367:$AB367)</f>
        <v>0</v>
      </c>
      <c r="U1199" s="229">
        <f>SUMIF(Input!$D$40:$AB$40,U$1171,$D367:$AB367)</f>
        <v>0</v>
      </c>
      <c r="V1199" s="229">
        <f>SUMIF(Input!$D$40:$AB$40,V$1171,$D367:$AB367)</f>
        <v>0</v>
      </c>
      <c r="W1199" s="229">
        <f>SUMIF(Input!$D$40:$AB$40,W$1171,$D367:$AB367)</f>
        <v>0</v>
      </c>
      <c r="X1199" s="229">
        <f>SUMIF(Input!$D$40:$AB$40,X$1171,$D367:$AB367)</f>
        <v>0</v>
      </c>
      <c r="Y1199" s="229">
        <f>SUMIF(Input!$D$40:$AB$40,Y$1171,$D367:$AB367)</f>
        <v>0</v>
      </c>
      <c r="Z1199" s="229">
        <f>SUMIF(Input!$D$40:$AB$40,Z$1171,$D367:$AB367)</f>
        <v>0</v>
      </c>
      <c r="AA1199" s="229">
        <f>SUMIF(Input!$D$40:$AB$40,AA$1171,$D367:$AB367)</f>
        <v>0</v>
      </c>
      <c r="AB1199" s="229">
        <f>SUMIF(Input!$D$40:$AB$40,AB$1171,$D367:$AB367)</f>
        <v>0</v>
      </c>
    </row>
    <row r="1200" spans="3:97" x14ac:dyDescent="0.3">
      <c r="C1200" s="479">
        <f>C1136</f>
        <v>882</v>
      </c>
      <c r="D1200" s="229">
        <f>SUMIF(Input!$D$40:$AB$40,D$1171,$D368:$AB368)</f>
        <v>0</v>
      </c>
      <c r="E1200" s="229">
        <f>SUMIF(Input!$D$40:$AB$40,E$1171,$D368:$AB368)</f>
        <v>0</v>
      </c>
      <c r="F1200" s="229">
        <f>SUMIF(Input!$D$40:$AB$40,F$1171,$D368:$AB368)</f>
        <v>0</v>
      </c>
      <c r="G1200" s="229">
        <f>SUMIF(Input!$D$40:$AB$40,G$1171,$D368:$AB368)</f>
        <v>0</v>
      </c>
      <c r="H1200" s="229">
        <f>SUMIF(Input!$D$40:$AB$40,H$1171,$D368:$AB368)</f>
        <v>0</v>
      </c>
      <c r="I1200" s="229">
        <f>SUMIF(Input!$D$40:$AB$40,I$1171,$D368:$AB368)</f>
        <v>0</v>
      </c>
      <c r="J1200" s="229">
        <f>SUMIF(Input!$D$40:$AB$40,J$1171,$D368:$AB368)</f>
        <v>0</v>
      </c>
      <c r="K1200" s="229">
        <f>SUMIF(Input!$D$40:$AB$40,K$1171,$D368:$AB368)</f>
        <v>0</v>
      </c>
      <c r="L1200" s="229">
        <f>SUMIF(Input!$D$40:$AB$40,L$1171,$D368:$AB368)</f>
        <v>0</v>
      </c>
      <c r="M1200" s="229">
        <f>SUMIF(Input!$D$40:$AB$40,M$1171,$D368:$AB368)</f>
        <v>0</v>
      </c>
      <c r="N1200" s="229">
        <f>SUMIF(Input!$D$40:$AB$40,N$1171,$D368:$AB368)</f>
        <v>0</v>
      </c>
      <c r="O1200" s="229">
        <f>SUMIF(Input!$D$40:$AB$40,O$1171,$D368:$AB368)</f>
        <v>0</v>
      </c>
      <c r="P1200" s="229">
        <f>SUMIF(Input!$D$40:$AB$40,P$1171,$D368:$AB368)</f>
        <v>0</v>
      </c>
      <c r="Q1200" s="229">
        <f>SUMIF(Input!$D$40:$AB$40,Q$1171,$D368:$AB368)</f>
        <v>0</v>
      </c>
      <c r="R1200" s="229">
        <f>SUMIF(Input!$D$40:$AB$40,R$1171,$D368:$AB368)</f>
        <v>0</v>
      </c>
      <c r="S1200" s="229">
        <f>SUMIF(Input!$D$40:$AB$40,S$1171,$D368:$AB368)</f>
        <v>0</v>
      </c>
      <c r="T1200" s="229">
        <f>SUMIF(Input!$D$40:$AB$40,T$1171,$D368:$AB368)</f>
        <v>0</v>
      </c>
      <c r="U1200" s="229">
        <f>SUMIF(Input!$D$40:$AB$40,U$1171,$D368:$AB368)</f>
        <v>0</v>
      </c>
      <c r="V1200" s="229">
        <f>SUMIF(Input!$D$40:$AB$40,V$1171,$D368:$AB368)</f>
        <v>0</v>
      </c>
      <c r="W1200" s="229">
        <f>SUMIF(Input!$D$40:$AB$40,W$1171,$D368:$AB368)</f>
        <v>0</v>
      </c>
      <c r="X1200" s="229">
        <f>SUMIF(Input!$D$40:$AB$40,X$1171,$D368:$AB368)</f>
        <v>0</v>
      </c>
      <c r="Y1200" s="229">
        <f>SUMIF(Input!$D$40:$AB$40,Y$1171,$D368:$AB368)</f>
        <v>0</v>
      </c>
      <c r="Z1200" s="229">
        <f>SUMIF(Input!$D$40:$AB$40,Z$1171,$D368:$AB368)</f>
        <v>0</v>
      </c>
      <c r="AA1200" s="229">
        <f>SUMIF(Input!$D$40:$AB$40,AA$1171,$D368:$AB368)</f>
        <v>0</v>
      </c>
      <c r="AB1200" s="229">
        <f>SUMIF(Input!$D$40:$AB$40,AB$1171,$D368:$AB368)</f>
        <v>0</v>
      </c>
    </row>
    <row r="1201" spans="3:28" x14ac:dyDescent="0.3">
      <c r="C1201" s="479">
        <f>C1137</f>
        <v>912</v>
      </c>
      <c r="D1201" s="229">
        <f>SUMIF(Input!$D$40:$AB$40,D$1171,$D369:$AB369)</f>
        <v>0</v>
      </c>
      <c r="E1201" s="229">
        <f>SUMIF(Input!$D$40:$AB$40,E$1171,$D369:$AB369)</f>
        <v>0</v>
      </c>
      <c r="F1201" s="229">
        <f>SUMIF(Input!$D$40:$AB$40,F$1171,$D369:$AB369)</f>
        <v>0</v>
      </c>
      <c r="G1201" s="229">
        <f>SUMIF(Input!$D$40:$AB$40,G$1171,$D369:$AB369)</f>
        <v>0</v>
      </c>
      <c r="H1201" s="229">
        <f>SUMIF(Input!$D$40:$AB$40,H$1171,$D369:$AB369)</f>
        <v>0</v>
      </c>
      <c r="I1201" s="229">
        <f>SUMIF(Input!$D$40:$AB$40,I$1171,$D369:$AB369)</f>
        <v>0</v>
      </c>
      <c r="J1201" s="229">
        <f>SUMIF(Input!$D$40:$AB$40,J$1171,$D369:$AB369)</f>
        <v>0</v>
      </c>
      <c r="K1201" s="229">
        <f>SUMIF(Input!$D$40:$AB$40,K$1171,$D369:$AB369)</f>
        <v>0</v>
      </c>
      <c r="L1201" s="229">
        <f>SUMIF(Input!$D$40:$AB$40,L$1171,$D369:$AB369)</f>
        <v>0</v>
      </c>
      <c r="M1201" s="229">
        <f>SUMIF(Input!$D$40:$AB$40,M$1171,$D369:$AB369)</f>
        <v>0</v>
      </c>
      <c r="N1201" s="229">
        <f>SUMIF(Input!$D$40:$AB$40,N$1171,$D369:$AB369)</f>
        <v>0</v>
      </c>
      <c r="O1201" s="229">
        <f>SUMIF(Input!$D$40:$AB$40,O$1171,$D369:$AB369)</f>
        <v>0</v>
      </c>
      <c r="P1201" s="229">
        <f>SUMIF(Input!$D$40:$AB$40,P$1171,$D369:$AB369)</f>
        <v>0</v>
      </c>
      <c r="Q1201" s="229">
        <f>SUMIF(Input!$D$40:$AB$40,Q$1171,$D369:$AB369)</f>
        <v>0</v>
      </c>
      <c r="R1201" s="229">
        <f>SUMIF(Input!$D$40:$AB$40,R$1171,$D369:$AB369)</f>
        <v>0</v>
      </c>
      <c r="S1201" s="229">
        <f>SUMIF(Input!$D$40:$AB$40,S$1171,$D369:$AB369)</f>
        <v>0</v>
      </c>
      <c r="T1201" s="229">
        <f>SUMIF(Input!$D$40:$AB$40,T$1171,$D369:$AB369)</f>
        <v>0</v>
      </c>
      <c r="U1201" s="229">
        <f>SUMIF(Input!$D$40:$AB$40,U$1171,$D369:$AB369)</f>
        <v>0</v>
      </c>
      <c r="V1201" s="229">
        <f>SUMIF(Input!$D$40:$AB$40,V$1171,$D369:$AB369)</f>
        <v>0</v>
      </c>
      <c r="W1201" s="229">
        <f>SUMIF(Input!$D$40:$AB$40,W$1171,$D369:$AB369)</f>
        <v>0</v>
      </c>
      <c r="X1201" s="229">
        <f>SUMIF(Input!$D$40:$AB$40,X$1171,$D369:$AB369)</f>
        <v>0</v>
      </c>
      <c r="Y1201" s="229">
        <f>SUMIF(Input!$D$40:$AB$40,Y$1171,$D369:$AB369)</f>
        <v>0</v>
      </c>
      <c r="Z1201" s="229">
        <f>SUMIF(Input!$D$40:$AB$40,Z$1171,$D369:$AB369)</f>
        <v>0</v>
      </c>
      <c r="AA1201" s="229">
        <f>SUMIF(Input!$D$40:$AB$40,AA$1171,$D369:$AB369)</f>
        <v>0</v>
      </c>
      <c r="AB1201" s="229">
        <f>SUMIF(Input!$D$40:$AB$40,AB$1171,$D369:$AB369)</f>
        <v>0</v>
      </c>
    </row>
    <row r="1202" spans="3:28" x14ac:dyDescent="0.3">
      <c r="C1202" s="479">
        <f>C1138</f>
        <v>943</v>
      </c>
      <c r="D1202" s="229">
        <f>SUMIF(Input!$D$40:$AB$40,D$1171,$D370:$AB370)</f>
        <v>0</v>
      </c>
      <c r="E1202" s="229">
        <f>SUMIF(Input!$D$40:$AB$40,E$1171,$D370:$AB370)</f>
        <v>0</v>
      </c>
      <c r="F1202" s="229">
        <f>SUMIF(Input!$D$40:$AB$40,F$1171,$D370:$AB370)</f>
        <v>0</v>
      </c>
      <c r="G1202" s="229">
        <f>SUMIF(Input!$D$40:$AB$40,G$1171,$D370:$AB370)</f>
        <v>0</v>
      </c>
      <c r="H1202" s="229">
        <f>SUMIF(Input!$D$40:$AB$40,H$1171,$D370:$AB370)</f>
        <v>0</v>
      </c>
      <c r="I1202" s="229">
        <f>SUMIF(Input!$D$40:$AB$40,I$1171,$D370:$AB370)</f>
        <v>0</v>
      </c>
      <c r="J1202" s="229">
        <f>SUMIF(Input!$D$40:$AB$40,J$1171,$D370:$AB370)</f>
        <v>0</v>
      </c>
      <c r="K1202" s="229">
        <f>SUMIF(Input!$D$40:$AB$40,K$1171,$D370:$AB370)</f>
        <v>0</v>
      </c>
      <c r="L1202" s="229">
        <f>SUMIF(Input!$D$40:$AB$40,L$1171,$D370:$AB370)</f>
        <v>0</v>
      </c>
      <c r="M1202" s="229">
        <f>SUMIF(Input!$D$40:$AB$40,M$1171,$D370:$AB370)</f>
        <v>0</v>
      </c>
      <c r="N1202" s="229">
        <f>SUMIF(Input!$D$40:$AB$40,N$1171,$D370:$AB370)</f>
        <v>0</v>
      </c>
      <c r="O1202" s="229">
        <f>SUMIF(Input!$D$40:$AB$40,O$1171,$D370:$AB370)</f>
        <v>0</v>
      </c>
      <c r="P1202" s="229">
        <f>SUMIF(Input!$D$40:$AB$40,P$1171,$D370:$AB370)</f>
        <v>0</v>
      </c>
      <c r="Q1202" s="229">
        <f>SUMIF(Input!$D$40:$AB$40,Q$1171,$D370:$AB370)</f>
        <v>0</v>
      </c>
      <c r="R1202" s="229">
        <f>SUMIF(Input!$D$40:$AB$40,R$1171,$D370:$AB370)</f>
        <v>0</v>
      </c>
      <c r="S1202" s="229">
        <f>SUMIF(Input!$D$40:$AB$40,S$1171,$D370:$AB370)</f>
        <v>0</v>
      </c>
      <c r="T1202" s="229">
        <f>SUMIF(Input!$D$40:$AB$40,T$1171,$D370:$AB370)</f>
        <v>0</v>
      </c>
      <c r="U1202" s="229">
        <f>SUMIF(Input!$D$40:$AB$40,U$1171,$D370:$AB370)</f>
        <v>0</v>
      </c>
      <c r="V1202" s="229">
        <f>SUMIF(Input!$D$40:$AB$40,V$1171,$D370:$AB370)</f>
        <v>0</v>
      </c>
      <c r="W1202" s="229">
        <f>SUMIF(Input!$D$40:$AB$40,W$1171,$D370:$AB370)</f>
        <v>0</v>
      </c>
      <c r="X1202" s="229">
        <f>SUMIF(Input!$D$40:$AB$40,X$1171,$D370:$AB370)</f>
        <v>0</v>
      </c>
      <c r="Y1202" s="229">
        <f>SUMIF(Input!$D$40:$AB$40,Y$1171,$D370:$AB370)</f>
        <v>0</v>
      </c>
      <c r="Z1202" s="229">
        <f>SUMIF(Input!$D$40:$AB$40,Z$1171,$D370:$AB370)</f>
        <v>0</v>
      </c>
      <c r="AA1202" s="229">
        <f>SUMIF(Input!$D$40:$AB$40,AA$1171,$D370:$AB370)</f>
        <v>0</v>
      </c>
      <c r="AB1202" s="229">
        <f>SUMIF(Input!$D$40:$AB$40,AB$1171,$D370:$AB370)</f>
        <v>0</v>
      </c>
    </row>
    <row r="1203" spans="3:28" x14ac:dyDescent="0.3">
      <c r="C1203" s="479">
        <f>C1139</f>
        <v>974</v>
      </c>
      <c r="D1203" s="229">
        <f>SUMIF(Input!$D$40:$AB$40,D$1171,$D371:$AB371)</f>
        <v>0</v>
      </c>
      <c r="E1203" s="229">
        <f>SUMIF(Input!$D$40:$AB$40,E$1171,$D371:$AB371)</f>
        <v>0</v>
      </c>
      <c r="F1203" s="229">
        <f>SUMIF(Input!$D$40:$AB$40,F$1171,$D371:$AB371)</f>
        <v>0</v>
      </c>
      <c r="G1203" s="229">
        <f>SUMIF(Input!$D$40:$AB$40,G$1171,$D371:$AB371)</f>
        <v>0</v>
      </c>
      <c r="H1203" s="229">
        <f>SUMIF(Input!$D$40:$AB$40,H$1171,$D371:$AB371)</f>
        <v>0</v>
      </c>
      <c r="I1203" s="229">
        <f>SUMIF(Input!$D$40:$AB$40,I$1171,$D371:$AB371)</f>
        <v>0</v>
      </c>
      <c r="J1203" s="229">
        <f>SUMIF(Input!$D$40:$AB$40,J$1171,$D371:$AB371)</f>
        <v>0</v>
      </c>
      <c r="K1203" s="229">
        <f>SUMIF(Input!$D$40:$AB$40,K$1171,$D371:$AB371)</f>
        <v>0</v>
      </c>
      <c r="L1203" s="229">
        <f>SUMIF(Input!$D$40:$AB$40,L$1171,$D371:$AB371)</f>
        <v>0</v>
      </c>
      <c r="M1203" s="229">
        <f>SUMIF(Input!$D$40:$AB$40,M$1171,$D371:$AB371)</f>
        <v>0</v>
      </c>
      <c r="N1203" s="229">
        <f>SUMIF(Input!$D$40:$AB$40,N$1171,$D371:$AB371)</f>
        <v>0</v>
      </c>
      <c r="O1203" s="229">
        <f>SUMIF(Input!$D$40:$AB$40,O$1171,$D371:$AB371)</f>
        <v>0</v>
      </c>
      <c r="P1203" s="229">
        <f>SUMIF(Input!$D$40:$AB$40,P$1171,$D371:$AB371)</f>
        <v>0</v>
      </c>
      <c r="Q1203" s="229">
        <f>SUMIF(Input!$D$40:$AB$40,Q$1171,$D371:$AB371)</f>
        <v>0</v>
      </c>
      <c r="R1203" s="229">
        <f>SUMIF(Input!$D$40:$AB$40,R$1171,$D371:$AB371)</f>
        <v>0</v>
      </c>
      <c r="S1203" s="229">
        <f>SUMIF(Input!$D$40:$AB$40,S$1171,$D371:$AB371)</f>
        <v>0</v>
      </c>
      <c r="T1203" s="229">
        <f>SUMIF(Input!$D$40:$AB$40,T$1171,$D371:$AB371)</f>
        <v>0</v>
      </c>
      <c r="U1203" s="229">
        <f>SUMIF(Input!$D$40:$AB$40,U$1171,$D371:$AB371)</f>
        <v>0</v>
      </c>
      <c r="V1203" s="229">
        <f>SUMIF(Input!$D$40:$AB$40,V$1171,$D371:$AB371)</f>
        <v>0</v>
      </c>
      <c r="W1203" s="229">
        <f>SUMIF(Input!$D$40:$AB$40,W$1171,$D371:$AB371)</f>
        <v>0</v>
      </c>
      <c r="X1203" s="229">
        <f>SUMIF(Input!$D$40:$AB$40,X$1171,$D371:$AB371)</f>
        <v>0</v>
      </c>
      <c r="Y1203" s="229">
        <f>SUMIF(Input!$D$40:$AB$40,Y$1171,$D371:$AB371)</f>
        <v>0</v>
      </c>
      <c r="Z1203" s="229">
        <f>SUMIF(Input!$D$40:$AB$40,Z$1171,$D371:$AB371)</f>
        <v>0</v>
      </c>
      <c r="AA1203" s="229">
        <f>SUMIF(Input!$D$40:$AB$40,AA$1171,$D371:$AB371)</f>
        <v>0</v>
      </c>
      <c r="AB1203" s="229">
        <f>SUMIF(Input!$D$40:$AB$40,AB$1171,$D371:$AB371)</f>
        <v>0</v>
      </c>
    </row>
    <row r="1204" spans="3:28" x14ac:dyDescent="0.3">
      <c r="C1204" s="479">
        <f>C1140</f>
        <v>1004</v>
      </c>
      <c r="D1204" s="229">
        <f>SUMIF(Input!$D$40:$AB$40,D$1171,$D372:$AB372)</f>
        <v>0</v>
      </c>
      <c r="E1204" s="229">
        <f>SUMIF(Input!$D$40:$AB$40,E$1171,$D372:$AB372)</f>
        <v>0</v>
      </c>
      <c r="F1204" s="229">
        <f>SUMIF(Input!$D$40:$AB$40,F$1171,$D372:$AB372)</f>
        <v>0</v>
      </c>
      <c r="G1204" s="229">
        <f>SUMIF(Input!$D$40:$AB$40,G$1171,$D372:$AB372)</f>
        <v>0</v>
      </c>
      <c r="H1204" s="229">
        <f>SUMIF(Input!$D$40:$AB$40,H$1171,$D372:$AB372)</f>
        <v>0</v>
      </c>
      <c r="I1204" s="229">
        <f>SUMIF(Input!$D$40:$AB$40,I$1171,$D372:$AB372)</f>
        <v>0</v>
      </c>
      <c r="J1204" s="229">
        <f>SUMIF(Input!$D$40:$AB$40,J$1171,$D372:$AB372)</f>
        <v>0</v>
      </c>
      <c r="K1204" s="229">
        <f>SUMIF(Input!$D$40:$AB$40,K$1171,$D372:$AB372)</f>
        <v>0</v>
      </c>
      <c r="L1204" s="229">
        <f>SUMIF(Input!$D$40:$AB$40,L$1171,$D372:$AB372)</f>
        <v>0</v>
      </c>
      <c r="M1204" s="229">
        <f>SUMIF(Input!$D$40:$AB$40,M$1171,$D372:$AB372)</f>
        <v>0</v>
      </c>
      <c r="N1204" s="229">
        <f>SUMIF(Input!$D$40:$AB$40,N$1171,$D372:$AB372)</f>
        <v>0</v>
      </c>
      <c r="O1204" s="229">
        <f>SUMIF(Input!$D$40:$AB$40,O$1171,$D372:$AB372)</f>
        <v>0</v>
      </c>
      <c r="P1204" s="229">
        <f>SUMIF(Input!$D$40:$AB$40,P$1171,$D372:$AB372)</f>
        <v>0</v>
      </c>
      <c r="Q1204" s="229">
        <f>SUMIF(Input!$D$40:$AB$40,Q$1171,$D372:$AB372)</f>
        <v>0</v>
      </c>
      <c r="R1204" s="229">
        <f>SUMIF(Input!$D$40:$AB$40,R$1171,$D372:$AB372)</f>
        <v>0</v>
      </c>
      <c r="S1204" s="229">
        <f>SUMIF(Input!$D$40:$AB$40,S$1171,$D372:$AB372)</f>
        <v>0</v>
      </c>
      <c r="T1204" s="229">
        <f>SUMIF(Input!$D$40:$AB$40,T$1171,$D372:$AB372)</f>
        <v>0</v>
      </c>
      <c r="U1204" s="229">
        <f>SUMIF(Input!$D$40:$AB$40,U$1171,$D372:$AB372)</f>
        <v>0</v>
      </c>
      <c r="V1204" s="229">
        <f>SUMIF(Input!$D$40:$AB$40,V$1171,$D372:$AB372)</f>
        <v>0</v>
      </c>
      <c r="W1204" s="229">
        <f>SUMIF(Input!$D$40:$AB$40,W$1171,$D372:$AB372)</f>
        <v>0</v>
      </c>
      <c r="X1204" s="229">
        <f>SUMIF(Input!$D$40:$AB$40,X$1171,$D372:$AB372)</f>
        <v>0</v>
      </c>
      <c r="Y1204" s="229">
        <f>SUMIF(Input!$D$40:$AB$40,Y$1171,$D372:$AB372)</f>
        <v>0</v>
      </c>
      <c r="Z1204" s="229">
        <f>SUMIF(Input!$D$40:$AB$40,Z$1171,$D372:$AB372)</f>
        <v>0</v>
      </c>
      <c r="AA1204" s="229">
        <f>SUMIF(Input!$D$40:$AB$40,AA$1171,$D372:$AB372)</f>
        <v>0</v>
      </c>
      <c r="AB1204" s="229">
        <f>SUMIF(Input!$D$40:$AB$40,AB$1171,$D372:$AB372)</f>
        <v>0</v>
      </c>
    </row>
    <row r="1205" spans="3:28" x14ac:dyDescent="0.3">
      <c r="C1205" s="479">
        <f>C1141</f>
        <v>1035</v>
      </c>
      <c r="D1205" s="229">
        <f>SUMIF(Input!$D$40:$AB$40,D$1171,$D373:$AB373)</f>
        <v>0</v>
      </c>
      <c r="E1205" s="229">
        <f>SUMIF(Input!$D$40:$AB$40,E$1171,$D373:$AB373)</f>
        <v>0</v>
      </c>
      <c r="F1205" s="229">
        <f>SUMIF(Input!$D$40:$AB$40,F$1171,$D373:$AB373)</f>
        <v>0</v>
      </c>
      <c r="G1205" s="229">
        <f>SUMIF(Input!$D$40:$AB$40,G$1171,$D373:$AB373)</f>
        <v>0</v>
      </c>
      <c r="H1205" s="229">
        <f>SUMIF(Input!$D$40:$AB$40,H$1171,$D373:$AB373)</f>
        <v>0</v>
      </c>
      <c r="I1205" s="229">
        <f>SUMIF(Input!$D$40:$AB$40,I$1171,$D373:$AB373)</f>
        <v>0</v>
      </c>
      <c r="J1205" s="229">
        <f>SUMIF(Input!$D$40:$AB$40,J$1171,$D373:$AB373)</f>
        <v>0</v>
      </c>
      <c r="K1205" s="229">
        <f>SUMIF(Input!$D$40:$AB$40,K$1171,$D373:$AB373)</f>
        <v>0</v>
      </c>
      <c r="L1205" s="229">
        <f>SUMIF(Input!$D$40:$AB$40,L$1171,$D373:$AB373)</f>
        <v>0</v>
      </c>
      <c r="M1205" s="229">
        <f>SUMIF(Input!$D$40:$AB$40,M$1171,$D373:$AB373)</f>
        <v>0</v>
      </c>
      <c r="N1205" s="229">
        <f>SUMIF(Input!$D$40:$AB$40,N$1171,$D373:$AB373)</f>
        <v>0</v>
      </c>
      <c r="O1205" s="229">
        <f>SUMIF(Input!$D$40:$AB$40,O$1171,$D373:$AB373)</f>
        <v>0</v>
      </c>
      <c r="P1205" s="229">
        <f>SUMIF(Input!$D$40:$AB$40,P$1171,$D373:$AB373)</f>
        <v>0</v>
      </c>
      <c r="Q1205" s="229">
        <f>SUMIF(Input!$D$40:$AB$40,Q$1171,$D373:$AB373)</f>
        <v>0</v>
      </c>
      <c r="R1205" s="229">
        <f>SUMIF(Input!$D$40:$AB$40,R$1171,$D373:$AB373)</f>
        <v>0</v>
      </c>
      <c r="S1205" s="229">
        <f>SUMIF(Input!$D$40:$AB$40,S$1171,$D373:$AB373)</f>
        <v>0</v>
      </c>
      <c r="T1205" s="229">
        <f>SUMIF(Input!$D$40:$AB$40,T$1171,$D373:$AB373)</f>
        <v>0</v>
      </c>
      <c r="U1205" s="229">
        <f>SUMIF(Input!$D$40:$AB$40,U$1171,$D373:$AB373)</f>
        <v>0</v>
      </c>
      <c r="V1205" s="229">
        <f>SUMIF(Input!$D$40:$AB$40,V$1171,$D373:$AB373)</f>
        <v>0</v>
      </c>
      <c r="W1205" s="229">
        <f>SUMIF(Input!$D$40:$AB$40,W$1171,$D373:$AB373)</f>
        <v>0</v>
      </c>
      <c r="X1205" s="229">
        <f>SUMIF(Input!$D$40:$AB$40,X$1171,$D373:$AB373)</f>
        <v>0</v>
      </c>
      <c r="Y1205" s="229">
        <f>SUMIF(Input!$D$40:$AB$40,Y$1171,$D373:$AB373)</f>
        <v>0</v>
      </c>
      <c r="Z1205" s="229">
        <f>SUMIF(Input!$D$40:$AB$40,Z$1171,$D373:$AB373)</f>
        <v>0</v>
      </c>
      <c r="AA1205" s="229">
        <f>SUMIF(Input!$D$40:$AB$40,AA$1171,$D373:$AB373)</f>
        <v>0</v>
      </c>
      <c r="AB1205" s="229">
        <f>SUMIF(Input!$D$40:$AB$40,AB$1171,$D373:$AB373)</f>
        <v>0</v>
      </c>
    </row>
    <row r="1206" spans="3:28" x14ac:dyDescent="0.3">
      <c r="C1206" s="479">
        <f>C1142</f>
        <v>1065</v>
      </c>
      <c r="D1206" s="229">
        <f>SUMIF(Input!$D$40:$AB$40,D$1171,$D374:$AB374)</f>
        <v>0</v>
      </c>
      <c r="E1206" s="229">
        <f>SUMIF(Input!$D$40:$AB$40,E$1171,$D374:$AB374)</f>
        <v>0</v>
      </c>
      <c r="F1206" s="229">
        <f>SUMIF(Input!$D$40:$AB$40,F$1171,$D374:$AB374)</f>
        <v>0</v>
      </c>
      <c r="G1206" s="229">
        <f>SUMIF(Input!$D$40:$AB$40,G$1171,$D374:$AB374)</f>
        <v>0</v>
      </c>
      <c r="H1206" s="229">
        <f>SUMIF(Input!$D$40:$AB$40,H$1171,$D374:$AB374)</f>
        <v>0</v>
      </c>
      <c r="I1206" s="229">
        <f>SUMIF(Input!$D$40:$AB$40,I$1171,$D374:$AB374)</f>
        <v>0</v>
      </c>
      <c r="J1206" s="229">
        <f>SUMIF(Input!$D$40:$AB$40,J$1171,$D374:$AB374)</f>
        <v>0</v>
      </c>
      <c r="K1206" s="229">
        <f>SUMIF(Input!$D$40:$AB$40,K$1171,$D374:$AB374)</f>
        <v>0</v>
      </c>
      <c r="L1206" s="229">
        <f>SUMIF(Input!$D$40:$AB$40,L$1171,$D374:$AB374)</f>
        <v>0</v>
      </c>
      <c r="M1206" s="229">
        <f>SUMIF(Input!$D$40:$AB$40,M$1171,$D374:$AB374)</f>
        <v>0</v>
      </c>
      <c r="N1206" s="229">
        <f>SUMIF(Input!$D$40:$AB$40,N$1171,$D374:$AB374)</f>
        <v>0</v>
      </c>
      <c r="O1206" s="229">
        <f>SUMIF(Input!$D$40:$AB$40,O$1171,$D374:$AB374)</f>
        <v>0</v>
      </c>
      <c r="P1206" s="229">
        <f>SUMIF(Input!$D$40:$AB$40,P$1171,$D374:$AB374)</f>
        <v>0</v>
      </c>
      <c r="Q1206" s="229">
        <f>SUMIF(Input!$D$40:$AB$40,Q$1171,$D374:$AB374)</f>
        <v>0</v>
      </c>
      <c r="R1206" s="229">
        <f>SUMIF(Input!$D$40:$AB$40,R$1171,$D374:$AB374)</f>
        <v>0</v>
      </c>
      <c r="S1206" s="229">
        <f>SUMIF(Input!$D$40:$AB$40,S$1171,$D374:$AB374)</f>
        <v>0</v>
      </c>
      <c r="T1206" s="229">
        <f>SUMIF(Input!$D$40:$AB$40,T$1171,$D374:$AB374)</f>
        <v>0</v>
      </c>
      <c r="U1206" s="229">
        <f>SUMIF(Input!$D$40:$AB$40,U$1171,$D374:$AB374)</f>
        <v>0</v>
      </c>
      <c r="V1206" s="229">
        <f>SUMIF(Input!$D$40:$AB$40,V$1171,$D374:$AB374)</f>
        <v>0</v>
      </c>
      <c r="W1206" s="229">
        <f>SUMIF(Input!$D$40:$AB$40,W$1171,$D374:$AB374)</f>
        <v>0</v>
      </c>
      <c r="X1206" s="229">
        <f>SUMIF(Input!$D$40:$AB$40,X$1171,$D374:$AB374)</f>
        <v>0</v>
      </c>
      <c r="Y1206" s="229">
        <f>SUMIF(Input!$D$40:$AB$40,Y$1171,$D374:$AB374)</f>
        <v>0</v>
      </c>
      <c r="Z1206" s="229">
        <f>SUMIF(Input!$D$40:$AB$40,Z$1171,$D374:$AB374)</f>
        <v>0</v>
      </c>
      <c r="AA1206" s="229">
        <f>SUMIF(Input!$D$40:$AB$40,AA$1171,$D374:$AB374)</f>
        <v>0</v>
      </c>
      <c r="AB1206" s="229">
        <f>SUMIF(Input!$D$40:$AB$40,AB$1171,$D374:$AB374)</f>
        <v>0</v>
      </c>
    </row>
    <row r="1207" spans="3:28" ht="12.5" thickBot="1" x14ac:dyDescent="0.35">
      <c r="C1207" s="480">
        <f>C1143</f>
        <v>1096</v>
      </c>
      <c r="D1207" s="230">
        <f>SUMIF(Input!$D$40:$AB$40,D$1171,$D375:$AB375)</f>
        <v>0</v>
      </c>
      <c r="E1207" s="230">
        <f>SUMIF(Input!$D$40:$AB$40,E$1171,$D375:$AB375)</f>
        <v>0</v>
      </c>
      <c r="F1207" s="230">
        <f>SUMIF(Input!$D$40:$AB$40,F$1171,$D375:$AB375)</f>
        <v>0</v>
      </c>
      <c r="G1207" s="230">
        <f>SUMIF(Input!$D$40:$AB$40,G$1171,$D375:$AB375)</f>
        <v>0</v>
      </c>
      <c r="H1207" s="230">
        <f>SUMIF(Input!$D$40:$AB$40,H$1171,$D375:$AB375)</f>
        <v>0</v>
      </c>
      <c r="I1207" s="230">
        <f>SUMIF(Input!$D$40:$AB$40,I$1171,$D375:$AB375)</f>
        <v>0</v>
      </c>
      <c r="J1207" s="230">
        <f>SUMIF(Input!$D$40:$AB$40,J$1171,$D375:$AB375)</f>
        <v>0</v>
      </c>
      <c r="K1207" s="230">
        <f>SUMIF(Input!$D$40:$AB$40,K$1171,$D375:$AB375)</f>
        <v>0</v>
      </c>
      <c r="L1207" s="230">
        <f>SUMIF(Input!$D$40:$AB$40,L$1171,$D375:$AB375)</f>
        <v>0</v>
      </c>
      <c r="M1207" s="230">
        <f>SUMIF(Input!$D$40:$AB$40,M$1171,$D375:$AB375)</f>
        <v>0</v>
      </c>
      <c r="N1207" s="230">
        <f>SUMIF(Input!$D$40:$AB$40,N$1171,$D375:$AB375)</f>
        <v>0</v>
      </c>
      <c r="O1207" s="230">
        <f>SUMIF(Input!$D$40:$AB$40,O$1171,$D375:$AB375)</f>
        <v>0</v>
      </c>
      <c r="P1207" s="230">
        <f>SUMIF(Input!$D$40:$AB$40,P$1171,$D375:$AB375)</f>
        <v>0</v>
      </c>
      <c r="Q1207" s="230">
        <f>SUMIF(Input!$D$40:$AB$40,Q$1171,$D375:$AB375)</f>
        <v>0</v>
      </c>
      <c r="R1207" s="230">
        <f>SUMIF(Input!$D$40:$AB$40,R$1171,$D375:$AB375)</f>
        <v>0</v>
      </c>
      <c r="S1207" s="230">
        <f>SUMIF(Input!$D$40:$AB$40,S$1171,$D375:$AB375)</f>
        <v>0</v>
      </c>
      <c r="T1207" s="230">
        <f>SUMIF(Input!$D$40:$AB$40,T$1171,$D375:$AB375)</f>
        <v>0</v>
      </c>
      <c r="U1207" s="230">
        <f>SUMIF(Input!$D$40:$AB$40,U$1171,$D375:$AB375)</f>
        <v>0</v>
      </c>
      <c r="V1207" s="230">
        <f>SUMIF(Input!$D$40:$AB$40,V$1171,$D375:$AB375)</f>
        <v>0</v>
      </c>
      <c r="W1207" s="230">
        <f>SUMIF(Input!$D$40:$AB$40,W$1171,$D375:$AB375)</f>
        <v>0</v>
      </c>
      <c r="X1207" s="230">
        <f>SUMIF(Input!$D$40:$AB$40,X$1171,$D375:$AB375)</f>
        <v>0</v>
      </c>
      <c r="Y1207" s="230">
        <f>SUMIF(Input!$D$40:$AB$40,Y$1171,$D375:$AB375)</f>
        <v>0</v>
      </c>
      <c r="Z1207" s="230">
        <f>SUMIF(Input!$D$40:$AB$40,Z$1171,$D375:$AB375)</f>
        <v>0</v>
      </c>
      <c r="AA1207" s="230">
        <f>SUMIF(Input!$D$40:$AB$40,AA$1171,$D375:$AB375)</f>
        <v>0</v>
      </c>
      <c r="AB1207" s="230">
        <f>SUMIF(Input!$D$40:$AB$40,AB$1171,$D375:$AB375)</f>
        <v>0</v>
      </c>
    </row>
    <row r="1208" spans="3:28" x14ac:dyDescent="0.3">
      <c r="C1208" s="638">
        <f>C1144</f>
        <v>1127</v>
      </c>
      <c r="D1208" s="1233">
        <f>IF(Years="Five",SUMIF(Input!$D$40:$AB$40,D$1171,$D376:$AB376),SUM(D1172:D1207))</f>
        <v>0</v>
      </c>
      <c r="E1208" s="1235">
        <f>IF(Years="Five",SUMIF(Input!$D$40:$AB$40,E$1171,$D376:$AB376),SUM(E1172:E1207))</f>
        <v>0</v>
      </c>
      <c r="F1208" s="1235">
        <f>IF(Years="Five",SUMIF(Input!$D$40:$AB$40,F$1171,$D376:$AB376),SUM(F1172:F1207))</f>
        <v>0</v>
      </c>
      <c r="G1208" s="1235">
        <f>IF(Years="Five",SUMIF(Input!$D$40:$AB$40,G$1171,$D376:$AB376),SUM(G1172:G1207))</f>
        <v>0</v>
      </c>
      <c r="H1208" s="1235">
        <f>IF(Years="Five",SUMIF(Input!$D$40:$AB$40,H$1171,$D376:$AB376),SUM(H1172:H1207))</f>
        <v>0</v>
      </c>
      <c r="I1208" s="1235">
        <f>IF(Years="Five",SUMIF(Input!$D$40:$AB$40,I$1171,$D376:$AB376),SUM(I1172:I1207))</f>
        <v>0</v>
      </c>
      <c r="J1208" s="1235">
        <f>IF(Years="Five",SUMIF(Input!$D$40:$AB$40,J$1171,$D376:$AB376),SUM(J1172:J1207))</f>
        <v>0</v>
      </c>
      <c r="K1208" s="1235">
        <f>IF(Years="Five",SUMIF(Input!$D$40:$AB$40,K$1171,$D376:$AB376),SUM(K1172:K1207))</f>
        <v>0</v>
      </c>
      <c r="L1208" s="1235">
        <f>IF(Years="Five",SUMIF(Input!$D$40:$AB$40,L$1171,$D376:$AB376),SUM(L1172:L1207))</f>
        <v>0</v>
      </c>
      <c r="M1208" s="1235">
        <f>IF(Years="Five",SUMIF(Input!$D$40:$AB$40,M$1171,$D376:$AB376),SUM(M1172:M1207))</f>
        <v>0</v>
      </c>
      <c r="N1208" s="1235">
        <f>IF(Years="Five",SUMIF(Input!$D$40:$AB$40,N$1171,$D376:$AB376),SUM(N1172:N1207))</f>
        <v>0</v>
      </c>
      <c r="O1208" s="1235">
        <f>IF(Years="Five",SUMIF(Input!$D$40:$AB$40,O$1171,$D376:$AB376),SUM(O1172:O1207))</f>
        <v>0</v>
      </c>
      <c r="P1208" s="1235">
        <f>IF(Years="Five",SUMIF(Input!$D$40:$AB$40,P$1171,$D376:$AB376),SUM(P1172:P1207))</f>
        <v>0</v>
      </c>
      <c r="Q1208" s="1235">
        <f>IF(Years="Five",SUMIF(Input!$D$40:$AB$40,Q$1171,$D376:$AB376),SUM(Q1172:Q1207))</f>
        <v>0</v>
      </c>
      <c r="R1208" s="1235">
        <f>IF(Years="Five",SUMIF(Input!$D$40:$AB$40,R$1171,$D376:$AB376),SUM(R1172:R1207))</f>
        <v>0</v>
      </c>
      <c r="S1208" s="1235">
        <f>IF(Years="Five",SUMIF(Input!$D$40:$AB$40,S$1171,$D376:$AB376),SUM(S1172:S1207))</f>
        <v>0</v>
      </c>
      <c r="T1208" s="1235">
        <f>IF(Years="Five",SUMIF(Input!$D$40:$AB$40,T$1171,$D376:$AB376),SUM(T1172:T1207))</f>
        <v>0</v>
      </c>
      <c r="U1208" s="1235">
        <f>IF(Years="Five",SUMIF(Input!$D$40:$AB$40,U$1171,$D376:$AB376),SUM(U1172:U1207))</f>
        <v>0</v>
      </c>
      <c r="V1208" s="1235">
        <f>IF(Years="Five",SUMIF(Input!$D$40:$AB$40,V$1171,$D376:$AB376),SUM(V1172:V1207))</f>
        <v>0</v>
      </c>
      <c r="W1208" s="1235">
        <f>IF(Years="Five",SUMIF(Input!$D$40:$AB$40,W$1171,$D376:$AB376),SUM(W1172:W1207))</f>
        <v>0</v>
      </c>
      <c r="X1208" s="1235">
        <f>IF(Years="Five",SUMIF(Input!$D$40:$AB$40,X$1171,$D376:$AB376),SUM(X1172:X1207))</f>
        <v>0</v>
      </c>
      <c r="Y1208" s="1235">
        <f>IF(Years="Five",SUMIF(Input!$D$40:$AB$40,Y$1171,$D376:$AB376),SUM(Y1172:Y1207))</f>
        <v>0</v>
      </c>
      <c r="Z1208" s="1235">
        <f>IF(Years="Five",SUMIF(Input!$D$40:$AB$40,Z$1171,$D376:$AB376),SUM(Z1172:Z1207))</f>
        <v>0</v>
      </c>
      <c r="AA1208" s="1235">
        <f>IF(Years="Five",SUMIF(Input!$D$40:$AB$40,AA$1171,$D376:$AB376),SUM(AA1172:AA1207))</f>
        <v>0</v>
      </c>
      <c r="AB1208" s="1234">
        <f>IF(Years="Five",SUMIF(Input!$D$40:$AB$40,AB$1171,$D376:$AB376),SUM(AB1172:AB1207))</f>
        <v>0</v>
      </c>
    </row>
    <row r="1209" spans="3:28" x14ac:dyDescent="0.3">
      <c r="C1209" s="638">
        <f>C1145</f>
        <v>1155</v>
      </c>
      <c r="D1209" s="297">
        <f>IF(Years="Five",SUMIF(Input!$D$40:$AB$40,D$1171,$D377:$AB377),0)</f>
        <v>0</v>
      </c>
      <c r="E1209" s="229">
        <f>IF(Years="Five",SUMIF(Input!$D$40:$AB$40,E$1171,$D377:$AB377),0)</f>
        <v>0</v>
      </c>
      <c r="F1209" s="229">
        <f>IF(Years="Five",SUMIF(Input!$D$40:$AB$40,F$1171,$D377:$AB377),0)</f>
        <v>0</v>
      </c>
      <c r="G1209" s="229">
        <f>IF(Years="Five",SUMIF(Input!$D$40:$AB$40,G$1171,$D377:$AB377),0)</f>
        <v>0</v>
      </c>
      <c r="H1209" s="229">
        <f>IF(Years="Five",SUMIF(Input!$D$40:$AB$40,H$1171,$D377:$AB377),0)</f>
        <v>0</v>
      </c>
      <c r="I1209" s="229">
        <f>IF(Years="Five",SUMIF(Input!$D$40:$AB$40,I$1171,$D377:$AB377),0)</f>
        <v>0</v>
      </c>
      <c r="J1209" s="229">
        <f>IF(Years="Five",SUMIF(Input!$D$40:$AB$40,J$1171,$D377:$AB377),0)</f>
        <v>0</v>
      </c>
      <c r="K1209" s="229">
        <f>IF(Years="Five",SUMIF(Input!$D$40:$AB$40,K$1171,$D377:$AB377),0)</f>
        <v>0</v>
      </c>
      <c r="L1209" s="229">
        <f>IF(Years="Five",SUMIF(Input!$D$40:$AB$40,L$1171,$D377:$AB377),0)</f>
        <v>0</v>
      </c>
      <c r="M1209" s="229">
        <f>IF(Years="Five",SUMIF(Input!$D$40:$AB$40,M$1171,$D377:$AB377),0)</f>
        <v>0</v>
      </c>
      <c r="N1209" s="229">
        <f>IF(Years="Five",SUMIF(Input!$D$40:$AB$40,N$1171,$D377:$AB377),0)</f>
        <v>0</v>
      </c>
      <c r="O1209" s="229">
        <f>IF(Years="Five",SUMIF(Input!$D$40:$AB$40,O$1171,$D377:$AB377),0)</f>
        <v>0</v>
      </c>
      <c r="P1209" s="229">
        <f>IF(Years="Five",SUMIF(Input!$D$40:$AB$40,P$1171,$D377:$AB377),0)</f>
        <v>0</v>
      </c>
      <c r="Q1209" s="229">
        <f>IF(Years="Five",SUMIF(Input!$D$40:$AB$40,Q$1171,$D377:$AB377),0)</f>
        <v>0</v>
      </c>
      <c r="R1209" s="229">
        <f>IF(Years="Five",SUMIF(Input!$D$40:$AB$40,R$1171,$D377:$AB377),0)</f>
        <v>0</v>
      </c>
      <c r="S1209" s="229">
        <f>IF(Years="Five",SUMIF(Input!$D$40:$AB$40,S$1171,$D377:$AB377),0)</f>
        <v>0</v>
      </c>
      <c r="T1209" s="229">
        <f>IF(Years="Five",SUMIF(Input!$D$40:$AB$40,T$1171,$D377:$AB377),0)</f>
        <v>0</v>
      </c>
      <c r="U1209" s="229">
        <f>IF(Years="Five",SUMIF(Input!$D$40:$AB$40,U$1171,$D377:$AB377),0)</f>
        <v>0</v>
      </c>
      <c r="V1209" s="229">
        <f>IF(Years="Five",SUMIF(Input!$D$40:$AB$40,V$1171,$D377:$AB377),0)</f>
        <v>0</v>
      </c>
      <c r="W1209" s="229">
        <f>IF(Years="Five",SUMIF(Input!$D$40:$AB$40,W$1171,$D377:$AB377),0)</f>
        <v>0</v>
      </c>
      <c r="X1209" s="229">
        <f>IF(Years="Five",SUMIF(Input!$D$40:$AB$40,X$1171,$D377:$AB377),0)</f>
        <v>0</v>
      </c>
      <c r="Y1209" s="229">
        <f>IF(Years="Five",SUMIF(Input!$D$40:$AB$40,Y$1171,$D377:$AB377),0)</f>
        <v>0</v>
      </c>
      <c r="Z1209" s="229">
        <f>IF(Years="Five",SUMIF(Input!$D$40:$AB$40,Z$1171,$D377:$AB377),0)</f>
        <v>0</v>
      </c>
      <c r="AA1209" s="229">
        <f>IF(Years="Five",SUMIF(Input!$D$40:$AB$40,AA$1171,$D377:$AB377),0)</f>
        <v>0</v>
      </c>
      <c r="AB1209" s="298">
        <f>IF(Years="Five",SUMIF(Input!$D$40:$AB$40,AB$1171,$D377:$AB377),0)</f>
        <v>0</v>
      </c>
    </row>
    <row r="1210" spans="3:28" x14ac:dyDescent="0.3">
      <c r="C1210" s="638">
        <f>C1146</f>
        <v>1186</v>
      </c>
      <c r="D1210" s="297">
        <f>IF(Years="Five",SUMIF(Input!$D$40:$AB$40,D$1171,$D378:$AB378),0)</f>
        <v>0</v>
      </c>
      <c r="E1210" s="229">
        <f>IF(Years="Five",SUMIF(Input!$D$40:$AB$40,E$1171,$D378:$AB378),0)</f>
        <v>0</v>
      </c>
      <c r="F1210" s="229">
        <f>IF(Years="Five",SUMIF(Input!$D$40:$AB$40,F$1171,$D378:$AB378),0)</f>
        <v>0</v>
      </c>
      <c r="G1210" s="229">
        <f>IF(Years="Five",SUMIF(Input!$D$40:$AB$40,G$1171,$D378:$AB378),0)</f>
        <v>0</v>
      </c>
      <c r="H1210" s="229">
        <f>IF(Years="Five",SUMIF(Input!$D$40:$AB$40,H$1171,$D378:$AB378),0)</f>
        <v>0</v>
      </c>
      <c r="I1210" s="229">
        <f>IF(Years="Five",SUMIF(Input!$D$40:$AB$40,I$1171,$D378:$AB378),0)</f>
        <v>0</v>
      </c>
      <c r="J1210" s="229">
        <f>IF(Years="Five",SUMIF(Input!$D$40:$AB$40,J$1171,$D378:$AB378),0)</f>
        <v>0</v>
      </c>
      <c r="K1210" s="229">
        <f>IF(Years="Five",SUMIF(Input!$D$40:$AB$40,K$1171,$D378:$AB378),0)</f>
        <v>0</v>
      </c>
      <c r="L1210" s="229">
        <f>IF(Years="Five",SUMIF(Input!$D$40:$AB$40,L$1171,$D378:$AB378),0)</f>
        <v>0</v>
      </c>
      <c r="M1210" s="229">
        <f>IF(Years="Five",SUMIF(Input!$D$40:$AB$40,M$1171,$D378:$AB378),0)</f>
        <v>0</v>
      </c>
      <c r="N1210" s="229">
        <f>IF(Years="Five",SUMIF(Input!$D$40:$AB$40,N$1171,$D378:$AB378),0)</f>
        <v>0</v>
      </c>
      <c r="O1210" s="229">
        <f>IF(Years="Five",SUMIF(Input!$D$40:$AB$40,O$1171,$D378:$AB378),0)</f>
        <v>0</v>
      </c>
      <c r="P1210" s="229">
        <f>IF(Years="Five",SUMIF(Input!$D$40:$AB$40,P$1171,$D378:$AB378),0)</f>
        <v>0</v>
      </c>
      <c r="Q1210" s="229">
        <f>IF(Years="Five",SUMIF(Input!$D$40:$AB$40,Q$1171,$D378:$AB378),0)</f>
        <v>0</v>
      </c>
      <c r="R1210" s="229">
        <f>IF(Years="Five",SUMIF(Input!$D$40:$AB$40,R$1171,$D378:$AB378),0)</f>
        <v>0</v>
      </c>
      <c r="S1210" s="229">
        <f>IF(Years="Five",SUMIF(Input!$D$40:$AB$40,S$1171,$D378:$AB378),0)</f>
        <v>0</v>
      </c>
      <c r="T1210" s="229">
        <f>IF(Years="Five",SUMIF(Input!$D$40:$AB$40,T$1171,$D378:$AB378),0)</f>
        <v>0</v>
      </c>
      <c r="U1210" s="229">
        <f>IF(Years="Five",SUMIF(Input!$D$40:$AB$40,U$1171,$D378:$AB378),0)</f>
        <v>0</v>
      </c>
      <c r="V1210" s="229">
        <f>IF(Years="Five",SUMIF(Input!$D$40:$AB$40,V$1171,$D378:$AB378),0)</f>
        <v>0</v>
      </c>
      <c r="W1210" s="229">
        <f>IF(Years="Five",SUMIF(Input!$D$40:$AB$40,W$1171,$D378:$AB378),0)</f>
        <v>0</v>
      </c>
      <c r="X1210" s="229">
        <f>IF(Years="Five",SUMIF(Input!$D$40:$AB$40,X$1171,$D378:$AB378),0)</f>
        <v>0</v>
      </c>
      <c r="Y1210" s="229">
        <f>IF(Years="Five",SUMIF(Input!$D$40:$AB$40,Y$1171,$D378:$AB378),0)</f>
        <v>0</v>
      </c>
      <c r="Z1210" s="229">
        <f>IF(Years="Five",SUMIF(Input!$D$40:$AB$40,Z$1171,$D378:$AB378),0)</f>
        <v>0</v>
      </c>
      <c r="AA1210" s="229">
        <f>IF(Years="Five",SUMIF(Input!$D$40:$AB$40,AA$1171,$D378:$AB378),0)</f>
        <v>0</v>
      </c>
      <c r="AB1210" s="298">
        <f>IF(Years="Five",SUMIF(Input!$D$40:$AB$40,AB$1171,$D378:$AB378),0)</f>
        <v>0</v>
      </c>
    </row>
    <row r="1211" spans="3:28" x14ac:dyDescent="0.3">
      <c r="C1211" s="638">
        <f>C1147</f>
        <v>1216</v>
      </c>
      <c r="D1211" s="297">
        <f>IF(Years="Five",SUMIF(Input!$D$40:$AB$40,D$1171,$D379:$AB379),0)</f>
        <v>0</v>
      </c>
      <c r="E1211" s="229">
        <f>IF(Years="Five",SUMIF(Input!$D$40:$AB$40,E$1171,$D379:$AB379),0)</f>
        <v>0</v>
      </c>
      <c r="F1211" s="229">
        <f>IF(Years="Five",SUMIF(Input!$D$40:$AB$40,F$1171,$D379:$AB379),0)</f>
        <v>0</v>
      </c>
      <c r="G1211" s="229">
        <f>IF(Years="Five",SUMIF(Input!$D$40:$AB$40,G$1171,$D379:$AB379),0)</f>
        <v>0</v>
      </c>
      <c r="H1211" s="229">
        <f>IF(Years="Five",SUMIF(Input!$D$40:$AB$40,H$1171,$D379:$AB379),0)</f>
        <v>0</v>
      </c>
      <c r="I1211" s="229">
        <f>IF(Years="Five",SUMIF(Input!$D$40:$AB$40,I$1171,$D379:$AB379),0)</f>
        <v>0</v>
      </c>
      <c r="J1211" s="229">
        <f>IF(Years="Five",SUMIF(Input!$D$40:$AB$40,J$1171,$D379:$AB379),0)</f>
        <v>0</v>
      </c>
      <c r="K1211" s="229">
        <f>IF(Years="Five",SUMIF(Input!$D$40:$AB$40,K$1171,$D379:$AB379),0)</f>
        <v>0</v>
      </c>
      <c r="L1211" s="229">
        <f>IF(Years="Five",SUMIF(Input!$D$40:$AB$40,L$1171,$D379:$AB379),0)</f>
        <v>0</v>
      </c>
      <c r="M1211" s="229">
        <f>IF(Years="Five",SUMIF(Input!$D$40:$AB$40,M$1171,$D379:$AB379),0)</f>
        <v>0</v>
      </c>
      <c r="N1211" s="229">
        <f>IF(Years="Five",SUMIF(Input!$D$40:$AB$40,N$1171,$D379:$AB379),0)</f>
        <v>0</v>
      </c>
      <c r="O1211" s="229">
        <f>IF(Years="Five",SUMIF(Input!$D$40:$AB$40,O$1171,$D379:$AB379),0)</f>
        <v>0</v>
      </c>
      <c r="P1211" s="229">
        <f>IF(Years="Five",SUMIF(Input!$D$40:$AB$40,P$1171,$D379:$AB379),0)</f>
        <v>0</v>
      </c>
      <c r="Q1211" s="229">
        <f>IF(Years="Five",SUMIF(Input!$D$40:$AB$40,Q$1171,$D379:$AB379),0)</f>
        <v>0</v>
      </c>
      <c r="R1211" s="229">
        <f>IF(Years="Five",SUMIF(Input!$D$40:$AB$40,R$1171,$D379:$AB379),0)</f>
        <v>0</v>
      </c>
      <c r="S1211" s="229">
        <f>IF(Years="Five",SUMIF(Input!$D$40:$AB$40,S$1171,$D379:$AB379),0)</f>
        <v>0</v>
      </c>
      <c r="T1211" s="229">
        <f>IF(Years="Five",SUMIF(Input!$D$40:$AB$40,T$1171,$D379:$AB379),0)</f>
        <v>0</v>
      </c>
      <c r="U1211" s="229">
        <f>IF(Years="Five",SUMIF(Input!$D$40:$AB$40,U$1171,$D379:$AB379),0)</f>
        <v>0</v>
      </c>
      <c r="V1211" s="229">
        <f>IF(Years="Five",SUMIF(Input!$D$40:$AB$40,V$1171,$D379:$AB379),0)</f>
        <v>0</v>
      </c>
      <c r="W1211" s="229">
        <f>IF(Years="Five",SUMIF(Input!$D$40:$AB$40,W$1171,$D379:$AB379),0)</f>
        <v>0</v>
      </c>
      <c r="X1211" s="229">
        <f>IF(Years="Five",SUMIF(Input!$D$40:$AB$40,X$1171,$D379:$AB379),0)</f>
        <v>0</v>
      </c>
      <c r="Y1211" s="229">
        <f>IF(Years="Five",SUMIF(Input!$D$40:$AB$40,Y$1171,$D379:$AB379),0)</f>
        <v>0</v>
      </c>
      <c r="Z1211" s="229">
        <f>IF(Years="Five",SUMIF(Input!$D$40:$AB$40,Z$1171,$D379:$AB379),0)</f>
        <v>0</v>
      </c>
      <c r="AA1211" s="229">
        <f>IF(Years="Five",SUMIF(Input!$D$40:$AB$40,AA$1171,$D379:$AB379),0)</f>
        <v>0</v>
      </c>
      <c r="AB1211" s="298">
        <f>IF(Years="Five",SUMIF(Input!$D$40:$AB$40,AB$1171,$D379:$AB379),0)</f>
        <v>0</v>
      </c>
    </row>
    <row r="1212" spans="3:28" x14ac:dyDescent="0.3">
      <c r="C1212" s="638">
        <f>C1148</f>
        <v>1247</v>
      </c>
      <c r="D1212" s="297">
        <f>IF(Years="Five",SUMIF(Input!$D$40:$AB$40,D$1171,$D380:$AB380),0)</f>
        <v>0</v>
      </c>
      <c r="E1212" s="229">
        <f>IF(Years="Five",SUMIF(Input!$D$40:$AB$40,E$1171,$D380:$AB380),0)</f>
        <v>0</v>
      </c>
      <c r="F1212" s="229">
        <f>IF(Years="Five",SUMIF(Input!$D$40:$AB$40,F$1171,$D380:$AB380),0)</f>
        <v>0</v>
      </c>
      <c r="G1212" s="229">
        <f>IF(Years="Five",SUMIF(Input!$D$40:$AB$40,G$1171,$D380:$AB380),0)</f>
        <v>0</v>
      </c>
      <c r="H1212" s="229">
        <f>IF(Years="Five",SUMIF(Input!$D$40:$AB$40,H$1171,$D380:$AB380),0)</f>
        <v>0</v>
      </c>
      <c r="I1212" s="229">
        <f>IF(Years="Five",SUMIF(Input!$D$40:$AB$40,I$1171,$D380:$AB380),0)</f>
        <v>0</v>
      </c>
      <c r="J1212" s="229">
        <f>IF(Years="Five",SUMIF(Input!$D$40:$AB$40,J$1171,$D380:$AB380),0)</f>
        <v>0</v>
      </c>
      <c r="K1212" s="229">
        <f>IF(Years="Five",SUMIF(Input!$D$40:$AB$40,K$1171,$D380:$AB380),0)</f>
        <v>0</v>
      </c>
      <c r="L1212" s="229">
        <f>IF(Years="Five",SUMIF(Input!$D$40:$AB$40,L$1171,$D380:$AB380),0)</f>
        <v>0</v>
      </c>
      <c r="M1212" s="229">
        <f>IF(Years="Five",SUMIF(Input!$D$40:$AB$40,M$1171,$D380:$AB380),0)</f>
        <v>0</v>
      </c>
      <c r="N1212" s="229">
        <f>IF(Years="Five",SUMIF(Input!$D$40:$AB$40,N$1171,$D380:$AB380),0)</f>
        <v>0</v>
      </c>
      <c r="O1212" s="229">
        <f>IF(Years="Five",SUMIF(Input!$D$40:$AB$40,O$1171,$D380:$AB380),0)</f>
        <v>0</v>
      </c>
      <c r="P1212" s="229">
        <f>IF(Years="Five",SUMIF(Input!$D$40:$AB$40,P$1171,$D380:$AB380),0)</f>
        <v>0</v>
      </c>
      <c r="Q1212" s="229">
        <f>IF(Years="Five",SUMIF(Input!$D$40:$AB$40,Q$1171,$D380:$AB380),0)</f>
        <v>0</v>
      </c>
      <c r="R1212" s="229">
        <f>IF(Years="Five",SUMIF(Input!$D$40:$AB$40,R$1171,$D380:$AB380),0)</f>
        <v>0</v>
      </c>
      <c r="S1212" s="229">
        <f>IF(Years="Five",SUMIF(Input!$D$40:$AB$40,S$1171,$D380:$AB380),0)</f>
        <v>0</v>
      </c>
      <c r="T1212" s="229">
        <f>IF(Years="Five",SUMIF(Input!$D$40:$AB$40,T$1171,$D380:$AB380),0)</f>
        <v>0</v>
      </c>
      <c r="U1212" s="229">
        <f>IF(Years="Five",SUMIF(Input!$D$40:$AB$40,U$1171,$D380:$AB380),0)</f>
        <v>0</v>
      </c>
      <c r="V1212" s="229">
        <f>IF(Years="Five",SUMIF(Input!$D$40:$AB$40,V$1171,$D380:$AB380),0)</f>
        <v>0</v>
      </c>
      <c r="W1212" s="229">
        <f>IF(Years="Five",SUMIF(Input!$D$40:$AB$40,W$1171,$D380:$AB380),0)</f>
        <v>0</v>
      </c>
      <c r="X1212" s="229">
        <f>IF(Years="Five",SUMIF(Input!$D$40:$AB$40,X$1171,$D380:$AB380),0)</f>
        <v>0</v>
      </c>
      <c r="Y1212" s="229">
        <f>IF(Years="Five",SUMIF(Input!$D$40:$AB$40,Y$1171,$D380:$AB380),0)</f>
        <v>0</v>
      </c>
      <c r="Z1212" s="229">
        <f>IF(Years="Five",SUMIF(Input!$D$40:$AB$40,Z$1171,$D380:$AB380),0)</f>
        <v>0</v>
      </c>
      <c r="AA1212" s="229">
        <f>IF(Years="Five",SUMIF(Input!$D$40:$AB$40,AA$1171,$D380:$AB380),0)</f>
        <v>0</v>
      </c>
      <c r="AB1212" s="298">
        <f>IF(Years="Five",SUMIF(Input!$D$40:$AB$40,AB$1171,$D380:$AB380),0)</f>
        <v>0</v>
      </c>
    </row>
    <row r="1213" spans="3:28" x14ac:dyDescent="0.3">
      <c r="C1213" s="638">
        <f>C1149</f>
        <v>1277</v>
      </c>
      <c r="D1213" s="297">
        <f>IF(Years="Five",SUMIF(Input!$D$40:$AB$40,D$1171,$D381:$AB381),0)</f>
        <v>0</v>
      </c>
      <c r="E1213" s="229">
        <f>IF(Years="Five",SUMIF(Input!$D$40:$AB$40,E$1171,$D381:$AB381),0)</f>
        <v>0</v>
      </c>
      <c r="F1213" s="229">
        <f>IF(Years="Five",SUMIF(Input!$D$40:$AB$40,F$1171,$D381:$AB381),0)</f>
        <v>0</v>
      </c>
      <c r="G1213" s="229">
        <f>IF(Years="Five",SUMIF(Input!$D$40:$AB$40,G$1171,$D381:$AB381),0)</f>
        <v>0</v>
      </c>
      <c r="H1213" s="229">
        <f>IF(Years="Five",SUMIF(Input!$D$40:$AB$40,H$1171,$D381:$AB381),0)</f>
        <v>0</v>
      </c>
      <c r="I1213" s="229">
        <f>IF(Years="Five",SUMIF(Input!$D$40:$AB$40,I$1171,$D381:$AB381),0)</f>
        <v>0</v>
      </c>
      <c r="J1213" s="229">
        <f>IF(Years="Five",SUMIF(Input!$D$40:$AB$40,J$1171,$D381:$AB381),0)</f>
        <v>0</v>
      </c>
      <c r="K1213" s="229">
        <f>IF(Years="Five",SUMIF(Input!$D$40:$AB$40,K$1171,$D381:$AB381),0)</f>
        <v>0</v>
      </c>
      <c r="L1213" s="229">
        <f>IF(Years="Five",SUMIF(Input!$D$40:$AB$40,L$1171,$D381:$AB381),0)</f>
        <v>0</v>
      </c>
      <c r="M1213" s="229">
        <f>IF(Years="Five",SUMIF(Input!$D$40:$AB$40,M$1171,$D381:$AB381),0)</f>
        <v>0</v>
      </c>
      <c r="N1213" s="229">
        <f>IF(Years="Five",SUMIF(Input!$D$40:$AB$40,N$1171,$D381:$AB381),0)</f>
        <v>0</v>
      </c>
      <c r="O1213" s="229">
        <f>IF(Years="Five",SUMIF(Input!$D$40:$AB$40,O$1171,$D381:$AB381),0)</f>
        <v>0</v>
      </c>
      <c r="P1213" s="229">
        <f>IF(Years="Five",SUMIF(Input!$D$40:$AB$40,P$1171,$D381:$AB381),0)</f>
        <v>0</v>
      </c>
      <c r="Q1213" s="229">
        <f>IF(Years="Five",SUMIF(Input!$D$40:$AB$40,Q$1171,$D381:$AB381),0)</f>
        <v>0</v>
      </c>
      <c r="R1213" s="229">
        <f>IF(Years="Five",SUMIF(Input!$D$40:$AB$40,R$1171,$D381:$AB381),0)</f>
        <v>0</v>
      </c>
      <c r="S1213" s="229">
        <f>IF(Years="Five",SUMIF(Input!$D$40:$AB$40,S$1171,$D381:$AB381),0)</f>
        <v>0</v>
      </c>
      <c r="T1213" s="229">
        <f>IF(Years="Five",SUMIF(Input!$D$40:$AB$40,T$1171,$D381:$AB381),0)</f>
        <v>0</v>
      </c>
      <c r="U1213" s="229">
        <f>IF(Years="Five",SUMIF(Input!$D$40:$AB$40,U$1171,$D381:$AB381),0)</f>
        <v>0</v>
      </c>
      <c r="V1213" s="229">
        <f>IF(Years="Five",SUMIF(Input!$D$40:$AB$40,V$1171,$D381:$AB381),0)</f>
        <v>0</v>
      </c>
      <c r="W1213" s="229">
        <f>IF(Years="Five",SUMIF(Input!$D$40:$AB$40,W$1171,$D381:$AB381),0)</f>
        <v>0</v>
      </c>
      <c r="X1213" s="229">
        <f>IF(Years="Five",SUMIF(Input!$D$40:$AB$40,X$1171,$D381:$AB381),0)</f>
        <v>0</v>
      </c>
      <c r="Y1213" s="229">
        <f>IF(Years="Five",SUMIF(Input!$D$40:$AB$40,Y$1171,$D381:$AB381),0)</f>
        <v>0</v>
      </c>
      <c r="Z1213" s="229">
        <f>IF(Years="Five",SUMIF(Input!$D$40:$AB$40,Z$1171,$D381:$AB381),0)</f>
        <v>0</v>
      </c>
      <c r="AA1213" s="229">
        <f>IF(Years="Five",SUMIF(Input!$D$40:$AB$40,AA$1171,$D381:$AB381),0)</f>
        <v>0</v>
      </c>
      <c r="AB1213" s="298">
        <f>IF(Years="Five",SUMIF(Input!$D$40:$AB$40,AB$1171,$D381:$AB381),0)</f>
        <v>0</v>
      </c>
    </row>
    <row r="1214" spans="3:28" x14ac:dyDescent="0.3">
      <c r="C1214" s="638">
        <f>C1150</f>
        <v>1308</v>
      </c>
      <c r="D1214" s="297">
        <f>IF(Years="Five",SUMIF(Input!$D$40:$AB$40,D$1171,$D382:$AB382),0)</f>
        <v>0</v>
      </c>
      <c r="E1214" s="229">
        <f>IF(Years="Five",SUMIF(Input!$D$40:$AB$40,E$1171,$D382:$AB382),0)</f>
        <v>0</v>
      </c>
      <c r="F1214" s="229">
        <f>IF(Years="Five",SUMIF(Input!$D$40:$AB$40,F$1171,$D382:$AB382),0)</f>
        <v>0</v>
      </c>
      <c r="G1214" s="229">
        <f>IF(Years="Five",SUMIF(Input!$D$40:$AB$40,G$1171,$D382:$AB382),0)</f>
        <v>0</v>
      </c>
      <c r="H1214" s="229">
        <f>IF(Years="Five",SUMIF(Input!$D$40:$AB$40,H$1171,$D382:$AB382),0)</f>
        <v>0</v>
      </c>
      <c r="I1214" s="229">
        <f>IF(Years="Five",SUMIF(Input!$D$40:$AB$40,I$1171,$D382:$AB382),0)</f>
        <v>0</v>
      </c>
      <c r="J1214" s="229">
        <f>IF(Years="Five",SUMIF(Input!$D$40:$AB$40,J$1171,$D382:$AB382),0)</f>
        <v>0</v>
      </c>
      <c r="K1214" s="229">
        <f>IF(Years="Five",SUMIF(Input!$D$40:$AB$40,K$1171,$D382:$AB382),0)</f>
        <v>0</v>
      </c>
      <c r="L1214" s="229">
        <f>IF(Years="Five",SUMIF(Input!$D$40:$AB$40,L$1171,$D382:$AB382),0)</f>
        <v>0</v>
      </c>
      <c r="M1214" s="229">
        <f>IF(Years="Five",SUMIF(Input!$D$40:$AB$40,M$1171,$D382:$AB382),0)</f>
        <v>0</v>
      </c>
      <c r="N1214" s="229">
        <f>IF(Years="Five",SUMIF(Input!$D$40:$AB$40,N$1171,$D382:$AB382),0)</f>
        <v>0</v>
      </c>
      <c r="O1214" s="229">
        <f>IF(Years="Five",SUMIF(Input!$D$40:$AB$40,O$1171,$D382:$AB382),0)</f>
        <v>0</v>
      </c>
      <c r="P1214" s="229">
        <f>IF(Years="Five",SUMIF(Input!$D$40:$AB$40,P$1171,$D382:$AB382),0)</f>
        <v>0</v>
      </c>
      <c r="Q1214" s="229">
        <f>IF(Years="Five",SUMIF(Input!$D$40:$AB$40,Q$1171,$D382:$AB382),0)</f>
        <v>0</v>
      </c>
      <c r="R1214" s="229">
        <f>IF(Years="Five",SUMIF(Input!$D$40:$AB$40,R$1171,$D382:$AB382),0)</f>
        <v>0</v>
      </c>
      <c r="S1214" s="229">
        <f>IF(Years="Five",SUMIF(Input!$D$40:$AB$40,S$1171,$D382:$AB382),0)</f>
        <v>0</v>
      </c>
      <c r="T1214" s="229">
        <f>IF(Years="Five",SUMIF(Input!$D$40:$AB$40,T$1171,$D382:$AB382),0)</f>
        <v>0</v>
      </c>
      <c r="U1214" s="229">
        <f>IF(Years="Five",SUMIF(Input!$D$40:$AB$40,U$1171,$D382:$AB382),0)</f>
        <v>0</v>
      </c>
      <c r="V1214" s="229">
        <f>IF(Years="Five",SUMIF(Input!$D$40:$AB$40,V$1171,$D382:$AB382),0)</f>
        <v>0</v>
      </c>
      <c r="W1214" s="229">
        <f>IF(Years="Five",SUMIF(Input!$D$40:$AB$40,W$1171,$D382:$AB382),0)</f>
        <v>0</v>
      </c>
      <c r="X1214" s="229">
        <f>IF(Years="Five",SUMIF(Input!$D$40:$AB$40,X$1171,$D382:$AB382),0)</f>
        <v>0</v>
      </c>
      <c r="Y1214" s="229">
        <f>IF(Years="Five",SUMIF(Input!$D$40:$AB$40,Y$1171,$D382:$AB382),0)</f>
        <v>0</v>
      </c>
      <c r="Z1214" s="229">
        <f>IF(Years="Five",SUMIF(Input!$D$40:$AB$40,Z$1171,$D382:$AB382),0)</f>
        <v>0</v>
      </c>
      <c r="AA1214" s="229">
        <f>IF(Years="Five",SUMIF(Input!$D$40:$AB$40,AA$1171,$D382:$AB382),0)</f>
        <v>0</v>
      </c>
      <c r="AB1214" s="298">
        <f>IF(Years="Five",SUMIF(Input!$D$40:$AB$40,AB$1171,$D382:$AB382),0)</f>
        <v>0</v>
      </c>
    </row>
    <row r="1215" spans="3:28" x14ac:dyDescent="0.3">
      <c r="C1215" s="638">
        <f>C1151</f>
        <v>1339</v>
      </c>
      <c r="D1215" s="297">
        <f>IF(Years="Five",SUMIF(Input!$D$40:$AB$40,D$1171,$D383:$AB383),0)</f>
        <v>0</v>
      </c>
      <c r="E1215" s="229">
        <f>IF(Years="Five",SUMIF(Input!$D$40:$AB$40,E$1171,$D383:$AB383),0)</f>
        <v>0</v>
      </c>
      <c r="F1215" s="229">
        <f>IF(Years="Five",SUMIF(Input!$D$40:$AB$40,F$1171,$D383:$AB383),0)</f>
        <v>0</v>
      </c>
      <c r="G1215" s="229">
        <f>IF(Years="Five",SUMIF(Input!$D$40:$AB$40,G$1171,$D383:$AB383),0)</f>
        <v>0</v>
      </c>
      <c r="H1215" s="229">
        <f>IF(Years="Five",SUMIF(Input!$D$40:$AB$40,H$1171,$D383:$AB383),0)</f>
        <v>0</v>
      </c>
      <c r="I1215" s="229">
        <f>IF(Years="Five",SUMIF(Input!$D$40:$AB$40,I$1171,$D383:$AB383),0)</f>
        <v>0</v>
      </c>
      <c r="J1215" s="229">
        <f>IF(Years="Five",SUMIF(Input!$D$40:$AB$40,J$1171,$D383:$AB383),0)</f>
        <v>0</v>
      </c>
      <c r="K1215" s="229">
        <f>IF(Years="Five",SUMIF(Input!$D$40:$AB$40,K$1171,$D383:$AB383),0)</f>
        <v>0</v>
      </c>
      <c r="L1215" s="229">
        <f>IF(Years="Five",SUMIF(Input!$D$40:$AB$40,L$1171,$D383:$AB383),0)</f>
        <v>0</v>
      </c>
      <c r="M1215" s="229">
        <f>IF(Years="Five",SUMIF(Input!$D$40:$AB$40,M$1171,$D383:$AB383),0)</f>
        <v>0</v>
      </c>
      <c r="N1215" s="229">
        <f>IF(Years="Five",SUMIF(Input!$D$40:$AB$40,N$1171,$D383:$AB383),0)</f>
        <v>0</v>
      </c>
      <c r="O1215" s="229">
        <f>IF(Years="Five",SUMIF(Input!$D$40:$AB$40,O$1171,$D383:$AB383),0)</f>
        <v>0</v>
      </c>
      <c r="P1215" s="229">
        <f>IF(Years="Five",SUMIF(Input!$D$40:$AB$40,P$1171,$D383:$AB383),0)</f>
        <v>0</v>
      </c>
      <c r="Q1215" s="229">
        <f>IF(Years="Five",SUMIF(Input!$D$40:$AB$40,Q$1171,$D383:$AB383),0)</f>
        <v>0</v>
      </c>
      <c r="R1215" s="229">
        <f>IF(Years="Five",SUMIF(Input!$D$40:$AB$40,R$1171,$D383:$AB383),0)</f>
        <v>0</v>
      </c>
      <c r="S1215" s="229">
        <f>IF(Years="Five",SUMIF(Input!$D$40:$AB$40,S$1171,$D383:$AB383),0)</f>
        <v>0</v>
      </c>
      <c r="T1215" s="229">
        <f>IF(Years="Five",SUMIF(Input!$D$40:$AB$40,T$1171,$D383:$AB383),0)</f>
        <v>0</v>
      </c>
      <c r="U1215" s="229">
        <f>IF(Years="Five",SUMIF(Input!$D$40:$AB$40,U$1171,$D383:$AB383),0)</f>
        <v>0</v>
      </c>
      <c r="V1215" s="229">
        <f>IF(Years="Five",SUMIF(Input!$D$40:$AB$40,V$1171,$D383:$AB383),0)</f>
        <v>0</v>
      </c>
      <c r="W1215" s="229">
        <f>IF(Years="Five",SUMIF(Input!$D$40:$AB$40,W$1171,$D383:$AB383),0)</f>
        <v>0</v>
      </c>
      <c r="X1215" s="229">
        <f>IF(Years="Five",SUMIF(Input!$D$40:$AB$40,X$1171,$D383:$AB383),0)</f>
        <v>0</v>
      </c>
      <c r="Y1215" s="229">
        <f>IF(Years="Five",SUMIF(Input!$D$40:$AB$40,Y$1171,$D383:$AB383),0)</f>
        <v>0</v>
      </c>
      <c r="Z1215" s="229">
        <f>IF(Years="Five",SUMIF(Input!$D$40:$AB$40,Z$1171,$D383:$AB383),0)</f>
        <v>0</v>
      </c>
      <c r="AA1215" s="229">
        <f>IF(Years="Five",SUMIF(Input!$D$40:$AB$40,AA$1171,$D383:$AB383),0)</f>
        <v>0</v>
      </c>
      <c r="AB1215" s="298">
        <f>IF(Years="Five",SUMIF(Input!$D$40:$AB$40,AB$1171,$D383:$AB383),0)</f>
        <v>0</v>
      </c>
    </row>
    <row r="1216" spans="3:28" x14ac:dyDescent="0.3">
      <c r="C1216" s="638">
        <f>C1152</f>
        <v>1369</v>
      </c>
      <c r="D1216" s="297">
        <f>IF(Years="Five",SUMIF(Input!$D$40:$AB$40,D$1171,$D384:$AB384),0)</f>
        <v>0</v>
      </c>
      <c r="E1216" s="229">
        <f>IF(Years="Five",SUMIF(Input!$D$40:$AB$40,E$1171,$D384:$AB384),0)</f>
        <v>0</v>
      </c>
      <c r="F1216" s="229">
        <f>IF(Years="Five",SUMIF(Input!$D$40:$AB$40,F$1171,$D384:$AB384),0)</f>
        <v>0</v>
      </c>
      <c r="G1216" s="229">
        <f>IF(Years="Five",SUMIF(Input!$D$40:$AB$40,G$1171,$D384:$AB384),0)</f>
        <v>0</v>
      </c>
      <c r="H1216" s="229">
        <f>IF(Years="Five",SUMIF(Input!$D$40:$AB$40,H$1171,$D384:$AB384),0)</f>
        <v>0</v>
      </c>
      <c r="I1216" s="229">
        <f>IF(Years="Five",SUMIF(Input!$D$40:$AB$40,I$1171,$D384:$AB384),0)</f>
        <v>0</v>
      </c>
      <c r="J1216" s="229">
        <f>IF(Years="Five",SUMIF(Input!$D$40:$AB$40,J$1171,$D384:$AB384),0)</f>
        <v>0</v>
      </c>
      <c r="K1216" s="229">
        <f>IF(Years="Five",SUMIF(Input!$D$40:$AB$40,K$1171,$D384:$AB384),0)</f>
        <v>0</v>
      </c>
      <c r="L1216" s="229">
        <f>IF(Years="Five",SUMIF(Input!$D$40:$AB$40,L$1171,$D384:$AB384),0)</f>
        <v>0</v>
      </c>
      <c r="M1216" s="229">
        <f>IF(Years="Five",SUMIF(Input!$D$40:$AB$40,M$1171,$D384:$AB384),0)</f>
        <v>0</v>
      </c>
      <c r="N1216" s="229">
        <f>IF(Years="Five",SUMIF(Input!$D$40:$AB$40,N$1171,$D384:$AB384),0)</f>
        <v>0</v>
      </c>
      <c r="O1216" s="229">
        <f>IF(Years="Five",SUMIF(Input!$D$40:$AB$40,O$1171,$D384:$AB384),0)</f>
        <v>0</v>
      </c>
      <c r="P1216" s="229">
        <f>IF(Years="Five",SUMIF(Input!$D$40:$AB$40,P$1171,$D384:$AB384),0)</f>
        <v>0</v>
      </c>
      <c r="Q1216" s="229">
        <f>IF(Years="Five",SUMIF(Input!$D$40:$AB$40,Q$1171,$D384:$AB384),0)</f>
        <v>0</v>
      </c>
      <c r="R1216" s="229">
        <f>IF(Years="Five",SUMIF(Input!$D$40:$AB$40,R$1171,$D384:$AB384),0)</f>
        <v>0</v>
      </c>
      <c r="S1216" s="229">
        <f>IF(Years="Five",SUMIF(Input!$D$40:$AB$40,S$1171,$D384:$AB384),0)</f>
        <v>0</v>
      </c>
      <c r="T1216" s="229">
        <f>IF(Years="Five",SUMIF(Input!$D$40:$AB$40,T$1171,$D384:$AB384),0)</f>
        <v>0</v>
      </c>
      <c r="U1216" s="229">
        <f>IF(Years="Five",SUMIF(Input!$D$40:$AB$40,U$1171,$D384:$AB384),0)</f>
        <v>0</v>
      </c>
      <c r="V1216" s="229">
        <f>IF(Years="Five",SUMIF(Input!$D$40:$AB$40,V$1171,$D384:$AB384),0)</f>
        <v>0</v>
      </c>
      <c r="W1216" s="229">
        <f>IF(Years="Five",SUMIF(Input!$D$40:$AB$40,W$1171,$D384:$AB384),0)</f>
        <v>0</v>
      </c>
      <c r="X1216" s="229">
        <f>IF(Years="Five",SUMIF(Input!$D$40:$AB$40,X$1171,$D384:$AB384),0)</f>
        <v>0</v>
      </c>
      <c r="Y1216" s="229">
        <f>IF(Years="Five",SUMIF(Input!$D$40:$AB$40,Y$1171,$D384:$AB384),0)</f>
        <v>0</v>
      </c>
      <c r="Z1216" s="229">
        <f>IF(Years="Five",SUMIF(Input!$D$40:$AB$40,Z$1171,$D384:$AB384),0)</f>
        <v>0</v>
      </c>
      <c r="AA1216" s="229">
        <f>IF(Years="Five",SUMIF(Input!$D$40:$AB$40,AA$1171,$D384:$AB384),0)</f>
        <v>0</v>
      </c>
      <c r="AB1216" s="298">
        <f>IF(Years="Five",SUMIF(Input!$D$40:$AB$40,AB$1171,$D384:$AB384),0)</f>
        <v>0</v>
      </c>
    </row>
    <row r="1217" spans="2:28" x14ac:dyDescent="0.3">
      <c r="C1217" s="638">
        <f>C1153</f>
        <v>1400</v>
      </c>
      <c r="D1217" s="297">
        <f>IF(Years="Five",SUMIF(Input!$D$40:$AB$40,D$1171,$D385:$AB385),0)</f>
        <v>0</v>
      </c>
      <c r="E1217" s="229">
        <f>IF(Years="Five",SUMIF(Input!$D$40:$AB$40,E$1171,$D385:$AB385),0)</f>
        <v>0</v>
      </c>
      <c r="F1217" s="229">
        <f>IF(Years="Five",SUMIF(Input!$D$40:$AB$40,F$1171,$D385:$AB385),0)</f>
        <v>0</v>
      </c>
      <c r="G1217" s="229">
        <f>IF(Years="Five",SUMIF(Input!$D$40:$AB$40,G$1171,$D385:$AB385),0)</f>
        <v>0</v>
      </c>
      <c r="H1217" s="229">
        <f>IF(Years="Five",SUMIF(Input!$D$40:$AB$40,H$1171,$D385:$AB385),0)</f>
        <v>0</v>
      </c>
      <c r="I1217" s="229">
        <f>IF(Years="Five",SUMIF(Input!$D$40:$AB$40,I$1171,$D385:$AB385),0)</f>
        <v>0</v>
      </c>
      <c r="J1217" s="229">
        <f>IF(Years="Five",SUMIF(Input!$D$40:$AB$40,J$1171,$D385:$AB385),0)</f>
        <v>0</v>
      </c>
      <c r="K1217" s="229">
        <f>IF(Years="Five",SUMIF(Input!$D$40:$AB$40,K$1171,$D385:$AB385),0)</f>
        <v>0</v>
      </c>
      <c r="L1217" s="229">
        <f>IF(Years="Five",SUMIF(Input!$D$40:$AB$40,L$1171,$D385:$AB385),0)</f>
        <v>0</v>
      </c>
      <c r="M1217" s="229">
        <f>IF(Years="Five",SUMIF(Input!$D$40:$AB$40,M$1171,$D385:$AB385),0)</f>
        <v>0</v>
      </c>
      <c r="N1217" s="229">
        <f>IF(Years="Five",SUMIF(Input!$D$40:$AB$40,N$1171,$D385:$AB385),0)</f>
        <v>0</v>
      </c>
      <c r="O1217" s="229">
        <f>IF(Years="Five",SUMIF(Input!$D$40:$AB$40,O$1171,$D385:$AB385),0)</f>
        <v>0</v>
      </c>
      <c r="P1217" s="229">
        <f>IF(Years="Five",SUMIF(Input!$D$40:$AB$40,P$1171,$D385:$AB385),0)</f>
        <v>0</v>
      </c>
      <c r="Q1217" s="229">
        <f>IF(Years="Five",SUMIF(Input!$D$40:$AB$40,Q$1171,$D385:$AB385),0)</f>
        <v>0</v>
      </c>
      <c r="R1217" s="229">
        <f>IF(Years="Five",SUMIF(Input!$D$40:$AB$40,R$1171,$D385:$AB385),0)</f>
        <v>0</v>
      </c>
      <c r="S1217" s="229">
        <f>IF(Years="Five",SUMIF(Input!$D$40:$AB$40,S$1171,$D385:$AB385),0)</f>
        <v>0</v>
      </c>
      <c r="T1217" s="229">
        <f>IF(Years="Five",SUMIF(Input!$D$40:$AB$40,T$1171,$D385:$AB385),0)</f>
        <v>0</v>
      </c>
      <c r="U1217" s="229">
        <f>IF(Years="Five",SUMIF(Input!$D$40:$AB$40,U$1171,$D385:$AB385),0)</f>
        <v>0</v>
      </c>
      <c r="V1217" s="229">
        <f>IF(Years="Five",SUMIF(Input!$D$40:$AB$40,V$1171,$D385:$AB385),0)</f>
        <v>0</v>
      </c>
      <c r="W1217" s="229">
        <f>IF(Years="Five",SUMIF(Input!$D$40:$AB$40,W$1171,$D385:$AB385),0)</f>
        <v>0</v>
      </c>
      <c r="X1217" s="229">
        <f>IF(Years="Five",SUMIF(Input!$D$40:$AB$40,X$1171,$D385:$AB385),0)</f>
        <v>0</v>
      </c>
      <c r="Y1217" s="229">
        <f>IF(Years="Five",SUMIF(Input!$D$40:$AB$40,Y$1171,$D385:$AB385),0)</f>
        <v>0</v>
      </c>
      <c r="Z1217" s="229">
        <f>IF(Years="Five",SUMIF(Input!$D$40:$AB$40,Z$1171,$D385:$AB385),0)</f>
        <v>0</v>
      </c>
      <c r="AA1217" s="229">
        <f>IF(Years="Five",SUMIF(Input!$D$40:$AB$40,AA$1171,$D385:$AB385),0)</f>
        <v>0</v>
      </c>
      <c r="AB1217" s="298">
        <f>IF(Years="Five",SUMIF(Input!$D$40:$AB$40,AB$1171,$D385:$AB385),0)</f>
        <v>0</v>
      </c>
    </row>
    <row r="1218" spans="2:28" x14ac:dyDescent="0.3">
      <c r="C1218" s="638">
        <f>C1154</f>
        <v>1430</v>
      </c>
      <c r="D1218" s="297">
        <f>IF(Years="Five",SUMIF(Input!$D$40:$AB$40,D$1171,$D386:$AB386),0)</f>
        <v>0</v>
      </c>
      <c r="E1218" s="229">
        <f>IF(Years="Five",SUMIF(Input!$D$40:$AB$40,E$1171,$D386:$AB386),0)</f>
        <v>0</v>
      </c>
      <c r="F1218" s="229">
        <f>IF(Years="Five",SUMIF(Input!$D$40:$AB$40,F$1171,$D386:$AB386),0)</f>
        <v>0</v>
      </c>
      <c r="G1218" s="229">
        <f>IF(Years="Five",SUMIF(Input!$D$40:$AB$40,G$1171,$D386:$AB386),0)</f>
        <v>0</v>
      </c>
      <c r="H1218" s="229">
        <f>IF(Years="Five",SUMIF(Input!$D$40:$AB$40,H$1171,$D386:$AB386),0)</f>
        <v>0</v>
      </c>
      <c r="I1218" s="229">
        <f>IF(Years="Five",SUMIF(Input!$D$40:$AB$40,I$1171,$D386:$AB386),0)</f>
        <v>0</v>
      </c>
      <c r="J1218" s="229">
        <f>IF(Years="Five",SUMIF(Input!$D$40:$AB$40,J$1171,$D386:$AB386),0)</f>
        <v>0</v>
      </c>
      <c r="K1218" s="229">
        <f>IF(Years="Five",SUMIF(Input!$D$40:$AB$40,K$1171,$D386:$AB386),0)</f>
        <v>0</v>
      </c>
      <c r="L1218" s="229">
        <f>IF(Years="Five",SUMIF(Input!$D$40:$AB$40,L$1171,$D386:$AB386),0)</f>
        <v>0</v>
      </c>
      <c r="M1218" s="229">
        <f>IF(Years="Five",SUMIF(Input!$D$40:$AB$40,M$1171,$D386:$AB386),0)</f>
        <v>0</v>
      </c>
      <c r="N1218" s="229">
        <f>IF(Years="Five",SUMIF(Input!$D$40:$AB$40,N$1171,$D386:$AB386),0)</f>
        <v>0</v>
      </c>
      <c r="O1218" s="229">
        <f>IF(Years="Five",SUMIF(Input!$D$40:$AB$40,O$1171,$D386:$AB386),0)</f>
        <v>0</v>
      </c>
      <c r="P1218" s="229">
        <f>IF(Years="Five",SUMIF(Input!$D$40:$AB$40,P$1171,$D386:$AB386),0)</f>
        <v>0</v>
      </c>
      <c r="Q1218" s="229">
        <f>IF(Years="Five",SUMIF(Input!$D$40:$AB$40,Q$1171,$D386:$AB386),0)</f>
        <v>0</v>
      </c>
      <c r="R1218" s="229">
        <f>IF(Years="Five",SUMIF(Input!$D$40:$AB$40,R$1171,$D386:$AB386),0)</f>
        <v>0</v>
      </c>
      <c r="S1218" s="229">
        <f>IF(Years="Five",SUMIF(Input!$D$40:$AB$40,S$1171,$D386:$AB386),0)</f>
        <v>0</v>
      </c>
      <c r="T1218" s="229">
        <f>IF(Years="Five",SUMIF(Input!$D$40:$AB$40,T$1171,$D386:$AB386),0)</f>
        <v>0</v>
      </c>
      <c r="U1218" s="229">
        <f>IF(Years="Five",SUMIF(Input!$D$40:$AB$40,U$1171,$D386:$AB386),0)</f>
        <v>0</v>
      </c>
      <c r="V1218" s="229">
        <f>IF(Years="Five",SUMIF(Input!$D$40:$AB$40,V$1171,$D386:$AB386),0)</f>
        <v>0</v>
      </c>
      <c r="W1218" s="229">
        <f>IF(Years="Five",SUMIF(Input!$D$40:$AB$40,W$1171,$D386:$AB386),0)</f>
        <v>0</v>
      </c>
      <c r="X1218" s="229">
        <f>IF(Years="Five",SUMIF(Input!$D$40:$AB$40,X$1171,$D386:$AB386),0)</f>
        <v>0</v>
      </c>
      <c r="Y1218" s="229">
        <f>IF(Years="Five",SUMIF(Input!$D$40:$AB$40,Y$1171,$D386:$AB386),0)</f>
        <v>0</v>
      </c>
      <c r="Z1218" s="229">
        <f>IF(Years="Five",SUMIF(Input!$D$40:$AB$40,Z$1171,$D386:$AB386),0)</f>
        <v>0</v>
      </c>
      <c r="AA1218" s="229">
        <f>IF(Years="Five",SUMIF(Input!$D$40:$AB$40,AA$1171,$D386:$AB386),0)</f>
        <v>0</v>
      </c>
      <c r="AB1218" s="298">
        <f>IF(Years="Five",SUMIF(Input!$D$40:$AB$40,AB$1171,$D386:$AB386),0)</f>
        <v>0</v>
      </c>
    </row>
    <row r="1219" spans="2:28" ht="12.5" thickBot="1" x14ac:dyDescent="0.35">
      <c r="C1219" s="639">
        <f>C1155</f>
        <v>1461</v>
      </c>
      <c r="D1219" s="301">
        <f>IF(Years="Five",SUMIF(Input!$D$40:$AB$40,D$1171,$D387:$AB387),0)</f>
        <v>0</v>
      </c>
      <c r="E1219" s="302">
        <f>IF(Years="Five",SUMIF(Input!$D$40:$AB$40,E$1171,$D387:$AB387),0)</f>
        <v>0</v>
      </c>
      <c r="F1219" s="302">
        <f>IF(Years="Five",SUMIF(Input!$D$40:$AB$40,F$1171,$D387:$AB387),0)</f>
        <v>0</v>
      </c>
      <c r="G1219" s="302">
        <f>IF(Years="Five",SUMIF(Input!$D$40:$AB$40,G$1171,$D387:$AB387),0)</f>
        <v>0</v>
      </c>
      <c r="H1219" s="302">
        <f>IF(Years="Five",SUMIF(Input!$D$40:$AB$40,H$1171,$D387:$AB387),0)</f>
        <v>0</v>
      </c>
      <c r="I1219" s="302">
        <f>IF(Years="Five",SUMIF(Input!$D$40:$AB$40,I$1171,$D387:$AB387),0)</f>
        <v>0</v>
      </c>
      <c r="J1219" s="302">
        <f>IF(Years="Five",SUMIF(Input!$D$40:$AB$40,J$1171,$D387:$AB387),0)</f>
        <v>0</v>
      </c>
      <c r="K1219" s="302">
        <f>IF(Years="Five",SUMIF(Input!$D$40:$AB$40,K$1171,$D387:$AB387),0)</f>
        <v>0</v>
      </c>
      <c r="L1219" s="302">
        <f>IF(Years="Five",SUMIF(Input!$D$40:$AB$40,L$1171,$D387:$AB387),0)</f>
        <v>0</v>
      </c>
      <c r="M1219" s="302">
        <f>IF(Years="Five",SUMIF(Input!$D$40:$AB$40,M$1171,$D387:$AB387),0)</f>
        <v>0</v>
      </c>
      <c r="N1219" s="302">
        <f>IF(Years="Five",SUMIF(Input!$D$40:$AB$40,N$1171,$D387:$AB387),0)</f>
        <v>0</v>
      </c>
      <c r="O1219" s="302">
        <f>IF(Years="Five",SUMIF(Input!$D$40:$AB$40,O$1171,$D387:$AB387),0)</f>
        <v>0</v>
      </c>
      <c r="P1219" s="302">
        <f>IF(Years="Five",SUMIF(Input!$D$40:$AB$40,P$1171,$D387:$AB387),0)</f>
        <v>0</v>
      </c>
      <c r="Q1219" s="302">
        <f>IF(Years="Five",SUMIF(Input!$D$40:$AB$40,Q$1171,$D387:$AB387),0)</f>
        <v>0</v>
      </c>
      <c r="R1219" s="302">
        <f>IF(Years="Five",SUMIF(Input!$D$40:$AB$40,R$1171,$D387:$AB387),0)</f>
        <v>0</v>
      </c>
      <c r="S1219" s="302">
        <f>IF(Years="Five",SUMIF(Input!$D$40:$AB$40,S$1171,$D387:$AB387),0)</f>
        <v>0</v>
      </c>
      <c r="T1219" s="302">
        <f>IF(Years="Five",SUMIF(Input!$D$40:$AB$40,T$1171,$D387:$AB387),0)</f>
        <v>0</v>
      </c>
      <c r="U1219" s="302">
        <f>IF(Years="Five",SUMIF(Input!$D$40:$AB$40,U$1171,$D387:$AB387),0)</f>
        <v>0</v>
      </c>
      <c r="V1219" s="302">
        <f>IF(Years="Five",SUMIF(Input!$D$40:$AB$40,V$1171,$D387:$AB387),0)</f>
        <v>0</v>
      </c>
      <c r="W1219" s="302">
        <f>IF(Years="Five",SUMIF(Input!$D$40:$AB$40,W$1171,$D387:$AB387),0)</f>
        <v>0</v>
      </c>
      <c r="X1219" s="302">
        <f>IF(Years="Five",SUMIF(Input!$D$40:$AB$40,X$1171,$D387:$AB387),0)</f>
        <v>0</v>
      </c>
      <c r="Y1219" s="302">
        <f>IF(Years="Five",SUMIF(Input!$D$40:$AB$40,Y$1171,$D387:$AB387),0)</f>
        <v>0</v>
      </c>
      <c r="Z1219" s="302">
        <f>IF(Years="Five",SUMIF(Input!$D$40:$AB$40,Z$1171,$D387:$AB387),0)</f>
        <v>0</v>
      </c>
      <c r="AA1219" s="302">
        <f>IF(Years="Five",SUMIF(Input!$D$40:$AB$40,AA$1171,$D387:$AB387),0)</f>
        <v>0</v>
      </c>
      <c r="AB1219" s="303">
        <f>IF(Years="Five",SUMIF(Input!$D$40:$AB$40,AB$1171,$D387:$AB387),0)</f>
        <v>0</v>
      </c>
    </row>
    <row r="1220" spans="2:28" x14ac:dyDescent="0.3">
      <c r="C1220" s="638">
        <f>C1156</f>
        <v>1492</v>
      </c>
      <c r="D1220" s="299">
        <f>IF(Years="Five",SUMIF(Input!$D$40:$AB$40,D$1171,$D388:$AB388),0)</f>
        <v>0</v>
      </c>
      <c r="E1220" s="231">
        <f>IF(Years="Five",SUMIF(Input!$D$40:$AB$40,E$1171,$D388:$AB388),0)</f>
        <v>0</v>
      </c>
      <c r="F1220" s="231">
        <f>IF(Years="Five",SUMIF(Input!$D$40:$AB$40,F$1171,$D388:$AB388),0)</f>
        <v>0</v>
      </c>
      <c r="G1220" s="231">
        <f>IF(Years="Five",SUMIF(Input!$D$40:$AB$40,G$1171,$D388:$AB388),0)</f>
        <v>0</v>
      </c>
      <c r="H1220" s="231">
        <f>IF(Years="Five",SUMIF(Input!$D$40:$AB$40,H$1171,$D388:$AB388),0)</f>
        <v>0</v>
      </c>
      <c r="I1220" s="231">
        <f>IF(Years="Five",SUMIF(Input!$D$40:$AB$40,I$1171,$D388:$AB388),0)</f>
        <v>0</v>
      </c>
      <c r="J1220" s="231">
        <f>IF(Years="Five",SUMIF(Input!$D$40:$AB$40,J$1171,$D388:$AB388),0)</f>
        <v>0</v>
      </c>
      <c r="K1220" s="231">
        <f>IF(Years="Five",SUMIF(Input!$D$40:$AB$40,K$1171,$D388:$AB388),0)</f>
        <v>0</v>
      </c>
      <c r="L1220" s="231">
        <f>IF(Years="Five",SUMIF(Input!$D$40:$AB$40,L$1171,$D388:$AB388),0)</f>
        <v>0</v>
      </c>
      <c r="M1220" s="231">
        <f>IF(Years="Five",SUMIF(Input!$D$40:$AB$40,M$1171,$D388:$AB388),0)</f>
        <v>0</v>
      </c>
      <c r="N1220" s="231">
        <f>IF(Years="Five",SUMIF(Input!$D$40:$AB$40,N$1171,$D388:$AB388),0)</f>
        <v>0</v>
      </c>
      <c r="O1220" s="231">
        <f>IF(Years="Five",SUMIF(Input!$D$40:$AB$40,O$1171,$D388:$AB388),0)</f>
        <v>0</v>
      </c>
      <c r="P1220" s="231">
        <f>IF(Years="Five",SUMIF(Input!$D$40:$AB$40,P$1171,$D388:$AB388),0)</f>
        <v>0</v>
      </c>
      <c r="Q1220" s="231">
        <f>IF(Years="Five",SUMIF(Input!$D$40:$AB$40,Q$1171,$D388:$AB388),0)</f>
        <v>0</v>
      </c>
      <c r="R1220" s="231">
        <f>IF(Years="Five",SUMIF(Input!$D$40:$AB$40,R$1171,$D388:$AB388),0)</f>
        <v>0</v>
      </c>
      <c r="S1220" s="231">
        <f>IF(Years="Five",SUMIF(Input!$D$40:$AB$40,S$1171,$D388:$AB388),0)</f>
        <v>0</v>
      </c>
      <c r="T1220" s="231">
        <f>IF(Years="Five",SUMIF(Input!$D$40:$AB$40,T$1171,$D388:$AB388),0)</f>
        <v>0</v>
      </c>
      <c r="U1220" s="231">
        <f>IF(Years="Five",SUMIF(Input!$D$40:$AB$40,U$1171,$D388:$AB388),0)</f>
        <v>0</v>
      </c>
      <c r="V1220" s="231">
        <f>IF(Years="Five",SUMIF(Input!$D$40:$AB$40,V$1171,$D388:$AB388),0)</f>
        <v>0</v>
      </c>
      <c r="W1220" s="231">
        <f>IF(Years="Five",SUMIF(Input!$D$40:$AB$40,W$1171,$D388:$AB388),0)</f>
        <v>0</v>
      </c>
      <c r="X1220" s="231">
        <f>IF(Years="Five",SUMIF(Input!$D$40:$AB$40,X$1171,$D388:$AB388),0)</f>
        <v>0</v>
      </c>
      <c r="Y1220" s="231">
        <f>IF(Years="Five",SUMIF(Input!$D$40:$AB$40,Y$1171,$D388:$AB388),0)</f>
        <v>0</v>
      </c>
      <c r="Z1220" s="231">
        <f>IF(Years="Five",SUMIF(Input!$D$40:$AB$40,Z$1171,$D388:$AB388),0)</f>
        <v>0</v>
      </c>
      <c r="AA1220" s="231">
        <f>IF(Years="Five",SUMIF(Input!$D$40:$AB$40,AA$1171,$D388:$AB388),0)</f>
        <v>0</v>
      </c>
      <c r="AB1220" s="300">
        <f>IF(Years="Five",SUMIF(Input!$D$40:$AB$40,AB$1171,$D388:$AB388),0)</f>
        <v>0</v>
      </c>
    </row>
    <row r="1221" spans="2:28" x14ac:dyDescent="0.3">
      <c r="C1221" s="638">
        <f>C1157</f>
        <v>1521</v>
      </c>
      <c r="D1221" s="297">
        <f>IF(Years="Five",SUMIF(Input!$D$40:$AB$40,D$1171,$D389:$AB389),0)</f>
        <v>0</v>
      </c>
      <c r="E1221" s="229">
        <f>IF(Years="Five",SUMIF(Input!$D$40:$AB$40,E$1171,$D389:$AB389),0)</f>
        <v>0</v>
      </c>
      <c r="F1221" s="229">
        <f>IF(Years="Five",SUMIF(Input!$D$40:$AB$40,F$1171,$D389:$AB389),0)</f>
        <v>0</v>
      </c>
      <c r="G1221" s="229">
        <f>IF(Years="Five",SUMIF(Input!$D$40:$AB$40,G$1171,$D389:$AB389),0)</f>
        <v>0</v>
      </c>
      <c r="H1221" s="229">
        <f>IF(Years="Five",SUMIF(Input!$D$40:$AB$40,H$1171,$D389:$AB389),0)</f>
        <v>0</v>
      </c>
      <c r="I1221" s="229">
        <f>IF(Years="Five",SUMIF(Input!$D$40:$AB$40,I$1171,$D389:$AB389),0)</f>
        <v>0</v>
      </c>
      <c r="J1221" s="229">
        <f>IF(Years="Five",SUMIF(Input!$D$40:$AB$40,J$1171,$D389:$AB389),0)</f>
        <v>0</v>
      </c>
      <c r="K1221" s="229">
        <f>IF(Years="Five",SUMIF(Input!$D$40:$AB$40,K$1171,$D389:$AB389),0)</f>
        <v>0</v>
      </c>
      <c r="L1221" s="229">
        <f>IF(Years="Five",SUMIF(Input!$D$40:$AB$40,L$1171,$D389:$AB389),0)</f>
        <v>0</v>
      </c>
      <c r="M1221" s="229">
        <f>IF(Years="Five",SUMIF(Input!$D$40:$AB$40,M$1171,$D389:$AB389),0)</f>
        <v>0</v>
      </c>
      <c r="N1221" s="229">
        <f>IF(Years="Five",SUMIF(Input!$D$40:$AB$40,N$1171,$D389:$AB389),0)</f>
        <v>0</v>
      </c>
      <c r="O1221" s="229">
        <f>IF(Years="Five",SUMIF(Input!$D$40:$AB$40,O$1171,$D389:$AB389),0)</f>
        <v>0</v>
      </c>
      <c r="P1221" s="229">
        <f>IF(Years="Five",SUMIF(Input!$D$40:$AB$40,P$1171,$D389:$AB389),0)</f>
        <v>0</v>
      </c>
      <c r="Q1221" s="229">
        <f>IF(Years="Five",SUMIF(Input!$D$40:$AB$40,Q$1171,$D389:$AB389),0)</f>
        <v>0</v>
      </c>
      <c r="R1221" s="229">
        <f>IF(Years="Five",SUMIF(Input!$D$40:$AB$40,R$1171,$D389:$AB389),0)</f>
        <v>0</v>
      </c>
      <c r="S1221" s="229">
        <f>IF(Years="Five",SUMIF(Input!$D$40:$AB$40,S$1171,$D389:$AB389),0)</f>
        <v>0</v>
      </c>
      <c r="T1221" s="229">
        <f>IF(Years="Five",SUMIF(Input!$D$40:$AB$40,T$1171,$D389:$AB389),0)</f>
        <v>0</v>
      </c>
      <c r="U1221" s="229">
        <f>IF(Years="Five",SUMIF(Input!$D$40:$AB$40,U$1171,$D389:$AB389),0)</f>
        <v>0</v>
      </c>
      <c r="V1221" s="229">
        <f>IF(Years="Five",SUMIF(Input!$D$40:$AB$40,V$1171,$D389:$AB389),0)</f>
        <v>0</v>
      </c>
      <c r="W1221" s="229">
        <f>IF(Years="Five",SUMIF(Input!$D$40:$AB$40,W$1171,$D389:$AB389),0)</f>
        <v>0</v>
      </c>
      <c r="X1221" s="229">
        <f>IF(Years="Five",SUMIF(Input!$D$40:$AB$40,X$1171,$D389:$AB389),0)</f>
        <v>0</v>
      </c>
      <c r="Y1221" s="229">
        <f>IF(Years="Five",SUMIF(Input!$D$40:$AB$40,Y$1171,$D389:$AB389),0)</f>
        <v>0</v>
      </c>
      <c r="Z1221" s="229">
        <f>IF(Years="Five",SUMIF(Input!$D$40:$AB$40,Z$1171,$D389:$AB389),0)</f>
        <v>0</v>
      </c>
      <c r="AA1221" s="229">
        <f>IF(Years="Five",SUMIF(Input!$D$40:$AB$40,AA$1171,$D389:$AB389),0)</f>
        <v>0</v>
      </c>
      <c r="AB1221" s="298">
        <f>IF(Years="Five",SUMIF(Input!$D$40:$AB$40,AB$1171,$D389:$AB389),0)</f>
        <v>0</v>
      </c>
    </row>
    <row r="1222" spans="2:28" x14ac:dyDescent="0.3">
      <c r="C1222" s="638">
        <f>C1158</f>
        <v>1552</v>
      </c>
      <c r="D1222" s="297">
        <f>IF(Years="Five",SUMIF(Input!$D$40:$AB$40,D$1171,$D390:$AB390),0)</f>
        <v>0</v>
      </c>
      <c r="E1222" s="229">
        <f>IF(Years="Five",SUMIF(Input!$D$40:$AB$40,E$1171,$D390:$AB390),0)</f>
        <v>0</v>
      </c>
      <c r="F1222" s="229">
        <f>IF(Years="Five",SUMIF(Input!$D$40:$AB$40,F$1171,$D390:$AB390),0)</f>
        <v>0</v>
      </c>
      <c r="G1222" s="229">
        <f>IF(Years="Five",SUMIF(Input!$D$40:$AB$40,G$1171,$D390:$AB390),0)</f>
        <v>0</v>
      </c>
      <c r="H1222" s="229">
        <f>IF(Years="Five",SUMIF(Input!$D$40:$AB$40,H$1171,$D390:$AB390),0)</f>
        <v>0</v>
      </c>
      <c r="I1222" s="229">
        <f>IF(Years="Five",SUMIF(Input!$D$40:$AB$40,I$1171,$D390:$AB390),0)</f>
        <v>0</v>
      </c>
      <c r="J1222" s="229">
        <f>IF(Years="Five",SUMIF(Input!$D$40:$AB$40,J$1171,$D390:$AB390),0)</f>
        <v>0</v>
      </c>
      <c r="K1222" s="229">
        <f>IF(Years="Five",SUMIF(Input!$D$40:$AB$40,K$1171,$D390:$AB390),0)</f>
        <v>0</v>
      </c>
      <c r="L1222" s="229">
        <f>IF(Years="Five",SUMIF(Input!$D$40:$AB$40,L$1171,$D390:$AB390),0)</f>
        <v>0</v>
      </c>
      <c r="M1222" s="229">
        <f>IF(Years="Five",SUMIF(Input!$D$40:$AB$40,M$1171,$D390:$AB390),0)</f>
        <v>0</v>
      </c>
      <c r="N1222" s="229">
        <f>IF(Years="Five",SUMIF(Input!$D$40:$AB$40,N$1171,$D390:$AB390),0)</f>
        <v>0</v>
      </c>
      <c r="O1222" s="229">
        <f>IF(Years="Five",SUMIF(Input!$D$40:$AB$40,O$1171,$D390:$AB390),0)</f>
        <v>0</v>
      </c>
      <c r="P1222" s="229">
        <f>IF(Years="Five",SUMIF(Input!$D$40:$AB$40,P$1171,$D390:$AB390),0)</f>
        <v>0</v>
      </c>
      <c r="Q1222" s="229">
        <f>IF(Years="Five",SUMIF(Input!$D$40:$AB$40,Q$1171,$D390:$AB390),0)</f>
        <v>0</v>
      </c>
      <c r="R1222" s="229">
        <f>IF(Years="Five",SUMIF(Input!$D$40:$AB$40,R$1171,$D390:$AB390),0)</f>
        <v>0</v>
      </c>
      <c r="S1222" s="229">
        <f>IF(Years="Five",SUMIF(Input!$D$40:$AB$40,S$1171,$D390:$AB390),0)</f>
        <v>0</v>
      </c>
      <c r="T1222" s="229">
        <f>IF(Years="Five",SUMIF(Input!$D$40:$AB$40,T$1171,$D390:$AB390),0)</f>
        <v>0</v>
      </c>
      <c r="U1222" s="229">
        <f>IF(Years="Five",SUMIF(Input!$D$40:$AB$40,U$1171,$D390:$AB390),0)</f>
        <v>0</v>
      </c>
      <c r="V1222" s="229">
        <f>IF(Years="Five",SUMIF(Input!$D$40:$AB$40,V$1171,$D390:$AB390),0)</f>
        <v>0</v>
      </c>
      <c r="W1222" s="229">
        <f>IF(Years="Five",SUMIF(Input!$D$40:$AB$40,W$1171,$D390:$AB390),0)</f>
        <v>0</v>
      </c>
      <c r="X1222" s="229">
        <f>IF(Years="Five",SUMIF(Input!$D$40:$AB$40,X$1171,$D390:$AB390),0)</f>
        <v>0</v>
      </c>
      <c r="Y1222" s="229">
        <f>IF(Years="Five",SUMIF(Input!$D$40:$AB$40,Y$1171,$D390:$AB390),0)</f>
        <v>0</v>
      </c>
      <c r="Z1222" s="229">
        <f>IF(Years="Five",SUMIF(Input!$D$40:$AB$40,Z$1171,$D390:$AB390),0)</f>
        <v>0</v>
      </c>
      <c r="AA1222" s="229">
        <f>IF(Years="Five",SUMIF(Input!$D$40:$AB$40,AA$1171,$D390:$AB390),0)</f>
        <v>0</v>
      </c>
      <c r="AB1222" s="298">
        <f>IF(Years="Five",SUMIF(Input!$D$40:$AB$40,AB$1171,$D390:$AB390),0)</f>
        <v>0</v>
      </c>
    </row>
    <row r="1223" spans="2:28" x14ac:dyDescent="0.3">
      <c r="C1223" s="638">
        <f>C1159</f>
        <v>1582</v>
      </c>
      <c r="D1223" s="297">
        <f>IF(Years="Five",SUMIF(Input!$D$40:$AB$40,D$1171,$D391:$AB391),0)</f>
        <v>0</v>
      </c>
      <c r="E1223" s="229">
        <f>IF(Years="Five",SUMIF(Input!$D$40:$AB$40,E$1171,$D391:$AB391),0)</f>
        <v>0</v>
      </c>
      <c r="F1223" s="229">
        <f>IF(Years="Five",SUMIF(Input!$D$40:$AB$40,F$1171,$D391:$AB391),0)</f>
        <v>0</v>
      </c>
      <c r="G1223" s="229">
        <f>IF(Years="Five",SUMIF(Input!$D$40:$AB$40,G$1171,$D391:$AB391),0)</f>
        <v>0</v>
      </c>
      <c r="H1223" s="229">
        <f>IF(Years="Five",SUMIF(Input!$D$40:$AB$40,H$1171,$D391:$AB391),0)</f>
        <v>0</v>
      </c>
      <c r="I1223" s="229">
        <f>IF(Years="Five",SUMIF(Input!$D$40:$AB$40,I$1171,$D391:$AB391),0)</f>
        <v>0</v>
      </c>
      <c r="J1223" s="229">
        <f>IF(Years="Five",SUMIF(Input!$D$40:$AB$40,J$1171,$D391:$AB391),0)</f>
        <v>0</v>
      </c>
      <c r="K1223" s="229">
        <f>IF(Years="Five",SUMIF(Input!$D$40:$AB$40,K$1171,$D391:$AB391),0)</f>
        <v>0</v>
      </c>
      <c r="L1223" s="229">
        <f>IF(Years="Five",SUMIF(Input!$D$40:$AB$40,L$1171,$D391:$AB391),0)</f>
        <v>0</v>
      </c>
      <c r="M1223" s="229">
        <f>IF(Years="Five",SUMIF(Input!$D$40:$AB$40,M$1171,$D391:$AB391),0)</f>
        <v>0</v>
      </c>
      <c r="N1223" s="229">
        <f>IF(Years="Five",SUMIF(Input!$D$40:$AB$40,N$1171,$D391:$AB391),0)</f>
        <v>0</v>
      </c>
      <c r="O1223" s="229">
        <f>IF(Years="Five",SUMIF(Input!$D$40:$AB$40,O$1171,$D391:$AB391),0)</f>
        <v>0</v>
      </c>
      <c r="P1223" s="229">
        <f>IF(Years="Five",SUMIF(Input!$D$40:$AB$40,P$1171,$D391:$AB391),0)</f>
        <v>0</v>
      </c>
      <c r="Q1223" s="229">
        <f>IF(Years="Five",SUMIF(Input!$D$40:$AB$40,Q$1171,$D391:$AB391),0)</f>
        <v>0</v>
      </c>
      <c r="R1223" s="229">
        <f>IF(Years="Five",SUMIF(Input!$D$40:$AB$40,R$1171,$D391:$AB391),0)</f>
        <v>0</v>
      </c>
      <c r="S1223" s="229">
        <f>IF(Years="Five",SUMIF(Input!$D$40:$AB$40,S$1171,$D391:$AB391),0)</f>
        <v>0</v>
      </c>
      <c r="T1223" s="229">
        <f>IF(Years="Five",SUMIF(Input!$D$40:$AB$40,T$1171,$D391:$AB391),0)</f>
        <v>0</v>
      </c>
      <c r="U1223" s="229">
        <f>IF(Years="Five",SUMIF(Input!$D$40:$AB$40,U$1171,$D391:$AB391),0)</f>
        <v>0</v>
      </c>
      <c r="V1223" s="229">
        <f>IF(Years="Five",SUMIF(Input!$D$40:$AB$40,V$1171,$D391:$AB391),0)</f>
        <v>0</v>
      </c>
      <c r="W1223" s="229">
        <f>IF(Years="Five",SUMIF(Input!$D$40:$AB$40,W$1171,$D391:$AB391),0)</f>
        <v>0</v>
      </c>
      <c r="X1223" s="229">
        <f>IF(Years="Five",SUMIF(Input!$D$40:$AB$40,X$1171,$D391:$AB391),0)</f>
        <v>0</v>
      </c>
      <c r="Y1223" s="229">
        <f>IF(Years="Five",SUMIF(Input!$D$40:$AB$40,Y$1171,$D391:$AB391),0)</f>
        <v>0</v>
      </c>
      <c r="Z1223" s="229">
        <f>IF(Years="Five",SUMIF(Input!$D$40:$AB$40,Z$1171,$D391:$AB391),0)</f>
        <v>0</v>
      </c>
      <c r="AA1223" s="229">
        <f>IF(Years="Five",SUMIF(Input!$D$40:$AB$40,AA$1171,$D391:$AB391),0)</f>
        <v>0</v>
      </c>
      <c r="AB1223" s="298">
        <f>IF(Years="Five",SUMIF(Input!$D$40:$AB$40,AB$1171,$D391:$AB391),0)</f>
        <v>0</v>
      </c>
    </row>
    <row r="1224" spans="2:28" x14ac:dyDescent="0.3">
      <c r="C1224" s="638">
        <f>C1160</f>
        <v>1613</v>
      </c>
      <c r="D1224" s="297">
        <f>IF(Years="Five",SUMIF(Input!$D$40:$AB$40,D$1171,$D392:$AB392),0)</f>
        <v>0</v>
      </c>
      <c r="E1224" s="229">
        <f>IF(Years="Five",SUMIF(Input!$D$40:$AB$40,E$1171,$D392:$AB392),0)</f>
        <v>0</v>
      </c>
      <c r="F1224" s="229">
        <f>IF(Years="Five",SUMIF(Input!$D$40:$AB$40,F$1171,$D392:$AB392),0)</f>
        <v>0</v>
      </c>
      <c r="G1224" s="229">
        <f>IF(Years="Five",SUMIF(Input!$D$40:$AB$40,G$1171,$D392:$AB392),0)</f>
        <v>0</v>
      </c>
      <c r="H1224" s="229">
        <f>IF(Years="Five",SUMIF(Input!$D$40:$AB$40,H$1171,$D392:$AB392),0)</f>
        <v>0</v>
      </c>
      <c r="I1224" s="229">
        <f>IF(Years="Five",SUMIF(Input!$D$40:$AB$40,I$1171,$D392:$AB392),0)</f>
        <v>0</v>
      </c>
      <c r="J1224" s="229">
        <f>IF(Years="Five",SUMIF(Input!$D$40:$AB$40,J$1171,$D392:$AB392),0)</f>
        <v>0</v>
      </c>
      <c r="K1224" s="229">
        <f>IF(Years="Five",SUMIF(Input!$D$40:$AB$40,K$1171,$D392:$AB392),0)</f>
        <v>0</v>
      </c>
      <c r="L1224" s="229">
        <f>IF(Years="Five",SUMIF(Input!$D$40:$AB$40,L$1171,$D392:$AB392),0)</f>
        <v>0</v>
      </c>
      <c r="M1224" s="229">
        <f>IF(Years="Five",SUMIF(Input!$D$40:$AB$40,M$1171,$D392:$AB392),0)</f>
        <v>0</v>
      </c>
      <c r="N1224" s="229">
        <f>IF(Years="Five",SUMIF(Input!$D$40:$AB$40,N$1171,$D392:$AB392),0)</f>
        <v>0</v>
      </c>
      <c r="O1224" s="229">
        <f>IF(Years="Five",SUMIF(Input!$D$40:$AB$40,O$1171,$D392:$AB392),0)</f>
        <v>0</v>
      </c>
      <c r="P1224" s="229">
        <f>IF(Years="Five",SUMIF(Input!$D$40:$AB$40,P$1171,$D392:$AB392),0)</f>
        <v>0</v>
      </c>
      <c r="Q1224" s="229">
        <f>IF(Years="Five",SUMIF(Input!$D$40:$AB$40,Q$1171,$D392:$AB392),0)</f>
        <v>0</v>
      </c>
      <c r="R1224" s="229">
        <f>IF(Years="Five",SUMIF(Input!$D$40:$AB$40,R$1171,$D392:$AB392),0)</f>
        <v>0</v>
      </c>
      <c r="S1224" s="229">
        <f>IF(Years="Five",SUMIF(Input!$D$40:$AB$40,S$1171,$D392:$AB392),0)</f>
        <v>0</v>
      </c>
      <c r="T1224" s="229">
        <f>IF(Years="Five",SUMIF(Input!$D$40:$AB$40,T$1171,$D392:$AB392),0)</f>
        <v>0</v>
      </c>
      <c r="U1224" s="229">
        <f>IF(Years="Five",SUMIF(Input!$D$40:$AB$40,U$1171,$D392:$AB392),0)</f>
        <v>0</v>
      </c>
      <c r="V1224" s="229">
        <f>IF(Years="Five",SUMIF(Input!$D$40:$AB$40,V$1171,$D392:$AB392),0)</f>
        <v>0</v>
      </c>
      <c r="W1224" s="229">
        <f>IF(Years="Five",SUMIF(Input!$D$40:$AB$40,W$1171,$D392:$AB392),0)</f>
        <v>0</v>
      </c>
      <c r="X1224" s="229">
        <f>IF(Years="Five",SUMIF(Input!$D$40:$AB$40,X$1171,$D392:$AB392),0)</f>
        <v>0</v>
      </c>
      <c r="Y1224" s="229">
        <f>IF(Years="Five",SUMIF(Input!$D$40:$AB$40,Y$1171,$D392:$AB392),0)</f>
        <v>0</v>
      </c>
      <c r="Z1224" s="229">
        <f>IF(Years="Five",SUMIF(Input!$D$40:$AB$40,Z$1171,$D392:$AB392),0)</f>
        <v>0</v>
      </c>
      <c r="AA1224" s="229">
        <f>IF(Years="Five",SUMIF(Input!$D$40:$AB$40,AA$1171,$D392:$AB392),0)</f>
        <v>0</v>
      </c>
      <c r="AB1224" s="298">
        <f>IF(Years="Five",SUMIF(Input!$D$40:$AB$40,AB$1171,$D392:$AB392),0)</f>
        <v>0</v>
      </c>
    </row>
    <row r="1225" spans="2:28" x14ac:dyDescent="0.3">
      <c r="C1225" s="638">
        <f>C1161</f>
        <v>1643</v>
      </c>
      <c r="D1225" s="297">
        <f>IF(Years="Five",SUMIF(Input!$D$40:$AB$40,D$1171,$D393:$AB393),0)</f>
        <v>0</v>
      </c>
      <c r="E1225" s="229">
        <f>IF(Years="Five",SUMIF(Input!$D$40:$AB$40,E$1171,$D393:$AB393),0)</f>
        <v>0</v>
      </c>
      <c r="F1225" s="229">
        <f>IF(Years="Five",SUMIF(Input!$D$40:$AB$40,F$1171,$D393:$AB393),0)</f>
        <v>0</v>
      </c>
      <c r="G1225" s="229">
        <f>IF(Years="Five",SUMIF(Input!$D$40:$AB$40,G$1171,$D393:$AB393),0)</f>
        <v>0</v>
      </c>
      <c r="H1225" s="229">
        <f>IF(Years="Five",SUMIF(Input!$D$40:$AB$40,H$1171,$D393:$AB393),0)</f>
        <v>0</v>
      </c>
      <c r="I1225" s="229">
        <f>IF(Years="Five",SUMIF(Input!$D$40:$AB$40,I$1171,$D393:$AB393),0)</f>
        <v>0</v>
      </c>
      <c r="J1225" s="229">
        <f>IF(Years="Five",SUMIF(Input!$D$40:$AB$40,J$1171,$D393:$AB393),0)</f>
        <v>0</v>
      </c>
      <c r="K1225" s="229">
        <f>IF(Years="Five",SUMIF(Input!$D$40:$AB$40,K$1171,$D393:$AB393),0)</f>
        <v>0</v>
      </c>
      <c r="L1225" s="229">
        <f>IF(Years="Five",SUMIF(Input!$D$40:$AB$40,L$1171,$D393:$AB393),0)</f>
        <v>0</v>
      </c>
      <c r="M1225" s="229">
        <f>IF(Years="Five",SUMIF(Input!$D$40:$AB$40,M$1171,$D393:$AB393),0)</f>
        <v>0</v>
      </c>
      <c r="N1225" s="229">
        <f>IF(Years="Five",SUMIF(Input!$D$40:$AB$40,N$1171,$D393:$AB393),0)</f>
        <v>0</v>
      </c>
      <c r="O1225" s="229">
        <f>IF(Years="Five",SUMIF(Input!$D$40:$AB$40,O$1171,$D393:$AB393),0)</f>
        <v>0</v>
      </c>
      <c r="P1225" s="229">
        <f>IF(Years="Five",SUMIF(Input!$D$40:$AB$40,P$1171,$D393:$AB393),0)</f>
        <v>0</v>
      </c>
      <c r="Q1225" s="229">
        <f>IF(Years="Five",SUMIF(Input!$D$40:$AB$40,Q$1171,$D393:$AB393),0)</f>
        <v>0</v>
      </c>
      <c r="R1225" s="229">
        <f>IF(Years="Five",SUMIF(Input!$D$40:$AB$40,R$1171,$D393:$AB393),0)</f>
        <v>0</v>
      </c>
      <c r="S1225" s="229">
        <f>IF(Years="Five",SUMIF(Input!$D$40:$AB$40,S$1171,$D393:$AB393),0)</f>
        <v>0</v>
      </c>
      <c r="T1225" s="229">
        <f>IF(Years="Five",SUMIF(Input!$D$40:$AB$40,T$1171,$D393:$AB393),0)</f>
        <v>0</v>
      </c>
      <c r="U1225" s="229">
        <f>IF(Years="Five",SUMIF(Input!$D$40:$AB$40,U$1171,$D393:$AB393),0)</f>
        <v>0</v>
      </c>
      <c r="V1225" s="229">
        <f>IF(Years="Five",SUMIF(Input!$D$40:$AB$40,V$1171,$D393:$AB393),0)</f>
        <v>0</v>
      </c>
      <c r="W1225" s="229">
        <f>IF(Years="Five",SUMIF(Input!$D$40:$AB$40,W$1171,$D393:$AB393),0)</f>
        <v>0</v>
      </c>
      <c r="X1225" s="229">
        <f>IF(Years="Five",SUMIF(Input!$D$40:$AB$40,X$1171,$D393:$AB393),0)</f>
        <v>0</v>
      </c>
      <c r="Y1225" s="229">
        <f>IF(Years="Five",SUMIF(Input!$D$40:$AB$40,Y$1171,$D393:$AB393),0)</f>
        <v>0</v>
      </c>
      <c r="Z1225" s="229">
        <f>IF(Years="Five",SUMIF(Input!$D$40:$AB$40,Z$1171,$D393:$AB393),0)</f>
        <v>0</v>
      </c>
      <c r="AA1225" s="229">
        <f>IF(Years="Five",SUMIF(Input!$D$40:$AB$40,AA$1171,$D393:$AB393),0)</f>
        <v>0</v>
      </c>
      <c r="AB1225" s="298">
        <f>IF(Years="Five",SUMIF(Input!$D$40:$AB$40,AB$1171,$D393:$AB393),0)</f>
        <v>0</v>
      </c>
    </row>
    <row r="1226" spans="2:28" x14ac:dyDescent="0.3">
      <c r="C1226" s="638">
        <f>C1162</f>
        <v>1674</v>
      </c>
      <c r="D1226" s="297">
        <f>IF(Years="Five",SUMIF(Input!$D$40:$AB$40,D$1171,$D394:$AB394),0)</f>
        <v>0</v>
      </c>
      <c r="E1226" s="229">
        <f>IF(Years="Five",SUMIF(Input!$D$40:$AB$40,E$1171,$D394:$AB394),0)</f>
        <v>0</v>
      </c>
      <c r="F1226" s="229">
        <f>IF(Years="Five",SUMIF(Input!$D$40:$AB$40,F$1171,$D394:$AB394),0)</f>
        <v>0</v>
      </c>
      <c r="G1226" s="229">
        <f>IF(Years="Five",SUMIF(Input!$D$40:$AB$40,G$1171,$D394:$AB394),0)</f>
        <v>0</v>
      </c>
      <c r="H1226" s="229">
        <f>IF(Years="Five",SUMIF(Input!$D$40:$AB$40,H$1171,$D394:$AB394),0)</f>
        <v>0</v>
      </c>
      <c r="I1226" s="229">
        <f>IF(Years="Five",SUMIF(Input!$D$40:$AB$40,I$1171,$D394:$AB394),0)</f>
        <v>0</v>
      </c>
      <c r="J1226" s="229">
        <f>IF(Years="Five",SUMIF(Input!$D$40:$AB$40,J$1171,$D394:$AB394),0)</f>
        <v>0</v>
      </c>
      <c r="K1226" s="229">
        <f>IF(Years="Five",SUMIF(Input!$D$40:$AB$40,K$1171,$D394:$AB394),0)</f>
        <v>0</v>
      </c>
      <c r="L1226" s="229">
        <f>IF(Years="Five",SUMIF(Input!$D$40:$AB$40,L$1171,$D394:$AB394),0)</f>
        <v>0</v>
      </c>
      <c r="M1226" s="229">
        <f>IF(Years="Five",SUMIF(Input!$D$40:$AB$40,M$1171,$D394:$AB394),0)</f>
        <v>0</v>
      </c>
      <c r="N1226" s="229">
        <f>IF(Years="Five",SUMIF(Input!$D$40:$AB$40,N$1171,$D394:$AB394),0)</f>
        <v>0</v>
      </c>
      <c r="O1226" s="229">
        <f>IF(Years="Five",SUMIF(Input!$D$40:$AB$40,O$1171,$D394:$AB394),0)</f>
        <v>0</v>
      </c>
      <c r="P1226" s="229">
        <f>IF(Years="Five",SUMIF(Input!$D$40:$AB$40,P$1171,$D394:$AB394),0)</f>
        <v>0</v>
      </c>
      <c r="Q1226" s="229">
        <f>IF(Years="Five",SUMIF(Input!$D$40:$AB$40,Q$1171,$D394:$AB394),0)</f>
        <v>0</v>
      </c>
      <c r="R1226" s="229">
        <f>IF(Years="Five",SUMIF(Input!$D$40:$AB$40,R$1171,$D394:$AB394),0)</f>
        <v>0</v>
      </c>
      <c r="S1226" s="229">
        <f>IF(Years="Five",SUMIF(Input!$D$40:$AB$40,S$1171,$D394:$AB394),0)</f>
        <v>0</v>
      </c>
      <c r="T1226" s="229">
        <f>IF(Years="Five",SUMIF(Input!$D$40:$AB$40,T$1171,$D394:$AB394),0)</f>
        <v>0</v>
      </c>
      <c r="U1226" s="229">
        <f>IF(Years="Five",SUMIF(Input!$D$40:$AB$40,U$1171,$D394:$AB394),0)</f>
        <v>0</v>
      </c>
      <c r="V1226" s="229">
        <f>IF(Years="Five",SUMIF(Input!$D$40:$AB$40,V$1171,$D394:$AB394),0)</f>
        <v>0</v>
      </c>
      <c r="W1226" s="229">
        <f>IF(Years="Five",SUMIF(Input!$D$40:$AB$40,W$1171,$D394:$AB394),0)</f>
        <v>0</v>
      </c>
      <c r="X1226" s="229">
        <f>IF(Years="Five",SUMIF(Input!$D$40:$AB$40,X$1171,$D394:$AB394),0)</f>
        <v>0</v>
      </c>
      <c r="Y1226" s="229">
        <f>IF(Years="Five",SUMIF(Input!$D$40:$AB$40,Y$1171,$D394:$AB394),0)</f>
        <v>0</v>
      </c>
      <c r="Z1226" s="229">
        <f>IF(Years="Five",SUMIF(Input!$D$40:$AB$40,Z$1171,$D394:$AB394),0)</f>
        <v>0</v>
      </c>
      <c r="AA1226" s="229">
        <f>IF(Years="Five",SUMIF(Input!$D$40:$AB$40,AA$1171,$D394:$AB394),0)</f>
        <v>0</v>
      </c>
      <c r="AB1226" s="298">
        <f>IF(Years="Five",SUMIF(Input!$D$40:$AB$40,AB$1171,$D394:$AB394),0)</f>
        <v>0</v>
      </c>
    </row>
    <row r="1227" spans="2:28" x14ac:dyDescent="0.3">
      <c r="C1227" s="638">
        <f>C1163</f>
        <v>1705</v>
      </c>
      <c r="D1227" s="297">
        <f>IF(Years="Five",SUMIF(Input!$D$40:$AB$40,D$1171,$D395:$AB395),0)</f>
        <v>0</v>
      </c>
      <c r="E1227" s="229">
        <f>IF(Years="Five",SUMIF(Input!$D$40:$AB$40,E$1171,$D395:$AB395),0)</f>
        <v>0</v>
      </c>
      <c r="F1227" s="229">
        <f>IF(Years="Five",SUMIF(Input!$D$40:$AB$40,F$1171,$D395:$AB395),0)</f>
        <v>0</v>
      </c>
      <c r="G1227" s="229">
        <f>IF(Years="Five",SUMIF(Input!$D$40:$AB$40,G$1171,$D395:$AB395),0)</f>
        <v>0</v>
      </c>
      <c r="H1227" s="229">
        <f>IF(Years="Five",SUMIF(Input!$D$40:$AB$40,H$1171,$D395:$AB395),0)</f>
        <v>0</v>
      </c>
      <c r="I1227" s="229">
        <f>IF(Years="Five",SUMIF(Input!$D$40:$AB$40,I$1171,$D395:$AB395),0)</f>
        <v>0</v>
      </c>
      <c r="J1227" s="229">
        <f>IF(Years="Five",SUMIF(Input!$D$40:$AB$40,J$1171,$D395:$AB395),0)</f>
        <v>0</v>
      </c>
      <c r="K1227" s="229">
        <f>IF(Years="Five",SUMIF(Input!$D$40:$AB$40,K$1171,$D395:$AB395),0)</f>
        <v>0</v>
      </c>
      <c r="L1227" s="229">
        <f>IF(Years="Five",SUMIF(Input!$D$40:$AB$40,L$1171,$D395:$AB395),0)</f>
        <v>0</v>
      </c>
      <c r="M1227" s="229">
        <f>IF(Years="Five",SUMIF(Input!$D$40:$AB$40,M$1171,$D395:$AB395),0)</f>
        <v>0</v>
      </c>
      <c r="N1227" s="229">
        <f>IF(Years="Five",SUMIF(Input!$D$40:$AB$40,N$1171,$D395:$AB395),0)</f>
        <v>0</v>
      </c>
      <c r="O1227" s="229">
        <f>IF(Years="Five",SUMIF(Input!$D$40:$AB$40,O$1171,$D395:$AB395),0)</f>
        <v>0</v>
      </c>
      <c r="P1227" s="229">
        <f>IF(Years="Five",SUMIF(Input!$D$40:$AB$40,P$1171,$D395:$AB395),0)</f>
        <v>0</v>
      </c>
      <c r="Q1227" s="229">
        <f>IF(Years="Five",SUMIF(Input!$D$40:$AB$40,Q$1171,$D395:$AB395),0)</f>
        <v>0</v>
      </c>
      <c r="R1227" s="229">
        <f>IF(Years="Five",SUMIF(Input!$D$40:$AB$40,R$1171,$D395:$AB395),0)</f>
        <v>0</v>
      </c>
      <c r="S1227" s="229">
        <f>IF(Years="Five",SUMIF(Input!$D$40:$AB$40,S$1171,$D395:$AB395),0)</f>
        <v>0</v>
      </c>
      <c r="T1227" s="229">
        <f>IF(Years="Five",SUMIF(Input!$D$40:$AB$40,T$1171,$D395:$AB395),0)</f>
        <v>0</v>
      </c>
      <c r="U1227" s="229">
        <f>IF(Years="Five",SUMIF(Input!$D$40:$AB$40,U$1171,$D395:$AB395),0)</f>
        <v>0</v>
      </c>
      <c r="V1227" s="229">
        <f>IF(Years="Five",SUMIF(Input!$D$40:$AB$40,V$1171,$D395:$AB395),0)</f>
        <v>0</v>
      </c>
      <c r="W1227" s="229">
        <f>IF(Years="Five",SUMIF(Input!$D$40:$AB$40,W$1171,$D395:$AB395),0)</f>
        <v>0</v>
      </c>
      <c r="X1227" s="229">
        <f>IF(Years="Five",SUMIF(Input!$D$40:$AB$40,X$1171,$D395:$AB395),0)</f>
        <v>0</v>
      </c>
      <c r="Y1227" s="229">
        <f>IF(Years="Five",SUMIF(Input!$D$40:$AB$40,Y$1171,$D395:$AB395),0)</f>
        <v>0</v>
      </c>
      <c r="Z1227" s="229">
        <f>IF(Years="Five",SUMIF(Input!$D$40:$AB$40,Z$1171,$D395:$AB395),0)</f>
        <v>0</v>
      </c>
      <c r="AA1227" s="229">
        <f>IF(Years="Five",SUMIF(Input!$D$40:$AB$40,AA$1171,$D395:$AB395),0)</f>
        <v>0</v>
      </c>
      <c r="AB1227" s="298">
        <f>IF(Years="Five",SUMIF(Input!$D$40:$AB$40,AB$1171,$D395:$AB395),0)</f>
        <v>0</v>
      </c>
    </row>
    <row r="1228" spans="2:28" x14ac:dyDescent="0.3">
      <c r="C1228" s="638">
        <f>C1164</f>
        <v>1735</v>
      </c>
      <c r="D1228" s="297">
        <f>IF(Years="Five",SUMIF(Input!$D$40:$AB$40,D$1171,$D396:$AB396),0)</f>
        <v>0</v>
      </c>
      <c r="E1228" s="229">
        <f>IF(Years="Five",SUMIF(Input!$D$40:$AB$40,E$1171,$D396:$AB396),0)</f>
        <v>0</v>
      </c>
      <c r="F1228" s="229">
        <f>IF(Years="Five",SUMIF(Input!$D$40:$AB$40,F$1171,$D396:$AB396),0)</f>
        <v>0</v>
      </c>
      <c r="G1228" s="229">
        <f>IF(Years="Five",SUMIF(Input!$D$40:$AB$40,G$1171,$D396:$AB396),0)</f>
        <v>0</v>
      </c>
      <c r="H1228" s="229">
        <f>IF(Years="Five",SUMIF(Input!$D$40:$AB$40,H$1171,$D396:$AB396),0)</f>
        <v>0</v>
      </c>
      <c r="I1228" s="229">
        <f>IF(Years="Five",SUMIF(Input!$D$40:$AB$40,I$1171,$D396:$AB396),0)</f>
        <v>0</v>
      </c>
      <c r="J1228" s="229">
        <f>IF(Years="Five",SUMIF(Input!$D$40:$AB$40,J$1171,$D396:$AB396),0)</f>
        <v>0</v>
      </c>
      <c r="K1228" s="229">
        <f>IF(Years="Five",SUMIF(Input!$D$40:$AB$40,K$1171,$D396:$AB396),0)</f>
        <v>0</v>
      </c>
      <c r="L1228" s="229">
        <f>IF(Years="Five",SUMIF(Input!$D$40:$AB$40,L$1171,$D396:$AB396),0)</f>
        <v>0</v>
      </c>
      <c r="M1228" s="229">
        <f>IF(Years="Five",SUMIF(Input!$D$40:$AB$40,M$1171,$D396:$AB396),0)</f>
        <v>0</v>
      </c>
      <c r="N1228" s="229">
        <f>IF(Years="Five",SUMIF(Input!$D$40:$AB$40,N$1171,$D396:$AB396),0)</f>
        <v>0</v>
      </c>
      <c r="O1228" s="229">
        <f>IF(Years="Five",SUMIF(Input!$D$40:$AB$40,O$1171,$D396:$AB396),0)</f>
        <v>0</v>
      </c>
      <c r="P1228" s="229">
        <f>IF(Years="Five",SUMIF(Input!$D$40:$AB$40,P$1171,$D396:$AB396),0)</f>
        <v>0</v>
      </c>
      <c r="Q1228" s="229">
        <f>IF(Years="Five",SUMIF(Input!$D$40:$AB$40,Q$1171,$D396:$AB396),0)</f>
        <v>0</v>
      </c>
      <c r="R1228" s="229">
        <f>IF(Years="Five",SUMIF(Input!$D$40:$AB$40,R$1171,$D396:$AB396),0)</f>
        <v>0</v>
      </c>
      <c r="S1228" s="229">
        <f>IF(Years="Five",SUMIF(Input!$D$40:$AB$40,S$1171,$D396:$AB396),0)</f>
        <v>0</v>
      </c>
      <c r="T1228" s="229">
        <f>IF(Years="Five",SUMIF(Input!$D$40:$AB$40,T$1171,$D396:$AB396),0)</f>
        <v>0</v>
      </c>
      <c r="U1228" s="229">
        <f>IF(Years="Five",SUMIF(Input!$D$40:$AB$40,U$1171,$D396:$AB396),0)</f>
        <v>0</v>
      </c>
      <c r="V1228" s="229">
        <f>IF(Years="Five",SUMIF(Input!$D$40:$AB$40,V$1171,$D396:$AB396),0)</f>
        <v>0</v>
      </c>
      <c r="W1228" s="229">
        <f>IF(Years="Five",SUMIF(Input!$D$40:$AB$40,W$1171,$D396:$AB396),0)</f>
        <v>0</v>
      </c>
      <c r="X1228" s="229">
        <f>IF(Years="Five",SUMIF(Input!$D$40:$AB$40,X$1171,$D396:$AB396),0)</f>
        <v>0</v>
      </c>
      <c r="Y1228" s="229">
        <f>IF(Years="Five",SUMIF(Input!$D$40:$AB$40,Y$1171,$D396:$AB396),0)</f>
        <v>0</v>
      </c>
      <c r="Z1228" s="229">
        <f>IF(Years="Five",SUMIF(Input!$D$40:$AB$40,Z$1171,$D396:$AB396),0)</f>
        <v>0</v>
      </c>
      <c r="AA1228" s="229">
        <f>IF(Years="Five",SUMIF(Input!$D$40:$AB$40,AA$1171,$D396:$AB396),0)</f>
        <v>0</v>
      </c>
      <c r="AB1228" s="298">
        <f>IF(Years="Five",SUMIF(Input!$D$40:$AB$40,AB$1171,$D396:$AB396),0)</f>
        <v>0</v>
      </c>
    </row>
    <row r="1229" spans="2:28" x14ac:dyDescent="0.3">
      <c r="C1229" s="638">
        <f>C1165</f>
        <v>1766</v>
      </c>
      <c r="D1229" s="297">
        <f>IF(Years="Five",SUMIF(Input!$D$40:$AB$40,D$1171,$D397:$AB397),0)</f>
        <v>0</v>
      </c>
      <c r="E1229" s="229">
        <f>IF(Years="Five",SUMIF(Input!$D$40:$AB$40,E$1171,$D397:$AB397),0)</f>
        <v>0</v>
      </c>
      <c r="F1229" s="229">
        <f>IF(Years="Five",SUMIF(Input!$D$40:$AB$40,F$1171,$D397:$AB397),0)</f>
        <v>0</v>
      </c>
      <c r="G1229" s="229">
        <f>IF(Years="Five",SUMIF(Input!$D$40:$AB$40,G$1171,$D397:$AB397),0)</f>
        <v>0</v>
      </c>
      <c r="H1229" s="229">
        <f>IF(Years="Five",SUMIF(Input!$D$40:$AB$40,H$1171,$D397:$AB397),0)</f>
        <v>0</v>
      </c>
      <c r="I1229" s="229">
        <f>IF(Years="Five",SUMIF(Input!$D$40:$AB$40,I$1171,$D397:$AB397),0)</f>
        <v>0</v>
      </c>
      <c r="J1229" s="229">
        <f>IF(Years="Five",SUMIF(Input!$D$40:$AB$40,J$1171,$D397:$AB397),0)</f>
        <v>0</v>
      </c>
      <c r="K1229" s="229">
        <f>IF(Years="Five",SUMIF(Input!$D$40:$AB$40,K$1171,$D397:$AB397),0)</f>
        <v>0</v>
      </c>
      <c r="L1229" s="229">
        <f>IF(Years="Five",SUMIF(Input!$D$40:$AB$40,L$1171,$D397:$AB397),0)</f>
        <v>0</v>
      </c>
      <c r="M1229" s="229">
        <f>IF(Years="Five",SUMIF(Input!$D$40:$AB$40,M$1171,$D397:$AB397),0)</f>
        <v>0</v>
      </c>
      <c r="N1229" s="229">
        <f>IF(Years="Five",SUMIF(Input!$D$40:$AB$40,N$1171,$D397:$AB397),0)</f>
        <v>0</v>
      </c>
      <c r="O1229" s="229">
        <f>IF(Years="Five",SUMIF(Input!$D$40:$AB$40,O$1171,$D397:$AB397),0)</f>
        <v>0</v>
      </c>
      <c r="P1229" s="229">
        <f>IF(Years="Five",SUMIF(Input!$D$40:$AB$40,P$1171,$D397:$AB397),0)</f>
        <v>0</v>
      </c>
      <c r="Q1229" s="229">
        <f>IF(Years="Five",SUMIF(Input!$D$40:$AB$40,Q$1171,$D397:$AB397),0)</f>
        <v>0</v>
      </c>
      <c r="R1229" s="229">
        <f>IF(Years="Five",SUMIF(Input!$D$40:$AB$40,R$1171,$D397:$AB397),0)</f>
        <v>0</v>
      </c>
      <c r="S1229" s="229">
        <f>IF(Years="Five",SUMIF(Input!$D$40:$AB$40,S$1171,$D397:$AB397),0)</f>
        <v>0</v>
      </c>
      <c r="T1229" s="229">
        <f>IF(Years="Five",SUMIF(Input!$D$40:$AB$40,T$1171,$D397:$AB397),0)</f>
        <v>0</v>
      </c>
      <c r="U1229" s="229">
        <f>IF(Years="Five",SUMIF(Input!$D$40:$AB$40,U$1171,$D397:$AB397),0)</f>
        <v>0</v>
      </c>
      <c r="V1229" s="229">
        <f>IF(Years="Five",SUMIF(Input!$D$40:$AB$40,V$1171,$D397:$AB397),0)</f>
        <v>0</v>
      </c>
      <c r="W1229" s="229">
        <f>IF(Years="Five",SUMIF(Input!$D$40:$AB$40,W$1171,$D397:$AB397),0)</f>
        <v>0</v>
      </c>
      <c r="X1229" s="229">
        <f>IF(Years="Five",SUMIF(Input!$D$40:$AB$40,X$1171,$D397:$AB397),0)</f>
        <v>0</v>
      </c>
      <c r="Y1229" s="229">
        <f>IF(Years="Five",SUMIF(Input!$D$40:$AB$40,Y$1171,$D397:$AB397),0)</f>
        <v>0</v>
      </c>
      <c r="Z1229" s="229">
        <f>IF(Years="Five",SUMIF(Input!$D$40:$AB$40,Z$1171,$D397:$AB397),0)</f>
        <v>0</v>
      </c>
      <c r="AA1229" s="229">
        <f>IF(Years="Five",SUMIF(Input!$D$40:$AB$40,AA$1171,$D397:$AB397),0)</f>
        <v>0</v>
      </c>
      <c r="AB1229" s="298">
        <f>IF(Years="Five",SUMIF(Input!$D$40:$AB$40,AB$1171,$D397:$AB397),0)</f>
        <v>0</v>
      </c>
    </row>
    <row r="1230" spans="2:28" x14ac:dyDescent="0.3">
      <c r="C1230" s="638">
        <f>C1166</f>
        <v>1796</v>
      </c>
      <c r="D1230" s="297">
        <f>IF(Years="Five",SUMIF(Input!$D$40:$AB$40,D$1171,$D398:$AB398),0)</f>
        <v>0</v>
      </c>
      <c r="E1230" s="229">
        <f>IF(Years="Five",SUMIF(Input!$D$40:$AB$40,E$1171,$D398:$AB398),0)</f>
        <v>0</v>
      </c>
      <c r="F1230" s="229">
        <f>IF(Years="Five",SUMIF(Input!$D$40:$AB$40,F$1171,$D398:$AB398),0)</f>
        <v>0</v>
      </c>
      <c r="G1230" s="229">
        <f>IF(Years="Five",SUMIF(Input!$D$40:$AB$40,G$1171,$D398:$AB398),0)</f>
        <v>0</v>
      </c>
      <c r="H1230" s="229">
        <f>IF(Years="Five",SUMIF(Input!$D$40:$AB$40,H$1171,$D398:$AB398),0)</f>
        <v>0</v>
      </c>
      <c r="I1230" s="229">
        <f>IF(Years="Five",SUMIF(Input!$D$40:$AB$40,I$1171,$D398:$AB398),0)</f>
        <v>0</v>
      </c>
      <c r="J1230" s="229">
        <f>IF(Years="Five",SUMIF(Input!$D$40:$AB$40,J$1171,$D398:$AB398),0)</f>
        <v>0</v>
      </c>
      <c r="K1230" s="229">
        <f>IF(Years="Five",SUMIF(Input!$D$40:$AB$40,K$1171,$D398:$AB398),0)</f>
        <v>0</v>
      </c>
      <c r="L1230" s="229">
        <f>IF(Years="Five",SUMIF(Input!$D$40:$AB$40,L$1171,$D398:$AB398),0)</f>
        <v>0</v>
      </c>
      <c r="M1230" s="229">
        <f>IF(Years="Five",SUMIF(Input!$D$40:$AB$40,M$1171,$D398:$AB398),0)</f>
        <v>0</v>
      </c>
      <c r="N1230" s="229">
        <f>IF(Years="Five",SUMIF(Input!$D$40:$AB$40,N$1171,$D398:$AB398),0)</f>
        <v>0</v>
      </c>
      <c r="O1230" s="229">
        <f>IF(Years="Five",SUMIF(Input!$D$40:$AB$40,O$1171,$D398:$AB398),0)</f>
        <v>0</v>
      </c>
      <c r="P1230" s="229">
        <f>IF(Years="Five",SUMIF(Input!$D$40:$AB$40,P$1171,$D398:$AB398),0)</f>
        <v>0</v>
      </c>
      <c r="Q1230" s="229">
        <f>IF(Years="Five",SUMIF(Input!$D$40:$AB$40,Q$1171,$D398:$AB398),0)</f>
        <v>0</v>
      </c>
      <c r="R1230" s="229">
        <f>IF(Years="Five",SUMIF(Input!$D$40:$AB$40,R$1171,$D398:$AB398),0)</f>
        <v>0</v>
      </c>
      <c r="S1230" s="229">
        <f>IF(Years="Five",SUMIF(Input!$D$40:$AB$40,S$1171,$D398:$AB398),0)</f>
        <v>0</v>
      </c>
      <c r="T1230" s="229">
        <f>IF(Years="Five",SUMIF(Input!$D$40:$AB$40,T$1171,$D398:$AB398),0)</f>
        <v>0</v>
      </c>
      <c r="U1230" s="229">
        <f>IF(Years="Five",SUMIF(Input!$D$40:$AB$40,U$1171,$D398:$AB398),0)</f>
        <v>0</v>
      </c>
      <c r="V1230" s="229">
        <f>IF(Years="Five",SUMIF(Input!$D$40:$AB$40,V$1171,$D398:$AB398),0)</f>
        <v>0</v>
      </c>
      <c r="W1230" s="229">
        <f>IF(Years="Five",SUMIF(Input!$D$40:$AB$40,W$1171,$D398:$AB398),0)</f>
        <v>0</v>
      </c>
      <c r="X1230" s="229">
        <f>IF(Years="Five",SUMIF(Input!$D$40:$AB$40,X$1171,$D398:$AB398),0)</f>
        <v>0</v>
      </c>
      <c r="Y1230" s="229">
        <f>IF(Years="Five",SUMIF(Input!$D$40:$AB$40,Y$1171,$D398:$AB398),0)</f>
        <v>0</v>
      </c>
      <c r="Z1230" s="229">
        <f>IF(Years="Five",SUMIF(Input!$D$40:$AB$40,Z$1171,$D398:$AB398),0)</f>
        <v>0</v>
      </c>
      <c r="AA1230" s="229">
        <f>IF(Years="Five",SUMIF(Input!$D$40:$AB$40,AA$1171,$D398:$AB398),0)</f>
        <v>0</v>
      </c>
      <c r="AB1230" s="298">
        <f>IF(Years="Five",SUMIF(Input!$D$40:$AB$40,AB$1171,$D398:$AB398),0)</f>
        <v>0</v>
      </c>
    </row>
    <row r="1231" spans="2:28" ht="12.5" thickBot="1" x14ac:dyDescent="0.35">
      <c r="C1231" s="638">
        <f>C1167</f>
        <v>1827</v>
      </c>
      <c r="D1231" s="301">
        <f>IF(Years="Five",SUMIF(Input!$D$40:$AB$40,D$1171,$D399:$AB399),0)</f>
        <v>0</v>
      </c>
      <c r="E1231" s="302">
        <f>IF(Years="Five",SUMIF(Input!$D$40:$AB$40,E$1171,$D399:$AB399),0)</f>
        <v>0</v>
      </c>
      <c r="F1231" s="302">
        <f>IF(Years="Five",SUMIF(Input!$D$40:$AB$40,F$1171,$D399:$AB399),0)</f>
        <v>0</v>
      </c>
      <c r="G1231" s="302">
        <f>IF(Years="Five",SUMIF(Input!$D$40:$AB$40,G$1171,$D399:$AB399),0)</f>
        <v>0</v>
      </c>
      <c r="H1231" s="302">
        <f>IF(Years="Five",SUMIF(Input!$D$40:$AB$40,H$1171,$D399:$AB399),0)</f>
        <v>0</v>
      </c>
      <c r="I1231" s="302">
        <f>IF(Years="Five",SUMIF(Input!$D$40:$AB$40,I$1171,$D399:$AB399),0)</f>
        <v>0</v>
      </c>
      <c r="J1231" s="302">
        <f>IF(Years="Five",SUMIF(Input!$D$40:$AB$40,J$1171,$D399:$AB399),0)</f>
        <v>0</v>
      </c>
      <c r="K1231" s="302">
        <f>IF(Years="Five",SUMIF(Input!$D$40:$AB$40,K$1171,$D399:$AB399),0)</f>
        <v>0</v>
      </c>
      <c r="L1231" s="302">
        <f>IF(Years="Five",SUMIF(Input!$D$40:$AB$40,L$1171,$D399:$AB399),0)</f>
        <v>0</v>
      </c>
      <c r="M1231" s="302">
        <f>IF(Years="Five",SUMIF(Input!$D$40:$AB$40,M$1171,$D399:$AB399),0)</f>
        <v>0</v>
      </c>
      <c r="N1231" s="302">
        <f>IF(Years="Five",SUMIF(Input!$D$40:$AB$40,N$1171,$D399:$AB399),0)</f>
        <v>0</v>
      </c>
      <c r="O1231" s="302">
        <f>IF(Years="Five",SUMIF(Input!$D$40:$AB$40,O$1171,$D399:$AB399),0)</f>
        <v>0</v>
      </c>
      <c r="P1231" s="302">
        <f>IF(Years="Five",SUMIF(Input!$D$40:$AB$40,P$1171,$D399:$AB399),0)</f>
        <v>0</v>
      </c>
      <c r="Q1231" s="302">
        <f>IF(Years="Five",SUMIF(Input!$D$40:$AB$40,Q$1171,$D399:$AB399),0)</f>
        <v>0</v>
      </c>
      <c r="R1231" s="302">
        <f>IF(Years="Five",SUMIF(Input!$D$40:$AB$40,R$1171,$D399:$AB399),0)</f>
        <v>0</v>
      </c>
      <c r="S1231" s="302">
        <f>IF(Years="Five",SUMIF(Input!$D$40:$AB$40,S$1171,$D399:$AB399),0)</f>
        <v>0</v>
      </c>
      <c r="T1231" s="302">
        <f>IF(Years="Five",SUMIF(Input!$D$40:$AB$40,T$1171,$D399:$AB399),0)</f>
        <v>0</v>
      </c>
      <c r="U1231" s="302">
        <f>IF(Years="Five",SUMIF(Input!$D$40:$AB$40,U$1171,$D399:$AB399),0)</f>
        <v>0</v>
      </c>
      <c r="V1231" s="302">
        <f>IF(Years="Five",SUMIF(Input!$D$40:$AB$40,V$1171,$D399:$AB399),0)</f>
        <v>0</v>
      </c>
      <c r="W1231" s="302">
        <f>IF(Years="Five",SUMIF(Input!$D$40:$AB$40,W$1171,$D399:$AB399),0)</f>
        <v>0</v>
      </c>
      <c r="X1231" s="302">
        <f>IF(Years="Five",SUMIF(Input!$D$40:$AB$40,X$1171,$D399:$AB399),0)</f>
        <v>0</v>
      </c>
      <c r="Y1231" s="302">
        <f>IF(Years="Five",SUMIF(Input!$D$40:$AB$40,Y$1171,$D399:$AB399),0)</f>
        <v>0</v>
      </c>
      <c r="Z1231" s="302">
        <f>IF(Years="Five",SUMIF(Input!$D$40:$AB$40,Z$1171,$D399:$AB399),0)</f>
        <v>0</v>
      </c>
      <c r="AA1231" s="302">
        <f>IF(Years="Five",SUMIF(Input!$D$40:$AB$40,AA$1171,$D399:$AB399),0)</f>
        <v>0</v>
      </c>
      <c r="AB1231" s="303">
        <f>IF(Years="Five",SUMIF(Input!$D$40:$AB$40,AB$1171,$D399:$AB399),0)</f>
        <v>0</v>
      </c>
    </row>
    <row r="1232" spans="2:28" ht="12" customHeight="1" x14ac:dyDescent="0.45">
      <c r="B1232" s="1799"/>
      <c r="C1232" s="1347" t="s">
        <v>131</v>
      </c>
      <c r="D1232" s="481">
        <f>SUM(D1172:D1231)</f>
        <v>0</v>
      </c>
      <c r="E1232" s="481">
        <f>SUM(E1172:E1231)</f>
        <v>0</v>
      </c>
      <c r="F1232" s="481">
        <f>SUM(F1172:F1231)</f>
        <v>0</v>
      </c>
      <c r="G1232" s="481">
        <f>SUM(G1172:G1231)</f>
        <v>0</v>
      </c>
      <c r="H1232" s="481">
        <f>SUM(H1172:H1231)</f>
        <v>0</v>
      </c>
      <c r="I1232" s="481">
        <f>SUM(I1172:I1231)</f>
        <v>0</v>
      </c>
      <c r="J1232" s="481">
        <f>SUM(J1172:J1231)</f>
        <v>0</v>
      </c>
      <c r="K1232" s="481">
        <f>SUM(K1172:K1231)</f>
        <v>0</v>
      </c>
      <c r="L1232" s="481">
        <f>SUM(L1172:L1231)</f>
        <v>0</v>
      </c>
      <c r="M1232" s="481">
        <f>SUM(M1172:M1231)</f>
        <v>0</v>
      </c>
      <c r="N1232" s="481">
        <f>SUM(N1172:N1231)</f>
        <v>0</v>
      </c>
      <c r="O1232" s="481">
        <f>SUM(O1172:O1231)</f>
        <v>0</v>
      </c>
      <c r="P1232" s="481">
        <f>SUM(P1172:P1231)</f>
        <v>0</v>
      </c>
      <c r="Q1232" s="481">
        <f>SUM(Q1172:Q1231)</f>
        <v>0</v>
      </c>
      <c r="R1232" s="481">
        <f>SUM(R1172:R1231)</f>
        <v>0</v>
      </c>
      <c r="S1232" s="481">
        <f>SUM(S1172:S1231)</f>
        <v>0</v>
      </c>
      <c r="T1232" s="481">
        <f>SUM(T1172:T1231)</f>
        <v>0</v>
      </c>
      <c r="U1232" s="481">
        <f>SUM(U1172:U1231)</f>
        <v>0</v>
      </c>
      <c r="V1232" s="481">
        <f>SUM(V1172:V1231)</f>
        <v>0</v>
      </c>
      <c r="W1232" s="481">
        <f>SUM(W1172:W1231)</f>
        <v>0</v>
      </c>
      <c r="X1232" s="481">
        <f>SUM(X1172:X1231)</f>
        <v>0</v>
      </c>
      <c r="Y1232" s="481">
        <f>SUM(Y1172:Y1231)</f>
        <v>0</v>
      </c>
      <c r="Z1232" s="481">
        <f>SUM(Z1172:Z1231)</f>
        <v>0</v>
      </c>
      <c r="AA1232" s="481">
        <f>SUM(AA1172:AA1231)</f>
        <v>0</v>
      </c>
      <c r="AB1232" s="481">
        <f>SUM(AB1172:AB1231)</f>
        <v>0</v>
      </c>
    </row>
    <row r="1233" spans="1:85" ht="15" customHeight="1" x14ac:dyDescent="0.45">
      <c r="A1233" s="1799"/>
      <c r="B1233" s="1830" t="s">
        <v>206</v>
      </c>
      <c r="C1233" s="1830"/>
      <c r="D1233" s="221"/>
      <c r="E1233" s="221"/>
      <c r="F1233" s="221"/>
      <c r="G1233" s="221"/>
      <c r="H1233" s="221"/>
      <c r="I1233" s="221"/>
      <c r="J1233" s="221"/>
      <c r="K1233" s="221"/>
      <c r="L1233" s="221"/>
      <c r="M1233" s="221"/>
      <c r="N1233" s="221"/>
      <c r="O1233" s="221"/>
      <c r="P1233" s="221"/>
      <c r="Q1233" s="221"/>
      <c r="R1233" s="221"/>
      <c r="S1233" s="221"/>
      <c r="T1233" s="221"/>
      <c r="U1233" s="221"/>
      <c r="V1233" s="221"/>
      <c r="W1233" s="221"/>
      <c r="X1233" s="221"/>
      <c r="Y1233" s="221"/>
      <c r="Z1233" s="221"/>
      <c r="AA1233" s="221"/>
      <c r="AB1233" s="221"/>
    </row>
    <row r="1234" spans="1:85" s="5" customFormat="1" ht="12.75" customHeight="1" thickBot="1" x14ac:dyDescent="0.35">
      <c r="A1234" s="646"/>
      <c r="B1234" s="1830"/>
      <c r="C1234" s="1830"/>
      <c r="D1234" s="820" t="str">
        <f>D1171</f>
        <v>Item 1</v>
      </c>
      <c r="E1234" s="820" t="str">
        <f>E1171</f>
        <v>Item 2</v>
      </c>
      <c r="F1234" s="820" t="str">
        <f>F1171</f>
        <v>Item 3</v>
      </c>
      <c r="G1234" s="820" t="str">
        <f>G1171</f>
        <v>Item 4</v>
      </c>
      <c r="H1234" s="820" t="str">
        <f>H1171</f>
        <v>Item 5</v>
      </c>
      <c r="I1234" s="820" t="str">
        <f>I1171</f>
        <v>Item 6</v>
      </c>
      <c r="J1234" s="820" t="str">
        <f>J1171</f>
        <v>Item 7</v>
      </c>
      <c r="K1234" s="820" t="str">
        <f>K1171</f>
        <v>Item 8</v>
      </c>
      <c r="L1234" s="820" t="str">
        <f>L1171</f>
        <v>Item 9</v>
      </c>
      <c r="M1234" s="820" t="str">
        <f>M1171</f>
        <v>Item 10</v>
      </c>
      <c r="N1234" s="820" t="str">
        <f>N1171</f>
        <v>Item 11</v>
      </c>
      <c r="O1234" s="820" t="str">
        <f>O1171</f>
        <v>Item 12</v>
      </c>
      <c r="P1234" s="820" t="str">
        <f>P1171</f>
        <v>Item 13</v>
      </c>
      <c r="Q1234" s="820" t="str">
        <f>Q1171</f>
        <v>Item 14</v>
      </c>
      <c r="R1234" s="820" t="str">
        <f>R1171</f>
        <v>Item 15</v>
      </c>
      <c r="S1234" s="820" t="str">
        <f>S1171</f>
        <v>Item 16</v>
      </c>
      <c r="T1234" s="820" t="str">
        <f>T1171</f>
        <v>Item 17</v>
      </c>
      <c r="U1234" s="820" t="str">
        <f>U1171</f>
        <v>Item 18</v>
      </c>
      <c r="V1234" s="820" t="str">
        <f>V1171</f>
        <v>Item 19</v>
      </c>
      <c r="W1234" s="820" t="str">
        <f>W1171</f>
        <v>Item 20</v>
      </c>
      <c r="X1234" s="820" t="str">
        <f>X1171</f>
        <v>Item 21</v>
      </c>
      <c r="Y1234" s="820" t="str">
        <f>Y1171</f>
        <v>Item 22</v>
      </c>
      <c r="Z1234" s="820" t="str">
        <f>Z1171</f>
        <v>Item 23</v>
      </c>
      <c r="AA1234" s="820" t="str">
        <f>AA1171</f>
        <v>Item 24</v>
      </c>
      <c r="AB1234" s="820" t="str">
        <f>AB1171</f>
        <v>Item 25</v>
      </c>
      <c r="AC1234" s="4"/>
      <c r="AD1234" s="4"/>
      <c r="AE1234" s="4"/>
      <c r="AF1234" s="4"/>
      <c r="AG1234" s="4"/>
      <c r="AH1234" s="4"/>
      <c r="AI1234" s="4"/>
      <c r="AJ1234" s="4"/>
      <c r="AK1234" s="4"/>
      <c r="AL1234" s="4"/>
      <c r="AM1234" s="4"/>
      <c r="AN1234" s="4"/>
      <c r="AO1234" s="4"/>
      <c r="AP1234" s="4"/>
      <c r="AQ1234" s="4"/>
      <c r="AR1234" s="4"/>
      <c r="AS1234" s="4"/>
      <c r="AT1234" s="4"/>
      <c r="AU1234" s="4"/>
      <c r="AV1234" s="4"/>
      <c r="AW1234" s="4"/>
      <c r="AX1234" s="4"/>
      <c r="AY1234" s="4"/>
      <c r="AZ1234" s="4"/>
      <c r="BA1234" s="4"/>
      <c r="BB1234" s="4"/>
      <c r="BC1234" s="4"/>
      <c r="BD1234" s="4"/>
      <c r="BE1234" s="4"/>
      <c r="BF1234" s="4"/>
      <c r="BG1234" s="4"/>
      <c r="BH1234" s="4"/>
      <c r="BI1234" s="4"/>
      <c r="BJ1234" s="4"/>
      <c r="BK1234" s="4"/>
      <c r="BL1234" s="4"/>
      <c r="BM1234" s="4"/>
      <c r="BN1234" s="4"/>
      <c r="BO1234" s="4"/>
      <c r="BP1234" s="4"/>
      <c r="BQ1234" s="4"/>
      <c r="BR1234" s="4"/>
      <c r="BS1234" s="4"/>
      <c r="BT1234" s="4"/>
      <c r="BU1234" s="4"/>
      <c r="BV1234" s="4"/>
      <c r="BW1234" s="4"/>
      <c r="BX1234" s="4"/>
      <c r="BY1234" s="4"/>
      <c r="BZ1234" s="4"/>
      <c r="CA1234" s="4"/>
      <c r="CB1234" s="4"/>
      <c r="CC1234" s="4"/>
      <c r="CD1234" s="4"/>
      <c r="CE1234" s="4"/>
      <c r="CF1234" s="4"/>
      <c r="CG1234" s="4"/>
    </row>
    <row r="1235" spans="1:85" x14ac:dyDescent="0.3">
      <c r="C1235" s="477">
        <f>C1172</f>
        <v>0</v>
      </c>
      <c r="D1235" s="227">
        <f>SUMIF(Input!$D$40:$AB$40,D$1171,$D410:$AB410)</f>
        <v>0</v>
      </c>
      <c r="E1235" s="228">
        <f>SUMIF(Input!$D$40:$AB$40,E$1171,$D410:$AB410)</f>
        <v>0</v>
      </c>
      <c r="F1235" s="228">
        <f>SUMIF(Input!$D$40:$AB$40,F$1171,$D410:$AB410)</f>
        <v>0</v>
      </c>
      <c r="G1235" s="228">
        <f>SUMIF(Input!$D$40:$AB$40,G$1171,$D410:$AB410)</f>
        <v>0</v>
      </c>
      <c r="H1235" s="228">
        <f>SUMIF(Input!$D$40:$AB$40,H$1171,$D410:$AB410)</f>
        <v>0</v>
      </c>
      <c r="I1235" s="228">
        <f>SUMIF(Input!$D$40:$AB$40,I$1171,$D410:$AB410)</f>
        <v>0</v>
      </c>
      <c r="J1235" s="228">
        <f>SUMIF(Input!$D$40:$AB$40,J$1171,$D410:$AB410)</f>
        <v>0</v>
      </c>
      <c r="K1235" s="228">
        <f>SUMIF(Input!$D$40:$AB$40,K$1171,$D410:$AB410)</f>
        <v>0</v>
      </c>
      <c r="L1235" s="228">
        <f>SUMIF(Input!$D$40:$AB$40,L$1171,$D410:$AB410)</f>
        <v>0</v>
      </c>
      <c r="M1235" s="228">
        <f>SUMIF(Input!$D$40:$AB$40,M$1171,$D410:$AB410)</f>
        <v>0</v>
      </c>
      <c r="N1235" s="228">
        <f>SUMIF(Input!$D$40:$AB$40,N$1171,$D410:$AB410)</f>
        <v>0</v>
      </c>
      <c r="O1235" s="228">
        <f>SUMIF(Input!$D$40:$AB$40,O$1171,$D410:$AB410)</f>
        <v>0</v>
      </c>
      <c r="P1235" s="228">
        <f>SUMIF(Input!$D$40:$AB$40,P$1171,$D410:$AB410)</f>
        <v>0</v>
      </c>
      <c r="Q1235" s="228">
        <f>SUMIF(Input!$D$40:$AB$40,Q$1171,$D410:$AB410)</f>
        <v>0</v>
      </c>
      <c r="R1235" s="228">
        <f>SUMIF(Input!$D$40:$AB$40,R$1171,$D410:$AB410)</f>
        <v>0</v>
      </c>
      <c r="S1235" s="228">
        <f>SUMIF(Input!$D$40:$AB$40,S$1171,$D410:$AB410)</f>
        <v>0</v>
      </c>
      <c r="T1235" s="228">
        <f>SUMIF(Input!$D$40:$AB$40,T$1171,$D410:$AB410)</f>
        <v>0</v>
      </c>
      <c r="U1235" s="228">
        <f>SUMIF(Input!$D$40:$AB$40,U$1171,$D410:$AB410)</f>
        <v>0</v>
      </c>
      <c r="V1235" s="228">
        <f>SUMIF(Input!$D$40:$AB$40,V$1171,$D410:$AB410)</f>
        <v>0</v>
      </c>
      <c r="W1235" s="228">
        <f>SUMIF(Input!$D$40:$AB$40,W$1171,$D410:$AB410)</f>
        <v>0</v>
      </c>
      <c r="X1235" s="228">
        <f>SUMIF(Input!$D$40:$AB$40,X$1171,$D410:$AB410)</f>
        <v>0</v>
      </c>
      <c r="Y1235" s="228">
        <f>SUMIF(Input!$D$40:$AB$40,Y$1171,$D410:$AB410)</f>
        <v>0</v>
      </c>
      <c r="Z1235" s="228">
        <f>SUMIF(Input!$D$40:$AB$40,Z$1171,$D410:$AB410)</f>
        <v>0</v>
      </c>
      <c r="AA1235" s="228">
        <f>SUMIF(Input!$D$40:$AB$40,AA$1171,$D410:$AB410)</f>
        <v>0</v>
      </c>
      <c r="AB1235" s="228">
        <f>SUMIF(Input!$D$40:$AB$40,AB$1171,$D410:$AB410)</f>
        <v>0</v>
      </c>
    </row>
    <row r="1236" spans="1:85" x14ac:dyDescent="0.3">
      <c r="C1236" s="479">
        <f>C1173</f>
        <v>59</v>
      </c>
      <c r="D1236" s="229">
        <f>SUMIF(Input!$D$40:$AB$40,D$1171,$D411:$AB411)</f>
        <v>0</v>
      </c>
      <c r="E1236" s="229">
        <f>SUMIF(Input!$D$40:$AB$40,E$1171,$D411:$AB411)</f>
        <v>0</v>
      </c>
      <c r="F1236" s="229">
        <f>SUMIF(Input!$D$40:$AB$40,F$1171,$D411:$AB411)</f>
        <v>0</v>
      </c>
      <c r="G1236" s="229">
        <f>SUMIF(Input!$D$40:$AB$40,G$1171,$D411:$AB411)</f>
        <v>0</v>
      </c>
      <c r="H1236" s="229">
        <f>SUMIF(Input!$D$40:$AB$40,H$1171,$D411:$AB411)</f>
        <v>0</v>
      </c>
      <c r="I1236" s="229">
        <f>SUMIF(Input!$D$40:$AB$40,I$1171,$D411:$AB411)</f>
        <v>0</v>
      </c>
      <c r="J1236" s="229">
        <f>SUMIF(Input!$D$40:$AB$40,J$1171,$D411:$AB411)</f>
        <v>0</v>
      </c>
      <c r="K1236" s="229">
        <f>SUMIF(Input!$D$40:$AB$40,K$1171,$D411:$AB411)</f>
        <v>0</v>
      </c>
      <c r="L1236" s="229">
        <f>SUMIF(Input!$D$40:$AB$40,L$1171,$D411:$AB411)</f>
        <v>0</v>
      </c>
      <c r="M1236" s="229">
        <f>SUMIF(Input!$D$40:$AB$40,M$1171,$D411:$AB411)</f>
        <v>0</v>
      </c>
      <c r="N1236" s="229">
        <f>SUMIF(Input!$D$40:$AB$40,N$1171,$D411:$AB411)</f>
        <v>0</v>
      </c>
      <c r="O1236" s="229">
        <f>SUMIF(Input!$D$40:$AB$40,O$1171,$D411:$AB411)</f>
        <v>0</v>
      </c>
      <c r="P1236" s="229">
        <f>SUMIF(Input!$D$40:$AB$40,P$1171,$D411:$AB411)</f>
        <v>0</v>
      </c>
      <c r="Q1236" s="229">
        <f>SUMIF(Input!$D$40:$AB$40,Q$1171,$D411:$AB411)</f>
        <v>0</v>
      </c>
      <c r="R1236" s="229">
        <f>SUMIF(Input!$D$40:$AB$40,R$1171,$D411:$AB411)</f>
        <v>0</v>
      </c>
      <c r="S1236" s="229">
        <f>SUMIF(Input!$D$40:$AB$40,S$1171,$D411:$AB411)</f>
        <v>0</v>
      </c>
      <c r="T1236" s="229">
        <f>SUMIF(Input!$D$40:$AB$40,T$1171,$D411:$AB411)</f>
        <v>0</v>
      </c>
      <c r="U1236" s="229">
        <f>SUMIF(Input!$D$40:$AB$40,U$1171,$D411:$AB411)</f>
        <v>0</v>
      </c>
      <c r="V1236" s="229">
        <f>SUMIF(Input!$D$40:$AB$40,V$1171,$D411:$AB411)</f>
        <v>0</v>
      </c>
      <c r="W1236" s="229">
        <f>SUMIF(Input!$D$40:$AB$40,W$1171,$D411:$AB411)</f>
        <v>0</v>
      </c>
      <c r="X1236" s="229">
        <f>SUMIF(Input!$D$40:$AB$40,X$1171,$D411:$AB411)</f>
        <v>0</v>
      </c>
      <c r="Y1236" s="229">
        <f>SUMIF(Input!$D$40:$AB$40,Y$1171,$D411:$AB411)</f>
        <v>0</v>
      </c>
      <c r="Z1236" s="229">
        <f>SUMIF(Input!$D$40:$AB$40,Z$1171,$D411:$AB411)</f>
        <v>0</v>
      </c>
      <c r="AA1236" s="229">
        <f>SUMIF(Input!$D$40:$AB$40,AA$1171,$D411:$AB411)</f>
        <v>0</v>
      </c>
      <c r="AB1236" s="229">
        <f>SUMIF(Input!$D$40:$AB$40,AB$1171,$D411:$AB411)</f>
        <v>0</v>
      </c>
    </row>
    <row r="1237" spans="1:85" x14ac:dyDescent="0.3">
      <c r="C1237" s="479">
        <f>C1174</f>
        <v>91</v>
      </c>
      <c r="D1237" s="229">
        <f>SUMIF(Input!$D$40:$AB$40,D$1171,$D412:$AB412)</f>
        <v>0</v>
      </c>
      <c r="E1237" s="229">
        <f>SUMIF(Input!$D$40:$AB$40,E$1171,$D412:$AB412)</f>
        <v>0</v>
      </c>
      <c r="F1237" s="229">
        <f>SUMIF(Input!$D$40:$AB$40,F$1171,$D412:$AB412)</f>
        <v>0</v>
      </c>
      <c r="G1237" s="229">
        <f>SUMIF(Input!$D$40:$AB$40,G$1171,$D412:$AB412)</f>
        <v>0</v>
      </c>
      <c r="H1237" s="229">
        <f>SUMIF(Input!$D$40:$AB$40,H$1171,$D412:$AB412)</f>
        <v>0</v>
      </c>
      <c r="I1237" s="229">
        <f>SUMIF(Input!$D$40:$AB$40,I$1171,$D412:$AB412)</f>
        <v>0</v>
      </c>
      <c r="J1237" s="229">
        <f>SUMIF(Input!$D$40:$AB$40,J$1171,$D412:$AB412)</f>
        <v>0</v>
      </c>
      <c r="K1237" s="229">
        <f>SUMIF(Input!$D$40:$AB$40,K$1171,$D412:$AB412)</f>
        <v>0</v>
      </c>
      <c r="L1237" s="229">
        <f>SUMIF(Input!$D$40:$AB$40,L$1171,$D412:$AB412)</f>
        <v>0</v>
      </c>
      <c r="M1237" s="229">
        <f>SUMIF(Input!$D$40:$AB$40,M$1171,$D412:$AB412)</f>
        <v>0</v>
      </c>
      <c r="N1237" s="229">
        <f>SUMIF(Input!$D$40:$AB$40,N$1171,$D412:$AB412)</f>
        <v>0</v>
      </c>
      <c r="O1237" s="229">
        <f>SUMIF(Input!$D$40:$AB$40,O$1171,$D412:$AB412)</f>
        <v>0</v>
      </c>
      <c r="P1237" s="229">
        <f>SUMIF(Input!$D$40:$AB$40,P$1171,$D412:$AB412)</f>
        <v>0</v>
      </c>
      <c r="Q1237" s="229">
        <f>SUMIF(Input!$D$40:$AB$40,Q$1171,$D412:$AB412)</f>
        <v>0</v>
      </c>
      <c r="R1237" s="229">
        <f>SUMIF(Input!$D$40:$AB$40,R$1171,$D412:$AB412)</f>
        <v>0</v>
      </c>
      <c r="S1237" s="229">
        <f>SUMIF(Input!$D$40:$AB$40,S$1171,$D412:$AB412)</f>
        <v>0</v>
      </c>
      <c r="T1237" s="229">
        <f>SUMIF(Input!$D$40:$AB$40,T$1171,$D412:$AB412)</f>
        <v>0</v>
      </c>
      <c r="U1237" s="229">
        <f>SUMIF(Input!$D$40:$AB$40,U$1171,$D412:$AB412)</f>
        <v>0</v>
      </c>
      <c r="V1237" s="229">
        <f>SUMIF(Input!$D$40:$AB$40,V$1171,$D412:$AB412)</f>
        <v>0</v>
      </c>
      <c r="W1237" s="229">
        <f>SUMIF(Input!$D$40:$AB$40,W$1171,$D412:$AB412)</f>
        <v>0</v>
      </c>
      <c r="X1237" s="229">
        <f>SUMIF(Input!$D$40:$AB$40,X$1171,$D412:$AB412)</f>
        <v>0</v>
      </c>
      <c r="Y1237" s="229">
        <f>SUMIF(Input!$D$40:$AB$40,Y$1171,$D412:$AB412)</f>
        <v>0</v>
      </c>
      <c r="Z1237" s="229">
        <f>SUMIF(Input!$D$40:$AB$40,Z$1171,$D412:$AB412)</f>
        <v>0</v>
      </c>
      <c r="AA1237" s="229">
        <f>SUMIF(Input!$D$40:$AB$40,AA$1171,$D412:$AB412)</f>
        <v>0</v>
      </c>
      <c r="AB1237" s="229">
        <f>SUMIF(Input!$D$40:$AB$40,AB$1171,$D412:$AB412)</f>
        <v>0</v>
      </c>
    </row>
    <row r="1238" spans="1:85" x14ac:dyDescent="0.3">
      <c r="C1238" s="479">
        <f>C1175</f>
        <v>121</v>
      </c>
      <c r="D1238" s="229">
        <f>SUMIF(Input!$D$40:$AB$40,D$1171,$D413:$AB413)</f>
        <v>0</v>
      </c>
      <c r="E1238" s="229">
        <f>SUMIF(Input!$D$40:$AB$40,E$1171,$D413:$AB413)</f>
        <v>0</v>
      </c>
      <c r="F1238" s="229">
        <f>SUMIF(Input!$D$40:$AB$40,F$1171,$D413:$AB413)</f>
        <v>0</v>
      </c>
      <c r="G1238" s="229">
        <f>SUMIF(Input!$D$40:$AB$40,G$1171,$D413:$AB413)</f>
        <v>0</v>
      </c>
      <c r="H1238" s="229">
        <f>SUMIF(Input!$D$40:$AB$40,H$1171,$D413:$AB413)</f>
        <v>0</v>
      </c>
      <c r="I1238" s="229">
        <f>SUMIF(Input!$D$40:$AB$40,I$1171,$D413:$AB413)</f>
        <v>0</v>
      </c>
      <c r="J1238" s="229">
        <f>SUMIF(Input!$D$40:$AB$40,J$1171,$D413:$AB413)</f>
        <v>0</v>
      </c>
      <c r="K1238" s="229">
        <f>SUMIF(Input!$D$40:$AB$40,K$1171,$D413:$AB413)</f>
        <v>0</v>
      </c>
      <c r="L1238" s="229">
        <f>SUMIF(Input!$D$40:$AB$40,L$1171,$D413:$AB413)</f>
        <v>0</v>
      </c>
      <c r="M1238" s="229">
        <f>SUMIF(Input!$D$40:$AB$40,M$1171,$D413:$AB413)</f>
        <v>0</v>
      </c>
      <c r="N1238" s="229">
        <f>SUMIF(Input!$D$40:$AB$40,N$1171,$D413:$AB413)</f>
        <v>0</v>
      </c>
      <c r="O1238" s="229">
        <f>SUMIF(Input!$D$40:$AB$40,O$1171,$D413:$AB413)</f>
        <v>0</v>
      </c>
      <c r="P1238" s="229">
        <f>SUMIF(Input!$D$40:$AB$40,P$1171,$D413:$AB413)</f>
        <v>0</v>
      </c>
      <c r="Q1238" s="229">
        <f>SUMIF(Input!$D$40:$AB$40,Q$1171,$D413:$AB413)</f>
        <v>0</v>
      </c>
      <c r="R1238" s="229">
        <f>SUMIF(Input!$D$40:$AB$40,R$1171,$D413:$AB413)</f>
        <v>0</v>
      </c>
      <c r="S1238" s="229">
        <f>SUMIF(Input!$D$40:$AB$40,S$1171,$D413:$AB413)</f>
        <v>0</v>
      </c>
      <c r="T1238" s="229">
        <f>SUMIF(Input!$D$40:$AB$40,T$1171,$D413:$AB413)</f>
        <v>0</v>
      </c>
      <c r="U1238" s="229">
        <f>SUMIF(Input!$D$40:$AB$40,U$1171,$D413:$AB413)</f>
        <v>0</v>
      </c>
      <c r="V1238" s="229">
        <f>SUMIF(Input!$D$40:$AB$40,V$1171,$D413:$AB413)</f>
        <v>0</v>
      </c>
      <c r="W1238" s="229">
        <f>SUMIF(Input!$D$40:$AB$40,W$1171,$D413:$AB413)</f>
        <v>0</v>
      </c>
      <c r="X1238" s="229">
        <f>SUMIF(Input!$D$40:$AB$40,X$1171,$D413:$AB413)</f>
        <v>0</v>
      </c>
      <c r="Y1238" s="229">
        <f>SUMIF(Input!$D$40:$AB$40,Y$1171,$D413:$AB413)</f>
        <v>0</v>
      </c>
      <c r="Z1238" s="229">
        <f>SUMIF(Input!$D$40:$AB$40,Z$1171,$D413:$AB413)</f>
        <v>0</v>
      </c>
      <c r="AA1238" s="229">
        <f>SUMIF(Input!$D$40:$AB$40,AA$1171,$D413:$AB413)</f>
        <v>0</v>
      </c>
      <c r="AB1238" s="229">
        <f>SUMIF(Input!$D$40:$AB$40,AB$1171,$D413:$AB413)</f>
        <v>0</v>
      </c>
    </row>
    <row r="1239" spans="1:85" x14ac:dyDescent="0.3">
      <c r="C1239" s="479">
        <f>C1176</f>
        <v>152</v>
      </c>
      <c r="D1239" s="229">
        <f>SUMIF(Input!$D$40:$AB$40,D$1171,$D414:$AB414)</f>
        <v>0</v>
      </c>
      <c r="E1239" s="229">
        <f>SUMIF(Input!$D$40:$AB$40,E$1171,$D414:$AB414)</f>
        <v>0</v>
      </c>
      <c r="F1239" s="229">
        <f>SUMIF(Input!$D$40:$AB$40,F$1171,$D414:$AB414)</f>
        <v>0</v>
      </c>
      <c r="G1239" s="229">
        <f>SUMIF(Input!$D$40:$AB$40,G$1171,$D414:$AB414)</f>
        <v>0</v>
      </c>
      <c r="H1239" s="229">
        <f>SUMIF(Input!$D$40:$AB$40,H$1171,$D414:$AB414)</f>
        <v>0</v>
      </c>
      <c r="I1239" s="229">
        <f>SUMIF(Input!$D$40:$AB$40,I$1171,$D414:$AB414)</f>
        <v>0</v>
      </c>
      <c r="J1239" s="229">
        <f>SUMIF(Input!$D$40:$AB$40,J$1171,$D414:$AB414)</f>
        <v>0</v>
      </c>
      <c r="K1239" s="229">
        <f>SUMIF(Input!$D$40:$AB$40,K$1171,$D414:$AB414)</f>
        <v>0</v>
      </c>
      <c r="L1239" s="229">
        <f>SUMIF(Input!$D$40:$AB$40,L$1171,$D414:$AB414)</f>
        <v>0</v>
      </c>
      <c r="M1239" s="229">
        <f>SUMIF(Input!$D$40:$AB$40,M$1171,$D414:$AB414)</f>
        <v>0</v>
      </c>
      <c r="N1239" s="229">
        <f>SUMIF(Input!$D$40:$AB$40,N$1171,$D414:$AB414)</f>
        <v>0</v>
      </c>
      <c r="O1239" s="229">
        <f>SUMIF(Input!$D$40:$AB$40,O$1171,$D414:$AB414)</f>
        <v>0</v>
      </c>
      <c r="P1239" s="229">
        <f>SUMIF(Input!$D$40:$AB$40,P$1171,$D414:$AB414)</f>
        <v>0</v>
      </c>
      <c r="Q1239" s="229">
        <f>SUMIF(Input!$D$40:$AB$40,Q$1171,$D414:$AB414)</f>
        <v>0</v>
      </c>
      <c r="R1239" s="229">
        <f>SUMIF(Input!$D$40:$AB$40,R$1171,$D414:$AB414)</f>
        <v>0</v>
      </c>
      <c r="S1239" s="229">
        <f>SUMIF(Input!$D$40:$AB$40,S$1171,$D414:$AB414)</f>
        <v>0</v>
      </c>
      <c r="T1239" s="229">
        <f>SUMIF(Input!$D$40:$AB$40,T$1171,$D414:$AB414)</f>
        <v>0</v>
      </c>
      <c r="U1239" s="229">
        <f>SUMIF(Input!$D$40:$AB$40,U$1171,$D414:$AB414)</f>
        <v>0</v>
      </c>
      <c r="V1239" s="229">
        <f>SUMIF(Input!$D$40:$AB$40,V$1171,$D414:$AB414)</f>
        <v>0</v>
      </c>
      <c r="W1239" s="229">
        <f>SUMIF(Input!$D$40:$AB$40,W$1171,$D414:$AB414)</f>
        <v>0</v>
      </c>
      <c r="X1239" s="229">
        <f>SUMIF(Input!$D$40:$AB$40,X$1171,$D414:$AB414)</f>
        <v>0</v>
      </c>
      <c r="Y1239" s="229">
        <f>SUMIF(Input!$D$40:$AB$40,Y$1171,$D414:$AB414)</f>
        <v>0</v>
      </c>
      <c r="Z1239" s="229">
        <f>SUMIF(Input!$D$40:$AB$40,Z$1171,$D414:$AB414)</f>
        <v>0</v>
      </c>
      <c r="AA1239" s="229">
        <f>SUMIF(Input!$D$40:$AB$40,AA$1171,$D414:$AB414)</f>
        <v>0</v>
      </c>
      <c r="AB1239" s="229">
        <f>SUMIF(Input!$D$40:$AB$40,AB$1171,$D414:$AB414)</f>
        <v>0</v>
      </c>
    </row>
    <row r="1240" spans="1:85" x14ac:dyDescent="0.3">
      <c r="C1240" s="479">
        <f>C1177</f>
        <v>182</v>
      </c>
      <c r="D1240" s="229">
        <f>SUMIF(Input!$D$40:$AB$40,D$1171,$D415:$AB415)</f>
        <v>0</v>
      </c>
      <c r="E1240" s="229">
        <f>SUMIF(Input!$D$40:$AB$40,E$1171,$D415:$AB415)</f>
        <v>0</v>
      </c>
      <c r="F1240" s="229">
        <f>SUMIF(Input!$D$40:$AB$40,F$1171,$D415:$AB415)</f>
        <v>0</v>
      </c>
      <c r="G1240" s="229">
        <f>SUMIF(Input!$D$40:$AB$40,G$1171,$D415:$AB415)</f>
        <v>0</v>
      </c>
      <c r="H1240" s="229">
        <f>SUMIF(Input!$D$40:$AB$40,H$1171,$D415:$AB415)</f>
        <v>0</v>
      </c>
      <c r="I1240" s="229">
        <f>SUMIF(Input!$D$40:$AB$40,I$1171,$D415:$AB415)</f>
        <v>0</v>
      </c>
      <c r="J1240" s="229">
        <f>SUMIF(Input!$D$40:$AB$40,J$1171,$D415:$AB415)</f>
        <v>0</v>
      </c>
      <c r="K1240" s="229">
        <f>SUMIF(Input!$D$40:$AB$40,K$1171,$D415:$AB415)</f>
        <v>0</v>
      </c>
      <c r="L1240" s="229">
        <f>SUMIF(Input!$D$40:$AB$40,L$1171,$D415:$AB415)</f>
        <v>0</v>
      </c>
      <c r="M1240" s="229">
        <f>SUMIF(Input!$D$40:$AB$40,M$1171,$D415:$AB415)</f>
        <v>0</v>
      </c>
      <c r="N1240" s="229">
        <f>SUMIF(Input!$D$40:$AB$40,N$1171,$D415:$AB415)</f>
        <v>0</v>
      </c>
      <c r="O1240" s="229">
        <f>SUMIF(Input!$D$40:$AB$40,O$1171,$D415:$AB415)</f>
        <v>0</v>
      </c>
      <c r="P1240" s="229">
        <f>SUMIF(Input!$D$40:$AB$40,P$1171,$D415:$AB415)</f>
        <v>0</v>
      </c>
      <c r="Q1240" s="229">
        <f>SUMIF(Input!$D$40:$AB$40,Q$1171,$D415:$AB415)</f>
        <v>0</v>
      </c>
      <c r="R1240" s="229">
        <f>SUMIF(Input!$D$40:$AB$40,R$1171,$D415:$AB415)</f>
        <v>0</v>
      </c>
      <c r="S1240" s="229">
        <f>SUMIF(Input!$D$40:$AB$40,S$1171,$D415:$AB415)</f>
        <v>0</v>
      </c>
      <c r="T1240" s="229">
        <f>SUMIF(Input!$D$40:$AB$40,T$1171,$D415:$AB415)</f>
        <v>0</v>
      </c>
      <c r="U1240" s="229">
        <f>SUMIF(Input!$D$40:$AB$40,U$1171,$D415:$AB415)</f>
        <v>0</v>
      </c>
      <c r="V1240" s="229">
        <f>SUMIF(Input!$D$40:$AB$40,V$1171,$D415:$AB415)</f>
        <v>0</v>
      </c>
      <c r="W1240" s="229">
        <f>SUMIF(Input!$D$40:$AB$40,W$1171,$D415:$AB415)</f>
        <v>0</v>
      </c>
      <c r="X1240" s="229">
        <f>SUMIF(Input!$D$40:$AB$40,X$1171,$D415:$AB415)</f>
        <v>0</v>
      </c>
      <c r="Y1240" s="229">
        <f>SUMIF(Input!$D$40:$AB$40,Y$1171,$D415:$AB415)</f>
        <v>0</v>
      </c>
      <c r="Z1240" s="229">
        <f>SUMIF(Input!$D$40:$AB$40,Z$1171,$D415:$AB415)</f>
        <v>0</v>
      </c>
      <c r="AA1240" s="229">
        <f>SUMIF(Input!$D$40:$AB$40,AA$1171,$D415:$AB415)</f>
        <v>0</v>
      </c>
      <c r="AB1240" s="229">
        <f>SUMIF(Input!$D$40:$AB$40,AB$1171,$D415:$AB415)</f>
        <v>0</v>
      </c>
    </row>
    <row r="1241" spans="1:85" x14ac:dyDescent="0.3">
      <c r="C1241" s="479">
        <f>C1178</f>
        <v>213</v>
      </c>
      <c r="D1241" s="229">
        <f>SUMIF(Input!$D$40:$AB$40,D$1171,$D416:$AB416)</f>
        <v>0</v>
      </c>
      <c r="E1241" s="229">
        <f>SUMIF(Input!$D$40:$AB$40,E$1171,$D416:$AB416)</f>
        <v>0</v>
      </c>
      <c r="F1241" s="229">
        <f>SUMIF(Input!$D$40:$AB$40,F$1171,$D416:$AB416)</f>
        <v>0</v>
      </c>
      <c r="G1241" s="229">
        <f>SUMIF(Input!$D$40:$AB$40,G$1171,$D416:$AB416)</f>
        <v>0</v>
      </c>
      <c r="H1241" s="229">
        <f>SUMIF(Input!$D$40:$AB$40,H$1171,$D416:$AB416)</f>
        <v>0</v>
      </c>
      <c r="I1241" s="229">
        <f>SUMIF(Input!$D$40:$AB$40,I$1171,$D416:$AB416)</f>
        <v>0</v>
      </c>
      <c r="J1241" s="229">
        <f>SUMIF(Input!$D$40:$AB$40,J$1171,$D416:$AB416)</f>
        <v>0</v>
      </c>
      <c r="K1241" s="229">
        <f>SUMIF(Input!$D$40:$AB$40,K$1171,$D416:$AB416)</f>
        <v>0</v>
      </c>
      <c r="L1241" s="229">
        <f>SUMIF(Input!$D$40:$AB$40,L$1171,$D416:$AB416)</f>
        <v>0</v>
      </c>
      <c r="M1241" s="229">
        <f>SUMIF(Input!$D$40:$AB$40,M$1171,$D416:$AB416)</f>
        <v>0</v>
      </c>
      <c r="N1241" s="229">
        <f>SUMIF(Input!$D$40:$AB$40,N$1171,$D416:$AB416)</f>
        <v>0</v>
      </c>
      <c r="O1241" s="229">
        <f>SUMIF(Input!$D$40:$AB$40,O$1171,$D416:$AB416)</f>
        <v>0</v>
      </c>
      <c r="P1241" s="229">
        <f>SUMIF(Input!$D$40:$AB$40,P$1171,$D416:$AB416)</f>
        <v>0</v>
      </c>
      <c r="Q1241" s="229">
        <f>SUMIF(Input!$D$40:$AB$40,Q$1171,$D416:$AB416)</f>
        <v>0</v>
      </c>
      <c r="R1241" s="229">
        <f>SUMIF(Input!$D$40:$AB$40,R$1171,$D416:$AB416)</f>
        <v>0</v>
      </c>
      <c r="S1241" s="229">
        <f>SUMIF(Input!$D$40:$AB$40,S$1171,$D416:$AB416)</f>
        <v>0</v>
      </c>
      <c r="T1241" s="229">
        <f>SUMIF(Input!$D$40:$AB$40,T$1171,$D416:$AB416)</f>
        <v>0</v>
      </c>
      <c r="U1241" s="229">
        <f>SUMIF(Input!$D$40:$AB$40,U$1171,$D416:$AB416)</f>
        <v>0</v>
      </c>
      <c r="V1241" s="229">
        <f>SUMIF(Input!$D$40:$AB$40,V$1171,$D416:$AB416)</f>
        <v>0</v>
      </c>
      <c r="W1241" s="229">
        <f>SUMIF(Input!$D$40:$AB$40,W$1171,$D416:$AB416)</f>
        <v>0</v>
      </c>
      <c r="X1241" s="229">
        <f>SUMIF(Input!$D$40:$AB$40,X$1171,$D416:$AB416)</f>
        <v>0</v>
      </c>
      <c r="Y1241" s="229">
        <f>SUMIF(Input!$D$40:$AB$40,Y$1171,$D416:$AB416)</f>
        <v>0</v>
      </c>
      <c r="Z1241" s="229">
        <f>SUMIF(Input!$D$40:$AB$40,Z$1171,$D416:$AB416)</f>
        <v>0</v>
      </c>
      <c r="AA1241" s="229">
        <f>SUMIF(Input!$D$40:$AB$40,AA$1171,$D416:$AB416)</f>
        <v>0</v>
      </c>
      <c r="AB1241" s="229">
        <f>SUMIF(Input!$D$40:$AB$40,AB$1171,$D416:$AB416)</f>
        <v>0</v>
      </c>
    </row>
    <row r="1242" spans="1:85" x14ac:dyDescent="0.3">
      <c r="C1242" s="479">
        <f>C1179</f>
        <v>244</v>
      </c>
      <c r="D1242" s="229">
        <f>SUMIF(Input!$D$40:$AB$40,D$1171,$D417:$AB417)</f>
        <v>0</v>
      </c>
      <c r="E1242" s="229">
        <f>SUMIF(Input!$D$40:$AB$40,E$1171,$D417:$AB417)</f>
        <v>0</v>
      </c>
      <c r="F1242" s="229">
        <f>SUMIF(Input!$D$40:$AB$40,F$1171,$D417:$AB417)</f>
        <v>0</v>
      </c>
      <c r="G1242" s="229">
        <f>SUMIF(Input!$D$40:$AB$40,G$1171,$D417:$AB417)</f>
        <v>0</v>
      </c>
      <c r="H1242" s="229">
        <f>SUMIF(Input!$D$40:$AB$40,H$1171,$D417:$AB417)</f>
        <v>0</v>
      </c>
      <c r="I1242" s="229">
        <f>SUMIF(Input!$D$40:$AB$40,I$1171,$D417:$AB417)</f>
        <v>0</v>
      </c>
      <c r="J1242" s="229">
        <f>SUMIF(Input!$D$40:$AB$40,J$1171,$D417:$AB417)</f>
        <v>0</v>
      </c>
      <c r="K1242" s="229">
        <f>SUMIF(Input!$D$40:$AB$40,K$1171,$D417:$AB417)</f>
        <v>0</v>
      </c>
      <c r="L1242" s="229">
        <f>SUMIF(Input!$D$40:$AB$40,L$1171,$D417:$AB417)</f>
        <v>0</v>
      </c>
      <c r="M1242" s="229">
        <f>SUMIF(Input!$D$40:$AB$40,M$1171,$D417:$AB417)</f>
        <v>0</v>
      </c>
      <c r="N1242" s="229">
        <f>SUMIF(Input!$D$40:$AB$40,N$1171,$D417:$AB417)</f>
        <v>0</v>
      </c>
      <c r="O1242" s="229">
        <f>SUMIF(Input!$D$40:$AB$40,O$1171,$D417:$AB417)</f>
        <v>0</v>
      </c>
      <c r="P1242" s="229">
        <f>SUMIF(Input!$D$40:$AB$40,P$1171,$D417:$AB417)</f>
        <v>0</v>
      </c>
      <c r="Q1242" s="229">
        <f>SUMIF(Input!$D$40:$AB$40,Q$1171,$D417:$AB417)</f>
        <v>0</v>
      </c>
      <c r="R1242" s="229">
        <f>SUMIF(Input!$D$40:$AB$40,R$1171,$D417:$AB417)</f>
        <v>0</v>
      </c>
      <c r="S1242" s="229">
        <f>SUMIF(Input!$D$40:$AB$40,S$1171,$D417:$AB417)</f>
        <v>0</v>
      </c>
      <c r="T1242" s="229">
        <f>SUMIF(Input!$D$40:$AB$40,T$1171,$D417:$AB417)</f>
        <v>0</v>
      </c>
      <c r="U1242" s="229">
        <f>SUMIF(Input!$D$40:$AB$40,U$1171,$D417:$AB417)</f>
        <v>0</v>
      </c>
      <c r="V1242" s="229">
        <f>SUMIF(Input!$D$40:$AB$40,V$1171,$D417:$AB417)</f>
        <v>0</v>
      </c>
      <c r="W1242" s="229">
        <f>SUMIF(Input!$D$40:$AB$40,W$1171,$D417:$AB417)</f>
        <v>0</v>
      </c>
      <c r="X1242" s="229">
        <f>SUMIF(Input!$D$40:$AB$40,X$1171,$D417:$AB417)</f>
        <v>0</v>
      </c>
      <c r="Y1242" s="229">
        <f>SUMIF(Input!$D$40:$AB$40,Y$1171,$D417:$AB417)</f>
        <v>0</v>
      </c>
      <c r="Z1242" s="229">
        <f>SUMIF(Input!$D$40:$AB$40,Z$1171,$D417:$AB417)</f>
        <v>0</v>
      </c>
      <c r="AA1242" s="229">
        <f>SUMIF(Input!$D$40:$AB$40,AA$1171,$D417:$AB417)</f>
        <v>0</v>
      </c>
      <c r="AB1242" s="229">
        <f>SUMIF(Input!$D$40:$AB$40,AB$1171,$D417:$AB417)</f>
        <v>0</v>
      </c>
    </row>
    <row r="1243" spans="1:85" x14ac:dyDescent="0.3">
      <c r="C1243" s="479">
        <f>C1180</f>
        <v>274</v>
      </c>
      <c r="D1243" s="229">
        <f>SUMIF(Input!$D$40:$AB$40,D$1171,$D418:$AB418)</f>
        <v>0</v>
      </c>
      <c r="E1243" s="229">
        <f>SUMIF(Input!$D$40:$AB$40,E$1171,$D418:$AB418)</f>
        <v>0</v>
      </c>
      <c r="F1243" s="229">
        <f>SUMIF(Input!$D$40:$AB$40,F$1171,$D418:$AB418)</f>
        <v>0</v>
      </c>
      <c r="G1243" s="229">
        <f>SUMIF(Input!$D$40:$AB$40,G$1171,$D418:$AB418)</f>
        <v>0</v>
      </c>
      <c r="H1243" s="229">
        <f>SUMIF(Input!$D$40:$AB$40,H$1171,$D418:$AB418)</f>
        <v>0</v>
      </c>
      <c r="I1243" s="229">
        <f>SUMIF(Input!$D$40:$AB$40,I$1171,$D418:$AB418)</f>
        <v>0</v>
      </c>
      <c r="J1243" s="229">
        <f>SUMIF(Input!$D$40:$AB$40,J$1171,$D418:$AB418)</f>
        <v>0</v>
      </c>
      <c r="K1243" s="229">
        <f>SUMIF(Input!$D$40:$AB$40,K$1171,$D418:$AB418)</f>
        <v>0</v>
      </c>
      <c r="L1243" s="229">
        <f>SUMIF(Input!$D$40:$AB$40,L$1171,$D418:$AB418)</f>
        <v>0</v>
      </c>
      <c r="M1243" s="229">
        <f>SUMIF(Input!$D$40:$AB$40,M$1171,$D418:$AB418)</f>
        <v>0</v>
      </c>
      <c r="N1243" s="229">
        <f>SUMIF(Input!$D$40:$AB$40,N$1171,$D418:$AB418)</f>
        <v>0</v>
      </c>
      <c r="O1243" s="229">
        <f>SUMIF(Input!$D$40:$AB$40,O$1171,$D418:$AB418)</f>
        <v>0</v>
      </c>
      <c r="P1243" s="229">
        <f>SUMIF(Input!$D$40:$AB$40,P$1171,$D418:$AB418)</f>
        <v>0</v>
      </c>
      <c r="Q1243" s="229">
        <f>SUMIF(Input!$D$40:$AB$40,Q$1171,$D418:$AB418)</f>
        <v>0</v>
      </c>
      <c r="R1243" s="229">
        <f>SUMIF(Input!$D$40:$AB$40,R$1171,$D418:$AB418)</f>
        <v>0</v>
      </c>
      <c r="S1243" s="229">
        <f>SUMIF(Input!$D$40:$AB$40,S$1171,$D418:$AB418)</f>
        <v>0</v>
      </c>
      <c r="T1243" s="229">
        <f>SUMIF(Input!$D$40:$AB$40,T$1171,$D418:$AB418)</f>
        <v>0</v>
      </c>
      <c r="U1243" s="229">
        <f>SUMIF(Input!$D$40:$AB$40,U$1171,$D418:$AB418)</f>
        <v>0</v>
      </c>
      <c r="V1243" s="229">
        <f>SUMIF(Input!$D$40:$AB$40,V$1171,$D418:$AB418)</f>
        <v>0</v>
      </c>
      <c r="W1243" s="229">
        <f>SUMIF(Input!$D$40:$AB$40,W$1171,$D418:$AB418)</f>
        <v>0</v>
      </c>
      <c r="X1243" s="229">
        <f>SUMIF(Input!$D$40:$AB$40,X$1171,$D418:$AB418)</f>
        <v>0</v>
      </c>
      <c r="Y1243" s="229">
        <f>SUMIF(Input!$D$40:$AB$40,Y$1171,$D418:$AB418)</f>
        <v>0</v>
      </c>
      <c r="Z1243" s="229">
        <f>SUMIF(Input!$D$40:$AB$40,Z$1171,$D418:$AB418)</f>
        <v>0</v>
      </c>
      <c r="AA1243" s="229">
        <f>SUMIF(Input!$D$40:$AB$40,AA$1171,$D418:$AB418)</f>
        <v>0</v>
      </c>
      <c r="AB1243" s="229">
        <f>SUMIF(Input!$D$40:$AB$40,AB$1171,$D418:$AB418)</f>
        <v>0</v>
      </c>
    </row>
    <row r="1244" spans="1:85" x14ac:dyDescent="0.3">
      <c r="C1244" s="479">
        <f>C1181</f>
        <v>305</v>
      </c>
      <c r="D1244" s="229">
        <f>SUMIF(Input!$D$40:$AB$40,D$1171,$D419:$AB419)</f>
        <v>0</v>
      </c>
      <c r="E1244" s="229">
        <f>SUMIF(Input!$D$40:$AB$40,E$1171,$D419:$AB419)</f>
        <v>0</v>
      </c>
      <c r="F1244" s="229">
        <f>SUMIF(Input!$D$40:$AB$40,F$1171,$D419:$AB419)</f>
        <v>0</v>
      </c>
      <c r="G1244" s="229">
        <f>SUMIF(Input!$D$40:$AB$40,G$1171,$D419:$AB419)</f>
        <v>0</v>
      </c>
      <c r="H1244" s="229">
        <f>SUMIF(Input!$D$40:$AB$40,H$1171,$D419:$AB419)</f>
        <v>0</v>
      </c>
      <c r="I1244" s="229">
        <f>SUMIF(Input!$D$40:$AB$40,I$1171,$D419:$AB419)</f>
        <v>0</v>
      </c>
      <c r="J1244" s="229">
        <f>SUMIF(Input!$D$40:$AB$40,J$1171,$D419:$AB419)</f>
        <v>0</v>
      </c>
      <c r="K1244" s="229">
        <f>SUMIF(Input!$D$40:$AB$40,K$1171,$D419:$AB419)</f>
        <v>0</v>
      </c>
      <c r="L1244" s="229">
        <f>SUMIF(Input!$D$40:$AB$40,L$1171,$D419:$AB419)</f>
        <v>0</v>
      </c>
      <c r="M1244" s="229">
        <f>SUMIF(Input!$D$40:$AB$40,M$1171,$D419:$AB419)</f>
        <v>0</v>
      </c>
      <c r="N1244" s="229">
        <f>SUMIF(Input!$D$40:$AB$40,N$1171,$D419:$AB419)</f>
        <v>0</v>
      </c>
      <c r="O1244" s="229">
        <f>SUMIF(Input!$D$40:$AB$40,O$1171,$D419:$AB419)</f>
        <v>0</v>
      </c>
      <c r="P1244" s="229">
        <f>SUMIF(Input!$D$40:$AB$40,P$1171,$D419:$AB419)</f>
        <v>0</v>
      </c>
      <c r="Q1244" s="229">
        <f>SUMIF(Input!$D$40:$AB$40,Q$1171,$D419:$AB419)</f>
        <v>0</v>
      </c>
      <c r="R1244" s="229">
        <f>SUMIF(Input!$D$40:$AB$40,R$1171,$D419:$AB419)</f>
        <v>0</v>
      </c>
      <c r="S1244" s="229">
        <f>SUMIF(Input!$D$40:$AB$40,S$1171,$D419:$AB419)</f>
        <v>0</v>
      </c>
      <c r="T1244" s="229">
        <f>SUMIF(Input!$D$40:$AB$40,T$1171,$D419:$AB419)</f>
        <v>0</v>
      </c>
      <c r="U1244" s="229">
        <f>SUMIF(Input!$D$40:$AB$40,U$1171,$D419:$AB419)</f>
        <v>0</v>
      </c>
      <c r="V1244" s="229">
        <f>SUMIF(Input!$D$40:$AB$40,V$1171,$D419:$AB419)</f>
        <v>0</v>
      </c>
      <c r="W1244" s="229">
        <f>SUMIF(Input!$D$40:$AB$40,W$1171,$D419:$AB419)</f>
        <v>0</v>
      </c>
      <c r="X1244" s="229">
        <f>SUMIF(Input!$D$40:$AB$40,X$1171,$D419:$AB419)</f>
        <v>0</v>
      </c>
      <c r="Y1244" s="229">
        <f>SUMIF(Input!$D$40:$AB$40,Y$1171,$D419:$AB419)</f>
        <v>0</v>
      </c>
      <c r="Z1244" s="229">
        <f>SUMIF(Input!$D$40:$AB$40,Z$1171,$D419:$AB419)</f>
        <v>0</v>
      </c>
      <c r="AA1244" s="229">
        <f>SUMIF(Input!$D$40:$AB$40,AA$1171,$D419:$AB419)</f>
        <v>0</v>
      </c>
      <c r="AB1244" s="229">
        <f>SUMIF(Input!$D$40:$AB$40,AB$1171,$D419:$AB419)</f>
        <v>0</v>
      </c>
    </row>
    <row r="1245" spans="1:85" x14ac:dyDescent="0.3">
      <c r="C1245" s="479">
        <f>C1182</f>
        <v>335</v>
      </c>
      <c r="D1245" s="229">
        <f>SUMIF(Input!$D$40:$AB$40,D$1171,$D420:$AB420)</f>
        <v>0</v>
      </c>
      <c r="E1245" s="229">
        <f>SUMIF(Input!$D$40:$AB$40,E$1171,$D420:$AB420)</f>
        <v>0</v>
      </c>
      <c r="F1245" s="229">
        <f>SUMIF(Input!$D$40:$AB$40,F$1171,$D420:$AB420)</f>
        <v>0</v>
      </c>
      <c r="G1245" s="229">
        <f>SUMIF(Input!$D$40:$AB$40,G$1171,$D420:$AB420)</f>
        <v>0</v>
      </c>
      <c r="H1245" s="229">
        <f>SUMIF(Input!$D$40:$AB$40,H$1171,$D420:$AB420)</f>
        <v>0</v>
      </c>
      <c r="I1245" s="229">
        <f>SUMIF(Input!$D$40:$AB$40,I$1171,$D420:$AB420)</f>
        <v>0</v>
      </c>
      <c r="J1245" s="229">
        <f>SUMIF(Input!$D$40:$AB$40,J$1171,$D420:$AB420)</f>
        <v>0</v>
      </c>
      <c r="K1245" s="229">
        <f>SUMIF(Input!$D$40:$AB$40,K$1171,$D420:$AB420)</f>
        <v>0</v>
      </c>
      <c r="L1245" s="229">
        <f>SUMIF(Input!$D$40:$AB$40,L$1171,$D420:$AB420)</f>
        <v>0</v>
      </c>
      <c r="M1245" s="229">
        <f>SUMIF(Input!$D$40:$AB$40,M$1171,$D420:$AB420)</f>
        <v>0</v>
      </c>
      <c r="N1245" s="229">
        <f>SUMIF(Input!$D$40:$AB$40,N$1171,$D420:$AB420)</f>
        <v>0</v>
      </c>
      <c r="O1245" s="229">
        <f>SUMIF(Input!$D$40:$AB$40,O$1171,$D420:$AB420)</f>
        <v>0</v>
      </c>
      <c r="P1245" s="229">
        <f>SUMIF(Input!$D$40:$AB$40,P$1171,$D420:$AB420)</f>
        <v>0</v>
      </c>
      <c r="Q1245" s="229">
        <f>SUMIF(Input!$D$40:$AB$40,Q$1171,$D420:$AB420)</f>
        <v>0</v>
      </c>
      <c r="R1245" s="229">
        <f>SUMIF(Input!$D$40:$AB$40,R$1171,$D420:$AB420)</f>
        <v>0</v>
      </c>
      <c r="S1245" s="229">
        <f>SUMIF(Input!$D$40:$AB$40,S$1171,$D420:$AB420)</f>
        <v>0</v>
      </c>
      <c r="T1245" s="229">
        <f>SUMIF(Input!$D$40:$AB$40,T$1171,$D420:$AB420)</f>
        <v>0</v>
      </c>
      <c r="U1245" s="229">
        <f>SUMIF(Input!$D$40:$AB$40,U$1171,$D420:$AB420)</f>
        <v>0</v>
      </c>
      <c r="V1245" s="229">
        <f>SUMIF(Input!$D$40:$AB$40,V$1171,$D420:$AB420)</f>
        <v>0</v>
      </c>
      <c r="W1245" s="229">
        <f>SUMIF(Input!$D$40:$AB$40,W$1171,$D420:$AB420)</f>
        <v>0</v>
      </c>
      <c r="X1245" s="229">
        <f>SUMIF(Input!$D$40:$AB$40,X$1171,$D420:$AB420)</f>
        <v>0</v>
      </c>
      <c r="Y1245" s="229">
        <f>SUMIF(Input!$D$40:$AB$40,Y$1171,$D420:$AB420)</f>
        <v>0</v>
      </c>
      <c r="Z1245" s="229">
        <f>SUMIF(Input!$D$40:$AB$40,Z$1171,$D420:$AB420)</f>
        <v>0</v>
      </c>
      <c r="AA1245" s="229">
        <f>SUMIF(Input!$D$40:$AB$40,AA$1171,$D420:$AB420)</f>
        <v>0</v>
      </c>
      <c r="AB1245" s="229">
        <f>SUMIF(Input!$D$40:$AB$40,AB$1171,$D420:$AB420)</f>
        <v>0</v>
      </c>
    </row>
    <row r="1246" spans="1:85" ht="12.5" thickBot="1" x14ac:dyDescent="0.35">
      <c r="C1246" s="480">
        <f>C1183</f>
        <v>366</v>
      </c>
      <c r="D1246" s="230">
        <f>SUMIF(Input!$D$40:$AB$40,D$1171,$D421:$AB421)</f>
        <v>0</v>
      </c>
      <c r="E1246" s="230">
        <f>SUMIF(Input!$D$40:$AB$40,E$1171,$D421:$AB421)</f>
        <v>0</v>
      </c>
      <c r="F1246" s="230">
        <f>SUMIF(Input!$D$40:$AB$40,F$1171,$D421:$AB421)</f>
        <v>0</v>
      </c>
      <c r="G1246" s="230">
        <f>SUMIF(Input!$D$40:$AB$40,G$1171,$D421:$AB421)</f>
        <v>0</v>
      </c>
      <c r="H1246" s="230">
        <f>SUMIF(Input!$D$40:$AB$40,H$1171,$D421:$AB421)</f>
        <v>0</v>
      </c>
      <c r="I1246" s="230">
        <f>SUMIF(Input!$D$40:$AB$40,I$1171,$D421:$AB421)</f>
        <v>0</v>
      </c>
      <c r="J1246" s="230">
        <f>SUMIF(Input!$D$40:$AB$40,J$1171,$D421:$AB421)</f>
        <v>0</v>
      </c>
      <c r="K1246" s="230">
        <f>SUMIF(Input!$D$40:$AB$40,K$1171,$D421:$AB421)</f>
        <v>0</v>
      </c>
      <c r="L1246" s="230">
        <f>SUMIF(Input!$D$40:$AB$40,L$1171,$D421:$AB421)</f>
        <v>0</v>
      </c>
      <c r="M1246" s="230">
        <f>SUMIF(Input!$D$40:$AB$40,M$1171,$D421:$AB421)</f>
        <v>0</v>
      </c>
      <c r="N1246" s="230">
        <f>SUMIF(Input!$D$40:$AB$40,N$1171,$D421:$AB421)</f>
        <v>0</v>
      </c>
      <c r="O1246" s="230">
        <f>SUMIF(Input!$D$40:$AB$40,O$1171,$D421:$AB421)</f>
        <v>0</v>
      </c>
      <c r="P1246" s="230">
        <f>SUMIF(Input!$D$40:$AB$40,P$1171,$D421:$AB421)</f>
        <v>0</v>
      </c>
      <c r="Q1246" s="230">
        <f>SUMIF(Input!$D$40:$AB$40,Q$1171,$D421:$AB421)</f>
        <v>0</v>
      </c>
      <c r="R1246" s="230">
        <f>SUMIF(Input!$D$40:$AB$40,R$1171,$D421:$AB421)</f>
        <v>0</v>
      </c>
      <c r="S1246" s="230">
        <f>SUMIF(Input!$D$40:$AB$40,S$1171,$D421:$AB421)</f>
        <v>0</v>
      </c>
      <c r="T1246" s="230">
        <f>SUMIF(Input!$D$40:$AB$40,T$1171,$D421:$AB421)</f>
        <v>0</v>
      </c>
      <c r="U1246" s="230">
        <f>SUMIF(Input!$D$40:$AB$40,U$1171,$D421:$AB421)</f>
        <v>0</v>
      </c>
      <c r="V1246" s="230">
        <f>SUMIF(Input!$D$40:$AB$40,V$1171,$D421:$AB421)</f>
        <v>0</v>
      </c>
      <c r="W1246" s="230">
        <f>SUMIF(Input!$D$40:$AB$40,W$1171,$D421:$AB421)</f>
        <v>0</v>
      </c>
      <c r="X1246" s="230">
        <f>SUMIF(Input!$D$40:$AB$40,X$1171,$D421:$AB421)</f>
        <v>0</v>
      </c>
      <c r="Y1246" s="230">
        <f>SUMIF(Input!$D$40:$AB$40,Y$1171,$D421:$AB421)</f>
        <v>0</v>
      </c>
      <c r="Z1246" s="230">
        <f>SUMIF(Input!$D$40:$AB$40,Z$1171,$D421:$AB421)</f>
        <v>0</v>
      </c>
      <c r="AA1246" s="230">
        <f>SUMIF(Input!$D$40:$AB$40,AA$1171,$D421:$AB421)</f>
        <v>0</v>
      </c>
      <c r="AB1246" s="230">
        <f>SUMIF(Input!$D$40:$AB$40,AB$1171,$D421:$AB421)</f>
        <v>0</v>
      </c>
    </row>
    <row r="1247" spans="1:85" x14ac:dyDescent="0.3">
      <c r="C1247" s="479">
        <f>C1184</f>
        <v>397</v>
      </c>
      <c r="D1247" s="231">
        <f>SUMIF(Input!$D$40:$AB$40,D$1171,$D422:$AB422)</f>
        <v>0</v>
      </c>
      <c r="E1247" s="231">
        <f>SUMIF(Input!$D$40:$AB$40,E$1171,$D422:$AB422)</f>
        <v>0</v>
      </c>
      <c r="F1247" s="231">
        <f>SUMIF(Input!$D$40:$AB$40,F$1171,$D422:$AB422)</f>
        <v>0</v>
      </c>
      <c r="G1247" s="231">
        <f>SUMIF(Input!$D$40:$AB$40,G$1171,$D422:$AB422)</f>
        <v>0</v>
      </c>
      <c r="H1247" s="231">
        <f>SUMIF(Input!$D$40:$AB$40,H$1171,$D422:$AB422)</f>
        <v>0</v>
      </c>
      <c r="I1247" s="231">
        <f>SUMIF(Input!$D$40:$AB$40,I$1171,$D422:$AB422)</f>
        <v>0</v>
      </c>
      <c r="J1247" s="231">
        <f>SUMIF(Input!$D$40:$AB$40,J$1171,$D422:$AB422)</f>
        <v>0</v>
      </c>
      <c r="K1247" s="231">
        <f>SUMIF(Input!$D$40:$AB$40,K$1171,$D422:$AB422)</f>
        <v>0</v>
      </c>
      <c r="L1247" s="231">
        <f>SUMIF(Input!$D$40:$AB$40,L$1171,$D422:$AB422)</f>
        <v>0</v>
      </c>
      <c r="M1247" s="231">
        <f>SUMIF(Input!$D$40:$AB$40,M$1171,$D422:$AB422)</f>
        <v>0</v>
      </c>
      <c r="N1247" s="231">
        <f>SUMIF(Input!$D$40:$AB$40,N$1171,$D422:$AB422)</f>
        <v>0</v>
      </c>
      <c r="O1247" s="231">
        <f>SUMIF(Input!$D$40:$AB$40,O$1171,$D422:$AB422)</f>
        <v>0</v>
      </c>
      <c r="P1247" s="231">
        <f>SUMIF(Input!$D$40:$AB$40,P$1171,$D422:$AB422)</f>
        <v>0</v>
      </c>
      <c r="Q1247" s="231">
        <f>SUMIF(Input!$D$40:$AB$40,Q$1171,$D422:$AB422)</f>
        <v>0</v>
      </c>
      <c r="R1247" s="231">
        <f>SUMIF(Input!$D$40:$AB$40,R$1171,$D422:$AB422)</f>
        <v>0</v>
      </c>
      <c r="S1247" s="231">
        <f>SUMIF(Input!$D$40:$AB$40,S$1171,$D422:$AB422)</f>
        <v>0</v>
      </c>
      <c r="T1247" s="231">
        <f>SUMIF(Input!$D$40:$AB$40,T$1171,$D422:$AB422)</f>
        <v>0</v>
      </c>
      <c r="U1247" s="231">
        <f>SUMIF(Input!$D$40:$AB$40,U$1171,$D422:$AB422)</f>
        <v>0</v>
      </c>
      <c r="V1247" s="231">
        <f>SUMIF(Input!$D$40:$AB$40,V$1171,$D422:$AB422)</f>
        <v>0</v>
      </c>
      <c r="W1247" s="231">
        <f>SUMIF(Input!$D$40:$AB$40,W$1171,$D422:$AB422)</f>
        <v>0</v>
      </c>
      <c r="X1247" s="231">
        <f>SUMIF(Input!$D$40:$AB$40,X$1171,$D422:$AB422)</f>
        <v>0</v>
      </c>
      <c r="Y1247" s="231">
        <f>SUMIF(Input!$D$40:$AB$40,Y$1171,$D422:$AB422)</f>
        <v>0</v>
      </c>
      <c r="Z1247" s="231">
        <f>SUMIF(Input!$D$40:$AB$40,Z$1171,$D422:$AB422)</f>
        <v>0</v>
      </c>
      <c r="AA1247" s="231">
        <f>SUMIF(Input!$D$40:$AB$40,AA$1171,$D422:$AB422)</f>
        <v>0</v>
      </c>
      <c r="AB1247" s="231">
        <f>SUMIF(Input!$D$40:$AB$40,AB$1171,$D422:$AB422)</f>
        <v>0</v>
      </c>
    </row>
    <row r="1248" spans="1:85" x14ac:dyDescent="0.3">
      <c r="C1248" s="479">
        <f>C1185</f>
        <v>425</v>
      </c>
      <c r="D1248" s="229">
        <f>SUMIF(Input!$D$40:$AB$40,D$1171,$D423:$AB423)</f>
        <v>0</v>
      </c>
      <c r="E1248" s="229">
        <f>SUMIF(Input!$D$40:$AB$40,E$1171,$D423:$AB423)</f>
        <v>0</v>
      </c>
      <c r="F1248" s="229">
        <f>SUMIF(Input!$D$40:$AB$40,F$1171,$D423:$AB423)</f>
        <v>0</v>
      </c>
      <c r="G1248" s="229">
        <f>SUMIF(Input!$D$40:$AB$40,G$1171,$D423:$AB423)</f>
        <v>0</v>
      </c>
      <c r="H1248" s="229">
        <f>SUMIF(Input!$D$40:$AB$40,H$1171,$D423:$AB423)</f>
        <v>0</v>
      </c>
      <c r="I1248" s="229">
        <f>SUMIF(Input!$D$40:$AB$40,I$1171,$D423:$AB423)</f>
        <v>0</v>
      </c>
      <c r="J1248" s="229">
        <f>SUMIF(Input!$D$40:$AB$40,J$1171,$D423:$AB423)</f>
        <v>0</v>
      </c>
      <c r="K1248" s="229">
        <f>SUMIF(Input!$D$40:$AB$40,K$1171,$D423:$AB423)</f>
        <v>0</v>
      </c>
      <c r="L1248" s="229">
        <f>SUMIF(Input!$D$40:$AB$40,L$1171,$D423:$AB423)</f>
        <v>0</v>
      </c>
      <c r="M1248" s="229">
        <f>SUMIF(Input!$D$40:$AB$40,M$1171,$D423:$AB423)</f>
        <v>0</v>
      </c>
      <c r="N1248" s="229">
        <f>SUMIF(Input!$D$40:$AB$40,N$1171,$D423:$AB423)</f>
        <v>0</v>
      </c>
      <c r="O1248" s="229">
        <f>SUMIF(Input!$D$40:$AB$40,O$1171,$D423:$AB423)</f>
        <v>0</v>
      </c>
      <c r="P1248" s="229">
        <f>SUMIF(Input!$D$40:$AB$40,P$1171,$D423:$AB423)</f>
        <v>0</v>
      </c>
      <c r="Q1248" s="229">
        <f>SUMIF(Input!$D$40:$AB$40,Q$1171,$D423:$AB423)</f>
        <v>0</v>
      </c>
      <c r="R1248" s="229">
        <f>SUMIF(Input!$D$40:$AB$40,R$1171,$D423:$AB423)</f>
        <v>0</v>
      </c>
      <c r="S1248" s="229">
        <f>SUMIF(Input!$D$40:$AB$40,S$1171,$D423:$AB423)</f>
        <v>0</v>
      </c>
      <c r="T1248" s="229">
        <f>SUMIF(Input!$D$40:$AB$40,T$1171,$D423:$AB423)</f>
        <v>0</v>
      </c>
      <c r="U1248" s="229">
        <f>SUMIF(Input!$D$40:$AB$40,U$1171,$D423:$AB423)</f>
        <v>0</v>
      </c>
      <c r="V1248" s="229">
        <f>SUMIF(Input!$D$40:$AB$40,V$1171,$D423:$AB423)</f>
        <v>0</v>
      </c>
      <c r="W1248" s="229">
        <f>SUMIF(Input!$D$40:$AB$40,W$1171,$D423:$AB423)</f>
        <v>0</v>
      </c>
      <c r="X1248" s="229">
        <f>SUMIF(Input!$D$40:$AB$40,X$1171,$D423:$AB423)</f>
        <v>0</v>
      </c>
      <c r="Y1248" s="229">
        <f>SUMIF(Input!$D$40:$AB$40,Y$1171,$D423:$AB423)</f>
        <v>0</v>
      </c>
      <c r="Z1248" s="229">
        <f>SUMIF(Input!$D$40:$AB$40,Z$1171,$D423:$AB423)</f>
        <v>0</v>
      </c>
      <c r="AA1248" s="229">
        <f>SUMIF(Input!$D$40:$AB$40,AA$1171,$D423:$AB423)</f>
        <v>0</v>
      </c>
      <c r="AB1248" s="229">
        <f>SUMIF(Input!$D$40:$AB$40,AB$1171,$D423:$AB423)</f>
        <v>0</v>
      </c>
    </row>
    <row r="1249" spans="3:28" x14ac:dyDescent="0.3">
      <c r="C1249" s="479">
        <f>C1186</f>
        <v>456</v>
      </c>
      <c r="D1249" s="229">
        <f>SUMIF(Input!$D$40:$AB$40,D$1171,$D424:$AB424)</f>
        <v>0</v>
      </c>
      <c r="E1249" s="229">
        <f>SUMIF(Input!$D$40:$AB$40,E$1171,$D424:$AB424)</f>
        <v>0</v>
      </c>
      <c r="F1249" s="229">
        <f>SUMIF(Input!$D$40:$AB$40,F$1171,$D424:$AB424)</f>
        <v>0</v>
      </c>
      <c r="G1249" s="229">
        <f>SUMIF(Input!$D$40:$AB$40,G$1171,$D424:$AB424)</f>
        <v>0</v>
      </c>
      <c r="H1249" s="229">
        <f>SUMIF(Input!$D$40:$AB$40,H$1171,$D424:$AB424)</f>
        <v>0</v>
      </c>
      <c r="I1249" s="229">
        <f>SUMIF(Input!$D$40:$AB$40,I$1171,$D424:$AB424)</f>
        <v>0</v>
      </c>
      <c r="J1249" s="229">
        <f>SUMIF(Input!$D$40:$AB$40,J$1171,$D424:$AB424)</f>
        <v>0</v>
      </c>
      <c r="K1249" s="229">
        <f>SUMIF(Input!$D$40:$AB$40,K$1171,$D424:$AB424)</f>
        <v>0</v>
      </c>
      <c r="L1249" s="229">
        <f>SUMIF(Input!$D$40:$AB$40,L$1171,$D424:$AB424)</f>
        <v>0</v>
      </c>
      <c r="M1249" s="229">
        <f>SUMIF(Input!$D$40:$AB$40,M$1171,$D424:$AB424)</f>
        <v>0</v>
      </c>
      <c r="N1249" s="229">
        <f>SUMIF(Input!$D$40:$AB$40,N$1171,$D424:$AB424)</f>
        <v>0</v>
      </c>
      <c r="O1249" s="229">
        <f>SUMIF(Input!$D$40:$AB$40,O$1171,$D424:$AB424)</f>
        <v>0</v>
      </c>
      <c r="P1249" s="229">
        <f>SUMIF(Input!$D$40:$AB$40,P$1171,$D424:$AB424)</f>
        <v>0</v>
      </c>
      <c r="Q1249" s="229">
        <f>SUMIF(Input!$D$40:$AB$40,Q$1171,$D424:$AB424)</f>
        <v>0</v>
      </c>
      <c r="R1249" s="229">
        <f>SUMIF(Input!$D$40:$AB$40,R$1171,$D424:$AB424)</f>
        <v>0</v>
      </c>
      <c r="S1249" s="229">
        <f>SUMIF(Input!$D$40:$AB$40,S$1171,$D424:$AB424)</f>
        <v>0</v>
      </c>
      <c r="T1249" s="229">
        <f>SUMIF(Input!$D$40:$AB$40,T$1171,$D424:$AB424)</f>
        <v>0</v>
      </c>
      <c r="U1249" s="229">
        <f>SUMIF(Input!$D$40:$AB$40,U$1171,$D424:$AB424)</f>
        <v>0</v>
      </c>
      <c r="V1249" s="229">
        <f>SUMIF(Input!$D$40:$AB$40,V$1171,$D424:$AB424)</f>
        <v>0</v>
      </c>
      <c r="W1249" s="229">
        <f>SUMIF(Input!$D$40:$AB$40,W$1171,$D424:$AB424)</f>
        <v>0</v>
      </c>
      <c r="X1249" s="229">
        <f>SUMIF(Input!$D$40:$AB$40,X$1171,$D424:$AB424)</f>
        <v>0</v>
      </c>
      <c r="Y1249" s="229">
        <f>SUMIF(Input!$D$40:$AB$40,Y$1171,$D424:$AB424)</f>
        <v>0</v>
      </c>
      <c r="Z1249" s="229">
        <f>SUMIF(Input!$D$40:$AB$40,Z$1171,$D424:$AB424)</f>
        <v>0</v>
      </c>
      <c r="AA1249" s="229">
        <f>SUMIF(Input!$D$40:$AB$40,AA$1171,$D424:$AB424)</f>
        <v>0</v>
      </c>
      <c r="AB1249" s="229">
        <f>SUMIF(Input!$D$40:$AB$40,AB$1171,$D424:$AB424)</f>
        <v>0</v>
      </c>
    </row>
    <row r="1250" spans="3:28" x14ac:dyDescent="0.3">
      <c r="C1250" s="479">
        <f>C1187</f>
        <v>486</v>
      </c>
      <c r="D1250" s="229">
        <f>SUMIF(Input!$D$40:$AB$40,D$1171,$D425:$AB425)</f>
        <v>0</v>
      </c>
      <c r="E1250" s="229">
        <f>SUMIF(Input!$D$40:$AB$40,E$1171,$D425:$AB425)</f>
        <v>0</v>
      </c>
      <c r="F1250" s="229">
        <f>SUMIF(Input!$D$40:$AB$40,F$1171,$D425:$AB425)</f>
        <v>0</v>
      </c>
      <c r="G1250" s="229">
        <f>SUMIF(Input!$D$40:$AB$40,G$1171,$D425:$AB425)</f>
        <v>0</v>
      </c>
      <c r="H1250" s="229">
        <f>SUMIF(Input!$D$40:$AB$40,H$1171,$D425:$AB425)</f>
        <v>0</v>
      </c>
      <c r="I1250" s="229">
        <f>SUMIF(Input!$D$40:$AB$40,I$1171,$D425:$AB425)</f>
        <v>0</v>
      </c>
      <c r="J1250" s="229">
        <f>SUMIF(Input!$D$40:$AB$40,J$1171,$D425:$AB425)</f>
        <v>0</v>
      </c>
      <c r="K1250" s="229">
        <f>SUMIF(Input!$D$40:$AB$40,K$1171,$D425:$AB425)</f>
        <v>0</v>
      </c>
      <c r="L1250" s="229">
        <f>SUMIF(Input!$D$40:$AB$40,L$1171,$D425:$AB425)</f>
        <v>0</v>
      </c>
      <c r="M1250" s="229">
        <f>SUMIF(Input!$D$40:$AB$40,M$1171,$D425:$AB425)</f>
        <v>0</v>
      </c>
      <c r="N1250" s="229">
        <f>SUMIF(Input!$D$40:$AB$40,N$1171,$D425:$AB425)</f>
        <v>0</v>
      </c>
      <c r="O1250" s="229">
        <f>SUMIF(Input!$D$40:$AB$40,O$1171,$D425:$AB425)</f>
        <v>0</v>
      </c>
      <c r="P1250" s="229">
        <f>SUMIF(Input!$D$40:$AB$40,P$1171,$D425:$AB425)</f>
        <v>0</v>
      </c>
      <c r="Q1250" s="229">
        <f>SUMIF(Input!$D$40:$AB$40,Q$1171,$D425:$AB425)</f>
        <v>0</v>
      </c>
      <c r="R1250" s="229">
        <f>SUMIF(Input!$D$40:$AB$40,R$1171,$D425:$AB425)</f>
        <v>0</v>
      </c>
      <c r="S1250" s="229">
        <f>SUMIF(Input!$D$40:$AB$40,S$1171,$D425:$AB425)</f>
        <v>0</v>
      </c>
      <c r="T1250" s="229">
        <f>SUMIF(Input!$D$40:$AB$40,T$1171,$D425:$AB425)</f>
        <v>0</v>
      </c>
      <c r="U1250" s="229">
        <f>SUMIF(Input!$D$40:$AB$40,U$1171,$D425:$AB425)</f>
        <v>0</v>
      </c>
      <c r="V1250" s="229">
        <f>SUMIF(Input!$D$40:$AB$40,V$1171,$D425:$AB425)</f>
        <v>0</v>
      </c>
      <c r="W1250" s="229">
        <f>SUMIF(Input!$D$40:$AB$40,W$1171,$D425:$AB425)</f>
        <v>0</v>
      </c>
      <c r="X1250" s="229">
        <f>SUMIF(Input!$D$40:$AB$40,X$1171,$D425:$AB425)</f>
        <v>0</v>
      </c>
      <c r="Y1250" s="229">
        <f>SUMIF(Input!$D$40:$AB$40,Y$1171,$D425:$AB425)</f>
        <v>0</v>
      </c>
      <c r="Z1250" s="229">
        <f>SUMIF(Input!$D$40:$AB$40,Z$1171,$D425:$AB425)</f>
        <v>0</v>
      </c>
      <c r="AA1250" s="229">
        <f>SUMIF(Input!$D$40:$AB$40,AA$1171,$D425:$AB425)</f>
        <v>0</v>
      </c>
      <c r="AB1250" s="229">
        <f>SUMIF(Input!$D$40:$AB$40,AB$1171,$D425:$AB425)</f>
        <v>0</v>
      </c>
    </row>
    <row r="1251" spans="3:28" x14ac:dyDescent="0.3">
      <c r="C1251" s="479">
        <f>C1188</f>
        <v>517</v>
      </c>
      <c r="D1251" s="229">
        <f>SUMIF(Input!$D$40:$AB$40,D$1171,$D426:$AB426)</f>
        <v>0</v>
      </c>
      <c r="E1251" s="229">
        <f>SUMIF(Input!$D$40:$AB$40,E$1171,$D426:$AB426)</f>
        <v>0</v>
      </c>
      <c r="F1251" s="229">
        <f>SUMIF(Input!$D$40:$AB$40,F$1171,$D426:$AB426)</f>
        <v>0</v>
      </c>
      <c r="G1251" s="229">
        <f>SUMIF(Input!$D$40:$AB$40,G$1171,$D426:$AB426)</f>
        <v>0</v>
      </c>
      <c r="H1251" s="229">
        <f>SUMIF(Input!$D$40:$AB$40,H$1171,$D426:$AB426)</f>
        <v>0</v>
      </c>
      <c r="I1251" s="229">
        <f>SUMIF(Input!$D$40:$AB$40,I$1171,$D426:$AB426)</f>
        <v>0</v>
      </c>
      <c r="J1251" s="229">
        <f>SUMIF(Input!$D$40:$AB$40,J$1171,$D426:$AB426)</f>
        <v>0</v>
      </c>
      <c r="K1251" s="229">
        <f>SUMIF(Input!$D$40:$AB$40,K$1171,$D426:$AB426)</f>
        <v>0</v>
      </c>
      <c r="L1251" s="229">
        <f>SUMIF(Input!$D$40:$AB$40,L$1171,$D426:$AB426)</f>
        <v>0</v>
      </c>
      <c r="M1251" s="229">
        <f>SUMIF(Input!$D$40:$AB$40,M$1171,$D426:$AB426)</f>
        <v>0</v>
      </c>
      <c r="N1251" s="229">
        <f>SUMIF(Input!$D$40:$AB$40,N$1171,$D426:$AB426)</f>
        <v>0</v>
      </c>
      <c r="O1251" s="229">
        <f>SUMIF(Input!$D$40:$AB$40,O$1171,$D426:$AB426)</f>
        <v>0</v>
      </c>
      <c r="P1251" s="229">
        <f>SUMIF(Input!$D$40:$AB$40,P$1171,$D426:$AB426)</f>
        <v>0</v>
      </c>
      <c r="Q1251" s="229">
        <f>SUMIF(Input!$D$40:$AB$40,Q$1171,$D426:$AB426)</f>
        <v>0</v>
      </c>
      <c r="R1251" s="229">
        <f>SUMIF(Input!$D$40:$AB$40,R$1171,$D426:$AB426)</f>
        <v>0</v>
      </c>
      <c r="S1251" s="229">
        <f>SUMIF(Input!$D$40:$AB$40,S$1171,$D426:$AB426)</f>
        <v>0</v>
      </c>
      <c r="T1251" s="229">
        <f>SUMIF(Input!$D$40:$AB$40,T$1171,$D426:$AB426)</f>
        <v>0</v>
      </c>
      <c r="U1251" s="229">
        <f>SUMIF(Input!$D$40:$AB$40,U$1171,$D426:$AB426)</f>
        <v>0</v>
      </c>
      <c r="V1251" s="229">
        <f>SUMIF(Input!$D$40:$AB$40,V$1171,$D426:$AB426)</f>
        <v>0</v>
      </c>
      <c r="W1251" s="229">
        <f>SUMIF(Input!$D$40:$AB$40,W$1171,$D426:$AB426)</f>
        <v>0</v>
      </c>
      <c r="X1251" s="229">
        <f>SUMIF(Input!$D$40:$AB$40,X$1171,$D426:$AB426)</f>
        <v>0</v>
      </c>
      <c r="Y1251" s="229">
        <f>SUMIF(Input!$D$40:$AB$40,Y$1171,$D426:$AB426)</f>
        <v>0</v>
      </c>
      <c r="Z1251" s="229">
        <f>SUMIF(Input!$D$40:$AB$40,Z$1171,$D426:$AB426)</f>
        <v>0</v>
      </c>
      <c r="AA1251" s="229">
        <f>SUMIF(Input!$D$40:$AB$40,AA$1171,$D426:$AB426)</f>
        <v>0</v>
      </c>
      <c r="AB1251" s="229">
        <f>SUMIF(Input!$D$40:$AB$40,AB$1171,$D426:$AB426)</f>
        <v>0</v>
      </c>
    </row>
    <row r="1252" spans="3:28" x14ac:dyDescent="0.3">
      <c r="C1252" s="479">
        <f>C1189</f>
        <v>547</v>
      </c>
      <c r="D1252" s="229">
        <f>SUMIF(Input!$D$40:$AB$40,D$1171,$D427:$AB427)</f>
        <v>0</v>
      </c>
      <c r="E1252" s="229">
        <f>SUMIF(Input!$D$40:$AB$40,E$1171,$D427:$AB427)</f>
        <v>0</v>
      </c>
      <c r="F1252" s="229">
        <f>SUMIF(Input!$D$40:$AB$40,F$1171,$D427:$AB427)</f>
        <v>0</v>
      </c>
      <c r="G1252" s="229">
        <f>SUMIF(Input!$D$40:$AB$40,G$1171,$D427:$AB427)</f>
        <v>0</v>
      </c>
      <c r="H1252" s="229">
        <f>SUMIF(Input!$D$40:$AB$40,H$1171,$D427:$AB427)</f>
        <v>0</v>
      </c>
      <c r="I1252" s="229">
        <f>SUMIF(Input!$D$40:$AB$40,I$1171,$D427:$AB427)</f>
        <v>0</v>
      </c>
      <c r="J1252" s="229">
        <f>SUMIF(Input!$D$40:$AB$40,J$1171,$D427:$AB427)</f>
        <v>0</v>
      </c>
      <c r="K1252" s="229">
        <f>SUMIF(Input!$D$40:$AB$40,K$1171,$D427:$AB427)</f>
        <v>0</v>
      </c>
      <c r="L1252" s="229">
        <f>SUMIF(Input!$D$40:$AB$40,L$1171,$D427:$AB427)</f>
        <v>0</v>
      </c>
      <c r="M1252" s="229">
        <f>SUMIF(Input!$D$40:$AB$40,M$1171,$D427:$AB427)</f>
        <v>0</v>
      </c>
      <c r="N1252" s="229">
        <f>SUMIF(Input!$D$40:$AB$40,N$1171,$D427:$AB427)</f>
        <v>0</v>
      </c>
      <c r="O1252" s="229">
        <f>SUMIF(Input!$D$40:$AB$40,O$1171,$D427:$AB427)</f>
        <v>0</v>
      </c>
      <c r="P1252" s="229">
        <f>SUMIF(Input!$D$40:$AB$40,P$1171,$D427:$AB427)</f>
        <v>0</v>
      </c>
      <c r="Q1252" s="229">
        <f>SUMIF(Input!$D$40:$AB$40,Q$1171,$D427:$AB427)</f>
        <v>0</v>
      </c>
      <c r="R1252" s="229">
        <f>SUMIF(Input!$D$40:$AB$40,R$1171,$D427:$AB427)</f>
        <v>0</v>
      </c>
      <c r="S1252" s="229">
        <f>SUMIF(Input!$D$40:$AB$40,S$1171,$D427:$AB427)</f>
        <v>0</v>
      </c>
      <c r="T1252" s="229">
        <f>SUMIF(Input!$D$40:$AB$40,T$1171,$D427:$AB427)</f>
        <v>0</v>
      </c>
      <c r="U1252" s="229">
        <f>SUMIF(Input!$D$40:$AB$40,U$1171,$D427:$AB427)</f>
        <v>0</v>
      </c>
      <c r="V1252" s="229">
        <f>SUMIF(Input!$D$40:$AB$40,V$1171,$D427:$AB427)</f>
        <v>0</v>
      </c>
      <c r="W1252" s="229">
        <f>SUMIF(Input!$D$40:$AB$40,W$1171,$D427:$AB427)</f>
        <v>0</v>
      </c>
      <c r="X1252" s="229">
        <f>SUMIF(Input!$D$40:$AB$40,X$1171,$D427:$AB427)</f>
        <v>0</v>
      </c>
      <c r="Y1252" s="229">
        <f>SUMIF(Input!$D$40:$AB$40,Y$1171,$D427:$AB427)</f>
        <v>0</v>
      </c>
      <c r="Z1252" s="229">
        <f>SUMIF(Input!$D$40:$AB$40,Z$1171,$D427:$AB427)</f>
        <v>0</v>
      </c>
      <c r="AA1252" s="229">
        <f>SUMIF(Input!$D$40:$AB$40,AA$1171,$D427:$AB427)</f>
        <v>0</v>
      </c>
      <c r="AB1252" s="229">
        <f>SUMIF(Input!$D$40:$AB$40,AB$1171,$D427:$AB427)</f>
        <v>0</v>
      </c>
    </row>
    <row r="1253" spans="3:28" x14ac:dyDescent="0.3">
      <c r="C1253" s="479">
        <f>C1190</f>
        <v>578</v>
      </c>
      <c r="D1253" s="229">
        <f>SUMIF(Input!$D$40:$AB$40,D$1171,$D428:$AB428)</f>
        <v>0</v>
      </c>
      <c r="E1253" s="229">
        <f>SUMIF(Input!$D$40:$AB$40,E$1171,$D428:$AB428)</f>
        <v>0</v>
      </c>
      <c r="F1253" s="229">
        <f>SUMIF(Input!$D$40:$AB$40,F$1171,$D428:$AB428)</f>
        <v>0</v>
      </c>
      <c r="G1253" s="229">
        <f>SUMIF(Input!$D$40:$AB$40,G$1171,$D428:$AB428)</f>
        <v>0</v>
      </c>
      <c r="H1253" s="229">
        <f>SUMIF(Input!$D$40:$AB$40,H$1171,$D428:$AB428)</f>
        <v>0</v>
      </c>
      <c r="I1253" s="229">
        <f>SUMIF(Input!$D$40:$AB$40,I$1171,$D428:$AB428)</f>
        <v>0</v>
      </c>
      <c r="J1253" s="229">
        <f>SUMIF(Input!$D$40:$AB$40,J$1171,$D428:$AB428)</f>
        <v>0</v>
      </c>
      <c r="K1253" s="229">
        <f>SUMIF(Input!$D$40:$AB$40,K$1171,$D428:$AB428)</f>
        <v>0</v>
      </c>
      <c r="L1253" s="229">
        <f>SUMIF(Input!$D$40:$AB$40,L$1171,$D428:$AB428)</f>
        <v>0</v>
      </c>
      <c r="M1253" s="229">
        <f>SUMIF(Input!$D$40:$AB$40,M$1171,$D428:$AB428)</f>
        <v>0</v>
      </c>
      <c r="N1253" s="229">
        <f>SUMIF(Input!$D$40:$AB$40,N$1171,$D428:$AB428)</f>
        <v>0</v>
      </c>
      <c r="O1253" s="229">
        <f>SUMIF(Input!$D$40:$AB$40,O$1171,$D428:$AB428)</f>
        <v>0</v>
      </c>
      <c r="P1253" s="229">
        <f>SUMIF(Input!$D$40:$AB$40,P$1171,$D428:$AB428)</f>
        <v>0</v>
      </c>
      <c r="Q1253" s="229">
        <f>SUMIF(Input!$D$40:$AB$40,Q$1171,$D428:$AB428)</f>
        <v>0</v>
      </c>
      <c r="R1253" s="229">
        <f>SUMIF(Input!$D$40:$AB$40,R$1171,$D428:$AB428)</f>
        <v>0</v>
      </c>
      <c r="S1253" s="229">
        <f>SUMIF(Input!$D$40:$AB$40,S$1171,$D428:$AB428)</f>
        <v>0</v>
      </c>
      <c r="T1253" s="229">
        <f>SUMIF(Input!$D$40:$AB$40,T$1171,$D428:$AB428)</f>
        <v>0</v>
      </c>
      <c r="U1253" s="229">
        <f>SUMIF(Input!$D$40:$AB$40,U$1171,$D428:$AB428)</f>
        <v>0</v>
      </c>
      <c r="V1253" s="229">
        <f>SUMIF(Input!$D$40:$AB$40,V$1171,$D428:$AB428)</f>
        <v>0</v>
      </c>
      <c r="W1253" s="229">
        <f>SUMIF(Input!$D$40:$AB$40,W$1171,$D428:$AB428)</f>
        <v>0</v>
      </c>
      <c r="X1253" s="229">
        <f>SUMIF(Input!$D$40:$AB$40,X$1171,$D428:$AB428)</f>
        <v>0</v>
      </c>
      <c r="Y1253" s="229">
        <f>SUMIF(Input!$D$40:$AB$40,Y$1171,$D428:$AB428)</f>
        <v>0</v>
      </c>
      <c r="Z1253" s="229">
        <f>SUMIF(Input!$D$40:$AB$40,Z$1171,$D428:$AB428)</f>
        <v>0</v>
      </c>
      <c r="AA1253" s="229">
        <f>SUMIF(Input!$D$40:$AB$40,AA$1171,$D428:$AB428)</f>
        <v>0</v>
      </c>
      <c r="AB1253" s="229">
        <f>SUMIF(Input!$D$40:$AB$40,AB$1171,$D428:$AB428)</f>
        <v>0</v>
      </c>
    </row>
    <row r="1254" spans="3:28" x14ac:dyDescent="0.3">
      <c r="C1254" s="479">
        <f>C1191</f>
        <v>609</v>
      </c>
      <c r="D1254" s="229">
        <f>SUMIF(Input!$D$40:$AB$40,D$1171,$D429:$AB429)</f>
        <v>0</v>
      </c>
      <c r="E1254" s="229">
        <f>SUMIF(Input!$D$40:$AB$40,E$1171,$D429:$AB429)</f>
        <v>0</v>
      </c>
      <c r="F1254" s="229">
        <f>SUMIF(Input!$D$40:$AB$40,F$1171,$D429:$AB429)</f>
        <v>0</v>
      </c>
      <c r="G1254" s="229">
        <f>SUMIF(Input!$D$40:$AB$40,G$1171,$D429:$AB429)</f>
        <v>0</v>
      </c>
      <c r="H1254" s="229">
        <f>SUMIF(Input!$D$40:$AB$40,H$1171,$D429:$AB429)</f>
        <v>0</v>
      </c>
      <c r="I1254" s="229">
        <f>SUMIF(Input!$D$40:$AB$40,I$1171,$D429:$AB429)</f>
        <v>0</v>
      </c>
      <c r="J1254" s="229">
        <f>SUMIF(Input!$D$40:$AB$40,J$1171,$D429:$AB429)</f>
        <v>0</v>
      </c>
      <c r="K1254" s="229">
        <f>SUMIF(Input!$D$40:$AB$40,K$1171,$D429:$AB429)</f>
        <v>0</v>
      </c>
      <c r="L1254" s="229">
        <f>SUMIF(Input!$D$40:$AB$40,L$1171,$D429:$AB429)</f>
        <v>0</v>
      </c>
      <c r="M1254" s="229">
        <f>SUMIF(Input!$D$40:$AB$40,M$1171,$D429:$AB429)</f>
        <v>0</v>
      </c>
      <c r="N1254" s="229">
        <f>SUMIF(Input!$D$40:$AB$40,N$1171,$D429:$AB429)</f>
        <v>0</v>
      </c>
      <c r="O1254" s="229">
        <f>SUMIF(Input!$D$40:$AB$40,O$1171,$D429:$AB429)</f>
        <v>0</v>
      </c>
      <c r="P1254" s="229">
        <f>SUMIF(Input!$D$40:$AB$40,P$1171,$D429:$AB429)</f>
        <v>0</v>
      </c>
      <c r="Q1254" s="229">
        <f>SUMIF(Input!$D$40:$AB$40,Q$1171,$D429:$AB429)</f>
        <v>0</v>
      </c>
      <c r="R1254" s="229">
        <f>SUMIF(Input!$D$40:$AB$40,R$1171,$D429:$AB429)</f>
        <v>0</v>
      </c>
      <c r="S1254" s="229">
        <f>SUMIF(Input!$D$40:$AB$40,S$1171,$D429:$AB429)</f>
        <v>0</v>
      </c>
      <c r="T1254" s="229">
        <f>SUMIF(Input!$D$40:$AB$40,T$1171,$D429:$AB429)</f>
        <v>0</v>
      </c>
      <c r="U1254" s="229">
        <f>SUMIF(Input!$D$40:$AB$40,U$1171,$D429:$AB429)</f>
        <v>0</v>
      </c>
      <c r="V1254" s="229">
        <f>SUMIF(Input!$D$40:$AB$40,V$1171,$D429:$AB429)</f>
        <v>0</v>
      </c>
      <c r="W1254" s="229">
        <f>SUMIF(Input!$D$40:$AB$40,W$1171,$D429:$AB429)</f>
        <v>0</v>
      </c>
      <c r="X1254" s="229">
        <f>SUMIF(Input!$D$40:$AB$40,X$1171,$D429:$AB429)</f>
        <v>0</v>
      </c>
      <c r="Y1254" s="229">
        <f>SUMIF(Input!$D$40:$AB$40,Y$1171,$D429:$AB429)</f>
        <v>0</v>
      </c>
      <c r="Z1254" s="229">
        <f>SUMIF(Input!$D$40:$AB$40,Z$1171,$D429:$AB429)</f>
        <v>0</v>
      </c>
      <c r="AA1254" s="229">
        <f>SUMIF(Input!$D$40:$AB$40,AA$1171,$D429:$AB429)</f>
        <v>0</v>
      </c>
      <c r="AB1254" s="229">
        <f>SUMIF(Input!$D$40:$AB$40,AB$1171,$D429:$AB429)</f>
        <v>0</v>
      </c>
    </row>
    <row r="1255" spans="3:28" x14ac:dyDescent="0.3">
      <c r="C1255" s="479">
        <f>C1192</f>
        <v>639</v>
      </c>
      <c r="D1255" s="229">
        <f>SUMIF(Input!$D$40:$AB$40,D$1171,$D430:$AB430)</f>
        <v>0</v>
      </c>
      <c r="E1255" s="229">
        <f>SUMIF(Input!$D$40:$AB$40,E$1171,$D430:$AB430)</f>
        <v>0</v>
      </c>
      <c r="F1255" s="229">
        <f>SUMIF(Input!$D$40:$AB$40,F$1171,$D430:$AB430)</f>
        <v>0</v>
      </c>
      <c r="G1255" s="229">
        <f>SUMIF(Input!$D$40:$AB$40,G$1171,$D430:$AB430)</f>
        <v>0</v>
      </c>
      <c r="H1255" s="229">
        <f>SUMIF(Input!$D$40:$AB$40,H$1171,$D430:$AB430)</f>
        <v>0</v>
      </c>
      <c r="I1255" s="229">
        <f>SUMIF(Input!$D$40:$AB$40,I$1171,$D430:$AB430)</f>
        <v>0</v>
      </c>
      <c r="J1255" s="229">
        <f>SUMIF(Input!$D$40:$AB$40,J$1171,$D430:$AB430)</f>
        <v>0</v>
      </c>
      <c r="K1255" s="229">
        <f>SUMIF(Input!$D$40:$AB$40,K$1171,$D430:$AB430)</f>
        <v>0</v>
      </c>
      <c r="L1255" s="229">
        <f>SUMIF(Input!$D$40:$AB$40,L$1171,$D430:$AB430)</f>
        <v>0</v>
      </c>
      <c r="M1255" s="229">
        <f>SUMIF(Input!$D$40:$AB$40,M$1171,$D430:$AB430)</f>
        <v>0</v>
      </c>
      <c r="N1255" s="229">
        <f>SUMIF(Input!$D$40:$AB$40,N$1171,$D430:$AB430)</f>
        <v>0</v>
      </c>
      <c r="O1255" s="229">
        <f>SUMIF(Input!$D$40:$AB$40,O$1171,$D430:$AB430)</f>
        <v>0</v>
      </c>
      <c r="P1255" s="229">
        <f>SUMIF(Input!$D$40:$AB$40,P$1171,$D430:$AB430)</f>
        <v>0</v>
      </c>
      <c r="Q1255" s="229">
        <f>SUMIF(Input!$D$40:$AB$40,Q$1171,$D430:$AB430)</f>
        <v>0</v>
      </c>
      <c r="R1255" s="229">
        <f>SUMIF(Input!$D$40:$AB$40,R$1171,$D430:$AB430)</f>
        <v>0</v>
      </c>
      <c r="S1255" s="229">
        <f>SUMIF(Input!$D$40:$AB$40,S$1171,$D430:$AB430)</f>
        <v>0</v>
      </c>
      <c r="T1255" s="229">
        <f>SUMIF(Input!$D$40:$AB$40,T$1171,$D430:$AB430)</f>
        <v>0</v>
      </c>
      <c r="U1255" s="229">
        <f>SUMIF(Input!$D$40:$AB$40,U$1171,$D430:$AB430)</f>
        <v>0</v>
      </c>
      <c r="V1255" s="229">
        <f>SUMIF(Input!$D$40:$AB$40,V$1171,$D430:$AB430)</f>
        <v>0</v>
      </c>
      <c r="W1255" s="229">
        <f>SUMIF(Input!$D$40:$AB$40,W$1171,$D430:$AB430)</f>
        <v>0</v>
      </c>
      <c r="X1255" s="229">
        <f>SUMIF(Input!$D$40:$AB$40,X$1171,$D430:$AB430)</f>
        <v>0</v>
      </c>
      <c r="Y1255" s="229">
        <f>SUMIF(Input!$D$40:$AB$40,Y$1171,$D430:$AB430)</f>
        <v>0</v>
      </c>
      <c r="Z1255" s="229">
        <f>SUMIF(Input!$D$40:$AB$40,Z$1171,$D430:$AB430)</f>
        <v>0</v>
      </c>
      <c r="AA1255" s="229">
        <f>SUMIF(Input!$D$40:$AB$40,AA$1171,$D430:$AB430)</f>
        <v>0</v>
      </c>
      <c r="AB1255" s="229">
        <f>SUMIF(Input!$D$40:$AB$40,AB$1171,$D430:$AB430)</f>
        <v>0</v>
      </c>
    </row>
    <row r="1256" spans="3:28" x14ac:dyDescent="0.3">
      <c r="C1256" s="479">
        <f>C1193</f>
        <v>670</v>
      </c>
      <c r="D1256" s="229">
        <f>SUMIF(Input!$D$40:$AB$40,D$1171,$D431:$AB431)</f>
        <v>0</v>
      </c>
      <c r="E1256" s="229">
        <f>SUMIF(Input!$D$40:$AB$40,E$1171,$D431:$AB431)</f>
        <v>0</v>
      </c>
      <c r="F1256" s="229">
        <f>SUMIF(Input!$D$40:$AB$40,F$1171,$D431:$AB431)</f>
        <v>0</v>
      </c>
      <c r="G1256" s="229">
        <f>SUMIF(Input!$D$40:$AB$40,G$1171,$D431:$AB431)</f>
        <v>0</v>
      </c>
      <c r="H1256" s="229">
        <f>SUMIF(Input!$D$40:$AB$40,H$1171,$D431:$AB431)</f>
        <v>0</v>
      </c>
      <c r="I1256" s="229">
        <f>SUMIF(Input!$D$40:$AB$40,I$1171,$D431:$AB431)</f>
        <v>0</v>
      </c>
      <c r="J1256" s="229">
        <f>SUMIF(Input!$D$40:$AB$40,J$1171,$D431:$AB431)</f>
        <v>0</v>
      </c>
      <c r="K1256" s="229">
        <f>SUMIF(Input!$D$40:$AB$40,K$1171,$D431:$AB431)</f>
        <v>0</v>
      </c>
      <c r="L1256" s="229">
        <f>SUMIF(Input!$D$40:$AB$40,L$1171,$D431:$AB431)</f>
        <v>0</v>
      </c>
      <c r="M1256" s="229">
        <f>SUMIF(Input!$D$40:$AB$40,M$1171,$D431:$AB431)</f>
        <v>0</v>
      </c>
      <c r="N1256" s="229">
        <f>SUMIF(Input!$D$40:$AB$40,N$1171,$D431:$AB431)</f>
        <v>0</v>
      </c>
      <c r="O1256" s="229">
        <f>SUMIF(Input!$D$40:$AB$40,O$1171,$D431:$AB431)</f>
        <v>0</v>
      </c>
      <c r="P1256" s="229">
        <f>SUMIF(Input!$D$40:$AB$40,P$1171,$D431:$AB431)</f>
        <v>0</v>
      </c>
      <c r="Q1256" s="229">
        <f>SUMIF(Input!$D$40:$AB$40,Q$1171,$D431:$AB431)</f>
        <v>0</v>
      </c>
      <c r="R1256" s="229">
        <f>SUMIF(Input!$D$40:$AB$40,R$1171,$D431:$AB431)</f>
        <v>0</v>
      </c>
      <c r="S1256" s="229">
        <f>SUMIF(Input!$D$40:$AB$40,S$1171,$D431:$AB431)</f>
        <v>0</v>
      </c>
      <c r="T1256" s="229">
        <f>SUMIF(Input!$D$40:$AB$40,T$1171,$D431:$AB431)</f>
        <v>0</v>
      </c>
      <c r="U1256" s="229">
        <f>SUMIF(Input!$D$40:$AB$40,U$1171,$D431:$AB431)</f>
        <v>0</v>
      </c>
      <c r="V1256" s="229">
        <f>SUMIF(Input!$D$40:$AB$40,V$1171,$D431:$AB431)</f>
        <v>0</v>
      </c>
      <c r="W1256" s="229">
        <f>SUMIF(Input!$D$40:$AB$40,W$1171,$D431:$AB431)</f>
        <v>0</v>
      </c>
      <c r="X1256" s="229">
        <f>SUMIF(Input!$D$40:$AB$40,X$1171,$D431:$AB431)</f>
        <v>0</v>
      </c>
      <c r="Y1256" s="229">
        <f>SUMIF(Input!$D$40:$AB$40,Y$1171,$D431:$AB431)</f>
        <v>0</v>
      </c>
      <c r="Z1256" s="229">
        <f>SUMIF(Input!$D$40:$AB$40,Z$1171,$D431:$AB431)</f>
        <v>0</v>
      </c>
      <c r="AA1256" s="229">
        <f>SUMIF(Input!$D$40:$AB$40,AA$1171,$D431:$AB431)</f>
        <v>0</v>
      </c>
      <c r="AB1256" s="229">
        <f>SUMIF(Input!$D$40:$AB$40,AB$1171,$D431:$AB431)</f>
        <v>0</v>
      </c>
    </row>
    <row r="1257" spans="3:28" x14ac:dyDescent="0.3">
      <c r="C1257" s="479">
        <f>C1194</f>
        <v>700</v>
      </c>
      <c r="D1257" s="229">
        <f>SUMIF(Input!$D$40:$AB$40,D$1171,$D432:$AB432)</f>
        <v>0</v>
      </c>
      <c r="E1257" s="229">
        <f>SUMIF(Input!$D$40:$AB$40,E$1171,$D432:$AB432)</f>
        <v>0</v>
      </c>
      <c r="F1257" s="229">
        <f>SUMIF(Input!$D$40:$AB$40,F$1171,$D432:$AB432)</f>
        <v>0</v>
      </c>
      <c r="G1257" s="229">
        <f>SUMIF(Input!$D$40:$AB$40,G$1171,$D432:$AB432)</f>
        <v>0</v>
      </c>
      <c r="H1257" s="229">
        <f>SUMIF(Input!$D$40:$AB$40,H$1171,$D432:$AB432)</f>
        <v>0</v>
      </c>
      <c r="I1257" s="229">
        <f>SUMIF(Input!$D$40:$AB$40,I$1171,$D432:$AB432)</f>
        <v>0</v>
      </c>
      <c r="J1257" s="229">
        <f>SUMIF(Input!$D$40:$AB$40,J$1171,$D432:$AB432)</f>
        <v>0</v>
      </c>
      <c r="K1257" s="229">
        <f>SUMIF(Input!$D$40:$AB$40,K$1171,$D432:$AB432)</f>
        <v>0</v>
      </c>
      <c r="L1257" s="229">
        <f>SUMIF(Input!$D$40:$AB$40,L$1171,$D432:$AB432)</f>
        <v>0</v>
      </c>
      <c r="M1257" s="229">
        <f>SUMIF(Input!$D$40:$AB$40,M$1171,$D432:$AB432)</f>
        <v>0</v>
      </c>
      <c r="N1257" s="229">
        <f>SUMIF(Input!$D$40:$AB$40,N$1171,$D432:$AB432)</f>
        <v>0</v>
      </c>
      <c r="O1257" s="229">
        <f>SUMIF(Input!$D$40:$AB$40,O$1171,$D432:$AB432)</f>
        <v>0</v>
      </c>
      <c r="P1257" s="229">
        <f>SUMIF(Input!$D$40:$AB$40,P$1171,$D432:$AB432)</f>
        <v>0</v>
      </c>
      <c r="Q1257" s="229">
        <f>SUMIF(Input!$D$40:$AB$40,Q$1171,$D432:$AB432)</f>
        <v>0</v>
      </c>
      <c r="R1257" s="229">
        <f>SUMIF(Input!$D$40:$AB$40,R$1171,$D432:$AB432)</f>
        <v>0</v>
      </c>
      <c r="S1257" s="229">
        <f>SUMIF(Input!$D$40:$AB$40,S$1171,$D432:$AB432)</f>
        <v>0</v>
      </c>
      <c r="T1257" s="229">
        <f>SUMIF(Input!$D$40:$AB$40,T$1171,$D432:$AB432)</f>
        <v>0</v>
      </c>
      <c r="U1257" s="229">
        <f>SUMIF(Input!$D$40:$AB$40,U$1171,$D432:$AB432)</f>
        <v>0</v>
      </c>
      <c r="V1257" s="229">
        <f>SUMIF(Input!$D$40:$AB$40,V$1171,$D432:$AB432)</f>
        <v>0</v>
      </c>
      <c r="W1257" s="229">
        <f>SUMIF(Input!$D$40:$AB$40,W$1171,$D432:$AB432)</f>
        <v>0</v>
      </c>
      <c r="X1257" s="229">
        <f>SUMIF(Input!$D$40:$AB$40,X$1171,$D432:$AB432)</f>
        <v>0</v>
      </c>
      <c r="Y1257" s="229">
        <f>SUMIF(Input!$D$40:$AB$40,Y$1171,$D432:$AB432)</f>
        <v>0</v>
      </c>
      <c r="Z1257" s="229">
        <f>SUMIF(Input!$D$40:$AB$40,Z$1171,$D432:$AB432)</f>
        <v>0</v>
      </c>
      <c r="AA1257" s="229">
        <f>SUMIF(Input!$D$40:$AB$40,AA$1171,$D432:$AB432)</f>
        <v>0</v>
      </c>
      <c r="AB1257" s="229">
        <f>SUMIF(Input!$D$40:$AB$40,AB$1171,$D432:$AB432)</f>
        <v>0</v>
      </c>
    </row>
    <row r="1258" spans="3:28" ht="12.5" thickBot="1" x14ac:dyDescent="0.35">
      <c r="C1258" s="480">
        <f>C1195</f>
        <v>731</v>
      </c>
      <c r="D1258" s="230">
        <f>SUMIF(Input!$D$40:$AB$40,D$1171,$D433:$AB433)</f>
        <v>0</v>
      </c>
      <c r="E1258" s="230">
        <f>SUMIF(Input!$D$40:$AB$40,E$1171,$D433:$AB433)</f>
        <v>0</v>
      </c>
      <c r="F1258" s="230">
        <f>SUMIF(Input!$D$40:$AB$40,F$1171,$D433:$AB433)</f>
        <v>0</v>
      </c>
      <c r="G1258" s="230">
        <f>SUMIF(Input!$D$40:$AB$40,G$1171,$D433:$AB433)</f>
        <v>0</v>
      </c>
      <c r="H1258" s="230">
        <f>SUMIF(Input!$D$40:$AB$40,H$1171,$D433:$AB433)</f>
        <v>0</v>
      </c>
      <c r="I1258" s="230">
        <f>SUMIF(Input!$D$40:$AB$40,I$1171,$D433:$AB433)</f>
        <v>0</v>
      </c>
      <c r="J1258" s="230">
        <f>SUMIF(Input!$D$40:$AB$40,J$1171,$D433:$AB433)</f>
        <v>0</v>
      </c>
      <c r="K1258" s="230">
        <f>SUMIF(Input!$D$40:$AB$40,K$1171,$D433:$AB433)</f>
        <v>0</v>
      </c>
      <c r="L1258" s="230">
        <f>SUMIF(Input!$D$40:$AB$40,L$1171,$D433:$AB433)</f>
        <v>0</v>
      </c>
      <c r="M1258" s="230">
        <f>SUMIF(Input!$D$40:$AB$40,M$1171,$D433:$AB433)</f>
        <v>0</v>
      </c>
      <c r="N1258" s="230">
        <f>SUMIF(Input!$D$40:$AB$40,N$1171,$D433:$AB433)</f>
        <v>0</v>
      </c>
      <c r="O1258" s="230">
        <f>SUMIF(Input!$D$40:$AB$40,O$1171,$D433:$AB433)</f>
        <v>0</v>
      </c>
      <c r="P1258" s="230">
        <f>SUMIF(Input!$D$40:$AB$40,P$1171,$D433:$AB433)</f>
        <v>0</v>
      </c>
      <c r="Q1258" s="230">
        <f>SUMIF(Input!$D$40:$AB$40,Q$1171,$D433:$AB433)</f>
        <v>0</v>
      </c>
      <c r="R1258" s="230">
        <f>SUMIF(Input!$D$40:$AB$40,R$1171,$D433:$AB433)</f>
        <v>0</v>
      </c>
      <c r="S1258" s="230">
        <f>SUMIF(Input!$D$40:$AB$40,S$1171,$D433:$AB433)</f>
        <v>0</v>
      </c>
      <c r="T1258" s="230">
        <f>SUMIF(Input!$D$40:$AB$40,T$1171,$D433:$AB433)</f>
        <v>0</v>
      </c>
      <c r="U1258" s="230">
        <f>SUMIF(Input!$D$40:$AB$40,U$1171,$D433:$AB433)</f>
        <v>0</v>
      </c>
      <c r="V1258" s="230">
        <f>SUMIF(Input!$D$40:$AB$40,V$1171,$D433:$AB433)</f>
        <v>0</v>
      </c>
      <c r="W1258" s="230">
        <f>SUMIF(Input!$D$40:$AB$40,W$1171,$D433:$AB433)</f>
        <v>0</v>
      </c>
      <c r="X1258" s="230">
        <f>SUMIF(Input!$D$40:$AB$40,X$1171,$D433:$AB433)</f>
        <v>0</v>
      </c>
      <c r="Y1258" s="230">
        <f>SUMIF(Input!$D$40:$AB$40,Y$1171,$D433:$AB433)</f>
        <v>0</v>
      </c>
      <c r="Z1258" s="230">
        <f>SUMIF(Input!$D$40:$AB$40,Z$1171,$D433:$AB433)</f>
        <v>0</v>
      </c>
      <c r="AA1258" s="230">
        <f>SUMIF(Input!$D$40:$AB$40,AA$1171,$D433:$AB433)</f>
        <v>0</v>
      </c>
      <c r="AB1258" s="230">
        <f>SUMIF(Input!$D$40:$AB$40,AB$1171,$D433:$AB433)</f>
        <v>0</v>
      </c>
    </row>
    <row r="1259" spans="3:28" x14ac:dyDescent="0.3">
      <c r="C1259" s="479">
        <f>C1196</f>
        <v>762</v>
      </c>
      <c r="D1259" s="231">
        <f>SUMIF(Input!$D$40:$AB$40,D$1171,$D434:$AB434)</f>
        <v>0</v>
      </c>
      <c r="E1259" s="231">
        <f>SUMIF(Input!$D$40:$AB$40,E$1171,$D434:$AB434)</f>
        <v>0</v>
      </c>
      <c r="F1259" s="231">
        <f>SUMIF(Input!$D$40:$AB$40,F$1171,$D434:$AB434)</f>
        <v>0</v>
      </c>
      <c r="G1259" s="231">
        <f>SUMIF(Input!$D$40:$AB$40,G$1171,$D434:$AB434)</f>
        <v>0</v>
      </c>
      <c r="H1259" s="231">
        <f>SUMIF(Input!$D$40:$AB$40,H$1171,$D434:$AB434)</f>
        <v>0</v>
      </c>
      <c r="I1259" s="231">
        <f>SUMIF(Input!$D$40:$AB$40,I$1171,$D434:$AB434)</f>
        <v>0</v>
      </c>
      <c r="J1259" s="231">
        <f>SUMIF(Input!$D$40:$AB$40,J$1171,$D434:$AB434)</f>
        <v>0</v>
      </c>
      <c r="K1259" s="231">
        <f>SUMIF(Input!$D$40:$AB$40,K$1171,$D434:$AB434)</f>
        <v>0</v>
      </c>
      <c r="L1259" s="231">
        <f>SUMIF(Input!$D$40:$AB$40,L$1171,$D434:$AB434)</f>
        <v>0</v>
      </c>
      <c r="M1259" s="231">
        <f>SUMIF(Input!$D$40:$AB$40,M$1171,$D434:$AB434)</f>
        <v>0</v>
      </c>
      <c r="N1259" s="231">
        <f>SUMIF(Input!$D$40:$AB$40,N$1171,$D434:$AB434)</f>
        <v>0</v>
      </c>
      <c r="O1259" s="231">
        <f>SUMIF(Input!$D$40:$AB$40,O$1171,$D434:$AB434)</f>
        <v>0</v>
      </c>
      <c r="P1259" s="231">
        <f>SUMIF(Input!$D$40:$AB$40,P$1171,$D434:$AB434)</f>
        <v>0</v>
      </c>
      <c r="Q1259" s="231">
        <f>SUMIF(Input!$D$40:$AB$40,Q$1171,$D434:$AB434)</f>
        <v>0</v>
      </c>
      <c r="R1259" s="231">
        <f>SUMIF(Input!$D$40:$AB$40,R$1171,$D434:$AB434)</f>
        <v>0</v>
      </c>
      <c r="S1259" s="231">
        <f>SUMIF(Input!$D$40:$AB$40,S$1171,$D434:$AB434)</f>
        <v>0</v>
      </c>
      <c r="T1259" s="231">
        <f>SUMIF(Input!$D$40:$AB$40,T$1171,$D434:$AB434)</f>
        <v>0</v>
      </c>
      <c r="U1259" s="231">
        <f>SUMIF(Input!$D$40:$AB$40,U$1171,$D434:$AB434)</f>
        <v>0</v>
      </c>
      <c r="V1259" s="231">
        <f>SUMIF(Input!$D$40:$AB$40,V$1171,$D434:$AB434)</f>
        <v>0</v>
      </c>
      <c r="W1259" s="231">
        <f>SUMIF(Input!$D$40:$AB$40,W$1171,$D434:$AB434)</f>
        <v>0</v>
      </c>
      <c r="X1259" s="231">
        <f>SUMIF(Input!$D$40:$AB$40,X$1171,$D434:$AB434)</f>
        <v>0</v>
      </c>
      <c r="Y1259" s="231">
        <f>SUMIF(Input!$D$40:$AB$40,Y$1171,$D434:$AB434)</f>
        <v>0</v>
      </c>
      <c r="Z1259" s="231">
        <f>SUMIF(Input!$D$40:$AB$40,Z$1171,$D434:$AB434)</f>
        <v>0</v>
      </c>
      <c r="AA1259" s="231">
        <f>SUMIF(Input!$D$40:$AB$40,AA$1171,$D434:$AB434)</f>
        <v>0</v>
      </c>
      <c r="AB1259" s="231">
        <f>SUMIF(Input!$D$40:$AB$40,AB$1171,$D434:$AB434)</f>
        <v>0</v>
      </c>
    </row>
    <row r="1260" spans="3:28" x14ac:dyDescent="0.3">
      <c r="C1260" s="479">
        <f>C1197</f>
        <v>790</v>
      </c>
      <c r="D1260" s="229">
        <f>SUMIF(Input!$D$40:$AB$40,D$1171,$D435:$AB435)</f>
        <v>0</v>
      </c>
      <c r="E1260" s="229">
        <f>SUMIF(Input!$D$40:$AB$40,E$1171,$D435:$AB435)</f>
        <v>0</v>
      </c>
      <c r="F1260" s="229">
        <f>SUMIF(Input!$D$40:$AB$40,F$1171,$D435:$AB435)</f>
        <v>0</v>
      </c>
      <c r="G1260" s="229">
        <f>SUMIF(Input!$D$40:$AB$40,G$1171,$D435:$AB435)</f>
        <v>0</v>
      </c>
      <c r="H1260" s="229">
        <f>SUMIF(Input!$D$40:$AB$40,H$1171,$D435:$AB435)</f>
        <v>0</v>
      </c>
      <c r="I1260" s="229">
        <f>SUMIF(Input!$D$40:$AB$40,I$1171,$D435:$AB435)</f>
        <v>0</v>
      </c>
      <c r="J1260" s="229">
        <f>SUMIF(Input!$D$40:$AB$40,J$1171,$D435:$AB435)</f>
        <v>0</v>
      </c>
      <c r="K1260" s="229">
        <f>SUMIF(Input!$D$40:$AB$40,K$1171,$D435:$AB435)</f>
        <v>0</v>
      </c>
      <c r="L1260" s="229">
        <f>SUMIF(Input!$D$40:$AB$40,L$1171,$D435:$AB435)</f>
        <v>0</v>
      </c>
      <c r="M1260" s="229">
        <f>SUMIF(Input!$D$40:$AB$40,M$1171,$D435:$AB435)</f>
        <v>0</v>
      </c>
      <c r="N1260" s="229">
        <f>SUMIF(Input!$D$40:$AB$40,N$1171,$D435:$AB435)</f>
        <v>0</v>
      </c>
      <c r="O1260" s="229">
        <f>SUMIF(Input!$D$40:$AB$40,O$1171,$D435:$AB435)</f>
        <v>0</v>
      </c>
      <c r="P1260" s="229">
        <f>SUMIF(Input!$D$40:$AB$40,P$1171,$D435:$AB435)</f>
        <v>0</v>
      </c>
      <c r="Q1260" s="229">
        <f>SUMIF(Input!$D$40:$AB$40,Q$1171,$D435:$AB435)</f>
        <v>0</v>
      </c>
      <c r="R1260" s="229">
        <f>SUMIF(Input!$D$40:$AB$40,R$1171,$D435:$AB435)</f>
        <v>0</v>
      </c>
      <c r="S1260" s="229">
        <f>SUMIF(Input!$D$40:$AB$40,S$1171,$D435:$AB435)</f>
        <v>0</v>
      </c>
      <c r="T1260" s="229">
        <f>SUMIF(Input!$D$40:$AB$40,T$1171,$D435:$AB435)</f>
        <v>0</v>
      </c>
      <c r="U1260" s="229">
        <f>SUMIF(Input!$D$40:$AB$40,U$1171,$D435:$AB435)</f>
        <v>0</v>
      </c>
      <c r="V1260" s="229">
        <f>SUMIF(Input!$D$40:$AB$40,V$1171,$D435:$AB435)</f>
        <v>0</v>
      </c>
      <c r="W1260" s="229">
        <f>SUMIF(Input!$D$40:$AB$40,W$1171,$D435:$AB435)</f>
        <v>0</v>
      </c>
      <c r="X1260" s="229">
        <f>SUMIF(Input!$D$40:$AB$40,X$1171,$D435:$AB435)</f>
        <v>0</v>
      </c>
      <c r="Y1260" s="229">
        <f>SUMIF(Input!$D$40:$AB$40,Y$1171,$D435:$AB435)</f>
        <v>0</v>
      </c>
      <c r="Z1260" s="229">
        <f>SUMIF(Input!$D$40:$AB$40,Z$1171,$D435:$AB435)</f>
        <v>0</v>
      </c>
      <c r="AA1260" s="229">
        <f>SUMIF(Input!$D$40:$AB$40,AA$1171,$D435:$AB435)</f>
        <v>0</v>
      </c>
      <c r="AB1260" s="229">
        <f>SUMIF(Input!$D$40:$AB$40,AB$1171,$D435:$AB435)</f>
        <v>0</v>
      </c>
    </row>
    <row r="1261" spans="3:28" x14ac:dyDescent="0.3">
      <c r="C1261" s="479">
        <f>C1198</f>
        <v>821</v>
      </c>
      <c r="D1261" s="229">
        <f>SUMIF(Input!$D$40:$AB$40,D$1171,$D436:$AB436)</f>
        <v>0</v>
      </c>
      <c r="E1261" s="229">
        <f>SUMIF(Input!$D$40:$AB$40,E$1171,$D436:$AB436)</f>
        <v>0</v>
      </c>
      <c r="F1261" s="229">
        <f>SUMIF(Input!$D$40:$AB$40,F$1171,$D436:$AB436)</f>
        <v>0</v>
      </c>
      <c r="G1261" s="229">
        <f>SUMIF(Input!$D$40:$AB$40,G$1171,$D436:$AB436)</f>
        <v>0</v>
      </c>
      <c r="H1261" s="229">
        <f>SUMIF(Input!$D$40:$AB$40,H$1171,$D436:$AB436)</f>
        <v>0</v>
      </c>
      <c r="I1261" s="229">
        <f>SUMIF(Input!$D$40:$AB$40,I$1171,$D436:$AB436)</f>
        <v>0</v>
      </c>
      <c r="J1261" s="229">
        <f>SUMIF(Input!$D$40:$AB$40,J$1171,$D436:$AB436)</f>
        <v>0</v>
      </c>
      <c r="K1261" s="229">
        <f>SUMIF(Input!$D$40:$AB$40,K$1171,$D436:$AB436)</f>
        <v>0</v>
      </c>
      <c r="L1261" s="229">
        <f>SUMIF(Input!$D$40:$AB$40,L$1171,$D436:$AB436)</f>
        <v>0</v>
      </c>
      <c r="M1261" s="229">
        <f>SUMIF(Input!$D$40:$AB$40,M$1171,$D436:$AB436)</f>
        <v>0</v>
      </c>
      <c r="N1261" s="229">
        <f>SUMIF(Input!$D$40:$AB$40,N$1171,$D436:$AB436)</f>
        <v>0</v>
      </c>
      <c r="O1261" s="229">
        <f>SUMIF(Input!$D$40:$AB$40,O$1171,$D436:$AB436)</f>
        <v>0</v>
      </c>
      <c r="P1261" s="229">
        <f>SUMIF(Input!$D$40:$AB$40,P$1171,$D436:$AB436)</f>
        <v>0</v>
      </c>
      <c r="Q1261" s="229">
        <f>SUMIF(Input!$D$40:$AB$40,Q$1171,$D436:$AB436)</f>
        <v>0</v>
      </c>
      <c r="R1261" s="229">
        <f>SUMIF(Input!$D$40:$AB$40,R$1171,$D436:$AB436)</f>
        <v>0</v>
      </c>
      <c r="S1261" s="229">
        <f>SUMIF(Input!$D$40:$AB$40,S$1171,$D436:$AB436)</f>
        <v>0</v>
      </c>
      <c r="T1261" s="229">
        <f>SUMIF(Input!$D$40:$AB$40,T$1171,$D436:$AB436)</f>
        <v>0</v>
      </c>
      <c r="U1261" s="229">
        <f>SUMIF(Input!$D$40:$AB$40,U$1171,$D436:$AB436)</f>
        <v>0</v>
      </c>
      <c r="V1261" s="229">
        <f>SUMIF(Input!$D$40:$AB$40,V$1171,$D436:$AB436)</f>
        <v>0</v>
      </c>
      <c r="W1261" s="229">
        <f>SUMIF(Input!$D$40:$AB$40,W$1171,$D436:$AB436)</f>
        <v>0</v>
      </c>
      <c r="X1261" s="229">
        <f>SUMIF(Input!$D$40:$AB$40,X$1171,$D436:$AB436)</f>
        <v>0</v>
      </c>
      <c r="Y1261" s="229">
        <f>SUMIF(Input!$D$40:$AB$40,Y$1171,$D436:$AB436)</f>
        <v>0</v>
      </c>
      <c r="Z1261" s="229">
        <f>SUMIF(Input!$D$40:$AB$40,Z$1171,$D436:$AB436)</f>
        <v>0</v>
      </c>
      <c r="AA1261" s="229">
        <f>SUMIF(Input!$D$40:$AB$40,AA$1171,$D436:$AB436)</f>
        <v>0</v>
      </c>
      <c r="AB1261" s="229">
        <f>SUMIF(Input!$D$40:$AB$40,AB$1171,$D436:$AB436)</f>
        <v>0</v>
      </c>
    </row>
    <row r="1262" spans="3:28" x14ac:dyDescent="0.3">
      <c r="C1262" s="479">
        <f>C1199</f>
        <v>851</v>
      </c>
      <c r="D1262" s="229">
        <f>SUMIF(Input!$D$40:$AB$40,D$1171,$D437:$AB437)</f>
        <v>0</v>
      </c>
      <c r="E1262" s="229">
        <f>SUMIF(Input!$D$40:$AB$40,E$1171,$D437:$AB437)</f>
        <v>0</v>
      </c>
      <c r="F1262" s="229">
        <f>SUMIF(Input!$D$40:$AB$40,F$1171,$D437:$AB437)</f>
        <v>0</v>
      </c>
      <c r="G1262" s="229">
        <f>SUMIF(Input!$D$40:$AB$40,G$1171,$D437:$AB437)</f>
        <v>0</v>
      </c>
      <c r="H1262" s="229">
        <f>SUMIF(Input!$D$40:$AB$40,H$1171,$D437:$AB437)</f>
        <v>0</v>
      </c>
      <c r="I1262" s="229">
        <f>SUMIF(Input!$D$40:$AB$40,I$1171,$D437:$AB437)</f>
        <v>0</v>
      </c>
      <c r="J1262" s="229">
        <f>SUMIF(Input!$D$40:$AB$40,J$1171,$D437:$AB437)</f>
        <v>0</v>
      </c>
      <c r="K1262" s="229">
        <f>SUMIF(Input!$D$40:$AB$40,K$1171,$D437:$AB437)</f>
        <v>0</v>
      </c>
      <c r="L1262" s="229">
        <f>SUMIF(Input!$D$40:$AB$40,L$1171,$D437:$AB437)</f>
        <v>0</v>
      </c>
      <c r="M1262" s="229">
        <f>SUMIF(Input!$D$40:$AB$40,M$1171,$D437:$AB437)</f>
        <v>0</v>
      </c>
      <c r="N1262" s="229">
        <f>SUMIF(Input!$D$40:$AB$40,N$1171,$D437:$AB437)</f>
        <v>0</v>
      </c>
      <c r="O1262" s="229">
        <f>SUMIF(Input!$D$40:$AB$40,O$1171,$D437:$AB437)</f>
        <v>0</v>
      </c>
      <c r="P1262" s="229">
        <f>SUMIF(Input!$D$40:$AB$40,P$1171,$D437:$AB437)</f>
        <v>0</v>
      </c>
      <c r="Q1262" s="229">
        <f>SUMIF(Input!$D$40:$AB$40,Q$1171,$D437:$AB437)</f>
        <v>0</v>
      </c>
      <c r="R1262" s="229">
        <f>SUMIF(Input!$D$40:$AB$40,R$1171,$D437:$AB437)</f>
        <v>0</v>
      </c>
      <c r="S1262" s="229">
        <f>SUMIF(Input!$D$40:$AB$40,S$1171,$D437:$AB437)</f>
        <v>0</v>
      </c>
      <c r="T1262" s="229">
        <f>SUMIF(Input!$D$40:$AB$40,T$1171,$D437:$AB437)</f>
        <v>0</v>
      </c>
      <c r="U1262" s="229">
        <f>SUMIF(Input!$D$40:$AB$40,U$1171,$D437:$AB437)</f>
        <v>0</v>
      </c>
      <c r="V1262" s="229">
        <f>SUMIF(Input!$D$40:$AB$40,V$1171,$D437:$AB437)</f>
        <v>0</v>
      </c>
      <c r="W1262" s="229">
        <f>SUMIF(Input!$D$40:$AB$40,W$1171,$D437:$AB437)</f>
        <v>0</v>
      </c>
      <c r="X1262" s="229">
        <f>SUMIF(Input!$D$40:$AB$40,X$1171,$D437:$AB437)</f>
        <v>0</v>
      </c>
      <c r="Y1262" s="229">
        <f>SUMIF(Input!$D$40:$AB$40,Y$1171,$D437:$AB437)</f>
        <v>0</v>
      </c>
      <c r="Z1262" s="229">
        <f>SUMIF(Input!$D$40:$AB$40,Z$1171,$D437:$AB437)</f>
        <v>0</v>
      </c>
      <c r="AA1262" s="229">
        <f>SUMIF(Input!$D$40:$AB$40,AA$1171,$D437:$AB437)</f>
        <v>0</v>
      </c>
      <c r="AB1262" s="229">
        <f>SUMIF(Input!$D$40:$AB$40,AB$1171,$D437:$AB437)</f>
        <v>0</v>
      </c>
    </row>
    <row r="1263" spans="3:28" x14ac:dyDescent="0.3">
      <c r="C1263" s="479">
        <f>C1200</f>
        <v>882</v>
      </c>
      <c r="D1263" s="229">
        <f>SUMIF(Input!$D$40:$AB$40,D$1171,$D438:$AB438)</f>
        <v>0</v>
      </c>
      <c r="E1263" s="229">
        <f>SUMIF(Input!$D$40:$AB$40,E$1171,$D438:$AB438)</f>
        <v>0</v>
      </c>
      <c r="F1263" s="229">
        <f>SUMIF(Input!$D$40:$AB$40,F$1171,$D438:$AB438)</f>
        <v>0</v>
      </c>
      <c r="G1263" s="229">
        <f>SUMIF(Input!$D$40:$AB$40,G$1171,$D438:$AB438)</f>
        <v>0</v>
      </c>
      <c r="H1263" s="229">
        <f>SUMIF(Input!$D$40:$AB$40,H$1171,$D438:$AB438)</f>
        <v>0</v>
      </c>
      <c r="I1263" s="229">
        <f>SUMIF(Input!$D$40:$AB$40,I$1171,$D438:$AB438)</f>
        <v>0</v>
      </c>
      <c r="J1263" s="229">
        <f>SUMIF(Input!$D$40:$AB$40,J$1171,$D438:$AB438)</f>
        <v>0</v>
      </c>
      <c r="K1263" s="229">
        <f>SUMIF(Input!$D$40:$AB$40,K$1171,$D438:$AB438)</f>
        <v>0</v>
      </c>
      <c r="L1263" s="229">
        <f>SUMIF(Input!$D$40:$AB$40,L$1171,$D438:$AB438)</f>
        <v>0</v>
      </c>
      <c r="M1263" s="229">
        <f>SUMIF(Input!$D$40:$AB$40,M$1171,$D438:$AB438)</f>
        <v>0</v>
      </c>
      <c r="N1263" s="229">
        <f>SUMIF(Input!$D$40:$AB$40,N$1171,$D438:$AB438)</f>
        <v>0</v>
      </c>
      <c r="O1263" s="229">
        <f>SUMIF(Input!$D$40:$AB$40,O$1171,$D438:$AB438)</f>
        <v>0</v>
      </c>
      <c r="P1263" s="229">
        <f>SUMIF(Input!$D$40:$AB$40,P$1171,$D438:$AB438)</f>
        <v>0</v>
      </c>
      <c r="Q1263" s="229">
        <f>SUMIF(Input!$D$40:$AB$40,Q$1171,$D438:$AB438)</f>
        <v>0</v>
      </c>
      <c r="R1263" s="229">
        <f>SUMIF(Input!$D$40:$AB$40,R$1171,$D438:$AB438)</f>
        <v>0</v>
      </c>
      <c r="S1263" s="229">
        <f>SUMIF(Input!$D$40:$AB$40,S$1171,$D438:$AB438)</f>
        <v>0</v>
      </c>
      <c r="T1263" s="229">
        <f>SUMIF(Input!$D$40:$AB$40,T$1171,$D438:$AB438)</f>
        <v>0</v>
      </c>
      <c r="U1263" s="229">
        <f>SUMIF(Input!$D$40:$AB$40,U$1171,$D438:$AB438)</f>
        <v>0</v>
      </c>
      <c r="V1263" s="229">
        <f>SUMIF(Input!$D$40:$AB$40,V$1171,$D438:$AB438)</f>
        <v>0</v>
      </c>
      <c r="W1263" s="229">
        <f>SUMIF(Input!$D$40:$AB$40,W$1171,$D438:$AB438)</f>
        <v>0</v>
      </c>
      <c r="X1263" s="229">
        <f>SUMIF(Input!$D$40:$AB$40,X$1171,$D438:$AB438)</f>
        <v>0</v>
      </c>
      <c r="Y1263" s="229">
        <f>SUMIF(Input!$D$40:$AB$40,Y$1171,$D438:$AB438)</f>
        <v>0</v>
      </c>
      <c r="Z1263" s="229">
        <f>SUMIF(Input!$D$40:$AB$40,Z$1171,$D438:$AB438)</f>
        <v>0</v>
      </c>
      <c r="AA1263" s="229">
        <f>SUMIF(Input!$D$40:$AB$40,AA$1171,$D438:$AB438)</f>
        <v>0</v>
      </c>
      <c r="AB1263" s="229">
        <f>SUMIF(Input!$D$40:$AB$40,AB$1171,$D438:$AB438)</f>
        <v>0</v>
      </c>
    </row>
    <row r="1264" spans="3:28" x14ac:dyDescent="0.3">
      <c r="C1264" s="479">
        <f>C1201</f>
        <v>912</v>
      </c>
      <c r="D1264" s="229">
        <f>SUMIF(Input!$D$40:$AB$40,D$1171,$D439:$AB439)</f>
        <v>0</v>
      </c>
      <c r="E1264" s="229">
        <f>SUMIF(Input!$D$40:$AB$40,E$1171,$D439:$AB439)</f>
        <v>0</v>
      </c>
      <c r="F1264" s="229">
        <f>SUMIF(Input!$D$40:$AB$40,F$1171,$D439:$AB439)</f>
        <v>0</v>
      </c>
      <c r="G1264" s="229">
        <f>SUMIF(Input!$D$40:$AB$40,G$1171,$D439:$AB439)</f>
        <v>0</v>
      </c>
      <c r="H1264" s="229">
        <f>SUMIF(Input!$D$40:$AB$40,H$1171,$D439:$AB439)</f>
        <v>0</v>
      </c>
      <c r="I1264" s="229">
        <f>SUMIF(Input!$D$40:$AB$40,I$1171,$D439:$AB439)</f>
        <v>0</v>
      </c>
      <c r="J1264" s="229">
        <f>SUMIF(Input!$D$40:$AB$40,J$1171,$D439:$AB439)</f>
        <v>0</v>
      </c>
      <c r="K1264" s="229">
        <f>SUMIF(Input!$D$40:$AB$40,K$1171,$D439:$AB439)</f>
        <v>0</v>
      </c>
      <c r="L1264" s="229">
        <f>SUMIF(Input!$D$40:$AB$40,L$1171,$D439:$AB439)</f>
        <v>0</v>
      </c>
      <c r="M1264" s="229">
        <f>SUMIF(Input!$D$40:$AB$40,M$1171,$D439:$AB439)</f>
        <v>0</v>
      </c>
      <c r="N1264" s="229">
        <f>SUMIF(Input!$D$40:$AB$40,N$1171,$D439:$AB439)</f>
        <v>0</v>
      </c>
      <c r="O1264" s="229">
        <f>SUMIF(Input!$D$40:$AB$40,O$1171,$D439:$AB439)</f>
        <v>0</v>
      </c>
      <c r="P1264" s="229">
        <f>SUMIF(Input!$D$40:$AB$40,P$1171,$D439:$AB439)</f>
        <v>0</v>
      </c>
      <c r="Q1264" s="229">
        <f>SUMIF(Input!$D$40:$AB$40,Q$1171,$D439:$AB439)</f>
        <v>0</v>
      </c>
      <c r="R1264" s="229">
        <f>SUMIF(Input!$D$40:$AB$40,R$1171,$D439:$AB439)</f>
        <v>0</v>
      </c>
      <c r="S1264" s="229">
        <f>SUMIF(Input!$D$40:$AB$40,S$1171,$D439:$AB439)</f>
        <v>0</v>
      </c>
      <c r="T1264" s="229">
        <f>SUMIF(Input!$D$40:$AB$40,T$1171,$D439:$AB439)</f>
        <v>0</v>
      </c>
      <c r="U1264" s="229">
        <f>SUMIF(Input!$D$40:$AB$40,U$1171,$D439:$AB439)</f>
        <v>0</v>
      </c>
      <c r="V1264" s="229">
        <f>SUMIF(Input!$D$40:$AB$40,V$1171,$D439:$AB439)</f>
        <v>0</v>
      </c>
      <c r="W1264" s="229">
        <f>SUMIF(Input!$D$40:$AB$40,W$1171,$D439:$AB439)</f>
        <v>0</v>
      </c>
      <c r="X1264" s="229">
        <f>SUMIF(Input!$D$40:$AB$40,X$1171,$D439:$AB439)</f>
        <v>0</v>
      </c>
      <c r="Y1264" s="229">
        <f>SUMIF(Input!$D$40:$AB$40,Y$1171,$D439:$AB439)</f>
        <v>0</v>
      </c>
      <c r="Z1264" s="229">
        <f>SUMIF(Input!$D$40:$AB$40,Z$1171,$D439:$AB439)</f>
        <v>0</v>
      </c>
      <c r="AA1264" s="229">
        <f>SUMIF(Input!$D$40:$AB$40,AA$1171,$D439:$AB439)</f>
        <v>0</v>
      </c>
      <c r="AB1264" s="229">
        <f>SUMIF(Input!$D$40:$AB$40,AB$1171,$D439:$AB439)</f>
        <v>0</v>
      </c>
    </row>
    <row r="1265" spans="3:28" x14ac:dyDescent="0.3">
      <c r="C1265" s="479">
        <f>C1202</f>
        <v>943</v>
      </c>
      <c r="D1265" s="229">
        <f>SUMIF(Input!$D$40:$AB$40,D$1171,$D440:$AB440)</f>
        <v>0</v>
      </c>
      <c r="E1265" s="229">
        <f>SUMIF(Input!$D$40:$AB$40,E$1171,$D440:$AB440)</f>
        <v>0</v>
      </c>
      <c r="F1265" s="229">
        <f>SUMIF(Input!$D$40:$AB$40,F$1171,$D440:$AB440)</f>
        <v>0</v>
      </c>
      <c r="G1265" s="229">
        <f>SUMIF(Input!$D$40:$AB$40,G$1171,$D440:$AB440)</f>
        <v>0</v>
      </c>
      <c r="H1265" s="229">
        <f>SUMIF(Input!$D$40:$AB$40,H$1171,$D440:$AB440)</f>
        <v>0</v>
      </c>
      <c r="I1265" s="229">
        <f>SUMIF(Input!$D$40:$AB$40,I$1171,$D440:$AB440)</f>
        <v>0</v>
      </c>
      <c r="J1265" s="229">
        <f>SUMIF(Input!$D$40:$AB$40,J$1171,$D440:$AB440)</f>
        <v>0</v>
      </c>
      <c r="K1265" s="229">
        <f>SUMIF(Input!$D$40:$AB$40,K$1171,$D440:$AB440)</f>
        <v>0</v>
      </c>
      <c r="L1265" s="229">
        <f>SUMIF(Input!$D$40:$AB$40,L$1171,$D440:$AB440)</f>
        <v>0</v>
      </c>
      <c r="M1265" s="229">
        <f>SUMIF(Input!$D$40:$AB$40,M$1171,$D440:$AB440)</f>
        <v>0</v>
      </c>
      <c r="N1265" s="229">
        <f>SUMIF(Input!$D$40:$AB$40,N$1171,$D440:$AB440)</f>
        <v>0</v>
      </c>
      <c r="O1265" s="229">
        <f>SUMIF(Input!$D$40:$AB$40,O$1171,$D440:$AB440)</f>
        <v>0</v>
      </c>
      <c r="P1265" s="229">
        <f>SUMIF(Input!$D$40:$AB$40,P$1171,$D440:$AB440)</f>
        <v>0</v>
      </c>
      <c r="Q1265" s="229">
        <f>SUMIF(Input!$D$40:$AB$40,Q$1171,$D440:$AB440)</f>
        <v>0</v>
      </c>
      <c r="R1265" s="229">
        <f>SUMIF(Input!$D$40:$AB$40,R$1171,$D440:$AB440)</f>
        <v>0</v>
      </c>
      <c r="S1265" s="229">
        <f>SUMIF(Input!$D$40:$AB$40,S$1171,$D440:$AB440)</f>
        <v>0</v>
      </c>
      <c r="T1265" s="229">
        <f>SUMIF(Input!$D$40:$AB$40,T$1171,$D440:$AB440)</f>
        <v>0</v>
      </c>
      <c r="U1265" s="229">
        <f>SUMIF(Input!$D$40:$AB$40,U$1171,$D440:$AB440)</f>
        <v>0</v>
      </c>
      <c r="V1265" s="229">
        <f>SUMIF(Input!$D$40:$AB$40,V$1171,$D440:$AB440)</f>
        <v>0</v>
      </c>
      <c r="W1265" s="229">
        <f>SUMIF(Input!$D$40:$AB$40,W$1171,$D440:$AB440)</f>
        <v>0</v>
      </c>
      <c r="X1265" s="229">
        <f>SUMIF(Input!$D$40:$AB$40,X$1171,$D440:$AB440)</f>
        <v>0</v>
      </c>
      <c r="Y1265" s="229">
        <f>SUMIF(Input!$D$40:$AB$40,Y$1171,$D440:$AB440)</f>
        <v>0</v>
      </c>
      <c r="Z1265" s="229">
        <f>SUMIF(Input!$D$40:$AB$40,Z$1171,$D440:$AB440)</f>
        <v>0</v>
      </c>
      <c r="AA1265" s="229">
        <f>SUMIF(Input!$D$40:$AB$40,AA$1171,$D440:$AB440)</f>
        <v>0</v>
      </c>
      <c r="AB1265" s="229">
        <f>SUMIF(Input!$D$40:$AB$40,AB$1171,$D440:$AB440)</f>
        <v>0</v>
      </c>
    </row>
    <row r="1266" spans="3:28" x14ac:dyDescent="0.3">
      <c r="C1266" s="479">
        <f>C1203</f>
        <v>974</v>
      </c>
      <c r="D1266" s="229">
        <f>SUMIF(Input!$D$40:$AB$40,D$1171,$D441:$AB441)</f>
        <v>0</v>
      </c>
      <c r="E1266" s="229">
        <f>SUMIF(Input!$D$40:$AB$40,E$1171,$D441:$AB441)</f>
        <v>0</v>
      </c>
      <c r="F1266" s="229">
        <f>SUMIF(Input!$D$40:$AB$40,F$1171,$D441:$AB441)</f>
        <v>0</v>
      </c>
      <c r="G1266" s="229">
        <f>SUMIF(Input!$D$40:$AB$40,G$1171,$D441:$AB441)</f>
        <v>0</v>
      </c>
      <c r="H1266" s="229">
        <f>SUMIF(Input!$D$40:$AB$40,H$1171,$D441:$AB441)</f>
        <v>0</v>
      </c>
      <c r="I1266" s="229">
        <f>SUMIF(Input!$D$40:$AB$40,I$1171,$D441:$AB441)</f>
        <v>0</v>
      </c>
      <c r="J1266" s="229">
        <f>SUMIF(Input!$D$40:$AB$40,J$1171,$D441:$AB441)</f>
        <v>0</v>
      </c>
      <c r="K1266" s="229">
        <f>SUMIF(Input!$D$40:$AB$40,K$1171,$D441:$AB441)</f>
        <v>0</v>
      </c>
      <c r="L1266" s="229">
        <f>SUMIF(Input!$D$40:$AB$40,L$1171,$D441:$AB441)</f>
        <v>0</v>
      </c>
      <c r="M1266" s="229">
        <f>SUMIF(Input!$D$40:$AB$40,M$1171,$D441:$AB441)</f>
        <v>0</v>
      </c>
      <c r="N1266" s="229">
        <f>SUMIF(Input!$D$40:$AB$40,N$1171,$D441:$AB441)</f>
        <v>0</v>
      </c>
      <c r="O1266" s="229">
        <f>SUMIF(Input!$D$40:$AB$40,O$1171,$D441:$AB441)</f>
        <v>0</v>
      </c>
      <c r="P1266" s="229">
        <f>SUMIF(Input!$D$40:$AB$40,P$1171,$D441:$AB441)</f>
        <v>0</v>
      </c>
      <c r="Q1266" s="229">
        <f>SUMIF(Input!$D$40:$AB$40,Q$1171,$D441:$AB441)</f>
        <v>0</v>
      </c>
      <c r="R1266" s="229">
        <f>SUMIF(Input!$D$40:$AB$40,R$1171,$D441:$AB441)</f>
        <v>0</v>
      </c>
      <c r="S1266" s="229">
        <f>SUMIF(Input!$D$40:$AB$40,S$1171,$D441:$AB441)</f>
        <v>0</v>
      </c>
      <c r="T1266" s="229">
        <f>SUMIF(Input!$D$40:$AB$40,T$1171,$D441:$AB441)</f>
        <v>0</v>
      </c>
      <c r="U1266" s="229">
        <f>SUMIF(Input!$D$40:$AB$40,U$1171,$D441:$AB441)</f>
        <v>0</v>
      </c>
      <c r="V1266" s="229">
        <f>SUMIF(Input!$D$40:$AB$40,V$1171,$D441:$AB441)</f>
        <v>0</v>
      </c>
      <c r="W1266" s="229">
        <f>SUMIF(Input!$D$40:$AB$40,W$1171,$D441:$AB441)</f>
        <v>0</v>
      </c>
      <c r="X1266" s="229">
        <f>SUMIF(Input!$D$40:$AB$40,X$1171,$D441:$AB441)</f>
        <v>0</v>
      </c>
      <c r="Y1266" s="229">
        <f>SUMIF(Input!$D$40:$AB$40,Y$1171,$D441:$AB441)</f>
        <v>0</v>
      </c>
      <c r="Z1266" s="229">
        <f>SUMIF(Input!$D$40:$AB$40,Z$1171,$D441:$AB441)</f>
        <v>0</v>
      </c>
      <c r="AA1266" s="229">
        <f>SUMIF(Input!$D$40:$AB$40,AA$1171,$D441:$AB441)</f>
        <v>0</v>
      </c>
      <c r="AB1266" s="229">
        <f>SUMIF(Input!$D$40:$AB$40,AB$1171,$D441:$AB441)</f>
        <v>0</v>
      </c>
    </row>
    <row r="1267" spans="3:28" x14ac:dyDescent="0.3">
      <c r="C1267" s="479">
        <f>C1204</f>
        <v>1004</v>
      </c>
      <c r="D1267" s="229">
        <f>SUMIF(Input!$D$40:$AB$40,D$1171,$D442:$AB442)</f>
        <v>0</v>
      </c>
      <c r="E1267" s="229">
        <f>SUMIF(Input!$D$40:$AB$40,E$1171,$D442:$AB442)</f>
        <v>0</v>
      </c>
      <c r="F1267" s="229">
        <f>SUMIF(Input!$D$40:$AB$40,F$1171,$D442:$AB442)</f>
        <v>0</v>
      </c>
      <c r="G1267" s="229">
        <f>SUMIF(Input!$D$40:$AB$40,G$1171,$D442:$AB442)</f>
        <v>0</v>
      </c>
      <c r="H1267" s="229">
        <f>SUMIF(Input!$D$40:$AB$40,H$1171,$D442:$AB442)</f>
        <v>0</v>
      </c>
      <c r="I1267" s="229">
        <f>SUMIF(Input!$D$40:$AB$40,I$1171,$D442:$AB442)</f>
        <v>0</v>
      </c>
      <c r="J1267" s="229">
        <f>SUMIF(Input!$D$40:$AB$40,J$1171,$D442:$AB442)</f>
        <v>0</v>
      </c>
      <c r="K1267" s="229">
        <f>SUMIF(Input!$D$40:$AB$40,K$1171,$D442:$AB442)</f>
        <v>0</v>
      </c>
      <c r="L1267" s="229">
        <f>SUMIF(Input!$D$40:$AB$40,L$1171,$D442:$AB442)</f>
        <v>0</v>
      </c>
      <c r="M1267" s="229">
        <f>SUMIF(Input!$D$40:$AB$40,M$1171,$D442:$AB442)</f>
        <v>0</v>
      </c>
      <c r="N1267" s="229">
        <f>SUMIF(Input!$D$40:$AB$40,N$1171,$D442:$AB442)</f>
        <v>0</v>
      </c>
      <c r="O1267" s="229">
        <f>SUMIF(Input!$D$40:$AB$40,O$1171,$D442:$AB442)</f>
        <v>0</v>
      </c>
      <c r="P1267" s="229">
        <f>SUMIF(Input!$D$40:$AB$40,P$1171,$D442:$AB442)</f>
        <v>0</v>
      </c>
      <c r="Q1267" s="229">
        <f>SUMIF(Input!$D$40:$AB$40,Q$1171,$D442:$AB442)</f>
        <v>0</v>
      </c>
      <c r="R1267" s="229">
        <f>SUMIF(Input!$D$40:$AB$40,R$1171,$D442:$AB442)</f>
        <v>0</v>
      </c>
      <c r="S1267" s="229">
        <f>SUMIF(Input!$D$40:$AB$40,S$1171,$D442:$AB442)</f>
        <v>0</v>
      </c>
      <c r="T1267" s="229">
        <f>SUMIF(Input!$D$40:$AB$40,T$1171,$D442:$AB442)</f>
        <v>0</v>
      </c>
      <c r="U1267" s="229">
        <f>SUMIF(Input!$D$40:$AB$40,U$1171,$D442:$AB442)</f>
        <v>0</v>
      </c>
      <c r="V1267" s="229">
        <f>SUMIF(Input!$D$40:$AB$40,V$1171,$D442:$AB442)</f>
        <v>0</v>
      </c>
      <c r="W1267" s="229">
        <f>SUMIF(Input!$D$40:$AB$40,W$1171,$D442:$AB442)</f>
        <v>0</v>
      </c>
      <c r="X1267" s="229">
        <f>SUMIF(Input!$D$40:$AB$40,X$1171,$D442:$AB442)</f>
        <v>0</v>
      </c>
      <c r="Y1267" s="229">
        <f>SUMIF(Input!$D$40:$AB$40,Y$1171,$D442:$AB442)</f>
        <v>0</v>
      </c>
      <c r="Z1267" s="229">
        <f>SUMIF(Input!$D$40:$AB$40,Z$1171,$D442:$AB442)</f>
        <v>0</v>
      </c>
      <c r="AA1267" s="229">
        <f>SUMIF(Input!$D$40:$AB$40,AA$1171,$D442:$AB442)</f>
        <v>0</v>
      </c>
      <c r="AB1267" s="229">
        <f>SUMIF(Input!$D$40:$AB$40,AB$1171,$D442:$AB442)</f>
        <v>0</v>
      </c>
    </row>
    <row r="1268" spans="3:28" x14ac:dyDescent="0.3">
      <c r="C1268" s="479">
        <f>C1205</f>
        <v>1035</v>
      </c>
      <c r="D1268" s="229">
        <f>SUMIF(Input!$D$40:$AB$40,D$1171,$D443:$AB443)</f>
        <v>0</v>
      </c>
      <c r="E1268" s="229">
        <f>SUMIF(Input!$D$40:$AB$40,E$1171,$D443:$AB443)</f>
        <v>0</v>
      </c>
      <c r="F1268" s="229">
        <f>SUMIF(Input!$D$40:$AB$40,F$1171,$D443:$AB443)</f>
        <v>0</v>
      </c>
      <c r="G1268" s="229">
        <f>SUMIF(Input!$D$40:$AB$40,G$1171,$D443:$AB443)</f>
        <v>0</v>
      </c>
      <c r="H1268" s="229">
        <f>SUMIF(Input!$D$40:$AB$40,H$1171,$D443:$AB443)</f>
        <v>0</v>
      </c>
      <c r="I1268" s="229">
        <f>SUMIF(Input!$D$40:$AB$40,I$1171,$D443:$AB443)</f>
        <v>0</v>
      </c>
      <c r="J1268" s="229">
        <f>SUMIF(Input!$D$40:$AB$40,J$1171,$D443:$AB443)</f>
        <v>0</v>
      </c>
      <c r="K1268" s="229">
        <f>SUMIF(Input!$D$40:$AB$40,K$1171,$D443:$AB443)</f>
        <v>0</v>
      </c>
      <c r="L1268" s="229">
        <f>SUMIF(Input!$D$40:$AB$40,L$1171,$D443:$AB443)</f>
        <v>0</v>
      </c>
      <c r="M1268" s="229">
        <f>SUMIF(Input!$D$40:$AB$40,M$1171,$D443:$AB443)</f>
        <v>0</v>
      </c>
      <c r="N1268" s="229">
        <f>SUMIF(Input!$D$40:$AB$40,N$1171,$D443:$AB443)</f>
        <v>0</v>
      </c>
      <c r="O1268" s="229">
        <f>SUMIF(Input!$D$40:$AB$40,O$1171,$D443:$AB443)</f>
        <v>0</v>
      </c>
      <c r="P1268" s="229">
        <f>SUMIF(Input!$D$40:$AB$40,P$1171,$D443:$AB443)</f>
        <v>0</v>
      </c>
      <c r="Q1268" s="229">
        <f>SUMIF(Input!$D$40:$AB$40,Q$1171,$D443:$AB443)</f>
        <v>0</v>
      </c>
      <c r="R1268" s="229">
        <f>SUMIF(Input!$D$40:$AB$40,R$1171,$D443:$AB443)</f>
        <v>0</v>
      </c>
      <c r="S1268" s="229">
        <f>SUMIF(Input!$D$40:$AB$40,S$1171,$D443:$AB443)</f>
        <v>0</v>
      </c>
      <c r="T1268" s="229">
        <f>SUMIF(Input!$D$40:$AB$40,T$1171,$D443:$AB443)</f>
        <v>0</v>
      </c>
      <c r="U1268" s="229">
        <f>SUMIF(Input!$D$40:$AB$40,U$1171,$D443:$AB443)</f>
        <v>0</v>
      </c>
      <c r="V1268" s="229">
        <f>SUMIF(Input!$D$40:$AB$40,V$1171,$D443:$AB443)</f>
        <v>0</v>
      </c>
      <c r="W1268" s="229">
        <f>SUMIF(Input!$D$40:$AB$40,W$1171,$D443:$AB443)</f>
        <v>0</v>
      </c>
      <c r="X1268" s="229">
        <f>SUMIF(Input!$D$40:$AB$40,X$1171,$D443:$AB443)</f>
        <v>0</v>
      </c>
      <c r="Y1268" s="229">
        <f>SUMIF(Input!$D$40:$AB$40,Y$1171,$D443:$AB443)</f>
        <v>0</v>
      </c>
      <c r="Z1268" s="229">
        <f>SUMIF(Input!$D$40:$AB$40,Z$1171,$D443:$AB443)</f>
        <v>0</v>
      </c>
      <c r="AA1268" s="229">
        <f>SUMIF(Input!$D$40:$AB$40,AA$1171,$D443:$AB443)</f>
        <v>0</v>
      </c>
      <c r="AB1268" s="229">
        <f>SUMIF(Input!$D$40:$AB$40,AB$1171,$D443:$AB443)</f>
        <v>0</v>
      </c>
    </row>
    <row r="1269" spans="3:28" x14ac:dyDescent="0.3">
      <c r="C1269" s="479">
        <f>C1206</f>
        <v>1065</v>
      </c>
      <c r="D1269" s="229">
        <f>SUMIF(Input!$D$40:$AB$40,D$1171,$D444:$AB444)</f>
        <v>0</v>
      </c>
      <c r="E1269" s="229">
        <f>SUMIF(Input!$D$40:$AB$40,E$1171,$D444:$AB444)</f>
        <v>0</v>
      </c>
      <c r="F1269" s="229">
        <f>SUMIF(Input!$D$40:$AB$40,F$1171,$D444:$AB444)</f>
        <v>0</v>
      </c>
      <c r="G1269" s="229">
        <f>SUMIF(Input!$D$40:$AB$40,G$1171,$D444:$AB444)</f>
        <v>0</v>
      </c>
      <c r="H1269" s="229">
        <f>SUMIF(Input!$D$40:$AB$40,H$1171,$D444:$AB444)</f>
        <v>0</v>
      </c>
      <c r="I1269" s="229">
        <f>SUMIF(Input!$D$40:$AB$40,I$1171,$D444:$AB444)</f>
        <v>0</v>
      </c>
      <c r="J1269" s="229">
        <f>SUMIF(Input!$D$40:$AB$40,J$1171,$D444:$AB444)</f>
        <v>0</v>
      </c>
      <c r="K1269" s="229">
        <f>SUMIF(Input!$D$40:$AB$40,K$1171,$D444:$AB444)</f>
        <v>0</v>
      </c>
      <c r="L1269" s="229">
        <f>SUMIF(Input!$D$40:$AB$40,L$1171,$D444:$AB444)</f>
        <v>0</v>
      </c>
      <c r="M1269" s="229">
        <f>SUMIF(Input!$D$40:$AB$40,M$1171,$D444:$AB444)</f>
        <v>0</v>
      </c>
      <c r="N1269" s="229">
        <f>SUMIF(Input!$D$40:$AB$40,N$1171,$D444:$AB444)</f>
        <v>0</v>
      </c>
      <c r="O1269" s="229">
        <f>SUMIF(Input!$D$40:$AB$40,O$1171,$D444:$AB444)</f>
        <v>0</v>
      </c>
      <c r="P1269" s="229">
        <f>SUMIF(Input!$D$40:$AB$40,P$1171,$D444:$AB444)</f>
        <v>0</v>
      </c>
      <c r="Q1269" s="229">
        <f>SUMIF(Input!$D$40:$AB$40,Q$1171,$D444:$AB444)</f>
        <v>0</v>
      </c>
      <c r="R1269" s="229">
        <f>SUMIF(Input!$D$40:$AB$40,R$1171,$D444:$AB444)</f>
        <v>0</v>
      </c>
      <c r="S1269" s="229">
        <f>SUMIF(Input!$D$40:$AB$40,S$1171,$D444:$AB444)</f>
        <v>0</v>
      </c>
      <c r="T1269" s="229">
        <f>SUMIF(Input!$D$40:$AB$40,T$1171,$D444:$AB444)</f>
        <v>0</v>
      </c>
      <c r="U1269" s="229">
        <f>SUMIF(Input!$D$40:$AB$40,U$1171,$D444:$AB444)</f>
        <v>0</v>
      </c>
      <c r="V1269" s="229">
        <f>SUMIF(Input!$D$40:$AB$40,V$1171,$D444:$AB444)</f>
        <v>0</v>
      </c>
      <c r="W1269" s="229">
        <f>SUMIF(Input!$D$40:$AB$40,W$1171,$D444:$AB444)</f>
        <v>0</v>
      </c>
      <c r="X1269" s="229">
        <f>SUMIF(Input!$D$40:$AB$40,X$1171,$D444:$AB444)</f>
        <v>0</v>
      </c>
      <c r="Y1269" s="229">
        <f>SUMIF(Input!$D$40:$AB$40,Y$1171,$D444:$AB444)</f>
        <v>0</v>
      </c>
      <c r="Z1269" s="229">
        <f>SUMIF(Input!$D$40:$AB$40,Z$1171,$D444:$AB444)</f>
        <v>0</v>
      </c>
      <c r="AA1269" s="229">
        <f>SUMIF(Input!$D$40:$AB$40,AA$1171,$D444:$AB444)</f>
        <v>0</v>
      </c>
      <c r="AB1269" s="229">
        <f>SUMIF(Input!$D$40:$AB$40,AB$1171,$D444:$AB444)</f>
        <v>0</v>
      </c>
    </row>
    <row r="1270" spans="3:28" ht="12.5" thickBot="1" x14ac:dyDescent="0.35">
      <c r="C1270" s="480">
        <f>C1207</f>
        <v>1096</v>
      </c>
      <c r="D1270" s="230">
        <f>SUMIF(Input!$D$40:$AB$40,D$1171,$D445:$AB445)</f>
        <v>0</v>
      </c>
      <c r="E1270" s="230">
        <f>SUMIF(Input!$D$40:$AB$40,E$1171,$D445:$AB445)</f>
        <v>0</v>
      </c>
      <c r="F1270" s="230">
        <f>SUMIF(Input!$D$40:$AB$40,F$1171,$D445:$AB445)</f>
        <v>0</v>
      </c>
      <c r="G1270" s="230">
        <f>SUMIF(Input!$D$40:$AB$40,G$1171,$D445:$AB445)</f>
        <v>0</v>
      </c>
      <c r="H1270" s="230">
        <f>SUMIF(Input!$D$40:$AB$40,H$1171,$D445:$AB445)</f>
        <v>0</v>
      </c>
      <c r="I1270" s="230">
        <f>SUMIF(Input!$D$40:$AB$40,I$1171,$D445:$AB445)</f>
        <v>0</v>
      </c>
      <c r="J1270" s="230">
        <f>SUMIF(Input!$D$40:$AB$40,J$1171,$D445:$AB445)</f>
        <v>0</v>
      </c>
      <c r="K1270" s="230">
        <f>SUMIF(Input!$D$40:$AB$40,K$1171,$D445:$AB445)</f>
        <v>0</v>
      </c>
      <c r="L1270" s="230">
        <f>SUMIF(Input!$D$40:$AB$40,L$1171,$D445:$AB445)</f>
        <v>0</v>
      </c>
      <c r="M1270" s="230">
        <f>SUMIF(Input!$D$40:$AB$40,M$1171,$D445:$AB445)</f>
        <v>0</v>
      </c>
      <c r="N1270" s="230">
        <f>SUMIF(Input!$D$40:$AB$40,N$1171,$D445:$AB445)</f>
        <v>0</v>
      </c>
      <c r="O1270" s="230">
        <f>SUMIF(Input!$D$40:$AB$40,O$1171,$D445:$AB445)</f>
        <v>0</v>
      </c>
      <c r="P1270" s="230">
        <f>SUMIF(Input!$D$40:$AB$40,P$1171,$D445:$AB445)</f>
        <v>0</v>
      </c>
      <c r="Q1270" s="230">
        <f>SUMIF(Input!$D$40:$AB$40,Q$1171,$D445:$AB445)</f>
        <v>0</v>
      </c>
      <c r="R1270" s="230">
        <f>SUMIF(Input!$D$40:$AB$40,R$1171,$D445:$AB445)</f>
        <v>0</v>
      </c>
      <c r="S1270" s="230">
        <f>SUMIF(Input!$D$40:$AB$40,S$1171,$D445:$AB445)</f>
        <v>0</v>
      </c>
      <c r="T1270" s="230">
        <f>SUMIF(Input!$D$40:$AB$40,T$1171,$D445:$AB445)</f>
        <v>0</v>
      </c>
      <c r="U1270" s="230">
        <f>SUMIF(Input!$D$40:$AB$40,U$1171,$D445:$AB445)</f>
        <v>0</v>
      </c>
      <c r="V1270" s="230">
        <f>SUMIF(Input!$D$40:$AB$40,V$1171,$D445:$AB445)</f>
        <v>0</v>
      </c>
      <c r="W1270" s="230">
        <f>SUMIF(Input!$D$40:$AB$40,W$1171,$D445:$AB445)</f>
        <v>0</v>
      </c>
      <c r="X1270" s="230">
        <f>SUMIF(Input!$D$40:$AB$40,X$1171,$D445:$AB445)</f>
        <v>0</v>
      </c>
      <c r="Y1270" s="230">
        <f>SUMIF(Input!$D$40:$AB$40,Y$1171,$D445:$AB445)</f>
        <v>0</v>
      </c>
      <c r="Z1270" s="230">
        <f>SUMIF(Input!$D$40:$AB$40,Z$1171,$D445:$AB445)</f>
        <v>0</v>
      </c>
      <c r="AA1270" s="230">
        <f>SUMIF(Input!$D$40:$AB$40,AA$1171,$D445:$AB445)</f>
        <v>0</v>
      </c>
      <c r="AB1270" s="230">
        <f>SUMIF(Input!$D$40:$AB$40,AB$1171,$D445:$AB445)</f>
        <v>0</v>
      </c>
    </row>
    <row r="1271" spans="3:28" x14ac:dyDescent="0.3">
      <c r="C1271" s="638">
        <f>C1208</f>
        <v>1127</v>
      </c>
      <c r="D1271" s="299">
        <f>IF(Years="Five",SUMIF(Input!$D$40:$AB$40,D$1171,$D446:$AB446),SUM(D1235:D1270))</f>
        <v>0</v>
      </c>
      <c r="E1271" s="299">
        <f>IF(Years="Five",SUMIF(Input!$D$40:$AB$40,E$1171,$D446:$AB446),SUM(E1235:E1270))</f>
        <v>0</v>
      </c>
      <c r="F1271" s="299">
        <f>IF(Years="Five",SUMIF(Input!$D$40:$AB$40,F$1171,$D446:$AB446),SUM(F1235:F1270))</f>
        <v>0</v>
      </c>
      <c r="G1271" s="299">
        <f>IF(Years="Five",SUMIF(Input!$D$40:$AB$40,G$1171,$D446:$AB446),SUM(G1235:G1270))</f>
        <v>0</v>
      </c>
      <c r="H1271" s="299">
        <f>IF(Years="Five",SUMIF(Input!$D$40:$AB$40,H$1171,$D446:$AB446),SUM(H1235:H1270))</f>
        <v>0</v>
      </c>
      <c r="I1271" s="299">
        <f>IF(Years="Five",SUMIF(Input!$D$40:$AB$40,I$1171,$D446:$AB446),SUM(I1235:I1270))</f>
        <v>0</v>
      </c>
      <c r="J1271" s="299">
        <f>IF(Years="Five",SUMIF(Input!$D$40:$AB$40,J$1171,$D446:$AB446),SUM(J1235:J1270))</f>
        <v>0</v>
      </c>
      <c r="K1271" s="299">
        <f>IF(Years="Five",SUMIF(Input!$D$40:$AB$40,K$1171,$D446:$AB446),SUM(K1235:K1270))</f>
        <v>0</v>
      </c>
      <c r="L1271" s="299">
        <f>IF(Years="Five",SUMIF(Input!$D$40:$AB$40,L$1171,$D446:$AB446),SUM(L1235:L1270))</f>
        <v>0</v>
      </c>
      <c r="M1271" s="299">
        <f>IF(Years="Five",SUMIF(Input!$D$40:$AB$40,M$1171,$D446:$AB446),SUM(M1235:M1270))</f>
        <v>0</v>
      </c>
      <c r="N1271" s="299">
        <f>IF(Years="Five",SUMIF(Input!$D$40:$AB$40,N$1171,$D446:$AB446),SUM(N1235:N1270))</f>
        <v>0</v>
      </c>
      <c r="O1271" s="299">
        <f>IF(Years="Five",SUMIF(Input!$D$40:$AB$40,O$1171,$D446:$AB446),SUM(O1235:O1270))</f>
        <v>0</v>
      </c>
      <c r="P1271" s="299">
        <f>IF(Years="Five",SUMIF(Input!$D$40:$AB$40,P$1171,$D446:$AB446),SUM(P1235:P1270))</f>
        <v>0</v>
      </c>
      <c r="Q1271" s="299">
        <f>IF(Years="Five",SUMIF(Input!$D$40:$AB$40,Q$1171,$D446:$AB446),SUM(Q1235:Q1270))</f>
        <v>0</v>
      </c>
      <c r="R1271" s="299">
        <f>IF(Years="Five",SUMIF(Input!$D$40:$AB$40,R$1171,$D446:$AB446),SUM(R1235:R1270))</f>
        <v>0</v>
      </c>
      <c r="S1271" s="299">
        <f>IF(Years="Five",SUMIF(Input!$D$40:$AB$40,S$1171,$D446:$AB446),SUM(S1235:S1270))</f>
        <v>0</v>
      </c>
      <c r="T1271" s="299">
        <f>IF(Years="Five",SUMIF(Input!$D$40:$AB$40,T$1171,$D446:$AB446),SUM(T1235:T1270))</f>
        <v>0</v>
      </c>
      <c r="U1271" s="299">
        <f>IF(Years="Five",SUMIF(Input!$D$40:$AB$40,U$1171,$D446:$AB446),SUM(U1235:U1270))</f>
        <v>0</v>
      </c>
      <c r="V1271" s="299">
        <f>IF(Years="Five",SUMIF(Input!$D$40:$AB$40,V$1171,$D446:$AB446),SUM(V1235:V1270))</f>
        <v>0</v>
      </c>
      <c r="W1271" s="299">
        <f>IF(Years="Five",SUMIF(Input!$D$40:$AB$40,W$1171,$D446:$AB446),SUM(W1235:W1270))</f>
        <v>0</v>
      </c>
      <c r="X1271" s="299">
        <f>IF(Years="Five",SUMIF(Input!$D$40:$AB$40,X$1171,$D446:$AB446),SUM(X1235:X1270))</f>
        <v>0</v>
      </c>
      <c r="Y1271" s="299">
        <f>IF(Years="Five",SUMIF(Input!$D$40:$AB$40,Y$1171,$D446:$AB446),SUM(Y1235:Y1270))</f>
        <v>0</v>
      </c>
      <c r="Z1271" s="299">
        <f>IF(Years="Five",SUMIF(Input!$D$40:$AB$40,Z$1171,$D446:$AB446),SUM(Z1235:Z1270))</f>
        <v>0</v>
      </c>
      <c r="AA1271" s="299">
        <f>IF(Years="Five",SUMIF(Input!$D$40:$AB$40,AA$1171,$D446:$AB446),SUM(AA1235:AA1270))</f>
        <v>0</v>
      </c>
      <c r="AB1271" s="299">
        <f>IF(Years="Five",SUMIF(Input!$D$40:$AB$40,AB$1171,$D446:$AB446),SUM(AB1235:AB1270))</f>
        <v>0</v>
      </c>
    </row>
    <row r="1272" spans="3:28" x14ac:dyDescent="0.3">
      <c r="C1272" s="638">
        <f>C1209</f>
        <v>1155</v>
      </c>
      <c r="D1272" s="297">
        <f>IF(Years="Five",SUMIF(Input!$D$40:$AB$40,D$1171,$D447:$AB447),0)</f>
        <v>0</v>
      </c>
      <c r="E1272" s="229">
        <f>IF(Years="Five",SUMIF(Input!$D$40:$AB$40,E$1171,$D447:$AB447),0)</f>
        <v>0</v>
      </c>
      <c r="F1272" s="229">
        <f>IF(Years="Five",SUMIF(Input!$D$40:$AB$40,F$1171,$D447:$AB447),0)</f>
        <v>0</v>
      </c>
      <c r="G1272" s="229">
        <f>IF(Years="Five",SUMIF(Input!$D$40:$AB$40,G$1171,$D447:$AB447),0)</f>
        <v>0</v>
      </c>
      <c r="H1272" s="229">
        <f>IF(Years="Five",SUMIF(Input!$D$40:$AB$40,H$1171,$D447:$AB447),0)</f>
        <v>0</v>
      </c>
      <c r="I1272" s="229">
        <f>IF(Years="Five",SUMIF(Input!$D$40:$AB$40,I$1171,$D447:$AB447),0)</f>
        <v>0</v>
      </c>
      <c r="J1272" s="229">
        <f>IF(Years="Five",SUMIF(Input!$D$40:$AB$40,J$1171,$D447:$AB447),0)</f>
        <v>0</v>
      </c>
      <c r="K1272" s="229">
        <f>IF(Years="Five",SUMIF(Input!$D$40:$AB$40,K$1171,$D447:$AB447),0)</f>
        <v>0</v>
      </c>
      <c r="L1272" s="229">
        <f>IF(Years="Five",SUMIF(Input!$D$40:$AB$40,L$1171,$D447:$AB447),0)</f>
        <v>0</v>
      </c>
      <c r="M1272" s="229">
        <f>IF(Years="Five",SUMIF(Input!$D$40:$AB$40,M$1171,$D447:$AB447),0)</f>
        <v>0</v>
      </c>
      <c r="N1272" s="229">
        <f>IF(Years="Five",SUMIF(Input!$D$40:$AB$40,N$1171,$D447:$AB447),0)</f>
        <v>0</v>
      </c>
      <c r="O1272" s="229">
        <f>IF(Years="Five",SUMIF(Input!$D$40:$AB$40,O$1171,$D447:$AB447),0)</f>
        <v>0</v>
      </c>
      <c r="P1272" s="229">
        <f>IF(Years="Five",SUMIF(Input!$D$40:$AB$40,P$1171,$D447:$AB447),0)</f>
        <v>0</v>
      </c>
      <c r="Q1272" s="229">
        <f>IF(Years="Five",SUMIF(Input!$D$40:$AB$40,Q$1171,$D447:$AB447),0)</f>
        <v>0</v>
      </c>
      <c r="R1272" s="229">
        <f>IF(Years="Five",SUMIF(Input!$D$40:$AB$40,R$1171,$D447:$AB447),0)</f>
        <v>0</v>
      </c>
      <c r="S1272" s="229">
        <f>IF(Years="Five",SUMIF(Input!$D$40:$AB$40,S$1171,$D447:$AB447),0)</f>
        <v>0</v>
      </c>
      <c r="T1272" s="229">
        <f>IF(Years="Five",SUMIF(Input!$D$40:$AB$40,T$1171,$D447:$AB447),0)</f>
        <v>0</v>
      </c>
      <c r="U1272" s="229">
        <f>IF(Years="Five",SUMIF(Input!$D$40:$AB$40,U$1171,$D447:$AB447),0)</f>
        <v>0</v>
      </c>
      <c r="V1272" s="229">
        <f>IF(Years="Five",SUMIF(Input!$D$40:$AB$40,V$1171,$D447:$AB447),0)</f>
        <v>0</v>
      </c>
      <c r="W1272" s="229">
        <f>IF(Years="Five",SUMIF(Input!$D$40:$AB$40,W$1171,$D447:$AB447),0)</f>
        <v>0</v>
      </c>
      <c r="X1272" s="229">
        <f>IF(Years="Five",SUMIF(Input!$D$40:$AB$40,X$1171,$D447:$AB447),0)</f>
        <v>0</v>
      </c>
      <c r="Y1272" s="229">
        <f>IF(Years="Five",SUMIF(Input!$D$40:$AB$40,Y$1171,$D447:$AB447),0)</f>
        <v>0</v>
      </c>
      <c r="Z1272" s="229">
        <f>IF(Years="Five",SUMIF(Input!$D$40:$AB$40,Z$1171,$D447:$AB447),0)</f>
        <v>0</v>
      </c>
      <c r="AA1272" s="229">
        <f>IF(Years="Five",SUMIF(Input!$D$40:$AB$40,AA$1171,$D447:$AB447),0)</f>
        <v>0</v>
      </c>
      <c r="AB1272" s="298">
        <f>IF(Years="Five",SUMIF(Input!$D$40:$AB$40,AB$1171,$D447:$AB447),0)</f>
        <v>0</v>
      </c>
    </row>
    <row r="1273" spans="3:28" x14ac:dyDescent="0.3">
      <c r="C1273" s="638">
        <f>C1210</f>
        <v>1186</v>
      </c>
      <c r="D1273" s="297">
        <f>IF(Years="Five",SUMIF(Input!$D$40:$AB$40,D$1171,$D448:$AB448),0)</f>
        <v>0</v>
      </c>
      <c r="E1273" s="229">
        <f>IF(Years="Five",SUMIF(Input!$D$40:$AB$40,E$1171,$D448:$AB448),0)</f>
        <v>0</v>
      </c>
      <c r="F1273" s="229">
        <f>IF(Years="Five",SUMIF(Input!$D$40:$AB$40,F$1171,$D448:$AB448),0)</f>
        <v>0</v>
      </c>
      <c r="G1273" s="229">
        <f>IF(Years="Five",SUMIF(Input!$D$40:$AB$40,G$1171,$D448:$AB448),0)</f>
        <v>0</v>
      </c>
      <c r="H1273" s="229">
        <f>IF(Years="Five",SUMIF(Input!$D$40:$AB$40,H$1171,$D448:$AB448),0)</f>
        <v>0</v>
      </c>
      <c r="I1273" s="229">
        <f>IF(Years="Five",SUMIF(Input!$D$40:$AB$40,I$1171,$D448:$AB448),0)</f>
        <v>0</v>
      </c>
      <c r="J1273" s="229">
        <f>IF(Years="Five",SUMIF(Input!$D$40:$AB$40,J$1171,$D448:$AB448),0)</f>
        <v>0</v>
      </c>
      <c r="K1273" s="229">
        <f>IF(Years="Five",SUMIF(Input!$D$40:$AB$40,K$1171,$D448:$AB448),0)</f>
        <v>0</v>
      </c>
      <c r="L1273" s="229">
        <f>IF(Years="Five",SUMIF(Input!$D$40:$AB$40,L$1171,$D448:$AB448),0)</f>
        <v>0</v>
      </c>
      <c r="M1273" s="229">
        <f>IF(Years="Five",SUMIF(Input!$D$40:$AB$40,M$1171,$D448:$AB448),0)</f>
        <v>0</v>
      </c>
      <c r="N1273" s="229">
        <f>IF(Years="Five",SUMIF(Input!$D$40:$AB$40,N$1171,$D448:$AB448),0)</f>
        <v>0</v>
      </c>
      <c r="O1273" s="229">
        <f>IF(Years="Five",SUMIF(Input!$D$40:$AB$40,O$1171,$D448:$AB448),0)</f>
        <v>0</v>
      </c>
      <c r="P1273" s="229">
        <f>IF(Years="Five",SUMIF(Input!$D$40:$AB$40,P$1171,$D448:$AB448),0)</f>
        <v>0</v>
      </c>
      <c r="Q1273" s="229">
        <f>IF(Years="Five",SUMIF(Input!$D$40:$AB$40,Q$1171,$D448:$AB448),0)</f>
        <v>0</v>
      </c>
      <c r="R1273" s="229">
        <f>IF(Years="Five",SUMIF(Input!$D$40:$AB$40,R$1171,$D448:$AB448),0)</f>
        <v>0</v>
      </c>
      <c r="S1273" s="229">
        <f>IF(Years="Five",SUMIF(Input!$D$40:$AB$40,S$1171,$D448:$AB448),0)</f>
        <v>0</v>
      </c>
      <c r="T1273" s="229">
        <f>IF(Years="Five",SUMIF(Input!$D$40:$AB$40,T$1171,$D448:$AB448),0)</f>
        <v>0</v>
      </c>
      <c r="U1273" s="229">
        <f>IF(Years="Five",SUMIF(Input!$D$40:$AB$40,U$1171,$D448:$AB448),0)</f>
        <v>0</v>
      </c>
      <c r="V1273" s="229">
        <f>IF(Years="Five",SUMIF(Input!$D$40:$AB$40,V$1171,$D448:$AB448),0)</f>
        <v>0</v>
      </c>
      <c r="W1273" s="229">
        <f>IF(Years="Five",SUMIF(Input!$D$40:$AB$40,W$1171,$D448:$AB448),0)</f>
        <v>0</v>
      </c>
      <c r="X1273" s="229">
        <f>IF(Years="Five",SUMIF(Input!$D$40:$AB$40,X$1171,$D448:$AB448),0)</f>
        <v>0</v>
      </c>
      <c r="Y1273" s="229">
        <f>IF(Years="Five",SUMIF(Input!$D$40:$AB$40,Y$1171,$D448:$AB448),0)</f>
        <v>0</v>
      </c>
      <c r="Z1273" s="229">
        <f>IF(Years="Five",SUMIF(Input!$D$40:$AB$40,Z$1171,$D448:$AB448),0)</f>
        <v>0</v>
      </c>
      <c r="AA1273" s="229">
        <f>IF(Years="Five",SUMIF(Input!$D$40:$AB$40,AA$1171,$D448:$AB448),0)</f>
        <v>0</v>
      </c>
      <c r="AB1273" s="298">
        <f>IF(Years="Five",SUMIF(Input!$D$40:$AB$40,AB$1171,$D448:$AB448),0)</f>
        <v>0</v>
      </c>
    </row>
    <row r="1274" spans="3:28" x14ac:dyDescent="0.3">
      <c r="C1274" s="638">
        <f>C1211</f>
        <v>1216</v>
      </c>
      <c r="D1274" s="297">
        <f>IF(Years="Five",SUMIF(Input!$D$40:$AB$40,D$1171,$D449:$AB449),0)</f>
        <v>0</v>
      </c>
      <c r="E1274" s="229">
        <f>IF(Years="Five",SUMIF(Input!$D$40:$AB$40,E$1171,$D449:$AB449),0)</f>
        <v>0</v>
      </c>
      <c r="F1274" s="229">
        <f>IF(Years="Five",SUMIF(Input!$D$40:$AB$40,F$1171,$D449:$AB449),0)</f>
        <v>0</v>
      </c>
      <c r="G1274" s="229">
        <f>IF(Years="Five",SUMIF(Input!$D$40:$AB$40,G$1171,$D449:$AB449),0)</f>
        <v>0</v>
      </c>
      <c r="H1274" s="229">
        <f>IF(Years="Five",SUMIF(Input!$D$40:$AB$40,H$1171,$D449:$AB449),0)</f>
        <v>0</v>
      </c>
      <c r="I1274" s="229">
        <f>IF(Years="Five",SUMIF(Input!$D$40:$AB$40,I$1171,$D449:$AB449),0)</f>
        <v>0</v>
      </c>
      <c r="J1274" s="229">
        <f>IF(Years="Five",SUMIF(Input!$D$40:$AB$40,J$1171,$D449:$AB449),0)</f>
        <v>0</v>
      </c>
      <c r="K1274" s="229">
        <f>IF(Years="Five",SUMIF(Input!$D$40:$AB$40,K$1171,$D449:$AB449),0)</f>
        <v>0</v>
      </c>
      <c r="L1274" s="229">
        <f>IF(Years="Five",SUMIF(Input!$D$40:$AB$40,L$1171,$D449:$AB449),0)</f>
        <v>0</v>
      </c>
      <c r="M1274" s="229">
        <f>IF(Years="Five",SUMIF(Input!$D$40:$AB$40,M$1171,$D449:$AB449),0)</f>
        <v>0</v>
      </c>
      <c r="N1274" s="229">
        <f>IF(Years="Five",SUMIF(Input!$D$40:$AB$40,N$1171,$D449:$AB449),0)</f>
        <v>0</v>
      </c>
      <c r="O1274" s="229">
        <f>IF(Years="Five",SUMIF(Input!$D$40:$AB$40,O$1171,$D449:$AB449),0)</f>
        <v>0</v>
      </c>
      <c r="P1274" s="229">
        <f>IF(Years="Five",SUMIF(Input!$D$40:$AB$40,P$1171,$D449:$AB449),0)</f>
        <v>0</v>
      </c>
      <c r="Q1274" s="229">
        <f>IF(Years="Five",SUMIF(Input!$D$40:$AB$40,Q$1171,$D449:$AB449),0)</f>
        <v>0</v>
      </c>
      <c r="R1274" s="229">
        <f>IF(Years="Five",SUMIF(Input!$D$40:$AB$40,R$1171,$D449:$AB449),0)</f>
        <v>0</v>
      </c>
      <c r="S1274" s="229">
        <f>IF(Years="Five",SUMIF(Input!$D$40:$AB$40,S$1171,$D449:$AB449),0)</f>
        <v>0</v>
      </c>
      <c r="T1274" s="229">
        <f>IF(Years="Five",SUMIF(Input!$D$40:$AB$40,T$1171,$D449:$AB449),0)</f>
        <v>0</v>
      </c>
      <c r="U1274" s="229">
        <f>IF(Years="Five",SUMIF(Input!$D$40:$AB$40,U$1171,$D449:$AB449),0)</f>
        <v>0</v>
      </c>
      <c r="V1274" s="229">
        <f>IF(Years="Five",SUMIF(Input!$D$40:$AB$40,V$1171,$D449:$AB449),0)</f>
        <v>0</v>
      </c>
      <c r="W1274" s="229">
        <f>IF(Years="Five",SUMIF(Input!$D$40:$AB$40,W$1171,$D449:$AB449),0)</f>
        <v>0</v>
      </c>
      <c r="X1274" s="229">
        <f>IF(Years="Five",SUMIF(Input!$D$40:$AB$40,X$1171,$D449:$AB449),0)</f>
        <v>0</v>
      </c>
      <c r="Y1274" s="229">
        <f>IF(Years="Five",SUMIF(Input!$D$40:$AB$40,Y$1171,$D449:$AB449),0)</f>
        <v>0</v>
      </c>
      <c r="Z1274" s="229">
        <f>IF(Years="Five",SUMIF(Input!$D$40:$AB$40,Z$1171,$D449:$AB449),0)</f>
        <v>0</v>
      </c>
      <c r="AA1274" s="229">
        <f>IF(Years="Five",SUMIF(Input!$D$40:$AB$40,AA$1171,$D449:$AB449),0)</f>
        <v>0</v>
      </c>
      <c r="AB1274" s="298">
        <f>IF(Years="Five",SUMIF(Input!$D$40:$AB$40,AB$1171,$D449:$AB449),0)</f>
        <v>0</v>
      </c>
    </row>
    <row r="1275" spans="3:28" x14ac:dyDescent="0.3">
      <c r="C1275" s="638">
        <f>C1212</f>
        <v>1247</v>
      </c>
      <c r="D1275" s="297">
        <f>IF(Years="Five",SUMIF(Input!$D$40:$AB$40,D$1171,$D450:$AB450),0)</f>
        <v>0</v>
      </c>
      <c r="E1275" s="229">
        <f>IF(Years="Five",SUMIF(Input!$D$40:$AB$40,E$1171,$D450:$AB450),0)</f>
        <v>0</v>
      </c>
      <c r="F1275" s="229">
        <f>IF(Years="Five",SUMIF(Input!$D$40:$AB$40,F$1171,$D450:$AB450),0)</f>
        <v>0</v>
      </c>
      <c r="G1275" s="229">
        <f>IF(Years="Five",SUMIF(Input!$D$40:$AB$40,G$1171,$D450:$AB450),0)</f>
        <v>0</v>
      </c>
      <c r="H1275" s="229">
        <f>IF(Years="Five",SUMIF(Input!$D$40:$AB$40,H$1171,$D450:$AB450),0)</f>
        <v>0</v>
      </c>
      <c r="I1275" s="229">
        <f>IF(Years="Five",SUMIF(Input!$D$40:$AB$40,I$1171,$D450:$AB450),0)</f>
        <v>0</v>
      </c>
      <c r="J1275" s="229">
        <f>IF(Years="Five",SUMIF(Input!$D$40:$AB$40,J$1171,$D450:$AB450),0)</f>
        <v>0</v>
      </c>
      <c r="K1275" s="229">
        <f>IF(Years="Five",SUMIF(Input!$D$40:$AB$40,K$1171,$D450:$AB450),0)</f>
        <v>0</v>
      </c>
      <c r="L1275" s="229">
        <f>IF(Years="Five",SUMIF(Input!$D$40:$AB$40,L$1171,$D450:$AB450),0)</f>
        <v>0</v>
      </c>
      <c r="M1275" s="229">
        <f>IF(Years="Five",SUMIF(Input!$D$40:$AB$40,M$1171,$D450:$AB450),0)</f>
        <v>0</v>
      </c>
      <c r="N1275" s="229">
        <f>IF(Years="Five",SUMIF(Input!$D$40:$AB$40,N$1171,$D450:$AB450),0)</f>
        <v>0</v>
      </c>
      <c r="O1275" s="229">
        <f>IF(Years="Five",SUMIF(Input!$D$40:$AB$40,O$1171,$D450:$AB450),0)</f>
        <v>0</v>
      </c>
      <c r="P1275" s="229">
        <f>IF(Years="Five",SUMIF(Input!$D$40:$AB$40,P$1171,$D450:$AB450),0)</f>
        <v>0</v>
      </c>
      <c r="Q1275" s="229">
        <f>IF(Years="Five",SUMIF(Input!$D$40:$AB$40,Q$1171,$D450:$AB450),0)</f>
        <v>0</v>
      </c>
      <c r="R1275" s="229">
        <f>IF(Years="Five",SUMIF(Input!$D$40:$AB$40,R$1171,$D450:$AB450),0)</f>
        <v>0</v>
      </c>
      <c r="S1275" s="229">
        <f>IF(Years="Five",SUMIF(Input!$D$40:$AB$40,S$1171,$D450:$AB450),0)</f>
        <v>0</v>
      </c>
      <c r="T1275" s="229">
        <f>IF(Years="Five",SUMIF(Input!$D$40:$AB$40,T$1171,$D450:$AB450),0)</f>
        <v>0</v>
      </c>
      <c r="U1275" s="229">
        <f>IF(Years="Five",SUMIF(Input!$D$40:$AB$40,U$1171,$D450:$AB450),0)</f>
        <v>0</v>
      </c>
      <c r="V1275" s="229">
        <f>IF(Years="Five",SUMIF(Input!$D$40:$AB$40,V$1171,$D450:$AB450),0)</f>
        <v>0</v>
      </c>
      <c r="W1275" s="229">
        <f>IF(Years="Five",SUMIF(Input!$D$40:$AB$40,W$1171,$D450:$AB450),0)</f>
        <v>0</v>
      </c>
      <c r="X1275" s="229">
        <f>IF(Years="Five",SUMIF(Input!$D$40:$AB$40,X$1171,$D450:$AB450),0)</f>
        <v>0</v>
      </c>
      <c r="Y1275" s="229">
        <f>IF(Years="Five",SUMIF(Input!$D$40:$AB$40,Y$1171,$D450:$AB450),0)</f>
        <v>0</v>
      </c>
      <c r="Z1275" s="229">
        <f>IF(Years="Five",SUMIF(Input!$D$40:$AB$40,Z$1171,$D450:$AB450),0)</f>
        <v>0</v>
      </c>
      <c r="AA1275" s="229">
        <f>IF(Years="Five",SUMIF(Input!$D$40:$AB$40,AA$1171,$D450:$AB450),0)</f>
        <v>0</v>
      </c>
      <c r="AB1275" s="298">
        <f>IF(Years="Five",SUMIF(Input!$D$40:$AB$40,AB$1171,$D450:$AB450),0)</f>
        <v>0</v>
      </c>
    </row>
    <row r="1276" spans="3:28" x14ac:dyDescent="0.3">
      <c r="C1276" s="638">
        <f>C1213</f>
        <v>1277</v>
      </c>
      <c r="D1276" s="297">
        <f>IF(Years="Five",SUMIF(Input!$D$40:$AB$40,D$1171,$D451:$AB451),0)</f>
        <v>0</v>
      </c>
      <c r="E1276" s="229">
        <f>IF(Years="Five",SUMIF(Input!$D$40:$AB$40,E$1171,$D451:$AB451),0)</f>
        <v>0</v>
      </c>
      <c r="F1276" s="229">
        <f>IF(Years="Five",SUMIF(Input!$D$40:$AB$40,F$1171,$D451:$AB451),0)</f>
        <v>0</v>
      </c>
      <c r="G1276" s="229">
        <f>IF(Years="Five",SUMIF(Input!$D$40:$AB$40,G$1171,$D451:$AB451),0)</f>
        <v>0</v>
      </c>
      <c r="H1276" s="229">
        <f>IF(Years="Five",SUMIF(Input!$D$40:$AB$40,H$1171,$D451:$AB451),0)</f>
        <v>0</v>
      </c>
      <c r="I1276" s="229">
        <f>IF(Years="Five",SUMIF(Input!$D$40:$AB$40,I$1171,$D451:$AB451),0)</f>
        <v>0</v>
      </c>
      <c r="J1276" s="229">
        <f>IF(Years="Five",SUMIF(Input!$D$40:$AB$40,J$1171,$D451:$AB451),0)</f>
        <v>0</v>
      </c>
      <c r="K1276" s="229">
        <f>IF(Years="Five",SUMIF(Input!$D$40:$AB$40,K$1171,$D451:$AB451),0)</f>
        <v>0</v>
      </c>
      <c r="L1276" s="229">
        <f>IF(Years="Five",SUMIF(Input!$D$40:$AB$40,L$1171,$D451:$AB451),0)</f>
        <v>0</v>
      </c>
      <c r="M1276" s="229">
        <f>IF(Years="Five",SUMIF(Input!$D$40:$AB$40,M$1171,$D451:$AB451),0)</f>
        <v>0</v>
      </c>
      <c r="N1276" s="229">
        <f>IF(Years="Five",SUMIF(Input!$D$40:$AB$40,N$1171,$D451:$AB451),0)</f>
        <v>0</v>
      </c>
      <c r="O1276" s="229">
        <f>IF(Years="Five",SUMIF(Input!$D$40:$AB$40,O$1171,$D451:$AB451),0)</f>
        <v>0</v>
      </c>
      <c r="P1276" s="229">
        <f>IF(Years="Five",SUMIF(Input!$D$40:$AB$40,P$1171,$D451:$AB451),0)</f>
        <v>0</v>
      </c>
      <c r="Q1276" s="229">
        <f>IF(Years="Five",SUMIF(Input!$D$40:$AB$40,Q$1171,$D451:$AB451),0)</f>
        <v>0</v>
      </c>
      <c r="R1276" s="229">
        <f>IF(Years="Five",SUMIF(Input!$D$40:$AB$40,R$1171,$D451:$AB451),0)</f>
        <v>0</v>
      </c>
      <c r="S1276" s="229">
        <f>IF(Years="Five",SUMIF(Input!$D$40:$AB$40,S$1171,$D451:$AB451),0)</f>
        <v>0</v>
      </c>
      <c r="T1276" s="229">
        <f>IF(Years="Five",SUMIF(Input!$D$40:$AB$40,T$1171,$D451:$AB451),0)</f>
        <v>0</v>
      </c>
      <c r="U1276" s="229">
        <f>IF(Years="Five",SUMIF(Input!$D$40:$AB$40,U$1171,$D451:$AB451),0)</f>
        <v>0</v>
      </c>
      <c r="V1276" s="229">
        <f>IF(Years="Five",SUMIF(Input!$D$40:$AB$40,V$1171,$D451:$AB451),0)</f>
        <v>0</v>
      </c>
      <c r="W1276" s="229">
        <f>IF(Years="Five",SUMIF(Input!$D$40:$AB$40,W$1171,$D451:$AB451),0)</f>
        <v>0</v>
      </c>
      <c r="X1276" s="229">
        <f>IF(Years="Five",SUMIF(Input!$D$40:$AB$40,X$1171,$D451:$AB451),0)</f>
        <v>0</v>
      </c>
      <c r="Y1276" s="229">
        <f>IF(Years="Five",SUMIF(Input!$D$40:$AB$40,Y$1171,$D451:$AB451),0)</f>
        <v>0</v>
      </c>
      <c r="Z1276" s="229">
        <f>IF(Years="Five",SUMIF(Input!$D$40:$AB$40,Z$1171,$D451:$AB451),0)</f>
        <v>0</v>
      </c>
      <c r="AA1276" s="229">
        <f>IF(Years="Five",SUMIF(Input!$D$40:$AB$40,AA$1171,$D451:$AB451),0)</f>
        <v>0</v>
      </c>
      <c r="AB1276" s="298">
        <f>IF(Years="Five",SUMIF(Input!$D$40:$AB$40,AB$1171,$D451:$AB451),0)</f>
        <v>0</v>
      </c>
    </row>
    <row r="1277" spans="3:28" x14ac:dyDescent="0.3">
      <c r="C1277" s="638">
        <f>C1214</f>
        <v>1308</v>
      </c>
      <c r="D1277" s="297">
        <f>IF(Years="Five",SUMIF(Input!$D$40:$AB$40,D$1171,$D452:$AB452),0)</f>
        <v>0</v>
      </c>
      <c r="E1277" s="229">
        <f>IF(Years="Five",SUMIF(Input!$D$40:$AB$40,E$1171,$D452:$AB452),0)</f>
        <v>0</v>
      </c>
      <c r="F1277" s="229">
        <f>IF(Years="Five",SUMIF(Input!$D$40:$AB$40,F$1171,$D452:$AB452),0)</f>
        <v>0</v>
      </c>
      <c r="G1277" s="229">
        <f>IF(Years="Five",SUMIF(Input!$D$40:$AB$40,G$1171,$D452:$AB452),0)</f>
        <v>0</v>
      </c>
      <c r="H1277" s="229">
        <f>IF(Years="Five",SUMIF(Input!$D$40:$AB$40,H$1171,$D452:$AB452),0)</f>
        <v>0</v>
      </c>
      <c r="I1277" s="229">
        <f>IF(Years="Five",SUMIF(Input!$D$40:$AB$40,I$1171,$D452:$AB452),0)</f>
        <v>0</v>
      </c>
      <c r="J1277" s="229">
        <f>IF(Years="Five",SUMIF(Input!$D$40:$AB$40,J$1171,$D452:$AB452),0)</f>
        <v>0</v>
      </c>
      <c r="K1277" s="229">
        <f>IF(Years="Five",SUMIF(Input!$D$40:$AB$40,K$1171,$D452:$AB452),0)</f>
        <v>0</v>
      </c>
      <c r="L1277" s="229">
        <f>IF(Years="Five",SUMIF(Input!$D$40:$AB$40,L$1171,$D452:$AB452),0)</f>
        <v>0</v>
      </c>
      <c r="M1277" s="229">
        <f>IF(Years="Five",SUMIF(Input!$D$40:$AB$40,M$1171,$D452:$AB452),0)</f>
        <v>0</v>
      </c>
      <c r="N1277" s="229">
        <f>IF(Years="Five",SUMIF(Input!$D$40:$AB$40,N$1171,$D452:$AB452),0)</f>
        <v>0</v>
      </c>
      <c r="O1277" s="229">
        <f>IF(Years="Five",SUMIF(Input!$D$40:$AB$40,O$1171,$D452:$AB452),0)</f>
        <v>0</v>
      </c>
      <c r="P1277" s="229">
        <f>IF(Years="Five",SUMIF(Input!$D$40:$AB$40,P$1171,$D452:$AB452),0)</f>
        <v>0</v>
      </c>
      <c r="Q1277" s="229">
        <f>IF(Years="Five",SUMIF(Input!$D$40:$AB$40,Q$1171,$D452:$AB452),0)</f>
        <v>0</v>
      </c>
      <c r="R1277" s="229">
        <f>IF(Years="Five",SUMIF(Input!$D$40:$AB$40,R$1171,$D452:$AB452),0)</f>
        <v>0</v>
      </c>
      <c r="S1277" s="229">
        <f>IF(Years="Five",SUMIF(Input!$D$40:$AB$40,S$1171,$D452:$AB452),0)</f>
        <v>0</v>
      </c>
      <c r="T1277" s="229">
        <f>IF(Years="Five",SUMIF(Input!$D$40:$AB$40,T$1171,$D452:$AB452),0)</f>
        <v>0</v>
      </c>
      <c r="U1277" s="229">
        <f>IF(Years="Five",SUMIF(Input!$D$40:$AB$40,U$1171,$D452:$AB452),0)</f>
        <v>0</v>
      </c>
      <c r="V1277" s="229">
        <f>IF(Years="Five",SUMIF(Input!$D$40:$AB$40,V$1171,$D452:$AB452),0)</f>
        <v>0</v>
      </c>
      <c r="W1277" s="229">
        <f>IF(Years="Five",SUMIF(Input!$D$40:$AB$40,W$1171,$D452:$AB452),0)</f>
        <v>0</v>
      </c>
      <c r="X1277" s="229">
        <f>IF(Years="Five",SUMIF(Input!$D$40:$AB$40,X$1171,$D452:$AB452),0)</f>
        <v>0</v>
      </c>
      <c r="Y1277" s="229">
        <f>IF(Years="Five",SUMIF(Input!$D$40:$AB$40,Y$1171,$D452:$AB452),0)</f>
        <v>0</v>
      </c>
      <c r="Z1277" s="229">
        <f>IF(Years="Five",SUMIF(Input!$D$40:$AB$40,Z$1171,$D452:$AB452),0)</f>
        <v>0</v>
      </c>
      <c r="AA1277" s="229">
        <f>IF(Years="Five",SUMIF(Input!$D$40:$AB$40,AA$1171,$D452:$AB452),0)</f>
        <v>0</v>
      </c>
      <c r="AB1277" s="298">
        <f>IF(Years="Five",SUMIF(Input!$D$40:$AB$40,AB$1171,$D452:$AB452),0)</f>
        <v>0</v>
      </c>
    </row>
    <row r="1278" spans="3:28" x14ac:dyDescent="0.3">
      <c r="C1278" s="638">
        <f>C1215</f>
        <v>1339</v>
      </c>
      <c r="D1278" s="297">
        <f>IF(Years="Five",SUMIF(Input!$D$40:$AB$40,D$1171,$D453:$AB453),0)</f>
        <v>0</v>
      </c>
      <c r="E1278" s="229">
        <f>IF(Years="Five",SUMIF(Input!$D$40:$AB$40,E$1171,$D453:$AB453),0)</f>
        <v>0</v>
      </c>
      <c r="F1278" s="229">
        <f>IF(Years="Five",SUMIF(Input!$D$40:$AB$40,F$1171,$D453:$AB453),0)</f>
        <v>0</v>
      </c>
      <c r="G1278" s="229">
        <f>IF(Years="Five",SUMIF(Input!$D$40:$AB$40,G$1171,$D453:$AB453),0)</f>
        <v>0</v>
      </c>
      <c r="H1278" s="229">
        <f>IF(Years="Five",SUMIF(Input!$D$40:$AB$40,H$1171,$D453:$AB453),0)</f>
        <v>0</v>
      </c>
      <c r="I1278" s="229">
        <f>IF(Years="Five",SUMIF(Input!$D$40:$AB$40,I$1171,$D453:$AB453),0)</f>
        <v>0</v>
      </c>
      <c r="J1278" s="229">
        <f>IF(Years="Five",SUMIF(Input!$D$40:$AB$40,J$1171,$D453:$AB453),0)</f>
        <v>0</v>
      </c>
      <c r="K1278" s="229">
        <f>IF(Years="Five",SUMIF(Input!$D$40:$AB$40,K$1171,$D453:$AB453),0)</f>
        <v>0</v>
      </c>
      <c r="L1278" s="229">
        <f>IF(Years="Five",SUMIF(Input!$D$40:$AB$40,L$1171,$D453:$AB453),0)</f>
        <v>0</v>
      </c>
      <c r="M1278" s="229">
        <f>IF(Years="Five",SUMIF(Input!$D$40:$AB$40,M$1171,$D453:$AB453),0)</f>
        <v>0</v>
      </c>
      <c r="N1278" s="229">
        <f>IF(Years="Five",SUMIF(Input!$D$40:$AB$40,N$1171,$D453:$AB453),0)</f>
        <v>0</v>
      </c>
      <c r="O1278" s="229">
        <f>IF(Years="Five",SUMIF(Input!$D$40:$AB$40,O$1171,$D453:$AB453),0)</f>
        <v>0</v>
      </c>
      <c r="P1278" s="229">
        <f>IF(Years="Five",SUMIF(Input!$D$40:$AB$40,P$1171,$D453:$AB453),0)</f>
        <v>0</v>
      </c>
      <c r="Q1278" s="229">
        <f>IF(Years="Five",SUMIF(Input!$D$40:$AB$40,Q$1171,$D453:$AB453),0)</f>
        <v>0</v>
      </c>
      <c r="R1278" s="229">
        <f>IF(Years="Five",SUMIF(Input!$D$40:$AB$40,R$1171,$D453:$AB453),0)</f>
        <v>0</v>
      </c>
      <c r="S1278" s="229">
        <f>IF(Years="Five",SUMIF(Input!$D$40:$AB$40,S$1171,$D453:$AB453),0)</f>
        <v>0</v>
      </c>
      <c r="T1278" s="229">
        <f>IF(Years="Five",SUMIF(Input!$D$40:$AB$40,T$1171,$D453:$AB453),0)</f>
        <v>0</v>
      </c>
      <c r="U1278" s="229">
        <f>IF(Years="Five",SUMIF(Input!$D$40:$AB$40,U$1171,$D453:$AB453),0)</f>
        <v>0</v>
      </c>
      <c r="V1278" s="229">
        <f>IF(Years="Five",SUMIF(Input!$D$40:$AB$40,V$1171,$D453:$AB453),0)</f>
        <v>0</v>
      </c>
      <c r="W1278" s="229">
        <f>IF(Years="Five",SUMIF(Input!$D$40:$AB$40,W$1171,$D453:$AB453),0)</f>
        <v>0</v>
      </c>
      <c r="X1278" s="229">
        <f>IF(Years="Five",SUMIF(Input!$D$40:$AB$40,X$1171,$D453:$AB453),0)</f>
        <v>0</v>
      </c>
      <c r="Y1278" s="229">
        <f>IF(Years="Five",SUMIF(Input!$D$40:$AB$40,Y$1171,$D453:$AB453),0)</f>
        <v>0</v>
      </c>
      <c r="Z1278" s="229">
        <f>IF(Years="Five",SUMIF(Input!$D$40:$AB$40,Z$1171,$D453:$AB453),0)</f>
        <v>0</v>
      </c>
      <c r="AA1278" s="229">
        <f>IF(Years="Five",SUMIF(Input!$D$40:$AB$40,AA$1171,$D453:$AB453),0)</f>
        <v>0</v>
      </c>
      <c r="AB1278" s="298">
        <f>IF(Years="Five",SUMIF(Input!$D$40:$AB$40,AB$1171,$D453:$AB453),0)</f>
        <v>0</v>
      </c>
    </row>
    <row r="1279" spans="3:28" x14ac:dyDescent="0.3">
      <c r="C1279" s="638">
        <f>C1216</f>
        <v>1369</v>
      </c>
      <c r="D1279" s="297">
        <f>IF(Years="Five",SUMIF(Input!$D$40:$AB$40,D$1171,$D454:$AB454),0)</f>
        <v>0</v>
      </c>
      <c r="E1279" s="229">
        <f>IF(Years="Five",SUMIF(Input!$D$40:$AB$40,E$1171,$D454:$AB454),0)</f>
        <v>0</v>
      </c>
      <c r="F1279" s="229">
        <f>IF(Years="Five",SUMIF(Input!$D$40:$AB$40,F$1171,$D454:$AB454),0)</f>
        <v>0</v>
      </c>
      <c r="G1279" s="229">
        <f>IF(Years="Five",SUMIF(Input!$D$40:$AB$40,G$1171,$D454:$AB454),0)</f>
        <v>0</v>
      </c>
      <c r="H1279" s="229">
        <f>IF(Years="Five",SUMIF(Input!$D$40:$AB$40,H$1171,$D454:$AB454),0)</f>
        <v>0</v>
      </c>
      <c r="I1279" s="229">
        <f>IF(Years="Five",SUMIF(Input!$D$40:$AB$40,I$1171,$D454:$AB454),0)</f>
        <v>0</v>
      </c>
      <c r="J1279" s="229">
        <f>IF(Years="Five",SUMIF(Input!$D$40:$AB$40,J$1171,$D454:$AB454),0)</f>
        <v>0</v>
      </c>
      <c r="K1279" s="229">
        <f>IF(Years="Five",SUMIF(Input!$D$40:$AB$40,K$1171,$D454:$AB454),0)</f>
        <v>0</v>
      </c>
      <c r="L1279" s="229">
        <f>IF(Years="Five",SUMIF(Input!$D$40:$AB$40,L$1171,$D454:$AB454),0)</f>
        <v>0</v>
      </c>
      <c r="M1279" s="229">
        <f>IF(Years="Five",SUMIF(Input!$D$40:$AB$40,M$1171,$D454:$AB454),0)</f>
        <v>0</v>
      </c>
      <c r="N1279" s="229">
        <f>IF(Years="Five",SUMIF(Input!$D$40:$AB$40,N$1171,$D454:$AB454),0)</f>
        <v>0</v>
      </c>
      <c r="O1279" s="229">
        <f>IF(Years="Five",SUMIF(Input!$D$40:$AB$40,O$1171,$D454:$AB454),0)</f>
        <v>0</v>
      </c>
      <c r="P1279" s="229">
        <f>IF(Years="Five",SUMIF(Input!$D$40:$AB$40,P$1171,$D454:$AB454),0)</f>
        <v>0</v>
      </c>
      <c r="Q1279" s="229">
        <f>IF(Years="Five",SUMIF(Input!$D$40:$AB$40,Q$1171,$D454:$AB454),0)</f>
        <v>0</v>
      </c>
      <c r="R1279" s="229">
        <f>IF(Years="Five",SUMIF(Input!$D$40:$AB$40,R$1171,$D454:$AB454),0)</f>
        <v>0</v>
      </c>
      <c r="S1279" s="229">
        <f>IF(Years="Five",SUMIF(Input!$D$40:$AB$40,S$1171,$D454:$AB454),0)</f>
        <v>0</v>
      </c>
      <c r="T1279" s="229">
        <f>IF(Years="Five",SUMIF(Input!$D$40:$AB$40,T$1171,$D454:$AB454),0)</f>
        <v>0</v>
      </c>
      <c r="U1279" s="229">
        <f>IF(Years="Five",SUMIF(Input!$D$40:$AB$40,U$1171,$D454:$AB454),0)</f>
        <v>0</v>
      </c>
      <c r="V1279" s="229">
        <f>IF(Years="Five",SUMIF(Input!$D$40:$AB$40,V$1171,$D454:$AB454),0)</f>
        <v>0</v>
      </c>
      <c r="W1279" s="229">
        <f>IF(Years="Five",SUMIF(Input!$D$40:$AB$40,W$1171,$D454:$AB454),0)</f>
        <v>0</v>
      </c>
      <c r="X1279" s="229">
        <f>IF(Years="Five",SUMIF(Input!$D$40:$AB$40,X$1171,$D454:$AB454),0)</f>
        <v>0</v>
      </c>
      <c r="Y1279" s="229">
        <f>IF(Years="Five",SUMIF(Input!$D$40:$AB$40,Y$1171,$D454:$AB454),0)</f>
        <v>0</v>
      </c>
      <c r="Z1279" s="229">
        <f>IF(Years="Five",SUMIF(Input!$D$40:$AB$40,Z$1171,$D454:$AB454),0)</f>
        <v>0</v>
      </c>
      <c r="AA1279" s="229">
        <f>IF(Years="Five",SUMIF(Input!$D$40:$AB$40,AA$1171,$D454:$AB454),0)</f>
        <v>0</v>
      </c>
      <c r="AB1279" s="298">
        <f>IF(Years="Five",SUMIF(Input!$D$40:$AB$40,AB$1171,$D454:$AB454),0)</f>
        <v>0</v>
      </c>
    </row>
    <row r="1280" spans="3:28" x14ac:dyDescent="0.3">
      <c r="C1280" s="638">
        <f>C1217</f>
        <v>1400</v>
      </c>
      <c r="D1280" s="297">
        <f>IF(Years="Five",SUMIF(Input!$D$40:$AB$40,D$1171,$D455:$AB455),0)</f>
        <v>0</v>
      </c>
      <c r="E1280" s="229">
        <f>IF(Years="Five",SUMIF(Input!$D$40:$AB$40,E$1171,$D455:$AB455),0)</f>
        <v>0</v>
      </c>
      <c r="F1280" s="229">
        <f>IF(Years="Five",SUMIF(Input!$D$40:$AB$40,F$1171,$D455:$AB455),0)</f>
        <v>0</v>
      </c>
      <c r="G1280" s="229">
        <f>IF(Years="Five",SUMIF(Input!$D$40:$AB$40,G$1171,$D455:$AB455),0)</f>
        <v>0</v>
      </c>
      <c r="H1280" s="229">
        <f>IF(Years="Five",SUMIF(Input!$D$40:$AB$40,H$1171,$D455:$AB455),0)</f>
        <v>0</v>
      </c>
      <c r="I1280" s="229">
        <f>IF(Years="Five",SUMIF(Input!$D$40:$AB$40,I$1171,$D455:$AB455),0)</f>
        <v>0</v>
      </c>
      <c r="J1280" s="229">
        <f>IF(Years="Five",SUMIF(Input!$D$40:$AB$40,J$1171,$D455:$AB455),0)</f>
        <v>0</v>
      </c>
      <c r="K1280" s="229">
        <f>IF(Years="Five",SUMIF(Input!$D$40:$AB$40,K$1171,$D455:$AB455),0)</f>
        <v>0</v>
      </c>
      <c r="L1280" s="229">
        <f>IF(Years="Five",SUMIF(Input!$D$40:$AB$40,L$1171,$D455:$AB455),0)</f>
        <v>0</v>
      </c>
      <c r="M1280" s="229">
        <f>IF(Years="Five",SUMIF(Input!$D$40:$AB$40,M$1171,$D455:$AB455),0)</f>
        <v>0</v>
      </c>
      <c r="N1280" s="229">
        <f>IF(Years="Five",SUMIF(Input!$D$40:$AB$40,N$1171,$D455:$AB455),0)</f>
        <v>0</v>
      </c>
      <c r="O1280" s="229">
        <f>IF(Years="Five",SUMIF(Input!$D$40:$AB$40,O$1171,$D455:$AB455),0)</f>
        <v>0</v>
      </c>
      <c r="P1280" s="229">
        <f>IF(Years="Five",SUMIF(Input!$D$40:$AB$40,P$1171,$D455:$AB455),0)</f>
        <v>0</v>
      </c>
      <c r="Q1280" s="229">
        <f>IF(Years="Five",SUMIF(Input!$D$40:$AB$40,Q$1171,$D455:$AB455),0)</f>
        <v>0</v>
      </c>
      <c r="R1280" s="229">
        <f>IF(Years="Five",SUMIF(Input!$D$40:$AB$40,R$1171,$D455:$AB455),0)</f>
        <v>0</v>
      </c>
      <c r="S1280" s="229">
        <f>IF(Years="Five",SUMIF(Input!$D$40:$AB$40,S$1171,$D455:$AB455),0)</f>
        <v>0</v>
      </c>
      <c r="T1280" s="229">
        <f>IF(Years="Five",SUMIF(Input!$D$40:$AB$40,T$1171,$D455:$AB455),0)</f>
        <v>0</v>
      </c>
      <c r="U1280" s="229">
        <f>IF(Years="Five",SUMIF(Input!$D$40:$AB$40,U$1171,$D455:$AB455),0)</f>
        <v>0</v>
      </c>
      <c r="V1280" s="229">
        <f>IF(Years="Five",SUMIF(Input!$D$40:$AB$40,V$1171,$D455:$AB455),0)</f>
        <v>0</v>
      </c>
      <c r="W1280" s="229">
        <f>IF(Years="Five",SUMIF(Input!$D$40:$AB$40,W$1171,$D455:$AB455),0)</f>
        <v>0</v>
      </c>
      <c r="X1280" s="229">
        <f>IF(Years="Five",SUMIF(Input!$D$40:$AB$40,X$1171,$D455:$AB455),0)</f>
        <v>0</v>
      </c>
      <c r="Y1280" s="229">
        <f>IF(Years="Five",SUMIF(Input!$D$40:$AB$40,Y$1171,$D455:$AB455),0)</f>
        <v>0</v>
      </c>
      <c r="Z1280" s="229">
        <f>IF(Years="Five",SUMIF(Input!$D$40:$AB$40,Z$1171,$D455:$AB455),0)</f>
        <v>0</v>
      </c>
      <c r="AA1280" s="229">
        <f>IF(Years="Five",SUMIF(Input!$D$40:$AB$40,AA$1171,$D455:$AB455),0)</f>
        <v>0</v>
      </c>
      <c r="AB1280" s="298">
        <f>IF(Years="Five",SUMIF(Input!$D$40:$AB$40,AB$1171,$D455:$AB455),0)</f>
        <v>0</v>
      </c>
    </row>
    <row r="1281" spans="3:28" x14ac:dyDescent="0.3">
      <c r="C1281" s="638">
        <f>C1218</f>
        <v>1430</v>
      </c>
      <c r="D1281" s="297">
        <f>IF(Years="Five",SUMIF(Input!$D$40:$AB$40,D$1171,$D456:$AB456),0)</f>
        <v>0</v>
      </c>
      <c r="E1281" s="229">
        <f>IF(Years="Five",SUMIF(Input!$D$40:$AB$40,E$1171,$D456:$AB456),0)</f>
        <v>0</v>
      </c>
      <c r="F1281" s="229">
        <f>IF(Years="Five",SUMIF(Input!$D$40:$AB$40,F$1171,$D456:$AB456),0)</f>
        <v>0</v>
      </c>
      <c r="G1281" s="229">
        <f>IF(Years="Five",SUMIF(Input!$D$40:$AB$40,G$1171,$D456:$AB456),0)</f>
        <v>0</v>
      </c>
      <c r="H1281" s="229">
        <f>IF(Years="Five",SUMIF(Input!$D$40:$AB$40,H$1171,$D456:$AB456),0)</f>
        <v>0</v>
      </c>
      <c r="I1281" s="229">
        <f>IF(Years="Five",SUMIF(Input!$D$40:$AB$40,I$1171,$D456:$AB456),0)</f>
        <v>0</v>
      </c>
      <c r="J1281" s="229">
        <f>IF(Years="Five",SUMIF(Input!$D$40:$AB$40,J$1171,$D456:$AB456),0)</f>
        <v>0</v>
      </c>
      <c r="K1281" s="229">
        <f>IF(Years="Five",SUMIF(Input!$D$40:$AB$40,K$1171,$D456:$AB456),0)</f>
        <v>0</v>
      </c>
      <c r="L1281" s="229">
        <f>IF(Years="Five",SUMIF(Input!$D$40:$AB$40,L$1171,$D456:$AB456),0)</f>
        <v>0</v>
      </c>
      <c r="M1281" s="229">
        <f>IF(Years="Five",SUMIF(Input!$D$40:$AB$40,M$1171,$D456:$AB456),0)</f>
        <v>0</v>
      </c>
      <c r="N1281" s="229">
        <f>IF(Years="Five",SUMIF(Input!$D$40:$AB$40,N$1171,$D456:$AB456),0)</f>
        <v>0</v>
      </c>
      <c r="O1281" s="229">
        <f>IF(Years="Five",SUMIF(Input!$D$40:$AB$40,O$1171,$D456:$AB456),0)</f>
        <v>0</v>
      </c>
      <c r="P1281" s="229">
        <f>IF(Years="Five",SUMIF(Input!$D$40:$AB$40,P$1171,$D456:$AB456),0)</f>
        <v>0</v>
      </c>
      <c r="Q1281" s="229">
        <f>IF(Years="Five",SUMIF(Input!$D$40:$AB$40,Q$1171,$D456:$AB456),0)</f>
        <v>0</v>
      </c>
      <c r="R1281" s="229">
        <f>IF(Years="Five",SUMIF(Input!$D$40:$AB$40,R$1171,$D456:$AB456),0)</f>
        <v>0</v>
      </c>
      <c r="S1281" s="229">
        <f>IF(Years="Five",SUMIF(Input!$D$40:$AB$40,S$1171,$D456:$AB456),0)</f>
        <v>0</v>
      </c>
      <c r="T1281" s="229">
        <f>IF(Years="Five",SUMIF(Input!$D$40:$AB$40,T$1171,$D456:$AB456),0)</f>
        <v>0</v>
      </c>
      <c r="U1281" s="229">
        <f>IF(Years="Five",SUMIF(Input!$D$40:$AB$40,U$1171,$D456:$AB456),0)</f>
        <v>0</v>
      </c>
      <c r="V1281" s="229">
        <f>IF(Years="Five",SUMIF(Input!$D$40:$AB$40,V$1171,$D456:$AB456),0)</f>
        <v>0</v>
      </c>
      <c r="W1281" s="229">
        <f>IF(Years="Five",SUMIF(Input!$D$40:$AB$40,W$1171,$D456:$AB456),0)</f>
        <v>0</v>
      </c>
      <c r="X1281" s="229">
        <f>IF(Years="Five",SUMIF(Input!$D$40:$AB$40,X$1171,$D456:$AB456),0)</f>
        <v>0</v>
      </c>
      <c r="Y1281" s="229">
        <f>IF(Years="Five",SUMIF(Input!$D$40:$AB$40,Y$1171,$D456:$AB456),0)</f>
        <v>0</v>
      </c>
      <c r="Z1281" s="229">
        <f>IF(Years="Five",SUMIF(Input!$D$40:$AB$40,Z$1171,$D456:$AB456),0)</f>
        <v>0</v>
      </c>
      <c r="AA1281" s="229">
        <f>IF(Years="Five",SUMIF(Input!$D$40:$AB$40,AA$1171,$D456:$AB456),0)</f>
        <v>0</v>
      </c>
      <c r="AB1281" s="298">
        <f>IF(Years="Five",SUMIF(Input!$D$40:$AB$40,AB$1171,$D456:$AB456),0)</f>
        <v>0</v>
      </c>
    </row>
    <row r="1282" spans="3:28" ht="12.5" thickBot="1" x14ac:dyDescent="0.35">
      <c r="C1282" s="639">
        <f>C1219</f>
        <v>1461</v>
      </c>
      <c r="D1282" s="301">
        <f>IF(Years="Five",SUMIF(Input!$D$40:$AB$40,D$1171,$D457:$AB457),0)</f>
        <v>0</v>
      </c>
      <c r="E1282" s="302">
        <f>IF(Years="Five",SUMIF(Input!$D$40:$AB$40,E$1171,$D457:$AB457),0)</f>
        <v>0</v>
      </c>
      <c r="F1282" s="302">
        <f>IF(Years="Five",SUMIF(Input!$D$40:$AB$40,F$1171,$D457:$AB457),0)</f>
        <v>0</v>
      </c>
      <c r="G1282" s="302">
        <f>IF(Years="Five",SUMIF(Input!$D$40:$AB$40,G$1171,$D457:$AB457),0)</f>
        <v>0</v>
      </c>
      <c r="H1282" s="302">
        <f>IF(Years="Five",SUMIF(Input!$D$40:$AB$40,H$1171,$D457:$AB457),0)</f>
        <v>0</v>
      </c>
      <c r="I1282" s="302">
        <f>IF(Years="Five",SUMIF(Input!$D$40:$AB$40,I$1171,$D457:$AB457),0)</f>
        <v>0</v>
      </c>
      <c r="J1282" s="302">
        <f>IF(Years="Five",SUMIF(Input!$D$40:$AB$40,J$1171,$D457:$AB457),0)</f>
        <v>0</v>
      </c>
      <c r="K1282" s="302">
        <f>IF(Years="Five",SUMIF(Input!$D$40:$AB$40,K$1171,$D457:$AB457),0)</f>
        <v>0</v>
      </c>
      <c r="L1282" s="302">
        <f>IF(Years="Five",SUMIF(Input!$D$40:$AB$40,L$1171,$D457:$AB457),0)</f>
        <v>0</v>
      </c>
      <c r="M1282" s="302">
        <f>IF(Years="Five",SUMIF(Input!$D$40:$AB$40,M$1171,$D457:$AB457),0)</f>
        <v>0</v>
      </c>
      <c r="N1282" s="302">
        <f>IF(Years="Five",SUMIF(Input!$D$40:$AB$40,N$1171,$D457:$AB457),0)</f>
        <v>0</v>
      </c>
      <c r="O1282" s="302">
        <f>IF(Years="Five",SUMIF(Input!$D$40:$AB$40,O$1171,$D457:$AB457),0)</f>
        <v>0</v>
      </c>
      <c r="P1282" s="302">
        <f>IF(Years="Five",SUMIF(Input!$D$40:$AB$40,P$1171,$D457:$AB457),0)</f>
        <v>0</v>
      </c>
      <c r="Q1282" s="302">
        <f>IF(Years="Five",SUMIF(Input!$D$40:$AB$40,Q$1171,$D457:$AB457),0)</f>
        <v>0</v>
      </c>
      <c r="R1282" s="302">
        <f>IF(Years="Five",SUMIF(Input!$D$40:$AB$40,R$1171,$D457:$AB457),0)</f>
        <v>0</v>
      </c>
      <c r="S1282" s="302">
        <f>IF(Years="Five",SUMIF(Input!$D$40:$AB$40,S$1171,$D457:$AB457),0)</f>
        <v>0</v>
      </c>
      <c r="T1282" s="302">
        <f>IF(Years="Five",SUMIF(Input!$D$40:$AB$40,T$1171,$D457:$AB457),0)</f>
        <v>0</v>
      </c>
      <c r="U1282" s="302">
        <f>IF(Years="Five",SUMIF(Input!$D$40:$AB$40,U$1171,$D457:$AB457),0)</f>
        <v>0</v>
      </c>
      <c r="V1282" s="302">
        <f>IF(Years="Five",SUMIF(Input!$D$40:$AB$40,V$1171,$D457:$AB457),0)</f>
        <v>0</v>
      </c>
      <c r="W1282" s="302">
        <f>IF(Years="Five",SUMIF(Input!$D$40:$AB$40,W$1171,$D457:$AB457),0)</f>
        <v>0</v>
      </c>
      <c r="X1282" s="302">
        <f>IF(Years="Five",SUMIF(Input!$D$40:$AB$40,X$1171,$D457:$AB457),0)</f>
        <v>0</v>
      </c>
      <c r="Y1282" s="302">
        <f>IF(Years="Five",SUMIF(Input!$D$40:$AB$40,Y$1171,$D457:$AB457),0)</f>
        <v>0</v>
      </c>
      <c r="Z1282" s="302">
        <f>IF(Years="Five",SUMIF(Input!$D$40:$AB$40,Z$1171,$D457:$AB457),0)</f>
        <v>0</v>
      </c>
      <c r="AA1282" s="302">
        <f>IF(Years="Five",SUMIF(Input!$D$40:$AB$40,AA$1171,$D457:$AB457),0)</f>
        <v>0</v>
      </c>
      <c r="AB1282" s="303">
        <f>IF(Years="Five",SUMIF(Input!$D$40:$AB$40,AB$1171,$D457:$AB457),0)</f>
        <v>0</v>
      </c>
    </row>
    <row r="1283" spans="3:28" x14ac:dyDescent="0.3">
      <c r="C1283" s="638">
        <f>C1220</f>
        <v>1492</v>
      </c>
      <c r="D1283" s="299">
        <f>IF(Years="Five",SUMIF(Input!$D$40:$AB$40,D$1171,$D458:$AB458),0)</f>
        <v>0</v>
      </c>
      <c r="E1283" s="231">
        <f>IF(Years="Five",SUMIF(Input!$D$40:$AB$40,E$1171,$D458:$AB458),0)</f>
        <v>0</v>
      </c>
      <c r="F1283" s="231">
        <f>IF(Years="Five",SUMIF(Input!$D$40:$AB$40,F$1171,$D458:$AB458),0)</f>
        <v>0</v>
      </c>
      <c r="G1283" s="231">
        <f>IF(Years="Five",SUMIF(Input!$D$40:$AB$40,G$1171,$D458:$AB458),0)</f>
        <v>0</v>
      </c>
      <c r="H1283" s="231">
        <f>IF(Years="Five",SUMIF(Input!$D$40:$AB$40,H$1171,$D458:$AB458),0)</f>
        <v>0</v>
      </c>
      <c r="I1283" s="231">
        <f>IF(Years="Five",SUMIF(Input!$D$40:$AB$40,I$1171,$D458:$AB458),0)</f>
        <v>0</v>
      </c>
      <c r="J1283" s="231">
        <f>IF(Years="Five",SUMIF(Input!$D$40:$AB$40,J$1171,$D458:$AB458),0)</f>
        <v>0</v>
      </c>
      <c r="K1283" s="231">
        <f>IF(Years="Five",SUMIF(Input!$D$40:$AB$40,K$1171,$D458:$AB458),0)</f>
        <v>0</v>
      </c>
      <c r="L1283" s="231">
        <f>IF(Years="Five",SUMIF(Input!$D$40:$AB$40,L$1171,$D458:$AB458),0)</f>
        <v>0</v>
      </c>
      <c r="M1283" s="231">
        <f>IF(Years="Five",SUMIF(Input!$D$40:$AB$40,M$1171,$D458:$AB458),0)</f>
        <v>0</v>
      </c>
      <c r="N1283" s="231">
        <f>IF(Years="Five",SUMIF(Input!$D$40:$AB$40,N$1171,$D458:$AB458),0)</f>
        <v>0</v>
      </c>
      <c r="O1283" s="231">
        <f>IF(Years="Five",SUMIF(Input!$D$40:$AB$40,O$1171,$D458:$AB458),0)</f>
        <v>0</v>
      </c>
      <c r="P1283" s="231">
        <f>IF(Years="Five",SUMIF(Input!$D$40:$AB$40,P$1171,$D458:$AB458),0)</f>
        <v>0</v>
      </c>
      <c r="Q1283" s="231">
        <f>IF(Years="Five",SUMIF(Input!$D$40:$AB$40,Q$1171,$D458:$AB458),0)</f>
        <v>0</v>
      </c>
      <c r="R1283" s="231">
        <f>IF(Years="Five",SUMIF(Input!$D$40:$AB$40,R$1171,$D458:$AB458),0)</f>
        <v>0</v>
      </c>
      <c r="S1283" s="231">
        <f>IF(Years="Five",SUMIF(Input!$D$40:$AB$40,S$1171,$D458:$AB458),0)</f>
        <v>0</v>
      </c>
      <c r="T1283" s="231">
        <f>IF(Years="Five",SUMIF(Input!$D$40:$AB$40,T$1171,$D458:$AB458),0)</f>
        <v>0</v>
      </c>
      <c r="U1283" s="231">
        <f>IF(Years="Five",SUMIF(Input!$D$40:$AB$40,U$1171,$D458:$AB458),0)</f>
        <v>0</v>
      </c>
      <c r="V1283" s="231">
        <f>IF(Years="Five",SUMIF(Input!$D$40:$AB$40,V$1171,$D458:$AB458),0)</f>
        <v>0</v>
      </c>
      <c r="W1283" s="231">
        <f>IF(Years="Five",SUMIF(Input!$D$40:$AB$40,W$1171,$D458:$AB458),0)</f>
        <v>0</v>
      </c>
      <c r="X1283" s="231">
        <f>IF(Years="Five",SUMIF(Input!$D$40:$AB$40,X$1171,$D458:$AB458),0)</f>
        <v>0</v>
      </c>
      <c r="Y1283" s="231">
        <f>IF(Years="Five",SUMIF(Input!$D$40:$AB$40,Y$1171,$D458:$AB458),0)</f>
        <v>0</v>
      </c>
      <c r="Z1283" s="231">
        <f>IF(Years="Five",SUMIF(Input!$D$40:$AB$40,Z$1171,$D458:$AB458),0)</f>
        <v>0</v>
      </c>
      <c r="AA1283" s="231">
        <f>IF(Years="Five",SUMIF(Input!$D$40:$AB$40,AA$1171,$D458:$AB458),0)</f>
        <v>0</v>
      </c>
      <c r="AB1283" s="300">
        <f>IF(Years="Five",SUMIF(Input!$D$40:$AB$40,AB$1171,$D458:$AB458),0)</f>
        <v>0</v>
      </c>
    </row>
    <row r="1284" spans="3:28" x14ac:dyDescent="0.3">
      <c r="C1284" s="638">
        <f>C1221</f>
        <v>1521</v>
      </c>
      <c r="D1284" s="297">
        <f>IF(Years="Five",SUMIF(Input!$D$40:$AB$40,D$1171,$D459:$AB459),0)</f>
        <v>0</v>
      </c>
      <c r="E1284" s="229">
        <f>IF(Years="Five",SUMIF(Input!$D$40:$AB$40,E$1171,$D459:$AB459),0)</f>
        <v>0</v>
      </c>
      <c r="F1284" s="229">
        <f>IF(Years="Five",SUMIF(Input!$D$40:$AB$40,F$1171,$D459:$AB459),0)</f>
        <v>0</v>
      </c>
      <c r="G1284" s="229">
        <f>IF(Years="Five",SUMIF(Input!$D$40:$AB$40,G$1171,$D459:$AB459),0)</f>
        <v>0</v>
      </c>
      <c r="H1284" s="229">
        <f>IF(Years="Five",SUMIF(Input!$D$40:$AB$40,H$1171,$D459:$AB459),0)</f>
        <v>0</v>
      </c>
      <c r="I1284" s="229">
        <f>IF(Years="Five",SUMIF(Input!$D$40:$AB$40,I$1171,$D459:$AB459),0)</f>
        <v>0</v>
      </c>
      <c r="J1284" s="229">
        <f>IF(Years="Five",SUMIF(Input!$D$40:$AB$40,J$1171,$D459:$AB459),0)</f>
        <v>0</v>
      </c>
      <c r="K1284" s="229">
        <f>IF(Years="Five",SUMIF(Input!$D$40:$AB$40,K$1171,$D459:$AB459),0)</f>
        <v>0</v>
      </c>
      <c r="L1284" s="229">
        <f>IF(Years="Five",SUMIF(Input!$D$40:$AB$40,L$1171,$D459:$AB459),0)</f>
        <v>0</v>
      </c>
      <c r="M1284" s="229">
        <f>IF(Years="Five",SUMIF(Input!$D$40:$AB$40,M$1171,$D459:$AB459),0)</f>
        <v>0</v>
      </c>
      <c r="N1284" s="229">
        <f>IF(Years="Five",SUMIF(Input!$D$40:$AB$40,N$1171,$D459:$AB459),0)</f>
        <v>0</v>
      </c>
      <c r="O1284" s="229">
        <f>IF(Years="Five",SUMIF(Input!$D$40:$AB$40,O$1171,$D459:$AB459),0)</f>
        <v>0</v>
      </c>
      <c r="P1284" s="229">
        <f>IF(Years="Five",SUMIF(Input!$D$40:$AB$40,P$1171,$D459:$AB459),0)</f>
        <v>0</v>
      </c>
      <c r="Q1284" s="229">
        <f>IF(Years="Five",SUMIF(Input!$D$40:$AB$40,Q$1171,$D459:$AB459),0)</f>
        <v>0</v>
      </c>
      <c r="R1284" s="229">
        <f>IF(Years="Five",SUMIF(Input!$D$40:$AB$40,R$1171,$D459:$AB459),0)</f>
        <v>0</v>
      </c>
      <c r="S1284" s="229">
        <f>IF(Years="Five",SUMIF(Input!$D$40:$AB$40,S$1171,$D459:$AB459),0)</f>
        <v>0</v>
      </c>
      <c r="T1284" s="229">
        <f>IF(Years="Five",SUMIF(Input!$D$40:$AB$40,T$1171,$D459:$AB459),0)</f>
        <v>0</v>
      </c>
      <c r="U1284" s="229">
        <f>IF(Years="Five",SUMIF(Input!$D$40:$AB$40,U$1171,$D459:$AB459),0)</f>
        <v>0</v>
      </c>
      <c r="V1284" s="229">
        <f>IF(Years="Five",SUMIF(Input!$D$40:$AB$40,V$1171,$D459:$AB459),0)</f>
        <v>0</v>
      </c>
      <c r="W1284" s="229">
        <f>IF(Years="Five",SUMIF(Input!$D$40:$AB$40,W$1171,$D459:$AB459),0)</f>
        <v>0</v>
      </c>
      <c r="X1284" s="229">
        <f>IF(Years="Five",SUMIF(Input!$D$40:$AB$40,X$1171,$D459:$AB459),0)</f>
        <v>0</v>
      </c>
      <c r="Y1284" s="229">
        <f>IF(Years="Five",SUMIF(Input!$D$40:$AB$40,Y$1171,$D459:$AB459),0)</f>
        <v>0</v>
      </c>
      <c r="Z1284" s="229">
        <f>IF(Years="Five",SUMIF(Input!$D$40:$AB$40,Z$1171,$D459:$AB459),0)</f>
        <v>0</v>
      </c>
      <c r="AA1284" s="229">
        <f>IF(Years="Five",SUMIF(Input!$D$40:$AB$40,AA$1171,$D459:$AB459),0)</f>
        <v>0</v>
      </c>
      <c r="AB1284" s="298">
        <f>IF(Years="Five",SUMIF(Input!$D$40:$AB$40,AB$1171,$D459:$AB459),0)</f>
        <v>0</v>
      </c>
    </row>
    <row r="1285" spans="3:28" x14ac:dyDescent="0.3">
      <c r="C1285" s="638">
        <f>C1222</f>
        <v>1552</v>
      </c>
      <c r="D1285" s="297">
        <f>IF(Years="Five",SUMIF(Input!$D$40:$AB$40,D$1171,$D460:$AB460),0)</f>
        <v>0</v>
      </c>
      <c r="E1285" s="229">
        <f>IF(Years="Five",SUMIF(Input!$D$40:$AB$40,E$1171,$D460:$AB460),0)</f>
        <v>0</v>
      </c>
      <c r="F1285" s="229">
        <f>IF(Years="Five",SUMIF(Input!$D$40:$AB$40,F$1171,$D460:$AB460),0)</f>
        <v>0</v>
      </c>
      <c r="G1285" s="229">
        <f>IF(Years="Five",SUMIF(Input!$D$40:$AB$40,G$1171,$D460:$AB460),0)</f>
        <v>0</v>
      </c>
      <c r="H1285" s="229">
        <f>IF(Years="Five",SUMIF(Input!$D$40:$AB$40,H$1171,$D460:$AB460),0)</f>
        <v>0</v>
      </c>
      <c r="I1285" s="229">
        <f>IF(Years="Five",SUMIF(Input!$D$40:$AB$40,I$1171,$D460:$AB460),0)</f>
        <v>0</v>
      </c>
      <c r="J1285" s="229">
        <f>IF(Years="Five",SUMIF(Input!$D$40:$AB$40,J$1171,$D460:$AB460),0)</f>
        <v>0</v>
      </c>
      <c r="K1285" s="229">
        <f>IF(Years="Five",SUMIF(Input!$D$40:$AB$40,K$1171,$D460:$AB460),0)</f>
        <v>0</v>
      </c>
      <c r="L1285" s="229">
        <f>IF(Years="Five",SUMIF(Input!$D$40:$AB$40,L$1171,$D460:$AB460),0)</f>
        <v>0</v>
      </c>
      <c r="M1285" s="229">
        <f>IF(Years="Five",SUMIF(Input!$D$40:$AB$40,M$1171,$D460:$AB460),0)</f>
        <v>0</v>
      </c>
      <c r="N1285" s="229">
        <f>IF(Years="Five",SUMIF(Input!$D$40:$AB$40,N$1171,$D460:$AB460),0)</f>
        <v>0</v>
      </c>
      <c r="O1285" s="229">
        <f>IF(Years="Five",SUMIF(Input!$D$40:$AB$40,O$1171,$D460:$AB460),0)</f>
        <v>0</v>
      </c>
      <c r="P1285" s="229">
        <f>IF(Years="Five",SUMIF(Input!$D$40:$AB$40,P$1171,$D460:$AB460),0)</f>
        <v>0</v>
      </c>
      <c r="Q1285" s="229">
        <f>IF(Years="Five",SUMIF(Input!$D$40:$AB$40,Q$1171,$D460:$AB460),0)</f>
        <v>0</v>
      </c>
      <c r="R1285" s="229">
        <f>IF(Years="Five",SUMIF(Input!$D$40:$AB$40,R$1171,$D460:$AB460),0)</f>
        <v>0</v>
      </c>
      <c r="S1285" s="229">
        <f>IF(Years="Five",SUMIF(Input!$D$40:$AB$40,S$1171,$D460:$AB460),0)</f>
        <v>0</v>
      </c>
      <c r="T1285" s="229">
        <f>IF(Years="Five",SUMIF(Input!$D$40:$AB$40,T$1171,$D460:$AB460),0)</f>
        <v>0</v>
      </c>
      <c r="U1285" s="229">
        <f>IF(Years="Five",SUMIF(Input!$D$40:$AB$40,U$1171,$D460:$AB460),0)</f>
        <v>0</v>
      </c>
      <c r="V1285" s="229">
        <f>IF(Years="Five",SUMIF(Input!$D$40:$AB$40,V$1171,$D460:$AB460),0)</f>
        <v>0</v>
      </c>
      <c r="W1285" s="229">
        <f>IF(Years="Five",SUMIF(Input!$D$40:$AB$40,W$1171,$D460:$AB460),0)</f>
        <v>0</v>
      </c>
      <c r="X1285" s="229">
        <f>IF(Years="Five",SUMIF(Input!$D$40:$AB$40,X$1171,$D460:$AB460),0)</f>
        <v>0</v>
      </c>
      <c r="Y1285" s="229">
        <f>IF(Years="Five",SUMIF(Input!$D$40:$AB$40,Y$1171,$D460:$AB460),0)</f>
        <v>0</v>
      </c>
      <c r="Z1285" s="229">
        <f>IF(Years="Five",SUMIF(Input!$D$40:$AB$40,Z$1171,$D460:$AB460),0)</f>
        <v>0</v>
      </c>
      <c r="AA1285" s="229">
        <f>IF(Years="Five",SUMIF(Input!$D$40:$AB$40,AA$1171,$D460:$AB460),0)</f>
        <v>0</v>
      </c>
      <c r="AB1285" s="298">
        <f>IF(Years="Five",SUMIF(Input!$D$40:$AB$40,AB$1171,$D460:$AB460),0)</f>
        <v>0</v>
      </c>
    </row>
    <row r="1286" spans="3:28" x14ac:dyDescent="0.3">
      <c r="C1286" s="638">
        <f>C1223</f>
        <v>1582</v>
      </c>
      <c r="D1286" s="297">
        <f>IF(Years="Five",SUMIF(Input!$D$40:$AB$40,D$1171,$D461:$AB461),0)</f>
        <v>0</v>
      </c>
      <c r="E1286" s="229">
        <f>IF(Years="Five",SUMIF(Input!$D$40:$AB$40,E$1171,$D461:$AB461),0)</f>
        <v>0</v>
      </c>
      <c r="F1286" s="229">
        <f>IF(Years="Five",SUMIF(Input!$D$40:$AB$40,F$1171,$D461:$AB461),0)</f>
        <v>0</v>
      </c>
      <c r="G1286" s="229">
        <f>IF(Years="Five",SUMIF(Input!$D$40:$AB$40,G$1171,$D461:$AB461),0)</f>
        <v>0</v>
      </c>
      <c r="H1286" s="229">
        <f>IF(Years="Five",SUMIF(Input!$D$40:$AB$40,H$1171,$D461:$AB461),0)</f>
        <v>0</v>
      </c>
      <c r="I1286" s="229">
        <f>IF(Years="Five",SUMIF(Input!$D$40:$AB$40,I$1171,$D461:$AB461),0)</f>
        <v>0</v>
      </c>
      <c r="J1286" s="229">
        <f>IF(Years="Five",SUMIF(Input!$D$40:$AB$40,J$1171,$D461:$AB461),0)</f>
        <v>0</v>
      </c>
      <c r="K1286" s="229">
        <f>IF(Years="Five",SUMIF(Input!$D$40:$AB$40,K$1171,$D461:$AB461),0)</f>
        <v>0</v>
      </c>
      <c r="L1286" s="229">
        <f>IF(Years="Five",SUMIF(Input!$D$40:$AB$40,L$1171,$D461:$AB461),0)</f>
        <v>0</v>
      </c>
      <c r="M1286" s="229">
        <f>IF(Years="Five",SUMIF(Input!$D$40:$AB$40,M$1171,$D461:$AB461),0)</f>
        <v>0</v>
      </c>
      <c r="N1286" s="229">
        <f>IF(Years="Five",SUMIF(Input!$D$40:$AB$40,N$1171,$D461:$AB461),0)</f>
        <v>0</v>
      </c>
      <c r="O1286" s="229">
        <f>IF(Years="Five",SUMIF(Input!$D$40:$AB$40,O$1171,$D461:$AB461),0)</f>
        <v>0</v>
      </c>
      <c r="P1286" s="229">
        <f>IF(Years="Five",SUMIF(Input!$D$40:$AB$40,P$1171,$D461:$AB461),0)</f>
        <v>0</v>
      </c>
      <c r="Q1286" s="229">
        <f>IF(Years="Five",SUMIF(Input!$D$40:$AB$40,Q$1171,$D461:$AB461),0)</f>
        <v>0</v>
      </c>
      <c r="R1286" s="229">
        <f>IF(Years="Five",SUMIF(Input!$D$40:$AB$40,R$1171,$D461:$AB461),0)</f>
        <v>0</v>
      </c>
      <c r="S1286" s="229">
        <f>IF(Years="Five",SUMIF(Input!$D$40:$AB$40,S$1171,$D461:$AB461),0)</f>
        <v>0</v>
      </c>
      <c r="T1286" s="229">
        <f>IF(Years="Five",SUMIF(Input!$D$40:$AB$40,T$1171,$D461:$AB461),0)</f>
        <v>0</v>
      </c>
      <c r="U1286" s="229">
        <f>IF(Years="Five",SUMIF(Input!$D$40:$AB$40,U$1171,$D461:$AB461),0)</f>
        <v>0</v>
      </c>
      <c r="V1286" s="229">
        <f>IF(Years="Five",SUMIF(Input!$D$40:$AB$40,V$1171,$D461:$AB461),0)</f>
        <v>0</v>
      </c>
      <c r="W1286" s="229">
        <f>IF(Years="Five",SUMIF(Input!$D$40:$AB$40,W$1171,$D461:$AB461),0)</f>
        <v>0</v>
      </c>
      <c r="X1286" s="229">
        <f>IF(Years="Five",SUMIF(Input!$D$40:$AB$40,X$1171,$D461:$AB461),0)</f>
        <v>0</v>
      </c>
      <c r="Y1286" s="229">
        <f>IF(Years="Five",SUMIF(Input!$D$40:$AB$40,Y$1171,$D461:$AB461),0)</f>
        <v>0</v>
      </c>
      <c r="Z1286" s="229">
        <f>IF(Years="Five",SUMIF(Input!$D$40:$AB$40,Z$1171,$D461:$AB461),0)</f>
        <v>0</v>
      </c>
      <c r="AA1286" s="229">
        <f>IF(Years="Five",SUMIF(Input!$D$40:$AB$40,AA$1171,$D461:$AB461),0)</f>
        <v>0</v>
      </c>
      <c r="AB1286" s="298">
        <f>IF(Years="Five",SUMIF(Input!$D$40:$AB$40,AB$1171,$D461:$AB461),0)</f>
        <v>0</v>
      </c>
    </row>
    <row r="1287" spans="3:28" x14ac:dyDescent="0.3">
      <c r="C1287" s="638">
        <f>C1224</f>
        <v>1613</v>
      </c>
      <c r="D1287" s="297">
        <f>IF(Years="Five",SUMIF(Input!$D$40:$AB$40,D$1171,$D462:$AB462),0)</f>
        <v>0</v>
      </c>
      <c r="E1287" s="229">
        <f>IF(Years="Five",SUMIF(Input!$D$40:$AB$40,E$1171,$D462:$AB462),0)</f>
        <v>0</v>
      </c>
      <c r="F1287" s="229">
        <f>IF(Years="Five",SUMIF(Input!$D$40:$AB$40,F$1171,$D462:$AB462),0)</f>
        <v>0</v>
      </c>
      <c r="G1287" s="229">
        <f>IF(Years="Five",SUMIF(Input!$D$40:$AB$40,G$1171,$D462:$AB462),0)</f>
        <v>0</v>
      </c>
      <c r="H1287" s="229">
        <f>IF(Years="Five",SUMIF(Input!$D$40:$AB$40,H$1171,$D462:$AB462),0)</f>
        <v>0</v>
      </c>
      <c r="I1287" s="229">
        <f>IF(Years="Five",SUMIF(Input!$D$40:$AB$40,I$1171,$D462:$AB462),0)</f>
        <v>0</v>
      </c>
      <c r="J1287" s="229">
        <f>IF(Years="Five",SUMIF(Input!$D$40:$AB$40,J$1171,$D462:$AB462),0)</f>
        <v>0</v>
      </c>
      <c r="K1287" s="229">
        <f>IF(Years="Five",SUMIF(Input!$D$40:$AB$40,K$1171,$D462:$AB462),0)</f>
        <v>0</v>
      </c>
      <c r="L1287" s="229">
        <f>IF(Years="Five",SUMIF(Input!$D$40:$AB$40,L$1171,$D462:$AB462),0)</f>
        <v>0</v>
      </c>
      <c r="M1287" s="229">
        <f>IF(Years="Five",SUMIF(Input!$D$40:$AB$40,M$1171,$D462:$AB462),0)</f>
        <v>0</v>
      </c>
      <c r="N1287" s="229">
        <f>IF(Years="Five",SUMIF(Input!$D$40:$AB$40,N$1171,$D462:$AB462),0)</f>
        <v>0</v>
      </c>
      <c r="O1287" s="229">
        <f>IF(Years="Five",SUMIF(Input!$D$40:$AB$40,O$1171,$D462:$AB462),0)</f>
        <v>0</v>
      </c>
      <c r="P1287" s="229">
        <f>IF(Years="Five",SUMIF(Input!$D$40:$AB$40,P$1171,$D462:$AB462),0)</f>
        <v>0</v>
      </c>
      <c r="Q1287" s="229">
        <f>IF(Years="Five",SUMIF(Input!$D$40:$AB$40,Q$1171,$D462:$AB462),0)</f>
        <v>0</v>
      </c>
      <c r="R1287" s="229">
        <f>IF(Years="Five",SUMIF(Input!$D$40:$AB$40,R$1171,$D462:$AB462),0)</f>
        <v>0</v>
      </c>
      <c r="S1287" s="229">
        <f>IF(Years="Five",SUMIF(Input!$D$40:$AB$40,S$1171,$D462:$AB462),0)</f>
        <v>0</v>
      </c>
      <c r="T1287" s="229">
        <f>IF(Years="Five",SUMIF(Input!$D$40:$AB$40,T$1171,$D462:$AB462),0)</f>
        <v>0</v>
      </c>
      <c r="U1287" s="229">
        <f>IF(Years="Five",SUMIF(Input!$D$40:$AB$40,U$1171,$D462:$AB462),0)</f>
        <v>0</v>
      </c>
      <c r="V1287" s="229">
        <f>IF(Years="Five",SUMIF(Input!$D$40:$AB$40,V$1171,$D462:$AB462),0)</f>
        <v>0</v>
      </c>
      <c r="W1287" s="229">
        <f>IF(Years="Five",SUMIF(Input!$D$40:$AB$40,W$1171,$D462:$AB462),0)</f>
        <v>0</v>
      </c>
      <c r="X1287" s="229">
        <f>IF(Years="Five",SUMIF(Input!$D$40:$AB$40,X$1171,$D462:$AB462),0)</f>
        <v>0</v>
      </c>
      <c r="Y1287" s="229">
        <f>IF(Years="Five",SUMIF(Input!$D$40:$AB$40,Y$1171,$D462:$AB462),0)</f>
        <v>0</v>
      </c>
      <c r="Z1287" s="229">
        <f>IF(Years="Five",SUMIF(Input!$D$40:$AB$40,Z$1171,$D462:$AB462),0)</f>
        <v>0</v>
      </c>
      <c r="AA1287" s="229">
        <f>IF(Years="Five",SUMIF(Input!$D$40:$AB$40,AA$1171,$D462:$AB462),0)</f>
        <v>0</v>
      </c>
      <c r="AB1287" s="298">
        <f>IF(Years="Five",SUMIF(Input!$D$40:$AB$40,AB$1171,$D462:$AB462),0)</f>
        <v>0</v>
      </c>
    </row>
    <row r="1288" spans="3:28" x14ac:dyDescent="0.3">
      <c r="C1288" s="638">
        <f>C1225</f>
        <v>1643</v>
      </c>
      <c r="D1288" s="297">
        <f>IF(Years="Five",SUMIF(Input!$D$40:$AB$40,D$1171,$D463:$AB463),0)</f>
        <v>0</v>
      </c>
      <c r="E1288" s="229">
        <f>IF(Years="Five",SUMIF(Input!$D$40:$AB$40,E$1171,$D463:$AB463),0)</f>
        <v>0</v>
      </c>
      <c r="F1288" s="229">
        <f>IF(Years="Five",SUMIF(Input!$D$40:$AB$40,F$1171,$D463:$AB463),0)</f>
        <v>0</v>
      </c>
      <c r="G1288" s="229">
        <f>IF(Years="Five",SUMIF(Input!$D$40:$AB$40,G$1171,$D463:$AB463),0)</f>
        <v>0</v>
      </c>
      <c r="H1288" s="229">
        <f>IF(Years="Five",SUMIF(Input!$D$40:$AB$40,H$1171,$D463:$AB463),0)</f>
        <v>0</v>
      </c>
      <c r="I1288" s="229">
        <f>IF(Years="Five",SUMIF(Input!$D$40:$AB$40,I$1171,$D463:$AB463),0)</f>
        <v>0</v>
      </c>
      <c r="J1288" s="229">
        <f>IF(Years="Five",SUMIF(Input!$D$40:$AB$40,J$1171,$D463:$AB463),0)</f>
        <v>0</v>
      </c>
      <c r="K1288" s="229">
        <f>IF(Years="Five",SUMIF(Input!$D$40:$AB$40,K$1171,$D463:$AB463),0)</f>
        <v>0</v>
      </c>
      <c r="L1288" s="229">
        <f>IF(Years="Five",SUMIF(Input!$D$40:$AB$40,L$1171,$D463:$AB463),0)</f>
        <v>0</v>
      </c>
      <c r="M1288" s="229">
        <f>IF(Years="Five",SUMIF(Input!$D$40:$AB$40,M$1171,$D463:$AB463),0)</f>
        <v>0</v>
      </c>
      <c r="N1288" s="229">
        <f>IF(Years="Five",SUMIF(Input!$D$40:$AB$40,N$1171,$D463:$AB463),0)</f>
        <v>0</v>
      </c>
      <c r="O1288" s="229">
        <f>IF(Years="Five",SUMIF(Input!$D$40:$AB$40,O$1171,$D463:$AB463),0)</f>
        <v>0</v>
      </c>
      <c r="P1288" s="229">
        <f>IF(Years="Five",SUMIF(Input!$D$40:$AB$40,P$1171,$D463:$AB463),0)</f>
        <v>0</v>
      </c>
      <c r="Q1288" s="229">
        <f>IF(Years="Five",SUMIF(Input!$D$40:$AB$40,Q$1171,$D463:$AB463),0)</f>
        <v>0</v>
      </c>
      <c r="R1288" s="229">
        <f>IF(Years="Five",SUMIF(Input!$D$40:$AB$40,R$1171,$D463:$AB463),0)</f>
        <v>0</v>
      </c>
      <c r="S1288" s="229">
        <f>IF(Years="Five",SUMIF(Input!$D$40:$AB$40,S$1171,$D463:$AB463),0)</f>
        <v>0</v>
      </c>
      <c r="T1288" s="229">
        <f>IF(Years="Five",SUMIF(Input!$D$40:$AB$40,T$1171,$D463:$AB463),0)</f>
        <v>0</v>
      </c>
      <c r="U1288" s="229">
        <f>IF(Years="Five",SUMIF(Input!$D$40:$AB$40,U$1171,$D463:$AB463),0)</f>
        <v>0</v>
      </c>
      <c r="V1288" s="229">
        <f>IF(Years="Five",SUMIF(Input!$D$40:$AB$40,V$1171,$D463:$AB463),0)</f>
        <v>0</v>
      </c>
      <c r="W1288" s="229">
        <f>IF(Years="Five",SUMIF(Input!$D$40:$AB$40,W$1171,$D463:$AB463),0)</f>
        <v>0</v>
      </c>
      <c r="X1288" s="229">
        <f>IF(Years="Five",SUMIF(Input!$D$40:$AB$40,X$1171,$D463:$AB463),0)</f>
        <v>0</v>
      </c>
      <c r="Y1288" s="229">
        <f>IF(Years="Five",SUMIF(Input!$D$40:$AB$40,Y$1171,$D463:$AB463),0)</f>
        <v>0</v>
      </c>
      <c r="Z1288" s="229">
        <f>IF(Years="Five",SUMIF(Input!$D$40:$AB$40,Z$1171,$D463:$AB463),0)</f>
        <v>0</v>
      </c>
      <c r="AA1288" s="229">
        <f>IF(Years="Five",SUMIF(Input!$D$40:$AB$40,AA$1171,$D463:$AB463),0)</f>
        <v>0</v>
      </c>
      <c r="AB1288" s="298">
        <f>IF(Years="Five",SUMIF(Input!$D$40:$AB$40,AB$1171,$D463:$AB463),0)</f>
        <v>0</v>
      </c>
    </row>
    <row r="1289" spans="3:28" x14ac:dyDescent="0.3">
      <c r="C1289" s="638">
        <f>C1226</f>
        <v>1674</v>
      </c>
      <c r="D1289" s="297">
        <f>IF(Years="Five",SUMIF(Input!$D$40:$AB$40,D$1171,$D464:$AB464),0)</f>
        <v>0</v>
      </c>
      <c r="E1289" s="229">
        <f>IF(Years="Five",SUMIF(Input!$D$40:$AB$40,E$1171,$D464:$AB464),0)</f>
        <v>0</v>
      </c>
      <c r="F1289" s="229">
        <f>IF(Years="Five",SUMIF(Input!$D$40:$AB$40,F$1171,$D464:$AB464),0)</f>
        <v>0</v>
      </c>
      <c r="G1289" s="229">
        <f>IF(Years="Five",SUMIF(Input!$D$40:$AB$40,G$1171,$D464:$AB464),0)</f>
        <v>0</v>
      </c>
      <c r="H1289" s="229">
        <f>IF(Years="Five",SUMIF(Input!$D$40:$AB$40,H$1171,$D464:$AB464),0)</f>
        <v>0</v>
      </c>
      <c r="I1289" s="229">
        <f>IF(Years="Five",SUMIF(Input!$D$40:$AB$40,I$1171,$D464:$AB464),0)</f>
        <v>0</v>
      </c>
      <c r="J1289" s="229">
        <f>IF(Years="Five",SUMIF(Input!$D$40:$AB$40,J$1171,$D464:$AB464),0)</f>
        <v>0</v>
      </c>
      <c r="K1289" s="229">
        <f>IF(Years="Five",SUMIF(Input!$D$40:$AB$40,K$1171,$D464:$AB464),0)</f>
        <v>0</v>
      </c>
      <c r="L1289" s="229">
        <f>IF(Years="Five",SUMIF(Input!$D$40:$AB$40,L$1171,$D464:$AB464),0)</f>
        <v>0</v>
      </c>
      <c r="M1289" s="229">
        <f>IF(Years="Five",SUMIF(Input!$D$40:$AB$40,M$1171,$D464:$AB464),0)</f>
        <v>0</v>
      </c>
      <c r="N1289" s="229">
        <f>IF(Years="Five",SUMIF(Input!$D$40:$AB$40,N$1171,$D464:$AB464),0)</f>
        <v>0</v>
      </c>
      <c r="O1289" s="229">
        <f>IF(Years="Five",SUMIF(Input!$D$40:$AB$40,O$1171,$D464:$AB464),0)</f>
        <v>0</v>
      </c>
      <c r="P1289" s="229">
        <f>IF(Years="Five",SUMIF(Input!$D$40:$AB$40,P$1171,$D464:$AB464),0)</f>
        <v>0</v>
      </c>
      <c r="Q1289" s="229">
        <f>IF(Years="Five",SUMIF(Input!$D$40:$AB$40,Q$1171,$D464:$AB464),0)</f>
        <v>0</v>
      </c>
      <c r="R1289" s="229">
        <f>IF(Years="Five",SUMIF(Input!$D$40:$AB$40,R$1171,$D464:$AB464),0)</f>
        <v>0</v>
      </c>
      <c r="S1289" s="229">
        <f>IF(Years="Five",SUMIF(Input!$D$40:$AB$40,S$1171,$D464:$AB464),0)</f>
        <v>0</v>
      </c>
      <c r="T1289" s="229">
        <f>IF(Years="Five",SUMIF(Input!$D$40:$AB$40,T$1171,$D464:$AB464),0)</f>
        <v>0</v>
      </c>
      <c r="U1289" s="229">
        <f>IF(Years="Five",SUMIF(Input!$D$40:$AB$40,U$1171,$D464:$AB464),0)</f>
        <v>0</v>
      </c>
      <c r="V1289" s="229">
        <f>IF(Years="Five",SUMIF(Input!$D$40:$AB$40,V$1171,$D464:$AB464),0)</f>
        <v>0</v>
      </c>
      <c r="W1289" s="229">
        <f>IF(Years="Five",SUMIF(Input!$D$40:$AB$40,W$1171,$D464:$AB464),0)</f>
        <v>0</v>
      </c>
      <c r="X1289" s="229">
        <f>IF(Years="Five",SUMIF(Input!$D$40:$AB$40,X$1171,$D464:$AB464),0)</f>
        <v>0</v>
      </c>
      <c r="Y1289" s="229">
        <f>IF(Years="Five",SUMIF(Input!$D$40:$AB$40,Y$1171,$D464:$AB464),0)</f>
        <v>0</v>
      </c>
      <c r="Z1289" s="229">
        <f>IF(Years="Five",SUMIF(Input!$D$40:$AB$40,Z$1171,$D464:$AB464),0)</f>
        <v>0</v>
      </c>
      <c r="AA1289" s="229">
        <f>IF(Years="Five",SUMIF(Input!$D$40:$AB$40,AA$1171,$D464:$AB464),0)</f>
        <v>0</v>
      </c>
      <c r="AB1289" s="298">
        <f>IF(Years="Five",SUMIF(Input!$D$40:$AB$40,AB$1171,$D464:$AB464),0)</f>
        <v>0</v>
      </c>
    </row>
    <row r="1290" spans="3:28" x14ac:dyDescent="0.3">
      <c r="C1290" s="638">
        <f>C1227</f>
        <v>1705</v>
      </c>
      <c r="D1290" s="297">
        <f>IF(Years="Five",SUMIF(Input!$D$40:$AB$40,D$1171,$D465:$AB465),0)</f>
        <v>0</v>
      </c>
      <c r="E1290" s="229">
        <f>IF(Years="Five",SUMIF(Input!$D$40:$AB$40,E$1171,$D465:$AB465),0)</f>
        <v>0</v>
      </c>
      <c r="F1290" s="229">
        <f>IF(Years="Five",SUMIF(Input!$D$40:$AB$40,F$1171,$D465:$AB465),0)</f>
        <v>0</v>
      </c>
      <c r="G1290" s="229">
        <f>IF(Years="Five",SUMIF(Input!$D$40:$AB$40,G$1171,$D465:$AB465),0)</f>
        <v>0</v>
      </c>
      <c r="H1290" s="229">
        <f>IF(Years="Five",SUMIF(Input!$D$40:$AB$40,H$1171,$D465:$AB465),0)</f>
        <v>0</v>
      </c>
      <c r="I1290" s="229">
        <f>IF(Years="Five",SUMIF(Input!$D$40:$AB$40,I$1171,$D465:$AB465),0)</f>
        <v>0</v>
      </c>
      <c r="J1290" s="229">
        <f>IF(Years="Five",SUMIF(Input!$D$40:$AB$40,J$1171,$D465:$AB465),0)</f>
        <v>0</v>
      </c>
      <c r="K1290" s="229">
        <f>IF(Years="Five",SUMIF(Input!$D$40:$AB$40,K$1171,$D465:$AB465),0)</f>
        <v>0</v>
      </c>
      <c r="L1290" s="229">
        <f>IF(Years="Five",SUMIF(Input!$D$40:$AB$40,L$1171,$D465:$AB465),0)</f>
        <v>0</v>
      </c>
      <c r="M1290" s="229">
        <f>IF(Years="Five",SUMIF(Input!$D$40:$AB$40,M$1171,$D465:$AB465),0)</f>
        <v>0</v>
      </c>
      <c r="N1290" s="229">
        <f>IF(Years="Five",SUMIF(Input!$D$40:$AB$40,N$1171,$D465:$AB465),0)</f>
        <v>0</v>
      </c>
      <c r="O1290" s="229">
        <f>IF(Years="Five",SUMIF(Input!$D$40:$AB$40,O$1171,$D465:$AB465),0)</f>
        <v>0</v>
      </c>
      <c r="P1290" s="229">
        <f>IF(Years="Five",SUMIF(Input!$D$40:$AB$40,P$1171,$D465:$AB465),0)</f>
        <v>0</v>
      </c>
      <c r="Q1290" s="229">
        <f>IF(Years="Five",SUMIF(Input!$D$40:$AB$40,Q$1171,$D465:$AB465),0)</f>
        <v>0</v>
      </c>
      <c r="R1290" s="229">
        <f>IF(Years="Five",SUMIF(Input!$D$40:$AB$40,R$1171,$D465:$AB465),0)</f>
        <v>0</v>
      </c>
      <c r="S1290" s="229">
        <f>IF(Years="Five",SUMIF(Input!$D$40:$AB$40,S$1171,$D465:$AB465),0)</f>
        <v>0</v>
      </c>
      <c r="T1290" s="229">
        <f>IF(Years="Five",SUMIF(Input!$D$40:$AB$40,T$1171,$D465:$AB465),0)</f>
        <v>0</v>
      </c>
      <c r="U1290" s="229">
        <f>IF(Years="Five",SUMIF(Input!$D$40:$AB$40,U$1171,$D465:$AB465),0)</f>
        <v>0</v>
      </c>
      <c r="V1290" s="229">
        <f>IF(Years="Five",SUMIF(Input!$D$40:$AB$40,V$1171,$D465:$AB465),0)</f>
        <v>0</v>
      </c>
      <c r="W1290" s="229">
        <f>IF(Years="Five",SUMIF(Input!$D$40:$AB$40,W$1171,$D465:$AB465),0)</f>
        <v>0</v>
      </c>
      <c r="X1290" s="229">
        <f>IF(Years="Five",SUMIF(Input!$D$40:$AB$40,X$1171,$D465:$AB465),0)</f>
        <v>0</v>
      </c>
      <c r="Y1290" s="229">
        <f>IF(Years="Five",SUMIF(Input!$D$40:$AB$40,Y$1171,$D465:$AB465),0)</f>
        <v>0</v>
      </c>
      <c r="Z1290" s="229">
        <f>IF(Years="Five",SUMIF(Input!$D$40:$AB$40,Z$1171,$D465:$AB465),0)</f>
        <v>0</v>
      </c>
      <c r="AA1290" s="229">
        <f>IF(Years="Five",SUMIF(Input!$D$40:$AB$40,AA$1171,$D465:$AB465),0)</f>
        <v>0</v>
      </c>
      <c r="AB1290" s="298">
        <f>IF(Years="Five",SUMIF(Input!$D$40:$AB$40,AB$1171,$D465:$AB465),0)</f>
        <v>0</v>
      </c>
    </row>
    <row r="1291" spans="3:28" x14ac:dyDescent="0.3">
      <c r="C1291" s="638">
        <f>C1228</f>
        <v>1735</v>
      </c>
      <c r="D1291" s="297">
        <f>IF(Years="Five",SUMIF(Input!$D$40:$AB$40,D$1171,$D466:$AB466),0)</f>
        <v>0</v>
      </c>
      <c r="E1291" s="229">
        <f>IF(Years="Five",SUMIF(Input!$D$40:$AB$40,E$1171,$D466:$AB466),0)</f>
        <v>0</v>
      </c>
      <c r="F1291" s="229">
        <f>IF(Years="Five",SUMIF(Input!$D$40:$AB$40,F$1171,$D466:$AB466),0)</f>
        <v>0</v>
      </c>
      <c r="G1291" s="229">
        <f>IF(Years="Five",SUMIF(Input!$D$40:$AB$40,G$1171,$D466:$AB466),0)</f>
        <v>0</v>
      </c>
      <c r="H1291" s="229">
        <f>IF(Years="Five",SUMIF(Input!$D$40:$AB$40,H$1171,$D466:$AB466),0)</f>
        <v>0</v>
      </c>
      <c r="I1291" s="229">
        <f>IF(Years="Five",SUMIF(Input!$D$40:$AB$40,I$1171,$D466:$AB466),0)</f>
        <v>0</v>
      </c>
      <c r="J1291" s="229">
        <f>IF(Years="Five",SUMIF(Input!$D$40:$AB$40,J$1171,$D466:$AB466),0)</f>
        <v>0</v>
      </c>
      <c r="K1291" s="229">
        <f>IF(Years="Five",SUMIF(Input!$D$40:$AB$40,K$1171,$D466:$AB466),0)</f>
        <v>0</v>
      </c>
      <c r="L1291" s="229">
        <f>IF(Years="Five",SUMIF(Input!$D$40:$AB$40,L$1171,$D466:$AB466),0)</f>
        <v>0</v>
      </c>
      <c r="M1291" s="229">
        <f>IF(Years="Five",SUMIF(Input!$D$40:$AB$40,M$1171,$D466:$AB466),0)</f>
        <v>0</v>
      </c>
      <c r="N1291" s="229">
        <f>IF(Years="Five",SUMIF(Input!$D$40:$AB$40,N$1171,$D466:$AB466),0)</f>
        <v>0</v>
      </c>
      <c r="O1291" s="229">
        <f>IF(Years="Five",SUMIF(Input!$D$40:$AB$40,O$1171,$D466:$AB466),0)</f>
        <v>0</v>
      </c>
      <c r="P1291" s="229">
        <f>IF(Years="Five",SUMIF(Input!$D$40:$AB$40,P$1171,$D466:$AB466),0)</f>
        <v>0</v>
      </c>
      <c r="Q1291" s="229">
        <f>IF(Years="Five",SUMIF(Input!$D$40:$AB$40,Q$1171,$D466:$AB466),0)</f>
        <v>0</v>
      </c>
      <c r="R1291" s="229">
        <f>IF(Years="Five",SUMIF(Input!$D$40:$AB$40,R$1171,$D466:$AB466),0)</f>
        <v>0</v>
      </c>
      <c r="S1291" s="229">
        <f>IF(Years="Five",SUMIF(Input!$D$40:$AB$40,S$1171,$D466:$AB466),0)</f>
        <v>0</v>
      </c>
      <c r="T1291" s="229">
        <f>IF(Years="Five",SUMIF(Input!$D$40:$AB$40,T$1171,$D466:$AB466),0)</f>
        <v>0</v>
      </c>
      <c r="U1291" s="229">
        <f>IF(Years="Five",SUMIF(Input!$D$40:$AB$40,U$1171,$D466:$AB466),0)</f>
        <v>0</v>
      </c>
      <c r="V1291" s="229">
        <f>IF(Years="Five",SUMIF(Input!$D$40:$AB$40,V$1171,$D466:$AB466),0)</f>
        <v>0</v>
      </c>
      <c r="W1291" s="229">
        <f>IF(Years="Five",SUMIF(Input!$D$40:$AB$40,W$1171,$D466:$AB466),0)</f>
        <v>0</v>
      </c>
      <c r="X1291" s="229">
        <f>IF(Years="Five",SUMIF(Input!$D$40:$AB$40,X$1171,$D466:$AB466),0)</f>
        <v>0</v>
      </c>
      <c r="Y1291" s="229">
        <f>IF(Years="Five",SUMIF(Input!$D$40:$AB$40,Y$1171,$D466:$AB466),0)</f>
        <v>0</v>
      </c>
      <c r="Z1291" s="229">
        <f>IF(Years="Five",SUMIF(Input!$D$40:$AB$40,Z$1171,$D466:$AB466),0)</f>
        <v>0</v>
      </c>
      <c r="AA1291" s="229">
        <f>IF(Years="Five",SUMIF(Input!$D$40:$AB$40,AA$1171,$D466:$AB466),0)</f>
        <v>0</v>
      </c>
      <c r="AB1291" s="298">
        <f>IF(Years="Five",SUMIF(Input!$D$40:$AB$40,AB$1171,$D466:$AB466),0)</f>
        <v>0</v>
      </c>
    </row>
    <row r="1292" spans="3:28" x14ac:dyDescent="0.3">
      <c r="C1292" s="638">
        <f>C1229</f>
        <v>1766</v>
      </c>
      <c r="D1292" s="297">
        <f>IF(Years="Five",SUMIF(Input!$D$40:$AB$40,D$1171,$D467:$AB467),0)</f>
        <v>0</v>
      </c>
      <c r="E1292" s="229">
        <f>IF(Years="Five",SUMIF(Input!$D$40:$AB$40,E$1171,$D467:$AB467),0)</f>
        <v>0</v>
      </c>
      <c r="F1292" s="229">
        <f>IF(Years="Five",SUMIF(Input!$D$40:$AB$40,F$1171,$D467:$AB467),0)</f>
        <v>0</v>
      </c>
      <c r="G1292" s="229">
        <f>IF(Years="Five",SUMIF(Input!$D$40:$AB$40,G$1171,$D467:$AB467),0)</f>
        <v>0</v>
      </c>
      <c r="H1292" s="229">
        <f>IF(Years="Five",SUMIF(Input!$D$40:$AB$40,H$1171,$D467:$AB467),0)</f>
        <v>0</v>
      </c>
      <c r="I1292" s="229">
        <f>IF(Years="Five",SUMIF(Input!$D$40:$AB$40,I$1171,$D467:$AB467),0)</f>
        <v>0</v>
      </c>
      <c r="J1292" s="229">
        <f>IF(Years="Five",SUMIF(Input!$D$40:$AB$40,J$1171,$D467:$AB467),0)</f>
        <v>0</v>
      </c>
      <c r="K1292" s="229">
        <f>IF(Years="Five",SUMIF(Input!$D$40:$AB$40,K$1171,$D467:$AB467),0)</f>
        <v>0</v>
      </c>
      <c r="L1292" s="229">
        <f>IF(Years="Five",SUMIF(Input!$D$40:$AB$40,L$1171,$D467:$AB467),0)</f>
        <v>0</v>
      </c>
      <c r="M1292" s="229">
        <f>IF(Years="Five",SUMIF(Input!$D$40:$AB$40,M$1171,$D467:$AB467),0)</f>
        <v>0</v>
      </c>
      <c r="N1292" s="229">
        <f>IF(Years="Five",SUMIF(Input!$D$40:$AB$40,N$1171,$D467:$AB467),0)</f>
        <v>0</v>
      </c>
      <c r="O1292" s="229">
        <f>IF(Years="Five",SUMIF(Input!$D$40:$AB$40,O$1171,$D467:$AB467),0)</f>
        <v>0</v>
      </c>
      <c r="P1292" s="229">
        <f>IF(Years="Five",SUMIF(Input!$D$40:$AB$40,P$1171,$D467:$AB467),0)</f>
        <v>0</v>
      </c>
      <c r="Q1292" s="229">
        <f>IF(Years="Five",SUMIF(Input!$D$40:$AB$40,Q$1171,$D467:$AB467),0)</f>
        <v>0</v>
      </c>
      <c r="R1292" s="229">
        <f>IF(Years="Five",SUMIF(Input!$D$40:$AB$40,R$1171,$D467:$AB467),0)</f>
        <v>0</v>
      </c>
      <c r="S1292" s="229">
        <f>IF(Years="Five",SUMIF(Input!$D$40:$AB$40,S$1171,$D467:$AB467),0)</f>
        <v>0</v>
      </c>
      <c r="T1292" s="229">
        <f>IF(Years="Five",SUMIF(Input!$D$40:$AB$40,T$1171,$D467:$AB467),0)</f>
        <v>0</v>
      </c>
      <c r="U1292" s="229">
        <f>IF(Years="Five",SUMIF(Input!$D$40:$AB$40,U$1171,$D467:$AB467),0)</f>
        <v>0</v>
      </c>
      <c r="V1292" s="229">
        <f>IF(Years="Five",SUMIF(Input!$D$40:$AB$40,V$1171,$D467:$AB467),0)</f>
        <v>0</v>
      </c>
      <c r="W1292" s="229">
        <f>IF(Years="Five",SUMIF(Input!$D$40:$AB$40,W$1171,$D467:$AB467),0)</f>
        <v>0</v>
      </c>
      <c r="X1292" s="229">
        <f>IF(Years="Five",SUMIF(Input!$D$40:$AB$40,X$1171,$D467:$AB467),0)</f>
        <v>0</v>
      </c>
      <c r="Y1292" s="229">
        <f>IF(Years="Five",SUMIF(Input!$D$40:$AB$40,Y$1171,$D467:$AB467),0)</f>
        <v>0</v>
      </c>
      <c r="Z1292" s="229">
        <f>IF(Years="Five",SUMIF(Input!$D$40:$AB$40,Z$1171,$D467:$AB467),0)</f>
        <v>0</v>
      </c>
      <c r="AA1292" s="229">
        <f>IF(Years="Five",SUMIF(Input!$D$40:$AB$40,AA$1171,$D467:$AB467),0)</f>
        <v>0</v>
      </c>
      <c r="AB1292" s="298">
        <f>IF(Years="Five",SUMIF(Input!$D$40:$AB$40,AB$1171,$D467:$AB467),0)</f>
        <v>0</v>
      </c>
    </row>
    <row r="1293" spans="3:28" x14ac:dyDescent="0.3">
      <c r="C1293" s="638">
        <f>C1230</f>
        <v>1796</v>
      </c>
      <c r="D1293" s="297">
        <f>IF(Years="Five",SUMIF(Input!$D$40:$AB$40,D$1171,$D468:$AB468),0)</f>
        <v>0</v>
      </c>
      <c r="E1293" s="229">
        <f>IF(Years="Five",SUMIF(Input!$D$40:$AB$40,E$1171,$D468:$AB468),0)</f>
        <v>0</v>
      </c>
      <c r="F1293" s="229">
        <f>IF(Years="Five",SUMIF(Input!$D$40:$AB$40,F$1171,$D468:$AB468),0)</f>
        <v>0</v>
      </c>
      <c r="G1293" s="229">
        <f>IF(Years="Five",SUMIF(Input!$D$40:$AB$40,G$1171,$D468:$AB468),0)</f>
        <v>0</v>
      </c>
      <c r="H1293" s="229">
        <f>IF(Years="Five",SUMIF(Input!$D$40:$AB$40,H$1171,$D468:$AB468),0)</f>
        <v>0</v>
      </c>
      <c r="I1293" s="229">
        <f>IF(Years="Five",SUMIF(Input!$D$40:$AB$40,I$1171,$D468:$AB468),0)</f>
        <v>0</v>
      </c>
      <c r="J1293" s="229">
        <f>IF(Years="Five",SUMIF(Input!$D$40:$AB$40,J$1171,$D468:$AB468),0)</f>
        <v>0</v>
      </c>
      <c r="K1293" s="229">
        <f>IF(Years="Five",SUMIF(Input!$D$40:$AB$40,K$1171,$D468:$AB468),0)</f>
        <v>0</v>
      </c>
      <c r="L1293" s="229">
        <f>IF(Years="Five",SUMIF(Input!$D$40:$AB$40,L$1171,$D468:$AB468),0)</f>
        <v>0</v>
      </c>
      <c r="M1293" s="229">
        <f>IF(Years="Five",SUMIF(Input!$D$40:$AB$40,M$1171,$D468:$AB468),0)</f>
        <v>0</v>
      </c>
      <c r="N1293" s="229">
        <f>IF(Years="Five",SUMIF(Input!$D$40:$AB$40,N$1171,$D468:$AB468),0)</f>
        <v>0</v>
      </c>
      <c r="O1293" s="229">
        <f>IF(Years="Five",SUMIF(Input!$D$40:$AB$40,O$1171,$D468:$AB468),0)</f>
        <v>0</v>
      </c>
      <c r="P1293" s="229">
        <f>IF(Years="Five",SUMIF(Input!$D$40:$AB$40,P$1171,$D468:$AB468),0)</f>
        <v>0</v>
      </c>
      <c r="Q1293" s="229">
        <f>IF(Years="Five",SUMIF(Input!$D$40:$AB$40,Q$1171,$D468:$AB468),0)</f>
        <v>0</v>
      </c>
      <c r="R1293" s="229">
        <f>IF(Years="Five",SUMIF(Input!$D$40:$AB$40,R$1171,$D468:$AB468),0)</f>
        <v>0</v>
      </c>
      <c r="S1293" s="229">
        <f>IF(Years="Five",SUMIF(Input!$D$40:$AB$40,S$1171,$D468:$AB468),0)</f>
        <v>0</v>
      </c>
      <c r="T1293" s="229">
        <f>IF(Years="Five",SUMIF(Input!$D$40:$AB$40,T$1171,$D468:$AB468),0)</f>
        <v>0</v>
      </c>
      <c r="U1293" s="229">
        <f>IF(Years="Five",SUMIF(Input!$D$40:$AB$40,U$1171,$D468:$AB468),0)</f>
        <v>0</v>
      </c>
      <c r="V1293" s="229">
        <f>IF(Years="Five",SUMIF(Input!$D$40:$AB$40,V$1171,$D468:$AB468),0)</f>
        <v>0</v>
      </c>
      <c r="W1293" s="229">
        <f>IF(Years="Five",SUMIF(Input!$D$40:$AB$40,W$1171,$D468:$AB468),0)</f>
        <v>0</v>
      </c>
      <c r="X1293" s="229">
        <f>IF(Years="Five",SUMIF(Input!$D$40:$AB$40,X$1171,$D468:$AB468),0)</f>
        <v>0</v>
      </c>
      <c r="Y1293" s="229">
        <f>IF(Years="Five",SUMIF(Input!$D$40:$AB$40,Y$1171,$D468:$AB468),0)</f>
        <v>0</v>
      </c>
      <c r="Z1293" s="229">
        <f>IF(Years="Five",SUMIF(Input!$D$40:$AB$40,Z$1171,$D468:$AB468),0)</f>
        <v>0</v>
      </c>
      <c r="AA1293" s="229">
        <f>IF(Years="Five",SUMIF(Input!$D$40:$AB$40,AA$1171,$D468:$AB468),0)</f>
        <v>0</v>
      </c>
      <c r="AB1293" s="298">
        <f>IF(Years="Five",SUMIF(Input!$D$40:$AB$40,AB$1171,$D468:$AB468),0)</f>
        <v>0</v>
      </c>
    </row>
    <row r="1294" spans="3:28" ht="12.5" thickBot="1" x14ac:dyDescent="0.35">
      <c r="C1294" s="638">
        <f>C1231</f>
        <v>1827</v>
      </c>
      <c r="D1294" s="301">
        <f>IF(Years="Five",SUMIF(Input!$D$40:$AB$40,D$1171,$D469:$AB469),0)</f>
        <v>0</v>
      </c>
      <c r="E1294" s="302">
        <f>IF(Years="Five",SUMIF(Input!$D$40:$AB$40,E$1171,$D469:$AB469),0)</f>
        <v>0</v>
      </c>
      <c r="F1294" s="302">
        <f>IF(Years="Five",SUMIF(Input!$D$40:$AB$40,F$1171,$D469:$AB469),0)</f>
        <v>0</v>
      </c>
      <c r="G1294" s="302">
        <f>IF(Years="Five",SUMIF(Input!$D$40:$AB$40,G$1171,$D469:$AB469),0)</f>
        <v>0</v>
      </c>
      <c r="H1294" s="302">
        <f>IF(Years="Five",SUMIF(Input!$D$40:$AB$40,H$1171,$D469:$AB469),0)</f>
        <v>0</v>
      </c>
      <c r="I1294" s="302">
        <f>IF(Years="Five",SUMIF(Input!$D$40:$AB$40,I$1171,$D469:$AB469),0)</f>
        <v>0</v>
      </c>
      <c r="J1294" s="302">
        <f>IF(Years="Five",SUMIF(Input!$D$40:$AB$40,J$1171,$D469:$AB469),0)</f>
        <v>0</v>
      </c>
      <c r="K1294" s="302">
        <f>IF(Years="Five",SUMIF(Input!$D$40:$AB$40,K$1171,$D469:$AB469),0)</f>
        <v>0</v>
      </c>
      <c r="L1294" s="302">
        <f>IF(Years="Five",SUMIF(Input!$D$40:$AB$40,L$1171,$D469:$AB469),0)</f>
        <v>0</v>
      </c>
      <c r="M1294" s="302">
        <f>IF(Years="Five",SUMIF(Input!$D$40:$AB$40,M$1171,$D469:$AB469),0)</f>
        <v>0</v>
      </c>
      <c r="N1294" s="302">
        <f>IF(Years="Five",SUMIF(Input!$D$40:$AB$40,N$1171,$D469:$AB469),0)</f>
        <v>0</v>
      </c>
      <c r="O1294" s="302">
        <f>IF(Years="Five",SUMIF(Input!$D$40:$AB$40,O$1171,$D469:$AB469),0)</f>
        <v>0</v>
      </c>
      <c r="P1294" s="302">
        <f>IF(Years="Five",SUMIF(Input!$D$40:$AB$40,P$1171,$D469:$AB469),0)</f>
        <v>0</v>
      </c>
      <c r="Q1294" s="302">
        <f>IF(Years="Five",SUMIF(Input!$D$40:$AB$40,Q$1171,$D469:$AB469),0)</f>
        <v>0</v>
      </c>
      <c r="R1294" s="302">
        <f>IF(Years="Five",SUMIF(Input!$D$40:$AB$40,R$1171,$D469:$AB469),0)</f>
        <v>0</v>
      </c>
      <c r="S1294" s="302">
        <f>IF(Years="Five",SUMIF(Input!$D$40:$AB$40,S$1171,$D469:$AB469),0)</f>
        <v>0</v>
      </c>
      <c r="T1294" s="302">
        <f>IF(Years="Five",SUMIF(Input!$D$40:$AB$40,T$1171,$D469:$AB469),0)</f>
        <v>0</v>
      </c>
      <c r="U1294" s="302">
        <f>IF(Years="Five",SUMIF(Input!$D$40:$AB$40,U$1171,$D469:$AB469),0)</f>
        <v>0</v>
      </c>
      <c r="V1294" s="302">
        <f>IF(Years="Five",SUMIF(Input!$D$40:$AB$40,V$1171,$D469:$AB469),0)</f>
        <v>0</v>
      </c>
      <c r="W1294" s="302">
        <f>IF(Years="Five",SUMIF(Input!$D$40:$AB$40,W$1171,$D469:$AB469),0)</f>
        <v>0</v>
      </c>
      <c r="X1294" s="302">
        <f>IF(Years="Five",SUMIF(Input!$D$40:$AB$40,X$1171,$D469:$AB469),0)</f>
        <v>0</v>
      </c>
      <c r="Y1294" s="302">
        <f>IF(Years="Five",SUMIF(Input!$D$40:$AB$40,Y$1171,$D469:$AB469),0)</f>
        <v>0</v>
      </c>
      <c r="Z1294" s="302">
        <f>IF(Years="Five",SUMIF(Input!$D$40:$AB$40,Z$1171,$D469:$AB469),0)</f>
        <v>0</v>
      </c>
      <c r="AA1294" s="302">
        <f>IF(Years="Five",SUMIF(Input!$D$40:$AB$40,AA$1171,$D469:$AB469),0)</f>
        <v>0</v>
      </c>
      <c r="AB1294" s="303">
        <f>IF(Years="Five",SUMIF(Input!$D$40:$AB$40,AB$1171,$D469:$AB469),0)</f>
        <v>0</v>
      </c>
    </row>
    <row r="1295" spans="3:28" ht="12" customHeight="1" x14ac:dyDescent="0.3">
      <c r="C1295" s="1347" t="s">
        <v>131</v>
      </c>
      <c r="D1295" s="481">
        <f>SUM(D1235:D1294)</f>
        <v>0</v>
      </c>
      <c r="E1295" s="481">
        <f>SUM(E1235:E1294)</f>
        <v>0</v>
      </c>
      <c r="F1295" s="481">
        <f>SUM(F1235:F1294)</f>
        <v>0</v>
      </c>
      <c r="G1295" s="481">
        <f>SUM(G1235:G1294)</f>
        <v>0</v>
      </c>
      <c r="H1295" s="481">
        <f>SUM(H1235:H1294)</f>
        <v>0</v>
      </c>
      <c r="I1295" s="481">
        <f>SUM(I1235:I1294)</f>
        <v>0</v>
      </c>
      <c r="J1295" s="481">
        <f>SUM(J1235:J1294)</f>
        <v>0</v>
      </c>
      <c r="K1295" s="481">
        <f>SUM(K1235:K1294)</f>
        <v>0</v>
      </c>
      <c r="L1295" s="481">
        <f>SUM(L1235:L1294)</f>
        <v>0</v>
      </c>
      <c r="M1295" s="481">
        <f>SUM(M1235:M1294)</f>
        <v>0</v>
      </c>
      <c r="N1295" s="481">
        <f>SUM(N1235:N1294)</f>
        <v>0</v>
      </c>
      <c r="O1295" s="481">
        <f>SUM(O1235:O1294)</f>
        <v>0</v>
      </c>
      <c r="P1295" s="481">
        <f>SUM(P1235:P1294)</f>
        <v>0</v>
      </c>
      <c r="Q1295" s="481">
        <f>SUM(Q1235:Q1294)</f>
        <v>0</v>
      </c>
      <c r="R1295" s="481">
        <f>SUM(R1235:R1294)</f>
        <v>0</v>
      </c>
      <c r="S1295" s="481">
        <f>SUM(S1235:S1294)</f>
        <v>0</v>
      </c>
      <c r="T1295" s="481">
        <f>SUM(T1235:T1294)</f>
        <v>0</v>
      </c>
      <c r="U1295" s="481">
        <f>SUM(U1235:U1294)</f>
        <v>0</v>
      </c>
      <c r="V1295" s="481">
        <f>SUM(V1235:V1294)</f>
        <v>0</v>
      </c>
      <c r="W1295" s="481">
        <f>SUM(W1235:W1294)</f>
        <v>0</v>
      </c>
      <c r="X1295" s="481">
        <f>SUM(X1235:X1294)</f>
        <v>0</v>
      </c>
      <c r="Y1295" s="481">
        <f>SUM(Y1235:Y1294)</f>
        <v>0</v>
      </c>
      <c r="Z1295" s="481">
        <f>SUM(Z1235:Z1294)</f>
        <v>0</v>
      </c>
      <c r="AA1295" s="481">
        <f>SUM(AA1235:AA1294)</f>
        <v>0</v>
      </c>
      <c r="AB1295" s="481">
        <f>SUM(AB1235:AB1294)</f>
        <v>0</v>
      </c>
    </row>
    <row r="1305" spans="1:24" ht="18.5" x14ac:dyDescent="0.3">
      <c r="A1305" s="5"/>
      <c r="B1305" s="1829" t="s">
        <v>0</v>
      </c>
      <c r="C1305" s="16"/>
      <c r="D1305" s="6"/>
      <c r="E1305" s="7"/>
      <c r="F1305" s="7"/>
      <c r="G1305" s="7"/>
      <c r="H1305" s="7"/>
      <c r="I1305" s="7"/>
      <c r="J1305" s="5"/>
      <c r="K1305" s="5"/>
      <c r="P1305" s="510" t="str">
        <f>IF(AND(Q82&gt;0,SUM($D82:$AB82)&gt;0),Q82/SUM($D82:$AB82),"")</f>
        <v/>
      </c>
      <c r="Q1305" s="510" t="str">
        <f>IF(AND(R82&gt;0,SUM($D82:$AB82)&gt;0),R82/SUM($D82:$AB82),"")</f>
        <v/>
      </c>
      <c r="R1305" s="510" t="str">
        <f>IF(AND(S82&gt;0,SUM($D82:$AB82)&gt;0),S82/SUM($D82:$AB82),"")</f>
        <v/>
      </c>
      <c r="S1305" s="510" t="str">
        <f>IF(AND(T82&gt;0,SUM($D82:$AB82)&gt;0),T82/SUM($D82:$AB82),"")</f>
        <v/>
      </c>
      <c r="T1305" s="510" t="str">
        <f>IF(AND(U82&gt;0,SUM($D82:$AB82)&gt;0),U82/SUM($D82:$AB82),"")</f>
        <v/>
      </c>
      <c r="U1305" s="510" t="str">
        <f>IF(AND(V82&gt;0,SUM($D82:$AB82)&gt;0),V82/SUM($D82:$AB82),"")</f>
        <v/>
      </c>
      <c r="V1305" s="510" t="str">
        <f>IF(AND(W82&gt;0,SUM($D82:$AB82)&gt;0),W82/SUM($D82:$AB82),"")</f>
        <v/>
      </c>
      <c r="W1305" s="5"/>
    </row>
    <row r="1306" spans="1:24" ht="18.5" x14ac:dyDescent="0.3">
      <c r="A1306" s="5"/>
      <c r="B1306" s="1829"/>
      <c r="C1306" s="16"/>
      <c r="D1306" s="6"/>
      <c r="E1306" s="7"/>
      <c r="F1306" s="7"/>
      <c r="G1306" s="7"/>
      <c r="H1306" s="7"/>
      <c r="I1306" s="7"/>
      <c r="J1306" s="5"/>
      <c r="K1306" s="5"/>
      <c r="P1306" s="510"/>
      <c r="Q1306" s="510"/>
      <c r="R1306" s="510"/>
      <c r="S1306" s="510"/>
      <c r="T1306" s="510"/>
      <c r="U1306" s="510"/>
      <c r="V1306" s="510"/>
      <c r="W1306" s="5"/>
    </row>
    <row r="1307" spans="1:24" ht="26" x14ac:dyDescent="0.3">
      <c r="A1307" s="5"/>
      <c r="B1307" s="1797"/>
      <c r="C1307" s="813" t="s">
        <v>207</v>
      </c>
      <c r="D1307" s="6"/>
      <c r="E1307" s="1359" t="s">
        <v>208</v>
      </c>
      <c r="F1307" s="894"/>
      <c r="G1307" s="7"/>
      <c r="H1307" s="7"/>
      <c r="I1307" s="7"/>
      <c r="J1307" s="5"/>
      <c r="K1307" s="5"/>
      <c r="P1307" s="510"/>
      <c r="Q1307" s="510"/>
      <c r="R1307" s="510"/>
      <c r="S1307" s="510"/>
      <c r="T1307" s="510"/>
      <c r="U1307" s="510"/>
      <c r="V1307" s="510"/>
      <c r="W1307" s="5"/>
    </row>
    <row r="1308" spans="1:24" ht="12" customHeight="1" thickBot="1" x14ac:dyDescent="0.35">
      <c r="A1308" s="5"/>
      <c r="B1308" s="1797"/>
      <c r="C1308" s="17"/>
      <c r="D1308" s="6"/>
      <c r="E1308" s="7"/>
      <c r="F1308" s="7"/>
      <c r="G1308" s="7"/>
      <c r="H1308" s="7"/>
      <c r="I1308" s="7"/>
      <c r="J1308" s="5"/>
      <c r="K1308" s="5"/>
      <c r="P1308" s="510"/>
      <c r="Q1308" s="510"/>
      <c r="R1308" s="510"/>
      <c r="S1308" s="510"/>
      <c r="T1308" s="510"/>
      <c r="U1308" s="510"/>
      <c r="V1308" s="510"/>
      <c r="W1308" s="5"/>
    </row>
    <row r="1309" spans="1:24" ht="12.5" thickBot="1" x14ac:dyDescent="0.35">
      <c r="A1309" s="5"/>
      <c r="B1309" s="512"/>
      <c r="C1309" s="515" t="s">
        <v>209</v>
      </c>
      <c r="D1309" s="587"/>
      <c r="E1309" s="290"/>
      <c r="F1309" s="290"/>
      <c r="G1309" s="290"/>
      <c r="H1309" s="290"/>
      <c r="I1309" s="290"/>
      <c r="J1309" s="8"/>
      <c r="K1309" s="8"/>
      <c r="L1309" s="11"/>
      <c r="M1309" s="11"/>
      <c r="P1309" s="510"/>
      <c r="Q1309" s="510"/>
      <c r="R1309" s="510"/>
      <c r="S1309" s="510"/>
      <c r="T1309" s="510"/>
      <c r="U1309" s="510"/>
      <c r="V1309" s="510"/>
      <c r="W1309" s="5"/>
    </row>
    <row r="1310" spans="1:24" x14ac:dyDescent="0.3">
      <c r="A1310" s="5"/>
      <c r="B1310" s="512"/>
      <c r="C1310" s="434"/>
      <c r="D1310" s="9"/>
      <c r="E1310" s="290"/>
      <c r="F1310" s="290"/>
      <c r="G1310" s="290"/>
      <c r="H1310" s="290"/>
      <c r="I1310" s="290"/>
      <c r="J1310" s="8"/>
      <c r="K1310" s="8"/>
      <c r="L1310" s="11"/>
      <c r="M1310" s="11"/>
      <c r="P1310" s="510"/>
      <c r="Q1310" s="510"/>
      <c r="R1310" s="510"/>
      <c r="S1310" s="510"/>
      <c r="T1310" s="510"/>
      <c r="U1310" s="510"/>
      <c r="V1310" s="510"/>
      <c r="W1310" s="510"/>
      <c r="X1310" s="510"/>
    </row>
    <row r="1311" spans="1:24" ht="12.5" thickBot="1" x14ac:dyDescent="0.35">
      <c r="A1311" s="5"/>
      <c r="B1311" s="8"/>
      <c r="C1311" s="822"/>
      <c r="D1311" s="515" t="str">
        <f>IF(D1309="Annual","Annual","Monthly")</f>
        <v>Monthly</v>
      </c>
      <c r="E1311" s="516"/>
      <c r="F1311" s="516"/>
      <c r="G1311" s="516"/>
      <c r="H1311" s="516"/>
      <c r="I1311" s="516"/>
      <c r="J1311" s="516"/>
      <c r="K1311" s="516"/>
      <c r="L1311" s="516"/>
      <c r="M1311" s="517"/>
      <c r="O1311" s="515" t="s">
        <v>210</v>
      </c>
      <c r="P1311" s="510"/>
      <c r="Q1311" s="510"/>
      <c r="R1311" s="510"/>
      <c r="S1311" s="510"/>
      <c r="T1311" s="510"/>
      <c r="U1311" s="510"/>
      <c r="V1311" s="510"/>
      <c r="W1311" s="510"/>
      <c r="X1311" s="510"/>
    </row>
    <row r="1312" spans="1:24" x14ac:dyDescent="0.3">
      <c r="A1312" s="5"/>
      <c r="B1312" s="8"/>
      <c r="C1312" s="515" t="s">
        <v>192</v>
      </c>
      <c r="D1312" s="665"/>
      <c r="E1312" s="5"/>
      <c r="F1312" s="5"/>
      <c r="G1312" s="516"/>
      <c r="H1312" s="516"/>
      <c r="I1312" s="516"/>
      <c r="J1312" s="516"/>
      <c r="K1312" s="516"/>
      <c r="L1312" s="516"/>
      <c r="M1312" s="517"/>
      <c r="N1312" s="41" t="str">
        <f>C1312</f>
        <v xml:space="preserve">Start Month </v>
      </c>
      <c r="O1312" s="665"/>
      <c r="P1312" s="510"/>
      <c r="Q1312" s="510"/>
      <c r="R1312" s="510"/>
      <c r="S1312" s="510"/>
      <c r="T1312" s="510"/>
      <c r="U1312" s="510"/>
      <c r="V1312" s="510"/>
      <c r="W1312" s="510"/>
      <c r="X1312" s="510"/>
    </row>
    <row r="1313" spans="1:24" x14ac:dyDescent="0.3">
      <c r="A1313" s="5"/>
      <c r="B1313" s="8"/>
      <c r="C1313" s="515" t="s">
        <v>211</v>
      </c>
      <c r="D1313" s="666"/>
      <c r="E1313" s="5"/>
      <c r="F1313" s="5"/>
      <c r="G1313" s="516"/>
      <c r="H1313" s="516"/>
      <c r="I1313" s="516"/>
      <c r="J1313" s="516"/>
      <c r="K1313" s="516"/>
      <c r="L1313" s="516"/>
      <c r="M1313" s="517"/>
      <c r="N1313" s="41" t="str">
        <f>C1313</f>
        <v xml:space="preserve">Starting # Subs </v>
      </c>
      <c r="O1313" s="666"/>
      <c r="P1313" s="510"/>
      <c r="Q1313" s="510"/>
      <c r="R1313" s="510"/>
      <c r="S1313" s="510"/>
      <c r="T1313" s="510"/>
      <c r="U1313" s="510"/>
      <c r="V1313" s="510"/>
      <c r="W1313" s="510"/>
      <c r="X1313" s="510"/>
    </row>
    <row r="1314" spans="1:24" x14ac:dyDescent="0.3">
      <c r="A1314" s="5"/>
      <c r="B1314" s="8"/>
      <c r="C1314" s="515" t="s">
        <v>212</v>
      </c>
      <c r="D1314" s="667"/>
      <c r="E1314" s="516"/>
      <c r="F1314" s="516"/>
      <c r="G1314" s="516"/>
      <c r="H1314" s="516"/>
      <c r="I1314" s="516"/>
      <c r="J1314" s="516"/>
      <c r="K1314" s="516"/>
      <c r="L1314" s="516"/>
      <c r="M1314" s="517"/>
      <c r="N1314" s="41" t="str">
        <f>C1314</f>
        <v xml:space="preserve">Subscription Rate </v>
      </c>
      <c r="O1314" s="667"/>
      <c r="P1314" s="510"/>
      <c r="Q1314" s="510"/>
      <c r="R1314" s="510"/>
      <c r="S1314" s="510"/>
      <c r="T1314" s="510"/>
      <c r="U1314" s="510"/>
      <c r="V1314" s="510"/>
      <c r="W1314" s="510"/>
      <c r="X1314" s="510"/>
    </row>
    <row r="1315" spans="1:24" ht="12.5" thickBot="1" x14ac:dyDescent="0.35">
      <c r="A1315" s="5"/>
      <c r="B1315" s="8"/>
      <c r="C1315" s="515" t="s">
        <v>213</v>
      </c>
      <c r="D1315" s="668"/>
      <c r="E1315" s="516"/>
      <c r="F1315" s="516"/>
      <c r="G1315" s="516"/>
      <c r="H1315" s="516"/>
      <c r="I1315" s="516"/>
      <c r="J1315" s="516"/>
      <c r="K1315" s="516"/>
      <c r="L1315" s="516"/>
      <c r="M1315" s="517"/>
      <c r="N1315" s="41" t="str">
        <f>C1315</f>
        <v xml:space="preserve">Churn </v>
      </c>
      <c r="O1315" s="668"/>
      <c r="P1315" s="510"/>
      <c r="Q1315" s="510"/>
      <c r="R1315" s="510"/>
      <c r="S1315" s="510"/>
      <c r="T1315" s="510"/>
      <c r="U1315" s="510"/>
      <c r="V1315" s="510"/>
      <c r="W1315" s="510"/>
      <c r="X1315" s="510"/>
    </row>
    <row r="1316" spans="1:24" ht="12" customHeight="1" x14ac:dyDescent="0.3">
      <c r="A1316" s="5"/>
      <c r="B1316" s="133"/>
      <c r="C1316" s="278"/>
      <c r="D1316" s="5"/>
      <c r="E1316" s="516"/>
      <c r="F1316" s="516"/>
      <c r="G1316" s="516"/>
      <c r="H1316" s="516"/>
      <c r="I1316" s="516"/>
      <c r="J1316" s="516"/>
      <c r="K1316" s="516"/>
      <c r="L1316" s="516"/>
      <c r="M1316" s="41"/>
      <c r="N1316" s="510"/>
      <c r="O1316" s="510"/>
      <c r="P1316" s="510"/>
      <c r="Q1316" s="510"/>
      <c r="R1316" s="510"/>
      <c r="S1316" s="510"/>
      <c r="T1316" s="510"/>
      <c r="U1316" s="510"/>
      <c r="V1316" s="510"/>
      <c r="W1316" s="510"/>
      <c r="X1316" s="510"/>
    </row>
    <row r="1317" spans="1:24" ht="12" customHeight="1" x14ac:dyDescent="0.3">
      <c r="A1317" s="5"/>
      <c r="B1317" s="133"/>
      <c r="C1317" s="823"/>
      <c r="D1317" s="1877" t="s">
        <v>214</v>
      </c>
      <c r="E1317" s="1878"/>
      <c r="F1317" s="516"/>
      <c r="G1317" s="516"/>
      <c r="H1317" s="516"/>
      <c r="I1317" s="516"/>
      <c r="J1317" s="516"/>
      <c r="K1317" s="516"/>
      <c r="L1317" s="516"/>
      <c r="M1317" s="41"/>
      <c r="N1317" s="510"/>
      <c r="O1317" s="510"/>
      <c r="P1317" s="510"/>
      <c r="Q1317" s="510"/>
      <c r="R1317" s="510"/>
      <c r="S1317" s="510"/>
      <c r="T1317" s="510"/>
      <c r="U1317" s="510"/>
      <c r="V1317" s="510"/>
      <c r="W1317" s="510"/>
      <c r="X1317" s="510"/>
    </row>
    <row r="1318" spans="1:24" ht="12" customHeight="1" thickBot="1" x14ac:dyDescent="0.35">
      <c r="A1318" s="5"/>
      <c r="B1318" s="133"/>
      <c r="C1318" s="823"/>
      <c r="D1318" s="518" t="s">
        <v>215</v>
      </c>
      <c r="E1318" s="518" t="s">
        <v>216</v>
      </c>
      <c r="F1318" s="516"/>
      <c r="G1318" s="828" t="str">
        <f>IF(D1309="Annual","Annual","Monthly")</f>
        <v>Monthly</v>
      </c>
      <c r="H1318" s="1275" t="str">
        <f>Infrastructure!H9</f>
        <v>Year 1</v>
      </c>
      <c r="I1318" s="1275" t="str">
        <f>Infrastructure!I9</f>
        <v>Year 2</v>
      </c>
      <c r="J1318" s="1275" t="str">
        <f>Infrastructure!J9</f>
        <v>Year 3</v>
      </c>
      <c r="K1318" s="1275" t="str">
        <f>IF(Years="Five",Infrastructure!K9,"Total")</f>
        <v>Year 4</v>
      </c>
      <c r="L1318" s="1275" t="str">
        <f>Infrastructure!L9</f>
        <v>Year 5</v>
      </c>
      <c r="M1318" s="829" t="s">
        <v>131</v>
      </c>
      <c r="N1318" s="510"/>
      <c r="O1318" s="518" t="s">
        <v>215</v>
      </c>
      <c r="P1318" s="518" t="s">
        <v>216</v>
      </c>
      <c r="Q1318" s="510"/>
      <c r="R1318" s="828" t="s">
        <v>210</v>
      </c>
      <c r="S1318" s="1275" t="str">
        <f>H1318</f>
        <v>Year 1</v>
      </c>
      <c r="T1318" s="1275" t="str">
        <f>I1318</f>
        <v>Year 2</v>
      </c>
      <c r="U1318" s="1275" t="str">
        <f>J1318</f>
        <v>Year 3</v>
      </c>
      <c r="V1318" s="1275" t="str">
        <f>IF(Years="Five",K1318,"Total")</f>
        <v>Year 4</v>
      </c>
      <c r="W1318" s="1275" t="str">
        <f>L1318</f>
        <v>Year 5</v>
      </c>
      <c r="X1318" s="829" t="s">
        <v>131</v>
      </c>
    </row>
    <row r="1319" spans="1:24" ht="12" customHeight="1" x14ac:dyDescent="0.3">
      <c r="A1319" s="5"/>
      <c r="B1319" s="133"/>
      <c r="C1319" s="1276" t="str">
        <f>Infrastructure!I17</f>
        <v>Year 1</v>
      </c>
      <c r="D1319" s="669"/>
      <c r="E1319" s="670"/>
      <c r="F1319" s="516"/>
      <c r="G1319" s="9" t="str">
        <f>IF(D1309="Annual","Deferred","Revenue")</f>
        <v>Revenue</v>
      </c>
      <c r="H1319" s="520">
        <f>SUM(L1343:L1354)</f>
        <v>0</v>
      </c>
      <c r="I1319" s="520">
        <f>SUM(L1355:L1366)</f>
        <v>0</v>
      </c>
      <c r="J1319" s="520">
        <f>SUM(L1367:L1378)</f>
        <v>0</v>
      </c>
      <c r="K1319" s="520">
        <f>IF(Years="Five",SUM(L1379:L1390),SUM(H1319:J1319))</f>
        <v>0</v>
      </c>
      <c r="L1319" s="520">
        <f>SUM(L1391:L1402)</f>
        <v>0</v>
      </c>
      <c r="M1319" s="827">
        <f>SUM(H1319:L1319)</f>
        <v>0</v>
      </c>
      <c r="N1319" s="1276" t="str">
        <f>C1319</f>
        <v>Year 1</v>
      </c>
      <c r="O1319" s="669"/>
      <c r="P1319" s="670"/>
      <c r="Q1319" s="510"/>
      <c r="R1319" s="41" t="s">
        <v>217</v>
      </c>
      <c r="S1319" s="520">
        <f>Calcs!W188</f>
        <v>0</v>
      </c>
      <c r="T1319" s="520">
        <f>Calcs!AI188</f>
        <v>0</v>
      </c>
      <c r="U1319" s="520">
        <f>Calcs!AU188</f>
        <v>0</v>
      </c>
      <c r="V1319" s="520">
        <f>Calcs!BG188</f>
        <v>0</v>
      </c>
      <c r="W1319" s="520">
        <f>Calcs!BS188</f>
        <v>0</v>
      </c>
      <c r="X1319" s="1296"/>
    </row>
    <row r="1320" spans="1:24" ht="12" customHeight="1" x14ac:dyDescent="0.3">
      <c r="A1320" s="5"/>
      <c r="B1320" s="133"/>
      <c r="C1320" s="1276" t="str">
        <f>Infrastructure!I18</f>
        <v>Year 2</v>
      </c>
      <c r="D1320" s="671">
        <f>D1319</f>
        <v>0</v>
      </c>
      <c r="E1320" s="672">
        <f>E1319</f>
        <v>0</v>
      </c>
      <c r="F1320" s="516"/>
      <c r="G1320" s="655" t="str">
        <f>IF(D1309="Annual","Earned","")</f>
        <v/>
      </c>
      <c r="H1320" s="520"/>
      <c r="I1320" s="520" t="str">
        <f>IF($D$1309="Annual",SUM(Calcs!E$228:E$239),"")</f>
        <v/>
      </c>
      <c r="J1320" s="520" t="str">
        <f>IF($D$1309="Annual",SUM(Calcs!E$240:E$251),"")</f>
        <v/>
      </c>
      <c r="K1320" s="520" t="str">
        <f>IF($D$1309="Annual",SUM(Calcs!E$252:E$263),"")</f>
        <v/>
      </c>
      <c r="L1320" s="520" t="str">
        <f>IF($D$1309="Annual",SUM(Calcs!E$264:E$275),"")</f>
        <v/>
      </c>
      <c r="M1320" s="41"/>
      <c r="N1320" s="1276" t="str">
        <f>C1320</f>
        <v>Year 2</v>
      </c>
      <c r="O1320" s="671">
        <f>O1319</f>
        <v>0</v>
      </c>
      <c r="P1320" s="672">
        <f>P1319</f>
        <v>0</v>
      </c>
      <c r="Q1320" s="510"/>
      <c r="R1320" s="41" t="s">
        <v>218</v>
      </c>
      <c r="S1320" s="520">
        <f>SUM(Calcs!E216:E227)</f>
        <v>0</v>
      </c>
      <c r="T1320" s="520">
        <f>SUM(Calcs!E228:E239)</f>
        <v>0</v>
      </c>
      <c r="U1320" s="520">
        <f>SUM(Calcs!E240:E251)</f>
        <v>0</v>
      </c>
      <c r="V1320" s="520">
        <f>IF(Years="Five",SUM(Calcs!E240:E251),SUM(S1320:U1320))</f>
        <v>0</v>
      </c>
      <c r="W1320" s="520">
        <f>SUM(Calcs!E264:E275)</f>
        <v>0</v>
      </c>
      <c r="X1320" s="520">
        <f>SUM(S1320:W1320)</f>
        <v>0</v>
      </c>
    </row>
    <row r="1321" spans="1:24" ht="12" customHeight="1" thickBot="1" x14ac:dyDescent="0.35">
      <c r="A1321" s="5"/>
      <c r="B1321" s="133"/>
      <c r="C1321" s="1276" t="str">
        <f>Infrastructure!I19</f>
        <v>Year 3</v>
      </c>
      <c r="D1321" s="673">
        <f>D1320</f>
        <v>0</v>
      </c>
      <c r="E1321" s="674">
        <f>E1320</f>
        <v>0</v>
      </c>
      <c r="F1321" s="516"/>
      <c r="G1321" s="6"/>
      <c r="H1321" s="516"/>
      <c r="I1321" s="516"/>
      <c r="J1321" s="516"/>
      <c r="K1321" s="516"/>
      <c r="L1321" s="516"/>
      <c r="M1321" s="41"/>
      <c r="N1321" s="1276" t="str">
        <f>C1321</f>
        <v>Year 3</v>
      </c>
      <c r="O1321" s="673">
        <f>O1320</f>
        <v>0</v>
      </c>
      <c r="P1321" s="674">
        <f>P1320</f>
        <v>0</v>
      </c>
      <c r="Q1321" s="510"/>
    </row>
    <row r="1322" spans="1:24" ht="12" customHeight="1" x14ac:dyDescent="0.3">
      <c r="A1322" s="5"/>
      <c r="B1322" s="133"/>
      <c r="C1322" s="1276" t="str">
        <f>Infrastructure!I20</f>
        <v>Year 4</v>
      </c>
      <c r="D1322" s="1231">
        <f>D1321</f>
        <v>0</v>
      </c>
      <c r="E1322" s="1232">
        <f>E1321</f>
        <v>0</v>
      </c>
      <c r="F1322" s="516"/>
      <c r="G1322" s="518" t="str">
        <f>IF(D1309="Annual","Total Cash Flow","")</f>
        <v/>
      </c>
      <c r="H1322" s="521" t="str">
        <f>IF($D$1309="Annual",H1319+H1320,"")</f>
        <v/>
      </c>
      <c r="I1322" s="521" t="str">
        <f>IF($D$1309="Annual",I1319+I1320,"")</f>
        <v/>
      </c>
      <c r="J1322" s="521" t="str">
        <f>IF($D$1309="Annual",J1319+J1320,"")</f>
        <v/>
      </c>
      <c r="K1322" s="521" t="str">
        <f>IF($D$1309="Annual",K1319+K1320,"")</f>
        <v/>
      </c>
      <c r="L1322" s="521" t="str">
        <f>IF($D$1309="Annual",L1319+L1320,"")</f>
        <v/>
      </c>
      <c r="M1322" s="41"/>
      <c r="N1322" s="1276" t="str">
        <f>C1322</f>
        <v>Year 4</v>
      </c>
      <c r="O1322" s="1231">
        <f>O1321</f>
        <v>0</v>
      </c>
      <c r="P1322" s="1232">
        <f>P1321</f>
        <v>0</v>
      </c>
      <c r="Q1322" s="510"/>
      <c r="R1322" s="515" t="s">
        <v>219</v>
      </c>
      <c r="S1322" s="521">
        <f>S1319+S1320</f>
        <v>0</v>
      </c>
      <c r="T1322" s="521">
        <f>T1319+T1320</f>
        <v>0</v>
      </c>
      <c r="U1322" s="521">
        <f>U1319+U1320</f>
        <v>0</v>
      </c>
      <c r="V1322" s="521">
        <f>V1319+V1320</f>
        <v>0</v>
      </c>
      <c r="W1322" s="521">
        <f>W1319+W1320</f>
        <v>0</v>
      </c>
      <c r="X1322" s="521">
        <f>SUM(S1322:W1322)</f>
        <v>0</v>
      </c>
    </row>
    <row r="1323" spans="1:24" ht="12" customHeight="1" thickBot="1" x14ac:dyDescent="0.35">
      <c r="A1323" s="5"/>
      <c r="B1323" s="133"/>
      <c r="C1323" s="1276" t="str">
        <f>Infrastructure!I21</f>
        <v>Year 5</v>
      </c>
      <c r="D1323" s="673">
        <f>D1322</f>
        <v>0</v>
      </c>
      <c r="E1323" s="674">
        <f>E1322</f>
        <v>0</v>
      </c>
      <c r="F1323" s="516"/>
      <c r="G1323" s="516"/>
      <c r="H1323" s="516"/>
      <c r="I1323" s="516"/>
      <c r="J1323" s="516"/>
      <c r="K1323" s="516"/>
      <c r="L1323" s="516"/>
      <c r="M1323" s="41"/>
      <c r="N1323" s="1276" t="str">
        <f>C1323</f>
        <v>Year 5</v>
      </c>
      <c r="O1323" s="673">
        <f>O1322</f>
        <v>0</v>
      </c>
      <c r="P1323" s="674">
        <f>P1322</f>
        <v>0</v>
      </c>
    </row>
    <row r="1324" spans="1:24" ht="12" customHeight="1" x14ac:dyDescent="0.3">
      <c r="A1324" s="5"/>
      <c r="B1324" s="133"/>
      <c r="C1324" s="516"/>
      <c r="D1324" s="516"/>
      <c r="E1324" s="516"/>
      <c r="F1324" s="516"/>
      <c r="G1324" s="516"/>
      <c r="H1324" s="516"/>
      <c r="I1324" s="516"/>
      <c r="J1324" s="516"/>
      <c r="K1324" s="516"/>
      <c r="L1324" s="516"/>
      <c r="M1324" s="514"/>
    </row>
    <row r="1325" spans="1:24" ht="12" customHeight="1" x14ac:dyDescent="0.3">
      <c r="A1325" s="5"/>
      <c r="B1325" s="133"/>
      <c r="C1325" s="522"/>
      <c r="D1325" s="519"/>
      <c r="E1325" s="519"/>
      <c r="F1325" s="519"/>
      <c r="G1325" s="519"/>
      <c r="H1325" s="519"/>
      <c r="I1325" s="519"/>
      <c r="J1325" s="516"/>
      <c r="K1325" s="516"/>
      <c r="L1325" s="516"/>
      <c r="M1325" s="514"/>
    </row>
    <row r="1326" spans="1:24" ht="12" customHeight="1" x14ac:dyDescent="0.3">
      <c r="A1326" s="5"/>
      <c r="B1326" s="133"/>
      <c r="C1326" s="522"/>
      <c r="D1326" s="1875" t="str">
        <f>IF(D1309="Annual","Annual Growth","Monthly Growth")</f>
        <v>Monthly Growth</v>
      </c>
      <c r="E1326" s="1876"/>
      <c r="F1326" s="514"/>
      <c r="G1326" s="1872" t="str">
        <f>IF(D1309="Annual","Annual Results","Monthly Results")</f>
        <v>Monthly Results</v>
      </c>
      <c r="H1326" s="1873"/>
      <c r="I1326" s="1873"/>
      <c r="J1326" s="1873"/>
      <c r="K1326" s="1873"/>
      <c r="L1326" s="1874"/>
      <c r="M1326" s="516"/>
      <c r="O1326" s="523" t="s">
        <v>220</v>
      </c>
      <c r="P1326" s="524"/>
      <c r="R1326" s="1853" t="s">
        <v>221</v>
      </c>
      <c r="S1326" s="1854"/>
      <c r="T1326" s="1854"/>
      <c r="U1326" s="1854"/>
      <c r="V1326" s="1854"/>
      <c r="W1326" s="1855"/>
    </row>
    <row r="1327" spans="1:24" ht="12" customHeight="1" thickBot="1" x14ac:dyDescent="0.35">
      <c r="A1327" s="5"/>
      <c r="B1327" s="133"/>
      <c r="C1327" s="519"/>
      <c r="D1327" s="516"/>
      <c r="E1327" s="516"/>
      <c r="F1327" s="514"/>
      <c r="G1327" s="516"/>
      <c r="H1327" s="516"/>
      <c r="I1327" s="516"/>
      <c r="J1327" s="516"/>
      <c r="K1327" s="516"/>
      <c r="L1327" s="516"/>
      <c r="M1327" s="516"/>
    </row>
    <row r="1328" spans="1:24" ht="12" customHeight="1" thickBot="1" x14ac:dyDescent="0.35">
      <c r="A1328" s="133"/>
      <c r="B1328" s="133"/>
      <c r="C1328" s="519"/>
      <c r="D1328" s="525" t="s">
        <v>222</v>
      </c>
      <c r="E1328" s="526" t="s">
        <v>216</v>
      </c>
      <c r="F1328" s="514"/>
      <c r="G1328" s="527" t="s">
        <v>223</v>
      </c>
      <c r="H1328" s="527" t="s">
        <v>224</v>
      </c>
      <c r="I1328" s="527" t="s">
        <v>225</v>
      </c>
      <c r="J1328" s="527" t="s">
        <v>226</v>
      </c>
      <c r="K1328" s="527" t="s">
        <v>227</v>
      </c>
      <c r="L1328" s="527" t="s">
        <v>207</v>
      </c>
      <c r="M1328" s="516"/>
      <c r="O1328" s="525" t="s">
        <v>222</v>
      </c>
      <c r="P1328" s="526" t="s">
        <v>216</v>
      </c>
      <c r="R1328" s="527" t="s">
        <v>223</v>
      </c>
      <c r="S1328" s="527" t="s">
        <v>224</v>
      </c>
      <c r="T1328" s="527" t="s">
        <v>225</v>
      </c>
      <c r="U1328" s="527" t="s">
        <v>226</v>
      </c>
      <c r="V1328" s="527" t="s">
        <v>227</v>
      </c>
      <c r="W1328" s="527" t="s">
        <v>207</v>
      </c>
    </row>
    <row r="1329" spans="1:23" ht="12" hidden="1" customHeight="1" x14ac:dyDescent="0.3">
      <c r="A1329" s="133"/>
      <c r="B1329" s="133"/>
      <c r="C1329" s="519"/>
      <c r="D1329" s="519"/>
      <c r="E1329" s="519"/>
      <c r="F1329" s="514"/>
      <c r="G1329" s="514"/>
      <c r="H1329" s="514"/>
      <c r="I1329" s="514"/>
      <c r="J1329" s="514"/>
      <c r="K1329" s="514"/>
      <c r="L1329" s="514"/>
      <c r="M1329" s="516"/>
      <c r="O1329" s="519"/>
      <c r="P1329" s="519"/>
      <c r="Q1329" s="514"/>
      <c r="R1329" s="514"/>
      <c r="S1329" s="514"/>
      <c r="T1329" s="514"/>
      <c r="U1329" s="514"/>
      <c r="V1329" s="514"/>
      <c r="W1329" s="514"/>
    </row>
    <row r="1330" spans="1:23" ht="12" hidden="1" customHeight="1" x14ac:dyDescent="0.3">
      <c r="A1330" s="133"/>
      <c r="B1330" s="133"/>
      <c r="C1330" s="519"/>
      <c r="D1330" s="519"/>
      <c r="E1330" s="519"/>
      <c r="F1330" s="514"/>
      <c r="G1330" s="514"/>
      <c r="H1330" s="514"/>
      <c r="I1330" s="514"/>
      <c r="J1330" s="514"/>
      <c r="K1330" s="514"/>
      <c r="L1330" s="514"/>
      <c r="M1330" s="516"/>
      <c r="O1330" s="519"/>
      <c r="P1330" s="519"/>
      <c r="Q1330" s="514"/>
      <c r="R1330" s="514"/>
      <c r="S1330" s="514"/>
      <c r="T1330" s="514"/>
      <c r="U1330" s="514"/>
      <c r="V1330" s="514"/>
      <c r="W1330" s="514"/>
    </row>
    <row r="1331" spans="1:23" ht="12" hidden="1" customHeight="1" x14ac:dyDescent="0.3">
      <c r="A1331" s="133"/>
      <c r="B1331" s="133"/>
      <c r="C1331" s="519"/>
      <c r="D1331" s="519"/>
      <c r="E1331" s="519"/>
      <c r="F1331" s="516"/>
      <c r="G1331" s="516"/>
      <c r="H1331" s="516"/>
      <c r="I1331" s="516"/>
      <c r="J1331" s="516"/>
      <c r="K1331" s="516"/>
      <c r="L1331" s="516"/>
      <c r="M1331" s="516"/>
      <c r="O1331" s="519"/>
      <c r="P1331" s="519"/>
      <c r="Q1331" s="516"/>
      <c r="R1331" s="516"/>
      <c r="S1331" s="516"/>
      <c r="T1331" s="516"/>
      <c r="U1331" s="516"/>
      <c r="V1331" s="516"/>
      <c r="W1331" s="516"/>
    </row>
    <row r="1332" spans="1:23" ht="12" hidden="1" customHeight="1" x14ac:dyDescent="0.3">
      <c r="A1332" s="133"/>
      <c r="B1332" s="133"/>
      <c r="C1332" s="519"/>
      <c r="D1332" s="519"/>
      <c r="E1332" s="519"/>
      <c r="F1332" s="516"/>
      <c r="G1332" s="516"/>
      <c r="H1332" s="516"/>
      <c r="I1332" s="516"/>
      <c r="J1332" s="516"/>
      <c r="K1332" s="516"/>
      <c r="L1332" s="516"/>
      <c r="M1332" s="516"/>
      <c r="O1332" s="519"/>
      <c r="P1332" s="519"/>
      <c r="Q1332" s="516"/>
      <c r="R1332" s="516"/>
      <c r="S1332" s="516"/>
      <c r="T1332" s="516"/>
      <c r="U1332" s="516"/>
      <c r="V1332" s="516"/>
      <c r="W1332" s="516"/>
    </row>
    <row r="1333" spans="1:23" ht="12" hidden="1" customHeight="1" x14ac:dyDescent="0.3">
      <c r="A1333" s="133"/>
      <c r="B1333" s="133"/>
      <c r="C1333" s="519"/>
      <c r="D1333" s="519"/>
      <c r="E1333" s="519"/>
      <c r="F1333" s="516"/>
      <c r="G1333" s="516"/>
      <c r="H1333" s="516"/>
      <c r="I1333" s="516"/>
      <c r="J1333" s="516"/>
      <c r="K1333" s="516"/>
      <c r="L1333" s="516"/>
      <c r="M1333" s="516"/>
      <c r="O1333" s="519"/>
      <c r="P1333" s="519"/>
      <c r="Q1333" s="516"/>
      <c r="R1333" s="516"/>
      <c r="S1333" s="516"/>
      <c r="T1333" s="516"/>
      <c r="U1333" s="516"/>
      <c r="V1333" s="516"/>
      <c r="W1333" s="516"/>
    </row>
    <row r="1334" spans="1:23" ht="12" hidden="1" customHeight="1" x14ac:dyDescent="0.3">
      <c r="A1334" s="133"/>
      <c r="B1334" s="133"/>
      <c r="C1334" s="519"/>
      <c r="D1334" s="519"/>
      <c r="E1334" s="519"/>
      <c r="F1334" s="516"/>
      <c r="G1334" s="516"/>
      <c r="H1334" s="516"/>
      <c r="I1334" s="516"/>
      <c r="J1334" s="516"/>
      <c r="K1334" s="516"/>
      <c r="L1334" s="516"/>
      <c r="M1334" s="516"/>
      <c r="O1334" s="519"/>
      <c r="P1334" s="519"/>
      <c r="Q1334" s="516"/>
      <c r="R1334" s="516"/>
      <c r="S1334" s="516"/>
      <c r="T1334" s="516"/>
      <c r="U1334" s="516"/>
      <c r="V1334" s="516"/>
      <c r="W1334" s="516"/>
    </row>
    <row r="1335" spans="1:23" ht="12" hidden="1" customHeight="1" x14ac:dyDescent="0.3">
      <c r="A1335" s="133"/>
      <c r="B1335" s="133"/>
      <c r="C1335" s="519"/>
      <c r="D1335" s="519"/>
      <c r="E1335" s="519"/>
      <c r="F1335" s="516"/>
      <c r="G1335" s="516"/>
      <c r="H1335" s="516"/>
      <c r="I1335" s="516"/>
      <c r="J1335" s="516"/>
      <c r="K1335" s="516"/>
      <c r="L1335" s="516"/>
      <c r="M1335" s="516"/>
      <c r="O1335" s="519"/>
      <c r="P1335" s="519"/>
      <c r="Q1335" s="516"/>
      <c r="R1335" s="516"/>
      <c r="S1335" s="516"/>
      <c r="T1335" s="516"/>
      <c r="U1335" s="516"/>
      <c r="V1335" s="516"/>
      <c r="W1335" s="516"/>
    </row>
    <row r="1336" spans="1:23" ht="12" hidden="1" customHeight="1" x14ac:dyDescent="0.3">
      <c r="A1336" s="133"/>
      <c r="B1336" s="133"/>
      <c r="C1336" s="519"/>
      <c r="D1336" s="519"/>
      <c r="E1336" s="519"/>
      <c r="F1336" s="516"/>
      <c r="G1336" s="516"/>
      <c r="H1336" s="516"/>
      <c r="I1336" s="516"/>
      <c r="J1336" s="516"/>
      <c r="K1336" s="516"/>
      <c r="L1336" s="516"/>
      <c r="M1336" s="516"/>
      <c r="O1336" s="519"/>
      <c r="P1336" s="519"/>
      <c r="Q1336" s="516"/>
      <c r="R1336" s="516"/>
      <c r="S1336" s="516"/>
      <c r="T1336" s="516"/>
      <c r="U1336" s="516"/>
      <c r="V1336" s="516"/>
      <c r="W1336" s="516"/>
    </row>
    <row r="1337" spans="1:23" ht="12" hidden="1" customHeight="1" x14ac:dyDescent="0.3">
      <c r="A1337" s="133"/>
      <c r="B1337" s="133"/>
      <c r="C1337" s="519"/>
      <c r="D1337" s="519"/>
      <c r="E1337" s="519"/>
      <c r="F1337" s="516"/>
      <c r="G1337" s="516"/>
      <c r="H1337" s="516"/>
      <c r="I1337" s="516"/>
      <c r="J1337" s="516"/>
      <c r="K1337" s="516"/>
      <c r="L1337" s="516"/>
      <c r="M1337" s="516"/>
      <c r="O1337" s="519"/>
      <c r="P1337" s="519"/>
      <c r="Q1337" s="516"/>
      <c r="R1337" s="516"/>
      <c r="S1337" s="516"/>
      <c r="T1337" s="516"/>
      <c r="U1337" s="516"/>
      <c r="V1337" s="516"/>
      <c r="W1337" s="516"/>
    </row>
    <row r="1338" spans="1:23" ht="12" hidden="1" customHeight="1" x14ac:dyDescent="0.3">
      <c r="A1338" s="133"/>
      <c r="B1338" s="133"/>
      <c r="C1338" s="519"/>
      <c r="D1338" s="519"/>
      <c r="E1338" s="519"/>
      <c r="F1338" s="516"/>
      <c r="G1338" s="516"/>
      <c r="H1338" s="516"/>
      <c r="I1338" s="516"/>
      <c r="J1338" s="516"/>
      <c r="K1338" s="516"/>
      <c r="L1338" s="516"/>
      <c r="M1338" s="516"/>
      <c r="O1338" s="519"/>
      <c r="P1338" s="519"/>
      <c r="Q1338" s="516"/>
      <c r="R1338" s="516"/>
      <c r="S1338" s="516"/>
      <c r="T1338" s="516"/>
      <c r="U1338" s="516"/>
      <c r="V1338" s="516"/>
      <c r="W1338" s="516"/>
    </row>
    <row r="1339" spans="1:23" ht="12" hidden="1" customHeight="1" x14ac:dyDescent="0.3">
      <c r="A1339" s="133"/>
      <c r="B1339" s="133"/>
      <c r="C1339" s="519"/>
      <c r="D1339" s="519"/>
      <c r="E1339" s="519"/>
      <c r="F1339" s="516"/>
      <c r="G1339" s="516"/>
      <c r="H1339" s="516"/>
      <c r="I1339" s="516"/>
      <c r="J1339" s="516"/>
      <c r="K1339" s="516"/>
      <c r="L1339" s="516"/>
      <c r="M1339" s="516"/>
      <c r="O1339" s="519"/>
      <c r="P1339" s="519"/>
      <c r="Q1339" s="516"/>
      <c r="R1339" s="516"/>
      <c r="S1339" s="516"/>
      <c r="T1339" s="516"/>
      <c r="U1339" s="516"/>
      <c r="V1339" s="516"/>
      <c r="W1339" s="516"/>
    </row>
    <row r="1340" spans="1:23" ht="12" hidden="1" customHeight="1" x14ac:dyDescent="0.3">
      <c r="A1340" s="133"/>
      <c r="B1340" s="133"/>
      <c r="C1340" s="519"/>
      <c r="D1340" s="519"/>
      <c r="E1340" s="519"/>
      <c r="F1340" s="516"/>
      <c r="G1340" s="516"/>
      <c r="H1340" s="516"/>
      <c r="I1340" s="516"/>
      <c r="J1340" s="516"/>
      <c r="K1340" s="516"/>
      <c r="L1340" s="516"/>
      <c r="M1340" s="516"/>
      <c r="O1340" s="519"/>
      <c r="P1340" s="519"/>
      <c r="Q1340" s="516"/>
      <c r="R1340" s="516"/>
      <c r="S1340" s="516"/>
      <c r="T1340" s="516"/>
      <c r="U1340" s="516"/>
      <c r="V1340" s="516"/>
      <c r="W1340" s="516"/>
    </row>
    <row r="1341" spans="1:23" ht="12" hidden="1" customHeight="1" x14ac:dyDescent="0.3">
      <c r="A1341" s="133"/>
      <c r="B1341" s="133"/>
      <c r="C1341" s="519"/>
      <c r="D1341" s="519"/>
      <c r="E1341" s="519"/>
      <c r="F1341" s="516"/>
      <c r="G1341" s="516"/>
      <c r="H1341" s="516"/>
      <c r="I1341" s="516"/>
      <c r="J1341" s="516"/>
      <c r="K1341" s="516"/>
      <c r="L1341" s="516"/>
      <c r="M1341" s="516"/>
      <c r="O1341" s="519"/>
      <c r="P1341" s="519"/>
      <c r="Q1341" s="516"/>
      <c r="R1341" s="516"/>
      <c r="S1341" s="516"/>
      <c r="T1341" s="516"/>
      <c r="U1341" s="516"/>
      <c r="V1341" s="516"/>
      <c r="W1341" s="516"/>
    </row>
    <row r="1342" spans="1:23" ht="11.65" hidden="1" customHeight="1" thickBot="1" x14ac:dyDescent="0.35">
      <c r="A1342" s="133"/>
      <c r="B1342" s="133"/>
      <c r="C1342" s="519"/>
      <c r="D1342" s="519"/>
      <c r="E1342" s="519"/>
      <c r="F1342" s="516"/>
      <c r="G1342" s="516"/>
      <c r="H1342" s="516"/>
      <c r="I1342" s="516"/>
      <c r="J1342" s="516"/>
      <c r="K1342" s="516"/>
      <c r="L1342" s="516"/>
      <c r="M1342" s="516"/>
      <c r="O1342" s="519"/>
      <c r="P1342" s="519"/>
      <c r="Q1342" s="516"/>
      <c r="R1342" s="516"/>
      <c r="S1342" s="516"/>
      <c r="T1342" s="516"/>
      <c r="U1342" s="516"/>
      <c r="V1342" s="516"/>
      <c r="W1342" s="516"/>
    </row>
    <row r="1343" spans="1:23" ht="12" customHeight="1" thickBot="1" x14ac:dyDescent="0.35">
      <c r="A1343" s="133"/>
      <c r="B1343" s="133"/>
      <c r="C1343" s="528">
        <f>Infrastructure!D70</f>
        <v>0</v>
      </c>
      <c r="D1343" s="529"/>
      <c r="E1343" s="530"/>
      <c r="F1343" s="528">
        <f>C1343</f>
        <v>0</v>
      </c>
      <c r="G1343" s="1277">
        <f>IF($D$1312=$C1343,$D$1313,0)</f>
        <v>0</v>
      </c>
      <c r="H1343" s="531"/>
      <c r="I1343" s="532">
        <f>IF($D$1309="Annual",0,H1343*D$1315)</f>
        <v>0</v>
      </c>
      <c r="J1343" s="533">
        <f>G1343+H1343</f>
        <v>0</v>
      </c>
      <c r="K1343" s="534">
        <f>IF(OR($D$1312&gt;$C1343,$D$1312=""),0,$D$1314)</f>
        <v>0</v>
      </c>
      <c r="L1343" s="661">
        <f>(G1343+H1343)*K1343</f>
        <v>0</v>
      </c>
      <c r="M1343" s="516"/>
      <c r="N1343" s="528">
        <f>F1343</f>
        <v>0</v>
      </c>
      <c r="O1343" s="529"/>
      <c r="P1343" s="530"/>
      <c r="Q1343" s="528">
        <f>N1343</f>
        <v>0</v>
      </c>
      <c r="R1343" s="664">
        <f>ROUND(IF($O$1312=$C1343,$O$1313,0),0)</f>
        <v>0</v>
      </c>
      <c r="S1343" s="531"/>
      <c r="T1343" s="532"/>
      <c r="U1343" s="533">
        <f>R1343</f>
        <v>0</v>
      </c>
      <c r="V1343" s="534">
        <f>IF(OR($O$1312="",$O$1312&gt;$C1343),0,$O$1314)</f>
        <v>0</v>
      </c>
      <c r="W1343" s="535">
        <f>R1343*V1343</f>
        <v>0</v>
      </c>
    </row>
    <row r="1344" spans="1:23" ht="12" customHeight="1" x14ac:dyDescent="0.3">
      <c r="A1344" s="133"/>
      <c r="B1344" s="133"/>
      <c r="C1344" s="528">
        <f>Infrastructure!D71</f>
        <v>59</v>
      </c>
      <c r="D1344" s="435">
        <f>IF($D$1312&gt;$C1343,0,$D$1319)</f>
        <v>0</v>
      </c>
      <c r="E1344" s="436">
        <f>IF($D$1312&gt;$C1343,0,$E$1319)</f>
        <v>0</v>
      </c>
      <c r="F1344" s="528">
        <f>C1344</f>
        <v>59</v>
      </c>
      <c r="G1344" s="536">
        <f>IF($D$1312="",0,IF($D$1312=$C1344,$D$1313,G1343*(1+D1344)+E1344))</f>
        <v>0</v>
      </c>
      <c r="H1344" s="660">
        <f>IF(OR($D$1309="Monthly",$D$1309="Both"),J1343*(1-$D$1315),0)</f>
        <v>0</v>
      </c>
      <c r="I1344" s="538">
        <f>IF(OR($D$1309="Monthly",$D$1309="Both"),J1343*$D$1315,0)</f>
        <v>0</v>
      </c>
      <c r="J1344" s="539">
        <f>G1344+H1344</f>
        <v>0</v>
      </c>
      <c r="K1344" s="540">
        <f>IF(OR($D$1312&gt;$C1344,$D$1312=""),0,$D$1314)</f>
        <v>0</v>
      </c>
      <c r="L1344" s="541">
        <f>(G1344+H1344)*K1344</f>
        <v>0</v>
      </c>
      <c r="M1344" s="516"/>
      <c r="N1344" s="528">
        <f>F1344</f>
        <v>59</v>
      </c>
      <c r="O1344" s="435">
        <f>IF($O$1312&gt;$C1343,0,$O$1319)</f>
        <v>0</v>
      </c>
      <c r="P1344" s="436">
        <f>IF($O$1314&gt;$C1343,0,$P$1321)</f>
        <v>0</v>
      </c>
      <c r="Q1344" s="528">
        <f>N1344</f>
        <v>59</v>
      </c>
      <c r="R1344" s="536">
        <f>ROUND(IF($O$1312="",0,IF($O$1312=$C1344,$O$1313,R1343*(1+O1344)+P1344)),0)</f>
        <v>0</v>
      </c>
      <c r="S1344" s="537"/>
      <c r="T1344" s="538"/>
      <c r="U1344" s="539">
        <f>U1343+R1344</f>
        <v>0</v>
      </c>
      <c r="V1344" s="540">
        <f>IF(OR($O$1312="",$O$1312&gt;$C1344),0,$O$1314)</f>
        <v>0</v>
      </c>
      <c r="W1344" s="541">
        <f>R1344*V1344</f>
        <v>0</v>
      </c>
    </row>
    <row r="1345" spans="1:23" ht="12" customHeight="1" x14ac:dyDescent="0.3">
      <c r="A1345" s="133"/>
      <c r="B1345" s="133"/>
      <c r="C1345" s="528">
        <f>Infrastructure!D72</f>
        <v>91</v>
      </c>
      <c r="D1345" s="437">
        <f>IF($D$1312&gt;$C1344,0,$D$1319)</f>
        <v>0</v>
      </c>
      <c r="E1345" s="438">
        <f>IF($D$1312&gt;$C1344,0,$E$1319)</f>
        <v>0</v>
      </c>
      <c r="F1345" s="528">
        <f>C1345</f>
        <v>91</v>
      </c>
      <c r="G1345" s="536">
        <f>IF($D$1312="",0,IF($D$1312=$C1345,$D$1313,G1344*(1+D1345)+E1345))</f>
        <v>0</v>
      </c>
      <c r="H1345" s="537">
        <f>IF(OR($D$1309="Monthly",$D$1309="Both"),J1344*(1-$D$1305),0)</f>
        <v>0</v>
      </c>
      <c r="I1345" s="538">
        <f>IF(OR($D$1309="Monthly",$D$1309="Both"),J1344*$D$1315,0)</f>
        <v>0</v>
      </c>
      <c r="J1345" s="539">
        <f>G1345+H1345</f>
        <v>0</v>
      </c>
      <c r="K1345" s="540">
        <f>IF(OR($D$1312&gt;$C1345,$D$1312=""),0,$D$1314)</f>
        <v>0</v>
      </c>
      <c r="L1345" s="541">
        <f>(G1345+H1345)*K1345</f>
        <v>0</v>
      </c>
      <c r="M1345" s="516"/>
      <c r="N1345" s="528">
        <f>F1345</f>
        <v>91</v>
      </c>
      <c r="O1345" s="437">
        <f>IF($O$1312&gt;$C1344,0,$O$1319)</f>
        <v>0</v>
      </c>
      <c r="P1345" s="438">
        <f>IF($O$1314&gt;$C1344,0,$P$1321)</f>
        <v>0</v>
      </c>
      <c r="Q1345" s="528">
        <f>N1345</f>
        <v>91</v>
      </c>
      <c r="R1345" s="536">
        <f>ROUND(IF($O$1312="",0,IF($O$1312=$C1345,$O$1313,R1344*(1+O1345)+P1345)),0)</f>
        <v>0</v>
      </c>
      <c r="S1345" s="537"/>
      <c r="T1345" s="538"/>
      <c r="U1345" s="539">
        <f>U1344+R1345</f>
        <v>0</v>
      </c>
      <c r="V1345" s="540">
        <f>IF(OR($O$1312="",$O$1312&gt;$C1345),0,$O$1314)</f>
        <v>0</v>
      </c>
      <c r="W1345" s="541">
        <f>R1345*V1345</f>
        <v>0</v>
      </c>
    </row>
    <row r="1346" spans="1:23" ht="12" customHeight="1" x14ac:dyDescent="0.3">
      <c r="A1346" s="133"/>
      <c r="B1346" s="133"/>
      <c r="C1346" s="528">
        <f>Infrastructure!D73</f>
        <v>121</v>
      </c>
      <c r="D1346" s="437">
        <f>IF($D$1312&gt;$C1345,0,$D$1319)</f>
        <v>0</v>
      </c>
      <c r="E1346" s="438">
        <f>IF($D$1312&gt;$C1345,0,$E$1319)</f>
        <v>0</v>
      </c>
      <c r="F1346" s="528">
        <f>C1346</f>
        <v>121</v>
      </c>
      <c r="G1346" s="536">
        <f>IF($D$1312="",0,IF($D$1312=$C1346,$D$1313,G1345*(1+D1346)+E1346))</f>
        <v>0</v>
      </c>
      <c r="H1346" s="537">
        <f>IF(OR($D$1309="Monthly",$D$1309="Both"),J1345*(1-$D$1305),0)</f>
        <v>0</v>
      </c>
      <c r="I1346" s="538">
        <f>IF(OR($D$1309="Monthly",$D$1309="Both"),J1345*$D$1315,0)</f>
        <v>0</v>
      </c>
      <c r="J1346" s="539">
        <f>G1346+H1346</f>
        <v>0</v>
      </c>
      <c r="K1346" s="540">
        <f>IF(OR($D$1312&gt;$C1346,$D$1312=""),0,$D$1314)</f>
        <v>0</v>
      </c>
      <c r="L1346" s="541">
        <f>(G1346+H1346)*K1346</f>
        <v>0</v>
      </c>
      <c r="M1346" s="516"/>
      <c r="N1346" s="528">
        <f>F1346</f>
        <v>121</v>
      </c>
      <c r="O1346" s="437">
        <f>IF($O$1312&gt;$C1345,0,$O$1319)</f>
        <v>0</v>
      </c>
      <c r="P1346" s="438">
        <f>IF($O$1314&gt;$C1345,0,$P$1321)</f>
        <v>0</v>
      </c>
      <c r="Q1346" s="528">
        <f>N1346</f>
        <v>121</v>
      </c>
      <c r="R1346" s="536">
        <f>ROUND(IF($O$1312="",0,IF($O$1312=$C1346,$O$1313,R1345*(1+O1346)+P1346)),0)</f>
        <v>0</v>
      </c>
      <c r="S1346" s="537"/>
      <c r="T1346" s="538"/>
      <c r="U1346" s="539">
        <f>U1345+R1346</f>
        <v>0</v>
      </c>
      <c r="V1346" s="540">
        <f>IF(OR($O$1312="",$O$1312&gt;$C1346),0,$O$1314)</f>
        <v>0</v>
      </c>
      <c r="W1346" s="541">
        <f>R1346*V1346</f>
        <v>0</v>
      </c>
    </row>
    <row r="1347" spans="1:23" ht="12" customHeight="1" x14ac:dyDescent="0.3">
      <c r="A1347" s="133"/>
      <c r="B1347" s="133"/>
      <c r="C1347" s="528">
        <f>Infrastructure!D74</f>
        <v>152</v>
      </c>
      <c r="D1347" s="437">
        <f>IF($D$1312&gt;$C1346,0,$D$1319)</f>
        <v>0</v>
      </c>
      <c r="E1347" s="438">
        <f>IF($D$1312&gt;$C1346,0,$E$1319)</f>
        <v>0</v>
      </c>
      <c r="F1347" s="528">
        <f>C1347</f>
        <v>152</v>
      </c>
      <c r="G1347" s="536">
        <f>IF($D$1312="",0,IF($D$1312=$C1347,$D$1313,G1346*(1+D1347)+E1347))</f>
        <v>0</v>
      </c>
      <c r="H1347" s="537">
        <f>IF(OR($D$1309="Monthly",$D$1309="Both"),J1346*(1-$D$1305),0)</f>
        <v>0</v>
      </c>
      <c r="I1347" s="538">
        <f>IF(OR($D$1309="Monthly",$D$1309="Both"),J1346*$D$1315,0)</f>
        <v>0</v>
      </c>
      <c r="J1347" s="539">
        <f>G1347+H1347</f>
        <v>0</v>
      </c>
      <c r="K1347" s="540">
        <f>IF(OR($D$1312&gt;$C1347,$D$1312=""),0,$D$1314)</f>
        <v>0</v>
      </c>
      <c r="L1347" s="541">
        <f>(G1347+H1347)*K1347</f>
        <v>0</v>
      </c>
      <c r="M1347" s="516"/>
      <c r="N1347" s="528">
        <f>F1347</f>
        <v>152</v>
      </c>
      <c r="O1347" s="437">
        <f>IF($O$1312&gt;$C1346,0,$O$1319)</f>
        <v>0</v>
      </c>
      <c r="P1347" s="438">
        <f>IF($O$1314&gt;$C1346,0,$P$1321)</f>
        <v>0</v>
      </c>
      <c r="Q1347" s="528">
        <f>N1347</f>
        <v>152</v>
      </c>
      <c r="R1347" s="536">
        <f>ROUND(IF($O$1312="",0,IF($O$1312=$C1347,$O$1313,R1346*(1+O1347)+P1347)),0)</f>
        <v>0</v>
      </c>
      <c r="S1347" s="537"/>
      <c r="T1347" s="538"/>
      <c r="U1347" s="539">
        <f>U1346+R1347</f>
        <v>0</v>
      </c>
      <c r="V1347" s="540">
        <f>IF(OR($O$1312="",$O$1312&gt;$C1347),0,$O$1314)</f>
        <v>0</v>
      </c>
      <c r="W1347" s="541">
        <f>R1347*V1347</f>
        <v>0</v>
      </c>
    </row>
    <row r="1348" spans="1:23" ht="12" customHeight="1" x14ac:dyDescent="0.3">
      <c r="A1348" s="133"/>
      <c r="B1348" s="133"/>
      <c r="C1348" s="528">
        <f>Infrastructure!D75</f>
        <v>182</v>
      </c>
      <c r="D1348" s="437">
        <f>IF($D$1312&gt;$C1347,0,$D$1319)</f>
        <v>0</v>
      </c>
      <c r="E1348" s="438">
        <f>IF($D$1312&gt;$C1347,0,$E$1319)</f>
        <v>0</v>
      </c>
      <c r="F1348" s="528">
        <f>C1348</f>
        <v>182</v>
      </c>
      <c r="G1348" s="536">
        <f>IF($D$1312="",0,IF($D$1312=$C1348,$D$1313,G1347*(1+D1348)+E1348))</f>
        <v>0</v>
      </c>
      <c r="H1348" s="537">
        <f>IF(OR($D$1309="Monthly",$D$1309="Both"),J1347*(1-$D$1305),0)</f>
        <v>0</v>
      </c>
      <c r="I1348" s="538">
        <f>IF(OR($D$1309="Monthly",$D$1309="Both"),J1347*$D$1315,0)</f>
        <v>0</v>
      </c>
      <c r="J1348" s="539">
        <f>G1348+H1348</f>
        <v>0</v>
      </c>
      <c r="K1348" s="540">
        <f>IF(OR($D$1312&gt;$C1348,$D$1312=""),0,$D$1314)</f>
        <v>0</v>
      </c>
      <c r="L1348" s="541">
        <f>(G1348+H1348)*K1348</f>
        <v>0</v>
      </c>
      <c r="M1348" s="516"/>
      <c r="N1348" s="528">
        <f>F1348</f>
        <v>182</v>
      </c>
      <c r="O1348" s="437">
        <f>IF($O$1312&gt;$C1347,0,$O$1319)</f>
        <v>0</v>
      </c>
      <c r="P1348" s="438">
        <f>IF($O$1314&gt;$C1347,0,$P$1321)</f>
        <v>0</v>
      </c>
      <c r="Q1348" s="528">
        <f>N1348</f>
        <v>182</v>
      </c>
      <c r="R1348" s="536">
        <f>ROUND(IF($O$1312="",0,IF($O$1312=$C1348,$O$1313,R1347*(1+O1348)+P1348)),0)</f>
        <v>0</v>
      </c>
      <c r="S1348" s="537"/>
      <c r="T1348" s="538"/>
      <c r="U1348" s="539">
        <f>U1347+R1348</f>
        <v>0</v>
      </c>
      <c r="V1348" s="540">
        <f>IF(OR($O$1312="",$O$1312&gt;$C1348),0,$O$1314)</f>
        <v>0</v>
      </c>
      <c r="W1348" s="541">
        <f>R1348*V1348</f>
        <v>0</v>
      </c>
    </row>
    <row r="1349" spans="1:23" ht="12" customHeight="1" x14ac:dyDescent="0.3">
      <c r="A1349" s="133"/>
      <c r="B1349" s="133"/>
      <c r="C1349" s="528">
        <f>Infrastructure!D76</f>
        <v>213</v>
      </c>
      <c r="D1349" s="437">
        <f>IF($D$1312&gt;$C1348,0,$D$1319)</f>
        <v>0</v>
      </c>
      <c r="E1349" s="438">
        <f>IF($D$1312&gt;$C1348,0,$E$1319)</f>
        <v>0</v>
      </c>
      <c r="F1349" s="528">
        <f>C1349</f>
        <v>213</v>
      </c>
      <c r="G1349" s="536">
        <f>IF($D$1312="",0,IF($D$1312=$C1349,$D$1313,G1348*(1+D1349)+E1349))</f>
        <v>0</v>
      </c>
      <c r="H1349" s="537">
        <f>IF(OR($D$1309="Monthly",$D$1309="Both"),J1348*(1-$D$1305),0)</f>
        <v>0</v>
      </c>
      <c r="I1349" s="537">
        <f>IF(OR($D$1309="Monthly",$D$1309="Both"),J1348*$D$1315,0)</f>
        <v>0</v>
      </c>
      <c r="J1349" s="542">
        <f>G1349+H1349</f>
        <v>0</v>
      </c>
      <c r="K1349" s="540">
        <f>IF(OR($D$1312&gt;$C1349,$D$1312=""),0,$D$1314)</f>
        <v>0</v>
      </c>
      <c r="L1349" s="541">
        <f>(G1349+H1349)*K1349</f>
        <v>0</v>
      </c>
      <c r="M1349" s="516"/>
      <c r="N1349" s="528">
        <f>F1349</f>
        <v>213</v>
      </c>
      <c r="O1349" s="437">
        <f>IF($O$1312&gt;$C1348,0,$O$1319)</f>
        <v>0</v>
      </c>
      <c r="P1349" s="438">
        <f>IF($O$1314&gt;$C1348,0,$P$1321)</f>
        <v>0</v>
      </c>
      <c r="Q1349" s="528">
        <f>N1349</f>
        <v>213</v>
      </c>
      <c r="R1349" s="536">
        <f>ROUND(IF($O$1312="",0,IF($O$1312=$C1349,$O$1313,R1348*(1+O1349)+P1349)),0)</f>
        <v>0</v>
      </c>
      <c r="S1349" s="537"/>
      <c r="T1349" s="537"/>
      <c r="U1349" s="542">
        <f>U1348+R1349</f>
        <v>0</v>
      </c>
      <c r="V1349" s="540">
        <f>IF(OR($O$1312="",$O$1312&gt;$C1349),0,$O$1314)</f>
        <v>0</v>
      </c>
      <c r="W1349" s="541">
        <f>R1349*V1349</f>
        <v>0</v>
      </c>
    </row>
    <row r="1350" spans="1:23" ht="12" customHeight="1" x14ac:dyDescent="0.3">
      <c r="A1350" s="133"/>
      <c r="B1350" s="133"/>
      <c r="C1350" s="528">
        <f>Infrastructure!D77</f>
        <v>244</v>
      </c>
      <c r="D1350" s="437">
        <f>IF($D$1312&gt;$C1349,0,$D$1319)</f>
        <v>0</v>
      </c>
      <c r="E1350" s="438">
        <f>IF($D$1312&gt;$C1349,0,$E$1319)</f>
        <v>0</v>
      </c>
      <c r="F1350" s="528">
        <f>C1350</f>
        <v>244</v>
      </c>
      <c r="G1350" s="536">
        <f>IF($D$1312="",0,IF($D$1312=$C1350,$D$1313,G1349*(1+D1350)+E1350))</f>
        <v>0</v>
      </c>
      <c r="H1350" s="537">
        <f>IF(OR($D$1309="Monthly",$D$1309="Both"),J1349*(1-$D$1305),0)</f>
        <v>0</v>
      </c>
      <c r="I1350" s="537">
        <f>IF(OR($D$1309="Monthly",$D$1309="Both"),J1349*$D$1315,0)</f>
        <v>0</v>
      </c>
      <c r="J1350" s="542">
        <f>G1350+H1350</f>
        <v>0</v>
      </c>
      <c r="K1350" s="540">
        <f>IF(OR($D$1312&gt;$C1350,$D$1312=""),0,$D$1314)</f>
        <v>0</v>
      </c>
      <c r="L1350" s="541">
        <f>(G1350+H1350)*K1350</f>
        <v>0</v>
      </c>
      <c r="M1350" s="516"/>
      <c r="N1350" s="528">
        <f>F1350</f>
        <v>244</v>
      </c>
      <c r="O1350" s="437">
        <f>IF($O$1312&gt;$C1349,0,$O$1319)</f>
        <v>0</v>
      </c>
      <c r="P1350" s="438">
        <f>IF($O$1314&gt;$C1349,0,$P$1321)</f>
        <v>0</v>
      </c>
      <c r="Q1350" s="528">
        <f>N1350</f>
        <v>244</v>
      </c>
      <c r="R1350" s="536">
        <f>ROUND(IF($O$1312="",0,IF($O$1312=$C1350,$O$1313,R1349*(1+O1350)+P1350)),0)</f>
        <v>0</v>
      </c>
      <c r="S1350" s="537"/>
      <c r="T1350" s="537"/>
      <c r="U1350" s="542">
        <f>U1349+R1350</f>
        <v>0</v>
      </c>
      <c r="V1350" s="540">
        <f>IF(OR($O$1312="",$O$1312&gt;$C1350),0,$O$1314)</f>
        <v>0</v>
      </c>
      <c r="W1350" s="541">
        <f>R1350*V1350</f>
        <v>0</v>
      </c>
    </row>
    <row r="1351" spans="1:23" ht="12" customHeight="1" x14ac:dyDescent="0.3">
      <c r="A1351" s="133"/>
      <c r="B1351" s="133"/>
      <c r="C1351" s="528">
        <f>Infrastructure!D78</f>
        <v>274</v>
      </c>
      <c r="D1351" s="437">
        <f>IF($D$1312&gt;$C1350,0,$D$1319)</f>
        <v>0</v>
      </c>
      <c r="E1351" s="438">
        <f>IF($D$1312&gt;$C1350,0,$E$1319)</f>
        <v>0</v>
      </c>
      <c r="F1351" s="528">
        <f>C1351</f>
        <v>274</v>
      </c>
      <c r="G1351" s="536">
        <f>IF($D$1312="",0,IF($D$1312=$C1351,$D$1313,G1350*(1+D1351)+E1351))</f>
        <v>0</v>
      </c>
      <c r="H1351" s="537">
        <f>IF(OR($D$1309="Monthly",$D$1309="Both"),J1350*(1-$D$1305),0)</f>
        <v>0</v>
      </c>
      <c r="I1351" s="537">
        <f>IF(OR($D$1309="Monthly",$D$1309="Both"),J1350*$D$1315,0)</f>
        <v>0</v>
      </c>
      <c r="J1351" s="542">
        <f>G1351+H1351</f>
        <v>0</v>
      </c>
      <c r="K1351" s="540">
        <f>IF(OR($D$1312&gt;$C1351,$D$1312=""),0,$D$1314)</f>
        <v>0</v>
      </c>
      <c r="L1351" s="541">
        <f>(G1351+H1351)*K1351</f>
        <v>0</v>
      </c>
      <c r="M1351" s="516"/>
      <c r="N1351" s="528">
        <f>F1351</f>
        <v>274</v>
      </c>
      <c r="O1351" s="437">
        <f>IF($O$1312&gt;$C1350,0,$O$1319)</f>
        <v>0</v>
      </c>
      <c r="P1351" s="438">
        <f>IF($O$1314&gt;$C1350,0,$P$1321)</f>
        <v>0</v>
      </c>
      <c r="Q1351" s="528">
        <f>N1351</f>
        <v>274</v>
      </c>
      <c r="R1351" s="536">
        <f>ROUND(IF($O$1312="",0,IF($O$1312=$C1351,$O$1313,R1350*(1+O1351)+P1351)),0)</f>
        <v>0</v>
      </c>
      <c r="S1351" s="537"/>
      <c r="T1351" s="537"/>
      <c r="U1351" s="542">
        <f>U1350+R1351</f>
        <v>0</v>
      </c>
      <c r="V1351" s="540">
        <f>IF(OR($O$1312="",$O$1312&gt;$C1351),0,$O$1314)</f>
        <v>0</v>
      </c>
      <c r="W1351" s="541">
        <f>R1351*V1351</f>
        <v>0</v>
      </c>
    </row>
    <row r="1352" spans="1:23" ht="12" customHeight="1" x14ac:dyDescent="0.3">
      <c r="A1352" s="133"/>
      <c r="B1352" s="133"/>
      <c r="C1352" s="528">
        <f>Infrastructure!D79</f>
        <v>305</v>
      </c>
      <c r="D1352" s="437">
        <f>IF($D$1312&gt;$C1351,0,$D$1319)</f>
        <v>0</v>
      </c>
      <c r="E1352" s="438">
        <f>IF($D$1312&gt;$C1351,0,$E$1319)</f>
        <v>0</v>
      </c>
      <c r="F1352" s="528">
        <f>C1352</f>
        <v>305</v>
      </c>
      <c r="G1352" s="536">
        <f>IF($D$1312="",0,IF($D$1312=$C1352,$D$1313,G1351*(1+D1352)+E1352))</f>
        <v>0</v>
      </c>
      <c r="H1352" s="537">
        <f>IF(OR($D$1309="Monthly",$D$1309="Both"),J1351*(1-$D$1305),0)</f>
        <v>0</v>
      </c>
      <c r="I1352" s="537">
        <f>IF(OR($D$1309="Monthly",$D$1309="Both"),J1351*$D$1315,0)</f>
        <v>0</v>
      </c>
      <c r="J1352" s="542">
        <f>G1352+H1352</f>
        <v>0</v>
      </c>
      <c r="K1352" s="540">
        <f>IF(OR($D$1312&gt;$C1352,$D$1312=""),0,$D$1314)</f>
        <v>0</v>
      </c>
      <c r="L1352" s="541">
        <f>(G1352+H1352)*K1352</f>
        <v>0</v>
      </c>
      <c r="M1352" s="516"/>
      <c r="N1352" s="528">
        <f>F1352</f>
        <v>305</v>
      </c>
      <c r="O1352" s="437">
        <f>IF($O$1312&gt;$C1351,0,$O$1319)</f>
        <v>0</v>
      </c>
      <c r="P1352" s="438">
        <f>IF($O$1314&gt;$C1351,0,$P$1321)</f>
        <v>0</v>
      </c>
      <c r="Q1352" s="528">
        <f>N1352</f>
        <v>305</v>
      </c>
      <c r="R1352" s="536">
        <f>ROUND(IF($O$1312="",0,IF($O$1312=$C1352,$O$1313,R1351*(1+O1352)+P1352)),0)</f>
        <v>0</v>
      </c>
      <c r="S1352" s="537"/>
      <c r="T1352" s="537"/>
      <c r="U1352" s="542">
        <f>U1351+R1352</f>
        <v>0</v>
      </c>
      <c r="V1352" s="540">
        <f>IF(OR($O$1312="",$O$1312&gt;$C1352),0,$O$1314)</f>
        <v>0</v>
      </c>
      <c r="W1352" s="541">
        <f>R1352*V1352</f>
        <v>0</v>
      </c>
    </row>
    <row r="1353" spans="1:23" ht="12" customHeight="1" x14ac:dyDescent="0.3">
      <c r="A1353" s="133"/>
      <c r="B1353" s="133"/>
      <c r="C1353" s="528">
        <f>Infrastructure!D80</f>
        <v>335</v>
      </c>
      <c r="D1353" s="437">
        <f>IF($D$1312&gt;$C1352,0,$D$1319)</f>
        <v>0</v>
      </c>
      <c r="E1353" s="438">
        <f>IF($D$1312&gt;$C1352,0,$E$1319)</f>
        <v>0</v>
      </c>
      <c r="F1353" s="528">
        <f>C1353</f>
        <v>335</v>
      </c>
      <c r="G1353" s="536">
        <f>IF($D$1312="",0,IF($D$1312=$C1353,$D$1313,G1352*(1+D1353)+E1353))</f>
        <v>0</v>
      </c>
      <c r="H1353" s="537">
        <f>IF(OR($D$1309="Monthly",$D$1309="Both"),J1352*(1-$D$1305),0)</f>
        <v>0</v>
      </c>
      <c r="I1353" s="537">
        <f>IF(OR($D$1309="Monthly",$D$1309="Both"),J1352*$D$1315,0)</f>
        <v>0</v>
      </c>
      <c r="J1353" s="542">
        <f>G1353+H1353</f>
        <v>0</v>
      </c>
      <c r="K1353" s="540">
        <f>IF(OR($D$1312&gt;$C1353,$D$1312=""),0,$D$1314)</f>
        <v>0</v>
      </c>
      <c r="L1353" s="541">
        <f>(G1353+H1353)*K1353</f>
        <v>0</v>
      </c>
      <c r="M1353" s="516"/>
      <c r="N1353" s="528">
        <f>F1353</f>
        <v>335</v>
      </c>
      <c r="O1353" s="437">
        <f>IF($O$1312&gt;$C1352,0,$O$1319)</f>
        <v>0</v>
      </c>
      <c r="P1353" s="438">
        <f>IF($O$1314&gt;$C1352,0,$P$1321)</f>
        <v>0</v>
      </c>
      <c r="Q1353" s="528">
        <f>N1353</f>
        <v>335</v>
      </c>
      <c r="R1353" s="536">
        <f>ROUND(IF($O$1312="",0,IF($O$1312=$C1353,$O$1313,R1352*(1+O1353)+P1353)),0)</f>
        <v>0</v>
      </c>
      <c r="S1353" s="537"/>
      <c r="T1353" s="537"/>
      <c r="U1353" s="542">
        <f>U1352+R1353</f>
        <v>0</v>
      </c>
      <c r="V1353" s="540">
        <f>IF(OR($O$1312="",$O$1312&gt;$C1353),0,$O$1314)</f>
        <v>0</v>
      </c>
      <c r="W1353" s="541">
        <f>R1353*V1353</f>
        <v>0</v>
      </c>
    </row>
    <row r="1354" spans="1:23" ht="12" customHeight="1" x14ac:dyDescent="0.3">
      <c r="A1354" s="133"/>
      <c r="B1354" s="133"/>
      <c r="C1354" s="528">
        <f>Infrastructure!D81</f>
        <v>366</v>
      </c>
      <c r="D1354" s="439">
        <f>IF($D$1312&gt;$C1353,0,$D$1319)</f>
        <v>0</v>
      </c>
      <c r="E1354" s="440">
        <f>IF($D$1312&gt;$C1353,0,$E$1319)</f>
        <v>0</v>
      </c>
      <c r="F1354" s="528">
        <f>C1354</f>
        <v>366</v>
      </c>
      <c r="G1354" s="543">
        <f>IF($D$1312="",0,IF($D$1312=$C1354,$D$1313,G1353*(1+D1354)+E1354))</f>
        <v>0</v>
      </c>
      <c r="H1354" s="544">
        <f>IF(OR($D$1309="Monthly",$D$1309="Both"),J1353*(1-$D$1305),0)</f>
        <v>0</v>
      </c>
      <c r="I1354" s="544">
        <f>IF(OR($D$1309="Monthly",$D$1309="Both"),J1353*$D$1315,0)</f>
        <v>0</v>
      </c>
      <c r="J1354" s="545">
        <f>G1354+H1354</f>
        <v>0</v>
      </c>
      <c r="K1354" s="546">
        <f>IF(OR($D$1312&gt;$C1354,$D$1312=""),0,$D$1314)</f>
        <v>0</v>
      </c>
      <c r="L1354" s="547">
        <f>(G1354+H1354)*K1354</f>
        <v>0</v>
      </c>
      <c r="M1354" s="516"/>
      <c r="N1354" s="528">
        <f>F1354</f>
        <v>366</v>
      </c>
      <c r="O1354" s="656">
        <f>IF($O$1312&gt;$C1353,0,$O$1319)</f>
        <v>0</v>
      </c>
      <c r="P1354" s="657">
        <f>IF($O$1314&gt;$C1353,0,$P$1321)</f>
        <v>0</v>
      </c>
      <c r="Q1354" s="528">
        <f>N1354</f>
        <v>366</v>
      </c>
      <c r="R1354" s="543">
        <f>ROUND(IF($O$1312="",0,IF($O$1312=$C1354,$O$1313,R1353*(1+O1354)+P1354)),0)</f>
        <v>0</v>
      </c>
      <c r="S1354" s="663"/>
      <c r="T1354" s="544"/>
      <c r="U1354" s="545">
        <f>U1353+R1354</f>
        <v>0</v>
      </c>
      <c r="V1354" s="546">
        <f>IF(OR($O$1312="",$O$1312&gt;$C1354),0,$O$1314)</f>
        <v>0</v>
      </c>
      <c r="W1354" s="547">
        <f>R1354*V1354</f>
        <v>0</v>
      </c>
    </row>
    <row r="1355" spans="1:23" ht="12" customHeight="1" x14ac:dyDescent="0.3">
      <c r="A1355" s="133"/>
      <c r="B1355" s="133"/>
      <c r="C1355" s="528">
        <f>Infrastructure!D82</f>
        <v>397</v>
      </c>
      <c r="D1355" s="437">
        <f>IF($D$1312&gt;$C1354,0,$D$1320)</f>
        <v>0</v>
      </c>
      <c r="E1355" s="438">
        <f>IF($D$1312&gt;$C1354,0,$E$1320)</f>
        <v>0</v>
      </c>
      <c r="F1355" s="528">
        <f>C1355</f>
        <v>397</v>
      </c>
      <c r="G1355" s="536">
        <f>IF($D$1314="",0,IF($D$1314=$C1355,$D$1315,G1354*(1+D1355)+E1355))</f>
        <v>0</v>
      </c>
      <c r="H1355" s="660">
        <f>IF(OR($D$1309="Monthly",$D$1309="Both"),J1354*(1-$D$1315),G1343*(1-$D$1315))</f>
        <v>0</v>
      </c>
      <c r="I1355" s="660">
        <f>IF(OR($D$1309="Monthly",$D$1309="Both"),J1354*$D$1315,G1343*$D$1315)</f>
        <v>0</v>
      </c>
      <c r="J1355" s="542">
        <f>IF(OR($D$1309="Monthly",$D$1309="Both"),G1355+H1355,J1354+G1355+H1355)</f>
        <v>0</v>
      </c>
      <c r="K1355" s="540">
        <f>IF(OR($D$1312&gt;$C1355,$D$1312=""),0,$D$1314)</f>
        <v>0</v>
      </c>
      <c r="L1355" s="541">
        <f>(G1355+H1355)*K1355</f>
        <v>0</v>
      </c>
      <c r="M1355" s="516"/>
      <c r="N1355" s="528">
        <f>F1355</f>
        <v>397</v>
      </c>
      <c r="O1355" s="437">
        <f>IF($O$1312&gt;$C1354,0,$O$1320)</f>
        <v>0</v>
      </c>
      <c r="P1355" s="438">
        <f>IF($O$1312&gt;$C1354,0,$P$1320)</f>
        <v>0</v>
      </c>
      <c r="Q1355" s="528">
        <f>N1355</f>
        <v>397</v>
      </c>
      <c r="R1355" s="536">
        <f>ROUND(IF($O$1312="",0,IF($O$1312=$C1355,$O$1313,R1354*(1+O1355)+P1355)),0)</f>
        <v>0</v>
      </c>
      <c r="S1355" s="537">
        <f>R1343*(1-$O$1315)</f>
        <v>0</v>
      </c>
      <c r="T1355" s="537">
        <f>R1343*$O$1315</f>
        <v>0</v>
      </c>
      <c r="U1355" s="542">
        <f>U1354+R1355+S1355</f>
        <v>0</v>
      </c>
      <c r="V1355" s="540">
        <f>IF(OR($O$1312="",$O$1312&gt;$C1355),0,$O$1314)</f>
        <v>0</v>
      </c>
      <c r="W1355" s="541">
        <f>(R1355+S1355)*V1355</f>
        <v>0</v>
      </c>
    </row>
    <row r="1356" spans="1:23" ht="12" customHeight="1" x14ac:dyDescent="0.3">
      <c r="A1356" s="133"/>
      <c r="B1356" s="133"/>
      <c r="C1356" s="528">
        <f>Infrastructure!D83</f>
        <v>425</v>
      </c>
      <c r="D1356" s="437">
        <f>IF($D$1312&gt;$C1355,0,$D$1320)</f>
        <v>0</v>
      </c>
      <c r="E1356" s="438">
        <f>IF($D$1312&gt;$C1355,0,$E$1320)</f>
        <v>0</v>
      </c>
      <c r="F1356" s="528">
        <f>C1356</f>
        <v>425</v>
      </c>
      <c r="G1356" s="536">
        <f>IF($D$1314="",0,IF($D$1314=$C1356,$D$1315,G1355*(1+D1356)+E1356))</f>
        <v>0</v>
      </c>
      <c r="H1356" s="537">
        <f>IF(OR($D$1309="Monthly",$D$1309="Both"),J1355*(1-$D$1305),G1344*(1-$D$1305))</f>
        <v>0</v>
      </c>
      <c r="I1356" s="537">
        <f>IF(OR($D$1309="Monthly",$D$1309="Both"),J1355*$D$1315,G1344*$D$1315)</f>
        <v>0</v>
      </c>
      <c r="J1356" s="542">
        <f>IF(OR($D$1311="Monthly",$D$1311="Both"),G1356+H1356,J1355+G1356+H1356)</f>
        <v>0</v>
      </c>
      <c r="K1356" s="540">
        <f>IF(OR($D$1312&gt;$C1356,$D$1312=""),0,$D$1314)</f>
        <v>0</v>
      </c>
      <c r="L1356" s="541">
        <f>(G1356+H1356)*K1356</f>
        <v>0</v>
      </c>
      <c r="M1356" s="516"/>
      <c r="N1356" s="528">
        <f>F1356</f>
        <v>425</v>
      </c>
      <c r="O1356" s="437">
        <f>IF($O$1312&gt;$C1355,0,$O$1320)</f>
        <v>0</v>
      </c>
      <c r="P1356" s="438">
        <f>IF($O$1312&gt;$C1355,0,$P$1320)</f>
        <v>0</v>
      </c>
      <c r="Q1356" s="528">
        <f>N1356</f>
        <v>425</v>
      </c>
      <c r="R1356" s="536">
        <f>ROUND(IF($O$1312="",0,IF($O$1312=$C1356,$O$1313,R1355*(1+O1356)+P1356)),0)</f>
        <v>0</v>
      </c>
      <c r="S1356" s="537">
        <f>R1344*(1-$O$1315)</f>
        <v>0</v>
      </c>
      <c r="T1356" s="537">
        <f>R1344*$O$1315</f>
        <v>0</v>
      </c>
      <c r="U1356" s="542">
        <f>U1355+R1356+S1356</f>
        <v>0</v>
      </c>
      <c r="V1356" s="540">
        <f>IF(OR($O$1312="",$O$1312&gt;$C1356),0,$O$1314)</f>
        <v>0</v>
      </c>
      <c r="W1356" s="541">
        <f>(R1356+S1356)*V1356</f>
        <v>0</v>
      </c>
    </row>
    <row r="1357" spans="1:23" ht="12" customHeight="1" x14ac:dyDescent="0.3">
      <c r="A1357" s="133"/>
      <c r="B1357" s="133"/>
      <c r="C1357" s="528">
        <f>Infrastructure!D84</f>
        <v>456</v>
      </c>
      <c r="D1357" s="437">
        <f>IF($D$1312&gt;$C1356,0,$D$1320)</f>
        <v>0</v>
      </c>
      <c r="E1357" s="438">
        <f>IF($D$1312&gt;$C1356,0,$E$1320)</f>
        <v>0</v>
      </c>
      <c r="F1357" s="528">
        <f>C1357</f>
        <v>456</v>
      </c>
      <c r="G1357" s="536">
        <f>IF($D$1314="",0,IF($D$1314=$C1357,$D$1315,G1356*(1+D1357)+E1357))</f>
        <v>0</v>
      </c>
      <c r="H1357" s="537">
        <f>IF(OR($D$1309="Monthly",$D$1309="Both"),J1356*(1-$D$1305),G1345*(1-$D$1305))</f>
        <v>0</v>
      </c>
      <c r="I1357" s="537">
        <f>IF(OR($D$1309="Monthly",$D$1309="Both"),J1356*$D$1315,G1345*$D$1315)</f>
        <v>0</v>
      </c>
      <c r="J1357" s="542">
        <f>IF(OR($D$1311="Monthly",$D$1311="Both"),G1357+H1357,J1356+G1357+H1357)</f>
        <v>0</v>
      </c>
      <c r="K1357" s="540">
        <f>IF(OR($D$1312&gt;$C1357,$D$1312=""),0,$D$1314)</f>
        <v>0</v>
      </c>
      <c r="L1357" s="541">
        <f>(G1357+H1357)*K1357</f>
        <v>0</v>
      </c>
      <c r="M1357" s="516"/>
      <c r="N1357" s="528">
        <f>F1357</f>
        <v>456</v>
      </c>
      <c r="O1357" s="437">
        <f>IF($O$1312&gt;$C1356,0,$O$1320)</f>
        <v>0</v>
      </c>
      <c r="P1357" s="438">
        <f>IF($O$1312&gt;$C1356,0,$P$1320)</f>
        <v>0</v>
      </c>
      <c r="Q1357" s="528">
        <f>N1357</f>
        <v>456</v>
      </c>
      <c r="R1357" s="536">
        <f>ROUND(IF($O$1312="",0,IF($O$1312=$C1357,$O$1313,R1356*(1+O1357)+P1357)),0)</f>
        <v>0</v>
      </c>
      <c r="S1357" s="537">
        <f>R1345*(1-$O$1315)</f>
        <v>0</v>
      </c>
      <c r="T1357" s="537">
        <f>R1345*$O$1315</f>
        <v>0</v>
      </c>
      <c r="U1357" s="542">
        <f>U1356+R1357+S1357</f>
        <v>0</v>
      </c>
      <c r="V1357" s="540">
        <f>IF(OR($O$1312="",$O$1312&gt;$C1357),0,$O$1314)</f>
        <v>0</v>
      </c>
      <c r="W1357" s="541">
        <f>(R1357+S1357)*V1357</f>
        <v>0</v>
      </c>
    </row>
    <row r="1358" spans="1:23" ht="12" customHeight="1" x14ac:dyDescent="0.3">
      <c r="A1358" s="133"/>
      <c r="B1358" s="133"/>
      <c r="C1358" s="528">
        <f>Infrastructure!D85</f>
        <v>486</v>
      </c>
      <c r="D1358" s="437">
        <f>IF($D$1312&gt;$C1357,0,$D$1320)</f>
        <v>0</v>
      </c>
      <c r="E1358" s="438">
        <f>IF($D$1312&gt;$C1357,0,$E$1320)</f>
        <v>0</v>
      </c>
      <c r="F1358" s="528">
        <f>C1358</f>
        <v>486</v>
      </c>
      <c r="G1358" s="536">
        <f>IF($D$1314="",0,IF($D$1314=$C1358,$D$1315,G1357*(1+D1358)+E1358))</f>
        <v>0</v>
      </c>
      <c r="H1358" s="537">
        <f>IF(OR($D$1309="Monthly",$D$1309="Both"),J1357*(1-$D$1305),G1346*(1-$D$1305))</f>
        <v>0</v>
      </c>
      <c r="I1358" s="537">
        <f>IF(OR($D$1309="Monthly",$D$1309="Both"),J1357*$D$1315,G1346*$D$1315)</f>
        <v>0</v>
      </c>
      <c r="J1358" s="542">
        <f>IF(OR($D$1311="Monthly",$D$1311="Both"),G1358+H1358,J1357+G1358+H1358)</f>
        <v>0</v>
      </c>
      <c r="K1358" s="540">
        <f>IF(OR($D$1312&gt;$C1358,$D$1312=""),0,$D$1314)</f>
        <v>0</v>
      </c>
      <c r="L1358" s="541">
        <f>(G1358+H1358)*K1358</f>
        <v>0</v>
      </c>
      <c r="M1358" s="516"/>
      <c r="N1358" s="528">
        <f>F1358</f>
        <v>486</v>
      </c>
      <c r="O1358" s="437">
        <f>IF($O$1312&gt;$C1357,0,$O$1320)</f>
        <v>0</v>
      </c>
      <c r="P1358" s="438">
        <f>IF($O$1312&gt;$C1357,0,$P$1320)</f>
        <v>0</v>
      </c>
      <c r="Q1358" s="528">
        <f>N1358</f>
        <v>486</v>
      </c>
      <c r="R1358" s="536">
        <f>ROUND(IF($O$1312="",0,IF($O$1312=$C1358,$O$1313,R1357*(1+O1358)+P1358)),0)</f>
        <v>0</v>
      </c>
      <c r="S1358" s="537">
        <f>R1346*(1-$O$1315)</f>
        <v>0</v>
      </c>
      <c r="T1358" s="537">
        <f>R1346*$O$1315</f>
        <v>0</v>
      </c>
      <c r="U1358" s="542">
        <f>U1357+R1358+S1358</f>
        <v>0</v>
      </c>
      <c r="V1358" s="540">
        <f>IF(OR($O$1312="",$O$1312&gt;$C1358),0,$O$1314)</f>
        <v>0</v>
      </c>
      <c r="W1358" s="541">
        <f>(R1358+S1358)*V1358</f>
        <v>0</v>
      </c>
    </row>
    <row r="1359" spans="1:23" ht="12" customHeight="1" x14ac:dyDescent="0.3">
      <c r="A1359" s="133"/>
      <c r="B1359" s="133"/>
      <c r="C1359" s="528">
        <f>Infrastructure!D86</f>
        <v>517</v>
      </c>
      <c r="D1359" s="437">
        <f>IF($D$1312&gt;$C1358,0,$D$1320)</f>
        <v>0</v>
      </c>
      <c r="E1359" s="438">
        <f>IF($D$1312&gt;$C1358,0,$E$1320)</f>
        <v>0</v>
      </c>
      <c r="F1359" s="528">
        <f>C1359</f>
        <v>517</v>
      </c>
      <c r="G1359" s="536">
        <f>IF($D$1314="",0,IF($D$1314=$C1359,$D$1315,G1358*(1+D1359)+E1359))</f>
        <v>0</v>
      </c>
      <c r="H1359" s="537">
        <f>IF(OR($D$1309="Monthly",$D$1309="Both"),J1358*(1-$D$1305),G1347*(1-$D$1305))</f>
        <v>0</v>
      </c>
      <c r="I1359" s="537">
        <f>IF(OR($D$1309="Monthly",$D$1309="Both"),J1358*$D$1315,G1347*$D$1315)</f>
        <v>0</v>
      </c>
      <c r="J1359" s="542">
        <f>IF(OR($D$1311="Monthly",$D$1311="Both"),G1359+H1359,J1358+G1359+H1359)</f>
        <v>0</v>
      </c>
      <c r="K1359" s="540">
        <f>IF(OR($D$1312&gt;$C1359,$D$1312=""),0,$D$1314)</f>
        <v>0</v>
      </c>
      <c r="L1359" s="541">
        <f>(G1359+H1359)*K1359</f>
        <v>0</v>
      </c>
      <c r="M1359" s="516"/>
      <c r="N1359" s="528">
        <f>F1359</f>
        <v>517</v>
      </c>
      <c r="O1359" s="437">
        <f>IF($O$1312&gt;$C1358,0,$O$1320)</f>
        <v>0</v>
      </c>
      <c r="P1359" s="438">
        <f>IF($O$1312&gt;$C1358,0,$P$1320)</f>
        <v>0</v>
      </c>
      <c r="Q1359" s="528">
        <f>N1359</f>
        <v>517</v>
      </c>
      <c r="R1359" s="536">
        <f>ROUND(IF($O$1312="",0,IF($O$1312=$C1359,$O$1313,R1358*(1+O1359)+P1359)),0)</f>
        <v>0</v>
      </c>
      <c r="S1359" s="537">
        <f>R1347*(1-$O$1315)</f>
        <v>0</v>
      </c>
      <c r="T1359" s="537">
        <f>R1347*$O$1315</f>
        <v>0</v>
      </c>
      <c r="U1359" s="542">
        <f>U1358+R1359+S1359</f>
        <v>0</v>
      </c>
      <c r="V1359" s="540">
        <f>IF(OR($O$1312="",$O$1312&gt;$C1359),0,$O$1314)</f>
        <v>0</v>
      </c>
      <c r="W1359" s="541">
        <f>(R1359+S1359)*V1359</f>
        <v>0</v>
      </c>
    </row>
    <row r="1360" spans="1:23" ht="12" customHeight="1" x14ac:dyDescent="0.3">
      <c r="A1360" s="133"/>
      <c r="B1360" s="133"/>
      <c r="C1360" s="528">
        <f>Infrastructure!D87</f>
        <v>547</v>
      </c>
      <c r="D1360" s="437">
        <f>IF($D$1312&gt;$C1359,0,$D$1320)</f>
        <v>0</v>
      </c>
      <c r="E1360" s="438">
        <f>IF($D$1312&gt;$C1359,0,$E$1320)</f>
        <v>0</v>
      </c>
      <c r="F1360" s="528">
        <f>C1360</f>
        <v>547</v>
      </c>
      <c r="G1360" s="536">
        <f>IF($D$1314="",0,IF($D$1314=$C1360,$D$1315,G1359*(1+D1360)+E1360))</f>
        <v>0</v>
      </c>
      <c r="H1360" s="537">
        <f>IF(OR($D$1309="Monthly",$D$1309="Both"),J1359*(1-$D$1305),G1348*(1-$D$1305))</f>
        <v>0</v>
      </c>
      <c r="I1360" s="537">
        <f>IF(OR($D$1309="Monthly",$D$1309="Both"),J1359*$D$1315,G1348*$D$1315)</f>
        <v>0</v>
      </c>
      <c r="J1360" s="542">
        <f>IF(OR($D$1311="Monthly",$D$1311="Both"),G1360+H1360,J1359+G1360+H1360)</f>
        <v>0</v>
      </c>
      <c r="K1360" s="540">
        <f>IF(OR($D$1312&gt;$C1360,$D$1312=""),0,$D$1314)</f>
        <v>0</v>
      </c>
      <c r="L1360" s="541">
        <f>(G1360+H1360)*K1360</f>
        <v>0</v>
      </c>
      <c r="M1360" s="516"/>
      <c r="N1360" s="528">
        <f>F1360</f>
        <v>547</v>
      </c>
      <c r="O1360" s="437">
        <f>IF($O$1312&gt;$C1359,0,$O$1320)</f>
        <v>0</v>
      </c>
      <c r="P1360" s="438">
        <f>IF($O$1312&gt;$C1359,0,$P$1320)</f>
        <v>0</v>
      </c>
      <c r="Q1360" s="528">
        <f>N1360</f>
        <v>547</v>
      </c>
      <c r="R1360" s="536">
        <f>ROUND(IF($O$1312="",0,IF($O$1312=$C1360,$O$1313,R1359*(1+O1360)+P1360)),0)</f>
        <v>0</v>
      </c>
      <c r="S1360" s="537">
        <f>R1348*(1-$O$1315)</f>
        <v>0</v>
      </c>
      <c r="T1360" s="537">
        <f>R1348*$O$1315</f>
        <v>0</v>
      </c>
      <c r="U1360" s="542">
        <f>U1359+R1360+S1360</f>
        <v>0</v>
      </c>
      <c r="V1360" s="540">
        <f>IF(OR($O$1312="",$O$1312&gt;$C1360),0,$O$1314)</f>
        <v>0</v>
      </c>
      <c r="W1360" s="541">
        <f>(R1360+S1360)*V1360</f>
        <v>0</v>
      </c>
    </row>
    <row r="1361" spans="1:23" ht="12" customHeight="1" x14ac:dyDescent="0.3">
      <c r="A1361" s="133"/>
      <c r="B1361" s="133"/>
      <c r="C1361" s="528">
        <f>Infrastructure!D88</f>
        <v>578</v>
      </c>
      <c r="D1361" s="437">
        <f>IF($D$1312&gt;$C1360,0,$D$1320)</f>
        <v>0</v>
      </c>
      <c r="E1361" s="438">
        <f>IF($D$1312&gt;$C1360,0,$E$1320)</f>
        <v>0</v>
      </c>
      <c r="F1361" s="528">
        <f>C1361</f>
        <v>578</v>
      </c>
      <c r="G1361" s="536">
        <f>IF($D$1314="",0,IF($D$1314=$C1361,$D$1315,G1360*(1+D1361)+E1361))</f>
        <v>0</v>
      </c>
      <c r="H1361" s="537">
        <f>IF(OR($D$1309="Monthly",$D$1309="Both"),J1360*(1-$D$1305),G1349*(1-$D$1305))</f>
        <v>0</v>
      </c>
      <c r="I1361" s="537">
        <f>IF(OR($D$1309="Monthly",$D$1309="Both"),J1360*$D$1315,G1349*$D$1315)</f>
        <v>0</v>
      </c>
      <c r="J1361" s="542">
        <f>IF(OR($D$1311="Monthly",$D$1311="Both"),G1361+H1361,J1360+G1361+H1361)</f>
        <v>0</v>
      </c>
      <c r="K1361" s="540">
        <f>IF(OR($D$1312&gt;$C1361,$D$1312=""),0,$D$1314)</f>
        <v>0</v>
      </c>
      <c r="L1361" s="541">
        <f>(G1361+H1361)*K1361</f>
        <v>0</v>
      </c>
      <c r="M1361" s="516"/>
      <c r="N1361" s="528">
        <f>F1361</f>
        <v>578</v>
      </c>
      <c r="O1361" s="437">
        <f>IF($O$1312&gt;$C1360,0,$O$1320)</f>
        <v>0</v>
      </c>
      <c r="P1361" s="438">
        <f>IF($O$1312&gt;$C1360,0,$P$1320)</f>
        <v>0</v>
      </c>
      <c r="Q1361" s="528">
        <f>N1361</f>
        <v>578</v>
      </c>
      <c r="R1361" s="536">
        <f>ROUND(IF($O$1312="",0,IF($O$1312=$C1361,$O$1313,R1360*(1+O1361)+P1361)),0)</f>
        <v>0</v>
      </c>
      <c r="S1361" s="537">
        <f>R1349*(1-$O$1315)</f>
        <v>0</v>
      </c>
      <c r="T1361" s="537">
        <f>R1349*$O$1315</f>
        <v>0</v>
      </c>
      <c r="U1361" s="542">
        <f>U1360+R1361+S1361</f>
        <v>0</v>
      </c>
      <c r="V1361" s="540">
        <f>IF(OR($O$1312="",$O$1312&gt;$C1361),0,$O$1314)</f>
        <v>0</v>
      </c>
      <c r="W1361" s="541">
        <f>(R1361+S1361)*V1361</f>
        <v>0</v>
      </c>
    </row>
    <row r="1362" spans="1:23" ht="12" customHeight="1" x14ac:dyDescent="0.3">
      <c r="A1362" s="133"/>
      <c r="B1362" s="133"/>
      <c r="C1362" s="528">
        <f>Infrastructure!D89</f>
        <v>609</v>
      </c>
      <c r="D1362" s="437">
        <f>IF($D$1312&gt;$C1361,0,$D$1320)</f>
        <v>0</v>
      </c>
      <c r="E1362" s="438">
        <f>IF($D$1312&gt;$C1361,0,$E$1320)</f>
        <v>0</v>
      </c>
      <c r="F1362" s="528">
        <f>C1362</f>
        <v>609</v>
      </c>
      <c r="G1362" s="536">
        <f>IF($D$1314="",0,IF($D$1314=$C1362,$D$1315,G1361*(1+D1362)+E1362))</f>
        <v>0</v>
      </c>
      <c r="H1362" s="537">
        <f>IF(OR($D$1309="Monthly",$D$1309="Both"),J1361*(1-$D$1305),G1350*(1-$D$1305))</f>
        <v>0</v>
      </c>
      <c r="I1362" s="537">
        <f>IF(OR($D$1309="Monthly",$D$1309="Both"),J1361*$D$1315,G1350*$D$1315)</f>
        <v>0</v>
      </c>
      <c r="J1362" s="542">
        <f>IF(OR($D$1311="Monthly",$D$1311="Both"),G1362+H1362,J1361+G1362+H1362)</f>
        <v>0</v>
      </c>
      <c r="K1362" s="540">
        <f>IF(OR($D$1312&gt;$C1362,$D$1312=""),0,$D$1314)</f>
        <v>0</v>
      </c>
      <c r="L1362" s="541">
        <f>(G1362+H1362)*K1362</f>
        <v>0</v>
      </c>
      <c r="M1362" s="516"/>
      <c r="N1362" s="528">
        <f>F1362</f>
        <v>609</v>
      </c>
      <c r="O1362" s="437">
        <f>IF($O$1312&gt;$C1361,0,$O$1320)</f>
        <v>0</v>
      </c>
      <c r="P1362" s="438">
        <f>IF($O$1312&gt;$C1361,0,$P$1320)</f>
        <v>0</v>
      </c>
      <c r="Q1362" s="528">
        <f>N1362</f>
        <v>609</v>
      </c>
      <c r="R1362" s="536">
        <f>ROUND(IF($O$1312="",0,IF($O$1312=$C1362,$O$1313,R1361*(1+O1362)+P1362)),0)</f>
        <v>0</v>
      </c>
      <c r="S1362" s="537">
        <f>R1350*(1-$O$1315)</f>
        <v>0</v>
      </c>
      <c r="T1362" s="537">
        <f>R1350*$O$1315</f>
        <v>0</v>
      </c>
      <c r="U1362" s="542">
        <f>U1361+R1362+S1362</f>
        <v>0</v>
      </c>
      <c r="V1362" s="540">
        <f>IF(OR($O$1312="",$O$1312&gt;$C1362),0,$O$1314)</f>
        <v>0</v>
      </c>
      <c r="W1362" s="541">
        <f>(R1362+S1362)*V1362</f>
        <v>0</v>
      </c>
    </row>
    <row r="1363" spans="1:23" ht="12" customHeight="1" x14ac:dyDescent="0.3">
      <c r="A1363" s="133"/>
      <c r="B1363" s="133"/>
      <c r="C1363" s="528">
        <f>Infrastructure!D90</f>
        <v>639</v>
      </c>
      <c r="D1363" s="437">
        <f>IF($D$1312&gt;$C1362,0,$D$1320)</f>
        <v>0</v>
      </c>
      <c r="E1363" s="438">
        <f>IF($D$1312&gt;$C1362,0,$E$1320)</f>
        <v>0</v>
      </c>
      <c r="F1363" s="528">
        <f>C1363</f>
        <v>639</v>
      </c>
      <c r="G1363" s="536">
        <f>IF($D$1314="",0,IF($D$1314=$C1363,$D$1315,G1362*(1+D1363)+E1363))</f>
        <v>0</v>
      </c>
      <c r="H1363" s="537">
        <f>IF(OR($D$1309="Monthly",$D$1309="Both"),J1362*(1-$D$1305),G1351*(1-$D$1305))</f>
        <v>0</v>
      </c>
      <c r="I1363" s="537">
        <f>IF(OR($D$1309="Monthly",$D$1309="Both"),J1362*$D$1315,G1351*$D$1315)</f>
        <v>0</v>
      </c>
      <c r="J1363" s="542">
        <f>IF(OR($D$1311="Monthly",$D$1311="Both"),G1363+H1363,J1362+G1363+H1363)</f>
        <v>0</v>
      </c>
      <c r="K1363" s="540">
        <f>IF(OR($D$1312&gt;$C1363,$D$1312=""),0,$D$1314)</f>
        <v>0</v>
      </c>
      <c r="L1363" s="541">
        <f>(G1363+H1363)*K1363</f>
        <v>0</v>
      </c>
      <c r="M1363" s="516"/>
      <c r="N1363" s="528">
        <f>F1363</f>
        <v>639</v>
      </c>
      <c r="O1363" s="437">
        <f>IF($O$1312&gt;$C1362,0,$O$1320)</f>
        <v>0</v>
      </c>
      <c r="P1363" s="438">
        <f>IF($O$1312&gt;$C1362,0,$P$1320)</f>
        <v>0</v>
      </c>
      <c r="Q1363" s="528">
        <f>N1363</f>
        <v>639</v>
      </c>
      <c r="R1363" s="536">
        <f>ROUND(IF($O$1312="",0,IF($O$1312=$C1363,$O$1313,R1362*(1+O1363)+P1363)),0)</f>
        <v>0</v>
      </c>
      <c r="S1363" s="537">
        <f>R1351*(1-$O$1315)</f>
        <v>0</v>
      </c>
      <c r="T1363" s="537">
        <f>R1351*$O$1315</f>
        <v>0</v>
      </c>
      <c r="U1363" s="542">
        <f>U1362+R1363+S1363</f>
        <v>0</v>
      </c>
      <c r="V1363" s="540">
        <f>IF(OR($O$1312="",$O$1312&gt;$C1363),0,$O$1314)</f>
        <v>0</v>
      </c>
      <c r="W1363" s="541">
        <f>(R1363+S1363)*V1363</f>
        <v>0</v>
      </c>
    </row>
    <row r="1364" spans="1:23" ht="12" customHeight="1" x14ac:dyDescent="0.3">
      <c r="A1364" s="133"/>
      <c r="B1364" s="133"/>
      <c r="C1364" s="528">
        <f>Infrastructure!D91</f>
        <v>670</v>
      </c>
      <c r="D1364" s="437">
        <f>IF($D$1312&gt;$C1363,0,$D$1320)</f>
        <v>0</v>
      </c>
      <c r="E1364" s="438">
        <f>IF($D$1312&gt;$C1363,0,$E$1320)</f>
        <v>0</v>
      </c>
      <c r="F1364" s="528">
        <f>C1364</f>
        <v>670</v>
      </c>
      <c r="G1364" s="536">
        <f>IF($D$1314="",0,IF($D$1314=$C1364,$D$1315,G1363*(1+D1364)+E1364))</f>
        <v>0</v>
      </c>
      <c r="H1364" s="537">
        <f>IF(OR($D$1309="Monthly",$D$1309="Both"),J1363*(1-$D$1305),G1352*(1-$D$1305))</f>
        <v>0</v>
      </c>
      <c r="I1364" s="537">
        <f>IF(OR($D$1309="Monthly",$D$1309="Both"),J1363*$D$1315,G1352*$D$1315)</f>
        <v>0</v>
      </c>
      <c r="J1364" s="542">
        <f>IF(OR($D$1311="Monthly",$D$1311="Both"),G1364+H1364,J1363+G1364+H1364)</f>
        <v>0</v>
      </c>
      <c r="K1364" s="540">
        <f>IF(OR($D$1312&gt;$C1364,$D$1312=""),0,$D$1314)</f>
        <v>0</v>
      </c>
      <c r="L1364" s="541">
        <f>(G1364+H1364)*K1364</f>
        <v>0</v>
      </c>
      <c r="M1364" s="516"/>
      <c r="N1364" s="528">
        <f>F1364</f>
        <v>670</v>
      </c>
      <c r="O1364" s="437">
        <f>IF($O$1312&gt;$C1363,0,$O$1320)</f>
        <v>0</v>
      </c>
      <c r="P1364" s="438">
        <f>IF($O$1312&gt;$C1363,0,$P$1320)</f>
        <v>0</v>
      </c>
      <c r="Q1364" s="528">
        <f>N1364</f>
        <v>670</v>
      </c>
      <c r="R1364" s="536">
        <f>ROUND(IF($O$1312="",0,IF($O$1312=$C1364,$O$1313,R1363*(1+O1364)+P1364)),0)</f>
        <v>0</v>
      </c>
      <c r="S1364" s="537">
        <f>R1352*(1-$O$1315)</f>
        <v>0</v>
      </c>
      <c r="T1364" s="537">
        <f>R1352*$O$1315</f>
        <v>0</v>
      </c>
      <c r="U1364" s="542">
        <f>U1363+R1364+S1364</f>
        <v>0</v>
      </c>
      <c r="V1364" s="540">
        <f>IF(OR($O$1312="",$O$1312&gt;$C1364),0,$O$1314)</f>
        <v>0</v>
      </c>
      <c r="W1364" s="541">
        <f>(R1364+S1364)*V1364</f>
        <v>0</v>
      </c>
    </row>
    <row r="1365" spans="1:23" ht="12" customHeight="1" x14ac:dyDescent="0.3">
      <c r="A1365" s="133"/>
      <c r="B1365" s="133"/>
      <c r="C1365" s="528">
        <f>Infrastructure!D92</f>
        <v>700</v>
      </c>
      <c r="D1365" s="437">
        <f>IF($D$1312&gt;$C1364,0,$D$1320)</f>
        <v>0</v>
      </c>
      <c r="E1365" s="438">
        <f>IF($D$1312&gt;$C1364,0,$E$1320)</f>
        <v>0</v>
      </c>
      <c r="F1365" s="528">
        <f>C1365</f>
        <v>700</v>
      </c>
      <c r="G1365" s="536">
        <f>IF($D$1314="",0,IF($D$1314=$C1365,$D$1315,G1364*(1+D1365)+E1365))</f>
        <v>0</v>
      </c>
      <c r="H1365" s="537">
        <f>IF(OR($D$1309="Monthly",$D$1309="Both"),J1364*(1-$D$1305),G1353*(1-$D$1305))</f>
        <v>0</v>
      </c>
      <c r="I1365" s="537">
        <f>IF(OR($D$1309="Monthly",$D$1309="Both"),J1364*$D$1315,G1353*$D$1315)</f>
        <v>0</v>
      </c>
      <c r="J1365" s="542">
        <f>IF(OR($D$1311="Monthly",$D$1311="Both"),G1365+H1365,J1364+G1365+H1365)</f>
        <v>0</v>
      </c>
      <c r="K1365" s="540">
        <f>IF(OR($D$1312&gt;$C1365,$D$1312=""),0,$D$1314)</f>
        <v>0</v>
      </c>
      <c r="L1365" s="541">
        <f>(G1365+H1365)*K1365</f>
        <v>0</v>
      </c>
      <c r="M1365" s="516"/>
      <c r="N1365" s="528">
        <f>F1365</f>
        <v>700</v>
      </c>
      <c r="O1365" s="437">
        <f>IF($O$1312&gt;$C1364,0,$O$1320)</f>
        <v>0</v>
      </c>
      <c r="P1365" s="438">
        <f>IF($O$1312&gt;$C1364,0,$P$1320)</f>
        <v>0</v>
      </c>
      <c r="Q1365" s="528">
        <f>N1365</f>
        <v>700</v>
      </c>
      <c r="R1365" s="536">
        <f>ROUND(IF($O$1312="",0,IF($O$1312=$C1365,$O$1313,R1364*(1+O1365)+P1365)),0)</f>
        <v>0</v>
      </c>
      <c r="S1365" s="537">
        <f>R1353*(1-$O$1315)</f>
        <v>0</v>
      </c>
      <c r="T1365" s="537">
        <f>R1353*$O$1315</f>
        <v>0</v>
      </c>
      <c r="U1365" s="542">
        <f>U1364+R1365+S1365</f>
        <v>0</v>
      </c>
      <c r="V1365" s="540">
        <f>IF(OR($O$1312="",$O$1312&gt;$C1365),0,$O$1314)</f>
        <v>0</v>
      </c>
      <c r="W1365" s="541">
        <f>(R1365+S1365)*V1365</f>
        <v>0</v>
      </c>
    </row>
    <row r="1366" spans="1:23" ht="12" customHeight="1" x14ac:dyDescent="0.3">
      <c r="A1366" s="133"/>
      <c r="B1366" s="133"/>
      <c r="C1366" s="528">
        <f>Infrastructure!D93</f>
        <v>731</v>
      </c>
      <c r="D1366" s="439">
        <f>IF($D$1312&gt;$C1365,0,$D$1320)</f>
        <v>0</v>
      </c>
      <c r="E1366" s="440">
        <f>IF($D$1312&gt;$C1365,0,$E$1320)</f>
        <v>0</v>
      </c>
      <c r="F1366" s="528">
        <f>C1366</f>
        <v>731</v>
      </c>
      <c r="G1366" s="543">
        <f>IF($D$1314="",0,IF($D$1314=$C1366,$D$1315,G1365*(1+D1366)+E1366))</f>
        <v>0</v>
      </c>
      <c r="H1366" s="544">
        <f>IF(OR($D$1309="Monthly",$D$1309="Both"),J1365*(1-$D$1305),G1354*(1-$D$1305))</f>
        <v>0</v>
      </c>
      <c r="I1366" s="544">
        <f>IF(OR($D$1309="Monthly",$D$1309="Both"),J1365*$D$1315,G1354*$D$1315)</f>
        <v>0</v>
      </c>
      <c r="J1366" s="545">
        <f>IF(OR($D$1311="Monthly",$D$1311="Both"),G1366+H1366,J1365+G1366+H1366)</f>
        <v>0</v>
      </c>
      <c r="K1366" s="546">
        <f>IF(OR($D$1312&gt;$C1366,$D$1312=""),0,$D$1314)</f>
        <v>0</v>
      </c>
      <c r="L1366" s="547">
        <f>(G1366+H1366)*K1366</f>
        <v>0</v>
      </c>
      <c r="M1366" s="516"/>
      <c r="N1366" s="528">
        <f>F1366</f>
        <v>731</v>
      </c>
      <c r="O1366" s="656">
        <f>IF($O$1312&gt;$C1365,0,$O$1320)</f>
        <v>0</v>
      </c>
      <c r="P1366" s="657">
        <f>IF($O$1312&gt;$C1365,0,$P$1320)</f>
        <v>0</v>
      </c>
      <c r="Q1366" s="528">
        <f>N1366</f>
        <v>731</v>
      </c>
      <c r="R1366" s="543">
        <f>ROUND(IF($O$1312="",0,IF($O$1312=$C1366,$O$1313,R1365*(1+O1366)+P1366)),0)</f>
        <v>0</v>
      </c>
      <c r="S1366" s="663">
        <f>R1354*(1-$O$1315)</f>
        <v>0</v>
      </c>
      <c r="T1366" s="544">
        <f>R1354*$O$1315</f>
        <v>0</v>
      </c>
      <c r="U1366" s="545">
        <f>U1365+R1366+S1366</f>
        <v>0</v>
      </c>
      <c r="V1366" s="546">
        <f>IF(OR($O$1312="",$O$1312&gt;$C1366),0,$O$1314)</f>
        <v>0</v>
      </c>
      <c r="W1366" s="547">
        <f>(R1366+S1366)*V1366</f>
        <v>0</v>
      </c>
    </row>
    <row r="1367" spans="1:23" ht="12" customHeight="1" x14ac:dyDescent="0.3">
      <c r="A1367" s="133"/>
      <c r="B1367" s="133"/>
      <c r="C1367" s="528">
        <f>Infrastructure!D94</f>
        <v>762</v>
      </c>
      <c r="D1367" s="437">
        <f>IF($D$1312&gt;$C1366,0,$D$1321)</f>
        <v>0</v>
      </c>
      <c r="E1367" s="438">
        <f>IF($D$1312&gt;$C1366,0,$E$1321)</f>
        <v>0</v>
      </c>
      <c r="F1367" s="528">
        <f>C1367</f>
        <v>762</v>
      </c>
      <c r="G1367" s="536">
        <f>IF($D$1314="",0,IF($D$1314=$C1367,$D$1315,G1366*(1+D1367)+E1367))</f>
        <v>0</v>
      </c>
      <c r="H1367" s="660">
        <f>IF(OR($D$1309="Monthly",$D$1309="Both"),J1366*(1-$D$1315),G1355*(1-$D$1315)+H1355*(1-$D$1315))</f>
        <v>0</v>
      </c>
      <c r="I1367" s="660">
        <f>IF(OR($D$1309="Monthly",$D$1309="Both"),J1366*$D$1315,G1355*$D$1315+H1355*$D$1315)</f>
        <v>0</v>
      </c>
      <c r="J1367" s="542">
        <f>IF(OR($D$1309="Monthly",$D$1309="Both"),G1367+H1367,J1366+G1367+H1367)</f>
        <v>0</v>
      </c>
      <c r="K1367" s="540">
        <f>IF(OR($D$1312&gt;$C1367,$D$1312=""),0,$D$1314)</f>
        <v>0</v>
      </c>
      <c r="L1367" s="541">
        <f>(G1367+H1367)*K1367</f>
        <v>0</v>
      </c>
      <c r="M1367" s="516"/>
      <c r="N1367" s="528">
        <f>F1367</f>
        <v>762</v>
      </c>
      <c r="O1367" s="437">
        <f>IF($O$1312&gt;$C1366,0,$O$1321)</f>
        <v>0</v>
      </c>
      <c r="P1367" s="438">
        <f>IF($O$1312&gt;$C1366,0,$P$1321)</f>
        <v>0</v>
      </c>
      <c r="Q1367" s="528">
        <f>N1367</f>
        <v>762</v>
      </c>
      <c r="R1367" s="536">
        <f>ROUND(IF($O$1312="",0,IF($O$1312=$C1367,$O$1313,R1366*(1+O1367)+P1367)),0)</f>
        <v>0</v>
      </c>
      <c r="S1367" s="537">
        <f>R1355*(1-$O$1315)+S1355*(1-$O$1315)</f>
        <v>0</v>
      </c>
      <c r="T1367" s="537">
        <f>R1355*$O$1315+S1355*$O$1315</f>
        <v>0</v>
      </c>
      <c r="U1367" s="542">
        <f>U1366+R1367+S1367</f>
        <v>0</v>
      </c>
      <c r="V1367" s="540">
        <f>IF(OR($O$1312="",$O$1312&gt;$C1367),0,$O$1314)</f>
        <v>0</v>
      </c>
      <c r="W1367" s="541">
        <f>(R1367+S1367)*V1367</f>
        <v>0</v>
      </c>
    </row>
    <row r="1368" spans="1:23" ht="12" customHeight="1" x14ac:dyDescent="0.3">
      <c r="A1368" s="133"/>
      <c r="B1368" s="133"/>
      <c r="C1368" s="528">
        <f>Infrastructure!D95</f>
        <v>790</v>
      </c>
      <c r="D1368" s="437">
        <f>IF($D$1312&gt;$C1367,0,$D$1321)</f>
        <v>0</v>
      </c>
      <c r="E1368" s="438">
        <f>IF($D$1312&gt;$C1367,0,$E$1321)</f>
        <v>0</v>
      </c>
      <c r="F1368" s="528">
        <f>C1368</f>
        <v>790</v>
      </c>
      <c r="G1368" s="536">
        <f>IF($D$1314="",0,IF($D$1314=$C1368,$D$1315,G1367*(1+D1368)+E1368))</f>
        <v>0</v>
      </c>
      <c r="H1368" s="537">
        <f>IF(OR($D$1309="Monthly",$D$1309="Both"),J1367*(1-$D$1305),G1356*(1-$D$1305)+H1356*(1-$D$1305))</f>
        <v>0</v>
      </c>
      <c r="I1368" s="537">
        <f>IF(OR($D$1309="Monthly",$D$1309="Both"),J1367*$D$1315,G1356*$D$1315+H1356*$D$1315)</f>
        <v>0</v>
      </c>
      <c r="J1368" s="542">
        <f>IF(OR($D$1311="Monthly",$D$1311="Both"),G1368+H1368,J1367+G1368+H1368)</f>
        <v>0</v>
      </c>
      <c r="K1368" s="540">
        <f>IF(OR($D$1312&gt;$C1368,$D$1312=""),0,$D$1314)</f>
        <v>0</v>
      </c>
      <c r="L1368" s="541">
        <f>(G1368+H1368)*K1368</f>
        <v>0</v>
      </c>
      <c r="M1368" s="516"/>
      <c r="N1368" s="528">
        <f>F1368</f>
        <v>790</v>
      </c>
      <c r="O1368" s="437">
        <f>IF($O$1312&gt;$C1367,0,$O$1321)</f>
        <v>0</v>
      </c>
      <c r="P1368" s="438">
        <f>IF($O$1312&gt;$C1367,0,$P$1321)</f>
        <v>0</v>
      </c>
      <c r="Q1368" s="528">
        <f>N1368</f>
        <v>790</v>
      </c>
      <c r="R1368" s="536">
        <f>ROUND(IF($O$1312="",0,IF($O$1312=$C1368,$O$1313,R1367*(1+O1368)+P1368)),0)</f>
        <v>0</v>
      </c>
      <c r="S1368" s="537">
        <f>R1356*(1-$O$1315)+S1356*(1-$O$1315)</f>
        <v>0</v>
      </c>
      <c r="T1368" s="537">
        <f>R1356*$O$1315+S1356*$O$1315</f>
        <v>0</v>
      </c>
      <c r="U1368" s="542">
        <f>U1367+R1368+S1368</f>
        <v>0</v>
      </c>
      <c r="V1368" s="540">
        <f>IF(OR($O$1312="",$O$1312&gt;$C1368),0,$O$1314)</f>
        <v>0</v>
      </c>
      <c r="W1368" s="541">
        <f>(R1368+S1368)*V1368</f>
        <v>0</v>
      </c>
    </row>
    <row r="1369" spans="1:23" ht="12" customHeight="1" x14ac:dyDescent="0.3">
      <c r="A1369" s="133"/>
      <c r="B1369" s="133"/>
      <c r="C1369" s="528">
        <f>Infrastructure!D96</f>
        <v>821</v>
      </c>
      <c r="D1369" s="437">
        <f>IF($D$1312&gt;$C1368,0,$D$1321)</f>
        <v>0</v>
      </c>
      <c r="E1369" s="438">
        <f>IF($D$1312&gt;$C1368,0,$E$1321)</f>
        <v>0</v>
      </c>
      <c r="F1369" s="528">
        <f>C1369</f>
        <v>821</v>
      </c>
      <c r="G1369" s="536">
        <f>IF($D$1314="",0,IF($D$1314=$C1369,$D$1315,G1368*(1+D1369)+E1369))</f>
        <v>0</v>
      </c>
      <c r="H1369" s="537">
        <f>IF(OR($D$1309="Monthly",$D$1309="Both"),J1368*(1-$D$1305),G1357*(1-$D$1305)+H1357*(1-$D$1305))</f>
        <v>0</v>
      </c>
      <c r="I1369" s="537">
        <f>IF(OR($D$1309="Monthly",$D$1309="Both"),J1368*$D$1315,G1357*$D$1315+H1357*$D$1315)</f>
        <v>0</v>
      </c>
      <c r="J1369" s="542">
        <f>IF(OR($D$1311="Monthly",$D$1311="Both"),G1369+H1369,J1368+G1369+H1369)</f>
        <v>0</v>
      </c>
      <c r="K1369" s="540">
        <f>IF(OR($D$1312&gt;$C1369,$D$1312=""),0,$D$1314)</f>
        <v>0</v>
      </c>
      <c r="L1369" s="541">
        <f>(G1369+H1369)*K1369</f>
        <v>0</v>
      </c>
      <c r="M1369" s="516"/>
      <c r="N1369" s="528">
        <f>F1369</f>
        <v>821</v>
      </c>
      <c r="O1369" s="437">
        <f>IF($O$1312&gt;$C1368,0,$O$1321)</f>
        <v>0</v>
      </c>
      <c r="P1369" s="438">
        <f>IF($O$1312&gt;$C1368,0,$P$1321)</f>
        <v>0</v>
      </c>
      <c r="Q1369" s="528">
        <f>N1369</f>
        <v>821</v>
      </c>
      <c r="R1369" s="536">
        <f>ROUND(IF($O$1312="",0,IF($O$1312=$C1369,$O$1313,R1368*(1+O1369)+P1369)),0)</f>
        <v>0</v>
      </c>
      <c r="S1369" s="537">
        <f>R1357*(1-$O$1315)+S1357*(1-$O$1315)</f>
        <v>0</v>
      </c>
      <c r="T1369" s="537">
        <f>R1357*$O$1315+S1357*$O$1315</f>
        <v>0</v>
      </c>
      <c r="U1369" s="542">
        <f>U1368+R1369+S1369</f>
        <v>0</v>
      </c>
      <c r="V1369" s="540">
        <f>IF(OR($O$1312="",$O$1312&gt;$C1369),0,$O$1314)</f>
        <v>0</v>
      </c>
      <c r="W1369" s="541">
        <f>(R1369+S1369)*V1369</f>
        <v>0</v>
      </c>
    </row>
    <row r="1370" spans="1:23" ht="12" customHeight="1" x14ac:dyDescent="0.3">
      <c r="A1370" s="133"/>
      <c r="B1370" s="133"/>
      <c r="C1370" s="528">
        <f>Infrastructure!D97</f>
        <v>851</v>
      </c>
      <c r="D1370" s="437">
        <f>IF($D$1312&gt;$C1369,0,$D$1321)</f>
        <v>0</v>
      </c>
      <c r="E1370" s="438">
        <f>IF($D$1312&gt;$C1369,0,$E$1321)</f>
        <v>0</v>
      </c>
      <c r="F1370" s="528">
        <f>C1370</f>
        <v>851</v>
      </c>
      <c r="G1370" s="536">
        <f>IF($D$1314="",0,IF($D$1314=$C1370,$D$1315,G1369*(1+D1370)+E1370))</f>
        <v>0</v>
      </c>
      <c r="H1370" s="537">
        <f>IF(OR($D$1309="Monthly",$D$1309="Both"),J1369*(1-$D$1305),G1358*(1-$D$1305)+H1358*(1-$D$1305))</f>
        <v>0</v>
      </c>
      <c r="I1370" s="537">
        <f>IF(OR($D$1309="Monthly",$D$1309="Both"),J1369*$D$1315,G1358*$D$1315+H1358*$D$1315)</f>
        <v>0</v>
      </c>
      <c r="J1370" s="542">
        <f>IF(OR($D$1311="Monthly",$D$1311="Both"),G1370+H1370,J1369+G1370+H1370)</f>
        <v>0</v>
      </c>
      <c r="K1370" s="540">
        <f>IF(OR($D$1312&gt;$C1370,$D$1312=""),0,$D$1314)</f>
        <v>0</v>
      </c>
      <c r="L1370" s="541">
        <f>(G1370+H1370)*K1370</f>
        <v>0</v>
      </c>
      <c r="M1370" s="516"/>
      <c r="N1370" s="528">
        <f>F1370</f>
        <v>851</v>
      </c>
      <c r="O1370" s="437">
        <f>IF($O$1312&gt;$C1369,0,$O$1321)</f>
        <v>0</v>
      </c>
      <c r="P1370" s="438">
        <f>IF($O$1312&gt;$C1369,0,$P$1321)</f>
        <v>0</v>
      </c>
      <c r="Q1370" s="528">
        <f>N1370</f>
        <v>851</v>
      </c>
      <c r="R1370" s="536">
        <f>ROUND(IF($O$1312="",0,IF($O$1312=$C1370,$O$1313,R1369*(1+O1370)+P1370)),0)</f>
        <v>0</v>
      </c>
      <c r="S1370" s="537">
        <f>R1358*(1-$O$1315)+S1358*(1-$O$1315)</f>
        <v>0</v>
      </c>
      <c r="T1370" s="537">
        <f>R1358*$O$1315+S1358*$O$1315</f>
        <v>0</v>
      </c>
      <c r="U1370" s="542">
        <f>U1369+R1370+S1370</f>
        <v>0</v>
      </c>
      <c r="V1370" s="540">
        <f>IF(OR($O$1312="",$O$1312&gt;$C1370),0,$O$1314)</f>
        <v>0</v>
      </c>
      <c r="W1370" s="541">
        <f>(R1370+S1370)*V1370</f>
        <v>0</v>
      </c>
    </row>
    <row r="1371" spans="1:23" ht="12" customHeight="1" x14ac:dyDescent="0.3">
      <c r="A1371" s="133"/>
      <c r="B1371" s="133"/>
      <c r="C1371" s="528">
        <f>Infrastructure!D98</f>
        <v>882</v>
      </c>
      <c r="D1371" s="437">
        <f>IF($D$1312&gt;$C1370,0,$D$1321)</f>
        <v>0</v>
      </c>
      <c r="E1371" s="438">
        <f>IF($D$1312&gt;$C1370,0,$E$1321)</f>
        <v>0</v>
      </c>
      <c r="F1371" s="528">
        <f>C1371</f>
        <v>882</v>
      </c>
      <c r="G1371" s="536">
        <f>IF($D$1314="",0,IF($D$1314=$C1371,$D$1315,G1370*(1+D1371)+E1371))</f>
        <v>0</v>
      </c>
      <c r="H1371" s="537">
        <f>IF(OR($D$1309="Monthly",$D$1309="Both"),J1370*(1-$D$1305),G1359*(1-$D$1305)+H1359*(1-$D$1305))</f>
        <v>0</v>
      </c>
      <c r="I1371" s="537">
        <f>IF(OR($D$1309="Monthly",$D$1309="Both"),J1370*$D$1315,G1359*$D$1315+H1359*$D$1315)</f>
        <v>0</v>
      </c>
      <c r="J1371" s="542">
        <f>IF(OR($D$1311="Monthly",$D$1311="Both"),G1371+H1371,J1370+G1371+H1371)</f>
        <v>0</v>
      </c>
      <c r="K1371" s="540">
        <f>IF(OR($D$1312&gt;$C1371,$D$1312=""),0,$D$1314)</f>
        <v>0</v>
      </c>
      <c r="L1371" s="541">
        <f>(G1371+H1371)*K1371</f>
        <v>0</v>
      </c>
      <c r="M1371" s="516"/>
      <c r="N1371" s="528">
        <f>F1371</f>
        <v>882</v>
      </c>
      <c r="O1371" s="437">
        <f>IF($O$1312&gt;$C1370,0,$O$1321)</f>
        <v>0</v>
      </c>
      <c r="P1371" s="438">
        <f>IF($O$1312&gt;$C1370,0,$P$1321)</f>
        <v>0</v>
      </c>
      <c r="Q1371" s="528">
        <f>N1371</f>
        <v>882</v>
      </c>
      <c r="R1371" s="536">
        <f>ROUND(IF($O$1312="",0,IF($O$1312=$C1371,$O$1313,R1370*(1+O1371)+P1371)),0)</f>
        <v>0</v>
      </c>
      <c r="S1371" s="537">
        <f>R1359*(1-$O$1315)+S1359*(1-$O$1315)</f>
        <v>0</v>
      </c>
      <c r="T1371" s="537">
        <f>R1359*$O$1315+S1359*$O$1315</f>
        <v>0</v>
      </c>
      <c r="U1371" s="542">
        <f>U1370+R1371+S1371</f>
        <v>0</v>
      </c>
      <c r="V1371" s="540">
        <f>IF(OR($O$1312="",$O$1312&gt;$C1371),0,$O$1314)</f>
        <v>0</v>
      </c>
      <c r="W1371" s="541">
        <f>(R1371+S1371)*V1371</f>
        <v>0</v>
      </c>
    </row>
    <row r="1372" spans="1:23" ht="12" customHeight="1" x14ac:dyDescent="0.3">
      <c r="A1372" s="133"/>
      <c r="B1372" s="133"/>
      <c r="C1372" s="528">
        <f>Infrastructure!D99</f>
        <v>912</v>
      </c>
      <c r="D1372" s="437">
        <f>IF($D$1312&gt;$C1371,0,$D$1321)</f>
        <v>0</v>
      </c>
      <c r="E1372" s="438">
        <f>IF($D$1312&gt;$C1371,0,$E$1321)</f>
        <v>0</v>
      </c>
      <c r="F1372" s="528">
        <f>C1372</f>
        <v>912</v>
      </c>
      <c r="G1372" s="536">
        <f>IF($D$1314="",0,IF($D$1314=$C1372,$D$1315,G1371*(1+D1372)+E1372))</f>
        <v>0</v>
      </c>
      <c r="H1372" s="537">
        <f>IF(OR($D$1309="Monthly",$D$1309="Both"),J1371*(1-$D$1305),G1360*(1-$D$1305)+H1360*(1-$D$1305))</f>
        <v>0</v>
      </c>
      <c r="I1372" s="537">
        <f>IF(OR($D$1309="Monthly",$D$1309="Both"),J1371*$D$1315,G1360*$D$1315+H1360*$D$1315)</f>
        <v>0</v>
      </c>
      <c r="J1372" s="542">
        <f>IF(OR($D$1311="Monthly",$D$1311="Both"),G1372+H1372,J1371+G1372+H1372)</f>
        <v>0</v>
      </c>
      <c r="K1372" s="540">
        <f>IF(OR($D$1312&gt;$C1372,$D$1312=""),0,$D$1314)</f>
        <v>0</v>
      </c>
      <c r="L1372" s="541">
        <f>(G1372+H1372)*K1372</f>
        <v>0</v>
      </c>
      <c r="M1372" s="516"/>
      <c r="N1372" s="528">
        <f>F1372</f>
        <v>912</v>
      </c>
      <c r="O1372" s="437">
        <f>IF($O$1312&gt;$C1371,0,$O$1321)</f>
        <v>0</v>
      </c>
      <c r="P1372" s="438">
        <f>IF($O$1312&gt;$C1371,0,$P$1321)</f>
        <v>0</v>
      </c>
      <c r="Q1372" s="528">
        <f>N1372</f>
        <v>912</v>
      </c>
      <c r="R1372" s="536">
        <f>ROUND(IF($O$1312="",0,IF($O$1312=$C1372,$O$1313,R1371*(1+O1372)+P1372)),0)</f>
        <v>0</v>
      </c>
      <c r="S1372" s="537">
        <f>R1360*(1-$O$1315)+S1360*(1-$O$1315)</f>
        <v>0</v>
      </c>
      <c r="T1372" s="537">
        <f>R1360*$O$1315+S1360*$O$1315</f>
        <v>0</v>
      </c>
      <c r="U1372" s="542">
        <f>U1371+R1372+S1372</f>
        <v>0</v>
      </c>
      <c r="V1372" s="540">
        <f>IF(OR($O$1312="",$O$1312&gt;$C1372),0,$O$1314)</f>
        <v>0</v>
      </c>
      <c r="W1372" s="541">
        <f>(R1372+S1372)*V1372</f>
        <v>0</v>
      </c>
    </row>
    <row r="1373" spans="1:23" ht="12" customHeight="1" x14ac:dyDescent="0.3">
      <c r="A1373" s="133"/>
      <c r="B1373" s="133"/>
      <c r="C1373" s="528">
        <f>Infrastructure!D100</f>
        <v>943</v>
      </c>
      <c r="D1373" s="437">
        <f>IF($D$1312&gt;$C1372,0,$D$1321)</f>
        <v>0</v>
      </c>
      <c r="E1373" s="438">
        <f>IF($D$1312&gt;$C1372,0,$E$1321)</f>
        <v>0</v>
      </c>
      <c r="F1373" s="528">
        <f>C1373</f>
        <v>943</v>
      </c>
      <c r="G1373" s="536">
        <f>IF($D$1314="",0,IF($D$1314=$C1373,$D$1315,G1372*(1+D1373)+E1373))</f>
        <v>0</v>
      </c>
      <c r="H1373" s="537">
        <f>IF(OR($D$1309="Monthly",$D$1309="Both"),J1372*(1-$D$1305),G1361*(1-$D$1305)+H1361*(1-$D$1305))</f>
        <v>0</v>
      </c>
      <c r="I1373" s="537">
        <f>IF(OR($D$1309="Monthly",$D$1309="Both"),J1372*$D$1315,G1361*$D$1315+H1361*$D$1315)</f>
        <v>0</v>
      </c>
      <c r="J1373" s="542">
        <f>IF(OR($D$1311="Monthly",$D$1311="Both"),G1373+H1373,J1372+G1373+H1373)</f>
        <v>0</v>
      </c>
      <c r="K1373" s="540">
        <f>IF(OR($D$1312&gt;$C1373,$D$1312=""),0,$D$1314)</f>
        <v>0</v>
      </c>
      <c r="L1373" s="541">
        <f>(G1373+H1373)*K1373</f>
        <v>0</v>
      </c>
      <c r="M1373" s="516"/>
      <c r="N1373" s="528">
        <f>F1373</f>
        <v>943</v>
      </c>
      <c r="O1373" s="437">
        <f>IF($O$1312&gt;$C1372,0,$O$1321)</f>
        <v>0</v>
      </c>
      <c r="P1373" s="438">
        <f>IF($O$1312&gt;$C1372,0,$P$1321)</f>
        <v>0</v>
      </c>
      <c r="Q1373" s="528">
        <f>N1373</f>
        <v>943</v>
      </c>
      <c r="R1373" s="536">
        <f>ROUND(IF($O$1312="",0,IF($O$1312=$C1373,$O$1313,R1372*(1+O1373)+P1373)),0)</f>
        <v>0</v>
      </c>
      <c r="S1373" s="537">
        <f>R1361*(1-$O$1315)+S1361*(1-$O$1315)</f>
        <v>0</v>
      </c>
      <c r="T1373" s="537">
        <f>R1361*$O$1315+S1361*$O$1315</f>
        <v>0</v>
      </c>
      <c r="U1373" s="542">
        <f>U1372+R1373+S1373</f>
        <v>0</v>
      </c>
      <c r="V1373" s="540">
        <f>IF(OR($O$1312="",$O$1312&gt;$C1373),0,$O$1314)</f>
        <v>0</v>
      </c>
      <c r="W1373" s="541">
        <f>(R1373+S1373)*V1373</f>
        <v>0</v>
      </c>
    </row>
    <row r="1374" spans="1:23" ht="12" customHeight="1" x14ac:dyDescent="0.3">
      <c r="A1374" s="133"/>
      <c r="B1374" s="133"/>
      <c r="C1374" s="528">
        <f>Infrastructure!D101</f>
        <v>974</v>
      </c>
      <c r="D1374" s="437">
        <f>IF($D$1312&gt;$C1373,0,$D$1321)</f>
        <v>0</v>
      </c>
      <c r="E1374" s="438">
        <f>IF($D$1312&gt;$C1373,0,$E$1321)</f>
        <v>0</v>
      </c>
      <c r="F1374" s="528">
        <f>C1374</f>
        <v>974</v>
      </c>
      <c r="G1374" s="536">
        <f>IF($D$1314="",0,IF($D$1314=$C1374,$D$1315,G1373*(1+D1374)+E1374))</f>
        <v>0</v>
      </c>
      <c r="H1374" s="537">
        <f>IF(OR($D$1309="Monthly",$D$1309="Both"),J1373*(1-$D$1305),G1362*(1-$D$1305)+H1362*(1-$D$1305))</f>
        <v>0</v>
      </c>
      <c r="I1374" s="537">
        <f>IF(OR($D$1309="Monthly",$D$1309="Both"),J1373*$D$1315,G1362*$D$1315+H1362*$D$1315)</f>
        <v>0</v>
      </c>
      <c r="J1374" s="542">
        <f>IF(OR($D$1311="Monthly",$D$1311="Both"),G1374+H1374,J1373+G1374+H1374)</f>
        <v>0</v>
      </c>
      <c r="K1374" s="540">
        <f>IF(OR($D$1312&gt;$C1374,$D$1312=""),0,$D$1314)</f>
        <v>0</v>
      </c>
      <c r="L1374" s="541">
        <f>(G1374+H1374)*K1374</f>
        <v>0</v>
      </c>
      <c r="M1374" s="516"/>
      <c r="N1374" s="528">
        <f>F1374</f>
        <v>974</v>
      </c>
      <c r="O1374" s="437">
        <f>IF($O$1312&gt;$C1373,0,$O$1321)</f>
        <v>0</v>
      </c>
      <c r="P1374" s="438">
        <f>IF($O$1312&gt;$C1373,0,$P$1321)</f>
        <v>0</v>
      </c>
      <c r="Q1374" s="528">
        <f>N1374</f>
        <v>974</v>
      </c>
      <c r="R1374" s="536">
        <f>ROUND(IF($O$1312="",0,IF($O$1312=$C1374,$O$1313,R1373*(1+O1374)+P1374)),0)</f>
        <v>0</v>
      </c>
      <c r="S1374" s="537">
        <f>R1362*(1-$O$1315)+S1362*(1-$O$1315)</f>
        <v>0</v>
      </c>
      <c r="T1374" s="537">
        <f>R1362*$O$1315+S1362*$O$1315</f>
        <v>0</v>
      </c>
      <c r="U1374" s="542">
        <f>U1373+R1374+S1374</f>
        <v>0</v>
      </c>
      <c r="V1374" s="540">
        <f>IF(OR($O$1312="",$O$1312&gt;$C1374),0,$O$1314)</f>
        <v>0</v>
      </c>
      <c r="W1374" s="541">
        <f>(R1374+S1374)*V1374</f>
        <v>0</v>
      </c>
    </row>
    <row r="1375" spans="1:23" ht="12" customHeight="1" x14ac:dyDescent="0.3">
      <c r="A1375" s="133"/>
      <c r="B1375" s="133"/>
      <c r="C1375" s="528">
        <f>Infrastructure!D102</f>
        <v>1004</v>
      </c>
      <c r="D1375" s="437">
        <f>IF($D$1312&gt;$C1374,0,$D$1321)</f>
        <v>0</v>
      </c>
      <c r="E1375" s="438">
        <f>IF($D$1312&gt;$C1374,0,$E$1321)</f>
        <v>0</v>
      </c>
      <c r="F1375" s="528">
        <f>C1375</f>
        <v>1004</v>
      </c>
      <c r="G1375" s="536">
        <f>IF($D$1314="",0,IF($D$1314=$C1375,$D$1315,G1374*(1+D1375)+E1375))</f>
        <v>0</v>
      </c>
      <c r="H1375" s="537">
        <f>IF(OR($D$1309="Monthly",$D$1309="Both"),J1374*(1-$D$1305),G1363*(1-$D$1305)+H1363*(1-$D$1305))</f>
        <v>0</v>
      </c>
      <c r="I1375" s="537">
        <f>IF(OR($D$1309="Monthly",$D$1309="Both"),J1374*$D$1315,G1363*$D$1315+H1363*$D$1315)</f>
        <v>0</v>
      </c>
      <c r="J1375" s="542">
        <f>IF(OR($D$1311="Monthly",$D$1311="Both"),G1375+H1375,J1374+G1375+H1375)</f>
        <v>0</v>
      </c>
      <c r="K1375" s="540">
        <f>IF(OR($D$1312&gt;$C1375,$D$1312=""),0,$D$1314)</f>
        <v>0</v>
      </c>
      <c r="L1375" s="541">
        <f>(G1375+H1375)*K1375</f>
        <v>0</v>
      </c>
      <c r="M1375" s="516"/>
      <c r="N1375" s="528">
        <f>F1375</f>
        <v>1004</v>
      </c>
      <c r="O1375" s="437">
        <f>IF($O$1312&gt;$C1374,0,$O$1321)</f>
        <v>0</v>
      </c>
      <c r="P1375" s="438">
        <f>IF($O$1312&gt;$C1374,0,$P$1321)</f>
        <v>0</v>
      </c>
      <c r="Q1375" s="528">
        <f>N1375</f>
        <v>1004</v>
      </c>
      <c r="R1375" s="536">
        <f>ROUND(IF($O$1312="",0,IF($O$1312=$C1375,$O$1313,R1374*(1+O1375)+P1375)),0)</f>
        <v>0</v>
      </c>
      <c r="S1375" s="537">
        <f>R1363*(1-$O$1315)+S1363*(1-$O$1315)</f>
        <v>0</v>
      </c>
      <c r="T1375" s="537">
        <f>R1363*$O$1315+S1363*$O$1315</f>
        <v>0</v>
      </c>
      <c r="U1375" s="542">
        <f>U1374+R1375+S1375</f>
        <v>0</v>
      </c>
      <c r="V1375" s="540">
        <f>IF(OR($O$1312="",$O$1312&gt;$C1375),0,$O$1314)</f>
        <v>0</v>
      </c>
      <c r="W1375" s="541">
        <f>(R1375+S1375)*V1375</f>
        <v>0</v>
      </c>
    </row>
    <row r="1376" spans="1:23" ht="12" customHeight="1" x14ac:dyDescent="0.3">
      <c r="A1376" s="133"/>
      <c r="B1376" s="133"/>
      <c r="C1376" s="528">
        <f>Infrastructure!D103</f>
        <v>1035</v>
      </c>
      <c r="D1376" s="437">
        <f>IF($D$1312&gt;$C1375,0,$D$1321)</f>
        <v>0</v>
      </c>
      <c r="E1376" s="438">
        <f>IF($D$1312&gt;$C1375,0,$E$1321)</f>
        <v>0</v>
      </c>
      <c r="F1376" s="528">
        <f>C1376</f>
        <v>1035</v>
      </c>
      <c r="G1376" s="536">
        <f>IF($D$1314="",0,IF($D$1314=$C1376,$D$1315,G1375*(1+D1376)+E1376))</f>
        <v>0</v>
      </c>
      <c r="H1376" s="537">
        <f>IF(OR($D$1309="Monthly",$D$1309="Both"),J1375*(1-$D$1305),G1364*(1-$D$1305)+H1364*(1-$D$1305))</f>
        <v>0</v>
      </c>
      <c r="I1376" s="537">
        <f>IF(OR($D$1309="Monthly",$D$1309="Both"),J1375*$D$1315,G1364*$D$1315+H1364*$D$1315)</f>
        <v>0</v>
      </c>
      <c r="J1376" s="542">
        <f>IF(OR($D$1311="Monthly",$D$1311="Both"),G1376+H1376,J1375+G1376+H1376)</f>
        <v>0</v>
      </c>
      <c r="K1376" s="540">
        <f>IF(OR($D$1312&gt;$C1376,$D$1312=""),0,$D$1314)</f>
        <v>0</v>
      </c>
      <c r="L1376" s="541">
        <f>(G1376+H1376)*K1376</f>
        <v>0</v>
      </c>
      <c r="M1376" s="516"/>
      <c r="N1376" s="528">
        <f>F1376</f>
        <v>1035</v>
      </c>
      <c r="O1376" s="437">
        <f>IF($O$1312&gt;$C1375,0,$O$1321)</f>
        <v>0</v>
      </c>
      <c r="P1376" s="438">
        <f>IF($O$1312&gt;$C1375,0,$P$1321)</f>
        <v>0</v>
      </c>
      <c r="Q1376" s="528">
        <f>N1376</f>
        <v>1035</v>
      </c>
      <c r="R1376" s="536">
        <f>ROUND(IF($O$1312="",0,IF($O$1312=$C1376,$O$1313,R1375*(1+O1376)+P1376)),0)</f>
        <v>0</v>
      </c>
      <c r="S1376" s="537">
        <f>R1364*(1-$O$1315)+S1364*(1-$O$1315)</f>
        <v>0</v>
      </c>
      <c r="T1376" s="537">
        <f>R1364*$O$1315+S1364*$O$1315</f>
        <v>0</v>
      </c>
      <c r="U1376" s="542">
        <f>U1375+R1376+S1376</f>
        <v>0</v>
      </c>
      <c r="V1376" s="540">
        <f>IF(OR($O$1312="",$O$1312&gt;$C1376),0,$O$1314)</f>
        <v>0</v>
      </c>
      <c r="W1376" s="541">
        <f>(R1376+S1376)*V1376</f>
        <v>0</v>
      </c>
    </row>
    <row r="1377" spans="1:23" ht="12" customHeight="1" x14ac:dyDescent="0.3">
      <c r="A1377" s="133"/>
      <c r="B1377" s="133"/>
      <c r="C1377" s="528">
        <f>Infrastructure!D104</f>
        <v>1065</v>
      </c>
      <c r="D1377" s="437">
        <f>IF($D$1312&gt;$C1376,0,$D$1321)</f>
        <v>0</v>
      </c>
      <c r="E1377" s="438">
        <f>IF($D$1312&gt;$C1376,0,$E$1321)</f>
        <v>0</v>
      </c>
      <c r="F1377" s="528">
        <f>C1377</f>
        <v>1065</v>
      </c>
      <c r="G1377" s="536">
        <f>IF($D$1314="",0,IF($D$1314=$C1377,$D$1315,G1376*(1+D1377)+E1377))</f>
        <v>0</v>
      </c>
      <c r="H1377" s="537">
        <f>IF(OR($D$1309="Monthly",$D$1309="Both"),J1376*(1-$D$1305),G1365*(1-$D$1305)+H1365*(1-$D$1305))</f>
        <v>0</v>
      </c>
      <c r="I1377" s="537">
        <f>IF(OR($D$1309="Monthly",$D$1309="Both"),J1376*$D$1315,G1365*$D$1315+H1365*$D$1315)</f>
        <v>0</v>
      </c>
      <c r="J1377" s="542">
        <f>IF(OR($D$1311="Monthly",$D$1311="Both"),G1377+H1377,J1376+G1377+H1377)</f>
        <v>0</v>
      </c>
      <c r="K1377" s="540">
        <f>IF(OR($D$1312&gt;$C1377,$D$1312=""),0,$D$1314)</f>
        <v>0</v>
      </c>
      <c r="L1377" s="541">
        <f>(G1377+H1377)*K1377</f>
        <v>0</v>
      </c>
      <c r="M1377" s="516"/>
      <c r="N1377" s="528">
        <f>F1377</f>
        <v>1065</v>
      </c>
      <c r="O1377" s="437">
        <f>IF($O$1312&gt;$C1376,0,$O$1321)</f>
        <v>0</v>
      </c>
      <c r="P1377" s="438">
        <f>IF($O$1312&gt;$C1376,0,$P$1321)</f>
        <v>0</v>
      </c>
      <c r="Q1377" s="528">
        <f>N1377</f>
        <v>1065</v>
      </c>
      <c r="R1377" s="536">
        <f>ROUND(IF($O$1312="",0,IF($O$1312=$C1377,$O$1313,R1376*(1+O1377)+P1377)),0)</f>
        <v>0</v>
      </c>
      <c r="S1377" s="537">
        <f>R1365*(1-$O$1315)+S1365*(1-$O$1315)</f>
        <v>0</v>
      </c>
      <c r="T1377" s="537">
        <f>R1365*$O$1315+S1365*$O$1315</f>
        <v>0</v>
      </c>
      <c r="U1377" s="542">
        <f>U1376+R1377+S1377</f>
        <v>0</v>
      </c>
      <c r="V1377" s="540">
        <f>IF(OR($O$1312="",$O$1312&gt;$C1377),0,$O$1314)</f>
        <v>0</v>
      </c>
      <c r="W1377" s="541">
        <f>(R1377+S1377)*V1377</f>
        <v>0</v>
      </c>
    </row>
    <row r="1378" spans="1:23" ht="12" customHeight="1" x14ac:dyDescent="0.3">
      <c r="A1378" s="133"/>
      <c r="B1378" s="133"/>
      <c r="C1378" s="528">
        <f>Infrastructure!D105</f>
        <v>1096</v>
      </c>
      <c r="D1378" s="439">
        <f>IF($D$1312&gt;$C1377,0,$D$1321)</f>
        <v>0</v>
      </c>
      <c r="E1378" s="440">
        <f>IF($D$1312&gt;$C1377,0,$E$1321)</f>
        <v>0</v>
      </c>
      <c r="F1378" s="528">
        <f>C1378</f>
        <v>1096</v>
      </c>
      <c r="G1378" s="543">
        <f>IF($D$1314="",0,IF($D$1314=$C1378,$D$1315,G1377*(1+D1378)+E1378))</f>
        <v>0</v>
      </c>
      <c r="H1378" s="544">
        <f>IF(OR($D$1309="Monthly",$D$1309="Both"),J1377*(1-$D$1315),G1366*(1-$D$1315)+H1366*(1-$D$1315))</f>
        <v>0</v>
      </c>
      <c r="I1378" s="544">
        <f>IF(OR($D$1309="Monthly",$D$1309="Both"),J1377*$D$1315,G1366*$D$1315+H1366*$D$1315)</f>
        <v>0</v>
      </c>
      <c r="J1378" s="545">
        <f>IF(OR($D$1309="Monthly",$D$1309="Both"),G1378+H1378,J1377+G1378+H1378)</f>
        <v>0</v>
      </c>
      <c r="K1378" s="546">
        <f>IF(OR($D$1312&gt;$C1378,$D$1312=""),0,$D$1314)</f>
        <v>0</v>
      </c>
      <c r="L1378" s="547">
        <f>(G1378+H1378)*K1378</f>
        <v>0</v>
      </c>
      <c r="M1378" s="516"/>
      <c r="N1378" s="528">
        <f>F1378</f>
        <v>1096</v>
      </c>
      <c r="O1378" s="656">
        <f>IF($O$1312&gt;$C1377,0,$O$1321)</f>
        <v>0</v>
      </c>
      <c r="P1378" s="657">
        <f>IF($O$1312&gt;$C1377,0,$P$1321)</f>
        <v>0</v>
      </c>
      <c r="Q1378" s="528">
        <f>N1378</f>
        <v>1096</v>
      </c>
      <c r="R1378" s="543">
        <f>ROUND(IF($O$1312="",0,IF($O$1312=$C1378,$O$1313,R1377*(1+O1378)+P1378)),0)</f>
        <v>0</v>
      </c>
      <c r="S1378" s="663">
        <f>R1366*(1-$O$1315)+S1366*(1-$O$1315)</f>
        <v>0</v>
      </c>
      <c r="T1378" s="663">
        <f>R1366*$O$1315+S1366*$O$1315</f>
        <v>0</v>
      </c>
      <c r="U1378" s="545">
        <f>U1377+R1378+S1378</f>
        <v>0</v>
      </c>
      <c r="V1378" s="546">
        <f>IF(OR($O$1312="",$O$1312&gt;$C1378),0,$O$1314)</f>
        <v>0</v>
      </c>
      <c r="W1378" s="547">
        <f>(R1378+S1378)*V1378</f>
        <v>0</v>
      </c>
    </row>
    <row r="1379" spans="1:23" ht="12" customHeight="1" x14ac:dyDescent="0.3">
      <c r="A1379" s="133"/>
      <c r="B1379" s="133"/>
      <c r="C1379" s="528">
        <f>Infrastructure!D106</f>
        <v>1127</v>
      </c>
      <c r="D1379" s="437">
        <f>IF($D$1312&gt;$C1378,0,$D$1322)</f>
        <v>0</v>
      </c>
      <c r="E1379" s="438">
        <f>IF($D$1312&gt;$C1378,0,$E$1322)</f>
        <v>0</v>
      </c>
      <c r="F1379" s="528">
        <f>IF(Years="Five",C1379,"Total")</f>
        <v>1127</v>
      </c>
      <c r="G1379" s="536">
        <f>IF(Years="Five",IF($D$1312="",0,IF($D$1312=$C1379,$D$1313,G1378*(1+D1379)+E1379)),SUM(G1343:G1378))</f>
        <v>0</v>
      </c>
      <c r="H1379" s="660">
        <f>IF(Years="Five",IF(OR($D$1309="Monthly",$D$1309="Both"),J1378*(1-$D$1305),G1367*(1-$D$1305)+H1367*(1-$D$1305)),SUM(H1343:H1378))</f>
        <v>0</v>
      </c>
      <c r="I1379" s="660">
        <f>IF(Years="Five",IF(OR($D$1309="Monthly",$D$1309="Both"),J1378*$D$1315,G1367*$D$1315+H1367*$D$1315),SUM(I1343:I1378))</f>
        <v>0</v>
      </c>
      <c r="J1379" s="542">
        <f>IF(Years="Five",IF(OR($D$1311="Monthly",$D$1311="Both"),G1379+H1379,J1378+G1379+H1379),J1378)</f>
        <v>0</v>
      </c>
      <c r="K1379" s="540">
        <f>IF(Years="Five",IF(OR($D$1312&gt;$C1379,$D$1312=""),0,$D$1314),0)</f>
        <v>0</v>
      </c>
      <c r="L1379" s="541">
        <f>IF(Years="Five",(G1379+H1379)*K1379,SUM(L1343:L1378))</f>
        <v>0</v>
      </c>
      <c r="M1379" s="516"/>
      <c r="N1379" s="528">
        <f>F1379</f>
        <v>1127</v>
      </c>
      <c r="O1379" s="437">
        <f>IF($O$1312&gt;$C1378,0,$O$1322)</f>
        <v>0</v>
      </c>
      <c r="P1379" s="438">
        <f>IF($O$1312&gt;$C1378,0,$P$1322)</f>
        <v>0</v>
      </c>
      <c r="Q1379" s="528">
        <f>N1379</f>
        <v>1127</v>
      </c>
      <c r="R1379" s="536">
        <f>ROUND(IF(Years="Five",IF($O$1312="",0,IF($O$1312=$C1379,$O$1313,R1378*(1+O1379)+P1379)),SUM(R1343:R1378)),0)</f>
        <v>0</v>
      </c>
      <c r="S1379" s="537">
        <f>IF(Years="Five",R1367*(1-$O$1315)+S1367*(1-$O$1315),SUM(S1343:S1378))</f>
        <v>0</v>
      </c>
      <c r="T1379" s="537">
        <f>IF(Years="Five",R1367*$O$1315+S1367*$O$1315,SUM(T1343:T1378))</f>
        <v>0</v>
      </c>
      <c r="U1379" s="542">
        <f>IF(Years="Five",U1378+R1379+S1379,U1378)</f>
        <v>0</v>
      </c>
      <c r="V1379" s="540">
        <f>IF(Years="Five",IF(OR($O$1312="",$O$1312&gt;$C1379),0,$O$1314),0)</f>
        <v>0</v>
      </c>
      <c r="W1379" s="541">
        <f>IF(Years="Five",(R1379+S1379)*V1379,SUM(W1343:W1378))</f>
        <v>0</v>
      </c>
    </row>
    <row r="1380" spans="1:23" ht="12" customHeight="1" x14ac:dyDescent="0.3">
      <c r="A1380" s="133"/>
      <c r="B1380" s="133"/>
      <c r="C1380" s="528">
        <f>Infrastructure!D107</f>
        <v>1155</v>
      </c>
      <c r="D1380" s="437">
        <f>IF($D$1312&gt;$C1379,0,$D$1322)</f>
        <v>0</v>
      </c>
      <c r="E1380" s="438">
        <f>IF($D$1312&gt;$C1379,0,$E$1322)</f>
        <v>0</v>
      </c>
      <c r="F1380" s="528">
        <f>C1380</f>
        <v>1155</v>
      </c>
      <c r="G1380" s="536">
        <f>IF($D$1314="",0,IF($D$1314=$C1380,$D$1315,G1379*(1+D1380)+E1380))</f>
        <v>0</v>
      </c>
      <c r="H1380" s="537">
        <f>IF(Years="Five",IF(OR($D$1309="Monthly",$D$1309="Both"),J1379*(1-$D$1305),G1368*(1-$D$1305)+H1368*(1-$D$1305)),SUM(H1344:H1379))</f>
        <v>0</v>
      </c>
      <c r="I1380" s="537">
        <f>IF(Years="Five",IF(OR($D$1309="Monthly",$D$1309="Both"),J1379*$D$1315,G1368*$D$1315+H1368*$D$1315),SUM(I1344:I1379))</f>
        <v>0</v>
      </c>
      <c r="J1380" s="542">
        <f>IF(Years="Five",IF(OR($D$1311="Monthly",$D$1311="Both"),G1380+H1380,J1379+G1380+H1380),J1379)</f>
        <v>0</v>
      </c>
      <c r="K1380" s="540">
        <f>IF(OR($D$1312&gt;$C1380,$D$1312=""),0,$D$1314)</f>
        <v>0</v>
      </c>
      <c r="L1380" s="541">
        <f>(G1380+H1380)*K1380</f>
        <v>0</v>
      </c>
      <c r="M1380" s="516"/>
      <c r="N1380" s="528">
        <f>F1380</f>
        <v>1155</v>
      </c>
      <c r="O1380" s="437">
        <f>IF($O$1312&gt;$C1379,0,$O$1322)</f>
        <v>0</v>
      </c>
      <c r="P1380" s="438">
        <f>IF($O$1312&gt;$C1379,0,$P$1322)</f>
        <v>0</v>
      </c>
      <c r="Q1380" s="528">
        <f>N1380</f>
        <v>1155</v>
      </c>
      <c r="R1380" s="536">
        <f>ROUND(IF(Years="Five",IF($O$1312="",0,IF($O$1312=$C1380,$O$1313,R1379*(1+O1380)+P1380)),SUM(R1344:R1379)),0)</f>
        <v>0</v>
      </c>
      <c r="S1380" s="537">
        <f>R1368*(1-$O$1315)+S1368*(1-$O$1315)</f>
        <v>0</v>
      </c>
      <c r="T1380" s="537">
        <f>R1368*$O$1315+S1368*$O$1315</f>
        <v>0</v>
      </c>
      <c r="U1380" s="542">
        <f>U1379+R1380+S1380</f>
        <v>0</v>
      </c>
      <c r="V1380" s="540">
        <f>IF(OR($O$1312="",$O$1312&gt;$C1380),0,$O$1314)</f>
        <v>0</v>
      </c>
      <c r="W1380" s="541">
        <f>(R1380+S1380)*V1380</f>
        <v>0</v>
      </c>
    </row>
    <row r="1381" spans="1:23" ht="12" customHeight="1" x14ac:dyDescent="0.3">
      <c r="A1381" s="133"/>
      <c r="B1381" s="133"/>
      <c r="C1381" s="528">
        <f>Infrastructure!D108</f>
        <v>1186</v>
      </c>
      <c r="D1381" s="437">
        <f>IF($D$1312&gt;$C1380,0,$D$1322)</f>
        <v>0</v>
      </c>
      <c r="E1381" s="438">
        <f>IF($D$1312&gt;$C1380,0,$E$1322)</f>
        <v>0</v>
      </c>
      <c r="F1381" s="528">
        <f>C1381</f>
        <v>1186</v>
      </c>
      <c r="G1381" s="536">
        <f>IF($D$1314="",0,IF($D$1314=$C1381,$D$1315,G1380*(1+D1381)+E1381))</f>
        <v>0</v>
      </c>
      <c r="H1381" s="537">
        <f>IF(Years="Five",IF(OR($D$1309="Monthly",$D$1309="Both"),J1380*(1-$D$1305),G1369*(1-$D$1305)+H1369*(1-$D$1305)),SUM(H1345:H1380))</f>
        <v>0</v>
      </c>
      <c r="I1381" s="537">
        <f>IF(Years="Five",IF(OR($D$1309="Monthly",$D$1309="Both"),J1380*$D$1315,G1369*$D$1315+H1369*$D$1315),SUM(I1345:I1380))</f>
        <v>0</v>
      </c>
      <c r="J1381" s="542">
        <f>IF(Years="Five",IF(OR($D$1311="Monthly",$D$1311="Both"),G1381+H1381,J1380+G1381+H1381),J1380)</f>
        <v>0</v>
      </c>
      <c r="K1381" s="540">
        <f>IF(OR($D$1312&gt;$C1381,$D$1312=""),0,$D$1314)</f>
        <v>0</v>
      </c>
      <c r="L1381" s="541">
        <f>(G1381+H1381)*K1381</f>
        <v>0</v>
      </c>
      <c r="M1381" s="516"/>
      <c r="N1381" s="528">
        <f>F1381</f>
        <v>1186</v>
      </c>
      <c r="O1381" s="437">
        <f>IF($O$1312&gt;$C1380,0,$O$1322)</f>
        <v>0</v>
      </c>
      <c r="P1381" s="438">
        <f>IF($O$1312&gt;$C1380,0,$P$1322)</f>
        <v>0</v>
      </c>
      <c r="Q1381" s="528">
        <f>N1381</f>
        <v>1186</v>
      </c>
      <c r="R1381" s="536">
        <f>ROUND(IF(Years="Five",IF($O$1312="",0,IF($O$1312=$C1381,$O$1313,R1380*(1+O1381)+P1381)),SUM(R1345:R1380)),0)</f>
        <v>0</v>
      </c>
      <c r="S1381" s="537">
        <f>R1369*(1-$O$1315)+S1369*(1-$O$1315)</f>
        <v>0</v>
      </c>
      <c r="T1381" s="537">
        <f>R1369*$O$1315+S1369*$O$1315</f>
        <v>0</v>
      </c>
      <c r="U1381" s="542">
        <f>U1380+R1381+S1381</f>
        <v>0</v>
      </c>
      <c r="V1381" s="540">
        <f>IF(OR($O$1312="",$O$1312&gt;$C1381),0,$O$1314)</f>
        <v>0</v>
      </c>
      <c r="W1381" s="541">
        <f>(R1381+S1381)*V1381</f>
        <v>0</v>
      </c>
    </row>
    <row r="1382" spans="1:23" ht="12" customHeight="1" x14ac:dyDescent="0.3">
      <c r="A1382" s="133"/>
      <c r="B1382" s="133"/>
      <c r="C1382" s="528">
        <f>Infrastructure!D109</f>
        <v>1216</v>
      </c>
      <c r="D1382" s="437">
        <f>IF($D$1312&gt;$C1381,0,$D$1322)</f>
        <v>0</v>
      </c>
      <c r="E1382" s="438">
        <f>IF($D$1312&gt;$C1381,0,$E$1322)</f>
        <v>0</v>
      </c>
      <c r="F1382" s="528">
        <f>C1382</f>
        <v>1216</v>
      </c>
      <c r="G1382" s="536">
        <f>IF($D$1314="",0,IF($D$1314=$C1382,$D$1315,G1381*(1+D1382)+E1382))</f>
        <v>0</v>
      </c>
      <c r="H1382" s="537">
        <f>IF(Years="Five",IF(OR($D$1309="Monthly",$D$1309="Both"),J1381*(1-$D$1305),G1370*(1-$D$1305)+H1370*(1-$D$1305)),SUM(H1346:H1381))</f>
        <v>0</v>
      </c>
      <c r="I1382" s="537">
        <f>IF(Years="Five",IF(OR($D$1309="Monthly",$D$1309="Both"),J1381*$D$1315,G1370*$D$1315+H1370*$D$1315),SUM(I1346:I1381))</f>
        <v>0</v>
      </c>
      <c r="J1382" s="542">
        <f>IF(Years="Five",IF(OR($D$1311="Monthly",$D$1311="Both"),G1382+H1382,J1381+G1382+H1382),J1381)</f>
        <v>0</v>
      </c>
      <c r="K1382" s="540">
        <f>IF(OR($D$1312&gt;$C1382,$D$1312=""),0,$D$1314)</f>
        <v>0</v>
      </c>
      <c r="L1382" s="541">
        <f>(G1382+H1382)*K1382</f>
        <v>0</v>
      </c>
      <c r="M1382" s="516"/>
      <c r="N1382" s="528">
        <f>F1382</f>
        <v>1216</v>
      </c>
      <c r="O1382" s="437">
        <f>IF($O$1312&gt;$C1381,0,$O$1322)</f>
        <v>0</v>
      </c>
      <c r="P1382" s="438">
        <f>IF($O$1312&gt;$C1381,0,$P$1322)</f>
        <v>0</v>
      </c>
      <c r="Q1382" s="528">
        <f>N1382</f>
        <v>1216</v>
      </c>
      <c r="R1382" s="536">
        <f>ROUND(IF(Years="Five",IF($O$1312="",0,IF($O$1312=$C1382,$O$1313,R1381*(1+O1382)+P1382)),SUM(R1346:R1381)),0)</f>
        <v>0</v>
      </c>
      <c r="S1382" s="537">
        <f>R1370*(1-$O$1315)+S1370*(1-$O$1315)</f>
        <v>0</v>
      </c>
      <c r="T1382" s="537">
        <f>R1370*$O$1315+S1370*$O$1315</f>
        <v>0</v>
      </c>
      <c r="U1382" s="542">
        <f>U1381+R1382+S1382</f>
        <v>0</v>
      </c>
      <c r="V1382" s="540">
        <f>IF(OR($O$1312="",$O$1312&gt;$C1382),0,$O$1314)</f>
        <v>0</v>
      </c>
      <c r="W1382" s="541">
        <f>(R1382+S1382)*V1382</f>
        <v>0</v>
      </c>
    </row>
    <row r="1383" spans="1:23" ht="12" customHeight="1" x14ac:dyDescent="0.3">
      <c r="A1383" s="133"/>
      <c r="B1383" s="133"/>
      <c r="C1383" s="528">
        <f>Infrastructure!D110</f>
        <v>1247</v>
      </c>
      <c r="D1383" s="437">
        <f>IF($D$1312&gt;$C1382,0,$D$1322)</f>
        <v>0</v>
      </c>
      <c r="E1383" s="438">
        <f>IF($D$1312&gt;$C1382,0,$E$1322)</f>
        <v>0</v>
      </c>
      <c r="F1383" s="528">
        <f>C1383</f>
        <v>1247</v>
      </c>
      <c r="G1383" s="536">
        <f>IF($D$1314="",0,IF($D$1314=$C1383,$D$1315,G1382*(1+D1383)+E1383))</f>
        <v>0</v>
      </c>
      <c r="H1383" s="537">
        <f>IF(Years="Five",IF(OR($D$1309="Monthly",$D$1309="Both"),J1382*(1-$D$1305),G1371*(1-$D$1305)+H1371*(1-$D$1305)),SUM(H1347:H1382))</f>
        <v>0</v>
      </c>
      <c r="I1383" s="537">
        <f>IF(Years="Five",IF(OR($D$1309="Monthly",$D$1309="Both"),J1382*$D$1315,G1371*$D$1315+H1371*$D$1315),SUM(I1347:I1382))</f>
        <v>0</v>
      </c>
      <c r="J1383" s="542">
        <f>IF(Years="Five",IF(OR($D$1311="Monthly",$D$1311="Both"),G1383+H1383,J1382+G1383+H1383),J1382)</f>
        <v>0</v>
      </c>
      <c r="K1383" s="540">
        <f>IF(OR($D$1312&gt;$C1383,$D$1312=""),0,$D$1314)</f>
        <v>0</v>
      </c>
      <c r="L1383" s="541">
        <f>(G1383+H1383)*K1383</f>
        <v>0</v>
      </c>
      <c r="M1383" s="516"/>
      <c r="N1383" s="528">
        <f>F1383</f>
        <v>1247</v>
      </c>
      <c r="O1383" s="437">
        <f>IF($O$1312&gt;$C1382,0,$O$1322)</f>
        <v>0</v>
      </c>
      <c r="P1383" s="438">
        <f>IF($O$1312&gt;$C1382,0,$P$1322)</f>
        <v>0</v>
      </c>
      <c r="Q1383" s="528">
        <f>N1383</f>
        <v>1247</v>
      </c>
      <c r="R1383" s="536">
        <f>ROUND(IF(Years="Five",IF($O$1312="",0,IF($O$1312=$C1383,$O$1313,R1382*(1+O1383)+P1383)),SUM(R1347:R1382)),0)</f>
        <v>0</v>
      </c>
      <c r="S1383" s="537">
        <f>R1371*(1-$O$1315)+S1371*(1-$O$1315)</f>
        <v>0</v>
      </c>
      <c r="T1383" s="537">
        <f>R1371*$O$1315+S1371*$O$1315</f>
        <v>0</v>
      </c>
      <c r="U1383" s="542">
        <f>U1382+R1383+S1383</f>
        <v>0</v>
      </c>
      <c r="V1383" s="540">
        <f>IF(OR($O$1312="",$O$1312&gt;$C1383),0,$O$1314)</f>
        <v>0</v>
      </c>
      <c r="W1383" s="541">
        <f>(R1383+S1383)*V1383</f>
        <v>0</v>
      </c>
    </row>
    <row r="1384" spans="1:23" ht="12" customHeight="1" x14ac:dyDescent="0.3">
      <c r="A1384" s="133"/>
      <c r="B1384" s="133"/>
      <c r="C1384" s="528">
        <f>Infrastructure!D111</f>
        <v>1277</v>
      </c>
      <c r="D1384" s="437">
        <f>IF($D$1312&gt;$C1383,0,$D$1322)</f>
        <v>0</v>
      </c>
      <c r="E1384" s="438">
        <f>IF($D$1312&gt;$C1383,0,$E$1322)</f>
        <v>0</v>
      </c>
      <c r="F1384" s="528">
        <f>C1384</f>
        <v>1277</v>
      </c>
      <c r="G1384" s="536">
        <f>IF($D$1314="",0,IF($D$1314=$C1384,$D$1315,G1383*(1+D1384)+E1384))</f>
        <v>0</v>
      </c>
      <c r="H1384" s="537">
        <f>IF(Years="Five",IF(OR($D$1309="Monthly",$D$1309="Both"),J1383*(1-$D$1305),G1372*(1-$D$1305)+H1372*(1-$D$1305)),SUM(H1348:H1383))</f>
        <v>0</v>
      </c>
      <c r="I1384" s="537">
        <f>IF(Years="Five",IF(OR($D$1309="Monthly",$D$1309="Both"),J1383*$D$1315,G1372*$D$1315+H1372*$D$1315),SUM(I1348:I1383))</f>
        <v>0</v>
      </c>
      <c r="J1384" s="542">
        <f>IF(Years="Five",IF(OR($D$1311="Monthly",$D$1311="Both"),G1384+H1384,J1383+G1384+H1384),J1383)</f>
        <v>0</v>
      </c>
      <c r="K1384" s="540">
        <f>IF(OR($D$1312&gt;$C1384,$D$1312=""),0,$D$1314)</f>
        <v>0</v>
      </c>
      <c r="L1384" s="541">
        <f>(G1384+H1384)*K1384</f>
        <v>0</v>
      </c>
      <c r="M1384" s="516"/>
      <c r="N1384" s="528">
        <f>F1384</f>
        <v>1277</v>
      </c>
      <c r="O1384" s="437">
        <f>IF($O$1312&gt;$C1383,0,$O$1322)</f>
        <v>0</v>
      </c>
      <c r="P1384" s="438">
        <f>IF($O$1312&gt;$C1383,0,$P$1322)</f>
        <v>0</v>
      </c>
      <c r="Q1384" s="528">
        <f>N1384</f>
        <v>1277</v>
      </c>
      <c r="R1384" s="536">
        <f>ROUND(IF(Years="Five",IF($O$1312="",0,IF($O$1312=$C1384,$O$1313,R1383*(1+O1384)+P1384)),SUM(R1348:R1383)),0)</f>
        <v>0</v>
      </c>
      <c r="S1384" s="537">
        <f>R1372*(1-$O$1315)+S1372*(1-$O$1315)</f>
        <v>0</v>
      </c>
      <c r="T1384" s="537">
        <f>R1372*$O$1315+S1372*$O$1315</f>
        <v>0</v>
      </c>
      <c r="U1384" s="542">
        <f>U1383+R1384+S1384</f>
        <v>0</v>
      </c>
      <c r="V1384" s="540">
        <f>IF(OR($O$1312="",$O$1312&gt;$C1384),0,$O$1314)</f>
        <v>0</v>
      </c>
      <c r="W1384" s="541">
        <f>(R1384+S1384)*V1384</f>
        <v>0</v>
      </c>
    </row>
    <row r="1385" spans="1:23" ht="12" customHeight="1" x14ac:dyDescent="0.3">
      <c r="A1385" s="133"/>
      <c r="B1385" s="133"/>
      <c r="C1385" s="528">
        <f>Infrastructure!D112</f>
        <v>1308</v>
      </c>
      <c r="D1385" s="437">
        <f>IF($D$1312&gt;$C1384,0,$D$1322)</f>
        <v>0</v>
      </c>
      <c r="E1385" s="438">
        <f>IF($D$1312&gt;$C1384,0,$E$1322)</f>
        <v>0</v>
      </c>
      <c r="F1385" s="528">
        <f>C1385</f>
        <v>1308</v>
      </c>
      <c r="G1385" s="536">
        <f>IF($D$1314="",0,IF($D$1314=$C1385,$D$1315,G1384*(1+D1385)+E1385))</f>
        <v>0</v>
      </c>
      <c r="H1385" s="537">
        <f>IF(Years="Five",IF(OR($D$1309="Monthly",$D$1309="Both"),J1384*(1-$D$1305),G1373*(1-$D$1305)+H1373*(1-$D$1305)),SUM(H1349:H1384))</f>
        <v>0</v>
      </c>
      <c r="I1385" s="537">
        <f>IF(Years="Five",IF(OR($D$1309="Monthly",$D$1309="Both"),J1384*$D$1315,G1373*$D$1315+H1373*$D$1315),SUM(I1349:I1384))</f>
        <v>0</v>
      </c>
      <c r="J1385" s="542">
        <f>IF(Years="Five",IF(OR($D$1311="Monthly",$D$1311="Both"),G1385+H1385,J1384+G1385+H1385),J1384)</f>
        <v>0</v>
      </c>
      <c r="K1385" s="540">
        <f>IF(OR($D$1312&gt;$C1385,$D$1312=""),0,$D$1314)</f>
        <v>0</v>
      </c>
      <c r="L1385" s="541">
        <f>(G1385+H1385)*K1385</f>
        <v>0</v>
      </c>
      <c r="M1385" s="516"/>
      <c r="N1385" s="528">
        <f>F1385</f>
        <v>1308</v>
      </c>
      <c r="O1385" s="437">
        <f>IF($O$1312&gt;$C1384,0,$O$1322)</f>
        <v>0</v>
      </c>
      <c r="P1385" s="438">
        <f>IF($O$1312&gt;$C1384,0,$P$1322)</f>
        <v>0</v>
      </c>
      <c r="Q1385" s="528">
        <f>N1385</f>
        <v>1308</v>
      </c>
      <c r="R1385" s="536">
        <f>ROUND(IF(Years="Five",IF($O$1312="",0,IF($O$1312=$C1385,$O$1313,R1384*(1+O1385)+P1385)),SUM(R1349:R1384)),0)</f>
        <v>0</v>
      </c>
      <c r="S1385" s="537">
        <f>R1373*(1-$O$1315)+S1373*(1-$O$1315)</f>
        <v>0</v>
      </c>
      <c r="T1385" s="537">
        <f>R1373*$O$1315+S1373*$O$1315</f>
        <v>0</v>
      </c>
      <c r="U1385" s="542">
        <f>U1384+R1385+S1385</f>
        <v>0</v>
      </c>
      <c r="V1385" s="540">
        <f>IF(OR($O$1312="",$O$1312&gt;$C1385),0,$O$1314)</f>
        <v>0</v>
      </c>
      <c r="W1385" s="541">
        <f>(R1385+S1385)*V1385</f>
        <v>0</v>
      </c>
    </row>
    <row r="1386" spans="1:23" ht="12" customHeight="1" x14ac:dyDescent="0.3">
      <c r="A1386" s="133"/>
      <c r="B1386" s="133"/>
      <c r="C1386" s="528">
        <f>Infrastructure!D113</f>
        <v>1339</v>
      </c>
      <c r="D1386" s="437">
        <f>IF($D$1312&gt;$C1385,0,$D$1322)</f>
        <v>0</v>
      </c>
      <c r="E1386" s="438">
        <f>IF($D$1312&gt;$C1385,0,$E$1322)</f>
        <v>0</v>
      </c>
      <c r="F1386" s="528">
        <f>C1386</f>
        <v>1339</v>
      </c>
      <c r="G1386" s="536">
        <f>IF($D$1314="",0,IF($D$1314=$C1386,$D$1315,G1385*(1+D1386)+E1386))</f>
        <v>0</v>
      </c>
      <c r="H1386" s="537">
        <f>IF(Years="Five",IF(OR($D$1309="Monthly",$D$1309="Both"),J1385*(1-$D$1305),G1374*(1-$D$1305)+H1374*(1-$D$1305)),SUM(H1350:H1385))</f>
        <v>0</v>
      </c>
      <c r="I1386" s="537">
        <f>IF(Years="Five",IF(OR($D$1309="Monthly",$D$1309="Both"),J1385*$D$1315,G1374*$D$1315+H1374*$D$1315),SUM(I1350:I1385))</f>
        <v>0</v>
      </c>
      <c r="J1386" s="542">
        <f>IF(Years="Five",IF(OR($D$1311="Monthly",$D$1311="Both"),G1386+H1386,J1385+G1386+H1386),J1385)</f>
        <v>0</v>
      </c>
      <c r="K1386" s="540">
        <f>IF(OR($D$1312&gt;$C1386,$D$1312=""),0,$D$1314)</f>
        <v>0</v>
      </c>
      <c r="L1386" s="541">
        <f>(G1386+H1386)*K1386</f>
        <v>0</v>
      </c>
      <c r="M1386" s="516"/>
      <c r="N1386" s="528">
        <f>F1386</f>
        <v>1339</v>
      </c>
      <c r="O1386" s="437">
        <f>IF($O$1312&gt;$C1385,0,$O$1322)</f>
        <v>0</v>
      </c>
      <c r="P1386" s="438">
        <f>IF($O$1312&gt;$C1385,0,$P$1322)</f>
        <v>0</v>
      </c>
      <c r="Q1386" s="528">
        <f>N1386</f>
        <v>1339</v>
      </c>
      <c r="R1386" s="536">
        <f>ROUND(IF(Years="Five",IF($O$1312="",0,IF($O$1312=$C1386,$O$1313,R1385*(1+O1386)+P1386)),SUM(R1350:R1385)),0)</f>
        <v>0</v>
      </c>
      <c r="S1386" s="537">
        <f>R1374*(1-$O$1315)+S1374*(1-$O$1315)</f>
        <v>0</v>
      </c>
      <c r="T1386" s="537">
        <f>R1374*$O$1315+S1374*$O$1315</f>
        <v>0</v>
      </c>
      <c r="U1386" s="542">
        <f>U1385+R1386+S1386</f>
        <v>0</v>
      </c>
      <c r="V1386" s="540">
        <f>IF(OR($O$1312="",$O$1312&gt;$C1386),0,$O$1314)</f>
        <v>0</v>
      </c>
      <c r="W1386" s="541">
        <f>(R1386+S1386)*V1386</f>
        <v>0</v>
      </c>
    </row>
    <row r="1387" spans="1:23" ht="12" customHeight="1" x14ac:dyDescent="0.3">
      <c r="A1387" s="133"/>
      <c r="B1387" s="133"/>
      <c r="C1387" s="528">
        <f>Infrastructure!D114</f>
        <v>1369</v>
      </c>
      <c r="D1387" s="437">
        <f>IF($D$1312&gt;$C1386,0,$D$1322)</f>
        <v>0</v>
      </c>
      <c r="E1387" s="438">
        <f>IF($D$1312&gt;$C1386,0,$E$1322)</f>
        <v>0</v>
      </c>
      <c r="F1387" s="528">
        <f>C1387</f>
        <v>1369</v>
      </c>
      <c r="G1387" s="536">
        <f>IF($D$1314="",0,IF($D$1314=$C1387,$D$1315,G1386*(1+D1387)+E1387))</f>
        <v>0</v>
      </c>
      <c r="H1387" s="537">
        <f>IF(Years="Five",IF(OR($D$1309="Monthly",$D$1309="Both"),J1386*(1-$D$1305),G1375*(1-$D$1305)+H1375*(1-$D$1305)),SUM(H1351:H1386))</f>
        <v>0</v>
      </c>
      <c r="I1387" s="537">
        <f>IF(Years="Five",IF(OR($D$1309="Monthly",$D$1309="Both"),J1386*$D$1315,G1375*$D$1315+H1375*$D$1315),SUM(I1351:I1386))</f>
        <v>0</v>
      </c>
      <c r="J1387" s="542">
        <f>IF(Years="Five",IF(OR($D$1311="Monthly",$D$1311="Both"),G1387+H1387,J1386+G1387+H1387),J1386)</f>
        <v>0</v>
      </c>
      <c r="K1387" s="540">
        <f>IF(OR($D$1312&gt;$C1387,$D$1312=""),0,$D$1314)</f>
        <v>0</v>
      </c>
      <c r="L1387" s="541">
        <f>(G1387+H1387)*K1387</f>
        <v>0</v>
      </c>
      <c r="M1387" s="516"/>
      <c r="N1387" s="528">
        <f>F1387</f>
        <v>1369</v>
      </c>
      <c r="O1387" s="437">
        <f>IF($O$1312&gt;$C1386,0,$O$1322)</f>
        <v>0</v>
      </c>
      <c r="P1387" s="438">
        <f>IF($O$1312&gt;$C1386,0,$P$1322)</f>
        <v>0</v>
      </c>
      <c r="Q1387" s="528">
        <f>N1387</f>
        <v>1369</v>
      </c>
      <c r="R1387" s="536">
        <f>ROUND(IF(Years="Five",IF($O$1312="",0,IF($O$1312=$C1387,$O$1313,R1386*(1+O1387)+P1387)),SUM(R1351:R1386)),0)</f>
        <v>0</v>
      </c>
      <c r="S1387" s="537">
        <f>R1375*(1-$O$1315)+S1375*(1-$O$1315)</f>
        <v>0</v>
      </c>
      <c r="T1387" s="537">
        <f>R1375*$O$1315+S1375*$O$1315</f>
        <v>0</v>
      </c>
      <c r="U1387" s="542">
        <f>U1386+R1387+S1387</f>
        <v>0</v>
      </c>
      <c r="V1387" s="540">
        <f>IF(OR($O$1312="",$O$1312&gt;$C1387),0,$O$1314)</f>
        <v>0</v>
      </c>
      <c r="W1387" s="541">
        <f>(R1387+S1387)*V1387</f>
        <v>0</v>
      </c>
    </row>
    <row r="1388" spans="1:23" ht="12" customHeight="1" x14ac:dyDescent="0.3">
      <c r="A1388" s="133"/>
      <c r="B1388" s="133"/>
      <c r="C1388" s="528">
        <f>Infrastructure!D115</f>
        <v>1400</v>
      </c>
      <c r="D1388" s="437">
        <f>IF($D$1312&gt;$C1387,0,$D$1322)</f>
        <v>0</v>
      </c>
      <c r="E1388" s="438">
        <f>IF($D$1312&gt;$C1387,0,$E$1322)</f>
        <v>0</v>
      </c>
      <c r="F1388" s="528">
        <f>C1388</f>
        <v>1400</v>
      </c>
      <c r="G1388" s="536">
        <f>IF($D$1314="",0,IF($D$1314=$C1388,$D$1315,G1387*(1+D1388)+E1388))</f>
        <v>0</v>
      </c>
      <c r="H1388" s="537">
        <f>IF(Years="Five",IF(OR($D$1309="Monthly",$D$1309="Both"),J1387*(1-$D$1305),G1376*(1-$D$1305)+H1376*(1-$D$1305)),SUM(H1352:H1387))</f>
        <v>0</v>
      </c>
      <c r="I1388" s="537">
        <f>IF(Years="Five",IF(OR($D$1309="Monthly",$D$1309="Both"),J1387*$D$1315,G1376*$D$1315+H1376*$D$1315),SUM(I1352:I1387))</f>
        <v>0</v>
      </c>
      <c r="J1388" s="542">
        <f>IF(Years="Five",IF(OR($D$1311="Monthly",$D$1311="Both"),G1388+H1388,J1387+G1388+H1388),J1387)</f>
        <v>0</v>
      </c>
      <c r="K1388" s="540">
        <f>IF(OR($D$1312&gt;$C1388,$D$1312=""),0,$D$1314)</f>
        <v>0</v>
      </c>
      <c r="L1388" s="541">
        <f>(G1388+H1388)*K1388</f>
        <v>0</v>
      </c>
      <c r="M1388" s="516"/>
      <c r="N1388" s="528">
        <f>F1388</f>
        <v>1400</v>
      </c>
      <c r="O1388" s="437">
        <f>IF($O$1312&gt;$C1387,0,$O$1322)</f>
        <v>0</v>
      </c>
      <c r="P1388" s="438">
        <f>IF($O$1312&gt;$C1387,0,$P$1322)</f>
        <v>0</v>
      </c>
      <c r="Q1388" s="528">
        <f>N1388</f>
        <v>1400</v>
      </c>
      <c r="R1388" s="536">
        <f>ROUND(IF(Years="Five",IF($O$1312="",0,IF($O$1312=$C1388,$O$1313,R1387*(1+O1388)+P1388)),SUM(R1352:R1387)),0)</f>
        <v>0</v>
      </c>
      <c r="S1388" s="537">
        <f>R1376*(1-$O$1315)+S1376*(1-$O$1315)</f>
        <v>0</v>
      </c>
      <c r="T1388" s="537">
        <f>R1376*$O$1315+S1376*$O$1315</f>
        <v>0</v>
      </c>
      <c r="U1388" s="542">
        <f>U1387+R1388+S1388</f>
        <v>0</v>
      </c>
      <c r="V1388" s="540">
        <f>IF(OR($O$1312="",$O$1312&gt;$C1388),0,$O$1314)</f>
        <v>0</v>
      </c>
      <c r="W1388" s="541">
        <f>(R1388+S1388)*V1388</f>
        <v>0</v>
      </c>
    </row>
    <row r="1389" spans="1:23" ht="12" customHeight="1" x14ac:dyDescent="0.3">
      <c r="A1389" s="133"/>
      <c r="B1389" s="133"/>
      <c r="C1389" s="528">
        <f>Infrastructure!D116</f>
        <v>1430</v>
      </c>
      <c r="D1389" s="437">
        <f>IF($D$1312&gt;$C1388,0,$D$1322)</f>
        <v>0</v>
      </c>
      <c r="E1389" s="438">
        <f>IF($D$1312&gt;$C1388,0,$E$1322)</f>
        <v>0</v>
      </c>
      <c r="F1389" s="528">
        <f>C1389</f>
        <v>1430</v>
      </c>
      <c r="G1389" s="536">
        <f>IF($D$1314="",0,IF($D$1314=$C1389,$D$1315,G1388*(1+D1389)+E1389))</f>
        <v>0</v>
      </c>
      <c r="H1389" s="537">
        <f>IF(Years="Five",IF(OR($D$1309="Monthly",$D$1309="Both"),J1388*(1-$D$1305),G1377*(1-$D$1305)+H1377*(1-$D$1305)),SUM(H1353:H1388))</f>
        <v>0</v>
      </c>
      <c r="I1389" s="537">
        <f>IF(Years="Five",IF(OR($D$1309="Monthly",$D$1309="Both"),J1388*$D$1315,G1377*$D$1315+H1377*$D$1315),SUM(I1353:I1388))</f>
        <v>0</v>
      </c>
      <c r="J1389" s="542">
        <f>IF(Years="Five",IF(OR($D$1311="Monthly",$D$1311="Both"),G1389+H1389,J1388+G1389+H1389),J1388)</f>
        <v>0</v>
      </c>
      <c r="K1389" s="540">
        <f>IF(OR($D$1312&gt;$C1389,$D$1312=""),0,$D$1314)</f>
        <v>0</v>
      </c>
      <c r="L1389" s="541">
        <f>(G1389+H1389)*K1389</f>
        <v>0</v>
      </c>
      <c r="M1389" s="516"/>
      <c r="N1389" s="528">
        <f>F1389</f>
        <v>1430</v>
      </c>
      <c r="O1389" s="437">
        <f>IF($O$1312&gt;$C1388,0,$O$1322)</f>
        <v>0</v>
      </c>
      <c r="P1389" s="438">
        <f>IF($O$1312&gt;$C1388,0,$P$1322)</f>
        <v>0</v>
      </c>
      <c r="Q1389" s="528">
        <f>N1389</f>
        <v>1430</v>
      </c>
      <c r="R1389" s="536">
        <f>ROUND(IF(Years="Five",IF($O$1312="",0,IF($O$1312=$C1389,$O$1313,R1388*(1+O1389)+P1389)),SUM(R1353:R1388)),0)</f>
        <v>0</v>
      </c>
      <c r="S1389" s="537">
        <f>R1377*(1-$O$1315)+S1377*(1-$O$1315)</f>
        <v>0</v>
      </c>
      <c r="T1389" s="537">
        <f>R1377*$O$1315+S1377*$O$1315</f>
        <v>0</v>
      </c>
      <c r="U1389" s="542">
        <f>U1388+R1389+S1389</f>
        <v>0</v>
      </c>
      <c r="V1389" s="540">
        <f>IF(OR($O$1312="",$O$1312&gt;$C1389),0,$O$1314)</f>
        <v>0</v>
      </c>
      <c r="W1389" s="541">
        <f>(R1389+S1389)*V1389</f>
        <v>0</v>
      </c>
    </row>
    <row r="1390" spans="1:23" ht="12" customHeight="1" x14ac:dyDescent="0.3">
      <c r="A1390" s="133"/>
      <c r="B1390" s="133"/>
      <c r="C1390" s="528">
        <f>Infrastructure!D117</f>
        <v>1461</v>
      </c>
      <c r="D1390" s="439">
        <f>IF($D$1312&gt;$C1389,0,$D$1322)</f>
        <v>0</v>
      </c>
      <c r="E1390" s="440">
        <f>IF($D$1312&gt;$C1389,0,$E$1322)</f>
        <v>0</v>
      </c>
      <c r="F1390" s="528">
        <f>C1390</f>
        <v>1461</v>
      </c>
      <c r="G1390" s="543">
        <f>IF($D$1314="",0,IF($D$1314=$C1390,$D$1315,G1389*(1+D1390)+E1390))</f>
        <v>0</v>
      </c>
      <c r="H1390" s="544">
        <f>IF(Years="Five",IF(OR($D$1309="Monthly",$D$1309="Both"),J1389*(1-$D$1305),G1378*(1-$D$1305)+H1378*(1-$D$1305)),SUM(H1354:H1389))</f>
        <v>0</v>
      </c>
      <c r="I1390" s="544">
        <f>IF(Years="Five",IF(OR($D$1309="Monthly",$D$1309="Both"),J1389*$D$1315,G1378*$D$1315+H1378*$D$1315),SUM(I1354:I1389))</f>
        <v>0</v>
      </c>
      <c r="J1390" s="545">
        <f>IF(Years="Five",IF(OR($D$1311="Monthly",$D$1311="Both"),G1390+H1390,J1389+G1390+H1390),J1389)</f>
        <v>0</v>
      </c>
      <c r="K1390" s="546">
        <f>IF(OR($D$1312&gt;$C1390,$D$1312=""),0,$D$1314)</f>
        <v>0</v>
      </c>
      <c r="L1390" s="547">
        <f>(G1390+H1390)*K1390</f>
        <v>0</v>
      </c>
      <c r="M1390" s="516"/>
      <c r="N1390" s="528">
        <f>F1390</f>
        <v>1461</v>
      </c>
      <c r="O1390" s="656">
        <f>IF($O$1312&gt;$C1389,0,$O$1322)</f>
        <v>0</v>
      </c>
      <c r="P1390" s="657">
        <f>IF($O$1312&gt;$C1389,0,$P$1322)</f>
        <v>0</v>
      </c>
      <c r="Q1390" s="528">
        <f>N1390</f>
        <v>1461</v>
      </c>
      <c r="R1390" s="543">
        <f>ROUND(IF(Years="Five",IF($O$1312="",0,IF($O$1312=$C1390,$O$1313,R1389*(1+O1390)+P1390)),SUM(R1354:R1389)),0)</f>
        <v>0</v>
      </c>
      <c r="S1390" s="663">
        <f>R1378*(1-$O$1315)+S1378*(1-$O$1315)</f>
        <v>0</v>
      </c>
      <c r="T1390" s="663">
        <f>R1378*$O$1315+S1378*$O$1315</f>
        <v>0</v>
      </c>
      <c r="U1390" s="545">
        <f>U1389+R1390+S1390</f>
        <v>0</v>
      </c>
      <c r="V1390" s="546">
        <f>IF(OR($O$1312="",$O$1312&gt;$C1390),0,$O$1314)</f>
        <v>0</v>
      </c>
      <c r="W1390" s="547">
        <f>(R1390+S1390)*V1390</f>
        <v>0</v>
      </c>
    </row>
    <row r="1391" spans="1:23" ht="12" customHeight="1" x14ac:dyDescent="0.3">
      <c r="A1391" s="133"/>
      <c r="B1391" s="133"/>
      <c r="C1391" s="528">
        <f>Infrastructure!D118</f>
        <v>1492</v>
      </c>
      <c r="D1391" s="437">
        <f>IF($D$1312&gt;$C1390,0,$D$1323)</f>
        <v>0</v>
      </c>
      <c r="E1391" s="438">
        <f>IF($D$1312&gt;$C1390,0,$E$1323)</f>
        <v>0</v>
      </c>
      <c r="F1391" s="528">
        <f>C1391</f>
        <v>1492</v>
      </c>
      <c r="G1391" s="536">
        <f>IF($D$1314="",0,IF($D$1314=$C1391,$D$1315,G1390*(1+D1391)+E1391))</f>
        <v>0</v>
      </c>
      <c r="H1391" s="660">
        <f>IF(OR($D$1309="Monthly",$D$1309="Both"),J1390*(1-$D$1315),G1379*(1-$D$1315)+H1379*(1-$D$1315))</f>
        <v>0</v>
      </c>
      <c r="I1391" s="660">
        <f>IF(OR($D$1309="Monthly",$D$1309="Both"),J1390*$D$1315,G1379*$D$1315+H1379*$D$1315)</f>
        <v>0</v>
      </c>
      <c r="J1391" s="542">
        <f>IF(OR($D$1309="Monthly",$D$1309="Both"),G1391+H1391,J1390+G1391+H1391)</f>
        <v>0</v>
      </c>
      <c r="K1391" s="540">
        <f>IF(OR($D$1312&gt;$C1391,$D$1312=""),0,$D$1314)</f>
        <v>0</v>
      </c>
      <c r="L1391" s="541">
        <f>(G1391+H1391)*K1391</f>
        <v>0</v>
      </c>
      <c r="M1391" s="516"/>
      <c r="N1391" s="528">
        <f>F1391</f>
        <v>1492</v>
      </c>
      <c r="O1391" s="437">
        <f>IF($O$1312&gt;$C1390,0,$O$1323)</f>
        <v>0</v>
      </c>
      <c r="P1391" s="438">
        <f>IF($O$1312&gt;$C1390,0,$P$1323)</f>
        <v>0</v>
      </c>
      <c r="Q1391" s="528">
        <f>N1391</f>
        <v>1492</v>
      </c>
      <c r="R1391" s="536">
        <f>ROUND(IF($O$1312="",0,IF($O$1312=$C1391,$O$1313,R1390*(1+O1391)+P1391)),0)</f>
        <v>0</v>
      </c>
      <c r="S1391" s="537">
        <f>R1379*(1-$O$1315)+S1379*(1-$O$1315)</f>
        <v>0</v>
      </c>
      <c r="T1391" s="537">
        <f>R1379*$O$1315+S1379*$O$1315</f>
        <v>0</v>
      </c>
      <c r="U1391" s="542">
        <f>U1390+R1391+S1391</f>
        <v>0</v>
      </c>
      <c r="V1391" s="540">
        <f>IF(OR($O$1312="",$O$1312&gt;$C1391),0,$O$1314)</f>
        <v>0</v>
      </c>
      <c r="W1391" s="541">
        <f>(R1391+S1391)*V1391</f>
        <v>0</v>
      </c>
    </row>
    <row r="1392" spans="1:23" ht="12" customHeight="1" x14ac:dyDescent="0.3">
      <c r="A1392" s="133"/>
      <c r="B1392" s="133"/>
      <c r="C1392" s="528">
        <f>Infrastructure!D119</f>
        <v>1521</v>
      </c>
      <c r="D1392" s="437">
        <f>IF($D$1312&gt;$C1391,0,$D$1323)</f>
        <v>0</v>
      </c>
      <c r="E1392" s="438">
        <f>IF($D$1312&gt;$C1391,0,$E$1323)</f>
        <v>0</v>
      </c>
      <c r="F1392" s="528">
        <f>C1392</f>
        <v>1521</v>
      </c>
      <c r="G1392" s="536">
        <f>IF($D$1314="",0,IF($D$1314=$C1392,$D$1315,G1391*(1+D1392)+E1392))</f>
        <v>0</v>
      </c>
      <c r="H1392" s="537">
        <f>IF(OR($D$1309="Monthly",$D$1309="Both"),J1391*(1-$D$1305),G1380*(1-$D$1305)+H1380*(1-$D$1305))</f>
        <v>0</v>
      </c>
      <c r="I1392" s="537">
        <f>IF(OR($D$1309="Monthly",$D$1309="Both"),J1391*$D$1315,G1380*$D$1315+H1380*$D$1315)</f>
        <v>0</v>
      </c>
      <c r="J1392" s="542">
        <f>IF(OR($D$1311="Monthly",$D$1311="Both"),G1392+H1392,J1391+G1392+H1392)</f>
        <v>0</v>
      </c>
      <c r="K1392" s="540">
        <f>IF(OR($D$1312&gt;$C1392,$D$1312=""),0,$D$1314)</f>
        <v>0</v>
      </c>
      <c r="L1392" s="541">
        <f>(G1392+H1392)*K1392</f>
        <v>0</v>
      </c>
      <c r="M1392" s="516"/>
      <c r="N1392" s="528">
        <f>F1392</f>
        <v>1521</v>
      </c>
      <c r="O1392" s="437">
        <f>IF($O$1312&gt;$C1391,0,$O$1323)</f>
        <v>0</v>
      </c>
      <c r="P1392" s="438">
        <f>IF($O$1312&gt;$C1391,0,$P$1323)</f>
        <v>0</v>
      </c>
      <c r="Q1392" s="528">
        <f>N1392</f>
        <v>1521</v>
      </c>
      <c r="R1392" s="536">
        <f>ROUND(IF($O$1312="",0,IF($O$1312=$C1392,$O$1313,R1391*(1+O1392)+P1392)),0)</f>
        <v>0</v>
      </c>
      <c r="S1392" s="537">
        <f>R1380*(1-$O$1315)+S1380*(1-$O$1315)</f>
        <v>0</v>
      </c>
      <c r="T1392" s="537">
        <f>R1380*$O$1315+S1380*$O$1315</f>
        <v>0</v>
      </c>
      <c r="U1392" s="542">
        <f>U1391+R1392+S1392</f>
        <v>0</v>
      </c>
      <c r="V1392" s="540">
        <f>IF(OR($O$1312="",$O$1312&gt;$C1392),0,$O$1314)</f>
        <v>0</v>
      </c>
      <c r="W1392" s="541">
        <f>(R1392+S1392)*V1392</f>
        <v>0</v>
      </c>
    </row>
    <row r="1393" spans="1:28" ht="12" customHeight="1" x14ac:dyDescent="0.3">
      <c r="A1393" s="133"/>
      <c r="B1393" s="133"/>
      <c r="C1393" s="528">
        <f>Infrastructure!D120</f>
        <v>1552</v>
      </c>
      <c r="D1393" s="437">
        <f>IF($D$1312&gt;$C1392,0,$D$1323)</f>
        <v>0</v>
      </c>
      <c r="E1393" s="438">
        <f>IF($D$1312&gt;$C1392,0,$E$1323)</f>
        <v>0</v>
      </c>
      <c r="F1393" s="528">
        <f>C1393</f>
        <v>1552</v>
      </c>
      <c r="G1393" s="536">
        <f>IF($D$1314="",0,IF($D$1314=$C1393,$D$1315,G1392*(1+D1393)+E1393))</f>
        <v>0</v>
      </c>
      <c r="H1393" s="537">
        <f>IF(OR($D$1309="Monthly",$D$1309="Both"),J1392*(1-$D$1305),G1381*(1-$D$1305)+H1381*(1-$D$1305))</f>
        <v>0</v>
      </c>
      <c r="I1393" s="537">
        <f>IF(OR($D$1309="Monthly",$D$1309="Both"),J1392*$D$1315,G1381*$D$1315+H1381*$D$1315)</f>
        <v>0</v>
      </c>
      <c r="J1393" s="542">
        <f>IF(OR($D$1311="Monthly",$D$1311="Both"),G1393+H1393,J1392+G1393+H1393)</f>
        <v>0</v>
      </c>
      <c r="K1393" s="540">
        <f>IF(OR($D$1312&gt;$C1393,$D$1312=""),0,$D$1314)</f>
        <v>0</v>
      </c>
      <c r="L1393" s="541">
        <f>(G1393+H1393)*K1393</f>
        <v>0</v>
      </c>
      <c r="M1393" s="516"/>
      <c r="N1393" s="528">
        <f>F1393</f>
        <v>1552</v>
      </c>
      <c r="O1393" s="437">
        <f>IF($O$1312&gt;$C1392,0,$O$1323)</f>
        <v>0</v>
      </c>
      <c r="P1393" s="438">
        <f>IF($O$1312&gt;$C1392,0,$P$1323)</f>
        <v>0</v>
      </c>
      <c r="Q1393" s="528">
        <f>N1393</f>
        <v>1552</v>
      </c>
      <c r="R1393" s="536">
        <f>ROUND(IF($O$1312="",0,IF($O$1312=$C1393,$O$1313,R1392*(1+O1393)+P1393)),0)</f>
        <v>0</v>
      </c>
      <c r="S1393" s="537">
        <f>R1381*(1-$O$1315)+S1381*(1-$O$1315)</f>
        <v>0</v>
      </c>
      <c r="T1393" s="537">
        <f>R1381*$O$1315+S1381*$O$1315</f>
        <v>0</v>
      </c>
      <c r="U1393" s="542">
        <f>U1392+R1393+S1393</f>
        <v>0</v>
      </c>
      <c r="V1393" s="540">
        <f>IF(OR($O$1312="",$O$1312&gt;$C1393),0,$O$1314)</f>
        <v>0</v>
      </c>
      <c r="W1393" s="541">
        <f>(R1393+S1393)*V1393</f>
        <v>0</v>
      </c>
    </row>
    <row r="1394" spans="1:28" ht="12" customHeight="1" x14ac:dyDescent="0.3">
      <c r="A1394" s="133"/>
      <c r="B1394" s="133"/>
      <c r="C1394" s="528">
        <f>Infrastructure!D121</f>
        <v>1582</v>
      </c>
      <c r="D1394" s="437">
        <f>IF($D$1312&gt;$C1393,0,$D$1323)</f>
        <v>0</v>
      </c>
      <c r="E1394" s="438">
        <f>IF($D$1312&gt;$C1393,0,$E$1323)</f>
        <v>0</v>
      </c>
      <c r="F1394" s="528">
        <f>C1394</f>
        <v>1582</v>
      </c>
      <c r="G1394" s="536">
        <f>IF($D$1314="",0,IF($D$1314=$C1394,$D$1315,G1393*(1+D1394)+E1394))</f>
        <v>0</v>
      </c>
      <c r="H1394" s="537">
        <f>IF(OR($D$1309="Monthly",$D$1309="Both"),J1393*(1-$D$1305),G1382*(1-$D$1305)+H1382*(1-$D$1305))</f>
        <v>0</v>
      </c>
      <c r="I1394" s="537">
        <f>IF(OR($D$1309="Monthly",$D$1309="Both"),J1393*$D$1315,G1382*$D$1315+H1382*$D$1315)</f>
        <v>0</v>
      </c>
      <c r="J1394" s="542">
        <f>IF(OR($D$1311="Monthly",$D$1311="Both"),G1394+H1394,J1393+G1394+H1394)</f>
        <v>0</v>
      </c>
      <c r="K1394" s="540">
        <f>IF(OR($D$1312&gt;$C1394,$D$1312=""),0,$D$1314)</f>
        <v>0</v>
      </c>
      <c r="L1394" s="541">
        <f>(G1394+H1394)*K1394</f>
        <v>0</v>
      </c>
      <c r="M1394" s="516"/>
      <c r="N1394" s="528">
        <f>F1394</f>
        <v>1582</v>
      </c>
      <c r="O1394" s="437">
        <f>IF($O$1312&gt;$C1393,0,$O$1323)</f>
        <v>0</v>
      </c>
      <c r="P1394" s="438">
        <f>IF($O$1312&gt;$C1393,0,$P$1323)</f>
        <v>0</v>
      </c>
      <c r="Q1394" s="528">
        <f>N1394</f>
        <v>1582</v>
      </c>
      <c r="R1394" s="536">
        <f>ROUND(IF($O$1312="",0,IF($O$1312=$C1394,$O$1313,R1393*(1+O1394)+P1394)),0)</f>
        <v>0</v>
      </c>
      <c r="S1394" s="537">
        <f>R1382*(1-$O$1315)+S1382*(1-$O$1315)</f>
        <v>0</v>
      </c>
      <c r="T1394" s="537">
        <f>R1382*$O$1315+S1382*$O$1315</f>
        <v>0</v>
      </c>
      <c r="U1394" s="542">
        <f>U1393+R1394+S1394</f>
        <v>0</v>
      </c>
      <c r="V1394" s="540">
        <f>IF(OR($O$1312="",$O$1312&gt;$C1394),0,$O$1314)</f>
        <v>0</v>
      </c>
      <c r="W1394" s="541">
        <f>(R1394+S1394)*V1394</f>
        <v>0</v>
      </c>
    </row>
    <row r="1395" spans="1:28" ht="12" customHeight="1" x14ac:dyDescent="0.3">
      <c r="A1395" s="133"/>
      <c r="B1395" s="133"/>
      <c r="C1395" s="528">
        <f>Infrastructure!D122</f>
        <v>1613</v>
      </c>
      <c r="D1395" s="437">
        <f>IF($D$1312&gt;$C1394,0,$D$1323)</f>
        <v>0</v>
      </c>
      <c r="E1395" s="438">
        <f>IF($D$1312&gt;$C1394,0,$E$1323)</f>
        <v>0</v>
      </c>
      <c r="F1395" s="528">
        <f>C1395</f>
        <v>1613</v>
      </c>
      <c r="G1395" s="536">
        <f>IF($D$1314="",0,IF($D$1314=$C1395,$D$1315,G1394*(1+D1395)+E1395))</f>
        <v>0</v>
      </c>
      <c r="H1395" s="537">
        <f>IF(OR($D$1309="Monthly",$D$1309="Both"),J1394*(1-$D$1305),G1383*(1-$D$1305)+H1383*(1-$D$1305))</f>
        <v>0</v>
      </c>
      <c r="I1395" s="537">
        <f>IF(OR($D$1309="Monthly",$D$1309="Both"),J1394*$D$1315,G1383*$D$1315+H1383*$D$1315)</f>
        <v>0</v>
      </c>
      <c r="J1395" s="542">
        <f>IF(OR($D$1311="Monthly",$D$1311="Both"),G1395+H1395,J1394+G1395+H1395)</f>
        <v>0</v>
      </c>
      <c r="K1395" s="540">
        <f>IF(OR($D$1312&gt;$C1395,$D$1312=""),0,$D$1314)</f>
        <v>0</v>
      </c>
      <c r="L1395" s="541">
        <f>(G1395+H1395)*K1395</f>
        <v>0</v>
      </c>
      <c r="M1395" s="516"/>
      <c r="N1395" s="528">
        <f>F1395</f>
        <v>1613</v>
      </c>
      <c r="O1395" s="437">
        <f>IF($O$1312&gt;$C1394,0,$O$1323)</f>
        <v>0</v>
      </c>
      <c r="P1395" s="438">
        <f>IF($O$1312&gt;$C1394,0,$P$1323)</f>
        <v>0</v>
      </c>
      <c r="Q1395" s="528">
        <f>N1395</f>
        <v>1613</v>
      </c>
      <c r="R1395" s="536">
        <f>ROUND(IF($O$1312="",0,IF($O$1312=$C1395,$O$1313,R1394*(1+O1395)+P1395)),0)</f>
        <v>0</v>
      </c>
      <c r="S1395" s="537">
        <f>R1383*(1-$O$1315)+S1383*(1-$O$1315)</f>
        <v>0</v>
      </c>
      <c r="T1395" s="537">
        <f>R1383*$O$1315+S1383*$O$1315</f>
        <v>0</v>
      </c>
      <c r="U1395" s="542">
        <f>U1394+R1395+S1395</f>
        <v>0</v>
      </c>
      <c r="V1395" s="540">
        <f>IF(OR($O$1312="",$O$1312&gt;$C1395),0,$O$1314)</f>
        <v>0</v>
      </c>
      <c r="W1395" s="541">
        <f>(R1395+S1395)*V1395</f>
        <v>0</v>
      </c>
    </row>
    <row r="1396" spans="1:28" ht="12" customHeight="1" x14ac:dyDescent="0.3">
      <c r="A1396" s="133"/>
      <c r="B1396" s="133"/>
      <c r="C1396" s="528">
        <f>Infrastructure!D123</f>
        <v>1643</v>
      </c>
      <c r="D1396" s="437">
        <f>IF($D$1312&gt;$C1395,0,$D$1323)</f>
        <v>0</v>
      </c>
      <c r="E1396" s="438">
        <f>IF($D$1312&gt;$C1395,0,$E$1323)</f>
        <v>0</v>
      </c>
      <c r="F1396" s="528">
        <f>C1396</f>
        <v>1643</v>
      </c>
      <c r="G1396" s="536">
        <f>IF($D$1314="",0,IF($D$1314=$C1396,$D$1315,G1395*(1+D1396)+E1396))</f>
        <v>0</v>
      </c>
      <c r="H1396" s="537">
        <f>IF(OR($D$1309="Monthly",$D$1309="Both"),J1395*(1-$D$1305),G1384*(1-$D$1305)+H1384*(1-$D$1305))</f>
        <v>0</v>
      </c>
      <c r="I1396" s="537">
        <f>IF(OR($D$1309="Monthly",$D$1309="Both"),J1395*$D$1315,G1384*$D$1315+H1384*$D$1315)</f>
        <v>0</v>
      </c>
      <c r="J1396" s="542">
        <f>IF(OR($D$1311="Monthly",$D$1311="Both"),G1396+H1396,J1395+G1396+H1396)</f>
        <v>0</v>
      </c>
      <c r="K1396" s="540">
        <f>IF(OR($D$1312&gt;$C1396,$D$1312=""),0,$D$1314)</f>
        <v>0</v>
      </c>
      <c r="L1396" s="541">
        <f>(G1396+H1396)*K1396</f>
        <v>0</v>
      </c>
      <c r="M1396" s="516"/>
      <c r="N1396" s="528">
        <f>F1396</f>
        <v>1643</v>
      </c>
      <c r="O1396" s="437">
        <f>IF($O$1312&gt;$C1395,0,$O$1323)</f>
        <v>0</v>
      </c>
      <c r="P1396" s="438">
        <f>IF($O$1312&gt;$C1395,0,$P$1323)</f>
        <v>0</v>
      </c>
      <c r="Q1396" s="528">
        <f>N1396</f>
        <v>1643</v>
      </c>
      <c r="R1396" s="536">
        <f>ROUND(IF($O$1312="",0,IF($O$1312=$C1396,$O$1313,R1395*(1+O1396)+P1396)),0)</f>
        <v>0</v>
      </c>
      <c r="S1396" s="537">
        <f>R1384*(1-$O$1315)+S1384*(1-$O$1315)</f>
        <v>0</v>
      </c>
      <c r="T1396" s="537">
        <f>R1384*$O$1315+S1384*$O$1315</f>
        <v>0</v>
      </c>
      <c r="U1396" s="542">
        <f>U1395+R1396+S1396</f>
        <v>0</v>
      </c>
      <c r="V1396" s="540">
        <f>IF(OR($O$1312="",$O$1312&gt;$C1396),0,$O$1314)</f>
        <v>0</v>
      </c>
      <c r="W1396" s="541">
        <f>(R1396+S1396)*V1396</f>
        <v>0</v>
      </c>
    </row>
    <row r="1397" spans="1:28" ht="12" customHeight="1" x14ac:dyDescent="0.3">
      <c r="A1397" s="133"/>
      <c r="B1397" s="133"/>
      <c r="C1397" s="528">
        <f>Infrastructure!D124</f>
        <v>1674</v>
      </c>
      <c r="D1397" s="437">
        <f>IF($D$1312&gt;$C1396,0,$D$1323)</f>
        <v>0</v>
      </c>
      <c r="E1397" s="438">
        <f>IF($D$1312&gt;$C1396,0,$E$1323)</f>
        <v>0</v>
      </c>
      <c r="F1397" s="528">
        <f>C1397</f>
        <v>1674</v>
      </c>
      <c r="G1397" s="536">
        <f>IF($D$1314="",0,IF($D$1314=$C1397,$D$1315,G1396*(1+D1397)+E1397))</f>
        <v>0</v>
      </c>
      <c r="H1397" s="537">
        <f>IF(OR($D$1309="Monthly",$D$1309="Both"),J1396*(1-$D$1305),G1385*(1-$D$1305)+H1385*(1-$D$1305))</f>
        <v>0</v>
      </c>
      <c r="I1397" s="537">
        <f>IF(OR($D$1309="Monthly",$D$1309="Both"),J1396*$D$1315,G1385*$D$1315+H1385*$D$1315)</f>
        <v>0</v>
      </c>
      <c r="J1397" s="542">
        <f>IF(OR($D$1311="Monthly",$D$1311="Both"),G1397+H1397,J1396+G1397+H1397)</f>
        <v>0</v>
      </c>
      <c r="K1397" s="540">
        <f>IF(OR($D$1312&gt;$C1397,$D$1312=""),0,$D$1314)</f>
        <v>0</v>
      </c>
      <c r="L1397" s="541">
        <f>(G1397+H1397)*K1397</f>
        <v>0</v>
      </c>
      <c r="M1397" s="516"/>
      <c r="N1397" s="528">
        <f>F1397</f>
        <v>1674</v>
      </c>
      <c r="O1397" s="437">
        <f>IF($O$1312&gt;$C1396,0,$O$1323)</f>
        <v>0</v>
      </c>
      <c r="P1397" s="438">
        <f>IF($O$1312&gt;$C1396,0,$P$1323)</f>
        <v>0</v>
      </c>
      <c r="Q1397" s="528">
        <f>N1397</f>
        <v>1674</v>
      </c>
      <c r="R1397" s="536">
        <f>ROUND(IF($O$1312="",0,IF($O$1312=$C1397,$O$1313,R1396*(1+O1397)+P1397)),0)</f>
        <v>0</v>
      </c>
      <c r="S1397" s="537">
        <f>R1385*(1-$O$1315)+S1385*(1-$O$1315)</f>
        <v>0</v>
      </c>
      <c r="T1397" s="537">
        <f>R1385*$O$1315+S1385*$O$1315</f>
        <v>0</v>
      </c>
      <c r="U1397" s="542">
        <f>U1396+R1397+S1397</f>
        <v>0</v>
      </c>
      <c r="V1397" s="540">
        <f>IF(OR($O$1312="",$O$1312&gt;$C1397),0,$O$1314)</f>
        <v>0</v>
      </c>
      <c r="W1397" s="541">
        <f>(R1397+S1397)*V1397</f>
        <v>0</v>
      </c>
    </row>
    <row r="1398" spans="1:28" ht="12" customHeight="1" x14ac:dyDescent="0.3">
      <c r="A1398" s="133"/>
      <c r="B1398" s="133"/>
      <c r="C1398" s="528">
        <f>Infrastructure!D125</f>
        <v>1705</v>
      </c>
      <c r="D1398" s="437">
        <f>IF($D$1312&gt;$C1397,0,$D$1323)</f>
        <v>0</v>
      </c>
      <c r="E1398" s="438">
        <f>IF($D$1312&gt;$C1397,0,$E$1323)</f>
        <v>0</v>
      </c>
      <c r="F1398" s="528">
        <f>C1398</f>
        <v>1705</v>
      </c>
      <c r="G1398" s="536">
        <f>IF($D$1314="",0,IF($D$1314=$C1398,$D$1315,G1397*(1+D1398)+E1398))</f>
        <v>0</v>
      </c>
      <c r="H1398" s="537">
        <f>IF(OR($D$1309="Monthly",$D$1309="Both"),J1397*(1-$D$1305),G1386*(1-$D$1305)+H1386*(1-$D$1305))</f>
        <v>0</v>
      </c>
      <c r="I1398" s="537">
        <f>IF(OR($D$1309="Monthly",$D$1309="Both"),J1397*$D$1315,G1386*$D$1315+H1386*$D$1315)</f>
        <v>0</v>
      </c>
      <c r="J1398" s="542">
        <f>IF(OR($D$1311="Monthly",$D$1311="Both"),G1398+H1398,J1397+G1398+H1398)</f>
        <v>0</v>
      </c>
      <c r="K1398" s="540">
        <f>IF(OR($D$1312&gt;$C1398,$D$1312=""),0,$D$1314)</f>
        <v>0</v>
      </c>
      <c r="L1398" s="541">
        <f>(G1398+H1398)*K1398</f>
        <v>0</v>
      </c>
      <c r="M1398" s="516"/>
      <c r="N1398" s="528">
        <f>F1398</f>
        <v>1705</v>
      </c>
      <c r="O1398" s="437">
        <f>IF($O$1312&gt;$C1397,0,$O$1323)</f>
        <v>0</v>
      </c>
      <c r="P1398" s="438">
        <f>IF($O$1312&gt;$C1397,0,$P$1323)</f>
        <v>0</v>
      </c>
      <c r="Q1398" s="528">
        <f>N1398</f>
        <v>1705</v>
      </c>
      <c r="R1398" s="536">
        <f>ROUND(IF($O$1312="",0,IF($O$1312=$C1398,$O$1313,R1397*(1+O1398)+P1398)),0)</f>
        <v>0</v>
      </c>
      <c r="S1398" s="537">
        <f>R1386*(1-$O$1315)+S1386*(1-$O$1315)</f>
        <v>0</v>
      </c>
      <c r="T1398" s="537">
        <f>R1386*$O$1315+S1386*$O$1315</f>
        <v>0</v>
      </c>
      <c r="U1398" s="542">
        <f>U1397+R1398+S1398</f>
        <v>0</v>
      </c>
      <c r="V1398" s="540">
        <f>IF(OR($O$1312="",$O$1312&gt;$C1398),0,$O$1314)</f>
        <v>0</v>
      </c>
      <c r="W1398" s="541">
        <f>(R1398+S1398)*V1398</f>
        <v>0</v>
      </c>
    </row>
    <row r="1399" spans="1:28" ht="12" customHeight="1" x14ac:dyDescent="0.3">
      <c r="A1399" s="133"/>
      <c r="B1399" s="133"/>
      <c r="C1399" s="528">
        <f>Infrastructure!D126</f>
        <v>1735</v>
      </c>
      <c r="D1399" s="437">
        <f>IF($D$1312&gt;$C1398,0,$D$1323)</f>
        <v>0</v>
      </c>
      <c r="E1399" s="438">
        <f>IF($D$1312&gt;$C1398,0,$E$1323)</f>
        <v>0</v>
      </c>
      <c r="F1399" s="528">
        <f>C1399</f>
        <v>1735</v>
      </c>
      <c r="G1399" s="536">
        <f>IF($D$1314="",0,IF($D$1314=$C1399,$D$1315,G1398*(1+D1399)+E1399))</f>
        <v>0</v>
      </c>
      <c r="H1399" s="537">
        <f>IF(OR($D$1309="Monthly",$D$1309="Both"),J1398*(1-$D$1305),G1387*(1-$D$1305)+H1387*(1-$D$1305))</f>
        <v>0</v>
      </c>
      <c r="I1399" s="537">
        <f>IF(OR($D$1309="Monthly",$D$1309="Both"),J1398*$D$1315,G1387*$D$1315+H1387*$D$1315)</f>
        <v>0</v>
      </c>
      <c r="J1399" s="542">
        <f>IF(OR($D$1311="Monthly",$D$1311="Both"),G1399+H1399,J1398+G1399+H1399)</f>
        <v>0</v>
      </c>
      <c r="K1399" s="540">
        <f>IF(OR($D$1312&gt;$C1399,$D$1312=""),0,$D$1314)</f>
        <v>0</v>
      </c>
      <c r="L1399" s="541">
        <f>(G1399+H1399)*K1399</f>
        <v>0</v>
      </c>
      <c r="M1399" s="516"/>
      <c r="N1399" s="528">
        <f>F1399</f>
        <v>1735</v>
      </c>
      <c r="O1399" s="437">
        <f>IF($O$1312&gt;$C1398,0,$O$1323)</f>
        <v>0</v>
      </c>
      <c r="P1399" s="438">
        <f>IF($O$1312&gt;$C1398,0,$P$1323)</f>
        <v>0</v>
      </c>
      <c r="Q1399" s="528">
        <f>N1399</f>
        <v>1735</v>
      </c>
      <c r="R1399" s="536">
        <f>ROUND(IF($O$1312="",0,IF($O$1312=$C1399,$O$1313,R1398*(1+O1399)+P1399)),0)</f>
        <v>0</v>
      </c>
      <c r="S1399" s="537">
        <f>R1387*(1-$O$1315)+S1387*(1-$O$1315)</f>
        <v>0</v>
      </c>
      <c r="T1399" s="537">
        <f>R1387*$O$1315+S1387*$O$1315</f>
        <v>0</v>
      </c>
      <c r="U1399" s="542">
        <f>U1398+R1399+S1399</f>
        <v>0</v>
      </c>
      <c r="V1399" s="540">
        <f>IF(OR($O$1312="",$O$1312&gt;$C1399),0,$O$1314)</f>
        <v>0</v>
      </c>
      <c r="W1399" s="541">
        <f>(R1399+S1399)*V1399</f>
        <v>0</v>
      </c>
    </row>
    <row r="1400" spans="1:28" ht="12" customHeight="1" x14ac:dyDescent="0.3">
      <c r="A1400" s="133"/>
      <c r="B1400" s="133"/>
      <c r="C1400" s="528">
        <f>Infrastructure!D127</f>
        <v>1766</v>
      </c>
      <c r="D1400" s="437">
        <f>IF($D$1312&gt;$C1399,0,$D$1323)</f>
        <v>0</v>
      </c>
      <c r="E1400" s="438">
        <f>IF($D$1312&gt;$C1399,0,$E$1323)</f>
        <v>0</v>
      </c>
      <c r="F1400" s="528">
        <f>C1400</f>
        <v>1766</v>
      </c>
      <c r="G1400" s="536">
        <f>IF($D$1314="",0,IF($D$1314=$C1400,$D$1315,G1399*(1+D1400)+E1400))</f>
        <v>0</v>
      </c>
      <c r="H1400" s="537">
        <f>IF(OR($D$1309="Monthly",$D$1309="Both"),J1399*(1-$D$1305),G1388*(1-$D$1305)+H1388*(1-$D$1305))</f>
        <v>0</v>
      </c>
      <c r="I1400" s="537">
        <f>IF(OR($D$1309="Monthly",$D$1309="Both"),J1399*$D$1315,G1388*$D$1315+H1388*$D$1315)</f>
        <v>0</v>
      </c>
      <c r="J1400" s="542">
        <f>IF(OR($D$1311="Monthly",$D$1311="Both"),G1400+H1400,J1399+G1400+H1400)</f>
        <v>0</v>
      </c>
      <c r="K1400" s="540">
        <f>IF(OR($D$1312&gt;$C1400,$D$1312=""),0,$D$1314)</f>
        <v>0</v>
      </c>
      <c r="L1400" s="541">
        <f>(G1400+H1400)*K1400</f>
        <v>0</v>
      </c>
      <c r="M1400" s="516"/>
      <c r="N1400" s="528">
        <f>F1400</f>
        <v>1766</v>
      </c>
      <c r="O1400" s="437">
        <f>IF($O$1312&gt;$C1399,0,$O$1323)</f>
        <v>0</v>
      </c>
      <c r="P1400" s="438">
        <f>IF($O$1312&gt;$C1399,0,$P$1323)</f>
        <v>0</v>
      </c>
      <c r="Q1400" s="528">
        <f>N1400</f>
        <v>1766</v>
      </c>
      <c r="R1400" s="536">
        <f>ROUND(IF($O$1312="",0,IF($O$1312=$C1400,$O$1313,R1399*(1+O1400)+P1400)),0)</f>
        <v>0</v>
      </c>
      <c r="S1400" s="537">
        <f>R1388*(1-$O$1315)+S1388*(1-$O$1315)</f>
        <v>0</v>
      </c>
      <c r="T1400" s="537">
        <f>R1388*$O$1315+S1388*$O$1315</f>
        <v>0</v>
      </c>
      <c r="U1400" s="542">
        <f>U1399+R1400+S1400</f>
        <v>0</v>
      </c>
      <c r="V1400" s="540">
        <f>IF(OR($O$1312="",$O$1312&gt;$C1400),0,$O$1314)</f>
        <v>0</v>
      </c>
      <c r="W1400" s="541">
        <f>(R1400+S1400)*V1400</f>
        <v>0</v>
      </c>
    </row>
    <row r="1401" spans="1:28" ht="12" customHeight="1" x14ac:dyDescent="0.3">
      <c r="A1401" s="133"/>
      <c r="B1401" s="133"/>
      <c r="C1401" s="528">
        <f>Infrastructure!D128</f>
        <v>1796</v>
      </c>
      <c r="D1401" s="437">
        <f>IF($D$1312&gt;$C1400,0,$D$1323)</f>
        <v>0</v>
      </c>
      <c r="E1401" s="438">
        <f>IF($D$1312&gt;$C1400,0,$E$1323)</f>
        <v>0</v>
      </c>
      <c r="F1401" s="528">
        <f>C1401</f>
        <v>1796</v>
      </c>
      <c r="G1401" s="536">
        <f>IF($D$1314="",0,IF($D$1314=$C1401,$D$1315,G1400*(1+D1401)+E1401))</f>
        <v>0</v>
      </c>
      <c r="H1401" s="537">
        <f>IF(OR($D$1309="Monthly",$D$1309="Both"),J1400*(1-$D$1305),G1389*(1-$D$1305)+H1389*(1-$D$1305))</f>
        <v>0</v>
      </c>
      <c r="I1401" s="537">
        <f>IF(OR($D$1309="Monthly",$D$1309="Both"),J1400*$D$1315,G1389*$D$1315+H1389*$D$1315)</f>
        <v>0</v>
      </c>
      <c r="J1401" s="542">
        <f>IF(OR($D$1311="Monthly",$D$1311="Both"),G1401+H1401,J1400+G1401+H1401)</f>
        <v>0</v>
      </c>
      <c r="K1401" s="540">
        <f>IF(OR($D$1312&gt;$C1401,$D$1312=""),0,$D$1314)</f>
        <v>0</v>
      </c>
      <c r="L1401" s="541">
        <f>(G1401+H1401)*K1401</f>
        <v>0</v>
      </c>
      <c r="M1401" s="516"/>
      <c r="N1401" s="528">
        <f>F1401</f>
        <v>1796</v>
      </c>
      <c r="O1401" s="437">
        <f>IF($O$1312&gt;$C1400,0,$O$1323)</f>
        <v>0</v>
      </c>
      <c r="P1401" s="438">
        <f>IF($O$1312&gt;$C1400,0,$P$1323)</f>
        <v>0</v>
      </c>
      <c r="Q1401" s="528">
        <f>N1401</f>
        <v>1796</v>
      </c>
      <c r="R1401" s="536">
        <f>ROUND(IF($O$1312="",0,IF($O$1312=$C1401,$O$1313,R1400*(1+O1401)+P1401)),0)</f>
        <v>0</v>
      </c>
      <c r="S1401" s="537">
        <f>R1389*(1-$O$1315)+S1389*(1-$O$1315)</f>
        <v>0</v>
      </c>
      <c r="T1401" s="537">
        <f>R1389*$O$1315+S1389*$O$1315</f>
        <v>0</v>
      </c>
      <c r="U1401" s="542">
        <f>U1400+R1401+S1401</f>
        <v>0</v>
      </c>
      <c r="V1401" s="540">
        <f>IF(OR($O$1312="",$O$1312&gt;$C1401),0,$O$1314)</f>
        <v>0</v>
      </c>
      <c r="W1401" s="541">
        <f>(R1401+S1401)*V1401</f>
        <v>0</v>
      </c>
    </row>
    <row r="1402" spans="1:28" ht="12" customHeight="1" thickBot="1" x14ac:dyDescent="0.35">
      <c r="A1402" s="133"/>
      <c r="B1402" s="133"/>
      <c r="C1402" s="528">
        <f>Infrastructure!D129</f>
        <v>1827</v>
      </c>
      <c r="D1402" s="441">
        <f>IF($D$1312&gt;$C1401,0,$D$1323)</f>
        <v>0</v>
      </c>
      <c r="E1402" s="442">
        <f>IF($D$1312&gt;$C1401,0,$E$1323)</f>
        <v>0</v>
      </c>
      <c r="F1402" s="528">
        <f>C1402</f>
        <v>1827</v>
      </c>
      <c r="G1402" s="548">
        <f>IF($D$1314="",0,IF($D$1314=$C1402,$D$1315,G1401*(1+D1402)+E1402))</f>
        <v>0</v>
      </c>
      <c r="H1402" s="549">
        <f>IF(OR($D$1309="Monthly",$D$1309="Both"),J1401*(1-$D$1305),G1390*(1-$D$1305)+H1390*(1-$D$1305))</f>
        <v>0</v>
      </c>
      <c r="I1402" s="549">
        <f>IF(OR($D$1309="Monthly",$D$1309="Both"),J1401*$D$1315,G1390*$D$1315+H1390*$D$1315)</f>
        <v>0</v>
      </c>
      <c r="J1402" s="550">
        <f>IF(OR($D$1311="Monthly",$D$1311="Both"),G1402+H1402,J1401+G1402+H1402)</f>
        <v>0</v>
      </c>
      <c r="K1402" s="551">
        <f>IF(OR($D$1312&gt;$C1402,$D$1312=""),0,$D$1314)</f>
        <v>0</v>
      </c>
      <c r="L1402" s="552">
        <f>(G1402+H1402)*K1402</f>
        <v>0</v>
      </c>
      <c r="M1402" s="516"/>
      <c r="N1402" s="528">
        <f>F1402</f>
        <v>1827</v>
      </c>
      <c r="O1402" s="658">
        <f>IF($O$1312&gt;$C1401,0,$O$1323)</f>
        <v>0</v>
      </c>
      <c r="P1402" s="659">
        <f>IF($O$1312&gt;$C1401,0,$P$1323)</f>
        <v>0</v>
      </c>
      <c r="Q1402" s="528">
        <f>N1402</f>
        <v>1827</v>
      </c>
      <c r="R1402" s="548">
        <f>ROUND(IF($O$1312="",0,IF($O$1312=$C1402,$O$1313,R1401*(1+O1402)+P1402)),0)</f>
        <v>0</v>
      </c>
      <c r="S1402" s="549">
        <f>R1390*(1-$O$1315)+S1390*(1-$O$1315)</f>
        <v>0</v>
      </c>
      <c r="T1402" s="549">
        <f>R1390*$O$1315+S1390*$O$1315</f>
        <v>0</v>
      </c>
      <c r="U1402" s="550">
        <f>U1401+R1402+S1402</f>
        <v>0</v>
      </c>
      <c r="V1402" s="551">
        <f>IF(OR($O$1312="",$O$1312&gt;$C1402),0,$O$1314)</f>
        <v>0</v>
      </c>
      <c r="W1402" s="552">
        <f>(R1402+S1402)*V1402</f>
        <v>0</v>
      </c>
    </row>
    <row r="1403" spans="1:28" ht="12" customHeight="1" x14ac:dyDescent="0.3">
      <c r="A1403" s="5"/>
      <c r="B1403" s="8"/>
      <c r="C1403" s="519"/>
      <c r="D1403" s="553"/>
      <c r="E1403" s="553"/>
      <c r="F1403" s="514"/>
      <c r="G1403" s="554">
        <f>SUM(G1343:G1402)</f>
        <v>0</v>
      </c>
      <c r="H1403" s="554">
        <f>SUM(H1343:H1402)</f>
        <v>0</v>
      </c>
      <c r="I1403" s="554">
        <f>SUM(I1343:I1402)</f>
        <v>0</v>
      </c>
      <c r="J1403" s="521"/>
      <c r="K1403" s="521"/>
      <c r="L1403" s="555">
        <f>SUM(L1343:L1402)</f>
        <v>0</v>
      </c>
      <c r="M1403" s="516"/>
      <c r="N1403" s="516"/>
      <c r="O1403" s="516"/>
      <c r="P1403" s="516"/>
      <c r="Q1403" s="516"/>
      <c r="R1403" s="554">
        <f>SUM(R1343:R1402)</f>
        <v>0</v>
      </c>
      <c r="S1403" s="554">
        <f>SUM(S1343:S1402)</f>
        <v>0</v>
      </c>
      <c r="T1403" s="554">
        <f>SUM(T1343:T1402)</f>
        <v>0</v>
      </c>
      <c r="U1403" s="516"/>
      <c r="V1403" s="516"/>
      <c r="W1403" s="555">
        <f>SUM(W1343:W1402)</f>
        <v>0</v>
      </c>
      <c r="Y1403" s="516"/>
      <c r="Z1403" s="516"/>
      <c r="AA1403" s="516"/>
      <c r="AB1403" s="516"/>
    </row>
    <row r="1404" spans="1:28" ht="12" customHeight="1" x14ac:dyDescent="0.3">
      <c r="C1404" s="519"/>
    </row>
    <row r="1405" spans="1:28" ht="12" customHeight="1" x14ac:dyDescent="0.3">
      <c r="C1405" s="519"/>
    </row>
    <row r="1406" spans="1:28" ht="12" customHeight="1" x14ac:dyDescent="0.3">
      <c r="C1406" s="519"/>
    </row>
    <row r="1407" spans="1:28" ht="12" customHeight="1" x14ac:dyDescent="0.3">
      <c r="C1407" s="519"/>
    </row>
    <row r="1408" spans="1:28" ht="12" customHeight="1" x14ac:dyDescent="0.3">
      <c r="C1408" s="519"/>
    </row>
    <row r="1409" spans="3:3" x14ac:dyDescent="0.3">
      <c r="C1409" s="519"/>
    </row>
    <row r="1410" spans="3:3" x14ac:dyDescent="0.3">
      <c r="C1410" s="519"/>
    </row>
    <row r="1411" spans="3:3" x14ac:dyDescent="0.3">
      <c r="C1411" s="519"/>
    </row>
    <row r="1529" spans="1:6" x14ac:dyDescent="0.3">
      <c r="A1529" s="1073"/>
    </row>
    <row r="1530" spans="1:6" ht="15.5" x14ac:dyDescent="0.35">
      <c r="A1530" s="1073"/>
      <c r="D1530" s="1358" t="s">
        <v>228</v>
      </c>
      <c r="E1530" s="1313"/>
    </row>
    <row r="1531" spans="1:6" ht="15.5" x14ac:dyDescent="0.35">
      <c r="A1531" s="1073"/>
      <c r="D1531" s="1358"/>
      <c r="E1531" s="1313"/>
    </row>
    <row r="1532" spans="1:6" ht="15.5" x14ac:dyDescent="0.35">
      <c r="A1532" s="1073"/>
      <c r="D1532" s="1358"/>
      <c r="E1532" s="1313"/>
    </row>
    <row r="1533" spans="1:6" x14ac:dyDescent="0.3">
      <c r="A1533" s="1073"/>
    </row>
    <row r="1534" spans="1:6" ht="14.5" x14ac:dyDescent="0.3">
      <c r="A1534" s="1073"/>
      <c r="C1534" s="1113" t="s">
        <v>229</v>
      </c>
    </row>
    <row r="1535" spans="1:6" ht="5.15" customHeight="1" x14ac:dyDescent="0.3">
      <c r="A1535" s="1073"/>
    </row>
    <row r="1536" spans="1:6" ht="13.5" thickBot="1" x14ac:dyDescent="0.35">
      <c r="A1536" s="1073"/>
      <c r="C1536" s="831" t="s">
        <v>17</v>
      </c>
      <c r="F1536" s="498" t="s">
        <v>230</v>
      </c>
    </row>
    <row r="1537" spans="1:10" ht="12" customHeight="1" x14ac:dyDescent="0.3">
      <c r="A1537" s="1073"/>
      <c r="C1537" s="499" t="s">
        <v>231</v>
      </c>
      <c r="D1537" s="649"/>
      <c r="E1537" s="500" t="s">
        <v>232</v>
      </c>
      <c r="F1537" s="501" t="s">
        <v>233</v>
      </c>
      <c r="G1537" s="501"/>
      <c r="H1537" s="501"/>
      <c r="I1537" s="501"/>
      <c r="J1537" s="501"/>
    </row>
    <row r="1538" spans="1:10" ht="12" customHeight="1" x14ac:dyDescent="0.3">
      <c r="A1538" s="1073"/>
      <c r="C1538" s="499" t="s">
        <v>234</v>
      </c>
      <c r="D1538" s="650"/>
      <c r="E1538" s="500" t="s">
        <v>235</v>
      </c>
      <c r="F1538" s="501" t="s">
        <v>236</v>
      </c>
      <c r="G1538" s="501"/>
      <c r="H1538" s="501"/>
      <c r="I1538" s="501"/>
      <c r="J1538" s="501"/>
    </row>
    <row r="1539" spans="1:10" ht="12" customHeight="1" thickBot="1" x14ac:dyDescent="0.35">
      <c r="A1539" s="1073"/>
      <c r="C1539" s="499" t="s">
        <v>237</v>
      </c>
      <c r="D1539" s="651"/>
      <c r="E1539" s="500" t="s">
        <v>238</v>
      </c>
      <c r="F1539" s="501" t="s">
        <v>239</v>
      </c>
      <c r="G1539" s="501"/>
      <c r="H1539" s="501"/>
      <c r="I1539" s="501"/>
      <c r="J1539" s="501"/>
    </row>
    <row r="1540" spans="1:10" ht="12" customHeight="1" x14ac:dyDescent="0.3">
      <c r="A1540" s="1073"/>
      <c r="C1540" s="830" t="s">
        <v>240</v>
      </c>
      <c r="D1540" s="502">
        <f>SUM(D1537:D1539)</f>
        <v>0</v>
      </c>
      <c r="E1540" s="500" t="s">
        <v>241</v>
      </c>
      <c r="F1540" s="501" t="s">
        <v>242</v>
      </c>
      <c r="G1540" s="501"/>
      <c r="H1540" s="501"/>
      <c r="I1540" s="501"/>
      <c r="J1540" s="501"/>
    </row>
    <row r="1541" spans="1:10" ht="5.15" customHeight="1" x14ac:dyDescent="0.3">
      <c r="A1541" s="1073"/>
      <c r="C1541" s="497"/>
      <c r="D1541" s="503"/>
    </row>
    <row r="1542" spans="1:10" ht="12" customHeight="1" x14ac:dyDescent="0.3">
      <c r="A1542" s="1073"/>
      <c r="C1542" s="830" t="s">
        <v>243</v>
      </c>
      <c r="D1542" s="504">
        <f>SUM(Calcs!Y364:CF364)</f>
        <v>0</v>
      </c>
    </row>
    <row r="1543" spans="1:10" ht="12" customHeight="1" x14ac:dyDescent="0.3">
      <c r="A1543" s="1073"/>
      <c r="C1543" s="499" t="s">
        <v>244</v>
      </c>
      <c r="D1543" s="505">
        <f>-Calcs!CF391</f>
        <v>0</v>
      </c>
      <c r="F1543" s="506" t="s">
        <v>245</v>
      </c>
      <c r="G1543" s="501"/>
      <c r="H1543" s="501"/>
      <c r="I1543" s="501"/>
      <c r="J1543" s="501"/>
    </row>
    <row r="1544" spans="1:10" ht="12" customHeight="1" x14ac:dyDescent="0.3">
      <c r="A1544" s="1073"/>
      <c r="C1544" s="830" t="s">
        <v>246</v>
      </c>
      <c r="D1544" s="507">
        <f>D1542+D1543</f>
        <v>0</v>
      </c>
    </row>
    <row r="1545" spans="1:10" ht="5.15" customHeight="1" x14ac:dyDescent="0.3">
      <c r="A1545" s="1073"/>
      <c r="C1545" s="497" t="s">
        <v>247</v>
      </c>
    </row>
    <row r="1546" spans="1:10" ht="12" customHeight="1" x14ac:dyDescent="0.3">
      <c r="A1546" s="1073"/>
      <c r="C1546" s="830" t="s">
        <v>248</v>
      </c>
    </row>
    <row r="1547" spans="1:10" ht="12" customHeight="1" x14ac:dyDescent="0.3">
      <c r="A1547" s="1073"/>
      <c r="C1547" s="499" t="s">
        <v>169</v>
      </c>
      <c r="D1547" s="504">
        <f>Calcs!CF334</f>
        <v>0</v>
      </c>
    </row>
    <row r="1548" spans="1:10" ht="12" customHeight="1" x14ac:dyDescent="0.3">
      <c r="A1548" s="1073"/>
      <c r="C1548" s="499" t="s">
        <v>170</v>
      </c>
      <c r="D1548" s="504">
        <f>Calcs!CF335</f>
        <v>0</v>
      </c>
    </row>
    <row r="1549" spans="1:10" ht="12" customHeight="1" x14ac:dyDescent="0.3">
      <c r="A1549" s="1073"/>
      <c r="C1549" s="499" t="s">
        <v>171</v>
      </c>
      <c r="D1549" s="504">
        <f>Calcs!CF336</f>
        <v>0</v>
      </c>
    </row>
    <row r="1550" spans="1:10" ht="12" customHeight="1" x14ac:dyDescent="0.3">
      <c r="A1550" s="1073"/>
      <c r="C1550" s="499" t="s">
        <v>249</v>
      </c>
      <c r="D1550" s="508">
        <f>-Calcs!CF338</f>
        <v>0</v>
      </c>
    </row>
    <row r="1551" spans="1:10" ht="12" customHeight="1" x14ac:dyDescent="0.3">
      <c r="A1551" s="1073"/>
      <c r="C1551" s="830" t="s">
        <v>250</v>
      </c>
      <c r="D1551" s="502">
        <f>SUM(D1547:D1550)</f>
        <v>0</v>
      </c>
    </row>
    <row r="1552" spans="1:10" ht="12" customHeight="1" x14ac:dyDescent="0.3">
      <c r="A1552" s="1073"/>
      <c r="C1552" s="499" t="inlineStr">
        <is>
          <t>Deposits / Other Assets </t>
        </is>
      </c>
      <c r="D1552" s="503">
        <f>SUMIF(E1584:E1593,"&lt;"&amp;Infrastructure!$H$14,D1584:D1593)</f>
      </c>
    </row>
    <row r="1553" spans="1:4" ht="12" customHeight="1" thickBot="1" x14ac:dyDescent="0.35">
      <c r="A1553" s="1073"/>
      <c r="C1553" s="831" t="s">
        <v>251</v>
      </c>
      <c r="D1553" s="509">
        <f>D1540+D1544+D1551+D1552</f>
      </c>
    </row>
    <row r="1554" spans="1:4" ht="12" customHeight="1" thickTop="1" x14ac:dyDescent="0.3">
      <c r="A1554" s="1073"/>
    </row>
    <row r="1555" spans="1:4" ht="12" customHeight="1" x14ac:dyDescent="0.3">
      <c r="A1555" s="1073"/>
      <c r="C1555" s="1114" t="s">
        <v>252</v>
      </c>
    </row>
    <row r="1556" spans="1:4" ht="12" customHeight="1" x14ac:dyDescent="0.3">
      <c r="A1556" s="1073"/>
      <c r="C1556" s="830" t="str">
        <f>Financials!D203&amp;" "</f>
        <v xml:space="preserve">Liabilities and Stockholders' Equity </v>
      </c>
    </row>
    <row r="1557" spans="1:4" ht="12" hidden="1" customHeight="1" x14ac:dyDescent="0.3">
      <c r="A1557" s="1073"/>
      <c r="C1557" s="497"/>
      <c r="D1557" s="503"/>
    </row>
    <row r="1558" spans="1:4" ht="12" customHeight="1" thickBot="1" x14ac:dyDescent="0.35">
      <c r="A1558" s="1073"/>
      <c r="C1558" s="497" t="s">
        <v>253</v>
      </c>
    </row>
    <row r="1559" spans="1:4" ht="12" customHeight="1" thickBot="1" x14ac:dyDescent="0.35">
      <c r="A1559" s="1073"/>
      <c r="C1559" s="499" t="s">
        <v>254</v>
      </c>
      <c r="D1559" s="652"/>
    </row>
    <row r="1560" spans="1:4" ht="12" customHeight="1" x14ac:dyDescent="0.3">
      <c r="A1560" s="1073"/>
      <c r="C1560" s="499" t="s">
        <v>255</v>
      </c>
      <c r="D1560" s="504">
        <f>IF(Calcs!U1126="Short-Term",Calcs!U1125,0)++Calcs!AC800</f>
        <v>0</v>
      </c>
    </row>
    <row r="1561" spans="1:4" ht="12" customHeight="1" x14ac:dyDescent="0.3">
      <c r="A1561" s="1073"/>
      <c r="C1561" s="499" t="s">
        <v>256</v>
      </c>
      <c r="D1561" s="504">
        <f>Calcs!AB792</f>
        <v>0</v>
      </c>
    </row>
    <row r="1562" spans="1:4" ht="12" customHeight="1" x14ac:dyDescent="0.3">
      <c r="A1562" s="1073"/>
      <c r="C1562" s="1210" t="s">
        <v>257</v>
      </c>
      <c r="D1562" s="504">
        <f>Calcs!AD778+Calcs!AD783+Calcs!AD788</f>
      </c>
    </row>
    <row r="1563" spans="1:4" ht="12" customHeight="1" x14ac:dyDescent="0.3">
      <c r="A1563" s="1073"/>
      <c r="C1563" s="830" t="s">
        <v>258</v>
      </c>
      <c r="D1563" s="507">
        <f>SUM(D1558:D1562)</f>
        <v>0</v>
      </c>
    </row>
    <row r="1564" spans="1:4" ht="5.15" customHeight="1" x14ac:dyDescent="0.3">
      <c r="A1564" s="1073"/>
      <c r="C1564" s="497"/>
      <c r="D1564" s="503"/>
    </row>
    <row r="1565" spans="1:4" ht="12" customHeight="1" x14ac:dyDescent="0.3">
      <c r="A1565" s="1073"/>
      <c r="C1565" s="830" t="s">
        <v>259</v>
      </c>
    </row>
    <row r="1566" spans="1:4" ht="12" customHeight="1" x14ac:dyDescent="0.3">
      <c r="A1566" s="1073"/>
      <c r="C1566" s="499" t="s">
        <v>260</v>
      </c>
      <c r="D1566" s="508">
        <f>Calcs!AA792</f>
        <v>0</v>
      </c>
    </row>
    <row r="1567" spans="1:4" ht="12" customHeight="1" x14ac:dyDescent="0.3">
      <c r="A1567" s="1073"/>
      <c r="C1567" s="830" t="s">
        <v>261</v>
      </c>
      <c r="D1567" s="502">
        <f>D1566</f>
        <v>0</v>
      </c>
    </row>
    <row r="1568" spans="1:4" ht="12" customHeight="1" x14ac:dyDescent="0.3">
      <c r="A1568" s="1073"/>
      <c r="C1568" s="497"/>
    </row>
    <row r="1569" spans="1:4" ht="12" customHeight="1" x14ac:dyDescent="0.3">
      <c r="A1569" s="1073"/>
      <c r="C1569" s="1114" t="str">
        <f>Financials!D219&amp;" "</f>
        <v xml:space="preserve">Stockholders' Equity </v>
      </c>
    </row>
    <row r="1570" spans="1:4" ht="12" customHeight="1" x14ac:dyDescent="0.3">
      <c r="A1570" s="1073"/>
      <c r="C1570" s="499" t="s">
        <v>62</v>
      </c>
      <c r="D1570" s="504">
        <f>Calcs!AC806</f>
        <v>0</v>
      </c>
    </row>
    <row r="1571" spans="1:4" ht="12" customHeight="1" x14ac:dyDescent="0.3">
      <c r="A1571" s="1073"/>
      <c r="C1571" s="499" t="s">
        <v>262</v>
      </c>
      <c r="D1571" s="504">
        <f>Calcs!AE729</f>
        <v>0</v>
      </c>
    </row>
    <row r="1572" spans="1:4" ht="12" customHeight="1" x14ac:dyDescent="0.3">
      <c r="A1572" s="1073"/>
      <c r="C1572" s="499" t="s">
        <v>263</v>
      </c>
      <c r="D1572" s="504">
        <f>Calcs!AE730</f>
        <v>0</v>
      </c>
    </row>
    <row r="1573" spans="1:4" ht="12" customHeight="1" x14ac:dyDescent="0.3">
      <c r="A1573" s="1073"/>
      <c r="C1573" s="499" t="s">
        <v>264</v>
      </c>
      <c r="D1573" s="508">
        <f>D1553-D1563-D1566-D1571-D1572-D1570</f>
        <v>0</v>
      </c>
    </row>
    <row r="1574" spans="1:4" ht="12" customHeight="1" x14ac:dyDescent="0.3">
      <c r="A1574" s="1073"/>
      <c r="C1574" s="830" t="str">
        <f>Financials!D224&amp;" "</f>
        <v xml:space="preserve">Total Stockholders' Equity </v>
      </c>
      <c r="D1574" s="502">
        <f>SUM(D1570:D1573)</f>
        <v>0</v>
      </c>
    </row>
    <row r="1575" spans="1:4" ht="5.15" customHeight="1" x14ac:dyDescent="0.3">
      <c r="A1575" s="1073"/>
      <c r="C1575" s="497" t="s">
        <v>90</v>
      </c>
      <c r="D1575" s="503"/>
    </row>
    <row r="1576" spans="1:4" ht="12" customHeight="1" thickBot="1" x14ac:dyDescent="0.35">
      <c r="A1576" s="1073"/>
      <c r="C1576" s="831" t="str">
        <f>Financials!D226&amp;" "</f>
        <v xml:space="preserve">Total Liabilities and Stockholders' Equity </v>
      </c>
      <c r="D1576" s="509">
        <f>D1563+D1567+D1574</f>
        <v>0</v>
      </c>
    </row>
    <row r="1577" spans="1:4" ht="5.15" customHeight="1" thickTop="1" x14ac:dyDescent="0.3">
      <c r="A1577" s="1073"/>
      <c r="C1577" s="499"/>
      <c r="D1577" s="504"/>
    </row>
    <row r="1578" spans="1:4" ht="16.5" customHeight="1" x14ac:dyDescent="0.3">
      <c r="A1578" s="1073"/>
      <c r="C1578" s="653" t="s">
        <v>265</v>
      </c>
      <c r="D1578" s="654">
        <f>D1553-D1576</f>
        <v>0</v>
      </c>
    </row>
    <row r="1579" spans="1:4" ht="12" customHeight="1" x14ac:dyDescent="0.3">
      <c r="B1579" s="7"/>
      <c r="C1579" s="7"/>
    </row>
    <row r="1580" spans="1:4" ht="12" customHeight="1" x14ac:dyDescent="0.3"/>
    <row r="1581" spans="1:4" ht="12" customHeight="1" x14ac:dyDescent="0.3"/>
    <row r="1582" spans="1:4" ht="12" customHeight="1" x14ac:dyDescent="0.3" hidden="1">
      <c r="C1582" s="830" t="inlineStr">
        <is>
          <t>Deposits / Other Assets</t>
        </is>
      </c>
      <c r="F1582" s="499" t="inlineStr">
        <is>
          <t>Enter any deposits or other non-depreciating assets. Months may be before the projections start.</t>
        </is>
      </c>
    </row>
    <row r="1583" spans="1:4" ht="12" customHeight="1" x14ac:dyDescent="0.3" hidden="1">
      <c r="C1583" s="499" t="inlineStr">
        <is>
          <t>Description</t>
        </is>
      </c>
      <c r="D1583" s="499" t="inlineStr">
        <is>
          <t>Amount</t>
        </is>
      </c>
      <c r="E1583" s="499" t="inlineStr">
        <is>
          <t>Month</t>
        </is>
      </c>
    </row>
    <row r="1584" spans="1:4" ht="12" customHeight="1" x14ac:dyDescent="0.3" hidden="1">
      <c r="C1584" s="1835"/>
      <c r="D1584" s="649"/>
      <c r="E1584" s="1836"/>
    </row>
    <row r="1585" ht="12" customHeight="1" x14ac:dyDescent="0.3" hidden="1">
      <c r="C1585" s="1835"/>
      <c r="D1585" s="649"/>
      <c r="E1585" s="1836"/>
    </row>
    <row r="1586" ht="12" customHeight="1" x14ac:dyDescent="0.3" hidden="1">
      <c r="C1586" s="1835"/>
      <c r="D1586" s="649"/>
      <c r="E1586" s="1836"/>
    </row>
    <row r="1587" ht="12" customHeight="1" x14ac:dyDescent="0.3" hidden="1">
      <c r="C1587" s="1835"/>
      <c r="D1587" s="649"/>
      <c r="E1587" s="1836"/>
    </row>
    <row r="1588" ht="12" customHeight="1" x14ac:dyDescent="0.3" hidden="1">
      <c r="C1588" s="1835"/>
      <c r="D1588" s="649"/>
      <c r="E1588" s="1836"/>
    </row>
    <row r="1589" ht="12" customHeight="1" x14ac:dyDescent="0.3" hidden="1">
      <c r="C1589" s="1835"/>
      <c r="D1589" s="649"/>
      <c r="E1589" s="1836"/>
    </row>
    <row r="1590" ht="12" customHeight="1" x14ac:dyDescent="0.3" hidden="1">
      <c r="C1590" s="1835"/>
      <c r="D1590" s="649"/>
      <c r="E1590" s="1836"/>
    </row>
    <row r="1591" ht="12" customHeight="1" x14ac:dyDescent="0.3" hidden="1">
      <c r="C1591" s="1835"/>
      <c r="D1591" s="649"/>
      <c r="E1591" s="1836"/>
    </row>
    <row r="1592" ht="12" customHeight="1" x14ac:dyDescent="0.3" hidden="1">
      <c r="C1592" s="1835"/>
      <c r="D1592" s="649"/>
      <c r="E1592" s="1836"/>
    </row>
    <row r="1593" ht="12" customHeight="1" x14ac:dyDescent="0.3" hidden="1">
      <c r="C1593" s="1835"/>
      <c r="D1593" s="649"/>
      <c r="E1593" s="1836"/>
    </row>
    <row r="1594" ht="12" customHeight="1" x14ac:dyDescent="0.3"/>
    <row r="1595" ht="12" customHeight="1" x14ac:dyDescent="0.3"/>
    <row r="1596" ht="12" customHeight="1" x14ac:dyDescent="0.3"/>
    <row r="1597" ht="12" customHeight="1" x14ac:dyDescent="0.3"/>
    <row r="1598" ht="12" customHeight="1" x14ac:dyDescent="0.3"/>
    <row r="1599" ht="12" customHeight="1" x14ac:dyDescent="0.3"/>
    <row r="1600" ht="12" customHeight="1" x14ac:dyDescent="0.3"/>
    <row r="1601" ht="12" customHeight="1" x14ac:dyDescent="0.3"/>
    <row r="1602" ht="12" customHeight="1" x14ac:dyDescent="0.3"/>
    <row r="1603" ht="12" customHeight="1" x14ac:dyDescent="0.3"/>
    <row r="1604" ht="12" customHeight="1" x14ac:dyDescent="0.3"/>
    <row r="1605" ht="12" customHeight="1" x14ac:dyDescent="0.3"/>
    <row r="1606" ht="12" customHeight="1" x14ac:dyDescent="0.3"/>
    <row r="1607" ht="12" customHeight="1" x14ac:dyDescent="0.3"/>
    <row r="1608" ht="12" customHeight="1" x14ac:dyDescent="0.3"/>
    <row r="1609" ht="12" customHeight="1" x14ac:dyDescent="0.3"/>
    <row r="1610" ht="12" customHeight="1" x14ac:dyDescent="0.3"/>
    <row r="1611" ht="12" customHeight="1" x14ac:dyDescent="0.3"/>
    <row r="1612" ht="12" customHeight="1" x14ac:dyDescent="0.3"/>
    <row r="1613" ht="12" customHeight="1" x14ac:dyDescent="0.3"/>
    <row r="1614" ht="12" customHeight="1" x14ac:dyDescent="0.3"/>
  </sheetData>
  <sheetProtection formatCells="0" formatColumns="0" formatRows="0" insertColumns="0" insertRows="0" deleteColumns="0" deleteRows="0" sort="0"/>
  <mergeCells count="209">
    <mergeCell ref="D1317:E1317"/>
    <mergeCell ref="K241:L241"/>
    <mergeCell ref="M279:O279"/>
    <mergeCell ref="M280:O280"/>
    <mergeCell ref="M281:O281"/>
    <mergeCell ref="M297:O297"/>
    <mergeCell ref="M298:O298"/>
    <mergeCell ref="M299:O299"/>
    <mergeCell ref="D94:F94"/>
    <mergeCell ref="D95:F95"/>
    <mergeCell ref="D151:F151"/>
    <mergeCell ref="D152:F152"/>
    <mergeCell ref="D153:F153"/>
    <mergeCell ref="D168:F168"/>
    <mergeCell ref="D141:F141"/>
    <mergeCell ref="D149:F149"/>
    <mergeCell ref="K240:L240"/>
    <mergeCell ref="K239:L239"/>
    <mergeCell ref="D213:F213"/>
    <mergeCell ref="D249:F249"/>
    <mergeCell ref="D201:F201"/>
    <mergeCell ref="D202:F202"/>
    <mergeCell ref="D203:F203"/>
    <mergeCell ref="D172:F172"/>
    <mergeCell ref="D189:F189"/>
    <mergeCell ref="G1326:L1326"/>
    <mergeCell ref="D1326:E1326"/>
    <mergeCell ref="D253:F253"/>
    <mergeCell ref="D254:F254"/>
    <mergeCell ref="D255:F255"/>
    <mergeCell ref="D206:F206"/>
    <mergeCell ref="D207:F207"/>
    <mergeCell ref="D208:F208"/>
    <mergeCell ref="D209:F209"/>
    <mergeCell ref="D210:F210"/>
    <mergeCell ref="D211:F211"/>
    <mergeCell ref="D212:F212"/>
    <mergeCell ref="D221:F221"/>
    <mergeCell ref="D222:F222"/>
    <mergeCell ref="D223:F223"/>
    <mergeCell ref="D224:F224"/>
    <mergeCell ref="D214:F214"/>
    <mergeCell ref="D215:F215"/>
    <mergeCell ref="D216:F216"/>
    <mergeCell ref="D217:F217"/>
    <mergeCell ref="D218:F218"/>
    <mergeCell ref="D219:F219"/>
    <mergeCell ref="D220:F220"/>
    <mergeCell ref="P3:Q3"/>
    <mergeCell ref="P4:Q4"/>
    <mergeCell ref="P5:Q5"/>
    <mergeCell ref="P9:Q9"/>
    <mergeCell ref="D93:F93"/>
    <mergeCell ref="D154:F154"/>
    <mergeCell ref="D114:F114"/>
    <mergeCell ref="D115:F115"/>
    <mergeCell ref="D116:F116"/>
    <mergeCell ref="D117:F117"/>
    <mergeCell ref="D118:F118"/>
    <mergeCell ref="D119:F119"/>
    <mergeCell ref="D96:F96"/>
    <mergeCell ref="D97:F97"/>
    <mergeCell ref="D98:F98"/>
    <mergeCell ref="D142:F142"/>
    <mergeCell ref="D143:F143"/>
    <mergeCell ref="D144:F144"/>
    <mergeCell ref="D145:F145"/>
    <mergeCell ref="D146:F146"/>
    <mergeCell ref="D147:F147"/>
    <mergeCell ref="D148:F148"/>
    <mergeCell ref="D137:F137"/>
    <mergeCell ref="P13:Q13"/>
    <mergeCell ref="P7:Q7"/>
    <mergeCell ref="P12:Q12"/>
    <mergeCell ref="D130:F130"/>
    <mergeCell ref="D131:F131"/>
    <mergeCell ref="D132:F132"/>
    <mergeCell ref="D133:F133"/>
    <mergeCell ref="D134:F134"/>
    <mergeCell ref="D120:F120"/>
    <mergeCell ref="D121:F121"/>
    <mergeCell ref="D122:F122"/>
    <mergeCell ref="D123:F123"/>
    <mergeCell ref="D124:F124"/>
    <mergeCell ref="D125:F125"/>
    <mergeCell ref="D18:E18"/>
    <mergeCell ref="D126:F126"/>
    <mergeCell ref="D127:F127"/>
    <mergeCell ref="L100:M100"/>
    <mergeCell ref="D112:F112"/>
    <mergeCell ref="D113:F113"/>
    <mergeCell ref="D90:F90"/>
    <mergeCell ref="D91:F91"/>
    <mergeCell ref="D92:F92"/>
    <mergeCell ref="D89:F89"/>
    <mergeCell ref="D167:F167"/>
    <mergeCell ref="D190:F190"/>
    <mergeCell ref="R1326:W1326"/>
    <mergeCell ref="D150:F150"/>
    <mergeCell ref="D169:F169"/>
    <mergeCell ref="D170:F170"/>
    <mergeCell ref="D171:F171"/>
    <mergeCell ref="D192:F192"/>
    <mergeCell ref="D193:F193"/>
    <mergeCell ref="D194:F194"/>
    <mergeCell ref="D195:F195"/>
    <mergeCell ref="D196:F196"/>
    <mergeCell ref="D197:F197"/>
    <mergeCell ref="D198:F198"/>
    <mergeCell ref="D199:F199"/>
    <mergeCell ref="D200:F200"/>
    <mergeCell ref="D176:F176"/>
    <mergeCell ref="D184:F184"/>
    <mergeCell ref="D185:F185"/>
    <mergeCell ref="D186:F186"/>
    <mergeCell ref="D188:F188"/>
    <mergeCell ref="D161:D162"/>
    <mergeCell ref="D155:F155"/>
    <mergeCell ref="D187:F187"/>
    <mergeCell ref="D138:F138"/>
    <mergeCell ref="D139:F139"/>
    <mergeCell ref="D140:F140"/>
    <mergeCell ref="D109:F109"/>
    <mergeCell ref="D129:F129"/>
    <mergeCell ref="D108:F108"/>
    <mergeCell ref="D110:F110"/>
    <mergeCell ref="D111:F111"/>
    <mergeCell ref="D136:F136"/>
    <mergeCell ref="D128:F128"/>
    <mergeCell ref="D174:F174"/>
    <mergeCell ref="D175:F175"/>
    <mergeCell ref="D135:F135"/>
    <mergeCell ref="D156:F156"/>
    <mergeCell ref="D157:F157"/>
    <mergeCell ref="D173:F173"/>
    <mergeCell ref="D292:D293"/>
    <mergeCell ref="D288:F288"/>
    <mergeCell ref="D229:F229"/>
    <mergeCell ref="D246:F246"/>
    <mergeCell ref="D226:F226"/>
    <mergeCell ref="D204:F204"/>
    <mergeCell ref="D248:F248"/>
    <mergeCell ref="D268:F268"/>
    <mergeCell ref="D269:F269"/>
    <mergeCell ref="D270:F270"/>
    <mergeCell ref="D271:F271"/>
    <mergeCell ref="D227:F227"/>
    <mergeCell ref="D228:F228"/>
    <mergeCell ref="D279:F279"/>
    <mergeCell ref="D280:F280"/>
    <mergeCell ref="D281:F281"/>
    <mergeCell ref="D282:F282"/>
    <mergeCell ref="D283:F283"/>
    <mergeCell ref="B1305:B1306"/>
    <mergeCell ref="D284:F284"/>
    <mergeCell ref="D285:F285"/>
    <mergeCell ref="D286:F286"/>
    <mergeCell ref="D287:F287"/>
    <mergeCell ref="D256:F256"/>
    <mergeCell ref="D257:F257"/>
    <mergeCell ref="D191:F191"/>
    <mergeCell ref="D205:F205"/>
    <mergeCell ref="D265:F265"/>
    <mergeCell ref="D266:F266"/>
    <mergeCell ref="D267:F267"/>
    <mergeCell ref="D244:F244"/>
    <mergeCell ref="D245:F245"/>
    <mergeCell ref="D252:F252"/>
    <mergeCell ref="D230:F230"/>
    <mergeCell ref="D231:F231"/>
    <mergeCell ref="D232:F232"/>
    <mergeCell ref="D233:F233"/>
    <mergeCell ref="D239:F239"/>
    <mergeCell ref="D240:F240"/>
    <mergeCell ref="D241:F241"/>
    <mergeCell ref="D242:F242"/>
    <mergeCell ref="D243:F243"/>
    <mergeCell ref="B1233:C1234"/>
    <mergeCell ref="B1170:C1171"/>
    <mergeCell ref="B534:C535"/>
    <mergeCell ref="B597:C598"/>
    <mergeCell ref="B401:C402"/>
    <mergeCell ref="B471:C472"/>
    <mergeCell ref="D251:F251"/>
    <mergeCell ref="D225:F225"/>
    <mergeCell ref="D258:F258"/>
    <mergeCell ref="D262:F262"/>
    <mergeCell ref="D263:F263"/>
    <mergeCell ref="D264:F264"/>
    <mergeCell ref="B1043:C1044"/>
    <mergeCell ref="B1106:C1107"/>
    <mergeCell ref="D250:F250"/>
    <mergeCell ref="D247:F247"/>
    <mergeCell ref="A17:A18"/>
    <mergeCell ref="A27:A28"/>
    <mergeCell ref="B337:C339"/>
    <mergeCell ref="B665:C666"/>
    <mergeCell ref="B728:C729"/>
    <mergeCell ref="B791:C792"/>
    <mergeCell ref="B854:C855"/>
    <mergeCell ref="B917:C918"/>
    <mergeCell ref="B980:C981"/>
    <mergeCell ref="B162:B163"/>
    <mergeCell ref="B17:B18"/>
    <mergeCell ref="B237:B238"/>
    <mergeCell ref="B27:B28"/>
    <mergeCell ref="C161:C162"/>
    <mergeCell ref="B275:B276"/>
    <mergeCell ref="B87:B88"/>
  </mergeCells>
  <phoneticPr fontId="66" type="noConversion"/>
  <conditionalFormatting sqref="A36:CG36 A38:C38 AC38:CG38 A40:C40 AC40:CG40">
    <cfRule type="expression" dxfId="438" priority="804">
      <formula>(Mode="Dark")</formula>
    </cfRule>
  </conditionalFormatting>
  <conditionalFormatting sqref="B14">
    <cfRule type="expression" dxfId="437" priority="270">
      <formula>(Mode="Dark")</formula>
    </cfRule>
  </conditionalFormatting>
  <conditionalFormatting sqref="B87:B88">
    <cfRule type="expression" dxfId="433" priority="631">
      <formula>(Mode="Dark")</formula>
    </cfRule>
  </conditionalFormatting>
  <conditionalFormatting sqref="B162:B163">
    <cfRule type="expression" dxfId="432" priority="630">
      <formula>(Mode="Dark")</formula>
    </cfRule>
  </conditionalFormatting>
  <conditionalFormatting sqref="B237:B238">
    <cfRule type="expression" dxfId="431" priority="629">
      <formula>(Mode="Dark")</formula>
    </cfRule>
  </conditionalFormatting>
  <conditionalFormatting sqref="B275:B276">
    <cfRule type="expression" dxfId="430" priority="628">
      <formula>(Mode="Dark")</formula>
    </cfRule>
  </conditionalFormatting>
  <conditionalFormatting sqref="C39">
    <cfRule type="expression" dxfId="427" priority="542">
      <formula>(Mode="Dark")</formula>
    </cfRule>
  </conditionalFormatting>
  <conditionalFormatting sqref="C56">
    <cfRule type="expression" dxfId="426" priority="3045">
      <formula>$O$21="Services"</formula>
    </cfRule>
  </conditionalFormatting>
  <conditionalFormatting sqref="C89:C99 P99:FM99 J89:J98 D99:N99">
    <cfRule type="expression" dxfId="425" priority="1010">
      <formula>$A89&gt;$F$88</formula>
    </cfRule>
  </conditionalFormatting>
  <conditionalFormatting sqref="C108:C157">
    <cfRule type="expression" dxfId="423" priority="1009">
      <formula>$A108&gt;$F$107</formula>
    </cfRule>
  </conditionalFormatting>
  <conditionalFormatting sqref="C167:C176">
    <cfRule type="expression" dxfId="421" priority="1008">
      <formula>$A167&gt;$F$166</formula>
    </cfRule>
  </conditionalFormatting>
  <conditionalFormatting sqref="C184:C233">
    <cfRule type="expression" dxfId="419" priority="1007">
      <formula>$A184&gt;$F$183</formula>
    </cfRule>
  </conditionalFormatting>
  <conditionalFormatting sqref="C239:C258">
    <cfRule type="expression" dxfId="417" priority="1006">
      <formula>$A239&gt;$F$238</formula>
    </cfRule>
  </conditionalFormatting>
  <conditionalFormatting sqref="C262:C271">
    <cfRule type="expression" dxfId="414" priority="1005">
      <formula>$A262&gt;$F$261</formula>
    </cfRule>
  </conditionalFormatting>
  <conditionalFormatting sqref="C279:C288">
    <cfRule type="expression" dxfId="412" priority="1004">
      <formula>$A279&gt;$F$278</formula>
    </cfRule>
  </conditionalFormatting>
  <conditionalFormatting sqref="C296">
    <cfRule type="expression" dxfId="410" priority="1734">
      <formula>$E$294&lt;1</formula>
    </cfRule>
  </conditionalFormatting>
  <conditionalFormatting sqref="C635">
    <cfRule type="expression" dxfId="409" priority="303">
      <formula>AND(Years="Three",Mode="Dark")</formula>
    </cfRule>
    <cfRule type="expression" dxfId="408" priority="304">
      <formula>AND(Years="Three",Mode="Light")</formula>
    </cfRule>
  </conditionalFormatting>
  <conditionalFormatting sqref="C703">
    <cfRule type="expression" dxfId="407" priority="293">
      <formula>AND(Years="Three",Mode="Dark")</formula>
    </cfRule>
    <cfRule type="expression" dxfId="406" priority="294">
      <formula>AND(Years="Three",Mode="Light")</formula>
    </cfRule>
    <cfRule type="expression" dxfId="405" priority="298">
      <formula>AND(Years="Three",Mode="Light")</formula>
    </cfRule>
    <cfRule type="expression" dxfId="404" priority="297">
      <formula>AND(Years="Three",Mode="Dark")</formula>
    </cfRule>
  </conditionalFormatting>
  <conditionalFormatting sqref="C766">
    <cfRule type="expression" dxfId="403" priority="288">
      <formula>AND(Years="Three",Mode="Light")</formula>
    </cfRule>
    <cfRule type="expression" dxfId="402" priority="287">
      <formula>AND(Years="Three",Mode="Dark")</formula>
    </cfRule>
    <cfRule type="expression" dxfId="401" priority="284">
      <formula>AND(Years="Three",Mode="Light")</formula>
    </cfRule>
    <cfRule type="expression" dxfId="400" priority="283">
      <formula>AND(Years="Three",Mode="Dark")</formula>
    </cfRule>
    <cfRule type="expression" dxfId="399" priority="279">
      <formula>AND(Years="Three",Mode="Dark")</formula>
    </cfRule>
    <cfRule type="expression" dxfId="398" priority="280">
      <formula>AND(Years="Three",Mode="Light")</formula>
    </cfRule>
  </conditionalFormatting>
  <conditionalFormatting sqref="C377:AB400 C447:AB470 C510:AB533 C573:AB596 C636:AB664 C704:AB727 C767:AB790 C830:AB853 C893:AB916 C956:AB979 C1019:AB1042 C1082:AB1105 C1145:AB1168 C1209:AB1232 C1272:AB1295">
    <cfRule type="expression" dxfId="397" priority="87">
      <formula>Years="Three"</formula>
    </cfRule>
  </conditionalFormatting>
  <conditionalFormatting sqref="C572:AB572">
    <cfRule type="expression" dxfId="396" priority="328">
      <formula>AND(Years="Three",Mode="Light")</formula>
    </cfRule>
    <cfRule type="expression" dxfId="395" priority="327">
      <formula>AND(Years="Three",Mode="Dark")</formula>
    </cfRule>
  </conditionalFormatting>
  <conditionalFormatting sqref="C664:AB664 C853:AB853 C916:AB916 C979:AB979 C1042:AB1042 C1232:AB1232 C1295:AB1295">
    <cfRule type="expression" dxfId="394" priority="46">
      <formula>Years="Three"</formula>
    </cfRule>
  </conditionalFormatting>
  <conditionalFormatting sqref="C703:AB703">
    <cfRule type="expression" dxfId="393" priority="323">
      <formula>AND(Years="Three",Mode="Dark")</formula>
    </cfRule>
    <cfRule type="expression" dxfId="392" priority="324">
      <formula>AND(Years="Three",Mode="Light")</formula>
    </cfRule>
  </conditionalFormatting>
  <conditionalFormatting sqref="C766:AB766">
    <cfRule type="expression" dxfId="391" priority="321">
      <formula>AND(Years="Three",Mode="Dark")</formula>
    </cfRule>
    <cfRule type="expression" dxfId="390" priority="322">
      <formula>AND(Years="Three",Mode="Light")</formula>
    </cfRule>
  </conditionalFormatting>
  <conditionalFormatting sqref="C1081:AB1081">
    <cfRule type="expression" dxfId="389" priority="100">
      <formula>Years="Three"</formula>
    </cfRule>
  </conditionalFormatting>
  <conditionalFormatting sqref="D33">
    <cfRule type="cellIs" dxfId="388" priority="66" operator="greaterThan">
      <formula>0</formula>
    </cfRule>
  </conditionalFormatting>
  <conditionalFormatting sqref="D40">
    <cfRule type="expression" dxfId="387" priority="41">
      <formula>D$38&gt;$D$33</formula>
    </cfRule>
  </conditionalFormatting>
  <conditionalFormatting sqref="D41">
    <cfRule type="expression" dxfId="386" priority="31">
      <formula>$D$33&gt;$D$38</formula>
    </cfRule>
  </conditionalFormatting>
  <conditionalFormatting sqref="D46">
    <cfRule type="expression" dxfId="385" priority="26">
      <formula>$D$33&gt;$D$38</formula>
    </cfRule>
  </conditionalFormatting>
  <conditionalFormatting sqref="D60:D66">
    <cfRule type="expression" dxfId="384" priority="11">
      <formula>$D$33&gt;$D$38</formula>
    </cfRule>
  </conditionalFormatting>
  <conditionalFormatting sqref="D67:D73 D1045:D1104 D340:D399 D410:D469 D473:D532 D536:D595 D599:D658 D667:D726 D730:D789 D793:D852 D856:D915 D919:D978 D982:D1041 D1108:D1167 D1172:D1231 D1235:D1294 D42:D45 D47:D56 D39">
    <cfRule type="expression" dxfId="383" priority="119">
      <formula>$D$33&gt;$D$38</formula>
    </cfRule>
  </conditionalFormatting>
  <conditionalFormatting sqref="D89:D96">
    <cfRule type="expression" dxfId="382" priority="7">
      <formula>$A89&gt;$F$107</formula>
    </cfRule>
  </conditionalFormatting>
  <conditionalFormatting sqref="D108:D157">
    <cfRule type="expression" dxfId="381" priority="5">
      <formula>$A108&gt;$F$107</formula>
    </cfRule>
  </conditionalFormatting>
  <conditionalFormatting sqref="D239:D258 G239:I258">
    <cfRule type="expression" dxfId="380" priority="1024">
      <formula>$A239&gt;$F$238</formula>
    </cfRule>
  </conditionalFormatting>
  <conditionalFormatting sqref="D262:D271 G262:I271">
    <cfRule type="expression" dxfId="379" priority="1022">
      <formula>$A262&gt;$F$261</formula>
    </cfRule>
  </conditionalFormatting>
  <conditionalFormatting sqref="D376">
    <cfRule type="expression" dxfId="378" priority="57">
      <formula>Years="Three"</formula>
    </cfRule>
  </conditionalFormatting>
  <conditionalFormatting sqref="D446">
    <cfRule type="expression" dxfId="377" priority="56">
      <formula>Years="Three"</formula>
    </cfRule>
  </conditionalFormatting>
  <conditionalFormatting sqref="D509">
    <cfRule type="expression" dxfId="376" priority="55">
      <formula>Years="Three"</formula>
    </cfRule>
  </conditionalFormatting>
  <conditionalFormatting sqref="D635">
    <cfRule type="expression" dxfId="375" priority="54">
      <formula>Years="Three"</formula>
    </cfRule>
  </conditionalFormatting>
  <conditionalFormatting sqref="D829">
    <cfRule type="expression" dxfId="374" priority="53">
      <formula>Years="Three"</formula>
    </cfRule>
  </conditionalFormatting>
  <conditionalFormatting sqref="D892 D955 D1144 D1208 D1271">
    <cfRule type="expression" dxfId="373" priority="52">
      <formula>Years="Three"</formula>
    </cfRule>
  </conditionalFormatting>
  <conditionalFormatting sqref="D1018">
    <cfRule type="expression" dxfId="372" priority="51">
      <formula>Years="Three"</formula>
    </cfRule>
  </conditionalFormatting>
  <conditionalFormatting sqref="D261:E261">
    <cfRule type="expression" dxfId="371" priority="734">
      <formula>(Mode="Dark")</formula>
    </cfRule>
  </conditionalFormatting>
  <conditionalFormatting sqref="D278:E278">
    <cfRule type="expression" dxfId="370" priority="729">
      <formula>(Mode="Dark")</formula>
    </cfRule>
  </conditionalFormatting>
  <conditionalFormatting sqref="D296:E300">
    <cfRule type="expression" dxfId="369" priority="75">
      <formula>C$295&lt;&gt;$E$294</formula>
    </cfRule>
  </conditionalFormatting>
  <conditionalFormatting sqref="D297:E300">
    <cfRule type="expression" dxfId="368" priority="611">
      <formula>AND(D$295&gt;$E$294,Mode="Light")</formula>
    </cfRule>
    <cfRule type="expression" dxfId="367" priority="1736">
      <formula>AND(D$295&gt;$E$294,Mode="Dark")</formula>
    </cfRule>
  </conditionalFormatting>
  <conditionalFormatting sqref="D1319:E1323 O1319:P1323 O1312:O1315 D1309 D1312:D1315">
    <cfRule type="cellIs" dxfId="366" priority="127" operator="notEqual">
      <formula>0</formula>
    </cfRule>
  </conditionalFormatting>
  <conditionalFormatting sqref="D1320:E1323 O1320:P1323">
    <cfRule type="cellIs" dxfId="365" priority="126" operator="equal">
      <formula>0</formula>
    </cfRule>
  </conditionalFormatting>
  <conditionalFormatting sqref="D1322:E1322 O1322:P1322">
    <cfRule type="expression" dxfId="364" priority="69">
      <formula>Years="Three"</formula>
    </cfRule>
  </conditionalFormatting>
  <conditionalFormatting sqref="D1344:E1402">
    <cfRule type="cellIs" dxfId="363" priority="896" operator="equal">
      <formula>0</formula>
    </cfRule>
    <cfRule type="expression" dxfId="362" priority="890">
      <formula>$D$1312=""</formula>
    </cfRule>
  </conditionalFormatting>
  <conditionalFormatting sqref="D1379:E1379">
    <cfRule type="expression" dxfId="361" priority="316">
      <formula>AND(Years="Three",Mode="Light")</formula>
    </cfRule>
    <cfRule type="expression" dxfId="360" priority="315">
      <formula>AND(Years="Three",Mode="Dark")</formula>
    </cfRule>
  </conditionalFormatting>
  <conditionalFormatting sqref="D89:F96">
    <cfRule type="expression" dxfId="359" priority="6">
      <formula>$A89&lt;&gt;$F$107</formula>
    </cfRule>
  </conditionalFormatting>
  <conditionalFormatting sqref="D161:F163 D166:E166 G166:K166 D179:F180 D183:E183 G183:J183">
    <cfRule type="expression" dxfId="358" priority="208">
      <formula>Mode=("Dark")</formula>
    </cfRule>
  </conditionalFormatting>
  <conditionalFormatting sqref="D295:F295">
    <cfRule type="expression" dxfId="357" priority="713">
      <formula>(Mode="Dark")</formula>
    </cfRule>
  </conditionalFormatting>
  <conditionalFormatting sqref="D4:H12">
    <cfRule type="expression" dxfId="354" priority="918">
      <formula>$X$3&gt;0</formula>
    </cfRule>
  </conditionalFormatting>
  <conditionalFormatting sqref="D15:H16">
    <cfRule type="cellIs" dxfId="353" priority="815" operator="lessThan">
      <formula>0</formula>
    </cfRule>
  </conditionalFormatting>
  <conditionalFormatting sqref="D239:I257">
    <cfRule type="expression" dxfId="352" priority="80">
      <formula>$A239&lt;&gt;$F$238</formula>
    </cfRule>
  </conditionalFormatting>
  <conditionalFormatting sqref="D262:I270">
    <cfRule type="expression" dxfId="351" priority="79">
      <formula>$A262&lt;&gt;$F$261</formula>
    </cfRule>
  </conditionalFormatting>
  <conditionalFormatting sqref="D279:J287">
    <cfRule type="expression" dxfId="350" priority="78">
      <formula>$A279&lt;&gt;$F$278</formula>
    </cfRule>
  </conditionalFormatting>
  <conditionalFormatting sqref="D279:J288">
    <cfRule type="expression" dxfId="349" priority="1021">
      <formula>$A279&gt;$F$278</formula>
    </cfRule>
  </conditionalFormatting>
  <conditionalFormatting sqref="D1380:L1403">
    <cfRule type="expression" dxfId="348" priority="313">
      <formula>AND(Years="Three",Mode="Dark")</formula>
    </cfRule>
    <cfRule type="expression" dxfId="347" priority="314">
      <formula>AND(Years="Three",Mode="Light")</formula>
    </cfRule>
  </conditionalFormatting>
  <conditionalFormatting sqref="D108:N156">
    <cfRule type="expression" dxfId="346" priority="1">
      <formula>$A108&lt;&gt;$F$107</formula>
    </cfRule>
  </conditionalFormatting>
  <conditionalFormatting sqref="D37:AA37">
    <cfRule type="expression" dxfId="345" priority="35">
      <formula>D$38&lt;&gt;$D$33</formula>
    </cfRule>
  </conditionalFormatting>
  <conditionalFormatting sqref="D37:AB37">
    <cfRule type="expression" dxfId="344" priority="34">
      <formula>D$38&gt;$D$33</formula>
    </cfRule>
  </conditionalFormatting>
  <conditionalFormatting sqref="D41:AB41">
    <cfRule type="cellIs" dxfId="343" priority="33" operator="equal">
      <formula>0</formula>
    </cfRule>
    <cfRule type="cellIs" dxfId="342" priority="30" operator="greaterThan">
      <formula>0</formula>
    </cfRule>
  </conditionalFormatting>
  <conditionalFormatting sqref="D42:AB45 D47:AB56 D67:AB73 D39:AB39">
    <cfRule type="cellIs" dxfId="341" priority="117" operator="greaterThan">
      <formula>0</formula>
    </cfRule>
  </conditionalFormatting>
  <conditionalFormatting sqref="D43:AB43 D48:AB48 D71:AB71">
    <cfRule type="expression" dxfId="340" priority="72">
      <formula>Years="Five"</formula>
    </cfRule>
  </conditionalFormatting>
  <conditionalFormatting sqref="D44:AB44 D49:AB49 D67:AB67">
    <cfRule type="expression" dxfId="339" priority="60">
      <formula>Years="Three"</formula>
    </cfRule>
  </conditionalFormatting>
  <conditionalFormatting sqref="D45:AB45 D50:AB50 D68:AB68">
    <cfRule type="expression" dxfId="338" priority="59">
      <formula>Years="Three"</formula>
    </cfRule>
  </conditionalFormatting>
  <conditionalFormatting sqref="D46:AB46">
    <cfRule type="cellIs" dxfId="337" priority="28" operator="equal">
      <formula>0</formula>
    </cfRule>
    <cfRule type="cellIs" dxfId="336" priority="25" operator="greaterThan">
      <formula>0</formula>
    </cfRule>
  </conditionalFormatting>
  <conditionalFormatting sqref="D60:AB66">
    <cfRule type="cellIs" dxfId="335" priority="10" operator="greaterThan">
      <formula>0</formula>
    </cfRule>
    <cfRule type="cellIs" dxfId="334" priority="13" operator="equal">
      <formula>0</formula>
    </cfRule>
  </conditionalFormatting>
  <conditionalFormatting sqref="D66:AB66">
    <cfRule type="expression" dxfId="333" priority="9">
      <formula>Years="Five"</formula>
    </cfRule>
  </conditionalFormatting>
  <conditionalFormatting sqref="D67:AB73 D42:AB45 D47:AB56">
    <cfRule type="cellIs" dxfId="332" priority="122" operator="equal">
      <formula>0</formula>
    </cfRule>
  </conditionalFormatting>
  <conditionalFormatting sqref="D72:AB73">
    <cfRule type="expression" dxfId="331" priority="118">
      <formula>Years="Three"</formula>
    </cfRule>
  </conditionalFormatting>
  <conditionalFormatting sqref="D81:AB81">
    <cfRule type="expression" dxfId="330" priority="3031">
      <formula>$CE$4="Three"</formula>
    </cfRule>
  </conditionalFormatting>
  <conditionalFormatting sqref="D82:AB82 C83:AB84">
    <cfRule type="expression" dxfId="329" priority="3032">
      <formula>$CE$4="Three"</formula>
    </cfRule>
  </conditionalFormatting>
  <conditionalFormatting sqref="D338:AB338">
    <cfRule type="expression" dxfId="328" priority="537">
      <formula>(Mode="Dark")</formula>
    </cfRule>
  </conditionalFormatting>
  <conditionalFormatting sqref="D339:AB339 D402:AB402 D403:I403 AB403 D404:AB409 D472:AB472 D535:AB535 D598:AB598 D666:AB666 D729:AB729 D792:AB792 D855:AB855 D918:AB918 D981:AB981 D1044:AB1044 D1107:AB1107 D1171:AB1171 D1234:AB1234">
    <cfRule type="expression" dxfId="327" priority="2144">
      <formula>AND(D$38&gt;$D$33,Mode="Dark")</formula>
    </cfRule>
    <cfRule type="expression" dxfId="326" priority="606">
      <formula>AND(D$38&gt;$D$33,Mode="Light")</formula>
    </cfRule>
  </conditionalFormatting>
  <conditionalFormatting sqref="D400:AB400 D470:AB470 D533:AB533 D596:AB596 D659:AB659 D727:AB727 D790:AB790 D853:AB853 D916:AB916 D979:AB979 D1168:AB1168 D1232:AB1232 D1295:AB1295">
    <cfRule type="expression" dxfId="325" priority="602">
      <formula>D400=0</formula>
    </cfRule>
    <cfRule type="expression" dxfId="324" priority="2163">
      <formula>AND(D$38&gt;$D$33,Mode="Light")</formula>
    </cfRule>
  </conditionalFormatting>
  <conditionalFormatting sqref="D536:AB595 D667:AB726 D730:AB789 D340:AB399 J403:AA403 D410:AB469 D473:AB532 D599:AB658 D793:AB852 D856:AB915 D919:AB978 D982:AB1041 D1045:AB1104 D1108:AB1167 D1172:AB1231 D1235:AB1294">
    <cfRule type="cellIs" dxfId="323" priority="2098" operator="equal">
      <formula>0</formula>
    </cfRule>
  </conditionalFormatting>
  <conditionalFormatting sqref="D664:AB664">
    <cfRule type="cellIs" dxfId="322" priority="47" operator="equal">
      <formula>0</formula>
    </cfRule>
  </conditionalFormatting>
  <conditionalFormatting sqref="D664:AB665">
    <cfRule type="expression" dxfId="321" priority="2746">
      <formula>D$400=0</formula>
    </cfRule>
  </conditionalFormatting>
  <conditionalFormatting sqref="D1042:AB1042">
    <cfRule type="expression" dxfId="320" priority="49">
      <formula>D1042=0</formula>
    </cfRule>
    <cfRule type="expression" dxfId="319" priority="50">
      <formula>AND(D$38&gt;$D$33,Mode="Light")</formula>
    </cfRule>
  </conditionalFormatting>
  <conditionalFormatting sqref="E24:F24 D18:E18 D20">
    <cfRule type="cellIs" dxfId="318" priority="92" operator="greaterThan">
      <formula>0</formula>
    </cfRule>
  </conditionalFormatting>
  <conditionalFormatting sqref="E296:F296">
    <cfRule type="expression" dxfId="317" priority="609">
      <formula>AND(E$295&gt;$E$294,Mode="Dark")</formula>
    </cfRule>
    <cfRule type="expression" dxfId="316" priority="608">
      <formula>AND(E$295&gt;$E$294,Mode="Light")</formula>
    </cfRule>
  </conditionalFormatting>
  <conditionalFormatting sqref="E41:AA41">
    <cfRule type="expression" dxfId="315" priority="32">
      <formula>E$38&lt;&gt;$D$33</formula>
    </cfRule>
  </conditionalFormatting>
  <conditionalFormatting sqref="E46:AA46">
    <cfRule type="expression" dxfId="314" priority="27">
      <formula>E$38&lt;&gt;$D$33</formula>
    </cfRule>
  </conditionalFormatting>
  <conditionalFormatting sqref="E60:AA66">
    <cfRule type="expression" dxfId="313" priority="12">
      <formula>E$38&lt;&gt;$D$33</formula>
    </cfRule>
  </conditionalFormatting>
  <conditionalFormatting sqref="E67:AA73 E1045:AA1104 E340:AA399 E410:AA469 E473:AA532 E536:AA595 E599:AA658 E667:AA726 E730:AA789 E793:AA852 E856:AA915 E919:AA978 E982:AA1041 E1108:AA1167 E1172:AA1231 E1235:AA1294 E42:AA45 E47:AA56 E39:AA39">
    <cfRule type="expression" dxfId="312" priority="120">
      <formula>E$38&lt;&gt;$D$33</formula>
    </cfRule>
  </conditionalFormatting>
  <conditionalFormatting sqref="E38:AB73">
    <cfRule type="expression" dxfId="311" priority="8">
      <formula>E$38&gt;$D$33</formula>
    </cfRule>
  </conditionalFormatting>
  <conditionalFormatting sqref="E77:AB83">
    <cfRule type="expression" dxfId="310" priority="845">
      <formula>AND(Mode="Light",E$38&gt;$D$33)</formula>
    </cfRule>
    <cfRule type="expression" dxfId="309" priority="795">
      <formula>AND(Mode="Dark",E$38&gt;$D$33)</formula>
    </cfRule>
  </conditionalFormatting>
  <conditionalFormatting sqref="E339:AB1295">
    <cfRule type="expression" dxfId="308" priority="48">
      <formula>E$38&gt;$D$33</formula>
    </cfRule>
  </conditionalFormatting>
  <conditionalFormatting sqref="F3:F14">
    <cfRule type="expression" dxfId="307" priority="42">
      <formula>Years="Five"</formula>
    </cfRule>
  </conditionalFormatting>
  <conditionalFormatting sqref="F88">
    <cfRule type="cellIs" dxfId="306" priority="38" operator="notEqual">
      <formula>""</formula>
    </cfRule>
  </conditionalFormatting>
  <conditionalFormatting sqref="F107 F166 F183 F238 F261 F278 E294">
    <cfRule type="cellIs" dxfId="305" priority="37" operator="notEqual">
      <formula>""</formula>
    </cfRule>
  </conditionalFormatting>
  <conditionalFormatting sqref="F165">
    <cfRule type="expression" dxfId="304" priority="617">
      <formula>(Mode="Dark")</formula>
    </cfRule>
  </conditionalFormatting>
  <conditionalFormatting sqref="F182">
    <cfRule type="expression" dxfId="303" priority="616">
      <formula>(Mode="Dark")</formula>
    </cfRule>
  </conditionalFormatting>
  <conditionalFormatting sqref="F297:F300">
    <cfRule type="expression" dxfId="302" priority="610">
      <formula>AND($F$295&gt;$E$294,Mode="Light")</formula>
    </cfRule>
  </conditionalFormatting>
  <conditionalFormatting sqref="F19:G20 E23:F24">
    <cfRule type="expression" dxfId="301" priority="58">
      <formula>$CY$3&lt;&gt;1</formula>
    </cfRule>
  </conditionalFormatting>
  <conditionalFormatting sqref="G3:H14">
    <cfRule type="expression" dxfId="300" priority="43">
      <formula>Years="Three"</formula>
    </cfRule>
  </conditionalFormatting>
  <conditionalFormatting sqref="G89:I97">
    <cfRule type="cellIs" dxfId="299" priority="39" operator="notEqual">
      <formula>""</formula>
    </cfRule>
  </conditionalFormatting>
  <conditionalFormatting sqref="G1343:L1403">
    <cfRule type="cellIs" dxfId="298" priority="889" operator="equal">
      <formula>0</formula>
    </cfRule>
  </conditionalFormatting>
  <conditionalFormatting sqref="G1403:L1403 R1403:W1403">
    <cfRule type="expression" dxfId="297" priority="511">
      <formula>AND(G$1403=0,Mode="Light")</formula>
    </cfRule>
    <cfRule type="expression" dxfId="296" priority="510">
      <formula>AND(G$1403=0,Mode="Dark")</formula>
    </cfRule>
  </conditionalFormatting>
  <conditionalFormatting sqref="G1318:M1319 G1319:K1319 H1320:L1320">
    <cfRule type="expression" dxfId="295" priority="899">
      <formula>$D$1309=""</formula>
    </cfRule>
  </conditionalFormatting>
  <conditionalFormatting sqref="H21:I21">
    <cfRule type="expression" dxfId="294" priority="2217">
      <formula>$I$29=""</formula>
    </cfRule>
  </conditionalFormatting>
  <conditionalFormatting sqref="I9">
    <cfRule type="expression" dxfId="293" priority="40">
      <formula>$J$9=""</formula>
    </cfRule>
  </conditionalFormatting>
  <conditionalFormatting sqref="I89:I98">
    <cfRule type="expression" dxfId="292" priority="936">
      <formula>$H89=""</formula>
    </cfRule>
  </conditionalFormatting>
  <conditionalFormatting sqref="I1343:I1354">
    <cfRule type="expression" dxfId="291" priority="2239">
      <formula>AND($D$1309="Annual",$I1343=0)</formula>
    </cfRule>
  </conditionalFormatting>
  <conditionalFormatting sqref="J12:J14 J2:J4 BX4 CE4 J6:J9">
    <cfRule type="expression" dxfId="290" priority="268">
      <formula>(Mode="Dark")</formula>
    </cfRule>
  </conditionalFormatting>
  <conditionalFormatting sqref="J13:J14">
    <cfRule type="expression" dxfId="289" priority="250">
      <formula>AND(J13&lt;-1,Mode="Light")</formula>
    </cfRule>
    <cfRule type="expression" dxfId="288" priority="249">
      <formula>AND(J13&lt;-1,Mode="Dark")</formula>
    </cfRule>
  </conditionalFormatting>
  <conditionalFormatting sqref="J108:M157">
    <cfRule type="expression" dxfId="287" priority="2">
      <formula>OR($G108&lt;1,$H108&lt;1,$I108&lt;1)</formula>
    </cfRule>
  </conditionalFormatting>
  <conditionalFormatting sqref="K179">
    <cfRule type="expression" dxfId="286" priority="614">
      <formula>(Mode="Dark")</formula>
    </cfRule>
  </conditionalFormatting>
  <conditionalFormatting sqref="K102:N102 K105:N105">
    <cfRule type="cellIs" dxfId="285" priority="45" operator="notEqual">
      <formula>""""""</formula>
    </cfRule>
  </conditionalFormatting>
  <conditionalFormatting sqref="L279:L281">
    <cfRule type="expression" dxfId="284" priority="641">
      <formula>AND($H$276="Yes",Mode="Dark")</formula>
    </cfRule>
    <cfRule type="expression" dxfId="283" priority="643">
      <formula>AND($H$276&lt;&gt;"Yes",Mode="Dark")</formula>
    </cfRule>
    <cfRule type="expression" dxfId="282" priority="644">
      <formula>AND($H$276&lt;&gt;"Yes",Mode="Light")</formula>
    </cfRule>
    <cfRule type="expression" dxfId="281" priority="645">
      <formula>AND($H$276="Yes",Mode="Light")</formula>
    </cfRule>
    <cfRule type="expression" dxfId="280" priority="1756">
      <formula>AND($A279&gt;$O$278,Mode="Dark")</formula>
    </cfRule>
    <cfRule type="expression" dxfId="279" priority="1755">
      <formula>AND($A279&gt;$O$278,Mode="Light")</formula>
    </cfRule>
  </conditionalFormatting>
  <conditionalFormatting sqref="L297:L299">
    <cfRule type="expression" dxfId="278" priority="636">
      <formula>AND($H$294&lt;&gt;"Yes",Mode="Dark")</formula>
    </cfRule>
    <cfRule type="expression" dxfId="277" priority="637">
      <formula>AND($H$294&lt;&gt;"Yes",Mode="Light")</formula>
    </cfRule>
    <cfRule type="expression" dxfId="276" priority="638">
      <formula>AND($H$294="Yes",Mode="Light")</formula>
    </cfRule>
    <cfRule type="expression" dxfId="275" priority="639">
      <formula>AND($A297&gt;$O$296,Mode="Light")</formula>
    </cfRule>
    <cfRule type="expression" dxfId="274" priority="640">
      <formula>AND($A297&gt;$O$296,Mode="Dark")</formula>
    </cfRule>
    <cfRule type="expression" dxfId="273" priority="635">
      <formula>AND($H$294="Yes",Mode="Dark")</formula>
    </cfRule>
  </conditionalFormatting>
  <conditionalFormatting sqref="L1318:M1319 N1322 D1323:E1323 N1323:P1323 C1379:C1402">
    <cfRule type="expression" dxfId="272" priority="67">
      <formula>Years="Three"</formula>
    </cfRule>
  </conditionalFormatting>
  <conditionalFormatting sqref="L277:X282">
    <cfRule type="expression" dxfId="271" priority="74">
      <formula>$H$276&lt;&gt;"Yes"</formula>
    </cfRule>
  </conditionalFormatting>
  <conditionalFormatting sqref="L295:AA300">
    <cfRule type="expression" dxfId="270" priority="73">
      <formula>$H$294&lt;&gt;"Yes"</formula>
    </cfRule>
  </conditionalFormatting>
  <conditionalFormatting sqref="M295:N295">
    <cfRule type="expression" dxfId="269" priority="714">
      <formula>(Mode="Dark")</formula>
    </cfRule>
  </conditionalFormatting>
  <conditionalFormatting sqref="M296:N296">
    <cfRule type="expression" dxfId="268" priority="676">
      <formula>AND($H$294="Yes",Mode="Light")</formula>
    </cfRule>
    <cfRule type="expression" dxfId="267" priority="673">
      <formula>AND($H$294="Yes",Mode="Dark")</formula>
    </cfRule>
    <cfRule type="expression" dxfId="266" priority="674">
      <formula>AND($H$294&lt;&gt;"Yes",Mode="Dark")</formula>
    </cfRule>
    <cfRule type="expression" dxfId="265" priority="675">
      <formula>AND($H$294&lt;&gt;"Yes",Mode="Light")</formula>
    </cfRule>
  </conditionalFormatting>
  <conditionalFormatting sqref="M181:O181">
    <cfRule type="expression" dxfId="264" priority="749">
      <formula>AND($K$180="Yes",Mode="Dark")</formula>
    </cfRule>
    <cfRule type="expression" dxfId="263" priority="750">
      <formula>AND($K$180&lt;&gt;"Yes",Mode="Light")</formula>
    </cfRule>
    <cfRule type="expression" dxfId="262" priority="752">
      <formula>AND($K$180="Yes",Mode="Light")</formula>
    </cfRule>
    <cfRule type="expression" dxfId="261" priority="751">
      <formula>AND($K$180&lt;&gt;"Yes",Mode="Dark")</formula>
    </cfRule>
  </conditionalFormatting>
  <conditionalFormatting sqref="M279:V280">
    <cfRule type="expression" dxfId="260" priority="130">
      <formula>$L279&lt;&gt;$O$278</formula>
    </cfRule>
  </conditionalFormatting>
  <conditionalFormatting sqref="M297:W298">
    <cfRule type="expression" dxfId="259" priority="137">
      <formula>$L297&lt;&gt;$O$296</formula>
    </cfRule>
  </conditionalFormatting>
  <conditionalFormatting sqref="M183:AV183">
    <cfRule type="expression" dxfId="258" priority="743">
      <formula>$K$180="Yes"</formula>
    </cfRule>
  </conditionalFormatting>
  <conditionalFormatting sqref="M166:BT166">
    <cfRule type="expression" dxfId="257" priority="748">
      <formula>$K$163="Yes"</formula>
    </cfRule>
  </conditionalFormatting>
  <conditionalFormatting sqref="M166:BT177">
    <cfRule type="expression" dxfId="256" priority="116">
      <formula>$K$163&lt;&gt;"Yes"</formula>
    </cfRule>
  </conditionalFormatting>
  <conditionalFormatting sqref="M167:BT175 D167:K175">
    <cfRule type="expression" dxfId="255" priority="747">
      <formula>$A167&lt;&gt;$F$166</formula>
    </cfRule>
  </conditionalFormatting>
  <conditionalFormatting sqref="M167:BT176 D167:D176 G167:K176">
    <cfRule type="expression" dxfId="254" priority="1027">
      <formula>$A167&gt;$F$166</formula>
    </cfRule>
  </conditionalFormatting>
  <conditionalFormatting sqref="M181:BT234">
    <cfRule type="expression" dxfId="253" priority="81">
      <formula>$K$180&lt;&gt;"Yes"</formula>
    </cfRule>
  </conditionalFormatting>
  <conditionalFormatting sqref="M184:BT233 D184:J233">
    <cfRule type="expression" dxfId="252" priority="779">
      <formula>$A184&lt;&gt;$F$183</formula>
    </cfRule>
  </conditionalFormatting>
  <conditionalFormatting sqref="M184:BT233 G184:J233 D184:D234">
    <cfRule type="expression" dxfId="251" priority="1120">
      <formula>$A184&gt;$F$183</formula>
    </cfRule>
  </conditionalFormatting>
  <conditionalFormatting sqref="N163:O163 M164">
    <cfRule type="expression" dxfId="249" priority="753">
      <formula>AND($K$163="Yes",Mode="Dark")</formula>
    </cfRule>
    <cfRule type="expression" dxfId="248" priority="755">
      <formula>AND($K$163&lt;&gt;"Yes",Mode="Dark")</formula>
    </cfRule>
    <cfRule type="expression" dxfId="247" priority="756">
      <formula>AND($K$163="Yes",Mode="Light")</formula>
    </cfRule>
    <cfRule type="expression" dxfId="246" priority="754">
      <formula>AND($K$163&lt;&gt;"Yes",Mode="Light")</formula>
    </cfRule>
  </conditionalFormatting>
  <conditionalFormatting sqref="N1379:P1379">
    <cfRule type="expression" dxfId="245" priority="311">
      <formula>AND(Years="Three",Mode="Dark")</formula>
    </cfRule>
    <cfRule type="expression" dxfId="244" priority="312">
      <formula>AND(Years="Three",Mode="Light")</formula>
    </cfRule>
  </conditionalFormatting>
  <conditionalFormatting sqref="N1310:W1405">
    <cfRule type="expression" dxfId="243" priority="36">
      <formula>$D$1309&lt;&gt;"Both"</formula>
    </cfRule>
  </conditionalFormatting>
  <conditionalFormatting sqref="N1380:W1403">
    <cfRule type="expression" dxfId="242" priority="309">
      <formula>AND(Years="Three",Mode="Dark")</formula>
    </cfRule>
    <cfRule type="expression" dxfId="241" priority="310">
      <formula>AND(Years="Three",Mode="Light")</formula>
    </cfRule>
  </conditionalFormatting>
  <conditionalFormatting sqref="N1403:W1403 Y1403:AB1403">
    <cfRule type="expression" dxfId="240" priority="513">
      <formula>(Mode="Dark")</formula>
    </cfRule>
  </conditionalFormatting>
  <conditionalFormatting sqref="N1403:W1403">
    <cfRule type="expression" dxfId="239" priority="514">
      <formula>$D$1309=""</formula>
    </cfRule>
  </conditionalFormatting>
  <conditionalFormatting sqref="O100">
    <cfRule type="expression" dxfId="238" priority="3047">
      <formula>$A99&gt;$F$88</formula>
    </cfRule>
  </conditionalFormatting>
  <conditionalFormatting sqref="O1321:P1321 D1321:E1321">
    <cfRule type="expression" dxfId="237" priority="70">
      <formula>Years="Five"</formula>
    </cfRule>
  </conditionalFormatting>
  <conditionalFormatting sqref="O1344:P1402">
    <cfRule type="expression" dxfId="236" priority="888">
      <formula>$O$1312=""</formula>
    </cfRule>
    <cfRule type="cellIs" dxfId="235" priority="895" operator="equal">
      <formula>0</formula>
    </cfRule>
  </conditionalFormatting>
  <conditionalFormatting sqref="P86">
    <cfRule type="expression" dxfId="234" priority="63">
      <formula>$CY$8&lt;&gt;1</formula>
    </cfRule>
  </conditionalFormatting>
  <conditionalFormatting sqref="P12:Q13">
    <cfRule type="expression" dxfId="233" priority="2283">
      <formula>$P$13&gt;=0</formula>
    </cfRule>
  </conditionalFormatting>
  <conditionalFormatting sqref="P296:W296">
    <cfRule type="expression" dxfId="232" priority="669">
      <formula>AND($H$294="Yes",Mode="Dark")</formula>
    </cfRule>
    <cfRule type="expression" dxfId="231" priority="672">
      <formula>AND($H$294="Yes",Mode="Light")</formula>
    </cfRule>
    <cfRule type="expression" dxfId="230" priority="671">
      <formula>AND($H$294&lt;&gt;"Yes",Mode="Light")</formula>
    </cfRule>
    <cfRule type="expression" dxfId="229" priority="670">
      <formula>AND($H$294&lt;&gt;"Yes",Mode="Dark")</formula>
    </cfRule>
  </conditionalFormatting>
  <conditionalFormatting sqref="P87:BW99">
    <cfRule type="expression" dxfId="228" priority="71">
      <formula>$DJ$3&lt;&gt;1</formula>
    </cfRule>
  </conditionalFormatting>
  <conditionalFormatting sqref="P89:BW97 G89:I96 D97:I97">
    <cfRule type="expression" dxfId="227" priority="114">
      <formula>$A89&lt;&gt;$F$88</formula>
    </cfRule>
  </conditionalFormatting>
  <conditionalFormatting sqref="P89:BW98 G89:I96 D97:I98">
    <cfRule type="expression" dxfId="226" priority="854">
      <formula>$A89&gt;$F$88</formula>
    </cfRule>
  </conditionalFormatting>
  <conditionalFormatting sqref="P89:BW98">
    <cfRule type="cellIs" dxfId="225" priority="144" operator="equal">
      <formula>0</formula>
    </cfRule>
    <cfRule type="expression" dxfId="224" priority="138">
      <formula>$A89&gt;$F$88</formula>
    </cfRule>
  </conditionalFormatting>
  <conditionalFormatting sqref="P105:BW158">
    <cfRule type="expression" dxfId="223" priority="105">
      <formula>$DM$3&lt;&gt;1</formula>
    </cfRule>
  </conditionalFormatting>
  <conditionalFormatting sqref="P108:BW157">
    <cfRule type="cellIs" dxfId="222" priority="3040" operator="equal">
      <formula>0</formula>
    </cfRule>
    <cfRule type="expression" dxfId="221" priority="843">
      <formula>$A108&lt;&gt;$F$107</formula>
    </cfRule>
    <cfRule type="expression" dxfId="220" priority="1032">
      <formula>$A108&gt;$F$107</formula>
    </cfRule>
  </conditionalFormatting>
  <conditionalFormatting sqref="P158:BW158">
    <cfRule type="cellIs" dxfId="219" priority="106" operator="equal">
      <formula>0</formula>
    </cfRule>
  </conditionalFormatting>
  <conditionalFormatting sqref="R1403:T1403">
    <cfRule type="expression" dxfId="218" priority="110">
      <formula>AND(Years="Three",Mode="Dark")</formula>
    </cfRule>
    <cfRule type="expression" dxfId="217" priority="111">
      <formula>AND(Years="Three",Mode="Light")</formula>
    </cfRule>
    <cfRule type="cellIs" dxfId="216" priority="112" operator="equal">
      <formula>0</formula>
    </cfRule>
  </conditionalFormatting>
  <conditionalFormatting sqref="R1343:W1402">
    <cfRule type="cellIs" dxfId="215" priority="894" operator="equal">
      <formula>0</formula>
    </cfRule>
  </conditionalFormatting>
  <conditionalFormatting sqref="R1318:X1322">
    <cfRule type="expression" dxfId="214" priority="68">
      <formula>$X$1322=0</formula>
    </cfRule>
  </conditionalFormatting>
  <conditionalFormatting sqref="W1403">
    <cfRule type="cellIs" dxfId="210" priority="109" operator="equal">
      <formula>0</formula>
    </cfRule>
    <cfRule type="expression" dxfId="209" priority="107">
      <formula>AND(Years="Three",Mode="Dark")</formula>
    </cfRule>
    <cfRule type="expression" dxfId="208" priority="108">
      <formula>AND(Years="Three",Mode="Light")</formula>
    </cfRule>
  </conditionalFormatting>
  <conditionalFormatting sqref="W1318:X1322">
    <cfRule type="expression" dxfId="207" priority="508">
      <formula>Years="Three"</formula>
    </cfRule>
  </conditionalFormatting>
  <conditionalFormatting sqref="X278:X281 M279:M281 P279:V281 L282:T282 Y282">
    <cfRule type="expression" dxfId="206" priority="1020">
      <formula>$A291&gt;$O$278</formula>
    </cfRule>
  </conditionalFormatting>
  <conditionalFormatting sqref="X278:X281">
    <cfRule type="expression" dxfId="205" priority="77">
      <formula>SUM($P$279:$P$281)=0</formula>
    </cfRule>
  </conditionalFormatting>
  <conditionalFormatting sqref="X279:X280">
    <cfRule type="expression" dxfId="204" priority="98">
      <formula>$L279&lt;&gt;$O$278</formula>
    </cfRule>
  </conditionalFormatting>
  <conditionalFormatting sqref="X280:X281">
    <cfRule type="cellIs" dxfId="203" priority="1757" operator="equal">
      <formula>0</formula>
    </cfRule>
  </conditionalFormatting>
  <conditionalFormatting sqref="Y296:AA296">
    <cfRule type="expression" dxfId="202" priority="2689">
      <formula>SUM($W$297:$W$299)=0</formula>
    </cfRule>
    <cfRule type="expression" dxfId="201" priority="2690">
      <formula>AND($H$294="Yes",Mode="Dark")</formula>
    </cfRule>
    <cfRule type="expression" dxfId="200" priority="2691">
      <formula>AND($H$294&lt;&gt;"Yes",Mode="Dark")</formula>
    </cfRule>
    <cfRule type="expression" dxfId="199" priority="2692">
      <formula>AND($H$294&lt;&gt;"Yes",Mode="Light")</formula>
    </cfRule>
    <cfRule type="expression" dxfId="198" priority="2693">
      <formula>AND($H$294="Yes",Mode="Light")</formula>
    </cfRule>
  </conditionalFormatting>
  <conditionalFormatting sqref="Y296:AA299">
    <cfRule type="expression" dxfId="197" priority="76">
      <formula>SUM($P$297:$P$299)=0</formula>
    </cfRule>
  </conditionalFormatting>
  <conditionalFormatting sqref="Y297:AA298">
    <cfRule type="expression" dxfId="196" priority="97">
      <formula>$L297&lt;&gt;$O$296</formula>
    </cfRule>
  </conditionalFormatting>
  <conditionalFormatting sqref="Y297:AA299 M297:W299">
    <cfRule type="expression" dxfId="195" priority="664">
      <formula>$A297&gt;$O$296</formula>
    </cfRule>
  </conditionalFormatting>
  <conditionalFormatting sqref="Y298:AA299">
    <cfRule type="cellIs" dxfId="194" priority="2733" operator="equal">
      <formula>0</formula>
    </cfRule>
  </conditionalFormatting>
  <conditionalFormatting sqref="AC68:AC73">
    <cfRule type="cellIs" dxfId="193" priority="159" operator="equal">
      <formula>0</formula>
    </cfRule>
  </conditionalFormatting>
  <conditionalFormatting sqref="AW166:BT177">
    <cfRule type="expression" dxfId="192" priority="61">
      <formula>Years="Three"</formula>
    </cfRule>
  </conditionalFormatting>
  <conditionalFormatting sqref="AW183:BT183">
    <cfRule type="expression" dxfId="191" priority="781">
      <formula>AND(Years="Five",Mode="Dark")</formula>
    </cfRule>
    <cfRule type="expression" dxfId="190" priority="782">
      <formula>AND(Years="Five",Mode="Light")</formula>
    </cfRule>
    <cfRule type="expression" dxfId="189" priority="239">
      <formula>AND($K$180&lt;&gt;"Yes",Mode="Light")</formula>
    </cfRule>
  </conditionalFormatting>
  <conditionalFormatting sqref="AW183:BT234">
    <cfRule type="expression" dxfId="188" priority="742" stopIfTrue="1">
      <formula>Years="Three"</formula>
    </cfRule>
  </conditionalFormatting>
  <conditionalFormatting sqref="AY89:AY98">
    <cfRule type="expression" dxfId="187" priority="65">
      <formula>Years="Five"</formula>
    </cfRule>
  </conditionalFormatting>
  <conditionalFormatting sqref="AY108:AY157">
    <cfRule type="expression" dxfId="186" priority="62">
      <formula>Years="Five"</formula>
    </cfRule>
  </conditionalFormatting>
  <conditionalFormatting sqref="AZ88:BW99 AZ101:BW102">
    <cfRule type="expression" dxfId="185" priority="85">
      <formula>Years="Three"</formula>
    </cfRule>
  </conditionalFormatting>
  <conditionalFormatting sqref="AZ108:BW157">
    <cfRule type="expression" dxfId="184" priority="204">
      <formula>(Years="Three")</formula>
    </cfRule>
  </conditionalFormatting>
  <conditionalFormatting sqref="AZ158:BW158">
    <cfRule type="expression" dxfId="183" priority="104">
      <formula>Years="Three"</formula>
    </cfRule>
  </conditionalFormatting>
  <conditionalFormatting sqref="BU166:CG176">
    <cfRule type="expression" dxfId="182" priority="3041">
      <formula>AND(Mode="Light",$I$105="Yes")</formula>
    </cfRule>
  </conditionalFormatting>
  <conditionalFormatting sqref="BU167:CG176">
    <cfRule type="expression" dxfId="181" priority="3042">
      <formula>AND(Mode="Light",$I$105&lt;&gt;"Yes")</formula>
    </cfRule>
    <cfRule type="expression" dxfId="180" priority="3043">
      <formula>AND(Mode="Dark",$I$105&lt;&gt;"Yes")</formula>
    </cfRule>
    <cfRule type="expression" dxfId="179" priority="3044">
      <formula>AND(Mode="Dark",$I$105="Yes")</formula>
    </cfRule>
  </conditionalFormatting>
  <conditionalFormatting sqref="CE6">
    <cfRule type="expression" dxfId="178" priority="3030">
      <formula>$CE$5=1</formula>
    </cfRule>
  </conditionalFormatting>
  <dataValidations count="47">
    <dataValidation type="decimal" allowBlank="1" showInputMessage="1" showErrorMessage="1" errorTitle="EZ Numbers Error Prevention" error="Please enter the number of Days of Inventory for this item." sqref="D56:AB56" xr:uid="{00000000-0002-0000-0500-000059000000}">
      <formula1>0</formula1>
      <formula2>99999</formula2>
    </dataValidation>
    <dataValidation type="decimal" allowBlank="1" showInputMessage="1" showErrorMessage="1" errorTitle="EZ Numbers Error Prevention" error="Please enter the number of Days for Accounts Payable for this item, up to 180." sqref="D55:AB55" xr:uid="{00000000-0002-0000-0500-00005A000000}">
      <formula1>0</formula1>
      <formula2>180</formula2>
    </dataValidation>
    <dataValidation type="decimal" allowBlank="1" showInputMessage="1" showErrorMessage="1" errorTitle="EZ Numbers Error Prevention" error="Please enter the number of Days for Accounts Receivable for this item." sqref="D54:AB54" xr:uid="{00000000-0002-0000-0500-00005B000000}">
      <formula1>0</formula1>
      <formula2>999999</formula2>
    </dataValidation>
    <dataValidation type="decimal" allowBlank="1" showInputMessage="1" showErrorMessage="1" errorTitle="EZ Numbers Error Prevention" error="Please enter a percentage for the Royalties / Franchise Fees on this item." sqref="D53:AB53" xr:uid="{00000000-0002-0000-0500-00005C000000}">
      <formula1>0</formula1>
      <formula2>100</formula2>
    </dataValidation>
    <dataValidation type="decimal" allowBlank="1" showInputMessage="1" showErrorMessage="1" errorTitle="EZ Numbers Error Prevention" error="Please enter a percentage for the Commissions on this item." sqref="D52:AB52" xr:uid="{00000000-0002-0000-0500-00005D000000}">
      <formula1>0</formula1>
      <formula2>100</formula2>
    </dataValidation>
    <dataValidation type="decimal" allowBlank="1" showInputMessage="1" showErrorMessage="1" errorTitle="EZ Numbers Error Prevention" error="Please enter a percentage for the Bad Debt / Returns on this item." sqref="D51:AB51" xr:uid="{00000000-0002-0000-0500-00005E000000}">
      <formula1>0</formula1>
      <formula2>100</formula2>
    </dataValidation>
    <dataValidation type="decimal" allowBlank="1" showInputMessage="1" showErrorMessage="1" errorTitle="EZ Numbers Error Prevention" error="Please enter an amount for your cost for this item in Year 3." sqref="E48:AA48" xr:uid="{00000000-0002-0000-0500-000061000000}">
      <formula1>-99999</formula1>
      <formula2>9999999999</formula2>
    </dataValidation>
    <dataValidation type="decimal" allowBlank="1" showInputMessage="1" showErrorMessage="1" errorTitle="EZ Numbers Error Prevention" error="Please enter an amount for your cost for this item in Year 2." sqref="D48 D47:AA47" xr:uid="{00000000-0002-0000-0500-000062000000}">
      <formula1>-99999</formula1>
      <formula2>9999999999</formula2>
    </dataValidation>
    <dataValidation type="decimal" allowBlank="1" showInputMessage="1" showErrorMessage="1" errorTitle="EZ Numbers Error Prevention" error="Please enter an amount for your cost for this item." sqref="D46:AA46" xr:uid="{00000000-0002-0000-0500-000063000000}">
      <formula1>-99999</formula1>
      <formula2>9999999999</formula2>
    </dataValidation>
    <dataValidation type="decimal" allowBlank="1" showInputMessage="1" showErrorMessage="1" errorTitle="EZ Numbers Error Prevention" error="Please enter an amount for the Year 4 selling price of this item." sqref="D44:AA45 D49:AA50 D72:AB73 D67:AB68" xr:uid="{00000000-0002-0000-0500-000065000000}">
      <formula1>-999999</formula1>
      <formula2>99999999</formula2>
    </dataValidation>
    <dataValidation type="decimal" allowBlank="1" showInputMessage="1" showErrorMessage="1" errorTitle="EZ Numbers Error Prevention" error="Please enter an amount for the Year 3 selling price of this item." sqref="E43:AA43" xr:uid="{00000000-0002-0000-0500-000066000000}">
      <formula1>-999999</formula1>
      <formula2>99999999</formula2>
    </dataValidation>
    <dataValidation type="decimal" allowBlank="1" showInputMessage="1" showErrorMessage="1" errorTitle="EZ Numbers Error Prevention" error="Please enter an amount for the Year 2 selling price of this item." sqref="D43 D42:AB42 AB43:AB50" xr:uid="{00000000-0002-0000-0500-000067000000}">
      <formula1>-999999</formula1>
      <formula2>99999999</formula2>
    </dataValidation>
    <dataValidation type="decimal" allowBlank="1" showInputMessage="1" showErrorMessage="1" errorTitle="EZ Numbers Error Prevention" error="Please enter an amount for the selling price of this item." sqref="D41:AB41" xr:uid="{00000000-0002-0000-0500-000068000000}">
      <formula1>-99999999</formula1>
      <formula2>99999999</formula2>
    </dataValidation>
    <dataValidation type="whole" allowBlank="1" showInputMessage="1" showErrorMessage="1" errorTitle="EZ Numbers Error Prevention" error="Please enter the number of revenue lines you have, up to 25." sqref="D33" xr:uid="{00000000-0002-0000-0500-00006F000000}">
      <formula1>1</formula1>
      <formula2>25</formula2>
    </dataValidation>
    <dataValidation type="decimal" allowBlank="1" showInputMessage="1" showErrorMessage="1" errorTitle="EZ Numbers Error Prevention" error="Please enter the amount for growth for this item in Year 3." sqref="D71:AB71" xr:uid="{00000000-0002-0000-0500-000050000000}">
      <formula1>0</formula1>
      <formula2>9999999</formula2>
    </dataValidation>
    <dataValidation type="decimal" allowBlank="1" showInputMessage="1" showErrorMessage="1" errorTitle="EZ Numbers Error Prevention" error="Please enter the amount for growth for this item in Year 2." sqref="D70:AB70" xr:uid="{00000000-0002-0000-0500-000051000000}">
      <formula1>0</formula1>
      <formula2>9999999</formula2>
    </dataValidation>
    <dataValidation type="decimal" allowBlank="1" showInputMessage="1" showErrorMessage="1" errorTitle="EZ Numbers Error Prevention" error="Please enter the amount for growth for this item in Year 1." sqref="D69:AB69" xr:uid="{00000000-0002-0000-0500-000052000000}">
      <formula1>0</formula1>
      <formula2>9999999</formula2>
    </dataValidation>
    <dataValidation type="decimal" allowBlank="1" showInputMessage="1" showErrorMessage="1" errorTitle="EZ Numbers Error Prevention" error="Please enter the percentage of growth for this item in Year 1." sqref="D64:AB64" xr:uid="{00000000-0002-0000-0500-000053000000}">
      <formula1>0</formula1>
      <formula2>100</formula2>
    </dataValidation>
    <dataValidation type="decimal" allowBlank="1" showInputMessage="1" showErrorMessage="1" errorTitle="EZ Numbers Error Prevention" error="Please enter the amount of unit sales in the first month you sell this item." sqref="D62:AB62" xr:uid="{00000000-0002-0000-0500-000054000000}">
      <formula1>0</formula1>
      <formula2>99999999</formula2>
    </dataValidation>
    <dataValidation type="decimal" allowBlank="1" showInputMessage="1" showErrorMessage="1" errorTitle="EZ Numbers Error Prevention" error="Please enter the percentage growth for this year." sqref="D65:AB66" xr:uid="{00000000-0002-0000-0500-000073000000}">
      <formula1>0</formula1>
      <formula2>100</formula2>
    </dataValidation>
    <dataValidation type="list" allowBlank="1" showInputMessage="1" showErrorMessage="1" sqref="H274 H292 K161 N106:N155 H103:I103" xr:uid="{07B0896C-49FF-46F5-AAA1-9EDB4569C276}">
      <formula1>"Yes, No"</formula1>
    </dataValidation>
    <dataValidation type="list" allowBlank="1" showInputMessage="1" showErrorMessage="1" sqref="I277:I286" xr:uid="{18DD7034-C0F3-441D-82DD-3EB497EEF227}">
      <formula1>"Preferred,Common"</formula1>
    </dataValidation>
    <dataValidation type="list" allowBlank="1" showInputMessage="1" showErrorMessage="1" sqref="D1307 D1309" xr:uid="{226799C8-A1CE-481A-BB1B-C1077B248B36}">
      <formula1>"Monthly, Annual, Both"</formula1>
    </dataValidation>
    <dataValidation type="decimal" allowBlank="1" showInputMessage="1" showErrorMessage="1" sqref="D665:AB724 M165:BT174" xr:uid="{7C93FBAA-0A16-4F5B-B2A5-E9A01F4417A9}">
      <formula1>0</formula1>
      <formula2>99999999</formula2>
    </dataValidation>
    <dataValidation type="decimal" allowBlank="1" showInputMessage="1" showErrorMessage="1" sqref="O1313 O1317:O1321 D917:AB976 J101 K165:K174 G165:G174 J183:J231 S277:S279 V277:V279 S295:T297 W295:W297 K106:M155 D791:AB850 D854:AB913 K187 J277:J286 D1318:D1321" xr:uid="{F408F576-9BC1-42A7-B0A4-631B26153DEC}">
      <formula1>0</formula1>
      <formula2>100</formula2>
    </dataValidation>
    <dataValidation type="decimal" allowBlank="1" showInputMessage="1" showErrorMessage="1" sqref="H182:M182 D1311 P1317:P1321 O1311 D728:AB787 E1318:E1321 G182:G232 D598:AB656 G89:G98 G106:G155" xr:uid="{C5C5E85D-FA8C-463E-A516-2B3FAC9F3AA9}">
      <formula1>0</formula1>
      <formula2>9999999</formula2>
    </dataValidation>
    <dataValidation type="whole" allowBlank="1" showInputMessage="1" showErrorMessage="1" sqref="F88 F164 F259 F276" xr:uid="{B1C65D90-79F3-4BA7-A9A5-12F7E8802F64}">
      <formula1>0</formula1>
      <formula2>10</formula2>
    </dataValidation>
    <dataValidation type="whole" allowBlank="1" showInputMessage="1" showErrorMessage="1" sqref="F105 F181" xr:uid="{17AD4D01-707D-40D5-AF92-359F7AFEBA1E}">
      <formula1>0</formula1>
      <formula2>50</formula2>
    </dataValidation>
    <dataValidation type="decimal" allowBlank="1" showInputMessage="1" showErrorMessage="1" sqref="J106:J155 P106:P155 Q106:BW106 Q109:BW155" xr:uid="{21A6CEB8-5A14-464B-A7B1-3512784F7D24}">
      <formula1>0</formula1>
      <formula2>9999</formula2>
    </dataValidation>
    <dataValidation type="whole" allowBlank="1" showInputMessage="1" showErrorMessage="1" sqref="F236" xr:uid="{70196664-1F6C-4B3B-8989-3BAE303EE167}">
      <formula1>0</formula1>
      <formula2>20</formula2>
    </dataValidation>
    <dataValidation type="whole" allowBlank="1" showInputMessage="1" showErrorMessage="1" sqref="E292 O276 O294" xr:uid="{25991234-8D77-41C4-BF75-12D83DD644CA}">
      <formula1>0</formula1>
      <formula2>3</formula2>
    </dataValidation>
    <dataValidation type="decimal" allowBlank="1" showInputMessage="1" showErrorMessage="1" sqref="D297:F297 M183:M231 N182:BT231" xr:uid="{BD38D2DD-53A4-4F6E-AE6B-2F12F9E0CADB}">
      <formula1>0</formula1>
      <formula2>1000000000</formula2>
    </dataValidation>
    <dataValidation type="decimal" allowBlank="1" showInputMessage="1" showErrorMessage="1" sqref="G237:G256 G260:G269 U295:V297 P277:P279 T277:U279 D295:F295 P295:P297 G277:G286" xr:uid="{4DAADE78-D797-4EF3-A2F4-4B42FE247329}">
      <formula1>0</formula1>
      <formula2>99999999999</formula2>
    </dataValidation>
    <dataValidation type="decimal" allowBlank="1" showInputMessage="1" showErrorMessage="1" sqref="D338:AB397" xr:uid="{C23EC1FD-6847-4649-94FA-168052CC9E36}">
      <formula1>0</formula1>
      <formula2>199999999999</formula2>
    </dataValidation>
    <dataValidation type="decimal" allowBlank="1" showInputMessage="1" showErrorMessage="1" sqref="D408:AB467 D471:AB530" xr:uid="{A9FCB5A5-BDBF-45D4-8511-1608DD0E3259}">
      <formula1>0</formula1>
      <formula2>999999999</formula2>
    </dataValidation>
    <dataValidation type="decimal" allowBlank="1" showInputMessage="1" showErrorMessage="1" sqref="D535:AB536" xr:uid="{6A80CCAE-9365-4E3A-8994-C7B1234A7B65}">
      <formula1>0</formula1>
      <formula2>1</formula2>
    </dataValidation>
    <dataValidation type="whole" allowBlank="1" showInputMessage="1" showErrorMessage="1" sqref="D980:AB1039 D1106:AB1165" xr:uid="{F9107766-A181-45EC-BE28-FE44E148E471}">
      <formula1>0</formula1>
      <formula2>180</formula2>
    </dataValidation>
    <dataValidation type="decimal" allowBlank="1" showInputMessage="1" showErrorMessage="1" sqref="D1043:AB1102" xr:uid="{1FEBC213-42EA-4D24-A1F7-16A1FBD96D55}">
      <formula1>0</formula1>
      <formula2>180</formula2>
    </dataValidation>
    <dataValidation type="decimal" allowBlank="1" showInputMessage="1" showErrorMessage="1" sqref="D1313" xr:uid="{5C4A566E-ECF0-4F63-A0A3-413ADECD8095}">
      <formula1>0</formula1>
      <formula2>10000</formula2>
    </dataValidation>
    <dataValidation type="list" allowBlank="1" showInputMessage="1" showErrorMessage="1" sqref="K188:K231 K183:K186" xr:uid="{01F1552E-0397-42C9-BE01-F0D3151E811F}">
      <formula1>"Yes,No"</formula1>
    </dataValidation>
    <dataValidation type="list" allowBlank="1" showInputMessage="1" showErrorMessage="1" sqref="M86" xr:uid="{F9E55D3F-39E8-4D39-BFC7-4CF1709060D0}">
      <formula1>"if(Years='Three"",Infrastructure!$i$7:$i$42,Infrastructure!$I$7:$I$66)"</formula1>
    </dataValidation>
    <dataValidation type="list" allowBlank="1" showInputMessage="1" showErrorMessage="1" sqref="BX4" xr:uid="{868B7C73-2E21-4FCA-9D7E-2562C324647E}">
      <formula1>"Light, Dark"</formula1>
    </dataValidation>
    <dataValidation allowBlank="1" showInputMessage="1" showErrorMessage="1" errorTitle="EZ Numbers Error Prevention" error="Please add a number for this expense." sqref="H165:H174" xr:uid="{FC67D459-D196-4404-B92A-C9B4CF21C24E}"/>
    <dataValidation type="decimal" allowBlank="1" showInputMessage="1" showErrorMessage="1" errorTitle="EZ Numbers Error Prevention" error="Please enter a percentage for this item." sqref="L102:N102" xr:uid="{4F9C7270-C2EC-4AD2-8EA7-4AB73FA8A5A4}">
      <formula1>0</formula1>
      <formula2>1000</formula2>
    </dataValidation>
    <dataValidation type="list" allowBlank="1" showInputMessage="1" showErrorMessage="1" sqref="I237:I238" xr:uid="{BE28B340-AF1A-41F3-AF08-4BFD574DE53A}">
      <formula1>$O$237:$O$239</formula1>
    </dataValidation>
    <dataValidation type="list" allowBlank="1" showInputMessage="1" showErrorMessage="1" sqref="I239:I258" xr:uid="{2C69282A-408C-4D35-A946-5C49625CBEBD}">
      <formula1>$M$239:$M$241</formula1>
    </dataValidation>
    <dataValidation type="list" allowBlank="1" showInputMessage="1" showErrorMessage="1" sqref="D63:AB63" xr:uid="{97E1E33F-076B-4B32-9A3C-8D60340219FB}">
      <formula1>"Monthly, Quarterly, Annual"</formula1>
    </dataValidation>
  </dataValidations>
  <hyperlinks>
    <hyperlink ref="D1528" location="Input!A17" display="Go Back to Company Info" xr:uid="{BB385970-2DF8-43A3-A629-7309FA5322B8}"/>
    <hyperlink ref="E1305" location="Input" display="Back to Input" xr:uid="{55B1A8DC-4E2C-42A7-A2D9-F4E889895D11}"/>
    <hyperlink ref="E1307" location="Input" display="Back to Input" xr:uid="{041D7243-5573-4474-9F82-92AFB0CC4A39}"/>
    <hyperlink ref="D1530:E1530" location="Years" display="Go Back to Company Info" xr:uid="{3DA1DD04-9A52-4F9C-9B79-83F3AA4DF867}"/>
    <hyperlink ref="D1530" location="CompanyInput" display="Go Back to Company Info" xr:uid="{933E20E3-D61E-4243-92BA-C3C1D72BC053}"/>
  </hyperlink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88" r:id="rId4" name="Group Box 64">
              <controlPr defaultSize="0" autoFill="0" autoPict="0">
                <anchor moveWithCells="1">
                  <from>
                    <xdr:col>4</xdr:col>
                    <xdr:colOff>31750</xdr:colOff>
                    <xdr:row>18</xdr:row>
                    <xdr:rowOff>50800</xdr:rowOff>
                  </from>
                  <to>
                    <xdr:col>5</xdr:col>
                    <xdr:colOff>107950</xdr:colOff>
                    <xdr:row>21</xdr:row>
                    <xdr:rowOff>127000</xdr:rowOff>
                  </to>
                </anchor>
              </controlPr>
            </control>
          </mc:Choice>
        </mc:AlternateContent>
        <mc:AlternateContent xmlns:mc="http://schemas.openxmlformats.org/markup-compatibility/2006">
          <mc:Choice Requires="x14">
            <control shapeId="1041" r:id="rId5" name="Option Button 17">
              <controlPr defaultSize="0" autoFill="0" autoLine="0" autoPict="0">
                <anchor moveWithCells="1">
                  <from>
                    <xdr:col>2</xdr:col>
                    <xdr:colOff>965200</xdr:colOff>
                    <xdr:row>22</xdr:row>
                    <xdr:rowOff>12700</xdr:rowOff>
                  </from>
                  <to>
                    <xdr:col>3</xdr:col>
                    <xdr:colOff>184150</xdr:colOff>
                    <xdr:row>23</xdr:row>
                    <xdr:rowOff>38100</xdr:rowOff>
                  </to>
                </anchor>
              </controlPr>
            </control>
          </mc:Choice>
        </mc:AlternateContent>
        <mc:AlternateContent xmlns:mc="http://schemas.openxmlformats.org/markup-compatibility/2006">
          <mc:Choice Requires="x14">
            <control shapeId="1042" r:id="rId6" name="Option Button 18">
              <controlPr defaultSize="0" autoFill="0" autoLine="0" autoPict="0">
                <anchor moveWithCells="1">
                  <from>
                    <xdr:col>2</xdr:col>
                    <xdr:colOff>965200</xdr:colOff>
                    <xdr:row>23</xdr:row>
                    <xdr:rowOff>12700</xdr:rowOff>
                  </from>
                  <to>
                    <xdr:col>3</xdr:col>
                    <xdr:colOff>203200</xdr:colOff>
                    <xdr:row>24</xdr:row>
                    <xdr:rowOff>38100</xdr:rowOff>
                  </to>
                </anchor>
              </controlPr>
            </control>
          </mc:Choice>
        </mc:AlternateContent>
        <mc:AlternateContent xmlns:mc="http://schemas.openxmlformats.org/markup-compatibility/2006">
          <mc:Choice Requires="x14">
            <control shapeId="1043" r:id="rId7" name="Option Button 19">
              <controlPr defaultSize="0" autoFill="0" autoLine="0" autoPict="0">
                <anchor moveWithCells="1">
                  <from>
                    <xdr:col>2</xdr:col>
                    <xdr:colOff>965200</xdr:colOff>
                    <xdr:row>24</xdr:row>
                    <xdr:rowOff>0</xdr:rowOff>
                  </from>
                  <to>
                    <xdr:col>3</xdr:col>
                    <xdr:colOff>152400</xdr:colOff>
                    <xdr:row>25</xdr:row>
                    <xdr:rowOff>50800</xdr:rowOff>
                  </to>
                </anchor>
              </controlPr>
            </control>
          </mc:Choice>
        </mc:AlternateContent>
        <mc:AlternateContent xmlns:mc="http://schemas.openxmlformats.org/markup-compatibility/2006">
          <mc:Choice Requires="x14">
            <control shapeId="1044" r:id="rId8" name="Option Button 20">
              <controlPr defaultSize="0" autoFill="0" autoLine="0" autoPict="0">
                <anchor moveWithCells="1">
                  <from>
                    <xdr:col>2</xdr:col>
                    <xdr:colOff>965200</xdr:colOff>
                    <xdr:row>24</xdr:row>
                    <xdr:rowOff>146050</xdr:rowOff>
                  </from>
                  <to>
                    <xdr:col>3</xdr:col>
                    <xdr:colOff>152400</xdr:colOff>
                    <xdr:row>26</xdr:row>
                    <xdr:rowOff>57150</xdr:rowOff>
                  </to>
                </anchor>
              </controlPr>
            </control>
          </mc:Choice>
        </mc:AlternateContent>
        <mc:AlternateContent xmlns:mc="http://schemas.openxmlformats.org/markup-compatibility/2006">
          <mc:Choice Requires="x14">
            <control shapeId="1064" r:id="rId9" name="Group Box 40">
              <controlPr defaultSize="0" autoFill="0" autoPict="0" altText="">
                <anchor moveWithCells="1">
                  <from>
                    <xdr:col>2</xdr:col>
                    <xdr:colOff>831850</xdr:colOff>
                    <xdr:row>21</xdr:row>
                    <xdr:rowOff>133350</xdr:rowOff>
                  </from>
                  <to>
                    <xdr:col>3</xdr:col>
                    <xdr:colOff>660400</xdr:colOff>
                    <xdr:row>27</xdr:row>
                    <xdr:rowOff>12700</xdr:rowOff>
                  </to>
                </anchor>
              </controlPr>
            </control>
          </mc:Choice>
        </mc:AlternateContent>
        <mc:AlternateContent xmlns:mc="http://schemas.openxmlformats.org/markup-compatibility/2006">
          <mc:Choice Requires="x14">
            <control shapeId="1066" r:id="rId10" name="Group Box 42">
              <controlPr defaultSize="0" autoFill="0" autoPict="0" altText="_x000a_">
                <anchor moveWithCells="1">
                  <from>
                    <xdr:col>1</xdr:col>
                    <xdr:colOff>114300</xdr:colOff>
                    <xdr:row>4</xdr:row>
                    <xdr:rowOff>114300</xdr:rowOff>
                  </from>
                  <to>
                    <xdr:col>1</xdr:col>
                    <xdr:colOff>419100</xdr:colOff>
                    <xdr:row>9</xdr:row>
                    <xdr:rowOff>0</xdr:rowOff>
                  </to>
                </anchor>
              </controlPr>
            </control>
          </mc:Choice>
        </mc:AlternateContent>
        <mc:AlternateContent xmlns:mc="http://schemas.openxmlformats.org/markup-compatibility/2006">
          <mc:Choice Requires="x14">
            <control shapeId="1067" r:id="rId11" name="Group Box 43">
              <controlPr defaultSize="0" autoFill="0" autoPict="0">
                <anchor moveWithCells="1">
                  <from>
                    <xdr:col>2</xdr:col>
                    <xdr:colOff>895350</xdr:colOff>
                    <xdr:row>30</xdr:row>
                    <xdr:rowOff>171450</xdr:rowOff>
                  </from>
                  <to>
                    <xdr:col>3</xdr:col>
                    <xdr:colOff>190500</xdr:colOff>
                    <xdr:row>31</xdr:row>
                    <xdr:rowOff>19050</xdr:rowOff>
                  </to>
                </anchor>
              </controlPr>
            </control>
          </mc:Choice>
        </mc:AlternateContent>
        <mc:AlternateContent xmlns:mc="http://schemas.openxmlformats.org/markup-compatibility/2006">
          <mc:Choice Requires="x14">
            <control shapeId="1069" r:id="rId12" name="Option Button 45">
              <controlPr defaultSize="0" autoFill="0" autoLine="0" autoPict="0">
                <anchor moveWithCells="1">
                  <from>
                    <xdr:col>2</xdr:col>
                    <xdr:colOff>952500</xdr:colOff>
                    <xdr:row>30</xdr:row>
                    <xdr:rowOff>171450</xdr:rowOff>
                  </from>
                  <to>
                    <xdr:col>3</xdr:col>
                    <xdr:colOff>260350</xdr:colOff>
                    <xdr:row>30</xdr:row>
                    <xdr:rowOff>387350</xdr:rowOff>
                  </to>
                </anchor>
              </controlPr>
            </control>
          </mc:Choice>
        </mc:AlternateContent>
        <mc:AlternateContent xmlns:mc="http://schemas.openxmlformats.org/markup-compatibility/2006">
          <mc:Choice Requires="x14">
            <control shapeId="1070" r:id="rId13" name="Option Button 46">
              <controlPr defaultSize="0" autoFill="0" autoLine="0" autoPict="0">
                <anchor moveWithCells="1">
                  <from>
                    <xdr:col>2</xdr:col>
                    <xdr:colOff>952500</xdr:colOff>
                    <xdr:row>30</xdr:row>
                    <xdr:rowOff>330200</xdr:rowOff>
                  </from>
                  <to>
                    <xdr:col>3</xdr:col>
                    <xdr:colOff>222250</xdr:colOff>
                    <xdr:row>30</xdr:row>
                    <xdr:rowOff>539750</xdr:rowOff>
                  </to>
                </anchor>
              </controlPr>
            </control>
          </mc:Choice>
        </mc:AlternateContent>
        <mc:AlternateContent xmlns:mc="http://schemas.openxmlformats.org/markup-compatibility/2006">
          <mc:Choice Requires="x14">
            <control shapeId="1071" r:id="rId14" name="Option Button 47">
              <controlPr defaultSize="0" autoFill="0" autoLine="0" autoPict="0">
                <anchor moveWithCells="1">
                  <from>
                    <xdr:col>2</xdr:col>
                    <xdr:colOff>952500</xdr:colOff>
                    <xdr:row>30</xdr:row>
                    <xdr:rowOff>488950</xdr:rowOff>
                  </from>
                  <to>
                    <xdr:col>3</xdr:col>
                    <xdr:colOff>241300</xdr:colOff>
                    <xdr:row>31</xdr:row>
                    <xdr:rowOff>6350</xdr:rowOff>
                  </to>
                </anchor>
              </controlPr>
            </control>
          </mc:Choice>
        </mc:AlternateContent>
        <mc:AlternateContent xmlns:mc="http://schemas.openxmlformats.org/markup-compatibility/2006">
          <mc:Choice Requires="x14">
            <control shapeId="1072" r:id="rId15" name="Group Box 48">
              <controlPr defaultSize="0" autoFill="0" autoPict="0">
                <anchor moveWithCells="1">
                  <from>
                    <xdr:col>5</xdr:col>
                    <xdr:colOff>76200</xdr:colOff>
                    <xdr:row>30</xdr:row>
                    <xdr:rowOff>76200</xdr:rowOff>
                  </from>
                  <to>
                    <xdr:col>5</xdr:col>
                    <xdr:colOff>800100</xdr:colOff>
                    <xdr:row>31</xdr:row>
                    <xdr:rowOff>19050</xdr:rowOff>
                  </to>
                </anchor>
              </controlPr>
            </control>
          </mc:Choice>
        </mc:AlternateContent>
        <mc:AlternateContent xmlns:mc="http://schemas.openxmlformats.org/markup-compatibility/2006">
          <mc:Choice Requires="x14">
            <control shapeId="1073" r:id="rId16" name="Option Button 49">
              <controlPr defaultSize="0" autoFill="0" autoLine="0" autoPict="0">
                <anchor moveWithCells="1">
                  <from>
                    <xdr:col>5</xdr:col>
                    <xdr:colOff>146050</xdr:colOff>
                    <xdr:row>30</xdr:row>
                    <xdr:rowOff>146050</xdr:rowOff>
                  </from>
                  <to>
                    <xdr:col>5</xdr:col>
                    <xdr:colOff>355600</xdr:colOff>
                    <xdr:row>30</xdr:row>
                    <xdr:rowOff>342900</xdr:rowOff>
                  </to>
                </anchor>
              </controlPr>
            </control>
          </mc:Choice>
        </mc:AlternateContent>
        <mc:AlternateContent xmlns:mc="http://schemas.openxmlformats.org/markup-compatibility/2006">
          <mc:Choice Requires="x14">
            <control shapeId="1074" r:id="rId17" name="Option Button 50">
              <controlPr defaultSize="0" autoFill="0" autoLine="0" autoPict="0">
                <anchor moveWithCells="1">
                  <from>
                    <xdr:col>5</xdr:col>
                    <xdr:colOff>146050</xdr:colOff>
                    <xdr:row>30</xdr:row>
                    <xdr:rowOff>304800</xdr:rowOff>
                  </from>
                  <to>
                    <xdr:col>5</xdr:col>
                    <xdr:colOff>336550</xdr:colOff>
                    <xdr:row>30</xdr:row>
                    <xdr:rowOff>488950</xdr:rowOff>
                  </to>
                </anchor>
              </controlPr>
            </control>
          </mc:Choice>
        </mc:AlternateContent>
        <mc:AlternateContent xmlns:mc="http://schemas.openxmlformats.org/markup-compatibility/2006">
          <mc:Choice Requires="x14">
            <control shapeId="1080" r:id="rId18" name="Group Box 56">
              <controlPr defaultSize="0" autoFill="0" autoPict="0">
                <anchor moveWithCells="1">
                  <from>
                    <xdr:col>4</xdr:col>
                    <xdr:colOff>69850</xdr:colOff>
                    <xdr:row>18</xdr:row>
                    <xdr:rowOff>38100</xdr:rowOff>
                  </from>
                  <to>
                    <xdr:col>5</xdr:col>
                    <xdr:colOff>508000</xdr:colOff>
                    <xdr:row>21</xdr:row>
                    <xdr:rowOff>127000</xdr:rowOff>
                  </to>
                </anchor>
              </controlPr>
            </control>
          </mc:Choice>
        </mc:AlternateContent>
        <mc:AlternateContent xmlns:mc="http://schemas.openxmlformats.org/markup-compatibility/2006">
          <mc:Choice Requires="x14">
            <control shapeId="1086" r:id="rId19" name="Group Box 62">
              <controlPr defaultSize="0" autoFill="0" autoPict="0">
                <anchor moveWithCells="1">
                  <from>
                    <xdr:col>4</xdr:col>
                    <xdr:colOff>95250</xdr:colOff>
                    <xdr:row>19</xdr:row>
                    <xdr:rowOff>19050</xdr:rowOff>
                  </from>
                  <to>
                    <xdr:col>4</xdr:col>
                    <xdr:colOff>400050</xdr:colOff>
                    <xdr:row>21</xdr:row>
                    <xdr:rowOff>133350</xdr:rowOff>
                  </to>
                </anchor>
              </controlPr>
            </control>
          </mc:Choice>
        </mc:AlternateContent>
        <mc:AlternateContent xmlns:mc="http://schemas.openxmlformats.org/markup-compatibility/2006">
          <mc:Choice Requires="x14">
            <control shapeId="1089" r:id="rId20" name="Group Box 65">
              <controlPr defaultSize="0" autoFill="0" autoPict="0">
                <anchor moveWithCells="1">
                  <from>
                    <xdr:col>7</xdr:col>
                    <xdr:colOff>609600</xdr:colOff>
                    <xdr:row>83</xdr:row>
                    <xdr:rowOff>38100</xdr:rowOff>
                  </from>
                  <to>
                    <xdr:col>9</xdr:col>
                    <xdr:colOff>184150</xdr:colOff>
                    <xdr:row>86</xdr:row>
                    <xdr:rowOff>133350</xdr:rowOff>
                  </to>
                </anchor>
              </controlPr>
            </control>
          </mc:Choice>
        </mc:AlternateContent>
        <mc:AlternateContent xmlns:mc="http://schemas.openxmlformats.org/markup-compatibility/2006">
          <mc:Choice Requires="x14">
            <control shapeId="1090" r:id="rId21" name="Option Button 66">
              <controlPr defaultSize="0" autoFill="0" autoLine="0" autoPict="0">
                <anchor moveWithCells="1">
                  <from>
                    <xdr:col>8</xdr:col>
                    <xdr:colOff>69850</xdr:colOff>
                    <xdr:row>85</xdr:row>
                    <xdr:rowOff>19050</xdr:rowOff>
                  </from>
                  <to>
                    <xdr:col>8</xdr:col>
                    <xdr:colOff>304800</xdr:colOff>
                    <xdr:row>86</xdr:row>
                    <xdr:rowOff>38100</xdr:rowOff>
                  </to>
                </anchor>
              </controlPr>
            </control>
          </mc:Choice>
        </mc:AlternateContent>
        <mc:AlternateContent xmlns:mc="http://schemas.openxmlformats.org/markup-compatibility/2006">
          <mc:Choice Requires="x14">
            <control shapeId="1091" r:id="rId22" name="Option Button 67">
              <controlPr defaultSize="0" autoFill="0" autoLine="0" autoPict="0">
                <anchor moveWithCells="1">
                  <from>
                    <xdr:col>8</xdr:col>
                    <xdr:colOff>69850</xdr:colOff>
                    <xdr:row>86</xdr:row>
                    <xdr:rowOff>19050</xdr:rowOff>
                  </from>
                  <to>
                    <xdr:col>8</xdr:col>
                    <xdr:colOff>304800</xdr:colOff>
                    <xdr:row>87</xdr:row>
                    <xdr:rowOff>31750</xdr:rowOff>
                  </to>
                </anchor>
              </controlPr>
            </control>
          </mc:Choice>
        </mc:AlternateContent>
        <mc:AlternateContent xmlns:mc="http://schemas.openxmlformats.org/markup-compatibility/2006">
          <mc:Choice Requires="x14">
            <control shapeId="1105" r:id="rId23" name="Group Box 81">
              <controlPr defaultSize="0" autoFill="0" autoPict="0">
                <anchor moveWithCells="1">
                  <from>
                    <xdr:col>2</xdr:col>
                    <xdr:colOff>908050</xdr:colOff>
                    <xdr:row>30</xdr:row>
                    <xdr:rowOff>12700</xdr:rowOff>
                  </from>
                  <to>
                    <xdr:col>4</xdr:col>
                    <xdr:colOff>209550</xdr:colOff>
                    <xdr:row>30</xdr:row>
                    <xdr:rowOff>647700</xdr:rowOff>
                  </to>
                </anchor>
              </controlPr>
            </control>
          </mc:Choice>
        </mc:AlternateContent>
        <mc:AlternateContent xmlns:mc="http://schemas.openxmlformats.org/markup-compatibility/2006">
          <mc:Choice Requires="x14">
            <control shapeId="1114" r:id="rId24" name="Group Box 90">
              <controlPr defaultSize="0" autoFill="0" autoPict="0">
                <anchor moveWithCells="1">
                  <from>
                    <xdr:col>8</xdr:col>
                    <xdr:colOff>762000</xdr:colOff>
                    <xdr:row>102</xdr:row>
                    <xdr:rowOff>57150</xdr:rowOff>
                  </from>
                  <to>
                    <xdr:col>9</xdr:col>
                    <xdr:colOff>488950</xdr:colOff>
                    <xdr:row>105</xdr:row>
                    <xdr:rowOff>95250</xdr:rowOff>
                  </to>
                </anchor>
              </controlPr>
            </control>
          </mc:Choice>
        </mc:AlternateContent>
        <mc:AlternateContent xmlns:mc="http://schemas.openxmlformats.org/markup-compatibility/2006">
          <mc:Choice Requires="x14">
            <control shapeId="1115" r:id="rId25" name="Option Button 91">
              <controlPr defaultSize="0" autoFill="0" autoLine="0" autoPict="0">
                <anchor moveWithCells="1">
                  <from>
                    <xdr:col>9</xdr:col>
                    <xdr:colOff>12700</xdr:colOff>
                    <xdr:row>102</xdr:row>
                    <xdr:rowOff>146050</xdr:rowOff>
                  </from>
                  <to>
                    <xdr:col>9</xdr:col>
                    <xdr:colOff>209550</xdr:colOff>
                    <xdr:row>104</xdr:row>
                    <xdr:rowOff>31750</xdr:rowOff>
                  </to>
                </anchor>
              </controlPr>
            </control>
          </mc:Choice>
        </mc:AlternateContent>
        <mc:AlternateContent xmlns:mc="http://schemas.openxmlformats.org/markup-compatibility/2006">
          <mc:Choice Requires="x14">
            <control shapeId="1116" r:id="rId26" name="Option Button 92">
              <controlPr defaultSize="0" autoFill="0" autoLine="0" autoPict="0">
                <anchor moveWithCells="1">
                  <from>
                    <xdr:col>9</xdr:col>
                    <xdr:colOff>12700</xdr:colOff>
                    <xdr:row>103</xdr:row>
                    <xdr:rowOff>114300</xdr:rowOff>
                  </from>
                  <to>
                    <xdr:col>9</xdr:col>
                    <xdr:colOff>241300</xdr:colOff>
                    <xdr:row>105</xdr:row>
                    <xdr:rowOff>57150</xdr:rowOff>
                  </to>
                </anchor>
              </controlPr>
            </control>
          </mc:Choice>
        </mc:AlternateContent>
        <mc:AlternateContent xmlns:mc="http://schemas.openxmlformats.org/markup-compatibility/2006">
          <mc:Choice Requires="x14">
            <control shapeId="1130" r:id="rId27" name="Group Box 106">
              <controlPr defaultSize="0" autoFill="0" autoPict="0">
                <anchor moveWithCells="1">
                  <from>
                    <xdr:col>9</xdr:col>
                    <xdr:colOff>95250</xdr:colOff>
                    <xdr:row>273</xdr:row>
                    <xdr:rowOff>76200</xdr:rowOff>
                  </from>
                  <to>
                    <xdr:col>10</xdr:col>
                    <xdr:colOff>438150</xdr:colOff>
                    <xdr:row>276</xdr:row>
                    <xdr:rowOff>95250</xdr:rowOff>
                  </to>
                </anchor>
              </controlPr>
            </control>
          </mc:Choice>
        </mc:AlternateContent>
        <mc:AlternateContent xmlns:mc="http://schemas.openxmlformats.org/markup-compatibility/2006">
          <mc:Choice Requires="x14">
            <control shapeId="1131" r:id="rId28" name="Option Button 107">
              <controlPr defaultSize="0" autoFill="0" autoLine="0" autoPict="0">
                <anchor moveWithCells="1">
                  <from>
                    <xdr:col>9</xdr:col>
                    <xdr:colOff>190500</xdr:colOff>
                    <xdr:row>274</xdr:row>
                    <xdr:rowOff>19050</xdr:rowOff>
                  </from>
                  <to>
                    <xdr:col>9</xdr:col>
                    <xdr:colOff>438150</xdr:colOff>
                    <xdr:row>275</xdr:row>
                    <xdr:rowOff>69850</xdr:rowOff>
                  </to>
                </anchor>
              </controlPr>
            </control>
          </mc:Choice>
        </mc:AlternateContent>
        <mc:AlternateContent xmlns:mc="http://schemas.openxmlformats.org/markup-compatibility/2006">
          <mc:Choice Requires="x14">
            <control shapeId="1134" r:id="rId29" name="Option Button 110">
              <controlPr defaultSize="0" autoFill="0" autoLine="0" autoPict="0">
                <anchor moveWithCells="1">
                  <from>
                    <xdr:col>9</xdr:col>
                    <xdr:colOff>190500</xdr:colOff>
                    <xdr:row>275</xdr:row>
                    <xdr:rowOff>12700</xdr:rowOff>
                  </from>
                  <to>
                    <xdr:col>9</xdr:col>
                    <xdr:colOff>495300</xdr:colOff>
                    <xdr:row>276</xdr:row>
                    <xdr:rowOff>76200</xdr:rowOff>
                  </to>
                </anchor>
              </controlPr>
            </control>
          </mc:Choice>
        </mc:AlternateContent>
        <mc:AlternateContent xmlns:mc="http://schemas.openxmlformats.org/markup-compatibility/2006">
          <mc:Choice Requires="x14">
            <control shapeId="37" r:id="rId30" name="Group Box 114">
              <controlPr defaultSize="0" autoFill="0" autoPict="0">
                <anchor moveWithCells="1">
                  <from>
                    <xdr:col>6</xdr:col>
                    <xdr:colOff>165100</xdr:colOff>
                    <xdr:row>290</xdr:row>
                    <xdr:rowOff>19050</xdr:rowOff>
                  </from>
                  <to>
                    <xdr:col>7</xdr:col>
                    <xdr:colOff>514350</xdr:colOff>
                    <xdr:row>294</xdr:row>
                    <xdr:rowOff>88900</xdr:rowOff>
                  </to>
                </anchor>
              </controlPr>
            </control>
          </mc:Choice>
        </mc:AlternateContent>
        <mc:AlternateContent xmlns:mc="http://schemas.openxmlformats.org/markup-compatibility/2006">
          <mc:Choice Requires="x14">
            <control shapeId="63" r:id="rId31" name="Option Button 116">
              <controlPr defaultSize="0" autoFill="0" autoLine="0" autoPict="0">
                <anchor moveWithCells="1">
                  <from>
                    <xdr:col>6</xdr:col>
                    <xdr:colOff>342900</xdr:colOff>
                    <xdr:row>291</xdr:row>
                    <xdr:rowOff>76200</xdr:rowOff>
                  </from>
                  <to>
                    <xdr:col>6</xdr:col>
                    <xdr:colOff>609600</xdr:colOff>
                    <xdr:row>292</xdr:row>
                    <xdr:rowOff>133350</xdr:rowOff>
                  </to>
                </anchor>
              </controlPr>
            </control>
          </mc:Choice>
        </mc:AlternateContent>
        <mc:AlternateContent xmlns:mc="http://schemas.openxmlformats.org/markup-compatibility/2006">
          <mc:Choice Requires="x14">
            <control shapeId="1052" r:id="rId32" name="Option Button 115">
              <controlPr defaultSize="0" autoFill="0" autoLine="0" autoPict="0">
                <anchor moveWithCells="1">
                  <from>
                    <xdr:col>6</xdr:col>
                    <xdr:colOff>342900</xdr:colOff>
                    <xdr:row>292</xdr:row>
                    <xdr:rowOff>69850</xdr:rowOff>
                  </from>
                  <to>
                    <xdr:col>6</xdr:col>
                    <xdr:colOff>647700</xdr:colOff>
                    <xdr:row>293</xdr:row>
                    <xdr:rowOff>133350</xdr:rowOff>
                  </to>
                </anchor>
              </controlPr>
            </control>
          </mc:Choice>
        </mc:AlternateContent>
        <mc:AlternateContent xmlns:mc="http://schemas.openxmlformats.org/markup-compatibility/2006">
          <mc:Choice Requires="x14">
            <control shapeId="1079" r:id="rId33" name="Option Button 55">
              <controlPr defaultSize="0" autoFill="0" autoLine="0" autoPict="0">
                <anchor moveWithCells="1">
                  <from>
                    <xdr:col>4</xdr:col>
                    <xdr:colOff>190500</xdr:colOff>
                    <xdr:row>19</xdr:row>
                    <xdr:rowOff>95250</xdr:rowOff>
                  </from>
                  <to>
                    <xdr:col>4</xdr:col>
                    <xdr:colOff>419100</xdr:colOff>
                    <xdr:row>20</xdr:row>
                    <xdr:rowOff>120650</xdr:rowOff>
                  </to>
                </anchor>
              </controlPr>
            </control>
          </mc:Choice>
        </mc:AlternateContent>
        <mc:AlternateContent xmlns:mc="http://schemas.openxmlformats.org/markup-compatibility/2006">
          <mc:Choice Requires="x14">
            <control shapeId="1078" r:id="rId34" name="Option Button 54">
              <controlPr defaultSize="0" autoFill="0" autoLine="0" autoPict="0">
                <anchor moveWithCells="1">
                  <from>
                    <xdr:col>4</xdr:col>
                    <xdr:colOff>190500</xdr:colOff>
                    <xdr:row>20</xdr:row>
                    <xdr:rowOff>114300</xdr:rowOff>
                  </from>
                  <to>
                    <xdr:col>4</xdr:col>
                    <xdr:colOff>412750</xdr:colOff>
                    <xdr:row>21</xdr:row>
                    <xdr:rowOff>120650</xdr:rowOff>
                  </to>
                </anchor>
              </controlPr>
            </control>
          </mc:Choice>
        </mc:AlternateContent>
        <mc:AlternateContent xmlns:mc="http://schemas.openxmlformats.org/markup-compatibility/2006">
          <mc:Choice Requires="x14">
            <control shapeId="1033" r:id="rId35" name="Option Button 9">
              <controlPr locked="0" defaultSize="0" autoFill="0" autoLine="0" autoPict="0">
                <anchor moveWithCells="1">
                  <from>
                    <xdr:col>1</xdr:col>
                    <xdr:colOff>152400</xdr:colOff>
                    <xdr:row>6</xdr:row>
                    <xdr:rowOff>12700</xdr:rowOff>
                  </from>
                  <to>
                    <xdr:col>1</xdr:col>
                    <xdr:colOff>393700</xdr:colOff>
                    <xdr:row>7</xdr:row>
                    <xdr:rowOff>88900</xdr:rowOff>
                  </to>
                </anchor>
              </controlPr>
            </control>
          </mc:Choice>
        </mc:AlternateContent>
        <mc:AlternateContent xmlns:mc="http://schemas.openxmlformats.org/markup-compatibility/2006">
          <mc:Choice Requires="x14">
            <control shapeId="1030" r:id="rId36" name="Option Button 6">
              <controlPr locked="0" defaultSize="0" autoFill="0" autoLine="0" autoPict="0" altText="Three Years_x000a_Five Years">
                <anchor moveWithCells="1">
                  <from>
                    <xdr:col>1</xdr:col>
                    <xdr:colOff>152400</xdr:colOff>
                    <xdr:row>7</xdr:row>
                    <xdr:rowOff>31750</xdr:rowOff>
                  </from>
                  <to>
                    <xdr:col>1</xdr:col>
                    <xdr:colOff>323850</xdr:colOff>
                    <xdr:row>8</xdr:row>
                    <xdr:rowOff>107950</xdr:rowOff>
                  </to>
                </anchor>
              </controlPr>
            </control>
          </mc:Choice>
        </mc:AlternateContent>
        <mc:AlternateContent xmlns:mc="http://schemas.openxmlformats.org/markup-compatibility/2006">
          <mc:Choice Requires="x14">
            <control shapeId="1120" r:id="rId37" name="Group Box 96">
              <controlPr defaultSize="0" autoFill="0" autoPict="0">
                <anchor moveWithCells="1">
                  <from>
                    <xdr:col>9</xdr:col>
                    <xdr:colOff>552450</xdr:colOff>
                    <xdr:row>161</xdr:row>
                    <xdr:rowOff>12700</xdr:rowOff>
                  </from>
                  <to>
                    <xdr:col>11</xdr:col>
                    <xdr:colOff>203200</xdr:colOff>
                    <xdr:row>164</xdr:row>
                    <xdr:rowOff>127000</xdr:rowOff>
                  </to>
                </anchor>
              </controlPr>
            </control>
          </mc:Choice>
        </mc:AlternateContent>
        <mc:AlternateContent xmlns:mc="http://schemas.openxmlformats.org/markup-compatibility/2006">
          <mc:Choice Requires="x14">
            <control shapeId="1121" r:id="rId38" name="Option Button 97">
              <controlPr defaultSize="0" autoFill="0" autoLine="0" autoPict="0">
                <anchor moveWithCells="1">
                  <from>
                    <xdr:col>9</xdr:col>
                    <xdr:colOff>723900</xdr:colOff>
                    <xdr:row>162</xdr:row>
                    <xdr:rowOff>31750</xdr:rowOff>
                  </from>
                  <to>
                    <xdr:col>10</xdr:col>
                    <xdr:colOff>222250</xdr:colOff>
                    <xdr:row>163</xdr:row>
                    <xdr:rowOff>95250</xdr:rowOff>
                  </to>
                </anchor>
              </controlPr>
            </control>
          </mc:Choice>
        </mc:AlternateContent>
        <mc:AlternateContent xmlns:mc="http://schemas.openxmlformats.org/markup-compatibility/2006">
          <mc:Choice Requires="x14">
            <control shapeId="1122" r:id="rId39" name="Option Button 98">
              <controlPr defaultSize="0" autoFill="0" autoLine="0" autoPict="0">
                <anchor moveWithCells="1">
                  <from>
                    <xdr:col>9</xdr:col>
                    <xdr:colOff>723900</xdr:colOff>
                    <xdr:row>163</xdr:row>
                    <xdr:rowOff>19050</xdr:rowOff>
                  </from>
                  <to>
                    <xdr:col>10</xdr:col>
                    <xdr:colOff>342900</xdr:colOff>
                    <xdr:row>164</xdr:row>
                    <xdr:rowOff>114300</xdr:rowOff>
                  </to>
                </anchor>
              </controlPr>
            </control>
          </mc:Choice>
        </mc:AlternateContent>
        <mc:AlternateContent xmlns:mc="http://schemas.openxmlformats.org/markup-compatibility/2006">
          <mc:Choice Requires="x14">
            <control shapeId="1126" r:id="rId40" name="Group Box 102">
              <controlPr defaultSize="0" autoFill="0" autoPict="0">
                <anchor moveWithCells="1">
                  <from>
                    <xdr:col>8</xdr:col>
                    <xdr:colOff>685800</xdr:colOff>
                    <xdr:row>178</xdr:row>
                    <xdr:rowOff>31750</xdr:rowOff>
                  </from>
                  <to>
                    <xdr:col>10</xdr:col>
                    <xdr:colOff>323850</xdr:colOff>
                    <xdr:row>181</xdr:row>
                    <xdr:rowOff>114300</xdr:rowOff>
                  </to>
                </anchor>
              </controlPr>
            </control>
          </mc:Choice>
        </mc:AlternateContent>
        <mc:AlternateContent xmlns:mc="http://schemas.openxmlformats.org/markup-compatibility/2006">
          <mc:Choice Requires="x14">
            <control shapeId="1053" r:id="rId41" name="Option Button 103">
              <controlPr defaultSize="0" autoFill="0" autoLine="0" autoPict="0">
                <anchor moveWithCells="1">
                  <from>
                    <xdr:col>8</xdr:col>
                    <xdr:colOff>755650</xdr:colOff>
                    <xdr:row>179</xdr:row>
                    <xdr:rowOff>38100</xdr:rowOff>
                  </from>
                  <to>
                    <xdr:col>9</xdr:col>
                    <xdr:colOff>247650</xdr:colOff>
                    <xdr:row>180</xdr:row>
                    <xdr:rowOff>107950</xdr:rowOff>
                  </to>
                </anchor>
              </controlPr>
            </control>
          </mc:Choice>
        </mc:AlternateContent>
        <mc:AlternateContent xmlns:mc="http://schemas.openxmlformats.org/markup-compatibility/2006">
          <mc:Choice Requires="x14">
            <control shapeId="1055" r:id="rId42" name="Option Button 104">
              <controlPr defaultSize="0" autoFill="0" autoLine="0" autoPict="0">
                <anchor moveWithCells="1">
                  <from>
                    <xdr:col>8</xdr:col>
                    <xdr:colOff>755650</xdr:colOff>
                    <xdr:row>180</xdr:row>
                    <xdr:rowOff>38100</xdr:rowOff>
                  </from>
                  <to>
                    <xdr:col>9</xdr:col>
                    <xdr:colOff>323850</xdr:colOff>
                    <xdr:row>181</xdr:row>
                    <xdr:rowOff>107950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71" id="{609BEAD9-29BE-45CC-AE05-6839EDD5FF82}">
            <xm:f>Financials!$BQ$178-$D$1576=0</xm:f>
            <x14:dxf>
              <font>
                <color theme="0"/>
              </font>
              <border>
                <left/>
                <right/>
                <top/>
                <bottom/>
                <vertical/>
                <horizontal/>
              </border>
            </x14:dxf>
          </x14:cfRule>
          <x14:cfRule type="expression" priority="272" id="{845404A4-5D65-4F0D-88B1-17FC60EE2248}">
            <xm:f>Infrastructure!$AT$41&lt;&gt;""</xm:f>
            <x14:dxf>
              <font>
                <color theme="0"/>
              </font>
              <border>
                <left/>
                <right/>
                <top/>
                <bottom/>
                <vertical/>
                <horizontal/>
              </border>
            </x14:dxf>
          </x14:cfRule>
          <x14:cfRule type="expression" priority="273" id="{A9604CC6-7715-4EC9-81A4-E09D530D7623}">
            <xm:f>Infrastructure!$BE$23=0</xm:f>
            <x14:dxf>
              <font>
                <color theme="0"/>
              </font>
              <border>
                <left/>
                <right/>
                <top/>
                <bottom/>
                <vertical/>
                <horizontal/>
              </border>
            </x14:dxf>
          </x14:cfRule>
          <xm:sqref>B14</xm:sqref>
        </x14:conditionalFormatting>
        <x14:conditionalFormatting xmlns:xm="http://schemas.microsoft.com/office/excel/2006/main">
          <x14:cfRule type="expression" priority="915" id="{58657CCB-0D7D-44FE-B6F5-F1EF8BEC043F}">
            <xm:f>Infrastructure!$BE$23=0</xm:f>
            <x14:dxf>
              <font>
                <color theme="0"/>
              </font>
              <border>
                <left/>
                <right/>
                <top/>
                <bottom/>
                <vertical/>
                <horizontal/>
              </border>
            </x14:dxf>
          </x14:cfRule>
          <x14:cfRule type="expression" priority="912" id="{983964B7-8263-4D1D-93A6-CD53483F86E6}">
            <xm:f>Infrastructure!$AT$41&lt;&gt;""</xm:f>
            <x14:dxf>
              <font>
                <color theme="0"/>
              </font>
              <border>
                <left/>
                <right/>
                <top/>
                <bottom/>
                <vertical/>
                <horizontal/>
              </border>
            </x14:dxf>
          </x14:cfRule>
          <xm:sqref>C2:C3 C4:H12 C13:C14</xm:sqref>
        </x14:conditionalFormatting>
        <x14:conditionalFormatting xmlns:xm="http://schemas.microsoft.com/office/excel/2006/main">
          <x14:cfRule type="expression" priority="864" id="{00000000-000E-0000-0200-000001000000}">
            <xm:f>AND(Infrastructure!$AG$35&gt;Infrastructure!$AH$35,$A90=Infrastructure!$AH$35)</xm:f>
            <x14:dxf>
              <font>
                <b/>
                <i val="0"/>
                <color rgb="FFFF0000"/>
              </font>
            </x14:dxf>
          </x14:cfRule>
          <xm:sqref>C90:C97</xm:sqref>
        </x14:conditionalFormatting>
        <x14:conditionalFormatting xmlns:xm="http://schemas.microsoft.com/office/excel/2006/main">
          <x14:cfRule type="expression" priority="863" id="{DC6FF7F2-0FCC-4037-9495-321D6969EA21}">
            <xm:f>AND(Infrastructure!$AG$36&gt;Infrastructure!$AH$36,$A109=Infrastructure!$AH$36)</xm:f>
            <x14:dxf>
              <font>
                <b/>
                <i val="0"/>
                <color rgb="FFFF0000"/>
              </font>
            </x14:dxf>
          </x14:cfRule>
          <xm:sqref>C109:C156</xm:sqref>
        </x14:conditionalFormatting>
        <x14:conditionalFormatting xmlns:xm="http://schemas.microsoft.com/office/excel/2006/main">
          <x14:cfRule type="expression" priority="862" id="{2347CAEE-89B6-4B0D-8E7D-AB78920E7BEA}">
            <xm:f>AND(Infrastructure!$AG$37&gt;Infrastructure!$AH$37,$A168=Infrastructure!$AH$37)</xm:f>
            <x14:dxf>
              <font>
                <b/>
                <i val="0"/>
                <strike val="0"/>
                <color rgb="FFFF0000"/>
              </font>
            </x14:dxf>
          </x14:cfRule>
          <xm:sqref>C168:C175</xm:sqref>
        </x14:conditionalFormatting>
        <x14:conditionalFormatting xmlns:xm="http://schemas.microsoft.com/office/excel/2006/main">
          <x14:cfRule type="expression" priority="858" id="{DBCBBDFC-6E9D-45D9-9FFC-BA6B0D22CFD0}">
            <xm:f>AND(Infrastructure!$AG$38&gt;Infrastructure!$AH$38,$A185=Infrastructure!$AH$38)</xm:f>
            <x14:dxf>
              <font>
                <b/>
                <i val="0"/>
                <color rgb="FFFF0000"/>
              </font>
            </x14:dxf>
          </x14:cfRule>
          <xm:sqref>C185:C232</xm:sqref>
        </x14:conditionalFormatting>
        <x14:conditionalFormatting xmlns:xm="http://schemas.microsoft.com/office/excel/2006/main">
          <x14:cfRule type="expression" priority="857" id="{776AC13A-208F-4313-AC64-D149452052F9}">
            <xm:f>AND(Infrastructure!$AG$39=$F$238,$A240=Infrastructure!$AH$39)</xm:f>
            <x14:dxf>
              <font>
                <b/>
                <i val="0"/>
                <color rgb="FFFF0000"/>
              </font>
            </x14:dxf>
          </x14:cfRule>
          <xm:sqref>C240:C242</xm:sqref>
        </x14:conditionalFormatting>
        <x14:conditionalFormatting xmlns:xm="http://schemas.microsoft.com/office/excel/2006/main">
          <x14:cfRule type="expression" priority="852" id="{3C578C32-A20B-4E20-9E72-B74BBBB57926}">
            <xm:f>AND(Infrastructure!$AG$39&gt;Infrastructure!$AG$39,$A241=Infrastructure!$AH$39)</xm:f>
            <x14:dxf>
              <font>
                <b/>
                <i val="0"/>
                <color rgb="FFFF0000"/>
              </font>
            </x14:dxf>
          </x14:cfRule>
          <xm:sqref>C240:C257</xm:sqref>
        </x14:conditionalFormatting>
        <x14:conditionalFormatting xmlns:xm="http://schemas.microsoft.com/office/excel/2006/main">
          <x14:cfRule type="expression" priority="856" id="{22A48E2B-0769-418A-BE09-4CFD2B06A327}">
            <xm:f>AND(Infrastructure!$AG$40&gt;Infrastructure!$AH$40,$A263=Infrastructure!$AH$40)</xm:f>
            <x14:dxf>
              <font>
                <b/>
                <i val="0"/>
                <color rgb="FFFF0000"/>
              </font>
            </x14:dxf>
          </x14:cfRule>
          <xm:sqref>C263:C264</xm:sqref>
        </x14:conditionalFormatting>
        <x14:conditionalFormatting xmlns:xm="http://schemas.microsoft.com/office/excel/2006/main">
          <x14:cfRule type="expression" priority="855" id="{FBD3DC43-B0FD-4DFA-BB75-0D76B92F68B7}">
            <xm:f>AND(Infrastructure!$AG$41&gt;Infrastructure!$AG$41,$A280=Infrastructure!$AH$41)</xm:f>
            <x14:dxf>
              <font>
                <b/>
                <i val="0"/>
                <color rgb="FFFF0000"/>
              </font>
            </x14:dxf>
          </x14:cfRule>
          <xm:sqref>C280:C282</xm:sqref>
        </x14:conditionalFormatting>
        <x14:conditionalFormatting xmlns:xm="http://schemas.microsoft.com/office/excel/2006/main">
          <x14:cfRule type="expression" priority="113" id="{3718F7F0-1E77-4B8E-AD78-11FE628E458B}">
            <xm:f>Infrastructure!$BL$39=0</xm:f>
            <x14:dxf>
              <font>
                <color theme="0"/>
              </font>
              <fill>
                <patternFill>
                  <bgColor theme="0"/>
                </patternFill>
              </fill>
              <border>
                <left/>
                <right/>
                <top/>
                <bottom/>
                <vertical/>
                <horizontal/>
              </border>
            </x14:dxf>
          </x14:cfRule>
          <xm:sqref>D2:H14</xm:sqref>
        </x14:conditionalFormatting>
        <x14:conditionalFormatting xmlns:xm="http://schemas.microsoft.com/office/excel/2006/main">
          <x14:cfRule type="expression" priority="2210" id="{BC44967F-5D45-4867-A365-378B31DAC554}">
            <xm:f>Infrastructure!$BE$24="Error"</xm:f>
            <x14:dxf>
              <font>
                <color theme="0"/>
              </font>
              <border>
                <left/>
                <right/>
                <top/>
                <bottom/>
                <vertical/>
                <horizontal/>
              </border>
            </x14:dxf>
          </x14:cfRule>
          <xm:sqref>D4:H12</xm:sqref>
        </x14:conditionalFormatting>
        <x14:conditionalFormatting xmlns:xm="http://schemas.microsoft.com/office/excel/2006/main">
          <x14:cfRule type="expression" priority="2851" id="{00000000-000E-0000-0000-0000D6090000}">
            <xm:f>AND(Infrastructure!$K$30&lt;&gt;"Yes",Mode="Light")</xm:f>
            <x14:dxf>
              <font>
                <color theme="0"/>
              </font>
              <fill>
                <patternFill>
                  <bgColor theme="0"/>
                </patternFill>
              </fill>
            </x14:dxf>
          </x14:cfRule>
          <xm:sqref>N101:N102 O102</xm:sqref>
        </x14:conditionalFormatting>
        <x14:conditionalFormatting xmlns:xm="http://schemas.microsoft.com/office/excel/2006/main">
          <x14:cfRule type="expression" priority="2870" id="{00000000-000E-0000-0000-0000DB090000}">
            <xm:f>AND(Infrastructure!$K$30="Yes",Mode="Light")</xm:f>
            <x14:dxf>
              <font>
                <color theme="1"/>
              </font>
              <fill>
                <patternFill>
                  <bgColor theme="0"/>
                </patternFill>
              </fill>
            </x14:dxf>
          </x14:cfRule>
          <x14:cfRule type="expression" priority="2869" id="{00000000-000E-0000-0000-0000DA090000}">
            <xm:f>AND(Infrastructure!$K$30&lt;&gt;"Yes",Mode="Dark")</xm:f>
            <x14:dxf>
              <font>
                <color theme="1" tint="0.34998626667073579"/>
              </font>
              <fill>
                <patternFill>
                  <bgColor theme="1" tint="0.34998626667073579"/>
                </patternFill>
              </fill>
            </x14:dxf>
          </x14:cfRule>
          <x14:cfRule type="expression" priority="2868" id="{00000000-000E-0000-0000-0000D9090000}">
            <xm:f>AND(Infrastructure!$K$30&lt;&gt;"Yes",Mode="Light")</xm:f>
            <x14:dxf>
              <font>
                <color theme="0"/>
              </font>
              <fill>
                <patternFill>
                  <bgColor theme="0"/>
                </patternFill>
              </fill>
            </x14:dxf>
          </x14:cfRule>
          <xm:sqref>T103</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837A5EE9-D9BD-45B7-AD4D-278EE197D8BE}">
          <x14:formula1>
            <xm:f>Infrastructure!$D$70:$D$129</xm:f>
          </x14:formula1>
          <xm:sqref>D60:AB61</xm:sqref>
        </x14:dataValidation>
        <x14:dataValidation type="list" allowBlank="1" showInputMessage="1" showErrorMessage="1" xr:uid="{00B75EC4-6F23-4E61-A675-4E0E63F299AE}">
          <x14:formula1>
            <xm:f>IF($CE$4="Three",Infrastructure!$D$70:$D$105,Infrastructure!$D$70:$D$129)</xm:f>
          </x14:formula1>
          <xm:sqref>O1312 D1312 H89:I98 O1310 I165:J174 D1310 H183:I231 H106:I155</xm:sqref>
        </x14:dataValidation>
        <x14:dataValidation type="list" allowBlank="1" showInputMessage="1" showErrorMessage="1" xr:uid="{D281E241-43F0-471B-8722-02FCCB03E67E}">
          <x14:formula1>
            <xm:f>IF($CE$4="Three",Infrastructure!$D$10:$D$105,Infrastructure!$D$10:$D$129)</xm:f>
          </x14:formula1>
          <xm:sqref>H237:H256 H260:H269 Q295:R297 D296:F296 Q277:R279 H277:H286</xm:sqref>
        </x14:dataValidation>
        <x14:dataValidation type="list" allowBlank="1" showInputMessage="1" showErrorMessage="1" xr:uid="{BC48E9A3-DA3F-4C2D-8166-C59E9F714377}">
          <x14:formula1>
            <xm:f>Infrastructure!$B$10:$B$93</xm:f>
          </x14:formula1>
          <xm:sqref>D20</xm:sqref>
        </x14:dataValidation>
        <x14:dataValidation type="list" allowBlank="1" showInputMessage="1" showErrorMessage="1" xr:uid="{0AC8A258-9475-46F7-BC59-B11E28847617}">
          <x14:formula1>
            <xm:f>Infrastructure!$D$10:$D$129</xm:f>
          </x14:formula1>
          <xm:sqref>D298:F298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theme="0" tint="-4.9989318521683403E-2"/>
    <outlinePr summaryBelow="0" summaryRight="0"/>
    <pageSetUpPr autoPageBreaks="0"/>
  </sheetPr>
  <dimension ref="A1:FJ340"/>
  <sheetViews>
    <sheetView showGridLines="0" workbookViewId="0">
      <selection activeCell="A220" activeCellId="3" sqref="A157:XFD159 A168:XFD168 A207:XFD210 A220:XFD220"/>
    </sheetView>
  </sheetViews>
  <sheetFormatPr defaultColWidth="13" defaultRowHeight="15" customHeight="1" outlineLevelCol="1" x14ac:dyDescent="0.35"/>
  <cols>
    <col min="1" max="1" width="1.08203125" style="141" customWidth="1"/>
    <col min="2" max="2" width="8" style="141" customWidth="1"/>
    <col min="3" max="3" width="10.58203125" style="141" customWidth="1"/>
    <col min="4" max="4" width="23.33203125" style="141" customWidth="1"/>
    <col min="5" max="16" width="10.58203125" style="141" customWidth="1" outlineLevel="1"/>
    <col min="17" max="17" width="10.58203125" style="141" customWidth="1" collapsed="1"/>
    <col min="18" max="29" width="10.58203125" style="141" hidden="1" customWidth="1" outlineLevel="1"/>
    <col min="30" max="30" width="10.58203125" style="141" customWidth="1" collapsed="1"/>
    <col min="31" max="42" width="10.58203125" style="141" hidden="1" customWidth="1" outlineLevel="1"/>
    <col min="43" max="43" width="10.58203125" style="141" customWidth="1" collapsed="1"/>
    <col min="44" max="55" width="10.58203125" style="141" hidden="1" customWidth="1" outlineLevel="1"/>
    <col min="56" max="56" width="10.58203125" style="141" customWidth="1" collapsed="1"/>
    <col min="57" max="68" width="10.58203125" style="141" hidden="1" customWidth="1" outlineLevel="1"/>
    <col min="69" max="69" width="10.58203125" style="179" customWidth="1"/>
    <col min="70" max="70" width="12" style="180" customWidth="1"/>
    <col min="71" max="71" width="12" style="179" customWidth="1"/>
    <col min="72" max="72" width="12" style="180" customWidth="1"/>
    <col min="73" max="73" width="12" style="179" customWidth="1"/>
    <col min="74" max="74" width="25.58203125" style="179" hidden="1" customWidth="1"/>
    <col min="75" max="79" width="12" style="179" hidden="1" customWidth="1"/>
    <col min="80" max="89" width="12" style="59" hidden="1" customWidth="1"/>
    <col min="90" max="94" width="12" style="141" hidden="1" customWidth="1"/>
    <col min="95" max="108" width="12" style="141" customWidth="1"/>
    <col min="109" max="16384" width="13" style="141"/>
  </cols>
  <sheetData>
    <row r="1" spans="1:166" ht="24.75" customHeight="1" x14ac:dyDescent="0.3">
      <c r="A1" s="136"/>
      <c r="B1" s="137" t="s">
        <v>39</v>
      </c>
      <c r="C1" s="136"/>
      <c r="D1" s="138"/>
      <c r="E1" s="139"/>
      <c r="F1" s="139">
        <v>2</v>
      </c>
      <c r="G1" s="139">
        <v>3</v>
      </c>
      <c r="H1" s="205">
        <v>4</v>
      </c>
      <c r="I1" s="139">
        <v>5</v>
      </c>
      <c r="J1" s="139">
        <v>6</v>
      </c>
      <c r="K1" s="139">
        <v>7</v>
      </c>
      <c r="L1" s="139">
        <v>8</v>
      </c>
      <c r="M1" s="139">
        <v>9</v>
      </c>
      <c r="N1" s="139">
        <v>10</v>
      </c>
      <c r="O1" s="139">
        <v>11</v>
      </c>
      <c r="P1" s="139">
        <v>12</v>
      </c>
      <c r="Q1" s="139"/>
      <c r="R1" s="139">
        <v>13</v>
      </c>
      <c r="S1" s="139">
        <v>14</v>
      </c>
      <c r="T1" s="139">
        <v>15</v>
      </c>
      <c r="U1" s="139">
        <v>16</v>
      </c>
      <c r="V1" s="139">
        <v>17</v>
      </c>
      <c r="W1" s="139">
        <v>18</v>
      </c>
      <c r="X1" s="139">
        <v>19</v>
      </c>
      <c r="Y1" s="139">
        <v>20</v>
      </c>
      <c r="Z1" s="139">
        <v>21</v>
      </c>
      <c r="AA1" s="139">
        <v>22</v>
      </c>
      <c r="AB1" s="139">
        <v>23</v>
      </c>
      <c r="AC1" s="139">
        <v>24</v>
      </c>
      <c r="AD1" s="139"/>
      <c r="AE1" s="139">
        <v>25</v>
      </c>
      <c r="AF1" s="139">
        <v>26</v>
      </c>
      <c r="AG1" s="139">
        <v>27</v>
      </c>
      <c r="AH1" s="139">
        <v>28</v>
      </c>
      <c r="AI1" s="139">
        <v>29</v>
      </c>
      <c r="AJ1" s="139">
        <v>30</v>
      </c>
      <c r="AK1" s="139">
        <v>31</v>
      </c>
      <c r="AL1" s="139">
        <v>32</v>
      </c>
      <c r="AM1" s="139">
        <v>33</v>
      </c>
      <c r="AN1" s="139">
        <v>34</v>
      </c>
      <c r="AO1" s="139">
        <v>35</v>
      </c>
      <c r="AP1" s="139">
        <v>36</v>
      </c>
      <c r="AQ1" s="139"/>
      <c r="AR1" s="139">
        <v>37</v>
      </c>
      <c r="AS1" s="139">
        <v>38</v>
      </c>
      <c r="AT1" s="139">
        <v>39</v>
      </c>
      <c r="AU1" s="139">
        <v>40</v>
      </c>
      <c r="AV1" s="139">
        <v>41</v>
      </c>
      <c r="AW1" s="139">
        <v>42</v>
      </c>
      <c r="AX1" s="139">
        <v>43</v>
      </c>
      <c r="AY1" s="139">
        <v>44</v>
      </c>
      <c r="AZ1" s="139">
        <v>45</v>
      </c>
      <c r="BA1" s="139">
        <v>46</v>
      </c>
      <c r="BB1" s="139">
        <v>47</v>
      </c>
      <c r="BC1" s="139">
        <v>48</v>
      </c>
      <c r="BD1" s="139"/>
      <c r="BE1" s="139">
        <v>49</v>
      </c>
      <c r="BF1" s="139">
        <v>50</v>
      </c>
      <c r="BG1" s="139">
        <v>51</v>
      </c>
      <c r="BH1" s="139">
        <v>52</v>
      </c>
      <c r="BI1" s="139">
        <v>53</v>
      </c>
      <c r="BJ1" s="139">
        <v>54</v>
      </c>
      <c r="BK1" s="139">
        <v>55</v>
      </c>
      <c r="BL1" s="139">
        <v>56</v>
      </c>
      <c r="BM1" s="139">
        <v>57</v>
      </c>
      <c r="BN1" s="139">
        <v>58</v>
      </c>
      <c r="BO1" s="139">
        <v>59</v>
      </c>
      <c r="BP1" s="139">
        <v>60</v>
      </c>
      <c r="BQ1" s="139"/>
      <c r="BR1" s="1801"/>
      <c r="BS1" s="139"/>
      <c r="BT1" s="1801"/>
      <c r="BU1" s="139"/>
      <c r="BV1" s="139"/>
      <c r="BW1" s="139"/>
      <c r="BX1" s="139"/>
      <c r="BY1" s="140" t="s">
        <v>266</v>
      </c>
      <c r="BZ1" s="139"/>
      <c r="CA1" s="139"/>
      <c r="CB1" s="29"/>
      <c r="CC1" s="29"/>
      <c r="CD1" s="29"/>
      <c r="CE1" s="29"/>
      <c r="CF1" s="29"/>
      <c r="CG1" s="29"/>
      <c r="CH1" s="29"/>
      <c r="CI1" s="29"/>
      <c r="CJ1" s="29"/>
      <c r="CK1" s="29"/>
      <c r="CY1" s="305"/>
      <c r="CZ1" s="305"/>
      <c r="DA1" s="305"/>
      <c r="DB1" s="305"/>
      <c r="DC1" s="305"/>
      <c r="DD1" s="305"/>
      <c r="DE1" s="305"/>
      <c r="DF1" s="305"/>
      <c r="DG1" s="305"/>
      <c r="DH1" s="305"/>
      <c r="DI1" s="305"/>
      <c r="DJ1" s="305"/>
      <c r="DK1" s="305"/>
      <c r="DL1" s="305"/>
      <c r="DM1" s="305"/>
      <c r="DN1" s="305"/>
      <c r="DO1" s="305"/>
      <c r="DP1" s="305"/>
      <c r="DQ1" s="305"/>
      <c r="DR1" s="305"/>
      <c r="DS1" s="305"/>
      <c r="DT1" s="305"/>
      <c r="DU1" s="305"/>
      <c r="DV1" s="305"/>
      <c r="DW1" s="305"/>
      <c r="DX1" s="305"/>
      <c r="DY1" s="305"/>
      <c r="DZ1" s="305"/>
      <c r="EA1" s="305"/>
      <c r="EB1" s="305"/>
      <c r="EC1" s="305"/>
      <c r="ED1" s="305"/>
      <c r="EE1" s="305"/>
      <c r="EF1" s="305"/>
      <c r="EG1" s="305"/>
      <c r="EH1" s="305"/>
      <c r="EI1" s="305"/>
      <c r="EJ1" s="305"/>
      <c r="EK1" s="305"/>
      <c r="EL1" s="305"/>
      <c r="EM1" s="305"/>
      <c r="EN1" s="305"/>
      <c r="EO1" s="305"/>
      <c r="EP1" s="305"/>
      <c r="EQ1" s="305"/>
      <c r="ER1" s="305"/>
      <c r="ES1" s="305"/>
      <c r="ET1" s="305"/>
      <c r="EU1" s="305"/>
      <c r="EV1" s="305"/>
      <c r="EW1" s="305"/>
      <c r="EX1" s="305"/>
      <c r="EY1" s="305"/>
      <c r="EZ1" s="305"/>
      <c r="FA1" s="305"/>
      <c r="FB1" s="305"/>
      <c r="FC1" s="305"/>
      <c r="FD1" s="305"/>
      <c r="FE1" s="305"/>
      <c r="FF1" s="305"/>
      <c r="FG1" s="305"/>
      <c r="FH1" s="305"/>
      <c r="FI1" s="305"/>
      <c r="FJ1" s="305"/>
    </row>
    <row r="2" spans="1:166" ht="16.5" customHeight="1" x14ac:dyDescent="0.35">
      <c r="A2" s="136"/>
      <c r="B2" s="136"/>
      <c r="C2" s="136"/>
      <c r="D2" s="1888" t="s">
        <v>8</v>
      </c>
      <c r="G2" s="143" t="s">
        <v>267</v>
      </c>
      <c r="H2" s="143" t="s">
        <v>268</v>
      </c>
      <c r="I2" s="143" t="s">
        <v>269</v>
      </c>
      <c r="J2" s="143"/>
      <c r="K2" s="143"/>
      <c r="L2" s="143"/>
      <c r="O2" s="143"/>
      <c r="Q2" s="143"/>
      <c r="R2" s="143" t="s">
        <v>270</v>
      </c>
      <c r="AM2" s="178"/>
      <c r="AP2" s="305"/>
      <c r="AQ2" s="304"/>
      <c r="AR2" s="304"/>
      <c r="AS2" s="304"/>
      <c r="AT2" s="304"/>
      <c r="AU2" s="304"/>
      <c r="AV2" s="304"/>
      <c r="AW2" s="304"/>
      <c r="AX2" s="304"/>
      <c r="AY2" s="304"/>
      <c r="AZ2" s="304"/>
      <c r="BA2" s="304"/>
      <c r="BB2" s="304"/>
      <c r="BC2" s="304"/>
      <c r="BD2" s="304"/>
      <c r="BE2" s="304"/>
      <c r="BF2" s="304"/>
      <c r="BG2" s="304"/>
      <c r="BH2" s="304"/>
      <c r="BI2" s="304"/>
      <c r="BJ2" s="304"/>
      <c r="BK2" s="304"/>
      <c r="BL2" s="304"/>
      <c r="BM2" s="304"/>
      <c r="BN2" s="304"/>
      <c r="BO2" s="304"/>
      <c r="BP2" s="304"/>
      <c r="BQ2" s="304"/>
      <c r="BR2" s="1567"/>
      <c r="BS2" s="143"/>
      <c r="BT2" s="1567"/>
      <c r="BU2" s="144"/>
      <c r="BV2" s="144" t="s">
        <v>272</v>
      </c>
      <c r="BW2" s="144"/>
      <c r="BX2" s="144"/>
      <c r="BY2" s="144" t="s">
        <v>273</v>
      </c>
      <c r="BZ2" s="144" t="s">
        <v>274</v>
      </c>
      <c r="CA2" s="144" t="s">
        <v>275</v>
      </c>
      <c r="CB2" s="29"/>
      <c r="CC2" s="29"/>
      <c r="CD2" s="29"/>
      <c r="CE2" s="29"/>
      <c r="CF2" s="29"/>
      <c r="CG2" s="29"/>
      <c r="CH2" s="29"/>
      <c r="CI2" s="29"/>
      <c r="CJ2" s="29"/>
      <c r="CK2" s="29"/>
      <c r="CW2" s="179"/>
      <c r="CX2" s="179"/>
      <c r="CY2" s="305"/>
      <c r="CZ2" s="305"/>
      <c r="DA2" s="305"/>
      <c r="DB2" s="305"/>
      <c r="DC2" s="305"/>
      <c r="DD2" s="305"/>
      <c r="DE2" s="305"/>
      <c r="DF2" s="305"/>
      <c r="DG2" s="305"/>
      <c r="DH2" s="305"/>
      <c r="DI2" s="305"/>
      <c r="DJ2" s="305"/>
      <c r="DK2" s="305"/>
      <c r="DL2" s="305"/>
      <c r="DM2" s="305"/>
      <c r="DN2" s="305"/>
      <c r="DO2" s="305"/>
      <c r="DP2" s="305"/>
      <c r="DQ2" s="305"/>
      <c r="DR2" s="305"/>
      <c r="DS2" s="305"/>
      <c r="DT2" s="305"/>
      <c r="DU2" s="305"/>
      <c r="DV2" s="305"/>
      <c r="DW2" s="305"/>
      <c r="DX2" s="305"/>
      <c r="DY2" s="305"/>
      <c r="DZ2" s="305"/>
      <c r="EA2" s="305"/>
      <c r="EB2" s="305"/>
      <c r="EC2" s="305"/>
      <c r="ED2" s="305"/>
      <c r="EE2" s="305"/>
      <c r="EF2" s="305"/>
      <c r="EG2" s="305"/>
      <c r="EH2" s="305"/>
      <c r="EI2" s="305"/>
      <c r="EJ2" s="305"/>
      <c r="EK2" s="305"/>
      <c r="EL2" s="305"/>
      <c r="EM2" s="305"/>
      <c r="EN2" s="305"/>
      <c r="EO2" s="305"/>
      <c r="EP2" s="305"/>
      <c r="EQ2" s="305"/>
      <c r="ER2" s="305"/>
      <c r="ES2" s="305"/>
      <c r="ET2" s="305"/>
      <c r="EU2" s="305"/>
      <c r="EV2" s="305"/>
      <c r="EW2" s="305"/>
      <c r="EX2" s="305"/>
      <c r="EY2" s="305"/>
      <c r="EZ2" s="305"/>
      <c r="FA2" s="305"/>
      <c r="FB2" s="305"/>
      <c r="FC2" s="305"/>
      <c r="FD2" s="305"/>
      <c r="FE2" s="305"/>
      <c r="FF2" s="305"/>
      <c r="FG2" s="305"/>
      <c r="FH2" s="305"/>
      <c r="FI2" s="305"/>
      <c r="FJ2" s="305"/>
    </row>
    <row r="3" spans="1:166" ht="26.25" customHeight="1" thickBot="1" x14ac:dyDescent="0.35">
      <c r="A3" s="146"/>
      <c r="B3" s="146"/>
      <c r="C3" s="146"/>
      <c r="D3" s="1888"/>
      <c r="E3" s="284">
        <f>Infrastructure!H14</f>
        <v>0</v>
      </c>
      <c r="F3" s="284">
        <f>Infrastructure!I14</f>
        <v>59</v>
      </c>
      <c r="G3" s="284">
        <f>Infrastructure!J14</f>
        <v>91</v>
      </c>
      <c r="H3" s="284">
        <f>Infrastructure!K14</f>
        <v>121</v>
      </c>
      <c r="I3" s="284">
        <f>Infrastructure!L14</f>
        <v>152</v>
      </c>
      <c r="J3" s="284">
        <f>Infrastructure!M14</f>
        <v>182</v>
      </c>
      <c r="K3" s="284">
        <f>Infrastructure!N14</f>
        <v>213</v>
      </c>
      <c r="L3" s="284">
        <f>Infrastructure!O14</f>
        <v>244</v>
      </c>
      <c r="M3" s="284">
        <f>Infrastructure!P14</f>
        <v>274</v>
      </c>
      <c r="N3" s="284">
        <f>Infrastructure!Q14</f>
        <v>305</v>
      </c>
      <c r="O3" s="284">
        <f>Infrastructure!R14</f>
        <v>335</v>
      </c>
      <c r="P3" s="284">
        <f>Infrastructure!S14</f>
        <v>366</v>
      </c>
      <c r="Q3" s="1260" t="str">
        <f>Infrastructure!H9</f>
        <v>Year 1</v>
      </c>
      <c r="R3" s="284">
        <f>Infrastructure!T14</f>
        <v>397</v>
      </c>
      <c r="S3" s="284">
        <f>Infrastructure!U14</f>
        <v>425</v>
      </c>
      <c r="T3" s="284">
        <f>Infrastructure!V14</f>
        <v>456</v>
      </c>
      <c r="U3" s="284">
        <f>Infrastructure!W14</f>
        <v>486</v>
      </c>
      <c r="V3" s="284">
        <f>Infrastructure!X14</f>
        <v>517</v>
      </c>
      <c r="W3" s="284">
        <f>Infrastructure!Y14</f>
        <v>547</v>
      </c>
      <c r="X3" s="284">
        <f>Infrastructure!Z14</f>
        <v>578</v>
      </c>
      <c r="Y3" s="284">
        <f>Infrastructure!AA14</f>
        <v>609</v>
      </c>
      <c r="Z3" s="284">
        <f>Infrastructure!AB14</f>
        <v>639</v>
      </c>
      <c r="AA3" s="284">
        <f>Infrastructure!AC14</f>
        <v>670</v>
      </c>
      <c r="AB3" s="284">
        <f>Infrastructure!AD14</f>
        <v>700</v>
      </c>
      <c r="AC3" s="284">
        <f>Infrastructure!AE14</f>
        <v>731</v>
      </c>
      <c r="AD3" s="1260" t="str">
        <f>Infrastructure!I9</f>
        <v>Year 2</v>
      </c>
      <c r="AE3" s="284">
        <f>Infrastructure!AF14</f>
        <v>762</v>
      </c>
      <c r="AF3" s="284">
        <f>Infrastructure!AG14</f>
        <v>790</v>
      </c>
      <c r="AG3" s="284">
        <f>Infrastructure!AH14</f>
        <v>821</v>
      </c>
      <c r="AH3" s="284">
        <f>Infrastructure!AI14</f>
        <v>851</v>
      </c>
      <c r="AI3" s="284">
        <f>Infrastructure!AJ14</f>
        <v>882</v>
      </c>
      <c r="AJ3" s="284">
        <f>Infrastructure!AK14</f>
        <v>912</v>
      </c>
      <c r="AK3" s="284">
        <f>Infrastructure!AL14</f>
        <v>943</v>
      </c>
      <c r="AL3" s="284">
        <f>Infrastructure!AM14</f>
        <v>974</v>
      </c>
      <c r="AM3" s="284">
        <f>Infrastructure!AN14</f>
        <v>1004</v>
      </c>
      <c r="AN3" s="284">
        <f>Infrastructure!AO14</f>
        <v>1035</v>
      </c>
      <c r="AO3" s="284">
        <f>Infrastructure!AP14</f>
        <v>1065</v>
      </c>
      <c r="AP3" s="284">
        <f>Infrastructure!AQ14</f>
        <v>1096</v>
      </c>
      <c r="AQ3" s="1260" t="str">
        <f>Infrastructure!J9</f>
        <v>Year 3</v>
      </c>
      <c r="AR3" s="284">
        <f>Infrastructure!AR14</f>
        <v>1127</v>
      </c>
      <c r="AS3" s="284">
        <f>Infrastructure!AS14</f>
        <v>1155</v>
      </c>
      <c r="AT3" s="284">
        <f>Infrastructure!AT14</f>
        <v>1186</v>
      </c>
      <c r="AU3" s="284">
        <f>Infrastructure!AU14</f>
        <v>1216</v>
      </c>
      <c r="AV3" s="284">
        <f>Infrastructure!AV14</f>
        <v>1247</v>
      </c>
      <c r="AW3" s="284">
        <f>Infrastructure!AW14</f>
        <v>1277</v>
      </c>
      <c r="AX3" s="284">
        <f>Infrastructure!AX14</f>
        <v>1308</v>
      </c>
      <c r="AY3" s="284">
        <f>Infrastructure!AY14</f>
        <v>1339</v>
      </c>
      <c r="AZ3" s="284">
        <f>Infrastructure!AZ14</f>
        <v>1369</v>
      </c>
      <c r="BA3" s="284">
        <f>Infrastructure!BA14</f>
        <v>1400</v>
      </c>
      <c r="BB3" s="284">
        <f>Infrastructure!BB14</f>
        <v>1430</v>
      </c>
      <c r="BC3" s="284">
        <f>Infrastructure!BC14</f>
        <v>1461</v>
      </c>
      <c r="BD3" s="1260" t="str">
        <f>Infrastructure!K9</f>
        <v>Year 4</v>
      </c>
      <c r="BE3" s="284">
        <f>Infrastructure!BD14</f>
        <v>1492</v>
      </c>
      <c r="BF3" s="284">
        <f>Infrastructure!BE14</f>
        <v>1521</v>
      </c>
      <c r="BG3" s="284">
        <f>Infrastructure!BF14</f>
        <v>1552</v>
      </c>
      <c r="BH3" s="284">
        <f>Infrastructure!BG14</f>
        <v>1582</v>
      </c>
      <c r="BI3" s="284">
        <f>Infrastructure!BH14</f>
        <v>1613</v>
      </c>
      <c r="BJ3" s="284">
        <f>Infrastructure!BI14</f>
        <v>1643</v>
      </c>
      <c r="BK3" s="284">
        <f>Infrastructure!BJ14</f>
        <v>1674</v>
      </c>
      <c r="BL3" s="284">
        <f>Infrastructure!BK14</f>
        <v>1705</v>
      </c>
      <c r="BM3" s="284">
        <f>Infrastructure!BL14</f>
        <v>1735</v>
      </c>
      <c r="BN3" s="284">
        <f>Infrastructure!BM14</f>
        <v>1766</v>
      </c>
      <c r="BO3" s="284">
        <f>Infrastructure!BN14</f>
        <v>1796</v>
      </c>
      <c r="BP3" s="284">
        <f>Infrastructure!BO14</f>
        <v>1827</v>
      </c>
      <c r="BQ3" s="1260" t="str">
        <f>Infrastructure!L9</f>
        <v>Year 5</v>
      </c>
      <c r="BR3" s="1802"/>
      <c r="BS3" s="153"/>
      <c r="BT3" s="1802"/>
      <c r="BU3" s="148" t="inlineStr">
        <is>
          <t>Total</t>
        </is>
      </c>
      <c r="BV3" s="146"/>
      <c r="BW3" s="147"/>
      <c r="BX3" s="147"/>
      <c r="BY3" s="147"/>
      <c r="BZ3" s="147"/>
      <c r="CA3" s="147"/>
      <c r="CB3" s="147"/>
      <c r="CC3" s="147"/>
      <c r="CD3" s="147"/>
      <c r="CE3" s="147"/>
      <c r="CF3" s="147"/>
      <c r="CG3" s="147"/>
      <c r="CH3" s="147"/>
      <c r="CI3" s="147"/>
      <c r="CJ3" s="147"/>
      <c r="CK3" s="147"/>
      <c r="CL3" s="147"/>
      <c r="CM3" s="149"/>
      <c r="CN3" s="149"/>
      <c r="CO3" s="149"/>
      <c r="CP3" s="149"/>
      <c r="CW3" s="179"/>
      <c r="CX3" s="179"/>
      <c r="CY3" s="305"/>
      <c r="CZ3" s="305"/>
      <c r="DA3" s="305"/>
      <c r="DB3" s="305"/>
      <c r="DC3" s="305"/>
      <c r="DD3" s="305"/>
      <c r="DE3" s="305"/>
      <c r="DF3" s="305"/>
      <c r="DG3" s="305"/>
      <c r="DH3" s="305"/>
      <c r="DI3" s="305"/>
      <c r="DJ3" s="305"/>
      <c r="DK3" s="305"/>
      <c r="DL3" s="305"/>
      <c r="DM3" s="305"/>
      <c r="DN3" s="305"/>
      <c r="DO3" s="305"/>
      <c r="DP3" s="305"/>
      <c r="DQ3" s="305"/>
      <c r="DR3" s="305"/>
      <c r="DS3" s="305"/>
      <c r="DT3" s="305"/>
      <c r="DU3" s="305"/>
      <c r="DV3" s="305"/>
      <c r="DW3" s="305"/>
      <c r="DX3" s="305"/>
      <c r="DY3" s="305"/>
      <c r="DZ3" s="305"/>
      <c r="EA3" s="305"/>
      <c r="EB3" s="305"/>
      <c r="EC3" s="305"/>
      <c r="ED3" s="305"/>
      <c r="EE3" s="305"/>
      <c r="EF3" s="305"/>
      <c r="EG3" s="305"/>
      <c r="EH3" s="305"/>
      <c r="EI3" s="305"/>
      <c r="EJ3" s="305"/>
      <c r="EK3" s="305"/>
      <c r="EL3" s="305"/>
      <c r="EM3" s="305"/>
      <c r="EN3" s="305"/>
      <c r="EO3" s="305"/>
      <c r="EP3" s="305"/>
      <c r="EQ3" s="305"/>
      <c r="ER3" s="305"/>
      <c r="ES3" s="305"/>
      <c r="ET3" s="305"/>
      <c r="EU3" s="305"/>
      <c r="EV3" s="305"/>
      <c r="EW3" s="305"/>
      <c r="EX3" s="305"/>
      <c r="EY3" s="305"/>
      <c r="EZ3" s="305"/>
      <c r="FA3" s="305"/>
      <c r="FB3" s="305"/>
      <c r="FC3" s="305"/>
      <c r="FD3" s="305"/>
      <c r="FE3" s="305"/>
      <c r="FF3" s="305"/>
      <c r="FG3" s="305"/>
      <c r="FH3" s="305"/>
      <c r="FI3" s="305"/>
      <c r="FJ3" s="305"/>
    </row>
    <row r="4" spans="1:166" ht="12.75" customHeight="1" x14ac:dyDescent="0.35">
      <c r="A4" s="136"/>
      <c r="B4" s="150"/>
      <c r="C4" s="53"/>
      <c r="D4" s="97" t="str">
        <f>IF(Infrastructure!AO26=Infrastructure!AN26,"Revenue","Revenue - Hidden Rows with Values")</f>
        <v>Revenue</v>
      </c>
      <c r="E4" s="96"/>
      <c r="F4" s="96"/>
      <c r="G4" s="96"/>
      <c r="H4" s="96"/>
      <c r="I4" s="96"/>
      <c r="J4" s="96"/>
      <c r="K4" s="96"/>
      <c r="L4" s="96"/>
      <c r="M4" s="96"/>
      <c r="N4" s="96"/>
      <c r="O4" s="96"/>
      <c r="P4" s="96"/>
      <c r="Q4" s="96"/>
      <c r="R4" s="147"/>
      <c r="S4" s="96"/>
      <c r="T4" s="96"/>
      <c r="U4" s="96"/>
      <c r="V4" s="96"/>
      <c r="W4" s="96"/>
      <c r="X4" s="96"/>
      <c r="Y4" s="96"/>
      <c r="Z4" s="96"/>
      <c r="AA4" s="96"/>
      <c r="AB4" s="96"/>
      <c r="AC4" s="96"/>
      <c r="AD4" s="151"/>
      <c r="AE4" s="96"/>
      <c r="AF4" s="96"/>
      <c r="AG4" s="96"/>
      <c r="AH4" s="96"/>
      <c r="AI4" s="96"/>
      <c r="AJ4" s="96"/>
      <c r="AK4" s="96"/>
      <c r="AL4" s="96"/>
      <c r="AM4" s="96"/>
      <c r="AN4" s="96"/>
      <c r="AO4" s="96"/>
      <c r="AP4" s="96"/>
      <c r="AQ4" s="151"/>
      <c r="AR4" s="96"/>
      <c r="AS4" s="96"/>
      <c r="AT4" s="96"/>
      <c r="AU4" s="96"/>
      <c r="AV4" s="96"/>
      <c r="AW4" s="96"/>
      <c r="AX4" s="96"/>
      <c r="AY4" s="96"/>
      <c r="AZ4" s="96"/>
      <c r="BA4" s="96"/>
      <c r="BB4" s="96"/>
      <c r="BC4" s="96"/>
      <c r="BD4" s="151"/>
      <c r="BE4" s="96"/>
      <c r="BF4" s="96"/>
      <c r="BG4" s="96"/>
      <c r="BH4" s="96"/>
      <c r="BI4" s="96"/>
      <c r="BJ4" s="96"/>
      <c r="BK4" s="96"/>
      <c r="BL4" s="96"/>
      <c r="BM4" s="96"/>
      <c r="BN4" s="96"/>
      <c r="BO4" s="96"/>
      <c r="BP4" s="96"/>
      <c r="BQ4" s="151"/>
      <c r="BR4" s="1802"/>
      <c r="BS4" s="153"/>
      <c r="BT4" s="1802"/>
      <c r="BU4" s="113"/>
      <c r="BV4" s="52" t="s">
        <v>3</v>
      </c>
      <c r="BW4" s="96"/>
      <c r="BX4" s="96"/>
      <c r="BY4" s="96"/>
      <c r="BZ4" s="96"/>
      <c r="CA4" s="96"/>
      <c r="CB4" s="96"/>
      <c r="CC4" s="96"/>
      <c r="CD4" s="96"/>
      <c r="CE4" s="96"/>
      <c r="CF4" s="96"/>
      <c r="CG4" s="96"/>
      <c r="CH4" s="96"/>
      <c r="CI4" s="96"/>
      <c r="CJ4" s="96"/>
      <c r="CK4" s="96"/>
      <c r="CL4" s="96"/>
      <c r="CM4" s="110"/>
      <c r="CN4" s="149"/>
      <c r="CO4" s="149"/>
      <c r="CP4" s="149"/>
      <c r="CW4" s="179"/>
      <c r="CX4" s="179"/>
      <c r="CY4" s="305"/>
      <c r="CZ4" s="305"/>
      <c r="DA4" s="305"/>
      <c r="DB4" s="305"/>
      <c r="DC4" s="305"/>
      <c r="DD4" s="305"/>
      <c r="DE4" s="305"/>
      <c r="DF4" s="305"/>
      <c r="DG4" s="305"/>
      <c r="DH4" s="305"/>
      <c r="DI4" s="305"/>
      <c r="DJ4" s="305"/>
      <c r="DK4" s="305"/>
      <c r="DL4" s="305"/>
      <c r="DM4" s="305"/>
      <c r="DN4" s="305"/>
      <c r="DO4" s="305"/>
      <c r="DP4" s="305"/>
      <c r="DQ4" s="305"/>
      <c r="DR4" s="305"/>
      <c r="DS4" s="305"/>
      <c r="DT4" s="305"/>
      <c r="DU4" s="305"/>
      <c r="DV4" s="305"/>
      <c r="DW4" s="305"/>
      <c r="DX4" s="305"/>
      <c r="DY4" s="305"/>
      <c r="DZ4" s="305"/>
      <c r="EA4" s="305"/>
      <c r="EB4" s="305"/>
      <c r="EC4" s="305"/>
      <c r="ED4" s="305"/>
      <c r="EE4" s="305"/>
      <c r="EF4" s="305"/>
      <c r="EG4" s="305"/>
      <c r="EH4" s="305"/>
      <c r="EI4" s="305"/>
      <c r="EJ4" s="305"/>
      <c r="EK4" s="305"/>
      <c r="EL4" s="305"/>
      <c r="EM4" s="305"/>
      <c r="EN4" s="305"/>
      <c r="EO4" s="305"/>
      <c r="EP4" s="305"/>
      <c r="EQ4" s="305"/>
      <c r="ER4" s="305"/>
      <c r="ES4" s="305"/>
      <c r="ET4" s="305"/>
      <c r="EU4" s="305"/>
      <c r="EV4" s="305"/>
      <c r="EW4" s="305"/>
      <c r="EX4" s="305"/>
      <c r="EY4" s="305"/>
      <c r="EZ4" s="305"/>
      <c r="FA4" s="305"/>
      <c r="FB4" s="305"/>
      <c r="FC4" s="305"/>
      <c r="FD4" s="305"/>
      <c r="FE4" s="305"/>
      <c r="FF4" s="305"/>
      <c r="FG4" s="305"/>
      <c r="FH4" s="305"/>
      <c r="FI4" s="305"/>
      <c r="FJ4" s="305"/>
    </row>
    <row r="5" spans="1:166" ht="12.75" hidden="1" customHeight="1" x14ac:dyDescent="0.35">
      <c r="A5" s="165"/>
      <c r="B5" s="307" t="str">
        <f>IF(Input!D1309="Monthly","This row can be hidden","")</f>
        <v/>
      </c>
      <c r="C5" s="136"/>
      <c r="D5" s="152" t="s">
        <v>276</v>
      </c>
      <c r="E5" s="1802">
        <f>Calcs!L192</f>
        <v>0</v>
      </c>
      <c r="F5" s="1802">
        <f>Calcs!M192</f>
        <v>0</v>
      </c>
      <c r="G5" s="1802">
        <f>Calcs!N192</f>
        <v>0</v>
      </c>
      <c r="H5" s="1802">
        <f>Calcs!O192</f>
        <v>0</v>
      </c>
      <c r="I5" s="1802">
        <f>Calcs!P192</f>
        <v>0</v>
      </c>
      <c r="J5" s="1802">
        <f>Calcs!Q192</f>
        <v>0</v>
      </c>
      <c r="K5" s="1802">
        <f>Calcs!R192</f>
        <v>0</v>
      </c>
      <c r="L5" s="1802">
        <f>Calcs!S192</f>
        <v>0</v>
      </c>
      <c r="M5" s="1802">
        <f>Calcs!T192</f>
        <v>0</v>
      </c>
      <c r="N5" s="1802">
        <f>Calcs!U192</f>
        <v>0</v>
      </c>
      <c r="O5" s="1802">
        <f>Calcs!V192</f>
        <v>0</v>
      </c>
      <c r="P5" s="1802">
        <f>Calcs!W192</f>
        <v>0</v>
      </c>
      <c r="Q5" s="96">
        <f>SUM(E5:P5)</f>
        <v>0</v>
      </c>
      <c r="R5" s="1802">
        <f>Calcs!X192</f>
        <v>0</v>
      </c>
      <c r="S5" s="1802">
        <f>Calcs!Y192</f>
        <v>0</v>
      </c>
      <c r="T5" s="1802">
        <f>Calcs!Z192</f>
        <v>0</v>
      </c>
      <c r="U5" s="1802">
        <f>Calcs!AA192</f>
        <v>0</v>
      </c>
      <c r="V5" s="1802">
        <f>Calcs!AB192</f>
        <v>0</v>
      </c>
      <c r="W5" s="1802">
        <f>Calcs!AC192</f>
        <v>0</v>
      </c>
      <c r="X5" s="1802">
        <f>Calcs!AD192</f>
        <v>0</v>
      </c>
      <c r="Y5" s="1802">
        <f>Calcs!AE192</f>
        <v>0</v>
      </c>
      <c r="Z5" s="1802">
        <f>Calcs!AF192</f>
        <v>0</v>
      </c>
      <c r="AA5" s="1802">
        <f>Calcs!AG192</f>
        <v>0</v>
      </c>
      <c r="AB5" s="1802">
        <f>Calcs!AH192</f>
        <v>0</v>
      </c>
      <c r="AC5" s="1802">
        <f>Calcs!AI192</f>
        <v>0</v>
      </c>
      <c r="AD5" s="96">
        <f>SUM(R5:AC5)</f>
        <v>0</v>
      </c>
      <c r="AE5" s="1802">
        <f>Calcs!AJ192</f>
        <v>0</v>
      </c>
      <c r="AF5" s="1802">
        <f>Calcs!AK192</f>
        <v>0</v>
      </c>
      <c r="AG5" s="1802">
        <f>Calcs!AL192</f>
        <v>0</v>
      </c>
      <c r="AH5" s="1802">
        <f>Calcs!AM192</f>
        <v>0</v>
      </c>
      <c r="AI5" s="1802">
        <f>Calcs!AN192</f>
        <v>0</v>
      </c>
      <c r="AJ5" s="1802">
        <f>Calcs!AO192</f>
        <v>0</v>
      </c>
      <c r="AK5" s="1802">
        <f>Calcs!AP192</f>
        <v>0</v>
      </c>
      <c r="AL5" s="1802">
        <f>Calcs!AQ192</f>
        <v>0</v>
      </c>
      <c r="AM5" s="1802">
        <f>Calcs!AR192</f>
        <v>0</v>
      </c>
      <c r="AN5" s="1802">
        <f>Calcs!AS192</f>
        <v>0</v>
      </c>
      <c r="AO5" s="1802">
        <f>Calcs!AT192</f>
        <v>0</v>
      </c>
      <c r="AP5" s="1802">
        <f>Calcs!AU192</f>
        <v>0</v>
      </c>
      <c r="AQ5" s="96">
        <f>SUM(AE5:AP5)</f>
        <v>0</v>
      </c>
      <c r="AR5" s="1802">
        <f>Calcs!AV192</f>
        <v>0</v>
      </c>
      <c r="AS5" s="1802">
        <f>Calcs!AW192</f>
        <v>0</v>
      </c>
      <c r="AT5" s="1802">
        <f>Calcs!AX192</f>
        <v>0</v>
      </c>
      <c r="AU5" s="1802">
        <f>Calcs!AY192</f>
        <v>0</v>
      </c>
      <c r="AV5" s="1802">
        <f>Calcs!AZ192</f>
        <v>0</v>
      </c>
      <c r="AW5" s="1802">
        <f>Calcs!BA192</f>
        <v>0</v>
      </c>
      <c r="AX5" s="1802">
        <f>Calcs!BB192</f>
        <v>0</v>
      </c>
      <c r="AY5" s="1802">
        <f>Calcs!BC192</f>
        <v>0</v>
      </c>
      <c r="AZ5" s="1802">
        <f>Calcs!BD192</f>
        <v>0</v>
      </c>
      <c r="BA5" s="1802">
        <f>Calcs!BE192</f>
        <v>0</v>
      </c>
      <c r="BB5" s="1802">
        <f>Calcs!BF192</f>
        <v>0</v>
      </c>
      <c r="BC5" s="1802">
        <f>Calcs!BG192</f>
        <v>0</v>
      </c>
      <c r="BD5" s="96">
        <f>SUM(AR5:BC5)</f>
        <v>0</v>
      </c>
      <c r="BE5" s="1802">
        <f>Calcs!BH192</f>
        <v>0</v>
      </c>
      <c r="BF5" s="1802">
        <f>Calcs!BI192</f>
        <v>0</v>
      </c>
      <c r="BG5" s="1802">
        <f>Calcs!BJ192</f>
        <v>0</v>
      </c>
      <c r="BH5" s="1802">
        <f>Calcs!BK192</f>
        <v>0</v>
      </c>
      <c r="BI5" s="1802">
        <f>Calcs!BL192</f>
        <v>0</v>
      </c>
      <c r="BJ5" s="1802">
        <f>Calcs!BM192</f>
        <v>0</v>
      </c>
      <c r="BK5" s="1802">
        <f>Calcs!BN192</f>
        <v>0</v>
      </c>
      <c r="BL5" s="1802">
        <f>Calcs!BO192</f>
        <v>0</v>
      </c>
      <c r="BM5" s="1802">
        <f>Calcs!BP192</f>
        <v>0</v>
      </c>
      <c r="BN5" s="1802">
        <f>Calcs!BQ192</f>
        <v>0</v>
      </c>
      <c r="BO5" s="1802">
        <f>Calcs!BR192</f>
        <v>0</v>
      </c>
      <c r="BP5" s="1802">
        <f>Calcs!BS192</f>
        <v>0</v>
      </c>
      <c r="BQ5" s="96">
        <f>SUM(BE5:BP5)</f>
        <v>0</v>
      </c>
      <c r="BR5" s="1802"/>
      <c r="BS5" s="153">
        <f>SUM(BQ5,BD5,AQ5,AD5,Q5)</f>
        <v>0</v>
      </c>
      <c r="BT5" s="1802"/>
      <c r="BU5" s="153">
        <f>SUM(BQ5,BD5,AQ5,AD5,Q5)</f>
        <v>0</v>
      </c>
      <c r="BV5" s="152" t="str">
        <f>D5</f>
        <v>Subscription - Annual (Earned)</v>
      </c>
      <c r="BW5" s="96">
        <f>SUM(Financials!E5:'Financials'!G5)</f>
        <v>0</v>
      </c>
      <c r="BX5" s="96">
        <f>SUM(Financials!H5:'Financials'!J5)</f>
        <v>0</v>
      </c>
      <c r="BY5" s="96">
        <f>SUM(Financials!K5:'Financials'!M5)</f>
        <v>0</v>
      </c>
      <c r="BZ5" s="96">
        <f>SUM(Financials!N5:'Financials'!P5)</f>
        <v>0</v>
      </c>
      <c r="CA5" s="96">
        <f>SUM(Financials!R5:'Financials'!T5)</f>
        <v>0</v>
      </c>
      <c r="CB5" s="96">
        <f>SUM(Financials!U5:'Financials'!W5)</f>
        <v>0</v>
      </c>
      <c r="CC5" s="96">
        <f>SUM(Financials!X5:'Financials'!Z5)</f>
        <v>0</v>
      </c>
      <c r="CD5" s="96">
        <f>SUM(Financials!AA5:'Financials'!AC5)</f>
        <v>0</v>
      </c>
      <c r="CE5" s="96">
        <f>SUM(Financials!AE5:'Financials'!AG5)</f>
        <v>0</v>
      </c>
      <c r="CF5" s="96">
        <f>SUM(Financials!AH5:'Financials'!AJ5)</f>
        <v>0</v>
      </c>
      <c r="CG5" s="96">
        <f>SUM(Financials!AK5:'Financials'!AM5)</f>
        <v>0</v>
      </c>
      <c r="CH5" s="96">
        <f>SUM(Financials!AN5:'Financials'!AP5)</f>
        <v>0</v>
      </c>
      <c r="CI5" s="96">
        <f>SUM(Financials!AR5:'Financials'!AT5)</f>
        <v>0</v>
      </c>
      <c r="CJ5" s="96">
        <f>SUM(Financials!AU5:'Financials'!AW5)</f>
        <v>0</v>
      </c>
      <c r="CK5" s="96">
        <f>SUM(Financials!AX5:'Financials'!AZ5)</f>
        <v>0</v>
      </c>
      <c r="CL5" s="96">
        <f>SUM(Financials!BA5:'Financials'!BC5)</f>
        <v>0</v>
      </c>
      <c r="CM5" s="96">
        <f>SUM(Financials!BE5:'Financials'!BG5)</f>
        <v>0</v>
      </c>
      <c r="CN5" s="96">
        <f>SUM(Financials!BH5:'Financials'!BJ5)</f>
        <v>0</v>
      </c>
      <c r="CO5" s="96">
        <f>SUM(Financials!BK5:'Financials'!BM5)</f>
        <v>0</v>
      </c>
      <c r="CP5" s="96">
        <f>SUM(Financials!BN5:'Financials'!BP5)</f>
        <v>0</v>
      </c>
      <c r="CW5" s="179"/>
      <c r="CX5" s="179"/>
      <c r="CY5" s="305"/>
      <c r="CZ5" s="305"/>
      <c r="DA5" s="305"/>
      <c r="DB5" s="305"/>
      <c r="DC5" s="305"/>
      <c r="DD5" s="305"/>
      <c r="DE5" s="305"/>
      <c r="DF5" s="305"/>
      <c r="DG5" s="305"/>
      <c r="DH5" s="305"/>
      <c r="DI5" s="305"/>
      <c r="DJ5" s="305"/>
      <c r="DK5" s="305"/>
      <c r="DL5" s="305"/>
      <c r="DM5" s="305"/>
      <c r="DN5" s="305"/>
      <c r="DO5" s="305"/>
      <c r="DP5" s="305"/>
      <c r="DQ5" s="305"/>
      <c r="DR5" s="305"/>
      <c r="DS5" s="305"/>
      <c r="DT5" s="305"/>
      <c r="DU5" s="305"/>
      <c r="DV5" s="305"/>
      <c r="DW5" s="305"/>
      <c r="DX5" s="305"/>
      <c r="DY5" s="305"/>
      <c r="DZ5" s="305"/>
      <c r="EA5" s="305"/>
      <c r="EB5" s="305"/>
      <c r="EC5" s="305"/>
      <c r="ED5" s="305"/>
      <c r="EE5" s="305"/>
      <c r="EF5" s="305"/>
      <c r="EG5" s="305"/>
      <c r="EH5" s="305"/>
      <c r="EI5" s="305"/>
      <c r="EJ5" s="305"/>
      <c r="EK5" s="305"/>
      <c r="EL5" s="305"/>
      <c r="EM5" s="305"/>
      <c r="EN5" s="305"/>
      <c r="EO5" s="305"/>
      <c r="EP5" s="305"/>
      <c r="EQ5" s="305"/>
      <c r="ER5" s="305"/>
      <c r="ES5" s="305"/>
      <c r="ET5" s="305"/>
      <c r="EU5" s="305"/>
      <c r="EV5" s="305"/>
      <c r="EW5" s="305"/>
      <c r="EX5" s="305"/>
      <c r="EY5" s="305"/>
      <c r="EZ5" s="305"/>
      <c r="FA5" s="305"/>
      <c r="FB5" s="305"/>
      <c r="FC5" s="305"/>
      <c r="FD5" s="305"/>
      <c r="FE5" s="305"/>
      <c r="FF5" s="305"/>
      <c r="FG5" s="305"/>
      <c r="FH5" s="305"/>
      <c r="FI5" s="305"/>
      <c r="FJ5" s="305"/>
    </row>
    <row r="6" spans="1:166" ht="12.75" hidden="1" customHeight="1" x14ac:dyDescent="0.35">
      <c r="A6" s="165"/>
      <c r="B6" s="307" t="str">
        <f>IF(Input!D1309="Annual","This row can be hidden","")</f>
        <v/>
      </c>
      <c r="C6" s="53"/>
      <c r="D6" s="152" t="s">
        <v>277</v>
      </c>
      <c r="E6" s="96">
        <f>Calcs!L194</f>
        <v>0</v>
      </c>
      <c r="F6" s="96">
        <f>Calcs!M194</f>
        <v>0</v>
      </c>
      <c r="G6" s="96">
        <f>Calcs!N194</f>
        <v>0</v>
      </c>
      <c r="H6" s="96">
        <f>Calcs!O194</f>
        <v>0</v>
      </c>
      <c r="I6" s="96">
        <f>Calcs!P194</f>
        <v>0</v>
      </c>
      <c r="J6" s="96">
        <f>Calcs!Q194</f>
        <v>0</v>
      </c>
      <c r="K6" s="96">
        <f>Calcs!R194</f>
        <v>0</v>
      </c>
      <c r="L6" s="96">
        <f>Calcs!S194</f>
        <v>0</v>
      </c>
      <c r="M6" s="96">
        <f>Calcs!T194</f>
        <v>0</v>
      </c>
      <c r="N6" s="96">
        <f>Calcs!U194</f>
        <v>0</v>
      </c>
      <c r="O6" s="96">
        <f>Calcs!V194</f>
        <v>0</v>
      </c>
      <c r="P6" s="96">
        <f>Calcs!W194</f>
        <v>0</v>
      </c>
      <c r="Q6" s="96">
        <f>SUM(E6:P6)</f>
        <v>0</v>
      </c>
      <c r="R6" s="96">
        <f>Calcs!X194</f>
        <v>0</v>
      </c>
      <c r="S6" s="96">
        <f>Calcs!Y194</f>
        <v>0</v>
      </c>
      <c r="T6" s="96">
        <f>Calcs!Z194</f>
        <v>0</v>
      </c>
      <c r="U6" s="96">
        <f>Calcs!AA194</f>
        <v>0</v>
      </c>
      <c r="V6" s="96">
        <f>Calcs!AB194</f>
        <v>0</v>
      </c>
      <c r="W6" s="96">
        <f>Calcs!AC194</f>
        <v>0</v>
      </c>
      <c r="X6" s="96">
        <f>Calcs!AD194</f>
        <v>0</v>
      </c>
      <c r="Y6" s="96">
        <f>Calcs!AE194</f>
        <v>0</v>
      </c>
      <c r="Z6" s="96">
        <f>Calcs!AF194</f>
        <v>0</v>
      </c>
      <c r="AA6" s="96">
        <f>Calcs!AG194</f>
        <v>0</v>
      </c>
      <c r="AB6" s="96">
        <f>Calcs!AH194</f>
        <v>0</v>
      </c>
      <c r="AC6" s="96">
        <f>Calcs!AI194</f>
        <v>0</v>
      </c>
      <c r="AD6" s="96">
        <f>SUM(R6:AC6)</f>
        <v>0</v>
      </c>
      <c r="AE6" s="96">
        <f>Calcs!AJ194</f>
        <v>0</v>
      </c>
      <c r="AF6" s="96">
        <f>Calcs!AK194</f>
        <v>0</v>
      </c>
      <c r="AG6" s="96">
        <f>Calcs!AL194</f>
        <v>0</v>
      </c>
      <c r="AH6" s="96">
        <f>Calcs!AM194</f>
        <v>0</v>
      </c>
      <c r="AI6" s="96">
        <f>Calcs!AN194</f>
        <v>0</v>
      </c>
      <c r="AJ6" s="96">
        <f>Calcs!AO194</f>
        <v>0</v>
      </c>
      <c r="AK6" s="96">
        <f>Calcs!AP194</f>
        <v>0</v>
      </c>
      <c r="AL6" s="96">
        <f>Calcs!AQ194</f>
        <v>0</v>
      </c>
      <c r="AM6" s="96">
        <f>Calcs!AR194</f>
        <v>0</v>
      </c>
      <c r="AN6" s="96">
        <f>Calcs!AS194</f>
        <v>0</v>
      </c>
      <c r="AO6" s="96">
        <f>Calcs!AT194</f>
        <v>0</v>
      </c>
      <c r="AP6" s="96">
        <f>Calcs!AU194</f>
        <v>0</v>
      </c>
      <c r="AQ6" s="96">
        <f>SUM(AE6:AP6)</f>
        <v>0</v>
      </c>
      <c r="AR6" s="96">
        <f>Calcs!AV194</f>
        <v>0</v>
      </c>
      <c r="AS6" s="96">
        <f>Calcs!AW194</f>
        <v>0</v>
      </c>
      <c r="AT6" s="96">
        <f>Calcs!AX194</f>
        <v>0</v>
      </c>
      <c r="AU6" s="96">
        <f>Calcs!AY194</f>
        <v>0</v>
      </c>
      <c r="AV6" s="96">
        <f>Calcs!AZ194</f>
        <v>0</v>
      </c>
      <c r="AW6" s="96">
        <f>Calcs!BA194</f>
        <v>0</v>
      </c>
      <c r="AX6" s="96">
        <f>Calcs!BB194</f>
        <v>0</v>
      </c>
      <c r="AY6" s="96">
        <f>Calcs!BC194</f>
        <v>0</v>
      </c>
      <c r="AZ6" s="96">
        <f>Calcs!BD194</f>
        <v>0</v>
      </c>
      <c r="BA6" s="96">
        <f>Calcs!BE194</f>
        <v>0</v>
      </c>
      <c r="BB6" s="96">
        <f>Calcs!BF194</f>
        <v>0</v>
      </c>
      <c r="BC6" s="96">
        <f>Calcs!BG194</f>
        <v>0</v>
      </c>
      <c r="BD6" s="96">
        <f>SUM(AR6:BC6)</f>
        <v>0</v>
      </c>
      <c r="BE6" s="96">
        <f>Calcs!BH194</f>
        <v>0</v>
      </c>
      <c r="BF6" s="96">
        <f>Calcs!BI194</f>
        <v>0</v>
      </c>
      <c r="BG6" s="96">
        <f>Calcs!BJ194</f>
        <v>0</v>
      </c>
      <c r="BH6" s="96">
        <f>Calcs!BK194</f>
        <v>0</v>
      </c>
      <c r="BI6" s="96">
        <f>Calcs!BL194</f>
        <v>0</v>
      </c>
      <c r="BJ6" s="96">
        <f>Calcs!BM194</f>
        <v>0</v>
      </c>
      <c r="BK6" s="96">
        <f>Calcs!BN194</f>
        <v>0</v>
      </c>
      <c r="BL6" s="96">
        <f>Calcs!BO194</f>
        <v>0</v>
      </c>
      <c r="BM6" s="96">
        <f>Calcs!BP194</f>
        <v>0</v>
      </c>
      <c r="BN6" s="96">
        <f>Calcs!BQ194</f>
        <v>0</v>
      </c>
      <c r="BO6" s="96">
        <f>Calcs!BR194</f>
        <v>0</v>
      </c>
      <c r="BP6" s="96">
        <f>Calcs!BS194</f>
        <v>0</v>
      </c>
      <c r="BQ6" s="96">
        <f>SUM(BE6:BP6)</f>
        <v>0</v>
      </c>
      <c r="BR6" s="1569"/>
      <c r="BS6" s="153">
        <f>SUM(BQ6,BD6,AQ6,AD6,Q6)</f>
        <v>0</v>
      </c>
      <c r="BT6" s="1569"/>
      <c r="BU6" s="113">
        <f>SUM(BQ6,BD6,AQ6,AD6,Q6)</f>
        <v>0</v>
      </c>
      <c r="BV6" s="152" t="s">
        <v>278</v>
      </c>
      <c r="BW6" s="96">
        <f>SUM(Financials!E6:'Financials'!G6)</f>
        <v>0</v>
      </c>
      <c r="BX6" s="96">
        <f>SUM(Financials!H6:'Financials'!J6)</f>
        <v>0</v>
      </c>
      <c r="BY6" s="96">
        <f>SUM(Financials!K6:'Financials'!M6)</f>
        <v>0</v>
      </c>
      <c r="BZ6" s="96">
        <f>SUM(Financials!N6:'Financials'!P6)</f>
        <v>0</v>
      </c>
      <c r="CA6" s="96">
        <f>SUM(Financials!R6:'Financials'!T6)</f>
        <v>0</v>
      </c>
      <c r="CB6" s="96">
        <f>SUM(Financials!U6:'Financials'!W6)</f>
        <v>0</v>
      </c>
      <c r="CC6" s="96">
        <f>SUM(Financials!X6:'Financials'!Z6)</f>
        <v>0</v>
      </c>
      <c r="CD6" s="96">
        <f>SUM(Financials!AA6:'Financials'!AC6)</f>
        <v>0</v>
      </c>
      <c r="CE6" s="96">
        <f>SUM(Financials!AE6:'Financials'!AG6)</f>
        <v>0</v>
      </c>
      <c r="CF6" s="96">
        <f>SUM(Financials!AH6:'Financials'!AJ6)</f>
        <v>0</v>
      </c>
      <c r="CG6" s="96">
        <f>SUM(Financials!AK6:'Financials'!AM6)</f>
        <v>0</v>
      </c>
      <c r="CH6" s="96">
        <f>SUM(Financials!AN6:'Financials'!AP6)</f>
        <v>0</v>
      </c>
      <c r="CI6" s="96">
        <f>SUM(Financials!AR6:'Financials'!AT6)</f>
        <v>0</v>
      </c>
      <c r="CJ6" s="96">
        <f>SUM(Financials!AU6:'Financials'!AW6)</f>
        <v>0</v>
      </c>
      <c r="CK6" s="96">
        <f>SUM(Financials!AX6:'Financials'!AZ6)</f>
        <v>0</v>
      </c>
      <c r="CL6" s="96">
        <f>SUM(Financials!BA6:'Financials'!BC6)</f>
        <v>0</v>
      </c>
      <c r="CM6" s="96">
        <f>SUM(Financials!BE6:'Financials'!BG6)</f>
        <v>0</v>
      </c>
      <c r="CN6" s="96">
        <f>SUM(Financials!BH6:'Financials'!BJ6)</f>
        <v>0</v>
      </c>
      <c r="CO6" s="96">
        <f>SUM(Financials!BK6:'Financials'!BM6)</f>
        <v>0</v>
      </c>
      <c r="CP6" s="96">
        <f>SUM(Financials!BN6:'Financials'!BP6)</f>
        <v>0</v>
      </c>
      <c r="CW6" s="179"/>
      <c r="CX6" s="179"/>
      <c r="CY6" s="305"/>
      <c r="CZ6" s="305"/>
      <c r="DA6" s="305"/>
      <c r="DB6" s="305"/>
      <c r="DC6" s="305"/>
      <c r="DD6" s="305"/>
      <c r="DE6" s="305"/>
      <c r="DF6" s="305"/>
      <c r="DG6" s="305"/>
      <c r="DH6" s="305"/>
      <c r="DI6" s="305"/>
      <c r="DJ6" s="305"/>
      <c r="DK6" s="305"/>
      <c r="DL6" s="305"/>
      <c r="DM6" s="305"/>
      <c r="DN6" s="305"/>
      <c r="DO6" s="305"/>
      <c r="DP6" s="305"/>
      <c r="DQ6" s="305"/>
      <c r="DR6" s="305"/>
      <c r="DS6" s="305"/>
      <c r="DT6" s="305"/>
      <c r="DU6" s="305"/>
      <c r="DV6" s="305"/>
      <c r="DW6" s="305"/>
      <c r="DX6" s="305"/>
      <c r="DY6" s="305"/>
      <c r="DZ6" s="305"/>
      <c r="EA6" s="305"/>
      <c r="EB6" s="305"/>
      <c r="EC6" s="305"/>
      <c r="ED6" s="305"/>
      <c r="EE6" s="305"/>
      <c r="EF6" s="305"/>
      <c r="EG6" s="305"/>
      <c r="EH6" s="305"/>
      <c r="EI6" s="305"/>
      <c r="EJ6" s="305"/>
      <c r="EK6" s="305"/>
      <c r="EL6" s="305"/>
      <c r="EM6" s="305"/>
      <c r="EN6" s="305"/>
      <c r="EO6" s="305"/>
      <c r="EP6" s="305"/>
      <c r="EQ6" s="305"/>
      <c r="ER6" s="305"/>
      <c r="ES6" s="305"/>
      <c r="ET6" s="305"/>
      <c r="EU6" s="305"/>
      <c r="EV6" s="305"/>
      <c r="EW6" s="305"/>
      <c r="EX6" s="305"/>
      <c r="EY6" s="305"/>
      <c r="EZ6" s="305"/>
      <c r="FA6" s="305"/>
      <c r="FB6" s="305"/>
      <c r="FC6" s="305"/>
      <c r="FD6" s="305"/>
      <c r="FE6" s="305"/>
      <c r="FF6" s="305"/>
      <c r="FG6" s="305"/>
      <c r="FH6" s="305"/>
      <c r="FI6" s="305"/>
      <c r="FJ6" s="305"/>
    </row>
    <row r="7" spans="1:166" ht="12.75" customHeight="1" x14ac:dyDescent="0.35">
      <c r="A7" s="165"/>
      <c r="B7" s="150"/>
      <c r="C7" s="53"/>
      <c r="D7" s="152" t="str">
        <f>Calcs!K211</f>
        <v>Item 1</v>
      </c>
      <c r="E7" s="96">
        <f>Calcs!L211</f>
        <v>0</v>
      </c>
      <c r="F7" s="96">
        <f>Calcs!M211</f>
        <v>0</v>
      </c>
      <c r="G7" s="96">
        <f>Calcs!N211</f>
        <v>0</v>
      </c>
      <c r="H7" s="96">
        <f>Calcs!O211</f>
        <v>0</v>
      </c>
      <c r="I7" s="96">
        <f>Calcs!P211</f>
        <v>0</v>
      </c>
      <c r="J7" s="96">
        <f>Calcs!Q211</f>
        <v>0</v>
      </c>
      <c r="K7" s="96">
        <f>Calcs!R211</f>
        <v>0</v>
      </c>
      <c r="L7" s="96">
        <f>Calcs!S211</f>
        <v>0</v>
      </c>
      <c r="M7" s="96">
        <f>Calcs!T211</f>
        <v>0</v>
      </c>
      <c r="N7" s="96">
        <f>Calcs!U211</f>
        <v>0</v>
      </c>
      <c r="O7" s="96">
        <f>Calcs!V211</f>
        <v>0</v>
      </c>
      <c r="P7" s="96">
        <f>Calcs!W211</f>
        <v>0</v>
      </c>
      <c r="Q7" s="96">
        <f>SUM(E7:P7)</f>
        <v>0</v>
      </c>
      <c r="R7" s="96">
        <f>Calcs!X211</f>
        <v>0</v>
      </c>
      <c r="S7" s="96">
        <f>Calcs!Y211</f>
        <v>0</v>
      </c>
      <c r="T7" s="96">
        <f>Calcs!Z211</f>
        <v>0</v>
      </c>
      <c r="U7" s="96">
        <f>Calcs!AA211</f>
        <v>0</v>
      </c>
      <c r="V7" s="96">
        <f>Calcs!AB211</f>
        <v>0</v>
      </c>
      <c r="W7" s="96">
        <f>Calcs!AC211</f>
        <v>0</v>
      </c>
      <c r="X7" s="96">
        <f>Calcs!AD211</f>
        <v>0</v>
      </c>
      <c r="Y7" s="96">
        <f>Calcs!AE211</f>
        <v>0</v>
      </c>
      <c r="Z7" s="96">
        <f>Calcs!AF211</f>
        <v>0</v>
      </c>
      <c r="AA7" s="96">
        <f>Calcs!AG211</f>
        <v>0</v>
      </c>
      <c r="AB7" s="96">
        <f>Calcs!AH211</f>
        <v>0</v>
      </c>
      <c r="AC7" s="96">
        <f>Calcs!AI211</f>
        <v>0</v>
      </c>
      <c r="AD7" s="96">
        <f>SUM(R7:AC7)</f>
        <v>0</v>
      </c>
      <c r="AE7" s="96">
        <f>Calcs!AJ211</f>
        <v>0</v>
      </c>
      <c r="AF7" s="96">
        <f>Calcs!AK211</f>
        <v>0</v>
      </c>
      <c r="AG7" s="96">
        <f>Calcs!AL211</f>
        <v>0</v>
      </c>
      <c r="AH7" s="96">
        <f>Calcs!AM211</f>
        <v>0</v>
      </c>
      <c r="AI7" s="96">
        <f>Calcs!AN211</f>
        <v>0</v>
      </c>
      <c r="AJ7" s="96">
        <f>Calcs!AO211</f>
        <v>0</v>
      </c>
      <c r="AK7" s="96">
        <f>Calcs!AP211</f>
        <v>0</v>
      </c>
      <c r="AL7" s="96">
        <f>Calcs!AQ211</f>
        <v>0</v>
      </c>
      <c r="AM7" s="96">
        <f>Calcs!AR211</f>
        <v>0</v>
      </c>
      <c r="AN7" s="96">
        <f>Calcs!AS211</f>
        <v>0</v>
      </c>
      <c r="AO7" s="96">
        <f>Calcs!AT211</f>
        <v>0</v>
      </c>
      <c r="AP7" s="96">
        <f>Calcs!AU211</f>
        <v>0</v>
      </c>
      <c r="AQ7" s="96">
        <f>SUM(AE7:AP7)</f>
        <v>0</v>
      </c>
      <c r="AR7" s="96">
        <f>Calcs!AV211</f>
        <v>0</v>
      </c>
      <c r="AS7" s="96">
        <f>Calcs!AW211</f>
        <v>0</v>
      </c>
      <c r="AT7" s="96">
        <f>Calcs!AX211</f>
        <v>0</v>
      </c>
      <c r="AU7" s="96">
        <f>Calcs!AY211</f>
        <v>0</v>
      </c>
      <c r="AV7" s="96">
        <f>Calcs!AZ211</f>
        <v>0</v>
      </c>
      <c r="AW7" s="96">
        <f>Calcs!BA211</f>
        <v>0</v>
      </c>
      <c r="AX7" s="96">
        <f>Calcs!BB211</f>
        <v>0</v>
      </c>
      <c r="AY7" s="96">
        <f>Calcs!BC211</f>
        <v>0</v>
      </c>
      <c r="AZ7" s="96">
        <f>Calcs!BD211</f>
        <v>0</v>
      </c>
      <c r="BA7" s="96">
        <f>Calcs!BE211</f>
        <v>0</v>
      </c>
      <c r="BB7" s="96">
        <f>Calcs!BF211</f>
        <v>0</v>
      </c>
      <c r="BC7" s="96">
        <f>Calcs!BG211</f>
        <v>0</v>
      </c>
      <c r="BD7" s="96">
        <f>SUM(AR7:BC7)</f>
        <v>0</v>
      </c>
      <c r="BE7" s="96">
        <f>Calcs!BH211</f>
        <v>0</v>
      </c>
      <c r="BF7" s="96">
        <f>Calcs!BI211</f>
        <v>0</v>
      </c>
      <c r="BG7" s="96">
        <f>Calcs!BJ211</f>
        <v>0</v>
      </c>
      <c r="BH7" s="96">
        <f>Calcs!BK211</f>
        <v>0</v>
      </c>
      <c r="BI7" s="96">
        <f>Calcs!BL211</f>
        <v>0</v>
      </c>
      <c r="BJ7" s="96">
        <f>Calcs!BM211</f>
        <v>0</v>
      </c>
      <c r="BK7" s="96">
        <f>Calcs!BN211</f>
        <v>0</v>
      </c>
      <c r="BL7" s="96">
        <f>Calcs!BO211</f>
        <v>0</v>
      </c>
      <c r="BM7" s="96">
        <f>Calcs!BP211</f>
        <v>0</v>
      </c>
      <c r="BN7" s="96">
        <f>Calcs!BQ211</f>
        <v>0</v>
      </c>
      <c r="BO7" s="96">
        <f>Calcs!BR211</f>
        <v>0</v>
      </c>
      <c r="BP7" s="96">
        <f>Calcs!BS211</f>
        <v>0</v>
      </c>
      <c r="BQ7" s="96">
        <f>SUM(BE7:BP7)</f>
        <v>0</v>
      </c>
      <c r="BR7" s="1569"/>
      <c r="BS7" s="153">
        <f>SUM(BQ7,BD7,AQ7,AD7,Q7)</f>
        <v>0</v>
      </c>
      <c r="BT7" s="1569"/>
      <c r="BU7" s="113">
        <f>SUM(BQ7,BD7,AQ7,AD7,Q7)</f>
      </c>
      <c r="BV7" s="152"/>
      <c r="BW7" s="96"/>
      <c r="BX7" s="96"/>
      <c r="BY7" s="96"/>
      <c r="BZ7" s="96"/>
      <c r="CA7" s="96"/>
      <c r="CB7" s="96"/>
      <c r="CC7" s="96"/>
      <c r="CD7" s="96"/>
      <c r="CE7" s="96"/>
      <c r="CF7" s="96"/>
      <c r="CG7" s="96"/>
      <c r="CH7" s="96"/>
      <c r="CI7" s="96"/>
      <c r="CJ7" s="96"/>
      <c r="CK7" s="96"/>
      <c r="CL7" s="96"/>
      <c r="CM7" s="96"/>
      <c r="CN7" s="96"/>
      <c r="CO7" s="96"/>
      <c r="CP7" s="96"/>
      <c r="CW7" s="179"/>
      <c r="CX7" s="179"/>
      <c r="CY7" s="305"/>
      <c r="CZ7" s="305"/>
      <c r="DA7" s="305"/>
      <c r="DB7" s="305"/>
      <c r="DC7" s="305"/>
      <c r="DD7" s="305"/>
      <c r="DE7" s="305"/>
      <c r="DF7" s="305"/>
      <c r="DG7" s="305"/>
      <c r="DH7" s="305"/>
      <c r="DI7" s="305"/>
      <c r="DJ7" s="305"/>
      <c r="DK7" s="305"/>
      <c r="DL7" s="305"/>
      <c r="DM7" s="305"/>
      <c r="DN7" s="305"/>
      <c r="DO7" s="305"/>
      <c r="DP7" s="305"/>
      <c r="DQ7" s="305"/>
      <c r="DR7" s="305"/>
      <c r="DS7" s="305"/>
      <c r="DT7" s="305"/>
      <c r="DU7" s="305"/>
      <c r="DV7" s="305"/>
      <c r="DW7" s="305"/>
      <c r="DX7" s="305"/>
      <c r="DY7" s="305"/>
      <c r="DZ7" s="305"/>
      <c r="EA7" s="305"/>
      <c r="EB7" s="305"/>
      <c r="EC7" s="305"/>
      <c r="ED7" s="305"/>
      <c r="EE7" s="305"/>
      <c r="EF7" s="305"/>
      <c r="EG7" s="305"/>
      <c r="EH7" s="305"/>
      <c r="EI7" s="305"/>
      <c r="EJ7" s="305"/>
      <c r="EK7" s="305"/>
      <c r="EL7" s="305"/>
      <c r="EM7" s="305"/>
      <c r="EN7" s="305"/>
      <c r="EO7" s="305"/>
      <c r="EP7" s="305"/>
      <c r="EQ7" s="305"/>
      <c r="ER7" s="305"/>
      <c r="ES7" s="305"/>
      <c r="ET7" s="305"/>
      <c r="EU7" s="305"/>
      <c r="EV7" s="305"/>
      <c r="EW7" s="305"/>
      <c r="EX7" s="305"/>
      <c r="EY7" s="305"/>
      <c r="EZ7" s="305"/>
      <c r="FA7" s="305"/>
      <c r="FB7" s="305"/>
      <c r="FC7" s="305"/>
      <c r="FD7" s="305"/>
      <c r="FE7" s="305"/>
      <c r="FF7" s="305"/>
      <c r="FG7" s="305"/>
      <c r="FH7" s="305"/>
      <c r="FI7" s="305"/>
      <c r="FJ7" s="305"/>
    </row>
    <row r="8" spans="1:166" ht="12.75" customHeight="1" x14ac:dyDescent="0.35">
      <c r="A8" s="165"/>
      <c r="B8" s="150"/>
      <c r="C8" s="53"/>
      <c r="D8" s="152" t="str">
        <f>Calcs!K212</f>
        <v>Item 2</v>
      </c>
      <c r="E8" s="96">
        <f>Calcs!L212</f>
        <v>0</v>
      </c>
      <c r="F8" s="96">
        <f>Calcs!M212</f>
        <v>0</v>
      </c>
      <c r="G8" s="96">
        <f>Calcs!N212</f>
        <v>0</v>
      </c>
      <c r="H8" s="96">
        <f>Calcs!O212</f>
        <v>0</v>
      </c>
      <c r="I8" s="96">
        <f>Calcs!P212</f>
        <v>0</v>
      </c>
      <c r="J8" s="96">
        <f>Calcs!Q212</f>
        <v>0</v>
      </c>
      <c r="K8" s="96">
        <f>Calcs!R212</f>
        <v>0</v>
      </c>
      <c r="L8" s="96">
        <f>Calcs!S212</f>
        <v>0</v>
      </c>
      <c r="M8" s="96">
        <f>Calcs!T212</f>
        <v>0</v>
      </c>
      <c r="N8" s="96">
        <f>Calcs!U212</f>
        <v>0</v>
      </c>
      <c r="O8" s="96">
        <f>Calcs!V212</f>
        <v>0</v>
      </c>
      <c r="P8" s="96">
        <f>Calcs!W212</f>
        <v>0</v>
      </c>
      <c r="Q8" s="96">
        <f>SUM(E8:P8)</f>
        <v>0</v>
      </c>
      <c r="R8" s="96">
        <f>Calcs!X212</f>
        <v>0</v>
      </c>
      <c r="S8" s="96">
        <f>Calcs!Y212</f>
        <v>0</v>
      </c>
      <c r="T8" s="96">
        <f>Calcs!Z212</f>
        <v>0</v>
      </c>
      <c r="U8" s="96">
        <f>Calcs!AA212</f>
        <v>0</v>
      </c>
      <c r="V8" s="96">
        <f>Calcs!AB212</f>
        <v>0</v>
      </c>
      <c r="W8" s="96">
        <f>Calcs!AC212</f>
        <v>0</v>
      </c>
      <c r="X8" s="96">
        <f>Calcs!AD212</f>
        <v>0</v>
      </c>
      <c r="Y8" s="96">
        <f>Calcs!AE212</f>
        <v>0</v>
      </c>
      <c r="Z8" s="96">
        <f>Calcs!AF212</f>
        <v>0</v>
      </c>
      <c r="AA8" s="96">
        <f>Calcs!AG212</f>
        <v>0</v>
      </c>
      <c r="AB8" s="96">
        <f>Calcs!AH212</f>
        <v>0</v>
      </c>
      <c r="AC8" s="96">
        <f>Calcs!AI212</f>
        <v>0</v>
      </c>
      <c r="AD8" s="96">
        <f>SUM(R8:AC8)</f>
        <v>0</v>
      </c>
      <c r="AE8" s="96">
        <f>Calcs!AJ212</f>
        <v>0</v>
      </c>
      <c r="AF8" s="96">
        <f>Calcs!AK212</f>
        <v>0</v>
      </c>
      <c r="AG8" s="96">
        <f>Calcs!AL212</f>
        <v>0</v>
      </c>
      <c r="AH8" s="96">
        <f>Calcs!AM212</f>
        <v>0</v>
      </c>
      <c r="AI8" s="96">
        <f>Calcs!AN212</f>
        <v>0</v>
      </c>
      <c r="AJ8" s="96">
        <f>Calcs!AO212</f>
        <v>0</v>
      </c>
      <c r="AK8" s="96">
        <f>Calcs!AP212</f>
        <v>0</v>
      </c>
      <c r="AL8" s="96">
        <f>Calcs!AQ212</f>
        <v>0</v>
      </c>
      <c r="AM8" s="96">
        <f>Calcs!AR212</f>
        <v>0</v>
      </c>
      <c r="AN8" s="96">
        <f>Calcs!AS212</f>
        <v>0</v>
      </c>
      <c r="AO8" s="96">
        <f>Calcs!AT212</f>
        <v>0</v>
      </c>
      <c r="AP8" s="96">
        <f>Calcs!AU212</f>
        <v>0</v>
      </c>
      <c r="AQ8" s="96">
        <f>SUM(AE8:AP8)</f>
        <v>0</v>
      </c>
      <c r="AR8" s="96">
        <f>Calcs!AV212</f>
        <v>0</v>
      </c>
      <c r="AS8" s="96">
        <f>Calcs!AW212</f>
        <v>0</v>
      </c>
      <c r="AT8" s="96">
        <f>Calcs!AX212</f>
        <v>0</v>
      </c>
      <c r="AU8" s="96">
        <f>Calcs!AY212</f>
        <v>0</v>
      </c>
      <c r="AV8" s="96">
        <f>Calcs!AZ212</f>
        <v>0</v>
      </c>
      <c r="AW8" s="96">
        <f>Calcs!BA212</f>
        <v>0</v>
      </c>
      <c r="AX8" s="96">
        <f>Calcs!BB212</f>
        <v>0</v>
      </c>
      <c r="AY8" s="96">
        <f>Calcs!BC212</f>
        <v>0</v>
      </c>
      <c r="AZ8" s="96">
        <f>Calcs!BD212</f>
        <v>0</v>
      </c>
      <c r="BA8" s="96">
        <f>Calcs!BE212</f>
        <v>0</v>
      </c>
      <c r="BB8" s="96">
        <f>Calcs!BF212</f>
        <v>0</v>
      </c>
      <c r="BC8" s="96">
        <f>Calcs!BG212</f>
        <v>0</v>
      </c>
      <c r="BD8" s="96">
        <f>SUM(AR8:BC8)</f>
        <v>0</v>
      </c>
      <c r="BE8" s="96">
        <f>Calcs!BH212</f>
        <v>0</v>
      </c>
      <c r="BF8" s="96">
        <f>Calcs!BI212</f>
        <v>0</v>
      </c>
      <c r="BG8" s="96">
        <f>Calcs!BJ212</f>
        <v>0</v>
      </c>
      <c r="BH8" s="96">
        <f>Calcs!BK212</f>
        <v>0</v>
      </c>
      <c r="BI8" s="96">
        <f>Calcs!BL212</f>
        <v>0</v>
      </c>
      <c r="BJ8" s="96">
        <f>Calcs!BM212</f>
        <v>0</v>
      </c>
      <c r="BK8" s="96">
        <f>Calcs!BN212</f>
        <v>0</v>
      </c>
      <c r="BL8" s="96">
        <f>Calcs!BO212</f>
        <v>0</v>
      </c>
      <c r="BM8" s="96">
        <f>Calcs!BP212</f>
        <v>0</v>
      </c>
      <c r="BN8" s="96">
        <f>Calcs!BQ212</f>
        <v>0</v>
      </c>
      <c r="BO8" s="96">
        <f>Calcs!BR212</f>
        <v>0</v>
      </c>
      <c r="BP8" s="96">
        <f>Calcs!BS212</f>
        <v>0</v>
      </c>
      <c r="BQ8" s="96">
        <f>SUM(BE8:BP8)</f>
        <v>0</v>
      </c>
      <c r="BR8" s="1569"/>
      <c r="BS8" s="153">
        <f>SUM(BQ8,BD8,AQ8,AD8,Q8)</f>
        <v>0</v>
      </c>
      <c r="BT8" s="1569"/>
      <c r="BU8" s="113">
        <f>SUM(BQ8,BD8,AQ8,AD8,Q8)</f>
      </c>
      <c r="BV8" s="152"/>
      <c r="BW8" s="96"/>
      <c r="BX8" s="96"/>
      <c r="BY8" s="96"/>
      <c r="BZ8" s="96"/>
      <c r="CA8" s="96"/>
      <c r="CB8" s="96"/>
      <c r="CC8" s="96"/>
      <c r="CD8" s="96"/>
      <c r="CE8" s="96"/>
      <c r="CF8" s="96"/>
      <c r="CG8" s="96"/>
      <c r="CH8" s="96"/>
      <c r="CI8" s="96"/>
      <c r="CJ8" s="96"/>
      <c r="CK8" s="96"/>
      <c r="CL8" s="96"/>
      <c r="CM8" s="96"/>
      <c r="CN8" s="96"/>
      <c r="CO8" s="96"/>
      <c r="CP8" s="96"/>
      <c r="CW8" s="179"/>
      <c r="CX8" s="179"/>
      <c r="CY8" s="305"/>
      <c r="CZ8" s="305"/>
      <c r="DA8" s="305"/>
      <c r="DB8" s="305"/>
      <c r="DC8" s="305"/>
      <c r="DD8" s="305"/>
      <c r="DE8" s="305"/>
      <c r="DF8" s="305"/>
      <c r="DG8" s="305"/>
      <c r="DH8" s="305"/>
      <c r="DI8" s="305"/>
      <c r="DJ8" s="305"/>
      <c r="DK8" s="305"/>
      <c r="DL8" s="305"/>
      <c r="DM8" s="305"/>
      <c r="DN8" s="305"/>
      <c r="DO8" s="305"/>
      <c r="DP8" s="305"/>
      <c r="DQ8" s="305"/>
      <c r="DR8" s="305"/>
      <c r="DS8" s="305"/>
      <c r="DT8" s="305"/>
      <c r="DU8" s="305"/>
      <c r="DV8" s="305"/>
      <c r="DW8" s="305"/>
      <c r="DX8" s="305"/>
      <c r="DY8" s="305"/>
      <c r="DZ8" s="305"/>
      <c r="EA8" s="305"/>
      <c r="EB8" s="305"/>
      <c r="EC8" s="305"/>
      <c r="ED8" s="305"/>
      <c r="EE8" s="305"/>
      <c r="EF8" s="305"/>
      <c r="EG8" s="305"/>
      <c r="EH8" s="305"/>
      <c r="EI8" s="305"/>
      <c r="EJ8" s="305"/>
      <c r="EK8" s="305"/>
      <c r="EL8" s="305"/>
      <c r="EM8" s="305"/>
      <c r="EN8" s="305"/>
      <c r="EO8" s="305"/>
      <c r="EP8" s="305"/>
      <c r="EQ8" s="305"/>
      <c r="ER8" s="305"/>
      <c r="ES8" s="305"/>
      <c r="ET8" s="305"/>
      <c r="EU8" s="305"/>
      <c r="EV8" s="305"/>
      <c r="EW8" s="305"/>
      <c r="EX8" s="305"/>
      <c r="EY8" s="305"/>
      <c r="EZ8" s="305"/>
      <c r="FA8" s="305"/>
      <c r="FB8" s="305"/>
      <c r="FC8" s="305"/>
      <c r="FD8" s="305"/>
      <c r="FE8" s="305"/>
      <c r="FF8" s="305"/>
      <c r="FG8" s="305"/>
      <c r="FH8" s="305"/>
      <c r="FI8" s="305"/>
      <c r="FJ8" s="305"/>
    </row>
    <row r="9" spans="1:166" ht="12.75" customHeight="1" x14ac:dyDescent="0.35">
      <c r="A9" s="165"/>
      <c r="B9" s="150"/>
      <c r="C9" s="53"/>
      <c r="D9" s="152" t="str">
        <f>Calcs!K213</f>
        <v>Item 3</v>
      </c>
      <c r="E9" s="96">
        <f>Calcs!L213</f>
        <v>0</v>
      </c>
      <c r="F9" s="96">
        <f>Calcs!M213</f>
        <v>0</v>
      </c>
      <c r="G9" s="96">
        <f>Calcs!N213</f>
        <v>0</v>
      </c>
      <c r="H9" s="96">
        <f>Calcs!O213</f>
        <v>0</v>
      </c>
      <c r="I9" s="96">
        <f>Calcs!P213</f>
        <v>0</v>
      </c>
      <c r="J9" s="96">
        <f>Calcs!Q213</f>
        <v>0</v>
      </c>
      <c r="K9" s="96">
        <f>Calcs!R213</f>
        <v>0</v>
      </c>
      <c r="L9" s="96">
        <f>Calcs!S213</f>
        <v>0</v>
      </c>
      <c r="M9" s="96">
        <f>Calcs!T213</f>
        <v>0</v>
      </c>
      <c r="N9" s="96">
        <f>Calcs!U213</f>
        <v>0</v>
      </c>
      <c r="O9" s="96">
        <f>Calcs!V213</f>
        <v>0</v>
      </c>
      <c r="P9" s="96">
        <f>Calcs!W213</f>
        <v>0</v>
      </c>
      <c r="Q9" s="96">
        <f>SUM(E9:P9)</f>
        <v>0</v>
      </c>
      <c r="R9" s="96">
        <f>Calcs!X213</f>
        <v>0</v>
      </c>
      <c r="S9" s="96">
        <f>Calcs!Y213</f>
        <v>0</v>
      </c>
      <c r="T9" s="96">
        <f>Calcs!Z213</f>
        <v>0</v>
      </c>
      <c r="U9" s="96">
        <f>Calcs!AA213</f>
        <v>0</v>
      </c>
      <c r="V9" s="96">
        <f>Calcs!AB213</f>
        <v>0</v>
      </c>
      <c r="W9" s="96">
        <f>Calcs!AC213</f>
        <v>0</v>
      </c>
      <c r="X9" s="96">
        <f>Calcs!AD213</f>
        <v>0</v>
      </c>
      <c r="Y9" s="96">
        <f>Calcs!AE213</f>
        <v>0</v>
      </c>
      <c r="Z9" s="96">
        <f>Calcs!AF213</f>
        <v>0</v>
      </c>
      <c r="AA9" s="96">
        <f>Calcs!AG213</f>
        <v>0</v>
      </c>
      <c r="AB9" s="96">
        <f>Calcs!AH213</f>
        <v>0</v>
      </c>
      <c r="AC9" s="96">
        <f>Calcs!AI213</f>
        <v>0</v>
      </c>
      <c r="AD9" s="96">
        <f>SUM(R9:AC9)</f>
        <v>0</v>
      </c>
      <c r="AE9" s="96">
        <f>Calcs!AJ213</f>
        <v>0</v>
      </c>
      <c r="AF9" s="96">
        <f>Calcs!AK213</f>
        <v>0</v>
      </c>
      <c r="AG9" s="96">
        <f>Calcs!AL213</f>
        <v>0</v>
      </c>
      <c r="AH9" s="96">
        <f>Calcs!AM213</f>
        <v>0</v>
      </c>
      <c r="AI9" s="96">
        <f>Calcs!AN213</f>
        <v>0</v>
      </c>
      <c r="AJ9" s="96">
        <f>Calcs!AO213</f>
        <v>0</v>
      </c>
      <c r="AK9" s="96">
        <f>Calcs!AP213</f>
        <v>0</v>
      </c>
      <c r="AL9" s="96">
        <f>Calcs!AQ213</f>
        <v>0</v>
      </c>
      <c r="AM9" s="96">
        <f>Calcs!AR213</f>
        <v>0</v>
      </c>
      <c r="AN9" s="96">
        <f>Calcs!AS213</f>
        <v>0</v>
      </c>
      <c r="AO9" s="96">
        <f>Calcs!AT213</f>
        <v>0</v>
      </c>
      <c r="AP9" s="96">
        <f>Calcs!AU213</f>
        <v>0</v>
      </c>
      <c r="AQ9" s="96">
        <f>SUM(AE9:AP9)</f>
        <v>0</v>
      </c>
      <c r="AR9" s="96">
        <f>Calcs!AV213</f>
        <v>0</v>
      </c>
      <c r="AS9" s="96">
        <f>Calcs!AW213</f>
        <v>0</v>
      </c>
      <c r="AT9" s="96">
        <f>Calcs!AX213</f>
        <v>0</v>
      </c>
      <c r="AU9" s="96">
        <f>Calcs!AY213</f>
        <v>0</v>
      </c>
      <c r="AV9" s="96">
        <f>Calcs!AZ213</f>
        <v>0</v>
      </c>
      <c r="AW9" s="96">
        <f>Calcs!BA213</f>
        <v>0</v>
      </c>
      <c r="AX9" s="96">
        <f>Calcs!BB213</f>
        <v>0</v>
      </c>
      <c r="AY9" s="96">
        <f>Calcs!BC213</f>
        <v>0</v>
      </c>
      <c r="AZ9" s="96">
        <f>Calcs!BD213</f>
        <v>0</v>
      </c>
      <c r="BA9" s="96">
        <f>Calcs!BE213</f>
        <v>0</v>
      </c>
      <c r="BB9" s="96">
        <f>Calcs!BF213</f>
        <v>0</v>
      </c>
      <c r="BC9" s="96">
        <f>Calcs!BG213</f>
        <v>0</v>
      </c>
      <c r="BD9" s="96">
        <f>SUM(AR9:BC9)</f>
        <v>0</v>
      </c>
      <c r="BE9" s="96">
        <f>Calcs!BH213</f>
        <v>0</v>
      </c>
      <c r="BF9" s="96">
        <f>Calcs!BI213</f>
        <v>0</v>
      </c>
      <c r="BG9" s="96">
        <f>Calcs!BJ213</f>
        <v>0</v>
      </c>
      <c r="BH9" s="96">
        <f>Calcs!BK213</f>
        <v>0</v>
      </c>
      <c r="BI9" s="96">
        <f>Calcs!BL213</f>
        <v>0</v>
      </c>
      <c r="BJ9" s="96">
        <f>Calcs!BM213</f>
        <v>0</v>
      </c>
      <c r="BK9" s="96">
        <f>Calcs!BN213</f>
        <v>0</v>
      </c>
      <c r="BL9" s="96">
        <f>Calcs!BO213</f>
        <v>0</v>
      </c>
      <c r="BM9" s="96">
        <f>Calcs!BP213</f>
        <v>0</v>
      </c>
      <c r="BN9" s="96">
        <f>Calcs!BQ213</f>
        <v>0</v>
      </c>
      <c r="BO9" s="96">
        <f>Calcs!BR213</f>
        <v>0</v>
      </c>
      <c r="BP9" s="96">
        <f>Calcs!BS213</f>
        <v>0</v>
      </c>
      <c r="BQ9" s="96">
        <f>SUM(BE9:BP9)</f>
        <v>0</v>
      </c>
      <c r="BR9" s="1569"/>
      <c r="BS9" s="153">
        <f>SUM(BQ9,BD9,AQ9,AD9,Q9)</f>
        <v>0</v>
      </c>
      <c r="BT9" s="1569"/>
      <c r="BU9" s="113">
        <f>SUM(BQ9,BD9,AQ9,AD9,Q9)</f>
      </c>
      <c r="BV9" s="152"/>
      <c r="BW9" s="96"/>
      <c r="BX9" s="96"/>
      <c r="BY9" s="96"/>
      <c r="BZ9" s="96"/>
      <c r="CA9" s="96"/>
      <c r="CB9" s="96"/>
      <c r="CC9" s="96"/>
      <c r="CD9" s="96"/>
      <c r="CE9" s="96"/>
      <c r="CF9" s="96"/>
      <c r="CG9" s="96"/>
      <c r="CH9" s="96"/>
      <c r="CI9" s="96"/>
      <c r="CJ9" s="96"/>
      <c r="CK9" s="96"/>
      <c r="CL9" s="96"/>
      <c r="CM9" s="96"/>
      <c r="CN9" s="96"/>
      <c r="CO9" s="96"/>
      <c r="CP9" s="96"/>
      <c r="CW9" s="179"/>
      <c r="CX9" s="179"/>
      <c r="CY9" s="305"/>
      <c r="CZ9" s="305"/>
      <c r="DA9" s="305"/>
      <c r="DB9" s="305"/>
      <c r="DC9" s="305"/>
      <c r="DD9" s="305"/>
      <c r="DE9" s="305"/>
      <c r="DF9" s="305"/>
      <c r="DG9" s="305"/>
      <c r="DH9" s="305"/>
      <c r="DI9" s="305"/>
      <c r="DJ9" s="305"/>
      <c r="DK9" s="305"/>
      <c r="DL9" s="305"/>
      <c r="DM9" s="305"/>
      <c r="DN9" s="305"/>
      <c r="DO9" s="305"/>
      <c r="DP9" s="305"/>
      <c r="DQ9" s="305"/>
      <c r="DR9" s="305"/>
      <c r="DS9" s="305"/>
      <c r="DT9" s="305"/>
      <c r="DU9" s="305"/>
      <c r="DV9" s="305"/>
      <c r="DW9" s="305"/>
      <c r="DX9" s="305"/>
      <c r="DY9" s="305"/>
      <c r="DZ9" s="305"/>
      <c r="EA9" s="305"/>
      <c r="EB9" s="305"/>
      <c r="EC9" s="305"/>
      <c r="ED9" s="305"/>
      <c r="EE9" s="305"/>
      <c r="EF9" s="305"/>
      <c r="EG9" s="305"/>
      <c r="EH9" s="305"/>
      <c r="EI9" s="305"/>
      <c r="EJ9" s="305"/>
      <c r="EK9" s="305"/>
      <c r="EL9" s="305"/>
      <c r="EM9" s="305"/>
      <c r="EN9" s="305"/>
      <c r="EO9" s="305"/>
      <c r="EP9" s="305"/>
      <c r="EQ9" s="305"/>
      <c r="ER9" s="305"/>
      <c r="ES9" s="305"/>
      <c r="ET9" s="305"/>
      <c r="EU9" s="305"/>
      <c r="EV9" s="305"/>
      <c r="EW9" s="305"/>
      <c r="EX9" s="305"/>
      <c r="EY9" s="305"/>
      <c r="EZ9" s="305"/>
      <c r="FA9" s="305"/>
      <c r="FB9" s="305"/>
      <c r="FC9" s="305"/>
      <c r="FD9" s="305"/>
      <c r="FE9" s="305"/>
      <c r="FF9" s="305"/>
      <c r="FG9" s="305"/>
      <c r="FH9" s="305"/>
      <c r="FI9" s="305"/>
      <c r="FJ9" s="305"/>
    </row>
    <row r="10" spans="1:166" ht="12.75" customHeight="1" x14ac:dyDescent="0.35" hidden="1">
      <c r="A10" s="165"/>
      <c r="B10" s="150"/>
      <c r="C10" s="53"/>
      <c r="D10" s="152" t="str">
        <f>Calcs!K214</f>
        <v>Item 4</v>
      </c>
      <c r="E10" s="96">
        <f>Calcs!L214</f>
        <v>0</v>
      </c>
      <c r="F10" s="96">
        <f>Calcs!M214</f>
        <v>0</v>
      </c>
      <c r="G10" s="96">
        <f>Calcs!N214</f>
        <v>0</v>
      </c>
      <c r="H10" s="96">
        <f>Calcs!O214</f>
        <v>0</v>
      </c>
      <c r="I10" s="96">
        <f>Calcs!P214</f>
        <v>0</v>
      </c>
      <c r="J10" s="96">
        <f>Calcs!Q214</f>
        <v>0</v>
      </c>
      <c r="K10" s="96">
        <f>Calcs!R214</f>
        <v>0</v>
      </c>
      <c r="L10" s="96">
        <f>Calcs!S214</f>
        <v>0</v>
      </c>
      <c r="M10" s="96">
        <f>Calcs!T214</f>
        <v>0</v>
      </c>
      <c r="N10" s="96">
        <f>Calcs!U214</f>
        <v>0</v>
      </c>
      <c r="O10" s="96">
        <f>Calcs!V214</f>
        <v>0</v>
      </c>
      <c r="P10" s="96">
        <f>Calcs!W214</f>
        <v>0</v>
      </c>
      <c r="Q10" s="96">
        <f>SUM(E10:P10)</f>
        <v>0</v>
      </c>
      <c r="R10" s="96">
        <f>Calcs!X214</f>
        <v>0</v>
      </c>
      <c r="S10" s="96">
        <f>Calcs!Y214</f>
        <v>0</v>
      </c>
      <c r="T10" s="96">
        <f>Calcs!Z214</f>
        <v>0</v>
      </c>
      <c r="U10" s="96">
        <f>Calcs!AA214</f>
        <v>0</v>
      </c>
      <c r="V10" s="96">
        <f>Calcs!AB214</f>
        <v>0</v>
      </c>
      <c r="W10" s="96">
        <f>Calcs!AC214</f>
        <v>0</v>
      </c>
      <c r="X10" s="96">
        <f>Calcs!AD214</f>
        <v>0</v>
      </c>
      <c r="Y10" s="96">
        <f>Calcs!AE214</f>
        <v>0</v>
      </c>
      <c r="Z10" s="96">
        <f>Calcs!AF214</f>
        <v>0</v>
      </c>
      <c r="AA10" s="96">
        <f>Calcs!AG214</f>
        <v>0</v>
      </c>
      <c r="AB10" s="96">
        <f>Calcs!AH214</f>
        <v>0</v>
      </c>
      <c r="AC10" s="96">
        <f>Calcs!AI214</f>
        <v>0</v>
      </c>
      <c r="AD10" s="96">
        <f>SUM(R10:AC10)</f>
        <v>0</v>
      </c>
      <c r="AE10" s="96">
        <f>Calcs!AJ214</f>
        <v>0</v>
      </c>
      <c r="AF10" s="96">
        <f>Calcs!AK214</f>
        <v>0</v>
      </c>
      <c r="AG10" s="96">
        <f>Calcs!AL214</f>
        <v>0</v>
      </c>
      <c r="AH10" s="96">
        <f>Calcs!AM214</f>
        <v>0</v>
      </c>
      <c r="AI10" s="96">
        <f>Calcs!AN214</f>
        <v>0</v>
      </c>
      <c r="AJ10" s="96">
        <f>Calcs!AO214</f>
        <v>0</v>
      </c>
      <c r="AK10" s="96">
        <f>Calcs!AP214</f>
        <v>0</v>
      </c>
      <c r="AL10" s="96">
        <f>Calcs!AQ214</f>
        <v>0</v>
      </c>
      <c r="AM10" s="96">
        <f>Calcs!AR214</f>
        <v>0</v>
      </c>
      <c r="AN10" s="96">
        <f>Calcs!AS214</f>
        <v>0</v>
      </c>
      <c r="AO10" s="96">
        <f>Calcs!AT214</f>
        <v>0</v>
      </c>
      <c r="AP10" s="96">
        <f>Calcs!AU214</f>
        <v>0</v>
      </c>
      <c r="AQ10" s="96">
        <f>SUM(AE10:AP10)</f>
        <v>0</v>
      </c>
      <c r="AR10" s="96">
        <f>Calcs!AV214</f>
        <v>0</v>
      </c>
      <c r="AS10" s="96">
        <f>Calcs!AW214</f>
        <v>0</v>
      </c>
      <c r="AT10" s="96">
        <f>Calcs!AX214</f>
        <v>0</v>
      </c>
      <c r="AU10" s="96">
        <f>Calcs!AY214</f>
        <v>0</v>
      </c>
      <c r="AV10" s="96">
        <f>Calcs!AZ214</f>
        <v>0</v>
      </c>
      <c r="AW10" s="96">
        <f>Calcs!BA214</f>
        <v>0</v>
      </c>
      <c r="AX10" s="96">
        <f>Calcs!BB214</f>
        <v>0</v>
      </c>
      <c r="AY10" s="96">
        <f>Calcs!BC214</f>
        <v>0</v>
      </c>
      <c r="AZ10" s="96">
        <f>Calcs!BD214</f>
        <v>0</v>
      </c>
      <c r="BA10" s="96">
        <f>Calcs!BE214</f>
        <v>0</v>
      </c>
      <c r="BB10" s="96">
        <f>Calcs!BF214</f>
        <v>0</v>
      </c>
      <c r="BC10" s="96">
        <f>Calcs!BG214</f>
        <v>0</v>
      </c>
      <c r="BD10" s="96">
        <f>SUM(AR10:BC10)</f>
        <v>0</v>
      </c>
      <c r="BE10" s="96">
        <f>Calcs!BH214</f>
        <v>0</v>
      </c>
      <c r="BF10" s="96">
        <f>Calcs!BI214</f>
        <v>0</v>
      </c>
      <c r="BG10" s="96">
        <f>Calcs!BJ214</f>
        <v>0</v>
      </c>
      <c r="BH10" s="96">
        <f>Calcs!BK214</f>
        <v>0</v>
      </c>
      <c r="BI10" s="96">
        <f>Calcs!BL214</f>
        <v>0</v>
      </c>
      <c r="BJ10" s="96">
        <f>Calcs!BM214</f>
        <v>0</v>
      </c>
      <c r="BK10" s="96">
        <f>Calcs!BN214</f>
        <v>0</v>
      </c>
      <c r="BL10" s="96">
        <f>Calcs!BO214</f>
        <v>0</v>
      </c>
      <c r="BM10" s="96">
        <f>Calcs!BP214</f>
        <v>0</v>
      </c>
      <c r="BN10" s="96">
        <f>Calcs!BQ214</f>
        <v>0</v>
      </c>
      <c r="BO10" s="96">
        <f>Calcs!BR214</f>
        <v>0</v>
      </c>
      <c r="BP10" s="96">
        <f>Calcs!BS214</f>
        <v>0</v>
      </c>
      <c r="BQ10" s="96">
        <f>SUM(BE10:BP10)</f>
        <v>0</v>
      </c>
      <c r="BR10" s="1569"/>
      <c r="BS10" s="153">
        <f>SUM(BQ10,BD10,AQ10,AD10,Q10)</f>
        <v>0</v>
      </c>
      <c r="BT10" s="1569" t="s">
        <v>90</v>
      </c>
      <c r="BU10" s="113">
        <f>SUM(BQ10,BD10,AQ10,AD10,Q10)</f>
      </c>
      <c r="BV10" s="152"/>
      <c r="BW10" s="96"/>
      <c r="BX10" s="96"/>
      <c r="BY10" s="96"/>
      <c r="BZ10" s="96"/>
      <c r="CA10" s="96"/>
      <c r="CB10" s="96"/>
      <c r="CC10" s="96"/>
      <c r="CD10" s="96"/>
      <c r="CE10" s="96"/>
      <c r="CF10" s="96"/>
      <c r="CG10" s="96"/>
      <c r="CH10" s="96"/>
      <c r="CI10" s="96"/>
      <c r="CJ10" s="96"/>
      <c r="CK10" s="96"/>
      <c r="CL10" s="96"/>
      <c r="CM10" s="96"/>
      <c r="CN10" s="96"/>
      <c r="CO10" s="96"/>
      <c r="CP10" s="96"/>
      <c r="CW10" s="179"/>
      <c r="CX10" s="179"/>
      <c r="CY10" s="305"/>
      <c r="CZ10" s="305"/>
      <c r="DA10" s="305"/>
      <c r="DB10" s="305"/>
      <c r="DC10" s="305"/>
      <c r="DD10" s="305"/>
      <c r="DE10" s="305"/>
      <c r="DF10" s="305"/>
      <c r="DG10" s="305"/>
      <c r="DH10" s="305"/>
      <c r="DI10" s="305"/>
      <c r="DJ10" s="305"/>
      <c r="DK10" s="305"/>
      <c r="DL10" s="305"/>
      <c r="DM10" s="305"/>
      <c r="DN10" s="305"/>
      <c r="DO10" s="305"/>
      <c r="DP10" s="305"/>
      <c r="DQ10" s="305"/>
      <c r="DR10" s="305"/>
      <c r="DS10" s="305"/>
      <c r="DT10" s="305"/>
      <c r="DU10" s="305"/>
      <c r="DV10" s="305"/>
      <c r="DW10" s="305"/>
      <c r="DX10" s="305"/>
      <c r="DY10" s="305"/>
      <c r="DZ10" s="305"/>
      <c r="EA10" s="305"/>
      <c r="EB10" s="305"/>
      <c r="EC10" s="305"/>
      <c r="ED10" s="305"/>
      <c r="EE10" s="305"/>
      <c r="EF10" s="305"/>
      <c r="EG10" s="305"/>
      <c r="EH10" s="305"/>
      <c r="EI10" s="305"/>
      <c r="EJ10" s="305"/>
      <c r="EK10" s="305"/>
      <c r="EL10" s="305"/>
      <c r="EM10" s="305"/>
      <c r="EN10" s="305"/>
      <c r="EO10" s="305"/>
      <c r="EP10" s="305"/>
      <c r="EQ10" s="305"/>
      <c r="ER10" s="305"/>
      <c r="ES10" s="305"/>
      <c r="ET10" s="305"/>
      <c r="EU10" s="305"/>
      <c r="EV10" s="305"/>
      <c r="EW10" s="305"/>
      <c r="EX10" s="305"/>
      <c r="EY10" s="305"/>
      <c r="EZ10" s="305"/>
      <c r="FA10" s="305"/>
      <c r="FB10" s="305"/>
      <c r="FC10" s="305"/>
      <c r="FD10" s="305"/>
      <c r="FE10" s="305"/>
      <c r="FF10" s="305"/>
      <c r="FG10" s="305"/>
      <c r="FH10" s="305"/>
      <c r="FI10" s="305"/>
      <c r="FJ10" s="305"/>
    </row>
    <row r="11" spans="1:166" ht="12.75" customHeight="1" x14ac:dyDescent="0.35" hidden="1">
      <c r="A11" s="165"/>
      <c r="B11" s="150"/>
      <c r="C11" s="53"/>
      <c r="D11" s="395" t="str">
        <f>Calcs!K215</f>
        <v>Item 5</v>
      </c>
      <c r="E11" s="396">
        <f>Calcs!L215</f>
        <v>0</v>
      </c>
      <c r="F11" s="396">
        <f>Calcs!M215</f>
        <v>0</v>
      </c>
      <c r="G11" s="396">
        <f>Calcs!N215</f>
        <v>0</v>
      </c>
      <c r="H11" s="396">
        <f>Calcs!O215</f>
        <v>0</v>
      </c>
      <c r="I11" s="396">
        <f>Calcs!P215</f>
        <v>0</v>
      </c>
      <c r="J11" s="396">
        <f>Calcs!Q215</f>
        <v>0</v>
      </c>
      <c r="K11" s="396">
        <f>Calcs!R215</f>
        <v>0</v>
      </c>
      <c r="L11" s="396">
        <f>Calcs!S215</f>
        <v>0</v>
      </c>
      <c r="M11" s="396">
        <f>Calcs!T215</f>
        <v>0</v>
      </c>
      <c r="N11" s="396">
        <f>Calcs!U215</f>
        <v>0</v>
      </c>
      <c r="O11" s="396">
        <f>Calcs!V215</f>
        <v>0</v>
      </c>
      <c r="P11" s="396">
        <f>Calcs!W215</f>
        <v>0</v>
      </c>
      <c r="Q11" s="396">
        <f>SUM(E11:P11)</f>
        <v>0</v>
      </c>
      <c r="R11" s="396">
        <f>Calcs!X215</f>
        <v>0</v>
      </c>
      <c r="S11" s="396">
        <f>Calcs!Y215</f>
        <v>0</v>
      </c>
      <c r="T11" s="396">
        <f>Calcs!Z215</f>
        <v>0</v>
      </c>
      <c r="U11" s="396">
        <f>Calcs!AA215</f>
        <v>0</v>
      </c>
      <c r="V11" s="396">
        <f>Calcs!AB215</f>
        <v>0</v>
      </c>
      <c r="W11" s="396">
        <f>Calcs!AC215</f>
        <v>0</v>
      </c>
      <c r="X11" s="396">
        <f>Calcs!AD215</f>
        <v>0</v>
      </c>
      <c r="Y11" s="396">
        <f>Calcs!AE215</f>
        <v>0</v>
      </c>
      <c r="Z11" s="396">
        <f>Calcs!AF215</f>
        <v>0</v>
      </c>
      <c r="AA11" s="396">
        <f>Calcs!AG215</f>
        <v>0</v>
      </c>
      <c r="AB11" s="396">
        <f>Calcs!AH215</f>
        <v>0</v>
      </c>
      <c r="AC11" s="396">
        <f>Calcs!AI215</f>
        <v>0</v>
      </c>
      <c r="AD11" s="396">
        <f>SUM(R11:AC11)</f>
        <v>0</v>
      </c>
      <c r="AE11" s="396">
        <f>Calcs!AJ215</f>
        <v>0</v>
      </c>
      <c r="AF11" s="396">
        <f>Calcs!AK215</f>
        <v>0</v>
      </c>
      <c r="AG11" s="396">
        <f>Calcs!AL215</f>
        <v>0</v>
      </c>
      <c r="AH11" s="396">
        <f>Calcs!AM215</f>
        <v>0</v>
      </c>
      <c r="AI11" s="396">
        <f>Calcs!AN215</f>
        <v>0</v>
      </c>
      <c r="AJ11" s="396">
        <f>Calcs!AO215</f>
        <v>0</v>
      </c>
      <c r="AK11" s="396">
        <f>Calcs!AP215</f>
        <v>0</v>
      </c>
      <c r="AL11" s="396">
        <f>Calcs!AQ215</f>
        <v>0</v>
      </c>
      <c r="AM11" s="396">
        <f>Calcs!AR215</f>
        <v>0</v>
      </c>
      <c r="AN11" s="396">
        <f>Calcs!AS215</f>
        <v>0</v>
      </c>
      <c r="AO11" s="396">
        <f>Calcs!AT215</f>
        <v>0</v>
      </c>
      <c r="AP11" s="396">
        <f>Calcs!AU215</f>
        <v>0</v>
      </c>
      <c r="AQ11" s="396">
        <f>SUM(AE11:AP11)</f>
        <v>0</v>
      </c>
      <c r="AR11" s="396">
        <f>Calcs!AV215</f>
        <v>0</v>
      </c>
      <c r="AS11" s="396">
        <f>Calcs!AW215</f>
        <v>0</v>
      </c>
      <c r="AT11" s="396">
        <f>Calcs!AX215</f>
        <v>0</v>
      </c>
      <c r="AU11" s="396">
        <f>Calcs!AY215</f>
        <v>0</v>
      </c>
      <c r="AV11" s="396">
        <f>Calcs!AZ215</f>
        <v>0</v>
      </c>
      <c r="AW11" s="396">
        <f>Calcs!BA215</f>
        <v>0</v>
      </c>
      <c r="AX11" s="396">
        <f>Calcs!BB215</f>
        <v>0</v>
      </c>
      <c r="AY11" s="396">
        <f>Calcs!BC215</f>
        <v>0</v>
      </c>
      <c r="AZ11" s="396">
        <f>Calcs!BD215</f>
        <v>0</v>
      </c>
      <c r="BA11" s="396">
        <f>Calcs!BE215</f>
        <v>0</v>
      </c>
      <c r="BB11" s="396">
        <f>Calcs!BF215</f>
        <v>0</v>
      </c>
      <c r="BC11" s="396">
        <f>Calcs!BG215</f>
        <v>0</v>
      </c>
      <c r="BD11" s="396">
        <f>SUM(AR11:BC11)</f>
        <v>0</v>
      </c>
      <c r="BE11" s="396">
        <f>Calcs!BH215</f>
        <v>0</v>
      </c>
      <c r="BF11" s="396">
        <f>Calcs!BI215</f>
        <v>0</v>
      </c>
      <c r="BG11" s="396">
        <f>Calcs!BJ215</f>
        <v>0</v>
      </c>
      <c r="BH11" s="396">
        <f>Calcs!BK215</f>
        <v>0</v>
      </c>
      <c r="BI11" s="396">
        <f>Calcs!BL215</f>
        <v>0</v>
      </c>
      <c r="BJ11" s="396">
        <f>Calcs!BM215</f>
        <v>0</v>
      </c>
      <c r="BK11" s="396">
        <f>Calcs!BN215</f>
        <v>0</v>
      </c>
      <c r="BL11" s="396">
        <f>Calcs!BO215</f>
        <v>0</v>
      </c>
      <c r="BM11" s="396">
        <f>Calcs!BP215</f>
        <v>0</v>
      </c>
      <c r="BN11" s="396">
        <f>Calcs!BQ215</f>
        <v>0</v>
      </c>
      <c r="BO11" s="396">
        <f>Calcs!BR215</f>
        <v>0</v>
      </c>
      <c r="BP11" s="396">
        <f>Calcs!BS215</f>
        <v>0</v>
      </c>
      <c r="BQ11" s="396">
        <f>SUM(BE11:BP11)</f>
        <v>0</v>
      </c>
      <c r="BR11" s="1569"/>
      <c r="BS11" s="153">
        <f>SUM(BQ11,BD11,AQ11,AD11,Q11)</f>
        <v>0</v>
      </c>
      <c r="BT11" s="1569"/>
      <c r="BU11" s="113">
        <f>SUM(BQ11,BD11,AQ11,AD11,Q11)</f>
      </c>
      <c r="BV11" s="152"/>
      <c r="BW11" s="96"/>
      <c r="BX11" s="96"/>
      <c r="BY11" s="96"/>
      <c r="BZ11" s="96"/>
      <c r="CA11" s="96"/>
      <c r="CB11" s="96"/>
      <c r="CC11" s="96"/>
      <c r="CD11" s="96"/>
      <c r="CE11" s="96"/>
      <c r="CF11" s="96"/>
      <c r="CG11" s="96"/>
      <c r="CH11" s="96"/>
      <c r="CI11" s="96"/>
      <c r="CJ11" s="96"/>
      <c r="CK11" s="96"/>
      <c r="CL11" s="96"/>
      <c r="CM11" s="96"/>
      <c r="CN11" s="96"/>
      <c r="CO11" s="96"/>
      <c r="CP11" s="96"/>
      <c r="CW11" s="179"/>
      <c r="CX11" s="179"/>
      <c r="CY11" s="305"/>
      <c r="CZ11" s="305"/>
      <c r="DA11" s="305"/>
      <c r="DB11" s="305"/>
      <c r="DC11" s="305"/>
      <c r="DD11" s="305"/>
      <c r="DE11" s="305"/>
      <c r="DF11" s="305"/>
      <c r="DG11" s="305"/>
      <c r="DH11" s="305"/>
      <c r="DI11" s="305"/>
      <c r="DJ11" s="305"/>
      <c r="DK11" s="305"/>
      <c r="DL11" s="305"/>
      <c r="DM11" s="305"/>
      <c r="DN11" s="305"/>
      <c r="DO11" s="305"/>
      <c r="DP11" s="305"/>
      <c r="DQ11" s="305"/>
      <c r="DR11" s="305"/>
      <c r="DS11" s="305"/>
      <c r="DT11" s="305"/>
      <c r="DU11" s="305"/>
      <c r="DV11" s="305"/>
      <c r="DW11" s="305"/>
      <c r="DX11" s="305"/>
      <c r="DY11" s="305"/>
      <c r="DZ11" s="305"/>
      <c r="EA11" s="305"/>
      <c r="EB11" s="305"/>
      <c r="EC11" s="305"/>
      <c r="ED11" s="305"/>
      <c r="EE11" s="305"/>
      <c r="EF11" s="305"/>
      <c r="EG11" s="305"/>
      <c r="EH11" s="305"/>
      <c r="EI11" s="305"/>
      <c r="EJ11" s="305"/>
      <c r="EK11" s="305"/>
      <c r="EL11" s="305"/>
      <c r="EM11" s="305"/>
      <c r="EN11" s="305"/>
      <c r="EO11" s="305"/>
      <c r="EP11" s="305"/>
      <c r="EQ11" s="305"/>
      <c r="ER11" s="305"/>
      <c r="ES11" s="305"/>
      <c r="ET11" s="305"/>
      <c r="EU11" s="305"/>
      <c r="EV11" s="305"/>
      <c r="EW11" s="305"/>
      <c r="EX11" s="305"/>
      <c r="EY11" s="305"/>
      <c r="EZ11" s="305"/>
      <c r="FA11" s="305"/>
      <c r="FB11" s="305"/>
      <c r="FC11" s="305"/>
      <c r="FD11" s="305"/>
      <c r="FE11" s="305"/>
      <c r="FF11" s="305"/>
      <c r="FG11" s="305"/>
      <c r="FH11" s="305"/>
      <c r="FI11" s="305"/>
      <c r="FJ11" s="305"/>
    </row>
    <row r="12" spans="1:166" ht="12.75" customHeight="1" x14ac:dyDescent="0.35" hidden="1">
      <c r="A12" s="165"/>
      <c r="B12" s="150"/>
      <c r="C12" s="53"/>
      <c r="D12" s="152" t="str">
        <f>Calcs!K216</f>
        <v>Item 6</v>
      </c>
      <c r="E12" s="96">
        <f>Calcs!L216</f>
        <v>0</v>
      </c>
      <c r="F12" s="96">
        <f>Calcs!M216</f>
        <v>0</v>
      </c>
      <c r="G12" s="96">
        <f>Calcs!N216</f>
        <v>0</v>
      </c>
      <c r="H12" s="96">
        <f>Calcs!O216</f>
        <v>0</v>
      </c>
      <c r="I12" s="96">
        <f>Calcs!P216</f>
        <v>0</v>
      </c>
      <c r="J12" s="96">
        <f>Calcs!Q216</f>
        <v>0</v>
      </c>
      <c r="K12" s="96">
        <f>Calcs!R216</f>
        <v>0</v>
      </c>
      <c r="L12" s="96">
        <f>Calcs!S216</f>
        <v>0</v>
      </c>
      <c r="M12" s="96">
        <f>Calcs!T216</f>
        <v>0</v>
      </c>
      <c r="N12" s="96">
        <f>Calcs!U216</f>
        <v>0</v>
      </c>
      <c r="O12" s="96">
        <f>Calcs!V216</f>
        <v>0</v>
      </c>
      <c r="P12" s="96">
        <f>Calcs!W216</f>
        <v>0</v>
      </c>
      <c r="Q12" s="96">
        <f>SUM(E12:P12)</f>
        <v>0</v>
      </c>
      <c r="R12" s="96">
        <f>Calcs!X216</f>
        <v>0</v>
      </c>
      <c r="S12" s="96">
        <f>Calcs!Y216</f>
        <v>0</v>
      </c>
      <c r="T12" s="96">
        <f>Calcs!Z216</f>
        <v>0</v>
      </c>
      <c r="U12" s="96">
        <f>Calcs!AA216</f>
        <v>0</v>
      </c>
      <c r="V12" s="96">
        <f>Calcs!AB216</f>
        <v>0</v>
      </c>
      <c r="W12" s="96">
        <f>Calcs!AC216</f>
        <v>0</v>
      </c>
      <c r="X12" s="96">
        <f>Calcs!AD216</f>
        <v>0</v>
      </c>
      <c r="Y12" s="96">
        <f>Calcs!AE216</f>
        <v>0</v>
      </c>
      <c r="Z12" s="96">
        <f>Calcs!AF216</f>
        <v>0</v>
      </c>
      <c r="AA12" s="96">
        <f>Calcs!AG216</f>
        <v>0</v>
      </c>
      <c r="AB12" s="96">
        <f>Calcs!AH216</f>
        <v>0</v>
      </c>
      <c r="AC12" s="96">
        <f>Calcs!AI216</f>
        <v>0</v>
      </c>
      <c r="AD12" s="96">
        <f>SUM(R12:AC12)</f>
        <v>0</v>
      </c>
      <c r="AE12" s="96">
        <f>Calcs!AJ216</f>
        <v>0</v>
      </c>
      <c r="AF12" s="96">
        <f>Calcs!AK216</f>
        <v>0</v>
      </c>
      <c r="AG12" s="96">
        <f>Calcs!AL216</f>
        <v>0</v>
      </c>
      <c r="AH12" s="96">
        <f>Calcs!AM216</f>
        <v>0</v>
      </c>
      <c r="AI12" s="96">
        <f>Calcs!AN216</f>
        <v>0</v>
      </c>
      <c r="AJ12" s="96">
        <f>Calcs!AO216</f>
        <v>0</v>
      </c>
      <c r="AK12" s="96">
        <f>Calcs!AP216</f>
        <v>0</v>
      </c>
      <c r="AL12" s="96">
        <f>Calcs!AQ216</f>
        <v>0</v>
      </c>
      <c r="AM12" s="96">
        <f>Calcs!AR216</f>
        <v>0</v>
      </c>
      <c r="AN12" s="96">
        <f>Calcs!AS216</f>
        <v>0</v>
      </c>
      <c r="AO12" s="96">
        <f>Calcs!AT216</f>
        <v>0</v>
      </c>
      <c r="AP12" s="96">
        <f>Calcs!AU216</f>
        <v>0</v>
      </c>
      <c r="AQ12" s="96">
        <f>SUM(AE12:AP12)</f>
        <v>0</v>
      </c>
      <c r="AR12" s="96">
        <f>Calcs!AV216</f>
        <v>0</v>
      </c>
      <c r="AS12" s="96">
        <f>Calcs!AW216</f>
        <v>0</v>
      </c>
      <c r="AT12" s="96">
        <f>Calcs!AX216</f>
        <v>0</v>
      </c>
      <c r="AU12" s="96">
        <f>Calcs!AY216</f>
        <v>0</v>
      </c>
      <c r="AV12" s="96">
        <f>Calcs!AZ216</f>
        <v>0</v>
      </c>
      <c r="AW12" s="96">
        <f>Calcs!BA216</f>
        <v>0</v>
      </c>
      <c r="AX12" s="96">
        <f>Calcs!BB216</f>
        <v>0</v>
      </c>
      <c r="AY12" s="96">
        <f>Calcs!BC216</f>
        <v>0</v>
      </c>
      <c r="AZ12" s="96">
        <f>Calcs!BD216</f>
        <v>0</v>
      </c>
      <c r="BA12" s="96">
        <f>Calcs!BE216</f>
        <v>0</v>
      </c>
      <c r="BB12" s="96">
        <f>Calcs!BF216</f>
        <v>0</v>
      </c>
      <c r="BC12" s="96">
        <f>Calcs!BG216</f>
        <v>0</v>
      </c>
      <c r="BD12" s="96">
        <f>SUM(AR12:BC12)</f>
        <v>0</v>
      </c>
      <c r="BE12" s="96">
        <f>Calcs!BH216</f>
        <v>0</v>
      </c>
      <c r="BF12" s="96">
        <f>Calcs!BI216</f>
        <v>0</v>
      </c>
      <c r="BG12" s="96">
        <f>Calcs!BJ216</f>
        <v>0</v>
      </c>
      <c r="BH12" s="96">
        <f>Calcs!BK216</f>
        <v>0</v>
      </c>
      <c r="BI12" s="96">
        <f>Calcs!BL216</f>
        <v>0</v>
      </c>
      <c r="BJ12" s="96">
        <f>Calcs!BM216</f>
        <v>0</v>
      </c>
      <c r="BK12" s="96">
        <f>Calcs!BN216</f>
        <v>0</v>
      </c>
      <c r="BL12" s="96">
        <f>Calcs!BO216</f>
        <v>0</v>
      </c>
      <c r="BM12" s="96">
        <f>Calcs!BP216</f>
        <v>0</v>
      </c>
      <c r="BN12" s="96">
        <f>Calcs!BQ216</f>
        <v>0</v>
      </c>
      <c r="BO12" s="96">
        <f>Calcs!BR216</f>
        <v>0</v>
      </c>
      <c r="BP12" s="96">
        <f>Calcs!BS216</f>
        <v>0</v>
      </c>
      <c r="BQ12" s="96">
        <f>SUM(BE12:BP12)</f>
        <v>0</v>
      </c>
      <c r="BR12" s="1569"/>
      <c r="BS12" s="153">
        <f>SUM(BQ12,BD12,AQ12,AD12,Q12)</f>
        <v>0</v>
      </c>
      <c r="BT12" s="1569"/>
      <c r="BU12" s="113">
        <f>SUM(BQ12,BD12,AQ12,AD12,Q12)</f>
      </c>
      <c r="BV12" s="152"/>
      <c r="BW12" s="96"/>
      <c r="BX12" s="96"/>
      <c r="BY12" s="96"/>
      <c r="BZ12" s="96"/>
      <c r="CA12" s="96"/>
      <c r="CB12" s="96"/>
      <c r="CC12" s="96"/>
      <c r="CD12" s="96"/>
      <c r="CE12" s="96"/>
      <c r="CF12" s="96"/>
      <c r="CG12" s="96"/>
      <c r="CH12" s="96"/>
      <c r="CI12" s="96"/>
      <c r="CJ12" s="96"/>
      <c r="CK12" s="96"/>
      <c r="CL12" s="96"/>
      <c r="CM12" s="96"/>
      <c r="CN12" s="96"/>
      <c r="CO12" s="96"/>
      <c r="CP12" s="96"/>
      <c r="CW12" s="179"/>
      <c r="CX12" s="179"/>
      <c r="CY12" s="305"/>
      <c r="CZ12" s="305"/>
      <c r="DA12" s="305"/>
      <c r="DB12" s="305"/>
      <c r="DC12" s="305"/>
      <c r="DD12" s="305"/>
      <c r="DE12" s="305"/>
      <c r="DF12" s="305"/>
      <c r="DG12" s="305"/>
      <c r="DH12" s="305"/>
      <c r="DI12" s="305"/>
      <c r="DJ12" s="305"/>
      <c r="DK12" s="305"/>
      <c r="DL12" s="305"/>
      <c r="DM12" s="305"/>
      <c r="DN12" s="305"/>
      <c r="DO12" s="305"/>
      <c r="DP12" s="305"/>
      <c r="DQ12" s="305"/>
      <c r="DR12" s="305"/>
      <c r="DS12" s="305"/>
      <c r="DT12" s="305"/>
      <c r="DU12" s="305"/>
      <c r="DV12" s="305"/>
      <c r="DW12" s="305"/>
      <c r="DX12" s="305"/>
      <c r="DY12" s="305"/>
      <c r="DZ12" s="305"/>
      <c r="EA12" s="305"/>
      <c r="EB12" s="305"/>
      <c r="EC12" s="305"/>
      <c r="ED12" s="305"/>
      <c r="EE12" s="305"/>
      <c r="EF12" s="305"/>
      <c r="EG12" s="305"/>
      <c r="EH12" s="305"/>
      <c r="EI12" s="305"/>
      <c r="EJ12" s="305"/>
      <c r="EK12" s="305"/>
      <c r="EL12" s="305"/>
      <c r="EM12" s="305"/>
      <c r="EN12" s="305"/>
      <c r="EO12" s="305"/>
      <c r="EP12" s="305"/>
      <c r="EQ12" s="305"/>
      <c r="ER12" s="305"/>
      <c r="ES12" s="305"/>
      <c r="ET12" s="305"/>
      <c r="EU12" s="305"/>
      <c r="EV12" s="305"/>
      <c r="EW12" s="305"/>
      <c r="EX12" s="305"/>
      <c r="EY12" s="305"/>
      <c r="EZ12" s="305"/>
      <c r="FA12" s="305"/>
      <c r="FB12" s="305"/>
      <c r="FC12" s="305"/>
      <c r="FD12" s="305"/>
      <c r="FE12" s="305"/>
      <c r="FF12" s="305"/>
      <c r="FG12" s="305"/>
      <c r="FH12" s="305"/>
      <c r="FI12" s="305"/>
      <c r="FJ12" s="305"/>
    </row>
    <row r="13" spans="1:166" ht="12.75" customHeight="1" x14ac:dyDescent="0.35" hidden="1">
      <c r="A13" s="165"/>
      <c r="B13" s="150"/>
      <c r="C13" s="53"/>
      <c r="D13" s="152" t="str">
        <f>Calcs!K217</f>
        <v>Item 7</v>
      </c>
      <c r="E13" s="96">
        <f>Calcs!L217</f>
        <v>0</v>
      </c>
      <c r="F13" s="96">
        <f>Calcs!M217</f>
        <v>0</v>
      </c>
      <c r="G13" s="96">
        <f>Calcs!N217</f>
        <v>0</v>
      </c>
      <c r="H13" s="96">
        <f>Calcs!O217</f>
        <v>0</v>
      </c>
      <c r="I13" s="96">
        <f>Calcs!P217</f>
        <v>0</v>
      </c>
      <c r="J13" s="96">
        <f>Calcs!Q217</f>
        <v>0</v>
      </c>
      <c r="K13" s="96">
        <f>Calcs!R217</f>
        <v>0</v>
      </c>
      <c r="L13" s="96">
        <f>Calcs!S217</f>
        <v>0</v>
      </c>
      <c r="M13" s="96">
        <f>Calcs!T217</f>
        <v>0</v>
      </c>
      <c r="N13" s="96">
        <f>Calcs!U217</f>
        <v>0</v>
      </c>
      <c r="O13" s="96">
        <f>Calcs!V217</f>
        <v>0</v>
      </c>
      <c r="P13" s="96">
        <f>Calcs!W217</f>
        <v>0</v>
      </c>
      <c r="Q13" s="96">
        <f>SUM(E13:P13)</f>
        <v>0</v>
      </c>
      <c r="R13" s="96">
        <f>Calcs!X217</f>
        <v>0</v>
      </c>
      <c r="S13" s="96">
        <f>Calcs!Y217</f>
        <v>0</v>
      </c>
      <c r="T13" s="96">
        <f>Calcs!Z217</f>
        <v>0</v>
      </c>
      <c r="U13" s="96">
        <f>Calcs!AA217</f>
        <v>0</v>
      </c>
      <c r="V13" s="96">
        <f>Calcs!AB217</f>
        <v>0</v>
      </c>
      <c r="W13" s="96">
        <f>Calcs!AC217</f>
        <v>0</v>
      </c>
      <c r="X13" s="96">
        <f>Calcs!AD217</f>
        <v>0</v>
      </c>
      <c r="Y13" s="96">
        <f>Calcs!AE217</f>
        <v>0</v>
      </c>
      <c r="Z13" s="96">
        <f>Calcs!AF217</f>
        <v>0</v>
      </c>
      <c r="AA13" s="96">
        <f>Calcs!AG217</f>
        <v>0</v>
      </c>
      <c r="AB13" s="96">
        <f>Calcs!AH217</f>
        <v>0</v>
      </c>
      <c r="AC13" s="96">
        <f>Calcs!AI217</f>
        <v>0</v>
      </c>
      <c r="AD13" s="96">
        <f>SUM(R13:AC13)</f>
        <v>0</v>
      </c>
      <c r="AE13" s="96">
        <f>Calcs!AJ217</f>
        <v>0</v>
      </c>
      <c r="AF13" s="96">
        <f>Calcs!AK217</f>
        <v>0</v>
      </c>
      <c r="AG13" s="96">
        <f>Calcs!AL217</f>
        <v>0</v>
      </c>
      <c r="AH13" s="96">
        <f>Calcs!AM217</f>
        <v>0</v>
      </c>
      <c r="AI13" s="96">
        <f>Calcs!AN217</f>
        <v>0</v>
      </c>
      <c r="AJ13" s="96">
        <f>Calcs!AO217</f>
        <v>0</v>
      </c>
      <c r="AK13" s="96">
        <f>Calcs!AP217</f>
        <v>0</v>
      </c>
      <c r="AL13" s="96">
        <f>Calcs!AQ217</f>
        <v>0</v>
      </c>
      <c r="AM13" s="96">
        <f>Calcs!AR217</f>
        <v>0</v>
      </c>
      <c r="AN13" s="96">
        <f>Calcs!AS217</f>
        <v>0</v>
      </c>
      <c r="AO13" s="96">
        <f>Calcs!AT217</f>
        <v>0</v>
      </c>
      <c r="AP13" s="96">
        <f>Calcs!AU217</f>
        <v>0</v>
      </c>
      <c r="AQ13" s="96">
        <f>SUM(AE13:AP13)</f>
        <v>0</v>
      </c>
      <c r="AR13" s="96">
        <f>Calcs!AV217</f>
        <v>0</v>
      </c>
      <c r="AS13" s="96">
        <f>Calcs!AW217</f>
        <v>0</v>
      </c>
      <c r="AT13" s="96">
        <f>Calcs!AX217</f>
        <v>0</v>
      </c>
      <c r="AU13" s="96">
        <f>Calcs!AY217</f>
        <v>0</v>
      </c>
      <c r="AV13" s="96">
        <f>Calcs!AZ217</f>
        <v>0</v>
      </c>
      <c r="AW13" s="96">
        <f>Calcs!BA217</f>
        <v>0</v>
      </c>
      <c r="AX13" s="96">
        <f>Calcs!BB217</f>
        <v>0</v>
      </c>
      <c r="AY13" s="96">
        <f>Calcs!BC217</f>
        <v>0</v>
      </c>
      <c r="AZ13" s="96">
        <f>Calcs!BD217</f>
        <v>0</v>
      </c>
      <c r="BA13" s="96">
        <f>Calcs!BE217</f>
        <v>0</v>
      </c>
      <c r="BB13" s="96">
        <f>Calcs!BF217</f>
        <v>0</v>
      </c>
      <c r="BC13" s="96">
        <f>Calcs!BG217</f>
        <v>0</v>
      </c>
      <c r="BD13" s="96">
        <f>SUM(AR13:BC13)</f>
        <v>0</v>
      </c>
      <c r="BE13" s="96">
        <f>Calcs!BH217</f>
        <v>0</v>
      </c>
      <c r="BF13" s="96">
        <f>Calcs!BI217</f>
        <v>0</v>
      </c>
      <c r="BG13" s="96">
        <f>Calcs!BJ217</f>
        <v>0</v>
      </c>
      <c r="BH13" s="96">
        <f>Calcs!BK217</f>
        <v>0</v>
      </c>
      <c r="BI13" s="96">
        <f>Calcs!BL217</f>
        <v>0</v>
      </c>
      <c r="BJ13" s="96">
        <f>Calcs!BM217</f>
        <v>0</v>
      </c>
      <c r="BK13" s="96">
        <f>Calcs!BN217</f>
        <v>0</v>
      </c>
      <c r="BL13" s="96">
        <f>Calcs!BO217</f>
        <v>0</v>
      </c>
      <c r="BM13" s="96">
        <f>Calcs!BP217</f>
        <v>0</v>
      </c>
      <c r="BN13" s="96">
        <f>Calcs!BQ217</f>
        <v>0</v>
      </c>
      <c r="BO13" s="96">
        <f>Calcs!BR217</f>
        <v>0</v>
      </c>
      <c r="BP13" s="96">
        <f>Calcs!BS217</f>
        <v>0</v>
      </c>
      <c r="BQ13" s="96">
        <f>SUM(BE13:BP13)</f>
        <v>0</v>
      </c>
      <c r="BR13" s="1569"/>
      <c r="BS13" s="153">
        <f>SUM(BQ13,BD13,AQ13,AD13,Q13)</f>
        <v>0</v>
      </c>
      <c r="BT13" s="1569"/>
      <c r="BU13" s="113">
        <f>SUM(BQ13,BD13,AQ13,AD13,Q13)</f>
      </c>
      <c r="BV13" s="152"/>
      <c r="BW13" s="96"/>
      <c r="BX13" s="96"/>
      <c r="BY13" s="96"/>
      <c r="BZ13" s="96"/>
      <c r="CA13" s="96"/>
      <c r="CB13" s="96"/>
      <c r="CC13" s="96"/>
      <c r="CD13" s="96"/>
      <c r="CE13" s="96"/>
      <c r="CF13" s="96"/>
      <c r="CG13" s="96"/>
      <c r="CH13" s="96"/>
      <c r="CI13" s="96"/>
      <c r="CJ13" s="96"/>
      <c r="CK13" s="96"/>
      <c r="CL13" s="96"/>
      <c r="CM13" s="96"/>
      <c r="CN13" s="96"/>
      <c r="CO13" s="96"/>
      <c r="CP13" s="96"/>
      <c r="CW13" s="179"/>
      <c r="CX13" s="179"/>
      <c r="CY13" s="305"/>
      <c r="CZ13" s="305"/>
      <c r="DA13" s="305"/>
      <c r="DB13" s="305"/>
      <c r="DC13" s="305"/>
      <c r="DD13" s="305"/>
      <c r="DE13" s="305"/>
      <c r="DF13" s="305"/>
      <c r="DG13" s="305"/>
      <c r="DH13" s="305"/>
      <c r="DI13" s="305"/>
      <c r="DJ13" s="305"/>
      <c r="DK13" s="305"/>
      <c r="DL13" s="305"/>
      <c r="DM13" s="305"/>
      <c r="DN13" s="305"/>
      <c r="DO13" s="305"/>
      <c r="DP13" s="305"/>
      <c r="DQ13" s="305"/>
      <c r="DR13" s="305"/>
      <c r="DS13" s="305"/>
      <c r="DT13" s="305"/>
      <c r="DU13" s="305"/>
      <c r="DV13" s="305"/>
      <c r="DW13" s="305"/>
      <c r="DX13" s="305"/>
      <c r="DY13" s="305"/>
      <c r="DZ13" s="305"/>
      <c r="EA13" s="305"/>
      <c r="EB13" s="305"/>
      <c r="EC13" s="305"/>
      <c r="ED13" s="305"/>
      <c r="EE13" s="305"/>
      <c r="EF13" s="305"/>
      <c r="EG13" s="305"/>
      <c r="EH13" s="305"/>
      <c r="EI13" s="305"/>
      <c r="EJ13" s="305"/>
      <c r="EK13" s="305"/>
      <c r="EL13" s="305"/>
      <c r="EM13" s="305"/>
      <c r="EN13" s="305"/>
      <c r="EO13" s="305"/>
      <c r="EP13" s="305"/>
      <c r="EQ13" s="305"/>
      <c r="ER13" s="305"/>
      <c r="ES13" s="305"/>
      <c r="ET13" s="305"/>
      <c r="EU13" s="305"/>
      <c r="EV13" s="305"/>
      <c r="EW13" s="305"/>
      <c r="EX13" s="305"/>
      <c r="EY13" s="305"/>
      <c r="EZ13" s="305"/>
      <c r="FA13" s="305"/>
      <c r="FB13" s="305"/>
      <c r="FC13" s="305"/>
      <c r="FD13" s="305"/>
      <c r="FE13" s="305"/>
      <c r="FF13" s="305"/>
      <c r="FG13" s="305"/>
      <c r="FH13" s="305"/>
      <c r="FI13" s="305"/>
      <c r="FJ13" s="305"/>
    </row>
    <row r="14" spans="1:166" ht="12.75" customHeight="1" x14ac:dyDescent="0.35" hidden="1">
      <c r="A14" s="165"/>
      <c r="B14" s="150"/>
      <c r="C14" s="53"/>
      <c r="D14" s="152" t="str">
        <f>Calcs!K218</f>
        <v>Item 8</v>
      </c>
      <c r="E14" s="96">
        <f>Calcs!L218</f>
        <v>0</v>
      </c>
      <c r="F14" s="96">
        <f>Calcs!M218</f>
        <v>0</v>
      </c>
      <c r="G14" s="96">
        <f>Calcs!N218</f>
        <v>0</v>
      </c>
      <c r="H14" s="96">
        <f>Calcs!O218</f>
        <v>0</v>
      </c>
      <c r="I14" s="96">
        <f>Calcs!P218</f>
        <v>0</v>
      </c>
      <c r="J14" s="96">
        <f>Calcs!Q218</f>
        <v>0</v>
      </c>
      <c r="K14" s="96">
        <f>Calcs!R218</f>
        <v>0</v>
      </c>
      <c r="L14" s="96">
        <f>Calcs!S218</f>
        <v>0</v>
      </c>
      <c r="M14" s="96">
        <f>Calcs!T218</f>
        <v>0</v>
      </c>
      <c r="N14" s="96">
        <f>Calcs!U218</f>
        <v>0</v>
      </c>
      <c r="O14" s="96">
        <f>Calcs!V218</f>
        <v>0</v>
      </c>
      <c r="P14" s="96">
        <f>Calcs!W218</f>
        <v>0</v>
      </c>
      <c r="Q14" s="96">
        <f>SUM(E14:P14)</f>
        <v>0</v>
      </c>
      <c r="R14" s="96">
        <f>Calcs!X218</f>
        <v>0</v>
      </c>
      <c r="S14" s="96">
        <f>Calcs!Y218</f>
        <v>0</v>
      </c>
      <c r="T14" s="96">
        <f>Calcs!Z218</f>
        <v>0</v>
      </c>
      <c r="U14" s="96">
        <f>Calcs!AA218</f>
        <v>0</v>
      </c>
      <c r="V14" s="96">
        <f>Calcs!AB218</f>
        <v>0</v>
      </c>
      <c r="W14" s="96">
        <f>Calcs!AC218</f>
        <v>0</v>
      </c>
      <c r="X14" s="96">
        <f>Calcs!AD218</f>
        <v>0</v>
      </c>
      <c r="Y14" s="96">
        <f>Calcs!AE218</f>
        <v>0</v>
      </c>
      <c r="Z14" s="96">
        <f>Calcs!AF218</f>
        <v>0</v>
      </c>
      <c r="AA14" s="96">
        <f>Calcs!AG218</f>
        <v>0</v>
      </c>
      <c r="AB14" s="96">
        <f>Calcs!AH218</f>
        <v>0</v>
      </c>
      <c r="AC14" s="96">
        <f>Calcs!AI218</f>
        <v>0</v>
      </c>
      <c r="AD14" s="96">
        <f>SUM(R14:AC14)</f>
        <v>0</v>
      </c>
      <c r="AE14" s="96">
        <f>Calcs!AJ218</f>
        <v>0</v>
      </c>
      <c r="AF14" s="96">
        <f>Calcs!AK218</f>
        <v>0</v>
      </c>
      <c r="AG14" s="96">
        <f>Calcs!AL218</f>
        <v>0</v>
      </c>
      <c r="AH14" s="96">
        <f>Calcs!AM218</f>
        <v>0</v>
      </c>
      <c r="AI14" s="96">
        <f>Calcs!AN218</f>
        <v>0</v>
      </c>
      <c r="AJ14" s="96">
        <f>Calcs!AO218</f>
        <v>0</v>
      </c>
      <c r="AK14" s="96">
        <f>Calcs!AP218</f>
        <v>0</v>
      </c>
      <c r="AL14" s="96">
        <f>Calcs!AQ218</f>
        <v>0</v>
      </c>
      <c r="AM14" s="96">
        <f>Calcs!AR218</f>
        <v>0</v>
      </c>
      <c r="AN14" s="96">
        <f>Calcs!AS218</f>
        <v>0</v>
      </c>
      <c r="AO14" s="96">
        <f>Calcs!AT218</f>
        <v>0</v>
      </c>
      <c r="AP14" s="96">
        <f>Calcs!AU218</f>
        <v>0</v>
      </c>
      <c r="AQ14" s="96">
        <f>SUM(AE14:AP14)</f>
        <v>0</v>
      </c>
      <c r="AR14" s="96">
        <f>Calcs!AV218</f>
        <v>0</v>
      </c>
      <c r="AS14" s="96">
        <f>Calcs!AW218</f>
        <v>0</v>
      </c>
      <c r="AT14" s="96">
        <f>Calcs!AX218</f>
        <v>0</v>
      </c>
      <c r="AU14" s="96">
        <f>Calcs!AY218</f>
        <v>0</v>
      </c>
      <c r="AV14" s="96">
        <f>Calcs!AZ218</f>
        <v>0</v>
      </c>
      <c r="AW14" s="96">
        <f>Calcs!BA218</f>
        <v>0</v>
      </c>
      <c r="AX14" s="96">
        <f>Calcs!BB218</f>
        <v>0</v>
      </c>
      <c r="AY14" s="96">
        <f>Calcs!BC218</f>
        <v>0</v>
      </c>
      <c r="AZ14" s="96">
        <f>Calcs!BD218</f>
        <v>0</v>
      </c>
      <c r="BA14" s="96">
        <f>Calcs!BE218</f>
        <v>0</v>
      </c>
      <c r="BB14" s="96">
        <f>Calcs!BF218</f>
        <v>0</v>
      </c>
      <c r="BC14" s="96">
        <f>Calcs!BG218</f>
        <v>0</v>
      </c>
      <c r="BD14" s="96">
        <f>SUM(AR14:BC14)</f>
        <v>0</v>
      </c>
      <c r="BE14" s="96">
        <f>Calcs!BH218</f>
        <v>0</v>
      </c>
      <c r="BF14" s="96">
        <f>Calcs!BI218</f>
        <v>0</v>
      </c>
      <c r="BG14" s="96">
        <f>Calcs!BJ218</f>
        <v>0</v>
      </c>
      <c r="BH14" s="96">
        <f>Calcs!BK218</f>
        <v>0</v>
      </c>
      <c r="BI14" s="96">
        <f>Calcs!BL218</f>
        <v>0</v>
      </c>
      <c r="BJ14" s="96">
        <f>Calcs!BM218</f>
        <v>0</v>
      </c>
      <c r="BK14" s="96">
        <f>Calcs!BN218</f>
        <v>0</v>
      </c>
      <c r="BL14" s="96">
        <f>Calcs!BO218</f>
        <v>0</v>
      </c>
      <c r="BM14" s="96">
        <f>Calcs!BP218</f>
        <v>0</v>
      </c>
      <c r="BN14" s="96">
        <f>Calcs!BQ218</f>
        <v>0</v>
      </c>
      <c r="BO14" s="96">
        <f>Calcs!BR218</f>
        <v>0</v>
      </c>
      <c r="BP14" s="96">
        <f>Calcs!BS218</f>
        <v>0</v>
      </c>
      <c r="BQ14" s="96">
        <f>SUM(BE14:BP14)</f>
        <v>0</v>
      </c>
      <c r="BR14" s="1569"/>
      <c r="BS14" s="153">
        <f>SUM(BQ14,BD14,AQ14,AD14,Q14)</f>
        <v>0</v>
      </c>
      <c r="BT14" s="1569"/>
      <c r="BU14" s="113">
        <f>SUM(BQ14,BD14,AQ14,AD14,Q14)</f>
      </c>
      <c r="BV14" s="152"/>
      <c r="BW14" s="96"/>
      <c r="BX14" s="96"/>
      <c r="BY14" s="96"/>
      <c r="BZ14" s="96"/>
      <c r="CA14" s="96"/>
      <c r="CB14" s="96"/>
      <c r="CC14" s="96"/>
      <c r="CD14" s="96"/>
      <c r="CE14" s="96"/>
      <c r="CF14" s="96"/>
      <c r="CG14" s="96"/>
      <c r="CH14" s="96"/>
      <c r="CI14" s="96"/>
      <c r="CJ14" s="96"/>
      <c r="CK14" s="96"/>
      <c r="CL14" s="96"/>
      <c r="CM14" s="96"/>
      <c r="CN14" s="96"/>
      <c r="CO14" s="96"/>
      <c r="CP14" s="96"/>
      <c r="CW14" s="179"/>
      <c r="CX14" s="179"/>
      <c r="CY14" s="305"/>
      <c r="CZ14" s="305"/>
      <c r="DA14" s="305"/>
      <c r="DB14" s="305"/>
      <c r="DC14" s="305"/>
      <c r="DD14" s="305"/>
      <c r="DE14" s="305"/>
      <c r="DF14" s="305"/>
      <c r="DG14" s="305"/>
      <c r="DH14" s="305"/>
      <c r="DI14" s="305"/>
      <c r="DJ14" s="305"/>
      <c r="DK14" s="305"/>
      <c r="DL14" s="305"/>
      <c r="DM14" s="305"/>
      <c r="DN14" s="305"/>
      <c r="DO14" s="305"/>
      <c r="DP14" s="305"/>
      <c r="DQ14" s="305"/>
      <c r="DR14" s="305"/>
      <c r="DS14" s="305"/>
      <c r="DT14" s="305"/>
      <c r="DU14" s="305"/>
      <c r="DV14" s="305"/>
      <c r="DW14" s="305"/>
      <c r="DX14" s="305"/>
      <c r="DY14" s="305"/>
      <c r="DZ14" s="305"/>
      <c r="EA14" s="305"/>
      <c r="EB14" s="305"/>
      <c r="EC14" s="305"/>
      <c r="ED14" s="305"/>
      <c r="EE14" s="305"/>
      <c r="EF14" s="305"/>
      <c r="EG14" s="305"/>
      <c r="EH14" s="305"/>
      <c r="EI14" s="305"/>
      <c r="EJ14" s="305"/>
      <c r="EK14" s="305"/>
      <c r="EL14" s="305"/>
      <c r="EM14" s="305"/>
      <c r="EN14" s="305"/>
      <c r="EO14" s="305"/>
      <c r="EP14" s="305"/>
      <c r="EQ14" s="305"/>
      <c r="ER14" s="305"/>
      <c r="ES14" s="305"/>
      <c r="ET14" s="305"/>
      <c r="EU14" s="305"/>
      <c r="EV14" s="305"/>
      <c r="EW14" s="305"/>
      <c r="EX14" s="305"/>
      <c r="EY14" s="305"/>
      <c r="EZ14" s="305"/>
      <c r="FA14" s="305"/>
      <c r="FB14" s="305"/>
      <c r="FC14" s="305"/>
      <c r="FD14" s="305"/>
      <c r="FE14" s="305"/>
      <c r="FF14" s="305"/>
      <c r="FG14" s="305"/>
      <c r="FH14" s="305"/>
      <c r="FI14" s="305"/>
      <c r="FJ14" s="305"/>
    </row>
    <row r="15" spans="1:166" ht="12.75" customHeight="1" x14ac:dyDescent="0.35" hidden="1">
      <c r="A15" s="165"/>
      <c r="B15" s="150"/>
      <c r="C15" s="53"/>
      <c r="D15" s="152" t="str">
        <f>Calcs!K219</f>
        <v>Item 9</v>
      </c>
      <c r="E15" s="96">
        <f>Calcs!L219</f>
        <v>0</v>
      </c>
      <c r="F15" s="96">
        <f>Calcs!M219</f>
        <v>0</v>
      </c>
      <c r="G15" s="96">
        <f>Calcs!N219</f>
        <v>0</v>
      </c>
      <c r="H15" s="96">
        <f>Calcs!O219</f>
        <v>0</v>
      </c>
      <c r="I15" s="96">
        <f>Calcs!P219</f>
        <v>0</v>
      </c>
      <c r="J15" s="96">
        <f>Calcs!Q219</f>
        <v>0</v>
      </c>
      <c r="K15" s="96">
        <f>Calcs!R219</f>
        <v>0</v>
      </c>
      <c r="L15" s="96">
        <f>Calcs!S219</f>
        <v>0</v>
      </c>
      <c r="M15" s="96">
        <f>Calcs!T219</f>
        <v>0</v>
      </c>
      <c r="N15" s="96">
        <f>Calcs!U219</f>
        <v>0</v>
      </c>
      <c r="O15" s="96">
        <f>Calcs!V219</f>
        <v>0</v>
      </c>
      <c r="P15" s="96">
        <f>Calcs!W219</f>
        <v>0</v>
      </c>
      <c r="Q15" s="96">
        <f>SUM(E15:P15)</f>
        <v>0</v>
      </c>
      <c r="R15" s="96">
        <f>Calcs!X219</f>
        <v>0</v>
      </c>
      <c r="S15" s="96">
        <f>Calcs!Y219</f>
        <v>0</v>
      </c>
      <c r="T15" s="96">
        <f>Calcs!Z219</f>
        <v>0</v>
      </c>
      <c r="U15" s="96">
        <f>Calcs!AA219</f>
        <v>0</v>
      </c>
      <c r="V15" s="96">
        <f>Calcs!AB219</f>
        <v>0</v>
      </c>
      <c r="W15" s="96">
        <f>Calcs!AC219</f>
        <v>0</v>
      </c>
      <c r="X15" s="96">
        <f>Calcs!AD219</f>
        <v>0</v>
      </c>
      <c r="Y15" s="96">
        <f>Calcs!AE219</f>
        <v>0</v>
      </c>
      <c r="Z15" s="96">
        <f>Calcs!AF219</f>
        <v>0</v>
      </c>
      <c r="AA15" s="96">
        <f>Calcs!AG219</f>
        <v>0</v>
      </c>
      <c r="AB15" s="96">
        <f>Calcs!AH219</f>
        <v>0</v>
      </c>
      <c r="AC15" s="96">
        <f>Calcs!AI219</f>
        <v>0</v>
      </c>
      <c r="AD15" s="96">
        <f>SUM(R15:AC15)</f>
        <v>0</v>
      </c>
      <c r="AE15" s="96">
        <f>Calcs!AJ219</f>
        <v>0</v>
      </c>
      <c r="AF15" s="96">
        <f>Calcs!AK219</f>
        <v>0</v>
      </c>
      <c r="AG15" s="96">
        <f>Calcs!AL219</f>
        <v>0</v>
      </c>
      <c r="AH15" s="96">
        <f>Calcs!AM219</f>
        <v>0</v>
      </c>
      <c r="AI15" s="96">
        <f>Calcs!AN219</f>
        <v>0</v>
      </c>
      <c r="AJ15" s="96">
        <f>Calcs!AO219</f>
        <v>0</v>
      </c>
      <c r="AK15" s="96">
        <f>Calcs!AP219</f>
        <v>0</v>
      </c>
      <c r="AL15" s="96">
        <f>Calcs!AQ219</f>
        <v>0</v>
      </c>
      <c r="AM15" s="96">
        <f>Calcs!AR219</f>
        <v>0</v>
      </c>
      <c r="AN15" s="96">
        <f>Calcs!AS219</f>
        <v>0</v>
      </c>
      <c r="AO15" s="96">
        <f>Calcs!AT219</f>
        <v>0</v>
      </c>
      <c r="AP15" s="96">
        <f>Calcs!AU219</f>
        <v>0</v>
      </c>
      <c r="AQ15" s="96">
        <f>SUM(AE15:AP15)</f>
        <v>0</v>
      </c>
      <c r="AR15" s="96">
        <f>Calcs!AV219</f>
        <v>0</v>
      </c>
      <c r="AS15" s="96">
        <f>Calcs!AW219</f>
        <v>0</v>
      </c>
      <c r="AT15" s="96">
        <f>Calcs!AX219</f>
        <v>0</v>
      </c>
      <c r="AU15" s="96">
        <f>Calcs!AY219</f>
        <v>0</v>
      </c>
      <c r="AV15" s="96">
        <f>Calcs!AZ219</f>
        <v>0</v>
      </c>
      <c r="AW15" s="96">
        <f>Calcs!BA219</f>
        <v>0</v>
      </c>
      <c r="AX15" s="96">
        <f>Calcs!BB219</f>
        <v>0</v>
      </c>
      <c r="AY15" s="96">
        <f>Calcs!BC219</f>
        <v>0</v>
      </c>
      <c r="AZ15" s="96">
        <f>Calcs!BD219</f>
        <v>0</v>
      </c>
      <c r="BA15" s="96">
        <f>Calcs!BE219</f>
        <v>0</v>
      </c>
      <c r="BB15" s="96">
        <f>Calcs!BF219</f>
        <v>0</v>
      </c>
      <c r="BC15" s="96">
        <f>Calcs!BG219</f>
        <v>0</v>
      </c>
      <c r="BD15" s="96">
        <f>SUM(AR15:BC15)</f>
        <v>0</v>
      </c>
      <c r="BE15" s="96">
        <f>Calcs!BH219</f>
        <v>0</v>
      </c>
      <c r="BF15" s="96">
        <f>Calcs!BI219</f>
        <v>0</v>
      </c>
      <c r="BG15" s="96">
        <f>Calcs!BJ219</f>
        <v>0</v>
      </c>
      <c r="BH15" s="96">
        <f>Calcs!BK219</f>
        <v>0</v>
      </c>
      <c r="BI15" s="96">
        <f>Calcs!BL219</f>
        <v>0</v>
      </c>
      <c r="BJ15" s="96">
        <f>Calcs!BM219</f>
        <v>0</v>
      </c>
      <c r="BK15" s="96">
        <f>Calcs!BN219</f>
        <v>0</v>
      </c>
      <c r="BL15" s="96">
        <f>Calcs!BO219</f>
        <v>0</v>
      </c>
      <c r="BM15" s="96">
        <f>Calcs!BP219</f>
        <v>0</v>
      </c>
      <c r="BN15" s="96">
        <f>Calcs!BQ219</f>
        <v>0</v>
      </c>
      <c r="BO15" s="96">
        <f>Calcs!BR219</f>
        <v>0</v>
      </c>
      <c r="BP15" s="96">
        <f>Calcs!BS219</f>
        <v>0</v>
      </c>
      <c r="BQ15" s="96">
        <f>SUM(BE15:BP15)</f>
        <v>0</v>
      </c>
      <c r="BR15" s="1569"/>
      <c r="BS15" s="153">
        <f>SUM(BQ15,BD15,AQ15,AD15,Q15)</f>
        <v>0</v>
      </c>
      <c r="BT15" s="1569"/>
      <c r="BU15" s="113">
        <f>SUM(BQ15,BD15,AQ15,AD15,Q15)</f>
      </c>
      <c r="BV15" s="152"/>
      <c r="BW15" s="96"/>
      <c r="BX15" s="96"/>
      <c r="BY15" s="96"/>
      <c r="BZ15" s="96"/>
      <c r="CA15" s="96"/>
      <c r="CB15" s="96"/>
      <c r="CC15" s="96"/>
      <c r="CD15" s="96"/>
      <c r="CE15" s="96"/>
      <c r="CF15" s="96"/>
      <c r="CG15" s="96"/>
      <c r="CH15" s="96"/>
      <c r="CI15" s="96"/>
      <c r="CJ15" s="96"/>
      <c r="CK15" s="96"/>
      <c r="CL15" s="96"/>
      <c r="CM15" s="96"/>
      <c r="CN15" s="96"/>
      <c r="CO15" s="96"/>
      <c r="CP15" s="96"/>
      <c r="CW15" s="179"/>
      <c r="CX15" s="179"/>
      <c r="CY15" s="305"/>
      <c r="CZ15" s="305"/>
      <c r="DA15" s="305"/>
      <c r="DB15" s="305"/>
      <c r="DC15" s="305"/>
      <c r="DD15" s="305"/>
      <c r="DE15" s="305"/>
      <c r="DF15" s="305"/>
      <c r="DG15" s="305"/>
      <c r="DH15" s="305"/>
      <c r="DI15" s="305"/>
      <c r="DJ15" s="305"/>
      <c r="DK15" s="305"/>
      <c r="DL15" s="305"/>
      <c r="DM15" s="305"/>
      <c r="DN15" s="305"/>
      <c r="DO15" s="305"/>
      <c r="DP15" s="305"/>
      <c r="DQ15" s="305"/>
      <c r="DR15" s="305"/>
      <c r="DS15" s="305"/>
      <c r="DT15" s="305"/>
      <c r="DU15" s="305"/>
      <c r="DV15" s="305"/>
      <c r="DW15" s="305"/>
      <c r="DX15" s="305"/>
      <c r="DY15" s="305"/>
      <c r="DZ15" s="305"/>
      <c r="EA15" s="305"/>
      <c r="EB15" s="305"/>
      <c r="EC15" s="305"/>
      <c r="ED15" s="305"/>
      <c r="EE15" s="305"/>
      <c r="EF15" s="305"/>
      <c r="EG15" s="305"/>
      <c r="EH15" s="305"/>
      <c r="EI15" s="305"/>
      <c r="EJ15" s="305"/>
      <c r="EK15" s="305"/>
      <c r="EL15" s="305"/>
      <c r="EM15" s="305"/>
      <c r="EN15" s="305"/>
      <c r="EO15" s="305"/>
      <c r="EP15" s="305"/>
      <c r="EQ15" s="305"/>
      <c r="ER15" s="305"/>
      <c r="ES15" s="305"/>
      <c r="ET15" s="305"/>
      <c r="EU15" s="305"/>
      <c r="EV15" s="305"/>
      <c r="EW15" s="305"/>
      <c r="EX15" s="305"/>
      <c r="EY15" s="305"/>
      <c r="EZ15" s="305"/>
      <c r="FA15" s="305"/>
      <c r="FB15" s="305"/>
      <c r="FC15" s="305"/>
      <c r="FD15" s="305"/>
      <c r="FE15" s="305"/>
      <c r="FF15" s="305"/>
      <c r="FG15" s="305"/>
      <c r="FH15" s="305"/>
      <c r="FI15" s="305"/>
      <c r="FJ15" s="305"/>
    </row>
    <row r="16" spans="1:166" ht="12.75" customHeight="1" x14ac:dyDescent="0.35" hidden="1">
      <c r="A16" s="165"/>
      <c r="B16" s="150"/>
      <c r="C16" s="53"/>
      <c r="D16" s="152" t="str">
        <f>Calcs!K220</f>
        <v>Item 10</v>
      </c>
      <c r="E16" s="96">
        <f>Calcs!L220</f>
        <v>0</v>
      </c>
      <c r="F16" s="96">
        <f>Calcs!M220</f>
        <v>0</v>
      </c>
      <c r="G16" s="96">
        <f>Calcs!N220</f>
        <v>0</v>
      </c>
      <c r="H16" s="96">
        <f>Calcs!O220</f>
        <v>0</v>
      </c>
      <c r="I16" s="96">
        <f>Calcs!P220</f>
        <v>0</v>
      </c>
      <c r="J16" s="96">
        <f>Calcs!Q220</f>
        <v>0</v>
      </c>
      <c r="K16" s="96">
        <f>Calcs!R220</f>
        <v>0</v>
      </c>
      <c r="L16" s="96">
        <f>Calcs!S220</f>
        <v>0</v>
      </c>
      <c r="M16" s="96">
        <f>Calcs!T220</f>
        <v>0</v>
      </c>
      <c r="N16" s="96">
        <f>Calcs!U220</f>
        <v>0</v>
      </c>
      <c r="O16" s="96">
        <f>Calcs!V220</f>
        <v>0</v>
      </c>
      <c r="P16" s="96">
        <f>Calcs!W220</f>
        <v>0</v>
      </c>
      <c r="Q16" s="96">
        <f>SUM(E16:P16)</f>
        <v>0</v>
      </c>
      <c r="R16" s="96">
        <f>Calcs!X220</f>
        <v>0</v>
      </c>
      <c r="S16" s="96">
        <f>Calcs!Y220</f>
        <v>0</v>
      </c>
      <c r="T16" s="96">
        <f>Calcs!Z220</f>
        <v>0</v>
      </c>
      <c r="U16" s="96">
        <f>Calcs!AA220</f>
        <v>0</v>
      </c>
      <c r="V16" s="96">
        <f>Calcs!AB220</f>
        <v>0</v>
      </c>
      <c r="W16" s="96">
        <f>Calcs!AC220</f>
        <v>0</v>
      </c>
      <c r="X16" s="96">
        <f>Calcs!AD220</f>
        <v>0</v>
      </c>
      <c r="Y16" s="96">
        <f>Calcs!AE220</f>
        <v>0</v>
      </c>
      <c r="Z16" s="96">
        <f>Calcs!AF220</f>
        <v>0</v>
      </c>
      <c r="AA16" s="96">
        <f>Calcs!AG220</f>
        <v>0</v>
      </c>
      <c r="AB16" s="96">
        <f>Calcs!AH220</f>
        <v>0</v>
      </c>
      <c r="AC16" s="96">
        <f>Calcs!AI220</f>
        <v>0</v>
      </c>
      <c r="AD16" s="96">
        <f>SUM(R16:AC16)</f>
        <v>0</v>
      </c>
      <c r="AE16" s="96">
        <f>Calcs!AJ220</f>
        <v>0</v>
      </c>
      <c r="AF16" s="96">
        <f>Calcs!AK220</f>
        <v>0</v>
      </c>
      <c r="AG16" s="96">
        <f>Calcs!AL220</f>
        <v>0</v>
      </c>
      <c r="AH16" s="96">
        <f>Calcs!AM220</f>
        <v>0</v>
      </c>
      <c r="AI16" s="96">
        <f>Calcs!AN220</f>
        <v>0</v>
      </c>
      <c r="AJ16" s="96">
        <f>Calcs!AO220</f>
        <v>0</v>
      </c>
      <c r="AK16" s="96">
        <f>Calcs!AP220</f>
        <v>0</v>
      </c>
      <c r="AL16" s="96">
        <f>Calcs!AQ220</f>
        <v>0</v>
      </c>
      <c r="AM16" s="96">
        <f>Calcs!AR220</f>
        <v>0</v>
      </c>
      <c r="AN16" s="96">
        <f>Calcs!AS220</f>
        <v>0</v>
      </c>
      <c r="AO16" s="96">
        <f>Calcs!AT220</f>
        <v>0</v>
      </c>
      <c r="AP16" s="96">
        <f>Calcs!AU220</f>
        <v>0</v>
      </c>
      <c r="AQ16" s="96">
        <f>SUM(AE16:AP16)</f>
        <v>0</v>
      </c>
      <c r="AR16" s="96">
        <f>Calcs!AV220</f>
        <v>0</v>
      </c>
      <c r="AS16" s="96">
        <f>Calcs!AW220</f>
        <v>0</v>
      </c>
      <c r="AT16" s="96">
        <f>Calcs!AX220</f>
        <v>0</v>
      </c>
      <c r="AU16" s="96">
        <f>Calcs!AY220</f>
        <v>0</v>
      </c>
      <c r="AV16" s="96">
        <f>Calcs!AZ220</f>
        <v>0</v>
      </c>
      <c r="AW16" s="96">
        <f>Calcs!BA220</f>
        <v>0</v>
      </c>
      <c r="AX16" s="96">
        <f>Calcs!BB220</f>
        <v>0</v>
      </c>
      <c r="AY16" s="96">
        <f>Calcs!BC220</f>
        <v>0</v>
      </c>
      <c r="AZ16" s="96">
        <f>Calcs!BD220</f>
        <v>0</v>
      </c>
      <c r="BA16" s="96">
        <f>Calcs!BE220</f>
        <v>0</v>
      </c>
      <c r="BB16" s="96">
        <f>Calcs!BF220</f>
        <v>0</v>
      </c>
      <c r="BC16" s="96">
        <f>Calcs!BG220</f>
        <v>0</v>
      </c>
      <c r="BD16" s="96">
        <f>SUM(AR16:BC16)</f>
        <v>0</v>
      </c>
      <c r="BE16" s="96">
        <f>Calcs!BH220</f>
        <v>0</v>
      </c>
      <c r="BF16" s="96">
        <f>Calcs!BI220</f>
        <v>0</v>
      </c>
      <c r="BG16" s="96">
        <f>Calcs!BJ220</f>
        <v>0</v>
      </c>
      <c r="BH16" s="96">
        <f>Calcs!BK220</f>
        <v>0</v>
      </c>
      <c r="BI16" s="96">
        <f>Calcs!BL220</f>
        <v>0</v>
      </c>
      <c r="BJ16" s="96">
        <f>Calcs!BM220</f>
        <v>0</v>
      </c>
      <c r="BK16" s="96">
        <f>Calcs!BN220</f>
        <v>0</v>
      </c>
      <c r="BL16" s="96">
        <f>Calcs!BO220</f>
        <v>0</v>
      </c>
      <c r="BM16" s="96">
        <f>Calcs!BP220</f>
        <v>0</v>
      </c>
      <c r="BN16" s="96">
        <f>Calcs!BQ220</f>
        <v>0</v>
      </c>
      <c r="BO16" s="96">
        <f>Calcs!BR220</f>
        <v>0</v>
      </c>
      <c r="BP16" s="96">
        <f>Calcs!BS220</f>
        <v>0</v>
      </c>
      <c r="BQ16" s="96">
        <f>SUM(BE16:BP16)</f>
        <v>0</v>
      </c>
      <c r="BR16" s="1569"/>
      <c r="BS16" s="153">
        <f>SUM(BQ16,BD16,AQ16,AD16,Q16)</f>
        <v>0</v>
      </c>
      <c r="BT16" s="1569"/>
      <c r="BU16" s="113">
        <f>SUM(BQ16,BD16,AQ16,AD16,Q16)</f>
      </c>
      <c r="BV16" s="152"/>
      <c r="BW16" s="96"/>
      <c r="BX16" s="96"/>
      <c r="BY16" s="96"/>
      <c r="BZ16" s="96"/>
      <c r="CA16" s="96"/>
      <c r="CB16" s="96"/>
      <c r="CC16" s="96"/>
      <c r="CD16" s="96"/>
      <c r="CE16" s="96"/>
      <c r="CF16" s="96"/>
      <c r="CG16" s="96"/>
      <c r="CH16" s="96"/>
      <c r="CI16" s="96"/>
      <c r="CJ16" s="96"/>
      <c r="CK16" s="96"/>
      <c r="CL16" s="96"/>
      <c r="CM16" s="96"/>
      <c r="CN16" s="96"/>
      <c r="CO16" s="96"/>
      <c r="CP16" s="96"/>
      <c r="CW16" s="179"/>
      <c r="CX16" s="179"/>
      <c r="CY16" s="305"/>
      <c r="CZ16" s="305"/>
      <c r="DA16" s="305"/>
      <c r="DB16" s="305"/>
      <c r="DC16" s="305"/>
      <c r="DD16" s="305"/>
      <c r="DE16" s="305"/>
      <c r="DF16" s="305"/>
      <c r="DG16" s="305"/>
      <c r="DH16" s="305"/>
      <c r="DI16" s="305"/>
      <c r="DJ16" s="305"/>
      <c r="DK16" s="305"/>
      <c r="DL16" s="305"/>
      <c r="DM16" s="305"/>
      <c r="DN16" s="305"/>
      <c r="DO16" s="305"/>
      <c r="DP16" s="305"/>
      <c r="DQ16" s="305"/>
      <c r="DR16" s="305"/>
      <c r="DS16" s="305"/>
      <c r="DT16" s="305"/>
      <c r="DU16" s="305"/>
      <c r="DV16" s="305"/>
      <c r="DW16" s="305"/>
      <c r="DX16" s="305"/>
      <c r="DY16" s="305"/>
      <c r="DZ16" s="305"/>
      <c r="EA16" s="305"/>
      <c r="EB16" s="305"/>
      <c r="EC16" s="305"/>
      <c r="ED16" s="305"/>
      <c r="EE16" s="305"/>
      <c r="EF16" s="305"/>
      <c r="EG16" s="305"/>
      <c r="EH16" s="305"/>
      <c r="EI16" s="305"/>
      <c r="EJ16" s="305"/>
      <c r="EK16" s="305"/>
      <c r="EL16" s="305"/>
      <c r="EM16" s="305"/>
      <c r="EN16" s="305"/>
      <c r="EO16" s="305"/>
      <c r="EP16" s="305"/>
      <c r="EQ16" s="305"/>
      <c r="ER16" s="305"/>
      <c r="ES16" s="305"/>
      <c r="ET16" s="305"/>
      <c r="EU16" s="305"/>
      <c r="EV16" s="305"/>
      <c r="EW16" s="305"/>
      <c r="EX16" s="305"/>
      <c r="EY16" s="305"/>
      <c r="EZ16" s="305"/>
      <c r="FA16" s="305"/>
      <c r="FB16" s="305"/>
      <c r="FC16" s="305"/>
      <c r="FD16" s="305"/>
      <c r="FE16" s="305"/>
      <c r="FF16" s="305"/>
      <c r="FG16" s="305"/>
      <c r="FH16" s="305"/>
      <c r="FI16" s="305"/>
      <c r="FJ16" s="305"/>
    </row>
    <row r="17" spans="1:166" ht="12.75" customHeight="1" x14ac:dyDescent="0.35" hidden="1">
      <c r="A17" s="165"/>
      <c r="B17" s="150"/>
      <c r="C17" s="53"/>
      <c r="D17" s="152" t="str">
        <f>Calcs!K221</f>
        <v>Item 11</v>
      </c>
      <c r="E17" s="96">
        <f>Calcs!L221</f>
        <v>0</v>
      </c>
      <c r="F17" s="96">
        <f>Calcs!M221</f>
        <v>0</v>
      </c>
      <c r="G17" s="96">
        <f>Calcs!N221</f>
        <v>0</v>
      </c>
      <c r="H17" s="96">
        <f>Calcs!O221</f>
        <v>0</v>
      </c>
      <c r="I17" s="96">
        <f>Calcs!P221</f>
        <v>0</v>
      </c>
      <c r="J17" s="96">
        <f>Calcs!Q221</f>
        <v>0</v>
      </c>
      <c r="K17" s="96">
        <f>Calcs!R221</f>
        <v>0</v>
      </c>
      <c r="L17" s="96">
        <f>Calcs!S221</f>
        <v>0</v>
      </c>
      <c r="M17" s="96">
        <f>Calcs!T221</f>
        <v>0</v>
      </c>
      <c r="N17" s="96">
        <f>Calcs!U221</f>
        <v>0</v>
      </c>
      <c r="O17" s="96">
        <f>Calcs!V221</f>
        <v>0</v>
      </c>
      <c r="P17" s="96">
        <f>Calcs!W221</f>
        <v>0</v>
      </c>
      <c r="Q17" s="96">
        <f>SUM(E17:P17)</f>
        <v>0</v>
      </c>
      <c r="R17" s="96">
        <f>Calcs!X221</f>
        <v>0</v>
      </c>
      <c r="S17" s="96">
        <f>Calcs!Y221</f>
        <v>0</v>
      </c>
      <c r="T17" s="96">
        <f>Calcs!Z221</f>
        <v>0</v>
      </c>
      <c r="U17" s="96">
        <f>Calcs!AA221</f>
        <v>0</v>
      </c>
      <c r="V17" s="96">
        <f>Calcs!AB221</f>
        <v>0</v>
      </c>
      <c r="W17" s="96">
        <f>Calcs!AC221</f>
        <v>0</v>
      </c>
      <c r="X17" s="96">
        <f>Calcs!AD221</f>
        <v>0</v>
      </c>
      <c r="Y17" s="96">
        <f>Calcs!AE221</f>
        <v>0</v>
      </c>
      <c r="Z17" s="96">
        <f>Calcs!AF221</f>
        <v>0</v>
      </c>
      <c r="AA17" s="96">
        <f>Calcs!AG221</f>
        <v>0</v>
      </c>
      <c r="AB17" s="96">
        <f>Calcs!AH221</f>
        <v>0</v>
      </c>
      <c r="AC17" s="96">
        <f>Calcs!AI221</f>
        <v>0</v>
      </c>
      <c r="AD17" s="96">
        <f>SUM(R17:AC17)</f>
        <v>0</v>
      </c>
      <c r="AE17" s="96">
        <f>Calcs!AJ221</f>
        <v>0</v>
      </c>
      <c r="AF17" s="96">
        <f>Calcs!AK221</f>
        <v>0</v>
      </c>
      <c r="AG17" s="96">
        <f>Calcs!AL221</f>
        <v>0</v>
      </c>
      <c r="AH17" s="96">
        <f>Calcs!AM221</f>
        <v>0</v>
      </c>
      <c r="AI17" s="96">
        <f>Calcs!AN221</f>
        <v>0</v>
      </c>
      <c r="AJ17" s="96">
        <f>Calcs!AO221</f>
        <v>0</v>
      </c>
      <c r="AK17" s="96">
        <f>Calcs!AP221</f>
        <v>0</v>
      </c>
      <c r="AL17" s="96">
        <f>Calcs!AQ221</f>
        <v>0</v>
      </c>
      <c r="AM17" s="96">
        <f>Calcs!AR221</f>
        <v>0</v>
      </c>
      <c r="AN17" s="96">
        <f>Calcs!AS221</f>
        <v>0</v>
      </c>
      <c r="AO17" s="96">
        <f>Calcs!AT221</f>
        <v>0</v>
      </c>
      <c r="AP17" s="96">
        <f>Calcs!AU221</f>
        <v>0</v>
      </c>
      <c r="AQ17" s="96">
        <f>SUM(AE17:AP17)</f>
        <v>0</v>
      </c>
      <c r="AR17" s="96">
        <f>Calcs!AV221</f>
        <v>0</v>
      </c>
      <c r="AS17" s="96">
        <f>Calcs!AW221</f>
        <v>0</v>
      </c>
      <c r="AT17" s="96">
        <f>Calcs!AX221</f>
        <v>0</v>
      </c>
      <c r="AU17" s="96">
        <f>Calcs!AY221</f>
        <v>0</v>
      </c>
      <c r="AV17" s="96">
        <f>Calcs!AZ221</f>
        <v>0</v>
      </c>
      <c r="AW17" s="96">
        <f>Calcs!BA221</f>
        <v>0</v>
      </c>
      <c r="AX17" s="96">
        <f>Calcs!BB221</f>
        <v>0</v>
      </c>
      <c r="AY17" s="96">
        <f>Calcs!BC221</f>
        <v>0</v>
      </c>
      <c r="AZ17" s="96">
        <f>Calcs!BD221</f>
        <v>0</v>
      </c>
      <c r="BA17" s="96">
        <f>Calcs!BE221</f>
        <v>0</v>
      </c>
      <c r="BB17" s="96">
        <f>Calcs!BF221</f>
        <v>0</v>
      </c>
      <c r="BC17" s="96">
        <f>Calcs!BG221</f>
        <v>0</v>
      </c>
      <c r="BD17" s="96">
        <f>SUM(AR17:BC17)</f>
        <v>0</v>
      </c>
      <c r="BE17" s="96">
        <f>Calcs!BH221</f>
        <v>0</v>
      </c>
      <c r="BF17" s="96">
        <f>Calcs!BI221</f>
        <v>0</v>
      </c>
      <c r="BG17" s="96">
        <f>Calcs!BJ221</f>
        <v>0</v>
      </c>
      <c r="BH17" s="96">
        <f>Calcs!BK221</f>
        <v>0</v>
      </c>
      <c r="BI17" s="96">
        <f>Calcs!BL221</f>
        <v>0</v>
      </c>
      <c r="BJ17" s="96">
        <f>Calcs!BM221</f>
        <v>0</v>
      </c>
      <c r="BK17" s="96">
        <f>Calcs!BN221</f>
        <v>0</v>
      </c>
      <c r="BL17" s="96">
        <f>Calcs!BO221</f>
        <v>0</v>
      </c>
      <c r="BM17" s="96">
        <f>Calcs!BP221</f>
        <v>0</v>
      </c>
      <c r="BN17" s="96">
        <f>Calcs!BQ221</f>
        <v>0</v>
      </c>
      <c r="BO17" s="96">
        <f>Calcs!BR221</f>
        <v>0</v>
      </c>
      <c r="BP17" s="96">
        <f>Calcs!BS221</f>
        <v>0</v>
      </c>
      <c r="BQ17" s="96">
        <f>SUM(BE17:BP17)</f>
        <v>0</v>
      </c>
      <c r="BR17" s="1569"/>
      <c r="BS17" s="153">
        <f>SUM(BQ17,BD17,AQ17,AD17,Q17)</f>
        <v>0</v>
      </c>
      <c r="BT17" s="1569"/>
      <c r="BU17" s="113">
        <f>SUM(BQ17,BD17,AQ17,AD17,Q17)</f>
      </c>
      <c r="BV17" s="152"/>
      <c r="BW17" s="96"/>
      <c r="BX17" s="96"/>
      <c r="BY17" s="96"/>
      <c r="BZ17" s="96"/>
      <c r="CA17" s="96"/>
      <c r="CB17" s="96"/>
      <c r="CC17" s="96"/>
      <c r="CD17" s="96"/>
      <c r="CE17" s="96"/>
      <c r="CF17" s="96"/>
      <c r="CG17" s="96"/>
      <c r="CH17" s="96"/>
      <c r="CI17" s="96"/>
      <c r="CJ17" s="96"/>
      <c r="CK17" s="96"/>
      <c r="CL17" s="96"/>
      <c r="CM17" s="96"/>
      <c r="CN17" s="96"/>
      <c r="CO17" s="96"/>
      <c r="CP17" s="96"/>
      <c r="CW17" s="179"/>
      <c r="CX17" s="179"/>
      <c r="CY17" s="305"/>
      <c r="CZ17" s="305"/>
      <c r="DA17" s="305"/>
      <c r="DB17" s="305"/>
      <c r="DC17" s="305"/>
      <c r="DD17" s="305"/>
      <c r="DE17" s="305"/>
      <c r="DF17" s="305"/>
      <c r="DG17" s="305"/>
      <c r="DH17" s="305"/>
      <c r="DI17" s="305"/>
      <c r="DJ17" s="305"/>
      <c r="DK17" s="305"/>
      <c r="DL17" s="305"/>
      <c r="DM17" s="305"/>
      <c r="DN17" s="305"/>
      <c r="DO17" s="305"/>
      <c r="DP17" s="305"/>
      <c r="DQ17" s="305"/>
      <c r="DR17" s="305"/>
      <c r="DS17" s="305"/>
      <c r="DT17" s="305"/>
      <c r="DU17" s="305"/>
      <c r="DV17" s="305"/>
      <c r="DW17" s="305"/>
      <c r="DX17" s="305"/>
      <c r="DY17" s="305"/>
      <c r="DZ17" s="305"/>
      <c r="EA17" s="305"/>
      <c r="EB17" s="305"/>
      <c r="EC17" s="305"/>
      <c r="ED17" s="305"/>
      <c r="EE17" s="305"/>
      <c r="EF17" s="305"/>
      <c r="EG17" s="305"/>
      <c r="EH17" s="305"/>
      <c r="EI17" s="305"/>
      <c r="EJ17" s="305"/>
      <c r="EK17" s="305"/>
      <c r="EL17" s="305"/>
      <c r="EM17" s="305"/>
      <c r="EN17" s="305"/>
      <c r="EO17" s="305"/>
      <c r="EP17" s="305"/>
      <c r="EQ17" s="305"/>
      <c r="ER17" s="305"/>
      <c r="ES17" s="305"/>
      <c r="ET17" s="305"/>
      <c r="EU17" s="305"/>
      <c r="EV17" s="305"/>
      <c r="EW17" s="305"/>
      <c r="EX17" s="305"/>
      <c r="EY17" s="305"/>
      <c r="EZ17" s="305"/>
      <c r="FA17" s="305"/>
      <c r="FB17" s="305"/>
      <c r="FC17" s="305"/>
      <c r="FD17" s="305"/>
      <c r="FE17" s="305"/>
      <c r="FF17" s="305"/>
      <c r="FG17" s="305"/>
      <c r="FH17" s="305"/>
      <c r="FI17" s="305"/>
      <c r="FJ17" s="305"/>
    </row>
    <row r="18" spans="1:166" ht="12.75" customHeight="1" x14ac:dyDescent="0.35" hidden="1">
      <c r="A18" s="165"/>
      <c r="B18" s="150"/>
      <c r="C18" s="53"/>
      <c r="D18" s="152" t="str">
        <f>Calcs!K222</f>
        <v>Item 12</v>
      </c>
      <c r="E18" s="96">
        <f>Calcs!L222</f>
        <v>0</v>
      </c>
      <c r="F18" s="96">
        <f>Calcs!M222</f>
        <v>0</v>
      </c>
      <c r="G18" s="96">
        <f>Calcs!N222</f>
        <v>0</v>
      </c>
      <c r="H18" s="96">
        <f>Calcs!O222</f>
        <v>0</v>
      </c>
      <c r="I18" s="96">
        <f>Calcs!P222</f>
        <v>0</v>
      </c>
      <c r="J18" s="96">
        <f>Calcs!Q222</f>
        <v>0</v>
      </c>
      <c r="K18" s="96">
        <f>Calcs!R222</f>
        <v>0</v>
      </c>
      <c r="L18" s="96">
        <f>Calcs!S222</f>
        <v>0</v>
      </c>
      <c r="M18" s="96">
        <f>Calcs!T222</f>
        <v>0</v>
      </c>
      <c r="N18" s="96">
        <f>Calcs!U222</f>
        <v>0</v>
      </c>
      <c r="O18" s="96">
        <f>Calcs!V222</f>
        <v>0</v>
      </c>
      <c r="P18" s="96">
        <f>Calcs!W222</f>
        <v>0</v>
      </c>
      <c r="Q18" s="96">
        <f>SUM(E18:P18)</f>
        <v>0</v>
      </c>
      <c r="R18" s="96">
        <f>Calcs!X222</f>
        <v>0</v>
      </c>
      <c r="S18" s="96">
        <f>Calcs!Y222</f>
        <v>0</v>
      </c>
      <c r="T18" s="96">
        <f>Calcs!Z222</f>
        <v>0</v>
      </c>
      <c r="U18" s="96">
        <f>Calcs!AA222</f>
        <v>0</v>
      </c>
      <c r="V18" s="96">
        <f>Calcs!AB222</f>
        <v>0</v>
      </c>
      <c r="W18" s="96">
        <f>Calcs!AC222</f>
        <v>0</v>
      </c>
      <c r="X18" s="96">
        <f>Calcs!AD222</f>
        <v>0</v>
      </c>
      <c r="Y18" s="96">
        <f>Calcs!AE222</f>
        <v>0</v>
      </c>
      <c r="Z18" s="96">
        <f>Calcs!AF222</f>
        <v>0</v>
      </c>
      <c r="AA18" s="96">
        <f>Calcs!AG222</f>
        <v>0</v>
      </c>
      <c r="AB18" s="96">
        <f>Calcs!AH222</f>
        <v>0</v>
      </c>
      <c r="AC18" s="96">
        <f>Calcs!AI222</f>
        <v>0</v>
      </c>
      <c r="AD18" s="96">
        <f>SUM(R18:AC18)</f>
        <v>0</v>
      </c>
      <c r="AE18" s="96">
        <f>Calcs!AJ222</f>
        <v>0</v>
      </c>
      <c r="AF18" s="96">
        <f>Calcs!AK222</f>
        <v>0</v>
      </c>
      <c r="AG18" s="96">
        <f>Calcs!AL222</f>
        <v>0</v>
      </c>
      <c r="AH18" s="96">
        <f>Calcs!AM222</f>
        <v>0</v>
      </c>
      <c r="AI18" s="96">
        <f>Calcs!AN222</f>
        <v>0</v>
      </c>
      <c r="AJ18" s="96">
        <f>Calcs!AO222</f>
        <v>0</v>
      </c>
      <c r="AK18" s="96">
        <f>Calcs!AP222</f>
        <v>0</v>
      </c>
      <c r="AL18" s="96">
        <f>Calcs!AQ222</f>
        <v>0</v>
      </c>
      <c r="AM18" s="96">
        <f>Calcs!AR222</f>
        <v>0</v>
      </c>
      <c r="AN18" s="96">
        <f>Calcs!AS222</f>
        <v>0</v>
      </c>
      <c r="AO18" s="96">
        <f>Calcs!AT222</f>
        <v>0</v>
      </c>
      <c r="AP18" s="96">
        <f>Calcs!AU222</f>
        <v>0</v>
      </c>
      <c r="AQ18" s="96">
        <f>SUM(AE18:AP18)</f>
        <v>0</v>
      </c>
      <c r="AR18" s="96">
        <f>Calcs!AV222</f>
        <v>0</v>
      </c>
      <c r="AS18" s="96">
        <f>Calcs!AW222</f>
        <v>0</v>
      </c>
      <c r="AT18" s="96">
        <f>Calcs!AX222</f>
        <v>0</v>
      </c>
      <c r="AU18" s="96">
        <f>Calcs!AY222</f>
        <v>0</v>
      </c>
      <c r="AV18" s="96">
        <f>Calcs!AZ222</f>
        <v>0</v>
      </c>
      <c r="AW18" s="96">
        <f>Calcs!BA222</f>
        <v>0</v>
      </c>
      <c r="AX18" s="96">
        <f>Calcs!BB222</f>
        <v>0</v>
      </c>
      <c r="AY18" s="96">
        <f>Calcs!BC222</f>
        <v>0</v>
      </c>
      <c r="AZ18" s="96">
        <f>Calcs!BD222</f>
        <v>0</v>
      </c>
      <c r="BA18" s="96">
        <f>Calcs!BE222</f>
        <v>0</v>
      </c>
      <c r="BB18" s="96">
        <f>Calcs!BF222</f>
        <v>0</v>
      </c>
      <c r="BC18" s="96">
        <f>Calcs!BG222</f>
        <v>0</v>
      </c>
      <c r="BD18" s="96">
        <f>SUM(AR18:BC18)</f>
        <v>0</v>
      </c>
      <c r="BE18" s="96">
        <f>Calcs!BH222</f>
        <v>0</v>
      </c>
      <c r="BF18" s="96">
        <f>Calcs!BI222</f>
        <v>0</v>
      </c>
      <c r="BG18" s="96">
        <f>Calcs!BJ222</f>
        <v>0</v>
      </c>
      <c r="BH18" s="96">
        <f>Calcs!BK222</f>
        <v>0</v>
      </c>
      <c r="BI18" s="96">
        <f>Calcs!BL222</f>
        <v>0</v>
      </c>
      <c r="BJ18" s="96">
        <f>Calcs!BM222</f>
        <v>0</v>
      </c>
      <c r="BK18" s="96">
        <f>Calcs!BN222</f>
        <v>0</v>
      </c>
      <c r="BL18" s="96">
        <f>Calcs!BO222</f>
        <v>0</v>
      </c>
      <c r="BM18" s="96">
        <f>Calcs!BP222</f>
        <v>0</v>
      </c>
      <c r="BN18" s="96">
        <f>Calcs!BQ222</f>
        <v>0</v>
      </c>
      <c r="BO18" s="96">
        <f>Calcs!BR222</f>
        <v>0</v>
      </c>
      <c r="BP18" s="96">
        <f>Calcs!BS222</f>
        <v>0</v>
      </c>
      <c r="BQ18" s="96">
        <f>SUM(BE18:BP18)</f>
        <v>0</v>
      </c>
      <c r="BR18" s="1569"/>
      <c r="BS18" s="153">
        <f>SUM(BQ18,BD18,AQ18,AD18,Q18)</f>
        <v>0</v>
      </c>
      <c r="BT18" s="1569"/>
      <c r="BU18" s="113">
        <f>SUM(BQ18,BD18,AQ18,AD18,Q18)</f>
      </c>
      <c r="BV18" s="152"/>
      <c r="BW18" s="96"/>
      <c r="BX18" s="96"/>
      <c r="BY18" s="96"/>
      <c r="BZ18" s="96"/>
      <c r="CA18" s="96"/>
      <c r="CB18" s="96"/>
      <c r="CC18" s="96"/>
      <c r="CD18" s="96"/>
      <c r="CE18" s="96"/>
      <c r="CF18" s="96"/>
      <c r="CG18" s="96"/>
      <c r="CH18" s="96"/>
      <c r="CI18" s="96"/>
      <c r="CJ18" s="96"/>
      <c r="CK18" s="96"/>
      <c r="CL18" s="96"/>
      <c r="CM18" s="96"/>
      <c r="CN18" s="96"/>
      <c r="CO18" s="96"/>
      <c r="CP18" s="96"/>
      <c r="CW18" s="179"/>
      <c r="CX18" s="179"/>
      <c r="CY18" s="305"/>
      <c r="CZ18" s="305"/>
      <c r="DA18" s="305"/>
      <c r="DB18" s="305"/>
      <c r="DC18" s="305"/>
      <c r="DD18" s="305"/>
      <c r="DE18" s="305"/>
      <c r="DF18" s="305"/>
      <c r="DG18" s="305"/>
      <c r="DH18" s="305"/>
      <c r="DI18" s="305"/>
      <c r="DJ18" s="305"/>
      <c r="DK18" s="305"/>
      <c r="DL18" s="305"/>
      <c r="DM18" s="305"/>
      <c r="DN18" s="305"/>
      <c r="DO18" s="305"/>
      <c r="DP18" s="305"/>
      <c r="DQ18" s="305"/>
      <c r="DR18" s="305"/>
      <c r="DS18" s="305"/>
      <c r="DT18" s="305"/>
      <c r="DU18" s="305"/>
      <c r="DV18" s="305"/>
      <c r="DW18" s="305"/>
      <c r="DX18" s="305"/>
      <c r="DY18" s="305"/>
      <c r="DZ18" s="305"/>
      <c r="EA18" s="305"/>
      <c r="EB18" s="305"/>
      <c r="EC18" s="305"/>
      <c r="ED18" s="305"/>
      <c r="EE18" s="305"/>
      <c r="EF18" s="305"/>
      <c r="EG18" s="305"/>
      <c r="EH18" s="305"/>
      <c r="EI18" s="305"/>
      <c r="EJ18" s="305"/>
      <c r="EK18" s="305"/>
      <c r="EL18" s="305"/>
      <c r="EM18" s="305"/>
      <c r="EN18" s="305"/>
      <c r="EO18" s="305"/>
      <c r="EP18" s="305"/>
      <c r="EQ18" s="305"/>
      <c r="ER18" s="305"/>
      <c r="ES18" s="305"/>
      <c r="ET18" s="305"/>
      <c r="EU18" s="305"/>
      <c r="EV18" s="305"/>
      <c r="EW18" s="305"/>
      <c r="EX18" s="305"/>
      <c r="EY18" s="305"/>
      <c r="EZ18" s="305"/>
      <c r="FA18" s="305"/>
      <c r="FB18" s="305"/>
      <c r="FC18" s="305"/>
      <c r="FD18" s="305"/>
      <c r="FE18" s="305"/>
      <c r="FF18" s="305"/>
      <c r="FG18" s="305"/>
      <c r="FH18" s="305"/>
      <c r="FI18" s="305"/>
      <c r="FJ18" s="305"/>
    </row>
    <row r="19" spans="1:166" ht="12.75" customHeight="1" x14ac:dyDescent="0.35" hidden="1">
      <c r="A19" s="165"/>
      <c r="B19" s="150"/>
      <c r="C19" s="53"/>
      <c r="D19" s="152" t="str">
        <f>Calcs!K223</f>
        <v>Item 13</v>
      </c>
      <c r="E19" s="96">
        <f>Calcs!L223</f>
        <v>0</v>
      </c>
      <c r="F19" s="96">
        <f>Calcs!M223</f>
        <v>0</v>
      </c>
      <c r="G19" s="96">
        <f>Calcs!N223</f>
        <v>0</v>
      </c>
      <c r="H19" s="96">
        <f>Calcs!O223</f>
        <v>0</v>
      </c>
      <c r="I19" s="96">
        <f>Calcs!P223</f>
        <v>0</v>
      </c>
      <c r="J19" s="96">
        <f>Calcs!Q223</f>
        <v>0</v>
      </c>
      <c r="K19" s="96">
        <f>Calcs!R223</f>
        <v>0</v>
      </c>
      <c r="L19" s="96">
        <f>Calcs!S223</f>
        <v>0</v>
      </c>
      <c r="M19" s="96">
        <f>Calcs!T223</f>
        <v>0</v>
      </c>
      <c r="N19" s="96">
        <f>Calcs!U223</f>
        <v>0</v>
      </c>
      <c r="O19" s="96">
        <f>Calcs!V223</f>
        <v>0</v>
      </c>
      <c r="P19" s="96">
        <f>Calcs!W223</f>
        <v>0</v>
      </c>
      <c r="Q19" s="96">
        <f>SUM(E19:P19)</f>
        <v>0</v>
      </c>
      <c r="R19" s="96">
        <f>Calcs!X223</f>
        <v>0</v>
      </c>
      <c r="S19" s="96">
        <f>Calcs!Y223</f>
        <v>0</v>
      </c>
      <c r="T19" s="96">
        <f>Calcs!Z223</f>
        <v>0</v>
      </c>
      <c r="U19" s="96">
        <f>Calcs!AA223</f>
        <v>0</v>
      </c>
      <c r="V19" s="96">
        <f>Calcs!AB223</f>
        <v>0</v>
      </c>
      <c r="W19" s="96">
        <f>Calcs!AC223</f>
        <v>0</v>
      </c>
      <c r="X19" s="96">
        <f>Calcs!AD223</f>
        <v>0</v>
      </c>
      <c r="Y19" s="96">
        <f>Calcs!AE223</f>
        <v>0</v>
      </c>
      <c r="Z19" s="96">
        <f>Calcs!AF223</f>
        <v>0</v>
      </c>
      <c r="AA19" s="96">
        <f>Calcs!AG223</f>
        <v>0</v>
      </c>
      <c r="AB19" s="96">
        <f>Calcs!AH223</f>
        <v>0</v>
      </c>
      <c r="AC19" s="96">
        <f>Calcs!AI223</f>
        <v>0</v>
      </c>
      <c r="AD19" s="96">
        <f>SUM(R19:AC19)</f>
        <v>0</v>
      </c>
      <c r="AE19" s="96">
        <f>Calcs!AJ223</f>
        <v>0</v>
      </c>
      <c r="AF19" s="96">
        <f>Calcs!AK223</f>
        <v>0</v>
      </c>
      <c r="AG19" s="96">
        <f>Calcs!AL223</f>
        <v>0</v>
      </c>
      <c r="AH19" s="96">
        <f>Calcs!AM223</f>
        <v>0</v>
      </c>
      <c r="AI19" s="96">
        <f>Calcs!AN223</f>
        <v>0</v>
      </c>
      <c r="AJ19" s="96">
        <f>Calcs!AO223</f>
        <v>0</v>
      </c>
      <c r="AK19" s="96">
        <f>Calcs!AP223</f>
        <v>0</v>
      </c>
      <c r="AL19" s="96">
        <f>Calcs!AQ223</f>
        <v>0</v>
      </c>
      <c r="AM19" s="96">
        <f>Calcs!AR223</f>
        <v>0</v>
      </c>
      <c r="AN19" s="96">
        <f>Calcs!AS223</f>
        <v>0</v>
      </c>
      <c r="AO19" s="96">
        <f>Calcs!AT223</f>
        <v>0</v>
      </c>
      <c r="AP19" s="96">
        <f>Calcs!AU223</f>
        <v>0</v>
      </c>
      <c r="AQ19" s="96">
        <f>SUM(AE19:AP19)</f>
        <v>0</v>
      </c>
      <c r="AR19" s="96">
        <f>Calcs!AV223</f>
        <v>0</v>
      </c>
      <c r="AS19" s="96">
        <f>Calcs!AW223</f>
        <v>0</v>
      </c>
      <c r="AT19" s="96">
        <f>Calcs!AX223</f>
        <v>0</v>
      </c>
      <c r="AU19" s="96">
        <f>Calcs!AY223</f>
        <v>0</v>
      </c>
      <c r="AV19" s="96">
        <f>Calcs!AZ223</f>
        <v>0</v>
      </c>
      <c r="AW19" s="96">
        <f>Calcs!BA223</f>
        <v>0</v>
      </c>
      <c r="AX19" s="96">
        <f>Calcs!BB223</f>
        <v>0</v>
      </c>
      <c r="AY19" s="96">
        <f>Calcs!BC223</f>
        <v>0</v>
      </c>
      <c r="AZ19" s="96">
        <f>Calcs!BD223</f>
        <v>0</v>
      </c>
      <c r="BA19" s="96">
        <f>Calcs!BE223</f>
        <v>0</v>
      </c>
      <c r="BB19" s="96">
        <f>Calcs!BF223</f>
        <v>0</v>
      </c>
      <c r="BC19" s="96">
        <f>Calcs!BG223</f>
        <v>0</v>
      </c>
      <c r="BD19" s="96">
        <f>SUM(AR19:BC19)</f>
        <v>0</v>
      </c>
      <c r="BE19" s="96">
        <f>Calcs!BH223</f>
        <v>0</v>
      </c>
      <c r="BF19" s="96">
        <f>Calcs!BI223</f>
        <v>0</v>
      </c>
      <c r="BG19" s="96">
        <f>Calcs!BJ223</f>
        <v>0</v>
      </c>
      <c r="BH19" s="96">
        <f>Calcs!BK223</f>
        <v>0</v>
      </c>
      <c r="BI19" s="96">
        <f>Calcs!BL223</f>
        <v>0</v>
      </c>
      <c r="BJ19" s="96">
        <f>Calcs!BM223</f>
        <v>0</v>
      </c>
      <c r="BK19" s="96">
        <f>Calcs!BN223</f>
        <v>0</v>
      </c>
      <c r="BL19" s="96">
        <f>Calcs!BO223</f>
        <v>0</v>
      </c>
      <c r="BM19" s="96">
        <f>Calcs!BP223</f>
        <v>0</v>
      </c>
      <c r="BN19" s="96">
        <f>Calcs!BQ223</f>
        <v>0</v>
      </c>
      <c r="BO19" s="96">
        <f>Calcs!BR223</f>
        <v>0</v>
      </c>
      <c r="BP19" s="96">
        <f>Calcs!BS223</f>
        <v>0</v>
      </c>
      <c r="BQ19" s="96">
        <f>SUM(BE19:BP19)</f>
        <v>0</v>
      </c>
      <c r="BR19" s="1569"/>
      <c r="BS19" s="153">
        <f>SUM(BQ19,BD19,AQ19,AD19,Q19)</f>
        <v>0</v>
      </c>
      <c r="BT19" s="1569"/>
      <c r="BU19" s="113">
        <f>SUM(BQ19,BD19,AQ19,AD19,Q19)</f>
      </c>
      <c r="BV19" s="152"/>
      <c r="BW19" s="96"/>
      <c r="BX19" s="96"/>
      <c r="BY19" s="96"/>
      <c r="BZ19" s="96"/>
      <c r="CA19" s="96"/>
      <c r="CB19" s="96"/>
      <c r="CC19" s="96"/>
      <c r="CD19" s="96"/>
      <c r="CE19" s="96"/>
      <c r="CF19" s="96"/>
      <c r="CG19" s="96"/>
      <c r="CH19" s="96"/>
      <c r="CI19" s="96"/>
      <c r="CJ19" s="96"/>
      <c r="CK19" s="96"/>
      <c r="CL19" s="96"/>
      <c r="CM19" s="96"/>
      <c r="CN19" s="96"/>
      <c r="CO19" s="96"/>
      <c r="CP19" s="96"/>
      <c r="CW19" s="179"/>
      <c r="CX19" s="179"/>
      <c r="CY19" s="305"/>
      <c r="CZ19" s="305"/>
      <c r="DA19" s="305"/>
      <c r="DB19" s="305"/>
      <c r="DC19" s="305"/>
      <c r="DD19" s="305"/>
      <c r="DE19" s="305"/>
      <c r="DF19" s="305"/>
      <c r="DG19" s="305"/>
      <c r="DH19" s="305"/>
      <c r="DI19" s="305"/>
      <c r="DJ19" s="305"/>
      <c r="DK19" s="305"/>
      <c r="DL19" s="305"/>
      <c r="DM19" s="305"/>
      <c r="DN19" s="305"/>
      <c r="DO19" s="305"/>
      <c r="DP19" s="305"/>
      <c r="DQ19" s="305"/>
      <c r="DR19" s="305"/>
      <c r="DS19" s="305"/>
      <c r="DT19" s="305"/>
      <c r="DU19" s="305"/>
      <c r="DV19" s="305"/>
      <c r="DW19" s="305"/>
      <c r="DX19" s="305"/>
      <c r="DY19" s="305"/>
      <c r="DZ19" s="305"/>
      <c r="EA19" s="305"/>
      <c r="EB19" s="305"/>
      <c r="EC19" s="305"/>
      <c r="ED19" s="305"/>
      <c r="EE19" s="305"/>
      <c r="EF19" s="305"/>
      <c r="EG19" s="305"/>
      <c r="EH19" s="305"/>
      <c r="EI19" s="305"/>
      <c r="EJ19" s="305"/>
      <c r="EK19" s="305"/>
      <c r="EL19" s="305"/>
      <c r="EM19" s="305"/>
      <c r="EN19" s="305"/>
      <c r="EO19" s="305"/>
      <c r="EP19" s="305"/>
      <c r="EQ19" s="305"/>
      <c r="ER19" s="305"/>
      <c r="ES19" s="305"/>
      <c r="ET19" s="305"/>
      <c r="EU19" s="305"/>
      <c r="EV19" s="305"/>
      <c r="EW19" s="305"/>
      <c r="EX19" s="305"/>
      <c r="EY19" s="305"/>
      <c r="EZ19" s="305"/>
      <c r="FA19" s="305"/>
      <c r="FB19" s="305"/>
      <c r="FC19" s="305"/>
      <c r="FD19" s="305"/>
      <c r="FE19" s="305"/>
      <c r="FF19" s="305"/>
      <c r="FG19" s="305"/>
      <c r="FH19" s="305"/>
      <c r="FI19" s="305"/>
      <c r="FJ19" s="305"/>
    </row>
    <row r="20" spans="1:166" ht="12.75" customHeight="1" x14ac:dyDescent="0.35" hidden="1">
      <c r="A20" s="165"/>
      <c r="B20" s="150"/>
      <c r="C20" s="53"/>
      <c r="D20" s="152" t="str">
        <f>Calcs!K224</f>
        <v>Item 14</v>
      </c>
      <c r="E20" s="96">
        <f>Calcs!L224</f>
        <v>0</v>
      </c>
      <c r="F20" s="96">
        <f>Calcs!M224</f>
        <v>0</v>
      </c>
      <c r="G20" s="96">
        <f>Calcs!N224</f>
        <v>0</v>
      </c>
      <c r="H20" s="96">
        <f>Calcs!O224</f>
        <v>0</v>
      </c>
      <c r="I20" s="96">
        <f>Calcs!P224</f>
        <v>0</v>
      </c>
      <c r="J20" s="96">
        <f>Calcs!Q224</f>
        <v>0</v>
      </c>
      <c r="K20" s="96">
        <f>Calcs!R224</f>
        <v>0</v>
      </c>
      <c r="L20" s="96">
        <f>Calcs!S224</f>
        <v>0</v>
      </c>
      <c r="M20" s="96">
        <f>Calcs!T224</f>
        <v>0</v>
      </c>
      <c r="N20" s="96">
        <f>Calcs!U224</f>
        <v>0</v>
      </c>
      <c r="O20" s="96">
        <f>Calcs!V224</f>
        <v>0</v>
      </c>
      <c r="P20" s="96">
        <f>Calcs!W224</f>
        <v>0</v>
      </c>
      <c r="Q20" s="96">
        <f>SUM(E20:P20)</f>
        <v>0</v>
      </c>
      <c r="R20" s="96">
        <f>Calcs!X224</f>
        <v>0</v>
      </c>
      <c r="S20" s="96">
        <f>Calcs!Y224</f>
        <v>0</v>
      </c>
      <c r="T20" s="96">
        <f>Calcs!Z224</f>
        <v>0</v>
      </c>
      <c r="U20" s="96">
        <f>Calcs!AA224</f>
        <v>0</v>
      </c>
      <c r="V20" s="96">
        <f>Calcs!AB224</f>
        <v>0</v>
      </c>
      <c r="W20" s="96">
        <f>Calcs!AC224</f>
        <v>0</v>
      </c>
      <c r="X20" s="96">
        <f>Calcs!AD224</f>
        <v>0</v>
      </c>
      <c r="Y20" s="96">
        <f>Calcs!AE224</f>
        <v>0</v>
      </c>
      <c r="Z20" s="96">
        <f>Calcs!AF224</f>
        <v>0</v>
      </c>
      <c r="AA20" s="96">
        <f>Calcs!AG224</f>
        <v>0</v>
      </c>
      <c r="AB20" s="96">
        <f>Calcs!AH224</f>
        <v>0</v>
      </c>
      <c r="AC20" s="96">
        <f>Calcs!AI224</f>
        <v>0</v>
      </c>
      <c r="AD20" s="96">
        <f>SUM(R20:AC20)</f>
        <v>0</v>
      </c>
      <c r="AE20" s="96">
        <f>Calcs!AJ224</f>
        <v>0</v>
      </c>
      <c r="AF20" s="96">
        <f>Calcs!AK224</f>
        <v>0</v>
      </c>
      <c r="AG20" s="96">
        <f>Calcs!AL224</f>
        <v>0</v>
      </c>
      <c r="AH20" s="96">
        <f>Calcs!AM224</f>
        <v>0</v>
      </c>
      <c r="AI20" s="96">
        <f>Calcs!AN224</f>
        <v>0</v>
      </c>
      <c r="AJ20" s="96">
        <f>Calcs!AO224</f>
        <v>0</v>
      </c>
      <c r="AK20" s="96">
        <f>Calcs!AP224</f>
        <v>0</v>
      </c>
      <c r="AL20" s="96">
        <f>Calcs!AQ224</f>
        <v>0</v>
      </c>
      <c r="AM20" s="96">
        <f>Calcs!AR224</f>
        <v>0</v>
      </c>
      <c r="AN20" s="96">
        <f>Calcs!AS224</f>
        <v>0</v>
      </c>
      <c r="AO20" s="96">
        <f>Calcs!AT224</f>
        <v>0</v>
      </c>
      <c r="AP20" s="96">
        <f>Calcs!AU224</f>
        <v>0</v>
      </c>
      <c r="AQ20" s="96">
        <f>SUM(AE20:AP20)</f>
        <v>0</v>
      </c>
      <c r="AR20" s="96">
        <f>Calcs!AV224</f>
        <v>0</v>
      </c>
      <c r="AS20" s="96">
        <f>Calcs!AW224</f>
        <v>0</v>
      </c>
      <c r="AT20" s="96">
        <f>Calcs!AX224</f>
        <v>0</v>
      </c>
      <c r="AU20" s="96">
        <f>Calcs!AY224</f>
        <v>0</v>
      </c>
      <c r="AV20" s="96">
        <f>Calcs!AZ224</f>
        <v>0</v>
      </c>
      <c r="AW20" s="96">
        <f>Calcs!BA224</f>
        <v>0</v>
      </c>
      <c r="AX20" s="96">
        <f>Calcs!BB224</f>
        <v>0</v>
      </c>
      <c r="AY20" s="96">
        <f>Calcs!BC224</f>
        <v>0</v>
      </c>
      <c r="AZ20" s="96">
        <f>Calcs!BD224</f>
        <v>0</v>
      </c>
      <c r="BA20" s="96">
        <f>Calcs!BE224</f>
        <v>0</v>
      </c>
      <c r="BB20" s="96">
        <f>Calcs!BF224</f>
        <v>0</v>
      </c>
      <c r="BC20" s="96">
        <f>Calcs!BG224</f>
        <v>0</v>
      </c>
      <c r="BD20" s="96">
        <f>SUM(AR20:BC20)</f>
        <v>0</v>
      </c>
      <c r="BE20" s="96">
        <f>Calcs!BH224</f>
        <v>0</v>
      </c>
      <c r="BF20" s="96">
        <f>Calcs!BI224</f>
        <v>0</v>
      </c>
      <c r="BG20" s="96">
        <f>Calcs!BJ224</f>
        <v>0</v>
      </c>
      <c r="BH20" s="96">
        <f>Calcs!BK224</f>
        <v>0</v>
      </c>
      <c r="BI20" s="96">
        <f>Calcs!BL224</f>
        <v>0</v>
      </c>
      <c r="BJ20" s="96">
        <f>Calcs!BM224</f>
        <v>0</v>
      </c>
      <c r="BK20" s="96">
        <f>Calcs!BN224</f>
        <v>0</v>
      </c>
      <c r="BL20" s="96">
        <f>Calcs!BO224</f>
        <v>0</v>
      </c>
      <c r="BM20" s="96">
        <f>Calcs!BP224</f>
        <v>0</v>
      </c>
      <c r="BN20" s="96">
        <f>Calcs!BQ224</f>
        <v>0</v>
      </c>
      <c r="BO20" s="96">
        <f>Calcs!BR224</f>
        <v>0</v>
      </c>
      <c r="BP20" s="96">
        <f>Calcs!BS224</f>
        <v>0</v>
      </c>
      <c r="BQ20" s="96">
        <f>SUM(BE20:BP20)</f>
        <v>0</v>
      </c>
      <c r="BR20" s="1569"/>
      <c r="BS20" s="153">
        <f>SUM(BQ20,BD20,AQ20,AD20,Q20)</f>
        <v>0</v>
      </c>
      <c r="BT20" s="1569"/>
      <c r="BU20" s="113">
        <f>SUM(BQ20,BD20,AQ20,AD20,Q20)</f>
      </c>
      <c r="BV20" s="152"/>
      <c r="BW20" s="96"/>
      <c r="BX20" s="96"/>
      <c r="BY20" s="96"/>
      <c r="BZ20" s="96"/>
      <c r="CA20" s="96"/>
      <c r="CB20" s="96"/>
      <c r="CC20" s="96"/>
      <c r="CD20" s="96"/>
      <c r="CE20" s="96"/>
      <c r="CF20" s="96"/>
      <c r="CG20" s="96"/>
      <c r="CH20" s="96"/>
      <c r="CI20" s="96"/>
      <c r="CJ20" s="96"/>
      <c r="CK20" s="96"/>
      <c r="CL20" s="96"/>
      <c r="CM20" s="96"/>
      <c r="CN20" s="96"/>
      <c r="CO20" s="96"/>
      <c r="CP20" s="96"/>
      <c r="CW20" s="179"/>
      <c r="CX20" s="179"/>
      <c r="CY20" s="305"/>
      <c r="CZ20" s="305"/>
      <c r="DA20" s="305"/>
      <c r="DB20" s="305"/>
      <c r="DC20" s="305"/>
      <c r="DD20" s="305"/>
      <c r="DE20" s="305"/>
      <c r="DF20" s="305"/>
      <c r="DG20" s="305"/>
      <c r="DH20" s="305"/>
      <c r="DI20" s="305"/>
      <c r="DJ20" s="305"/>
      <c r="DK20" s="305"/>
      <c r="DL20" s="305"/>
      <c r="DM20" s="305"/>
      <c r="DN20" s="305"/>
      <c r="DO20" s="305"/>
      <c r="DP20" s="305"/>
      <c r="DQ20" s="305"/>
      <c r="DR20" s="305"/>
      <c r="DS20" s="305"/>
      <c r="DT20" s="305"/>
      <c r="DU20" s="305"/>
      <c r="DV20" s="305"/>
      <c r="DW20" s="305"/>
      <c r="DX20" s="305"/>
      <c r="DY20" s="305"/>
      <c r="DZ20" s="305"/>
      <c r="EA20" s="305"/>
      <c r="EB20" s="305"/>
      <c r="EC20" s="305"/>
      <c r="ED20" s="305"/>
      <c r="EE20" s="305"/>
      <c r="EF20" s="305"/>
      <c r="EG20" s="305"/>
      <c r="EH20" s="305"/>
      <c r="EI20" s="305"/>
      <c r="EJ20" s="305"/>
      <c r="EK20" s="305"/>
      <c r="EL20" s="305"/>
      <c r="EM20" s="305"/>
      <c r="EN20" s="305"/>
      <c r="EO20" s="305"/>
      <c r="EP20" s="305"/>
      <c r="EQ20" s="305"/>
      <c r="ER20" s="305"/>
      <c r="ES20" s="305"/>
      <c r="ET20" s="305"/>
      <c r="EU20" s="305"/>
      <c r="EV20" s="305"/>
      <c r="EW20" s="305"/>
      <c r="EX20" s="305"/>
      <c r="EY20" s="305"/>
      <c r="EZ20" s="305"/>
      <c r="FA20" s="305"/>
      <c r="FB20" s="305"/>
      <c r="FC20" s="305"/>
      <c r="FD20" s="305"/>
      <c r="FE20" s="305"/>
      <c r="FF20" s="305"/>
      <c r="FG20" s="305"/>
      <c r="FH20" s="305"/>
      <c r="FI20" s="305"/>
      <c r="FJ20" s="305"/>
    </row>
    <row r="21" spans="1:166" ht="12.75" customHeight="1" x14ac:dyDescent="0.35" hidden="1">
      <c r="A21" s="165"/>
      <c r="B21" s="150"/>
      <c r="C21" s="53"/>
      <c r="D21" s="152" t="str">
        <f>Calcs!K225</f>
        <v>Item 15</v>
      </c>
      <c r="E21" s="96">
        <f>Calcs!L225</f>
        <v>0</v>
      </c>
      <c r="F21" s="96">
        <f>Calcs!M225</f>
        <v>0</v>
      </c>
      <c r="G21" s="96">
        <f>Calcs!N225</f>
        <v>0</v>
      </c>
      <c r="H21" s="96">
        <f>Calcs!O225</f>
        <v>0</v>
      </c>
      <c r="I21" s="96">
        <f>Calcs!P225</f>
        <v>0</v>
      </c>
      <c r="J21" s="96">
        <f>Calcs!Q225</f>
        <v>0</v>
      </c>
      <c r="K21" s="96">
        <f>Calcs!R225</f>
        <v>0</v>
      </c>
      <c r="L21" s="96">
        <f>Calcs!S225</f>
        <v>0</v>
      </c>
      <c r="M21" s="96">
        <f>Calcs!T225</f>
        <v>0</v>
      </c>
      <c r="N21" s="96">
        <f>Calcs!U225</f>
        <v>0</v>
      </c>
      <c r="O21" s="96">
        <f>Calcs!V225</f>
        <v>0</v>
      </c>
      <c r="P21" s="96">
        <f>Calcs!W225</f>
        <v>0</v>
      </c>
      <c r="Q21" s="96">
        <f>SUM(E21:P21)</f>
        <v>0</v>
      </c>
      <c r="R21" s="96">
        <f>Calcs!X225</f>
        <v>0</v>
      </c>
      <c r="S21" s="96">
        <f>Calcs!Y225</f>
        <v>0</v>
      </c>
      <c r="T21" s="96">
        <f>Calcs!Z225</f>
        <v>0</v>
      </c>
      <c r="U21" s="96">
        <f>Calcs!AA225</f>
        <v>0</v>
      </c>
      <c r="V21" s="96">
        <f>Calcs!AB225</f>
        <v>0</v>
      </c>
      <c r="W21" s="96">
        <f>Calcs!AC225</f>
        <v>0</v>
      </c>
      <c r="X21" s="96">
        <f>Calcs!AD225</f>
        <v>0</v>
      </c>
      <c r="Y21" s="96">
        <f>Calcs!AE225</f>
        <v>0</v>
      </c>
      <c r="Z21" s="96">
        <f>Calcs!AF225</f>
        <v>0</v>
      </c>
      <c r="AA21" s="96">
        <f>Calcs!AG225</f>
        <v>0</v>
      </c>
      <c r="AB21" s="96">
        <f>Calcs!AH225</f>
        <v>0</v>
      </c>
      <c r="AC21" s="96">
        <f>Calcs!AI225</f>
        <v>0</v>
      </c>
      <c r="AD21" s="96">
        <f>SUM(R21:AC21)</f>
        <v>0</v>
      </c>
      <c r="AE21" s="96">
        <f>Calcs!AJ225</f>
        <v>0</v>
      </c>
      <c r="AF21" s="96">
        <f>Calcs!AK225</f>
        <v>0</v>
      </c>
      <c r="AG21" s="96">
        <f>Calcs!AL225</f>
        <v>0</v>
      </c>
      <c r="AH21" s="96">
        <f>Calcs!AM225</f>
        <v>0</v>
      </c>
      <c r="AI21" s="96">
        <f>Calcs!AN225</f>
        <v>0</v>
      </c>
      <c r="AJ21" s="96">
        <f>Calcs!AO225</f>
        <v>0</v>
      </c>
      <c r="AK21" s="96">
        <f>Calcs!AP225</f>
        <v>0</v>
      </c>
      <c r="AL21" s="96">
        <f>Calcs!AQ225</f>
        <v>0</v>
      </c>
      <c r="AM21" s="96">
        <f>Calcs!AR225</f>
        <v>0</v>
      </c>
      <c r="AN21" s="96">
        <f>Calcs!AS225</f>
        <v>0</v>
      </c>
      <c r="AO21" s="96">
        <f>Calcs!AT225</f>
        <v>0</v>
      </c>
      <c r="AP21" s="96">
        <f>Calcs!AU225</f>
        <v>0</v>
      </c>
      <c r="AQ21" s="96">
        <f>SUM(AE21:AP21)</f>
        <v>0</v>
      </c>
      <c r="AR21" s="96">
        <f>Calcs!AV225</f>
        <v>0</v>
      </c>
      <c r="AS21" s="96">
        <f>Calcs!AW225</f>
        <v>0</v>
      </c>
      <c r="AT21" s="96">
        <f>Calcs!AX225</f>
        <v>0</v>
      </c>
      <c r="AU21" s="96">
        <f>Calcs!AY225</f>
        <v>0</v>
      </c>
      <c r="AV21" s="96">
        <f>Calcs!AZ225</f>
        <v>0</v>
      </c>
      <c r="AW21" s="96">
        <f>Calcs!BA225</f>
        <v>0</v>
      </c>
      <c r="AX21" s="96">
        <f>Calcs!BB225</f>
        <v>0</v>
      </c>
      <c r="AY21" s="96">
        <f>Calcs!BC225</f>
        <v>0</v>
      </c>
      <c r="AZ21" s="96">
        <f>Calcs!BD225</f>
        <v>0</v>
      </c>
      <c r="BA21" s="96">
        <f>Calcs!BE225</f>
        <v>0</v>
      </c>
      <c r="BB21" s="96">
        <f>Calcs!BF225</f>
        <v>0</v>
      </c>
      <c r="BC21" s="96">
        <f>Calcs!BG225</f>
        <v>0</v>
      </c>
      <c r="BD21" s="96">
        <f>SUM(AR21:BC21)</f>
        <v>0</v>
      </c>
      <c r="BE21" s="96">
        <f>Calcs!BH225</f>
        <v>0</v>
      </c>
      <c r="BF21" s="96">
        <f>Calcs!BI225</f>
        <v>0</v>
      </c>
      <c r="BG21" s="96">
        <f>Calcs!BJ225</f>
        <v>0</v>
      </c>
      <c r="BH21" s="96">
        <f>Calcs!BK225</f>
        <v>0</v>
      </c>
      <c r="BI21" s="96">
        <f>Calcs!BL225</f>
        <v>0</v>
      </c>
      <c r="BJ21" s="96">
        <f>Calcs!BM225</f>
        <v>0</v>
      </c>
      <c r="BK21" s="96">
        <f>Calcs!BN225</f>
        <v>0</v>
      </c>
      <c r="BL21" s="96">
        <f>Calcs!BO225</f>
        <v>0</v>
      </c>
      <c r="BM21" s="96">
        <f>Calcs!BP225</f>
        <v>0</v>
      </c>
      <c r="BN21" s="96">
        <f>Calcs!BQ225</f>
        <v>0</v>
      </c>
      <c r="BO21" s="96">
        <f>Calcs!BR225</f>
        <v>0</v>
      </c>
      <c r="BP21" s="96">
        <f>Calcs!BS225</f>
        <v>0</v>
      </c>
      <c r="BQ21" s="96">
        <f>SUM(BE21:BP21)</f>
        <v>0</v>
      </c>
      <c r="BR21" s="1569"/>
      <c r="BS21" s="153">
        <f>SUM(BQ21,BD21,AQ21,AD21,Q21)</f>
        <v>0</v>
      </c>
      <c r="BT21" s="1569"/>
      <c r="BU21" s="113">
        <f>SUM(BQ21,BD21,AQ21,AD21,Q21)</f>
      </c>
      <c r="BV21" s="152" t="s">
        <v>279</v>
      </c>
      <c r="BW21" s="96">
        <f>SUM(Financials!E21:'Financials'!G21)</f>
        <v>0</v>
      </c>
      <c r="BX21" s="96">
        <f>SUM(Financials!H21:'Financials'!J21)</f>
        <v>0</v>
      </c>
      <c r="BY21" s="96">
        <f>SUM(Financials!K21:'Financials'!M21)</f>
        <v>0</v>
      </c>
      <c r="BZ21" s="96">
        <f>SUM(Financials!N21:'Financials'!P21)</f>
        <v>0</v>
      </c>
      <c r="CA21" s="96">
        <f>SUM(Financials!R21:'Financials'!T21)</f>
        <v>0</v>
      </c>
      <c r="CB21" s="96">
        <f>SUM(Financials!U21:'Financials'!W21)</f>
        <v>0</v>
      </c>
      <c r="CC21" s="96">
        <f>SUM(Financials!X21:'Financials'!Z21)</f>
        <v>0</v>
      </c>
      <c r="CD21" s="96">
        <f>SUM(Financials!AA21:'Financials'!AC21)</f>
        <v>0</v>
      </c>
      <c r="CE21" s="96">
        <f>SUM(Financials!AE21:'Financials'!AG21)</f>
        <v>0</v>
      </c>
      <c r="CF21" s="96">
        <f>SUM(Financials!AH21:'Financials'!AJ21)</f>
        <v>0</v>
      </c>
      <c r="CG21" s="96">
        <f>SUM(Financials!AK21:'Financials'!AM21)</f>
        <v>0</v>
      </c>
      <c r="CH21" s="96">
        <f>SUM(Financials!AN21:'Financials'!AP21)</f>
        <v>0</v>
      </c>
      <c r="CI21" s="96">
        <f>SUM(Financials!AR21:'Financials'!AT21)</f>
        <v>0</v>
      </c>
      <c r="CJ21" s="96">
        <f>SUM(Financials!AU21:'Financials'!AW21)</f>
        <v>0</v>
      </c>
      <c r="CK21" s="96">
        <f>SUM(Financials!AX21:'Financials'!AZ21)</f>
        <v>0</v>
      </c>
      <c r="CL21" s="96">
        <f>SUM(Financials!BA21:'Financials'!BC21)</f>
        <v>0</v>
      </c>
      <c r="CM21" s="96">
        <f>SUM(Financials!BE21:'Financials'!BG21)</f>
        <v>0</v>
      </c>
      <c r="CN21" s="96">
        <f>SUM(Financials!BH21:'Financials'!BJ21)</f>
        <v>0</v>
      </c>
      <c r="CO21" s="96">
        <f>SUM(Financials!BK21:'Financials'!BM21)</f>
        <v>0</v>
      </c>
      <c r="CP21" s="96">
        <f>SUM(Financials!BN21:'Financials'!BP21)</f>
        <v>0</v>
      </c>
      <c r="CW21" s="179"/>
      <c r="CX21" s="179"/>
      <c r="CY21" s="305"/>
      <c r="CZ21" s="305"/>
      <c r="DA21" s="305"/>
      <c r="DB21" s="305"/>
      <c r="DC21" s="305"/>
      <c r="DD21" s="305"/>
      <c r="DE21" s="305"/>
      <c r="DF21" s="305"/>
      <c r="DG21" s="305"/>
      <c r="DH21" s="305"/>
      <c r="DI21" s="305"/>
      <c r="DJ21" s="305"/>
      <c r="DK21" s="305"/>
      <c r="DL21" s="305"/>
      <c r="DM21" s="305"/>
      <c r="DN21" s="305"/>
      <c r="DO21" s="305"/>
      <c r="DP21" s="305"/>
      <c r="DQ21" s="305"/>
      <c r="DR21" s="305"/>
      <c r="DS21" s="305"/>
      <c r="DT21" s="305"/>
      <c r="DU21" s="305"/>
      <c r="DV21" s="305"/>
      <c r="DW21" s="305"/>
      <c r="DX21" s="305"/>
      <c r="DY21" s="305"/>
      <c r="DZ21" s="305"/>
      <c r="EA21" s="305"/>
      <c r="EB21" s="305"/>
      <c r="EC21" s="305"/>
      <c r="ED21" s="305"/>
      <c r="EE21" s="305"/>
      <c r="EF21" s="305"/>
      <c r="EG21" s="305"/>
      <c r="EH21" s="305"/>
      <c r="EI21" s="305"/>
      <c r="EJ21" s="305"/>
      <c r="EK21" s="305"/>
      <c r="EL21" s="305"/>
      <c r="EM21" s="305"/>
      <c r="EN21" s="305"/>
      <c r="EO21" s="305"/>
      <c r="EP21" s="305"/>
      <c r="EQ21" s="305"/>
      <c r="ER21" s="305"/>
      <c r="ES21" s="305"/>
      <c r="ET21" s="305"/>
      <c r="EU21" s="305"/>
      <c r="EV21" s="305"/>
      <c r="EW21" s="305"/>
      <c r="EX21" s="305"/>
      <c r="EY21" s="305"/>
      <c r="EZ21" s="305"/>
      <c r="FA21" s="305"/>
      <c r="FB21" s="305"/>
      <c r="FC21" s="305"/>
      <c r="FD21" s="305"/>
      <c r="FE21" s="305"/>
      <c r="FF21" s="305"/>
      <c r="FG21" s="305"/>
      <c r="FH21" s="305"/>
      <c r="FI21" s="305"/>
      <c r="FJ21" s="305"/>
    </row>
    <row r="22" spans="1:166" ht="12.75" customHeight="1" x14ac:dyDescent="0.35" hidden="1">
      <c r="A22" s="165"/>
      <c r="B22" s="150"/>
      <c r="C22" s="53"/>
      <c r="D22" s="152" t="str">
        <f>Calcs!K226</f>
        <v>Item 16</v>
      </c>
      <c r="E22" s="96">
        <f>Calcs!L226</f>
        <v>0</v>
      </c>
      <c r="F22" s="96">
        <f>Calcs!M226</f>
        <v>0</v>
      </c>
      <c r="G22" s="96">
        <f>Calcs!N226</f>
        <v>0</v>
      </c>
      <c r="H22" s="96">
        <f>Calcs!O226</f>
        <v>0</v>
      </c>
      <c r="I22" s="96">
        <f>Calcs!P226</f>
        <v>0</v>
      </c>
      <c r="J22" s="96">
        <f>Calcs!Q226</f>
        <v>0</v>
      </c>
      <c r="K22" s="96">
        <f>Calcs!R226</f>
        <v>0</v>
      </c>
      <c r="L22" s="96">
        <f>Calcs!S226</f>
        <v>0</v>
      </c>
      <c r="M22" s="96">
        <f>Calcs!T226</f>
        <v>0</v>
      </c>
      <c r="N22" s="96">
        <f>Calcs!U226</f>
        <v>0</v>
      </c>
      <c r="O22" s="96">
        <f>Calcs!V226</f>
        <v>0</v>
      </c>
      <c r="P22" s="96">
        <f>Calcs!W226</f>
        <v>0</v>
      </c>
      <c r="Q22" s="96">
        <f>SUM(E22:P22)</f>
        <v>0</v>
      </c>
      <c r="R22" s="96">
        <f>Calcs!X226</f>
        <v>0</v>
      </c>
      <c r="S22" s="96">
        <f>Calcs!Y226</f>
        <v>0</v>
      </c>
      <c r="T22" s="96">
        <f>Calcs!Z226</f>
        <v>0</v>
      </c>
      <c r="U22" s="96">
        <f>Calcs!AA226</f>
        <v>0</v>
      </c>
      <c r="V22" s="96">
        <f>Calcs!AB226</f>
        <v>0</v>
      </c>
      <c r="W22" s="96">
        <f>Calcs!AC226</f>
        <v>0</v>
      </c>
      <c r="X22" s="96">
        <f>Calcs!AD226</f>
        <v>0</v>
      </c>
      <c r="Y22" s="96">
        <f>Calcs!AE226</f>
        <v>0</v>
      </c>
      <c r="Z22" s="96">
        <f>Calcs!AF226</f>
        <v>0</v>
      </c>
      <c r="AA22" s="96">
        <f>Calcs!AG226</f>
        <v>0</v>
      </c>
      <c r="AB22" s="96">
        <f>Calcs!AH226</f>
        <v>0</v>
      </c>
      <c r="AC22" s="96">
        <f>Calcs!AI226</f>
        <v>0</v>
      </c>
      <c r="AD22" s="96">
        <f>SUM(R22:AC22)</f>
        <v>0</v>
      </c>
      <c r="AE22" s="96">
        <f>Calcs!AJ226</f>
        <v>0</v>
      </c>
      <c r="AF22" s="96">
        <f>Calcs!AK226</f>
        <v>0</v>
      </c>
      <c r="AG22" s="96">
        <f>Calcs!AL226</f>
        <v>0</v>
      </c>
      <c r="AH22" s="96">
        <f>Calcs!AM226</f>
        <v>0</v>
      </c>
      <c r="AI22" s="96">
        <f>Calcs!AN226</f>
        <v>0</v>
      </c>
      <c r="AJ22" s="96">
        <f>Calcs!AO226</f>
        <v>0</v>
      </c>
      <c r="AK22" s="96">
        <f>Calcs!AP226</f>
        <v>0</v>
      </c>
      <c r="AL22" s="96">
        <f>Calcs!AQ226</f>
        <v>0</v>
      </c>
      <c r="AM22" s="96">
        <f>Calcs!AR226</f>
        <v>0</v>
      </c>
      <c r="AN22" s="96">
        <f>Calcs!AS226</f>
        <v>0</v>
      </c>
      <c r="AO22" s="96">
        <f>Calcs!AT226</f>
        <v>0</v>
      </c>
      <c r="AP22" s="96">
        <f>Calcs!AU226</f>
        <v>0</v>
      </c>
      <c r="AQ22" s="96">
        <f>SUM(AE22:AP22)</f>
        <v>0</v>
      </c>
      <c r="AR22" s="96">
        <f>Calcs!AV226</f>
        <v>0</v>
      </c>
      <c r="AS22" s="96">
        <f>Calcs!AW226</f>
        <v>0</v>
      </c>
      <c r="AT22" s="96">
        <f>Calcs!AX226</f>
        <v>0</v>
      </c>
      <c r="AU22" s="96">
        <f>Calcs!AY226</f>
        <v>0</v>
      </c>
      <c r="AV22" s="96">
        <f>Calcs!AZ226</f>
        <v>0</v>
      </c>
      <c r="AW22" s="96">
        <f>Calcs!BA226</f>
        <v>0</v>
      </c>
      <c r="AX22" s="96">
        <f>Calcs!BB226</f>
        <v>0</v>
      </c>
      <c r="AY22" s="96">
        <f>Calcs!BC226</f>
        <v>0</v>
      </c>
      <c r="AZ22" s="96">
        <f>Calcs!BD226</f>
        <v>0</v>
      </c>
      <c r="BA22" s="96">
        <f>Calcs!BE226</f>
        <v>0</v>
      </c>
      <c r="BB22" s="96">
        <f>Calcs!BF226</f>
        <v>0</v>
      </c>
      <c r="BC22" s="96">
        <f>Calcs!BG226</f>
        <v>0</v>
      </c>
      <c r="BD22" s="96">
        <f>SUM(AR22:BC22)</f>
        <v>0</v>
      </c>
      <c r="BE22" s="96">
        <f>Calcs!BH226</f>
        <v>0</v>
      </c>
      <c r="BF22" s="96">
        <f>Calcs!BI226</f>
        <v>0</v>
      </c>
      <c r="BG22" s="96">
        <f>Calcs!BJ226</f>
        <v>0</v>
      </c>
      <c r="BH22" s="96">
        <f>Calcs!BK226</f>
        <v>0</v>
      </c>
      <c r="BI22" s="96">
        <f>Calcs!BL226</f>
        <v>0</v>
      </c>
      <c r="BJ22" s="96">
        <f>Calcs!BM226</f>
        <v>0</v>
      </c>
      <c r="BK22" s="96">
        <f>Calcs!BN226</f>
        <v>0</v>
      </c>
      <c r="BL22" s="96">
        <f>Calcs!BO226</f>
        <v>0</v>
      </c>
      <c r="BM22" s="96">
        <f>Calcs!BP226</f>
        <v>0</v>
      </c>
      <c r="BN22" s="96">
        <f>Calcs!BQ226</f>
        <v>0</v>
      </c>
      <c r="BO22" s="96">
        <f>Calcs!BR226</f>
        <v>0</v>
      </c>
      <c r="BP22" s="96">
        <f>Calcs!BS226</f>
        <v>0</v>
      </c>
      <c r="BQ22" s="96">
        <f>SUM(BE22:BP22)</f>
        <v>0</v>
      </c>
      <c r="BR22" s="1569"/>
      <c r="BS22" s="153">
        <f>SUM(BQ22,BD22,AQ22,AD22,Q22)</f>
        <v>0</v>
      </c>
      <c r="BT22" s="1569"/>
      <c r="BU22" s="113">
        <f>SUM(BQ22,BD22,AQ22,AD22,Q22)</f>
      </c>
      <c r="BV22" s="152" t="s">
        <v>280</v>
      </c>
      <c r="BW22" s="96">
        <f>SUM(Financials!E22:'Financials'!G22)</f>
        <v>0</v>
      </c>
      <c r="BX22" s="96">
        <f>SUM(Financials!H22:'Financials'!J22)</f>
        <v>0</v>
      </c>
      <c r="BY22" s="96">
        <f>SUM(Financials!K22:'Financials'!M22)</f>
        <v>0</v>
      </c>
      <c r="BZ22" s="96">
        <f>SUM(Financials!N22:'Financials'!P22)</f>
        <v>0</v>
      </c>
      <c r="CA22" s="96">
        <f>SUM(Financials!R22:'Financials'!T22)</f>
        <v>0</v>
      </c>
      <c r="CB22" s="96">
        <f>SUM(Financials!U22:'Financials'!W22)</f>
        <v>0</v>
      </c>
      <c r="CC22" s="96">
        <f>SUM(Financials!X22:'Financials'!Z22)</f>
        <v>0</v>
      </c>
      <c r="CD22" s="96">
        <f>SUM(Financials!AA22:'Financials'!AC22)</f>
        <v>0</v>
      </c>
      <c r="CE22" s="96">
        <f>SUM(Financials!AE22:'Financials'!AG22)</f>
        <v>0</v>
      </c>
      <c r="CF22" s="96">
        <f>SUM(Financials!AH22:'Financials'!AJ22)</f>
        <v>0</v>
      </c>
      <c r="CG22" s="96">
        <f>SUM(Financials!AK22:'Financials'!AM22)</f>
        <v>0</v>
      </c>
      <c r="CH22" s="96">
        <f>SUM(Financials!AN22:'Financials'!AP22)</f>
        <v>0</v>
      </c>
      <c r="CI22" s="96">
        <f>SUM(Financials!AR22:'Financials'!AT22)</f>
        <v>0</v>
      </c>
      <c r="CJ22" s="96">
        <f>SUM(Financials!AU22:'Financials'!AW22)</f>
        <v>0</v>
      </c>
      <c r="CK22" s="96">
        <f>SUM(Financials!AX22:'Financials'!AZ22)</f>
        <v>0</v>
      </c>
      <c r="CL22" s="96">
        <f>SUM(Financials!BA22:'Financials'!BC22)</f>
        <v>0</v>
      </c>
      <c r="CM22" s="96">
        <f>SUM(Financials!BE22:'Financials'!BG22)</f>
        <v>0</v>
      </c>
      <c r="CN22" s="96">
        <f>SUM(Financials!BH22:'Financials'!BJ22)</f>
        <v>0</v>
      </c>
      <c r="CO22" s="96">
        <f>SUM(Financials!BK22:'Financials'!BM22)</f>
        <v>0</v>
      </c>
      <c r="CP22" s="96">
        <f>SUM(Financials!BN22:'Financials'!BP22)</f>
        <v>0</v>
      </c>
      <c r="CW22" s="179"/>
      <c r="CX22" s="179"/>
      <c r="CY22" s="305"/>
      <c r="CZ22" s="305"/>
      <c r="DA22" s="305"/>
      <c r="DB22" s="305"/>
      <c r="DC22" s="305"/>
      <c r="DD22" s="305"/>
      <c r="DE22" s="305"/>
      <c r="DF22" s="305"/>
      <c r="DG22" s="305"/>
      <c r="DH22" s="305"/>
      <c r="DI22" s="305"/>
      <c r="DJ22" s="305"/>
      <c r="DK22" s="305"/>
      <c r="DL22" s="305"/>
      <c r="DM22" s="305"/>
      <c r="DN22" s="305"/>
      <c r="DO22" s="305"/>
      <c r="DP22" s="305"/>
      <c r="DQ22" s="305"/>
      <c r="DR22" s="305"/>
      <c r="DS22" s="305"/>
      <c r="DT22" s="305"/>
      <c r="DU22" s="305"/>
      <c r="DV22" s="305"/>
      <c r="DW22" s="305"/>
      <c r="DX22" s="305"/>
      <c r="DY22" s="305"/>
      <c r="DZ22" s="305"/>
      <c r="EA22" s="305"/>
      <c r="EB22" s="305"/>
      <c r="EC22" s="305"/>
      <c r="ED22" s="305"/>
      <c r="EE22" s="305"/>
      <c r="EF22" s="305"/>
      <c r="EG22" s="305"/>
      <c r="EH22" s="305"/>
      <c r="EI22" s="305"/>
      <c r="EJ22" s="305"/>
      <c r="EK22" s="305"/>
      <c r="EL22" s="305"/>
      <c r="EM22" s="305"/>
      <c r="EN22" s="305"/>
      <c r="EO22" s="305"/>
      <c r="EP22" s="305"/>
      <c r="EQ22" s="305"/>
      <c r="ER22" s="305"/>
      <c r="ES22" s="305"/>
      <c r="ET22" s="305"/>
      <c r="EU22" s="305"/>
      <c r="EV22" s="305"/>
      <c r="EW22" s="305"/>
      <c r="EX22" s="305"/>
      <c r="EY22" s="305"/>
      <c r="EZ22" s="305"/>
      <c r="FA22" s="305"/>
      <c r="FB22" s="305"/>
      <c r="FC22" s="305"/>
      <c r="FD22" s="305"/>
      <c r="FE22" s="305"/>
      <c r="FF22" s="305"/>
      <c r="FG22" s="305"/>
      <c r="FH22" s="305"/>
      <c r="FI22" s="305"/>
      <c r="FJ22" s="305"/>
    </row>
    <row r="23" spans="1:166" ht="12.75" customHeight="1" x14ac:dyDescent="0.35" hidden="1">
      <c r="A23" s="165"/>
      <c r="B23" s="150"/>
      <c r="C23" s="53"/>
      <c r="D23" s="152" t="str">
        <f>Calcs!K227</f>
        <v>Item 17</v>
      </c>
      <c r="E23" s="96">
        <f>Calcs!L227</f>
        <v>0</v>
      </c>
      <c r="F23" s="96">
        <f>Calcs!M227</f>
        <v>0</v>
      </c>
      <c r="G23" s="96">
        <f>Calcs!N227</f>
        <v>0</v>
      </c>
      <c r="H23" s="96">
        <f>Calcs!O227</f>
        <v>0</v>
      </c>
      <c r="I23" s="96">
        <f>Calcs!P227</f>
        <v>0</v>
      </c>
      <c r="J23" s="96">
        <f>Calcs!Q227</f>
        <v>0</v>
      </c>
      <c r="K23" s="96">
        <f>Calcs!R227</f>
        <v>0</v>
      </c>
      <c r="L23" s="96">
        <f>Calcs!S227</f>
        <v>0</v>
      </c>
      <c r="M23" s="96">
        <f>Calcs!T227</f>
        <v>0</v>
      </c>
      <c r="N23" s="96">
        <f>Calcs!U227</f>
        <v>0</v>
      </c>
      <c r="O23" s="96">
        <f>Calcs!V227</f>
        <v>0</v>
      </c>
      <c r="P23" s="96">
        <f>Calcs!W227</f>
        <v>0</v>
      </c>
      <c r="Q23" s="96">
        <f>SUM(E23:P23)</f>
      </c>
      <c r="R23" s="96">
        <f>Calcs!X227</f>
        <v>0</v>
      </c>
      <c r="S23" s="96">
        <f>Calcs!Y227</f>
        <v>0</v>
      </c>
      <c r="T23" s="96">
        <f>Calcs!Z227</f>
        <v>0</v>
      </c>
      <c r="U23" s="96">
        <f>Calcs!AA227</f>
        <v>0</v>
      </c>
      <c r="V23" s="96">
        <f>Calcs!AB227</f>
        <v>0</v>
      </c>
      <c r="W23" s="96">
        <f>Calcs!AC227</f>
        <v>0</v>
      </c>
      <c r="X23" s="96">
        <f>Calcs!AD227</f>
        <v>0</v>
      </c>
      <c r="Y23" s="96">
        <f>Calcs!AE227</f>
        <v>0</v>
      </c>
      <c r="Z23" s="96">
        <f>Calcs!AF227</f>
        <v>0</v>
      </c>
      <c r="AA23" s="96">
        <f>Calcs!AG227</f>
        <v>0</v>
      </c>
      <c r="AB23" s="96">
        <f>Calcs!AH227</f>
        <v>0</v>
      </c>
      <c r="AC23" s="96">
        <f>Calcs!AI227</f>
        <v>0</v>
      </c>
      <c r="AD23" s="96">
        <f>SUM(R23:AC23)</f>
        <v>0</v>
      </c>
      <c r="AE23" s="96">
        <f>Calcs!AJ227</f>
        <v>0</v>
      </c>
      <c r="AF23" s="96">
        <f>Calcs!AK227</f>
        <v>0</v>
      </c>
      <c r="AG23" s="96">
        <f>Calcs!AL227</f>
        <v>0</v>
      </c>
      <c r="AH23" s="96">
        <f>Calcs!AM227</f>
        <v>0</v>
      </c>
      <c r="AI23" s="96">
        <f>Calcs!AN227</f>
        <v>0</v>
      </c>
      <c r="AJ23" s="96">
        <f>Calcs!AO227</f>
        <v>0</v>
      </c>
      <c r="AK23" s="96">
        <f>Calcs!AP227</f>
        <v>0</v>
      </c>
      <c r="AL23" s="96">
        <f>Calcs!AQ227</f>
        <v>0</v>
      </c>
      <c r="AM23" s="96">
        <f>Calcs!AR227</f>
        <v>0</v>
      </c>
      <c r="AN23" s="96">
        <f>Calcs!AS227</f>
        <v>0</v>
      </c>
      <c r="AO23" s="96">
        <f>Calcs!AT227</f>
        <v>0</v>
      </c>
      <c r="AP23" s="96">
        <f>Calcs!AU227</f>
        <v>0</v>
      </c>
      <c r="AQ23" s="96">
        <f>SUM(AE23:AP23)</f>
        <v>0</v>
      </c>
      <c r="AR23" s="96">
        <f>Calcs!AV227</f>
        <v>0</v>
      </c>
      <c r="AS23" s="96">
        <f>Calcs!AW227</f>
        <v>0</v>
      </c>
      <c r="AT23" s="96">
        <f>Calcs!AX227</f>
        <v>0</v>
      </c>
      <c r="AU23" s="96">
        <f>Calcs!AY227</f>
        <v>0</v>
      </c>
      <c r="AV23" s="96">
        <f>Calcs!AZ227</f>
        <v>0</v>
      </c>
      <c r="AW23" s="96">
        <f>Calcs!BA227</f>
        <v>0</v>
      </c>
      <c r="AX23" s="96">
        <f>Calcs!BB227</f>
        <v>0</v>
      </c>
      <c r="AY23" s="96">
        <f>Calcs!BC227</f>
        <v>0</v>
      </c>
      <c r="AZ23" s="96">
        <f>Calcs!BD227</f>
        <v>0</v>
      </c>
      <c r="BA23" s="96">
        <f>Calcs!BE227</f>
        <v>0</v>
      </c>
      <c r="BB23" s="96">
        <f>Calcs!BF227</f>
        <v>0</v>
      </c>
      <c r="BC23" s="96">
        <f>Calcs!BG227</f>
        <v>0</v>
      </c>
      <c r="BD23" s="96">
        <f>SUM(AR23:BC23)</f>
        <v>0</v>
      </c>
      <c r="BE23" s="96">
        <f>Calcs!BH227</f>
        <v>0</v>
      </c>
      <c r="BF23" s="96">
        <f>Calcs!BI227</f>
        <v>0</v>
      </c>
      <c r="BG23" s="96">
        <f>Calcs!BJ227</f>
        <v>0</v>
      </c>
      <c r="BH23" s="96">
        <f>Calcs!BK227</f>
        <v>0</v>
      </c>
      <c r="BI23" s="96">
        <f>Calcs!BL227</f>
        <v>0</v>
      </c>
      <c r="BJ23" s="96">
        <f>Calcs!BM227</f>
        <v>0</v>
      </c>
      <c r="BK23" s="96">
        <f>Calcs!BN227</f>
        <v>0</v>
      </c>
      <c r="BL23" s="96">
        <f>Calcs!BO227</f>
        <v>0</v>
      </c>
      <c r="BM23" s="96">
        <f>Calcs!BP227</f>
        <v>0</v>
      </c>
      <c r="BN23" s="96">
        <f>Calcs!BQ227</f>
        <v>0</v>
      </c>
      <c r="BO23" s="96">
        <f>Calcs!BR227</f>
        <v>0</v>
      </c>
      <c r="BP23" s="96">
        <f>Calcs!BS227</f>
        <v>0</v>
      </c>
      <c r="BQ23" s="96">
        <f>SUM(BE23:BP23)</f>
        <v>0</v>
      </c>
      <c r="BR23" s="1569"/>
      <c r="BS23" s="153">
        <f>SUM(BQ23,BD23,AQ23,AD23,Q23)</f>
        <v>0</v>
      </c>
      <c r="BT23" s="1569"/>
      <c r="BU23" s="113">
        <f>SUM(BQ23,BD23,AQ23,AD23,Q23)</f>
      </c>
      <c r="BV23" s="152" t="s">
        <v>281</v>
      </c>
      <c r="BW23" s="96">
        <f>SUM(Financials!E23:'Financials'!G23)</f>
        <v>0</v>
      </c>
      <c r="BX23" s="96">
        <f>SUM(Financials!H23:'Financials'!J23)</f>
        <v>0</v>
      </c>
      <c r="BY23" s="96">
        <f>SUM(Financials!K23:'Financials'!M23)</f>
        <v>0</v>
      </c>
      <c r="BZ23" s="96">
        <f>SUM(Financials!N23:'Financials'!P23)</f>
        <v>0</v>
      </c>
      <c r="CA23" s="96">
        <f>SUM(Financials!R23:'Financials'!T23)</f>
        <v>0</v>
      </c>
      <c r="CB23" s="96">
        <f>SUM(Financials!U23:'Financials'!W23)</f>
        <v>0</v>
      </c>
      <c r="CC23" s="96">
        <f>SUM(Financials!X23:'Financials'!Z23)</f>
        <v>0</v>
      </c>
      <c r="CD23" s="96">
        <f>SUM(Financials!AA23:'Financials'!AC23)</f>
        <v>0</v>
      </c>
      <c r="CE23" s="96">
        <f>SUM(Financials!AE23:'Financials'!AG23)</f>
        <v>0</v>
      </c>
      <c r="CF23" s="96">
        <f>SUM(Financials!AH23:'Financials'!AJ23)</f>
        <v>0</v>
      </c>
      <c r="CG23" s="96">
        <f>SUM(Financials!AK23:'Financials'!AM23)</f>
        <v>0</v>
      </c>
      <c r="CH23" s="96">
        <f>SUM(Financials!AN23:'Financials'!AP23)</f>
        <v>0</v>
      </c>
      <c r="CI23" s="96">
        <f>SUM(Financials!AR23:'Financials'!AT23)</f>
        <v>0</v>
      </c>
      <c r="CJ23" s="96">
        <f>SUM(Financials!AU23:'Financials'!AW23)</f>
        <v>0</v>
      </c>
      <c r="CK23" s="96">
        <f>SUM(Financials!AX23:'Financials'!AZ23)</f>
        <v>0</v>
      </c>
      <c r="CL23" s="96">
        <f>SUM(Financials!BA23:'Financials'!BC23)</f>
        <v>0</v>
      </c>
      <c r="CM23" s="96">
        <f>SUM(Financials!BE23:'Financials'!BG23)</f>
        <v>0</v>
      </c>
      <c r="CN23" s="96">
        <f>SUM(Financials!BH23:'Financials'!BJ23)</f>
        <v>0</v>
      </c>
      <c r="CO23" s="96">
        <f>SUM(Financials!BK23:'Financials'!BM23)</f>
        <v>0</v>
      </c>
      <c r="CP23" s="96">
        <f>SUM(Financials!BN23:'Financials'!BP23)</f>
        <v>0</v>
      </c>
      <c r="CW23" s="179"/>
      <c r="CX23" s="179"/>
      <c r="CY23" s="305"/>
      <c r="CZ23" s="305"/>
      <c r="DA23" s="305"/>
      <c r="DB23" s="305"/>
      <c r="DC23" s="305"/>
      <c r="DD23" s="305"/>
      <c r="DE23" s="305"/>
      <c r="DF23" s="305"/>
      <c r="DG23" s="305"/>
      <c r="DH23" s="305"/>
      <c r="DI23" s="305"/>
      <c r="DJ23" s="305"/>
      <c r="DK23" s="305"/>
      <c r="DL23" s="305"/>
      <c r="DM23" s="305"/>
      <c r="DN23" s="305"/>
      <c r="DO23" s="305"/>
      <c r="DP23" s="305"/>
      <c r="DQ23" s="305"/>
      <c r="DR23" s="305"/>
      <c r="DS23" s="305"/>
      <c r="DT23" s="305"/>
      <c r="DU23" s="305"/>
      <c r="DV23" s="305"/>
      <c r="DW23" s="305"/>
      <c r="DX23" s="305"/>
      <c r="DY23" s="305"/>
      <c r="DZ23" s="305"/>
      <c r="EA23" s="305"/>
      <c r="EB23" s="305"/>
      <c r="EC23" s="305"/>
      <c r="ED23" s="305"/>
      <c r="EE23" s="305"/>
      <c r="EF23" s="305"/>
      <c r="EG23" s="305"/>
      <c r="EH23" s="305"/>
      <c r="EI23" s="305"/>
      <c r="EJ23" s="305"/>
      <c r="EK23" s="305"/>
      <c r="EL23" s="305"/>
      <c r="EM23" s="305"/>
      <c r="EN23" s="305"/>
      <c r="EO23" s="305"/>
      <c r="EP23" s="305"/>
      <c r="EQ23" s="305"/>
      <c r="ER23" s="305"/>
      <c r="ES23" s="305"/>
      <c r="ET23" s="305"/>
      <c r="EU23" s="305"/>
      <c r="EV23" s="305"/>
      <c r="EW23" s="305"/>
      <c r="EX23" s="305"/>
      <c r="EY23" s="305"/>
      <c r="EZ23" s="305"/>
      <c r="FA23" s="305"/>
      <c r="FB23" s="305"/>
      <c r="FC23" s="305"/>
      <c r="FD23" s="305"/>
      <c r="FE23" s="305"/>
      <c r="FF23" s="305"/>
      <c r="FG23" s="305"/>
      <c r="FH23" s="305"/>
      <c r="FI23" s="305"/>
      <c r="FJ23" s="305"/>
    </row>
    <row r="24" spans="1:166" ht="12.75" customHeight="1" x14ac:dyDescent="0.35" hidden="1">
      <c r="A24" s="165"/>
      <c r="B24" s="150"/>
      <c r="C24" s="53"/>
      <c r="D24" s="152" t="str">
        <f>Calcs!K228</f>
        <v>Item 18</v>
      </c>
      <c r="E24" s="96">
        <f>Calcs!L228</f>
        <v>0</v>
      </c>
      <c r="F24" s="96">
        <f>Calcs!M228</f>
        <v>0</v>
      </c>
      <c r="G24" s="96">
        <f>Calcs!N228</f>
        <v>0</v>
      </c>
      <c r="H24" s="96">
        <f>Calcs!O228</f>
        <v>0</v>
      </c>
      <c r="I24" s="96">
        <f>Calcs!P228</f>
        <v>0</v>
      </c>
      <c r="J24" s="96">
        <f>Calcs!Q228</f>
        <v>0</v>
      </c>
      <c r="K24" s="96">
        <f>Calcs!R228</f>
        <v>0</v>
      </c>
      <c r="L24" s="96">
        <f>Calcs!S228</f>
        <v>0</v>
      </c>
      <c r="M24" s="96">
        <f>Calcs!T228</f>
        <v>0</v>
      </c>
      <c r="N24" s="96">
        <f>Calcs!U228</f>
        <v>0</v>
      </c>
      <c r="O24" s="96">
        <f>Calcs!V228</f>
        <v>0</v>
      </c>
      <c r="P24" s="96">
        <f>Calcs!W228</f>
        <v>0</v>
      </c>
      <c r="Q24" s="96">
        <f>SUM(E24:P24)</f>
        <v>0</v>
      </c>
      <c r="R24" s="96">
        <f>Calcs!X228</f>
        <v>0</v>
      </c>
      <c r="S24" s="96">
        <f>Calcs!Y228</f>
        <v>0</v>
      </c>
      <c r="T24" s="96">
        <f>Calcs!Z228</f>
        <v>0</v>
      </c>
      <c r="U24" s="96">
        <f>Calcs!AA228</f>
        <v>0</v>
      </c>
      <c r="V24" s="96">
        <f>Calcs!AB228</f>
        <v>0</v>
      </c>
      <c r="W24" s="96">
        <f>Calcs!AC228</f>
        <v>0</v>
      </c>
      <c r="X24" s="96">
        <f>Calcs!AD228</f>
        <v>0</v>
      </c>
      <c r="Y24" s="96">
        <f>Calcs!AE228</f>
        <v>0</v>
      </c>
      <c r="Z24" s="96">
        <f>Calcs!AF228</f>
        <v>0</v>
      </c>
      <c r="AA24" s="96">
        <f>Calcs!AG228</f>
        <v>0</v>
      </c>
      <c r="AB24" s="96">
        <f>Calcs!AH228</f>
        <v>0</v>
      </c>
      <c r="AC24" s="96">
        <f>Calcs!AI228</f>
        <v>0</v>
      </c>
      <c r="AD24" s="96">
        <f>SUM(R24:AC24)</f>
        <v>0</v>
      </c>
      <c r="AE24" s="96">
        <f>Calcs!AJ228</f>
        <v>0</v>
      </c>
      <c r="AF24" s="96">
        <f>Calcs!AK228</f>
        <v>0</v>
      </c>
      <c r="AG24" s="96">
        <f>Calcs!AL228</f>
        <v>0</v>
      </c>
      <c r="AH24" s="96">
        <f>Calcs!AM228</f>
        <v>0</v>
      </c>
      <c r="AI24" s="96">
        <f>Calcs!AN228</f>
        <v>0</v>
      </c>
      <c r="AJ24" s="96">
        <f>Calcs!AO228</f>
        <v>0</v>
      </c>
      <c r="AK24" s="96">
        <f>Calcs!AP228</f>
        <v>0</v>
      </c>
      <c r="AL24" s="96">
        <f>Calcs!AQ228</f>
        <v>0</v>
      </c>
      <c r="AM24" s="96">
        <f>Calcs!AR228</f>
        <v>0</v>
      </c>
      <c r="AN24" s="96">
        <f>Calcs!AS228</f>
        <v>0</v>
      </c>
      <c r="AO24" s="96">
        <f>Calcs!AT228</f>
        <v>0</v>
      </c>
      <c r="AP24" s="96">
        <f>Calcs!AU228</f>
        <v>0</v>
      </c>
      <c r="AQ24" s="96">
        <f>SUM(AE24:AP24)</f>
        <v>0</v>
      </c>
      <c r="AR24" s="96">
        <f>Calcs!AV228</f>
        <v>0</v>
      </c>
      <c r="AS24" s="96">
        <f>Calcs!AW228</f>
        <v>0</v>
      </c>
      <c r="AT24" s="96">
        <f>Calcs!AX228</f>
        <v>0</v>
      </c>
      <c r="AU24" s="96">
        <f>Calcs!AY228</f>
        <v>0</v>
      </c>
      <c r="AV24" s="96">
        <f>Calcs!AZ228</f>
        <v>0</v>
      </c>
      <c r="AW24" s="96">
        <f>Calcs!BA228</f>
        <v>0</v>
      </c>
      <c r="AX24" s="96">
        <f>Calcs!BB228</f>
        <v>0</v>
      </c>
      <c r="AY24" s="96">
        <f>Calcs!BC228</f>
        <v>0</v>
      </c>
      <c r="AZ24" s="96">
        <f>Calcs!BD228</f>
        <v>0</v>
      </c>
      <c r="BA24" s="96">
        <f>Calcs!BE228</f>
        <v>0</v>
      </c>
      <c r="BB24" s="96">
        <f>Calcs!BF228</f>
        <v>0</v>
      </c>
      <c r="BC24" s="96">
        <f>Calcs!BG228</f>
        <v>0</v>
      </c>
      <c r="BD24" s="96">
        <f>SUM(AR24:BC24)</f>
        <v>0</v>
      </c>
      <c r="BE24" s="96">
        <f>Calcs!BH228</f>
        <v>0</v>
      </c>
      <c r="BF24" s="96">
        <f>Calcs!BI228</f>
        <v>0</v>
      </c>
      <c r="BG24" s="96">
        <f>Calcs!BJ228</f>
        <v>0</v>
      </c>
      <c r="BH24" s="96">
        <f>Calcs!BK228</f>
        <v>0</v>
      </c>
      <c r="BI24" s="96">
        <f>Calcs!BL228</f>
        <v>0</v>
      </c>
      <c r="BJ24" s="96">
        <f>Calcs!BM228</f>
        <v>0</v>
      </c>
      <c r="BK24" s="96">
        <f>Calcs!BN228</f>
        <v>0</v>
      </c>
      <c r="BL24" s="96">
        <f>Calcs!BO228</f>
        <v>0</v>
      </c>
      <c r="BM24" s="96">
        <f>Calcs!BP228</f>
        <v>0</v>
      </c>
      <c r="BN24" s="96">
        <f>Calcs!BQ228</f>
        <v>0</v>
      </c>
      <c r="BO24" s="96">
        <f>Calcs!BR228</f>
        <v>0</v>
      </c>
      <c r="BP24" s="96">
        <f>Calcs!BS228</f>
        <v>0</v>
      </c>
      <c r="BQ24" s="96">
        <f>SUM(BE24:BP24)</f>
        <v>0</v>
      </c>
      <c r="BR24" s="1569"/>
      <c r="BS24" s="153">
        <f>SUM(BQ24,BD24,AQ24,AD24,Q24)</f>
        <v>0</v>
      </c>
      <c r="BT24" s="1569"/>
      <c r="BU24" s="113">
        <f>SUM(BQ24,BD24,AQ24,AD24,Q24)</f>
      </c>
      <c r="BV24" s="152" t="s">
        <v>282</v>
      </c>
      <c r="BW24" s="96">
        <f>SUM(Financials!E24:'Financials'!G24)</f>
        <v>0</v>
      </c>
      <c r="BX24" s="96">
        <f>SUM(Financials!H24:'Financials'!J24)</f>
        <v>0</v>
      </c>
      <c r="BY24" s="96">
        <f>SUM(Financials!K24:'Financials'!M24)</f>
        <v>0</v>
      </c>
      <c r="BZ24" s="96">
        <f>SUM(Financials!N24:'Financials'!P24)</f>
        <v>0</v>
      </c>
      <c r="CA24" s="96">
        <f>SUM(Financials!R24:'Financials'!T24)</f>
        <v>0</v>
      </c>
      <c r="CB24" s="96">
        <f>SUM(Financials!U24:'Financials'!W24)</f>
        <v>0</v>
      </c>
      <c r="CC24" s="96">
        <f>SUM(Financials!X24:'Financials'!Z24)</f>
        <v>0</v>
      </c>
      <c r="CD24" s="96">
        <f>SUM(Financials!AA24:'Financials'!AC24)</f>
        <v>0</v>
      </c>
      <c r="CE24" s="96">
        <f>SUM(Financials!AE24:'Financials'!AG24)</f>
        <v>0</v>
      </c>
      <c r="CF24" s="96">
        <f>SUM(Financials!AH24:'Financials'!AJ24)</f>
        <v>0</v>
      </c>
      <c r="CG24" s="96">
        <f>SUM(Financials!AK24:'Financials'!AM24)</f>
        <v>0</v>
      </c>
      <c r="CH24" s="96">
        <f>SUM(Financials!AN24:'Financials'!AP24)</f>
        <v>0</v>
      </c>
      <c r="CI24" s="96">
        <f>SUM(Financials!AR24:'Financials'!AT24)</f>
        <v>0</v>
      </c>
      <c r="CJ24" s="96">
        <f>SUM(Financials!AU24:'Financials'!AW24)</f>
        <v>0</v>
      </c>
      <c r="CK24" s="96">
        <f>SUM(Financials!AX24:'Financials'!AZ24)</f>
        <v>0</v>
      </c>
      <c r="CL24" s="96">
        <f>SUM(Financials!BA24:'Financials'!BC24)</f>
        <v>0</v>
      </c>
      <c r="CM24" s="96">
        <f>SUM(Financials!BE24:'Financials'!BG24)</f>
        <v>0</v>
      </c>
      <c r="CN24" s="96">
        <f>SUM(Financials!BH24:'Financials'!BJ24)</f>
        <v>0</v>
      </c>
      <c r="CO24" s="96">
        <f>SUM(Financials!BK24:'Financials'!BM24)</f>
        <v>0</v>
      </c>
      <c r="CP24" s="96">
        <f>SUM(Financials!BN24:'Financials'!BP24)</f>
        <v>0</v>
      </c>
      <c r="CW24" s="179"/>
      <c r="CX24" s="179"/>
      <c r="CY24" s="305"/>
      <c r="CZ24" s="305"/>
      <c r="DA24" s="305"/>
      <c r="DB24" s="305"/>
      <c r="DC24" s="305"/>
      <c r="DD24" s="305"/>
      <c r="DE24" s="305"/>
      <c r="DF24" s="305"/>
      <c r="DG24" s="305"/>
      <c r="DH24" s="305"/>
      <c r="DI24" s="305"/>
      <c r="DJ24" s="305"/>
      <c r="DK24" s="305"/>
      <c r="DL24" s="305"/>
      <c r="DM24" s="305"/>
      <c r="DN24" s="305"/>
      <c r="DO24" s="305"/>
      <c r="DP24" s="305"/>
      <c r="DQ24" s="305"/>
      <c r="DR24" s="305"/>
      <c r="DS24" s="305"/>
      <c r="DT24" s="305"/>
      <c r="DU24" s="305"/>
      <c r="DV24" s="305"/>
      <c r="DW24" s="305"/>
      <c r="DX24" s="305"/>
      <c r="DY24" s="305"/>
      <c r="DZ24" s="305"/>
      <c r="EA24" s="305"/>
      <c r="EB24" s="305"/>
      <c r="EC24" s="305"/>
      <c r="ED24" s="305"/>
      <c r="EE24" s="305"/>
      <c r="EF24" s="305"/>
      <c r="EG24" s="305"/>
      <c r="EH24" s="305"/>
      <c r="EI24" s="305"/>
      <c r="EJ24" s="305"/>
      <c r="EK24" s="305"/>
      <c r="EL24" s="305"/>
      <c r="EM24" s="305"/>
      <c r="EN24" s="305"/>
      <c r="EO24" s="305"/>
      <c r="EP24" s="305"/>
      <c r="EQ24" s="305"/>
      <c r="ER24" s="305"/>
      <c r="ES24" s="305"/>
      <c r="ET24" s="305"/>
      <c r="EU24" s="305"/>
      <c r="EV24" s="305"/>
      <c r="EW24" s="305"/>
      <c r="EX24" s="305"/>
      <c r="EY24" s="305"/>
      <c r="EZ24" s="305"/>
      <c r="FA24" s="305"/>
      <c r="FB24" s="305"/>
      <c r="FC24" s="305"/>
      <c r="FD24" s="305"/>
      <c r="FE24" s="305"/>
      <c r="FF24" s="305"/>
      <c r="FG24" s="305"/>
      <c r="FH24" s="305"/>
      <c r="FI24" s="305"/>
      <c r="FJ24" s="305"/>
    </row>
    <row r="25" spans="1:166" ht="12.65" customHeight="1" x14ac:dyDescent="0.35" hidden="1">
      <c r="A25" s="165"/>
      <c r="B25" s="150"/>
      <c r="C25" s="53"/>
      <c r="D25" s="152" t="str">
        <f>Calcs!K229</f>
        <v>Item 19</v>
      </c>
      <c r="E25" s="96">
        <f>Calcs!L229</f>
        <v>0</v>
      </c>
      <c r="F25" s="96">
        <f>Calcs!M229</f>
        <v>0</v>
      </c>
      <c r="G25" s="96">
        <f>Calcs!N229</f>
        <v>0</v>
      </c>
      <c r="H25" s="96">
        <f>Calcs!O229</f>
        <v>0</v>
      </c>
      <c r="I25" s="96">
        <f>Calcs!P229</f>
        <v>0</v>
      </c>
      <c r="J25" s="96">
        <f>Calcs!Q229</f>
        <v>0</v>
      </c>
      <c r="K25" s="96">
        <f>Calcs!R229</f>
        <v>0</v>
      </c>
      <c r="L25" s="96">
        <f>Calcs!S229</f>
        <v>0</v>
      </c>
      <c r="M25" s="96">
        <f>Calcs!T229</f>
        <v>0</v>
      </c>
      <c r="N25" s="96">
        <f>Calcs!U229</f>
        <v>0</v>
      </c>
      <c r="O25" s="96">
        <f>Calcs!V229</f>
        <v>0</v>
      </c>
      <c r="P25" s="96">
        <f>Calcs!W229</f>
        <v>0</v>
      </c>
      <c r="Q25" s="96">
        <f>SUM(E25:P25)</f>
        <v>0</v>
      </c>
      <c r="R25" s="96">
        <f>Calcs!X229</f>
        <v>0</v>
      </c>
      <c r="S25" s="96">
        <f>Calcs!Y229</f>
        <v>0</v>
      </c>
      <c r="T25" s="96">
        <f>Calcs!Z229</f>
        <v>0</v>
      </c>
      <c r="U25" s="96">
        <f>Calcs!AA229</f>
        <v>0</v>
      </c>
      <c r="V25" s="96">
        <f>Calcs!AB229</f>
        <v>0</v>
      </c>
      <c r="W25" s="96">
        <f>Calcs!AC229</f>
        <v>0</v>
      </c>
      <c r="X25" s="96">
        <f>Calcs!AD229</f>
        <v>0</v>
      </c>
      <c r="Y25" s="96">
        <f>Calcs!AE229</f>
        <v>0</v>
      </c>
      <c r="Z25" s="96">
        <f>Calcs!AF229</f>
        <v>0</v>
      </c>
      <c r="AA25" s="96">
        <f>Calcs!AG229</f>
        <v>0</v>
      </c>
      <c r="AB25" s="96">
        <f>Calcs!AH229</f>
        <v>0</v>
      </c>
      <c r="AC25" s="96">
        <f>Calcs!AI229</f>
        <v>0</v>
      </c>
      <c r="AD25" s="96">
        <f>SUM(R25:AC25)</f>
        <v>0</v>
      </c>
      <c r="AE25" s="96">
        <f>Calcs!AJ229</f>
        <v>0</v>
      </c>
      <c r="AF25" s="96">
        <f>Calcs!AK229</f>
        <v>0</v>
      </c>
      <c r="AG25" s="96">
        <f>Calcs!AL229</f>
        <v>0</v>
      </c>
      <c r="AH25" s="96">
        <f>Calcs!AM229</f>
        <v>0</v>
      </c>
      <c r="AI25" s="96">
        <f>Calcs!AN229</f>
        <v>0</v>
      </c>
      <c r="AJ25" s="96">
        <f>Calcs!AO229</f>
        <v>0</v>
      </c>
      <c r="AK25" s="96">
        <f>Calcs!AP229</f>
        <v>0</v>
      </c>
      <c r="AL25" s="96">
        <f>Calcs!AQ229</f>
        <v>0</v>
      </c>
      <c r="AM25" s="96">
        <f>Calcs!AR229</f>
        <v>0</v>
      </c>
      <c r="AN25" s="96">
        <f>Calcs!AS229</f>
        <v>0</v>
      </c>
      <c r="AO25" s="96">
        <f>Calcs!AT229</f>
        <v>0</v>
      </c>
      <c r="AP25" s="96">
        <f>Calcs!AU229</f>
        <v>0</v>
      </c>
      <c r="AQ25" s="96">
        <f>SUM(AE25:AP25)</f>
        <v>0</v>
      </c>
      <c r="AR25" s="96">
        <f>Calcs!AV229</f>
        <v>0</v>
      </c>
      <c r="AS25" s="96">
        <f>Calcs!AW229</f>
        <v>0</v>
      </c>
      <c r="AT25" s="96">
        <f>Calcs!AX229</f>
        <v>0</v>
      </c>
      <c r="AU25" s="96">
        <f>Calcs!AY229</f>
        <v>0</v>
      </c>
      <c r="AV25" s="96">
        <f>Calcs!AZ229</f>
        <v>0</v>
      </c>
      <c r="AW25" s="96">
        <f>Calcs!BA229</f>
        <v>0</v>
      </c>
      <c r="AX25" s="96">
        <f>Calcs!BB229</f>
        <v>0</v>
      </c>
      <c r="AY25" s="96">
        <f>Calcs!BC229</f>
        <v>0</v>
      </c>
      <c r="AZ25" s="96">
        <f>Calcs!BD229</f>
        <v>0</v>
      </c>
      <c r="BA25" s="96">
        <f>Calcs!BE229</f>
        <v>0</v>
      </c>
      <c r="BB25" s="96">
        <f>Calcs!BF229</f>
        <v>0</v>
      </c>
      <c r="BC25" s="96">
        <f>Calcs!BG229</f>
        <v>0</v>
      </c>
      <c r="BD25" s="96">
        <f>SUM(AR25:BC25)</f>
        <v>0</v>
      </c>
      <c r="BE25" s="96">
        <f>Calcs!BH229</f>
        <v>0</v>
      </c>
      <c r="BF25" s="96">
        <f>Calcs!BI229</f>
        <v>0</v>
      </c>
      <c r="BG25" s="96">
        <f>Calcs!BJ229</f>
        <v>0</v>
      </c>
      <c r="BH25" s="96">
        <f>Calcs!BK229</f>
        <v>0</v>
      </c>
      <c r="BI25" s="96">
        <f>Calcs!BL229</f>
        <v>0</v>
      </c>
      <c r="BJ25" s="96">
        <f>Calcs!BM229</f>
        <v>0</v>
      </c>
      <c r="BK25" s="96">
        <f>Calcs!BN229</f>
        <v>0</v>
      </c>
      <c r="BL25" s="96">
        <f>Calcs!BO229</f>
        <v>0</v>
      </c>
      <c r="BM25" s="96">
        <f>Calcs!BP229</f>
        <v>0</v>
      </c>
      <c r="BN25" s="96">
        <f>Calcs!BQ229</f>
        <v>0</v>
      </c>
      <c r="BO25" s="96">
        <f>Calcs!BR229</f>
        <v>0</v>
      </c>
      <c r="BP25" s="96">
        <f>Calcs!BS229</f>
        <v>0</v>
      </c>
      <c r="BQ25" s="96">
        <f>SUM(BE25:BP25)</f>
        <v>0</v>
      </c>
      <c r="BR25" s="1569"/>
      <c r="BS25" s="153">
        <f>SUM(BQ25,BD25,AQ25,AD25,Q25)</f>
        <v>0</v>
      </c>
      <c r="BT25" s="1569"/>
      <c r="BU25" s="113">
        <f>SUM(BQ25,BD25,AQ25,AD25,Q25)</f>
        <v>0</v>
      </c>
      <c r="BV25" s="152" t="str">
        <f>D25</f>
        <v>Item 19</v>
      </c>
      <c r="BW25" s="96">
        <f>SUM(Financials!E25:'Financials'!G25)</f>
        <v>0</v>
      </c>
      <c r="BX25" s="96">
        <f>SUM(Financials!H25:'Financials'!J25)</f>
        <v>0</v>
      </c>
      <c r="BY25" s="96">
        <f>SUM(Financials!K25:'Financials'!M25)</f>
        <v>0</v>
      </c>
      <c r="BZ25" s="96">
        <f>SUM(Financials!N25:'Financials'!P25)</f>
        <v>0</v>
      </c>
      <c r="CA25" s="119">
        <f>SUM(Financials!R25:'Financials'!T25)</f>
        <v>0</v>
      </c>
      <c r="CB25" s="119">
        <f>SUM(Financials!U25:'Financials'!W25)</f>
        <v>0</v>
      </c>
      <c r="CC25" s="119">
        <f>SUM(Financials!X25:'Financials'!Z25)</f>
        <v>0</v>
      </c>
      <c r="CD25" s="119">
        <f>SUM(Financials!AA25:'Financials'!AC25)</f>
        <v>0</v>
      </c>
      <c r="CE25" s="119">
        <f>SUM(Financials!AE25:'Financials'!AG25)</f>
        <v>0</v>
      </c>
      <c r="CF25" s="119">
        <f>SUM(Financials!AH25:'Financials'!AJ25)</f>
        <v>0</v>
      </c>
      <c r="CG25" s="119">
        <f>SUM(Financials!AK25:'Financials'!AM25)</f>
        <v>0</v>
      </c>
      <c r="CH25" s="119">
        <f>SUM(Financials!AN25:'Financials'!AP25)</f>
        <v>0</v>
      </c>
      <c r="CI25" s="119">
        <f>SUM(Financials!AR25:'Financials'!AT25)</f>
        <v>0</v>
      </c>
      <c r="CJ25" s="119">
        <f>SUM(Financials!AU25:'Financials'!AW25)</f>
        <v>0</v>
      </c>
      <c r="CK25" s="119">
        <f>SUM(Financials!AX25:'Financials'!AZ25)</f>
        <v>0</v>
      </c>
      <c r="CL25" s="119">
        <f>SUM(Financials!BA25:'Financials'!BC25)</f>
        <v>0</v>
      </c>
      <c r="CM25" s="119">
        <f>SUM(Financials!BE25:'Financials'!BG25)</f>
        <v>0</v>
      </c>
      <c r="CN25" s="119">
        <f>SUM(Financials!BH25:'Financials'!BJ25)</f>
        <v>0</v>
      </c>
      <c r="CO25" s="119">
        <f>SUM(Financials!BK25:'Financials'!BM25)</f>
        <v>0</v>
      </c>
      <c r="CP25" s="119">
        <f>SUM(Financials!BN25:'Financials'!BP25)</f>
        <v>0</v>
      </c>
      <c r="CW25" s="179"/>
      <c r="CX25" s="179"/>
      <c r="CY25" s="305"/>
      <c r="CZ25" s="305"/>
      <c r="DA25" s="305"/>
      <c r="DB25" s="305"/>
      <c r="DC25" s="305"/>
      <c r="DD25" s="305"/>
      <c r="DE25" s="305"/>
      <c r="DF25" s="305"/>
      <c r="DG25" s="305"/>
      <c r="DH25" s="305"/>
      <c r="DI25" s="305"/>
      <c r="DJ25" s="305"/>
      <c r="DK25" s="305"/>
      <c r="DL25" s="305"/>
      <c r="DM25" s="305"/>
      <c r="DN25" s="305"/>
      <c r="DO25" s="305"/>
      <c r="DP25" s="305"/>
      <c r="DQ25" s="305"/>
      <c r="DR25" s="305"/>
      <c r="DS25" s="305"/>
      <c r="DT25" s="305"/>
      <c r="DU25" s="305"/>
      <c r="DV25" s="305"/>
      <c r="DW25" s="305"/>
      <c r="DX25" s="305"/>
      <c r="DY25" s="305"/>
      <c r="DZ25" s="305"/>
      <c r="EA25" s="305"/>
      <c r="EB25" s="305"/>
      <c r="EC25" s="305"/>
      <c r="ED25" s="305"/>
      <c r="EE25" s="305"/>
      <c r="EF25" s="305"/>
      <c r="EG25" s="305"/>
      <c r="EH25" s="305"/>
      <c r="EI25" s="305"/>
      <c r="EJ25" s="305"/>
      <c r="EK25" s="305"/>
      <c r="EL25" s="305"/>
      <c r="EM25" s="305"/>
      <c r="EN25" s="305"/>
      <c r="EO25" s="305"/>
      <c r="EP25" s="305"/>
      <c r="EQ25" s="305"/>
      <c r="ER25" s="305"/>
      <c r="ES25" s="305"/>
      <c r="ET25" s="305"/>
      <c r="EU25" s="305"/>
      <c r="EV25" s="305"/>
      <c r="EW25" s="305"/>
      <c r="EX25" s="305"/>
      <c r="EY25" s="305"/>
      <c r="EZ25" s="305"/>
      <c r="FA25" s="305"/>
      <c r="FB25" s="305"/>
      <c r="FC25" s="305"/>
      <c r="FD25" s="305"/>
      <c r="FE25" s="305"/>
      <c r="FF25" s="305"/>
      <c r="FG25" s="305"/>
      <c r="FH25" s="305"/>
      <c r="FI25" s="305"/>
      <c r="FJ25" s="305"/>
    </row>
    <row r="26" spans="1:166" ht="12.65" customHeight="1" x14ac:dyDescent="0.35" hidden="1">
      <c r="A26" s="165"/>
      <c r="B26" s="150"/>
      <c r="C26" s="53"/>
      <c r="D26" s="152" t="str">
        <f>Calcs!K230</f>
        <v>Item 20</v>
      </c>
      <c r="E26" s="96">
        <f>Calcs!L230</f>
        <v>0</v>
      </c>
      <c r="F26" s="96">
        <f>Calcs!M230</f>
        <v>0</v>
      </c>
      <c r="G26" s="96">
        <f>Calcs!N230</f>
        <v>0</v>
      </c>
      <c r="H26" s="96">
        <f>Calcs!O230</f>
        <v>0</v>
      </c>
      <c r="I26" s="96">
        <f>Calcs!P230</f>
        <v>0</v>
      </c>
      <c r="J26" s="96">
        <f>Calcs!Q230</f>
        <v>0</v>
      </c>
      <c r="K26" s="96">
        <f>Calcs!R230</f>
        <v>0</v>
      </c>
      <c r="L26" s="96">
        <f>Calcs!S230</f>
        <v>0</v>
      </c>
      <c r="M26" s="96">
        <f>Calcs!T230</f>
        <v>0</v>
      </c>
      <c r="N26" s="96">
        <f>Calcs!U230</f>
        <v>0</v>
      </c>
      <c r="O26" s="96">
        <f>Calcs!V230</f>
        <v>0</v>
      </c>
      <c r="P26" s="96">
        <f>Calcs!W230</f>
        <v>0</v>
      </c>
      <c r="Q26" s="96">
        <f>SUM(E26:P26)</f>
        <v>0</v>
      </c>
      <c r="R26" s="96">
        <f>Calcs!X230</f>
        <v>0</v>
      </c>
      <c r="S26" s="96">
        <f>Calcs!Y230</f>
        <v>0</v>
      </c>
      <c r="T26" s="96">
        <f>Calcs!Z230</f>
        <v>0</v>
      </c>
      <c r="U26" s="96">
        <f>Calcs!AA230</f>
        <v>0</v>
      </c>
      <c r="V26" s="96">
        <f>Calcs!AB230</f>
        <v>0</v>
      </c>
      <c r="W26" s="96">
        <f>Calcs!AC230</f>
        <v>0</v>
      </c>
      <c r="X26" s="96">
        <f>Calcs!AD230</f>
        <v>0</v>
      </c>
      <c r="Y26" s="96">
        <f>Calcs!AE230</f>
        <v>0</v>
      </c>
      <c r="Z26" s="96">
        <f>Calcs!AF230</f>
        <v>0</v>
      </c>
      <c r="AA26" s="96">
        <f>Calcs!AG230</f>
        <v>0</v>
      </c>
      <c r="AB26" s="96">
        <f>Calcs!AH230</f>
        <v>0</v>
      </c>
      <c r="AC26" s="96">
        <f>Calcs!AI230</f>
        <v>0</v>
      </c>
      <c r="AD26" s="96">
        <f>SUM(R26:AC26)</f>
        <v>0</v>
      </c>
      <c r="AE26" s="96">
        <f>Calcs!AJ230</f>
        <v>0</v>
      </c>
      <c r="AF26" s="96">
        <f>Calcs!AK230</f>
        <v>0</v>
      </c>
      <c r="AG26" s="96">
        <f>Calcs!AL230</f>
        <v>0</v>
      </c>
      <c r="AH26" s="96">
        <f>Calcs!AM230</f>
        <v>0</v>
      </c>
      <c r="AI26" s="96">
        <f>Calcs!AN230</f>
        <v>0</v>
      </c>
      <c r="AJ26" s="96">
        <f>Calcs!AO230</f>
        <v>0</v>
      </c>
      <c r="AK26" s="96">
        <f>Calcs!AP230</f>
        <v>0</v>
      </c>
      <c r="AL26" s="96">
        <f>Calcs!AQ230</f>
        <v>0</v>
      </c>
      <c r="AM26" s="96">
        <f>Calcs!AR230</f>
        <v>0</v>
      </c>
      <c r="AN26" s="96">
        <f>Calcs!AS230</f>
        <v>0</v>
      </c>
      <c r="AO26" s="96">
        <f>Calcs!AT230</f>
        <v>0</v>
      </c>
      <c r="AP26" s="96">
        <f>Calcs!AU230</f>
        <v>0</v>
      </c>
      <c r="AQ26" s="96">
        <f>SUM(AE26:AP26)</f>
        <v>0</v>
      </c>
      <c r="AR26" s="96">
        <f>Calcs!AV230</f>
        <v>0</v>
      </c>
      <c r="AS26" s="96">
        <f>Calcs!AW230</f>
        <v>0</v>
      </c>
      <c r="AT26" s="96">
        <f>Calcs!AX230</f>
        <v>0</v>
      </c>
      <c r="AU26" s="96">
        <f>Calcs!AY230</f>
        <v>0</v>
      </c>
      <c r="AV26" s="96">
        <f>Calcs!AZ230</f>
        <v>0</v>
      </c>
      <c r="AW26" s="96">
        <f>Calcs!BA230</f>
        <v>0</v>
      </c>
      <c r="AX26" s="96">
        <f>Calcs!BB230</f>
        <v>0</v>
      </c>
      <c r="AY26" s="96">
        <f>Calcs!BC230</f>
        <v>0</v>
      </c>
      <c r="AZ26" s="96">
        <f>Calcs!BD230</f>
        <v>0</v>
      </c>
      <c r="BA26" s="96">
        <f>Calcs!BE230</f>
        <v>0</v>
      </c>
      <c r="BB26" s="96">
        <f>Calcs!BF230</f>
        <v>0</v>
      </c>
      <c r="BC26" s="96">
        <f>Calcs!BG230</f>
        <v>0</v>
      </c>
      <c r="BD26" s="96">
        <f>SUM(AR26:BC26)</f>
        <v>0</v>
      </c>
      <c r="BE26" s="96">
        <f>Calcs!BH230</f>
        <v>0</v>
      </c>
      <c r="BF26" s="96">
        <f>Calcs!BI230</f>
        <v>0</v>
      </c>
      <c r="BG26" s="96">
        <f>Calcs!BJ230</f>
        <v>0</v>
      </c>
      <c r="BH26" s="96">
        <f>Calcs!BK230</f>
        <v>0</v>
      </c>
      <c r="BI26" s="96">
        <f>Calcs!BL230</f>
        <v>0</v>
      </c>
      <c r="BJ26" s="96">
        <f>Calcs!BM230</f>
        <v>0</v>
      </c>
      <c r="BK26" s="96">
        <f>Calcs!BN230</f>
        <v>0</v>
      </c>
      <c r="BL26" s="96">
        <f>Calcs!BO230</f>
        <v>0</v>
      </c>
      <c r="BM26" s="96">
        <f>Calcs!BP230</f>
        <v>0</v>
      </c>
      <c r="BN26" s="96">
        <f>Calcs!BQ230</f>
        <v>0</v>
      </c>
      <c r="BO26" s="96">
        <f>Calcs!BR230</f>
        <v>0</v>
      </c>
      <c r="BP26" s="96">
        <f>Calcs!BS230</f>
        <v>0</v>
      </c>
      <c r="BQ26" s="96">
        <f>SUM(BE26:BP26)</f>
        <v>0</v>
      </c>
      <c r="BR26" s="1569"/>
      <c r="BS26" s="153">
        <f>SUM(BQ26,BD26,AQ26,AD26,Q26)</f>
        <v>0</v>
      </c>
      <c r="BT26" s="1569"/>
      <c r="BU26" s="113">
        <f>SUM(BQ26,BD26,AQ26,AD26,Q26)</f>
      </c>
      <c r="BV26" s="152"/>
      <c r="BW26" s="96"/>
      <c r="BX26" s="96"/>
      <c r="BY26" s="96"/>
      <c r="BZ26" s="96"/>
      <c r="CA26" s="96"/>
      <c r="CB26" s="96"/>
      <c r="CC26" s="96"/>
      <c r="CD26" s="96"/>
      <c r="CE26" s="96"/>
      <c r="CF26" s="96"/>
      <c r="CG26" s="96"/>
      <c r="CH26" s="96"/>
      <c r="CI26" s="96"/>
      <c r="CJ26" s="96"/>
      <c r="CK26" s="96"/>
      <c r="CL26" s="96"/>
      <c r="CM26" s="96"/>
      <c r="CN26" s="96"/>
      <c r="CO26" s="96"/>
      <c r="CP26" s="96"/>
      <c r="CW26" s="179"/>
      <c r="CX26" s="179"/>
      <c r="CY26" s="305"/>
      <c r="CZ26" s="305"/>
      <c r="DA26" s="305"/>
      <c r="DB26" s="305"/>
      <c r="DC26" s="305"/>
      <c r="DD26" s="305"/>
      <c r="DE26" s="305"/>
      <c r="DF26" s="305"/>
      <c r="DG26" s="305"/>
      <c r="DH26" s="305"/>
      <c r="DI26" s="305"/>
      <c r="DJ26" s="305"/>
      <c r="DK26" s="305"/>
      <c r="DL26" s="305"/>
      <c r="DM26" s="305"/>
      <c r="DN26" s="305"/>
      <c r="DO26" s="305"/>
      <c r="DP26" s="305"/>
      <c r="DQ26" s="305"/>
      <c r="DR26" s="305"/>
      <c r="DS26" s="305"/>
      <c r="DT26" s="305"/>
      <c r="DU26" s="305"/>
      <c r="DV26" s="305"/>
      <c r="DW26" s="305"/>
      <c r="DX26" s="305"/>
      <c r="DY26" s="305"/>
      <c r="DZ26" s="305"/>
      <c r="EA26" s="305"/>
      <c r="EB26" s="305"/>
      <c r="EC26" s="305"/>
      <c r="ED26" s="305"/>
      <c r="EE26" s="305"/>
      <c r="EF26" s="305"/>
      <c r="EG26" s="305"/>
      <c r="EH26" s="305"/>
      <c r="EI26" s="305"/>
      <c r="EJ26" s="305"/>
      <c r="EK26" s="305"/>
      <c r="EL26" s="305"/>
      <c r="EM26" s="305"/>
      <c r="EN26" s="305"/>
      <c r="EO26" s="305"/>
      <c r="EP26" s="305"/>
      <c r="EQ26" s="305"/>
      <c r="ER26" s="305"/>
      <c r="ES26" s="305"/>
      <c r="ET26" s="305"/>
      <c r="EU26" s="305"/>
      <c r="EV26" s="305"/>
      <c r="EW26" s="305"/>
      <c r="EX26" s="305"/>
      <c r="EY26" s="305"/>
      <c r="EZ26" s="305"/>
      <c r="FA26" s="305"/>
      <c r="FB26" s="305"/>
      <c r="FC26" s="305"/>
      <c r="FD26" s="305"/>
      <c r="FE26" s="305"/>
      <c r="FF26" s="305"/>
      <c r="FG26" s="305"/>
      <c r="FH26" s="305"/>
      <c r="FI26" s="305"/>
      <c r="FJ26" s="305"/>
    </row>
    <row r="27" spans="1:166" ht="12.65" customHeight="1" x14ac:dyDescent="0.35" hidden="1">
      <c r="A27" s="165"/>
      <c r="B27" s="150"/>
      <c r="C27" s="53"/>
      <c r="D27" s="152" t="str">
        <f>Calcs!K231</f>
        <v>Item 21</v>
      </c>
      <c r="E27" s="96">
        <f>Calcs!L231</f>
        <v>0</v>
      </c>
      <c r="F27" s="96">
        <f>Calcs!M231</f>
        <v>0</v>
      </c>
      <c r="G27" s="96">
        <f>Calcs!N231</f>
        <v>0</v>
      </c>
      <c r="H27" s="96">
        <f>Calcs!O231</f>
        <v>0</v>
      </c>
      <c r="I27" s="96">
        <f>Calcs!P231</f>
        <v>0</v>
      </c>
      <c r="J27" s="96">
        <f>Calcs!Q231</f>
        <v>0</v>
      </c>
      <c r="K27" s="96">
        <f>Calcs!R231</f>
        <v>0</v>
      </c>
      <c r="L27" s="96">
        <f>Calcs!S231</f>
        <v>0</v>
      </c>
      <c r="M27" s="96">
        <f>Calcs!T231</f>
        <v>0</v>
      </c>
      <c r="N27" s="96">
        <f>Calcs!U231</f>
        <v>0</v>
      </c>
      <c r="O27" s="96">
        <f>Calcs!V231</f>
        <v>0</v>
      </c>
      <c r="P27" s="96">
        <f>Calcs!W231</f>
        <v>0</v>
      </c>
      <c r="Q27" s="96">
        <f>SUM(E27:P27)</f>
        <v>0</v>
      </c>
      <c r="R27" s="96">
        <f>Calcs!X231</f>
        <v>0</v>
      </c>
      <c r="S27" s="96">
        <f>Calcs!Y231</f>
        <v>0</v>
      </c>
      <c r="T27" s="96">
        <f>Calcs!Z231</f>
        <v>0</v>
      </c>
      <c r="U27" s="96">
        <f>Calcs!AA231</f>
        <v>0</v>
      </c>
      <c r="V27" s="96">
        <f>Calcs!AB231</f>
        <v>0</v>
      </c>
      <c r="W27" s="96">
        <f>Calcs!AC231</f>
        <v>0</v>
      </c>
      <c r="X27" s="96">
        <f>Calcs!AD231</f>
        <v>0</v>
      </c>
      <c r="Y27" s="96">
        <f>Calcs!AE231</f>
        <v>0</v>
      </c>
      <c r="Z27" s="96">
        <f>Calcs!AF231</f>
        <v>0</v>
      </c>
      <c r="AA27" s="96">
        <f>Calcs!AG231</f>
        <v>0</v>
      </c>
      <c r="AB27" s="96">
        <f>Calcs!AH231</f>
        <v>0</v>
      </c>
      <c r="AC27" s="96">
        <f>Calcs!AI231</f>
        <v>0</v>
      </c>
      <c r="AD27" s="96">
        <f>SUM(R27:AC27)</f>
        <v>0</v>
      </c>
      <c r="AE27" s="96">
        <f>Calcs!AJ231</f>
        <v>0</v>
      </c>
      <c r="AF27" s="96">
        <f>Calcs!AK231</f>
        <v>0</v>
      </c>
      <c r="AG27" s="96">
        <f>Calcs!AL231</f>
        <v>0</v>
      </c>
      <c r="AH27" s="96">
        <f>Calcs!AM231</f>
        <v>0</v>
      </c>
      <c r="AI27" s="96">
        <f>Calcs!AN231</f>
        <v>0</v>
      </c>
      <c r="AJ27" s="96">
        <f>Calcs!AO231</f>
        <v>0</v>
      </c>
      <c r="AK27" s="96">
        <f>Calcs!AP231</f>
        <v>0</v>
      </c>
      <c r="AL27" s="96">
        <f>Calcs!AQ231</f>
        <v>0</v>
      </c>
      <c r="AM27" s="96">
        <f>Calcs!AR231</f>
        <v>0</v>
      </c>
      <c r="AN27" s="96">
        <f>Calcs!AS231</f>
        <v>0</v>
      </c>
      <c r="AO27" s="96">
        <f>Calcs!AT231</f>
        <v>0</v>
      </c>
      <c r="AP27" s="96">
        <f>Calcs!AU231</f>
        <v>0</v>
      </c>
      <c r="AQ27" s="96">
        <f>SUM(AE27:AP27)</f>
        <v>0</v>
      </c>
      <c r="AR27" s="96">
        <f>Calcs!AV231</f>
        <v>0</v>
      </c>
      <c r="AS27" s="96">
        <f>Calcs!AW231</f>
        <v>0</v>
      </c>
      <c r="AT27" s="96">
        <f>Calcs!AX231</f>
        <v>0</v>
      </c>
      <c r="AU27" s="96">
        <f>Calcs!AY231</f>
        <v>0</v>
      </c>
      <c r="AV27" s="96">
        <f>Calcs!AZ231</f>
        <v>0</v>
      </c>
      <c r="AW27" s="96">
        <f>Calcs!BA231</f>
        <v>0</v>
      </c>
      <c r="AX27" s="96">
        <f>Calcs!BB231</f>
        <v>0</v>
      </c>
      <c r="AY27" s="96">
        <f>Calcs!BC231</f>
        <v>0</v>
      </c>
      <c r="AZ27" s="96">
        <f>Calcs!BD231</f>
        <v>0</v>
      </c>
      <c r="BA27" s="96">
        <f>Calcs!BE231</f>
        <v>0</v>
      </c>
      <c r="BB27" s="96">
        <f>Calcs!BF231</f>
        <v>0</v>
      </c>
      <c r="BC27" s="96">
        <f>Calcs!BG231</f>
        <v>0</v>
      </c>
      <c r="BD27" s="96">
        <f>SUM(AR27:BC27)</f>
        <v>0</v>
      </c>
      <c r="BE27" s="96">
        <f>Calcs!BH231</f>
        <v>0</v>
      </c>
      <c r="BF27" s="96">
        <f>Calcs!BI231</f>
        <v>0</v>
      </c>
      <c r="BG27" s="96">
        <f>Calcs!BJ231</f>
        <v>0</v>
      </c>
      <c r="BH27" s="96">
        <f>Calcs!BK231</f>
        <v>0</v>
      </c>
      <c r="BI27" s="96">
        <f>Calcs!BL231</f>
        <v>0</v>
      </c>
      <c r="BJ27" s="96">
        <f>Calcs!BM231</f>
        <v>0</v>
      </c>
      <c r="BK27" s="96">
        <f>Calcs!BN231</f>
        <v>0</v>
      </c>
      <c r="BL27" s="96">
        <f>Calcs!BO231</f>
        <v>0</v>
      </c>
      <c r="BM27" s="96">
        <f>Calcs!BP231</f>
        <v>0</v>
      </c>
      <c r="BN27" s="96">
        <f>Calcs!BQ231</f>
        <v>0</v>
      </c>
      <c r="BO27" s="96">
        <f>Calcs!BR231</f>
        <v>0</v>
      </c>
      <c r="BP27" s="96">
        <f>Calcs!BS231</f>
        <v>0</v>
      </c>
      <c r="BQ27" s="96">
        <f>SUM(BE27:BP27)</f>
        <v>0</v>
      </c>
      <c r="BR27" s="1569"/>
      <c r="BS27" s="153">
        <f>SUM(BQ27,BD27,AQ27,AD27,Q27)</f>
        <v>0</v>
      </c>
      <c r="BT27" s="1569"/>
      <c r="BU27" s="113">
        <f>SUM(BQ27,BD27,AQ27,AD27,Q27)</f>
      </c>
      <c r="BV27" s="152"/>
      <c r="BW27" s="96"/>
      <c r="BX27" s="96"/>
      <c r="BY27" s="96"/>
      <c r="BZ27" s="96"/>
      <c r="CA27" s="96"/>
      <c r="CB27" s="96"/>
      <c r="CC27" s="96"/>
      <c r="CD27" s="96"/>
      <c r="CE27" s="96"/>
      <c r="CF27" s="96"/>
      <c r="CG27" s="96"/>
      <c r="CH27" s="96"/>
      <c r="CI27" s="96"/>
      <c r="CJ27" s="96"/>
      <c r="CK27" s="96"/>
      <c r="CL27" s="96"/>
      <c r="CM27" s="96"/>
      <c r="CN27" s="96"/>
      <c r="CO27" s="96"/>
      <c r="CP27" s="96"/>
      <c r="CW27" s="179"/>
      <c r="CX27" s="179"/>
      <c r="CY27" s="305"/>
      <c r="CZ27" s="305"/>
      <c r="DA27" s="305"/>
      <c r="DB27" s="305"/>
      <c r="DC27" s="305"/>
      <c r="DD27" s="305"/>
      <c r="DE27" s="305"/>
      <c r="DF27" s="305"/>
      <c r="DG27" s="305"/>
      <c r="DH27" s="305"/>
      <c r="DI27" s="305"/>
      <c r="DJ27" s="305"/>
      <c r="DK27" s="305"/>
      <c r="DL27" s="305"/>
      <c r="DM27" s="305"/>
      <c r="DN27" s="305"/>
      <c r="DO27" s="305"/>
      <c r="DP27" s="305"/>
      <c r="DQ27" s="305"/>
      <c r="DR27" s="305"/>
      <c r="DS27" s="305"/>
      <c r="DT27" s="305"/>
      <c r="DU27" s="305"/>
      <c r="DV27" s="305"/>
      <c r="DW27" s="305"/>
      <c r="DX27" s="305"/>
      <c r="DY27" s="305"/>
      <c r="DZ27" s="305"/>
      <c r="EA27" s="305"/>
      <c r="EB27" s="305"/>
      <c r="EC27" s="305"/>
      <c r="ED27" s="305"/>
      <c r="EE27" s="305"/>
      <c r="EF27" s="305"/>
      <c r="EG27" s="305"/>
      <c r="EH27" s="305"/>
      <c r="EI27" s="305"/>
      <c r="EJ27" s="305"/>
      <c r="EK27" s="305"/>
      <c r="EL27" s="305"/>
      <c r="EM27" s="305"/>
      <c r="EN27" s="305"/>
      <c r="EO27" s="305"/>
      <c r="EP27" s="305"/>
      <c r="EQ27" s="305"/>
      <c r="ER27" s="305"/>
      <c r="ES27" s="305"/>
      <c r="ET27" s="305"/>
      <c r="EU27" s="305"/>
      <c r="EV27" s="305"/>
      <c r="EW27" s="305"/>
      <c r="EX27" s="305"/>
      <c r="EY27" s="305"/>
      <c r="EZ27" s="305"/>
      <c r="FA27" s="305"/>
      <c r="FB27" s="305"/>
      <c r="FC27" s="305"/>
      <c r="FD27" s="305"/>
      <c r="FE27" s="305"/>
      <c r="FF27" s="305"/>
      <c r="FG27" s="305"/>
      <c r="FH27" s="305"/>
      <c r="FI27" s="305"/>
      <c r="FJ27" s="305"/>
    </row>
    <row r="28" spans="1:166" ht="12.65" hidden="1" customHeight="1" x14ac:dyDescent="0.35">
      <c r="A28" s="165"/>
      <c r="B28" s="150"/>
      <c r="C28" s="53"/>
      <c r="D28" s="152" t="str">
        <f>Calcs!K232</f>
        <v>Item 22</v>
      </c>
      <c r="E28" s="96">
        <f>Calcs!L232</f>
        <v>0</v>
      </c>
      <c r="F28" s="96">
        <f>Calcs!M232</f>
        <v>0</v>
      </c>
      <c r="G28" s="96">
        <f>Calcs!N232</f>
        <v>0</v>
      </c>
      <c r="H28" s="96">
        <f>Calcs!O232</f>
        <v>0</v>
      </c>
      <c r="I28" s="96">
        <f>Calcs!P232</f>
        <v>0</v>
      </c>
      <c r="J28" s="96">
        <f>Calcs!Q232</f>
        <v>0</v>
      </c>
      <c r="K28" s="96">
        <f>Calcs!R232</f>
        <v>0</v>
      </c>
      <c r="L28" s="96">
        <f>Calcs!S232</f>
        <v>0</v>
      </c>
      <c r="M28" s="96">
        <f>Calcs!T232</f>
        <v>0</v>
      </c>
      <c r="N28" s="96">
        <f>Calcs!U232</f>
        <v>0</v>
      </c>
      <c r="O28" s="96">
        <f>Calcs!V232</f>
        <v>0</v>
      </c>
      <c r="P28" s="96">
        <f>Calcs!W232</f>
        <v>0</v>
      </c>
      <c r="Q28" s="96">
        <f>SUM(E28:P28)</f>
        <v>0</v>
      </c>
      <c r="R28" s="96">
        <f>Calcs!X232</f>
        <v>0</v>
      </c>
      <c r="S28" s="96">
        <f>Calcs!Y232</f>
        <v>0</v>
      </c>
      <c r="T28" s="96">
        <f>Calcs!Z232</f>
        <v>0</v>
      </c>
      <c r="U28" s="96">
        <f>Calcs!AA232</f>
        <v>0</v>
      </c>
      <c r="V28" s="96">
        <f>Calcs!AB232</f>
        <v>0</v>
      </c>
      <c r="W28" s="96">
        <f>Calcs!AC232</f>
        <v>0</v>
      </c>
      <c r="X28" s="96">
        <f>Calcs!AD232</f>
        <v>0</v>
      </c>
      <c r="Y28" s="96">
        <f>Calcs!AE232</f>
        <v>0</v>
      </c>
      <c r="Z28" s="96">
        <f>Calcs!AF232</f>
        <v>0</v>
      </c>
      <c r="AA28" s="96">
        <f>Calcs!AG232</f>
        <v>0</v>
      </c>
      <c r="AB28" s="96">
        <f>Calcs!AH232</f>
        <v>0</v>
      </c>
      <c r="AC28" s="96">
        <f>Calcs!AI232</f>
        <v>0</v>
      </c>
      <c r="AD28" s="96">
        <f>SUM(R28:AC28)</f>
        <v>0</v>
      </c>
      <c r="AE28" s="96">
        <f>Calcs!AJ232</f>
        <v>0</v>
      </c>
      <c r="AF28" s="96">
        <f>Calcs!AK232</f>
        <v>0</v>
      </c>
      <c r="AG28" s="96">
        <f>Calcs!AL232</f>
        <v>0</v>
      </c>
      <c r="AH28" s="96">
        <f>Calcs!AM232</f>
        <v>0</v>
      </c>
      <c r="AI28" s="96">
        <f>Calcs!AN232</f>
        <v>0</v>
      </c>
      <c r="AJ28" s="96">
        <f>Calcs!AO232</f>
        <v>0</v>
      </c>
      <c r="AK28" s="96">
        <f>Calcs!AP232</f>
        <v>0</v>
      </c>
      <c r="AL28" s="96">
        <f>Calcs!AQ232</f>
        <v>0</v>
      </c>
      <c r="AM28" s="96">
        <f>Calcs!AR232</f>
        <v>0</v>
      </c>
      <c r="AN28" s="96">
        <f>Calcs!AS232</f>
        <v>0</v>
      </c>
      <c r="AO28" s="96">
        <f>Calcs!AT232</f>
        <v>0</v>
      </c>
      <c r="AP28" s="96">
        <f>Calcs!AU232</f>
        <v>0</v>
      </c>
      <c r="AQ28" s="96">
        <f>SUM(AE28:AP28)</f>
        <v>0</v>
      </c>
      <c r="AR28" s="96">
        <f>Calcs!AV232</f>
        <v>0</v>
      </c>
      <c r="AS28" s="96">
        <f>Calcs!AW232</f>
        <v>0</v>
      </c>
      <c r="AT28" s="96">
        <f>Calcs!AX232</f>
        <v>0</v>
      </c>
      <c r="AU28" s="96">
        <f>Calcs!AY232</f>
        <v>0</v>
      </c>
      <c r="AV28" s="96">
        <f>Calcs!AZ232</f>
        <v>0</v>
      </c>
      <c r="AW28" s="96">
        <f>Calcs!BA232</f>
        <v>0</v>
      </c>
      <c r="AX28" s="96">
        <f>Calcs!BB232</f>
        <v>0</v>
      </c>
      <c r="AY28" s="96">
        <f>Calcs!BC232</f>
        <v>0</v>
      </c>
      <c r="AZ28" s="96">
        <f>Calcs!BD232</f>
        <v>0</v>
      </c>
      <c r="BA28" s="96">
        <f>Calcs!BE232</f>
        <v>0</v>
      </c>
      <c r="BB28" s="96">
        <f>Calcs!BF232</f>
        <v>0</v>
      </c>
      <c r="BC28" s="96">
        <f>Calcs!BG232</f>
        <v>0</v>
      </c>
      <c r="BD28" s="96">
        <f>SUM(AR28:BC28)</f>
        <v>0</v>
      </c>
      <c r="BE28" s="96">
        <f>Calcs!BH232</f>
        <v>0</v>
      </c>
      <c r="BF28" s="96">
        <f>Calcs!BI232</f>
        <v>0</v>
      </c>
      <c r="BG28" s="96">
        <f>Calcs!BJ232</f>
        <v>0</v>
      </c>
      <c r="BH28" s="96">
        <f>Calcs!BK232</f>
        <v>0</v>
      </c>
      <c r="BI28" s="96">
        <f>Calcs!BL232</f>
        <v>0</v>
      </c>
      <c r="BJ28" s="96">
        <f>Calcs!BM232</f>
        <v>0</v>
      </c>
      <c r="BK28" s="96">
        <f>Calcs!BN232</f>
        <v>0</v>
      </c>
      <c r="BL28" s="96">
        <f>Calcs!BO232</f>
        <v>0</v>
      </c>
      <c r="BM28" s="96">
        <f>Calcs!BP232</f>
        <v>0</v>
      </c>
      <c r="BN28" s="96">
        <f>Calcs!BQ232</f>
        <v>0</v>
      </c>
      <c r="BO28" s="96">
        <f>Calcs!BR232</f>
        <v>0</v>
      </c>
      <c r="BP28" s="96">
        <f>Calcs!BS232</f>
        <v>0</v>
      </c>
      <c r="BQ28" s="96">
        <f>SUM(BE28:BP28)</f>
        <v>0</v>
      </c>
      <c r="BR28" s="1569"/>
      <c r="BS28" s="153">
        <f>SUM(BQ28,BD28,AQ28,AD28,Q28)</f>
        <v>0</v>
      </c>
      <c r="BT28" s="1569"/>
      <c r="BU28" s="113">
        <f>SUM(BQ28,BD28,AQ28,AD28,Q28)</f>
      </c>
      <c r="BV28" s="152"/>
      <c r="BW28" s="96"/>
      <c r="BX28" s="96"/>
      <c r="BY28" s="96"/>
      <c r="BZ28" s="96"/>
      <c r="CA28" s="96"/>
      <c r="CB28" s="96"/>
      <c r="CC28" s="96"/>
      <c r="CD28" s="96"/>
      <c r="CE28" s="96"/>
      <c r="CF28" s="96"/>
      <c r="CG28" s="96"/>
      <c r="CH28" s="96"/>
      <c r="CI28" s="96"/>
      <c r="CJ28" s="96"/>
      <c r="CK28" s="96"/>
      <c r="CL28" s="96"/>
      <c r="CM28" s="96"/>
      <c r="CN28" s="96"/>
      <c r="CO28" s="96"/>
      <c r="CP28" s="96"/>
      <c r="CW28" s="179"/>
      <c r="CX28" s="179"/>
      <c r="CY28" s="305"/>
      <c r="CZ28" s="305"/>
      <c r="DA28" s="305"/>
      <c r="DB28" s="305"/>
      <c r="DC28" s="305"/>
      <c r="DD28" s="305"/>
      <c r="DE28" s="305"/>
      <c r="DF28" s="305"/>
      <c r="DG28" s="305"/>
      <c r="DH28" s="305"/>
      <c r="DI28" s="305"/>
      <c r="DJ28" s="305"/>
      <c r="DK28" s="305"/>
      <c r="DL28" s="305"/>
      <c r="DM28" s="305"/>
      <c r="DN28" s="305"/>
      <c r="DO28" s="305"/>
      <c r="DP28" s="305"/>
      <c r="DQ28" s="305"/>
      <c r="DR28" s="305"/>
      <c r="DS28" s="305"/>
      <c r="DT28" s="305"/>
      <c r="DU28" s="305"/>
      <c r="DV28" s="305"/>
      <c r="DW28" s="305"/>
      <c r="DX28" s="305"/>
      <c r="DY28" s="305"/>
      <c r="DZ28" s="305"/>
      <c r="EA28" s="305"/>
      <c r="EB28" s="305"/>
      <c r="EC28" s="305"/>
      <c r="ED28" s="305"/>
      <c r="EE28" s="305"/>
      <c r="EF28" s="305"/>
      <c r="EG28" s="305"/>
      <c r="EH28" s="305"/>
      <c r="EI28" s="305"/>
      <c r="EJ28" s="305"/>
      <c r="EK28" s="305"/>
      <c r="EL28" s="305"/>
      <c r="EM28" s="305"/>
      <c r="EN28" s="305"/>
      <c r="EO28" s="305"/>
      <c r="EP28" s="305"/>
      <c r="EQ28" s="305"/>
      <c r="ER28" s="305"/>
      <c r="ES28" s="305"/>
      <c r="ET28" s="305"/>
      <c r="EU28" s="305"/>
      <c r="EV28" s="305"/>
      <c r="EW28" s="305"/>
      <c r="EX28" s="305"/>
      <c r="EY28" s="305"/>
      <c r="EZ28" s="305"/>
      <c r="FA28" s="305"/>
      <c r="FB28" s="305"/>
      <c r="FC28" s="305"/>
      <c r="FD28" s="305"/>
      <c r="FE28" s="305"/>
      <c r="FF28" s="305"/>
      <c r="FG28" s="305"/>
      <c r="FH28" s="305"/>
      <c r="FI28" s="305"/>
      <c r="FJ28" s="305"/>
    </row>
    <row r="29" spans="1:166" ht="12.65" hidden="1" customHeight="1" x14ac:dyDescent="0.35">
      <c r="A29" s="165"/>
      <c r="B29" s="150"/>
      <c r="C29" s="53"/>
      <c r="D29" s="152" t="str">
        <f>Calcs!K233</f>
        <v>Item 23</v>
      </c>
      <c r="E29" s="96">
        <f>Calcs!L233</f>
        <v>0</v>
      </c>
      <c r="F29" s="96">
        <f>Calcs!M233</f>
        <v>0</v>
      </c>
      <c r="G29" s="96">
        <f>Calcs!N233</f>
        <v>0</v>
      </c>
      <c r="H29" s="96">
        <f>Calcs!O233</f>
        <v>0</v>
      </c>
      <c r="I29" s="96">
        <f>Calcs!P233</f>
        <v>0</v>
      </c>
      <c r="J29" s="96">
        <f>Calcs!Q233</f>
        <v>0</v>
      </c>
      <c r="K29" s="96">
        <f>Calcs!R233</f>
        <v>0</v>
      </c>
      <c r="L29" s="96">
        <f>Calcs!S233</f>
        <v>0</v>
      </c>
      <c r="M29" s="96">
        <f>Calcs!T233</f>
        <v>0</v>
      </c>
      <c r="N29" s="96">
        <f>Calcs!U233</f>
        <v>0</v>
      </c>
      <c r="O29" s="96">
        <f>Calcs!V233</f>
        <v>0</v>
      </c>
      <c r="P29" s="96">
        <f>Calcs!W233</f>
        <v>0</v>
      </c>
      <c r="Q29" s="96">
        <f>SUM(E29:P29)</f>
        <v>0</v>
      </c>
      <c r="R29" s="96">
        <f>Calcs!X233</f>
        <v>0</v>
      </c>
      <c r="S29" s="96">
        <f>Calcs!Y233</f>
        <v>0</v>
      </c>
      <c r="T29" s="96">
        <f>Calcs!Z233</f>
        <v>0</v>
      </c>
      <c r="U29" s="96">
        <f>Calcs!AA233</f>
        <v>0</v>
      </c>
      <c r="V29" s="96">
        <f>Calcs!AB233</f>
        <v>0</v>
      </c>
      <c r="W29" s="96">
        <f>Calcs!AC233</f>
        <v>0</v>
      </c>
      <c r="X29" s="96">
        <f>Calcs!AD233</f>
        <v>0</v>
      </c>
      <c r="Y29" s="96">
        <f>Calcs!AE233</f>
        <v>0</v>
      </c>
      <c r="Z29" s="96">
        <f>Calcs!AF233</f>
        <v>0</v>
      </c>
      <c r="AA29" s="96">
        <f>Calcs!AG233</f>
        <v>0</v>
      </c>
      <c r="AB29" s="96">
        <f>Calcs!AH233</f>
        <v>0</v>
      </c>
      <c r="AC29" s="96">
        <f>Calcs!AI233</f>
        <v>0</v>
      </c>
      <c r="AD29" s="96">
        <f>SUM(R29:AC29)</f>
        <v>0</v>
      </c>
      <c r="AE29" s="96">
        <f>Calcs!AJ233</f>
        <v>0</v>
      </c>
      <c r="AF29" s="96">
        <f>Calcs!AK233</f>
        <v>0</v>
      </c>
      <c r="AG29" s="96">
        <f>Calcs!AL233</f>
        <v>0</v>
      </c>
      <c r="AH29" s="96">
        <f>Calcs!AM233</f>
        <v>0</v>
      </c>
      <c r="AI29" s="96">
        <f>Calcs!AN233</f>
        <v>0</v>
      </c>
      <c r="AJ29" s="96">
        <f>Calcs!AO233</f>
        <v>0</v>
      </c>
      <c r="AK29" s="96">
        <f>Calcs!AP233</f>
        <v>0</v>
      </c>
      <c r="AL29" s="96">
        <f>Calcs!AQ233</f>
        <v>0</v>
      </c>
      <c r="AM29" s="96">
        <f>Calcs!AR233</f>
        <v>0</v>
      </c>
      <c r="AN29" s="96">
        <f>Calcs!AS233</f>
        <v>0</v>
      </c>
      <c r="AO29" s="96">
        <f>Calcs!AT233</f>
        <v>0</v>
      </c>
      <c r="AP29" s="96">
        <f>Calcs!AU233</f>
        <v>0</v>
      </c>
      <c r="AQ29" s="96">
        <f>SUM(AE29:AP29)</f>
        <v>0</v>
      </c>
      <c r="AR29" s="96">
        <f>Calcs!AV233</f>
        <v>0</v>
      </c>
      <c r="AS29" s="96">
        <f>Calcs!AW233</f>
        <v>0</v>
      </c>
      <c r="AT29" s="96">
        <f>Calcs!AX233</f>
        <v>0</v>
      </c>
      <c r="AU29" s="96">
        <f>Calcs!AY233</f>
        <v>0</v>
      </c>
      <c r="AV29" s="96">
        <f>Calcs!AZ233</f>
        <v>0</v>
      </c>
      <c r="AW29" s="96">
        <f>Calcs!BA233</f>
        <v>0</v>
      </c>
      <c r="AX29" s="96">
        <f>Calcs!BB233</f>
        <v>0</v>
      </c>
      <c r="AY29" s="96">
        <f>Calcs!BC233</f>
        <v>0</v>
      </c>
      <c r="AZ29" s="96">
        <f>Calcs!BD233</f>
        <v>0</v>
      </c>
      <c r="BA29" s="96">
        <f>Calcs!BE233</f>
        <v>0</v>
      </c>
      <c r="BB29" s="96">
        <f>Calcs!BF233</f>
        <v>0</v>
      </c>
      <c r="BC29" s="96">
        <f>Calcs!BG233</f>
        <v>0</v>
      </c>
      <c r="BD29" s="96">
        <f>SUM(AR29:BC29)</f>
        <v>0</v>
      </c>
      <c r="BE29" s="96">
        <f>Calcs!BH233</f>
        <v>0</v>
      </c>
      <c r="BF29" s="96">
        <f>Calcs!BI233</f>
        <v>0</v>
      </c>
      <c r="BG29" s="96">
        <f>Calcs!BJ233</f>
        <v>0</v>
      </c>
      <c r="BH29" s="96">
        <f>Calcs!BK233</f>
        <v>0</v>
      </c>
      <c r="BI29" s="96">
        <f>Calcs!BL233</f>
        <v>0</v>
      </c>
      <c r="BJ29" s="96">
        <f>Calcs!BM233</f>
        <v>0</v>
      </c>
      <c r="BK29" s="96">
        <f>Calcs!BN233</f>
        <v>0</v>
      </c>
      <c r="BL29" s="96">
        <f>Calcs!BO233</f>
        <v>0</v>
      </c>
      <c r="BM29" s="96">
        <f>Calcs!BP233</f>
        <v>0</v>
      </c>
      <c r="BN29" s="96">
        <f>Calcs!BQ233</f>
        <v>0</v>
      </c>
      <c r="BO29" s="96">
        <f>Calcs!BR233</f>
        <v>0</v>
      </c>
      <c r="BP29" s="96">
        <f>Calcs!BS233</f>
        <v>0</v>
      </c>
      <c r="BQ29" s="96">
        <f>SUM(BE29:BP29)</f>
        <v>0</v>
      </c>
      <c r="BR29" s="1569"/>
      <c r="BS29" s="153">
        <f>SUM(BQ29,BD29,AQ29,AD29,Q29)</f>
        <v>0</v>
      </c>
      <c r="BT29" s="1569"/>
      <c r="BU29" s="113">
        <f>SUM(BQ29,BD29,AQ29,AD29,Q29)</f>
      </c>
      <c r="BV29" s="152"/>
      <c r="BW29" s="96"/>
      <c r="BX29" s="96"/>
      <c r="BY29" s="96"/>
      <c r="BZ29" s="96"/>
      <c r="CA29" s="96"/>
      <c r="CB29" s="96"/>
      <c r="CC29" s="96"/>
      <c r="CD29" s="96"/>
      <c r="CE29" s="96"/>
      <c r="CF29" s="96"/>
      <c r="CG29" s="96"/>
      <c r="CH29" s="96"/>
      <c r="CI29" s="96"/>
      <c r="CJ29" s="96"/>
      <c r="CK29" s="96"/>
      <c r="CL29" s="96"/>
      <c r="CM29" s="96"/>
      <c r="CN29" s="96"/>
      <c r="CO29" s="96"/>
      <c r="CP29" s="96"/>
      <c r="CW29" s="179"/>
      <c r="CX29" s="179"/>
      <c r="CY29" s="305"/>
      <c r="CZ29" s="305"/>
      <c r="DA29" s="305"/>
      <c r="DB29" s="305"/>
      <c r="DC29" s="305"/>
      <c r="DD29" s="305"/>
      <c r="DE29" s="305"/>
      <c r="DF29" s="305"/>
      <c r="DG29" s="305"/>
      <c r="DH29" s="305"/>
      <c r="DI29" s="305"/>
      <c r="DJ29" s="305"/>
      <c r="DK29" s="305"/>
      <c r="DL29" s="305"/>
      <c r="DM29" s="305"/>
      <c r="DN29" s="305"/>
      <c r="DO29" s="305"/>
      <c r="DP29" s="305"/>
      <c r="DQ29" s="305"/>
      <c r="DR29" s="305"/>
      <c r="DS29" s="305"/>
      <c r="DT29" s="305"/>
      <c r="DU29" s="305"/>
      <c r="DV29" s="305"/>
      <c r="DW29" s="305"/>
      <c r="DX29" s="305"/>
      <c r="DY29" s="305"/>
      <c r="DZ29" s="305"/>
      <c r="EA29" s="305"/>
      <c r="EB29" s="305"/>
      <c r="EC29" s="305"/>
      <c r="ED29" s="305"/>
      <c r="EE29" s="305"/>
      <c r="EF29" s="305"/>
      <c r="EG29" s="305"/>
      <c r="EH29" s="305"/>
      <c r="EI29" s="305"/>
      <c r="EJ29" s="305"/>
      <c r="EK29" s="305"/>
      <c r="EL29" s="305"/>
      <c r="EM29" s="305"/>
      <c r="EN29" s="305"/>
      <c r="EO29" s="305"/>
      <c r="EP29" s="305"/>
      <c r="EQ29" s="305"/>
      <c r="ER29" s="305"/>
      <c r="ES29" s="305"/>
      <c r="ET29" s="305"/>
      <c r="EU29" s="305"/>
      <c r="EV29" s="305"/>
      <c r="EW29" s="305"/>
      <c r="EX29" s="305"/>
      <c r="EY29" s="305"/>
      <c r="EZ29" s="305"/>
      <c r="FA29" s="305"/>
      <c r="FB29" s="305"/>
      <c r="FC29" s="305"/>
      <c r="FD29" s="305"/>
      <c r="FE29" s="305"/>
      <c r="FF29" s="305"/>
      <c r="FG29" s="305"/>
      <c r="FH29" s="305"/>
      <c r="FI29" s="305"/>
      <c r="FJ29" s="305"/>
    </row>
    <row r="30" spans="1:166" ht="12.65" hidden="1" customHeight="1" x14ac:dyDescent="0.35">
      <c r="A30" s="165"/>
      <c r="B30" s="150"/>
      <c r="C30" s="53"/>
      <c r="D30" s="152" t="str">
        <f>Calcs!K234</f>
        <v>Item 24</v>
      </c>
      <c r="E30" s="96">
        <f>Calcs!L234</f>
        <v>0</v>
      </c>
      <c r="F30" s="96">
        <f>Calcs!M234</f>
        <v>0</v>
      </c>
      <c r="G30" s="96">
        <f>Calcs!N234</f>
        <v>0</v>
      </c>
      <c r="H30" s="96">
        <f>Calcs!O234</f>
        <v>0</v>
      </c>
      <c r="I30" s="96">
        <f>Calcs!P234</f>
        <v>0</v>
      </c>
      <c r="J30" s="96">
        <f>Calcs!Q234</f>
        <v>0</v>
      </c>
      <c r="K30" s="96">
        <f>Calcs!R234</f>
        <v>0</v>
      </c>
      <c r="L30" s="96">
        <f>Calcs!S234</f>
        <v>0</v>
      </c>
      <c r="M30" s="96">
        <f>Calcs!T234</f>
        <v>0</v>
      </c>
      <c r="N30" s="96">
        <f>Calcs!U234</f>
        <v>0</v>
      </c>
      <c r="O30" s="96">
        <f>Calcs!V234</f>
        <v>0</v>
      </c>
      <c r="P30" s="96">
        <f>Calcs!W234</f>
        <v>0</v>
      </c>
      <c r="Q30" s="96">
        <f>SUM(E30:P30)</f>
        <v>0</v>
      </c>
      <c r="R30" s="96">
        <f>Calcs!X234</f>
        <v>0</v>
      </c>
      <c r="S30" s="96">
        <f>Calcs!Y234</f>
        <v>0</v>
      </c>
      <c r="T30" s="96">
        <f>Calcs!Z234</f>
        <v>0</v>
      </c>
      <c r="U30" s="96">
        <f>Calcs!AA234</f>
        <v>0</v>
      </c>
      <c r="V30" s="96">
        <f>Calcs!AB234</f>
        <v>0</v>
      </c>
      <c r="W30" s="96">
        <f>Calcs!AC234</f>
        <v>0</v>
      </c>
      <c r="X30" s="96">
        <f>Calcs!AD234</f>
        <v>0</v>
      </c>
      <c r="Y30" s="96">
        <f>Calcs!AE234</f>
        <v>0</v>
      </c>
      <c r="Z30" s="96">
        <f>Calcs!AF234</f>
        <v>0</v>
      </c>
      <c r="AA30" s="96">
        <f>Calcs!AG234</f>
        <v>0</v>
      </c>
      <c r="AB30" s="96">
        <f>Calcs!AH234</f>
        <v>0</v>
      </c>
      <c r="AC30" s="96">
        <f>Calcs!AI234</f>
        <v>0</v>
      </c>
      <c r="AD30" s="96">
        <f>SUM(R30:AC30)</f>
        <v>0</v>
      </c>
      <c r="AE30" s="96">
        <f>Calcs!AJ234</f>
        <v>0</v>
      </c>
      <c r="AF30" s="96">
        <f>Calcs!AK234</f>
        <v>0</v>
      </c>
      <c r="AG30" s="96">
        <f>Calcs!AL234</f>
        <v>0</v>
      </c>
      <c r="AH30" s="96">
        <f>Calcs!AM234</f>
        <v>0</v>
      </c>
      <c r="AI30" s="96">
        <f>Calcs!AN234</f>
        <v>0</v>
      </c>
      <c r="AJ30" s="96">
        <f>Calcs!AO234</f>
        <v>0</v>
      </c>
      <c r="AK30" s="96">
        <f>Calcs!AP234</f>
        <v>0</v>
      </c>
      <c r="AL30" s="96">
        <f>Calcs!AQ234</f>
        <v>0</v>
      </c>
      <c r="AM30" s="96">
        <f>Calcs!AR234</f>
        <v>0</v>
      </c>
      <c r="AN30" s="96">
        <f>Calcs!AS234</f>
        <v>0</v>
      </c>
      <c r="AO30" s="96">
        <f>Calcs!AT234</f>
        <v>0</v>
      </c>
      <c r="AP30" s="96">
        <f>Calcs!AU234</f>
        <v>0</v>
      </c>
      <c r="AQ30" s="96">
        <f>SUM(AE30:AP30)</f>
        <v>0</v>
      </c>
      <c r="AR30" s="96">
        <f>Calcs!AV234</f>
        <v>0</v>
      </c>
      <c r="AS30" s="96">
        <f>Calcs!AW234</f>
        <v>0</v>
      </c>
      <c r="AT30" s="96">
        <f>Calcs!AX234</f>
        <v>0</v>
      </c>
      <c r="AU30" s="96">
        <f>Calcs!AY234</f>
        <v>0</v>
      </c>
      <c r="AV30" s="96">
        <f>Calcs!AZ234</f>
        <v>0</v>
      </c>
      <c r="AW30" s="96">
        <f>Calcs!BA234</f>
        <v>0</v>
      </c>
      <c r="AX30" s="96">
        <f>Calcs!BB234</f>
        <v>0</v>
      </c>
      <c r="AY30" s="96">
        <f>Calcs!BC234</f>
        <v>0</v>
      </c>
      <c r="AZ30" s="96">
        <f>Calcs!BD234</f>
        <v>0</v>
      </c>
      <c r="BA30" s="96">
        <f>Calcs!BE234</f>
        <v>0</v>
      </c>
      <c r="BB30" s="96">
        <f>Calcs!BF234</f>
        <v>0</v>
      </c>
      <c r="BC30" s="96">
        <f>Calcs!BG234</f>
        <v>0</v>
      </c>
      <c r="BD30" s="96">
        <f>SUM(AR30:BC30)</f>
        <v>0</v>
      </c>
      <c r="BE30" s="96">
        <f>Calcs!BH234</f>
        <v>0</v>
      </c>
      <c r="BF30" s="96">
        <f>Calcs!BI234</f>
        <v>0</v>
      </c>
      <c r="BG30" s="96">
        <f>Calcs!BJ234</f>
        <v>0</v>
      </c>
      <c r="BH30" s="96">
        <f>Calcs!BK234</f>
        <v>0</v>
      </c>
      <c r="BI30" s="96">
        <f>Calcs!BL234</f>
        <v>0</v>
      </c>
      <c r="BJ30" s="96">
        <f>Calcs!BM234</f>
        <v>0</v>
      </c>
      <c r="BK30" s="96">
        <f>Calcs!BN234</f>
        <v>0</v>
      </c>
      <c r="BL30" s="96">
        <f>Calcs!BO234</f>
        <v>0</v>
      </c>
      <c r="BM30" s="96">
        <f>Calcs!BP234</f>
        <v>0</v>
      </c>
      <c r="BN30" s="96">
        <f>Calcs!BQ234</f>
        <v>0</v>
      </c>
      <c r="BO30" s="96">
        <f>Calcs!BR234</f>
        <v>0</v>
      </c>
      <c r="BP30" s="96">
        <f>Calcs!BS234</f>
        <v>0</v>
      </c>
      <c r="BQ30" s="96">
        <f>SUM(BE30:BP30)</f>
        <v>0</v>
      </c>
      <c r="BR30" s="1569"/>
      <c r="BS30" s="153">
        <f>SUM(BQ30,BD30,AQ30,AD30,Q30)</f>
        <v>0</v>
      </c>
      <c r="BT30" s="1569"/>
      <c r="BU30" s="113">
        <f>SUM(BQ30,BD30,AQ30,AD30,Q30)</f>
      </c>
      <c r="BV30" s="152"/>
      <c r="BW30" s="96"/>
      <c r="BX30" s="96"/>
      <c r="BY30" s="96"/>
      <c r="BZ30" s="96"/>
      <c r="CA30" s="96"/>
      <c r="CB30" s="96"/>
      <c r="CC30" s="96"/>
      <c r="CD30" s="96"/>
      <c r="CE30" s="96"/>
      <c r="CF30" s="96"/>
      <c r="CG30" s="96"/>
      <c r="CH30" s="96"/>
      <c r="CI30" s="96"/>
      <c r="CJ30" s="96"/>
      <c r="CK30" s="96"/>
      <c r="CL30" s="96"/>
      <c r="CM30" s="96"/>
      <c r="CN30" s="96"/>
      <c r="CO30" s="96"/>
      <c r="CP30" s="96"/>
      <c r="CW30" s="179"/>
      <c r="CX30" s="179"/>
      <c r="CY30" s="305"/>
      <c r="CZ30" s="305"/>
      <c r="DA30" s="305"/>
      <c r="DB30" s="305"/>
      <c r="DC30" s="305"/>
      <c r="DD30" s="305"/>
      <c r="DE30" s="305"/>
      <c r="DF30" s="305"/>
      <c r="DG30" s="305"/>
      <c r="DH30" s="305"/>
      <c r="DI30" s="305"/>
      <c r="DJ30" s="305"/>
      <c r="DK30" s="305"/>
      <c r="DL30" s="305"/>
      <c r="DM30" s="305"/>
      <c r="DN30" s="305"/>
      <c r="DO30" s="305"/>
      <c r="DP30" s="305"/>
      <c r="DQ30" s="305"/>
      <c r="DR30" s="305"/>
      <c r="DS30" s="305"/>
      <c r="DT30" s="305"/>
      <c r="DU30" s="305"/>
      <c r="DV30" s="305"/>
      <c r="DW30" s="305"/>
      <c r="DX30" s="305"/>
      <c r="DY30" s="305"/>
      <c r="DZ30" s="305"/>
      <c r="EA30" s="305"/>
      <c r="EB30" s="305"/>
      <c r="EC30" s="305"/>
      <c r="ED30" s="305"/>
      <c r="EE30" s="305"/>
      <c r="EF30" s="305"/>
      <c r="EG30" s="305"/>
      <c r="EH30" s="305"/>
      <c r="EI30" s="305"/>
      <c r="EJ30" s="305"/>
      <c r="EK30" s="305"/>
      <c r="EL30" s="305"/>
      <c r="EM30" s="305"/>
      <c r="EN30" s="305"/>
      <c r="EO30" s="305"/>
      <c r="EP30" s="305"/>
      <c r="EQ30" s="305"/>
      <c r="ER30" s="305"/>
      <c r="ES30" s="305"/>
      <c r="ET30" s="305"/>
      <c r="EU30" s="305"/>
      <c r="EV30" s="305"/>
      <c r="EW30" s="305"/>
      <c r="EX30" s="305"/>
      <c r="EY30" s="305"/>
      <c r="EZ30" s="305"/>
      <c r="FA30" s="305"/>
      <c r="FB30" s="305"/>
      <c r="FC30" s="305"/>
      <c r="FD30" s="305"/>
      <c r="FE30" s="305"/>
      <c r="FF30" s="305"/>
      <c r="FG30" s="305"/>
      <c r="FH30" s="305"/>
      <c r="FI30" s="305"/>
      <c r="FJ30" s="305"/>
    </row>
    <row r="31" spans="1:166" ht="12.65" hidden="1" customHeight="1" x14ac:dyDescent="0.35">
      <c r="A31" s="165"/>
      <c r="B31" s="150"/>
      <c r="C31" s="53"/>
      <c r="D31" s="152" t="str">
        <f>Calcs!K235</f>
        <v>Item 25</v>
      </c>
      <c r="E31" s="96">
        <f>Calcs!L235</f>
        <v>0</v>
      </c>
      <c r="F31" s="96">
        <f>Calcs!M235</f>
        <v>0</v>
      </c>
      <c r="G31" s="96">
        <f>Calcs!N235</f>
        <v>0</v>
      </c>
      <c r="H31" s="96">
        <f>Calcs!O235</f>
        <v>0</v>
      </c>
      <c r="I31" s="96">
        <f>Calcs!P235</f>
        <v>0</v>
      </c>
      <c r="J31" s="96">
        <f>Calcs!Q235</f>
        <v>0</v>
      </c>
      <c r="K31" s="96">
        <f>Calcs!R235</f>
        <v>0</v>
      </c>
      <c r="L31" s="96">
        <f>Calcs!S235</f>
        <v>0</v>
      </c>
      <c r="M31" s="96">
        <f>Calcs!T235</f>
        <v>0</v>
      </c>
      <c r="N31" s="96">
        <f>Calcs!U235</f>
        <v>0</v>
      </c>
      <c r="O31" s="96">
        <f>Calcs!V235</f>
        <v>0</v>
      </c>
      <c r="P31" s="96">
        <f>Calcs!W235</f>
        <v>0</v>
      </c>
      <c r="Q31" s="96">
        <f>SUM(E31:P31)</f>
        <v>0</v>
      </c>
      <c r="R31" s="96">
        <f>Calcs!X235</f>
        <v>0</v>
      </c>
      <c r="S31" s="96">
        <f>Calcs!Y235</f>
        <v>0</v>
      </c>
      <c r="T31" s="96">
        <f>Calcs!Z235</f>
        <v>0</v>
      </c>
      <c r="U31" s="96">
        <f>Calcs!AA235</f>
        <v>0</v>
      </c>
      <c r="V31" s="96">
        <f>Calcs!AB235</f>
        <v>0</v>
      </c>
      <c r="W31" s="96">
        <f>Calcs!AC235</f>
        <v>0</v>
      </c>
      <c r="X31" s="96">
        <f>Calcs!AD235</f>
        <v>0</v>
      </c>
      <c r="Y31" s="96">
        <f>Calcs!AE235</f>
        <v>0</v>
      </c>
      <c r="Z31" s="96">
        <f>Calcs!AF235</f>
        <v>0</v>
      </c>
      <c r="AA31" s="96">
        <f>Calcs!AG235</f>
        <v>0</v>
      </c>
      <c r="AB31" s="96">
        <f>Calcs!AH235</f>
        <v>0</v>
      </c>
      <c r="AC31" s="96">
        <f>Calcs!AI235</f>
        <v>0</v>
      </c>
      <c r="AD31" s="96">
        <f>SUM(R31:AC31)</f>
        <v>0</v>
      </c>
      <c r="AE31" s="96">
        <f>Calcs!AJ235</f>
        <v>0</v>
      </c>
      <c r="AF31" s="96">
        <f>Calcs!AK235</f>
        <v>0</v>
      </c>
      <c r="AG31" s="96">
        <f>Calcs!AL235</f>
        <v>0</v>
      </c>
      <c r="AH31" s="96">
        <f>Calcs!AM235</f>
        <v>0</v>
      </c>
      <c r="AI31" s="96">
        <f>Calcs!AN235</f>
        <v>0</v>
      </c>
      <c r="AJ31" s="96">
        <f>Calcs!AO235</f>
        <v>0</v>
      </c>
      <c r="AK31" s="96">
        <f>Calcs!AP235</f>
        <v>0</v>
      </c>
      <c r="AL31" s="96">
        <f>Calcs!AQ235</f>
        <v>0</v>
      </c>
      <c r="AM31" s="96">
        <f>Calcs!AR235</f>
        <v>0</v>
      </c>
      <c r="AN31" s="96">
        <f>Calcs!AS235</f>
        <v>0</v>
      </c>
      <c r="AO31" s="96">
        <f>Calcs!AT235</f>
        <v>0</v>
      </c>
      <c r="AP31" s="96">
        <f>Calcs!AU235</f>
        <v>0</v>
      </c>
      <c r="AQ31" s="96">
        <f>SUM(AE31:AP31)</f>
        <v>0</v>
      </c>
      <c r="AR31" s="96">
        <f>Calcs!AV235</f>
        <v>0</v>
      </c>
      <c r="AS31" s="96">
        <f>Calcs!AW235</f>
        <v>0</v>
      </c>
      <c r="AT31" s="96">
        <f>Calcs!AX235</f>
        <v>0</v>
      </c>
      <c r="AU31" s="96">
        <f>Calcs!AY235</f>
        <v>0</v>
      </c>
      <c r="AV31" s="96">
        <f>Calcs!AZ235</f>
        <v>0</v>
      </c>
      <c r="AW31" s="96">
        <f>Calcs!BA235</f>
        <v>0</v>
      </c>
      <c r="AX31" s="96">
        <f>Calcs!BB235</f>
        <v>0</v>
      </c>
      <c r="AY31" s="96">
        <f>Calcs!BC235</f>
        <v>0</v>
      </c>
      <c r="AZ31" s="96">
        <f>Calcs!BD235</f>
        <v>0</v>
      </c>
      <c r="BA31" s="96">
        <f>Calcs!BE235</f>
        <v>0</v>
      </c>
      <c r="BB31" s="96">
        <f>Calcs!BF235</f>
        <v>0</v>
      </c>
      <c r="BC31" s="96">
        <f>Calcs!BG235</f>
        <v>0</v>
      </c>
      <c r="BD31" s="96">
        <f>SUM(AR31:BC31)</f>
        <v>0</v>
      </c>
      <c r="BE31" s="96">
        <f>Calcs!BH235</f>
        <v>0</v>
      </c>
      <c r="BF31" s="96">
        <f>Calcs!BI235</f>
        <v>0</v>
      </c>
      <c r="BG31" s="96">
        <f>Calcs!BJ235</f>
        <v>0</v>
      </c>
      <c r="BH31" s="96">
        <f>Calcs!BK235</f>
        <v>0</v>
      </c>
      <c r="BI31" s="96">
        <f>Calcs!BL235</f>
        <v>0</v>
      </c>
      <c r="BJ31" s="96">
        <f>Calcs!BM235</f>
        <v>0</v>
      </c>
      <c r="BK31" s="96">
        <f>Calcs!BN235</f>
        <v>0</v>
      </c>
      <c r="BL31" s="96">
        <f>Calcs!BO235</f>
        <v>0</v>
      </c>
      <c r="BM31" s="96">
        <f>Calcs!BP235</f>
        <v>0</v>
      </c>
      <c r="BN31" s="96">
        <f>Calcs!BQ235</f>
        <v>0</v>
      </c>
      <c r="BO31" s="96">
        <f>Calcs!BR235</f>
        <v>0</v>
      </c>
      <c r="BP31" s="96">
        <f>Calcs!BS235</f>
        <v>0</v>
      </c>
      <c r="BQ31" s="96">
        <f>SUM(BE31:BP31)</f>
        <v>0</v>
      </c>
      <c r="BR31" s="1569"/>
      <c r="BS31" s="153">
        <f>SUM(BQ31,BD31,AQ31,AD31,Q31)</f>
        <v>0</v>
      </c>
      <c r="BT31" s="1569"/>
      <c r="BU31" s="113">
        <f>SUM(BQ31,BD31,AQ31,AD31,Q31)</f>
      </c>
      <c r="BV31" s="152"/>
      <c r="BW31" s="96"/>
      <c r="BX31" s="96"/>
      <c r="BY31" s="96"/>
      <c r="BZ31" s="96"/>
      <c r="CA31" s="96"/>
      <c r="CB31" s="96"/>
      <c r="CC31" s="96"/>
      <c r="CD31" s="96"/>
      <c r="CE31" s="96"/>
      <c r="CF31" s="96"/>
      <c r="CG31" s="96"/>
      <c r="CH31" s="96"/>
      <c r="CI31" s="96"/>
      <c r="CJ31" s="96"/>
      <c r="CK31" s="96"/>
      <c r="CL31" s="96"/>
      <c r="CM31" s="96"/>
      <c r="CN31" s="96"/>
      <c r="CO31" s="96"/>
      <c r="CP31" s="96"/>
      <c r="CW31" s="179"/>
      <c r="CX31" s="179"/>
      <c r="CY31" s="305"/>
      <c r="CZ31" s="305"/>
      <c r="DA31" s="305"/>
      <c r="DB31" s="305"/>
      <c r="DC31" s="305"/>
      <c r="DD31" s="305"/>
      <c r="DE31" s="305"/>
      <c r="DF31" s="305"/>
      <c r="DG31" s="305"/>
      <c r="DH31" s="305"/>
      <c r="DI31" s="305"/>
      <c r="DJ31" s="305"/>
      <c r="DK31" s="305"/>
      <c r="DL31" s="305"/>
      <c r="DM31" s="305"/>
      <c r="DN31" s="305"/>
      <c r="DO31" s="305"/>
      <c r="DP31" s="305"/>
      <c r="DQ31" s="305"/>
      <c r="DR31" s="305"/>
      <c r="DS31" s="305"/>
      <c r="DT31" s="305"/>
      <c r="DU31" s="305"/>
      <c r="DV31" s="305"/>
      <c r="DW31" s="305"/>
      <c r="DX31" s="305"/>
      <c r="DY31" s="305"/>
      <c r="DZ31" s="305"/>
      <c r="EA31" s="305"/>
      <c r="EB31" s="305"/>
      <c r="EC31" s="305"/>
      <c r="ED31" s="305"/>
      <c r="EE31" s="305"/>
      <c r="EF31" s="305"/>
      <c r="EG31" s="305"/>
      <c r="EH31" s="305"/>
      <c r="EI31" s="305"/>
      <c r="EJ31" s="305"/>
      <c r="EK31" s="305"/>
      <c r="EL31" s="305"/>
      <c r="EM31" s="305"/>
      <c r="EN31" s="305"/>
      <c r="EO31" s="305"/>
      <c r="EP31" s="305"/>
      <c r="EQ31" s="305"/>
      <c r="ER31" s="305"/>
      <c r="ES31" s="305"/>
      <c r="ET31" s="305"/>
      <c r="EU31" s="305"/>
      <c r="EV31" s="305"/>
      <c r="EW31" s="305"/>
      <c r="EX31" s="305"/>
      <c r="EY31" s="305"/>
      <c r="EZ31" s="305"/>
      <c r="FA31" s="305"/>
      <c r="FB31" s="305"/>
      <c r="FC31" s="305"/>
      <c r="FD31" s="305"/>
      <c r="FE31" s="305"/>
      <c r="FF31" s="305"/>
      <c r="FG31" s="305"/>
      <c r="FH31" s="305"/>
      <c r="FI31" s="305"/>
      <c r="FJ31" s="305"/>
    </row>
    <row r="32" spans="1:166" ht="12.75" hidden="1" customHeight="1" x14ac:dyDescent="0.35">
      <c r="A32" s="165"/>
      <c r="B32" s="150"/>
      <c r="C32" s="53"/>
      <c r="D32" s="152" t="s">
        <v>283</v>
      </c>
      <c r="E32" s="96">
        <f>-Calcs!L202</f>
        <v>0</v>
      </c>
      <c r="F32" s="96">
        <f>-Calcs!M202</f>
        <v>0</v>
      </c>
      <c r="G32" s="96">
        <f>-Calcs!N202</f>
        <v>0</v>
      </c>
      <c r="H32" s="96">
        <f>-Calcs!O202</f>
        <v>0</v>
      </c>
      <c r="I32" s="96">
        <f>-Calcs!P202</f>
        <v>0</v>
      </c>
      <c r="J32" s="96">
        <f>-Calcs!Q202</f>
        <v>0</v>
      </c>
      <c r="K32" s="96">
        <f>-Calcs!R202</f>
        <v>0</v>
      </c>
      <c r="L32" s="96">
        <f>-Calcs!S202</f>
        <v>0</v>
      </c>
      <c r="M32" s="96">
        <f>-Calcs!T202</f>
        <v>0</v>
      </c>
      <c r="N32" s="96">
        <f>-Calcs!U202</f>
        <v>0</v>
      </c>
      <c r="O32" s="96">
        <f>-Calcs!V202</f>
        <v>0</v>
      </c>
      <c r="P32" s="96">
        <f>-Calcs!W202</f>
        <v>0</v>
      </c>
      <c r="Q32" s="96">
        <f>SUM(E32:P32)</f>
        <v>0</v>
      </c>
      <c r="R32" s="96">
        <f>-Calcs!X202</f>
        <v>0</v>
      </c>
      <c r="S32" s="96">
        <f>-Calcs!Y202</f>
        <v>0</v>
      </c>
      <c r="T32" s="96">
        <f>-Calcs!Z202</f>
        <v>0</v>
      </c>
      <c r="U32" s="96">
        <f>-Calcs!AA202</f>
        <v>0</v>
      </c>
      <c r="V32" s="96">
        <f>-Calcs!AB202</f>
        <v>0</v>
      </c>
      <c r="W32" s="96">
        <f>-Calcs!AC202</f>
        <v>0</v>
      </c>
      <c r="X32" s="96">
        <f>-Calcs!AD202</f>
        <v>0</v>
      </c>
      <c r="Y32" s="96">
        <f>-Calcs!AE202</f>
        <v>0</v>
      </c>
      <c r="Z32" s="96">
        <f>-Calcs!AF202</f>
        <v>0</v>
      </c>
      <c r="AA32" s="96">
        <f>-Calcs!AG202</f>
        <v>0</v>
      </c>
      <c r="AB32" s="96">
        <f>-Calcs!AH202</f>
        <v>0</v>
      </c>
      <c r="AC32" s="96">
        <f>-Calcs!AI202</f>
        <v>0</v>
      </c>
      <c r="AD32" s="96">
        <f>SUM(R32:AC32)</f>
        <v>0</v>
      </c>
      <c r="AE32" s="96">
        <f>-Calcs!AJ202</f>
        <v>0</v>
      </c>
      <c r="AF32" s="96">
        <f>-Calcs!AK202</f>
        <v>0</v>
      </c>
      <c r="AG32" s="96">
        <f>-Calcs!AL202</f>
        <v>0</v>
      </c>
      <c r="AH32" s="96">
        <f>-Calcs!AM202</f>
        <v>0</v>
      </c>
      <c r="AI32" s="96">
        <f>-Calcs!AN202</f>
        <v>0</v>
      </c>
      <c r="AJ32" s="96">
        <f>-Calcs!AO202</f>
        <v>0</v>
      </c>
      <c r="AK32" s="96">
        <f>-Calcs!AP202</f>
        <v>0</v>
      </c>
      <c r="AL32" s="96">
        <f>-Calcs!AQ202</f>
        <v>0</v>
      </c>
      <c r="AM32" s="96">
        <f>-Calcs!AR202</f>
        <v>0</v>
      </c>
      <c r="AN32" s="96">
        <f>-Calcs!AS202</f>
        <v>0</v>
      </c>
      <c r="AO32" s="96">
        <f>-Calcs!AT202</f>
        <v>0</v>
      </c>
      <c r="AP32" s="96">
        <f>-Calcs!AU202</f>
        <v>0</v>
      </c>
      <c r="AQ32" s="96">
        <f>SUM(AE32:AP32)</f>
        <v>0</v>
      </c>
      <c r="AR32" s="96">
        <f>-Calcs!AV202</f>
        <v>0</v>
      </c>
      <c r="AS32" s="96">
        <f>-Calcs!AW202</f>
        <v>0</v>
      </c>
      <c r="AT32" s="96">
        <f>-Calcs!AX202</f>
        <v>0</v>
      </c>
      <c r="AU32" s="96">
        <f>-Calcs!AY202</f>
        <v>0</v>
      </c>
      <c r="AV32" s="96">
        <f>-Calcs!AZ202</f>
        <v>0</v>
      </c>
      <c r="AW32" s="96">
        <f>-Calcs!BA202</f>
        <v>0</v>
      </c>
      <c r="AX32" s="96">
        <f>-Calcs!BB202</f>
        <v>0</v>
      </c>
      <c r="AY32" s="96">
        <f>-Calcs!BC202</f>
        <v>0</v>
      </c>
      <c r="AZ32" s="96">
        <f>-Calcs!BD202</f>
        <v>0</v>
      </c>
      <c r="BA32" s="96">
        <f>-Calcs!BE202</f>
        <v>0</v>
      </c>
      <c r="BB32" s="96">
        <f>-Calcs!BF202</f>
        <v>0</v>
      </c>
      <c r="BC32" s="96">
        <f>-Calcs!BG202</f>
        <v>0</v>
      </c>
      <c r="BD32" s="96">
        <f>SUM(AR32:BC32)</f>
        <v>0</v>
      </c>
      <c r="BE32" s="96">
        <f>-Calcs!BH202</f>
        <v>0</v>
      </c>
      <c r="BF32" s="96">
        <f>-Calcs!BI202</f>
        <v>0</v>
      </c>
      <c r="BG32" s="96">
        <f>-Calcs!BJ202</f>
        <v>0</v>
      </c>
      <c r="BH32" s="96">
        <f>-Calcs!BK202</f>
        <v>0</v>
      </c>
      <c r="BI32" s="96">
        <f>-Calcs!BL202</f>
        <v>0</v>
      </c>
      <c r="BJ32" s="96">
        <f>-Calcs!BM202</f>
        <v>0</v>
      </c>
      <c r="BK32" s="96">
        <f>-Calcs!BN202</f>
        <v>0</v>
      </c>
      <c r="BL32" s="96">
        <f>-Calcs!BO202</f>
        <v>0</v>
      </c>
      <c r="BM32" s="96">
        <f>-Calcs!BP202</f>
        <v>0</v>
      </c>
      <c r="BN32" s="96">
        <f>-Calcs!BQ202</f>
        <v>0</v>
      </c>
      <c r="BO32" s="96">
        <f>-Calcs!BR202</f>
        <v>0</v>
      </c>
      <c r="BP32" s="96">
        <f>-Calcs!BS202</f>
        <v>0</v>
      </c>
      <c r="BQ32" s="96">
        <f>SUM(BE32:BP32)</f>
        <v>0</v>
      </c>
      <c r="BR32" s="1569"/>
      <c r="BS32" s="153">
        <f>SUM(BQ32,BD32,AQ32,AD32,Q32)</f>
        <v>0</v>
      </c>
      <c r="BT32" s="1569"/>
      <c r="BU32" s="113">
        <f>SUM(BQ32,BD32,AQ32,AD32,Q32)</f>
      </c>
      <c r="BV32" s="152"/>
      <c r="BW32" s="96"/>
      <c r="BX32" s="96"/>
      <c r="BY32" s="96"/>
      <c r="BZ32" s="96"/>
      <c r="CA32" s="96"/>
      <c r="CB32" s="96"/>
      <c r="CC32" s="96"/>
      <c r="CD32" s="96"/>
      <c r="CE32" s="96"/>
      <c r="CF32" s="96"/>
      <c r="CG32" s="96"/>
      <c r="CH32" s="96"/>
      <c r="CI32" s="96"/>
      <c r="CJ32" s="96"/>
      <c r="CK32" s="96"/>
      <c r="CL32" s="96"/>
      <c r="CM32" s="96"/>
      <c r="CN32" s="96"/>
      <c r="CO32" s="96"/>
      <c r="CP32" s="96"/>
      <c r="CW32" s="179"/>
      <c r="CX32" s="179"/>
      <c r="CY32" s="305"/>
      <c r="CZ32" s="305"/>
      <c r="DA32" s="305"/>
      <c r="DB32" s="305"/>
      <c r="DC32" s="305"/>
      <c r="DD32" s="305"/>
      <c r="DE32" s="305"/>
      <c r="DF32" s="305"/>
      <c r="DG32" s="305"/>
      <c r="DH32" s="305"/>
      <c r="DI32" s="305"/>
      <c r="DJ32" s="305"/>
      <c r="DK32" s="305"/>
      <c r="DL32" s="305"/>
      <c r="DM32" s="305"/>
      <c r="DN32" s="305"/>
      <c r="DO32" s="305"/>
      <c r="DP32" s="305"/>
      <c r="DQ32" s="305"/>
      <c r="DR32" s="305"/>
      <c r="DS32" s="305"/>
      <c r="DT32" s="305"/>
      <c r="DU32" s="305"/>
      <c r="DV32" s="305"/>
      <c r="DW32" s="305"/>
      <c r="DX32" s="305"/>
      <c r="DY32" s="305"/>
      <c r="DZ32" s="305"/>
      <c r="EA32" s="305"/>
      <c r="EB32" s="305"/>
      <c r="EC32" s="305"/>
      <c r="ED32" s="305"/>
      <c r="EE32" s="305"/>
      <c r="EF32" s="305"/>
      <c r="EG32" s="305"/>
      <c r="EH32" s="305"/>
      <c r="EI32" s="305"/>
      <c r="EJ32" s="305"/>
      <c r="EK32" s="305"/>
      <c r="EL32" s="305"/>
      <c r="EM32" s="305"/>
      <c r="EN32" s="305"/>
      <c r="EO32" s="305"/>
      <c r="EP32" s="305"/>
      <c r="EQ32" s="305"/>
      <c r="ER32" s="305"/>
      <c r="ES32" s="305"/>
      <c r="ET32" s="305"/>
      <c r="EU32" s="305"/>
      <c r="EV32" s="305"/>
      <c r="EW32" s="305"/>
      <c r="EX32" s="305"/>
      <c r="EY32" s="305"/>
      <c r="EZ32" s="305"/>
      <c r="FA32" s="305"/>
      <c r="FB32" s="305"/>
      <c r="FC32" s="305"/>
      <c r="FD32" s="305"/>
      <c r="FE32" s="305"/>
      <c r="FF32" s="305"/>
      <c r="FG32" s="305"/>
      <c r="FH32" s="305"/>
      <c r="FI32" s="305"/>
      <c r="FJ32" s="305"/>
    </row>
    <row r="33" spans="1:166" ht="12.75" customHeight="1" x14ac:dyDescent="0.35">
      <c r="A33" s="53"/>
      <c r="B33" s="150"/>
      <c r="C33" s="53"/>
      <c r="D33" s="97" t="s">
        <v>4</v>
      </c>
      <c r="E33" s="103">
        <f>SUM(E5:E32)</f>
        <v>0</v>
      </c>
      <c r="F33" s="103">
        <f>SUM(F5:F32)</f>
        <v>0</v>
      </c>
      <c r="G33" s="103">
        <f>SUM(G5:G32)</f>
        <v>0</v>
      </c>
      <c r="H33" s="103">
        <f>SUM(H5:H32)</f>
        <v>0</v>
      </c>
      <c r="I33" s="103">
        <f>SUM(I5:I32)</f>
        <v>0</v>
      </c>
      <c r="J33" s="103">
        <f>SUM(J5:J32)</f>
        <v>0</v>
      </c>
      <c r="K33" s="103">
        <f>SUM(K5:K32)</f>
        <v>0</v>
      </c>
      <c r="L33" s="103">
        <f>SUM(L5:L32)</f>
        <v>0</v>
      </c>
      <c r="M33" s="103">
        <f>SUM(M5:M32)</f>
        <v>0</v>
      </c>
      <c r="N33" s="103">
        <f>SUM(N5:N32)</f>
        <v>0</v>
      </c>
      <c r="O33" s="103">
        <f>SUM(O5:O32)</f>
        <v>0</v>
      </c>
      <c r="P33" s="103">
        <f>SUM(P5:P32)</f>
        <v>0</v>
      </c>
      <c r="Q33" s="103">
        <f>SUM(Q5:Q32)</f>
        <v>0</v>
      </c>
      <c r="R33" s="103">
        <f>SUM(R5:R32)</f>
        <v>0</v>
      </c>
      <c r="S33" s="103">
        <f>SUM(S5:S32)</f>
        <v>0</v>
      </c>
      <c r="T33" s="103">
        <f>SUM(T5:T32)</f>
        <v>0</v>
      </c>
      <c r="U33" s="103">
        <f>SUM(U5:U32)</f>
        <v>0</v>
      </c>
      <c r="V33" s="103">
        <f>SUM(V5:V32)</f>
        <v>0</v>
      </c>
      <c r="W33" s="103">
        <f>SUM(W5:W32)</f>
        <v>0</v>
      </c>
      <c r="X33" s="103">
        <f>SUM(X5:X32)</f>
        <v>0</v>
      </c>
      <c r="Y33" s="103">
        <f>SUM(Y5:Y32)</f>
        <v>0</v>
      </c>
      <c r="Z33" s="103">
        <f>SUM(Z5:Z32)</f>
        <v>0</v>
      </c>
      <c r="AA33" s="103">
        <f>SUM(AA5:AA32)</f>
        <v>0</v>
      </c>
      <c r="AB33" s="103">
        <f>SUM(AB5:AB32)</f>
        <v>0</v>
      </c>
      <c r="AC33" s="103">
        <f>SUM(AC5:AC32)</f>
        <v>0</v>
      </c>
      <c r="AD33" s="103">
        <f>SUM(AD5:AD32)</f>
        <v>0</v>
      </c>
      <c r="AE33" s="103">
        <f>SUM(AE5:AE32)</f>
        <v>0</v>
      </c>
      <c r="AF33" s="103">
        <f>SUM(AF5:AF32)</f>
        <v>0</v>
      </c>
      <c r="AG33" s="103">
        <f>SUM(AG5:AG32)</f>
        <v>0</v>
      </c>
      <c r="AH33" s="103">
        <f>SUM(AH5:AH32)</f>
        <v>0</v>
      </c>
      <c r="AI33" s="103">
        <f>SUM(AI5:AI32)</f>
        <v>0</v>
      </c>
      <c r="AJ33" s="103">
        <f>SUM(AJ5:AJ32)</f>
        <v>0</v>
      </c>
      <c r="AK33" s="103">
        <f>SUM(AK5:AK32)</f>
        <v>0</v>
      </c>
      <c r="AL33" s="103">
        <f>SUM(AL5:AL32)</f>
        <v>0</v>
      </c>
      <c r="AM33" s="103">
        <f>SUM(AM5:AM32)</f>
        <v>0</v>
      </c>
      <c r="AN33" s="103">
        <f>SUM(AN5:AN32)</f>
        <v>0</v>
      </c>
      <c r="AO33" s="103">
        <f>SUM(AO5:AO32)</f>
        <v>0</v>
      </c>
      <c r="AP33" s="103">
        <f>SUM(AP5:AP32)</f>
        <v>0</v>
      </c>
      <c r="AQ33" s="103">
        <f>SUM(AQ5:AQ32)</f>
        <v>0</v>
      </c>
      <c r="AR33" s="103">
        <f>SUM(AR5:AR32)</f>
        <v>0</v>
      </c>
      <c r="AS33" s="103">
        <f>SUM(AS5:AS32)</f>
        <v>0</v>
      </c>
      <c r="AT33" s="103">
        <f>SUM(AT5:AT32)</f>
        <v>0</v>
      </c>
      <c r="AU33" s="103">
        <f>SUM(AU5:AU32)</f>
        <v>0</v>
      </c>
      <c r="AV33" s="103">
        <f>SUM(AV5:AV32)</f>
        <v>0</v>
      </c>
      <c r="AW33" s="103">
        <f>SUM(AW5:AW32)</f>
        <v>0</v>
      </c>
      <c r="AX33" s="103">
        <f>SUM(AX5:AX32)</f>
        <v>0</v>
      </c>
      <c r="AY33" s="103">
        <f>SUM(AY5:AY32)</f>
        <v>0</v>
      </c>
      <c r="AZ33" s="103">
        <f>SUM(AZ5:AZ32)</f>
        <v>0</v>
      </c>
      <c r="BA33" s="103">
        <f>SUM(BA5:BA32)</f>
        <v>0</v>
      </c>
      <c r="BB33" s="103">
        <f>SUM(BB5:BB32)</f>
        <v>0</v>
      </c>
      <c r="BC33" s="103">
        <f>SUM(BC5:BC32)</f>
        <v>0</v>
      </c>
      <c r="BD33" s="103">
        <f>SUM(BD5:BD32)</f>
        <v>0</v>
      </c>
      <c r="BE33" s="103">
        <f>SUM(BE5:BE32)</f>
        <v>0</v>
      </c>
      <c r="BF33" s="103">
        <f>SUM(BF5:BF32)</f>
        <v>0</v>
      </c>
      <c r="BG33" s="103">
        <f>SUM(BG5:BG32)</f>
        <v>0</v>
      </c>
      <c r="BH33" s="103">
        <f>SUM(BH5:BH32)</f>
        <v>0</v>
      </c>
      <c r="BI33" s="103">
        <f>SUM(BI5:BI32)</f>
        <v>0</v>
      </c>
      <c r="BJ33" s="103">
        <f>SUM(BJ5:BJ32)</f>
        <v>0</v>
      </c>
      <c r="BK33" s="103">
        <f>SUM(BK5:BK32)</f>
        <v>0</v>
      </c>
      <c r="BL33" s="103">
        <f>SUM(BL5:BL32)</f>
        <v>0</v>
      </c>
      <c r="BM33" s="103">
        <f>SUM(BM5:BM32)</f>
        <v>0</v>
      </c>
      <c r="BN33" s="103">
        <f>SUM(BN5:BN32)</f>
        <v>0</v>
      </c>
      <c r="BO33" s="103">
        <f>SUM(BO5:BO32)</f>
        <v>0</v>
      </c>
      <c r="BP33" s="103">
        <f>SUM(BP5:BP32)</f>
        <v>0</v>
      </c>
      <c r="BQ33" s="103">
        <f>SUM(BQ5:BQ32)</f>
        <v>0</v>
      </c>
      <c r="BR33" s="256"/>
      <c r="BS33" s="153">
        <v>1</v>
      </c>
      <c r="BT33" s="256"/>
      <c r="BU33" s="114">
        <f>SUM(BU5:BU32)</f>
      </c>
      <c r="BV33" s="52" t="s">
        <v>284</v>
      </c>
      <c r="BW33" s="103">
        <f>SUM(BW5:BW25)</f>
        <v>0</v>
      </c>
      <c r="BX33" s="103">
        <f>SUM(BX5:BX25)</f>
        <v>0</v>
      </c>
      <c r="BY33" s="103">
        <f>SUM(BY5:BY25)</f>
        <v>0</v>
      </c>
      <c r="BZ33" s="103">
        <f>SUM(BZ5:BZ25)</f>
        <v>0</v>
      </c>
      <c r="CA33" s="103">
        <f>SUM(CA5:CA25)</f>
        <v>0</v>
      </c>
      <c r="CB33" s="103">
        <f>SUM(CB5:CB25)</f>
        <v>0</v>
      </c>
      <c r="CC33" s="103">
        <f>SUM(CC5:CC25)</f>
        <v>0</v>
      </c>
      <c r="CD33" s="103">
        <f>SUM(CD5:CD25)</f>
        <v>0</v>
      </c>
      <c r="CE33" s="103">
        <f>SUM(CE5:CE25)</f>
        <v>0</v>
      </c>
      <c r="CF33" s="103">
        <f>SUM(CF5:CF25)</f>
        <v>0</v>
      </c>
      <c r="CG33" s="103">
        <f>SUM(CG5:CG25)</f>
        <v>0</v>
      </c>
      <c r="CH33" s="103">
        <f>SUM(CH5:CH25)</f>
        <v>0</v>
      </c>
      <c r="CI33" s="103">
        <f>SUM(CI5:CI25)</f>
        <v>0</v>
      </c>
      <c r="CJ33" s="103">
        <f>SUM(CJ5:CJ25)</f>
        <v>0</v>
      </c>
      <c r="CK33" s="103">
        <f>SUM(CK5:CK25)</f>
        <v>0</v>
      </c>
      <c r="CL33" s="103">
        <f>SUM(CL5:CL25)</f>
        <v>0</v>
      </c>
      <c r="CM33" s="103">
        <f>SUM(CM5:CM25)</f>
        <v>0</v>
      </c>
      <c r="CN33" s="103">
        <f>SUM(CN5:CN25)</f>
        <v>0</v>
      </c>
      <c r="CO33" s="103">
        <f>SUM(CO5:CO25)</f>
        <v>0</v>
      </c>
      <c r="CP33" s="103">
        <f>SUM(CP5:CP25)</f>
        <v>0</v>
      </c>
      <c r="CW33" s="179"/>
      <c r="CX33" s="179"/>
      <c r="CY33" s="305"/>
      <c r="CZ33" s="305"/>
      <c r="DA33" s="305"/>
      <c r="DB33" s="305"/>
      <c r="DC33" s="305"/>
      <c r="DD33" s="305"/>
      <c r="DE33" s="305"/>
      <c r="DF33" s="305"/>
      <c r="DG33" s="305"/>
      <c r="DH33" s="305"/>
      <c r="DI33" s="305"/>
      <c r="DJ33" s="305"/>
      <c r="DK33" s="305"/>
      <c r="DL33" s="305"/>
      <c r="DM33" s="305"/>
      <c r="DN33" s="305"/>
      <c r="DO33" s="305"/>
      <c r="DP33" s="305"/>
      <c r="DQ33" s="305"/>
      <c r="DR33" s="305"/>
      <c r="DS33" s="305"/>
      <c r="DT33" s="305"/>
      <c r="DU33" s="305"/>
      <c r="DV33" s="305"/>
      <c r="DW33" s="305"/>
      <c r="DX33" s="305"/>
      <c r="DY33" s="305"/>
      <c r="DZ33" s="305"/>
      <c r="EA33" s="305"/>
      <c r="EB33" s="305"/>
      <c r="EC33" s="305"/>
      <c r="ED33" s="305"/>
      <c r="EE33" s="305"/>
      <c r="EF33" s="305"/>
      <c r="EG33" s="305"/>
      <c r="EH33" s="305"/>
      <c r="EI33" s="305"/>
      <c r="EJ33" s="305"/>
      <c r="EK33" s="305"/>
      <c r="EL33" s="305"/>
      <c r="EM33" s="305"/>
      <c r="EN33" s="305"/>
      <c r="EO33" s="305"/>
      <c r="EP33" s="305"/>
      <c r="EQ33" s="305"/>
      <c r="ER33" s="305"/>
      <c r="ES33" s="305"/>
      <c r="ET33" s="305"/>
      <c r="EU33" s="305"/>
      <c r="EV33" s="305"/>
      <c r="EW33" s="305"/>
      <c r="EX33" s="305"/>
      <c r="EY33" s="305"/>
      <c r="EZ33" s="305"/>
      <c r="FA33" s="305"/>
      <c r="FB33" s="305"/>
      <c r="FC33" s="305"/>
      <c r="FD33" s="305"/>
      <c r="FE33" s="305"/>
      <c r="FF33" s="305"/>
      <c r="FG33" s="305"/>
      <c r="FH33" s="305"/>
      <c r="FI33" s="305"/>
      <c r="FJ33" s="305"/>
    </row>
    <row r="34" spans="1:166" ht="4.5" customHeight="1" x14ac:dyDescent="0.35">
      <c r="A34" s="53"/>
      <c r="B34" s="150"/>
      <c r="C34" s="53"/>
      <c r="D34" s="120"/>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6"/>
      <c r="AN34" s="96"/>
      <c r="AO34" s="96"/>
      <c r="AP34" s="96"/>
      <c r="AQ34" s="96"/>
      <c r="AR34" s="96"/>
      <c r="AS34" s="96"/>
      <c r="AT34" s="96"/>
      <c r="AU34" s="96"/>
      <c r="AV34" s="96"/>
      <c r="AW34" s="96"/>
      <c r="AX34" s="96"/>
      <c r="AY34" s="96"/>
      <c r="AZ34" s="96"/>
      <c r="BA34" s="96"/>
      <c r="BB34" s="96"/>
      <c r="BC34" s="96"/>
      <c r="BD34" s="96"/>
      <c r="BE34" s="96"/>
      <c r="BF34" s="96"/>
      <c r="BG34" s="96"/>
      <c r="BH34" s="96"/>
      <c r="BI34" s="96"/>
      <c r="BJ34" s="96"/>
      <c r="BK34" s="96"/>
      <c r="BL34" s="96"/>
      <c r="BM34" s="96"/>
      <c r="BN34" s="96"/>
      <c r="BO34" s="96"/>
      <c r="BP34" s="96"/>
      <c r="BQ34" s="96"/>
      <c r="BR34" s="1569"/>
      <c r="BS34" s="153">
        <v>1</v>
      </c>
      <c r="BT34" s="1569"/>
      <c r="BU34" s="113"/>
      <c r="BV34" s="53"/>
      <c r="BW34" s="96"/>
      <c r="BX34" s="96"/>
      <c r="BY34" s="96"/>
      <c r="BZ34" s="96"/>
      <c r="CA34" s="96"/>
      <c r="CB34" s="96"/>
      <c r="CC34" s="96"/>
      <c r="CD34" s="96"/>
      <c r="CE34" s="96"/>
      <c r="CF34" s="96"/>
      <c r="CG34" s="96"/>
      <c r="CH34" s="96"/>
      <c r="CI34" s="96"/>
      <c r="CJ34" s="96"/>
      <c r="CK34" s="96"/>
      <c r="CL34" s="96"/>
      <c r="CM34" s="96"/>
      <c r="CN34" s="96"/>
      <c r="CO34" s="96"/>
      <c r="CP34" s="96"/>
      <c r="CW34" s="179"/>
      <c r="CX34" s="179"/>
      <c r="CY34" s="305"/>
      <c r="CZ34" s="305"/>
      <c r="DA34" s="305"/>
      <c r="DB34" s="305"/>
      <c r="DC34" s="305"/>
      <c r="DD34" s="305"/>
      <c r="DE34" s="305"/>
      <c r="DF34" s="305"/>
      <c r="DG34" s="305"/>
      <c r="DH34" s="305"/>
      <c r="DI34" s="305"/>
      <c r="DJ34" s="305"/>
      <c r="DK34" s="305"/>
      <c r="DL34" s="305"/>
      <c r="DM34" s="305"/>
      <c r="DN34" s="305"/>
      <c r="DO34" s="305"/>
      <c r="DP34" s="305"/>
      <c r="DQ34" s="305"/>
      <c r="DR34" s="305"/>
      <c r="DS34" s="305"/>
      <c r="DT34" s="305"/>
      <c r="DU34" s="305"/>
      <c r="DV34" s="305"/>
      <c r="DW34" s="305"/>
      <c r="DX34" s="305"/>
      <c r="DY34" s="305"/>
      <c r="DZ34" s="305"/>
      <c r="EA34" s="305"/>
      <c r="EB34" s="305"/>
      <c r="EC34" s="305"/>
      <c r="ED34" s="305"/>
      <c r="EE34" s="305"/>
      <c r="EF34" s="305"/>
      <c r="EG34" s="305"/>
      <c r="EH34" s="305"/>
      <c r="EI34" s="305"/>
      <c r="EJ34" s="305"/>
      <c r="EK34" s="305"/>
      <c r="EL34" s="305"/>
      <c r="EM34" s="305"/>
      <c r="EN34" s="305"/>
      <c r="EO34" s="305"/>
      <c r="EP34" s="305"/>
      <c r="EQ34" s="305"/>
      <c r="ER34" s="305"/>
      <c r="ES34" s="305"/>
      <c r="ET34" s="305"/>
      <c r="EU34" s="305"/>
      <c r="EV34" s="305"/>
      <c r="EW34" s="305"/>
      <c r="EX34" s="305"/>
      <c r="EY34" s="305"/>
      <c r="EZ34" s="305"/>
      <c r="FA34" s="305"/>
      <c r="FB34" s="305"/>
      <c r="FC34" s="305"/>
      <c r="FD34" s="305"/>
      <c r="FE34" s="305"/>
      <c r="FF34" s="305"/>
      <c r="FG34" s="305"/>
      <c r="FH34" s="305"/>
      <c r="FI34" s="305"/>
      <c r="FJ34" s="305"/>
    </row>
    <row r="35" spans="1:166" ht="12.75" customHeight="1" x14ac:dyDescent="0.35">
      <c r="A35" s="136"/>
      <c r="B35" s="136"/>
      <c r="C35" s="136"/>
      <c r="D35" s="142" t="str">
        <f>IF(AND(Input!O21="Services",Infrastructure!AN27=Infrastructure!AO27),"Cost of Sales",IF(AND(Input!O21="Services",Infrastructure!AN27&lt;&gt;Infrastructure!AO27),"Cost of Sales - Hidden Rows with Values",IF(Infrastructure!AN27=Infrastructure!AO27,"Cost of Goods Sold","Cost of Goods Sold - Hidden Rows with Values")))</f>
        <v>Cost of Goods Sold</v>
      </c>
      <c r="E35" s="96"/>
      <c r="F35" s="96"/>
      <c r="G35" s="96"/>
      <c r="H35" s="96"/>
      <c r="I35" s="96"/>
      <c r="J35" s="96"/>
      <c r="K35" s="96"/>
      <c r="L35" s="96"/>
      <c r="M35" s="96"/>
      <c r="N35" s="96"/>
      <c r="O35" s="96"/>
      <c r="P35" s="96"/>
      <c r="Q35" s="151"/>
      <c r="R35" s="96"/>
      <c r="S35" s="96"/>
      <c r="T35" s="96"/>
      <c r="U35" s="96"/>
      <c r="V35" s="96"/>
      <c r="W35" s="96"/>
      <c r="X35" s="96"/>
      <c r="Y35" s="96"/>
      <c r="Z35" s="96"/>
      <c r="AA35" s="96"/>
      <c r="AB35" s="96"/>
      <c r="AC35" s="96"/>
      <c r="AD35" s="151"/>
      <c r="AE35" s="96"/>
      <c r="AF35" s="96"/>
      <c r="AG35" s="96"/>
      <c r="AH35" s="96"/>
      <c r="AI35" s="96"/>
      <c r="AJ35" s="96"/>
      <c r="AK35" s="96"/>
      <c r="AL35" s="96"/>
      <c r="AM35" s="96"/>
      <c r="AN35" s="96"/>
      <c r="AO35" s="96"/>
      <c r="AP35" s="96"/>
      <c r="AQ35" s="151"/>
      <c r="AR35" s="96"/>
      <c r="AS35" s="96"/>
      <c r="AT35" s="96"/>
      <c r="AU35" s="96"/>
      <c r="AV35" s="96"/>
      <c r="AW35" s="96"/>
      <c r="AX35" s="96"/>
      <c r="AY35" s="96"/>
      <c r="AZ35" s="96"/>
      <c r="BA35" s="96"/>
      <c r="BB35" s="96"/>
      <c r="BC35" s="96"/>
      <c r="BD35" s="151"/>
      <c r="BE35" s="96"/>
      <c r="BF35" s="96"/>
      <c r="BG35" s="96"/>
      <c r="BH35" s="96"/>
      <c r="BI35" s="96"/>
      <c r="BJ35" s="96"/>
      <c r="BK35" s="96"/>
      <c r="BL35" s="96"/>
      <c r="BM35" s="96"/>
      <c r="BN35" s="96"/>
      <c r="BO35" s="96"/>
      <c r="BP35" s="96"/>
      <c r="BQ35" s="151"/>
      <c r="BR35" s="1802"/>
      <c r="BS35" s="153">
        <v>1</v>
      </c>
      <c r="BT35" s="1802"/>
      <c r="BU35" s="153"/>
      <c r="BV35" s="138" t="s">
        <v>285</v>
      </c>
      <c r="BW35" s="151"/>
      <c r="BX35" s="151"/>
      <c r="BY35" s="151"/>
      <c r="BZ35" s="151"/>
      <c r="CA35" s="151"/>
      <c r="CB35" s="151"/>
      <c r="CC35" s="151"/>
      <c r="CD35" s="151"/>
      <c r="CE35" s="151"/>
      <c r="CF35" s="151"/>
      <c r="CG35" s="151"/>
      <c r="CH35" s="151"/>
      <c r="CI35" s="151"/>
      <c r="CJ35" s="151"/>
      <c r="CK35" s="151"/>
      <c r="CL35" s="151"/>
      <c r="CM35" s="151"/>
      <c r="CN35" s="151"/>
      <c r="CO35" s="151"/>
      <c r="CP35" s="151"/>
      <c r="CW35" s="179"/>
      <c r="CX35" s="179"/>
      <c r="CY35" s="305"/>
      <c r="CZ35" s="305"/>
      <c r="DA35" s="305"/>
      <c r="DB35" s="305"/>
      <c r="DC35" s="305"/>
      <c r="DD35" s="305"/>
      <c r="DE35" s="305"/>
      <c r="DF35" s="305"/>
      <c r="DG35" s="305"/>
      <c r="DH35" s="305"/>
      <c r="DI35" s="305"/>
      <c r="DJ35" s="305"/>
      <c r="DK35" s="305"/>
      <c r="DL35" s="305"/>
      <c r="DM35" s="305"/>
      <c r="DN35" s="305"/>
      <c r="DO35" s="305"/>
      <c r="DP35" s="305"/>
      <c r="DQ35" s="305"/>
      <c r="DR35" s="305"/>
      <c r="DS35" s="305"/>
      <c r="DT35" s="305"/>
      <c r="DU35" s="305"/>
      <c r="DV35" s="305"/>
      <c r="DW35" s="305"/>
      <c r="DX35" s="305"/>
      <c r="DY35" s="305"/>
      <c r="DZ35" s="305"/>
      <c r="EA35" s="305"/>
      <c r="EB35" s="305"/>
      <c r="EC35" s="305"/>
      <c r="ED35" s="305"/>
      <c r="EE35" s="305"/>
      <c r="EF35" s="305"/>
      <c r="EG35" s="305"/>
      <c r="EH35" s="305"/>
      <c r="EI35" s="305"/>
      <c r="EJ35" s="305"/>
      <c r="EK35" s="305"/>
      <c r="EL35" s="305"/>
      <c r="EM35" s="305"/>
      <c r="EN35" s="305"/>
      <c r="EO35" s="305"/>
      <c r="EP35" s="305"/>
      <c r="EQ35" s="305"/>
      <c r="ER35" s="305"/>
      <c r="ES35" s="305"/>
      <c r="ET35" s="305"/>
      <c r="EU35" s="305"/>
      <c r="EV35" s="305"/>
      <c r="EW35" s="305"/>
      <c r="EX35" s="305"/>
      <c r="EY35" s="305"/>
      <c r="EZ35" s="305"/>
      <c r="FA35" s="305"/>
      <c r="FB35" s="305"/>
      <c r="FC35" s="305"/>
      <c r="FD35" s="305"/>
      <c r="FE35" s="305"/>
      <c r="FF35" s="305"/>
      <c r="FG35" s="305"/>
      <c r="FH35" s="305"/>
      <c r="FI35" s="305"/>
      <c r="FJ35" s="305"/>
    </row>
    <row r="36" spans="1:166" ht="12.75" customHeight="1" x14ac:dyDescent="0.35">
      <c r="A36" s="136"/>
      <c r="B36" s="136"/>
      <c r="C36" s="136"/>
      <c r="D36" s="152" t="str">
        <f>D7</f>
        <v>Item 1</v>
      </c>
      <c r="E36" s="96">
        <f>Calcs!L239</f>
        <v>0</v>
      </c>
      <c r="F36" s="96">
        <f>Calcs!M239</f>
        <v>0</v>
      </c>
      <c r="G36" s="96">
        <f>Calcs!N239</f>
        <v>0</v>
      </c>
      <c r="H36" s="96">
        <f>Calcs!O239</f>
        <v>0</v>
      </c>
      <c r="I36" s="96">
        <f>Calcs!P239</f>
        <v>0</v>
      </c>
      <c r="J36" s="96">
        <f>Calcs!Q239</f>
        <v>0</v>
      </c>
      <c r="K36" s="96">
        <f>Calcs!R239</f>
        <v>0</v>
      </c>
      <c r="L36" s="96">
        <f>Calcs!S239</f>
        <v>0</v>
      </c>
      <c r="M36" s="96">
        <f>Calcs!T239</f>
        <v>0</v>
      </c>
      <c r="N36" s="96">
        <f>Calcs!U239</f>
        <v>0</v>
      </c>
      <c r="O36" s="96">
        <f>Calcs!V239</f>
        <v>0</v>
      </c>
      <c r="P36" s="96">
        <f>Calcs!W239</f>
        <v>0</v>
      </c>
      <c r="Q36" s="96">
        <f>SUM(E36:P36)</f>
        <v>0</v>
      </c>
      <c r="R36" s="96">
        <f>Calcs!X239</f>
        <v>0</v>
      </c>
      <c r="S36" s="96">
        <f>Calcs!Y239</f>
        <v>0</v>
      </c>
      <c r="T36" s="96">
        <f>Calcs!Z239</f>
        <v>0</v>
      </c>
      <c r="U36" s="96">
        <f>Calcs!AA239</f>
        <v>0</v>
      </c>
      <c r="V36" s="96">
        <f>Calcs!AB239</f>
        <v>0</v>
      </c>
      <c r="W36" s="96">
        <f>Calcs!AC239</f>
        <v>0</v>
      </c>
      <c r="X36" s="96">
        <f>Calcs!AD239</f>
        <v>0</v>
      </c>
      <c r="Y36" s="96">
        <f>Calcs!AE239</f>
        <v>0</v>
      </c>
      <c r="Z36" s="96">
        <f>Calcs!AF239</f>
        <v>0</v>
      </c>
      <c r="AA36" s="96">
        <f>Calcs!AG239</f>
        <v>0</v>
      </c>
      <c r="AB36" s="96">
        <f>Calcs!AH239</f>
        <v>0</v>
      </c>
      <c r="AC36" s="96">
        <f>Calcs!AI239</f>
        <v>0</v>
      </c>
      <c r="AD36" s="96">
        <f>SUM(R36:AC36)</f>
        <v>0</v>
      </c>
      <c r="AE36" s="96">
        <f>Calcs!AJ239</f>
        <v>0</v>
      </c>
      <c r="AF36" s="96">
        <f>Calcs!AK239</f>
        <v>0</v>
      </c>
      <c r="AG36" s="96">
        <f>Calcs!AL239</f>
        <v>0</v>
      </c>
      <c r="AH36" s="96">
        <f>Calcs!AM239</f>
        <v>0</v>
      </c>
      <c r="AI36" s="96">
        <f>Calcs!AN239</f>
        <v>0</v>
      </c>
      <c r="AJ36" s="96">
        <f>Calcs!AO239</f>
        <v>0</v>
      </c>
      <c r="AK36" s="96">
        <f>Calcs!AP239</f>
        <v>0</v>
      </c>
      <c r="AL36" s="96">
        <f>Calcs!AQ239</f>
        <v>0</v>
      </c>
      <c r="AM36" s="96">
        <f>Calcs!AR239</f>
        <v>0</v>
      </c>
      <c r="AN36" s="96">
        <f>Calcs!AS239</f>
        <v>0</v>
      </c>
      <c r="AO36" s="96">
        <f>Calcs!AT239</f>
        <v>0</v>
      </c>
      <c r="AP36" s="96">
        <f>Calcs!AU239</f>
        <v>0</v>
      </c>
      <c r="AQ36" s="96">
        <f>SUM(AE36:AP36)</f>
        <v>0</v>
      </c>
      <c r="AR36" s="96">
        <f>Calcs!AV239</f>
        <v>0</v>
      </c>
      <c r="AS36" s="96">
        <f>Calcs!AW239</f>
        <v>0</v>
      </c>
      <c r="AT36" s="96">
        <f>Calcs!AX239</f>
        <v>0</v>
      </c>
      <c r="AU36" s="96">
        <f>Calcs!AY239</f>
        <v>0</v>
      </c>
      <c r="AV36" s="96">
        <f>Calcs!AZ239</f>
        <v>0</v>
      </c>
      <c r="AW36" s="96">
        <f>Calcs!BA239</f>
        <v>0</v>
      </c>
      <c r="AX36" s="96">
        <f>Calcs!BB239</f>
        <v>0</v>
      </c>
      <c r="AY36" s="96">
        <f>Calcs!BC239</f>
        <v>0</v>
      </c>
      <c r="AZ36" s="96">
        <f>Calcs!BD239</f>
        <v>0</v>
      </c>
      <c r="BA36" s="96">
        <f>Calcs!BE239</f>
        <v>0</v>
      </c>
      <c r="BB36" s="96">
        <f>Calcs!BF239</f>
        <v>0</v>
      </c>
      <c r="BC36" s="96">
        <f>Calcs!BG239</f>
        <v>0</v>
      </c>
      <c r="BD36" s="96">
        <f>SUM(AR36:BC36)</f>
        <v>0</v>
      </c>
      <c r="BE36" s="96">
        <f>Calcs!BH239</f>
        <v>0</v>
      </c>
      <c r="BF36" s="96">
        <f>Calcs!BI239</f>
        <v>0</v>
      </c>
      <c r="BG36" s="96">
        <f>Calcs!BJ239</f>
        <v>0</v>
      </c>
      <c r="BH36" s="96">
        <f>Calcs!BK239</f>
        <v>0</v>
      </c>
      <c r="BI36" s="96">
        <f>Calcs!BL239</f>
        <v>0</v>
      </c>
      <c r="BJ36" s="96">
        <f>Calcs!BM239</f>
        <v>0</v>
      </c>
      <c r="BK36" s="96">
        <f>Calcs!BN239</f>
        <v>0</v>
      </c>
      <c r="BL36" s="96">
        <f>Calcs!BO239</f>
        <v>0</v>
      </c>
      <c r="BM36" s="96">
        <f>Calcs!BP239</f>
        <v>0</v>
      </c>
      <c r="BN36" s="96">
        <f>Calcs!BQ239</f>
        <v>0</v>
      </c>
      <c r="BO36" s="96">
        <f>Calcs!BR239</f>
        <v>0</v>
      </c>
      <c r="BP36" s="96">
        <f>Calcs!BS239</f>
        <v>0</v>
      </c>
      <c r="BQ36" s="96">
        <f>SUM(BE36:BP36)</f>
        <v>0</v>
      </c>
      <c r="BR36" s="1802"/>
      <c r="BS36" s="153">
        <f>SUM(BQ36,BD36,AQ36,AD36,Q36)</f>
        <v>0</v>
      </c>
      <c r="BT36" s="1802"/>
      <c r="BU36" s="153">
        <f>SUM(BQ36,BD36,AQ36,AD36,Q36)</f>
      </c>
      <c r="BV36" s="138"/>
      <c r="BW36" s="151"/>
      <c r="BX36" s="151"/>
      <c r="BY36" s="151"/>
      <c r="BZ36" s="151"/>
      <c r="CA36" s="151"/>
      <c r="CB36" s="151"/>
      <c r="CC36" s="151"/>
      <c r="CD36" s="151"/>
      <c r="CE36" s="151"/>
      <c r="CF36" s="151"/>
      <c r="CG36" s="151"/>
      <c r="CH36" s="151"/>
      <c r="CI36" s="151"/>
      <c r="CJ36" s="151"/>
      <c r="CK36" s="151"/>
      <c r="CL36" s="151"/>
      <c r="CM36" s="151"/>
      <c r="CN36" s="151"/>
      <c r="CO36" s="151"/>
      <c r="CP36" s="151"/>
      <c r="CW36" s="179"/>
      <c r="CX36" s="179"/>
      <c r="CY36" s="305"/>
      <c r="CZ36" s="305"/>
      <c r="DA36" s="305"/>
      <c r="DB36" s="305"/>
      <c r="DC36" s="305"/>
      <c r="DD36" s="305"/>
      <c r="DE36" s="305"/>
      <c r="DF36" s="305"/>
      <c r="DG36" s="305"/>
      <c r="DH36" s="305"/>
      <c r="DI36" s="305"/>
      <c r="DJ36" s="305"/>
      <c r="DK36" s="305"/>
      <c r="DL36" s="305"/>
      <c r="DM36" s="305"/>
      <c r="DN36" s="305"/>
      <c r="DO36" s="305"/>
      <c r="DP36" s="305"/>
      <c r="DQ36" s="305"/>
      <c r="DR36" s="305"/>
      <c r="DS36" s="305"/>
      <c r="DT36" s="305"/>
      <c r="DU36" s="305"/>
      <c r="DV36" s="305"/>
      <c r="DW36" s="305"/>
      <c r="DX36" s="305"/>
      <c r="DY36" s="305"/>
      <c r="DZ36" s="305"/>
      <c r="EA36" s="305"/>
      <c r="EB36" s="305"/>
      <c r="EC36" s="305"/>
      <c r="ED36" s="305"/>
      <c r="EE36" s="305"/>
      <c r="EF36" s="305"/>
      <c r="EG36" s="305"/>
      <c r="EH36" s="305"/>
      <c r="EI36" s="305"/>
      <c r="EJ36" s="305"/>
      <c r="EK36" s="305"/>
      <c r="EL36" s="305"/>
      <c r="EM36" s="305"/>
      <c r="EN36" s="305"/>
      <c r="EO36" s="305"/>
      <c r="EP36" s="305"/>
      <c r="EQ36" s="305"/>
      <c r="ER36" s="305"/>
      <c r="ES36" s="305"/>
      <c r="ET36" s="305"/>
      <c r="EU36" s="305"/>
      <c r="EV36" s="305"/>
      <c r="EW36" s="305"/>
      <c r="EX36" s="305"/>
      <c r="EY36" s="305"/>
      <c r="EZ36" s="305"/>
      <c r="FA36" s="305"/>
      <c r="FB36" s="305"/>
      <c r="FC36" s="305"/>
      <c r="FD36" s="305"/>
      <c r="FE36" s="305"/>
      <c r="FF36" s="305"/>
      <c r="FG36" s="305"/>
      <c r="FH36" s="305"/>
      <c r="FI36" s="305"/>
      <c r="FJ36" s="305"/>
    </row>
    <row r="37" spans="1:166" ht="12.75" customHeight="1" x14ac:dyDescent="0.35">
      <c r="A37" s="136"/>
      <c r="B37" s="136"/>
      <c r="C37" s="136"/>
      <c r="D37" s="152" t="str">
        <f>D8</f>
        <v>Item 2</v>
      </c>
      <c r="E37" s="96">
        <f>Calcs!L240</f>
        <v>0</v>
      </c>
      <c r="F37" s="96">
        <f>Calcs!M240</f>
        <v>0</v>
      </c>
      <c r="G37" s="96">
        <f>Calcs!N240</f>
        <v>0</v>
      </c>
      <c r="H37" s="96">
        <f>Calcs!O240</f>
        <v>0</v>
      </c>
      <c r="I37" s="96">
        <f>Calcs!P240</f>
        <v>0</v>
      </c>
      <c r="J37" s="96">
        <f>Calcs!Q240</f>
        <v>0</v>
      </c>
      <c r="K37" s="96">
        <f>Calcs!R240</f>
        <v>0</v>
      </c>
      <c r="L37" s="96">
        <f>Calcs!S240</f>
        <v>0</v>
      </c>
      <c r="M37" s="96">
        <f>Calcs!T240</f>
        <v>0</v>
      </c>
      <c r="N37" s="96">
        <f>Calcs!U240</f>
        <v>0</v>
      </c>
      <c r="O37" s="96">
        <f>Calcs!V240</f>
        <v>0</v>
      </c>
      <c r="P37" s="96">
        <f>Calcs!W240</f>
        <v>0</v>
      </c>
      <c r="Q37" s="96">
        <f>SUM(E37:P37)</f>
        <v>0</v>
      </c>
      <c r="R37" s="96">
        <f>Calcs!X240</f>
        <v>0</v>
      </c>
      <c r="S37" s="96">
        <f>Calcs!Y240</f>
        <v>0</v>
      </c>
      <c r="T37" s="96">
        <f>Calcs!Z240</f>
        <v>0</v>
      </c>
      <c r="U37" s="96">
        <f>Calcs!AA240</f>
        <v>0</v>
      </c>
      <c r="V37" s="96">
        <f>Calcs!AB240</f>
        <v>0</v>
      </c>
      <c r="W37" s="96">
        <f>Calcs!AC240</f>
        <v>0</v>
      </c>
      <c r="X37" s="96">
        <f>Calcs!AD240</f>
        <v>0</v>
      </c>
      <c r="Y37" s="96">
        <f>Calcs!AE240</f>
        <v>0</v>
      </c>
      <c r="Z37" s="96">
        <f>Calcs!AF240</f>
        <v>0</v>
      </c>
      <c r="AA37" s="96">
        <f>Calcs!AG240</f>
        <v>0</v>
      </c>
      <c r="AB37" s="96">
        <f>Calcs!AH240</f>
        <v>0</v>
      </c>
      <c r="AC37" s="96">
        <f>Calcs!AI240</f>
        <v>0</v>
      </c>
      <c r="AD37" s="96">
        <f>SUM(R37:AC37)</f>
        <v>0</v>
      </c>
      <c r="AE37" s="96">
        <f>Calcs!AJ240</f>
        <v>0</v>
      </c>
      <c r="AF37" s="96">
        <f>Calcs!AK240</f>
        <v>0</v>
      </c>
      <c r="AG37" s="96">
        <f>Calcs!AL240</f>
        <v>0</v>
      </c>
      <c r="AH37" s="96">
        <f>Calcs!AM240</f>
        <v>0</v>
      </c>
      <c r="AI37" s="96">
        <f>Calcs!AN240</f>
        <v>0</v>
      </c>
      <c r="AJ37" s="96">
        <f>Calcs!AO240</f>
        <v>0</v>
      </c>
      <c r="AK37" s="96">
        <f>Calcs!AP240</f>
        <v>0</v>
      </c>
      <c r="AL37" s="96">
        <f>Calcs!AQ240</f>
        <v>0</v>
      </c>
      <c r="AM37" s="96">
        <f>Calcs!AR240</f>
        <v>0</v>
      </c>
      <c r="AN37" s="96">
        <f>Calcs!AS240</f>
        <v>0</v>
      </c>
      <c r="AO37" s="96">
        <f>Calcs!AT240</f>
        <v>0</v>
      </c>
      <c r="AP37" s="96">
        <f>Calcs!AU240</f>
        <v>0</v>
      </c>
      <c r="AQ37" s="96">
        <f>SUM(AE37:AP37)</f>
        <v>0</v>
      </c>
      <c r="AR37" s="96">
        <f>Calcs!AV240</f>
        <v>0</v>
      </c>
      <c r="AS37" s="96">
        <f>Calcs!AW240</f>
        <v>0</v>
      </c>
      <c r="AT37" s="96">
        <f>Calcs!AX240</f>
        <v>0</v>
      </c>
      <c r="AU37" s="96">
        <f>Calcs!AY240</f>
        <v>0</v>
      </c>
      <c r="AV37" s="96">
        <f>Calcs!AZ240</f>
        <v>0</v>
      </c>
      <c r="AW37" s="96">
        <f>Calcs!BA240</f>
        <v>0</v>
      </c>
      <c r="AX37" s="96">
        <f>Calcs!BB240</f>
        <v>0</v>
      </c>
      <c r="AY37" s="96">
        <f>Calcs!BC240</f>
        <v>0</v>
      </c>
      <c r="AZ37" s="96">
        <f>Calcs!BD240</f>
        <v>0</v>
      </c>
      <c r="BA37" s="96">
        <f>Calcs!BE240</f>
        <v>0</v>
      </c>
      <c r="BB37" s="96">
        <f>Calcs!BF240</f>
        <v>0</v>
      </c>
      <c r="BC37" s="96">
        <f>Calcs!BG240</f>
        <v>0</v>
      </c>
      <c r="BD37" s="96">
        <f>SUM(AR37:BC37)</f>
        <v>0</v>
      </c>
      <c r="BE37" s="96">
        <f>Calcs!BH240</f>
        <v>0</v>
      </c>
      <c r="BF37" s="96">
        <f>Calcs!BI240</f>
        <v>0</v>
      </c>
      <c r="BG37" s="96">
        <f>Calcs!BJ240</f>
        <v>0</v>
      </c>
      <c r="BH37" s="96">
        <f>Calcs!BK240</f>
        <v>0</v>
      </c>
      <c r="BI37" s="96">
        <f>Calcs!BL240</f>
        <v>0</v>
      </c>
      <c r="BJ37" s="96">
        <f>Calcs!BM240</f>
        <v>0</v>
      </c>
      <c r="BK37" s="96">
        <f>Calcs!BN240</f>
        <v>0</v>
      </c>
      <c r="BL37" s="96">
        <f>Calcs!BO240</f>
        <v>0</v>
      </c>
      <c r="BM37" s="96">
        <f>Calcs!BP240</f>
        <v>0</v>
      </c>
      <c r="BN37" s="96">
        <f>Calcs!BQ240</f>
        <v>0</v>
      </c>
      <c r="BO37" s="96">
        <f>Calcs!BR240</f>
        <v>0</v>
      </c>
      <c r="BP37" s="96">
        <f>Calcs!BS240</f>
        <v>0</v>
      </c>
      <c r="BQ37" s="96">
        <f>SUM(BE37:BP37)</f>
        <v>0</v>
      </c>
      <c r="BR37" s="1802"/>
      <c r="BS37" s="153">
        <f>SUM(BQ37,BD37,AQ37,AD37,Q37)</f>
        <v>0</v>
      </c>
      <c r="BT37" s="1802"/>
      <c r="BU37" s="153">
        <f>SUM(BQ37,BD37,AQ37,AD37,Q37)</f>
      </c>
      <c r="BV37" s="138"/>
      <c r="BW37" s="151"/>
      <c r="BX37" s="151"/>
      <c r="BY37" s="151"/>
      <c r="BZ37" s="151"/>
      <c r="CA37" s="151"/>
      <c r="CB37" s="151"/>
      <c r="CC37" s="151"/>
      <c r="CD37" s="151"/>
      <c r="CE37" s="151"/>
      <c r="CF37" s="151"/>
      <c r="CG37" s="151"/>
      <c r="CH37" s="151"/>
      <c r="CI37" s="151"/>
      <c r="CJ37" s="151"/>
      <c r="CK37" s="151"/>
      <c r="CL37" s="151"/>
      <c r="CM37" s="151"/>
      <c r="CN37" s="151"/>
      <c r="CO37" s="151"/>
      <c r="CP37" s="151"/>
      <c r="CW37" s="179"/>
      <c r="CX37" s="179"/>
      <c r="CY37" s="305"/>
      <c r="CZ37" s="305"/>
      <c r="DA37" s="305"/>
      <c r="DB37" s="305"/>
      <c r="DC37" s="305"/>
      <c r="DD37" s="305"/>
      <c r="DE37" s="305"/>
      <c r="DF37" s="305"/>
      <c r="DG37" s="305"/>
      <c r="DH37" s="305"/>
      <c r="DI37" s="305"/>
      <c r="DJ37" s="305"/>
      <c r="DK37" s="305"/>
      <c r="DL37" s="305"/>
      <c r="DM37" s="305"/>
      <c r="DN37" s="305"/>
      <c r="DO37" s="305"/>
      <c r="DP37" s="305"/>
      <c r="DQ37" s="305"/>
      <c r="DR37" s="305"/>
      <c r="DS37" s="305"/>
      <c r="DT37" s="305"/>
      <c r="DU37" s="305"/>
      <c r="DV37" s="305"/>
      <c r="DW37" s="305"/>
      <c r="DX37" s="305"/>
      <c r="DY37" s="305"/>
      <c r="DZ37" s="305"/>
      <c r="EA37" s="305"/>
      <c r="EB37" s="305"/>
      <c r="EC37" s="305"/>
      <c r="ED37" s="305"/>
      <c r="EE37" s="305"/>
      <c r="EF37" s="305"/>
      <c r="EG37" s="305"/>
      <c r="EH37" s="305"/>
      <c r="EI37" s="305"/>
      <c r="EJ37" s="305"/>
      <c r="EK37" s="305"/>
      <c r="EL37" s="305"/>
      <c r="EM37" s="305"/>
      <c r="EN37" s="305"/>
      <c r="EO37" s="305"/>
      <c r="EP37" s="305"/>
      <c r="EQ37" s="305"/>
      <c r="ER37" s="305"/>
      <c r="ES37" s="305"/>
      <c r="ET37" s="305"/>
      <c r="EU37" s="305"/>
      <c r="EV37" s="305"/>
      <c r="EW37" s="305"/>
      <c r="EX37" s="305"/>
      <c r="EY37" s="305"/>
      <c r="EZ37" s="305"/>
      <c r="FA37" s="305"/>
      <c r="FB37" s="305"/>
      <c r="FC37" s="305"/>
      <c r="FD37" s="305"/>
      <c r="FE37" s="305"/>
      <c r="FF37" s="305"/>
      <c r="FG37" s="305"/>
      <c r="FH37" s="305"/>
      <c r="FI37" s="305"/>
      <c r="FJ37" s="305"/>
    </row>
    <row r="38" spans="1:166" ht="12.75" customHeight="1" x14ac:dyDescent="0.35">
      <c r="A38" s="136"/>
      <c r="B38" s="136"/>
      <c r="C38" s="136"/>
      <c r="D38" s="152" t="str">
        <f>D9</f>
        <v>Item 3</v>
      </c>
      <c r="E38" s="96">
        <f>Calcs!L241</f>
        <v>0</v>
      </c>
      <c r="F38" s="96">
        <f>Calcs!M241</f>
        <v>0</v>
      </c>
      <c r="G38" s="96">
        <f>Calcs!N241</f>
        <v>0</v>
      </c>
      <c r="H38" s="96">
        <f>Calcs!O241</f>
        <v>0</v>
      </c>
      <c r="I38" s="96">
        <f>Calcs!P241</f>
        <v>0</v>
      </c>
      <c r="J38" s="96">
        <f>Calcs!Q241</f>
        <v>0</v>
      </c>
      <c r="K38" s="96">
        <f>Calcs!R241</f>
        <v>0</v>
      </c>
      <c r="L38" s="96">
        <f>Calcs!S241</f>
        <v>0</v>
      </c>
      <c r="M38" s="96">
        <f>Calcs!T241</f>
        <v>0</v>
      </c>
      <c r="N38" s="96">
        <f>Calcs!U241</f>
        <v>0</v>
      </c>
      <c r="O38" s="96">
        <f>Calcs!V241</f>
        <v>0</v>
      </c>
      <c r="P38" s="96">
        <f>Calcs!W241</f>
        <v>0</v>
      </c>
      <c r="Q38" s="96">
        <f>SUM(E38:P38)</f>
        <v>0</v>
      </c>
      <c r="R38" s="96">
        <f>Calcs!X241</f>
        <v>0</v>
      </c>
      <c r="S38" s="96">
        <f>Calcs!Y241</f>
        <v>0</v>
      </c>
      <c r="T38" s="96">
        <f>Calcs!Z241</f>
        <v>0</v>
      </c>
      <c r="U38" s="96">
        <f>Calcs!AA241</f>
        <v>0</v>
      </c>
      <c r="V38" s="96">
        <f>Calcs!AB241</f>
        <v>0</v>
      </c>
      <c r="W38" s="96">
        <f>Calcs!AC241</f>
        <v>0</v>
      </c>
      <c r="X38" s="96">
        <f>Calcs!AD241</f>
        <v>0</v>
      </c>
      <c r="Y38" s="96">
        <f>Calcs!AE241</f>
        <v>0</v>
      </c>
      <c r="Z38" s="96">
        <f>Calcs!AF241</f>
        <v>0</v>
      </c>
      <c r="AA38" s="96">
        <f>Calcs!AG241</f>
        <v>0</v>
      </c>
      <c r="AB38" s="96">
        <f>Calcs!AH241</f>
        <v>0</v>
      </c>
      <c r="AC38" s="96">
        <f>Calcs!AI241</f>
        <v>0</v>
      </c>
      <c r="AD38" s="96">
        <f>SUM(R38:AC38)</f>
        <v>0</v>
      </c>
      <c r="AE38" s="96">
        <f>Calcs!AJ241</f>
        <v>0</v>
      </c>
      <c r="AF38" s="96">
        <f>Calcs!AK241</f>
        <v>0</v>
      </c>
      <c r="AG38" s="96">
        <f>Calcs!AL241</f>
        <v>0</v>
      </c>
      <c r="AH38" s="96">
        <f>Calcs!AM241</f>
        <v>0</v>
      </c>
      <c r="AI38" s="96">
        <f>Calcs!AN241</f>
        <v>0</v>
      </c>
      <c r="AJ38" s="96">
        <f>Calcs!AO241</f>
        <v>0</v>
      </c>
      <c r="AK38" s="96">
        <f>Calcs!AP241</f>
        <v>0</v>
      </c>
      <c r="AL38" s="96">
        <f>Calcs!AQ241</f>
        <v>0</v>
      </c>
      <c r="AM38" s="96">
        <f>Calcs!AR241</f>
        <v>0</v>
      </c>
      <c r="AN38" s="96">
        <f>Calcs!AS241</f>
        <v>0</v>
      </c>
      <c r="AO38" s="96">
        <f>Calcs!AT241</f>
        <v>0</v>
      </c>
      <c r="AP38" s="96">
        <f>Calcs!AU241</f>
        <v>0</v>
      </c>
      <c r="AQ38" s="96">
        <f>SUM(AE38:AP38)</f>
        <v>0</v>
      </c>
      <c r="AR38" s="96">
        <f>Calcs!AV241</f>
        <v>0</v>
      </c>
      <c r="AS38" s="96">
        <f>Calcs!AW241</f>
        <v>0</v>
      </c>
      <c r="AT38" s="96">
        <f>Calcs!AX241</f>
        <v>0</v>
      </c>
      <c r="AU38" s="96">
        <f>Calcs!AY241</f>
        <v>0</v>
      </c>
      <c r="AV38" s="96">
        <f>Calcs!AZ241</f>
        <v>0</v>
      </c>
      <c r="AW38" s="96">
        <f>Calcs!BA241</f>
        <v>0</v>
      </c>
      <c r="AX38" s="96">
        <f>Calcs!BB241</f>
        <v>0</v>
      </c>
      <c r="AY38" s="96">
        <f>Calcs!BC241</f>
        <v>0</v>
      </c>
      <c r="AZ38" s="96">
        <f>Calcs!BD241</f>
        <v>0</v>
      </c>
      <c r="BA38" s="96">
        <f>Calcs!BE241</f>
        <v>0</v>
      </c>
      <c r="BB38" s="96">
        <f>Calcs!BF241</f>
        <v>0</v>
      </c>
      <c r="BC38" s="96">
        <f>Calcs!BG241</f>
        <v>0</v>
      </c>
      <c r="BD38" s="96">
        <f>SUM(AR38:BC38)</f>
        <v>0</v>
      </c>
      <c r="BE38" s="96">
        <f>Calcs!BH241</f>
        <v>0</v>
      </c>
      <c r="BF38" s="96">
        <f>Calcs!BI241</f>
        <v>0</v>
      </c>
      <c r="BG38" s="96">
        <f>Calcs!BJ241</f>
        <v>0</v>
      </c>
      <c r="BH38" s="96">
        <f>Calcs!BK241</f>
        <v>0</v>
      </c>
      <c r="BI38" s="96">
        <f>Calcs!BL241</f>
        <v>0</v>
      </c>
      <c r="BJ38" s="96">
        <f>Calcs!BM241</f>
        <v>0</v>
      </c>
      <c r="BK38" s="96">
        <f>Calcs!BN241</f>
        <v>0</v>
      </c>
      <c r="BL38" s="96">
        <f>Calcs!BO241</f>
        <v>0</v>
      </c>
      <c r="BM38" s="96">
        <f>Calcs!BP241</f>
        <v>0</v>
      </c>
      <c r="BN38" s="96">
        <f>Calcs!BQ241</f>
        <v>0</v>
      </c>
      <c r="BO38" s="96">
        <f>Calcs!BR241</f>
        <v>0</v>
      </c>
      <c r="BP38" s="96">
        <f>Calcs!BS241</f>
        <v>0</v>
      </c>
      <c r="BQ38" s="96">
        <f>SUM(BE38:BP38)</f>
        <v>0</v>
      </c>
      <c r="BR38" s="1802"/>
      <c r="BS38" s="153">
        <f>SUM(BQ38,BD38,AQ38,AD38,Q38)</f>
        <v>0</v>
      </c>
      <c r="BT38" s="1802"/>
      <c r="BU38" s="153">
        <f>SUM(BQ38,BD38,AQ38,AD38,Q38)</f>
      </c>
      <c r="BV38" s="138"/>
      <c r="BW38" s="151"/>
      <c r="BX38" s="151"/>
      <c r="BY38" s="151"/>
      <c r="BZ38" s="151"/>
      <c r="CA38" s="151"/>
      <c r="CB38" s="151"/>
      <c r="CC38" s="151"/>
      <c r="CD38" s="151"/>
      <c r="CE38" s="151"/>
      <c r="CF38" s="151"/>
      <c r="CG38" s="151"/>
      <c r="CH38" s="151"/>
      <c r="CI38" s="151"/>
      <c r="CJ38" s="151"/>
      <c r="CK38" s="151"/>
      <c r="CL38" s="151"/>
      <c r="CM38" s="151"/>
      <c r="CN38" s="151"/>
      <c r="CO38" s="151"/>
      <c r="CP38" s="151"/>
      <c r="CW38" s="179"/>
      <c r="CX38" s="179"/>
      <c r="CY38" s="305"/>
      <c r="CZ38" s="305"/>
      <c r="DA38" s="305"/>
      <c r="DB38" s="305"/>
      <c r="DC38" s="305"/>
      <c r="DD38" s="305"/>
      <c r="DE38" s="305"/>
      <c r="DF38" s="305"/>
      <c r="DG38" s="305"/>
      <c r="DH38" s="305"/>
      <c r="DI38" s="305"/>
      <c r="DJ38" s="305"/>
      <c r="DK38" s="305"/>
      <c r="DL38" s="305"/>
      <c r="DM38" s="305"/>
      <c r="DN38" s="305"/>
      <c r="DO38" s="305"/>
      <c r="DP38" s="305"/>
      <c r="DQ38" s="305"/>
      <c r="DR38" s="305"/>
      <c r="DS38" s="305"/>
      <c r="DT38" s="305"/>
      <c r="DU38" s="305"/>
      <c r="DV38" s="305"/>
      <c r="DW38" s="305"/>
      <c r="DX38" s="305"/>
      <c r="DY38" s="305"/>
      <c r="DZ38" s="305"/>
      <c r="EA38" s="305"/>
      <c r="EB38" s="305"/>
      <c r="EC38" s="305"/>
      <c r="ED38" s="305"/>
      <c r="EE38" s="305"/>
      <c r="EF38" s="305"/>
      <c r="EG38" s="305"/>
      <c r="EH38" s="305"/>
      <c r="EI38" s="305"/>
      <c r="EJ38" s="305"/>
      <c r="EK38" s="305"/>
      <c r="EL38" s="305"/>
      <c r="EM38" s="305"/>
      <c r="EN38" s="305"/>
      <c r="EO38" s="305"/>
      <c r="EP38" s="305"/>
      <c r="EQ38" s="305"/>
      <c r="ER38" s="305"/>
      <c r="ES38" s="305"/>
      <c r="ET38" s="305"/>
      <c r="EU38" s="305"/>
      <c r="EV38" s="305"/>
      <c r="EW38" s="305"/>
      <c r="EX38" s="305"/>
      <c r="EY38" s="305"/>
      <c r="EZ38" s="305"/>
      <c r="FA38" s="305"/>
      <c r="FB38" s="305"/>
      <c r="FC38" s="305"/>
      <c r="FD38" s="305"/>
      <c r="FE38" s="305"/>
      <c r="FF38" s="305"/>
      <c r="FG38" s="305"/>
      <c r="FH38" s="305"/>
      <c r="FI38" s="305"/>
      <c r="FJ38" s="305"/>
    </row>
    <row r="39" spans="1:166" ht="12.75" customHeight="1" x14ac:dyDescent="0.35" hidden="1">
      <c r="A39" s="136"/>
      <c r="B39" s="136"/>
      <c r="C39" s="136"/>
      <c r="D39" s="152" t="str">
        <f>D10</f>
        <v>Item 4</v>
      </c>
      <c r="E39" s="96">
        <f>Calcs!L242</f>
        <v>0</v>
      </c>
      <c r="F39" s="96">
        <f>Calcs!M242</f>
        <v>0</v>
      </c>
      <c r="G39" s="96">
        <f>Calcs!N242</f>
        <v>0</v>
      </c>
      <c r="H39" s="96">
        <f>Calcs!O242</f>
        <v>0</v>
      </c>
      <c r="I39" s="96">
        <f>Calcs!P242</f>
        <v>0</v>
      </c>
      <c r="J39" s="96">
        <f>Calcs!Q242</f>
        <v>0</v>
      </c>
      <c r="K39" s="96">
        <f>Calcs!R242</f>
        <v>0</v>
      </c>
      <c r="L39" s="96">
        <f>Calcs!S242</f>
        <v>0</v>
      </c>
      <c r="M39" s="96">
        <f>Calcs!T242</f>
        <v>0</v>
      </c>
      <c r="N39" s="96">
        <f>Calcs!U242</f>
        <v>0</v>
      </c>
      <c r="O39" s="96">
        <f>Calcs!V242</f>
        <v>0</v>
      </c>
      <c r="P39" s="96">
        <f>Calcs!W242</f>
        <v>0</v>
      </c>
      <c r="Q39" s="96">
        <f>SUM(E39:P39)</f>
        <v>0</v>
      </c>
      <c r="R39" s="96">
        <f>Calcs!X242</f>
        <v>0</v>
      </c>
      <c r="S39" s="96">
        <f>Calcs!Y242</f>
        <v>0</v>
      </c>
      <c r="T39" s="96">
        <f>Calcs!Z242</f>
        <v>0</v>
      </c>
      <c r="U39" s="96">
        <f>Calcs!AA242</f>
        <v>0</v>
      </c>
      <c r="V39" s="96">
        <f>Calcs!AB242</f>
        <v>0</v>
      </c>
      <c r="W39" s="96">
        <f>Calcs!AC242</f>
        <v>0</v>
      </c>
      <c r="X39" s="96">
        <f>Calcs!AD242</f>
        <v>0</v>
      </c>
      <c r="Y39" s="96">
        <f>Calcs!AE242</f>
        <v>0</v>
      </c>
      <c r="Z39" s="96">
        <f>Calcs!AF242</f>
        <v>0</v>
      </c>
      <c r="AA39" s="96">
        <f>Calcs!AG242</f>
        <v>0</v>
      </c>
      <c r="AB39" s="96">
        <f>Calcs!AH242</f>
        <v>0</v>
      </c>
      <c r="AC39" s="96">
        <f>Calcs!AI242</f>
        <v>0</v>
      </c>
      <c r="AD39" s="96">
        <f>SUM(R39:AC39)</f>
        <v>0</v>
      </c>
      <c r="AE39" s="96">
        <f>Calcs!AJ242</f>
        <v>0</v>
      </c>
      <c r="AF39" s="96">
        <f>Calcs!AK242</f>
        <v>0</v>
      </c>
      <c r="AG39" s="96">
        <f>Calcs!AL242</f>
        <v>0</v>
      </c>
      <c r="AH39" s="96">
        <f>Calcs!AM242</f>
        <v>0</v>
      </c>
      <c r="AI39" s="96">
        <f>Calcs!AN242</f>
        <v>0</v>
      </c>
      <c r="AJ39" s="96">
        <f>Calcs!AO242</f>
        <v>0</v>
      </c>
      <c r="AK39" s="96">
        <f>Calcs!AP242</f>
        <v>0</v>
      </c>
      <c r="AL39" s="96">
        <f>Calcs!AQ242</f>
        <v>0</v>
      </c>
      <c r="AM39" s="96">
        <f>Calcs!AR242</f>
        <v>0</v>
      </c>
      <c r="AN39" s="96">
        <f>Calcs!AS242</f>
        <v>0</v>
      </c>
      <c r="AO39" s="96">
        <f>Calcs!AT242</f>
        <v>0</v>
      </c>
      <c r="AP39" s="96">
        <f>Calcs!AU242</f>
        <v>0</v>
      </c>
      <c r="AQ39" s="96">
        <f>SUM(AE39:AP39)</f>
        <v>0</v>
      </c>
      <c r="AR39" s="96">
        <f>Calcs!AV242</f>
        <v>0</v>
      </c>
      <c r="AS39" s="96">
        <f>Calcs!AW242</f>
        <v>0</v>
      </c>
      <c r="AT39" s="96">
        <f>Calcs!AX242</f>
        <v>0</v>
      </c>
      <c r="AU39" s="96">
        <f>Calcs!AY242</f>
        <v>0</v>
      </c>
      <c r="AV39" s="96">
        <f>Calcs!AZ242</f>
        <v>0</v>
      </c>
      <c r="AW39" s="96">
        <f>Calcs!BA242</f>
        <v>0</v>
      </c>
      <c r="AX39" s="96">
        <f>Calcs!BB242</f>
        <v>0</v>
      </c>
      <c r="AY39" s="96">
        <f>Calcs!BC242</f>
        <v>0</v>
      </c>
      <c r="AZ39" s="96">
        <f>Calcs!BD242</f>
        <v>0</v>
      </c>
      <c r="BA39" s="96">
        <f>Calcs!BE242</f>
        <v>0</v>
      </c>
      <c r="BB39" s="96">
        <f>Calcs!BF242</f>
        <v>0</v>
      </c>
      <c r="BC39" s="96">
        <f>Calcs!BG242</f>
        <v>0</v>
      </c>
      <c r="BD39" s="96">
        <f>SUM(AR39:BC39)</f>
        <v>0</v>
      </c>
      <c r="BE39" s="96">
        <f>Calcs!BH242</f>
        <v>0</v>
      </c>
      <c r="BF39" s="96">
        <f>Calcs!BI242</f>
        <v>0</v>
      </c>
      <c r="BG39" s="96">
        <f>Calcs!BJ242</f>
        <v>0</v>
      </c>
      <c r="BH39" s="96">
        <f>Calcs!BK242</f>
        <v>0</v>
      </c>
      <c r="BI39" s="96">
        <f>Calcs!BL242</f>
        <v>0</v>
      </c>
      <c r="BJ39" s="96">
        <f>Calcs!BM242</f>
        <v>0</v>
      </c>
      <c r="BK39" s="96">
        <f>Calcs!BN242</f>
        <v>0</v>
      </c>
      <c r="BL39" s="96">
        <f>Calcs!BO242</f>
        <v>0</v>
      </c>
      <c r="BM39" s="96">
        <f>Calcs!BP242</f>
        <v>0</v>
      </c>
      <c r="BN39" s="96">
        <f>Calcs!BQ242</f>
        <v>0</v>
      </c>
      <c r="BO39" s="96">
        <f>Calcs!BR242</f>
        <v>0</v>
      </c>
      <c r="BP39" s="96">
        <f>Calcs!BS242</f>
        <v>0</v>
      </c>
      <c r="BQ39" s="96">
        <f>SUM(BE39:BP39)</f>
        <v>0</v>
      </c>
      <c r="BR39" s="1802"/>
      <c r="BS39" s="153">
        <f>SUM(BQ39,BD39,AQ39,AD39,Q39)</f>
        <v>0</v>
      </c>
      <c r="BT39" s="1802"/>
      <c r="BU39" s="153">
        <f>SUM(BQ39,BD39,AQ39,AD39,Q39)</f>
      </c>
      <c r="BV39" s="138"/>
      <c r="BW39" s="151"/>
      <c r="BX39" s="151"/>
      <c r="BY39" s="151"/>
      <c r="BZ39" s="151"/>
      <c r="CA39" s="151"/>
      <c r="CB39" s="151"/>
      <c r="CC39" s="151"/>
      <c r="CD39" s="151"/>
      <c r="CE39" s="151"/>
      <c r="CF39" s="151"/>
      <c r="CG39" s="151"/>
      <c r="CH39" s="151"/>
      <c r="CI39" s="151"/>
      <c r="CJ39" s="151"/>
      <c r="CK39" s="151"/>
      <c r="CL39" s="151"/>
      <c r="CM39" s="151"/>
      <c r="CN39" s="151"/>
      <c r="CO39" s="151"/>
      <c r="CP39" s="151"/>
      <c r="CW39" s="179"/>
      <c r="CX39" s="179"/>
      <c r="CY39" s="305"/>
      <c r="CZ39" s="305"/>
      <c r="DA39" s="305"/>
      <c r="DB39" s="305"/>
      <c r="DC39" s="305"/>
      <c r="DD39" s="305"/>
      <c r="DE39" s="305"/>
      <c r="DF39" s="305"/>
      <c r="DG39" s="305"/>
      <c r="DH39" s="305"/>
      <c r="DI39" s="305"/>
      <c r="DJ39" s="305"/>
      <c r="DK39" s="305"/>
      <c r="DL39" s="305"/>
      <c r="DM39" s="305"/>
      <c r="DN39" s="305"/>
      <c r="DO39" s="305"/>
      <c r="DP39" s="305"/>
      <c r="DQ39" s="305"/>
      <c r="DR39" s="305"/>
      <c r="DS39" s="305"/>
      <c r="DT39" s="305"/>
      <c r="DU39" s="305"/>
      <c r="DV39" s="305"/>
      <c r="DW39" s="305"/>
      <c r="DX39" s="305"/>
      <c r="DY39" s="305"/>
      <c r="DZ39" s="305"/>
      <c r="EA39" s="305"/>
      <c r="EB39" s="305"/>
      <c r="EC39" s="305"/>
      <c r="ED39" s="305"/>
      <c r="EE39" s="305"/>
      <c r="EF39" s="305"/>
      <c r="EG39" s="305"/>
      <c r="EH39" s="305"/>
      <c r="EI39" s="305"/>
      <c r="EJ39" s="305"/>
      <c r="EK39" s="305"/>
      <c r="EL39" s="305"/>
      <c r="EM39" s="305"/>
      <c r="EN39" s="305"/>
      <c r="EO39" s="305"/>
      <c r="EP39" s="305"/>
      <c r="EQ39" s="305"/>
      <c r="ER39" s="305"/>
      <c r="ES39" s="305"/>
      <c r="ET39" s="305"/>
      <c r="EU39" s="305"/>
      <c r="EV39" s="305"/>
      <c r="EW39" s="305"/>
      <c r="EX39" s="305"/>
      <c r="EY39" s="305"/>
      <c r="EZ39" s="305"/>
      <c r="FA39" s="305"/>
      <c r="FB39" s="305"/>
      <c r="FC39" s="305"/>
      <c r="FD39" s="305"/>
      <c r="FE39" s="305"/>
      <c r="FF39" s="305"/>
      <c r="FG39" s="305"/>
      <c r="FH39" s="305"/>
      <c r="FI39" s="305"/>
      <c r="FJ39" s="305"/>
    </row>
    <row r="40" spans="1:166" ht="12.75" customHeight="1" x14ac:dyDescent="0.35" hidden="1">
      <c r="A40" s="136"/>
      <c r="B40" s="136"/>
      <c r="C40" s="136"/>
      <c r="D40" s="152" t="str">
        <f>D11</f>
        <v>Item 5</v>
      </c>
      <c r="E40" s="96">
        <f>Calcs!L243</f>
        <v>0</v>
      </c>
      <c r="F40" s="96">
        <f>Calcs!M243</f>
        <v>0</v>
      </c>
      <c r="G40" s="96">
        <f>Calcs!N243</f>
        <v>0</v>
      </c>
      <c r="H40" s="96">
        <f>Calcs!O243</f>
        <v>0</v>
      </c>
      <c r="I40" s="96">
        <f>Calcs!P243</f>
        <v>0</v>
      </c>
      <c r="J40" s="96">
        <f>Calcs!Q243</f>
        <v>0</v>
      </c>
      <c r="K40" s="96">
        <f>Calcs!R243</f>
        <v>0</v>
      </c>
      <c r="L40" s="96">
        <f>Calcs!S243</f>
        <v>0</v>
      </c>
      <c r="M40" s="96">
        <f>Calcs!T243</f>
        <v>0</v>
      </c>
      <c r="N40" s="96">
        <f>Calcs!U243</f>
        <v>0</v>
      </c>
      <c r="O40" s="96">
        <f>Calcs!V243</f>
        <v>0</v>
      </c>
      <c r="P40" s="96">
        <f>Calcs!W243</f>
        <v>0</v>
      </c>
      <c r="Q40" s="96">
        <f>SUM(E40:P40)</f>
        <v>0</v>
      </c>
      <c r="R40" s="96">
        <f>Calcs!X243</f>
        <v>0</v>
      </c>
      <c r="S40" s="96">
        <f>Calcs!Y243</f>
        <v>0</v>
      </c>
      <c r="T40" s="96">
        <f>Calcs!Z243</f>
        <v>0</v>
      </c>
      <c r="U40" s="96">
        <f>Calcs!AA243</f>
        <v>0</v>
      </c>
      <c r="V40" s="96">
        <f>Calcs!AB243</f>
        <v>0</v>
      </c>
      <c r="W40" s="96">
        <f>Calcs!AC243</f>
        <v>0</v>
      </c>
      <c r="X40" s="96">
        <f>Calcs!AD243</f>
        <v>0</v>
      </c>
      <c r="Y40" s="96">
        <f>Calcs!AE243</f>
        <v>0</v>
      </c>
      <c r="Z40" s="96">
        <f>Calcs!AF243</f>
        <v>0</v>
      </c>
      <c r="AA40" s="96">
        <f>Calcs!AG243</f>
        <v>0</v>
      </c>
      <c r="AB40" s="96">
        <f>Calcs!AH243</f>
        <v>0</v>
      </c>
      <c r="AC40" s="96">
        <f>Calcs!AI243</f>
        <v>0</v>
      </c>
      <c r="AD40" s="96">
        <f>SUM(R40:AC40)</f>
        <v>0</v>
      </c>
      <c r="AE40" s="96">
        <f>Calcs!AJ243</f>
        <v>0</v>
      </c>
      <c r="AF40" s="96">
        <f>Calcs!AK243</f>
        <v>0</v>
      </c>
      <c r="AG40" s="96">
        <f>Calcs!AL243</f>
        <v>0</v>
      </c>
      <c r="AH40" s="96">
        <f>Calcs!AM243</f>
        <v>0</v>
      </c>
      <c r="AI40" s="96">
        <f>Calcs!AN243</f>
        <v>0</v>
      </c>
      <c r="AJ40" s="96">
        <f>Calcs!AO243</f>
        <v>0</v>
      </c>
      <c r="AK40" s="96">
        <f>Calcs!AP243</f>
        <v>0</v>
      </c>
      <c r="AL40" s="96">
        <f>Calcs!AQ243</f>
        <v>0</v>
      </c>
      <c r="AM40" s="96">
        <f>Calcs!AR243</f>
        <v>0</v>
      </c>
      <c r="AN40" s="96">
        <f>Calcs!AS243</f>
        <v>0</v>
      </c>
      <c r="AO40" s="96">
        <f>Calcs!AT243</f>
        <v>0</v>
      </c>
      <c r="AP40" s="96">
        <f>Calcs!AU243</f>
        <v>0</v>
      </c>
      <c r="AQ40" s="96">
        <f>SUM(AE40:AP40)</f>
        <v>0</v>
      </c>
      <c r="AR40" s="96">
        <f>Calcs!AV243</f>
        <v>0</v>
      </c>
      <c r="AS40" s="96">
        <f>Calcs!AW243</f>
        <v>0</v>
      </c>
      <c r="AT40" s="96">
        <f>Calcs!AX243</f>
        <v>0</v>
      </c>
      <c r="AU40" s="96">
        <f>Calcs!AY243</f>
        <v>0</v>
      </c>
      <c r="AV40" s="96">
        <f>Calcs!AZ243</f>
        <v>0</v>
      </c>
      <c r="AW40" s="96">
        <f>Calcs!BA243</f>
        <v>0</v>
      </c>
      <c r="AX40" s="96">
        <f>Calcs!BB243</f>
        <v>0</v>
      </c>
      <c r="AY40" s="96">
        <f>Calcs!BC243</f>
        <v>0</v>
      </c>
      <c r="AZ40" s="96">
        <f>Calcs!BD243</f>
        <v>0</v>
      </c>
      <c r="BA40" s="96">
        <f>Calcs!BE243</f>
        <v>0</v>
      </c>
      <c r="BB40" s="96">
        <f>Calcs!BF243</f>
        <v>0</v>
      </c>
      <c r="BC40" s="96">
        <f>Calcs!BG243</f>
        <v>0</v>
      </c>
      <c r="BD40" s="96">
        <f>SUM(AR40:BC40)</f>
        <v>0</v>
      </c>
      <c r="BE40" s="96">
        <f>Calcs!BH243</f>
        <v>0</v>
      </c>
      <c r="BF40" s="96">
        <f>Calcs!BI243</f>
        <v>0</v>
      </c>
      <c r="BG40" s="96">
        <f>Calcs!BJ243</f>
        <v>0</v>
      </c>
      <c r="BH40" s="96">
        <f>Calcs!BK243</f>
        <v>0</v>
      </c>
      <c r="BI40" s="96">
        <f>Calcs!BL243</f>
        <v>0</v>
      </c>
      <c r="BJ40" s="96">
        <f>Calcs!BM243</f>
        <v>0</v>
      </c>
      <c r="BK40" s="96">
        <f>Calcs!BN243</f>
        <v>0</v>
      </c>
      <c r="BL40" s="96">
        <f>Calcs!BO243</f>
        <v>0</v>
      </c>
      <c r="BM40" s="96">
        <f>Calcs!BP243</f>
        <v>0</v>
      </c>
      <c r="BN40" s="96">
        <f>Calcs!BQ243</f>
        <v>0</v>
      </c>
      <c r="BO40" s="96">
        <f>Calcs!BR243</f>
        <v>0</v>
      </c>
      <c r="BP40" s="96">
        <f>Calcs!BS243</f>
        <v>0</v>
      </c>
      <c r="BQ40" s="96">
        <f>SUM(BE40:BP40)</f>
        <v>0</v>
      </c>
      <c r="BR40" s="1802"/>
      <c r="BS40" s="153">
        <f>SUM(BQ40,BD40,AQ40,AD40,Q40)</f>
        <v>0</v>
      </c>
      <c r="BT40" s="1802"/>
      <c r="BU40" s="153">
        <f>SUM(BQ40,BD40,AQ40,AD40,Q40)</f>
      </c>
      <c r="BV40" s="138"/>
      <c r="BW40" s="151"/>
      <c r="BX40" s="151"/>
      <c r="BY40" s="151"/>
      <c r="BZ40" s="151"/>
      <c r="CA40" s="151"/>
      <c r="CB40" s="151"/>
      <c r="CC40" s="151"/>
      <c r="CD40" s="151"/>
      <c r="CE40" s="151"/>
      <c r="CF40" s="151"/>
      <c r="CG40" s="151"/>
      <c r="CH40" s="151"/>
      <c r="CI40" s="151"/>
      <c r="CJ40" s="151"/>
      <c r="CK40" s="151"/>
      <c r="CL40" s="151"/>
      <c r="CM40" s="151"/>
      <c r="CN40" s="151"/>
      <c r="CO40" s="151"/>
      <c r="CP40" s="151"/>
      <c r="CW40" s="179"/>
      <c r="CX40" s="179"/>
      <c r="CY40" s="305"/>
      <c r="CZ40" s="305"/>
      <c r="DA40" s="305"/>
      <c r="DB40" s="305"/>
      <c r="DC40" s="305"/>
      <c r="DD40" s="305"/>
      <c r="DE40" s="305"/>
      <c r="DF40" s="305"/>
      <c r="DG40" s="305"/>
      <c r="DH40" s="305"/>
      <c r="DI40" s="305"/>
      <c r="DJ40" s="305"/>
      <c r="DK40" s="305"/>
      <c r="DL40" s="305"/>
      <c r="DM40" s="305"/>
      <c r="DN40" s="305"/>
      <c r="DO40" s="305"/>
      <c r="DP40" s="305"/>
      <c r="DQ40" s="305"/>
      <c r="DR40" s="305"/>
      <c r="DS40" s="305"/>
      <c r="DT40" s="305"/>
      <c r="DU40" s="305"/>
      <c r="DV40" s="305"/>
      <c r="DW40" s="305"/>
      <c r="DX40" s="305"/>
      <c r="DY40" s="305"/>
      <c r="DZ40" s="305"/>
      <c r="EA40" s="305"/>
      <c r="EB40" s="305"/>
      <c r="EC40" s="305"/>
      <c r="ED40" s="305"/>
      <c r="EE40" s="305"/>
      <c r="EF40" s="305"/>
      <c r="EG40" s="305"/>
      <c r="EH40" s="305"/>
      <c r="EI40" s="305"/>
      <c r="EJ40" s="305"/>
      <c r="EK40" s="305"/>
      <c r="EL40" s="305"/>
      <c r="EM40" s="305"/>
      <c r="EN40" s="305"/>
      <c r="EO40" s="305"/>
      <c r="EP40" s="305"/>
      <c r="EQ40" s="305"/>
      <c r="ER40" s="305"/>
      <c r="ES40" s="305"/>
      <c r="ET40" s="305"/>
      <c r="EU40" s="305"/>
      <c r="EV40" s="305"/>
      <c r="EW40" s="305"/>
      <c r="EX40" s="305"/>
      <c r="EY40" s="305"/>
      <c r="EZ40" s="305"/>
      <c r="FA40" s="305"/>
      <c r="FB40" s="305"/>
      <c r="FC40" s="305"/>
      <c r="FD40" s="305"/>
      <c r="FE40" s="305"/>
      <c r="FF40" s="305"/>
      <c r="FG40" s="305"/>
      <c r="FH40" s="305"/>
      <c r="FI40" s="305"/>
      <c r="FJ40" s="305"/>
    </row>
    <row r="41" spans="1:166" ht="12.75" customHeight="1" x14ac:dyDescent="0.35" hidden="1">
      <c r="A41" s="136"/>
      <c r="B41" s="136"/>
      <c r="C41" s="136"/>
      <c r="D41" s="152" t="str">
        <f>D12</f>
        <v>Item 6</v>
      </c>
      <c r="E41" s="96">
        <f>Calcs!L244</f>
        <v>0</v>
      </c>
      <c r="F41" s="96">
        <f>Calcs!M244</f>
        <v>0</v>
      </c>
      <c r="G41" s="96">
        <f>Calcs!N244</f>
        <v>0</v>
      </c>
      <c r="H41" s="96">
        <f>Calcs!O244</f>
        <v>0</v>
      </c>
      <c r="I41" s="96">
        <f>Calcs!P244</f>
        <v>0</v>
      </c>
      <c r="J41" s="96">
        <f>Calcs!Q244</f>
        <v>0</v>
      </c>
      <c r="K41" s="96">
        <f>Calcs!R244</f>
        <v>0</v>
      </c>
      <c r="L41" s="96">
        <f>Calcs!S244</f>
        <v>0</v>
      </c>
      <c r="M41" s="96">
        <f>Calcs!T244</f>
        <v>0</v>
      </c>
      <c r="N41" s="96">
        <f>Calcs!U244</f>
        <v>0</v>
      </c>
      <c r="O41" s="96">
        <f>Calcs!V244</f>
        <v>0</v>
      </c>
      <c r="P41" s="96">
        <f>Calcs!W244</f>
        <v>0</v>
      </c>
      <c r="Q41" s="96">
        <f>SUM(E41:P41)</f>
        <v>0</v>
      </c>
      <c r="R41" s="96">
        <f>Calcs!X244</f>
        <v>0</v>
      </c>
      <c r="S41" s="96">
        <f>Calcs!Y244</f>
        <v>0</v>
      </c>
      <c r="T41" s="96">
        <f>Calcs!Z244</f>
        <v>0</v>
      </c>
      <c r="U41" s="96">
        <f>Calcs!AA244</f>
        <v>0</v>
      </c>
      <c r="V41" s="96">
        <f>Calcs!AB244</f>
        <v>0</v>
      </c>
      <c r="W41" s="96">
        <f>Calcs!AC244</f>
        <v>0</v>
      </c>
      <c r="X41" s="96">
        <f>Calcs!AD244</f>
        <v>0</v>
      </c>
      <c r="Y41" s="96">
        <f>Calcs!AE244</f>
        <v>0</v>
      </c>
      <c r="Z41" s="96">
        <f>Calcs!AF244</f>
        <v>0</v>
      </c>
      <c r="AA41" s="96">
        <f>Calcs!AG244</f>
        <v>0</v>
      </c>
      <c r="AB41" s="96">
        <f>Calcs!AH244</f>
        <v>0</v>
      </c>
      <c r="AC41" s="96">
        <f>Calcs!AI244</f>
        <v>0</v>
      </c>
      <c r="AD41" s="96">
        <f>SUM(R41:AC41)</f>
        <v>0</v>
      </c>
      <c r="AE41" s="96">
        <f>Calcs!AJ244</f>
        <v>0</v>
      </c>
      <c r="AF41" s="96">
        <f>Calcs!AK244</f>
        <v>0</v>
      </c>
      <c r="AG41" s="96">
        <f>Calcs!AL244</f>
        <v>0</v>
      </c>
      <c r="AH41" s="96">
        <f>Calcs!AM244</f>
        <v>0</v>
      </c>
      <c r="AI41" s="96">
        <f>Calcs!AN244</f>
        <v>0</v>
      </c>
      <c r="AJ41" s="96">
        <f>Calcs!AO244</f>
        <v>0</v>
      </c>
      <c r="AK41" s="96">
        <f>Calcs!AP244</f>
        <v>0</v>
      </c>
      <c r="AL41" s="96">
        <f>Calcs!AQ244</f>
        <v>0</v>
      </c>
      <c r="AM41" s="96">
        <f>Calcs!AR244</f>
        <v>0</v>
      </c>
      <c r="AN41" s="96">
        <f>Calcs!AS244</f>
        <v>0</v>
      </c>
      <c r="AO41" s="96">
        <f>Calcs!AT244</f>
        <v>0</v>
      </c>
      <c r="AP41" s="96">
        <f>Calcs!AU244</f>
        <v>0</v>
      </c>
      <c r="AQ41" s="96">
        <f>SUM(AE41:AP41)</f>
        <v>0</v>
      </c>
      <c r="AR41" s="96">
        <f>Calcs!AV244</f>
        <v>0</v>
      </c>
      <c r="AS41" s="96">
        <f>Calcs!AW244</f>
        <v>0</v>
      </c>
      <c r="AT41" s="96">
        <f>Calcs!AX244</f>
        <v>0</v>
      </c>
      <c r="AU41" s="96">
        <f>Calcs!AY244</f>
        <v>0</v>
      </c>
      <c r="AV41" s="96">
        <f>Calcs!AZ244</f>
        <v>0</v>
      </c>
      <c r="AW41" s="96">
        <f>Calcs!BA244</f>
        <v>0</v>
      </c>
      <c r="AX41" s="96">
        <f>Calcs!BB244</f>
        <v>0</v>
      </c>
      <c r="AY41" s="96">
        <f>Calcs!BC244</f>
        <v>0</v>
      </c>
      <c r="AZ41" s="96">
        <f>Calcs!BD244</f>
        <v>0</v>
      </c>
      <c r="BA41" s="96">
        <f>Calcs!BE244</f>
        <v>0</v>
      </c>
      <c r="BB41" s="96">
        <f>Calcs!BF244</f>
        <v>0</v>
      </c>
      <c r="BC41" s="96">
        <f>Calcs!BG244</f>
        <v>0</v>
      </c>
      <c r="BD41" s="96">
        <f>SUM(AR41:BC41)</f>
        <v>0</v>
      </c>
      <c r="BE41" s="96">
        <f>Calcs!BH244</f>
        <v>0</v>
      </c>
      <c r="BF41" s="96">
        <f>Calcs!BI244</f>
        <v>0</v>
      </c>
      <c r="BG41" s="96">
        <f>Calcs!BJ244</f>
        <v>0</v>
      </c>
      <c r="BH41" s="96">
        <f>Calcs!BK244</f>
        <v>0</v>
      </c>
      <c r="BI41" s="96">
        <f>Calcs!BL244</f>
        <v>0</v>
      </c>
      <c r="BJ41" s="96">
        <f>Calcs!BM244</f>
        <v>0</v>
      </c>
      <c r="BK41" s="96">
        <f>Calcs!BN244</f>
        <v>0</v>
      </c>
      <c r="BL41" s="96">
        <f>Calcs!BO244</f>
        <v>0</v>
      </c>
      <c r="BM41" s="96">
        <f>Calcs!BP244</f>
        <v>0</v>
      </c>
      <c r="BN41" s="96">
        <f>Calcs!BQ244</f>
        <v>0</v>
      </c>
      <c r="BO41" s="96">
        <f>Calcs!BR244</f>
        <v>0</v>
      </c>
      <c r="BP41" s="96">
        <f>Calcs!BS244</f>
        <v>0</v>
      </c>
      <c r="BQ41" s="96">
        <f>SUM(BE41:BP41)</f>
        <v>0</v>
      </c>
      <c r="BR41" s="1802"/>
      <c r="BS41" s="153">
        <f>SUM(BQ41,BD41,AQ41,AD41,Q41)</f>
        <v>0</v>
      </c>
      <c r="BT41" s="1802"/>
      <c r="BU41" s="153">
        <f>SUM(BQ41,BD41,AQ41,AD41,Q41)</f>
      </c>
      <c r="BV41" s="138"/>
      <c r="BW41" s="151"/>
      <c r="BX41" s="151"/>
      <c r="BY41" s="151"/>
      <c r="BZ41" s="151"/>
      <c r="CA41" s="151"/>
      <c r="CB41" s="151"/>
      <c r="CC41" s="151"/>
      <c r="CD41" s="151"/>
      <c r="CE41" s="151"/>
      <c r="CF41" s="151"/>
      <c r="CG41" s="151"/>
      <c r="CH41" s="151"/>
      <c r="CI41" s="151"/>
      <c r="CJ41" s="151"/>
      <c r="CK41" s="151"/>
      <c r="CL41" s="151"/>
      <c r="CM41" s="151"/>
      <c r="CN41" s="151"/>
      <c r="CO41" s="151"/>
      <c r="CP41" s="151"/>
      <c r="CW41" s="179"/>
      <c r="CX41" s="179"/>
      <c r="CY41" s="305"/>
      <c r="CZ41" s="305"/>
      <c r="DA41" s="305"/>
      <c r="DB41" s="305"/>
      <c r="DC41" s="305"/>
      <c r="DD41" s="305"/>
      <c r="DE41" s="305"/>
      <c r="DF41" s="305"/>
      <c r="DG41" s="305"/>
      <c r="DH41" s="305"/>
      <c r="DI41" s="305"/>
      <c r="DJ41" s="305"/>
      <c r="DK41" s="305"/>
      <c r="DL41" s="305"/>
      <c r="DM41" s="305"/>
      <c r="DN41" s="305"/>
      <c r="DO41" s="305"/>
      <c r="DP41" s="305"/>
      <c r="DQ41" s="305"/>
      <c r="DR41" s="305"/>
      <c r="DS41" s="305"/>
      <c r="DT41" s="305"/>
      <c r="DU41" s="305"/>
      <c r="DV41" s="305"/>
      <c r="DW41" s="305"/>
      <c r="DX41" s="305"/>
      <c r="DY41" s="305"/>
      <c r="DZ41" s="305"/>
      <c r="EA41" s="305"/>
      <c r="EB41" s="305"/>
      <c r="EC41" s="305"/>
      <c r="ED41" s="305"/>
      <c r="EE41" s="305"/>
      <c r="EF41" s="305"/>
      <c r="EG41" s="305"/>
      <c r="EH41" s="305"/>
      <c r="EI41" s="305"/>
      <c r="EJ41" s="305"/>
      <c r="EK41" s="305"/>
      <c r="EL41" s="305"/>
      <c r="EM41" s="305"/>
      <c r="EN41" s="305"/>
      <c r="EO41" s="305"/>
      <c r="EP41" s="305"/>
      <c r="EQ41" s="305"/>
      <c r="ER41" s="305"/>
      <c r="ES41" s="305"/>
      <c r="ET41" s="305"/>
      <c r="EU41" s="305"/>
      <c r="EV41" s="305"/>
      <c r="EW41" s="305"/>
      <c r="EX41" s="305"/>
      <c r="EY41" s="305"/>
      <c r="EZ41" s="305"/>
      <c r="FA41" s="305"/>
      <c r="FB41" s="305"/>
      <c r="FC41" s="305"/>
      <c r="FD41" s="305"/>
      <c r="FE41" s="305"/>
      <c r="FF41" s="305"/>
      <c r="FG41" s="305"/>
      <c r="FH41" s="305"/>
      <c r="FI41" s="305"/>
      <c r="FJ41" s="305"/>
    </row>
    <row r="42" spans="1:166" ht="12.75" customHeight="1" x14ac:dyDescent="0.35" hidden="1">
      <c r="A42" s="136"/>
      <c r="B42" s="136"/>
      <c r="C42" s="136"/>
      <c r="D42" s="152" t="str">
        <f>D13</f>
        <v>Item 7</v>
      </c>
      <c r="E42" s="96">
        <f>Calcs!L245</f>
        <v>0</v>
      </c>
      <c r="F42" s="96">
        <f>Calcs!M245</f>
        <v>0</v>
      </c>
      <c r="G42" s="96">
        <f>Calcs!N245</f>
        <v>0</v>
      </c>
      <c r="H42" s="96">
        <f>Calcs!O245</f>
        <v>0</v>
      </c>
      <c r="I42" s="96">
        <f>Calcs!P245</f>
        <v>0</v>
      </c>
      <c r="J42" s="96">
        <f>Calcs!Q245</f>
        <v>0</v>
      </c>
      <c r="K42" s="96">
        <f>Calcs!R245</f>
        <v>0</v>
      </c>
      <c r="L42" s="96">
        <f>Calcs!S245</f>
        <v>0</v>
      </c>
      <c r="M42" s="96">
        <f>Calcs!T245</f>
        <v>0</v>
      </c>
      <c r="N42" s="96">
        <f>Calcs!U245</f>
        <v>0</v>
      </c>
      <c r="O42" s="96">
        <f>Calcs!V245</f>
        <v>0</v>
      </c>
      <c r="P42" s="96">
        <f>Calcs!W245</f>
        <v>0</v>
      </c>
      <c r="Q42" s="96">
        <f>SUM(E42:P42)</f>
        <v>0</v>
      </c>
      <c r="R42" s="96">
        <f>Calcs!X245</f>
        <v>0</v>
      </c>
      <c r="S42" s="96">
        <f>Calcs!Y245</f>
        <v>0</v>
      </c>
      <c r="T42" s="96">
        <f>Calcs!Z245</f>
        <v>0</v>
      </c>
      <c r="U42" s="96">
        <f>Calcs!AA245</f>
        <v>0</v>
      </c>
      <c r="V42" s="96">
        <f>Calcs!AB245</f>
        <v>0</v>
      </c>
      <c r="W42" s="96">
        <f>Calcs!AC245</f>
        <v>0</v>
      </c>
      <c r="X42" s="96">
        <f>Calcs!AD245</f>
        <v>0</v>
      </c>
      <c r="Y42" s="96">
        <f>Calcs!AE245</f>
        <v>0</v>
      </c>
      <c r="Z42" s="96">
        <f>Calcs!AF245</f>
        <v>0</v>
      </c>
      <c r="AA42" s="96">
        <f>Calcs!AG245</f>
        <v>0</v>
      </c>
      <c r="AB42" s="96">
        <f>Calcs!AH245</f>
        <v>0</v>
      </c>
      <c r="AC42" s="96">
        <f>Calcs!AI245</f>
        <v>0</v>
      </c>
      <c r="AD42" s="96">
        <f>SUM(R42:AC42)</f>
        <v>0</v>
      </c>
      <c r="AE42" s="96">
        <f>Calcs!AJ245</f>
        <v>0</v>
      </c>
      <c r="AF42" s="96">
        <f>Calcs!AK245</f>
        <v>0</v>
      </c>
      <c r="AG42" s="96">
        <f>Calcs!AL245</f>
        <v>0</v>
      </c>
      <c r="AH42" s="96">
        <f>Calcs!AM245</f>
        <v>0</v>
      </c>
      <c r="AI42" s="96">
        <f>Calcs!AN245</f>
        <v>0</v>
      </c>
      <c r="AJ42" s="96">
        <f>Calcs!AO245</f>
        <v>0</v>
      </c>
      <c r="AK42" s="96">
        <f>Calcs!AP245</f>
        <v>0</v>
      </c>
      <c r="AL42" s="96">
        <f>Calcs!AQ245</f>
        <v>0</v>
      </c>
      <c r="AM42" s="96">
        <f>Calcs!AR245</f>
        <v>0</v>
      </c>
      <c r="AN42" s="96">
        <f>Calcs!AS245</f>
        <v>0</v>
      </c>
      <c r="AO42" s="96">
        <f>Calcs!AT245</f>
        <v>0</v>
      </c>
      <c r="AP42" s="96">
        <f>Calcs!AU245</f>
        <v>0</v>
      </c>
      <c r="AQ42" s="96">
        <f>SUM(AE42:AP42)</f>
        <v>0</v>
      </c>
      <c r="AR42" s="96">
        <f>Calcs!AV245</f>
        <v>0</v>
      </c>
      <c r="AS42" s="96">
        <f>Calcs!AW245</f>
        <v>0</v>
      </c>
      <c r="AT42" s="96">
        <f>Calcs!AX245</f>
        <v>0</v>
      </c>
      <c r="AU42" s="96">
        <f>Calcs!AY245</f>
        <v>0</v>
      </c>
      <c r="AV42" s="96">
        <f>Calcs!AZ245</f>
        <v>0</v>
      </c>
      <c r="AW42" s="96">
        <f>Calcs!BA245</f>
        <v>0</v>
      </c>
      <c r="AX42" s="96">
        <f>Calcs!BB245</f>
        <v>0</v>
      </c>
      <c r="AY42" s="96">
        <f>Calcs!BC245</f>
        <v>0</v>
      </c>
      <c r="AZ42" s="96">
        <f>Calcs!BD245</f>
        <v>0</v>
      </c>
      <c r="BA42" s="96">
        <f>Calcs!BE245</f>
        <v>0</v>
      </c>
      <c r="BB42" s="96">
        <f>Calcs!BF245</f>
        <v>0</v>
      </c>
      <c r="BC42" s="96">
        <f>Calcs!BG245</f>
        <v>0</v>
      </c>
      <c r="BD42" s="96">
        <f>SUM(AR42:BC42)</f>
        <v>0</v>
      </c>
      <c r="BE42" s="96">
        <f>Calcs!BH245</f>
        <v>0</v>
      </c>
      <c r="BF42" s="96">
        <f>Calcs!BI245</f>
        <v>0</v>
      </c>
      <c r="BG42" s="96">
        <f>Calcs!BJ245</f>
        <v>0</v>
      </c>
      <c r="BH42" s="96">
        <f>Calcs!BK245</f>
        <v>0</v>
      </c>
      <c r="BI42" s="96">
        <f>Calcs!BL245</f>
        <v>0</v>
      </c>
      <c r="BJ42" s="96">
        <f>Calcs!BM245</f>
        <v>0</v>
      </c>
      <c r="BK42" s="96">
        <f>Calcs!BN245</f>
        <v>0</v>
      </c>
      <c r="BL42" s="96">
        <f>Calcs!BO245</f>
        <v>0</v>
      </c>
      <c r="BM42" s="96">
        <f>Calcs!BP245</f>
        <v>0</v>
      </c>
      <c r="BN42" s="96">
        <f>Calcs!BQ245</f>
        <v>0</v>
      </c>
      <c r="BO42" s="96">
        <f>Calcs!BR245</f>
        <v>0</v>
      </c>
      <c r="BP42" s="96">
        <f>Calcs!BS245</f>
        <v>0</v>
      </c>
      <c r="BQ42" s="96">
        <f>SUM(BE42:BP42)</f>
        <v>0</v>
      </c>
      <c r="BR42" s="1802"/>
      <c r="BS42" s="153">
        <f>SUM(BQ42,BD42,AQ42,AD42,Q42)</f>
        <v>0</v>
      </c>
      <c r="BT42" s="1802"/>
      <c r="BU42" s="153">
        <f>SUM(BQ42,BD42,AQ42,AD42,Q42)</f>
      </c>
      <c r="BV42" s="138"/>
      <c r="BW42" s="151"/>
      <c r="BX42" s="151"/>
      <c r="BY42" s="151"/>
      <c r="BZ42" s="151"/>
      <c r="CA42" s="151"/>
      <c r="CB42" s="151"/>
      <c r="CC42" s="151"/>
      <c r="CD42" s="151"/>
      <c r="CE42" s="151"/>
      <c r="CF42" s="151"/>
      <c r="CG42" s="151"/>
      <c r="CH42" s="151"/>
      <c r="CI42" s="151"/>
      <c r="CJ42" s="151"/>
      <c r="CK42" s="151"/>
      <c r="CL42" s="151"/>
      <c r="CM42" s="151"/>
      <c r="CN42" s="151"/>
      <c r="CO42" s="151"/>
      <c r="CP42" s="151"/>
      <c r="CW42" s="179"/>
      <c r="CX42" s="179"/>
      <c r="CY42" s="305"/>
      <c r="CZ42" s="305"/>
      <c r="DA42" s="305"/>
      <c r="DB42" s="305"/>
      <c r="DC42" s="305"/>
      <c r="DD42" s="305"/>
      <c r="DE42" s="305"/>
      <c r="DF42" s="305"/>
      <c r="DG42" s="305"/>
      <c r="DH42" s="305"/>
      <c r="DI42" s="305"/>
      <c r="DJ42" s="305"/>
      <c r="DK42" s="305"/>
      <c r="DL42" s="305"/>
      <c r="DM42" s="305"/>
      <c r="DN42" s="305"/>
      <c r="DO42" s="305"/>
      <c r="DP42" s="305"/>
      <c r="DQ42" s="305"/>
      <c r="DR42" s="305"/>
      <c r="DS42" s="305"/>
      <c r="DT42" s="305"/>
      <c r="DU42" s="305"/>
      <c r="DV42" s="305"/>
      <c r="DW42" s="305"/>
      <c r="DX42" s="305"/>
      <c r="DY42" s="305"/>
      <c r="DZ42" s="305"/>
      <c r="EA42" s="305"/>
      <c r="EB42" s="305"/>
      <c r="EC42" s="305"/>
      <c r="ED42" s="305"/>
      <c r="EE42" s="305"/>
      <c r="EF42" s="305"/>
      <c r="EG42" s="305"/>
      <c r="EH42" s="305"/>
      <c r="EI42" s="305"/>
      <c r="EJ42" s="305"/>
      <c r="EK42" s="305"/>
      <c r="EL42" s="305"/>
      <c r="EM42" s="305"/>
      <c r="EN42" s="305"/>
      <c r="EO42" s="305"/>
      <c r="EP42" s="305"/>
      <c r="EQ42" s="305"/>
      <c r="ER42" s="305"/>
      <c r="ES42" s="305"/>
      <c r="ET42" s="305"/>
      <c r="EU42" s="305"/>
      <c r="EV42" s="305"/>
      <c r="EW42" s="305"/>
      <c r="EX42" s="305"/>
      <c r="EY42" s="305"/>
      <c r="EZ42" s="305"/>
      <c r="FA42" s="305"/>
      <c r="FB42" s="305"/>
      <c r="FC42" s="305"/>
      <c r="FD42" s="305"/>
      <c r="FE42" s="305"/>
      <c r="FF42" s="305"/>
      <c r="FG42" s="305"/>
      <c r="FH42" s="305"/>
      <c r="FI42" s="305"/>
      <c r="FJ42" s="305"/>
    </row>
    <row r="43" spans="1:166" ht="12.75" customHeight="1" x14ac:dyDescent="0.35" hidden="1">
      <c r="A43" s="136"/>
      <c r="B43" s="136"/>
      <c r="C43" s="136"/>
      <c r="D43" s="152" t="str">
        <f>D14</f>
        <v>Item 8</v>
      </c>
      <c r="E43" s="96">
        <f>Calcs!L246</f>
        <v>0</v>
      </c>
      <c r="F43" s="96">
        <f>Calcs!M246</f>
        <v>0</v>
      </c>
      <c r="G43" s="96">
        <f>Calcs!N246</f>
        <v>0</v>
      </c>
      <c r="H43" s="96">
        <f>Calcs!O246</f>
        <v>0</v>
      </c>
      <c r="I43" s="96">
        <f>Calcs!P246</f>
        <v>0</v>
      </c>
      <c r="J43" s="96">
        <f>Calcs!Q246</f>
        <v>0</v>
      </c>
      <c r="K43" s="96">
        <f>Calcs!R246</f>
        <v>0</v>
      </c>
      <c r="L43" s="96">
        <f>Calcs!S246</f>
        <v>0</v>
      </c>
      <c r="M43" s="96">
        <f>Calcs!T246</f>
        <v>0</v>
      </c>
      <c r="N43" s="96">
        <f>Calcs!U246</f>
        <v>0</v>
      </c>
      <c r="O43" s="96">
        <f>Calcs!V246</f>
        <v>0</v>
      </c>
      <c r="P43" s="96">
        <f>Calcs!W246</f>
        <v>0</v>
      </c>
      <c r="Q43" s="96">
        <f>SUM(E43:P43)</f>
        <v>0</v>
      </c>
      <c r="R43" s="96">
        <f>Calcs!X246</f>
        <v>0</v>
      </c>
      <c r="S43" s="96">
        <f>Calcs!Y246</f>
        <v>0</v>
      </c>
      <c r="T43" s="96">
        <f>Calcs!Z246</f>
        <v>0</v>
      </c>
      <c r="U43" s="96">
        <f>Calcs!AA246</f>
        <v>0</v>
      </c>
      <c r="V43" s="96">
        <f>Calcs!AB246</f>
        <v>0</v>
      </c>
      <c r="W43" s="96">
        <f>Calcs!AC246</f>
        <v>0</v>
      </c>
      <c r="X43" s="96">
        <f>Calcs!AD246</f>
        <v>0</v>
      </c>
      <c r="Y43" s="96">
        <f>Calcs!AE246</f>
        <v>0</v>
      </c>
      <c r="Z43" s="96">
        <f>Calcs!AF246</f>
        <v>0</v>
      </c>
      <c r="AA43" s="96">
        <f>Calcs!AG246</f>
        <v>0</v>
      </c>
      <c r="AB43" s="96">
        <f>Calcs!AH246</f>
        <v>0</v>
      </c>
      <c r="AC43" s="96">
        <f>Calcs!AI246</f>
        <v>0</v>
      </c>
      <c r="AD43" s="96">
        <f>SUM(R43:AC43)</f>
        <v>0</v>
      </c>
      <c r="AE43" s="96">
        <f>Calcs!AJ246</f>
        <v>0</v>
      </c>
      <c r="AF43" s="96">
        <f>Calcs!AK246</f>
        <v>0</v>
      </c>
      <c r="AG43" s="96">
        <f>Calcs!AL246</f>
        <v>0</v>
      </c>
      <c r="AH43" s="96">
        <f>Calcs!AM246</f>
        <v>0</v>
      </c>
      <c r="AI43" s="96">
        <f>Calcs!AN246</f>
        <v>0</v>
      </c>
      <c r="AJ43" s="96">
        <f>Calcs!AO246</f>
        <v>0</v>
      </c>
      <c r="AK43" s="96">
        <f>Calcs!AP246</f>
        <v>0</v>
      </c>
      <c r="AL43" s="96">
        <f>Calcs!AQ246</f>
        <v>0</v>
      </c>
      <c r="AM43" s="96">
        <f>Calcs!AR246</f>
        <v>0</v>
      </c>
      <c r="AN43" s="96">
        <f>Calcs!AS246</f>
        <v>0</v>
      </c>
      <c r="AO43" s="96">
        <f>Calcs!AT246</f>
        <v>0</v>
      </c>
      <c r="AP43" s="96">
        <f>Calcs!AU246</f>
        <v>0</v>
      </c>
      <c r="AQ43" s="96">
        <f>SUM(AE43:AP43)</f>
        <v>0</v>
      </c>
      <c r="AR43" s="96">
        <f>Calcs!AV246</f>
        <v>0</v>
      </c>
      <c r="AS43" s="96">
        <f>Calcs!AW246</f>
        <v>0</v>
      </c>
      <c r="AT43" s="96">
        <f>Calcs!AX246</f>
        <v>0</v>
      </c>
      <c r="AU43" s="96">
        <f>Calcs!AY246</f>
        <v>0</v>
      </c>
      <c r="AV43" s="96">
        <f>Calcs!AZ246</f>
        <v>0</v>
      </c>
      <c r="AW43" s="96">
        <f>Calcs!BA246</f>
        <v>0</v>
      </c>
      <c r="AX43" s="96">
        <f>Calcs!BB246</f>
        <v>0</v>
      </c>
      <c r="AY43" s="96">
        <f>Calcs!BC246</f>
        <v>0</v>
      </c>
      <c r="AZ43" s="96">
        <f>Calcs!BD246</f>
        <v>0</v>
      </c>
      <c r="BA43" s="96">
        <f>Calcs!BE246</f>
        <v>0</v>
      </c>
      <c r="BB43" s="96">
        <f>Calcs!BF246</f>
        <v>0</v>
      </c>
      <c r="BC43" s="96">
        <f>Calcs!BG246</f>
        <v>0</v>
      </c>
      <c r="BD43" s="96">
        <f>SUM(AR43:BC43)</f>
        <v>0</v>
      </c>
      <c r="BE43" s="96">
        <f>Calcs!BH246</f>
        <v>0</v>
      </c>
      <c r="BF43" s="96">
        <f>Calcs!BI246</f>
        <v>0</v>
      </c>
      <c r="BG43" s="96">
        <f>Calcs!BJ246</f>
        <v>0</v>
      </c>
      <c r="BH43" s="96">
        <f>Calcs!BK246</f>
        <v>0</v>
      </c>
      <c r="BI43" s="96">
        <f>Calcs!BL246</f>
        <v>0</v>
      </c>
      <c r="BJ43" s="96">
        <f>Calcs!BM246</f>
        <v>0</v>
      </c>
      <c r="BK43" s="96">
        <f>Calcs!BN246</f>
        <v>0</v>
      </c>
      <c r="BL43" s="96">
        <f>Calcs!BO246</f>
        <v>0</v>
      </c>
      <c r="BM43" s="96">
        <f>Calcs!BP246</f>
        <v>0</v>
      </c>
      <c r="BN43" s="96">
        <f>Calcs!BQ246</f>
        <v>0</v>
      </c>
      <c r="BO43" s="96">
        <f>Calcs!BR246</f>
        <v>0</v>
      </c>
      <c r="BP43" s="96">
        <f>Calcs!BS246</f>
        <v>0</v>
      </c>
      <c r="BQ43" s="96">
        <f>SUM(BE43:BP43)</f>
        <v>0</v>
      </c>
      <c r="BR43" s="1802"/>
      <c r="BS43" s="153">
        <f>SUM(BQ43,BD43,AQ43,AD43,Q43)</f>
        <v>0</v>
      </c>
      <c r="BT43" s="1802"/>
      <c r="BU43" s="153">
        <f>SUM(BQ43,BD43,AQ43,AD43,Q43)</f>
      </c>
      <c r="BV43" s="138"/>
      <c r="BW43" s="151"/>
      <c r="BX43" s="151"/>
      <c r="BY43" s="151"/>
      <c r="BZ43" s="151"/>
      <c r="CA43" s="151"/>
      <c r="CB43" s="151"/>
      <c r="CC43" s="151"/>
      <c r="CD43" s="151"/>
      <c r="CE43" s="151"/>
      <c r="CF43" s="151"/>
      <c r="CG43" s="151"/>
      <c r="CH43" s="151"/>
      <c r="CI43" s="151"/>
      <c r="CJ43" s="151"/>
      <c r="CK43" s="151"/>
      <c r="CL43" s="151"/>
      <c r="CM43" s="151"/>
      <c r="CN43" s="151"/>
      <c r="CO43" s="151"/>
      <c r="CP43" s="151"/>
      <c r="CW43" s="179"/>
      <c r="CX43" s="179"/>
      <c r="CY43" s="305"/>
      <c r="CZ43" s="305"/>
      <c r="DA43" s="305"/>
      <c r="DB43" s="305"/>
      <c r="DC43" s="305"/>
      <c r="DD43" s="305"/>
      <c r="DE43" s="305"/>
      <c r="DF43" s="305"/>
      <c r="DG43" s="305"/>
      <c r="DH43" s="305"/>
      <c r="DI43" s="305"/>
      <c r="DJ43" s="305"/>
      <c r="DK43" s="305"/>
      <c r="DL43" s="305"/>
      <c r="DM43" s="305"/>
      <c r="DN43" s="305"/>
      <c r="DO43" s="305"/>
      <c r="DP43" s="305"/>
      <c r="DQ43" s="305"/>
      <c r="DR43" s="305"/>
      <c r="DS43" s="305"/>
      <c r="DT43" s="305"/>
      <c r="DU43" s="305"/>
      <c r="DV43" s="305"/>
      <c r="DW43" s="305"/>
      <c r="DX43" s="305"/>
      <c r="DY43" s="305"/>
      <c r="DZ43" s="305"/>
      <c r="EA43" s="305"/>
      <c r="EB43" s="305"/>
      <c r="EC43" s="305"/>
      <c r="ED43" s="305"/>
      <c r="EE43" s="305"/>
      <c r="EF43" s="305"/>
      <c r="EG43" s="305"/>
      <c r="EH43" s="305"/>
      <c r="EI43" s="305"/>
      <c r="EJ43" s="305"/>
      <c r="EK43" s="305"/>
      <c r="EL43" s="305"/>
      <c r="EM43" s="305"/>
      <c r="EN43" s="305"/>
      <c r="EO43" s="305"/>
      <c r="EP43" s="305"/>
      <c r="EQ43" s="305"/>
      <c r="ER43" s="305"/>
      <c r="ES43" s="305"/>
      <c r="ET43" s="305"/>
      <c r="EU43" s="305"/>
      <c r="EV43" s="305"/>
      <c r="EW43" s="305"/>
      <c r="EX43" s="305"/>
      <c r="EY43" s="305"/>
      <c r="EZ43" s="305"/>
      <c r="FA43" s="305"/>
      <c r="FB43" s="305"/>
      <c r="FC43" s="305"/>
      <c r="FD43" s="305"/>
      <c r="FE43" s="305"/>
      <c r="FF43" s="305"/>
      <c r="FG43" s="305"/>
      <c r="FH43" s="305"/>
      <c r="FI43" s="305"/>
      <c r="FJ43" s="305"/>
    </row>
    <row r="44" spans="1:166" ht="12.75" customHeight="1" x14ac:dyDescent="0.35" hidden="1">
      <c r="A44" s="136"/>
      <c r="B44" s="136"/>
      <c r="C44" s="136"/>
      <c r="D44" s="152" t="str">
        <f>D15</f>
        <v>Item 9</v>
      </c>
      <c r="E44" s="96">
        <f>Calcs!L247</f>
        <v>0</v>
      </c>
      <c r="F44" s="96">
        <f>Calcs!M247</f>
        <v>0</v>
      </c>
      <c r="G44" s="96">
        <f>Calcs!N247</f>
        <v>0</v>
      </c>
      <c r="H44" s="96">
        <f>Calcs!O247</f>
        <v>0</v>
      </c>
      <c r="I44" s="96">
        <f>Calcs!P247</f>
        <v>0</v>
      </c>
      <c r="J44" s="96">
        <f>Calcs!Q247</f>
        <v>0</v>
      </c>
      <c r="K44" s="96">
        <f>Calcs!R247</f>
        <v>0</v>
      </c>
      <c r="L44" s="96">
        <f>Calcs!S247</f>
        <v>0</v>
      </c>
      <c r="M44" s="96">
        <f>Calcs!T247</f>
        <v>0</v>
      </c>
      <c r="N44" s="96">
        <f>Calcs!U247</f>
        <v>0</v>
      </c>
      <c r="O44" s="96">
        <f>Calcs!V247</f>
        <v>0</v>
      </c>
      <c r="P44" s="96">
        <f>Calcs!W247</f>
        <v>0</v>
      </c>
      <c r="Q44" s="96">
        <f>SUM(E44:P44)</f>
        <v>0</v>
      </c>
      <c r="R44" s="96">
        <f>Calcs!X247</f>
        <v>0</v>
      </c>
      <c r="S44" s="96">
        <f>Calcs!Y247</f>
        <v>0</v>
      </c>
      <c r="T44" s="96">
        <f>Calcs!Z247</f>
        <v>0</v>
      </c>
      <c r="U44" s="96">
        <f>Calcs!AA247</f>
        <v>0</v>
      </c>
      <c r="V44" s="96">
        <f>Calcs!AB247</f>
        <v>0</v>
      </c>
      <c r="W44" s="96">
        <f>Calcs!AC247</f>
        <v>0</v>
      </c>
      <c r="X44" s="96">
        <f>Calcs!AD247</f>
        <v>0</v>
      </c>
      <c r="Y44" s="96">
        <f>Calcs!AE247</f>
        <v>0</v>
      </c>
      <c r="Z44" s="96">
        <f>Calcs!AF247</f>
        <v>0</v>
      </c>
      <c r="AA44" s="96">
        <f>Calcs!AG247</f>
        <v>0</v>
      </c>
      <c r="AB44" s="96">
        <f>Calcs!AH247</f>
        <v>0</v>
      </c>
      <c r="AC44" s="96">
        <f>Calcs!AI247</f>
        <v>0</v>
      </c>
      <c r="AD44" s="96">
        <f>SUM(R44:AC44)</f>
        <v>0</v>
      </c>
      <c r="AE44" s="96">
        <f>Calcs!AJ247</f>
        <v>0</v>
      </c>
      <c r="AF44" s="96">
        <f>Calcs!AK247</f>
        <v>0</v>
      </c>
      <c r="AG44" s="96">
        <f>Calcs!AL247</f>
        <v>0</v>
      </c>
      <c r="AH44" s="96">
        <f>Calcs!AM247</f>
        <v>0</v>
      </c>
      <c r="AI44" s="96">
        <f>Calcs!AN247</f>
        <v>0</v>
      </c>
      <c r="AJ44" s="96">
        <f>Calcs!AO247</f>
        <v>0</v>
      </c>
      <c r="AK44" s="96">
        <f>Calcs!AP247</f>
        <v>0</v>
      </c>
      <c r="AL44" s="96">
        <f>Calcs!AQ247</f>
        <v>0</v>
      </c>
      <c r="AM44" s="96">
        <f>Calcs!AR247</f>
        <v>0</v>
      </c>
      <c r="AN44" s="96">
        <f>Calcs!AS247</f>
        <v>0</v>
      </c>
      <c r="AO44" s="96">
        <f>Calcs!AT247</f>
        <v>0</v>
      </c>
      <c r="AP44" s="96">
        <f>Calcs!AU247</f>
        <v>0</v>
      </c>
      <c r="AQ44" s="96">
        <f>SUM(AE44:AP44)</f>
        <v>0</v>
      </c>
      <c r="AR44" s="96">
        <f>Calcs!AV247</f>
        <v>0</v>
      </c>
      <c r="AS44" s="96">
        <f>Calcs!AW247</f>
        <v>0</v>
      </c>
      <c r="AT44" s="96">
        <f>Calcs!AX247</f>
        <v>0</v>
      </c>
      <c r="AU44" s="96">
        <f>Calcs!AY247</f>
        <v>0</v>
      </c>
      <c r="AV44" s="96">
        <f>Calcs!AZ247</f>
        <v>0</v>
      </c>
      <c r="AW44" s="96">
        <f>Calcs!BA247</f>
        <v>0</v>
      </c>
      <c r="AX44" s="96">
        <f>Calcs!BB247</f>
        <v>0</v>
      </c>
      <c r="AY44" s="96">
        <f>Calcs!BC247</f>
        <v>0</v>
      </c>
      <c r="AZ44" s="96">
        <f>Calcs!BD247</f>
        <v>0</v>
      </c>
      <c r="BA44" s="96">
        <f>Calcs!BE247</f>
        <v>0</v>
      </c>
      <c r="BB44" s="96">
        <f>Calcs!BF247</f>
        <v>0</v>
      </c>
      <c r="BC44" s="96">
        <f>Calcs!BG247</f>
        <v>0</v>
      </c>
      <c r="BD44" s="96">
        <f>SUM(AR44:BC44)</f>
        <v>0</v>
      </c>
      <c r="BE44" s="96">
        <f>Calcs!BH247</f>
        <v>0</v>
      </c>
      <c r="BF44" s="96">
        <f>Calcs!BI247</f>
        <v>0</v>
      </c>
      <c r="BG44" s="96">
        <f>Calcs!BJ247</f>
        <v>0</v>
      </c>
      <c r="BH44" s="96">
        <f>Calcs!BK247</f>
        <v>0</v>
      </c>
      <c r="BI44" s="96">
        <f>Calcs!BL247</f>
        <v>0</v>
      </c>
      <c r="BJ44" s="96">
        <f>Calcs!BM247</f>
        <v>0</v>
      </c>
      <c r="BK44" s="96">
        <f>Calcs!BN247</f>
        <v>0</v>
      </c>
      <c r="BL44" s="96">
        <f>Calcs!BO247</f>
        <v>0</v>
      </c>
      <c r="BM44" s="96">
        <f>Calcs!BP247</f>
        <v>0</v>
      </c>
      <c r="BN44" s="96">
        <f>Calcs!BQ247</f>
        <v>0</v>
      </c>
      <c r="BO44" s="96">
        <f>Calcs!BR247</f>
        <v>0</v>
      </c>
      <c r="BP44" s="96">
        <f>Calcs!BS247</f>
        <v>0</v>
      </c>
      <c r="BQ44" s="96">
        <f>SUM(BE44:BP44)</f>
        <v>0</v>
      </c>
      <c r="BR44" s="1802"/>
      <c r="BS44" s="153">
        <f>SUM(BQ44,BD44,AQ44,AD44,Q44)</f>
        <v>0</v>
      </c>
      <c r="BT44" s="1802"/>
      <c r="BU44" s="153">
        <f>SUM(BQ44,BD44,AQ44,AD44,Q44)</f>
      </c>
      <c r="BV44" s="138"/>
      <c r="BW44" s="151"/>
      <c r="BX44" s="151"/>
      <c r="BY44" s="151"/>
      <c r="BZ44" s="151"/>
      <c r="CA44" s="151"/>
      <c r="CB44" s="151"/>
      <c r="CC44" s="151"/>
      <c r="CD44" s="151"/>
      <c r="CE44" s="151"/>
      <c r="CF44" s="151"/>
      <c r="CG44" s="151"/>
      <c r="CH44" s="151"/>
      <c r="CI44" s="151"/>
      <c r="CJ44" s="151"/>
      <c r="CK44" s="151"/>
      <c r="CL44" s="151"/>
      <c r="CM44" s="151"/>
      <c r="CN44" s="151"/>
      <c r="CO44" s="151"/>
      <c r="CP44" s="151"/>
      <c r="CW44" s="179"/>
      <c r="CX44" s="179"/>
      <c r="CY44" s="305"/>
      <c r="CZ44" s="305"/>
      <c r="DA44" s="305"/>
      <c r="DB44" s="305"/>
      <c r="DC44" s="305"/>
      <c r="DD44" s="305"/>
      <c r="DE44" s="305"/>
      <c r="DF44" s="305"/>
      <c r="DG44" s="305"/>
      <c r="DH44" s="305"/>
      <c r="DI44" s="305"/>
      <c r="DJ44" s="305"/>
      <c r="DK44" s="305"/>
      <c r="DL44" s="305"/>
      <c r="DM44" s="305"/>
      <c r="DN44" s="305"/>
      <c r="DO44" s="305"/>
      <c r="DP44" s="305"/>
      <c r="DQ44" s="305"/>
      <c r="DR44" s="305"/>
      <c r="DS44" s="305"/>
      <c r="DT44" s="305"/>
      <c r="DU44" s="305"/>
      <c r="DV44" s="305"/>
      <c r="DW44" s="305"/>
      <c r="DX44" s="305"/>
      <c r="DY44" s="305"/>
      <c r="DZ44" s="305"/>
      <c r="EA44" s="305"/>
      <c r="EB44" s="305"/>
      <c r="EC44" s="305"/>
      <c r="ED44" s="305"/>
      <c r="EE44" s="305"/>
      <c r="EF44" s="305"/>
      <c r="EG44" s="305"/>
      <c r="EH44" s="305"/>
      <c r="EI44" s="305"/>
      <c r="EJ44" s="305"/>
      <c r="EK44" s="305"/>
      <c r="EL44" s="305"/>
      <c r="EM44" s="305"/>
      <c r="EN44" s="305"/>
      <c r="EO44" s="305"/>
      <c r="EP44" s="305"/>
      <c r="EQ44" s="305"/>
      <c r="ER44" s="305"/>
      <c r="ES44" s="305"/>
      <c r="ET44" s="305"/>
      <c r="EU44" s="305"/>
      <c r="EV44" s="305"/>
      <c r="EW44" s="305"/>
      <c r="EX44" s="305"/>
      <c r="EY44" s="305"/>
      <c r="EZ44" s="305"/>
      <c r="FA44" s="305"/>
      <c r="FB44" s="305"/>
      <c r="FC44" s="305"/>
      <c r="FD44" s="305"/>
      <c r="FE44" s="305"/>
      <c r="FF44" s="305"/>
      <c r="FG44" s="305"/>
      <c r="FH44" s="305"/>
      <c r="FI44" s="305"/>
      <c r="FJ44" s="305"/>
    </row>
    <row r="45" spans="1:166" ht="12.75" customHeight="1" x14ac:dyDescent="0.35" hidden="1">
      <c r="A45" s="136"/>
      <c r="B45" s="136"/>
      <c r="C45" s="136"/>
      <c r="D45" s="152" t="str">
        <f>D16</f>
        <v>Item 10</v>
      </c>
      <c r="E45" s="96">
        <f>Calcs!L248</f>
        <v>0</v>
      </c>
      <c r="F45" s="96">
        <f>Calcs!M248</f>
        <v>0</v>
      </c>
      <c r="G45" s="96">
        <f>Calcs!N248</f>
        <v>0</v>
      </c>
      <c r="H45" s="96">
        <f>Calcs!O248</f>
        <v>0</v>
      </c>
      <c r="I45" s="96">
        <f>Calcs!P248</f>
        <v>0</v>
      </c>
      <c r="J45" s="96">
        <f>Calcs!Q248</f>
        <v>0</v>
      </c>
      <c r="K45" s="96">
        <f>Calcs!R248</f>
        <v>0</v>
      </c>
      <c r="L45" s="96">
        <f>Calcs!S248</f>
        <v>0</v>
      </c>
      <c r="M45" s="96">
        <f>Calcs!T248</f>
        <v>0</v>
      </c>
      <c r="N45" s="96">
        <f>Calcs!U248</f>
        <v>0</v>
      </c>
      <c r="O45" s="96">
        <f>Calcs!V248</f>
        <v>0</v>
      </c>
      <c r="P45" s="96">
        <f>Calcs!W248</f>
        <v>0</v>
      </c>
      <c r="Q45" s="96">
        <f>SUM(E45:P45)</f>
        <v>0</v>
      </c>
      <c r="R45" s="96">
        <f>Calcs!X248</f>
        <v>0</v>
      </c>
      <c r="S45" s="96">
        <f>Calcs!Y248</f>
        <v>0</v>
      </c>
      <c r="T45" s="96">
        <f>Calcs!Z248</f>
        <v>0</v>
      </c>
      <c r="U45" s="96">
        <f>Calcs!AA248</f>
        <v>0</v>
      </c>
      <c r="V45" s="96">
        <f>Calcs!AB248</f>
        <v>0</v>
      </c>
      <c r="W45" s="96">
        <f>Calcs!AC248</f>
        <v>0</v>
      </c>
      <c r="X45" s="96">
        <f>Calcs!AD248</f>
        <v>0</v>
      </c>
      <c r="Y45" s="96">
        <f>Calcs!AE248</f>
        <v>0</v>
      </c>
      <c r="Z45" s="96">
        <f>Calcs!AF248</f>
        <v>0</v>
      </c>
      <c r="AA45" s="96">
        <f>Calcs!AG248</f>
        <v>0</v>
      </c>
      <c r="AB45" s="96">
        <f>Calcs!AH248</f>
        <v>0</v>
      </c>
      <c r="AC45" s="96">
        <f>Calcs!AI248</f>
        <v>0</v>
      </c>
      <c r="AD45" s="96">
        <f>SUM(R45:AC45)</f>
        <v>0</v>
      </c>
      <c r="AE45" s="96">
        <f>Calcs!AJ248</f>
        <v>0</v>
      </c>
      <c r="AF45" s="96">
        <f>Calcs!AK248</f>
        <v>0</v>
      </c>
      <c r="AG45" s="96">
        <f>Calcs!AL248</f>
        <v>0</v>
      </c>
      <c r="AH45" s="96">
        <f>Calcs!AM248</f>
        <v>0</v>
      </c>
      <c r="AI45" s="96">
        <f>Calcs!AN248</f>
        <v>0</v>
      </c>
      <c r="AJ45" s="96">
        <f>Calcs!AO248</f>
        <v>0</v>
      </c>
      <c r="AK45" s="96">
        <f>Calcs!AP248</f>
        <v>0</v>
      </c>
      <c r="AL45" s="96">
        <f>Calcs!AQ248</f>
        <v>0</v>
      </c>
      <c r="AM45" s="96">
        <f>Calcs!AR248</f>
        <v>0</v>
      </c>
      <c r="AN45" s="96">
        <f>Calcs!AS248</f>
        <v>0</v>
      </c>
      <c r="AO45" s="96">
        <f>Calcs!AT248</f>
        <v>0</v>
      </c>
      <c r="AP45" s="96">
        <f>Calcs!AU248</f>
        <v>0</v>
      </c>
      <c r="AQ45" s="96">
        <f>SUM(AE45:AP45)</f>
        <v>0</v>
      </c>
      <c r="AR45" s="96">
        <f>Calcs!AV248</f>
        <v>0</v>
      </c>
      <c r="AS45" s="96">
        <f>Calcs!AW248</f>
        <v>0</v>
      </c>
      <c r="AT45" s="96">
        <f>Calcs!AX248</f>
        <v>0</v>
      </c>
      <c r="AU45" s="96">
        <f>Calcs!AY248</f>
        <v>0</v>
      </c>
      <c r="AV45" s="96">
        <f>Calcs!AZ248</f>
        <v>0</v>
      </c>
      <c r="AW45" s="96">
        <f>Calcs!BA248</f>
        <v>0</v>
      </c>
      <c r="AX45" s="96">
        <f>Calcs!BB248</f>
        <v>0</v>
      </c>
      <c r="AY45" s="96">
        <f>Calcs!BC248</f>
        <v>0</v>
      </c>
      <c r="AZ45" s="96">
        <f>Calcs!BD248</f>
        <v>0</v>
      </c>
      <c r="BA45" s="96">
        <f>Calcs!BE248</f>
        <v>0</v>
      </c>
      <c r="BB45" s="96">
        <f>Calcs!BF248</f>
        <v>0</v>
      </c>
      <c r="BC45" s="96">
        <f>Calcs!BG248</f>
        <v>0</v>
      </c>
      <c r="BD45" s="96">
        <f>SUM(AR45:BC45)</f>
        <v>0</v>
      </c>
      <c r="BE45" s="96">
        <f>Calcs!BH248</f>
        <v>0</v>
      </c>
      <c r="BF45" s="96">
        <f>Calcs!BI248</f>
        <v>0</v>
      </c>
      <c r="BG45" s="96">
        <f>Calcs!BJ248</f>
        <v>0</v>
      </c>
      <c r="BH45" s="96">
        <f>Calcs!BK248</f>
        <v>0</v>
      </c>
      <c r="BI45" s="96">
        <f>Calcs!BL248</f>
        <v>0</v>
      </c>
      <c r="BJ45" s="96">
        <f>Calcs!BM248</f>
        <v>0</v>
      </c>
      <c r="BK45" s="96">
        <f>Calcs!BN248</f>
        <v>0</v>
      </c>
      <c r="BL45" s="96">
        <f>Calcs!BO248</f>
        <v>0</v>
      </c>
      <c r="BM45" s="96">
        <f>Calcs!BP248</f>
        <v>0</v>
      </c>
      <c r="BN45" s="96">
        <f>Calcs!BQ248</f>
        <v>0</v>
      </c>
      <c r="BO45" s="96">
        <f>Calcs!BR248</f>
        <v>0</v>
      </c>
      <c r="BP45" s="96">
        <f>Calcs!BS248</f>
        <v>0</v>
      </c>
      <c r="BQ45" s="96">
        <f>SUM(BE45:BP45)</f>
        <v>0</v>
      </c>
      <c r="BR45" s="1802"/>
      <c r="BS45" s="153">
        <f>SUM(BQ45,BD45,AQ45,AD45,Q45)</f>
        <v>0</v>
      </c>
      <c r="BT45" s="1802"/>
      <c r="BU45" s="153">
        <f>SUM(BQ45,BD45,AQ45,AD45,Q45)</f>
      </c>
      <c r="BV45" s="138"/>
      <c r="BW45" s="151"/>
      <c r="BX45" s="151"/>
      <c r="BY45" s="151"/>
      <c r="BZ45" s="151"/>
      <c r="CA45" s="151"/>
      <c r="CB45" s="151"/>
      <c r="CC45" s="151"/>
      <c r="CD45" s="151"/>
      <c r="CE45" s="151"/>
      <c r="CF45" s="151"/>
      <c r="CG45" s="151"/>
      <c r="CH45" s="151"/>
      <c r="CI45" s="151"/>
      <c r="CJ45" s="151"/>
      <c r="CK45" s="151"/>
      <c r="CL45" s="151"/>
      <c r="CM45" s="151"/>
      <c r="CN45" s="151"/>
      <c r="CO45" s="151"/>
      <c r="CP45" s="151"/>
      <c r="CW45" s="179"/>
      <c r="CX45" s="179"/>
      <c r="CY45" s="305"/>
      <c r="CZ45" s="305"/>
      <c r="DA45" s="305"/>
      <c r="DB45" s="305"/>
      <c r="DC45" s="305"/>
      <c r="DD45" s="305"/>
      <c r="DE45" s="305"/>
      <c r="DF45" s="305"/>
      <c r="DG45" s="305"/>
      <c r="DH45" s="305"/>
      <c r="DI45" s="305"/>
      <c r="DJ45" s="305"/>
      <c r="DK45" s="305"/>
      <c r="DL45" s="305"/>
      <c r="DM45" s="305"/>
      <c r="DN45" s="305"/>
      <c r="DO45" s="305"/>
      <c r="DP45" s="305"/>
      <c r="DQ45" s="305"/>
      <c r="DR45" s="305"/>
      <c r="DS45" s="305"/>
      <c r="DT45" s="305"/>
      <c r="DU45" s="305"/>
      <c r="DV45" s="305"/>
      <c r="DW45" s="305"/>
      <c r="DX45" s="305"/>
      <c r="DY45" s="305"/>
      <c r="DZ45" s="305"/>
      <c r="EA45" s="305"/>
      <c r="EB45" s="305"/>
      <c r="EC45" s="305"/>
      <c r="ED45" s="305"/>
      <c r="EE45" s="305"/>
      <c r="EF45" s="305"/>
      <c r="EG45" s="305"/>
      <c r="EH45" s="305"/>
      <c r="EI45" s="305"/>
      <c r="EJ45" s="305"/>
      <c r="EK45" s="305"/>
      <c r="EL45" s="305"/>
      <c r="EM45" s="305"/>
      <c r="EN45" s="305"/>
      <c r="EO45" s="305"/>
      <c r="EP45" s="305"/>
      <c r="EQ45" s="305"/>
      <c r="ER45" s="305"/>
      <c r="ES45" s="305"/>
      <c r="ET45" s="305"/>
      <c r="EU45" s="305"/>
      <c r="EV45" s="305"/>
      <c r="EW45" s="305"/>
      <c r="EX45" s="305"/>
      <c r="EY45" s="305"/>
      <c r="EZ45" s="305"/>
      <c r="FA45" s="305"/>
      <c r="FB45" s="305"/>
      <c r="FC45" s="305"/>
      <c r="FD45" s="305"/>
      <c r="FE45" s="305"/>
      <c r="FF45" s="305"/>
      <c r="FG45" s="305"/>
      <c r="FH45" s="305"/>
      <c r="FI45" s="305"/>
      <c r="FJ45" s="305"/>
    </row>
    <row r="46" spans="1:166" ht="12.75" customHeight="1" x14ac:dyDescent="0.35" hidden="1">
      <c r="A46" s="136"/>
      <c r="B46" s="136"/>
      <c r="C46" s="136"/>
      <c r="D46" s="152" t="str">
        <f>D17</f>
        <v>Item 11</v>
      </c>
      <c r="E46" s="96">
        <f>Calcs!L249</f>
        <v>0</v>
      </c>
      <c r="F46" s="96">
        <f>Calcs!M249</f>
        <v>0</v>
      </c>
      <c r="G46" s="96">
        <f>Calcs!N249</f>
        <v>0</v>
      </c>
      <c r="H46" s="96">
        <f>Calcs!O249</f>
        <v>0</v>
      </c>
      <c r="I46" s="96">
        <f>Calcs!P249</f>
        <v>0</v>
      </c>
      <c r="J46" s="96">
        <f>Calcs!Q249</f>
        <v>0</v>
      </c>
      <c r="K46" s="96">
        <f>Calcs!R249</f>
        <v>0</v>
      </c>
      <c r="L46" s="96">
        <f>Calcs!S249</f>
        <v>0</v>
      </c>
      <c r="M46" s="96">
        <f>Calcs!T249</f>
        <v>0</v>
      </c>
      <c r="N46" s="96">
        <f>Calcs!U249</f>
        <v>0</v>
      </c>
      <c r="O46" s="96">
        <f>Calcs!V249</f>
        <v>0</v>
      </c>
      <c r="P46" s="96">
        <f>Calcs!W249</f>
        <v>0</v>
      </c>
      <c r="Q46" s="96">
        <f>SUM(E46:P46)</f>
        <v>0</v>
      </c>
      <c r="R46" s="96">
        <f>Calcs!X249</f>
        <v>0</v>
      </c>
      <c r="S46" s="96">
        <f>Calcs!Y249</f>
        <v>0</v>
      </c>
      <c r="T46" s="96">
        <f>Calcs!Z249</f>
        <v>0</v>
      </c>
      <c r="U46" s="96">
        <f>Calcs!AA249</f>
        <v>0</v>
      </c>
      <c r="V46" s="96">
        <f>Calcs!AB249</f>
        <v>0</v>
      </c>
      <c r="W46" s="96">
        <f>Calcs!AC249</f>
        <v>0</v>
      </c>
      <c r="X46" s="96">
        <f>Calcs!AD249</f>
        <v>0</v>
      </c>
      <c r="Y46" s="96">
        <f>Calcs!AE249</f>
        <v>0</v>
      </c>
      <c r="Z46" s="96">
        <f>Calcs!AF249</f>
        <v>0</v>
      </c>
      <c r="AA46" s="96">
        <f>Calcs!AG249</f>
        <v>0</v>
      </c>
      <c r="AB46" s="96">
        <f>Calcs!AH249</f>
        <v>0</v>
      </c>
      <c r="AC46" s="96">
        <f>Calcs!AI249</f>
        <v>0</v>
      </c>
      <c r="AD46" s="96">
        <f>SUM(R46:AC46)</f>
        <v>0</v>
      </c>
      <c r="AE46" s="96">
        <f>Calcs!AJ249</f>
        <v>0</v>
      </c>
      <c r="AF46" s="96">
        <f>Calcs!AK249</f>
        <v>0</v>
      </c>
      <c r="AG46" s="96">
        <f>Calcs!AL249</f>
        <v>0</v>
      </c>
      <c r="AH46" s="96">
        <f>Calcs!AM249</f>
        <v>0</v>
      </c>
      <c r="AI46" s="96">
        <f>Calcs!AN249</f>
        <v>0</v>
      </c>
      <c r="AJ46" s="96">
        <f>Calcs!AO249</f>
        <v>0</v>
      </c>
      <c r="AK46" s="96">
        <f>Calcs!AP249</f>
        <v>0</v>
      </c>
      <c r="AL46" s="96">
        <f>Calcs!AQ249</f>
        <v>0</v>
      </c>
      <c r="AM46" s="96">
        <f>Calcs!AR249</f>
        <v>0</v>
      </c>
      <c r="AN46" s="96">
        <f>Calcs!AS249</f>
        <v>0</v>
      </c>
      <c r="AO46" s="96">
        <f>Calcs!AT249</f>
        <v>0</v>
      </c>
      <c r="AP46" s="96">
        <f>Calcs!AU249</f>
        <v>0</v>
      </c>
      <c r="AQ46" s="96">
        <f>SUM(AE46:AP46)</f>
        <v>0</v>
      </c>
      <c r="AR46" s="96">
        <f>Calcs!AV249</f>
        <v>0</v>
      </c>
      <c r="AS46" s="96">
        <f>Calcs!AW249</f>
        <v>0</v>
      </c>
      <c r="AT46" s="96">
        <f>Calcs!AX249</f>
        <v>0</v>
      </c>
      <c r="AU46" s="96">
        <f>Calcs!AY249</f>
        <v>0</v>
      </c>
      <c r="AV46" s="96">
        <f>Calcs!AZ249</f>
        <v>0</v>
      </c>
      <c r="AW46" s="96">
        <f>Calcs!BA249</f>
        <v>0</v>
      </c>
      <c r="AX46" s="96">
        <f>Calcs!BB249</f>
        <v>0</v>
      </c>
      <c r="AY46" s="96">
        <f>Calcs!BC249</f>
        <v>0</v>
      </c>
      <c r="AZ46" s="96">
        <f>Calcs!BD249</f>
        <v>0</v>
      </c>
      <c r="BA46" s="96">
        <f>Calcs!BE249</f>
        <v>0</v>
      </c>
      <c r="BB46" s="96">
        <f>Calcs!BF249</f>
        <v>0</v>
      </c>
      <c r="BC46" s="96">
        <f>Calcs!BG249</f>
        <v>0</v>
      </c>
      <c r="BD46" s="96">
        <f>SUM(AR46:BC46)</f>
        <v>0</v>
      </c>
      <c r="BE46" s="96">
        <f>Calcs!BH249</f>
        <v>0</v>
      </c>
      <c r="BF46" s="96">
        <f>Calcs!BI249</f>
        <v>0</v>
      </c>
      <c r="BG46" s="96">
        <f>Calcs!BJ249</f>
        <v>0</v>
      </c>
      <c r="BH46" s="96">
        <f>Calcs!BK249</f>
        <v>0</v>
      </c>
      <c r="BI46" s="96">
        <f>Calcs!BL249</f>
        <v>0</v>
      </c>
      <c r="BJ46" s="96">
        <f>Calcs!BM249</f>
        <v>0</v>
      </c>
      <c r="BK46" s="96">
        <f>Calcs!BN249</f>
        <v>0</v>
      </c>
      <c r="BL46" s="96">
        <f>Calcs!BO249</f>
        <v>0</v>
      </c>
      <c r="BM46" s="96">
        <f>Calcs!BP249</f>
        <v>0</v>
      </c>
      <c r="BN46" s="96">
        <f>Calcs!BQ249</f>
        <v>0</v>
      </c>
      <c r="BO46" s="96">
        <f>Calcs!BR249</f>
        <v>0</v>
      </c>
      <c r="BP46" s="96">
        <f>Calcs!BS249</f>
        <v>0</v>
      </c>
      <c r="BQ46" s="96">
        <f>SUM(BE46:BP46)</f>
        <v>0</v>
      </c>
      <c r="BR46" s="1802"/>
      <c r="BS46" s="153">
        <f>SUM(BQ46,BD46,AQ46,AD46,Q46)</f>
        <v>0</v>
      </c>
      <c r="BT46" s="1802"/>
      <c r="BU46" s="153">
        <f>SUM(BQ46,BD46,AQ46,AD46,Q46)</f>
      </c>
      <c r="BV46" s="138"/>
      <c r="BW46" s="151"/>
      <c r="BX46" s="151"/>
      <c r="BY46" s="151"/>
      <c r="BZ46" s="151"/>
      <c r="CA46" s="151"/>
      <c r="CB46" s="151"/>
      <c r="CC46" s="151"/>
      <c r="CD46" s="151"/>
      <c r="CE46" s="151"/>
      <c r="CF46" s="151"/>
      <c r="CG46" s="151"/>
      <c r="CH46" s="151"/>
      <c r="CI46" s="151"/>
      <c r="CJ46" s="151"/>
      <c r="CK46" s="151"/>
      <c r="CL46" s="151"/>
      <c r="CM46" s="151"/>
      <c r="CN46" s="151"/>
      <c r="CO46" s="151"/>
      <c r="CP46" s="151"/>
      <c r="CW46" s="179"/>
      <c r="CX46" s="179"/>
      <c r="CY46" s="305"/>
      <c r="CZ46" s="305"/>
      <c r="DA46" s="305"/>
      <c r="DB46" s="305"/>
      <c r="DC46" s="305"/>
      <c r="DD46" s="305"/>
      <c r="DE46" s="305"/>
      <c r="DF46" s="305"/>
      <c r="DG46" s="305"/>
      <c r="DH46" s="305"/>
      <c r="DI46" s="305"/>
      <c r="DJ46" s="305"/>
      <c r="DK46" s="305"/>
      <c r="DL46" s="305"/>
      <c r="DM46" s="305"/>
      <c r="DN46" s="305"/>
      <c r="DO46" s="305"/>
      <c r="DP46" s="305"/>
      <c r="DQ46" s="305"/>
      <c r="DR46" s="305"/>
      <c r="DS46" s="305"/>
      <c r="DT46" s="305"/>
      <c r="DU46" s="305"/>
      <c r="DV46" s="305"/>
      <c r="DW46" s="305"/>
      <c r="DX46" s="305"/>
      <c r="DY46" s="305"/>
      <c r="DZ46" s="305"/>
      <c r="EA46" s="305"/>
      <c r="EB46" s="305"/>
      <c r="EC46" s="305"/>
      <c r="ED46" s="305"/>
      <c r="EE46" s="305"/>
      <c r="EF46" s="305"/>
      <c r="EG46" s="305"/>
      <c r="EH46" s="305"/>
      <c r="EI46" s="305"/>
      <c r="EJ46" s="305"/>
      <c r="EK46" s="305"/>
      <c r="EL46" s="305"/>
      <c r="EM46" s="305"/>
      <c r="EN46" s="305"/>
      <c r="EO46" s="305"/>
      <c r="EP46" s="305"/>
      <c r="EQ46" s="305"/>
      <c r="ER46" s="305"/>
      <c r="ES46" s="305"/>
      <c r="ET46" s="305"/>
      <c r="EU46" s="305"/>
      <c r="EV46" s="305"/>
      <c r="EW46" s="305"/>
      <c r="EX46" s="305"/>
      <c r="EY46" s="305"/>
      <c r="EZ46" s="305"/>
      <c r="FA46" s="305"/>
      <c r="FB46" s="305"/>
      <c r="FC46" s="305"/>
      <c r="FD46" s="305"/>
      <c r="FE46" s="305"/>
      <c r="FF46" s="305"/>
      <c r="FG46" s="305"/>
      <c r="FH46" s="305"/>
      <c r="FI46" s="305"/>
      <c r="FJ46" s="305"/>
    </row>
    <row r="47" spans="1:166" ht="12.75" customHeight="1" x14ac:dyDescent="0.35" hidden="1">
      <c r="A47" s="136"/>
      <c r="B47" s="136"/>
      <c r="C47" s="136"/>
      <c r="D47" s="152" t="str">
        <f>D18</f>
        <v>Item 12</v>
      </c>
      <c r="E47" s="96">
        <f>Calcs!L250</f>
        <v>0</v>
      </c>
      <c r="F47" s="96">
        <f>Calcs!M250</f>
        <v>0</v>
      </c>
      <c r="G47" s="96">
        <f>Calcs!N250</f>
        <v>0</v>
      </c>
      <c r="H47" s="96">
        <f>Calcs!O250</f>
        <v>0</v>
      </c>
      <c r="I47" s="96">
        <f>Calcs!P250</f>
        <v>0</v>
      </c>
      <c r="J47" s="96">
        <f>Calcs!Q250</f>
        <v>0</v>
      </c>
      <c r="K47" s="96">
        <f>Calcs!R250</f>
        <v>0</v>
      </c>
      <c r="L47" s="96">
        <f>Calcs!S250</f>
        <v>0</v>
      </c>
      <c r="M47" s="96">
        <f>Calcs!T250</f>
        <v>0</v>
      </c>
      <c r="N47" s="96">
        <f>Calcs!U250</f>
        <v>0</v>
      </c>
      <c r="O47" s="96">
        <f>Calcs!V250</f>
        <v>0</v>
      </c>
      <c r="P47" s="96">
        <f>Calcs!W250</f>
        <v>0</v>
      </c>
      <c r="Q47" s="96">
        <f>SUM(E47:P47)</f>
        <v>0</v>
      </c>
      <c r="R47" s="96">
        <f>Calcs!X250</f>
        <v>0</v>
      </c>
      <c r="S47" s="96">
        <f>Calcs!Y250</f>
        <v>0</v>
      </c>
      <c r="T47" s="96">
        <f>Calcs!Z250</f>
        <v>0</v>
      </c>
      <c r="U47" s="96">
        <f>Calcs!AA250</f>
        <v>0</v>
      </c>
      <c r="V47" s="96">
        <f>Calcs!AB250</f>
        <v>0</v>
      </c>
      <c r="W47" s="96">
        <f>Calcs!AC250</f>
        <v>0</v>
      </c>
      <c r="X47" s="96">
        <f>Calcs!AD250</f>
        <v>0</v>
      </c>
      <c r="Y47" s="96">
        <f>Calcs!AE250</f>
        <v>0</v>
      </c>
      <c r="Z47" s="96">
        <f>Calcs!AF250</f>
        <v>0</v>
      </c>
      <c r="AA47" s="96">
        <f>Calcs!AG250</f>
        <v>0</v>
      </c>
      <c r="AB47" s="96">
        <f>Calcs!AH250</f>
        <v>0</v>
      </c>
      <c r="AC47" s="96">
        <f>Calcs!AI250</f>
        <v>0</v>
      </c>
      <c r="AD47" s="96">
        <f>SUM(R47:AC47)</f>
        <v>0</v>
      </c>
      <c r="AE47" s="96">
        <f>Calcs!AJ250</f>
        <v>0</v>
      </c>
      <c r="AF47" s="96">
        <f>Calcs!AK250</f>
        <v>0</v>
      </c>
      <c r="AG47" s="96">
        <f>Calcs!AL250</f>
        <v>0</v>
      </c>
      <c r="AH47" s="96">
        <f>Calcs!AM250</f>
        <v>0</v>
      </c>
      <c r="AI47" s="96">
        <f>Calcs!AN250</f>
        <v>0</v>
      </c>
      <c r="AJ47" s="96">
        <f>Calcs!AO250</f>
        <v>0</v>
      </c>
      <c r="AK47" s="96">
        <f>Calcs!AP250</f>
        <v>0</v>
      </c>
      <c r="AL47" s="96">
        <f>Calcs!AQ250</f>
        <v>0</v>
      </c>
      <c r="AM47" s="96">
        <f>Calcs!AR250</f>
        <v>0</v>
      </c>
      <c r="AN47" s="96">
        <f>Calcs!AS250</f>
        <v>0</v>
      </c>
      <c r="AO47" s="96">
        <f>Calcs!AT250</f>
        <v>0</v>
      </c>
      <c r="AP47" s="96">
        <f>Calcs!AU250</f>
        <v>0</v>
      </c>
      <c r="AQ47" s="96">
        <f>SUM(AE47:AP47)</f>
        <v>0</v>
      </c>
      <c r="AR47" s="96">
        <f>Calcs!AV250</f>
        <v>0</v>
      </c>
      <c r="AS47" s="96">
        <f>Calcs!AW250</f>
        <v>0</v>
      </c>
      <c r="AT47" s="96">
        <f>Calcs!AX250</f>
        <v>0</v>
      </c>
      <c r="AU47" s="96">
        <f>Calcs!AY250</f>
        <v>0</v>
      </c>
      <c r="AV47" s="96">
        <f>Calcs!AZ250</f>
        <v>0</v>
      </c>
      <c r="AW47" s="96">
        <f>Calcs!BA250</f>
        <v>0</v>
      </c>
      <c r="AX47" s="96">
        <f>Calcs!BB250</f>
        <v>0</v>
      </c>
      <c r="AY47" s="96">
        <f>Calcs!BC250</f>
        <v>0</v>
      </c>
      <c r="AZ47" s="96">
        <f>Calcs!BD250</f>
        <v>0</v>
      </c>
      <c r="BA47" s="96">
        <f>Calcs!BE250</f>
        <v>0</v>
      </c>
      <c r="BB47" s="96">
        <f>Calcs!BF250</f>
        <v>0</v>
      </c>
      <c r="BC47" s="96">
        <f>Calcs!BG250</f>
        <v>0</v>
      </c>
      <c r="BD47" s="96">
        <f>SUM(AR47:BC47)</f>
        <v>0</v>
      </c>
      <c r="BE47" s="96">
        <f>Calcs!BH250</f>
        <v>0</v>
      </c>
      <c r="BF47" s="96">
        <f>Calcs!BI250</f>
        <v>0</v>
      </c>
      <c r="BG47" s="96">
        <f>Calcs!BJ250</f>
        <v>0</v>
      </c>
      <c r="BH47" s="96">
        <f>Calcs!BK250</f>
        <v>0</v>
      </c>
      <c r="BI47" s="96">
        <f>Calcs!BL250</f>
        <v>0</v>
      </c>
      <c r="BJ47" s="96">
        <f>Calcs!BM250</f>
        <v>0</v>
      </c>
      <c r="BK47" s="96">
        <f>Calcs!BN250</f>
        <v>0</v>
      </c>
      <c r="BL47" s="96">
        <f>Calcs!BO250</f>
        <v>0</v>
      </c>
      <c r="BM47" s="96">
        <f>Calcs!BP250</f>
        <v>0</v>
      </c>
      <c r="BN47" s="96">
        <f>Calcs!BQ250</f>
        <v>0</v>
      </c>
      <c r="BO47" s="96">
        <f>Calcs!BR250</f>
        <v>0</v>
      </c>
      <c r="BP47" s="96">
        <f>Calcs!BS250</f>
        <v>0</v>
      </c>
      <c r="BQ47" s="96">
        <f>SUM(BE47:BP47)</f>
        <v>0</v>
      </c>
      <c r="BR47" s="1802"/>
      <c r="BS47" s="153">
        <f>SUM(BQ47,BD47,AQ47,AD47,Q47)</f>
        <v>0</v>
      </c>
      <c r="BT47" s="1802"/>
      <c r="BU47" s="153">
        <f>SUM(BQ47,BD47,AQ47,AD47,Q47)</f>
      </c>
      <c r="BV47" s="138"/>
      <c r="BW47" s="151"/>
      <c r="BX47" s="151"/>
      <c r="BY47" s="151"/>
      <c r="BZ47" s="151"/>
      <c r="CA47" s="151"/>
      <c r="CB47" s="151"/>
      <c r="CC47" s="151"/>
      <c r="CD47" s="151"/>
      <c r="CE47" s="151"/>
      <c r="CF47" s="151"/>
      <c r="CG47" s="151"/>
      <c r="CH47" s="151"/>
      <c r="CI47" s="151"/>
      <c r="CJ47" s="151"/>
      <c r="CK47" s="151"/>
      <c r="CL47" s="151"/>
      <c r="CM47" s="151"/>
      <c r="CN47" s="151"/>
      <c r="CO47" s="151"/>
      <c r="CP47" s="151"/>
      <c r="CW47" s="179"/>
      <c r="CX47" s="179"/>
      <c r="CY47" s="305"/>
      <c r="CZ47" s="305"/>
      <c r="DA47" s="305"/>
      <c r="DB47" s="305"/>
      <c r="DC47" s="305"/>
      <c r="DD47" s="305"/>
      <c r="DE47" s="305"/>
      <c r="DF47" s="305"/>
      <c r="DG47" s="305"/>
      <c r="DH47" s="305"/>
      <c r="DI47" s="305"/>
      <c r="DJ47" s="305"/>
      <c r="DK47" s="305"/>
      <c r="DL47" s="305"/>
      <c r="DM47" s="305"/>
      <c r="DN47" s="305"/>
      <c r="DO47" s="305"/>
      <c r="DP47" s="305"/>
      <c r="DQ47" s="305"/>
      <c r="DR47" s="305"/>
      <c r="DS47" s="305"/>
      <c r="DT47" s="305"/>
      <c r="DU47" s="305"/>
      <c r="DV47" s="305"/>
      <c r="DW47" s="305"/>
      <c r="DX47" s="305"/>
      <c r="DY47" s="305"/>
      <c r="DZ47" s="305"/>
      <c r="EA47" s="305"/>
      <c r="EB47" s="305"/>
      <c r="EC47" s="305"/>
      <c r="ED47" s="305"/>
      <c r="EE47" s="305"/>
      <c r="EF47" s="305"/>
      <c r="EG47" s="305"/>
      <c r="EH47" s="305"/>
      <c r="EI47" s="305"/>
      <c r="EJ47" s="305"/>
      <c r="EK47" s="305"/>
      <c r="EL47" s="305"/>
      <c r="EM47" s="305"/>
      <c r="EN47" s="305"/>
      <c r="EO47" s="305"/>
      <c r="EP47" s="305"/>
      <c r="EQ47" s="305"/>
      <c r="ER47" s="305"/>
      <c r="ES47" s="305"/>
      <c r="ET47" s="305"/>
      <c r="EU47" s="305"/>
      <c r="EV47" s="305"/>
      <c r="EW47" s="305"/>
      <c r="EX47" s="305"/>
      <c r="EY47" s="305"/>
      <c r="EZ47" s="305"/>
      <c r="FA47" s="305"/>
      <c r="FB47" s="305"/>
      <c r="FC47" s="305"/>
      <c r="FD47" s="305"/>
      <c r="FE47" s="305"/>
      <c r="FF47" s="305"/>
      <c r="FG47" s="305"/>
      <c r="FH47" s="305"/>
      <c r="FI47" s="305"/>
      <c r="FJ47" s="305"/>
    </row>
    <row r="48" spans="1:166" ht="12.75" customHeight="1" x14ac:dyDescent="0.35" hidden="1">
      <c r="A48" s="136"/>
      <c r="B48" s="136"/>
      <c r="C48" s="136"/>
      <c r="D48" s="152" t="str">
        <f>D19</f>
        <v>Item 13</v>
      </c>
      <c r="E48" s="96">
        <f>Calcs!L251</f>
        <v>0</v>
      </c>
      <c r="F48" s="96">
        <f>Calcs!M251</f>
        <v>0</v>
      </c>
      <c r="G48" s="96">
        <f>Calcs!N251</f>
        <v>0</v>
      </c>
      <c r="H48" s="96">
        <f>Calcs!O251</f>
        <v>0</v>
      </c>
      <c r="I48" s="96">
        <f>Calcs!P251</f>
        <v>0</v>
      </c>
      <c r="J48" s="96">
        <f>Calcs!Q251</f>
        <v>0</v>
      </c>
      <c r="K48" s="96">
        <f>Calcs!R251</f>
        <v>0</v>
      </c>
      <c r="L48" s="96">
        <f>Calcs!S251</f>
        <v>0</v>
      </c>
      <c r="M48" s="96">
        <f>Calcs!T251</f>
        <v>0</v>
      </c>
      <c r="N48" s="96">
        <f>Calcs!U251</f>
        <v>0</v>
      </c>
      <c r="O48" s="96">
        <f>Calcs!V251</f>
        <v>0</v>
      </c>
      <c r="P48" s="96">
        <f>Calcs!W251</f>
        <v>0</v>
      </c>
      <c r="Q48" s="96">
        <f>SUM(E48:P48)</f>
        <v>0</v>
      </c>
      <c r="R48" s="96">
        <f>Calcs!X251</f>
        <v>0</v>
      </c>
      <c r="S48" s="96">
        <f>Calcs!Y251</f>
        <v>0</v>
      </c>
      <c r="T48" s="96">
        <f>Calcs!Z251</f>
        <v>0</v>
      </c>
      <c r="U48" s="96">
        <f>Calcs!AA251</f>
        <v>0</v>
      </c>
      <c r="V48" s="96">
        <f>Calcs!AB251</f>
        <v>0</v>
      </c>
      <c r="W48" s="96">
        <f>Calcs!AC251</f>
        <v>0</v>
      </c>
      <c r="X48" s="96">
        <f>Calcs!AD251</f>
        <v>0</v>
      </c>
      <c r="Y48" s="96">
        <f>Calcs!AE251</f>
        <v>0</v>
      </c>
      <c r="Z48" s="96">
        <f>Calcs!AF251</f>
        <v>0</v>
      </c>
      <c r="AA48" s="96">
        <f>Calcs!AG251</f>
        <v>0</v>
      </c>
      <c r="AB48" s="96">
        <f>Calcs!AH251</f>
        <v>0</v>
      </c>
      <c r="AC48" s="96">
        <f>Calcs!AI251</f>
        <v>0</v>
      </c>
      <c r="AD48" s="96">
        <f>SUM(R48:AC48)</f>
        <v>0</v>
      </c>
      <c r="AE48" s="96">
        <f>Calcs!AJ251</f>
        <v>0</v>
      </c>
      <c r="AF48" s="96">
        <f>Calcs!AK251</f>
        <v>0</v>
      </c>
      <c r="AG48" s="96">
        <f>Calcs!AL251</f>
        <v>0</v>
      </c>
      <c r="AH48" s="96">
        <f>Calcs!AM251</f>
        <v>0</v>
      </c>
      <c r="AI48" s="96">
        <f>Calcs!AN251</f>
        <v>0</v>
      </c>
      <c r="AJ48" s="96">
        <f>Calcs!AO251</f>
        <v>0</v>
      </c>
      <c r="AK48" s="96">
        <f>Calcs!AP251</f>
        <v>0</v>
      </c>
      <c r="AL48" s="96">
        <f>Calcs!AQ251</f>
        <v>0</v>
      </c>
      <c r="AM48" s="96">
        <f>Calcs!AR251</f>
        <v>0</v>
      </c>
      <c r="AN48" s="96">
        <f>Calcs!AS251</f>
        <v>0</v>
      </c>
      <c r="AO48" s="96">
        <f>Calcs!AT251</f>
        <v>0</v>
      </c>
      <c r="AP48" s="96">
        <f>Calcs!AU251</f>
        <v>0</v>
      </c>
      <c r="AQ48" s="96">
        <f>SUM(AE48:AP48)</f>
        <v>0</v>
      </c>
      <c r="AR48" s="96">
        <f>Calcs!AV251</f>
        <v>0</v>
      </c>
      <c r="AS48" s="96">
        <f>Calcs!AW251</f>
        <v>0</v>
      </c>
      <c r="AT48" s="96">
        <f>Calcs!AX251</f>
        <v>0</v>
      </c>
      <c r="AU48" s="96">
        <f>Calcs!AY251</f>
        <v>0</v>
      </c>
      <c r="AV48" s="96">
        <f>Calcs!AZ251</f>
        <v>0</v>
      </c>
      <c r="AW48" s="96">
        <f>Calcs!BA251</f>
        <v>0</v>
      </c>
      <c r="AX48" s="96">
        <f>Calcs!BB251</f>
        <v>0</v>
      </c>
      <c r="AY48" s="96">
        <f>Calcs!BC251</f>
        <v>0</v>
      </c>
      <c r="AZ48" s="96">
        <f>Calcs!BD251</f>
        <v>0</v>
      </c>
      <c r="BA48" s="96">
        <f>Calcs!BE251</f>
        <v>0</v>
      </c>
      <c r="BB48" s="96">
        <f>Calcs!BF251</f>
        <v>0</v>
      </c>
      <c r="BC48" s="96">
        <f>Calcs!BG251</f>
        <v>0</v>
      </c>
      <c r="BD48" s="96">
        <f>SUM(AR48:BC48)</f>
        <v>0</v>
      </c>
      <c r="BE48" s="96">
        <f>Calcs!BH251</f>
        <v>0</v>
      </c>
      <c r="BF48" s="96">
        <f>Calcs!BI251</f>
        <v>0</v>
      </c>
      <c r="BG48" s="96">
        <f>Calcs!BJ251</f>
        <v>0</v>
      </c>
      <c r="BH48" s="96">
        <f>Calcs!BK251</f>
        <v>0</v>
      </c>
      <c r="BI48" s="96">
        <f>Calcs!BL251</f>
        <v>0</v>
      </c>
      <c r="BJ48" s="96">
        <f>Calcs!BM251</f>
        <v>0</v>
      </c>
      <c r="BK48" s="96">
        <f>Calcs!BN251</f>
        <v>0</v>
      </c>
      <c r="BL48" s="96">
        <f>Calcs!BO251</f>
        <v>0</v>
      </c>
      <c r="BM48" s="96">
        <f>Calcs!BP251</f>
        <v>0</v>
      </c>
      <c r="BN48" s="96">
        <f>Calcs!BQ251</f>
        <v>0</v>
      </c>
      <c r="BO48" s="96">
        <f>Calcs!BR251</f>
        <v>0</v>
      </c>
      <c r="BP48" s="96">
        <f>Calcs!BS251</f>
        <v>0</v>
      </c>
      <c r="BQ48" s="96">
        <f>SUM(BE48:BP48)</f>
        <v>0</v>
      </c>
      <c r="BR48" s="1802"/>
      <c r="BS48" s="153">
        <f>SUM(BQ48,BD48,AQ48,AD48,Q48)</f>
        <v>0</v>
      </c>
      <c r="BT48" s="1802"/>
      <c r="BU48" s="153">
        <f>SUM(BQ48,BD48,AQ48,AD48,Q48)</f>
      </c>
      <c r="BV48" s="138"/>
      <c r="BW48" s="151"/>
      <c r="BX48" s="151"/>
      <c r="BY48" s="151"/>
      <c r="BZ48" s="151"/>
      <c r="CA48" s="151"/>
      <c r="CB48" s="151"/>
      <c r="CC48" s="151"/>
      <c r="CD48" s="151"/>
      <c r="CE48" s="151"/>
      <c r="CF48" s="151"/>
      <c r="CG48" s="151"/>
      <c r="CH48" s="151"/>
      <c r="CI48" s="151"/>
      <c r="CJ48" s="151"/>
      <c r="CK48" s="151"/>
      <c r="CL48" s="151"/>
      <c r="CM48" s="151"/>
      <c r="CN48" s="151"/>
      <c r="CO48" s="151"/>
      <c r="CP48" s="151"/>
      <c r="CW48" s="179"/>
      <c r="CX48" s="179"/>
      <c r="CY48" s="305"/>
      <c r="CZ48" s="305"/>
      <c r="DA48" s="305"/>
      <c r="DB48" s="305"/>
      <c r="DC48" s="305"/>
      <c r="DD48" s="305"/>
      <c r="DE48" s="305"/>
      <c r="DF48" s="305"/>
      <c r="DG48" s="305"/>
      <c r="DH48" s="305"/>
      <c r="DI48" s="305"/>
      <c r="DJ48" s="305"/>
      <c r="DK48" s="305"/>
      <c r="DL48" s="305"/>
      <c r="DM48" s="305"/>
      <c r="DN48" s="305"/>
      <c r="DO48" s="305"/>
      <c r="DP48" s="305"/>
      <c r="DQ48" s="305"/>
      <c r="DR48" s="305"/>
      <c r="DS48" s="305"/>
      <c r="DT48" s="305"/>
      <c r="DU48" s="305"/>
      <c r="DV48" s="305"/>
      <c r="DW48" s="305"/>
      <c r="DX48" s="305"/>
      <c r="DY48" s="305"/>
      <c r="DZ48" s="305"/>
      <c r="EA48" s="305"/>
      <c r="EB48" s="305"/>
      <c r="EC48" s="305"/>
      <c r="ED48" s="305"/>
      <c r="EE48" s="305"/>
      <c r="EF48" s="305"/>
      <c r="EG48" s="305"/>
      <c r="EH48" s="305"/>
      <c r="EI48" s="305"/>
      <c r="EJ48" s="305"/>
      <c r="EK48" s="305"/>
      <c r="EL48" s="305"/>
      <c r="EM48" s="305"/>
      <c r="EN48" s="305"/>
      <c r="EO48" s="305"/>
      <c r="EP48" s="305"/>
      <c r="EQ48" s="305"/>
      <c r="ER48" s="305"/>
      <c r="ES48" s="305"/>
      <c r="ET48" s="305"/>
      <c r="EU48" s="305"/>
      <c r="EV48" s="305"/>
      <c r="EW48" s="305"/>
      <c r="EX48" s="305"/>
      <c r="EY48" s="305"/>
      <c r="EZ48" s="305"/>
      <c r="FA48" s="305"/>
      <c r="FB48" s="305"/>
      <c r="FC48" s="305"/>
      <c r="FD48" s="305"/>
      <c r="FE48" s="305"/>
      <c r="FF48" s="305"/>
      <c r="FG48" s="305"/>
      <c r="FH48" s="305"/>
      <c r="FI48" s="305"/>
      <c r="FJ48" s="305"/>
    </row>
    <row r="49" spans="1:166" ht="12.75" customHeight="1" x14ac:dyDescent="0.35" hidden="1">
      <c r="A49" s="136"/>
      <c r="B49" s="136"/>
      <c r="C49" s="136"/>
      <c r="D49" s="152" t="str">
        <f>D20</f>
        <v>Item 14</v>
      </c>
      <c r="E49" s="96">
        <f>Calcs!L252</f>
        <v>0</v>
      </c>
      <c r="F49" s="96">
        <f>Calcs!M252</f>
        <v>0</v>
      </c>
      <c r="G49" s="96">
        <f>Calcs!N252</f>
        <v>0</v>
      </c>
      <c r="H49" s="96">
        <f>Calcs!O252</f>
        <v>0</v>
      </c>
      <c r="I49" s="96">
        <f>Calcs!P252</f>
        <v>0</v>
      </c>
      <c r="J49" s="96">
        <f>Calcs!Q252</f>
        <v>0</v>
      </c>
      <c r="K49" s="96">
        <f>Calcs!R252</f>
        <v>0</v>
      </c>
      <c r="L49" s="96">
        <f>Calcs!S252</f>
        <v>0</v>
      </c>
      <c r="M49" s="96">
        <f>Calcs!T252</f>
        <v>0</v>
      </c>
      <c r="N49" s="96">
        <f>Calcs!U252</f>
        <v>0</v>
      </c>
      <c r="O49" s="96">
        <f>Calcs!V252</f>
        <v>0</v>
      </c>
      <c r="P49" s="96">
        <f>Calcs!W252</f>
        <v>0</v>
      </c>
      <c r="Q49" s="96">
        <f>SUM(E49:P49)</f>
        <v>0</v>
      </c>
      <c r="R49" s="96">
        <f>Calcs!X252</f>
        <v>0</v>
      </c>
      <c r="S49" s="96">
        <f>Calcs!Y252</f>
        <v>0</v>
      </c>
      <c r="T49" s="96">
        <f>Calcs!Z252</f>
        <v>0</v>
      </c>
      <c r="U49" s="96">
        <f>Calcs!AA252</f>
        <v>0</v>
      </c>
      <c r="V49" s="96">
        <f>Calcs!AB252</f>
        <v>0</v>
      </c>
      <c r="W49" s="96">
        <f>Calcs!AC252</f>
        <v>0</v>
      </c>
      <c r="X49" s="96">
        <f>Calcs!AD252</f>
        <v>0</v>
      </c>
      <c r="Y49" s="96">
        <f>Calcs!AE252</f>
        <v>0</v>
      </c>
      <c r="Z49" s="96">
        <f>Calcs!AF252</f>
        <v>0</v>
      </c>
      <c r="AA49" s="96">
        <f>Calcs!AG252</f>
        <v>0</v>
      </c>
      <c r="AB49" s="96">
        <f>Calcs!AH252</f>
        <v>0</v>
      </c>
      <c r="AC49" s="96">
        <f>Calcs!AI252</f>
        <v>0</v>
      </c>
      <c r="AD49" s="96">
        <f>SUM(R49:AC49)</f>
        <v>0</v>
      </c>
      <c r="AE49" s="96">
        <f>Calcs!AJ252</f>
        <v>0</v>
      </c>
      <c r="AF49" s="96">
        <f>Calcs!AK252</f>
        <v>0</v>
      </c>
      <c r="AG49" s="96">
        <f>Calcs!AL252</f>
        <v>0</v>
      </c>
      <c r="AH49" s="96">
        <f>Calcs!AM252</f>
        <v>0</v>
      </c>
      <c r="AI49" s="96">
        <f>Calcs!AN252</f>
        <v>0</v>
      </c>
      <c r="AJ49" s="96">
        <f>Calcs!AO252</f>
        <v>0</v>
      </c>
      <c r="AK49" s="96">
        <f>Calcs!AP252</f>
        <v>0</v>
      </c>
      <c r="AL49" s="96">
        <f>Calcs!AQ252</f>
        <v>0</v>
      </c>
      <c r="AM49" s="96">
        <f>Calcs!AR252</f>
        <v>0</v>
      </c>
      <c r="AN49" s="96">
        <f>Calcs!AS252</f>
        <v>0</v>
      </c>
      <c r="AO49" s="96">
        <f>Calcs!AT252</f>
        <v>0</v>
      </c>
      <c r="AP49" s="96">
        <f>Calcs!AU252</f>
        <v>0</v>
      </c>
      <c r="AQ49" s="96">
        <f>SUM(AE49:AP49)</f>
        <v>0</v>
      </c>
      <c r="AR49" s="96">
        <f>Calcs!AV252</f>
        <v>0</v>
      </c>
      <c r="AS49" s="96">
        <f>Calcs!AW252</f>
        <v>0</v>
      </c>
      <c r="AT49" s="96">
        <f>Calcs!AX252</f>
        <v>0</v>
      </c>
      <c r="AU49" s="96">
        <f>Calcs!AY252</f>
        <v>0</v>
      </c>
      <c r="AV49" s="96">
        <f>Calcs!AZ252</f>
        <v>0</v>
      </c>
      <c r="AW49" s="96">
        <f>Calcs!BA252</f>
        <v>0</v>
      </c>
      <c r="AX49" s="96">
        <f>Calcs!BB252</f>
        <v>0</v>
      </c>
      <c r="AY49" s="96">
        <f>Calcs!BC252</f>
        <v>0</v>
      </c>
      <c r="AZ49" s="96">
        <f>Calcs!BD252</f>
        <v>0</v>
      </c>
      <c r="BA49" s="96">
        <f>Calcs!BE252</f>
        <v>0</v>
      </c>
      <c r="BB49" s="96">
        <f>Calcs!BF252</f>
        <v>0</v>
      </c>
      <c r="BC49" s="96">
        <f>Calcs!BG252</f>
        <v>0</v>
      </c>
      <c r="BD49" s="96">
        <f>SUM(AR49:BC49)</f>
        <v>0</v>
      </c>
      <c r="BE49" s="96">
        <f>Calcs!BH252</f>
        <v>0</v>
      </c>
      <c r="BF49" s="96">
        <f>Calcs!BI252</f>
        <v>0</v>
      </c>
      <c r="BG49" s="96">
        <f>Calcs!BJ252</f>
        <v>0</v>
      </c>
      <c r="BH49" s="96">
        <f>Calcs!BK252</f>
        <v>0</v>
      </c>
      <c r="BI49" s="96">
        <f>Calcs!BL252</f>
        <v>0</v>
      </c>
      <c r="BJ49" s="96">
        <f>Calcs!BM252</f>
        <v>0</v>
      </c>
      <c r="BK49" s="96">
        <f>Calcs!BN252</f>
        <v>0</v>
      </c>
      <c r="BL49" s="96">
        <f>Calcs!BO252</f>
        <v>0</v>
      </c>
      <c r="BM49" s="96">
        <f>Calcs!BP252</f>
        <v>0</v>
      </c>
      <c r="BN49" s="96">
        <f>Calcs!BQ252</f>
        <v>0</v>
      </c>
      <c r="BO49" s="96">
        <f>Calcs!BR252</f>
        <v>0</v>
      </c>
      <c r="BP49" s="96">
        <f>Calcs!BS252</f>
        <v>0</v>
      </c>
      <c r="BQ49" s="96">
        <f>SUM(BE49:BP49)</f>
        <v>0</v>
      </c>
      <c r="BR49" s="1802"/>
      <c r="BS49" s="153">
        <f>SUM(BQ49,BD49,AQ49,AD49,Q49)</f>
        <v>0</v>
      </c>
      <c r="BT49" s="1802"/>
      <c r="BU49" s="153">
        <f>SUM(BQ49,BD49,AQ49,AD49,Q49)</f>
      </c>
      <c r="BV49" s="138"/>
      <c r="BW49" s="151"/>
      <c r="BX49" s="151"/>
      <c r="BY49" s="151"/>
      <c r="BZ49" s="151"/>
      <c r="CA49" s="151"/>
      <c r="CB49" s="151"/>
      <c r="CC49" s="151"/>
      <c r="CD49" s="151"/>
      <c r="CE49" s="151"/>
      <c r="CF49" s="151"/>
      <c r="CG49" s="151"/>
      <c r="CH49" s="151"/>
      <c r="CI49" s="151"/>
      <c r="CJ49" s="151"/>
      <c r="CK49" s="151"/>
      <c r="CL49" s="151"/>
      <c r="CM49" s="151"/>
      <c r="CN49" s="151"/>
      <c r="CO49" s="151"/>
      <c r="CP49" s="151"/>
      <c r="CW49" s="179"/>
      <c r="CX49" s="179"/>
      <c r="CY49" s="305"/>
      <c r="CZ49" s="305"/>
      <c r="DA49" s="305"/>
      <c r="DB49" s="305"/>
      <c r="DC49" s="305"/>
      <c r="DD49" s="305"/>
      <c r="DE49" s="305"/>
      <c r="DF49" s="305"/>
      <c r="DG49" s="305"/>
      <c r="DH49" s="305"/>
      <c r="DI49" s="305"/>
      <c r="DJ49" s="305"/>
      <c r="DK49" s="305"/>
      <c r="DL49" s="305"/>
      <c r="DM49" s="305"/>
      <c r="DN49" s="305"/>
      <c r="DO49" s="305"/>
      <c r="DP49" s="305"/>
      <c r="DQ49" s="305"/>
      <c r="DR49" s="305"/>
      <c r="DS49" s="305"/>
      <c r="DT49" s="305"/>
      <c r="DU49" s="305"/>
      <c r="DV49" s="305"/>
      <c r="DW49" s="305"/>
      <c r="DX49" s="305"/>
      <c r="DY49" s="305"/>
      <c r="DZ49" s="305"/>
      <c r="EA49" s="305"/>
      <c r="EB49" s="305"/>
      <c r="EC49" s="305"/>
      <c r="ED49" s="305"/>
      <c r="EE49" s="305"/>
      <c r="EF49" s="305"/>
      <c r="EG49" s="305"/>
      <c r="EH49" s="305"/>
      <c r="EI49" s="305"/>
      <c r="EJ49" s="305"/>
      <c r="EK49" s="305"/>
      <c r="EL49" s="305"/>
      <c r="EM49" s="305"/>
      <c r="EN49" s="305"/>
      <c r="EO49" s="305"/>
      <c r="EP49" s="305"/>
      <c r="EQ49" s="305"/>
      <c r="ER49" s="305"/>
      <c r="ES49" s="305"/>
      <c r="ET49" s="305"/>
      <c r="EU49" s="305"/>
      <c r="EV49" s="305"/>
      <c r="EW49" s="305"/>
      <c r="EX49" s="305"/>
      <c r="EY49" s="305"/>
      <c r="EZ49" s="305"/>
      <c r="FA49" s="305"/>
      <c r="FB49" s="305"/>
      <c r="FC49" s="305"/>
      <c r="FD49" s="305"/>
      <c r="FE49" s="305"/>
      <c r="FF49" s="305"/>
      <c r="FG49" s="305"/>
      <c r="FH49" s="305"/>
      <c r="FI49" s="305"/>
      <c r="FJ49" s="305"/>
    </row>
    <row r="50" spans="1:166" ht="12.75" customHeight="1" x14ac:dyDescent="0.35" hidden="1">
      <c r="A50" s="136"/>
      <c r="B50" s="136"/>
      <c r="C50" s="136"/>
      <c r="D50" s="152" t="str">
        <f>D21</f>
        <v>Item 15</v>
      </c>
      <c r="E50" s="96">
        <f>Calcs!L253</f>
        <v>0</v>
      </c>
      <c r="F50" s="96">
        <f>Calcs!M253</f>
        <v>0</v>
      </c>
      <c r="G50" s="96">
        <f>Calcs!N253</f>
        <v>0</v>
      </c>
      <c r="H50" s="96">
        <f>Calcs!O253</f>
        <v>0</v>
      </c>
      <c r="I50" s="96">
        <f>Calcs!P253</f>
        <v>0</v>
      </c>
      <c r="J50" s="96">
        <f>Calcs!Q253</f>
        <v>0</v>
      </c>
      <c r="K50" s="96">
        <f>Calcs!R253</f>
        <v>0</v>
      </c>
      <c r="L50" s="96">
        <f>Calcs!S253</f>
        <v>0</v>
      </c>
      <c r="M50" s="96">
        <f>Calcs!T253</f>
        <v>0</v>
      </c>
      <c r="N50" s="96">
        <f>Calcs!U253</f>
        <v>0</v>
      </c>
      <c r="O50" s="96">
        <f>Calcs!V253</f>
        <v>0</v>
      </c>
      <c r="P50" s="96">
        <f>Calcs!W253</f>
        <v>0</v>
      </c>
      <c r="Q50" s="96">
        <f>SUM(E50:P50)</f>
        <v>0</v>
      </c>
      <c r="R50" s="96">
        <f>Calcs!X253</f>
        <v>0</v>
      </c>
      <c r="S50" s="96">
        <f>Calcs!Y253</f>
        <v>0</v>
      </c>
      <c r="T50" s="96">
        <f>Calcs!Z253</f>
        <v>0</v>
      </c>
      <c r="U50" s="96">
        <f>Calcs!AA253</f>
        <v>0</v>
      </c>
      <c r="V50" s="96">
        <f>Calcs!AB253</f>
        <v>0</v>
      </c>
      <c r="W50" s="96">
        <f>Calcs!AC253</f>
        <v>0</v>
      </c>
      <c r="X50" s="96">
        <f>Calcs!AD253</f>
        <v>0</v>
      </c>
      <c r="Y50" s="96">
        <f>Calcs!AE253</f>
        <v>0</v>
      </c>
      <c r="Z50" s="96">
        <f>Calcs!AF253</f>
        <v>0</v>
      </c>
      <c r="AA50" s="96">
        <f>Calcs!AG253</f>
        <v>0</v>
      </c>
      <c r="AB50" s="96">
        <f>Calcs!AH253</f>
        <v>0</v>
      </c>
      <c r="AC50" s="96">
        <f>Calcs!AI253</f>
        <v>0</v>
      </c>
      <c r="AD50" s="96">
        <f>SUM(R50:AC50)</f>
        <v>0</v>
      </c>
      <c r="AE50" s="96">
        <f>Calcs!AJ253</f>
        <v>0</v>
      </c>
      <c r="AF50" s="96">
        <f>Calcs!AK253</f>
        <v>0</v>
      </c>
      <c r="AG50" s="96">
        <f>Calcs!AL253</f>
        <v>0</v>
      </c>
      <c r="AH50" s="96">
        <f>Calcs!AM253</f>
        <v>0</v>
      </c>
      <c r="AI50" s="96">
        <f>Calcs!AN253</f>
        <v>0</v>
      </c>
      <c r="AJ50" s="96">
        <f>Calcs!AO253</f>
        <v>0</v>
      </c>
      <c r="AK50" s="96">
        <f>Calcs!AP253</f>
        <v>0</v>
      </c>
      <c r="AL50" s="96">
        <f>Calcs!AQ253</f>
        <v>0</v>
      </c>
      <c r="AM50" s="96">
        <f>Calcs!AR253</f>
        <v>0</v>
      </c>
      <c r="AN50" s="96">
        <f>Calcs!AS253</f>
        <v>0</v>
      </c>
      <c r="AO50" s="96">
        <f>Calcs!AT253</f>
        <v>0</v>
      </c>
      <c r="AP50" s="96">
        <f>Calcs!AU253</f>
        <v>0</v>
      </c>
      <c r="AQ50" s="96">
        <f>SUM(AE50:AP50)</f>
        <v>0</v>
      </c>
      <c r="AR50" s="96">
        <f>Calcs!AV253</f>
        <v>0</v>
      </c>
      <c r="AS50" s="96">
        <f>Calcs!AW253</f>
        <v>0</v>
      </c>
      <c r="AT50" s="96">
        <f>Calcs!AX253</f>
        <v>0</v>
      </c>
      <c r="AU50" s="96">
        <f>Calcs!AY253</f>
        <v>0</v>
      </c>
      <c r="AV50" s="96">
        <f>Calcs!AZ253</f>
        <v>0</v>
      </c>
      <c r="AW50" s="96">
        <f>Calcs!BA253</f>
        <v>0</v>
      </c>
      <c r="AX50" s="96">
        <f>Calcs!BB253</f>
        <v>0</v>
      </c>
      <c r="AY50" s="96">
        <f>Calcs!BC253</f>
        <v>0</v>
      </c>
      <c r="AZ50" s="96">
        <f>Calcs!BD253</f>
        <v>0</v>
      </c>
      <c r="BA50" s="96">
        <f>Calcs!BE253</f>
        <v>0</v>
      </c>
      <c r="BB50" s="96">
        <f>Calcs!BF253</f>
        <v>0</v>
      </c>
      <c r="BC50" s="96">
        <f>Calcs!BG253</f>
        <v>0</v>
      </c>
      <c r="BD50" s="96">
        <f>SUM(AR50:BC50)</f>
        <v>0</v>
      </c>
      <c r="BE50" s="96">
        <f>Calcs!BH253</f>
        <v>0</v>
      </c>
      <c r="BF50" s="96">
        <f>Calcs!BI253</f>
        <v>0</v>
      </c>
      <c r="BG50" s="96">
        <f>Calcs!BJ253</f>
        <v>0</v>
      </c>
      <c r="BH50" s="96">
        <f>Calcs!BK253</f>
        <v>0</v>
      </c>
      <c r="BI50" s="96">
        <f>Calcs!BL253</f>
        <v>0</v>
      </c>
      <c r="BJ50" s="96">
        <f>Calcs!BM253</f>
        <v>0</v>
      </c>
      <c r="BK50" s="96">
        <f>Calcs!BN253</f>
        <v>0</v>
      </c>
      <c r="BL50" s="96">
        <f>Calcs!BO253</f>
        <v>0</v>
      </c>
      <c r="BM50" s="96">
        <f>Calcs!BP253</f>
        <v>0</v>
      </c>
      <c r="BN50" s="96">
        <f>Calcs!BQ253</f>
        <v>0</v>
      </c>
      <c r="BO50" s="96">
        <f>Calcs!BR253</f>
        <v>0</v>
      </c>
      <c r="BP50" s="96">
        <f>Calcs!BS253</f>
        <v>0</v>
      </c>
      <c r="BQ50" s="96">
        <f>SUM(BE50:BP50)</f>
        <v>0</v>
      </c>
      <c r="BR50" s="1802"/>
      <c r="BS50" s="153">
        <f>SUM(BQ50,BD50,AQ50,AD50,Q50)</f>
        <v>0</v>
      </c>
      <c r="BT50" s="1802"/>
      <c r="BU50" s="153">
        <f>SUM(BQ50,BD50,AQ50,AD50,Q50)</f>
      </c>
      <c r="BV50" s="138"/>
      <c r="BW50" s="151"/>
      <c r="BX50" s="151"/>
      <c r="BY50" s="151"/>
      <c r="BZ50" s="151"/>
      <c r="CA50" s="151"/>
      <c r="CB50" s="151"/>
      <c r="CC50" s="151"/>
      <c r="CD50" s="151"/>
      <c r="CE50" s="151"/>
      <c r="CF50" s="151"/>
      <c r="CG50" s="151"/>
      <c r="CH50" s="151"/>
      <c r="CI50" s="151"/>
      <c r="CJ50" s="151"/>
      <c r="CK50" s="151"/>
      <c r="CL50" s="151"/>
      <c r="CM50" s="151"/>
      <c r="CN50" s="151"/>
      <c r="CO50" s="151"/>
      <c r="CP50" s="151"/>
      <c r="CW50" s="179"/>
      <c r="CX50" s="179"/>
      <c r="CY50" s="305"/>
      <c r="CZ50" s="305"/>
      <c r="DA50" s="305"/>
      <c r="DB50" s="305"/>
      <c r="DC50" s="305"/>
      <c r="DD50" s="305"/>
      <c r="DE50" s="305"/>
      <c r="DF50" s="305"/>
      <c r="DG50" s="305"/>
      <c r="DH50" s="305"/>
      <c r="DI50" s="305"/>
      <c r="DJ50" s="305"/>
      <c r="DK50" s="305"/>
      <c r="DL50" s="305"/>
      <c r="DM50" s="305"/>
      <c r="DN50" s="305"/>
      <c r="DO50" s="305"/>
      <c r="DP50" s="305"/>
      <c r="DQ50" s="305"/>
      <c r="DR50" s="305"/>
      <c r="DS50" s="305"/>
      <c r="DT50" s="305"/>
      <c r="DU50" s="305"/>
      <c r="DV50" s="305"/>
      <c r="DW50" s="305"/>
      <c r="DX50" s="305"/>
      <c r="DY50" s="305"/>
      <c r="DZ50" s="305"/>
      <c r="EA50" s="305"/>
      <c r="EB50" s="305"/>
      <c r="EC50" s="305"/>
      <c r="ED50" s="305"/>
      <c r="EE50" s="305"/>
      <c r="EF50" s="305"/>
      <c r="EG50" s="305"/>
      <c r="EH50" s="305"/>
      <c r="EI50" s="305"/>
      <c r="EJ50" s="305"/>
      <c r="EK50" s="305"/>
      <c r="EL50" s="305"/>
      <c r="EM50" s="305"/>
      <c r="EN50" s="305"/>
      <c r="EO50" s="305"/>
      <c r="EP50" s="305"/>
      <c r="EQ50" s="305"/>
      <c r="ER50" s="305"/>
      <c r="ES50" s="305"/>
      <c r="ET50" s="305"/>
      <c r="EU50" s="305"/>
      <c r="EV50" s="305"/>
      <c r="EW50" s="305"/>
      <c r="EX50" s="305"/>
      <c r="EY50" s="305"/>
      <c r="EZ50" s="305"/>
      <c r="FA50" s="305"/>
      <c r="FB50" s="305"/>
      <c r="FC50" s="305"/>
      <c r="FD50" s="305"/>
      <c r="FE50" s="305"/>
      <c r="FF50" s="305"/>
      <c r="FG50" s="305"/>
      <c r="FH50" s="305"/>
      <c r="FI50" s="305"/>
      <c r="FJ50" s="305"/>
    </row>
    <row r="51" spans="1:166" ht="12.75" customHeight="1" x14ac:dyDescent="0.35" hidden="1">
      <c r="A51" s="136"/>
      <c r="B51" s="136"/>
      <c r="C51" s="136"/>
      <c r="D51" s="152" t="str">
        <f>D22</f>
        <v>Item 16</v>
      </c>
      <c r="E51" s="96">
        <f>Calcs!L254</f>
        <v>0</v>
      </c>
      <c r="F51" s="96">
        <f>Calcs!M254</f>
        <v>0</v>
      </c>
      <c r="G51" s="96">
        <f>Calcs!N254</f>
        <v>0</v>
      </c>
      <c r="H51" s="96">
        <f>Calcs!O254</f>
        <v>0</v>
      </c>
      <c r="I51" s="96">
        <f>Calcs!P254</f>
        <v>0</v>
      </c>
      <c r="J51" s="96">
        <f>Calcs!Q254</f>
        <v>0</v>
      </c>
      <c r="K51" s="96">
        <f>Calcs!R254</f>
        <v>0</v>
      </c>
      <c r="L51" s="96">
        <f>Calcs!S254</f>
        <v>0</v>
      </c>
      <c r="M51" s="96">
        <f>Calcs!T254</f>
        <v>0</v>
      </c>
      <c r="N51" s="96">
        <f>Calcs!U254</f>
        <v>0</v>
      </c>
      <c r="O51" s="96">
        <f>Calcs!V254</f>
        <v>0</v>
      </c>
      <c r="P51" s="96">
        <f>Calcs!W254</f>
        <v>0</v>
      </c>
      <c r="Q51" s="96">
        <f>SUM(E51:P51)</f>
        <v>0</v>
      </c>
      <c r="R51" s="96">
        <f>Calcs!X254</f>
        <v>0</v>
      </c>
      <c r="S51" s="96">
        <f>Calcs!Y254</f>
        <v>0</v>
      </c>
      <c r="T51" s="96">
        <f>Calcs!Z254</f>
        <v>0</v>
      </c>
      <c r="U51" s="96">
        <f>Calcs!AA254</f>
        <v>0</v>
      </c>
      <c r="V51" s="96">
        <f>Calcs!AB254</f>
        <v>0</v>
      </c>
      <c r="W51" s="96">
        <f>Calcs!AC254</f>
        <v>0</v>
      </c>
      <c r="X51" s="96">
        <f>Calcs!AD254</f>
        <v>0</v>
      </c>
      <c r="Y51" s="96">
        <f>Calcs!AE254</f>
        <v>0</v>
      </c>
      <c r="Z51" s="96">
        <f>Calcs!AF254</f>
        <v>0</v>
      </c>
      <c r="AA51" s="96">
        <f>Calcs!AG254</f>
        <v>0</v>
      </c>
      <c r="AB51" s="96">
        <f>Calcs!AH254</f>
        <v>0</v>
      </c>
      <c r="AC51" s="96">
        <f>Calcs!AI254</f>
        <v>0</v>
      </c>
      <c r="AD51" s="96">
        <f>SUM(R51:AC51)</f>
        <v>0</v>
      </c>
      <c r="AE51" s="96">
        <f>Calcs!AJ254</f>
        <v>0</v>
      </c>
      <c r="AF51" s="96">
        <f>Calcs!AK254</f>
        <v>0</v>
      </c>
      <c r="AG51" s="96">
        <f>Calcs!AL254</f>
        <v>0</v>
      </c>
      <c r="AH51" s="96">
        <f>Calcs!AM254</f>
        <v>0</v>
      </c>
      <c r="AI51" s="96">
        <f>Calcs!AN254</f>
        <v>0</v>
      </c>
      <c r="AJ51" s="96">
        <f>Calcs!AO254</f>
        <v>0</v>
      </c>
      <c r="AK51" s="96">
        <f>Calcs!AP254</f>
        <v>0</v>
      </c>
      <c r="AL51" s="96">
        <f>Calcs!AQ254</f>
        <v>0</v>
      </c>
      <c r="AM51" s="96">
        <f>Calcs!AR254</f>
        <v>0</v>
      </c>
      <c r="AN51" s="96">
        <f>Calcs!AS254</f>
        <v>0</v>
      </c>
      <c r="AO51" s="96">
        <f>Calcs!AT254</f>
        <v>0</v>
      </c>
      <c r="AP51" s="96">
        <f>Calcs!AU254</f>
        <v>0</v>
      </c>
      <c r="AQ51" s="96">
        <f>SUM(AE51:AP51)</f>
        <v>0</v>
      </c>
      <c r="AR51" s="96">
        <f>Calcs!AV254</f>
        <v>0</v>
      </c>
      <c r="AS51" s="96">
        <f>Calcs!AW254</f>
        <v>0</v>
      </c>
      <c r="AT51" s="96">
        <f>Calcs!AX254</f>
        <v>0</v>
      </c>
      <c r="AU51" s="96">
        <f>Calcs!AY254</f>
        <v>0</v>
      </c>
      <c r="AV51" s="96">
        <f>Calcs!AZ254</f>
        <v>0</v>
      </c>
      <c r="AW51" s="96">
        <f>Calcs!BA254</f>
        <v>0</v>
      </c>
      <c r="AX51" s="96">
        <f>Calcs!BB254</f>
        <v>0</v>
      </c>
      <c r="AY51" s="96">
        <f>Calcs!BC254</f>
        <v>0</v>
      </c>
      <c r="AZ51" s="96">
        <f>Calcs!BD254</f>
        <v>0</v>
      </c>
      <c r="BA51" s="96">
        <f>Calcs!BE254</f>
        <v>0</v>
      </c>
      <c r="BB51" s="96">
        <f>Calcs!BF254</f>
        <v>0</v>
      </c>
      <c r="BC51" s="96">
        <f>Calcs!BG254</f>
        <v>0</v>
      </c>
      <c r="BD51" s="96">
        <f>SUM(AR51:BC51)</f>
        <v>0</v>
      </c>
      <c r="BE51" s="96">
        <f>Calcs!BH254</f>
        <v>0</v>
      </c>
      <c r="BF51" s="96">
        <f>Calcs!BI254</f>
        <v>0</v>
      </c>
      <c r="BG51" s="96">
        <f>Calcs!BJ254</f>
        <v>0</v>
      </c>
      <c r="BH51" s="96">
        <f>Calcs!BK254</f>
        <v>0</v>
      </c>
      <c r="BI51" s="96">
        <f>Calcs!BL254</f>
        <v>0</v>
      </c>
      <c r="BJ51" s="96">
        <f>Calcs!BM254</f>
        <v>0</v>
      </c>
      <c r="BK51" s="96">
        <f>Calcs!BN254</f>
        <v>0</v>
      </c>
      <c r="BL51" s="96">
        <f>Calcs!BO254</f>
        <v>0</v>
      </c>
      <c r="BM51" s="96">
        <f>Calcs!BP254</f>
        <v>0</v>
      </c>
      <c r="BN51" s="96">
        <f>Calcs!BQ254</f>
        <v>0</v>
      </c>
      <c r="BO51" s="96">
        <f>Calcs!BR254</f>
        <v>0</v>
      </c>
      <c r="BP51" s="96">
        <f>Calcs!BS254</f>
        <v>0</v>
      </c>
      <c r="BQ51" s="96">
        <f>SUM(BE51:BP51)</f>
        <v>0</v>
      </c>
      <c r="BR51" s="1802"/>
      <c r="BS51" s="153">
        <f>SUM(BQ51,BD51,AQ51,AD51,Q51)</f>
        <v>0</v>
      </c>
      <c r="BT51" s="1802"/>
      <c r="BU51" s="153">
        <f>SUM(BQ51,BD51,AQ51,AD51,Q51)</f>
      </c>
      <c r="BV51" s="138"/>
      <c r="BW51" s="151"/>
      <c r="BX51" s="151"/>
      <c r="BY51" s="151"/>
      <c r="BZ51" s="151"/>
      <c r="CA51" s="151"/>
      <c r="CB51" s="151"/>
      <c r="CC51" s="151"/>
      <c r="CD51" s="151"/>
      <c r="CE51" s="151"/>
      <c r="CF51" s="151"/>
      <c r="CG51" s="151"/>
      <c r="CH51" s="151"/>
      <c r="CI51" s="151"/>
      <c r="CJ51" s="151"/>
      <c r="CK51" s="151"/>
      <c r="CL51" s="151"/>
      <c r="CM51" s="151"/>
      <c r="CN51" s="151"/>
      <c r="CO51" s="151"/>
      <c r="CP51" s="151"/>
      <c r="CW51" s="179"/>
      <c r="CX51" s="179"/>
      <c r="CY51" s="305"/>
      <c r="CZ51" s="305"/>
      <c r="DA51" s="305"/>
      <c r="DB51" s="305"/>
      <c r="DC51" s="305"/>
      <c r="DD51" s="305"/>
      <c r="DE51" s="305"/>
      <c r="DF51" s="305"/>
      <c r="DG51" s="305"/>
      <c r="DH51" s="305"/>
      <c r="DI51" s="305"/>
      <c r="DJ51" s="305"/>
      <c r="DK51" s="305"/>
      <c r="DL51" s="305"/>
      <c r="DM51" s="305"/>
      <c r="DN51" s="305"/>
      <c r="DO51" s="305"/>
      <c r="DP51" s="305"/>
      <c r="DQ51" s="305"/>
      <c r="DR51" s="305"/>
      <c r="DS51" s="305"/>
      <c r="DT51" s="305"/>
      <c r="DU51" s="305"/>
      <c r="DV51" s="305"/>
      <c r="DW51" s="305"/>
      <c r="DX51" s="305"/>
      <c r="DY51" s="305"/>
      <c r="DZ51" s="305"/>
      <c r="EA51" s="305"/>
      <c r="EB51" s="305"/>
      <c r="EC51" s="305"/>
      <c r="ED51" s="305"/>
      <c r="EE51" s="305"/>
      <c r="EF51" s="305"/>
      <c r="EG51" s="305"/>
      <c r="EH51" s="305"/>
      <c r="EI51" s="305"/>
      <c r="EJ51" s="305"/>
      <c r="EK51" s="305"/>
      <c r="EL51" s="305"/>
      <c r="EM51" s="305"/>
      <c r="EN51" s="305"/>
      <c r="EO51" s="305"/>
      <c r="EP51" s="305"/>
      <c r="EQ51" s="305"/>
      <c r="ER51" s="305"/>
      <c r="ES51" s="305"/>
      <c r="ET51" s="305"/>
      <c r="EU51" s="305"/>
      <c r="EV51" s="305"/>
      <c r="EW51" s="305"/>
      <c r="EX51" s="305"/>
      <c r="EY51" s="305"/>
      <c r="EZ51" s="305"/>
      <c r="FA51" s="305"/>
      <c r="FB51" s="305"/>
      <c r="FC51" s="305"/>
      <c r="FD51" s="305"/>
      <c r="FE51" s="305"/>
      <c r="FF51" s="305"/>
      <c r="FG51" s="305"/>
      <c r="FH51" s="305"/>
      <c r="FI51" s="305"/>
      <c r="FJ51" s="305"/>
    </row>
    <row r="52" spans="1:166" ht="12.75" customHeight="1" x14ac:dyDescent="0.35" hidden="1">
      <c r="A52" s="136"/>
      <c r="B52" s="136"/>
      <c r="C52" s="136"/>
      <c r="D52" s="152" t="str">
        <f>D23</f>
        <v>Item 17</v>
      </c>
      <c r="E52" s="96">
        <f>Calcs!L255</f>
        <v>0</v>
      </c>
      <c r="F52" s="96">
        <f>Calcs!M255</f>
        <v>0</v>
      </c>
      <c r="G52" s="96">
        <f>Calcs!N255</f>
        <v>0</v>
      </c>
      <c r="H52" s="96">
        <f>Calcs!O255</f>
        <v>0</v>
      </c>
      <c r="I52" s="96">
        <f>Calcs!P255</f>
        <v>0</v>
      </c>
      <c r="J52" s="96">
        <f>Calcs!Q255</f>
        <v>0</v>
      </c>
      <c r="K52" s="96">
        <f>Calcs!R255</f>
        <v>0</v>
      </c>
      <c r="L52" s="96">
        <f>Calcs!S255</f>
        <v>0</v>
      </c>
      <c r="M52" s="96">
        <f>Calcs!T255</f>
        <v>0</v>
      </c>
      <c r="N52" s="96">
        <f>Calcs!U255</f>
        <v>0</v>
      </c>
      <c r="O52" s="96">
        <f>Calcs!V255</f>
        <v>0</v>
      </c>
      <c r="P52" s="96">
        <f>Calcs!W255</f>
        <v>0</v>
      </c>
      <c r="Q52" s="96">
        <f>SUM(E52:P52)</f>
        <v>0</v>
      </c>
      <c r="R52" s="96">
        <f>Calcs!X255</f>
        <v>0</v>
      </c>
      <c r="S52" s="96">
        <f>Calcs!Y255</f>
        <v>0</v>
      </c>
      <c r="T52" s="96">
        <f>Calcs!Z255</f>
        <v>0</v>
      </c>
      <c r="U52" s="96">
        <f>Calcs!AA255</f>
        <v>0</v>
      </c>
      <c r="V52" s="96">
        <f>Calcs!AB255</f>
        <v>0</v>
      </c>
      <c r="W52" s="96">
        <f>Calcs!AC255</f>
        <v>0</v>
      </c>
      <c r="X52" s="96">
        <f>Calcs!AD255</f>
        <v>0</v>
      </c>
      <c r="Y52" s="96">
        <f>Calcs!AE255</f>
        <v>0</v>
      </c>
      <c r="Z52" s="96">
        <f>Calcs!AF255</f>
        <v>0</v>
      </c>
      <c r="AA52" s="96">
        <f>Calcs!AG255</f>
        <v>0</v>
      </c>
      <c r="AB52" s="96">
        <f>Calcs!AH255</f>
        <v>0</v>
      </c>
      <c r="AC52" s="96">
        <f>Calcs!AI255</f>
        <v>0</v>
      </c>
      <c r="AD52" s="96">
        <f>SUM(R52:AC52)</f>
        <v>0</v>
      </c>
      <c r="AE52" s="96">
        <f>Calcs!AJ255</f>
        <v>0</v>
      </c>
      <c r="AF52" s="96">
        <f>Calcs!AK255</f>
        <v>0</v>
      </c>
      <c r="AG52" s="96">
        <f>Calcs!AL255</f>
        <v>0</v>
      </c>
      <c r="AH52" s="96">
        <f>Calcs!AM255</f>
        <v>0</v>
      </c>
      <c r="AI52" s="96">
        <f>Calcs!AN255</f>
        <v>0</v>
      </c>
      <c r="AJ52" s="96">
        <f>Calcs!AO255</f>
        <v>0</v>
      </c>
      <c r="AK52" s="96">
        <f>Calcs!AP255</f>
        <v>0</v>
      </c>
      <c r="AL52" s="96">
        <f>Calcs!AQ255</f>
        <v>0</v>
      </c>
      <c r="AM52" s="96">
        <f>Calcs!AR255</f>
        <v>0</v>
      </c>
      <c r="AN52" s="96">
        <f>Calcs!AS255</f>
        <v>0</v>
      </c>
      <c r="AO52" s="96">
        <f>Calcs!AT255</f>
        <v>0</v>
      </c>
      <c r="AP52" s="96">
        <f>Calcs!AU255</f>
        <v>0</v>
      </c>
      <c r="AQ52" s="96">
        <f>SUM(AE52:AP52)</f>
        <v>0</v>
      </c>
      <c r="AR52" s="96">
        <f>Calcs!AV255</f>
        <v>0</v>
      </c>
      <c r="AS52" s="96">
        <f>Calcs!AW255</f>
        <v>0</v>
      </c>
      <c r="AT52" s="96">
        <f>Calcs!AX255</f>
        <v>0</v>
      </c>
      <c r="AU52" s="96">
        <f>Calcs!AY255</f>
        <v>0</v>
      </c>
      <c r="AV52" s="96">
        <f>Calcs!AZ255</f>
        <v>0</v>
      </c>
      <c r="AW52" s="96">
        <f>Calcs!BA255</f>
        <v>0</v>
      </c>
      <c r="AX52" s="96">
        <f>Calcs!BB255</f>
        <v>0</v>
      </c>
      <c r="AY52" s="96">
        <f>Calcs!BC255</f>
        <v>0</v>
      </c>
      <c r="AZ52" s="96">
        <f>Calcs!BD255</f>
        <v>0</v>
      </c>
      <c r="BA52" s="96">
        <f>Calcs!BE255</f>
        <v>0</v>
      </c>
      <c r="BB52" s="96">
        <f>Calcs!BF255</f>
        <v>0</v>
      </c>
      <c r="BC52" s="96">
        <f>Calcs!BG255</f>
        <v>0</v>
      </c>
      <c r="BD52" s="96">
        <f>SUM(AR52:BC52)</f>
        <v>0</v>
      </c>
      <c r="BE52" s="96">
        <f>Calcs!BH255</f>
        <v>0</v>
      </c>
      <c r="BF52" s="96">
        <f>Calcs!BI255</f>
        <v>0</v>
      </c>
      <c r="BG52" s="96">
        <f>Calcs!BJ255</f>
        <v>0</v>
      </c>
      <c r="BH52" s="96">
        <f>Calcs!BK255</f>
        <v>0</v>
      </c>
      <c r="BI52" s="96">
        <f>Calcs!BL255</f>
        <v>0</v>
      </c>
      <c r="BJ52" s="96">
        <f>Calcs!BM255</f>
        <v>0</v>
      </c>
      <c r="BK52" s="96">
        <f>Calcs!BN255</f>
        <v>0</v>
      </c>
      <c r="BL52" s="96">
        <f>Calcs!BO255</f>
        <v>0</v>
      </c>
      <c r="BM52" s="96">
        <f>Calcs!BP255</f>
        <v>0</v>
      </c>
      <c r="BN52" s="96">
        <f>Calcs!BQ255</f>
        <v>0</v>
      </c>
      <c r="BO52" s="96">
        <f>Calcs!BR255</f>
        <v>0</v>
      </c>
      <c r="BP52" s="96">
        <f>Calcs!BS255</f>
        <v>0</v>
      </c>
      <c r="BQ52" s="96">
        <f>SUM(BE52:BP52)</f>
        <v>0</v>
      </c>
      <c r="BR52" s="1802"/>
      <c r="BS52" s="153">
        <f>SUM(BQ52,BD52,AQ52,AD52,Q52)</f>
        <v>0</v>
      </c>
      <c r="BT52" s="1802"/>
      <c r="BU52" s="153">
        <f>SUM(BQ52,BD52,AQ52,AD52,Q52)</f>
      </c>
      <c r="BV52" s="138"/>
      <c r="BW52" s="151"/>
      <c r="BX52" s="151"/>
      <c r="BY52" s="151"/>
      <c r="BZ52" s="151"/>
      <c r="CA52" s="151"/>
      <c r="CB52" s="151"/>
      <c r="CC52" s="151"/>
      <c r="CD52" s="151"/>
      <c r="CE52" s="151"/>
      <c r="CF52" s="151"/>
      <c r="CG52" s="151"/>
      <c r="CH52" s="151"/>
      <c r="CI52" s="151"/>
      <c r="CJ52" s="151"/>
      <c r="CK52" s="151"/>
      <c r="CL52" s="151"/>
      <c r="CM52" s="151"/>
      <c r="CN52" s="151"/>
      <c r="CO52" s="151"/>
      <c r="CP52" s="151"/>
      <c r="CW52" s="179"/>
      <c r="CX52" s="179"/>
      <c r="CY52" s="305"/>
      <c r="CZ52" s="305"/>
      <c r="DA52" s="305"/>
      <c r="DB52" s="305"/>
      <c r="DC52" s="305"/>
      <c r="DD52" s="305"/>
      <c r="DE52" s="305"/>
      <c r="DF52" s="305"/>
      <c r="DG52" s="305"/>
      <c r="DH52" s="305"/>
      <c r="DI52" s="305"/>
      <c r="DJ52" s="305"/>
      <c r="DK52" s="305"/>
      <c r="DL52" s="305"/>
      <c r="DM52" s="305"/>
      <c r="DN52" s="305"/>
      <c r="DO52" s="305"/>
      <c r="DP52" s="305"/>
      <c r="DQ52" s="305"/>
      <c r="DR52" s="305"/>
      <c r="DS52" s="305"/>
      <c r="DT52" s="305"/>
      <c r="DU52" s="305"/>
      <c r="DV52" s="305"/>
      <c r="DW52" s="305"/>
      <c r="DX52" s="305"/>
      <c r="DY52" s="305"/>
      <c r="DZ52" s="305"/>
      <c r="EA52" s="305"/>
      <c r="EB52" s="305"/>
      <c r="EC52" s="305"/>
      <c r="ED52" s="305"/>
      <c r="EE52" s="305"/>
      <c r="EF52" s="305"/>
      <c r="EG52" s="305"/>
      <c r="EH52" s="305"/>
      <c r="EI52" s="305"/>
      <c r="EJ52" s="305"/>
      <c r="EK52" s="305"/>
      <c r="EL52" s="305"/>
      <c r="EM52" s="305"/>
      <c r="EN52" s="305"/>
      <c r="EO52" s="305"/>
      <c r="EP52" s="305"/>
      <c r="EQ52" s="305"/>
      <c r="ER52" s="305"/>
      <c r="ES52" s="305"/>
      <c r="ET52" s="305"/>
      <c r="EU52" s="305"/>
      <c r="EV52" s="305"/>
      <c r="EW52" s="305"/>
      <c r="EX52" s="305"/>
      <c r="EY52" s="305"/>
      <c r="EZ52" s="305"/>
      <c r="FA52" s="305"/>
      <c r="FB52" s="305"/>
      <c r="FC52" s="305"/>
      <c r="FD52" s="305"/>
      <c r="FE52" s="305"/>
      <c r="FF52" s="305"/>
      <c r="FG52" s="305"/>
      <c r="FH52" s="305"/>
      <c r="FI52" s="305"/>
      <c r="FJ52" s="305"/>
    </row>
    <row r="53" spans="1:166" ht="12.75" customHeight="1" x14ac:dyDescent="0.35" hidden="1">
      <c r="A53" s="136"/>
      <c r="B53" s="136"/>
      <c r="C53" s="136"/>
      <c r="D53" s="152" t="str">
        <f>D24</f>
        <v>Item 18</v>
      </c>
      <c r="E53" s="96">
        <f>Calcs!L256</f>
        <v>0</v>
      </c>
      <c r="F53" s="96">
        <f>Calcs!M256</f>
        <v>0</v>
      </c>
      <c r="G53" s="96">
        <f>Calcs!N256</f>
        <v>0</v>
      </c>
      <c r="H53" s="96">
        <f>Calcs!O256</f>
        <v>0</v>
      </c>
      <c r="I53" s="96">
        <f>Calcs!P256</f>
        <v>0</v>
      </c>
      <c r="J53" s="96">
        <f>Calcs!Q256</f>
        <v>0</v>
      </c>
      <c r="K53" s="96">
        <f>Calcs!R256</f>
        <v>0</v>
      </c>
      <c r="L53" s="96">
        <f>Calcs!S256</f>
        <v>0</v>
      </c>
      <c r="M53" s="96">
        <f>Calcs!T256</f>
        <v>0</v>
      </c>
      <c r="N53" s="96">
        <f>Calcs!U256</f>
        <v>0</v>
      </c>
      <c r="O53" s="96">
        <f>Calcs!V256</f>
        <v>0</v>
      </c>
      <c r="P53" s="96">
        <f>Calcs!W256</f>
        <v>0</v>
      </c>
      <c r="Q53" s="96">
        <f>SUM(E53:P53)</f>
        <v>0</v>
      </c>
      <c r="R53" s="96">
        <f>Calcs!X256</f>
        <v>0</v>
      </c>
      <c r="S53" s="96">
        <f>Calcs!Y256</f>
        <v>0</v>
      </c>
      <c r="T53" s="96">
        <f>Calcs!Z256</f>
        <v>0</v>
      </c>
      <c r="U53" s="96">
        <f>Calcs!AA256</f>
        <v>0</v>
      </c>
      <c r="V53" s="96">
        <f>Calcs!AB256</f>
        <v>0</v>
      </c>
      <c r="W53" s="96">
        <f>Calcs!AC256</f>
        <v>0</v>
      </c>
      <c r="X53" s="96">
        <f>Calcs!AD256</f>
        <v>0</v>
      </c>
      <c r="Y53" s="96">
        <f>Calcs!AE256</f>
        <v>0</v>
      </c>
      <c r="Z53" s="96">
        <f>Calcs!AF256</f>
        <v>0</v>
      </c>
      <c r="AA53" s="96">
        <f>Calcs!AG256</f>
        <v>0</v>
      </c>
      <c r="AB53" s="96">
        <f>Calcs!AH256</f>
        <v>0</v>
      </c>
      <c r="AC53" s="96">
        <f>Calcs!AI256</f>
        <v>0</v>
      </c>
      <c r="AD53" s="96">
        <f>SUM(R53:AC53)</f>
        <v>0</v>
      </c>
      <c r="AE53" s="96">
        <f>Calcs!AJ256</f>
        <v>0</v>
      </c>
      <c r="AF53" s="96">
        <f>Calcs!AK256</f>
        <v>0</v>
      </c>
      <c r="AG53" s="96">
        <f>Calcs!AL256</f>
        <v>0</v>
      </c>
      <c r="AH53" s="96">
        <f>Calcs!AM256</f>
        <v>0</v>
      </c>
      <c r="AI53" s="96">
        <f>Calcs!AN256</f>
        <v>0</v>
      </c>
      <c r="AJ53" s="96">
        <f>Calcs!AO256</f>
        <v>0</v>
      </c>
      <c r="AK53" s="96">
        <f>Calcs!AP256</f>
        <v>0</v>
      </c>
      <c r="AL53" s="96">
        <f>Calcs!AQ256</f>
        <v>0</v>
      </c>
      <c r="AM53" s="96">
        <f>Calcs!AR256</f>
        <v>0</v>
      </c>
      <c r="AN53" s="96">
        <f>Calcs!AS256</f>
        <v>0</v>
      </c>
      <c r="AO53" s="96">
        <f>Calcs!AT256</f>
        <v>0</v>
      </c>
      <c r="AP53" s="96">
        <f>Calcs!AU256</f>
        <v>0</v>
      </c>
      <c r="AQ53" s="96">
        <f>SUM(AE53:AP53)</f>
        <v>0</v>
      </c>
      <c r="AR53" s="96">
        <f>Calcs!AV256</f>
        <v>0</v>
      </c>
      <c r="AS53" s="96">
        <f>Calcs!AW256</f>
        <v>0</v>
      </c>
      <c r="AT53" s="96">
        <f>Calcs!AX256</f>
        <v>0</v>
      </c>
      <c r="AU53" s="96">
        <f>Calcs!AY256</f>
        <v>0</v>
      </c>
      <c r="AV53" s="96">
        <f>Calcs!AZ256</f>
        <v>0</v>
      </c>
      <c r="AW53" s="96">
        <f>Calcs!BA256</f>
        <v>0</v>
      </c>
      <c r="AX53" s="96">
        <f>Calcs!BB256</f>
        <v>0</v>
      </c>
      <c r="AY53" s="96">
        <f>Calcs!BC256</f>
        <v>0</v>
      </c>
      <c r="AZ53" s="96">
        <f>Calcs!BD256</f>
        <v>0</v>
      </c>
      <c r="BA53" s="96">
        <f>Calcs!BE256</f>
        <v>0</v>
      </c>
      <c r="BB53" s="96">
        <f>Calcs!BF256</f>
        <v>0</v>
      </c>
      <c r="BC53" s="96">
        <f>Calcs!BG256</f>
        <v>0</v>
      </c>
      <c r="BD53" s="96">
        <f>SUM(AR53:BC53)</f>
        <v>0</v>
      </c>
      <c r="BE53" s="96">
        <f>Calcs!BH256</f>
        <v>0</v>
      </c>
      <c r="BF53" s="96">
        <f>Calcs!BI256</f>
        <v>0</v>
      </c>
      <c r="BG53" s="96">
        <f>Calcs!BJ256</f>
        <v>0</v>
      </c>
      <c r="BH53" s="96">
        <f>Calcs!BK256</f>
        <v>0</v>
      </c>
      <c r="BI53" s="96">
        <f>Calcs!BL256</f>
        <v>0</v>
      </c>
      <c r="BJ53" s="96">
        <f>Calcs!BM256</f>
        <v>0</v>
      </c>
      <c r="BK53" s="96">
        <f>Calcs!BN256</f>
        <v>0</v>
      </c>
      <c r="BL53" s="96">
        <f>Calcs!BO256</f>
        <v>0</v>
      </c>
      <c r="BM53" s="96">
        <f>Calcs!BP256</f>
        <v>0</v>
      </c>
      <c r="BN53" s="96">
        <f>Calcs!BQ256</f>
        <v>0</v>
      </c>
      <c r="BO53" s="96">
        <f>Calcs!BR256</f>
        <v>0</v>
      </c>
      <c r="BP53" s="96">
        <f>Calcs!BS256</f>
        <v>0</v>
      </c>
      <c r="BQ53" s="96">
        <f>SUM(BE53:BP53)</f>
        <v>0</v>
      </c>
      <c r="BR53" s="1802"/>
      <c r="BS53" s="153">
        <f>SUM(BQ53,BD53,AQ53,AD53,Q53)</f>
        <v>0</v>
      </c>
      <c r="BT53" s="1802"/>
      <c r="BU53" s="153">
        <f>SUM(BQ53,BD53,AQ53,AD53,Q53)</f>
      </c>
      <c r="BV53" s="138"/>
      <c r="BW53" s="151"/>
      <c r="BX53" s="151"/>
      <c r="BY53" s="151"/>
      <c r="BZ53" s="151"/>
      <c r="CA53" s="151"/>
      <c r="CB53" s="151"/>
      <c r="CC53" s="151"/>
      <c r="CD53" s="151"/>
      <c r="CE53" s="151"/>
      <c r="CF53" s="151"/>
      <c r="CG53" s="151"/>
      <c r="CH53" s="151"/>
      <c r="CI53" s="151"/>
      <c r="CJ53" s="151"/>
      <c r="CK53" s="151"/>
      <c r="CL53" s="151"/>
      <c r="CM53" s="151"/>
      <c r="CN53" s="151"/>
      <c r="CO53" s="151"/>
      <c r="CP53" s="151"/>
      <c r="CW53" s="179"/>
      <c r="CX53" s="179"/>
      <c r="CY53" s="305"/>
      <c r="CZ53" s="305"/>
      <c r="DA53" s="305"/>
      <c r="DB53" s="305"/>
      <c r="DC53" s="305"/>
      <c r="DD53" s="305"/>
      <c r="DE53" s="305"/>
      <c r="DF53" s="305"/>
      <c r="DG53" s="305"/>
      <c r="DH53" s="305"/>
      <c r="DI53" s="305"/>
      <c r="DJ53" s="305"/>
      <c r="DK53" s="305"/>
      <c r="DL53" s="305"/>
      <c r="DM53" s="305"/>
      <c r="DN53" s="305"/>
      <c r="DO53" s="305"/>
      <c r="DP53" s="305"/>
      <c r="DQ53" s="305"/>
      <c r="DR53" s="305"/>
      <c r="DS53" s="305"/>
      <c r="DT53" s="305"/>
      <c r="DU53" s="305"/>
      <c r="DV53" s="305"/>
      <c r="DW53" s="305"/>
      <c r="DX53" s="305"/>
      <c r="DY53" s="305"/>
      <c r="DZ53" s="305"/>
      <c r="EA53" s="305"/>
      <c r="EB53" s="305"/>
      <c r="EC53" s="305"/>
      <c r="ED53" s="305"/>
      <c r="EE53" s="305"/>
      <c r="EF53" s="305"/>
      <c r="EG53" s="305"/>
      <c r="EH53" s="305"/>
      <c r="EI53" s="305"/>
      <c r="EJ53" s="305"/>
      <c r="EK53" s="305"/>
      <c r="EL53" s="305"/>
      <c r="EM53" s="305"/>
      <c r="EN53" s="305"/>
      <c r="EO53" s="305"/>
      <c r="EP53" s="305"/>
      <c r="EQ53" s="305"/>
      <c r="ER53" s="305"/>
      <c r="ES53" s="305"/>
      <c r="ET53" s="305"/>
      <c r="EU53" s="305"/>
      <c r="EV53" s="305"/>
      <c r="EW53" s="305"/>
      <c r="EX53" s="305"/>
      <c r="EY53" s="305"/>
      <c r="EZ53" s="305"/>
      <c r="FA53" s="305"/>
      <c r="FB53" s="305"/>
      <c r="FC53" s="305"/>
      <c r="FD53" s="305"/>
      <c r="FE53" s="305"/>
      <c r="FF53" s="305"/>
      <c r="FG53" s="305"/>
      <c r="FH53" s="305"/>
      <c r="FI53" s="305"/>
      <c r="FJ53" s="305"/>
    </row>
    <row r="54" spans="1:166" ht="12.75" customHeight="1" x14ac:dyDescent="0.35" hidden="1">
      <c r="A54" s="136"/>
      <c r="B54" s="136"/>
      <c r="C54" s="136"/>
      <c r="D54" s="152" t="str">
        <f>D25</f>
        <v>Item 19</v>
      </c>
      <c r="E54" s="96">
        <f>Calcs!L257</f>
        <v>0</v>
      </c>
      <c r="F54" s="96">
        <f>Calcs!M257</f>
        <v>0</v>
      </c>
      <c r="G54" s="96">
        <f>Calcs!N257</f>
        <v>0</v>
      </c>
      <c r="H54" s="96">
        <f>Calcs!O257</f>
        <v>0</v>
      </c>
      <c r="I54" s="96">
        <f>Calcs!P257</f>
        <v>0</v>
      </c>
      <c r="J54" s="96">
        <f>Calcs!Q257</f>
        <v>0</v>
      </c>
      <c r="K54" s="96">
        <f>Calcs!R257</f>
        <v>0</v>
      </c>
      <c r="L54" s="96">
        <f>Calcs!S257</f>
        <v>0</v>
      </c>
      <c r="M54" s="96">
        <f>Calcs!T257</f>
        <v>0</v>
      </c>
      <c r="N54" s="96">
        <f>Calcs!U257</f>
        <v>0</v>
      </c>
      <c r="O54" s="96">
        <f>Calcs!V257</f>
        <v>0</v>
      </c>
      <c r="P54" s="96">
        <f>Calcs!W257</f>
        <v>0</v>
      </c>
      <c r="Q54" s="96">
        <f>SUM(E54:P54)</f>
        <v>0</v>
      </c>
      <c r="R54" s="96">
        <f>Calcs!X257</f>
        <v>0</v>
      </c>
      <c r="S54" s="96">
        <f>Calcs!Y257</f>
        <v>0</v>
      </c>
      <c r="T54" s="96">
        <f>Calcs!Z257</f>
        <v>0</v>
      </c>
      <c r="U54" s="96">
        <f>Calcs!AA257</f>
        <v>0</v>
      </c>
      <c r="V54" s="96">
        <f>Calcs!AB257</f>
        <v>0</v>
      </c>
      <c r="W54" s="96">
        <f>Calcs!AC257</f>
        <v>0</v>
      </c>
      <c r="X54" s="96">
        <f>Calcs!AD257</f>
        <v>0</v>
      </c>
      <c r="Y54" s="96">
        <f>Calcs!AE257</f>
        <v>0</v>
      </c>
      <c r="Z54" s="96">
        <f>Calcs!AF257</f>
        <v>0</v>
      </c>
      <c r="AA54" s="96">
        <f>Calcs!AG257</f>
        <v>0</v>
      </c>
      <c r="AB54" s="96">
        <f>Calcs!AH257</f>
        <v>0</v>
      </c>
      <c r="AC54" s="96">
        <f>Calcs!AI257</f>
        <v>0</v>
      </c>
      <c r="AD54" s="96">
        <f>SUM(R54:AC54)</f>
        <v>0</v>
      </c>
      <c r="AE54" s="96">
        <f>Calcs!AJ257</f>
        <v>0</v>
      </c>
      <c r="AF54" s="96">
        <f>Calcs!AK257</f>
        <v>0</v>
      </c>
      <c r="AG54" s="96">
        <f>Calcs!AL257</f>
        <v>0</v>
      </c>
      <c r="AH54" s="96">
        <f>Calcs!AM257</f>
        <v>0</v>
      </c>
      <c r="AI54" s="96">
        <f>Calcs!AN257</f>
        <v>0</v>
      </c>
      <c r="AJ54" s="96">
        <f>Calcs!AO257</f>
        <v>0</v>
      </c>
      <c r="AK54" s="96">
        <f>Calcs!AP257</f>
        <v>0</v>
      </c>
      <c r="AL54" s="96">
        <f>Calcs!AQ257</f>
        <v>0</v>
      </c>
      <c r="AM54" s="96">
        <f>Calcs!AR257</f>
        <v>0</v>
      </c>
      <c r="AN54" s="96">
        <f>Calcs!AS257</f>
        <v>0</v>
      </c>
      <c r="AO54" s="96">
        <f>Calcs!AT257</f>
        <v>0</v>
      </c>
      <c r="AP54" s="96">
        <f>Calcs!AU257</f>
        <v>0</v>
      </c>
      <c r="AQ54" s="96">
        <f>SUM(AE54:AP54)</f>
        <v>0</v>
      </c>
      <c r="AR54" s="96">
        <f>Calcs!AV257</f>
        <v>0</v>
      </c>
      <c r="AS54" s="96">
        <f>Calcs!AW257</f>
        <v>0</v>
      </c>
      <c r="AT54" s="96">
        <f>Calcs!AX257</f>
        <v>0</v>
      </c>
      <c r="AU54" s="96">
        <f>Calcs!AY257</f>
        <v>0</v>
      </c>
      <c r="AV54" s="96">
        <f>Calcs!AZ257</f>
        <v>0</v>
      </c>
      <c r="AW54" s="96">
        <f>Calcs!BA257</f>
        <v>0</v>
      </c>
      <c r="AX54" s="96">
        <f>Calcs!BB257</f>
        <v>0</v>
      </c>
      <c r="AY54" s="96">
        <f>Calcs!BC257</f>
        <v>0</v>
      </c>
      <c r="AZ54" s="96">
        <f>Calcs!BD257</f>
        <v>0</v>
      </c>
      <c r="BA54" s="96">
        <f>Calcs!BE257</f>
        <v>0</v>
      </c>
      <c r="BB54" s="96">
        <f>Calcs!BF257</f>
        <v>0</v>
      </c>
      <c r="BC54" s="96">
        <f>Calcs!BG257</f>
        <v>0</v>
      </c>
      <c r="BD54" s="96">
        <f>SUM(AR54:BC54)</f>
        <v>0</v>
      </c>
      <c r="BE54" s="96">
        <f>Calcs!BH257</f>
        <v>0</v>
      </c>
      <c r="BF54" s="96">
        <f>Calcs!BI257</f>
        <v>0</v>
      </c>
      <c r="BG54" s="96">
        <f>Calcs!BJ257</f>
        <v>0</v>
      </c>
      <c r="BH54" s="96">
        <f>Calcs!BK257</f>
        <v>0</v>
      </c>
      <c r="BI54" s="96">
        <f>Calcs!BL257</f>
        <v>0</v>
      </c>
      <c r="BJ54" s="96">
        <f>Calcs!BM257</f>
        <v>0</v>
      </c>
      <c r="BK54" s="96">
        <f>Calcs!BN257</f>
        <v>0</v>
      </c>
      <c r="BL54" s="96">
        <f>Calcs!BO257</f>
        <v>0</v>
      </c>
      <c r="BM54" s="96">
        <f>Calcs!BP257</f>
        <v>0</v>
      </c>
      <c r="BN54" s="96">
        <f>Calcs!BQ257</f>
        <v>0</v>
      </c>
      <c r="BO54" s="96">
        <f>Calcs!BR257</f>
        <v>0</v>
      </c>
      <c r="BP54" s="96">
        <f>Calcs!BS257</f>
        <v>0</v>
      </c>
      <c r="BQ54" s="96">
        <f>SUM(BE54:BP54)</f>
        <v>0</v>
      </c>
      <c r="BR54" s="1802"/>
      <c r="BS54" s="153">
        <f>SUM(BQ54,BD54,AQ54,AD54,Q54)</f>
        <v>0</v>
      </c>
      <c r="BT54" s="1802"/>
      <c r="BU54" s="153">
        <f>SUM(BQ54,BD54,AQ54,AD54,Q54)</f>
      </c>
      <c r="BV54" s="138"/>
      <c r="BW54" s="151"/>
      <c r="BX54" s="151"/>
      <c r="BY54" s="151"/>
      <c r="BZ54" s="151"/>
      <c r="CA54" s="151"/>
      <c r="CB54" s="151"/>
      <c r="CC54" s="151"/>
      <c r="CD54" s="151"/>
      <c r="CE54" s="151"/>
      <c r="CF54" s="151"/>
      <c r="CG54" s="151"/>
      <c r="CH54" s="151"/>
      <c r="CI54" s="151"/>
      <c r="CJ54" s="151"/>
      <c r="CK54" s="151"/>
      <c r="CL54" s="151"/>
      <c r="CM54" s="151"/>
      <c r="CN54" s="151"/>
      <c r="CO54" s="151"/>
      <c r="CP54" s="151"/>
      <c r="CW54" s="179"/>
      <c r="CX54" s="179"/>
      <c r="CY54" s="305"/>
      <c r="CZ54" s="305"/>
      <c r="DA54" s="305"/>
      <c r="DB54" s="305"/>
      <c r="DC54" s="305"/>
      <c r="DD54" s="305"/>
      <c r="DE54" s="305"/>
      <c r="DF54" s="305"/>
      <c r="DG54" s="305"/>
      <c r="DH54" s="305"/>
      <c r="DI54" s="305"/>
      <c r="DJ54" s="305"/>
      <c r="DK54" s="305"/>
      <c r="DL54" s="305"/>
      <c r="DM54" s="305"/>
      <c r="DN54" s="305"/>
      <c r="DO54" s="305"/>
      <c r="DP54" s="305"/>
      <c r="DQ54" s="305"/>
      <c r="DR54" s="305"/>
      <c r="DS54" s="305"/>
      <c r="DT54" s="305"/>
      <c r="DU54" s="305"/>
      <c r="DV54" s="305"/>
      <c r="DW54" s="305"/>
      <c r="DX54" s="305"/>
      <c r="DY54" s="305"/>
      <c r="DZ54" s="305"/>
      <c r="EA54" s="305"/>
      <c r="EB54" s="305"/>
      <c r="EC54" s="305"/>
      <c r="ED54" s="305"/>
      <c r="EE54" s="305"/>
      <c r="EF54" s="305"/>
      <c r="EG54" s="305"/>
      <c r="EH54" s="305"/>
      <c r="EI54" s="305"/>
      <c r="EJ54" s="305"/>
      <c r="EK54" s="305"/>
      <c r="EL54" s="305"/>
      <c r="EM54" s="305"/>
      <c r="EN54" s="305"/>
      <c r="EO54" s="305"/>
      <c r="EP54" s="305"/>
      <c r="EQ54" s="305"/>
      <c r="ER54" s="305"/>
      <c r="ES54" s="305"/>
      <c r="ET54" s="305"/>
      <c r="EU54" s="305"/>
      <c r="EV54" s="305"/>
      <c r="EW54" s="305"/>
      <c r="EX54" s="305"/>
      <c r="EY54" s="305"/>
      <c r="EZ54" s="305"/>
      <c r="FA54" s="305"/>
      <c r="FB54" s="305"/>
      <c r="FC54" s="305"/>
      <c r="FD54" s="305"/>
      <c r="FE54" s="305"/>
      <c r="FF54" s="305"/>
      <c r="FG54" s="305"/>
      <c r="FH54" s="305"/>
      <c r="FI54" s="305"/>
      <c r="FJ54" s="305"/>
    </row>
    <row r="55" spans="1:166" ht="12.75" customHeight="1" x14ac:dyDescent="0.35" hidden="1">
      <c r="A55" s="136"/>
      <c r="B55" s="136"/>
      <c r="C55" s="136"/>
      <c r="D55" s="152" t="str">
        <f>D26</f>
        <v>Item 20</v>
      </c>
      <c r="E55" s="96">
        <f>Calcs!L258</f>
        <v>0</v>
      </c>
      <c r="F55" s="96">
        <f>Calcs!M258</f>
        <v>0</v>
      </c>
      <c r="G55" s="96">
        <f>Calcs!N258</f>
        <v>0</v>
      </c>
      <c r="H55" s="96">
        <f>Calcs!O258</f>
        <v>0</v>
      </c>
      <c r="I55" s="96">
        <f>Calcs!P258</f>
        <v>0</v>
      </c>
      <c r="J55" s="96">
        <f>Calcs!Q258</f>
        <v>0</v>
      </c>
      <c r="K55" s="96">
        <f>Calcs!R258</f>
        <v>0</v>
      </c>
      <c r="L55" s="96">
        <f>Calcs!S258</f>
        <v>0</v>
      </c>
      <c r="M55" s="96">
        <f>Calcs!T258</f>
        <v>0</v>
      </c>
      <c r="N55" s="96">
        <f>Calcs!U258</f>
        <v>0</v>
      </c>
      <c r="O55" s="96">
        <f>Calcs!V258</f>
        <v>0</v>
      </c>
      <c r="P55" s="96">
        <f>Calcs!W258</f>
        <v>0</v>
      </c>
      <c r="Q55" s="96">
        <f>SUM(E55:P55)</f>
        <v>0</v>
      </c>
      <c r="R55" s="96">
        <f>Calcs!X258</f>
        <v>0</v>
      </c>
      <c r="S55" s="96">
        <f>Calcs!Y258</f>
        <v>0</v>
      </c>
      <c r="T55" s="96">
        <f>Calcs!Z258</f>
        <v>0</v>
      </c>
      <c r="U55" s="96">
        <f>Calcs!AA258</f>
        <v>0</v>
      </c>
      <c r="V55" s="96">
        <f>Calcs!AB258</f>
        <v>0</v>
      </c>
      <c r="W55" s="96">
        <f>Calcs!AC258</f>
        <v>0</v>
      </c>
      <c r="X55" s="96">
        <f>Calcs!AD258</f>
        <v>0</v>
      </c>
      <c r="Y55" s="96">
        <f>Calcs!AE258</f>
        <v>0</v>
      </c>
      <c r="Z55" s="96">
        <f>Calcs!AF258</f>
        <v>0</v>
      </c>
      <c r="AA55" s="96">
        <f>Calcs!AG258</f>
        <v>0</v>
      </c>
      <c r="AB55" s="96">
        <f>Calcs!AH258</f>
        <v>0</v>
      </c>
      <c r="AC55" s="96">
        <f>Calcs!AI258</f>
        <v>0</v>
      </c>
      <c r="AD55" s="96">
        <f>SUM(R55:AC55)</f>
        <v>0</v>
      </c>
      <c r="AE55" s="96">
        <f>Calcs!AJ258</f>
        <v>0</v>
      </c>
      <c r="AF55" s="96">
        <f>Calcs!AK258</f>
        <v>0</v>
      </c>
      <c r="AG55" s="96">
        <f>Calcs!AL258</f>
        <v>0</v>
      </c>
      <c r="AH55" s="96">
        <f>Calcs!AM258</f>
        <v>0</v>
      </c>
      <c r="AI55" s="96">
        <f>Calcs!AN258</f>
        <v>0</v>
      </c>
      <c r="AJ55" s="96">
        <f>Calcs!AO258</f>
        <v>0</v>
      </c>
      <c r="AK55" s="96">
        <f>Calcs!AP258</f>
        <v>0</v>
      </c>
      <c r="AL55" s="96">
        <f>Calcs!AQ258</f>
        <v>0</v>
      </c>
      <c r="AM55" s="96">
        <f>Calcs!AR258</f>
        <v>0</v>
      </c>
      <c r="AN55" s="96">
        <f>Calcs!AS258</f>
        <v>0</v>
      </c>
      <c r="AO55" s="96">
        <f>Calcs!AT258</f>
        <v>0</v>
      </c>
      <c r="AP55" s="96">
        <f>Calcs!AU258</f>
        <v>0</v>
      </c>
      <c r="AQ55" s="96">
        <f>SUM(AE55:AP55)</f>
        <v>0</v>
      </c>
      <c r="AR55" s="96">
        <f>Calcs!AV258</f>
        <v>0</v>
      </c>
      <c r="AS55" s="96">
        <f>Calcs!AW258</f>
        <v>0</v>
      </c>
      <c r="AT55" s="96">
        <f>Calcs!AX258</f>
        <v>0</v>
      </c>
      <c r="AU55" s="96">
        <f>Calcs!AY258</f>
        <v>0</v>
      </c>
      <c r="AV55" s="96">
        <f>Calcs!AZ258</f>
        <v>0</v>
      </c>
      <c r="AW55" s="96">
        <f>Calcs!BA258</f>
        <v>0</v>
      </c>
      <c r="AX55" s="96">
        <f>Calcs!BB258</f>
        <v>0</v>
      </c>
      <c r="AY55" s="96">
        <f>Calcs!BC258</f>
        <v>0</v>
      </c>
      <c r="AZ55" s="96">
        <f>Calcs!BD258</f>
        <v>0</v>
      </c>
      <c r="BA55" s="96">
        <f>Calcs!BE258</f>
        <v>0</v>
      </c>
      <c r="BB55" s="96">
        <f>Calcs!BF258</f>
        <v>0</v>
      </c>
      <c r="BC55" s="96">
        <f>Calcs!BG258</f>
        <v>0</v>
      </c>
      <c r="BD55" s="96">
        <f>SUM(AR55:BC55)</f>
        <v>0</v>
      </c>
      <c r="BE55" s="96">
        <f>Calcs!BH258</f>
        <v>0</v>
      </c>
      <c r="BF55" s="96">
        <f>Calcs!BI258</f>
        <v>0</v>
      </c>
      <c r="BG55" s="96">
        <f>Calcs!BJ258</f>
        <v>0</v>
      </c>
      <c r="BH55" s="96">
        <f>Calcs!BK258</f>
        <v>0</v>
      </c>
      <c r="BI55" s="96">
        <f>Calcs!BL258</f>
        <v>0</v>
      </c>
      <c r="BJ55" s="96">
        <f>Calcs!BM258</f>
        <v>0</v>
      </c>
      <c r="BK55" s="96">
        <f>Calcs!BN258</f>
        <v>0</v>
      </c>
      <c r="BL55" s="96">
        <f>Calcs!BO258</f>
        <v>0</v>
      </c>
      <c r="BM55" s="96">
        <f>Calcs!BP258</f>
        <v>0</v>
      </c>
      <c r="BN55" s="96">
        <f>Calcs!BQ258</f>
        <v>0</v>
      </c>
      <c r="BO55" s="96">
        <f>Calcs!BR258</f>
        <v>0</v>
      </c>
      <c r="BP55" s="96">
        <f>Calcs!BS258</f>
        <v>0</v>
      </c>
      <c r="BQ55" s="96">
        <f>SUM(BE55:BP55)</f>
        <v>0</v>
      </c>
      <c r="BR55" s="1802"/>
      <c r="BS55" s="153">
        <f>SUM(BQ55,BD55,AQ55,AD55,Q55)</f>
        <v>0</v>
      </c>
      <c r="BT55" s="1802"/>
      <c r="BU55" s="153">
        <f>SUM(BQ55,BD55,AQ55,AD55,Q55)</f>
      </c>
      <c r="BV55" s="138"/>
      <c r="BW55" s="151"/>
      <c r="BX55" s="151"/>
      <c r="BY55" s="151"/>
      <c r="BZ55" s="151"/>
      <c r="CA55" s="151"/>
      <c r="CB55" s="151"/>
      <c r="CC55" s="151"/>
      <c r="CD55" s="151"/>
      <c r="CE55" s="151"/>
      <c r="CF55" s="151"/>
      <c r="CG55" s="151"/>
      <c r="CH55" s="151"/>
      <c r="CI55" s="151"/>
      <c r="CJ55" s="151"/>
      <c r="CK55" s="151"/>
      <c r="CL55" s="151"/>
      <c r="CM55" s="151"/>
      <c r="CN55" s="151"/>
      <c r="CO55" s="151"/>
      <c r="CP55" s="151"/>
      <c r="CW55" s="179"/>
      <c r="CX55" s="179"/>
      <c r="CY55" s="305"/>
      <c r="CZ55" s="305"/>
      <c r="DA55" s="305"/>
      <c r="DB55" s="305"/>
      <c r="DC55" s="305"/>
      <c r="DD55" s="305"/>
      <c r="DE55" s="305"/>
      <c r="DF55" s="305"/>
      <c r="DG55" s="305"/>
      <c r="DH55" s="305"/>
      <c r="DI55" s="305"/>
      <c r="DJ55" s="305"/>
      <c r="DK55" s="305"/>
      <c r="DL55" s="305"/>
      <c r="DM55" s="305"/>
      <c r="DN55" s="305"/>
      <c r="DO55" s="305"/>
      <c r="DP55" s="305"/>
      <c r="DQ55" s="305"/>
      <c r="DR55" s="305"/>
      <c r="DS55" s="305"/>
      <c r="DT55" s="305"/>
      <c r="DU55" s="305"/>
      <c r="DV55" s="305"/>
      <c r="DW55" s="305"/>
      <c r="DX55" s="305"/>
      <c r="DY55" s="305"/>
      <c r="DZ55" s="305"/>
      <c r="EA55" s="305"/>
      <c r="EB55" s="305"/>
      <c r="EC55" s="305"/>
      <c r="ED55" s="305"/>
      <c r="EE55" s="305"/>
      <c r="EF55" s="305"/>
      <c r="EG55" s="305"/>
      <c r="EH55" s="305"/>
      <c r="EI55" s="305"/>
      <c r="EJ55" s="305"/>
      <c r="EK55" s="305"/>
      <c r="EL55" s="305"/>
      <c r="EM55" s="305"/>
      <c r="EN55" s="305"/>
      <c r="EO55" s="305"/>
      <c r="EP55" s="305"/>
      <c r="EQ55" s="305"/>
      <c r="ER55" s="305"/>
      <c r="ES55" s="305"/>
      <c r="ET55" s="305"/>
      <c r="EU55" s="305"/>
      <c r="EV55" s="305"/>
      <c r="EW55" s="305"/>
      <c r="EX55" s="305"/>
      <c r="EY55" s="305"/>
      <c r="EZ55" s="305"/>
      <c r="FA55" s="305"/>
      <c r="FB55" s="305"/>
      <c r="FC55" s="305"/>
      <c r="FD55" s="305"/>
      <c r="FE55" s="305"/>
      <c r="FF55" s="305"/>
      <c r="FG55" s="305"/>
      <c r="FH55" s="305"/>
      <c r="FI55" s="305"/>
      <c r="FJ55" s="305"/>
    </row>
    <row r="56" spans="1:166" ht="12.75" customHeight="1" x14ac:dyDescent="0.35" hidden="1">
      <c r="A56" s="136"/>
      <c r="B56" s="136"/>
      <c r="C56" s="136"/>
      <c r="D56" s="152" t="str">
        <f>D27</f>
        <v>Item 21</v>
      </c>
      <c r="E56" s="96">
        <f>Calcs!L259</f>
        <v>0</v>
      </c>
      <c r="F56" s="96">
        <f>Calcs!M259</f>
        <v>0</v>
      </c>
      <c r="G56" s="96">
        <f>Calcs!N259</f>
        <v>0</v>
      </c>
      <c r="H56" s="96">
        <f>Calcs!O259</f>
        <v>0</v>
      </c>
      <c r="I56" s="96">
        <f>Calcs!P259</f>
        <v>0</v>
      </c>
      <c r="J56" s="96">
        <f>Calcs!Q259</f>
        <v>0</v>
      </c>
      <c r="K56" s="96">
        <f>Calcs!R259</f>
        <v>0</v>
      </c>
      <c r="L56" s="96">
        <f>Calcs!S259</f>
        <v>0</v>
      </c>
      <c r="M56" s="96">
        <f>Calcs!T259</f>
        <v>0</v>
      </c>
      <c r="N56" s="96">
        <f>Calcs!U259</f>
        <v>0</v>
      </c>
      <c r="O56" s="96">
        <f>Calcs!V259</f>
        <v>0</v>
      </c>
      <c r="P56" s="96">
        <f>Calcs!W259</f>
        <v>0</v>
      </c>
      <c r="Q56" s="96">
        <f>SUM(E56:P56)</f>
        <v>0</v>
      </c>
      <c r="R56" s="96">
        <f>Calcs!X259</f>
        <v>0</v>
      </c>
      <c r="S56" s="96">
        <f>Calcs!Y259</f>
        <v>0</v>
      </c>
      <c r="T56" s="96">
        <f>Calcs!Z259</f>
        <v>0</v>
      </c>
      <c r="U56" s="96">
        <f>Calcs!AA259</f>
        <v>0</v>
      </c>
      <c r="V56" s="96">
        <f>Calcs!AB259</f>
        <v>0</v>
      </c>
      <c r="W56" s="96">
        <f>Calcs!AC259</f>
        <v>0</v>
      </c>
      <c r="X56" s="96">
        <f>Calcs!AD259</f>
        <v>0</v>
      </c>
      <c r="Y56" s="96">
        <f>Calcs!AE259</f>
        <v>0</v>
      </c>
      <c r="Z56" s="96">
        <f>Calcs!AF259</f>
        <v>0</v>
      </c>
      <c r="AA56" s="96">
        <f>Calcs!AG259</f>
        <v>0</v>
      </c>
      <c r="AB56" s="96">
        <f>Calcs!AH259</f>
        <v>0</v>
      </c>
      <c r="AC56" s="96">
        <f>Calcs!AI259</f>
        <v>0</v>
      </c>
      <c r="AD56" s="96">
        <f>SUM(R56:AC56)</f>
        <v>0</v>
      </c>
      <c r="AE56" s="96">
        <f>Calcs!AJ259</f>
        <v>0</v>
      </c>
      <c r="AF56" s="96">
        <f>Calcs!AK259</f>
        <v>0</v>
      </c>
      <c r="AG56" s="96">
        <f>Calcs!AL259</f>
        <v>0</v>
      </c>
      <c r="AH56" s="96">
        <f>Calcs!AM259</f>
        <v>0</v>
      </c>
      <c r="AI56" s="96">
        <f>Calcs!AN259</f>
        <v>0</v>
      </c>
      <c r="AJ56" s="96">
        <f>Calcs!AO259</f>
        <v>0</v>
      </c>
      <c r="AK56" s="96">
        <f>Calcs!AP259</f>
        <v>0</v>
      </c>
      <c r="AL56" s="96">
        <f>Calcs!AQ259</f>
        <v>0</v>
      </c>
      <c r="AM56" s="96">
        <f>Calcs!AR259</f>
        <v>0</v>
      </c>
      <c r="AN56" s="96">
        <f>Calcs!AS259</f>
        <v>0</v>
      </c>
      <c r="AO56" s="96">
        <f>Calcs!AT259</f>
        <v>0</v>
      </c>
      <c r="AP56" s="96">
        <f>Calcs!AU259</f>
        <v>0</v>
      </c>
      <c r="AQ56" s="96">
        <f>SUM(AE56:AP56)</f>
        <v>0</v>
      </c>
      <c r="AR56" s="96">
        <f>Calcs!AV259</f>
        <v>0</v>
      </c>
      <c r="AS56" s="96">
        <f>Calcs!AW259</f>
        <v>0</v>
      </c>
      <c r="AT56" s="96">
        <f>Calcs!AX259</f>
        <v>0</v>
      </c>
      <c r="AU56" s="96">
        <f>Calcs!AY259</f>
        <v>0</v>
      </c>
      <c r="AV56" s="96">
        <f>Calcs!AZ259</f>
        <v>0</v>
      </c>
      <c r="AW56" s="96">
        <f>Calcs!BA259</f>
        <v>0</v>
      </c>
      <c r="AX56" s="96">
        <f>Calcs!BB259</f>
        <v>0</v>
      </c>
      <c r="AY56" s="96">
        <f>Calcs!BC259</f>
        <v>0</v>
      </c>
      <c r="AZ56" s="96">
        <f>Calcs!BD259</f>
        <v>0</v>
      </c>
      <c r="BA56" s="96">
        <f>Calcs!BE259</f>
        <v>0</v>
      </c>
      <c r="BB56" s="96">
        <f>Calcs!BF259</f>
        <v>0</v>
      </c>
      <c r="BC56" s="96">
        <f>Calcs!BG259</f>
        <v>0</v>
      </c>
      <c r="BD56" s="96">
        <f>SUM(AR56:BC56)</f>
        <v>0</v>
      </c>
      <c r="BE56" s="96">
        <f>Calcs!BH259</f>
        <v>0</v>
      </c>
      <c r="BF56" s="96">
        <f>Calcs!BI259</f>
        <v>0</v>
      </c>
      <c r="BG56" s="96">
        <f>Calcs!BJ259</f>
        <v>0</v>
      </c>
      <c r="BH56" s="96">
        <f>Calcs!BK259</f>
        <v>0</v>
      </c>
      <c r="BI56" s="96">
        <f>Calcs!BL259</f>
        <v>0</v>
      </c>
      <c r="BJ56" s="96">
        <f>Calcs!BM259</f>
        <v>0</v>
      </c>
      <c r="BK56" s="96">
        <f>Calcs!BN259</f>
        <v>0</v>
      </c>
      <c r="BL56" s="96">
        <f>Calcs!BO259</f>
        <v>0</v>
      </c>
      <c r="BM56" s="96">
        <f>Calcs!BP259</f>
        <v>0</v>
      </c>
      <c r="BN56" s="96">
        <f>Calcs!BQ259</f>
        <v>0</v>
      </c>
      <c r="BO56" s="96">
        <f>Calcs!BR259</f>
        <v>0</v>
      </c>
      <c r="BP56" s="96">
        <f>Calcs!BS259</f>
        <v>0</v>
      </c>
      <c r="BQ56" s="96">
        <f>SUM(BE56:BP56)</f>
        <v>0</v>
      </c>
      <c r="BR56" s="1802"/>
      <c r="BS56" s="153">
        <f>SUM(BQ56,BD56,AQ56,AD56,Q56)</f>
        <v>0</v>
      </c>
      <c r="BT56" s="1802"/>
      <c r="BU56" s="153">
        <f>SUM(BQ56,BD56,AQ56,AD56,Q56)</f>
      </c>
      <c r="BV56" s="138"/>
      <c r="BW56" s="151"/>
      <c r="BX56" s="151"/>
      <c r="BY56" s="151"/>
      <c r="BZ56" s="151"/>
      <c r="CA56" s="151"/>
      <c r="CB56" s="151"/>
      <c r="CC56" s="151"/>
      <c r="CD56" s="151"/>
      <c r="CE56" s="151"/>
      <c r="CF56" s="151"/>
      <c r="CG56" s="151"/>
      <c r="CH56" s="151"/>
      <c r="CI56" s="151"/>
      <c r="CJ56" s="151"/>
      <c r="CK56" s="151"/>
      <c r="CL56" s="151"/>
      <c r="CM56" s="151"/>
      <c r="CN56" s="151"/>
      <c r="CO56" s="151"/>
      <c r="CP56" s="151"/>
      <c r="CW56" s="179"/>
      <c r="CX56" s="179"/>
      <c r="CY56" s="305"/>
      <c r="CZ56" s="305"/>
      <c r="DA56" s="305"/>
      <c r="DB56" s="305"/>
      <c r="DC56" s="305"/>
      <c r="DD56" s="305"/>
      <c r="DE56" s="305"/>
      <c r="DF56" s="305"/>
      <c r="DG56" s="305"/>
      <c r="DH56" s="305"/>
      <c r="DI56" s="305"/>
      <c r="DJ56" s="305"/>
      <c r="DK56" s="305"/>
      <c r="DL56" s="305"/>
      <c r="DM56" s="305"/>
      <c r="DN56" s="305"/>
      <c r="DO56" s="305"/>
      <c r="DP56" s="305"/>
      <c r="DQ56" s="305"/>
      <c r="DR56" s="305"/>
      <c r="DS56" s="305"/>
      <c r="DT56" s="305"/>
      <c r="DU56" s="305"/>
      <c r="DV56" s="305"/>
      <c r="DW56" s="305"/>
      <c r="DX56" s="305"/>
      <c r="DY56" s="305"/>
      <c r="DZ56" s="305"/>
      <c r="EA56" s="305"/>
      <c r="EB56" s="305"/>
      <c r="EC56" s="305"/>
      <c r="ED56" s="305"/>
      <c r="EE56" s="305"/>
      <c r="EF56" s="305"/>
      <c r="EG56" s="305"/>
      <c r="EH56" s="305"/>
      <c r="EI56" s="305"/>
      <c r="EJ56" s="305"/>
      <c r="EK56" s="305"/>
      <c r="EL56" s="305"/>
      <c r="EM56" s="305"/>
      <c r="EN56" s="305"/>
      <c r="EO56" s="305"/>
      <c r="EP56" s="305"/>
      <c r="EQ56" s="305"/>
      <c r="ER56" s="305"/>
      <c r="ES56" s="305"/>
      <c r="ET56" s="305"/>
      <c r="EU56" s="305"/>
      <c r="EV56" s="305"/>
      <c r="EW56" s="305"/>
      <c r="EX56" s="305"/>
      <c r="EY56" s="305"/>
      <c r="EZ56" s="305"/>
      <c r="FA56" s="305"/>
      <c r="FB56" s="305"/>
      <c r="FC56" s="305"/>
      <c r="FD56" s="305"/>
      <c r="FE56" s="305"/>
      <c r="FF56" s="305"/>
      <c r="FG56" s="305"/>
      <c r="FH56" s="305"/>
      <c r="FI56" s="305"/>
      <c r="FJ56" s="305"/>
    </row>
    <row r="57" spans="1:166" ht="12.75" hidden="1" customHeight="1" x14ac:dyDescent="0.35">
      <c r="A57" s="136"/>
      <c r="B57" s="136"/>
      <c r="C57" s="136"/>
      <c r="D57" s="152" t="str">
        <f>D28</f>
        <v>Item 22</v>
      </c>
      <c r="E57" s="96">
        <f>Calcs!L260</f>
        <v>0</v>
      </c>
      <c r="F57" s="96">
        <f>Calcs!M260</f>
        <v>0</v>
      </c>
      <c r="G57" s="96">
        <f>Calcs!N260</f>
        <v>0</v>
      </c>
      <c r="H57" s="96">
        <f>Calcs!O260</f>
        <v>0</v>
      </c>
      <c r="I57" s="96">
        <f>Calcs!P260</f>
        <v>0</v>
      </c>
      <c r="J57" s="96">
        <f>Calcs!Q260</f>
        <v>0</v>
      </c>
      <c r="K57" s="96">
        <f>Calcs!R260</f>
        <v>0</v>
      </c>
      <c r="L57" s="96">
        <f>Calcs!S260</f>
        <v>0</v>
      </c>
      <c r="M57" s="96">
        <f>Calcs!T260</f>
        <v>0</v>
      </c>
      <c r="N57" s="96">
        <f>Calcs!U260</f>
        <v>0</v>
      </c>
      <c r="O57" s="96">
        <f>Calcs!V260</f>
        <v>0</v>
      </c>
      <c r="P57" s="96">
        <f>Calcs!W260</f>
        <v>0</v>
      </c>
      <c r="Q57" s="96">
        <f>SUM(E57:P57)</f>
        <v>0</v>
      </c>
      <c r="R57" s="96">
        <f>Calcs!X260</f>
        <v>0</v>
      </c>
      <c r="S57" s="96">
        <f>Calcs!Y260</f>
        <v>0</v>
      </c>
      <c r="T57" s="96">
        <f>Calcs!Z260</f>
        <v>0</v>
      </c>
      <c r="U57" s="96">
        <f>Calcs!AA260</f>
        <v>0</v>
      </c>
      <c r="V57" s="96">
        <f>Calcs!AB260</f>
        <v>0</v>
      </c>
      <c r="W57" s="96">
        <f>Calcs!AC260</f>
        <v>0</v>
      </c>
      <c r="X57" s="96">
        <f>Calcs!AD260</f>
        <v>0</v>
      </c>
      <c r="Y57" s="96">
        <f>Calcs!AE260</f>
        <v>0</v>
      </c>
      <c r="Z57" s="96">
        <f>Calcs!AF260</f>
        <v>0</v>
      </c>
      <c r="AA57" s="96">
        <f>Calcs!AG260</f>
        <v>0</v>
      </c>
      <c r="AB57" s="96">
        <f>Calcs!AH260</f>
        <v>0</v>
      </c>
      <c r="AC57" s="96">
        <f>Calcs!AI260</f>
        <v>0</v>
      </c>
      <c r="AD57" s="96">
        <f>SUM(R57:AC57)</f>
        <v>0</v>
      </c>
      <c r="AE57" s="96">
        <f>Calcs!AJ260</f>
        <v>0</v>
      </c>
      <c r="AF57" s="96">
        <f>Calcs!AK260</f>
        <v>0</v>
      </c>
      <c r="AG57" s="96">
        <f>Calcs!AL260</f>
        <v>0</v>
      </c>
      <c r="AH57" s="96">
        <f>Calcs!AM260</f>
        <v>0</v>
      </c>
      <c r="AI57" s="96">
        <f>Calcs!AN260</f>
        <v>0</v>
      </c>
      <c r="AJ57" s="96">
        <f>Calcs!AO260</f>
        <v>0</v>
      </c>
      <c r="AK57" s="96">
        <f>Calcs!AP260</f>
        <v>0</v>
      </c>
      <c r="AL57" s="96">
        <f>Calcs!AQ260</f>
        <v>0</v>
      </c>
      <c r="AM57" s="96">
        <f>Calcs!AR260</f>
        <v>0</v>
      </c>
      <c r="AN57" s="96">
        <f>Calcs!AS260</f>
        <v>0</v>
      </c>
      <c r="AO57" s="96">
        <f>Calcs!AT260</f>
        <v>0</v>
      </c>
      <c r="AP57" s="96">
        <f>Calcs!AU260</f>
        <v>0</v>
      </c>
      <c r="AQ57" s="96">
        <f>SUM(AE57:AP57)</f>
        <v>0</v>
      </c>
      <c r="AR57" s="96">
        <f>Calcs!AV260</f>
        <v>0</v>
      </c>
      <c r="AS57" s="96">
        <f>Calcs!AW260</f>
        <v>0</v>
      </c>
      <c r="AT57" s="96">
        <f>Calcs!AX260</f>
        <v>0</v>
      </c>
      <c r="AU57" s="96">
        <f>Calcs!AY260</f>
        <v>0</v>
      </c>
      <c r="AV57" s="96">
        <f>Calcs!AZ260</f>
        <v>0</v>
      </c>
      <c r="AW57" s="96">
        <f>Calcs!BA260</f>
        <v>0</v>
      </c>
      <c r="AX57" s="96">
        <f>Calcs!BB260</f>
        <v>0</v>
      </c>
      <c r="AY57" s="96">
        <f>Calcs!BC260</f>
        <v>0</v>
      </c>
      <c r="AZ57" s="96">
        <f>Calcs!BD260</f>
        <v>0</v>
      </c>
      <c r="BA57" s="96">
        <f>Calcs!BE260</f>
        <v>0</v>
      </c>
      <c r="BB57" s="96">
        <f>Calcs!BF260</f>
        <v>0</v>
      </c>
      <c r="BC57" s="96">
        <f>Calcs!BG260</f>
        <v>0</v>
      </c>
      <c r="BD57" s="96">
        <f>SUM(AR57:BC57)</f>
        <v>0</v>
      </c>
      <c r="BE57" s="96">
        <f>Calcs!BH260</f>
        <v>0</v>
      </c>
      <c r="BF57" s="96">
        <f>Calcs!BI260</f>
        <v>0</v>
      </c>
      <c r="BG57" s="96">
        <f>Calcs!BJ260</f>
        <v>0</v>
      </c>
      <c r="BH57" s="96">
        <f>Calcs!BK260</f>
        <v>0</v>
      </c>
      <c r="BI57" s="96">
        <f>Calcs!BL260</f>
        <v>0</v>
      </c>
      <c r="BJ57" s="96">
        <f>Calcs!BM260</f>
        <v>0</v>
      </c>
      <c r="BK57" s="96">
        <f>Calcs!BN260</f>
        <v>0</v>
      </c>
      <c r="BL57" s="96">
        <f>Calcs!BO260</f>
        <v>0</v>
      </c>
      <c r="BM57" s="96">
        <f>Calcs!BP260</f>
        <v>0</v>
      </c>
      <c r="BN57" s="96">
        <f>Calcs!BQ260</f>
        <v>0</v>
      </c>
      <c r="BO57" s="96">
        <f>Calcs!BR260</f>
        <v>0</v>
      </c>
      <c r="BP57" s="96">
        <f>Calcs!BS260</f>
        <v>0</v>
      </c>
      <c r="BQ57" s="96">
        <f>SUM(BE57:BP57)</f>
        <v>0</v>
      </c>
      <c r="BR57" s="1802"/>
      <c r="BS57" s="153">
        <f>SUM(BQ57,BD57,AQ57,AD57,Q57)</f>
        <v>0</v>
      </c>
      <c r="BT57" s="1802"/>
      <c r="BU57" s="153">
        <f>SUM(BQ57,BD57,AQ57,AD57,Q57)</f>
      </c>
      <c r="BV57" s="138"/>
      <c r="BW57" s="151"/>
      <c r="BX57" s="151"/>
      <c r="BY57" s="151"/>
      <c r="BZ57" s="151"/>
      <c r="CA57" s="151"/>
      <c r="CB57" s="151"/>
      <c r="CC57" s="151"/>
      <c r="CD57" s="151"/>
      <c r="CE57" s="151"/>
      <c r="CF57" s="151"/>
      <c r="CG57" s="151"/>
      <c r="CH57" s="151"/>
      <c r="CI57" s="151"/>
      <c r="CJ57" s="151"/>
      <c r="CK57" s="151"/>
      <c r="CL57" s="151"/>
      <c r="CM57" s="151"/>
      <c r="CN57" s="151"/>
      <c r="CO57" s="151"/>
      <c r="CP57" s="151"/>
      <c r="CW57" s="179"/>
      <c r="CX57" s="179"/>
      <c r="CY57" s="305"/>
      <c r="CZ57" s="305"/>
      <c r="DA57" s="305"/>
      <c r="DB57" s="305"/>
      <c r="DC57" s="305"/>
      <c r="DD57" s="305"/>
      <c r="DE57" s="305"/>
      <c r="DF57" s="305"/>
      <c r="DG57" s="305"/>
      <c r="DH57" s="305"/>
      <c r="DI57" s="305"/>
      <c r="DJ57" s="305"/>
      <c r="DK57" s="305"/>
      <c r="DL57" s="305"/>
      <c r="DM57" s="305"/>
      <c r="DN57" s="305"/>
      <c r="DO57" s="305"/>
      <c r="DP57" s="305"/>
      <c r="DQ57" s="305"/>
      <c r="DR57" s="305"/>
      <c r="DS57" s="305"/>
      <c r="DT57" s="305"/>
      <c r="DU57" s="305"/>
      <c r="DV57" s="305"/>
      <c r="DW57" s="305"/>
      <c r="DX57" s="305"/>
      <c r="DY57" s="305"/>
      <c r="DZ57" s="305"/>
      <c r="EA57" s="305"/>
      <c r="EB57" s="305"/>
      <c r="EC57" s="305"/>
      <c r="ED57" s="305"/>
      <c r="EE57" s="305"/>
      <c r="EF57" s="305"/>
      <c r="EG57" s="305"/>
      <c r="EH57" s="305"/>
      <c r="EI57" s="305"/>
      <c r="EJ57" s="305"/>
      <c r="EK57" s="305"/>
      <c r="EL57" s="305"/>
      <c r="EM57" s="305"/>
      <c r="EN57" s="305"/>
      <c r="EO57" s="305"/>
      <c r="EP57" s="305"/>
      <c r="EQ57" s="305"/>
      <c r="ER57" s="305"/>
      <c r="ES57" s="305"/>
      <c r="ET57" s="305"/>
      <c r="EU57" s="305"/>
      <c r="EV57" s="305"/>
      <c r="EW57" s="305"/>
      <c r="EX57" s="305"/>
      <c r="EY57" s="305"/>
      <c r="EZ57" s="305"/>
      <c r="FA57" s="305"/>
      <c r="FB57" s="305"/>
      <c r="FC57" s="305"/>
      <c r="FD57" s="305"/>
      <c r="FE57" s="305"/>
      <c r="FF57" s="305"/>
      <c r="FG57" s="305"/>
      <c r="FH57" s="305"/>
      <c r="FI57" s="305"/>
      <c r="FJ57" s="305"/>
    </row>
    <row r="58" spans="1:166" ht="12.75" hidden="1" customHeight="1" x14ac:dyDescent="0.35">
      <c r="A58" s="136"/>
      <c r="B58" s="136"/>
      <c r="C58" s="136"/>
      <c r="D58" s="152" t="str">
        <f>D29</f>
        <v>Item 23</v>
      </c>
      <c r="E58" s="96">
        <f>Calcs!L261</f>
        <v>0</v>
      </c>
      <c r="F58" s="96">
        <f>Calcs!M261</f>
        <v>0</v>
      </c>
      <c r="G58" s="96">
        <f>Calcs!N261</f>
        <v>0</v>
      </c>
      <c r="H58" s="96">
        <f>Calcs!O261</f>
        <v>0</v>
      </c>
      <c r="I58" s="96">
        <f>Calcs!P261</f>
        <v>0</v>
      </c>
      <c r="J58" s="96">
        <f>Calcs!Q261</f>
        <v>0</v>
      </c>
      <c r="K58" s="96">
        <f>Calcs!R261</f>
        <v>0</v>
      </c>
      <c r="L58" s="96">
        <f>Calcs!S261</f>
        <v>0</v>
      </c>
      <c r="M58" s="96">
        <f>Calcs!T261</f>
        <v>0</v>
      </c>
      <c r="N58" s="96">
        <f>Calcs!U261</f>
        <v>0</v>
      </c>
      <c r="O58" s="96">
        <f>Calcs!V261</f>
        <v>0</v>
      </c>
      <c r="P58" s="96">
        <f>Calcs!W261</f>
        <v>0</v>
      </c>
      <c r="Q58" s="96">
        <f>SUM(E58:P58)</f>
        <v>0</v>
      </c>
      <c r="R58" s="96">
        <f>Calcs!X261</f>
        <v>0</v>
      </c>
      <c r="S58" s="96">
        <f>Calcs!Y261</f>
        <v>0</v>
      </c>
      <c r="T58" s="96">
        <f>Calcs!Z261</f>
        <v>0</v>
      </c>
      <c r="U58" s="96">
        <f>Calcs!AA261</f>
        <v>0</v>
      </c>
      <c r="V58" s="96">
        <f>Calcs!AB261</f>
        <v>0</v>
      </c>
      <c r="W58" s="96">
        <f>Calcs!AC261</f>
        <v>0</v>
      </c>
      <c r="X58" s="96">
        <f>Calcs!AD261</f>
        <v>0</v>
      </c>
      <c r="Y58" s="96">
        <f>Calcs!AE261</f>
        <v>0</v>
      </c>
      <c r="Z58" s="96">
        <f>Calcs!AF261</f>
        <v>0</v>
      </c>
      <c r="AA58" s="96">
        <f>Calcs!AG261</f>
        <v>0</v>
      </c>
      <c r="AB58" s="96">
        <f>Calcs!AH261</f>
        <v>0</v>
      </c>
      <c r="AC58" s="96">
        <f>Calcs!AI261</f>
        <v>0</v>
      </c>
      <c r="AD58" s="96">
        <f>SUM(R58:AC58)</f>
        <v>0</v>
      </c>
      <c r="AE58" s="96">
        <f>Calcs!AJ261</f>
        <v>0</v>
      </c>
      <c r="AF58" s="96">
        <f>Calcs!AK261</f>
        <v>0</v>
      </c>
      <c r="AG58" s="96">
        <f>Calcs!AL261</f>
        <v>0</v>
      </c>
      <c r="AH58" s="96">
        <f>Calcs!AM261</f>
        <v>0</v>
      </c>
      <c r="AI58" s="96">
        <f>Calcs!AN261</f>
        <v>0</v>
      </c>
      <c r="AJ58" s="96">
        <f>Calcs!AO261</f>
        <v>0</v>
      </c>
      <c r="AK58" s="96">
        <f>Calcs!AP261</f>
        <v>0</v>
      </c>
      <c r="AL58" s="96">
        <f>Calcs!AQ261</f>
        <v>0</v>
      </c>
      <c r="AM58" s="96">
        <f>Calcs!AR261</f>
        <v>0</v>
      </c>
      <c r="AN58" s="96">
        <f>Calcs!AS261</f>
        <v>0</v>
      </c>
      <c r="AO58" s="96">
        <f>Calcs!AT261</f>
        <v>0</v>
      </c>
      <c r="AP58" s="96">
        <f>Calcs!AU261</f>
        <v>0</v>
      </c>
      <c r="AQ58" s="96">
        <f>SUM(AE58:AP58)</f>
        <v>0</v>
      </c>
      <c r="AR58" s="96">
        <f>Calcs!AV261</f>
        <v>0</v>
      </c>
      <c r="AS58" s="96">
        <f>Calcs!AW261</f>
        <v>0</v>
      </c>
      <c r="AT58" s="96">
        <f>Calcs!AX261</f>
        <v>0</v>
      </c>
      <c r="AU58" s="96">
        <f>Calcs!AY261</f>
        <v>0</v>
      </c>
      <c r="AV58" s="96">
        <f>Calcs!AZ261</f>
        <v>0</v>
      </c>
      <c r="AW58" s="96">
        <f>Calcs!BA261</f>
        <v>0</v>
      </c>
      <c r="AX58" s="96">
        <f>Calcs!BB261</f>
        <v>0</v>
      </c>
      <c r="AY58" s="96">
        <f>Calcs!BC261</f>
        <v>0</v>
      </c>
      <c r="AZ58" s="96">
        <f>Calcs!BD261</f>
        <v>0</v>
      </c>
      <c r="BA58" s="96">
        <f>Calcs!BE261</f>
        <v>0</v>
      </c>
      <c r="BB58" s="96">
        <f>Calcs!BF261</f>
        <v>0</v>
      </c>
      <c r="BC58" s="96">
        <f>Calcs!BG261</f>
        <v>0</v>
      </c>
      <c r="BD58" s="96">
        <f>SUM(AR58:BC58)</f>
        <v>0</v>
      </c>
      <c r="BE58" s="96">
        <f>Calcs!BH261</f>
        <v>0</v>
      </c>
      <c r="BF58" s="96">
        <f>Calcs!BI261</f>
        <v>0</v>
      </c>
      <c r="BG58" s="96">
        <f>Calcs!BJ261</f>
        <v>0</v>
      </c>
      <c r="BH58" s="96">
        <f>Calcs!BK261</f>
        <v>0</v>
      </c>
      <c r="BI58" s="96">
        <f>Calcs!BL261</f>
        <v>0</v>
      </c>
      <c r="BJ58" s="96">
        <f>Calcs!BM261</f>
        <v>0</v>
      </c>
      <c r="BK58" s="96">
        <f>Calcs!BN261</f>
        <v>0</v>
      </c>
      <c r="BL58" s="96">
        <f>Calcs!BO261</f>
        <v>0</v>
      </c>
      <c r="BM58" s="96">
        <f>Calcs!BP261</f>
        <v>0</v>
      </c>
      <c r="BN58" s="96">
        <f>Calcs!BQ261</f>
        <v>0</v>
      </c>
      <c r="BO58" s="96">
        <f>Calcs!BR261</f>
        <v>0</v>
      </c>
      <c r="BP58" s="96">
        <f>Calcs!BS261</f>
        <v>0</v>
      </c>
      <c r="BQ58" s="96">
        <f>SUM(BE58:BP58)</f>
        <v>0</v>
      </c>
      <c r="BR58" s="1802"/>
      <c r="BS58" s="153">
        <f>SUM(BQ58,BD58,AQ58,AD58,Q58)</f>
        <v>0</v>
      </c>
      <c r="BT58" s="1802"/>
      <c r="BU58" s="153">
        <f>SUM(BQ58,BD58,AQ58,AD58,Q58)</f>
      </c>
      <c r="BV58" s="152" t="str">
        <f>D58</f>
        <v>Item 23</v>
      </c>
      <c r="BW58" s="96">
        <f>SUM(Financials!E58:'Financials'!G58)</f>
        <v>0</v>
      </c>
      <c r="BX58" s="96">
        <f>SUM(Financials!H58:'Financials'!J58)</f>
        <v>0</v>
      </c>
      <c r="BY58" s="96">
        <f>SUM(Financials!K58:'Financials'!M58)</f>
        <v>0</v>
      </c>
      <c r="BZ58" s="96">
        <f>SUM(Financials!N58:'Financials'!P58)</f>
        <v>0</v>
      </c>
      <c r="CA58" s="151">
        <f>SUM(Financials!R58:'Financials'!T58)</f>
        <v>0</v>
      </c>
      <c r="CB58" s="151">
        <f>SUM(Financials!U58:'Financials'!W58)</f>
        <v>0</v>
      </c>
      <c r="CC58" s="151">
        <f>SUM(Financials!X58:'Financials'!Z58)</f>
        <v>0</v>
      </c>
      <c r="CD58" s="151">
        <f>SUM(Financials!AA58:'Financials'!AC58)</f>
        <v>0</v>
      </c>
      <c r="CE58" s="151">
        <f>SUM(Financials!AE58:'Financials'!AG58)</f>
        <v>0</v>
      </c>
      <c r="CF58" s="151">
        <f>SUM(Financials!AH58:'Financials'!AJ58)</f>
        <v>0</v>
      </c>
      <c r="CG58" s="151">
        <f>SUM(Financials!AK58:'Financials'!AM58)</f>
        <v>0</v>
      </c>
      <c r="CH58" s="151">
        <f>SUM(Financials!AN58:'Financials'!AP58)</f>
        <v>0</v>
      </c>
      <c r="CI58" s="151">
        <f>SUM(Financials!AR58:'Financials'!AT58)</f>
        <v>0</v>
      </c>
      <c r="CJ58" s="151">
        <f>SUM(Financials!AU58:'Financials'!AW58)</f>
        <v>0</v>
      </c>
      <c r="CK58" s="151">
        <f>SUM(Financials!AX58:'Financials'!AZ58)</f>
        <v>0</v>
      </c>
      <c r="CL58" s="151">
        <f>SUM(Financials!BA58:'Financials'!BC58)</f>
        <v>0</v>
      </c>
      <c r="CM58" s="151">
        <f>SUM(Financials!BE58:'Financials'!BG58)</f>
        <v>0</v>
      </c>
      <c r="CN58" s="151">
        <f>SUM(Financials!BH58:'Financials'!BJ58)</f>
        <v>0</v>
      </c>
      <c r="CO58" s="151">
        <f>SUM(Financials!BK58:'Financials'!BM58)</f>
        <v>0</v>
      </c>
      <c r="CP58" s="151">
        <f>SUM(Financials!BN58:'Financials'!BP58)</f>
        <v>0</v>
      </c>
      <c r="CW58" s="186" t="str">
        <f>D58</f>
        <v>Item 23</v>
      </c>
      <c r="CX58" s="189">
        <f>E58</f>
        <v>0</v>
      </c>
      <c r="CY58" s="1046">
        <f>F58</f>
        <v>0</v>
      </c>
      <c r="CZ58" s="1046">
        <f>G58</f>
        <v>0</v>
      </c>
      <c r="DA58" s="1046">
        <f>H58</f>
        <v>0</v>
      </c>
      <c r="DB58" s="1046">
        <f>I58</f>
        <v>0</v>
      </c>
      <c r="DC58" s="1046">
        <f>J58</f>
        <v>0</v>
      </c>
      <c r="DD58" s="1046">
        <f>K58</f>
        <v>0</v>
      </c>
      <c r="DE58" s="1046">
        <f>L58</f>
        <v>0</v>
      </c>
      <c r="DF58" s="1046">
        <f>M58</f>
        <v>0</v>
      </c>
      <c r="DG58" s="1046">
        <f>N58</f>
        <v>0</v>
      </c>
      <c r="DH58" s="1046">
        <f>O58</f>
        <v>0</v>
      </c>
      <c r="DI58" s="1046">
        <f>P58</f>
        <v>0</v>
      </c>
      <c r="DJ58" s="1046">
        <f>R58</f>
        <v>0</v>
      </c>
      <c r="DK58" s="1046">
        <f>S58</f>
        <v>0</v>
      </c>
      <c r="DL58" s="1046">
        <f>T58</f>
        <v>0</v>
      </c>
      <c r="DM58" s="1046">
        <f>U58</f>
        <v>0</v>
      </c>
      <c r="DN58" s="1046">
        <f>V58</f>
        <v>0</v>
      </c>
      <c r="DO58" s="1046">
        <f>W58</f>
        <v>0</v>
      </c>
      <c r="DP58" s="1046">
        <f>X58</f>
        <v>0</v>
      </c>
      <c r="DQ58" s="1046">
        <f>Y58</f>
        <v>0</v>
      </c>
      <c r="DR58" s="1046">
        <f>Z58</f>
        <v>0</v>
      </c>
      <c r="DS58" s="1046">
        <f>AA58</f>
        <v>0</v>
      </c>
      <c r="DT58" s="1046">
        <f>AB58</f>
        <v>0</v>
      </c>
      <c r="DU58" s="1046">
        <f>AC58</f>
        <v>0</v>
      </c>
      <c r="DV58" s="1046">
        <f>AE58</f>
        <v>0</v>
      </c>
      <c r="DW58" s="1046">
        <f>AF58</f>
        <v>0</v>
      </c>
      <c r="DX58" s="1046">
        <f>AG58</f>
        <v>0</v>
      </c>
      <c r="DY58" s="1046">
        <f>AH58</f>
        <v>0</v>
      </c>
      <c r="DZ58" s="1046">
        <f>AI58</f>
        <v>0</v>
      </c>
      <c r="EA58" s="1046">
        <f>AJ58</f>
        <v>0</v>
      </c>
      <c r="EB58" s="1046">
        <f>AK58</f>
        <v>0</v>
      </c>
      <c r="EC58" s="1046">
        <f>AL58</f>
        <v>0</v>
      </c>
      <c r="ED58" s="1046">
        <f>AM58</f>
        <v>0</v>
      </c>
      <c r="EE58" s="1046">
        <f>AN58</f>
        <v>0</v>
      </c>
      <c r="EF58" s="1046">
        <f>AO58</f>
        <v>0</v>
      </c>
      <c r="EG58" s="1046">
        <f>AP58</f>
        <v>0</v>
      </c>
      <c r="EH58" s="1046">
        <f>AR58</f>
        <v>0</v>
      </c>
      <c r="EI58" s="1046">
        <f>AS58</f>
        <v>0</v>
      </c>
      <c r="EJ58" s="1046">
        <f>AT58</f>
        <v>0</v>
      </c>
      <c r="EK58" s="1046">
        <f>AU58</f>
        <v>0</v>
      </c>
      <c r="EL58" s="1046">
        <f>AV58</f>
        <v>0</v>
      </c>
      <c r="EM58" s="1046">
        <f>AW58</f>
        <v>0</v>
      </c>
      <c r="EN58" s="1046">
        <f>AX58</f>
        <v>0</v>
      </c>
      <c r="EO58" s="1046">
        <f>AY58</f>
        <v>0</v>
      </c>
      <c r="EP58" s="1046">
        <f>AZ58</f>
        <v>0</v>
      </c>
      <c r="EQ58" s="1046">
        <f>BA58</f>
        <v>0</v>
      </c>
      <c r="ER58" s="1046">
        <f>BB58</f>
        <v>0</v>
      </c>
      <c r="ES58" s="1046">
        <f>BC58</f>
        <v>0</v>
      </c>
      <c r="ET58" s="1046">
        <f>BE58</f>
        <v>0</v>
      </c>
      <c r="EU58" s="1046">
        <f>BF58</f>
        <v>0</v>
      </c>
      <c r="EV58" s="1046">
        <f>BG58</f>
        <v>0</v>
      </c>
      <c r="EW58" s="1046">
        <f>BH58</f>
        <v>0</v>
      </c>
      <c r="EX58" s="1046">
        <f>BI58</f>
        <v>0</v>
      </c>
      <c r="EY58" s="1046">
        <f>BJ58</f>
        <v>0</v>
      </c>
      <c r="EZ58" s="1046">
        <f>BK58</f>
        <v>0</v>
      </c>
      <c r="FA58" s="1046">
        <f>BL58</f>
        <v>0</v>
      </c>
      <c r="FB58" s="1046">
        <f>BM58</f>
        <v>0</v>
      </c>
      <c r="FC58" s="1046">
        <f>BN58</f>
        <v>0</v>
      </c>
      <c r="FD58" s="1046">
        <f>BO58</f>
        <v>0</v>
      </c>
      <c r="FE58" s="1046">
        <f>BP58</f>
        <v>0</v>
      </c>
      <c r="FF58" s="305"/>
      <c r="FG58" s="305"/>
      <c r="FH58" s="305"/>
      <c r="FI58" s="305"/>
      <c r="FJ58" s="305"/>
    </row>
    <row r="59" spans="1:166" ht="12.75" hidden="1" customHeight="1" x14ac:dyDescent="0.35">
      <c r="A59" s="136"/>
      <c r="B59" s="136"/>
      <c r="C59" s="136"/>
      <c r="D59" s="152" t="str">
        <f>D30</f>
        <v>Item 24</v>
      </c>
      <c r="E59" s="96">
        <f>Calcs!L262</f>
        <v>0</v>
      </c>
      <c r="F59" s="96">
        <f>Calcs!M262</f>
        <v>0</v>
      </c>
      <c r="G59" s="96">
        <f>Calcs!N262</f>
        <v>0</v>
      </c>
      <c r="H59" s="96">
        <f>Calcs!O262</f>
        <v>0</v>
      </c>
      <c r="I59" s="96">
        <f>Calcs!P262</f>
        <v>0</v>
      </c>
      <c r="J59" s="96">
        <f>Calcs!Q262</f>
        <v>0</v>
      </c>
      <c r="K59" s="96">
        <f>Calcs!R262</f>
        <v>0</v>
      </c>
      <c r="L59" s="96">
        <f>Calcs!S262</f>
        <v>0</v>
      </c>
      <c r="M59" s="96">
        <f>Calcs!T262</f>
        <v>0</v>
      </c>
      <c r="N59" s="96">
        <f>Calcs!U262</f>
        <v>0</v>
      </c>
      <c r="O59" s="96">
        <f>Calcs!V262</f>
        <v>0</v>
      </c>
      <c r="P59" s="96">
        <f>Calcs!W262</f>
        <v>0</v>
      </c>
      <c r="Q59" s="96">
        <f>SUM(E59:P59)</f>
        <v>0</v>
      </c>
      <c r="R59" s="96">
        <f>Calcs!X262</f>
        <v>0</v>
      </c>
      <c r="S59" s="96">
        <f>Calcs!Y262</f>
        <v>0</v>
      </c>
      <c r="T59" s="96">
        <f>Calcs!Z262</f>
        <v>0</v>
      </c>
      <c r="U59" s="96">
        <f>Calcs!AA262</f>
        <v>0</v>
      </c>
      <c r="V59" s="96">
        <f>Calcs!AB262</f>
        <v>0</v>
      </c>
      <c r="W59" s="96">
        <f>Calcs!AC262</f>
        <v>0</v>
      </c>
      <c r="X59" s="96">
        <f>Calcs!AD262</f>
        <v>0</v>
      </c>
      <c r="Y59" s="96">
        <f>Calcs!AE262</f>
        <v>0</v>
      </c>
      <c r="Z59" s="96">
        <f>Calcs!AF262</f>
        <v>0</v>
      </c>
      <c r="AA59" s="96">
        <f>Calcs!AG262</f>
        <v>0</v>
      </c>
      <c r="AB59" s="96">
        <f>Calcs!AH262</f>
        <v>0</v>
      </c>
      <c r="AC59" s="96">
        <f>Calcs!AI262</f>
        <v>0</v>
      </c>
      <c r="AD59" s="96">
        <f>SUM(R59:AC59)</f>
        <v>0</v>
      </c>
      <c r="AE59" s="96">
        <f>Calcs!AJ262</f>
        <v>0</v>
      </c>
      <c r="AF59" s="96">
        <f>Calcs!AK262</f>
        <v>0</v>
      </c>
      <c r="AG59" s="96">
        <f>Calcs!AL262</f>
        <v>0</v>
      </c>
      <c r="AH59" s="96">
        <f>Calcs!AM262</f>
        <v>0</v>
      </c>
      <c r="AI59" s="96">
        <f>Calcs!AN262</f>
        <v>0</v>
      </c>
      <c r="AJ59" s="96">
        <f>Calcs!AO262</f>
        <v>0</v>
      </c>
      <c r="AK59" s="96">
        <f>Calcs!AP262</f>
        <v>0</v>
      </c>
      <c r="AL59" s="96">
        <f>Calcs!AQ262</f>
        <v>0</v>
      </c>
      <c r="AM59" s="96">
        <f>Calcs!AR262</f>
        <v>0</v>
      </c>
      <c r="AN59" s="96">
        <f>Calcs!AS262</f>
        <v>0</v>
      </c>
      <c r="AO59" s="96">
        <f>Calcs!AT262</f>
        <v>0</v>
      </c>
      <c r="AP59" s="96">
        <f>Calcs!AU262</f>
        <v>0</v>
      </c>
      <c r="AQ59" s="96">
        <f>SUM(AE59:AP59)</f>
        <v>0</v>
      </c>
      <c r="AR59" s="96">
        <f>Calcs!AV262</f>
        <v>0</v>
      </c>
      <c r="AS59" s="96">
        <f>Calcs!AW262</f>
        <v>0</v>
      </c>
      <c r="AT59" s="96">
        <f>Calcs!AX262</f>
        <v>0</v>
      </c>
      <c r="AU59" s="96">
        <f>Calcs!AY262</f>
        <v>0</v>
      </c>
      <c r="AV59" s="96">
        <f>Calcs!AZ262</f>
        <v>0</v>
      </c>
      <c r="AW59" s="96">
        <f>Calcs!BA262</f>
        <v>0</v>
      </c>
      <c r="AX59" s="96">
        <f>Calcs!BB262</f>
        <v>0</v>
      </c>
      <c r="AY59" s="96">
        <f>Calcs!BC262</f>
        <v>0</v>
      </c>
      <c r="AZ59" s="96">
        <f>Calcs!BD262</f>
        <v>0</v>
      </c>
      <c r="BA59" s="96">
        <f>Calcs!BE262</f>
        <v>0</v>
      </c>
      <c r="BB59" s="96">
        <f>Calcs!BF262</f>
        <v>0</v>
      </c>
      <c r="BC59" s="96">
        <f>Calcs!BG262</f>
        <v>0</v>
      </c>
      <c r="BD59" s="96">
        <f>SUM(AR59:BC59)</f>
        <v>0</v>
      </c>
      <c r="BE59" s="96">
        <f>Calcs!BH262</f>
        <v>0</v>
      </c>
      <c r="BF59" s="96">
        <f>Calcs!BI262</f>
        <v>0</v>
      </c>
      <c r="BG59" s="96">
        <f>Calcs!BJ262</f>
        <v>0</v>
      </c>
      <c r="BH59" s="96">
        <f>Calcs!BK262</f>
        <v>0</v>
      </c>
      <c r="BI59" s="96">
        <f>Calcs!BL262</f>
        <v>0</v>
      </c>
      <c r="BJ59" s="96">
        <f>Calcs!BM262</f>
        <v>0</v>
      </c>
      <c r="BK59" s="96">
        <f>Calcs!BN262</f>
        <v>0</v>
      </c>
      <c r="BL59" s="96">
        <f>Calcs!BO262</f>
        <v>0</v>
      </c>
      <c r="BM59" s="96">
        <f>Calcs!BP262</f>
        <v>0</v>
      </c>
      <c r="BN59" s="96">
        <f>Calcs!BQ262</f>
        <v>0</v>
      </c>
      <c r="BO59" s="96">
        <f>Calcs!BR262</f>
        <v>0</v>
      </c>
      <c r="BP59" s="96">
        <f>Calcs!BS262</f>
        <v>0</v>
      </c>
      <c r="BQ59" s="96">
        <f>SUM(BE59:BP59)</f>
        <v>0</v>
      </c>
      <c r="BR59" s="1802"/>
      <c r="BS59" s="153">
        <f>SUM(BQ59,BD59,AQ59,AD59,Q59)</f>
        <v>0</v>
      </c>
      <c r="BT59" s="1802"/>
      <c r="BU59" s="153">
        <f>SUM(BQ59,BD59,AQ59,AD59,Q59)</f>
        <v>0</v>
      </c>
      <c r="BV59" s="152" t="str">
        <f>D59</f>
        <v>Item 24</v>
      </c>
      <c r="BW59" s="96">
        <f>SUM(Financials!E59:'Financials'!G59)</f>
        <v>0</v>
      </c>
      <c r="BX59" s="96">
        <f>SUM(Financials!H59:'Financials'!J59)</f>
        <v>0</v>
      </c>
      <c r="BY59" s="96">
        <f>SUM(Financials!K59:'Financials'!M59)</f>
        <v>0</v>
      </c>
      <c r="BZ59" s="96">
        <f>SUM(Financials!N59:'Financials'!P59)</f>
        <v>0</v>
      </c>
      <c r="CA59" s="151">
        <f>SUM(Financials!R59:'Financials'!T59)</f>
        <v>0</v>
      </c>
      <c r="CB59" s="151">
        <f>SUM(Financials!U59:'Financials'!W59)</f>
        <v>0</v>
      </c>
      <c r="CC59" s="151">
        <f>SUM(Financials!X59:'Financials'!Z59)</f>
        <v>0</v>
      </c>
      <c r="CD59" s="151">
        <f>SUM(Financials!AA59:'Financials'!AC59)</f>
        <v>0</v>
      </c>
      <c r="CE59" s="151">
        <f>SUM(Financials!AE59:'Financials'!AG59)</f>
        <v>0</v>
      </c>
      <c r="CF59" s="151">
        <f>SUM(Financials!AH59:'Financials'!AJ59)</f>
        <v>0</v>
      </c>
      <c r="CG59" s="151">
        <f>SUM(Financials!AK59:'Financials'!AM59)</f>
        <v>0</v>
      </c>
      <c r="CH59" s="151">
        <f>SUM(Financials!AN59:'Financials'!AP59)</f>
        <v>0</v>
      </c>
      <c r="CI59" s="151">
        <f>SUM(Financials!AR59:'Financials'!AT59)</f>
        <v>0</v>
      </c>
      <c r="CJ59" s="151">
        <f>SUM(Financials!AU59:'Financials'!AW59)</f>
        <v>0</v>
      </c>
      <c r="CK59" s="151">
        <f>SUM(Financials!AX59:'Financials'!AZ59)</f>
        <v>0</v>
      </c>
      <c r="CL59" s="151">
        <f>SUM(Financials!BA59:'Financials'!BC59)</f>
        <v>0</v>
      </c>
      <c r="CM59" s="151">
        <f>SUM(Financials!BE59:'Financials'!BG59)</f>
        <v>0</v>
      </c>
      <c r="CN59" s="151">
        <f>SUM(Financials!BH59:'Financials'!BJ59)</f>
        <v>0</v>
      </c>
      <c r="CO59" s="151">
        <f>SUM(Financials!BK59:'Financials'!BM59)</f>
        <v>0</v>
      </c>
      <c r="CP59" s="151">
        <f>SUM(Financials!BN59:'Financials'!BP59)</f>
        <v>0</v>
      </c>
      <c r="CW59" s="186" t="str">
        <f>D59</f>
        <v>Item 24</v>
      </c>
      <c r="CX59" s="179">
        <f>E59</f>
        <v>0</v>
      </c>
      <c r="CY59" s="305">
        <f>F59</f>
        <v>0</v>
      </c>
      <c r="CZ59" s="305">
        <f>G59</f>
        <v>0</v>
      </c>
      <c r="DA59" s="305">
        <f>H59</f>
        <v>0</v>
      </c>
      <c r="DB59" s="305">
        <f>I59</f>
        <v>0</v>
      </c>
      <c r="DC59" s="305">
        <f>J59</f>
        <v>0</v>
      </c>
      <c r="DD59" s="305">
        <f>K59</f>
        <v>0</v>
      </c>
      <c r="DE59" s="305">
        <f>L59</f>
        <v>0</v>
      </c>
      <c r="DF59" s="305">
        <f>M59</f>
        <v>0</v>
      </c>
      <c r="DG59" s="305">
        <f>N59</f>
        <v>0</v>
      </c>
      <c r="DH59" s="305">
        <f>O59</f>
        <v>0</v>
      </c>
      <c r="DI59" s="305">
        <f>P59</f>
        <v>0</v>
      </c>
      <c r="DJ59" s="305">
        <f>R59</f>
        <v>0</v>
      </c>
      <c r="DK59" s="305">
        <f>S59</f>
        <v>0</v>
      </c>
      <c r="DL59" s="305">
        <f>T59</f>
        <v>0</v>
      </c>
      <c r="DM59" s="305">
        <f>U59</f>
        <v>0</v>
      </c>
      <c r="DN59" s="305">
        <f>V59</f>
        <v>0</v>
      </c>
      <c r="DO59" s="305">
        <f>W59</f>
        <v>0</v>
      </c>
      <c r="DP59" s="305">
        <f>X59</f>
        <v>0</v>
      </c>
      <c r="DQ59" s="305">
        <f>Y59</f>
        <v>0</v>
      </c>
      <c r="DR59" s="305">
        <f>Z59</f>
        <v>0</v>
      </c>
      <c r="DS59" s="305">
        <f>AA59</f>
        <v>0</v>
      </c>
      <c r="DT59" s="305">
        <f>AB59</f>
        <v>0</v>
      </c>
      <c r="DU59" s="305">
        <f>AC59</f>
        <v>0</v>
      </c>
      <c r="DV59" s="305">
        <f>AE59</f>
        <v>0</v>
      </c>
      <c r="DW59" s="305">
        <f>AF59</f>
        <v>0</v>
      </c>
      <c r="DX59" s="305">
        <f>AG59</f>
        <v>0</v>
      </c>
      <c r="DY59" s="305">
        <f>AH59</f>
        <v>0</v>
      </c>
      <c r="DZ59" s="305">
        <f>AI59</f>
        <v>0</v>
      </c>
      <c r="EA59" s="305">
        <f>AJ59</f>
        <v>0</v>
      </c>
      <c r="EB59" s="305">
        <f>AK59</f>
        <v>0</v>
      </c>
      <c r="EC59" s="305">
        <f>AL59</f>
        <v>0</v>
      </c>
      <c r="ED59" s="305">
        <f>AM59</f>
        <v>0</v>
      </c>
      <c r="EE59" s="305">
        <f>AN59</f>
        <v>0</v>
      </c>
      <c r="EF59" s="305">
        <f>AO59</f>
        <v>0</v>
      </c>
      <c r="EG59" s="305">
        <f>AP59</f>
        <v>0</v>
      </c>
      <c r="EH59" s="305">
        <f>AR59</f>
        <v>0</v>
      </c>
      <c r="EI59" s="305">
        <f>AS59</f>
        <v>0</v>
      </c>
      <c r="EJ59" s="305">
        <f>AT59</f>
        <v>0</v>
      </c>
      <c r="EK59" s="305">
        <f>AU59</f>
        <v>0</v>
      </c>
      <c r="EL59" s="305">
        <f>AV59</f>
        <v>0</v>
      </c>
      <c r="EM59" s="305">
        <f>AW59</f>
        <v>0</v>
      </c>
      <c r="EN59" s="305">
        <f>AX59</f>
        <v>0</v>
      </c>
      <c r="EO59" s="305">
        <f>AY59</f>
        <v>0</v>
      </c>
      <c r="EP59" s="305">
        <f>AZ59</f>
        <v>0</v>
      </c>
      <c r="EQ59" s="305">
        <f>BA59</f>
        <v>0</v>
      </c>
      <c r="ER59" s="305">
        <f>BB59</f>
        <v>0</v>
      </c>
      <c r="ES59" s="305">
        <f>BC59</f>
        <v>0</v>
      </c>
      <c r="ET59" s="305">
        <f>BE59</f>
        <v>0</v>
      </c>
      <c r="EU59" s="305">
        <f>BF59</f>
        <v>0</v>
      </c>
      <c r="EV59" s="305">
        <f>BG59</f>
        <v>0</v>
      </c>
      <c r="EW59" s="305">
        <f>BH59</f>
        <v>0</v>
      </c>
      <c r="EX59" s="305">
        <f>BI59</f>
        <v>0</v>
      </c>
      <c r="EY59" s="305">
        <f>BJ59</f>
        <v>0</v>
      </c>
      <c r="EZ59" s="305">
        <f>BK59</f>
        <v>0</v>
      </c>
      <c r="FA59" s="305">
        <f>BL59</f>
        <v>0</v>
      </c>
      <c r="FB59" s="305">
        <f>BM59</f>
        <v>0</v>
      </c>
      <c r="FC59" s="305">
        <f>BN59</f>
        <v>0</v>
      </c>
      <c r="FD59" s="305">
        <f>BO59</f>
        <v>0</v>
      </c>
      <c r="FE59" s="305">
        <f>BP59</f>
        <v>0</v>
      </c>
      <c r="FF59" s="305"/>
      <c r="FG59" s="305"/>
      <c r="FH59" s="305"/>
      <c r="FI59" s="305"/>
      <c r="FJ59" s="305"/>
    </row>
    <row r="60" spans="1:166" ht="12.75" hidden="1" customHeight="1" x14ac:dyDescent="0.35">
      <c r="A60" s="136"/>
      <c r="B60" s="136"/>
      <c r="C60" s="136"/>
      <c r="D60" s="152" t="str">
        <f>D31</f>
        <v>Item 25</v>
      </c>
      <c r="E60" s="96">
        <f>Calcs!L263</f>
        <v>0</v>
      </c>
      <c r="F60" s="96">
        <f>Calcs!M263</f>
        <v>0</v>
      </c>
      <c r="G60" s="96">
        <f>Calcs!N263</f>
        <v>0</v>
      </c>
      <c r="H60" s="96">
        <f>Calcs!O263</f>
        <v>0</v>
      </c>
      <c r="I60" s="96">
        <f>Calcs!P263</f>
        <v>0</v>
      </c>
      <c r="J60" s="96">
        <f>Calcs!Q263</f>
        <v>0</v>
      </c>
      <c r="K60" s="96">
        <f>Calcs!R263</f>
        <v>0</v>
      </c>
      <c r="L60" s="96">
        <f>Calcs!S263</f>
        <v>0</v>
      </c>
      <c r="M60" s="96">
        <f>Calcs!T263</f>
        <v>0</v>
      </c>
      <c r="N60" s="96">
        <f>Calcs!U263</f>
        <v>0</v>
      </c>
      <c r="O60" s="96">
        <f>Calcs!V263</f>
        <v>0</v>
      </c>
      <c r="P60" s="96">
        <f>Calcs!W263</f>
        <v>0</v>
      </c>
      <c r="Q60" s="96">
        <f>SUM(E60:P60)</f>
        <v>0</v>
      </c>
      <c r="R60" s="96">
        <f>Calcs!X263</f>
        <v>0</v>
      </c>
      <c r="S60" s="96">
        <f>Calcs!Y263</f>
        <v>0</v>
      </c>
      <c r="T60" s="96">
        <f>Calcs!Z263</f>
        <v>0</v>
      </c>
      <c r="U60" s="96">
        <f>Calcs!AA263</f>
        <v>0</v>
      </c>
      <c r="V60" s="96">
        <f>Calcs!AB263</f>
        <v>0</v>
      </c>
      <c r="W60" s="96">
        <f>Calcs!AC263</f>
        <v>0</v>
      </c>
      <c r="X60" s="96">
        <f>Calcs!AD263</f>
        <v>0</v>
      </c>
      <c r="Y60" s="96">
        <f>Calcs!AE263</f>
        <v>0</v>
      </c>
      <c r="Z60" s="96">
        <f>Calcs!AF263</f>
        <v>0</v>
      </c>
      <c r="AA60" s="96">
        <f>Calcs!AG263</f>
        <v>0</v>
      </c>
      <c r="AB60" s="96">
        <f>Calcs!AH263</f>
        <v>0</v>
      </c>
      <c r="AC60" s="96">
        <f>Calcs!AI263</f>
        <v>0</v>
      </c>
      <c r="AD60" s="96">
        <f>SUM(R60:AC60)</f>
        <v>0</v>
      </c>
      <c r="AE60" s="96">
        <f>Calcs!AJ263</f>
        <v>0</v>
      </c>
      <c r="AF60" s="96">
        <f>Calcs!AK263</f>
        <v>0</v>
      </c>
      <c r="AG60" s="96">
        <f>Calcs!AL263</f>
        <v>0</v>
      </c>
      <c r="AH60" s="96">
        <f>Calcs!AM263</f>
        <v>0</v>
      </c>
      <c r="AI60" s="96">
        <f>Calcs!AN263</f>
        <v>0</v>
      </c>
      <c r="AJ60" s="96">
        <f>Calcs!AO263</f>
        <v>0</v>
      </c>
      <c r="AK60" s="96">
        <f>Calcs!AP263</f>
        <v>0</v>
      </c>
      <c r="AL60" s="96">
        <f>Calcs!AQ263</f>
        <v>0</v>
      </c>
      <c r="AM60" s="96">
        <f>Calcs!AR263</f>
        <v>0</v>
      </c>
      <c r="AN60" s="96">
        <f>Calcs!AS263</f>
        <v>0</v>
      </c>
      <c r="AO60" s="96">
        <f>Calcs!AT263</f>
        <v>0</v>
      </c>
      <c r="AP60" s="96">
        <f>Calcs!AU263</f>
        <v>0</v>
      </c>
      <c r="AQ60" s="96">
        <f>SUM(AE60:AP60)</f>
        <v>0</v>
      </c>
      <c r="AR60" s="96">
        <f>Calcs!AV263</f>
        <v>0</v>
      </c>
      <c r="AS60" s="96">
        <f>Calcs!AW263</f>
        <v>0</v>
      </c>
      <c r="AT60" s="96">
        <f>Calcs!AX263</f>
        <v>0</v>
      </c>
      <c r="AU60" s="96">
        <f>Calcs!AY263</f>
        <v>0</v>
      </c>
      <c r="AV60" s="96">
        <f>Calcs!AZ263</f>
        <v>0</v>
      </c>
      <c r="AW60" s="96">
        <f>Calcs!BA263</f>
        <v>0</v>
      </c>
      <c r="AX60" s="96">
        <f>Calcs!BB263</f>
        <v>0</v>
      </c>
      <c r="AY60" s="96">
        <f>Calcs!BC263</f>
        <v>0</v>
      </c>
      <c r="AZ60" s="96">
        <f>Calcs!BD263</f>
        <v>0</v>
      </c>
      <c r="BA60" s="96">
        <f>Calcs!BE263</f>
        <v>0</v>
      </c>
      <c r="BB60" s="96">
        <f>Calcs!BF263</f>
        <v>0</v>
      </c>
      <c r="BC60" s="96">
        <f>Calcs!BG263</f>
        <v>0</v>
      </c>
      <c r="BD60" s="96">
        <f>SUM(AR60:BC60)</f>
        <v>0</v>
      </c>
      <c r="BE60" s="96">
        <f>Calcs!BH263</f>
        <v>0</v>
      </c>
      <c r="BF60" s="96">
        <f>Calcs!BI263</f>
        <v>0</v>
      </c>
      <c r="BG60" s="96">
        <f>Calcs!BJ263</f>
        <v>0</v>
      </c>
      <c r="BH60" s="96">
        <f>Calcs!BK263</f>
        <v>0</v>
      </c>
      <c r="BI60" s="96">
        <f>Calcs!BL263</f>
        <v>0</v>
      </c>
      <c r="BJ60" s="96">
        <f>Calcs!BM263</f>
        <v>0</v>
      </c>
      <c r="BK60" s="96">
        <f>Calcs!BN263</f>
        <v>0</v>
      </c>
      <c r="BL60" s="96">
        <f>Calcs!BO263</f>
        <v>0</v>
      </c>
      <c r="BM60" s="96">
        <f>Calcs!BP263</f>
        <v>0</v>
      </c>
      <c r="BN60" s="96">
        <f>Calcs!BQ263</f>
        <v>0</v>
      </c>
      <c r="BO60" s="96">
        <f>Calcs!BR263</f>
        <v>0</v>
      </c>
      <c r="BP60" s="96">
        <f>Calcs!BS263</f>
        <v>0</v>
      </c>
      <c r="BQ60" s="96">
        <f>SUM(BE60:BP60)</f>
        <v>0</v>
      </c>
      <c r="BR60" s="1802"/>
      <c r="BS60" s="153">
        <f>SUM(BQ60,BD60,AQ60,AD60,Q60)</f>
        <v>0</v>
      </c>
      <c r="BT60" s="1802"/>
      <c r="BU60" s="153">
        <f>SUM(BQ60,BD60,AQ60,AD60,Q60)</f>
      </c>
      <c r="BV60" s="152"/>
      <c r="BW60" s="96"/>
      <c r="BX60" s="96"/>
      <c r="BY60" s="96"/>
      <c r="BZ60" s="96"/>
      <c r="CA60" s="151"/>
      <c r="CB60" s="151"/>
      <c r="CC60" s="151"/>
      <c r="CD60" s="151"/>
      <c r="CE60" s="151"/>
      <c r="CF60" s="151"/>
      <c r="CG60" s="151"/>
      <c r="CH60" s="151"/>
      <c r="CI60" s="151"/>
      <c r="CJ60" s="151"/>
      <c r="CK60" s="151"/>
      <c r="CL60" s="151"/>
      <c r="CM60" s="151"/>
      <c r="CN60" s="151"/>
      <c r="CO60" s="151"/>
      <c r="CP60" s="151"/>
      <c r="CW60" s="186"/>
      <c r="CX60" s="179"/>
      <c r="CY60" s="305"/>
      <c r="CZ60" s="305"/>
      <c r="DA60" s="305"/>
      <c r="DB60" s="305"/>
      <c r="DC60" s="305"/>
      <c r="DD60" s="305"/>
      <c r="DE60" s="305"/>
      <c r="DF60" s="305"/>
      <c r="DG60" s="305"/>
      <c r="DH60" s="305"/>
      <c r="DI60" s="305"/>
      <c r="DJ60" s="305"/>
      <c r="DK60" s="305"/>
      <c r="DL60" s="305"/>
      <c r="DM60" s="305"/>
      <c r="DN60" s="305"/>
      <c r="DO60" s="305"/>
      <c r="DP60" s="305"/>
      <c r="DQ60" s="305"/>
      <c r="DR60" s="305"/>
      <c r="DS60" s="305"/>
      <c r="DT60" s="305"/>
      <c r="DU60" s="305"/>
      <c r="DV60" s="305"/>
      <c r="DW60" s="305"/>
      <c r="DX60" s="305"/>
      <c r="DY60" s="305"/>
      <c r="DZ60" s="305"/>
      <c r="EA60" s="305"/>
      <c r="EB60" s="305"/>
      <c r="EC60" s="305"/>
      <c r="ED60" s="305"/>
      <c r="EE60" s="305"/>
      <c r="EF60" s="305"/>
      <c r="EG60" s="305"/>
      <c r="EH60" s="305"/>
      <c r="EI60" s="305"/>
      <c r="EJ60" s="305"/>
      <c r="EK60" s="305"/>
      <c r="EL60" s="305"/>
      <c r="EM60" s="305"/>
      <c r="EN60" s="305"/>
      <c r="EO60" s="305"/>
      <c r="EP60" s="305"/>
      <c r="EQ60" s="305"/>
      <c r="ER60" s="305"/>
      <c r="ES60" s="305"/>
      <c r="ET60" s="305"/>
      <c r="EU60" s="305"/>
      <c r="EV60" s="305"/>
      <c r="EW60" s="305"/>
      <c r="EX60" s="305"/>
      <c r="EY60" s="305"/>
      <c r="EZ60" s="305"/>
      <c r="FA60" s="305"/>
      <c r="FB60" s="305"/>
      <c r="FC60" s="305"/>
      <c r="FD60" s="305"/>
      <c r="FE60" s="305"/>
      <c r="FF60" s="305"/>
      <c r="FG60" s="305"/>
      <c r="FH60" s="305"/>
      <c r="FI60" s="305"/>
      <c r="FJ60" s="305"/>
    </row>
    <row r="61" spans="1:166" ht="12.75" customHeight="1" x14ac:dyDescent="0.35">
      <c r="A61" s="136"/>
      <c r="B61" s="136"/>
      <c r="C61" s="136"/>
      <c r="D61" s="142" t="str">
        <f>IF(Input!O21="Services","Total Cost of Sales","Total Cost of Goods Sold")</f>
        <v>Total Cost of Goods Sold</v>
      </c>
      <c r="E61" s="155">
        <f>SUM(E36:E60)</f>
        <v>0</v>
      </c>
      <c r="F61" s="155">
        <f>SUM(F36:F60)</f>
        <v>0</v>
      </c>
      <c r="G61" s="155">
        <f>SUM(G36:G60)</f>
        <v>0</v>
      </c>
      <c r="H61" s="155">
        <f>SUM(H36:H60)</f>
        <v>0</v>
      </c>
      <c r="I61" s="155">
        <f>SUM(I36:I60)</f>
        <v>0</v>
      </c>
      <c r="J61" s="155">
        <f>SUM(J36:J60)</f>
        <v>0</v>
      </c>
      <c r="K61" s="155">
        <f>SUM(K36:K60)</f>
        <v>0</v>
      </c>
      <c r="L61" s="155">
        <f>SUM(L36:L60)</f>
        <v>0</v>
      </c>
      <c r="M61" s="155">
        <f>SUM(M36:M60)</f>
        <v>0</v>
      </c>
      <c r="N61" s="155">
        <f>SUM(N36:N60)</f>
        <v>0</v>
      </c>
      <c r="O61" s="155">
        <f>SUM(O36:O60)</f>
        <v>0</v>
      </c>
      <c r="P61" s="155">
        <f>SUM(P36:P60)</f>
        <v>0</v>
      </c>
      <c r="Q61" s="155">
        <f>SUM(Q36:Q60)</f>
        <v>0</v>
      </c>
      <c r="R61" s="155">
        <f>SUM(R36:R60)</f>
        <v>0</v>
      </c>
      <c r="S61" s="155">
        <f>SUM(S36:S60)</f>
        <v>0</v>
      </c>
      <c r="T61" s="155">
        <f>SUM(T36:T60)</f>
        <v>0</v>
      </c>
      <c r="U61" s="155">
        <f>SUM(U36:U60)</f>
        <v>0</v>
      </c>
      <c r="V61" s="155">
        <f>SUM(V36:V60)</f>
        <v>0</v>
      </c>
      <c r="W61" s="155">
        <f>SUM(W36:W60)</f>
        <v>0</v>
      </c>
      <c r="X61" s="155">
        <f>SUM(X36:X60)</f>
        <v>0</v>
      </c>
      <c r="Y61" s="155">
        <f>SUM(Y36:Y60)</f>
        <v>0</v>
      </c>
      <c r="Z61" s="155">
        <f>SUM(Z36:Z60)</f>
        <v>0</v>
      </c>
      <c r="AA61" s="155">
        <f>SUM(AA36:AA60)</f>
        <v>0</v>
      </c>
      <c r="AB61" s="155">
        <f>SUM(AB36:AB60)</f>
        <v>0</v>
      </c>
      <c r="AC61" s="155">
        <f>SUM(AC36:AC60)</f>
        <v>0</v>
      </c>
      <c r="AD61" s="155">
        <f>SUM(AD36:AD60)</f>
        <v>0</v>
      </c>
      <c r="AE61" s="155">
        <f>SUM(AE36:AE60)</f>
        <v>0</v>
      </c>
      <c r="AF61" s="155">
        <f>SUM(AF36:AF60)</f>
        <v>0</v>
      </c>
      <c r="AG61" s="155">
        <f>SUM(AG36:AG60)</f>
        <v>0</v>
      </c>
      <c r="AH61" s="155">
        <f>SUM(AH36:AH60)</f>
        <v>0</v>
      </c>
      <c r="AI61" s="155">
        <f>SUM(AI36:AI60)</f>
        <v>0</v>
      </c>
      <c r="AJ61" s="155">
        <f>SUM(AJ36:AJ60)</f>
        <v>0</v>
      </c>
      <c r="AK61" s="155">
        <f>SUM(AK36:AK60)</f>
        <v>0</v>
      </c>
      <c r="AL61" s="155">
        <f>SUM(AL36:AL60)</f>
        <v>0</v>
      </c>
      <c r="AM61" s="155">
        <f>SUM(AM36:AM60)</f>
        <v>0</v>
      </c>
      <c r="AN61" s="155">
        <f>SUM(AN36:AN60)</f>
        <v>0</v>
      </c>
      <c r="AO61" s="155">
        <f>SUM(AO36:AO60)</f>
        <v>0</v>
      </c>
      <c r="AP61" s="155">
        <f>SUM(AP36:AP60)</f>
        <v>0</v>
      </c>
      <c r="AQ61" s="155">
        <f>SUM(AQ36:AQ60)</f>
        <v>0</v>
      </c>
      <c r="AR61" s="155">
        <f>SUM(AR36:AR60)</f>
        <v>0</v>
      </c>
      <c r="AS61" s="155">
        <f>SUM(AS36:AS60)</f>
        <v>0</v>
      </c>
      <c r="AT61" s="155">
        <f>SUM(AT36:AT60)</f>
        <v>0</v>
      </c>
      <c r="AU61" s="155">
        <f>SUM(AU36:AU60)</f>
        <v>0</v>
      </c>
      <c r="AV61" s="155">
        <f>SUM(AV36:AV60)</f>
        <v>0</v>
      </c>
      <c r="AW61" s="155">
        <f>SUM(AW36:AW60)</f>
        <v>0</v>
      </c>
      <c r="AX61" s="155">
        <f>SUM(AX36:AX60)</f>
        <v>0</v>
      </c>
      <c r="AY61" s="155">
        <f>SUM(AY36:AY60)</f>
        <v>0</v>
      </c>
      <c r="AZ61" s="155">
        <f>SUM(AZ36:AZ60)</f>
        <v>0</v>
      </c>
      <c r="BA61" s="155">
        <f>SUM(BA36:BA60)</f>
        <v>0</v>
      </c>
      <c r="BB61" s="155">
        <f>SUM(BB36:BB60)</f>
        <v>0</v>
      </c>
      <c r="BC61" s="155">
        <f>SUM(BC36:BC60)</f>
        <v>0</v>
      </c>
      <c r="BD61" s="155">
        <f>SUM(BD36:BD60)</f>
        <v>0</v>
      </c>
      <c r="BE61" s="155">
        <f>SUM(BE36:BE60)</f>
        <v>0</v>
      </c>
      <c r="BF61" s="155">
        <f>SUM(BF36:BF60)</f>
        <v>0</v>
      </c>
      <c r="BG61" s="155">
        <f>SUM(BG36:BG60)</f>
        <v>0</v>
      </c>
      <c r="BH61" s="155">
        <f>SUM(BH36:BH60)</f>
        <v>0</v>
      </c>
      <c r="BI61" s="155">
        <f>SUM(BI36:BI60)</f>
        <v>0</v>
      </c>
      <c r="BJ61" s="155">
        <f>SUM(BJ36:BJ60)</f>
        <v>0</v>
      </c>
      <c r="BK61" s="155">
        <f>SUM(BK36:BK60)</f>
        <v>0</v>
      </c>
      <c r="BL61" s="155">
        <f>SUM(BL36:BL60)</f>
        <v>0</v>
      </c>
      <c r="BM61" s="155">
        <f>SUM(BM36:BM60)</f>
        <v>0</v>
      </c>
      <c r="BN61" s="155">
        <f>SUM(BN36:BN60)</f>
        <v>0</v>
      </c>
      <c r="BO61" s="155">
        <f>SUM(BO36:BO60)</f>
        <v>0</v>
      </c>
      <c r="BP61" s="155">
        <f>SUM(BP36:BP60)</f>
        <v>0</v>
      </c>
      <c r="BQ61" s="155">
        <f>SUM(BQ36:BQ60)</f>
        <v>0</v>
      </c>
      <c r="BR61" s="257"/>
      <c r="BS61" s="153">
        <v>1</v>
      </c>
      <c r="BT61" s="257"/>
      <c r="BU61" s="156">
        <f>SUM(BU36:BU60)</f>
      </c>
      <c r="BV61" s="138" t="s">
        <v>286</v>
      </c>
      <c r="BW61" s="155">
        <f>SUM(BW58:BW59)</f>
        <v>0</v>
      </c>
      <c r="BX61" s="155">
        <f>SUM(BX58:BX59)</f>
        <v>0</v>
      </c>
      <c r="BY61" s="155">
        <f>SUM(BY58:BY59)</f>
        <v>0</v>
      </c>
      <c r="BZ61" s="155">
        <f>SUM(BZ58:BZ59)</f>
        <v>0</v>
      </c>
      <c r="CA61" s="155">
        <f>SUM(CA58:CA59)</f>
        <v>0</v>
      </c>
      <c r="CB61" s="155">
        <f>SUM(CB58:CB59)</f>
        <v>0</v>
      </c>
      <c r="CC61" s="155">
        <f>SUM(CC58:CC59)</f>
        <v>0</v>
      </c>
      <c r="CD61" s="155">
        <f>SUM(CD58:CD59)</f>
        <v>0</v>
      </c>
      <c r="CE61" s="155">
        <f>SUM(CE58:CE59)</f>
        <v>0</v>
      </c>
      <c r="CF61" s="155">
        <f>SUM(CF58:CF59)</f>
        <v>0</v>
      </c>
      <c r="CG61" s="155">
        <f>SUM(CG58:CG59)</f>
        <v>0</v>
      </c>
      <c r="CH61" s="155">
        <f>SUM(CH58:CH59)</f>
        <v>0</v>
      </c>
      <c r="CI61" s="155">
        <f>SUM(CI58:CI59)</f>
        <v>0</v>
      </c>
      <c r="CJ61" s="155">
        <f>SUM(CJ58:CJ59)</f>
        <v>0</v>
      </c>
      <c r="CK61" s="155">
        <f>SUM(CK58:CK59)</f>
        <v>0</v>
      </c>
      <c r="CL61" s="155">
        <f>SUM(CL58:CL59)</f>
        <v>0</v>
      </c>
      <c r="CM61" s="155">
        <f>SUM(CM58:CM59)</f>
        <v>0</v>
      </c>
      <c r="CN61" s="155">
        <f>SUM(CN58:CN59)</f>
        <v>0</v>
      </c>
      <c r="CO61" s="155">
        <f>SUM(CO58:CO59)</f>
        <v>0</v>
      </c>
      <c r="CP61" s="155">
        <f>SUM(CP58:CP59)</f>
        <v>0</v>
      </c>
      <c r="CW61" s="179"/>
      <c r="CX61" s="179"/>
      <c r="CY61" s="305"/>
      <c r="CZ61" s="305"/>
      <c r="DA61" s="305"/>
      <c r="DB61" s="305"/>
      <c r="DC61" s="305"/>
      <c r="DD61" s="305"/>
      <c r="DE61" s="305"/>
      <c r="DF61" s="305"/>
      <c r="DG61" s="305"/>
      <c r="DH61" s="305"/>
      <c r="DI61" s="305"/>
      <c r="DJ61" s="305"/>
      <c r="DK61" s="305"/>
      <c r="DL61" s="305"/>
      <c r="DM61" s="305"/>
      <c r="DN61" s="305"/>
      <c r="DO61" s="305"/>
      <c r="DP61" s="305"/>
      <c r="DQ61" s="305"/>
      <c r="DR61" s="305"/>
      <c r="DS61" s="305"/>
      <c r="DT61" s="305"/>
      <c r="DU61" s="305"/>
      <c r="DV61" s="305"/>
      <c r="DW61" s="305"/>
      <c r="DX61" s="305"/>
      <c r="DY61" s="305"/>
      <c r="DZ61" s="305"/>
      <c r="EA61" s="305"/>
      <c r="EB61" s="305"/>
      <c r="EC61" s="305"/>
      <c r="ED61" s="305"/>
      <c r="EE61" s="305"/>
      <c r="EF61" s="305"/>
      <c r="EG61" s="305"/>
      <c r="EH61" s="305"/>
      <c r="EI61" s="305"/>
      <c r="EJ61" s="305"/>
      <c r="EK61" s="305"/>
      <c r="EL61" s="305"/>
      <c r="EM61" s="305"/>
      <c r="EN61" s="305"/>
      <c r="EO61" s="305"/>
      <c r="EP61" s="305"/>
      <c r="EQ61" s="305"/>
      <c r="ER61" s="305"/>
      <c r="ES61" s="305"/>
      <c r="ET61" s="305"/>
      <c r="EU61" s="305"/>
      <c r="EV61" s="305"/>
      <c r="EW61" s="305"/>
      <c r="EX61" s="305"/>
      <c r="EY61" s="305"/>
      <c r="EZ61" s="305"/>
      <c r="FA61" s="305"/>
      <c r="FB61" s="305"/>
      <c r="FC61" s="305"/>
      <c r="FD61" s="305"/>
      <c r="FE61" s="305"/>
      <c r="FF61" s="305"/>
      <c r="FG61" s="305"/>
      <c r="FH61" s="305"/>
      <c r="FI61" s="305"/>
      <c r="FJ61" s="305"/>
    </row>
    <row r="62" spans="1:166" ht="11.9" customHeight="1" x14ac:dyDescent="0.35">
      <c r="A62" s="136"/>
      <c r="B62" s="136"/>
      <c r="C62" s="136"/>
      <c r="D62" s="152"/>
      <c r="E62" s="157" t="str">
        <f>IF(AND(E$33&lt;&gt;0,,E61&gt;0),E61/E$33,"")</f>
        <v/>
      </c>
      <c r="F62" s="157" t="str">
        <f>IF(AND(F$33&lt;&gt;0,,F61&gt;0),F61/F$33,"")</f>
        <v/>
      </c>
      <c r="G62" s="157" t="str">
        <f>IF(AND(G$33&lt;&gt;0,,G61&gt;0),G61/G$33,"")</f>
        <v/>
      </c>
      <c r="H62" s="157" t="str">
        <f>IF(AND(H$33&lt;&gt;0,,H61&gt;0),H61/H$33,"")</f>
        <v/>
      </c>
      <c r="I62" s="157" t="str">
        <f>IF(AND(I$33&lt;&gt;0,,I61&gt;0),I61/I$33,"")</f>
        <v/>
      </c>
      <c r="J62" s="157" t="str">
        <f>IF(AND(J$33&lt;&gt;0,,J61&gt;0),J61/J$33,"")</f>
        <v/>
      </c>
      <c r="K62" s="157" t="str">
        <f>IF(AND(K$33&lt;&gt;0,,K61&gt;0),K61/K$33,"")</f>
        <v/>
      </c>
      <c r="L62" s="157" t="str">
        <f>IF(AND(L$33&lt;&gt;0,,L61&gt;0),L61/L$33,"")</f>
        <v/>
      </c>
      <c r="M62" s="157" t="str">
        <f>IF(AND(M$33&lt;&gt;0,,M61&gt;0),M61/M$33,"")</f>
        <v/>
      </c>
      <c r="N62" s="157" t="str">
        <f>IF(AND(N$33&lt;&gt;0,,N61&gt;0),N61/N$33,"")</f>
        <v/>
      </c>
      <c r="O62" s="157" t="str">
        <f>IF(AND(O$33&lt;&gt;0,,O61&gt;0),O61/O$33,"")</f>
        <v/>
      </c>
      <c r="P62" s="157" t="str">
        <f>IF(AND(P$33&lt;&gt;0,,P61&gt;0),P61/P$33,"")</f>
        <v/>
      </c>
      <c r="Q62" s="157" t="str">
        <f>IF(AND(Q$33&lt;&gt;0,,Q61&gt;0),Q61/Q$33,"")</f>
        <v/>
      </c>
      <c r="R62" s="157" t="str">
        <f>IF(AND(R$33&lt;&gt;0,,R61&gt;0),R61/R$33,"")</f>
        <v/>
      </c>
      <c r="S62" s="157" t="str">
        <f>IF(AND(S$33&lt;&gt;0,,S61&gt;0),S61/S$33,"")</f>
        <v/>
      </c>
      <c r="T62" s="157" t="str">
        <f>IF(AND(T$33&lt;&gt;0,,T61&gt;0),T61/T$33,"")</f>
        <v/>
      </c>
      <c r="U62" s="157" t="str">
        <f>IF(AND(U$33&lt;&gt;0,,U61&gt;0),U61/U$33,"")</f>
        <v/>
      </c>
      <c r="V62" s="157" t="str">
        <f>IF(AND(V$33&lt;&gt;0,,V61&gt;0),V61/V$33,"")</f>
        <v/>
      </c>
      <c r="W62" s="157" t="str">
        <f>IF(AND(W$33&lt;&gt;0,,W61&gt;0),W61/W$33,"")</f>
        <v/>
      </c>
      <c r="X62" s="157" t="str">
        <f>IF(AND(X$33&lt;&gt;0,,X61&gt;0),X61/X$33,"")</f>
        <v/>
      </c>
      <c r="Y62" s="157" t="str">
        <f>IF(AND(Y$33&lt;&gt;0,,Y61&gt;0),Y61/Y$33,"")</f>
        <v/>
      </c>
      <c r="Z62" s="157" t="str">
        <f>IF(AND(Z$33&lt;&gt;0,,Z61&gt;0),Z61/Z$33,"")</f>
        <v/>
      </c>
      <c r="AA62" s="157" t="str">
        <f>IF(AND(AA$33&lt;&gt;0,,AA61&gt;0),AA61/AA$33,"")</f>
        <v/>
      </c>
      <c r="AB62" s="157" t="str">
        <f>IF(AND(AB$33&lt;&gt;0,,AB61&gt;0),AB61/AB$33,"")</f>
        <v/>
      </c>
      <c r="AC62" s="157" t="str">
        <f>IF(AND(AC$33&lt;&gt;0,,AC61&gt;0),AC61/AC$33,"")</f>
        <v/>
      </c>
      <c r="AD62" s="157" t="str">
        <f>IF(AND(AD$33&lt;&gt;0,,AD61&gt;0),AD61/AD$33,"")</f>
        <v/>
      </c>
      <c r="AE62" s="157" t="str">
        <f>IF(AND(AE$33&lt;&gt;0,,AE61&gt;0),AE61/AE$33,"")</f>
        <v/>
      </c>
      <c r="AF62" s="157" t="str">
        <f>IF(AND(AF$33&lt;&gt;0,,AF61&gt;0),AF61/AF$33,"")</f>
        <v/>
      </c>
      <c r="AG62" s="157" t="str">
        <f>IF(AND(AG$33&lt;&gt;0,,AG61&gt;0),AG61/AG$33,"")</f>
        <v/>
      </c>
      <c r="AH62" s="157" t="str">
        <f>IF(AND(AH$33&lt;&gt;0,,AH61&gt;0),AH61/AH$33,"")</f>
        <v/>
      </c>
      <c r="AI62" s="157" t="str">
        <f>IF(AND(AI$33&lt;&gt;0,,AI61&gt;0),AI61/AI$33,"")</f>
        <v/>
      </c>
      <c r="AJ62" s="157" t="str">
        <f>IF(AND(AJ$33&lt;&gt;0,,AJ61&gt;0),AJ61/AJ$33,"")</f>
        <v/>
      </c>
      <c r="AK62" s="157" t="str">
        <f>IF(AND(AK$33&lt;&gt;0,,AK61&gt;0),AK61/AK$33,"")</f>
        <v/>
      </c>
      <c r="AL62" s="157" t="str">
        <f>IF(AND(AL$33&lt;&gt;0,,AL61&gt;0),AL61/AL$33,"")</f>
        <v/>
      </c>
      <c r="AM62" s="157" t="str">
        <f>IF(AND(AM$33&lt;&gt;0,,AM61&gt;0),AM61/AM$33,"")</f>
        <v/>
      </c>
      <c r="AN62" s="157" t="str">
        <f>IF(AND(AN$33&lt;&gt;0,,AN61&gt;0),AN61/AN$33,"")</f>
        <v/>
      </c>
      <c r="AO62" s="157" t="str">
        <f>IF(AND(AO$33&lt;&gt;0,,AO61&gt;0),AO61/AO$33,"")</f>
        <v/>
      </c>
      <c r="AP62" s="157" t="str">
        <f>IF(AND(AP$33&lt;&gt;0,,AP61&gt;0),AP61/AP$33,"")</f>
        <v/>
      </c>
      <c r="AQ62" s="157" t="str">
        <f>IF(AND(AQ$33&lt;&gt;0,,AQ61&gt;0),AQ61/AQ$33,"")</f>
        <v/>
      </c>
      <c r="AR62" s="157" t="str">
        <f>IF(AND(AR$33&lt;&gt;0,,AR61&gt;0),AR61/AR$33,"")</f>
        <v/>
      </c>
      <c r="AS62" s="157" t="str">
        <f>IF(AND(AS$33&lt;&gt;0,,AS61&gt;0),AS61/AS$33,"")</f>
        <v/>
      </c>
      <c r="AT62" s="157" t="str">
        <f>IF(AND(AT$33&lt;&gt;0,,AT61&gt;0),AT61/AT$33,"")</f>
        <v/>
      </c>
      <c r="AU62" s="157" t="str">
        <f>IF(AND(AU$33&lt;&gt;0,,AU61&gt;0),AU61/AU$33,"")</f>
        <v/>
      </c>
      <c r="AV62" s="157" t="str">
        <f>IF(AND(AV$33&lt;&gt;0,,AV61&gt;0),AV61/AV$33,"")</f>
        <v/>
      </c>
      <c r="AW62" s="157" t="str">
        <f>IF(AND(AW$33&lt;&gt;0,,AW61&gt;0),AW61/AW$33,"")</f>
        <v/>
      </c>
      <c r="AX62" s="157" t="str">
        <f>IF(AND(AX$33&lt;&gt;0,,AX61&gt;0),AX61/AX$33,"")</f>
        <v/>
      </c>
      <c r="AY62" s="157" t="str">
        <f>IF(AND(AY$33&lt;&gt;0,,AY61&gt;0),AY61/AY$33,"")</f>
        <v/>
      </c>
      <c r="AZ62" s="157" t="str">
        <f>IF(AND(AZ$33&lt;&gt;0,,AZ61&gt;0),AZ61/AZ$33,"")</f>
        <v/>
      </c>
      <c r="BA62" s="157" t="str">
        <f>IF(AND(BA$33&lt;&gt;0,,BA61&gt;0),BA61/BA$33,"")</f>
        <v/>
      </c>
      <c r="BB62" s="157" t="str">
        <f>IF(AND(BB$33&lt;&gt;0,,BB61&gt;0),BB61/BB$33,"")</f>
        <v/>
      </c>
      <c r="BC62" s="157" t="str">
        <f>IF(AND(BC$33&lt;&gt;0,,BC61&gt;0),BC61/BC$33,"")</f>
        <v/>
      </c>
      <c r="BD62" s="157" t="str">
        <f>IF(AND(BD$33&lt;&gt;0,,BD61&gt;0),BD61/BD$33,"")</f>
        <v/>
      </c>
      <c r="BE62" s="157" t="str">
        <f>IF(AND(BE$33&lt;&gt;0,,BE61&gt;0),BE61/BE$33,"")</f>
        <v/>
      </c>
      <c r="BF62" s="157" t="str">
        <f>IF(AND(BF$33&lt;&gt;0,,BF61&gt;0),BF61/BF$33,"")</f>
        <v/>
      </c>
      <c r="BG62" s="157" t="str">
        <f>IF(AND(BG$33&lt;&gt;0,,BG61&gt;0),BG61/BG$33,"")</f>
        <v/>
      </c>
      <c r="BH62" s="157" t="str">
        <f>IF(AND(BH$33&lt;&gt;0,,BH61&gt;0),BH61/BH$33,"")</f>
        <v/>
      </c>
      <c r="BI62" s="157" t="str">
        <f>IF(AND(BI$33&lt;&gt;0,,BI61&gt;0),BI61/BI$33,"")</f>
        <v/>
      </c>
      <c r="BJ62" s="157" t="str">
        <f>IF(AND(BJ$33&lt;&gt;0,,BJ61&gt;0),BJ61/BJ$33,"")</f>
        <v/>
      </c>
      <c r="BK62" s="157" t="str">
        <f>IF(AND(BK$33&lt;&gt;0,,BK61&gt;0),BK61/BK$33,"")</f>
        <v/>
      </c>
      <c r="BL62" s="157" t="str">
        <f>IF(AND(BL$33&lt;&gt;0,,BL61&gt;0),BL61/BL$33,"")</f>
        <v/>
      </c>
      <c r="BM62" s="157" t="str">
        <f>IF(AND(BM$33&lt;&gt;0,,BM61&gt;0),BM61/BM$33,"")</f>
        <v/>
      </c>
      <c r="BN62" s="157" t="str">
        <f>IF(AND(BN$33&lt;&gt;0,,BN61&gt;0),BN61/BN$33,"")</f>
        <v/>
      </c>
      <c r="BO62" s="157" t="str">
        <f>IF(AND(BO$33&lt;&gt;0,,BO61&gt;0),BO61/BO$33,"")</f>
        <v/>
      </c>
      <c r="BP62" s="157" t="str">
        <f>IF(AND(BP$33&lt;&gt;0,,BP61&gt;0),BP61/BP$33,"")</f>
        <v/>
      </c>
      <c r="BQ62" s="157" t="str">
        <f>IF(AND(BQ$33&lt;&gt;0,,BQ61&gt;0),BQ61/BQ$33,"")</f>
        <v/>
      </c>
      <c r="BR62" s="1802"/>
      <c r="BS62" s="153">
        <v>1</v>
      </c>
      <c r="BT62" s="1802"/>
      <c r="BU62" s="153"/>
      <c r="BV62" s="158"/>
      <c r="BW62" s="157" t="e">
        <f>IF(AND(BW$33&lt;&gt;0,BW61/BW$33&gt;0,BW61&gt;0),BW61/BW$33,"")</f>
        <v>#DIV/0!</v>
      </c>
      <c r="BX62" s="157" t="e">
        <f>IF(AND(BX$33&lt;&gt;0,BX61/BX$33&gt;0,BX61&gt;0),BX61/BX$33,"")</f>
        <v>#DIV/0!</v>
      </c>
      <c r="BY62" s="157" t="e">
        <f>IF(AND(BY$33&lt;&gt;0,BY61/BY$33&gt;0,BY61&gt;0),BY61/BY$33,"")</f>
        <v>#DIV/0!</v>
      </c>
      <c r="BZ62" s="157" t="e">
        <f>IF(AND(BZ$33&lt;&gt;0,BZ61/BZ$33&gt;0,BZ61&gt;0),BZ61/BZ$33,"")</f>
        <v>#DIV/0!</v>
      </c>
      <c r="CA62" s="157" t="e">
        <f>IF(AND(CA$33&lt;&gt;0,CA61/CA$33&gt;0,CA61&gt;0),CA61/CA$33,"")</f>
        <v>#DIV/0!</v>
      </c>
      <c r="CB62" s="157" t="e">
        <f>IF(AND(CB$33&lt;&gt;0,CB61/CB$33&gt;0,CB61&gt;0),CB61/CB$33,"")</f>
        <v>#DIV/0!</v>
      </c>
      <c r="CC62" s="157" t="e">
        <f>IF(AND(CC$33&lt;&gt;0,CC61/CC$33&gt;0,CC61&gt;0),CC61/CC$33,"")</f>
        <v>#DIV/0!</v>
      </c>
      <c r="CD62" s="157" t="e">
        <f>IF(AND(CD$33&lt;&gt;0,CD61/CD$33&gt;0,CD61&gt;0),CD61/CD$33,"")</f>
        <v>#DIV/0!</v>
      </c>
      <c r="CE62" s="157" t="e">
        <f>IF(AND(CE$33&lt;&gt;0,CE61/CE$33&gt;0,CE61&gt;0),CE61/CE$33,"")</f>
        <v>#DIV/0!</v>
      </c>
      <c r="CF62" s="157" t="e">
        <f>IF(AND(CF$33&lt;&gt;0,CF61/CF$33&gt;0,CF61&gt;0),CF61/CF$33,"")</f>
        <v>#DIV/0!</v>
      </c>
      <c r="CG62" s="157" t="e">
        <f>IF(AND(CG$33&lt;&gt;0,CG61/CG$33&gt;0,CG61&gt;0),CG61/CG$33,"")</f>
        <v>#DIV/0!</v>
      </c>
      <c r="CH62" s="157" t="e">
        <f>IF(AND(CH$33&lt;&gt;0,CH61/CH$33&gt;0,CH61&gt;0),CH61/CH$33,"")</f>
        <v>#DIV/0!</v>
      </c>
      <c r="CI62" s="157" t="e">
        <f>IF(AND(CI$33&lt;&gt;0,CI61/CI$33&gt;0,CI61&gt;0),CI61/CI$33,"")</f>
        <v>#DIV/0!</v>
      </c>
      <c r="CJ62" s="157" t="e">
        <f>IF(AND(CJ$33&lt;&gt;0,CJ61/CJ$33&gt;0,CJ61&gt;0),CJ61/CJ$33,"")</f>
        <v>#DIV/0!</v>
      </c>
      <c r="CK62" s="157" t="e">
        <f>IF(AND(CK$33&lt;&gt;0,CK61/CK$33&gt;0,CK61&gt;0),CK61/CK$33,"")</f>
        <v>#DIV/0!</v>
      </c>
      <c r="CL62" s="157" t="e">
        <f>IF(AND(CL$33&lt;&gt;0,CL61/CL$33&gt;0,CL61&gt;0),CL61/CL$33,"")</f>
        <v>#DIV/0!</v>
      </c>
      <c r="CM62" s="157" t="e">
        <f>IF(AND(CM$33&lt;&gt;0,CM61/CM$33&gt;0,CM61&gt;0),CM61/CM$33,"")</f>
        <v>#DIV/0!</v>
      </c>
      <c r="CN62" s="157" t="e">
        <f>IF(AND(CN$33&lt;&gt;0,CN61/CN$33&gt;0,CN61&gt;0),CN61/CN$33,"")</f>
        <v>#DIV/0!</v>
      </c>
      <c r="CO62" s="157" t="e">
        <f>IF(AND(CO$33&lt;&gt;0,CO61/CO$33&gt;0,CO61&gt;0),CO61/CO$33,"")</f>
        <v>#DIV/0!</v>
      </c>
      <c r="CP62" s="157" t="e">
        <f>IF(AND(CP$33&lt;&gt;0,CP61/CP$33&gt;0,CP61&gt;0),CP61/CP$33,"")</f>
        <v>#DIV/0!</v>
      </c>
      <c r="CW62" s="179"/>
      <c r="CX62" s="179"/>
      <c r="CY62" s="305"/>
      <c r="CZ62" s="305"/>
      <c r="DA62" s="305"/>
      <c r="DB62" s="305"/>
      <c r="DC62" s="305"/>
      <c r="DD62" s="305"/>
      <c r="DE62" s="305"/>
      <c r="DF62" s="305"/>
      <c r="DG62" s="305"/>
      <c r="DH62" s="305"/>
      <c r="DI62" s="305"/>
      <c r="DJ62" s="305"/>
      <c r="DK62" s="305"/>
      <c r="DL62" s="305"/>
      <c r="DM62" s="305"/>
      <c r="DN62" s="305"/>
      <c r="DO62" s="305"/>
      <c r="DP62" s="305"/>
      <c r="DQ62" s="305"/>
      <c r="DR62" s="305"/>
      <c r="DS62" s="305"/>
      <c r="DT62" s="305"/>
      <c r="DU62" s="305"/>
      <c r="DV62" s="305"/>
      <c r="DW62" s="305"/>
      <c r="DX62" s="305"/>
      <c r="DY62" s="305"/>
      <c r="DZ62" s="305"/>
      <c r="EA62" s="305"/>
      <c r="EB62" s="305"/>
      <c r="EC62" s="305"/>
      <c r="ED62" s="305"/>
      <c r="EE62" s="305"/>
      <c r="EF62" s="305"/>
      <c r="EG62" s="305"/>
      <c r="EH62" s="305"/>
      <c r="EI62" s="305"/>
      <c r="EJ62" s="305"/>
      <c r="EK62" s="305"/>
      <c r="EL62" s="305"/>
      <c r="EM62" s="305"/>
      <c r="EN62" s="305"/>
      <c r="EO62" s="305"/>
      <c r="EP62" s="305"/>
      <c r="EQ62" s="305"/>
      <c r="ER62" s="305"/>
      <c r="ES62" s="305"/>
      <c r="ET62" s="305"/>
      <c r="EU62" s="305"/>
      <c r="EV62" s="305"/>
      <c r="EW62" s="305"/>
      <c r="EX62" s="305"/>
      <c r="EY62" s="305"/>
      <c r="EZ62" s="305"/>
      <c r="FA62" s="305"/>
      <c r="FB62" s="305"/>
      <c r="FC62" s="305"/>
      <c r="FD62" s="305"/>
      <c r="FE62" s="305"/>
      <c r="FF62" s="305"/>
      <c r="FG62" s="305"/>
      <c r="FH62" s="305"/>
      <c r="FI62" s="305"/>
      <c r="FJ62" s="305"/>
    </row>
    <row r="63" spans="1:166" ht="12.75" customHeight="1" thickBot="1" x14ac:dyDescent="0.4">
      <c r="A63" s="136"/>
      <c r="B63" s="136"/>
      <c r="C63" s="136"/>
      <c r="D63" s="142" t="s">
        <v>5</v>
      </c>
      <c r="E63" s="159">
        <f>E33-E61</f>
        <v>0</v>
      </c>
      <c r="F63" s="159">
        <f>F33-F61</f>
        <v>0</v>
      </c>
      <c r="G63" s="159">
        <f>G33-G61</f>
        <v>0</v>
      </c>
      <c r="H63" s="159">
        <f>H33-H61</f>
        <v>0</v>
      </c>
      <c r="I63" s="159">
        <f>I33-I61</f>
        <v>0</v>
      </c>
      <c r="J63" s="159">
        <f>J33-J61</f>
        <v>0</v>
      </c>
      <c r="K63" s="159">
        <f>K33-K61</f>
        <v>0</v>
      </c>
      <c r="L63" s="159">
        <f>L33-L61</f>
        <v>0</v>
      </c>
      <c r="M63" s="159">
        <f>M33-M61</f>
        <v>0</v>
      </c>
      <c r="N63" s="159">
        <f>N33-N61</f>
        <v>0</v>
      </c>
      <c r="O63" s="159">
        <f>O33-O61</f>
        <v>0</v>
      </c>
      <c r="P63" s="159">
        <f>P33-P61</f>
        <v>0</v>
      </c>
      <c r="Q63" s="159">
        <f>Q33-Q61</f>
        <v>0</v>
      </c>
      <c r="R63" s="159">
        <f>R33-R61</f>
        <v>0</v>
      </c>
      <c r="S63" s="159">
        <f>S33-S61</f>
        <v>0</v>
      </c>
      <c r="T63" s="159">
        <f>T33-T61</f>
        <v>0</v>
      </c>
      <c r="U63" s="159">
        <f>U33-U61</f>
        <v>0</v>
      </c>
      <c r="V63" s="159">
        <f>V33-V61</f>
        <v>0</v>
      </c>
      <c r="W63" s="159">
        <f>W33-W61</f>
        <v>0</v>
      </c>
      <c r="X63" s="159">
        <f>X33-X61</f>
        <v>0</v>
      </c>
      <c r="Y63" s="159">
        <f>Y33-Y61</f>
        <v>0</v>
      </c>
      <c r="Z63" s="159">
        <f>Z33-Z61</f>
        <v>0</v>
      </c>
      <c r="AA63" s="159">
        <f>AA33-AA61</f>
        <v>0</v>
      </c>
      <c r="AB63" s="159">
        <f>AB33-AB61</f>
        <v>0</v>
      </c>
      <c r="AC63" s="159">
        <f>AC33-AC61</f>
        <v>0</v>
      </c>
      <c r="AD63" s="159">
        <f>SUM(R63:AC63)</f>
        <v>0</v>
      </c>
      <c r="AE63" s="159">
        <f>AE33-AE61</f>
        <v>0</v>
      </c>
      <c r="AF63" s="159">
        <f>AF33-AF61</f>
        <v>0</v>
      </c>
      <c r="AG63" s="159">
        <f>AG33-AG61</f>
        <v>0</v>
      </c>
      <c r="AH63" s="159">
        <f>AH33-AH61</f>
        <v>0</v>
      </c>
      <c r="AI63" s="159">
        <f>AI33-AI61</f>
        <v>0</v>
      </c>
      <c r="AJ63" s="159">
        <f>AJ33-AJ61</f>
        <v>0</v>
      </c>
      <c r="AK63" s="159">
        <f>AK33-AK61</f>
        <v>0</v>
      </c>
      <c r="AL63" s="159">
        <f>AL33-AL61</f>
        <v>0</v>
      </c>
      <c r="AM63" s="159">
        <f>AM33-AM61</f>
        <v>0</v>
      </c>
      <c r="AN63" s="159">
        <f>AN33-AN61</f>
        <v>0</v>
      </c>
      <c r="AO63" s="159">
        <f>AO33-AO61</f>
        <v>0</v>
      </c>
      <c r="AP63" s="159">
        <f>AP33-AP61</f>
        <v>0</v>
      </c>
      <c r="AQ63" s="159">
        <f>SUM(AE63:AP63)</f>
        <v>0</v>
      </c>
      <c r="AR63" s="159">
        <f>AR33-AR61</f>
        <v>0</v>
      </c>
      <c r="AS63" s="159">
        <f>AS33-AS61</f>
        <v>0</v>
      </c>
      <c r="AT63" s="159">
        <f>AT33-AT61</f>
        <v>0</v>
      </c>
      <c r="AU63" s="159">
        <f>AU33-AU61</f>
        <v>0</v>
      </c>
      <c r="AV63" s="159">
        <f>AV33-AV61</f>
        <v>0</v>
      </c>
      <c r="AW63" s="159">
        <f>AW33-AW61</f>
        <v>0</v>
      </c>
      <c r="AX63" s="159">
        <f>AX33-AX61</f>
        <v>0</v>
      </c>
      <c r="AY63" s="159">
        <f>AY33-AY61</f>
        <v>0</v>
      </c>
      <c r="AZ63" s="159">
        <f>AZ33-AZ61</f>
        <v>0</v>
      </c>
      <c r="BA63" s="159">
        <f>BA33-BA61</f>
        <v>0</v>
      </c>
      <c r="BB63" s="159">
        <f>BB33-BB61</f>
        <v>0</v>
      </c>
      <c r="BC63" s="159">
        <f>BC33-BC61</f>
        <v>0</v>
      </c>
      <c r="BD63" s="159">
        <f>SUM(AR63:BC63)</f>
        <v>0</v>
      </c>
      <c r="BE63" s="159">
        <f>BE33-BE61</f>
        <v>0</v>
      </c>
      <c r="BF63" s="159">
        <f>BF33-BF61</f>
        <v>0</v>
      </c>
      <c r="BG63" s="159">
        <f>BG33-BG61</f>
        <v>0</v>
      </c>
      <c r="BH63" s="159">
        <f>BH33-BH61</f>
        <v>0</v>
      </c>
      <c r="BI63" s="159">
        <f>BI33-BI61</f>
        <v>0</v>
      </c>
      <c r="BJ63" s="159">
        <f>BJ33-BJ61</f>
        <v>0</v>
      </c>
      <c r="BK63" s="159">
        <f>BK33-BK61</f>
        <v>0</v>
      </c>
      <c r="BL63" s="159">
        <f>BL33-BL61</f>
        <v>0</v>
      </c>
      <c r="BM63" s="159">
        <f>BM33-BM61</f>
        <v>0</v>
      </c>
      <c r="BN63" s="159">
        <f>BN33-BN61</f>
        <v>0</v>
      </c>
      <c r="BO63" s="159">
        <f>BO33-BO61</f>
        <v>0</v>
      </c>
      <c r="BP63" s="159">
        <f>BP33-BP61</f>
        <v>0</v>
      </c>
      <c r="BQ63" s="159">
        <f>SUM(BE63:BP63)</f>
        <v>0</v>
      </c>
      <c r="BR63" s="257"/>
      <c r="BS63" s="153">
        <v>1</v>
      </c>
      <c r="BT63" s="257"/>
      <c r="BU63" s="156">
        <f>BU33-BU61</f>
        <v>0</v>
      </c>
      <c r="BV63" s="138" t="s">
        <v>5</v>
      </c>
      <c r="BW63" s="159">
        <f>BW33-BW61</f>
        <v>0</v>
      </c>
      <c r="BX63" s="159">
        <f>BX33-BX61</f>
        <v>0</v>
      </c>
      <c r="BY63" s="159">
        <f>BY33-BY61</f>
        <v>0</v>
      </c>
      <c r="BZ63" s="159">
        <f>BZ33-BZ61</f>
        <v>0</v>
      </c>
      <c r="CA63" s="159">
        <f>CA33-CA61</f>
        <v>0</v>
      </c>
      <c r="CB63" s="159">
        <f>CB33-CB61</f>
        <v>0</v>
      </c>
      <c r="CC63" s="159">
        <f>CC33-CC61</f>
        <v>0</v>
      </c>
      <c r="CD63" s="159">
        <f>CD33-CD61</f>
        <v>0</v>
      </c>
      <c r="CE63" s="159">
        <f>CE33-CE61</f>
        <v>0</v>
      </c>
      <c r="CF63" s="159">
        <f>CF33-CF61</f>
        <v>0</v>
      </c>
      <c r="CG63" s="159">
        <f>CG33-CG61</f>
        <v>0</v>
      </c>
      <c r="CH63" s="159">
        <f>CH33-CH61</f>
        <v>0</v>
      </c>
      <c r="CI63" s="159">
        <f>CI33-CI61</f>
        <v>0</v>
      </c>
      <c r="CJ63" s="159">
        <f>CJ33-CJ61</f>
        <v>0</v>
      </c>
      <c r="CK63" s="159">
        <f>CK33-CK61</f>
        <v>0</v>
      </c>
      <c r="CL63" s="159">
        <f>CL33-CL61</f>
        <v>0</v>
      </c>
      <c r="CM63" s="159">
        <f>CM33-CM61</f>
        <v>0</v>
      </c>
      <c r="CN63" s="159">
        <f>CN33-CN61</f>
        <v>0</v>
      </c>
      <c r="CO63" s="159">
        <f>CO33-CO61</f>
        <v>0</v>
      </c>
      <c r="CP63" s="159">
        <f>CP33-CP61</f>
        <v>0</v>
      </c>
      <c r="CW63" s="179"/>
      <c r="CX63" s="179"/>
      <c r="CY63" s="305"/>
      <c r="CZ63" s="305"/>
      <c r="DA63" s="305"/>
      <c r="DB63" s="305"/>
      <c r="DC63" s="305"/>
      <c r="DD63" s="305"/>
      <c r="DE63" s="305"/>
      <c r="DF63" s="305"/>
      <c r="DG63" s="305"/>
      <c r="DH63" s="305"/>
      <c r="DI63" s="305"/>
      <c r="DJ63" s="305"/>
      <c r="DK63" s="305"/>
      <c r="DL63" s="305"/>
      <c r="DM63" s="305"/>
      <c r="DN63" s="305"/>
      <c r="DO63" s="305"/>
      <c r="DP63" s="305"/>
      <c r="DQ63" s="305"/>
      <c r="DR63" s="305"/>
      <c r="DS63" s="305"/>
      <c r="DT63" s="305"/>
      <c r="DU63" s="305"/>
      <c r="DV63" s="305"/>
      <c r="DW63" s="305"/>
      <c r="DX63" s="305"/>
      <c r="DY63" s="305"/>
      <c r="DZ63" s="305"/>
      <c r="EA63" s="305"/>
      <c r="EB63" s="305"/>
      <c r="EC63" s="305"/>
      <c r="ED63" s="305"/>
      <c r="EE63" s="305"/>
      <c r="EF63" s="305"/>
      <c r="EG63" s="305"/>
      <c r="EH63" s="305"/>
      <c r="EI63" s="305"/>
      <c r="EJ63" s="305"/>
      <c r="EK63" s="305"/>
      <c r="EL63" s="305"/>
      <c r="EM63" s="305"/>
      <c r="EN63" s="305"/>
      <c r="EO63" s="305"/>
      <c r="EP63" s="305"/>
      <c r="EQ63" s="305"/>
      <c r="ER63" s="305"/>
      <c r="ES63" s="305"/>
      <c r="ET63" s="305"/>
      <c r="EU63" s="305"/>
      <c r="EV63" s="305"/>
      <c r="EW63" s="305"/>
      <c r="EX63" s="305"/>
      <c r="EY63" s="305"/>
      <c r="EZ63" s="305"/>
      <c r="FA63" s="305"/>
      <c r="FB63" s="305"/>
      <c r="FC63" s="305"/>
      <c r="FD63" s="305"/>
      <c r="FE63" s="305"/>
      <c r="FF63" s="305"/>
      <c r="FG63" s="305"/>
      <c r="FH63" s="305"/>
      <c r="FI63" s="305"/>
      <c r="FJ63" s="305"/>
    </row>
    <row r="64" spans="1:166" s="163" customFormat="1" ht="12.65" customHeight="1" thickTop="1" x14ac:dyDescent="0.35">
      <c r="A64" s="160"/>
      <c r="B64" s="160"/>
      <c r="C64" s="160"/>
      <c r="D64" s="161"/>
      <c r="E64" s="157" t="str">
        <f>IF(AND(E$33&lt;&gt;0,,E63&gt;0),E63/E$33,"")</f>
        <v/>
      </c>
      <c r="F64" s="157" t="str">
        <f>IF(AND(F$33&lt;&gt;0,,F63&gt;0),F63/F$33,"")</f>
        <v/>
      </c>
      <c r="G64" s="157" t="str">
        <f>IF(AND(G$33&lt;&gt;0,,G63&gt;0),G63/G$33,"")</f>
        <v/>
      </c>
      <c r="H64" s="157" t="str">
        <f>IF(AND(H$33&lt;&gt;0,,H63&gt;0),H63/H$33,"")</f>
        <v/>
      </c>
      <c r="I64" s="157" t="str">
        <f>IF(AND(I$33&lt;&gt;0,,I63&gt;0),I63/I$33,"")</f>
        <v/>
      </c>
      <c r="J64" s="157" t="str">
        <f>IF(AND(J$33&lt;&gt;0,,J63&gt;0),J63/J$33,"")</f>
        <v/>
      </c>
      <c r="K64" s="157" t="str">
        <f>IF(AND(K$33&lt;&gt;0,,K63&gt;0),K63/K$33,"")</f>
        <v/>
      </c>
      <c r="L64" s="157" t="str">
        <f>IF(AND(L$33&lt;&gt;0,,L63&gt;0),L63/L$33,"")</f>
        <v/>
      </c>
      <c r="M64" s="157" t="str">
        <f>IF(AND(M$33&lt;&gt;0,,M63&gt;0),M63/M$33,"")</f>
        <v/>
      </c>
      <c r="N64" s="157" t="str">
        <f>IF(AND(N$33&lt;&gt;0,,N63&gt;0),N63/N$33,"")</f>
        <v/>
      </c>
      <c r="O64" s="157" t="str">
        <f>IF(AND(O$33&lt;&gt;0,,O63&gt;0),O63/O$33,"")</f>
        <v/>
      </c>
      <c r="P64" s="157" t="str">
        <f>IF(AND(P$33&lt;&gt;0,,P63&gt;0),P63/P$33,"")</f>
        <v/>
      </c>
      <c r="Q64" s="157" t="str">
        <f>IF(AND(Q$33&lt;&gt;0,,Q63&gt;0),Q63/Q$33,"")</f>
        <v/>
      </c>
      <c r="R64" s="157" t="str">
        <f>IF(AND(R$33&lt;&gt;0,,R63&gt;0),R63/R$33,"")</f>
        <v/>
      </c>
      <c r="S64" s="157" t="str">
        <f>IF(AND(S$33&lt;&gt;0,,S63&gt;0),S63/S$33,"")</f>
        <v/>
      </c>
      <c r="T64" s="157" t="str">
        <f>IF(AND(T$33&lt;&gt;0,,T63&gt;0),T63/T$33,"")</f>
        <v/>
      </c>
      <c r="U64" s="157" t="str">
        <f>IF(AND(U$33&lt;&gt;0,,U63&gt;0),U63/U$33,"")</f>
        <v/>
      </c>
      <c r="V64" s="157" t="str">
        <f>IF(AND(V$33&lt;&gt;0,,V63&gt;0),V63/V$33,"")</f>
        <v/>
      </c>
      <c r="W64" s="157" t="str">
        <f>IF(AND(W$33&lt;&gt;0,,W63&gt;0),W63/W$33,"")</f>
        <v/>
      </c>
      <c r="X64" s="157" t="str">
        <f>IF(AND(X$33&lt;&gt;0,,X63&gt;0),X63/X$33,"")</f>
        <v/>
      </c>
      <c r="Y64" s="157" t="str">
        <f>IF(AND(Y$33&lt;&gt;0,,Y63&gt;0),Y63/Y$33,"")</f>
        <v/>
      </c>
      <c r="Z64" s="157" t="str">
        <f>IF(AND(Z$33&lt;&gt;0,,Z63&gt;0),Z63/Z$33,"")</f>
        <v/>
      </c>
      <c r="AA64" s="157" t="str">
        <f>IF(AND(AA$33&lt;&gt;0,,AA63&gt;0),AA63/AA$33,"")</f>
        <v/>
      </c>
      <c r="AB64" s="157" t="str">
        <f>IF(AND(AB$33&lt;&gt;0,,AB63&gt;0),AB63/AB$33,"")</f>
        <v/>
      </c>
      <c r="AC64" s="157" t="str">
        <f>IF(AND(AC$33&lt;&gt;0,,AC63&gt;0),AC63/AC$33,"")</f>
        <v/>
      </c>
      <c r="AD64" s="157" t="str">
        <f>IF(AND(AD$33&lt;&gt;0,,AD63&gt;0),AD63/AD$33,"")</f>
        <v/>
      </c>
      <c r="AE64" s="157" t="str">
        <f>IF(AND(AE$33&lt;&gt;0,,AE63&gt;0),AE63/AE$33,"")</f>
        <v/>
      </c>
      <c r="AF64" s="157" t="str">
        <f>IF(AND(AF$33&lt;&gt;0,,AF63&gt;0),AF63/AF$33,"")</f>
        <v/>
      </c>
      <c r="AG64" s="157" t="str">
        <f>IF(AND(AG$33&lt;&gt;0,,AG63&gt;0),AG63/AG$33,"")</f>
        <v/>
      </c>
      <c r="AH64" s="157" t="str">
        <f>IF(AND(AH$33&lt;&gt;0,,AH63&gt;0),AH63/AH$33,"")</f>
        <v/>
      </c>
      <c r="AI64" s="157" t="str">
        <f>IF(AND(AI$33&lt;&gt;0,,AI63&gt;0),AI63/AI$33,"")</f>
        <v/>
      </c>
      <c r="AJ64" s="157" t="str">
        <f>IF(AND(AJ$33&lt;&gt;0,,AJ63&gt;0),AJ63/AJ$33,"")</f>
        <v/>
      </c>
      <c r="AK64" s="157" t="str">
        <f>IF(AND(AK$33&lt;&gt;0,,AK63&gt;0),AK63/AK$33,"")</f>
        <v/>
      </c>
      <c r="AL64" s="157" t="str">
        <f>IF(AND(AL$33&lt;&gt;0,,AL63&gt;0),AL63/AL$33,"")</f>
        <v/>
      </c>
      <c r="AM64" s="157" t="str">
        <f>IF(AND(AM$33&lt;&gt;0,,AM63&gt;0),AM63/AM$33,"")</f>
        <v/>
      </c>
      <c r="AN64" s="157" t="str">
        <f>IF(AND(AN$33&lt;&gt;0,,AN63&gt;0),AN63/AN$33,"")</f>
        <v/>
      </c>
      <c r="AO64" s="157" t="str">
        <f>IF(AND(AO$33&lt;&gt;0,,AO63&gt;0),AO63/AO$33,"")</f>
        <v/>
      </c>
      <c r="AP64" s="157" t="str">
        <f>IF(AND(AP$33&lt;&gt;0,,AP63&gt;0),AP63/AP$33,"")</f>
        <v/>
      </c>
      <c r="AQ64" s="157" t="str">
        <f>IF(AND(AQ$33&lt;&gt;0,,AQ63&gt;0),AQ63/AQ$33,"")</f>
        <v/>
      </c>
      <c r="AR64" s="157" t="str">
        <f>IF(AND(AR$33&lt;&gt;0,,AR63&gt;0),AR63/AR$33,"")</f>
        <v/>
      </c>
      <c r="AS64" s="157" t="str">
        <f>IF(AND(AS$33&lt;&gt;0,,AS63&gt;0),AS63/AS$33,"")</f>
        <v/>
      </c>
      <c r="AT64" s="157" t="str">
        <f>IF(AND(AT$33&lt;&gt;0,,AT63&gt;0),AT63/AT$33,"")</f>
        <v/>
      </c>
      <c r="AU64" s="157" t="str">
        <f>IF(AND(AU$33&lt;&gt;0,,AU63&gt;0),AU63/AU$33,"")</f>
        <v/>
      </c>
      <c r="AV64" s="157" t="str">
        <f>IF(AND(AV$33&lt;&gt;0,,AV63&gt;0),AV63/AV$33,"")</f>
        <v/>
      </c>
      <c r="AW64" s="157" t="str">
        <f>IF(AND(AW$33&lt;&gt;0,,AW63&gt;0),AW63/AW$33,"")</f>
        <v/>
      </c>
      <c r="AX64" s="157" t="str">
        <f>IF(AND(AX$33&lt;&gt;0,,AX63&gt;0),AX63/AX$33,"")</f>
        <v/>
      </c>
      <c r="AY64" s="157" t="str">
        <f>IF(AND(AY$33&lt;&gt;0,,AY63&gt;0),AY63/AY$33,"")</f>
        <v/>
      </c>
      <c r="AZ64" s="157" t="str">
        <f>IF(AND(AZ$33&lt;&gt;0,,AZ63&gt;0),AZ63/AZ$33,"")</f>
        <v/>
      </c>
      <c r="BA64" s="157" t="str">
        <f>IF(AND(BA$33&lt;&gt;0,,BA63&gt;0),BA63/BA$33,"")</f>
        <v/>
      </c>
      <c r="BB64" s="157" t="str">
        <f>IF(AND(BB$33&lt;&gt;0,,BB63&gt;0),BB63/BB$33,"")</f>
        <v/>
      </c>
      <c r="BC64" s="157" t="str">
        <f>IF(AND(BC$33&lt;&gt;0,,BC63&gt;0),BC63/BC$33,"")</f>
        <v/>
      </c>
      <c r="BD64" s="157" t="str">
        <f>IF(AND(BD$33&lt;&gt;0,,BD63&gt;0),BD63/BD$33,"")</f>
        <v/>
      </c>
      <c r="BE64" s="157" t="str">
        <f>IF(AND(BE$33&lt;&gt;0,,BE63&gt;0),BE63/BE$33,"")</f>
        <v/>
      </c>
      <c r="BF64" s="157" t="str">
        <f>IF(AND(BF$33&lt;&gt;0,,BF63&gt;0),BF63/BF$33,"")</f>
        <v/>
      </c>
      <c r="BG64" s="157" t="str">
        <f>IF(AND(BG$33&lt;&gt;0,,BG63&gt;0),BG63/BG$33,"")</f>
        <v/>
      </c>
      <c r="BH64" s="157" t="str">
        <f>IF(AND(BH$33&lt;&gt;0,,BH63&gt;0),BH63/BH$33,"")</f>
        <v/>
      </c>
      <c r="BI64" s="157" t="str">
        <f>IF(AND(BI$33&lt;&gt;0,,BI63&gt;0),BI63/BI$33,"")</f>
        <v/>
      </c>
      <c r="BJ64" s="157" t="str">
        <f>IF(AND(BJ$33&lt;&gt;0,,BJ63&gt;0),BJ63/BJ$33,"")</f>
        <v/>
      </c>
      <c r="BK64" s="157" t="str">
        <f>IF(AND(BK$33&lt;&gt;0,,BK63&gt;0),BK63/BK$33,"")</f>
        <v/>
      </c>
      <c r="BL64" s="157" t="str">
        <f>IF(AND(BL$33&lt;&gt;0,,BL63&gt;0),BL63/BL$33,"")</f>
        <v/>
      </c>
      <c r="BM64" s="157" t="str">
        <f>IF(AND(BM$33&lt;&gt;0,,BM63&gt;0),BM63/BM$33,"")</f>
        <v/>
      </c>
      <c r="BN64" s="157" t="str">
        <f>IF(AND(BN$33&lt;&gt;0,,BN63&gt;0),BN63/BN$33,"")</f>
        <v/>
      </c>
      <c r="BO64" s="157" t="str">
        <f>IF(AND(BO$33&lt;&gt;0,,BO63&gt;0),BO63/BO$33,"")</f>
        <v/>
      </c>
      <c r="BP64" s="157" t="str">
        <f>IF(AND(BP$33&lt;&gt;0,,BP63&gt;0),BP63/BP$33,"")</f>
        <v/>
      </c>
      <c r="BQ64" s="157" t="str">
        <f>IF(AND(BQ$33&lt;&gt;0,,BQ63&gt;0),BQ63/BQ$33,"")</f>
        <v/>
      </c>
      <c r="BR64" s="258"/>
      <c r="BS64" s="153">
        <v>1</v>
      </c>
      <c r="BT64" s="258"/>
      <c r="BU64" s="162" t="str">
        <f>IF(BU33&lt;&gt;0,BU63/BU33,"")</f>
        <v/>
      </c>
      <c r="BV64" s="161"/>
      <c r="BW64" s="157" t="e">
        <f>IF(AND(BW$33&lt;&gt;0,BW63/BW$33&gt;0,BW63&gt;0),BW63/BW$33,"")</f>
        <v>#DIV/0!</v>
      </c>
      <c r="BX64" s="157" t="e">
        <f>IF(AND(BX$33&lt;&gt;0,BX63/BX$33&gt;0,BX63&gt;0),BX63/BX$33,"")</f>
        <v>#DIV/0!</v>
      </c>
      <c r="BY64" s="157" t="e">
        <f>IF(AND(BY$33&lt;&gt;0,BY63/BY$33&gt;0,BY63&gt;0),BY63/BY$33,"")</f>
        <v>#DIV/0!</v>
      </c>
      <c r="BZ64" s="157" t="e">
        <f>IF(AND(BZ$33&lt;&gt;0,BZ63/BZ$33&gt;0,BZ63&gt;0),BZ63/BZ$33,"")</f>
        <v>#DIV/0!</v>
      </c>
      <c r="CA64" s="157" t="e">
        <f>IF(AND(CA$33&lt;&gt;0,CA63/CA$33&gt;0,CA63&gt;0),CA63/CA$33,"")</f>
        <v>#DIV/0!</v>
      </c>
      <c r="CB64" s="157" t="e">
        <f>IF(AND(CB$33&lt;&gt;0,CB63/CB$33&gt;0,CB63&gt;0),CB63/CB$33,"")</f>
        <v>#DIV/0!</v>
      </c>
      <c r="CC64" s="157" t="e">
        <f>IF(AND(CC$33&lt;&gt;0,CC63/CC$33&gt;0,CC63&gt;0),CC63/CC$33,"")</f>
        <v>#DIV/0!</v>
      </c>
      <c r="CD64" s="157" t="e">
        <f>IF(AND(CD$33&lt;&gt;0,CD63/CD$33&gt;0,CD63&gt;0),CD63/CD$33,"")</f>
        <v>#DIV/0!</v>
      </c>
      <c r="CE64" s="157" t="e">
        <f>IF(AND(CE$33&lt;&gt;0,CE63/CE$33&gt;0,CE63&gt;0),CE63/CE$33,"")</f>
        <v>#DIV/0!</v>
      </c>
      <c r="CF64" s="157" t="e">
        <f>IF(AND(CF$33&lt;&gt;0,CF63/CF$33&gt;0,CF63&gt;0),CF63/CF$33,"")</f>
        <v>#DIV/0!</v>
      </c>
      <c r="CG64" s="157" t="e">
        <f>IF(AND(CG$33&lt;&gt;0,CG63/CG$33&gt;0,CG63&gt;0),CG63/CG$33,"")</f>
        <v>#DIV/0!</v>
      </c>
      <c r="CH64" s="157" t="e">
        <f>IF(AND(CH$33&lt;&gt;0,CH63/CH$33&gt;0,CH63&gt;0),CH63/CH$33,"")</f>
        <v>#DIV/0!</v>
      </c>
      <c r="CI64" s="157" t="e">
        <f>IF(AND(CI$33&lt;&gt;0,CI63/CI$33&gt;0,CI63&gt;0),CI63/CI$33,"")</f>
        <v>#DIV/0!</v>
      </c>
      <c r="CJ64" s="157" t="e">
        <f>IF(AND(CJ$33&lt;&gt;0,CJ63/CJ$33&gt;0,CJ63&gt;0),CJ63/CJ$33,"")</f>
        <v>#DIV/0!</v>
      </c>
      <c r="CK64" s="157" t="e">
        <f>IF(AND(CK$33&lt;&gt;0,CK63/CK$33&gt;0,CK63&gt;0),CK63/CK$33,"")</f>
        <v>#DIV/0!</v>
      </c>
      <c r="CL64" s="157" t="e">
        <f>IF(AND(CL$33&lt;&gt;0,CL63/CL$33&gt;0,CL63&gt;0),CL63/CL$33,"")</f>
        <v>#DIV/0!</v>
      </c>
      <c r="CM64" s="157" t="e">
        <f>IF(AND(CM$33&lt;&gt;0,CM63/CM$33&gt;0,CM63&gt;0),CM63/CM$33,"")</f>
        <v>#DIV/0!</v>
      </c>
      <c r="CN64" s="157" t="e">
        <f>IF(AND(CN$33&lt;&gt;0,CN63/CN$33&gt;0,CN63&gt;0),CN63/CN$33,"")</f>
        <v>#DIV/0!</v>
      </c>
      <c r="CO64" s="157" t="e">
        <f>IF(AND(CO$33&lt;&gt;0,CO63/CO$33&gt;0,CO63&gt;0),CO63/CO$33,"")</f>
        <v>#DIV/0!</v>
      </c>
      <c r="CP64" s="157" t="e">
        <f>IF(AND(CP$33&lt;&gt;0,CP63/CP$33&gt;0,CP63&gt;0),CP63/CP$33,"")</f>
        <v>#DIV/0!</v>
      </c>
      <c r="CW64" s="190"/>
      <c r="CX64" s="190"/>
      <c r="CY64" s="1047"/>
      <c r="CZ64" s="1047"/>
      <c r="DA64" s="1047"/>
      <c r="DB64" s="1047"/>
      <c r="DC64" s="1047"/>
      <c r="DD64" s="1047"/>
      <c r="DE64" s="1047"/>
      <c r="DF64" s="1047"/>
      <c r="DG64" s="1047"/>
      <c r="DH64" s="1047"/>
      <c r="DI64" s="1047"/>
      <c r="DJ64" s="1047"/>
      <c r="DK64" s="1047"/>
      <c r="DL64" s="1047"/>
      <c r="DM64" s="1047"/>
      <c r="DN64" s="1047"/>
      <c r="DO64" s="1047"/>
      <c r="DP64" s="1047"/>
      <c r="DQ64" s="1047"/>
      <c r="DR64" s="1047"/>
      <c r="DS64" s="1047"/>
      <c r="DT64" s="1047"/>
      <c r="DU64" s="1047"/>
      <c r="DV64" s="1047"/>
      <c r="DW64" s="1047"/>
      <c r="DX64" s="1047"/>
      <c r="DY64" s="1047"/>
      <c r="DZ64" s="1047"/>
      <c r="EA64" s="1047"/>
      <c r="EB64" s="1047"/>
      <c r="EC64" s="1047"/>
      <c r="ED64" s="1047"/>
      <c r="EE64" s="1047"/>
      <c r="EF64" s="1047"/>
      <c r="EG64" s="1047"/>
      <c r="EH64" s="1047"/>
      <c r="EI64" s="1047"/>
      <c r="EJ64" s="1047"/>
      <c r="EK64" s="1047"/>
      <c r="EL64" s="1047"/>
      <c r="EM64" s="1047"/>
      <c r="EN64" s="1047"/>
      <c r="EO64" s="1047"/>
      <c r="EP64" s="1047"/>
      <c r="EQ64" s="1047"/>
      <c r="ER64" s="1047"/>
      <c r="ES64" s="1047"/>
      <c r="ET64" s="1047"/>
      <c r="EU64" s="1047"/>
      <c r="EV64" s="1047"/>
      <c r="EW64" s="1047"/>
      <c r="EX64" s="1047"/>
      <c r="EY64" s="1047"/>
      <c r="EZ64" s="1047"/>
      <c r="FA64" s="1047"/>
      <c r="FB64" s="1047"/>
      <c r="FC64" s="1047"/>
      <c r="FD64" s="1047"/>
      <c r="FE64" s="1047"/>
      <c r="FF64" s="1047"/>
      <c r="FG64" s="1047"/>
      <c r="FH64" s="1047"/>
      <c r="FI64" s="1047"/>
      <c r="FJ64" s="1047"/>
    </row>
    <row r="65" spans="1:166" ht="12.75" customHeight="1" x14ac:dyDescent="0.35">
      <c r="A65" s="136"/>
      <c r="B65" s="136"/>
      <c r="C65" s="136"/>
      <c r="D65" s="142" t="str">
        <f>IF(Infrastructure!AN28=Infrastructure!AO28,"Sales &amp; Marketing Expenses","Sales &amp; Marketing - Rows with Hidden Values")</f>
        <v>Sales &amp; Marketing Expenses</v>
      </c>
      <c r="E65" s="147"/>
      <c r="F65" s="147"/>
      <c r="G65" s="147"/>
      <c r="H65" s="147"/>
      <c r="I65" s="147"/>
      <c r="J65" s="147"/>
      <c r="K65" s="147"/>
      <c r="L65" s="147"/>
      <c r="M65" s="147"/>
      <c r="N65" s="147"/>
      <c r="O65" s="147"/>
      <c r="P65" s="147"/>
      <c r="Q65" s="147"/>
      <c r="R65" s="147"/>
      <c r="S65" s="147"/>
      <c r="T65" s="147"/>
      <c r="U65" s="147"/>
      <c r="V65" s="147"/>
      <c r="W65" s="147"/>
      <c r="X65" s="147"/>
      <c r="Y65" s="147"/>
      <c r="Z65" s="147"/>
      <c r="AA65" s="147"/>
      <c r="AB65" s="147"/>
      <c r="AC65" s="147"/>
      <c r="AD65" s="147"/>
      <c r="AE65" s="147"/>
      <c r="AF65" s="147"/>
      <c r="AG65" s="147"/>
      <c r="AH65" s="147"/>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c r="BI65" s="147"/>
      <c r="BJ65" s="147"/>
      <c r="BK65" s="147"/>
      <c r="BL65" s="147"/>
      <c r="BM65" s="147"/>
      <c r="BN65" s="147"/>
      <c r="BO65" s="147"/>
      <c r="BP65" s="147"/>
      <c r="BQ65" s="147"/>
      <c r="BR65" s="1802"/>
      <c r="BS65" s="153">
        <v>1</v>
      </c>
      <c r="BT65" s="1802"/>
      <c r="BU65" s="164"/>
      <c r="BV65" s="138" t="s">
        <v>287</v>
      </c>
      <c r="BW65" s="147"/>
      <c r="BX65" s="147"/>
      <c r="BY65" s="147"/>
      <c r="BZ65" s="147"/>
      <c r="CA65" s="147"/>
      <c r="CB65" s="147"/>
      <c r="CC65" s="147"/>
      <c r="CD65" s="147"/>
      <c r="CE65" s="147"/>
      <c r="CF65" s="147"/>
      <c r="CG65" s="147"/>
      <c r="CH65" s="147"/>
      <c r="CI65" s="147"/>
      <c r="CJ65" s="147"/>
      <c r="CK65" s="147"/>
      <c r="CL65" s="147"/>
      <c r="CM65" s="147"/>
      <c r="CN65" s="147"/>
      <c r="CO65" s="147"/>
      <c r="CP65" s="147"/>
      <c r="CW65" s="179"/>
      <c r="CX65" s="179"/>
      <c r="CY65" s="305"/>
      <c r="CZ65" s="305"/>
      <c r="DA65" s="305"/>
      <c r="DB65" s="305"/>
      <c r="DC65" s="305"/>
      <c r="DD65" s="305"/>
      <c r="DE65" s="305"/>
      <c r="DF65" s="305"/>
      <c r="DG65" s="305"/>
      <c r="DH65" s="305"/>
      <c r="DI65" s="305"/>
      <c r="DJ65" s="305"/>
      <c r="DK65" s="305"/>
      <c r="DL65" s="305"/>
      <c r="DM65" s="305"/>
      <c r="DN65" s="305"/>
      <c r="DO65" s="305"/>
      <c r="DP65" s="305"/>
      <c r="DQ65" s="305"/>
      <c r="DR65" s="305"/>
      <c r="DS65" s="305"/>
      <c r="DT65" s="305"/>
      <c r="DU65" s="305"/>
      <c r="DV65" s="305"/>
      <c r="DW65" s="305"/>
      <c r="DX65" s="305"/>
      <c r="DY65" s="305"/>
      <c r="DZ65" s="305"/>
      <c r="EA65" s="305"/>
      <c r="EB65" s="305"/>
      <c r="EC65" s="305"/>
      <c r="ED65" s="305"/>
      <c r="EE65" s="305"/>
      <c r="EF65" s="305"/>
      <c r="EG65" s="305"/>
      <c r="EH65" s="305"/>
      <c r="EI65" s="305"/>
      <c r="EJ65" s="305"/>
      <c r="EK65" s="305"/>
      <c r="EL65" s="305"/>
      <c r="EM65" s="305"/>
      <c r="EN65" s="305"/>
      <c r="EO65" s="305"/>
      <c r="EP65" s="305"/>
      <c r="EQ65" s="305"/>
      <c r="ER65" s="305"/>
      <c r="ES65" s="305"/>
      <c r="ET65" s="305"/>
      <c r="EU65" s="305"/>
      <c r="EV65" s="305"/>
      <c r="EW65" s="305"/>
      <c r="EX65" s="305"/>
      <c r="EY65" s="305"/>
      <c r="EZ65" s="305"/>
      <c r="FA65" s="305"/>
      <c r="FB65" s="305"/>
      <c r="FC65" s="305"/>
      <c r="FD65" s="305"/>
      <c r="FE65" s="305"/>
      <c r="FF65" s="305"/>
      <c r="FG65" s="305"/>
      <c r="FH65" s="305"/>
      <c r="FI65" s="305"/>
      <c r="FJ65" s="305"/>
    </row>
    <row r="66" spans="1:166" ht="12.75" hidden="1" customHeight="1" x14ac:dyDescent="0.35">
      <c r="A66" s="136"/>
      <c r="B66" s="136"/>
      <c r="C66" s="136"/>
      <c r="D66" s="152" t="s">
        <v>201</v>
      </c>
      <c r="E66" s="1802">
        <f>Calcs!L203</f>
        <v>0</v>
      </c>
      <c r="F66" s="1802">
        <f>Calcs!M203</f>
        <v>0</v>
      </c>
      <c r="G66" s="1802">
        <f>Calcs!N203</f>
        <v>0</v>
      </c>
      <c r="H66" s="1802">
        <f>Calcs!O203</f>
        <v>0</v>
      </c>
      <c r="I66" s="1802">
        <f>Calcs!P203</f>
        <v>0</v>
      </c>
      <c r="J66" s="1802">
        <f>Calcs!Q203</f>
        <v>0</v>
      </c>
      <c r="K66" s="1802">
        <f>Calcs!R203</f>
        <v>0</v>
      </c>
      <c r="L66" s="1802">
        <f>Calcs!S203</f>
        <v>0</v>
      </c>
      <c r="M66" s="1802">
        <f>Calcs!T203</f>
        <v>0</v>
      </c>
      <c r="N66" s="1802">
        <f>Calcs!U203</f>
        <v>0</v>
      </c>
      <c r="O66" s="1802">
        <f>Calcs!V203</f>
        <v>0</v>
      </c>
      <c r="P66" s="1802">
        <f>Calcs!W203</f>
        <v>0</v>
      </c>
      <c r="Q66" s="151">
        <f>SUM(E66:P66)</f>
        <v>0</v>
      </c>
      <c r="R66" s="1802">
        <f>Calcs!X203</f>
        <v>0</v>
      </c>
      <c r="S66" s="1802">
        <f>Calcs!Y203</f>
        <v>0</v>
      </c>
      <c r="T66" s="1802">
        <f>Calcs!Z203</f>
        <v>0</v>
      </c>
      <c r="U66" s="1802">
        <f>Calcs!AA203</f>
        <v>0</v>
      </c>
      <c r="V66" s="1802">
        <f>Calcs!AB203</f>
        <v>0</v>
      </c>
      <c r="W66" s="1802">
        <f>Calcs!AC203</f>
        <v>0</v>
      </c>
      <c r="X66" s="1802">
        <f>Calcs!AD203</f>
        <v>0</v>
      </c>
      <c r="Y66" s="1802">
        <f>Calcs!AE203</f>
        <v>0</v>
      </c>
      <c r="Z66" s="1802">
        <f>Calcs!AF203</f>
        <v>0</v>
      </c>
      <c r="AA66" s="1802">
        <f>Calcs!AG203</f>
        <v>0</v>
      </c>
      <c r="AB66" s="1802">
        <f>Calcs!AH203</f>
        <v>0</v>
      </c>
      <c r="AC66" s="1802">
        <f>Calcs!AI203</f>
        <v>0</v>
      </c>
      <c r="AD66" s="151">
        <f>SUM(R66:AC66)</f>
        <v>0</v>
      </c>
      <c r="AE66" s="1802">
        <f>Calcs!AJ203</f>
        <v>0</v>
      </c>
      <c r="AF66" s="1802">
        <f>Calcs!AK203</f>
        <v>0</v>
      </c>
      <c r="AG66" s="1802">
        <f>Calcs!AL203</f>
        <v>0</v>
      </c>
      <c r="AH66" s="1802">
        <f>Calcs!AM203</f>
        <v>0</v>
      </c>
      <c r="AI66" s="1802">
        <f>Calcs!AN203</f>
        <v>0</v>
      </c>
      <c r="AJ66" s="1802">
        <f>Calcs!AO203</f>
        <v>0</v>
      </c>
      <c r="AK66" s="1802">
        <f>Calcs!AP203</f>
        <v>0</v>
      </c>
      <c r="AL66" s="1802">
        <f>Calcs!AQ203</f>
        <v>0</v>
      </c>
      <c r="AM66" s="1802">
        <f>Calcs!AR203</f>
        <v>0</v>
      </c>
      <c r="AN66" s="1802">
        <f>Calcs!AS203</f>
        <v>0</v>
      </c>
      <c r="AO66" s="1802">
        <f>Calcs!AT203</f>
        <v>0</v>
      </c>
      <c r="AP66" s="1802">
        <f>Calcs!AU203</f>
        <v>0</v>
      </c>
      <c r="AQ66" s="151">
        <f>SUM(AE66:AP66)</f>
        <v>0</v>
      </c>
      <c r="AR66" s="1802">
        <f>Calcs!AV203</f>
        <v>0</v>
      </c>
      <c r="AS66" s="1802">
        <f>Calcs!AW203</f>
        <v>0</v>
      </c>
      <c r="AT66" s="1802">
        <f>Calcs!AX203</f>
        <v>0</v>
      </c>
      <c r="AU66" s="1802">
        <f>Calcs!AY203</f>
        <v>0</v>
      </c>
      <c r="AV66" s="1802">
        <f>Calcs!AZ203</f>
        <v>0</v>
      </c>
      <c r="AW66" s="1802">
        <f>Calcs!BA203</f>
        <v>0</v>
      </c>
      <c r="AX66" s="1802">
        <f>Calcs!BB203</f>
        <v>0</v>
      </c>
      <c r="AY66" s="1802">
        <f>Calcs!BC203</f>
        <v>0</v>
      </c>
      <c r="AZ66" s="1802">
        <f>Calcs!BD203</f>
        <v>0</v>
      </c>
      <c r="BA66" s="1802">
        <f>Calcs!BE203</f>
        <v>0</v>
      </c>
      <c r="BB66" s="1802">
        <f>Calcs!BF203</f>
        <v>0</v>
      </c>
      <c r="BC66" s="1802">
        <f>Calcs!BG203</f>
        <v>0</v>
      </c>
      <c r="BD66" s="1802">
        <f>SUM(AR66:BC66)</f>
      </c>
      <c r="BE66" s="1802">
        <f>Calcs!BI203</f>
        <v>0</v>
      </c>
      <c r="BF66" s="1802">
        <f>Calcs!BJ203</f>
        <v>0</v>
      </c>
      <c r="BG66" s="1802">
        <f>Calcs!BK203</f>
        <v>0</v>
      </c>
      <c r="BH66" s="1802">
        <f>Calcs!BL203</f>
        <v>0</v>
      </c>
      <c r="BI66" s="1802">
        <f>Calcs!BM203</f>
        <v>0</v>
      </c>
      <c r="BJ66" s="1802">
        <f>Calcs!BN203</f>
        <v>0</v>
      </c>
      <c r="BK66" s="1802">
        <f>Calcs!BO203</f>
        <v>0</v>
      </c>
      <c r="BL66" s="1802">
        <f>Calcs!BP203</f>
        <v>0</v>
      </c>
      <c r="BM66" s="1802">
        <f>Calcs!BQ203</f>
        <v>0</v>
      </c>
      <c r="BN66" s="1802">
        <f>Calcs!BR203</f>
        <v>0</v>
      </c>
      <c r="BO66" s="1802">
        <f>Calcs!BS203</f>
        <v>0</v>
      </c>
      <c r="BP66" s="1802">
        <f>Calcs!BT203</f>
        <v>0</v>
      </c>
      <c r="BQ66" s="151">
        <f>SUM(BE66:BP66)</f>
        <v>0</v>
      </c>
      <c r="BR66" s="1802"/>
      <c r="BS66" s="153">
        <f>SUM(BQ66,BD66,AQ66,AD66,Q66)</f>
        <v>0</v>
      </c>
      <c r="BT66" s="1802"/>
      <c r="BU66" s="164">
        <f>SUM(BQ66,BD66,AQ66,AD66,Q66)</f>
      </c>
      <c r="BV66" s="138"/>
      <c r="BW66" s="147"/>
      <c r="BX66" s="147"/>
      <c r="BY66" s="147"/>
      <c r="BZ66" s="147"/>
      <c r="CA66" s="147"/>
      <c r="CB66" s="147"/>
      <c r="CC66" s="147"/>
      <c r="CD66" s="147"/>
      <c r="CE66" s="147"/>
      <c r="CF66" s="147"/>
      <c r="CG66" s="147"/>
      <c r="CH66" s="147"/>
      <c r="CI66" s="147"/>
      <c r="CJ66" s="147"/>
      <c r="CK66" s="147"/>
      <c r="CL66" s="147"/>
      <c r="CM66" s="147"/>
      <c r="CN66" s="147"/>
      <c r="CO66" s="147"/>
      <c r="CP66" s="147"/>
      <c r="CW66" s="179"/>
      <c r="CX66" s="179"/>
      <c r="CY66" s="305"/>
      <c r="CZ66" s="305"/>
      <c r="DA66" s="305"/>
      <c r="DB66" s="305"/>
      <c r="DC66" s="305"/>
      <c r="DD66" s="305"/>
      <c r="DE66" s="305"/>
      <c r="DF66" s="305"/>
      <c r="DG66" s="305"/>
      <c r="DH66" s="305"/>
      <c r="DI66" s="305"/>
      <c r="DJ66" s="305"/>
      <c r="DK66" s="305"/>
      <c r="DL66" s="305"/>
      <c r="DM66" s="305"/>
      <c r="DN66" s="305"/>
      <c r="DO66" s="305"/>
      <c r="DP66" s="305"/>
      <c r="DQ66" s="305"/>
      <c r="DR66" s="305"/>
      <c r="DS66" s="305"/>
      <c r="DT66" s="305"/>
      <c r="DU66" s="305"/>
      <c r="DV66" s="305"/>
      <c r="DW66" s="305"/>
      <c r="DX66" s="305"/>
      <c r="DY66" s="305"/>
      <c r="DZ66" s="305"/>
      <c r="EA66" s="305"/>
      <c r="EB66" s="305"/>
      <c r="EC66" s="305"/>
      <c r="ED66" s="305"/>
      <c r="EE66" s="305"/>
      <c r="EF66" s="305"/>
      <c r="EG66" s="305"/>
      <c r="EH66" s="305"/>
      <c r="EI66" s="305"/>
      <c r="EJ66" s="305"/>
      <c r="EK66" s="305"/>
      <c r="EL66" s="305"/>
      <c r="EM66" s="305"/>
      <c r="EN66" s="305"/>
      <c r="EO66" s="305"/>
      <c r="EP66" s="305"/>
      <c r="EQ66" s="305"/>
      <c r="ER66" s="305"/>
      <c r="ES66" s="305"/>
      <c r="ET66" s="305"/>
      <c r="EU66" s="305"/>
      <c r="EV66" s="305"/>
      <c r="EW66" s="305"/>
      <c r="EX66" s="305"/>
      <c r="EY66" s="305"/>
      <c r="EZ66" s="305"/>
      <c r="FA66" s="305"/>
      <c r="FB66" s="305"/>
      <c r="FC66" s="305"/>
      <c r="FD66" s="305"/>
      <c r="FE66" s="305"/>
      <c r="FF66" s="305"/>
      <c r="FG66" s="305"/>
      <c r="FH66" s="305"/>
      <c r="FI66" s="305"/>
      <c r="FJ66" s="305"/>
    </row>
    <row r="67" spans="1:166" ht="12.75" hidden="1" customHeight="1" x14ac:dyDescent="0.35">
      <c r="A67" s="136"/>
      <c r="B67" s="136"/>
      <c r="C67" s="136"/>
      <c r="D67" s="152" t="s">
        <v>288</v>
      </c>
      <c r="E67" s="1802">
        <f>Calcs!L204</f>
        <v>0</v>
      </c>
      <c r="F67" s="1802">
        <f>Calcs!M204</f>
        <v>0</v>
      </c>
      <c r="G67" s="1802">
        <f>Calcs!N204</f>
        <v>0</v>
      </c>
      <c r="H67" s="1802">
        <f>Calcs!O204</f>
        <v>0</v>
      </c>
      <c r="I67" s="1802">
        <f>Calcs!P204</f>
        <v>0</v>
      </c>
      <c r="J67" s="1802">
        <f>Calcs!Q204</f>
        <v>0</v>
      </c>
      <c r="K67" s="1802">
        <f>Calcs!R204</f>
        <v>0</v>
      </c>
      <c r="L67" s="1802">
        <f>Calcs!S204</f>
        <v>0</v>
      </c>
      <c r="M67" s="1802">
        <f>Calcs!T204</f>
        <v>0</v>
      </c>
      <c r="N67" s="1802">
        <f>Calcs!U204</f>
        <v>0</v>
      </c>
      <c r="O67" s="1802">
        <f>Calcs!V204</f>
        <v>0</v>
      </c>
      <c r="P67" s="1802">
        <f>Calcs!W204</f>
        <v>0</v>
      </c>
      <c r="Q67" s="151">
        <f>SUM(E67:P67)</f>
        <v>0</v>
      </c>
      <c r="R67" s="1802">
        <f>Calcs!X204</f>
        <v>0</v>
      </c>
      <c r="S67" s="1802">
        <f>Calcs!Y204</f>
        <v>0</v>
      </c>
      <c r="T67" s="1802">
        <f>Calcs!Z204</f>
        <v>0</v>
      </c>
      <c r="U67" s="1802">
        <f>Calcs!AA204</f>
        <v>0</v>
      </c>
      <c r="V67" s="1802">
        <f>Calcs!AB204</f>
        <v>0</v>
      </c>
      <c r="W67" s="1802">
        <f>Calcs!AC204</f>
        <v>0</v>
      </c>
      <c r="X67" s="1802">
        <f>Calcs!AD204</f>
        <v>0</v>
      </c>
      <c r="Y67" s="1802">
        <f>Calcs!AE204</f>
        <v>0</v>
      </c>
      <c r="Z67" s="1802">
        <f>Calcs!AF204</f>
        <v>0</v>
      </c>
      <c r="AA67" s="1802">
        <f>Calcs!AG204</f>
        <v>0</v>
      </c>
      <c r="AB67" s="1802">
        <f>Calcs!AH204</f>
        <v>0</v>
      </c>
      <c r="AC67" s="1802">
        <f>Calcs!AI204</f>
        <v>0</v>
      </c>
      <c r="AD67" s="151">
        <f>SUM(R67:AC67)</f>
        <v>0</v>
      </c>
      <c r="AE67" s="1802">
        <f>Calcs!AJ204</f>
        <v>0</v>
      </c>
      <c r="AF67" s="1802">
        <f>Calcs!AK204</f>
        <v>0</v>
      </c>
      <c r="AG67" s="1802">
        <f>Calcs!AL204</f>
        <v>0</v>
      </c>
      <c r="AH67" s="1802">
        <f>Calcs!AM204</f>
        <v>0</v>
      </c>
      <c r="AI67" s="1802">
        <f>Calcs!AN204</f>
        <v>0</v>
      </c>
      <c r="AJ67" s="1802">
        <f>Calcs!AO204</f>
        <v>0</v>
      </c>
      <c r="AK67" s="1802">
        <f>Calcs!AP204</f>
        <v>0</v>
      </c>
      <c r="AL67" s="1802">
        <f>Calcs!AQ204</f>
        <v>0</v>
      </c>
      <c r="AM67" s="1802">
        <f>Calcs!AR204</f>
        <v>0</v>
      </c>
      <c r="AN67" s="1802">
        <f>Calcs!AS204</f>
        <v>0</v>
      </c>
      <c r="AO67" s="1802">
        <f>Calcs!AT204</f>
        <v>0</v>
      </c>
      <c r="AP67" s="1802">
        <f>Calcs!AU204</f>
        <v>0</v>
      </c>
      <c r="AQ67" s="151">
        <f>SUM(AE67:AP67)</f>
        <v>0</v>
      </c>
      <c r="AR67" s="1802">
        <f>Calcs!AV204</f>
        <v>0</v>
      </c>
      <c r="AS67" s="1802">
        <f>Calcs!AW204</f>
        <v>0</v>
      </c>
      <c r="AT67" s="1802">
        <f>Calcs!AX204</f>
        <v>0</v>
      </c>
      <c r="AU67" s="1802">
        <f>Calcs!AY204</f>
        <v>0</v>
      </c>
      <c r="AV67" s="1802">
        <f>Calcs!AZ204</f>
        <v>0</v>
      </c>
      <c r="AW67" s="1802">
        <f>Calcs!BA204</f>
        <v>0</v>
      </c>
      <c r="AX67" s="1802">
        <f>Calcs!BB204</f>
        <v>0</v>
      </c>
      <c r="AY67" s="1802">
        <f>Calcs!BC204</f>
        <v>0</v>
      </c>
      <c r="AZ67" s="1802">
        <f>Calcs!BD204</f>
        <v>0</v>
      </c>
      <c r="BA67" s="1802">
        <f>Calcs!BE204</f>
        <v>0</v>
      </c>
      <c r="BB67" s="1802">
        <f>Calcs!BF204</f>
        <v>0</v>
      </c>
      <c r="BC67" s="1802">
        <f>Calcs!BG204</f>
        <v>0</v>
      </c>
      <c r="BD67" s="1802">
        <f>SUM(AR67:BC67)</f>
      </c>
      <c r="BE67" s="1802">
        <f>Calcs!BI204</f>
        <v>0</v>
      </c>
      <c r="BF67" s="1802">
        <f>Calcs!BJ204</f>
        <v>0</v>
      </c>
      <c r="BG67" s="1802">
        <f>Calcs!BK204</f>
        <v>0</v>
      </c>
      <c r="BH67" s="1802">
        <f>Calcs!BL204</f>
        <v>0</v>
      </c>
      <c r="BI67" s="1802">
        <f>Calcs!BM204</f>
        <v>0</v>
      </c>
      <c r="BJ67" s="1802">
        <f>Calcs!BN204</f>
        <v>0</v>
      </c>
      <c r="BK67" s="1802">
        <f>Calcs!BO204</f>
        <v>0</v>
      </c>
      <c r="BL67" s="1802">
        <f>Calcs!BP204</f>
        <v>0</v>
      </c>
      <c r="BM67" s="1802">
        <f>Calcs!BQ204</f>
        <v>0</v>
      </c>
      <c r="BN67" s="1802">
        <f>Calcs!BR204</f>
        <v>0</v>
      </c>
      <c r="BO67" s="1802">
        <f>Calcs!BS204</f>
        <v>0</v>
      </c>
      <c r="BP67" s="1802">
        <f>Calcs!BT204</f>
        <v>0</v>
      </c>
      <c r="BQ67" s="151">
        <f>SUM(BE67:BP67)</f>
        <v>0</v>
      </c>
      <c r="BR67" s="1802"/>
      <c r="BS67" s="153">
        <f>SUM(BQ67,BD67,AQ67,AD67,Q67)</f>
        <v>0</v>
      </c>
      <c r="BT67" s="1802"/>
      <c r="BU67" s="164">
        <f>SUM(BQ67,BD67,AQ67,AD67,Q67)</f>
      </c>
      <c r="BV67" s="138"/>
      <c r="BW67" s="147"/>
      <c r="BX67" s="147"/>
      <c r="BY67" s="147"/>
      <c r="BZ67" s="147"/>
      <c r="CA67" s="147"/>
      <c r="CB67" s="147"/>
      <c r="CC67" s="147"/>
      <c r="CD67" s="147"/>
      <c r="CE67" s="147"/>
      <c r="CF67" s="147"/>
      <c r="CG67" s="147"/>
      <c r="CH67" s="147"/>
      <c r="CI67" s="147"/>
      <c r="CJ67" s="147"/>
      <c r="CK67" s="147"/>
      <c r="CL67" s="147"/>
      <c r="CM67" s="147"/>
      <c r="CN67" s="147"/>
      <c r="CO67" s="147"/>
      <c r="CP67" s="147"/>
      <c r="CW67" s="179"/>
      <c r="CX67" s="179"/>
      <c r="CY67" s="305"/>
      <c r="CZ67" s="305"/>
      <c r="DA67" s="305"/>
      <c r="DB67" s="305"/>
      <c r="DC67" s="305"/>
      <c r="DD67" s="305"/>
      <c r="DE67" s="305"/>
      <c r="DF67" s="305"/>
      <c r="DG67" s="305"/>
      <c r="DH67" s="305"/>
      <c r="DI67" s="305"/>
      <c r="DJ67" s="305"/>
      <c r="DK67" s="305"/>
      <c r="DL67" s="305"/>
      <c r="DM67" s="305"/>
      <c r="DN67" s="305"/>
      <c r="DO67" s="305"/>
      <c r="DP67" s="305"/>
      <c r="DQ67" s="305"/>
      <c r="DR67" s="305"/>
      <c r="DS67" s="305"/>
      <c r="DT67" s="305"/>
      <c r="DU67" s="305"/>
      <c r="DV67" s="305"/>
      <c r="DW67" s="305"/>
      <c r="DX67" s="305"/>
      <c r="DY67" s="305"/>
      <c r="DZ67" s="305"/>
      <c r="EA67" s="305"/>
      <c r="EB67" s="305"/>
      <c r="EC67" s="305"/>
      <c r="ED67" s="305"/>
      <c r="EE67" s="305"/>
      <c r="EF67" s="305"/>
      <c r="EG67" s="305"/>
      <c r="EH67" s="305"/>
      <c r="EI67" s="305"/>
      <c r="EJ67" s="305"/>
      <c r="EK67" s="305"/>
      <c r="EL67" s="305"/>
      <c r="EM67" s="305"/>
      <c r="EN67" s="305"/>
      <c r="EO67" s="305"/>
      <c r="EP67" s="305"/>
      <c r="EQ67" s="305"/>
      <c r="ER67" s="305"/>
      <c r="ES67" s="305"/>
      <c r="ET67" s="305"/>
      <c r="EU67" s="305"/>
      <c r="EV67" s="305"/>
      <c r="EW67" s="305"/>
      <c r="EX67" s="305"/>
      <c r="EY67" s="305"/>
      <c r="EZ67" s="305"/>
      <c r="FA67" s="305"/>
      <c r="FB67" s="305"/>
      <c r="FC67" s="305"/>
      <c r="FD67" s="305"/>
      <c r="FE67" s="305"/>
      <c r="FF67" s="305"/>
      <c r="FG67" s="305"/>
      <c r="FH67" s="305"/>
      <c r="FI67" s="305"/>
      <c r="FJ67" s="305"/>
    </row>
    <row r="68" spans="1:166" ht="12.75" customHeight="1" x14ac:dyDescent="0.35">
      <c r="A68" s="136"/>
      <c r="B68" s="136"/>
      <c r="C68" s="136"/>
      <c r="D68" s="172" t="str">
        <f>IF(Calcs!CE404="","TBD",Calcs!CE404)</f>
        <v>TBD</v>
      </c>
      <c r="E68" s="149">
        <f>Calcs!CF404</f>
        <v>0</v>
      </c>
      <c r="F68" s="149">
        <f>Calcs!CG404</f>
        <v>0</v>
      </c>
      <c r="G68" s="149">
        <f>Calcs!CH404</f>
        <v>0</v>
      </c>
      <c r="H68" s="149">
        <f>Calcs!CI404</f>
        <v>0</v>
      </c>
      <c r="I68" s="149">
        <f>Calcs!CJ404</f>
        <v>0</v>
      </c>
      <c r="J68" s="149">
        <f>Calcs!CK404</f>
        <v>0</v>
      </c>
      <c r="K68" s="149">
        <f>Calcs!CL404</f>
        <v>0</v>
      </c>
      <c r="L68" s="149">
        <f>Calcs!CM404</f>
        <v>0</v>
      </c>
      <c r="M68" s="149">
        <f>Calcs!CN404</f>
        <v>0</v>
      </c>
      <c r="N68" s="149">
        <f>Calcs!CO404</f>
        <v>0</v>
      </c>
      <c r="O68" s="149">
        <f>Calcs!CP404</f>
        <v>0</v>
      </c>
      <c r="P68" s="149">
        <f>Calcs!CQ404</f>
        <v>0</v>
      </c>
      <c r="Q68" s="151">
        <f>SUM(E68:P68)</f>
        <v>0</v>
      </c>
      <c r="R68" s="149">
        <f>Calcs!CR404</f>
        <v>0</v>
      </c>
      <c r="S68" s="149">
        <f>Calcs!CS404</f>
        <v>0</v>
      </c>
      <c r="T68" s="149">
        <f>Calcs!CT404</f>
        <v>0</v>
      </c>
      <c r="U68" s="149">
        <f>Calcs!CU404</f>
        <v>0</v>
      </c>
      <c r="V68" s="149">
        <f>Calcs!CV404</f>
        <v>0</v>
      </c>
      <c r="W68" s="149">
        <f>Calcs!CW404</f>
        <v>0</v>
      </c>
      <c r="X68" s="149">
        <f>Calcs!CX404</f>
        <v>0</v>
      </c>
      <c r="Y68" s="149">
        <f>Calcs!CY404</f>
        <v>0</v>
      </c>
      <c r="Z68" s="149">
        <f>Calcs!CZ404</f>
        <v>0</v>
      </c>
      <c r="AA68" s="149">
        <f>Calcs!DA404</f>
        <v>0</v>
      </c>
      <c r="AB68" s="149">
        <f>Calcs!DB404</f>
        <v>0</v>
      </c>
      <c r="AC68" s="149">
        <f>Calcs!DC404</f>
        <v>0</v>
      </c>
      <c r="AD68" s="149">
        <f>SUM(R68:AC68)</f>
        <v>0</v>
      </c>
      <c r="AE68" s="149">
        <f>Calcs!DD404</f>
        <v>0</v>
      </c>
      <c r="AF68" s="149">
        <f>Calcs!DE404</f>
        <v>0</v>
      </c>
      <c r="AG68" s="149">
        <f>Calcs!DF404</f>
        <v>0</v>
      </c>
      <c r="AH68" s="149">
        <f>Calcs!DG404</f>
        <v>0</v>
      </c>
      <c r="AI68" s="149">
        <f>Calcs!DH404</f>
        <v>0</v>
      </c>
      <c r="AJ68" s="149">
        <f>Calcs!DI404</f>
        <v>0</v>
      </c>
      <c r="AK68" s="149">
        <f>Calcs!DJ404</f>
        <v>0</v>
      </c>
      <c r="AL68" s="149">
        <f>Calcs!DK404</f>
        <v>0</v>
      </c>
      <c r="AM68" s="149">
        <f>Calcs!DL404</f>
        <v>0</v>
      </c>
      <c r="AN68" s="149">
        <f>Calcs!DM404</f>
        <v>0</v>
      </c>
      <c r="AO68" s="149">
        <f>Calcs!DN404</f>
        <v>0</v>
      </c>
      <c r="AP68" s="149">
        <f>Calcs!DO404</f>
        <v>0</v>
      </c>
      <c r="AQ68" s="149">
        <f>SUM(AE68:AP68)</f>
        <v>0</v>
      </c>
      <c r="AR68" s="149">
        <f>Calcs!DP404</f>
        <v>0</v>
      </c>
      <c r="AS68" s="149">
        <f>Calcs!DQ404</f>
        <v>0</v>
      </c>
      <c r="AT68" s="149">
        <f>Calcs!DR404</f>
        <v>0</v>
      </c>
      <c r="AU68" s="149">
        <f>Calcs!DS404</f>
        <v>0</v>
      </c>
      <c r="AV68" s="149">
        <f>Calcs!DT404</f>
        <v>0</v>
      </c>
      <c r="AW68" s="149">
        <f>Calcs!DU404</f>
        <v>0</v>
      </c>
      <c r="AX68" s="149">
        <f>Calcs!DV404</f>
        <v>0</v>
      </c>
      <c r="AY68" s="149">
        <f>Calcs!DW404</f>
        <v>0</v>
      </c>
      <c r="AZ68" s="149">
        <f>Calcs!DX404</f>
        <v>0</v>
      </c>
      <c r="BA68" s="149">
        <f>Calcs!DY404</f>
        <v>0</v>
      </c>
      <c r="BB68" s="149">
        <f>Calcs!DZ404</f>
        <v>0</v>
      </c>
      <c r="BC68" s="149">
        <f>Calcs!EA404</f>
        <v>0</v>
      </c>
      <c r="BD68" s="149">
        <f>SUM(AR68:BC68)</f>
        <v>0</v>
      </c>
      <c r="BE68" s="149">
        <f>Calcs!EB404</f>
        <v>0</v>
      </c>
      <c r="BF68" s="149">
        <f>Calcs!EC404</f>
        <v>0</v>
      </c>
      <c r="BG68" s="149">
        <f>Calcs!ED404</f>
        <v>0</v>
      </c>
      <c r="BH68" s="149">
        <f>Calcs!EE404</f>
        <v>0</v>
      </c>
      <c r="BI68" s="149">
        <f>Calcs!EF404</f>
        <v>0</v>
      </c>
      <c r="BJ68" s="149">
        <f>Calcs!EG404</f>
        <v>0</v>
      </c>
      <c r="BK68" s="149">
        <f>Calcs!EH404</f>
        <v>0</v>
      </c>
      <c r="BL68" s="149">
        <f>Calcs!EI404</f>
        <v>0</v>
      </c>
      <c r="BM68" s="149">
        <f>Calcs!EJ404</f>
        <v>0</v>
      </c>
      <c r="BN68" s="149">
        <f>Calcs!EK404</f>
        <v>0</v>
      </c>
      <c r="BO68" s="149">
        <f>Calcs!EL404</f>
        <v>0</v>
      </c>
      <c r="BP68" s="149">
        <f>Calcs!EM404</f>
        <v>0</v>
      </c>
      <c r="BQ68" s="149">
        <f>SUM(BE68:BP68)</f>
        <v>0</v>
      </c>
      <c r="BR68" s="1802"/>
      <c r="BS68" s="153">
        <f>SUM(BQ68,BD68,AQ68,AD68,Q68)</f>
        <v>0</v>
      </c>
      <c r="BT68" s="1802"/>
      <c r="BU68" s="153">
        <f>SUM(BQ68,BD68,AQ68,AD68,Q68)</f>
      </c>
      <c r="BV68" s="158">
        <f>Input!D167</f>
        <v>0</v>
      </c>
      <c r="BW68" s="96">
        <f>SUM(Financials!E68:'Financials'!G68)</f>
        <v>0</v>
      </c>
      <c r="BX68" s="96">
        <f>SUM(Financials!H68:'Financials'!J68)</f>
        <v>0</v>
      </c>
      <c r="BY68" s="96">
        <f>SUM(Financials!K68:'Financials'!M68)</f>
        <v>0</v>
      </c>
      <c r="BZ68" s="96">
        <f>SUM(Financials!N68:'Financials'!P68)</f>
        <v>0</v>
      </c>
      <c r="CA68" s="149">
        <f>SUM(Financials!R68:'Financials'!T68)</f>
        <v>0</v>
      </c>
      <c r="CB68" s="149">
        <f>SUM(Financials!U68:'Financials'!W68)</f>
        <v>0</v>
      </c>
      <c r="CC68" s="149">
        <f>SUM(Financials!X68:'Financials'!Z68)</f>
        <v>0</v>
      </c>
      <c r="CD68" s="149">
        <f>SUM(Financials!AA68:'Financials'!AC68)</f>
        <v>0</v>
      </c>
      <c r="CE68" s="149">
        <f>SUM(Financials!AE68:'Financials'!AG68)</f>
        <v>0</v>
      </c>
      <c r="CF68" s="149">
        <f>SUM(Financials!AH68:'Financials'!AJ68)</f>
        <v>0</v>
      </c>
      <c r="CG68" s="149">
        <f>SUM(Financials!AK68:'Financials'!AM68)</f>
        <v>0</v>
      </c>
      <c r="CH68" s="149">
        <f>SUM(Financials!AN68:'Financials'!AP68)</f>
        <v>0</v>
      </c>
      <c r="CI68" s="149">
        <f>SUM(Financials!AR68:'Financials'!AT68)</f>
        <v>0</v>
      </c>
      <c r="CJ68" s="149">
        <f>SUM(Financials!AU68:'Financials'!AW68)</f>
        <v>0</v>
      </c>
      <c r="CK68" s="149">
        <f>SUM(Financials!AX68:'Financials'!AZ68)</f>
        <v>0</v>
      </c>
      <c r="CL68" s="149">
        <f>SUM(Financials!BA68:'Financials'!BC68)</f>
        <v>0</v>
      </c>
      <c r="CM68" s="149">
        <f>SUM(Financials!BE68:'Financials'!BG68)</f>
        <v>0</v>
      </c>
      <c r="CN68" s="149">
        <f>SUM(Financials!BH68:'Financials'!BJ68)</f>
        <v>0</v>
      </c>
      <c r="CO68" s="149">
        <f>SUM(Financials!BK68:'Financials'!BM68)</f>
        <v>0</v>
      </c>
      <c r="CP68" s="149">
        <f>SUM(Financials!BN68:'Financials'!BP68)</f>
        <v>0</v>
      </c>
      <c r="CW68" s="179"/>
      <c r="CX68" s="179"/>
      <c r="CY68" s="305"/>
      <c r="CZ68" s="305"/>
      <c r="DA68" s="305"/>
      <c r="DB68" s="305"/>
      <c r="DC68" s="305"/>
      <c r="DD68" s="305"/>
      <c r="DE68" s="305"/>
      <c r="DF68" s="305"/>
      <c r="DG68" s="305"/>
      <c r="DH68" s="305"/>
      <c r="DI68" s="305"/>
      <c r="DJ68" s="305"/>
      <c r="DK68" s="305"/>
      <c r="DL68" s="305"/>
      <c r="DM68" s="305"/>
      <c r="DN68" s="305"/>
      <c r="DO68" s="305"/>
      <c r="DP68" s="305"/>
      <c r="DQ68" s="305"/>
      <c r="DR68" s="305"/>
      <c r="DS68" s="305"/>
      <c r="DT68" s="305"/>
      <c r="DU68" s="305"/>
      <c r="DV68" s="305"/>
      <c r="DW68" s="305"/>
      <c r="DX68" s="305"/>
      <c r="DY68" s="305"/>
      <c r="DZ68" s="305"/>
      <c r="EA68" s="305"/>
      <c r="EB68" s="305"/>
      <c r="EC68" s="305"/>
      <c r="ED68" s="305"/>
      <c r="EE68" s="305"/>
      <c r="EF68" s="305"/>
      <c r="EG68" s="305"/>
      <c r="EH68" s="305"/>
      <c r="EI68" s="305"/>
      <c r="EJ68" s="305"/>
      <c r="EK68" s="305"/>
      <c r="EL68" s="305"/>
      <c r="EM68" s="305"/>
      <c r="EN68" s="305"/>
      <c r="EO68" s="305"/>
      <c r="EP68" s="305"/>
      <c r="EQ68" s="305"/>
      <c r="ER68" s="305"/>
      <c r="ES68" s="305"/>
      <c r="ET68" s="305"/>
      <c r="EU68" s="305"/>
      <c r="EV68" s="305"/>
      <c r="EW68" s="305"/>
      <c r="EX68" s="305"/>
      <c r="EY68" s="305"/>
      <c r="EZ68" s="305"/>
      <c r="FA68" s="305"/>
      <c r="FB68" s="305"/>
      <c r="FC68" s="305"/>
      <c r="FD68" s="305"/>
      <c r="FE68" s="305"/>
      <c r="FF68" s="305"/>
      <c r="FG68" s="305"/>
      <c r="FH68" s="305"/>
      <c r="FI68" s="305"/>
      <c r="FJ68" s="305"/>
    </row>
    <row r="69" spans="1:166" ht="12.75" customHeight="1" x14ac:dyDescent="0.35">
      <c r="A69" s="136"/>
      <c r="B69" s="136"/>
      <c r="C69" s="136"/>
      <c r="D69" s="172" t="str">
        <f>IF(Calcs!CE405="","TBD",Calcs!CE405)</f>
        <v>TBD</v>
      </c>
      <c r="E69" s="149">
        <f>Calcs!CF405</f>
        <v>0</v>
      </c>
      <c r="F69" s="149">
        <f>Calcs!CG405</f>
        <v>0</v>
      </c>
      <c r="G69" s="149">
        <f>Calcs!CH405</f>
        <v>0</v>
      </c>
      <c r="H69" s="149">
        <f>Calcs!CI405</f>
        <v>0</v>
      </c>
      <c r="I69" s="149">
        <f>Calcs!CJ405</f>
        <v>0</v>
      </c>
      <c r="J69" s="149">
        <f>Calcs!CK405</f>
        <v>0</v>
      </c>
      <c r="K69" s="149">
        <f>Calcs!CL405</f>
        <v>0</v>
      </c>
      <c r="L69" s="149">
        <f>Calcs!CM405</f>
        <v>0</v>
      </c>
      <c r="M69" s="149">
        <f>Calcs!CN405</f>
        <v>0</v>
      </c>
      <c r="N69" s="149">
        <f>Calcs!CO405</f>
        <v>0</v>
      </c>
      <c r="O69" s="149">
        <f>Calcs!CP405</f>
        <v>0</v>
      </c>
      <c r="P69" s="149">
        <f>Calcs!CQ405</f>
        <v>0</v>
      </c>
      <c r="Q69" s="151">
        <f>SUM(E69:P69)</f>
        <v>0</v>
      </c>
      <c r="R69" s="149">
        <f>Calcs!CR405</f>
        <v>0</v>
      </c>
      <c r="S69" s="149">
        <f>Calcs!CS405</f>
        <v>0</v>
      </c>
      <c r="T69" s="149">
        <f>Calcs!CT405</f>
        <v>0</v>
      </c>
      <c r="U69" s="149">
        <f>Calcs!CU405</f>
        <v>0</v>
      </c>
      <c r="V69" s="149">
        <f>Calcs!CV405</f>
        <v>0</v>
      </c>
      <c r="W69" s="149">
        <f>Calcs!CW405</f>
        <v>0</v>
      </c>
      <c r="X69" s="149">
        <f>Calcs!CX405</f>
        <v>0</v>
      </c>
      <c r="Y69" s="149">
        <f>Calcs!CY405</f>
        <v>0</v>
      </c>
      <c r="Z69" s="149">
        <f>Calcs!CZ405</f>
        <v>0</v>
      </c>
      <c r="AA69" s="149">
        <f>Calcs!DA405</f>
        <v>0</v>
      </c>
      <c r="AB69" s="149">
        <f>Calcs!DB405</f>
        <v>0</v>
      </c>
      <c r="AC69" s="149">
        <f>Calcs!DC405</f>
        <v>0</v>
      </c>
      <c r="AD69" s="149">
        <f>SUM(R69:AC69)</f>
        <v>0</v>
      </c>
      <c r="AE69" s="149">
        <f>Calcs!DD405</f>
        <v>0</v>
      </c>
      <c r="AF69" s="149">
        <f>Calcs!DE405</f>
        <v>0</v>
      </c>
      <c r="AG69" s="149">
        <f>Calcs!DF405</f>
        <v>0</v>
      </c>
      <c r="AH69" s="149">
        <f>Calcs!DG405</f>
        <v>0</v>
      </c>
      <c r="AI69" s="149">
        <f>Calcs!DH405</f>
        <v>0</v>
      </c>
      <c r="AJ69" s="149">
        <f>Calcs!DI405</f>
        <v>0</v>
      </c>
      <c r="AK69" s="149">
        <f>Calcs!DJ405</f>
        <v>0</v>
      </c>
      <c r="AL69" s="149">
        <f>Calcs!DK405</f>
        <v>0</v>
      </c>
      <c r="AM69" s="149">
        <f>Calcs!DL405</f>
        <v>0</v>
      </c>
      <c r="AN69" s="149">
        <f>Calcs!DM405</f>
        <v>0</v>
      </c>
      <c r="AO69" s="149">
        <f>Calcs!DN405</f>
        <v>0</v>
      </c>
      <c r="AP69" s="149">
        <f>Calcs!DO405</f>
        <v>0</v>
      </c>
      <c r="AQ69" s="149">
        <f>SUM(AE69:AP69)</f>
        <v>0</v>
      </c>
      <c r="AR69" s="149">
        <f>Calcs!DP405</f>
        <v>0</v>
      </c>
      <c r="AS69" s="149">
        <f>Calcs!DQ405</f>
        <v>0</v>
      </c>
      <c r="AT69" s="149">
        <f>Calcs!DR405</f>
        <v>0</v>
      </c>
      <c r="AU69" s="149">
        <f>Calcs!DS405</f>
        <v>0</v>
      </c>
      <c r="AV69" s="149">
        <f>Calcs!DT405</f>
        <v>0</v>
      </c>
      <c r="AW69" s="149">
        <f>Calcs!DU405</f>
        <v>0</v>
      </c>
      <c r="AX69" s="149">
        <f>Calcs!DV405</f>
        <v>0</v>
      </c>
      <c r="AY69" s="149">
        <f>Calcs!DW405</f>
        <v>0</v>
      </c>
      <c r="AZ69" s="149">
        <f>Calcs!DX405</f>
        <v>0</v>
      </c>
      <c r="BA69" s="149">
        <f>Calcs!DY405</f>
        <v>0</v>
      </c>
      <c r="BB69" s="149">
        <f>Calcs!DZ405</f>
        <v>0</v>
      </c>
      <c r="BC69" s="149">
        <f>Calcs!EA405</f>
        <v>0</v>
      </c>
      <c r="BD69" s="149">
        <f>SUM(AR69:BC69)</f>
        <v>0</v>
      </c>
      <c r="BE69" s="149">
        <f>Calcs!EB405</f>
        <v>0</v>
      </c>
      <c r="BF69" s="149">
        <f>Calcs!EC405</f>
        <v>0</v>
      </c>
      <c r="BG69" s="149">
        <f>Calcs!ED405</f>
        <v>0</v>
      </c>
      <c r="BH69" s="149">
        <f>Calcs!EE405</f>
        <v>0</v>
      </c>
      <c r="BI69" s="149">
        <f>Calcs!EF405</f>
        <v>0</v>
      </c>
      <c r="BJ69" s="149">
        <f>Calcs!EG405</f>
        <v>0</v>
      </c>
      <c r="BK69" s="149">
        <f>Calcs!EH405</f>
        <v>0</v>
      </c>
      <c r="BL69" s="149">
        <f>Calcs!EI405</f>
        <v>0</v>
      </c>
      <c r="BM69" s="149">
        <f>Calcs!EJ405</f>
        <v>0</v>
      </c>
      <c r="BN69" s="149">
        <f>Calcs!EK405</f>
        <v>0</v>
      </c>
      <c r="BO69" s="149">
        <f>Calcs!EL405</f>
        <v>0</v>
      </c>
      <c r="BP69" s="149">
        <f>Calcs!EM405</f>
        <v>0</v>
      </c>
      <c r="BQ69" s="149">
        <f>SUM(BE69:BP69)</f>
        <v>0</v>
      </c>
      <c r="BR69" s="1802"/>
      <c r="BS69" s="153">
        <f>SUM(BQ69,BD69,AQ69,AD69,Q69)</f>
        <v>0</v>
      </c>
      <c r="BT69" s="1802"/>
      <c r="BU69" s="153">
        <f>SUM(BQ69,BD69,AQ69,AD69,Q69)</f>
      </c>
      <c r="BV69" s="158">
        <f>Input!D168</f>
        <v>0</v>
      </c>
      <c r="BW69" s="96">
        <f>SUM(Financials!E69:'Financials'!G69)</f>
        <v>0</v>
      </c>
      <c r="BX69" s="96">
        <f>SUM(Financials!H69:'Financials'!J69)</f>
        <v>0</v>
      </c>
      <c r="BY69" s="96">
        <f>SUM(Financials!K69:'Financials'!M69)</f>
        <v>0</v>
      </c>
      <c r="BZ69" s="96">
        <f>SUM(Financials!N69:'Financials'!P69)</f>
        <v>0</v>
      </c>
      <c r="CA69" s="149">
        <f>SUM(Financials!R69:'Financials'!T69)</f>
        <v>0</v>
      </c>
      <c r="CB69" s="149">
        <f>SUM(Financials!U69:'Financials'!W69)</f>
        <v>0</v>
      </c>
      <c r="CC69" s="149">
        <f>SUM(Financials!X69:'Financials'!Z69)</f>
        <v>0</v>
      </c>
      <c r="CD69" s="149">
        <f>SUM(Financials!AA69:'Financials'!AC69)</f>
        <v>0</v>
      </c>
      <c r="CE69" s="149">
        <f>SUM(Financials!AE69:'Financials'!AG69)</f>
        <v>0</v>
      </c>
      <c r="CF69" s="149">
        <f>SUM(Financials!AH69:'Financials'!AJ69)</f>
        <v>0</v>
      </c>
      <c r="CG69" s="149">
        <f>SUM(Financials!AK69:'Financials'!AM69)</f>
        <v>0</v>
      </c>
      <c r="CH69" s="149">
        <f>SUM(Financials!AN69:'Financials'!AP69)</f>
        <v>0</v>
      </c>
      <c r="CI69" s="149">
        <f>SUM(Financials!AR69:'Financials'!AT69)</f>
        <v>0</v>
      </c>
      <c r="CJ69" s="149">
        <f>SUM(Financials!AU69:'Financials'!AW69)</f>
        <v>0</v>
      </c>
      <c r="CK69" s="149">
        <f>SUM(Financials!AX69:'Financials'!AZ69)</f>
        <v>0</v>
      </c>
      <c r="CL69" s="149">
        <f>SUM(Financials!BA69:'Financials'!BC69)</f>
        <v>0</v>
      </c>
      <c r="CM69" s="149">
        <f>SUM(Financials!BE69:'Financials'!BG69)</f>
        <v>0</v>
      </c>
      <c r="CN69" s="149">
        <f>SUM(Financials!BH69:'Financials'!BJ69)</f>
        <v>0</v>
      </c>
      <c r="CO69" s="149">
        <f>SUM(Financials!BK69:'Financials'!BM69)</f>
        <v>0</v>
      </c>
      <c r="CP69" s="149">
        <f>SUM(Financials!BN69:'Financials'!BP69)</f>
        <v>0</v>
      </c>
      <c r="CW69" s="179"/>
      <c r="CX69" s="179"/>
      <c r="CY69" s="305"/>
      <c r="CZ69" s="305"/>
      <c r="DA69" s="305"/>
      <c r="DB69" s="305"/>
      <c r="DC69" s="305"/>
      <c r="DD69" s="305"/>
      <c r="DE69" s="305"/>
      <c r="DF69" s="305"/>
      <c r="DG69" s="305"/>
      <c r="DH69" s="305"/>
      <c r="DI69" s="305"/>
      <c r="DJ69" s="305"/>
      <c r="DK69" s="305"/>
      <c r="DL69" s="305"/>
      <c r="DM69" s="305"/>
      <c r="DN69" s="305"/>
      <c r="DO69" s="305"/>
      <c r="DP69" s="305"/>
      <c r="DQ69" s="305"/>
      <c r="DR69" s="305"/>
      <c r="DS69" s="305"/>
      <c r="DT69" s="305"/>
      <c r="DU69" s="305"/>
      <c r="DV69" s="305"/>
      <c r="DW69" s="305"/>
      <c r="DX69" s="305"/>
      <c r="DY69" s="305"/>
      <c r="DZ69" s="305"/>
      <c r="EA69" s="305"/>
      <c r="EB69" s="305"/>
      <c r="EC69" s="305"/>
      <c r="ED69" s="305"/>
      <c r="EE69" s="305"/>
      <c r="EF69" s="305"/>
      <c r="EG69" s="305"/>
      <c r="EH69" s="305"/>
      <c r="EI69" s="305"/>
      <c r="EJ69" s="305"/>
      <c r="EK69" s="305"/>
      <c r="EL69" s="305"/>
      <c r="EM69" s="305"/>
      <c r="EN69" s="305"/>
      <c r="EO69" s="305"/>
      <c r="EP69" s="305"/>
      <c r="EQ69" s="305"/>
      <c r="ER69" s="305"/>
      <c r="ES69" s="305"/>
      <c r="ET69" s="305"/>
      <c r="EU69" s="305"/>
      <c r="EV69" s="305"/>
      <c r="EW69" s="305"/>
      <c r="EX69" s="305"/>
      <c r="EY69" s="305"/>
      <c r="EZ69" s="305"/>
      <c r="FA69" s="305"/>
      <c r="FB69" s="305"/>
      <c r="FC69" s="305"/>
      <c r="FD69" s="305"/>
      <c r="FE69" s="305"/>
      <c r="FF69" s="305"/>
      <c r="FG69" s="305"/>
      <c r="FH69" s="305"/>
      <c r="FI69" s="305"/>
      <c r="FJ69" s="305"/>
    </row>
    <row r="70" spans="1:166" ht="12.75" customHeight="1" x14ac:dyDescent="0.35" hidden="1">
      <c r="A70" s="136"/>
      <c r="B70" s="136"/>
      <c r="C70" s="136"/>
      <c r="D70" s="172" t="str">
        <f>IF(Calcs!CE406="","TBD",Calcs!CE406)</f>
        <v>TBD</v>
      </c>
      <c r="E70" s="149">
        <f>Calcs!CF406</f>
        <v>0</v>
      </c>
      <c r="F70" s="149">
        <f>Calcs!CG406</f>
        <v>0</v>
      </c>
      <c r="G70" s="149">
        <f>Calcs!CH406</f>
        <v>0</v>
      </c>
      <c r="H70" s="149">
        <f>Calcs!CI406</f>
        <v>0</v>
      </c>
      <c r="I70" s="149">
        <f>Calcs!CJ406</f>
        <v>0</v>
      </c>
      <c r="J70" s="149">
        <f>Calcs!CK406</f>
        <v>0</v>
      </c>
      <c r="K70" s="149">
        <f>Calcs!CL406</f>
        <v>0</v>
      </c>
      <c r="L70" s="149">
        <f>Calcs!CM406</f>
        <v>0</v>
      </c>
      <c r="M70" s="149">
        <f>Calcs!CN406</f>
        <v>0</v>
      </c>
      <c r="N70" s="149">
        <f>Calcs!CO406</f>
        <v>0</v>
      </c>
      <c r="O70" s="149">
        <f>Calcs!CP406</f>
        <v>0</v>
      </c>
      <c r="P70" s="149">
        <f>Calcs!CQ406</f>
        <v>0</v>
      </c>
      <c r="Q70" s="151">
        <f>SUM(E70:P70)</f>
        <v>0</v>
      </c>
      <c r="R70" s="149">
        <f>Calcs!CR406</f>
        <v>0</v>
      </c>
      <c r="S70" s="149">
        <f>Calcs!CS406</f>
        <v>0</v>
      </c>
      <c r="T70" s="149">
        <f>Calcs!CT406</f>
        <v>0</v>
      </c>
      <c r="U70" s="149">
        <f>Calcs!CU406</f>
        <v>0</v>
      </c>
      <c r="V70" s="149">
        <f>Calcs!CV406</f>
        <v>0</v>
      </c>
      <c r="W70" s="149">
        <f>Calcs!CW406</f>
        <v>0</v>
      </c>
      <c r="X70" s="149">
        <f>Calcs!CX406</f>
        <v>0</v>
      </c>
      <c r="Y70" s="149">
        <f>Calcs!CY406</f>
        <v>0</v>
      </c>
      <c r="Z70" s="149">
        <f>Calcs!CZ406</f>
        <v>0</v>
      </c>
      <c r="AA70" s="149">
        <f>Calcs!DA406</f>
        <v>0</v>
      </c>
      <c r="AB70" s="149">
        <f>Calcs!DB406</f>
        <v>0</v>
      </c>
      <c r="AC70" s="149">
        <f>Calcs!DC406</f>
        <v>0</v>
      </c>
      <c r="AD70" s="149">
        <f>SUM(R70:AC70)</f>
        <v>0</v>
      </c>
      <c r="AE70" s="149">
        <f>Calcs!DD406</f>
        <v>0</v>
      </c>
      <c r="AF70" s="149">
        <f>Calcs!DE406</f>
        <v>0</v>
      </c>
      <c r="AG70" s="149">
        <f>Calcs!DF406</f>
        <v>0</v>
      </c>
      <c r="AH70" s="149">
        <f>Calcs!DG406</f>
        <v>0</v>
      </c>
      <c r="AI70" s="149">
        <f>Calcs!DH406</f>
        <v>0</v>
      </c>
      <c r="AJ70" s="149">
        <f>Calcs!DI406</f>
        <v>0</v>
      </c>
      <c r="AK70" s="149">
        <f>Calcs!DJ406</f>
        <v>0</v>
      </c>
      <c r="AL70" s="149">
        <f>Calcs!DK406</f>
        <v>0</v>
      </c>
      <c r="AM70" s="149">
        <f>Calcs!DL406</f>
        <v>0</v>
      </c>
      <c r="AN70" s="149">
        <f>Calcs!DM406</f>
        <v>0</v>
      </c>
      <c r="AO70" s="149">
        <f>Calcs!DN406</f>
        <v>0</v>
      </c>
      <c r="AP70" s="149">
        <f>Calcs!DO406</f>
        <v>0</v>
      </c>
      <c r="AQ70" s="149">
        <f>SUM(AE70:AP70)</f>
        <v>0</v>
      </c>
      <c r="AR70" s="149">
        <f>Calcs!DP406</f>
        <v>0</v>
      </c>
      <c r="AS70" s="149">
        <f>Calcs!DQ406</f>
        <v>0</v>
      </c>
      <c r="AT70" s="149">
        <f>Calcs!DR406</f>
        <v>0</v>
      </c>
      <c r="AU70" s="149">
        <f>Calcs!DS406</f>
        <v>0</v>
      </c>
      <c r="AV70" s="149">
        <f>Calcs!DT406</f>
        <v>0</v>
      </c>
      <c r="AW70" s="149">
        <f>Calcs!DU406</f>
        <v>0</v>
      </c>
      <c r="AX70" s="149">
        <f>Calcs!DV406</f>
        <v>0</v>
      </c>
      <c r="AY70" s="149">
        <f>Calcs!DW406</f>
        <v>0</v>
      </c>
      <c r="AZ70" s="149">
        <f>Calcs!DX406</f>
        <v>0</v>
      </c>
      <c r="BA70" s="149">
        <f>Calcs!DY406</f>
        <v>0</v>
      </c>
      <c r="BB70" s="149">
        <f>Calcs!DZ406</f>
        <v>0</v>
      </c>
      <c r="BC70" s="149">
        <f>Calcs!EA406</f>
        <v>0</v>
      </c>
      <c r="BD70" s="149">
        <f>SUM(AR70:BC70)</f>
        <v>0</v>
      </c>
      <c r="BE70" s="149">
        <f>Calcs!EB406</f>
        <v>0</v>
      </c>
      <c r="BF70" s="149">
        <f>Calcs!EC406</f>
        <v>0</v>
      </c>
      <c r="BG70" s="149">
        <f>Calcs!ED406</f>
        <v>0</v>
      </c>
      <c r="BH70" s="149">
        <f>Calcs!EE406</f>
        <v>0</v>
      </c>
      <c r="BI70" s="149">
        <f>Calcs!EF406</f>
        <v>0</v>
      </c>
      <c r="BJ70" s="149">
        <f>Calcs!EG406</f>
        <v>0</v>
      </c>
      <c r="BK70" s="149">
        <f>Calcs!EH406</f>
        <v>0</v>
      </c>
      <c r="BL70" s="149">
        <f>Calcs!EI406</f>
        <v>0</v>
      </c>
      <c r="BM70" s="149">
        <f>Calcs!EJ406</f>
        <v>0</v>
      </c>
      <c r="BN70" s="149">
        <f>Calcs!EK406</f>
        <v>0</v>
      </c>
      <c r="BO70" s="149">
        <f>Calcs!EL406</f>
        <v>0</v>
      </c>
      <c r="BP70" s="149">
        <f>Calcs!EM406</f>
        <v>0</v>
      </c>
      <c r="BQ70" s="149">
        <f>SUM(BE70:BP70)</f>
        <v>0</v>
      </c>
      <c r="BR70" s="1802"/>
      <c r="BS70" s="153">
        <f>SUM(BQ70,BD70,AQ70,AD70,Q70)</f>
        <v>0</v>
      </c>
      <c r="BT70" s="1802"/>
      <c r="BU70" s="153">
        <f>SUM(BQ70,BD70,AQ70,AD70,Q70)</f>
      </c>
      <c r="BV70" s="158">
        <f>Input!D169</f>
        <v>0</v>
      </c>
      <c r="BW70" s="96">
        <f>SUM(Financials!E70:'Financials'!G70)</f>
        <v>0</v>
      </c>
      <c r="BX70" s="96">
        <f>SUM(Financials!H70:'Financials'!J70)</f>
        <v>0</v>
      </c>
      <c r="BY70" s="96">
        <f>SUM(Financials!K70:'Financials'!M70)</f>
        <v>0</v>
      </c>
      <c r="BZ70" s="96">
        <f>SUM(Financials!N70:'Financials'!P70)</f>
        <v>0</v>
      </c>
      <c r="CA70" s="149">
        <f>SUM(Financials!R70:'Financials'!T70)</f>
        <v>0</v>
      </c>
      <c r="CB70" s="149">
        <f>SUM(Financials!U70:'Financials'!W70)</f>
        <v>0</v>
      </c>
      <c r="CC70" s="149">
        <f>SUM(Financials!X70:'Financials'!Z70)</f>
        <v>0</v>
      </c>
      <c r="CD70" s="149">
        <f>SUM(Financials!AA70:'Financials'!AC70)</f>
        <v>0</v>
      </c>
      <c r="CE70" s="149">
        <f>SUM(Financials!AE70:'Financials'!AG70)</f>
        <v>0</v>
      </c>
      <c r="CF70" s="149">
        <f>SUM(Financials!AH70:'Financials'!AJ70)</f>
        <v>0</v>
      </c>
      <c r="CG70" s="149">
        <f>SUM(Financials!AK70:'Financials'!AM70)</f>
        <v>0</v>
      </c>
      <c r="CH70" s="149">
        <f>SUM(Financials!AN70:'Financials'!AP70)</f>
        <v>0</v>
      </c>
      <c r="CI70" s="149">
        <f>SUM(Financials!AR70:'Financials'!AT70)</f>
        <v>0</v>
      </c>
      <c r="CJ70" s="149">
        <f>SUM(Financials!AU70:'Financials'!AW70)</f>
        <v>0</v>
      </c>
      <c r="CK70" s="149">
        <f>SUM(Financials!AX70:'Financials'!AZ70)</f>
        <v>0</v>
      </c>
      <c r="CL70" s="149">
        <f>SUM(Financials!BA70:'Financials'!BC70)</f>
        <v>0</v>
      </c>
      <c r="CM70" s="149">
        <f>SUM(Financials!BE70:'Financials'!BG70)</f>
        <v>0</v>
      </c>
      <c r="CN70" s="149">
        <f>SUM(Financials!BH70:'Financials'!BJ70)</f>
        <v>0</v>
      </c>
      <c r="CO70" s="149">
        <f>SUM(Financials!BK70:'Financials'!BM70)</f>
        <v>0</v>
      </c>
      <c r="CP70" s="149">
        <f>SUM(Financials!BN70:'Financials'!BP70)</f>
        <v>0</v>
      </c>
      <c r="CW70" s="179"/>
      <c r="CX70" s="179"/>
      <c r="CY70" s="305"/>
      <c r="CZ70" s="305"/>
      <c r="DA70" s="305"/>
      <c r="DB70" s="305"/>
      <c r="DC70" s="305"/>
      <c r="DD70" s="305"/>
      <c r="DE70" s="305"/>
      <c r="DF70" s="305"/>
      <c r="DG70" s="305"/>
      <c r="DH70" s="305"/>
      <c r="DI70" s="305"/>
      <c r="DJ70" s="305"/>
      <c r="DK70" s="305"/>
      <c r="DL70" s="305"/>
      <c r="DM70" s="305"/>
      <c r="DN70" s="305"/>
      <c r="DO70" s="305"/>
      <c r="DP70" s="305"/>
      <c r="DQ70" s="305"/>
      <c r="DR70" s="305"/>
      <c r="DS70" s="305"/>
      <c r="DT70" s="305"/>
      <c r="DU70" s="305"/>
      <c r="DV70" s="305"/>
      <c r="DW70" s="305"/>
      <c r="DX70" s="305"/>
      <c r="DY70" s="305"/>
      <c r="DZ70" s="305"/>
      <c r="EA70" s="305"/>
      <c r="EB70" s="305"/>
      <c r="EC70" s="305"/>
      <c r="ED70" s="305"/>
      <c r="EE70" s="305"/>
      <c r="EF70" s="305"/>
      <c r="EG70" s="305"/>
      <c r="EH70" s="305"/>
      <c r="EI70" s="305"/>
      <c r="EJ70" s="305"/>
      <c r="EK70" s="305"/>
      <c r="EL70" s="305"/>
      <c r="EM70" s="305"/>
      <c r="EN70" s="305"/>
      <c r="EO70" s="305"/>
      <c r="EP70" s="305"/>
      <c r="EQ70" s="305"/>
      <c r="ER70" s="305"/>
      <c r="ES70" s="305"/>
      <c r="ET70" s="305"/>
      <c r="EU70" s="305"/>
      <c r="EV70" s="305"/>
      <c r="EW70" s="305"/>
      <c r="EX70" s="305"/>
      <c r="EY70" s="305"/>
      <c r="EZ70" s="305"/>
      <c r="FA70" s="305"/>
      <c r="FB70" s="305"/>
      <c r="FC70" s="305"/>
      <c r="FD70" s="305"/>
      <c r="FE70" s="305"/>
      <c r="FF70" s="305"/>
      <c r="FG70" s="305"/>
      <c r="FH70" s="305"/>
      <c r="FI70" s="305"/>
      <c r="FJ70" s="305"/>
    </row>
    <row r="71" spans="1:166" ht="12.75" customHeight="1" x14ac:dyDescent="0.35" hidden="1">
      <c r="A71" s="136"/>
      <c r="B71" s="136"/>
      <c r="C71" s="136"/>
      <c r="D71" s="172" t="str">
        <f>IF(Calcs!CE407="","TBD",Calcs!CE407)</f>
        <v>TBD</v>
      </c>
      <c r="E71" s="149">
        <f>Calcs!CF407</f>
        <v>0</v>
      </c>
      <c r="F71" s="149">
        <f>Calcs!CG407</f>
        <v>0</v>
      </c>
      <c r="G71" s="149">
        <f>Calcs!CH407</f>
        <v>0</v>
      </c>
      <c r="H71" s="149">
        <f>Calcs!CI407</f>
        <v>0</v>
      </c>
      <c r="I71" s="149">
        <f>Calcs!CJ407</f>
        <v>0</v>
      </c>
      <c r="J71" s="149">
        <f>Calcs!CK407</f>
        <v>0</v>
      </c>
      <c r="K71" s="149">
        <f>Calcs!CL407</f>
        <v>0</v>
      </c>
      <c r="L71" s="149">
        <f>Calcs!CM407</f>
        <v>0</v>
      </c>
      <c r="M71" s="149">
        <f>Calcs!CN407</f>
        <v>0</v>
      </c>
      <c r="N71" s="149">
        <f>Calcs!CO407</f>
        <v>0</v>
      </c>
      <c r="O71" s="149">
        <f>Calcs!CP407</f>
        <v>0</v>
      </c>
      <c r="P71" s="149">
        <f>Calcs!CQ407</f>
        <v>0</v>
      </c>
      <c r="Q71" s="151">
        <f>SUM(E71:P71)</f>
        <v>0</v>
      </c>
      <c r="R71" s="149">
        <f>Calcs!CR407</f>
        <v>0</v>
      </c>
      <c r="S71" s="149">
        <f>Calcs!CS407</f>
        <v>0</v>
      </c>
      <c r="T71" s="149">
        <f>Calcs!CT407</f>
        <v>0</v>
      </c>
      <c r="U71" s="149">
        <f>Calcs!CU407</f>
        <v>0</v>
      </c>
      <c r="V71" s="149">
        <f>Calcs!CV407</f>
        <v>0</v>
      </c>
      <c r="W71" s="149">
        <f>Calcs!CW407</f>
        <v>0</v>
      </c>
      <c r="X71" s="149">
        <f>Calcs!CX407</f>
        <v>0</v>
      </c>
      <c r="Y71" s="149">
        <f>Calcs!CY407</f>
        <v>0</v>
      </c>
      <c r="Z71" s="149">
        <f>Calcs!CZ407</f>
        <v>0</v>
      </c>
      <c r="AA71" s="149">
        <f>Calcs!DA407</f>
        <v>0</v>
      </c>
      <c r="AB71" s="149">
        <f>Calcs!DB407</f>
        <v>0</v>
      </c>
      <c r="AC71" s="149">
        <f>Calcs!DC407</f>
        <v>0</v>
      </c>
      <c r="AD71" s="149">
        <f>SUM(R71:AC71)</f>
        <v>0</v>
      </c>
      <c r="AE71" s="149">
        <f>Calcs!DD407</f>
        <v>0</v>
      </c>
      <c r="AF71" s="149">
        <f>Calcs!DE407</f>
        <v>0</v>
      </c>
      <c r="AG71" s="149">
        <f>Calcs!DF407</f>
        <v>0</v>
      </c>
      <c r="AH71" s="149">
        <f>Calcs!DG407</f>
        <v>0</v>
      </c>
      <c r="AI71" s="149">
        <f>Calcs!DH407</f>
        <v>0</v>
      </c>
      <c r="AJ71" s="149">
        <f>Calcs!DI407</f>
        <v>0</v>
      </c>
      <c r="AK71" s="149">
        <f>Calcs!DJ407</f>
        <v>0</v>
      </c>
      <c r="AL71" s="149">
        <f>Calcs!DK407</f>
        <v>0</v>
      </c>
      <c r="AM71" s="149">
        <f>Calcs!DL407</f>
        <v>0</v>
      </c>
      <c r="AN71" s="149">
        <f>Calcs!DM407</f>
        <v>0</v>
      </c>
      <c r="AO71" s="149">
        <f>Calcs!DN407</f>
        <v>0</v>
      </c>
      <c r="AP71" s="149">
        <f>Calcs!DO407</f>
        <v>0</v>
      </c>
      <c r="AQ71" s="149">
        <f>SUM(AE71:AP71)</f>
        <v>0</v>
      </c>
      <c r="AR71" s="149">
        <f>Calcs!DP407</f>
        <v>0</v>
      </c>
      <c r="AS71" s="149">
        <f>Calcs!DQ407</f>
        <v>0</v>
      </c>
      <c r="AT71" s="149">
        <f>Calcs!DR407</f>
        <v>0</v>
      </c>
      <c r="AU71" s="149">
        <f>Calcs!DS407</f>
        <v>0</v>
      </c>
      <c r="AV71" s="149">
        <f>Calcs!DT407</f>
        <v>0</v>
      </c>
      <c r="AW71" s="149">
        <f>Calcs!DU407</f>
        <v>0</v>
      </c>
      <c r="AX71" s="149">
        <f>Calcs!DV407</f>
        <v>0</v>
      </c>
      <c r="AY71" s="149">
        <f>Calcs!DW407</f>
        <v>0</v>
      </c>
      <c r="AZ71" s="149">
        <f>Calcs!DX407</f>
        <v>0</v>
      </c>
      <c r="BA71" s="149">
        <f>Calcs!DY407</f>
        <v>0</v>
      </c>
      <c r="BB71" s="149">
        <f>Calcs!DZ407</f>
        <v>0</v>
      </c>
      <c r="BC71" s="149">
        <f>Calcs!EA407</f>
        <v>0</v>
      </c>
      <c r="BD71" s="149">
        <f>SUM(AR71:BC71)</f>
        <v>0</v>
      </c>
      <c r="BE71" s="149">
        <f>Calcs!EB407</f>
        <v>0</v>
      </c>
      <c r="BF71" s="149">
        <f>Calcs!EC407</f>
        <v>0</v>
      </c>
      <c r="BG71" s="149">
        <f>Calcs!ED407</f>
        <v>0</v>
      </c>
      <c r="BH71" s="149">
        <f>Calcs!EE407</f>
        <v>0</v>
      </c>
      <c r="BI71" s="149">
        <f>Calcs!EF407</f>
        <v>0</v>
      </c>
      <c r="BJ71" s="149">
        <f>Calcs!EG407</f>
        <v>0</v>
      </c>
      <c r="BK71" s="149">
        <f>Calcs!EH407</f>
        <v>0</v>
      </c>
      <c r="BL71" s="149">
        <f>Calcs!EI407</f>
        <v>0</v>
      </c>
      <c r="BM71" s="149">
        <f>Calcs!EJ407</f>
        <v>0</v>
      </c>
      <c r="BN71" s="149">
        <f>Calcs!EK407</f>
        <v>0</v>
      </c>
      <c r="BO71" s="149">
        <f>Calcs!EL407</f>
        <v>0</v>
      </c>
      <c r="BP71" s="149">
        <f>Calcs!EM407</f>
        <v>0</v>
      </c>
      <c r="BQ71" s="149">
        <f>SUM(BE71:BP71)</f>
        <v>0</v>
      </c>
      <c r="BR71" s="1802"/>
      <c r="BS71" s="153">
        <f>SUM(BQ71,BD71,AQ71,AD71,Q71)</f>
        <v>0</v>
      </c>
      <c r="BT71" s="1802"/>
      <c r="BU71" s="153">
        <f>SUM(BQ71,BD71,AQ71,AD71,Q71)</f>
      </c>
      <c r="BV71" s="158">
        <f>Input!D170</f>
        <v>0</v>
      </c>
      <c r="BW71" s="96">
        <f>SUM(Financials!E71:'Financials'!G71)</f>
        <v>0</v>
      </c>
      <c r="BX71" s="96">
        <f>SUM(Financials!H71:'Financials'!J71)</f>
        <v>0</v>
      </c>
      <c r="BY71" s="96">
        <f>SUM(Financials!K71:'Financials'!M71)</f>
        <v>0</v>
      </c>
      <c r="BZ71" s="96">
        <f>SUM(Financials!N71:'Financials'!P71)</f>
        <v>0</v>
      </c>
      <c r="CA71" s="149">
        <f>SUM(Financials!R71:'Financials'!T71)</f>
        <v>0</v>
      </c>
      <c r="CB71" s="149">
        <f>SUM(Financials!U71:'Financials'!W71)</f>
        <v>0</v>
      </c>
      <c r="CC71" s="149">
        <f>SUM(Financials!X71:'Financials'!Z71)</f>
        <v>0</v>
      </c>
      <c r="CD71" s="149">
        <f>SUM(Financials!AA71:'Financials'!AC71)</f>
        <v>0</v>
      </c>
      <c r="CE71" s="149">
        <f>SUM(Financials!AE71:'Financials'!AG71)</f>
        <v>0</v>
      </c>
      <c r="CF71" s="149">
        <f>SUM(Financials!AH71:'Financials'!AJ71)</f>
        <v>0</v>
      </c>
      <c r="CG71" s="149">
        <f>SUM(Financials!AK71:'Financials'!AM71)</f>
        <v>0</v>
      </c>
      <c r="CH71" s="149">
        <f>SUM(Financials!AN71:'Financials'!AP71)</f>
        <v>0</v>
      </c>
      <c r="CI71" s="149">
        <f>SUM(Financials!AR71:'Financials'!AT71)</f>
        <v>0</v>
      </c>
      <c r="CJ71" s="149">
        <f>SUM(Financials!AU71:'Financials'!AW71)</f>
        <v>0</v>
      </c>
      <c r="CK71" s="149">
        <f>SUM(Financials!AX71:'Financials'!AZ71)</f>
        <v>0</v>
      </c>
      <c r="CL71" s="149">
        <f>SUM(Financials!BA71:'Financials'!BC71)</f>
        <v>0</v>
      </c>
      <c r="CM71" s="149">
        <f>SUM(Financials!BE71:'Financials'!BG71)</f>
        <v>0</v>
      </c>
      <c r="CN71" s="149">
        <f>SUM(Financials!BH71:'Financials'!BJ71)</f>
        <v>0</v>
      </c>
      <c r="CO71" s="149">
        <f>SUM(Financials!BK71:'Financials'!BM71)</f>
        <v>0</v>
      </c>
      <c r="CP71" s="149">
        <f>SUM(Financials!BN71:'Financials'!BP71)</f>
        <v>0</v>
      </c>
      <c r="CW71" s="179"/>
      <c r="CX71" s="179"/>
      <c r="CY71" s="305"/>
      <c r="CZ71" s="305"/>
      <c r="DA71" s="305"/>
      <c r="DB71" s="305"/>
      <c r="DC71" s="305"/>
      <c r="DD71" s="305"/>
      <c r="DE71" s="305"/>
      <c r="DF71" s="305"/>
      <c r="DG71" s="305"/>
      <c r="DH71" s="305"/>
      <c r="DI71" s="305"/>
      <c r="DJ71" s="305"/>
      <c r="DK71" s="305"/>
      <c r="DL71" s="305"/>
      <c r="DM71" s="305"/>
      <c r="DN71" s="305"/>
      <c r="DO71" s="305"/>
      <c r="DP71" s="305"/>
      <c r="DQ71" s="305"/>
      <c r="DR71" s="305"/>
      <c r="DS71" s="305"/>
      <c r="DT71" s="305"/>
      <c r="DU71" s="305"/>
      <c r="DV71" s="305"/>
      <c r="DW71" s="305"/>
      <c r="DX71" s="305"/>
      <c r="DY71" s="305"/>
      <c r="DZ71" s="305"/>
      <c r="EA71" s="305"/>
      <c r="EB71" s="305"/>
      <c r="EC71" s="305"/>
      <c r="ED71" s="305"/>
      <c r="EE71" s="305"/>
      <c r="EF71" s="305"/>
      <c r="EG71" s="305"/>
      <c r="EH71" s="305"/>
      <c r="EI71" s="305"/>
      <c r="EJ71" s="305"/>
      <c r="EK71" s="305"/>
      <c r="EL71" s="305"/>
      <c r="EM71" s="305"/>
      <c r="EN71" s="305"/>
      <c r="EO71" s="305"/>
      <c r="EP71" s="305"/>
      <c r="EQ71" s="305"/>
      <c r="ER71" s="305"/>
      <c r="ES71" s="305"/>
      <c r="ET71" s="305"/>
      <c r="EU71" s="305"/>
      <c r="EV71" s="305"/>
      <c r="EW71" s="305"/>
      <c r="EX71" s="305"/>
      <c r="EY71" s="305"/>
      <c r="EZ71" s="305"/>
      <c r="FA71" s="305"/>
      <c r="FB71" s="305"/>
      <c r="FC71" s="305"/>
      <c r="FD71" s="305"/>
      <c r="FE71" s="305"/>
      <c r="FF71" s="305"/>
      <c r="FG71" s="305"/>
      <c r="FH71" s="305"/>
      <c r="FI71" s="305"/>
      <c r="FJ71" s="305"/>
    </row>
    <row r="72" spans="1:166" ht="12.75" customHeight="1" x14ac:dyDescent="0.35" hidden="1">
      <c r="A72" s="136"/>
      <c r="B72" s="165"/>
      <c r="C72" s="165"/>
      <c r="D72" s="172" t="str">
        <f>IF(Calcs!CE408="","TBD",Calcs!CE408)</f>
        <v>TBD</v>
      </c>
      <c r="E72" s="149">
        <f>Calcs!CF408</f>
        <v>0</v>
      </c>
      <c r="F72" s="149">
        <f>Calcs!CG408</f>
        <v>0</v>
      </c>
      <c r="G72" s="149">
        <f>Calcs!CH408</f>
        <v>0</v>
      </c>
      <c r="H72" s="149">
        <f>Calcs!CI408</f>
        <v>0</v>
      </c>
      <c r="I72" s="149">
        <f>Calcs!CJ408</f>
        <v>0</v>
      </c>
      <c r="J72" s="149">
        <f>Calcs!CK408</f>
        <v>0</v>
      </c>
      <c r="K72" s="149">
        <f>Calcs!CL408</f>
        <v>0</v>
      </c>
      <c r="L72" s="149">
        <f>Calcs!CM408</f>
        <v>0</v>
      </c>
      <c r="M72" s="149">
        <f>Calcs!CN408</f>
        <v>0</v>
      </c>
      <c r="N72" s="149">
        <f>Calcs!CO408</f>
        <v>0</v>
      </c>
      <c r="O72" s="149">
        <f>Calcs!CP408</f>
        <v>0</v>
      </c>
      <c r="P72" s="149">
        <f>Calcs!CQ408</f>
        <v>0</v>
      </c>
      <c r="Q72" s="151">
        <f>SUM(E72:P72)</f>
        <v>0</v>
      </c>
      <c r="R72" s="149">
        <f>Calcs!CR408</f>
        <v>0</v>
      </c>
      <c r="S72" s="149">
        <f>Calcs!CS408</f>
        <v>0</v>
      </c>
      <c r="T72" s="149">
        <f>Calcs!CT408</f>
        <v>0</v>
      </c>
      <c r="U72" s="149">
        <f>Calcs!CU408</f>
        <v>0</v>
      </c>
      <c r="V72" s="149">
        <f>Calcs!CV408</f>
        <v>0</v>
      </c>
      <c r="W72" s="149">
        <f>Calcs!CW408</f>
        <v>0</v>
      </c>
      <c r="X72" s="149">
        <f>Calcs!CX408</f>
        <v>0</v>
      </c>
      <c r="Y72" s="149">
        <f>Calcs!CY408</f>
        <v>0</v>
      </c>
      <c r="Z72" s="149">
        <f>Calcs!CZ408</f>
        <v>0</v>
      </c>
      <c r="AA72" s="149">
        <f>Calcs!DA408</f>
        <v>0</v>
      </c>
      <c r="AB72" s="149">
        <f>Calcs!DB408</f>
        <v>0</v>
      </c>
      <c r="AC72" s="149">
        <f>Calcs!DC408</f>
        <v>0</v>
      </c>
      <c r="AD72" s="149">
        <f>SUM(R72:AC72)</f>
        <v>0</v>
      </c>
      <c r="AE72" s="149">
        <f>Calcs!DD408</f>
        <v>0</v>
      </c>
      <c r="AF72" s="149">
        <f>Calcs!DE408</f>
        <v>0</v>
      </c>
      <c r="AG72" s="149">
        <f>Calcs!DF408</f>
        <v>0</v>
      </c>
      <c r="AH72" s="149">
        <f>Calcs!DG408</f>
        <v>0</v>
      </c>
      <c r="AI72" s="149">
        <f>Calcs!DH408</f>
        <v>0</v>
      </c>
      <c r="AJ72" s="149">
        <f>Calcs!DI408</f>
        <v>0</v>
      </c>
      <c r="AK72" s="149">
        <f>Calcs!DJ408</f>
        <v>0</v>
      </c>
      <c r="AL72" s="149">
        <f>Calcs!DK408</f>
        <v>0</v>
      </c>
      <c r="AM72" s="149">
        <f>Calcs!DL408</f>
        <v>0</v>
      </c>
      <c r="AN72" s="149">
        <f>Calcs!DM408</f>
        <v>0</v>
      </c>
      <c r="AO72" s="149">
        <f>Calcs!DN408</f>
        <v>0</v>
      </c>
      <c r="AP72" s="149">
        <f>Calcs!DO408</f>
        <v>0</v>
      </c>
      <c r="AQ72" s="149">
        <f>SUM(AE72:AP72)</f>
        <v>0</v>
      </c>
      <c r="AR72" s="149">
        <f>Calcs!DP408</f>
        <v>0</v>
      </c>
      <c r="AS72" s="149">
        <f>Calcs!DQ408</f>
        <v>0</v>
      </c>
      <c r="AT72" s="149">
        <f>Calcs!DR408</f>
        <v>0</v>
      </c>
      <c r="AU72" s="149">
        <f>Calcs!DS408</f>
        <v>0</v>
      </c>
      <c r="AV72" s="149">
        <f>Calcs!DT408</f>
        <v>0</v>
      </c>
      <c r="AW72" s="149">
        <f>Calcs!DU408</f>
        <v>0</v>
      </c>
      <c r="AX72" s="149">
        <f>Calcs!DV408</f>
        <v>0</v>
      </c>
      <c r="AY72" s="149">
        <f>Calcs!DW408</f>
        <v>0</v>
      </c>
      <c r="AZ72" s="149">
        <f>Calcs!DX408</f>
        <v>0</v>
      </c>
      <c r="BA72" s="149">
        <f>Calcs!DY408</f>
        <v>0</v>
      </c>
      <c r="BB72" s="149">
        <f>Calcs!DZ408</f>
        <v>0</v>
      </c>
      <c r="BC72" s="149">
        <f>Calcs!EA408</f>
        <v>0</v>
      </c>
      <c r="BD72" s="149">
        <f>SUM(AR72:BC72)</f>
        <v>0</v>
      </c>
      <c r="BE72" s="149">
        <f>Calcs!EB408</f>
        <v>0</v>
      </c>
      <c r="BF72" s="149">
        <f>Calcs!EC408</f>
        <v>0</v>
      </c>
      <c r="BG72" s="149">
        <f>Calcs!ED408</f>
        <v>0</v>
      </c>
      <c r="BH72" s="149">
        <f>Calcs!EE408</f>
        <v>0</v>
      </c>
      <c r="BI72" s="149">
        <f>Calcs!EF408</f>
        <v>0</v>
      </c>
      <c r="BJ72" s="149">
        <f>Calcs!EG408</f>
        <v>0</v>
      </c>
      <c r="BK72" s="149">
        <f>Calcs!EH408</f>
        <v>0</v>
      </c>
      <c r="BL72" s="149">
        <f>Calcs!EI408</f>
        <v>0</v>
      </c>
      <c r="BM72" s="149">
        <f>Calcs!EJ408</f>
        <v>0</v>
      </c>
      <c r="BN72" s="149">
        <f>Calcs!EK408</f>
        <v>0</v>
      </c>
      <c r="BO72" s="149">
        <f>Calcs!EL408</f>
        <v>0</v>
      </c>
      <c r="BP72" s="149">
        <f>Calcs!EM408</f>
        <v>0</v>
      </c>
      <c r="BQ72" s="149">
        <f>SUM(BE72:BP72)</f>
        <v>0</v>
      </c>
      <c r="BR72" s="1802"/>
      <c r="BS72" s="153">
        <f>SUM(BQ72,BD72,AQ72,AD72,Q72)</f>
        <v>0</v>
      </c>
      <c r="BT72" s="1802"/>
      <c r="BU72" s="153">
        <f>SUM(BQ72,BD72,AQ72,AD72,Q72)</f>
      </c>
      <c r="BV72" s="166">
        <f>Input!D171</f>
        <v>0</v>
      </c>
      <c r="BW72" s="96">
        <f>SUM(Financials!E72:'Financials'!G72)</f>
        <v>0</v>
      </c>
      <c r="BX72" s="96">
        <f>SUM(Financials!H72:'Financials'!J72)</f>
        <v>0</v>
      </c>
      <c r="BY72" s="149">
        <f>SUM(Financials!E72:'Financials'!F72)</f>
        <v>0</v>
      </c>
      <c r="BZ72" s="149">
        <f>SUM(Financials!G72:'Financials'!I72)</f>
        <v>0</v>
      </c>
      <c r="CA72" s="149">
        <f>SUM(Financials!R72:'Financials'!T72)</f>
        <v>0</v>
      </c>
      <c r="CB72" s="149">
        <f>SUM(Financials!U72:'Financials'!W72)</f>
        <v>0</v>
      </c>
      <c r="CC72" s="149">
        <f>SUM(Financials!X72:'Financials'!Z72)</f>
        <v>0</v>
      </c>
      <c r="CD72" s="149">
        <f>SUM(Financials!AA72:'Financials'!AC72)</f>
        <v>0</v>
      </c>
      <c r="CE72" s="149">
        <f>SUM(Financials!AE72:'Financials'!AG72)</f>
        <v>0</v>
      </c>
      <c r="CF72" s="149">
        <f>SUM(Financials!AH72:'Financials'!AJ72)</f>
        <v>0</v>
      </c>
      <c r="CG72" s="149">
        <f>SUM(Financials!AK72:'Financials'!AM72)</f>
        <v>0</v>
      </c>
      <c r="CH72" s="149">
        <f>SUM(Financials!AN72:'Financials'!AP72)</f>
        <v>0</v>
      </c>
      <c r="CI72" s="149">
        <f>SUM(Financials!AR72:'Financials'!AT72)</f>
        <v>0</v>
      </c>
      <c r="CJ72" s="149">
        <f>SUM(Financials!AU72:'Financials'!AW72)</f>
        <v>0</v>
      </c>
      <c r="CK72" s="149">
        <f>SUM(Financials!AX72:'Financials'!AZ72)</f>
        <v>0</v>
      </c>
      <c r="CL72" s="149">
        <f>SUM(Financials!BA72:'Financials'!BC72)</f>
        <v>0</v>
      </c>
      <c r="CM72" s="149">
        <f>SUM(Financials!BE72:'Financials'!BG72)</f>
        <v>0</v>
      </c>
      <c r="CN72" s="149">
        <f>SUM(Financials!BH72:'Financials'!BJ72)</f>
        <v>0</v>
      </c>
      <c r="CO72" s="149">
        <f>SUM(Financials!BK72:'Financials'!BM72)</f>
        <v>0</v>
      </c>
      <c r="CP72" s="149">
        <f>SUM(Financials!BN72:'Financials'!BP72)</f>
        <v>0</v>
      </c>
      <c r="CW72" s="179"/>
      <c r="CX72" s="179"/>
      <c r="CY72" s="305"/>
      <c r="CZ72" s="305"/>
      <c r="DA72" s="305"/>
      <c r="DB72" s="305"/>
      <c r="DC72" s="305"/>
      <c r="DD72" s="305"/>
      <c r="DE72" s="305"/>
      <c r="DF72" s="305"/>
      <c r="DG72" s="305"/>
      <c r="DH72" s="305"/>
      <c r="DI72" s="305"/>
      <c r="DJ72" s="305"/>
      <c r="DK72" s="305"/>
      <c r="DL72" s="305"/>
      <c r="DM72" s="305"/>
      <c r="DN72" s="305"/>
      <c r="DO72" s="305"/>
      <c r="DP72" s="305"/>
      <c r="DQ72" s="305"/>
      <c r="DR72" s="305"/>
      <c r="DS72" s="305"/>
      <c r="DT72" s="305"/>
      <c r="DU72" s="305"/>
      <c r="DV72" s="305"/>
      <c r="DW72" s="305"/>
      <c r="DX72" s="305"/>
      <c r="DY72" s="305"/>
      <c r="DZ72" s="305"/>
      <c r="EA72" s="305"/>
      <c r="EB72" s="305"/>
      <c r="EC72" s="305"/>
      <c r="ED72" s="305"/>
      <c r="EE72" s="305"/>
      <c r="EF72" s="305"/>
      <c r="EG72" s="305"/>
      <c r="EH72" s="305"/>
      <c r="EI72" s="305"/>
      <c r="EJ72" s="305"/>
      <c r="EK72" s="305"/>
      <c r="EL72" s="305"/>
      <c r="EM72" s="305"/>
      <c r="EN72" s="305"/>
      <c r="EO72" s="305"/>
      <c r="EP72" s="305"/>
      <c r="EQ72" s="305"/>
      <c r="ER72" s="305"/>
      <c r="ES72" s="305"/>
      <c r="ET72" s="305"/>
      <c r="EU72" s="305"/>
      <c r="EV72" s="305"/>
      <c r="EW72" s="305"/>
      <c r="EX72" s="305"/>
      <c r="EY72" s="305"/>
      <c r="EZ72" s="305"/>
      <c r="FA72" s="305"/>
      <c r="FB72" s="305"/>
      <c r="FC72" s="305"/>
      <c r="FD72" s="305"/>
      <c r="FE72" s="305"/>
      <c r="FF72" s="305"/>
      <c r="FG72" s="305"/>
      <c r="FH72" s="305"/>
      <c r="FI72" s="305"/>
      <c r="FJ72" s="305"/>
    </row>
    <row r="73" spans="1:166" ht="12.75" hidden="1" customHeight="1" x14ac:dyDescent="0.35">
      <c r="A73" s="136"/>
      <c r="B73" s="165"/>
      <c r="C73" s="165"/>
      <c r="D73" s="172" t="str">
        <f>IF(Calcs!CE409="","TBD",Calcs!CE409)</f>
        <v>TBD</v>
      </c>
      <c r="E73" s="149">
        <f>Calcs!CF409</f>
        <v>0</v>
      </c>
      <c r="F73" s="149">
        <f>Calcs!CG409</f>
        <v>0</v>
      </c>
      <c r="G73" s="149">
        <f>Calcs!CH409</f>
        <v>0</v>
      </c>
      <c r="H73" s="149">
        <f>Calcs!CI409</f>
        <v>0</v>
      </c>
      <c r="I73" s="149">
        <f>Calcs!CJ409</f>
        <v>0</v>
      </c>
      <c r="J73" s="149">
        <f>Calcs!CK409</f>
        <v>0</v>
      </c>
      <c r="K73" s="149">
        <f>Calcs!CL409</f>
        <v>0</v>
      </c>
      <c r="L73" s="149">
        <f>Calcs!CM409</f>
        <v>0</v>
      </c>
      <c r="M73" s="149">
        <f>Calcs!CN409</f>
        <v>0</v>
      </c>
      <c r="N73" s="149">
        <f>Calcs!CO409</f>
        <v>0</v>
      </c>
      <c r="O73" s="149">
        <f>Calcs!CP409</f>
        <v>0</v>
      </c>
      <c r="P73" s="149">
        <f>Calcs!CQ409</f>
        <v>0</v>
      </c>
      <c r="Q73" s="151">
        <f>SUM(E73:P73)</f>
        <v>0</v>
      </c>
      <c r="R73" s="149">
        <f>Calcs!CR409</f>
        <v>0</v>
      </c>
      <c r="S73" s="149">
        <f>Calcs!CS409</f>
        <v>0</v>
      </c>
      <c r="T73" s="149">
        <f>Calcs!CT409</f>
        <v>0</v>
      </c>
      <c r="U73" s="149">
        <f>Calcs!CU409</f>
        <v>0</v>
      </c>
      <c r="V73" s="149">
        <f>Calcs!CV409</f>
        <v>0</v>
      </c>
      <c r="W73" s="149">
        <f>Calcs!CW409</f>
        <v>0</v>
      </c>
      <c r="X73" s="149">
        <f>Calcs!CX409</f>
        <v>0</v>
      </c>
      <c r="Y73" s="149">
        <f>Calcs!CY409</f>
        <v>0</v>
      </c>
      <c r="Z73" s="149">
        <f>Calcs!CZ409</f>
        <v>0</v>
      </c>
      <c r="AA73" s="149">
        <f>Calcs!DA409</f>
        <v>0</v>
      </c>
      <c r="AB73" s="149">
        <f>Calcs!DB409</f>
        <v>0</v>
      </c>
      <c r="AC73" s="149">
        <f>Calcs!DC409</f>
        <v>0</v>
      </c>
      <c r="AD73" s="149">
        <f>SUM(R73:AC73)</f>
        <v>0</v>
      </c>
      <c r="AE73" s="149">
        <f>Calcs!DD409</f>
        <v>0</v>
      </c>
      <c r="AF73" s="149">
        <f>Calcs!DE409</f>
        <v>0</v>
      </c>
      <c r="AG73" s="149">
        <f>Calcs!DF409</f>
        <v>0</v>
      </c>
      <c r="AH73" s="149">
        <f>Calcs!DG409</f>
        <v>0</v>
      </c>
      <c r="AI73" s="149">
        <f>Calcs!DH409</f>
        <v>0</v>
      </c>
      <c r="AJ73" s="149">
        <f>Calcs!DI409</f>
        <v>0</v>
      </c>
      <c r="AK73" s="149">
        <f>Calcs!DJ409</f>
        <v>0</v>
      </c>
      <c r="AL73" s="149">
        <f>Calcs!DK409</f>
        <v>0</v>
      </c>
      <c r="AM73" s="149">
        <f>Calcs!DL409</f>
        <v>0</v>
      </c>
      <c r="AN73" s="149">
        <f>Calcs!DM409</f>
        <v>0</v>
      </c>
      <c r="AO73" s="149">
        <f>Calcs!DN409</f>
        <v>0</v>
      </c>
      <c r="AP73" s="149">
        <f>Calcs!DO409</f>
        <v>0</v>
      </c>
      <c r="AQ73" s="149">
        <f>SUM(AE73:AP73)</f>
        <v>0</v>
      </c>
      <c r="AR73" s="149">
        <f>Calcs!DP409</f>
        <v>0</v>
      </c>
      <c r="AS73" s="149">
        <f>Calcs!DQ409</f>
        <v>0</v>
      </c>
      <c r="AT73" s="149">
        <f>Calcs!DR409</f>
        <v>0</v>
      </c>
      <c r="AU73" s="149">
        <f>Calcs!DS409</f>
        <v>0</v>
      </c>
      <c r="AV73" s="149">
        <f>Calcs!DT409</f>
        <v>0</v>
      </c>
      <c r="AW73" s="149">
        <f>Calcs!DU409</f>
        <v>0</v>
      </c>
      <c r="AX73" s="149">
        <f>Calcs!DV409</f>
        <v>0</v>
      </c>
      <c r="AY73" s="149">
        <f>Calcs!DW409</f>
        <v>0</v>
      </c>
      <c r="AZ73" s="149">
        <f>Calcs!DX409</f>
        <v>0</v>
      </c>
      <c r="BA73" s="149">
        <f>Calcs!DY409</f>
        <v>0</v>
      </c>
      <c r="BB73" s="149">
        <f>Calcs!DZ409</f>
        <v>0</v>
      </c>
      <c r="BC73" s="149">
        <f>Calcs!EA409</f>
        <v>0</v>
      </c>
      <c r="BD73" s="149">
        <f>SUM(AR73:BC73)</f>
        <v>0</v>
      </c>
      <c r="BE73" s="149">
        <f>Calcs!EB409</f>
        <v>0</v>
      </c>
      <c r="BF73" s="149">
        <f>Calcs!EC409</f>
        <v>0</v>
      </c>
      <c r="BG73" s="149">
        <f>Calcs!ED409</f>
        <v>0</v>
      </c>
      <c r="BH73" s="149">
        <f>Calcs!EE409</f>
        <v>0</v>
      </c>
      <c r="BI73" s="149">
        <f>Calcs!EF409</f>
        <v>0</v>
      </c>
      <c r="BJ73" s="149">
        <f>Calcs!EG409</f>
        <v>0</v>
      </c>
      <c r="BK73" s="149">
        <f>Calcs!EH409</f>
        <v>0</v>
      </c>
      <c r="BL73" s="149">
        <f>Calcs!EI409</f>
        <v>0</v>
      </c>
      <c r="BM73" s="149">
        <f>Calcs!EJ409</f>
        <v>0</v>
      </c>
      <c r="BN73" s="149">
        <f>Calcs!EK409</f>
        <v>0</v>
      </c>
      <c r="BO73" s="149">
        <f>Calcs!EL409</f>
        <v>0</v>
      </c>
      <c r="BP73" s="149">
        <f>Calcs!EM409</f>
        <v>0</v>
      </c>
      <c r="BQ73" s="149">
        <f>SUM(BE73:BP73)</f>
        <v>0</v>
      </c>
      <c r="BR73" s="1802"/>
      <c r="BS73" s="153">
        <f>SUM(BQ73,BD73,AQ73,AD73,Q73)</f>
        <v>0</v>
      </c>
      <c r="BT73" s="1802"/>
      <c r="BU73" s="153">
        <f>SUM(BQ73,BD73,AQ73,AD73,Q73)</f>
      </c>
      <c r="BV73" s="166">
        <f>Input!D172</f>
        <v>0</v>
      </c>
      <c r="BW73" s="96">
        <f>SUM(Financials!E73:'Financials'!G73)</f>
        <v>0</v>
      </c>
      <c r="BX73" s="96">
        <f>SUM(Financials!H73:'Financials'!J73)</f>
        <v>0</v>
      </c>
      <c r="BY73" s="149">
        <f>SUM(Financials!E73:'Financials'!F73)</f>
        <v>0</v>
      </c>
      <c r="BZ73" s="149">
        <f>SUM(Financials!G73:'Financials'!I73)</f>
        <v>0</v>
      </c>
      <c r="CA73" s="149">
        <f>SUM(Financials!R73:'Financials'!T73)</f>
        <v>0</v>
      </c>
      <c r="CB73" s="149">
        <f>SUM(Financials!U73:'Financials'!W73)</f>
        <v>0</v>
      </c>
      <c r="CC73" s="149">
        <f>SUM(Financials!X73:'Financials'!Z73)</f>
        <v>0</v>
      </c>
      <c r="CD73" s="149">
        <f>SUM(Financials!AA73:'Financials'!AC73)</f>
        <v>0</v>
      </c>
      <c r="CE73" s="149">
        <f>SUM(Financials!AE73:'Financials'!AG73)</f>
        <v>0</v>
      </c>
      <c r="CF73" s="149">
        <f>SUM(Financials!AH73:'Financials'!AJ73)</f>
        <v>0</v>
      </c>
      <c r="CG73" s="149">
        <f>SUM(Financials!AK73:'Financials'!AM73)</f>
        <v>0</v>
      </c>
      <c r="CH73" s="149">
        <f>SUM(Financials!AN73:'Financials'!AP73)</f>
        <v>0</v>
      </c>
      <c r="CI73" s="149">
        <f>SUM(Financials!AR73:'Financials'!AT73)</f>
        <v>0</v>
      </c>
      <c r="CJ73" s="149">
        <f>SUM(Financials!AU73:'Financials'!AW73)</f>
        <v>0</v>
      </c>
      <c r="CK73" s="149">
        <f>SUM(Financials!AX73:'Financials'!AZ73)</f>
        <v>0</v>
      </c>
      <c r="CL73" s="149">
        <f>SUM(Financials!BA73:'Financials'!BC73)</f>
        <v>0</v>
      </c>
      <c r="CM73" s="149">
        <f>SUM(Financials!BE73:'Financials'!BG73)</f>
        <v>0</v>
      </c>
      <c r="CN73" s="149">
        <f>SUM(Financials!BH73:'Financials'!BJ73)</f>
        <v>0</v>
      </c>
      <c r="CO73" s="149">
        <f>SUM(Financials!BK73:'Financials'!BM73)</f>
        <v>0</v>
      </c>
      <c r="CP73" s="149">
        <f>SUM(Financials!BN73:'Financials'!BP73)</f>
        <v>0</v>
      </c>
      <c r="CW73" s="179"/>
      <c r="CX73" s="179"/>
      <c r="CY73" s="305"/>
      <c r="CZ73" s="305"/>
      <c r="DA73" s="305"/>
      <c r="DB73" s="305"/>
      <c r="DC73" s="305"/>
      <c r="DD73" s="305"/>
      <c r="DE73" s="305"/>
      <c r="DF73" s="305"/>
      <c r="DG73" s="305"/>
      <c r="DH73" s="305"/>
      <c r="DI73" s="305"/>
      <c r="DJ73" s="305"/>
      <c r="DK73" s="305"/>
      <c r="DL73" s="305"/>
      <c r="DM73" s="305"/>
      <c r="DN73" s="305"/>
      <c r="DO73" s="305"/>
      <c r="DP73" s="305"/>
      <c r="DQ73" s="305"/>
      <c r="DR73" s="305"/>
      <c r="DS73" s="305"/>
      <c r="DT73" s="305"/>
      <c r="DU73" s="305"/>
      <c r="DV73" s="305"/>
      <c r="DW73" s="305"/>
      <c r="DX73" s="305"/>
      <c r="DY73" s="305"/>
      <c r="DZ73" s="305"/>
      <c r="EA73" s="305"/>
      <c r="EB73" s="305"/>
      <c r="EC73" s="305"/>
      <c r="ED73" s="305"/>
      <c r="EE73" s="305"/>
      <c r="EF73" s="305"/>
      <c r="EG73" s="305"/>
      <c r="EH73" s="305"/>
      <c r="EI73" s="305"/>
      <c r="EJ73" s="305"/>
      <c r="EK73" s="305"/>
      <c r="EL73" s="305"/>
      <c r="EM73" s="305"/>
      <c r="EN73" s="305"/>
      <c r="EO73" s="305"/>
      <c r="EP73" s="305"/>
      <c r="EQ73" s="305"/>
      <c r="ER73" s="305"/>
      <c r="ES73" s="305"/>
      <c r="ET73" s="305"/>
      <c r="EU73" s="305"/>
      <c r="EV73" s="305"/>
      <c r="EW73" s="305"/>
      <c r="EX73" s="305"/>
      <c r="EY73" s="305"/>
      <c r="EZ73" s="305"/>
      <c r="FA73" s="305"/>
      <c r="FB73" s="305"/>
      <c r="FC73" s="305"/>
      <c r="FD73" s="305"/>
      <c r="FE73" s="305"/>
      <c r="FF73" s="305"/>
      <c r="FG73" s="305"/>
      <c r="FH73" s="305"/>
      <c r="FI73" s="305"/>
      <c r="FJ73" s="305"/>
    </row>
    <row r="74" spans="1:166" ht="12.75" hidden="1" customHeight="1" x14ac:dyDescent="0.35">
      <c r="A74" s="136"/>
      <c r="B74" s="136"/>
      <c r="C74" s="136"/>
      <c r="D74" s="172" t="str">
        <f>IF(Calcs!CE410="","TBD",Calcs!CE410)</f>
        <v>TBD</v>
      </c>
      <c r="E74" s="149">
        <f>Calcs!CF410</f>
        <v>0</v>
      </c>
      <c r="F74" s="149">
        <f>Calcs!CG410</f>
        <v>0</v>
      </c>
      <c r="G74" s="149">
        <f>Calcs!CH410</f>
        <v>0</v>
      </c>
      <c r="H74" s="149">
        <f>Calcs!CI410</f>
        <v>0</v>
      </c>
      <c r="I74" s="149">
        <f>Calcs!CJ410</f>
        <v>0</v>
      </c>
      <c r="J74" s="149">
        <f>Calcs!CK410</f>
        <v>0</v>
      </c>
      <c r="K74" s="149">
        <f>Calcs!CL410</f>
        <v>0</v>
      </c>
      <c r="L74" s="149">
        <f>Calcs!CM410</f>
        <v>0</v>
      </c>
      <c r="M74" s="149">
        <f>Calcs!CN410</f>
        <v>0</v>
      </c>
      <c r="N74" s="149">
        <f>Calcs!CO410</f>
        <v>0</v>
      </c>
      <c r="O74" s="149">
        <f>Calcs!CP410</f>
        <v>0</v>
      </c>
      <c r="P74" s="149">
        <f>Calcs!CQ410</f>
        <v>0</v>
      </c>
      <c r="Q74" s="151">
        <f>SUM(E74:P74)</f>
        <v>0</v>
      </c>
      <c r="R74" s="149">
        <f>Calcs!CR410</f>
        <v>0</v>
      </c>
      <c r="S74" s="149">
        <f>Calcs!CS410</f>
        <v>0</v>
      </c>
      <c r="T74" s="149">
        <f>Calcs!CT410</f>
        <v>0</v>
      </c>
      <c r="U74" s="149">
        <f>Calcs!CU410</f>
        <v>0</v>
      </c>
      <c r="V74" s="149">
        <f>Calcs!CV410</f>
        <v>0</v>
      </c>
      <c r="W74" s="149">
        <f>Calcs!CW410</f>
        <v>0</v>
      </c>
      <c r="X74" s="149">
        <f>Calcs!CX410</f>
        <v>0</v>
      </c>
      <c r="Y74" s="149">
        <f>Calcs!CY410</f>
        <v>0</v>
      </c>
      <c r="Z74" s="149">
        <f>Calcs!CZ410</f>
        <v>0</v>
      </c>
      <c r="AA74" s="149">
        <f>Calcs!DA410</f>
        <v>0</v>
      </c>
      <c r="AB74" s="149">
        <f>Calcs!DB410</f>
        <v>0</v>
      </c>
      <c r="AC74" s="149">
        <f>Calcs!DC410</f>
        <v>0</v>
      </c>
      <c r="AD74" s="149">
        <f>SUM(R74:AC74)</f>
        <v>0</v>
      </c>
      <c r="AE74" s="149">
        <f>Calcs!DD410</f>
        <v>0</v>
      </c>
      <c r="AF74" s="149">
        <f>Calcs!DE410</f>
        <v>0</v>
      </c>
      <c r="AG74" s="149">
        <f>Calcs!DF410</f>
        <v>0</v>
      </c>
      <c r="AH74" s="149">
        <f>Calcs!DG410</f>
        <v>0</v>
      </c>
      <c r="AI74" s="149">
        <f>Calcs!DH410</f>
        <v>0</v>
      </c>
      <c r="AJ74" s="149">
        <f>Calcs!DI410</f>
        <v>0</v>
      </c>
      <c r="AK74" s="149">
        <f>Calcs!DJ410</f>
        <v>0</v>
      </c>
      <c r="AL74" s="149">
        <f>Calcs!DK410</f>
        <v>0</v>
      </c>
      <c r="AM74" s="149">
        <f>Calcs!DL410</f>
        <v>0</v>
      </c>
      <c r="AN74" s="149">
        <f>Calcs!DM410</f>
        <v>0</v>
      </c>
      <c r="AO74" s="149">
        <f>Calcs!DN410</f>
        <v>0</v>
      </c>
      <c r="AP74" s="149">
        <f>Calcs!DO410</f>
        <v>0</v>
      </c>
      <c r="AQ74" s="149">
        <f>SUM(AE74:AP74)</f>
        <v>0</v>
      </c>
      <c r="AR74" s="149">
        <f>Calcs!DP410</f>
        <v>0</v>
      </c>
      <c r="AS74" s="149">
        <f>Calcs!DQ410</f>
        <v>0</v>
      </c>
      <c r="AT74" s="149">
        <f>Calcs!DR410</f>
        <v>0</v>
      </c>
      <c r="AU74" s="149">
        <f>Calcs!DS410</f>
        <v>0</v>
      </c>
      <c r="AV74" s="149">
        <f>Calcs!DT410</f>
        <v>0</v>
      </c>
      <c r="AW74" s="149">
        <f>Calcs!DU410</f>
        <v>0</v>
      </c>
      <c r="AX74" s="149">
        <f>Calcs!DV410</f>
        <v>0</v>
      </c>
      <c r="AY74" s="149">
        <f>Calcs!DW410</f>
        <v>0</v>
      </c>
      <c r="AZ74" s="149">
        <f>Calcs!DX410</f>
        <v>0</v>
      </c>
      <c r="BA74" s="149">
        <f>Calcs!DY410</f>
        <v>0</v>
      </c>
      <c r="BB74" s="149">
        <f>Calcs!DZ410</f>
        <v>0</v>
      </c>
      <c r="BC74" s="149">
        <f>Calcs!EA410</f>
        <v>0</v>
      </c>
      <c r="BD74" s="149">
        <f>SUM(AR74:BC74)</f>
        <v>0</v>
      </c>
      <c r="BE74" s="149">
        <f>Calcs!EB410</f>
        <v>0</v>
      </c>
      <c r="BF74" s="149">
        <f>Calcs!EC410</f>
        <v>0</v>
      </c>
      <c r="BG74" s="149">
        <f>Calcs!ED410</f>
        <v>0</v>
      </c>
      <c r="BH74" s="149">
        <f>Calcs!EE410</f>
        <v>0</v>
      </c>
      <c r="BI74" s="149">
        <f>Calcs!EF410</f>
        <v>0</v>
      </c>
      <c r="BJ74" s="149">
        <f>Calcs!EG410</f>
        <v>0</v>
      </c>
      <c r="BK74" s="149">
        <f>Calcs!EH410</f>
        <v>0</v>
      </c>
      <c r="BL74" s="149">
        <f>Calcs!EI410</f>
        <v>0</v>
      </c>
      <c r="BM74" s="149">
        <f>Calcs!EJ410</f>
        <v>0</v>
      </c>
      <c r="BN74" s="149">
        <f>Calcs!EK410</f>
        <v>0</v>
      </c>
      <c r="BO74" s="149">
        <f>Calcs!EL410</f>
        <v>0</v>
      </c>
      <c r="BP74" s="149">
        <f>Calcs!EM410</f>
        <v>0</v>
      </c>
      <c r="BQ74" s="149">
        <f>SUM(BE74:BP74)</f>
        <v>0</v>
      </c>
      <c r="BR74" s="1802"/>
      <c r="BS74" s="153">
        <f>SUM(BQ74,BD74,AQ74,AD74,Q74)</f>
        <v>0</v>
      </c>
      <c r="BT74" s="1802"/>
      <c r="BU74" s="153">
        <f>SUM(BQ74,BD74,AQ74,AD74,Q74)</f>
      </c>
      <c r="BV74" s="167">
        <f>Input!D173</f>
        <v>0</v>
      </c>
      <c r="BW74" s="96">
        <f>SUM(Financials!E74:'Financials'!G74)</f>
        <v>0</v>
      </c>
      <c r="BX74" s="96">
        <f>SUM(Financials!H74:'Financials'!J74)</f>
        <v>0</v>
      </c>
      <c r="BY74" s="149">
        <f>SUM(Financials!E74:'Financials'!F74)</f>
        <v>0</v>
      </c>
      <c r="BZ74" s="149">
        <f>SUM(Financials!G74:'Financials'!I74)</f>
        <v>0</v>
      </c>
      <c r="CA74" s="149">
        <f>SUM(Financials!R74:'Financials'!T74)</f>
        <v>0</v>
      </c>
      <c r="CB74" s="149">
        <f>SUM(Financials!U74:'Financials'!W74)</f>
        <v>0</v>
      </c>
      <c r="CC74" s="149">
        <f>SUM(Financials!X74:'Financials'!Z74)</f>
        <v>0</v>
      </c>
      <c r="CD74" s="149">
        <f>SUM(Financials!AA74:'Financials'!AC74)</f>
        <v>0</v>
      </c>
      <c r="CE74" s="149">
        <f>SUM(Financials!AE74:'Financials'!AG74)</f>
        <v>0</v>
      </c>
      <c r="CF74" s="149">
        <f>SUM(Financials!AH74:'Financials'!AJ74)</f>
        <v>0</v>
      </c>
      <c r="CG74" s="149">
        <f>SUM(Financials!AK74:'Financials'!AM74)</f>
        <v>0</v>
      </c>
      <c r="CH74" s="149">
        <f>SUM(Financials!AN74:'Financials'!AP74)</f>
        <v>0</v>
      </c>
      <c r="CI74" s="149">
        <f>SUM(Financials!AR74:'Financials'!AT74)</f>
        <v>0</v>
      </c>
      <c r="CJ74" s="149">
        <f>SUM(Financials!AU74:'Financials'!AW74)</f>
        <v>0</v>
      </c>
      <c r="CK74" s="149">
        <f>SUM(Financials!AX74:'Financials'!AZ74)</f>
        <v>0</v>
      </c>
      <c r="CL74" s="149">
        <f>SUM(Financials!BA74:'Financials'!BC74)</f>
        <v>0</v>
      </c>
      <c r="CM74" s="149">
        <f>SUM(Financials!BE74:'Financials'!BG74)</f>
        <v>0</v>
      </c>
      <c r="CN74" s="149">
        <f>SUM(Financials!BH74:'Financials'!BJ74)</f>
        <v>0</v>
      </c>
      <c r="CO74" s="149">
        <f>SUM(Financials!BK74:'Financials'!BM74)</f>
        <v>0</v>
      </c>
      <c r="CP74" s="149">
        <f>SUM(Financials!BN74:'Financials'!BP74)</f>
        <v>0</v>
      </c>
      <c r="CW74" s="179"/>
      <c r="CX74" s="179"/>
      <c r="CY74" s="305"/>
      <c r="CZ74" s="305"/>
      <c r="DA74" s="305"/>
      <c r="DB74" s="305"/>
      <c r="DC74" s="305"/>
      <c r="DD74" s="305"/>
      <c r="DE74" s="305"/>
      <c r="DF74" s="305"/>
      <c r="DG74" s="305"/>
      <c r="DH74" s="305"/>
      <c r="DI74" s="305"/>
      <c r="DJ74" s="305"/>
      <c r="DK74" s="305"/>
      <c r="DL74" s="305"/>
      <c r="DM74" s="305"/>
      <c r="DN74" s="305"/>
      <c r="DO74" s="305"/>
      <c r="DP74" s="305"/>
      <c r="DQ74" s="305"/>
      <c r="DR74" s="305"/>
      <c r="DS74" s="305"/>
      <c r="DT74" s="305"/>
      <c r="DU74" s="305"/>
      <c r="DV74" s="305"/>
      <c r="DW74" s="305"/>
      <c r="DX74" s="305"/>
      <c r="DY74" s="305"/>
      <c r="DZ74" s="305"/>
      <c r="EA74" s="305"/>
      <c r="EB74" s="305"/>
      <c r="EC74" s="305"/>
      <c r="ED74" s="305"/>
      <c r="EE74" s="305"/>
      <c r="EF74" s="305"/>
      <c r="EG74" s="305"/>
      <c r="EH74" s="305"/>
      <c r="EI74" s="305"/>
      <c r="EJ74" s="305"/>
      <c r="EK74" s="305"/>
      <c r="EL74" s="305"/>
      <c r="EM74" s="305"/>
      <c r="EN74" s="305"/>
      <c r="EO74" s="305"/>
      <c r="EP74" s="305"/>
      <c r="EQ74" s="305"/>
      <c r="ER74" s="305"/>
      <c r="ES74" s="305"/>
      <c r="ET74" s="305"/>
      <c r="EU74" s="305"/>
      <c r="EV74" s="305"/>
      <c r="EW74" s="305"/>
      <c r="EX74" s="305"/>
      <c r="EY74" s="305"/>
      <c r="EZ74" s="305"/>
      <c r="FA74" s="305"/>
      <c r="FB74" s="305"/>
      <c r="FC74" s="305"/>
      <c r="FD74" s="305"/>
      <c r="FE74" s="305"/>
      <c r="FF74" s="305"/>
      <c r="FG74" s="305"/>
      <c r="FH74" s="305"/>
      <c r="FI74" s="305"/>
      <c r="FJ74" s="305"/>
    </row>
    <row r="75" spans="1:166" ht="12.75" hidden="1" customHeight="1" x14ac:dyDescent="0.35">
      <c r="A75" s="136"/>
      <c r="B75" s="136"/>
      <c r="C75" s="136"/>
      <c r="D75" s="172" t="str">
        <f>IF(Calcs!CE411="","TBD",Calcs!CE411)</f>
        <v>TBD</v>
      </c>
      <c r="E75" s="149">
        <f>Calcs!CF411</f>
        <v>0</v>
      </c>
      <c r="F75" s="149">
        <f>Calcs!CG411</f>
        <v>0</v>
      </c>
      <c r="G75" s="149">
        <f>Calcs!CH411</f>
        <v>0</v>
      </c>
      <c r="H75" s="149">
        <f>Calcs!CI411</f>
        <v>0</v>
      </c>
      <c r="I75" s="149">
        <f>Calcs!CJ411</f>
        <v>0</v>
      </c>
      <c r="J75" s="149">
        <f>Calcs!CK411</f>
        <v>0</v>
      </c>
      <c r="K75" s="149">
        <f>Calcs!CL411</f>
        <v>0</v>
      </c>
      <c r="L75" s="149">
        <f>Calcs!CM411</f>
        <v>0</v>
      </c>
      <c r="M75" s="149">
        <f>Calcs!CN411</f>
        <v>0</v>
      </c>
      <c r="N75" s="149">
        <f>Calcs!CO411</f>
        <v>0</v>
      </c>
      <c r="O75" s="149">
        <f>Calcs!CP411</f>
        <v>0</v>
      </c>
      <c r="P75" s="149">
        <f>Calcs!CQ411</f>
        <v>0</v>
      </c>
      <c r="Q75" s="151">
        <f>SUM(E75:P75)</f>
      </c>
      <c r="R75" s="149">
        <f>Calcs!CR411</f>
        <v>0</v>
      </c>
      <c r="S75" s="149">
        <f>Calcs!CS411</f>
        <v>0</v>
      </c>
      <c r="T75" s="149">
        <f>Calcs!CT411</f>
        <v>0</v>
      </c>
      <c r="U75" s="149">
        <f>Calcs!CU411</f>
        <v>0</v>
      </c>
      <c r="V75" s="149">
        <f>Calcs!CV411</f>
        <v>0</v>
      </c>
      <c r="W75" s="149">
        <f>Calcs!CW411</f>
        <v>0</v>
      </c>
      <c r="X75" s="149">
        <f>Calcs!CX411</f>
        <v>0</v>
      </c>
      <c r="Y75" s="149">
        <f>Calcs!CY411</f>
        <v>0</v>
      </c>
      <c r="Z75" s="149">
        <f>Calcs!CZ411</f>
        <v>0</v>
      </c>
      <c r="AA75" s="149">
        <f>Calcs!DA411</f>
        <v>0</v>
      </c>
      <c r="AB75" s="149">
        <f>Calcs!DB411</f>
        <v>0</v>
      </c>
      <c r="AC75" s="149">
        <f>Calcs!DC411</f>
        <v>0</v>
      </c>
      <c r="AD75" s="149">
        <f>SUM(R75:AC75)</f>
        <v>0</v>
      </c>
      <c r="AE75" s="149">
        <f>Calcs!DD411</f>
        <v>0</v>
      </c>
      <c r="AF75" s="149">
        <f>Calcs!DE411</f>
        <v>0</v>
      </c>
      <c r="AG75" s="149">
        <f>Calcs!DF411</f>
        <v>0</v>
      </c>
      <c r="AH75" s="149">
        <f>Calcs!DG411</f>
        <v>0</v>
      </c>
      <c r="AI75" s="149">
        <f>Calcs!DH411</f>
        <v>0</v>
      </c>
      <c r="AJ75" s="149">
        <f>Calcs!DI411</f>
        <v>0</v>
      </c>
      <c r="AK75" s="149">
        <f>Calcs!DJ411</f>
        <v>0</v>
      </c>
      <c r="AL75" s="149">
        <f>Calcs!DK411</f>
        <v>0</v>
      </c>
      <c r="AM75" s="149">
        <f>Calcs!DL411</f>
        <v>0</v>
      </c>
      <c r="AN75" s="149">
        <f>Calcs!DM411</f>
        <v>0</v>
      </c>
      <c r="AO75" s="149">
        <f>Calcs!DN411</f>
        <v>0</v>
      </c>
      <c r="AP75" s="149">
        <f>Calcs!DO411</f>
        <v>0</v>
      </c>
      <c r="AQ75" s="149">
        <f>SUM(AE75:AP75)</f>
        <v>0</v>
      </c>
      <c r="AR75" s="149">
        <f>Calcs!DP411</f>
        <v>0</v>
      </c>
      <c r="AS75" s="149">
        <f>Calcs!DQ411</f>
        <v>0</v>
      </c>
      <c r="AT75" s="149">
        <f>Calcs!DR411</f>
        <v>0</v>
      </c>
      <c r="AU75" s="149">
        <f>Calcs!DS411</f>
        <v>0</v>
      </c>
      <c r="AV75" s="149">
        <f>Calcs!DT411</f>
        <v>0</v>
      </c>
      <c r="AW75" s="149">
        <f>Calcs!DU411</f>
        <v>0</v>
      </c>
      <c r="AX75" s="149">
        <f>Calcs!DV411</f>
        <v>0</v>
      </c>
      <c r="AY75" s="149">
        <f>Calcs!DW411</f>
        <v>0</v>
      </c>
      <c r="AZ75" s="149">
        <f>Calcs!DX411</f>
        <v>0</v>
      </c>
      <c r="BA75" s="149">
        <f>Calcs!DY411</f>
        <v>0</v>
      </c>
      <c r="BB75" s="149">
        <f>Calcs!DZ411</f>
        <v>0</v>
      </c>
      <c r="BC75" s="149">
        <f>Calcs!EA411</f>
        <v>0</v>
      </c>
      <c r="BD75" s="149">
        <f>SUM(AR75:BC75)</f>
        <v>0</v>
      </c>
      <c r="BE75" s="149">
        <f>Calcs!EB411</f>
        <v>0</v>
      </c>
      <c r="BF75" s="149">
        <f>Calcs!EC411</f>
        <v>0</v>
      </c>
      <c r="BG75" s="149">
        <f>Calcs!ED411</f>
        <v>0</v>
      </c>
      <c r="BH75" s="149">
        <f>Calcs!EE411</f>
        <v>0</v>
      </c>
      <c r="BI75" s="149">
        <f>Calcs!EF411</f>
        <v>0</v>
      </c>
      <c r="BJ75" s="149">
        <f>Calcs!EG411</f>
        <v>0</v>
      </c>
      <c r="BK75" s="149">
        <f>Calcs!EH411</f>
        <v>0</v>
      </c>
      <c r="BL75" s="149">
        <f>Calcs!EI411</f>
        <v>0</v>
      </c>
      <c r="BM75" s="149">
        <f>Calcs!EJ411</f>
        <v>0</v>
      </c>
      <c r="BN75" s="149">
        <f>Calcs!EK411</f>
        <v>0</v>
      </c>
      <c r="BO75" s="149">
        <f>Calcs!EL411</f>
        <v>0</v>
      </c>
      <c r="BP75" s="149">
        <f>Calcs!EM411</f>
        <v>0</v>
      </c>
      <c r="BQ75" s="149">
        <f>SUM(BE75:BP75)</f>
        <v>0</v>
      </c>
      <c r="BR75" s="1802"/>
      <c r="BS75" s="153">
        <f>SUM(BQ75,BD75,AQ75,AD75,Q75)</f>
        <v>0</v>
      </c>
      <c r="BT75" s="1802"/>
      <c r="BU75" s="153">
        <f>SUM(BQ75,BD75,AQ75,AD75,Q75)</f>
      </c>
      <c r="BV75" s="158">
        <f>Input!D174</f>
        <v>0</v>
      </c>
      <c r="BW75" s="149">
        <f>Calcs!CD411</f>
        <v>0</v>
      </c>
      <c r="BX75" s="149" t="str">
        <f>Calcs!CE411</f>
        <v/>
      </c>
      <c r="BY75" s="149">
        <f>Calcs!CF411</f>
        <v>0</v>
      </c>
      <c r="BZ75" s="149">
        <f>Calcs!CG411</f>
        <v>0</v>
      </c>
      <c r="CA75" s="149">
        <f>Calcs!CH411</f>
        <v>0</v>
      </c>
      <c r="CB75" s="149">
        <f>Calcs!CI411</f>
        <v>0</v>
      </c>
      <c r="CC75" s="149">
        <f>Calcs!CJ411</f>
        <v>0</v>
      </c>
      <c r="CD75" s="149">
        <f>Calcs!CK411</f>
        <v>0</v>
      </c>
      <c r="CE75" s="149">
        <f>Calcs!CL411</f>
        <v>0</v>
      </c>
      <c r="CF75" s="149">
        <f>Calcs!CM411</f>
        <v>0</v>
      </c>
      <c r="CG75" s="149">
        <f>Calcs!CN411</f>
        <v>0</v>
      </c>
      <c r="CH75" s="149">
        <f>Calcs!CO411</f>
        <v>0</v>
      </c>
      <c r="CI75" s="149">
        <f>Calcs!CP411</f>
        <v>0</v>
      </c>
      <c r="CJ75" s="149">
        <f>Calcs!CQ411</f>
        <v>0</v>
      </c>
      <c r="CK75" s="149">
        <f>Calcs!CR411</f>
        <v>0</v>
      </c>
      <c r="CL75" s="149">
        <f>Calcs!CS411</f>
        <v>0</v>
      </c>
      <c r="CM75" s="149">
        <f>Calcs!CT411</f>
        <v>0</v>
      </c>
      <c r="CN75" s="149">
        <f>Calcs!CU411</f>
        <v>0</v>
      </c>
      <c r="CO75" s="149">
        <f>Calcs!CV411</f>
        <v>0</v>
      </c>
      <c r="CP75" s="149">
        <f>Calcs!CW411</f>
        <v>0</v>
      </c>
      <c r="CW75" s="179"/>
      <c r="CX75" s="179"/>
      <c r="CY75" s="305"/>
      <c r="CZ75" s="305"/>
      <c r="DA75" s="305"/>
      <c r="DB75" s="305"/>
      <c r="DC75" s="305"/>
      <c r="DD75" s="305"/>
      <c r="DE75" s="305"/>
      <c r="DF75" s="305"/>
      <c r="DG75" s="305"/>
      <c r="DH75" s="305"/>
      <c r="DI75" s="305"/>
      <c r="DJ75" s="305"/>
      <c r="DK75" s="305"/>
      <c r="DL75" s="305"/>
      <c r="DM75" s="305"/>
      <c r="DN75" s="305"/>
      <c r="DO75" s="305"/>
      <c r="DP75" s="305"/>
      <c r="DQ75" s="305"/>
      <c r="DR75" s="305"/>
      <c r="DS75" s="305"/>
      <c r="DT75" s="305"/>
      <c r="DU75" s="305"/>
      <c r="DV75" s="305"/>
      <c r="DW75" s="305"/>
      <c r="DX75" s="305"/>
      <c r="DY75" s="305"/>
      <c r="DZ75" s="305"/>
      <c r="EA75" s="305"/>
      <c r="EB75" s="305"/>
      <c r="EC75" s="305"/>
      <c r="ED75" s="305"/>
      <c r="EE75" s="305"/>
      <c r="EF75" s="305"/>
      <c r="EG75" s="305"/>
      <c r="EH75" s="305"/>
      <c r="EI75" s="305"/>
      <c r="EJ75" s="305"/>
      <c r="EK75" s="305"/>
      <c r="EL75" s="305"/>
      <c r="EM75" s="305"/>
      <c r="EN75" s="305"/>
      <c r="EO75" s="305"/>
      <c r="EP75" s="305"/>
      <c r="EQ75" s="305"/>
      <c r="ER75" s="305"/>
      <c r="ES75" s="305"/>
      <c r="ET75" s="305"/>
      <c r="EU75" s="305"/>
      <c r="EV75" s="305"/>
      <c r="EW75" s="305"/>
      <c r="EX75" s="305"/>
      <c r="EY75" s="305"/>
      <c r="EZ75" s="305"/>
      <c r="FA75" s="305"/>
      <c r="FB75" s="305"/>
      <c r="FC75" s="305"/>
      <c r="FD75" s="305"/>
      <c r="FE75" s="305"/>
      <c r="FF75" s="305"/>
      <c r="FG75" s="305"/>
      <c r="FH75" s="305"/>
      <c r="FI75" s="305"/>
      <c r="FJ75" s="305"/>
    </row>
    <row r="76" spans="1:166" ht="12.75" hidden="1" customHeight="1" x14ac:dyDescent="0.35">
      <c r="A76" s="136"/>
      <c r="B76" s="136"/>
      <c r="C76" s="136"/>
      <c r="D76" s="172" t="str">
        <f>IF(Calcs!CE412="","TBD",Calcs!CE412)</f>
        <v>TBD</v>
      </c>
      <c r="E76" s="149">
        <f>Calcs!CF412</f>
        <v>0</v>
      </c>
      <c r="F76" s="149">
        <f>Calcs!CG412</f>
        <v>0</v>
      </c>
      <c r="G76" s="149">
        <f>Calcs!CH412</f>
        <v>0</v>
      </c>
      <c r="H76" s="149">
        <f>Calcs!CI412</f>
        <v>0</v>
      </c>
      <c r="I76" s="149">
        <f>Calcs!CJ412</f>
        <v>0</v>
      </c>
      <c r="J76" s="149">
        <f>Calcs!CK412</f>
        <v>0</v>
      </c>
      <c r="K76" s="149">
        <f>Calcs!CL412</f>
        <v>0</v>
      </c>
      <c r="L76" s="149">
        <f>Calcs!CM412</f>
        <v>0</v>
      </c>
      <c r="M76" s="149">
        <f>Calcs!CN412</f>
        <v>0</v>
      </c>
      <c r="N76" s="149">
        <f>Calcs!CO412</f>
        <v>0</v>
      </c>
      <c r="O76" s="149">
        <f>Calcs!CP412</f>
        <v>0</v>
      </c>
      <c r="P76" s="149">
        <f>Calcs!CQ412</f>
        <v>0</v>
      </c>
      <c r="Q76" s="151">
        <f>SUM(E76:P76)</f>
      </c>
      <c r="R76" s="149">
        <f>Calcs!CR412</f>
        <v>0</v>
      </c>
      <c r="S76" s="149">
        <f>Calcs!CS412</f>
        <v>0</v>
      </c>
      <c r="T76" s="149">
        <f>Calcs!CT412</f>
        <v>0</v>
      </c>
      <c r="U76" s="149">
        <f>Calcs!CU412</f>
        <v>0</v>
      </c>
      <c r="V76" s="149">
        <f>Calcs!CV412</f>
        <v>0</v>
      </c>
      <c r="W76" s="149">
        <f>Calcs!CW412</f>
        <v>0</v>
      </c>
      <c r="X76" s="149">
        <f>Calcs!CX412</f>
        <v>0</v>
      </c>
      <c r="Y76" s="149">
        <f>Calcs!CY412</f>
        <v>0</v>
      </c>
      <c r="Z76" s="149">
        <f>Calcs!CZ412</f>
        <v>0</v>
      </c>
      <c r="AA76" s="149">
        <f>Calcs!DA412</f>
        <v>0</v>
      </c>
      <c r="AB76" s="149">
        <f>Calcs!DB412</f>
        <v>0</v>
      </c>
      <c r="AC76" s="149">
        <f>Calcs!DC412</f>
        <v>0</v>
      </c>
      <c r="AD76" s="149">
        <f>SUM(R76:AC76)</f>
        <v>0</v>
      </c>
      <c r="AE76" s="149">
        <f>Calcs!DD412</f>
        <v>0</v>
      </c>
      <c r="AF76" s="149">
        <f>Calcs!DE412</f>
        <v>0</v>
      </c>
      <c r="AG76" s="149">
        <f>Calcs!DF412</f>
        <v>0</v>
      </c>
      <c r="AH76" s="149">
        <f>Calcs!DG412</f>
        <v>0</v>
      </c>
      <c r="AI76" s="149">
        <f>Calcs!DH412</f>
        <v>0</v>
      </c>
      <c r="AJ76" s="149">
        <f>Calcs!DI412</f>
        <v>0</v>
      </c>
      <c r="AK76" s="149">
        <f>Calcs!DJ412</f>
        <v>0</v>
      </c>
      <c r="AL76" s="149">
        <f>Calcs!DK412</f>
        <v>0</v>
      </c>
      <c r="AM76" s="149">
        <f>Calcs!DL412</f>
        <v>0</v>
      </c>
      <c r="AN76" s="149">
        <f>Calcs!DM412</f>
        <v>0</v>
      </c>
      <c r="AO76" s="149">
        <f>Calcs!DN412</f>
        <v>0</v>
      </c>
      <c r="AP76" s="149">
        <f>Calcs!DO412</f>
        <v>0</v>
      </c>
      <c r="AQ76" s="149">
        <f>SUM(AE76:AP76)</f>
        <v>0</v>
      </c>
      <c r="AR76" s="149">
        <f>Calcs!DP412</f>
        <v>0</v>
      </c>
      <c r="AS76" s="149">
        <f>Calcs!DQ412</f>
        <v>0</v>
      </c>
      <c r="AT76" s="149">
        <f>Calcs!DR412</f>
        <v>0</v>
      </c>
      <c r="AU76" s="149">
        <f>Calcs!DS412</f>
        <v>0</v>
      </c>
      <c r="AV76" s="149">
        <f>Calcs!DT412</f>
        <v>0</v>
      </c>
      <c r="AW76" s="149">
        <f>Calcs!DU412</f>
        <v>0</v>
      </c>
      <c r="AX76" s="149">
        <f>Calcs!DV412</f>
        <v>0</v>
      </c>
      <c r="AY76" s="149">
        <f>Calcs!DW412</f>
        <v>0</v>
      </c>
      <c r="AZ76" s="149">
        <f>Calcs!DX412</f>
        <v>0</v>
      </c>
      <c r="BA76" s="149">
        <f>Calcs!DY412</f>
        <v>0</v>
      </c>
      <c r="BB76" s="149">
        <f>Calcs!DZ412</f>
        <v>0</v>
      </c>
      <c r="BC76" s="149">
        <f>Calcs!EA412</f>
        <v>0</v>
      </c>
      <c r="BD76" s="149">
        <f>SUM(AR76:BC76)</f>
        <v>0</v>
      </c>
      <c r="BE76" s="149">
        <f>Calcs!EB412</f>
        <v>0</v>
      </c>
      <c r="BF76" s="149">
        <f>Calcs!EC412</f>
        <v>0</v>
      </c>
      <c r="BG76" s="149">
        <f>Calcs!ED412</f>
        <v>0</v>
      </c>
      <c r="BH76" s="149">
        <f>Calcs!EE412</f>
        <v>0</v>
      </c>
      <c r="BI76" s="149">
        <f>Calcs!EF412</f>
        <v>0</v>
      </c>
      <c r="BJ76" s="149">
        <f>Calcs!EG412</f>
        <v>0</v>
      </c>
      <c r="BK76" s="149">
        <f>Calcs!EH412</f>
        <v>0</v>
      </c>
      <c r="BL76" s="149">
        <f>Calcs!EI412</f>
        <v>0</v>
      </c>
      <c r="BM76" s="149">
        <f>Calcs!EJ412</f>
        <v>0</v>
      </c>
      <c r="BN76" s="149">
        <f>Calcs!EK412</f>
        <v>0</v>
      </c>
      <c r="BO76" s="149">
        <f>Calcs!EL412</f>
        <v>0</v>
      </c>
      <c r="BP76" s="149">
        <f>Calcs!EM412</f>
        <v>0</v>
      </c>
      <c r="BQ76" s="149">
        <f>SUM(BE76:BP76)</f>
        <v>0</v>
      </c>
      <c r="BR76" s="1802"/>
      <c r="BS76" s="153">
        <f>SUM(BQ76,BD76,AQ76,AD76,Q76)</f>
        <v>0</v>
      </c>
      <c r="BT76" s="1802"/>
      <c r="BU76" s="153">
        <f>SUM(BQ76,BD76,AQ76,AD76,Q76)</f>
      </c>
      <c r="BV76" s="158">
        <f>Input!D175</f>
        <v>0</v>
      </c>
      <c r="BW76" s="149">
        <f>Calcs!CD412</f>
        <v>0</v>
      </c>
      <c r="BX76" s="149" t="str">
        <f>Calcs!CE412</f>
        <v/>
      </c>
      <c r="BY76" s="149">
        <f>Calcs!CF412</f>
        <v>0</v>
      </c>
      <c r="BZ76" s="149">
        <f>Calcs!CG412</f>
        <v>0</v>
      </c>
      <c r="CA76" s="149">
        <f>Calcs!CH412</f>
        <v>0</v>
      </c>
      <c r="CB76" s="149">
        <f>Calcs!CI412</f>
        <v>0</v>
      </c>
      <c r="CC76" s="149">
        <f>Calcs!CJ412</f>
        <v>0</v>
      </c>
      <c r="CD76" s="149">
        <f>Calcs!CK412</f>
        <v>0</v>
      </c>
      <c r="CE76" s="149">
        <f>Calcs!CL412</f>
        <v>0</v>
      </c>
      <c r="CF76" s="149">
        <f>Calcs!CM412</f>
        <v>0</v>
      </c>
      <c r="CG76" s="149">
        <f>Calcs!CN412</f>
        <v>0</v>
      </c>
      <c r="CH76" s="149">
        <f>Calcs!CO412</f>
        <v>0</v>
      </c>
      <c r="CI76" s="149">
        <f>Calcs!CP412</f>
        <v>0</v>
      </c>
      <c r="CJ76" s="149">
        <f>Calcs!CQ412</f>
        <v>0</v>
      </c>
      <c r="CK76" s="149">
        <f>Calcs!CR412</f>
        <v>0</v>
      </c>
      <c r="CL76" s="149">
        <f>Calcs!CS412</f>
        <v>0</v>
      </c>
      <c r="CM76" s="149">
        <f>Calcs!CT412</f>
        <v>0</v>
      </c>
      <c r="CN76" s="149">
        <f>Calcs!CU412</f>
        <v>0</v>
      </c>
      <c r="CO76" s="149">
        <f>Calcs!CV412</f>
        <v>0</v>
      </c>
      <c r="CP76" s="149">
        <f>Calcs!CW412</f>
        <v>0</v>
      </c>
      <c r="CW76" s="179"/>
      <c r="CX76" s="179"/>
      <c r="CY76" s="305"/>
      <c r="CZ76" s="305"/>
      <c r="DA76" s="305"/>
      <c r="DB76" s="305"/>
      <c r="DC76" s="305"/>
      <c r="DD76" s="305"/>
      <c r="DE76" s="305"/>
      <c r="DF76" s="305"/>
      <c r="DG76" s="305"/>
      <c r="DH76" s="305"/>
      <c r="DI76" s="305"/>
      <c r="DJ76" s="305"/>
      <c r="DK76" s="305"/>
      <c r="DL76" s="305"/>
      <c r="DM76" s="305"/>
      <c r="DN76" s="305"/>
      <c r="DO76" s="305"/>
      <c r="DP76" s="305"/>
      <c r="DQ76" s="305"/>
      <c r="DR76" s="305"/>
      <c r="DS76" s="305"/>
      <c r="DT76" s="305"/>
      <c r="DU76" s="305"/>
      <c r="DV76" s="305"/>
      <c r="DW76" s="305"/>
      <c r="DX76" s="305"/>
      <c r="DY76" s="305"/>
      <c r="DZ76" s="305"/>
      <c r="EA76" s="305"/>
      <c r="EB76" s="305"/>
      <c r="EC76" s="305"/>
      <c r="ED76" s="305"/>
      <c r="EE76" s="305"/>
      <c r="EF76" s="305"/>
      <c r="EG76" s="305"/>
      <c r="EH76" s="305"/>
      <c r="EI76" s="305"/>
      <c r="EJ76" s="305"/>
      <c r="EK76" s="305"/>
      <c r="EL76" s="305"/>
      <c r="EM76" s="305"/>
      <c r="EN76" s="305"/>
      <c r="EO76" s="305"/>
      <c r="EP76" s="305"/>
      <c r="EQ76" s="305"/>
      <c r="ER76" s="305"/>
      <c r="ES76" s="305"/>
      <c r="ET76" s="305"/>
      <c r="EU76" s="305"/>
      <c r="EV76" s="305"/>
      <c r="EW76" s="305"/>
      <c r="EX76" s="305"/>
      <c r="EY76" s="305"/>
      <c r="EZ76" s="305"/>
      <c r="FA76" s="305"/>
      <c r="FB76" s="305"/>
      <c r="FC76" s="305"/>
      <c r="FD76" s="305"/>
      <c r="FE76" s="305"/>
      <c r="FF76" s="305"/>
      <c r="FG76" s="305"/>
      <c r="FH76" s="305"/>
      <c r="FI76" s="305"/>
      <c r="FJ76" s="305"/>
    </row>
    <row r="77" spans="1:166" ht="12.75" hidden="1" customHeight="1" x14ac:dyDescent="0.35">
      <c r="A77" s="136"/>
      <c r="B77" s="136"/>
      <c r="C77" s="136"/>
      <c r="D77" s="172" t="str">
        <f>IF(Calcs!CE413="","TBD",Calcs!CE413)</f>
        <v>TBD</v>
      </c>
      <c r="E77" s="149">
        <f>Calcs!CF413</f>
        <v>0</v>
      </c>
      <c r="F77" s="149">
        <f>Calcs!CG413</f>
        <v>0</v>
      </c>
      <c r="G77" s="149">
        <f>Calcs!CH413</f>
        <v>0</v>
      </c>
      <c r="H77" s="149">
        <f>Calcs!CI413</f>
        <v>0</v>
      </c>
      <c r="I77" s="149">
        <f>Calcs!CJ413</f>
        <v>0</v>
      </c>
      <c r="J77" s="149">
        <f>Calcs!CK413</f>
        <v>0</v>
      </c>
      <c r="K77" s="149">
        <f>Calcs!CL413</f>
        <v>0</v>
      </c>
      <c r="L77" s="149">
        <f>Calcs!CM413</f>
        <v>0</v>
      </c>
      <c r="M77" s="149">
        <f>Calcs!CN413</f>
        <v>0</v>
      </c>
      <c r="N77" s="149">
        <f>Calcs!CO413</f>
        <v>0</v>
      </c>
      <c r="O77" s="149">
        <f>Calcs!CP413</f>
        <v>0</v>
      </c>
      <c r="P77" s="149">
        <f>Calcs!CQ413</f>
        <v>0</v>
      </c>
      <c r="Q77" s="151">
        <f>SUM(E77:P77)</f>
      </c>
      <c r="R77" s="149">
        <f>Calcs!CR413</f>
        <v>0</v>
      </c>
      <c r="S77" s="149">
        <f>Calcs!CS413</f>
        <v>0</v>
      </c>
      <c r="T77" s="149">
        <f>Calcs!CT413</f>
        <v>0</v>
      </c>
      <c r="U77" s="149">
        <f>Calcs!CU413</f>
        <v>0</v>
      </c>
      <c r="V77" s="149">
        <f>Calcs!CV413</f>
        <v>0</v>
      </c>
      <c r="W77" s="149">
        <f>Calcs!CW413</f>
        <v>0</v>
      </c>
      <c r="X77" s="149">
        <f>Calcs!CX413</f>
        <v>0</v>
      </c>
      <c r="Y77" s="149">
        <f>Calcs!CY413</f>
        <v>0</v>
      </c>
      <c r="Z77" s="149">
        <f>Calcs!CZ413</f>
        <v>0</v>
      </c>
      <c r="AA77" s="149">
        <f>Calcs!DA413</f>
        <v>0</v>
      </c>
      <c r="AB77" s="149">
        <f>Calcs!DB413</f>
        <v>0</v>
      </c>
      <c r="AC77" s="149">
        <f>Calcs!DC413</f>
        <v>0</v>
      </c>
      <c r="AD77" s="149">
        <f>SUM(R77:AC77)</f>
        <v>0</v>
      </c>
      <c r="AE77" s="149">
        <f>Calcs!DD413</f>
        <v>0</v>
      </c>
      <c r="AF77" s="149">
        <f>Calcs!DE413</f>
        <v>0</v>
      </c>
      <c r="AG77" s="149">
        <f>Calcs!DF413</f>
        <v>0</v>
      </c>
      <c r="AH77" s="149">
        <f>Calcs!DG413</f>
        <v>0</v>
      </c>
      <c r="AI77" s="149">
        <f>Calcs!DH413</f>
        <v>0</v>
      </c>
      <c r="AJ77" s="149">
        <f>Calcs!DI413</f>
        <v>0</v>
      </c>
      <c r="AK77" s="149">
        <f>Calcs!DJ413</f>
        <v>0</v>
      </c>
      <c r="AL77" s="149">
        <f>Calcs!DK413</f>
        <v>0</v>
      </c>
      <c r="AM77" s="149">
        <f>Calcs!DL413</f>
        <v>0</v>
      </c>
      <c r="AN77" s="149">
        <f>Calcs!DM413</f>
        <v>0</v>
      </c>
      <c r="AO77" s="149">
        <f>Calcs!DN413</f>
        <v>0</v>
      </c>
      <c r="AP77" s="149">
        <f>Calcs!DO413</f>
        <v>0</v>
      </c>
      <c r="AQ77" s="149">
        <f>SUM(AE77:AP77)</f>
        <v>0</v>
      </c>
      <c r="AR77" s="149">
        <f>Calcs!DP413</f>
        <v>0</v>
      </c>
      <c r="AS77" s="149">
        <f>Calcs!DQ413</f>
        <v>0</v>
      </c>
      <c r="AT77" s="149">
        <f>Calcs!DR413</f>
        <v>0</v>
      </c>
      <c r="AU77" s="149">
        <f>Calcs!DS413</f>
        <v>0</v>
      </c>
      <c r="AV77" s="149">
        <f>Calcs!DT413</f>
        <v>0</v>
      </c>
      <c r="AW77" s="149">
        <f>Calcs!DU413</f>
        <v>0</v>
      </c>
      <c r="AX77" s="149">
        <f>Calcs!DV413</f>
        <v>0</v>
      </c>
      <c r="AY77" s="149">
        <f>Calcs!DW413</f>
        <v>0</v>
      </c>
      <c r="AZ77" s="149">
        <f>Calcs!DX413</f>
        <v>0</v>
      </c>
      <c r="BA77" s="149">
        <f>Calcs!DY413</f>
        <v>0</v>
      </c>
      <c r="BB77" s="149">
        <f>Calcs!DZ413</f>
        <v>0</v>
      </c>
      <c r="BC77" s="149">
        <f>Calcs!EA413</f>
        <v>0</v>
      </c>
      <c r="BD77" s="149">
        <f>SUM(AR77:BC77)</f>
        <v>0</v>
      </c>
      <c r="BE77" s="149">
        <f>Calcs!EB413</f>
        <v>0</v>
      </c>
      <c r="BF77" s="149">
        <f>Calcs!EC413</f>
        <v>0</v>
      </c>
      <c r="BG77" s="149">
        <f>Calcs!ED413</f>
        <v>0</v>
      </c>
      <c r="BH77" s="149">
        <f>Calcs!EE413</f>
        <v>0</v>
      </c>
      <c r="BI77" s="149">
        <f>Calcs!EF413</f>
        <v>0</v>
      </c>
      <c r="BJ77" s="149">
        <f>Calcs!EG413</f>
        <v>0</v>
      </c>
      <c r="BK77" s="149">
        <f>Calcs!EH413</f>
        <v>0</v>
      </c>
      <c r="BL77" s="149">
        <f>Calcs!EI413</f>
        <v>0</v>
      </c>
      <c r="BM77" s="149">
        <f>Calcs!EJ413</f>
        <v>0</v>
      </c>
      <c r="BN77" s="149">
        <f>Calcs!EK413</f>
        <v>0</v>
      </c>
      <c r="BO77" s="149">
        <f>Calcs!EL413</f>
        <v>0</v>
      </c>
      <c r="BP77" s="149">
        <f>Calcs!EM413</f>
        <v>0</v>
      </c>
      <c r="BQ77" s="149">
        <f>SUM(BE77:BP77)</f>
        <v>0</v>
      </c>
      <c r="BR77" s="1802"/>
      <c r="BS77" s="153">
        <f>SUM(BQ77,BD77,AQ77,AD77,Q77)</f>
        <v>0</v>
      </c>
      <c r="BT77" s="1802"/>
      <c r="BU77" s="153">
        <f>SUM(BQ77,BD77,AQ77,AD77,Q77)</f>
      </c>
      <c r="BV77" s="158">
        <f>Input!D176</f>
        <v>0</v>
      </c>
      <c r="BW77" s="149">
        <f>Calcs!CD413</f>
        <v>0</v>
      </c>
      <c r="BX77" s="149" t="str">
        <f>Calcs!CE413</f>
        <v/>
      </c>
      <c r="BY77" s="149">
        <f>Calcs!CF413</f>
        <v>0</v>
      </c>
      <c r="BZ77" s="149">
        <f>Calcs!CG413</f>
        <v>0</v>
      </c>
      <c r="CA77" s="149">
        <f>Calcs!CH413</f>
        <v>0</v>
      </c>
      <c r="CB77" s="149">
        <f>Calcs!CI413</f>
        <v>0</v>
      </c>
      <c r="CC77" s="149">
        <f>Calcs!CJ413</f>
        <v>0</v>
      </c>
      <c r="CD77" s="149">
        <f>Calcs!CK413</f>
        <v>0</v>
      </c>
      <c r="CE77" s="149">
        <f>Calcs!CL413</f>
        <v>0</v>
      </c>
      <c r="CF77" s="149">
        <f>Calcs!CM413</f>
        <v>0</v>
      </c>
      <c r="CG77" s="149">
        <f>Calcs!CN413</f>
        <v>0</v>
      </c>
      <c r="CH77" s="149">
        <f>Calcs!CO413</f>
        <v>0</v>
      </c>
      <c r="CI77" s="149">
        <f>Calcs!CP413</f>
        <v>0</v>
      </c>
      <c r="CJ77" s="149">
        <f>Calcs!CQ413</f>
        <v>0</v>
      </c>
      <c r="CK77" s="149">
        <f>Calcs!CR413</f>
        <v>0</v>
      </c>
      <c r="CL77" s="149">
        <f>Calcs!CS413</f>
        <v>0</v>
      </c>
      <c r="CM77" s="149">
        <f>Calcs!CT413</f>
        <v>0</v>
      </c>
      <c r="CN77" s="149">
        <f>Calcs!CU413</f>
        <v>0</v>
      </c>
      <c r="CO77" s="149">
        <f>Calcs!CV413</f>
        <v>0</v>
      </c>
      <c r="CP77" s="149">
        <f>Calcs!CW413</f>
        <v>0</v>
      </c>
      <c r="CW77" s="179"/>
      <c r="CX77" s="179"/>
      <c r="CY77" s="305"/>
      <c r="CZ77" s="305"/>
      <c r="DA77" s="305"/>
      <c r="DB77" s="305"/>
      <c r="DC77" s="305"/>
      <c r="DD77" s="305"/>
      <c r="DE77" s="305"/>
      <c r="DF77" s="305"/>
      <c r="DG77" s="305"/>
      <c r="DH77" s="305"/>
      <c r="DI77" s="305"/>
      <c r="DJ77" s="305"/>
      <c r="DK77" s="305"/>
      <c r="DL77" s="305"/>
      <c r="DM77" s="305"/>
      <c r="DN77" s="305"/>
      <c r="DO77" s="305"/>
      <c r="DP77" s="305"/>
      <c r="DQ77" s="305"/>
      <c r="DR77" s="305"/>
      <c r="DS77" s="305"/>
      <c r="DT77" s="305"/>
      <c r="DU77" s="305"/>
      <c r="DV77" s="305"/>
      <c r="DW77" s="305"/>
      <c r="DX77" s="305"/>
      <c r="DY77" s="305"/>
      <c r="DZ77" s="305"/>
      <c r="EA77" s="305"/>
      <c r="EB77" s="305"/>
      <c r="EC77" s="305"/>
      <c r="ED77" s="305"/>
      <c r="EE77" s="305"/>
      <c r="EF77" s="305"/>
      <c r="EG77" s="305"/>
      <c r="EH77" s="305"/>
      <c r="EI77" s="305"/>
      <c r="EJ77" s="305"/>
      <c r="EK77" s="305"/>
      <c r="EL77" s="305"/>
      <c r="EM77" s="305"/>
      <c r="EN77" s="305"/>
      <c r="EO77" s="305"/>
      <c r="EP77" s="305"/>
      <c r="EQ77" s="305"/>
      <c r="ER77" s="305"/>
      <c r="ES77" s="305"/>
      <c r="ET77" s="305"/>
      <c r="EU77" s="305"/>
      <c r="EV77" s="305"/>
      <c r="EW77" s="305"/>
      <c r="EX77" s="305"/>
      <c r="EY77" s="305"/>
      <c r="EZ77" s="305"/>
      <c r="FA77" s="305"/>
      <c r="FB77" s="305"/>
      <c r="FC77" s="305"/>
      <c r="FD77" s="305"/>
      <c r="FE77" s="305"/>
      <c r="FF77" s="305"/>
      <c r="FG77" s="305"/>
      <c r="FH77" s="305"/>
      <c r="FI77" s="305"/>
      <c r="FJ77" s="305"/>
    </row>
    <row r="78" spans="1:166" ht="12.65" customHeight="1" x14ac:dyDescent="0.35">
      <c r="A78" s="136"/>
      <c r="B78" s="136"/>
      <c r="C78" s="136"/>
      <c r="D78" s="142" t="s">
        <v>289</v>
      </c>
      <c r="E78" s="168">
        <f>SUM(E66:E77)</f>
        <v>0</v>
      </c>
      <c r="F78" s="168">
        <f>SUM(F66:F77)</f>
        <v>0</v>
      </c>
      <c r="G78" s="168">
        <f>SUM(G66:G77)</f>
        <v>0</v>
      </c>
      <c r="H78" s="168">
        <f>SUM(H66:H77)</f>
        <v>0</v>
      </c>
      <c r="I78" s="168">
        <f>SUM(I66:I77)</f>
        <v>0</v>
      </c>
      <c r="J78" s="168">
        <f>SUM(J66:J77)</f>
        <v>0</v>
      </c>
      <c r="K78" s="168">
        <f>SUM(K66:K77)</f>
        <v>0</v>
      </c>
      <c r="L78" s="168">
        <f>SUM(L66:L77)</f>
        <v>0</v>
      </c>
      <c r="M78" s="168">
        <f>SUM(M66:M77)</f>
        <v>0</v>
      </c>
      <c r="N78" s="168">
        <f>SUM(N66:N77)</f>
        <v>0</v>
      </c>
      <c r="O78" s="168">
        <f>SUM(O66:O77)</f>
        <v>0</v>
      </c>
      <c r="P78" s="168">
        <f>SUM(P66:P77)</f>
        <v>0</v>
      </c>
      <c r="Q78" s="168">
        <f>SUM(Q66:Q77)</f>
        <v>0</v>
      </c>
      <c r="R78" s="168">
        <f>SUM(R66:R77)</f>
        <v>0</v>
      </c>
      <c r="S78" s="168">
        <f>SUM(S66:S77)</f>
        <v>0</v>
      </c>
      <c r="T78" s="168">
        <f>SUM(T66:T77)</f>
        <v>0</v>
      </c>
      <c r="U78" s="168">
        <f>SUM(U66:U77)</f>
        <v>0</v>
      </c>
      <c r="V78" s="168">
        <f>SUM(V66:V77)</f>
        <v>0</v>
      </c>
      <c r="W78" s="168">
        <f>SUM(W66:W77)</f>
        <v>0</v>
      </c>
      <c r="X78" s="168">
        <f>SUM(X66:X77)</f>
        <v>0</v>
      </c>
      <c r="Y78" s="168">
        <f>SUM(Y66:Y77)</f>
        <v>0</v>
      </c>
      <c r="Z78" s="168">
        <f>SUM(Z66:Z77)</f>
        <v>0</v>
      </c>
      <c r="AA78" s="168">
        <f>SUM(AA66:AA77)</f>
        <v>0</v>
      </c>
      <c r="AB78" s="168">
        <f>SUM(AB66:AB77)</f>
        <v>0</v>
      </c>
      <c r="AC78" s="168">
        <f>SUM(AC66:AC77)</f>
        <v>0</v>
      </c>
      <c r="AD78" s="168">
        <f>SUM(AD66:AD77)</f>
        <v>0</v>
      </c>
      <c r="AE78" s="168">
        <f>SUM(AE66:AE77)</f>
        <v>0</v>
      </c>
      <c r="AF78" s="168">
        <f>SUM(AF66:AF77)</f>
        <v>0</v>
      </c>
      <c r="AG78" s="168">
        <f>SUM(AG66:AG77)</f>
        <v>0</v>
      </c>
      <c r="AH78" s="168">
        <f>SUM(AH66:AH77)</f>
        <v>0</v>
      </c>
      <c r="AI78" s="168">
        <f>SUM(AI66:AI77)</f>
        <v>0</v>
      </c>
      <c r="AJ78" s="168">
        <f>SUM(AJ66:AJ77)</f>
        <v>0</v>
      </c>
      <c r="AK78" s="168">
        <f>SUM(AK66:AK77)</f>
        <v>0</v>
      </c>
      <c r="AL78" s="168">
        <f>SUM(AL66:AL77)</f>
        <v>0</v>
      </c>
      <c r="AM78" s="168">
        <f>SUM(AM66:AM77)</f>
        <v>0</v>
      </c>
      <c r="AN78" s="168">
        <f>SUM(AN66:AN77)</f>
        <v>0</v>
      </c>
      <c r="AO78" s="168">
        <f>SUM(AO66:AO77)</f>
        <v>0</v>
      </c>
      <c r="AP78" s="168">
        <f>SUM(AP66:AP77)</f>
        <v>0</v>
      </c>
      <c r="AQ78" s="168">
        <f>SUM(AQ66:AQ77)</f>
        <v>0</v>
      </c>
      <c r="AR78" s="168">
        <f>SUM(AR66:AR77)</f>
        <v>0</v>
      </c>
      <c r="AS78" s="168">
        <f>SUM(AS66:AS77)</f>
        <v>0</v>
      </c>
      <c r="AT78" s="168">
        <f>SUM(AT66:AT77)</f>
        <v>0</v>
      </c>
      <c r="AU78" s="168">
        <f>SUM(AU66:AU77)</f>
        <v>0</v>
      </c>
      <c r="AV78" s="168">
        <f>SUM(AV66:AV77)</f>
        <v>0</v>
      </c>
      <c r="AW78" s="168">
        <f>SUM(AW66:AW77)</f>
        <v>0</v>
      </c>
      <c r="AX78" s="168">
        <f>SUM(AX66:AX77)</f>
        <v>0</v>
      </c>
      <c r="AY78" s="168">
        <f>SUM(AY66:AY77)</f>
        <v>0</v>
      </c>
      <c r="AZ78" s="168">
        <f>SUM(AZ66:AZ77)</f>
        <v>0</v>
      </c>
      <c r="BA78" s="168">
        <f>SUM(BA66:BA77)</f>
        <v>0</v>
      </c>
      <c r="BB78" s="168">
        <f>SUM(BB66:BB77)</f>
        <v>0</v>
      </c>
      <c r="BC78" s="168">
        <f>SUM(BC66:BC77)</f>
        <v>0</v>
      </c>
      <c r="BD78" s="168">
        <f>SUM(BD66:BD77)</f>
        <v>0</v>
      </c>
      <c r="BE78" s="168">
        <f>SUM(BE66:BE77)</f>
        <v>0</v>
      </c>
      <c r="BF78" s="168">
        <f>SUM(BF66:BF77)</f>
        <v>0</v>
      </c>
      <c r="BG78" s="168">
        <f>SUM(BG66:BG77)</f>
        <v>0</v>
      </c>
      <c r="BH78" s="168">
        <f>SUM(BH66:BH77)</f>
        <v>0</v>
      </c>
      <c r="BI78" s="168">
        <f>SUM(BI66:BI77)</f>
        <v>0</v>
      </c>
      <c r="BJ78" s="168">
        <f>SUM(BJ66:BJ77)</f>
        <v>0</v>
      </c>
      <c r="BK78" s="168">
        <f>SUM(BK66:BK77)</f>
        <v>0</v>
      </c>
      <c r="BL78" s="168">
        <f>SUM(BL66:BL77)</f>
        <v>0</v>
      </c>
      <c r="BM78" s="168">
        <f>SUM(BM66:BM77)</f>
        <v>0</v>
      </c>
      <c r="BN78" s="168">
        <f>SUM(BN66:BN77)</f>
        <v>0</v>
      </c>
      <c r="BO78" s="168">
        <f>SUM(BO66:BO77)</f>
        <v>0</v>
      </c>
      <c r="BP78" s="168">
        <f>SUM(BP66:BP77)</f>
        <v>0</v>
      </c>
      <c r="BQ78" s="168">
        <f>SUM(BQ66:BQ77)</f>
        <v>0</v>
      </c>
      <c r="BR78" s="257"/>
      <c r="BS78" s="153">
        <v>1</v>
      </c>
      <c r="BT78" s="257"/>
      <c r="BU78" s="156">
        <f>SUM(BU68:BU77)</f>
        <v>0</v>
      </c>
      <c r="BV78" s="138" t="s">
        <v>289</v>
      </c>
      <c r="BW78" s="168">
        <f>SUM(BW68:BW77)</f>
        <v>0</v>
      </c>
      <c r="BX78" s="168">
        <f>SUM(BX68:BX77)</f>
        <v>0</v>
      </c>
      <c r="BY78" s="168">
        <f>SUM(BY68:BY77)</f>
        <v>0</v>
      </c>
      <c r="BZ78" s="168">
        <f>SUM(BZ68:BZ77)</f>
        <v>0</v>
      </c>
      <c r="CA78" s="168">
        <f>SUM(CA68:CA77)</f>
        <v>0</v>
      </c>
      <c r="CB78" s="168">
        <f>SUM(CB68:CB77)</f>
        <v>0</v>
      </c>
      <c r="CC78" s="168">
        <f>SUM(CC68:CC77)</f>
        <v>0</v>
      </c>
      <c r="CD78" s="168">
        <f>SUM(CD68:CD77)</f>
        <v>0</v>
      </c>
      <c r="CE78" s="168">
        <f>SUM(CE68:CE77)</f>
        <v>0</v>
      </c>
      <c r="CF78" s="168">
        <f>SUM(CF68:CF77)</f>
        <v>0</v>
      </c>
      <c r="CG78" s="168">
        <f>SUM(CG68:CG77)</f>
        <v>0</v>
      </c>
      <c r="CH78" s="168">
        <f>SUM(CH68:CH77)</f>
        <v>0</v>
      </c>
      <c r="CI78" s="168">
        <f>SUM(CI68:CI77)</f>
        <v>0</v>
      </c>
      <c r="CJ78" s="168">
        <f>SUM(CJ68:CJ77)</f>
        <v>0</v>
      </c>
      <c r="CK78" s="168">
        <f>SUM(CK68:CK77)</f>
        <v>0</v>
      </c>
      <c r="CL78" s="168">
        <f>SUM(CL68:CL77)</f>
        <v>0</v>
      </c>
      <c r="CM78" s="168">
        <f>SUM(CM68:CM77)</f>
        <v>0</v>
      </c>
      <c r="CN78" s="168">
        <f>SUM(CN68:CN77)</f>
        <v>0</v>
      </c>
      <c r="CO78" s="168">
        <f>SUM(CO68:CO77)</f>
        <v>0</v>
      </c>
      <c r="CP78" s="168">
        <f>SUM(CP68:CP77)</f>
        <v>0</v>
      </c>
      <c r="CW78" s="179"/>
      <c r="CX78" s="179"/>
      <c r="CY78" s="305"/>
      <c r="CZ78" s="305"/>
      <c r="DA78" s="305"/>
      <c r="DB78" s="305"/>
      <c r="DC78" s="305"/>
      <c r="DD78" s="305"/>
      <c r="DE78" s="305"/>
      <c r="DF78" s="305"/>
      <c r="DG78" s="305"/>
      <c r="DH78" s="305"/>
      <c r="DI78" s="305"/>
      <c r="DJ78" s="305"/>
      <c r="DK78" s="305"/>
      <c r="DL78" s="305"/>
      <c r="DM78" s="305"/>
      <c r="DN78" s="305"/>
      <c r="DO78" s="305"/>
      <c r="DP78" s="305"/>
      <c r="DQ78" s="305"/>
      <c r="DR78" s="305"/>
      <c r="DS78" s="305"/>
      <c r="DT78" s="305"/>
      <c r="DU78" s="305"/>
      <c r="DV78" s="305"/>
      <c r="DW78" s="305"/>
      <c r="DX78" s="305"/>
      <c r="DY78" s="305"/>
      <c r="DZ78" s="305"/>
      <c r="EA78" s="305"/>
      <c r="EB78" s="305"/>
      <c r="EC78" s="305"/>
      <c r="ED78" s="305"/>
      <c r="EE78" s="305"/>
      <c r="EF78" s="305"/>
      <c r="EG78" s="305"/>
      <c r="EH78" s="305"/>
      <c r="EI78" s="305"/>
      <c r="EJ78" s="305"/>
      <c r="EK78" s="305"/>
      <c r="EL78" s="305"/>
      <c r="EM78" s="305"/>
      <c r="EN78" s="305"/>
      <c r="EO78" s="305"/>
      <c r="EP78" s="305"/>
      <c r="EQ78" s="305"/>
      <c r="ER78" s="305"/>
      <c r="ES78" s="305"/>
      <c r="ET78" s="305"/>
      <c r="EU78" s="305"/>
      <c r="EV78" s="305"/>
      <c r="EW78" s="305"/>
      <c r="EX78" s="305"/>
      <c r="EY78" s="305"/>
      <c r="EZ78" s="305"/>
      <c r="FA78" s="305"/>
      <c r="FB78" s="305"/>
      <c r="FC78" s="305"/>
      <c r="FD78" s="305"/>
      <c r="FE78" s="305"/>
      <c r="FF78" s="305"/>
      <c r="FG78" s="305"/>
      <c r="FH78" s="305"/>
      <c r="FI78" s="305"/>
      <c r="FJ78" s="305"/>
    </row>
    <row r="79" spans="1:166" ht="12.75" customHeight="1" x14ac:dyDescent="0.35">
      <c r="A79" s="136"/>
      <c r="B79" s="136"/>
      <c r="C79" s="136"/>
      <c r="D79" s="142"/>
      <c r="E79" s="157" t="str">
        <f>IF(AND(E$33&lt;&gt;0,,E78&gt;0),E78/E$33,"")</f>
        <v/>
      </c>
      <c r="F79" s="157" t="str">
        <f>IF(AND(F$33&lt;&gt;0,,F78&gt;0),F78/F$33,"")</f>
        <v/>
      </c>
      <c r="G79" s="157" t="str">
        <f>IF(AND(G$33&lt;&gt;0,,G78&gt;0),G78/G$33,"")</f>
        <v/>
      </c>
      <c r="H79" s="157" t="str">
        <f>IF(AND(H$33&lt;&gt;0,,H78&gt;0),H78/H$33,"")</f>
        <v/>
      </c>
      <c r="I79" s="157" t="str">
        <f>IF(AND(I$33&lt;&gt;0,,I78&gt;0),I78/I$33,"")</f>
        <v/>
      </c>
      <c r="J79" s="157" t="str">
        <f>IF(AND(J$33&lt;&gt;0,,J78&gt;0),J78/J$33,"")</f>
        <v/>
      </c>
      <c r="K79" s="157" t="str">
        <f>IF(AND(K$33&lt;&gt;0,,K78&gt;0),K78/K$33,"")</f>
        <v/>
      </c>
      <c r="L79" s="157" t="str">
        <f>IF(AND(L$33&lt;&gt;0,,L78&gt;0),L78/L$33,"")</f>
        <v/>
      </c>
      <c r="M79" s="157" t="str">
        <f>IF(AND(M$33&lt;&gt;0,,M78&gt;0),M78/M$33,"")</f>
        <v/>
      </c>
      <c r="N79" s="157" t="str">
        <f>IF(AND(N$33&lt;&gt;0,,N78&gt;0),N78/N$33,"")</f>
        <v/>
      </c>
      <c r="O79" s="157" t="str">
        <f>IF(AND(O$33&lt;&gt;0,,O78&gt;0),O78/O$33,"")</f>
        <v/>
      </c>
      <c r="P79" s="157" t="str">
        <f>IF(AND(P$33&lt;&gt;0,,P78&gt;0),P78/P$33,"")</f>
        <v/>
      </c>
      <c r="Q79" s="157" t="str">
        <f>IF(AND(Q$33&lt;&gt;0,,Q78&gt;0),Q78/Q$33,"")</f>
        <v/>
      </c>
      <c r="R79" s="157" t="str">
        <f>IF(AND(R$33&lt;&gt;0,,R78&gt;0),R78/R$33,"")</f>
        <v/>
      </c>
      <c r="S79" s="157" t="str">
        <f>IF(AND(S$33&lt;&gt;0,,S78&gt;0),S78/S$33,"")</f>
        <v/>
      </c>
      <c r="T79" s="157" t="str">
        <f>IF(AND(T$33&lt;&gt;0,,T78&gt;0),T78/T$33,"")</f>
        <v/>
      </c>
      <c r="U79" s="157" t="str">
        <f>IF(AND(U$33&lt;&gt;0,,U78&gt;0),U78/U$33,"")</f>
        <v/>
      </c>
      <c r="V79" s="157" t="str">
        <f>IF(AND(V$33&lt;&gt;0,,V78&gt;0),V78/V$33,"")</f>
        <v/>
      </c>
      <c r="W79" s="157" t="str">
        <f>IF(AND(W$33&lt;&gt;0,,W78&gt;0),W78/W$33,"")</f>
        <v/>
      </c>
      <c r="X79" s="157" t="str">
        <f>IF(AND(X$33&lt;&gt;0,,X78&gt;0),X78/X$33,"")</f>
        <v/>
      </c>
      <c r="Y79" s="157" t="str">
        <f>IF(AND(Y$33&lt;&gt;0,,Y78&gt;0),Y78/Y$33,"")</f>
        <v/>
      </c>
      <c r="Z79" s="157" t="str">
        <f>IF(AND(Z$33&lt;&gt;0,,Z78&gt;0),Z78/Z$33,"")</f>
        <v/>
      </c>
      <c r="AA79" s="157" t="str">
        <f>IF(AND(AA$33&lt;&gt;0,,AA78&gt;0),AA78/AA$33,"")</f>
        <v/>
      </c>
      <c r="AB79" s="157" t="str">
        <f>IF(AND(AB$33&lt;&gt;0,,AB78&gt;0),AB78/AB$33,"")</f>
        <v/>
      </c>
      <c r="AC79" s="157" t="str">
        <f>IF(AND(AC$33&lt;&gt;0,,AC78&gt;0),AC78/AC$33,"")</f>
        <v/>
      </c>
      <c r="AD79" s="157" t="str">
        <f>IF(AND(AD$33&lt;&gt;0,,AD78&gt;0),AD78/AD$33,"")</f>
        <v/>
      </c>
      <c r="AE79" s="157" t="str">
        <f>IF(AND(AE$33&lt;&gt;0,,AE78&gt;0),AE78/AE$33,"")</f>
        <v/>
      </c>
      <c r="AF79" s="157" t="str">
        <f>IF(AND(AF$33&lt;&gt;0,,AF78&gt;0),AF78/AF$33,"")</f>
        <v/>
      </c>
      <c r="AG79" s="157" t="str">
        <f>IF(AND(AG$33&lt;&gt;0,,AG78&gt;0),AG78/AG$33,"")</f>
        <v/>
      </c>
      <c r="AH79" s="157" t="str">
        <f>IF(AND(AH$33&lt;&gt;0,,AH78&gt;0),AH78/AH$33,"")</f>
        <v/>
      </c>
      <c r="AI79" s="157" t="str">
        <f>IF(AND(AI$33&lt;&gt;0,,AI78&gt;0),AI78/AI$33,"")</f>
        <v/>
      </c>
      <c r="AJ79" s="157" t="str">
        <f>IF(AND(AJ$33&lt;&gt;0,,AJ78&gt;0),AJ78/AJ$33,"")</f>
        <v/>
      </c>
      <c r="AK79" s="157" t="str">
        <f>IF(AND(AK$33&lt;&gt;0,,AK78&gt;0),AK78/AK$33,"")</f>
        <v/>
      </c>
      <c r="AL79" s="157" t="str">
        <f>IF(AND(AL$33&lt;&gt;0,,AL78&gt;0),AL78/AL$33,"")</f>
        <v/>
      </c>
      <c r="AM79" s="157" t="str">
        <f>IF(AND(AM$33&lt;&gt;0,,AM78&gt;0),AM78/AM$33,"")</f>
        <v/>
      </c>
      <c r="AN79" s="157" t="str">
        <f>IF(AND(AN$33&lt;&gt;0,,AN78&gt;0),AN78/AN$33,"")</f>
        <v/>
      </c>
      <c r="AO79" s="157" t="str">
        <f>IF(AND(AO$33&lt;&gt;0,,AO78&gt;0),AO78/AO$33,"")</f>
        <v/>
      </c>
      <c r="AP79" s="157" t="str">
        <f>IF(AND(AP$33&lt;&gt;0,,AP78&gt;0),AP78/AP$33,"")</f>
        <v/>
      </c>
      <c r="AQ79" s="157" t="str">
        <f>IF(AND(AQ$33&lt;&gt;0,,AQ78&gt;0),AQ78/AQ$33,"")</f>
        <v/>
      </c>
      <c r="AR79" s="157" t="str">
        <f>IF(AND(AR$33&lt;&gt;0,,AR78&gt;0),AR78/AR$33,"")</f>
        <v/>
      </c>
      <c r="AS79" s="157" t="str">
        <f>IF(AND(AS$33&lt;&gt;0,,AS78&gt;0),AS78/AS$33,"")</f>
        <v/>
      </c>
      <c r="AT79" s="157" t="str">
        <f>IF(AND(AT$33&lt;&gt;0,,AT78&gt;0),AT78/AT$33,"")</f>
        <v/>
      </c>
      <c r="AU79" s="157" t="str">
        <f>IF(AND(AU$33&lt;&gt;0,,AU78&gt;0),AU78/AU$33,"")</f>
        <v/>
      </c>
      <c r="AV79" s="157" t="str">
        <f>IF(AND(AV$33&lt;&gt;0,,AV78&gt;0),AV78/AV$33,"")</f>
        <v/>
      </c>
      <c r="AW79" s="157" t="str">
        <f>IF(AND(AW$33&lt;&gt;0,,AW78&gt;0),AW78/AW$33,"")</f>
        <v/>
      </c>
      <c r="AX79" s="157" t="str">
        <f>IF(AND(AX$33&lt;&gt;0,,AX78&gt;0),AX78/AX$33,"")</f>
        <v/>
      </c>
      <c r="AY79" s="157" t="str">
        <f>IF(AND(AY$33&lt;&gt;0,,AY78&gt;0),AY78/AY$33,"")</f>
        <v/>
      </c>
      <c r="AZ79" s="157" t="str">
        <f>IF(AND(AZ$33&lt;&gt;0,,AZ78&gt;0),AZ78/AZ$33,"")</f>
        <v/>
      </c>
      <c r="BA79" s="157" t="str">
        <f>IF(AND(BA$33&lt;&gt;0,,BA78&gt;0),BA78/BA$33,"")</f>
        <v/>
      </c>
      <c r="BB79" s="157" t="str">
        <f>IF(AND(BB$33&lt;&gt;0,,BB78&gt;0),BB78/BB$33,"")</f>
        <v/>
      </c>
      <c r="BC79" s="157" t="str">
        <f>IF(AND(BC$33&lt;&gt;0,,BC78&gt;0),BC78/BC$33,"")</f>
        <v/>
      </c>
      <c r="BD79" s="157" t="str">
        <f>IF(AND(BD$33&lt;&gt;0,,BD78&gt;0),BD78/BD$33,"")</f>
        <v/>
      </c>
      <c r="BE79" s="157" t="str">
        <f>IF(AND(BE$33&lt;&gt;0,,BE78&gt;0),BE78/BE$33,"")</f>
        <v/>
      </c>
      <c r="BF79" s="157" t="str">
        <f>IF(AND(BF$33&lt;&gt;0,,BF78&gt;0),BF78/BF$33,"")</f>
        <v/>
      </c>
      <c r="BG79" s="157" t="str">
        <f>IF(AND(BG$33&lt;&gt;0,,BG78&gt;0),BG78/BG$33,"")</f>
        <v/>
      </c>
      <c r="BH79" s="157" t="str">
        <f>IF(AND(BH$33&lt;&gt;0,,BH78&gt;0),BH78/BH$33,"")</f>
        <v/>
      </c>
      <c r="BI79" s="157" t="str">
        <f>IF(AND(BI$33&lt;&gt;0,,BI78&gt;0),BI78/BI$33,"")</f>
        <v/>
      </c>
      <c r="BJ79" s="157" t="str">
        <f>IF(AND(BJ$33&lt;&gt;0,,BJ78&gt;0),BJ78/BJ$33,"")</f>
        <v/>
      </c>
      <c r="BK79" s="157" t="str">
        <f>IF(AND(BK$33&lt;&gt;0,,BK78&gt;0),BK78/BK$33,"")</f>
        <v/>
      </c>
      <c r="BL79" s="157" t="str">
        <f>IF(AND(BL$33&lt;&gt;0,,BL78&gt;0),BL78/BL$33,"")</f>
        <v/>
      </c>
      <c r="BM79" s="157" t="str">
        <f>IF(AND(BM$33&lt;&gt;0,,BM78&gt;0),BM78/BM$33,"")</f>
        <v/>
      </c>
      <c r="BN79" s="157" t="str">
        <f>IF(AND(BN$33&lt;&gt;0,,BN78&gt;0),BN78/BN$33,"")</f>
        <v/>
      </c>
      <c r="BO79" s="157" t="str">
        <f>IF(AND(BO$33&lt;&gt;0,,BO78&gt;0),BO78/BO$33,"")</f>
        <v/>
      </c>
      <c r="BP79" s="157" t="str">
        <f>IF(AND(BP$33&lt;&gt;0,,BP78&gt;0),BP78/BP$33,"")</f>
        <v/>
      </c>
      <c r="BQ79" s="157" t="str">
        <f>IF(AND(BQ$33&lt;&gt;0,,BQ78&gt;0),BQ78/BQ$33,"")</f>
        <v/>
      </c>
      <c r="BR79" s="259"/>
      <c r="BS79" s="153">
        <v>1</v>
      </c>
      <c r="BT79" s="259"/>
      <c r="BU79" s="153">
        <f>IF(BU33&lt;&gt;0,BU78/BU33,"")</f>
      </c>
      <c r="BV79" s="138"/>
      <c r="BW79" s="157" t="e">
        <f>IF(AND(BW$33&lt;&gt;0,BW78/BW$33&gt;0,BW78&gt;0),BW78/BW$33,"")</f>
        <v>#DIV/0!</v>
      </c>
      <c r="BX79" s="157" t="e">
        <f>IF(AND(BX$33&lt;&gt;0,BX78/BX$33&gt;0,BX78&gt;0),BX78/BX$33,"")</f>
        <v>#DIV/0!</v>
      </c>
      <c r="BY79" s="157" t="e">
        <f>IF(AND(BY$33&lt;&gt;0,BY78/BY$33&gt;0,BY78&gt;0),BY78/BY$33,"")</f>
        <v>#DIV/0!</v>
      </c>
      <c r="BZ79" s="157" t="e">
        <f>IF(AND(BZ$33&lt;&gt;0,BZ78/BZ$33&gt;0,BZ78&gt;0),BZ78/BZ$33,"")</f>
        <v>#DIV/0!</v>
      </c>
      <c r="CA79" s="157" t="e">
        <f>IF(AND(CA$33&lt;&gt;0,CA78/CA$33&gt;0,CA78&gt;0),CA78/CA$33,"")</f>
        <v>#DIV/0!</v>
      </c>
      <c r="CB79" s="157" t="e">
        <f>IF(AND(CB$33&lt;&gt;0,CB78/CB$33&gt;0,CB78&gt;0),CB78/CB$33,"")</f>
        <v>#DIV/0!</v>
      </c>
      <c r="CC79" s="157" t="e">
        <f>IF(AND(CC$33&lt;&gt;0,CC78/CC$33&gt;0,CC78&gt;0),CC78/CC$33,"")</f>
        <v>#DIV/0!</v>
      </c>
      <c r="CD79" s="157" t="e">
        <f>IF(AND(CD$33&lt;&gt;0,CD78/CD$33&gt;0,CD78&gt;0),CD78/CD$33,"")</f>
        <v>#DIV/0!</v>
      </c>
      <c r="CE79" s="157" t="e">
        <f>IF(AND(CE$33&lt;&gt;0,CE78/CE$33&gt;0,CE78&gt;0),CE78/CE$33,"")</f>
        <v>#DIV/0!</v>
      </c>
      <c r="CF79" s="157" t="e">
        <f>IF(AND(CF$33&lt;&gt;0,CF78/CF$33&gt;0,CF78&gt;0),CF78/CF$33,"")</f>
        <v>#DIV/0!</v>
      </c>
      <c r="CG79" s="157" t="e">
        <f>IF(AND(CG$33&lt;&gt;0,CG78/CG$33&gt;0,CG78&gt;0),CG78/CG$33,"")</f>
        <v>#DIV/0!</v>
      </c>
      <c r="CH79" s="157" t="e">
        <f>IF(AND(CH$33&lt;&gt;0,CH78/CH$33&gt;0,CH78&gt;0),CH78/CH$33,"")</f>
        <v>#DIV/0!</v>
      </c>
      <c r="CI79" s="157" t="e">
        <f>IF(AND(CI$33&lt;&gt;0,CI78/CI$33&gt;0,CI78&gt;0),CI78/CI$33,"")</f>
        <v>#DIV/0!</v>
      </c>
      <c r="CJ79" s="157" t="e">
        <f>IF(AND(CJ$33&lt;&gt;0,CJ78/CJ$33&gt;0,CJ78&gt;0),CJ78/CJ$33,"")</f>
        <v>#DIV/0!</v>
      </c>
      <c r="CK79" s="157" t="e">
        <f>IF(AND(CK$33&lt;&gt;0,CK78/CK$33&gt;0,CK78&gt;0),CK78/CK$33,"")</f>
        <v>#DIV/0!</v>
      </c>
      <c r="CL79" s="157" t="e">
        <f>IF(AND(CL$33&lt;&gt;0,CL78/CL$33&gt;0,CL78&gt;0),CL78/CL$33,"")</f>
        <v>#DIV/0!</v>
      </c>
      <c r="CM79" s="157" t="e">
        <f>IF(AND(CM$33&lt;&gt;0,CM78/CM$33&gt;0,CM78&gt;0),CM78/CM$33,"")</f>
        <v>#DIV/0!</v>
      </c>
      <c r="CN79" s="157" t="e">
        <f>IF(AND(CN$33&lt;&gt;0,CN78/CN$33&gt;0,CN78&gt;0),CN78/CN$33,"")</f>
        <v>#DIV/0!</v>
      </c>
      <c r="CO79" s="157" t="e">
        <f>IF(AND(CO$33&lt;&gt;0,CO78/CO$33&gt;0,CO78&gt;0),CO78/CO$33,"")</f>
        <v>#DIV/0!</v>
      </c>
      <c r="CP79" s="157" t="e">
        <f>IF(AND(CP$33&lt;&gt;0,CP78/CP$33&gt;0,CP78&gt;0),CP78/CP$33,"")</f>
        <v>#DIV/0!</v>
      </c>
      <c r="CW79" s="179"/>
      <c r="CX79" s="179"/>
      <c r="CY79" s="305"/>
      <c r="CZ79" s="305"/>
      <c r="DA79" s="305"/>
      <c r="DB79" s="305"/>
      <c r="DC79" s="305"/>
      <c r="DD79" s="305"/>
      <c r="DE79" s="305"/>
      <c r="DF79" s="305"/>
      <c r="DG79" s="305"/>
      <c r="DH79" s="305"/>
      <c r="DI79" s="305"/>
      <c r="DJ79" s="305"/>
      <c r="DK79" s="305"/>
      <c r="DL79" s="305"/>
      <c r="DM79" s="305"/>
      <c r="DN79" s="305"/>
      <c r="DO79" s="305"/>
      <c r="DP79" s="305"/>
      <c r="DQ79" s="305"/>
      <c r="DR79" s="305"/>
      <c r="DS79" s="305"/>
      <c r="DT79" s="305"/>
      <c r="DU79" s="305"/>
      <c r="DV79" s="305"/>
      <c r="DW79" s="305"/>
      <c r="DX79" s="305"/>
      <c r="DY79" s="305"/>
      <c r="DZ79" s="305"/>
      <c r="EA79" s="305"/>
      <c r="EB79" s="305"/>
      <c r="EC79" s="305"/>
      <c r="ED79" s="305"/>
      <c r="EE79" s="305"/>
      <c r="EF79" s="305"/>
      <c r="EG79" s="305"/>
      <c r="EH79" s="305"/>
      <c r="EI79" s="305"/>
      <c r="EJ79" s="305"/>
      <c r="EK79" s="305"/>
      <c r="EL79" s="305"/>
      <c r="EM79" s="305"/>
      <c r="EN79" s="305"/>
      <c r="EO79" s="305"/>
      <c r="EP79" s="305"/>
      <c r="EQ79" s="305"/>
      <c r="ER79" s="305"/>
      <c r="ES79" s="305"/>
      <c r="ET79" s="305"/>
      <c r="EU79" s="305"/>
      <c r="EV79" s="305"/>
      <c r="EW79" s="305"/>
      <c r="EX79" s="305"/>
      <c r="EY79" s="305"/>
      <c r="EZ79" s="305"/>
      <c r="FA79" s="305"/>
      <c r="FB79" s="305"/>
      <c r="FC79" s="305"/>
      <c r="FD79" s="305"/>
      <c r="FE79" s="305"/>
      <c r="FF79" s="305"/>
      <c r="FG79" s="305"/>
      <c r="FH79" s="305"/>
      <c r="FI79" s="305"/>
      <c r="FJ79" s="305"/>
    </row>
    <row r="80" spans="1:166" ht="5.15" customHeight="1" x14ac:dyDescent="0.35">
      <c r="A80" s="136"/>
      <c r="B80" s="136"/>
      <c r="C80" s="136"/>
      <c r="D80" s="142"/>
      <c r="E80" s="157"/>
      <c r="F80" s="157"/>
      <c r="G80" s="157"/>
      <c r="H80" s="157"/>
      <c r="I80" s="157"/>
      <c r="J80" s="157"/>
      <c r="K80" s="157"/>
      <c r="L80" s="157"/>
      <c r="M80" s="157"/>
      <c r="N80" s="157"/>
      <c r="O80" s="157"/>
      <c r="P80" s="157"/>
      <c r="Q80" s="157"/>
      <c r="R80" s="157"/>
      <c r="S80" s="157"/>
      <c r="T80" s="157"/>
      <c r="U80" s="157"/>
      <c r="V80" s="157"/>
      <c r="W80" s="157"/>
      <c r="X80" s="157"/>
      <c r="Y80" s="157"/>
      <c r="Z80" s="157"/>
      <c r="AA80" s="157"/>
      <c r="AB80" s="157"/>
      <c r="AC80" s="157"/>
      <c r="AD80" s="157"/>
      <c r="AE80" s="157"/>
      <c r="AF80" s="157"/>
      <c r="AG80" s="157"/>
      <c r="AH80" s="157"/>
      <c r="AI80" s="157"/>
      <c r="AJ80" s="157"/>
      <c r="AK80" s="157"/>
      <c r="AL80" s="157"/>
      <c r="AM80" s="157"/>
      <c r="AN80" s="157"/>
      <c r="AO80" s="157"/>
      <c r="AP80" s="157"/>
      <c r="AQ80" s="157"/>
      <c r="AR80" s="157"/>
      <c r="AS80" s="157"/>
      <c r="AT80" s="157"/>
      <c r="AU80" s="157"/>
      <c r="AV80" s="157"/>
      <c r="AW80" s="157"/>
      <c r="AX80" s="157"/>
      <c r="AY80" s="157"/>
      <c r="AZ80" s="157"/>
      <c r="BA80" s="157"/>
      <c r="BB80" s="157"/>
      <c r="BC80" s="157"/>
      <c r="BD80" s="157"/>
      <c r="BE80" s="157"/>
      <c r="BF80" s="157"/>
      <c r="BG80" s="157"/>
      <c r="BH80" s="157"/>
      <c r="BI80" s="157"/>
      <c r="BJ80" s="157"/>
      <c r="BK80" s="157"/>
      <c r="BL80" s="157"/>
      <c r="BM80" s="157"/>
      <c r="BN80" s="157"/>
      <c r="BO80" s="157"/>
      <c r="BP80" s="157"/>
      <c r="BQ80" s="157"/>
      <c r="BR80" s="259"/>
      <c r="BS80" s="153">
        <v>1</v>
      </c>
      <c r="BT80" s="259"/>
      <c r="BU80" s="153"/>
      <c r="BV80" s="138"/>
      <c r="BW80" s="157"/>
      <c r="BX80" s="157"/>
      <c r="BY80" s="157"/>
      <c r="BZ80" s="157"/>
      <c r="CA80" s="157"/>
      <c r="CB80" s="157"/>
      <c r="CC80" s="157"/>
      <c r="CD80" s="157"/>
      <c r="CE80" s="157"/>
      <c r="CF80" s="157"/>
      <c r="CG80" s="157"/>
      <c r="CH80" s="157"/>
      <c r="CI80" s="157"/>
      <c r="CJ80" s="157"/>
      <c r="CK80" s="157"/>
      <c r="CL80" s="157"/>
      <c r="CM80" s="157"/>
      <c r="CN80" s="157"/>
      <c r="CO80" s="157"/>
      <c r="CP80" s="157"/>
      <c r="CW80" s="179"/>
      <c r="CX80" s="179"/>
      <c r="CY80" s="305"/>
      <c r="CZ80" s="305"/>
      <c r="DA80" s="305"/>
      <c r="DB80" s="305"/>
      <c r="DC80" s="305"/>
      <c r="DD80" s="305"/>
      <c r="DE80" s="305"/>
      <c r="DF80" s="305"/>
      <c r="DG80" s="305"/>
      <c r="DH80" s="305"/>
      <c r="DI80" s="305"/>
      <c r="DJ80" s="305"/>
      <c r="DK80" s="305"/>
      <c r="DL80" s="305"/>
      <c r="DM80" s="305"/>
      <c r="DN80" s="305"/>
      <c r="DO80" s="305"/>
      <c r="DP80" s="305"/>
      <c r="DQ80" s="305"/>
      <c r="DR80" s="305"/>
      <c r="DS80" s="305"/>
      <c r="DT80" s="305"/>
      <c r="DU80" s="305"/>
      <c r="DV80" s="305"/>
      <c r="DW80" s="305"/>
      <c r="DX80" s="305"/>
      <c r="DY80" s="305"/>
      <c r="DZ80" s="305"/>
      <c r="EA80" s="305"/>
      <c r="EB80" s="305"/>
      <c r="EC80" s="305"/>
      <c r="ED80" s="305"/>
      <c r="EE80" s="305"/>
      <c r="EF80" s="305"/>
      <c r="EG80" s="305"/>
      <c r="EH80" s="305"/>
      <c r="EI80" s="305"/>
      <c r="EJ80" s="305"/>
      <c r="EK80" s="305"/>
      <c r="EL80" s="305"/>
      <c r="EM80" s="305"/>
      <c r="EN80" s="305"/>
      <c r="EO80" s="305"/>
      <c r="EP80" s="305"/>
      <c r="EQ80" s="305"/>
      <c r="ER80" s="305"/>
      <c r="ES80" s="305"/>
      <c r="ET80" s="305"/>
      <c r="EU80" s="305"/>
      <c r="EV80" s="305"/>
      <c r="EW80" s="305"/>
      <c r="EX80" s="305"/>
      <c r="EY80" s="305"/>
      <c r="EZ80" s="305"/>
      <c r="FA80" s="305"/>
      <c r="FB80" s="305"/>
      <c r="FC80" s="305"/>
      <c r="FD80" s="305"/>
      <c r="FE80" s="305"/>
      <c r="FF80" s="305"/>
      <c r="FG80" s="305"/>
      <c r="FH80" s="305"/>
      <c r="FI80" s="305"/>
      <c r="FJ80" s="305"/>
    </row>
    <row r="81" spans="1:166" ht="12.75" customHeight="1" x14ac:dyDescent="0.35">
      <c r="A81" s="136"/>
      <c r="B81" s="136"/>
      <c r="C81" s="136"/>
      <c r="D81" s="142" t="str">
        <f>IF(Infrastructure!AN29=Infrastructure!AO29,"Operating Expenses","Operating Expenses - Hidden Rows with Values")</f>
        <v>Operating Expenses</v>
      </c>
      <c r="E81" s="153">
        <v>7</v>
      </c>
      <c r="F81" s="153">
        <v>7</v>
      </c>
      <c r="G81" s="153">
        <v>7</v>
      </c>
      <c r="H81" s="147">
        <v>7</v>
      </c>
      <c r="I81" s="147">
        <v>7</v>
      </c>
      <c r="J81" s="147"/>
      <c r="K81" s="147"/>
      <c r="L81" s="147"/>
      <c r="M81" s="147"/>
      <c r="N81" s="147"/>
      <c r="O81" s="147"/>
      <c r="P81" s="147"/>
      <c r="Q81" s="147"/>
      <c r="R81" s="147">
        <v>7</v>
      </c>
      <c r="S81" s="147">
        <v>7</v>
      </c>
      <c r="T81" s="147">
        <v>8</v>
      </c>
      <c r="U81" s="147">
        <v>9</v>
      </c>
      <c r="V81" s="147">
        <v>10</v>
      </c>
      <c r="W81" s="147">
        <v>11</v>
      </c>
      <c r="X81" s="147">
        <v>12</v>
      </c>
      <c r="Y81" s="147">
        <v>13</v>
      </c>
      <c r="Z81" s="147">
        <v>14</v>
      </c>
      <c r="AA81" s="147">
        <v>15</v>
      </c>
      <c r="AB81" s="147">
        <v>16</v>
      </c>
      <c r="AC81" s="147">
        <v>17</v>
      </c>
      <c r="AD81" s="147"/>
      <c r="AE81" s="147">
        <v>18</v>
      </c>
      <c r="AF81" s="147">
        <v>19</v>
      </c>
      <c r="AG81" s="147">
        <v>20</v>
      </c>
      <c r="AH81" s="147">
        <v>21</v>
      </c>
      <c r="AI81" s="147">
        <v>22</v>
      </c>
      <c r="AJ81" s="147">
        <v>23</v>
      </c>
      <c r="AK81" s="147">
        <v>24</v>
      </c>
      <c r="AL81" s="147">
        <v>25</v>
      </c>
      <c r="AM81" s="147">
        <v>26</v>
      </c>
      <c r="AN81" s="147">
        <v>27</v>
      </c>
      <c r="AO81" s="147">
        <v>28</v>
      </c>
      <c r="AP81" s="147">
        <v>29</v>
      </c>
      <c r="AQ81" s="147"/>
      <c r="AR81" s="147">
        <v>30</v>
      </c>
      <c r="AS81" s="147">
        <v>31</v>
      </c>
      <c r="AT81" s="147">
        <v>32</v>
      </c>
      <c r="AU81" s="147">
        <v>33</v>
      </c>
      <c r="AV81" s="147">
        <v>34</v>
      </c>
      <c r="AW81" s="147">
        <v>35</v>
      </c>
      <c r="AX81" s="147">
        <v>36</v>
      </c>
      <c r="AY81" s="147">
        <v>37</v>
      </c>
      <c r="AZ81" s="147">
        <v>38</v>
      </c>
      <c r="BA81" s="147">
        <v>39</v>
      </c>
      <c r="BB81" s="147">
        <v>40</v>
      </c>
      <c r="BC81" s="147">
        <v>41</v>
      </c>
      <c r="BD81" s="147"/>
      <c r="BE81" s="147">
        <v>42</v>
      </c>
      <c r="BF81" s="147">
        <v>43</v>
      </c>
      <c r="BG81" s="147">
        <v>44</v>
      </c>
      <c r="BH81" s="147">
        <v>45</v>
      </c>
      <c r="BI81" s="147">
        <v>46</v>
      </c>
      <c r="BJ81" s="147">
        <v>47</v>
      </c>
      <c r="BK81" s="147">
        <v>48</v>
      </c>
      <c r="BL81" s="147">
        <v>49</v>
      </c>
      <c r="BM81" s="147">
        <v>50</v>
      </c>
      <c r="BN81" s="147">
        <v>51</v>
      </c>
      <c r="BO81" s="147">
        <v>52</v>
      </c>
      <c r="BP81" s="147">
        <v>53</v>
      </c>
      <c r="BQ81" s="147"/>
      <c r="BR81" s="1802"/>
      <c r="BS81" s="153">
        <v>1</v>
      </c>
      <c r="BT81" s="1802"/>
      <c r="BU81" s="153"/>
      <c r="BV81" s="138" t="s">
        <v>19</v>
      </c>
      <c r="BW81" s="153">
        <v>5</v>
      </c>
      <c r="BX81" s="153">
        <v>6</v>
      </c>
      <c r="BY81" s="153">
        <v>7</v>
      </c>
      <c r="BZ81" s="153">
        <v>7</v>
      </c>
      <c r="CA81" s="153">
        <v>7</v>
      </c>
      <c r="CB81" s="147">
        <v>7</v>
      </c>
      <c r="CC81" s="147">
        <v>7</v>
      </c>
      <c r="CD81" s="147">
        <v>7</v>
      </c>
      <c r="CE81" s="147">
        <v>7</v>
      </c>
      <c r="CF81" s="147">
        <v>8</v>
      </c>
      <c r="CG81" s="147">
        <v>9</v>
      </c>
      <c r="CH81" s="147">
        <v>10</v>
      </c>
      <c r="CI81" s="147">
        <v>11</v>
      </c>
      <c r="CJ81" s="147">
        <v>12</v>
      </c>
      <c r="CK81" s="147">
        <v>13</v>
      </c>
      <c r="CL81" s="147">
        <v>14</v>
      </c>
      <c r="CM81" s="147">
        <v>15</v>
      </c>
      <c r="CN81" s="147">
        <v>16</v>
      </c>
      <c r="CO81" s="147">
        <v>17</v>
      </c>
      <c r="CP81" s="147">
        <v>18</v>
      </c>
      <c r="CW81" s="179"/>
      <c r="CX81" s="179"/>
      <c r="CY81" s="305"/>
      <c r="CZ81" s="305"/>
      <c r="DA81" s="305"/>
      <c r="DB81" s="305"/>
      <c r="DC81" s="305"/>
      <c r="DD81" s="305"/>
      <c r="DE81" s="305"/>
      <c r="DF81" s="305"/>
      <c r="DG81" s="305"/>
      <c r="DH81" s="305"/>
      <c r="DI81" s="305"/>
      <c r="DJ81" s="305"/>
      <c r="DK81" s="305"/>
      <c r="DL81" s="305"/>
      <c r="DM81" s="305"/>
      <c r="DN81" s="305"/>
      <c r="DO81" s="305"/>
      <c r="DP81" s="305"/>
      <c r="DQ81" s="305"/>
      <c r="DR81" s="305"/>
      <c r="DS81" s="305"/>
      <c r="DT81" s="305"/>
      <c r="DU81" s="305"/>
      <c r="DV81" s="305"/>
      <c r="DW81" s="305"/>
      <c r="DX81" s="305"/>
      <c r="DY81" s="305"/>
      <c r="DZ81" s="305"/>
      <c r="EA81" s="305"/>
      <c r="EB81" s="305"/>
      <c r="EC81" s="305"/>
      <c r="ED81" s="305"/>
      <c r="EE81" s="305"/>
      <c r="EF81" s="305"/>
      <c r="EG81" s="305"/>
      <c r="EH81" s="305"/>
      <c r="EI81" s="305"/>
      <c r="EJ81" s="305"/>
      <c r="EK81" s="305"/>
      <c r="EL81" s="305"/>
      <c r="EM81" s="305"/>
      <c r="EN81" s="305"/>
      <c r="EO81" s="305"/>
      <c r="EP81" s="305"/>
      <c r="EQ81" s="305"/>
      <c r="ER81" s="305"/>
      <c r="ES81" s="305"/>
      <c r="ET81" s="305"/>
      <c r="EU81" s="305"/>
      <c r="EV81" s="305"/>
      <c r="EW81" s="305"/>
      <c r="EX81" s="305"/>
      <c r="EY81" s="305"/>
      <c r="EZ81" s="305"/>
      <c r="FA81" s="305"/>
      <c r="FB81" s="305"/>
      <c r="FC81" s="305"/>
      <c r="FD81" s="305"/>
      <c r="FE81" s="305"/>
      <c r="FF81" s="305"/>
      <c r="FG81" s="305"/>
      <c r="FH81" s="305"/>
      <c r="FI81" s="305"/>
      <c r="FJ81" s="305"/>
    </row>
    <row r="82" spans="1:166" ht="12.75" customHeight="1" x14ac:dyDescent="0.35">
      <c r="A82" s="136"/>
      <c r="B82" s="169"/>
      <c r="C82" s="169"/>
      <c r="D82" s="152" t="s">
        <v>290</v>
      </c>
      <c r="E82" s="149">
        <f>Calcs!W602</f>
        <v>0</v>
      </c>
      <c r="F82" s="149">
        <f>Calcs!X602</f>
        <v>0</v>
      </c>
      <c r="G82" s="149">
        <f>Calcs!Y602</f>
        <v>0</v>
      </c>
      <c r="H82" s="149">
        <f>Calcs!Z602</f>
        <v>0</v>
      </c>
      <c r="I82" s="149">
        <f>Calcs!AA602</f>
        <v>0</v>
      </c>
      <c r="J82" s="149">
        <f>Calcs!AB602</f>
        <v>0</v>
      </c>
      <c r="K82" s="149">
        <f>Calcs!AC602</f>
        <v>0</v>
      </c>
      <c r="L82" s="149">
        <f>Calcs!AD602</f>
        <v>0</v>
      </c>
      <c r="M82" s="149">
        <f>Calcs!AE602</f>
        <v>0</v>
      </c>
      <c r="N82" s="149">
        <f>Calcs!AF602</f>
        <v>0</v>
      </c>
      <c r="O82" s="149">
        <f>Calcs!AG602</f>
        <v>0</v>
      </c>
      <c r="P82" s="149">
        <f>Calcs!AH602</f>
        <v>0</v>
      </c>
      <c r="Q82" s="151">
        <f>SUM(E82:P82)</f>
        <v>0</v>
      </c>
      <c r="R82" s="149">
        <f>Calcs!AI602</f>
        <v>0</v>
      </c>
      <c r="S82" s="149">
        <f>Calcs!AJ602</f>
        <v>0</v>
      </c>
      <c r="T82" s="149">
        <f>Calcs!AK602</f>
        <v>0</v>
      </c>
      <c r="U82" s="149">
        <f>Calcs!AL602</f>
        <v>0</v>
      </c>
      <c r="V82" s="149">
        <f>Calcs!AM602</f>
        <v>0</v>
      </c>
      <c r="W82" s="149">
        <f>Calcs!AN602</f>
        <v>0</v>
      </c>
      <c r="X82" s="149">
        <f>Calcs!AO602</f>
        <v>0</v>
      </c>
      <c r="Y82" s="149">
        <f>Calcs!AP602</f>
        <v>0</v>
      </c>
      <c r="Z82" s="149">
        <f>Calcs!AQ602</f>
        <v>0</v>
      </c>
      <c r="AA82" s="149">
        <f>Calcs!AR602</f>
        <v>0</v>
      </c>
      <c r="AB82" s="149">
        <f>Calcs!AS602</f>
        <v>0</v>
      </c>
      <c r="AC82" s="149">
        <f>Calcs!AT602</f>
        <v>0</v>
      </c>
      <c r="AD82" s="152">
        <f>SUM(R82:AC82)</f>
        <v>0</v>
      </c>
      <c r="AE82" s="149">
        <f>Calcs!AU602</f>
        <v>0</v>
      </c>
      <c r="AF82" s="149">
        <f>Calcs!AV602</f>
        <v>0</v>
      </c>
      <c r="AG82" s="149">
        <f>Calcs!AW602</f>
        <v>0</v>
      </c>
      <c r="AH82" s="149">
        <f>Calcs!AX602</f>
        <v>0</v>
      </c>
      <c r="AI82" s="149">
        <f>Calcs!AY602</f>
        <v>0</v>
      </c>
      <c r="AJ82" s="149">
        <f>Calcs!AZ602</f>
        <v>0</v>
      </c>
      <c r="AK82" s="149">
        <f>Calcs!BA602</f>
        <v>0</v>
      </c>
      <c r="AL82" s="149">
        <f>Calcs!BB602</f>
        <v>0</v>
      </c>
      <c r="AM82" s="149">
        <f>Calcs!BC602</f>
        <v>0</v>
      </c>
      <c r="AN82" s="149">
        <f>Calcs!BD602</f>
        <v>0</v>
      </c>
      <c r="AO82" s="149">
        <f>Calcs!BE602</f>
        <v>0</v>
      </c>
      <c r="AP82" s="149">
        <f>Calcs!BF602</f>
        <v>0</v>
      </c>
      <c r="AQ82" s="152">
        <f>SUM(AE82:AP82)</f>
        <v>0</v>
      </c>
      <c r="AR82" s="149">
        <f>Calcs!BG602</f>
        <v>0</v>
      </c>
      <c r="AS82" s="149">
        <f>Calcs!BH602</f>
        <v>0</v>
      </c>
      <c r="AT82" s="149">
        <f>Calcs!BI602</f>
        <v>0</v>
      </c>
      <c r="AU82" s="149">
        <f>Calcs!BJ602</f>
        <v>0</v>
      </c>
      <c r="AV82" s="149">
        <f>Calcs!BK602</f>
        <v>0</v>
      </c>
      <c r="AW82" s="149">
        <f>Calcs!BL602</f>
        <v>0</v>
      </c>
      <c r="AX82" s="149">
        <f>Calcs!BM602</f>
        <v>0</v>
      </c>
      <c r="AY82" s="149">
        <f>Calcs!BN602</f>
        <v>0</v>
      </c>
      <c r="AZ82" s="149">
        <f>Calcs!BO602</f>
        <v>0</v>
      </c>
      <c r="BA82" s="149">
        <f>Calcs!BP602</f>
        <v>0</v>
      </c>
      <c r="BB82" s="149">
        <f>Calcs!BQ602</f>
        <v>0</v>
      </c>
      <c r="BC82" s="149">
        <f>Calcs!BR602</f>
        <v>0</v>
      </c>
      <c r="BD82" s="152">
        <f>SUM(AR82:BC82)</f>
        <v>0</v>
      </c>
      <c r="BE82" s="149">
        <f>Calcs!BS602</f>
        <v>0</v>
      </c>
      <c r="BF82" s="149">
        <f>Calcs!BT602</f>
        <v>0</v>
      </c>
      <c r="BG82" s="149">
        <f>Calcs!BU602</f>
        <v>0</v>
      </c>
      <c r="BH82" s="149">
        <f>Calcs!BV602</f>
        <v>0</v>
      </c>
      <c r="BI82" s="149">
        <f>Calcs!BW602</f>
        <v>0</v>
      </c>
      <c r="BJ82" s="149">
        <f>Calcs!BX602</f>
        <v>0</v>
      </c>
      <c r="BK82" s="149">
        <f>Calcs!BY602</f>
        <v>0</v>
      </c>
      <c r="BL82" s="149">
        <f>Calcs!BZ602</f>
        <v>0</v>
      </c>
      <c r="BM82" s="149">
        <f>Calcs!CA602</f>
        <v>0</v>
      </c>
      <c r="BN82" s="149">
        <f>Calcs!CB602</f>
        <v>0</v>
      </c>
      <c r="BO82" s="149">
        <f>Calcs!CC602</f>
        <v>0</v>
      </c>
      <c r="BP82" s="149">
        <f>Calcs!CD602</f>
        <v>0</v>
      </c>
      <c r="BQ82" s="152">
        <f>SUM(BE82:BP82)</f>
        <v>0</v>
      </c>
      <c r="BR82" s="1802"/>
      <c r="BS82" s="153">
        <f>SUM(BQ82,BD82,AQ82,AD82,Q82)</f>
        <v>0</v>
      </c>
      <c r="BT82" s="1802"/>
      <c r="BU82" s="153">
        <f>SUM(BQ82,BD82,AQ82,AD82,Q82)</f>
      </c>
      <c r="BV82" s="170" t="s">
        <v>291</v>
      </c>
      <c r="BW82" s="96">
        <f>SUM(Financials!E82:'Financials'!G82)</f>
        <v>0</v>
      </c>
      <c r="BX82" s="96">
        <f>SUM(Financials!H82:'Financials'!J82)</f>
        <v>0</v>
      </c>
      <c r="BY82" s="96">
        <f>SUM(Financials!K82:'Financials'!M82)</f>
        <v>0</v>
      </c>
      <c r="BZ82" s="96">
        <f>SUM(Financials!N82:'Financials'!P82)</f>
        <v>0</v>
      </c>
      <c r="CA82" s="151">
        <f>SUM(Financials!R82:'Financials'!T82)</f>
        <v>0</v>
      </c>
      <c r="CB82" s="151">
        <f>SUM(Financials!U82:'Financials'!W82)</f>
        <v>0</v>
      </c>
      <c r="CC82" s="151">
        <f>SUM(Financials!X82:'Financials'!Z82)</f>
        <v>0</v>
      </c>
      <c r="CD82" s="151">
        <f>SUM(Financials!AA82:'Financials'!AC82)</f>
        <v>0</v>
      </c>
      <c r="CE82" s="151">
        <f>SUM(Financials!AE82:'Financials'!AG82)</f>
        <v>0</v>
      </c>
      <c r="CF82" s="151">
        <f>SUM(Financials!AH82:'Financials'!AJ82)</f>
        <v>0</v>
      </c>
      <c r="CG82" s="151">
        <f>SUM(Financials!AK82:'Financials'!AM82)</f>
        <v>0</v>
      </c>
      <c r="CH82" s="151">
        <f>SUM(Financials!AN82:'Financials'!AP82)</f>
        <v>0</v>
      </c>
      <c r="CI82" s="151">
        <f>SUM(Financials!AR82:'Financials'!AT82)</f>
        <v>0</v>
      </c>
      <c r="CJ82" s="151">
        <f>SUM(Financials!AU82:'Financials'!AW82)</f>
        <v>0</v>
      </c>
      <c r="CK82" s="151">
        <f>SUM(Financials!AX82:'Financials'!AZ82)</f>
        <v>0</v>
      </c>
      <c r="CL82" s="151">
        <f>SUM(Financials!BA82:'Financials'!BC82)</f>
        <v>0</v>
      </c>
      <c r="CM82" s="151">
        <f>SUM(Financials!BE82:'Financials'!BG82)</f>
        <v>0</v>
      </c>
      <c r="CN82" s="151">
        <f>SUM(Financials!BH82:'Financials'!BJ82)</f>
        <v>0</v>
      </c>
      <c r="CO82" s="151">
        <f>SUM(Financials!BK82:'Financials'!BM82)</f>
        <v>0</v>
      </c>
      <c r="CP82" s="151">
        <f>SUM(Financials!BN82:'Financials'!BP82)</f>
        <v>0</v>
      </c>
      <c r="CW82" s="179"/>
      <c r="CX82" s="179"/>
      <c r="CY82" s="305"/>
      <c r="CZ82" s="305"/>
      <c r="DA82" s="305"/>
      <c r="DB82" s="305"/>
      <c r="DC82" s="305"/>
      <c r="DD82" s="305"/>
      <c r="DE82" s="305"/>
      <c r="DF82" s="305"/>
      <c r="DG82" s="305"/>
      <c r="DH82" s="305"/>
      <c r="DI82" s="305"/>
      <c r="DJ82" s="305"/>
      <c r="DK82" s="305"/>
      <c r="DL82" s="305"/>
      <c r="DM82" s="305"/>
      <c r="DN82" s="305"/>
      <c r="DO82" s="305"/>
      <c r="DP82" s="305"/>
      <c r="DQ82" s="305"/>
      <c r="DR82" s="305"/>
      <c r="DS82" s="305"/>
      <c r="DT82" s="305"/>
      <c r="DU82" s="305"/>
      <c r="DV82" s="305"/>
      <c r="DW82" s="305"/>
      <c r="DX82" s="305"/>
      <c r="DY82" s="305"/>
      <c r="DZ82" s="305"/>
      <c r="EA82" s="305"/>
      <c r="EB82" s="305"/>
      <c r="EC82" s="305"/>
      <c r="ED82" s="305"/>
      <c r="EE82" s="305"/>
      <c r="EF82" s="305"/>
      <c r="EG82" s="305"/>
      <c r="EH82" s="305"/>
      <c r="EI82" s="305"/>
      <c r="EJ82" s="305"/>
      <c r="EK82" s="305"/>
      <c r="EL82" s="305"/>
      <c r="EM82" s="305"/>
      <c r="EN82" s="305"/>
      <c r="EO82" s="305"/>
      <c r="EP82" s="305"/>
      <c r="EQ82" s="305"/>
      <c r="ER82" s="305"/>
      <c r="ES82" s="305"/>
      <c r="ET82" s="305"/>
      <c r="EU82" s="305"/>
      <c r="EV82" s="305"/>
      <c r="EW82" s="305"/>
      <c r="EX82" s="305"/>
      <c r="EY82" s="305"/>
      <c r="EZ82" s="305"/>
      <c r="FA82" s="305"/>
      <c r="FB82" s="305"/>
      <c r="FC82" s="305"/>
      <c r="FD82" s="305"/>
      <c r="FE82" s="305"/>
      <c r="FF82" s="305"/>
      <c r="FG82" s="305"/>
      <c r="FH82" s="305"/>
      <c r="FI82" s="305"/>
      <c r="FJ82" s="305"/>
    </row>
    <row r="83" spans="1:166" ht="12.75" customHeight="1" x14ac:dyDescent="0.35">
      <c r="A83" s="136"/>
      <c r="B83" s="169"/>
      <c r="C83" s="169"/>
      <c r="D83" s="152" t="s">
        <v>139</v>
      </c>
      <c r="E83" s="149">
        <f>Calcs!W605</f>
        <v>0</v>
      </c>
      <c r="F83" s="149">
        <f>Calcs!X605</f>
        <v>0</v>
      </c>
      <c r="G83" s="149">
        <f>Calcs!Y605</f>
        <v>0</v>
      </c>
      <c r="H83" s="149">
        <f>Calcs!Z605</f>
        <v>0</v>
      </c>
      <c r="I83" s="149">
        <f>Calcs!AA605</f>
        <v>0</v>
      </c>
      <c r="J83" s="149">
        <f>Calcs!AB605</f>
        <v>0</v>
      </c>
      <c r="K83" s="149">
        <f>Calcs!AC605</f>
        <v>0</v>
      </c>
      <c r="L83" s="149">
        <f>Calcs!AD605</f>
        <v>0</v>
      </c>
      <c r="M83" s="149">
        <f>Calcs!AE605</f>
        <v>0</v>
      </c>
      <c r="N83" s="149">
        <f>Calcs!AF605</f>
        <v>0</v>
      </c>
      <c r="O83" s="149">
        <f>Calcs!AG605</f>
        <v>0</v>
      </c>
      <c r="P83" s="149">
        <f>Calcs!AH605</f>
        <v>0</v>
      </c>
      <c r="Q83" s="151">
        <f>SUM(E83:P83)</f>
        <v>0</v>
      </c>
      <c r="R83" s="149">
        <f>Calcs!AI605</f>
        <v>0</v>
      </c>
      <c r="S83" s="149">
        <f>Calcs!AJ605</f>
        <v>0</v>
      </c>
      <c r="T83" s="149">
        <f>Calcs!AK605</f>
        <v>0</v>
      </c>
      <c r="U83" s="149">
        <f>Calcs!AL605</f>
        <v>0</v>
      </c>
      <c r="V83" s="149">
        <f>Calcs!AM605</f>
        <v>0</v>
      </c>
      <c r="W83" s="149">
        <f>Calcs!AN605</f>
        <v>0</v>
      </c>
      <c r="X83" s="149">
        <f>Calcs!AO605</f>
        <v>0</v>
      </c>
      <c r="Y83" s="149">
        <f>Calcs!AP605</f>
        <v>0</v>
      </c>
      <c r="Z83" s="149">
        <f>Calcs!AQ605</f>
        <v>0</v>
      </c>
      <c r="AA83" s="149">
        <f>Calcs!AR605</f>
        <v>0</v>
      </c>
      <c r="AB83" s="149">
        <f>Calcs!AS605</f>
        <v>0</v>
      </c>
      <c r="AC83" s="149">
        <f>Calcs!AT605</f>
        <v>0</v>
      </c>
      <c r="AD83" s="152">
        <f>SUM(R83:AC83)</f>
        <v>0</v>
      </c>
      <c r="AE83" s="149">
        <f>Calcs!AU605</f>
        <v>0</v>
      </c>
      <c r="AF83" s="149">
        <f>Calcs!AV605</f>
        <v>0</v>
      </c>
      <c r="AG83" s="149">
        <f>Calcs!AW605</f>
        <v>0</v>
      </c>
      <c r="AH83" s="149">
        <f>Calcs!AX605</f>
        <v>0</v>
      </c>
      <c r="AI83" s="149">
        <f>Calcs!AY605</f>
        <v>0</v>
      </c>
      <c r="AJ83" s="149">
        <f>Calcs!AZ605</f>
        <v>0</v>
      </c>
      <c r="AK83" s="149">
        <f>Calcs!BA605</f>
        <v>0</v>
      </c>
      <c r="AL83" s="149">
        <f>Calcs!BB605</f>
        <v>0</v>
      </c>
      <c r="AM83" s="149">
        <f>Calcs!BC605</f>
        <v>0</v>
      </c>
      <c r="AN83" s="149">
        <f>Calcs!BD605</f>
        <v>0</v>
      </c>
      <c r="AO83" s="149">
        <f>Calcs!BE605</f>
        <v>0</v>
      </c>
      <c r="AP83" s="149">
        <f>Calcs!BF605</f>
        <v>0</v>
      </c>
      <c r="AQ83" s="152">
        <f>SUM(AE83:AP83)</f>
        <v>0</v>
      </c>
      <c r="AR83" s="149">
        <f>Calcs!BG605</f>
        <v>0</v>
      </c>
      <c r="AS83" s="149">
        <f>Calcs!BH605</f>
        <v>0</v>
      </c>
      <c r="AT83" s="149">
        <f>Calcs!BI605</f>
        <v>0</v>
      </c>
      <c r="AU83" s="149">
        <f>Calcs!BJ605</f>
        <v>0</v>
      </c>
      <c r="AV83" s="149">
        <f>Calcs!BK605</f>
        <v>0</v>
      </c>
      <c r="AW83" s="149">
        <f>Calcs!BL605</f>
        <v>0</v>
      </c>
      <c r="AX83" s="149">
        <f>Calcs!BM605</f>
        <v>0</v>
      </c>
      <c r="AY83" s="149">
        <f>Calcs!BN605</f>
        <v>0</v>
      </c>
      <c r="AZ83" s="149">
        <f>Calcs!BO605</f>
        <v>0</v>
      </c>
      <c r="BA83" s="149">
        <f>Calcs!BP605</f>
        <v>0</v>
      </c>
      <c r="BB83" s="149">
        <f>Calcs!BQ605</f>
        <v>0</v>
      </c>
      <c r="BC83" s="149">
        <f>Calcs!BR605</f>
        <v>0</v>
      </c>
      <c r="BD83" s="152">
        <f>SUM(AR83:BC83)</f>
        <v>0</v>
      </c>
      <c r="BE83" s="149">
        <f>Calcs!BS605</f>
        <v>0</v>
      </c>
      <c r="BF83" s="149">
        <f>Calcs!BT605</f>
        <v>0</v>
      </c>
      <c r="BG83" s="149">
        <f>Calcs!BU605</f>
        <v>0</v>
      </c>
      <c r="BH83" s="149">
        <f>Calcs!BV605</f>
        <v>0</v>
      </c>
      <c r="BI83" s="149">
        <f>Calcs!BW605</f>
        <v>0</v>
      </c>
      <c r="BJ83" s="149">
        <f>Calcs!BX605</f>
        <v>0</v>
      </c>
      <c r="BK83" s="149">
        <f>Calcs!BY605</f>
        <v>0</v>
      </c>
      <c r="BL83" s="149">
        <f>Calcs!BZ605</f>
        <v>0</v>
      </c>
      <c r="BM83" s="149">
        <f>Calcs!CA605</f>
        <v>0</v>
      </c>
      <c r="BN83" s="149">
        <f>Calcs!CB605</f>
        <v>0</v>
      </c>
      <c r="BO83" s="149">
        <f>Calcs!CC605</f>
        <v>0</v>
      </c>
      <c r="BP83" s="149">
        <f>Calcs!CD605</f>
        <v>0</v>
      </c>
      <c r="BQ83" s="152">
        <f>SUM(BE83:BP83)</f>
        <v>0</v>
      </c>
      <c r="BR83" s="1802"/>
      <c r="BS83" s="153">
        <f>SUM(BQ83,BD83,AQ83,AD83,Q83)</f>
        <v>0</v>
      </c>
      <c r="BT83" s="1802"/>
      <c r="BU83" s="153">
        <f>SUM(BQ83,BD83,AQ83,AD83,Q83)</f>
      </c>
      <c r="BV83" s="170" t="s">
        <v>139</v>
      </c>
      <c r="BW83" s="96">
        <f>SUM(Financials!E83:'Financials'!G83)</f>
        <v>0</v>
      </c>
      <c r="BX83" s="96">
        <f>SUM(Financials!H83:'Financials'!J83)</f>
        <v>0</v>
      </c>
      <c r="BY83" s="96">
        <f>SUM(Financials!K83:'Financials'!M83)</f>
        <v>0</v>
      </c>
      <c r="BZ83" s="96">
        <f>SUM(Financials!N83:'Financials'!P83)</f>
        <v>0</v>
      </c>
      <c r="CA83" s="151">
        <f>SUM(Financials!R83:'Financials'!T83)</f>
        <v>0</v>
      </c>
      <c r="CB83" s="151">
        <f>SUM(Financials!U83:'Financials'!W83)</f>
        <v>0</v>
      </c>
      <c r="CC83" s="151">
        <f>SUM(Financials!X83:'Financials'!Z83)</f>
        <v>0</v>
      </c>
      <c r="CD83" s="151">
        <f>SUM(Financials!AA83:'Financials'!AC83)</f>
        <v>0</v>
      </c>
      <c r="CE83" s="151">
        <f>SUM(Financials!AE83:'Financials'!AG83)</f>
        <v>0</v>
      </c>
      <c r="CF83" s="151">
        <f>SUM(Financials!AH83:'Financials'!AJ83)</f>
        <v>0</v>
      </c>
      <c r="CG83" s="151">
        <f>SUM(Financials!AK83:'Financials'!AM83)</f>
        <v>0</v>
      </c>
      <c r="CH83" s="151">
        <f>SUM(Financials!AN83:'Financials'!AP83)</f>
        <v>0</v>
      </c>
      <c r="CI83" s="151">
        <f>SUM(Financials!AR83:'Financials'!AT83)</f>
        <v>0</v>
      </c>
      <c r="CJ83" s="151">
        <f>SUM(Financials!AU83:'Financials'!AW83)</f>
        <v>0</v>
      </c>
      <c r="CK83" s="151">
        <f>SUM(Financials!AX83:'Financials'!AZ83)</f>
        <v>0</v>
      </c>
      <c r="CL83" s="151">
        <f>SUM(Financials!BA83:'Financials'!BC83)</f>
        <v>0</v>
      </c>
      <c r="CM83" s="151">
        <f>SUM(Financials!BE83:'Financials'!BG83)</f>
        <v>0</v>
      </c>
      <c r="CN83" s="151">
        <f>SUM(Financials!BH83:'Financials'!BJ83)</f>
        <v>0</v>
      </c>
      <c r="CO83" s="151">
        <f>SUM(Financials!BK83:'Financials'!BM83)</f>
        <v>0</v>
      </c>
      <c r="CP83" s="151">
        <f>SUM(Financials!BN83:'Financials'!BP83)</f>
        <v>0</v>
      </c>
      <c r="CW83" s="179"/>
      <c r="CX83" s="179"/>
      <c r="CY83" s="305"/>
      <c r="CZ83" s="305"/>
      <c r="DA83" s="305"/>
      <c r="DB83" s="305"/>
      <c r="DC83" s="305"/>
      <c r="DD83" s="305"/>
      <c r="DE83" s="305"/>
      <c r="DF83" s="305"/>
      <c r="DG83" s="305"/>
      <c r="DH83" s="305"/>
      <c r="DI83" s="305"/>
      <c r="DJ83" s="305"/>
      <c r="DK83" s="305"/>
      <c r="DL83" s="305"/>
      <c r="DM83" s="305"/>
      <c r="DN83" s="305"/>
      <c r="DO83" s="305"/>
      <c r="DP83" s="305"/>
      <c r="DQ83" s="305"/>
      <c r="DR83" s="305"/>
      <c r="DS83" s="305"/>
      <c r="DT83" s="305"/>
      <c r="DU83" s="305"/>
      <c r="DV83" s="305"/>
      <c r="DW83" s="305"/>
      <c r="DX83" s="305"/>
      <c r="DY83" s="305"/>
      <c r="DZ83" s="305"/>
      <c r="EA83" s="305"/>
      <c r="EB83" s="305"/>
      <c r="EC83" s="305"/>
      <c r="ED83" s="305"/>
      <c r="EE83" s="305"/>
      <c r="EF83" s="305"/>
      <c r="EG83" s="305"/>
      <c r="EH83" s="305"/>
      <c r="EI83" s="305"/>
      <c r="EJ83" s="305"/>
      <c r="EK83" s="305"/>
      <c r="EL83" s="305"/>
      <c r="EM83" s="305"/>
      <c r="EN83" s="305"/>
      <c r="EO83" s="305"/>
      <c r="EP83" s="305"/>
      <c r="EQ83" s="305"/>
      <c r="ER83" s="305"/>
      <c r="ES83" s="305"/>
      <c r="ET83" s="305"/>
      <c r="EU83" s="305"/>
      <c r="EV83" s="305"/>
      <c r="EW83" s="305"/>
      <c r="EX83" s="305"/>
      <c r="EY83" s="305"/>
      <c r="EZ83" s="305"/>
      <c r="FA83" s="305"/>
      <c r="FB83" s="305"/>
      <c r="FC83" s="305"/>
      <c r="FD83" s="305"/>
      <c r="FE83" s="305"/>
      <c r="FF83" s="305"/>
      <c r="FG83" s="305"/>
      <c r="FH83" s="305"/>
      <c r="FI83" s="305"/>
      <c r="FJ83" s="305"/>
    </row>
    <row r="84" spans="1:166" ht="12.75" customHeight="1" x14ac:dyDescent="0.35">
      <c r="A84" s="136"/>
      <c r="B84" s="169"/>
      <c r="C84" s="169"/>
      <c r="D84" s="152" t="s">
        <v>146</v>
      </c>
      <c r="E84" s="149">
        <f>Calcs!W604</f>
        <v>0</v>
      </c>
      <c r="F84" s="149">
        <f>Calcs!X604</f>
        <v>0</v>
      </c>
      <c r="G84" s="149">
        <f>Calcs!Y604</f>
        <v>0</v>
      </c>
      <c r="H84" s="149">
        <f>Calcs!Z604</f>
        <v>0</v>
      </c>
      <c r="I84" s="149">
        <f>Calcs!AA604</f>
        <v>0</v>
      </c>
      <c r="J84" s="149">
        <f>Calcs!AB604</f>
        <v>0</v>
      </c>
      <c r="K84" s="149">
        <f>Calcs!AC604</f>
        <v>0</v>
      </c>
      <c r="L84" s="149">
        <f>Calcs!AD604</f>
        <v>0</v>
      </c>
      <c r="M84" s="149">
        <f>Calcs!AE604</f>
        <v>0</v>
      </c>
      <c r="N84" s="149">
        <f>Calcs!AF604</f>
        <v>0</v>
      </c>
      <c r="O84" s="149">
        <f>Calcs!AG604</f>
        <v>0</v>
      </c>
      <c r="P84" s="149">
        <f>Calcs!AH604</f>
        <v>0</v>
      </c>
      <c r="Q84" s="151">
        <f>SUM(E84:P84)</f>
        <v>0</v>
      </c>
      <c r="R84" s="149">
        <f>Calcs!AI604</f>
        <v>0</v>
      </c>
      <c r="S84" s="149">
        <f>Calcs!AJ604</f>
        <v>0</v>
      </c>
      <c r="T84" s="149">
        <f>Calcs!AK604</f>
        <v>0</v>
      </c>
      <c r="U84" s="149">
        <f>Calcs!AL604</f>
        <v>0</v>
      </c>
      <c r="V84" s="149">
        <f>Calcs!AM604</f>
        <v>0</v>
      </c>
      <c r="W84" s="149">
        <f>Calcs!AN604</f>
        <v>0</v>
      </c>
      <c r="X84" s="149">
        <f>Calcs!AO604</f>
        <v>0</v>
      </c>
      <c r="Y84" s="149">
        <f>Calcs!AP604</f>
        <v>0</v>
      </c>
      <c r="Z84" s="149">
        <f>Calcs!AQ604</f>
        <v>0</v>
      </c>
      <c r="AA84" s="149">
        <f>Calcs!AR604</f>
        <v>0</v>
      </c>
      <c r="AB84" s="149">
        <f>Calcs!AS604</f>
        <v>0</v>
      </c>
      <c r="AC84" s="149">
        <f>Calcs!AT604</f>
        <v>0</v>
      </c>
      <c r="AD84" s="152">
        <f>SUM(R84:AC84)</f>
        <v>0</v>
      </c>
      <c r="AE84" s="149">
        <f>Calcs!AU604</f>
        <v>0</v>
      </c>
      <c r="AF84" s="149">
        <f>Calcs!AV604</f>
        <v>0</v>
      </c>
      <c r="AG84" s="149">
        <f>Calcs!AW604</f>
        <v>0</v>
      </c>
      <c r="AH84" s="149">
        <f>Calcs!AX604</f>
        <v>0</v>
      </c>
      <c r="AI84" s="149">
        <f>Calcs!AY604</f>
        <v>0</v>
      </c>
      <c r="AJ84" s="149">
        <f>Calcs!AZ604</f>
        <v>0</v>
      </c>
      <c r="AK84" s="149">
        <f>Calcs!BA604</f>
        <v>0</v>
      </c>
      <c r="AL84" s="149">
        <f>Calcs!BB604</f>
        <v>0</v>
      </c>
      <c r="AM84" s="149">
        <f>Calcs!BC604</f>
        <v>0</v>
      </c>
      <c r="AN84" s="149">
        <f>Calcs!BD604</f>
        <v>0</v>
      </c>
      <c r="AO84" s="149">
        <f>Calcs!BE604</f>
        <v>0</v>
      </c>
      <c r="AP84" s="149">
        <f>Calcs!BF604</f>
        <v>0</v>
      </c>
      <c r="AQ84" s="152">
        <f>SUM(AE84:AP84)</f>
        <v>0</v>
      </c>
      <c r="AR84" s="149">
        <f>Calcs!BG604</f>
        <v>0</v>
      </c>
      <c r="AS84" s="149">
        <f>Calcs!BH604</f>
        <v>0</v>
      </c>
      <c r="AT84" s="149">
        <f>Calcs!BI604</f>
        <v>0</v>
      </c>
      <c r="AU84" s="149">
        <f>Calcs!BJ604</f>
        <v>0</v>
      </c>
      <c r="AV84" s="149">
        <f>Calcs!BK604</f>
        <v>0</v>
      </c>
      <c r="AW84" s="149">
        <f>Calcs!BL604</f>
        <v>0</v>
      </c>
      <c r="AX84" s="149">
        <f>Calcs!BM604</f>
        <v>0</v>
      </c>
      <c r="AY84" s="149">
        <f>Calcs!BN604</f>
        <v>0</v>
      </c>
      <c r="AZ84" s="149">
        <f>Calcs!BO604</f>
        <v>0</v>
      </c>
      <c r="BA84" s="149">
        <f>Calcs!BP604</f>
        <v>0</v>
      </c>
      <c r="BB84" s="149">
        <f>Calcs!BQ604</f>
        <v>0</v>
      </c>
      <c r="BC84" s="149">
        <f>Calcs!BR604</f>
        <v>0</v>
      </c>
      <c r="BD84" s="152">
        <f>SUM(AR84:BC84)</f>
        <v>0</v>
      </c>
      <c r="BE84" s="149">
        <f>Calcs!BS604</f>
        <v>0</v>
      </c>
      <c r="BF84" s="149">
        <f>Calcs!BT604</f>
        <v>0</v>
      </c>
      <c r="BG84" s="149">
        <f>Calcs!BU604</f>
        <v>0</v>
      </c>
      <c r="BH84" s="149">
        <f>Calcs!BV604</f>
        <v>0</v>
      </c>
      <c r="BI84" s="149">
        <f>Calcs!BW604</f>
        <v>0</v>
      </c>
      <c r="BJ84" s="149">
        <f>Calcs!BX604</f>
        <v>0</v>
      </c>
      <c r="BK84" s="149">
        <f>Calcs!BY604</f>
        <v>0</v>
      </c>
      <c r="BL84" s="149">
        <f>Calcs!BZ604</f>
        <v>0</v>
      </c>
      <c r="BM84" s="149">
        <f>Calcs!CA604</f>
        <v>0</v>
      </c>
      <c r="BN84" s="149">
        <f>Calcs!CB604</f>
        <v>0</v>
      </c>
      <c r="BO84" s="149">
        <f>Calcs!CC604</f>
        <v>0</v>
      </c>
      <c r="BP84" s="149">
        <f>Calcs!CD604</f>
        <v>0</v>
      </c>
      <c r="BQ84" s="152">
        <f>SUM(BE84:BP84)</f>
        <v>0</v>
      </c>
      <c r="BR84" s="1802"/>
      <c r="BS84" s="153">
        <f>SUM(BQ84,BD84,AQ84,AD84,Q84)</f>
        <v>0</v>
      </c>
      <c r="BT84" s="1802"/>
      <c r="BU84" s="153">
        <f>SUM(BQ84,BD84,AQ84,AD84,Q84)</f>
      </c>
      <c r="BV84" s="170" t="s">
        <v>146</v>
      </c>
      <c r="BW84" s="96">
        <f>SUM(Financials!E84:'Financials'!G84)</f>
        <v>0</v>
      </c>
      <c r="BX84" s="96">
        <f>SUM(Financials!H84:'Financials'!J84)</f>
        <v>0</v>
      </c>
      <c r="BY84" s="96">
        <f>SUM(Financials!K84:'Financials'!M84)</f>
        <v>0</v>
      </c>
      <c r="BZ84" s="96">
        <f>SUM(Financials!N84:'Financials'!P84)</f>
        <v>0</v>
      </c>
      <c r="CA84" s="151">
        <f>SUM(Financials!R84:'Financials'!T84)</f>
        <v>0</v>
      </c>
      <c r="CB84" s="151">
        <f>SUM(Financials!U84:'Financials'!W84)</f>
        <v>0</v>
      </c>
      <c r="CC84" s="151">
        <f>SUM(Financials!X84:'Financials'!Z84)</f>
        <v>0</v>
      </c>
      <c r="CD84" s="151">
        <f>SUM(Financials!AA84:'Financials'!AC84)</f>
        <v>0</v>
      </c>
      <c r="CE84" s="151">
        <f>SUM(Financials!AE84:'Financials'!AG84)</f>
        <v>0</v>
      </c>
      <c r="CF84" s="151">
        <f>SUM(Financials!AH84:'Financials'!AJ84)</f>
        <v>0</v>
      </c>
      <c r="CG84" s="151">
        <f>SUM(Financials!AK84:'Financials'!AM84)</f>
        <v>0</v>
      </c>
      <c r="CH84" s="151">
        <f>SUM(Financials!AN84:'Financials'!AP84)</f>
        <v>0</v>
      </c>
      <c r="CI84" s="151">
        <f>SUM(Financials!AR84:'Financials'!AT84)</f>
        <v>0</v>
      </c>
      <c r="CJ84" s="151">
        <f>SUM(Financials!AU84:'Financials'!AW84)</f>
        <v>0</v>
      </c>
      <c r="CK84" s="151">
        <f>SUM(Financials!AX84:'Financials'!AZ84)</f>
        <v>0</v>
      </c>
      <c r="CL84" s="151">
        <f>SUM(Financials!BA84:'Financials'!BC84)</f>
        <v>0</v>
      </c>
      <c r="CM84" s="151">
        <f>SUM(Financials!BE84:'Financials'!BG84)</f>
        <v>0</v>
      </c>
      <c r="CN84" s="151">
        <f>SUM(Financials!BH84:'Financials'!BJ84)</f>
        <v>0</v>
      </c>
      <c r="CO84" s="151">
        <f>SUM(Financials!BK84:'Financials'!BM84)</f>
        <v>0</v>
      </c>
      <c r="CP84" s="151">
        <f>SUM(Financials!BN84:'Financials'!BP84)</f>
        <v>0</v>
      </c>
      <c r="CW84" s="179"/>
      <c r="CX84" s="179"/>
      <c r="CY84" s="305"/>
      <c r="CZ84" s="305"/>
      <c r="DA84" s="305"/>
      <c r="DB84" s="305"/>
      <c r="DC84" s="305"/>
      <c r="DD84" s="305"/>
      <c r="DE84" s="305"/>
      <c r="DF84" s="305"/>
      <c r="DG84" s="305"/>
      <c r="DH84" s="305"/>
      <c r="DI84" s="305"/>
      <c r="DJ84" s="305"/>
      <c r="DK84" s="305"/>
      <c r="DL84" s="305"/>
      <c r="DM84" s="305"/>
      <c r="DN84" s="305"/>
      <c r="DO84" s="305"/>
      <c r="DP84" s="305"/>
      <c r="DQ84" s="305"/>
      <c r="DR84" s="305"/>
      <c r="DS84" s="305"/>
      <c r="DT84" s="305"/>
      <c r="DU84" s="305"/>
      <c r="DV84" s="305"/>
      <c r="DW84" s="305"/>
      <c r="DX84" s="305"/>
      <c r="DY84" s="305"/>
      <c r="DZ84" s="305"/>
      <c r="EA84" s="305"/>
      <c r="EB84" s="305"/>
      <c r="EC84" s="305"/>
      <c r="ED84" s="305"/>
      <c r="EE84" s="305"/>
      <c r="EF84" s="305"/>
      <c r="EG84" s="305"/>
      <c r="EH84" s="305"/>
      <c r="EI84" s="305"/>
      <c r="EJ84" s="305"/>
      <c r="EK84" s="305"/>
      <c r="EL84" s="305"/>
      <c r="EM84" s="305"/>
      <c r="EN84" s="305"/>
      <c r="EO84" s="305"/>
      <c r="EP84" s="305"/>
      <c r="EQ84" s="305"/>
      <c r="ER84" s="305"/>
      <c r="ES84" s="305"/>
      <c r="ET84" s="305"/>
      <c r="EU84" s="305"/>
      <c r="EV84" s="305"/>
      <c r="EW84" s="305"/>
      <c r="EX84" s="305"/>
      <c r="EY84" s="305"/>
      <c r="EZ84" s="305"/>
      <c r="FA84" s="305"/>
      <c r="FB84" s="305"/>
      <c r="FC84" s="305"/>
      <c r="FD84" s="305"/>
      <c r="FE84" s="305"/>
      <c r="FF84" s="305"/>
      <c r="FG84" s="305"/>
      <c r="FH84" s="305"/>
      <c r="FI84" s="305"/>
      <c r="FJ84" s="305"/>
    </row>
    <row r="85" spans="1:166" ht="12.75" customHeight="1" x14ac:dyDescent="0.35">
      <c r="A85" s="136"/>
      <c r="B85" s="169"/>
      <c r="C85" s="169"/>
      <c r="D85" s="152" t="s">
        <v>58</v>
      </c>
      <c r="E85" s="152">
        <f>Calcs!W490</f>
        <v>0</v>
      </c>
      <c r="F85" s="152">
        <f>Calcs!X490</f>
        <v>0</v>
      </c>
      <c r="G85" s="152">
        <f>Calcs!Y490</f>
        <v>0</v>
      </c>
      <c r="H85" s="152">
        <f>Calcs!Z490</f>
        <v>0</v>
      </c>
      <c r="I85" s="152">
        <f>Calcs!AA490</f>
        <v>0</v>
      </c>
      <c r="J85" s="152">
        <f>Calcs!AB490</f>
        <v>0</v>
      </c>
      <c r="K85" s="152">
        <f>Calcs!AC490</f>
        <v>0</v>
      </c>
      <c r="L85" s="152">
        <f>Calcs!AD490</f>
        <v>0</v>
      </c>
      <c r="M85" s="152">
        <f>Calcs!AE490</f>
        <v>0</v>
      </c>
      <c r="N85" s="152">
        <f>Calcs!AF490</f>
        <v>0</v>
      </c>
      <c r="O85" s="152">
        <f>Calcs!AG490</f>
        <v>0</v>
      </c>
      <c r="P85" s="152">
        <f>Calcs!AH490</f>
        <v>0</v>
      </c>
      <c r="Q85" s="151">
        <f>SUM(E85:P85)</f>
        <v>0</v>
      </c>
      <c r="R85" s="152">
        <f>Calcs!AI490</f>
        <v>0</v>
      </c>
      <c r="S85" s="152">
        <f>Calcs!AJ490</f>
        <v>0</v>
      </c>
      <c r="T85" s="152">
        <f>Calcs!AK490</f>
        <v>0</v>
      </c>
      <c r="U85" s="152">
        <f>Calcs!AL490</f>
        <v>0</v>
      </c>
      <c r="V85" s="152">
        <f>Calcs!AM490</f>
        <v>0</v>
      </c>
      <c r="W85" s="152">
        <f>Calcs!AN490</f>
        <v>0</v>
      </c>
      <c r="X85" s="152">
        <f>Calcs!AO490</f>
        <v>0</v>
      </c>
      <c r="Y85" s="152">
        <f>Calcs!AP490</f>
        <v>0</v>
      </c>
      <c r="Z85" s="152">
        <f>Calcs!AQ490</f>
        <v>0</v>
      </c>
      <c r="AA85" s="152">
        <f>Calcs!AR490</f>
        <v>0</v>
      </c>
      <c r="AB85" s="152">
        <f>Calcs!AS490</f>
        <v>0</v>
      </c>
      <c r="AC85" s="152">
        <f>Calcs!AT490</f>
        <v>0</v>
      </c>
      <c r="AD85" s="152">
        <f>SUM(R85:AC85)</f>
        <v>0</v>
      </c>
      <c r="AE85" s="152">
        <f>Calcs!AU490</f>
        <v>0</v>
      </c>
      <c r="AF85" s="152">
        <f>Calcs!AV490</f>
        <v>0</v>
      </c>
      <c r="AG85" s="152">
        <f>Calcs!AW490</f>
        <v>0</v>
      </c>
      <c r="AH85" s="152">
        <f>Calcs!AX490</f>
        <v>0</v>
      </c>
      <c r="AI85" s="152">
        <f>Calcs!AY490</f>
        <v>0</v>
      </c>
      <c r="AJ85" s="152">
        <f>Calcs!AZ490</f>
        <v>0</v>
      </c>
      <c r="AK85" s="152">
        <f>Calcs!BA490</f>
        <v>0</v>
      </c>
      <c r="AL85" s="152">
        <f>Calcs!BB490</f>
        <v>0</v>
      </c>
      <c r="AM85" s="152">
        <f>Calcs!BC490</f>
        <v>0</v>
      </c>
      <c r="AN85" s="152">
        <f>Calcs!BD490</f>
        <v>0</v>
      </c>
      <c r="AO85" s="152">
        <f>Calcs!BE490</f>
        <v>0</v>
      </c>
      <c r="AP85" s="152">
        <f>Calcs!BF490</f>
        <v>0</v>
      </c>
      <c r="AQ85" s="152">
        <f>SUM(AE85:AP85)</f>
        <v>0</v>
      </c>
      <c r="AR85" s="152">
        <f>Calcs!BG490</f>
        <v>0</v>
      </c>
      <c r="AS85" s="152">
        <f>Calcs!BH490</f>
        <v>0</v>
      </c>
      <c r="AT85" s="152">
        <f>Calcs!BI490</f>
        <v>0</v>
      </c>
      <c r="AU85" s="152">
        <f>Calcs!BJ490</f>
        <v>0</v>
      </c>
      <c r="AV85" s="152">
        <f>Calcs!BK490</f>
        <v>0</v>
      </c>
      <c r="AW85" s="152">
        <f>Calcs!BL490</f>
        <v>0</v>
      </c>
      <c r="AX85" s="152">
        <f>Calcs!BM490</f>
        <v>0</v>
      </c>
      <c r="AY85" s="152">
        <f>Calcs!BN490</f>
        <v>0</v>
      </c>
      <c r="AZ85" s="152">
        <f>Calcs!BO490</f>
        <v>0</v>
      </c>
      <c r="BA85" s="152">
        <f>Calcs!BP490</f>
        <v>0</v>
      </c>
      <c r="BB85" s="152">
        <f>Calcs!BQ490</f>
        <v>0</v>
      </c>
      <c r="BC85" s="152">
        <f>Calcs!BR490</f>
        <v>0</v>
      </c>
      <c r="BD85" s="152">
        <f>SUM(AR85:BC85)</f>
        <v>0</v>
      </c>
      <c r="BE85" s="152">
        <f>Calcs!BS490</f>
        <v>0</v>
      </c>
      <c r="BF85" s="152">
        <f>Calcs!BT490</f>
        <v>0</v>
      </c>
      <c r="BG85" s="152">
        <f>Calcs!BU490</f>
        <v>0</v>
      </c>
      <c r="BH85" s="152">
        <f>Calcs!BV490</f>
        <v>0</v>
      </c>
      <c r="BI85" s="152">
        <f>Calcs!BW490</f>
        <v>0</v>
      </c>
      <c r="BJ85" s="152">
        <f>Calcs!BX490</f>
        <v>0</v>
      </c>
      <c r="BK85" s="152">
        <f>Calcs!BY490</f>
        <v>0</v>
      </c>
      <c r="BL85" s="152">
        <f>Calcs!BZ490</f>
        <v>0</v>
      </c>
      <c r="BM85" s="152">
        <f>Calcs!CA490</f>
        <v>0</v>
      </c>
      <c r="BN85" s="152">
        <f>Calcs!CB490</f>
        <v>0</v>
      </c>
      <c r="BO85" s="152">
        <f>Calcs!CC490</f>
        <v>0</v>
      </c>
      <c r="BP85" s="152">
        <f>Calcs!CD490</f>
        <v>0</v>
      </c>
      <c r="BQ85" s="152">
        <f>SUM(BE85:BP85)</f>
        <v>0</v>
      </c>
      <c r="BR85" s="1567"/>
      <c r="BS85" s="153">
        <f>SUM(BQ85,BD85,AQ85,AD85,Q85)</f>
        <v>0</v>
      </c>
      <c r="BT85" s="1567"/>
      <c r="BU85" s="171">
        <f>SUM(BQ85,BD85,AQ85,AD85,Q85)</f>
      </c>
      <c r="BV85" s="170" t="s">
        <v>58</v>
      </c>
      <c r="BW85" s="96">
        <f>SUM(Financials!E85:'Financials'!G85)</f>
        <v>0</v>
      </c>
      <c r="BX85" s="96">
        <f>SUM(Financials!H85:'Financials'!J85)</f>
        <v>0</v>
      </c>
      <c r="BY85" s="96">
        <f>SUM(Financials!K85:'Financials'!M85)</f>
        <v>0</v>
      </c>
      <c r="BZ85" s="96">
        <f>SUM(Financials!N85:'Financials'!P85)</f>
        <v>0</v>
      </c>
      <c r="CA85" s="152">
        <f>SUM(Financials!R85:'Financials'!T85)</f>
        <v>0</v>
      </c>
      <c r="CB85" s="152">
        <f>SUM(Financials!U85:'Financials'!W85)</f>
        <v>0</v>
      </c>
      <c r="CC85" s="152">
        <f>SUM(Financials!X85:'Financials'!Z85)</f>
        <v>0</v>
      </c>
      <c r="CD85" s="152">
        <f>SUM(Financials!AA85:'Financials'!AC85)</f>
        <v>0</v>
      </c>
      <c r="CE85" s="152">
        <f>SUM(Financials!AE85:'Financials'!AG85)</f>
        <v>0</v>
      </c>
      <c r="CF85" s="152">
        <f>SUM(Financials!AH85:'Financials'!AJ85)</f>
        <v>0</v>
      </c>
      <c r="CG85" s="152">
        <f>SUM(Financials!AK85:'Financials'!AM85)</f>
        <v>0</v>
      </c>
      <c r="CH85" s="152">
        <f>SUM(Financials!AN85:'Financials'!AP85)</f>
        <v>0</v>
      </c>
      <c r="CI85" s="152">
        <f>SUM(Financials!AR85:'Financials'!AT85)</f>
        <v>0</v>
      </c>
      <c r="CJ85" s="152">
        <f>SUM(Financials!AU85:'Financials'!AW85)</f>
        <v>0</v>
      </c>
      <c r="CK85" s="152">
        <f>SUM(Financials!AX85:'Financials'!AZ85)</f>
        <v>0</v>
      </c>
      <c r="CL85" s="152">
        <f>SUM(Financials!BA85:'Financials'!BC85)</f>
        <v>0</v>
      </c>
      <c r="CM85" s="152">
        <f>SUM(Financials!BE85:'Financials'!BG85)</f>
        <v>0</v>
      </c>
      <c r="CN85" s="152">
        <f>SUM(Financials!BH85:'Financials'!BJ85)</f>
        <v>0</v>
      </c>
      <c r="CO85" s="152">
        <f>SUM(Financials!BK85:'Financials'!BM85)</f>
        <v>0</v>
      </c>
      <c r="CP85" s="152">
        <f>SUM(Financials!BN85:'Financials'!BP85)</f>
        <v>0</v>
      </c>
      <c r="CW85" s="179"/>
      <c r="CX85" s="179"/>
      <c r="CY85" s="305"/>
      <c r="CZ85" s="305"/>
      <c r="DA85" s="305"/>
      <c r="DB85" s="305"/>
      <c r="DC85" s="305"/>
      <c r="DD85" s="305"/>
      <c r="DE85" s="305"/>
      <c r="DF85" s="305"/>
      <c r="DG85" s="305"/>
      <c r="DH85" s="305"/>
      <c r="DI85" s="305"/>
      <c r="DJ85" s="305"/>
      <c r="DK85" s="305"/>
      <c r="DL85" s="305"/>
      <c r="DM85" s="305"/>
      <c r="DN85" s="305"/>
      <c r="DO85" s="305"/>
      <c r="DP85" s="305"/>
      <c r="DQ85" s="305"/>
      <c r="DR85" s="305"/>
      <c r="DS85" s="305"/>
      <c r="DT85" s="305"/>
      <c r="DU85" s="305"/>
      <c r="DV85" s="305"/>
      <c r="DW85" s="305"/>
      <c r="DX85" s="305"/>
      <c r="DY85" s="305"/>
      <c r="DZ85" s="305"/>
      <c r="EA85" s="305"/>
      <c r="EB85" s="305"/>
      <c r="EC85" s="305"/>
      <c r="ED85" s="305"/>
      <c r="EE85" s="305"/>
      <c r="EF85" s="305"/>
      <c r="EG85" s="305"/>
      <c r="EH85" s="305"/>
      <c r="EI85" s="305"/>
      <c r="EJ85" s="305"/>
      <c r="EK85" s="305"/>
      <c r="EL85" s="305"/>
      <c r="EM85" s="305"/>
      <c r="EN85" s="305"/>
      <c r="EO85" s="305"/>
      <c r="EP85" s="305"/>
      <c r="EQ85" s="305"/>
      <c r="ER85" s="305"/>
      <c r="ES85" s="305"/>
      <c r="ET85" s="305"/>
      <c r="EU85" s="305"/>
      <c r="EV85" s="305"/>
      <c r="EW85" s="305"/>
      <c r="EX85" s="305"/>
      <c r="EY85" s="305"/>
      <c r="EZ85" s="305"/>
      <c r="FA85" s="305"/>
      <c r="FB85" s="305"/>
      <c r="FC85" s="305"/>
      <c r="FD85" s="305"/>
      <c r="FE85" s="305"/>
      <c r="FF85" s="305"/>
      <c r="FG85" s="305"/>
      <c r="FH85" s="305"/>
      <c r="FI85" s="305"/>
      <c r="FJ85" s="305"/>
    </row>
    <row r="86" spans="1:166" ht="12.75" hidden="1" customHeight="1" x14ac:dyDescent="0.35">
      <c r="A86" s="136"/>
      <c r="B86" s="169"/>
      <c r="C86" s="169"/>
      <c r="D86" s="1803" t="s">
        <v>292</v>
      </c>
      <c r="E86" s="152">
        <f>Calcs!W613</f>
        <v>0</v>
      </c>
      <c r="F86" s="152">
        <f>Calcs!X613</f>
        <v>0</v>
      </c>
      <c r="G86" s="152">
        <f>Calcs!Y613</f>
        <v>0</v>
      </c>
      <c r="H86" s="152">
        <f>Calcs!Z613</f>
        <v>0</v>
      </c>
      <c r="I86" s="152">
        <f>Calcs!AA613</f>
        <v>0</v>
      </c>
      <c r="J86" s="152">
        <f>Calcs!AB613</f>
        <v>0</v>
      </c>
      <c r="K86" s="152">
        <f>Calcs!AC613</f>
        <v>0</v>
      </c>
      <c r="L86" s="152">
        <f>Calcs!AD613</f>
        <v>0</v>
      </c>
      <c r="M86" s="152">
        <f>Calcs!AE613</f>
        <v>0</v>
      </c>
      <c r="N86" s="152">
        <f>Calcs!AF613</f>
        <v>0</v>
      </c>
      <c r="O86" s="152">
        <f>Calcs!AG613</f>
        <v>0</v>
      </c>
      <c r="P86" s="152">
        <f>Calcs!AH613</f>
        <v>0</v>
      </c>
      <c r="Q86" s="151">
        <f>SUM(E86:P86)</f>
        <v>0</v>
      </c>
      <c r="R86" s="152">
        <f>Calcs!AI613</f>
        <v>0</v>
      </c>
      <c r="S86" s="152">
        <f>Calcs!AJ613</f>
        <v>0</v>
      </c>
      <c r="T86" s="152">
        <f>Calcs!AK613</f>
        <v>0</v>
      </c>
      <c r="U86" s="152">
        <f>Calcs!AL613</f>
        <v>0</v>
      </c>
      <c r="V86" s="152">
        <f>Calcs!AM613</f>
        <v>0</v>
      </c>
      <c r="W86" s="152">
        <f>Calcs!AN613</f>
        <v>0</v>
      </c>
      <c r="X86" s="152">
        <f>Calcs!AO613</f>
        <v>0</v>
      </c>
      <c r="Y86" s="152">
        <f>Calcs!AP613</f>
        <v>0</v>
      </c>
      <c r="Z86" s="152">
        <f>Calcs!AQ613</f>
        <v>0</v>
      </c>
      <c r="AA86" s="152">
        <f>Calcs!AR613</f>
        <v>0</v>
      </c>
      <c r="AB86" s="152">
        <f>Calcs!AS613</f>
        <v>0</v>
      </c>
      <c r="AC86" s="152">
        <f>Calcs!AT613</f>
        <v>0</v>
      </c>
      <c r="AD86" s="152">
        <f>SUM(R86:AC86)</f>
        <v>0</v>
      </c>
      <c r="AE86" s="152">
        <f>Calcs!AU613</f>
        <v>0</v>
      </c>
      <c r="AF86" s="152">
        <f>Calcs!AV613</f>
        <v>0</v>
      </c>
      <c r="AG86" s="152">
        <f>Calcs!AW613</f>
        <v>0</v>
      </c>
      <c r="AH86" s="152">
        <f>Calcs!AX613</f>
        <v>0</v>
      </c>
      <c r="AI86" s="152">
        <f>Calcs!AY613</f>
        <v>0</v>
      </c>
      <c r="AJ86" s="152">
        <f>Calcs!AZ613</f>
        <v>0</v>
      </c>
      <c r="AK86" s="152">
        <f>Calcs!BA613</f>
        <v>0</v>
      </c>
      <c r="AL86" s="152">
        <f>Calcs!BB613</f>
        <v>0</v>
      </c>
      <c r="AM86" s="152">
        <f>Calcs!BC613</f>
        <v>0</v>
      </c>
      <c r="AN86" s="152">
        <f>Calcs!BD613</f>
        <v>0</v>
      </c>
      <c r="AO86" s="152">
        <f>Calcs!BE613</f>
        <v>0</v>
      </c>
      <c r="AP86" s="152">
        <f>Calcs!BF613</f>
        <v>0</v>
      </c>
      <c r="AQ86" s="152">
        <f>SUM(AE86:AP86)</f>
        <v>0</v>
      </c>
      <c r="AR86" s="152">
        <f>Calcs!BG613</f>
        <v>0</v>
      </c>
      <c r="AS86" s="152">
        <f>Calcs!BH613</f>
        <v>0</v>
      </c>
      <c r="AT86" s="152">
        <f>Calcs!BI613</f>
        <v>0</v>
      </c>
      <c r="AU86" s="152">
        <f>Calcs!BJ613</f>
        <v>0</v>
      </c>
      <c r="AV86" s="152">
        <f>Calcs!BK613</f>
        <v>0</v>
      </c>
      <c r="AW86" s="152">
        <f>Calcs!BL613</f>
        <v>0</v>
      </c>
      <c r="AX86" s="152">
        <f>Calcs!BM613</f>
        <v>0</v>
      </c>
      <c r="AY86" s="152">
        <f>Calcs!BN613</f>
        <v>0</v>
      </c>
      <c r="AZ86" s="152">
        <f>Calcs!BO613</f>
        <v>0</v>
      </c>
      <c r="BA86" s="152">
        <f>Calcs!BP613</f>
        <v>0</v>
      </c>
      <c r="BB86" s="152">
        <f>Calcs!BQ613</f>
        <v>0</v>
      </c>
      <c r="BC86" s="152">
        <f>Calcs!BR613</f>
        <v>0</v>
      </c>
      <c r="BD86" s="152">
        <f>SUM(AR86:BC86)</f>
        <v>0</v>
      </c>
      <c r="BE86" s="152">
        <f>Calcs!BS613</f>
        <v>0</v>
      </c>
      <c r="BF86" s="152">
        <f>Calcs!BT613</f>
        <v>0</v>
      </c>
      <c r="BG86" s="152">
        <f>Calcs!BU613</f>
        <v>0</v>
      </c>
      <c r="BH86" s="152">
        <f>Calcs!BV613</f>
        <v>0</v>
      </c>
      <c r="BI86" s="152">
        <f>Calcs!BW613</f>
        <v>0</v>
      </c>
      <c r="BJ86" s="152">
        <f>Calcs!BX613</f>
        <v>0</v>
      </c>
      <c r="BK86" s="152">
        <f>Calcs!BY613</f>
        <v>0</v>
      </c>
      <c r="BL86" s="152">
        <f>Calcs!BZ613</f>
        <v>0</v>
      </c>
      <c r="BM86" s="152">
        <f>Calcs!CA613</f>
        <v>0</v>
      </c>
      <c r="BN86" s="152">
        <f>Calcs!CB613</f>
        <v>0</v>
      </c>
      <c r="BO86" s="152">
        <f>Calcs!CC613</f>
        <v>0</v>
      </c>
      <c r="BP86" s="152">
        <f>Calcs!CD613</f>
        <v>0</v>
      </c>
      <c r="BQ86" s="152">
        <f>SUM(BE86:BP86)</f>
        <v>0</v>
      </c>
      <c r="BR86" s="1567"/>
      <c r="BS86" s="153">
        <f>SUM(BQ86,BD86,AQ86,AD86,Q86)</f>
        <v>0</v>
      </c>
      <c r="BT86" s="1567"/>
      <c r="BU86" s="171">
        <f>SUM(BQ86,BD86,AQ86,AD86,Q86)</f>
      </c>
      <c r="BV86" s="170"/>
      <c r="BW86" s="96"/>
      <c r="BX86" s="96"/>
      <c r="BY86" s="96"/>
      <c r="BZ86" s="96"/>
      <c r="CA86" s="152"/>
      <c r="CB86" s="152"/>
      <c r="CC86" s="152"/>
      <c r="CD86" s="152"/>
      <c r="CE86" s="152"/>
      <c r="CF86" s="152"/>
      <c r="CG86" s="152"/>
      <c r="CH86" s="152"/>
      <c r="CI86" s="152"/>
      <c r="CJ86" s="152"/>
      <c r="CK86" s="152"/>
      <c r="CL86" s="152"/>
      <c r="CM86" s="152"/>
      <c r="CN86" s="152"/>
      <c r="CO86" s="152"/>
      <c r="CP86" s="152"/>
      <c r="CW86" s="179"/>
      <c r="CX86" s="179"/>
      <c r="CY86" s="305"/>
      <c r="CZ86" s="305"/>
      <c r="DA86" s="305"/>
      <c r="DB86" s="305"/>
      <c r="DC86" s="305"/>
      <c r="DD86" s="305"/>
      <c r="DE86" s="305"/>
      <c r="DF86" s="305"/>
      <c r="DG86" s="305"/>
      <c r="DH86" s="305"/>
      <c r="DI86" s="305"/>
      <c r="DJ86" s="305"/>
      <c r="DK86" s="305"/>
      <c r="DL86" s="305"/>
      <c r="DM86" s="305"/>
      <c r="DN86" s="305"/>
      <c r="DO86" s="305"/>
      <c r="DP86" s="305"/>
      <c r="DQ86" s="305"/>
      <c r="DR86" s="305"/>
      <c r="DS86" s="305"/>
      <c r="DT86" s="305"/>
      <c r="DU86" s="305"/>
      <c r="DV86" s="305"/>
      <c r="DW86" s="305"/>
      <c r="DX86" s="305"/>
      <c r="DY86" s="305"/>
      <c r="DZ86" s="305"/>
      <c r="EA86" s="305"/>
      <c r="EB86" s="305"/>
      <c r="EC86" s="305"/>
      <c r="ED86" s="305"/>
      <c r="EE86" s="305"/>
      <c r="EF86" s="305"/>
      <c r="EG86" s="305"/>
      <c r="EH86" s="305"/>
      <c r="EI86" s="305"/>
      <c r="EJ86" s="305"/>
      <c r="EK86" s="305"/>
      <c r="EL86" s="305"/>
      <c r="EM86" s="305"/>
      <c r="EN86" s="305"/>
      <c r="EO86" s="305"/>
      <c r="EP86" s="305"/>
      <c r="EQ86" s="305"/>
      <c r="ER86" s="305"/>
      <c r="ES86" s="305"/>
      <c r="ET86" s="305"/>
      <c r="EU86" s="305"/>
      <c r="EV86" s="305"/>
      <c r="EW86" s="305"/>
      <c r="EX86" s="305"/>
      <c r="EY86" s="305"/>
      <c r="EZ86" s="305"/>
      <c r="FA86" s="305"/>
      <c r="FB86" s="305"/>
      <c r="FC86" s="305"/>
      <c r="FD86" s="305"/>
      <c r="FE86" s="305"/>
      <c r="FF86" s="305"/>
      <c r="FG86" s="305"/>
      <c r="FH86" s="305"/>
      <c r="FI86" s="305"/>
      <c r="FJ86" s="305"/>
    </row>
    <row r="87" spans="1:166" ht="12.75" customHeight="1" x14ac:dyDescent="0.35">
      <c r="A87" s="136"/>
      <c r="B87" s="169"/>
      <c r="C87" s="169"/>
      <c r="D87" s="172" t="str">
        <f>IF(Calcs!CE421=0,"TBD",Calcs!CE421)</f>
        <v>TBD</v>
      </c>
      <c r="E87" s="152">
        <f>Calcs!CF421</f>
        <v>0</v>
      </c>
      <c r="F87" s="152">
        <f>Calcs!CG421</f>
        <v>0</v>
      </c>
      <c r="G87" s="152">
        <f>Calcs!CH421</f>
        <v>0</v>
      </c>
      <c r="H87" s="152">
        <f>Calcs!CI421</f>
        <v>0</v>
      </c>
      <c r="I87" s="152">
        <f>Calcs!CJ421</f>
        <v>0</v>
      </c>
      <c r="J87" s="152">
        <f>Calcs!CK421</f>
        <v>0</v>
      </c>
      <c r="K87" s="152">
        <f>Calcs!CL421</f>
        <v>0</v>
      </c>
      <c r="L87" s="152">
        <f>Calcs!CM421</f>
        <v>0</v>
      </c>
      <c r="M87" s="152">
        <f>Calcs!CN421</f>
        <v>0</v>
      </c>
      <c r="N87" s="152">
        <f>Calcs!CO421</f>
        <v>0</v>
      </c>
      <c r="O87" s="152">
        <f>Calcs!CP421</f>
        <v>0</v>
      </c>
      <c r="P87" s="152">
        <f>Calcs!CQ421</f>
        <v>0</v>
      </c>
      <c r="Q87" s="151">
        <f>SUM(E87:P87)</f>
        <v>0</v>
      </c>
      <c r="R87" s="152">
        <f>Calcs!CR421</f>
        <v>0</v>
      </c>
      <c r="S87" s="152">
        <f>Calcs!CS421</f>
        <v>0</v>
      </c>
      <c r="T87" s="152">
        <f>Calcs!CT421</f>
        <v>0</v>
      </c>
      <c r="U87" s="152">
        <f>Calcs!CU421</f>
        <v>0</v>
      </c>
      <c r="V87" s="152">
        <f>Calcs!CV421</f>
        <v>0</v>
      </c>
      <c r="W87" s="152">
        <f>Calcs!CW421</f>
        <v>0</v>
      </c>
      <c r="X87" s="152">
        <f>Calcs!CX421</f>
        <v>0</v>
      </c>
      <c r="Y87" s="152">
        <f>Calcs!CY421</f>
        <v>0</v>
      </c>
      <c r="Z87" s="152">
        <f>Calcs!CZ421</f>
        <v>0</v>
      </c>
      <c r="AA87" s="152">
        <f>Calcs!DA421</f>
        <v>0</v>
      </c>
      <c r="AB87" s="152">
        <f>Calcs!DB421</f>
        <v>0</v>
      </c>
      <c r="AC87" s="152">
        <f>Calcs!DC421</f>
        <v>0</v>
      </c>
      <c r="AD87" s="152">
        <f>SUM(R87:AC87)</f>
        <v>0</v>
      </c>
      <c r="AE87" s="152">
        <f>Calcs!DD421</f>
        <v>0</v>
      </c>
      <c r="AF87" s="152">
        <f>Calcs!DE421</f>
        <v>0</v>
      </c>
      <c r="AG87" s="152">
        <f>Calcs!DF421</f>
        <v>0</v>
      </c>
      <c r="AH87" s="152">
        <f>Calcs!DG421</f>
        <v>0</v>
      </c>
      <c r="AI87" s="152">
        <f>Calcs!DH421</f>
        <v>0</v>
      </c>
      <c r="AJ87" s="152">
        <f>Calcs!DI421</f>
        <v>0</v>
      </c>
      <c r="AK87" s="152">
        <f>Calcs!DJ421</f>
        <v>0</v>
      </c>
      <c r="AL87" s="152">
        <f>Calcs!DK421</f>
        <v>0</v>
      </c>
      <c r="AM87" s="152">
        <f>Calcs!DL421</f>
        <v>0</v>
      </c>
      <c r="AN87" s="152">
        <f>Calcs!DM421</f>
        <v>0</v>
      </c>
      <c r="AO87" s="152">
        <f>Calcs!DN421</f>
        <v>0</v>
      </c>
      <c r="AP87" s="152">
        <f>Calcs!DO421</f>
        <v>0</v>
      </c>
      <c r="AQ87" s="152">
        <f>SUM(AE87:AP87)</f>
        <v>0</v>
      </c>
      <c r="AR87" s="152">
        <f>Calcs!DP421</f>
        <v>0</v>
      </c>
      <c r="AS87" s="152">
        <f>Calcs!DQ421</f>
        <v>0</v>
      </c>
      <c r="AT87" s="152">
        <f>Calcs!DR421</f>
        <v>0</v>
      </c>
      <c r="AU87" s="152">
        <f>Calcs!DS421</f>
        <v>0</v>
      </c>
      <c r="AV87" s="152">
        <f>Calcs!DT421</f>
        <v>0</v>
      </c>
      <c r="AW87" s="152">
        <f>Calcs!DU421</f>
        <v>0</v>
      </c>
      <c r="AX87" s="152">
        <f>Calcs!DV421</f>
        <v>0</v>
      </c>
      <c r="AY87" s="152">
        <f>Calcs!DW421</f>
        <v>0</v>
      </c>
      <c r="AZ87" s="152">
        <f>Calcs!DX421</f>
        <v>0</v>
      </c>
      <c r="BA87" s="152">
        <f>Calcs!DY421</f>
        <v>0</v>
      </c>
      <c r="BB87" s="152">
        <f>Calcs!DZ421</f>
        <v>0</v>
      </c>
      <c r="BC87" s="152">
        <f>Calcs!EA421</f>
        <v>0</v>
      </c>
      <c r="BD87" s="152">
        <f>SUM(AR87:BC87)</f>
        <v>0</v>
      </c>
      <c r="BE87" s="152">
        <f>Calcs!EB421</f>
        <v>0</v>
      </c>
      <c r="BF87" s="152">
        <f>Calcs!EC421</f>
        <v>0</v>
      </c>
      <c r="BG87" s="152">
        <f>Calcs!ED421</f>
        <v>0</v>
      </c>
      <c r="BH87" s="152">
        <f>Calcs!EE421</f>
        <v>0</v>
      </c>
      <c r="BI87" s="152">
        <f>Calcs!EF421</f>
        <v>0</v>
      </c>
      <c r="BJ87" s="152">
        <f>Calcs!EG421</f>
        <v>0</v>
      </c>
      <c r="BK87" s="152">
        <f>Calcs!EH421</f>
        <v>0</v>
      </c>
      <c r="BL87" s="152">
        <f>Calcs!EI421</f>
        <v>0</v>
      </c>
      <c r="BM87" s="152">
        <f>Calcs!EJ421</f>
        <v>0</v>
      </c>
      <c r="BN87" s="152">
        <f>Calcs!EK421</f>
        <v>0</v>
      </c>
      <c r="BO87" s="152">
        <f>Calcs!EL421</f>
        <v>0</v>
      </c>
      <c r="BP87" s="152">
        <f>Calcs!EM421</f>
        <v>0</v>
      </c>
      <c r="BQ87" s="152">
        <f>SUM(BE87:BP87)</f>
        <v>0</v>
      </c>
      <c r="BR87" s="1567"/>
      <c r="BS87" s="153">
        <f>SUM(BQ87,BD87,AQ87,AD87,Q87)</f>
        <v>0</v>
      </c>
      <c r="BT87" s="1567"/>
      <c r="BU87" s="171">
        <f>SUM(BQ87,BD87,AQ87,AD87,Q87)</f>
      </c>
      <c r="BV87" s="170">
        <f>Calcs!CE421</f>
        <v>0</v>
      </c>
      <c r="BW87" s="96">
        <f>SUM(Financials!E87:'Financials'!G87)</f>
        <v>0</v>
      </c>
      <c r="BX87" s="96">
        <f>SUM(Financials!H87:'Financials'!J87)</f>
        <v>0</v>
      </c>
      <c r="BY87" s="96">
        <f>SUM(Financials!K87:'Financials'!M87)</f>
        <v>0</v>
      </c>
      <c r="BZ87" s="96">
        <f>SUM(Financials!N87:'Financials'!P87)</f>
        <v>0</v>
      </c>
      <c r="CA87" s="152">
        <f>SUM(Financials!R87:'Financials'!T87)</f>
        <v>0</v>
      </c>
      <c r="CB87" s="152">
        <f>SUM(Financials!U87:'Financials'!W87)</f>
        <v>0</v>
      </c>
      <c r="CC87" s="152">
        <f>SUM(Financials!X87:'Financials'!Z87)</f>
        <v>0</v>
      </c>
      <c r="CD87" s="152">
        <f>SUM(Financials!AA87:'Financials'!AC87)</f>
        <v>0</v>
      </c>
      <c r="CE87" s="152">
        <f>SUM(Financials!AE87:'Financials'!AG87)</f>
        <v>0</v>
      </c>
      <c r="CF87" s="152">
        <f>SUM(Financials!AH87:'Financials'!AJ87)</f>
        <v>0</v>
      </c>
      <c r="CG87" s="152">
        <f>SUM(Financials!AK87:'Financials'!AM87)</f>
        <v>0</v>
      </c>
      <c r="CH87" s="152">
        <f>SUM(Financials!AN87:'Financials'!AP87)</f>
        <v>0</v>
      </c>
      <c r="CI87" s="152">
        <f>SUM(Financials!AR87:'Financials'!AT87)</f>
        <v>0</v>
      </c>
      <c r="CJ87" s="152">
        <f>SUM(Financials!AU87:'Financials'!AW87)</f>
        <v>0</v>
      </c>
      <c r="CK87" s="152">
        <f>SUM(Financials!AX87:'Financials'!AZ87)</f>
        <v>0</v>
      </c>
      <c r="CL87" s="152">
        <f>SUM(Financials!BA87:'Financials'!BC87)</f>
        <v>0</v>
      </c>
      <c r="CM87" s="152">
        <f>SUM(Financials!BE87:'Financials'!BG87)</f>
        <v>0</v>
      </c>
      <c r="CN87" s="152">
        <f>SUM(Financials!BH87:'Financials'!BJ87)</f>
        <v>0</v>
      </c>
      <c r="CO87" s="152">
        <f>SUM(Financials!BK87:'Financials'!BM87)</f>
        <v>0</v>
      </c>
      <c r="CP87" s="152">
        <f>SUM(Financials!BN87:'Financials'!BP87)</f>
        <v>0</v>
      </c>
      <c r="CW87" s="179"/>
      <c r="CX87" s="179"/>
      <c r="CY87" s="305"/>
      <c r="CZ87" s="305"/>
      <c r="DA87" s="305"/>
      <c r="DB87" s="305"/>
      <c r="DC87" s="305"/>
      <c r="DD87" s="305"/>
      <c r="DE87" s="305"/>
      <c r="DF87" s="305"/>
      <c r="DG87" s="305"/>
      <c r="DH87" s="305"/>
      <c r="DI87" s="305"/>
      <c r="DJ87" s="305"/>
      <c r="DK87" s="305"/>
      <c r="DL87" s="305"/>
      <c r="DM87" s="305"/>
      <c r="DN87" s="305"/>
      <c r="DO87" s="305"/>
      <c r="DP87" s="305"/>
      <c r="DQ87" s="305"/>
      <c r="DR87" s="305"/>
      <c r="DS87" s="305"/>
      <c r="DT87" s="305"/>
      <c r="DU87" s="305"/>
      <c r="DV87" s="305"/>
      <c r="DW87" s="305"/>
      <c r="DX87" s="305"/>
      <c r="DY87" s="305"/>
      <c r="DZ87" s="305"/>
      <c r="EA87" s="305"/>
      <c r="EB87" s="305"/>
      <c r="EC87" s="305"/>
      <c r="ED87" s="305"/>
      <c r="EE87" s="305"/>
      <c r="EF87" s="305"/>
      <c r="EG87" s="305"/>
      <c r="EH87" s="305"/>
      <c r="EI87" s="305"/>
      <c r="EJ87" s="305"/>
      <c r="EK87" s="305"/>
      <c r="EL87" s="305"/>
      <c r="EM87" s="305"/>
      <c r="EN87" s="305"/>
      <c r="EO87" s="305"/>
      <c r="EP87" s="305"/>
      <c r="EQ87" s="305"/>
      <c r="ER87" s="305"/>
      <c r="ES87" s="305"/>
      <c r="ET87" s="305"/>
      <c r="EU87" s="305"/>
      <c r="EV87" s="305"/>
      <c r="EW87" s="305"/>
      <c r="EX87" s="305"/>
      <c r="EY87" s="305"/>
      <c r="EZ87" s="305"/>
      <c r="FA87" s="305"/>
      <c r="FB87" s="305"/>
      <c r="FC87" s="305"/>
      <c r="FD87" s="305"/>
      <c r="FE87" s="305"/>
      <c r="FF87" s="305"/>
      <c r="FG87" s="305"/>
      <c r="FH87" s="305"/>
      <c r="FI87" s="305"/>
      <c r="FJ87" s="305"/>
    </row>
    <row r="88" spans="1:166" ht="12.75" customHeight="1" x14ac:dyDescent="0.35">
      <c r="A88" s="136"/>
      <c r="B88" s="136"/>
      <c r="C88" s="136"/>
      <c r="D88" s="172" t="str">
        <f>IF(Calcs!CE422=0,"TBD",Calcs!CE422)</f>
        <v>TBD</v>
      </c>
      <c r="E88" s="152">
        <f>Calcs!CF422</f>
        <v>0</v>
      </c>
      <c r="F88" s="152">
        <f>Calcs!CG422</f>
        <v>0</v>
      </c>
      <c r="G88" s="152">
        <f>Calcs!CH422</f>
        <v>0</v>
      </c>
      <c r="H88" s="152">
        <f>Calcs!CI422</f>
        <v>0</v>
      </c>
      <c r="I88" s="152">
        <f>Calcs!CJ422</f>
        <v>0</v>
      </c>
      <c r="J88" s="152">
        <f>Calcs!CK422</f>
        <v>0</v>
      </c>
      <c r="K88" s="152">
        <f>Calcs!CL422</f>
        <v>0</v>
      </c>
      <c r="L88" s="152">
        <f>Calcs!CM422</f>
        <v>0</v>
      </c>
      <c r="M88" s="152">
        <f>Calcs!CN422</f>
        <v>0</v>
      </c>
      <c r="N88" s="152">
        <f>Calcs!CO422</f>
        <v>0</v>
      </c>
      <c r="O88" s="152">
        <f>Calcs!CP422</f>
        <v>0</v>
      </c>
      <c r="P88" s="152">
        <f>Calcs!CQ422</f>
        <v>0</v>
      </c>
      <c r="Q88" s="151">
        <f>SUM(E88:P88)</f>
        <v>0</v>
      </c>
      <c r="R88" s="152">
        <f>Calcs!CR422</f>
        <v>0</v>
      </c>
      <c r="S88" s="152">
        <f>Calcs!CS422</f>
        <v>0</v>
      </c>
      <c r="T88" s="152">
        <f>Calcs!CT422</f>
        <v>0</v>
      </c>
      <c r="U88" s="152">
        <f>Calcs!CU422</f>
        <v>0</v>
      </c>
      <c r="V88" s="152">
        <f>Calcs!CV422</f>
        <v>0</v>
      </c>
      <c r="W88" s="152">
        <f>Calcs!CW422</f>
        <v>0</v>
      </c>
      <c r="X88" s="152">
        <f>Calcs!CX422</f>
        <v>0</v>
      </c>
      <c r="Y88" s="152">
        <f>Calcs!CY422</f>
        <v>0</v>
      </c>
      <c r="Z88" s="152">
        <f>Calcs!CZ422</f>
        <v>0</v>
      </c>
      <c r="AA88" s="152">
        <f>Calcs!DA422</f>
        <v>0</v>
      </c>
      <c r="AB88" s="152">
        <f>Calcs!DB422</f>
        <v>0</v>
      </c>
      <c r="AC88" s="152">
        <f>Calcs!DC422</f>
        <v>0</v>
      </c>
      <c r="AD88" s="152">
        <f>SUM(R88:AC88)</f>
        <v>0</v>
      </c>
      <c r="AE88" s="152">
        <f>Calcs!DD422</f>
        <v>0</v>
      </c>
      <c r="AF88" s="152">
        <f>Calcs!DE422</f>
        <v>0</v>
      </c>
      <c r="AG88" s="152">
        <f>Calcs!DF422</f>
        <v>0</v>
      </c>
      <c r="AH88" s="152">
        <f>Calcs!DG422</f>
        <v>0</v>
      </c>
      <c r="AI88" s="152">
        <f>Calcs!DH422</f>
        <v>0</v>
      </c>
      <c r="AJ88" s="152">
        <f>Calcs!DI422</f>
        <v>0</v>
      </c>
      <c r="AK88" s="152">
        <f>Calcs!DJ422</f>
        <v>0</v>
      </c>
      <c r="AL88" s="152">
        <f>Calcs!DK422</f>
        <v>0</v>
      </c>
      <c r="AM88" s="152">
        <f>Calcs!DL422</f>
        <v>0</v>
      </c>
      <c r="AN88" s="152">
        <f>Calcs!DM422</f>
        <v>0</v>
      </c>
      <c r="AO88" s="152">
        <f>Calcs!DN422</f>
        <v>0</v>
      </c>
      <c r="AP88" s="152">
        <f>Calcs!DO422</f>
        <v>0</v>
      </c>
      <c r="AQ88" s="152">
        <f>SUM(AE88:AP88)</f>
        <v>0</v>
      </c>
      <c r="AR88" s="152">
        <f>Calcs!DP422</f>
        <v>0</v>
      </c>
      <c r="AS88" s="152">
        <f>Calcs!DQ422</f>
        <v>0</v>
      </c>
      <c r="AT88" s="152">
        <f>Calcs!DR422</f>
        <v>0</v>
      </c>
      <c r="AU88" s="152">
        <f>Calcs!DS422</f>
        <v>0</v>
      </c>
      <c r="AV88" s="152">
        <f>Calcs!DT422</f>
        <v>0</v>
      </c>
      <c r="AW88" s="152">
        <f>Calcs!DU422</f>
        <v>0</v>
      </c>
      <c r="AX88" s="152">
        <f>Calcs!DV422</f>
        <v>0</v>
      </c>
      <c r="AY88" s="152">
        <f>Calcs!DW422</f>
        <v>0</v>
      </c>
      <c r="AZ88" s="152">
        <f>Calcs!DX422</f>
        <v>0</v>
      </c>
      <c r="BA88" s="152">
        <f>Calcs!DY422</f>
        <v>0</v>
      </c>
      <c r="BB88" s="152">
        <f>Calcs!DZ422</f>
        <v>0</v>
      </c>
      <c r="BC88" s="152">
        <f>Calcs!EA422</f>
        <v>0</v>
      </c>
      <c r="BD88" s="152">
        <f>SUM(AR88:BC88)</f>
        <v>0</v>
      </c>
      <c r="BE88" s="152">
        <f>Calcs!EB422</f>
        <v>0</v>
      </c>
      <c r="BF88" s="152">
        <f>Calcs!EC422</f>
        <v>0</v>
      </c>
      <c r="BG88" s="152">
        <f>Calcs!ED422</f>
        <v>0</v>
      </c>
      <c r="BH88" s="152">
        <f>Calcs!EE422</f>
        <v>0</v>
      </c>
      <c r="BI88" s="152">
        <f>Calcs!EF422</f>
        <v>0</v>
      </c>
      <c r="BJ88" s="152">
        <f>Calcs!EG422</f>
        <v>0</v>
      </c>
      <c r="BK88" s="152">
        <f>Calcs!EH422</f>
        <v>0</v>
      </c>
      <c r="BL88" s="152">
        <f>Calcs!EI422</f>
        <v>0</v>
      </c>
      <c r="BM88" s="152">
        <f>Calcs!EJ422</f>
        <v>0</v>
      </c>
      <c r="BN88" s="152">
        <f>Calcs!EK422</f>
        <v>0</v>
      </c>
      <c r="BO88" s="152">
        <f>Calcs!EL422</f>
        <v>0</v>
      </c>
      <c r="BP88" s="152">
        <f>Calcs!EM422</f>
        <v>0</v>
      </c>
      <c r="BQ88" s="152">
        <f>SUM(BE88:BP88)</f>
        <v>0</v>
      </c>
      <c r="BR88" s="1567"/>
      <c r="BS88" s="153">
        <f>SUM(BQ88,BD88,AQ88,AD88,Q88)</f>
        <v>0</v>
      </c>
      <c r="BT88" s="1567"/>
      <c r="BU88" s="171">
        <f>SUM(BQ88,BD88,AQ88,AD88,Q88)</f>
      </c>
      <c r="BV88" s="170">
        <f>Calcs!CE422</f>
        <v>0</v>
      </c>
      <c r="BW88" s="96">
        <f>SUM(Financials!E88:'Financials'!G88)</f>
        <v>0</v>
      </c>
      <c r="BX88" s="96">
        <f>SUM(Financials!H88:'Financials'!J88)</f>
        <v>0</v>
      </c>
      <c r="BY88" s="96">
        <f>SUM(Financials!K88:'Financials'!M88)</f>
        <v>0</v>
      </c>
      <c r="BZ88" s="96">
        <f>SUM(Financials!N88:'Financials'!P88)</f>
        <v>0</v>
      </c>
      <c r="CA88" s="152">
        <f>SUM(Financials!R88:'Financials'!T88)</f>
        <v>0</v>
      </c>
      <c r="CB88" s="152">
        <f>SUM(Financials!U88:'Financials'!W88)</f>
        <v>0</v>
      </c>
      <c r="CC88" s="152">
        <f>SUM(Financials!X88:'Financials'!Z88)</f>
        <v>0</v>
      </c>
      <c r="CD88" s="152">
        <f>SUM(Financials!AA88:'Financials'!AC88)</f>
        <v>0</v>
      </c>
      <c r="CE88" s="152">
        <f>SUM(Financials!AE88:'Financials'!AG88)</f>
        <v>0</v>
      </c>
      <c r="CF88" s="152">
        <f>SUM(Financials!AH88:'Financials'!AJ88)</f>
        <v>0</v>
      </c>
      <c r="CG88" s="152">
        <f>SUM(Financials!AK88:'Financials'!AM88)</f>
        <v>0</v>
      </c>
      <c r="CH88" s="152">
        <f>SUM(Financials!AN88:'Financials'!AP88)</f>
        <v>0</v>
      </c>
      <c r="CI88" s="152">
        <f>SUM(Financials!AR88:'Financials'!AT88)</f>
        <v>0</v>
      </c>
      <c r="CJ88" s="152">
        <f>SUM(Financials!AU88:'Financials'!AW88)</f>
        <v>0</v>
      </c>
      <c r="CK88" s="152">
        <f>SUM(Financials!AX88:'Financials'!AZ88)</f>
        <v>0</v>
      </c>
      <c r="CL88" s="152">
        <f>SUM(Financials!BA88:'Financials'!BC88)</f>
        <v>0</v>
      </c>
      <c r="CM88" s="152">
        <f>SUM(Financials!BE88:'Financials'!BG88)</f>
        <v>0</v>
      </c>
      <c r="CN88" s="152">
        <f>SUM(Financials!BH88:'Financials'!BJ88)</f>
        <v>0</v>
      </c>
      <c r="CO88" s="152">
        <f>SUM(Financials!BK88:'Financials'!BM88)</f>
        <v>0</v>
      </c>
      <c r="CP88" s="152">
        <f>SUM(Financials!BN88:'Financials'!BP88)</f>
        <v>0</v>
      </c>
      <c r="CW88" s="179"/>
      <c r="CX88" s="179"/>
      <c r="CY88" s="305"/>
      <c r="CZ88" s="305"/>
      <c r="DA88" s="305"/>
      <c r="DB88" s="305"/>
      <c r="DC88" s="305"/>
      <c r="DD88" s="305"/>
      <c r="DE88" s="305"/>
      <c r="DF88" s="305"/>
      <c r="DG88" s="305"/>
      <c r="DH88" s="305"/>
      <c r="DI88" s="305"/>
      <c r="DJ88" s="305"/>
      <c r="DK88" s="305"/>
      <c r="DL88" s="305"/>
      <c r="DM88" s="305"/>
      <c r="DN88" s="305"/>
      <c r="DO88" s="305"/>
      <c r="DP88" s="305"/>
      <c r="DQ88" s="305"/>
      <c r="DR88" s="305"/>
      <c r="DS88" s="305"/>
      <c r="DT88" s="305"/>
      <c r="DU88" s="305"/>
      <c r="DV88" s="305"/>
      <c r="DW88" s="305"/>
      <c r="DX88" s="305"/>
      <c r="DY88" s="305"/>
      <c r="DZ88" s="305"/>
      <c r="EA88" s="305"/>
      <c r="EB88" s="305"/>
      <c r="EC88" s="305"/>
      <c r="ED88" s="305"/>
      <c r="EE88" s="305"/>
      <c r="EF88" s="305"/>
      <c r="EG88" s="305"/>
      <c r="EH88" s="305"/>
      <c r="EI88" s="305"/>
      <c r="EJ88" s="305"/>
      <c r="EK88" s="305"/>
      <c r="EL88" s="305"/>
      <c r="EM88" s="305"/>
      <c r="EN88" s="305"/>
      <c r="EO88" s="305"/>
      <c r="EP88" s="305"/>
      <c r="EQ88" s="305"/>
      <c r="ER88" s="305"/>
      <c r="ES88" s="305"/>
      <c r="ET88" s="305"/>
      <c r="EU88" s="305"/>
      <c r="EV88" s="305"/>
      <c r="EW88" s="305"/>
      <c r="EX88" s="305"/>
      <c r="EY88" s="305"/>
      <c r="EZ88" s="305"/>
      <c r="FA88" s="305"/>
      <c r="FB88" s="305"/>
      <c r="FC88" s="305"/>
      <c r="FD88" s="305"/>
      <c r="FE88" s="305"/>
      <c r="FF88" s="305"/>
      <c r="FG88" s="305"/>
      <c r="FH88" s="305"/>
      <c r="FI88" s="305"/>
      <c r="FJ88" s="305"/>
    </row>
    <row r="89" spans="1:166" ht="12.75" customHeight="1" x14ac:dyDescent="0.35">
      <c r="A89" s="136"/>
      <c r="B89" s="136"/>
      <c r="C89" s="136"/>
      <c r="D89" s="172" t="str">
        <f>IF(Calcs!CE423=0,"TBD",Calcs!CE423)</f>
        <v>TBD</v>
      </c>
      <c r="E89" s="152">
        <f>Calcs!CF423</f>
        <v>0</v>
      </c>
      <c r="F89" s="152">
        <f>Calcs!CG423</f>
        <v>0</v>
      </c>
      <c r="G89" s="152">
        <f>Calcs!CH423</f>
        <v>0</v>
      </c>
      <c r="H89" s="152">
        <f>Calcs!CI423</f>
        <v>0</v>
      </c>
      <c r="I89" s="152">
        <f>Calcs!CJ423</f>
        <v>0</v>
      </c>
      <c r="J89" s="152">
        <f>Calcs!CK423</f>
        <v>0</v>
      </c>
      <c r="K89" s="152">
        <f>Calcs!CL423</f>
        <v>0</v>
      </c>
      <c r="L89" s="152">
        <f>Calcs!CM423</f>
        <v>0</v>
      </c>
      <c r="M89" s="152">
        <f>Calcs!CN423</f>
        <v>0</v>
      </c>
      <c r="N89" s="152">
        <f>Calcs!CO423</f>
        <v>0</v>
      </c>
      <c r="O89" s="152">
        <f>Calcs!CP423</f>
        <v>0</v>
      </c>
      <c r="P89" s="152">
        <f>Calcs!CQ423</f>
        <v>0</v>
      </c>
      <c r="Q89" s="151">
        <f>SUM(E89:P89)</f>
        <v>0</v>
      </c>
      <c r="R89" s="152">
        <f>Calcs!CR423</f>
        <v>0</v>
      </c>
      <c r="S89" s="152">
        <f>Calcs!CS423</f>
        <v>0</v>
      </c>
      <c r="T89" s="152">
        <f>Calcs!CT423</f>
        <v>0</v>
      </c>
      <c r="U89" s="152">
        <f>Calcs!CU423</f>
        <v>0</v>
      </c>
      <c r="V89" s="152">
        <f>Calcs!CV423</f>
        <v>0</v>
      </c>
      <c r="W89" s="152">
        <f>Calcs!CW423</f>
        <v>0</v>
      </c>
      <c r="X89" s="152">
        <f>Calcs!CX423</f>
        <v>0</v>
      </c>
      <c r="Y89" s="152">
        <f>Calcs!CY423</f>
        <v>0</v>
      </c>
      <c r="Z89" s="152">
        <f>Calcs!CZ423</f>
        <v>0</v>
      </c>
      <c r="AA89" s="152">
        <f>Calcs!DA423</f>
        <v>0</v>
      </c>
      <c r="AB89" s="152">
        <f>Calcs!DB423</f>
        <v>0</v>
      </c>
      <c r="AC89" s="152">
        <f>Calcs!DC423</f>
        <v>0</v>
      </c>
      <c r="AD89" s="152">
        <f>SUM(R89:AC89)</f>
        <v>0</v>
      </c>
      <c r="AE89" s="152">
        <f>Calcs!DD423</f>
        <v>0</v>
      </c>
      <c r="AF89" s="152">
        <f>Calcs!DE423</f>
        <v>0</v>
      </c>
      <c r="AG89" s="152">
        <f>Calcs!DF423</f>
        <v>0</v>
      </c>
      <c r="AH89" s="152">
        <f>Calcs!DG423</f>
        <v>0</v>
      </c>
      <c r="AI89" s="152">
        <f>Calcs!DH423</f>
        <v>0</v>
      </c>
      <c r="AJ89" s="152">
        <f>Calcs!DI423</f>
        <v>0</v>
      </c>
      <c r="AK89" s="152">
        <f>Calcs!DJ423</f>
        <v>0</v>
      </c>
      <c r="AL89" s="152">
        <f>Calcs!DK423</f>
        <v>0</v>
      </c>
      <c r="AM89" s="152">
        <f>Calcs!DL423</f>
        <v>0</v>
      </c>
      <c r="AN89" s="152">
        <f>Calcs!DM423</f>
        <v>0</v>
      </c>
      <c r="AO89" s="152">
        <f>Calcs!DN423</f>
        <v>0</v>
      </c>
      <c r="AP89" s="152">
        <f>Calcs!DO423</f>
        <v>0</v>
      </c>
      <c r="AQ89" s="152">
        <f>SUM(AE89:AP89)</f>
        <v>0</v>
      </c>
      <c r="AR89" s="152">
        <f>Calcs!DP423</f>
        <v>0</v>
      </c>
      <c r="AS89" s="152">
        <f>Calcs!DQ423</f>
        <v>0</v>
      </c>
      <c r="AT89" s="152">
        <f>Calcs!DR423</f>
        <v>0</v>
      </c>
      <c r="AU89" s="152">
        <f>Calcs!DS423</f>
        <v>0</v>
      </c>
      <c r="AV89" s="152">
        <f>Calcs!DT423</f>
        <v>0</v>
      </c>
      <c r="AW89" s="152">
        <f>Calcs!DU423</f>
        <v>0</v>
      </c>
      <c r="AX89" s="152">
        <f>Calcs!DV423</f>
        <v>0</v>
      </c>
      <c r="AY89" s="152">
        <f>Calcs!DW423</f>
        <v>0</v>
      </c>
      <c r="AZ89" s="152">
        <f>Calcs!DX423</f>
        <v>0</v>
      </c>
      <c r="BA89" s="152">
        <f>Calcs!DY423</f>
        <v>0</v>
      </c>
      <c r="BB89" s="152">
        <f>Calcs!DZ423</f>
        <v>0</v>
      </c>
      <c r="BC89" s="152">
        <f>Calcs!EA423</f>
        <v>0</v>
      </c>
      <c r="BD89" s="152">
        <f>SUM(AR89:BC89)</f>
        <v>0</v>
      </c>
      <c r="BE89" s="152">
        <f>Calcs!EB423</f>
        <v>0</v>
      </c>
      <c r="BF89" s="152">
        <f>Calcs!EC423</f>
        <v>0</v>
      </c>
      <c r="BG89" s="152">
        <f>Calcs!ED423</f>
        <v>0</v>
      </c>
      <c r="BH89" s="152">
        <f>Calcs!EE423</f>
        <v>0</v>
      </c>
      <c r="BI89" s="152">
        <f>Calcs!EF423</f>
        <v>0</v>
      </c>
      <c r="BJ89" s="152">
        <f>Calcs!EG423</f>
        <v>0</v>
      </c>
      <c r="BK89" s="152">
        <f>Calcs!EH423</f>
        <v>0</v>
      </c>
      <c r="BL89" s="152">
        <f>Calcs!EI423</f>
        <v>0</v>
      </c>
      <c r="BM89" s="152">
        <f>Calcs!EJ423</f>
        <v>0</v>
      </c>
      <c r="BN89" s="152">
        <f>Calcs!EK423</f>
        <v>0</v>
      </c>
      <c r="BO89" s="152">
        <f>Calcs!EL423</f>
        <v>0</v>
      </c>
      <c r="BP89" s="152">
        <f>Calcs!EM423</f>
        <v>0</v>
      </c>
      <c r="BQ89" s="152">
        <f>SUM(BE89:BP89)</f>
        <v>0</v>
      </c>
      <c r="BR89" s="1567"/>
      <c r="BS89" s="153">
        <f>SUM(BQ89,BD89,AQ89,AD89,Q89)</f>
        <v>0</v>
      </c>
      <c r="BT89" s="1567"/>
      <c r="BU89" s="171">
        <f>SUM(BQ89,BD89,AQ89,AD89,Q89)</f>
      </c>
      <c r="BV89" s="170">
        <f>Calcs!CE423</f>
        <v>0</v>
      </c>
      <c r="BW89" s="96">
        <f>SUM(Financials!E89:'Financials'!G89)</f>
        <v>0</v>
      </c>
      <c r="BX89" s="96">
        <f>SUM(Financials!H89:'Financials'!J89)</f>
        <v>0</v>
      </c>
      <c r="BY89" s="96">
        <f>SUM(Financials!K89:'Financials'!M89)</f>
        <v>0</v>
      </c>
      <c r="BZ89" s="96">
        <f>SUM(Financials!N89:'Financials'!P89)</f>
        <v>0</v>
      </c>
      <c r="CA89" s="152">
        <f>SUM(Financials!R89:'Financials'!T89)</f>
        <v>0</v>
      </c>
      <c r="CB89" s="152">
        <f>SUM(Financials!U89:'Financials'!W89)</f>
        <v>0</v>
      </c>
      <c r="CC89" s="152">
        <f>SUM(Financials!X89:'Financials'!Z89)</f>
        <v>0</v>
      </c>
      <c r="CD89" s="152">
        <f>SUM(Financials!AA89:'Financials'!AC89)</f>
        <v>0</v>
      </c>
      <c r="CE89" s="152">
        <f>SUM(Financials!AE89:'Financials'!AG89)</f>
        <v>0</v>
      </c>
      <c r="CF89" s="152">
        <f>SUM(Financials!AH89:'Financials'!AJ89)</f>
        <v>0</v>
      </c>
      <c r="CG89" s="152">
        <f>SUM(Financials!AK89:'Financials'!AM89)</f>
        <v>0</v>
      </c>
      <c r="CH89" s="152">
        <f>SUM(Financials!AN89:'Financials'!AP89)</f>
        <v>0</v>
      </c>
      <c r="CI89" s="152">
        <f>SUM(Financials!AR89:'Financials'!AT89)</f>
        <v>0</v>
      </c>
      <c r="CJ89" s="152">
        <f>SUM(Financials!AU89:'Financials'!AW89)</f>
        <v>0</v>
      </c>
      <c r="CK89" s="152">
        <f>SUM(Financials!AX89:'Financials'!AZ89)</f>
        <v>0</v>
      </c>
      <c r="CL89" s="152">
        <f>SUM(Financials!BA89:'Financials'!BC89)</f>
        <v>0</v>
      </c>
      <c r="CM89" s="152">
        <f>SUM(Financials!BE89:'Financials'!BG89)</f>
        <v>0</v>
      </c>
      <c r="CN89" s="152">
        <f>SUM(Financials!BH89:'Financials'!BJ89)</f>
        <v>0</v>
      </c>
      <c r="CO89" s="152">
        <f>SUM(Financials!BK89:'Financials'!BM89)</f>
        <v>0</v>
      </c>
      <c r="CP89" s="152">
        <f>SUM(Financials!BN89:'Financials'!BP89)</f>
        <v>0</v>
      </c>
      <c r="CW89" s="179"/>
      <c r="CX89" s="179"/>
      <c r="CY89" s="305"/>
      <c r="CZ89" s="305"/>
      <c r="DA89" s="305"/>
      <c r="DB89" s="305"/>
      <c r="DC89" s="305"/>
      <c r="DD89" s="305"/>
      <c r="DE89" s="305"/>
      <c r="DF89" s="305"/>
      <c r="DG89" s="305"/>
      <c r="DH89" s="305"/>
      <c r="DI89" s="305"/>
      <c r="DJ89" s="305"/>
      <c r="DK89" s="305"/>
      <c r="DL89" s="305"/>
      <c r="DM89" s="305"/>
      <c r="DN89" s="305"/>
      <c r="DO89" s="305"/>
      <c r="DP89" s="305"/>
      <c r="DQ89" s="305"/>
      <c r="DR89" s="305"/>
      <c r="DS89" s="305"/>
      <c r="DT89" s="305"/>
      <c r="DU89" s="305"/>
      <c r="DV89" s="305"/>
      <c r="DW89" s="305"/>
      <c r="DX89" s="305"/>
      <c r="DY89" s="305"/>
      <c r="DZ89" s="305"/>
      <c r="EA89" s="305"/>
      <c r="EB89" s="305"/>
      <c r="EC89" s="305"/>
      <c r="ED89" s="305"/>
      <c r="EE89" s="305"/>
      <c r="EF89" s="305"/>
      <c r="EG89" s="305"/>
      <c r="EH89" s="305"/>
      <c r="EI89" s="305"/>
      <c r="EJ89" s="305"/>
      <c r="EK89" s="305"/>
      <c r="EL89" s="305"/>
      <c r="EM89" s="305"/>
      <c r="EN89" s="305"/>
      <c r="EO89" s="305"/>
      <c r="EP89" s="305"/>
      <c r="EQ89" s="305"/>
      <c r="ER89" s="305"/>
      <c r="ES89" s="305"/>
      <c r="ET89" s="305"/>
      <c r="EU89" s="305"/>
      <c r="EV89" s="305"/>
      <c r="EW89" s="305"/>
      <c r="EX89" s="305"/>
      <c r="EY89" s="305"/>
      <c r="EZ89" s="305"/>
      <c r="FA89" s="305"/>
      <c r="FB89" s="305"/>
      <c r="FC89" s="305"/>
      <c r="FD89" s="305"/>
      <c r="FE89" s="305"/>
      <c r="FF89" s="305"/>
      <c r="FG89" s="305"/>
      <c r="FH89" s="305"/>
      <c r="FI89" s="305"/>
      <c r="FJ89" s="305"/>
    </row>
    <row r="90" spans="1:166" ht="12.75" customHeight="1" x14ac:dyDescent="0.35">
      <c r="A90" s="136"/>
      <c r="B90" s="136"/>
      <c r="C90" s="136"/>
      <c r="D90" s="172" t="str">
        <f>IF(Calcs!CE424=0,"TBD",Calcs!CE424)</f>
        <v>TBD</v>
      </c>
      <c r="E90" s="152">
        <f>Calcs!CF424</f>
        <v>0</v>
      </c>
      <c r="F90" s="152">
        <f>Calcs!CG424</f>
        <v>0</v>
      </c>
      <c r="G90" s="152">
        <f>Calcs!CH424</f>
        <v>0</v>
      </c>
      <c r="H90" s="152">
        <f>Calcs!CI424</f>
        <v>0</v>
      </c>
      <c r="I90" s="152">
        <f>Calcs!CJ424</f>
        <v>0</v>
      </c>
      <c r="J90" s="152">
        <f>Calcs!CK424</f>
        <v>0</v>
      </c>
      <c r="K90" s="152">
        <f>Calcs!CL424</f>
        <v>0</v>
      </c>
      <c r="L90" s="152">
        <f>Calcs!CM424</f>
        <v>0</v>
      </c>
      <c r="M90" s="152">
        <f>Calcs!CN424</f>
        <v>0</v>
      </c>
      <c r="N90" s="152">
        <f>Calcs!CO424</f>
        <v>0</v>
      </c>
      <c r="O90" s="152">
        <f>Calcs!CP424</f>
        <v>0</v>
      </c>
      <c r="P90" s="152">
        <f>Calcs!CQ424</f>
        <v>0</v>
      </c>
      <c r="Q90" s="151">
        <f>SUM(E90:P90)</f>
        <v>0</v>
      </c>
      <c r="R90" s="152">
        <f>Calcs!CR424</f>
        <v>0</v>
      </c>
      <c r="S90" s="152">
        <f>Calcs!CS424</f>
        <v>0</v>
      </c>
      <c r="T90" s="152">
        <f>Calcs!CT424</f>
        <v>0</v>
      </c>
      <c r="U90" s="152">
        <f>Calcs!CU424</f>
        <v>0</v>
      </c>
      <c r="V90" s="152">
        <f>Calcs!CV424</f>
        <v>0</v>
      </c>
      <c r="W90" s="152">
        <f>Calcs!CW424</f>
        <v>0</v>
      </c>
      <c r="X90" s="152">
        <f>Calcs!CX424</f>
        <v>0</v>
      </c>
      <c r="Y90" s="152">
        <f>Calcs!CY424</f>
        <v>0</v>
      </c>
      <c r="Z90" s="152">
        <f>Calcs!CZ424</f>
        <v>0</v>
      </c>
      <c r="AA90" s="152">
        <f>Calcs!DA424</f>
        <v>0</v>
      </c>
      <c r="AB90" s="152">
        <f>Calcs!DB424</f>
        <v>0</v>
      </c>
      <c r="AC90" s="152">
        <f>Calcs!DC424</f>
        <v>0</v>
      </c>
      <c r="AD90" s="152">
        <f>SUM(R90:AC90)</f>
        <v>0</v>
      </c>
      <c r="AE90" s="152">
        <f>Calcs!DD424</f>
        <v>0</v>
      </c>
      <c r="AF90" s="152">
        <f>Calcs!DE424</f>
        <v>0</v>
      </c>
      <c r="AG90" s="152">
        <f>Calcs!DF424</f>
        <v>0</v>
      </c>
      <c r="AH90" s="152">
        <f>Calcs!DG424</f>
        <v>0</v>
      </c>
      <c r="AI90" s="152">
        <f>Calcs!DH424</f>
        <v>0</v>
      </c>
      <c r="AJ90" s="152">
        <f>Calcs!DI424</f>
        <v>0</v>
      </c>
      <c r="AK90" s="152">
        <f>Calcs!DJ424</f>
        <v>0</v>
      </c>
      <c r="AL90" s="152">
        <f>Calcs!DK424</f>
        <v>0</v>
      </c>
      <c r="AM90" s="152">
        <f>Calcs!DL424</f>
        <v>0</v>
      </c>
      <c r="AN90" s="152">
        <f>Calcs!DM424</f>
        <v>0</v>
      </c>
      <c r="AO90" s="152">
        <f>Calcs!DN424</f>
        <v>0</v>
      </c>
      <c r="AP90" s="152">
        <f>Calcs!DO424</f>
        <v>0</v>
      </c>
      <c r="AQ90" s="152">
        <f>SUM(AE90:AP90)</f>
        <v>0</v>
      </c>
      <c r="AR90" s="152">
        <f>Calcs!DP424</f>
        <v>0</v>
      </c>
      <c r="AS90" s="152">
        <f>Calcs!DQ424</f>
        <v>0</v>
      </c>
      <c r="AT90" s="152">
        <f>Calcs!DR424</f>
        <v>0</v>
      </c>
      <c r="AU90" s="152">
        <f>Calcs!DS424</f>
        <v>0</v>
      </c>
      <c r="AV90" s="152">
        <f>Calcs!DT424</f>
        <v>0</v>
      </c>
      <c r="AW90" s="152">
        <f>Calcs!DU424</f>
        <v>0</v>
      </c>
      <c r="AX90" s="152">
        <f>Calcs!DV424</f>
        <v>0</v>
      </c>
      <c r="AY90" s="152">
        <f>Calcs!DW424</f>
        <v>0</v>
      </c>
      <c r="AZ90" s="152">
        <f>Calcs!DX424</f>
        <v>0</v>
      </c>
      <c r="BA90" s="152">
        <f>Calcs!DY424</f>
        <v>0</v>
      </c>
      <c r="BB90" s="152">
        <f>Calcs!DZ424</f>
        <v>0</v>
      </c>
      <c r="BC90" s="152">
        <f>Calcs!EA424</f>
        <v>0</v>
      </c>
      <c r="BD90" s="152">
        <f>SUM(AR90:BC90)</f>
        <v>0</v>
      </c>
      <c r="BE90" s="152">
        <f>Calcs!EB424</f>
        <v>0</v>
      </c>
      <c r="BF90" s="152">
        <f>Calcs!EC424</f>
        <v>0</v>
      </c>
      <c r="BG90" s="152">
        <f>Calcs!ED424</f>
        <v>0</v>
      </c>
      <c r="BH90" s="152">
        <f>Calcs!EE424</f>
        <v>0</v>
      </c>
      <c r="BI90" s="152">
        <f>Calcs!EF424</f>
        <v>0</v>
      </c>
      <c r="BJ90" s="152">
        <f>Calcs!EG424</f>
        <v>0</v>
      </c>
      <c r="BK90" s="152">
        <f>Calcs!EH424</f>
        <v>0</v>
      </c>
      <c r="BL90" s="152">
        <f>Calcs!EI424</f>
        <v>0</v>
      </c>
      <c r="BM90" s="152">
        <f>Calcs!EJ424</f>
        <v>0</v>
      </c>
      <c r="BN90" s="152">
        <f>Calcs!EK424</f>
        <v>0</v>
      </c>
      <c r="BO90" s="152">
        <f>Calcs!EL424</f>
        <v>0</v>
      </c>
      <c r="BP90" s="152">
        <f>Calcs!EM424</f>
        <v>0</v>
      </c>
      <c r="BQ90" s="152">
        <f>SUM(BE90:BP90)</f>
        <v>0</v>
      </c>
      <c r="BR90" s="1567"/>
      <c r="BS90" s="153">
        <f>SUM(BQ90,BD90,AQ90,AD90,Q90)</f>
        <v>0</v>
      </c>
      <c r="BT90" s="1567"/>
      <c r="BU90" s="171">
        <f>SUM(BQ90,BD90,AQ90,AD90,Q90)</f>
      </c>
      <c r="BV90" s="170">
        <f>Calcs!CE424</f>
        <v>0</v>
      </c>
      <c r="BW90" s="96">
        <f>SUM(Financials!E90:'Financials'!G90)</f>
        <v>0</v>
      </c>
      <c r="BX90" s="96">
        <f>SUM(Financials!H90:'Financials'!J90)</f>
        <v>0</v>
      </c>
      <c r="BY90" s="96">
        <f>SUM(Financials!K90:'Financials'!M90)</f>
        <v>0</v>
      </c>
      <c r="BZ90" s="96">
        <f>SUM(Financials!N90:'Financials'!P90)</f>
        <v>0</v>
      </c>
      <c r="CA90" s="152">
        <f>SUM(Financials!R90:'Financials'!T90)</f>
        <v>0</v>
      </c>
      <c r="CB90" s="152">
        <f>SUM(Financials!U90:'Financials'!W90)</f>
        <v>0</v>
      </c>
      <c r="CC90" s="152">
        <f>SUM(Financials!X90:'Financials'!Z90)</f>
        <v>0</v>
      </c>
      <c r="CD90" s="152">
        <f>SUM(Financials!AA90:'Financials'!AC90)</f>
        <v>0</v>
      </c>
      <c r="CE90" s="152">
        <f>SUM(Financials!AE90:'Financials'!AG90)</f>
        <v>0</v>
      </c>
      <c r="CF90" s="152">
        <f>SUM(Financials!AH90:'Financials'!AJ90)</f>
        <v>0</v>
      </c>
      <c r="CG90" s="152">
        <f>SUM(Financials!AK90:'Financials'!AM90)</f>
        <v>0</v>
      </c>
      <c r="CH90" s="152">
        <f>SUM(Financials!AN90:'Financials'!AP90)</f>
        <v>0</v>
      </c>
      <c r="CI90" s="152">
        <f>SUM(Financials!AR90:'Financials'!AT90)</f>
        <v>0</v>
      </c>
      <c r="CJ90" s="152">
        <f>SUM(Financials!AU90:'Financials'!AW90)</f>
        <v>0</v>
      </c>
      <c r="CK90" s="152">
        <f>SUM(Financials!AX90:'Financials'!AZ90)</f>
        <v>0</v>
      </c>
      <c r="CL90" s="152">
        <f>SUM(Financials!BA90:'Financials'!BC90)</f>
        <v>0</v>
      </c>
      <c r="CM90" s="152">
        <f>SUM(Financials!BE90:'Financials'!BG90)</f>
        <v>0</v>
      </c>
      <c r="CN90" s="152">
        <f>SUM(Financials!BH90:'Financials'!BJ90)</f>
        <v>0</v>
      </c>
      <c r="CO90" s="152">
        <f>SUM(Financials!BK90:'Financials'!BM90)</f>
        <v>0</v>
      </c>
      <c r="CP90" s="152">
        <f>SUM(Financials!BN90:'Financials'!BP90)</f>
        <v>0</v>
      </c>
      <c r="CW90" s="179"/>
      <c r="CX90" s="179"/>
      <c r="CY90" s="305"/>
      <c r="CZ90" s="305"/>
      <c r="DA90" s="305"/>
      <c r="DB90" s="305"/>
      <c r="DC90" s="305"/>
      <c r="DD90" s="305"/>
      <c r="DE90" s="305"/>
      <c r="DF90" s="305"/>
      <c r="DG90" s="305"/>
      <c r="DH90" s="305"/>
      <c r="DI90" s="305"/>
      <c r="DJ90" s="305"/>
      <c r="DK90" s="305"/>
      <c r="DL90" s="305"/>
      <c r="DM90" s="305"/>
      <c r="DN90" s="305"/>
      <c r="DO90" s="305"/>
      <c r="DP90" s="305"/>
      <c r="DQ90" s="305"/>
      <c r="DR90" s="305"/>
      <c r="DS90" s="305"/>
      <c r="DT90" s="305"/>
      <c r="DU90" s="305"/>
      <c r="DV90" s="305"/>
      <c r="DW90" s="305"/>
      <c r="DX90" s="305"/>
      <c r="DY90" s="305"/>
      <c r="DZ90" s="305"/>
      <c r="EA90" s="305"/>
      <c r="EB90" s="305"/>
      <c r="EC90" s="305"/>
      <c r="ED90" s="305"/>
      <c r="EE90" s="305"/>
      <c r="EF90" s="305"/>
      <c r="EG90" s="305"/>
      <c r="EH90" s="305"/>
      <c r="EI90" s="305"/>
      <c r="EJ90" s="305"/>
      <c r="EK90" s="305"/>
      <c r="EL90" s="305"/>
      <c r="EM90" s="305"/>
      <c r="EN90" s="305"/>
      <c r="EO90" s="305"/>
      <c r="EP90" s="305"/>
      <c r="EQ90" s="305"/>
      <c r="ER90" s="305"/>
      <c r="ES90" s="305"/>
      <c r="ET90" s="305"/>
      <c r="EU90" s="305"/>
      <c r="EV90" s="305"/>
      <c r="EW90" s="305"/>
      <c r="EX90" s="305"/>
      <c r="EY90" s="305"/>
      <c r="EZ90" s="305"/>
      <c r="FA90" s="305"/>
      <c r="FB90" s="305"/>
      <c r="FC90" s="305"/>
      <c r="FD90" s="305"/>
      <c r="FE90" s="305"/>
      <c r="FF90" s="305"/>
      <c r="FG90" s="305"/>
      <c r="FH90" s="305"/>
      <c r="FI90" s="305"/>
      <c r="FJ90" s="305"/>
    </row>
    <row r="91" spans="1:166" ht="12.75" customHeight="1" x14ac:dyDescent="0.35">
      <c r="A91" s="136"/>
      <c r="B91" s="136"/>
      <c r="C91" s="136"/>
      <c r="D91" s="172" t="str">
        <f>IF(Calcs!CE425=0,"TBD",Calcs!CE425)</f>
        <v>TBD</v>
      </c>
      <c r="E91" s="152">
        <f>Calcs!CF425</f>
        <v>0</v>
      </c>
      <c r="F91" s="152">
        <f>Calcs!CG425</f>
        <v>0</v>
      </c>
      <c r="G91" s="152">
        <f>Calcs!CH425</f>
        <v>0</v>
      </c>
      <c r="H91" s="152">
        <f>Calcs!CI425</f>
        <v>0</v>
      </c>
      <c r="I91" s="152">
        <f>Calcs!CJ425</f>
        <v>0</v>
      </c>
      <c r="J91" s="152">
        <f>Calcs!CK425</f>
        <v>0</v>
      </c>
      <c r="K91" s="152">
        <f>Calcs!CL425</f>
        <v>0</v>
      </c>
      <c r="L91" s="152">
        <f>Calcs!CM425</f>
        <v>0</v>
      </c>
      <c r="M91" s="152">
        <f>Calcs!CN425</f>
        <v>0</v>
      </c>
      <c r="N91" s="152">
        <f>Calcs!CO425</f>
        <v>0</v>
      </c>
      <c r="O91" s="152">
        <f>Calcs!CP425</f>
        <v>0</v>
      </c>
      <c r="P91" s="152">
        <f>Calcs!CQ425</f>
        <v>0</v>
      </c>
      <c r="Q91" s="151">
        <f>SUM(E91:P91)</f>
        <v>0</v>
      </c>
      <c r="R91" s="152">
        <f>Calcs!CR425</f>
        <v>0</v>
      </c>
      <c r="S91" s="152">
        <f>Calcs!CS425</f>
        <v>0</v>
      </c>
      <c r="T91" s="152">
        <f>Calcs!CT425</f>
        <v>0</v>
      </c>
      <c r="U91" s="152">
        <f>Calcs!CU425</f>
        <v>0</v>
      </c>
      <c r="V91" s="152">
        <f>Calcs!CV425</f>
        <v>0</v>
      </c>
      <c r="W91" s="152">
        <f>Calcs!CW425</f>
        <v>0</v>
      </c>
      <c r="X91" s="152">
        <f>Calcs!CX425</f>
        <v>0</v>
      </c>
      <c r="Y91" s="152">
        <f>Calcs!CY425</f>
        <v>0</v>
      </c>
      <c r="Z91" s="152">
        <f>Calcs!CZ425</f>
        <v>0</v>
      </c>
      <c r="AA91" s="152">
        <f>Calcs!DA425</f>
        <v>0</v>
      </c>
      <c r="AB91" s="152">
        <f>Calcs!DB425</f>
        <v>0</v>
      </c>
      <c r="AC91" s="152">
        <f>Calcs!DC425</f>
        <v>0</v>
      </c>
      <c r="AD91" s="152">
        <f>SUM(R91:AC91)</f>
        <v>0</v>
      </c>
      <c r="AE91" s="152">
        <f>Calcs!DD425</f>
        <v>0</v>
      </c>
      <c r="AF91" s="152">
        <f>Calcs!DE425</f>
        <v>0</v>
      </c>
      <c r="AG91" s="152">
        <f>Calcs!DF425</f>
        <v>0</v>
      </c>
      <c r="AH91" s="152">
        <f>Calcs!DG425</f>
        <v>0</v>
      </c>
      <c r="AI91" s="152">
        <f>Calcs!DH425</f>
        <v>0</v>
      </c>
      <c r="AJ91" s="152">
        <f>Calcs!DI425</f>
        <v>0</v>
      </c>
      <c r="AK91" s="152">
        <f>Calcs!DJ425</f>
        <v>0</v>
      </c>
      <c r="AL91" s="152">
        <f>Calcs!DK425</f>
        <v>0</v>
      </c>
      <c r="AM91" s="152">
        <f>Calcs!DL425</f>
        <v>0</v>
      </c>
      <c r="AN91" s="152">
        <f>Calcs!DM425</f>
        <v>0</v>
      </c>
      <c r="AO91" s="152">
        <f>Calcs!DN425</f>
        <v>0</v>
      </c>
      <c r="AP91" s="152">
        <f>Calcs!DO425</f>
        <v>0</v>
      </c>
      <c r="AQ91" s="152">
        <f>SUM(AE91:AP91)</f>
        <v>0</v>
      </c>
      <c r="AR91" s="152">
        <f>Calcs!DP425</f>
        <v>0</v>
      </c>
      <c r="AS91" s="152">
        <f>Calcs!DQ425</f>
        <v>0</v>
      </c>
      <c r="AT91" s="152">
        <f>Calcs!DR425</f>
        <v>0</v>
      </c>
      <c r="AU91" s="152">
        <f>Calcs!DS425</f>
        <v>0</v>
      </c>
      <c r="AV91" s="152">
        <f>Calcs!DT425</f>
        <v>0</v>
      </c>
      <c r="AW91" s="152">
        <f>Calcs!DU425</f>
        <v>0</v>
      </c>
      <c r="AX91" s="152">
        <f>Calcs!DV425</f>
        <v>0</v>
      </c>
      <c r="AY91" s="152">
        <f>Calcs!DW425</f>
        <v>0</v>
      </c>
      <c r="AZ91" s="152">
        <f>Calcs!DX425</f>
        <v>0</v>
      </c>
      <c r="BA91" s="152">
        <f>Calcs!DY425</f>
        <v>0</v>
      </c>
      <c r="BB91" s="152">
        <f>Calcs!DZ425</f>
        <v>0</v>
      </c>
      <c r="BC91" s="152">
        <f>Calcs!EA425</f>
        <v>0</v>
      </c>
      <c r="BD91" s="152">
        <f>SUM(AR91:BC91)</f>
        <v>0</v>
      </c>
      <c r="BE91" s="152">
        <f>Calcs!EB425</f>
        <v>0</v>
      </c>
      <c r="BF91" s="152">
        <f>Calcs!EC425</f>
        <v>0</v>
      </c>
      <c r="BG91" s="152">
        <f>Calcs!ED425</f>
        <v>0</v>
      </c>
      <c r="BH91" s="152">
        <f>Calcs!EE425</f>
        <v>0</v>
      </c>
      <c r="BI91" s="152">
        <f>Calcs!EF425</f>
        <v>0</v>
      </c>
      <c r="BJ91" s="152">
        <f>Calcs!EG425</f>
        <v>0</v>
      </c>
      <c r="BK91" s="152">
        <f>Calcs!EH425</f>
        <v>0</v>
      </c>
      <c r="BL91" s="152">
        <f>Calcs!EI425</f>
        <v>0</v>
      </c>
      <c r="BM91" s="152">
        <f>Calcs!EJ425</f>
        <v>0</v>
      </c>
      <c r="BN91" s="152">
        <f>Calcs!EK425</f>
        <v>0</v>
      </c>
      <c r="BO91" s="152">
        <f>Calcs!EL425</f>
        <v>0</v>
      </c>
      <c r="BP91" s="152">
        <f>Calcs!EM425</f>
        <v>0</v>
      </c>
      <c r="BQ91" s="152">
        <f>SUM(BE91:BP91)</f>
        <v>0</v>
      </c>
      <c r="BR91" s="1567"/>
      <c r="BS91" s="153">
        <f>SUM(BQ91,BD91,AQ91,AD91,Q91)</f>
        <v>0</v>
      </c>
      <c r="BT91" s="1567"/>
      <c r="BU91" s="171">
        <f>SUM(BQ91,BD91,AQ91,AD91,Q91)</f>
      </c>
      <c r="BV91" s="170">
        <f>Calcs!CE425</f>
        <v>0</v>
      </c>
      <c r="BW91" s="96">
        <f>SUM(Financials!E91:'Financials'!G91)</f>
        <v>0</v>
      </c>
      <c r="BX91" s="96">
        <f>SUM(Financials!H91:'Financials'!J91)</f>
        <v>0</v>
      </c>
      <c r="BY91" s="96">
        <f>SUM(Financials!K91:'Financials'!M91)</f>
        <v>0</v>
      </c>
      <c r="BZ91" s="96">
        <f>SUM(Financials!N91:'Financials'!P91)</f>
        <v>0</v>
      </c>
      <c r="CA91" s="152">
        <f>SUM(Financials!R91:'Financials'!T91)</f>
        <v>0</v>
      </c>
      <c r="CB91" s="152">
        <f>SUM(Financials!U91:'Financials'!W91)</f>
        <v>0</v>
      </c>
      <c r="CC91" s="152">
        <f>SUM(Financials!X91:'Financials'!Z91)</f>
        <v>0</v>
      </c>
      <c r="CD91" s="152">
        <f>SUM(Financials!AA91:'Financials'!AC91)</f>
        <v>0</v>
      </c>
      <c r="CE91" s="152">
        <f>SUM(Financials!AE91:'Financials'!AG91)</f>
        <v>0</v>
      </c>
      <c r="CF91" s="152">
        <f>SUM(Financials!AH91:'Financials'!AJ91)</f>
        <v>0</v>
      </c>
      <c r="CG91" s="152">
        <f>SUM(Financials!AK91:'Financials'!AM91)</f>
        <v>0</v>
      </c>
      <c r="CH91" s="152">
        <f>SUM(Financials!AN91:'Financials'!AP91)</f>
        <v>0</v>
      </c>
      <c r="CI91" s="152">
        <f>SUM(Financials!AR91:'Financials'!AT91)</f>
        <v>0</v>
      </c>
      <c r="CJ91" s="152">
        <f>SUM(Financials!AU91:'Financials'!AW91)</f>
        <v>0</v>
      </c>
      <c r="CK91" s="152">
        <f>SUM(Financials!AX91:'Financials'!AZ91)</f>
        <v>0</v>
      </c>
      <c r="CL91" s="152">
        <f>SUM(Financials!BA91:'Financials'!BC91)</f>
        <v>0</v>
      </c>
      <c r="CM91" s="152">
        <f>SUM(Financials!BE91:'Financials'!BG91)</f>
        <v>0</v>
      </c>
      <c r="CN91" s="152">
        <f>SUM(Financials!BH91:'Financials'!BJ91)</f>
        <v>0</v>
      </c>
      <c r="CO91" s="152">
        <f>SUM(Financials!BK91:'Financials'!BM91)</f>
        <v>0</v>
      </c>
      <c r="CP91" s="152">
        <f>SUM(Financials!BN91:'Financials'!BP91)</f>
        <v>0</v>
      </c>
      <c r="CW91" s="179"/>
      <c r="CX91" s="179"/>
      <c r="CY91" s="305"/>
      <c r="CZ91" s="305"/>
      <c r="DA91" s="305"/>
      <c r="DB91" s="305"/>
      <c r="DC91" s="305"/>
      <c r="DD91" s="305"/>
      <c r="DE91" s="305"/>
      <c r="DF91" s="305"/>
      <c r="DG91" s="305"/>
      <c r="DH91" s="305"/>
      <c r="DI91" s="305"/>
      <c r="DJ91" s="305"/>
      <c r="DK91" s="305"/>
      <c r="DL91" s="305"/>
      <c r="DM91" s="305"/>
      <c r="DN91" s="305"/>
      <c r="DO91" s="305"/>
      <c r="DP91" s="305"/>
      <c r="DQ91" s="305"/>
      <c r="DR91" s="305"/>
      <c r="DS91" s="305"/>
      <c r="DT91" s="305"/>
      <c r="DU91" s="305"/>
      <c r="DV91" s="305"/>
      <c r="DW91" s="305"/>
      <c r="DX91" s="305"/>
      <c r="DY91" s="305"/>
      <c r="DZ91" s="305"/>
      <c r="EA91" s="305"/>
      <c r="EB91" s="305"/>
      <c r="EC91" s="305"/>
      <c r="ED91" s="305"/>
      <c r="EE91" s="305"/>
      <c r="EF91" s="305"/>
      <c r="EG91" s="305"/>
      <c r="EH91" s="305"/>
      <c r="EI91" s="305"/>
      <c r="EJ91" s="305"/>
      <c r="EK91" s="305"/>
      <c r="EL91" s="305"/>
      <c r="EM91" s="305"/>
      <c r="EN91" s="305"/>
      <c r="EO91" s="305"/>
      <c r="EP91" s="305"/>
      <c r="EQ91" s="305"/>
      <c r="ER91" s="305"/>
      <c r="ES91" s="305"/>
      <c r="ET91" s="305"/>
      <c r="EU91" s="305"/>
      <c r="EV91" s="305"/>
      <c r="EW91" s="305"/>
      <c r="EX91" s="305"/>
      <c r="EY91" s="305"/>
      <c r="EZ91" s="305"/>
      <c r="FA91" s="305"/>
      <c r="FB91" s="305"/>
      <c r="FC91" s="305"/>
      <c r="FD91" s="305"/>
      <c r="FE91" s="305"/>
      <c r="FF91" s="305"/>
      <c r="FG91" s="305"/>
      <c r="FH91" s="305"/>
      <c r="FI91" s="305"/>
      <c r="FJ91" s="305"/>
    </row>
    <row r="92" spans="1:166" ht="12.75" customHeight="1" x14ac:dyDescent="0.35" hidden="1">
      <c r="A92" s="136"/>
      <c r="B92" s="136"/>
      <c r="C92" s="136"/>
      <c r="D92" s="172" t="str">
        <f>IF(Calcs!CE426=0,"TBD",Calcs!CE426)</f>
        <v>TBD</v>
      </c>
      <c r="E92" s="152">
        <f>Calcs!CF426</f>
        <v>0</v>
      </c>
      <c r="F92" s="152">
        <f>Calcs!CG426</f>
        <v>0</v>
      </c>
      <c r="G92" s="152">
        <f>Calcs!CH426</f>
        <v>0</v>
      </c>
      <c r="H92" s="152">
        <f>Calcs!CI426</f>
        <v>0</v>
      </c>
      <c r="I92" s="152">
        <f>Calcs!CJ426</f>
        <v>0</v>
      </c>
      <c r="J92" s="152">
        <f>Calcs!CK426</f>
        <v>0</v>
      </c>
      <c r="K92" s="152">
        <f>Calcs!CL426</f>
        <v>0</v>
      </c>
      <c r="L92" s="152">
        <f>Calcs!CM426</f>
        <v>0</v>
      </c>
      <c r="M92" s="152">
        <f>Calcs!CN426</f>
        <v>0</v>
      </c>
      <c r="N92" s="152">
        <f>Calcs!CO426</f>
        <v>0</v>
      </c>
      <c r="O92" s="152">
        <f>Calcs!CP426</f>
        <v>0</v>
      </c>
      <c r="P92" s="152">
        <f>Calcs!CQ426</f>
        <v>0</v>
      </c>
      <c r="Q92" s="151">
        <f>SUM(E92:P92)</f>
        <v>0</v>
      </c>
      <c r="R92" s="152">
        <f>Calcs!CR426</f>
        <v>0</v>
      </c>
      <c r="S92" s="152">
        <f>Calcs!CS426</f>
        <v>0</v>
      </c>
      <c r="T92" s="152">
        <f>Calcs!CT426</f>
        <v>0</v>
      </c>
      <c r="U92" s="152">
        <f>Calcs!CU426</f>
        <v>0</v>
      </c>
      <c r="V92" s="152">
        <f>Calcs!CV426</f>
        <v>0</v>
      </c>
      <c r="W92" s="152">
        <f>Calcs!CW426</f>
        <v>0</v>
      </c>
      <c r="X92" s="152">
        <f>Calcs!CX426</f>
        <v>0</v>
      </c>
      <c r="Y92" s="152">
        <f>Calcs!CY426</f>
        <v>0</v>
      </c>
      <c r="Z92" s="152">
        <f>Calcs!CZ426</f>
        <v>0</v>
      </c>
      <c r="AA92" s="152">
        <f>Calcs!DA426</f>
        <v>0</v>
      </c>
      <c r="AB92" s="152">
        <f>Calcs!DB426</f>
        <v>0</v>
      </c>
      <c r="AC92" s="152">
        <f>Calcs!DC426</f>
        <v>0</v>
      </c>
      <c r="AD92" s="152">
        <f>SUM(R92:AC92)</f>
        <v>0</v>
      </c>
      <c r="AE92" s="152">
        <f>Calcs!DD426</f>
        <v>0</v>
      </c>
      <c r="AF92" s="152">
        <f>Calcs!DE426</f>
        <v>0</v>
      </c>
      <c r="AG92" s="152">
        <f>Calcs!DF426</f>
        <v>0</v>
      </c>
      <c r="AH92" s="152">
        <f>Calcs!DG426</f>
        <v>0</v>
      </c>
      <c r="AI92" s="152">
        <f>Calcs!DH426</f>
        <v>0</v>
      </c>
      <c r="AJ92" s="152">
        <f>Calcs!DI426</f>
        <v>0</v>
      </c>
      <c r="AK92" s="152">
        <f>Calcs!DJ426</f>
        <v>0</v>
      </c>
      <c r="AL92" s="152">
        <f>Calcs!DK426</f>
        <v>0</v>
      </c>
      <c r="AM92" s="152">
        <f>Calcs!DL426</f>
        <v>0</v>
      </c>
      <c r="AN92" s="152">
        <f>Calcs!DM426</f>
        <v>0</v>
      </c>
      <c r="AO92" s="152">
        <f>Calcs!DN426</f>
        <v>0</v>
      </c>
      <c r="AP92" s="152">
        <f>Calcs!DO426</f>
        <v>0</v>
      </c>
      <c r="AQ92" s="152">
        <f>SUM(AE92:AP92)</f>
        <v>0</v>
      </c>
      <c r="AR92" s="152">
        <f>Calcs!DP426</f>
        <v>0</v>
      </c>
      <c r="AS92" s="152">
        <f>Calcs!DQ426</f>
        <v>0</v>
      </c>
      <c r="AT92" s="152">
        <f>Calcs!DR426</f>
        <v>0</v>
      </c>
      <c r="AU92" s="152">
        <f>Calcs!DS426</f>
        <v>0</v>
      </c>
      <c r="AV92" s="152">
        <f>Calcs!DT426</f>
        <v>0</v>
      </c>
      <c r="AW92" s="152">
        <f>Calcs!DU426</f>
        <v>0</v>
      </c>
      <c r="AX92" s="152">
        <f>Calcs!DV426</f>
        <v>0</v>
      </c>
      <c r="AY92" s="152">
        <f>Calcs!DW426</f>
        <v>0</v>
      </c>
      <c r="AZ92" s="152">
        <f>Calcs!DX426</f>
        <v>0</v>
      </c>
      <c r="BA92" s="152">
        <f>Calcs!DY426</f>
        <v>0</v>
      </c>
      <c r="BB92" s="152">
        <f>Calcs!DZ426</f>
        <v>0</v>
      </c>
      <c r="BC92" s="152">
        <f>Calcs!EA426</f>
        <v>0</v>
      </c>
      <c r="BD92" s="152">
        <f>SUM(AR92:BC92)</f>
        <v>0</v>
      </c>
      <c r="BE92" s="152">
        <f>Calcs!EB426</f>
        <v>0</v>
      </c>
      <c r="BF92" s="152">
        <f>Calcs!EC426</f>
        <v>0</v>
      </c>
      <c r="BG92" s="152">
        <f>Calcs!ED426</f>
        <v>0</v>
      </c>
      <c r="BH92" s="152">
        <f>Calcs!EE426</f>
        <v>0</v>
      </c>
      <c r="BI92" s="152">
        <f>Calcs!EF426</f>
        <v>0</v>
      </c>
      <c r="BJ92" s="152">
        <f>Calcs!EG426</f>
        <v>0</v>
      </c>
      <c r="BK92" s="152">
        <f>Calcs!EH426</f>
        <v>0</v>
      </c>
      <c r="BL92" s="152">
        <f>Calcs!EI426</f>
        <v>0</v>
      </c>
      <c r="BM92" s="152">
        <f>Calcs!EJ426</f>
        <v>0</v>
      </c>
      <c r="BN92" s="152">
        <f>Calcs!EK426</f>
        <v>0</v>
      </c>
      <c r="BO92" s="152">
        <f>Calcs!EL426</f>
        <v>0</v>
      </c>
      <c r="BP92" s="152">
        <f>Calcs!EM426</f>
        <v>0</v>
      </c>
      <c r="BQ92" s="152">
        <f>SUM(BE92:BP92)</f>
        <v>0</v>
      </c>
      <c r="BR92" s="1567"/>
      <c r="BS92" s="153">
        <f>SUM(BQ92,BD92,AQ92,AD92,Q92)</f>
        <v>0</v>
      </c>
      <c r="BT92" s="1567"/>
      <c r="BU92" s="171">
        <f>SUM(BQ92,BD92,AQ92,AD92,Q92)</f>
      </c>
      <c r="BV92" s="170">
        <f>Calcs!CE426</f>
        <v>0</v>
      </c>
      <c r="BW92" s="96">
        <f>SUM(Financials!E92:'Financials'!G92)</f>
        <v>0</v>
      </c>
      <c r="BX92" s="96">
        <f>SUM(Financials!H92:'Financials'!J92)</f>
        <v>0</v>
      </c>
      <c r="BY92" s="96">
        <f>SUM(Financials!K92:'Financials'!M92)</f>
        <v>0</v>
      </c>
      <c r="BZ92" s="96">
        <f>SUM(Financials!N92:'Financials'!P92)</f>
        <v>0</v>
      </c>
      <c r="CA92" s="152">
        <f>SUM(Financials!R92:'Financials'!T92)</f>
        <v>0</v>
      </c>
      <c r="CB92" s="152">
        <f>SUM(Financials!U92:'Financials'!W92)</f>
        <v>0</v>
      </c>
      <c r="CC92" s="152">
        <f>SUM(Financials!X92:'Financials'!Z92)</f>
        <v>0</v>
      </c>
      <c r="CD92" s="152">
        <f>SUM(Financials!AA92:'Financials'!AC92)</f>
        <v>0</v>
      </c>
      <c r="CE92" s="152">
        <f>SUM(Financials!AE92:'Financials'!AG92)</f>
        <v>0</v>
      </c>
      <c r="CF92" s="152">
        <f>SUM(Financials!AH92:'Financials'!AJ92)</f>
        <v>0</v>
      </c>
      <c r="CG92" s="152">
        <f>SUM(Financials!AK92:'Financials'!AM92)</f>
        <v>0</v>
      </c>
      <c r="CH92" s="152">
        <f>SUM(Financials!AN92:'Financials'!AP92)</f>
        <v>0</v>
      </c>
      <c r="CI92" s="152">
        <f>SUM(Financials!AR92:'Financials'!AT92)</f>
        <v>0</v>
      </c>
      <c r="CJ92" s="152">
        <f>SUM(Financials!AU92:'Financials'!AW92)</f>
        <v>0</v>
      </c>
      <c r="CK92" s="152">
        <f>SUM(Financials!AX92:'Financials'!AZ92)</f>
        <v>0</v>
      </c>
      <c r="CL92" s="152">
        <f>SUM(Financials!BA92:'Financials'!BC92)</f>
        <v>0</v>
      </c>
      <c r="CM92" s="152">
        <f>SUM(Financials!BE92:'Financials'!BG92)</f>
        <v>0</v>
      </c>
      <c r="CN92" s="152">
        <f>SUM(Financials!BH92:'Financials'!BJ92)</f>
        <v>0</v>
      </c>
      <c r="CO92" s="152">
        <f>SUM(Financials!BK92:'Financials'!BM92)</f>
        <v>0</v>
      </c>
      <c r="CP92" s="152">
        <f>SUM(Financials!BN92:'Financials'!BP92)</f>
        <v>0</v>
      </c>
      <c r="CW92" s="179"/>
      <c r="CX92" s="179"/>
      <c r="CY92" s="305"/>
      <c r="CZ92" s="305"/>
      <c r="DA92" s="305"/>
      <c r="DB92" s="305"/>
      <c r="DC92" s="305"/>
      <c r="DD92" s="305"/>
      <c r="DE92" s="305"/>
      <c r="DF92" s="305"/>
      <c r="DG92" s="305"/>
      <c r="DH92" s="305"/>
      <c r="DI92" s="305"/>
      <c r="DJ92" s="305"/>
      <c r="DK92" s="305"/>
      <c r="DL92" s="305"/>
      <c r="DM92" s="305"/>
      <c r="DN92" s="305"/>
      <c r="DO92" s="305"/>
      <c r="DP92" s="305"/>
      <c r="DQ92" s="305"/>
      <c r="DR92" s="305"/>
      <c r="DS92" s="305"/>
      <c r="DT92" s="305"/>
      <c r="DU92" s="305"/>
      <c r="DV92" s="305"/>
      <c r="DW92" s="305"/>
      <c r="DX92" s="305"/>
      <c r="DY92" s="305"/>
      <c r="DZ92" s="305"/>
      <c r="EA92" s="305"/>
      <c r="EB92" s="305"/>
      <c r="EC92" s="305"/>
      <c r="ED92" s="305"/>
      <c r="EE92" s="305"/>
      <c r="EF92" s="305"/>
      <c r="EG92" s="305"/>
      <c r="EH92" s="305"/>
      <c r="EI92" s="305"/>
      <c r="EJ92" s="305"/>
      <c r="EK92" s="305"/>
      <c r="EL92" s="305"/>
      <c r="EM92" s="305"/>
      <c r="EN92" s="305"/>
      <c r="EO92" s="305"/>
      <c r="EP92" s="305"/>
      <c r="EQ92" s="305"/>
      <c r="ER92" s="305"/>
      <c r="ES92" s="305"/>
      <c r="ET92" s="305"/>
      <c r="EU92" s="305"/>
      <c r="EV92" s="305"/>
      <c r="EW92" s="305"/>
      <c r="EX92" s="305"/>
      <c r="EY92" s="305"/>
      <c r="EZ92" s="305"/>
      <c r="FA92" s="305"/>
      <c r="FB92" s="305"/>
      <c r="FC92" s="305"/>
      <c r="FD92" s="305"/>
      <c r="FE92" s="305"/>
      <c r="FF92" s="305"/>
      <c r="FG92" s="305"/>
      <c r="FH92" s="305"/>
      <c r="FI92" s="305"/>
      <c r="FJ92" s="305"/>
    </row>
    <row r="93" spans="1:166" ht="12.75" customHeight="1" x14ac:dyDescent="0.35" hidden="1">
      <c r="A93" s="136"/>
      <c r="B93" s="136"/>
      <c r="C93" s="136"/>
      <c r="D93" s="172" t="str">
        <f>IF(Calcs!CE427=0,"TBD",Calcs!CE427)</f>
        <v>TBD</v>
      </c>
      <c r="E93" s="152">
        <f>Calcs!CF427</f>
        <v>0</v>
      </c>
      <c r="F93" s="152">
        <f>Calcs!CG427</f>
        <v>0</v>
      </c>
      <c r="G93" s="152">
        <f>Calcs!CH427</f>
        <v>0</v>
      </c>
      <c r="H93" s="152">
        <f>Calcs!CI427</f>
        <v>0</v>
      </c>
      <c r="I93" s="152">
        <f>Calcs!CJ427</f>
        <v>0</v>
      </c>
      <c r="J93" s="152">
        <f>Calcs!CK427</f>
        <v>0</v>
      </c>
      <c r="K93" s="152">
        <f>Calcs!CL427</f>
        <v>0</v>
      </c>
      <c r="L93" s="152">
        <f>Calcs!CM427</f>
        <v>0</v>
      </c>
      <c r="M93" s="152">
        <f>Calcs!CN427</f>
        <v>0</v>
      </c>
      <c r="N93" s="152">
        <f>Calcs!CO427</f>
        <v>0</v>
      </c>
      <c r="O93" s="152">
        <f>Calcs!CP427</f>
        <v>0</v>
      </c>
      <c r="P93" s="152">
        <f>Calcs!CQ427</f>
        <v>0</v>
      </c>
      <c r="Q93" s="151">
        <f>SUM(E93:P93)</f>
        <v>0</v>
      </c>
      <c r="R93" s="152">
        <f>Calcs!CR427</f>
        <v>0</v>
      </c>
      <c r="S93" s="152">
        <f>Calcs!CS427</f>
        <v>0</v>
      </c>
      <c r="T93" s="152">
        <f>Calcs!CT427</f>
        <v>0</v>
      </c>
      <c r="U93" s="152">
        <f>Calcs!CU427</f>
        <v>0</v>
      </c>
      <c r="V93" s="152">
        <f>Calcs!CV427</f>
        <v>0</v>
      </c>
      <c r="W93" s="152">
        <f>Calcs!CW427</f>
        <v>0</v>
      </c>
      <c r="X93" s="152">
        <f>Calcs!CX427</f>
        <v>0</v>
      </c>
      <c r="Y93" s="152">
        <f>Calcs!CY427</f>
        <v>0</v>
      </c>
      <c r="Z93" s="152">
        <f>Calcs!CZ427</f>
        <v>0</v>
      </c>
      <c r="AA93" s="152">
        <f>Calcs!DA427</f>
        <v>0</v>
      </c>
      <c r="AB93" s="152">
        <f>Calcs!DB427</f>
        <v>0</v>
      </c>
      <c r="AC93" s="152">
        <f>Calcs!DC427</f>
        <v>0</v>
      </c>
      <c r="AD93" s="152">
        <f>SUM(R93:AC93)</f>
        <v>0</v>
      </c>
      <c r="AE93" s="152">
        <f>Calcs!DD427</f>
        <v>0</v>
      </c>
      <c r="AF93" s="152">
        <f>Calcs!DE427</f>
        <v>0</v>
      </c>
      <c r="AG93" s="152">
        <f>Calcs!DF427</f>
        <v>0</v>
      </c>
      <c r="AH93" s="152">
        <f>Calcs!DG427</f>
        <v>0</v>
      </c>
      <c r="AI93" s="152">
        <f>Calcs!DH427</f>
        <v>0</v>
      </c>
      <c r="AJ93" s="152">
        <f>Calcs!DI427</f>
        <v>0</v>
      </c>
      <c r="AK93" s="152">
        <f>Calcs!DJ427</f>
        <v>0</v>
      </c>
      <c r="AL93" s="152">
        <f>Calcs!DK427</f>
        <v>0</v>
      </c>
      <c r="AM93" s="152">
        <f>Calcs!DL427</f>
        <v>0</v>
      </c>
      <c r="AN93" s="152">
        <f>Calcs!DM427</f>
        <v>0</v>
      </c>
      <c r="AO93" s="152">
        <f>Calcs!DN427</f>
        <v>0</v>
      </c>
      <c r="AP93" s="152">
        <f>Calcs!DO427</f>
        <v>0</v>
      </c>
      <c r="AQ93" s="152">
        <f>SUM(AE93:AP93)</f>
        <v>0</v>
      </c>
      <c r="AR93" s="152">
        <f>Calcs!DP427</f>
        <v>0</v>
      </c>
      <c r="AS93" s="152">
        <f>Calcs!DQ427</f>
        <v>0</v>
      </c>
      <c r="AT93" s="152">
        <f>Calcs!DR427</f>
        <v>0</v>
      </c>
      <c r="AU93" s="152">
        <f>Calcs!DS427</f>
        <v>0</v>
      </c>
      <c r="AV93" s="152">
        <f>Calcs!DT427</f>
        <v>0</v>
      </c>
      <c r="AW93" s="152">
        <f>Calcs!DU427</f>
        <v>0</v>
      </c>
      <c r="AX93" s="152">
        <f>Calcs!DV427</f>
        <v>0</v>
      </c>
      <c r="AY93" s="152">
        <f>Calcs!DW427</f>
        <v>0</v>
      </c>
      <c r="AZ93" s="152">
        <f>Calcs!DX427</f>
        <v>0</v>
      </c>
      <c r="BA93" s="152">
        <f>Calcs!DY427</f>
        <v>0</v>
      </c>
      <c r="BB93" s="152">
        <f>Calcs!DZ427</f>
        <v>0</v>
      </c>
      <c r="BC93" s="152">
        <f>Calcs!EA427</f>
        <v>0</v>
      </c>
      <c r="BD93" s="152">
        <f>SUM(AR93:BC93)</f>
        <v>0</v>
      </c>
      <c r="BE93" s="152">
        <f>Calcs!EB427</f>
        <v>0</v>
      </c>
      <c r="BF93" s="152">
        <f>Calcs!EC427</f>
        <v>0</v>
      </c>
      <c r="BG93" s="152">
        <f>Calcs!ED427</f>
        <v>0</v>
      </c>
      <c r="BH93" s="152">
        <f>Calcs!EE427</f>
        <v>0</v>
      </c>
      <c r="BI93" s="152">
        <f>Calcs!EF427</f>
        <v>0</v>
      </c>
      <c r="BJ93" s="152">
        <f>Calcs!EG427</f>
        <v>0</v>
      </c>
      <c r="BK93" s="152">
        <f>Calcs!EH427</f>
        <v>0</v>
      </c>
      <c r="BL93" s="152">
        <f>Calcs!EI427</f>
        <v>0</v>
      </c>
      <c r="BM93" s="152">
        <f>Calcs!EJ427</f>
        <v>0</v>
      </c>
      <c r="BN93" s="152">
        <f>Calcs!EK427</f>
        <v>0</v>
      </c>
      <c r="BO93" s="152">
        <f>Calcs!EL427</f>
        <v>0</v>
      </c>
      <c r="BP93" s="152">
        <f>Calcs!EM427</f>
        <v>0</v>
      </c>
      <c r="BQ93" s="152">
        <f>SUM(BE93:BP93)</f>
        <v>0</v>
      </c>
      <c r="BR93" s="1567"/>
      <c r="BS93" s="153">
        <f>SUM(BQ93,BD93,AQ93,AD93,Q93)</f>
        <v>0</v>
      </c>
      <c r="BT93" s="1567"/>
      <c r="BU93" s="171">
        <f>SUM(BQ93,BD93,AQ93,AD93,Q93)</f>
      </c>
      <c r="BV93" s="170">
        <f>Calcs!CE427</f>
        <v>0</v>
      </c>
      <c r="BW93" s="96">
        <f>SUM(Financials!E93:'Financials'!G93)</f>
        <v>0</v>
      </c>
      <c r="BX93" s="96">
        <f>SUM(Financials!H93:'Financials'!J93)</f>
        <v>0</v>
      </c>
      <c r="BY93" s="96">
        <f>SUM(Financials!K93:'Financials'!M93)</f>
        <v>0</v>
      </c>
      <c r="BZ93" s="96">
        <f>SUM(Financials!N93:'Financials'!P93)</f>
        <v>0</v>
      </c>
      <c r="CA93" s="152">
        <f>SUM(Financials!R93:'Financials'!T93)</f>
        <v>0</v>
      </c>
      <c r="CB93" s="152">
        <f>SUM(Financials!U93:'Financials'!W93)</f>
        <v>0</v>
      </c>
      <c r="CC93" s="152">
        <f>SUM(Financials!X93:'Financials'!Z93)</f>
        <v>0</v>
      </c>
      <c r="CD93" s="152">
        <f>SUM(Financials!AA93:'Financials'!AC93)</f>
        <v>0</v>
      </c>
      <c r="CE93" s="152">
        <f>SUM(Financials!AE93:'Financials'!AG93)</f>
        <v>0</v>
      </c>
      <c r="CF93" s="152">
        <f>SUM(Financials!AH93:'Financials'!AJ93)</f>
        <v>0</v>
      </c>
      <c r="CG93" s="152">
        <f>SUM(Financials!AK93:'Financials'!AM93)</f>
        <v>0</v>
      </c>
      <c r="CH93" s="152">
        <f>SUM(Financials!AN93:'Financials'!AP93)</f>
        <v>0</v>
      </c>
      <c r="CI93" s="152">
        <f>SUM(Financials!AR93:'Financials'!AT93)</f>
        <v>0</v>
      </c>
      <c r="CJ93" s="152">
        <f>SUM(Financials!AU93:'Financials'!AW93)</f>
        <v>0</v>
      </c>
      <c r="CK93" s="152">
        <f>SUM(Financials!AX93:'Financials'!AZ93)</f>
        <v>0</v>
      </c>
      <c r="CL93" s="152">
        <f>SUM(Financials!BA93:'Financials'!BC93)</f>
        <v>0</v>
      </c>
      <c r="CM93" s="152">
        <f>SUM(Financials!BE93:'Financials'!BG93)</f>
        <v>0</v>
      </c>
      <c r="CN93" s="152">
        <f>SUM(Financials!BH93:'Financials'!BJ93)</f>
        <v>0</v>
      </c>
      <c r="CO93" s="152">
        <f>SUM(Financials!BK93:'Financials'!BM93)</f>
        <v>0</v>
      </c>
      <c r="CP93" s="152">
        <f>SUM(Financials!BN93:'Financials'!BP93)</f>
        <v>0</v>
      </c>
      <c r="CW93" s="179"/>
      <c r="CX93" s="179"/>
      <c r="CY93" s="305"/>
      <c r="CZ93" s="305"/>
      <c r="DA93" s="305"/>
      <c r="DB93" s="305"/>
      <c r="DC93" s="305"/>
      <c r="DD93" s="305"/>
      <c r="DE93" s="305"/>
      <c r="DF93" s="305"/>
      <c r="DG93" s="305"/>
      <c r="DH93" s="305"/>
      <c r="DI93" s="305"/>
      <c r="DJ93" s="305"/>
      <c r="DK93" s="305"/>
      <c r="DL93" s="305"/>
      <c r="DM93" s="305"/>
      <c r="DN93" s="305"/>
      <c r="DO93" s="305"/>
      <c r="DP93" s="305"/>
      <c r="DQ93" s="305"/>
      <c r="DR93" s="305"/>
      <c r="DS93" s="305"/>
      <c r="DT93" s="305"/>
      <c r="DU93" s="305"/>
      <c r="DV93" s="305"/>
      <c r="DW93" s="305"/>
      <c r="DX93" s="305"/>
      <c r="DY93" s="305"/>
      <c r="DZ93" s="305"/>
      <c r="EA93" s="305"/>
      <c r="EB93" s="305"/>
      <c r="EC93" s="305"/>
      <c r="ED93" s="305"/>
      <c r="EE93" s="305"/>
      <c r="EF93" s="305"/>
      <c r="EG93" s="305"/>
      <c r="EH93" s="305"/>
      <c r="EI93" s="305"/>
      <c r="EJ93" s="305"/>
      <c r="EK93" s="305"/>
      <c r="EL93" s="305"/>
      <c r="EM93" s="305"/>
      <c r="EN93" s="305"/>
      <c r="EO93" s="305"/>
      <c r="EP93" s="305"/>
      <c r="EQ93" s="305"/>
      <c r="ER93" s="305"/>
      <c r="ES93" s="305"/>
      <c r="ET93" s="305"/>
      <c r="EU93" s="305"/>
      <c r="EV93" s="305"/>
      <c r="EW93" s="305"/>
      <c r="EX93" s="305"/>
      <c r="EY93" s="305"/>
      <c r="EZ93" s="305"/>
      <c r="FA93" s="305"/>
      <c r="FB93" s="305"/>
      <c r="FC93" s="305"/>
      <c r="FD93" s="305"/>
      <c r="FE93" s="305"/>
      <c r="FF93" s="305"/>
      <c r="FG93" s="305"/>
      <c r="FH93" s="305"/>
      <c r="FI93" s="305"/>
      <c r="FJ93" s="305"/>
    </row>
    <row r="94" spans="1:166" ht="12.75" customHeight="1" x14ac:dyDescent="0.35" hidden="1">
      <c r="A94" s="136"/>
      <c r="B94" s="136"/>
      <c r="C94" s="136"/>
      <c r="D94" s="172" t="str">
        <f>IF(Calcs!CE428=0,"TBD",Calcs!CE428)</f>
        <v>TBD</v>
      </c>
      <c r="E94" s="152">
        <f>Calcs!CF428</f>
        <v>0</v>
      </c>
      <c r="F94" s="152">
        <f>Calcs!CG428</f>
        <v>0</v>
      </c>
      <c r="G94" s="152">
        <f>Calcs!CH428</f>
        <v>0</v>
      </c>
      <c r="H94" s="152">
        <f>Calcs!CI428</f>
        <v>0</v>
      </c>
      <c r="I94" s="152">
        <f>Calcs!CJ428</f>
        <v>0</v>
      </c>
      <c r="J94" s="152">
        <f>Calcs!CK428</f>
        <v>0</v>
      </c>
      <c r="K94" s="152">
        <f>Calcs!CL428</f>
        <v>0</v>
      </c>
      <c r="L94" s="152">
        <f>Calcs!CM428</f>
        <v>0</v>
      </c>
      <c r="M94" s="152">
        <f>Calcs!CN428</f>
        <v>0</v>
      </c>
      <c r="N94" s="152">
        <f>Calcs!CO428</f>
        <v>0</v>
      </c>
      <c r="O94" s="152">
        <f>Calcs!CP428</f>
        <v>0</v>
      </c>
      <c r="P94" s="152">
        <f>Calcs!CQ428</f>
        <v>0</v>
      </c>
      <c r="Q94" s="151">
        <f>SUM(E94:P94)</f>
        <v>0</v>
      </c>
      <c r="R94" s="152">
        <f>Calcs!CR428</f>
        <v>0</v>
      </c>
      <c r="S94" s="152">
        <f>Calcs!CS428</f>
        <v>0</v>
      </c>
      <c r="T94" s="152">
        <f>Calcs!CT428</f>
        <v>0</v>
      </c>
      <c r="U94" s="152">
        <f>Calcs!CU428</f>
        <v>0</v>
      </c>
      <c r="V94" s="152">
        <f>Calcs!CV428</f>
        <v>0</v>
      </c>
      <c r="W94" s="152">
        <f>Calcs!CW428</f>
        <v>0</v>
      </c>
      <c r="X94" s="152">
        <f>Calcs!CX428</f>
        <v>0</v>
      </c>
      <c r="Y94" s="152">
        <f>Calcs!CY428</f>
        <v>0</v>
      </c>
      <c r="Z94" s="152">
        <f>Calcs!CZ428</f>
        <v>0</v>
      </c>
      <c r="AA94" s="152">
        <f>Calcs!DA428</f>
        <v>0</v>
      </c>
      <c r="AB94" s="152">
        <f>Calcs!DB428</f>
        <v>0</v>
      </c>
      <c r="AC94" s="152">
        <f>Calcs!DC428</f>
        <v>0</v>
      </c>
      <c r="AD94" s="152">
        <f>SUM(R94:AC94)</f>
        <v>0</v>
      </c>
      <c r="AE94" s="152">
        <f>Calcs!DD428</f>
        <v>0</v>
      </c>
      <c r="AF94" s="152">
        <f>Calcs!DE428</f>
        <v>0</v>
      </c>
      <c r="AG94" s="152">
        <f>Calcs!DF428</f>
        <v>0</v>
      </c>
      <c r="AH94" s="152">
        <f>Calcs!DG428</f>
        <v>0</v>
      </c>
      <c r="AI94" s="152">
        <f>Calcs!DH428</f>
        <v>0</v>
      </c>
      <c r="AJ94" s="152">
        <f>Calcs!DI428</f>
        <v>0</v>
      </c>
      <c r="AK94" s="152">
        <f>Calcs!DJ428</f>
        <v>0</v>
      </c>
      <c r="AL94" s="152">
        <f>Calcs!DK428</f>
        <v>0</v>
      </c>
      <c r="AM94" s="152">
        <f>Calcs!DL428</f>
        <v>0</v>
      </c>
      <c r="AN94" s="152">
        <f>Calcs!DM428</f>
        <v>0</v>
      </c>
      <c r="AO94" s="152">
        <f>Calcs!DN428</f>
        <v>0</v>
      </c>
      <c r="AP94" s="152">
        <f>Calcs!DO428</f>
        <v>0</v>
      </c>
      <c r="AQ94" s="152">
        <f>SUM(AE94:AP94)</f>
        <v>0</v>
      </c>
      <c r="AR94" s="152">
        <f>Calcs!DP428</f>
        <v>0</v>
      </c>
      <c r="AS94" s="152">
        <f>Calcs!DQ428</f>
        <v>0</v>
      </c>
      <c r="AT94" s="152">
        <f>Calcs!DR428</f>
        <v>0</v>
      </c>
      <c r="AU94" s="152">
        <f>Calcs!DS428</f>
        <v>0</v>
      </c>
      <c r="AV94" s="152">
        <f>Calcs!DT428</f>
        <v>0</v>
      </c>
      <c r="AW94" s="152">
        <f>Calcs!DU428</f>
        <v>0</v>
      </c>
      <c r="AX94" s="152">
        <f>Calcs!DV428</f>
        <v>0</v>
      </c>
      <c r="AY94" s="152">
        <f>Calcs!DW428</f>
        <v>0</v>
      </c>
      <c r="AZ94" s="152">
        <f>Calcs!DX428</f>
        <v>0</v>
      </c>
      <c r="BA94" s="152">
        <f>Calcs!DY428</f>
        <v>0</v>
      </c>
      <c r="BB94" s="152">
        <f>Calcs!DZ428</f>
        <v>0</v>
      </c>
      <c r="BC94" s="152">
        <f>Calcs!EA428</f>
        <v>0</v>
      </c>
      <c r="BD94" s="152">
        <f>SUM(AR94:BC94)</f>
        <v>0</v>
      </c>
      <c r="BE94" s="152">
        <f>Calcs!EB428</f>
        <v>0</v>
      </c>
      <c r="BF94" s="152">
        <f>Calcs!EC428</f>
        <v>0</v>
      </c>
      <c r="BG94" s="152">
        <f>Calcs!ED428</f>
        <v>0</v>
      </c>
      <c r="BH94" s="152">
        <f>Calcs!EE428</f>
        <v>0</v>
      </c>
      <c r="BI94" s="152">
        <f>Calcs!EF428</f>
        <v>0</v>
      </c>
      <c r="BJ94" s="152">
        <f>Calcs!EG428</f>
        <v>0</v>
      </c>
      <c r="BK94" s="152">
        <f>Calcs!EH428</f>
        <v>0</v>
      </c>
      <c r="BL94" s="152">
        <f>Calcs!EI428</f>
        <v>0</v>
      </c>
      <c r="BM94" s="152">
        <f>Calcs!EJ428</f>
        <v>0</v>
      </c>
      <c r="BN94" s="152">
        <f>Calcs!EK428</f>
        <v>0</v>
      </c>
      <c r="BO94" s="152">
        <f>Calcs!EL428</f>
        <v>0</v>
      </c>
      <c r="BP94" s="152">
        <f>Calcs!EM428</f>
        <v>0</v>
      </c>
      <c r="BQ94" s="152">
        <f>SUM(BE94:BP94)</f>
        <v>0</v>
      </c>
      <c r="BR94" s="1567"/>
      <c r="BS94" s="153">
        <f>SUM(BQ94,BD94,AQ94,AD94,Q94)</f>
        <v>0</v>
      </c>
      <c r="BT94" s="1567"/>
      <c r="BU94" s="171">
        <f>SUM(BQ94,BD94,AQ94,AD94,Q94)</f>
      </c>
      <c r="BV94" s="170">
        <f>Calcs!CE428</f>
        <v>0</v>
      </c>
      <c r="BW94" s="96">
        <f>SUM(Financials!E94:'Financials'!G94)</f>
        <v>0</v>
      </c>
      <c r="BX94" s="96">
        <f>SUM(Financials!H94:'Financials'!J94)</f>
        <v>0</v>
      </c>
      <c r="BY94" s="96">
        <f>SUM(Financials!K94:'Financials'!M94)</f>
        <v>0</v>
      </c>
      <c r="BZ94" s="96">
        <f>SUM(Financials!N94:'Financials'!P94)</f>
        <v>0</v>
      </c>
      <c r="CA94" s="152">
        <f>SUM(Financials!R94:'Financials'!T94)</f>
        <v>0</v>
      </c>
      <c r="CB94" s="152">
        <f>SUM(Financials!U94:'Financials'!W94)</f>
        <v>0</v>
      </c>
      <c r="CC94" s="152">
        <f>SUM(Financials!X94:'Financials'!Z94)</f>
        <v>0</v>
      </c>
      <c r="CD94" s="152">
        <f>SUM(Financials!AA94:'Financials'!AC94)</f>
        <v>0</v>
      </c>
      <c r="CE94" s="152">
        <f>SUM(Financials!AE94:'Financials'!AG94)</f>
        <v>0</v>
      </c>
      <c r="CF94" s="152">
        <f>SUM(Financials!AH94:'Financials'!AJ94)</f>
        <v>0</v>
      </c>
      <c r="CG94" s="152">
        <f>SUM(Financials!AK94:'Financials'!AM94)</f>
        <v>0</v>
      </c>
      <c r="CH94" s="152">
        <f>SUM(Financials!AN94:'Financials'!AP94)</f>
        <v>0</v>
      </c>
      <c r="CI94" s="152">
        <f>SUM(Financials!AR94:'Financials'!AT94)</f>
        <v>0</v>
      </c>
      <c r="CJ94" s="152">
        <f>SUM(Financials!AU94:'Financials'!AW94)</f>
        <v>0</v>
      </c>
      <c r="CK94" s="152">
        <f>SUM(Financials!AX94:'Financials'!AZ94)</f>
        <v>0</v>
      </c>
      <c r="CL94" s="152">
        <f>SUM(Financials!BA94:'Financials'!BC94)</f>
        <v>0</v>
      </c>
      <c r="CM94" s="152">
        <f>SUM(Financials!BE94:'Financials'!BG94)</f>
        <v>0</v>
      </c>
      <c r="CN94" s="152">
        <f>SUM(Financials!BH94:'Financials'!BJ94)</f>
        <v>0</v>
      </c>
      <c r="CO94" s="152">
        <f>SUM(Financials!BK94:'Financials'!BM94)</f>
        <v>0</v>
      </c>
      <c r="CP94" s="152">
        <f>SUM(Financials!BN94:'Financials'!BP94)</f>
        <v>0</v>
      </c>
      <c r="CY94" s="305"/>
      <c r="CZ94" s="305"/>
      <c r="DA94" s="305"/>
      <c r="DB94" s="305"/>
      <c r="DC94" s="305"/>
      <c r="DD94" s="305"/>
      <c r="DE94" s="305"/>
      <c r="DF94" s="305"/>
      <c r="DG94" s="305"/>
      <c r="DH94" s="305"/>
      <c r="DI94" s="305"/>
      <c r="DJ94" s="305"/>
      <c r="DK94" s="305"/>
      <c r="DL94" s="305"/>
      <c r="DM94" s="305"/>
      <c r="DN94" s="305"/>
      <c r="DO94" s="305"/>
      <c r="DP94" s="305"/>
      <c r="DQ94" s="305"/>
      <c r="DR94" s="305"/>
      <c r="DS94" s="305"/>
      <c r="DT94" s="305"/>
      <c r="DU94" s="305"/>
      <c r="DV94" s="305"/>
      <c r="DW94" s="305"/>
      <c r="DX94" s="305"/>
      <c r="DY94" s="305"/>
      <c r="DZ94" s="305"/>
      <c r="EA94" s="305"/>
      <c r="EB94" s="305"/>
      <c r="EC94" s="305"/>
      <c r="ED94" s="305"/>
      <c r="EE94" s="305"/>
      <c r="EF94" s="305"/>
      <c r="EG94" s="305"/>
      <c r="EH94" s="305"/>
      <c r="EI94" s="305"/>
      <c r="EJ94" s="305"/>
      <c r="EK94" s="305"/>
      <c r="EL94" s="305"/>
      <c r="EM94" s="305"/>
      <c r="EN94" s="305"/>
      <c r="EO94" s="305"/>
      <c r="EP94" s="305"/>
      <c r="EQ94" s="305"/>
      <c r="ER94" s="305"/>
      <c r="ES94" s="305"/>
      <c r="ET94" s="305"/>
      <c r="EU94" s="305"/>
      <c r="EV94" s="305"/>
      <c r="EW94" s="305"/>
      <c r="EX94" s="305"/>
      <c r="EY94" s="305"/>
      <c r="EZ94" s="305"/>
      <c r="FA94" s="305"/>
      <c r="FB94" s="305"/>
      <c r="FC94" s="305"/>
      <c r="FD94" s="305"/>
      <c r="FE94" s="305"/>
      <c r="FF94" s="305"/>
      <c r="FG94" s="305"/>
      <c r="FH94" s="305"/>
      <c r="FI94" s="305"/>
      <c r="FJ94" s="305"/>
    </row>
    <row r="95" spans="1:166" ht="12.75" customHeight="1" x14ac:dyDescent="0.35" hidden="1">
      <c r="A95" s="136"/>
      <c r="B95" s="136"/>
      <c r="C95" s="136"/>
      <c r="D95" s="172" t="str">
        <f>IF(Calcs!CE429=0,"TBD",Calcs!CE429)</f>
        <v>TBD</v>
      </c>
      <c r="E95" s="152">
        <f>Calcs!CF429</f>
        <v>0</v>
      </c>
      <c r="F95" s="152">
        <f>Calcs!CG429</f>
        <v>0</v>
      </c>
      <c r="G95" s="152">
        <f>Calcs!CH429</f>
        <v>0</v>
      </c>
      <c r="H95" s="152">
        <f>Calcs!CI429</f>
        <v>0</v>
      </c>
      <c r="I95" s="152">
        <f>Calcs!CJ429</f>
        <v>0</v>
      </c>
      <c r="J95" s="152">
        <f>Calcs!CK429</f>
        <v>0</v>
      </c>
      <c r="K95" s="152">
        <f>Calcs!CL429</f>
        <v>0</v>
      </c>
      <c r="L95" s="152">
        <f>Calcs!CM429</f>
        <v>0</v>
      </c>
      <c r="M95" s="152">
        <f>Calcs!CN429</f>
        <v>0</v>
      </c>
      <c r="N95" s="152">
        <f>Calcs!CO429</f>
        <v>0</v>
      </c>
      <c r="O95" s="152">
        <f>Calcs!CP429</f>
        <v>0</v>
      </c>
      <c r="P95" s="152">
        <f>Calcs!CQ429</f>
        <v>0</v>
      </c>
      <c r="Q95" s="151">
        <f>SUM(E95:P95)</f>
        <v>0</v>
      </c>
      <c r="R95" s="152">
        <f>Calcs!CR429</f>
        <v>0</v>
      </c>
      <c r="S95" s="152">
        <f>Calcs!CS429</f>
        <v>0</v>
      </c>
      <c r="T95" s="152">
        <f>Calcs!CT429</f>
        <v>0</v>
      </c>
      <c r="U95" s="152">
        <f>Calcs!CU429</f>
        <v>0</v>
      </c>
      <c r="V95" s="152">
        <f>Calcs!CV429</f>
        <v>0</v>
      </c>
      <c r="W95" s="152">
        <f>Calcs!CW429</f>
        <v>0</v>
      </c>
      <c r="X95" s="152">
        <f>Calcs!CX429</f>
        <v>0</v>
      </c>
      <c r="Y95" s="152">
        <f>Calcs!CY429</f>
        <v>0</v>
      </c>
      <c r="Z95" s="152">
        <f>Calcs!CZ429</f>
        <v>0</v>
      </c>
      <c r="AA95" s="152">
        <f>Calcs!DA429</f>
        <v>0</v>
      </c>
      <c r="AB95" s="152">
        <f>Calcs!DB429</f>
        <v>0</v>
      </c>
      <c r="AC95" s="152">
        <f>Calcs!DC429</f>
        <v>0</v>
      </c>
      <c r="AD95" s="152">
        <f>SUM(R95:AC95)</f>
        <v>0</v>
      </c>
      <c r="AE95" s="152">
        <f>Calcs!DD429</f>
        <v>0</v>
      </c>
      <c r="AF95" s="152">
        <f>Calcs!DE429</f>
        <v>0</v>
      </c>
      <c r="AG95" s="152">
        <f>Calcs!DF429</f>
        <v>0</v>
      </c>
      <c r="AH95" s="152">
        <f>Calcs!DG429</f>
        <v>0</v>
      </c>
      <c r="AI95" s="152">
        <f>Calcs!DH429</f>
        <v>0</v>
      </c>
      <c r="AJ95" s="152">
        <f>Calcs!DI429</f>
        <v>0</v>
      </c>
      <c r="AK95" s="152">
        <f>Calcs!DJ429</f>
        <v>0</v>
      </c>
      <c r="AL95" s="152">
        <f>Calcs!DK429</f>
        <v>0</v>
      </c>
      <c r="AM95" s="152">
        <f>Calcs!DL429</f>
        <v>0</v>
      </c>
      <c r="AN95" s="152">
        <f>Calcs!DM429</f>
        <v>0</v>
      </c>
      <c r="AO95" s="152">
        <f>Calcs!DN429</f>
        <v>0</v>
      </c>
      <c r="AP95" s="152">
        <f>Calcs!DO429</f>
        <v>0</v>
      </c>
      <c r="AQ95" s="152">
        <f>SUM(AE95:AP95)</f>
        <v>0</v>
      </c>
      <c r="AR95" s="152">
        <f>Calcs!DP429</f>
        <v>0</v>
      </c>
      <c r="AS95" s="152">
        <f>Calcs!DQ429</f>
        <v>0</v>
      </c>
      <c r="AT95" s="152">
        <f>Calcs!DR429</f>
        <v>0</v>
      </c>
      <c r="AU95" s="152">
        <f>Calcs!DS429</f>
        <v>0</v>
      </c>
      <c r="AV95" s="152">
        <f>Calcs!DT429</f>
        <v>0</v>
      </c>
      <c r="AW95" s="152">
        <f>Calcs!DU429</f>
        <v>0</v>
      </c>
      <c r="AX95" s="152">
        <f>Calcs!DV429</f>
        <v>0</v>
      </c>
      <c r="AY95" s="152">
        <f>Calcs!DW429</f>
        <v>0</v>
      </c>
      <c r="AZ95" s="152">
        <f>Calcs!DX429</f>
        <v>0</v>
      </c>
      <c r="BA95" s="152">
        <f>Calcs!DY429</f>
        <v>0</v>
      </c>
      <c r="BB95" s="152">
        <f>Calcs!DZ429</f>
        <v>0</v>
      </c>
      <c r="BC95" s="152">
        <f>Calcs!EA429</f>
        <v>0</v>
      </c>
      <c r="BD95" s="152">
        <f>SUM(AR95:BC95)</f>
        <v>0</v>
      </c>
      <c r="BE95" s="152">
        <f>Calcs!EB429</f>
        <v>0</v>
      </c>
      <c r="BF95" s="152">
        <f>Calcs!EC429</f>
        <v>0</v>
      </c>
      <c r="BG95" s="152">
        <f>Calcs!ED429</f>
        <v>0</v>
      </c>
      <c r="BH95" s="152">
        <f>Calcs!EE429</f>
        <v>0</v>
      </c>
      <c r="BI95" s="152">
        <f>Calcs!EF429</f>
        <v>0</v>
      </c>
      <c r="BJ95" s="152">
        <f>Calcs!EG429</f>
        <v>0</v>
      </c>
      <c r="BK95" s="152">
        <f>Calcs!EH429</f>
        <v>0</v>
      </c>
      <c r="BL95" s="152">
        <f>Calcs!EI429</f>
        <v>0</v>
      </c>
      <c r="BM95" s="152">
        <f>Calcs!EJ429</f>
        <v>0</v>
      </c>
      <c r="BN95" s="152">
        <f>Calcs!EK429</f>
        <v>0</v>
      </c>
      <c r="BO95" s="152">
        <f>Calcs!EL429</f>
        <v>0</v>
      </c>
      <c r="BP95" s="152">
        <f>Calcs!EM429</f>
        <v>0</v>
      </c>
      <c r="BQ95" s="152">
        <f>SUM(BE95:BP95)</f>
        <v>0</v>
      </c>
      <c r="BR95" s="1567"/>
      <c r="BS95" s="153">
        <f>SUM(BQ95,BD95,AQ95,AD95,Q95)</f>
        <v>0</v>
      </c>
      <c r="BT95" s="1567"/>
      <c r="BU95" s="171">
        <f>SUM(BQ95,BD95,AQ95,AD95,Q95)</f>
      </c>
      <c r="BV95" s="170">
        <f>Calcs!CE429</f>
        <v>0</v>
      </c>
      <c r="BW95" s="96">
        <f>SUM(Financials!E95:'Financials'!G95)</f>
        <v>0</v>
      </c>
      <c r="BX95" s="96">
        <f>SUM(Financials!H95:'Financials'!J95)</f>
        <v>0</v>
      </c>
      <c r="BY95" s="96">
        <f>SUM(Financials!K95:'Financials'!M95)</f>
        <v>0</v>
      </c>
      <c r="BZ95" s="96">
        <f>SUM(Financials!N95:'Financials'!P95)</f>
        <v>0</v>
      </c>
      <c r="CA95" s="152">
        <f>SUM(Financials!R95:'Financials'!T95)</f>
        <v>0</v>
      </c>
      <c r="CB95" s="152">
        <f>SUM(Financials!U95:'Financials'!W95)</f>
        <v>0</v>
      </c>
      <c r="CC95" s="152">
        <f>SUM(Financials!X95:'Financials'!Z95)</f>
        <v>0</v>
      </c>
      <c r="CD95" s="152">
        <f>SUM(Financials!AA95:'Financials'!AC95)</f>
        <v>0</v>
      </c>
      <c r="CE95" s="152">
        <f>SUM(Financials!AE95:'Financials'!AG95)</f>
        <v>0</v>
      </c>
      <c r="CF95" s="152">
        <f>SUM(Financials!AH95:'Financials'!AJ95)</f>
        <v>0</v>
      </c>
      <c r="CG95" s="152">
        <f>SUM(Financials!AK95:'Financials'!AM95)</f>
        <v>0</v>
      </c>
      <c r="CH95" s="152">
        <f>SUM(Financials!AN95:'Financials'!AP95)</f>
        <v>0</v>
      </c>
      <c r="CI95" s="152">
        <f>SUM(Financials!AR95:'Financials'!AT95)</f>
        <v>0</v>
      </c>
      <c r="CJ95" s="152">
        <f>SUM(Financials!AU95:'Financials'!AW95)</f>
        <v>0</v>
      </c>
      <c r="CK95" s="152">
        <f>SUM(Financials!AX95:'Financials'!AZ95)</f>
        <v>0</v>
      </c>
      <c r="CL95" s="152">
        <f>SUM(Financials!BA95:'Financials'!BC95)</f>
        <v>0</v>
      </c>
      <c r="CM95" s="152">
        <f>SUM(Financials!BE95:'Financials'!BG95)</f>
        <v>0</v>
      </c>
      <c r="CN95" s="152">
        <f>SUM(Financials!BH95:'Financials'!BJ95)</f>
        <v>0</v>
      </c>
      <c r="CO95" s="152">
        <f>SUM(Financials!BK95:'Financials'!BM95)</f>
        <v>0</v>
      </c>
      <c r="CP95" s="152">
        <f>SUM(Financials!BN95:'Financials'!BP95)</f>
        <v>0</v>
      </c>
      <c r="CY95" s="305"/>
      <c r="CZ95" s="305"/>
      <c r="DA95" s="305"/>
      <c r="DB95" s="305"/>
      <c r="DC95" s="305"/>
      <c r="DD95" s="305"/>
      <c r="DE95" s="305"/>
      <c r="DF95" s="305"/>
      <c r="DG95" s="305"/>
      <c r="DH95" s="305"/>
      <c r="DI95" s="305"/>
      <c r="DJ95" s="305"/>
      <c r="DK95" s="305"/>
      <c r="DL95" s="305"/>
      <c r="DM95" s="305"/>
      <c r="DN95" s="305"/>
      <c r="DO95" s="305"/>
      <c r="DP95" s="305"/>
      <c r="DQ95" s="305"/>
      <c r="DR95" s="305"/>
      <c r="DS95" s="305"/>
      <c r="DT95" s="305"/>
      <c r="DU95" s="305"/>
      <c r="DV95" s="305"/>
      <c r="DW95" s="305"/>
      <c r="DX95" s="305"/>
      <c r="DY95" s="305"/>
      <c r="DZ95" s="305"/>
      <c r="EA95" s="305"/>
      <c r="EB95" s="305"/>
      <c r="EC95" s="305"/>
      <c r="ED95" s="305"/>
      <c r="EE95" s="305"/>
      <c r="EF95" s="305"/>
      <c r="EG95" s="305"/>
      <c r="EH95" s="305"/>
      <c r="EI95" s="305"/>
      <c r="EJ95" s="305"/>
      <c r="EK95" s="305"/>
      <c r="EL95" s="305"/>
      <c r="EM95" s="305"/>
      <c r="EN95" s="305"/>
      <c r="EO95" s="305"/>
      <c r="EP95" s="305"/>
      <c r="EQ95" s="305"/>
      <c r="ER95" s="305"/>
      <c r="ES95" s="305"/>
      <c r="ET95" s="305"/>
      <c r="EU95" s="305"/>
      <c r="EV95" s="305"/>
      <c r="EW95" s="305"/>
      <c r="EX95" s="305"/>
      <c r="EY95" s="305"/>
      <c r="EZ95" s="305"/>
      <c r="FA95" s="305"/>
      <c r="FB95" s="305"/>
      <c r="FC95" s="305"/>
      <c r="FD95" s="305"/>
      <c r="FE95" s="305"/>
      <c r="FF95" s="305"/>
      <c r="FG95" s="305"/>
      <c r="FH95" s="305"/>
      <c r="FI95" s="305"/>
      <c r="FJ95" s="305"/>
    </row>
    <row r="96" spans="1:166" ht="12.75" customHeight="1" x14ac:dyDescent="0.35" hidden="1">
      <c r="A96" s="136"/>
      <c r="B96" s="136"/>
      <c r="C96" s="136"/>
      <c r="D96" s="172" t="str">
        <f>IF(Calcs!CE430=0,"TBD",Calcs!CE430)</f>
        <v>TBD</v>
      </c>
      <c r="E96" s="152">
        <f>Calcs!CF430</f>
        <v>0</v>
      </c>
      <c r="F96" s="152">
        <f>Calcs!CG430</f>
        <v>0</v>
      </c>
      <c r="G96" s="152">
        <f>Calcs!CH430</f>
        <v>0</v>
      </c>
      <c r="H96" s="152">
        <f>Calcs!CI430</f>
        <v>0</v>
      </c>
      <c r="I96" s="152">
        <f>Calcs!CJ430</f>
        <v>0</v>
      </c>
      <c r="J96" s="152">
        <f>Calcs!CK430</f>
        <v>0</v>
      </c>
      <c r="K96" s="152">
        <f>Calcs!CL430</f>
        <v>0</v>
      </c>
      <c r="L96" s="152">
        <f>Calcs!CM430</f>
        <v>0</v>
      </c>
      <c r="M96" s="152">
        <f>Calcs!CN430</f>
        <v>0</v>
      </c>
      <c r="N96" s="152">
        <f>Calcs!CO430</f>
        <v>0</v>
      </c>
      <c r="O96" s="152">
        <f>Calcs!CP430</f>
        <v>0</v>
      </c>
      <c r="P96" s="152">
        <f>Calcs!CQ430</f>
        <v>0</v>
      </c>
      <c r="Q96" s="151">
        <f>SUM(E96:P96)</f>
        <v>0</v>
      </c>
      <c r="R96" s="152">
        <f>Calcs!CR430</f>
        <v>0</v>
      </c>
      <c r="S96" s="152">
        <f>Calcs!CS430</f>
        <v>0</v>
      </c>
      <c r="T96" s="152">
        <f>Calcs!CT430</f>
        <v>0</v>
      </c>
      <c r="U96" s="152">
        <f>Calcs!CU430</f>
        <v>0</v>
      </c>
      <c r="V96" s="152">
        <f>Calcs!CV430</f>
        <v>0</v>
      </c>
      <c r="W96" s="152">
        <f>Calcs!CW430</f>
        <v>0</v>
      </c>
      <c r="X96" s="152">
        <f>Calcs!CX430</f>
        <v>0</v>
      </c>
      <c r="Y96" s="152">
        <f>Calcs!CY430</f>
        <v>0</v>
      </c>
      <c r="Z96" s="152">
        <f>Calcs!CZ430</f>
        <v>0</v>
      </c>
      <c r="AA96" s="152">
        <f>Calcs!DA430</f>
        <v>0</v>
      </c>
      <c r="AB96" s="152">
        <f>Calcs!DB430</f>
        <v>0</v>
      </c>
      <c r="AC96" s="152">
        <f>Calcs!DC430</f>
        <v>0</v>
      </c>
      <c r="AD96" s="152">
        <f>SUM(R96:AC96)</f>
        <v>0</v>
      </c>
      <c r="AE96" s="152">
        <f>Calcs!DD430</f>
        <v>0</v>
      </c>
      <c r="AF96" s="152">
        <f>Calcs!DE430</f>
        <v>0</v>
      </c>
      <c r="AG96" s="152">
        <f>Calcs!DF430</f>
        <v>0</v>
      </c>
      <c r="AH96" s="152">
        <f>Calcs!DG430</f>
        <v>0</v>
      </c>
      <c r="AI96" s="152">
        <f>Calcs!DH430</f>
        <v>0</v>
      </c>
      <c r="AJ96" s="152">
        <f>Calcs!DI430</f>
        <v>0</v>
      </c>
      <c r="AK96" s="152">
        <f>Calcs!DJ430</f>
        <v>0</v>
      </c>
      <c r="AL96" s="152">
        <f>Calcs!DK430</f>
        <v>0</v>
      </c>
      <c r="AM96" s="152">
        <f>Calcs!DL430</f>
        <v>0</v>
      </c>
      <c r="AN96" s="152">
        <f>Calcs!DM430</f>
        <v>0</v>
      </c>
      <c r="AO96" s="152">
        <f>Calcs!DN430</f>
        <v>0</v>
      </c>
      <c r="AP96" s="152">
        <f>Calcs!DO430</f>
        <v>0</v>
      </c>
      <c r="AQ96" s="152">
        <f>SUM(AE96:AP96)</f>
        <v>0</v>
      </c>
      <c r="AR96" s="152">
        <f>Calcs!DP430</f>
        <v>0</v>
      </c>
      <c r="AS96" s="152">
        <f>Calcs!DQ430</f>
        <v>0</v>
      </c>
      <c r="AT96" s="152">
        <f>Calcs!DR430</f>
        <v>0</v>
      </c>
      <c r="AU96" s="152">
        <f>Calcs!DS430</f>
        <v>0</v>
      </c>
      <c r="AV96" s="152">
        <f>Calcs!DT430</f>
        <v>0</v>
      </c>
      <c r="AW96" s="152">
        <f>Calcs!DU430</f>
        <v>0</v>
      </c>
      <c r="AX96" s="152">
        <f>Calcs!DV430</f>
        <v>0</v>
      </c>
      <c r="AY96" s="152">
        <f>Calcs!DW430</f>
        <v>0</v>
      </c>
      <c r="AZ96" s="152">
        <f>Calcs!DX430</f>
        <v>0</v>
      </c>
      <c r="BA96" s="152">
        <f>Calcs!DY430</f>
        <v>0</v>
      </c>
      <c r="BB96" s="152">
        <f>Calcs!DZ430</f>
        <v>0</v>
      </c>
      <c r="BC96" s="152">
        <f>Calcs!EA430</f>
        <v>0</v>
      </c>
      <c r="BD96" s="152">
        <f>SUM(AR96:BC96)</f>
        <v>0</v>
      </c>
      <c r="BE96" s="152">
        <f>Calcs!EB430</f>
        <v>0</v>
      </c>
      <c r="BF96" s="152">
        <f>Calcs!EC430</f>
        <v>0</v>
      </c>
      <c r="BG96" s="152">
        <f>Calcs!ED430</f>
        <v>0</v>
      </c>
      <c r="BH96" s="152">
        <f>Calcs!EE430</f>
        <v>0</v>
      </c>
      <c r="BI96" s="152">
        <f>Calcs!EF430</f>
        <v>0</v>
      </c>
      <c r="BJ96" s="152">
        <f>Calcs!EG430</f>
        <v>0</v>
      </c>
      <c r="BK96" s="152">
        <f>Calcs!EH430</f>
        <v>0</v>
      </c>
      <c r="BL96" s="152">
        <f>Calcs!EI430</f>
        <v>0</v>
      </c>
      <c r="BM96" s="152">
        <f>Calcs!EJ430</f>
        <v>0</v>
      </c>
      <c r="BN96" s="152">
        <f>Calcs!EK430</f>
        <v>0</v>
      </c>
      <c r="BO96" s="152">
        <f>Calcs!EL430</f>
        <v>0</v>
      </c>
      <c r="BP96" s="152">
        <f>Calcs!EM430</f>
        <v>0</v>
      </c>
      <c r="BQ96" s="152">
        <f>SUM(BE96:BP96)</f>
        <v>0</v>
      </c>
      <c r="BR96" s="1567"/>
      <c r="BS96" s="153">
        <f>SUM(BQ96,BD96,AQ96,AD96,Q96)</f>
        <v>0</v>
      </c>
      <c r="BT96" s="1567"/>
      <c r="BU96" s="171">
        <f>SUM(BQ96,BD96,AQ96,AD96,Q96)</f>
      </c>
      <c r="BV96" s="170" t="str">
        <f>D96</f>
        <v>TBD</v>
      </c>
      <c r="BW96" s="96">
        <f>SUM(Financials!E96:'Financials'!G96)</f>
        <v>0</v>
      </c>
      <c r="BX96" s="96">
        <f>SUM(Financials!H96:'Financials'!J96)</f>
        <v>0</v>
      </c>
      <c r="BY96" s="96">
        <f>SUM(Financials!K96:'Financials'!M96)</f>
        <v>0</v>
      </c>
      <c r="BZ96" s="96">
        <f>SUM(Financials!N96:'Financials'!P96)</f>
        <v>0</v>
      </c>
      <c r="CA96" s="152">
        <f>SUM(Financials!R96:'Financials'!T96)</f>
        <v>0</v>
      </c>
      <c r="CB96" s="152">
        <f>SUM(Financials!U96:'Financials'!W96)</f>
        <v>0</v>
      </c>
      <c r="CC96" s="152">
        <f>SUM(Financials!X96:'Financials'!Z96)</f>
        <v>0</v>
      </c>
      <c r="CD96" s="152">
        <f>SUM(Financials!AA96:'Financials'!AC96)</f>
        <v>0</v>
      </c>
      <c r="CE96" s="152">
        <f>SUM(Financials!AE96:'Financials'!AG96)</f>
        <v>0</v>
      </c>
      <c r="CF96" s="152">
        <f>SUM(Financials!AH96:'Financials'!AJ96)</f>
        <v>0</v>
      </c>
      <c r="CG96" s="152">
        <f>SUM(Financials!AK96:'Financials'!AM96)</f>
        <v>0</v>
      </c>
      <c r="CH96" s="152">
        <f>SUM(Financials!AN96:'Financials'!AP96)</f>
        <v>0</v>
      </c>
      <c r="CI96" s="152">
        <f>SUM(Financials!AR96:'Financials'!AT96)</f>
        <v>0</v>
      </c>
      <c r="CJ96" s="152">
        <f>SUM(Financials!AU96:'Financials'!AW96)</f>
        <v>0</v>
      </c>
      <c r="CK96" s="152">
        <f>SUM(Financials!AX96:'Financials'!AZ96)</f>
        <v>0</v>
      </c>
      <c r="CL96" s="152">
        <f>SUM(Financials!BA96:'Financials'!BC96)</f>
        <v>0</v>
      </c>
      <c r="CM96" s="152">
        <f>SUM(Financials!BE96:'Financials'!BG96)</f>
        <v>0</v>
      </c>
      <c r="CN96" s="152">
        <f>SUM(Financials!BH96:'Financials'!BJ96)</f>
        <v>0</v>
      </c>
      <c r="CO96" s="152">
        <f>SUM(Financials!BK96:'Financials'!BM96)</f>
        <v>0</v>
      </c>
      <c r="CP96" s="152">
        <f>SUM(Financials!BN96:'Financials'!BP96)</f>
        <v>0</v>
      </c>
      <c r="CY96" s="305"/>
      <c r="CZ96" s="305"/>
      <c r="DA96" s="305"/>
      <c r="DB96" s="305"/>
      <c r="DC96" s="305"/>
      <c r="DD96" s="305"/>
      <c r="DE96" s="305"/>
      <c r="DF96" s="305"/>
      <c r="DG96" s="305"/>
      <c r="DH96" s="305"/>
      <c r="DI96" s="305"/>
      <c r="DJ96" s="305"/>
      <c r="DK96" s="305"/>
      <c r="DL96" s="305"/>
      <c r="DM96" s="305"/>
      <c r="DN96" s="305"/>
      <c r="DO96" s="305"/>
      <c r="DP96" s="305"/>
      <c r="DQ96" s="305"/>
      <c r="DR96" s="305"/>
      <c r="DS96" s="305"/>
      <c r="DT96" s="305"/>
      <c r="DU96" s="305"/>
      <c r="DV96" s="305"/>
      <c r="DW96" s="305"/>
      <c r="DX96" s="305"/>
      <c r="DY96" s="305"/>
      <c r="DZ96" s="305"/>
      <c r="EA96" s="305"/>
      <c r="EB96" s="305"/>
      <c r="EC96" s="305"/>
      <c r="ED96" s="305"/>
      <c r="EE96" s="305"/>
      <c r="EF96" s="305"/>
      <c r="EG96" s="305"/>
      <c r="EH96" s="305"/>
      <c r="EI96" s="305"/>
      <c r="EJ96" s="305"/>
      <c r="EK96" s="305"/>
      <c r="EL96" s="305"/>
      <c r="EM96" s="305"/>
      <c r="EN96" s="305"/>
      <c r="EO96" s="305"/>
      <c r="EP96" s="305"/>
      <c r="EQ96" s="305"/>
      <c r="ER96" s="305"/>
      <c r="ES96" s="305"/>
      <c r="ET96" s="305"/>
      <c r="EU96" s="305"/>
      <c r="EV96" s="305"/>
      <c r="EW96" s="305"/>
      <c r="EX96" s="305"/>
      <c r="EY96" s="305"/>
      <c r="EZ96" s="305"/>
      <c r="FA96" s="305"/>
      <c r="FB96" s="305"/>
      <c r="FC96" s="305"/>
      <c r="FD96" s="305"/>
      <c r="FE96" s="305"/>
      <c r="FF96" s="305"/>
      <c r="FG96" s="305"/>
      <c r="FH96" s="305"/>
      <c r="FI96" s="305"/>
      <c r="FJ96" s="305"/>
    </row>
    <row r="97" spans="1:166" ht="12.75" customHeight="1" x14ac:dyDescent="0.35" hidden="1">
      <c r="A97" s="136"/>
      <c r="B97" s="136"/>
      <c r="C97" s="136"/>
      <c r="D97" s="172" t="str">
        <f>IF(Calcs!CE431=0,"TBD",Calcs!CE431)</f>
        <v>TBD</v>
      </c>
      <c r="E97" s="152">
        <f>Calcs!CF431</f>
        <v>0</v>
      </c>
      <c r="F97" s="152">
        <f>Calcs!CG431</f>
        <v>0</v>
      </c>
      <c r="G97" s="152">
        <f>Calcs!CH431</f>
        <v>0</v>
      </c>
      <c r="H97" s="152">
        <f>Calcs!CI431</f>
        <v>0</v>
      </c>
      <c r="I97" s="152">
        <f>Calcs!CJ431</f>
        <v>0</v>
      </c>
      <c r="J97" s="152">
        <f>Calcs!CK431</f>
        <v>0</v>
      </c>
      <c r="K97" s="152">
        <f>Calcs!CL431</f>
        <v>0</v>
      </c>
      <c r="L97" s="152">
        <f>Calcs!CM431</f>
        <v>0</v>
      </c>
      <c r="M97" s="152">
        <f>Calcs!CN431</f>
        <v>0</v>
      </c>
      <c r="N97" s="152">
        <f>Calcs!CO431</f>
        <v>0</v>
      </c>
      <c r="O97" s="152">
        <f>Calcs!CP431</f>
        <v>0</v>
      </c>
      <c r="P97" s="152">
        <f>Calcs!CQ431</f>
        <v>0</v>
      </c>
      <c r="Q97" s="151">
        <f>SUM(E97:P97)</f>
        <v>0</v>
      </c>
      <c r="R97" s="152">
        <f>Calcs!CR431</f>
        <v>0</v>
      </c>
      <c r="S97" s="152">
        <f>Calcs!CS431</f>
        <v>0</v>
      </c>
      <c r="T97" s="152">
        <f>Calcs!CT431</f>
        <v>0</v>
      </c>
      <c r="U97" s="152">
        <f>Calcs!CU431</f>
        <v>0</v>
      </c>
      <c r="V97" s="152">
        <f>Calcs!CV431</f>
        <v>0</v>
      </c>
      <c r="W97" s="152">
        <f>Calcs!CW431</f>
        <v>0</v>
      </c>
      <c r="X97" s="152">
        <f>Calcs!CX431</f>
        <v>0</v>
      </c>
      <c r="Y97" s="152">
        <f>Calcs!CY431</f>
        <v>0</v>
      </c>
      <c r="Z97" s="152">
        <f>Calcs!CZ431</f>
        <v>0</v>
      </c>
      <c r="AA97" s="152">
        <f>Calcs!DA431</f>
        <v>0</v>
      </c>
      <c r="AB97" s="152">
        <f>Calcs!DB431</f>
        <v>0</v>
      </c>
      <c r="AC97" s="152">
        <f>Calcs!DC431</f>
        <v>0</v>
      </c>
      <c r="AD97" s="152">
        <f>SUM(R97:AC97)</f>
        <v>0</v>
      </c>
      <c r="AE97" s="152">
        <f>Calcs!DD431</f>
        <v>0</v>
      </c>
      <c r="AF97" s="152">
        <f>Calcs!DE431</f>
        <v>0</v>
      </c>
      <c r="AG97" s="152">
        <f>Calcs!DF431</f>
        <v>0</v>
      </c>
      <c r="AH97" s="152">
        <f>Calcs!DG431</f>
        <v>0</v>
      </c>
      <c r="AI97" s="152">
        <f>Calcs!DH431</f>
        <v>0</v>
      </c>
      <c r="AJ97" s="152">
        <f>Calcs!DI431</f>
        <v>0</v>
      </c>
      <c r="AK97" s="152">
        <f>Calcs!DJ431</f>
        <v>0</v>
      </c>
      <c r="AL97" s="152">
        <f>Calcs!DK431</f>
        <v>0</v>
      </c>
      <c r="AM97" s="152">
        <f>Calcs!DL431</f>
        <v>0</v>
      </c>
      <c r="AN97" s="152">
        <f>Calcs!DM431</f>
        <v>0</v>
      </c>
      <c r="AO97" s="152">
        <f>Calcs!DN431</f>
        <v>0</v>
      </c>
      <c r="AP97" s="152">
        <f>Calcs!DO431</f>
        <v>0</v>
      </c>
      <c r="AQ97" s="152">
        <f>SUM(AE97:AP97)</f>
        <v>0</v>
      </c>
      <c r="AR97" s="152">
        <f>Calcs!DP431</f>
        <v>0</v>
      </c>
      <c r="AS97" s="152">
        <f>Calcs!DQ431</f>
        <v>0</v>
      </c>
      <c r="AT97" s="152">
        <f>Calcs!DR431</f>
        <v>0</v>
      </c>
      <c r="AU97" s="152">
        <f>Calcs!DS431</f>
        <v>0</v>
      </c>
      <c r="AV97" s="152">
        <f>Calcs!DT431</f>
        <v>0</v>
      </c>
      <c r="AW97" s="152">
        <f>Calcs!DU431</f>
        <v>0</v>
      </c>
      <c r="AX97" s="152">
        <f>Calcs!DV431</f>
        <v>0</v>
      </c>
      <c r="AY97" s="152">
        <f>Calcs!DW431</f>
        <v>0</v>
      </c>
      <c r="AZ97" s="152">
        <f>Calcs!DX431</f>
        <v>0</v>
      </c>
      <c r="BA97" s="152">
        <f>Calcs!DY431</f>
        <v>0</v>
      </c>
      <c r="BB97" s="152">
        <f>Calcs!DZ431</f>
        <v>0</v>
      </c>
      <c r="BC97" s="152">
        <f>Calcs!EA431</f>
        <v>0</v>
      </c>
      <c r="BD97" s="152">
        <f>SUM(AR97:BC97)</f>
        <v>0</v>
      </c>
      <c r="BE97" s="152">
        <f>Calcs!EB431</f>
        <v>0</v>
      </c>
      <c r="BF97" s="152">
        <f>Calcs!EC431</f>
        <v>0</v>
      </c>
      <c r="BG97" s="152">
        <f>Calcs!ED431</f>
        <v>0</v>
      </c>
      <c r="BH97" s="152">
        <f>Calcs!EE431</f>
        <v>0</v>
      </c>
      <c r="BI97" s="152">
        <f>Calcs!EF431</f>
        <v>0</v>
      </c>
      <c r="BJ97" s="152">
        <f>Calcs!EG431</f>
        <v>0</v>
      </c>
      <c r="BK97" s="152">
        <f>Calcs!EH431</f>
        <v>0</v>
      </c>
      <c r="BL97" s="152">
        <f>Calcs!EI431</f>
        <v>0</v>
      </c>
      <c r="BM97" s="152">
        <f>Calcs!EJ431</f>
        <v>0</v>
      </c>
      <c r="BN97" s="152">
        <f>Calcs!EK431</f>
        <v>0</v>
      </c>
      <c r="BO97" s="152">
        <f>Calcs!EL431</f>
        <v>0</v>
      </c>
      <c r="BP97" s="152">
        <f>Calcs!EM431</f>
        <v>0</v>
      </c>
      <c r="BQ97" s="152">
        <f>SUM(BE97:BP97)</f>
        <v>0</v>
      </c>
      <c r="BR97" s="1567"/>
      <c r="BS97" s="153">
        <f>SUM(BQ97,BD97,AQ97,AD97,Q97)</f>
        <v>0</v>
      </c>
      <c r="BT97" s="1567"/>
      <c r="BU97" s="171">
        <f>SUM(BQ97,BD97,AQ97,AD97,Q97)</f>
      </c>
      <c r="BV97" s="170">
        <f>Calcs!CE432</f>
        <v>0</v>
      </c>
      <c r="BW97" s="96">
        <f>SUM(Financials!E97:'Financials'!G97)</f>
        <v>0</v>
      </c>
      <c r="BX97" s="96">
        <f>SUM(Financials!H97:'Financials'!J97)</f>
        <v>0</v>
      </c>
      <c r="BY97" s="96">
        <f>SUM(Financials!K97:'Financials'!M97)</f>
        <v>0</v>
      </c>
      <c r="BZ97" s="172">
        <f>SUM(Financials!G97:'Financials'!I97)</f>
        <v>0</v>
      </c>
      <c r="CA97" s="152">
        <f>SUM(Financials!R97:'Financials'!T97)</f>
        <v>0</v>
      </c>
      <c r="CB97" s="152">
        <f>SUM(Financials!U97:'Financials'!W97)</f>
        <v>0</v>
      </c>
      <c r="CC97" s="152">
        <f>SUM(Financials!X97:'Financials'!Z97)</f>
        <v>0</v>
      </c>
      <c r="CD97" s="152">
        <f>SUM(Financials!AA97:'Financials'!AC97)</f>
        <v>0</v>
      </c>
      <c r="CE97" s="152">
        <f>SUM(Financials!AE97:'Financials'!AG97)</f>
        <v>0</v>
      </c>
      <c r="CF97" s="152">
        <f>SUM(Financials!AH97:'Financials'!AJ97)</f>
        <v>0</v>
      </c>
      <c r="CG97" s="152">
        <f>SUM(Financials!AK97:'Financials'!AM97)</f>
        <v>0</v>
      </c>
      <c r="CH97" s="152">
        <f>SUM(Financials!AN97:'Financials'!AP97)</f>
        <v>0</v>
      </c>
      <c r="CI97" s="152">
        <f>SUM(Financials!AR97:'Financials'!AT97)</f>
        <v>0</v>
      </c>
      <c r="CJ97" s="152">
        <f>SUM(Financials!AU97:'Financials'!AW97)</f>
        <v>0</v>
      </c>
      <c r="CK97" s="152">
        <f>SUM(Financials!AX97:'Financials'!AZ97)</f>
        <v>0</v>
      </c>
      <c r="CL97" s="152">
        <f>SUM(Financials!BA97:'Financials'!BC97)</f>
        <v>0</v>
      </c>
      <c r="CM97" s="152">
        <f>SUM(Financials!BE97:'Financials'!BG97)</f>
        <v>0</v>
      </c>
      <c r="CN97" s="152">
        <f>SUM(Financials!BH97:'Financials'!BJ97)</f>
        <v>0</v>
      </c>
      <c r="CO97" s="152">
        <f>SUM(Financials!BK97:'Financials'!BM97)</f>
        <v>0</v>
      </c>
      <c r="CP97" s="152">
        <f>SUM(Financials!BN97:'Financials'!BP97)</f>
        <v>0</v>
      </c>
      <c r="CY97" s="305"/>
      <c r="CZ97" s="305"/>
      <c r="DA97" s="305"/>
      <c r="DB97" s="305"/>
      <c r="DC97" s="305"/>
      <c r="DD97" s="305"/>
      <c r="DE97" s="305"/>
      <c r="DF97" s="305"/>
      <c r="DG97" s="305"/>
      <c r="DH97" s="305"/>
      <c r="DI97" s="305"/>
      <c r="DJ97" s="305"/>
      <c r="DK97" s="305"/>
      <c r="DL97" s="305"/>
      <c r="DM97" s="305"/>
      <c r="DN97" s="305"/>
      <c r="DO97" s="305"/>
      <c r="DP97" s="305"/>
      <c r="DQ97" s="305"/>
      <c r="DR97" s="305"/>
      <c r="DS97" s="305"/>
      <c r="DT97" s="305"/>
      <c r="DU97" s="305"/>
      <c r="DV97" s="305"/>
      <c r="DW97" s="305"/>
      <c r="DX97" s="305"/>
      <c r="DY97" s="305"/>
      <c r="DZ97" s="305"/>
      <c r="EA97" s="305"/>
      <c r="EB97" s="305"/>
      <c r="EC97" s="305"/>
      <c r="ED97" s="305"/>
      <c r="EE97" s="305"/>
      <c r="EF97" s="305"/>
      <c r="EG97" s="305"/>
      <c r="EH97" s="305"/>
      <c r="EI97" s="305"/>
      <c r="EJ97" s="305"/>
      <c r="EK97" s="305"/>
      <c r="EL97" s="305"/>
      <c r="EM97" s="305"/>
      <c r="EN97" s="305"/>
      <c r="EO97" s="305"/>
      <c r="EP97" s="305"/>
      <c r="EQ97" s="305"/>
      <c r="ER97" s="305"/>
      <c r="ES97" s="305"/>
      <c r="ET97" s="305"/>
      <c r="EU97" s="305"/>
      <c r="EV97" s="305"/>
      <c r="EW97" s="305"/>
      <c r="EX97" s="305"/>
      <c r="EY97" s="305"/>
      <c r="EZ97" s="305"/>
      <c r="FA97" s="305"/>
      <c r="FB97" s="305"/>
      <c r="FC97" s="305"/>
      <c r="FD97" s="305"/>
      <c r="FE97" s="305"/>
      <c r="FF97" s="305"/>
      <c r="FG97" s="305"/>
      <c r="FH97" s="305"/>
      <c r="FI97" s="305"/>
      <c r="FJ97" s="305"/>
    </row>
    <row r="98" spans="1:166" ht="12.75" customHeight="1" x14ac:dyDescent="0.35" hidden="1">
      <c r="A98" s="136"/>
      <c r="B98" s="136"/>
      <c r="C98" s="136"/>
      <c r="D98" s="172" t="str">
        <f>IF(Calcs!CE432=0,"TBD",Calcs!CE432)</f>
        <v>TBD</v>
      </c>
      <c r="E98" s="152">
        <f>Calcs!CF432</f>
        <v>0</v>
      </c>
      <c r="F98" s="152">
        <f>Calcs!CG432</f>
        <v>0</v>
      </c>
      <c r="G98" s="152">
        <f>Calcs!CH432</f>
        <v>0</v>
      </c>
      <c r="H98" s="152">
        <f>Calcs!CI432</f>
        <v>0</v>
      </c>
      <c r="I98" s="152">
        <f>Calcs!CJ432</f>
        <v>0</v>
      </c>
      <c r="J98" s="152">
        <f>Calcs!CK432</f>
        <v>0</v>
      </c>
      <c r="K98" s="152">
        <f>Calcs!CL432</f>
        <v>0</v>
      </c>
      <c r="L98" s="152">
        <f>Calcs!CM432</f>
        <v>0</v>
      </c>
      <c r="M98" s="152">
        <f>Calcs!CN432</f>
        <v>0</v>
      </c>
      <c r="N98" s="152">
        <f>Calcs!CO432</f>
        <v>0</v>
      </c>
      <c r="O98" s="152">
        <f>Calcs!CP432</f>
        <v>0</v>
      </c>
      <c r="P98" s="152">
        <f>Calcs!CQ432</f>
        <v>0</v>
      </c>
      <c r="Q98" s="151">
        <f>SUM(E98:P98)</f>
        <v>0</v>
      </c>
      <c r="R98" s="152">
        <f>Calcs!CR432</f>
        <v>0</v>
      </c>
      <c r="S98" s="152">
        <f>Calcs!CS432</f>
        <v>0</v>
      </c>
      <c r="T98" s="152">
        <f>Calcs!CT432</f>
        <v>0</v>
      </c>
      <c r="U98" s="152">
        <f>Calcs!CU432</f>
        <v>0</v>
      </c>
      <c r="V98" s="152">
        <f>Calcs!CV432</f>
        <v>0</v>
      </c>
      <c r="W98" s="152">
        <f>Calcs!CW432</f>
        <v>0</v>
      </c>
      <c r="X98" s="152">
        <f>Calcs!CX432</f>
        <v>0</v>
      </c>
      <c r="Y98" s="152">
        <f>Calcs!CY432</f>
        <v>0</v>
      </c>
      <c r="Z98" s="152">
        <f>Calcs!CZ432</f>
        <v>0</v>
      </c>
      <c r="AA98" s="152">
        <f>Calcs!DA432</f>
        <v>0</v>
      </c>
      <c r="AB98" s="152">
        <f>Calcs!DB432</f>
        <v>0</v>
      </c>
      <c r="AC98" s="152">
        <f>Calcs!DC432</f>
        <v>0</v>
      </c>
      <c r="AD98" s="152">
        <f>SUM(R98:AC98)</f>
        <v>0</v>
      </c>
      <c r="AE98" s="152">
        <f>Calcs!DD432</f>
        <v>0</v>
      </c>
      <c r="AF98" s="152">
        <f>Calcs!DE432</f>
        <v>0</v>
      </c>
      <c r="AG98" s="152">
        <f>Calcs!DF432</f>
        <v>0</v>
      </c>
      <c r="AH98" s="152">
        <f>Calcs!DG432</f>
        <v>0</v>
      </c>
      <c r="AI98" s="152">
        <f>Calcs!DH432</f>
        <v>0</v>
      </c>
      <c r="AJ98" s="152">
        <f>Calcs!DI432</f>
        <v>0</v>
      </c>
      <c r="AK98" s="152">
        <f>Calcs!DJ432</f>
        <v>0</v>
      </c>
      <c r="AL98" s="152">
        <f>Calcs!DK432</f>
        <v>0</v>
      </c>
      <c r="AM98" s="152">
        <f>Calcs!DL432</f>
        <v>0</v>
      </c>
      <c r="AN98" s="152">
        <f>Calcs!DM432</f>
        <v>0</v>
      </c>
      <c r="AO98" s="152">
        <f>Calcs!DN432</f>
        <v>0</v>
      </c>
      <c r="AP98" s="152">
        <f>Calcs!DO432</f>
        <v>0</v>
      </c>
      <c r="AQ98" s="152">
        <f>SUM(AE98:AP98)</f>
        <v>0</v>
      </c>
      <c r="AR98" s="152">
        <f>Calcs!DP432</f>
        <v>0</v>
      </c>
      <c r="AS98" s="152">
        <f>Calcs!DQ432</f>
        <v>0</v>
      </c>
      <c r="AT98" s="152">
        <f>Calcs!DR432</f>
        <v>0</v>
      </c>
      <c r="AU98" s="152">
        <f>Calcs!DS432</f>
        <v>0</v>
      </c>
      <c r="AV98" s="152">
        <f>Calcs!DT432</f>
        <v>0</v>
      </c>
      <c r="AW98" s="152">
        <f>Calcs!DU432</f>
        <v>0</v>
      </c>
      <c r="AX98" s="152">
        <f>Calcs!DV432</f>
        <v>0</v>
      </c>
      <c r="AY98" s="152">
        <f>Calcs!DW432</f>
        <v>0</v>
      </c>
      <c r="AZ98" s="152">
        <f>Calcs!DX432</f>
        <v>0</v>
      </c>
      <c r="BA98" s="152">
        <f>Calcs!DY432</f>
        <v>0</v>
      </c>
      <c r="BB98" s="152">
        <f>Calcs!DZ432</f>
        <v>0</v>
      </c>
      <c r="BC98" s="152">
        <f>Calcs!EA432</f>
        <v>0</v>
      </c>
      <c r="BD98" s="152">
        <f>SUM(AR98:BC98)</f>
        <v>0</v>
      </c>
      <c r="BE98" s="152">
        <f>Calcs!EB432</f>
        <v>0</v>
      </c>
      <c r="BF98" s="152">
        <f>Calcs!EC432</f>
        <v>0</v>
      </c>
      <c r="BG98" s="152">
        <f>Calcs!ED432</f>
        <v>0</v>
      </c>
      <c r="BH98" s="152">
        <f>Calcs!EE432</f>
        <v>0</v>
      </c>
      <c r="BI98" s="152">
        <f>Calcs!EF432</f>
        <v>0</v>
      </c>
      <c r="BJ98" s="152">
        <f>Calcs!EG432</f>
        <v>0</v>
      </c>
      <c r="BK98" s="152">
        <f>Calcs!EH432</f>
        <v>0</v>
      </c>
      <c r="BL98" s="152">
        <f>Calcs!EI432</f>
        <v>0</v>
      </c>
      <c r="BM98" s="152">
        <f>Calcs!EJ432</f>
        <v>0</v>
      </c>
      <c r="BN98" s="152">
        <f>Calcs!EK432</f>
        <v>0</v>
      </c>
      <c r="BO98" s="152">
        <f>Calcs!EL432</f>
        <v>0</v>
      </c>
      <c r="BP98" s="152">
        <f>Calcs!EM432</f>
        <v>0</v>
      </c>
      <c r="BQ98" s="152">
        <f>SUM(BE98:BP98)</f>
        <v>0</v>
      </c>
      <c r="BR98" s="1567"/>
      <c r="BS98" s="153">
        <f>SUM(BQ98,BD98,AQ98,AD98,Q98)</f>
        <v>0</v>
      </c>
      <c r="BT98" s="1567"/>
      <c r="BU98" s="171">
        <f>SUM(BQ98,BD98,AQ98,AD98,Q98)</f>
      </c>
      <c r="BV98" s="170">
        <f>Calcs!CE434</f>
        <v>0</v>
      </c>
      <c r="BW98" s="96">
        <f>SUM(Financials!E98:'Financials'!G98)</f>
        <v>0</v>
      </c>
      <c r="BX98" s="96">
        <f>SUM(Financials!H98:'Financials'!J98)</f>
        <v>0</v>
      </c>
      <c r="BY98" s="96">
        <f>SUM(Financials!K98:'Financials'!M98)</f>
        <v>0</v>
      </c>
      <c r="BZ98" s="172">
        <f>SUM(Financials!G98:'Financials'!I98)</f>
        <v>0</v>
      </c>
      <c r="CA98" s="152">
        <f>SUM(Financials!R98:'Financials'!T98)</f>
        <v>0</v>
      </c>
      <c r="CB98" s="152">
        <f>SUM(Financials!U98:'Financials'!W98)</f>
        <v>0</v>
      </c>
      <c r="CC98" s="152">
        <f>SUM(Financials!X98:'Financials'!Z98)</f>
        <v>0</v>
      </c>
      <c r="CD98" s="152">
        <f>SUM(Financials!AA98:'Financials'!AC98)</f>
        <v>0</v>
      </c>
      <c r="CE98" s="152">
        <f>SUM(Financials!AE98:'Financials'!AG98)</f>
        <v>0</v>
      </c>
      <c r="CF98" s="152">
        <f>SUM(Financials!AH98:'Financials'!AJ98)</f>
        <v>0</v>
      </c>
      <c r="CG98" s="152">
        <f>SUM(Financials!AK98:'Financials'!AM98)</f>
        <v>0</v>
      </c>
      <c r="CH98" s="152">
        <f>SUM(Financials!AN98:'Financials'!AP98)</f>
        <v>0</v>
      </c>
      <c r="CI98" s="152">
        <f>SUM(Financials!AR98:'Financials'!AT98)</f>
        <v>0</v>
      </c>
      <c r="CJ98" s="152">
        <f>SUM(Financials!AU98:'Financials'!AW98)</f>
        <v>0</v>
      </c>
      <c r="CK98" s="152">
        <f>SUM(Financials!AX98:'Financials'!AZ98)</f>
        <v>0</v>
      </c>
      <c r="CL98" s="152">
        <f>SUM(Financials!BA98:'Financials'!BC98)</f>
        <v>0</v>
      </c>
      <c r="CM98" s="152">
        <f>SUM(Financials!BE98:'Financials'!BG98)</f>
        <v>0</v>
      </c>
      <c r="CN98" s="152">
        <f>SUM(Financials!BH98:'Financials'!BJ98)</f>
        <v>0</v>
      </c>
      <c r="CO98" s="152">
        <f>SUM(Financials!BK98:'Financials'!BM98)</f>
        <v>0</v>
      </c>
      <c r="CP98" s="152">
        <f>SUM(Financials!BN98:'Financials'!BP98)</f>
        <v>0</v>
      </c>
      <c r="CY98" s="305"/>
      <c r="CZ98" s="305"/>
      <c r="DA98" s="305"/>
      <c r="DB98" s="305"/>
      <c r="DC98" s="305"/>
      <c r="DD98" s="305"/>
      <c r="DE98" s="305"/>
      <c r="DF98" s="305"/>
      <c r="DG98" s="305"/>
      <c r="DH98" s="305"/>
      <c r="DI98" s="305"/>
      <c r="DJ98" s="305"/>
      <c r="DK98" s="305"/>
      <c r="DL98" s="305"/>
      <c r="DM98" s="305"/>
      <c r="DN98" s="305"/>
      <c r="DO98" s="305"/>
      <c r="DP98" s="305"/>
      <c r="DQ98" s="305"/>
      <c r="DR98" s="305"/>
      <c r="DS98" s="305"/>
      <c r="DT98" s="305"/>
      <c r="DU98" s="305"/>
      <c r="DV98" s="305"/>
      <c r="DW98" s="305"/>
      <c r="DX98" s="305"/>
      <c r="DY98" s="305"/>
      <c r="DZ98" s="305"/>
      <c r="EA98" s="305"/>
      <c r="EB98" s="305"/>
      <c r="EC98" s="305"/>
      <c r="ED98" s="305"/>
      <c r="EE98" s="305"/>
      <c r="EF98" s="305"/>
      <c r="EG98" s="305"/>
      <c r="EH98" s="305"/>
      <c r="EI98" s="305"/>
      <c r="EJ98" s="305"/>
      <c r="EK98" s="305"/>
      <c r="EL98" s="305"/>
      <c r="EM98" s="305"/>
      <c r="EN98" s="305"/>
      <c r="EO98" s="305"/>
      <c r="EP98" s="305"/>
      <c r="EQ98" s="305"/>
      <c r="ER98" s="305"/>
      <c r="ES98" s="305"/>
      <c r="ET98" s="305"/>
      <c r="EU98" s="305"/>
      <c r="EV98" s="305"/>
      <c r="EW98" s="305"/>
      <c r="EX98" s="305"/>
      <c r="EY98" s="305"/>
      <c r="EZ98" s="305"/>
      <c r="FA98" s="305"/>
      <c r="FB98" s="305"/>
      <c r="FC98" s="305"/>
      <c r="FD98" s="305"/>
      <c r="FE98" s="305"/>
      <c r="FF98" s="305"/>
      <c r="FG98" s="305"/>
      <c r="FH98" s="305"/>
      <c r="FI98" s="305"/>
      <c r="FJ98" s="305"/>
    </row>
    <row r="99" spans="1:166" ht="12.75" customHeight="1" x14ac:dyDescent="0.35" hidden="1">
      <c r="A99" s="136"/>
      <c r="B99" s="136"/>
      <c r="C99" s="136"/>
      <c r="D99" s="172" t="str">
        <f>IF(Calcs!CE433=0,"TBD",Calcs!CE433)</f>
        <v>TBD</v>
      </c>
      <c r="E99" s="152">
        <f>Calcs!CF433</f>
        <v>0</v>
      </c>
      <c r="F99" s="152">
        <f>Calcs!CG433</f>
        <v>0</v>
      </c>
      <c r="G99" s="152">
        <f>Calcs!CH433</f>
        <v>0</v>
      </c>
      <c r="H99" s="152">
        <f>Calcs!CI433</f>
        <v>0</v>
      </c>
      <c r="I99" s="152">
        <f>Calcs!CJ433</f>
        <v>0</v>
      </c>
      <c r="J99" s="152">
        <f>Calcs!CK433</f>
        <v>0</v>
      </c>
      <c r="K99" s="152">
        <f>Calcs!CL433</f>
        <v>0</v>
      </c>
      <c r="L99" s="152">
        <f>Calcs!CM433</f>
        <v>0</v>
      </c>
      <c r="M99" s="152">
        <f>Calcs!CN433</f>
        <v>0</v>
      </c>
      <c r="N99" s="152">
        <f>Calcs!CO433</f>
        <v>0</v>
      </c>
      <c r="O99" s="152">
        <f>Calcs!CP433</f>
        <v>0</v>
      </c>
      <c r="P99" s="152">
        <f>Calcs!CQ433</f>
        <v>0</v>
      </c>
      <c r="Q99" s="151">
        <f>SUM(E99:P99)</f>
        <v>0</v>
      </c>
      <c r="R99" s="152">
        <f>Calcs!CR433</f>
        <v>0</v>
      </c>
      <c r="S99" s="152">
        <f>Calcs!CS433</f>
        <v>0</v>
      </c>
      <c r="T99" s="152">
        <f>Calcs!CT433</f>
        <v>0</v>
      </c>
      <c r="U99" s="152">
        <f>Calcs!CU433</f>
        <v>0</v>
      </c>
      <c r="V99" s="152">
        <f>Calcs!CV433</f>
        <v>0</v>
      </c>
      <c r="W99" s="152">
        <f>Calcs!CW433</f>
        <v>0</v>
      </c>
      <c r="X99" s="152">
        <f>Calcs!CX433</f>
        <v>0</v>
      </c>
      <c r="Y99" s="152">
        <f>Calcs!CY433</f>
        <v>0</v>
      </c>
      <c r="Z99" s="152">
        <f>Calcs!CZ433</f>
        <v>0</v>
      </c>
      <c r="AA99" s="152">
        <f>Calcs!DA433</f>
        <v>0</v>
      </c>
      <c r="AB99" s="152">
        <f>Calcs!DB433</f>
        <v>0</v>
      </c>
      <c r="AC99" s="152">
        <f>Calcs!DC433</f>
        <v>0</v>
      </c>
      <c r="AD99" s="152">
        <f>SUM(R99:AC99)</f>
        <v>0</v>
      </c>
      <c r="AE99" s="152">
        <f>Calcs!DD433</f>
        <v>0</v>
      </c>
      <c r="AF99" s="152">
        <f>Calcs!DE433</f>
        <v>0</v>
      </c>
      <c r="AG99" s="152">
        <f>Calcs!DF433</f>
        <v>0</v>
      </c>
      <c r="AH99" s="152">
        <f>Calcs!DG433</f>
        <v>0</v>
      </c>
      <c r="AI99" s="152">
        <f>Calcs!DH433</f>
        <v>0</v>
      </c>
      <c r="AJ99" s="152">
        <f>Calcs!DI433</f>
        <v>0</v>
      </c>
      <c r="AK99" s="152">
        <f>Calcs!DJ433</f>
        <v>0</v>
      </c>
      <c r="AL99" s="152">
        <f>Calcs!DK433</f>
        <v>0</v>
      </c>
      <c r="AM99" s="152">
        <f>Calcs!DL433</f>
        <v>0</v>
      </c>
      <c r="AN99" s="152">
        <f>Calcs!DM433</f>
        <v>0</v>
      </c>
      <c r="AO99" s="152">
        <f>Calcs!DN433</f>
        <v>0</v>
      </c>
      <c r="AP99" s="152">
        <f>Calcs!DO433</f>
        <v>0</v>
      </c>
      <c r="AQ99" s="152">
        <f>SUM(AE99:AP99)</f>
        <v>0</v>
      </c>
      <c r="AR99" s="152">
        <f>Calcs!DP433</f>
        <v>0</v>
      </c>
      <c r="AS99" s="152">
        <f>Calcs!DQ433</f>
        <v>0</v>
      </c>
      <c r="AT99" s="152">
        <f>Calcs!DR433</f>
        <v>0</v>
      </c>
      <c r="AU99" s="152">
        <f>Calcs!DS433</f>
        <v>0</v>
      </c>
      <c r="AV99" s="152">
        <f>Calcs!DT433</f>
        <v>0</v>
      </c>
      <c r="AW99" s="152">
        <f>Calcs!DU433</f>
        <v>0</v>
      </c>
      <c r="AX99" s="152">
        <f>Calcs!DV433</f>
        <v>0</v>
      </c>
      <c r="AY99" s="152">
        <f>Calcs!DW433</f>
        <v>0</v>
      </c>
      <c r="AZ99" s="152">
        <f>Calcs!DX433</f>
        <v>0</v>
      </c>
      <c r="BA99" s="152">
        <f>Calcs!DY433</f>
        <v>0</v>
      </c>
      <c r="BB99" s="152">
        <f>Calcs!DZ433</f>
        <v>0</v>
      </c>
      <c r="BC99" s="152">
        <f>Calcs!EA433</f>
        <v>0</v>
      </c>
      <c r="BD99" s="152">
        <f>SUM(AR99:BC99)</f>
        <v>0</v>
      </c>
      <c r="BE99" s="152">
        <f>Calcs!EB433</f>
        <v>0</v>
      </c>
      <c r="BF99" s="152">
        <f>Calcs!EC433</f>
        <v>0</v>
      </c>
      <c r="BG99" s="152">
        <f>Calcs!ED433</f>
        <v>0</v>
      </c>
      <c r="BH99" s="152">
        <f>Calcs!EE433</f>
        <v>0</v>
      </c>
      <c r="BI99" s="152">
        <f>Calcs!EF433</f>
        <v>0</v>
      </c>
      <c r="BJ99" s="152">
        <f>Calcs!EG433</f>
        <v>0</v>
      </c>
      <c r="BK99" s="152">
        <f>Calcs!EH433</f>
        <v>0</v>
      </c>
      <c r="BL99" s="152">
        <f>Calcs!EI433</f>
        <v>0</v>
      </c>
      <c r="BM99" s="152">
        <f>Calcs!EJ433</f>
        <v>0</v>
      </c>
      <c r="BN99" s="152">
        <f>Calcs!EK433</f>
        <v>0</v>
      </c>
      <c r="BO99" s="152">
        <f>Calcs!EL433</f>
        <v>0</v>
      </c>
      <c r="BP99" s="152">
        <f>Calcs!EM433</f>
        <v>0</v>
      </c>
      <c r="BQ99" s="152">
        <f>SUM(BE99:BP99)</f>
        <v>0</v>
      </c>
      <c r="BR99" s="1567"/>
      <c r="BS99" s="153">
        <f>SUM(BQ99,BD99,AQ99,AD99,Q99)</f>
        <v>0</v>
      </c>
      <c r="BT99" s="1567"/>
      <c r="BU99" s="171">
        <f>SUM(BQ99,BD99,AQ99,AD99,Q99)</f>
      </c>
      <c r="BV99" s="170">
        <f>Calcs!CE435</f>
        <v>0</v>
      </c>
      <c r="BW99" s="96">
        <f>SUM(Financials!E99:'Financials'!G99)</f>
        <v>0</v>
      </c>
      <c r="BX99" s="96">
        <f>SUM(Financials!H99:'Financials'!J99)</f>
        <v>0</v>
      </c>
      <c r="BY99" s="96">
        <f>SUM(Financials!K99:'Financials'!M99)</f>
        <v>0</v>
      </c>
      <c r="BZ99" s="172">
        <f>SUM(Financials!G99:'Financials'!I99)</f>
        <v>0</v>
      </c>
      <c r="CA99" s="152">
        <f>SUM(Financials!R99:'Financials'!T99)</f>
        <v>0</v>
      </c>
      <c r="CB99" s="152">
        <f>SUM(Financials!U99:'Financials'!W99)</f>
        <v>0</v>
      </c>
      <c r="CC99" s="152">
        <f>SUM(Financials!X99:'Financials'!Z99)</f>
        <v>0</v>
      </c>
      <c r="CD99" s="152">
        <f>SUM(Financials!AA99:'Financials'!AC99)</f>
        <v>0</v>
      </c>
      <c r="CE99" s="152">
        <f>SUM(Financials!AE99:'Financials'!AG99)</f>
        <v>0</v>
      </c>
      <c r="CF99" s="152">
        <f>SUM(Financials!AH99:'Financials'!AJ99)</f>
        <v>0</v>
      </c>
      <c r="CG99" s="152">
        <f>SUM(Financials!AK99:'Financials'!AM99)</f>
        <v>0</v>
      </c>
      <c r="CH99" s="152">
        <f>SUM(Financials!AN99:'Financials'!AP99)</f>
        <v>0</v>
      </c>
      <c r="CI99" s="152">
        <f>SUM(Financials!AR99:'Financials'!AT99)</f>
        <v>0</v>
      </c>
      <c r="CJ99" s="152">
        <f>SUM(Financials!AU99:'Financials'!AW99)</f>
        <v>0</v>
      </c>
      <c r="CK99" s="152">
        <f>SUM(Financials!AX99:'Financials'!AZ99)</f>
        <v>0</v>
      </c>
      <c r="CL99" s="152">
        <f>SUM(Financials!BA99:'Financials'!BC99)</f>
        <v>0</v>
      </c>
      <c r="CM99" s="152">
        <f>SUM(Financials!BE99:'Financials'!BG99)</f>
        <v>0</v>
      </c>
      <c r="CN99" s="152">
        <f>SUM(Financials!BH99:'Financials'!BJ99)</f>
        <v>0</v>
      </c>
      <c r="CO99" s="152">
        <f>SUM(Financials!BK99:'Financials'!BM99)</f>
        <v>0</v>
      </c>
      <c r="CP99" s="152">
        <f>SUM(Financials!BN99:'Financials'!BP99)</f>
        <v>0</v>
      </c>
      <c r="CY99" s="305"/>
      <c r="CZ99" s="305"/>
      <c r="DA99" s="305"/>
      <c r="DB99" s="305"/>
      <c r="DC99" s="305"/>
      <c r="DD99" s="305"/>
      <c r="DE99" s="305"/>
      <c r="DF99" s="305"/>
      <c r="DG99" s="305"/>
      <c r="DH99" s="305"/>
      <c r="DI99" s="305"/>
      <c r="DJ99" s="305"/>
      <c r="DK99" s="305"/>
      <c r="DL99" s="305"/>
      <c r="DM99" s="305"/>
      <c r="DN99" s="305"/>
      <c r="DO99" s="305"/>
      <c r="DP99" s="305"/>
      <c r="DQ99" s="305"/>
      <c r="DR99" s="305"/>
      <c r="DS99" s="305"/>
      <c r="DT99" s="305"/>
      <c r="DU99" s="305"/>
      <c r="DV99" s="305"/>
      <c r="DW99" s="305"/>
      <c r="DX99" s="305"/>
      <c r="DY99" s="305"/>
      <c r="DZ99" s="305"/>
      <c r="EA99" s="305"/>
      <c r="EB99" s="305"/>
      <c r="EC99" s="305"/>
      <c r="ED99" s="305"/>
      <c r="EE99" s="305"/>
      <c r="EF99" s="305"/>
      <c r="EG99" s="305"/>
      <c r="EH99" s="305"/>
      <c r="EI99" s="305"/>
      <c r="EJ99" s="305"/>
      <c r="EK99" s="305"/>
      <c r="EL99" s="305"/>
      <c r="EM99" s="305"/>
      <c r="EN99" s="305"/>
      <c r="EO99" s="305"/>
      <c r="EP99" s="305"/>
      <c r="EQ99" s="305"/>
      <c r="ER99" s="305"/>
      <c r="ES99" s="305"/>
      <c r="ET99" s="305"/>
      <c r="EU99" s="305"/>
      <c r="EV99" s="305"/>
      <c r="EW99" s="305"/>
      <c r="EX99" s="305"/>
      <c r="EY99" s="305"/>
      <c r="EZ99" s="305"/>
      <c r="FA99" s="305"/>
      <c r="FB99" s="305"/>
      <c r="FC99" s="305"/>
      <c r="FD99" s="305"/>
      <c r="FE99" s="305"/>
      <c r="FF99" s="305"/>
      <c r="FG99" s="305"/>
      <c r="FH99" s="305"/>
      <c r="FI99" s="305"/>
      <c r="FJ99" s="305"/>
    </row>
    <row r="100" spans="1:166" ht="12.75" hidden="1" customHeight="1" x14ac:dyDescent="0.35">
      <c r="A100" s="136"/>
      <c r="B100" s="136"/>
      <c r="C100" s="136"/>
      <c r="D100" s="172" t="str">
        <f>IF(Calcs!CE434=0,"TBD",Calcs!CE434)</f>
        <v>TBD</v>
      </c>
      <c r="E100" s="152">
        <f>Calcs!CF434</f>
        <v>0</v>
      </c>
      <c r="F100" s="152">
        <f>Calcs!CG434</f>
        <v>0</v>
      </c>
      <c r="G100" s="152">
        <f>Calcs!CH434</f>
        <v>0</v>
      </c>
      <c r="H100" s="152">
        <f>Calcs!CI434</f>
        <v>0</v>
      </c>
      <c r="I100" s="152">
        <f>Calcs!CJ434</f>
        <v>0</v>
      </c>
      <c r="J100" s="152">
        <f>Calcs!CK434</f>
        <v>0</v>
      </c>
      <c r="K100" s="152">
        <f>Calcs!CL434</f>
        <v>0</v>
      </c>
      <c r="L100" s="152">
        <f>Calcs!CM434</f>
        <v>0</v>
      </c>
      <c r="M100" s="152">
        <f>Calcs!CN434</f>
        <v>0</v>
      </c>
      <c r="N100" s="152">
        <f>Calcs!CO434</f>
        <v>0</v>
      </c>
      <c r="O100" s="152">
        <f>Calcs!CP434</f>
        <v>0</v>
      </c>
      <c r="P100" s="152">
        <f>Calcs!CQ434</f>
        <v>0</v>
      </c>
      <c r="Q100" s="151">
        <f>SUM(E100:P100)</f>
        <v>0</v>
      </c>
      <c r="R100" s="152">
        <f>Calcs!CR434</f>
        <v>0</v>
      </c>
      <c r="S100" s="152">
        <f>Calcs!CS434</f>
        <v>0</v>
      </c>
      <c r="T100" s="152">
        <f>Calcs!CT434</f>
        <v>0</v>
      </c>
      <c r="U100" s="152">
        <f>Calcs!CU434</f>
        <v>0</v>
      </c>
      <c r="V100" s="152">
        <f>Calcs!CV434</f>
        <v>0</v>
      </c>
      <c r="W100" s="152">
        <f>Calcs!CW434</f>
        <v>0</v>
      </c>
      <c r="X100" s="152">
        <f>Calcs!CX434</f>
        <v>0</v>
      </c>
      <c r="Y100" s="152">
        <f>Calcs!CY434</f>
        <v>0</v>
      </c>
      <c r="Z100" s="152">
        <f>Calcs!CZ434</f>
        <v>0</v>
      </c>
      <c r="AA100" s="152">
        <f>Calcs!DA434</f>
        <v>0</v>
      </c>
      <c r="AB100" s="152">
        <f>Calcs!DB434</f>
        <v>0</v>
      </c>
      <c r="AC100" s="152">
        <f>Calcs!DC434</f>
        <v>0</v>
      </c>
      <c r="AD100" s="152">
        <f>SUM(R100:AC100)</f>
        <v>0</v>
      </c>
      <c r="AE100" s="152">
        <f>Calcs!DD434</f>
        <v>0</v>
      </c>
      <c r="AF100" s="152">
        <f>Calcs!DE434</f>
        <v>0</v>
      </c>
      <c r="AG100" s="152">
        <f>Calcs!DF434</f>
        <v>0</v>
      </c>
      <c r="AH100" s="152">
        <f>Calcs!DG434</f>
        <v>0</v>
      </c>
      <c r="AI100" s="152">
        <f>Calcs!DH434</f>
        <v>0</v>
      </c>
      <c r="AJ100" s="152">
        <f>Calcs!DI434</f>
        <v>0</v>
      </c>
      <c r="AK100" s="152">
        <f>Calcs!DJ434</f>
        <v>0</v>
      </c>
      <c r="AL100" s="152">
        <f>Calcs!DK434</f>
        <v>0</v>
      </c>
      <c r="AM100" s="152">
        <f>Calcs!DL434</f>
        <v>0</v>
      </c>
      <c r="AN100" s="152">
        <f>Calcs!DM434</f>
        <v>0</v>
      </c>
      <c r="AO100" s="152">
        <f>Calcs!DN434</f>
        <v>0</v>
      </c>
      <c r="AP100" s="152">
        <f>Calcs!DO434</f>
        <v>0</v>
      </c>
      <c r="AQ100" s="152">
        <f>SUM(AE100:AP100)</f>
        <v>0</v>
      </c>
      <c r="AR100" s="152">
        <f>Calcs!DP434</f>
        <v>0</v>
      </c>
      <c r="AS100" s="152">
        <f>Calcs!DQ434</f>
        <v>0</v>
      </c>
      <c r="AT100" s="152">
        <f>Calcs!DR434</f>
        <v>0</v>
      </c>
      <c r="AU100" s="152">
        <f>Calcs!DS434</f>
        <v>0</v>
      </c>
      <c r="AV100" s="152">
        <f>Calcs!DT434</f>
        <v>0</v>
      </c>
      <c r="AW100" s="152">
        <f>Calcs!DU434</f>
        <v>0</v>
      </c>
      <c r="AX100" s="152">
        <f>Calcs!DV434</f>
        <v>0</v>
      </c>
      <c r="AY100" s="152">
        <f>Calcs!DW434</f>
        <v>0</v>
      </c>
      <c r="AZ100" s="152">
        <f>Calcs!DX434</f>
        <v>0</v>
      </c>
      <c r="BA100" s="152">
        <f>Calcs!DY434</f>
        <v>0</v>
      </c>
      <c r="BB100" s="152">
        <f>Calcs!DZ434</f>
        <v>0</v>
      </c>
      <c r="BC100" s="152">
        <f>Calcs!EA434</f>
        <v>0</v>
      </c>
      <c r="BD100" s="152">
        <f>SUM(AR100:BC100)</f>
        <v>0</v>
      </c>
      <c r="BE100" s="152">
        <f>Calcs!EB434</f>
        <v>0</v>
      </c>
      <c r="BF100" s="152">
        <f>Calcs!EC434</f>
        <v>0</v>
      </c>
      <c r="BG100" s="152">
        <f>Calcs!ED434</f>
        <v>0</v>
      </c>
      <c r="BH100" s="152">
        <f>Calcs!EE434</f>
        <v>0</v>
      </c>
      <c r="BI100" s="152">
        <f>Calcs!EF434</f>
        <v>0</v>
      </c>
      <c r="BJ100" s="152">
        <f>Calcs!EG434</f>
        <v>0</v>
      </c>
      <c r="BK100" s="152">
        <f>Calcs!EH434</f>
        <v>0</v>
      </c>
      <c r="BL100" s="152">
        <f>Calcs!EI434</f>
        <v>0</v>
      </c>
      <c r="BM100" s="152">
        <f>Calcs!EJ434</f>
        <v>0</v>
      </c>
      <c r="BN100" s="152">
        <f>Calcs!EK434</f>
        <v>0</v>
      </c>
      <c r="BO100" s="152">
        <f>Calcs!EL434</f>
        <v>0</v>
      </c>
      <c r="BP100" s="152">
        <f>Calcs!EM434</f>
        <v>0</v>
      </c>
      <c r="BQ100" s="152">
        <f>SUM(BE100:BP100)</f>
        <v>0</v>
      </c>
      <c r="BR100" s="1567"/>
      <c r="BS100" s="153">
        <f>SUM(BQ100,BD100,AQ100,AD100,Q100)</f>
        <v>0</v>
      </c>
      <c r="BT100" s="1567"/>
      <c r="BU100" s="171">
        <f>SUM(BQ100,BD100,AQ100,AD100,Q100)</f>
      </c>
      <c r="BV100" s="170">
        <f>Calcs!CE436</f>
        <v>0</v>
      </c>
      <c r="BW100" s="96">
        <f>SUM(Financials!E100:'Financials'!G100)</f>
        <v>0</v>
      </c>
      <c r="BX100" s="96">
        <f>SUM(Financials!H100:'Financials'!J100)</f>
        <v>0</v>
      </c>
      <c r="BY100" s="96">
        <f>SUM(Financials!K100:'Financials'!M100)</f>
        <v>0</v>
      </c>
      <c r="BZ100" s="172">
        <f>SUM(Financials!G100:'Financials'!I100)</f>
        <v>0</v>
      </c>
      <c r="CA100" s="152">
        <f>SUM(Financials!R100:'Financials'!T100)</f>
        <v>0</v>
      </c>
      <c r="CB100" s="152">
        <f>SUM(Financials!U100:'Financials'!W100)</f>
        <v>0</v>
      </c>
      <c r="CC100" s="152">
        <f>SUM(Financials!X100:'Financials'!Z100)</f>
        <v>0</v>
      </c>
      <c r="CD100" s="152">
        <f>SUM(Financials!AA100:'Financials'!AC100)</f>
        <v>0</v>
      </c>
      <c r="CE100" s="152">
        <f>SUM(Financials!AE100:'Financials'!AG100)</f>
        <v>0</v>
      </c>
      <c r="CF100" s="152">
        <f>SUM(Financials!AH100:'Financials'!AJ100)</f>
        <v>0</v>
      </c>
      <c r="CG100" s="152">
        <f>SUM(Financials!AK100:'Financials'!AM100)</f>
        <v>0</v>
      </c>
      <c r="CH100" s="152">
        <f>SUM(Financials!AN100:'Financials'!AP100)</f>
        <v>0</v>
      </c>
      <c r="CI100" s="152">
        <f>SUM(Financials!AR100:'Financials'!AT100)</f>
        <v>0</v>
      </c>
      <c r="CJ100" s="152">
        <f>SUM(Financials!AU100:'Financials'!AW100)</f>
        <v>0</v>
      </c>
      <c r="CK100" s="152">
        <f>SUM(Financials!AX100:'Financials'!AZ100)</f>
        <v>0</v>
      </c>
      <c r="CL100" s="152">
        <f>SUM(Financials!BA100:'Financials'!BC100)</f>
        <v>0</v>
      </c>
      <c r="CM100" s="152">
        <f>SUM(Financials!BE100:'Financials'!BG100)</f>
        <v>0</v>
      </c>
      <c r="CN100" s="152">
        <f>SUM(Financials!BH100:'Financials'!BJ100)</f>
        <v>0</v>
      </c>
      <c r="CO100" s="152">
        <f>SUM(Financials!BK100:'Financials'!BM100)</f>
        <v>0</v>
      </c>
      <c r="CP100" s="152">
        <f>SUM(Financials!BN100:'Financials'!BP100)</f>
        <v>0</v>
      </c>
      <c r="CY100" s="305"/>
      <c r="CZ100" s="305"/>
      <c r="DA100" s="305"/>
      <c r="DB100" s="305"/>
      <c r="DC100" s="305"/>
      <c r="DD100" s="305"/>
      <c r="DE100" s="305"/>
      <c r="DF100" s="305"/>
      <c r="DG100" s="305"/>
      <c r="DH100" s="305"/>
      <c r="DI100" s="305"/>
      <c r="DJ100" s="305"/>
      <c r="DK100" s="305"/>
      <c r="DL100" s="305"/>
      <c r="DM100" s="305"/>
      <c r="DN100" s="305"/>
      <c r="DO100" s="305"/>
      <c r="DP100" s="305"/>
      <c r="DQ100" s="305"/>
      <c r="DR100" s="305"/>
      <c r="DS100" s="305"/>
      <c r="DT100" s="305"/>
      <c r="DU100" s="305"/>
      <c r="DV100" s="305"/>
      <c r="DW100" s="305"/>
      <c r="DX100" s="305"/>
      <c r="DY100" s="305"/>
      <c r="DZ100" s="305"/>
      <c r="EA100" s="305"/>
      <c r="EB100" s="305"/>
      <c r="EC100" s="305"/>
      <c r="ED100" s="305"/>
      <c r="EE100" s="305"/>
      <c r="EF100" s="305"/>
      <c r="EG100" s="305"/>
      <c r="EH100" s="305"/>
      <c r="EI100" s="305"/>
      <c r="EJ100" s="305"/>
      <c r="EK100" s="305"/>
      <c r="EL100" s="305"/>
      <c r="EM100" s="305"/>
      <c r="EN100" s="305"/>
      <c r="EO100" s="305"/>
      <c r="EP100" s="305"/>
      <c r="EQ100" s="305"/>
      <c r="ER100" s="305"/>
      <c r="ES100" s="305"/>
      <c r="ET100" s="305"/>
      <c r="EU100" s="305"/>
      <c r="EV100" s="305"/>
      <c r="EW100" s="305"/>
      <c r="EX100" s="305"/>
      <c r="EY100" s="305"/>
      <c r="EZ100" s="305"/>
      <c r="FA100" s="305"/>
      <c r="FB100" s="305"/>
      <c r="FC100" s="305"/>
      <c r="FD100" s="305"/>
      <c r="FE100" s="305"/>
      <c r="FF100" s="305"/>
      <c r="FG100" s="305"/>
      <c r="FH100" s="305"/>
      <c r="FI100" s="305"/>
      <c r="FJ100" s="305"/>
    </row>
    <row r="101" spans="1:166" ht="12.75" hidden="1" customHeight="1" x14ac:dyDescent="0.35">
      <c r="A101" s="136"/>
      <c r="B101" s="136"/>
      <c r="C101" s="136"/>
      <c r="D101" s="172" t="str">
        <f>IF(Calcs!CE435=0,"TBD",Calcs!CE435)</f>
        <v>TBD</v>
      </c>
      <c r="E101" s="152">
        <f>Calcs!CF435</f>
        <v>0</v>
      </c>
      <c r="F101" s="152">
        <f>Calcs!CG435</f>
        <v>0</v>
      </c>
      <c r="G101" s="152">
        <f>Calcs!CH435</f>
        <v>0</v>
      </c>
      <c r="H101" s="152">
        <f>Calcs!CI435</f>
        <v>0</v>
      </c>
      <c r="I101" s="152">
        <f>Calcs!CJ435</f>
        <v>0</v>
      </c>
      <c r="J101" s="152">
        <f>Calcs!CK435</f>
        <v>0</v>
      </c>
      <c r="K101" s="152">
        <f>Calcs!CL435</f>
        <v>0</v>
      </c>
      <c r="L101" s="152">
        <f>Calcs!CM435</f>
        <v>0</v>
      </c>
      <c r="M101" s="152">
        <f>Calcs!CN435</f>
        <v>0</v>
      </c>
      <c r="N101" s="152">
        <f>Calcs!CO435</f>
        <v>0</v>
      </c>
      <c r="O101" s="152">
        <f>Calcs!CP435</f>
        <v>0</v>
      </c>
      <c r="P101" s="152">
        <f>Calcs!CQ435</f>
        <v>0</v>
      </c>
      <c r="Q101" s="151">
        <f>SUM(E101:P101)</f>
        <v>0</v>
      </c>
      <c r="R101" s="152">
        <f>Calcs!CR435</f>
        <v>0</v>
      </c>
      <c r="S101" s="152">
        <f>Calcs!CS435</f>
        <v>0</v>
      </c>
      <c r="T101" s="152">
        <f>Calcs!CT435</f>
        <v>0</v>
      </c>
      <c r="U101" s="152">
        <f>Calcs!CU435</f>
        <v>0</v>
      </c>
      <c r="V101" s="152">
        <f>Calcs!CV435</f>
        <v>0</v>
      </c>
      <c r="W101" s="152">
        <f>Calcs!CW435</f>
        <v>0</v>
      </c>
      <c r="X101" s="152">
        <f>Calcs!CX435</f>
        <v>0</v>
      </c>
      <c r="Y101" s="152">
        <f>Calcs!CY435</f>
        <v>0</v>
      </c>
      <c r="Z101" s="152">
        <f>Calcs!CZ435</f>
        <v>0</v>
      </c>
      <c r="AA101" s="152">
        <f>Calcs!DA435</f>
        <v>0</v>
      </c>
      <c r="AB101" s="152">
        <f>Calcs!DB435</f>
        <v>0</v>
      </c>
      <c r="AC101" s="152">
        <f>Calcs!DC435</f>
        <v>0</v>
      </c>
      <c r="AD101" s="152">
        <f>SUM(R101:AC101)</f>
        <v>0</v>
      </c>
      <c r="AE101" s="152">
        <f>Calcs!DD435</f>
        <v>0</v>
      </c>
      <c r="AF101" s="152">
        <f>Calcs!DE435</f>
        <v>0</v>
      </c>
      <c r="AG101" s="152">
        <f>Calcs!DF435</f>
        <v>0</v>
      </c>
      <c r="AH101" s="152">
        <f>Calcs!DG435</f>
        <v>0</v>
      </c>
      <c r="AI101" s="152">
        <f>Calcs!DH435</f>
        <v>0</v>
      </c>
      <c r="AJ101" s="152">
        <f>Calcs!DI435</f>
        <v>0</v>
      </c>
      <c r="AK101" s="152">
        <f>Calcs!DJ435</f>
        <v>0</v>
      </c>
      <c r="AL101" s="152">
        <f>Calcs!DK435</f>
        <v>0</v>
      </c>
      <c r="AM101" s="152">
        <f>Calcs!DL435</f>
        <v>0</v>
      </c>
      <c r="AN101" s="152">
        <f>Calcs!DM435</f>
        <v>0</v>
      </c>
      <c r="AO101" s="152">
        <f>Calcs!DN435</f>
        <v>0</v>
      </c>
      <c r="AP101" s="152">
        <f>Calcs!DO435</f>
        <v>0</v>
      </c>
      <c r="AQ101" s="152">
        <f>SUM(AE101:AP101)</f>
        <v>0</v>
      </c>
      <c r="AR101" s="152">
        <f>Calcs!DP435</f>
        <v>0</v>
      </c>
      <c r="AS101" s="152">
        <f>Calcs!DQ435</f>
        <v>0</v>
      </c>
      <c r="AT101" s="152">
        <f>Calcs!DR435</f>
        <v>0</v>
      </c>
      <c r="AU101" s="152">
        <f>Calcs!DS435</f>
        <v>0</v>
      </c>
      <c r="AV101" s="152">
        <f>Calcs!DT435</f>
        <v>0</v>
      </c>
      <c r="AW101" s="152">
        <f>Calcs!DU435</f>
        <v>0</v>
      </c>
      <c r="AX101" s="152">
        <f>Calcs!DV435</f>
        <v>0</v>
      </c>
      <c r="AY101" s="152">
        <f>Calcs!DW435</f>
        <v>0</v>
      </c>
      <c r="AZ101" s="152">
        <f>Calcs!DX435</f>
        <v>0</v>
      </c>
      <c r="BA101" s="152">
        <f>Calcs!DY435</f>
        <v>0</v>
      </c>
      <c r="BB101" s="152">
        <f>Calcs!DZ435</f>
        <v>0</v>
      </c>
      <c r="BC101" s="152">
        <f>Calcs!EA435</f>
        <v>0</v>
      </c>
      <c r="BD101" s="152">
        <f>SUM(AR101:BC101)</f>
        <v>0</v>
      </c>
      <c r="BE101" s="152">
        <f>Calcs!EB435</f>
        <v>0</v>
      </c>
      <c r="BF101" s="152">
        <f>Calcs!EC435</f>
        <v>0</v>
      </c>
      <c r="BG101" s="152">
        <f>Calcs!ED435</f>
        <v>0</v>
      </c>
      <c r="BH101" s="152">
        <f>Calcs!EE435</f>
        <v>0</v>
      </c>
      <c r="BI101" s="152">
        <f>Calcs!EF435</f>
        <v>0</v>
      </c>
      <c r="BJ101" s="152">
        <f>Calcs!EG435</f>
        <v>0</v>
      </c>
      <c r="BK101" s="152">
        <f>Calcs!EH435</f>
        <v>0</v>
      </c>
      <c r="BL101" s="152">
        <f>Calcs!EI435</f>
        <v>0</v>
      </c>
      <c r="BM101" s="152">
        <f>Calcs!EJ435</f>
        <v>0</v>
      </c>
      <c r="BN101" s="152">
        <f>Calcs!EK435</f>
        <v>0</v>
      </c>
      <c r="BO101" s="152">
        <f>Calcs!EL435</f>
        <v>0</v>
      </c>
      <c r="BP101" s="152">
        <f>Calcs!EM435</f>
        <v>0</v>
      </c>
      <c r="BQ101" s="152">
        <f>SUM(BE101:BP101)</f>
        <v>0</v>
      </c>
      <c r="BR101" s="1567"/>
      <c r="BS101" s="153">
        <f>SUM(BQ101,BD101,AQ101,AD101,Q101)</f>
        <v>0</v>
      </c>
      <c r="BT101" s="1567"/>
      <c r="BU101" s="171">
        <f>SUM(BQ101,BD101,AQ101,AD101,Q101)</f>
      </c>
      <c r="BV101" s="170">
        <f>Calcs!CE437</f>
        <v>0</v>
      </c>
      <c r="BW101" s="96">
        <f>SUM(Financials!E101:'Financials'!G101)</f>
        <v>0</v>
      </c>
      <c r="BX101" s="96">
        <f>SUM(Financials!H101:'Financials'!J101)</f>
        <v>0</v>
      </c>
      <c r="BY101" s="96">
        <f>SUM(Financials!K101:'Financials'!M101)</f>
        <v>0</v>
      </c>
      <c r="BZ101" s="172">
        <f>SUM(Financials!G101:'Financials'!I101)</f>
        <v>0</v>
      </c>
      <c r="CA101" s="152">
        <f>SUM(Financials!R101:'Financials'!T101)</f>
        <v>0</v>
      </c>
      <c r="CB101" s="152">
        <f>SUM(Financials!U101:'Financials'!W101)</f>
        <v>0</v>
      </c>
      <c r="CC101" s="152">
        <f>SUM(Financials!X101:'Financials'!Z101)</f>
        <v>0</v>
      </c>
      <c r="CD101" s="152">
        <f>SUM(Financials!AA101:'Financials'!AC101)</f>
        <v>0</v>
      </c>
      <c r="CE101" s="152">
        <f>SUM(Financials!AE101:'Financials'!AG101)</f>
        <v>0</v>
      </c>
      <c r="CF101" s="152">
        <f>SUM(Financials!AH101:'Financials'!AJ101)</f>
        <v>0</v>
      </c>
      <c r="CG101" s="152">
        <f>SUM(Financials!AK101:'Financials'!AM101)</f>
        <v>0</v>
      </c>
      <c r="CH101" s="152">
        <f>SUM(Financials!AN101:'Financials'!AP101)</f>
        <v>0</v>
      </c>
      <c r="CI101" s="152">
        <f>SUM(Financials!AR101:'Financials'!AT101)</f>
        <v>0</v>
      </c>
      <c r="CJ101" s="152">
        <f>SUM(Financials!AU101:'Financials'!AW101)</f>
        <v>0</v>
      </c>
      <c r="CK101" s="152">
        <f>SUM(Financials!AX101:'Financials'!AZ101)</f>
        <v>0</v>
      </c>
      <c r="CL101" s="152">
        <f>SUM(Financials!BA101:'Financials'!BC101)</f>
        <v>0</v>
      </c>
      <c r="CM101" s="152">
        <f>SUM(Financials!BE101:'Financials'!BG101)</f>
        <v>0</v>
      </c>
      <c r="CN101" s="152">
        <f>SUM(Financials!BH101:'Financials'!BJ101)</f>
        <v>0</v>
      </c>
      <c r="CO101" s="152">
        <f>SUM(Financials!BK101:'Financials'!BM101)</f>
        <v>0</v>
      </c>
      <c r="CP101" s="152">
        <f>SUM(Financials!BN101:'Financials'!BP101)</f>
        <v>0</v>
      </c>
      <c r="CY101" s="305"/>
      <c r="CZ101" s="305"/>
      <c r="DA101" s="305"/>
      <c r="DB101" s="305"/>
      <c r="DC101" s="305"/>
      <c r="DD101" s="305"/>
      <c r="DE101" s="305"/>
      <c r="DF101" s="305"/>
      <c r="DG101" s="305"/>
      <c r="DH101" s="305"/>
      <c r="DI101" s="305"/>
      <c r="DJ101" s="305"/>
      <c r="DK101" s="305"/>
      <c r="DL101" s="305"/>
      <c r="DM101" s="305"/>
      <c r="DN101" s="305"/>
      <c r="DO101" s="305"/>
      <c r="DP101" s="305"/>
      <c r="DQ101" s="305"/>
      <c r="DR101" s="305"/>
      <c r="DS101" s="305"/>
      <c r="DT101" s="305"/>
      <c r="DU101" s="305"/>
      <c r="DV101" s="305"/>
      <c r="DW101" s="305"/>
      <c r="DX101" s="305"/>
      <c r="DY101" s="305"/>
      <c r="DZ101" s="305"/>
      <c r="EA101" s="305"/>
      <c r="EB101" s="305"/>
      <c r="EC101" s="305"/>
      <c r="ED101" s="305"/>
      <c r="EE101" s="305"/>
      <c r="EF101" s="305"/>
      <c r="EG101" s="305"/>
      <c r="EH101" s="305"/>
      <c r="EI101" s="305"/>
      <c r="EJ101" s="305"/>
      <c r="EK101" s="305"/>
      <c r="EL101" s="305"/>
      <c r="EM101" s="305"/>
      <c r="EN101" s="305"/>
      <c r="EO101" s="305"/>
      <c r="EP101" s="305"/>
      <c r="EQ101" s="305"/>
      <c r="ER101" s="305"/>
      <c r="ES101" s="305"/>
      <c r="ET101" s="305"/>
      <c r="EU101" s="305"/>
      <c r="EV101" s="305"/>
      <c r="EW101" s="305"/>
      <c r="EX101" s="305"/>
      <c r="EY101" s="305"/>
      <c r="EZ101" s="305"/>
      <c r="FA101" s="305"/>
      <c r="FB101" s="305"/>
      <c r="FC101" s="305"/>
      <c r="FD101" s="305"/>
      <c r="FE101" s="305"/>
      <c r="FF101" s="305"/>
      <c r="FG101" s="305"/>
      <c r="FH101" s="305"/>
      <c r="FI101" s="305"/>
      <c r="FJ101" s="305"/>
    </row>
    <row r="102" spans="1:166" ht="12.75" hidden="1" customHeight="1" x14ac:dyDescent="0.35">
      <c r="A102" s="136"/>
      <c r="B102" s="136"/>
      <c r="C102" s="136"/>
      <c r="D102" s="172" t="str">
        <f>IF(Calcs!CE436=0,"TBD",Calcs!CE436)</f>
        <v>TBD</v>
      </c>
      <c r="E102" s="152">
        <f>Calcs!CF436</f>
        <v>0</v>
      </c>
      <c r="F102" s="152">
        <f>Calcs!CG436</f>
        <v>0</v>
      </c>
      <c r="G102" s="152">
        <f>Calcs!CH436</f>
        <v>0</v>
      </c>
      <c r="H102" s="152">
        <f>Calcs!CI436</f>
        <v>0</v>
      </c>
      <c r="I102" s="152">
        <f>Calcs!CJ436</f>
        <v>0</v>
      </c>
      <c r="J102" s="152">
        <f>Calcs!CK436</f>
        <v>0</v>
      </c>
      <c r="K102" s="152">
        <f>Calcs!CL436</f>
        <v>0</v>
      </c>
      <c r="L102" s="152">
        <f>Calcs!CM436</f>
        <v>0</v>
      </c>
      <c r="M102" s="152">
        <f>Calcs!CN436</f>
        <v>0</v>
      </c>
      <c r="N102" s="152">
        <f>Calcs!CO436</f>
        <v>0</v>
      </c>
      <c r="O102" s="152">
        <f>Calcs!CP436</f>
        <v>0</v>
      </c>
      <c r="P102" s="152">
        <f>Calcs!CQ436</f>
        <v>0</v>
      </c>
      <c r="Q102" s="151">
        <f>SUM(E102:P102)</f>
        <v>0</v>
      </c>
      <c r="R102" s="152">
        <f>Calcs!CR436</f>
        <v>0</v>
      </c>
      <c r="S102" s="152">
        <f>Calcs!CS436</f>
        <v>0</v>
      </c>
      <c r="T102" s="152">
        <f>Calcs!CT436</f>
        <v>0</v>
      </c>
      <c r="U102" s="152">
        <f>Calcs!CU436</f>
        <v>0</v>
      </c>
      <c r="V102" s="152">
        <f>Calcs!CV436</f>
        <v>0</v>
      </c>
      <c r="W102" s="152">
        <f>Calcs!CW436</f>
        <v>0</v>
      </c>
      <c r="X102" s="152">
        <f>Calcs!CX436</f>
        <v>0</v>
      </c>
      <c r="Y102" s="152">
        <f>Calcs!CY436</f>
        <v>0</v>
      </c>
      <c r="Z102" s="152">
        <f>Calcs!CZ436</f>
        <v>0</v>
      </c>
      <c r="AA102" s="152">
        <f>Calcs!DA436</f>
        <v>0</v>
      </c>
      <c r="AB102" s="152">
        <f>Calcs!DB436</f>
        <v>0</v>
      </c>
      <c r="AC102" s="152">
        <f>Calcs!DC436</f>
        <v>0</v>
      </c>
      <c r="AD102" s="152">
        <f>SUM(R102:AC102)</f>
        <v>0</v>
      </c>
      <c r="AE102" s="152">
        <f>Calcs!DD436</f>
        <v>0</v>
      </c>
      <c r="AF102" s="152">
        <f>Calcs!DE436</f>
        <v>0</v>
      </c>
      <c r="AG102" s="152">
        <f>Calcs!DF436</f>
        <v>0</v>
      </c>
      <c r="AH102" s="152">
        <f>Calcs!DG436</f>
        <v>0</v>
      </c>
      <c r="AI102" s="152">
        <f>Calcs!DH436</f>
        <v>0</v>
      </c>
      <c r="AJ102" s="152">
        <f>Calcs!DI436</f>
        <v>0</v>
      </c>
      <c r="AK102" s="152">
        <f>Calcs!DJ436</f>
        <v>0</v>
      </c>
      <c r="AL102" s="152">
        <f>Calcs!DK436</f>
        <v>0</v>
      </c>
      <c r="AM102" s="152">
        <f>Calcs!DL436</f>
        <v>0</v>
      </c>
      <c r="AN102" s="152">
        <f>Calcs!DM436</f>
        <v>0</v>
      </c>
      <c r="AO102" s="152">
        <f>Calcs!DN436</f>
        <v>0</v>
      </c>
      <c r="AP102" s="152">
        <f>Calcs!DO436</f>
        <v>0</v>
      </c>
      <c r="AQ102" s="152">
        <f>SUM(AE102:AP102)</f>
        <v>0</v>
      </c>
      <c r="AR102" s="152">
        <f>Calcs!DP436</f>
        <v>0</v>
      </c>
      <c r="AS102" s="152">
        <f>Calcs!DQ436</f>
        <v>0</v>
      </c>
      <c r="AT102" s="152">
        <f>Calcs!DR436</f>
        <v>0</v>
      </c>
      <c r="AU102" s="152">
        <f>Calcs!DS436</f>
        <v>0</v>
      </c>
      <c r="AV102" s="152">
        <f>Calcs!DT436</f>
        <v>0</v>
      </c>
      <c r="AW102" s="152">
        <f>Calcs!DU436</f>
        <v>0</v>
      </c>
      <c r="AX102" s="152">
        <f>Calcs!DV436</f>
        <v>0</v>
      </c>
      <c r="AY102" s="152">
        <f>Calcs!DW436</f>
        <v>0</v>
      </c>
      <c r="AZ102" s="152">
        <f>Calcs!DX436</f>
        <v>0</v>
      </c>
      <c r="BA102" s="152">
        <f>Calcs!DY436</f>
        <v>0</v>
      </c>
      <c r="BB102" s="152">
        <f>Calcs!DZ436</f>
        <v>0</v>
      </c>
      <c r="BC102" s="152">
        <f>Calcs!EA436</f>
        <v>0</v>
      </c>
      <c r="BD102" s="152">
        <f>SUM(AR102:BC102)</f>
        <v>0</v>
      </c>
      <c r="BE102" s="152">
        <f>Calcs!EB436</f>
        <v>0</v>
      </c>
      <c r="BF102" s="152">
        <f>Calcs!EC436</f>
        <v>0</v>
      </c>
      <c r="BG102" s="152">
        <f>Calcs!ED436</f>
        <v>0</v>
      </c>
      <c r="BH102" s="152">
        <f>Calcs!EE436</f>
        <v>0</v>
      </c>
      <c r="BI102" s="152">
        <f>Calcs!EF436</f>
        <v>0</v>
      </c>
      <c r="BJ102" s="152">
        <f>Calcs!EG436</f>
        <v>0</v>
      </c>
      <c r="BK102" s="152">
        <f>Calcs!EH436</f>
        <v>0</v>
      </c>
      <c r="BL102" s="152">
        <f>Calcs!EI436</f>
        <v>0</v>
      </c>
      <c r="BM102" s="152">
        <f>Calcs!EJ436</f>
        <v>0</v>
      </c>
      <c r="BN102" s="152">
        <f>Calcs!EK436</f>
        <v>0</v>
      </c>
      <c r="BO102" s="152">
        <f>Calcs!EL436</f>
        <v>0</v>
      </c>
      <c r="BP102" s="152">
        <f>Calcs!EM436</f>
        <v>0</v>
      </c>
      <c r="BQ102" s="152">
        <f>SUM(BE102:BP102)</f>
        <v>0</v>
      </c>
      <c r="BR102" s="1567"/>
      <c r="BS102" s="153">
        <f>SUM(BQ102,BD102,AQ102,AD102,Q102)</f>
        <v>0</v>
      </c>
      <c r="BT102" s="1567"/>
      <c r="BU102" s="171">
        <f>SUM(BQ102,BD102,AQ102,AD102,Q102)</f>
      </c>
      <c r="BV102" s="170">
        <f>Calcs!CE438</f>
        <v>0</v>
      </c>
      <c r="BW102" s="96">
        <f>SUM(Financials!E102:'Financials'!G102)</f>
        <v>0</v>
      </c>
      <c r="BX102" s="96">
        <f>SUM(Financials!H102:'Financials'!J102)</f>
        <v>0</v>
      </c>
      <c r="BY102" s="96">
        <f>SUM(Financials!K102:'Financials'!M102)</f>
        <v>0</v>
      </c>
      <c r="BZ102" s="172">
        <f>SUM(Financials!G102:'Financials'!I102)</f>
        <v>0</v>
      </c>
      <c r="CA102" s="152">
        <f>SUM(Financials!R102:'Financials'!T102)</f>
        <v>0</v>
      </c>
      <c r="CB102" s="152">
        <f>SUM(Financials!U102:'Financials'!W102)</f>
        <v>0</v>
      </c>
      <c r="CC102" s="152">
        <f>SUM(Financials!X102:'Financials'!Z102)</f>
        <v>0</v>
      </c>
      <c r="CD102" s="152">
        <f>SUM(Financials!AA102:'Financials'!AC102)</f>
        <v>0</v>
      </c>
      <c r="CE102" s="152">
        <f>SUM(Financials!AE102:'Financials'!AG102)</f>
        <v>0</v>
      </c>
      <c r="CF102" s="152">
        <f>SUM(Financials!AH102:'Financials'!AJ102)</f>
        <v>0</v>
      </c>
      <c r="CG102" s="152">
        <f>SUM(Financials!AK102:'Financials'!AM102)</f>
        <v>0</v>
      </c>
      <c r="CH102" s="152">
        <f>SUM(Financials!AN102:'Financials'!AP102)</f>
        <v>0</v>
      </c>
      <c r="CI102" s="152">
        <f>SUM(Financials!AR102:'Financials'!AT102)</f>
        <v>0</v>
      </c>
      <c r="CJ102" s="152">
        <f>SUM(Financials!AU102:'Financials'!AW102)</f>
        <v>0</v>
      </c>
      <c r="CK102" s="152">
        <f>SUM(Financials!AX102:'Financials'!AZ102)</f>
        <v>0</v>
      </c>
      <c r="CL102" s="152">
        <f>SUM(Financials!BA102:'Financials'!BC102)</f>
        <v>0</v>
      </c>
      <c r="CM102" s="152">
        <f>SUM(Financials!BE102:'Financials'!BG102)</f>
        <v>0</v>
      </c>
      <c r="CN102" s="152">
        <f>SUM(Financials!BH102:'Financials'!BJ102)</f>
        <v>0</v>
      </c>
      <c r="CO102" s="152">
        <f>SUM(Financials!BK102:'Financials'!BM102)</f>
        <v>0</v>
      </c>
      <c r="CP102" s="152">
        <f>SUM(Financials!BN102:'Financials'!BP102)</f>
        <v>0</v>
      </c>
      <c r="CY102" s="305"/>
      <c r="CZ102" s="305"/>
      <c r="DA102" s="305"/>
      <c r="DB102" s="305"/>
      <c r="DC102" s="305"/>
      <c r="DD102" s="305"/>
      <c r="DE102" s="305"/>
      <c r="DF102" s="305"/>
      <c r="DG102" s="305"/>
      <c r="DH102" s="305"/>
      <c r="DI102" s="305"/>
      <c r="DJ102" s="305"/>
      <c r="DK102" s="305"/>
      <c r="DL102" s="305"/>
      <c r="DM102" s="305"/>
      <c r="DN102" s="305"/>
      <c r="DO102" s="305"/>
      <c r="DP102" s="305"/>
      <c r="DQ102" s="305"/>
      <c r="DR102" s="305"/>
      <c r="DS102" s="305"/>
      <c r="DT102" s="305"/>
      <c r="DU102" s="305"/>
      <c r="DV102" s="305"/>
      <c r="DW102" s="305"/>
      <c r="DX102" s="305"/>
      <c r="DY102" s="305"/>
      <c r="DZ102" s="305"/>
      <c r="EA102" s="305"/>
      <c r="EB102" s="305"/>
      <c r="EC102" s="305"/>
      <c r="ED102" s="305"/>
      <c r="EE102" s="305"/>
      <c r="EF102" s="305"/>
      <c r="EG102" s="305"/>
      <c r="EH102" s="305"/>
      <c r="EI102" s="305"/>
      <c r="EJ102" s="305"/>
      <c r="EK102" s="305"/>
      <c r="EL102" s="305"/>
      <c r="EM102" s="305"/>
      <c r="EN102" s="305"/>
      <c r="EO102" s="305"/>
      <c r="EP102" s="305"/>
      <c r="EQ102" s="305"/>
      <c r="ER102" s="305"/>
      <c r="ES102" s="305"/>
      <c r="ET102" s="305"/>
      <c r="EU102" s="305"/>
      <c r="EV102" s="305"/>
      <c r="EW102" s="305"/>
      <c r="EX102" s="305"/>
      <c r="EY102" s="305"/>
      <c r="EZ102" s="305"/>
      <c r="FA102" s="305"/>
      <c r="FB102" s="305"/>
      <c r="FC102" s="305"/>
      <c r="FD102" s="305"/>
      <c r="FE102" s="305"/>
      <c r="FF102" s="305"/>
      <c r="FG102" s="305"/>
      <c r="FH102" s="305"/>
      <c r="FI102" s="305"/>
      <c r="FJ102" s="305"/>
    </row>
    <row r="103" spans="1:166" ht="12.75" hidden="1" customHeight="1" x14ac:dyDescent="0.35">
      <c r="A103" s="136"/>
      <c r="B103" s="136"/>
      <c r="C103" s="136"/>
      <c r="D103" s="172" t="str">
        <f>IF(Calcs!CE437=0,"TBD",Calcs!CE437)</f>
        <v>TBD</v>
      </c>
      <c r="E103" s="152">
        <f>Calcs!CF437</f>
        <v>0</v>
      </c>
      <c r="F103" s="152">
        <f>Calcs!CG437</f>
        <v>0</v>
      </c>
      <c r="G103" s="152">
        <f>Calcs!CH437</f>
        <v>0</v>
      </c>
      <c r="H103" s="152">
        <f>Calcs!CI437</f>
        <v>0</v>
      </c>
      <c r="I103" s="152">
        <f>Calcs!CJ437</f>
        <v>0</v>
      </c>
      <c r="J103" s="152">
        <f>Calcs!CK437</f>
        <v>0</v>
      </c>
      <c r="K103" s="152">
        <f>Calcs!CL437</f>
        <v>0</v>
      </c>
      <c r="L103" s="152">
        <f>Calcs!CM437</f>
        <v>0</v>
      </c>
      <c r="M103" s="152">
        <f>Calcs!CN437</f>
        <v>0</v>
      </c>
      <c r="N103" s="152">
        <f>Calcs!CO437</f>
        <v>0</v>
      </c>
      <c r="O103" s="152">
        <f>Calcs!CP437</f>
        <v>0</v>
      </c>
      <c r="P103" s="152">
        <f>Calcs!CQ437</f>
        <v>0</v>
      </c>
      <c r="Q103" s="151">
        <f>SUM(E103:P103)</f>
        <v>0</v>
      </c>
      <c r="R103" s="152">
        <f>Calcs!CR437</f>
        <v>0</v>
      </c>
      <c r="S103" s="152">
        <f>Calcs!CS437</f>
        <v>0</v>
      </c>
      <c r="T103" s="152">
        <f>Calcs!CT437</f>
        <v>0</v>
      </c>
      <c r="U103" s="152">
        <f>Calcs!CU437</f>
        <v>0</v>
      </c>
      <c r="V103" s="152">
        <f>Calcs!CV437</f>
        <v>0</v>
      </c>
      <c r="W103" s="152">
        <f>Calcs!CW437</f>
        <v>0</v>
      </c>
      <c r="X103" s="152">
        <f>Calcs!CX437</f>
        <v>0</v>
      </c>
      <c r="Y103" s="152">
        <f>Calcs!CY437</f>
        <v>0</v>
      </c>
      <c r="Z103" s="152">
        <f>Calcs!CZ437</f>
        <v>0</v>
      </c>
      <c r="AA103" s="152">
        <f>Calcs!DA437</f>
        <v>0</v>
      </c>
      <c r="AB103" s="152">
        <f>Calcs!DB437</f>
        <v>0</v>
      </c>
      <c r="AC103" s="152">
        <f>Calcs!DC437</f>
        <v>0</v>
      </c>
      <c r="AD103" s="152">
        <f>SUM(R103:AC103)</f>
        <v>0</v>
      </c>
      <c r="AE103" s="152">
        <f>Calcs!DD437</f>
        <v>0</v>
      </c>
      <c r="AF103" s="152">
        <f>Calcs!DE437</f>
        <v>0</v>
      </c>
      <c r="AG103" s="152">
        <f>Calcs!DF437</f>
        <v>0</v>
      </c>
      <c r="AH103" s="152">
        <f>Calcs!DG437</f>
        <v>0</v>
      </c>
      <c r="AI103" s="152">
        <f>Calcs!DH437</f>
        <v>0</v>
      </c>
      <c r="AJ103" s="152">
        <f>Calcs!DI437</f>
        <v>0</v>
      </c>
      <c r="AK103" s="152">
        <f>Calcs!DJ437</f>
        <v>0</v>
      </c>
      <c r="AL103" s="152">
        <f>Calcs!DK437</f>
        <v>0</v>
      </c>
      <c r="AM103" s="152">
        <f>Calcs!DL437</f>
        <v>0</v>
      </c>
      <c r="AN103" s="152">
        <f>Calcs!DM437</f>
        <v>0</v>
      </c>
      <c r="AO103" s="152">
        <f>Calcs!DN437</f>
        <v>0</v>
      </c>
      <c r="AP103" s="152">
        <f>Calcs!DO437</f>
        <v>0</v>
      </c>
      <c r="AQ103" s="152">
        <f>SUM(AE103:AP103)</f>
        <v>0</v>
      </c>
      <c r="AR103" s="152">
        <f>Calcs!DP437</f>
        <v>0</v>
      </c>
      <c r="AS103" s="152">
        <f>Calcs!DQ437</f>
        <v>0</v>
      </c>
      <c r="AT103" s="152">
        <f>Calcs!DR437</f>
        <v>0</v>
      </c>
      <c r="AU103" s="152">
        <f>Calcs!DS437</f>
        <v>0</v>
      </c>
      <c r="AV103" s="152">
        <f>Calcs!DT437</f>
        <v>0</v>
      </c>
      <c r="AW103" s="152">
        <f>Calcs!DU437</f>
        <v>0</v>
      </c>
      <c r="AX103" s="152">
        <f>Calcs!DV437</f>
        <v>0</v>
      </c>
      <c r="AY103" s="152">
        <f>Calcs!DW437</f>
        <v>0</v>
      </c>
      <c r="AZ103" s="152">
        <f>Calcs!DX437</f>
        <v>0</v>
      </c>
      <c r="BA103" s="152">
        <f>Calcs!DY437</f>
        <v>0</v>
      </c>
      <c r="BB103" s="152">
        <f>Calcs!DZ437</f>
        <v>0</v>
      </c>
      <c r="BC103" s="152">
        <f>Calcs!EA437</f>
        <v>0</v>
      </c>
      <c r="BD103" s="152">
        <f>SUM(AR103:BC103)</f>
        <v>0</v>
      </c>
      <c r="BE103" s="152">
        <f>Calcs!EB437</f>
        <v>0</v>
      </c>
      <c r="BF103" s="152">
        <f>Calcs!EC437</f>
        <v>0</v>
      </c>
      <c r="BG103" s="152">
        <f>Calcs!ED437</f>
        <v>0</v>
      </c>
      <c r="BH103" s="152">
        <f>Calcs!EE437</f>
        <v>0</v>
      </c>
      <c r="BI103" s="152">
        <f>Calcs!EF437</f>
        <v>0</v>
      </c>
      <c r="BJ103" s="152">
        <f>Calcs!EG437</f>
        <v>0</v>
      </c>
      <c r="BK103" s="152">
        <f>Calcs!EH437</f>
        <v>0</v>
      </c>
      <c r="BL103" s="152">
        <f>Calcs!EI437</f>
        <v>0</v>
      </c>
      <c r="BM103" s="152">
        <f>Calcs!EJ437</f>
        <v>0</v>
      </c>
      <c r="BN103" s="152">
        <f>Calcs!EK437</f>
        <v>0</v>
      </c>
      <c r="BO103" s="152">
        <f>Calcs!EL437</f>
        <v>0</v>
      </c>
      <c r="BP103" s="152">
        <f>Calcs!EM437</f>
        <v>0</v>
      </c>
      <c r="BQ103" s="152">
        <f>SUM(BE103:BP103)</f>
        <v>0</v>
      </c>
      <c r="BR103" s="1567"/>
      <c r="BS103" s="153">
        <f>SUM(BQ103,BD103,AQ103,AD103,Q103)</f>
        <v>0</v>
      </c>
      <c r="BT103" s="1567"/>
      <c r="BU103" s="171">
        <f>SUM(BQ103,BD103,AQ103,AD103,Q103)</f>
      </c>
      <c r="BV103" s="170">
        <f>Calcs!CE439</f>
        <v>0</v>
      </c>
      <c r="BW103" s="96">
        <f>SUM(Financials!E103:'Financials'!G103)</f>
        <v>0</v>
      </c>
      <c r="BX103" s="96">
        <f>SUM(Financials!H103:'Financials'!J103)</f>
        <v>0</v>
      </c>
      <c r="BY103" s="96">
        <f>SUM(Financials!K103:'Financials'!M103)</f>
        <v>0</v>
      </c>
      <c r="BZ103" s="172">
        <f>SUM(Financials!G103:'Financials'!I103)</f>
        <v>0</v>
      </c>
      <c r="CA103" s="152">
        <f>SUM(Financials!R103:'Financials'!T103)</f>
        <v>0</v>
      </c>
      <c r="CB103" s="152">
        <f>SUM(Financials!U103:'Financials'!W103)</f>
        <v>0</v>
      </c>
      <c r="CC103" s="152">
        <f>SUM(Financials!X103:'Financials'!Z103)</f>
        <v>0</v>
      </c>
      <c r="CD103" s="152">
        <f>SUM(Financials!AA103:'Financials'!AC103)</f>
        <v>0</v>
      </c>
      <c r="CE103" s="152">
        <f>SUM(Financials!AE103:'Financials'!AG103)</f>
        <v>0</v>
      </c>
      <c r="CF103" s="152">
        <f>SUM(Financials!AH103:'Financials'!AJ103)</f>
        <v>0</v>
      </c>
      <c r="CG103" s="152">
        <f>SUM(Financials!AK103:'Financials'!AM103)</f>
        <v>0</v>
      </c>
      <c r="CH103" s="152">
        <f>SUM(Financials!AN103:'Financials'!AP103)</f>
        <v>0</v>
      </c>
      <c r="CI103" s="152">
        <f>SUM(Financials!AR103:'Financials'!AT103)</f>
        <v>0</v>
      </c>
      <c r="CJ103" s="152">
        <f>SUM(Financials!AU103:'Financials'!AW103)</f>
        <v>0</v>
      </c>
      <c r="CK103" s="152">
        <f>SUM(Financials!AX103:'Financials'!AZ103)</f>
        <v>0</v>
      </c>
      <c r="CL103" s="152">
        <f>SUM(Financials!BA103:'Financials'!BC103)</f>
        <v>0</v>
      </c>
      <c r="CM103" s="152">
        <f>SUM(Financials!BE103:'Financials'!BG103)</f>
        <v>0</v>
      </c>
      <c r="CN103" s="152">
        <f>SUM(Financials!BH103:'Financials'!BJ103)</f>
        <v>0</v>
      </c>
      <c r="CO103" s="152">
        <f>SUM(Financials!BK103:'Financials'!BM103)</f>
        <v>0</v>
      </c>
      <c r="CP103" s="152">
        <f>SUM(Financials!BN103:'Financials'!BP103)</f>
        <v>0</v>
      </c>
      <c r="CY103" s="305"/>
      <c r="CZ103" s="305"/>
      <c r="DA103" s="305"/>
      <c r="DB103" s="305"/>
      <c r="DC103" s="305"/>
      <c r="DD103" s="305"/>
      <c r="DE103" s="305"/>
      <c r="DF103" s="305"/>
      <c r="DG103" s="305"/>
      <c r="DH103" s="305"/>
      <c r="DI103" s="305"/>
      <c r="DJ103" s="305"/>
      <c r="DK103" s="305"/>
      <c r="DL103" s="305"/>
      <c r="DM103" s="305"/>
      <c r="DN103" s="305"/>
      <c r="DO103" s="305"/>
      <c r="DP103" s="305"/>
      <c r="DQ103" s="305"/>
      <c r="DR103" s="305"/>
      <c r="DS103" s="305"/>
      <c r="DT103" s="305"/>
      <c r="DU103" s="305"/>
      <c r="DV103" s="305"/>
      <c r="DW103" s="305"/>
      <c r="DX103" s="305"/>
      <c r="DY103" s="305"/>
      <c r="DZ103" s="305"/>
      <c r="EA103" s="305"/>
      <c r="EB103" s="305"/>
      <c r="EC103" s="305"/>
      <c r="ED103" s="305"/>
      <c r="EE103" s="305"/>
      <c r="EF103" s="305"/>
      <c r="EG103" s="305"/>
      <c r="EH103" s="305"/>
      <c r="EI103" s="305"/>
      <c r="EJ103" s="305"/>
      <c r="EK103" s="305"/>
      <c r="EL103" s="305"/>
      <c r="EM103" s="305"/>
      <c r="EN103" s="305"/>
      <c r="EO103" s="305"/>
      <c r="EP103" s="305"/>
      <c r="EQ103" s="305"/>
      <c r="ER103" s="305"/>
      <c r="ES103" s="305"/>
      <c r="ET103" s="305"/>
      <c r="EU103" s="305"/>
      <c r="EV103" s="305"/>
      <c r="EW103" s="305"/>
      <c r="EX103" s="305"/>
      <c r="EY103" s="305"/>
      <c r="EZ103" s="305"/>
      <c r="FA103" s="305"/>
      <c r="FB103" s="305"/>
      <c r="FC103" s="305"/>
      <c r="FD103" s="305"/>
      <c r="FE103" s="305"/>
      <c r="FF103" s="305"/>
      <c r="FG103" s="305"/>
      <c r="FH103" s="305"/>
      <c r="FI103" s="305"/>
      <c r="FJ103" s="305"/>
    </row>
    <row r="104" spans="1:166" ht="12.75" hidden="1" customHeight="1" x14ac:dyDescent="0.35">
      <c r="A104" s="136"/>
      <c r="B104" s="136"/>
      <c r="C104" s="136"/>
      <c r="D104" s="172" t="str">
        <f>IF(Calcs!CE438=0,"TBD",Calcs!CE438)</f>
        <v>TBD</v>
      </c>
      <c r="E104" s="152">
        <f>Calcs!CF438</f>
        <v>0</v>
      </c>
      <c r="F104" s="152">
        <f>Calcs!CG438</f>
        <v>0</v>
      </c>
      <c r="G104" s="152">
        <f>Calcs!CH438</f>
        <v>0</v>
      </c>
      <c r="H104" s="152">
        <f>Calcs!CI438</f>
        <v>0</v>
      </c>
      <c r="I104" s="152">
        <f>Calcs!CJ438</f>
        <v>0</v>
      </c>
      <c r="J104" s="152">
        <f>Calcs!CK438</f>
        <v>0</v>
      </c>
      <c r="K104" s="152">
        <f>Calcs!CL438</f>
        <v>0</v>
      </c>
      <c r="L104" s="152">
        <f>Calcs!CM438</f>
        <v>0</v>
      </c>
      <c r="M104" s="152">
        <f>Calcs!CN438</f>
        <v>0</v>
      </c>
      <c r="N104" s="152">
        <f>Calcs!CO438</f>
        <v>0</v>
      </c>
      <c r="O104" s="152">
        <f>Calcs!CP438</f>
        <v>0</v>
      </c>
      <c r="P104" s="152">
        <f>Calcs!CQ438</f>
        <v>0</v>
      </c>
      <c r="Q104" s="151">
        <f>SUM(E104:P104)</f>
        <v>0</v>
      </c>
      <c r="R104" s="152">
        <f>Calcs!CR438</f>
        <v>0</v>
      </c>
      <c r="S104" s="152">
        <f>Calcs!CS438</f>
        <v>0</v>
      </c>
      <c r="T104" s="152">
        <f>Calcs!CT438</f>
        <v>0</v>
      </c>
      <c r="U104" s="152">
        <f>Calcs!CU438</f>
        <v>0</v>
      </c>
      <c r="V104" s="152">
        <f>Calcs!CV438</f>
        <v>0</v>
      </c>
      <c r="W104" s="152">
        <f>Calcs!CW438</f>
        <v>0</v>
      </c>
      <c r="X104" s="152">
        <f>Calcs!CX438</f>
        <v>0</v>
      </c>
      <c r="Y104" s="152">
        <f>Calcs!CY438</f>
        <v>0</v>
      </c>
      <c r="Z104" s="152">
        <f>Calcs!CZ438</f>
        <v>0</v>
      </c>
      <c r="AA104" s="152">
        <f>Calcs!DA438</f>
        <v>0</v>
      </c>
      <c r="AB104" s="152">
        <f>Calcs!DB438</f>
        <v>0</v>
      </c>
      <c r="AC104" s="152">
        <f>Calcs!DC438</f>
        <v>0</v>
      </c>
      <c r="AD104" s="152">
        <f>SUM(R104:AC104)</f>
        <v>0</v>
      </c>
      <c r="AE104" s="152">
        <f>Calcs!DD438</f>
        <v>0</v>
      </c>
      <c r="AF104" s="152">
        <f>Calcs!DE438</f>
        <v>0</v>
      </c>
      <c r="AG104" s="152">
        <f>Calcs!DF438</f>
        <v>0</v>
      </c>
      <c r="AH104" s="152">
        <f>Calcs!DG438</f>
        <v>0</v>
      </c>
      <c r="AI104" s="152">
        <f>Calcs!DH438</f>
        <v>0</v>
      </c>
      <c r="AJ104" s="152">
        <f>Calcs!DI438</f>
        <v>0</v>
      </c>
      <c r="AK104" s="152">
        <f>Calcs!DJ438</f>
        <v>0</v>
      </c>
      <c r="AL104" s="152">
        <f>Calcs!DK438</f>
        <v>0</v>
      </c>
      <c r="AM104" s="152">
        <f>Calcs!DL438</f>
        <v>0</v>
      </c>
      <c r="AN104" s="152">
        <f>Calcs!DM438</f>
        <v>0</v>
      </c>
      <c r="AO104" s="152">
        <f>Calcs!DN438</f>
        <v>0</v>
      </c>
      <c r="AP104" s="152">
        <f>Calcs!DO438</f>
        <v>0</v>
      </c>
      <c r="AQ104" s="152">
        <f>SUM(AE104:AP104)</f>
        <v>0</v>
      </c>
      <c r="AR104" s="152">
        <f>Calcs!DP438</f>
        <v>0</v>
      </c>
      <c r="AS104" s="152">
        <f>Calcs!DQ438</f>
        <v>0</v>
      </c>
      <c r="AT104" s="152">
        <f>Calcs!DR438</f>
        <v>0</v>
      </c>
      <c r="AU104" s="152">
        <f>Calcs!DS438</f>
        <v>0</v>
      </c>
      <c r="AV104" s="152">
        <f>Calcs!DT438</f>
        <v>0</v>
      </c>
      <c r="AW104" s="152">
        <f>Calcs!DU438</f>
        <v>0</v>
      </c>
      <c r="AX104" s="152">
        <f>Calcs!DV438</f>
        <v>0</v>
      </c>
      <c r="AY104" s="152">
        <f>Calcs!DW438</f>
        <v>0</v>
      </c>
      <c r="AZ104" s="152">
        <f>Calcs!DX438</f>
        <v>0</v>
      </c>
      <c r="BA104" s="152">
        <f>Calcs!DY438</f>
        <v>0</v>
      </c>
      <c r="BB104" s="152">
        <f>Calcs!DZ438</f>
        <v>0</v>
      </c>
      <c r="BC104" s="152">
        <f>Calcs!EA438</f>
        <v>0</v>
      </c>
      <c r="BD104" s="152">
        <f>SUM(AR104:BC104)</f>
        <v>0</v>
      </c>
      <c r="BE104" s="152">
        <f>Calcs!EB438</f>
        <v>0</v>
      </c>
      <c r="BF104" s="152">
        <f>Calcs!EC438</f>
        <v>0</v>
      </c>
      <c r="BG104" s="152">
        <f>Calcs!ED438</f>
        <v>0</v>
      </c>
      <c r="BH104" s="152">
        <f>Calcs!EE438</f>
        <v>0</v>
      </c>
      <c r="BI104" s="152">
        <f>Calcs!EF438</f>
        <v>0</v>
      </c>
      <c r="BJ104" s="152">
        <f>Calcs!EG438</f>
        <v>0</v>
      </c>
      <c r="BK104" s="152">
        <f>Calcs!EH438</f>
        <v>0</v>
      </c>
      <c r="BL104" s="152">
        <f>Calcs!EI438</f>
        <v>0</v>
      </c>
      <c r="BM104" s="152">
        <f>Calcs!EJ438</f>
        <v>0</v>
      </c>
      <c r="BN104" s="152">
        <f>Calcs!EK438</f>
        <v>0</v>
      </c>
      <c r="BO104" s="152">
        <f>Calcs!EL438</f>
        <v>0</v>
      </c>
      <c r="BP104" s="152">
        <f>Calcs!EM438</f>
        <v>0</v>
      </c>
      <c r="BQ104" s="152">
        <f>SUM(BE104:BP104)</f>
        <v>0</v>
      </c>
      <c r="BR104" s="1567"/>
      <c r="BS104" s="153">
        <f>SUM(BQ104,BD104,AQ104,AD104,Q104)</f>
        <v>0</v>
      </c>
      <c r="BT104" s="1567"/>
      <c r="BU104" s="171">
        <f>SUM(BQ104,BD104,AQ104,AD104,Q104)</f>
      </c>
      <c r="BV104" s="170">
        <f>Calcs!CE440</f>
        <v>0</v>
      </c>
      <c r="BW104" s="96">
        <f>SUM(Financials!E104:'Financials'!G104)</f>
        <v>0</v>
      </c>
      <c r="BX104" s="96">
        <f>SUM(Financials!H104:'Financials'!J104)</f>
        <v>0</v>
      </c>
      <c r="BY104" s="96">
        <f>SUM(Financials!K104:'Financials'!M104)</f>
        <v>0</v>
      </c>
      <c r="BZ104" s="172">
        <f>SUM(Financials!G104:'Financials'!I104)</f>
        <v>0</v>
      </c>
      <c r="CA104" s="152">
        <f>SUM(Financials!R104:'Financials'!T104)</f>
        <v>0</v>
      </c>
      <c r="CB104" s="152">
        <f>SUM(Financials!U104:'Financials'!W104)</f>
        <v>0</v>
      </c>
      <c r="CC104" s="152">
        <f>SUM(Financials!X104:'Financials'!Z104)</f>
        <v>0</v>
      </c>
      <c r="CD104" s="152">
        <f>SUM(Financials!AA104:'Financials'!AC104)</f>
        <v>0</v>
      </c>
      <c r="CE104" s="152">
        <f>SUM(Financials!AE104:'Financials'!AG104)</f>
        <v>0</v>
      </c>
      <c r="CF104" s="152">
        <f>SUM(Financials!AH104:'Financials'!AJ104)</f>
        <v>0</v>
      </c>
      <c r="CG104" s="152">
        <f>SUM(Financials!AK104:'Financials'!AM104)</f>
        <v>0</v>
      </c>
      <c r="CH104" s="152">
        <f>SUM(Financials!AN104:'Financials'!AP104)</f>
        <v>0</v>
      </c>
      <c r="CI104" s="152">
        <f>SUM(Financials!AR104:'Financials'!AT104)</f>
        <v>0</v>
      </c>
      <c r="CJ104" s="152">
        <f>SUM(Financials!AU104:'Financials'!AW104)</f>
        <v>0</v>
      </c>
      <c r="CK104" s="152">
        <f>SUM(Financials!AX104:'Financials'!AZ104)</f>
        <v>0</v>
      </c>
      <c r="CL104" s="152">
        <f>SUM(Financials!BA104:'Financials'!BC104)</f>
        <v>0</v>
      </c>
      <c r="CM104" s="152">
        <f>SUM(Financials!BE104:'Financials'!BG104)</f>
        <v>0</v>
      </c>
      <c r="CN104" s="152">
        <f>SUM(Financials!BH104:'Financials'!BJ104)</f>
        <v>0</v>
      </c>
      <c r="CO104" s="152">
        <f>SUM(Financials!BK104:'Financials'!BM104)</f>
        <v>0</v>
      </c>
      <c r="CP104" s="152">
        <f>SUM(Financials!BN104:'Financials'!BP104)</f>
        <v>0</v>
      </c>
      <c r="CY104" s="305"/>
      <c r="CZ104" s="305"/>
      <c r="DA104" s="305"/>
      <c r="DB104" s="305"/>
      <c r="DC104" s="305"/>
      <c r="DD104" s="305"/>
      <c r="DE104" s="305"/>
      <c r="DF104" s="305"/>
      <c r="DG104" s="305"/>
      <c r="DH104" s="305"/>
      <c r="DI104" s="305"/>
      <c r="DJ104" s="305"/>
      <c r="DK104" s="305"/>
      <c r="DL104" s="305"/>
      <c r="DM104" s="305"/>
      <c r="DN104" s="305"/>
      <c r="DO104" s="305"/>
      <c r="DP104" s="305"/>
      <c r="DQ104" s="305"/>
      <c r="DR104" s="305"/>
      <c r="DS104" s="305"/>
      <c r="DT104" s="305"/>
      <c r="DU104" s="305"/>
      <c r="DV104" s="305"/>
      <c r="DW104" s="305"/>
      <c r="DX104" s="305"/>
      <c r="DY104" s="305"/>
      <c r="DZ104" s="305"/>
      <c r="EA104" s="305"/>
      <c r="EB104" s="305"/>
      <c r="EC104" s="305"/>
      <c r="ED104" s="305"/>
      <c r="EE104" s="305"/>
      <c r="EF104" s="305"/>
      <c r="EG104" s="305"/>
      <c r="EH104" s="305"/>
      <c r="EI104" s="305"/>
      <c r="EJ104" s="305"/>
      <c r="EK104" s="305"/>
      <c r="EL104" s="305"/>
      <c r="EM104" s="305"/>
      <c r="EN104" s="305"/>
      <c r="EO104" s="305"/>
      <c r="EP104" s="305"/>
      <c r="EQ104" s="305"/>
      <c r="ER104" s="305"/>
      <c r="ES104" s="305"/>
      <c r="ET104" s="305"/>
      <c r="EU104" s="305"/>
      <c r="EV104" s="305"/>
      <c r="EW104" s="305"/>
      <c r="EX104" s="305"/>
      <c r="EY104" s="305"/>
      <c r="EZ104" s="305"/>
      <c r="FA104" s="305"/>
      <c r="FB104" s="305"/>
      <c r="FC104" s="305"/>
      <c r="FD104" s="305"/>
      <c r="FE104" s="305"/>
      <c r="FF104" s="305"/>
      <c r="FG104" s="305"/>
      <c r="FH104" s="305"/>
      <c r="FI104" s="305"/>
      <c r="FJ104" s="305"/>
    </row>
    <row r="105" spans="1:166" ht="12.75" hidden="1" customHeight="1" x14ac:dyDescent="0.35">
      <c r="A105" s="136"/>
      <c r="B105" s="136"/>
      <c r="C105" s="136"/>
      <c r="D105" s="172" t="str">
        <f>IF(Calcs!CE439=0,"TBD",Calcs!CE439)</f>
        <v>TBD</v>
      </c>
      <c r="E105" s="152">
        <f>Calcs!CF439</f>
        <v>0</v>
      </c>
      <c r="F105" s="152">
        <f>Calcs!CG439</f>
        <v>0</v>
      </c>
      <c r="G105" s="152">
        <f>Calcs!CH439</f>
        <v>0</v>
      </c>
      <c r="H105" s="152">
        <f>Calcs!CI439</f>
        <v>0</v>
      </c>
      <c r="I105" s="152">
        <f>Calcs!CJ439</f>
        <v>0</v>
      </c>
      <c r="J105" s="152">
        <f>Calcs!CK439</f>
        <v>0</v>
      </c>
      <c r="K105" s="152">
        <f>Calcs!CL439</f>
        <v>0</v>
      </c>
      <c r="L105" s="152">
        <f>Calcs!CM439</f>
        <v>0</v>
      </c>
      <c r="M105" s="152">
        <f>Calcs!CN439</f>
        <v>0</v>
      </c>
      <c r="N105" s="152">
        <f>Calcs!CO439</f>
        <v>0</v>
      </c>
      <c r="O105" s="152">
        <f>Calcs!CP439</f>
        <v>0</v>
      </c>
      <c r="P105" s="152">
        <f>Calcs!CQ439</f>
        <v>0</v>
      </c>
      <c r="Q105" s="151">
        <f>SUM(E105:P105)</f>
        <v>0</v>
      </c>
      <c r="R105" s="152">
        <f>Calcs!CR439</f>
        <v>0</v>
      </c>
      <c r="S105" s="152">
        <f>Calcs!CS439</f>
        <v>0</v>
      </c>
      <c r="T105" s="152">
        <f>Calcs!CT439</f>
        <v>0</v>
      </c>
      <c r="U105" s="152">
        <f>Calcs!CU439</f>
        <v>0</v>
      </c>
      <c r="V105" s="152">
        <f>Calcs!CV439</f>
        <v>0</v>
      </c>
      <c r="W105" s="152">
        <f>Calcs!CW439</f>
        <v>0</v>
      </c>
      <c r="X105" s="152">
        <f>Calcs!CX439</f>
        <v>0</v>
      </c>
      <c r="Y105" s="152">
        <f>Calcs!CY439</f>
        <v>0</v>
      </c>
      <c r="Z105" s="152">
        <f>Calcs!CZ439</f>
        <v>0</v>
      </c>
      <c r="AA105" s="152">
        <f>Calcs!DA439</f>
        <v>0</v>
      </c>
      <c r="AB105" s="152">
        <f>Calcs!DB439</f>
        <v>0</v>
      </c>
      <c r="AC105" s="152">
        <f>Calcs!DC439</f>
        <v>0</v>
      </c>
      <c r="AD105" s="152">
        <f>SUM(R105:AC105)</f>
        <v>0</v>
      </c>
      <c r="AE105" s="152">
        <f>Calcs!DD439</f>
        <v>0</v>
      </c>
      <c r="AF105" s="152">
        <f>Calcs!DE439</f>
        <v>0</v>
      </c>
      <c r="AG105" s="152">
        <f>Calcs!DF439</f>
        <v>0</v>
      </c>
      <c r="AH105" s="152">
        <f>Calcs!DG439</f>
        <v>0</v>
      </c>
      <c r="AI105" s="152">
        <f>Calcs!DH439</f>
        <v>0</v>
      </c>
      <c r="AJ105" s="152">
        <f>Calcs!DI439</f>
        <v>0</v>
      </c>
      <c r="AK105" s="152">
        <f>Calcs!DJ439</f>
        <v>0</v>
      </c>
      <c r="AL105" s="152">
        <f>Calcs!DK439</f>
        <v>0</v>
      </c>
      <c r="AM105" s="152">
        <f>Calcs!DL439</f>
        <v>0</v>
      </c>
      <c r="AN105" s="152">
        <f>Calcs!DM439</f>
        <v>0</v>
      </c>
      <c r="AO105" s="152">
        <f>Calcs!DN439</f>
        <v>0</v>
      </c>
      <c r="AP105" s="152">
        <f>Calcs!DO439</f>
        <v>0</v>
      </c>
      <c r="AQ105" s="152">
        <f>SUM(AE105:AP105)</f>
        <v>0</v>
      </c>
      <c r="AR105" s="152">
        <f>Calcs!DP439</f>
        <v>0</v>
      </c>
      <c r="AS105" s="152">
        <f>Calcs!DQ439</f>
        <v>0</v>
      </c>
      <c r="AT105" s="152">
        <f>Calcs!DR439</f>
        <v>0</v>
      </c>
      <c r="AU105" s="152">
        <f>Calcs!DS439</f>
        <v>0</v>
      </c>
      <c r="AV105" s="152">
        <f>Calcs!DT439</f>
        <v>0</v>
      </c>
      <c r="AW105" s="152">
        <f>Calcs!DU439</f>
        <v>0</v>
      </c>
      <c r="AX105" s="152">
        <f>Calcs!DV439</f>
        <v>0</v>
      </c>
      <c r="AY105" s="152">
        <f>Calcs!DW439</f>
        <v>0</v>
      </c>
      <c r="AZ105" s="152">
        <f>Calcs!DX439</f>
        <v>0</v>
      </c>
      <c r="BA105" s="152">
        <f>Calcs!DY439</f>
        <v>0</v>
      </c>
      <c r="BB105" s="152">
        <f>Calcs!DZ439</f>
        <v>0</v>
      </c>
      <c r="BC105" s="152">
        <f>Calcs!EA439</f>
        <v>0</v>
      </c>
      <c r="BD105" s="152">
        <f>SUM(AR105:BC105)</f>
        <v>0</v>
      </c>
      <c r="BE105" s="152">
        <f>Calcs!EB439</f>
        <v>0</v>
      </c>
      <c r="BF105" s="152">
        <f>Calcs!EC439</f>
        <v>0</v>
      </c>
      <c r="BG105" s="152">
        <f>Calcs!ED439</f>
        <v>0</v>
      </c>
      <c r="BH105" s="152">
        <f>Calcs!EE439</f>
        <v>0</v>
      </c>
      <c r="BI105" s="152">
        <f>Calcs!EF439</f>
        <v>0</v>
      </c>
      <c r="BJ105" s="152">
        <f>Calcs!EG439</f>
        <v>0</v>
      </c>
      <c r="BK105" s="152">
        <f>Calcs!EH439</f>
        <v>0</v>
      </c>
      <c r="BL105" s="152">
        <f>Calcs!EI439</f>
        <v>0</v>
      </c>
      <c r="BM105" s="152">
        <f>Calcs!EJ439</f>
        <v>0</v>
      </c>
      <c r="BN105" s="152">
        <f>Calcs!EK439</f>
        <v>0</v>
      </c>
      <c r="BO105" s="152">
        <f>Calcs!EL439</f>
        <v>0</v>
      </c>
      <c r="BP105" s="152">
        <f>Calcs!EM439</f>
        <v>0</v>
      </c>
      <c r="BQ105" s="152">
        <f>SUM(BE105:BP105)</f>
        <v>0</v>
      </c>
      <c r="BR105" s="1567"/>
      <c r="BS105" s="153">
        <f>SUM(BQ105,BD105,AQ105,AD105,Q105)</f>
        <v>0</v>
      </c>
      <c r="BT105" s="1567"/>
      <c r="BU105" s="171">
        <f>SUM(BQ105,BD105,AQ105,AD105,Q105)</f>
      </c>
      <c r="BV105" s="170">
        <f>Calcs!CE441</f>
        <v>0</v>
      </c>
      <c r="BW105" s="96">
        <f>SUM(Financials!E105:'Financials'!G105)</f>
        <v>0</v>
      </c>
      <c r="BX105" s="96">
        <f>SUM(Financials!H105:'Financials'!J105)</f>
        <v>0</v>
      </c>
      <c r="BY105" s="96">
        <f>SUM(Financials!K105:'Financials'!M105)</f>
        <v>0</v>
      </c>
      <c r="BZ105" s="172">
        <f>SUM(Financials!G105:'Financials'!I105)</f>
        <v>0</v>
      </c>
      <c r="CA105" s="152">
        <f>SUM(Financials!R105:'Financials'!T105)</f>
        <v>0</v>
      </c>
      <c r="CB105" s="152">
        <f>SUM(Financials!U105:'Financials'!W105)</f>
        <v>0</v>
      </c>
      <c r="CC105" s="152">
        <f>SUM(Financials!X105:'Financials'!Z105)</f>
        <v>0</v>
      </c>
      <c r="CD105" s="152">
        <f>SUM(Financials!AA105:'Financials'!AC105)</f>
        <v>0</v>
      </c>
      <c r="CE105" s="152">
        <f>SUM(Financials!AE105:'Financials'!AG105)</f>
        <v>0</v>
      </c>
      <c r="CF105" s="152">
        <f>SUM(Financials!AH105:'Financials'!AJ105)</f>
        <v>0</v>
      </c>
      <c r="CG105" s="152">
        <f>SUM(Financials!AK105:'Financials'!AM105)</f>
        <v>0</v>
      </c>
      <c r="CH105" s="152">
        <f>SUM(Financials!AN105:'Financials'!AP105)</f>
        <v>0</v>
      </c>
      <c r="CI105" s="152">
        <f>SUM(Financials!AR105:'Financials'!AT105)</f>
        <v>0</v>
      </c>
      <c r="CJ105" s="152">
        <f>SUM(Financials!AU105:'Financials'!AW105)</f>
        <v>0</v>
      </c>
      <c r="CK105" s="152">
        <f>SUM(Financials!AX105:'Financials'!AZ105)</f>
        <v>0</v>
      </c>
      <c r="CL105" s="152">
        <f>SUM(Financials!BA105:'Financials'!BC105)</f>
        <v>0</v>
      </c>
      <c r="CM105" s="152">
        <f>SUM(Financials!BE105:'Financials'!BG105)</f>
        <v>0</v>
      </c>
      <c r="CN105" s="152">
        <f>SUM(Financials!BH105:'Financials'!BJ105)</f>
        <v>0</v>
      </c>
      <c r="CO105" s="152">
        <f>SUM(Financials!BK105:'Financials'!BM105)</f>
        <v>0</v>
      </c>
      <c r="CP105" s="152">
        <f>SUM(Financials!BN105:'Financials'!BP105)</f>
        <v>0</v>
      </c>
      <c r="CY105" s="305"/>
      <c r="CZ105" s="305"/>
      <c r="DA105" s="305"/>
      <c r="DB105" s="305"/>
      <c r="DC105" s="305"/>
      <c r="DD105" s="305"/>
      <c r="DE105" s="305"/>
      <c r="DF105" s="305"/>
      <c r="DG105" s="305"/>
      <c r="DH105" s="305"/>
      <c r="DI105" s="305"/>
      <c r="DJ105" s="305"/>
      <c r="DK105" s="305"/>
      <c r="DL105" s="305"/>
      <c r="DM105" s="305"/>
      <c r="DN105" s="305"/>
      <c r="DO105" s="305"/>
      <c r="DP105" s="305"/>
      <c r="DQ105" s="305"/>
      <c r="DR105" s="305"/>
      <c r="DS105" s="305"/>
      <c r="DT105" s="305"/>
      <c r="DU105" s="305"/>
      <c r="DV105" s="305"/>
      <c r="DW105" s="305"/>
      <c r="DX105" s="305"/>
      <c r="DY105" s="305"/>
      <c r="DZ105" s="305"/>
      <c r="EA105" s="305"/>
      <c r="EB105" s="305"/>
      <c r="EC105" s="305"/>
      <c r="ED105" s="305"/>
      <c r="EE105" s="305"/>
      <c r="EF105" s="305"/>
      <c r="EG105" s="305"/>
      <c r="EH105" s="305"/>
      <c r="EI105" s="305"/>
      <c r="EJ105" s="305"/>
      <c r="EK105" s="305"/>
      <c r="EL105" s="305"/>
      <c r="EM105" s="305"/>
      <c r="EN105" s="305"/>
      <c r="EO105" s="305"/>
      <c r="EP105" s="305"/>
      <c r="EQ105" s="305"/>
      <c r="ER105" s="305"/>
      <c r="ES105" s="305"/>
      <c r="ET105" s="305"/>
      <c r="EU105" s="305"/>
      <c r="EV105" s="305"/>
      <c r="EW105" s="305"/>
      <c r="EX105" s="305"/>
      <c r="EY105" s="305"/>
      <c r="EZ105" s="305"/>
      <c r="FA105" s="305"/>
      <c r="FB105" s="305"/>
      <c r="FC105" s="305"/>
      <c r="FD105" s="305"/>
      <c r="FE105" s="305"/>
      <c r="FF105" s="305"/>
      <c r="FG105" s="305"/>
      <c r="FH105" s="305"/>
      <c r="FI105" s="305"/>
      <c r="FJ105" s="305"/>
    </row>
    <row r="106" spans="1:166" ht="12.75" hidden="1" customHeight="1" x14ac:dyDescent="0.35">
      <c r="A106" s="136"/>
      <c r="B106" s="136"/>
      <c r="C106" s="136"/>
      <c r="D106" s="172" t="str">
        <f>IF(Calcs!CE440=0,"TBD",Calcs!CE440)</f>
        <v>TBD</v>
      </c>
      <c r="E106" s="152">
        <f>Calcs!CF440</f>
        <v>0</v>
      </c>
      <c r="F106" s="152">
        <f>Calcs!CG440</f>
        <v>0</v>
      </c>
      <c r="G106" s="152">
        <f>Calcs!CH440</f>
        <v>0</v>
      </c>
      <c r="H106" s="152">
        <f>Calcs!CI440</f>
        <v>0</v>
      </c>
      <c r="I106" s="152">
        <f>Calcs!CJ440</f>
        <v>0</v>
      </c>
      <c r="J106" s="152">
        <f>Calcs!CK440</f>
        <v>0</v>
      </c>
      <c r="K106" s="152">
        <f>Calcs!CL440</f>
        <v>0</v>
      </c>
      <c r="L106" s="152">
        <f>Calcs!CM440</f>
        <v>0</v>
      </c>
      <c r="M106" s="152">
        <f>Calcs!CN440</f>
        <v>0</v>
      </c>
      <c r="N106" s="152">
        <f>Calcs!CO440</f>
        <v>0</v>
      </c>
      <c r="O106" s="152">
        <f>Calcs!CP440</f>
        <v>0</v>
      </c>
      <c r="P106" s="152">
        <f>Calcs!CQ440</f>
        <v>0</v>
      </c>
      <c r="Q106" s="151">
        <f>SUM(E106:P106)</f>
        <v>0</v>
      </c>
      <c r="R106" s="152">
        <f>Calcs!CR440</f>
        <v>0</v>
      </c>
      <c r="S106" s="152">
        <f>Calcs!CS440</f>
        <v>0</v>
      </c>
      <c r="T106" s="152">
        <f>Calcs!CT440</f>
        <v>0</v>
      </c>
      <c r="U106" s="152">
        <f>Calcs!CU440</f>
        <v>0</v>
      </c>
      <c r="V106" s="152">
        <f>Calcs!CV440</f>
        <v>0</v>
      </c>
      <c r="W106" s="152">
        <f>Calcs!CW440</f>
        <v>0</v>
      </c>
      <c r="X106" s="152">
        <f>Calcs!CX440</f>
        <v>0</v>
      </c>
      <c r="Y106" s="152">
        <f>Calcs!CY440</f>
        <v>0</v>
      </c>
      <c r="Z106" s="152">
        <f>Calcs!CZ440</f>
        <v>0</v>
      </c>
      <c r="AA106" s="152">
        <f>Calcs!DA440</f>
        <v>0</v>
      </c>
      <c r="AB106" s="152">
        <f>Calcs!DB440</f>
        <v>0</v>
      </c>
      <c r="AC106" s="152">
        <f>Calcs!DC440</f>
        <v>0</v>
      </c>
      <c r="AD106" s="152">
        <f>SUM(R106:AC106)</f>
        <v>0</v>
      </c>
      <c r="AE106" s="152">
        <f>Calcs!DD440</f>
        <v>0</v>
      </c>
      <c r="AF106" s="152">
        <f>Calcs!DE440</f>
        <v>0</v>
      </c>
      <c r="AG106" s="152">
        <f>Calcs!DF440</f>
        <v>0</v>
      </c>
      <c r="AH106" s="152">
        <f>Calcs!DG440</f>
        <v>0</v>
      </c>
      <c r="AI106" s="152">
        <f>Calcs!DH440</f>
        <v>0</v>
      </c>
      <c r="AJ106" s="152">
        <f>Calcs!DI440</f>
        <v>0</v>
      </c>
      <c r="AK106" s="152">
        <f>Calcs!DJ440</f>
        <v>0</v>
      </c>
      <c r="AL106" s="152">
        <f>Calcs!DK440</f>
        <v>0</v>
      </c>
      <c r="AM106" s="152">
        <f>Calcs!DL440</f>
        <v>0</v>
      </c>
      <c r="AN106" s="152">
        <f>Calcs!DM440</f>
        <v>0</v>
      </c>
      <c r="AO106" s="152">
        <f>Calcs!DN440</f>
        <v>0</v>
      </c>
      <c r="AP106" s="152">
        <f>Calcs!DO440</f>
        <v>0</v>
      </c>
      <c r="AQ106" s="152">
        <f>SUM(AE106:AP106)</f>
        <v>0</v>
      </c>
      <c r="AR106" s="152">
        <f>Calcs!DP440</f>
        <v>0</v>
      </c>
      <c r="AS106" s="152">
        <f>Calcs!DQ440</f>
        <v>0</v>
      </c>
      <c r="AT106" s="152">
        <f>Calcs!DR440</f>
        <v>0</v>
      </c>
      <c r="AU106" s="152">
        <f>Calcs!DS440</f>
        <v>0</v>
      </c>
      <c r="AV106" s="152">
        <f>Calcs!DT440</f>
        <v>0</v>
      </c>
      <c r="AW106" s="152">
        <f>Calcs!DU440</f>
        <v>0</v>
      </c>
      <c r="AX106" s="152">
        <f>Calcs!DV440</f>
        <v>0</v>
      </c>
      <c r="AY106" s="152">
        <f>Calcs!DW440</f>
        <v>0</v>
      </c>
      <c r="AZ106" s="152">
        <f>Calcs!DX440</f>
        <v>0</v>
      </c>
      <c r="BA106" s="152">
        <f>Calcs!DY440</f>
        <v>0</v>
      </c>
      <c r="BB106" s="152">
        <f>Calcs!DZ440</f>
        <v>0</v>
      </c>
      <c r="BC106" s="152">
        <f>Calcs!EA440</f>
        <v>0</v>
      </c>
      <c r="BD106" s="152">
        <f>SUM(AR106:BC106)</f>
        <v>0</v>
      </c>
      <c r="BE106" s="152">
        <f>Calcs!EB440</f>
        <v>0</v>
      </c>
      <c r="BF106" s="152">
        <f>Calcs!EC440</f>
        <v>0</v>
      </c>
      <c r="BG106" s="152">
        <f>Calcs!ED440</f>
        <v>0</v>
      </c>
      <c r="BH106" s="152">
        <f>Calcs!EE440</f>
        <v>0</v>
      </c>
      <c r="BI106" s="152">
        <f>Calcs!EF440</f>
        <v>0</v>
      </c>
      <c r="BJ106" s="152">
        <f>Calcs!EG440</f>
        <v>0</v>
      </c>
      <c r="BK106" s="152">
        <f>Calcs!EH440</f>
        <v>0</v>
      </c>
      <c r="BL106" s="152">
        <f>Calcs!EI440</f>
        <v>0</v>
      </c>
      <c r="BM106" s="152">
        <f>Calcs!EJ440</f>
        <v>0</v>
      </c>
      <c r="BN106" s="152">
        <f>Calcs!EK440</f>
        <v>0</v>
      </c>
      <c r="BO106" s="152">
        <f>Calcs!EL440</f>
        <v>0</v>
      </c>
      <c r="BP106" s="152">
        <f>Calcs!EM440</f>
        <v>0</v>
      </c>
      <c r="BQ106" s="152">
        <f>SUM(BE106:BP106)</f>
        <v>0</v>
      </c>
      <c r="BR106" s="1567"/>
      <c r="BS106" s="153">
        <f>SUM(BQ106,BD106,AQ106,AD106,Q106)</f>
        <v>0</v>
      </c>
      <c r="BT106" s="1567"/>
      <c r="BU106" s="171">
        <f>SUM(BQ106,BD106,AQ106,AD106,Q106)</f>
      </c>
      <c r="BV106" s="170">
        <f>Calcs!CE442</f>
        <v>0</v>
      </c>
      <c r="BW106" s="96">
        <f>SUM(Financials!E106:'Financials'!G106)</f>
        <v>0</v>
      </c>
      <c r="BX106" s="96">
        <f>SUM(Financials!H106:'Financials'!J106)</f>
        <v>0</v>
      </c>
      <c r="BY106" s="96">
        <f>SUM(Financials!K106:'Financials'!M106)</f>
        <v>0</v>
      </c>
      <c r="BZ106" s="172">
        <f>SUM(Financials!G106:'Financials'!I106)</f>
        <v>0</v>
      </c>
      <c r="CA106" s="152">
        <f>SUM(Financials!R106:'Financials'!T106)</f>
        <v>0</v>
      </c>
      <c r="CB106" s="152">
        <f>SUM(Financials!U106:'Financials'!W106)</f>
        <v>0</v>
      </c>
      <c r="CC106" s="152">
        <f>SUM(Financials!X106:'Financials'!Z106)</f>
        <v>0</v>
      </c>
      <c r="CD106" s="152">
        <f>SUM(Financials!AA106:'Financials'!AC106)</f>
        <v>0</v>
      </c>
      <c r="CE106" s="152">
        <f>SUM(Financials!AE106:'Financials'!AG106)</f>
        <v>0</v>
      </c>
      <c r="CF106" s="152">
        <f>SUM(Financials!AH106:'Financials'!AJ106)</f>
        <v>0</v>
      </c>
      <c r="CG106" s="152">
        <f>SUM(Financials!AK106:'Financials'!AM106)</f>
        <v>0</v>
      </c>
      <c r="CH106" s="152">
        <f>SUM(Financials!AN106:'Financials'!AP106)</f>
        <v>0</v>
      </c>
      <c r="CI106" s="152">
        <f>SUM(Financials!AR106:'Financials'!AT106)</f>
        <v>0</v>
      </c>
      <c r="CJ106" s="152">
        <f>SUM(Financials!AU106:'Financials'!AW106)</f>
        <v>0</v>
      </c>
      <c r="CK106" s="152">
        <f>SUM(Financials!AX106:'Financials'!AZ106)</f>
        <v>0</v>
      </c>
      <c r="CL106" s="152">
        <f>SUM(Financials!BA106:'Financials'!BC106)</f>
        <v>0</v>
      </c>
      <c r="CM106" s="152">
        <f>SUM(Financials!BE106:'Financials'!BG106)</f>
        <v>0</v>
      </c>
      <c r="CN106" s="152">
        <f>SUM(Financials!BH106:'Financials'!BJ106)</f>
        <v>0</v>
      </c>
      <c r="CO106" s="152">
        <f>SUM(Financials!BK106:'Financials'!BM106)</f>
        <v>0</v>
      </c>
      <c r="CP106" s="152">
        <f>SUM(Financials!BN106:'Financials'!BP106)</f>
        <v>0</v>
      </c>
      <c r="CY106" s="305"/>
      <c r="CZ106" s="305"/>
      <c r="DA106" s="305"/>
      <c r="DB106" s="305"/>
      <c r="DC106" s="305"/>
      <c r="DD106" s="305"/>
      <c r="DE106" s="305"/>
      <c r="DF106" s="305"/>
      <c r="DG106" s="305"/>
      <c r="DH106" s="305"/>
      <c r="DI106" s="305"/>
      <c r="DJ106" s="305"/>
      <c r="DK106" s="305"/>
      <c r="DL106" s="305"/>
      <c r="DM106" s="305"/>
      <c r="DN106" s="305"/>
      <c r="DO106" s="305"/>
      <c r="DP106" s="305"/>
      <c r="DQ106" s="305"/>
      <c r="DR106" s="305"/>
      <c r="DS106" s="305"/>
      <c r="DT106" s="305"/>
      <c r="DU106" s="305"/>
      <c r="DV106" s="305"/>
      <c r="DW106" s="305"/>
      <c r="DX106" s="305"/>
      <c r="DY106" s="305"/>
      <c r="DZ106" s="305"/>
      <c r="EA106" s="305"/>
      <c r="EB106" s="305"/>
      <c r="EC106" s="305"/>
      <c r="ED106" s="305"/>
      <c r="EE106" s="305"/>
      <c r="EF106" s="305"/>
      <c r="EG106" s="305"/>
      <c r="EH106" s="305"/>
      <c r="EI106" s="305"/>
      <c r="EJ106" s="305"/>
      <c r="EK106" s="305"/>
      <c r="EL106" s="305"/>
      <c r="EM106" s="305"/>
      <c r="EN106" s="305"/>
      <c r="EO106" s="305"/>
      <c r="EP106" s="305"/>
      <c r="EQ106" s="305"/>
      <c r="ER106" s="305"/>
      <c r="ES106" s="305"/>
      <c r="ET106" s="305"/>
      <c r="EU106" s="305"/>
      <c r="EV106" s="305"/>
      <c r="EW106" s="305"/>
      <c r="EX106" s="305"/>
      <c r="EY106" s="305"/>
      <c r="EZ106" s="305"/>
      <c r="FA106" s="305"/>
      <c r="FB106" s="305"/>
      <c r="FC106" s="305"/>
      <c r="FD106" s="305"/>
      <c r="FE106" s="305"/>
      <c r="FF106" s="305"/>
      <c r="FG106" s="305"/>
      <c r="FH106" s="305"/>
      <c r="FI106" s="305"/>
      <c r="FJ106" s="305"/>
    </row>
    <row r="107" spans="1:166" ht="12.75" hidden="1" customHeight="1" x14ac:dyDescent="0.35">
      <c r="A107" s="136"/>
      <c r="B107" s="136"/>
      <c r="C107" s="136"/>
      <c r="D107" s="172" t="str">
        <f>IF(Calcs!CE441=0,"TBD",Calcs!CE441)</f>
        <v>TBD</v>
      </c>
      <c r="E107" s="152">
        <f>Calcs!CF441</f>
        <v>0</v>
      </c>
      <c r="F107" s="152">
        <f>Calcs!CG441</f>
        <v>0</v>
      </c>
      <c r="G107" s="152">
        <f>Calcs!CH441</f>
        <v>0</v>
      </c>
      <c r="H107" s="152">
        <f>Calcs!CI441</f>
        <v>0</v>
      </c>
      <c r="I107" s="152">
        <f>Calcs!CJ441</f>
        <v>0</v>
      </c>
      <c r="J107" s="152">
        <f>Calcs!CK441</f>
        <v>0</v>
      </c>
      <c r="K107" s="152">
        <f>Calcs!CL441</f>
        <v>0</v>
      </c>
      <c r="L107" s="152">
        <f>Calcs!CM441</f>
        <v>0</v>
      </c>
      <c r="M107" s="152">
        <f>Calcs!CN441</f>
        <v>0</v>
      </c>
      <c r="N107" s="152">
        <f>Calcs!CO441</f>
        <v>0</v>
      </c>
      <c r="O107" s="152">
        <f>Calcs!CP441</f>
        <v>0</v>
      </c>
      <c r="P107" s="152">
        <f>Calcs!CQ441</f>
        <v>0</v>
      </c>
      <c r="Q107" s="151">
        <f>SUM(E107:P107)</f>
        <v>0</v>
      </c>
      <c r="R107" s="152">
        <f>Calcs!CR441</f>
        <v>0</v>
      </c>
      <c r="S107" s="152">
        <f>Calcs!CS441</f>
        <v>0</v>
      </c>
      <c r="T107" s="152">
        <f>Calcs!CT441</f>
        <v>0</v>
      </c>
      <c r="U107" s="152">
        <f>Calcs!CU441</f>
        <v>0</v>
      </c>
      <c r="V107" s="152">
        <f>Calcs!CV441</f>
        <v>0</v>
      </c>
      <c r="W107" s="152">
        <f>Calcs!CW441</f>
        <v>0</v>
      </c>
      <c r="X107" s="152">
        <f>Calcs!CX441</f>
        <v>0</v>
      </c>
      <c r="Y107" s="152">
        <f>Calcs!CY441</f>
        <v>0</v>
      </c>
      <c r="Z107" s="152">
        <f>Calcs!CZ441</f>
        <v>0</v>
      </c>
      <c r="AA107" s="152">
        <f>Calcs!DA441</f>
        <v>0</v>
      </c>
      <c r="AB107" s="152">
        <f>Calcs!DB441</f>
        <v>0</v>
      </c>
      <c r="AC107" s="152">
        <f>Calcs!DC441</f>
        <v>0</v>
      </c>
      <c r="AD107" s="152">
        <f>SUM(R107:AC107)</f>
        <v>0</v>
      </c>
      <c r="AE107" s="152">
        <f>Calcs!DD441</f>
        <v>0</v>
      </c>
      <c r="AF107" s="152">
        <f>Calcs!DE441</f>
        <v>0</v>
      </c>
      <c r="AG107" s="152">
        <f>Calcs!DF441</f>
        <v>0</v>
      </c>
      <c r="AH107" s="152">
        <f>Calcs!DG441</f>
        <v>0</v>
      </c>
      <c r="AI107" s="152">
        <f>Calcs!DH441</f>
        <v>0</v>
      </c>
      <c r="AJ107" s="152">
        <f>Calcs!DI441</f>
        <v>0</v>
      </c>
      <c r="AK107" s="152">
        <f>Calcs!DJ441</f>
        <v>0</v>
      </c>
      <c r="AL107" s="152">
        <f>Calcs!DK441</f>
        <v>0</v>
      </c>
      <c r="AM107" s="152">
        <f>Calcs!DL441</f>
        <v>0</v>
      </c>
      <c r="AN107" s="152">
        <f>Calcs!DM441</f>
        <v>0</v>
      </c>
      <c r="AO107" s="152">
        <f>Calcs!DN441</f>
        <v>0</v>
      </c>
      <c r="AP107" s="152">
        <f>Calcs!DO441</f>
        <v>0</v>
      </c>
      <c r="AQ107" s="152">
        <f>SUM(AE107:AP107)</f>
        <v>0</v>
      </c>
      <c r="AR107" s="152">
        <f>Calcs!DP441</f>
        <v>0</v>
      </c>
      <c r="AS107" s="152">
        <f>Calcs!DQ441</f>
        <v>0</v>
      </c>
      <c r="AT107" s="152">
        <f>Calcs!DR441</f>
        <v>0</v>
      </c>
      <c r="AU107" s="152">
        <f>Calcs!DS441</f>
        <v>0</v>
      </c>
      <c r="AV107" s="152">
        <f>Calcs!DT441</f>
        <v>0</v>
      </c>
      <c r="AW107" s="152">
        <f>Calcs!DU441</f>
        <v>0</v>
      </c>
      <c r="AX107" s="152">
        <f>Calcs!DV441</f>
        <v>0</v>
      </c>
      <c r="AY107" s="152">
        <f>Calcs!DW441</f>
        <v>0</v>
      </c>
      <c r="AZ107" s="152">
        <f>Calcs!DX441</f>
        <v>0</v>
      </c>
      <c r="BA107" s="152">
        <f>Calcs!DY441</f>
        <v>0</v>
      </c>
      <c r="BB107" s="152">
        <f>Calcs!DZ441</f>
        <v>0</v>
      </c>
      <c r="BC107" s="152">
        <f>Calcs!EA441</f>
        <v>0</v>
      </c>
      <c r="BD107" s="152">
        <f>SUM(AR107:BC107)</f>
        <v>0</v>
      </c>
      <c r="BE107" s="152">
        <f>Calcs!EB441</f>
        <v>0</v>
      </c>
      <c r="BF107" s="152">
        <f>Calcs!EC441</f>
        <v>0</v>
      </c>
      <c r="BG107" s="152">
        <f>Calcs!ED441</f>
        <v>0</v>
      </c>
      <c r="BH107" s="152">
        <f>Calcs!EE441</f>
        <v>0</v>
      </c>
      <c r="BI107" s="152">
        <f>Calcs!EF441</f>
        <v>0</v>
      </c>
      <c r="BJ107" s="152">
        <f>Calcs!EG441</f>
        <v>0</v>
      </c>
      <c r="BK107" s="152">
        <f>Calcs!EH441</f>
        <v>0</v>
      </c>
      <c r="BL107" s="152">
        <f>Calcs!EI441</f>
        <v>0</v>
      </c>
      <c r="BM107" s="152">
        <f>Calcs!EJ441</f>
        <v>0</v>
      </c>
      <c r="BN107" s="152">
        <f>Calcs!EK441</f>
        <v>0</v>
      </c>
      <c r="BO107" s="152">
        <f>Calcs!EL441</f>
        <v>0</v>
      </c>
      <c r="BP107" s="152">
        <f>Calcs!EM441</f>
        <v>0</v>
      </c>
      <c r="BQ107" s="152">
        <f>SUM(BE107:BP107)</f>
        <v>0</v>
      </c>
      <c r="BR107" s="1567"/>
      <c r="BS107" s="153">
        <f>SUM(BQ107,BD107,AQ107,AD107,Q107)</f>
        <v>0</v>
      </c>
      <c r="BT107" s="1567"/>
      <c r="BU107" s="171">
        <f>SUM(BQ107,BD107,AQ107,AD107,Q107)</f>
      </c>
      <c r="BV107" s="170">
        <f>Calcs!CE443</f>
        <v>0</v>
      </c>
      <c r="BW107" s="96">
        <f>SUM(Financials!E107:'Financials'!G107)</f>
        <v>0</v>
      </c>
      <c r="BX107" s="96">
        <f>SUM(Financials!H107:'Financials'!J107)</f>
        <v>0</v>
      </c>
      <c r="BY107" s="96">
        <f>SUM(Financials!K107:'Financials'!M107)</f>
        <v>0</v>
      </c>
      <c r="BZ107" s="172">
        <f>SUM(Financials!G107:'Financials'!I107)</f>
        <v>0</v>
      </c>
      <c r="CA107" s="152">
        <f>SUM(Financials!R107:'Financials'!T107)</f>
        <v>0</v>
      </c>
      <c r="CB107" s="152">
        <f>SUM(Financials!U107:'Financials'!W107)</f>
        <v>0</v>
      </c>
      <c r="CC107" s="152">
        <f>SUM(Financials!X107:'Financials'!Z107)</f>
        <v>0</v>
      </c>
      <c r="CD107" s="152">
        <f>SUM(Financials!AA107:'Financials'!AC107)</f>
        <v>0</v>
      </c>
      <c r="CE107" s="152">
        <f>SUM(Financials!AE107:'Financials'!AG107)</f>
        <v>0</v>
      </c>
      <c r="CF107" s="152">
        <f>SUM(Financials!AH107:'Financials'!AJ107)</f>
        <v>0</v>
      </c>
      <c r="CG107" s="152">
        <f>SUM(Financials!AK107:'Financials'!AM107)</f>
        <v>0</v>
      </c>
      <c r="CH107" s="152">
        <f>SUM(Financials!AN107:'Financials'!AP107)</f>
        <v>0</v>
      </c>
      <c r="CI107" s="152">
        <f>SUM(Financials!AR107:'Financials'!AT107)</f>
        <v>0</v>
      </c>
      <c r="CJ107" s="152">
        <f>SUM(Financials!AU107:'Financials'!AW107)</f>
        <v>0</v>
      </c>
      <c r="CK107" s="152">
        <f>SUM(Financials!AX107:'Financials'!AZ107)</f>
        <v>0</v>
      </c>
      <c r="CL107" s="152">
        <f>SUM(Financials!BA107:'Financials'!BC107)</f>
        <v>0</v>
      </c>
      <c r="CM107" s="152">
        <f>SUM(Financials!BE107:'Financials'!BG107)</f>
        <v>0</v>
      </c>
      <c r="CN107" s="152">
        <f>SUM(Financials!BH107:'Financials'!BJ107)</f>
        <v>0</v>
      </c>
      <c r="CO107" s="152">
        <f>SUM(Financials!BK107:'Financials'!BM107)</f>
        <v>0</v>
      </c>
      <c r="CP107" s="152">
        <f>SUM(Financials!BN107:'Financials'!BP107)</f>
        <v>0</v>
      </c>
      <c r="CY107" s="305"/>
      <c r="CZ107" s="305"/>
      <c r="DA107" s="305"/>
      <c r="DB107" s="305"/>
      <c r="DC107" s="305"/>
      <c r="DD107" s="305"/>
      <c r="DE107" s="305"/>
      <c r="DF107" s="305"/>
      <c r="DG107" s="305"/>
      <c r="DH107" s="305"/>
      <c r="DI107" s="305"/>
      <c r="DJ107" s="305"/>
      <c r="DK107" s="305"/>
      <c r="DL107" s="305"/>
      <c r="DM107" s="305"/>
      <c r="DN107" s="305"/>
      <c r="DO107" s="305"/>
      <c r="DP107" s="305"/>
      <c r="DQ107" s="305"/>
      <c r="DR107" s="305"/>
      <c r="DS107" s="305"/>
      <c r="DT107" s="305"/>
      <c r="DU107" s="305"/>
      <c r="DV107" s="305"/>
      <c r="DW107" s="305"/>
      <c r="DX107" s="305"/>
      <c r="DY107" s="305"/>
      <c r="DZ107" s="305"/>
      <c r="EA107" s="305"/>
      <c r="EB107" s="305"/>
      <c r="EC107" s="305"/>
      <c r="ED107" s="305"/>
      <c r="EE107" s="305"/>
      <c r="EF107" s="305"/>
      <c r="EG107" s="305"/>
      <c r="EH107" s="305"/>
      <c r="EI107" s="305"/>
      <c r="EJ107" s="305"/>
      <c r="EK107" s="305"/>
      <c r="EL107" s="305"/>
      <c r="EM107" s="305"/>
      <c r="EN107" s="305"/>
      <c r="EO107" s="305"/>
      <c r="EP107" s="305"/>
      <c r="EQ107" s="305"/>
      <c r="ER107" s="305"/>
      <c r="ES107" s="305"/>
      <c r="ET107" s="305"/>
      <c r="EU107" s="305"/>
      <c r="EV107" s="305"/>
      <c r="EW107" s="305"/>
      <c r="EX107" s="305"/>
      <c r="EY107" s="305"/>
      <c r="EZ107" s="305"/>
      <c r="FA107" s="305"/>
      <c r="FB107" s="305"/>
      <c r="FC107" s="305"/>
      <c r="FD107" s="305"/>
      <c r="FE107" s="305"/>
      <c r="FF107" s="305"/>
      <c r="FG107" s="305"/>
      <c r="FH107" s="305"/>
      <c r="FI107" s="305"/>
      <c r="FJ107" s="305"/>
    </row>
    <row r="108" spans="1:166" ht="12.75" hidden="1" customHeight="1" x14ac:dyDescent="0.35">
      <c r="A108" s="136"/>
      <c r="B108" s="136"/>
      <c r="C108" s="136"/>
      <c r="D108" s="172" t="str">
        <f>IF(Calcs!CE442=0,"TBD",Calcs!CE442)</f>
        <v>TBD</v>
      </c>
      <c r="E108" s="152">
        <f>Calcs!CF442</f>
        <v>0</v>
      </c>
      <c r="F108" s="152">
        <f>Calcs!CG442</f>
        <v>0</v>
      </c>
      <c r="G108" s="152">
        <f>Calcs!CH442</f>
        <v>0</v>
      </c>
      <c r="H108" s="152">
        <f>Calcs!CI442</f>
        <v>0</v>
      </c>
      <c r="I108" s="152">
        <f>Calcs!CJ442</f>
        <v>0</v>
      </c>
      <c r="J108" s="152">
        <f>Calcs!CK442</f>
        <v>0</v>
      </c>
      <c r="K108" s="152">
        <f>Calcs!CL442</f>
        <v>0</v>
      </c>
      <c r="L108" s="152">
        <f>Calcs!CM442</f>
        <v>0</v>
      </c>
      <c r="M108" s="152">
        <f>Calcs!CN442</f>
        <v>0</v>
      </c>
      <c r="N108" s="152">
        <f>Calcs!CO442</f>
        <v>0</v>
      </c>
      <c r="O108" s="152">
        <f>Calcs!CP442</f>
        <v>0</v>
      </c>
      <c r="P108" s="152">
        <f>Calcs!CQ442</f>
        <v>0</v>
      </c>
      <c r="Q108" s="151">
        <f>SUM(E108:P108)</f>
        <v>0</v>
      </c>
      <c r="R108" s="152">
        <f>Calcs!CR442</f>
        <v>0</v>
      </c>
      <c r="S108" s="152">
        <f>Calcs!CS442</f>
        <v>0</v>
      </c>
      <c r="T108" s="152">
        <f>Calcs!CT442</f>
        <v>0</v>
      </c>
      <c r="U108" s="152">
        <f>Calcs!CU442</f>
        <v>0</v>
      </c>
      <c r="V108" s="152">
        <f>Calcs!CV442</f>
        <v>0</v>
      </c>
      <c r="W108" s="152">
        <f>Calcs!CW442</f>
        <v>0</v>
      </c>
      <c r="X108" s="152">
        <f>Calcs!CX442</f>
        <v>0</v>
      </c>
      <c r="Y108" s="152">
        <f>Calcs!CY442</f>
        <v>0</v>
      </c>
      <c r="Z108" s="152">
        <f>Calcs!CZ442</f>
        <v>0</v>
      </c>
      <c r="AA108" s="152">
        <f>Calcs!DA442</f>
        <v>0</v>
      </c>
      <c r="AB108" s="152">
        <f>Calcs!DB442</f>
        <v>0</v>
      </c>
      <c r="AC108" s="152">
        <f>Calcs!DC442</f>
        <v>0</v>
      </c>
      <c r="AD108" s="152">
        <f>SUM(R108:AC108)</f>
        <v>0</v>
      </c>
      <c r="AE108" s="152">
        <f>Calcs!DD442</f>
        <v>0</v>
      </c>
      <c r="AF108" s="152">
        <f>Calcs!DE442</f>
        <v>0</v>
      </c>
      <c r="AG108" s="152">
        <f>Calcs!DF442</f>
        <v>0</v>
      </c>
      <c r="AH108" s="152">
        <f>Calcs!DG442</f>
        <v>0</v>
      </c>
      <c r="AI108" s="152">
        <f>Calcs!DH442</f>
        <v>0</v>
      </c>
      <c r="AJ108" s="152">
        <f>Calcs!DI442</f>
        <v>0</v>
      </c>
      <c r="AK108" s="152">
        <f>Calcs!DJ442</f>
        <v>0</v>
      </c>
      <c r="AL108" s="152">
        <f>Calcs!DK442</f>
        <v>0</v>
      </c>
      <c r="AM108" s="152">
        <f>Calcs!DL442</f>
        <v>0</v>
      </c>
      <c r="AN108" s="152">
        <f>Calcs!DM442</f>
        <v>0</v>
      </c>
      <c r="AO108" s="152">
        <f>Calcs!DN442</f>
        <v>0</v>
      </c>
      <c r="AP108" s="152">
        <f>Calcs!DO442</f>
        <v>0</v>
      </c>
      <c r="AQ108" s="152">
        <f>SUM(AE108:AP108)</f>
        <v>0</v>
      </c>
      <c r="AR108" s="152">
        <f>Calcs!DP442</f>
        <v>0</v>
      </c>
      <c r="AS108" s="152">
        <f>Calcs!DQ442</f>
        <v>0</v>
      </c>
      <c r="AT108" s="152">
        <f>Calcs!DR442</f>
        <v>0</v>
      </c>
      <c r="AU108" s="152">
        <f>Calcs!DS442</f>
        <v>0</v>
      </c>
      <c r="AV108" s="152">
        <f>Calcs!DT442</f>
        <v>0</v>
      </c>
      <c r="AW108" s="152">
        <f>Calcs!DU442</f>
        <v>0</v>
      </c>
      <c r="AX108" s="152">
        <f>Calcs!DV442</f>
        <v>0</v>
      </c>
      <c r="AY108" s="152">
        <f>Calcs!DW442</f>
        <v>0</v>
      </c>
      <c r="AZ108" s="152">
        <f>Calcs!DX442</f>
        <v>0</v>
      </c>
      <c r="BA108" s="152">
        <f>Calcs!DY442</f>
        <v>0</v>
      </c>
      <c r="BB108" s="152">
        <f>Calcs!DZ442</f>
        <v>0</v>
      </c>
      <c r="BC108" s="152">
        <f>Calcs!EA442</f>
        <v>0</v>
      </c>
      <c r="BD108" s="152">
        <f>SUM(AR108:BC108)</f>
        <v>0</v>
      </c>
      <c r="BE108" s="152">
        <f>Calcs!EB442</f>
        <v>0</v>
      </c>
      <c r="BF108" s="152">
        <f>Calcs!EC442</f>
        <v>0</v>
      </c>
      <c r="BG108" s="152">
        <f>Calcs!ED442</f>
        <v>0</v>
      </c>
      <c r="BH108" s="152">
        <f>Calcs!EE442</f>
        <v>0</v>
      </c>
      <c r="BI108" s="152">
        <f>Calcs!EF442</f>
        <v>0</v>
      </c>
      <c r="BJ108" s="152">
        <f>Calcs!EG442</f>
        <v>0</v>
      </c>
      <c r="BK108" s="152">
        <f>Calcs!EH442</f>
        <v>0</v>
      </c>
      <c r="BL108" s="152">
        <f>Calcs!EI442</f>
        <v>0</v>
      </c>
      <c r="BM108" s="152">
        <f>Calcs!EJ442</f>
        <v>0</v>
      </c>
      <c r="BN108" s="152">
        <f>Calcs!EK442</f>
        <v>0</v>
      </c>
      <c r="BO108" s="152">
        <f>Calcs!EL442</f>
        <v>0</v>
      </c>
      <c r="BP108" s="152">
        <f>Calcs!EM442</f>
        <v>0</v>
      </c>
      <c r="BQ108" s="152">
        <f>SUM(BE108:BP108)</f>
        <v>0</v>
      </c>
      <c r="BR108" s="1567"/>
      <c r="BS108" s="153">
        <f>SUM(BQ108,BD108,AQ108,AD108,Q108)</f>
        <v>0</v>
      </c>
      <c r="BT108" s="1567"/>
      <c r="BU108" s="171">
        <f>SUM(BQ108,BD108,AQ108,AD108,Q108)</f>
      </c>
      <c r="BV108" s="170">
        <f>Calcs!CE444</f>
        <v>0</v>
      </c>
      <c r="BW108" s="96">
        <f>SUM(Financials!E108:'Financials'!G108)</f>
        <v>0</v>
      </c>
      <c r="BX108" s="96">
        <f>SUM(Financials!H108:'Financials'!J108)</f>
        <v>0</v>
      </c>
      <c r="BY108" s="96">
        <f>SUM(Financials!K108:'Financials'!M108)</f>
        <v>0</v>
      </c>
      <c r="BZ108" s="172">
        <f>SUM(Financials!G108:'Financials'!I108)</f>
        <v>0</v>
      </c>
      <c r="CA108" s="152">
        <f>SUM(Financials!R108:'Financials'!T108)</f>
        <v>0</v>
      </c>
      <c r="CB108" s="152">
        <f>SUM(Financials!U108:'Financials'!W108)</f>
        <v>0</v>
      </c>
      <c r="CC108" s="152">
        <f>SUM(Financials!X108:'Financials'!Z108)</f>
        <v>0</v>
      </c>
      <c r="CD108" s="152">
        <f>SUM(Financials!AA108:'Financials'!AC108)</f>
        <v>0</v>
      </c>
      <c r="CE108" s="152">
        <f>SUM(Financials!AE108:'Financials'!AG108)</f>
        <v>0</v>
      </c>
      <c r="CF108" s="152">
        <f>SUM(Financials!AH108:'Financials'!AJ108)</f>
        <v>0</v>
      </c>
      <c r="CG108" s="152">
        <f>SUM(Financials!AK108:'Financials'!AM108)</f>
        <v>0</v>
      </c>
      <c r="CH108" s="152">
        <f>SUM(Financials!AN108:'Financials'!AP108)</f>
        <v>0</v>
      </c>
      <c r="CI108" s="152">
        <f>SUM(Financials!AR108:'Financials'!AT108)</f>
        <v>0</v>
      </c>
      <c r="CJ108" s="152">
        <f>SUM(Financials!AU108:'Financials'!AW108)</f>
        <v>0</v>
      </c>
      <c r="CK108" s="152">
        <f>SUM(Financials!AX108:'Financials'!AZ108)</f>
        <v>0</v>
      </c>
      <c r="CL108" s="152">
        <f>SUM(Financials!BA108:'Financials'!BC108)</f>
        <v>0</v>
      </c>
      <c r="CM108" s="152">
        <f>SUM(Financials!BE108:'Financials'!BG108)</f>
        <v>0</v>
      </c>
      <c r="CN108" s="152">
        <f>SUM(Financials!BH108:'Financials'!BJ108)</f>
        <v>0</v>
      </c>
      <c r="CO108" s="152">
        <f>SUM(Financials!BK108:'Financials'!BM108)</f>
        <v>0</v>
      </c>
      <c r="CP108" s="152">
        <f>SUM(Financials!BN108:'Financials'!BP108)</f>
        <v>0</v>
      </c>
      <c r="CY108" s="305"/>
      <c r="CZ108" s="305"/>
      <c r="DA108" s="305"/>
      <c r="DB108" s="305"/>
      <c r="DC108" s="305"/>
      <c r="DD108" s="305"/>
      <c r="DE108" s="305"/>
      <c r="DF108" s="305"/>
      <c r="DG108" s="305"/>
      <c r="DH108" s="305"/>
      <c r="DI108" s="305"/>
      <c r="DJ108" s="305"/>
      <c r="DK108" s="305"/>
      <c r="DL108" s="305"/>
      <c r="DM108" s="305"/>
      <c r="DN108" s="305"/>
      <c r="DO108" s="305"/>
      <c r="DP108" s="305"/>
      <c r="DQ108" s="305"/>
      <c r="DR108" s="305"/>
      <c r="DS108" s="305"/>
      <c r="DT108" s="305"/>
      <c r="DU108" s="305"/>
      <c r="DV108" s="305"/>
      <c r="DW108" s="305"/>
      <c r="DX108" s="305"/>
      <c r="DY108" s="305"/>
      <c r="DZ108" s="305"/>
      <c r="EA108" s="305"/>
      <c r="EB108" s="305"/>
      <c r="EC108" s="305"/>
      <c r="ED108" s="305"/>
      <c r="EE108" s="305"/>
      <c r="EF108" s="305"/>
      <c r="EG108" s="305"/>
      <c r="EH108" s="305"/>
      <c r="EI108" s="305"/>
      <c r="EJ108" s="305"/>
      <c r="EK108" s="305"/>
      <c r="EL108" s="305"/>
      <c r="EM108" s="305"/>
      <c r="EN108" s="305"/>
      <c r="EO108" s="305"/>
      <c r="EP108" s="305"/>
      <c r="EQ108" s="305"/>
      <c r="ER108" s="305"/>
      <c r="ES108" s="305"/>
      <c r="ET108" s="305"/>
      <c r="EU108" s="305"/>
      <c r="EV108" s="305"/>
      <c r="EW108" s="305"/>
      <c r="EX108" s="305"/>
      <c r="EY108" s="305"/>
      <c r="EZ108" s="305"/>
      <c r="FA108" s="305"/>
      <c r="FB108" s="305"/>
      <c r="FC108" s="305"/>
      <c r="FD108" s="305"/>
      <c r="FE108" s="305"/>
      <c r="FF108" s="305"/>
      <c r="FG108" s="305"/>
      <c r="FH108" s="305"/>
      <c r="FI108" s="305"/>
      <c r="FJ108" s="305"/>
    </row>
    <row r="109" spans="1:166" ht="12.75" hidden="1" customHeight="1" x14ac:dyDescent="0.35">
      <c r="A109" s="136"/>
      <c r="B109" s="136"/>
      <c r="C109" s="136"/>
      <c r="D109" s="172" t="str">
        <f>IF(Calcs!CE443=0,"TBD",Calcs!CE443)</f>
        <v>TBD</v>
      </c>
      <c r="E109" s="152">
        <f>Calcs!CF443</f>
        <v>0</v>
      </c>
      <c r="F109" s="152">
        <f>Calcs!CG443</f>
        <v>0</v>
      </c>
      <c r="G109" s="152">
        <f>Calcs!CH443</f>
        <v>0</v>
      </c>
      <c r="H109" s="152">
        <f>Calcs!CI443</f>
        <v>0</v>
      </c>
      <c r="I109" s="152">
        <f>Calcs!CJ443</f>
        <v>0</v>
      </c>
      <c r="J109" s="152">
        <f>Calcs!CK443</f>
        <v>0</v>
      </c>
      <c r="K109" s="152">
        <f>Calcs!CL443</f>
        <v>0</v>
      </c>
      <c r="L109" s="152">
        <f>Calcs!CM443</f>
        <v>0</v>
      </c>
      <c r="M109" s="152">
        <f>Calcs!CN443</f>
        <v>0</v>
      </c>
      <c r="N109" s="152">
        <f>Calcs!CO443</f>
        <v>0</v>
      </c>
      <c r="O109" s="152">
        <f>Calcs!CP443</f>
        <v>0</v>
      </c>
      <c r="P109" s="152">
        <f>Calcs!CQ443</f>
        <v>0</v>
      </c>
      <c r="Q109" s="151">
        <f>SUM(E109:P109)</f>
        <v>0</v>
      </c>
      <c r="R109" s="152">
        <f>Calcs!CR443</f>
        <v>0</v>
      </c>
      <c r="S109" s="152">
        <f>Calcs!CS443</f>
        <v>0</v>
      </c>
      <c r="T109" s="152">
        <f>Calcs!CT443</f>
        <v>0</v>
      </c>
      <c r="U109" s="152">
        <f>Calcs!CU443</f>
        <v>0</v>
      </c>
      <c r="V109" s="152">
        <f>Calcs!CV443</f>
        <v>0</v>
      </c>
      <c r="W109" s="152">
        <f>Calcs!CW443</f>
        <v>0</v>
      </c>
      <c r="X109" s="152">
        <f>Calcs!CX443</f>
        <v>0</v>
      </c>
      <c r="Y109" s="152">
        <f>Calcs!CY443</f>
        <v>0</v>
      </c>
      <c r="Z109" s="152">
        <f>Calcs!CZ443</f>
        <v>0</v>
      </c>
      <c r="AA109" s="152">
        <f>Calcs!DA443</f>
        <v>0</v>
      </c>
      <c r="AB109" s="152">
        <f>Calcs!DB443</f>
        <v>0</v>
      </c>
      <c r="AC109" s="152">
        <f>Calcs!DC443</f>
        <v>0</v>
      </c>
      <c r="AD109" s="152">
        <f>SUM(R109:AC109)</f>
        <v>0</v>
      </c>
      <c r="AE109" s="152">
        <f>Calcs!DD443</f>
        <v>0</v>
      </c>
      <c r="AF109" s="152">
        <f>Calcs!DE443</f>
        <v>0</v>
      </c>
      <c r="AG109" s="152">
        <f>Calcs!DF443</f>
        <v>0</v>
      </c>
      <c r="AH109" s="152">
        <f>Calcs!DG443</f>
        <v>0</v>
      </c>
      <c r="AI109" s="152">
        <f>Calcs!DH443</f>
        <v>0</v>
      </c>
      <c r="AJ109" s="152">
        <f>Calcs!DI443</f>
        <v>0</v>
      </c>
      <c r="AK109" s="152">
        <f>Calcs!DJ443</f>
        <v>0</v>
      </c>
      <c r="AL109" s="152">
        <f>Calcs!DK443</f>
        <v>0</v>
      </c>
      <c r="AM109" s="152">
        <f>Calcs!DL443</f>
        <v>0</v>
      </c>
      <c r="AN109" s="152">
        <f>Calcs!DM443</f>
        <v>0</v>
      </c>
      <c r="AO109" s="152">
        <f>Calcs!DN443</f>
        <v>0</v>
      </c>
      <c r="AP109" s="152">
        <f>Calcs!DO443</f>
        <v>0</v>
      </c>
      <c r="AQ109" s="152">
        <f>SUM(AE109:AP109)</f>
        <v>0</v>
      </c>
      <c r="AR109" s="152">
        <f>Calcs!DP443</f>
        <v>0</v>
      </c>
      <c r="AS109" s="152">
        <f>Calcs!DQ443</f>
        <v>0</v>
      </c>
      <c r="AT109" s="152">
        <f>Calcs!DR443</f>
        <v>0</v>
      </c>
      <c r="AU109" s="152">
        <f>Calcs!DS443</f>
        <v>0</v>
      </c>
      <c r="AV109" s="152">
        <f>Calcs!DT443</f>
        <v>0</v>
      </c>
      <c r="AW109" s="152">
        <f>Calcs!DU443</f>
        <v>0</v>
      </c>
      <c r="AX109" s="152">
        <f>Calcs!DV443</f>
        <v>0</v>
      </c>
      <c r="AY109" s="152">
        <f>Calcs!DW443</f>
        <v>0</v>
      </c>
      <c r="AZ109" s="152">
        <f>Calcs!DX443</f>
        <v>0</v>
      </c>
      <c r="BA109" s="152">
        <f>Calcs!DY443</f>
        <v>0</v>
      </c>
      <c r="BB109" s="152">
        <f>Calcs!DZ443</f>
        <v>0</v>
      </c>
      <c r="BC109" s="152">
        <f>Calcs!EA443</f>
        <v>0</v>
      </c>
      <c r="BD109" s="152">
        <f>SUM(AR109:BC109)</f>
        <v>0</v>
      </c>
      <c r="BE109" s="152">
        <f>Calcs!EB443</f>
        <v>0</v>
      </c>
      <c r="BF109" s="152">
        <f>Calcs!EC443</f>
        <v>0</v>
      </c>
      <c r="BG109" s="152">
        <f>Calcs!ED443</f>
        <v>0</v>
      </c>
      <c r="BH109" s="152">
        <f>Calcs!EE443</f>
        <v>0</v>
      </c>
      <c r="BI109" s="152">
        <f>Calcs!EF443</f>
        <v>0</v>
      </c>
      <c r="BJ109" s="152">
        <f>Calcs!EG443</f>
        <v>0</v>
      </c>
      <c r="BK109" s="152">
        <f>Calcs!EH443</f>
        <v>0</v>
      </c>
      <c r="BL109" s="152">
        <f>Calcs!EI443</f>
        <v>0</v>
      </c>
      <c r="BM109" s="152">
        <f>Calcs!EJ443</f>
        <v>0</v>
      </c>
      <c r="BN109" s="152">
        <f>Calcs!EK443</f>
        <v>0</v>
      </c>
      <c r="BO109" s="152">
        <f>Calcs!EL443</f>
        <v>0</v>
      </c>
      <c r="BP109" s="152">
        <f>Calcs!EM443</f>
        <v>0</v>
      </c>
      <c r="BQ109" s="152">
        <f>SUM(BE109:BP109)</f>
        <v>0</v>
      </c>
      <c r="BR109" s="1567"/>
      <c r="BS109" s="153">
        <f>SUM(BQ109,BD109,AQ109,AD109,Q109)</f>
        <v>0</v>
      </c>
      <c r="BT109" s="1567"/>
      <c r="BU109" s="171">
        <f>SUM(BQ109,BD109,AQ109,AD109,Q109)</f>
      </c>
      <c r="BV109" s="170">
        <f>Calcs!CE445</f>
        <v>0</v>
      </c>
      <c r="BW109" s="96">
        <f>SUM(Financials!E109:'Financials'!G109)</f>
        <v>0</v>
      </c>
      <c r="BX109" s="96">
        <f>SUM(Financials!H109:'Financials'!J109)</f>
        <v>0</v>
      </c>
      <c r="BY109" s="96">
        <f>SUM(Financials!K109:'Financials'!M109)</f>
        <v>0</v>
      </c>
      <c r="BZ109" s="172">
        <f>SUM(Financials!G109:'Financials'!I109)</f>
        <v>0</v>
      </c>
      <c r="CA109" s="152">
        <f>SUM(Financials!R109:'Financials'!T109)</f>
        <v>0</v>
      </c>
      <c r="CB109" s="152">
        <f>SUM(Financials!U109:'Financials'!W109)</f>
        <v>0</v>
      </c>
      <c r="CC109" s="152">
        <f>SUM(Financials!X109:'Financials'!Z109)</f>
        <v>0</v>
      </c>
      <c r="CD109" s="152">
        <f>SUM(Financials!AA109:'Financials'!AC109)</f>
        <v>0</v>
      </c>
      <c r="CE109" s="152">
        <f>SUM(Financials!AE109:'Financials'!AG109)</f>
        <v>0</v>
      </c>
      <c r="CF109" s="152">
        <f>SUM(Financials!AH109:'Financials'!AJ109)</f>
        <v>0</v>
      </c>
      <c r="CG109" s="152">
        <f>SUM(Financials!AK109:'Financials'!AM109)</f>
        <v>0</v>
      </c>
      <c r="CH109" s="152">
        <f>SUM(Financials!AN109:'Financials'!AP109)</f>
        <v>0</v>
      </c>
      <c r="CI109" s="152">
        <f>SUM(Financials!AR109:'Financials'!AT109)</f>
        <v>0</v>
      </c>
      <c r="CJ109" s="152">
        <f>SUM(Financials!AU109:'Financials'!AW109)</f>
        <v>0</v>
      </c>
      <c r="CK109" s="152">
        <f>SUM(Financials!AX109:'Financials'!AZ109)</f>
        <v>0</v>
      </c>
      <c r="CL109" s="152">
        <f>SUM(Financials!BA109:'Financials'!BC109)</f>
        <v>0</v>
      </c>
      <c r="CM109" s="152">
        <f>SUM(Financials!BE109:'Financials'!BG109)</f>
        <v>0</v>
      </c>
      <c r="CN109" s="152">
        <f>SUM(Financials!BH109:'Financials'!BJ109)</f>
        <v>0</v>
      </c>
      <c r="CO109" s="152">
        <f>SUM(Financials!BK109:'Financials'!BM109)</f>
        <v>0</v>
      </c>
      <c r="CP109" s="152">
        <f>SUM(Financials!BN109:'Financials'!BP109)</f>
        <v>0</v>
      </c>
      <c r="CY109" s="305"/>
      <c r="CZ109" s="305"/>
      <c r="DA109" s="305"/>
      <c r="DB109" s="305"/>
      <c r="DC109" s="305"/>
      <c r="DD109" s="305"/>
      <c r="DE109" s="305"/>
      <c r="DF109" s="305"/>
      <c r="DG109" s="305"/>
      <c r="DH109" s="305"/>
      <c r="DI109" s="305"/>
      <c r="DJ109" s="305"/>
      <c r="DK109" s="305"/>
      <c r="DL109" s="305"/>
      <c r="DM109" s="305"/>
      <c r="DN109" s="305"/>
      <c r="DO109" s="305"/>
      <c r="DP109" s="305"/>
      <c r="DQ109" s="305"/>
      <c r="DR109" s="305"/>
      <c r="DS109" s="305"/>
      <c r="DT109" s="305"/>
      <c r="DU109" s="305"/>
      <c r="DV109" s="305"/>
      <c r="DW109" s="305"/>
      <c r="DX109" s="305"/>
      <c r="DY109" s="305"/>
      <c r="DZ109" s="305"/>
      <c r="EA109" s="305"/>
      <c r="EB109" s="305"/>
      <c r="EC109" s="305"/>
      <c r="ED109" s="305"/>
      <c r="EE109" s="305"/>
      <c r="EF109" s="305"/>
      <c r="EG109" s="305"/>
      <c r="EH109" s="305"/>
      <c r="EI109" s="305"/>
      <c r="EJ109" s="305"/>
      <c r="EK109" s="305"/>
      <c r="EL109" s="305"/>
      <c r="EM109" s="305"/>
      <c r="EN109" s="305"/>
      <c r="EO109" s="305"/>
      <c r="EP109" s="305"/>
      <c r="EQ109" s="305"/>
      <c r="ER109" s="305"/>
      <c r="ES109" s="305"/>
      <c r="ET109" s="305"/>
      <c r="EU109" s="305"/>
      <c r="EV109" s="305"/>
      <c r="EW109" s="305"/>
      <c r="EX109" s="305"/>
      <c r="EY109" s="305"/>
      <c r="EZ109" s="305"/>
      <c r="FA109" s="305"/>
      <c r="FB109" s="305"/>
      <c r="FC109" s="305"/>
      <c r="FD109" s="305"/>
      <c r="FE109" s="305"/>
      <c r="FF109" s="305"/>
      <c r="FG109" s="305"/>
      <c r="FH109" s="305"/>
      <c r="FI109" s="305"/>
      <c r="FJ109" s="305"/>
    </row>
    <row r="110" spans="1:166" ht="12.75" hidden="1" customHeight="1" x14ac:dyDescent="0.35">
      <c r="A110" s="136"/>
      <c r="B110" s="136"/>
      <c r="C110" s="136"/>
      <c r="D110" s="172" t="str">
        <f>IF(Calcs!CE444=0,"TBD",Calcs!CE444)</f>
        <v>TBD</v>
      </c>
      <c r="E110" s="152">
        <f>Calcs!CF444</f>
        <v>0</v>
      </c>
      <c r="F110" s="152">
        <f>Calcs!CG444</f>
        <v>0</v>
      </c>
      <c r="G110" s="152">
        <f>Calcs!CH444</f>
        <v>0</v>
      </c>
      <c r="H110" s="152">
        <f>Calcs!CI444</f>
        <v>0</v>
      </c>
      <c r="I110" s="152">
        <f>Calcs!CJ444</f>
        <v>0</v>
      </c>
      <c r="J110" s="152">
        <f>Calcs!CK444</f>
        <v>0</v>
      </c>
      <c r="K110" s="152">
        <f>Calcs!CL444</f>
        <v>0</v>
      </c>
      <c r="L110" s="152">
        <f>Calcs!CM444</f>
        <v>0</v>
      </c>
      <c r="M110" s="152">
        <f>Calcs!CN444</f>
        <v>0</v>
      </c>
      <c r="N110" s="152">
        <f>Calcs!CO444</f>
        <v>0</v>
      </c>
      <c r="O110" s="152">
        <f>Calcs!CP444</f>
        <v>0</v>
      </c>
      <c r="P110" s="152">
        <f>Calcs!CQ444</f>
        <v>0</v>
      </c>
      <c r="Q110" s="151">
        <f>SUM(E110:P110)</f>
        <v>0</v>
      </c>
      <c r="R110" s="152">
        <f>Calcs!CR444</f>
        <v>0</v>
      </c>
      <c r="S110" s="152">
        <f>Calcs!CS444</f>
        <v>0</v>
      </c>
      <c r="T110" s="152">
        <f>Calcs!CT444</f>
        <v>0</v>
      </c>
      <c r="U110" s="152">
        <f>Calcs!CU444</f>
        <v>0</v>
      </c>
      <c r="V110" s="152">
        <f>Calcs!CV444</f>
        <v>0</v>
      </c>
      <c r="W110" s="152">
        <f>Calcs!CW444</f>
        <v>0</v>
      </c>
      <c r="X110" s="152">
        <f>Calcs!CX444</f>
        <v>0</v>
      </c>
      <c r="Y110" s="152">
        <f>Calcs!CY444</f>
        <v>0</v>
      </c>
      <c r="Z110" s="152">
        <f>Calcs!CZ444</f>
        <v>0</v>
      </c>
      <c r="AA110" s="152">
        <f>Calcs!DA444</f>
        <v>0</v>
      </c>
      <c r="AB110" s="152">
        <f>Calcs!DB444</f>
        <v>0</v>
      </c>
      <c r="AC110" s="152">
        <f>Calcs!DC444</f>
        <v>0</v>
      </c>
      <c r="AD110" s="152">
        <f>SUM(R110:AC110)</f>
        <v>0</v>
      </c>
      <c r="AE110" s="152">
        <f>Calcs!DD444</f>
        <v>0</v>
      </c>
      <c r="AF110" s="152">
        <f>Calcs!DE444</f>
        <v>0</v>
      </c>
      <c r="AG110" s="152">
        <f>Calcs!DF444</f>
        <v>0</v>
      </c>
      <c r="AH110" s="152">
        <f>Calcs!DG444</f>
        <v>0</v>
      </c>
      <c r="AI110" s="152">
        <f>Calcs!DH444</f>
        <v>0</v>
      </c>
      <c r="AJ110" s="152">
        <f>Calcs!DI444</f>
        <v>0</v>
      </c>
      <c r="AK110" s="152">
        <f>Calcs!DJ444</f>
        <v>0</v>
      </c>
      <c r="AL110" s="152">
        <f>Calcs!DK444</f>
        <v>0</v>
      </c>
      <c r="AM110" s="152">
        <f>Calcs!DL444</f>
        <v>0</v>
      </c>
      <c r="AN110" s="152">
        <f>Calcs!DM444</f>
        <v>0</v>
      </c>
      <c r="AO110" s="152">
        <f>Calcs!DN444</f>
        <v>0</v>
      </c>
      <c r="AP110" s="152">
        <f>Calcs!DO444</f>
        <v>0</v>
      </c>
      <c r="AQ110" s="152">
        <f>SUM(AE110:AP110)</f>
        <v>0</v>
      </c>
      <c r="AR110" s="152">
        <f>Calcs!DP444</f>
        <v>0</v>
      </c>
      <c r="AS110" s="152">
        <f>Calcs!DQ444</f>
        <v>0</v>
      </c>
      <c r="AT110" s="152">
        <f>Calcs!DR444</f>
        <v>0</v>
      </c>
      <c r="AU110" s="152">
        <f>Calcs!DS444</f>
        <v>0</v>
      </c>
      <c r="AV110" s="152">
        <f>Calcs!DT444</f>
        <v>0</v>
      </c>
      <c r="AW110" s="152">
        <f>Calcs!DU444</f>
        <v>0</v>
      </c>
      <c r="AX110" s="152">
        <f>Calcs!DV444</f>
        <v>0</v>
      </c>
      <c r="AY110" s="152">
        <f>Calcs!DW444</f>
        <v>0</v>
      </c>
      <c r="AZ110" s="152">
        <f>Calcs!DX444</f>
        <v>0</v>
      </c>
      <c r="BA110" s="152">
        <f>Calcs!DY444</f>
        <v>0</v>
      </c>
      <c r="BB110" s="152">
        <f>Calcs!DZ444</f>
        <v>0</v>
      </c>
      <c r="BC110" s="152">
        <f>Calcs!EA444</f>
        <v>0</v>
      </c>
      <c r="BD110" s="152">
        <f>SUM(AR110:BC110)</f>
        <v>0</v>
      </c>
      <c r="BE110" s="152">
        <f>Calcs!EB444</f>
        <v>0</v>
      </c>
      <c r="BF110" s="152">
        <f>Calcs!EC444</f>
        <v>0</v>
      </c>
      <c r="BG110" s="152">
        <f>Calcs!ED444</f>
        <v>0</v>
      </c>
      <c r="BH110" s="152">
        <f>Calcs!EE444</f>
        <v>0</v>
      </c>
      <c r="BI110" s="152">
        <f>Calcs!EF444</f>
        <v>0</v>
      </c>
      <c r="BJ110" s="152">
        <f>Calcs!EG444</f>
        <v>0</v>
      </c>
      <c r="BK110" s="152">
        <f>Calcs!EH444</f>
        <v>0</v>
      </c>
      <c r="BL110" s="152">
        <f>Calcs!EI444</f>
        <v>0</v>
      </c>
      <c r="BM110" s="152">
        <f>Calcs!EJ444</f>
        <v>0</v>
      </c>
      <c r="BN110" s="152">
        <f>Calcs!EK444</f>
        <v>0</v>
      </c>
      <c r="BO110" s="152">
        <f>Calcs!EL444</f>
        <v>0</v>
      </c>
      <c r="BP110" s="152">
        <f>Calcs!EM444</f>
        <v>0</v>
      </c>
      <c r="BQ110" s="152">
        <f>SUM(BE110:BP110)</f>
        <v>0</v>
      </c>
      <c r="BR110" s="1567"/>
      <c r="BS110" s="153">
        <f>SUM(BQ110,BD110,AQ110,AD110,Q110)</f>
        <v>0</v>
      </c>
      <c r="BT110" s="1567"/>
      <c r="BU110" s="171">
        <f>SUM(BQ110,BD110,AQ110,AD110,Q110)</f>
      </c>
      <c r="BV110" s="170">
        <f>Calcs!CE446</f>
        <v>0</v>
      </c>
      <c r="BW110" s="96">
        <f>SUM(Financials!E110:'Financials'!G110)</f>
        <v>0</v>
      </c>
      <c r="BX110" s="96">
        <f>SUM(Financials!H110:'Financials'!J110)</f>
        <v>0</v>
      </c>
      <c r="BY110" s="96">
        <f>SUM(Financials!K110:'Financials'!M110)</f>
        <v>0</v>
      </c>
      <c r="BZ110" s="172">
        <f>SUM(Financials!G110:'Financials'!I110)</f>
        <v>0</v>
      </c>
      <c r="CA110" s="152">
        <f>SUM(Financials!R110:'Financials'!T110)</f>
        <v>0</v>
      </c>
      <c r="CB110" s="152">
        <f>SUM(Financials!U110:'Financials'!W110)</f>
        <v>0</v>
      </c>
      <c r="CC110" s="152">
        <f>SUM(Financials!X110:'Financials'!Z110)</f>
        <v>0</v>
      </c>
      <c r="CD110" s="152">
        <f>SUM(Financials!AA110:'Financials'!AC110)</f>
        <v>0</v>
      </c>
      <c r="CE110" s="152">
        <f>SUM(Financials!AE110:'Financials'!AG110)</f>
        <v>0</v>
      </c>
      <c r="CF110" s="152">
        <f>SUM(Financials!AH110:'Financials'!AJ110)</f>
        <v>0</v>
      </c>
      <c r="CG110" s="152">
        <f>SUM(Financials!AK110:'Financials'!AM110)</f>
        <v>0</v>
      </c>
      <c r="CH110" s="152">
        <f>SUM(Financials!AN110:'Financials'!AP110)</f>
        <v>0</v>
      </c>
      <c r="CI110" s="152">
        <f>SUM(Financials!AR110:'Financials'!AT110)</f>
        <v>0</v>
      </c>
      <c r="CJ110" s="152">
        <f>SUM(Financials!AU110:'Financials'!AW110)</f>
        <v>0</v>
      </c>
      <c r="CK110" s="152">
        <f>SUM(Financials!AX110:'Financials'!AZ110)</f>
        <v>0</v>
      </c>
      <c r="CL110" s="152">
        <f>SUM(Financials!BA110:'Financials'!BC110)</f>
        <v>0</v>
      </c>
      <c r="CM110" s="152">
        <f>SUM(Financials!BE110:'Financials'!BG110)</f>
        <v>0</v>
      </c>
      <c r="CN110" s="152">
        <f>SUM(Financials!BH110:'Financials'!BJ110)</f>
        <v>0</v>
      </c>
      <c r="CO110" s="152">
        <f>SUM(Financials!BK110:'Financials'!BM110)</f>
        <v>0</v>
      </c>
      <c r="CP110" s="152">
        <f>SUM(Financials!BN110:'Financials'!BP110)</f>
        <v>0</v>
      </c>
      <c r="CY110" s="305"/>
      <c r="CZ110" s="305"/>
      <c r="DA110" s="305"/>
      <c r="DB110" s="305"/>
      <c r="DC110" s="305"/>
      <c r="DD110" s="305"/>
      <c r="DE110" s="305"/>
      <c r="DF110" s="305"/>
      <c r="DG110" s="305"/>
      <c r="DH110" s="305"/>
      <c r="DI110" s="305"/>
      <c r="DJ110" s="305"/>
      <c r="DK110" s="305"/>
      <c r="DL110" s="305"/>
      <c r="DM110" s="305"/>
      <c r="DN110" s="305"/>
      <c r="DO110" s="305"/>
      <c r="DP110" s="305"/>
      <c r="DQ110" s="305"/>
      <c r="DR110" s="305"/>
      <c r="DS110" s="305"/>
      <c r="DT110" s="305"/>
      <c r="DU110" s="305"/>
      <c r="DV110" s="305"/>
      <c r="DW110" s="305"/>
      <c r="DX110" s="305"/>
      <c r="DY110" s="305"/>
      <c r="DZ110" s="305"/>
      <c r="EA110" s="305"/>
      <c r="EB110" s="305"/>
      <c r="EC110" s="305"/>
      <c r="ED110" s="305"/>
      <c r="EE110" s="305"/>
      <c r="EF110" s="305"/>
      <c r="EG110" s="305"/>
      <c r="EH110" s="305"/>
      <c r="EI110" s="305"/>
      <c r="EJ110" s="305"/>
      <c r="EK110" s="305"/>
      <c r="EL110" s="305"/>
      <c r="EM110" s="305"/>
      <c r="EN110" s="305"/>
      <c r="EO110" s="305"/>
      <c r="EP110" s="305"/>
      <c r="EQ110" s="305"/>
      <c r="ER110" s="305"/>
      <c r="ES110" s="305"/>
      <c r="ET110" s="305"/>
      <c r="EU110" s="305"/>
      <c r="EV110" s="305"/>
      <c r="EW110" s="305"/>
      <c r="EX110" s="305"/>
      <c r="EY110" s="305"/>
      <c r="EZ110" s="305"/>
      <c r="FA110" s="305"/>
      <c r="FB110" s="305"/>
      <c r="FC110" s="305"/>
      <c r="FD110" s="305"/>
      <c r="FE110" s="305"/>
      <c r="FF110" s="305"/>
      <c r="FG110" s="305"/>
      <c r="FH110" s="305"/>
      <c r="FI110" s="305"/>
      <c r="FJ110" s="305"/>
    </row>
    <row r="111" spans="1:166" ht="12.75" hidden="1" customHeight="1" x14ac:dyDescent="0.35">
      <c r="A111" s="136"/>
      <c r="B111" s="136"/>
      <c r="C111" s="136"/>
      <c r="D111" s="172" t="str">
        <f>IF(Calcs!CE445=0,"TBD",Calcs!CE445)</f>
        <v>TBD</v>
      </c>
      <c r="E111" s="152">
        <f>Calcs!CF445</f>
        <v>0</v>
      </c>
      <c r="F111" s="152">
        <f>Calcs!CG445</f>
        <v>0</v>
      </c>
      <c r="G111" s="152">
        <f>Calcs!CH445</f>
        <v>0</v>
      </c>
      <c r="H111" s="152">
        <f>Calcs!CI445</f>
        <v>0</v>
      </c>
      <c r="I111" s="152">
        <f>Calcs!CJ445</f>
        <v>0</v>
      </c>
      <c r="J111" s="152">
        <f>Calcs!CK445</f>
        <v>0</v>
      </c>
      <c r="K111" s="152">
        <f>Calcs!CL445</f>
        <v>0</v>
      </c>
      <c r="L111" s="152">
        <f>Calcs!CM445</f>
        <v>0</v>
      </c>
      <c r="M111" s="152">
        <f>Calcs!CN445</f>
        <v>0</v>
      </c>
      <c r="N111" s="152">
        <f>Calcs!CO445</f>
        <v>0</v>
      </c>
      <c r="O111" s="152">
        <f>Calcs!CP445</f>
        <v>0</v>
      </c>
      <c r="P111" s="152">
        <f>Calcs!CQ445</f>
        <v>0</v>
      </c>
      <c r="Q111" s="151">
        <f>SUM(E111:P111)</f>
        <v>0</v>
      </c>
      <c r="R111" s="152">
        <f>Calcs!CR445</f>
        <v>0</v>
      </c>
      <c r="S111" s="152">
        <f>Calcs!CS445</f>
        <v>0</v>
      </c>
      <c r="T111" s="152">
        <f>Calcs!CT445</f>
        <v>0</v>
      </c>
      <c r="U111" s="152">
        <f>Calcs!CU445</f>
        <v>0</v>
      </c>
      <c r="V111" s="152">
        <f>Calcs!CV445</f>
        <v>0</v>
      </c>
      <c r="W111" s="152">
        <f>Calcs!CW445</f>
        <v>0</v>
      </c>
      <c r="X111" s="152">
        <f>Calcs!CX445</f>
        <v>0</v>
      </c>
      <c r="Y111" s="152">
        <f>Calcs!CY445</f>
        <v>0</v>
      </c>
      <c r="Z111" s="152">
        <f>Calcs!CZ445</f>
        <v>0</v>
      </c>
      <c r="AA111" s="152">
        <f>Calcs!DA445</f>
        <v>0</v>
      </c>
      <c r="AB111" s="152">
        <f>Calcs!DB445</f>
        <v>0</v>
      </c>
      <c r="AC111" s="152">
        <f>Calcs!DC445</f>
        <v>0</v>
      </c>
      <c r="AD111" s="152">
        <f>SUM(R111:AC111)</f>
        <v>0</v>
      </c>
      <c r="AE111" s="152">
        <f>Calcs!DD445</f>
        <v>0</v>
      </c>
      <c r="AF111" s="152">
        <f>Calcs!DE445</f>
        <v>0</v>
      </c>
      <c r="AG111" s="152">
        <f>Calcs!DF445</f>
        <v>0</v>
      </c>
      <c r="AH111" s="152">
        <f>Calcs!DG445</f>
        <v>0</v>
      </c>
      <c r="AI111" s="152">
        <f>Calcs!DH445</f>
        <v>0</v>
      </c>
      <c r="AJ111" s="152">
        <f>Calcs!DI445</f>
        <v>0</v>
      </c>
      <c r="AK111" s="152">
        <f>Calcs!DJ445</f>
        <v>0</v>
      </c>
      <c r="AL111" s="152">
        <f>Calcs!DK445</f>
        <v>0</v>
      </c>
      <c r="AM111" s="152">
        <f>Calcs!DL445</f>
        <v>0</v>
      </c>
      <c r="AN111" s="152">
        <f>Calcs!DM445</f>
        <v>0</v>
      </c>
      <c r="AO111" s="152">
        <f>Calcs!DN445</f>
        <v>0</v>
      </c>
      <c r="AP111" s="152">
        <f>Calcs!DO445</f>
        <v>0</v>
      </c>
      <c r="AQ111" s="152">
        <f>SUM(AE111:AP111)</f>
        <v>0</v>
      </c>
      <c r="AR111" s="152">
        <f>Calcs!DP445</f>
        <v>0</v>
      </c>
      <c r="AS111" s="152">
        <f>Calcs!DQ445</f>
        <v>0</v>
      </c>
      <c r="AT111" s="152">
        <f>Calcs!DR445</f>
        <v>0</v>
      </c>
      <c r="AU111" s="152">
        <f>Calcs!DS445</f>
        <v>0</v>
      </c>
      <c r="AV111" s="152">
        <f>Calcs!DT445</f>
        <v>0</v>
      </c>
      <c r="AW111" s="152">
        <f>Calcs!DU445</f>
        <v>0</v>
      </c>
      <c r="AX111" s="152">
        <f>Calcs!DV445</f>
        <v>0</v>
      </c>
      <c r="AY111" s="152">
        <f>Calcs!DW445</f>
        <v>0</v>
      </c>
      <c r="AZ111" s="152">
        <f>Calcs!DX445</f>
        <v>0</v>
      </c>
      <c r="BA111" s="152">
        <f>Calcs!DY445</f>
        <v>0</v>
      </c>
      <c r="BB111" s="152">
        <f>Calcs!DZ445</f>
        <v>0</v>
      </c>
      <c r="BC111" s="152">
        <f>Calcs!EA445</f>
        <v>0</v>
      </c>
      <c r="BD111" s="152">
        <f>SUM(AR111:BC111)</f>
        <v>0</v>
      </c>
      <c r="BE111" s="152">
        <f>Calcs!EB445</f>
        <v>0</v>
      </c>
      <c r="BF111" s="152">
        <f>Calcs!EC445</f>
        <v>0</v>
      </c>
      <c r="BG111" s="152">
        <f>Calcs!ED445</f>
        <v>0</v>
      </c>
      <c r="BH111" s="152">
        <f>Calcs!EE445</f>
        <v>0</v>
      </c>
      <c r="BI111" s="152">
        <f>Calcs!EF445</f>
        <v>0</v>
      </c>
      <c r="BJ111" s="152">
        <f>Calcs!EG445</f>
        <v>0</v>
      </c>
      <c r="BK111" s="152">
        <f>Calcs!EH445</f>
        <v>0</v>
      </c>
      <c r="BL111" s="152">
        <f>Calcs!EI445</f>
        <v>0</v>
      </c>
      <c r="BM111" s="152">
        <f>Calcs!EJ445</f>
        <v>0</v>
      </c>
      <c r="BN111" s="152">
        <f>Calcs!EK445</f>
        <v>0</v>
      </c>
      <c r="BO111" s="152">
        <f>Calcs!EL445</f>
        <v>0</v>
      </c>
      <c r="BP111" s="152">
        <f>Calcs!EM445</f>
        <v>0</v>
      </c>
      <c r="BQ111" s="152">
        <f>SUM(BE111:BP111)</f>
        <v>0</v>
      </c>
      <c r="BR111" s="1567"/>
      <c r="BS111" s="153">
        <f>SUM(BQ111,BD111,AQ111,AD111,Q111)</f>
        <v>0</v>
      </c>
      <c r="BT111" s="1567"/>
      <c r="BU111" s="171">
        <f>SUM(BQ111,BD111,AQ111,AD111,Q111)</f>
      </c>
      <c r="BV111" s="170">
        <f>Calcs!CE447</f>
        <v>0</v>
      </c>
      <c r="BW111" s="96">
        <f>SUM(Financials!E111:'Financials'!G111)</f>
        <v>0</v>
      </c>
      <c r="BX111" s="96">
        <f>SUM(Financials!H111:'Financials'!J111)</f>
        <v>0</v>
      </c>
      <c r="BY111" s="96">
        <f>SUM(Financials!K111:'Financials'!M111)</f>
        <v>0</v>
      </c>
      <c r="BZ111" s="172">
        <f>SUM(Financials!G111:'Financials'!I111)</f>
        <v>0</v>
      </c>
      <c r="CA111" s="152">
        <f>SUM(Financials!R111:'Financials'!T111)</f>
        <v>0</v>
      </c>
      <c r="CB111" s="152">
        <f>SUM(Financials!U111:'Financials'!W111)</f>
        <v>0</v>
      </c>
      <c r="CC111" s="152">
        <f>SUM(Financials!X111:'Financials'!Z111)</f>
        <v>0</v>
      </c>
      <c r="CD111" s="152">
        <f>SUM(Financials!AA111:'Financials'!AC111)</f>
        <v>0</v>
      </c>
      <c r="CE111" s="152">
        <f>SUM(Financials!AE111:'Financials'!AG111)</f>
        <v>0</v>
      </c>
      <c r="CF111" s="152">
        <f>SUM(Financials!AH111:'Financials'!AJ111)</f>
        <v>0</v>
      </c>
      <c r="CG111" s="152">
        <f>SUM(Financials!AK111:'Financials'!AM111)</f>
        <v>0</v>
      </c>
      <c r="CH111" s="152">
        <f>SUM(Financials!AN111:'Financials'!AP111)</f>
        <v>0</v>
      </c>
      <c r="CI111" s="152">
        <f>SUM(Financials!AR111:'Financials'!AT111)</f>
        <v>0</v>
      </c>
      <c r="CJ111" s="152">
        <f>SUM(Financials!AU111:'Financials'!AW111)</f>
        <v>0</v>
      </c>
      <c r="CK111" s="152">
        <f>SUM(Financials!AX111:'Financials'!AZ111)</f>
        <v>0</v>
      </c>
      <c r="CL111" s="152">
        <f>SUM(Financials!BA111:'Financials'!BC111)</f>
        <v>0</v>
      </c>
      <c r="CM111" s="152">
        <f>SUM(Financials!BE111:'Financials'!BG111)</f>
        <v>0</v>
      </c>
      <c r="CN111" s="152">
        <f>SUM(Financials!BH111:'Financials'!BJ111)</f>
        <v>0</v>
      </c>
      <c r="CO111" s="152">
        <f>SUM(Financials!BK111:'Financials'!BM111)</f>
        <v>0</v>
      </c>
      <c r="CP111" s="152">
        <f>SUM(Financials!BN111:'Financials'!BP111)</f>
        <v>0</v>
      </c>
      <c r="CY111" s="305"/>
      <c r="CZ111" s="305"/>
      <c r="DA111" s="305"/>
      <c r="DB111" s="305"/>
      <c r="DC111" s="305"/>
      <c r="DD111" s="305"/>
      <c r="DE111" s="305"/>
      <c r="DF111" s="305"/>
      <c r="DG111" s="305"/>
      <c r="DH111" s="305"/>
      <c r="DI111" s="305"/>
      <c r="DJ111" s="305"/>
      <c r="DK111" s="305"/>
      <c r="DL111" s="305"/>
      <c r="DM111" s="305"/>
      <c r="DN111" s="305"/>
      <c r="DO111" s="305"/>
      <c r="DP111" s="305"/>
      <c r="DQ111" s="305"/>
      <c r="DR111" s="305"/>
      <c r="DS111" s="305"/>
      <c r="DT111" s="305"/>
      <c r="DU111" s="305"/>
      <c r="DV111" s="305"/>
      <c r="DW111" s="305"/>
      <c r="DX111" s="305"/>
      <c r="DY111" s="305"/>
      <c r="DZ111" s="305"/>
      <c r="EA111" s="305"/>
      <c r="EB111" s="305"/>
      <c r="EC111" s="305"/>
      <c r="ED111" s="305"/>
      <c r="EE111" s="305"/>
      <c r="EF111" s="305"/>
      <c r="EG111" s="305"/>
      <c r="EH111" s="305"/>
      <c r="EI111" s="305"/>
      <c r="EJ111" s="305"/>
      <c r="EK111" s="305"/>
      <c r="EL111" s="305"/>
      <c r="EM111" s="305"/>
      <c r="EN111" s="305"/>
      <c r="EO111" s="305"/>
      <c r="EP111" s="305"/>
      <c r="EQ111" s="305"/>
      <c r="ER111" s="305"/>
      <c r="ES111" s="305"/>
      <c r="ET111" s="305"/>
      <c r="EU111" s="305"/>
      <c r="EV111" s="305"/>
      <c r="EW111" s="305"/>
      <c r="EX111" s="305"/>
      <c r="EY111" s="305"/>
      <c r="EZ111" s="305"/>
      <c r="FA111" s="305"/>
      <c r="FB111" s="305"/>
      <c r="FC111" s="305"/>
      <c r="FD111" s="305"/>
      <c r="FE111" s="305"/>
      <c r="FF111" s="305"/>
      <c r="FG111" s="305"/>
      <c r="FH111" s="305"/>
      <c r="FI111" s="305"/>
      <c r="FJ111" s="305"/>
    </row>
    <row r="112" spans="1:166" ht="12.75" hidden="1" customHeight="1" x14ac:dyDescent="0.35">
      <c r="A112" s="136"/>
      <c r="B112" s="136"/>
      <c r="C112" s="136"/>
      <c r="D112" s="172" t="str">
        <f>IF(Calcs!CE446=0,"TBD",Calcs!CE446)</f>
        <v>TBD</v>
      </c>
      <c r="E112" s="152">
        <f>Calcs!CF446</f>
        <v>0</v>
      </c>
      <c r="F112" s="152">
        <f>Calcs!CG446</f>
        <v>0</v>
      </c>
      <c r="G112" s="152">
        <f>Calcs!CH446</f>
        <v>0</v>
      </c>
      <c r="H112" s="152">
        <f>Calcs!CI446</f>
        <v>0</v>
      </c>
      <c r="I112" s="152">
        <f>Calcs!CJ446</f>
        <v>0</v>
      </c>
      <c r="J112" s="152">
        <f>Calcs!CK446</f>
        <v>0</v>
      </c>
      <c r="K112" s="152">
        <f>Calcs!CL446</f>
        <v>0</v>
      </c>
      <c r="L112" s="152">
        <f>Calcs!CM446</f>
        <v>0</v>
      </c>
      <c r="M112" s="152">
        <f>Calcs!CN446</f>
        <v>0</v>
      </c>
      <c r="N112" s="152">
        <f>Calcs!CO446</f>
        <v>0</v>
      </c>
      <c r="O112" s="152">
        <f>Calcs!CP446</f>
        <v>0</v>
      </c>
      <c r="P112" s="152">
        <f>Calcs!CQ446</f>
        <v>0</v>
      </c>
      <c r="Q112" s="151">
        <f>SUM(E112:P112)</f>
        <v>0</v>
      </c>
      <c r="R112" s="152">
        <f>Calcs!CR446</f>
        <v>0</v>
      </c>
      <c r="S112" s="152">
        <f>Calcs!CS446</f>
        <v>0</v>
      </c>
      <c r="T112" s="152">
        <f>Calcs!CT446</f>
        <v>0</v>
      </c>
      <c r="U112" s="152">
        <f>Calcs!CU446</f>
        <v>0</v>
      </c>
      <c r="V112" s="152">
        <f>Calcs!CV446</f>
        <v>0</v>
      </c>
      <c r="W112" s="152">
        <f>Calcs!CW446</f>
        <v>0</v>
      </c>
      <c r="X112" s="152">
        <f>Calcs!CX446</f>
        <v>0</v>
      </c>
      <c r="Y112" s="152">
        <f>Calcs!CY446</f>
        <v>0</v>
      </c>
      <c r="Z112" s="152">
        <f>Calcs!CZ446</f>
        <v>0</v>
      </c>
      <c r="AA112" s="152">
        <f>Calcs!DA446</f>
        <v>0</v>
      </c>
      <c r="AB112" s="152">
        <f>Calcs!DB446</f>
        <v>0</v>
      </c>
      <c r="AC112" s="152">
        <f>Calcs!DC446</f>
        <v>0</v>
      </c>
      <c r="AD112" s="152">
        <f>SUM(R112:AC112)</f>
        <v>0</v>
      </c>
      <c r="AE112" s="152">
        <f>Calcs!DD446</f>
        <v>0</v>
      </c>
      <c r="AF112" s="152">
        <f>Calcs!DE446</f>
        <v>0</v>
      </c>
      <c r="AG112" s="152">
        <f>Calcs!DF446</f>
        <v>0</v>
      </c>
      <c r="AH112" s="152">
        <f>Calcs!DG446</f>
        <v>0</v>
      </c>
      <c r="AI112" s="152">
        <f>Calcs!DH446</f>
        <v>0</v>
      </c>
      <c r="AJ112" s="152">
        <f>Calcs!DI446</f>
        <v>0</v>
      </c>
      <c r="AK112" s="152">
        <f>Calcs!DJ446</f>
        <v>0</v>
      </c>
      <c r="AL112" s="152">
        <f>Calcs!DK446</f>
        <v>0</v>
      </c>
      <c r="AM112" s="152">
        <f>Calcs!DL446</f>
        <v>0</v>
      </c>
      <c r="AN112" s="152">
        <f>Calcs!DM446</f>
        <v>0</v>
      </c>
      <c r="AO112" s="152">
        <f>Calcs!DN446</f>
        <v>0</v>
      </c>
      <c r="AP112" s="152">
        <f>Calcs!DO446</f>
        <v>0</v>
      </c>
      <c r="AQ112" s="152">
        <f>SUM(AE112:AP112)</f>
        <v>0</v>
      </c>
      <c r="AR112" s="152">
        <f>Calcs!DP446</f>
        <v>0</v>
      </c>
      <c r="AS112" s="152">
        <f>Calcs!DQ446</f>
        <v>0</v>
      </c>
      <c r="AT112" s="152">
        <f>Calcs!DR446</f>
        <v>0</v>
      </c>
      <c r="AU112" s="152">
        <f>Calcs!DS446</f>
        <v>0</v>
      </c>
      <c r="AV112" s="152">
        <f>Calcs!DT446</f>
        <v>0</v>
      </c>
      <c r="AW112" s="152">
        <f>Calcs!DU446</f>
        <v>0</v>
      </c>
      <c r="AX112" s="152">
        <f>Calcs!DV446</f>
        <v>0</v>
      </c>
      <c r="AY112" s="152">
        <f>Calcs!DW446</f>
        <v>0</v>
      </c>
      <c r="AZ112" s="152">
        <f>Calcs!DX446</f>
        <v>0</v>
      </c>
      <c r="BA112" s="152">
        <f>Calcs!DY446</f>
        <v>0</v>
      </c>
      <c r="BB112" s="152">
        <f>Calcs!DZ446</f>
        <v>0</v>
      </c>
      <c r="BC112" s="152">
        <f>Calcs!EA446</f>
        <v>0</v>
      </c>
      <c r="BD112" s="152">
        <f>SUM(AR112:BC112)</f>
        <v>0</v>
      </c>
      <c r="BE112" s="152">
        <f>Calcs!EB446</f>
        <v>0</v>
      </c>
      <c r="BF112" s="152">
        <f>Calcs!EC446</f>
        <v>0</v>
      </c>
      <c r="BG112" s="152">
        <f>Calcs!ED446</f>
        <v>0</v>
      </c>
      <c r="BH112" s="152">
        <f>Calcs!EE446</f>
        <v>0</v>
      </c>
      <c r="BI112" s="152">
        <f>Calcs!EF446</f>
        <v>0</v>
      </c>
      <c r="BJ112" s="152">
        <f>Calcs!EG446</f>
        <v>0</v>
      </c>
      <c r="BK112" s="152">
        <f>Calcs!EH446</f>
        <v>0</v>
      </c>
      <c r="BL112" s="152">
        <f>Calcs!EI446</f>
        <v>0</v>
      </c>
      <c r="BM112" s="152">
        <f>Calcs!EJ446</f>
        <v>0</v>
      </c>
      <c r="BN112" s="152">
        <f>Calcs!EK446</f>
        <v>0</v>
      </c>
      <c r="BO112" s="152">
        <f>Calcs!EL446</f>
        <v>0</v>
      </c>
      <c r="BP112" s="152">
        <f>Calcs!EM446</f>
        <v>0</v>
      </c>
      <c r="BQ112" s="152">
        <f>SUM(BE112:BP112)</f>
        <v>0</v>
      </c>
      <c r="BR112" s="1567"/>
      <c r="BS112" s="153">
        <f>SUM(BQ112,BD112,AQ112,AD112,Q112)</f>
        <v>0</v>
      </c>
      <c r="BT112" s="1567"/>
      <c r="BU112" s="171">
        <f>SUM(BQ112,BD112,AQ112,AD112,Q112)</f>
      </c>
      <c r="BV112" s="170">
        <f>Calcs!CE448</f>
        <v>0</v>
      </c>
      <c r="BW112" s="96">
        <f>SUM(Financials!E112:'Financials'!G112)</f>
        <v>0</v>
      </c>
      <c r="BX112" s="96">
        <f>SUM(Financials!H112:'Financials'!J112)</f>
        <v>0</v>
      </c>
      <c r="BY112" s="96">
        <f>SUM(Financials!K112:'Financials'!M112)</f>
        <v>0</v>
      </c>
      <c r="BZ112" s="172">
        <f>SUM(Financials!G112:'Financials'!I112)</f>
        <v>0</v>
      </c>
      <c r="CA112" s="152">
        <f>SUM(Financials!R112:'Financials'!T112)</f>
        <v>0</v>
      </c>
      <c r="CB112" s="152">
        <f>SUM(Financials!U112:'Financials'!W112)</f>
        <v>0</v>
      </c>
      <c r="CC112" s="152">
        <f>SUM(Financials!X112:'Financials'!Z112)</f>
        <v>0</v>
      </c>
      <c r="CD112" s="152">
        <f>SUM(Financials!AA112:'Financials'!AC112)</f>
        <v>0</v>
      </c>
      <c r="CE112" s="152">
        <f>SUM(Financials!AE112:'Financials'!AG112)</f>
        <v>0</v>
      </c>
      <c r="CF112" s="152">
        <f>SUM(Financials!AH112:'Financials'!AJ112)</f>
        <v>0</v>
      </c>
      <c r="CG112" s="152">
        <f>SUM(Financials!AK112:'Financials'!AM112)</f>
        <v>0</v>
      </c>
      <c r="CH112" s="152">
        <f>SUM(Financials!AN112:'Financials'!AP112)</f>
        <v>0</v>
      </c>
      <c r="CI112" s="152">
        <f>SUM(Financials!AR112:'Financials'!AT112)</f>
        <v>0</v>
      </c>
      <c r="CJ112" s="152">
        <f>SUM(Financials!AU112:'Financials'!AW112)</f>
        <v>0</v>
      </c>
      <c r="CK112" s="152">
        <f>SUM(Financials!AX112:'Financials'!AZ112)</f>
        <v>0</v>
      </c>
      <c r="CL112" s="152">
        <f>SUM(Financials!BA112:'Financials'!BC112)</f>
        <v>0</v>
      </c>
      <c r="CM112" s="152">
        <f>SUM(Financials!BE112:'Financials'!BG112)</f>
        <v>0</v>
      </c>
      <c r="CN112" s="152">
        <f>SUM(Financials!BH112:'Financials'!BJ112)</f>
        <v>0</v>
      </c>
      <c r="CO112" s="152">
        <f>SUM(Financials!BK112:'Financials'!BM112)</f>
        <v>0</v>
      </c>
      <c r="CP112" s="152">
        <f>SUM(Financials!BN112:'Financials'!BP112)</f>
        <v>0</v>
      </c>
      <c r="CY112" s="305"/>
      <c r="CZ112" s="305"/>
      <c r="DA112" s="305"/>
      <c r="DB112" s="305"/>
      <c r="DC112" s="305"/>
      <c r="DD112" s="305"/>
      <c r="DE112" s="305"/>
      <c r="DF112" s="305"/>
      <c r="DG112" s="305"/>
      <c r="DH112" s="305"/>
      <c r="DI112" s="305"/>
      <c r="DJ112" s="305"/>
      <c r="DK112" s="305"/>
      <c r="DL112" s="305"/>
      <c r="DM112" s="305"/>
      <c r="DN112" s="305"/>
      <c r="DO112" s="305"/>
      <c r="DP112" s="305"/>
      <c r="DQ112" s="305"/>
      <c r="DR112" s="305"/>
      <c r="DS112" s="305"/>
      <c r="DT112" s="305"/>
      <c r="DU112" s="305"/>
      <c r="DV112" s="305"/>
      <c r="DW112" s="305"/>
      <c r="DX112" s="305"/>
      <c r="DY112" s="305"/>
      <c r="DZ112" s="305"/>
      <c r="EA112" s="305"/>
      <c r="EB112" s="305"/>
      <c r="EC112" s="305"/>
      <c r="ED112" s="305"/>
      <c r="EE112" s="305"/>
      <c r="EF112" s="305"/>
      <c r="EG112" s="305"/>
      <c r="EH112" s="305"/>
      <c r="EI112" s="305"/>
      <c r="EJ112" s="305"/>
      <c r="EK112" s="305"/>
      <c r="EL112" s="305"/>
      <c r="EM112" s="305"/>
      <c r="EN112" s="305"/>
      <c r="EO112" s="305"/>
      <c r="EP112" s="305"/>
      <c r="EQ112" s="305"/>
      <c r="ER112" s="305"/>
      <c r="ES112" s="305"/>
      <c r="ET112" s="305"/>
      <c r="EU112" s="305"/>
      <c r="EV112" s="305"/>
      <c r="EW112" s="305"/>
      <c r="EX112" s="305"/>
      <c r="EY112" s="305"/>
      <c r="EZ112" s="305"/>
      <c r="FA112" s="305"/>
      <c r="FB112" s="305"/>
      <c r="FC112" s="305"/>
      <c r="FD112" s="305"/>
      <c r="FE112" s="305"/>
      <c r="FF112" s="305"/>
      <c r="FG112" s="305"/>
      <c r="FH112" s="305"/>
      <c r="FI112" s="305"/>
      <c r="FJ112" s="305"/>
    </row>
    <row r="113" spans="1:166" ht="12.75" hidden="1" customHeight="1" x14ac:dyDescent="0.35">
      <c r="A113" s="136"/>
      <c r="B113" s="136"/>
      <c r="C113" s="136"/>
      <c r="D113" s="172" t="str">
        <f>IF(Calcs!CE447=0,"TBD",Calcs!CE447)</f>
        <v>TBD</v>
      </c>
      <c r="E113" s="152">
        <f>Calcs!CF447</f>
        <v>0</v>
      </c>
      <c r="F113" s="152">
        <f>Calcs!CG447</f>
        <v>0</v>
      </c>
      <c r="G113" s="152">
        <f>Calcs!CH447</f>
        <v>0</v>
      </c>
      <c r="H113" s="152">
        <f>Calcs!CI447</f>
        <v>0</v>
      </c>
      <c r="I113" s="152">
        <f>Calcs!CJ447</f>
        <v>0</v>
      </c>
      <c r="J113" s="152">
        <f>Calcs!CK447</f>
        <v>0</v>
      </c>
      <c r="K113" s="152">
        <f>Calcs!CL447</f>
        <v>0</v>
      </c>
      <c r="L113" s="152">
        <f>Calcs!CM447</f>
        <v>0</v>
      </c>
      <c r="M113" s="152">
        <f>Calcs!CN447</f>
        <v>0</v>
      </c>
      <c r="N113" s="152">
        <f>Calcs!CO447</f>
        <v>0</v>
      </c>
      <c r="O113" s="152">
        <f>Calcs!CP447</f>
        <v>0</v>
      </c>
      <c r="P113" s="152">
        <f>Calcs!CQ447</f>
        <v>0</v>
      </c>
      <c r="Q113" s="151">
        <f>SUM(E113:P113)</f>
        <v>0</v>
      </c>
      <c r="R113" s="152">
        <f>Calcs!CR447</f>
        <v>0</v>
      </c>
      <c r="S113" s="152">
        <f>Calcs!CS447</f>
        <v>0</v>
      </c>
      <c r="T113" s="152">
        <f>Calcs!CT447</f>
        <v>0</v>
      </c>
      <c r="U113" s="152">
        <f>Calcs!CU447</f>
        <v>0</v>
      </c>
      <c r="V113" s="152">
        <f>Calcs!CV447</f>
        <v>0</v>
      </c>
      <c r="W113" s="152">
        <f>Calcs!CW447</f>
        <v>0</v>
      </c>
      <c r="X113" s="152">
        <f>Calcs!CX447</f>
        <v>0</v>
      </c>
      <c r="Y113" s="152">
        <f>Calcs!CY447</f>
        <v>0</v>
      </c>
      <c r="Z113" s="152">
        <f>Calcs!CZ447</f>
        <v>0</v>
      </c>
      <c r="AA113" s="152">
        <f>Calcs!DA447</f>
        <v>0</v>
      </c>
      <c r="AB113" s="152">
        <f>Calcs!DB447</f>
        <v>0</v>
      </c>
      <c r="AC113" s="152">
        <f>Calcs!DC447</f>
        <v>0</v>
      </c>
      <c r="AD113" s="152">
        <f>SUM(R113:AC113)</f>
        <v>0</v>
      </c>
      <c r="AE113" s="152">
        <f>Calcs!DD447</f>
        <v>0</v>
      </c>
      <c r="AF113" s="152">
        <f>Calcs!DE447</f>
        <v>0</v>
      </c>
      <c r="AG113" s="152">
        <f>Calcs!DF447</f>
        <v>0</v>
      </c>
      <c r="AH113" s="152">
        <f>Calcs!DG447</f>
        <v>0</v>
      </c>
      <c r="AI113" s="152">
        <f>Calcs!DH447</f>
        <v>0</v>
      </c>
      <c r="AJ113" s="152">
        <f>Calcs!DI447</f>
        <v>0</v>
      </c>
      <c r="AK113" s="152">
        <f>Calcs!DJ447</f>
        <v>0</v>
      </c>
      <c r="AL113" s="152">
        <f>Calcs!DK447</f>
        <v>0</v>
      </c>
      <c r="AM113" s="152">
        <f>Calcs!DL447</f>
        <v>0</v>
      </c>
      <c r="AN113" s="152">
        <f>Calcs!DM447</f>
        <v>0</v>
      </c>
      <c r="AO113" s="152">
        <f>Calcs!DN447</f>
        <v>0</v>
      </c>
      <c r="AP113" s="152">
        <f>Calcs!DO447</f>
        <v>0</v>
      </c>
      <c r="AQ113" s="152">
        <f>SUM(AE113:AP113)</f>
        <v>0</v>
      </c>
      <c r="AR113" s="152">
        <f>Calcs!DP447</f>
        <v>0</v>
      </c>
      <c r="AS113" s="152">
        <f>Calcs!DQ447</f>
        <v>0</v>
      </c>
      <c r="AT113" s="152">
        <f>Calcs!DR447</f>
        <v>0</v>
      </c>
      <c r="AU113" s="152">
        <f>Calcs!DS447</f>
        <v>0</v>
      </c>
      <c r="AV113" s="152">
        <f>Calcs!DT447</f>
        <v>0</v>
      </c>
      <c r="AW113" s="152">
        <f>Calcs!DU447</f>
        <v>0</v>
      </c>
      <c r="AX113" s="152">
        <f>Calcs!DV447</f>
        <v>0</v>
      </c>
      <c r="AY113" s="152">
        <f>Calcs!DW447</f>
        <v>0</v>
      </c>
      <c r="AZ113" s="152">
        <f>Calcs!DX447</f>
        <v>0</v>
      </c>
      <c r="BA113" s="152">
        <f>Calcs!DY447</f>
        <v>0</v>
      </c>
      <c r="BB113" s="152">
        <f>Calcs!DZ447</f>
        <v>0</v>
      </c>
      <c r="BC113" s="152">
        <f>Calcs!EA447</f>
        <v>0</v>
      </c>
      <c r="BD113" s="152">
        <f>SUM(AR113:BC113)</f>
        <v>0</v>
      </c>
      <c r="BE113" s="152">
        <f>Calcs!EB447</f>
        <v>0</v>
      </c>
      <c r="BF113" s="152">
        <f>Calcs!EC447</f>
        <v>0</v>
      </c>
      <c r="BG113" s="152">
        <f>Calcs!ED447</f>
        <v>0</v>
      </c>
      <c r="BH113" s="152">
        <f>Calcs!EE447</f>
        <v>0</v>
      </c>
      <c r="BI113" s="152">
        <f>Calcs!EF447</f>
        <v>0</v>
      </c>
      <c r="BJ113" s="152">
        <f>Calcs!EG447</f>
        <v>0</v>
      </c>
      <c r="BK113" s="152">
        <f>Calcs!EH447</f>
        <v>0</v>
      </c>
      <c r="BL113" s="152">
        <f>Calcs!EI447</f>
        <v>0</v>
      </c>
      <c r="BM113" s="152">
        <f>Calcs!EJ447</f>
        <v>0</v>
      </c>
      <c r="BN113" s="152">
        <f>Calcs!EK447</f>
        <v>0</v>
      </c>
      <c r="BO113" s="152">
        <f>Calcs!EL447</f>
        <v>0</v>
      </c>
      <c r="BP113" s="152">
        <f>Calcs!EM447</f>
        <v>0</v>
      </c>
      <c r="BQ113" s="152">
        <f>SUM(BE113:BP113)</f>
        <v>0</v>
      </c>
      <c r="BR113" s="1567"/>
      <c r="BS113" s="153">
        <f>SUM(BQ113,BD113,AQ113,AD113,Q113)</f>
        <v>0</v>
      </c>
      <c r="BT113" s="1567"/>
      <c r="BU113" s="171">
        <f>SUM(BQ113,BD113,AQ113,AD113,Q113)</f>
      </c>
      <c r="BV113" s="170">
        <f>Calcs!CE449</f>
        <v>0</v>
      </c>
      <c r="BW113" s="96">
        <f>SUM(Financials!E113:'Financials'!G113)</f>
        <v>0</v>
      </c>
      <c r="BX113" s="96">
        <f>SUM(Financials!H113:'Financials'!J113)</f>
        <v>0</v>
      </c>
      <c r="BY113" s="96">
        <f>SUM(Financials!K113:'Financials'!M113)</f>
        <v>0</v>
      </c>
      <c r="BZ113" s="172">
        <f>SUM(Financials!G113:'Financials'!I113)</f>
        <v>0</v>
      </c>
      <c r="CA113" s="152">
        <f>SUM(Financials!R113:'Financials'!T113)</f>
        <v>0</v>
      </c>
      <c r="CB113" s="152">
        <f>SUM(Financials!U113:'Financials'!W113)</f>
        <v>0</v>
      </c>
      <c r="CC113" s="152">
        <f>SUM(Financials!X113:'Financials'!Z113)</f>
        <v>0</v>
      </c>
      <c r="CD113" s="152">
        <f>SUM(Financials!AA113:'Financials'!AC113)</f>
        <v>0</v>
      </c>
      <c r="CE113" s="152">
        <f>SUM(Financials!AE113:'Financials'!AG113)</f>
        <v>0</v>
      </c>
      <c r="CF113" s="152">
        <f>SUM(Financials!AH113:'Financials'!AJ113)</f>
        <v>0</v>
      </c>
      <c r="CG113" s="152">
        <f>SUM(Financials!AK113:'Financials'!AM113)</f>
        <v>0</v>
      </c>
      <c r="CH113" s="152">
        <f>SUM(Financials!AN113:'Financials'!AP113)</f>
        <v>0</v>
      </c>
      <c r="CI113" s="152">
        <f>SUM(Financials!AR113:'Financials'!AT113)</f>
        <v>0</v>
      </c>
      <c r="CJ113" s="152">
        <f>SUM(Financials!AU113:'Financials'!AW113)</f>
        <v>0</v>
      </c>
      <c r="CK113" s="152">
        <f>SUM(Financials!AX113:'Financials'!AZ113)</f>
        <v>0</v>
      </c>
      <c r="CL113" s="152">
        <f>SUM(Financials!BA113:'Financials'!BC113)</f>
        <v>0</v>
      </c>
      <c r="CM113" s="152">
        <f>SUM(Financials!BE113:'Financials'!BG113)</f>
        <v>0</v>
      </c>
      <c r="CN113" s="152">
        <f>SUM(Financials!BH113:'Financials'!BJ113)</f>
        <v>0</v>
      </c>
      <c r="CO113" s="152">
        <f>SUM(Financials!BK113:'Financials'!BM113)</f>
        <v>0</v>
      </c>
      <c r="CP113" s="152">
        <f>SUM(Financials!BN113:'Financials'!BP113)</f>
        <v>0</v>
      </c>
      <c r="CY113" s="305"/>
      <c r="CZ113" s="305"/>
      <c r="DA113" s="305"/>
      <c r="DB113" s="305"/>
      <c r="DC113" s="305"/>
      <c r="DD113" s="305"/>
      <c r="DE113" s="305"/>
      <c r="DF113" s="305"/>
      <c r="DG113" s="305"/>
      <c r="DH113" s="305"/>
      <c r="DI113" s="305"/>
      <c r="DJ113" s="305"/>
      <c r="DK113" s="305"/>
      <c r="DL113" s="305"/>
      <c r="DM113" s="305"/>
      <c r="DN113" s="305"/>
      <c r="DO113" s="305"/>
      <c r="DP113" s="305"/>
      <c r="DQ113" s="305"/>
      <c r="DR113" s="305"/>
      <c r="DS113" s="305"/>
      <c r="DT113" s="305"/>
      <c r="DU113" s="305"/>
      <c r="DV113" s="305"/>
      <c r="DW113" s="305"/>
      <c r="DX113" s="305"/>
      <c r="DY113" s="305"/>
      <c r="DZ113" s="305"/>
      <c r="EA113" s="305"/>
      <c r="EB113" s="305"/>
      <c r="EC113" s="305"/>
      <c r="ED113" s="305"/>
      <c r="EE113" s="305"/>
      <c r="EF113" s="305"/>
      <c r="EG113" s="305"/>
      <c r="EH113" s="305"/>
      <c r="EI113" s="305"/>
      <c r="EJ113" s="305"/>
      <c r="EK113" s="305"/>
      <c r="EL113" s="305"/>
      <c r="EM113" s="305"/>
      <c r="EN113" s="305"/>
      <c r="EO113" s="305"/>
      <c r="EP113" s="305"/>
      <c r="EQ113" s="305"/>
      <c r="ER113" s="305"/>
      <c r="ES113" s="305"/>
      <c r="ET113" s="305"/>
      <c r="EU113" s="305"/>
      <c r="EV113" s="305"/>
      <c r="EW113" s="305"/>
      <c r="EX113" s="305"/>
      <c r="EY113" s="305"/>
      <c r="EZ113" s="305"/>
      <c r="FA113" s="305"/>
      <c r="FB113" s="305"/>
      <c r="FC113" s="305"/>
      <c r="FD113" s="305"/>
      <c r="FE113" s="305"/>
      <c r="FF113" s="305"/>
      <c r="FG113" s="305"/>
      <c r="FH113" s="305"/>
      <c r="FI113" s="305"/>
      <c r="FJ113" s="305"/>
    </row>
    <row r="114" spans="1:166" ht="12.75" hidden="1" customHeight="1" x14ac:dyDescent="0.35">
      <c r="A114" s="136"/>
      <c r="B114" s="136"/>
      <c r="C114" s="136"/>
      <c r="D114" s="172" t="str">
        <f>IF(Calcs!CE448=0,"TBD",Calcs!CE448)</f>
        <v>TBD</v>
      </c>
      <c r="E114" s="152">
        <f>Calcs!CF448</f>
        <v>0</v>
      </c>
      <c r="F114" s="152">
        <f>Calcs!CG448</f>
        <v>0</v>
      </c>
      <c r="G114" s="152">
        <f>Calcs!CH448</f>
        <v>0</v>
      </c>
      <c r="H114" s="152">
        <f>Calcs!CI448</f>
        <v>0</v>
      </c>
      <c r="I114" s="152">
        <f>Calcs!CJ448</f>
        <v>0</v>
      </c>
      <c r="J114" s="152">
        <f>Calcs!CK448</f>
        <v>0</v>
      </c>
      <c r="K114" s="152">
        <f>Calcs!CL448</f>
        <v>0</v>
      </c>
      <c r="L114" s="152">
        <f>Calcs!CM448</f>
        <v>0</v>
      </c>
      <c r="M114" s="152">
        <f>Calcs!CN448</f>
        <v>0</v>
      </c>
      <c r="N114" s="152">
        <f>Calcs!CO448</f>
        <v>0</v>
      </c>
      <c r="O114" s="152">
        <f>Calcs!CP448</f>
        <v>0</v>
      </c>
      <c r="P114" s="152">
        <f>Calcs!CQ448</f>
        <v>0</v>
      </c>
      <c r="Q114" s="151">
        <f>SUM(E114:P114)</f>
        <v>0</v>
      </c>
      <c r="R114" s="152">
        <f>Calcs!CR448</f>
        <v>0</v>
      </c>
      <c r="S114" s="152">
        <f>Calcs!CS448</f>
        <v>0</v>
      </c>
      <c r="T114" s="152">
        <f>Calcs!CT448</f>
        <v>0</v>
      </c>
      <c r="U114" s="152">
        <f>Calcs!CU448</f>
        <v>0</v>
      </c>
      <c r="V114" s="152">
        <f>Calcs!CV448</f>
        <v>0</v>
      </c>
      <c r="W114" s="152">
        <f>Calcs!CW448</f>
        <v>0</v>
      </c>
      <c r="X114" s="152">
        <f>Calcs!CX448</f>
        <v>0</v>
      </c>
      <c r="Y114" s="152">
        <f>Calcs!CY448</f>
        <v>0</v>
      </c>
      <c r="Z114" s="152">
        <f>Calcs!CZ448</f>
        <v>0</v>
      </c>
      <c r="AA114" s="152">
        <f>Calcs!DA448</f>
        <v>0</v>
      </c>
      <c r="AB114" s="152">
        <f>Calcs!DB448</f>
        <v>0</v>
      </c>
      <c r="AC114" s="152">
        <f>Calcs!DC448</f>
        <v>0</v>
      </c>
      <c r="AD114" s="152">
        <f>SUM(R114:AC114)</f>
        <v>0</v>
      </c>
      <c r="AE114" s="152">
        <f>Calcs!DD448</f>
        <v>0</v>
      </c>
      <c r="AF114" s="152">
        <f>Calcs!DE448</f>
        <v>0</v>
      </c>
      <c r="AG114" s="152">
        <f>Calcs!DF448</f>
        <v>0</v>
      </c>
      <c r="AH114" s="152">
        <f>Calcs!DG448</f>
        <v>0</v>
      </c>
      <c r="AI114" s="152">
        <f>Calcs!DH448</f>
        <v>0</v>
      </c>
      <c r="AJ114" s="152">
        <f>Calcs!DI448</f>
        <v>0</v>
      </c>
      <c r="AK114" s="152">
        <f>Calcs!DJ448</f>
        <v>0</v>
      </c>
      <c r="AL114" s="152">
        <f>Calcs!DK448</f>
        <v>0</v>
      </c>
      <c r="AM114" s="152">
        <f>Calcs!DL448</f>
        <v>0</v>
      </c>
      <c r="AN114" s="152">
        <f>Calcs!DM448</f>
        <v>0</v>
      </c>
      <c r="AO114" s="152">
        <f>Calcs!DN448</f>
        <v>0</v>
      </c>
      <c r="AP114" s="152">
        <f>Calcs!DO448</f>
        <v>0</v>
      </c>
      <c r="AQ114" s="152">
        <f>SUM(AE114:AP114)</f>
        <v>0</v>
      </c>
      <c r="AR114" s="152">
        <f>Calcs!DP448</f>
        <v>0</v>
      </c>
      <c r="AS114" s="152">
        <f>Calcs!DQ448</f>
        <v>0</v>
      </c>
      <c r="AT114" s="152">
        <f>Calcs!DR448</f>
        <v>0</v>
      </c>
      <c r="AU114" s="152">
        <f>Calcs!DS448</f>
        <v>0</v>
      </c>
      <c r="AV114" s="152">
        <f>Calcs!DT448</f>
        <v>0</v>
      </c>
      <c r="AW114" s="152">
        <f>Calcs!DU448</f>
        <v>0</v>
      </c>
      <c r="AX114" s="152">
        <f>Calcs!DV448</f>
        <v>0</v>
      </c>
      <c r="AY114" s="152">
        <f>Calcs!DW448</f>
        <v>0</v>
      </c>
      <c r="AZ114" s="152">
        <f>Calcs!DX448</f>
        <v>0</v>
      </c>
      <c r="BA114" s="152">
        <f>Calcs!DY448</f>
        <v>0</v>
      </c>
      <c r="BB114" s="152">
        <f>Calcs!DZ448</f>
        <v>0</v>
      </c>
      <c r="BC114" s="152">
        <f>Calcs!EA448</f>
        <v>0</v>
      </c>
      <c r="BD114" s="152">
        <f>SUM(AR114:BC114)</f>
        <v>0</v>
      </c>
      <c r="BE114" s="152">
        <f>Calcs!EB448</f>
        <v>0</v>
      </c>
      <c r="BF114" s="152">
        <f>Calcs!EC448</f>
        <v>0</v>
      </c>
      <c r="BG114" s="152">
        <f>Calcs!ED448</f>
        <v>0</v>
      </c>
      <c r="BH114" s="152">
        <f>Calcs!EE448</f>
        <v>0</v>
      </c>
      <c r="BI114" s="152">
        <f>Calcs!EF448</f>
        <v>0</v>
      </c>
      <c r="BJ114" s="152">
        <f>Calcs!EG448</f>
        <v>0</v>
      </c>
      <c r="BK114" s="152">
        <f>Calcs!EH448</f>
        <v>0</v>
      </c>
      <c r="BL114" s="152">
        <f>Calcs!EI448</f>
        <v>0</v>
      </c>
      <c r="BM114" s="152">
        <f>Calcs!EJ448</f>
        <v>0</v>
      </c>
      <c r="BN114" s="152">
        <f>Calcs!EK448</f>
        <v>0</v>
      </c>
      <c r="BO114" s="152">
        <f>Calcs!EL448</f>
        <v>0</v>
      </c>
      <c r="BP114" s="152">
        <f>Calcs!EM448</f>
        <v>0</v>
      </c>
      <c r="BQ114" s="152">
        <f>SUM(BE114:BP114)</f>
        <v>0</v>
      </c>
      <c r="BR114" s="1567"/>
      <c r="BS114" s="153">
        <f>SUM(BQ114,BD114,AQ114,AD114,Q114)</f>
        <v>0</v>
      </c>
      <c r="BT114" s="1567"/>
      <c r="BU114" s="171">
        <f>SUM(BQ114,BD114,AQ114,AD114,Q114)</f>
      </c>
      <c r="BV114" s="170">
        <f>Calcs!CE450</f>
        <v>0</v>
      </c>
      <c r="BW114" s="96">
        <f>SUM(Financials!E114:'Financials'!G114)</f>
        <v>0</v>
      </c>
      <c r="BX114" s="96">
        <f>SUM(Financials!H114:'Financials'!J114)</f>
        <v>0</v>
      </c>
      <c r="BY114" s="96">
        <f>SUM(Financials!K114:'Financials'!M114)</f>
        <v>0</v>
      </c>
      <c r="BZ114" s="172">
        <f>SUM(Financials!G114:'Financials'!I114)</f>
        <v>0</v>
      </c>
      <c r="CA114" s="152">
        <f>SUM(Financials!R114:'Financials'!T114)</f>
        <v>0</v>
      </c>
      <c r="CB114" s="152">
        <f>SUM(Financials!U114:'Financials'!W114)</f>
        <v>0</v>
      </c>
      <c r="CC114" s="152">
        <f>SUM(Financials!X114:'Financials'!Z114)</f>
        <v>0</v>
      </c>
      <c r="CD114" s="152">
        <f>SUM(Financials!AA114:'Financials'!AC114)</f>
        <v>0</v>
      </c>
      <c r="CE114" s="152">
        <f>SUM(Financials!AE114:'Financials'!AG114)</f>
        <v>0</v>
      </c>
      <c r="CF114" s="152">
        <f>SUM(Financials!AH114:'Financials'!AJ114)</f>
        <v>0</v>
      </c>
      <c r="CG114" s="152">
        <f>SUM(Financials!AK114:'Financials'!AM114)</f>
        <v>0</v>
      </c>
      <c r="CH114" s="152">
        <f>SUM(Financials!AN114:'Financials'!AP114)</f>
        <v>0</v>
      </c>
      <c r="CI114" s="152">
        <f>SUM(Financials!AR114:'Financials'!AT114)</f>
        <v>0</v>
      </c>
      <c r="CJ114" s="152">
        <f>SUM(Financials!AU114:'Financials'!AW114)</f>
        <v>0</v>
      </c>
      <c r="CK114" s="152">
        <f>SUM(Financials!AX114:'Financials'!AZ114)</f>
        <v>0</v>
      </c>
      <c r="CL114" s="152">
        <f>SUM(Financials!BA114:'Financials'!BC114)</f>
        <v>0</v>
      </c>
      <c r="CM114" s="152">
        <f>SUM(Financials!BE114:'Financials'!BG114)</f>
        <v>0</v>
      </c>
      <c r="CN114" s="152">
        <f>SUM(Financials!BH114:'Financials'!BJ114)</f>
        <v>0</v>
      </c>
      <c r="CO114" s="152">
        <f>SUM(Financials!BK114:'Financials'!BM114)</f>
        <v>0</v>
      </c>
      <c r="CP114" s="152">
        <f>SUM(Financials!BN114:'Financials'!BP114)</f>
        <v>0</v>
      </c>
      <c r="CY114" s="305"/>
      <c r="CZ114" s="305"/>
      <c r="DA114" s="305"/>
      <c r="DB114" s="305"/>
      <c r="DC114" s="305"/>
      <c r="DD114" s="305"/>
      <c r="DE114" s="305"/>
      <c r="DF114" s="305"/>
      <c r="DG114" s="305"/>
      <c r="DH114" s="305"/>
      <c r="DI114" s="305"/>
      <c r="DJ114" s="305"/>
      <c r="DK114" s="305"/>
      <c r="DL114" s="305"/>
      <c r="DM114" s="305"/>
      <c r="DN114" s="305"/>
      <c r="DO114" s="305"/>
      <c r="DP114" s="305"/>
      <c r="DQ114" s="305"/>
      <c r="DR114" s="305"/>
      <c r="DS114" s="305"/>
      <c r="DT114" s="305"/>
      <c r="DU114" s="305"/>
      <c r="DV114" s="305"/>
      <c r="DW114" s="305"/>
      <c r="DX114" s="305"/>
      <c r="DY114" s="305"/>
      <c r="DZ114" s="305"/>
      <c r="EA114" s="305"/>
      <c r="EB114" s="305"/>
      <c r="EC114" s="305"/>
      <c r="ED114" s="305"/>
      <c r="EE114" s="305"/>
      <c r="EF114" s="305"/>
      <c r="EG114" s="305"/>
      <c r="EH114" s="305"/>
      <c r="EI114" s="305"/>
      <c r="EJ114" s="305"/>
      <c r="EK114" s="305"/>
      <c r="EL114" s="305"/>
      <c r="EM114" s="305"/>
      <c r="EN114" s="305"/>
      <c r="EO114" s="305"/>
      <c r="EP114" s="305"/>
      <c r="EQ114" s="305"/>
      <c r="ER114" s="305"/>
      <c r="ES114" s="305"/>
      <c r="ET114" s="305"/>
      <c r="EU114" s="305"/>
      <c r="EV114" s="305"/>
      <c r="EW114" s="305"/>
      <c r="EX114" s="305"/>
      <c r="EY114" s="305"/>
      <c r="EZ114" s="305"/>
      <c r="FA114" s="305"/>
      <c r="FB114" s="305"/>
      <c r="FC114" s="305"/>
      <c r="FD114" s="305"/>
      <c r="FE114" s="305"/>
      <c r="FF114" s="305"/>
      <c r="FG114" s="305"/>
      <c r="FH114" s="305"/>
      <c r="FI114" s="305"/>
      <c r="FJ114" s="305"/>
    </row>
    <row r="115" spans="1:166" ht="12.75" hidden="1" customHeight="1" x14ac:dyDescent="0.35">
      <c r="A115" s="136"/>
      <c r="B115" s="136"/>
      <c r="C115" s="136"/>
      <c r="D115" s="172" t="str">
        <f>IF(Calcs!CE449=0,"TBD",Calcs!CE449)</f>
        <v>TBD</v>
      </c>
      <c r="E115" s="152">
        <f>Calcs!CF449</f>
        <v>0</v>
      </c>
      <c r="F115" s="152">
        <f>Calcs!CG449</f>
        <v>0</v>
      </c>
      <c r="G115" s="152">
        <f>Calcs!CH449</f>
        <v>0</v>
      </c>
      <c r="H115" s="152">
        <f>Calcs!CI449</f>
        <v>0</v>
      </c>
      <c r="I115" s="152">
        <f>Calcs!CJ449</f>
        <v>0</v>
      </c>
      <c r="J115" s="152">
        <f>Calcs!CK449</f>
        <v>0</v>
      </c>
      <c r="K115" s="152">
        <f>Calcs!CL449</f>
        <v>0</v>
      </c>
      <c r="L115" s="152">
        <f>Calcs!CM449</f>
        <v>0</v>
      </c>
      <c r="M115" s="152">
        <f>Calcs!CN449</f>
        <v>0</v>
      </c>
      <c r="N115" s="152">
        <f>Calcs!CO449</f>
        <v>0</v>
      </c>
      <c r="O115" s="152">
        <f>Calcs!CP449</f>
        <v>0</v>
      </c>
      <c r="P115" s="152">
        <f>Calcs!CQ449</f>
        <v>0</v>
      </c>
      <c r="Q115" s="151">
        <f>SUM(E115:P115)</f>
        <v>0</v>
      </c>
      <c r="R115" s="152">
        <f>Calcs!CR449</f>
        <v>0</v>
      </c>
      <c r="S115" s="152">
        <f>Calcs!CS449</f>
        <v>0</v>
      </c>
      <c r="T115" s="152">
        <f>Calcs!CT449</f>
        <v>0</v>
      </c>
      <c r="U115" s="152">
        <f>Calcs!CU449</f>
        <v>0</v>
      </c>
      <c r="V115" s="152">
        <f>Calcs!CV449</f>
        <v>0</v>
      </c>
      <c r="W115" s="152">
        <f>Calcs!CW449</f>
        <v>0</v>
      </c>
      <c r="X115" s="152">
        <f>Calcs!CX449</f>
        <v>0</v>
      </c>
      <c r="Y115" s="152">
        <f>Calcs!CY449</f>
        <v>0</v>
      </c>
      <c r="Z115" s="152">
        <f>Calcs!CZ449</f>
        <v>0</v>
      </c>
      <c r="AA115" s="152">
        <f>Calcs!DA449</f>
        <v>0</v>
      </c>
      <c r="AB115" s="152">
        <f>Calcs!DB449</f>
        <v>0</v>
      </c>
      <c r="AC115" s="152">
        <f>Calcs!DC449</f>
        <v>0</v>
      </c>
      <c r="AD115" s="152">
        <f>SUM(R115:AC115)</f>
        <v>0</v>
      </c>
      <c r="AE115" s="152">
        <f>Calcs!DD449</f>
        <v>0</v>
      </c>
      <c r="AF115" s="152">
        <f>Calcs!DE449</f>
        <v>0</v>
      </c>
      <c r="AG115" s="152">
        <f>Calcs!DF449</f>
        <v>0</v>
      </c>
      <c r="AH115" s="152">
        <f>Calcs!DG449</f>
        <v>0</v>
      </c>
      <c r="AI115" s="152">
        <f>Calcs!DH449</f>
        <v>0</v>
      </c>
      <c r="AJ115" s="152">
        <f>Calcs!DI449</f>
        <v>0</v>
      </c>
      <c r="AK115" s="152">
        <f>Calcs!DJ449</f>
        <v>0</v>
      </c>
      <c r="AL115" s="152">
        <f>Calcs!DK449</f>
        <v>0</v>
      </c>
      <c r="AM115" s="152">
        <f>Calcs!DL449</f>
        <v>0</v>
      </c>
      <c r="AN115" s="152">
        <f>Calcs!DM449</f>
        <v>0</v>
      </c>
      <c r="AO115" s="152">
        <f>Calcs!DN449</f>
        <v>0</v>
      </c>
      <c r="AP115" s="152">
        <f>Calcs!DO449</f>
        <v>0</v>
      </c>
      <c r="AQ115" s="152">
        <f>SUM(AE115:AP115)</f>
        <v>0</v>
      </c>
      <c r="AR115" s="152">
        <f>Calcs!DP449</f>
        <v>0</v>
      </c>
      <c r="AS115" s="152">
        <f>Calcs!DQ449</f>
        <v>0</v>
      </c>
      <c r="AT115" s="152">
        <f>Calcs!DR449</f>
        <v>0</v>
      </c>
      <c r="AU115" s="152">
        <f>Calcs!DS449</f>
        <v>0</v>
      </c>
      <c r="AV115" s="152">
        <f>Calcs!DT449</f>
        <v>0</v>
      </c>
      <c r="AW115" s="152">
        <f>Calcs!DU449</f>
        <v>0</v>
      </c>
      <c r="AX115" s="152">
        <f>Calcs!DV449</f>
        <v>0</v>
      </c>
      <c r="AY115" s="152">
        <f>Calcs!DW449</f>
        <v>0</v>
      </c>
      <c r="AZ115" s="152">
        <f>Calcs!DX449</f>
        <v>0</v>
      </c>
      <c r="BA115" s="152">
        <f>Calcs!DY449</f>
        <v>0</v>
      </c>
      <c r="BB115" s="152">
        <f>Calcs!DZ449</f>
        <v>0</v>
      </c>
      <c r="BC115" s="152">
        <f>Calcs!EA449</f>
        <v>0</v>
      </c>
      <c r="BD115" s="152">
        <f>SUM(AR115:BC115)</f>
        <v>0</v>
      </c>
      <c r="BE115" s="152">
        <f>Calcs!EB449</f>
        <v>0</v>
      </c>
      <c r="BF115" s="152">
        <f>Calcs!EC449</f>
        <v>0</v>
      </c>
      <c r="BG115" s="152">
        <f>Calcs!ED449</f>
        <v>0</v>
      </c>
      <c r="BH115" s="152">
        <f>Calcs!EE449</f>
        <v>0</v>
      </c>
      <c r="BI115" s="152">
        <f>Calcs!EF449</f>
        <v>0</v>
      </c>
      <c r="BJ115" s="152">
        <f>Calcs!EG449</f>
        <v>0</v>
      </c>
      <c r="BK115" s="152">
        <f>Calcs!EH449</f>
        <v>0</v>
      </c>
      <c r="BL115" s="152">
        <f>Calcs!EI449</f>
        <v>0</v>
      </c>
      <c r="BM115" s="152">
        <f>Calcs!EJ449</f>
        <v>0</v>
      </c>
      <c r="BN115" s="152">
        <f>Calcs!EK449</f>
        <v>0</v>
      </c>
      <c r="BO115" s="152">
        <f>Calcs!EL449</f>
        <v>0</v>
      </c>
      <c r="BP115" s="152">
        <f>Calcs!EM449</f>
        <v>0</v>
      </c>
      <c r="BQ115" s="152">
        <f>SUM(BE115:BP115)</f>
        <v>0</v>
      </c>
      <c r="BR115" s="1567"/>
      <c r="BS115" s="153">
        <f>SUM(BQ115,BD115,AQ115,AD115,Q115)</f>
        <v>0</v>
      </c>
      <c r="BT115" s="1567"/>
      <c r="BU115" s="171">
        <f>SUM(BQ115,BD115,AQ115,AD115,Q115)</f>
      </c>
      <c r="BV115" s="170">
        <f>Calcs!CE451</f>
        <v>0</v>
      </c>
      <c r="BW115" s="96">
        <f>SUM(Financials!E115:'Financials'!G115)</f>
        <v>0</v>
      </c>
      <c r="BX115" s="96">
        <f>SUM(Financials!H115:'Financials'!J115)</f>
        <v>0</v>
      </c>
      <c r="BY115" s="96">
        <f>SUM(Financials!K115:'Financials'!M115)</f>
        <v>0</v>
      </c>
      <c r="BZ115" s="172">
        <f>SUM(Financials!G115:'Financials'!I115)</f>
        <v>0</v>
      </c>
      <c r="CA115" s="152">
        <f>SUM(Financials!R115:'Financials'!T115)</f>
        <v>0</v>
      </c>
      <c r="CB115" s="152">
        <f>SUM(Financials!U115:'Financials'!W115)</f>
        <v>0</v>
      </c>
      <c r="CC115" s="152">
        <f>SUM(Financials!X115:'Financials'!Z115)</f>
        <v>0</v>
      </c>
      <c r="CD115" s="152">
        <f>SUM(Financials!AA115:'Financials'!AC115)</f>
        <v>0</v>
      </c>
      <c r="CE115" s="152">
        <f>SUM(Financials!AE115:'Financials'!AG115)</f>
        <v>0</v>
      </c>
      <c r="CF115" s="152">
        <f>SUM(Financials!AH115:'Financials'!AJ115)</f>
        <v>0</v>
      </c>
      <c r="CG115" s="152">
        <f>SUM(Financials!AK115:'Financials'!AM115)</f>
        <v>0</v>
      </c>
      <c r="CH115" s="152">
        <f>SUM(Financials!AN115:'Financials'!AP115)</f>
        <v>0</v>
      </c>
      <c r="CI115" s="152">
        <f>SUM(Financials!AR115:'Financials'!AT115)</f>
        <v>0</v>
      </c>
      <c r="CJ115" s="152">
        <f>SUM(Financials!AU115:'Financials'!AW115)</f>
        <v>0</v>
      </c>
      <c r="CK115" s="152">
        <f>SUM(Financials!AX115:'Financials'!AZ115)</f>
        <v>0</v>
      </c>
      <c r="CL115" s="152">
        <f>SUM(Financials!BA115:'Financials'!BC115)</f>
        <v>0</v>
      </c>
      <c r="CM115" s="152">
        <f>SUM(Financials!BE115:'Financials'!BG115)</f>
        <v>0</v>
      </c>
      <c r="CN115" s="152">
        <f>SUM(Financials!BH115:'Financials'!BJ115)</f>
        <v>0</v>
      </c>
      <c r="CO115" s="152">
        <f>SUM(Financials!BK115:'Financials'!BM115)</f>
        <v>0</v>
      </c>
      <c r="CP115" s="152">
        <f>SUM(Financials!BN115:'Financials'!BP115)</f>
        <v>0</v>
      </c>
      <c r="CY115" s="305"/>
      <c r="CZ115" s="305"/>
      <c r="DA115" s="305"/>
      <c r="DB115" s="305"/>
      <c r="DC115" s="305"/>
      <c r="DD115" s="305"/>
      <c r="DE115" s="305"/>
      <c r="DF115" s="305"/>
      <c r="DG115" s="305"/>
      <c r="DH115" s="305"/>
      <c r="DI115" s="305"/>
      <c r="DJ115" s="305"/>
      <c r="DK115" s="305"/>
      <c r="DL115" s="305"/>
      <c r="DM115" s="305"/>
      <c r="DN115" s="305"/>
      <c r="DO115" s="305"/>
      <c r="DP115" s="305"/>
      <c r="DQ115" s="305"/>
      <c r="DR115" s="305"/>
      <c r="DS115" s="305"/>
      <c r="DT115" s="305"/>
      <c r="DU115" s="305"/>
      <c r="DV115" s="305"/>
      <c r="DW115" s="305"/>
      <c r="DX115" s="305"/>
      <c r="DY115" s="305"/>
      <c r="DZ115" s="305"/>
      <c r="EA115" s="305"/>
      <c r="EB115" s="305"/>
      <c r="EC115" s="305"/>
      <c r="ED115" s="305"/>
      <c r="EE115" s="305"/>
      <c r="EF115" s="305"/>
      <c r="EG115" s="305"/>
      <c r="EH115" s="305"/>
      <c r="EI115" s="305"/>
      <c r="EJ115" s="305"/>
      <c r="EK115" s="305"/>
      <c r="EL115" s="305"/>
      <c r="EM115" s="305"/>
      <c r="EN115" s="305"/>
      <c r="EO115" s="305"/>
      <c r="EP115" s="305"/>
      <c r="EQ115" s="305"/>
      <c r="ER115" s="305"/>
      <c r="ES115" s="305"/>
      <c r="ET115" s="305"/>
      <c r="EU115" s="305"/>
      <c r="EV115" s="305"/>
      <c r="EW115" s="305"/>
      <c r="EX115" s="305"/>
      <c r="EY115" s="305"/>
      <c r="EZ115" s="305"/>
      <c r="FA115" s="305"/>
      <c r="FB115" s="305"/>
      <c r="FC115" s="305"/>
      <c r="FD115" s="305"/>
      <c r="FE115" s="305"/>
      <c r="FF115" s="305"/>
      <c r="FG115" s="305"/>
      <c r="FH115" s="305"/>
      <c r="FI115" s="305"/>
      <c r="FJ115" s="305"/>
    </row>
    <row r="116" spans="1:166" ht="12.75" hidden="1" customHeight="1" x14ac:dyDescent="0.35">
      <c r="A116" s="136"/>
      <c r="B116" s="136"/>
      <c r="C116" s="136"/>
      <c r="D116" s="172" t="str">
        <f>IF(Calcs!CE450=0,"TBD",Calcs!CE450)</f>
        <v>TBD</v>
      </c>
      <c r="E116" s="152">
        <f>Calcs!CF450</f>
        <v>0</v>
      </c>
      <c r="F116" s="152">
        <f>Calcs!CG450</f>
        <v>0</v>
      </c>
      <c r="G116" s="152">
        <f>Calcs!CH450</f>
        <v>0</v>
      </c>
      <c r="H116" s="152">
        <f>Calcs!CI450</f>
        <v>0</v>
      </c>
      <c r="I116" s="152">
        <f>Calcs!CJ450</f>
        <v>0</v>
      </c>
      <c r="J116" s="152">
        <f>Calcs!CK450</f>
        <v>0</v>
      </c>
      <c r="K116" s="152">
        <f>Calcs!CL450</f>
        <v>0</v>
      </c>
      <c r="L116" s="152">
        <f>Calcs!CM450</f>
        <v>0</v>
      </c>
      <c r="M116" s="152">
        <f>Calcs!CN450</f>
        <v>0</v>
      </c>
      <c r="N116" s="152">
        <f>Calcs!CO450</f>
        <v>0</v>
      </c>
      <c r="O116" s="152">
        <f>Calcs!CP450</f>
        <v>0</v>
      </c>
      <c r="P116" s="152">
        <f>Calcs!CQ450</f>
        <v>0</v>
      </c>
      <c r="Q116" s="151">
        <f>SUM(E116:P116)</f>
        <v>0</v>
      </c>
      <c r="R116" s="152">
        <f>Calcs!CR450</f>
        <v>0</v>
      </c>
      <c r="S116" s="152">
        <f>Calcs!CS450</f>
        <v>0</v>
      </c>
      <c r="T116" s="152">
        <f>Calcs!CT450</f>
        <v>0</v>
      </c>
      <c r="U116" s="152">
        <f>Calcs!CU450</f>
        <v>0</v>
      </c>
      <c r="V116" s="152">
        <f>Calcs!CV450</f>
        <v>0</v>
      </c>
      <c r="W116" s="152">
        <f>Calcs!CW450</f>
        <v>0</v>
      </c>
      <c r="X116" s="152">
        <f>Calcs!CX450</f>
        <v>0</v>
      </c>
      <c r="Y116" s="152">
        <f>Calcs!CY450</f>
        <v>0</v>
      </c>
      <c r="Z116" s="152">
        <f>Calcs!CZ450</f>
        <v>0</v>
      </c>
      <c r="AA116" s="152">
        <f>Calcs!DA450</f>
        <v>0</v>
      </c>
      <c r="AB116" s="152">
        <f>Calcs!DB450</f>
        <v>0</v>
      </c>
      <c r="AC116" s="152">
        <f>Calcs!DC450</f>
        <v>0</v>
      </c>
      <c r="AD116" s="152">
        <f>SUM(R116:AC116)</f>
        <v>0</v>
      </c>
      <c r="AE116" s="152">
        <f>Calcs!DD450</f>
        <v>0</v>
      </c>
      <c r="AF116" s="152">
        <f>Calcs!DE450</f>
        <v>0</v>
      </c>
      <c r="AG116" s="152">
        <f>Calcs!DF450</f>
        <v>0</v>
      </c>
      <c r="AH116" s="152">
        <f>Calcs!DG450</f>
        <v>0</v>
      </c>
      <c r="AI116" s="152">
        <f>Calcs!DH450</f>
        <v>0</v>
      </c>
      <c r="AJ116" s="152">
        <f>Calcs!DI450</f>
        <v>0</v>
      </c>
      <c r="AK116" s="152">
        <f>Calcs!DJ450</f>
        <v>0</v>
      </c>
      <c r="AL116" s="152">
        <f>Calcs!DK450</f>
        <v>0</v>
      </c>
      <c r="AM116" s="152">
        <f>Calcs!DL450</f>
        <v>0</v>
      </c>
      <c r="AN116" s="152">
        <f>Calcs!DM450</f>
        <v>0</v>
      </c>
      <c r="AO116" s="152">
        <f>Calcs!DN450</f>
        <v>0</v>
      </c>
      <c r="AP116" s="152">
        <f>Calcs!DO450</f>
        <v>0</v>
      </c>
      <c r="AQ116" s="152">
        <f>SUM(AE116:AP116)</f>
        <v>0</v>
      </c>
      <c r="AR116" s="152">
        <f>Calcs!DP450</f>
        <v>0</v>
      </c>
      <c r="AS116" s="152">
        <f>Calcs!DQ450</f>
        <v>0</v>
      </c>
      <c r="AT116" s="152">
        <f>Calcs!DR450</f>
        <v>0</v>
      </c>
      <c r="AU116" s="152">
        <f>Calcs!DS450</f>
        <v>0</v>
      </c>
      <c r="AV116" s="152">
        <f>Calcs!DT450</f>
        <v>0</v>
      </c>
      <c r="AW116" s="152">
        <f>Calcs!DU450</f>
        <v>0</v>
      </c>
      <c r="AX116" s="152">
        <f>Calcs!DV450</f>
        <v>0</v>
      </c>
      <c r="AY116" s="152">
        <f>Calcs!DW450</f>
        <v>0</v>
      </c>
      <c r="AZ116" s="152">
        <f>Calcs!DX450</f>
        <v>0</v>
      </c>
      <c r="BA116" s="152">
        <f>Calcs!DY450</f>
        <v>0</v>
      </c>
      <c r="BB116" s="152">
        <f>Calcs!DZ450</f>
        <v>0</v>
      </c>
      <c r="BC116" s="152">
        <f>Calcs!EA450</f>
        <v>0</v>
      </c>
      <c r="BD116" s="152">
        <f>SUM(AR116:BC116)</f>
        <v>0</v>
      </c>
      <c r="BE116" s="152">
        <f>Calcs!EB450</f>
        <v>0</v>
      </c>
      <c r="BF116" s="152">
        <f>Calcs!EC450</f>
        <v>0</v>
      </c>
      <c r="BG116" s="152">
        <f>Calcs!ED450</f>
        <v>0</v>
      </c>
      <c r="BH116" s="152">
        <f>Calcs!EE450</f>
        <v>0</v>
      </c>
      <c r="BI116" s="152">
        <f>Calcs!EF450</f>
        <v>0</v>
      </c>
      <c r="BJ116" s="152">
        <f>Calcs!EG450</f>
        <v>0</v>
      </c>
      <c r="BK116" s="152">
        <f>Calcs!EH450</f>
        <v>0</v>
      </c>
      <c r="BL116" s="152">
        <f>Calcs!EI450</f>
        <v>0</v>
      </c>
      <c r="BM116" s="152">
        <f>Calcs!EJ450</f>
        <v>0</v>
      </c>
      <c r="BN116" s="152">
        <f>Calcs!EK450</f>
        <v>0</v>
      </c>
      <c r="BO116" s="152">
        <f>Calcs!EL450</f>
        <v>0</v>
      </c>
      <c r="BP116" s="152">
        <f>Calcs!EM450</f>
        <v>0</v>
      </c>
      <c r="BQ116" s="152">
        <f>SUM(BE116:BP116)</f>
        <v>0</v>
      </c>
      <c r="BR116" s="1567"/>
      <c r="BS116" s="153">
        <f>SUM(BQ116,BD116,AQ116,AD116,Q116)</f>
        <v>0</v>
      </c>
      <c r="BT116" s="1567"/>
      <c r="BU116" s="171">
        <f>SUM(BQ116,BD116,AQ116,AD116,Q116)</f>
      </c>
      <c r="BV116" s="170">
        <f>Calcs!CE452</f>
        <v>0</v>
      </c>
      <c r="BW116" s="96">
        <f>SUM(Financials!E116:'Financials'!G116)</f>
        <v>0</v>
      </c>
      <c r="BX116" s="96">
        <f>SUM(Financials!H116:'Financials'!J116)</f>
        <v>0</v>
      </c>
      <c r="BY116" s="96">
        <f>SUM(Financials!K116:'Financials'!M116)</f>
        <v>0</v>
      </c>
      <c r="BZ116" s="172">
        <f>SUM(Financials!G116:'Financials'!I116)</f>
        <v>0</v>
      </c>
      <c r="CA116" s="152">
        <f>SUM(Financials!R116:'Financials'!T116)</f>
        <v>0</v>
      </c>
      <c r="CB116" s="152">
        <f>SUM(Financials!U116:'Financials'!W116)</f>
        <v>0</v>
      </c>
      <c r="CC116" s="152">
        <f>SUM(Financials!X116:'Financials'!Z116)</f>
        <v>0</v>
      </c>
      <c r="CD116" s="152">
        <f>SUM(Financials!AA116:'Financials'!AC116)</f>
        <v>0</v>
      </c>
      <c r="CE116" s="152">
        <f>SUM(Financials!AE116:'Financials'!AG116)</f>
        <v>0</v>
      </c>
      <c r="CF116" s="152">
        <f>SUM(Financials!AH116:'Financials'!AJ116)</f>
        <v>0</v>
      </c>
      <c r="CG116" s="152">
        <f>SUM(Financials!AK116:'Financials'!AM116)</f>
        <v>0</v>
      </c>
      <c r="CH116" s="152">
        <f>SUM(Financials!AN116:'Financials'!AP116)</f>
        <v>0</v>
      </c>
      <c r="CI116" s="152">
        <f>SUM(Financials!AR116:'Financials'!AT116)</f>
        <v>0</v>
      </c>
      <c r="CJ116" s="152">
        <f>SUM(Financials!AU116:'Financials'!AW116)</f>
        <v>0</v>
      </c>
      <c r="CK116" s="152">
        <f>SUM(Financials!AX116:'Financials'!AZ116)</f>
        <v>0</v>
      </c>
      <c r="CL116" s="152">
        <f>SUM(Financials!BA116:'Financials'!BC116)</f>
        <v>0</v>
      </c>
      <c r="CM116" s="152">
        <f>SUM(Financials!BE116:'Financials'!BG116)</f>
        <v>0</v>
      </c>
      <c r="CN116" s="152">
        <f>SUM(Financials!BH116:'Financials'!BJ116)</f>
        <v>0</v>
      </c>
      <c r="CO116" s="152">
        <f>SUM(Financials!BK116:'Financials'!BM116)</f>
        <v>0</v>
      </c>
      <c r="CP116" s="152">
        <f>SUM(Financials!BN116:'Financials'!BP116)</f>
        <v>0</v>
      </c>
      <c r="CY116" s="305"/>
      <c r="CZ116" s="305"/>
      <c r="DA116" s="305"/>
      <c r="DB116" s="305"/>
      <c r="DC116" s="305"/>
      <c r="DD116" s="305"/>
      <c r="DE116" s="305"/>
      <c r="DF116" s="305"/>
      <c r="DG116" s="305"/>
      <c r="DH116" s="305"/>
      <c r="DI116" s="305"/>
      <c r="DJ116" s="305"/>
      <c r="DK116" s="305"/>
      <c r="DL116" s="305"/>
      <c r="DM116" s="305"/>
      <c r="DN116" s="305"/>
      <c r="DO116" s="305"/>
      <c r="DP116" s="305"/>
      <c r="DQ116" s="305"/>
      <c r="DR116" s="305"/>
      <c r="DS116" s="305"/>
      <c r="DT116" s="305"/>
      <c r="DU116" s="305"/>
      <c r="DV116" s="305"/>
      <c r="DW116" s="305"/>
      <c r="DX116" s="305"/>
      <c r="DY116" s="305"/>
      <c r="DZ116" s="305"/>
      <c r="EA116" s="305"/>
      <c r="EB116" s="305"/>
      <c r="EC116" s="305"/>
      <c r="ED116" s="305"/>
      <c r="EE116" s="305"/>
      <c r="EF116" s="305"/>
      <c r="EG116" s="305"/>
      <c r="EH116" s="305"/>
      <c r="EI116" s="305"/>
      <c r="EJ116" s="305"/>
      <c r="EK116" s="305"/>
      <c r="EL116" s="305"/>
      <c r="EM116" s="305"/>
      <c r="EN116" s="305"/>
      <c r="EO116" s="305"/>
      <c r="EP116" s="305"/>
      <c r="EQ116" s="305"/>
      <c r="ER116" s="305"/>
      <c r="ES116" s="305"/>
      <c r="ET116" s="305"/>
      <c r="EU116" s="305"/>
      <c r="EV116" s="305"/>
      <c r="EW116" s="305"/>
      <c r="EX116" s="305"/>
      <c r="EY116" s="305"/>
      <c r="EZ116" s="305"/>
      <c r="FA116" s="305"/>
      <c r="FB116" s="305"/>
      <c r="FC116" s="305"/>
      <c r="FD116" s="305"/>
      <c r="FE116" s="305"/>
      <c r="FF116" s="305"/>
      <c r="FG116" s="305"/>
      <c r="FH116" s="305"/>
      <c r="FI116" s="305"/>
      <c r="FJ116" s="305"/>
    </row>
    <row r="117" spans="1:166" ht="12.75" hidden="1" customHeight="1" x14ac:dyDescent="0.35">
      <c r="A117" s="136"/>
      <c r="B117" s="136"/>
      <c r="C117" s="136"/>
      <c r="D117" s="172" t="str">
        <f>IF(Calcs!CE451=0,"TBD",Calcs!CE451)</f>
        <v>TBD</v>
      </c>
      <c r="E117" s="152">
        <f>Calcs!CF451</f>
        <v>0</v>
      </c>
      <c r="F117" s="152">
        <f>Calcs!CG451</f>
        <v>0</v>
      </c>
      <c r="G117" s="152">
        <f>Calcs!CH451</f>
        <v>0</v>
      </c>
      <c r="H117" s="152">
        <f>Calcs!CI451</f>
        <v>0</v>
      </c>
      <c r="I117" s="152">
        <f>Calcs!CJ451</f>
        <v>0</v>
      </c>
      <c r="J117" s="152">
        <f>Calcs!CK451</f>
        <v>0</v>
      </c>
      <c r="K117" s="152">
        <f>Calcs!CL451</f>
        <v>0</v>
      </c>
      <c r="L117" s="152">
        <f>Calcs!CM451</f>
        <v>0</v>
      </c>
      <c r="M117" s="152">
        <f>Calcs!CN451</f>
        <v>0</v>
      </c>
      <c r="N117" s="152">
        <f>Calcs!CO451</f>
        <v>0</v>
      </c>
      <c r="O117" s="152">
        <f>Calcs!CP451</f>
        <v>0</v>
      </c>
      <c r="P117" s="152">
        <f>Calcs!CQ451</f>
        <v>0</v>
      </c>
      <c r="Q117" s="151">
        <f>SUM(E117:P117)</f>
        <v>0</v>
      </c>
      <c r="R117" s="152">
        <f>Calcs!CR451</f>
        <v>0</v>
      </c>
      <c r="S117" s="152">
        <f>Calcs!CS451</f>
        <v>0</v>
      </c>
      <c r="T117" s="152">
        <f>Calcs!CT451</f>
        <v>0</v>
      </c>
      <c r="U117" s="152">
        <f>Calcs!CU451</f>
        <v>0</v>
      </c>
      <c r="V117" s="152">
        <f>Calcs!CV451</f>
        <v>0</v>
      </c>
      <c r="W117" s="152">
        <f>Calcs!CW451</f>
        <v>0</v>
      </c>
      <c r="X117" s="152">
        <f>Calcs!CX451</f>
        <v>0</v>
      </c>
      <c r="Y117" s="152">
        <f>Calcs!CY451</f>
        <v>0</v>
      </c>
      <c r="Z117" s="152">
        <f>Calcs!CZ451</f>
        <v>0</v>
      </c>
      <c r="AA117" s="152">
        <f>Calcs!DA451</f>
        <v>0</v>
      </c>
      <c r="AB117" s="152">
        <f>Calcs!DB451</f>
        <v>0</v>
      </c>
      <c r="AC117" s="152">
        <f>Calcs!DC451</f>
        <v>0</v>
      </c>
      <c r="AD117" s="152">
        <f>SUM(R117:AC117)</f>
        <v>0</v>
      </c>
      <c r="AE117" s="152">
        <f>Calcs!DD451</f>
        <v>0</v>
      </c>
      <c r="AF117" s="152">
        <f>Calcs!DE451</f>
        <v>0</v>
      </c>
      <c r="AG117" s="152">
        <f>Calcs!DF451</f>
        <v>0</v>
      </c>
      <c r="AH117" s="152">
        <f>Calcs!DG451</f>
        <v>0</v>
      </c>
      <c r="AI117" s="152">
        <f>Calcs!DH451</f>
        <v>0</v>
      </c>
      <c r="AJ117" s="152">
        <f>Calcs!DI451</f>
        <v>0</v>
      </c>
      <c r="AK117" s="152">
        <f>Calcs!DJ451</f>
        <v>0</v>
      </c>
      <c r="AL117" s="152">
        <f>Calcs!DK451</f>
        <v>0</v>
      </c>
      <c r="AM117" s="152">
        <f>Calcs!DL451</f>
        <v>0</v>
      </c>
      <c r="AN117" s="152">
        <f>Calcs!DM451</f>
        <v>0</v>
      </c>
      <c r="AO117" s="152">
        <f>Calcs!DN451</f>
        <v>0</v>
      </c>
      <c r="AP117" s="152">
        <f>Calcs!DO451</f>
        <v>0</v>
      </c>
      <c r="AQ117" s="152">
        <f>SUM(AE117:AP117)</f>
        <v>0</v>
      </c>
      <c r="AR117" s="152">
        <f>Calcs!DP451</f>
        <v>0</v>
      </c>
      <c r="AS117" s="152">
        <f>Calcs!DQ451</f>
        <v>0</v>
      </c>
      <c r="AT117" s="152">
        <f>Calcs!DR451</f>
        <v>0</v>
      </c>
      <c r="AU117" s="152">
        <f>Calcs!DS451</f>
        <v>0</v>
      </c>
      <c r="AV117" s="152">
        <f>Calcs!DT451</f>
        <v>0</v>
      </c>
      <c r="AW117" s="152">
        <f>Calcs!DU451</f>
        <v>0</v>
      </c>
      <c r="AX117" s="152">
        <f>Calcs!DV451</f>
        <v>0</v>
      </c>
      <c r="AY117" s="152">
        <f>Calcs!DW451</f>
        <v>0</v>
      </c>
      <c r="AZ117" s="152">
        <f>Calcs!DX451</f>
        <v>0</v>
      </c>
      <c r="BA117" s="152">
        <f>Calcs!DY451</f>
        <v>0</v>
      </c>
      <c r="BB117" s="152">
        <f>Calcs!DZ451</f>
        <v>0</v>
      </c>
      <c r="BC117" s="152">
        <f>Calcs!EA451</f>
        <v>0</v>
      </c>
      <c r="BD117" s="152">
        <f>SUM(AR117:BC117)</f>
        <v>0</v>
      </c>
      <c r="BE117" s="152">
        <f>Calcs!EB451</f>
        <v>0</v>
      </c>
      <c r="BF117" s="152">
        <f>Calcs!EC451</f>
        <v>0</v>
      </c>
      <c r="BG117" s="152">
        <f>Calcs!ED451</f>
        <v>0</v>
      </c>
      <c r="BH117" s="152">
        <f>Calcs!EE451</f>
        <v>0</v>
      </c>
      <c r="BI117" s="152">
        <f>Calcs!EF451</f>
        <v>0</v>
      </c>
      <c r="BJ117" s="152">
        <f>Calcs!EG451</f>
        <v>0</v>
      </c>
      <c r="BK117" s="152">
        <f>Calcs!EH451</f>
        <v>0</v>
      </c>
      <c r="BL117" s="152">
        <f>Calcs!EI451</f>
        <v>0</v>
      </c>
      <c r="BM117" s="152">
        <f>Calcs!EJ451</f>
        <v>0</v>
      </c>
      <c r="BN117" s="152">
        <f>Calcs!EK451</f>
        <v>0</v>
      </c>
      <c r="BO117" s="152">
        <f>Calcs!EL451</f>
        <v>0</v>
      </c>
      <c r="BP117" s="152">
        <f>Calcs!EM451</f>
        <v>0</v>
      </c>
      <c r="BQ117" s="152">
        <f>SUM(BE117:BP117)</f>
        <v>0</v>
      </c>
      <c r="BR117" s="1567"/>
      <c r="BS117" s="153">
        <f>SUM(BQ117,BD117,AQ117,AD117,Q117)</f>
        <v>0</v>
      </c>
      <c r="BT117" s="1567"/>
      <c r="BU117" s="171">
        <f>SUM(BQ117,BD117,AQ117,AD117,Q117)</f>
      </c>
      <c r="BV117" s="170">
        <f>Calcs!CE453</f>
        <v>0</v>
      </c>
      <c r="BW117" s="96">
        <f>SUM(Financials!E117:'Financials'!G117)</f>
        <v>0</v>
      </c>
      <c r="BX117" s="96">
        <f>SUM(Financials!H117:'Financials'!J117)</f>
        <v>0</v>
      </c>
      <c r="BY117" s="96">
        <f>SUM(Financials!K117:'Financials'!M117)</f>
        <v>0</v>
      </c>
      <c r="BZ117" s="172">
        <f>SUM(Financials!G117:'Financials'!I117)</f>
        <v>0</v>
      </c>
      <c r="CA117" s="152">
        <f>SUM(Financials!R117:'Financials'!T117)</f>
        <v>0</v>
      </c>
      <c r="CB117" s="152">
        <f>SUM(Financials!U117:'Financials'!W117)</f>
        <v>0</v>
      </c>
      <c r="CC117" s="152">
        <f>SUM(Financials!X117:'Financials'!Z117)</f>
        <v>0</v>
      </c>
      <c r="CD117" s="152">
        <f>SUM(Financials!AA117:'Financials'!AC117)</f>
        <v>0</v>
      </c>
      <c r="CE117" s="152">
        <f>SUM(Financials!AE117:'Financials'!AG117)</f>
        <v>0</v>
      </c>
      <c r="CF117" s="152">
        <f>SUM(Financials!AH117:'Financials'!AJ117)</f>
        <v>0</v>
      </c>
      <c r="CG117" s="152">
        <f>SUM(Financials!AK117:'Financials'!AM117)</f>
        <v>0</v>
      </c>
      <c r="CH117" s="152">
        <f>SUM(Financials!AN117:'Financials'!AP117)</f>
        <v>0</v>
      </c>
      <c r="CI117" s="152">
        <f>SUM(Financials!AR117:'Financials'!AT117)</f>
        <v>0</v>
      </c>
      <c r="CJ117" s="152">
        <f>SUM(Financials!AU117:'Financials'!AW117)</f>
        <v>0</v>
      </c>
      <c r="CK117" s="152">
        <f>SUM(Financials!AX117:'Financials'!AZ117)</f>
        <v>0</v>
      </c>
      <c r="CL117" s="152">
        <f>SUM(Financials!BA117:'Financials'!BC117)</f>
        <v>0</v>
      </c>
      <c r="CM117" s="152">
        <f>SUM(Financials!BE117:'Financials'!BG117)</f>
        <v>0</v>
      </c>
      <c r="CN117" s="152">
        <f>SUM(Financials!BH117:'Financials'!BJ117)</f>
        <v>0</v>
      </c>
      <c r="CO117" s="152">
        <f>SUM(Financials!BK117:'Financials'!BM117)</f>
        <v>0</v>
      </c>
      <c r="CP117" s="152">
        <f>SUM(Financials!BN117:'Financials'!BP117)</f>
        <v>0</v>
      </c>
      <c r="CY117" s="305"/>
      <c r="CZ117" s="305"/>
      <c r="DA117" s="305"/>
      <c r="DB117" s="305"/>
      <c r="DC117" s="305"/>
      <c r="DD117" s="305"/>
      <c r="DE117" s="305"/>
      <c r="DF117" s="305"/>
      <c r="DG117" s="305"/>
      <c r="DH117" s="305"/>
      <c r="DI117" s="305"/>
      <c r="DJ117" s="305"/>
      <c r="DK117" s="305"/>
      <c r="DL117" s="305"/>
      <c r="DM117" s="305"/>
      <c r="DN117" s="305"/>
      <c r="DO117" s="305"/>
      <c r="DP117" s="305"/>
      <c r="DQ117" s="305"/>
      <c r="DR117" s="305"/>
      <c r="DS117" s="305"/>
      <c r="DT117" s="305"/>
      <c r="DU117" s="305"/>
      <c r="DV117" s="305"/>
      <c r="DW117" s="305"/>
      <c r="DX117" s="305"/>
      <c r="DY117" s="305"/>
      <c r="DZ117" s="305"/>
      <c r="EA117" s="305"/>
      <c r="EB117" s="305"/>
      <c r="EC117" s="305"/>
      <c r="ED117" s="305"/>
      <c r="EE117" s="305"/>
      <c r="EF117" s="305"/>
      <c r="EG117" s="305"/>
      <c r="EH117" s="305"/>
      <c r="EI117" s="305"/>
      <c r="EJ117" s="305"/>
      <c r="EK117" s="305"/>
      <c r="EL117" s="305"/>
      <c r="EM117" s="305"/>
      <c r="EN117" s="305"/>
      <c r="EO117" s="305"/>
      <c r="EP117" s="305"/>
      <c r="EQ117" s="305"/>
      <c r="ER117" s="305"/>
      <c r="ES117" s="305"/>
      <c r="ET117" s="305"/>
      <c r="EU117" s="305"/>
      <c r="EV117" s="305"/>
      <c r="EW117" s="305"/>
      <c r="EX117" s="305"/>
      <c r="EY117" s="305"/>
      <c r="EZ117" s="305"/>
      <c r="FA117" s="305"/>
      <c r="FB117" s="305"/>
      <c r="FC117" s="305"/>
      <c r="FD117" s="305"/>
      <c r="FE117" s="305"/>
      <c r="FF117" s="305"/>
      <c r="FG117" s="305"/>
      <c r="FH117" s="305"/>
      <c r="FI117" s="305"/>
      <c r="FJ117" s="305"/>
    </row>
    <row r="118" spans="1:166" ht="12.75" hidden="1" customHeight="1" x14ac:dyDescent="0.35">
      <c r="A118" s="136"/>
      <c r="B118" s="136"/>
      <c r="C118" s="136"/>
      <c r="D118" s="172" t="str">
        <f>IF(Calcs!CE452=0,"TBD",Calcs!CE452)</f>
        <v>TBD</v>
      </c>
      <c r="E118" s="152">
        <f>Calcs!CF452</f>
        <v>0</v>
      </c>
      <c r="F118" s="152">
        <f>Calcs!CG452</f>
        <v>0</v>
      </c>
      <c r="G118" s="152">
        <f>Calcs!CH452</f>
        <v>0</v>
      </c>
      <c r="H118" s="152">
        <f>Calcs!CI452</f>
        <v>0</v>
      </c>
      <c r="I118" s="152">
        <f>Calcs!CJ452</f>
        <v>0</v>
      </c>
      <c r="J118" s="152">
        <f>Calcs!CK452</f>
        <v>0</v>
      </c>
      <c r="K118" s="152">
        <f>Calcs!CL452</f>
        <v>0</v>
      </c>
      <c r="L118" s="152">
        <f>Calcs!CM452</f>
        <v>0</v>
      </c>
      <c r="M118" s="152">
        <f>Calcs!CN452</f>
        <v>0</v>
      </c>
      <c r="N118" s="152">
        <f>Calcs!CO452</f>
        <v>0</v>
      </c>
      <c r="O118" s="152">
        <f>Calcs!CP452</f>
        <v>0</v>
      </c>
      <c r="P118" s="152">
        <f>Calcs!CQ452</f>
        <v>0</v>
      </c>
      <c r="Q118" s="151">
        <f>SUM(E118:P118)</f>
        <v>0</v>
      </c>
      <c r="R118" s="152">
        <f>Calcs!CR452</f>
        <v>0</v>
      </c>
      <c r="S118" s="152">
        <f>Calcs!CS452</f>
        <v>0</v>
      </c>
      <c r="T118" s="152">
        <f>Calcs!CT452</f>
        <v>0</v>
      </c>
      <c r="U118" s="152">
        <f>Calcs!CU452</f>
        <v>0</v>
      </c>
      <c r="V118" s="152">
        <f>Calcs!CV452</f>
        <v>0</v>
      </c>
      <c r="W118" s="152">
        <f>Calcs!CW452</f>
        <v>0</v>
      </c>
      <c r="X118" s="152">
        <f>Calcs!CX452</f>
        <v>0</v>
      </c>
      <c r="Y118" s="152">
        <f>Calcs!CY452</f>
        <v>0</v>
      </c>
      <c r="Z118" s="152">
        <f>Calcs!CZ452</f>
        <v>0</v>
      </c>
      <c r="AA118" s="152">
        <f>Calcs!DA452</f>
        <v>0</v>
      </c>
      <c r="AB118" s="152">
        <f>Calcs!DB452</f>
        <v>0</v>
      </c>
      <c r="AC118" s="152">
        <f>Calcs!DC452</f>
        <v>0</v>
      </c>
      <c r="AD118" s="152">
        <f>SUM(R118:AC118)</f>
        <v>0</v>
      </c>
      <c r="AE118" s="152">
        <f>Calcs!DD452</f>
        <v>0</v>
      </c>
      <c r="AF118" s="152">
        <f>Calcs!DE452</f>
        <v>0</v>
      </c>
      <c r="AG118" s="152">
        <f>Calcs!DF452</f>
        <v>0</v>
      </c>
      <c r="AH118" s="152">
        <f>Calcs!DG452</f>
        <v>0</v>
      </c>
      <c r="AI118" s="152">
        <f>Calcs!DH452</f>
        <v>0</v>
      </c>
      <c r="AJ118" s="152">
        <f>Calcs!DI452</f>
        <v>0</v>
      </c>
      <c r="AK118" s="152">
        <f>Calcs!DJ452</f>
        <v>0</v>
      </c>
      <c r="AL118" s="152">
        <f>Calcs!DK452</f>
        <v>0</v>
      </c>
      <c r="AM118" s="152">
        <f>Calcs!DL452</f>
        <v>0</v>
      </c>
      <c r="AN118" s="152">
        <f>Calcs!DM452</f>
        <v>0</v>
      </c>
      <c r="AO118" s="152">
        <f>Calcs!DN452</f>
        <v>0</v>
      </c>
      <c r="AP118" s="152">
        <f>Calcs!DO452</f>
        <v>0</v>
      </c>
      <c r="AQ118" s="152">
        <f>SUM(AE118:AP118)</f>
        <v>0</v>
      </c>
      <c r="AR118" s="152">
        <f>Calcs!DP452</f>
        <v>0</v>
      </c>
      <c r="AS118" s="152">
        <f>Calcs!DQ452</f>
        <v>0</v>
      </c>
      <c r="AT118" s="152">
        <f>Calcs!DR452</f>
        <v>0</v>
      </c>
      <c r="AU118" s="152">
        <f>Calcs!DS452</f>
        <v>0</v>
      </c>
      <c r="AV118" s="152">
        <f>Calcs!DT452</f>
        <v>0</v>
      </c>
      <c r="AW118" s="152">
        <f>Calcs!DU452</f>
        <v>0</v>
      </c>
      <c r="AX118" s="152">
        <f>Calcs!DV452</f>
        <v>0</v>
      </c>
      <c r="AY118" s="152">
        <f>Calcs!DW452</f>
        <v>0</v>
      </c>
      <c r="AZ118" s="152">
        <f>Calcs!DX452</f>
        <v>0</v>
      </c>
      <c r="BA118" s="152">
        <f>Calcs!DY452</f>
        <v>0</v>
      </c>
      <c r="BB118" s="152">
        <f>Calcs!DZ452</f>
        <v>0</v>
      </c>
      <c r="BC118" s="152">
        <f>Calcs!EA452</f>
        <v>0</v>
      </c>
      <c r="BD118" s="152">
        <f>SUM(AR118:BC118)</f>
        <v>0</v>
      </c>
      <c r="BE118" s="152">
        <f>Calcs!EB452</f>
        <v>0</v>
      </c>
      <c r="BF118" s="152">
        <f>Calcs!EC452</f>
        <v>0</v>
      </c>
      <c r="BG118" s="152">
        <f>Calcs!ED452</f>
        <v>0</v>
      </c>
      <c r="BH118" s="152">
        <f>Calcs!EE452</f>
        <v>0</v>
      </c>
      <c r="BI118" s="152">
        <f>Calcs!EF452</f>
        <v>0</v>
      </c>
      <c r="BJ118" s="152">
        <f>Calcs!EG452</f>
        <v>0</v>
      </c>
      <c r="BK118" s="152">
        <f>Calcs!EH452</f>
        <v>0</v>
      </c>
      <c r="BL118" s="152">
        <f>Calcs!EI452</f>
        <v>0</v>
      </c>
      <c r="BM118" s="152">
        <f>Calcs!EJ452</f>
        <v>0</v>
      </c>
      <c r="BN118" s="152">
        <f>Calcs!EK452</f>
        <v>0</v>
      </c>
      <c r="BO118" s="152">
        <f>Calcs!EL452</f>
        <v>0</v>
      </c>
      <c r="BP118" s="152">
        <f>Calcs!EM452</f>
        <v>0</v>
      </c>
      <c r="BQ118" s="152">
        <f>SUM(BE118:BP118)</f>
        <v>0</v>
      </c>
      <c r="BR118" s="1567"/>
      <c r="BS118" s="153">
        <f>SUM(BQ118,BD118,AQ118,AD118,Q118)</f>
        <v>0</v>
      </c>
      <c r="BT118" s="1567"/>
      <c r="BU118" s="171">
        <f>SUM(BQ118,BD118,AQ118,AD118,Q118)</f>
      </c>
      <c r="BV118" s="170">
        <f>Calcs!CE454</f>
        <v>0</v>
      </c>
      <c r="BW118" s="96">
        <f>SUM(Financials!E118:'Financials'!G118)</f>
        <v>0</v>
      </c>
      <c r="BX118" s="96">
        <f>SUM(Financials!H118:'Financials'!J118)</f>
        <v>0</v>
      </c>
      <c r="BY118" s="96">
        <f>SUM(Financials!K118:'Financials'!M118)</f>
        <v>0</v>
      </c>
      <c r="BZ118" s="172">
        <f>SUM(Financials!G118:'Financials'!I118)</f>
        <v>0</v>
      </c>
      <c r="CA118" s="152">
        <f>SUM(Financials!R118:'Financials'!T118)</f>
        <v>0</v>
      </c>
      <c r="CB118" s="152">
        <f>SUM(Financials!U118:'Financials'!W118)</f>
        <v>0</v>
      </c>
      <c r="CC118" s="152">
        <f>SUM(Financials!X118:'Financials'!Z118)</f>
        <v>0</v>
      </c>
      <c r="CD118" s="152">
        <f>SUM(Financials!AA118:'Financials'!AC118)</f>
        <v>0</v>
      </c>
      <c r="CE118" s="152">
        <f>SUM(Financials!AE118:'Financials'!AG118)</f>
        <v>0</v>
      </c>
      <c r="CF118" s="152">
        <f>SUM(Financials!AH118:'Financials'!AJ118)</f>
        <v>0</v>
      </c>
      <c r="CG118" s="152">
        <f>SUM(Financials!AK118:'Financials'!AM118)</f>
        <v>0</v>
      </c>
      <c r="CH118" s="152">
        <f>SUM(Financials!AN118:'Financials'!AP118)</f>
        <v>0</v>
      </c>
      <c r="CI118" s="152">
        <f>SUM(Financials!AR118:'Financials'!AT118)</f>
        <v>0</v>
      </c>
      <c r="CJ118" s="152">
        <f>SUM(Financials!AU118:'Financials'!AW118)</f>
        <v>0</v>
      </c>
      <c r="CK118" s="152">
        <f>SUM(Financials!AX118:'Financials'!AZ118)</f>
        <v>0</v>
      </c>
      <c r="CL118" s="152">
        <f>SUM(Financials!BA118:'Financials'!BC118)</f>
        <v>0</v>
      </c>
      <c r="CM118" s="152">
        <f>SUM(Financials!BE118:'Financials'!BG118)</f>
        <v>0</v>
      </c>
      <c r="CN118" s="152">
        <f>SUM(Financials!BH118:'Financials'!BJ118)</f>
        <v>0</v>
      </c>
      <c r="CO118" s="152">
        <f>SUM(Financials!BK118:'Financials'!BM118)</f>
        <v>0</v>
      </c>
      <c r="CP118" s="152">
        <f>SUM(Financials!BN118:'Financials'!BP118)</f>
        <v>0</v>
      </c>
      <c r="CY118" s="305"/>
      <c r="CZ118" s="305"/>
      <c r="DA118" s="305"/>
      <c r="DB118" s="305"/>
      <c r="DC118" s="305"/>
      <c r="DD118" s="305"/>
      <c r="DE118" s="305"/>
      <c r="DF118" s="305"/>
      <c r="DG118" s="305"/>
      <c r="DH118" s="305"/>
      <c r="DI118" s="305"/>
      <c r="DJ118" s="305"/>
      <c r="DK118" s="305"/>
      <c r="DL118" s="305"/>
      <c r="DM118" s="305"/>
      <c r="DN118" s="305"/>
      <c r="DO118" s="305"/>
      <c r="DP118" s="305"/>
      <c r="DQ118" s="305"/>
      <c r="DR118" s="305"/>
      <c r="DS118" s="305"/>
      <c r="DT118" s="305"/>
      <c r="DU118" s="305"/>
      <c r="DV118" s="305"/>
      <c r="DW118" s="305"/>
      <c r="DX118" s="305"/>
      <c r="DY118" s="305"/>
      <c r="DZ118" s="305"/>
      <c r="EA118" s="305"/>
      <c r="EB118" s="305"/>
      <c r="EC118" s="305"/>
      <c r="ED118" s="305"/>
      <c r="EE118" s="305"/>
      <c r="EF118" s="305"/>
      <c r="EG118" s="305"/>
      <c r="EH118" s="305"/>
      <c r="EI118" s="305"/>
      <c r="EJ118" s="305"/>
      <c r="EK118" s="305"/>
      <c r="EL118" s="305"/>
      <c r="EM118" s="305"/>
      <c r="EN118" s="305"/>
      <c r="EO118" s="305"/>
      <c r="EP118" s="305"/>
      <c r="EQ118" s="305"/>
      <c r="ER118" s="305"/>
      <c r="ES118" s="305"/>
      <c r="ET118" s="305"/>
      <c r="EU118" s="305"/>
      <c r="EV118" s="305"/>
      <c r="EW118" s="305"/>
      <c r="EX118" s="305"/>
      <c r="EY118" s="305"/>
      <c r="EZ118" s="305"/>
      <c r="FA118" s="305"/>
      <c r="FB118" s="305"/>
      <c r="FC118" s="305"/>
      <c r="FD118" s="305"/>
      <c r="FE118" s="305"/>
      <c r="FF118" s="305"/>
      <c r="FG118" s="305"/>
      <c r="FH118" s="305"/>
      <c r="FI118" s="305"/>
      <c r="FJ118" s="305"/>
    </row>
    <row r="119" spans="1:166" ht="12.75" hidden="1" customHeight="1" x14ac:dyDescent="0.35">
      <c r="A119" s="136"/>
      <c r="B119" s="136"/>
      <c r="C119" s="136"/>
      <c r="D119" s="172" t="str">
        <f>IF(Calcs!CE453=0,"TBD",Calcs!CE453)</f>
        <v>TBD</v>
      </c>
      <c r="E119" s="152">
        <f>Calcs!CF453</f>
        <v>0</v>
      </c>
      <c r="F119" s="152">
        <f>Calcs!CG453</f>
        <v>0</v>
      </c>
      <c r="G119" s="152">
        <f>Calcs!CH453</f>
        <v>0</v>
      </c>
      <c r="H119" s="152">
        <f>Calcs!CI453</f>
        <v>0</v>
      </c>
      <c r="I119" s="152">
        <f>Calcs!CJ453</f>
        <v>0</v>
      </c>
      <c r="J119" s="152">
        <f>Calcs!CK453</f>
        <v>0</v>
      </c>
      <c r="K119" s="152">
        <f>Calcs!CL453</f>
        <v>0</v>
      </c>
      <c r="L119" s="152">
        <f>Calcs!CM453</f>
        <v>0</v>
      </c>
      <c r="M119" s="152">
        <f>Calcs!CN453</f>
        <v>0</v>
      </c>
      <c r="N119" s="152">
        <f>Calcs!CO453</f>
        <v>0</v>
      </c>
      <c r="O119" s="152">
        <f>Calcs!CP453</f>
        <v>0</v>
      </c>
      <c r="P119" s="152">
        <f>Calcs!CQ453</f>
        <v>0</v>
      </c>
      <c r="Q119" s="151">
        <f>SUM(E119:P119)</f>
        <v>0</v>
      </c>
      <c r="R119" s="152">
        <f>Calcs!CR453</f>
        <v>0</v>
      </c>
      <c r="S119" s="152">
        <f>Calcs!CS453</f>
        <v>0</v>
      </c>
      <c r="T119" s="152">
        <f>Calcs!CT453</f>
        <v>0</v>
      </c>
      <c r="U119" s="152">
        <f>Calcs!CU453</f>
        <v>0</v>
      </c>
      <c r="V119" s="152">
        <f>Calcs!CV453</f>
        <v>0</v>
      </c>
      <c r="W119" s="152">
        <f>Calcs!CW453</f>
        <v>0</v>
      </c>
      <c r="X119" s="152">
        <f>Calcs!CX453</f>
        <v>0</v>
      </c>
      <c r="Y119" s="152">
        <f>Calcs!CY453</f>
        <v>0</v>
      </c>
      <c r="Z119" s="152">
        <f>Calcs!CZ453</f>
        <v>0</v>
      </c>
      <c r="AA119" s="152">
        <f>Calcs!DA453</f>
        <v>0</v>
      </c>
      <c r="AB119" s="152">
        <f>Calcs!DB453</f>
        <v>0</v>
      </c>
      <c r="AC119" s="152">
        <f>Calcs!DC453</f>
        <v>0</v>
      </c>
      <c r="AD119" s="152">
        <f>SUM(R119:AC119)</f>
        <v>0</v>
      </c>
      <c r="AE119" s="152">
        <f>Calcs!DD453</f>
        <v>0</v>
      </c>
      <c r="AF119" s="152">
        <f>Calcs!DE453</f>
        <v>0</v>
      </c>
      <c r="AG119" s="152">
        <f>Calcs!DF453</f>
        <v>0</v>
      </c>
      <c r="AH119" s="152">
        <f>Calcs!DG453</f>
        <v>0</v>
      </c>
      <c r="AI119" s="152">
        <f>Calcs!DH453</f>
        <v>0</v>
      </c>
      <c r="AJ119" s="152">
        <f>Calcs!DI453</f>
        <v>0</v>
      </c>
      <c r="AK119" s="152">
        <f>Calcs!DJ453</f>
        <v>0</v>
      </c>
      <c r="AL119" s="152">
        <f>Calcs!DK453</f>
        <v>0</v>
      </c>
      <c r="AM119" s="152">
        <f>Calcs!DL453</f>
        <v>0</v>
      </c>
      <c r="AN119" s="152">
        <f>Calcs!DM453</f>
        <v>0</v>
      </c>
      <c r="AO119" s="152">
        <f>Calcs!DN453</f>
        <v>0</v>
      </c>
      <c r="AP119" s="152">
        <f>Calcs!DO453</f>
        <v>0</v>
      </c>
      <c r="AQ119" s="152">
        <f>SUM(AE119:AP119)</f>
        <v>0</v>
      </c>
      <c r="AR119" s="152">
        <f>Calcs!DP453</f>
        <v>0</v>
      </c>
      <c r="AS119" s="152">
        <f>Calcs!DQ453</f>
        <v>0</v>
      </c>
      <c r="AT119" s="152">
        <f>Calcs!DR453</f>
        <v>0</v>
      </c>
      <c r="AU119" s="152">
        <f>Calcs!DS453</f>
        <v>0</v>
      </c>
      <c r="AV119" s="152">
        <f>Calcs!DT453</f>
        <v>0</v>
      </c>
      <c r="AW119" s="152">
        <f>Calcs!DU453</f>
        <v>0</v>
      </c>
      <c r="AX119" s="152">
        <f>Calcs!DV453</f>
        <v>0</v>
      </c>
      <c r="AY119" s="152">
        <f>Calcs!DW453</f>
        <v>0</v>
      </c>
      <c r="AZ119" s="152">
        <f>Calcs!DX453</f>
        <v>0</v>
      </c>
      <c r="BA119" s="152">
        <f>Calcs!DY453</f>
        <v>0</v>
      </c>
      <c r="BB119" s="152">
        <f>Calcs!DZ453</f>
        <v>0</v>
      </c>
      <c r="BC119" s="152">
        <f>Calcs!EA453</f>
        <v>0</v>
      </c>
      <c r="BD119" s="152">
        <f>SUM(AR119:BC119)</f>
        <v>0</v>
      </c>
      <c r="BE119" s="152">
        <f>Calcs!EB453</f>
        <v>0</v>
      </c>
      <c r="BF119" s="152">
        <f>Calcs!EC453</f>
        <v>0</v>
      </c>
      <c r="BG119" s="152">
        <f>Calcs!ED453</f>
        <v>0</v>
      </c>
      <c r="BH119" s="152">
        <f>Calcs!EE453</f>
        <v>0</v>
      </c>
      <c r="BI119" s="152">
        <f>Calcs!EF453</f>
        <v>0</v>
      </c>
      <c r="BJ119" s="152">
        <f>Calcs!EG453</f>
        <v>0</v>
      </c>
      <c r="BK119" s="152">
        <f>Calcs!EH453</f>
        <v>0</v>
      </c>
      <c r="BL119" s="152">
        <f>Calcs!EI453</f>
        <v>0</v>
      </c>
      <c r="BM119" s="152">
        <f>Calcs!EJ453</f>
        <v>0</v>
      </c>
      <c r="BN119" s="152">
        <f>Calcs!EK453</f>
        <v>0</v>
      </c>
      <c r="BO119" s="152">
        <f>Calcs!EL453</f>
        <v>0</v>
      </c>
      <c r="BP119" s="152">
        <f>Calcs!EM453</f>
        <v>0</v>
      </c>
      <c r="BQ119" s="152">
        <f>SUM(BE119:BP119)</f>
        <v>0</v>
      </c>
      <c r="BR119" s="1567"/>
      <c r="BS119" s="153">
        <f>SUM(BQ119,BD119,AQ119,AD119,Q119)</f>
        <v>0</v>
      </c>
      <c r="BT119" s="1567"/>
      <c r="BU119" s="171">
        <f>SUM(BQ119,BD119,AQ119,AD119,Q119)</f>
      </c>
      <c r="BV119" s="170">
        <f>Calcs!CE455</f>
        <v>0</v>
      </c>
      <c r="BW119" s="96">
        <f>SUM(Financials!E119:'Financials'!G119)</f>
        <v>0</v>
      </c>
      <c r="BX119" s="96">
        <f>SUM(Financials!H119:'Financials'!J119)</f>
        <v>0</v>
      </c>
      <c r="BY119" s="96">
        <f>SUM(Financials!K119:'Financials'!M119)</f>
        <v>0</v>
      </c>
      <c r="BZ119" s="172">
        <f>SUM(Financials!G119:'Financials'!I119)</f>
        <v>0</v>
      </c>
      <c r="CA119" s="152">
        <f>SUM(Financials!R119:'Financials'!T119)</f>
        <v>0</v>
      </c>
      <c r="CB119" s="152">
        <f>SUM(Financials!U119:'Financials'!W119)</f>
        <v>0</v>
      </c>
      <c r="CC119" s="152">
        <f>SUM(Financials!X119:'Financials'!Z119)</f>
        <v>0</v>
      </c>
      <c r="CD119" s="152">
        <f>SUM(Financials!AA119:'Financials'!AC119)</f>
        <v>0</v>
      </c>
      <c r="CE119" s="152">
        <f>SUM(Financials!AE119:'Financials'!AG119)</f>
        <v>0</v>
      </c>
      <c r="CF119" s="152">
        <f>SUM(Financials!AH119:'Financials'!AJ119)</f>
        <v>0</v>
      </c>
      <c r="CG119" s="152">
        <f>SUM(Financials!AK119:'Financials'!AM119)</f>
        <v>0</v>
      </c>
      <c r="CH119" s="152">
        <f>SUM(Financials!AN119:'Financials'!AP119)</f>
        <v>0</v>
      </c>
      <c r="CI119" s="152">
        <f>SUM(Financials!AR119:'Financials'!AT119)</f>
        <v>0</v>
      </c>
      <c r="CJ119" s="152">
        <f>SUM(Financials!AU119:'Financials'!AW119)</f>
        <v>0</v>
      </c>
      <c r="CK119" s="152">
        <f>SUM(Financials!AX119:'Financials'!AZ119)</f>
        <v>0</v>
      </c>
      <c r="CL119" s="152">
        <f>SUM(Financials!BA119:'Financials'!BC119)</f>
        <v>0</v>
      </c>
      <c r="CM119" s="152">
        <f>SUM(Financials!BE119:'Financials'!BG119)</f>
        <v>0</v>
      </c>
      <c r="CN119" s="152">
        <f>SUM(Financials!BH119:'Financials'!BJ119)</f>
        <v>0</v>
      </c>
      <c r="CO119" s="152">
        <f>SUM(Financials!BK119:'Financials'!BM119)</f>
        <v>0</v>
      </c>
      <c r="CP119" s="152">
        <f>SUM(Financials!BN119:'Financials'!BP119)</f>
        <v>0</v>
      </c>
      <c r="CY119" s="305"/>
      <c r="CZ119" s="305"/>
      <c r="DA119" s="305"/>
      <c r="DB119" s="305"/>
      <c r="DC119" s="305"/>
      <c r="DD119" s="305"/>
      <c r="DE119" s="305"/>
      <c r="DF119" s="305"/>
      <c r="DG119" s="305"/>
      <c r="DH119" s="305"/>
      <c r="DI119" s="305"/>
      <c r="DJ119" s="305"/>
      <c r="DK119" s="305"/>
      <c r="DL119" s="305"/>
      <c r="DM119" s="305"/>
      <c r="DN119" s="305"/>
      <c r="DO119" s="305"/>
      <c r="DP119" s="305"/>
      <c r="DQ119" s="305"/>
      <c r="DR119" s="305"/>
      <c r="DS119" s="305"/>
      <c r="DT119" s="305"/>
      <c r="DU119" s="305"/>
      <c r="DV119" s="305"/>
      <c r="DW119" s="305"/>
      <c r="DX119" s="305"/>
      <c r="DY119" s="305"/>
      <c r="DZ119" s="305"/>
      <c r="EA119" s="305"/>
      <c r="EB119" s="305"/>
      <c r="EC119" s="305"/>
      <c r="ED119" s="305"/>
      <c r="EE119" s="305"/>
      <c r="EF119" s="305"/>
      <c r="EG119" s="305"/>
      <c r="EH119" s="305"/>
      <c r="EI119" s="305"/>
      <c r="EJ119" s="305"/>
      <c r="EK119" s="305"/>
      <c r="EL119" s="305"/>
      <c r="EM119" s="305"/>
      <c r="EN119" s="305"/>
      <c r="EO119" s="305"/>
      <c r="EP119" s="305"/>
      <c r="EQ119" s="305"/>
      <c r="ER119" s="305"/>
      <c r="ES119" s="305"/>
      <c r="ET119" s="305"/>
      <c r="EU119" s="305"/>
      <c r="EV119" s="305"/>
      <c r="EW119" s="305"/>
      <c r="EX119" s="305"/>
      <c r="EY119" s="305"/>
      <c r="EZ119" s="305"/>
      <c r="FA119" s="305"/>
      <c r="FB119" s="305"/>
      <c r="FC119" s="305"/>
      <c r="FD119" s="305"/>
      <c r="FE119" s="305"/>
      <c r="FF119" s="305"/>
      <c r="FG119" s="305"/>
      <c r="FH119" s="305"/>
      <c r="FI119" s="305"/>
      <c r="FJ119" s="305"/>
    </row>
    <row r="120" spans="1:166" ht="12.75" hidden="1" customHeight="1" x14ac:dyDescent="0.35">
      <c r="A120" s="136"/>
      <c r="B120" s="136"/>
      <c r="C120" s="136"/>
      <c r="D120" s="172" t="str">
        <f>IF(Calcs!CE454=0,"TBD",Calcs!CE454)</f>
        <v>TBD</v>
      </c>
      <c r="E120" s="152">
        <f>Calcs!CF454</f>
        <v>0</v>
      </c>
      <c r="F120" s="152">
        <f>Calcs!CG454</f>
        <v>0</v>
      </c>
      <c r="G120" s="152">
        <f>Calcs!CH454</f>
        <v>0</v>
      </c>
      <c r="H120" s="152">
        <f>Calcs!CI454</f>
        <v>0</v>
      </c>
      <c r="I120" s="152">
        <f>Calcs!CJ454</f>
        <v>0</v>
      </c>
      <c r="J120" s="152">
        <f>Calcs!CK454</f>
        <v>0</v>
      </c>
      <c r="K120" s="152">
        <f>Calcs!CL454</f>
        <v>0</v>
      </c>
      <c r="L120" s="152">
        <f>Calcs!CM454</f>
        <v>0</v>
      </c>
      <c r="M120" s="152">
        <f>Calcs!CN454</f>
        <v>0</v>
      </c>
      <c r="N120" s="152">
        <f>Calcs!CO454</f>
        <v>0</v>
      </c>
      <c r="O120" s="152">
        <f>Calcs!CP454</f>
        <v>0</v>
      </c>
      <c r="P120" s="152">
        <f>Calcs!CQ454</f>
        <v>0</v>
      </c>
      <c r="Q120" s="151">
        <f>SUM(E120:P120)</f>
        <v>0</v>
      </c>
      <c r="R120" s="152">
        <f>Calcs!CR454</f>
        <v>0</v>
      </c>
      <c r="S120" s="152">
        <f>Calcs!CS454</f>
        <v>0</v>
      </c>
      <c r="T120" s="152">
        <f>Calcs!CT454</f>
        <v>0</v>
      </c>
      <c r="U120" s="152">
        <f>Calcs!CU454</f>
        <v>0</v>
      </c>
      <c r="V120" s="152">
        <f>Calcs!CV454</f>
        <v>0</v>
      </c>
      <c r="W120" s="152">
        <f>Calcs!CW454</f>
        <v>0</v>
      </c>
      <c r="X120" s="152">
        <f>Calcs!CX454</f>
        <v>0</v>
      </c>
      <c r="Y120" s="152">
        <f>Calcs!CY454</f>
        <v>0</v>
      </c>
      <c r="Z120" s="152">
        <f>Calcs!CZ454</f>
        <v>0</v>
      </c>
      <c r="AA120" s="152">
        <f>Calcs!DA454</f>
        <v>0</v>
      </c>
      <c r="AB120" s="152">
        <f>Calcs!DB454</f>
        <v>0</v>
      </c>
      <c r="AC120" s="152">
        <f>Calcs!DC454</f>
        <v>0</v>
      </c>
      <c r="AD120" s="152">
        <f>SUM(R120:AC120)</f>
        <v>0</v>
      </c>
      <c r="AE120" s="152">
        <f>Calcs!DD454</f>
        <v>0</v>
      </c>
      <c r="AF120" s="152">
        <f>Calcs!DE454</f>
        <v>0</v>
      </c>
      <c r="AG120" s="152">
        <f>Calcs!DF454</f>
        <v>0</v>
      </c>
      <c r="AH120" s="152">
        <f>Calcs!DG454</f>
        <v>0</v>
      </c>
      <c r="AI120" s="152">
        <f>Calcs!DH454</f>
        <v>0</v>
      </c>
      <c r="AJ120" s="152">
        <f>Calcs!DI454</f>
        <v>0</v>
      </c>
      <c r="AK120" s="152">
        <f>Calcs!DJ454</f>
        <v>0</v>
      </c>
      <c r="AL120" s="152">
        <f>Calcs!DK454</f>
        <v>0</v>
      </c>
      <c r="AM120" s="152">
        <f>Calcs!DL454</f>
        <v>0</v>
      </c>
      <c r="AN120" s="152">
        <f>Calcs!DM454</f>
        <v>0</v>
      </c>
      <c r="AO120" s="152">
        <f>Calcs!DN454</f>
        <v>0</v>
      </c>
      <c r="AP120" s="152">
        <f>Calcs!DO454</f>
        <v>0</v>
      </c>
      <c r="AQ120" s="152">
        <f>SUM(AE120:AP120)</f>
        <v>0</v>
      </c>
      <c r="AR120" s="152">
        <f>Calcs!DP454</f>
        <v>0</v>
      </c>
      <c r="AS120" s="152">
        <f>Calcs!DQ454</f>
        <v>0</v>
      </c>
      <c r="AT120" s="152">
        <f>Calcs!DR454</f>
        <v>0</v>
      </c>
      <c r="AU120" s="152">
        <f>Calcs!DS454</f>
        <v>0</v>
      </c>
      <c r="AV120" s="152">
        <f>Calcs!DT454</f>
        <v>0</v>
      </c>
      <c r="AW120" s="152">
        <f>Calcs!DU454</f>
        <v>0</v>
      </c>
      <c r="AX120" s="152">
        <f>Calcs!DV454</f>
        <v>0</v>
      </c>
      <c r="AY120" s="152">
        <f>Calcs!DW454</f>
        <v>0</v>
      </c>
      <c r="AZ120" s="152">
        <f>Calcs!DX454</f>
        <v>0</v>
      </c>
      <c r="BA120" s="152">
        <f>Calcs!DY454</f>
        <v>0</v>
      </c>
      <c r="BB120" s="152">
        <f>Calcs!DZ454</f>
        <v>0</v>
      </c>
      <c r="BC120" s="152">
        <f>Calcs!EA454</f>
        <v>0</v>
      </c>
      <c r="BD120" s="152">
        <f>SUM(AR120:BC120)</f>
        <v>0</v>
      </c>
      <c r="BE120" s="152">
        <f>Calcs!EB454</f>
        <v>0</v>
      </c>
      <c r="BF120" s="152">
        <f>Calcs!EC454</f>
        <v>0</v>
      </c>
      <c r="BG120" s="152">
        <f>Calcs!ED454</f>
        <v>0</v>
      </c>
      <c r="BH120" s="152">
        <f>Calcs!EE454</f>
        <v>0</v>
      </c>
      <c r="BI120" s="152">
        <f>Calcs!EF454</f>
        <v>0</v>
      </c>
      <c r="BJ120" s="152">
        <f>Calcs!EG454</f>
        <v>0</v>
      </c>
      <c r="BK120" s="152">
        <f>Calcs!EH454</f>
        <v>0</v>
      </c>
      <c r="BL120" s="152">
        <f>Calcs!EI454</f>
        <v>0</v>
      </c>
      <c r="BM120" s="152">
        <f>Calcs!EJ454</f>
        <v>0</v>
      </c>
      <c r="BN120" s="152">
        <f>Calcs!EK454</f>
        <v>0</v>
      </c>
      <c r="BO120" s="152">
        <f>Calcs!EL454</f>
        <v>0</v>
      </c>
      <c r="BP120" s="152">
        <f>Calcs!EM454</f>
        <v>0</v>
      </c>
      <c r="BQ120" s="152">
        <f>SUM(BE120:BP120)</f>
        <v>0</v>
      </c>
      <c r="BR120" s="1567"/>
      <c r="BS120" s="153">
        <f>SUM(BQ120,BD120,AQ120,AD120,Q120)</f>
        <v>0</v>
      </c>
      <c r="BT120" s="1567"/>
      <c r="BU120" s="171">
        <f>SUM(BQ120,BD120,AQ120,AD120,Q120)</f>
      </c>
      <c r="BV120" s="170">
        <f>Calcs!CE456</f>
        <v>0</v>
      </c>
      <c r="BW120" s="96">
        <f>SUM(Financials!E120:'Financials'!G120)</f>
        <v>0</v>
      </c>
      <c r="BX120" s="96">
        <f>SUM(Financials!H120:'Financials'!J120)</f>
        <v>0</v>
      </c>
      <c r="BY120" s="96">
        <f>SUM(Financials!K120:'Financials'!M120)</f>
        <v>0</v>
      </c>
      <c r="BZ120" s="172">
        <f>SUM(Financials!G120:'Financials'!I120)</f>
        <v>0</v>
      </c>
      <c r="CA120" s="152">
        <f>SUM(Financials!R120:'Financials'!T120)</f>
        <v>0</v>
      </c>
      <c r="CB120" s="152">
        <f>SUM(Financials!U120:'Financials'!W120)</f>
        <v>0</v>
      </c>
      <c r="CC120" s="152">
        <f>SUM(Financials!X120:'Financials'!Z120)</f>
        <v>0</v>
      </c>
      <c r="CD120" s="152">
        <f>SUM(Financials!AA120:'Financials'!AC120)</f>
        <v>0</v>
      </c>
      <c r="CE120" s="152">
        <f>SUM(Financials!AE120:'Financials'!AG120)</f>
        <v>0</v>
      </c>
      <c r="CF120" s="152">
        <f>SUM(Financials!AH120:'Financials'!AJ120)</f>
        <v>0</v>
      </c>
      <c r="CG120" s="152">
        <f>SUM(Financials!AK120:'Financials'!AM120)</f>
        <v>0</v>
      </c>
      <c r="CH120" s="152">
        <f>SUM(Financials!AN120:'Financials'!AP120)</f>
        <v>0</v>
      </c>
      <c r="CI120" s="152">
        <f>SUM(Financials!AR120:'Financials'!AT120)</f>
        <v>0</v>
      </c>
      <c r="CJ120" s="152">
        <f>SUM(Financials!AU120:'Financials'!AW120)</f>
        <v>0</v>
      </c>
      <c r="CK120" s="152">
        <f>SUM(Financials!AX120:'Financials'!AZ120)</f>
        <v>0</v>
      </c>
      <c r="CL120" s="152">
        <f>SUM(Financials!BA120:'Financials'!BC120)</f>
        <v>0</v>
      </c>
      <c r="CM120" s="152">
        <f>SUM(Financials!BE120:'Financials'!BG120)</f>
        <v>0</v>
      </c>
      <c r="CN120" s="152">
        <f>SUM(Financials!BH120:'Financials'!BJ120)</f>
        <v>0</v>
      </c>
      <c r="CO120" s="152">
        <f>SUM(Financials!BK120:'Financials'!BM120)</f>
        <v>0</v>
      </c>
      <c r="CP120" s="152">
        <f>SUM(Financials!BN120:'Financials'!BP120)</f>
        <v>0</v>
      </c>
      <c r="CY120" s="305"/>
      <c r="CZ120" s="305"/>
      <c r="DA120" s="305"/>
      <c r="DB120" s="305"/>
      <c r="DC120" s="305"/>
      <c r="DD120" s="305"/>
      <c r="DE120" s="305"/>
      <c r="DF120" s="305"/>
      <c r="DG120" s="305"/>
      <c r="DH120" s="305"/>
      <c r="DI120" s="305"/>
      <c r="DJ120" s="305"/>
      <c r="DK120" s="305"/>
      <c r="DL120" s="305"/>
      <c r="DM120" s="305"/>
      <c r="DN120" s="305"/>
      <c r="DO120" s="305"/>
      <c r="DP120" s="305"/>
      <c r="DQ120" s="305"/>
      <c r="DR120" s="305"/>
      <c r="DS120" s="305"/>
      <c r="DT120" s="305"/>
      <c r="DU120" s="305"/>
      <c r="DV120" s="305"/>
      <c r="DW120" s="305"/>
      <c r="DX120" s="305"/>
      <c r="DY120" s="305"/>
      <c r="DZ120" s="305"/>
      <c r="EA120" s="305"/>
      <c r="EB120" s="305"/>
      <c r="EC120" s="305"/>
      <c r="ED120" s="305"/>
      <c r="EE120" s="305"/>
      <c r="EF120" s="305"/>
      <c r="EG120" s="305"/>
      <c r="EH120" s="305"/>
      <c r="EI120" s="305"/>
      <c r="EJ120" s="305"/>
      <c r="EK120" s="305"/>
      <c r="EL120" s="305"/>
      <c r="EM120" s="305"/>
      <c r="EN120" s="305"/>
      <c r="EO120" s="305"/>
      <c r="EP120" s="305"/>
      <c r="EQ120" s="305"/>
      <c r="ER120" s="305"/>
      <c r="ES120" s="305"/>
      <c r="ET120" s="305"/>
      <c r="EU120" s="305"/>
      <c r="EV120" s="305"/>
      <c r="EW120" s="305"/>
      <c r="EX120" s="305"/>
      <c r="EY120" s="305"/>
      <c r="EZ120" s="305"/>
      <c r="FA120" s="305"/>
      <c r="FB120" s="305"/>
      <c r="FC120" s="305"/>
      <c r="FD120" s="305"/>
      <c r="FE120" s="305"/>
      <c r="FF120" s="305"/>
      <c r="FG120" s="305"/>
      <c r="FH120" s="305"/>
      <c r="FI120" s="305"/>
      <c r="FJ120" s="305"/>
    </row>
    <row r="121" spans="1:166" ht="12.75" hidden="1" customHeight="1" x14ac:dyDescent="0.35">
      <c r="A121" s="136"/>
      <c r="B121" s="136"/>
      <c r="C121" s="136"/>
      <c r="D121" s="172" t="str">
        <f>IF(Calcs!CE455=0,"TBD",Calcs!CE455)</f>
        <v>TBD</v>
      </c>
      <c r="E121" s="152">
        <f>Calcs!CF455</f>
        <v>0</v>
      </c>
      <c r="F121" s="152">
        <f>Calcs!CG455</f>
        <v>0</v>
      </c>
      <c r="G121" s="152">
        <f>Calcs!CH455</f>
        <v>0</v>
      </c>
      <c r="H121" s="152">
        <f>Calcs!CI455</f>
        <v>0</v>
      </c>
      <c r="I121" s="152">
        <f>Calcs!CJ455</f>
        <v>0</v>
      </c>
      <c r="J121" s="152">
        <f>Calcs!CK455</f>
        <v>0</v>
      </c>
      <c r="K121" s="152">
        <f>Calcs!CL455</f>
        <v>0</v>
      </c>
      <c r="L121" s="152">
        <f>Calcs!CM455</f>
        <v>0</v>
      </c>
      <c r="M121" s="152">
        <f>Calcs!CN455</f>
        <v>0</v>
      </c>
      <c r="N121" s="152">
        <f>Calcs!CO455</f>
        <v>0</v>
      </c>
      <c r="O121" s="152">
        <f>Calcs!CP455</f>
        <v>0</v>
      </c>
      <c r="P121" s="152">
        <f>Calcs!CQ455</f>
        <v>0</v>
      </c>
      <c r="Q121" s="151">
        <f>SUM(E121:P121)</f>
        <v>0</v>
      </c>
      <c r="R121" s="152">
        <f>Calcs!CR455</f>
        <v>0</v>
      </c>
      <c r="S121" s="152">
        <f>Calcs!CS455</f>
        <v>0</v>
      </c>
      <c r="T121" s="152">
        <f>Calcs!CT455</f>
        <v>0</v>
      </c>
      <c r="U121" s="152">
        <f>Calcs!CU455</f>
        <v>0</v>
      </c>
      <c r="V121" s="152">
        <f>Calcs!CV455</f>
        <v>0</v>
      </c>
      <c r="W121" s="152">
        <f>Calcs!CW455</f>
        <v>0</v>
      </c>
      <c r="X121" s="152">
        <f>Calcs!CX455</f>
        <v>0</v>
      </c>
      <c r="Y121" s="152">
        <f>Calcs!CY455</f>
        <v>0</v>
      </c>
      <c r="Z121" s="152">
        <f>Calcs!CZ455</f>
        <v>0</v>
      </c>
      <c r="AA121" s="152">
        <f>Calcs!DA455</f>
        <v>0</v>
      </c>
      <c r="AB121" s="152">
        <f>Calcs!DB455</f>
        <v>0</v>
      </c>
      <c r="AC121" s="152">
        <f>Calcs!DC455</f>
        <v>0</v>
      </c>
      <c r="AD121" s="152">
        <f>SUM(R121:AC121)</f>
        <v>0</v>
      </c>
      <c r="AE121" s="152">
        <f>Calcs!DD455</f>
        <v>0</v>
      </c>
      <c r="AF121" s="152">
        <f>Calcs!DE455</f>
        <v>0</v>
      </c>
      <c r="AG121" s="152">
        <f>Calcs!DF455</f>
        <v>0</v>
      </c>
      <c r="AH121" s="152">
        <f>Calcs!DG455</f>
        <v>0</v>
      </c>
      <c r="AI121" s="152">
        <f>Calcs!DH455</f>
        <v>0</v>
      </c>
      <c r="AJ121" s="152">
        <f>Calcs!DI455</f>
        <v>0</v>
      </c>
      <c r="AK121" s="152">
        <f>Calcs!DJ455</f>
        <v>0</v>
      </c>
      <c r="AL121" s="152">
        <f>Calcs!DK455</f>
        <v>0</v>
      </c>
      <c r="AM121" s="152">
        <f>Calcs!DL455</f>
        <v>0</v>
      </c>
      <c r="AN121" s="152">
        <f>Calcs!DM455</f>
        <v>0</v>
      </c>
      <c r="AO121" s="152">
        <f>Calcs!DN455</f>
        <v>0</v>
      </c>
      <c r="AP121" s="152">
        <f>Calcs!DO455</f>
        <v>0</v>
      </c>
      <c r="AQ121" s="152">
        <f>SUM(AE121:AP121)</f>
        <v>0</v>
      </c>
      <c r="AR121" s="152">
        <f>Calcs!DP455</f>
        <v>0</v>
      </c>
      <c r="AS121" s="152">
        <f>Calcs!DQ455</f>
        <v>0</v>
      </c>
      <c r="AT121" s="152">
        <f>Calcs!DR455</f>
        <v>0</v>
      </c>
      <c r="AU121" s="152">
        <f>Calcs!DS455</f>
        <v>0</v>
      </c>
      <c r="AV121" s="152">
        <f>Calcs!DT455</f>
        <v>0</v>
      </c>
      <c r="AW121" s="152">
        <f>Calcs!DU455</f>
        <v>0</v>
      </c>
      <c r="AX121" s="152">
        <f>Calcs!DV455</f>
        <v>0</v>
      </c>
      <c r="AY121" s="152">
        <f>Calcs!DW455</f>
        <v>0</v>
      </c>
      <c r="AZ121" s="152">
        <f>Calcs!DX455</f>
        <v>0</v>
      </c>
      <c r="BA121" s="152">
        <f>Calcs!DY455</f>
        <v>0</v>
      </c>
      <c r="BB121" s="152">
        <f>Calcs!DZ455</f>
        <v>0</v>
      </c>
      <c r="BC121" s="152">
        <f>Calcs!EA455</f>
        <v>0</v>
      </c>
      <c r="BD121" s="152">
        <f>SUM(AR121:BC121)</f>
        <v>0</v>
      </c>
      <c r="BE121" s="152">
        <f>Calcs!EB455</f>
        <v>0</v>
      </c>
      <c r="BF121" s="152">
        <f>Calcs!EC455</f>
        <v>0</v>
      </c>
      <c r="BG121" s="152">
        <f>Calcs!ED455</f>
        <v>0</v>
      </c>
      <c r="BH121" s="152">
        <f>Calcs!EE455</f>
        <v>0</v>
      </c>
      <c r="BI121" s="152">
        <f>Calcs!EF455</f>
        <v>0</v>
      </c>
      <c r="BJ121" s="152">
        <f>Calcs!EG455</f>
        <v>0</v>
      </c>
      <c r="BK121" s="152">
        <f>Calcs!EH455</f>
        <v>0</v>
      </c>
      <c r="BL121" s="152">
        <f>Calcs!EI455</f>
        <v>0</v>
      </c>
      <c r="BM121" s="152">
        <f>Calcs!EJ455</f>
        <v>0</v>
      </c>
      <c r="BN121" s="152">
        <f>Calcs!EK455</f>
        <v>0</v>
      </c>
      <c r="BO121" s="152">
        <f>Calcs!EL455</f>
        <v>0</v>
      </c>
      <c r="BP121" s="152">
        <f>Calcs!EM455</f>
        <v>0</v>
      </c>
      <c r="BQ121" s="152">
        <f>SUM(BE121:BP121)</f>
        <v>0</v>
      </c>
      <c r="BR121" s="1567"/>
      <c r="BS121" s="153">
        <f>SUM(BQ121,BD121,AQ121,AD121,Q121)</f>
        <v>0</v>
      </c>
      <c r="BT121" s="1567"/>
      <c r="BU121" s="171">
        <f>SUM(BQ121,BD121,AQ121,AD121,Q121)</f>
      </c>
      <c r="BV121" s="170">
        <f>Calcs!CE457</f>
        <v>0</v>
      </c>
      <c r="BW121" s="96">
        <f>SUM(Financials!E121:'Financials'!G121)</f>
        <v>0</v>
      </c>
      <c r="BX121" s="96">
        <f>SUM(Financials!H121:'Financials'!J121)</f>
        <v>0</v>
      </c>
      <c r="BY121" s="96">
        <f>SUM(Financials!K121:'Financials'!M121)</f>
        <v>0</v>
      </c>
      <c r="BZ121" s="172">
        <f>SUM(Financials!G121:'Financials'!I121)</f>
        <v>0</v>
      </c>
      <c r="CA121" s="152">
        <f>SUM(Financials!R121:'Financials'!T121)</f>
        <v>0</v>
      </c>
      <c r="CB121" s="152">
        <f>SUM(Financials!U121:'Financials'!W121)</f>
        <v>0</v>
      </c>
      <c r="CC121" s="152">
        <f>SUM(Financials!X121:'Financials'!Z121)</f>
        <v>0</v>
      </c>
      <c r="CD121" s="152">
        <f>SUM(Financials!AA121:'Financials'!AC121)</f>
        <v>0</v>
      </c>
      <c r="CE121" s="152">
        <f>SUM(Financials!AE121:'Financials'!AG121)</f>
        <v>0</v>
      </c>
      <c r="CF121" s="152">
        <f>SUM(Financials!AH121:'Financials'!AJ121)</f>
        <v>0</v>
      </c>
      <c r="CG121" s="152">
        <f>SUM(Financials!AK121:'Financials'!AM121)</f>
        <v>0</v>
      </c>
      <c r="CH121" s="152">
        <f>SUM(Financials!AN121:'Financials'!AP121)</f>
        <v>0</v>
      </c>
      <c r="CI121" s="152">
        <f>SUM(Financials!AR121:'Financials'!AT121)</f>
        <v>0</v>
      </c>
      <c r="CJ121" s="152">
        <f>SUM(Financials!AU121:'Financials'!AW121)</f>
        <v>0</v>
      </c>
      <c r="CK121" s="152">
        <f>SUM(Financials!AX121:'Financials'!AZ121)</f>
        <v>0</v>
      </c>
      <c r="CL121" s="152">
        <f>SUM(Financials!BA121:'Financials'!BC121)</f>
        <v>0</v>
      </c>
      <c r="CM121" s="152">
        <f>SUM(Financials!BE121:'Financials'!BG121)</f>
        <v>0</v>
      </c>
      <c r="CN121" s="152">
        <f>SUM(Financials!BH121:'Financials'!BJ121)</f>
        <v>0</v>
      </c>
      <c r="CO121" s="152">
        <f>SUM(Financials!BK121:'Financials'!BM121)</f>
        <v>0</v>
      </c>
      <c r="CP121" s="152">
        <f>SUM(Financials!BN121:'Financials'!BP121)</f>
        <v>0</v>
      </c>
      <c r="CY121" s="305"/>
      <c r="CZ121" s="305"/>
      <c r="DA121" s="305"/>
      <c r="DB121" s="305"/>
      <c r="DC121" s="305"/>
      <c r="DD121" s="305"/>
      <c r="DE121" s="305"/>
      <c r="DF121" s="305"/>
      <c r="DG121" s="305"/>
      <c r="DH121" s="305"/>
      <c r="DI121" s="305"/>
      <c r="DJ121" s="305"/>
      <c r="DK121" s="305"/>
      <c r="DL121" s="305"/>
      <c r="DM121" s="305"/>
      <c r="DN121" s="305"/>
      <c r="DO121" s="305"/>
      <c r="DP121" s="305"/>
      <c r="DQ121" s="305"/>
      <c r="DR121" s="305"/>
      <c r="DS121" s="305"/>
      <c r="DT121" s="305"/>
      <c r="DU121" s="305"/>
      <c r="DV121" s="305"/>
      <c r="DW121" s="305"/>
      <c r="DX121" s="305"/>
      <c r="DY121" s="305"/>
      <c r="DZ121" s="305"/>
      <c r="EA121" s="305"/>
      <c r="EB121" s="305"/>
      <c r="EC121" s="305"/>
      <c r="ED121" s="305"/>
      <c r="EE121" s="305"/>
      <c r="EF121" s="305"/>
      <c r="EG121" s="305"/>
      <c r="EH121" s="305"/>
      <c r="EI121" s="305"/>
      <c r="EJ121" s="305"/>
      <c r="EK121" s="305"/>
      <c r="EL121" s="305"/>
      <c r="EM121" s="305"/>
      <c r="EN121" s="305"/>
      <c r="EO121" s="305"/>
      <c r="EP121" s="305"/>
      <c r="EQ121" s="305"/>
      <c r="ER121" s="305"/>
      <c r="ES121" s="305"/>
      <c r="ET121" s="305"/>
      <c r="EU121" s="305"/>
      <c r="EV121" s="305"/>
      <c r="EW121" s="305"/>
      <c r="EX121" s="305"/>
      <c r="EY121" s="305"/>
      <c r="EZ121" s="305"/>
      <c r="FA121" s="305"/>
      <c r="FB121" s="305"/>
      <c r="FC121" s="305"/>
      <c r="FD121" s="305"/>
      <c r="FE121" s="305"/>
      <c r="FF121" s="305"/>
      <c r="FG121" s="305"/>
      <c r="FH121" s="305"/>
      <c r="FI121" s="305"/>
      <c r="FJ121" s="305"/>
    </row>
    <row r="122" spans="1:166" ht="12.75" hidden="1" customHeight="1" x14ac:dyDescent="0.35">
      <c r="A122" s="136"/>
      <c r="B122" s="136"/>
      <c r="C122" s="136"/>
      <c r="D122" s="172" t="str">
        <f>IF(Calcs!CE456=0,"TBD",Calcs!CE456)</f>
        <v>TBD</v>
      </c>
      <c r="E122" s="152">
        <f>Calcs!CF456</f>
        <v>0</v>
      </c>
      <c r="F122" s="152">
        <f>Calcs!CG456</f>
        <v>0</v>
      </c>
      <c r="G122" s="152">
        <f>Calcs!CH456</f>
        <v>0</v>
      </c>
      <c r="H122" s="152">
        <f>Calcs!CI456</f>
        <v>0</v>
      </c>
      <c r="I122" s="152">
        <f>Calcs!CJ456</f>
        <v>0</v>
      </c>
      <c r="J122" s="152">
        <f>Calcs!CK456</f>
        <v>0</v>
      </c>
      <c r="K122" s="152">
        <f>Calcs!CL456</f>
        <v>0</v>
      </c>
      <c r="L122" s="152">
        <f>Calcs!CM456</f>
        <v>0</v>
      </c>
      <c r="M122" s="152">
        <f>Calcs!CN456</f>
        <v>0</v>
      </c>
      <c r="N122" s="152">
        <f>Calcs!CO456</f>
        <v>0</v>
      </c>
      <c r="O122" s="152">
        <f>Calcs!CP456</f>
        <v>0</v>
      </c>
      <c r="P122" s="152">
        <f>Calcs!CQ456</f>
        <v>0</v>
      </c>
      <c r="Q122" s="151">
        <f>SUM(E122:P122)</f>
        <v>0</v>
      </c>
      <c r="R122" s="152">
        <f>Calcs!CR456</f>
        <v>0</v>
      </c>
      <c r="S122" s="152">
        <f>Calcs!CS456</f>
        <v>0</v>
      </c>
      <c r="T122" s="152">
        <f>Calcs!CT456</f>
        <v>0</v>
      </c>
      <c r="U122" s="152">
        <f>Calcs!CU456</f>
        <v>0</v>
      </c>
      <c r="V122" s="152">
        <f>Calcs!CV456</f>
        <v>0</v>
      </c>
      <c r="W122" s="152">
        <f>Calcs!CW456</f>
        <v>0</v>
      </c>
      <c r="X122" s="152">
        <f>Calcs!CX456</f>
        <v>0</v>
      </c>
      <c r="Y122" s="152">
        <f>Calcs!CY456</f>
        <v>0</v>
      </c>
      <c r="Z122" s="152">
        <f>Calcs!CZ456</f>
        <v>0</v>
      </c>
      <c r="AA122" s="152">
        <f>Calcs!DA456</f>
        <v>0</v>
      </c>
      <c r="AB122" s="152">
        <f>Calcs!DB456</f>
        <v>0</v>
      </c>
      <c r="AC122" s="152">
        <f>Calcs!DC456</f>
        <v>0</v>
      </c>
      <c r="AD122" s="152">
        <f>SUM(R122:AC122)</f>
        <v>0</v>
      </c>
      <c r="AE122" s="152">
        <f>Calcs!DD456</f>
        <v>0</v>
      </c>
      <c r="AF122" s="152">
        <f>Calcs!DE456</f>
        <v>0</v>
      </c>
      <c r="AG122" s="152">
        <f>Calcs!DF456</f>
        <v>0</v>
      </c>
      <c r="AH122" s="152">
        <f>Calcs!DG456</f>
        <v>0</v>
      </c>
      <c r="AI122" s="152">
        <f>Calcs!DH456</f>
        <v>0</v>
      </c>
      <c r="AJ122" s="152">
        <f>Calcs!DI456</f>
        <v>0</v>
      </c>
      <c r="AK122" s="152">
        <f>Calcs!DJ456</f>
        <v>0</v>
      </c>
      <c r="AL122" s="152">
        <f>Calcs!DK456</f>
        <v>0</v>
      </c>
      <c r="AM122" s="152">
        <f>Calcs!DL456</f>
        <v>0</v>
      </c>
      <c r="AN122" s="152">
        <f>Calcs!DM456</f>
        <v>0</v>
      </c>
      <c r="AO122" s="152">
        <f>Calcs!DN456</f>
        <v>0</v>
      </c>
      <c r="AP122" s="152">
        <f>Calcs!DO456</f>
        <v>0</v>
      </c>
      <c r="AQ122" s="152">
        <f>SUM(AE122:AP122)</f>
        <v>0</v>
      </c>
      <c r="AR122" s="152">
        <f>Calcs!DP456</f>
        <v>0</v>
      </c>
      <c r="AS122" s="152">
        <f>Calcs!DQ456</f>
        <v>0</v>
      </c>
      <c r="AT122" s="152">
        <f>Calcs!DR456</f>
        <v>0</v>
      </c>
      <c r="AU122" s="152">
        <f>Calcs!DS456</f>
        <v>0</v>
      </c>
      <c r="AV122" s="152">
        <f>Calcs!DT456</f>
        <v>0</v>
      </c>
      <c r="AW122" s="152">
        <f>Calcs!DU456</f>
        <v>0</v>
      </c>
      <c r="AX122" s="152">
        <f>Calcs!DV456</f>
        <v>0</v>
      </c>
      <c r="AY122" s="152">
        <f>Calcs!DW456</f>
        <v>0</v>
      </c>
      <c r="AZ122" s="152">
        <f>Calcs!DX456</f>
        <v>0</v>
      </c>
      <c r="BA122" s="152">
        <f>Calcs!DY456</f>
        <v>0</v>
      </c>
      <c r="BB122" s="152">
        <f>Calcs!DZ456</f>
        <v>0</v>
      </c>
      <c r="BC122" s="152">
        <f>Calcs!EA456</f>
        <v>0</v>
      </c>
      <c r="BD122" s="152">
        <f>SUM(AR122:BC122)</f>
        <v>0</v>
      </c>
      <c r="BE122" s="152">
        <f>Calcs!EB456</f>
        <v>0</v>
      </c>
      <c r="BF122" s="152">
        <f>Calcs!EC456</f>
        <v>0</v>
      </c>
      <c r="BG122" s="152">
        <f>Calcs!ED456</f>
        <v>0</v>
      </c>
      <c r="BH122" s="152">
        <f>Calcs!EE456</f>
        <v>0</v>
      </c>
      <c r="BI122" s="152">
        <f>Calcs!EF456</f>
        <v>0</v>
      </c>
      <c r="BJ122" s="152">
        <f>Calcs!EG456</f>
        <v>0</v>
      </c>
      <c r="BK122" s="152">
        <f>Calcs!EH456</f>
        <v>0</v>
      </c>
      <c r="BL122" s="152">
        <f>Calcs!EI456</f>
        <v>0</v>
      </c>
      <c r="BM122" s="152">
        <f>Calcs!EJ456</f>
        <v>0</v>
      </c>
      <c r="BN122" s="152">
        <f>Calcs!EK456</f>
        <v>0</v>
      </c>
      <c r="BO122" s="152">
        <f>Calcs!EL456</f>
        <v>0</v>
      </c>
      <c r="BP122" s="152">
        <f>Calcs!EM456</f>
        <v>0</v>
      </c>
      <c r="BQ122" s="152">
        <f>SUM(BE122:BP122)</f>
        <v>0</v>
      </c>
      <c r="BR122" s="1567"/>
      <c r="BS122" s="153">
        <f>SUM(BQ122,BD122,AQ122,AD122,Q122)</f>
        <v>0</v>
      </c>
      <c r="BT122" s="1567"/>
      <c r="BU122" s="171">
        <f>SUM(BQ122,BD122,AQ122,AD122,Q122)</f>
      </c>
      <c r="BV122" s="170">
        <f>Calcs!CE458</f>
        <v>0</v>
      </c>
      <c r="BW122" s="96">
        <f>SUM(Financials!E122:'Financials'!G122)</f>
        <v>0</v>
      </c>
      <c r="BX122" s="96">
        <f>SUM(Financials!H122:'Financials'!J122)</f>
        <v>0</v>
      </c>
      <c r="BY122" s="96">
        <f>SUM(Financials!K122:'Financials'!M122)</f>
        <v>0</v>
      </c>
      <c r="BZ122" s="172">
        <f>SUM(Financials!G122:'Financials'!I122)</f>
        <v>0</v>
      </c>
      <c r="CA122" s="152">
        <f>SUM(Financials!R122:'Financials'!T122)</f>
        <v>0</v>
      </c>
      <c r="CB122" s="152">
        <f>SUM(Financials!U122:'Financials'!W122)</f>
        <v>0</v>
      </c>
      <c r="CC122" s="152">
        <f>SUM(Financials!X122:'Financials'!Z122)</f>
        <v>0</v>
      </c>
      <c r="CD122" s="152">
        <f>SUM(Financials!AA122:'Financials'!AC122)</f>
        <v>0</v>
      </c>
      <c r="CE122" s="152">
        <f>SUM(Financials!AE122:'Financials'!AG122)</f>
        <v>0</v>
      </c>
      <c r="CF122" s="152">
        <f>SUM(Financials!AH122:'Financials'!AJ122)</f>
        <v>0</v>
      </c>
      <c r="CG122" s="152">
        <f>SUM(Financials!AK122:'Financials'!AM122)</f>
        <v>0</v>
      </c>
      <c r="CH122" s="152">
        <f>SUM(Financials!AN122:'Financials'!AP122)</f>
        <v>0</v>
      </c>
      <c r="CI122" s="152">
        <f>SUM(Financials!AR122:'Financials'!AT122)</f>
        <v>0</v>
      </c>
      <c r="CJ122" s="152">
        <f>SUM(Financials!AU122:'Financials'!AW122)</f>
        <v>0</v>
      </c>
      <c r="CK122" s="152">
        <f>SUM(Financials!AX122:'Financials'!AZ122)</f>
        <v>0</v>
      </c>
      <c r="CL122" s="152">
        <f>SUM(Financials!BA122:'Financials'!BC122)</f>
        <v>0</v>
      </c>
      <c r="CM122" s="152">
        <f>SUM(Financials!BE122:'Financials'!BG122)</f>
        <v>0</v>
      </c>
      <c r="CN122" s="152">
        <f>SUM(Financials!BH122:'Financials'!BJ122)</f>
        <v>0</v>
      </c>
      <c r="CO122" s="152">
        <f>SUM(Financials!BK122:'Financials'!BM122)</f>
        <v>0</v>
      </c>
      <c r="CP122" s="152">
        <f>SUM(Financials!BN122:'Financials'!BP122)</f>
        <v>0</v>
      </c>
      <c r="CY122" s="305"/>
      <c r="CZ122" s="305"/>
      <c r="DA122" s="305"/>
      <c r="DB122" s="305"/>
      <c r="DC122" s="305"/>
      <c r="DD122" s="305"/>
      <c r="DE122" s="305"/>
      <c r="DF122" s="305"/>
      <c r="DG122" s="305"/>
      <c r="DH122" s="305"/>
      <c r="DI122" s="305"/>
      <c r="DJ122" s="305"/>
      <c r="DK122" s="305"/>
      <c r="DL122" s="305"/>
      <c r="DM122" s="305"/>
      <c r="DN122" s="305"/>
      <c r="DO122" s="305"/>
      <c r="DP122" s="305"/>
      <c r="DQ122" s="305"/>
      <c r="DR122" s="305"/>
      <c r="DS122" s="305"/>
      <c r="DT122" s="305"/>
      <c r="DU122" s="305"/>
      <c r="DV122" s="305"/>
      <c r="DW122" s="305"/>
      <c r="DX122" s="305"/>
      <c r="DY122" s="305"/>
      <c r="DZ122" s="305"/>
      <c r="EA122" s="305"/>
      <c r="EB122" s="305"/>
      <c r="EC122" s="305"/>
      <c r="ED122" s="305"/>
      <c r="EE122" s="305"/>
      <c r="EF122" s="305"/>
      <c r="EG122" s="305"/>
      <c r="EH122" s="305"/>
      <c r="EI122" s="305"/>
      <c r="EJ122" s="305"/>
      <c r="EK122" s="305"/>
      <c r="EL122" s="305"/>
      <c r="EM122" s="305"/>
      <c r="EN122" s="305"/>
      <c r="EO122" s="305"/>
      <c r="EP122" s="305"/>
      <c r="EQ122" s="305"/>
      <c r="ER122" s="305"/>
      <c r="ES122" s="305"/>
      <c r="ET122" s="305"/>
      <c r="EU122" s="305"/>
      <c r="EV122" s="305"/>
      <c r="EW122" s="305"/>
      <c r="EX122" s="305"/>
      <c r="EY122" s="305"/>
      <c r="EZ122" s="305"/>
      <c r="FA122" s="305"/>
      <c r="FB122" s="305"/>
      <c r="FC122" s="305"/>
      <c r="FD122" s="305"/>
      <c r="FE122" s="305"/>
      <c r="FF122" s="305"/>
      <c r="FG122" s="305"/>
      <c r="FH122" s="305"/>
      <c r="FI122" s="305"/>
      <c r="FJ122" s="305"/>
    </row>
    <row r="123" spans="1:166" ht="12.75" hidden="1" customHeight="1" x14ac:dyDescent="0.35">
      <c r="A123" s="136"/>
      <c r="B123" s="136"/>
      <c r="C123" s="136"/>
      <c r="D123" s="172" t="str">
        <f>IF(Calcs!CE457=0,"TBD",Calcs!CE457)</f>
        <v>TBD</v>
      </c>
      <c r="E123" s="152">
        <f>Calcs!CF457</f>
        <v>0</v>
      </c>
      <c r="F123" s="152">
        <f>Calcs!CG457</f>
        <v>0</v>
      </c>
      <c r="G123" s="152">
        <f>Calcs!CH457</f>
        <v>0</v>
      </c>
      <c r="H123" s="152">
        <f>Calcs!CI457</f>
        <v>0</v>
      </c>
      <c r="I123" s="152">
        <f>Calcs!CJ457</f>
        <v>0</v>
      </c>
      <c r="J123" s="152">
        <f>Calcs!CK457</f>
        <v>0</v>
      </c>
      <c r="K123" s="152">
        <f>Calcs!CL457</f>
        <v>0</v>
      </c>
      <c r="L123" s="152">
        <f>Calcs!CM457</f>
        <v>0</v>
      </c>
      <c r="M123" s="152">
        <f>Calcs!CN457</f>
        <v>0</v>
      </c>
      <c r="N123" s="152">
        <f>Calcs!CO457</f>
        <v>0</v>
      </c>
      <c r="O123" s="152">
        <f>Calcs!CP457</f>
        <v>0</v>
      </c>
      <c r="P123" s="152">
        <f>Calcs!CQ457</f>
        <v>0</v>
      </c>
      <c r="Q123" s="151">
        <f>SUM(E123:P123)</f>
        <v>0</v>
      </c>
      <c r="R123" s="152">
        <f>Calcs!CR457</f>
        <v>0</v>
      </c>
      <c r="S123" s="152">
        <f>Calcs!CS457</f>
        <v>0</v>
      </c>
      <c r="T123" s="152">
        <f>Calcs!CT457</f>
        <v>0</v>
      </c>
      <c r="U123" s="152">
        <f>Calcs!CU457</f>
        <v>0</v>
      </c>
      <c r="V123" s="152">
        <f>Calcs!CV457</f>
        <v>0</v>
      </c>
      <c r="W123" s="152">
        <f>Calcs!CW457</f>
        <v>0</v>
      </c>
      <c r="X123" s="152">
        <f>Calcs!CX457</f>
        <v>0</v>
      </c>
      <c r="Y123" s="152">
        <f>Calcs!CY457</f>
        <v>0</v>
      </c>
      <c r="Z123" s="152">
        <f>Calcs!CZ457</f>
        <v>0</v>
      </c>
      <c r="AA123" s="152">
        <f>Calcs!DA457</f>
        <v>0</v>
      </c>
      <c r="AB123" s="152">
        <f>Calcs!DB457</f>
        <v>0</v>
      </c>
      <c r="AC123" s="152">
        <f>Calcs!DC457</f>
        <v>0</v>
      </c>
      <c r="AD123" s="152">
        <f>SUM(R123:AC123)</f>
        <v>0</v>
      </c>
      <c r="AE123" s="152">
        <f>Calcs!DD457</f>
        <v>0</v>
      </c>
      <c r="AF123" s="152">
        <f>Calcs!DE457</f>
        <v>0</v>
      </c>
      <c r="AG123" s="152">
        <f>Calcs!DF457</f>
        <v>0</v>
      </c>
      <c r="AH123" s="152">
        <f>Calcs!DG457</f>
        <v>0</v>
      </c>
      <c r="AI123" s="152">
        <f>Calcs!DH457</f>
        <v>0</v>
      </c>
      <c r="AJ123" s="152">
        <f>Calcs!DI457</f>
        <v>0</v>
      </c>
      <c r="AK123" s="152">
        <f>Calcs!DJ457</f>
        <v>0</v>
      </c>
      <c r="AL123" s="152">
        <f>Calcs!DK457</f>
        <v>0</v>
      </c>
      <c r="AM123" s="152">
        <f>Calcs!DL457</f>
        <v>0</v>
      </c>
      <c r="AN123" s="152">
        <f>Calcs!DM457</f>
        <v>0</v>
      </c>
      <c r="AO123" s="152">
        <f>Calcs!DN457</f>
        <v>0</v>
      </c>
      <c r="AP123" s="152">
        <f>Calcs!DO457</f>
        <v>0</v>
      </c>
      <c r="AQ123" s="152">
        <f>SUM(AE123:AP123)</f>
        <v>0</v>
      </c>
      <c r="AR123" s="152">
        <f>Calcs!DP457</f>
        <v>0</v>
      </c>
      <c r="AS123" s="152">
        <f>Calcs!DQ457</f>
        <v>0</v>
      </c>
      <c r="AT123" s="152">
        <f>Calcs!DR457</f>
        <v>0</v>
      </c>
      <c r="AU123" s="152">
        <f>Calcs!DS457</f>
        <v>0</v>
      </c>
      <c r="AV123" s="152">
        <f>Calcs!DT457</f>
        <v>0</v>
      </c>
      <c r="AW123" s="152">
        <f>Calcs!DU457</f>
        <v>0</v>
      </c>
      <c r="AX123" s="152">
        <f>Calcs!DV457</f>
        <v>0</v>
      </c>
      <c r="AY123" s="152">
        <f>Calcs!DW457</f>
        <v>0</v>
      </c>
      <c r="AZ123" s="152">
        <f>Calcs!DX457</f>
        <v>0</v>
      </c>
      <c r="BA123" s="152">
        <f>Calcs!DY457</f>
        <v>0</v>
      </c>
      <c r="BB123" s="152">
        <f>Calcs!DZ457</f>
        <v>0</v>
      </c>
      <c r="BC123" s="152">
        <f>Calcs!EA457</f>
        <v>0</v>
      </c>
      <c r="BD123" s="152">
        <f>SUM(AR123:BC123)</f>
        <v>0</v>
      </c>
      <c r="BE123" s="152">
        <f>Calcs!EB457</f>
        <v>0</v>
      </c>
      <c r="BF123" s="152">
        <f>Calcs!EC457</f>
        <v>0</v>
      </c>
      <c r="BG123" s="152">
        <f>Calcs!ED457</f>
        <v>0</v>
      </c>
      <c r="BH123" s="152">
        <f>Calcs!EE457</f>
        <v>0</v>
      </c>
      <c r="BI123" s="152">
        <f>Calcs!EF457</f>
        <v>0</v>
      </c>
      <c r="BJ123" s="152">
        <f>Calcs!EG457</f>
        <v>0</v>
      </c>
      <c r="BK123" s="152">
        <f>Calcs!EH457</f>
        <v>0</v>
      </c>
      <c r="BL123" s="152">
        <f>Calcs!EI457</f>
        <v>0</v>
      </c>
      <c r="BM123" s="152">
        <f>Calcs!EJ457</f>
        <v>0</v>
      </c>
      <c r="BN123" s="152">
        <f>Calcs!EK457</f>
        <v>0</v>
      </c>
      <c r="BO123" s="152">
        <f>Calcs!EL457</f>
        <v>0</v>
      </c>
      <c r="BP123" s="152">
        <f>Calcs!EM457</f>
        <v>0</v>
      </c>
      <c r="BQ123" s="152">
        <f>SUM(BE123:BP123)</f>
        <v>0</v>
      </c>
      <c r="BR123" s="1567"/>
      <c r="BS123" s="153">
        <f>SUM(BQ123,BD123,AQ123,AD123,Q123)</f>
        <v>0</v>
      </c>
      <c r="BT123" s="1567"/>
      <c r="BU123" s="171">
        <f>SUM(BQ123,BD123,AQ123,AD123,Q123)</f>
      </c>
      <c r="BV123" s="170">
        <f>Calcs!CE459</f>
        <v>0</v>
      </c>
      <c r="BW123" s="96">
        <f>SUM(Financials!E123:'Financials'!G123)</f>
        <v>0</v>
      </c>
      <c r="BX123" s="96">
        <f>SUM(Financials!H123:'Financials'!J123)</f>
        <v>0</v>
      </c>
      <c r="BY123" s="96">
        <f>SUM(Financials!K123:'Financials'!M123)</f>
        <v>0</v>
      </c>
      <c r="BZ123" s="172">
        <f>SUM(Financials!G123:'Financials'!I123)</f>
        <v>0</v>
      </c>
      <c r="CA123" s="152">
        <f>SUM(Financials!R123:'Financials'!T123)</f>
        <v>0</v>
      </c>
      <c r="CB123" s="152">
        <f>SUM(Financials!U123:'Financials'!W123)</f>
        <v>0</v>
      </c>
      <c r="CC123" s="152">
        <f>SUM(Financials!X123:'Financials'!Z123)</f>
        <v>0</v>
      </c>
      <c r="CD123" s="152">
        <f>SUM(Financials!AA123:'Financials'!AC123)</f>
        <v>0</v>
      </c>
      <c r="CE123" s="152">
        <f>SUM(Financials!AE123:'Financials'!AG123)</f>
        <v>0</v>
      </c>
      <c r="CF123" s="152">
        <f>SUM(Financials!AH123:'Financials'!AJ123)</f>
        <v>0</v>
      </c>
      <c r="CG123" s="152">
        <f>SUM(Financials!AK123:'Financials'!AM123)</f>
        <v>0</v>
      </c>
      <c r="CH123" s="152">
        <f>SUM(Financials!AN123:'Financials'!AP123)</f>
        <v>0</v>
      </c>
      <c r="CI123" s="152">
        <f>SUM(Financials!AR123:'Financials'!AT123)</f>
        <v>0</v>
      </c>
      <c r="CJ123" s="152">
        <f>SUM(Financials!AU123:'Financials'!AW123)</f>
        <v>0</v>
      </c>
      <c r="CK123" s="152">
        <f>SUM(Financials!AX123:'Financials'!AZ123)</f>
        <v>0</v>
      </c>
      <c r="CL123" s="152">
        <f>SUM(Financials!BA123:'Financials'!BC123)</f>
        <v>0</v>
      </c>
      <c r="CM123" s="152">
        <f>SUM(Financials!BE123:'Financials'!BG123)</f>
        <v>0</v>
      </c>
      <c r="CN123" s="152">
        <f>SUM(Financials!BH123:'Financials'!BJ123)</f>
        <v>0</v>
      </c>
      <c r="CO123" s="152">
        <f>SUM(Financials!BK123:'Financials'!BM123)</f>
        <v>0</v>
      </c>
      <c r="CP123" s="152">
        <f>SUM(Financials!BN123:'Financials'!BP123)</f>
        <v>0</v>
      </c>
      <c r="CY123" s="305"/>
      <c r="CZ123" s="305"/>
      <c r="DA123" s="305"/>
      <c r="DB123" s="305"/>
      <c r="DC123" s="305"/>
      <c r="DD123" s="305"/>
      <c r="DE123" s="305"/>
      <c r="DF123" s="305"/>
      <c r="DG123" s="305"/>
      <c r="DH123" s="305"/>
      <c r="DI123" s="305"/>
      <c r="DJ123" s="305"/>
      <c r="DK123" s="305"/>
      <c r="DL123" s="305"/>
      <c r="DM123" s="305"/>
      <c r="DN123" s="305"/>
      <c r="DO123" s="305"/>
      <c r="DP123" s="305"/>
      <c r="DQ123" s="305"/>
      <c r="DR123" s="305"/>
      <c r="DS123" s="305"/>
      <c r="DT123" s="305"/>
      <c r="DU123" s="305"/>
      <c r="DV123" s="305"/>
      <c r="DW123" s="305"/>
      <c r="DX123" s="305"/>
      <c r="DY123" s="305"/>
      <c r="DZ123" s="305"/>
      <c r="EA123" s="305"/>
      <c r="EB123" s="305"/>
      <c r="EC123" s="305"/>
      <c r="ED123" s="305"/>
      <c r="EE123" s="305"/>
      <c r="EF123" s="305"/>
      <c r="EG123" s="305"/>
      <c r="EH123" s="305"/>
      <c r="EI123" s="305"/>
      <c r="EJ123" s="305"/>
      <c r="EK123" s="305"/>
      <c r="EL123" s="305"/>
      <c r="EM123" s="305"/>
      <c r="EN123" s="305"/>
      <c r="EO123" s="305"/>
      <c r="EP123" s="305"/>
      <c r="EQ123" s="305"/>
      <c r="ER123" s="305"/>
      <c r="ES123" s="305"/>
      <c r="ET123" s="305"/>
      <c r="EU123" s="305"/>
      <c r="EV123" s="305"/>
      <c r="EW123" s="305"/>
      <c r="EX123" s="305"/>
      <c r="EY123" s="305"/>
      <c r="EZ123" s="305"/>
      <c r="FA123" s="305"/>
      <c r="FB123" s="305"/>
      <c r="FC123" s="305"/>
      <c r="FD123" s="305"/>
      <c r="FE123" s="305"/>
      <c r="FF123" s="305"/>
      <c r="FG123" s="305"/>
      <c r="FH123" s="305"/>
      <c r="FI123" s="305"/>
      <c r="FJ123" s="305"/>
    </row>
    <row r="124" spans="1:166" ht="12.75" hidden="1" customHeight="1" x14ac:dyDescent="0.35">
      <c r="A124" s="136"/>
      <c r="B124" s="136"/>
      <c r="C124" s="136"/>
      <c r="D124" s="172" t="str">
        <f>IF(Calcs!CE458=0,"TBD",Calcs!CE458)</f>
        <v>TBD</v>
      </c>
      <c r="E124" s="152">
        <f>Calcs!CF458</f>
        <v>0</v>
      </c>
      <c r="F124" s="152">
        <f>Calcs!CG458</f>
        <v>0</v>
      </c>
      <c r="G124" s="152">
        <f>Calcs!CH458</f>
        <v>0</v>
      </c>
      <c r="H124" s="152">
        <f>Calcs!CI458</f>
        <v>0</v>
      </c>
      <c r="I124" s="152">
        <f>Calcs!CJ458</f>
        <v>0</v>
      </c>
      <c r="J124" s="152">
        <f>Calcs!CK458</f>
        <v>0</v>
      </c>
      <c r="K124" s="152">
        <f>Calcs!CL458</f>
        <v>0</v>
      </c>
      <c r="L124" s="152">
        <f>Calcs!CM458</f>
        <v>0</v>
      </c>
      <c r="M124" s="152">
        <f>Calcs!CN458</f>
        <v>0</v>
      </c>
      <c r="N124" s="152">
        <f>Calcs!CO458</f>
        <v>0</v>
      </c>
      <c r="O124" s="152">
        <f>Calcs!CP458</f>
        <v>0</v>
      </c>
      <c r="P124" s="152">
        <f>Calcs!CQ458</f>
        <v>0</v>
      </c>
      <c r="Q124" s="151">
        <f>SUM(E124:P124)</f>
        <v>0</v>
      </c>
      <c r="R124" s="152">
        <f>Calcs!CR458</f>
        <v>0</v>
      </c>
      <c r="S124" s="152">
        <f>Calcs!CS458</f>
        <v>0</v>
      </c>
      <c r="T124" s="152">
        <f>Calcs!CT458</f>
        <v>0</v>
      </c>
      <c r="U124" s="152">
        <f>Calcs!CU458</f>
        <v>0</v>
      </c>
      <c r="V124" s="152">
        <f>Calcs!CV458</f>
        <v>0</v>
      </c>
      <c r="W124" s="152">
        <f>Calcs!CW458</f>
        <v>0</v>
      </c>
      <c r="X124" s="152">
        <f>Calcs!CX458</f>
        <v>0</v>
      </c>
      <c r="Y124" s="152">
        <f>Calcs!CY458</f>
        <v>0</v>
      </c>
      <c r="Z124" s="152">
        <f>Calcs!CZ458</f>
        <v>0</v>
      </c>
      <c r="AA124" s="152">
        <f>Calcs!DA458</f>
        <v>0</v>
      </c>
      <c r="AB124" s="152">
        <f>Calcs!DB458</f>
        <v>0</v>
      </c>
      <c r="AC124" s="152">
        <f>Calcs!DC458</f>
        <v>0</v>
      </c>
      <c r="AD124" s="152">
        <f>SUM(R124:AC124)</f>
        <v>0</v>
      </c>
      <c r="AE124" s="152">
        <f>Calcs!DD458</f>
        <v>0</v>
      </c>
      <c r="AF124" s="152">
        <f>Calcs!DE458</f>
        <v>0</v>
      </c>
      <c r="AG124" s="152">
        <f>Calcs!DF458</f>
        <v>0</v>
      </c>
      <c r="AH124" s="152">
        <f>Calcs!DG458</f>
        <v>0</v>
      </c>
      <c r="AI124" s="152">
        <f>Calcs!DH458</f>
        <v>0</v>
      </c>
      <c r="AJ124" s="152">
        <f>Calcs!DI458</f>
        <v>0</v>
      </c>
      <c r="AK124" s="152">
        <f>Calcs!DJ458</f>
        <v>0</v>
      </c>
      <c r="AL124" s="152">
        <f>Calcs!DK458</f>
        <v>0</v>
      </c>
      <c r="AM124" s="152">
        <f>Calcs!DL458</f>
        <v>0</v>
      </c>
      <c r="AN124" s="152">
        <f>Calcs!DM458</f>
        <v>0</v>
      </c>
      <c r="AO124" s="152">
        <f>Calcs!DN458</f>
        <v>0</v>
      </c>
      <c r="AP124" s="152">
        <f>Calcs!DO458</f>
        <v>0</v>
      </c>
      <c r="AQ124" s="152">
        <f>SUM(AE124:AP124)</f>
        <v>0</v>
      </c>
      <c r="AR124" s="152">
        <f>Calcs!DP458</f>
        <v>0</v>
      </c>
      <c r="AS124" s="152">
        <f>Calcs!DQ458</f>
        <v>0</v>
      </c>
      <c r="AT124" s="152">
        <f>Calcs!DR458</f>
        <v>0</v>
      </c>
      <c r="AU124" s="152">
        <f>Calcs!DS458</f>
        <v>0</v>
      </c>
      <c r="AV124" s="152">
        <f>Calcs!DT458</f>
        <v>0</v>
      </c>
      <c r="AW124" s="152">
        <f>Calcs!DU458</f>
        <v>0</v>
      </c>
      <c r="AX124" s="152">
        <f>Calcs!DV458</f>
        <v>0</v>
      </c>
      <c r="AY124" s="152">
        <f>Calcs!DW458</f>
        <v>0</v>
      </c>
      <c r="AZ124" s="152">
        <f>Calcs!DX458</f>
        <v>0</v>
      </c>
      <c r="BA124" s="152">
        <f>Calcs!DY458</f>
        <v>0</v>
      </c>
      <c r="BB124" s="152">
        <f>Calcs!DZ458</f>
        <v>0</v>
      </c>
      <c r="BC124" s="152">
        <f>Calcs!EA458</f>
        <v>0</v>
      </c>
      <c r="BD124" s="152">
        <f>SUM(AR124:BC124)</f>
        <v>0</v>
      </c>
      <c r="BE124" s="152">
        <f>Calcs!EB458</f>
        <v>0</v>
      </c>
      <c r="BF124" s="152">
        <f>Calcs!EC458</f>
        <v>0</v>
      </c>
      <c r="BG124" s="152">
        <f>Calcs!ED458</f>
        <v>0</v>
      </c>
      <c r="BH124" s="152">
        <f>Calcs!EE458</f>
        <v>0</v>
      </c>
      <c r="BI124" s="152">
        <f>Calcs!EF458</f>
        <v>0</v>
      </c>
      <c r="BJ124" s="152">
        <f>Calcs!EG458</f>
        <v>0</v>
      </c>
      <c r="BK124" s="152">
        <f>Calcs!EH458</f>
        <v>0</v>
      </c>
      <c r="BL124" s="152">
        <f>Calcs!EI458</f>
        <v>0</v>
      </c>
      <c r="BM124" s="152">
        <f>Calcs!EJ458</f>
        <v>0</v>
      </c>
      <c r="BN124" s="152">
        <f>Calcs!EK458</f>
        <v>0</v>
      </c>
      <c r="BO124" s="152">
        <f>Calcs!EL458</f>
        <v>0</v>
      </c>
      <c r="BP124" s="152">
        <f>Calcs!EM458</f>
        <v>0</v>
      </c>
      <c r="BQ124" s="152">
        <f>SUM(BE124:BP124)</f>
        <v>0</v>
      </c>
      <c r="BR124" s="1567"/>
      <c r="BS124" s="153">
        <f>SUM(BQ124,BD124,AQ124,AD124,Q124)</f>
        <v>0</v>
      </c>
      <c r="BT124" s="1567"/>
      <c r="BU124" s="171">
        <f>SUM(BQ124,BD124,AQ124,AD124,Q124)</f>
      </c>
      <c r="BV124" s="170">
        <f>Calcs!CE460</f>
        <v>0</v>
      </c>
      <c r="BW124" s="96">
        <f>SUM(Financials!E124:'Financials'!G124)</f>
        <v>0</v>
      </c>
      <c r="BX124" s="96">
        <f>SUM(Financials!H124:'Financials'!J124)</f>
        <v>0</v>
      </c>
      <c r="BY124" s="96">
        <f>SUM(Financials!K124:'Financials'!M124)</f>
        <v>0</v>
      </c>
      <c r="BZ124" s="172">
        <f>SUM(Financials!G124:'Financials'!I124)</f>
        <v>0</v>
      </c>
      <c r="CA124" s="152">
        <f>SUM(Financials!R124:'Financials'!T124)</f>
        <v>0</v>
      </c>
      <c r="CB124" s="152">
        <f>SUM(Financials!U124:'Financials'!W124)</f>
        <v>0</v>
      </c>
      <c r="CC124" s="152">
        <f>SUM(Financials!X124:'Financials'!Z124)</f>
        <v>0</v>
      </c>
      <c r="CD124" s="152">
        <f>SUM(Financials!AA124:'Financials'!AC124)</f>
        <v>0</v>
      </c>
      <c r="CE124" s="152">
        <f>SUM(Financials!AE124:'Financials'!AG124)</f>
        <v>0</v>
      </c>
      <c r="CF124" s="152">
        <f>SUM(Financials!AH124:'Financials'!AJ124)</f>
        <v>0</v>
      </c>
      <c r="CG124" s="152">
        <f>SUM(Financials!AK124:'Financials'!AM124)</f>
        <v>0</v>
      </c>
      <c r="CH124" s="152">
        <f>SUM(Financials!AN124:'Financials'!AP124)</f>
        <v>0</v>
      </c>
      <c r="CI124" s="152">
        <f>SUM(Financials!AR124:'Financials'!AT124)</f>
        <v>0</v>
      </c>
      <c r="CJ124" s="152">
        <f>SUM(Financials!AU124:'Financials'!AW124)</f>
        <v>0</v>
      </c>
      <c r="CK124" s="152">
        <f>SUM(Financials!AX124:'Financials'!AZ124)</f>
        <v>0</v>
      </c>
      <c r="CL124" s="152">
        <f>SUM(Financials!BA124:'Financials'!BC124)</f>
        <v>0</v>
      </c>
      <c r="CM124" s="152">
        <f>SUM(Financials!BE124:'Financials'!BG124)</f>
        <v>0</v>
      </c>
      <c r="CN124" s="152">
        <f>SUM(Financials!BH124:'Financials'!BJ124)</f>
        <v>0</v>
      </c>
      <c r="CO124" s="152">
        <f>SUM(Financials!BK124:'Financials'!BM124)</f>
        <v>0</v>
      </c>
      <c r="CP124" s="152">
        <f>SUM(Financials!BN124:'Financials'!BP124)</f>
        <v>0</v>
      </c>
      <c r="CY124" s="305"/>
      <c r="CZ124" s="305"/>
      <c r="DA124" s="305"/>
      <c r="DB124" s="305"/>
      <c r="DC124" s="305"/>
      <c r="DD124" s="305"/>
      <c r="DE124" s="305"/>
      <c r="DF124" s="305"/>
      <c r="DG124" s="305"/>
      <c r="DH124" s="305"/>
      <c r="DI124" s="305"/>
      <c r="DJ124" s="305"/>
      <c r="DK124" s="305"/>
      <c r="DL124" s="305"/>
      <c r="DM124" s="305"/>
      <c r="DN124" s="305"/>
      <c r="DO124" s="305"/>
      <c r="DP124" s="305"/>
      <c r="DQ124" s="305"/>
      <c r="DR124" s="305"/>
      <c r="DS124" s="305"/>
      <c r="DT124" s="305"/>
      <c r="DU124" s="305"/>
      <c r="DV124" s="305"/>
      <c r="DW124" s="305"/>
      <c r="DX124" s="305"/>
      <c r="DY124" s="305"/>
      <c r="DZ124" s="305"/>
      <c r="EA124" s="305"/>
      <c r="EB124" s="305"/>
      <c r="EC124" s="305"/>
      <c r="ED124" s="305"/>
      <c r="EE124" s="305"/>
      <c r="EF124" s="305"/>
      <c r="EG124" s="305"/>
      <c r="EH124" s="305"/>
      <c r="EI124" s="305"/>
      <c r="EJ124" s="305"/>
      <c r="EK124" s="305"/>
      <c r="EL124" s="305"/>
      <c r="EM124" s="305"/>
      <c r="EN124" s="305"/>
      <c r="EO124" s="305"/>
      <c r="EP124" s="305"/>
      <c r="EQ124" s="305"/>
      <c r="ER124" s="305"/>
      <c r="ES124" s="305"/>
      <c r="ET124" s="305"/>
      <c r="EU124" s="305"/>
      <c r="EV124" s="305"/>
      <c r="EW124" s="305"/>
      <c r="EX124" s="305"/>
      <c r="EY124" s="305"/>
      <c r="EZ124" s="305"/>
      <c r="FA124" s="305"/>
      <c r="FB124" s="305"/>
      <c r="FC124" s="305"/>
      <c r="FD124" s="305"/>
      <c r="FE124" s="305"/>
      <c r="FF124" s="305"/>
      <c r="FG124" s="305"/>
      <c r="FH124" s="305"/>
      <c r="FI124" s="305"/>
      <c r="FJ124" s="305"/>
    </row>
    <row r="125" spans="1:166" ht="12.75" hidden="1" customHeight="1" x14ac:dyDescent="0.35">
      <c r="A125" s="136"/>
      <c r="B125" s="136"/>
      <c r="C125" s="136"/>
      <c r="D125" s="172" t="str">
        <f>IF(Calcs!CE459=0,"TBD",Calcs!CE459)</f>
        <v>TBD</v>
      </c>
      <c r="E125" s="152">
        <f>Calcs!CF459</f>
        <v>0</v>
      </c>
      <c r="F125" s="152">
        <f>Calcs!CG459</f>
        <v>0</v>
      </c>
      <c r="G125" s="152">
        <f>Calcs!CH459</f>
        <v>0</v>
      </c>
      <c r="H125" s="152">
        <f>Calcs!CI459</f>
        <v>0</v>
      </c>
      <c r="I125" s="152">
        <f>Calcs!CJ459</f>
        <v>0</v>
      </c>
      <c r="J125" s="152">
        <f>Calcs!CK459</f>
        <v>0</v>
      </c>
      <c r="K125" s="152">
        <f>Calcs!CL459</f>
        <v>0</v>
      </c>
      <c r="L125" s="152">
        <f>Calcs!CM459</f>
        <v>0</v>
      </c>
      <c r="M125" s="152">
        <f>Calcs!CN459</f>
        <v>0</v>
      </c>
      <c r="N125" s="152">
        <f>Calcs!CO459</f>
        <v>0</v>
      </c>
      <c r="O125" s="152">
        <f>Calcs!CP459</f>
        <v>0</v>
      </c>
      <c r="P125" s="152">
        <f>Calcs!CQ459</f>
        <v>0</v>
      </c>
      <c r="Q125" s="151">
        <f>SUM(E125:P125)</f>
        <v>0</v>
      </c>
      <c r="R125" s="152">
        <f>Calcs!CR459</f>
        <v>0</v>
      </c>
      <c r="S125" s="152">
        <f>Calcs!CS459</f>
        <v>0</v>
      </c>
      <c r="T125" s="152">
        <f>Calcs!CT459</f>
        <v>0</v>
      </c>
      <c r="U125" s="152">
        <f>Calcs!CU459</f>
        <v>0</v>
      </c>
      <c r="V125" s="152">
        <f>Calcs!CV459</f>
        <v>0</v>
      </c>
      <c r="W125" s="152">
        <f>Calcs!CW459</f>
        <v>0</v>
      </c>
      <c r="X125" s="152">
        <f>Calcs!CX459</f>
        <v>0</v>
      </c>
      <c r="Y125" s="152">
        <f>Calcs!CY459</f>
        <v>0</v>
      </c>
      <c r="Z125" s="152">
        <f>Calcs!CZ459</f>
        <v>0</v>
      </c>
      <c r="AA125" s="152">
        <f>Calcs!DA459</f>
        <v>0</v>
      </c>
      <c r="AB125" s="152">
        <f>Calcs!DB459</f>
        <v>0</v>
      </c>
      <c r="AC125" s="152">
        <f>Calcs!DC459</f>
        <v>0</v>
      </c>
      <c r="AD125" s="152">
        <f>SUM(R125:AC125)</f>
        <v>0</v>
      </c>
      <c r="AE125" s="152">
        <f>Calcs!DD459</f>
        <v>0</v>
      </c>
      <c r="AF125" s="152">
        <f>Calcs!DE459</f>
        <v>0</v>
      </c>
      <c r="AG125" s="152">
        <f>Calcs!DF459</f>
        <v>0</v>
      </c>
      <c r="AH125" s="152">
        <f>Calcs!DG459</f>
        <v>0</v>
      </c>
      <c r="AI125" s="152">
        <f>Calcs!DH459</f>
        <v>0</v>
      </c>
      <c r="AJ125" s="152">
        <f>Calcs!DI459</f>
        <v>0</v>
      </c>
      <c r="AK125" s="152">
        <f>Calcs!DJ459</f>
        <v>0</v>
      </c>
      <c r="AL125" s="152">
        <f>Calcs!DK459</f>
        <v>0</v>
      </c>
      <c r="AM125" s="152">
        <f>Calcs!DL459</f>
        <v>0</v>
      </c>
      <c r="AN125" s="152">
        <f>Calcs!DM459</f>
        <v>0</v>
      </c>
      <c r="AO125" s="152">
        <f>Calcs!DN459</f>
        <v>0</v>
      </c>
      <c r="AP125" s="152">
        <f>Calcs!DO459</f>
        <v>0</v>
      </c>
      <c r="AQ125" s="152">
        <f>SUM(AE125:AP125)</f>
        <v>0</v>
      </c>
      <c r="AR125" s="152">
        <f>Calcs!DP459</f>
        <v>0</v>
      </c>
      <c r="AS125" s="152">
        <f>Calcs!DQ459</f>
        <v>0</v>
      </c>
      <c r="AT125" s="152">
        <f>Calcs!DR459</f>
        <v>0</v>
      </c>
      <c r="AU125" s="152">
        <f>Calcs!DS459</f>
        <v>0</v>
      </c>
      <c r="AV125" s="152">
        <f>Calcs!DT459</f>
        <v>0</v>
      </c>
      <c r="AW125" s="152">
        <f>Calcs!DU459</f>
        <v>0</v>
      </c>
      <c r="AX125" s="152">
        <f>Calcs!DV459</f>
        <v>0</v>
      </c>
      <c r="AY125" s="152">
        <f>Calcs!DW459</f>
        <v>0</v>
      </c>
      <c r="AZ125" s="152">
        <f>Calcs!DX459</f>
        <v>0</v>
      </c>
      <c r="BA125" s="152">
        <f>Calcs!DY459</f>
        <v>0</v>
      </c>
      <c r="BB125" s="152">
        <f>Calcs!DZ459</f>
        <v>0</v>
      </c>
      <c r="BC125" s="152">
        <f>Calcs!EA459</f>
        <v>0</v>
      </c>
      <c r="BD125" s="152">
        <f>SUM(AR125:BC125)</f>
        <v>0</v>
      </c>
      <c r="BE125" s="152">
        <f>Calcs!EB459</f>
        <v>0</v>
      </c>
      <c r="BF125" s="152">
        <f>Calcs!EC459</f>
        <v>0</v>
      </c>
      <c r="BG125" s="152">
        <f>Calcs!ED459</f>
        <v>0</v>
      </c>
      <c r="BH125" s="152">
        <f>Calcs!EE459</f>
        <v>0</v>
      </c>
      <c r="BI125" s="152">
        <f>Calcs!EF459</f>
        <v>0</v>
      </c>
      <c r="BJ125" s="152">
        <f>Calcs!EG459</f>
        <v>0</v>
      </c>
      <c r="BK125" s="152">
        <f>Calcs!EH459</f>
        <v>0</v>
      </c>
      <c r="BL125" s="152">
        <f>Calcs!EI459</f>
        <v>0</v>
      </c>
      <c r="BM125" s="152">
        <f>Calcs!EJ459</f>
        <v>0</v>
      </c>
      <c r="BN125" s="152">
        <f>Calcs!EK459</f>
        <v>0</v>
      </c>
      <c r="BO125" s="152">
        <f>Calcs!EL459</f>
        <v>0</v>
      </c>
      <c r="BP125" s="152">
        <f>Calcs!EM459</f>
        <v>0</v>
      </c>
      <c r="BQ125" s="152">
        <f>SUM(BE125:BP125)</f>
        <v>0</v>
      </c>
      <c r="BR125" s="1567"/>
      <c r="BS125" s="153">
        <f>SUM(BQ125,BD125,AQ125,AD125,Q125)</f>
        <v>0</v>
      </c>
      <c r="BT125" s="1567"/>
      <c r="BU125" s="171">
        <f>SUM(BQ125,BD125,AQ125,AD125,Q125)</f>
      </c>
      <c r="BV125" s="170">
        <f>Calcs!CE462</f>
        <v>0</v>
      </c>
      <c r="BW125" s="96">
        <f>SUM(Financials!E125:'Financials'!G125)</f>
        <v>0</v>
      </c>
      <c r="BX125" s="96">
        <f>SUM(Financials!H125:'Financials'!J125)</f>
        <v>0</v>
      </c>
      <c r="BY125" s="96">
        <f>SUM(Financials!K125:'Financials'!M125)</f>
        <v>0</v>
      </c>
      <c r="BZ125" s="172">
        <f>SUM(Financials!G125:'Financials'!I125)</f>
        <v>0</v>
      </c>
      <c r="CA125" s="152">
        <f>SUM(Financials!R125:'Financials'!T125)</f>
        <v>0</v>
      </c>
      <c r="CB125" s="152">
        <f>SUM(Financials!U125:'Financials'!W125)</f>
        <v>0</v>
      </c>
      <c r="CC125" s="152">
        <f>SUM(Financials!X125:'Financials'!Z125)</f>
        <v>0</v>
      </c>
      <c r="CD125" s="152">
        <f>SUM(Financials!AA125:'Financials'!AC125)</f>
        <v>0</v>
      </c>
      <c r="CE125" s="152">
        <f>SUM(Financials!AE125:'Financials'!AG125)</f>
        <v>0</v>
      </c>
      <c r="CF125" s="152">
        <f>SUM(Financials!AH125:'Financials'!AJ125)</f>
        <v>0</v>
      </c>
      <c r="CG125" s="152">
        <f>SUM(Financials!AK125:'Financials'!AM125)</f>
        <v>0</v>
      </c>
      <c r="CH125" s="152">
        <f>SUM(Financials!AN125:'Financials'!AP125)</f>
        <v>0</v>
      </c>
      <c r="CI125" s="152">
        <f>SUM(Financials!AR125:'Financials'!AT125)</f>
        <v>0</v>
      </c>
      <c r="CJ125" s="152">
        <f>SUM(Financials!AU125:'Financials'!AW125)</f>
        <v>0</v>
      </c>
      <c r="CK125" s="152">
        <f>SUM(Financials!AX125:'Financials'!AZ125)</f>
        <v>0</v>
      </c>
      <c r="CL125" s="152">
        <f>SUM(Financials!BA125:'Financials'!BC125)</f>
        <v>0</v>
      </c>
      <c r="CM125" s="152">
        <f>SUM(Financials!BE125:'Financials'!BG125)</f>
        <v>0</v>
      </c>
      <c r="CN125" s="152">
        <f>SUM(Financials!BH125:'Financials'!BJ125)</f>
        <v>0</v>
      </c>
      <c r="CO125" s="152">
        <f>SUM(Financials!BK125:'Financials'!BM125)</f>
        <v>0</v>
      </c>
      <c r="CP125" s="152">
        <f>SUM(Financials!BN125:'Financials'!BP125)</f>
        <v>0</v>
      </c>
      <c r="CY125" s="305"/>
      <c r="CZ125" s="305"/>
      <c r="DA125" s="305"/>
      <c r="DB125" s="305"/>
      <c r="DC125" s="305"/>
      <c r="DD125" s="305"/>
      <c r="DE125" s="305"/>
      <c r="DF125" s="305"/>
      <c r="DG125" s="305"/>
      <c r="DH125" s="305"/>
      <c r="DI125" s="305"/>
      <c r="DJ125" s="305"/>
      <c r="DK125" s="305"/>
      <c r="DL125" s="305"/>
      <c r="DM125" s="305"/>
      <c r="DN125" s="305"/>
      <c r="DO125" s="305"/>
      <c r="DP125" s="305"/>
      <c r="DQ125" s="305"/>
      <c r="DR125" s="305"/>
      <c r="DS125" s="305"/>
      <c r="DT125" s="305"/>
      <c r="DU125" s="305"/>
      <c r="DV125" s="305"/>
      <c r="DW125" s="305"/>
      <c r="DX125" s="305"/>
      <c r="DY125" s="305"/>
      <c r="DZ125" s="305"/>
      <c r="EA125" s="305"/>
      <c r="EB125" s="305"/>
      <c r="EC125" s="305"/>
      <c r="ED125" s="305"/>
      <c r="EE125" s="305"/>
      <c r="EF125" s="305"/>
      <c r="EG125" s="305"/>
      <c r="EH125" s="305"/>
      <c r="EI125" s="305"/>
      <c r="EJ125" s="305"/>
      <c r="EK125" s="305"/>
      <c r="EL125" s="305"/>
      <c r="EM125" s="305"/>
      <c r="EN125" s="305"/>
      <c r="EO125" s="305"/>
      <c r="EP125" s="305"/>
      <c r="EQ125" s="305"/>
      <c r="ER125" s="305"/>
      <c r="ES125" s="305"/>
      <c r="ET125" s="305"/>
      <c r="EU125" s="305"/>
      <c r="EV125" s="305"/>
      <c r="EW125" s="305"/>
      <c r="EX125" s="305"/>
      <c r="EY125" s="305"/>
      <c r="EZ125" s="305"/>
      <c r="FA125" s="305"/>
      <c r="FB125" s="305"/>
      <c r="FC125" s="305"/>
      <c r="FD125" s="305"/>
      <c r="FE125" s="305"/>
      <c r="FF125" s="305"/>
      <c r="FG125" s="305"/>
      <c r="FH125" s="305"/>
      <c r="FI125" s="305"/>
      <c r="FJ125" s="305"/>
    </row>
    <row r="126" spans="1:166" ht="12.75" hidden="1" customHeight="1" x14ac:dyDescent="0.35">
      <c r="A126" s="136"/>
      <c r="B126" s="136"/>
      <c r="C126" s="136"/>
      <c r="D126" s="172" t="str">
        <f>IF(Calcs!CE460=0,"TBD",Calcs!CE460)</f>
        <v>TBD</v>
      </c>
      <c r="E126" s="152">
        <f>Calcs!CF460</f>
        <v>0</v>
      </c>
      <c r="F126" s="152">
        <f>Calcs!CG460</f>
        <v>0</v>
      </c>
      <c r="G126" s="152">
        <f>Calcs!CH460</f>
        <v>0</v>
      </c>
      <c r="H126" s="152">
        <f>Calcs!CI460</f>
        <v>0</v>
      </c>
      <c r="I126" s="152">
        <f>Calcs!CJ460</f>
        <v>0</v>
      </c>
      <c r="J126" s="152">
        <f>Calcs!CK460</f>
        <v>0</v>
      </c>
      <c r="K126" s="152">
        <f>Calcs!CL460</f>
        <v>0</v>
      </c>
      <c r="L126" s="152">
        <f>Calcs!CM460</f>
        <v>0</v>
      </c>
      <c r="M126" s="152">
        <f>Calcs!CN460</f>
        <v>0</v>
      </c>
      <c r="N126" s="152">
        <f>Calcs!CO460</f>
        <v>0</v>
      </c>
      <c r="O126" s="152">
        <f>Calcs!CP460</f>
        <v>0</v>
      </c>
      <c r="P126" s="152">
        <f>Calcs!CQ460</f>
        <v>0</v>
      </c>
      <c r="Q126" s="151">
        <f>SUM(E126:P126)</f>
        <v>0</v>
      </c>
      <c r="R126" s="152">
        <f>Calcs!CR460</f>
        <v>0</v>
      </c>
      <c r="S126" s="152">
        <f>Calcs!CS460</f>
        <v>0</v>
      </c>
      <c r="T126" s="152">
        <f>Calcs!CT460</f>
        <v>0</v>
      </c>
      <c r="U126" s="152">
        <f>Calcs!CU460</f>
        <v>0</v>
      </c>
      <c r="V126" s="152">
        <f>Calcs!CV460</f>
        <v>0</v>
      </c>
      <c r="W126" s="152">
        <f>Calcs!CW460</f>
        <v>0</v>
      </c>
      <c r="X126" s="152">
        <f>Calcs!CX460</f>
        <v>0</v>
      </c>
      <c r="Y126" s="152">
        <f>Calcs!CY460</f>
        <v>0</v>
      </c>
      <c r="Z126" s="152">
        <f>Calcs!CZ460</f>
        <v>0</v>
      </c>
      <c r="AA126" s="152">
        <f>Calcs!DA460</f>
        <v>0</v>
      </c>
      <c r="AB126" s="152">
        <f>Calcs!DB460</f>
        <v>0</v>
      </c>
      <c r="AC126" s="152">
        <f>Calcs!DC460</f>
        <v>0</v>
      </c>
      <c r="AD126" s="152">
        <f>SUM(R126:AC126)</f>
        <v>0</v>
      </c>
      <c r="AE126" s="152">
        <f>Calcs!DD460</f>
        <v>0</v>
      </c>
      <c r="AF126" s="152">
        <f>Calcs!DE460</f>
        <v>0</v>
      </c>
      <c r="AG126" s="152">
        <f>Calcs!DF460</f>
        <v>0</v>
      </c>
      <c r="AH126" s="152">
        <f>Calcs!DG460</f>
        <v>0</v>
      </c>
      <c r="AI126" s="152">
        <f>Calcs!DH460</f>
        <v>0</v>
      </c>
      <c r="AJ126" s="152">
        <f>Calcs!DI460</f>
        <v>0</v>
      </c>
      <c r="AK126" s="152">
        <f>Calcs!DJ460</f>
        <v>0</v>
      </c>
      <c r="AL126" s="152">
        <f>Calcs!DK460</f>
        <v>0</v>
      </c>
      <c r="AM126" s="152">
        <f>Calcs!DL460</f>
        <v>0</v>
      </c>
      <c r="AN126" s="152">
        <f>Calcs!DM460</f>
        <v>0</v>
      </c>
      <c r="AO126" s="152">
        <f>Calcs!DN460</f>
        <v>0</v>
      </c>
      <c r="AP126" s="152">
        <f>Calcs!DO460</f>
        <v>0</v>
      </c>
      <c r="AQ126" s="152">
        <f>SUM(AE126:AP126)</f>
        <v>0</v>
      </c>
      <c r="AR126" s="152">
        <f>Calcs!DP460</f>
        <v>0</v>
      </c>
      <c r="AS126" s="152">
        <f>Calcs!DQ460</f>
        <v>0</v>
      </c>
      <c r="AT126" s="152">
        <f>Calcs!DR460</f>
        <v>0</v>
      </c>
      <c r="AU126" s="152">
        <f>Calcs!DS460</f>
        <v>0</v>
      </c>
      <c r="AV126" s="152">
        <f>Calcs!DT460</f>
        <v>0</v>
      </c>
      <c r="AW126" s="152">
        <f>Calcs!DU460</f>
        <v>0</v>
      </c>
      <c r="AX126" s="152">
        <f>Calcs!DV460</f>
        <v>0</v>
      </c>
      <c r="AY126" s="152">
        <f>Calcs!DW460</f>
        <v>0</v>
      </c>
      <c r="AZ126" s="152">
        <f>Calcs!DX460</f>
        <v>0</v>
      </c>
      <c r="BA126" s="152">
        <f>Calcs!DY460</f>
        <v>0</v>
      </c>
      <c r="BB126" s="152">
        <f>Calcs!DZ460</f>
        <v>0</v>
      </c>
      <c r="BC126" s="152">
        <f>Calcs!EA460</f>
        <v>0</v>
      </c>
      <c r="BD126" s="152">
        <f>SUM(AR126:BC126)</f>
        <v>0</v>
      </c>
      <c r="BE126" s="152">
        <f>Calcs!EB460</f>
        <v>0</v>
      </c>
      <c r="BF126" s="152">
        <f>Calcs!EC460</f>
        <v>0</v>
      </c>
      <c r="BG126" s="152">
        <f>Calcs!ED460</f>
        <v>0</v>
      </c>
      <c r="BH126" s="152">
        <f>Calcs!EE460</f>
        <v>0</v>
      </c>
      <c r="BI126" s="152">
        <f>Calcs!EF460</f>
        <v>0</v>
      </c>
      <c r="BJ126" s="152">
        <f>Calcs!EG460</f>
        <v>0</v>
      </c>
      <c r="BK126" s="152">
        <f>Calcs!EH460</f>
        <v>0</v>
      </c>
      <c r="BL126" s="152">
        <f>Calcs!EI460</f>
        <v>0</v>
      </c>
      <c r="BM126" s="152">
        <f>Calcs!EJ460</f>
        <v>0</v>
      </c>
      <c r="BN126" s="152">
        <f>Calcs!EK460</f>
        <v>0</v>
      </c>
      <c r="BO126" s="152">
        <f>Calcs!EL460</f>
        <v>0</v>
      </c>
      <c r="BP126" s="152">
        <f>Calcs!EM460</f>
        <v>0</v>
      </c>
      <c r="BQ126" s="152">
        <f>SUM(BE126:BP126)</f>
        <v>0</v>
      </c>
      <c r="BR126" s="1567"/>
      <c r="BS126" s="153">
        <f>SUM(BQ126,BD126,AQ126,AD126,Q126)</f>
        <v>0</v>
      </c>
      <c r="BT126" s="1567"/>
      <c r="BU126" s="171">
        <f>SUM(BQ126,BD126,AQ126,AD126,Q126)</f>
      </c>
      <c r="BV126" s="170">
        <f>Calcs!CE463</f>
        <v>0</v>
      </c>
      <c r="BW126" s="96">
        <f>SUM(Financials!E126:'Financials'!G126)</f>
        <v>0</v>
      </c>
      <c r="BX126" s="96">
        <f>SUM(Financials!H126:'Financials'!J126)</f>
        <v>0</v>
      </c>
      <c r="BY126" s="96">
        <f>SUM(Financials!K126:'Financials'!M126)</f>
        <v>0</v>
      </c>
      <c r="BZ126" s="172">
        <f>SUM(Financials!G126:'Financials'!I126)</f>
        <v>0</v>
      </c>
      <c r="CA126" s="152">
        <f>SUM(Financials!R126:'Financials'!T126)</f>
        <v>0</v>
      </c>
      <c r="CB126" s="152">
        <f>SUM(Financials!U126:'Financials'!W126)</f>
        <v>0</v>
      </c>
      <c r="CC126" s="152">
        <f>SUM(Financials!X126:'Financials'!Z126)</f>
        <v>0</v>
      </c>
      <c r="CD126" s="152">
        <f>SUM(Financials!AA126:'Financials'!AC126)</f>
        <v>0</v>
      </c>
      <c r="CE126" s="152">
        <f>SUM(Financials!AE126:'Financials'!AG126)</f>
        <v>0</v>
      </c>
      <c r="CF126" s="152">
        <f>SUM(Financials!AH126:'Financials'!AJ126)</f>
        <v>0</v>
      </c>
      <c r="CG126" s="152">
        <f>SUM(Financials!AK126:'Financials'!AM126)</f>
        <v>0</v>
      </c>
      <c r="CH126" s="152">
        <f>SUM(Financials!AN126:'Financials'!AP126)</f>
        <v>0</v>
      </c>
      <c r="CI126" s="152">
        <f>SUM(Financials!AR126:'Financials'!AT126)</f>
        <v>0</v>
      </c>
      <c r="CJ126" s="152">
        <f>SUM(Financials!AU126:'Financials'!AW126)</f>
        <v>0</v>
      </c>
      <c r="CK126" s="152">
        <f>SUM(Financials!AX126:'Financials'!AZ126)</f>
        <v>0</v>
      </c>
      <c r="CL126" s="152">
        <f>SUM(Financials!BA126:'Financials'!BC126)</f>
        <v>0</v>
      </c>
      <c r="CM126" s="152">
        <f>SUM(Financials!BE126:'Financials'!BG126)</f>
        <v>0</v>
      </c>
      <c r="CN126" s="152">
        <f>SUM(Financials!BH126:'Financials'!BJ126)</f>
        <v>0</v>
      </c>
      <c r="CO126" s="152">
        <f>SUM(Financials!BK126:'Financials'!BM126)</f>
        <v>0</v>
      </c>
      <c r="CP126" s="152">
        <f>SUM(Financials!BN126:'Financials'!BP126)</f>
        <v>0</v>
      </c>
      <c r="CY126" s="305"/>
      <c r="CZ126" s="305"/>
      <c r="DA126" s="305"/>
      <c r="DB126" s="305"/>
      <c r="DC126" s="305"/>
      <c r="DD126" s="305"/>
      <c r="DE126" s="305"/>
      <c r="DF126" s="305"/>
      <c r="DG126" s="305"/>
      <c r="DH126" s="305"/>
      <c r="DI126" s="305"/>
      <c r="DJ126" s="305"/>
      <c r="DK126" s="305"/>
      <c r="DL126" s="305"/>
      <c r="DM126" s="305"/>
      <c r="DN126" s="305"/>
      <c r="DO126" s="305"/>
      <c r="DP126" s="305"/>
      <c r="DQ126" s="305"/>
      <c r="DR126" s="305"/>
      <c r="DS126" s="305"/>
      <c r="DT126" s="305"/>
      <c r="DU126" s="305"/>
      <c r="DV126" s="305"/>
      <c r="DW126" s="305"/>
      <c r="DX126" s="305"/>
      <c r="DY126" s="305"/>
      <c r="DZ126" s="305"/>
      <c r="EA126" s="305"/>
      <c r="EB126" s="305"/>
      <c r="EC126" s="305"/>
      <c r="ED126" s="305"/>
      <c r="EE126" s="305"/>
      <c r="EF126" s="305"/>
      <c r="EG126" s="305"/>
      <c r="EH126" s="305"/>
      <c r="EI126" s="305"/>
      <c r="EJ126" s="305"/>
      <c r="EK126" s="305"/>
      <c r="EL126" s="305"/>
      <c r="EM126" s="305"/>
      <c r="EN126" s="305"/>
      <c r="EO126" s="305"/>
      <c r="EP126" s="305"/>
      <c r="EQ126" s="305"/>
      <c r="ER126" s="305"/>
      <c r="ES126" s="305"/>
      <c r="ET126" s="305"/>
      <c r="EU126" s="305"/>
      <c r="EV126" s="305"/>
      <c r="EW126" s="305"/>
      <c r="EX126" s="305"/>
      <c r="EY126" s="305"/>
      <c r="EZ126" s="305"/>
      <c r="FA126" s="305"/>
      <c r="FB126" s="305"/>
      <c r="FC126" s="305"/>
      <c r="FD126" s="305"/>
      <c r="FE126" s="305"/>
      <c r="FF126" s="305"/>
      <c r="FG126" s="305"/>
      <c r="FH126" s="305"/>
      <c r="FI126" s="305"/>
      <c r="FJ126" s="305"/>
    </row>
    <row r="127" spans="1:166" ht="12.75" hidden="1" customHeight="1" x14ac:dyDescent="0.35">
      <c r="A127" s="136"/>
      <c r="B127" s="136"/>
      <c r="C127" s="136"/>
      <c r="D127" s="172" t="str">
        <f>IF(Calcs!CE461=0,"TBD",Calcs!CE461)</f>
        <v>TBD</v>
      </c>
      <c r="E127" s="152">
        <f>Calcs!CF461</f>
        <v>0</v>
      </c>
      <c r="F127" s="152">
        <f>Calcs!CG461</f>
        <v>0</v>
      </c>
      <c r="G127" s="152">
        <f>Calcs!CH461</f>
        <v>0</v>
      </c>
      <c r="H127" s="152">
        <f>Calcs!CI461</f>
        <v>0</v>
      </c>
      <c r="I127" s="152">
        <f>Calcs!CJ461</f>
        <v>0</v>
      </c>
      <c r="J127" s="152">
        <f>Calcs!CK461</f>
        <v>0</v>
      </c>
      <c r="K127" s="152">
        <f>Calcs!CL461</f>
        <v>0</v>
      </c>
      <c r="L127" s="152">
        <f>Calcs!CM461</f>
        <v>0</v>
      </c>
      <c r="M127" s="152">
        <f>Calcs!CN461</f>
        <v>0</v>
      </c>
      <c r="N127" s="152">
        <f>Calcs!CO461</f>
        <v>0</v>
      </c>
      <c r="O127" s="152">
        <f>Calcs!CP461</f>
        <v>0</v>
      </c>
      <c r="P127" s="152">
        <f>Calcs!CQ461</f>
        <v>0</v>
      </c>
      <c r="Q127" s="151">
        <f>SUM(E127:P127)</f>
        <v>0</v>
      </c>
      <c r="R127" s="152">
        <f>Calcs!CR461</f>
        <v>0</v>
      </c>
      <c r="S127" s="152">
        <f>Calcs!CS461</f>
        <v>0</v>
      </c>
      <c r="T127" s="152">
        <f>Calcs!CT461</f>
        <v>0</v>
      </c>
      <c r="U127" s="152">
        <f>Calcs!CU461</f>
        <v>0</v>
      </c>
      <c r="V127" s="152">
        <f>Calcs!CV461</f>
        <v>0</v>
      </c>
      <c r="W127" s="152">
        <f>Calcs!CW461</f>
        <v>0</v>
      </c>
      <c r="X127" s="152">
        <f>Calcs!CX461</f>
        <v>0</v>
      </c>
      <c r="Y127" s="152">
        <f>Calcs!CY461</f>
        <v>0</v>
      </c>
      <c r="Z127" s="152">
        <f>Calcs!CZ461</f>
        <v>0</v>
      </c>
      <c r="AA127" s="152">
        <f>Calcs!DA461</f>
        <v>0</v>
      </c>
      <c r="AB127" s="152">
        <f>Calcs!DB461</f>
        <v>0</v>
      </c>
      <c r="AC127" s="152">
        <f>Calcs!DC461</f>
        <v>0</v>
      </c>
      <c r="AD127" s="152">
        <f>SUM(R127:AC127)</f>
        <v>0</v>
      </c>
      <c r="AE127" s="152">
        <f>Calcs!DD461</f>
        <v>0</v>
      </c>
      <c r="AF127" s="152">
        <f>Calcs!DE461</f>
        <v>0</v>
      </c>
      <c r="AG127" s="152">
        <f>Calcs!DF461</f>
        <v>0</v>
      </c>
      <c r="AH127" s="152">
        <f>Calcs!DG461</f>
        <v>0</v>
      </c>
      <c r="AI127" s="152">
        <f>Calcs!DH461</f>
        <v>0</v>
      </c>
      <c r="AJ127" s="152">
        <f>Calcs!DI461</f>
        <v>0</v>
      </c>
      <c r="AK127" s="152">
        <f>Calcs!DJ461</f>
        <v>0</v>
      </c>
      <c r="AL127" s="152">
        <f>Calcs!DK461</f>
        <v>0</v>
      </c>
      <c r="AM127" s="152">
        <f>Calcs!DL461</f>
        <v>0</v>
      </c>
      <c r="AN127" s="152">
        <f>Calcs!DM461</f>
        <v>0</v>
      </c>
      <c r="AO127" s="152">
        <f>Calcs!DN461</f>
        <v>0</v>
      </c>
      <c r="AP127" s="152">
        <f>Calcs!DO461</f>
        <v>0</v>
      </c>
      <c r="AQ127" s="152">
        <f>SUM(AE127:AP127)</f>
        <v>0</v>
      </c>
      <c r="AR127" s="152">
        <f>Calcs!DP461</f>
        <v>0</v>
      </c>
      <c r="AS127" s="152">
        <f>Calcs!DQ461</f>
        <v>0</v>
      </c>
      <c r="AT127" s="152">
        <f>Calcs!DR461</f>
        <v>0</v>
      </c>
      <c r="AU127" s="152">
        <f>Calcs!DS461</f>
        <v>0</v>
      </c>
      <c r="AV127" s="152">
        <f>Calcs!DT461</f>
        <v>0</v>
      </c>
      <c r="AW127" s="152">
        <f>Calcs!DU461</f>
        <v>0</v>
      </c>
      <c r="AX127" s="152">
        <f>Calcs!DV461</f>
        <v>0</v>
      </c>
      <c r="AY127" s="152">
        <f>Calcs!DW461</f>
        <v>0</v>
      </c>
      <c r="AZ127" s="152">
        <f>Calcs!DX461</f>
        <v>0</v>
      </c>
      <c r="BA127" s="152">
        <f>Calcs!DY461</f>
        <v>0</v>
      </c>
      <c r="BB127" s="152">
        <f>Calcs!DZ461</f>
        <v>0</v>
      </c>
      <c r="BC127" s="152">
        <f>Calcs!EA461</f>
        <v>0</v>
      </c>
      <c r="BD127" s="152">
        <f>SUM(AR127:BC127)</f>
        <v>0</v>
      </c>
      <c r="BE127" s="152">
        <f>Calcs!EB461</f>
        <v>0</v>
      </c>
      <c r="BF127" s="152">
        <f>Calcs!EC461</f>
        <v>0</v>
      </c>
      <c r="BG127" s="152">
        <f>Calcs!ED461</f>
        <v>0</v>
      </c>
      <c r="BH127" s="152">
        <f>Calcs!EE461</f>
        <v>0</v>
      </c>
      <c r="BI127" s="152">
        <f>Calcs!EF461</f>
        <v>0</v>
      </c>
      <c r="BJ127" s="152">
        <f>Calcs!EG461</f>
        <v>0</v>
      </c>
      <c r="BK127" s="152">
        <f>Calcs!EH461</f>
        <v>0</v>
      </c>
      <c r="BL127" s="152">
        <f>Calcs!EI461</f>
        <v>0</v>
      </c>
      <c r="BM127" s="152">
        <f>Calcs!EJ461</f>
        <v>0</v>
      </c>
      <c r="BN127" s="152">
        <f>Calcs!EK461</f>
        <v>0</v>
      </c>
      <c r="BO127" s="152">
        <f>Calcs!EL461</f>
        <v>0</v>
      </c>
      <c r="BP127" s="152">
        <f>Calcs!EM461</f>
        <v>0</v>
      </c>
      <c r="BQ127" s="152">
        <f>SUM(BE127:BP127)</f>
        <v>0</v>
      </c>
      <c r="BR127" s="1567"/>
      <c r="BS127" s="153">
        <f>SUM(BQ127,BD127,AQ127,AD127,Q127)</f>
        <v>0</v>
      </c>
      <c r="BT127" s="1567"/>
      <c r="BU127" s="171">
        <f>SUM(BQ127,BD127,AQ127,AD127,Q127)</f>
      </c>
      <c r="BV127" s="170">
        <f>Calcs!CE464</f>
        <v>0</v>
      </c>
      <c r="BW127" s="96">
        <f>SUM(Financials!E127:'Financials'!G127)</f>
        <v>0</v>
      </c>
      <c r="BX127" s="96">
        <f>SUM(Financials!H127:'Financials'!J127)</f>
        <v>0</v>
      </c>
      <c r="BY127" s="96">
        <f>SUM(Financials!K127:'Financials'!M127)</f>
        <v>0</v>
      </c>
      <c r="BZ127" s="172">
        <f>SUM(Financials!G127:'Financials'!I127)</f>
        <v>0</v>
      </c>
      <c r="CA127" s="152">
        <f>SUM(Financials!R127:'Financials'!T127)</f>
        <v>0</v>
      </c>
      <c r="CB127" s="152">
        <f>SUM(Financials!U127:'Financials'!W127)</f>
        <v>0</v>
      </c>
      <c r="CC127" s="152">
        <f>SUM(Financials!X127:'Financials'!Z127)</f>
        <v>0</v>
      </c>
      <c r="CD127" s="152">
        <f>SUM(Financials!AA127:'Financials'!AC127)</f>
        <v>0</v>
      </c>
      <c r="CE127" s="152">
        <f>SUM(Financials!AE127:'Financials'!AG127)</f>
        <v>0</v>
      </c>
      <c r="CF127" s="152">
        <f>SUM(Financials!AH127:'Financials'!AJ127)</f>
        <v>0</v>
      </c>
      <c r="CG127" s="152">
        <f>SUM(Financials!AK127:'Financials'!AM127)</f>
        <v>0</v>
      </c>
      <c r="CH127" s="152">
        <f>SUM(Financials!AN127:'Financials'!AP127)</f>
        <v>0</v>
      </c>
      <c r="CI127" s="152">
        <f>SUM(Financials!AR127:'Financials'!AT127)</f>
        <v>0</v>
      </c>
      <c r="CJ127" s="152">
        <f>SUM(Financials!AU127:'Financials'!AW127)</f>
        <v>0</v>
      </c>
      <c r="CK127" s="152">
        <f>SUM(Financials!AX127:'Financials'!AZ127)</f>
        <v>0</v>
      </c>
      <c r="CL127" s="152">
        <f>SUM(Financials!BA127:'Financials'!BC127)</f>
        <v>0</v>
      </c>
      <c r="CM127" s="152">
        <f>SUM(Financials!BE127:'Financials'!BG127)</f>
        <v>0</v>
      </c>
      <c r="CN127" s="152">
        <f>SUM(Financials!BH127:'Financials'!BJ127)</f>
        <v>0</v>
      </c>
      <c r="CO127" s="152">
        <f>SUM(Financials!BK127:'Financials'!BM127)</f>
        <v>0</v>
      </c>
      <c r="CP127" s="152">
        <f>SUM(Financials!BN127:'Financials'!BP127)</f>
        <v>0</v>
      </c>
      <c r="CY127" s="305"/>
      <c r="CZ127" s="305"/>
      <c r="DA127" s="305"/>
      <c r="DB127" s="305"/>
      <c r="DC127" s="305"/>
      <c r="DD127" s="305"/>
      <c r="DE127" s="305"/>
      <c r="DF127" s="305"/>
      <c r="DG127" s="305"/>
      <c r="DH127" s="305"/>
      <c r="DI127" s="305"/>
      <c r="DJ127" s="305"/>
      <c r="DK127" s="305"/>
      <c r="DL127" s="305"/>
      <c r="DM127" s="305"/>
      <c r="DN127" s="305"/>
      <c r="DO127" s="305"/>
      <c r="DP127" s="305"/>
      <c r="DQ127" s="305"/>
      <c r="DR127" s="305"/>
      <c r="DS127" s="305"/>
      <c r="DT127" s="305"/>
      <c r="DU127" s="305"/>
      <c r="DV127" s="305"/>
      <c r="DW127" s="305"/>
      <c r="DX127" s="305"/>
      <c r="DY127" s="305"/>
      <c r="DZ127" s="305"/>
      <c r="EA127" s="305"/>
      <c r="EB127" s="305"/>
      <c r="EC127" s="305"/>
      <c r="ED127" s="305"/>
      <c r="EE127" s="305"/>
      <c r="EF127" s="305"/>
      <c r="EG127" s="305"/>
      <c r="EH127" s="305"/>
      <c r="EI127" s="305"/>
      <c r="EJ127" s="305"/>
      <c r="EK127" s="305"/>
      <c r="EL127" s="305"/>
      <c r="EM127" s="305"/>
      <c r="EN127" s="305"/>
      <c r="EO127" s="305"/>
      <c r="EP127" s="305"/>
      <c r="EQ127" s="305"/>
      <c r="ER127" s="305"/>
      <c r="ES127" s="305"/>
      <c r="ET127" s="305"/>
      <c r="EU127" s="305"/>
      <c r="EV127" s="305"/>
      <c r="EW127" s="305"/>
      <c r="EX127" s="305"/>
      <c r="EY127" s="305"/>
      <c r="EZ127" s="305"/>
      <c r="FA127" s="305"/>
      <c r="FB127" s="305"/>
      <c r="FC127" s="305"/>
      <c r="FD127" s="305"/>
      <c r="FE127" s="305"/>
      <c r="FF127" s="305"/>
      <c r="FG127" s="305"/>
      <c r="FH127" s="305"/>
      <c r="FI127" s="305"/>
      <c r="FJ127" s="305"/>
    </row>
    <row r="128" spans="1:166" ht="12.75" hidden="1" customHeight="1" x14ac:dyDescent="0.35">
      <c r="A128" s="136"/>
      <c r="B128" s="136"/>
      <c r="C128" s="136"/>
      <c r="D128" s="172" t="str">
        <f>IF(Calcs!CE462=0,"TBD",Calcs!CE462)</f>
        <v>TBD</v>
      </c>
      <c r="E128" s="152">
        <f>Calcs!CF462</f>
        <v>0</v>
      </c>
      <c r="F128" s="152">
        <f>Calcs!CG462</f>
        <v>0</v>
      </c>
      <c r="G128" s="152">
        <f>Calcs!CH462</f>
        <v>0</v>
      </c>
      <c r="H128" s="152">
        <f>Calcs!CI462</f>
        <v>0</v>
      </c>
      <c r="I128" s="152">
        <f>Calcs!CJ462</f>
        <v>0</v>
      </c>
      <c r="J128" s="152">
        <f>Calcs!CK462</f>
        <v>0</v>
      </c>
      <c r="K128" s="152">
        <f>Calcs!CL462</f>
        <v>0</v>
      </c>
      <c r="L128" s="152">
        <f>Calcs!CM462</f>
        <v>0</v>
      </c>
      <c r="M128" s="152">
        <f>Calcs!CN462</f>
        <v>0</v>
      </c>
      <c r="N128" s="152">
        <f>Calcs!CO462</f>
        <v>0</v>
      </c>
      <c r="O128" s="152">
        <f>Calcs!CP462</f>
        <v>0</v>
      </c>
      <c r="P128" s="152">
        <f>Calcs!CQ462</f>
        <v>0</v>
      </c>
      <c r="Q128" s="151">
        <f>SUM(E128:P128)</f>
        <v>0</v>
      </c>
      <c r="R128" s="152">
        <f>Calcs!CR462</f>
        <v>0</v>
      </c>
      <c r="S128" s="152">
        <f>Calcs!CS462</f>
        <v>0</v>
      </c>
      <c r="T128" s="152">
        <f>Calcs!CT462</f>
        <v>0</v>
      </c>
      <c r="U128" s="152">
        <f>Calcs!CU462</f>
        <v>0</v>
      </c>
      <c r="V128" s="152">
        <f>Calcs!CV462</f>
        <v>0</v>
      </c>
      <c r="W128" s="152">
        <f>Calcs!CW462</f>
        <v>0</v>
      </c>
      <c r="X128" s="152">
        <f>Calcs!CX462</f>
        <v>0</v>
      </c>
      <c r="Y128" s="152">
        <f>Calcs!CY462</f>
        <v>0</v>
      </c>
      <c r="Z128" s="152">
        <f>Calcs!CZ462</f>
        <v>0</v>
      </c>
      <c r="AA128" s="152">
        <f>Calcs!DA462</f>
        <v>0</v>
      </c>
      <c r="AB128" s="152">
        <f>Calcs!DB462</f>
        <v>0</v>
      </c>
      <c r="AC128" s="152">
        <f>Calcs!DC462</f>
        <v>0</v>
      </c>
      <c r="AD128" s="152">
        <f>SUM(R128:AC128)</f>
        <v>0</v>
      </c>
      <c r="AE128" s="152">
        <f>Calcs!DD462</f>
        <v>0</v>
      </c>
      <c r="AF128" s="152">
        <f>Calcs!DE462</f>
        <v>0</v>
      </c>
      <c r="AG128" s="152">
        <f>Calcs!DF462</f>
        <v>0</v>
      </c>
      <c r="AH128" s="152">
        <f>Calcs!DG462</f>
        <v>0</v>
      </c>
      <c r="AI128" s="152">
        <f>Calcs!DH462</f>
        <v>0</v>
      </c>
      <c r="AJ128" s="152">
        <f>Calcs!DI462</f>
        <v>0</v>
      </c>
      <c r="AK128" s="152">
        <f>Calcs!DJ462</f>
        <v>0</v>
      </c>
      <c r="AL128" s="152">
        <f>Calcs!DK462</f>
        <v>0</v>
      </c>
      <c r="AM128" s="152">
        <f>Calcs!DL462</f>
        <v>0</v>
      </c>
      <c r="AN128" s="152">
        <f>Calcs!DM462</f>
        <v>0</v>
      </c>
      <c r="AO128" s="152">
        <f>Calcs!DN462</f>
        <v>0</v>
      </c>
      <c r="AP128" s="152">
        <f>Calcs!DO462</f>
        <v>0</v>
      </c>
      <c r="AQ128" s="152">
        <f>SUM(AE128:AP128)</f>
        <v>0</v>
      </c>
      <c r="AR128" s="152">
        <f>Calcs!DP462</f>
        <v>0</v>
      </c>
      <c r="AS128" s="152">
        <f>Calcs!DQ462</f>
        <v>0</v>
      </c>
      <c r="AT128" s="152">
        <f>Calcs!DR462</f>
        <v>0</v>
      </c>
      <c r="AU128" s="152">
        <f>Calcs!DS462</f>
        <v>0</v>
      </c>
      <c r="AV128" s="152">
        <f>Calcs!DT462</f>
        <v>0</v>
      </c>
      <c r="AW128" s="152">
        <f>Calcs!DU462</f>
        <v>0</v>
      </c>
      <c r="AX128" s="152">
        <f>Calcs!DV462</f>
        <v>0</v>
      </c>
      <c r="AY128" s="152">
        <f>Calcs!DW462</f>
        <v>0</v>
      </c>
      <c r="AZ128" s="152">
        <f>Calcs!DX462</f>
        <v>0</v>
      </c>
      <c r="BA128" s="152">
        <f>Calcs!DY462</f>
        <v>0</v>
      </c>
      <c r="BB128" s="152">
        <f>Calcs!DZ462</f>
        <v>0</v>
      </c>
      <c r="BC128" s="152">
        <f>Calcs!EA462</f>
        <v>0</v>
      </c>
      <c r="BD128" s="152">
        <f>SUM(AR128:BC128)</f>
        <v>0</v>
      </c>
      <c r="BE128" s="152">
        <f>Calcs!EB462</f>
        <v>0</v>
      </c>
      <c r="BF128" s="152">
        <f>Calcs!EC462</f>
        <v>0</v>
      </c>
      <c r="BG128" s="152">
        <f>Calcs!ED462</f>
        <v>0</v>
      </c>
      <c r="BH128" s="152">
        <f>Calcs!EE462</f>
        <v>0</v>
      </c>
      <c r="BI128" s="152">
        <f>Calcs!EF462</f>
        <v>0</v>
      </c>
      <c r="BJ128" s="152">
        <f>Calcs!EG462</f>
        <v>0</v>
      </c>
      <c r="BK128" s="152">
        <f>Calcs!EH462</f>
        <v>0</v>
      </c>
      <c r="BL128" s="152">
        <f>Calcs!EI462</f>
        <v>0</v>
      </c>
      <c r="BM128" s="152">
        <f>Calcs!EJ462</f>
        <v>0</v>
      </c>
      <c r="BN128" s="152">
        <f>Calcs!EK462</f>
        <v>0</v>
      </c>
      <c r="BO128" s="152">
        <f>Calcs!EL462</f>
        <v>0</v>
      </c>
      <c r="BP128" s="152">
        <f>Calcs!EM462</f>
        <v>0</v>
      </c>
      <c r="BQ128" s="152">
        <f>SUM(BE128:BP128)</f>
        <v>0</v>
      </c>
      <c r="BR128" s="1567"/>
      <c r="BS128" s="153">
        <f>SUM(BQ128,BD128,AQ128,AD128,Q128)</f>
        <v>0</v>
      </c>
      <c r="BT128" s="1567"/>
      <c r="BU128" s="171">
        <f>SUM(BQ128,BD128,AQ128,AD128,Q128)</f>
      </c>
      <c r="BV128" s="170">
        <f>Calcs!CE465</f>
        <v>0</v>
      </c>
      <c r="BW128" s="96">
        <f>SUM(Financials!E128:'Financials'!G128)</f>
        <v>0</v>
      </c>
      <c r="BX128" s="96">
        <f>SUM(Financials!H128:'Financials'!J128)</f>
        <v>0</v>
      </c>
      <c r="BY128" s="96">
        <f>SUM(Financials!K128:'Financials'!M128)</f>
        <v>0</v>
      </c>
      <c r="BZ128" s="172">
        <f>SUM(Financials!G128:'Financials'!I128)</f>
        <v>0</v>
      </c>
      <c r="CA128" s="152">
        <f>SUM(Financials!R128:'Financials'!T128)</f>
        <v>0</v>
      </c>
      <c r="CB128" s="152">
        <f>SUM(Financials!U128:'Financials'!W128)</f>
        <v>0</v>
      </c>
      <c r="CC128" s="152">
        <f>SUM(Financials!X128:'Financials'!Z128)</f>
        <v>0</v>
      </c>
      <c r="CD128" s="152">
        <f>SUM(Financials!AA128:'Financials'!AC128)</f>
        <v>0</v>
      </c>
      <c r="CE128" s="152">
        <f>SUM(Financials!AE128:'Financials'!AG128)</f>
        <v>0</v>
      </c>
      <c r="CF128" s="152">
        <f>SUM(Financials!AH128:'Financials'!AJ128)</f>
        <v>0</v>
      </c>
      <c r="CG128" s="152">
        <f>SUM(Financials!AK128:'Financials'!AM128)</f>
        <v>0</v>
      </c>
      <c r="CH128" s="152">
        <f>SUM(Financials!AN128:'Financials'!AP128)</f>
        <v>0</v>
      </c>
      <c r="CI128" s="152">
        <f>SUM(Financials!AR128:'Financials'!AT128)</f>
        <v>0</v>
      </c>
      <c r="CJ128" s="152">
        <f>SUM(Financials!AU128:'Financials'!AW128)</f>
        <v>0</v>
      </c>
      <c r="CK128" s="152">
        <f>SUM(Financials!AX128:'Financials'!AZ128)</f>
        <v>0</v>
      </c>
      <c r="CL128" s="152">
        <f>SUM(Financials!BA128:'Financials'!BC128)</f>
        <v>0</v>
      </c>
      <c r="CM128" s="152">
        <f>SUM(Financials!BE128:'Financials'!BG128)</f>
        <v>0</v>
      </c>
      <c r="CN128" s="152">
        <f>SUM(Financials!BH128:'Financials'!BJ128)</f>
        <v>0</v>
      </c>
      <c r="CO128" s="152">
        <f>SUM(Financials!BK128:'Financials'!BM128)</f>
        <v>0</v>
      </c>
      <c r="CP128" s="152">
        <f>SUM(Financials!BN128:'Financials'!BP128)</f>
        <v>0</v>
      </c>
      <c r="CY128" s="305"/>
      <c r="CZ128" s="305"/>
      <c r="DA128" s="305"/>
      <c r="DB128" s="305"/>
      <c r="DC128" s="305"/>
      <c r="DD128" s="305"/>
      <c r="DE128" s="305"/>
      <c r="DF128" s="305"/>
      <c r="DG128" s="305"/>
      <c r="DH128" s="305"/>
      <c r="DI128" s="305"/>
      <c r="DJ128" s="305"/>
      <c r="DK128" s="305"/>
      <c r="DL128" s="305"/>
      <c r="DM128" s="305"/>
      <c r="DN128" s="305"/>
      <c r="DO128" s="305"/>
      <c r="DP128" s="305"/>
      <c r="DQ128" s="305"/>
      <c r="DR128" s="305"/>
      <c r="DS128" s="305"/>
      <c r="DT128" s="305"/>
      <c r="DU128" s="305"/>
      <c r="DV128" s="305"/>
      <c r="DW128" s="305"/>
      <c r="DX128" s="305"/>
      <c r="DY128" s="305"/>
      <c r="DZ128" s="305"/>
      <c r="EA128" s="305"/>
      <c r="EB128" s="305"/>
      <c r="EC128" s="305"/>
      <c r="ED128" s="305"/>
      <c r="EE128" s="305"/>
      <c r="EF128" s="305"/>
      <c r="EG128" s="305"/>
      <c r="EH128" s="305"/>
      <c r="EI128" s="305"/>
      <c r="EJ128" s="305"/>
      <c r="EK128" s="305"/>
      <c r="EL128" s="305"/>
      <c r="EM128" s="305"/>
      <c r="EN128" s="305"/>
      <c r="EO128" s="305"/>
      <c r="EP128" s="305"/>
      <c r="EQ128" s="305"/>
      <c r="ER128" s="305"/>
      <c r="ES128" s="305"/>
      <c r="ET128" s="305"/>
      <c r="EU128" s="305"/>
      <c r="EV128" s="305"/>
      <c r="EW128" s="305"/>
      <c r="EX128" s="305"/>
      <c r="EY128" s="305"/>
      <c r="EZ128" s="305"/>
      <c r="FA128" s="305"/>
      <c r="FB128" s="305"/>
      <c r="FC128" s="305"/>
      <c r="FD128" s="305"/>
      <c r="FE128" s="305"/>
      <c r="FF128" s="305"/>
      <c r="FG128" s="305"/>
      <c r="FH128" s="305"/>
      <c r="FI128" s="305"/>
      <c r="FJ128" s="305"/>
    </row>
    <row r="129" spans="1:166" ht="12.75" hidden="1" customHeight="1" x14ac:dyDescent="0.35">
      <c r="A129" s="136"/>
      <c r="B129" s="136"/>
      <c r="C129" s="136"/>
      <c r="D129" s="172" t="str">
        <f>IF(Calcs!CE463=0,"TBD",Calcs!CE463)</f>
        <v>TBD</v>
      </c>
      <c r="E129" s="152">
        <f>Calcs!CF463</f>
        <v>0</v>
      </c>
      <c r="F129" s="152">
        <f>Calcs!CG463</f>
        <v>0</v>
      </c>
      <c r="G129" s="152">
        <f>Calcs!CH463</f>
        <v>0</v>
      </c>
      <c r="H129" s="152">
        <f>Calcs!CI463</f>
        <v>0</v>
      </c>
      <c r="I129" s="152">
        <f>Calcs!CJ463</f>
        <v>0</v>
      </c>
      <c r="J129" s="152">
        <f>Calcs!CK463</f>
        <v>0</v>
      </c>
      <c r="K129" s="152">
        <f>Calcs!CL463</f>
        <v>0</v>
      </c>
      <c r="L129" s="152">
        <f>Calcs!CM463</f>
        <v>0</v>
      </c>
      <c r="M129" s="152">
        <f>Calcs!CN463</f>
        <v>0</v>
      </c>
      <c r="N129" s="152">
        <f>Calcs!CO463</f>
        <v>0</v>
      </c>
      <c r="O129" s="152">
        <f>Calcs!CP463</f>
        <v>0</v>
      </c>
      <c r="P129" s="152">
        <f>Calcs!CQ463</f>
        <v>0</v>
      </c>
      <c r="Q129" s="151">
        <f>SUM(E129:P129)</f>
        <v>0</v>
      </c>
      <c r="R129" s="152">
        <f>Calcs!CR463</f>
        <v>0</v>
      </c>
      <c r="S129" s="152">
        <f>Calcs!CS463</f>
        <v>0</v>
      </c>
      <c r="T129" s="152">
        <f>Calcs!CT463</f>
        <v>0</v>
      </c>
      <c r="U129" s="152">
        <f>Calcs!CU463</f>
        <v>0</v>
      </c>
      <c r="V129" s="152">
        <f>Calcs!CV463</f>
        <v>0</v>
      </c>
      <c r="W129" s="152">
        <f>Calcs!CW463</f>
        <v>0</v>
      </c>
      <c r="X129" s="152">
        <f>Calcs!CX463</f>
        <v>0</v>
      </c>
      <c r="Y129" s="152">
        <f>Calcs!CY463</f>
        <v>0</v>
      </c>
      <c r="Z129" s="152">
        <f>Calcs!CZ463</f>
        <v>0</v>
      </c>
      <c r="AA129" s="152">
        <f>Calcs!DA463</f>
        <v>0</v>
      </c>
      <c r="AB129" s="152">
        <f>Calcs!DB463</f>
        <v>0</v>
      </c>
      <c r="AC129" s="152">
        <f>Calcs!DC463</f>
        <v>0</v>
      </c>
      <c r="AD129" s="152">
        <f>SUM(R129:AC129)</f>
        <v>0</v>
      </c>
      <c r="AE129" s="152">
        <f>Calcs!DD463</f>
        <v>0</v>
      </c>
      <c r="AF129" s="152">
        <f>Calcs!DE463</f>
        <v>0</v>
      </c>
      <c r="AG129" s="152">
        <f>Calcs!DF463</f>
        <v>0</v>
      </c>
      <c r="AH129" s="152">
        <f>Calcs!DG463</f>
        <v>0</v>
      </c>
      <c r="AI129" s="152">
        <f>Calcs!DH463</f>
        <v>0</v>
      </c>
      <c r="AJ129" s="152">
        <f>Calcs!DI463</f>
        <v>0</v>
      </c>
      <c r="AK129" s="152">
        <f>Calcs!DJ463</f>
        <v>0</v>
      </c>
      <c r="AL129" s="152">
        <f>Calcs!DK463</f>
        <v>0</v>
      </c>
      <c r="AM129" s="152">
        <f>Calcs!DL463</f>
        <v>0</v>
      </c>
      <c r="AN129" s="152">
        <f>Calcs!DM463</f>
        <v>0</v>
      </c>
      <c r="AO129" s="152">
        <f>Calcs!DN463</f>
        <v>0</v>
      </c>
      <c r="AP129" s="152">
        <f>Calcs!DO463</f>
        <v>0</v>
      </c>
      <c r="AQ129" s="152">
        <f>SUM(AE129:AP129)</f>
        <v>0</v>
      </c>
      <c r="AR129" s="152">
        <f>Calcs!DP463</f>
        <v>0</v>
      </c>
      <c r="AS129" s="152">
        <f>Calcs!DQ463</f>
        <v>0</v>
      </c>
      <c r="AT129" s="152">
        <f>Calcs!DR463</f>
        <v>0</v>
      </c>
      <c r="AU129" s="152">
        <f>Calcs!DS463</f>
        <v>0</v>
      </c>
      <c r="AV129" s="152">
        <f>Calcs!DT463</f>
        <v>0</v>
      </c>
      <c r="AW129" s="152">
        <f>Calcs!DU463</f>
        <v>0</v>
      </c>
      <c r="AX129" s="152">
        <f>Calcs!DV463</f>
        <v>0</v>
      </c>
      <c r="AY129" s="152">
        <f>Calcs!DW463</f>
        <v>0</v>
      </c>
      <c r="AZ129" s="152">
        <f>Calcs!DX463</f>
        <v>0</v>
      </c>
      <c r="BA129" s="152">
        <f>Calcs!DY463</f>
        <v>0</v>
      </c>
      <c r="BB129" s="152">
        <f>Calcs!DZ463</f>
        <v>0</v>
      </c>
      <c r="BC129" s="152">
        <f>Calcs!EA463</f>
        <v>0</v>
      </c>
      <c r="BD129" s="152">
        <f>SUM(AR129:BC129)</f>
        <v>0</v>
      </c>
      <c r="BE129" s="152">
        <f>Calcs!EB463</f>
        <v>0</v>
      </c>
      <c r="BF129" s="152">
        <f>Calcs!EC463</f>
        <v>0</v>
      </c>
      <c r="BG129" s="152">
        <f>Calcs!ED463</f>
        <v>0</v>
      </c>
      <c r="BH129" s="152">
        <f>Calcs!EE463</f>
        <v>0</v>
      </c>
      <c r="BI129" s="152">
        <f>Calcs!EF463</f>
        <v>0</v>
      </c>
      <c r="BJ129" s="152">
        <f>Calcs!EG463</f>
        <v>0</v>
      </c>
      <c r="BK129" s="152">
        <f>Calcs!EH463</f>
        <v>0</v>
      </c>
      <c r="BL129" s="152">
        <f>Calcs!EI463</f>
        <v>0</v>
      </c>
      <c r="BM129" s="152">
        <f>Calcs!EJ463</f>
        <v>0</v>
      </c>
      <c r="BN129" s="152">
        <f>Calcs!EK463</f>
        <v>0</v>
      </c>
      <c r="BO129" s="152">
        <f>Calcs!EL463</f>
        <v>0</v>
      </c>
      <c r="BP129" s="152">
        <f>Calcs!EM463</f>
        <v>0</v>
      </c>
      <c r="BQ129" s="152">
        <f>SUM(BE129:BP129)</f>
        <v>0</v>
      </c>
      <c r="BR129" s="1567"/>
      <c r="BS129" s="153">
        <f>SUM(BQ129,BD129,AQ129,AD129,Q129)</f>
        <v>0</v>
      </c>
      <c r="BT129" s="1567"/>
      <c r="BU129" s="171">
        <f>SUM(BQ129,BD129,AQ129,AD129,Q129)</f>
      </c>
      <c r="BV129" s="170">
        <f>Calcs!CE466</f>
        <v>0</v>
      </c>
      <c r="BW129" s="172">
        <f>Calcs!CD466</f>
        <v>0</v>
      </c>
      <c r="BX129" s="172">
        <f>Calcs!CE466</f>
        <v>0</v>
      </c>
      <c r="BY129" s="172">
        <f>Calcs!CF466</f>
        <v>0</v>
      </c>
      <c r="BZ129" s="172">
        <f>Calcs!CG466</f>
        <v>0</v>
      </c>
      <c r="CA129" s="152">
        <f>Calcs!CH466</f>
        <v>0</v>
      </c>
      <c r="CB129" s="152">
        <f>Calcs!CI466</f>
        <v>0</v>
      </c>
      <c r="CC129" s="152">
        <f>Calcs!CJ466</f>
        <v>0</v>
      </c>
      <c r="CD129" s="152">
        <f>Calcs!CK466</f>
        <v>0</v>
      </c>
      <c r="CE129" s="152">
        <f>Calcs!CL466</f>
        <v>0</v>
      </c>
      <c r="CF129" s="152">
        <f>Calcs!CM466</f>
        <v>0</v>
      </c>
      <c r="CG129" s="152">
        <f>Calcs!CN466</f>
        <v>0</v>
      </c>
      <c r="CH129" s="152">
        <f>Calcs!CO466</f>
        <v>0</v>
      </c>
      <c r="CI129" s="152">
        <f>Calcs!CP466</f>
        <v>0</v>
      </c>
      <c r="CJ129" s="152">
        <f>Calcs!CQ466</f>
        <v>0</v>
      </c>
      <c r="CK129" s="152">
        <f>Calcs!CR466</f>
        <v>0</v>
      </c>
      <c r="CL129" s="152">
        <f>Calcs!CS466</f>
        <v>0</v>
      </c>
      <c r="CM129" s="152">
        <f>Calcs!CT466</f>
        <v>0</v>
      </c>
      <c r="CN129" s="152">
        <f>Calcs!CU466</f>
        <v>0</v>
      </c>
      <c r="CO129" s="152">
        <f>Calcs!CV466</f>
        <v>0</v>
      </c>
      <c r="CP129" s="152">
        <f>Calcs!CW466</f>
        <v>0</v>
      </c>
      <c r="CY129" s="305"/>
      <c r="CZ129" s="305"/>
      <c r="DA129" s="305"/>
      <c r="DB129" s="305"/>
      <c r="DC129" s="305"/>
      <c r="DD129" s="305"/>
      <c r="DE129" s="305"/>
      <c r="DF129" s="305"/>
      <c r="DG129" s="305"/>
      <c r="DH129" s="305"/>
      <c r="DI129" s="305"/>
      <c r="DJ129" s="305"/>
      <c r="DK129" s="305"/>
      <c r="DL129" s="305"/>
      <c r="DM129" s="305"/>
      <c r="DN129" s="305"/>
      <c r="DO129" s="305"/>
      <c r="DP129" s="305"/>
      <c r="DQ129" s="305"/>
      <c r="DR129" s="305"/>
      <c r="DS129" s="305"/>
      <c r="DT129" s="305"/>
      <c r="DU129" s="305"/>
      <c r="DV129" s="305"/>
      <c r="DW129" s="305"/>
      <c r="DX129" s="305"/>
      <c r="DY129" s="305"/>
      <c r="DZ129" s="305"/>
      <c r="EA129" s="305"/>
      <c r="EB129" s="305"/>
      <c r="EC129" s="305"/>
      <c r="ED129" s="305"/>
      <c r="EE129" s="305"/>
      <c r="EF129" s="305"/>
      <c r="EG129" s="305"/>
      <c r="EH129" s="305"/>
      <c r="EI129" s="305"/>
      <c r="EJ129" s="305"/>
      <c r="EK129" s="305"/>
      <c r="EL129" s="305"/>
      <c r="EM129" s="305"/>
      <c r="EN129" s="305"/>
      <c r="EO129" s="305"/>
      <c r="EP129" s="305"/>
      <c r="EQ129" s="305"/>
      <c r="ER129" s="305"/>
      <c r="ES129" s="305"/>
      <c r="ET129" s="305"/>
      <c r="EU129" s="305"/>
      <c r="EV129" s="305"/>
      <c r="EW129" s="305"/>
      <c r="EX129" s="305"/>
      <c r="EY129" s="305"/>
      <c r="EZ129" s="305"/>
      <c r="FA129" s="305"/>
      <c r="FB129" s="305"/>
      <c r="FC129" s="305"/>
      <c r="FD129" s="305"/>
      <c r="FE129" s="305"/>
      <c r="FF129" s="305"/>
      <c r="FG129" s="305"/>
      <c r="FH129" s="305"/>
      <c r="FI129" s="305"/>
      <c r="FJ129" s="305"/>
    </row>
    <row r="130" spans="1:166" ht="12.75" hidden="1" customHeight="1" x14ac:dyDescent="0.35">
      <c r="A130" s="136"/>
      <c r="B130" s="136"/>
      <c r="C130" s="136"/>
      <c r="D130" s="172" t="str">
        <f>IF(Calcs!CE464=0,"TBD",Calcs!CE464)</f>
        <v>TBD</v>
      </c>
      <c r="E130" s="152">
        <f>Calcs!CF464</f>
        <v>0</v>
      </c>
      <c r="F130" s="152">
        <f>Calcs!CG464</f>
        <v>0</v>
      </c>
      <c r="G130" s="152">
        <f>Calcs!CH464</f>
        <v>0</v>
      </c>
      <c r="H130" s="152">
        <f>Calcs!CI464</f>
        <v>0</v>
      </c>
      <c r="I130" s="152">
        <f>Calcs!CJ464</f>
        <v>0</v>
      </c>
      <c r="J130" s="152">
        <f>Calcs!CK464</f>
        <v>0</v>
      </c>
      <c r="K130" s="152">
        <f>Calcs!CL464</f>
        <v>0</v>
      </c>
      <c r="L130" s="152">
        <f>Calcs!CM464</f>
        <v>0</v>
      </c>
      <c r="M130" s="152">
        <f>Calcs!CN464</f>
        <v>0</v>
      </c>
      <c r="N130" s="152">
        <f>Calcs!CO464</f>
        <v>0</v>
      </c>
      <c r="O130" s="152">
        <f>Calcs!CP464</f>
        <v>0</v>
      </c>
      <c r="P130" s="152">
        <f>Calcs!CQ464</f>
        <v>0</v>
      </c>
      <c r="Q130" s="151">
        <f>SUM(E130:P130)</f>
        <v>0</v>
      </c>
      <c r="R130" s="152">
        <f>Calcs!CR464</f>
        <v>0</v>
      </c>
      <c r="S130" s="152">
        <f>Calcs!CS464</f>
        <v>0</v>
      </c>
      <c r="T130" s="152">
        <f>Calcs!CT464</f>
        <v>0</v>
      </c>
      <c r="U130" s="152">
        <f>Calcs!CU464</f>
        <v>0</v>
      </c>
      <c r="V130" s="152">
        <f>Calcs!CV464</f>
        <v>0</v>
      </c>
      <c r="W130" s="152">
        <f>Calcs!CW464</f>
        <v>0</v>
      </c>
      <c r="X130" s="152">
        <f>Calcs!CX464</f>
        <v>0</v>
      </c>
      <c r="Y130" s="152">
        <f>Calcs!CY464</f>
        <v>0</v>
      </c>
      <c r="Z130" s="152">
        <f>Calcs!CZ464</f>
        <v>0</v>
      </c>
      <c r="AA130" s="152">
        <f>Calcs!DA464</f>
        <v>0</v>
      </c>
      <c r="AB130" s="152">
        <f>Calcs!DB464</f>
        <v>0</v>
      </c>
      <c r="AC130" s="152">
        <f>Calcs!DC464</f>
        <v>0</v>
      </c>
      <c r="AD130" s="152">
        <f>SUM(R130:AC130)</f>
        <v>0</v>
      </c>
      <c r="AE130" s="152">
        <f>Calcs!DD464</f>
        <v>0</v>
      </c>
      <c r="AF130" s="152">
        <f>Calcs!DE464</f>
        <v>0</v>
      </c>
      <c r="AG130" s="152">
        <f>Calcs!DF464</f>
        <v>0</v>
      </c>
      <c r="AH130" s="152">
        <f>Calcs!DG464</f>
        <v>0</v>
      </c>
      <c r="AI130" s="152">
        <f>Calcs!DH464</f>
        <v>0</v>
      </c>
      <c r="AJ130" s="152">
        <f>Calcs!DI464</f>
        <v>0</v>
      </c>
      <c r="AK130" s="152">
        <f>Calcs!DJ464</f>
        <v>0</v>
      </c>
      <c r="AL130" s="152">
        <f>Calcs!DK464</f>
        <v>0</v>
      </c>
      <c r="AM130" s="152">
        <f>Calcs!DL464</f>
        <v>0</v>
      </c>
      <c r="AN130" s="152">
        <f>Calcs!DM464</f>
        <v>0</v>
      </c>
      <c r="AO130" s="152">
        <f>Calcs!DN464</f>
        <v>0</v>
      </c>
      <c r="AP130" s="152">
        <f>Calcs!DO464</f>
        <v>0</v>
      </c>
      <c r="AQ130" s="152">
        <f>SUM(AE130:AP130)</f>
        <v>0</v>
      </c>
      <c r="AR130" s="152">
        <f>Calcs!DP464</f>
        <v>0</v>
      </c>
      <c r="AS130" s="152">
        <f>Calcs!DQ464</f>
        <v>0</v>
      </c>
      <c r="AT130" s="152">
        <f>Calcs!DR464</f>
        <v>0</v>
      </c>
      <c r="AU130" s="152">
        <f>Calcs!DS464</f>
        <v>0</v>
      </c>
      <c r="AV130" s="152">
        <f>Calcs!DT464</f>
        <v>0</v>
      </c>
      <c r="AW130" s="152">
        <f>Calcs!DU464</f>
        <v>0</v>
      </c>
      <c r="AX130" s="152">
        <f>Calcs!DV464</f>
        <v>0</v>
      </c>
      <c r="AY130" s="152">
        <f>Calcs!DW464</f>
        <v>0</v>
      </c>
      <c r="AZ130" s="152">
        <f>Calcs!DX464</f>
        <v>0</v>
      </c>
      <c r="BA130" s="152">
        <f>Calcs!DY464</f>
        <v>0</v>
      </c>
      <c r="BB130" s="152">
        <f>Calcs!DZ464</f>
        <v>0</v>
      </c>
      <c r="BC130" s="152">
        <f>Calcs!EA464</f>
        <v>0</v>
      </c>
      <c r="BD130" s="152">
        <f>SUM(AR130:BC130)</f>
        <v>0</v>
      </c>
      <c r="BE130" s="152">
        <f>Calcs!EB464</f>
        <v>0</v>
      </c>
      <c r="BF130" s="152">
        <f>Calcs!EC464</f>
        <v>0</v>
      </c>
      <c r="BG130" s="152">
        <f>Calcs!ED464</f>
        <v>0</v>
      </c>
      <c r="BH130" s="152">
        <f>Calcs!EE464</f>
        <v>0</v>
      </c>
      <c r="BI130" s="152">
        <f>Calcs!EF464</f>
        <v>0</v>
      </c>
      <c r="BJ130" s="152">
        <f>Calcs!EG464</f>
        <v>0</v>
      </c>
      <c r="BK130" s="152">
        <f>Calcs!EH464</f>
        <v>0</v>
      </c>
      <c r="BL130" s="152">
        <f>Calcs!EI464</f>
        <v>0</v>
      </c>
      <c r="BM130" s="152">
        <f>Calcs!EJ464</f>
        <v>0</v>
      </c>
      <c r="BN130" s="152">
        <f>Calcs!EK464</f>
        <v>0</v>
      </c>
      <c r="BO130" s="152">
        <f>Calcs!EL464</f>
        <v>0</v>
      </c>
      <c r="BP130" s="152">
        <f>Calcs!EM464</f>
        <v>0</v>
      </c>
      <c r="BQ130" s="152">
        <f>SUM(BE130:BP130)</f>
        <v>0</v>
      </c>
      <c r="BR130" s="1567"/>
      <c r="BS130" s="153">
        <f>SUM(BQ130,BD130,AQ130,AD130,Q130)</f>
        <v>0</v>
      </c>
      <c r="BT130" s="1567"/>
      <c r="BU130" s="171">
        <f>SUM(BQ130,BD130,AQ130,AD130,Q130)</f>
      </c>
      <c r="BV130" s="170">
        <f>Calcs!CE467</f>
        <v>0</v>
      </c>
      <c r="BW130" s="172">
        <f>Calcs!CD467</f>
        <v>0</v>
      </c>
      <c r="BX130" s="172">
        <f>Calcs!CE467</f>
        <v>0</v>
      </c>
      <c r="BY130" s="172">
        <f>Calcs!CF467</f>
        <v>0</v>
      </c>
      <c r="BZ130" s="172">
        <f>Calcs!CG467</f>
        <v>0</v>
      </c>
      <c r="CA130" s="152">
        <f>Calcs!CH467</f>
        <v>0</v>
      </c>
      <c r="CB130" s="152">
        <f>Calcs!CI467</f>
        <v>0</v>
      </c>
      <c r="CC130" s="152">
        <f>Calcs!CJ467</f>
        <v>0</v>
      </c>
      <c r="CD130" s="152">
        <f>Calcs!CK467</f>
        <v>0</v>
      </c>
      <c r="CE130" s="152">
        <f>Calcs!CL467</f>
        <v>0</v>
      </c>
      <c r="CF130" s="152">
        <f>Calcs!CM467</f>
        <v>0</v>
      </c>
      <c r="CG130" s="152">
        <f>Calcs!CN467</f>
        <v>0</v>
      </c>
      <c r="CH130" s="152">
        <f>Calcs!CO467</f>
        <v>0</v>
      </c>
      <c r="CI130" s="152">
        <f>Calcs!CP467</f>
        <v>0</v>
      </c>
      <c r="CJ130" s="152">
        <f>Calcs!CQ467</f>
        <v>0</v>
      </c>
      <c r="CK130" s="152">
        <f>Calcs!CR467</f>
        <v>0</v>
      </c>
      <c r="CL130" s="152">
        <f>Calcs!CS467</f>
        <v>0</v>
      </c>
      <c r="CM130" s="152">
        <f>Calcs!CT467</f>
        <v>0</v>
      </c>
      <c r="CN130" s="152">
        <f>Calcs!CU467</f>
        <v>0</v>
      </c>
      <c r="CO130" s="152">
        <f>Calcs!CV467</f>
        <v>0</v>
      </c>
      <c r="CP130" s="152">
        <f>Calcs!CW467</f>
        <v>0</v>
      </c>
      <c r="CY130" s="305"/>
      <c r="CZ130" s="305"/>
      <c r="DA130" s="305"/>
      <c r="DB130" s="305"/>
      <c r="DC130" s="305"/>
      <c r="DD130" s="305"/>
      <c r="DE130" s="305"/>
      <c r="DF130" s="305"/>
      <c r="DG130" s="305"/>
      <c r="DH130" s="305"/>
      <c r="DI130" s="305"/>
      <c r="DJ130" s="305"/>
      <c r="DK130" s="305"/>
      <c r="DL130" s="305"/>
      <c r="DM130" s="305"/>
      <c r="DN130" s="305"/>
      <c r="DO130" s="305"/>
      <c r="DP130" s="305"/>
      <c r="DQ130" s="305"/>
      <c r="DR130" s="305"/>
      <c r="DS130" s="305"/>
      <c r="DT130" s="305"/>
      <c r="DU130" s="305"/>
      <c r="DV130" s="305"/>
      <c r="DW130" s="305"/>
      <c r="DX130" s="305"/>
      <c r="DY130" s="305"/>
      <c r="DZ130" s="305"/>
      <c r="EA130" s="305"/>
      <c r="EB130" s="305"/>
      <c r="EC130" s="305"/>
      <c r="ED130" s="305"/>
      <c r="EE130" s="305"/>
      <c r="EF130" s="305"/>
      <c r="EG130" s="305"/>
      <c r="EH130" s="305"/>
      <c r="EI130" s="305"/>
      <c r="EJ130" s="305"/>
      <c r="EK130" s="305"/>
      <c r="EL130" s="305"/>
      <c r="EM130" s="305"/>
      <c r="EN130" s="305"/>
      <c r="EO130" s="305"/>
      <c r="EP130" s="305"/>
      <c r="EQ130" s="305"/>
      <c r="ER130" s="305"/>
      <c r="ES130" s="305"/>
      <c r="ET130" s="305"/>
      <c r="EU130" s="305"/>
      <c r="EV130" s="305"/>
      <c r="EW130" s="305"/>
      <c r="EX130" s="305"/>
      <c r="EY130" s="305"/>
      <c r="EZ130" s="305"/>
      <c r="FA130" s="305"/>
      <c r="FB130" s="305"/>
      <c r="FC130" s="305"/>
      <c r="FD130" s="305"/>
      <c r="FE130" s="305"/>
      <c r="FF130" s="305"/>
      <c r="FG130" s="305"/>
      <c r="FH130" s="305"/>
      <c r="FI130" s="305"/>
      <c r="FJ130" s="305"/>
    </row>
    <row r="131" spans="1:166" ht="12.75" hidden="1" customHeight="1" x14ac:dyDescent="0.35">
      <c r="A131" s="136"/>
      <c r="B131" s="136"/>
      <c r="C131" s="136"/>
      <c r="D131" s="172" t="str">
        <f>IF(Calcs!CE465=0,"TBD",Calcs!CE465)</f>
        <v>TBD</v>
      </c>
      <c r="E131" s="152">
        <f>Calcs!CF465</f>
        <v>0</v>
      </c>
      <c r="F131" s="152">
        <f>Calcs!CG465</f>
        <v>0</v>
      </c>
      <c r="G131" s="152">
        <f>Calcs!CH465</f>
        <v>0</v>
      </c>
      <c r="H131" s="152">
        <f>Calcs!CI465</f>
        <v>0</v>
      </c>
      <c r="I131" s="152">
        <f>Calcs!CJ465</f>
        <v>0</v>
      </c>
      <c r="J131" s="152">
        <f>Calcs!CK465</f>
        <v>0</v>
      </c>
      <c r="K131" s="152">
        <f>Calcs!CL465</f>
        <v>0</v>
      </c>
      <c r="L131" s="152">
        <f>Calcs!CM465</f>
        <v>0</v>
      </c>
      <c r="M131" s="152">
        <f>Calcs!CN465</f>
        <v>0</v>
      </c>
      <c r="N131" s="152">
        <f>Calcs!CO465</f>
        <v>0</v>
      </c>
      <c r="O131" s="152">
        <f>Calcs!CP465</f>
        <v>0</v>
      </c>
      <c r="P131" s="152">
        <f>Calcs!CQ465</f>
        <v>0</v>
      </c>
      <c r="Q131" s="151">
        <f>SUM(E131:P131)</f>
        <v>0</v>
      </c>
      <c r="R131" s="152">
        <f>Calcs!CR465</f>
        <v>0</v>
      </c>
      <c r="S131" s="152">
        <f>Calcs!CS465</f>
        <v>0</v>
      </c>
      <c r="T131" s="152">
        <f>Calcs!CT465</f>
        <v>0</v>
      </c>
      <c r="U131" s="152">
        <f>Calcs!CU465</f>
        <v>0</v>
      </c>
      <c r="V131" s="152">
        <f>Calcs!CV465</f>
        <v>0</v>
      </c>
      <c r="W131" s="152">
        <f>Calcs!CW465</f>
        <v>0</v>
      </c>
      <c r="X131" s="152">
        <f>Calcs!CX465</f>
        <v>0</v>
      </c>
      <c r="Y131" s="152">
        <f>Calcs!CY465</f>
        <v>0</v>
      </c>
      <c r="Z131" s="152">
        <f>Calcs!CZ465</f>
        <v>0</v>
      </c>
      <c r="AA131" s="152">
        <f>Calcs!DA465</f>
        <v>0</v>
      </c>
      <c r="AB131" s="152">
        <f>Calcs!DB465</f>
        <v>0</v>
      </c>
      <c r="AC131" s="152">
        <f>Calcs!DC465</f>
        <v>0</v>
      </c>
      <c r="AD131" s="152">
        <f>SUM(R131:AC131)</f>
        <v>0</v>
      </c>
      <c r="AE131" s="152">
        <f>Calcs!DD465</f>
        <v>0</v>
      </c>
      <c r="AF131" s="152">
        <f>Calcs!DE465</f>
        <v>0</v>
      </c>
      <c r="AG131" s="152">
        <f>Calcs!DF465</f>
        <v>0</v>
      </c>
      <c r="AH131" s="152">
        <f>Calcs!DG465</f>
        <v>0</v>
      </c>
      <c r="AI131" s="152">
        <f>Calcs!DH465</f>
        <v>0</v>
      </c>
      <c r="AJ131" s="152">
        <f>Calcs!DI465</f>
        <v>0</v>
      </c>
      <c r="AK131" s="152">
        <f>Calcs!DJ465</f>
        <v>0</v>
      </c>
      <c r="AL131" s="152">
        <f>Calcs!DK465</f>
        <v>0</v>
      </c>
      <c r="AM131" s="152">
        <f>Calcs!DL465</f>
        <v>0</v>
      </c>
      <c r="AN131" s="152">
        <f>Calcs!DM465</f>
        <v>0</v>
      </c>
      <c r="AO131" s="152">
        <f>Calcs!DN465</f>
        <v>0</v>
      </c>
      <c r="AP131" s="152">
        <f>Calcs!DO465</f>
        <v>0</v>
      </c>
      <c r="AQ131" s="152">
        <f>SUM(AE131:AP131)</f>
        <v>0</v>
      </c>
      <c r="AR131" s="152">
        <f>Calcs!DP465</f>
        <v>0</v>
      </c>
      <c r="AS131" s="152">
        <f>Calcs!DQ465</f>
        <v>0</v>
      </c>
      <c r="AT131" s="152">
        <f>Calcs!DR465</f>
        <v>0</v>
      </c>
      <c r="AU131" s="152">
        <f>Calcs!DS465</f>
        <v>0</v>
      </c>
      <c r="AV131" s="152">
        <f>Calcs!DT465</f>
        <v>0</v>
      </c>
      <c r="AW131" s="152">
        <f>Calcs!DU465</f>
        <v>0</v>
      </c>
      <c r="AX131" s="152">
        <f>Calcs!DV465</f>
        <v>0</v>
      </c>
      <c r="AY131" s="152">
        <f>Calcs!DW465</f>
        <v>0</v>
      </c>
      <c r="AZ131" s="152">
        <f>Calcs!DX465</f>
        <v>0</v>
      </c>
      <c r="BA131" s="152">
        <f>Calcs!DY465</f>
        <v>0</v>
      </c>
      <c r="BB131" s="152">
        <f>Calcs!DZ465</f>
        <v>0</v>
      </c>
      <c r="BC131" s="152">
        <f>Calcs!EA465</f>
        <v>0</v>
      </c>
      <c r="BD131" s="152">
        <f>SUM(AR131:BC131)</f>
        <v>0</v>
      </c>
      <c r="BE131" s="152">
        <f>Calcs!EB465</f>
        <v>0</v>
      </c>
      <c r="BF131" s="152">
        <f>Calcs!EC465</f>
        <v>0</v>
      </c>
      <c r="BG131" s="152">
        <f>Calcs!ED465</f>
        <v>0</v>
      </c>
      <c r="BH131" s="152">
        <f>Calcs!EE465</f>
        <v>0</v>
      </c>
      <c r="BI131" s="152">
        <f>Calcs!EF465</f>
        <v>0</v>
      </c>
      <c r="BJ131" s="152">
        <f>Calcs!EG465</f>
        <v>0</v>
      </c>
      <c r="BK131" s="152">
        <f>Calcs!EH465</f>
        <v>0</v>
      </c>
      <c r="BL131" s="152">
        <f>Calcs!EI465</f>
        <v>0</v>
      </c>
      <c r="BM131" s="152">
        <f>Calcs!EJ465</f>
        <v>0</v>
      </c>
      <c r="BN131" s="152">
        <f>Calcs!EK465</f>
        <v>0</v>
      </c>
      <c r="BO131" s="152">
        <f>Calcs!EL465</f>
        <v>0</v>
      </c>
      <c r="BP131" s="152">
        <f>Calcs!EM465</f>
        <v>0</v>
      </c>
      <c r="BQ131" s="152">
        <f>SUM(BE131:BP131)</f>
        <v>0</v>
      </c>
      <c r="BR131" s="1567"/>
      <c r="BS131" s="153">
        <f>SUM(BQ131,BD131,AQ131,AD131,Q131)</f>
        <v>0</v>
      </c>
      <c r="BT131" s="1567"/>
      <c r="BU131" s="171">
        <f>SUM(BQ131,BD131,AQ131,AD131,Q131)</f>
      </c>
      <c r="BV131" s="170">
        <f>Calcs!CE468</f>
        <v>0</v>
      </c>
      <c r="BW131" s="172">
        <f>Calcs!CD468</f>
        <v>0</v>
      </c>
      <c r="BX131" s="172">
        <f>Calcs!CE468</f>
        <v>0</v>
      </c>
      <c r="BY131" s="172">
        <f>Calcs!CF468</f>
        <v>0</v>
      </c>
      <c r="BZ131" s="172">
        <f>Calcs!CG468</f>
        <v>0</v>
      </c>
      <c r="CA131" s="152">
        <f>Calcs!CH468</f>
        <v>0</v>
      </c>
      <c r="CB131" s="152">
        <f>Calcs!CI468</f>
        <v>0</v>
      </c>
      <c r="CC131" s="152">
        <f>Calcs!CJ468</f>
        <v>0</v>
      </c>
      <c r="CD131" s="152">
        <f>Calcs!CK468</f>
        <v>0</v>
      </c>
      <c r="CE131" s="152">
        <f>Calcs!CL468</f>
        <v>0</v>
      </c>
      <c r="CF131" s="152">
        <f>Calcs!CM468</f>
        <v>0</v>
      </c>
      <c r="CG131" s="152">
        <f>Calcs!CN468</f>
        <v>0</v>
      </c>
      <c r="CH131" s="152">
        <f>Calcs!CO468</f>
        <v>0</v>
      </c>
      <c r="CI131" s="152">
        <f>Calcs!CP468</f>
        <v>0</v>
      </c>
      <c r="CJ131" s="152">
        <f>Calcs!CQ468</f>
        <v>0</v>
      </c>
      <c r="CK131" s="152">
        <f>Calcs!CR468</f>
        <v>0</v>
      </c>
      <c r="CL131" s="152">
        <f>Calcs!CS468</f>
        <v>0</v>
      </c>
      <c r="CM131" s="152">
        <f>Calcs!CT468</f>
        <v>0</v>
      </c>
      <c r="CN131" s="152">
        <f>Calcs!CU468</f>
        <v>0</v>
      </c>
      <c r="CO131" s="152">
        <f>Calcs!CV468</f>
        <v>0</v>
      </c>
      <c r="CP131" s="152">
        <f>Calcs!CW468</f>
        <v>0</v>
      </c>
      <c r="CY131" s="305"/>
      <c r="CZ131" s="305"/>
      <c r="DA131" s="305"/>
      <c r="DB131" s="305"/>
      <c r="DC131" s="305"/>
      <c r="DD131" s="305"/>
      <c r="DE131" s="305"/>
      <c r="DF131" s="305"/>
      <c r="DG131" s="305"/>
      <c r="DH131" s="305"/>
      <c r="DI131" s="305"/>
      <c r="DJ131" s="305"/>
      <c r="DK131" s="305"/>
      <c r="DL131" s="305"/>
      <c r="DM131" s="305"/>
      <c r="DN131" s="305"/>
      <c r="DO131" s="305"/>
      <c r="DP131" s="305"/>
      <c r="DQ131" s="305"/>
      <c r="DR131" s="305"/>
      <c r="DS131" s="305"/>
      <c r="DT131" s="305"/>
      <c r="DU131" s="305"/>
      <c r="DV131" s="305"/>
      <c r="DW131" s="305"/>
      <c r="DX131" s="305"/>
      <c r="DY131" s="305"/>
      <c r="DZ131" s="305"/>
      <c r="EA131" s="305"/>
      <c r="EB131" s="305"/>
      <c r="EC131" s="305"/>
      <c r="ED131" s="305"/>
      <c r="EE131" s="305"/>
      <c r="EF131" s="305"/>
      <c r="EG131" s="305"/>
      <c r="EH131" s="305"/>
      <c r="EI131" s="305"/>
      <c r="EJ131" s="305"/>
      <c r="EK131" s="305"/>
      <c r="EL131" s="305"/>
      <c r="EM131" s="305"/>
      <c r="EN131" s="305"/>
      <c r="EO131" s="305"/>
      <c r="EP131" s="305"/>
      <c r="EQ131" s="305"/>
      <c r="ER131" s="305"/>
      <c r="ES131" s="305"/>
      <c r="ET131" s="305"/>
      <c r="EU131" s="305"/>
      <c r="EV131" s="305"/>
      <c r="EW131" s="305"/>
      <c r="EX131" s="305"/>
      <c r="EY131" s="305"/>
      <c r="EZ131" s="305"/>
      <c r="FA131" s="305"/>
      <c r="FB131" s="305"/>
      <c r="FC131" s="305"/>
      <c r="FD131" s="305"/>
      <c r="FE131" s="305"/>
      <c r="FF131" s="305"/>
      <c r="FG131" s="305"/>
      <c r="FH131" s="305"/>
      <c r="FI131" s="305"/>
      <c r="FJ131" s="305"/>
    </row>
    <row r="132" spans="1:166" ht="12.75" hidden="1" customHeight="1" x14ac:dyDescent="0.35">
      <c r="A132" s="136"/>
      <c r="B132" s="136"/>
      <c r="C132" s="136"/>
      <c r="D132" s="172" t="str">
        <f>IF(Calcs!CE466=0,"TBD",Calcs!CE466)</f>
        <v>TBD</v>
      </c>
      <c r="E132" s="152">
        <f>Calcs!CF466</f>
        <v>0</v>
      </c>
      <c r="F132" s="152">
        <f>Calcs!CG466</f>
        <v>0</v>
      </c>
      <c r="G132" s="152">
        <f>Calcs!CH466</f>
        <v>0</v>
      </c>
      <c r="H132" s="152">
        <f>Calcs!CI466</f>
        <v>0</v>
      </c>
      <c r="I132" s="152">
        <f>Calcs!CJ466</f>
        <v>0</v>
      </c>
      <c r="J132" s="152">
        <f>Calcs!CK466</f>
        <v>0</v>
      </c>
      <c r="K132" s="152">
        <f>Calcs!CL466</f>
        <v>0</v>
      </c>
      <c r="L132" s="152">
        <f>Calcs!CM466</f>
        <v>0</v>
      </c>
      <c r="M132" s="152">
        <f>Calcs!CN466</f>
        <v>0</v>
      </c>
      <c r="N132" s="152">
        <f>Calcs!CO466</f>
        <v>0</v>
      </c>
      <c r="O132" s="152">
        <f>Calcs!CP466</f>
        <v>0</v>
      </c>
      <c r="P132" s="152">
        <f>Calcs!CQ466</f>
        <v>0</v>
      </c>
      <c r="Q132" s="151">
        <f>SUM(E132:P132)</f>
        <v>0</v>
      </c>
      <c r="R132" s="152">
        <f>Calcs!CR466</f>
        <v>0</v>
      </c>
      <c r="S132" s="152">
        <f>Calcs!CS466</f>
        <v>0</v>
      </c>
      <c r="T132" s="152">
        <f>Calcs!CT466</f>
        <v>0</v>
      </c>
      <c r="U132" s="152">
        <f>Calcs!CU466</f>
        <v>0</v>
      </c>
      <c r="V132" s="152">
        <f>Calcs!CV466</f>
        <v>0</v>
      </c>
      <c r="W132" s="152">
        <f>Calcs!CW466</f>
        <v>0</v>
      </c>
      <c r="X132" s="152">
        <f>Calcs!CX466</f>
        <v>0</v>
      </c>
      <c r="Y132" s="152">
        <f>Calcs!CY466</f>
        <v>0</v>
      </c>
      <c r="Z132" s="152">
        <f>Calcs!CZ466</f>
        <v>0</v>
      </c>
      <c r="AA132" s="152">
        <f>Calcs!DA466</f>
        <v>0</v>
      </c>
      <c r="AB132" s="152">
        <f>Calcs!DB466</f>
        <v>0</v>
      </c>
      <c r="AC132" s="152">
        <f>Calcs!DC466</f>
        <v>0</v>
      </c>
      <c r="AD132" s="152">
        <f>SUM(R132:AC132)</f>
        <v>0</v>
      </c>
      <c r="AE132" s="152">
        <f>Calcs!DD466</f>
        <v>0</v>
      </c>
      <c r="AF132" s="152">
        <f>Calcs!DE466</f>
        <v>0</v>
      </c>
      <c r="AG132" s="152">
        <f>Calcs!DF466</f>
        <v>0</v>
      </c>
      <c r="AH132" s="152">
        <f>Calcs!DG466</f>
        <v>0</v>
      </c>
      <c r="AI132" s="152">
        <f>Calcs!DH466</f>
        <v>0</v>
      </c>
      <c r="AJ132" s="152">
        <f>Calcs!DI466</f>
        <v>0</v>
      </c>
      <c r="AK132" s="152">
        <f>Calcs!DJ466</f>
        <v>0</v>
      </c>
      <c r="AL132" s="152">
        <f>Calcs!DK466</f>
        <v>0</v>
      </c>
      <c r="AM132" s="152">
        <f>Calcs!DL466</f>
        <v>0</v>
      </c>
      <c r="AN132" s="152">
        <f>Calcs!DM466</f>
        <v>0</v>
      </c>
      <c r="AO132" s="152">
        <f>Calcs!DN466</f>
        <v>0</v>
      </c>
      <c r="AP132" s="152">
        <f>Calcs!DO466</f>
        <v>0</v>
      </c>
      <c r="AQ132" s="152">
        <f>SUM(AE132:AP132)</f>
        <v>0</v>
      </c>
      <c r="AR132" s="152">
        <f>Calcs!DP466</f>
        <v>0</v>
      </c>
      <c r="AS132" s="152">
        <f>Calcs!DQ466</f>
        <v>0</v>
      </c>
      <c r="AT132" s="152">
        <f>Calcs!DR466</f>
        <v>0</v>
      </c>
      <c r="AU132" s="152">
        <f>Calcs!DS466</f>
        <v>0</v>
      </c>
      <c r="AV132" s="152">
        <f>Calcs!DT466</f>
        <v>0</v>
      </c>
      <c r="AW132" s="152">
        <f>Calcs!DU466</f>
        <v>0</v>
      </c>
      <c r="AX132" s="152">
        <f>Calcs!DV466</f>
        <v>0</v>
      </c>
      <c r="AY132" s="152">
        <f>Calcs!DW466</f>
        <v>0</v>
      </c>
      <c r="AZ132" s="152">
        <f>Calcs!DX466</f>
        <v>0</v>
      </c>
      <c r="BA132" s="152">
        <f>Calcs!DY466</f>
        <v>0</v>
      </c>
      <c r="BB132" s="152">
        <f>Calcs!DZ466</f>
        <v>0</v>
      </c>
      <c r="BC132" s="152">
        <f>Calcs!EA466</f>
        <v>0</v>
      </c>
      <c r="BD132" s="152">
        <f>SUM(AR132:BC132)</f>
        <v>0</v>
      </c>
      <c r="BE132" s="152">
        <f>Calcs!EB466</f>
        <v>0</v>
      </c>
      <c r="BF132" s="152">
        <f>Calcs!EC466</f>
        <v>0</v>
      </c>
      <c r="BG132" s="152">
        <f>Calcs!ED466</f>
        <v>0</v>
      </c>
      <c r="BH132" s="152">
        <f>Calcs!EE466</f>
        <v>0</v>
      </c>
      <c r="BI132" s="152">
        <f>Calcs!EF466</f>
        <v>0</v>
      </c>
      <c r="BJ132" s="152">
        <f>Calcs!EG466</f>
        <v>0</v>
      </c>
      <c r="BK132" s="152">
        <f>Calcs!EH466</f>
        <v>0</v>
      </c>
      <c r="BL132" s="152">
        <f>Calcs!EI466</f>
        <v>0</v>
      </c>
      <c r="BM132" s="152">
        <f>Calcs!EJ466</f>
        <v>0</v>
      </c>
      <c r="BN132" s="152">
        <f>Calcs!EK466</f>
        <v>0</v>
      </c>
      <c r="BO132" s="152">
        <f>Calcs!EL466</f>
        <v>0</v>
      </c>
      <c r="BP132" s="152">
        <f>Calcs!EM466</f>
        <v>0</v>
      </c>
      <c r="BQ132" s="152">
        <f>SUM(BE132:BP132)</f>
        <v>0</v>
      </c>
      <c r="BR132" s="1567"/>
      <c r="BS132" s="153">
        <f>SUM(BQ132,BD132,AQ132,AD132,Q132)</f>
        <v>0</v>
      </c>
      <c r="BT132" s="1567"/>
      <c r="BU132" s="171">
        <f>SUM(BQ132,BD132,AQ132,AD132,Q132)</f>
      </c>
      <c r="BV132" s="170">
        <f>Calcs!CE469</f>
        <v>0</v>
      </c>
      <c r="BW132" s="172">
        <f>Calcs!CD469</f>
        <v>0</v>
      </c>
      <c r="BX132" s="172">
        <f>Calcs!CE469</f>
        <v>0</v>
      </c>
      <c r="BY132" s="172">
        <f>Calcs!CF469</f>
        <v>0</v>
      </c>
      <c r="BZ132" s="172">
        <f>Calcs!CG469</f>
        <v>0</v>
      </c>
      <c r="CA132" s="152">
        <f>Calcs!CH469</f>
        <v>0</v>
      </c>
      <c r="CB132" s="152">
        <f>Calcs!CI469</f>
        <v>0</v>
      </c>
      <c r="CC132" s="152">
        <f>Calcs!CJ469</f>
        <v>0</v>
      </c>
      <c r="CD132" s="152">
        <f>Calcs!CK469</f>
        <v>0</v>
      </c>
      <c r="CE132" s="152">
        <f>Calcs!CL469</f>
        <v>0</v>
      </c>
      <c r="CF132" s="152">
        <f>Calcs!CM469</f>
        <v>0</v>
      </c>
      <c r="CG132" s="152">
        <f>Calcs!CN469</f>
        <v>0</v>
      </c>
      <c r="CH132" s="152">
        <f>Calcs!CO469</f>
        <v>0</v>
      </c>
      <c r="CI132" s="152">
        <f>Calcs!CP469</f>
        <v>0</v>
      </c>
      <c r="CJ132" s="152">
        <f>Calcs!CQ469</f>
        <v>0</v>
      </c>
      <c r="CK132" s="152">
        <f>Calcs!CR469</f>
        <v>0</v>
      </c>
      <c r="CL132" s="152">
        <f>Calcs!CS469</f>
        <v>0</v>
      </c>
      <c r="CM132" s="152">
        <f>Calcs!CT469</f>
        <v>0</v>
      </c>
      <c r="CN132" s="152">
        <f>Calcs!CU469</f>
        <v>0</v>
      </c>
      <c r="CO132" s="152">
        <f>Calcs!CV469</f>
        <v>0</v>
      </c>
      <c r="CP132" s="152">
        <f>Calcs!CW469</f>
        <v>0</v>
      </c>
      <c r="CY132" s="305"/>
      <c r="CZ132" s="305"/>
      <c r="DA132" s="305"/>
      <c r="DB132" s="305"/>
      <c r="DC132" s="305"/>
      <c r="DD132" s="305"/>
      <c r="DE132" s="305"/>
      <c r="DF132" s="305"/>
      <c r="DG132" s="305"/>
      <c r="DH132" s="305"/>
      <c r="DI132" s="305"/>
      <c r="DJ132" s="305"/>
      <c r="DK132" s="305"/>
      <c r="DL132" s="305"/>
      <c r="DM132" s="305"/>
      <c r="DN132" s="305"/>
      <c r="DO132" s="305"/>
      <c r="DP132" s="305"/>
      <c r="DQ132" s="305"/>
      <c r="DR132" s="305"/>
      <c r="DS132" s="305"/>
      <c r="DT132" s="305"/>
      <c r="DU132" s="305"/>
      <c r="DV132" s="305"/>
      <c r="DW132" s="305"/>
      <c r="DX132" s="305"/>
      <c r="DY132" s="305"/>
      <c r="DZ132" s="305"/>
      <c r="EA132" s="305"/>
      <c r="EB132" s="305"/>
      <c r="EC132" s="305"/>
      <c r="ED132" s="305"/>
      <c r="EE132" s="305"/>
      <c r="EF132" s="305"/>
      <c r="EG132" s="305"/>
      <c r="EH132" s="305"/>
      <c r="EI132" s="305"/>
      <c r="EJ132" s="305"/>
      <c r="EK132" s="305"/>
      <c r="EL132" s="305"/>
      <c r="EM132" s="305"/>
      <c r="EN132" s="305"/>
      <c r="EO132" s="305"/>
      <c r="EP132" s="305"/>
      <c r="EQ132" s="305"/>
      <c r="ER132" s="305"/>
      <c r="ES132" s="305"/>
      <c r="ET132" s="305"/>
      <c r="EU132" s="305"/>
      <c r="EV132" s="305"/>
      <c r="EW132" s="305"/>
      <c r="EX132" s="305"/>
      <c r="EY132" s="305"/>
      <c r="EZ132" s="305"/>
      <c r="FA132" s="305"/>
      <c r="FB132" s="305"/>
      <c r="FC132" s="305"/>
      <c r="FD132" s="305"/>
      <c r="FE132" s="305"/>
      <c r="FF132" s="305"/>
      <c r="FG132" s="305"/>
      <c r="FH132" s="305"/>
      <c r="FI132" s="305"/>
      <c r="FJ132" s="305"/>
    </row>
    <row r="133" spans="1:166" ht="12.75" hidden="1" customHeight="1" x14ac:dyDescent="0.35">
      <c r="A133" s="136"/>
      <c r="B133" s="136"/>
      <c r="C133" s="136"/>
      <c r="D133" s="172" t="str">
        <f>IF(Calcs!CE467=0,"TBD",Calcs!CE467)</f>
        <v>TBD</v>
      </c>
      <c r="E133" s="152">
        <f>Calcs!CF467</f>
        <v>0</v>
      </c>
      <c r="F133" s="152">
        <f>Calcs!CG467</f>
        <v>0</v>
      </c>
      <c r="G133" s="152">
        <f>Calcs!CH467</f>
        <v>0</v>
      </c>
      <c r="H133" s="152">
        <f>Calcs!CI467</f>
        <v>0</v>
      </c>
      <c r="I133" s="152">
        <f>Calcs!CJ467</f>
        <v>0</v>
      </c>
      <c r="J133" s="152">
        <f>Calcs!CK467</f>
        <v>0</v>
      </c>
      <c r="K133" s="152">
        <f>Calcs!CL467</f>
        <v>0</v>
      </c>
      <c r="L133" s="152">
        <f>Calcs!CM467</f>
        <v>0</v>
      </c>
      <c r="M133" s="152">
        <f>Calcs!CN467</f>
        <v>0</v>
      </c>
      <c r="N133" s="152">
        <f>Calcs!CO467</f>
        <v>0</v>
      </c>
      <c r="O133" s="152">
        <f>Calcs!CP467</f>
        <v>0</v>
      </c>
      <c r="P133" s="152">
        <f>Calcs!CQ467</f>
        <v>0</v>
      </c>
      <c r="Q133" s="151">
        <f>SUM(E133:P133)</f>
        <v>0</v>
      </c>
      <c r="R133" s="152">
        <f>Calcs!CR467</f>
        <v>0</v>
      </c>
      <c r="S133" s="152">
        <f>Calcs!CS467</f>
        <v>0</v>
      </c>
      <c r="T133" s="152">
        <f>Calcs!CT467</f>
        <v>0</v>
      </c>
      <c r="U133" s="152">
        <f>Calcs!CU467</f>
        <v>0</v>
      </c>
      <c r="V133" s="152">
        <f>Calcs!CV467</f>
        <v>0</v>
      </c>
      <c r="W133" s="152">
        <f>Calcs!CW467</f>
        <v>0</v>
      </c>
      <c r="X133" s="152">
        <f>Calcs!CX467</f>
        <v>0</v>
      </c>
      <c r="Y133" s="152">
        <f>Calcs!CY467</f>
        <v>0</v>
      </c>
      <c r="Z133" s="152">
        <f>Calcs!CZ467</f>
        <v>0</v>
      </c>
      <c r="AA133" s="152">
        <f>Calcs!DA467</f>
        <v>0</v>
      </c>
      <c r="AB133" s="152">
        <f>Calcs!DB467</f>
        <v>0</v>
      </c>
      <c r="AC133" s="152">
        <f>Calcs!DC467</f>
        <v>0</v>
      </c>
      <c r="AD133" s="152">
        <f>SUM(R133:AC133)</f>
        <v>0</v>
      </c>
      <c r="AE133" s="152">
        <f>Calcs!DD467</f>
        <v>0</v>
      </c>
      <c r="AF133" s="152">
        <f>Calcs!DE467</f>
        <v>0</v>
      </c>
      <c r="AG133" s="152">
        <f>Calcs!DF467</f>
        <v>0</v>
      </c>
      <c r="AH133" s="152">
        <f>Calcs!DG467</f>
        <v>0</v>
      </c>
      <c r="AI133" s="152">
        <f>Calcs!DH467</f>
        <v>0</v>
      </c>
      <c r="AJ133" s="152">
        <f>Calcs!DI467</f>
        <v>0</v>
      </c>
      <c r="AK133" s="152">
        <f>Calcs!DJ467</f>
        <v>0</v>
      </c>
      <c r="AL133" s="152">
        <f>Calcs!DK467</f>
        <v>0</v>
      </c>
      <c r="AM133" s="152">
        <f>Calcs!DL467</f>
        <v>0</v>
      </c>
      <c r="AN133" s="152">
        <f>Calcs!DM467</f>
        <v>0</v>
      </c>
      <c r="AO133" s="152">
        <f>Calcs!DN467</f>
        <v>0</v>
      </c>
      <c r="AP133" s="152">
        <f>Calcs!DO467</f>
        <v>0</v>
      </c>
      <c r="AQ133" s="152">
        <f>SUM(AE133:AP133)</f>
        <v>0</v>
      </c>
      <c r="AR133" s="152">
        <f>Calcs!DP467</f>
        <v>0</v>
      </c>
      <c r="AS133" s="152">
        <f>Calcs!DQ467</f>
        <v>0</v>
      </c>
      <c r="AT133" s="152">
        <f>Calcs!DR467</f>
        <v>0</v>
      </c>
      <c r="AU133" s="152">
        <f>Calcs!DS467</f>
        <v>0</v>
      </c>
      <c r="AV133" s="152">
        <f>Calcs!DT467</f>
        <v>0</v>
      </c>
      <c r="AW133" s="152">
        <f>Calcs!DU467</f>
        <v>0</v>
      </c>
      <c r="AX133" s="152">
        <f>Calcs!DV467</f>
        <v>0</v>
      </c>
      <c r="AY133" s="152">
        <f>Calcs!DW467</f>
        <v>0</v>
      </c>
      <c r="AZ133" s="152">
        <f>Calcs!DX467</f>
        <v>0</v>
      </c>
      <c r="BA133" s="152">
        <f>Calcs!DY467</f>
        <v>0</v>
      </c>
      <c r="BB133" s="152">
        <f>Calcs!DZ467</f>
        <v>0</v>
      </c>
      <c r="BC133" s="152">
        <f>Calcs!EA467</f>
        <v>0</v>
      </c>
      <c r="BD133" s="152">
        <f>SUM(AR133:BC133)</f>
        <v>0</v>
      </c>
      <c r="BE133" s="152">
        <f>Calcs!EB467</f>
        <v>0</v>
      </c>
      <c r="BF133" s="152">
        <f>Calcs!EC467</f>
        <v>0</v>
      </c>
      <c r="BG133" s="152">
        <f>Calcs!ED467</f>
        <v>0</v>
      </c>
      <c r="BH133" s="152">
        <f>Calcs!EE467</f>
        <v>0</v>
      </c>
      <c r="BI133" s="152">
        <f>Calcs!EF467</f>
        <v>0</v>
      </c>
      <c r="BJ133" s="152">
        <f>Calcs!EG467</f>
        <v>0</v>
      </c>
      <c r="BK133" s="152">
        <f>Calcs!EH467</f>
        <v>0</v>
      </c>
      <c r="BL133" s="152">
        <f>Calcs!EI467</f>
        <v>0</v>
      </c>
      <c r="BM133" s="152">
        <f>Calcs!EJ467</f>
        <v>0</v>
      </c>
      <c r="BN133" s="152">
        <f>Calcs!EK467</f>
        <v>0</v>
      </c>
      <c r="BO133" s="152">
        <f>Calcs!EL467</f>
        <v>0</v>
      </c>
      <c r="BP133" s="152">
        <f>Calcs!EM467</f>
        <v>0</v>
      </c>
      <c r="BQ133" s="152">
        <f>SUM(BE133:BP133)</f>
        <v>0</v>
      </c>
      <c r="BR133" s="1567"/>
      <c r="BS133" s="153">
        <f>SUM(BQ133,BD133,AQ133,AD133,Q133)</f>
        <v>0</v>
      </c>
      <c r="BT133" s="1567"/>
      <c r="BU133" s="171">
        <f>SUM(BQ133,BD133,AQ133,AD133,Q133)</f>
      </c>
      <c r="BV133" s="170">
        <f>Calcs!CE470</f>
        <v>0</v>
      </c>
      <c r="BW133" s="172">
        <f>Calcs!CD470</f>
        <v>0</v>
      </c>
      <c r="BX133" s="172">
        <f>Calcs!CE470</f>
        <v>0</v>
      </c>
      <c r="BY133" s="172">
        <f>Calcs!CF470</f>
        <v>0</v>
      </c>
      <c r="BZ133" s="172">
        <f>Calcs!CG470</f>
        <v>0</v>
      </c>
      <c r="CA133" s="152">
        <f>Calcs!CH470</f>
        <v>0</v>
      </c>
      <c r="CB133" s="152">
        <f>Calcs!CI470</f>
        <v>0</v>
      </c>
      <c r="CC133" s="152">
        <f>Calcs!CJ470</f>
        <v>0</v>
      </c>
      <c r="CD133" s="152">
        <f>Calcs!CK470</f>
        <v>0</v>
      </c>
      <c r="CE133" s="152">
        <f>Calcs!CL470</f>
        <v>0</v>
      </c>
      <c r="CF133" s="152">
        <f>Calcs!CM470</f>
        <v>0</v>
      </c>
      <c r="CG133" s="152">
        <f>Calcs!CN470</f>
        <v>0</v>
      </c>
      <c r="CH133" s="152">
        <f>Calcs!CO470</f>
        <v>0</v>
      </c>
      <c r="CI133" s="152">
        <f>Calcs!CP470</f>
        <v>0</v>
      </c>
      <c r="CJ133" s="152">
        <f>Calcs!CQ470</f>
        <v>0</v>
      </c>
      <c r="CK133" s="152">
        <f>Calcs!CR470</f>
        <v>0</v>
      </c>
      <c r="CL133" s="152">
        <f>Calcs!CS470</f>
        <v>0</v>
      </c>
      <c r="CM133" s="152">
        <f>Calcs!CT470</f>
        <v>0</v>
      </c>
      <c r="CN133" s="152">
        <f>Calcs!CU470</f>
        <v>0</v>
      </c>
      <c r="CO133" s="152">
        <f>Calcs!CV470</f>
        <v>0</v>
      </c>
      <c r="CP133" s="152">
        <f>Calcs!CW470</f>
        <v>0</v>
      </c>
      <c r="CY133" s="305"/>
      <c r="CZ133" s="305"/>
      <c r="DA133" s="305"/>
      <c r="DB133" s="305"/>
      <c r="DC133" s="305"/>
      <c r="DD133" s="305"/>
      <c r="DE133" s="305"/>
      <c r="DF133" s="305"/>
      <c r="DG133" s="305"/>
      <c r="DH133" s="305"/>
      <c r="DI133" s="305"/>
      <c r="DJ133" s="305"/>
      <c r="DK133" s="305"/>
      <c r="DL133" s="305"/>
      <c r="DM133" s="305"/>
      <c r="DN133" s="305"/>
      <c r="DO133" s="305"/>
      <c r="DP133" s="305"/>
      <c r="DQ133" s="305"/>
      <c r="DR133" s="305"/>
      <c r="DS133" s="305"/>
      <c r="DT133" s="305"/>
      <c r="DU133" s="305"/>
      <c r="DV133" s="305"/>
      <c r="DW133" s="305"/>
      <c r="DX133" s="305"/>
      <c r="DY133" s="305"/>
      <c r="DZ133" s="305"/>
      <c r="EA133" s="305"/>
      <c r="EB133" s="305"/>
      <c r="EC133" s="305"/>
      <c r="ED133" s="305"/>
      <c r="EE133" s="305"/>
      <c r="EF133" s="305"/>
      <c r="EG133" s="305"/>
      <c r="EH133" s="305"/>
      <c r="EI133" s="305"/>
      <c r="EJ133" s="305"/>
      <c r="EK133" s="305"/>
      <c r="EL133" s="305"/>
      <c r="EM133" s="305"/>
      <c r="EN133" s="305"/>
      <c r="EO133" s="305"/>
      <c r="EP133" s="305"/>
      <c r="EQ133" s="305"/>
      <c r="ER133" s="305"/>
      <c r="ES133" s="305"/>
      <c r="ET133" s="305"/>
      <c r="EU133" s="305"/>
      <c r="EV133" s="305"/>
      <c r="EW133" s="305"/>
      <c r="EX133" s="305"/>
      <c r="EY133" s="305"/>
      <c r="EZ133" s="305"/>
      <c r="FA133" s="305"/>
      <c r="FB133" s="305"/>
      <c r="FC133" s="305"/>
      <c r="FD133" s="305"/>
      <c r="FE133" s="305"/>
      <c r="FF133" s="305"/>
      <c r="FG133" s="305"/>
      <c r="FH133" s="305"/>
      <c r="FI133" s="305"/>
      <c r="FJ133" s="305"/>
    </row>
    <row r="134" spans="1:166" ht="12.75" customHeight="1" x14ac:dyDescent="0.35">
      <c r="A134" s="136"/>
      <c r="B134" s="136"/>
      <c r="C134" s="136"/>
      <c r="D134" s="142" t="s">
        <v>293</v>
      </c>
      <c r="E134" s="168">
        <f>SUM(E82:E133)+SUM(Calcs!CF468:CF470)</f>
      </c>
      <c r="F134" s="168">
        <f>SUM(F82:F133)+SUM(Calcs!CG468:CG470)</f>
      </c>
      <c r="G134" s="155">
        <f>SUM(G82:G133)+SUM(Calcs!CH468:CH470)</f>
      </c>
      <c r="H134" s="155">
        <f>SUM(H82:H133)+SUM(Calcs!CI468:CI470)</f>
      </c>
      <c r="I134" s="155">
        <f>SUM(I82:I133)+SUM(Calcs!CJ468:CJ470)</f>
      </c>
      <c r="J134" s="155">
        <f>SUM(J82:J133)+SUM(Calcs!CK468:CK470)</f>
      </c>
      <c r="K134" s="155">
        <f>SUM(K82:K133)+SUM(Calcs!CL468:CL470)</f>
      </c>
      <c r="L134" s="155">
        <f>SUM(L82:L133)+SUM(Calcs!CM468:CM470)</f>
      </c>
      <c r="M134" s="155">
        <f>SUM(M82:M133)+SUM(Calcs!CN468:CN470)</f>
      </c>
      <c r="N134" s="155">
        <f>SUM(N82:N133)+SUM(Calcs!CO468:CO470)</f>
      </c>
      <c r="O134" s="155">
        <f>SUM(O82:O133)+SUM(Calcs!CP468:CP470)</f>
      </c>
      <c r="P134" s="155">
        <f>SUM(P82:P133)+SUM(Calcs!CQ468:CQ470)</f>
      </c>
      <c r="Q134" s="155">
        <f>SUM(Q82:Q133)+SUM(Calcs!CF468:CQ470)</f>
      </c>
      <c r="R134" s="155">
        <f>SUM(R82:R133)+SUM(Calcs!CR468:CR470)</f>
      </c>
      <c r="S134" s="155">
        <f>SUM(S82:S133)+SUM(Calcs!CS468:CS470)</f>
      </c>
      <c r="T134" s="155">
        <f>SUM(T82:T133)+SUM(Calcs!CT468:CT470)</f>
      </c>
      <c r="U134" s="155">
        <f>SUM(U82:U133)+SUM(Calcs!CU468:CU470)</f>
      </c>
      <c r="V134" s="155">
        <f>SUM(V82:V133)+SUM(Calcs!CV468:CV470)</f>
      </c>
      <c r="W134" s="155">
        <f>SUM(W82:W133)+SUM(Calcs!CW468:CW470)</f>
      </c>
      <c r="X134" s="155">
        <f>SUM(X82:X133)+SUM(Calcs!CX468:CX470)</f>
      </c>
      <c r="Y134" s="155">
        <f>SUM(Y82:Y133)+SUM(Calcs!CY468:CY470)</f>
      </c>
      <c r="Z134" s="155">
        <f>SUM(Z82:Z133)+SUM(Calcs!CZ468:CZ470)</f>
      </c>
      <c r="AA134" s="155">
        <f>SUM(AA82:AA133)+SUM(Calcs!DA468:DA470)</f>
      </c>
      <c r="AB134" s="155">
        <f>SUM(AB82:AB133)+SUM(Calcs!DB468:DB470)</f>
      </c>
      <c r="AC134" s="155">
        <f>SUM(AC82:AC133)+SUM(Calcs!DC468:DC470)</f>
      </c>
      <c r="AD134" s="155">
        <f>SUM(R134:AC134)</f>
        <v>0</v>
      </c>
      <c r="AE134" s="155">
        <f>SUM(AE82:AE133)+SUM(Calcs!DD468:DD470)</f>
      </c>
      <c r="AF134" s="155">
        <f>SUM(AF82:AF133)+SUM(Calcs!DE468:DE470)</f>
      </c>
      <c r="AG134" s="155">
        <f>SUM(AG82:AG133)+SUM(Calcs!DF468:DF470)</f>
      </c>
      <c r="AH134" s="155">
        <f>SUM(AH82:AH133)+SUM(Calcs!DG468:DG470)</f>
      </c>
      <c r="AI134" s="155">
        <f>SUM(AI82:AI133)+SUM(Calcs!DH468:DH470)</f>
      </c>
      <c r="AJ134" s="155">
        <f>SUM(AJ82:AJ133)+SUM(Calcs!DI468:DI470)</f>
      </c>
      <c r="AK134" s="155">
        <f>SUM(AK82:AK133)+SUM(Calcs!DJ468:DJ470)</f>
      </c>
      <c r="AL134" s="155">
        <f>SUM(AL82:AL133)+SUM(Calcs!DK468:DK470)</f>
      </c>
      <c r="AM134" s="155">
        <f>SUM(AM82:AM133)+SUM(Calcs!DL468:DL470)</f>
      </c>
      <c r="AN134" s="155">
        <f>SUM(AN82:AN133)+SUM(Calcs!DM468:DM470)</f>
      </c>
      <c r="AO134" s="155">
        <f>SUM(AO82:AO133)+SUM(Calcs!DN468:DN470)</f>
      </c>
      <c r="AP134" s="155">
        <f>SUM(AP82:AP133)+SUM(Calcs!DO468:DO470)</f>
      </c>
      <c r="AQ134" s="155">
        <f>SUM(AE134:AP134)</f>
        <v>0</v>
      </c>
      <c r="AR134" s="155">
        <f>SUM(AR82:AR133)+SUM(Calcs!DP468:DP470)</f>
      </c>
      <c r="AS134" s="155">
        <f>SUM(AS82:AS133)+SUM(Calcs!DQ468:DQ470)</f>
      </c>
      <c r="AT134" s="155">
        <f>SUM(AT82:AT133)+SUM(Calcs!DR468:DR470)</f>
      </c>
      <c r="AU134" s="155">
        <f>SUM(AU82:AU133)+SUM(Calcs!DS468:DS470)</f>
      </c>
      <c r="AV134" s="155">
        <f>SUM(AV82:AV133)+SUM(Calcs!DT468:DT470)</f>
      </c>
      <c r="AW134" s="155">
        <f>SUM(AW82:AW133)+SUM(Calcs!DU468:DU470)</f>
      </c>
      <c r="AX134" s="155">
        <f>SUM(AX82:AX133)+SUM(Calcs!DV468:DV470)</f>
      </c>
      <c r="AY134" s="155">
        <f>SUM(AY82:AY133)+SUM(Calcs!DW468:DW470)</f>
      </c>
      <c r="AZ134" s="155">
        <f>SUM(AZ82:AZ133)+SUM(Calcs!DX468:DX470)</f>
      </c>
      <c r="BA134" s="155">
        <f>SUM(BA82:BA133)+SUM(Calcs!DY468:DY470)</f>
      </c>
      <c r="BB134" s="155">
        <f>SUM(BB82:BB133)+SUM(Calcs!DZ468:DZ470)</f>
      </c>
      <c r="BC134" s="155">
        <f>SUM(BC82:BC133)+SUM(Calcs!EA468:EA470)</f>
      </c>
      <c r="BD134" s="155">
        <f>SUM(AR134:BC134)</f>
        <v>0</v>
      </c>
      <c r="BE134" s="155">
        <f>SUM(BE82:BE133)+SUM(Calcs!EB468:EB470)</f>
      </c>
      <c r="BF134" s="155">
        <f>SUM(BF82:BF133)+SUM(Calcs!EC468:EC470)</f>
      </c>
      <c r="BG134" s="155">
        <f>SUM(BG82:BG133)+SUM(Calcs!ED468:ED470)</f>
      </c>
      <c r="BH134" s="155">
        <f>SUM(BH82:BH133)+SUM(Calcs!EE468:EE470)</f>
      </c>
      <c r="BI134" s="155">
        <f>SUM(BI82:BI133)+SUM(Calcs!EF468:EF470)</f>
      </c>
      <c r="BJ134" s="155">
        <f>SUM(BJ82:BJ133)+SUM(Calcs!EG468:EG470)</f>
      </c>
      <c r="BK134" s="155">
        <f>SUM(BK82:BK133)+SUM(Calcs!EH468:EH470)</f>
      </c>
      <c r="BL134" s="155">
        <f>SUM(BL82:BL133)+SUM(Calcs!EI468:EI470)</f>
      </c>
      <c r="BM134" s="155">
        <f>SUM(BM82:BM133)+SUM(Calcs!EJ468:EJ470)</f>
      </c>
      <c r="BN134" s="155">
        <f>SUM(BN82:BN133)+SUM(Calcs!EK468:EK470)</f>
      </c>
      <c r="BO134" s="155">
        <f>SUM(BO82:BO133)+SUM(Calcs!EL468:EL470)</f>
      </c>
      <c r="BP134" s="155">
        <f>SUM(BP82:BP133)+SUM(Calcs!EM468:EM470)</f>
      </c>
      <c r="BQ134" s="155">
        <f>SUM(BE134:BP134)</f>
        <v>0</v>
      </c>
      <c r="BR134" s="257"/>
      <c r="BS134" s="153">
        <v>1</v>
      </c>
      <c r="BT134" s="257"/>
      <c r="BU134" s="156">
        <f>SUM(BU82:BU133)+SUM(Calcs!EB468:EM470)</f>
      </c>
      <c r="BV134" s="138" t="s">
        <v>293</v>
      </c>
      <c r="BW134" s="168">
        <f>SUM(BW82:BW133)</f>
        <v>0</v>
      </c>
      <c r="BX134" s="168">
        <f>SUM(BX82:BX133)</f>
        <v>0</v>
      </c>
      <c r="BY134" s="168">
        <f>SUM(BY82:BY133)</f>
        <v>0</v>
      </c>
      <c r="BZ134" s="168">
        <f>SUM(BZ82:BZ133)</f>
        <v>0</v>
      </c>
      <c r="CA134" s="155">
        <f>SUM(CA82:CA133)</f>
        <v>0</v>
      </c>
      <c r="CB134" s="155">
        <f>SUM(CB82:CB133)</f>
        <v>0</v>
      </c>
      <c r="CC134" s="155">
        <f>SUM(CC82:CC133)</f>
        <v>0</v>
      </c>
      <c r="CD134" s="155">
        <f>SUM(CD82:CD133)</f>
        <v>0</v>
      </c>
      <c r="CE134" s="155">
        <f>SUM(CE82:CE133)</f>
        <v>0</v>
      </c>
      <c r="CF134" s="155">
        <f>SUM(CF82:CF133)</f>
        <v>0</v>
      </c>
      <c r="CG134" s="155">
        <f>SUM(CG82:CG133)</f>
        <v>0</v>
      </c>
      <c r="CH134" s="155">
        <f>SUM(CH82:CH133)</f>
        <v>0</v>
      </c>
      <c r="CI134" s="155">
        <f>SUM(CI82:CI133)</f>
        <v>0</v>
      </c>
      <c r="CJ134" s="155">
        <f>SUM(CJ82:CJ133)</f>
        <v>0</v>
      </c>
      <c r="CK134" s="155">
        <f>SUM(CK82:CK133)</f>
        <v>0</v>
      </c>
      <c r="CL134" s="155">
        <f>SUM(CL82:CL133)</f>
        <v>0</v>
      </c>
      <c r="CM134" s="155">
        <f>SUM(CM82:CM133)</f>
        <v>0</v>
      </c>
      <c r="CN134" s="155">
        <f>SUM(CN82:CN133)</f>
        <v>0</v>
      </c>
      <c r="CO134" s="155">
        <f>SUM(CO82:CO133)</f>
        <v>0</v>
      </c>
      <c r="CP134" s="155">
        <f>SUM(CP82:CP133)</f>
        <v>0</v>
      </c>
      <c r="CY134" s="305"/>
      <c r="CZ134" s="305"/>
      <c r="DA134" s="305"/>
      <c r="DB134" s="305"/>
      <c r="DC134" s="305"/>
      <c r="DD134" s="305"/>
      <c r="DE134" s="305"/>
      <c r="DF134" s="305"/>
      <c r="DG134" s="305"/>
      <c r="DH134" s="305"/>
      <c r="DI134" s="305"/>
      <c r="DJ134" s="305"/>
      <c r="DK134" s="305"/>
      <c r="DL134" s="305"/>
      <c r="DM134" s="305"/>
      <c r="DN134" s="305"/>
      <c r="DO134" s="305"/>
      <c r="DP134" s="305"/>
      <c r="DQ134" s="305"/>
      <c r="DR134" s="305"/>
      <c r="DS134" s="305"/>
      <c r="DT134" s="305"/>
      <c r="DU134" s="305"/>
      <c r="DV134" s="305"/>
      <c r="DW134" s="305"/>
      <c r="DX134" s="305"/>
      <c r="DY134" s="305"/>
      <c r="DZ134" s="305"/>
      <c r="EA134" s="305"/>
      <c r="EB134" s="305"/>
      <c r="EC134" s="305"/>
      <c r="ED134" s="305"/>
      <c r="EE134" s="305"/>
      <c r="EF134" s="305"/>
      <c r="EG134" s="305"/>
      <c r="EH134" s="305"/>
      <c r="EI134" s="305"/>
      <c r="EJ134" s="305"/>
      <c r="EK134" s="305"/>
      <c r="EL134" s="305"/>
      <c r="EM134" s="305"/>
      <c r="EN134" s="305"/>
      <c r="EO134" s="305"/>
      <c r="EP134" s="305"/>
      <c r="EQ134" s="305"/>
      <c r="ER134" s="305"/>
      <c r="ES134" s="305"/>
      <c r="ET134" s="305"/>
      <c r="EU134" s="305"/>
      <c r="EV134" s="305"/>
      <c r="EW134" s="305"/>
      <c r="EX134" s="305"/>
      <c r="EY134" s="305"/>
      <c r="EZ134" s="305"/>
      <c r="FA134" s="305"/>
      <c r="FB134" s="305"/>
      <c r="FC134" s="305"/>
      <c r="FD134" s="305"/>
      <c r="FE134" s="305"/>
      <c r="FF134" s="305"/>
      <c r="FG134" s="305"/>
      <c r="FH134" s="305"/>
      <c r="FI134" s="305"/>
      <c r="FJ134" s="305"/>
    </row>
    <row r="135" spans="1:166" ht="12.75" customHeight="1" x14ac:dyDescent="0.35">
      <c r="A135" s="136"/>
      <c r="B135" s="136"/>
      <c r="C135" s="136"/>
      <c r="D135" s="152"/>
      <c r="E135" s="157" t="str">
        <f>IF(AND(E$33&lt;&gt;0,,E134&gt;0),E134/E$33,"")</f>
        <v/>
      </c>
      <c r="F135" s="157" t="str">
        <f>IF(AND(F$33&lt;&gt;0,,F134&gt;0),F134/F$33,"")</f>
        <v/>
      </c>
      <c r="G135" s="157" t="str">
        <f>IF(AND(G$33&lt;&gt;0,,G134&gt;0),G134/G$33,"")</f>
        <v/>
      </c>
      <c r="H135" s="157" t="str">
        <f>IF(AND(H$33&lt;&gt;0,,H134&gt;0),H134/H$33,"")</f>
        <v/>
      </c>
      <c r="I135" s="157" t="str">
        <f>IF(AND(I$33&lt;&gt;0,,I134&gt;0),I134/I$33,"")</f>
        <v/>
      </c>
      <c r="J135" s="157" t="str">
        <f>IF(AND(J$33&lt;&gt;0,,J134&gt;0),J134/J$33,"")</f>
        <v/>
      </c>
      <c r="K135" s="157" t="str">
        <f>IF(AND(K$33&lt;&gt;0,,K134&gt;0),K134/K$33,"")</f>
        <v/>
      </c>
      <c r="L135" s="157" t="str">
        <f>IF(AND(L$33&lt;&gt;0,,L134&gt;0),L134/L$33,"")</f>
        <v/>
      </c>
      <c r="M135" s="157" t="str">
        <f>IF(AND(M$33&lt;&gt;0,,M134&gt;0),M134/M$33,"")</f>
        <v/>
      </c>
      <c r="N135" s="157" t="str">
        <f>IF(AND(N$33&lt;&gt;0,,N134&gt;0),N134/N$33,"")</f>
        <v/>
      </c>
      <c r="O135" s="157" t="str">
        <f>IF(AND(O$33&lt;&gt;0,,O134&gt;0),O134/O$33,"")</f>
        <v/>
      </c>
      <c r="P135" s="157" t="str">
        <f>IF(AND(P$33&lt;&gt;0,,P134&gt;0),P134/P$33,"")</f>
        <v/>
      </c>
      <c r="Q135" s="157" t="str">
        <f>IF(AND(Q$33&lt;&gt;0,,Q134&gt;0),Q134/Q$33,"")</f>
        <v/>
      </c>
      <c r="R135" s="157" t="str">
        <f>IF(AND(R$33&lt;&gt;0,,R134&gt;0),R134/R$33,"")</f>
        <v/>
      </c>
      <c r="S135" s="157" t="str">
        <f>IF(AND(S$33&lt;&gt;0,,S134&gt;0),S134/S$33,"")</f>
        <v/>
      </c>
      <c r="T135" s="157" t="str">
        <f>IF(AND(T$33&lt;&gt;0,,T134&gt;0),T134/T$33,"")</f>
        <v/>
      </c>
      <c r="U135" s="157" t="str">
        <f>IF(AND(U$33&lt;&gt;0,,U134&gt;0),U134/U$33,"")</f>
        <v/>
      </c>
      <c r="V135" s="157" t="str">
        <f>IF(AND(V$33&lt;&gt;0,,V134&gt;0),V134/V$33,"")</f>
        <v/>
      </c>
      <c r="W135" s="157" t="str">
        <f>IF(AND(W$33&lt;&gt;0,,W134&gt;0),W134/W$33,"")</f>
        <v/>
      </c>
      <c r="X135" s="157" t="str">
        <f>IF(AND(X$33&lt;&gt;0,,X134&gt;0),X134/X$33,"")</f>
        <v/>
      </c>
      <c r="Y135" s="157" t="str">
        <f>IF(AND(Y$33&lt;&gt;0,,Y134&gt;0),Y134/Y$33,"")</f>
        <v/>
      </c>
      <c r="Z135" s="157" t="str">
        <f>IF(AND(Z$33&lt;&gt;0,,Z134&gt;0),Z134/Z$33,"")</f>
        <v/>
      </c>
      <c r="AA135" s="157" t="str">
        <f>IF(AND(AA$33&lt;&gt;0,,AA134&gt;0),AA134/AA$33,"")</f>
        <v/>
      </c>
      <c r="AB135" s="157" t="str">
        <f>IF(AND(AB$33&lt;&gt;0,,AB134&gt;0),AB134/AB$33,"")</f>
        <v/>
      </c>
      <c r="AC135" s="157" t="str">
        <f>IF(AND(AC$33&lt;&gt;0,,AC134&gt;0),AC134/AC$33,"")</f>
        <v/>
      </c>
      <c r="AD135" s="157" t="str">
        <f>IF(AND(AD$33&lt;&gt;0,,AD134&gt;0),AD134/AD$33,"")</f>
        <v/>
      </c>
      <c r="AE135" s="157" t="str">
        <f>IF(AND(AE$33&lt;&gt;0,,AE134&gt;0),AE134/AE$33,"")</f>
        <v/>
      </c>
      <c r="AF135" s="157" t="str">
        <f>IF(AND(AF$33&lt;&gt;0,,AF134&gt;0),AF134/AF$33,"")</f>
        <v/>
      </c>
      <c r="AG135" s="157" t="str">
        <f>IF(AND(AG$33&lt;&gt;0,,AG134&gt;0),AG134/AG$33,"")</f>
        <v/>
      </c>
      <c r="AH135" s="157" t="str">
        <f>IF(AND(AH$33&lt;&gt;0,,AH134&gt;0),AH134/AH$33,"")</f>
        <v/>
      </c>
      <c r="AI135" s="157" t="str">
        <f>IF(AND(AI$33&lt;&gt;0,,AI134&gt;0),AI134/AI$33,"")</f>
        <v/>
      </c>
      <c r="AJ135" s="157" t="str">
        <f>IF(AND(AJ$33&lt;&gt;0,,AJ134&gt;0),AJ134/AJ$33,"")</f>
        <v/>
      </c>
      <c r="AK135" s="157" t="str">
        <f>IF(AND(AK$33&lt;&gt;0,,AK134&gt;0),AK134/AK$33,"")</f>
        <v/>
      </c>
      <c r="AL135" s="157" t="str">
        <f>IF(AND(AL$33&lt;&gt;0,,AL134&gt;0),AL134/AL$33,"")</f>
        <v/>
      </c>
      <c r="AM135" s="157" t="str">
        <f>IF(AND(AM$33&lt;&gt;0,,AM134&gt;0),AM134/AM$33,"")</f>
        <v/>
      </c>
      <c r="AN135" s="157" t="str">
        <f>IF(AND(AN$33&lt;&gt;0,,AN134&gt;0),AN134/AN$33,"")</f>
        <v/>
      </c>
      <c r="AO135" s="157" t="str">
        <f>IF(AND(AO$33&lt;&gt;0,,AO134&gt;0),AO134/AO$33,"")</f>
        <v/>
      </c>
      <c r="AP135" s="157" t="str">
        <f>IF(AND(AP$33&lt;&gt;0,,AP134&gt;0),AP134/AP$33,"")</f>
        <v/>
      </c>
      <c r="AQ135" s="157" t="str">
        <f>IF(AND(AQ$33&lt;&gt;0,,AQ134&gt;0),AQ134/AQ$33,"")</f>
        <v/>
      </c>
      <c r="AR135" s="157" t="str">
        <f>IF(AND(AR$33&lt;&gt;0,,AR134&gt;0),AR134/AR$33,"")</f>
        <v/>
      </c>
      <c r="AS135" s="157" t="str">
        <f>IF(AND(AS$33&lt;&gt;0,,AS134&gt;0),AS134/AS$33,"")</f>
        <v/>
      </c>
      <c r="AT135" s="157" t="str">
        <f>IF(AND(AT$33&lt;&gt;0,,AT134&gt;0),AT134/AT$33,"")</f>
        <v/>
      </c>
      <c r="AU135" s="157" t="str">
        <f>IF(AND(AU$33&lt;&gt;0,,AU134&gt;0),AU134/AU$33,"")</f>
        <v/>
      </c>
      <c r="AV135" s="157" t="str">
        <f>IF(AND(AV$33&lt;&gt;0,,AV134&gt;0),AV134/AV$33,"")</f>
        <v/>
      </c>
      <c r="AW135" s="157" t="str">
        <f>IF(AND(AW$33&lt;&gt;0,,AW134&gt;0),AW134/AW$33,"")</f>
        <v/>
      </c>
      <c r="AX135" s="157" t="str">
        <f>IF(AND(AX$33&lt;&gt;0,,AX134&gt;0),AX134/AX$33,"")</f>
        <v/>
      </c>
      <c r="AY135" s="157" t="str">
        <f>IF(AND(AY$33&lt;&gt;0,,AY134&gt;0),AY134/AY$33,"")</f>
        <v/>
      </c>
      <c r="AZ135" s="157" t="str">
        <f>IF(AND(AZ$33&lt;&gt;0,,AZ134&gt;0),AZ134/AZ$33,"")</f>
        <v/>
      </c>
      <c r="BA135" s="157" t="str">
        <f>IF(AND(BA$33&lt;&gt;0,,BA134&gt;0),BA134/BA$33,"")</f>
        <v/>
      </c>
      <c r="BB135" s="157" t="str">
        <f>IF(AND(BB$33&lt;&gt;0,,BB134&gt;0),BB134/BB$33,"")</f>
        <v/>
      </c>
      <c r="BC135" s="157" t="str">
        <f>IF(AND(BC$33&lt;&gt;0,,BC134&gt;0),BC134/BC$33,"")</f>
        <v/>
      </c>
      <c r="BD135" s="157" t="str">
        <f>IF(AND(BD$33&lt;&gt;0,,BD134&gt;0),BD134/BD$33,"")</f>
        <v/>
      </c>
      <c r="BE135" s="157" t="str">
        <f>IF(AND(BE$33&lt;&gt;0,,BE134&gt;0),BE134/BE$33,"")</f>
        <v/>
      </c>
      <c r="BF135" s="157" t="str">
        <f>IF(AND(BF$33&lt;&gt;0,,BF134&gt;0),BF134/BF$33,"")</f>
        <v/>
      </c>
      <c r="BG135" s="157" t="str">
        <f>IF(AND(BG$33&lt;&gt;0,,BG134&gt;0),BG134/BG$33,"")</f>
        <v/>
      </c>
      <c r="BH135" s="157" t="str">
        <f>IF(AND(BH$33&lt;&gt;0,,BH134&gt;0),BH134/BH$33,"")</f>
        <v/>
      </c>
      <c r="BI135" s="157" t="str">
        <f>IF(AND(BI$33&lt;&gt;0,,BI134&gt;0),BI134/BI$33,"")</f>
        <v/>
      </c>
      <c r="BJ135" s="157" t="str">
        <f>IF(AND(BJ$33&lt;&gt;0,,BJ134&gt;0),BJ134/BJ$33,"")</f>
        <v/>
      </c>
      <c r="BK135" s="157" t="str">
        <f>IF(AND(BK$33&lt;&gt;0,,BK134&gt;0),BK134/BK$33,"")</f>
        <v/>
      </c>
      <c r="BL135" s="157" t="str">
        <f>IF(AND(BL$33&lt;&gt;0,,BL134&gt;0),BL134/BL$33,"")</f>
        <v/>
      </c>
      <c r="BM135" s="157" t="str">
        <f>IF(AND(BM$33&lt;&gt;0,,BM134&gt;0),BM134/BM$33,"")</f>
        <v/>
      </c>
      <c r="BN135" s="157" t="str">
        <f>IF(AND(BN$33&lt;&gt;0,,BN134&gt;0),BN134/BN$33,"")</f>
        <v/>
      </c>
      <c r="BO135" s="157" t="str">
        <f>IF(AND(BO$33&lt;&gt;0,,BO134&gt;0),BO134/BO$33,"")</f>
        <v/>
      </c>
      <c r="BP135" s="157" t="str">
        <f>IF(AND(BP$33&lt;&gt;0,,BP134&gt;0),BP134/BP$33,"")</f>
        <v/>
      </c>
      <c r="BQ135" s="157" t="str">
        <f>IF(AND(BQ$33&lt;&gt;0,,BQ134&gt;0),BQ134/BQ$33,"")</f>
        <v/>
      </c>
      <c r="BR135" s="1802"/>
      <c r="BS135" s="153">
        <v>1</v>
      </c>
      <c r="BT135" s="1802"/>
      <c r="BU135" s="153">
        <f>IF(BU33&lt;&gt;0,BU134/BU33,"")</f>
      </c>
      <c r="BV135" s="158"/>
      <c r="BW135" s="157" t="e">
        <f>IF(AND(BW$33&lt;&gt;0,BW134/BW$33&gt;0,BW134&gt;0),BW134/BW$33,"")</f>
        <v>#DIV/0!</v>
      </c>
      <c r="BX135" s="157" t="e">
        <f>IF(AND(BX$33&lt;&gt;0,BX134/BX$33&gt;0,BX134&gt;0),BX134/BX$33,"")</f>
        <v>#DIV/0!</v>
      </c>
      <c r="BY135" s="157" t="e">
        <f>IF(AND(BY$33&lt;&gt;0,BY134/BY$33&gt;0,BY134&gt;0),BY134/BY$33,"")</f>
        <v>#DIV/0!</v>
      </c>
      <c r="BZ135" s="157" t="e">
        <f>IF(AND(BZ$33&lt;&gt;0,BZ134/BZ$33&gt;0,BZ134&gt;0),BZ134/BZ$33,"")</f>
        <v>#DIV/0!</v>
      </c>
      <c r="CA135" s="157" t="e">
        <f>IF(AND(CA$33&lt;&gt;0,CA134/CA$33&gt;0,CA134&gt;0),CA134/CA$33,"")</f>
        <v>#DIV/0!</v>
      </c>
      <c r="CB135" s="157" t="e">
        <f>IF(AND(CB$33&lt;&gt;0,CB134/CB$33&gt;0,CB134&gt;0),CB134/CB$33,"")</f>
        <v>#DIV/0!</v>
      </c>
      <c r="CC135" s="157" t="e">
        <f>IF(AND(CC$33&lt;&gt;0,CC134/CC$33&gt;0,CC134&gt;0),CC134/CC$33,"")</f>
        <v>#DIV/0!</v>
      </c>
      <c r="CD135" s="157" t="e">
        <f>IF(AND(CD$33&lt;&gt;0,CD134/CD$33&gt;0,CD134&gt;0),CD134/CD$33,"")</f>
        <v>#DIV/0!</v>
      </c>
      <c r="CE135" s="157" t="e">
        <f>IF(AND(CE$33&lt;&gt;0,CE134/CE$33&gt;0,CE134&gt;0),CE134/CE$33,"")</f>
        <v>#DIV/0!</v>
      </c>
      <c r="CF135" s="157" t="e">
        <f>IF(AND(CF$33&lt;&gt;0,CF134/CF$33&gt;0,CF134&gt;0),CF134/CF$33,"")</f>
        <v>#DIV/0!</v>
      </c>
      <c r="CG135" s="157" t="e">
        <f>IF(AND(CG$33&lt;&gt;0,CG134/CG$33&gt;0,CG134&gt;0),CG134/CG$33,"")</f>
        <v>#DIV/0!</v>
      </c>
      <c r="CH135" s="157" t="e">
        <f>IF(AND(CH$33&lt;&gt;0,CH134/CH$33&gt;0,CH134&gt;0),CH134/CH$33,"")</f>
        <v>#DIV/0!</v>
      </c>
      <c r="CI135" s="157" t="e">
        <f>IF(AND(CI$33&lt;&gt;0,CI134/CI$33&gt;0,CI134&gt;0),CI134/CI$33,"")</f>
        <v>#DIV/0!</v>
      </c>
      <c r="CJ135" s="157" t="e">
        <f>IF(AND(CJ$33&lt;&gt;0,CJ134/CJ$33&gt;0,CJ134&gt;0),CJ134/CJ$33,"")</f>
        <v>#DIV/0!</v>
      </c>
      <c r="CK135" s="157" t="e">
        <f>IF(AND(CK$33&lt;&gt;0,CK134/CK$33&gt;0,CK134&gt;0),CK134/CK$33,"")</f>
        <v>#DIV/0!</v>
      </c>
      <c r="CL135" s="157" t="e">
        <f>IF(AND(CL$33&lt;&gt;0,CL134/CL$33&gt;0,CL134&gt;0),CL134/CL$33,"")</f>
        <v>#DIV/0!</v>
      </c>
      <c r="CM135" s="157" t="e">
        <f>IF(AND(CM$33&lt;&gt;0,CM134/CM$33&gt;0,CM134&gt;0),CM134/CM$33,"")</f>
        <v>#DIV/0!</v>
      </c>
      <c r="CN135" s="157" t="e">
        <f>IF(AND(CN$33&lt;&gt;0,CN134/CN$33&gt;0,CN134&gt;0),CN134/CN$33,"")</f>
        <v>#DIV/0!</v>
      </c>
      <c r="CO135" s="157" t="e">
        <f>IF(AND(CO$33&lt;&gt;0,CO134/CO$33&gt;0,CO134&gt;0),CO134/CO$33,"")</f>
        <v>#DIV/0!</v>
      </c>
      <c r="CP135" s="157" t="e">
        <f>IF(AND(CP$33&lt;&gt;0,CP134/CP$33&gt;0,CP134&gt;0),CP134/CP$33,"")</f>
        <v>#DIV/0!</v>
      </c>
      <c r="CY135" s="305"/>
      <c r="CZ135" s="305"/>
      <c r="DA135" s="305"/>
      <c r="DB135" s="305"/>
      <c r="DC135" s="305"/>
      <c r="DD135" s="305"/>
      <c r="DE135" s="305"/>
      <c r="DF135" s="305"/>
      <c r="DG135" s="305"/>
      <c r="DH135" s="305"/>
      <c r="DI135" s="305"/>
      <c r="DJ135" s="305"/>
      <c r="DK135" s="305"/>
      <c r="DL135" s="305"/>
      <c r="DM135" s="305"/>
      <c r="DN135" s="305"/>
      <c r="DO135" s="305"/>
      <c r="DP135" s="305"/>
      <c r="DQ135" s="305"/>
      <c r="DR135" s="305"/>
      <c r="DS135" s="305"/>
      <c r="DT135" s="305"/>
      <c r="DU135" s="305"/>
      <c r="DV135" s="305"/>
      <c r="DW135" s="305"/>
      <c r="DX135" s="305"/>
      <c r="DY135" s="305"/>
      <c r="DZ135" s="305"/>
      <c r="EA135" s="305"/>
      <c r="EB135" s="305"/>
      <c r="EC135" s="305"/>
      <c r="ED135" s="305"/>
      <c r="EE135" s="305"/>
      <c r="EF135" s="305"/>
      <c r="EG135" s="305"/>
      <c r="EH135" s="305"/>
      <c r="EI135" s="305"/>
      <c r="EJ135" s="305"/>
      <c r="EK135" s="305"/>
      <c r="EL135" s="305"/>
      <c r="EM135" s="305"/>
      <c r="EN135" s="305"/>
      <c r="EO135" s="305"/>
      <c r="EP135" s="305"/>
      <c r="EQ135" s="305"/>
      <c r="ER135" s="305"/>
      <c r="ES135" s="305"/>
      <c r="ET135" s="305"/>
      <c r="EU135" s="305"/>
      <c r="EV135" s="305"/>
      <c r="EW135" s="305"/>
      <c r="EX135" s="305"/>
      <c r="EY135" s="305"/>
      <c r="EZ135" s="305"/>
      <c r="FA135" s="305"/>
      <c r="FB135" s="305"/>
      <c r="FC135" s="305"/>
      <c r="FD135" s="305"/>
      <c r="FE135" s="305"/>
      <c r="FF135" s="305"/>
      <c r="FG135" s="305"/>
      <c r="FH135" s="305"/>
      <c r="FI135" s="305"/>
      <c r="FJ135" s="305"/>
    </row>
    <row r="136" spans="1:166" ht="5.15" hidden="1" customHeight="1" x14ac:dyDescent="0.35">
      <c r="A136" s="136"/>
      <c r="B136" s="136"/>
      <c r="C136" s="136"/>
      <c r="D136" s="152"/>
      <c r="E136" s="149"/>
      <c r="F136" s="149"/>
      <c r="G136" s="151"/>
      <c r="H136" s="151"/>
      <c r="I136" s="151"/>
      <c r="J136" s="151"/>
      <c r="K136" s="151"/>
      <c r="L136" s="151"/>
      <c r="M136" s="151"/>
      <c r="N136" s="151"/>
      <c r="O136" s="151"/>
      <c r="P136" s="151"/>
      <c r="Q136" s="151"/>
      <c r="R136" s="151"/>
      <c r="S136" s="151"/>
      <c r="T136" s="151"/>
      <c r="U136" s="151"/>
      <c r="V136" s="151"/>
      <c r="W136" s="151"/>
      <c r="X136" s="151"/>
      <c r="Y136" s="151"/>
      <c r="Z136" s="151"/>
      <c r="AA136" s="151"/>
      <c r="AB136" s="151"/>
      <c r="AC136" s="151"/>
      <c r="AD136" s="151"/>
      <c r="AE136" s="151"/>
      <c r="AF136" s="151"/>
      <c r="AG136" s="151"/>
      <c r="AH136" s="151"/>
      <c r="AI136" s="151"/>
      <c r="AJ136" s="151"/>
      <c r="AK136" s="151"/>
      <c r="AL136" s="151"/>
      <c r="AM136" s="151"/>
      <c r="AN136" s="151"/>
      <c r="AO136" s="151"/>
      <c r="AP136" s="151"/>
      <c r="AQ136" s="151"/>
      <c r="AR136" s="151"/>
      <c r="AS136" s="151"/>
      <c r="AT136" s="151"/>
      <c r="AU136" s="151"/>
      <c r="AV136" s="151"/>
      <c r="AW136" s="151"/>
      <c r="AX136" s="151"/>
      <c r="AY136" s="151"/>
      <c r="AZ136" s="151"/>
      <c r="BA136" s="151"/>
      <c r="BB136" s="151"/>
      <c r="BC136" s="151"/>
      <c r="BD136" s="151"/>
      <c r="BE136" s="151"/>
      <c r="BF136" s="151"/>
      <c r="BG136" s="151"/>
      <c r="BH136" s="151"/>
      <c r="BI136" s="151"/>
      <c r="BJ136" s="151"/>
      <c r="BK136" s="151"/>
      <c r="BL136" s="151"/>
      <c r="BM136" s="151"/>
      <c r="BN136" s="151"/>
      <c r="BO136" s="151"/>
      <c r="BP136" s="151"/>
      <c r="BQ136" s="151"/>
      <c r="BR136" s="1802"/>
      <c r="BS136" s="153">
        <v>1</v>
      </c>
      <c r="BT136" s="1802"/>
      <c r="BU136" s="153"/>
      <c r="BV136" s="158"/>
      <c r="BW136" s="149"/>
      <c r="BX136" s="149"/>
      <c r="BY136" s="149"/>
      <c r="BZ136" s="149"/>
      <c r="CA136" s="151"/>
      <c r="CB136" s="151"/>
      <c r="CC136" s="151"/>
      <c r="CD136" s="151"/>
      <c r="CE136" s="151"/>
      <c r="CF136" s="151"/>
      <c r="CG136" s="151"/>
      <c r="CH136" s="151"/>
      <c r="CI136" s="151"/>
      <c r="CJ136" s="151"/>
      <c r="CK136" s="151"/>
      <c r="CL136" s="151"/>
      <c r="CM136" s="151"/>
      <c r="CN136" s="151"/>
      <c r="CO136" s="151"/>
      <c r="CP136" s="151"/>
      <c r="CY136" s="305"/>
      <c r="CZ136" s="305"/>
      <c r="DA136" s="305"/>
      <c r="DB136" s="305"/>
      <c r="DC136" s="305"/>
      <c r="DD136" s="305"/>
      <c r="DE136" s="305"/>
      <c r="DF136" s="305"/>
      <c r="DG136" s="305"/>
      <c r="DH136" s="305"/>
      <c r="DI136" s="305"/>
      <c r="DJ136" s="305"/>
      <c r="DK136" s="305"/>
      <c r="DL136" s="305"/>
      <c r="DM136" s="305"/>
      <c r="DN136" s="305"/>
      <c r="DO136" s="305"/>
      <c r="DP136" s="305"/>
      <c r="DQ136" s="305"/>
      <c r="DR136" s="305"/>
      <c r="DS136" s="305"/>
      <c r="DT136" s="305"/>
      <c r="DU136" s="305"/>
      <c r="DV136" s="305"/>
      <c r="DW136" s="305"/>
      <c r="DX136" s="305"/>
      <c r="DY136" s="305"/>
      <c r="DZ136" s="305"/>
      <c r="EA136" s="305"/>
      <c r="EB136" s="305"/>
      <c r="EC136" s="305"/>
      <c r="ED136" s="305"/>
      <c r="EE136" s="305"/>
      <c r="EF136" s="305"/>
      <c r="EG136" s="305"/>
      <c r="EH136" s="305"/>
      <c r="EI136" s="305"/>
      <c r="EJ136" s="305"/>
      <c r="EK136" s="305"/>
      <c r="EL136" s="305"/>
      <c r="EM136" s="305"/>
      <c r="EN136" s="305"/>
      <c r="EO136" s="305"/>
      <c r="EP136" s="305"/>
      <c r="EQ136" s="305"/>
      <c r="ER136" s="305"/>
      <c r="ES136" s="305"/>
      <c r="ET136" s="305"/>
      <c r="EU136" s="305"/>
      <c r="EV136" s="305"/>
      <c r="EW136" s="305"/>
      <c r="EX136" s="305"/>
      <c r="EY136" s="305"/>
      <c r="EZ136" s="305"/>
      <c r="FA136" s="305"/>
      <c r="FB136" s="305"/>
      <c r="FC136" s="305"/>
      <c r="FD136" s="305"/>
      <c r="FE136" s="305"/>
      <c r="FF136" s="305"/>
      <c r="FG136" s="305"/>
      <c r="FH136" s="305"/>
      <c r="FI136" s="305"/>
      <c r="FJ136" s="305"/>
    </row>
    <row r="137" spans="1:166" ht="5.15" customHeight="1" x14ac:dyDescent="0.35">
      <c r="A137" s="136"/>
      <c r="B137" s="136"/>
      <c r="C137" s="136"/>
      <c r="D137" s="152"/>
      <c r="E137" s="149"/>
      <c r="F137" s="149"/>
      <c r="G137" s="151"/>
      <c r="H137" s="151"/>
      <c r="I137" s="151"/>
      <c r="J137" s="151"/>
      <c r="K137" s="151"/>
      <c r="L137" s="151"/>
      <c r="M137" s="151"/>
      <c r="N137" s="151"/>
      <c r="O137" s="151"/>
      <c r="P137" s="151"/>
      <c r="Q137" s="151"/>
      <c r="R137" s="151"/>
      <c r="S137" s="151"/>
      <c r="T137" s="151"/>
      <c r="U137" s="151"/>
      <c r="V137" s="151"/>
      <c r="W137" s="151"/>
      <c r="X137" s="151"/>
      <c r="Y137" s="151"/>
      <c r="Z137" s="151"/>
      <c r="AA137" s="151"/>
      <c r="AB137" s="151"/>
      <c r="AC137" s="151"/>
      <c r="AD137" s="151"/>
      <c r="AE137" s="151"/>
      <c r="AF137" s="151"/>
      <c r="AG137" s="151"/>
      <c r="AH137" s="151"/>
      <c r="AI137" s="151"/>
      <c r="AJ137" s="151"/>
      <c r="AK137" s="151"/>
      <c r="AL137" s="151"/>
      <c r="AM137" s="151"/>
      <c r="AN137" s="151"/>
      <c r="AO137" s="151"/>
      <c r="AP137" s="151"/>
      <c r="AQ137" s="151"/>
      <c r="AR137" s="151"/>
      <c r="AS137" s="151"/>
      <c r="AT137" s="151"/>
      <c r="AU137" s="151"/>
      <c r="AV137" s="151"/>
      <c r="AW137" s="151"/>
      <c r="AX137" s="151"/>
      <c r="AY137" s="151"/>
      <c r="AZ137" s="151"/>
      <c r="BA137" s="151"/>
      <c r="BB137" s="151"/>
      <c r="BC137" s="151"/>
      <c r="BD137" s="151"/>
      <c r="BE137" s="151"/>
      <c r="BF137" s="151"/>
      <c r="BG137" s="151"/>
      <c r="BH137" s="151"/>
      <c r="BI137" s="151"/>
      <c r="BJ137" s="151"/>
      <c r="BK137" s="151"/>
      <c r="BL137" s="151"/>
      <c r="BM137" s="151"/>
      <c r="BN137" s="151"/>
      <c r="BO137" s="151"/>
      <c r="BP137" s="151"/>
      <c r="BQ137" s="151"/>
      <c r="BR137" s="1802"/>
      <c r="BS137" s="153">
        <v>1</v>
      </c>
      <c r="BT137" s="1802"/>
      <c r="BU137" s="153"/>
      <c r="BV137" s="158"/>
      <c r="BW137" s="149"/>
      <c r="BX137" s="149"/>
      <c r="BY137" s="149"/>
      <c r="BZ137" s="149"/>
      <c r="CA137" s="151"/>
      <c r="CB137" s="151"/>
      <c r="CC137" s="151"/>
      <c r="CD137" s="151"/>
      <c r="CE137" s="151"/>
      <c r="CF137" s="151"/>
      <c r="CG137" s="151"/>
      <c r="CH137" s="151"/>
      <c r="CI137" s="151"/>
      <c r="CJ137" s="151"/>
      <c r="CK137" s="151"/>
      <c r="CL137" s="151"/>
      <c r="CM137" s="151"/>
      <c r="CN137" s="151"/>
      <c r="CO137" s="151"/>
      <c r="CP137" s="151"/>
      <c r="CY137" s="305"/>
      <c r="CZ137" s="305"/>
      <c r="DA137" s="305"/>
      <c r="DB137" s="305"/>
      <c r="DC137" s="305"/>
      <c r="DD137" s="305"/>
      <c r="DE137" s="305"/>
      <c r="DF137" s="305"/>
      <c r="DG137" s="305"/>
      <c r="DH137" s="305"/>
      <c r="DI137" s="305"/>
      <c r="DJ137" s="305"/>
      <c r="DK137" s="305"/>
      <c r="DL137" s="305"/>
      <c r="DM137" s="305"/>
      <c r="DN137" s="305"/>
      <c r="DO137" s="305"/>
      <c r="DP137" s="305"/>
      <c r="DQ137" s="305"/>
      <c r="DR137" s="305"/>
      <c r="DS137" s="305"/>
      <c r="DT137" s="305"/>
      <c r="DU137" s="305"/>
      <c r="DV137" s="305"/>
      <c r="DW137" s="305"/>
      <c r="DX137" s="305"/>
      <c r="DY137" s="305"/>
      <c r="DZ137" s="305"/>
      <c r="EA137" s="305"/>
      <c r="EB137" s="305"/>
      <c r="EC137" s="305"/>
      <c r="ED137" s="305"/>
      <c r="EE137" s="305"/>
      <c r="EF137" s="305"/>
      <c r="EG137" s="305"/>
      <c r="EH137" s="305"/>
      <c r="EI137" s="305"/>
      <c r="EJ137" s="305"/>
      <c r="EK137" s="305"/>
      <c r="EL137" s="305"/>
      <c r="EM137" s="305"/>
      <c r="EN137" s="305"/>
      <c r="EO137" s="305"/>
      <c r="EP137" s="305"/>
      <c r="EQ137" s="305"/>
      <c r="ER137" s="305"/>
      <c r="ES137" s="305"/>
      <c r="ET137" s="305"/>
      <c r="EU137" s="305"/>
      <c r="EV137" s="305"/>
      <c r="EW137" s="305"/>
      <c r="EX137" s="305"/>
      <c r="EY137" s="305"/>
      <c r="EZ137" s="305"/>
      <c r="FA137" s="305"/>
      <c r="FB137" s="305"/>
      <c r="FC137" s="305"/>
      <c r="FD137" s="305"/>
      <c r="FE137" s="305"/>
      <c r="FF137" s="305"/>
      <c r="FG137" s="305"/>
      <c r="FH137" s="305"/>
      <c r="FI137" s="305"/>
      <c r="FJ137" s="305"/>
    </row>
    <row r="138" spans="1:166" ht="12.75" customHeight="1" x14ac:dyDescent="0.35">
      <c r="A138" s="136"/>
      <c r="B138" s="136"/>
      <c r="C138" s="136"/>
      <c r="D138" s="142" t="s">
        <v>6</v>
      </c>
      <c r="E138" s="173">
        <f>E63-E78-E134</f>
        <v>0</v>
      </c>
      <c r="F138" s="173">
        <f>F63-F78-F134</f>
        <v>0</v>
      </c>
      <c r="G138" s="173">
        <f>G63-G78-G134</f>
        <v>0</v>
      </c>
      <c r="H138" s="173">
        <f>H63-H78-H134</f>
        <v>0</v>
      </c>
      <c r="I138" s="173">
        <f>I63-I78-I134</f>
        <v>0</v>
      </c>
      <c r="J138" s="173">
        <f>J63-J78-J134</f>
        <v>0</v>
      </c>
      <c r="K138" s="173">
        <f>K63-K78-K134</f>
        <v>0</v>
      </c>
      <c r="L138" s="173">
        <f>L63-L78-L134</f>
        <v>0</v>
      </c>
      <c r="M138" s="173">
        <f>M63-M78-M134</f>
        <v>0</v>
      </c>
      <c r="N138" s="173">
        <f>N63-N78-N134</f>
        <v>0</v>
      </c>
      <c r="O138" s="173">
        <f>O63-O78-O134</f>
        <v>0</v>
      </c>
      <c r="P138" s="173">
        <f>P63-P78-P134</f>
        <v>0</v>
      </c>
      <c r="Q138" s="173">
        <f>Q63-Q78-Q134</f>
        <v>0</v>
      </c>
      <c r="R138" s="173">
        <f>R63-R78-R134</f>
        <v>0</v>
      </c>
      <c r="S138" s="173">
        <f>S63-S78-S134</f>
        <v>0</v>
      </c>
      <c r="T138" s="173">
        <f>T63-T78-T134</f>
        <v>0</v>
      </c>
      <c r="U138" s="173">
        <f>U63-U78-U134</f>
        <v>0</v>
      </c>
      <c r="V138" s="173">
        <f>V63-V78-V134</f>
        <v>0</v>
      </c>
      <c r="W138" s="173">
        <f>W63-W78-W134</f>
        <v>0</v>
      </c>
      <c r="X138" s="173">
        <f>X63-X78-X134</f>
        <v>0</v>
      </c>
      <c r="Y138" s="173">
        <f>Y63-Y78-Y134</f>
        <v>0</v>
      </c>
      <c r="Z138" s="173">
        <f>Z63-Z78-Z134</f>
        <v>0</v>
      </c>
      <c r="AA138" s="173">
        <f>AA63-AA78-AA134</f>
        <v>0</v>
      </c>
      <c r="AB138" s="173">
        <f>AB63-AB78-AB134</f>
        <v>0</v>
      </c>
      <c r="AC138" s="173">
        <f>AC63-AC78-AC134</f>
        <v>0</v>
      </c>
      <c r="AD138" s="173">
        <f>AD63-AD78-AD134</f>
        <v>0</v>
      </c>
      <c r="AE138" s="173">
        <f>AE63-AE78-AE134</f>
        <v>0</v>
      </c>
      <c r="AF138" s="173">
        <f>AF63-AF78-AF134</f>
        <v>0</v>
      </c>
      <c r="AG138" s="173">
        <f>AG63-AG78-AG134</f>
        <v>0</v>
      </c>
      <c r="AH138" s="173">
        <f>AH63-AH78-AH134</f>
        <v>0</v>
      </c>
      <c r="AI138" s="173">
        <f>AI63-AI78-AI134</f>
        <v>0</v>
      </c>
      <c r="AJ138" s="173">
        <f>AJ63-AJ78-AJ134</f>
        <v>0</v>
      </c>
      <c r="AK138" s="173">
        <f>AK63-AK78-AK134</f>
        <v>0</v>
      </c>
      <c r="AL138" s="173">
        <f>AL63-AL78-AL134</f>
        <v>0</v>
      </c>
      <c r="AM138" s="173">
        <f>AM63-AM78-AM134</f>
        <v>0</v>
      </c>
      <c r="AN138" s="173">
        <f>AN63-AN78-AN134</f>
        <v>0</v>
      </c>
      <c r="AO138" s="173">
        <f>AO63-AO78-AO134</f>
        <v>0</v>
      </c>
      <c r="AP138" s="173">
        <f>AP63-AP78-AP134</f>
        <v>0</v>
      </c>
      <c r="AQ138" s="173">
        <f>AQ63-AQ78-AQ134</f>
        <v>0</v>
      </c>
      <c r="AR138" s="173">
        <f>AR63-AR78-AR134</f>
        <v>0</v>
      </c>
      <c r="AS138" s="173">
        <f>AS63-AS78-AS134</f>
        <v>0</v>
      </c>
      <c r="AT138" s="173">
        <f>AT63-AT78-AT134</f>
        <v>0</v>
      </c>
      <c r="AU138" s="173">
        <f>AU63-AU78-AU134</f>
        <v>0</v>
      </c>
      <c r="AV138" s="173">
        <f>AV63-AV78-AV134</f>
        <v>0</v>
      </c>
      <c r="AW138" s="173">
        <f>AW63-AW78-AW134</f>
        <v>0</v>
      </c>
      <c r="AX138" s="173">
        <f>AX63-AX78-AX134</f>
        <v>0</v>
      </c>
      <c r="AY138" s="173">
        <f>AY63-AY78-AY134</f>
        <v>0</v>
      </c>
      <c r="AZ138" s="173">
        <f>AZ63-AZ78-AZ134</f>
        <v>0</v>
      </c>
      <c r="BA138" s="173">
        <f>BA63-BA78-BA134</f>
        <v>0</v>
      </c>
      <c r="BB138" s="173">
        <f>BB63-BB78-BB134</f>
        <v>0</v>
      </c>
      <c r="BC138" s="173">
        <f>BC63-BC78-BC134</f>
        <v>0</v>
      </c>
      <c r="BD138" s="173">
        <f>BD63-BD78-BD134</f>
        <v>0</v>
      </c>
      <c r="BE138" s="173">
        <f>BE63-BE78-BE134</f>
        <v>0</v>
      </c>
      <c r="BF138" s="173">
        <f>BF63-BF78-BF134</f>
        <v>0</v>
      </c>
      <c r="BG138" s="173">
        <f>BG63-BG78-BG134</f>
        <v>0</v>
      </c>
      <c r="BH138" s="173">
        <f>BH63-BH78-BH134</f>
        <v>0</v>
      </c>
      <c r="BI138" s="173">
        <f>BI63-BI78-BI134</f>
        <v>0</v>
      </c>
      <c r="BJ138" s="173">
        <f>BJ63-BJ78-BJ134</f>
        <v>0</v>
      </c>
      <c r="BK138" s="173">
        <f>BK63-BK78-BK134</f>
        <v>0</v>
      </c>
      <c r="BL138" s="173">
        <f>BL63-BL78-BL134</f>
        <v>0</v>
      </c>
      <c r="BM138" s="173">
        <f>BM63-BM78-BM134</f>
        <v>0</v>
      </c>
      <c r="BN138" s="173">
        <f>BN63-BN78-BN134</f>
        <v>0</v>
      </c>
      <c r="BO138" s="173">
        <f>BO63-BO78-BO134</f>
        <v>0</v>
      </c>
      <c r="BP138" s="173">
        <f>BP63-BP78-BP134</f>
        <v>0</v>
      </c>
      <c r="BQ138" s="173">
        <f>BQ63-BQ78-BQ134</f>
        <v>0</v>
      </c>
      <c r="BR138" s="257"/>
      <c r="BS138" s="153">
        <v>1</v>
      </c>
      <c r="BT138" s="257"/>
      <c r="BU138" s="156">
        <f>BU63-BU78-BU134</f>
        <v>0</v>
      </c>
      <c r="BV138" s="138" t="s">
        <v>6</v>
      </c>
      <c r="BW138" s="173">
        <f>BW63-BW78-BW134</f>
        <v>0</v>
      </c>
      <c r="BX138" s="173">
        <f>BX63-BX78-BX134</f>
        <v>0</v>
      </c>
      <c r="BY138" s="173">
        <f>BY63-BY78-BY134</f>
        <v>0</v>
      </c>
      <c r="BZ138" s="173">
        <f>BZ63-BZ78-BZ134</f>
        <v>0</v>
      </c>
      <c r="CA138" s="174">
        <f>CA63-CA78-CA134</f>
        <v>0</v>
      </c>
      <c r="CB138" s="174">
        <f>CB63-CB78-CB134</f>
        <v>0</v>
      </c>
      <c r="CC138" s="174">
        <f>CC63-CC78-CC134</f>
        <v>0</v>
      </c>
      <c r="CD138" s="174">
        <f>CD63-CD78-CD134</f>
        <v>0</v>
      </c>
      <c r="CE138" s="174">
        <f>CE63-CE78-CE134</f>
        <v>0</v>
      </c>
      <c r="CF138" s="174">
        <f>CF63-CF78-CF134</f>
        <v>0</v>
      </c>
      <c r="CG138" s="174">
        <f>CG63-CG78-CG134</f>
        <v>0</v>
      </c>
      <c r="CH138" s="174">
        <f>CH63-CH78-CH134</f>
        <v>0</v>
      </c>
      <c r="CI138" s="174">
        <f>CI63-CI78-CI134</f>
        <v>0</v>
      </c>
      <c r="CJ138" s="174">
        <f>CJ63-CJ78-CJ134</f>
        <v>0</v>
      </c>
      <c r="CK138" s="174">
        <f>CK63-CK78-CK134</f>
        <v>0</v>
      </c>
      <c r="CL138" s="174">
        <f>CL63-CL78-CL134</f>
        <v>0</v>
      </c>
      <c r="CM138" s="174">
        <f>CM63-CM78-CM134</f>
        <v>0</v>
      </c>
      <c r="CN138" s="174">
        <f>CN63-CN78-CN134</f>
        <v>0</v>
      </c>
      <c r="CO138" s="174">
        <f>CO63-CO78-CO134</f>
        <v>0</v>
      </c>
      <c r="CP138" s="174">
        <f>CP63-CP78-CP134</f>
        <v>0</v>
      </c>
      <c r="CY138" s="305"/>
      <c r="CZ138" s="305"/>
      <c r="DA138" s="305"/>
      <c r="DB138" s="305"/>
      <c r="DC138" s="305"/>
      <c r="DD138" s="305"/>
      <c r="DE138" s="305"/>
      <c r="DF138" s="305"/>
      <c r="DG138" s="305"/>
      <c r="DH138" s="305"/>
      <c r="DI138" s="305"/>
      <c r="DJ138" s="305"/>
      <c r="DK138" s="305"/>
      <c r="DL138" s="305"/>
      <c r="DM138" s="305"/>
      <c r="DN138" s="305"/>
      <c r="DO138" s="305"/>
      <c r="DP138" s="305"/>
      <c r="DQ138" s="305"/>
      <c r="DR138" s="305"/>
      <c r="DS138" s="305"/>
      <c r="DT138" s="305"/>
      <c r="DU138" s="305"/>
      <c r="DV138" s="305"/>
      <c r="DW138" s="305"/>
      <c r="DX138" s="305"/>
      <c r="DY138" s="305"/>
      <c r="DZ138" s="305"/>
      <c r="EA138" s="305"/>
      <c r="EB138" s="305"/>
      <c r="EC138" s="305"/>
      <c r="ED138" s="305"/>
      <c r="EE138" s="305"/>
      <c r="EF138" s="305"/>
      <c r="EG138" s="305"/>
      <c r="EH138" s="305"/>
      <c r="EI138" s="305"/>
      <c r="EJ138" s="305"/>
      <c r="EK138" s="305"/>
      <c r="EL138" s="305"/>
      <c r="EM138" s="305"/>
      <c r="EN138" s="305"/>
      <c r="EO138" s="305"/>
      <c r="EP138" s="305"/>
      <c r="EQ138" s="305"/>
      <c r="ER138" s="305"/>
      <c r="ES138" s="305"/>
      <c r="ET138" s="305"/>
      <c r="EU138" s="305"/>
      <c r="EV138" s="305"/>
      <c r="EW138" s="305"/>
      <c r="EX138" s="305"/>
      <c r="EY138" s="305"/>
      <c r="EZ138" s="305"/>
      <c r="FA138" s="305"/>
      <c r="FB138" s="305"/>
      <c r="FC138" s="305"/>
      <c r="FD138" s="305"/>
      <c r="FE138" s="305"/>
      <c r="FF138" s="305"/>
      <c r="FG138" s="305"/>
      <c r="FH138" s="305"/>
      <c r="FI138" s="305"/>
      <c r="FJ138" s="305"/>
    </row>
    <row r="139" spans="1:166" ht="12.75" customHeight="1" x14ac:dyDescent="0.35">
      <c r="A139" s="136"/>
      <c r="B139" s="136"/>
      <c r="C139" s="136"/>
      <c r="D139" s="142"/>
      <c r="E139" s="157" t="str">
        <f>IF(AND(E$33&lt;&gt;0,,E138&gt;0),E138/E$33,"")</f>
        <v/>
      </c>
      <c r="F139" s="157" t="str">
        <f>IF(AND(F$33&lt;&gt;0,,F138&gt;0),F138/F$33,"")</f>
        <v/>
      </c>
      <c r="G139" s="157" t="str">
        <f>IF(AND(G$33&lt;&gt;0,,G138&gt;0),G138/G$33,"")</f>
        <v/>
      </c>
      <c r="H139" s="157" t="str">
        <f>IF(AND(H$33&lt;&gt;0,,H138&gt;0),H138/H$33,"")</f>
        <v/>
      </c>
      <c r="I139" s="157" t="str">
        <f>IF(AND(I$33&lt;&gt;0,,I138&gt;0),I138/I$33,"")</f>
        <v/>
      </c>
      <c r="J139" s="157" t="str">
        <f>IF(AND(J$33&lt;&gt;0,,J138&gt;0),J138/J$33,"")</f>
        <v/>
      </c>
      <c r="K139" s="157" t="str">
        <f>IF(AND(K$33&lt;&gt;0,,K138&gt;0),K138/K$33,"")</f>
        <v/>
      </c>
      <c r="L139" s="157" t="str">
        <f>IF(AND(L$33&lt;&gt;0,,L138&gt;0),L138/L$33,"")</f>
        <v/>
      </c>
      <c r="M139" s="157" t="str">
        <f>IF(AND(M$33&lt;&gt;0,,M138&gt;0),M138/M$33,"")</f>
        <v/>
      </c>
      <c r="N139" s="157" t="str">
        <f>IF(AND(N$33&lt;&gt;0,,N138&gt;0),N138/N$33,"")</f>
        <v/>
      </c>
      <c r="O139" s="157" t="str">
        <f>IF(AND(O$33&lt;&gt;0,,O138&gt;0),O138/O$33,"")</f>
        <v/>
      </c>
      <c r="P139" s="157" t="str">
        <f>IF(AND(P$33&lt;&gt;0,,P138&gt;0),P138/P$33,"")</f>
        <v/>
      </c>
      <c r="Q139" s="157" t="str">
        <f>IF(AND(Q$33&lt;&gt;0,,Q138&gt;0),Q138/Q$33,"")</f>
        <v/>
      </c>
      <c r="R139" s="157" t="str">
        <f>IF(AND(R$33&lt;&gt;0,,R138&gt;0),R138/R$33,"")</f>
        <v/>
      </c>
      <c r="S139" s="157" t="str">
        <f>IF(AND(S$33&lt;&gt;0,,S138&gt;0),S138/S$33,"")</f>
        <v/>
      </c>
      <c r="T139" s="157" t="str">
        <f>IF(AND(T$33&lt;&gt;0,,T138&gt;0),T138/T$33,"")</f>
        <v/>
      </c>
      <c r="U139" s="157" t="str">
        <f>IF(AND(U$33&lt;&gt;0,,U138&gt;0),U138/U$33,"")</f>
        <v/>
      </c>
      <c r="V139" s="157" t="str">
        <f>IF(AND(V$33&lt;&gt;0,,V138&gt;0),V138/V$33,"")</f>
        <v/>
      </c>
      <c r="W139" s="157" t="str">
        <f>IF(AND(W$33&lt;&gt;0,,W138&gt;0),W138/W$33,"")</f>
        <v/>
      </c>
      <c r="X139" s="157" t="str">
        <f>IF(AND(X$33&lt;&gt;0,,X138&gt;0),X138/X$33,"")</f>
        <v/>
      </c>
      <c r="Y139" s="157" t="str">
        <f>IF(AND(Y$33&lt;&gt;0,,Y138&gt;0),Y138/Y$33,"")</f>
        <v/>
      </c>
      <c r="Z139" s="157" t="str">
        <f>IF(AND(Z$33&lt;&gt;0,,Z138&gt;0),Z138/Z$33,"")</f>
        <v/>
      </c>
      <c r="AA139" s="157" t="str">
        <f>IF(AND(AA$33&lt;&gt;0,,AA138&gt;0),AA138/AA$33,"")</f>
        <v/>
      </c>
      <c r="AB139" s="157" t="str">
        <f>IF(AND(AB$33&lt;&gt;0,,AB138&gt;0),AB138/AB$33,"")</f>
        <v/>
      </c>
      <c r="AC139" s="157" t="str">
        <f>IF(AND(AC$33&lt;&gt;0,,AC138&gt;0),AC138/AC$33,"")</f>
        <v/>
      </c>
      <c r="AD139" s="157" t="str">
        <f>IF(AND(AD$33&lt;&gt;0,,AD138&gt;0),AD138/AD$33,"")</f>
        <v/>
      </c>
      <c r="AE139" s="157" t="str">
        <f>IF(AND(AE$33&lt;&gt;0,,AE138&gt;0),AE138/AE$33,"")</f>
        <v/>
      </c>
      <c r="AF139" s="157" t="str">
        <f>IF(AND(AF$33&lt;&gt;0,,AF138&gt;0),AF138/AF$33,"")</f>
        <v/>
      </c>
      <c r="AG139" s="157" t="str">
        <f>IF(AND(AG$33&lt;&gt;0,,AG138&gt;0),AG138/AG$33,"")</f>
        <v/>
      </c>
      <c r="AH139" s="157" t="str">
        <f>IF(AND(AH$33&lt;&gt;0,,AH138&gt;0),AH138/AH$33,"")</f>
        <v/>
      </c>
      <c r="AI139" s="157" t="str">
        <f>IF(AND(AI$33&lt;&gt;0,,AI138&gt;0),AI138/AI$33,"")</f>
        <v/>
      </c>
      <c r="AJ139" s="157" t="str">
        <f>IF(AND(AJ$33&lt;&gt;0,,AJ138&gt;0),AJ138/AJ$33,"")</f>
        <v/>
      </c>
      <c r="AK139" s="157" t="str">
        <f>IF(AND(AK$33&lt;&gt;0,,AK138&gt;0),AK138/AK$33,"")</f>
        <v/>
      </c>
      <c r="AL139" s="157" t="str">
        <f>IF(AND(AL$33&lt;&gt;0,,AL138&gt;0),AL138/AL$33,"")</f>
        <v/>
      </c>
      <c r="AM139" s="157" t="str">
        <f>IF(AND(AM$33&lt;&gt;0,,AM138&gt;0),AM138/AM$33,"")</f>
        <v/>
      </c>
      <c r="AN139" s="157" t="str">
        <f>IF(AND(AN$33&lt;&gt;0,,AN138&gt;0),AN138/AN$33,"")</f>
        <v/>
      </c>
      <c r="AO139" s="157" t="str">
        <f>IF(AND(AO$33&lt;&gt;0,,AO138&gt;0),AO138/AO$33,"")</f>
        <v/>
      </c>
      <c r="AP139" s="157" t="str">
        <f>IF(AND(AP$33&lt;&gt;0,,AP138&gt;0),AP138/AP$33,"")</f>
        <v/>
      </c>
      <c r="AQ139" s="157" t="str">
        <f>IF(AND(AQ$33&lt;&gt;0,,AQ138&gt;0),AQ138/AQ$33,"")</f>
        <v/>
      </c>
      <c r="AR139" s="157" t="str">
        <f>IF(AND(AR$33&lt;&gt;0,,AR138&gt;0),AR138/AR$33,"")</f>
        <v/>
      </c>
      <c r="AS139" s="157" t="str">
        <f>IF(AND(AS$33&lt;&gt;0,,AS138&gt;0),AS138/AS$33,"")</f>
        <v/>
      </c>
      <c r="AT139" s="157" t="str">
        <f>IF(AND(AT$33&lt;&gt;0,,AT138&gt;0),AT138/AT$33,"")</f>
        <v/>
      </c>
      <c r="AU139" s="157" t="str">
        <f>IF(AND(AU$33&lt;&gt;0,,AU138&gt;0),AU138/AU$33,"")</f>
        <v/>
      </c>
      <c r="AV139" s="157" t="str">
        <f>IF(AND(AV$33&lt;&gt;0,,AV138&gt;0),AV138/AV$33,"")</f>
        <v/>
      </c>
      <c r="AW139" s="157" t="str">
        <f>IF(AND(AW$33&lt;&gt;0,,AW138&gt;0),AW138/AW$33,"")</f>
        <v/>
      </c>
      <c r="AX139" s="157" t="str">
        <f>IF(AND(AX$33&lt;&gt;0,,AX138&gt;0),AX138/AX$33,"")</f>
        <v/>
      </c>
      <c r="AY139" s="157" t="str">
        <f>IF(AND(AY$33&lt;&gt;0,,AY138&gt;0),AY138/AY$33,"")</f>
        <v/>
      </c>
      <c r="AZ139" s="157" t="str">
        <f>IF(AND(AZ$33&lt;&gt;0,,AZ138&gt;0),AZ138/AZ$33,"")</f>
        <v/>
      </c>
      <c r="BA139" s="157" t="str">
        <f>IF(AND(BA$33&lt;&gt;0,,BA138&gt;0),BA138/BA$33,"")</f>
        <v/>
      </c>
      <c r="BB139" s="157" t="str">
        <f>IF(AND(BB$33&lt;&gt;0,,BB138&gt;0),BB138/BB$33,"")</f>
        <v/>
      </c>
      <c r="BC139" s="157" t="str">
        <f>IF(AND(BC$33&lt;&gt;0,,BC138&gt;0),BC138/BC$33,"")</f>
        <v/>
      </c>
      <c r="BD139" s="157" t="str">
        <f>IF(AND(BD$33&lt;&gt;0,,BD138&gt;0),BD138/BD$33,"")</f>
        <v/>
      </c>
      <c r="BE139" s="157" t="str">
        <f>IF(AND(BE$33&lt;&gt;0,,BE138&gt;0),BE138/BE$33,"")</f>
        <v/>
      </c>
      <c r="BF139" s="157" t="str">
        <f>IF(AND(BF$33&lt;&gt;0,,BF138&gt;0),BF138/BF$33,"")</f>
        <v/>
      </c>
      <c r="BG139" s="157" t="str">
        <f>IF(AND(BG$33&lt;&gt;0,,BG138&gt;0),BG138/BG$33,"")</f>
        <v/>
      </c>
      <c r="BH139" s="157" t="str">
        <f>IF(AND(BH$33&lt;&gt;0,,BH138&gt;0),BH138/BH$33,"")</f>
        <v/>
      </c>
      <c r="BI139" s="157" t="str">
        <f>IF(AND(BI$33&lt;&gt;0,,BI138&gt;0),BI138/BI$33,"")</f>
        <v/>
      </c>
      <c r="BJ139" s="157" t="str">
        <f>IF(AND(BJ$33&lt;&gt;0,,BJ138&gt;0),BJ138/BJ$33,"")</f>
        <v/>
      </c>
      <c r="BK139" s="157" t="str">
        <f>IF(AND(BK$33&lt;&gt;0,,BK138&gt;0),BK138/BK$33,"")</f>
        <v/>
      </c>
      <c r="BL139" s="157" t="str">
        <f>IF(AND(BL$33&lt;&gt;0,,BL138&gt;0),BL138/BL$33,"")</f>
        <v/>
      </c>
      <c r="BM139" s="157" t="str">
        <f>IF(AND(BM$33&lt;&gt;0,,BM138&gt;0),BM138/BM$33,"")</f>
        <v/>
      </c>
      <c r="BN139" s="157" t="str">
        <f>IF(AND(BN$33&lt;&gt;0,,BN138&gt;0),BN138/BN$33,"")</f>
        <v/>
      </c>
      <c r="BO139" s="157" t="str">
        <f>IF(AND(BO$33&lt;&gt;0,,BO138&gt;0),BO138/BO$33,"")</f>
        <v/>
      </c>
      <c r="BP139" s="157" t="str">
        <f>IF(AND(BP$33&lt;&gt;0,,BP138&gt;0),BP138/BP$33,"")</f>
        <v/>
      </c>
      <c r="BQ139" s="157" t="str">
        <f>IF(AND(BQ$33&lt;&gt;0,,BQ138&gt;0),BQ138/BQ$33,"")</f>
        <v/>
      </c>
      <c r="BR139" s="257"/>
      <c r="BS139" s="153">
        <v>1</v>
      </c>
      <c r="BT139" s="257"/>
      <c r="BU139" s="156">
        <f>IF(BU33&lt;&gt;0,BU138/BU33,"")</f>
      </c>
      <c r="BV139" s="138"/>
      <c r="BW139" s="157" t="e">
        <f>IF(AND(BW$33&lt;&gt;0,BW138/BW$33&gt;0,BW138&gt;0),BW138/BW$33,"")</f>
        <v>#DIV/0!</v>
      </c>
      <c r="BX139" s="157" t="e">
        <f>IF(AND(BX$33&lt;&gt;0,BX138/BX$33&gt;0,BX138&gt;0),BX138/BX$33,"")</f>
        <v>#DIV/0!</v>
      </c>
      <c r="BY139" s="157" t="e">
        <f>IF(AND(BY$33&lt;&gt;0,BY138/BY$33&gt;0,BY138&gt;0),BY138/BY$33,"")</f>
        <v>#DIV/0!</v>
      </c>
      <c r="BZ139" s="157" t="e">
        <f>IF(AND(BZ$33&lt;&gt;0,BZ138/BZ$33&gt;0,BZ138&gt;0),BZ138/BZ$33,"")</f>
        <v>#DIV/0!</v>
      </c>
      <c r="CA139" s="157" t="e">
        <f>IF(AND(CA$33&lt;&gt;0,CA138/CA$33&gt;0,CA138&gt;0),CA138/CA$33,"")</f>
        <v>#DIV/0!</v>
      </c>
      <c r="CB139" s="157" t="e">
        <f>IF(AND(CB$33&lt;&gt;0,CB138/CB$33&gt;0,CB138&gt;0),CB138/CB$33,"")</f>
        <v>#DIV/0!</v>
      </c>
      <c r="CC139" s="157" t="e">
        <f>IF(AND(CC$33&lt;&gt;0,CC138/CC$33&gt;0,CC138&gt;0),CC138/CC$33,"")</f>
        <v>#DIV/0!</v>
      </c>
      <c r="CD139" s="157" t="e">
        <f>IF(AND(CD$33&lt;&gt;0,CD138/CD$33&gt;0,CD138&gt;0),CD138/CD$33,"")</f>
        <v>#DIV/0!</v>
      </c>
      <c r="CE139" s="157" t="e">
        <f>IF(AND(CE$33&lt;&gt;0,CE138/CE$33&gt;0,CE138&gt;0),CE138/CE$33,"")</f>
        <v>#DIV/0!</v>
      </c>
      <c r="CF139" s="157" t="e">
        <f>IF(AND(CF$33&lt;&gt;0,CF138/CF$33&gt;0,CF138&gt;0),CF138/CF$33,"")</f>
        <v>#DIV/0!</v>
      </c>
      <c r="CG139" s="157" t="e">
        <f>IF(AND(CG$33&lt;&gt;0,CG138/CG$33&gt;0,CG138&gt;0),CG138/CG$33,"")</f>
        <v>#DIV/0!</v>
      </c>
      <c r="CH139" s="157" t="e">
        <f>IF(AND(CH$33&lt;&gt;0,CH138/CH$33&gt;0,CH138&gt;0),CH138/CH$33,"")</f>
        <v>#DIV/0!</v>
      </c>
      <c r="CI139" s="157" t="e">
        <f>IF(AND(CI$33&lt;&gt;0,CI138/CI$33&gt;0,CI138&gt;0),CI138/CI$33,"")</f>
        <v>#DIV/0!</v>
      </c>
      <c r="CJ139" s="157" t="e">
        <f>IF(AND(CJ$33&lt;&gt;0,CJ138/CJ$33&gt;0,CJ138&gt;0),CJ138/CJ$33,"")</f>
        <v>#DIV/0!</v>
      </c>
      <c r="CK139" s="157" t="e">
        <f>IF(AND(CK$33&lt;&gt;0,CK138/CK$33&gt;0,CK138&gt;0),CK138/CK$33,"")</f>
        <v>#DIV/0!</v>
      </c>
      <c r="CL139" s="157" t="e">
        <f>IF(AND(CL$33&lt;&gt;0,CL138/CL$33&gt;0,CL138&gt;0),CL138/CL$33,"")</f>
        <v>#DIV/0!</v>
      </c>
      <c r="CM139" s="157" t="e">
        <f>IF(AND(CM$33&lt;&gt;0,CM138/CM$33&gt;0,CM138&gt;0),CM138/CM$33,"")</f>
        <v>#DIV/0!</v>
      </c>
      <c r="CN139" s="157" t="e">
        <f>IF(AND(CN$33&lt;&gt;0,CN138/CN$33&gt;0,CN138&gt;0),CN138/CN$33,"")</f>
        <v>#DIV/0!</v>
      </c>
      <c r="CO139" s="157" t="e">
        <f>IF(AND(CO$33&lt;&gt;0,CO138/CO$33&gt;0,CO138&gt;0),CO138/CO$33,"")</f>
        <v>#DIV/0!</v>
      </c>
      <c r="CP139" s="157" t="e">
        <f>IF(AND(CP$33&lt;&gt;0,CP138/CP$33&gt;0,CP138&gt;0),CP138/CP$33,"")</f>
        <v>#DIV/0!</v>
      </c>
      <c r="CY139" s="305"/>
      <c r="CZ139" s="305"/>
      <c r="DA139" s="305"/>
      <c r="DB139" s="305"/>
      <c r="DC139" s="305"/>
      <c r="DD139" s="305"/>
      <c r="DE139" s="305"/>
      <c r="DF139" s="305"/>
      <c r="DG139" s="305"/>
      <c r="DH139" s="305"/>
      <c r="DI139" s="305"/>
      <c r="DJ139" s="305"/>
      <c r="DK139" s="305"/>
      <c r="DL139" s="305"/>
      <c r="DM139" s="305"/>
      <c r="DN139" s="305"/>
      <c r="DO139" s="305"/>
      <c r="DP139" s="305"/>
      <c r="DQ139" s="305"/>
      <c r="DR139" s="305"/>
      <c r="DS139" s="305"/>
      <c r="DT139" s="305"/>
      <c r="DU139" s="305"/>
      <c r="DV139" s="305"/>
      <c r="DW139" s="305"/>
      <c r="DX139" s="305"/>
      <c r="DY139" s="305"/>
      <c r="DZ139" s="305"/>
      <c r="EA139" s="305"/>
      <c r="EB139" s="305"/>
      <c r="EC139" s="305"/>
      <c r="ED139" s="305"/>
      <c r="EE139" s="305"/>
      <c r="EF139" s="305"/>
      <c r="EG139" s="305"/>
      <c r="EH139" s="305"/>
      <c r="EI139" s="305"/>
      <c r="EJ139" s="305"/>
      <c r="EK139" s="305"/>
      <c r="EL139" s="305"/>
      <c r="EM139" s="305"/>
      <c r="EN139" s="305"/>
      <c r="EO139" s="305"/>
      <c r="EP139" s="305"/>
      <c r="EQ139" s="305"/>
      <c r="ER139" s="305"/>
      <c r="ES139" s="305"/>
      <c r="ET139" s="305"/>
      <c r="EU139" s="305"/>
      <c r="EV139" s="305"/>
      <c r="EW139" s="305"/>
      <c r="EX139" s="305"/>
      <c r="EY139" s="305"/>
      <c r="EZ139" s="305"/>
      <c r="FA139" s="305"/>
      <c r="FB139" s="305"/>
      <c r="FC139" s="305"/>
      <c r="FD139" s="305"/>
      <c r="FE139" s="305"/>
      <c r="FF139" s="305"/>
      <c r="FG139" s="305"/>
      <c r="FH139" s="305"/>
      <c r="FI139" s="305"/>
      <c r="FJ139" s="305"/>
    </row>
    <row r="140" spans="1:166" ht="12.75" customHeight="1" x14ac:dyDescent="0.35">
      <c r="A140" s="169"/>
      <c r="B140" s="169"/>
      <c r="C140" s="169"/>
      <c r="D140" s="152" t="s">
        <v>294</v>
      </c>
      <c r="E140" s="149">
        <f>Calcs!AF758+Calcs!AF793</f>
        <v>0</v>
      </c>
      <c r="F140" s="149">
        <f>Calcs!AG758+Calcs!AG793</f>
        <v>0</v>
      </c>
      <c r="G140" s="149">
        <f>Calcs!AH758+Calcs!AH793</f>
        <v>0</v>
      </c>
      <c r="H140" s="149">
        <f>Calcs!AI758+Calcs!AI793</f>
        <v>0</v>
      </c>
      <c r="I140" s="149">
        <f>Calcs!AJ758+Calcs!AJ793</f>
        <v>0</v>
      </c>
      <c r="J140" s="149">
        <f>Calcs!AK758+Calcs!AK793</f>
        <v>0</v>
      </c>
      <c r="K140" s="149">
        <f>Calcs!AL758+Calcs!AL793</f>
        <v>0</v>
      </c>
      <c r="L140" s="149">
        <f>Calcs!AM758+Calcs!AM793</f>
        <v>0</v>
      </c>
      <c r="M140" s="149">
        <f>Calcs!AN758+Calcs!AN793</f>
        <v>0</v>
      </c>
      <c r="N140" s="149">
        <f>Calcs!AO758+Calcs!AO793</f>
        <v>0</v>
      </c>
      <c r="O140" s="149">
        <f>Calcs!AP758+Calcs!AP793</f>
        <v>0</v>
      </c>
      <c r="P140" s="149">
        <f>Calcs!AQ758+Calcs!AQ793</f>
        <v>0</v>
      </c>
      <c r="Q140" s="151">
        <f>SUM(E140:P140)</f>
        <v>0</v>
      </c>
      <c r="R140" s="149">
        <f>Calcs!AR758+Calcs!AR793</f>
        <v>0</v>
      </c>
      <c r="S140" s="149">
        <f>Calcs!AS758+Calcs!AS793</f>
        <v>0</v>
      </c>
      <c r="T140" s="149">
        <f>Calcs!AT758+Calcs!AT793</f>
        <v>0</v>
      </c>
      <c r="U140" s="149">
        <f>Calcs!AU758+Calcs!AU793</f>
        <v>0</v>
      </c>
      <c r="V140" s="149">
        <f>Calcs!AV758+Calcs!AV793</f>
        <v>0</v>
      </c>
      <c r="W140" s="149">
        <f>Calcs!AW758+Calcs!AW793</f>
        <v>0</v>
      </c>
      <c r="X140" s="149">
        <f>Calcs!AX758+Calcs!AX793</f>
        <v>0</v>
      </c>
      <c r="Y140" s="149">
        <f>Calcs!AY758+Calcs!AY793</f>
        <v>0</v>
      </c>
      <c r="Z140" s="149">
        <f>Calcs!AZ758+Calcs!AZ793</f>
        <v>0</v>
      </c>
      <c r="AA140" s="149">
        <f>Calcs!BA758+Calcs!BA793</f>
        <v>0</v>
      </c>
      <c r="AB140" s="149">
        <f>Calcs!BB758+Calcs!BB793</f>
        <v>0</v>
      </c>
      <c r="AC140" s="149">
        <f>Calcs!BC758+Calcs!BC793</f>
        <v>0</v>
      </c>
      <c r="AD140" s="151">
        <f>SUM(R140:AC140)</f>
        <v>0</v>
      </c>
      <c r="AE140" s="149">
        <f>Calcs!BD758+Calcs!BD793</f>
        <v>0</v>
      </c>
      <c r="AF140" s="149">
        <f>Calcs!BE758+Calcs!BE793</f>
        <v>0</v>
      </c>
      <c r="AG140" s="149">
        <f>Calcs!BF758+Calcs!BF793</f>
        <v>0</v>
      </c>
      <c r="AH140" s="149">
        <f>Calcs!BG758+Calcs!BG793</f>
        <v>0</v>
      </c>
      <c r="AI140" s="149">
        <f>Calcs!BH758+Calcs!BH793</f>
        <v>0</v>
      </c>
      <c r="AJ140" s="149">
        <f>Calcs!BI758+Calcs!BI793</f>
        <v>0</v>
      </c>
      <c r="AK140" s="149">
        <f>Calcs!BJ758+Calcs!BJ793</f>
        <v>0</v>
      </c>
      <c r="AL140" s="149">
        <f>Calcs!BK758+Calcs!BK793</f>
        <v>0</v>
      </c>
      <c r="AM140" s="149">
        <f>Calcs!BL758+Calcs!BL793</f>
        <v>0</v>
      </c>
      <c r="AN140" s="149">
        <f>Calcs!BM758+Calcs!BM793</f>
        <v>0</v>
      </c>
      <c r="AO140" s="149">
        <f>Calcs!BN758+Calcs!BN793</f>
        <v>0</v>
      </c>
      <c r="AP140" s="149">
        <f>Calcs!BO758+Calcs!BO793</f>
        <v>0</v>
      </c>
      <c r="AQ140" s="151">
        <f>SUM(AE140:AP140)</f>
        <v>0</v>
      </c>
      <c r="AR140" s="149">
        <f>Calcs!BP758+Calcs!BP793</f>
        <v>0</v>
      </c>
      <c r="AS140" s="149">
        <f>Calcs!BQ758+Calcs!BQ793</f>
        <v>0</v>
      </c>
      <c r="AT140" s="149">
        <f>Calcs!BR758+Calcs!BR793</f>
        <v>0</v>
      </c>
      <c r="AU140" s="149">
        <f>Calcs!BS758+Calcs!BS793</f>
        <v>0</v>
      </c>
      <c r="AV140" s="149">
        <f>Calcs!BT758+Calcs!BT793</f>
        <v>0</v>
      </c>
      <c r="AW140" s="149">
        <f>Calcs!BU758+Calcs!BU793</f>
        <v>0</v>
      </c>
      <c r="AX140" s="149">
        <f>Calcs!BV758+Calcs!BV793</f>
        <v>0</v>
      </c>
      <c r="AY140" s="149">
        <f>Calcs!BW758+Calcs!BW793</f>
        <v>0</v>
      </c>
      <c r="AZ140" s="149">
        <f>Calcs!BX758+Calcs!BX793</f>
        <v>0</v>
      </c>
      <c r="BA140" s="149">
        <f>Calcs!BY758+Calcs!BY793</f>
        <v>0</v>
      </c>
      <c r="BB140" s="149">
        <f>Calcs!BZ758+Calcs!BZ793</f>
        <v>0</v>
      </c>
      <c r="BC140" s="149">
        <f>Calcs!CA758+Calcs!CA793</f>
        <v>0</v>
      </c>
      <c r="BD140" s="149">
        <f>SUM(AR140:BC140)</f>
        <v>0</v>
      </c>
      <c r="BE140" s="149">
        <f>Calcs!CB758+Calcs!CB793</f>
        <v>0</v>
      </c>
      <c r="BF140" s="149">
        <f>Calcs!CC758+Calcs!CC793</f>
        <v>0</v>
      </c>
      <c r="BG140" s="149">
        <f>Calcs!CD758+Calcs!CD793</f>
        <v>0</v>
      </c>
      <c r="BH140" s="149">
        <f>Calcs!CE758+Calcs!CE793</f>
        <v>0</v>
      </c>
      <c r="BI140" s="149">
        <f>Calcs!CF758+Calcs!CF793</f>
        <v>0</v>
      </c>
      <c r="BJ140" s="149">
        <f>Calcs!CG758+Calcs!CG793</f>
        <v>0</v>
      </c>
      <c r="BK140" s="149">
        <f>Calcs!CH758+Calcs!CH793</f>
        <v>0</v>
      </c>
      <c r="BL140" s="149">
        <f>Calcs!CI758+Calcs!CI793</f>
        <v>0</v>
      </c>
      <c r="BM140" s="149">
        <f>Calcs!CJ758+Calcs!CJ793</f>
        <v>0</v>
      </c>
      <c r="BN140" s="149">
        <f>Calcs!CK758+Calcs!CK793</f>
        <v>0</v>
      </c>
      <c r="BO140" s="149">
        <f>Calcs!CL758+Calcs!CL793</f>
        <v>0</v>
      </c>
      <c r="BP140" s="149">
        <f>Calcs!CM758+Calcs!CM793</f>
        <v>0</v>
      </c>
      <c r="BQ140" s="151">
        <f>SUM(BE140:BP140)</f>
        <v>0</v>
      </c>
      <c r="BR140" s="1802"/>
      <c r="BS140" s="153">
        <v>1</v>
      </c>
      <c r="BT140" s="1802"/>
      <c r="BU140" s="153">
        <f>SUM(BQ140,BD140,AQ140,AD140,Q140)</f>
      </c>
      <c r="BV140" s="170" t="s">
        <v>294</v>
      </c>
      <c r="BW140" s="96">
        <f>SUM(Financials!E140:'Financials'!G140)</f>
        <v>0</v>
      </c>
      <c r="BX140" s="96">
        <f>SUM(Financials!H140:'Financials'!J140)</f>
        <v>0</v>
      </c>
      <c r="BY140" s="96">
        <f>SUM(Financials!K140:'Financials'!M140)</f>
        <v>0</v>
      </c>
      <c r="BZ140" s="96">
        <f>SUM(Financials!N140:'Financials'!P140)</f>
        <v>0</v>
      </c>
      <c r="CA140" s="151">
        <f>SUM(Financials!R140:'Financials'!T140)</f>
        <v>0</v>
      </c>
      <c r="CB140" s="151">
        <f>SUM(Financials!U140:'Financials'!W140)</f>
        <v>0</v>
      </c>
      <c r="CC140" s="151">
        <f>SUM(Financials!X140:'Financials'!Z140)</f>
        <v>0</v>
      </c>
      <c r="CD140" s="151">
        <f>SUM(Financials!AA140:'Financials'!AC140)</f>
        <v>0</v>
      </c>
      <c r="CE140" s="151">
        <f>SUM(Financials!AE140:'Financials'!AG140)</f>
        <v>0</v>
      </c>
      <c r="CF140" s="151">
        <f>SUM(Financials!AH140:'Financials'!AJ140)</f>
        <v>0</v>
      </c>
      <c r="CG140" s="151">
        <f>SUM(Financials!AK140:'Financials'!AM140)</f>
        <v>0</v>
      </c>
      <c r="CH140" s="151">
        <f>SUM(Financials!AN140:'Financials'!AP140)</f>
        <v>0</v>
      </c>
      <c r="CI140" s="151">
        <f>SUM(Financials!AR140:'Financials'!AT140)</f>
        <v>0</v>
      </c>
      <c r="CJ140" s="151">
        <f>SUM(Financials!AU140:'Financials'!AW140)</f>
        <v>0</v>
      </c>
      <c r="CK140" s="151">
        <f>SUM(Financials!AX140:'Financials'!AZ140)</f>
        <v>0</v>
      </c>
      <c r="CL140" s="151">
        <f>SUM(Financials!BA140:'Financials'!BC140)</f>
        <v>0</v>
      </c>
      <c r="CM140" s="151">
        <f>SUM(Financials!BE140:'Financials'!BG140)</f>
        <v>0</v>
      </c>
      <c r="CN140" s="151">
        <f>SUM(Financials!BH140:'Financials'!BJ140)</f>
        <v>0</v>
      </c>
      <c r="CO140" s="151">
        <f>SUM(Financials!BK140:'Financials'!BM140)</f>
        <v>0</v>
      </c>
      <c r="CP140" s="151">
        <f>SUM(Financials!BN140:'Financials'!BP140)</f>
        <v>0</v>
      </c>
      <c r="CY140" s="305"/>
      <c r="CZ140" s="305"/>
      <c r="DA140" s="305"/>
      <c r="DB140" s="305"/>
      <c r="DC140" s="305"/>
      <c r="DD140" s="305"/>
      <c r="DE140" s="305"/>
      <c r="DF140" s="305"/>
      <c r="DG140" s="305"/>
      <c r="DH140" s="305"/>
      <c r="DI140" s="305"/>
      <c r="DJ140" s="305"/>
      <c r="DK140" s="305"/>
      <c r="DL140" s="305"/>
      <c r="DM140" s="305"/>
      <c r="DN140" s="305"/>
      <c r="DO140" s="305"/>
      <c r="DP140" s="305"/>
      <c r="DQ140" s="305"/>
      <c r="DR140" s="305"/>
      <c r="DS140" s="305"/>
      <c r="DT140" s="305"/>
      <c r="DU140" s="305"/>
      <c r="DV140" s="305"/>
      <c r="DW140" s="305"/>
      <c r="DX140" s="305"/>
      <c r="DY140" s="305"/>
      <c r="DZ140" s="305"/>
      <c r="EA140" s="305"/>
      <c r="EB140" s="305"/>
      <c r="EC140" s="305"/>
      <c r="ED140" s="305"/>
      <c r="EE140" s="305"/>
      <c r="EF140" s="305"/>
      <c r="EG140" s="305"/>
      <c r="EH140" s="305"/>
      <c r="EI140" s="305"/>
      <c r="EJ140" s="305"/>
      <c r="EK140" s="305"/>
      <c r="EL140" s="305"/>
      <c r="EM140" s="305"/>
      <c r="EN140" s="305"/>
      <c r="EO140" s="305"/>
      <c r="EP140" s="305"/>
      <c r="EQ140" s="305"/>
      <c r="ER140" s="305"/>
      <c r="ES140" s="305"/>
      <c r="ET140" s="305"/>
      <c r="EU140" s="305"/>
      <c r="EV140" s="305"/>
      <c r="EW140" s="305"/>
      <c r="EX140" s="305"/>
      <c r="EY140" s="305"/>
      <c r="EZ140" s="305"/>
      <c r="FA140" s="305"/>
      <c r="FB140" s="305"/>
      <c r="FC140" s="305"/>
      <c r="FD140" s="305"/>
      <c r="FE140" s="305"/>
      <c r="FF140" s="305"/>
      <c r="FG140" s="305"/>
      <c r="FH140" s="305"/>
      <c r="FI140" s="305"/>
      <c r="FJ140" s="305"/>
    </row>
    <row r="141" spans="1:166" ht="12.75" customHeight="1" x14ac:dyDescent="0.35">
      <c r="A141" s="136"/>
      <c r="B141" s="307" t="str">
        <f>IF(OR(Input!DC5="LLC", Input!DC5="S Corp"),"This row can be hidden","")</f>
        <v/>
      </c>
      <c r="C141" s="136"/>
      <c r="D141" s="152" t="s">
        <v>295</v>
      </c>
      <c r="E141" s="149">
        <v>0</v>
      </c>
      <c r="F141" s="149">
        <v>0</v>
      </c>
      <c r="G141" s="151">
        <v>0</v>
      </c>
      <c r="H141" s="151">
        <v>0</v>
      </c>
      <c r="I141" s="151">
        <v>0</v>
      </c>
      <c r="J141" s="151">
        <v>0</v>
      </c>
      <c r="K141" s="151">
        <v>0</v>
      </c>
      <c r="L141" s="151">
        <v>0</v>
      </c>
      <c r="M141" s="151">
        <v>0</v>
      </c>
      <c r="N141" s="151">
        <v>0</v>
      </c>
      <c r="O141" s="151">
        <v>0</v>
      </c>
      <c r="P141" s="151">
        <f>Calcs!T108</f>
        <v>0</v>
      </c>
      <c r="Q141" s="151">
        <f>SUM(E141:P141)</f>
        <v>0</v>
      </c>
      <c r="R141" s="151">
        <v>0</v>
      </c>
      <c r="S141" s="151">
        <v>0</v>
      </c>
      <c r="T141" s="151">
        <v>0</v>
      </c>
      <c r="U141" s="151">
        <v>0</v>
      </c>
      <c r="V141" s="151">
        <v>0</v>
      </c>
      <c r="W141" s="151">
        <v>0</v>
      </c>
      <c r="X141" s="151">
        <v>0</v>
      </c>
      <c r="Y141" s="151">
        <v>0</v>
      </c>
      <c r="Z141" s="151">
        <v>0</v>
      </c>
      <c r="AA141" s="151">
        <v>0</v>
      </c>
      <c r="AB141" s="151">
        <v>0</v>
      </c>
      <c r="AC141" s="151">
        <f>Calcs!AF108</f>
        <v>0</v>
      </c>
      <c r="AD141" s="151">
        <f>SUM(R141:AC141)</f>
        <v>0</v>
      </c>
      <c r="AE141" s="151">
        <v>0</v>
      </c>
      <c r="AF141" s="151">
        <v>0</v>
      </c>
      <c r="AG141" s="151">
        <v>0</v>
      </c>
      <c r="AH141" s="151">
        <v>0</v>
      </c>
      <c r="AI141" s="151">
        <v>0</v>
      </c>
      <c r="AJ141" s="151">
        <v>0</v>
      </c>
      <c r="AK141" s="151">
        <v>0</v>
      </c>
      <c r="AL141" s="151">
        <v>0</v>
      </c>
      <c r="AM141" s="151">
        <v>0</v>
      </c>
      <c r="AN141" s="151">
        <v>0</v>
      </c>
      <c r="AO141" s="151">
        <v>0</v>
      </c>
      <c r="AP141" s="151">
        <f>Calcs!AR108</f>
        <v>0</v>
      </c>
      <c r="AQ141" s="151">
        <f>SUM(AE141:AP141)</f>
        <v>0</v>
      </c>
      <c r="AR141" s="151">
        <v>0</v>
      </c>
      <c r="AS141" s="151">
        <v>0</v>
      </c>
      <c r="AT141" s="151">
        <v>0</v>
      </c>
      <c r="AU141" s="151">
        <v>0</v>
      </c>
      <c r="AV141" s="151">
        <v>0</v>
      </c>
      <c r="AW141" s="151">
        <v>0</v>
      </c>
      <c r="AX141" s="151">
        <v>0</v>
      </c>
      <c r="AY141" s="151">
        <v>0</v>
      </c>
      <c r="AZ141" s="151">
        <v>0</v>
      </c>
      <c r="BA141" s="151">
        <v>0</v>
      </c>
      <c r="BB141" s="151">
        <v>0</v>
      </c>
      <c r="BC141" s="151">
        <f>Calcs!BD108</f>
        <v>0</v>
      </c>
      <c r="BD141" s="151">
        <f>SUM(AR141:BC141)</f>
        <v>0</v>
      </c>
      <c r="BE141" s="151">
        <v>0</v>
      </c>
      <c r="BF141" s="151">
        <v>0</v>
      </c>
      <c r="BG141" s="151">
        <v>0</v>
      </c>
      <c r="BH141" s="151">
        <v>0</v>
      </c>
      <c r="BI141" s="151">
        <v>0</v>
      </c>
      <c r="BJ141" s="151">
        <v>0</v>
      </c>
      <c r="BK141" s="151">
        <v>0</v>
      </c>
      <c r="BL141" s="151">
        <v>0</v>
      </c>
      <c r="BM141" s="151">
        <v>0</v>
      </c>
      <c r="BN141" s="151">
        <v>0</v>
      </c>
      <c r="BO141" s="151">
        <v>0</v>
      </c>
      <c r="BP141" s="151">
        <f>Calcs!BP108</f>
        <v>0</v>
      </c>
      <c r="BQ141" s="151">
        <f>SUM(BE141:BP141)</f>
        <v>0</v>
      </c>
      <c r="BR141" s="1802"/>
      <c r="BS141" s="153">
        <v>1</v>
      </c>
      <c r="BT141" s="1802"/>
      <c r="BU141" s="153">
        <f>SUM(Q141,AD141,AQ141,BD141,BQ141)</f>
        <v>0</v>
      </c>
      <c r="BV141" s="158" t="s">
        <v>295</v>
      </c>
      <c r="BW141" s="96">
        <f>SUM(Financials!E141:'Financials'!G141)</f>
        <v>0</v>
      </c>
      <c r="BX141" s="96">
        <f>SUM(Financials!H141:'Financials'!J141)</f>
        <v>0</v>
      </c>
      <c r="BY141" s="96">
        <f>SUM(Financials!K141:'Financials'!M141)</f>
        <v>0</v>
      </c>
      <c r="BZ141" s="96">
        <f>SUM(Financials!N141:'Financials'!P141)</f>
        <v>0</v>
      </c>
      <c r="CA141" s="151">
        <f>SUM(Financials!R141:'Financials'!T141)</f>
        <v>0</v>
      </c>
      <c r="CB141" s="151">
        <f>SUM(Financials!U141:'Financials'!W141)</f>
        <v>0</v>
      </c>
      <c r="CC141" s="151">
        <f>SUM(Financials!X141:'Financials'!Z141)</f>
        <v>0</v>
      </c>
      <c r="CD141" s="151">
        <f>SUM(Financials!AA141:'Financials'!AC141)</f>
        <v>0</v>
      </c>
      <c r="CE141" s="151">
        <f>SUM(Financials!AE141:'Financials'!AG141)</f>
        <v>0</v>
      </c>
      <c r="CF141" s="151">
        <f>SUM(Financials!AH141:'Financials'!AJ141)</f>
        <v>0</v>
      </c>
      <c r="CG141" s="151">
        <f>SUM(Financials!AK141:'Financials'!AM141)</f>
        <v>0</v>
      </c>
      <c r="CH141" s="151">
        <f>SUM(Financials!AN141:'Financials'!AP141)</f>
        <v>0</v>
      </c>
      <c r="CI141" s="151">
        <f>SUM(Financials!AR141:'Financials'!AT141)</f>
        <v>0</v>
      </c>
      <c r="CJ141" s="151">
        <f>SUM(Financials!AU141:'Financials'!AW141)</f>
        <v>0</v>
      </c>
      <c r="CK141" s="151">
        <f>SUM(Financials!AX141:'Financials'!AZ141)</f>
        <v>0</v>
      </c>
      <c r="CL141" s="151">
        <f>SUM(Financials!BA141:'Financials'!BC141)</f>
        <v>0</v>
      </c>
      <c r="CM141" s="151">
        <f>SUM(Financials!BE141:'Financials'!BG141)</f>
        <v>0</v>
      </c>
      <c r="CN141" s="151">
        <f>SUM(Financials!BH141:'Financials'!BJ141)</f>
        <v>0</v>
      </c>
      <c r="CO141" s="151">
        <f>SUM(Financials!BK141:'Financials'!BM141)</f>
        <v>0</v>
      </c>
      <c r="CP141" s="151">
        <f>SUM(Financials!BN141:'Financials'!BP141)</f>
        <v>0</v>
      </c>
      <c r="CY141" s="305"/>
      <c r="CZ141" s="305"/>
      <c r="DA141" s="305"/>
      <c r="DB141" s="305"/>
      <c r="DC141" s="305"/>
      <c r="DD141" s="305"/>
      <c r="DE141" s="305"/>
      <c r="DF141" s="305"/>
      <c r="DG141" s="305"/>
      <c r="DH141" s="305"/>
      <c r="DI141" s="305"/>
      <c r="DJ141" s="305"/>
      <c r="DK141" s="305"/>
      <c r="DL141" s="305"/>
      <c r="DM141" s="305"/>
      <c r="DN141" s="305"/>
      <c r="DO141" s="305"/>
      <c r="DP141" s="305"/>
      <c r="DQ141" s="305"/>
      <c r="DR141" s="305"/>
      <c r="DS141" s="305"/>
      <c r="DT141" s="305"/>
      <c r="DU141" s="305"/>
      <c r="DV141" s="305"/>
      <c r="DW141" s="305"/>
      <c r="DX141" s="305"/>
      <c r="DY141" s="305"/>
      <c r="DZ141" s="305"/>
      <c r="EA141" s="305"/>
      <c r="EB141" s="305"/>
      <c r="EC141" s="305"/>
      <c r="ED141" s="305"/>
      <c r="EE141" s="305"/>
      <c r="EF141" s="305"/>
      <c r="EG141" s="305"/>
      <c r="EH141" s="305"/>
      <c r="EI141" s="305"/>
      <c r="EJ141" s="305"/>
      <c r="EK141" s="305"/>
      <c r="EL141" s="305"/>
      <c r="EM141" s="305"/>
      <c r="EN141" s="305"/>
      <c r="EO141" s="305"/>
      <c r="EP141" s="305"/>
      <c r="EQ141" s="305"/>
      <c r="ER141" s="305"/>
      <c r="ES141" s="305"/>
      <c r="ET141" s="305"/>
      <c r="EU141" s="305"/>
      <c r="EV141" s="305"/>
      <c r="EW141" s="305"/>
      <c r="EX141" s="305"/>
      <c r="EY141" s="305"/>
      <c r="EZ141" s="305"/>
      <c r="FA141" s="305"/>
      <c r="FB141" s="305"/>
      <c r="FC141" s="305"/>
      <c r="FD141" s="305"/>
      <c r="FE141" s="305"/>
      <c r="FF141" s="305"/>
      <c r="FG141" s="305"/>
      <c r="FH141" s="305"/>
      <c r="FI141" s="305"/>
      <c r="FJ141" s="305"/>
    </row>
    <row r="142" spans="1:166" ht="12.75" customHeight="1" x14ac:dyDescent="0.35">
      <c r="A142" s="136"/>
      <c r="B142" s="136"/>
      <c r="C142" s="136"/>
      <c r="D142" s="152" t="s">
        <v>296</v>
      </c>
      <c r="E142" s="149">
        <f>Calcs!CG332</f>
        <v>0</v>
      </c>
      <c r="F142" s="149">
        <f>Calcs!CH332</f>
        <v>0</v>
      </c>
      <c r="G142" s="149">
        <f>Calcs!CI332</f>
        <v>0</v>
      </c>
      <c r="H142" s="149">
        <f>Calcs!CJ332</f>
        <v>0</v>
      </c>
      <c r="I142" s="149">
        <f>Calcs!CK332</f>
        <v>0</v>
      </c>
      <c r="J142" s="149">
        <f>Calcs!CL332</f>
        <v>0</v>
      </c>
      <c r="K142" s="149">
        <f>Calcs!CM332</f>
        <v>0</v>
      </c>
      <c r="L142" s="149">
        <f>Calcs!CN332</f>
        <v>0</v>
      </c>
      <c r="M142" s="149">
        <f>Calcs!CO332</f>
        <v>0</v>
      </c>
      <c r="N142" s="149">
        <f>Calcs!CP332</f>
        <v>0</v>
      </c>
      <c r="O142" s="149">
        <f>Calcs!CQ332</f>
        <v>0</v>
      </c>
      <c r="P142" s="149">
        <f>Calcs!CR332</f>
        <v>0</v>
      </c>
      <c r="Q142" s="151">
        <f>SUM(E142:P142)</f>
        <v>0</v>
      </c>
      <c r="R142" s="151">
        <f>Calcs!CS332</f>
        <v>0</v>
      </c>
      <c r="S142" s="151">
        <f>Calcs!CT332</f>
        <v>0</v>
      </c>
      <c r="T142" s="151">
        <f>Calcs!CU332</f>
        <v>0</v>
      </c>
      <c r="U142" s="151">
        <f>Calcs!CV332</f>
        <v>0</v>
      </c>
      <c r="V142" s="151">
        <f>Calcs!CW332</f>
        <v>0</v>
      </c>
      <c r="W142" s="151">
        <f>Calcs!CX332</f>
        <v>0</v>
      </c>
      <c r="X142" s="151">
        <f>Calcs!CY332</f>
        <v>0</v>
      </c>
      <c r="Y142" s="151">
        <f>Calcs!CZ332</f>
        <v>0</v>
      </c>
      <c r="Z142" s="151">
        <f>Calcs!DA332</f>
        <v>0</v>
      </c>
      <c r="AA142" s="151">
        <f>Calcs!DB332</f>
        <v>0</v>
      </c>
      <c r="AB142" s="151">
        <f>Calcs!DC332</f>
        <v>0</v>
      </c>
      <c r="AC142" s="151">
        <f>Calcs!DD332</f>
        <v>0</v>
      </c>
      <c r="AD142" s="151">
        <f>SUM(R142:AC142)</f>
        <v>0</v>
      </c>
      <c r="AE142" s="151">
        <f>Calcs!DE332</f>
        <v>0</v>
      </c>
      <c r="AF142" s="151">
        <f>Calcs!DF332</f>
        <v>0</v>
      </c>
      <c r="AG142" s="151">
        <f>Calcs!DG332</f>
        <v>0</v>
      </c>
      <c r="AH142" s="151">
        <f>Calcs!DH332</f>
        <v>0</v>
      </c>
      <c r="AI142" s="151">
        <f>Calcs!DI332</f>
        <v>0</v>
      </c>
      <c r="AJ142" s="151">
        <f>Calcs!DJ332</f>
        <v>0</v>
      </c>
      <c r="AK142" s="151">
        <f>Calcs!DK332</f>
        <v>0</v>
      </c>
      <c r="AL142" s="151">
        <f>Calcs!DL332</f>
        <v>0</v>
      </c>
      <c r="AM142" s="151">
        <f>Calcs!DM332</f>
        <v>0</v>
      </c>
      <c r="AN142" s="151">
        <f>Calcs!DN332</f>
        <v>0</v>
      </c>
      <c r="AO142" s="151">
        <f>Calcs!DO332</f>
        <v>0</v>
      </c>
      <c r="AP142" s="151">
        <f>Calcs!DP332</f>
        <v>0</v>
      </c>
      <c r="AQ142" s="151">
        <f>SUM(AE142:AP142)</f>
        <v>0</v>
      </c>
      <c r="AR142" s="151">
        <f>Calcs!DQ332</f>
        <v>0</v>
      </c>
      <c r="AS142" s="151">
        <f>Calcs!DR332</f>
        <v>0</v>
      </c>
      <c r="AT142" s="151">
        <f>Calcs!DS332</f>
        <v>0</v>
      </c>
      <c r="AU142" s="151">
        <f>Calcs!DT332</f>
        <v>0</v>
      </c>
      <c r="AV142" s="151">
        <f>Calcs!DU332</f>
        <v>0</v>
      </c>
      <c r="AW142" s="151">
        <f>Calcs!DV332</f>
        <v>0</v>
      </c>
      <c r="AX142" s="151">
        <f>Calcs!DW332</f>
        <v>0</v>
      </c>
      <c r="AY142" s="151">
        <f>Calcs!DX332</f>
        <v>0</v>
      </c>
      <c r="AZ142" s="151">
        <f>Calcs!DY332</f>
        <v>0</v>
      </c>
      <c r="BA142" s="151">
        <f>Calcs!DZ332</f>
        <v>0</v>
      </c>
      <c r="BB142" s="151">
        <f>Calcs!EA332</f>
        <v>0</v>
      </c>
      <c r="BC142" s="151">
        <f>Calcs!EB332</f>
        <v>0</v>
      </c>
      <c r="BD142" s="151">
        <f>SUM(AR142:BC142)</f>
        <v>0</v>
      </c>
      <c r="BE142" s="151">
        <f>Calcs!EC332</f>
        <v>0</v>
      </c>
      <c r="BF142" s="151">
        <f>Calcs!ED332</f>
        <v>0</v>
      </c>
      <c r="BG142" s="151">
        <f>Calcs!EE332</f>
        <v>0</v>
      </c>
      <c r="BH142" s="151">
        <f>Calcs!EF332</f>
        <v>0</v>
      </c>
      <c r="BI142" s="151">
        <f>Calcs!EG332</f>
        <v>0</v>
      </c>
      <c r="BJ142" s="151">
        <f>Calcs!EH332</f>
        <v>0</v>
      </c>
      <c r="BK142" s="151">
        <f>Calcs!EI332</f>
        <v>0</v>
      </c>
      <c r="BL142" s="151">
        <f>Calcs!EJ332</f>
        <v>0</v>
      </c>
      <c r="BM142" s="151">
        <f>Calcs!EK332</f>
        <v>0</v>
      </c>
      <c r="BN142" s="151">
        <f>Calcs!EL332</f>
        <v>0</v>
      </c>
      <c r="BO142" s="151">
        <f>Calcs!EM332</f>
        <v>0</v>
      </c>
      <c r="BP142" s="151">
        <f>Calcs!EN332</f>
        <v>0</v>
      </c>
      <c r="BQ142" s="151">
        <f>SUM(BE142:BP142)</f>
        <v>0</v>
      </c>
      <c r="BR142" s="1802"/>
      <c r="BS142" s="153">
        <v>1</v>
      </c>
      <c r="BT142" s="1802"/>
      <c r="BU142" s="153">
        <f>SUM(BQ142,BD142,AQ142,AD142,Q142)</f>
      </c>
      <c r="BV142" s="158" t="s">
        <v>296</v>
      </c>
      <c r="BW142" s="96">
        <f>SUM(Financials!E142:'Financials'!G142)</f>
        <v>0</v>
      </c>
      <c r="BX142" s="96">
        <f>SUM(Financials!H142:'Financials'!J142)</f>
        <v>0</v>
      </c>
      <c r="BY142" s="96">
        <f>SUM(Financials!K142:'Financials'!M142)</f>
        <v>0</v>
      </c>
      <c r="BZ142" s="96">
        <f>SUM(Financials!N142:'Financials'!P142)</f>
        <v>0</v>
      </c>
      <c r="CA142" s="151">
        <f>SUM(Financials!R142:'Financials'!T142)</f>
        <v>0</v>
      </c>
      <c r="CB142" s="151">
        <f>SUM(Financials!U142:'Financials'!W142)</f>
        <v>0</v>
      </c>
      <c r="CC142" s="151">
        <f>SUM(Financials!X142:'Financials'!Z142)</f>
        <v>0</v>
      </c>
      <c r="CD142" s="151">
        <f>SUM(Financials!AA142:'Financials'!AC142)</f>
        <v>0</v>
      </c>
      <c r="CE142" s="151">
        <f>SUM(Financials!AE142:'Financials'!AG142)</f>
        <v>0</v>
      </c>
      <c r="CF142" s="151">
        <f>SUM(Financials!AH142:'Financials'!AJ142)</f>
        <v>0</v>
      </c>
      <c r="CG142" s="151">
        <f>SUM(Financials!AK142:'Financials'!AM142)</f>
        <v>0</v>
      </c>
      <c r="CH142" s="151">
        <f>SUM(Financials!AN142:'Financials'!AP142)</f>
        <v>0</v>
      </c>
      <c r="CI142" s="151">
        <f>SUM(Financials!AR142:'Financials'!AT142)</f>
        <v>0</v>
      </c>
      <c r="CJ142" s="151">
        <f>SUM(Financials!AU142:'Financials'!AW142)</f>
        <v>0</v>
      </c>
      <c r="CK142" s="151">
        <f>SUM(Financials!AX142:'Financials'!AZ142)</f>
        <v>0</v>
      </c>
      <c r="CL142" s="151">
        <f>SUM(Financials!BA142:'Financials'!BC142)</f>
        <v>0</v>
      </c>
      <c r="CM142" s="151">
        <f>SUM(Financials!BE142:'Financials'!BG142)</f>
        <v>0</v>
      </c>
      <c r="CN142" s="151">
        <f>SUM(Financials!BH142:'Financials'!BJ142)</f>
        <v>0</v>
      </c>
      <c r="CO142" s="151">
        <f>SUM(Financials!BK142:'Financials'!BM142)</f>
        <v>0</v>
      </c>
      <c r="CP142" s="151">
        <f>SUM(Financials!BN142:'Financials'!BP142)</f>
        <v>0</v>
      </c>
      <c r="CY142" s="305"/>
      <c r="CZ142" s="305"/>
      <c r="DA142" s="305"/>
      <c r="DB142" s="305"/>
      <c r="DC142" s="305"/>
      <c r="DD142" s="305"/>
      <c r="DE142" s="305"/>
      <c r="DF142" s="305"/>
      <c r="DG142" s="305"/>
      <c r="DH142" s="305"/>
      <c r="DI142" s="305"/>
      <c r="DJ142" s="305"/>
      <c r="DK142" s="305"/>
      <c r="DL142" s="305"/>
      <c r="DM142" s="305"/>
      <c r="DN142" s="305"/>
      <c r="DO142" s="305"/>
      <c r="DP142" s="305"/>
      <c r="DQ142" s="305"/>
      <c r="DR142" s="305"/>
      <c r="DS142" s="305"/>
      <c r="DT142" s="305"/>
      <c r="DU142" s="305"/>
      <c r="DV142" s="305"/>
      <c r="DW142" s="305"/>
      <c r="DX142" s="305"/>
      <c r="DY142" s="305"/>
      <c r="DZ142" s="305"/>
      <c r="EA142" s="305"/>
      <c r="EB142" s="305"/>
      <c r="EC142" s="305"/>
      <c r="ED142" s="305"/>
      <c r="EE142" s="305"/>
      <c r="EF142" s="305"/>
      <c r="EG142" s="305"/>
      <c r="EH142" s="305"/>
      <c r="EI142" s="305"/>
      <c r="EJ142" s="305"/>
      <c r="EK142" s="305"/>
      <c r="EL142" s="305"/>
      <c r="EM142" s="305"/>
      <c r="EN142" s="305"/>
      <c r="EO142" s="305"/>
      <c r="EP142" s="305"/>
      <c r="EQ142" s="305"/>
      <c r="ER142" s="305"/>
      <c r="ES142" s="305"/>
      <c r="ET142" s="305"/>
      <c r="EU142" s="305"/>
      <c r="EV142" s="305"/>
      <c r="EW142" s="305"/>
      <c r="EX142" s="305"/>
      <c r="EY142" s="305"/>
      <c r="EZ142" s="305"/>
      <c r="FA142" s="305"/>
      <c r="FB142" s="305"/>
      <c r="FC142" s="305"/>
      <c r="FD142" s="305"/>
      <c r="FE142" s="305"/>
      <c r="FF142" s="305"/>
      <c r="FG142" s="305"/>
      <c r="FH142" s="305"/>
      <c r="FI142" s="305"/>
      <c r="FJ142" s="305"/>
    </row>
    <row r="143" spans="1:166" ht="12.75" customHeight="1" x14ac:dyDescent="0.35">
      <c r="A143" s="136"/>
      <c r="B143" s="136"/>
      <c r="C143" s="136"/>
      <c r="D143" s="152" t="s">
        <v>297</v>
      </c>
      <c r="E143" s="149">
        <f>Calcs!CG389</f>
        <v>0</v>
      </c>
      <c r="F143" s="149">
        <f>Calcs!CH389</f>
        <v>0</v>
      </c>
      <c r="G143" s="149">
        <f>Calcs!CI389</f>
        <v>0</v>
      </c>
      <c r="H143" s="149">
        <f>Calcs!CJ389</f>
        <v>0</v>
      </c>
      <c r="I143" s="149">
        <f>Calcs!CK389</f>
        <v>0</v>
      </c>
      <c r="J143" s="149">
        <f>Calcs!CL389</f>
        <v>0</v>
      </c>
      <c r="K143" s="149">
        <f>Calcs!CM389</f>
        <v>0</v>
      </c>
      <c r="L143" s="149">
        <f>Calcs!CN389</f>
        <v>0</v>
      </c>
      <c r="M143" s="149">
        <f>Calcs!CO389</f>
        <v>0</v>
      </c>
      <c r="N143" s="149">
        <f>Calcs!CP389</f>
        <v>0</v>
      </c>
      <c r="O143" s="149">
        <f>Calcs!CQ389</f>
        <v>0</v>
      </c>
      <c r="P143" s="149">
        <f>Calcs!CR389</f>
        <v>0</v>
      </c>
      <c r="Q143" s="151">
        <f>SUM(E143:P143)</f>
        <v>0</v>
      </c>
      <c r="R143" s="151">
        <f>Calcs!CS389</f>
        <v>0</v>
      </c>
      <c r="S143" s="151">
        <f>Calcs!CT389</f>
        <v>0</v>
      </c>
      <c r="T143" s="151">
        <f>Calcs!CU389</f>
        <v>0</v>
      </c>
      <c r="U143" s="151">
        <f>Calcs!CV389</f>
        <v>0</v>
      </c>
      <c r="V143" s="151">
        <f>Calcs!CW389</f>
        <v>0</v>
      </c>
      <c r="W143" s="151">
        <f>Calcs!CX389</f>
        <v>0</v>
      </c>
      <c r="X143" s="151">
        <f>Calcs!CY389</f>
        <v>0</v>
      </c>
      <c r="Y143" s="151">
        <f>Calcs!CZ389</f>
        <v>0</v>
      </c>
      <c r="Z143" s="151">
        <f>Calcs!DA389</f>
        <v>0</v>
      </c>
      <c r="AA143" s="151">
        <f>Calcs!DB389</f>
        <v>0</v>
      </c>
      <c r="AB143" s="151">
        <f>Calcs!DC389</f>
        <v>0</v>
      </c>
      <c r="AC143" s="151">
        <f>Calcs!DD389</f>
        <v>0</v>
      </c>
      <c r="AD143" s="151">
        <f>SUM(R143:AC143)</f>
        <v>0</v>
      </c>
      <c r="AE143" s="151">
        <f>Calcs!DE389</f>
        <v>0</v>
      </c>
      <c r="AF143" s="151">
        <f>Calcs!DF389</f>
        <v>0</v>
      </c>
      <c r="AG143" s="151">
        <f>Calcs!DG389</f>
        <v>0</v>
      </c>
      <c r="AH143" s="151">
        <f>Calcs!DH389</f>
        <v>0</v>
      </c>
      <c r="AI143" s="151">
        <f>Calcs!DI389</f>
        <v>0</v>
      </c>
      <c r="AJ143" s="151">
        <f>Calcs!DJ389</f>
        <v>0</v>
      </c>
      <c r="AK143" s="151">
        <f>Calcs!DK389</f>
        <v>0</v>
      </c>
      <c r="AL143" s="151">
        <f>Calcs!DL389</f>
        <v>0</v>
      </c>
      <c r="AM143" s="151">
        <f>Calcs!DM389</f>
        <v>0</v>
      </c>
      <c r="AN143" s="151">
        <f>Calcs!DN389</f>
        <v>0</v>
      </c>
      <c r="AO143" s="151">
        <f>Calcs!DO389</f>
        <v>0</v>
      </c>
      <c r="AP143" s="151">
        <f>Calcs!DP389</f>
        <v>0</v>
      </c>
      <c r="AQ143" s="151">
        <f>SUM(AE143:AP143)</f>
        <v>0</v>
      </c>
      <c r="AR143" s="151">
        <f>Calcs!DQ389</f>
        <v>0</v>
      </c>
      <c r="AS143" s="151">
        <f>Calcs!DR389</f>
        <v>0</v>
      </c>
      <c r="AT143" s="151">
        <f>Calcs!DS389</f>
        <v>0</v>
      </c>
      <c r="AU143" s="151">
        <f>Calcs!DT389</f>
        <v>0</v>
      </c>
      <c r="AV143" s="151">
        <f>Calcs!DU389</f>
        <v>0</v>
      </c>
      <c r="AW143" s="151">
        <f>Calcs!DV389</f>
        <v>0</v>
      </c>
      <c r="AX143" s="151">
        <f>Calcs!DW389</f>
        <v>0</v>
      </c>
      <c r="AY143" s="151">
        <f>Calcs!DX389</f>
        <v>0</v>
      </c>
      <c r="AZ143" s="151">
        <f>Calcs!DY389</f>
        <v>0</v>
      </c>
      <c r="BA143" s="151">
        <f>Calcs!DZ389</f>
        <v>0</v>
      </c>
      <c r="BB143" s="151">
        <f>Calcs!EA389</f>
        <v>0</v>
      </c>
      <c r="BC143" s="151">
        <f>Calcs!EB389</f>
        <v>0</v>
      </c>
      <c r="BD143" s="151">
        <f>SUM(AR143:BC143)</f>
        <v>0</v>
      </c>
      <c r="BE143" s="151">
        <f>Calcs!EC389</f>
        <v>0</v>
      </c>
      <c r="BF143" s="151">
        <f>Calcs!ED389</f>
        <v>0</v>
      </c>
      <c r="BG143" s="151">
        <f>Calcs!EE389</f>
        <v>0</v>
      </c>
      <c r="BH143" s="151">
        <f>Calcs!EF389</f>
        <v>0</v>
      </c>
      <c r="BI143" s="151">
        <f>Calcs!EG389</f>
        <v>0</v>
      </c>
      <c r="BJ143" s="151">
        <f>Calcs!EH389</f>
        <v>0</v>
      </c>
      <c r="BK143" s="151">
        <f>Calcs!EI389</f>
        <v>0</v>
      </c>
      <c r="BL143" s="151">
        <f>Calcs!EJ389</f>
        <v>0</v>
      </c>
      <c r="BM143" s="151">
        <f>Calcs!EK389</f>
        <v>0</v>
      </c>
      <c r="BN143" s="151">
        <f>Calcs!EL389</f>
        <v>0</v>
      </c>
      <c r="BO143" s="151">
        <f>Calcs!EM389</f>
        <v>0</v>
      </c>
      <c r="BP143" s="151">
        <f>Calcs!EN389</f>
        <v>0</v>
      </c>
      <c r="BQ143" s="151">
        <f>SUM(BE143:BP143)</f>
        <v>0</v>
      </c>
      <c r="BR143" s="1802"/>
      <c r="BS143" s="153">
        <v>1</v>
      </c>
      <c r="BT143" s="1802"/>
      <c r="BU143" s="153">
        <f>SUM(BQ143,BD143,AQ143,AD143,Q143)</f>
      </c>
      <c r="BV143" s="158" t="s">
        <v>297</v>
      </c>
      <c r="BW143" s="96">
        <f>SUM(Financials!E143:'Financials'!G143)</f>
        <v>0</v>
      </c>
      <c r="BX143" s="96">
        <f>SUM(Financials!H143:'Financials'!J143)</f>
        <v>0</v>
      </c>
      <c r="BY143" s="96">
        <f>SUM(Financials!K143:'Financials'!M143)</f>
        <v>0</v>
      </c>
      <c r="BZ143" s="96">
        <f>SUM(Financials!N143:'Financials'!P143)</f>
        <v>0</v>
      </c>
      <c r="CA143" s="151">
        <f>SUM(Financials!R143:'Financials'!T143)</f>
        <v>0</v>
      </c>
      <c r="CB143" s="151">
        <f>SUM(Financials!U143:'Financials'!W143)</f>
        <v>0</v>
      </c>
      <c r="CC143" s="151">
        <f>SUM(Financials!X143:'Financials'!Z143)</f>
        <v>0</v>
      </c>
      <c r="CD143" s="151">
        <f>SUM(Financials!AA143:'Financials'!AC143)</f>
        <v>0</v>
      </c>
      <c r="CE143" s="151">
        <f>SUM(Financials!AE143:'Financials'!AG143)</f>
        <v>0</v>
      </c>
      <c r="CF143" s="151">
        <f>SUM(Financials!AH143:'Financials'!AJ143)</f>
        <v>0</v>
      </c>
      <c r="CG143" s="151">
        <f>SUM(Financials!AK143:'Financials'!AM143)</f>
        <v>0</v>
      </c>
      <c r="CH143" s="151">
        <f>SUM(Financials!AN143:'Financials'!AP143)</f>
        <v>0</v>
      </c>
      <c r="CI143" s="151">
        <f>SUM(Financials!AR143:'Financials'!AT143)</f>
        <v>0</v>
      </c>
      <c r="CJ143" s="151">
        <f>SUM(Financials!AU143:'Financials'!AW143)</f>
        <v>0</v>
      </c>
      <c r="CK143" s="151">
        <f>SUM(Financials!AX143:'Financials'!AZ143)</f>
        <v>0</v>
      </c>
      <c r="CL143" s="151">
        <f>SUM(Financials!BA143:'Financials'!BC143)</f>
        <v>0</v>
      </c>
      <c r="CM143" s="151">
        <f>SUM(Financials!BE143:'Financials'!BG143)</f>
        <v>0</v>
      </c>
      <c r="CN143" s="151">
        <f>SUM(Financials!BH143:'Financials'!BJ143)</f>
        <v>0</v>
      </c>
      <c r="CO143" s="151">
        <f>SUM(Financials!BK143:'Financials'!BM143)</f>
        <v>0</v>
      </c>
      <c r="CP143" s="151">
        <f>SUM(Financials!BN143:'Financials'!BP143)</f>
        <v>0</v>
      </c>
      <c r="CY143" s="305"/>
      <c r="CZ143" s="305"/>
      <c r="DA143" s="305"/>
      <c r="DB143" s="305"/>
      <c r="DC143" s="305"/>
      <c r="DD143" s="305"/>
      <c r="DE143" s="305"/>
      <c r="DF143" s="305"/>
      <c r="DG143" s="305"/>
      <c r="DH143" s="305"/>
      <c r="DI143" s="305"/>
      <c r="DJ143" s="305"/>
      <c r="DK143" s="305"/>
      <c r="DL143" s="305"/>
      <c r="DM143" s="305"/>
      <c r="DN143" s="305"/>
      <c r="DO143" s="305"/>
      <c r="DP143" s="305"/>
      <c r="DQ143" s="305"/>
      <c r="DR143" s="305"/>
      <c r="DS143" s="305"/>
      <c r="DT143" s="305"/>
      <c r="DU143" s="305"/>
      <c r="DV143" s="305"/>
      <c r="DW143" s="305"/>
      <c r="DX143" s="305"/>
      <c r="DY143" s="305"/>
      <c r="DZ143" s="305"/>
      <c r="EA143" s="305"/>
      <c r="EB143" s="305"/>
      <c r="EC143" s="305"/>
      <c r="ED143" s="305"/>
      <c r="EE143" s="305"/>
      <c r="EF143" s="305"/>
      <c r="EG143" s="305"/>
      <c r="EH143" s="305"/>
      <c r="EI143" s="305"/>
      <c r="EJ143" s="305"/>
      <c r="EK143" s="305"/>
      <c r="EL143" s="305"/>
      <c r="EM143" s="305"/>
      <c r="EN143" s="305"/>
      <c r="EO143" s="305"/>
      <c r="EP143" s="305"/>
      <c r="EQ143" s="305"/>
      <c r="ER143" s="305"/>
      <c r="ES143" s="305"/>
      <c r="ET143" s="305"/>
      <c r="EU143" s="305"/>
      <c r="EV143" s="305"/>
      <c r="EW143" s="305"/>
      <c r="EX143" s="305"/>
      <c r="EY143" s="305"/>
      <c r="EZ143" s="305"/>
      <c r="FA143" s="305"/>
      <c r="FB143" s="305"/>
      <c r="FC143" s="305"/>
      <c r="FD143" s="305"/>
      <c r="FE143" s="305"/>
      <c r="FF143" s="305"/>
      <c r="FG143" s="305"/>
      <c r="FH143" s="305"/>
      <c r="FI143" s="305"/>
      <c r="FJ143" s="305"/>
    </row>
    <row r="144" spans="1:166" ht="7.5" customHeight="1" x14ac:dyDescent="0.35">
      <c r="A144" s="136"/>
      <c r="B144" s="136"/>
      <c r="C144" s="136"/>
      <c r="D144" s="152"/>
      <c r="E144" s="175">
        <f>SUM(E140:E143)</f>
        <v>0</v>
      </c>
      <c r="F144" s="175">
        <f>SUM(F140:F143)</f>
        <v>0</v>
      </c>
      <c r="G144" s="175">
        <f>SUM(G140:G143)</f>
        <v>0</v>
      </c>
      <c r="H144" s="176">
        <f>SUM(H140:H143)</f>
        <v>0</v>
      </c>
      <c r="I144" s="176">
        <f>SUM(I140:I143)</f>
        <v>0</v>
      </c>
      <c r="J144" s="176">
        <f>SUM(J140:J143)</f>
        <v>0</v>
      </c>
      <c r="K144" s="176">
        <f>SUM(K140:K143)</f>
        <v>0</v>
      </c>
      <c r="L144" s="176">
        <f>SUM(L140:L143)</f>
        <v>0</v>
      </c>
      <c r="M144" s="176">
        <f>SUM(M140:M143)</f>
        <v>0</v>
      </c>
      <c r="N144" s="176">
        <f>SUM(N140:N143)</f>
        <v>0</v>
      </c>
      <c r="O144" s="176">
        <f>SUM(O140:O143)</f>
        <v>0</v>
      </c>
      <c r="P144" s="176">
        <f>SUM(P140:P143)</f>
        <v>0</v>
      </c>
      <c r="Q144" s="176">
        <f>SUM(Q140:Q143)</f>
        <v>0</v>
      </c>
      <c r="R144" s="176">
        <f>SUM(R140:R143)</f>
        <v>0</v>
      </c>
      <c r="S144" s="176">
        <f>SUM(S140:S143)</f>
        <v>0</v>
      </c>
      <c r="T144" s="176">
        <f>SUM(T140:T143)</f>
        <v>0</v>
      </c>
      <c r="U144" s="176">
        <f>SUM(U140:U143)</f>
        <v>0</v>
      </c>
      <c r="V144" s="176">
        <f>SUM(V140:V143)</f>
        <v>0</v>
      </c>
      <c r="W144" s="176">
        <f>SUM(W140:W143)</f>
        <v>0</v>
      </c>
      <c r="X144" s="176">
        <f>SUM(X140:X143)</f>
        <v>0</v>
      </c>
      <c r="Y144" s="176">
        <f>SUM(Y140:Y143)</f>
        <v>0</v>
      </c>
      <c r="Z144" s="176">
        <f>SUM(Z140:Z143)</f>
        <v>0</v>
      </c>
      <c r="AA144" s="176">
        <f>SUM(AA140:AA143)</f>
        <v>0</v>
      </c>
      <c r="AB144" s="176">
        <f>SUM(AB140:AB143)</f>
        <v>0</v>
      </c>
      <c r="AC144" s="176">
        <f>SUM(AC140:AC143)</f>
        <v>0</v>
      </c>
      <c r="AD144" s="176">
        <f>SUM(AD140:AD143)</f>
        <v>0</v>
      </c>
      <c r="AE144" s="176">
        <f>SUM(AE140:AE143)</f>
        <v>0</v>
      </c>
      <c r="AF144" s="176">
        <f>SUM(AF140:AF143)</f>
        <v>0</v>
      </c>
      <c r="AG144" s="176">
        <f>SUM(AG140:AG143)</f>
        <v>0</v>
      </c>
      <c r="AH144" s="176">
        <f>SUM(AH140:AH143)</f>
        <v>0</v>
      </c>
      <c r="AI144" s="176">
        <f>SUM(AI140:AI143)</f>
        <v>0</v>
      </c>
      <c r="AJ144" s="176">
        <f>SUM(AJ140:AJ143)</f>
        <v>0</v>
      </c>
      <c r="AK144" s="176">
        <f>SUM(AK140:AK143)</f>
        <v>0</v>
      </c>
      <c r="AL144" s="176">
        <f>SUM(AL140:AL143)</f>
        <v>0</v>
      </c>
      <c r="AM144" s="176">
        <f>SUM(AM140:AM143)</f>
        <v>0</v>
      </c>
      <c r="AN144" s="176">
        <f>SUM(AN140:AN143)</f>
        <v>0</v>
      </c>
      <c r="AO144" s="176">
        <f>SUM(AO140:AO143)</f>
        <v>0</v>
      </c>
      <c r="AP144" s="176">
        <f>SUM(AP140:AP143)</f>
        <v>0</v>
      </c>
      <c r="AQ144" s="176">
        <f>SUM(AQ140:AQ143)</f>
        <v>0</v>
      </c>
      <c r="AR144" s="176">
        <f>SUM(AR140:AR143)</f>
        <v>0</v>
      </c>
      <c r="AS144" s="176">
        <f>SUM(AS140:AS143)</f>
        <v>0</v>
      </c>
      <c r="AT144" s="176">
        <f>SUM(AT140:AT143)</f>
        <v>0</v>
      </c>
      <c r="AU144" s="176">
        <f>SUM(AU140:AU143)</f>
        <v>0</v>
      </c>
      <c r="AV144" s="176">
        <f>SUM(AV140:AV143)</f>
        <v>0</v>
      </c>
      <c r="AW144" s="176">
        <f>SUM(AW140:AW143)</f>
        <v>0</v>
      </c>
      <c r="AX144" s="176">
        <f>SUM(AX140:AX143)</f>
        <v>0</v>
      </c>
      <c r="AY144" s="176">
        <f>SUM(AY140:AY143)</f>
        <v>0</v>
      </c>
      <c r="AZ144" s="176">
        <f>SUM(AZ140:AZ143)</f>
        <v>0</v>
      </c>
      <c r="BA144" s="176">
        <f>SUM(BA140:BA143)</f>
        <v>0</v>
      </c>
      <c r="BB144" s="176">
        <f>SUM(BB140:BB143)</f>
        <v>0</v>
      </c>
      <c r="BC144" s="176">
        <f>SUM(BC140:BC143)</f>
        <v>0</v>
      </c>
      <c r="BD144" s="176">
        <f>SUM(BD140:BD143)</f>
        <v>0</v>
      </c>
      <c r="BE144" s="176">
        <f>SUM(BE140:BE143)</f>
        <v>0</v>
      </c>
      <c r="BF144" s="176">
        <f>SUM(BF140:BF143)</f>
        <v>0</v>
      </c>
      <c r="BG144" s="176">
        <f>SUM(BG140:BG143)</f>
        <v>0</v>
      </c>
      <c r="BH144" s="176">
        <f>SUM(BH140:BH143)</f>
        <v>0</v>
      </c>
      <c r="BI144" s="176">
        <f>SUM(BI140:BI143)</f>
        <v>0</v>
      </c>
      <c r="BJ144" s="176">
        <f>SUM(BJ140:BJ143)</f>
        <v>0</v>
      </c>
      <c r="BK144" s="176">
        <f>SUM(BK140:BK143)</f>
        <v>0</v>
      </c>
      <c r="BL144" s="176">
        <f>SUM(BL140:BL143)</f>
        <v>0</v>
      </c>
      <c r="BM144" s="176">
        <f>SUM(BM140:BM143)</f>
        <v>0</v>
      </c>
      <c r="BN144" s="176">
        <f>SUM(BN140:BN143)</f>
        <v>0</v>
      </c>
      <c r="BO144" s="176">
        <f>SUM(BO140:BO143)</f>
        <v>0</v>
      </c>
      <c r="BP144" s="176">
        <f>SUM(BP140:BP143)</f>
        <v>0</v>
      </c>
      <c r="BQ144" s="176">
        <f>SUM(BQ140:BQ143)</f>
        <v>0</v>
      </c>
      <c r="BR144" s="260"/>
      <c r="BS144" s="153">
        <v>1</v>
      </c>
      <c r="BT144" s="260"/>
      <c r="BU144" s="175">
        <f>SUM(BU140:BU143)</f>
        <v>102</v>
      </c>
      <c r="BV144" s="158"/>
      <c r="BW144" s="175">
        <f>SUM(BW140:BW143)</f>
        <v>0</v>
      </c>
      <c r="BX144" s="175">
        <f>SUM(BX140:BX143)</f>
        <v>0</v>
      </c>
      <c r="BY144" s="175">
        <f>SUM(BY140:BY143)</f>
        <v>0</v>
      </c>
      <c r="BZ144" s="175">
        <f>SUM(BZ140:BZ143)</f>
        <v>0</v>
      </c>
      <c r="CA144" s="175">
        <f>SUM(CA140:CA143)</f>
        <v>0</v>
      </c>
      <c r="CB144" s="176">
        <f>SUM(CB140:CB143)</f>
        <v>0</v>
      </c>
      <c r="CC144" s="176">
        <f>SUM(CC140:CC143)</f>
        <v>0</v>
      </c>
      <c r="CD144" s="176">
        <f>SUM(CD140:CD143)</f>
        <v>0</v>
      </c>
      <c r="CE144" s="176">
        <f>SUM(CE140:CE143)</f>
        <v>0</v>
      </c>
      <c r="CF144" s="176">
        <f>SUM(CF140:CF143)</f>
        <v>0</v>
      </c>
      <c r="CG144" s="176">
        <f>SUM(CG140:CG143)</f>
        <v>0</v>
      </c>
      <c r="CH144" s="176">
        <f>SUM(CH140:CH143)</f>
        <v>0</v>
      </c>
      <c r="CI144" s="176">
        <f>SUM(CI140:CI143)</f>
        <v>0</v>
      </c>
      <c r="CJ144" s="176">
        <f>SUM(CJ140:CJ143)</f>
        <v>0</v>
      </c>
      <c r="CK144" s="176">
        <f>SUM(CK140:CK143)</f>
        <v>0</v>
      </c>
      <c r="CL144" s="176">
        <f>SUM(CL140:CL143)</f>
        <v>0</v>
      </c>
      <c r="CM144" s="176">
        <f>SUM(CM140:CM143)</f>
        <v>0</v>
      </c>
      <c r="CN144" s="176">
        <f>SUM(CN140:CN143)</f>
        <v>0</v>
      </c>
      <c r="CO144" s="176">
        <f>SUM(CO140:CO143)</f>
        <v>0</v>
      </c>
      <c r="CP144" s="176">
        <f>SUM(CP140:CP143)</f>
        <v>0</v>
      </c>
    </row>
    <row r="145" spans="1:94" ht="12.75" customHeight="1" thickBot="1" x14ac:dyDescent="0.4">
      <c r="A145" s="136"/>
      <c r="B145" s="136"/>
      <c r="C145" s="136"/>
      <c r="D145" s="142" t="s">
        <v>298</v>
      </c>
      <c r="E145" s="177">
        <f>IF(Input!$DC$5="C Corp",E138-E140-E141-E142-E143,E138-E140-E142-E143)</f>
        <v>0</v>
      </c>
      <c r="F145" s="177">
        <f>IF(Input!$DC$5="C Corp",F138-F140-F141-F142-F143,F138-F140-F142-F143)</f>
        <v>0</v>
      </c>
      <c r="G145" s="177">
        <f>IF(Input!$DC$5="C Corp",G138-G140-G141-G142-G143,G138-G140-G142-G143)</f>
        <v>0</v>
      </c>
      <c r="H145" s="177">
        <f>IF(Input!$DC$5="C Corp",H138-H140-H141-H142-H143,H138-H140-H142-H143)</f>
        <v>0</v>
      </c>
      <c r="I145" s="177">
        <f>IF(Input!$DC$5="C Corp",I138-I140-I141-I142-I143,I138-I140-I142-I143)</f>
        <v>0</v>
      </c>
      <c r="J145" s="177">
        <f>IF(Input!$DC$5="C Corp",J138-J140-J141-J142-J143,J138-J140-J142-J143)</f>
        <v>0</v>
      </c>
      <c r="K145" s="177">
        <f>IF(Input!$DC$5="C Corp",K138-K140-K141-K142-K143,K138-K140-K142-K143)</f>
        <v>0</v>
      </c>
      <c r="L145" s="177">
        <f>IF(Input!$DC$5="C Corp",L138-L140-L141-L142-L143,L138-L140-L142-L143)</f>
        <v>0</v>
      </c>
      <c r="M145" s="177">
        <f>IF(Input!$DC$5="C Corp",M138-M140-M141-M142-M143,M138-M140-M142-M143)</f>
        <v>0</v>
      </c>
      <c r="N145" s="177">
        <f>IF(Input!$DC$5="C Corp",N138-N140-N141-N142-N143,N138-N140-N142-N143)</f>
        <v>0</v>
      </c>
      <c r="O145" s="177">
        <f>IF(Input!$DC$5="C Corp",O138-O140-O141-O142-O143,O138-O140-O142-O143)</f>
        <v>0</v>
      </c>
      <c r="P145" s="177">
        <f>IF(Input!$DC$5="C Corp",P138-P140-P141-P142-P143,P138-P140-P142-P143)</f>
        <v>0</v>
      </c>
      <c r="Q145" s="177">
        <f>IF(Input!$DC$5="C Corp",Q138-Q140-Q141-Q142-Q143,Q138-Q140-Q142-Q143)</f>
        <v>0</v>
      </c>
      <c r="R145" s="177">
        <f>IF(Input!$DC$5="C Corp",R138-R140-R141-R142-R143,R138-R140-R142-R143)</f>
        <v>0</v>
      </c>
      <c r="S145" s="177">
        <f>IF(Input!$DC$5="C Corp",S138-S140-S141-S142-S143,S138-S140-S142-S143)</f>
        <v>0</v>
      </c>
      <c r="T145" s="177">
        <f>IF(Input!$DC$5="C Corp",T138-T140-T141-T142-T143,T138-T140-T142-T143)</f>
        <v>0</v>
      </c>
      <c r="U145" s="177">
        <f>IF(Input!$DC$5="C Corp",U138-U140-U141-U142-U143,U138-U140-U142-U143)</f>
        <v>0</v>
      </c>
      <c r="V145" s="177">
        <f>IF(Input!$DC$5="C Corp",V138-V140-V141-V142-V143,V138-V140-V142-V143)</f>
        <v>0</v>
      </c>
      <c r="W145" s="177">
        <f>IF(Input!$DC$5="C Corp",W138-W140-W141-W142-W143,W138-W140-W142-W143)</f>
        <v>0</v>
      </c>
      <c r="X145" s="177">
        <f>IF(Input!$DC$5="C Corp",X138-X140-X141-X142-X143,X138-X140-X142-X143)</f>
        <v>0</v>
      </c>
      <c r="Y145" s="177">
        <f>IF(Input!$DC$5="C Corp",Y138-Y140-Y141-Y142-Y143,Y138-Y140-Y142-Y143)</f>
        <v>0</v>
      </c>
      <c r="Z145" s="177">
        <f>IF(Input!$DC$5="C Corp",Z138-Z140-Z141-Z142-Z143,Z138-Z140-Z142-Z143)</f>
        <v>0</v>
      </c>
      <c r="AA145" s="177">
        <f>IF(Input!$DC$5="C Corp",AA138-AA140-AA141-AA142-AA143,AA138-AA140-AA142-AA143)</f>
        <v>0</v>
      </c>
      <c r="AB145" s="177">
        <f>IF(Input!$DC$5="C Corp",AB138-AB140-AB141-AB142-AB143,AB138-AB140-AB142-AB143)</f>
        <v>0</v>
      </c>
      <c r="AC145" s="177">
        <f>IF(Input!$DC$5="C Corp",AC138-AC140-AC141-AC142-AC143,AC138-AC140-AC142-AC143)</f>
        <v>0</v>
      </c>
      <c r="AD145" s="177">
        <f>IF(Input!$DC$5="C Corp",AD138-AD140-AD141-AD142-AD143,AD138-AD140-AD142-AD143)</f>
        <v>0</v>
      </c>
      <c r="AE145" s="177">
        <f>IF(Input!$DC$5="C Corp",AE138-AE140-AE141-AE142-AE143,AE138-AE140-AE142-AE143)</f>
        <v>0</v>
      </c>
      <c r="AF145" s="177">
        <f>IF(Input!$DC$5="C Corp",AF138-AF140-AF141-AF142-AF143,AF138-AF140-AF142-AF143)</f>
        <v>0</v>
      </c>
      <c r="AG145" s="177">
        <f>IF(Input!$DC$5="C Corp",AG138-AG140-AG141-AG142-AG143,AG138-AG140-AG142-AG143)</f>
        <v>0</v>
      </c>
      <c r="AH145" s="177">
        <f>IF(Input!$DC$5="C Corp",AH138-AH140-AH141-AH142-AH143,AH138-AH140-AH142-AH143)</f>
        <v>0</v>
      </c>
      <c r="AI145" s="177">
        <f>IF(Input!$DC$5="C Corp",AI138-AI140-AI141-AI142-AI143,AI138-AI140-AI142-AI143)</f>
        <v>0</v>
      </c>
      <c r="AJ145" s="177">
        <f>IF(Input!$DC$5="C Corp",AJ138-AJ140-AJ141-AJ142-AJ143,AJ138-AJ140-AJ142-AJ143)</f>
        <v>0</v>
      </c>
      <c r="AK145" s="177">
        <f>IF(Input!$DC$5="C Corp",AK138-AK140-AK141-AK142-AK143,AK138-AK140-AK142-AK143)</f>
        <v>0</v>
      </c>
      <c r="AL145" s="177">
        <f>IF(Input!$DC$5="C Corp",AL138-AL140-AL141-AL142-AL143,AL138-AL140-AL142-AL143)</f>
        <v>0</v>
      </c>
      <c r="AM145" s="177">
        <f>IF(Input!$DC$5="C Corp",AM138-AM140-AM141-AM142-AM143,AM138-AM140-AM142-AM143)</f>
        <v>0</v>
      </c>
      <c r="AN145" s="177">
        <f>IF(Input!$DC$5="C Corp",AN138-AN140-AN141-AN142-AN143,AN138-AN140-AN142-AN143)</f>
        <v>0</v>
      </c>
      <c r="AO145" s="177">
        <f>IF(Input!$DC$5="C Corp",AO138-AO140-AO141-AO142-AO143,AO138-AO140-AO142-AO143)</f>
        <v>0</v>
      </c>
      <c r="AP145" s="177">
        <f>IF(Input!$DC$5="C Corp",AP138-AP140-AP141-AP142-AP143,AP138-AP140-AP142-AP143)</f>
        <v>0</v>
      </c>
      <c r="AQ145" s="177">
        <f>IF(Input!$DC$5="C Corp",AQ138-AQ140-AQ141-AQ142-AQ143,AQ138-AQ140-AQ142-AQ143)</f>
        <v>0</v>
      </c>
      <c r="AR145" s="177">
        <f>IF(Input!$DC$5="C Corp",AR138-AR140-AR141-AR142-AR143,AR138-AR140-AR142-AR143)</f>
        <v>0</v>
      </c>
      <c r="AS145" s="177">
        <f>IF(Input!$DC$5="C Corp",AS138-AS140-AS141-AS142-AS143,AS138-AS140-AS142-AS143)</f>
        <v>0</v>
      </c>
      <c r="AT145" s="177">
        <f>IF(Input!$DC$5="C Corp",AT138-AT140-AT141-AT142-AT143,AT138-AT140-AT142-AT143)</f>
        <v>0</v>
      </c>
      <c r="AU145" s="177">
        <f>IF(Input!$DC$5="C Corp",AU138-AU140-AU141-AU142-AU143,AU138-AU140-AU142-AU143)</f>
        <v>0</v>
      </c>
      <c r="AV145" s="177">
        <f>IF(Input!$DC$5="C Corp",AV138-AV140-AV141-AV142-AV143,AV138-AV140-AV142-AV143)</f>
        <v>0</v>
      </c>
      <c r="AW145" s="177">
        <f>IF(Input!$DC$5="C Corp",AW138-AW140-AW141-AW142-AW143,AW138-AW140-AW142-AW143)</f>
        <v>0</v>
      </c>
      <c r="AX145" s="177">
        <f>IF(Input!$DC$5="C Corp",AX138-AX140-AX141-AX142-AX143,AX138-AX140-AX142-AX143)</f>
        <v>0</v>
      </c>
      <c r="AY145" s="177">
        <f>IF(Input!$DC$5="C Corp",AY138-AY140-AY141-AY142-AY143,AY138-AY140-AY142-AY143)</f>
        <v>0</v>
      </c>
      <c r="AZ145" s="177">
        <f>IF(Input!$DC$5="C Corp",AZ138-AZ140-AZ141-AZ142-AZ143,AZ138-AZ140-AZ142-AZ143)</f>
        <v>0</v>
      </c>
      <c r="BA145" s="177">
        <f>IF(Input!$DC$5="C Corp",BA138-BA140-BA141-BA142-BA143,BA138-BA140-BA142-BA143)</f>
        <v>0</v>
      </c>
      <c r="BB145" s="177">
        <f>IF(Input!$DC$5="C Corp",BB138-BB140-BB141-BB142-BB143,BB138-BB140-BB142-BB143)</f>
        <v>0</v>
      </c>
      <c r="BC145" s="177">
        <f>IF(Input!$DC$5="C Corp",BC138-BC140-BC141-BC142-BC143,BC138-BC140-BC142-BC143)</f>
        <v>0</v>
      </c>
      <c r="BD145" s="177">
        <f>IF(Input!$DC$5="C Corp",BD138-BD140-BD141-BD142-BD143,BD138-BD140-BD142-BD143)</f>
        <v>0</v>
      </c>
      <c r="BE145" s="177">
        <f>IF(Input!$DC$5="C Corp",BE138-BE140-BE141-BE142-BE143,BE138-BE140-BE142-BE143)</f>
        <v>0</v>
      </c>
      <c r="BF145" s="177">
        <f>IF(Input!$DC$5="C Corp",BF138-BF140-BF141-BF142-BF143,BF138-BF140-BF142-BF143)</f>
        <v>0</v>
      </c>
      <c r="BG145" s="177">
        <f>IF(Input!$DC$5="C Corp",BG138-BG140-BG141-BG142-BG143,BG138-BG140-BG142-BG143)</f>
        <v>0</v>
      </c>
      <c r="BH145" s="177">
        <f>IF(Input!$DC$5="C Corp",BH138-BH140-BH141-BH142-BH143,BH138-BH140-BH142-BH143)</f>
        <v>0</v>
      </c>
      <c r="BI145" s="177">
        <f>IF(Input!$DC$5="C Corp",BI138-BI140-BI141-BI142-BI143,BI138-BI140-BI142-BI143)</f>
        <v>0</v>
      </c>
      <c r="BJ145" s="177">
        <f>IF(Input!$DC$5="C Corp",BJ138-BJ140-BJ141-BJ142-BJ143,BJ138-BJ140-BJ142-BJ143)</f>
        <v>0</v>
      </c>
      <c r="BK145" s="177">
        <f>IF(Input!$DC$5="C Corp",BK138-BK140-BK141-BK142-BK143,BK138-BK140-BK142-BK143)</f>
        <v>0</v>
      </c>
      <c r="BL145" s="177">
        <f>IF(Input!$DC$5="C Corp",BL138-BL140-BL141-BL142-BL143,BL138-BL140-BL142-BL143)</f>
        <v>0</v>
      </c>
      <c r="BM145" s="177">
        <f>IF(Input!$DC$5="C Corp",BM138-BM140-BM141-BM142-BM143,BM138-BM140-BM142-BM143)</f>
        <v>0</v>
      </c>
      <c r="BN145" s="177">
        <f>IF(Input!$DC$5="C Corp",BN138-BN140-BN141-BN142-BN143,BN138-BN140-BN142-BN143)</f>
        <v>0</v>
      </c>
      <c r="BO145" s="177">
        <f>IF(Input!$DC$5="C Corp",BO138-BO140-BO141-BO142-BO143,BO138-BO140-BO142-BO143)</f>
        <v>0</v>
      </c>
      <c r="BP145" s="177">
        <f>IF(Input!$DC$5="C Corp",BP138-BP140-BP141-BP142-BP143,BP138-BP140-BP142-BP143)</f>
        <v>0</v>
      </c>
      <c r="BQ145" s="177">
        <f>IF(Input!$DC$5="C Corp",BQ138-BQ140-BQ141-BQ142-BQ143,BQ138-BQ140-BQ142-BQ143)</f>
        <v>0</v>
      </c>
      <c r="BR145" s="257"/>
      <c r="BS145" s="153">
        <v>1</v>
      </c>
      <c r="BT145" s="257"/>
      <c r="BU145" s="156">
        <f>BU138-BU140-BU141-BU142-BU143</f>
        <v>-102</v>
      </c>
      <c r="BV145" s="138" t="s">
        <v>298</v>
      </c>
      <c r="BW145" s="177">
        <f>BW138-BW140-BW141-BW142-BW143</f>
        <v>0</v>
      </c>
      <c r="BX145" s="177">
        <f>BX138-BX140-BX141-BX142-BX143</f>
        <v>0</v>
      </c>
      <c r="BY145" s="177">
        <f>BY138-BY140-BY141-BY142-BY143</f>
        <v>0</v>
      </c>
      <c r="BZ145" s="177">
        <f>BZ138-BZ140-BZ141-BZ142-BZ143</f>
        <v>0</v>
      </c>
      <c r="CA145" s="159">
        <f>CA138-CA140-CA141-CA142-CA143</f>
        <v>0</v>
      </c>
      <c r="CB145" s="159">
        <f>CB138-CB140-CB141-CB142-CB143</f>
        <v>0</v>
      </c>
      <c r="CC145" s="159">
        <f>CC138-CC140-CC141-CC142-CC143</f>
        <v>0</v>
      </c>
      <c r="CD145" s="159">
        <f>CD138-CD140-CD141-CD142-CD143</f>
        <v>0</v>
      </c>
      <c r="CE145" s="159">
        <f>CE138-CE140-CE141-CE142-CE143</f>
        <v>0</v>
      </c>
      <c r="CF145" s="159">
        <f>CF138-CF140-CF141-CF142-CF143</f>
        <v>0</v>
      </c>
      <c r="CG145" s="159">
        <f>CG138-CG140-CG141-CG142-CG143</f>
        <v>0</v>
      </c>
      <c r="CH145" s="159">
        <f>CH138-CH140-CH141-CH142-CH143</f>
        <v>0</v>
      </c>
      <c r="CI145" s="159">
        <f>CI138-CI140-CI141-CI142-CI143</f>
        <v>0</v>
      </c>
      <c r="CJ145" s="159">
        <f>CJ138-CJ140-CJ141-CJ142-CJ143</f>
        <v>0</v>
      </c>
      <c r="CK145" s="159">
        <f>CK138-CK140-CK141-CK142-CK143</f>
        <v>0</v>
      </c>
      <c r="CL145" s="159">
        <f>CL138-CL140-CL141-CL142-CL143</f>
        <v>0</v>
      </c>
      <c r="CM145" s="159">
        <f>CM138-CM140-CM141-CM142-CM143</f>
        <v>0</v>
      </c>
      <c r="CN145" s="159">
        <f>CN138-CN140-CN141-CN142-CN143</f>
        <v>0</v>
      </c>
      <c r="CO145" s="159">
        <f>CO138-CO140-CO141-CO142-CO143</f>
        <v>0</v>
      </c>
      <c r="CP145" s="159">
        <f>CP138-CP140-CP141-CP142-CP143</f>
        <v>0</v>
      </c>
    </row>
    <row r="146" spans="1:94" ht="12.75" customHeight="1" thickTop="1" x14ac:dyDescent="0.35">
      <c r="A146" s="136"/>
      <c r="B146" s="136"/>
      <c r="C146" s="136"/>
      <c r="D146" s="152"/>
      <c r="E146" s="157" t="str">
        <f>IF(AND(E$33&lt;&gt;0,,E145&gt;0),E145/E$33,"")</f>
        <v/>
      </c>
      <c r="F146" s="157" t="str">
        <f>IF(AND(F$33&lt;&gt;0,,F145&gt;0),F145/F$33,"")</f>
        <v/>
      </c>
      <c r="G146" s="157" t="str">
        <f>IF(AND(G$33&lt;&gt;0,,G145&gt;0),G145/G$33,"")</f>
        <v/>
      </c>
      <c r="H146" s="157" t="str">
        <f>IF(AND(H$33&lt;&gt;0,,H145&gt;0),H145/H$33,"")</f>
        <v/>
      </c>
      <c r="I146" s="157" t="str">
        <f>IF(AND(I$33&lt;&gt;0,,I145&gt;0),I145/I$33,"")</f>
        <v/>
      </c>
      <c r="J146" s="157" t="str">
        <f>IF(AND(J$33&lt;&gt;0,,J145&gt;0),J145/J$33,"")</f>
        <v/>
      </c>
      <c r="K146" s="157" t="str">
        <f>IF(AND(K$33&lt;&gt;0,,K145&gt;0),K145/K$33,"")</f>
        <v/>
      </c>
      <c r="L146" s="157" t="str">
        <f>IF(AND(L$33&lt;&gt;0,,L145&gt;0),L145/L$33,"")</f>
        <v/>
      </c>
      <c r="M146" s="157" t="str">
        <f>IF(AND(M$33&lt;&gt;0,,M145&gt;0),M145/M$33,"")</f>
        <v/>
      </c>
      <c r="N146" s="157" t="str">
        <f>IF(AND(N$33&lt;&gt;0,,N145&gt;0),N145/N$33,"")</f>
        <v/>
      </c>
      <c r="O146" s="157" t="str">
        <f>IF(AND(O$33&lt;&gt;0,,O145&gt;0),O145/O$33,"")</f>
        <v/>
      </c>
      <c r="P146" s="157" t="str">
        <f>IF(AND(P$33&lt;&gt;0,,P145&gt;0),P145/P$33,"")</f>
        <v/>
      </c>
      <c r="Q146" s="157" t="str">
        <f>IF(AND(Q$33&lt;&gt;0,,Q145&gt;0),Q145/Q$33,"")</f>
        <v/>
      </c>
      <c r="R146" s="157" t="str">
        <f>IF(AND(R$33&lt;&gt;0,,R145&gt;0),R145/R$33,"")</f>
        <v/>
      </c>
      <c r="S146" s="157" t="str">
        <f>IF(AND(S$33&lt;&gt;0,,S145&gt;0),S145/S$33,"")</f>
        <v/>
      </c>
      <c r="T146" s="157" t="str">
        <f>IF(AND(T$33&lt;&gt;0,,T145&gt;0),T145/T$33,"")</f>
        <v/>
      </c>
      <c r="U146" s="157" t="str">
        <f>IF(AND(U$33&lt;&gt;0,,U145&gt;0),U145/U$33,"")</f>
        <v/>
      </c>
      <c r="V146" s="157" t="str">
        <f>IF(AND(V$33&lt;&gt;0,,V145&gt;0),V145/V$33,"")</f>
        <v/>
      </c>
      <c r="W146" s="157" t="str">
        <f>IF(AND(W$33&lt;&gt;0,,W145&gt;0),W145/W$33,"")</f>
        <v/>
      </c>
      <c r="X146" s="157" t="str">
        <f>IF(AND(X$33&lt;&gt;0,,X145&gt;0),X145/X$33,"")</f>
        <v/>
      </c>
      <c r="Y146" s="157" t="str">
        <f>IF(AND(Y$33&lt;&gt;0,,Y145&gt;0),Y145/Y$33,"")</f>
        <v/>
      </c>
      <c r="Z146" s="157" t="str">
        <f>IF(AND(Z$33&lt;&gt;0,,Z145&gt;0),Z145/Z$33,"")</f>
        <v/>
      </c>
      <c r="AA146" s="157" t="str">
        <f>IF(AND(AA$33&lt;&gt;0,,AA145&gt;0),AA145/AA$33,"")</f>
        <v/>
      </c>
      <c r="AB146" s="157" t="str">
        <f>IF(AND(AB$33&lt;&gt;0,,AB145&gt;0),AB145/AB$33,"")</f>
        <v/>
      </c>
      <c r="AC146" s="157" t="str">
        <f>IF(AND(AC$33&lt;&gt;0,,AC145&gt;0),AC145/AC$33,"")</f>
        <v/>
      </c>
      <c r="AD146" s="157" t="str">
        <f>IF(AND(AD$33&lt;&gt;0,,AD145&gt;0),AD145/AD$33,"")</f>
        <v/>
      </c>
      <c r="AE146" s="157" t="str">
        <f>IF(AND(AE$33&lt;&gt;0,,AE145&gt;0),AE145/AE$33,"")</f>
        <v/>
      </c>
      <c r="AF146" s="157" t="str">
        <f>IF(AND(AF$33&lt;&gt;0,,AF145&gt;0),AF145/AF$33,"")</f>
        <v/>
      </c>
      <c r="AG146" s="157" t="str">
        <f>IF(AND(AG$33&lt;&gt;0,,AG145&gt;0),AG145/AG$33,"")</f>
        <v/>
      </c>
      <c r="AH146" s="157" t="str">
        <f>IF(AND(AH$33&lt;&gt;0,,AH145&gt;0),AH145/AH$33,"")</f>
        <v/>
      </c>
      <c r="AI146" s="157" t="str">
        <f>IF(AND(AI$33&lt;&gt;0,,AI145&gt;0),AI145/AI$33,"")</f>
        <v/>
      </c>
      <c r="AJ146" s="157" t="str">
        <f>IF(AND(AJ$33&lt;&gt;0,,AJ145&gt;0),AJ145/AJ$33,"")</f>
        <v/>
      </c>
      <c r="AK146" s="157" t="str">
        <f>IF(AND(AK$33&lt;&gt;0,,AK145&gt;0),AK145/AK$33,"")</f>
        <v/>
      </c>
      <c r="AL146" s="157" t="str">
        <f>IF(AND(AL$33&lt;&gt;0,,AL145&gt;0),AL145/AL$33,"")</f>
        <v/>
      </c>
      <c r="AM146" s="157" t="str">
        <f>IF(AND(AM$33&lt;&gt;0,,AM145&gt;0),AM145/AM$33,"")</f>
        <v/>
      </c>
      <c r="AN146" s="157" t="str">
        <f>IF(AND(AN$33&lt;&gt;0,,AN145&gt;0),AN145/AN$33,"")</f>
        <v/>
      </c>
      <c r="AO146" s="157" t="str">
        <f>IF(AND(AO$33&lt;&gt;0,,AO145&gt;0),AO145/AO$33,"")</f>
        <v/>
      </c>
      <c r="AP146" s="157" t="str">
        <f>IF(AND(AP$33&lt;&gt;0,,AP145&gt;0),AP145/AP$33,"")</f>
        <v/>
      </c>
      <c r="AQ146" s="157" t="str">
        <f>IF(AND(AQ$33&lt;&gt;0,,AQ145&gt;0),AQ145/AQ$33,"")</f>
        <v/>
      </c>
      <c r="AR146" s="157" t="str">
        <f>IF(AND(AR$33&lt;&gt;0,,AR145&gt;0),AR145/AR$33,"")</f>
        <v/>
      </c>
      <c r="AS146" s="157" t="str">
        <f>IF(AND(AS$33&lt;&gt;0,,AS145&gt;0),AS145/AS$33,"")</f>
        <v/>
      </c>
      <c r="AT146" s="157" t="str">
        <f>IF(AND(AT$33&lt;&gt;0,,AT145&gt;0),AT145/AT$33,"")</f>
        <v/>
      </c>
      <c r="AU146" s="157" t="str">
        <f>IF(AND(AU$33&lt;&gt;0,,AU145&gt;0),AU145/AU$33,"")</f>
        <v/>
      </c>
      <c r="AV146" s="157" t="str">
        <f>IF(AND(AV$33&lt;&gt;0,,AV145&gt;0),AV145/AV$33,"")</f>
        <v/>
      </c>
      <c r="AW146" s="157" t="str">
        <f>IF(AND(AW$33&lt;&gt;0,,AW145&gt;0),AW145/AW$33,"")</f>
        <v/>
      </c>
      <c r="AX146" s="157" t="str">
        <f>IF(AND(AX$33&lt;&gt;0,,AX145&gt;0),AX145/AX$33,"")</f>
        <v/>
      </c>
      <c r="AY146" s="157" t="str">
        <f>IF(AND(AY$33&lt;&gt;0,,AY145&gt;0),AY145/AY$33,"")</f>
        <v/>
      </c>
      <c r="AZ146" s="157" t="str">
        <f>IF(AND(AZ$33&lt;&gt;0,,AZ145&gt;0),AZ145/AZ$33,"")</f>
        <v/>
      </c>
      <c r="BA146" s="157" t="str">
        <f>IF(AND(BA$33&lt;&gt;0,,BA145&gt;0),BA145/BA$33,"")</f>
        <v/>
      </c>
      <c r="BB146" s="157" t="str">
        <f>IF(AND(BB$33&lt;&gt;0,,BB145&gt;0),BB145/BB$33,"")</f>
        <v/>
      </c>
      <c r="BC146" s="157" t="str">
        <f>IF(AND(BC$33&lt;&gt;0,,BC145&gt;0),BC145/BC$33,"")</f>
        <v/>
      </c>
      <c r="BD146" s="157" t="str">
        <f>IF(AND(BD$33&lt;&gt;0,,BD145&gt;0),BD145/BD$33,"")</f>
        <v/>
      </c>
      <c r="BE146" s="157" t="str">
        <f>IF(AND(BE$33&lt;&gt;0,,BE145&gt;0),BE145/BE$33,"")</f>
        <v/>
      </c>
      <c r="BF146" s="157" t="str">
        <f>IF(AND(BF$33&lt;&gt;0,,BF145&gt;0),BF145/BF$33,"")</f>
        <v/>
      </c>
      <c r="BG146" s="157" t="str">
        <f>IF(AND(BG$33&lt;&gt;0,,BG145&gt;0),BG145/BG$33,"")</f>
        <v/>
      </c>
      <c r="BH146" s="157" t="str">
        <f>IF(AND(BH$33&lt;&gt;0,,BH145&gt;0),BH145/BH$33,"")</f>
        <v/>
      </c>
      <c r="BI146" s="157" t="str">
        <f>IF(AND(BI$33&lt;&gt;0,,BI145&gt;0),BI145/BI$33,"")</f>
        <v/>
      </c>
      <c r="BJ146" s="157" t="str">
        <f>IF(AND(BJ$33&lt;&gt;0,,BJ145&gt;0),BJ145/BJ$33,"")</f>
        <v/>
      </c>
      <c r="BK146" s="157" t="str">
        <f>IF(AND(BK$33&lt;&gt;0,,BK145&gt;0),BK145/BK$33,"")</f>
        <v/>
      </c>
      <c r="BL146" s="157" t="str">
        <f>IF(AND(BL$33&lt;&gt;0,,BL145&gt;0),BL145/BL$33,"")</f>
        <v/>
      </c>
      <c r="BM146" s="157" t="str">
        <f>IF(AND(BM$33&lt;&gt;0,,BM145&gt;0),BM145/BM$33,"")</f>
        <v/>
      </c>
      <c r="BN146" s="157" t="str">
        <f>IF(AND(BN$33&lt;&gt;0,,BN145&gt;0),BN145/BN$33,"")</f>
        <v/>
      </c>
      <c r="BO146" s="157" t="str">
        <f>IF(AND(BO$33&lt;&gt;0,,BO145&gt;0),BO145/BO$33,"")</f>
        <v/>
      </c>
      <c r="BP146" s="157" t="str">
        <f>IF(AND(BP$33&lt;&gt;0,,BP145&gt;0),BP145/BP$33,"")</f>
        <v/>
      </c>
      <c r="BQ146" s="157" t="str">
        <f>IF(AND(BQ$33&lt;&gt;0,,BQ145&gt;0),BQ145/BQ$33,"")</f>
        <v/>
      </c>
      <c r="BR146" s="1802"/>
      <c r="BS146" s="153">
        <v>1</v>
      </c>
      <c r="BT146" s="1802"/>
      <c r="BU146" s="153">
        <f>IF(BU33&lt;&gt;0,BU145/BU33,"")</f>
      </c>
      <c r="BV146" s="158"/>
      <c r="BW146" s="157" t="e">
        <f>IF(AND(BW$33&lt;&gt;0,BW145/BW$33&gt;0,BW145&gt;0),BW145/BW$33,"")</f>
        <v>#DIV/0!</v>
      </c>
      <c r="BX146" s="157" t="e">
        <f>IF(AND(BX$33&lt;&gt;0,BX145/BX$33&gt;0,BX145&gt;0),BX145/BX$33,"")</f>
        <v>#DIV/0!</v>
      </c>
      <c r="BY146" s="157" t="e">
        <f>IF(AND(BY$33&lt;&gt;0,BY145/BY$33&gt;0,BY145&gt;0),BY145/BY$33,"")</f>
        <v>#DIV/0!</v>
      </c>
      <c r="BZ146" s="157" t="e">
        <f>IF(AND(BZ$33&lt;&gt;0,BZ145/BZ$33&gt;0,BZ145&gt;0),BZ145/BZ$33,"")</f>
        <v>#DIV/0!</v>
      </c>
      <c r="CA146" s="157" t="e">
        <f>IF(AND(CA$33&lt;&gt;0,CA145/CA$33&gt;0,CA145&gt;0),CA145/CA$33,"")</f>
        <v>#DIV/0!</v>
      </c>
      <c r="CB146" s="157" t="e">
        <f>IF(AND(CB$33&lt;&gt;0,CB145/CB$33&gt;0,CB145&gt;0),CB145/CB$33,"")</f>
        <v>#DIV/0!</v>
      </c>
      <c r="CC146" s="157" t="e">
        <f>IF(AND(CC$33&lt;&gt;0,CC145/CC$33&gt;0,CC145&gt;0),CC145/CC$33,"")</f>
        <v>#DIV/0!</v>
      </c>
      <c r="CD146" s="157" t="e">
        <f>IF(AND(CD$33&lt;&gt;0,CD145/CD$33&gt;0,CD145&gt;0),CD145/CD$33,"")</f>
        <v>#DIV/0!</v>
      </c>
      <c r="CE146" s="157" t="e">
        <f>IF(AND(CE$33&lt;&gt;0,CE145/CE$33&gt;0,CE145&gt;0),CE145/CE$33,"")</f>
        <v>#DIV/0!</v>
      </c>
      <c r="CF146" s="157" t="e">
        <f>IF(AND(CF$33&lt;&gt;0,CF145/CF$33&gt;0,CF145&gt;0),CF145/CF$33,"")</f>
        <v>#DIV/0!</v>
      </c>
      <c r="CG146" s="157" t="e">
        <f>IF(AND(CG$33&lt;&gt;0,CG145/CG$33&gt;0,CG145&gt;0),CG145/CG$33,"")</f>
        <v>#DIV/0!</v>
      </c>
      <c r="CH146" s="157" t="e">
        <f>IF(AND(CH$33&lt;&gt;0,CH145/CH$33&gt;0,CH145&gt;0),CH145/CH$33,"")</f>
        <v>#DIV/0!</v>
      </c>
      <c r="CI146" s="157" t="e">
        <f>IF(AND(CI$33&lt;&gt;0,CI145/CI$33&gt;0,CI145&gt;0),CI145/CI$33,"")</f>
        <v>#DIV/0!</v>
      </c>
      <c r="CJ146" s="157" t="e">
        <f>IF(AND(CJ$33&lt;&gt;0,CJ145/CJ$33&gt;0,CJ145&gt;0),CJ145/CJ$33,"")</f>
        <v>#DIV/0!</v>
      </c>
      <c r="CK146" s="157" t="e">
        <f>IF(AND(CK$33&lt;&gt;0,CK145/CK$33&gt;0,CK145&gt;0),CK145/CK$33,"")</f>
        <v>#DIV/0!</v>
      </c>
      <c r="CL146" s="157" t="e">
        <f>IF(AND(CL$33&lt;&gt;0,CL145/CL$33&gt;0,CL145&gt;0),CL145/CL$33,"")</f>
        <v>#DIV/0!</v>
      </c>
      <c r="CM146" s="157" t="e">
        <f>IF(AND(CM$33&lt;&gt;0,CM145/CM$33&gt;0,CM145&gt;0),CM145/CM$33,"")</f>
        <v>#DIV/0!</v>
      </c>
      <c r="CN146" s="157" t="e">
        <f>IF(AND(CN$33&lt;&gt;0,CN145/CN$33&gt;0,CN145&gt;0),CN145/CN$33,"")</f>
        <v>#DIV/0!</v>
      </c>
      <c r="CO146" s="157" t="e">
        <f>IF(AND(CO$33&lt;&gt;0,CO145/CO$33&gt;0,CO145&gt;0),CO145/CO$33,"")</f>
        <v>#DIV/0!</v>
      </c>
      <c r="CP146" s="157" t="e">
        <f>IF(AND(CP$33&lt;&gt;0,CP145/CP$33&gt;0,CP145&gt;0),CP145/CP$33,"")</f>
        <v>#DIV/0!</v>
      </c>
    </row>
    <row r="147" spans="1:94" ht="22.5" customHeight="1" x14ac:dyDescent="0.35">
      <c r="A147" s="136"/>
      <c r="B147" s="136"/>
      <c r="C147" s="1888" t="s">
        <v>9</v>
      </c>
      <c r="D147" s="1888"/>
      <c r="E147" s="178"/>
      <c r="F147" s="178"/>
      <c r="G147" s="178"/>
      <c r="H147" s="178"/>
      <c r="I147" s="178"/>
      <c r="J147" s="178"/>
      <c r="K147" s="178"/>
      <c r="L147" s="178"/>
      <c r="M147" s="178"/>
      <c r="N147" s="178"/>
      <c r="O147" s="178"/>
      <c r="P147" s="178"/>
      <c r="Q147" s="97"/>
      <c r="R147" s="178"/>
      <c r="S147" s="178"/>
      <c r="T147" s="178"/>
      <c r="U147" s="178"/>
      <c r="V147" s="178"/>
      <c r="W147" s="178"/>
      <c r="X147" s="178"/>
      <c r="Y147" s="178"/>
      <c r="Z147" s="178"/>
      <c r="AA147" s="178"/>
      <c r="AB147" s="178"/>
      <c r="AC147" s="178"/>
      <c r="AD147" s="97"/>
      <c r="AE147" s="178"/>
      <c r="AF147" s="178"/>
      <c r="AG147" s="178"/>
      <c r="AH147" s="178"/>
      <c r="AI147" s="178"/>
      <c r="AJ147" s="178"/>
      <c r="AK147" s="178"/>
      <c r="AL147" s="178"/>
      <c r="AM147" s="178"/>
      <c r="AN147" s="178"/>
      <c r="AO147" s="178"/>
      <c r="AP147" s="178"/>
      <c r="AQ147" s="97"/>
      <c r="AR147" s="178"/>
      <c r="AS147" s="178"/>
      <c r="AT147" s="178"/>
      <c r="AU147" s="178"/>
      <c r="AV147" s="178"/>
      <c r="AW147" s="178"/>
      <c r="AX147" s="178"/>
      <c r="AY147" s="178"/>
      <c r="AZ147" s="178"/>
      <c r="BA147" s="178"/>
      <c r="BB147" s="178"/>
      <c r="BC147" s="178"/>
      <c r="BD147" s="97"/>
      <c r="BE147" s="178"/>
      <c r="BF147" s="178"/>
      <c r="BG147" s="178"/>
      <c r="BH147" s="178"/>
      <c r="BI147" s="178"/>
      <c r="BJ147" s="178"/>
      <c r="BK147" s="178"/>
      <c r="BL147" s="178"/>
      <c r="BM147" s="178"/>
      <c r="BN147" s="178"/>
      <c r="BO147" s="178"/>
      <c r="BP147" s="178"/>
      <c r="BQ147" s="97"/>
      <c r="BR147" s="261"/>
      <c r="BS147" s="153">
        <v>1</v>
      </c>
      <c r="BT147" s="261"/>
      <c r="BU147" s="153"/>
      <c r="BV147" s="158"/>
      <c r="BW147" s="152"/>
      <c r="BX147" s="152"/>
      <c r="BY147" s="152"/>
      <c r="BZ147" s="152"/>
      <c r="CA147" s="152"/>
      <c r="CB147" s="152"/>
      <c r="CC147" s="152"/>
      <c r="CD147" s="152"/>
      <c r="CE147" s="152"/>
      <c r="CF147" s="152"/>
      <c r="CG147" s="152"/>
      <c r="CH147" s="152"/>
      <c r="CI147" s="152"/>
      <c r="CJ147" s="152"/>
      <c r="CK147" s="152"/>
      <c r="CL147" s="152"/>
      <c r="CM147" s="172"/>
      <c r="CN147" s="149"/>
      <c r="CO147" s="149"/>
      <c r="CP147" s="149"/>
    </row>
    <row r="148" spans="1:94" ht="27.75" customHeight="1" thickBot="1" x14ac:dyDescent="0.35">
      <c r="A148" s="136"/>
      <c r="B148" s="136"/>
      <c r="C148" s="1888"/>
      <c r="D148" s="1888"/>
      <c r="E148" s="284">
        <f>E3</f>
        <v>0</v>
      </c>
      <c r="F148" s="284">
        <f>F3</f>
        <v>59</v>
      </c>
      <c r="G148" s="284">
        <f>G3</f>
        <v>91</v>
      </c>
      <c r="H148" s="284">
        <f>H3</f>
        <v>121</v>
      </c>
      <c r="I148" s="284">
        <f>I3</f>
        <v>152</v>
      </c>
      <c r="J148" s="284">
        <f>J3</f>
        <v>182</v>
      </c>
      <c r="K148" s="284">
        <f>K3</f>
        <v>213</v>
      </c>
      <c r="L148" s="284">
        <f>L3</f>
        <v>244</v>
      </c>
      <c r="M148" s="284">
        <f>M3</f>
        <v>274</v>
      </c>
      <c r="N148" s="284">
        <f>N3</f>
        <v>305</v>
      </c>
      <c r="O148" s="284">
        <f>O3</f>
        <v>335</v>
      </c>
      <c r="P148" s="284">
        <f>P3</f>
        <v>366</v>
      </c>
      <c r="Q148" s="1260" t="str">
        <f>Q3</f>
        <v>Year 1</v>
      </c>
      <c r="R148" s="284">
        <f>R3</f>
        <v>397</v>
      </c>
      <c r="S148" s="284">
        <f>S3</f>
        <v>425</v>
      </c>
      <c r="T148" s="284">
        <f>T3</f>
        <v>456</v>
      </c>
      <c r="U148" s="284">
        <f>U3</f>
        <v>486</v>
      </c>
      <c r="V148" s="284">
        <f>V3</f>
        <v>517</v>
      </c>
      <c r="W148" s="284">
        <f>W3</f>
        <v>547</v>
      </c>
      <c r="X148" s="284">
        <f>X3</f>
        <v>578</v>
      </c>
      <c r="Y148" s="284">
        <f>Y3</f>
        <v>609</v>
      </c>
      <c r="Z148" s="284">
        <f>Z3</f>
        <v>639</v>
      </c>
      <c r="AA148" s="284">
        <f>AA3</f>
        <v>670</v>
      </c>
      <c r="AB148" s="284">
        <f>AB3</f>
        <v>700</v>
      </c>
      <c r="AC148" s="284">
        <f>AC3</f>
        <v>731</v>
      </c>
      <c r="AD148" s="1260" t="str">
        <f>AD3</f>
        <v>Year 2</v>
      </c>
      <c r="AE148" s="284">
        <f>AE3</f>
        <v>762</v>
      </c>
      <c r="AF148" s="284">
        <f>AF3</f>
        <v>790</v>
      </c>
      <c r="AG148" s="284">
        <f>AG3</f>
        <v>821</v>
      </c>
      <c r="AH148" s="284">
        <f>AH3</f>
        <v>851</v>
      </c>
      <c r="AI148" s="284">
        <f>AI3</f>
        <v>882</v>
      </c>
      <c r="AJ148" s="284">
        <f>AJ3</f>
        <v>912</v>
      </c>
      <c r="AK148" s="284">
        <f>AK3</f>
        <v>943</v>
      </c>
      <c r="AL148" s="284">
        <f>AL3</f>
        <v>974</v>
      </c>
      <c r="AM148" s="284">
        <f>AM3</f>
        <v>1004</v>
      </c>
      <c r="AN148" s="284">
        <f>AN3</f>
        <v>1035</v>
      </c>
      <c r="AO148" s="284">
        <f>AO3</f>
        <v>1065</v>
      </c>
      <c r="AP148" s="284">
        <f>AP3</f>
        <v>1096</v>
      </c>
      <c r="AQ148" s="1260" t="str">
        <f>AQ3</f>
        <v>Year 3</v>
      </c>
      <c r="AR148" s="284">
        <f>AR3</f>
        <v>1127</v>
      </c>
      <c r="AS148" s="284">
        <f>AS3</f>
        <v>1155</v>
      </c>
      <c r="AT148" s="284">
        <f>AT3</f>
        <v>1186</v>
      </c>
      <c r="AU148" s="284">
        <f>AU3</f>
        <v>1216</v>
      </c>
      <c r="AV148" s="284">
        <f>AV3</f>
        <v>1247</v>
      </c>
      <c r="AW148" s="284">
        <f>AW3</f>
        <v>1277</v>
      </c>
      <c r="AX148" s="284">
        <f>AX3</f>
        <v>1308</v>
      </c>
      <c r="AY148" s="284">
        <f>AY3</f>
        <v>1339</v>
      </c>
      <c r="AZ148" s="284">
        <f>AZ3</f>
        <v>1369</v>
      </c>
      <c r="BA148" s="284">
        <f>BA3</f>
        <v>1400</v>
      </c>
      <c r="BB148" s="284">
        <f>BB3</f>
        <v>1430</v>
      </c>
      <c r="BC148" s="284">
        <f>BC3</f>
        <v>1461</v>
      </c>
      <c r="BD148" s="1260" t="str">
        <f>BD3</f>
        <v>Year 4</v>
      </c>
      <c r="BE148" s="284">
        <f>BE3</f>
        <v>1492</v>
      </c>
      <c r="BF148" s="284">
        <f>BF3</f>
        <v>1521</v>
      </c>
      <c r="BG148" s="284">
        <f>BG3</f>
        <v>1552</v>
      </c>
      <c r="BH148" s="284">
        <f>BH3</f>
        <v>1582</v>
      </c>
      <c r="BI148" s="284">
        <f>BI3</f>
        <v>1613</v>
      </c>
      <c r="BJ148" s="284">
        <f>BJ3</f>
        <v>1643</v>
      </c>
      <c r="BK148" s="284">
        <f>BK3</f>
        <v>1674</v>
      </c>
      <c r="BL148" s="284">
        <f>BL3</f>
        <v>1705</v>
      </c>
      <c r="BM148" s="284">
        <f>BM3</f>
        <v>1735</v>
      </c>
      <c r="BN148" s="284">
        <f>BN3</f>
        <v>1766</v>
      </c>
      <c r="BO148" s="284">
        <f>BO3</f>
        <v>1796</v>
      </c>
      <c r="BP148" s="284">
        <f>BP3</f>
        <v>1827</v>
      </c>
      <c r="BQ148" s="1260" t="str">
        <f>BQ3</f>
        <v>Year 5</v>
      </c>
      <c r="BR148" s="261"/>
      <c r="BS148" s="153">
        <v>1</v>
      </c>
      <c r="BT148" s="261"/>
      <c r="BU148" s="115" t="inlineStr">
        <is>
          <t>Total</t>
        </is>
      </c>
      <c r="BV148" s="60" t="s">
        <v>9</v>
      </c>
      <c r="BW148" s="145" t="s">
        <v>299</v>
      </c>
      <c r="BX148" s="145" t="s">
        <v>300</v>
      </c>
      <c r="BY148" s="145" t="s">
        <v>301</v>
      </c>
      <c r="BZ148" s="145" t="s">
        <v>302</v>
      </c>
      <c r="CA148" s="145" t="s">
        <v>303</v>
      </c>
      <c r="CB148" s="145" t="s">
        <v>304</v>
      </c>
      <c r="CC148" s="145" t="s">
        <v>305</v>
      </c>
      <c r="CD148" s="145" t="s">
        <v>306</v>
      </c>
      <c r="CE148" s="145" t="s">
        <v>307</v>
      </c>
      <c r="CF148" s="145" t="s">
        <v>308</v>
      </c>
      <c r="CG148" s="145" t="s">
        <v>309</v>
      </c>
      <c r="CH148" s="145" t="s">
        <v>310</v>
      </c>
      <c r="CI148" s="145" t="s">
        <v>311</v>
      </c>
      <c r="CJ148" s="145" t="s">
        <v>312</v>
      </c>
      <c r="CK148" s="145" t="s">
        <v>313</v>
      </c>
      <c r="CL148" s="145" t="s">
        <v>314</v>
      </c>
      <c r="CM148" s="145" t="s">
        <v>315</v>
      </c>
      <c r="CN148" s="145" t="s">
        <v>316</v>
      </c>
      <c r="CO148" s="145" t="s">
        <v>317</v>
      </c>
      <c r="CP148" s="145" t="s">
        <v>318</v>
      </c>
    </row>
    <row r="149" spans="1:94" ht="12.75" customHeight="1" x14ac:dyDescent="0.35">
      <c r="A149" s="136"/>
      <c r="B149" s="136"/>
      <c r="C149" s="136"/>
      <c r="D149" s="142" t="str">
        <f>IF(Infrastructure!AN31=Infrastructure!AO31,"Operating Activities","Operating Activities - Hidden Rows with Values")</f>
        <v>Operating Activities</v>
      </c>
      <c r="E149" s="109"/>
      <c r="F149" s="109"/>
      <c r="G149" s="97"/>
      <c r="H149" s="97"/>
      <c r="I149" s="97"/>
      <c r="J149" s="97"/>
      <c r="K149" s="97"/>
      <c r="L149" s="97"/>
      <c r="M149" s="97"/>
      <c r="N149" s="97"/>
      <c r="O149" s="97"/>
      <c r="P149" s="97"/>
      <c r="Q149" s="97"/>
      <c r="R149" s="97"/>
      <c r="S149" s="97"/>
      <c r="T149" s="97"/>
      <c r="U149" s="97"/>
      <c r="V149" s="97"/>
      <c r="W149" s="97"/>
      <c r="X149" s="97"/>
      <c r="Y149" s="97"/>
      <c r="Z149" s="97"/>
      <c r="AA149" s="97"/>
      <c r="AB149" s="97"/>
      <c r="AC149" s="97"/>
      <c r="AD149" s="97"/>
      <c r="AE149" s="97"/>
      <c r="AF149" s="97"/>
      <c r="AG149" s="97"/>
      <c r="AH149" s="97"/>
      <c r="AI149" s="97"/>
      <c r="AJ149" s="97"/>
      <c r="AK149" s="97"/>
      <c r="AL149" s="97"/>
      <c r="AM149" s="97"/>
      <c r="AN149" s="97"/>
      <c r="AO149" s="97"/>
      <c r="AP149" s="97"/>
      <c r="AQ149" s="97"/>
      <c r="AR149" s="97"/>
      <c r="AS149" s="97"/>
      <c r="AT149" s="97"/>
      <c r="AU149" s="97"/>
      <c r="AV149" s="97"/>
      <c r="AW149" s="97"/>
      <c r="AX149" s="97"/>
      <c r="AY149" s="97"/>
      <c r="AZ149" s="97"/>
      <c r="BA149" s="97"/>
      <c r="BB149" s="97"/>
      <c r="BC149" s="97"/>
      <c r="BD149" s="97"/>
      <c r="BE149" s="97"/>
      <c r="BF149" s="97"/>
      <c r="BG149" s="97"/>
      <c r="BH149" s="97"/>
      <c r="BI149" s="97"/>
      <c r="BJ149" s="97"/>
      <c r="BK149" s="97"/>
      <c r="BL149" s="97"/>
      <c r="BM149" s="97"/>
      <c r="BN149" s="97"/>
      <c r="BO149" s="97"/>
      <c r="BP149" s="97"/>
      <c r="BQ149" s="97"/>
      <c r="BR149" s="261"/>
      <c r="BS149" s="153">
        <v>1</v>
      </c>
      <c r="BT149" s="261"/>
      <c r="BU149" s="115"/>
      <c r="BV149" s="138" t="s">
        <v>20</v>
      </c>
      <c r="BW149" s="109"/>
      <c r="BX149" s="109"/>
      <c r="BY149" s="109"/>
      <c r="BZ149" s="109"/>
      <c r="CA149" s="97"/>
      <c r="CB149" s="97"/>
      <c r="CC149" s="97"/>
      <c r="CD149" s="97"/>
      <c r="CE149" s="97"/>
      <c r="CF149" s="97"/>
      <c r="CG149" s="97"/>
      <c r="CH149" s="97"/>
      <c r="CI149" s="97"/>
      <c r="CJ149" s="97"/>
      <c r="CK149" s="97"/>
      <c r="CL149" s="97"/>
      <c r="CM149" s="97"/>
      <c r="CN149" s="97"/>
      <c r="CO149" s="97"/>
      <c r="CP149" s="97"/>
    </row>
    <row r="150" spans="1:94" ht="5.15" customHeight="1" x14ac:dyDescent="0.35">
      <c r="A150" s="136"/>
      <c r="B150" s="136"/>
      <c r="C150" s="136"/>
      <c r="D150" s="152"/>
      <c r="E150" s="110"/>
      <c r="F150" s="110"/>
      <c r="G150" s="96"/>
      <c r="H150" s="96"/>
      <c r="I150" s="96"/>
      <c r="J150" s="96"/>
      <c r="K150" s="96"/>
      <c r="L150" s="96"/>
      <c r="M150" s="96"/>
      <c r="N150" s="96"/>
      <c r="O150" s="96"/>
      <c r="P150" s="96"/>
      <c r="Q150" s="96"/>
      <c r="R150" s="96"/>
      <c r="S150" s="96"/>
      <c r="T150" s="96"/>
      <c r="U150" s="96"/>
      <c r="V150" s="96"/>
      <c r="W150" s="96"/>
      <c r="X150" s="96"/>
      <c r="Y150" s="96"/>
      <c r="Z150" s="96"/>
      <c r="AA150" s="96"/>
      <c r="AB150" s="96"/>
      <c r="AC150" s="96"/>
      <c r="AD150" s="96"/>
      <c r="AE150" s="96"/>
      <c r="AF150" s="96"/>
      <c r="AG150" s="96"/>
      <c r="AH150" s="96"/>
      <c r="AI150" s="96"/>
      <c r="AJ150" s="96"/>
      <c r="AK150" s="96"/>
      <c r="AL150" s="96"/>
      <c r="AM150" s="96"/>
      <c r="AN150" s="96"/>
      <c r="AO150" s="96"/>
      <c r="AP150" s="96"/>
      <c r="AQ150" s="96"/>
      <c r="AR150" s="96"/>
      <c r="AS150" s="96"/>
      <c r="AT150" s="96"/>
      <c r="AU150" s="96"/>
      <c r="AV150" s="96"/>
      <c r="AW150" s="96"/>
      <c r="AX150" s="96"/>
      <c r="AY150" s="96"/>
      <c r="AZ150" s="96"/>
      <c r="BA150" s="96"/>
      <c r="BB150" s="96"/>
      <c r="BC150" s="96"/>
      <c r="BD150" s="96"/>
      <c r="BE150" s="96"/>
      <c r="BF150" s="96"/>
      <c r="BG150" s="96"/>
      <c r="BH150" s="96"/>
      <c r="BI150" s="96"/>
      <c r="BJ150" s="96"/>
      <c r="BK150" s="96"/>
      <c r="BL150" s="96"/>
      <c r="BM150" s="96"/>
      <c r="BN150" s="96"/>
      <c r="BO150" s="96"/>
      <c r="BP150" s="96"/>
      <c r="BQ150" s="96"/>
      <c r="BR150" s="1569"/>
      <c r="BS150" s="153">
        <v>1</v>
      </c>
      <c r="BT150" s="1569"/>
      <c r="BU150" s="113"/>
      <c r="BV150" s="158"/>
      <c r="BW150" s="110"/>
      <c r="BX150" s="110"/>
      <c r="BY150" s="110"/>
      <c r="BZ150" s="110"/>
      <c r="CA150" s="96"/>
      <c r="CB150" s="96"/>
      <c r="CC150" s="96"/>
      <c r="CD150" s="96"/>
      <c r="CE150" s="96"/>
      <c r="CF150" s="96"/>
      <c r="CG150" s="96"/>
      <c r="CH150" s="96"/>
      <c r="CI150" s="96"/>
      <c r="CJ150" s="96"/>
      <c r="CK150" s="96"/>
      <c r="CL150" s="96"/>
      <c r="CM150" s="96"/>
      <c r="CN150" s="96"/>
      <c r="CO150" s="96"/>
      <c r="CP150" s="96"/>
    </row>
    <row r="151" spans="1:94" ht="12.75" customHeight="1" x14ac:dyDescent="0.35">
      <c r="A151" s="136"/>
      <c r="B151" s="136"/>
      <c r="C151" s="136"/>
      <c r="D151" s="142" t="s">
        <v>7</v>
      </c>
      <c r="E151" s="110">
        <f>Financials!E145</f>
        <v>0</v>
      </c>
      <c r="F151" s="110">
        <f>Financials!F145</f>
        <v>0</v>
      </c>
      <c r="G151" s="96">
        <f>Financials!G145</f>
        <v>0</v>
      </c>
      <c r="H151" s="96">
        <f>Financials!H145</f>
        <v>0</v>
      </c>
      <c r="I151" s="96">
        <f>Financials!I145</f>
        <v>0</v>
      </c>
      <c r="J151" s="96">
        <f>Financials!J145</f>
        <v>0</v>
      </c>
      <c r="K151" s="96">
        <f>Financials!K145</f>
        <v>0</v>
      </c>
      <c r="L151" s="96">
        <f>Financials!L145</f>
        <v>0</v>
      </c>
      <c r="M151" s="96">
        <f>Financials!M145</f>
        <v>0</v>
      </c>
      <c r="N151" s="96">
        <f>Financials!N145</f>
        <v>0</v>
      </c>
      <c r="O151" s="96">
        <f>Financials!O145</f>
        <v>0</v>
      </c>
      <c r="P151" s="96">
        <f>Financials!P145</f>
        <v>0</v>
      </c>
      <c r="Q151" s="151">
        <f>SUM(E151:P151)</f>
        <v>0</v>
      </c>
      <c r="R151" s="96">
        <f>Financials!R145</f>
        <v>0</v>
      </c>
      <c r="S151" s="96">
        <f>Financials!S145</f>
        <v>0</v>
      </c>
      <c r="T151" s="96">
        <f>Financials!T145</f>
        <v>0</v>
      </c>
      <c r="U151" s="96">
        <f>Financials!U145</f>
        <v>0</v>
      </c>
      <c r="V151" s="96">
        <f>Financials!V145</f>
        <v>0</v>
      </c>
      <c r="W151" s="96">
        <f>Financials!W145</f>
        <v>0</v>
      </c>
      <c r="X151" s="96">
        <f>Financials!X145</f>
        <v>0</v>
      </c>
      <c r="Y151" s="96">
        <f>Financials!Y145</f>
        <v>0</v>
      </c>
      <c r="Z151" s="96">
        <f>Financials!Z145</f>
        <v>0</v>
      </c>
      <c r="AA151" s="96">
        <f>Financials!AA145</f>
        <v>0</v>
      </c>
      <c r="AB151" s="96">
        <f>Financials!AB145</f>
        <v>0</v>
      </c>
      <c r="AC151" s="96">
        <f>Financials!AC145</f>
        <v>0</v>
      </c>
      <c r="AD151" s="96">
        <f>SUM(R151:AC151)</f>
        <v>0</v>
      </c>
      <c r="AE151" s="96">
        <f>Financials!AE145</f>
        <v>0</v>
      </c>
      <c r="AF151" s="96">
        <f>Financials!AF145</f>
        <v>0</v>
      </c>
      <c r="AG151" s="96">
        <f>Financials!AG145</f>
        <v>0</v>
      </c>
      <c r="AH151" s="96">
        <f>Financials!AH145</f>
        <v>0</v>
      </c>
      <c r="AI151" s="96">
        <f>Financials!AI145</f>
        <v>0</v>
      </c>
      <c r="AJ151" s="96">
        <f>Financials!AJ145</f>
        <v>0</v>
      </c>
      <c r="AK151" s="96">
        <f>Financials!AK145</f>
        <v>0</v>
      </c>
      <c r="AL151" s="96">
        <f>Financials!AL145</f>
        <v>0</v>
      </c>
      <c r="AM151" s="96">
        <f>Financials!AM145</f>
        <v>0</v>
      </c>
      <c r="AN151" s="96">
        <f>Financials!AN145</f>
        <v>0</v>
      </c>
      <c r="AO151" s="96">
        <f>Financials!AO145</f>
        <v>0</v>
      </c>
      <c r="AP151" s="96">
        <f>Financials!AP145</f>
        <v>0</v>
      </c>
      <c r="AQ151" s="96">
        <f>SUM(AE151:AP151)</f>
        <v>0</v>
      </c>
      <c r="AR151" s="96">
        <f>Financials!AR145</f>
        <v>0</v>
      </c>
      <c r="AS151" s="96">
        <f>Financials!AS145</f>
        <v>0</v>
      </c>
      <c r="AT151" s="96">
        <f>Financials!AT145</f>
        <v>0</v>
      </c>
      <c r="AU151" s="96">
        <f>Financials!AU145</f>
        <v>0</v>
      </c>
      <c r="AV151" s="96">
        <f>Financials!AV145</f>
        <v>0</v>
      </c>
      <c r="AW151" s="96">
        <f>Financials!AW145</f>
        <v>0</v>
      </c>
      <c r="AX151" s="96">
        <f>Financials!AX145</f>
        <v>0</v>
      </c>
      <c r="AY151" s="96">
        <f>Financials!AY145</f>
        <v>0</v>
      </c>
      <c r="AZ151" s="96">
        <f>Financials!AZ145</f>
        <v>0</v>
      </c>
      <c r="BA151" s="96">
        <f>Financials!BA145</f>
        <v>0</v>
      </c>
      <c r="BB151" s="96">
        <f>Financials!BB145</f>
        <v>0</v>
      </c>
      <c r="BC151" s="96">
        <f>Financials!BC145</f>
        <v>0</v>
      </c>
      <c r="BD151" s="96">
        <f>SUM(AR151:BC151)</f>
        <v>0</v>
      </c>
      <c r="BE151" s="96">
        <f>Financials!BE145</f>
        <v>0</v>
      </c>
      <c r="BF151" s="96">
        <f>Financials!BF145</f>
        <v>0</v>
      </c>
      <c r="BG151" s="96">
        <f>Financials!BG145</f>
        <v>0</v>
      </c>
      <c r="BH151" s="96">
        <f>Financials!BH145</f>
        <v>0</v>
      </c>
      <c r="BI151" s="96">
        <f>Financials!BI145</f>
        <v>0</v>
      </c>
      <c r="BJ151" s="96">
        <f>Financials!BJ145</f>
        <v>0</v>
      </c>
      <c r="BK151" s="96">
        <f>Financials!BK145</f>
        <v>0</v>
      </c>
      <c r="BL151" s="96">
        <f>Financials!BL145</f>
        <v>0</v>
      </c>
      <c r="BM151" s="96">
        <f>Financials!BM145</f>
        <v>0</v>
      </c>
      <c r="BN151" s="96">
        <f>Financials!BN145</f>
        <v>0</v>
      </c>
      <c r="BO151" s="96">
        <f>Financials!BO145</f>
        <v>0</v>
      </c>
      <c r="BP151" s="96">
        <f>Financials!BP145</f>
        <v>0</v>
      </c>
      <c r="BQ151" s="96">
        <f>SUM(BE151:BP151)</f>
        <v>0</v>
      </c>
      <c r="BR151" s="1569"/>
      <c r="BS151" s="153">
        <v>1</v>
      </c>
      <c r="BT151" s="1569"/>
      <c r="BU151" s="113">
        <f>Financials!BU145</f>
        <v>-102</v>
      </c>
      <c r="BV151" s="138" t="s">
        <v>7</v>
      </c>
      <c r="BW151" s="96">
        <f>SUM(Financials!E151:'Financials'!G151)</f>
        <v>0</v>
      </c>
      <c r="BX151" s="96">
        <f>SUM(Financials!H151:'Financials'!J151)</f>
        <v>0</v>
      </c>
      <c r="BY151" s="96">
        <f>SUM(Financials!K151:'Financials'!M151)</f>
        <v>0</v>
      </c>
      <c r="BZ151" s="96">
        <f>SUM(Financials!N151:'Financials'!P151)</f>
        <v>0</v>
      </c>
      <c r="CA151" s="96">
        <f>SUM(Financials!R151:'Financials'!T151)</f>
        <v>0</v>
      </c>
      <c r="CB151" s="96">
        <f>SUM(Financials!U151:'Financials'!W151)</f>
        <v>0</v>
      </c>
      <c r="CC151" s="96">
        <f>SUM(Financials!X151:'Financials'!Z151)</f>
        <v>0</v>
      </c>
      <c r="CD151" s="96">
        <f>SUM(Financials!AA151:'Financials'!AC151)</f>
        <v>0</v>
      </c>
      <c r="CE151" s="96">
        <f>SUM(Financials!AE151:'Financials'!AG151)</f>
        <v>0</v>
      </c>
      <c r="CF151" s="96">
        <f>SUM(Financials!AH151:'Financials'!AJ151)</f>
        <v>0</v>
      </c>
      <c r="CG151" s="96">
        <f>SUM(Financials!AK151:'Financials'!AM151)</f>
        <v>0</v>
      </c>
      <c r="CH151" s="96">
        <f>SUM(Financials!AN151:'Financials'!AP151)</f>
        <v>0</v>
      </c>
      <c r="CI151" s="96">
        <f>SUM(Financials!AR151:'Financials'!AT151)</f>
        <v>0</v>
      </c>
      <c r="CJ151" s="96">
        <f>SUM(Financials!AU151:'Financials'!AW151)</f>
        <v>0</v>
      </c>
      <c r="CK151" s="96">
        <f>SUM(Financials!AX151:'Financials'!AZ151)</f>
        <v>0</v>
      </c>
      <c r="CL151" s="96">
        <f>SUM(Financials!BA151:'Financials'!BC151)</f>
        <v>0</v>
      </c>
      <c r="CM151" s="96">
        <f>SUM(Financials!BE151:'Financials'!BG151)</f>
        <v>0</v>
      </c>
      <c r="CN151" s="96">
        <f>SUM(Financials!BH151:'Financials'!BJ151)</f>
        <v>0</v>
      </c>
      <c r="CO151" s="96">
        <f>SUM(Financials!BK151:'Financials'!BM151)</f>
        <v>0</v>
      </c>
      <c r="CP151" s="96">
        <f>SUM(Financials!BN151:'Financials'!BP151)</f>
        <v>0</v>
      </c>
    </row>
    <row r="152" spans="1:94" ht="12.75" customHeight="1" x14ac:dyDescent="0.35" hidden="1">
      <c r="A152" s="136"/>
      <c r="B152" s="136"/>
      <c r="C152" s="136"/>
      <c r="D152" s="152" t="inlineStr">
        <is>
          <t>Deposits / Other Assets</t>
        </is>
      </c>
      <c r="E152" s="110">
        <f>-SUMIF(Input!$E$1584:$E$1593,"="&amp;E$3,Input!$D$1584:$D$1593)</f>
      </c>
      <c r="F152" s="110">
        <f>-SUMIF(Input!$E$1584:$E$1593,"="&amp;F$3,Input!$D$1584:$D$1593)</f>
      </c>
      <c r="G152" s="96">
        <f>-SUMIF(Input!$E$1584:$E$1593,"="&amp;G$3,Input!$D$1584:$D$1593)</f>
      </c>
      <c r="H152" s="96">
        <f>-SUMIF(Input!$E$1584:$E$1593,"="&amp;H$3,Input!$D$1584:$D$1593)</f>
      </c>
      <c r="I152" s="96">
        <f>-SUMIF(Input!$E$1584:$E$1593,"="&amp;I$3,Input!$D$1584:$D$1593)</f>
      </c>
      <c r="J152" s="96">
        <f>-SUMIF(Input!$E$1584:$E$1593,"="&amp;J$3,Input!$D$1584:$D$1593)</f>
      </c>
      <c r="K152" s="96">
        <f>-SUMIF(Input!$E$1584:$E$1593,"="&amp;K$3,Input!$D$1584:$D$1593)</f>
      </c>
      <c r="L152" s="96">
        <f>-SUMIF(Input!$E$1584:$E$1593,"="&amp;L$3,Input!$D$1584:$D$1593)</f>
      </c>
      <c r="M152" s="96">
        <f>-SUMIF(Input!$E$1584:$E$1593,"="&amp;M$3,Input!$D$1584:$D$1593)</f>
      </c>
      <c r="N152" s="96">
        <f>-SUMIF(Input!$E$1584:$E$1593,"="&amp;N$3,Input!$D$1584:$D$1593)</f>
      </c>
      <c r="O152" s="96">
        <f>-SUMIF(Input!$E$1584:$E$1593,"="&amp;O$3,Input!$D$1584:$D$1593)</f>
      </c>
      <c r="P152" s="96">
        <f>-SUMIF(Input!$E$1584:$E$1593,"="&amp;P$3,Input!$D$1584:$D$1593)</f>
      </c>
      <c r="Q152" s="151">
        <f>SUM(E152:P152)</f>
      </c>
      <c r="R152" s="96">
        <f>-SUMIF(Input!$E$1584:$E$1593,"="&amp;R$3,Input!$D$1584:$D$1593)</f>
      </c>
      <c r="S152" s="96">
        <f>-SUMIF(Input!$E$1584:$E$1593,"="&amp;S$3,Input!$D$1584:$D$1593)</f>
      </c>
      <c r="T152" s="96">
        <f>-SUMIF(Input!$E$1584:$E$1593,"="&amp;T$3,Input!$D$1584:$D$1593)</f>
      </c>
      <c r="U152" s="96">
        <f>-SUMIF(Input!$E$1584:$E$1593,"="&amp;U$3,Input!$D$1584:$D$1593)</f>
      </c>
      <c r="V152" s="96">
        <f>-SUMIF(Input!$E$1584:$E$1593,"="&amp;V$3,Input!$D$1584:$D$1593)</f>
      </c>
      <c r="W152" s="96">
        <f>-SUMIF(Input!$E$1584:$E$1593,"="&amp;W$3,Input!$D$1584:$D$1593)</f>
      </c>
      <c r="X152" s="96">
        <f>-SUMIF(Input!$E$1584:$E$1593,"="&amp;X$3,Input!$D$1584:$D$1593)</f>
      </c>
      <c r="Y152" s="96">
        <f>-SUMIF(Input!$E$1584:$E$1593,"="&amp;Y$3,Input!$D$1584:$D$1593)</f>
      </c>
      <c r="Z152" s="96">
        <f>-SUMIF(Input!$E$1584:$E$1593,"="&amp;Z$3,Input!$D$1584:$D$1593)</f>
      </c>
      <c r="AA152" s="96">
        <f>-SUMIF(Input!$E$1584:$E$1593,"="&amp;AA$3,Input!$D$1584:$D$1593)</f>
      </c>
      <c r="AB152" s="96">
        <f>-SUMIF(Input!$E$1584:$E$1593,"="&amp;AB$3,Input!$D$1584:$D$1593)</f>
      </c>
      <c r="AC152" s="96">
        <f>-SUMIF(Input!$E$1584:$E$1593,"="&amp;AC$3,Input!$D$1584:$D$1593)</f>
      </c>
      <c r="AD152" s="96">
        <f>SUM(R152:AC152)</f>
      </c>
      <c r="AE152" s="96">
        <f>-SUMIF(Input!$E$1584:$E$1593,"="&amp;AE$3,Input!$D$1584:$D$1593)</f>
      </c>
      <c r="AF152" s="96">
        <f>-SUMIF(Input!$E$1584:$E$1593,"="&amp;AF$3,Input!$D$1584:$D$1593)</f>
      </c>
      <c r="AG152" s="96">
        <f>-SUMIF(Input!$E$1584:$E$1593,"="&amp;AG$3,Input!$D$1584:$D$1593)</f>
      </c>
      <c r="AH152" s="96">
        <f>-SUMIF(Input!$E$1584:$E$1593,"="&amp;AH$3,Input!$D$1584:$D$1593)</f>
      </c>
      <c r="AI152" s="96">
        <f>-SUMIF(Input!$E$1584:$E$1593,"="&amp;AI$3,Input!$D$1584:$D$1593)</f>
      </c>
      <c r="AJ152" s="96">
        <f>-SUMIF(Input!$E$1584:$E$1593,"="&amp;AJ$3,Input!$D$1584:$D$1593)</f>
      </c>
      <c r="AK152" s="96">
        <f>-SUMIF(Input!$E$1584:$E$1593,"="&amp;AK$3,Input!$D$1584:$D$1593)</f>
      </c>
      <c r="AL152" s="96">
        <f>-SUMIF(Input!$E$1584:$E$1593,"="&amp;AL$3,Input!$D$1584:$D$1593)</f>
      </c>
      <c r="AM152" s="96">
        <f>-SUMIF(Input!$E$1584:$E$1593,"="&amp;AM$3,Input!$D$1584:$D$1593)</f>
      </c>
      <c r="AN152" s="96">
        <f>-SUMIF(Input!$E$1584:$E$1593,"="&amp;AN$3,Input!$D$1584:$D$1593)</f>
      </c>
      <c r="AO152" s="96">
        <f>-SUMIF(Input!$E$1584:$E$1593,"="&amp;AO$3,Input!$D$1584:$D$1593)</f>
      </c>
      <c r="AP152" s="96">
        <f>-SUMIF(Input!$E$1584:$E$1593,"="&amp;AP$3,Input!$D$1584:$D$1593)</f>
      </c>
      <c r="AQ152" s="96">
        <f>SUM(AE152:AP152)</f>
      </c>
      <c r="AR152" s="96">
        <f>-SUMIF(Input!$E$1584:$E$1593,"="&amp;AR$3,Input!$D$1584:$D$1593)</f>
      </c>
      <c r="AS152" s="96">
        <f>-SUMIF(Input!$E$1584:$E$1593,"="&amp;AS$3,Input!$D$1584:$D$1593)</f>
      </c>
      <c r="AT152" s="96">
        <f>-SUMIF(Input!$E$1584:$E$1593,"="&amp;AT$3,Input!$D$1584:$D$1593)</f>
      </c>
      <c r="AU152" s="96">
        <f>-SUMIF(Input!$E$1584:$E$1593,"="&amp;AU$3,Input!$D$1584:$D$1593)</f>
      </c>
      <c r="AV152" s="96">
        <f>-SUMIF(Input!$E$1584:$E$1593,"="&amp;AV$3,Input!$D$1584:$D$1593)</f>
      </c>
      <c r="AW152" s="96">
        <f>-SUMIF(Input!$E$1584:$E$1593,"="&amp;AW$3,Input!$D$1584:$D$1593)</f>
      </c>
      <c r="AX152" s="96">
        <f>-SUMIF(Input!$E$1584:$E$1593,"="&amp;AX$3,Input!$D$1584:$D$1593)</f>
      </c>
      <c r="AY152" s="96">
        <f>-SUMIF(Input!$E$1584:$E$1593,"="&amp;AY$3,Input!$D$1584:$D$1593)</f>
      </c>
      <c r="AZ152" s="96">
        <f>-SUMIF(Input!$E$1584:$E$1593,"="&amp;AZ$3,Input!$D$1584:$D$1593)</f>
      </c>
      <c r="BA152" s="96">
        <f>-SUMIF(Input!$E$1584:$E$1593,"="&amp;BA$3,Input!$D$1584:$D$1593)</f>
      </c>
      <c r="BB152" s="96">
        <f>-SUMIF(Input!$E$1584:$E$1593,"="&amp;BB$3,Input!$D$1584:$D$1593)</f>
      </c>
      <c r="BC152" s="96">
        <f>-SUMIF(Input!$E$1584:$E$1593,"="&amp;BC$3,Input!$D$1584:$D$1593)</f>
      </c>
      <c r="BD152" s="96">
        <f>SUM(AR152:BC152)</f>
      </c>
      <c r="BE152" s="96">
        <f>-SUMIF(Input!$E$1584:$E$1593,"="&amp;BE$3,Input!$D$1584:$D$1593)</f>
      </c>
      <c r="BF152" s="96">
        <f>-SUMIF(Input!$E$1584:$E$1593,"="&amp;BF$3,Input!$D$1584:$D$1593)</f>
      </c>
      <c r="BG152" s="96">
        <f>-SUMIF(Input!$E$1584:$E$1593,"="&amp;BG$3,Input!$D$1584:$D$1593)</f>
      </c>
      <c r="BH152" s="96">
        <f>-SUMIF(Input!$E$1584:$E$1593,"="&amp;BH$3,Input!$D$1584:$D$1593)</f>
      </c>
      <c r="BI152" s="96">
        <f>-SUMIF(Input!$E$1584:$E$1593,"="&amp;BI$3,Input!$D$1584:$D$1593)</f>
      </c>
      <c r="BJ152" s="96">
        <f>-SUMIF(Input!$E$1584:$E$1593,"="&amp;BJ$3,Input!$D$1584:$D$1593)</f>
      </c>
      <c r="BK152" s="96">
        <f>-SUMIF(Input!$E$1584:$E$1593,"="&amp;BK$3,Input!$D$1584:$D$1593)</f>
      </c>
      <c r="BL152" s="96">
        <f>-SUMIF(Input!$E$1584:$E$1593,"="&amp;BL$3,Input!$D$1584:$D$1593)</f>
      </c>
      <c r="BM152" s="96">
        <f>-SUMIF(Input!$E$1584:$E$1593,"="&amp;BM$3,Input!$D$1584:$D$1593)</f>
      </c>
      <c r="BN152" s="96">
        <f>-SUMIF(Input!$E$1584:$E$1593,"="&amp;BN$3,Input!$D$1584:$D$1593)</f>
      </c>
      <c r="BO152" s="96">
        <f>-SUMIF(Input!$E$1584:$E$1593,"="&amp;BO$3,Input!$D$1584:$D$1593)</f>
      </c>
      <c r="BP152" s="96">
        <f>-SUMIF(Input!$E$1584:$E$1593,"="&amp;BP$3,Input!$D$1584:$D$1593)</f>
      </c>
      <c r="BQ152" s="96">
        <f>SUM(BE152:BP152)</f>
      </c>
      <c r="BR152" s="1569"/>
      <c r="BS152" s="153">
        <v>1</v>
      </c>
      <c r="BT152" s="1569"/>
      <c r="BU152" s="113">
        <f>SUM(BQ152,BD152,AQ152,AD152,Q152)</f>
      </c>
      <c r="BV152" s="158"/>
      <c r="BW152" s="110">
        <f>SUM(Financials!E152:'Financials'!G152)</f>
      </c>
      <c r="BX152" s="110">
        <f>SUM(Financials!H152:'Financials'!J152)</f>
      </c>
      <c r="BY152" s="110">
        <f>SUM(Financials!K152:'Financials'!M152)</f>
      </c>
      <c r="BZ152" s="110">
        <f>SUM(Financials!N152:'Financials'!P152)</f>
      </c>
      <c r="CA152" s="96">
        <f>SUM(Financials!R152:'Financials'!T152)</f>
      </c>
      <c r="CB152" s="96">
        <f>SUM(Financials!U152:'Financials'!W152)</f>
      </c>
      <c r="CC152" s="96">
        <f>SUM(Financials!X152:'Financials'!Z152)</f>
      </c>
      <c r="CD152" s="96">
        <f>SUM(Financials!AA152:'Financials'!AC152)</f>
      </c>
      <c r="CE152" s="96">
        <f>SUM(Financials!AE152:'Financials'!AG152)</f>
      </c>
      <c r="CF152" s="96">
        <f>SUM(Financials!AH152:'Financials'!AJ152)</f>
      </c>
      <c r="CG152" s="96">
        <f>SUM(Financials!AK152:'Financials'!AM152)</f>
      </c>
      <c r="CH152" s="96">
        <f>SUM(Financials!AN152:'Financials'!AP152)</f>
      </c>
      <c r="CI152" s="96">
        <f>SUM(Financials!AR152:'Financials'!AT152)</f>
      </c>
      <c r="CJ152" s="96">
        <f>SUM(Financials!AU152:'Financials'!AW152)</f>
      </c>
      <c r="CK152" s="96">
        <f>SUM(Financials!AX152:'Financials'!AZ152)</f>
      </c>
      <c r="CL152" s="96">
        <f>SUM(Financials!BA152:'Financials'!BC152)</f>
      </c>
      <c r="CM152" s="96">
        <f>SUM(Financials!BE152:'Financials'!BG152)</f>
      </c>
      <c r="CN152" s="96">
        <f>SUM(Financials!BH152:'Financials'!BJ152)</f>
      </c>
      <c r="CO152" s="96">
        <f>SUM(Financials!BK152:'Financials'!BM152)</f>
      </c>
      <c r="CP152" s="96">
        <f>SUM(Financials!BN152:'Financials'!BP152)</f>
      </c>
    </row>
    <row r="153" spans="1:94" ht="12.75" customHeight="1" x14ac:dyDescent="0.35">
      <c r="A153" s="136"/>
      <c r="B153" s="136"/>
      <c r="C153" s="136"/>
      <c r="D153" s="152" t="s">
        <v>296</v>
      </c>
      <c r="E153" s="110">
        <f>Financials!E142</f>
        <v>0</v>
      </c>
      <c r="F153" s="110">
        <f>Financials!F142</f>
        <v>0</v>
      </c>
      <c r="G153" s="96">
        <f>Financials!G142</f>
        <v>0</v>
      </c>
      <c r="H153" s="96">
        <f>Financials!H142</f>
        <v>0</v>
      </c>
      <c r="I153" s="96">
        <f>Financials!I142</f>
        <v>0</v>
      </c>
      <c r="J153" s="96">
        <f>Financials!J142</f>
        <v>0</v>
      </c>
      <c r="K153" s="96">
        <f>Financials!K142</f>
        <v>0</v>
      </c>
      <c r="L153" s="96">
        <f>Financials!L142</f>
        <v>0</v>
      </c>
      <c r="M153" s="96">
        <f>Financials!M142</f>
        <v>0</v>
      </c>
      <c r="N153" s="96">
        <f>Financials!N142</f>
        <v>0</v>
      </c>
      <c r="O153" s="96">
        <f>Financials!O142</f>
        <v>0</v>
      </c>
      <c r="P153" s="96">
        <f>Financials!P142</f>
        <v>0</v>
      </c>
      <c r="Q153" s="151">
        <f>SUM(E153:P153)</f>
        <v>0</v>
      </c>
      <c r="R153" s="96">
        <f>Financials!R142</f>
        <v>0</v>
      </c>
      <c r="S153" s="96">
        <f>Financials!S142</f>
        <v>0</v>
      </c>
      <c r="T153" s="96">
        <f>Financials!T142</f>
        <v>0</v>
      </c>
      <c r="U153" s="96">
        <f>Financials!U142</f>
        <v>0</v>
      </c>
      <c r="V153" s="96">
        <f>Financials!V142</f>
        <v>0</v>
      </c>
      <c r="W153" s="96">
        <f>Financials!W142</f>
        <v>0</v>
      </c>
      <c r="X153" s="96">
        <f>Financials!X142</f>
        <v>0</v>
      </c>
      <c r="Y153" s="96">
        <f>Financials!Y142</f>
        <v>0</v>
      </c>
      <c r="Z153" s="96">
        <f>Financials!Z142</f>
        <v>0</v>
      </c>
      <c r="AA153" s="96">
        <f>Financials!AA142</f>
        <v>0</v>
      </c>
      <c r="AB153" s="96">
        <f>Financials!AB142</f>
        <v>0</v>
      </c>
      <c r="AC153" s="96">
        <f>Financials!AC142</f>
        <v>0</v>
      </c>
      <c r="AD153" s="96">
        <f>SUM(R153:AC153)</f>
        <v>0</v>
      </c>
      <c r="AE153" s="96">
        <f>Financials!AE142</f>
        <v>0</v>
      </c>
      <c r="AF153" s="96">
        <f>Financials!AF142</f>
        <v>0</v>
      </c>
      <c r="AG153" s="96">
        <f>Financials!AG142</f>
        <v>0</v>
      </c>
      <c r="AH153" s="96">
        <f>Financials!AH142</f>
        <v>0</v>
      </c>
      <c r="AI153" s="96">
        <f>Financials!AI142</f>
        <v>0</v>
      </c>
      <c r="AJ153" s="96">
        <f>Financials!AJ142</f>
        <v>0</v>
      </c>
      <c r="AK153" s="96">
        <f>Financials!AK142</f>
        <v>0</v>
      </c>
      <c r="AL153" s="96">
        <f>Financials!AL142</f>
        <v>0</v>
      </c>
      <c r="AM153" s="96">
        <f>Financials!AM142</f>
        <v>0</v>
      </c>
      <c r="AN153" s="96">
        <f>Financials!AN142</f>
        <v>0</v>
      </c>
      <c r="AO153" s="96">
        <f>Financials!AO142</f>
        <v>0</v>
      </c>
      <c r="AP153" s="96">
        <f>Financials!AP142</f>
        <v>0</v>
      </c>
      <c r="AQ153" s="96">
        <f>SUM(AE153:AP153)</f>
        <v>0</v>
      </c>
      <c r="AR153" s="96">
        <f>Financials!AR142</f>
        <v>0</v>
      </c>
      <c r="AS153" s="96">
        <f>Financials!AS142</f>
        <v>0</v>
      </c>
      <c r="AT153" s="96">
        <f>Financials!AT142</f>
        <v>0</v>
      </c>
      <c r="AU153" s="96">
        <f>Financials!AU142</f>
        <v>0</v>
      </c>
      <c r="AV153" s="96">
        <f>Financials!AV142</f>
        <v>0</v>
      </c>
      <c r="AW153" s="96">
        <f>Financials!AW142</f>
        <v>0</v>
      </c>
      <c r="AX153" s="96">
        <f>Financials!AX142</f>
        <v>0</v>
      </c>
      <c r="AY153" s="96">
        <f>Financials!AY142</f>
        <v>0</v>
      </c>
      <c r="AZ153" s="96">
        <f>Financials!AZ142</f>
        <v>0</v>
      </c>
      <c r="BA153" s="96">
        <f>Financials!BA142</f>
        <v>0</v>
      </c>
      <c r="BB153" s="96">
        <f>Financials!BB142</f>
        <v>0</v>
      </c>
      <c r="BC153" s="96">
        <f>Financials!BC142</f>
        <v>0</v>
      </c>
      <c r="BD153" s="96">
        <f>SUM(AR153:BC153)</f>
        <v>0</v>
      </c>
      <c r="BE153" s="96">
        <f>Financials!BE142</f>
        <v>0</v>
      </c>
      <c r="BF153" s="96">
        <f>Financials!BF142</f>
        <v>0</v>
      </c>
      <c r="BG153" s="96">
        <f>Financials!BG142</f>
        <v>0</v>
      </c>
      <c r="BH153" s="96">
        <f>Financials!BH142</f>
        <v>0</v>
      </c>
      <c r="BI153" s="96">
        <f>Financials!BI142</f>
        <v>0</v>
      </c>
      <c r="BJ153" s="96">
        <f>Financials!BJ142</f>
        <v>0</v>
      </c>
      <c r="BK153" s="96">
        <f>Financials!BK142</f>
        <v>0</v>
      </c>
      <c r="BL153" s="96">
        <f>Financials!BL142</f>
        <v>0</v>
      </c>
      <c r="BM153" s="96">
        <f>Financials!BM142</f>
        <v>0</v>
      </c>
      <c r="BN153" s="96">
        <f>Financials!BN142</f>
        <v>0</v>
      </c>
      <c r="BO153" s="96">
        <f>Financials!BO142</f>
        <v>0</v>
      </c>
      <c r="BP153" s="96">
        <f>Financials!BP142</f>
        <v>0</v>
      </c>
      <c r="BQ153" s="96">
        <f>SUM(BE153:BP153)</f>
        <v>0</v>
      </c>
      <c r="BR153" s="1569"/>
      <c r="BS153" s="153">
        <v>1</v>
      </c>
      <c r="BT153" s="1569"/>
      <c r="BU153" s="113">
        <f>Financials!BU142</f>
        <v>51</v>
      </c>
      <c r="BV153" s="158" t="s">
        <v>296</v>
      </c>
      <c r="BW153" s="96">
        <f>SUM(Financials!E153:'Financials'!G153)</f>
        <v>0</v>
      </c>
      <c r="BX153" s="96">
        <f>SUM(Financials!H153:'Financials'!J153)</f>
        <v>0</v>
      </c>
      <c r="BY153" s="96">
        <f>SUM(Financials!K153:'Financials'!M153)</f>
        <v>0</v>
      </c>
      <c r="BZ153" s="96">
        <f>SUM(Financials!N153:'Financials'!P153)</f>
        <v>0</v>
      </c>
      <c r="CA153" s="96">
        <f>SUM(Financials!R153:'Financials'!T153)</f>
        <v>0</v>
      </c>
      <c r="CB153" s="96">
        <f>SUM(Financials!U153:'Financials'!W153)</f>
        <v>0</v>
      </c>
      <c r="CC153" s="96">
        <f>SUM(Financials!X153:'Financials'!Z153)</f>
        <v>0</v>
      </c>
      <c r="CD153" s="96">
        <f>SUM(Financials!AA153:'Financials'!AC153)</f>
        <v>0</v>
      </c>
      <c r="CE153" s="96">
        <f>SUM(Financials!AE153:'Financials'!AG153)</f>
        <v>0</v>
      </c>
      <c r="CF153" s="96">
        <f>SUM(Financials!AH153:'Financials'!AJ153)</f>
        <v>0</v>
      </c>
      <c r="CG153" s="96">
        <f>SUM(Financials!AK153:'Financials'!AM153)</f>
        <v>0</v>
      </c>
      <c r="CH153" s="96">
        <f>SUM(Financials!AN153:'Financials'!AP153)</f>
        <v>0</v>
      </c>
      <c r="CI153" s="96">
        <f>SUM(Financials!AR153:'Financials'!AT153)</f>
        <v>0</v>
      </c>
      <c r="CJ153" s="96">
        <f>SUM(Financials!AU153:'Financials'!AW153)</f>
        <v>0</v>
      </c>
      <c r="CK153" s="96">
        <f>SUM(Financials!AX153:'Financials'!AZ153)</f>
        <v>0</v>
      </c>
      <c r="CL153" s="96">
        <f>SUM(Financials!BA153:'Financials'!BC153)</f>
        <v>0</v>
      </c>
      <c r="CM153" s="96">
        <f>SUM(Financials!BE153:'Financials'!BG153)</f>
        <v>0</v>
      </c>
      <c r="CN153" s="96">
        <f>SUM(Financials!BH153:'Financials'!BJ153)</f>
        <v>0</v>
      </c>
      <c r="CO153" s="96">
        <f>SUM(Financials!BK153:'Financials'!BM153)</f>
        <v>0</v>
      </c>
      <c r="CP153" s="96">
        <f>SUM(Financials!BN153:'Financials'!BP153)</f>
        <v>0</v>
      </c>
    </row>
    <row r="154" spans="1:94" ht="12.75" customHeight="1" x14ac:dyDescent="0.35">
      <c r="A154" s="136"/>
      <c r="B154" s="136"/>
      <c r="C154" s="136"/>
      <c r="D154" s="152" t="s">
        <v>297</v>
      </c>
      <c r="E154" s="110">
        <f>Financials!E143</f>
        <v>0</v>
      </c>
      <c r="F154" s="110">
        <f>Financials!F143</f>
        <v>0</v>
      </c>
      <c r="G154" s="96">
        <f>Financials!G143</f>
        <v>0</v>
      </c>
      <c r="H154" s="96">
        <f>Financials!H143</f>
        <v>0</v>
      </c>
      <c r="I154" s="96">
        <f>Financials!I143</f>
        <v>0</v>
      </c>
      <c r="J154" s="96">
        <f>Financials!J143</f>
        <v>0</v>
      </c>
      <c r="K154" s="96">
        <f>Financials!K143</f>
        <v>0</v>
      </c>
      <c r="L154" s="96">
        <f>Financials!L143</f>
        <v>0</v>
      </c>
      <c r="M154" s="96">
        <f>Financials!M143</f>
        <v>0</v>
      </c>
      <c r="N154" s="96">
        <f>Financials!N143</f>
        <v>0</v>
      </c>
      <c r="O154" s="96">
        <f>Financials!O143</f>
        <v>0</v>
      </c>
      <c r="P154" s="96">
        <f>Financials!P143</f>
        <v>0</v>
      </c>
      <c r="Q154" s="151">
        <f>SUM(E154:P154)</f>
        <v>0</v>
      </c>
      <c r="R154" s="96">
        <f>Financials!R143</f>
        <v>0</v>
      </c>
      <c r="S154" s="96">
        <f>Financials!S143</f>
        <v>0</v>
      </c>
      <c r="T154" s="96">
        <f>Financials!T143</f>
        <v>0</v>
      </c>
      <c r="U154" s="96">
        <f>Financials!U143</f>
        <v>0</v>
      </c>
      <c r="V154" s="96">
        <f>Financials!V143</f>
        <v>0</v>
      </c>
      <c r="W154" s="96">
        <f>Financials!W143</f>
        <v>0</v>
      </c>
      <c r="X154" s="96">
        <f>Financials!X143</f>
        <v>0</v>
      </c>
      <c r="Y154" s="96">
        <f>Financials!Y143</f>
        <v>0</v>
      </c>
      <c r="Z154" s="96">
        <f>Financials!Z143</f>
        <v>0</v>
      </c>
      <c r="AA154" s="96">
        <f>Financials!AA143</f>
        <v>0</v>
      </c>
      <c r="AB154" s="96">
        <f>Financials!AB143</f>
        <v>0</v>
      </c>
      <c r="AC154" s="96">
        <f>Financials!AC143</f>
        <v>0</v>
      </c>
      <c r="AD154" s="96">
        <f>SUM(R154:AC154)</f>
        <v>0</v>
      </c>
      <c r="AE154" s="96">
        <f>Financials!AE143</f>
        <v>0</v>
      </c>
      <c r="AF154" s="96">
        <f>Financials!AF143</f>
        <v>0</v>
      </c>
      <c r="AG154" s="96">
        <f>Financials!AG143</f>
        <v>0</v>
      </c>
      <c r="AH154" s="96">
        <f>Financials!AH143</f>
        <v>0</v>
      </c>
      <c r="AI154" s="96">
        <f>Financials!AI143</f>
        <v>0</v>
      </c>
      <c r="AJ154" s="96">
        <f>Financials!AJ143</f>
        <v>0</v>
      </c>
      <c r="AK154" s="96">
        <f>Financials!AK143</f>
        <v>0</v>
      </c>
      <c r="AL154" s="96">
        <f>Financials!AL143</f>
        <v>0</v>
      </c>
      <c r="AM154" s="96">
        <f>Financials!AM143</f>
        <v>0</v>
      </c>
      <c r="AN154" s="1569">
        <f>Financials!AN143</f>
        <v>0</v>
      </c>
      <c r="AO154" s="96">
        <f>Financials!AO143</f>
        <v>0</v>
      </c>
      <c r="AP154" s="96">
        <f>Financials!AP143</f>
        <v>0</v>
      </c>
      <c r="AQ154" s="96">
        <f>SUM(AE154:AP154)</f>
        <v>0</v>
      </c>
      <c r="AR154" s="96">
        <f>Financials!AR143</f>
        <v>0</v>
      </c>
      <c r="AS154" s="96">
        <f>Financials!AS143</f>
        <v>0</v>
      </c>
      <c r="AT154" s="96">
        <f>Financials!AT143</f>
        <v>0</v>
      </c>
      <c r="AU154" s="96">
        <f>Financials!AU143</f>
        <v>0</v>
      </c>
      <c r="AV154" s="96">
        <f>Financials!AV143</f>
        <v>0</v>
      </c>
      <c r="AW154" s="96">
        <f>Financials!AW143</f>
        <v>0</v>
      </c>
      <c r="AX154" s="96">
        <f>Financials!AX143</f>
        <v>0</v>
      </c>
      <c r="AY154" s="96">
        <f>Financials!AY143</f>
        <v>0</v>
      </c>
      <c r="AZ154" s="96">
        <f>Financials!AZ143</f>
        <v>0</v>
      </c>
      <c r="BA154" s="96">
        <f>Financials!BA143</f>
        <v>0</v>
      </c>
      <c r="BB154" s="96">
        <f>Financials!BB143</f>
        <v>0</v>
      </c>
      <c r="BC154" s="96">
        <f>Financials!BC143</f>
        <v>0</v>
      </c>
      <c r="BD154" s="96">
        <f>SUM(AR154:BC154)</f>
        <v>0</v>
      </c>
      <c r="BE154" s="96">
        <f>Financials!BE143</f>
        <v>0</v>
      </c>
      <c r="BF154" s="96">
        <f>Financials!BF143</f>
        <v>0</v>
      </c>
      <c r="BG154" s="96">
        <f>Financials!BG143</f>
        <v>0</v>
      </c>
      <c r="BH154" s="96">
        <f>Financials!BH143</f>
        <v>0</v>
      </c>
      <c r="BI154" s="96">
        <f>Financials!BI143</f>
        <v>0</v>
      </c>
      <c r="BJ154" s="96">
        <f>Financials!BJ143</f>
        <v>0</v>
      </c>
      <c r="BK154" s="96">
        <f>Financials!BK143</f>
        <v>0</v>
      </c>
      <c r="BL154" s="96">
        <f>Financials!BL143</f>
        <v>0</v>
      </c>
      <c r="BM154" s="96">
        <f>Financials!BM143</f>
        <v>0</v>
      </c>
      <c r="BN154" s="96">
        <f>Financials!BN143</f>
        <v>0</v>
      </c>
      <c r="BO154" s="96">
        <f>Financials!BO143</f>
        <v>0</v>
      </c>
      <c r="BP154" s="96">
        <f>Financials!BP143</f>
        <v>0</v>
      </c>
      <c r="BQ154" s="96">
        <f>SUM(BE154:BP154)</f>
        <v>0</v>
      </c>
      <c r="BR154" s="1569"/>
      <c r="BS154" s="153">
        <v>1</v>
      </c>
      <c r="BT154" s="1569"/>
      <c r="BU154" s="113">
        <f>Financials!BU143</f>
        <v>51</v>
      </c>
      <c r="BV154" s="158" t="s">
        <v>297</v>
      </c>
      <c r="BW154" s="96">
        <f>SUM(Financials!E154:'Financials'!G154)</f>
        <v>0</v>
      </c>
      <c r="BX154" s="96">
        <f>SUM(Financials!H154:'Financials'!J154)</f>
        <v>0</v>
      </c>
      <c r="BY154" s="96">
        <f>SUM(Financials!K154:'Financials'!M154)</f>
        <v>0</v>
      </c>
      <c r="BZ154" s="96">
        <f>SUM(Financials!N154:'Financials'!P154)</f>
        <v>0</v>
      </c>
      <c r="CA154" s="96">
        <f>SUM(Financials!R154:'Financials'!T154)</f>
        <v>0</v>
      </c>
      <c r="CB154" s="96">
        <f>SUM(Financials!U154:'Financials'!W154)</f>
        <v>0</v>
      </c>
      <c r="CC154" s="96">
        <f>SUM(Financials!X154:'Financials'!Z154)</f>
        <v>0</v>
      </c>
      <c r="CD154" s="96">
        <f>SUM(Financials!AA154:'Financials'!AC154)</f>
        <v>0</v>
      </c>
      <c r="CE154" s="96">
        <f>SUM(Financials!AE154:'Financials'!AG154)</f>
        <v>0</v>
      </c>
      <c r="CF154" s="96">
        <f>SUM(Financials!AH154:'Financials'!AJ154)</f>
        <v>0</v>
      </c>
      <c r="CG154" s="96">
        <f>SUM(Financials!AK154:'Financials'!AM154)</f>
        <v>0</v>
      </c>
      <c r="CH154" s="96">
        <f>SUM(Financials!AN154:'Financials'!AP154)</f>
        <v>0</v>
      </c>
      <c r="CI154" s="96">
        <f>SUM(Financials!AR154:'Financials'!AT154)</f>
        <v>0</v>
      </c>
      <c r="CJ154" s="96">
        <f>SUM(Financials!AU154:'Financials'!AW154)</f>
        <v>0</v>
      </c>
      <c r="CK154" s="96">
        <f>SUM(Financials!AX154:'Financials'!AZ154)</f>
        <v>0</v>
      </c>
      <c r="CL154" s="96">
        <f>SUM(Financials!BA154:'Financials'!BC154)</f>
        <v>0</v>
      </c>
      <c r="CM154" s="96">
        <f>SUM(Financials!BE154:'Financials'!BG154)</f>
        <v>0</v>
      </c>
      <c r="CN154" s="96">
        <f>SUM(Financials!BH154:'Financials'!BJ154)</f>
        <v>0</v>
      </c>
      <c r="CO154" s="96">
        <f>SUM(Financials!BK154:'Financials'!BM154)</f>
        <v>0</v>
      </c>
      <c r="CP154" s="96">
        <f>SUM(Financials!BN154:'Financials'!BP154)</f>
        <v>0</v>
      </c>
    </row>
    <row r="155" spans="1:94" ht="12.75" customHeight="1" x14ac:dyDescent="0.35">
      <c r="A155" s="136"/>
      <c r="B155" s="136"/>
      <c r="C155" s="136"/>
      <c r="D155" s="152" t="s">
        <v>319</v>
      </c>
      <c r="E155" s="110">
        <f>-E186+Input!D1538</f>
        <v>0</v>
      </c>
      <c r="F155" s="110">
        <f>-(F186-E186)</f>
        <v>0</v>
      </c>
      <c r="G155" s="110">
        <f>-(G186-F186)</f>
        <v>0</v>
      </c>
      <c r="H155" s="110">
        <f>-(H186-G186)</f>
        <v>0</v>
      </c>
      <c r="I155" s="110">
        <f>-(I186-H186)</f>
        <v>0</v>
      </c>
      <c r="J155" s="110">
        <f>-(J186-I186)</f>
        <v>0</v>
      </c>
      <c r="K155" s="110">
        <f>-(K186-J186)</f>
        <v>0</v>
      </c>
      <c r="L155" s="110">
        <f>-(L186-K186)</f>
        <v>0</v>
      </c>
      <c r="M155" s="110">
        <f>-(M186-L186)</f>
        <v>0</v>
      </c>
      <c r="N155" s="110">
        <f>-(N186-M186)</f>
        <v>0</v>
      </c>
      <c r="O155" s="110">
        <f>-(O186-N186)</f>
        <v>0</v>
      </c>
      <c r="P155" s="110">
        <f>-(P186-O186)</f>
        <v>0</v>
      </c>
      <c r="Q155" s="151">
        <f>SUM(E155:P155)</f>
        <v>0</v>
      </c>
      <c r="R155" s="110">
        <f>-(R186-P186)</f>
        <v>0</v>
      </c>
      <c r="S155" s="110">
        <f>-(S186-R186)</f>
        <v>0</v>
      </c>
      <c r="T155" s="110">
        <f>-(T186-S186)</f>
        <v>0</v>
      </c>
      <c r="U155" s="110">
        <f>-(U186-T186)</f>
        <v>0</v>
      </c>
      <c r="V155" s="110">
        <f>-(V186-U186)</f>
        <v>0</v>
      </c>
      <c r="W155" s="110">
        <f>-(W186-V186)</f>
        <v>0</v>
      </c>
      <c r="X155" s="110">
        <f>-(X186-W186)</f>
        <v>0</v>
      </c>
      <c r="Y155" s="110">
        <f>-(Y186-X186)</f>
        <v>0</v>
      </c>
      <c r="Z155" s="110">
        <f>-(Z186-Y186)</f>
        <v>0</v>
      </c>
      <c r="AA155" s="110">
        <f>-(AA186-Z186)</f>
        <v>0</v>
      </c>
      <c r="AB155" s="110">
        <f>-(AB186-AA186)</f>
        <v>0</v>
      </c>
      <c r="AC155" s="110">
        <f>-(AC186-AB186)</f>
        <v>0</v>
      </c>
      <c r="AD155" s="96">
        <f>SUM(R155:AC155)</f>
        <v>0</v>
      </c>
      <c r="AE155" s="110">
        <f>-(AE186-AC186)</f>
        <v>0</v>
      </c>
      <c r="AF155" s="110">
        <f>-(AF186-AE186)</f>
        <v>0</v>
      </c>
      <c r="AG155" s="110">
        <f>-(AG186-AF186)</f>
        <v>0</v>
      </c>
      <c r="AH155" s="110">
        <f>-(AH186-AG186)</f>
        <v>0</v>
      </c>
      <c r="AI155" s="110">
        <f>-(AI186-AH186)</f>
        <v>0</v>
      </c>
      <c r="AJ155" s="110">
        <f>-(AJ186-AI186)</f>
        <v>0</v>
      </c>
      <c r="AK155" s="110">
        <f>-(AK186-AJ186)</f>
        <v>0</v>
      </c>
      <c r="AL155" s="110">
        <f>-(AL186-AK186)</f>
        <v>0</v>
      </c>
      <c r="AM155" s="110">
        <f>-(AM186-AL186)</f>
        <v>0</v>
      </c>
      <c r="AN155" s="110">
        <f>-(AN186-AM186)</f>
        <v>0</v>
      </c>
      <c r="AO155" s="110">
        <f>-(AO186-AN186)</f>
        <v>0</v>
      </c>
      <c r="AP155" s="110">
        <f>-(AP186-AO186)</f>
        <v>0</v>
      </c>
      <c r="AQ155" s="96">
        <f>SUM(AE155:AP155)</f>
        <v>0</v>
      </c>
      <c r="AR155" s="110">
        <f>-(AR186-AP186)</f>
        <v>0</v>
      </c>
      <c r="AS155" s="110">
        <f>-(AS186-AR186)</f>
        <v>0</v>
      </c>
      <c r="AT155" s="110">
        <f>-(AT186-AS186)</f>
        <v>0</v>
      </c>
      <c r="AU155" s="110">
        <f>-(AU186-AT186)</f>
        <v>0</v>
      </c>
      <c r="AV155" s="110">
        <f>-(AV186-AU186)</f>
        <v>0</v>
      </c>
      <c r="AW155" s="110">
        <f>-(AW186-AV186)</f>
        <v>0</v>
      </c>
      <c r="AX155" s="110">
        <f>-(AX186-AW186)</f>
        <v>0</v>
      </c>
      <c r="AY155" s="110">
        <f>-(AY186-AX186)</f>
        <v>0</v>
      </c>
      <c r="AZ155" s="110">
        <f>-(AZ186-AY186)</f>
        <v>0</v>
      </c>
      <c r="BA155" s="110">
        <f>-(BA186-AZ186)</f>
        <v>0</v>
      </c>
      <c r="BB155" s="110">
        <f>-(BB186-BA186)</f>
        <v>0</v>
      </c>
      <c r="BC155" s="110">
        <f>-(BC186-BB186)</f>
        <v>0</v>
      </c>
      <c r="BD155" s="96">
        <f>SUM(AR155:BC155)</f>
        <v>0</v>
      </c>
      <c r="BE155" s="110">
        <f>-(BE186-BC186)</f>
        <v>0</v>
      </c>
      <c r="BF155" s="110">
        <f>-(BF186-BE186)</f>
        <v>0</v>
      </c>
      <c r="BG155" s="110">
        <f>-(BG186-BF186)</f>
        <v>0</v>
      </c>
      <c r="BH155" s="110">
        <f>-(BH186-BG186)</f>
        <v>0</v>
      </c>
      <c r="BI155" s="110">
        <f>-(BI186-BH186)</f>
        <v>0</v>
      </c>
      <c r="BJ155" s="110">
        <f>-(BJ186-BI186)</f>
        <v>0</v>
      </c>
      <c r="BK155" s="110">
        <f>-(BK186-BJ186)</f>
        <v>0</v>
      </c>
      <c r="BL155" s="110">
        <f>-(BL186-BK186)</f>
        <v>0</v>
      </c>
      <c r="BM155" s="110">
        <f>-(BM186-BL186)</f>
        <v>0</v>
      </c>
      <c r="BN155" s="110">
        <f>-(BN186-BM186)</f>
        <v>0</v>
      </c>
      <c r="BO155" s="110">
        <f>-(BO186-BN186)</f>
        <v>0</v>
      </c>
      <c r="BP155" s="110">
        <f>-(BP186-BO186)</f>
        <v>0</v>
      </c>
      <c r="BQ155" s="96">
        <f>SUM(BE155:BP155)</f>
        <v>0</v>
      </c>
      <c r="BR155" s="1569"/>
      <c r="BS155" s="153">
        <v>1</v>
      </c>
      <c r="BT155" s="1569"/>
      <c r="BU155" s="113">
        <f>SUM(BQ155,BD155,AQ155,AD155,Q155)</f>
      </c>
      <c r="BV155" s="158" t="s">
        <v>319</v>
      </c>
      <c r="BW155" s="96">
        <f>SUM(Financials!E155:'Financials'!G155)</f>
        <v>0</v>
      </c>
      <c r="BX155" s="96">
        <f>SUM(Financials!H155:'Financials'!J155)</f>
        <v>0</v>
      </c>
      <c r="BY155" s="96">
        <f>SUM(Financials!K155:'Financials'!M155)</f>
        <v>0</v>
      </c>
      <c r="BZ155" s="96">
        <f>SUM(Financials!N155:'Financials'!P155)</f>
        <v>0</v>
      </c>
      <c r="CA155" s="96">
        <f>SUM(Financials!R155:'Financials'!T155)</f>
        <v>0</v>
      </c>
      <c r="CB155" s="96">
        <f>SUM(Financials!U155:'Financials'!W155)</f>
        <v>0</v>
      </c>
      <c r="CC155" s="96">
        <f>SUM(Financials!X155:'Financials'!Z155)</f>
        <v>0</v>
      </c>
      <c r="CD155" s="96">
        <f>SUM(Financials!AA155:'Financials'!AC155)</f>
        <v>0</v>
      </c>
      <c r="CE155" s="96">
        <f>SUM(Financials!AE155:'Financials'!AG155)</f>
        <v>0</v>
      </c>
      <c r="CF155" s="96">
        <f>SUM(Financials!AH155:'Financials'!AJ155)</f>
        <v>0</v>
      </c>
      <c r="CG155" s="96">
        <f>SUM(Financials!AK155:'Financials'!AM155)</f>
        <v>0</v>
      </c>
      <c r="CH155" s="96">
        <f>SUM(Financials!AN155:'Financials'!AP155)</f>
        <v>0</v>
      </c>
      <c r="CI155" s="96">
        <f>SUM(Financials!AR155:'Financials'!AT155)</f>
        <v>0</v>
      </c>
      <c r="CJ155" s="96">
        <f>SUM(Financials!AU155:'Financials'!AW155)</f>
        <v>0</v>
      </c>
      <c r="CK155" s="96">
        <f>SUM(Financials!AX155:'Financials'!AZ155)</f>
        <v>0</v>
      </c>
      <c r="CL155" s="96">
        <f>SUM(Financials!BA155:'Financials'!BC155)</f>
        <v>0</v>
      </c>
      <c r="CM155" s="96">
        <f>SUM(Financials!BE155:'Financials'!BG155)</f>
        <v>0</v>
      </c>
      <c r="CN155" s="96">
        <f>SUM(Financials!BH155:'Financials'!BJ155)</f>
        <v>0</v>
      </c>
      <c r="CO155" s="96">
        <f>SUM(Financials!BK155:'Financials'!BM155)</f>
        <v>0</v>
      </c>
      <c r="CP155" s="96">
        <f>SUM(Financials!BN155:'Financials'!BP155)</f>
        <v>0</v>
      </c>
    </row>
    <row r="156" spans="1:94" ht="12.75" customHeight="1" x14ac:dyDescent="0.35">
      <c r="A156" s="136"/>
      <c r="B156" s="136"/>
      <c r="C156" s="136"/>
      <c r="D156" s="152" t="s">
        <v>320</v>
      </c>
      <c r="E156" s="110">
        <f>E206-Input!D1559</f>
        <v>0</v>
      </c>
      <c r="F156" s="110">
        <f>F206-E206</f>
        <v>0</v>
      </c>
      <c r="G156" s="110">
        <f>G206-F206</f>
        <v>0</v>
      </c>
      <c r="H156" s="110">
        <f>H206-G206</f>
        <v>0</v>
      </c>
      <c r="I156" s="110">
        <f>I206-H206</f>
        <v>0</v>
      </c>
      <c r="J156" s="110">
        <f>J206-I206</f>
        <v>0</v>
      </c>
      <c r="K156" s="110">
        <f>K206-J206</f>
        <v>0</v>
      </c>
      <c r="L156" s="110">
        <f>L206-K206</f>
        <v>0</v>
      </c>
      <c r="M156" s="110">
        <f>M206-L206</f>
        <v>0</v>
      </c>
      <c r="N156" s="110">
        <f>N206-M206</f>
        <v>0</v>
      </c>
      <c r="O156" s="110">
        <f>O206-N206</f>
        <v>0</v>
      </c>
      <c r="P156" s="110">
        <f>P206-O206</f>
        <v>0</v>
      </c>
      <c r="Q156" s="151">
        <f>SUM(E156:P156)</f>
        <v>0</v>
      </c>
      <c r="R156" s="110">
        <f>R206-P206</f>
        <v>0</v>
      </c>
      <c r="S156" s="110">
        <f>S206-R206</f>
        <v>0</v>
      </c>
      <c r="T156" s="110">
        <f>T206-S206</f>
        <v>0</v>
      </c>
      <c r="U156" s="110">
        <f>U206-T206</f>
        <v>0</v>
      </c>
      <c r="V156" s="110">
        <f>V206-U206</f>
        <v>0</v>
      </c>
      <c r="W156" s="110">
        <f>W206-V206</f>
        <v>0</v>
      </c>
      <c r="X156" s="110">
        <f>X206-W206</f>
        <v>0</v>
      </c>
      <c r="Y156" s="110">
        <f>Y206-X206</f>
        <v>0</v>
      </c>
      <c r="Z156" s="110">
        <f>Z206-Y206</f>
        <v>0</v>
      </c>
      <c r="AA156" s="110">
        <f>AA206-Z206</f>
        <v>0</v>
      </c>
      <c r="AB156" s="110">
        <f>AB206-AA206</f>
        <v>0</v>
      </c>
      <c r="AC156" s="110">
        <f>AC206-AB206</f>
        <v>0</v>
      </c>
      <c r="AD156" s="96">
        <f>SUM(R156:AC156)</f>
        <v>0</v>
      </c>
      <c r="AE156" s="110">
        <f>AE206-AC206</f>
        <v>0</v>
      </c>
      <c r="AF156" s="110">
        <f>AF206-AE206</f>
        <v>0</v>
      </c>
      <c r="AG156" s="110">
        <f>AG206-AF206</f>
        <v>0</v>
      </c>
      <c r="AH156" s="110">
        <f>AH206-AG206</f>
        <v>0</v>
      </c>
      <c r="AI156" s="110">
        <f>AI206-AH206</f>
        <v>0</v>
      </c>
      <c r="AJ156" s="110">
        <f>AJ206-AI206</f>
        <v>0</v>
      </c>
      <c r="AK156" s="110">
        <f>AK206-AJ206</f>
        <v>0</v>
      </c>
      <c r="AL156" s="110">
        <f>AL206-AK206</f>
        <v>0</v>
      </c>
      <c r="AM156" s="110">
        <f>AM206-AL206</f>
        <v>0</v>
      </c>
      <c r="AN156" s="110">
        <f>AN206-AM206</f>
        <v>0</v>
      </c>
      <c r="AO156" s="110">
        <f>AO206-AN206</f>
        <v>0</v>
      </c>
      <c r="AP156" s="110">
        <f>AP206-AO206</f>
        <v>0</v>
      </c>
      <c r="AQ156" s="96">
        <f>SUM(AE156:AP156)</f>
        <v>0</v>
      </c>
      <c r="AR156" s="110">
        <f>AR206-AP206</f>
        <v>0</v>
      </c>
      <c r="AS156" s="110">
        <f>AS206-AR206</f>
        <v>0</v>
      </c>
      <c r="AT156" s="110">
        <f>AT206-AS206</f>
        <v>0</v>
      </c>
      <c r="AU156" s="110">
        <f>AU206-AT206</f>
        <v>0</v>
      </c>
      <c r="AV156" s="110">
        <f>AV206-AU206</f>
        <v>0</v>
      </c>
      <c r="AW156" s="110">
        <f>AW206-AV206</f>
        <v>0</v>
      </c>
      <c r="AX156" s="110">
        <f>AX206-AW206</f>
        <v>0</v>
      </c>
      <c r="AY156" s="110">
        <f>AY206-AX206</f>
        <v>0</v>
      </c>
      <c r="AZ156" s="110">
        <f>AZ206-AY206</f>
        <v>0</v>
      </c>
      <c r="BA156" s="110">
        <f>BA206-AZ206</f>
        <v>0</v>
      </c>
      <c r="BB156" s="110">
        <f>BB206-BA206</f>
        <v>0</v>
      </c>
      <c r="BC156" s="110">
        <f>BC206-BB206</f>
        <v>0</v>
      </c>
      <c r="BD156" s="96">
        <f>SUM(AR156:BC156)</f>
        <v>0</v>
      </c>
      <c r="BE156" s="110">
        <f>BE206-BC206</f>
        <v>0</v>
      </c>
      <c r="BF156" s="110">
        <f>BF206-BE206</f>
        <v>0</v>
      </c>
      <c r="BG156" s="110">
        <f>BG206-BF206</f>
        <v>0</v>
      </c>
      <c r="BH156" s="110">
        <f>BH206-BG206</f>
        <v>0</v>
      </c>
      <c r="BI156" s="110">
        <f>BI206-BH206</f>
        <v>0</v>
      </c>
      <c r="BJ156" s="110">
        <f>BJ206-BI206</f>
        <v>0</v>
      </c>
      <c r="BK156" s="110">
        <f>BK206-BJ206</f>
        <v>0</v>
      </c>
      <c r="BL156" s="110">
        <f>BL206-BK206</f>
        <v>0</v>
      </c>
      <c r="BM156" s="110">
        <f>BM206-BL206</f>
        <v>0</v>
      </c>
      <c r="BN156" s="110">
        <f>BN206-BM206</f>
        <v>0</v>
      </c>
      <c r="BO156" s="110">
        <f>BO206-BN206</f>
        <v>0</v>
      </c>
      <c r="BP156" s="110">
        <f>BP206-BO206</f>
        <v>0</v>
      </c>
      <c r="BQ156" s="96">
        <f>SUM(BE156:BP156)</f>
        <v>0</v>
      </c>
      <c r="BR156" s="1569"/>
      <c r="BS156" s="153">
        <v>1</v>
      </c>
      <c r="BT156" s="1569"/>
      <c r="BU156" s="113">
        <f>SUM(BQ156,BD156,AQ156,AD156,Q156)</f>
      </c>
      <c r="BV156" s="158" t="s">
        <v>320</v>
      </c>
      <c r="BW156" s="96">
        <f>SUM(Financials!E156:'Financials'!G156)</f>
        <v>0</v>
      </c>
      <c r="BX156" s="96">
        <f>SUM(Financials!H156:'Financials'!J156)</f>
        <v>0</v>
      </c>
      <c r="BY156" s="96">
        <f>SUM(Financials!K156:'Financials'!M156)</f>
        <v>0</v>
      </c>
      <c r="BZ156" s="96">
        <f>SUM(Financials!N156:'Financials'!P156)</f>
        <v>0</v>
      </c>
      <c r="CA156" s="96">
        <f>SUM(Financials!R156:'Financials'!T156)</f>
        <v>0</v>
      </c>
      <c r="CB156" s="96">
        <f>SUM(Financials!U156:'Financials'!W156)</f>
        <v>0</v>
      </c>
      <c r="CC156" s="96">
        <f>SUM(Financials!X156:'Financials'!Z156)</f>
        <v>0</v>
      </c>
      <c r="CD156" s="96">
        <f>SUM(Financials!AA156:'Financials'!AC156)</f>
        <v>0</v>
      </c>
      <c r="CE156" s="96">
        <f>SUM(Financials!AE156:'Financials'!AG156)</f>
        <v>0</v>
      </c>
      <c r="CF156" s="96">
        <f>SUM(Financials!AH156:'Financials'!AJ156)</f>
        <v>0</v>
      </c>
      <c r="CG156" s="96">
        <f>SUM(Financials!AK156:'Financials'!AM156)</f>
        <v>0</v>
      </c>
      <c r="CH156" s="96">
        <f>SUM(Financials!AN156:'Financials'!AP156)</f>
        <v>0</v>
      </c>
      <c r="CI156" s="96">
        <f>SUM(Financials!AR156:'Financials'!AT156)</f>
        <v>0</v>
      </c>
      <c r="CJ156" s="96">
        <f>SUM(Financials!AU156:'Financials'!AW156)</f>
        <v>0</v>
      </c>
      <c r="CK156" s="96">
        <f>SUM(Financials!AX156:'Financials'!AZ156)</f>
        <v>0</v>
      </c>
      <c r="CL156" s="96">
        <f>SUM(Financials!BA156:'Financials'!BC156)</f>
        <v>0</v>
      </c>
      <c r="CM156" s="96">
        <f>SUM(Financials!BE156:'Financials'!BG156)</f>
        <v>0</v>
      </c>
      <c r="CN156" s="96">
        <f>SUM(Financials!BH156:'Financials'!BJ156)</f>
        <v>0</v>
      </c>
      <c r="CO156" s="96">
        <f>SUM(Financials!BK156:'Financials'!BM156)</f>
        <v>0</v>
      </c>
      <c r="CP156" s="96">
        <f>SUM(Financials!BN156:'Financials'!BP156)</f>
        <v>0</v>
      </c>
    </row>
    <row r="157" spans="1:94" ht="12.75" hidden="1" customHeight="1" x14ac:dyDescent="0.35">
      <c r="A157" s="136"/>
      <c r="B157" s="136"/>
      <c r="C157" s="136"/>
      <c r="D157" s="152" t="s">
        <v>189</v>
      </c>
      <c r="E157" s="110">
        <f>E207-Input!D1562</f>
        <v>0</v>
      </c>
      <c r="F157" s="110">
        <f>IF(Calcs!AG795-Calcs!AF795&gt;0,Calcs!AG795-Calcs!AF795,0)</f>
        <v>0</v>
      </c>
      <c r="G157" s="110">
        <f>IF(Calcs!AH795-Calcs!AG795&gt;0,Calcs!AH795-Calcs!AG795,0)</f>
        <v>0</v>
      </c>
      <c r="H157" s="110">
        <f>IF(Calcs!AI795-Calcs!AH795&gt;0,Calcs!AI795-Calcs!AH795,0)</f>
        <v>0</v>
      </c>
      <c r="I157" s="110">
        <f>IF(Calcs!AJ795-Calcs!AI795&gt;0,Calcs!AJ795-Calcs!AI795,0)</f>
        <v>0</v>
      </c>
      <c r="J157" s="110">
        <f>IF(Calcs!AK795-Calcs!AJ795&gt;0,Calcs!AK795-Calcs!AJ795,0)</f>
        <v>0</v>
      </c>
      <c r="K157" s="110">
        <f>IF(Calcs!AL795-Calcs!AK795&gt;0,Calcs!AL795-Calcs!AK795,0)</f>
        <v>0</v>
      </c>
      <c r="L157" s="110">
        <f>IF(Calcs!AM795-Calcs!AL795&gt;0,Calcs!AM795-Calcs!AL795,0)</f>
        <v>0</v>
      </c>
      <c r="M157" s="110">
        <f>IF(Calcs!AN795-Calcs!AM795&gt;0,Calcs!AN795-Calcs!AM795,0)</f>
        <v>0</v>
      </c>
      <c r="N157" s="110">
        <f>IF(Calcs!AO795-Calcs!AN795&gt;0,Calcs!AO795-Calcs!AN795,0)</f>
        <v>0</v>
      </c>
      <c r="O157" s="110">
        <f>IF(Calcs!AP795-Calcs!AO795&gt;0,Calcs!AP795-Calcs!AO795,0)</f>
        <v>0</v>
      </c>
      <c r="P157" s="110">
        <f>IF(Calcs!AQ795-Calcs!AP795&gt;0,Calcs!AQ795-Calcs!AP795,0)</f>
        <v>0</v>
      </c>
      <c r="Q157" s="151">
        <f>SUM(E157:P157)</f>
        <v>0</v>
      </c>
      <c r="R157" s="110">
        <f>IF(Calcs!AR795-Calcs!AQ795&gt;0,Calcs!AR795-Calcs!AQ795,0)</f>
        <v>0</v>
      </c>
      <c r="S157" s="110">
        <f>IF(Calcs!AS795-Calcs!AR795&gt;0,Calcs!AS795-Calcs!AR795,0)</f>
        <v>0</v>
      </c>
      <c r="T157" s="110">
        <f>IF(Calcs!AT795-Calcs!AS795&gt;0,Calcs!AT795-Calcs!AS795,0)</f>
        <v>0</v>
      </c>
      <c r="U157" s="110">
        <f>IF(Calcs!AU795-Calcs!AT795&gt;0,Calcs!AU795-Calcs!AT795,0)</f>
        <v>0</v>
      </c>
      <c r="V157" s="110">
        <f>IF(Calcs!AV795-Calcs!AU795&gt;0,Calcs!AV795-Calcs!AU795,0)</f>
        <v>0</v>
      </c>
      <c r="W157" s="110">
        <f>IF(Calcs!AW795-Calcs!AV795&gt;0,Calcs!AW795-Calcs!AV795,0)</f>
        <v>0</v>
      </c>
      <c r="X157" s="110">
        <f>IF(Calcs!AX795-Calcs!AW795&gt;0,Calcs!AX795-Calcs!AW795,0)</f>
        <v>0</v>
      </c>
      <c r="Y157" s="110">
        <f>IF(Calcs!AY795-Calcs!AX795&gt;0,Calcs!AY795-Calcs!AX795,0)</f>
        <v>0</v>
      </c>
      <c r="Z157" s="110">
        <f>IF(Calcs!AZ795-Calcs!AY795&gt;0,Calcs!AZ795-Calcs!AY795,0)</f>
        <v>0</v>
      </c>
      <c r="AA157" s="110">
        <f>IF(Calcs!BA795-Calcs!AZ795&gt;0,Calcs!BA795-Calcs!AZ795,0)</f>
        <v>0</v>
      </c>
      <c r="AB157" s="110">
        <f>IF(Calcs!BB795-Calcs!BA795&gt;0,Calcs!BB795-Calcs!BA795,0)</f>
        <v>0</v>
      </c>
      <c r="AC157" s="110">
        <f>IF(Calcs!BC795-Calcs!BB795&gt;0,Calcs!BC795-Calcs!BB795,0)</f>
        <v>0</v>
      </c>
      <c r="AD157" s="96">
        <f>SUM(R157:AC157)</f>
        <v>0</v>
      </c>
      <c r="AE157" s="110">
        <f>IF(Calcs!BD795-Calcs!BC795&gt;0,Calcs!BD795-Calcs!BC795,0)</f>
        <v>0</v>
      </c>
      <c r="AF157" s="110">
        <f>IF(Calcs!BE795-Calcs!BD795&gt;0,Calcs!BE795-Calcs!BD795,0)</f>
        <v>0</v>
      </c>
      <c r="AG157" s="110">
        <f>IF(Calcs!BF795-Calcs!BE795&gt;0,Calcs!BF795-Calcs!BE795,0)</f>
        <v>0</v>
      </c>
      <c r="AH157" s="110">
        <f>IF(Calcs!BG795-Calcs!BF795&gt;0,Calcs!BG795-Calcs!BF795,0)</f>
        <v>0</v>
      </c>
      <c r="AI157" s="110">
        <f>IF(Calcs!BH795-Calcs!BG795&gt;0,Calcs!BH795-Calcs!BG795,0)</f>
        <v>0</v>
      </c>
      <c r="AJ157" s="110">
        <f>IF(Calcs!BI795-Calcs!BH795&gt;0,Calcs!BI795-Calcs!BH795,0)</f>
        <v>0</v>
      </c>
      <c r="AK157" s="110">
        <f>IF(Calcs!BJ795-Calcs!BI795&gt;0,Calcs!BJ795-Calcs!BI795,0)</f>
        <v>0</v>
      </c>
      <c r="AL157" s="110">
        <f>IF(Calcs!BK795-Calcs!BJ795&gt;0,Calcs!BK795-Calcs!BJ795,0)</f>
        <v>0</v>
      </c>
      <c r="AM157" s="110">
        <f>IF(Calcs!BL795-Calcs!BK795&gt;0,Calcs!BL795-Calcs!BK795,0)</f>
        <v>0</v>
      </c>
      <c r="AN157" s="110">
        <f>IF(Calcs!BM795-Calcs!BL795&gt;0,Calcs!BM795-Calcs!BL795,0)</f>
        <v>0</v>
      </c>
      <c r="AO157" s="110">
        <f>IF(Calcs!BN795-Calcs!BM795&gt;0,Calcs!BN795-Calcs!BM795,0)</f>
        <v>0</v>
      </c>
      <c r="AP157" s="110">
        <f>IF(Calcs!BO795-Calcs!BN795&gt;0,Calcs!BO795-Calcs!BN795,0)</f>
        <v>0</v>
      </c>
      <c r="AQ157" s="96">
        <f>SUM(AE157:AP157)</f>
        <v>0</v>
      </c>
      <c r="AR157" s="110">
        <f>IF(Calcs!BP795-Calcs!BO795&gt;0,Calcs!BP795-Calcs!BO795,0)</f>
        <v>0</v>
      </c>
      <c r="AS157" s="110">
        <f>IF(Calcs!BQ795-Calcs!BP795&gt;0,Calcs!BQ795-Calcs!BP795,0)</f>
        <v>0</v>
      </c>
      <c r="AT157" s="110">
        <f>IF(Calcs!BR795-Calcs!BQ795&gt;0,Calcs!BR795-Calcs!BQ795,0)</f>
        <v>0</v>
      </c>
      <c r="AU157" s="110">
        <f>IF(Calcs!BS795-Calcs!BR795&gt;0,Calcs!BS795-Calcs!BR795,0)</f>
        <v>0</v>
      </c>
      <c r="AV157" s="110">
        <f>IF(Calcs!BT795-Calcs!BS795&gt;0,Calcs!BT795-Calcs!BS795,0)</f>
        <v>0</v>
      </c>
      <c r="AW157" s="110">
        <f>IF(Calcs!BU795-Calcs!BT795&gt;0,Calcs!BU795-Calcs!BT795,0)</f>
        <v>0</v>
      </c>
      <c r="AX157" s="110">
        <f>IF(Calcs!BV795-Calcs!BU795&gt;0,Calcs!BV795-Calcs!BU795,0)</f>
        <v>0</v>
      </c>
      <c r="AY157" s="110">
        <f>IF(Calcs!BW795-Calcs!BV795&gt;0,Calcs!BW795-Calcs!BV795,0)</f>
        <v>0</v>
      </c>
      <c r="AZ157" s="110">
        <f>IF(Calcs!BX795-Calcs!BW795&gt;0,Calcs!BX795-Calcs!BW795,0)</f>
        <v>0</v>
      </c>
      <c r="BA157" s="110">
        <f>IF(Calcs!BY795-Calcs!BX795&gt;0,Calcs!BY795-Calcs!BX795,0)</f>
        <v>0</v>
      </c>
      <c r="BB157" s="110">
        <f>IF(Calcs!BZ795-Calcs!BY795&gt;0,Calcs!BZ795-Calcs!BY795,0)</f>
        <v>0</v>
      </c>
      <c r="BC157" s="110">
        <f>IF(Calcs!CA795-Calcs!BZ795&gt;0,Calcs!CA795-Calcs!BZ795,0)</f>
        <v>0</v>
      </c>
      <c r="BD157" s="96">
        <f>SUM(AR157:BC157)</f>
        <v>0</v>
      </c>
      <c r="BE157" s="110">
        <f>IF(Calcs!CB795-Calcs!CA795&gt;0,Calcs!CB795-Calcs!CA795,0)</f>
        <v>0</v>
      </c>
      <c r="BF157" s="110">
        <f>IF(Calcs!CC795-Calcs!CB795&gt;0,Calcs!CC795-Calcs!CB795,0)</f>
        <v>0</v>
      </c>
      <c r="BG157" s="110">
        <f>IF(Calcs!CD795-Calcs!CC795&gt;0,Calcs!CD795-Calcs!CC795,0)</f>
        <v>0</v>
      </c>
      <c r="BH157" s="110">
        <f>IF(Calcs!CE795-Calcs!CD795&gt;0,Calcs!CE795-Calcs!CD795,0)</f>
        <v>0</v>
      </c>
      <c r="BI157" s="110">
        <f>IF(Calcs!CF795-Calcs!CE795&gt;0,Calcs!CF795-Calcs!CE795,0)</f>
        <v>0</v>
      </c>
      <c r="BJ157" s="110">
        <f>IF(Calcs!CG795-Calcs!CF795&gt;0,Calcs!CG795-Calcs!CF795,0)</f>
        <v>0</v>
      </c>
      <c r="BK157" s="110">
        <f>IF(Calcs!CH795-Calcs!CG795&gt;0,Calcs!CH795-Calcs!CG795,0)</f>
        <v>0</v>
      </c>
      <c r="BL157" s="110">
        <f>IF(Calcs!CI795-Calcs!CH795&gt;0,Calcs!CI795-Calcs!CH795,0)</f>
        <v>0</v>
      </c>
      <c r="BM157" s="110">
        <f>IF(Calcs!CJ795-Calcs!CI795&gt;0,Calcs!CJ795-Calcs!CI795,0)</f>
        <v>0</v>
      </c>
      <c r="BN157" s="110">
        <f>IF(Calcs!CK795-Calcs!CJ795&gt;0,Calcs!CK795-Calcs!CJ795,0)</f>
        <v>0</v>
      </c>
      <c r="BO157" s="110">
        <f>IF(Calcs!CL795-Calcs!CK795&gt;0,Calcs!CL795-Calcs!CK795,0)</f>
        <v>0</v>
      </c>
      <c r="BP157" s="110">
        <f>IF(Calcs!CM795-Calcs!CL795&gt;0,Calcs!CM795-Calcs!CL795,0)</f>
        <v>0</v>
      </c>
      <c r="BQ157" s="96">
        <f>SUM(BE157:BP157)</f>
        <v>0</v>
      </c>
      <c r="BR157" s="1569"/>
      <c r="BS157" s="153">
        <f>SUM(BQ157,BD157,AQ157,AD157,Q157)</f>
        <v>0</v>
      </c>
      <c r="BT157" s="1569"/>
      <c r="BU157" s="113">
        <f>SUM(BQ157,BD157,AQ157,AD157,Q157)</f>
      </c>
      <c r="BV157" s="158"/>
      <c r="BW157" s="96"/>
      <c r="BX157" s="96"/>
      <c r="BY157" s="96"/>
      <c r="BZ157" s="96"/>
      <c r="CA157" s="96"/>
      <c r="CB157" s="96"/>
      <c r="CC157" s="96"/>
      <c r="CD157" s="96"/>
      <c r="CE157" s="96"/>
      <c r="CF157" s="96"/>
      <c r="CG157" s="96"/>
      <c r="CH157" s="96"/>
      <c r="CI157" s="96"/>
      <c r="CJ157" s="96"/>
      <c r="CK157" s="96"/>
      <c r="CL157" s="96"/>
      <c r="CM157" s="96"/>
      <c r="CN157" s="96"/>
      <c r="CO157" s="96"/>
      <c r="CP157" s="96"/>
    </row>
    <row r="158" spans="1:94" ht="12.75" hidden="1" customHeight="1" x14ac:dyDescent="0.35">
      <c r="A158" s="136"/>
      <c r="B158" s="307" t="str">
        <f>IF(Input!O21="Services","This row can be hidden","")</f>
        <v/>
      </c>
      <c r="C158" s="136"/>
      <c r="D158" s="152" t="s">
        <v>15</v>
      </c>
      <c r="E158" s="110">
        <f>-(E187-Input!D1539)</f>
        <v>0</v>
      </c>
      <c r="F158" s="110">
        <f>-(F187-E187)</f>
        <v>0</v>
      </c>
      <c r="G158" s="110">
        <f>-(G187-F187)</f>
        <v>0</v>
      </c>
      <c r="H158" s="110">
        <f>-(H187-G187)</f>
        <v>0</v>
      </c>
      <c r="I158" s="110">
        <f>-(I187-H187)</f>
        <v>0</v>
      </c>
      <c r="J158" s="110">
        <f>-(J187-I187)</f>
        <v>0</v>
      </c>
      <c r="K158" s="110">
        <f>-(K187-J187)</f>
        <v>0</v>
      </c>
      <c r="L158" s="110">
        <f>-(L187-K187)</f>
        <v>0</v>
      </c>
      <c r="M158" s="110">
        <f>-(M187-L187)</f>
        <v>0</v>
      </c>
      <c r="N158" s="110">
        <f>-(N187-M187)</f>
        <v>0</v>
      </c>
      <c r="O158" s="110">
        <f>-(O187-N187)</f>
        <v>0</v>
      </c>
      <c r="P158" s="110">
        <f>-(P187-O187)</f>
        <v>0</v>
      </c>
      <c r="Q158" s="151">
        <f>SUM(E158:P158)</f>
        <v>0</v>
      </c>
      <c r="R158" s="110">
        <f>-(R187-Q187)</f>
        <v>0</v>
      </c>
      <c r="S158" s="110">
        <f>-(S187-R187)</f>
        <v>0</v>
      </c>
      <c r="T158" s="110">
        <f>-(T187-S187)</f>
        <v>0</v>
      </c>
      <c r="U158" s="110">
        <f>-(U187-T187)</f>
        <v>0</v>
      </c>
      <c r="V158" s="110">
        <f>-(V187-U187)</f>
        <v>0</v>
      </c>
      <c r="W158" s="110">
        <f>-(W187-V187)</f>
        <v>0</v>
      </c>
      <c r="X158" s="110">
        <f>-(X187-W187)</f>
        <v>0</v>
      </c>
      <c r="Y158" s="110">
        <f>-(Y187-X187)</f>
        <v>0</v>
      </c>
      <c r="Z158" s="110">
        <f>-(Z187-Y187)</f>
        <v>0</v>
      </c>
      <c r="AA158" s="110">
        <f>-(AA187-Z187)</f>
        <v>0</v>
      </c>
      <c r="AB158" s="110">
        <f>-(AB187-AA187)</f>
        <v>0</v>
      </c>
      <c r="AC158" s="110">
        <f>-(AC187-AB187)</f>
        <v>0</v>
      </c>
      <c r="AD158" s="96">
        <f>SUM(R158:AC158)</f>
        <v>0</v>
      </c>
      <c r="AE158" s="110">
        <f>-(AE187-AD187)</f>
        <v>0</v>
      </c>
      <c r="AF158" s="110">
        <f>-(AF187-AE187)</f>
        <v>0</v>
      </c>
      <c r="AG158" s="110">
        <f>-(AG187-AF187)</f>
        <v>0</v>
      </c>
      <c r="AH158" s="110">
        <f>-(AH187-AG187)</f>
        <v>0</v>
      </c>
      <c r="AI158" s="110">
        <f>-(AI187-AH187)</f>
        <v>0</v>
      </c>
      <c r="AJ158" s="110">
        <f>-(AJ187-AI187)</f>
        <v>0</v>
      </c>
      <c r="AK158" s="110">
        <f>-(AK187-AJ187)</f>
        <v>0</v>
      </c>
      <c r="AL158" s="110">
        <f>-(AL187-AK187)</f>
        <v>0</v>
      </c>
      <c r="AM158" s="110">
        <f>-(AM187-AL187)</f>
        <v>0</v>
      </c>
      <c r="AN158" s="110">
        <f>-(AN187-AM187)</f>
        <v>0</v>
      </c>
      <c r="AO158" s="110">
        <f>-(AO187-AN187)</f>
        <v>0</v>
      </c>
      <c r="AP158" s="110">
        <f>-(AP187-AO187)</f>
        <v>0</v>
      </c>
      <c r="AQ158" s="96">
        <f>SUM(AE158:AP158)</f>
        <v>0</v>
      </c>
      <c r="AR158" s="110">
        <f>-(AR187-AQ187)</f>
        <v>0</v>
      </c>
      <c r="AS158" s="110">
        <f>-(AS187-AR187)</f>
        <v>0</v>
      </c>
      <c r="AT158" s="110">
        <f>-(AT187-AS187)</f>
        <v>0</v>
      </c>
      <c r="AU158" s="110">
        <f>-(AU187-AT187)</f>
        <v>0</v>
      </c>
      <c r="AV158" s="110">
        <f>-(AV187-AU187)</f>
        <v>0</v>
      </c>
      <c r="AW158" s="110">
        <f>-(AW187-AV187)</f>
        <v>0</v>
      </c>
      <c r="AX158" s="110">
        <f>-(AX187-AW187)</f>
        <v>0</v>
      </c>
      <c r="AY158" s="110">
        <f>-(AY187-AX187)</f>
        <v>0</v>
      </c>
      <c r="AZ158" s="110">
        <f>-(AZ187-AY187)</f>
        <v>0</v>
      </c>
      <c r="BA158" s="110">
        <f>-(BA187-AZ187)</f>
        <v>0</v>
      </c>
      <c r="BB158" s="110">
        <f>-(BB187-BA187)</f>
        <v>0</v>
      </c>
      <c r="BC158" s="110">
        <f>-(BC187-BB187)</f>
        <v>0</v>
      </c>
      <c r="BD158" s="96">
        <f>SUM(AR158:BC158)</f>
        <v>0</v>
      </c>
      <c r="BE158" s="110">
        <f>-(BE187-BD187)</f>
        <v>0</v>
      </c>
      <c r="BF158" s="110">
        <f>-(BF187-BE187)</f>
        <v>0</v>
      </c>
      <c r="BG158" s="110">
        <f>-(BG187-BF187)</f>
        <v>0</v>
      </c>
      <c r="BH158" s="110">
        <f>-(BH187-BG187)</f>
        <v>0</v>
      </c>
      <c r="BI158" s="110">
        <f>-(BI187-BH187)</f>
        <v>0</v>
      </c>
      <c r="BJ158" s="110">
        <f>-(BJ187-BI187)</f>
        <v>0</v>
      </c>
      <c r="BK158" s="110">
        <f>-(BK187-BJ187)</f>
        <v>0</v>
      </c>
      <c r="BL158" s="110">
        <f>-(BL187-BK187)</f>
        <v>0</v>
      </c>
      <c r="BM158" s="110">
        <f>-(BM187-BL187)</f>
        <v>0</v>
      </c>
      <c r="BN158" s="110">
        <f>-(BN187-BM187)</f>
        <v>0</v>
      </c>
      <c r="BO158" s="110">
        <f>-(BO187-BN187)</f>
        <v>0</v>
      </c>
      <c r="BP158" s="110">
        <f>-(BP187-BO187)</f>
        <v>0</v>
      </c>
      <c r="BQ158" s="96">
        <f>SUM(BE158:BP158)</f>
        <v>0</v>
      </c>
      <c r="BR158" s="1569"/>
      <c r="BS158" s="153">
        <f>SUM(BQ158,BD158,AQ158,AD158,Q158)</f>
        <v>0</v>
      </c>
      <c r="BT158" s="1569"/>
      <c r="BU158" s="113">
        <f>SUM(BQ158,BD158,AQ158,AD158,Q158)</f>
      </c>
      <c r="BV158" s="158"/>
      <c r="BW158" s="96"/>
      <c r="BX158" s="96"/>
      <c r="BY158" s="96"/>
      <c r="BZ158" s="96"/>
      <c r="CA158" s="96"/>
      <c r="CB158" s="96"/>
      <c r="CC158" s="96"/>
      <c r="CD158" s="96"/>
      <c r="CE158" s="96"/>
      <c r="CF158" s="96"/>
      <c r="CG158" s="96"/>
      <c r="CH158" s="96"/>
      <c r="CI158" s="96"/>
      <c r="CJ158" s="96"/>
      <c r="CK158" s="96"/>
      <c r="CL158" s="96"/>
      <c r="CM158" s="96"/>
      <c r="CN158" s="96"/>
      <c r="CO158" s="96"/>
      <c r="CP158" s="96"/>
    </row>
    <row r="159" spans="1:94" ht="12.75" hidden="1" customHeight="1" x14ac:dyDescent="0.35">
      <c r="A159" s="136"/>
      <c r="B159" s="307" t="str">
        <f>IF(Input!D1309="Monthly","This row can be hidden","")</f>
        <v/>
      </c>
      <c r="C159" s="136"/>
      <c r="D159" s="152" t="s">
        <v>321</v>
      </c>
      <c r="E159" s="1802">
        <f>E210</f>
        <v>0</v>
      </c>
      <c r="F159" s="1802">
        <f>F210-E210</f>
        <v>0</v>
      </c>
      <c r="G159" s="1802">
        <f>G210-F210</f>
        <v>0</v>
      </c>
      <c r="H159" s="1802">
        <f>H210-G210</f>
        <v>0</v>
      </c>
      <c r="I159" s="1802">
        <f>I210-H210</f>
        <v>0</v>
      </c>
      <c r="J159" s="1802">
        <f>J210-I210</f>
        <v>0</v>
      </c>
      <c r="K159" s="1802">
        <f>K210-J210</f>
        <v>0</v>
      </c>
      <c r="L159" s="1802">
        <f>L210-K210</f>
        <v>0</v>
      </c>
      <c r="M159" s="1802">
        <f>M210-L210</f>
        <v>0</v>
      </c>
      <c r="N159" s="1802">
        <f>N210-M210</f>
        <v>0</v>
      </c>
      <c r="O159" s="1802">
        <f>O210-N210</f>
        <v>0</v>
      </c>
      <c r="P159" s="1802">
        <f>P210-O210</f>
        <v>0</v>
      </c>
      <c r="Q159" s="96">
        <f>SUM(E159:P159)</f>
        <v>0</v>
      </c>
      <c r="R159" s="1802">
        <f>R210-Q210</f>
        <v>0</v>
      </c>
      <c r="S159" s="1802">
        <f>S210-R210</f>
        <v>0</v>
      </c>
      <c r="T159" s="1802">
        <f>T210-S210</f>
        <v>0</v>
      </c>
      <c r="U159" s="1802">
        <f>U210-T210</f>
        <v>0</v>
      </c>
      <c r="V159" s="1802">
        <f>V210-U210</f>
        <v>0</v>
      </c>
      <c r="W159" s="1802">
        <f>W210-V210</f>
        <v>0</v>
      </c>
      <c r="X159" s="1802">
        <f>X210-W210</f>
        <v>0</v>
      </c>
      <c r="Y159" s="1802">
        <f>Y210-X210</f>
        <v>0</v>
      </c>
      <c r="Z159" s="1802">
        <f>Z210-Y210</f>
        <v>0</v>
      </c>
      <c r="AA159" s="1802">
        <f>AA210-Z210</f>
        <v>0</v>
      </c>
      <c r="AB159" s="1802">
        <f>AB210-AA210</f>
        <v>0</v>
      </c>
      <c r="AC159" s="1802">
        <f>AC210-AB210</f>
        <v>0</v>
      </c>
      <c r="AD159" s="96">
        <f>SUM(R159:AC159)</f>
        <v>0</v>
      </c>
      <c r="AE159" s="1802">
        <f>AE210-AD210</f>
        <v>0</v>
      </c>
      <c r="AF159" s="1802">
        <f>AF210-AE210</f>
        <v>0</v>
      </c>
      <c r="AG159" s="1802">
        <f>AG210-AF210</f>
        <v>0</v>
      </c>
      <c r="AH159" s="1802">
        <f>AH210-AG210</f>
        <v>0</v>
      </c>
      <c r="AI159" s="1802">
        <f>AI210-AH210</f>
        <v>0</v>
      </c>
      <c r="AJ159" s="1802">
        <f>AJ210-AI210</f>
        <v>0</v>
      </c>
      <c r="AK159" s="1802">
        <f>AK210-AJ210</f>
        <v>0</v>
      </c>
      <c r="AL159" s="1802">
        <f>AL210-AK210</f>
        <v>0</v>
      </c>
      <c r="AM159" s="1802">
        <f>AM210-AL210</f>
        <v>0</v>
      </c>
      <c r="AN159" s="1802">
        <f>AN210-AM210</f>
        <v>0</v>
      </c>
      <c r="AO159" s="1802">
        <f>AO210-AN210</f>
        <v>0</v>
      </c>
      <c r="AP159" s="1802">
        <f>AP210-AO210</f>
        <v>0</v>
      </c>
      <c r="AQ159" s="96">
        <f>SUM(AE159:AP159)</f>
        <v>0</v>
      </c>
      <c r="AR159" s="1802">
        <f>AR210-AQ210</f>
        <v>0</v>
      </c>
      <c r="AS159" s="1802">
        <f>AS210-AR210</f>
        <v>0</v>
      </c>
      <c r="AT159" s="1802">
        <f>AT210-AS210</f>
        <v>0</v>
      </c>
      <c r="AU159" s="1802">
        <f>AU210-AT210</f>
        <v>0</v>
      </c>
      <c r="AV159" s="1802">
        <f>AV210-AU210</f>
        <v>0</v>
      </c>
      <c r="AW159" s="1802">
        <f>AW210-AV210</f>
        <v>0</v>
      </c>
      <c r="AX159" s="1802">
        <f>AX210-AW210</f>
        <v>0</v>
      </c>
      <c r="AY159" s="1802">
        <f>AY210-AX210</f>
        <v>0</v>
      </c>
      <c r="AZ159" s="1802">
        <f>AZ210-AY210</f>
        <v>0</v>
      </c>
      <c r="BA159" s="1802">
        <f>BA210-AZ210</f>
        <v>0</v>
      </c>
      <c r="BB159" s="1802">
        <f>BB210-BA210</f>
        <v>0</v>
      </c>
      <c r="BC159" s="1802">
        <f>BC210-BB210</f>
        <v>0</v>
      </c>
      <c r="BD159" s="96">
        <f>SUM(AR159:BC159)</f>
        <v>0</v>
      </c>
      <c r="BE159" s="1802">
        <f>BE210-BD210</f>
        <v>0</v>
      </c>
      <c r="BF159" s="1802">
        <f>BF210-BE210</f>
        <v>0</v>
      </c>
      <c r="BG159" s="1802">
        <f>BG210-BF210</f>
        <v>0</v>
      </c>
      <c r="BH159" s="1802">
        <f>BH210-BG210</f>
        <v>0</v>
      </c>
      <c r="BI159" s="1802">
        <f>BI210-BH210</f>
        <v>0</v>
      </c>
      <c r="BJ159" s="1802">
        <f>BJ210-BI210</f>
        <v>0</v>
      </c>
      <c r="BK159" s="1802">
        <f>BK210-BJ210</f>
        <v>0</v>
      </c>
      <c r="BL159" s="1802">
        <f>BL210-BK210</f>
        <v>0</v>
      </c>
      <c r="BM159" s="1802">
        <f>BM210-BL210</f>
        <v>0</v>
      </c>
      <c r="BN159" s="1802">
        <f>BN210-BM210</f>
        <v>0</v>
      </c>
      <c r="BO159" s="1802">
        <f>BO210-BN210</f>
        <v>0</v>
      </c>
      <c r="BP159" s="1802">
        <f>BP210-BO210</f>
        <v>0</v>
      </c>
      <c r="BQ159" s="96">
        <f>SUM(BE159:BP159)</f>
        <v>0</v>
      </c>
      <c r="BR159" s="1569"/>
      <c r="BS159" s="153">
        <f>SUM(BQ159,BD159,AQ159,AD159,Q159)</f>
        <v>0</v>
      </c>
      <c r="BT159" s="1569"/>
      <c r="BU159" s="113">
        <f>SUM(BQ159,BD159,AQ159,AD159,Q159)</f>
      </c>
      <c r="BV159" s="158"/>
      <c r="BW159" s="96"/>
      <c r="BX159" s="96"/>
      <c r="BY159" s="96"/>
      <c r="BZ159" s="96"/>
      <c r="CA159" s="96"/>
      <c r="CB159" s="96"/>
      <c r="CC159" s="96"/>
      <c r="CD159" s="96"/>
      <c r="CE159" s="96"/>
      <c r="CF159" s="96"/>
      <c r="CG159" s="96"/>
      <c r="CH159" s="96"/>
      <c r="CI159" s="96"/>
      <c r="CJ159" s="96"/>
      <c r="CK159" s="96"/>
      <c r="CL159" s="96"/>
      <c r="CM159" s="96"/>
      <c r="CN159" s="96"/>
      <c r="CO159" s="96"/>
      <c r="CP159" s="96"/>
    </row>
    <row r="160" spans="1:94" ht="12.75" customHeight="1" x14ac:dyDescent="0.35">
      <c r="A160" s="136"/>
      <c r="B160" s="136"/>
      <c r="C160" s="136"/>
      <c r="D160" s="142" t="s">
        <v>322</v>
      </c>
      <c r="E160" s="111">
        <f>SUM(E149:E159)</f>
        <v>0</v>
      </c>
      <c r="F160" s="111">
        <f>SUM(F149:F159)</f>
        <v>0</v>
      </c>
      <c r="G160" s="111">
        <f>SUM(G149:G159)</f>
        <v>0</v>
      </c>
      <c r="H160" s="111">
        <f>SUM(H149:H159)</f>
        <v>0</v>
      </c>
      <c r="I160" s="111">
        <f>SUM(I149:I159)</f>
        <v>0</v>
      </c>
      <c r="J160" s="111">
        <f>SUM(J149:J159)</f>
        <v>0</v>
      </c>
      <c r="K160" s="111">
        <f>SUM(K149:K159)</f>
        <v>0</v>
      </c>
      <c r="L160" s="111">
        <f>SUM(L149:L159)</f>
        <v>0</v>
      </c>
      <c r="M160" s="111">
        <f>SUM(M149:M159)</f>
        <v>0</v>
      </c>
      <c r="N160" s="111">
        <f>SUM(N149:N159)</f>
        <v>0</v>
      </c>
      <c r="O160" s="111">
        <f>SUM(O149:O159)</f>
        <v>0</v>
      </c>
      <c r="P160" s="111">
        <f>SUM(P149:P159)</f>
        <v>0</v>
      </c>
      <c r="Q160" s="111">
        <f>SUM(Q149:Q159)</f>
        <v>0</v>
      </c>
      <c r="R160" s="111">
        <f>SUM(R149:R159)</f>
        <v>0</v>
      </c>
      <c r="S160" s="111">
        <f>SUM(S149:S159)</f>
        <v>0</v>
      </c>
      <c r="T160" s="111">
        <f>SUM(T149:T159)</f>
        <v>0</v>
      </c>
      <c r="U160" s="111">
        <f>SUM(U149:U159)</f>
        <v>0</v>
      </c>
      <c r="V160" s="111">
        <f>SUM(V149:V159)</f>
        <v>0</v>
      </c>
      <c r="W160" s="111">
        <f>SUM(W149:W159)</f>
        <v>0</v>
      </c>
      <c r="X160" s="111">
        <f>SUM(X149:X159)</f>
        <v>0</v>
      </c>
      <c r="Y160" s="111">
        <f>SUM(Y149:Y159)</f>
        <v>0</v>
      </c>
      <c r="Z160" s="111">
        <f>SUM(Z149:Z159)</f>
        <v>0</v>
      </c>
      <c r="AA160" s="111">
        <f>SUM(AA149:AA159)</f>
        <v>0</v>
      </c>
      <c r="AB160" s="111">
        <f>SUM(AB149:AB159)</f>
        <v>0</v>
      </c>
      <c r="AC160" s="111">
        <f>SUM(AC149:AC159)</f>
        <v>0</v>
      </c>
      <c r="AD160" s="111">
        <f>SUM(AD149:AD159)</f>
        <v>0</v>
      </c>
      <c r="AE160" s="111">
        <f>SUM(AE149:AE159)</f>
        <v>0</v>
      </c>
      <c r="AF160" s="111">
        <f>SUM(AF149:AF159)</f>
        <v>0</v>
      </c>
      <c r="AG160" s="111">
        <f>SUM(AG149:AG159)</f>
        <v>0</v>
      </c>
      <c r="AH160" s="111">
        <f>SUM(AH149:AH159)</f>
        <v>0</v>
      </c>
      <c r="AI160" s="111">
        <f>SUM(AI149:AI159)</f>
        <v>0</v>
      </c>
      <c r="AJ160" s="111">
        <f>SUM(AJ149:AJ159)</f>
        <v>0</v>
      </c>
      <c r="AK160" s="111">
        <f>SUM(AK149:AK159)</f>
        <v>0</v>
      </c>
      <c r="AL160" s="111">
        <f>SUM(AL149:AL159)</f>
        <v>0</v>
      </c>
      <c r="AM160" s="111">
        <f>SUM(AM149:AM159)</f>
        <v>0</v>
      </c>
      <c r="AN160" s="111">
        <f>SUM(AN149:AN159)</f>
        <v>0</v>
      </c>
      <c r="AO160" s="111">
        <f>SUM(AO149:AO159)</f>
        <v>0</v>
      </c>
      <c r="AP160" s="111">
        <f>SUM(AP149:AP159)</f>
        <v>0</v>
      </c>
      <c r="AQ160" s="111">
        <f>SUM(AQ149:AQ159)</f>
        <v>0</v>
      </c>
      <c r="AR160" s="111">
        <f>SUM(AR149:AR159)</f>
        <v>0</v>
      </c>
      <c r="AS160" s="111">
        <f>SUM(AS149:AS159)</f>
        <v>0</v>
      </c>
      <c r="AT160" s="111">
        <f>SUM(AT149:AT159)</f>
        <v>0</v>
      </c>
      <c r="AU160" s="111">
        <f>SUM(AU149:AU159)</f>
        <v>0</v>
      </c>
      <c r="AV160" s="111">
        <f>SUM(AV149:AV159)</f>
        <v>0</v>
      </c>
      <c r="AW160" s="111">
        <f>SUM(AW149:AW159)</f>
        <v>0</v>
      </c>
      <c r="AX160" s="111">
        <f>SUM(AX149:AX159)</f>
        <v>0</v>
      </c>
      <c r="AY160" s="111">
        <f>SUM(AY149:AY159)</f>
        <v>0</v>
      </c>
      <c r="AZ160" s="111">
        <f>SUM(AZ149:AZ159)</f>
        <v>0</v>
      </c>
      <c r="BA160" s="111">
        <f>SUM(BA149:BA159)</f>
        <v>0</v>
      </c>
      <c r="BB160" s="111">
        <f>SUM(BB149:BB159)</f>
        <v>0</v>
      </c>
      <c r="BC160" s="111">
        <f>SUM(BC149:BC159)</f>
        <v>0</v>
      </c>
      <c r="BD160" s="111">
        <f>SUM(BD149:BD159)</f>
        <v>0</v>
      </c>
      <c r="BE160" s="111">
        <f>SUM(BE149:BE159)</f>
        <v>0</v>
      </c>
      <c r="BF160" s="111">
        <f>SUM(BF149:BF159)</f>
        <v>0</v>
      </c>
      <c r="BG160" s="111">
        <f>SUM(BG149:BG159)</f>
        <v>0</v>
      </c>
      <c r="BH160" s="111">
        <f>SUM(BH149:BH159)</f>
        <v>0</v>
      </c>
      <c r="BI160" s="111">
        <f>SUM(BI149:BI159)</f>
        <v>0</v>
      </c>
      <c r="BJ160" s="111">
        <f>SUM(BJ149:BJ159)</f>
        <v>0</v>
      </c>
      <c r="BK160" s="111">
        <f>SUM(BK149:BK159)</f>
        <v>0</v>
      </c>
      <c r="BL160" s="111">
        <f>SUM(BL149:BL159)</f>
        <v>0</v>
      </c>
      <c r="BM160" s="111">
        <f>SUM(BM149:BM159)</f>
        <v>0</v>
      </c>
      <c r="BN160" s="111">
        <f>SUM(BN149:BN159)</f>
        <v>0</v>
      </c>
      <c r="BO160" s="111">
        <f>SUM(BO149:BO159)</f>
        <v>0</v>
      </c>
      <c r="BP160" s="111">
        <f>SUM(BP149:BP159)</f>
        <v>0</v>
      </c>
      <c r="BQ160" s="111">
        <f>SUM(BQ149:BQ159)</f>
        <v>0</v>
      </c>
      <c r="BR160" s="256"/>
      <c r="BS160" s="153">
        <v>1</v>
      </c>
      <c r="BT160" s="256"/>
      <c r="BU160" s="114">
        <f>SUM(BU149:BU159)</f>
      </c>
      <c r="BV160" s="138" t="s">
        <v>322</v>
      </c>
      <c r="BW160" s="111">
        <f>SUM(BW149:BW156)</f>
        <v>0</v>
      </c>
      <c r="BX160" s="111">
        <f>SUM(BX149:BX156)</f>
        <v>0</v>
      </c>
      <c r="BY160" s="111">
        <f>SUM(BY149:BY156)</f>
        <v>0</v>
      </c>
      <c r="BZ160" s="111">
        <f>SUM(BZ149:BZ156)</f>
        <v>0</v>
      </c>
      <c r="CA160" s="98">
        <f>SUM(CA149:CA156)</f>
        <v>0</v>
      </c>
      <c r="CB160" s="98">
        <f>SUM(CB149:CB156)</f>
        <v>0</v>
      </c>
      <c r="CC160" s="98">
        <f>SUM(CC149:CC156)</f>
        <v>0</v>
      </c>
      <c r="CD160" s="98">
        <f>SUM(CD149:CD156)</f>
        <v>0</v>
      </c>
      <c r="CE160" s="98">
        <f>SUM(CE149:CE156)</f>
        <v>0</v>
      </c>
      <c r="CF160" s="98">
        <f>SUM(CF149:CF156)</f>
        <v>0</v>
      </c>
      <c r="CG160" s="98">
        <f>SUM(CG149:CG156)</f>
        <v>0</v>
      </c>
      <c r="CH160" s="98">
        <f>SUM(CH149:CH156)</f>
        <v>0</v>
      </c>
      <c r="CI160" s="98">
        <f>SUM(CI149:CI156)</f>
        <v>0</v>
      </c>
      <c r="CJ160" s="98">
        <f>SUM(CJ149:CJ156)</f>
        <v>0</v>
      </c>
      <c r="CK160" s="98">
        <f>SUM(CK149:CK156)</f>
        <v>0</v>
      </c>
      <c r="CL160" s="98">
        <f>SUM(CL149:CL156)</f>
        <v>0</v>
      </c>
      <c r="CM160" s="98">
        <f>SUM(CM149:CM156)</f>
        <v>0</v>
      </c>
      <c r="CN160" s="98">
        <f>SUM(CN149:CN156)</f>
        <v>0</v>
      </c>
      <c r="CO160" s="98">
        <f>SUM(CO149:CO156)</f>
        <v>0</v>
      </c>
      <c r="CP160" s="98">
        <f>SUM(CP149:CP156)</f>
        <v>0</v>
      </c>
    </row>
    <row r="161" spans="1:156" ht="5.15" customHeight="1" x14ac:dyDescent="0.35">
      <c r="A161" s="136"/>
      <c r="B161" s="136"/>
      <c r="C161" s="136"/>
      <c r="D161" s="152"/>
      <c r="E161" s="110"/>
      <c r="F161" s="110"/>
      <c r="G161" s="96"/>
      <c r="H161" s="96"/>
      <c r="I161" s="96"/>
      <c r="J161" s="96"/>
      <c r="K161" s="96"/>
      <c r="L161" s="96"/>
      <c r="M161" s="96"/>
      <c r="N161" s="96"/>
      <c r="O161" s="96"/>
      <c r="P161" s="96"/>
      <c r="Q161" s="96"/>
      <c r="R161" s="96"/>
      <c r="S161" s="96"/>
      <c r="T161" s="96"/>
      <c r="U161" s="96"/>
      <c r="V161" s="96"/>
      <c r="W161" s="96"/>
      <c r="X161" s="96"/>
      <c r="Y161" s="96"/>
      <c r="Z161" s="96"/>
      <c r="AA161" s="96"/>
      <c r="AB161" s="96"/>
      <c r="AC161" s="96"/>
      <c r="AD161" s="96"/>
      <c r="AE161" s="96"/>
      <c r="AF161" s="96"/>
      <c r="AG161" s="96"/>
      <c r="AH161" s="96"/>
      <c r="AI161" s="96"/>
      <c r="AJ161" s="96"/>
      <c r="AK161" s="96"/>
      <c r="AL161" s="96"/>
      <c r="AM161" s="96"/>
      <c r="AN161" s="96"/>
      <c r="AO161" s="96"/>
      <c r="AP161" s="96"/>
      <c r="AQ161" s="96"/>
      <c r="AR161" s="96"/>
      <c r="AS161" s="96"/>
      <c r="AT161" s="96"/>
      <c r="AU161" s="96"/>
      <c r="AV161" s="96"/>
      <c r="AW161" s="96"/>
      <c r="AX161" s="96"/>
      <c r="AY161" s="96"/>
      <c r="AZ161" s="96"/>
      <c r="BA161" s="96"/>
      <c r="BB161" s="96"/>
      <c r="BC161" s="96"/>
      <c r="BD161" s="96"/>
      <c r="BE161" s="96"/>
      <c r="BF161" s="96"/>
      <c r="BG161" s="96"/>
      <c r="BH161" s="96"/>
      <c r="BI161" s="96"/>
      <c r="BJ161" s="96"/>
      <c r="BK161" s="96"/>
      <c r="BL161" s="96"/>
      <c r="BM161" s="96"/>
      <c r="BN161" s="96"/>
      <c r="BO161" s="96"/>
      <c r="BP161" s="96"/>
      <c r="BQ161" s="96"/>
      <c r="BR161" s="1569"/>
      <c r="BS161" s="153">
        <v>1</v>
      </c>
      <c r="BT161" s="1569"/>
      <c r="BU161" s="113"/>
      <c r="BV161" s="158"/>
      <c r="BW161" s="110"/>
      <c r="BX161" s="110"/>
      <c r="BY161" s="110"/>
      <c r="BZ161" s="110"/>
      <c r="CA161" s="96"/>
      <c r="CB161" s="96"/>
      <c r="CC161" s="96"/>
      <c r="CD161" s="96"/>
      <c r="CE161" s="96"/>
      <c r="CF161" s="96"/>
      <c r="CG161" s="96"/>
      <c r="CH161" s="96"/>
      <c r="CI161" s="96"/>
      <c r="CJ161" s="96"/>
      <c r="CK161" s="96"/>
      <c r="CL161" s="96"/>
      <c r="CM161" s="96"/>
      <c r="CN161" s="96"/>
      <c r="CO161" s="96"/>
      <c r="CP161" s="96"/>
      <c r="CZ161" s="179"/>
      <c r="DA161" s="179"/>
      <c r="DB161" s="179"/>
      <c r="DC161" s="179"/>
      <c r="DD161" s="179"/>
      <c r="DE161" s="179"/>
      <c r="DF161" s="179"/>
      <c r="DG161" s="179"/>
      <c r="DH161" s="179"/>
      <c r="DI161" s="179"/>
      <c r="DJ161" s="179"/>
      <c r="DK161" s="179"/>
      <c r="DL161" s="179"/>
      <c r="DM161" s="179"/>
      <c r="DN161" s="179"/>
      <c r="DO161" s="179"/>
      <c r="DP161" s="179"/>
      <c r="DQ161" s="179"/>
      <c r="DR161" s="179"/>
      <c r="DS161" s="179"/>
      <c r="DT161" s="179"/>
      <c r="DU161" s="179"/>
      <c r="DV161" s="179"/>
      <c r="DW161" s="179"/>
      <c r="DX161" s="179"/>
      <c r="DY161" s="179"/>
      <c r="DZ161" s="179"/>
      <c r="EA161" s="179"/>
      <c r="EB161" s="179"/>
      <c r="EC161" s="179"/>
      <c r="ED161" s="179"/>
      <c r="EE161" s="179"/>
      <c r="EF161" s="179"/>
      <c r="EG161" s="179"/>
      <c r="EH161" s="179"/>
      <c r="EI161" s="179"/>
      <c r="EJ161" s="179"/>
      <c r="EK161" s="179"/>
      <c r="EL161" s="179"/>
      <c r="EM161" s="179"/>
      <c r="EN161" s="179"/>
      <c r="EO161" s="179"/>
      <c r="EP161" s="179"/>
      <c r="EQ161" s="179"/>
      <c r="ER161" s="179"/>
      <c r="ES161" s="179"/>
      <c r="ET161" s="179"/>
      <c r="EU161" s="179"/>
      <c r="EV161" s="179"/>
      <c r="EW161" s="179"/>
      <c r="EX161" s="179"/>
      <c r="EY161" s="179"/>
      <c r="EZ161" s="179"/>
    </row>
    <row r="162" spans="1:156" ht="12.75" customHeight="1" x14ac:dyDescent="0.35">
      <c r="A162" s="136"/>
      <c r="B162" s="136"/>
      <c r="C162" s="136"/>
      <c r="D162" s="142" t="s">
        <v>22</v>
      </c>
      <c r="E162" s="113">
        <f>E155+E156+E158</f>
        <v>0</v>
      </c>
      <c r="F162" s="113">
        <f>F155+F156+F158</f>
        <v>0</v>
      </c>
      <c r="G162" s="113">
        <f>G155+G156+G158</f>
        <v>0</v>
      </c>
      <c r="H162" s="113">
        <f>H155+H156+H158</f>
        <v>0</v>
      </c>
      <c r="I162" s="113">
        <f>I155+I156+I158</f>
        <v>0</v>
      </c>
      <c r="J162" s="113">
        <f>J155+J156+J158</f>
        <v>0</v>
      </c>
      <c r="K162" s="113">
        <f>K155+K156+K158</f>
        <v>0</v>
      </c>
      <c r="L162" s="113">
        <f>L155+L156+L158</f>
        <v>0</v>
      </c>
      <c r="M162" s="113">
        <f>M155+M156+M158</f>
        <v>0</v>
      </c>
      <c r="N162" s="113">
        <f>N155+N156+N158</f>
        <v>0</v>
      </c>
      <c r="O162" s="113">
        <f>O155+O156+O158</f>
        <v>0</v>
      </c>
      <c r="P162" s="113">
        <f>P155+P156+P158</f>
        <v>0</v>
      </c>
      <c r="Q162" s="113">
        <f>Q155+Q156+Q158</f>
        <v>0</v>
      </c>
      <c r="R162" s="113">
        <f>R155+R156+R158</f>
        <v>0</v>
      </c>
      <c r="S162" s="113">
        <f>S155+S156+S158</f>
        <v>0</v>
      </c>
      <c r="T162" s="113">
        <f>T155+T156+T158</f>
        <v>0</v>
      </c>
      <c r="U162" s="113">
        <f>U155+U156+U158</f>
        <v>0</v>
      </c>
      <c r="V162" s="113">
        <f>V155+V156+V158</f>
        <v>0</v>
      </c>
      <c r="W162" s="113">
        <f>W155+W156+W158</f>
        <v>0</v>
      </c>
      <c r="X162" s="113">
        <f>X155+X156+X158</f>
        <v>0</v>
      </c>
      <c r="Y162" s="113">
        <f>Y155+Y156+Y158</f>
        <v>0</v>
      </c>
      <c r="Z162" s="113">
        <f>Z155+Z156+Z158</f>
        <v>0</v>
      </c>
      <c r="AA162" s="113">
        <f>AA155+AA156+AA158</f>
        <v>0</v>
      </c>
      <c r="AB162" s="113">
        <f>AB155+AB156+AB158</f>
        <v>0</v>
      </c>
      <c r="AC162" s="113">
        <f>AC155+AC156+AC158</f>
        <v>0</v>
      </c>
      <c r="AD162" s="113">
        <f>AD155+AD156+AD158</f>
        <v>0</v>
      </c>
      <c r="AE162" s="113">
        <f>AE155+AE156+AE158</f>
        <v>0</v>
      </c>
      <c r="AF162" s="113">
        <f>AF155+AF156+AF158</f>
        <v>0</v>
      </c>
      <c r="AG162" s="113">
        <f>AG155+AG156+AG158</f>
        <v>0</v>
      </c>
      <c r="AH162" s="113">
        <f>AH155+AH156+AH158</f>
        <v>0</v>
      </c>
      <c r="AI162" s="113">
        <f>AI155+AI156+AI158</f>
        <v>0</v>
      </c>
      <c r="AJ162" s="113">
        <f>AJ155+AJ156+AJ158</f>
        <v>0</v>
      </c>
      <c r="AK162" s="113">
        <f>AK155+AK156+AK158</f>
        <v>0</v>
      </c>
      <c r="AL162" s="113">
        <f>AL155+AL156+AL158</f>
        <v>0</v>
      </c>
      <c r="AM162" s="113">
        <f>AM155+AM156+AM158</f>
        <v>0</v>
      </c>
      <c r="AN162" s="113">
        <f>AN155+AN156+AN158</f>
        <v>0</v>
      </c>
      <c r="AO162" s="113">
        <f>AO155+AO156+AO158</f>
        <v>0</v>
      </c>
      <c r="AP162" s="113">
        <f>AP155+AP156+AP158</f>
        <v>0</v>
      </c>
      <c r="AQ162" s="113">
        <f>AQ155+AQ156+AQ158</f>
        <v>0</v>
      </c>
      <c r="AR162" s="113">
        <f>AR155+AR156+AR158</f>
        <v>0</v>
      </c>
      <c r="AS162" s="113">
        <f>AS155+AS156+AS158</f>
        <v>0</v>
      </c>
      <c r="AT162" s="113">
        <f>AT155+AT156+AT158</f>
        <v>0</v>
      </c>
      <c r="AU162" s="113">
        <f>AU155+AU156+AU158</f>
        <v>0</v>
      </c>
      <c r="AV162" s="113">
        <f>AV155+AV156+AV158</f>
        <v>0</v>
      </c>
      <c r="AW162" s="113">
        <f>AW155+AW156+AW158</f>
        <v>0</v>
      </c>
      <c r="AX162" s="113">
        <f>AX155+AX156+AX158</f>
        <v>0</v>
      </c>
      <c r="AY162" s="113">
        <f>AY155+AY156+AY158</f>
        <v>0</v>
      </c>
      <c r="AZ162" s="113">
        <f>AZ155+AZ156+AZ158</f>
        <v>0</v>
      </c>
      <c r="BA162" s="113">
        <f>BA155+BA156+BA158</f>
        <v>0</v>
      </c>
      <c r="BB162" s="113">
        <f>BB155+BB156+BB158</f>
        <v>0</v>
      </c>
      <c r="BC162" s="113">
        <f>BC155+BC156+BC158</f>
        <v>0</v>
      </c>
      <c r="BD162" s="113">
        <f>BD155+BD156+BD158</f>
        <v>0</v>
      </c>
      <c r="BE162" s="113">
        <f>BE155+BE156+BE158</f>
        <v>0</v>
      </c>
      <c r="BF162" s="113">
        <f>BF155+BF156+BF158</f>
        <v>0</v>
      </c>
      <c r="BG162" s="113">
        <f>BG155+BG156+BG158</f>
        <v>0</v>
      </c>
      <c r="BH162" s="113">
        <f>BH155+BH156+BH158</f>
        <v>0</v>
      </c>
      <c r="BI162" s="113">
        <f>BI155+BI156+BI158</f>
        <v>0</v>
      </c>
      <c r="BJ162" s="113">
        <f>BJ155+BJ156+BJ158</f>
        <v>0</v>
      </c>
      <c r="BK162" s="113">
        <f>BK155+BK156+BK158</f>
        <v>0</v>
      </c>
      <c r="BL162" s="113">
        <f>BL155+BL156+BL158</f>
        <v>0</v>
      </c>
      <c r="BM162" s="113">
        <f>BM155+BM156+BM158</f>
        <v>0</v>
      </c>
      <c r="BN162" s="113">
        <f>BN155+BN156+BN158</f>
        <v>0</v>
      </c>
      <c r="BO162" s="113">
        <f>BO155+BO156+BO158</f>
        <v>0</v>
      </c>
      <c r="BP162" s="113">
        <f>BP155+BP156+BP158</f>
        <v>0</v>
      </c>
      <c r="BQ162" s="113">
        <f>BQ155+BQ156+BQ158</f>
        <v>0</v>
      </c>
      <c r="BR162" s="1569"/>
      <c r="BS162" s="153">
        <v>1</v>
      </c>
      <c r="BT162" s="1569"/>
      <c r="BU162" s="113"/>
      <c r="BV162" s="138" t="s">
        <v>22</v>
      </c>
      <c r="BW162" s="110"/>
      <c r="BX162" s="110"/>
      <c r="BY162" s="110"/>
      <c r="BZ162" s="110"/>
      <c r="CA162" s="96"/>
      <c r="CB162" s="96"/>
      <c r="CC162" s="96"/>
      <c r="CD162" s="96"/>
      <c r="CE162" s="96"/>
      <c r="CF162" s="96"/>
      <c r="CG162" s="96"/>
      <c r="CH162" s="96"/>
      <c r="CI162" s="96"/>
      <c r="CJ162" s="96"/>
      <c r="CK162" s="96"/>
      <c r="CL162" s="96"/>
      <c r="CM162" s="96"/>
      <c r="CN162" s="96"/>
      <c r="CO162" s="96"/>
      <c r="CP162" s="96"/>
      <c r="CZ162" s="179"/>
      <c r="DA162" s="179"/>
      <c r="DB162" s="179"/>
      <c r="DC162" s="179"/>
      <c r="DD162" s="179"/>
      <c r="DE162" s="179"/>
      <c r="DF162" s="179"/>
      <c r="DG162" s="179"/>
      <c r="DH162" s="179"/>
      <c r="DI162" s="179"/>
      <c r="DJ162" s="179"/>
      <c r="DK162" s="179"/>
      <c r="DL162" s="179"/>
      <c r="DM162" s="179"/>
      <c r="DN162" s="179"/>
      <c r="DO162" s="179"/>
      <c r="DP162" s="179"/>
      <c r="DQ162" s="179"/>
      <c r="DR162" s="179"/>
      <c r="DS162" s="179"/>
      <c r="DT162" s="179"/>
      <c r="DU162" s="179"/>
      <c r="DV162" s="179"/>
      <c r="DW162" s="179"/>
      <c r="DX162" s="179"/>
      <c r="DY162" s="179"/>
      <c r="DZ162" s="179"/>
      <c r="EA162" s="179"/>
      <c r="EB162" s="179"/>
      <c r="EC162" s="179"/>
      <c r="ED162" s="179"/>
      <c r="EE162" s="179"/>
      <c r="EF162" s="179"/>
      <c r="EG162" s="179"/>
      <c r="EH162" s="179"/>
      <c r="EI162" s="179"/>
      <c r="EJ162" s="179"/>
      <c r="EK162" s="179"/>
      <c r="EL162" s="179"/>
      <c r="EM162" s="179"/>
      <c r="EN162" s="179"/>
      <c r="EO162" s="179"/>
      <c r="EP162" s="179"/>
      <c r="EQ162" s="179"/>
      <c r="ER162" s="179"/>
      <c r="ES162" s="179"/>
      <c r="ET162" s="179"/>
      <c r="EU162" s="179"/>
      <c r="EV162" s="179"/>
      <c r="EW162" s="179"/>
      <c r="EX162" s="179"/>
      <c r="EY162" s="179"/>
      <c r="EZ162" s="179"/>
    </row>
    <row r="163" spans="1:156" ht="12.75" customHeight="1" x14ac:dyDescent="0.35">
      <c r="A163" s="136"/>
      <c r="B163" s="136"/>
      <c r="C163" s="136"/>
      <c r="D163" s="152" t="s">
        <v>23</v>
      </c>
      <c r="E163" s="110">
        <f>-Calcs!CG304</f>
        <v>0</v>
      </c>
      <c r="F163" s="110">
        <f>-Calcs!CH304</f>
        <v>0</v>
      </c>
      <c r="G163" s="110">
        <f>-Calcs!CI304</f>
        <v>0</v>
      </c>
      <c r="H163" s="110">
        <f>-Calcs!CJ304</f>
        <v>0</v>
      </c>
      <c r="I163" s="110">
        <f>-Calcs!CK304</f>
        <v>0</v>
      </c>
      <c r="J163" s="110">
        <f>-Calcs!CL304</f>
        <v>0</v>
      </c>
      <c r="K163" s="110">
        <f>-Calcs!CM304</f>
        <v>0</v>
      </c>
      <c r="L163" s="110">
        <f>-Calcs!CN304</f>
        <v>0</v>
      </c>
      <c r="M163" s="110">
        <f>-Calcs!CO304</f>
        <v>0</v>
      </c>
      <c r="N163" s="110">
        <f>-Calcs!CP304</f>
        <v>0</v>
      </c>
      <c r="O163" s="110">
        <f>-Calcs!CQ304</f>
        <v>0</v>
      </c>
      <c r="P163" s="110">
        <f>-Calcs!CR304</f>
        <v>0</v>
      </c>
      <c r="Q163" s="151">
        <f>SUM(E163:P163)</f>
        <v>0</v>
      </c>
      <c r="R163" s="110">
        <f>-Calcs!CS304</f>
        <v>0</v>
      </c>
      <c r="S163" s="110">
        <f>-Calcs!CT304</f>
        <v>0</v>
      </c>
      <c r="T163" s="110">
        <f>-Calcs!CU304</f>
        <v>0</v>
      </c>
      <c r="U163" s="110">
        <f>-Calcs!CV304</f>
        <v>0</v>
      </c>
      <c r="V163" s="110">
        <f>-Calcs!CW304</f>
        <v>0</v>
      </c>
      <c r="W163" s="110">
        <f>-Calcs!CX304</f>
        <v>0</v>
      </c>
      <c r="X163" s="110">
        <f>-Calcs!CY304</f>
        <v>0</v>
      </c>
      <c r="Y163" s="110">
        <f>-Calcs!CZ304</f>
        <v>0</v>
      </c>
      <c r="Z163" s="110">
        <f>-Calcs!DA304</f>
        <v>0</v>
      </c>
      <c r="AA163" s="110">
        <f>-Calcs!DB304</f>
        <v>0</v>
      </c>
      <c r="AB163" s="110">
        <f>-Calcs!DC304</f>
        <v>0</v>
      </c>
      <c r="AC163" s="110">
        <f>-Calcs!DD304</f>
        <v>0</v>
      </c>
      <c r="AD163" s="110">
        <f>SUM(R163:AC163)</f>
        <v>0</v>
      </c>
      <c r="AE163" s="110">
        <f>-Calcs!DE304</f>
        <v>0</v>
      </c>
      <c r="AF163" s="110">
        <f>-Calcs!DF304</f>
        <v>0</v>
      </c>
      <c r="AG163" s="110">
        <f>-Calcs!DG304</f>
        <v>0</v>
      </c>
      <c r="AH163" s="110">
        <f>-Calcs!DH304</f>
        <v>0</v>
      </c>
      <c r="AI163" s="110">
        <f>-Calcs!DI304</f>
        <v>0</v>
      </c>
      <c r="AJ163" s="110">
        <f>-Calcs!DJ304</f>
        <v>0</v>
      </c>
      <c r="AK163" s="110">
        <f>-Calcs!DK304</f>
        <v>0</v>
      </c>
      <c r="AL163" s="110">
        <f>-Calcs!DL304</f>
        <v>0</v>
      </c>
      <c r="AM163" s="110">
        <f>-Calcs!DM304</f>
        <v>0</v>
      </c>
      <c r="AN163" s="110">
        <f>-Calcs!DN304</f>
        <v>0</v>
      </c>
      <c r="AO163" s="110">
        <f>-Calcs!DO304</f>
        <v>0</v>
      </c>
      <c r="AP163" s="110">
        <f>-Calcs!DP304</f>
        <v>0</v>
      </c>
      <c r="AQ163" s="110">
        <f>SUM(AE163:AP163)</f>
        <v>0</v>
      </c>
      <c r="AR163" s="110">
        <f>-Calcs!DQ304</f>
        <v>0</v>
      </c>
      <c r="AS163" s="110">
        <f>-Calcs!DR304</f>
        <v>0</v>
      </c>
      <c r="AT163" s="110">
        <f>-Calcs!DS304</f>
        <v>0</v>
      </c>
      <c r="AU163" s="110">
        <f>-Calcs!DT304</f>
        <v>0</v>
      </c>
      <c r="AV163" s="110">
        <f>-Calcs!DU304</f>
        <v>0</v>
      </c>
      <c r="AW163" s="110">
        <f>-Calcs!DV304</f>
        <v>0</v>
      </c>
      <c r="AX163" s="110">
        <f>-Calcs!DW304</f>
        <v>0</v>
      </c>
      <c r="AY163" s="110">
        <f>-Calcs!DX304</f>
        <v>0</v>
      </c>
      <c r="AZ163" s="110">
        <f>-Calcs!DY304</f>
        <v>0</v>
      </c>
      <c r="BA163" s="110">
        <f>-Calcs!DZ304</f>
        <v>0</v>
      </c>
      <c r="BB163" s="110">
        <f>-Calcs!EA304</f>
        <v>0</v>
      </c>
      <c r="BC163" s="110">
        <f>-Calcs!EB304</f>
        <v>0</v>
      </c>
      <c r="BD163" s="110">
        <f>SUM(AR163:BC163)</f>
        <v>0</v>
      </c>
      <c r="BE163" s="110">
        <f>-Calcs!EC304</f>
        <v>0</v>
      </c>
      <c r="BF163" s="110">
        <f>-Calcs!ED304</f>
        <v>0</v>
      </c>
      <c r="BG163" s="110">
        <f>-Calcs!EE304</f>
        <v>0</v>
      </c>
      <c r="BH163" s="110">
        <f>-Calcs!EF304</f>
        <v>0</v>
      </c>
      <c r="BI163" s="110">
        <f>-Calcs!EG304</f>
        <v>0</v>
      </c>
      <c r="BJ163" s="110">
        <f>-Calcs!EH304</f>
        <v>0</v>
      </c>
      <c r="BK163" s="110">
        <f>-Calcs!EI304</f>
        <v>0</v>
      </c>
      <c r="BL163" s="110">
        <f>-Calcs!EJ304</f>
        <v>0</v>
      </c>
      <c r="BM163" s="110">
        <f>-Calcs!EK304</f>
        <v>0</v>
      </c>
      <c r="BN163" s="110">
        <f>-Calcs!EL304</f>
        <v>0</v>
      </c>
      <c r="BO163" s="110">
        <f>-Calcs!EM304</f>
        <v>0</v>
      </c>
      <c r="BP163" s="110">
        <f>-Calcs!EN304</f>
        <v>0</v>
      </c>
      <c r="BQ163" s="110">
        <f>SUM(BE163:BP163)</f>
        <v>0</v>
      </c>
      <c r="BR163" s="1569"/>
      <c r="BS163" s="153">
        <v>1</v>
      </c>
      <c r="BT163" s="1569"/>
      <c r="BU163" s="113">
        <f>SUM(BQ163,BD163,AQ163,AD163,Q163)</f>
      </c>
      <c r="BV163" s="158" t="s">
        <v>23</v>
      </c>
      <c r="BW163" s="96">
        <f>SUM(Financials!E163:'Financials'!G163)</f>
        <v>0</v>
      </c>
      <c r="BX163" s="96">
        <f>SUM(Financials!H163:'Financials'!J163)</f>
        <v>0</v>
      </c>
      <c r="BY163" s="96">
        <f>SUM(Financials!K163:'Financials'!M163)</f>
        <v>0</v>
      </c>
      <c r="BZ163" s="96">
        <f>SUM(Financials!N163:'Financials'!P163)</f>
        <v>0</v>
      </c>
      <c r="CA163" s="96">
        <f>SUM(Financials!R163:'Financials'!T163)</f>
        <v>0</v>
      </c>
      <c r="CB163" s="96">
        <f>SUM(Financials!U163:'Financials'!W163)</f>
        <v>0</v>
      </c>
      <c r="CC163" s="96">
        <f>SUM(Financials!X163:'Financials'!Z163)</f>
        <v>0</v>
      </c>
      <c r="CD163" s="96">
        <f>SUM(Financials!AA163:'Financials'!AC163)</f>
        <v>0</v>
      </c>
      <c r="CE163" s="96">
        <f>SUM(Financials!AE163:'Financials'!AG163)</f>
        <v>0</v>
      </c>
      <c r="CF163" s="96">
        <f>SUM(Financials!AH163:'Financials'!AJ163)</f>
        <v>0</v>
      </c>
      <c r="CG163" s="96">
        <f>SUM(Financials!AK163:'Financials'!AM163)</f>
        <v>0</v>
      </c>
      <c r="CH163" s="96">
        <f>SUM(Financials!AN163:'Financials'!AP163)</f>
        <v>0</v>
      </c>
      <c r="CI163" s="96">
        <f>SUM(Financials!AR163:'Financials'!AT163)</f>
        <v>0</v>
      </c>
      <c r="CJ163" s="96">
        <f>SUM(Financials!AU163:'Financials'!AW163)</f>
        <v>0</v>
      </c>
      <c r="CK163" s="96">
        <f>SUM(Financials!AX163:'Financials'!AZ163)</f>
        <v>0</v>
      </c>
      <c r="CL163" s="96">
        <f>SUM(Financials!BA163:'Financials'!BC163)</f>
        <v>0</v>
      </c>
      <c r="CM163" s="96">
        <f>SUM(Financials!BE163:'Financials'!BG163)</f>
        <v>0</v>
      </c>
      <c r="CN163" s="96">
        <f>SUM(Financials!BH163:'Financials'!BJ163)</f>
        <v>0</v>
      </c>
      <c r="CO163" s="96">
        <f>SUM(Financials!BK163:'Financials'!BM163)</f>
        <v>0</v>
      </c>
      <c r="CP163" s="96">
        <f>SUM(Financials!BN163:'Financials'!BP163)</f>
        <v>0</v>
      </c>
    </row>
    <row r="164" spans="1:156" ht="12.75" customHeight="1" x14ac:dyDescent="0.35">
      <c r="A164" s="136"/>
      <c r="B164" s="136"/>
      <c r="C164" s="136"/>
      <c r="D164" s="152" t="s">
        <v>21</v>
      </c>
      <c r="E164" s="110">
        <f>-Calcs!CG365</f>
        <v>0</v>
      </c>
      <c r="F164" s="110">
        <f>-Calcs!CH365</f>
        <v>0</v>
      </c>
      <c r="G164" s="110">
        <f>-Calcs!CI365</f>
        <v>0</v>
      </c>
      <c r="H164" s="110">
        <f>-Calcs!CJ365</f>
        <v>0</v>
      </c>
      <c r="I164" s="110">
        <f>-Calcs!CK365</f>
        <v>0</v>
      </c>
      <c r="J164" s="110">
        <f>-Calcs!CL365</f>
        <v>0</v>
      </c>
      <c r="K164" s="110">
        <f>-Calcs!CM365</f>
        <v>0</v>
      </c>
      <c r="L164" s="110">
        <f>-Calcs!CN365</f>
        <v>0</v>
      </c>
      <c r="M164" s="110">
        <f>-Calcs!CO365</f>
        <v>0</v>
      </c>
      <c r="N164" s="110">
        <f>-Calcs!CP365</f>
        <v>0</v>
      </c>
      <c r="O164" s="110">
        <f>-Calcs!CQ365</f>
        <v>0</v>
      </c>
      <c r="P164" s="110">
        <f>-Calcs!CR365</f>
        <v>0</v>
      </c>
      <c r="Q164" s="151">
        <f>SUM(E164:P164)</f>
      </c>
      <c r="R164" s="110">
        <f>-Calcs!CS365</f>
        <v>0</v>
      </c>
      <c r="S164" s="110">
        <f>-Calcs!CT365</f>
        <v>0</v>
      </c>
      <c r="T164" s="110">
        <f>-Calcs!CU365</f>
        <v>0</v>
      </c>
      <c r="U164" s="110">
        <f>-Calcs!CV365</f>
        <v>0</v>
      </c>
      <c r="V164" s="110">
        <f>-Calcs!CW365</f>
        <v>0</v>
      </c>
      <c r="W164" s="110">
        <f>-Calcs!CX365</f>
        <v>0</v>
      </c>
      <c r="X164" s="110">
        <f>-Calcs!CY365</f>
        <v>0</v>
      </c>
      <c r="Y164" s="110">
        <f>-Calcs!CZ365</f>
        <v>0</v>
      </c>
      <c r="Z164" s="110">
        <f>-Calcs!DA365</f>
        <v>0</v>
      </c>
      <c r="AA164" s="110">
        <f>-Calcs!DB365</f>
        <v>0</v>
      </c>
      <c r="AB164" s="110">
        <f>-Calcs!DC365</f>
        <v>0</v>
      </c>
      <c r="AC164" s="110">
        <f>-Calcs!DD365</f>
        <v>0</v>
      </c>
      <c r="AD164" s="110">
        <f>SUM(R164:AC164)</f>
        <v>0</v>
      </c>
      <c r="AE164" s="110">
        <f>-Calcs!DE365</f>
        <v>0</v>
      </c>
      <c r="AF164" s="110">
        <f>-Calcs!DF365</f>
        <v>0</v>
      </c>
      <c r="AG164" s="110">
        <f>-Calcs!DG365</f>
        <v>0</v>
      </c>
      <c r="AH164" s="110">
        <f>-Calcs!DH365</f>
        <v>0</v>
      </c>
      <c r="AI164" s="110">
        <f>-Calcs!DI365</f>
        <v>0</v>
      </c>
      <c r="AJ164" s="110">
        <f>-Calcs!DJ365</f>
        <v>0</v>
      </c>
      <c r="AK164" s="110">
        <f>-Calcs!DK365</f>
        <v>0</v>
      </c>
      <c r="AL164" s="110">
        <f>-Calcs!DL365</f>
        <v>0</v>
      </c>
      <c r="AM164" s="110">
        <f>-Calcs!DM365</f>
        <v>0</v>
      </c>
      <c r="AN164" s="110">
        <f>-Calcs!DN365</f>
        <v>0</v>
      </c>
      <c r="AO164" s="110">
        <f>-Calcs!DO365</f>
        <v>0</v>
      </c>
      <c r="AP164" s="110">
        <f>-Calcs!DP365</f>
        <v>0</v>
      </c>
      <c r="AQ164" s="110">
        <f>SUM(AE164:AP164)</f>
        <v>0</v>
      </c>
      <c r="AR164" s="110">
        <f>-Calcs!DQ365</f>
      </c>
      <c r="AS164" s="110">
        <f>-Calcs!DR365</f>
      </c>
      <c r="AT164" s="110">
        <f>-Calcs!DS365</f>
      </c>
      <c r="AU164" s="110">
        <f>-Calcs!DT365</f>
      </c>
      <c r="AV164" s="110">
        <f>-Calcs!DU365</f>
      </c>
      <c r="AW164" s="110">
        <f>-Calcs!DV365</f>
      </c>
      <c r="AX164" s="110">
        <f>-Calcs!DW365</f>
      </c>
      <c r="AY164" s="110">
        <f>-Calcs!DX365</f>
      </c>
      <c r="AZ164" s="110">
        <f>-Calcs!DY365</f>
      </c>
      <c r="BA164" s="110">
        <f>-Calcs!DZ365</f>
      </c>
      <c r="BB164" s="110">
        <f>-Calcs!EA365</f>
      </c>
      <c r="BC164" s="110">
        <f>-Calcs!EB365</f>
      </c>
      <c r="BD164" s="110">
        <f>SUM(AR164:BC164)</f>
        <v>0</v>
      </c>
      <c r="BE164" s="110">
        <f>-Calcs!EC365</f>
        <v>0</v>
      </c>
      <c r="BF164" s="110">
        <f>-Calcs!ED365</f>
        <v>0</v>
      </c>
      <c r="BG164" s="110">
        <f>-Calcs!EE365</f>
        <v>0</v>
      </c>
      <c r="BH164" s="110">
        <f>-Calcs!EF365</f>
        <v>0</v>
      </c>
      <c r="BI164" s="110">
        <f>-Calcs!EG365</f>
        <v>0</v>
      </c>
      <c r="BJ164" s="110">
        <f>-Calcs!EH365</f>
        <v>0</v>
      </c>
      <c r="BK164" s="110">
        <f>-Calcs!EI365</f>
        <v>0</v>
      </c>
      <c r="BL164" s="110">
        <f>-Calcs!EJ365</f>
        <v>0</v>
      </c>
      <c r="BM164" s="110">
        <f>-Calcs!EK365</f>
        <v>0</v>
      </c>
      <c r="BN164" s="110">
        <f>-Calcs!EL365</f>
        <v>0</v>
      </c>
      <c r="BO164" s="110">
        <f>-Calcs!EM365</f>
        <v>0</v>
      </c>
      <c r="BP164" s="110">
        <f>-Calcs!EN365</f>
        <v>0</v>
      </c>
      <c r="BQ164" s="110">
        <f>SUM(BE164:BP164)</f>
        <v>0</v>
      </c>
      <c r="BR164" s="1569"/>
      <c r="BS164" s="153">
        <v>1</v>
      </c>
      <c r="BT164" s="1569"/>
      <c r="BU164" s="113">
        <f>SUM(BQ164,BD164,AQ164,AD164,Q164)</f>
      </c>
      <c r="BV164" s="158" t="s">
        <v>21</v>
      </c>
      <c r="BW164" s="96">
        <f>SUM(Financials!E164:'Financials'!G164)</f>
        <v>0</v>
      </c>
      <c r="BX164" s="96">
        <f>SUM(Financials!H164:'Financials'!J164)</f>
        <v>0</v>
      </c>
      <c r="BY164" s="96">
        <f>SUM(Financials!K164:'Financials'!M164)</f>
        <v>0</v>
      </c>
      <c r="BZ164" s="96">
        <f>SUM(Financials!N164:'Financials'!P164)</f>
        <v>0</v>
      </c>
      <c r="CA164" s="96">
        <f>SUM(Financials!R164:'Financials'!T164)</f>
        <v>0</v>
      </c>
      <c r="CB164" s="96">
        <f>SUM(Financials!U164:'Financials'!W164)</f>
        <v>0</v>
      </c>
      <c r="CC164" s="96">
        <f>SUM(Financials!X164:'Financials'!Z164)</f>
        <v>0</v>
      </c>
      <c r="CD164" s="96">
        <f>SUM(Financials!AA164:'Financials'!AC164)</f>
        <v>0</v>
      </c>
      <c r="CE164" s="96">
        <f>SUM(Financials!AE164:'Financials'!AG164)</f>
        <v>0</v>
      </c>
      <c r="CF164" s="96">
        <f>SUM(Financials!AH164:'Financials'!AJ164)</f>
        <v>0</v>
      </c>
      <c r="CG164" s="96">
        <f>SUM(Financials!AK164:'Financials'!AM164)</f>
        <v>0</v>
      </c>
      <c r="CH164" s="96">
        <f>SUM(Financials!AN164:'Financials'!AP164)</f>
        <v>0</v>
      </c>
      <c r="CI164" s="96">
        <f>SUM(Financials!AR164:'Financials'!AT164)</f>
        <v>0</v>
      </c>
      <c r="CJ164" s="96">
        <f>SUM(Financials!AU164:'Financials'!AW164)</f>
        <v>0</v>
      </c>
      <c r="CK164" s="96">
        <f>SUM(Financials!AX164:'Financials'!AZ164)</f>
        <v>0</v>
      </c>
      <c r="CL164" s="96">
        <f>SUM(Financials!BA164:'Financials'!BC164)</f>
        <v>0</v>
      </c>
      <c r="CM164" s="96">
        <f>SUM(Financials!BE164:'Financials'!BG164)</f>
        <v>0</v>
      </c>
      <c r="CN164" s="96">
        <f>SUM(Financials!BH164:'Financials'!BJ164)</f>
        <v>0</v>
      </c>
      <c r="CO164" s="96">
        <f>SUM(Financials!BK164:'Financials'!BM164)</f>
        <v>0</v>
      </c>
      <c r="CP164" s="96">
        <f>SUM(Financials!BN164:'Financials'!BP164)</f>
        <v>0</v>
      </c>
    </row>
    <row r="165" spans="1:156" ht="12.75" customHeight="1" x14ac:dyDescent="0.35">
      <c r="A165" s="136"/>
      <c r="B165" s="136"/>
      <c r="C165" s="136"/>
      <c r="D165" s="142" t="s">
        <v>323</v>
      </c>
      <c r="E165" s="111">
        <f>SUM(E163:E164)</f>
        <v>0</v>
      </c>
      <c r="F165" s="111">
        <f>SUM(F163:F164)</f>
        <v>0</v>
      </c>
      <c r="G165" s="98">
        <f>SUM(G163:G164)</f>
        <v>0</v>
      </c>
      <c r="H165" s="98">
        <f>SUM(H163:H164)</f>
        <v>0</v>
      </c>
      <c r="I165" s="98">
        <f>SUM(I163:I164)</f>
        <v>0</v>
      </c>
      <c r="J165" s="98">
        <f>SUM(J163:J164)</f>
        <v>0</v>
      </c>
      <c r="K165" s="98">
        <f>SUM(K163:K164)</f>
        <v>0</v>
      </c>
      <c r="L165" s="98">
        <f>SUM(L163:L164)</f>
        <v>0</v>
      </c>
      <c r="M165" s="98">
        <f>SUM(M163:M164)</f>
        <v>0</v>
      </c>
      <c r="N165" s="98">
        <f>SUM(N163:N164)</f>
        <v>0</v>
      </c>
      <c r="O165" s="98">
        <f>SUM(O163:O164)</f>
        <v>0</v>
      </c>
      <c r="P165" s="98">
        <f>SUM(P163:P164)</f>
        <v>0</v>
      </c>
      <c r="Q165" s="98">
        <f>SUM(Q163:Q164)</f>
        <v>0</v>
      </c>
      <c r="R165" s="98">
        <f>SUM(R163:R164)</f>
        <v>0</v>
      </c>
      <c r="S165" s="98">
        <f>SUM(S163:S164)</f>
        <v>0</v>
      </c>
      <c r="T165" s="98">
        <f>SUM(T163:T164)</f>
        <v>0</v>
      </c>
      <c r="U165" s="98">
        <f>SUM(U163:U164)</f>
        <v>0</v>
      </c>
      <c r="V165" s="98">
        <f>SUM(V163:V164)</f>
        <v>0</v>
      </c>
      <c r="W165" s="98">
        <f>SUM(W163:W164)</f>
        <v>0</v>
      </c>
      <c r="X165" s="98">
        <f>SUM(X163:X164)</f>
        <v>0</v>
      </c>
      <c r="Y165" s="98">
        <f>SUM(Y163:Y164)</f>
        <v>0</v>
      </c>
      <c r="Z165" s="98">
        <f>SUM(Z163:Z164)</f>
        <v>0</v>
      </c>
      <c r="AA165" s="98">
        <f>SUM(AA163:AA164)</f>
        <v>0</v>
      </c>
      <c r="AB165" s="98">
        <f>SUM(AB163:AB164)</f>
        <v>0</v>
      </c>
      <c r="AC165" s="98">
        <f>SUM(AC163:AC164)</f>
        <v>0</v>
      </c>
      <c r="AD165" s="98">
        <f>SUM(R165:AC165)</f>
        <v>0</v>
      </c>
      <c r="AE165" s="98">
        <f>SUM(AE163:AE164)</f>
        <v>0</v>
      </c>
      <c r="AF165" s="98">
        <f>SUM(AF163:AF164)</f>
        <v>0</v>
      </c>
      <c r="AG165" s="98">
        <f>SUM(AG163:AG164)</f>
        <v>0</v>
      </c>
      <c r="AH165" s="98">
        <f>SUM(AH163:AH164)</f>
        <v>0</v>
      </c>
      <c r="AI165" s="98">
        <f>SUM(AI163:AI164)</f>
        <v>0</v>
      </c>
      <c r="AJ165" s="98">
        <f>SUM(AJ163:AJ164)</f>
        <v>0</v>
      </c>
      <c r="AK165" s="98">
        <f>SUM(AK163:AK164)</f>
        <v>0</v>
      </c>
      <c r="AL165" s="98">
        <f>SUM(AL163:AL164)</f>
        <v>0</v>
      </c>
      <c r="AM165" s="98">
        <f>SUM(AM163:AM164)</f>
        <v>0</v>
      </c>
      <c r="AN165" s="98">
        <f>SUM(AN163:AN164)</f>
        <v>0</v>
      </c>
      <c r="AO165" s="98">
        <f>SUM(AO163:AO164)</f>
        <v>0</v>
      </c>
      <c r="AP165" s="98">
        <f>SUM(AP163:AP164)</f>
        <v>0</v>
      </c>
      <c r="AQ165" s="98">
        <f>SUM(AE165:AP165)</f>
        <v>0</v>
      </c>
      <c r="AR165" s="98">
        <f>SUM(AR163:AR164)</f>
        <v>0</v>
      </c>
      <c r="AS165" s="98">
        <f>SUM(AS163:AS164)</f>
        <v>0</v>
      </c>
      <c r="AT165" s="98">
        <f>SUM(AT163:AT164)</f>
        <v>0</v>
      </c>
      <c r="AU165" s="98">
        <f>SUM(AU163:AU164)</f>
        <v>0</v>
      </c>
      <c r="AV165" s="98">
        <f>SUM(AV163:AV164)</f>
        <v>0</v>
      </c>
      <c r="AW165" s="98">
        <f>SUM(AW163:AW164)</f>
        <v>0</v>
      </c>
      <c r="AX165" s="98">
        <f>SUM(AX163:AX164)</f>
        <v>0</v>
      </c>
      <c r="AY165" s="98">
        <f>SUM(AY163:AY164)</f>
        <v>0</v>
      </c>
      <c r="AZ165" s="98">
        <f>SUM(AZ163:AZ164)</f>
        <v>0</v>
      </c>
      <c r="BA165" s="98">
        <f>SUM(BA163:BA164)</f>
        <v>0</v>
      </c>
      <c r="BB165" s="98">
        <f>SUM(BB163:BB164)</f>
        <v>0</v>
      </c>
      <c r="BC165" s="98">
        <f>SUM(BC163:BC164)</f>
        <v>0</v>
      </c>
      <c r="BD165" s="98">
        <f>SUM(AR165:BC165)</f>
        <v>0</v>
      </c>
      <c r="BE165" s="98">
        <f>SUM(BE163:BE164)</f>
        <v>0</v>
      </c>
      <c r="BF165" s="98">
        <f>SUM(BF163:BF164)</f>
        <v>0</v>
      </c>
      <c r="BG165" s="98">
        <f>SUM(BG163:BG164)</f>
        <v>0</v>
      </c>
      <c r="BH165" s="98">
        <f>SUM(BH163:BH164)</f>
        <v>0</v>
      </c>
      <c r="BI165" s="98">
        <f>SUM(BI163:BI164)</f>
        <v>0</v>
      </c>
      <c r="BJ165" s="98">
        <f>SUM(BJ163:BJ164)</f>
        <v>0</v>
      </c>
      <c r="BK165" s="98">
        <f>SUM(BK163:BK164)</f>
        <v>0</v>
      </c>
      <c r="BL165" s="98">
        <f>SUM(BL163:BL164)</f>
        <v>0</v>
      </c>
      <c r="BM165" s="98">
        <f>SUM(BM163:BM164)</f>
        <v>0</v>
      </c>
      <c r="BN165" s="98">
        <f>SUM(BN163:BN164)</f>
        <v>0</v>
      </c>
      <c r="BO165" s="98">
        <f>SUM(BO163:BO164)</f>
        <v>0</v>
      </c>
      <c r="BP165" s="98">
        <f>SUM(BP163:BP164)</f>
        <v>0</v>
      </c>
      <c r="BQ165" s="98">
        <f>SUM(BE165:BP165)</f>
        <v>0</v>
      </c>
      <c r="BR165" s="256"/>
      <c r="BS165" s="153">
        <v>1</v>
      </c>
      <c r="BT165" s="256"/>
      <c r="BU165" s="114">
        <f>SUM(BU163:BU164)</f>
        <v>102</v>
      </c>
      <c r="BV165" s="138" t="s">
        <v>323</v>
      </c>
      <c r="BW165" s="111">
        <f>SUM(BW163:BW164)</f>
        <v>0</v>
      </c>
      <c r="BX165" s="111">
        <f>SUM(BX163:BX164)</f>
        <v>0</v>
      </c>
      <c r="BY165" s="111">
        <f>SUM(BY163:BY164)</f>
        <v>0</v>
      </c>
      <c r="BZ165" s="111">
        <f>SUM(BZ163:BZ164)</f>
        <v>0</v>
      </c>
      <c r="CA165" s="98">
        <f>SUM(CA163:CA164)</f>
        <v>0</v>
      </c>
      <c r="CB165" s="98">
        <f>SUM(CB163:CB164)</f>
        <v>0</v>
      </c>
      <c r="CC165" s="98">
        <f>SUM(CC163:CC164)</f>
        <v>0</v>
      </c>
      <c r="CD165" s="98">
        <f>SUM(CD163:CD164)</f>
        <v>0</v>
      </c>
      <c r="CE165" s="98">
        <f>SUM(CE163:CE164)</f>
        <v>0</v>
      </c>
      <c r="CF165" s="98">
        <f>SUM(CF163:CF164)</f>
        <v>0</v>
      </c>
      <c r="CG165" s="98">
        <f>SUM(CG163:CG164)</f>
        <v>0</v>
      </c>
      <c r="CH165" s="98">
        <f>SUM(CH163:CH164)</f>
        <v>0</v>
      </c>
      <c r="CI165" s="98">
        <f>SUM(CI163:CI164)</f>
        <v>0</v>
      </c>
      <c r="CJ165" s="98">
        <f>SUM(CJ163:CJ164)</f>
        <v>0</v>
      </c>
      <c r="CK165" s="98">
        <f>SUM(CK163:CK164)</f>
        <v>0</v>
      </c>
      <c r="CL165" s="98">
        <f>SUM(CL163:CL164)</f>
        <v>0</v>
      </c>
      <c r="CM165" s="98">
        <f>SUM(CM163:CM164)</f>
        <v>0</v>
      </c>
      <c r="CN165" s="98">
        <f>SUM(CN163:CN164)</f>
        <v>0</v>
      </c>
      <c r="CO165" s="98">
        <f>SUM(CO163:CO164)</f>
        <v>0</v>
      </c>
      <c r="CP165" s="98">
        <f>SUM(CP163:CP164)</f>
        <v>0</v>
      </c>
    </row>
    <row r="166" spans="1:156" ht="5.15" customHeight="1" x14ac:dyDescent="0.35">
      <c r="A166" s="136"/>
      <c r="B166" s="136"/>
      <c r="C166" s="136"/>
      <c r="D166" s="152"/>
      <c r="E166" s="112"/>
      <c r="F166" s="112"/>
      <c r="G166" s="99"/>
      <c r="H166" s="99"/>
      <c r="I166" s="99"/>
      <c r="J166" s="99"/>
      <c r="K166" s="99"/>
      <c r="L166" s="99"/>
      <c r="M166" s="99"/>
      <c r="N166" s="99"/>
      <c r="O166" s="99"/>
      <c r="P166" s="99"/>
      <c r="Q166" s="99"/>
      <c r="R166" s="99"/>
      <c r="S166" s="99"/>
      <c r="T166" s="99"/>
      <c r="U166" s="99"/>
      <c r="V166" s="99"/>
      <c r="W166" s="99"/>
      <c r="X166" s="99"/>
      <c r="Y166" s="99"/>
      <c r="Z166" s="99"/>
      <c r="AA166" s="99"/>
      <c r="AB166" s="99"/>
      <c r="AC166" s="99"/>
      <c r="AD166" s="99"/>
      <c r="AE166" s="99"/>
      <c r="AF166" s="99"/>
      <c r="AG166" s="99"/>
      <c r="AH166" s="99"/>
      <c r="AI166" s="99"/>
      <c r="AJ166" s="99"/>
      <c r="AK166" s="99"/>
      <c r="AL166" s="99"/>
      <c r="AM166" s="99"/>
      <c r="AN166" s="99"/>
      <c r="AO166" s="99"/>
      <c r="AP166" s="99"/>
      <c r="AQ166" s="99"/>
      <c r="AR166" s="99"/>
      <c r="AS166" s="99"/>
      <c r="AT166" s="99"/>
      <c r="AU166" s="99"/>
      <c r="AV166" s="99"/>
      <c r="AW166" s="99"/>
      <c r="AX166" s="99"/>
      <c r="AY166" s="99"/>
      <c r="AZ166" s="99"/>
      <c r="BA166" s="99"/>
      <c r="BB166" s="99"/>
      <c r="BC166" s="99"/>
      <c r="BD166" s="99"/>
      <c r="BE166" s="99"/>
      <c r="BF166" s="99"/>
      <c r="BG166" s="99"/>
      <c r="BH166" s="99"/>
      <c r="BI166" s="99"/>
      <c r="BJ166" s="99"/>
      <c r="BK166" s="99"/>
      <c r="BL166" s="99"/>
      <c r="BM166" s="99"/>
      <c r="BN166" s="99"/>
      <c r="BO166" s="99"/>
      <c r="BP166" s="99"/>
      <c r="BQ166" s="99"/>
      <c r="BR166" s="256"/>
      <c r="BS166" s="153">
        <v>1</v>
      </c>
      <c r="BT166" s="256"/>
      <c r="BU166" s="114"/>
      <c r="BV166" s="158"/>
      <c r="BW166" s="112"/>
      <c r="BX166" s="112"/>
      <c r="BY166" s="112"/>
      <c r="BZ166" s="112"/>
      <c r="CA166" s="99"/>
      <c r="CB166" s="99"/>
      <c r="CC166" s="99"/>
      <c r="CD166" s="99"/>
      <c r="CE166" s="99"/>
      <c r="CF166" s="99"/>
      <c r="CG166" s="99"/>
      <c r="CH166" s="99"/>
      <c r="CI166" s="99"/>
      <c r="CJ166" s="99"/>
      <c r="CK166" s="99"/>
      <c r="CL166" s="99"/>
      <c r="CM166" s="99"/>
      <c r="CN166" s="99"/>
      <c r="CO166" s="99"/>
      <c r="CP166" s="99"/>
      <c r="CZ166" s="179" t="e">
        <f>IF(Calcs!I53&lt;0,Calcs!I53,NA())</f>
        <v>#N/A</v>
      </c>
      <c r="DA166" s="179" t="e">
        <f>IF(Calcs!J53&lt;0,Calcs!J53,NA())</f>
        <v>#N/A</v>
      </c>
      <c r="DB166" s="179" t="e">
        <f>IF(Calcs!K53&lt;0,Calcs!K53,NA())</f>
        <v>#N/A</v>
      </c>
      <c r="DC166" s="179" t="e">
        <f>IF(Calcs!L53&lt;0,Calcs!L53,NA())</f>
        <v>#N/A</v>
      </c>
      <c r="DD166" s="179" t="e">
        <f>IF(Calcs!M53&lt;0,Calcs!M53,NA())</f>
        <v>#N/A</v>
      </c>
      <c r="DE166" s="179" t="e">
        <f>IF(Calcs!N53&lt;0,Calcs!N53,NA())</f>
        <v>#N/A</v>
      </c>
      <c r="DF166" s="179" t="e">
        <f>IF(Calcs!O53&lt;0,Calcs!O53,NA())</f>
        <v>#N/A</v>
      </c>
      <c r="DG166" s="179" t="e">
        <f>IF(Calcs!P53&lt;0,Calcs!P53,NA())</f>
        <v>#N/A</v>
      </c>
      <c r="DH166" s="179" t="e">
        <f>IF(Calcs!Q53&lt;0,Calcs!Q53,NA())</f>
        <v>#N/A</v>
      </c>
      <c r="DI166" s="179" t="e">
        <f>IF(Calcs!R53&lt;0,Calcs!R53,NA())</f>
        <v>#N/A</v>
      </c>
      <c r="DJ166" s="179" t="e">
        <f>IF(Calcs!S53&lt;0,Calcs!S53,NA())</f>
        <v>#N/A</v>
      </c>
      <c r="DK166" s="179" t="e">
        <f>IF(Calcs!T53&lt;0,Calcs!T53,NA())</f>
        <v>#N/A</v>
      </c>
      <c r="DL166" s="179" t="e">
        <f>IF(Calcs!U53&lt;0,Calcs!U53,NA())</f>
        <v>#N/A</v>
      </c>
      <c r="DM166" s="179" t="e">
        <f>IF(Calcs!V53&lt;0,Calcs!V53,NA())</f>
        <v>#N/A</v>
      </c>
      <c r="DN166" s="179" t="e">
        <f>IF(Calcs!W53&lt;0,Calcs!W53,NA())</f>
        <v>#N/A</v>
      </c>
      <c r="DO166" s="179" t="e">
        <f>IF(Calcs!X53&lt;0,Calcs!X53,NA())</f>
        <v>#N/A</v>
      </c>
      <c r="DP166" s="179" t="e">
        <f>IF(Calcs!Y53&lt;0,Calcs!Y53,NA())</f>
        <v>#N/A</v>
      </c>
      <c r="DQ166" s="179" t="e">
        <f>IF(Calcs!Z53&lt;0,Calcs!Z53,NA())</f>
        <v>#N/A</v>
      </c>
      <c r="DR166" s="179" t="e">
        <f>IF(Calcs!AA53&lt;0,Calcs!AA53,NA())</f>
        <v>#N/A</v>
      </c>
      <c r="DS166" s="179" t="e">
        <f>IF(Calcs!AB53&lt;0,Calcs!AB53,NA())</f>
        <v>#N/A</v>
      </c>
      <c r="DT166" s="179" t="e">
        <f>IF(Calcs!AC53&lt;0,Calcs!AC53,NA())</f>
        <v>#N/A</v>
      </c>
      <c r="DU166" s="179" t="e">
        <f>IF(Calcs!AD53&lt;0,Calcs!AD53,NA())</f>
        <v>#N/A</v>
      </c>
      <c r="DV166" s="179" t="e">
        <f>IF(Calcs!AE53&lt;0,Calcs!AE53,NA())</f>
        <v>#N/A</v>
      </c>
      <c r="DW166" s="179" t="e">
        <f>IF(Calcs!AF53&lt;0,Calcs!AF53,NA())</f>
        <v>#N/A</v>
      </c>
      <c r="DX166" s="179" t="e">
        <f>IF(Calcs!AG53&lt;0,Calcs!AG53,NA())</f>
        <v>#N/A</v>
      </c>
      <c r="DY166" s="179" t="e">
        <f>IF(Calcs!AH53&lt;0,Calcs!AH53,NA())</f>
        <v>#N/A</v>
      </c>
      <c r="DZ166" s="179" t="e">
        <f>IF(Calcs!AI53&lt;0,Calcs!AI53,NA())</f>
        <v>#N/A</v>
      </c>
      <c r="EA166" s="179" t="e">
        <f>IF(Calcs!AJ53&lt;0,Calcs!AJ53,NA())</f>
        <v>#N/A</v>
      </c>
      <c r="EB166" s="179" t="e">
        <f>IF(Calcs!AK53&lt;0,Calcs!AK53,NA())</f>
        <v>#N/A</v>
      </c>
      <c r="EC166" s="179" t="e">
        <f>IF(Calcs!AL53&lt;0,Calcs!AL53,NA())</f>
        <v>#N/A</v>
      </c>
      <c r="ED166" s="179" t="e">
        <f>IF(Calcs!AM53&lt;0,Calcs!AM53,NA())</f>
        <v>#N/A</v>
      </c>
      <c r="EE166" s="179" t="e">
        <f>IF(Calcs!AN53&lt;0,Calcs!AN53,NA())</f>
        <v>#N/A</v>
      </c>
      <c r="EF166" s="179" t="e">
        <f>IF(Calcs!AO53&lt;0,Calcs!AO53,NA())</f>
        <v>#N/A</v>
      </c>
      <c r="EG166" s="179" t="e">
        <f>IF(Calcs!AP53&lt;0,Calcs!AP53,NA())</f>
        <v>#N/A</v>
      </c>
      <c r="EH166" s="179" t="e">
        <f>IF(Calcs!AQ53&lt;0,Calcs!AQ53,NA())</f>
        <v>#N/A</v>
      </c>
      <c r="EI166" s="179" t="e">
        <f>IF(Calcs!AR53&lt;0,Calcs!AR53,NA())</f>
        <v>#N/A</v>
      </c>
      <c r="EJ166" s="179" t="e">
        <f>IF(Calcs!AS53&lt;0,Calcs!AS53,NA())</f>
        <v>#N/A</v>
      </c>
      <c r="EK166" s="179" t="e">
        <f>IF(Calcs!AT53&lt;0,Calcs!AT53,NA())</f>
        <v>#N/A</v>
      </c>
      <c r="EL166" s="179" t="e">
        <f>IF(Calcs!AU53&lt;0,Calcs!AU53,NA())</f>
        <v>#N/A</v>
      </c>
      <c r="EM166" s="179" t="e">
        <f>IF(Calcs!AV53&lt;0,Calcs!AV53,NA())</f>
        <v>#N/A</v>
      </c>
      <c r="EN166" s="179" t="e">
        <f>IF(Calcs!AW53&lt;0,Calcs!AW53,NA())</f>
        <v>#N/A</v>
      </c>
      <c r="EO166" s="179" t="e">
        <f>IF(Calcs!AX53&lt;0,Calcs!AX53,NA())</f>
        <v>#N/A</v>
      </c>
      <c r="EP166" s="179" t="e">
        <f>IF(Calcs!AY53&lt;0,Calcs!AY53,NA())</f>
        <v>#N/A</v>
      </c>
      <c r="EQ166" s="179" t="e">
        <f>IF(Calcs!AZ53&lt;0,Calcs!AZ53,NA())</f>
        <v>#N/A</v>
      </c>
      <c r="ER166" s="179" t="e">
        <f>IF(Calcs!BA53&lt;0,Calcs!BA53,NA())</f>
        <v>#N/A</v>
      </c>
      <c r="ES166" s="179" t="e">
        <f>IF(Calcs!BB53&lt;0,Calcs!BB53,NA())</f>
        <v>#N/A</v>
      </c>
      <c r="ET166" s="179" t="e">
        <f>IF(Calcs!BC53&lt;0,Calcs!BC53,NA())</f>
        <v>#N/A</v>
      </c>
      <c r="EU166" s="179" t="e">
        <f>IF(Calcs!BD53&lt;0,Calcs!BD53,NA())</f>
        <v>#N/A</v>
      </c>
      <c r="EV166" s="179" t="e">
        <f>IF(Calcs!BE53&lt;0,Calcs!BE53,NA())</f>
        <v>#N/A</v>
      </c>
      <c r="EW166" s="179" t="e">
        <f>IF(Calcs!BF53&lt;0,Calcs!BF53,NA())</f>
        <v>#N/A</v>
      </c>
      <c r="EX166" s="179" t="e">
        <f>IF(Calcs!BG53&lt;0,Calcs!BG53,NA())</f>
        <v>#N/A</v>
      </c>
      <c r="EY166" s="179" t="e">
        <f>IF(Calcs!BH53&lt;0,Calcs!BH53,NA())</f>
        <v>#N/A</v>
      </c>
      <c r="EZ166" s="179" t="e">
        <f>IF(Calcs!BI53&lt;0,Calcs!BI53,NA())</f>
        <v>#N/A</v>
      </c>
    </row>
    <row r="167" spans="1:156" ht="12.75" customHeight="1" x14ac:dyDescent="0.35">
      <c r="A167" s="136"/>
      <c r="B167" s="136"/>
      <c r="C167" s="136"/>
      <c r="D167" s="142" t="str">
        <f>IF(Infrastructure!AN32=Infrastructure!AO32,"Financing Activities","Financing Activities - Hidden Rows with Values")</f>
        <v>Financing Activities</v>
      </c>
      <c r="E167" s="110"/>
      <c r="F167" s="110"/>
      <c r="G167" s="96"/>
      <c r="H167" s="96"/>
      <c r="I167" s="96"/>
      <c r="J167" s="96"/>
      <c r="K167" s="96"/>
      <c r="L167" s="96"/>
      <c r="M167" s="96"/>
      <c r="N167" s="96"/>
      <c r="O167" s="96"/>
      <c r="P167" s="96"/>
      <c r="Q167" s="96"/>
      <c r="R167" s="96"/>
      <c r="S167" s="96"/>
      <c r="T167" s="96"/>
      <c r="U167" s="96"/>
      <c r="V167" s="96"/>
      <c r="W167" s="96"/>
      <c r="X167" s="96"/>
      <c r="Y167" s="96"/>
      <c r="Z167" s="96"/>
      <c r="AA167" s="96"/>
      <c r="AB167" s="96"/>
      <c r="AC167" s="96"/>
      <c r="AD167" s="96"/>
      <c r="AE167" s="96"/>
      <c r="AF167" s="96"/>
      <c r="AG167" s="96"/>
      <c r="AH167" s="96"/>
      <c r="AI167" s="96"/>
      <c r="AJ167" s="96"/>
      <c r="AK167" s="96"/>
      <c r="AL167" s="96"/>
      <c r="AM167" s="96"/>
      <c r="AN167" s="96"/>
      <c r="AO167" s="96"/>
      <c r="AP167" s="96"/>
      <c r="AQ167" s="96"/>
      <c r="AR167" s="96"/>
      <c r="AS167" s="96"/>
      <c r="AT167" s="96"/>
      <c r="AU167" s="96"/>
      <c r="AV167" s="96"/>
      <c r="AW167" s="96"/>
      <c r="AX167" s="96"/>
      <c r="AY167" s="96"/>
      <c r="AZ167" s="96"/>
      <c r="BA167" s="96"/>
      <c r="BB167" s="96"/>
      <c r="BC167" s="96"/>
      <c r="BD167" s="96"/>
      <c r="BE167" s="96"/>
      <c r="BF167" s="96"/>
      <c r="BG167" s="96"/>
      <c r="BH167" s="96"/>
      <c r="BI167" s="96"/>
      <c r="BJ167" s="96"/>
      <c r="BK167" s="96"/>
      <c r="BL167" s="96"/>
      <c r="BM167" s="96"/>
      <c r="BN167" s="96"/>
      <c r="BO167" s="96"/>
      <c r="BP167" s="96"/>
      <c r="BQ167" s="96"/>
      <c r="BR167" s="1569"/>
      <c r="BS167" s="153">
        <v>1</v>
      </c>
      <c r="BT167" s="1569"/>
      <c r="BU167" s="113"/>
      <c r="BV167" s="138" t="s">
        <v>24</v>
      </c>
      <c r="BW167" s="110"/>
      <c r="BX167" s="110"/>
      <c r="BY167" s="110"/>
      <c r="BZ167" s="110"/>
      <c r="CA167" s="96"/>
      <c r="CB167" s="96"/>
      <c r="CC167" s="96"/>
      <c r="CD167" s="96"/>
      <c r="CE167" s="96"/>
      <c r="CF167" s="96"/>
      <c r="CG167" s="96"/>
      <c r="CH167" s="96"/>
      <c r="CI167" s="96"/>
      <c r="CJ167" s="96"/>
      <c r="CK167" s="96"/>
      <c r="CL167" s="96"/>
      <c r="CM167" s="96"/>
      <c r="CN167" s="96"/>
      <c r="CO167" s="96"/>
      <c r="CP167" s="96"/>
      <c r="CZ167" s="179"/>
      <c r="DA167" s="179"/>
      <c r="DB167" s="179"/>
      <c r="DC167" s="179"/>
      <c r="DD167" s="179"/>
      <c r="DE167" s="179"/>
      <c r="DF167" s="179"/>
      <c r="DG167" s="179"/>
      <c r="DH167" s="179"/>
      <c r="DI167" s="179"/>
      <c r="DJ167" s="179"/>
      <c r="DK167" s="179"/>
      <c r="DL167" s="179"/>
      <c r="DM167" s="179"/>
      <c r="DN167" s="179"/>
      <c r="DO167" s="179"/>
      <c r="DP167" s="179"/>
      <c r="DQ167" s="179"/>
      <c r="DR167" s="179"/>
      <c r="DS167" s="179"/>
      <c r="DT167" s="179"/>
      <c r="DU167" s="179"/>
      <c r="DV167" s="179"/>
      <c r="DW167" s="179"/>
      <c r="DX167" s="179"/>
      <c r="DY167" s="179"/>
      <c r="DZ167" s="179"/>
      <c r="EA167" s="179"/>
      <c r="EB167" s="179"/>
      <c r="EC167" s="179"/>
      <c r="ED167" s="179"/>
      <c r="EE167" s="179"/>
      <c r="EF167" s="179"/>
      <c r="EG167" s="179"/>
      <c r="EH167" s="179"/>
      <c r="EI167" s="179"/>
      <c r="EJ167" s="179"/>
      <c r="EK167" s="179"/>
      <c r="EL167" s="179"/>
      <c r="EM167" s="179"/>
      <c r="EN167" s="179"/>
      <c r="EO167" s="179"/>
      <c r="EP167" s="179"/>
      <c r="EQ167" s="179"/>
      <c r="ER167" s="179"/>
      <c r="ES167" s="179"/>
      <c r="ET167" s="179"/>
      <c r="EU167" s="179"/>
      <c r="EV167" s="179"/>
      <c r="EW167" s="179"/>
      <c r="EX167" s="179"/>
      <c r="EY167" s="179"/>
      <c r="EZ167" s="179"/>
    </row>
    <row r="168" spans="1:156" ht="12.75" hidden="1" customHeight="1" x14ac:dyDescent="0.35">
      <c r="A168" s="136"/>
      <c r="B168" s="136"/>
      <c r="C168" s="136"/>
      <c r="D168" s="152" t="s">
        <v>62</v>
      </c>
      <c r="E168" s="110">
        <f>Calcs!AF956</f>
        <v>0</v>
      </c>
      <c r="F168" s="110">
        <f>Calcs!AG956</f>
        <v>0</v>
      </c>
      <c r="G168" s="110">
        <f>Calcs!AH956</f>
        <v>0</v>
      </c>
      <c r="H168" s="110">
        <f>Calcs!AI956</f>
        <v>0</v>
      </c>
      <c r="I168" s="110">
        <f>Calcs!AJ956</f>
        <v>0</v>
      </c>
      <c r="J168" s="110">
        <f>Calcs!AK956</f>
        <v>0</v>
      </c>
      <c r="K168" s="110">
        <f>Calcs!AL956</f>
        <v>0</v>
      </c>
      <c r="L168" s="110">
        <f>Calcs!AM956</f>
        <v>0</v>
      </c>
      <c r="M168" s="110">
        <f>Calcs!AN956</f>
        <v>0</v>
      </c>
      <c r="N168" s="110">
        <f>Calcs!AO956</f>
        <v>0</v>
      </c>
      <c r="O168" s="110">
        <f>Calcs!AP956</f>
        <v>0</v>
      </c>
      <c r="P168" s="110">
        <f>Calcs!AQ956</f>
        <v>0</v>
      </c>
      <c r="Q168" s="151">
        <f>SUM(E168:P168)</f>
        <v>0</v>
      </c>
      <c r="R168" s="110">
        <f>Calcs!AR956</f>
        <v>0</v>
      </c>
      <c r="S168" s="110">
        <f>Calcs!AS956</f>
        <v>0</v>
      </c>
      <c r="T168" s="110">
        <f>Calcs!AT956</f>
        <v>0</v>
      </c>
      <c r="U168" s="110">
        <f>Calcs!AU956</f>
        <v>0</v>
      </c>
      <c r="V168" s="110">
        <f>Calcs!AV956</f>
        <v>0</v>
      </c>
      <c r="W168" s="110">
        <f>Calcs!AW956</f>
        <v>0</v>
      </c>
      <c r="X168" s="110">
        <f>Calcs!AX956</f>
        <v>0</v>
      </c>
      <c r="Y168" s="110">
        <f>Calcs!AY956</f>
        <v>0</v>
      </c>
      <c r="Z168" s="110">
        <f>Calcs!AZ956</f>
        <v>0</v>
      </c>
      <c r="AA168" s="110">
        <f>Calcs!BA956</f>
        <v>0</v>
      </c>
      <c r="AB168" s="110">
        <f>Calcs!BB956</f>
        <v>0</v>
      </c>
      <c r="AC168" s="110">
        <f>Calcs!BC956</f>
        <v>0</v>
      </c>
      <c r="AD168" s="96">
        <f>SUM(R168:AC168)</f>
        <v>0</v>
      </c>
      <c r="AE168" s="110">
        <f>Calcs!BD956</f>
        <v>0</v>
      </c>
      <c r="AF168" s="110">
        <f>Calcs!BE956</f>
        <v>0</v>
      </c>
      <c r="AG168" s="110">
        <f>Calcs!BF956</f>
        <v>0</v>
      </c>
      <c r="AH168" s="110">
        <f>Calcs!BG956</f>
        <v>0</v>
      </c>
      <c r="AI168" s="110">
        <f>Calcs!BH956</f>
        <v>0</v>
      </c>
      <c r="AJ168" s="110">
        <f>Calcs!BI956</f>
        <v>0</v>
      </c>
      <c r="AK168" s="110">
        <f>Calcs!BJ956</f>
        <v>0</v>
      </c>
      <c r="AL168" s="110">
        <f>Calcs!BK956</f>
        <v>0</v>
      </c>
      <c r="AM168" s="110">
        <f>Calcs!BL956</f>
        <v>0</v>
      </c>
      <c r="AN168" s="110">
        <f>Calcs!BM956</f>
        <v>0</v>
      </c>
      <c r="AO168" s="110">
        <f>Calcs!BN956</f>
        <v>0</v>
      </c>
      <c r="AP168" s="110">
        <f>Calcs!BO956</f>
        <v>0</v>
      </c>
      <c r="AQ168" s="96">
        <f>SUM(AE168:AP168)</f>
        <v>0</v>
      </c>
      <c r="AR168" s="110">
        <f>Calcs!BP956</f>
        <v>0</v>
      </c>
      <c r="AS168" s="110">
        <f>Calcs!BQ956</f>
        <v>0</v>
      </c>
      <c r="AT168" s="110">
        <f>Calcs!BR956</f>
        <v>0</v>
      </c>
      <c r="AU168" s="110">
        <f>Calcs!BS956</f>
        <v>0</v>
      </c>
      <c r="AV168" s="110">
        <f>Calcs!BT956</f>
        <v>0</v>
      </c>
      <c r="AW168" s="110">
        <f>Calcs!BU956</f>
        <v>0</v>
      </c>
      <c r="AX168" s="110">
        <f>Calcs!BV956</f>
        <v>0</v>
      </c>
      <c r="AY168" s="110">
        <f>Calcs!BW956</f>
        <v>0</v>
      </c>
      <c r="AZ168" s="110">
        <f>Calcs!BX956</f>
        <v>0</v>
      </c>
      <c r="BA168" s="110">
        <f>Calcs!BY956</f>
        <v>0</v>
      </c>
      <c r="BB168" s="110">
        <f>Calcs!BZ956</f>
        <v>0</v>
      </c>
      <c r="BC168" s="110">
        <f>Calcs!CA956</f>
        <v>0</v>
      </c>
      <c r="BD168" s="96">
        <f>SUM(AR168:BC168)</f>
        <v>0</v>
      </c>
      <c r="BE168" s="96">
        <f>Calcs!CB956</f>
        <v>0</v>
      </c>
      <c r="BF168" s="96">
        <f>Calcs!CC956</f>
        <v>0</v>
      </c>
      <c r="BG168" s="96">
        <f>Calcs!CD956</f>
        <v>0</v>
      </c>
      <c r="BH168" s="96">
        <f>Calcs!CE956</f>
        <v>0</v>
      </c>
      <c r="BI168" s="96">
        <f>Calcs!CF956</f>
        <v>0</v>
      </c>
      <c r="BJ168" s="96">
        <f>Calcs!CG956</f>
        <v>0</v>
      </c>
      <c r="BK168" s="96">
        <f>Calcs!CH956</f>
        <v>0</v>
      </c>
      <c r="BL168" s="96">
        <f>Calcs!CI956</f>
        <v>0</v>
      </c>
      <c r="BM168" s="96">
        <f>Calcs!CJ956</f>
        <v>0</v>
      </c>
      <c r="BN168" s="96">
        <f>Calcs!CK956</f>
        <v>0</v>
      </c>
      <c r="BO168" s="96">
        <f>Calcs!CL956</f>
        <v>0</v>
      </c>
      <c r="BP168" s="96">
        <f>Calcs!CM956</f>
        <v>0</v>
      </c>
      <c r="BQ168" s="96">
        <f>SUM(BE168:BP168)</f>
        <v>0</v>
      </c>
      <c r="BR168" s="1569"/>
      <c r="BS168" s="153">
        <f>SUM(BQ168,BD168,AQ168,AD168,Q168)</f>
        <v>0</v>
      </c>
      <c r="BT168" s="1569"/>
      <c r="BU168" s="113">
        <f>SUM(BQ168,BD168,AQ168,AD168,Q168)</f>
      </c>
      <c r="BV168" s="138"/>
      <c r="BW168" s="110"/>
      <c r="BX168" s="110"/>
      <c r="BY168" s="110"/>
      <c r="BZ168" s="110"/>
      <c r="CA168" s="96"/>
      <c r="CB168" s="96"/>
      <c r="CC168" s="96"/>
      <c r="CD168" s="96"/>
      <c r="CE168" s="96"/>
      <c r="CF168" s="96"/>
      <c r="CG168" s="96"/>
      <c r="CH168" s="96"/>
      <c r="CI168" s="96"/>
      <c r="CJ168" s="96"/>
      <c r="CK168" s="96"/>
      <c r="CL168" s="96"/>
      <c r="CM168" s="96"/>
      <c r="CN168" s="96"/>
      <c r="CO168" s="96"/>
      <c r="CP168" s="96"/>
      <c r="CZ168" s="179"/>
      <c r="DA168" s="179"/>
      <c r="DB168" s="179"/>
      <c r="DC168" s="179"/>
      <c r="DD168" s="179"/>
      <c r="DE168" s="179"/>
      <c r="DF168" s="179"/>
      <c r="DG168" s="179"/>
      <c r="DH168" s="179"/>
      <c r="DI168" s="179"/>
      <c r="DJ168" s="179"/>
      <c r="DK168" s="179"/>
      <c r="DL168" s="179"/>
      <c r="DM168" s="179"/>
      <c r="DN168" s="179"/>
      <c r="DO168" s="179"/>
      <c r="DP168" s="179"/>
      <c r="DQ168" s="179"/>
      <c r="DR168" s="179"/>
      <c r="DS168" s="179"/>
      <c r="DT168" s="179"/>
      <c r="DU168" s="179"/>
      <c r="DV168" s="179"/>
      <c r="DW168" s="179"/>
      <c r="DX168" s="179"/>
      <c r="DY168" s="179"/>
      <c r="DZ168" s="179"/>
      <c r="EA168" s="179"/>
      <c r="EB168" s="179"/>
      <c r="EC168" s="179"/>
      <c r="ED168" s="179"/>
      <c r="EE168" s="179"/>
      <c r="EF168" s="179"/>
      <c r="EG168" s="179"/>
      <c r="EH168" s="179"/>
      <c r="EI168" s="179"/>
      <c r="EJ168" s="179"/>
      <c r="EK168" s="179"/>
      <c r="EL168" s="179"/>
      <c r="EM168" s="179"/>
      <c r="EN168" s="179"/>
      <c r="EO168" s="179"/>
      <c r="EP168" s="179"/>
      <c r="EQ168" s="179"/>
      <c r="ER168" s="179"/>
      <c r="ES168" s="179"/>
      <c r="ET168" s="179"/>
      <c r="EU168" s="179"/>
      <c r="EV168" s="179"/>
      <c r="EW168" s="179"/>
      <c r="EX168" s="179"/>
      <c r="EY168" s="179"/>
      <c r="EZ168" s="179"/>
    </row>
    <row r="169" spans="1:156" ht="12.75" customHeight="1" x14ac:dyDescent="0.35">
      <c r="A169" s="136"/>
      <c r="B169" s="136"/>
      <c r="C169" s="136"/>
      <c r="D169" s="152" t="str">
        <f>"Preferred "&amp;Infrastructure!Y43</f>
        <v>Preferred Equity</v>
      </c>
      <c r="E169" s="110">
        <f>Calcs!AF729</f>
        <v>0</v>
      </c>
      <c r="F169" s="110">
        <f>Calcs!AG729</f>
        <v>0</v>
      </c>
      <c r="G169" s="110">
        <f>Calcs!AH729</f>
        <v>0</v>
      </c>
      <c r="H169" s="110">
        <f>Calcs!AI729</f>
        <v>0</v>
      </c>
      <c r="I169" s="110">
        <f>Calcs!AJ729</f>
        <v>0</v>
      </c>
      <c r="J169" s="110">
        <f>Calcs!AK729</f>
        <v>0</v>
      </c>
      <c r="K169" s="110">
        <f>Calcs!AL729</f>
        <v>0</v>
      </c>
      <c r="L169" s="110">
        <f>Calcs!AM729</f>
        <v>0</v>
      </c>
      <c r="M169" s="110">
        <f>Calcs!AN729</f>
        <v>0</v>
      </c>
      <c r="N169" s="110">
        <f>Calcs!AO729</f>
        <v>0</v>
      </c>
      <c r="O169" s="110">
        <f>Calcs!AP729</f>
        <v>0</v>
      </c>
      <c r="P169" s="110">
        <f>Calcs!AQ729</f>
        <v>0</v>
      </c>
      <c r="Q169" s="151">
        <f>SUM(E169:P169)</f>
        <v>0</v>
      </c>
      <c r="R169" s="96">
        <f>Calcs!AR729</f>
        <v>0</v>
      </c>
      <c r="S169" s="96">
        <f>Calcs!AS729</f>
        <v>0</v>
      </c>
      <c r="T169" s="96">
        <f>Calcs!AT729</f>
        <v>0</v>
      </c>
      <c r="U169" s="96">
        <f>Calcs!AU729</f>
        <v>0</v>
      </c>
      <c r="V169" s="96">
        <f>Calcs!AV729</f>
        <v>0</v>
      </c>
      <c r="W169" s="96">
        <f>Calcs!AW729</f>
        <v>0</v>
      </c>
      <c r="X169" s="96">
        <f>Calcs!AX729</f>
        <v>0</v>
      </c>
      <c r="Y169" s="96">
        <f>Calcs!AY729</f>
        <v>0</v>
      </c>
      <c r="Z169" s="96">
        <f>Calcs!AZ729</f>
        <v>0</v>
      </c>
      <c r="AA169" s="96">
        <f>Calcs!BA729</f>
        <v>0</v>
      </c>
      <c r="AB169" s="96">
        <f>Calcs!BB729</f>
        <v>0</v>
      </c>
      <c r="AC169" s="96">
        <f>Calcs!BC729</f>
        <v>0</v>
      </c>
      <c r="AD169" s="96">
        <f>SUM(R169:AC169)</f>
        <v>0</v>
      </c>
      <c r="AE169" s="96">
        <f>Calcs!BD729</f>
        <v>0</v>
      </c>
      <c r="AF169" s="96">
        <f>Calcs!BE729</f>
        <v>0</v>
      </c>
      <c r="AG169" s="96">
        <f>Calcs!BF729</f>
        <v>0</v>
      </c>
      <c r="AH169" s="96">
        <f>Calcs!BG729</f>
        <v>0</v>
      </c>
      <c r="AI169" s="96">
        <f>Calcs!BH729</f>
        <v>0</v>
      </c>
      <c r="AJ169" s="96">
        <f>Calcs!BI729</f>
        <v>0</v>
      </c>
      <c r="AK169" s="96">
        <f>Calcs!BJ729</f>
        <v>0</v>
      </c>
      <c r="AL169" s="96">
        <f>Calcs!BK729</f>
        <v>0</v>
      </c>
      <c r="AM169" s="96">
        <f>Calcs!BL729</f>
        <v>0</v>
      </c>
      <c r="AN169" s="96">
        <f>Calcs!BM729</f>
        <v>0</v>
      </c>
      <c r="AO169" s="96">
        <f>Calcs!BN729</f>
        <v>0</v>
      </c>
      <c r="AP169" s="96">
        <f>Calcs!BO729</f>
        <v>0</v>
      </c>
      <c r="AQ169" s="96">
        <f>SUM(AE169:AP169)</f>
        <v>0</v>
      </c>
      <c r="AR169" s="96">
        <f>Calcs!BP729</f>
        <v>0</v>
      </c>
      <c r="AS169" s="96">
        <f>Calcs!BQ729</f>
        <v>0</v>
      </c>
      <c r="AT169" s="96">
        <f>Calcs!BR729</f>
        <v>0</v>
      </c>
      <c r="AU169" s="96">
        <f>Calcs!BS729</f>
        <v>0</v>
      </c>
      <c r="AV169" s="96">
        <f>Calcs!BT729</f>
        <v>0</v>
      </c>
      <c r="AW169" s="96">
        <f>Calcs!BU729</f>
        <v>0</v>
      </c>
      <c r="AX169" s="96">
        <f>Calcs!BV729</f>
        <v>0</v>
      </c>
      <c r="AY169" s="96">
        <f>Calcs!BW729</f>
        <v>0</v>
      </c>
      <c r="AZ169" s="96">
        <f>Calcs!BX729</f>
        <v>0</v>
      </c>
      <c r="BA169" s="96">
        <f>Calcs!BY729</f>
        <v>0</v>
      </c>
      <c r="BB169" s="96">
        <f>Calcs!BZ729</f>
        <v>0</v>
      </c>
      <c r="BC169" s="96">
        <f>Calcs!CA729</f>
        <v>0</v>
      </c>
      <c r="BD169" s="96">
        <f>SUM(AR169:BC169)</f>
        <v>0</v>
      </c>
      <c r="BE169" s="96">
        <f>Calcs!CB729</f>
        <v>0</v>
      </c>
      <c r="BF169" s="96">
        <f>Calcs!CC729</f>
        <v>0</v>
      </c>
      <c r="BG169" s="96">
        <f>Calcs!CD729</f>
        <v>0</v>
      </c>
      <c r="BH169" s="96">
        <f>Calcs!CE729</f>
        <v>0</v>
      </c>
      <c r="BI169" s="96">
        <f>Calcs!CF729</f>
        <v>0</v>
      </c>
      <c r="BJ169" s="96">
        <f>Calcs!CG729</f>
        <v>0</v>
      </c>
      <c r="BK169" s="96">
        <f>Calcs!CH729</f>
        <v>0</v>
      </c>
      <c r="BL169" s="96">
        <f>Calcs!CI729</f>
        <v>0</v>
      </c>
      <c r="BM169" s="96">
        <f>Calcs!CJ729</f>
        <v>0</v>
      </c>
      <c r="BN169" s="96">
        <f>Calcs!CK729</f>
        <v>0</v>
      </c>
      <c r="BO169" s="96">
        <f>Calcs!CL729</f>
        <v>0</v>
      </c>
      <c r="BP169" s="96">
        <f>Calcs!CM729</f>
        <v>0</v>
      </c>
      <c r="BQ169" s="96">
        <f>SUM(BE169:BP169)</f>
        <v>0</v>
      </c>
      <c r="BR169" s="1569"/>
      <c r="BS169" s="153">
        <v>1</v>
      </c>
      <c r="BT169" s="1569"/>
      <c r="BU169" s="113">
        <f>SUM(BQ169,BD169,AQ169,AD169,Q169)</f>
      </c>
      <c r="BV169" s="158" t="s">
        <v>324</v>
      </c>
      <c r="BW169" s="96">
        <f>SUM(Financials!E169:'Financials'!G169)</f>
        <v>0</v>
      </c>
      <c r="BX169" s="96">
        <f>SUM(Financials!H169:'Financials'!J169)</f>
        <v>0</v>
      </c>
      <c r="BY169" s="96">
        <f>SUM(Financials!K169:'Financials'!M169)</f>
        <v>0</v>
      </c>
      <c r="BZ169" s="96">
        <f>SUM(Financials!N169:'Financials'!P169)</f>
        <v>0</v>
      </c>
      <c r="CA169" s="96">
        <f>SUM(Financials!R169:'Financials'!T169)</f>
        <v>0</v>
      </c>
      <c r="CB169" s="96">
        <f>SUM(Financials!U169:'Financials'!W169)</f>
        <v>0</v>
      </c>
      <c r="CC169" s="96">
        <f>SUM(Financials!X169:'Financials'!Z169)</f>
        <v>0</v>
      </c>
      <c r="CD169" s="96">
        <f>SUM(Financials!AA169:'Financials'!AC169)</f>
        <v>0</v>
      </c>
      <c r="CE169" s="96">
        <f>SUM(Financials!AE169:'Financials'!AG169)</f>
        <v>0</v>
      </c>
      <c r="CF169" s="96">
        <f>SUM(Financials!AH169:'Financials'!AJ169)</f>
        <v>0</v>
      </c>
      <c r="CG169" s="96">
        <f>SUM(Financials!AK169:'Financials'!AM169)</f>
        <v>0</v>
      </c>
      <c r="CH169" s="96">
        <f>SUM(Financials!AN169:'Financials'!AP169)</f>
        <v>0</v>
      </c>
      <c r="CI169" s="96">
        <f>SUM(Financials!AR169:'Financials'!AT169)</f>
        <v>0</v>
      </c>
      <c r="CJ169" s="96">
        <f>SUM(Financials!AU169:'Financials'!AW169)</f>
        <v>0</v>
      </c>
      <c r="CK169" s="96">
        <f>SUM(Financials!AX169:'Financials'!AZ169)</f>
        <v>0</v>
      </c>
      <c r="CL169" s="96">
        <f>SUM(Financials!BA169:'Financials'!BC169)</f>
        <v>0</v>
      </c>
      <c r="CM169" s="96">
        <f>SUM(Financials!BE169:'Financials'!BG169)</f>
        <v>0</v>
      </c>
      <c r="CN169" s="96">
        <f>SUM(Financials!BH169:'Financials'!BJ169)</f>
        <v>0</v>
      </c>
      <c r="CO169" s="96">
        <f>SUM(Financials!BK169:'Financials'!BM169)</f>
        <v>0</v>
      </c>
      <c r="CP169" s="96">
        <f>SUM(Financials!BN169:'Financials'!BP169)</f>
        <v>0</v>
      </c>
      <c r="CZ169" s="179"/>
      <c r="DA169" s="179"/>
      <c r="DB169" s="179"/>
      <c r="DC169" s="179"/>
      <c r="DD169" s="179"/>
      <c r="DE169" s="179"/>
      <c r="DF169" s="179"/>
      <c r="DG169" s="179"/>
      <c r="DH169" s="179"/>
      <c r="DI169" s="179"/>
      <c r="DJ169" s="179"/>
      <c r="DK169" s="179"/>
      <c r="DL169" s="179"/>
      <c r="DM169" s="179"/>
      <c r="DN169" s="179"/>
      <c r="DO169" s="179"/>
      <c r="DP169" s="179"/>
      <c r="DQ169" s="179"/>
      <c r="DR169" s="179"/>
      <c r="DS169" s="179"/>
      <c r="DT169" s="179"/>
      <c r="DU169" s="179"/>
      <c r="DV169" s="179"/>
      <c r="DW169" s="179"/>
      <c r="DX169" s="179"/>
      <c r="DY169" s="179"/>
      <c r="DZ169" s="179"/>
      <c r="EA169" s="179"/>
      <c r="EB169" s="179"/>
      <c r="EC169" s="179"/>
      <c r="ED169" s="179"/>
      <c r="EE169" s="179"/>
      <c r="EF169" s="179"/>
      <c r="EG169" s="179"/>
      <c r="EH169" s="179"/>
      <c r="EI169" s="179"/>
      <c r="EJ169" s="179"/>
      <c r="EK169" s="179"/>
      <c r="EL169" s="179"/>
      <c r="EM169" s="179"/>
      <c r="EN169" s="179"/>
      <c r="EO169" s="179"/>
      <c r="EP169" s="179"/>
      <c r="EQ169" s="179"/>
      <c r="ER169" s="179"/>
      <c r="ES169" s="179"/>
      <c r="ET169" s="179"/>
      <c r="EU169" s="179"/>
      <c r="EV169" s="179"/>
      <c r="EW169" s="179"/>
      <c r="EX169" s="179"/>
      <c r="EY169" s="179"/>
      <c r="EZ169" s="179"/>
    </row>
    <row r="170" spans="1:156" ht="12.75" customHeight="1" x14ac:dyDescent="0.35">
      <c r="A170" s="136"/>
      <c r="B170" s="136"/>
      <c r="C170" s="136"/>
      <c r="D170" s="152" t="str">
        <f>"Common "&amp;Infrastructure!Y43</f>
        <v>Common Equity</v>
      </c>
      <c r="E170" s="96">
        <f>Calcs!AF730</f>
        <v>0</v>
      </c>
      <c r="F170" s="96">
        <f>Calcs!AG730</f>
        <v>0</v>
      </c>
      <c r="G170" s="96">
        <f>Calcs!AH730</f>
        <v>0</v>
      </c>
      <c r="H170" s="96">
        <f>Calcs!AI730</f>
        <v>0</v>
      </c>
      <c r="I170" s="96">
        <f>Calcs!AJ730</f>
        <v>0</v>
      </c>
      <c r="J170" s="96">
        <f>Calcs!AK730</f>
        <v>0</v>
      </c>
      <c r="K170" s="96">
        <f>Calcs!AL730</f>
        <v>0</v>
      </c>
      <c r="L170" s="96">
        <f>Calcs!AM730</f>
        <v>0</v>
      </c>
      <c r="M170" s="96">
        <f>Calcs!AN730</f>
        <v>0</v>
      </c>
      <c r="N170" s="96">
        <f>Calcs!AO730</f>
        <v>0</v>
      </c>
      <c r="O170" s="96">
        <f>Calcs!AP730</f>
        <v>0</v>
      </c>
      <c r="P170" s="96">
        <f>Calcs!AQ730</f>
        <v>0</v>
      </c>
      <c r="Q170" s="151">
        <f>SUM(E170:P170)</f>
        <v>0</v>
      </c>
      <c r="R170" s="96">
        <f>Calcs!AR730</f>
        <v>0</v>
      </c>
      <c r="S170" s="96">
        <f>Calcs!AS730</f>
        <v>0</v>
      </c>
      <c r="T170" s="96">
        <f>Calcs!AT730</f>
        <v>0</v>
      </c>
      <c r="U170" s="96">
        <f>Calcs!AU730</f>
        <v>0</v>
      </c>
      <c r="V170" s="96">
        <f>Calcs!AV730</f>
        <v>0</v>
      </c>
      <c r="W170" s="96">
        <f>Calcs!AW730</f>
        <v>0</v>
      </c>
      <c r="X170" s="96">
        <f>Calcs!AX730</f>
        <v>0</v>
      </c>
      <c r="Y170" s="96">
        <f>Calcs!AY730</f>
        <v>0</v>
      </c>
      <c r="Z170" s="96">
        <f>Calcs!AZ730</f>
        <v>0</v>
      </c>
      <c r="AA170" s="96">
        <f>Calcs!BA730</f>
        <v>0</v>
      </c>
      <c r="AB170" s="96">
        <f>Calcs!BB730</f>
        <v>0</v>
      </c>
      <c r="AC170" s="96">
        <f>Calcs!BC730</f>
        <v>0</v>
      </c>
      <c r="AD170" s="96">
        <f>SUM(R170:AC170)</f>
        <v>0</v>
      </c>
      <c r="AE170" s="96">
        <f>Calcs!BD730</f>
        <v>0</v>
      </c>
      <c r="AF170" s="96">
        <f>Calcs!BE730</f>
        <v>0</v>
      </c>
      <c r="AG170" s="96">
        <f>Calcs!BF730</f>
        <v>0</v>
      </c>
      <c r="AH170" s="96">
        <f>Calcs!BG730</f>
        <v>0</v>
      </c>
      <c r="AI170" s="96">
        <f>Calcs!BH730</f>
        <v>0</v>
      </c>
      <c r="AJ170" s="96">
        <f>Calcs!BI730</f>
        <v>0</v>
      </c>
      <c r="AK170" s="96">
        <f>Calcs!BJ730</f>
        <v>0</v>
      </c>
      <c r="AL170" s="96">
        <f>Calcs!BK730</f>
        <v>0</v>
      </c>
      <c r="AM170" s="96">
        <f>Calcs!BL730</f>
        <v>0</v>
      </c>
      <c r="AN170" s="96">
        <f>Calcs!BM730</f>
        <v>0</v>
      </c>
      <c r="AO170" s="96">
        <f>Calcs!BN730</f>
        <v>0</v>
      </c>
      <c r="AP170" s="96">
        <f>Calcs!BO730</f>
        <v>0</v>
      </c>
      <c r="AQ170" s="96">
        <f>SUM(AE170:AP170)</f>
        <v>0</v>
      </c>
      <c r="AR170" s="96">
        <f>Calcs!BP730</f>
        <v>0</v>
      </c>
      <c r="AS170" s="96">
        <f>Calcs!BQ730</f>
        <v>0</v>
      </c>
      <c r="AT170" s="96">
        <f>Calcs!BR730</f>
        <v>0</v>
      </c>
      <c r="AU170" s="96">
        <f>Calcs!BS730</f>
        <v>0</v>
      </c>
      <c r="AV170" s="96">
        <f>Calcs!BT730</f>
        <v>0</v>
      </c>
      <c r="AW170" s="96">
        <f>Calcs!BU730</f>
        <v>0</v>
      </c>
      <c r="AX170" s="96">
        <f>Calcs!BV730</f>
        <v>0</v>
      </c>
      <c r="AY170" s="96">
        <f>Calcs!BW730</f>
        <v>0</v>
      </c>
      <c r="AZ170" s="96">
        <f>Calcs!BX730</f>
        <v>0</v>
      </c>
      <c r="BA170" s="96">
        <f>Calcs!BY730</f>
        <v>0</v>
      </c>
      <c r="BB170" s="96">
        <f>Calcs!BZ730</f>
        <v>0</v>
      </c>
      <c r="BC170" s="96">
        <f>Calcs!CA730</f>
        <v>0</v>
      </c>
      <c r="BD170" s="96">
        <f>SUM(AR170:BC170)</f>
        <v>0</v>
      </c>
      <c r="BE170" s="96">
        <f>Calcs!CB730</f>
        <v>0</v>
      </c>
      <c r="BF170" s="96">
        <f>Calcs!CC730</f>
        <v>0</v>
      </c>
      <c r="BG170" s="96">
        <f>Calcs!CD730</f>
        <v>0</v>
      </c>
      <c r="BH170" s="96">
        <f>Calcs!CE730</f>
        <v>0</v>
      </c>
      <c r="BI170" s="96">
        <f>Calcs!CF730</f>
        <v>0</v>
      </c>
      <c r="BJ170" s="96">
        <f>Calcs!CG730</f>
        <v>0</v>
      </c>
      <c r="BK170" s="96">
        <f>Calcs!CH730</f>
        <v>0</v>
      </c>
      <c r="BL170" s="96">
        <f>Calcs!CI730</f>
        <v>0</v>
      </c>
      <c r="BM170" s="96">
        <f>Calcs!CJ730</f>
        <v>0</v>
      </c>
      <c r="BN170" s="96">
        <f>Calcs!CK730</f>
        <v>0</v>
      </c>
      <c r="BO170" s="96">
        <f>Calcs!CL730</f>
        <v>0</v>
      </c>
      <c r="BP170" s="96">
        <f>Calcs!CM730</f>
        <v>0</v>
      </c>
      <c r="BQ170" s="96">
        <f>SUM(BE170:BP170)</f>
        <v>0</v>
      </c>
      <c r="BR170" s="1569"/>
      <c r="BS170" s="153">
        <v>1</v>
      </c>
      <c r="BT170" s="1569"/>
      <c r="BU170" s="113">
        <f>SUM(BQ170,BD170,AQ170,AD170,Q170)</f>
      </c>
      <c r="BV170" s="158" t="s">
        <v>325</v>
      </c>
      <c r="BW170" s="96">
        <f>SUM(Financials!E170:'Financials'!G170)</f>
        <v>0</v>
      </c>
      <c r="BX170" s="96">
        <f>SUM(Financials!H170:'Financials'!J170)</f>
        <v>0</v>
      </c>
      <c r="BY170" s="96">
        <f>SUM(Financials!K170:'Financials'!M170)</f>
        <v>0</v>
      </c>
      <c r="BZ170" s="96">
        <f>SUM(Financials!N170:'Financials'!P170)</f>
        <v>0</v>
      </c>
      <c r="CA170" s="96">
        <f>SUM(Financials!R170:'Financials'!T170)</f>
        <v>0</v>
      </c>
      <c r="CB170" s="96">
        <f>SUM(Financials!U170:'Financials'!W170)</f>
        <v>0</v>
      </c>
      <c r="CC170" s="96">
        <f>SUM(Financials!X170:'Financials'!Z170)</f>
        <v>0</v>
      </c>
      <c r="CD170" s="96">
        <f>SUM(Financials!AA170:'Financials'!AC170)</f>
        <v>0</v>
      </c>
      <c r="CE170" s="96">
        <f>SUM(Financials!AE170:'Financials'!AG170)</f>
        <v>0</v>
      </c>
      <c r="CF170" s="96">
        <f>SUM(Financials!AH170:'Financials'!AJ170)</f>
        <v>0</v>
      </c>
      <c r="CG170" s="96">
        <f>SUM(Financials!AK170:'Financials'!AM170)</f>
        <v>0</v>
      </c>
      <c r="CH170" s="96">
        <f>SUM(Financials!AN170:'Financials'!AP170)</f>
        <v>0</v>
      </c>
      <c r="CI170" s="96">
        <f>SUM(Financials!AR170:'Financials'!AT170)</f>
        <v>0</v>
      </c>
      <c r="CJ170" s="96">
        <f>SUM(Financials!AU170:'Financials'!AW170)</f>
        <v>0</v>
      </c>
      <c r="CK170" s="96">
        <f>SUM(Financials!AX170:'Financials'!AZ170)</f>
        <v>0</v>
      </c>
      <c r="CL170" s="96">
        <f>SUM(Financials!BA170:'Financials'!BC170)</f>
        <v>0</v>
      </c>
      <c r="CM170" s="96">
        <f>SUM(Financials!BE170:'Financials'!BG170)</f>
        <v>0</v>
      </c>
      <c r="CN170" s="96">
        <f>SUM(Financials!BH170:'Financials'!BJ170)</f>
        <v>0</v>
      </c>
      <c r="CO170" s="96">
        <f>SUM(Financials!BK170:'Financials'!BM170)</f>
        <v>0</v>
      </c>
      <c r="CP170" s="96">
        <f>SUM(Financials!BN170:'Financials'!BP170)</f>
        <v>0</v>
      </c>
    </row>
    <row r="171" spans="1:156" ht="12.75" customHeight="1" x14ac:dyDescent="0.35">
      <c r="A171" s="136"/>
      <c r="B171" s="136"/>
      <c r="C171" s="136"/>
      <c r="D171" s="152" t="s">
        <v>326</v>
      </c>
      <c r="E171" s="96">
        <f>Calcs!AF760+Calcs!AF818+Calcs!AF794</f>
        <v>0</v>
      </c>
      <c r="F171" s="96">
        <f>Calcs!AG760+Calcs!AG818+Calcs!AG794</f>
        <v>0</v>
      </c>
      <c r="G171" s="96">
        <f>Calcs!AH760+Calcs!AH818+Calcs!AH794</f>
        <v>0</v>
      </c>
      <c r="H171" s="96">
        <f>Calcs!AI760+Calcs!AI818+Calcs!AI794</f>
        <v>0</v>
      </c>
      <c r="I171" s="96">
        <f>Calcs!AJ760+Calcs!AJ818+Calcs!AJ794</f>
        <v>0</v>
      </c>
      <c r="J171" s="96">
        <f>Calcs!AK760+Calcs!AK818+Calcs!AK794</f>
        <v>0</v>
      </c>
      <c r="K171" s="96">
        <f>Calcs!AL760+Calcs!AL818+Calcs!AL794</f>
        <v>0</v>
      </c>
      <c r="L171" s="96">
        <f>Calcs!AM760+Calcs!AM818+Calcs!AM794</f>
        <v>0</v>
      </c>
      <c r="M171" s="96">
        <f>Calcs!AN760+Calcs!AN818+Calcs!AN794</f>
        <v>0</v>
      </c>
      <c r="N171" s="96">
        <f>Calcs!AO760+Calcs!AO818+Calcs!AO794</f>
        <v>0</v>
      </c>
      <c r="O171" s="96">
        <f>Calcs!AP760+Calcs!AP818+Calcs!AP794</f>
        <v>0</v>
      </c>
      <c r="P171" s="96">
        <f>Calcs!AQ760+Calcs!AQ818+Calcs!AQ794</f>
        <v>0</v>
      </c>
      <c r="Q171" s="151">
        <f>SUM(E171:P171)</f>
        <v>0</v>
      </c>
      <c r="R171" s="96">
        <f>Calcs!AR760+Calcs!AR818+Calcs!AR794</f>
        <v>0</v>
      </c>
      <c r="S171" s="96">
        <f>Calcs!AS760+Calcs!AS818+Calcs!AS794</f>
        <v>0</v>
      </c>
      <c r="T171" s="96">
        <f>Calcs!AT760+Calcs!AT818+Calcs!AT794</f>
        <v>0</v>
      </c>
      <c r="U171" s="96">
        <f>Calcs!AU760+Calcs!AU818+Calcs!AU794</f>
        <v>0</v>
      </c>
      <c r="V171" s="96">
        <f>Calcs!AV760+Calcs!AV818+Calcs!AV794</f>
        <v>0</v>
      </c>
      <c r="W171" s="96">
        <f>Calcs!AW760+Calcs!AW818+Calcs!AW794</f>
        <v>0</v>
      </c>
      <c r="X171" s="96">
        <f>Calcs!AX760+Calcs!AX818+Calcs!AX794</f>
        <v>0</v>
      </c>
      <c r="Y171" s="96">
        <f>Calcs!AY760+Calcs!AY818+Calcs!AY794</f>
        <v>0</v>
      </c>
      <c r="Z171" s="96">
        <f>Calcs!AZ760+Calcs!AZ818+Calcs!AZ794</f>
        <v>0</v>
      </c>
      <c r="AA171" s="96">
        <f>Calcs!BA760+Calcs!BA818+Calcs!BA794</f>
        <v>0</v>
      </c>
      <c r="AB171" s="96">
        <f>Calcs!BB760+Calcs!BB818+Calcs!BB794</f>
        <v>0</v>
      </c>
      <c r="AC171" s="96">
        <f>Calcs!BC760+Calcs!BC818+Calcs!BC794</f>
        <v>0</v>
      </c>
      <c r="AD171" s="96">
        <f>SUM(R171:AC171)</f>
        <v>0</v>
      </c>
      <c r="AE171" s="96">
        <f>Calcs!BD760+Calcs!BD818+Calcs!BD794</f>
        <v>0</v>
      </c>
      <c r="AF171" s="96">
        <f>Calcs!BE760+Calcs!BE818+Calcs!BE794</f>
        <v>0</v>
      </c>
      <c r="AG171" s="96">
        <f>Calcs!BF760+Calcs!BF818+Calcs!BF794</f>
        <v>0</v>
      </c>
      <c r="AH171" s="96">
        <f>Calcs!BG760+Calcs!BG818+Calcs!BG794</f>
        <v>0</v>
      </c>
      <c r="AI171" s="96">
        <f>Calcs!BH760+Calcs!BH818+Calcs!BH794</f>
        <v>0</v>
      </c>
      <c r="AJ171" s="96">
        <f>Calcs!BI760+Calcs!BI818+Calcs!BI794</f>
        <v>0</v>
      </c>
      <c r="AK171" s="96">
        <f>Calcs!BJ760+Calcs!BJ818+Calcs!BJ794</f>
        <v>0</v>
      </c>
      <c r="AL171" s="96">
        <f>Calcs!BK760+Calcs!BK818+Calcs!BK794</f>
        <v>0</v>
      </c>
      <c r="AM171" s="96">
        <f>Calcs!BL760+Calcs!BL818+Calcs!BL794</f>
        <v>0</v>
      </c>
      <c r="AN171" s="96">
        <f>Calcs!BM760+Calcs!BM818+Calcs!BM794</f>
        <v>0</v>
      </c>
      <c r="AO171" s="96">
        <f>Calcs!BN760+Calcs!BN818+Calcs!BN794</f>
        <v>0</v>
      </c>
      <c r="AP171" s="96">
        <f>Calcs!BO760+Calcs!BO818+Calcs!BO794</f>
        <v>0</v>
      </c>
      <c r="AQ171" s="96">
        <f>SUM(AE171:AP171)</f>
        <v>0</v>
      </c>
      <c r="AR171" s="96">
        <f>Calcs!BP760+Calcs!BP818+Calcs!BP794</f>
        <v>0</v>
      </c>
      <c r="AS171" s="96">
        <f>Calcs!BQ760+Calcs!BQ818+Calcs!BQ794</f>
        <v>0</v>
      </c>
      <c r="AT171" s="96">
        <f>Calcs!BR760+Calcs!BR818+Calcs!BR794</f>
        <v>0</v>
      </c>
      <c r="AU171" s="96">
        <f>Calcs!BS760+Calcs!BS818+Calcs!BS794</f>
        <v>0</v>
      </c>
      <c r="AV171" s="96">
        <f>Calcs!BT760+Calcs!BT818+Calcs!BT794</f>
        <v>0</v>
      </c>
      <c r="AW171" s="96">
        <f>Calcs!BU760+Calcs!BU818+Calcs!BU794</f>
        <v>0</v>
      </c>
      <c r="AX171" s="96">
        <f>Calcs!BV760+Calcs!BV818+Calcs!BV794</f>
        <v>0</v>
      </c>
      <c r="AY171" s="96">
        <f>Calcs!BW760+Calcs!BW818+Calcs!BW794</f>
        <v>0</v>
      </c>
      <c r="AZ171" s="96">
        <f>Calcs!BX760+Calcs!BX818+Calcs!BX794</f>
        <v>0</v>
      </c>
      <c r="BA171" s="96">
        <f>Calcs!BY760+Calcs!BY818+Calcs!BY794</f>
        <v>0</v>
      </c>
      <c r="BB171" s="96">
        <f>Calcs!BZ760+Calcs!BZ818+Calcs!BZ794</f>
        <v>0</v>
      </c>
      <c r="BC171" s="96">
        <f>Calcs!CA760+Calcs!CA818+Calcs!CA794</f>
        <v>0</v>
      </c>
      <c r="BD171" s="96">
        <f>SUM(AR171:BC171)</f>
        <v>0</v>
      </c>
      <c r="BE171" s="96">
        <f>Calcs!CB760+Calcs!CB818+Calcs!CB794</f>
        <v>0</v>
      </c>
      <c r="BF171" s="96">
        <f>Calcs!CC760+Calcs!CC818+Calcs!CC794</f>
        <v>0</v>
      </c>
      <c r="BG171" s="96">
        <f>Calcs!CD760+Calcs!CD818+Calcs!CD794</f>
        <v>0</v>
      </c>
      <c r="BH171" s="96">
        <f>Calcs!CE760+Calcs!CE818+Calcs!CE794</f>
        <v>0</v>
      </c>
      <c r="BI171" s="96">
        <f>Calcs!CF760+Calcs!CF818+Calcs!CF794</f>
        <v>0</v>
      </c>
      <c r="BJ171" s="96">
        <f>Calcs!CG760+Calcs!CG818+Calcs!CG794</f>
        <v>0</v>
      </c>
      <c r="BK171" s="96">
        <f>Calcs!CH760+Calcs!CH818+Calcs!CH794</f>
        <v>0</v>
      </c>
      <c r="BL171" s="96">
        <f>Calcs!CI760+Calcs!CI818+Calcs!CI794</f>
        <v>0</v>
      </c>
      <c r="BM171" s="96">
        <f>Calcs!CJ760+Calcs!CJ818+Calcs!CJ794</f>
        <v>0</v>
      </c>
      <c r="BN171" s="96">
        <f>Calcs!CK760+Calcs!CK818+Calcs!CK794</f>
        <v>0</v>
      </c>
      <c r="BO171" s="96">
        <f>Calcs!CL760+Calcs!CL818+Calcs!CL794</f>
        <v>0</v>
      </c>
      <c r="BP171" s="96">
        <f>Calcs!CM760+Calcs!CM818+Calcs!CM794</f>
        <v>0</v>
      </c>
      <c r="BQ171" s="96">
        <f>SUM(BE171:BP171)</f>
        <v>0</v>
      </c>
      <c r="BR171" s="1569"/>
      <c r="BS171" s="153">
        <v>1</v>
      </c>
      <c r="BT171" s="1569"/>
      <c r="BU171" s="113">
        <f>SUM(BQ171,BD171,AQ171,AD171,Q171)</f>
      </c>
      <c r="BV171" s="158" t="s">
        <v>326</v>
      </c>
      <c r="BW171" s="96">
        <f>SUM(Financials!E171:'Financials'!G171)</f>
        <v>0</v>
      </c>
      <c r="BX171" s="96">
        <f>SUM(Financials!H171:'Financials'!J171)</f>
        <v>0</v>
      </c>
      <c r="BY171" s="96">
        <f>SUM(Financials!K171:'Financials'!M171)</f>
        <v>0</v>
      </c>
      <c r="BZ171" s="96">
        <f>SUM(Financials!N171:'Financials'!P171)</f>
        <v>0</v>
      </c>
      <c r="CA171" s="96">
        <f>SUM(Financials!R171:'Financials'!T171)</f>
        <v>0</v>
      </c>
      <c r="CB171" s="96">
        <f>SUM(Financials!U171:'Financials'!W171)</f>
        <v>0</v>
      </c>
      <c r="CC171" s="96">
        <f>SUM(Financials!X171:'Financials'!Z171)</f>
        <v>0</v>
      </c>
      <c r="CD171" s="96">
        <f>SUM(Financials!AA171:'Financials'!AC171)</f>
        <v>0</v>
      </c>
      <c r="CE171" s="96">
        <f>SUM(Financials!AE171:'Financials'!AG171)</f>
        <v>0</v>
      </c>
      <c r="CF171" s="96">
        <f>SUM(Financials!AH171:'Financials'!AJ171)</f>
        <v>0</v>
      </c>
      <c r="CG171" s="96">
        <f>SUM(Financials!AK171:'Financials'!AM171)</f>
        <v>0</v>
      </c>
      <c r="CH171" s="96">
        <f>SUM(Financials!AN171:'Financials'!AP171)</f>
        <v>0</v>
      </c>
      <c r="CI171" s="96">
        <f>SUM(Financials!AR171:'Financials'!AT171)</f>
        <v>0</v>
      </c>
      <c r="CJ171" s="96">
        <f>SUM(Financials!AU171:'Financials'!AW171)</f>
        <v>0</v>
      </c>
      <c r="CK171" s="96">
        <f>SUM(Financials!AX171:'Financials'!AZ171)</f>
        <v>0</v>
      </c>
      <c r="CL171" s="96">
        <f>SUM(Financials!BA171:'Financials'!BC171)</f>
        <v>0</v>
      </c>
      <c r="CM171" s="96">
        <f>SUM(Financials!BE171:'Financials'!BG171)</f>
        <v>0</v>
      </c>
      <c r="CN171" s="96">
        <f>SUM(Financials!BH171:'Financials'!BJ171)</f>
        <v>0</v>
      </c>
      <c r="CO171" s="96">
        <f>SUM(Financials!BK171:'Financials'!BM171)</f>
        <v>0</v>
      </c>
      <c r="CP171" s="96">
        <f>SUM(Financials!BN171:'Financials'!BP171)</f>
        <v>0</v>
      </c>
    </row>
    <row r="172" spans="1:156" ht="12.75" customHeight="1" x14ac:dyDescent="0.35">
      <c r="A172" s="136"/>
      <c r="D172" s="152" t="s">
        <v>327</v>
      </c>
      <c r="E172" s="96">
        <f>Calcs!AF764</f>
        <v>0</v>
      </c>
      <c r="F172" s="96">
        <f>Calcs!AG764</f>
        <v>0</v>
      </c>
      <c r="G172" s="96">
        <f>Calcs!AH764</f>
        <v>0</v>
      </c>
      <c r="H172" s="96">
        <f>Calcs!AI764</f>
        <v>0</v>
      </c>
      <c r="I172" s="96">
        <f>Calcs!AJ764</f>
        <v>0</v>
      </c>
      <c r="J172" s="96">
        <f>Calcs!AK764</f>
        <v>0</v>
      </c>
      <c r="K172" s="96">
        <f>Calcs!AL764</f>
        <v>0</v>
      </c>
      <c r="L172" s="96">
        <f>Calcs!AM764</f>
        <v>0</v>
      </c>
      <c r="M172" s="96">
        <f>Calcs!AN764</f>
        <v>0</v>
      </c>
      <c r="N172" s="96">
        <f>Calcs!AO764</f>
        <v>0</v>
      </c>
      <c r="O172" s="96">
        <f>Calcs!AP764</f>
        <v>0</v>
      </c>
      <c r="P172" s="96">
        <f>Calcs!AQ764</f>
        <v>0</v>
      </c>
      <c r="Q172" s="151">
        <f>SUM(E172:P172)</f>
        <v>0</v>
      </c>
      <c r="R172" s="96">
        <f>Calcs!AR764</f>
        <v>0</v>
      </c>
      <c r="S172" s="96">
        <f>Calcs!AS764</f>
        <v>0</v>
      </c>
      <c r="T172" s="96">
        <f>Calcs!AT764</f>
        <v>0</v>
      </c>
      <c r="U172" s="96">
        <f>Calcs!AU764</f>
        <v>0</v>
      </c>
      <c r="V172" s="96">
        <f>Calcs!AV764</f>
        <v>0</v>
      </c>
      <c r="W172" s="96">
        <f>Calcs!AW764</f>
        <v>0</v>
      </c>
      <c r="X172" s="96">
        <f>Calcs!AX764</f>
        <v>0</v>
      </c>
      <c r="Y172" s="96">
        <f>Calcs!AY764</f>
        <v>0</v>
      </c>
      <c r="Z172" s="96">
        <f>Calcs!AZ764</f>
        <v>0</v>
      </c>
      <c r="AA172" s="96">
        <f>Calcs!BA764</f>
        <v>0</v>
      </c>
      <c r="AB172" s="96">
        <f>Calcs!BB764</f>
        <v>0</v>
      </c>
      <c r="AC172" s="96">
        <f>Calcs!BC764</f>
        <v>0</v>
      </c>
      <c r="AD172" s="96">
        <f>SUM(R172:AC172)</f>
        <v>0</v>
      </c>
      <c r="AE172" s="96">
        <f>Calcs!BD764</f>
        <v>0</v>
      </c>
      <c r="AF172" s="96">
        <f>Calcs!BE764</f>
        <v>0</v>
      </c>
      <c r="AG172" s="96">
        <f>Calcs!BF764</f>
        <v>0</v>
      </c>
      <c r="AH172" s="96">
        <f>Calcs!BG764</f>
        <v>0</v>
      </c>
      <c r="AI172" s="96">
        <f>Calcs!BH764</f>
        <v>0</v>
      </c>
      <c r="AJ172" s="96">
        <f>Calcs!BI764</f>
        <v>0</v>
      </c>
      <c r="AK172" s="96">
        <f>Calcs!BJ764</f>
        <v>0</v>
      </c>
      <c r="AL172" s="96">
        <f>Calcs!BK764</f>
        <v>0</v>
      </c>
      <c r="AM172" s="96">
        <f>Calcs!BL764</f>
        <v>0</v>
      </c>
      <c r="AN172" s="96">
        <f>Calcs!BM764</f>
        <v>0</v>
      </c>
      <c r="AO172" s="96">
        <f>Calcs!BN764</f>
        <v>0</v>
      </c>
      <c r="AP172" s="96">
        <f>Calcs!BO764</f>
        <v>0</v>
      </c>
      <c r="AQ172" s="96">
        <f>SUM(AE172:AP172)</f>
        <v>0</v>
      </c>
      <c r="AR172" s="96">
        <f>Calcs!BP764</f>
        <v>0</v>
      </c>
      <c r="AS172" s="96">
        <f>Calcs!BQ764</f>
        <v>0</v>
      </c>
      <c r="AT172" s="96">
        <f>Calcs!BR764</f>
        <v>0</v>
      </c>
      <c r="AU172" s="96">
        <f>Calcs!BS764</f>
        <v>0</v>
      </c>
      <c r="AV172" s="96">
        <f>Calcs!BT764</f>
        <v>0</v>
      </c>
      <c r="AW172" s="96">
        <f>Calcs!BU764</f>
        <v>0</v>
      </c>
      <c r="AX172" s="96">
        <f>Calcs!BV764</f>
        <v>0</v>
      </c>
      <c r="AY172" s="96">
        <f>Calcs!BW764</f>
        <v>0</v>
      </c>
      <c r="AZ172" s="96">
        <f>Calcs!BX764</f>
        <v>0</v>
      </c>
      <c r="BA172" s="96">
        <f>Calcs!BY764</f>
        <v>0</v>
      </c>
      <c r="BB172" s="96">
        <f>Calcs!BZ764</f>
        <v>0</v>
      </c>
      <c r="BC172" s="96">
        <f>Calcs!CA764</f>
        <v>0</v>
      </c>
      <c r="BD172" s="96">
        <f>SUM(AR172:BC172)</f>
        <v>0</v>
      </c>
      <c r="BE172" s="96">
        <f>Calcs!CB764</f>
        <v>0</v>
      </c>
      <c r="BF172" s="96">
        <f>Calcs!CC764</f>
        <v>0</v>
      </c>
      <c r="BG172" s="96">
        <f>Calcs!CD764</f>
        <v>0</v>
      </c>
      <c r="BH172" s="96">
        <f>Calcs!CE764</f>
        <v>0</v>
      </c>
      <c r="BI172" s="96">
        <f>Calcs!CF764</f>
        <v>0</v>
      </c>
      <c r="BJ172" s="96">
        <f>Calcs!CG764</f>
        <v>0</v>
      </c>
      <c r="BK172" s="96">
        <f>Calcs!CH764</f>
        <v>0</v>
      </c>
      <c r="BL172" s="96">
        <f>Calcs!CI764</f>
        <v>0</v>
      </c>
      <c r="BM172" s="96">
        <f>Calcs!CJ764</f>
        <v>0</v>
      </c>
      <c r="BN172" s="96">
        <f>Calcs!CK764</f>
        <v>0</v>
      </c>
      <c r="BO172" s="96">
        <f>Calcs!CL764</f>
        <v>0</v>
      </c>
      <c r="BP172" s="96">
        <f>Calcs!CM764</f>
        <v>0</v>
      </c>
      <c r="BQ172" s="96">
        <f>SUM(BE172:BP172)</f>
        <v>0</v>
      </c>
      <c r="BR172" s="1569"/>
      <c r="BS172" s="153">
        <v>1</v>
      </c>
      <c r="BT172" s="1569"/>
      <c r="BU172" s="113">
        <f>SUM(BQ172,BD172,AQ172,AD172,Q172)</f>
      </c>
      <c r="BV172" s="158" t="s">
        <v>327</v>
      </c>
      <c r="BW172" s="96">
        <f>SUM(Financials!E172:'Financials'!G172)</f>
        <v>0</v>
      </c>
      <c r="BX172" s="96">
        <f>SUM(Financials!H172:'Financials'!J172)</f>
        <v>0</v>
      </c>
      <c r="BY172" s="96">
        <f>SUM(Financials!K172:'Financials'!M172)</f>
        <v>0</v>
      </c>
      <c r="BZ172" s="96">
        <f>SUM(Financials!N172:'Financials'!P172)</f>
        <v>0</v>
      </c>
      <c r="CA172" s="96">
        <f>SUM(Financials!R172:'Financials'!T172)</f>
        <v>0</v>
      </c>
      <c r="CB172" s="96">
        <f>SUM(Financials!U172:'Financials'!W172)</f>
        <v>0</v>
      </c>
      <c r="CC172" s="96">
        <f>SUM(Financials!X172:'Financials'!Z172)</f>
        <v>0</v>
      </c>
      <c r="CD172" s="96">
        <f>SUM(Financials!AA172:'Financials'!AC172)</f>
        <v>0</v>
      </c>
      <c r="CE172" s="96">
        <f>SUM(Financials!AE172:'Financials'!AG172)</f>
        <v>0</v>
      </c>
      <c r="CF172" s="96">
        <f>SUM(Financials!AH172:'Financials'!AJ172)</f>
        <v>0</v>
      </c>
      <c r="CG172" s="96">
        <f>SUM(Financials!AK172:'Financials'!AM172)</f>
        <v>0</v>
      </c>
      <c r="CH172" s="96">
        <f>SUM(Financials!AN172:'Financials'!AP172)</f>
        <v>0</v>
      </c>
      <c r="CI172" s="96">
        <f>SUM(Financials!AR172:'Financials'!AT172)</f>
        <v>0</v>
      </c>
      <c r="CJ172" s="96">
        <f>SUM(Financials!AU172:'Financials'!AW172)</f>
        <v>0</v>
      </c>
      <c r="CK172" s="96">
        <f>SUM(Financials!AX172:'Financials'!AZ172)</f>
        <v>0</v>
      </c>
      <c r="CL172" s="96">
        <f>SUM(Financials!BA172:'Financials'!BC172)</f>
        <v>0</v>
      </c>
      <c r="CM172" s="96">
        <f>SUM(Financials!BE172:'Financials'!BG172)</f>
        <v>0</v>
      </c>
      <c r="CN172" s="96">
        <f>SUM(Financials!BH172:'Financials'!BJ172)</f>
        <v>0</v>
      </c>
      <c r="CO172" s="96">
        <f>SUM(Financials!BK172:'Financials'!BM172)</f>
        <v>0</v>
      </c>
      <c r="CP172" s="96">
        <f>SUM(Financials!BN172:'Financials'!BP172)</f>
        <v>0</v>
      </c>
    </row>
    <row r="173" spans="1:156" ht="12.75" customHeight="1" x14ac:dyDescent="0.35">
      <c r="A173" s="136"/>
      <c r="D173" s="142" t="s">
        <v>328</v>
      </c>
      <c r="E173" s="98">
        <f>SUM(E168:E172)</f>
        <v>0</v>
      </c>
      <c r="F173" s="98">
        <f>SUM(F168:F172)</f>
        <v>0</v>
      </c>
      <c r="G173" s="98">
        <f>SUM(G168:G172)</f>
        <v>0</v>
      </c>
      <c r="H173" s="98">
        <f>SUM(H168:H172)</f>
        <v>0</v>
      </c>
      <c r="I173" s="98">
        <f>SUM(I168:I172)</f>
        <v>0</v>
      </c>
      <c r="J173" s="98">
        <f>SUM(J168:J172)</f>
        <v>0</v>
      </c>
      <c r="K173" s="98">
        <f>SUM(K168:K172)</f>
        <v>0</v>
      </c>
      <c r="L173" s="98">
        <f>SUM(L168:L172)</f>
        <v>0</v>
      </c>
      <c r="M173" s="98">
        <f>SUM(M168:M172)</f>
        <v>0</v>
      </c>
      <c r="N173" s="98">
        <f>SUM(N168:N172)</f>
        <v>0</v>
      </c>
      <c r="O173" s="98">
        <f>SUM(O168:O172)</f>
        <v>0</v>
      </c>
      <c r="P173" s="98">
        <f>SUM(P168:P172)</f>
        <v>0</v>
      </c>
      <c r="Q173" s="98">
        <f>SUM(Q168:Q172)</f>
        <v>0</v>
      </c>
      <c r="R173" s="98">
        <f>SUM(R168:R172)</f>
        <v>0</v>
      </c>
      <c r="S173" s="98">
        <f>SUM(S168:S172)</f>
        <v>0</v>
      </c>
      <c r="T173" s="98">
        <f>SUM(T168:T172)</f>
        <v>0</v>
      </c>
      <c r="U173" s="98">
        <f>SUM(U168:U172)</f>
        <v>0</v>
      </c>
      <c r="V173" s="98">
        <f>SUM(V168:V172)</f>
        <v>0</v>
      </c>
      <c r="W173" s="98">
        <f>SUM(W168:W172)</f>
        <v>0</v>
      </c>
      <c r="X173" s="98">
        <f>SUM(X168:X172)</f>
        <v>0</v>
      </c>
      <c r="Y173" s="98">
        <f>SUM(Y168:Y172)</f>
        <v>0</v>
      </c>
      <c r="Z173" s="98">
        <f>SUM(Z168:Z172)</f>
        <v>0</v>
      </c>
      <c r="AA173" s="98">
        <f>SUM(AA168:AA172)</f>
        <v>0</v>
      </c>
      <c r="AB173" s="98">
        <f>SUM(AB168:AB172)</f>
        <v>0</v>
      </c>
      <c r="AC173" s="98">
        <f>SUM(AC168:AC172)</f>
        <v>0</v>
      </c>
      <c r="AD173" s="98">
        <f>SUM(AD168:AD172)</f>
        <v>0</v>
      </c>
      <c r="AE173" s="98">
        <f>SUM(AE168:AE172)</f>
        <v>0</v>
      </c>
      <c r="AF173" s="98">
        <f>SUM(AF168:AF172)</f>
        <v>0</v>
      </c>
      <c r="AG173" s="98">
        <f>SUM(AG168:AG172)</f>
        <v>0</v>
      </c>
      <c r="AH173" s="98">
        <f>SUM(AH168:AH172)</f>
        <v>0</v>
      </c>
      <c r="AI173" s="98">
        <f>SUM(AI168:AI172)</f>
        <v>0</v>
      </c>
      <c r="AJ173" s="98">
        <f>SUM(AJ168:AJ172)</f>
        <v>0</v>
      </c>
      <c r="AK173" s="98">
        <f>SUM(AK168:AK172)</f>
        <v>0</v>
      </c>
      <c r="AL173" s="98">
        <f>SUM(AL168:AL172)</f>
        <v>0</v>
      </c>
      <c r="AM173" s="98">
        <f>SUM(AM168:AM172)</f>
        <v>0</v>
      </c>
      <c r="AN173" s="98">
        <f>SUM(AN168:AN172)</f>
        <v>0</v>
      </c>
      <c r="AO173" s="98">
        <f>SUM(AO168:AO172)</f>
        <v>0</v>
      </c>
      <c r="AP173" s="98">
        <f>SUM(AP168:AP172)</f>
        <v>0</v>
      </c>
      <c r="AQ173" s="98">
        <f>SUM(AQ168:AQ172)</f>
        <v>0</v>
      </c>
      <c r="AR173" s="98">
        <f>SUM(AR168:AR172)</f>
        <v>0</v>
      </c>
      <c r="AS173" s="98">
        <f>SUM(AS168:AS172)</f>
        <v>0</v>
      </c>
      <c r="AT173" s="98">
        <f>SUM(AT168:AT172)</f>
        <v>0</v>
      </c>
      <c r="AU173" s="98">
        <f>SUM(AU168:AU172)</f>
        <v>0</v>
      </c>
      <c r="AV173" s="98">
        <f>SUM(AV168:AV172)</f>
        <v>0</v>
      </c>
      <c r="AW173" s="98">
        <f>SUM(AW168:AW172)</f>
        <v>0</v>
      </c>
      <c r="AX173" s="98">
        <f>SUM(AX168:AX172)</f>
        <v>0</v>
      </c>
      <c r="AY173" s="98">
        <f>SUM(AY168:AY172)</f>
        <v>0</v>
      </c>
      <c r="AZ173" s="98">
        <f>SUM(AZ168:AZ172)</f>
        <v>0</v>
      </c>
      <c r="BA173" s="98">
        <f>SUM(BA168:BA172)</f>
        <v>0</v>
      </c>
      <c r="BB173" s="98">
        <f>SUM(BB168:BB172)</f>
        <v>0</v>
      </c>
      <c r="BC173" s="98">
        <f>SUM(BC168:BC172)</f>
        <v>0</v>
      </c>
      <c r="BD173" s="98">
        <f>SUM(BD168:BD172)</f>
        <v>0</v>
      </c>
      <c r="BE173" s="98">
        <f>SUM(BE168:BE172)</f>
        <v>0</v>
      </c>
      <c r="BF173" s="98">
        <f>SUM(BF168:BF172)</f>
        <v>0</v>
      </c>
      <c r="BG173" s="98">
        <f>SUM(BG168:BG172)</f>
        <v>0</v>
      </c>
      <c r="BH173" s="98">
        <f>SUM(BH168:BH172)</f>
        <v>0</v>
      </c>
      <c r="BI173" s="98">
        <f>SUM(BI168:BI172)</f>
        <v>0</v>
      </c>
      <c r="BJ173" s="98">
        <f>SUM(BJ168:BJ172)</f>
        <v>0</v>
      </c>
      <c r="BK173" s="98">
        <f>SUM(BK168:BK172)</f>
        <v>0</v>
      </c>
      <c r="BL173" s="98">
        <f>SUM(BL168:BL172)</f>
        <v>0</v>
      </c>
      <c r="BM173" s="98">
        <f>SUM(BM168:BM172)</f>
        <v>0</v>
      </c>
      <c r="BN173" s="98">
        <f>SUM(BN168:BN172)</f>
        <v>0</v>
      </c>
      <c r="BO173" s="98">
        <f>SUM(BO168:BO172)</f>
        <v>0</v>
      </c>
      <c r="BP173" s="98">
        <f>SUM(BP168:BP172)</f>
        <v>0</v>
      </c>
      <c r="BQ173" s="98">
        <f>SUM(BQ168:BQ172)</f>
        <v>0</v>
      </c>
      <c r="BR173" s="256"/>
      <c r="BS173" s="153">
        <v>1</v>
      </c>
      <c r="BT173" s="256"/>
      <c r="BU173" s="114">
        <f>SUM(BU168:BU172)</f>
      </c>
      <c r="BV173" s="138" t="s">
        <v>328</v>
      </c>
      <c r="BW173" s="98">
        <f>SUM(BW169:BW172)</f>
        <v>0</v>
      </c>
      <c r="BX173" s="98">
        <f>SUM(BX169:BX172)</f>
        <v>0</v>
      </c>
      <c r="BY173" s="98">
        <f>SUM(BY169:BY172)</f>
        <v>0</v>
      </c>
      <c r="BZ173" s="98">
        <f>SUM(BZ169:BZ172)</f>
        <v>0</v>
      </c>
      <c r="CA173" s="98">
        <f>SUM(CA169:CA172)</f>
        <v>0</v>
      </c>
      <c r="CB173" s="98">
        <f>SUM(CB169:CB172)</f>
        <v>0</v>
      </c>
      <c r="CC173" s="98">
        <f>SUM(CC169:CC172)</f>
        <v>0</v>
      </c>
      <c r="CD173" s="98">
        <f>SUM(CD169:CD172)</f>
        <v>0</v>
      </c>
      <c r="CE173" s="98">
        <f>SUM(CE169:CE172)</f>
        <v>0</v>
      </c>
      <c r="CF173" s="98">
        <f>SUM(CF169:CF172)</f>
        <v>0</v>
      </c>
      <c r="CG173" s="98">
        <f>SUM(CG169:CG172)</f>
        <v>0</v>
      </c>
      <c r="CH173" s="98">
        <f>SUM(CH169:CH172)</f>
        <v>0</v>
      </c>
      <c r="CI173" s="98">
        <f>SUM(CI169:CI172)</f>
        <v>0</v>
      </c>
      <c r="CJ173" s="98">
        <f>SUM(CJ169:CJ172)</f>
        <v>0</v>
      </c>
      <c r="CK173" s="98">
        <f>SUM(CK169:CK172)</f>
        <v>0</v>
      </c>
      <c r="CL173" s="98">
        <f>SUM(CL169:CL172)</f>
        <v>0</v>
      </c>
      <c r="CM173" s="98">
        <f>SUM(CM169:CM172)</f>
        <v>0</v>
      </c>
      <c r="CN173" s="98">
        <f>SUM(CN169:CN172)</f>
        <v>0</v>
      </c>
      <c r="CO173" s="98">
        <f>SUM(CO169:CO172)</f>
        <v>0</v>
      </c>
      <c r="CP173" s="98">
        <f>SUM(CP169:CP172)</f>
        <v>0</v>
      </c>
    </row>
    <row r="174" spans="1:156" ht="5.15" customHeight="1" x14ac:dyDescent="0.35">
      <c r="A174" s="136"/>
      <c r="D174" s="152"/>
      <c r="E174" s="113">
        <f>E160+E165+IF(E171&lt;0,E171,0)+IF(E172&lt;0,E172,0)</f>
        <v>0</v>
      </c>
      <c r="F174" s="113">
        <f>F160+F165+IF(F171&lt;0,F171,0)+IF(F172&lt;0,F172,0)</f>
        <v>0</v>
      </c>
      <c r="G174" s="113">
        <f>G160+G165+IF(G171&lt;0,G171,0)+IF(G172&lt;0,G172,0)</f>
        <v>0</v>
      </c>
      <c r="H174" s="113">
        <f>H160+H165+IF(H171&lt;0,H171,0)+IF(H172&lt;0,H172,0)</f>
        <v>0</v>
      </c>
      <c r="I174" s="113">
        <f>I160+I165+IF(I171&lt;0,I171,0)+IF(I172&lt;0,I172,0)</f>
        <v>0</v>
      </c>
      <c r="J174" s="113">
        <f>J160+J165+IF(J171&lt;0,J171,0)+IF(J172&lt;0,J172,0)</f>
        <v>0</v>
      </c>
      <c r="K174" s="113">
        <f>K160+K165+IF(K171&lt;0,K171,0)+IF(K172&lt;0,K172,0)</f>
        <v>0</v>
      </c>
      <c r="L174" s="113">
        <f>L160+L165+IF(L171&lt;0,L171,0)+IF(L172&lt;0,L172,0)</f>
        <v>0</v>
      </c>
      <c r="M174" s="113">
        <f>M160+M165+IF(M171&lt;0,M171,0)+IF(M172&lt;0,M172,0)</f>
        <v>0</v>
      </c>
      <c r="N174" s="113">
        <f>N160+N165+IF(N171&lt;0,N171,0)+IF(N172&lt;0,N172,0)</f>
        <v>0</v>
      </c>
      <c r="O174" s="113">
        <f>O160+O165+IF(O171&lt;0,O171,0)+IF(O172&lt;0,O172,0)</f>
        <v>0</v>
      </c>
      <c r="P174" s="113">
        <f>P160+P165+IF(P171&lt;0,P171,0)+IF(P172&lt;0,P172,0)</f>
        <v>0</v>
      </c>
      <c r="Q174" s="113">
        <f>Q160+Q165+IF(Q171&lt;0,Q171,0)+IF(Q172&lt;0,Q172,0)</f>
        <v>0</v>
      </c>
      <c r="R174" s="113">
        <f>R160+R165+IF(R171&lt;0,R171,0)+IF(R172&lt;0,R172,0)</f>
        <v>0</v>
      </c>
      <c r="S174" s="113">
        <f>S160+S165+IF(S171&lt;0,S171,0)+IF(S172&lt;0,S172,0)</f>
        <v>0</v>
      </c>
      <c r="T174" s="113">
        <f>T160+T165+IF(T171&lt;0,T171,0)+IF(T172&lt;0,T172,0)</f>
        <v>0</v>
      </c>
      <c r="U174" s="113">
        <f>U160+U165+IF(U171&lt;0,U171,0)+IF(U172&lt;0,U172,0)</f>
        <v>0</v>
      </c>
      <c r="V174" s="113">
        <f>V160+V165+IF(V171&lt;0,V171,0)+IF(V172&lt;0,V172,0)</f>
        <v>0</v>
      </c>
      <c r="W174" s="113">
        <f>W160+W165+IF(W171&lt;0,W171,0)+IF(W172&lt;0,W172,0)</f>
        <v>0</v>
      </c>
      <c r="X174" s="113">
        <f>X160+X165+IF(X171&lt;0,X171,0)+IF(X172&lt;0,X172,0)</f>
        <v>0</v>
      </c>
      <c r="Y174" s="113">
        <f>Y160+Y165+IF(Y171&lt;0,Y171,0)+IF(Y172&lt;0,Y172,0)</f>
        <v>0</v>
      </c>
      <c r="Z174" s="113">
        <f>Z160+Z165+IF(Z171&lt;0,Z171,0)+IF(Z172&lt;0,Z172,0)</f>
        <v>0</v>
      </c>
      <c r="AA174" s="113">
        <f>AA160+AA165+IF(AA171&lt;0,AA171,0)+IF(AA172&lt;0,AA172,0)</f>
        <v>0</v>
      </c>
      <c r="AB174" s="113">
        <f>AB160+AB165+IF(AB171&lt;0,AB171,0)+IF(AB172&lt;0,AB172,0)</f>
        <v>0</v>
      </c>
      <c r="AC174" s="113">
        <f>AC160+AC165+IF(AC171&lt;0,AC171,0)+IF(AC172&lt;0,AC172,0)</f>
        <v>0</v>
      </c>
      <c r="AD174" s="113">
        <f>AD160+AD165+IF(AD171&lt;0,AD171,0)+IF(AD172&lt;0,AD172,0)</f>
        <v>0</v>
      </c>
      <c r="AE174" s="113">
        <f>AE160+AE165+IF(AE171&lt;0,AE171,0)+IF(AE172&lt;0,AE172,0)</f>
        <v>0</v>
      </c>
      <c r="AF174" s="113">
        <f>AF160+AF165+IF(AF171&lt;0,AF171,0)+IF(AF172&lt;0,AF172,0)</f>
        <v>0</v>
      </c>
      <c r="AG174" s="113">
        <f>AG160+AG165+IF(AG171&lt;0,AG171,0)+IF(AG172&lt;0,AG172,0)</f>
        <v>0</v>
      </c>
      <c r="AH174" s="113">
        <f>AH160+AH165+IF(AH171&lt;0,AH171,0)+IF(AH172&lt;0,AH172,0)</f>
        <v>0</v>
      </c>
      <c r="AI174" s="113">
        <f>AI160+AI165+IF(AI171&lt;0,AI171,0)+IF(AI172&lt;0,AI172,0)</f>
        <v>0</v>
      </c>
      <c r="AJ174" s="113">
        <f>AJ160+AJ165+IF(AJ171&lt;0,AJ171,0)+IF(AJ172&lt;0,AJ172,0)</f>
        <v>0</v>
      </c>
      <c r="AK174" s="113">
        <f>AK160+AK165+IF(AK171&lt;0,AK171,0)+IF(AK172&lt;0,AK172,0)</f>
        <v>0</v>
      </c>
      <c r="AL174" s="113">
        <f>AL160+AL165+IF(AL171&lt;0,AL171,0)+IF(AL172&lt;0,AL172,0)</f>
        <v>0</v>
      </c>
      <c r="AM174" s="113">
        <f>AM160+AM165+IF(AM171&lt;0,AM171,0)+IF(AM172&lt;0,AM172,0)</f>
        <v>0</v>
      </c>
      <c r="AN174" s="113">
        <f>AN160+AN165+IF(AN171&lt;0,AN171,0)+IF(AN172&lt;0,AN172,0)</f>
        <v>0</v>
      </c>
      <c r="AO174" s="113">
        <f>AO160+AO165+IF(AO171&lt;0,AO171,0)+IF(AO172&lt;0,AO172,0)</f>
        <v>0</v>
      </c>
      <c r="AP174" s="113">
        <f>AP160+AP165+IF(AP171&lt;0,AP171,0)+IF(AP172&lt;0,AP172,0)</f>
        <v>0</v>
      </c>
      <c r="AQ174" s="113">
        <f>AQ160+AQ165+IF(AQ171&lt;0,AQ171,0)+IF(AQ172&lt;0,AQ172,0)</f>
        <v>0</v>
      </c>
      <c r="AR174" s="113">
        <f>AR160+AR165+IF(AR171&lt;0,AR171,0)+IF(AR172&lt;0,AR172,0)</f>
        <v>0</v>
      </c>
      <c r="AS174" s="113">
        <f>AS160+AS165+IF(AS171&lt;0,AS171,0)+IF(AS172&lt;0,AS172,0)</f>
        <v>0</v>
      </c>
      <c r="AT174" s="113">
        <f>AT160+AT165+IF(AT171&lt;0,AT171,0)+IF(AT172&lt;0,AT172,0)</f>
        <v>0</v>
      </c>
      <c r="AU174" s="113">
        <f>AU160+AU165+IF(AU171&lt;0,AU171,0)+IF(AU172&lt;0,AU172,0)</f>
        <v>0</v>
      </c>
      <c r="AV174" s="113">
        <f>AV160+AV165+IF(AV171&lt;0,AV171,0)+IF(AV172&lt;0,AV172,0)</f>
        <v>0</v>
      </c>
      <c r="AW174" s="113">
        <f>AW160+AW165+IF(AW171&lt;0,AW171,0)+IF(AW172&lt;0,AW172,0)</f>
        <v>0</v>
      </c>
      <c r="AX174" s="113">
        <f>AX160+AX165+IF(AX171&lt;0,AX171,0)+IF(AX172&lt;0,AX172,0)</f>
        <v>0</v>
      </c>
      <c r="AY174" s="113">
        <f>AY160+AY165+IF(AY171&lt;0,AY171,0)+IF(AY172&lt;0,AY172,0)</f>
        <v>0</v>
      </c>
      <c r="AZ174" s="113">
        <f>AZ160+AZ165+IF(AZ171&lt;0,AZ171,0)+IF(AZ172&lt;0,AZ172,0)</f>
        <v>0</v>
      </c>
      <c r="BA174" s="113">
        <f>BA160+BA165+IF(BA171&lt;0,BA171,0)+IF(BA172&lt;0,BA172,0)</f>
        <v>0</v>
      </c>
      <c r="BB174" s="113">
        <f>BB160+BB165+IF(BB171&lt;0,BB171,0)+IF(BB172&lt;0,BB172,0)</f>
        <v>0</v>
      </c>
      <c r="BC174" s="113">
        <f>BC160+BC165+IF(BC171&lt;0,BC171,0)+IF(BC172&lt;0,BC172,0)</f>
        <v>0</v>
      </c>
      <c r="BD174" s="113">
        <f>BD160+BD165+IF(BD171&lt;0,BD171,0)+IF(BD172&lt;0,BD172,0)</f>
        <v>0</v>
      </c>
      <c r="BE174" s="113">
        <f>BE160+BE165+IF(BE171&lt;0,BE171,0)+IF(BE172&lt;0,BE172,0)</f>
        <v>0</v>
      </c>
      <c r="BF174" s="113">
        <f>BF160+BF165+IF(BF171&lt;0,BF171,0)+IF(BF172&lt;0,BF172,0)</f>
        <v>0</v>
      </c>
      <c r="BG174" s="113">
        <f>BG160+BG165+IF(BG171&lt;0,BG171,0)+IF(BG172&lt;0,BG172,0)</f>
        <v>0</v>
      </c>
      <c r="BH174" s="113">
        <f>BH160+BH165+IF(BH171&lt;0,BH171,0)+IF(BH172&lt;0,BH172,0)</f>
        <v>0</v>
      </c>
      <c r="BI174" s="113">
        <f>BI160+BI165+IF(BI171&lt;0,BI171,0)+IF(BI172&lt;0,BI172,0)</f>
        <v>0</v>
      </c>
      <c r="BJ174" s="113">
        <f>BJ160+BJ165+IF(BJ171&lt;0,BJ171,0)+IF(BJ172&lt;0,BJ172,0)</f>
        <v>0</v>
      </c>
      <c r="BK174" s="113">
        <f>BK160+BK165+IF(BK171&lt;0,BK171,0)+IF(BK172&lt;0,BK172,0)</f>
        <v>0</v>
      </c>
      <c r="BL174" s="113">
        <f>BL160+BL165+IF(BL171&lt;0,BL171,0)+IF(BL172&lt;0,BL172,0)</f>
        <v>0</v>
      </c>
      <c r="BM174" s="113">
        <f>BM160+BM165+IF(BM171&lt;0,BM171,0)+IF(BM172&lt;0,BM172,0)</f>
        <v>0</v>
      </c>
      <c r="BN174" s="113">
        <f>BN160+BN165+IF(BN171&lt;0,BN171,0)+IF(BN172&lt;0,BN172,0)</f>
        <v>0</v>
      </c>
      <c r="BO174" s="113">
        <f>BO160+BO165+IF(BO171&lt;0,BO171,0)+IF(BO172&lt;0,BO172,0)</f>
        <v>0</v>
      </c>
      <c r="BP174" s="113">
        <f>BP160+BP165+IF(BP171&lt;0,BP171,0)+IF(BP172&lt;0,BP172,0)</f>
        <v>0</v>
      </c>
      <c r="BQ174" s="113">
        <f>BQ160+BQ165+IF(BQ171&lt;0,BQ171,0)+IF(BQ172&lt;0,BQ172,0)</f>
        <v>0</v>
      </c>
      <c r="BR174" s="1569"/>
      <c r="BS174" s="153">
        <v>1</v>
      </c>
      <c r="BT174" s="1569"/>
      <c r="BU174" s="113"/>
      <c r="BV174" s="158"/>
      <c r="BW174" s="96"/>
      <c r="BX174" s="96"/>
      <c r="BY174" s="96"/>
      <c r="BZ174" s="96"/>
      <c r="CA174" s="96"/>
      <c r="CB174" s="96"/>
      <c r="CC174" s="96"/>
      <c r="CD174" s="96"/>
      <c r="CE174" s="96"/>
      <c r="CF174" s="96"/>
      <c r="CG174" s="96"/>
      <c r="CH174" s="96"/>
      <c r="CI174" s="96"/>
      <c r="CJ174" s="96"/>
      <c r="CK174" s="96"/>
      <c r="CL174" s="96"/>
      <c r="CM174" s="96"/>
      <c r="CN174" s="96"/>
      <c r="CO174" s="96"/>
      <c r="CP174" s="96"/>
    </row>
    <row r="175" spans="1:156" ht="12.75" customHeight="1" x14ac:dyDescent="0.35">
      <c r="A175" s="136"/>
      <c r="D175" s="142" t="s">
        <v>329</v>
      </c>
      <c r="E175" s="99">
        <f>E160+E165+E173</f>
        <v>0</v>
      </c>
      <c r="F175" s="99">
        <f>F160+F165+F173</f>
        <v>0</v>
      </c>
      <c r="G175" s="99">
        <f>G160+G165+G173</f>
        <v>0</v>
      </c>
      <c r="H175" s="99">
        <f>H160+H165+H173</f>
        <v>0</v>
      </c>
      <c r="I175" s="99">
        <f>I160+I165+I173</f>
        <v>0</v>
      </c>
      <c r="J175" s="99">
        <f>J160+J165+J173</f>
        <v>0</v>
      </c>
      <c r="K175" s="99">
        <f>K160+K165+K173</f>
        <v>0</v>
      </c>
      <c r="L175" s="99">
        <f>L160+L165+L173</f>
        <v>0</v>
      </c>
      <c r="M175" s="99">
        <f>M160+M165+M173</f>
        <v>0</v>
      </c>
      <c r="N175" s="99">
        <f>N160+N165+N173</f>
        <v>0</v>
      </c>
      <c r="O175" s="99">
        <f>O160+O165+O173</f>
        <v>0</v>
      </c>
      <c r="P175" s="99">
        <f>P160+P165+P173</f>
        <v>0</v>
      </c>
      <c r="Q175" s="99">
        <f>Q160+Q165+Q173</f>
        <v>0</v>
      </c>
      <c r="R175" s="99">
        <f>R160+R165+R173</f>
        <v>0</v>
      </c>
      <c r="S175" s="99">
        <f>S160+S165+S173</f>
        <v>0</v>
      </c>
      <c r="T175" s="99">
        <f>T160+T165+T173</f>
        <v>0</v>
      </c>
      <c r="U175" s="99">
        <f>U160+U165+U173</f>
        <v>0</v>
      </c>
      <c r="V175" s="99">
        <f>V160+V165+V173</f>
        <v>0</v>
      </c>
      <c r="W175" s="99">
        <f>W160+W165+W173</f>
        <v>0</v>
      </c>
      <c r="X175" s="99">
        <f>X160+X165+X173</f>
        <v>0</v>
      </c>
      <c r="Y175" s="99">
        <f>Y160+Y165+Y173</f>
        <v>0</v>
      </c>
      <c r="Z175" s="99">
        <f>Z160+Z165+Z173</f>
        <v>0</v>
      </c>
      <c r="AA175" s="99">
        <f>AA160+AA165+AA173</f>
        <v>0</v>
      </c>
      <c r="AB175" s="99">
        <f>AB160+AB165+AB173</f>
        <v>0</v>
      </c>
      <c r="AC175" s="99">
        <f>AC160+AC165+AC173</f>
        <v>0</v>
      </c>
      <c r="AD175" s="99">
        <f>SUM(R175:AC175)</f>
        <v>0</v>
      </c>
      <c r="AE175" s="99">
        <f>AE160+AE165+AE173</f>
        <v>0</v>
      </c>
      <c r="AF175" s="99">
        <f>AF160+AF165+AF173</f>
        <v>0</v>
      </c>
      <c r="AG175" s="99">
        <f>AG160+AG165+AG173</f>
        <v>0</v>
      </c>
      <c r="AH175" s="99">
        <f>AH160+AH165+AH173</f>
        <v>0</v>
      </c>
      <c r="AI175" s="99">
        <f>AI160+AI165+AI173</f>
        <v>0</v>
      </c>
      <c r="AJ175" s="99">
        <f>AJ160+AJ165+AJ173</f>
        <v>0</v>
      </c>
      <c r="AK175" s="99">
        <f>AK160+AK165+AK173</f>
        <v>0</v>
      </c>
      <c r="AL175" s="99">
        <f>AL160+AL165+AL173</f>
        <v>0</v>
      </c>
      <c r="AM175" s="99">
        <f>AM160+AM165+AM173</f>
        <v>0</v>
      </c>
      <c r="AN175" s="99">
        <f>AN160+AN165+AN173</f>
        <v>0</v>
      </c>
      <c r="AO175" s="99">
        <f>AO160+AO165+AO173</f>
        <v>0</v>
      </c>
      <c r="AP175" s="99">
        <f>AP160+AP165+AP173</f>
        <v>0</v>
      </c>
      <c r="AQ175" s="99">
        <f>SUM(AE175:AP175)</f>
        <v>0</v>
      </c>
      <c r="AR175" s="99">
        <f>AR160+AR165+AR173</f>
        <v>0</v>
      </c>
      <c r="AS175" s="99">
        <f>AS160+AS165+AS173</f>
        <v>0</v>
      </c>
      <c r="AT175" s="99">
        <f>AT160+AT165+AT173</f>
        <v>0</v>
      </c>
      <c r="AU175" s="99">
        <f>AU160+AU165+AU173</f>
        <v>0</v>
      </c>
      <c r="AV175" s="99">
        <f>AV160+AV165+AV173</f>
        <v>0</v>
      </c>
      <c r="AW175" s="99">
        <f>AW160+AW165+AW173</f>
        <v>0</v>
      </c>
      <c r="AX175" s="99">
        <f>AX160+AX165+AX173</f>
        <v>0</v>
      </c>
      <c r="AY175" s="99">
        <f>AY160+AY165+AY173</f>
        <v>0</v>
      </c>
      <c r="AZ175" s="99">
        <f>AZ160+AZ165+AZ173</f>
        <v>0</v>
      </c>
      <c r="BA175" s="99">
        <f>BA160+BA165+BA173</f>
        <v>0</v>
      </c>
      <c r="BB175" s="99">
        <f>BB160+BB165+BB173</f>
        <v>0</v>
      </c>
      <c r="BC175" s="99">
        <f>BC160+BC165+BC173</f>
        <v>0</v>
      </c>
      <c r="BD175" s="99">
        <f>SUM(AR175:BC175)</f>
        <v>0</v>
      </c>
      <c r="BE175" s="99">
        <f>BE160+BE165+BE173</f>
        <v>0</v>
      </c>
      <c r="BF175" s="99">
        <f>BF160+BF165+BF173</f>
        <v>0</v>
      </c>
      <c r="BG175" s="99">
        <f>BG160+BG165+BG173</f>
        <v>0</v>
      </c>
      <c r="BH175" s="99">
        <f>BH160+BH165+BH173</f>
        <v>0</v>
      </c>
      <c r="BI175" s="99">
        <f>BI160+BI165+BI173</f>
        <v>0</v>
      </c>
      <c r="BJ175" s="99">
        <f>BJ160+BJ165+BJ173</f>
        <v>0</v>
      </c>
      <c r="BK175" s="99">
        <f>BK160+BK165+BK173</f>
        <v>0</v>
      </c>
      <c r="BL175" s="99">
        <f>BL160+BL165+BL173</f>
        <v>0</v>
      </c>
      <c r="BM175" s="99">
        <f>BM160+BM165+BM173</f>
        <v>0</v>
      </c>
      <c r="BN175" s="99">
        <f>BN160+BN165+BN173</f>
        <v>0</v>
      </c>
      <c r="BO175" s="99">
        <f>BO160+BO165+BO173</f>
        <v>0</v>
      </c>
      <c r="BP175" s="99">
        <f>BP160+BP165+BP173</f>
        <v>0</v>
      </c>
      <c r="BQ175" s="99">
        <f>SUM(BE175:BP175)</f>
        <v>0</v>
      </c>
      <c r="BR175" s="256"/>
      <c r="BS175" s="153">
        <v>1</v>
      </c>
      <c r="BT175" s="256"/>
      <c r="BU175" s="114">
        <f>BU160+BU165+BU173</f>
        <v>102</v>
      </c>
      <c r="BV175" s="138" t="s">
        <v>329</v>
      </c>
      <c r="BW175" s="99">
        <f>BW160+BW165+BW173</f>
        <v>0</v>
      </c>
      <c r="BX175" s="99">
        <f>BX160+BX165+BX173</f>
        <v>0</v>
      </c>
      <c r="BY175" s="99">
        <f>BY160+BY165+BY173</f>
        <v>0</v>
      </c>
      <c r="BZ175" s="99">
        <f>BZ160+BZ165+BZ173</f>
        <v>0</v>
      </c>
      <c r="CA175" s="99">
        <f>CA160+CA165+CA173</f>
        <v>0</v>
      </c>
      <c r="CB175" s="99">
        <f>CB160+CB165+CB173</f>
        <v>0</v>
      </c>
      <c r="CC175" s="99">
        <f>CC160+CC165+CC173</f>
        <v>0</v>
      </c>
      <c r="CD175" s="99">
        <f>CD160+CD165+CD173</f>
        <v>0</v>
      </c>
      <c r="CE175" s="99">
        <f>CE160+CE165+CE173</f>
        <v>0</v>
      </c>
      <c r="CF175" s="99">
        <f>CF160+CF165+CF173</f>
        <v>0</v>
      </c>
      <c r="CG175" s="99">
        <f>CG160+CG165+CG173</f>
        <v>0</v>
      </c>
      <c r="CH175" s="99">
        <f>CH160+CH165+CH173</f>
        <v>0</v>
      </c>
      <c r="CI175" s="99">
        <f>CI160+CI165+CI173</f>
        <v>0</v>
      </c>
      <c r="CJ175" s="99">
        <f>CJ160+CJ165+CJ173</f>
        <v>0</v>
      </c>
      <c r="CK175" s="99">
        <f>CK160+CK165+CK173</f>
        <v>0</v>
      </c>
      <c r="CL175" s="99">
        <f>CL160+CL165+CL173</f>
        <v>0</v>
      </c>
      <c r="CM175" s="99">
        <f>CM160+CM165+CM173</f>
        <v>0</v>
      </c>
      <c r="CN175" s="99">
        <f>CN160+CN165+CN173</f>
        <v>0</v>
      </c>
      <c r="CO175" s="99">
        <f>CO160+CO165+CO173</f>
        <v>0</v>
      </c>
      <c r="CP175" s="99">
        <f>CP160+CP165+CP173</f>
        <v>0</v>
      </c>
    </row>
    <row r="176" spans="1:156" ht="5.15" customHeight="1" x14ac:dyDescent="0.35">
      <c r="A176" s="136"/>
      <c r="D176" s="152"/>
      <c r="E176" s="151"/>
      <c r="F176" s="151"/>
      <c r="G176" s="151"/>
      <c r="H176" s="151"/>
      <c r="I176" s="151"/>
      <c r="J176" s="151"/>
      <c r="K176" s="151"/>
      <c r="L176" s="151"/>
      <c r="M176" s="151"/>
      <c r="N176" s="151"/>
      <c r="O176" s="151"/>
      <c r="P176" s="151"/>
      <c r="Q176" s="151"/>
      <c r="R176" s="151"/>
      <c r="S176" s="151"/>
      <c r="T176" s="151"/>
      <c r="U176" s="151"/>
      <c r="V176" s="151"/>
      <c r="W176" s="151"/>
      <c r="X176" s="151"/>
      <c r="Y176" s="151"/>
      <c r="Z176" s="151"/>
      <c r="AA176" s="151"/>
      <c r="AB176" s="151"/>
      <c r="AC176" s="151"/>
      <c r="AD176" s="151"/>
      <c r="AE176" s="151"/>
      <c r="AF176" s="151"/>
      <c r="AG176" s="151"/>
      <c r="AH176" s="151"/>
      <c r="AI176" s="151"/>
      <c r="AJ176" s="151"/>
      <c r="AK176" s="151"/>
      <c r="AL176" s="151"/>
      <c r="AM176" s="151"/>
      <c r="AN176" s="151"/>
      <c r="AO176" s="151"/>
      <c r="AP176" s="151"/>
      <c r="AQ176" s="151"/>
      <c r="AR176" s="151"/>
      <c r="AS176" s="151"/>
      <c r="AT176" s="151"/>
      <c r="AU176" s="151"/>
      <c r="AV176" s="151"/>
      <c r="AW176" s="151"/>
      <c r="AX176" s="151"/>
      <c r="AY176" s="151"/>
      <c r="AZ176" s="151"/>
      <c r="BA176" s="151"/>
      <c r="BB176" s="151"/>
      <c r="BC176" s="151"/>
      <c r="BD176" s="151"/>
      <c r="BE176" s="151"/>
      <c r="BF176" s="151"/>
      <c r="BG176" s="151"/>
      <c r="BH176" s="151"/>
      <c r="BI176" s="151"/>
      <c r="BJ176" s="151"/>
      <c r="BK176" s="151"/>
      <c r="BL176" s="151"/>
      <c r="BM176" s="151"/>
      <c r="BN176" s="151"/>
      <c r="BO176" s="151"/>
      <c r="BP176" s="151"/>
      <c r="BQ176" s="151"/>
      <c r="BR176" s="1802"/>
      <c r="BS176" s="153">
        <v>1</v>
      </c>
      <c r="BT176" s="1802"/>
      <c r="BU176" s="153"/>
      <c r="BV176" s="158"/>
      <c r="BW176" s="151"/>
      <c r="BX176" s="151"/>
      <c r="BY176" s="151"/>
      <c r="BZ176" s="151"/>
      <c r="CA176" s="151"/>
      <c r="CB176" s="151"/>
      <c r="CC176" s="151"/>
      <c r="CD176" s="151"/>
      <c r="CE176" s="151"/>
      <c r="CF176" s="151"/>
      <c r="CG176" s="151"/>
      <c r="CH176" s="151"/>
      <c r="CI176" s="151"/>
      <c r="CJ176" s="151"/>
      <c r="CK176" s="151"/>
      <c r="CL176" s="151"/>
      <c r="CM176" s="151"/>
      <c r="CN176" s="151"/>
      <c r="CO176" s="151"/>
      <c r="CP176" s="151"/>
    </row>
    <row r="177" spans="1:94" ht="12.75" customHeight="1" x14ac:dyDescent="0.35">
      <c r="A177" s="136"/>
      <c r="D177" s="152" t="s">
        <v>330</v>
      </c>
      <c r="E177" s="151">
        <f>Input!D1537</f>
        <v>0</v>
      </c>
      <c r="F177" s="151">
        <f>E178</f>
        <v>0</v>
      </c>
      <c r="G177" s="151">
        <f>F178</f>
        <v>0</v>
      </c>
      <c r="H177" s="151">
        <f>G178</f>
        <v>0</v>
      </c>
      <c r="I177" s="151">
        <f>H178</f>
        <v>0</v>
      </c>
      <c r="J177" s="151">
        <f>I178</f>
        <v>0</v>
      </c>
      <c r="K177" s="151">
        <f>J178</f>
        <v>0</v>
      </c>
      <c r="L177" s="151">
        <f>K178</f>
        <v>0</v>
      </c>
      <c r="M177" s="151">
        <f>L178</f>
        <v>0</v>
      </c>
      <c r="N177" s="151">
        <f>M178</f>
        <v>0</v>
      </c>
      <c r="O177" s="151">
        <f>N178</f>
        <v>0</v>
      </c>
      <c r="P177" s="151">
        <f>O178</f>
        <v>0</v>
      </c>
      <c r="Q177" s="151">
        <f>E177</f>
        <v>0</v>
      </c>
      <c r="R177" s="151">
        <f>Q178</f>
        <v>0</v>
      </c>
      <c r="S177" s="151">
        <f>R178</f>
        <v>0</v>
      </c>
      <c r="T177" s="151">
        <f>S178</f>
        <v>0</v>
      </c>
      <c r="U177" s="151">
        <f>T178</f>
        <v>0</v>
      </c>
      <c r="V177" s="151">
        <f>U178</f>
        <v>0</v>
      </c>
      <c r="W177" s="151">
        <f>V178</f>
        <v>0</v>
      </c>
      <c r="X177" s="151">
        <f>W178</f>
        <v>0</v>
      </c>
      <c r="Y177" s="151">
        <f>X178</f>
        <v>0</v>
      </c>
      <c r="Z177" s="151">
        <f>Y178</f>
        <v>0</v>
      </c>
      <c r="AA177" s="151">
        <f>Z178</f>
        <v>0</v>
      </c>
      <c r="AB177" s="151">
        <f>AA178</f>
        <v>0</v>
      </c>
      <c r="AC177" s="151">
        <f>AB178</f>
        <v>0</v>
      </c>
      <c r="AD177" s="151">
        <f>R177</f>
        <v>0</v>
      </c>
      <c r="AE177" s="151">
        <f>AC178</f>
        <v>0</v>
      </c>
      <c r="AF177" s="151">
        <f>AE178</f>
        <v>0</v>
      </c>
      <c r="AG177" s="151">
        <f>AF178</f>
        <v>0</v>
      </c>
      <c r="AH177" s="151">
        <f>AG178</f>
        <v>0</v>
      </c>
      <c r="AI177" s="151">
        <f>AH178</f>
        <v>0</v>
      </c>
      <c r="AJ177" s="151">
        <f>AI178</f>
        <v>0</v>
      </c>
      <c r="AK177" s="151">
        <f>AJ178</f>
        <v>0</v>
      </c>
      <c r="AL177" s="151">
        <f>AK178</f>
        <v>0</v>
      </c>
      <c r="AM177" s="151">
        <f>AL178</f>
        <v>0</v>
      </c>
      <c r="AN177" s="151">
        <f>AM178</f>
        <v>0</v>
      </c>
      <c r="AO177" s="151">
        <f>AN178</f>
        <v>0</v>
      </c>
      <c r="AP177" s="151">
        <f>AO178</f>
        <v>0</v>
      </c>
      <c r="AQ177" s="151">
        <f>AE177</f>
        <v>0</v>
      </c>
      <c r="AR177" s="151">
        <f>IF(Years="Five",AP178,0)</f>
        <v>0</v>
      </c>
      <c r="AS177" s="151">
        <f>AR178</f>
        <v>0</v>
      </c>
      <c r="AT177" s="151">
        <f>AS178</f>
        <v>0</v>
      </c>
      <c r="AU177" s="151">
        <f>AT178</f>
        <v>0</v>
      </c>
      <c r="AV177" s="151">
        <f>AU178</f>
        <v>0</v>
      </c>
      <c r="AW177" s="151">
        <f>AV178</f>
        <v>0</v>
      </c>
      <c r="AX177" s="151">
        <f>AW178</f>
        <v>0</v>
      </c>
      <c r="AY177" s="151">
        <f>AX178</f>
        <v>0</v>
      </c>
      <c r="AZ177" s="151">
        <f>AY178</f>
        <v>0</v>
      </c>
      <c r="BA177" s="151">
        <f>AZ178</f>
        <v>0</v>
      </c>
      <c r="BB177" s="151">
        <f>BA178</f>
        <v>0</v>
      </c>
      <c r="BC177" s="151">
        <f>BB178</f>
        <v>0</v>
      </c>
      <c r="BD177" s="151">
        <f>AR177</f>
        <v>0</v>
      </c>
      <c r="BE177" s="151">
        <f>BC178</f>
        <v>0</v>
      </c>
      <c r="BF177" s="151">
        <f>BE178</f>
        <v>0</v>
      </c>
      <c r="BG177" s="151">
        <f>BF178</f>
        <v>0</v>
      </c>
      <c r="BH177" s="151">
        <f>BG178</f>
        <v>0</v>
      </c>
      <c r="BI177" s="151">
        <f>BH178</f>
        <v>0</v>
      </c>
      <c r="BJ177" s="151">
        <f>BI178</f>
        <v>0</v>
      </c>
      <c r="BK177" s="151">
        <f>BJ178</f>
        <v>0</v>
      </c>
      <c r="BL177" s="151">
        <f>BK178</f>
        <v>0</v>
      </c>
      <c r="BM177" s="151">
        <f>BL178</f>
        <v>0</v>
      </c>
      <c r="BN177" s="151">
        <f>BM178</f>
        <v>0</v>
      </c>
      <c r="BO177" s="151">
        <f>BN178</f>
        <v>0</v>
      </c>
      <c r="BP177" s="151">
        <f>BO178</f>
        <v>0</v>
      </c>
      <c r="BQ177" s="151">
        <f>BE177</f>
        <v>0</v>
      </c>
      <c r="BR177" s="1802"/>
      <c r="BS177" s="153">
        <v>1</v>
      </c>
      <c r="BT177" s="1802"/>
      <c r="BU177" s="153">
        <f>E177</f>
        <v>0</v>
      </c>
      <c r="BV177" s="158" t="s">
        <v>330</v>
      </c>
      <c r="BW177" s="151">
        <f>Q177</f>
        <v>0</v>
      </c>
      <c r="BX177" s="151">
        <f>BW178</f>
        <v>0</v>
      </c>
      <c r="BY177" s="151">
        <f>Financials!E177</f>
        <v>0</v>
      </c>
      <c r="BZ177" s="151">
        <f>BY178</f>
        <v>0</v>
      </c>
      <c r="CA177" s="151">
        <f>BZ178</f>
        <v>0</v>
      </c>
      <c r="CB177" s="151">
        <f>CA178</f>
        <v>0</v>
      </c>
      <c r="CC177" s="151">
        <f>CB178</f>
        <v>0</v>
      </c>
      <c r="CD177" s="151">
        <f>CC178</f>
        <v>0</v>
      </c>
      <c r="CE177" s="151">
        <f>CD178</f>
        <v>0</v>
      </c>
      <c r="CF177" s="151">
        <f>CE178</f>
        <v>0</v>
      </c>
      <c r="CG177" s="151">
        <f>CF178</f>
        <v>0</v>
      </c>
      <c r="CH177" s="151">
        <f>CG178</f>
        <v>0</v>
      </c>
      <c r="CI177" s="151">
        <f>CH178</f>
        <v>0</v>
      </c>
      <c r="CJ177" s="151">
        <f>CI178</f>
        <v>0</v>
      </c>
      <c r="CK177" s="151">
        <f>CJ178</f>
        <v>0</v>
      </c>
      <c r="CL177" s="151">
        <f>CK178</f>
        <v>0</v>
      </c>
      <c r="CM177" s="151">
        <f>CL178</f>
        <v>0</v>
      </c>
      <c r="CN177" s="151">
        <f>CM178</f>
        <v>0</v>
      </c>
      <c r="CO177" s="151">
        <f>CN178</f>
        <v>0</v>
      </c>
      <c r="CP177" s="151">
        <f>CO178</f>
        <v>0</v>
      </c>
    </row>
    <row r="178" spans="1:94" ht="12.75" customHeight="1" thickBot="1" x14ac:dyDescent="0.4">
      <c r="A178" s="136"/>
      <c r="D178" s="142" t="s">
        <v>29</v>
      </c>
      <c r="E178" s="159">
        <f>E175+E177</f>
        <v>0</v>
      </c>
      <c r="F178" s="159">
        <f>F175+F177</f>
        <v>0</v>
      </c>
      <c r="G178" s="159">
        <f>G175+G177</f>
        <v>0</v>
      </c>
      <c r="H178" s="159">
        <f>H175+H177</f>
        <v>0</v>
      </c>
      <c r="I178" s="159">
        <f>I175+I177</f>
        <v>0</v>
      </c>
      <c r="J178" s="159">
        <f>J175+J177</f>
        <v>0</v>
      </c>
      <c r="K178" s="159">
        <f>K175+K177</f>
        <v>0</v>
      </c>
      <c r="L178" s="159">
        <f>L175+L177</f>
        <v>0</v>
      </c>
      <c r="M178" s="159">
        <f>M175+M177</f>
        <v>0</v>
      </c>
      <c r="N178" s="159">
        <f>N175+N177</f>
        <v>0</v>
      </c>
      <c r="O178" s="159">
        <f>O175+O177</f>
        <v>0</v>
      </c>
      <c r="P178" s="159">
        <f>P175+P177</f>
        <v>0</v>
      </c>
      <c r="Q178" s="159">
        <f>P178</f>
        <v>0</v>
      </c>
      <c r="R178" s="159">
        <f>R175+R177</f>
        <v>0</v>
      </c>
      <c r="S178" s="159">
        <f>S175+S177</f>
        <v>0</v>
      </c>
      <c r="T178" s="159">
        <f>T175+T177</f>
        <v>0</v>
      </c>
      <c r="U178" s="159">
        <f>U175+U177</f>
        <v>0</v>
      </c>
      <c r="V178" s="159">
        <f>V175+V177</f>
        <v>0</v>
      </c>
      <c r="W178" s="159">
        <f>W175+W177</f>
        <v>0</v>
      </c>
      <c r="X178" s="159">
        <f>X175+X177</f>
        <v>0</v>
      </c>
      <c r="Y178" s="159">
        <f>Y175+Y177</f>
        <v>0</v>
      </c>
      <c r="Z178" s="159">
        <f>Z175+Z177</f>
        <v>0</v>
      </c>
      <c r="AA178" s="159">
        <f>AA175+AA177</f>
        <v>0</v>
      </c>
      <c r="AB178" s="159">
        <f>AB175+AB177</f>
        <v>0</v>
      </c>
      <c r="AC178" s="159">
        <f>AC175+AC177</f>
        <v>0</v>
      </c>
      <c r="AD178" s="159">
        <f>AC178</f>
        <v>0</v>
      </c>
      <c r="AE178" s="159">
        <f>AE175+AE177</f>
        <v>0</v>
      </c>
      <c r="AF178" s="159">
        <f>AF175+AF177</f>
        <v>0</v>
      </c>
      <c r="AG178" s="159">
        <f>AG175+AG177</f>
        <v>0</v>
      </c>
      <c r="AH178" s="159">
        <f>AH175+AH177</f>
        <v>0</v>
      </c>
      <c r="AI178" s="159">
        <f>AI175+AI177</f>
        <v>0</v>
      </c>
      <c r="AJ178" s="159">
        <f>AJ175+AJ177</f>
        <v>0</v>
      </c>
      <c r="AK178" s="159">
        <f>AK175+AK177</f>
        <v>0</v>
      </c>
      <c r="AL178" s="159">
        <f>AL175+AL177</f>
        <v>0</v>
      </c>
      <c r="AM178" s="159">
        <f>AM175+AM177</f>
        <v>0</v>
      </c>
      <c r="AN178" s="159">
        <f>AN175+AN177</f>
        <v>0</v>
      </c>
      <c r="AO178" s="159">
        <f>AO175+AO177</f>
        <v>0</v>
      </c>
      <c r="AP178" s="159">
        <f>AP175+AP177</f>
        <v>0</v>
      </c>
      <c r="AQ178" s="159">
        <f>AP178</f>
        <v>0</v>
      </c>
      <c r="AR178" s="159">
        <f>AR175+AR177</f>
        <v>0</v>
      </c>
      <c r="AS178" s="159">
        <f>AS175+AS177</f>
        <v>0</v>
      </c>
      <c r="AT178" s="159">
        <f>AT175+AT177</f>
        <v>0</v>
      </c>
      <c r="AU178" s="159">
        <f>AU175+AU177</f>
        <v>0</v>
      </c>
      <c r="AV178" s="159">
        <f>AV175+AV177</f>
        <v>0</v>
      </c>
      <c r="AW178" s="159">
        <f>AW175+AW177</f>
        <v>0</v>
      </c>
      <c r="AX178" s="159">
        <f>AX175+AX177</f>
        <v>0</v>
      </c>
      <c r="AY178" s="159">
        <f>AY175+AY177</f>
        <v>0</v>
      </c>
      <c r="AZ178" s="159">
        <f>AZ175+AZ177</f>
        <v>0</v>
      </c>
      <c r="BA178" s="159">
        <f>BA175+BA177</f>
        <v>0</v>
      </c>
      <c r="BB178" s="159">
        <f>BB175+BB177</f>
        <v>0</v>
      </c>
      <c r="BC178" s="159">
        <f>BC175+BC177</f>
        <v>0</v>
      </c>
      <c r="BD178" s="159">
        <f>BC178</f>
        <v>0</v>
      </c>
      <c r="BE178" s="159">
        <f>BE175+BE177</f>
        <v>0</v>
      </c>
      <c r="BF178" s="159">
        <f>BF175+BF177</f>
        <v>0</v>
      </c>
      <c r="BG178" s="159">
        <f>BG175+BG177</f>
        <v>0</v>
      </c>
      <c r="BH178" s="159">
        <f>BH175+BH177</f>
        <v>0</v>
      </c>
      <c r="BI178" s="159">
        <f>BI175+BI177</f>
        <v>0</v>
      </c>
      <c r="BJ178" s="159">
        <f>BJ175+BJ177</f>
        <v>0</v>
      </c>
      <c r="BK178" s="159">
        <f>BK175+BK177</f>
        <v>0</v>
      </c>
      <c r="BL178" s="159">
        <f>BL175+BL177</f>
        <v>0</v>
      </c>
      <c r="BM178" s="159">
        <f>BM175+BM177</f>
        <v>0</v>
      </c>
      <c r="BN178" s="159">
        <f>BN175+BN177</f>
        <v>0</v>
      </c>
      <c r="BO178" s="159">
        <f>BO175+BO177</f>
        <v>0</v>
      </c>
      <c r="BP178" s="159">
        <f>BP175+BP177</f>
        <v>0</v>
      </c>
      <c r="BQ178" s="159">
        <f>BP178</f>
        <v>0</v>
      </c>
      <c r="BR178" s="257"/>
      <c r="BS178" s="153">
        <v>1</v>
      </c>
      <c r="BT178" s="257"/>
      <c r="BU178" s="156">
        <f>BU175+BU177</f>
        <v>102</v>
      </c>
      <c r="BV178" s="138" t="s">
        <v>29</v>
      </c>
      <c r="BW178" s="159">
        <f>BW175+BW177</f>
        <v>0</v>
      </c>
      <c r="BX178" s="159">
        <f>BX175+BX177</f>
        <v>0</v>
      </c>
      <c r="BY178" s="159">
        <f>BY175+BY177</f>
        <v>0</v>
      </c>
      <c r="BZ178" s="159">
        <f>BZ175+BZ177</f>
        <v>0</v>
      </c>
      <c r="CA178" s="159">
        <f>CA175+CA177</f>
        <v>0</v>
      </c>
      <c r="CB178" s="159">
        <f>CB175+CB177</f>
        <v>0</v>
      </c>
      <c r="CC178" s="159">
        <f>CC175+CC177</f>
        <v>0</v>
      </c>
      <c r="CD178" s="159">
        <f>CD175+CD177</f>
        <v>0</v>
      </c>
      <c r="CE178" s="159">
        <f>CE175+CE177</f>
        <v>0</v>
      </c>
      <c r="CF178" s="159">
        <f>CF175+CF177</f>
        <v>0</v>
      </c>
      <c r="CG178" s="159">
        <f>CG175+CG177</f>
        <v>0</v>
      </c>
      <c r="CH178" s="159">
        <f>CH175+CH177</f>
        <v>0</v>
      </c>
      <c r="CI178" s="159">
        <f>CI175+CI177</f>
        <v>0</v>
      </c>
      <c r="CJ178" s="159">
        <f>CJ175+CJ177</f>
        <v>0</v>
      </c>
      <c r="CK178" s="159">
        <f>CK175+CK177</f>
        <v>0</v>
      </c>
      <c r="CL178" s="159">
        <f>CL175+CL177</f>
        <v>0</v>
      </c>
      <c r="CM178" s="159">
        <f>CM175+CM177</f>
        <v>0</v>
      </c>
      <c r="CN178" s="159">
        <f>CN175+CN177</f>
        <v>0</v>
      </c>
      <c r="CO178" s="159">
        <f>CO175+CO177</f>
        <v>0</v>
      </c>
      <c r="CP178" s="159">
        <f>CP175+CP177</f>
        <v>0</v>
      </c>
    </row>
    <row r="179" spans="1:94" s="180" customFormat="1" ht="12.75" customHeight="1" thickTop="1" x14ac:dyDescent="0.35">
      <c r="A179" s="1801"/>
      <c r="D179" s="181"/>
      <c r="E179" s="181"/>
      <c r="F179" s="181"/>
      <c r="G179" s="181"/>
      <c r="H179" s="181"/>
      <c r="I179" s="181"/>
      <c r="J179" s="181"/>
      <c r="K179" s="181"/>
      <c r="L179" s="181"/>
      <c r="M179" s="181"/>
      <c r="N179" s="181"/>
      <c r="O179" s="181"/>
      <c r="P179" s="181"/>
      <c r="Q179" s="181"/>
      <c r="R179" s="181"/>
      <c r="S179" s="181"/>
      <c r="T179" s="181"/>
      <c r="U179" s="181"/>
      <c r="V179" s="181"/>
      <c r="W179" s="181"/>
      <c r="X179" s="181"/>
      <c r="Y179" s="181"/>
      <c r="Z179" s="181"/>
      <c r="AA179" s="181"/>
      <c r="AB179" s="181"/>
      <c r="AC179" s="181"/>
      <c r="AD179" s="181"/>
      <c r="AE179" s="181"/>
      <c r="AF179" s="181"/>
      <c r="AG179" s="181"/>
      <c r="AH179" s="181"/>
      <c r="AI179" s="181"/>
      <c r="AJ179" s="181"/>
      <c r="AK179" s="181"/>
      <c r="AL179" s="181"/>
      <c r="AM179" s="181"/>
      <c r="AN179" s="181"/>
      <c r="AO179" s="181"/>
      <c r="AP179" s="181"/>
      <c r="AQ179" s="181"/>
      <c r="AR179" s="181"/>
      <c r="AS179" s="181"/>
      <c r="AT179" s="181"/>
      <c r="AU179" s="181"/>
      <c r="AV179" s="181"/>
      <c r="AW179" s="181"/>
      <c r="AX179" s="181"/>
      <c r="AY179" s="181"/>
      <c r="AZ179" s="181"/>
      <c r="BA179" s="181"/>
      <c r="BB179" s="181"/>
      <c r="BC179" s="181"/>
      <c r="BD179" s="181"/>
      <c r="BE179" s="181"/>
      <c r="BF179" s="181"/>
      <c r="BG179" s="181"/>
      <c r="BH179" s="181"/>
      <c r="BI179" s="181"/>
      <c r="BJ179" s="181"/>
      <c r="BK179" s="181"/>
      <c r="BL179" s="181"/>
      <c r="BM179" s="181"/>
      <c r="BN179" s="181"/>
      <c r="BO179" s="181"/>
      <c r="BP179" s="181"/>
      <c r="BQ179" s="181"/>
      <c r="BR179" s="181"/>
      <c r="BS179" s="153">
        <v>1</v>
      </c>
      <c r="BT179" s="181"/>
      <c r="BW179" s="181"/>
      <c r="BX179" s="181"/>
      <c r="BY179" s="181"/>
      <c r="BZ179" s="181"/>
      <c r="CA179" s="181"/>
      <c r="CB179" s="181"/>
      <c r="CC179" s="181"/>
      <c r="CD179" s="181"/>
      <c r="CE179" s="181"/>
      <c r="CF179" s="181"/>
      <c r="CG179" s="181"/>
      <c r="CH179" s="181"/>
      <c r="CI179" s="181"/>
      <c r="CJ179" s="181"/>
      <c r="CK179" s="181"/>
      <c r="CL179" s="181"/>
      <c r="CM179" s="181"/>
      <c r="CN179" s="1802"/>
      <c r="CO179" s="1802"/>
      <c r="CP179" s="1802"/>
    </row>
    <row r="180" spans="1:94" ht="22.5" customHeight="1" x14ac:dyDescent="0.35">
      <c r="A180" s="136"/>
      <c r="B180" s="1888" t="s">
        <v>10</v>
      </c>
      <c r="C180" s="1888"/>
      <c r="D180" s="1888"/>
      <c r="E180" s="178"/>
      <c r="F180" s="178"/>
      <c r="G180" s="178"/>
      <c r="H180" s="178"/>
      <c r="I180" s="178"/>
      <c r="J180" s="178"/>
      <c r="K180" s="178"/>
      <c r="L180" s="178"/>
      <c r="M180" s="178"/>
      <c r="N180" s="178"/>
      <c r="O180" s="178"/>
      <c r="P180" s="178"/>
      <c r="Q180" s="97"/>
      <c r="R180" s="178"/>
      <c r="S180" s="178"/>
      <c r="T180" s="178"/>
      <c r="U180" s="178"/>
      <c r="V180" s="178"/>
      <c r="W180" s="178"/>
      <c r="X180" s="178"/>
      <c r="Y180" s="178"/>
      <c r="Z180" s="178"/>
      <c r="AA180" s="178"/>
      <c r="AB180" s="178"/>
      <c r="AC180" s="178"/>
      <c r="AD180" s="97"/>
      <c r="AE180" s="178"/>
      <c r="AF180" s="178"/>
      <c r="AG180" s="178"/>
      <c r="AH180" s="178"/>
      <c r="AI180" s="178"/>
      <c r="AJ180" s="178"/>
      <c r="AK180" s="178"/>
      <c r="AL180" s="178"/>
      <c r="AM180" s="178"/>
      <c r="AN180" s="178"/>
      <c r="AO180" s="178"/>
      <c r="AP180" s="178"/>
      <c r="AQ180" s="97"/>
      <c r="AR180" s="178"/>
      <c r="AS180" s="178"/>
      <c r="AT180" s="178"/>
      <c r="AU180" s="178"/>
      <c r="AV180" s="178"/>
      <c r="AW180" s="178"/>
      <c r="AX180" s="178"/>
      <c r="AY180" s="178"/>
      <c r="AZ180" s="178"/>
      <c r="BA180" s="178"/>
      <c r="BB180" s="178"/>
      <c r="BC180" s="178"/>
      <c r="BD180" s="97"/>
      <c r="BE180" s="178"/>
      <c r="BF180" s="178"/>
      <c r="BG180" s="178"/>
      <c r="BH180" s="178"/>
      <c r="BI180" s="178"/>
      <c r="BJ180" s="178"/>
      <c r="BK180" s="178"/>
      <c r="BL180" s="178"/>
      <c r="BM180" s="178"/>
      <c r="BN180" s="178"/>
      <c r="BO180" s="178"/>
      <c r="BP180" s="178"/>
      <c r="BQ180" s="97"/>
      <c r="BR180" s="261"/>
      <c r="BS180" s="153">
        <v>1</v>
      </c>
      <c r="BT180" s="261"/>
      <c r="BV180" s="141"/>
      <c r="BW180" s="178"/>
      <c r="BX180" s="178"/>
      <c r="BY180" s="178"/>
      <c r="BZ180" s="178"/>
      <c r="CA180" s="178"/>
      <c r="CB180" s="178"/>
      <c r="CC180" s="178"/>
      <c r="CD180" s="178"/>
      <c r="CE180" s="178"/>
      <c r="CF180" s="178"/>
      <c r="CG180" s="178"/>
      <c r="CH180" s="178"/>
      <c r="CI180" s="178"/>
      <c r="CJ180" s="178"/>
      <c r="CK180" s="178"/>
      <c r="CL180" s="178"/>
      <c r="CM180" s="182"/>
      <c r="CN180" s="149"/>
      <c r="CO180" s="149"/>
      <c r="CP180" s="149"/>
    </row>
    <row r="181" spans="1:94" ht="27.75" customHeight="1" thickBot="1" x14ac:dyDescent="0.35">
      <c r="A181" s="136"/>
      <c r="B181" s="1888"/>
      <c r="C181" s="1888"/>
      <c r="D181" s="1888"/>
      <c r="E181" s="284">
        <f>E148</f>
        <v>0</v>
      </c>
      <c r="F181" s="284">
        <f>F148</f>
        <v>59</v>
      </c>
      <c r="G181" s="284">
        <f>G148</f>
        <v>91</v>
      </c>
      <c r="H181" s="284">
        <f>H148</f>
        <v>121</v>
      </c>
      <c r="I181" s="284">
        <f>I148</f>
        <v>152</v>
      </c>
      <c r="J181" s="284">
        <f>J148</f>
        <v>182</v>
      </c>
      <c r="K181" s="284">
        <f>K148</f>
        <v>213</v>
      </c>
      <c r="L181" s="284">
        <f>L148</f>
        <v>244</v>
      </c>
      <c r="M181" s="284">
        <f>M148</f>
        <v>274</v>
      </c>
      <c r="N181" s="284">
        <f>N148</f>
        <v>305</v>
      </c>
      <c r="O181" s="284">
        <f>O148</f>
        <v>335</v>
      </c>
      <c r="P181" s="284">
        <f>P148</f>
        <v>366</v>
      </c>
      <c r="Q181" s="1260" t="str">
        <f>Q148</f>
        <v>Year 1</v>
      </c>
      <c r="R181" s="284">
        <f>R148</f>
        <v>397</v>
      </c>
      <c r="S181" s="284">
        <f>S148</f>
        <v>425</v>
      </c>
      <c r="T181" s="284">
        <f>T148</f>
        <v>456</v>
      </c>
      <c r="U181" s="284">
        <f>U148</f>
        <v>486</v>
      </c>
      <c r="V181" s="284">
        <f>V148</f>
        <v>517</v>
      </c>
      <c r="W181" s="284">
        <f>W148</f>
        <v>547</v>
      </c>
      <c r="X181" s="284">
        <f>X148</f>
        <v>578</v>
      </c>
      <c r="Y181" s="284">
        <f>Y148</f>
        <v>609</v>
      </c>
      <c r="Z181" s="284">
        <f>Z148</f>
        <v>639</v>
      </c>
      <c r="AA181" s="284">
        <f>AA148</f>
        <v>670</v>
      </c>
      <c r="AB181" s="284">
        <f>AB148</f>
        <v>700</v>
      </c>
      <c r="AC181" s="284">
        <f>AC148</f>
        <v>731</v>
      </c>
      <c r="AD181" s="1260" t="str">
        <f>AD148</f>
        <v>Year 2</v>
      </c>
      <c r="AE181" s="284">
        <f>AE148</f>
        <v>762</v>
      </c>
      <c r="AF181" s="284">
        <f>AF148</f>
        <v>790</v>
      </c>
      <c r="AG181" s="284">
        <f>AG148</f>
        <v>821</v>
      </c>
      <c r="AH181" s="284">
        <f>AH148</f>
        <v>851</v>
      </c>
      <c r="AI181" s="284">
        <f>AI148</f>
        <v>882</v>
      </c>
      <c r="AJ181" s="284">
        <f>AJ148</f>
        <v>912</v>
      </c>
      <c r="AK181" s="284">
        <f>AK148</f>
        <v>943</v>
      </c>
      <c r="AL181" s="284">
        <f>AL148</f>
        <v>974</v>
      </c>
      <c r="AM181" s="284">
        <f>AM148</f>
        <v>1004</v>
      </c>
      <c r="AN181" s="284">
        <f>AN148</f>
        <v>1035</v>
      </c>
      <c r="AO181" s="284">
        <f>AO148</f>
        <v>1065</v>
      </c>
      <c r="AP181" s="284">
        <f>AP148</f>
        <v>1096</v>
      </c>
      <c r="AQ181" s="1260" t="str">
        <f>AQ148</f>
        <v>Year 3</v>
      </c>
      <c r="AR181" s="284">
        <f>AR148</f>
        <v>1127</v>
      </c>
      <c r="AS181" s="284">
        <f>AS148</f>
        <v>1155</v>
      </c>
      <c r="AT181" s="284">
        <f>AT148</f>
        <v>1186</v>
      </c>
      <c r="AU181" s="284">
        <f>AU148</f>
        <v>1216</v>
      </c>
      <c r="AV181" s="284">
        <f>AV148</f>
        <v>1247</v>
      </c>
      <c r="AW181" s="284">
        <f>AW148</f>
        <v>1277</v>
      </c>
      <c r="AX181" s="284">
        <f>AX148</f>
        <v>1308</v>
      </c>
      <c r="AY181" s="284">
        <f>AY148</f>
        <v>1339</v>
      </c>
      <c r="AZ181" s="284">
        <f>AZ148</f>
        <v>1369</v>
      </c>
      <c r="BA181" s="284">
        <f>BA148</f>
        <v>1400</v>
      </c>
      <c r="BB181" s="284">
        <f>BB148</f>
        <v>1430</v>
      </c>
      <c r="BC181" s="284">
        <f>BC148</f>
        <v>1461</v>
      </c>
      <c r="BD181" s="1260" t="str">
        <f>BD148</f>
        <v>Year 4</v>
      </c>
      <c r="BE181" s="284">
        <f>BE148</f>
        <v>1492</v>
      </c>
      <c r="BF181" s="284">
        <f>BF148</f>
        <v>1521</v>
      </c>
      <c r="BG181" s="284">
        <f>BG148</f>
        <v>1552</v>
      </c>
      <c r="BH181" s="284">
        <f>BH148</f>
        <v>1582</v>
      </c>
      <c r="BI181" s="284">
        <f>BI148</f>
        <v>1613</v>
      </c>
      <c r="BJ181" s="284">
        <f>BJ148</f>
        <v>1643</v>
      </c>
      <c r="BK181" s="284">
        <f>BK148</f>
        <v>1674</v>
      </c>
      <c r="BL181" s="284">
        <f>BL148</f>
        <v>1705</v>
      </c>
      <c r="BM181" s="284">
        <f>BM148</f>
        <v>1735</v>
      </c>
      <c r="BN181" s="284">
        <f>BN148</f>
        <v>1766</v>
      </c>
      <c r="BO181" s="284">
        <f>BO148</f>
        <v>1796</v>
      </c>
      <c r="BP181" s="284">
        <f>BP148</f>
        <v>1827</v>
      </c>
      <c r="BQ181" s="1260" t="str">
        <f>BQ148</f>
        <v>Year 5</v>
      </c>
      <c r="BR181" s="261"/>
      <c r="BS181" s="153">
        <v>1</v>
      </c>
      <c r="BT181" s="261"/>
      <c r="BU181" s="115" t="inlineStr">
        <is>
          <t>Total</t>
        </is>
      </c>
      <c r="BV181" s="60" t="s">
        <v>10</v>
      </c>
      <c r="BW181" s="145" t="s">
        <v>299</v>
      </c>
      <c r="BX181" s="145" t="s">
        <v>300</v>
      </c>
      <c r="BY181" s="145" t="s">
        <v>301</v>
      </c>
      <c r="BZ181" s="145" t="s">
        <v>302</v>
      </c>
      <c r="CA181" s="145" t="s">
        <v>303</v>
      </c>
      <c r="CB181" s="145" t="s">
        <v>304</v>
      </c>
      <c r="CC181" s="145" t="s">
        <v>305</v>
      </c>
      <c r="CD181" s="145" t="s">
        <v>306</v>
      </c>
      <c r="CE181" s="145" t="s">
        <v>307</v>
      </c>
      <c r="CF181" s="145" t="s">
        <v>308</v>
      </c>
      <c r="CG181" s="145" t="s">
        <v>309</v>
      </c>
      <c r="CH181" s="145" t="s">
        <v>310</v>
      </c>
      <c r="CI181" s="145" t="s">
        <v>311</v>
      </c>
      <c r="CJ181" s="145" t="s">
        <v>312</v>
      </c>
      <c r="CK181" s="145" t="s">
        <v>313</v>
      </c>
      <c r="CL181" s="145" t="s">
        <v>314</v>
      </c>
      <c r="CM181" s="145" t="s">
        <v>315</v>
      </c>
      <c r="CN181" s="145" t="s">
        <v>316</v>
      </c>
      <c r="CO181" s="145" t="s">
        <v>317</v>
      </c>
      <c r="CP181" s="145" t="s">
        <v>318</v>
      </c>
    </row>
    <row r="182" spans="1:94" ht="12.75" customHeight="1" x14ac:dyDescent="0.35">
      <c r="A182" s="136"/>
      <c r="D182" s="142" t="s">
        <v>229</v>
      </c>
      <c r="E182" s="151"/>
      <c r="F182" s="151"/>
      <c r="G182" s="151"/>
      <c r="H182" s="151"/>
      <c r="I182" s="151"/>
      <c r="J182" s="151"/>
      <c r="K182" s="151"/>
      <c r="L182" s="151"/>
      <c r="M182" s="151"/>
      <c r="N182" s="151"/>
      <c r="O182" s="151"/>
      <c r="P182" s="151"/>
      <c r="Q182" s="151"/>
      <c r="R182" s="151"/>
      <c r="S182" s="151"/>
      <c r="T182" s="151"/>
      <c r="U182" s="151"/>
      <c r="V182" s="151"/>
      <c r="W182" s="151"/>
      <c r="X182" s="151"/>
      <c r="Y182" s="151"/>
      <c r="Z182" s="151"/>
      <c r="AA182" s="151"/>
      <c r="AB182" s="151"/>
      <c r="AC182" s="151"/>
      <c r="AD182" s="151"/>
      <c r="AE182" s="151"/>
      <c r="AF182" s="151"/>
      <c r="AG182" s="151"/>
      <c r="AH182" s="151"/>
      <c r="AI182" s="151"/>
      <c r="AJ182" s="151"/>
      <c r="AK182" s="151"/>
      <c r="AL182" s="151"/>
      <c r="AM182" s="151"/>
      <c r="AN182" s="151"/>
      <c r="AO182" s="151"/>
      <c r="AP182" s="151"/>
      <c r="AQ182" s="151"/>
      <c r="AR182" s="151"/>
      <c r="AS182" s="151"/>
      <c r="AT182" s="151"/>
      <c r="AU182" s="151"/>
      <c r="AV182" s="151"/>
      <c r="AW182" s="151"/>
      <c r="AX182" s="151"/>
      <c r="AY182" s="151"/>
      <c r="AZ182" s="151"/>
      <c r="BA182" s="151"/>
      <c r="BB182" s="151"/>
      <c r="BC182" s="151"/>
      <c r="BD182" s="151"/>
      <c r="BE182" s="151"/>
      <c r="BF182" s="151"/>
      <c r="BG182" s="151"/>
      <c r="BH182" s="151"/>
      <c r="BI182" s="151"/>
      <c r="BJ182" s="151"/>
      <c r="BK182" s="151"/>
      <c r="BL182" s="151"/>
      <c r="BM182" s="151"/>
      <c r="BN182" s="151"/>
      <c r="BO182" s="151"/>
      <c r="BP182" s="151"/>
      <c r="BQ182" s="151"/>
      <c r="BR182" s="1802"/>
      <c r="BS182" s="153">
        <v>1</v>
      </c>
      <c r="BT182" s="1802"/>
      <c r="BU182" s="153"/>
      <c r="BV182" s="138" t="s">
        <v>229</v>
      </c>
      <c r="BW182" s="151"/>
      <c r="BX182" s="151"/>
      <c r="BY182" s="151"/>
      <c r="BZ182" s="151"/>
      <c r="CA182" s="151"/>
      <c r="CB182" s="151"/>
      <c r="CC182" s="151"/>
      <c r="CD182" s="151"/>
      <c r="CE182" s="151"/>
      <c r="CF182" s="151"/>
      <c r="CG182" s="151"/>
      <c r="CH182" s="151"/>
      <c r="CI182" s="151"/>
      <c r="CJ182" s="151"/>
      <c r="CK182" s="151"/>
      <c r="CL182" s="151"/>
      <c r="CM182" s="151"/>
      <c r="CN182" s="151"/>
      <c r="CO182" s="151"/>
      <c r="CP182" s="151"/>
    </row>
    <row r="183" spans="1:94" ht="5.15" customHeight="1" x14ac:dyDescent="0.35">
      <c r="A183" s="136"/>
      <c r="D183" s="142"/>
      <c r="E183" s="151"/>
      <c r="F183" s="151"/>
      <c r="G183" s="151"/>
      <c r="H183" s="151"/>
      <c r="I183" s="151"/>
      <c r="J183" s="151"/>
      <c r="K183" s="151"/>
      <c r="L183" s="151"/>
      <c r="M183" s="151"/>
      <c r="N183" s="151"/>
      <c r="O183" s="151"/>
      <c r="P183" s="151"/>
      <c r="Q183" s="151"/>
      <c r="R183" s="151"/>
      <c r="S183" s="151"/>
      <c r="T183" s="151"/>
      <c r="U183" s="151"/>
      <c r="V183" s="151"/>
      <c r="W183" s="151"/>
      <c r="X183" s="151"/>
      <c r="Y183" s="151"/>
      <c r="Z183" s="151"/>
      <c r="AA183" s="151"/>
      <c r="AB183" s="151"/>
      <c r="AC183" s="151"/>
      <c r="AD183" s="151"/>
      <c r="AE183" s="151"/>
      <c r="AF183" s="151"/>
      <c r="AG183" s="151"/>
      <c r="AH183" s="151"/>
      <c r="AI183" s="151"/>
      <c r="AJ183" s="151"/>
      <c r="AK183" s="151"/>
      <c r="AL183" s="151"/>
      <c r="AM183" s="151"/>
      <c r="AN183" s="151"/>
      <c r="AO183" s="151"/>
      <c r="AP183" s="151"/>
      <c r="AQ183" s="151"/>
      <c r="AR183" s="151"/>
      <c r="AS183" s="151"/>
      <c r="AT183" s="151"/>
      <c r="AU183" s="151"/>
      <c r="AV183" s="151"/>
      <c r="AW183" s="151"/>
      <c r="AX183" s="151"/>
      <c r="AY183" s="151"/>
      <c r="AZ183" s="151"/>
      <c r="BA183" s="151"/>
      <c r="BB183" s="151"/>
      <c r="BC183" s="151"/>
      <c r="BD183" s="151"/>
      <c r="BE183" s="151"/>
      <c r="BF183" s="151"/>
      <c r="BG183" s="151"/>
      <c r="BH183" s="151"/>
      <c r="BI183" s="151"/>
      <c r="BJ183" s="151"/>
      <c r="BK183" s="151"/>
      <c r="BL183" s="151"/>
      <c r="BM183" s="151"/>
      <c r="BN183" s="151"/>
      <c r="BO183" s="151"/>
      <c r="BP183" s="151"/>
      <c r="BQ183" s="151"/>
      <c r="BR183" s="1802"/>
      <c r="BS183" s="153">
        <v>1</v>
      </c>
      <c r="BT183" s="1802"/>
      <c r="BU183" s="153"/>
      <c r="BV183" s="138"/>
      <c r="BW183" s="151"/>
      <c r="BX183" s="151"/>
      <c r="BY183" s="151"/>
      <c r="BZ183" s="151"/>
      <c r="CA183" s="151"/>
      <c r="CB183" s="151"/>
      <c r="CC183" s="151"/>
      <c r="CD183" s="151"/>
      <c r="CE183" s="151"/>
      <c r="CF183" s="151"/>
      <c r="CG183" s="151"/>
      <c r="CH183" s="151"/>
      <c r="CI183" s="151"/>
      <c r="CJ183" s="151"/>
      <c r="CK183" s="151"/>
      <c r="CL183" s="151"/>
      <c r="CM183" s="151"/>
      <c r="CN183" s="151"/>
      <c r="CO183" s="151"/>
      <c r="CP183" s="151"/>
    </row>
    <row r="184" spans="1:94" ht="12.75" customHeight="1" x14ac:dyDescent="0.35">
      <c r="A184" s="136"/>
      <c r="D184" s="142" t="s">
        <v>17</v>
      </c>
      <c r="E184" s="151"/>
      <c r="F184" s="151"/>
      <c r="G184" s="151"/>
      <c r="H184" s="151"/>
      <c r="I184" s="151"/>
      <c r="J184" s="151"/>
      <c r="K184" s="151"/>
      <c r="L184" s="151"/>
      <c r="M184" s="151"/>
      <c r="N184" s="151"/>
      <c r="O184" s="151"/>
      <c r="P184" s="151"/>
      <c r="Q184" s="151"/>
      <c r="R184" s="151"/>
      <c r="S184" s="151"/>
      <c r="T184" s="151"/>
      <c r="U184" s="151"/>
      <c r="V184" s="151"/>
      <c r="W184" s="151"/>
      <c r="X184" s="151"/>
      <c r="Y184" s="151"/>
      <c r="Z184" s="151"/>
      <c r="AA184" s="151"/>
      <c r="AB184" s="151"/>
      <c r="AC184" s="151"/>
      <c r="AD184" s="151"/>
      <c r="AE184" s="151"/>
      <c r="AF184" s="151"/>
      <c r="AG184" s="151"/>
      <c r="AH184" s="151"/>
      <c r="AI184" s="151"/>
      <c r="AJ184" s="151"/>
      <c r="AK184" s="151"/>
      <c r="AL184" s="151"/>
      <c r="AM184" s="151"/>
      <c r="AN184" s="151"/>
      <c r="AO184" s="151"/>
      <c r="AP184" s="151"/>
      <c r="AQ184" s="151"/>
      <c r="AR184" s="151"/>
      <c r="AS184" s="151"/>
      <c r="AT184" s="151"/>
      <c r="AU184" s="151"/>
      <c r="AV184" s="151"/>
      <c r="AW184" s="151"/>
      <c r="AX184" s="151"/>
      <c r="AY184" s="151"/>
      <c r="AZ184" s="151"/>
      <c r="BA184" s="151"/>
      <c r="BB184" s="151"/>
      <c r="BC184" s="151"/>
      <c r="BD184" s="151"/>
      <c r="BE184" s="151"/>
      <c r="BF184" s="151"/>
      <c r="BG184" s="151"/>
      <c r="BH184" s="151"/>
      <c r="BI184" s="151"/>
      <c r="BJ184" s="151"/>
      <c r="BK184" s="151"/>
      <c r="BL184" s="151"/>
      <c r="BM184" s="151"/>
      <c r="BN184" s="151"/>
      <c r="BO184" s="151"/>
      <c r="BP184" s="151"/>
      <c r="BQ184" s="151"/>
      <c r="BR184" s="1802"/>
      <c r="BS184" s="153">
        <v>1</v>
      </c>
      <c r="BT184" s="1802"/>
      <c r="BU184" s="153"/>
      <c r="BV184" s="138" t="s">
        <v>17</v>
      </c>
      <c r="BW184" s="151"/>
      <c r="BX184" s="151"/>
      <c r="BY184" s="151"/>
      <c r="BZ184" s="151"/>
      <c r="CA184" s="151"/>
      <c r="CB184" s="151"/>
      <c r="CC184" s="151"/>
      <c r="CD184" s="151"/>
      <c r="CE184" s="151"/>
      <c r="CF184" s="151"/>
      <c r="CG184" s="151"/>
      <c r="CH184" s="151"/>
      <c r="CI184" s="151"/>
      <c r="CJ184" s="151"/>
      <c r="CK184" s="151"/>
      <c r="CL184" s="151"/>
      <c r="CM184" s="151"/>
      <c r="CN184" s="151"/>
      <c r="CO184" s="151"/>
      <c r="CP184" s="151"/>
    </row>
    <row r="185" spans="1:94" ht="12.75" customHeight="1" x14ac:dyDescent="0.35">
      <c r="A185" s="136"/>
      <c r="D185" s="152" t="s">
        <v>11</v>
      </c>
      <c r="E185" s="151">
        <f>Financials!E178</f>
        <v>0</v>
      </c>
      <c r="F185" s="151">
        <f>Financials!F178</f>
        <v>0</v>
      </c>
      <c r="G185" s="151">
        <f>Financials!G178</f>
        <v>0</v>
      </c>
      <c r="H185" s="151">
        <f>Financials!H178</f>
        <v>0</v>
      </c>
      <c r="I185" s="151">
        <f>Financials!I178</f>
        <v>0</v>
      </c>
      <c r="J185" s="151">
        <f>Financials!J178</f>
        <v>0</v>
      </c>
      <c r="K185" s="151">
        <f>Financials!K178</f>
        <v>0</v>
      </c>
      <c r="L185" s="151">
        <f>Financials!L178</f>
        <v>0</v>
      </c>
      <c r="M185" s="151">
        <f>Financials!M178</f>
        <v>0</v>
      </c>
      <c r="N185" s="151">
        <f>Financials!N178</f>
        <v>0</v>
      </c>
      <c r="O185" s="151">
        <f>Financials!O178</f>
        <v>0</v>
      </c>
      <c r="P185" s="151">
        <f>Financials!P178</f>
        <v>0</v>
      </c>
      <c r="Q185" s="151">
        <f>P185</f>
        <v>0</v>
      </c>
      <c r="R185" s="151">
        <f>Financials!R178</f>
        <v>0</v>
      </c>
      <c r="S185" s="151">
        <f>Financials!S178</f>
        <v>0</v>
      </c>
      <c r="T185" s="151">
        <f>Financials!T178</f>
        <v>0</v>
      </c>
      <c r="U185" s="151">
        <f>Financials!U178</f>
        <v>0</v>
      </c>
      <c r="V185" s="151">
        <f>Financials!V178</f>
        <v>0</v>
      </c>
      <c r="W185" s="151">
        <f>Financials!W178</f>
        <v>0</v>
      </c>
      <c r="X185" s="151">
        <f>Financials!X178</f>
        <v>0</v>
      </c>
      <c r="Y185" s="151">
        <f>Financials!Y178</f>
        <v>0</v>
      </c>
      <c r="Z185" s="151">
        <f>Financials!Z178</f>
        <v>0</v>
      </c>
      <c r="AA185" s="151">
        <f>Financials!AA178</f>
        <v>0</v>
      </c>
      <c r="AB185" s="151">
        <f>Financials!AB178</f>
        <v>0</v>
      </c>
      <c r="AC185" s="151">
        <f>Financials!AC178</f>
        <v>0</v>
      </c>
      <c r="AD185" s="151">
        <f>AC185</f>
        <v>0</v>
      </c>
      <c r="AE185" s="151">
        <f>Financials!AE178</f>
        <v>0</v>
      </c>
      <c r="AF185" s="151">
        <f>Financials!AF178</f>
        <v>0</v>
      </c>
      <c r="AG185" s="151">
        <f>Financials!AG178</f>
        <v>0</v>
      </c>
      <c r="AH185" s="151">
        <f>Financials!AH178</f>
        <v>0</v>
      </c>
      <c r="AI185" s="151">
        <f>Financials!AI178</f>
        <v>0</v>
      </c>
      <c r="AJ185" s="151">
        <f>Financials!AJ178</f>
        <v>0</v>
      </c>
      <c r="AK185" s="151">
        <f>Financials!AK178</f>
        <v>0</v>
      </c>
      <c r="AL185" s="151">
        <f>Financials!AL178</f>
        <v>0</v>
      </c>
      <c r="AM185" s="151">
        <f>Financials!AM178</f>
        <v>0</v>
      </c>
      <c r="AN185" s="151">
        <f>Financials!AN178</f>
        <v>0</v>
      </c>
      <c r="AO185" s="151">
        <f>Financials!AO178</f>
        <v>0</v>
      </c>
      <c r="AP185" s="151">
        <f>Financials!AP178</f>
        <v>0</v>
      </c>
      <c r="AQ185" s="151">
        <f>AP185</f>
        <v>0</v>
      </c>
      <c r="AR185" s="151">
        <f>Financials!AR178</f>
        <v>0</v>
      </c>
      <c r="AS185" s="151">
        <f>Financials!AS178</f>
        <v>0</v>
      </c>
      <c r="AT185" s="151">
        <f>Financials!AT178</f>
        <v>0</v>
      </c>
      <c r="AU185" s="151">
        <f>Financials!AU178</f>
        <v>0</v>
      </c>
      <c r="AV185" s="151">
        <f>Financials!AV178</f>
        <v>0</v>
      </c>
      <c r="AW185" s="151">
        <f>Financials!AW178</f>
        <v>0</v>
      </c>
      <c r="AX185" s="151">
        <f>Financials!AX178</f>
        <v>0</v>
      </c>
      <c r="AY185" s="151">
        <f>Financials!AY178</f>
        <v>0</v>
      </c>
      <c r="AZ185" s="151">
        <f>Financials!AZ178</f>
        <v>0</v>
      </c>
      <c r="BA185" s="151">
        <f>Financials!BA178</f>
        <v>0</v>
      </c>
      <c r="BB185" s="151">
        <f>Financials!BB178</f>
        <v>0</v>
      </c>
      <c r="BC185" s="151">
        <f>Financials!BC178</f>
        <v>0</v>
      </c>
      <c r="BD185" s="151">
        <f>BC185</f>
        <v>0</v>
      </c>
      <c r="BE185" s="151">
        <f>Financials!BE178</f>
        <v>0</v>
      </c>
      <c r="BF185" s="151">
        <f>Financials!BF178</f>
        <v>0</v>
      </c>
      <c r="BG185" s="151">
        <f>Financials!BG178</f>
        <v>0</v>
      </c>
      <c r="BH185" s="151">
        <f>Financials!BH178</f>
        <v>0</v>
      </c>
      <c r="BI185" s="151">
        <f>Financials!BI178</f>
        <v>0</v>
      </c>
      <c r="BJ185" s="151">
        <f>Financials!BJ178</f>
        <v>0</v>
      </c>
      <c r="BK185" s="151">
        <f>Financials!BK178</f>
        <v>0</v>
      </c>
      <c r="BL185" s="151">
        <f>Financials!BL178</f>
        <v>0</v>
      </c>
      <c r="BM185" s="151">
        <f>Financials!BM178</f>
        <v>0</v>
      </c>
      <c r="BN185" s="151">
        <f>Financials!BN178</f>
        <v>0</v>
      </c>
      <c r="BO185" s="151">
        <f>Financials!BO178</f>
        <v>0</v>
      </c>
      <c r="BP185" s="151">
        <f>Financials!BP178</f>
        <v>0</v>
      </c>
      <c r="BQ185" s="151">
        <f>BP185</f>
        <v>0</v>
      </c>
      <c r="BR185" s="1802"/>
      <c r="BS185" s="153">
        <v>1</v>
      </c>
      <c r="BT185" s="1802"/>
      <c r="BU185" s="153">
        <f>Financials!BU178</f>
        <v>102</v>
      </c>
      <c r="BV185" s="158" t="s">
        <v>11</v>
      </c>
      <c r="BW185" s="151">
        <f>Financials!G185</f>
        <v>0</v>
      </c>
      <c r="BX185" s="151">
        <f>Financials!J185</f>
        <v>0</v>
      </c>
      <c r="BY185" s="151">
        <f>Financials!M185</f>
        <v>0</v>
      </c>
      <c r="BZ185" s="151">
        <f>Financials!P185</f>
        <v>0</v>
      </c>
      <c r="CA185" s="151">
        <f>Financials!T185</f>
        <v>0</v>
      </c>
      <c r="CB185" s="151">
        <f>Financials!W185</f>
        <v>0</v>
      </c>
      <c r="CC185" s="151">
        <f>Financials!Z185</f>
        <v>0</v>
      </c>
      <c r="CD185" s="151">
        <f>Financials!AC185</f>
        <v>0</v>
      </c>
      <c r="CE185" s="151">
        <f>Financials!AG185</f>
        <v>0</v>
      </c>
      <c r="CF185" s="151">
        <f>Financials!AJ185</f>
        <v>0</v>
      </c>
      <c r="CG185" s="151">
        <f>Financials!AM185</f>
        <v>0</v>
      </c>
      <c r="CH185" s="151">
        <f>Financials!AP185</f>
        <v>0</v>
      </c>
      <c r="CI185" s="151">
        <f>Financials!AT185</f>
        <v>0</v>
      </c>
      <c r="CJ185" s="151">
        <f>Financials!AW185</f>
        <v>0</v>
      </c>
      <c r="CK185" s="151">
        <f>Financials!AZ185</f>
        <v>0</v>
      </c>
      <c r="CL185" s="151">
        <f>Financials!BC185</f>
        <v>0</v>
      </c>
      <c r="CM185" s="151">
        <f>Financials!BG185</f>
        <v>0</v>
      </c>
      <c r="CN185" s="151">
        <f>Financials!BJ185</f>
        <v>0</v>
      </c>
      <c r="CO185" s="151">
        <f>Financials!BM185</f>
        <v>0</v>
      </c>
      <c r="CP185" s="151">
        <f>Financials!BP185</f>
        <v>0</v>
      </c>
    </row>
    <row r="186" spans="1:94" ht="12.75" customHeight="1" x14ac:dyDescent="0.35">
      <c r="A186" s="136"/>
      <c r="D186" s="152" t="s">
        <v>319</v>
      </c>
      <c r="E186" s="151">
        <f>Calcs!L205</f>
        <v>0</v>
      </c>
      <c r="F186" s="151">
        <f>Calcs!M205</f>
        <v>0</v>
      </c>
      <c r="G186" s="151">
        <f>Calcs!N205</f>
        <v>0</v>
      </c>
      <c r="H186" s="151">
        <f>Calcs!O205</f>
        <v>0</v>
      </c>
      <c r="I186" s="151">
        <f>Calcs!P205</f>
        <v>0</v>
      </c>
      <c r="J186" s="151">
        <f>Calcs!Q205</f>
        <v>0</v>
      </c>
      <c r="K186" s="151">
        <f>Calcs!R205</f>
        <v>0</v>
      </c>
      <c r="L186" s="151">
        <f>Calcs!S205</f>
        <v>0</v>
      </c>
      <c r="M186" s="151">
        <f>Calcs!T205</f>
        <v>0</v>
      </c>
      <c r="N186" s="151">
        <f>Calcs!U205</f>
        <v>0</v>
      </c>
      <c r="O186" s="151">
        <f>Calcs!V205</f>
        <v>0</v>
      </c>
      <c r="P186" s="151">
        <f>Calcs!W205</f>
        <v>0</v>
      </c>
      <c r="Q186" s="151">
        <f>P186</f>
        <v>0</v>
      </c>
      <c r="R186" s="151">
        <f>Calcs!X205</f>
        <v>0</v>
      </c>
      <c r="S186" s="151">
        <f>Calcs!Y205</f>
        <v>0</v>
      </c>
      <c r="T186" s="151">
        <f>Calcs!Z205</f>
        <v>0</v>
      </c>
      <c r="U186" s="151">
        <f>Calcs!AA205</f>
        <v>0</v>
      </c>
      <c r="V186" s="151">
        <f>Calcs!AB205</f>
        <v>0</v>
      </c>
      <c r="W186" s="151">
        <f>Calcs!AC205</f>
        <v>0</v>
      </c>
      <c r="X186" s="151">
        <f>Calcs!AD205</f>
        <v>0</v>
      </c>
      <c r="Y186" s="151">
        <f>Calcs!AE205</f>
        <v>0</v>
      </c>
      <c r="Z186" s="151">
        <f>Calcs!AF205</f>
        <v>0</v>
      </c>
      <c r="AA186" s="151">
        <f>Calcs!AG205</f>
        <v>0</v>
      </c>
      <c r="AB186" s="151">
        <f>Calcs!AH205</f>
        <v>0</v>
      </c>
      <c r="AC186" s="151">
        <f>Calcs!AI205</f>
        <v>0</v>
      </c>
      <c r="AD186" s="151">
        <f>AC186</f>
        <v>0</v>
      </c>
      <c r="AE186" s="151">
        <f>Calcs!AJ205</f>
        <v>0</v>
      </c>
      <c r="AF186" s="151">
        <f>Calcs!AK205</f>
        <v>0</v>
      </c>
      <c r="AG186" s="151">
        <f>Calcs!AL205</f>
        <v>0</v>
      </c>
      <c r="AH186" s="151">
        <f>Calcs!AM205</f>
        <v>0</v>
      </c>
      <c r="AI186" s="151">
        <f>Calcs!AN205</f>
        <v>0</v>
      </c>
      <c r="AJ186" s="151">
        <f>Calcs!AO205</f>
        <v>0</v>
      </c>
      <c r="AK186" s="151">
        <f>Calcs!AP205</f>
        <v>0</v>
      </c>
      <c r="AL186" s="151">
        <f>Calcs!AQ205</f>
        <v>0</v>
      </c>
      <c r="AM186" s="151">
        <f>Calcs!AR205</f>
        <v>0</v>
      </c>
      <c r="AN186" s="151">
        <f>Calcs!AS205</f>
        <v>0</v>
      </c>
      <c r="AO186" s="151">
        <f>Calcs!AT205</f>
        <v>0</v>
      </c>
      <c r="AP186" s="151">
        <f>Calcs!AU205</f>
        <v>0</v>
      </c>
      <c r="AQ186" s="151">
        <f>AP186</f>
        <v>0</v>
      </c>
      <c r="AR186" s="151">
        <f>Calcs!AV205</f>
        <v>0</v>
      </c>
      <c r="AS186" s="151">
        <f>Calcs!AW205</f>
        <v>0</v>
      </c>
      <c r="AT186" s="151">
        <f>Calcs!AX205</f>
        <v>0</v>
      </c>
      <c r="AU186" s="151">
        <f>Calcs!AY205</f>
        <v>0</v>
      </c>
      <c r="AV186" s="151">
        <f>Calcs!AZ205</f>
        <v>0</v>
      </c>
      <c r="AW186" s="151">
        <f>Calcs!BA205</f>
        <v>0</v>
      </c>
      <c r="AX186" s="151">
        <f>Calcs!BB205</f>
        <v>0</v>
      </c>
      <c r="AY186" s="151">
        <f>Calcs!BC205</f>
        <v>0</v>
      </c>
      <c r="AZ186" s="151">
        <f>Calcs!BD205</f>
        <v>0</v>
      </c>
      <c r="BA186" s="151">
        <f>Calcs!BE205</f>
        <v>0</v>
      </c>
      <c r="BB186" s="151">
        <f>Calcs!BF205</f>
        <v>0</v>
      </c>
      <c r="BC186" s="151">
        <f>Calcs!BG205</f>
        <v>0</v>
      </c>
      <c r="BD186" s="151">
        <f>BC186</f>
        <v>0</v>
      </c>
      <c r="BE186" s="151">
        <f>Calcs!BH205</f>
        <v>0</v>
      </c>
      <c r="BF186" s="151">
        <f>Calcs!BI205</f>
        <v>0</v>
      </c>
      <c r="BG186" s="151">
        <f>Calcs!BJ205</f>
        <v>0</v>
      </c>
      <c r="BH186" s="151">
        <f>Calcs!BK205</f>
        <v>0</v>
      </c>
      <c r="BI186" s="151">
        <f>Calcs!BL205</f>
        <v>0</v>
      </c>
      <c r="BJ186" s="151">
        <f>Calcs!BM205</f>
        <v>0</v>
      </c>
      <c r="BK186" s="151">
        <f>Calcs!BN205</f>
        <v>0</v>
      </c>
      <c r="BL186" s="151">
        <f>Calcs!BO205</f>
        <v>0</v>
      </c>
      <c r="BM186" s="151">
        <f>Calcs!BP205</f>
        <v>0</v>
      </c>
      <c r="BN186" s="151">
        <f>Calcs!BQ205</f>
        <v>0</v>
      </c>
      <c r="BO186" s="151">
        <f>Calcs!BR205</f>
        <v>0</v>
      </c>
      <c r="BP186" s="151">
        <f>Calcs!BS205</f>
        <v>0</v>
      </c>
      <c r="BQ186" s="151">
        <f>BP186</f>
        <v>0</v>
      </c>
      <c r="BR186" s="1802"/>
      <c r="BS186" s="153">
        <v>1</v>
      </c>
      <c r="BT186" s="1802"/>
      <c r="BU186" s="153">
        <f>BP186</f>
      </c>
      <c r="BV186" s="158" t="s">
        <v>319</v>
      </c>
      <c r="BW186" s="151">
        <f>Financials!G186</f>
        <v>0</v>
      </c>
      <c r="BX186" s="151">
        <f>Financials!J186</f>
        <v>0</v>
      </c>
      <c r="BY186" s="151">
        <f>Financials!M186</f>
        <v>0</v>
      </c>
      <c r="BZ186" s="151">
        <f>Financials!P186</f>
        <v>0</v>
      </c>
      <c r="CA186" s="151">
        <f>Financials!T186</f>
        <v>0</v>
      </c>
      <c r="CB186" s="151">
        <f>Financials!W186</f>
        <v>0</v>
      </c>
      <c r="CC186" s="151">
        <f>Financials!Z186</f>
        <v>0</v>
      </c>
      <c r="CD186" s="151">
        <f>Financials!AC186</f>
        <v>0</v>
      </c>
      <c r="CE186" s="151">
        <f>Financials!AG186</f>
        <v>0</v>
      </c>
      <c r="CF186" s="151">
        <f>Financials!AJ186</f>
        <v>0</v>
      </c>
      <c r="CG186" s="151">
        <f>Financials!AM186</f>
        <v>0</v>
      </c>
      <c r="CH186" s="151">
        <f>Financials!AP186</f>
        <v>0</v>
      </c>
      <c r="CI186" s="151">
        <f>Financials!AT186</f>
        <v>0</v>
      </c>
      <c r="CJ186" s="151">
        <f>Financials!AW186</f>
        <v>0</v>
      </c>
      <c r="CK186" s="151">
        <f>Financials!AZ186</f>
        <v>0</v>
      </c>
      <c r="CL186" s="151">
        <f>Financials!BC186</f>
        <v>0</v>
      </c>
      <c r="CM186" s="151">
        <f>Financials!BG186</f>
        <v>0</v>
      </c>
      <c r="CN186" s="151">
        <f>Financials!BJ186</f>
        <v>0</v>
      </c>
      <c r="CO186" s="151">
        <f>Financials!BM186</f>
        <v>0</v>
      </c>
      <c r="CP186" s="151">
        <f>Financials!BP186</f>
        <v>0</v>
      </c>
    </row>
    <row r="187" spans="1:94" ht="12.75" customHeight="1" x14ac:dyDescent="0.35">
      <c r="A187" s="136"/>
      <c r="B187" s="307" t="str">
        <f>IF(Input!O21="Services","This row can be hidden","")</f>
        <v/>
      </c>
      <c r="D187" s="152" t="s">
        <v>15</v>
      </c>
      <c r="E187" s="151">
        <f>Calcs!L207</f>
        <v>0</v>
      </c>
      <c r="F187" s="151">
        <f>Calcs!M207</f>
        <v>0</v>
      </c>
      <c r="G187" s="151">
        <f>Calcs!N207</f>
        <v>0</v>
      </c>
      <c r="H187" s="151">
        <f>Calcs!O207</f>
        <v>0</v>
      </c>
      <c r="I187" s="151">
        <f>Calcs!P207</f>
        <v>0</v>
      </c>
      <c r="J187" s="151">
        <f>Calcs!Q207</f>
        <v>0</v>
      </c>
      <c r="K187" s="151">
        <f>Calcs!R207</f>
        <v>0</v>
      </c>
      <c r="L187" s="151">
        <f>Calcs!S207</f>
        <v>0</v>
      </c>
      <c r="M187" s="151">
        <f>Calcs!T207</f>
        <v>0</v>
      </c>
      <c r="N187" s="151">
        <f>Calcs!U207</f>
        <v>0</v>
      </c>
      <c r="O187" s="151">
        <f>Calcs!V207</f>
        <v>0</v>
      </c>
      <c r="P187" s="151">
        <f>Calcs!W207</f>
        <v>0</v>
      </c>
      <c r="Q187" s="151">
        <f>P187</f>
        <v>0</v>
      </c>
      <c r="R187" s="151">
        <f>Calcs!X207</f>
        <v>0</v>
      </c>
      <c r="S187" s="151">
        <f>Calcs!Y207</f>
        <v>0</v>
      </c>
      <c r="T187" s="151">
        <f>Calcs!Z207</f>
        <v>0</v>
      </c>
      <c r="U187" s="151">
        <f>Calcs!AA207</f>
        <v>0</v>
      </c>
      <c r="V187" s="151">
        <f>Calcs!AB207</f>
        <v>0</v>
      </c>
      <c r="W187" s="151">
        <f>Calcs!AC207</f>
        <v>0</v>
      </c>
      <c r="X187" s="151">
        <f>Calcs!AD207</f>
        <v>0</v>
      </c>
      <c r="Y187" s="151">
        <f>Calcs!AE207</f>
        <v>0</v>
      </c>
      <c r="Z187" s="151">
        <f>Calcs!AF207</f>
        <v>0</v>
      </c>
      <c r="AA187" s="151">
        <f>Calcs!AG207</f>
        <v>0</v>
      </c>
      <c r="AB187" s="151">
        <f>Calcs!AH207</f>
        <v>0</v>
      </c>
      <c r="AC187" s="151">
        <f>Calcs!AI207</f>
        <v>0</v>
      </c>
      <c r="AD187" s="151">
        <f>AC187</f>
        <v>0</v>
      </c>
      <c r="AE187" s="151">
        <f>Calcs!AJ207</f>
        <v>0</v>
      </c>
      <c r="AF187" s="151">
        <f>Calcs!AK207</f>
        <v>0</v>
      </c>
      <c r="AG187" s="151">
        <f>Calcs!AL207</f>
        <v>0</v>
      </c>
      <c r="AH187" s="151">
        <f>Calcs!AM207</f>
        <v>0</v>
      </c>
      <c r="AI187" s="151">
        <f>Calcs!AN207</f>
        <v>0</v>
      </c>
      <c r="AJ187" s="151">
        <f>Calcs!AO207</f>
        <v>0</v>
      </c>
      <c r="AK187" s="151">
        <f>Calcs!AP207</f>
        <v>0</v>
      </c>
      <c r="AL187" s="151">
        <f>Calcs!AQ207</f>
        <v>0</v>
      </c>
      <c r="AM187" s="151">
        <f>Calcs!AR207</f>
        <v>0</v>
      </c>
      <c r="AN187" s="151">
        <f>Calcs!AS207</f>
        <v>0</v>
      </c>
      <c r="AO187" s="151">
        <f>Calcs!AT207</f>
        <v>0</v>
      </c>
      <c r="AP187" s="151">
        <f>Calcs!AU207</f>
        <v>0</v>
      </c>
      <c r="AQ187" s="151">
        <f>AP187</f>
        <v>0</v>
      </c>
      <c r="AR187" s="151">
        <f>Calcs!AV207</f>
        <v>0</v>
      </c>
      <c r="AS187" s="151">
        <f>Calcs!AW207</f>
        <v>0</v>
      </c>
      <c r="AT187" s="151">
        <f>Calcs!AX207</f>
        <v>0</v>
      </c>
      <c r="AU187" s="151">
        <f>Calcs!AY207</f>
        <v>0</v>
      </c>
      <c r="AV187" s="151">
        <f>Calcs!AZ207</f>
        <v>0</v>
      </c>
      <c r="AW187" s="151">
        <f>Calcs!BA207</f>
        <v>0</v>
      </c>
      <c r="AX187" s="151">
        <f>Calcs!BB207</f>
        <v>0</v>
      </c>
      <c r="AY187" s="151">
        <f>Calcs!BC207</f>
        <v>0</v>
      </c>
      <c r="AZ187" s="151">
        <f>Calcs!BD207</f>
        <v>0</v>
      </c>
      <c r="BA187" s="151">
        <f>Calcs!BE207</f>
        <v>0</v>
      </c>
      <c r="BB187" s="151">
        <f>Calcs!BF207</f>
        <v>0</v>
      </c>
      <c r="BC187" s="151">
        <f>Calcs!BG207</f>
        <v>0</v>
      </c>
      <c r="BD187" s="151">
        <f>BC187</f>
        <v>0</v>
      </c>
      <c r="BE187" s="151">
        <f>Calcs!BH207</f>
        <v>0</v>
      </c>
      <c r="BF187" s="151">
        <f>Calcs!BI207</f>
        <v>0</v>
      </c>
      <c r="BG187" s="151">
        <f>Calcs!BJ207</f>
        <v>0</v>
      </c>
      <c r="BH187" s="151">
        <f>Calcs!BK207</f>
        <v>0</v>
      </c>
      <c r="BI187" s="151">
        <f>Calcs!BL207</f>
        <v>0</v>
      </c>
      <c r="BJ187" s="151">
        <f>Calcs!BM207</f>
        <v>0</v>
      </c>
      <c r="BK187" s="151">
        <f>Calcs!BN207</f>
        <v>0</v>
      </c>
      <c r="BL187" s="151">
        <f>Calcs!BO207</f>
        <v>0</v>
      </c>
      <c r="BM187" s="151">
        <f>Calcs!BP207</f>
        <v>0</v>
      </c>
      <c r="BN187" s="151">
        <f>Calcs!BQ207</f>
        <v>0</v>
      </c>
      <c r="BO187" s="151">
        <f>Calcs!BR207</f>
        <v>0</v>
      </c>
      <c r="BP187" s="151">
        <f>Calcs!BS207</f>
        <v>0</v>
      </c>
      <c r="BQ187" s="151">
        <f>BP187</f>
        <v>0</v>
      </c>
      <c r="BR187" s="1802"/>
      <c r="BS187" s="153">
        <v>1</v>
      </c>
      <c r="BT187" s="1802"/>
      <c r="BU187" s="153">
        <f>BP187</f>
      </c>
      <c r="BV187" s="158"/>
      <c r="BW187" s="151"/>
      <c r="BX187" s="151"/>
      <c r="BY187" s="151"/>
      <c r="BZ187" s="151"/>
      <c r="CA187" s="151"/>
      <c r="CB187" s="151"/>
      <c r="CC187" s="151"/>
      <c r="CD187" s="151"/>
      <c r="CE187" s="151"/>
      <c r="CF187" s="151"/>
      <c r="CG187" s="151"/>
      <c r="CH187" s="151"/>
      <c r="CI187" s="151"/>
      <c r="CJ187" s="151"/>
      <c r="CK187" s="151"/>
      <c r="CL187" s="151"/>
      <c r="CM187" s="151"/>
      <c r="CN187" s="151"/>
      <c r="CO187" s="151"/>
      <c r="CP187" s="151"/>
    </row>
    <row r="188" spans="1:94" ht="12.75" customHeight="1" x14ac:dyDescent="0.35">
      <c r="A188" s="136"/>
      <c r="D188" s="142" t="s">
        <v>331</v>
      </c>
      <c r="E188" s="183">
        <f>SUM(E185:E187)</f>
        <v>0</v>
      </c>
      <c r="F188" s="183">
        <f>SUM(F185:F187)</f>
        <v>0</v>
      </c>
      <c r="G188" s="183">
        <f>SUM(G185:G187)</f>
        <v>0</v>
      </c>
      <c r="H188" s="183">
        <f>SUM(H185:H187)</f>
        <v>0</v>
      </c>
      <c r="I188" s="183">
        <f>SUM(I185:I187)</f>
        <v>0</v>
      </c>
      <c r="J188" s="183">
        <f>SUM(J185:J187)</f>
        <v>0</v>
      </c>
      <c r="K188" s="183">
        <f>SUM(K185:K187)</f>
        <v>0</v>
      </c>
      <c r="L188" s="183">
        <f>SUM(L185:L187)</f>
        <v>0</v>
      </c>
      <c r="M188" s="183">
        <f>SUM(M185:M187)</f>
        <v>0</v>
      </c>
      <c r="N188" s="183">
        <f>SUM(N185:N187)</f>
        <v>0</v>
      </c>
      <c r="O188" s="183">
        <f>SUM(O185:O187)</f>
        <v>0</v>
      </c>
      <c r="P188" s="183">
        <f>SUM(P185:P187)</f>
        <v>0</v>
      </c>
      <c r="Q188" s="183">
        <f>SUM(Q185:Q187)</f>
        <v>0</v>
      </c>
      <c r="R188" s="183">
        <f>SUM(R185:R187)</f>
        <v>0</v>
      </c>
      <c r="S188" s="183">
        <f>SUM(S185:S187)</f>
        <v>0</v>
      </c>
      <c r="T188" s="183">
        <f>SUM(T185:T187)</f>
        <v>0</v>
      </c>
      <c r="U188" s="183">
        <f>SUM(U185:U187)</f>
        <v>0</v>
      </c>
      <c r="V188" s="183">
        <f>SUM(V185:V187)</f>
        <v>0</v>
      </c>
      <c r="W188" s="183">
        <f>SUM(W185:W187)</f>
        <v>0</v>
      </c>
      <c r="X188" s="183">
        <f>SUM(X185:X187)</f>
        <v>0</v>
      </c>
      <c r="Y188" s="183">
        <f>SUM(Y185:Y187)</f>
        <v>0</v>
      </c>
      <c r="Z188" s="183">
        <f>SUM(Z185:Z187)</f>
        <v>0</v>
      </c>
      <c r="AA188" s="183">
        <f>SUM(AA185:AA187)</f>
        <v>0</v>
      </c>
      <c r="AB188" s="183">
        <f>SUM(AB185:AB187)</f>
        <v>0</v>
      </c>
      <c r="AC188" s="183">
        <f>SUM(AC185:AC187)</f>
        <v>0</v>
      </c>
      <c r="AD188" s="183">
        <f>SUM(AD185:AD187)</f>
        <v>0</v>
      </c>
      <c r="AE188" s="183">
        <f>SUM(AE185:AE187)</f>
        <v>0</v>
      </c>
      <c r="AF188" s="183">
        <f>SUM(AF185:AF187)</f>
        <v>0</v>
      </c>
      <c r="AG188" s="183">
        <f>SUM(AG185:AG187)</f>
        <v>0</v>
      </c>
      <c r="AH188" s="183">
        <f>SUM(AH185:AH187)</f>
        <v>0</v>
      </c>
      <c r="AI188" s="183">
        <f>SUM(AI185:AI187)</f>
        <v>0</v>
      </c>
      <c r="AJ188" s="183">
        <f>SUM(AJ185:AJ187)</f>
        <v>0</v>
      </c>
      <c r="AK188" s="183">
        <f>SUM(AK185:AK187)</f>
        <v>0</v>
      </c>
      <c r="AL188" s="183">
        <f>SUM(AL185:AL187)</f>
        <v>0</v>
      </c>
      <c r="AM188" s="183">
        <f>SUM(AM185:AM187)</f>
        <v>0</v>
      </c>
      <c r="AN188" s="183">
        <f>SUM(AN185:AN187)</f>
        <v>0</v>
      </c>
      <c r="AO188" s="183">
        <f>SUM(AO185:AO187)</f>
        <v>0</v>
      </c>
      <c r="AP188" s="183">
        <f>SUM(AP185:AP187)</f>
        <v>0</v>
      </c>
      <c r="AQ188" s="183">
        <f>SUM(AQ185:AQ187)</f>
        <v>0</v>
      </c>
      <c r="AR188" s="183">
        <f>SUM(AR185:AR187)</f>
        <v>0</v>
      </c>
      <c r="AS188" s="183">
        <f>SUM(AS185:AS187)</f>
        <v>0</v>
      </c>
      <c r="AT188" s="183">
        <f>SUM(AT185:AT187)</f>
        <v>0</v>
      </c>
      <c r="AU188" s="183">
        <f>SUM(AU185:AU187)</f>
        <v>0</v>
      </c>
      <c r="AV188" s="183">
        <f>SUM(AV185:AV187)</f>
        <v>0</v>
      </c>
      <c r="AW188" s="183">
        <f>SUM(AW185:AW187)</f>
        <v>0</v>
      </c>
      <c r="AX188" s="183">
        <f>SUM(AX185:AX187)</f>
        <v>0</v>
      </c>
      <c r="AY188" s="183">
        <f>SUM(AY185:AY187)</f>
        <v>0</v>
      </c>
      <c r="AZ188" s="183">
        <f>SUM(AZ185:AZ187)</f>
        <v>0</v>
      </c>
      <c r="BA188" s="183">
        <f>SUM(BA185:BA187)</f>
        <v>0</v>
      </c>
      <c r="BB188" s="183">
        <f>SUM(BB185:BB187)</f>
        <v>0</v>
      </c>
      <c r="BC188" s="183">
        <f>SUM(BC185:BC187)</f>
        <v>0</v>
      </c>
      <c r="BD188" s="183">
        <f>SUM(BD185:BD187)</f>
        <v>0</v>
      </c>
      <c r="BE188" s="183">
        <f>SUM(BE185:BE187)</f>
        <v>0</v>
      </c>
      <c r="BF188" s="183">
        <f>SUM(BF185:BF187)</f>
        <v>0</v>
      </c>
      <c r="BG188" s="183">
        <f>SUM(BG185:BG187)</f>
        <v>0</v>
      </c>
      <c r="BH188" s="183">
        <f>SUM(BH185:BH187)</f>
        <v>0</v>
      </c>
      <c r="BI188" s="183">
        <f>SUM(BI185:BI187)</f>
        <v>0</v>
      </c>
      <c r="BJ188" s="183">
        <f>SUM(BJ185:BJ187)</f>
        <v>0</v>
      </c>
      <c r="BK188" s="183">
        <f>SUM(BK185:BK187)</f>
        <v>0</v>
      </c>
      <c r="BL188" s="183">
        <f>SUM(BL185:BL187)</f>
        <v>0</v>
      </c>
      <c r="BM188" s="183">
        <f>SUM(BM185:BM187)</f>
        <v>0</v>
      </c>
      <c r="BN188" s="183">
        <f>SUM(BN185:BN187)</f>
        <v>0</v>
      </c>
      <c r="BO188" s="183">
        <f>SUM(BO185:BO187)</f>
        <v>0</v>
      </c>
      <c r="BP188" s="183">
        <f>SUM(BP185:BP187)</f>
        <v>0</v>
      </c>
      <c r="BQ188" s="183">
        <f>SUM(BQ185:BQ187)</f>
        <v>0</v>
      </c>
      <c r="BR188" s="257"/>
      <c r="BS188" s="153">
        <v>1</v>
      </c>
      <c r="BT188" s="257"/>
      <c r="BU188" s="156">
        <f>SUM(BU185:BU187)</f>
      </c>
      <c r="BV188" s="138" t="s">
        <v>331</v>
      </c>
      <c r="BW188" s="183">
        <f>SUM(BW185:BW186)</f>
        <v>0</v>
      </c>
      <c r="BX188" s="183">
        <f>SUM(BX185:BX186)</f>
        <v>0</v>
      </c>
      <c r="BY188" s="183">
        <f>SUM(BY185:BY186)</f>
        <v>0</v>
      </c>
      <c r="BZ188" s="183">
        <f>SUM(BZ185:BZ186)</f>
        <v>0</v>
      </c>
      <c r="CA188" s="183">
        <f>SUM(CA185:CA186)</f>
        <v>0</v>
      </c>
      <c r="CB188" s="183">
        <f>SUM(CB185:CB186)</f>
        <v>0</v>
      </c>
      <c r="CC188" s="183">
        <f>SUM(CC185:CC186)</f>
        <v>0</v>
      </c>
      <c r="CD188" s="183">
        <f>SUM(CD185:CD186)</f>
        <v>0</v>
      </c>
      <c r="CE188" s="183">
        <f>SUM(CE185:CE186)</f>
        <v>0</v>
      </c>
      <c r="CF188" s="183">
        <f>SUM(CF185:CF186)</f>
        <v>0</v>
      </c>
      <c r="CG188" s="183">
        <f>SUM(CG185:CG186)</f>
        <v>0</v>
      </c>
      <c r="CH188" s="183">
        <f>SUM(CH185:CH186)</f>
        <v>0</v>
      </c>
      <c r="CI188" s="183">
        <f>SUM(CI185:CI186)</f>
        <v>0</v>
      </c>
      <c r="CJ188" s="183">
        <f>SUM(CJ185:CJ186)</f>
        <v>0</v>
      </c>
      <c r="CK188" s="183">
        <f>SUM(CK185:CK186)</f>
        <v>0</v>
      </c>
      <c r="CL188" s="183">
        <f>SUM(CL185:CL186)</f>
        <v>0</v>
      </c>
      <c r="CM188" s="183">
        <f>SUM(CM185:CM186)</f>
        <v>0</v>
      </c>
      <c r="CN188" s="183">
        <f>SUM(CN185:CN186)</f>
        <v>0</v>
      </c>
      <c r="CO188" s="183">
        <f>SUM(CO185:CO186)</f>
        <v>0</v>
      </c>
      <c r="CP188" s="183">
        <f>SUM(CP185:CP186)</f>
        <v>0</v>
      </c>
    </row>
    <row r="189" spans="1:94" ht="5.15" customHeight="1" x14ac:dyDescent="0.35">
      <c r="A189" s="136"/>
      <c r="D189" s="142"/>
      <c r="E189" s="151"/>
      <c r="F189" s="151"/>
      <c r="G189" s="151"/>
      <c r="H189" s="151"/>
      <c r="I189" s="151"/>
      <c r="J189" s="151"/>
      <c r="K189" s="151"/>
      <c r="L189" s="151"/>
      <c r="M189" s="151"/>
      <c r="N189" s="151"/>
      <c r="O189" s="151"/>
      <c r="P189" s="151"/>
      <c r="Q189" s="151"/>
      <c r="R189" s="151"/>
      <c r="S189" s="151"/>
      <c r="T189" s="151"/>
      <c r="U189" s="151"/>
      <c r="V189" s="151"/>
      <c r="W189" s="151"/>
      <c r="X189" s="151"/>
      <c r="Y189" s="151"/>
      <c r="Z189" s="151"/>
      <c r="AA189" s="151"/>
      <c r="AB189" s="151"/>
      <c r="AC189" s="151"/>
      <c r="AD189" s="151"/>
      <c r="AE189" s="151"/>
      <c r="AF189" s="151"/>
      <c r="AG189" s="151"/>
      <c r="AH189" s="151"/>
      <c r="AI189" s="151"/>
      <c r="AJ189" s="151"/>
      <c r="AK189" s="151"/>
      <c r="AL189" s="151"/>
      <c r="AM189" s="151"/>
      <c r="AN189" s="151"/>
      <c r="AO189" s="151"/>
      <c r="AP189" s="151"/>
      <c r="AQ189" s="151"/>
      <c r="AR189" s="151"/>
      <c r="AS189" s="151"/>
      <c r="AT189" s="151"/>
      <c r="AU189" s="151"/>
      <c r="AV189" s="151"/>
      <c r="AW189" s="151"/>
      <c r="AX189" s="151"/>
      <c r="AY189" s="151"/>
      <c r="AZ189" s="151"/>
      <c r="BA189" s="151"/>
      <c r="BB189" s="151"/>
      <c r="BC189" s="151"/>
      <c r="BD189" s="151"/>
      <c r="BE189" s="151"/>
      <c r="BF189" s="151"/>
      <c r="BG189" s="151"/>
      <c r="BH189" s="151"/>
      <c r="BI189" s="151"/>
      <c r="BJ189" s="151"/>
      <c r="BK189" s="151"/>
      <c r="BL189" s="151"/>
      <c r="BM189" s="151"/>
      <c r="BN189" s="151"/>
      <c r="BO189" s="151"/>
      <c r="BP189" s="151"/>
      <c r="BQ189" s="151"/>
      <c r="BR189" s="1802"/>
      <c r="BS189" s="153">
        <v>1</v>
      </c>
      <c r="BT189" s="1802"/>
      <c r="BU189" s="153"/>
      <c r="BV189" s="138"/>
      <c r="BW189" s="151"/>
      <c r="BX189" s="151"/>
      <c r="BY189" s="151"/>
      <c r="BZ189" s="151"/>
      <c r="CA189" s="151"/>
      <c r="CB189" s="151"/>
      <c r="CC189" s="151"/>
      <c r="CD189" s="151"/>
      <c r="CE189" s="151"/>
      <c r="CF189" s="151"/>
      <c r="CG189" s="151"/>
      <c r="CH189" s="151"/>
      <c r="CI189" s="151"/>
      <c r="CJ189" s="151"/>
      <c r="CK189" s="151"/>
      <c r="CL189" s="151"/>
      <c r="CM189" s="151"/>
      <c r="CN189" s="151"/>
      <c r="CO189" s="151"/>
      <c r="CP189" s="151"/>
    </row>
    <row r="190" spans="1:94" ht="12.75" customHeight="1" x14ac:dyDescent="0.35">
      <c r="A190" s="136"/>
      <c r="D190" s="142" t="s">
        <v>21</v>
      </c>
      <c r="E190" s="151">
        <f>Calcs!CG390</f>
        <v>0</v>
      </c>
      <c r="F190" s="151">
        <f>Calcs!CH390</f>
        <v>0</v>
      </c>
      <c r="G190" s="151">
        <f>Calcs!CI390</f>
        <v>0</v>
      </c>
      <c r="H190" s="151">
        <f>Calcs!CJ390</f>
        <v>0</v>
      </c>
      <c r="I190" s="151">
        <f>Calcs!CK390</f>
        <v>0</v>
      </c>
      <c r="J190" s="151">
        <f>Calcs!CL390</f>
        <v>0</v>
      </c>
      <c r="K190" s="151">
        <f>Calcs!CM390</f>
        <v>0</v>
      </c>
      <c r="L190" s="151">
        <f>Calcs!CN390</f>
        <v>0</v>
      </c>
      <c r="M190" s="151">
        <f>Calcs!CO390</f>
        <v>0</v>
      </c>
      <c r="N190" s="151">
        <f>Calcs!CP390</f>
        <v>0</v>
      </c>
      <c r="O190" s="151">
        <f>Calcs!CQ390</f>
        <v>0</v>
      </c>
      <c r="P190" s="151">
        <f>Calcs!CR390</f>
        <v>0</v>
      </c>
      <c r="Q190" s="151">
        <f>Calcs!DC390</f>
        <v>0</v>
      </c>
      <c r="R190" s="151">
        <f>Calcs!CS390</f>
        <v>0</v>
      </c>
      <c r="S190" s="151">
        <f>Calcs!CT390</f>
        <v>0</v>
      </c>
      <c r="T190" s="151">
        <f>Calcs!CU390</f>
        <v>0</v>
      </c>
      <c r="U190" s="151">
        <f>Calcs!CV390</f>
        <v>0</v>
      </c>
      <c r="V190" s="151">
        <f>Calcs!CW390</f>
        <v>0</v>
      </c>
      <c r="W190" s="151">
        <f>Calcs!CX390</f>
        <v>0</v>
      </c>
      <c r="X190" s="151">
        <f>Calcs!CY390</f>
        <v>0</v>
      </c>
      <c r="Y190" s="151">
        <f>Calcs!CZ390</f>
        <v>0</v>
      </c>
      <c r="Z190" s="151">
        <f>Calcs!DA390</f>
        <v>0</v>
      </c>
      <c r="AA190" s="151">
        <f>Calcs!DB390</f>
        <v>0</v>
      </c>
      <c r="AB190" s="151">
        <f>Calcs!DC390</f>
        <v>0</v>
      </c>
      <c r="AC190" s="151">
        <f>Calcs!DD390</f>
        <v>0</v>
      </c>
      <c r="AD190" s="151">
        <f>AC190</f>
        <v>0</v>
      </c>
      <c r="AE190" s="151">
        <f>Calcs!DE390</f>
        <v>0</v>
      </c>
      <c r="AF190" s="151">
        <f>Calcs!DF390</f>
        <v>0</v>
      </c>
      <c r="AG190" s="151">
        <f>Calcs!DG390</f>
        <v>0</v>
      </c>
      <c r="AH190" s="151">
        <f>Calcs!DH390</f>
        <v>0</v>
      </c>
      <c r="AI190" s="151">
        <f>Calcs!DI390</f>
        <v>0</v>
      </c>
      <c r="AJ190" s="151">
        <f>Calcs!DJ390</f>
        <v>0</v>
      </c>
      <c r="AK190" s="151">
        <f>Calcs!DK390</f>
        <v>0</v>
      </c>
      <c r="AL190" s="151">
        <f>Calcs!DL390</f>
        <v>0</v>
      </c>
      <c r="AM190" s="151">
        <f>Calcs!DM390</f>
        <v>0</v>
      </c>
      <c r="AN190" s="151">
        <f>Calcs!DN390</f>
        <v>0</v>
      </c>
      <c r="AO190" s="151">
        <f>Calcs!DO390</f>
        <v>0</v>
      </c>
      <c r="AP190" s="151">
        <f>Calcs!DP390</f>
        <v>0</v>
      </c>
      <c r="AQ190" s="151">
        <f>AP190</f>
        <v>0</v>
      </c>
      <c r="AR190" s="151">
        <f>Calcs!DQ390</f>
        <v>0</v>
      </c>
      <c r="AS190" s="151">
        <f>Calcs!DR390</f>
        <v>0</v>
      </c>
      <c r="AT190" s="151">
        <f>Calcs!DS390</f>
        <v>0</v>
      </c>
      <c r="AU190" s="151">
        <f>Calcs!DT390</f>
        <v>0</v>
      </c>
      <c r="AV190" s="151">
        <f>Calcs!DU390</f>
        <v>0</v>
      </c>
      <c r="AW190" s="151">
        <f>Calcs!DV390</f>
        <v>0</v>
      </c>
      <c r="AX190" s="151">
        <f>Calcs!DW390</f>
        <v>0</v>
      </c>
      <c r="AY190" s="151">
        <f>Calcs!DX390</f>
        <v>0</v>
      </c>
      <c r="AZ190" s="151">
        <f>Calcs!DY390</f>
        <v>0</v>
      </c>
      <c r="BA190" s="151">
        <f>Calcs!DZ390</f>
        <v>0</v>
      </c>
      <c r="BB190" s="151">
        <f>Calcs!EA390</f>
        <v>0</v>
      </c>
      <c r="BC190" s="151">
        <f>Calcs!EB390</f>
        <v>0</v>
      </c>
      <c r="BD190" s="151">
        <f>BC190</f>
        <v>0</v>
      </c>
      <c r="BE190" s="151">
        <f>Calcs!EC390</f>
        <v>0</v>
      </c>
      <c r="BF190" s="151">
        <f>Calcs!ED390</f>
        <v>0</v>
      </c>
      <c r="BG190" s="151">
        <f>Calcs!EE390</f>
        <v>0</v>
      </c>
      <c r="BH190" s="151">
        <f>Calcs!EF390</f>
        <v>0</v>
      </c>
      <c r="BI190" s="151">
        <f>Calcs!EG390</f>
        <v>0</v>
      </c>
      <c r="BJ190" s="151">
        <f>Calcs!EH390</f>
        <v>0</v>
      </c>
      <c r="BK190" s="151">
        <f>Calcs!EI390</f>
        <v>0</v>
      </c>
      <c r="BL190" s="151">
        <f>Calcs!EJ390</f>
        <v>0</v>
      </c>
      <c r="BM190" s="151">
        <f>Calcs!EK390</f>
        <v>0</v>
      </c>
      <c r="BN190" s="151">
        <f>Calcs!EL390</f>
        <v>0</v>
      </c>
      <c r="BO190" s="151">
        <f>Calcs!EM390</f>
        <v>0</v>
      </c>
      <c r="BP190" s="151">
        <f>Calcs!EN390</f>
        <v>0</v>
      </c>
      <c r="BQ190" s="151">
        <f>BP190</f>
        <v>0</v>
      </c>
      <c r="BR190" s="1802"/>
      <c r="BS190" s="153">
        <v>1</v>
      </c>
      <c r="BT190" s="1802"/>
      <c r="BU190" s="153">
        <f>BP190</f>
      </c>
      <c r="BV190" s="138" t="s">
        <v>21</v>
      </c>
      <c r="BW190" s="151">
        <f>Financials!G190</f>
        <v>0</v>
      </c>
      <c r="BX190" s="151">
        <f>Financials!J190</f>
        <v>0</v>
      </c>
      <c r="BY190" s="151">
        <f>Financials!M190</f>
        <v>0</v>
      </c>
      <c r="BZ190" s="151">
        <f>Financials!P190</f>
        <v>0</v>
      </c>
      <c r="CA190" s="151">
        <f>Financials!T190</f>
        <v>0</v>
      </c>
      <c r="CB190" s="151">
        <f>Financials!W190</f>
        <v>0</v>
      </c>
      <c r="CC190" s="151">
        <f>Financials!Z190</f>
        <v>0</v>
      </c>
      <c r="CD190" s="151">
        <f>Financials!AC190</f>
        <v>0</v>
      </c>
      <c r="CE190" s="151">
        <f>Financials!AG190</f>
        <v>0</v>
      </c>
      <c r="CF190" s="151">
        <f>Financials!AJ190</f>
        <v>0</v>
      </c>
      <c r="CG190" s="151">
        <f>Financials!AM190</f>
        <v>0</v>
      </c>
      <c r="CH190" s="151">
        <f>Financials!AP190</f>
        <v>0</v>
      </c>
      <c r="CI190" s="151">
        <f>Financials!AT190</f>
        <v>0</v>
      </c>
      <c r="CJ190" s="151">
        <f>Financials!AW190</f>
        <v>0</v>
      </c>
      <c r="CK190" s="151">
        <f>Financials!AZ190</f>
        <v>0</v>
      </c>
      <c r="CL190" s="151">
        <f>Financials!BC190</f>
        <v>0</v>
      </c>
      <c r="CM190" s="151">
        <f>Financials!BG190</f>
        <v>0</v>
      </c>
      <c r="CN190" s="151">
        <f>Financials!BJ190</f>
        <v>0</v>
      </c>
      <c r="CO190" s="151">
        <f>Financials!BM190</f>
        <v>0</v>
      </c>
      <c r="CP190" s="151">
        <f>Financials!BP190</f>
        <v>0</v>
      </c>
    </row>
    <row r="191" spans="1:94" ht="12.75" customHeight="1" x14ac:dyDescent="0.35">
      <c r="A191" s="136"/>
      <c r="D191" s="152" t="s">
        <v>332</v>
      </c>
      <c r="E191" s="151">
        <f>-Calcs!CG391</f>
        <v>0</v>
      </c>
      <c r="F191" s="151">
        <f>-Calcs!CH391</f>
        <v>0</v>
      </c>
      <c r="G191" s="151">
        <f>-Calcs!CI391</f>
        <v>0</v>
      </c>
      <c r="H191" s="151">
        <f>-Calcs!CJ391</f>
        <v>0</v>
      </c>
      <c r="I191" s="151">
        <f>-Calcs!CK391</f>
        <v>0</v>
      </c>
      <c r="J191" s="151">
        <f>-Calcs!CL391</f>
        <v>0</v>
      </c>
      <c r="K191" s="151">
        <f>-Calcs!CM391</f>
        <v>0</v>
      </c>
      <c r="L191" s="151">
        <f>-Calcs!CN391</f>
        <v>0</v>
      </c>
      <c r="M191" s="151">
        <f>-Calcs!CO391</f>
        <v>0</v>
      </c>
      <c r="N191" s="151">
        <f>-Calcs!CP391</f>
        <v>0</v>
      </c>
      <c r="O191" s="151">
        <f>-Calcs!CQ391</f>
        <v>0</v>
      </c>
      <c r="P191" s="151">
        <f>-Calcs!CR391</f>
        <v>0</v>
      </c>
      <c r="Q191" s="151">
        <f>P191</f>
        <v>0</v>
      </c>
      <c r="R191" s="151">
        <f>-Calcs!CS391</f>
        <v>0</v>
      </c>
      <c r="S191" s="151">
        <f>-Calcs!CT391</f>
        <v>0</v>
      </c>
      <c r="T191" s="151">
        <f>-Calcs!CU391</f>
        <v>0</v>
      </c>
      <c r="U191" s="151">
        <f>-Calcs!CV391</f>
        <v>0</v>
      </c>
      <c r="V191" s="151">
        <f>-Calcs!CW391</f>
        <v>0</v>
      </c>
      <c r="W191" s="151">
        <f>-Calcs!CX391</f>
        <v>0</v>
      </c>
      <c r="X191" s="151">
        <f>-Calcs!CY391</f>
        <v>0</v>
      </c>
      <c r="Y191" s="151">
        <f>-Calcs!CZ391</f>
        <v>0</v>
      </c>
      <c r="Z191" s="151">
        <f>-Calcs!DA391</f>
        <v>0</v>
      </c>
      <c r="AA191" s="151">
        <f>-Calcs!DB391</f>
        <v>0</v>
      </c>
      <c r="AB191" s="151">
        <f>-Calcs!DC391</f>
        <v>0</v>
      </c>
      <c r="AC191" s="151">
        <f>-Calcs!DD391</f>
        <v>0</v>
      </c>
      <c r="AD191" s="151">
        <f>AC191</f>
        <v>0</v>
      </c>
      <c r="AE191" s="151">
        <f>-Calcs!DE391</f>
        <v>0</v>
      </c>
      <c r="AF191" s="151">
        <f>-Calcs!DF391</f>
        <v>0</v>
      </c>
      <c r="AG191" s="151">
        <f>-Calcs!DG391</f>
        <v>0</v>
      </c>
      <c r="AH191" s="151">
        <f>-Calcs!DH391</f>
        <v>0</v>
      </c>
      <c r="AI191" s="151">
        <f>-Calcs!DI391</f>
        <v>0</v>
      </c>
      <c r="AJ191" s="151">
        <f>-Calcs!DJ391</f>
        <v>0</v>
      </c>
      <c r="AK191" s="151">
        <f>-Calcs!DK391</f>
        <v>0</v>
      </c>
      <c r="AL191" s="151">
        <f>-Calcs!DL391</f>
        <v>0</v>
      </c>
      <c r="AM191" s="151">
        <f>-Calcs!DM391</f>
        <v>0</v>
      </c>
      <c r="AN191" s="151">
        <f>-Calcs!DN391</f>
        <v>0</v>
      </c>
      <c r="AO191" s="151">
        <f>-Calcs!DO391</f>
        <v>0</v>
      </c>
      <c r="AP191" s="151">
        <f>-Calcs!DP391</f>
        <v>0</v>
      </c>
      <c r="AQ191" s="151">
        <f>AP191</f>
        <v>0</v>
      </c>
      <c r="AR191" s="151">
        <f>-Calcs!DQ391</f>
        <v>0</v>
      </c>
      <c r="AS191" s="151">
        <f>-Calcs!DR391</f>
        <v>0</v>
      </c>
      <c r="AT191" s="151">
        <f>-Calcs!DS391</f>
        <v>0</v>
      </c>
      <c r="AU191" s="151">
        <f>-Calcs!DT391</f>
        <v>0</v>
      </c>
      <c r="AV191" s="151">
        <f>-Calcs!DU391</f>
        <v>0</v>
      </c>
      <c r="AW191" s="151">
        <f>-Calcs!DV391</f>
        <v>0</v>
      </c>
      <c r="AX191" s="151">
        <f>-Calcs!DW391</f>
        <v>0</v>
      </c>
      <c r="AY191" s="151">
        <f>-Calcs!DX391</f>
        <v>0</v>
      </c>
      <c r="AZ191" s="151">
        <f>-Calcs!DY391</f>
        <v>0</v>
      </c>
      <c r="BA191" s="151">
        <f>-Calcs!DZ391</f>
        <v>0</v>
      </c>
      <c r="BB191" s="151">
        <f>-Calcs!EA391</f>
        <v>0</v>
      </c>
      <c r="BC191" s="151">
        <f>-Calcs!EB391</f>
        <v>0</v>
      </c>
      <c r="BD191" s="151">
        <f>BC191</f>
        <v>0</v>
      </c>
      <c r="BE191" s="151">
        <f>-Calcs!EC391</f>
        <v>0</v>
      </c>
      <c r="BF191" s="151">
        <f>-Calcs!ED391</f>
        <v>0</v>
      </c>
      <c r="BG191" s="151">
        <f>-Calcs!EE391</f>
        <v>0</v>
      </c>
      <c r="BH191" s="151">
        <f>-Calcs!EF391</f>
        <v>0</v>
      </c>
      <c r="BI191" s="151">
        <f>-Calcs!EG391</f>
        <v>0</v>
      </c>
      <c r="BJ191" s="151">
        <f>-Calcs!EH391</f>
        <v>0</v>
      </c>
      <c r="BK191" s="151">
        <f>-Calcs!EI391</f>
        <v>0</v>
      </c>
      <c r="BL191" s="151">
        <f>-Calcs!EJ391</f>
        <v>0</v>
      </c>
      <c r="BM191" s="151">
        <f>-Calcs!EK391</f>
        <v>0</v>
      </c>
      <c r="BN191" s="151">
        <f>-Calcs!EL391</f>
        <v>0</v>
      </c>
      <c r="BO191" s="151">
        <f>-Calcs!EM391</f>
        <v>0</v>
      </c>
      <c r="BP191" s="151">
        <f>-Calcs!EN391</f>
        <v>0</v>
      </c>
      <c r="BQ191" s="151">
        <f>BP191</f>
        <v>0</v>
      </c>
      <c r="BR191" s="1802"/>
      <c r="BS191" s="153">
        <v>1</v>
      </c>
      <c r="BT191" s="1802"/>
      <c r="BU191" s="153">
        <f>BP191</f>
      </c>
      <c r="BV191" s="158" t="s">
        <v>332</v>
      </c>
      <c r="BW191" s="151">
        <f>Financials!G191</f>
        <v>0</v>
      </c>
      <c r="BX191" s="151">
        <f>Financials!J191</f>
        <v>0</v>
      </c>
      <c r="BY191" s="151">
        <f>Financials!M191</f>
        <v>0</v>
      </c>
      <c r="BZ191" s="151">
        <f>Financials!P191</f>
        <v>0</v>
      </c>
      <c r="CA191" s="151">
        <f>Financials!T191</f>
        <v>0</v>
      </c>
      <c r="CB191" s="151">
        <f>Financials!W191</f>
        <v>0</v>
      </c>
      <c r="CC191" s="151">
        <f>Financials!Z191</f>
        <v>0</v>
      </c>
      <c r="CD191" s="151">
        <f>Financials!AC191</f>
        <v>0</v>
      </c>
      <c r="CE191" s="151">
        <f>Financials!AG191</f>
        <v>0</v>
      </c>
      <c r="CF191" s="151">
        <f>Financials!AJ191</f>
        <v>0</v>
      </c>
      <c r="CG191" s="151">
        <f>Financials!AM191</f>
        <v>0</v>
      </c>
      <c r="CH191" s="151">
        <f>Financials!AP191</f>
        <v>0</v>
      </c>
      <c r="CI191" s="151">
        <f>Financials!AT191</f>
        <v>0</v>
      </c>
      <c r="CJ191" s="151">
        <f>Financials!AW191</f>
        <v>0</v>
      </c>
      <c r="CK191" s="151">
        <f>Financials!AZ191</f>
        <v>0</v>
      </c>
      <c r="CL191" s="151">
        <f>Financials!BC191</f>
        <v>0</v>
      </c>
      <c r="CM191" s="151">
        <f>Financials!BG191</f>
        <v>0</v>
      </c>
      <c r="CN191" s="151">
        <f>Financials!BJ191</f>
        <v>0</v>
      </c>
      <c r="CO191" s="151">
        <f>Financials!BM191</f>
        <v>0</v>
      </c>
      <c r="CP191" s="151">
        <f>Financials!BP191</f>
        <v>0</v>
      </c>
    </row>
    <row r="192" spans="1:94" ht="12.75" customHeight="1" x14ac:dyDescent="0.35">
      <c r="A192" s="136"/>
      <c r="D192" s="142" t="s">
        <v>333</v>
      </c>
      <c r="E192" s="183">
        <f>E190+E191</f>
        <v>0</v>
      </c>
      <c r="F192" s="183">
        <f>F190+F191</f>
        <v>0</v>
      </c>
      <c r="G192" s="183">
        <f>G190+G191</f>
        <v>0</v>
      </c>
      <c r="H192" s="183">
        <f>H190+H191</f>
        <v>0</v>
      </c>
      <c r="I192" s="183">
        <f>I190+I191</f>
        <v>0</v>
      </c>
      <c r="J192" s="183">
        <f>J190+J191</f>
        <v>0</v>
      </c>
      <c r="K192" s="183">
        <f>K190+K191</f>
        <v>0</v>
      </c>
      <c r="L192" s="183">
        <f>L190+L191</f>
        <v>0</v>
      </c>
      <c r="M192" s="183">
        <f>M190+M191</f>
        <v>0</v>
      </c>
      <c r="N192" s="183">
        <f>N190+N191</f>
        <v>0</v>
      </c>
      <c r="O192" s="183">
        <f>O190+O191</f>
        <v>0</v>
      </c>
      <c r="P192" s="183">
        <f>P190+P191</f>
        <v>0</v>
      </c>
      <c r="Q192" s="183">
        <f>Q190+Q191</f>
        <v>0</v>
      </c>
      <c r="R192" s="183">
        <f>R190+R191</f>
        <v>0</v>
      </c>
      <c r="S192" s="183">
        <f>S190+S191</f>
        <v>0</v>
      </c>
      <c r="T192" s="183">
        <f>T190+T191</f>
        <v>0</v>
      </c>
      <c r="U192" s="183">
        <f>U190+U191</f>
        <v>0</v>
      </c>
      <c r="V192" s="183">
        <f>V190+V191</f>
        <v>0</v>
      </c>
      <c r="W192" s="183">
        <f>W190+W191</f>
        <v>0</v>
      </c>
      <c r="X192" s="183">
        <f>X190+X191</f>
        <v>0</v>
      </c>
      <c r="Y192" s="183">
        <f>Y190+Y191</f>
        <v>0</v>
      </c>
      <c r="Z192" s="183">
        <f>Z190+Z191</f>
        <v>0</v>
      </c>
      <c r="AA192" s="183">
        <f>AA190+AA191</f>
        <v>0</v>
      </c>
      <c r="AB192" s="183">
        <f>AB190+AB191</f>
        <v>0</v>
      </c>
      <c r="AC192" s="183">
        <f>AC190+AC191</f>
        <v>0</v>
      </c>
      <c r="AD192" s="183">
        <f>AD190+AD191</f>
        <v>0</v>
      </c>
      <c r="AE192" s="183">
        <f>AE190+AE191</f>
        <v>0</v>
      </c>
      <c r="AF192" s="183">
        <f>AF190+AF191</f>
        <v>0</v>
      </c>
      <c r="AG192" s="183">
        <f>AG190+AG191</f>
        <v>0</v>
      </c>
      <c r="AH192" s="183">
        <f>AH190+AH191</f>
        <v>0</v>
      </c>
      <c r="AI192" s="183">
        <f>AI190+AI191</f>
        <v>0</v>
      </c>
      <c r="AJ192" s="183">
        <f>AJ190+AJ191</f>
        <v>0</v>
      </c>
      <c r="AK192" s="183">
        <f>AK190+AK191</f>
        <v>0</v>
      </c>
      <c r="AL192" s="183">
        <f>AL190+AL191</f>
        <v>0</v>
      </c>
      <c r="AM192" s="183">
        <f>AM190+AM191</f>
        <v>0</v>
      </c>
      <c r="AN192" s="183">
        <f>AN190+AN191</f>
        <v>0</v>
      </c>
      <c r="AO192" s="183">
        <f>AO190+AO191</f>
        <v>0</v>
      </c>
      <c r="AP192" s="183">
        <f>AP190+AP191</f>
        <v>0</v>
      </c>
      <c r="AQ192" s="183">
        <f>AQ190+AQ191</f>
        <v>0</v>
      </c>
      <c r="AR192" s="183">
        <f>AR190+AR191</f>
        <v>0</v>
      </c>
      <c r="AS192" s="183">
        <f>AS190+AS191</f>
        <v>0</v>
      </c>
      <c r="AT192" s="183">
        <f>AT190+AT191</f>
        <v>0</v>
      </c>
      <c r="AU192" s="183">
        <f>AU190+AU191</f>
        <v>0</v>
      </c>
      <c r="AV192" s="183">
        <f>AV190+AV191</f>
        <v>0</v>
      </c>
      <c r="AW192" s="183">
        <f>AW190+AW191</f>
        <v>0</v>
      </c>
      <c r="AX192" s="183">
        <f>AX190+AX191</f>
        <v>0</v>
      </c>
      <c r="AY192" s="183">
        <f>AY190+AY191</f>
        <v>0</v>
      </c>
      <c r="AZ192" s="183">
        <f>AZ190+AZ191</f>
        <v>0</v>
      </c>
      <c r="BA192" s="183">
        <f>BA190+BA191</f>
        <v>0</v>
      </c>
      <c r="BB192" s="183">
        <f>BB190+BB191</f>
        <v>0</v>
      </c>
      <c r="BC192" s="183">
        <f>BC190+BC191</f>
        <v>0</v>
      </c>
      <c r="BD192" s="183">
        <f>BD190+BD191</f>
        <v>0</v>
      </c>
      <c r="BE192" s="183">
        <f>BE190+BE191</f>
        <v>0</v>
      </c>
      <c r="BF192" s="183">
        <f>BF190+BF191</f>
        <v>0</v>
      </c>
      <c r="BG192" s="183">
        <f>BG190+BG191</f>
        <v>0</v>
      </c>
      <c r="BH192" s="183">
        <f>BH190+BH191</f>
        <v>0</v>
      </c>
      <c r="BI192" s="183">
        <f>BI190+BI191</f>
        <v>0</v>
      </c>
      <c r="BJ192" s="183">
        <f>BJ190+BJ191</f>
        <v>0</v>
      </c>
      <c r="BK192" s="183">
        <f>BK190+BK191</f>
        <v>0</v>
      </c>
      <c r="BL192" s="183">
        <f>BL190+BL191</f>
        <v>0</v>
      </c>
      <c r="BM192" s="183">
        <f>BM190+BM191</f>
        <v>0</v>
      </c>
      <c r="BN192" s="183">
        <f>BN190+BN191</f>
        <v>0</v>
      </c>
      <c r="BO192" s="183">
        <f>BO190+BO191</f>
        <v>0</v>
      </c>
      <c r="BP192" s="183">
        <f>BP190+BP191</f>
        <v>0</v>
      </c>
      <c r="BQ192" s="183">
        <f>BQ190+BQ191</f>
        <v>0</v>
      </c>
      <c r="BR192" s="257"/>
      <c r="BS192" s="153">
        <v>1</v>
      </c>
      <c r="BT192" s="257"/>
      <c r="BU192" s="156">
        <f>BU190+BU191</f>
      </c>
      <c r="BV192" s="138" t="s">
        <v>333</v>
      </c>
      <c r="BW192" s="183">
        <f>BW190-BW191</f>
        <v>0</v>
      </c>
      <c r="BX192" s="183">
        <f>BX190-BX191</f>
        <v>0</v>
      </c>
      <c r="BY192" s="183">
        <f>BY190-BY191</f>
        <v>0</v>
      </c>
      <c r="BZ192" s="183">
        <f>BZ190-BZ191</f>
        <v>0</v>
      </c>
      <c r="CA192" s="183">
        <f>CA190-CA191</f>
        <v>0</v>
      </c>
      <c r="CB192" s="183">
        <f>CB190-CB191</f>
        <v>0</v>
      </c>
      <c r="CC192" s="183">
        <f>CC190-CC191</f>
        <v>0</v>
      </c>
      <c r="CD192" s="183">
        <f>CD190-CD191</f>
        <v>0</v>
      </c>
      <c r="CE192" s="183">
        <f>CE190-CE191</f>
        <v>0</v>
      </c>
      <c r="CF192" s="183">
        <f>CF190-CF191</f>
        <v>0</v>
      </c>
      <c r="CG192" s="183">
        <f>CG190-CG191</f>
        <v>0</v>
      </c>
      <c r="CH192" s="183">
        <f>CH190-CH191</f>
        <v>0</v>
      </c>
      <c r="CI192" s="183">
        <f>CI190-CI191</f>
        <v>0</v>
      </c>
      <c r="CJ192" s="183">
        <f>CJ190-CJ191</f>
        <v>0</v>
      </c>
      <c r="CK192" s="183">
        <f>CK190-CK191</f>
        <v>0</v>
      </c>
      <c r="CL192" s="183">
        <f>CL190-CL191</f>
        <v>0</v>
      </c>
      <c r="CM192" s="183">
        <f>CM190-CM191</f>
        <v>0</v>
      </c>
      <c r="CN192" s="183">
        <f>CN190-CN191</f>
        <v>0</v>
      </c>
      <c r="CO192" s="183">
        <f>CO190-CO191</f>
        <v>0</v>
      </c>
      <c r="CP192" s="183">
        <f>CP190-CP191</f>
        <v>0</v>
      </c>
    </row>
    <row r="193" spans="1:95" ht="5.15" customHeight="1" x14ac:dyDescent="0.35">
      <c r="A193" s="136"/>
      <c r="D193" s="142"/>
      <c r="E193" s="151"/>
      <c r="F193" s="151"/>
      <c r="G193" s="151"/>
      <c r="H193" s="151"/>
      <c r="I193" s="151"/>
      <c r="J193" s="151"/>
      <c r="K193" s="151"/>
      <c r="L193" s="151"/>
      <c r="M193" s="151"/>
      <c r="N193" s="151"/>
      <c r="O193" s="151"/>
      <c r="P193" s="151"/>
      <c r="Q193" s="151"/>
      <c r="R193" s="151"/>
      <c r="S193" s="151"/>
      <c r="T193" s="151"/>
      <c r="U193" s="151"/>
      <c r="V193" s="151"/>
      <c r="W193" s="151"/>
      <c r="X193" s="151"/>
      <c r="Y193" s="151"/>
      <c r="Z193" s="151"/>
      <c r="AA193" s="151"/>
      <c r="AB193" s="151"/>
      <c r="AC193" s="151"/>
      <c r="AD193" s="151"/>
      <c r="AE193" s="151"/>
      <c r="AF193" s="151"/>
      <c r="AG193" s="151"/>
      <c r="AH193" s="151"/>
      <c r="AI193" s="151"/>
      <c r="AJ193" s="151"/>
      <c r="AK193" s="151"/>
      <c r="AL193" s="151"/>
      <c r="AM193" s="151"/>
      <c r="AN193" s="151"/>
      <c r="AO193" s="151"/>
      <c r="AP193" s="151"/>
      <c r="AQ193" s="151"/>
      <c r="AR193" s="151"/>
      <c r="AS193" s="151"/>
      <c r="AT193" s="151"/>
      <c r="AU193" s="151"/>
      <c r="AV193" s="151"/>
      <c r="AW193" s="151"/>
      <c r="AX193" s="151"/>
      <c r="AY193" s="151"/>
      <c r="AZ193" s="151"/>
      <c r="BA193" s="151"/>
      <c r="BB193" s="151"/>
      <c r="BC193" s="151"/>
      <c r="BD193" s="151"/>
      <c r="BE193" s="151"/>
      <c r="BF193" s="151"/>
      <c r="BG193" s="151"/>
      <c r="BH193" s="151"/>
      <c r="BI193" s="151"/>
      <c r="BJ193" s="151"/>
      <c r="BK193" s="151"/>
      <c r="BL193" s="151"/>
      <c r="BM193" s="151"/>
      <c r="BN193" s="151"/>
      <c r="BO193" s="151"/>
      <c r="BP193" s="151"/>
      <c r="BQ193" s="151"/>
      <c r="BR193" s="1802"/>
      <c r="BS193" s="153">
        <v>1</v>
      </c>
      <c r="BT193" s="1802"/>
      <c r="BU193" s="153"/>
      <c r="BV193" s="138"/>
      <c r="BW193" s="151"/>
      <c r="BX193" s="151"/>
      <c r="BY193" s="151"/>
      <c r="BZ193" s="151"/>
      <c r="CA193" s="151"/>
      <c r="CB193" s="151"/>
      <c r="CC193" s="151"/>
      <c r="CD193" s="151"/>
      <c r="CE193" s="151"/>
      <c r="CF193" s="151"/>
      <c r="CG193" s="151"/>
      <c r="CH193" s="151"/>
      <c r="CI193" s="151"/>
      <c r="CJ193" s="151"/>
      <c r="CK193" s="151"/>
      <c r="CL193" s="151"/>
      <c r="CM193" s="151"/>
      <c r="CN193" s="151"/>
      <c r="CO193" s="151"/>
      <c r="CP193" s="151"/>
    </row>
    <row r="194" spans="1:95" ht="12.75" customHeight="1" x14ac:dyDescent="0.35">
      <c r="A194" s="136"/>
      <c r="D194" s="142" t="s">
        <v>23</v>
      </c>
      <c r="E194" s="151"/>
      <c r="F194" s="151"/>
      <c r="G194" s="151"/>
      <c r="H194" s="151"/>
      <c r="I194" s="151"/>
      <c r="J194" s="151"/>
      <c r="K194" s="151"/>
      <c r="L194" s="151"/>
      <c r="M194" s="151"/>
      <c r="N194" s="151"/>
      <c r="O194" s="151"/>
      <c r="P194" s="151"/>
      <c r="Q194" s="151"/>
      <c r="R194" s="151"/>
      <c r="S194" s="151"/>
      <c r="T194" s="151"/>
      <c r="U194" s="151"/>
      <c r="V194" s="151"/>
      <c r="W194" s="151"/>
      <c r="X194" s="151"/>
      <c r="Y194" s="151"/>
      <c r="Z194" s="151"/>
      <c r="AA194" s="151"/>
      <c r="AB194" s="151"/>
      <c r="AC194" s="151"/>
      <c r="AD194" s="151"/>
      <c r="AE194" s="151"/>
      <c r="AF194" s="151"/>
      <c r="AG194" s="151"/>
      <c r="AH194" s="151"/>
      <c r="AI194" s="151"/>
      <c r="AJ194" s="151"/>
      <c r="AK194" s="151"/>
      <c r="AL194" s="151"/>
      <c r="AM194" s="151"/>
      <c r="AN194" s="151"/>
      <c r="AO194" s="151"/>
      <c r="AP194" s="151"/>
      <c r="AQ194" s="151"/>
      <c r="AR194" s="151"/>
      <c r="AS194" s="151"/>
      <c r="AT194" s="151"/>
      <c r="AU194" s="151"/>
      <c r="AV194" s="151"/>
      <c r="AW194" s="151"/>
      <c r="AX194" s="151"/>
      <c r="AY194" s="151"/>
      <c r="AZ194" s="151"/>
      <c r="BA194" s="151"/>
      <c r="BB194" s="151"/>
      <c r="BC194" s="151"/>
      <c r="BD194" s="151"/>
      <c r="BE194" s="151"/>
      <c r="BF194" s="151"/>
      <c r="BG194" s="151"/>
      <c r="BH194" s="151"/>
      <c r="BI194" s="151"/>
      <c r="BJ194" s="151"/>
      <c r="BK194" s="151"/>
      <c r="BL194" s="151"/>
      <c r="BM194" s="151"/>
      <c r="BN194" s="151"/>
      <c r="BO194" s="151"/>
      <c r="BP194" s="151"/>
      <c r="BQ194" s="151"/>
      <c r="BR194" s="1802"/>
      <c r="BS194" s="153">
        <v>1</v>
      </c>
      <c r="BT194" s="1802"/>
      <c r="BU194" s="153"/>
      <c r="BV194" s="138" t="s">
        <v>23</v>
      </c>
      <c r="BW194" s="151"/>
      <c r="BX194" s="151"/>
      <c r="BY194" s="151"/>
      <c r="BZ194" s="151"/>
      <c r="CA194" s="151"/>
      <c r="CB194" s="151"/>
      <c r="CC194" s="151"/>
      <c r="CD194" s="151"/>
      <c r="CE194" s="151"/>
      <c r="CF194" s="151"/>
      <c r="CG194" s="151"/>
      <c r="CH194" s="151"/>
      <c r="CI194" s="151"/>
      <c r="CJ194" s="151"/>
      <c r="CK194" s="151"/>
      <c r="CL194" s="151"/>
      <c r="CM194" s="151"/>
      <c r="CN194" s="151"/>
      <c r="CO194" s="151"/>
      <c r="CP194" s="151"/>
    </row>
    <row r="195" spans="1:95" ht="12.75" customHeight="1" x14ac:dyDescent="0.35">
      <c r="A195" s="136"/>
      <c r="D195" s="152" t="s">
        <v>334</v>
      </c>
      <c r="E195" s="151">
        <f>Calcs!CG334</f>
        <v>0</v>
      </c>
      <c r="F195" s="151">
        <f>Calcs!CH334</f>
        <v>0</v>
      </c>
      <c r="G195" s="151">
        <f>Calcs!CI334</f>
        <v>0</v>
      </c>
      <c r="H195" s="151">
        <f>Calcs!CJ334</f>
        <v>0</v>
      </c>
      <c r="I195" s="151">
        <f>Calcs!CK334</f>
        <v>0</v>
      </c>
      <c r="J195" s="151">
        <f>Calcs!CL334</f>
        <v>0</v>
      </c>
      <c r="K195" s="151">
        <f>Calcs!CM334</f>
        <v>0</v>
      </c>
      <c r="L195" s="151">
        <f>Calcs!CN334</f>
        <v>0</v>
      </c>
      <c r="M195" s="151">
        <f>Calcs!CO334</f>
        <v>0</v>
      </c>
      <c r="N195" s="151">
        <f>Calcs!CP334</f>
        <v>0</v>
      </c>
      <c r="O195" s="151">
        <f>Calcs!CQ334</f>
        <v>0</v>
      </c>
      <c r="P195" s="151">
        <f>Calcs!CR334</f>
        <v>0</v>
      </c>
      <c r="Q195" s="151">
        <f>P195</f>
        <v>0</v>
      </c>
      <c r="R195" s="151">
        <f>Calcs!CS334</f>
        <v>0</v>
      </c>
      <c r="S195" s="151">
        <f>Calcs!CT334</f>
        <v>0</v>
      </c>
      <c r="T195" s="151">
        <f>Calcs!CU334</f>
        <v>0</v>
      </c>
      <c r="U195" s="151">
        <f>Calcs!CV334</f>
        <v>0</v>
      </c>
      <c r="V195" s="151">
        <f>Calcs!CW334</f>
        <v>0</v>
      </c>
      <c r="W195" s="151">
        <f>Calcs!CX334</f>
        <v>0</v>
      </c>
      <c r="X195" s="151">
        <f>Calcs!CY334</f>
        <v>0</v>
      </c>
      <c r="Y195" s="151">
        <f>Calcs!CZ334</f>
        <v>0</v>
      </c>
      <c r="Z195" s="151">
        <f>Calcs!DA334</f>
        <v>0</v>
      </c>
      <c r="AA195" s="151">
        <f>Calcs!DB334</f>
        <v>0</v>
      </c>
      <c r="AB195" s="151">
        <f>Calcs!DC334</f>
        <v>0</v>
      </c>
      <c r="AC195" s="151">
        <f>Calcs!DD334</f>
        <v>0</v>
      </c>
      <c r="AD195" s="151">
        <f>AC195</f>
        <v>0</v>
      </c>
      <c r="AE195" s="151">
        <f>Calcs!DE334</f>
        <v>0</v>
      </c>
      <c r="AF195" s="151">
        <f>Calcs!DF334</f>
        <v>0</v>
      </c>
      <c r="AG195" s="151">
        <f>Calcs!DG334</f>
        <v>0</v>
      </c>
      <c r="AH195" s="151">
        <f>Calcs!DH334</f>
        <v>0</v>
      </c>
      <c r="AI195" s="151">
        <f>Calcs!DI334</f>
        <v>0</v>
      </c>
      <c r="AJ195" s="151">
        <f>Calcs!DJ334</f>
        <v>0</v>
      </c>
      <c r="AK195" s="151">
        <f>Calcs!DK334</f>
        <v>0</v>
      </c>
      <c r="AL195" s="151">
        <f>Calcs!DL334</f>
        <v>0</v>
      </c>
      <c r="AM195" s="151">
        <f>Calcs!DM334</f>
        <v>0</v>
      </c>
      <c r="AN195" s="151">
        <f>Calcs!DN334</f>
        <v>0</v>
      </c>
      <c r="AO195" s="151">
        <f>Calcs!DO334</f>
        <v>0</v>
      </c>
      <c r="AP195" s="151">
        <f>Calcs!DP334</f>
        <v>0</v>
      </c>
      <c r="AQ195" s="151">
        <f>AP195</f>
        <v>0</v>
      </c>
      <c r="AR195" s="151">
        <f>Calcs!DQ334</f>
        <v>0</v>
      </c>
      <c r="AS195" s="151">
        <f>Calcs!DR334</f>
        <v>0</v>
      </c>
      <c r="AT195" s="151">
        <f>Calcs!DS334</f>
        <v>0</v>
      </c>
      <c r="AU195" s="151">
        <f>Calcs!DT334</f>
        <v>0</v>
      </c>
      <c r="AV195" s="151">
        <f>Calcs!DU334</f>
        <v>0</v>
      </c>
      <c r="AW195" s="151">
        <f>Calcs!DV334</f>
        <v>0</v>
      </c>
      <c r="AX195" s="151">
        <f>Calcs!DW334</f>
        <v>0</v>
      </c>
      <c r="AY195" s="151">
        <f>Calcs!DX334</f>
        <v>0</v>
      </c>
      <c r="AZ195" s="151">
        <f>Calcs!DY334</f>
        <v>0</v>
      </c>
      <c r="BA195" s="151">
        <f>Calcs!DZ334</f>
        <v>0</v>
      </c>
      <c r="BB195" s="151">
        <f>Calcs!EA334</f>
        <v>0</v>
      </c>
      <c r="BC195" s="151">
        <f>Calcs!EB334</f>
        <v>0</v>
      </c>
      <c r="BD195" s="151">
        <f>BC195</f>
        <v>0</v>
      </c>
      <c r="BE195" s="151">
        <f>Calcs!EC334</f>
        <v>0</v>
      </c>
      <c r="BF195" s="151">
        <f>Calcs!ED334</f>
        <v>0</v>
      </c>
      <c r="BG195" s="151">
        <f>Calcs!EE334</f>
        <v>0</v>
      </c>
      <c r="BH195" s="151">
        <f>Calcs!EF334</f>
        <v>0</v>
      </c>
      <c r="BI195" s="151">
        <f>Calcs!EG334</f>
        <v>0</v>
      </c>
      <c r="BJ195" s="151">
        <f>Calcs!EH334</f>
        <v>0</v>
      </c>
      <c r="BK195" s="151">
        <f>Calcs!EI334</f>
        <v>0</v>
      </c>
      <c r="BL195" s="151">
        <f>Calcs!EJ334</f>
        <v>0</v>
      </c>
      <c r="BM195" s="151">
        <f>Calcs!EK334</f>
        <v>0</v>
      </c>
      <c r="BN195" s="151">
        <f>Calcs!EL334</f>
        <v>0</v>
      </c>
      <c r="BO195" s="151">
        <f>Calcs!EM334</f>
        <v>0</v>
      </c>
      <c r="BP195" s="151">
        <f>Calcs!EN334</f>
        <v>0</v>
      </c>
      <c r="BQ195" s="151">
        <f>BP195</f>
        <v>0</v>
      </c>
      <c r="BR195" s="1802"/>
      <c r="BS195" s="153">
        <v>1</v>
      </c>
      <c r="BT195" s="1802"/>
      <c r="BU195" s="153">
        <f>BP195</f>
      </c>
      <c r="BV195" s="158" t="s">
        <v>334</v>
      </c>
      <c r="BW195" s="151">
        <f>Financials!G195</f>
        <v>0</v>
      </c>
      <c r="BX195" s="151">
        <f>Financials!J195</f>
        <v>0</v>
      </c>
      <c r="BY195" s="151">
        <f>Financials!M195</f>
        <v>0</v>
      </c>
      <c r="BZ195" s="151">
        <f>Financials!P195</f>
        <v>0</v>
      </c>
      <c r="CA195" s="151">
        <f>Financials!T195</f>
        <v>0</v>
      </c>
      <c r="CB195" s="151">
        <f>Financials!W195</f>
        <v>0</v>
      </c>
      <c r="CC195" s="151">
        <f>Financials!Z195</f>
        <v>0</v>
      </c>
      <c r="CD195" s="151">
        <f>Financials!AC195</f>
        <v>0</v>
      </c>
      <c r="CE195" s="151">
        <f>Financials!AG195</f>
        <v>0</v>
      </c>
      <c r="CF195" s="151">
        <f>Financials!AJ195</f>
        <v>0</v>
      </c>
      <c r="CG195" s="151">
        <f>Financials!AM195</f>
        <v>0</v>
      </c>
      <c r="CH195" s="151">
        <f>Financials!AP195</f>
        <v>0</v>
      </c>
      <c r="CI195" s="151">
        <f>Financials!AT195</f>
        <v>0</v>
      </c>
      <c r="CJ195" s="151">
        <f>Financials!AW195</f>
        <v>0</v>
      </c>
      <c r="CK195" s="151">
        <f>Financials!AZ195</f>
        <v>0</v>
      </c>
      <c r="CL195" s="151">
        <f>Financials!BC195</f>
        <v>0</v>
      </c>
      <c r="CM195" s="151">
        <f>Financials!BG195</f>
        <v>0</v>
      </c>
      <c r="CN195" s="151">
        <f>Financials!BJ195</f>
        <v>0</v>
      </c>
      <c r="CO195" s="151">
        <f>Financials!BM195</f>
        <v>0</v>
      </c>
      <c r="CP195" s="151">
        <f>Financials!BP195</f>
        <v>0</v>
      </c>
    </row>
    <row r="196" spans="1:95" ht="12.75" customHeight="1" x14ac:dyDescent="0.35">
      <c r="A196" s="136"/>
      <c r="D196" s="152" t="s">
        <v>335</v>
      </c>
      <c r="E196" s="151">
        <f>Calcs!CG335</f>
        <v>0</v>
      </c>
      <c r="F196" s="151">
        <f>Calcs!CH335</f>
        <v>0</v>
      </c>
      <c r="G196" s="151">
        <f>Calcs!CI335</f>
        <v>0</v>
      </c>
      <c r="H196" s="151">
        <f>Calcs!CJ335</f>
        <v>0</v>
      </c>
      <c r="I196" s="151">
        <f>Calcs!CK335</f>
        <v>0</v>
      </c>
      <c r="J196" s="151">
        <f>Calcs!CL335</f>
        <v>0</v>
      </c>
      <c r="K196" s="151">
        <f>Calcs!CM335</f>
        <v>0</v>
      </c>
      <c r="L196" s="151">
        <f>Calcs!CN335</f>
        <v>0</v>
      </c>
      <c r="M196" s="151">
        <f>Calcs!CO335</f>
        <v>0</v>
      </c>
      <c r="N196" s="151">
        <f>Calcs!CP335</f>
        <v>0</v>
      </c>
      <c r="O196" s="151">
        <f>Calcs!CQ335</f>
        <v>0</v>
      </c>
      <c r="P196" s="151">
        <f>Calcs!CR335</f>
        <v>0</v>
      </c>
      <c r="Q196" s="151">
        <f>P196</f>
        <v>0</v>
      </c>
      <c r="R196" s="151">
        <f>Calcs!CS335</f>
        <v>0</v>
      </c>
      <c r="S196" s="151">
        <f>Calcs!CT335</f>
        <v>0</v>
      </c>
      <c r="T196" s="151">
        <f>Calcs!CU335</f>
        <v>0</v>
      </c>
      <c r="U196" s="151">
        <f>Calcs!CV335</f>
        <v>0</v>
      </c>
      <c r="V196" s="151">
        <f>Calcs!CW335</f>
        <v>0</v>
      </c>
      <c r="W196" s="151">
        <f>Calcs!CX335</f>
        <v>0</v>
      </c>
      <c r="X196" s="151">
        <f>Calcs!CY335</f>
        <v>0</v>
      </c>
      <c r="Y196" s="151">
        <f>Calcs!CZ335</f>
        <v>0</v>
      </c>
      <c r="Z196" s="151">
        <f>Calcs!DA335</f>
        <v>0</v>
      </c>
      <c r="AA196" s="151">
        <f>Calcs!DB335</f>
        <v>0</v>
      </c>
      <c r="AB196" s="151">
        <f>Calcs!DC335</f>
        <v>0</v>
      </c>
      <c r="AC196" s="151">
        <f>Calcs!DD335</f>
        <v>0</v>
      </c>
      <c r="AD196" s="151">
        <f>AC196</f>
        <v>0</v>
      </c>
      <c r="AE196" s="151">
        <f>Calcs!DE335</f>
        <v>0</v>
      </c>
      <c r="AF196" s="151">
        <f>Calcs!DF335</f>
        <v>0</v>
      </c>
      <c r="AG196" s="151">
        <f>Calcs!DG335</f>
        <v>0</v>
      </c>
      <c r="AH196" s="151">
        <f>Calcs!DH335</f>
        <v>0</v>
      </c>
      <c r="AI196" s="151">
        <f>Calcs!DI335</f>
        <v>0</v>
      </c>
      <c r="AJ196" s="151">
        <f>Calcs!DJ335</f>
        <v>0</v>
      </c>
      <c r="AK196" s="151">
        <f>Calcs!DK335</f>
        <v>0</v>
      </c>
      <c r="AL196" s="151">
        <f>Calcs!DL335</f>
        <v>0</v>
      </c>
      <c r="AM196" s="151">
        <f>Calcs!DM335</f>
        <v>0</v>
      </c>
      <c r="AN196" s="151">
        <f>Calcs!DN335</f>
        <v>0</v>
      </c>
      <c r="AO196" s="151">
        <f>Calcs!DO335</f>
        <v>0</v>
      </c>
      <c r="AP196" s="151">
        <f>Calcs!DP335</f>
        <v>0</v>
      </c>
      <c r="AQ196" s="151">
        <f>AP196</f>
        <v>0</v>
      </c>
      <c r="AR196" s="151">
        <f>Calcs!DQ335</f>
        <v>0</v>
      </c>
      <c r="AS196" s="151">
        <f>Calcs!DR335</f>
        <v>0</v>
      </c>
      <c r="AT196" s="151">
        <f>Calcs!DS335</f>
        <v>0</v>
      </c>
      <c r="AU196" s="151">
        <f>Calcs!DT335</f>
        <v>0</v>
      </c>
      <c r="AV196" s="151">
        <f>Calcs!DU335</f>
        <v>0</v>
      </c>
      <c r="AW196" s="151">
        <f>Calcs!DV335</f>
        <v>0</v>
      </c>
      <c r="AX196" s="151">
        <f>Calcs!DW335</f>
        <v>0</v>
      </c>
      <c r="AY196" s="151">
        <f>Calcs!DX335</f>
        <v>0</v>
      </c>
      <c r="AZ196" s="151">
        <f>Calcs!DY335</f>
        <v>0</v>
      </c>
      <c r="BA196" s="151">
        <f>Calcs!DZ335</f>
        <v>0</v>
      </c>
      <c r="BB196" s="151">
        <f>Calcs!EA335</f>
        <v>0</v>
      </c>
      <c r="BC196" s="151">
        <f>Calcs!EB335</f>
        <v>0</v>
      </c>
      <c r="BD196" s="151">
        <f>BC196</f>
        <v>0</v>
      </c>
      <c r="BE196" s="151">
        <f>Calcs!EC335</f>
        <v>0</v>
      </c>
      <c r="BF196" s="151">
        <f>Calcs!ED335</f>
        <v>0</v>
      </c>
      <c r="BG196" s="151">
        <f>Calcs!EE335</f>
        <v>0</v>
      </c>
      <c r="BH196" s="151">
        <f>Calcs!EF335</f>
        <v>0</v>
      </c>
      <c r="BI196" s="151">
        <f>Calcs!EG335</f>
        <v>0</v>
      </c>
      <c r="BJ196" s="151">
        <f>Calcs!EH335</f>
        <v>0</v>
      </c>
      <c r="BK196" s="151">
        <f>Calcs!EI335</f>
        <v>0</v>
      </c>
      <c r="BL196" s="151">
        <f>Calcs!EJ335</f>
        <v>0</v>
      </c>
      <c r="BM196" s="151">
        <f>Calcs!EK335</f>
        <v>0</v>
      </c>
      <c r="BN196" s="151">
        <f>Calcs!EL335</f>
        <v>0</v>
      </c>
      <c r="BO196" s="151">
        <f>Calcs!EM335</f>
        <v>0</v>
      </c>
      <c r="BP196" s="151">
        <f>Calcs!EN335</f>
        <v>0</v>
      </c>
      <c r="BQ196" s="151">
        <f>BP196</f>
        <v>0</v>
      </c>
      <c r="BR196" s="1802"/>
      <c r="BS196" s="153">
        <v>1</v>
      </c>
      <c r="BT196" s="1802"/>
      <c r="BU196" s="153">
        <f>BP196</f>
      </c>
      <c r="BV196" s="158" t="s">
        <v>335</v>
      </c>
      <c r="BW196" s="151">
        <f>Financials!G196</f>
        <v>0</v>
      </c>
      <c r="BX196" s="151">
        <f>Financials!J196</f>
        <v>0</v>
      </c>
      <c r="BY196" s="151">
        <f>Financials!M196</f>
        <v>0</v>
      </c>
      <c r="BZ196" s="151">
        <f>Financials!P196</f>
        <v>0</v>
      </c>
      <c r="CA196" s="151">
        <f>Financials!T196</f>
        <v>0</v>
      </c>
      <c r="CB196" s="151">
        <f>Financials!W196</f>
        <v>0</v>
      </c>
      <c r="CC196" s="151">
        <f>Financials!Z196</f>
        <v>0</v>
      </c>
      <c r="CD196" s="151">
        <f>Financials!AC196</f>
        <v>0</v>
      </c>
      <c r="CE196" s="151">
        <f>Financials!AG196</f>
        <v>0</v>
      </c>
      <c r="CF196" s="151">
        <f>Financials!AJ196</f>
        <v>0</v>
      </c>
      <c r="CG196" s="151">
        <f>Financials!AM196</f>
        <v>0</v>
      </c>
      <c r="CH196" s="151">
        <f>Financials!AP196</f>
        <v>0</v>
      </c>
      <c r="CI196" s="151">
        <f>Financials!AT196</f>
        <v>0</v>
      </c>
      <c r="CJ196" s="151">
        <f>Financials!AW196</f>
        <v>0</v>
      </c>
      <c r="CK196" s="151">
        <f>Financials!AZ196</f>
        <v>0</v>
      </c>
      <c r="CL196" s="151">
        <f>Financials!BC196</f>
        <v>0</v>
      </c>
      <c r="CM196" s="151">
        <f>Financials!BG196</f>
        <v>0</v>
      </c>
      <c r="CN196" s="151">
        <f>Financials!BJ196</f>
        <v>0</v>
      </c>
      <c r="CO196" s="151">
        <f>Financials!BM196</f>
        <v>0</v>
      </c>
      <c r="CP196" s="151">
        <f>Financials!BP196</f>
        <v>0</v>
      </c>
    </row>
    <row r="197" spans="1:95" ht="12.75" customHeight="1" x14ac:dyDescent="0.35">
      <c r="A197" s="136"/>
      <c r="D197" s="152" t="s">
        <v>336</v>
      </c>
      <c r="E197" s="151">
        <f>Calcs!CG336</f>
        <v>0</v>
      </c>
      <c r="F197" s="151">
        <f>Calcs!CH336</f>
        <v>0</v>
      </c>
      <c r="G197" s="151">
        <f>Calcs!CI336</f>
        <v>0</v>
      </c>
      <c r="H197" s="151">
        <f>Calcs!CJ336</f>
        <v>0</v>
      </c>
      <c r="I197" s="151">
        <f>Calcs!CK336</f>
        <v>0</v>
      </c>
      <c r="J197" s="151">
        <f>Calcs!CL336</f>
        <v>0</v>
      </c>
      <c r="K197" s="151">
        <f>Calcs!CM336</f>
        <v>0</v>
      </c>
      <c r="L197" s="151">
        <f>Calcs!CN336</f>
        <v>0</v>
      </c>
      <c r="M197" s="151">
        <f>Calcs!CO336</f>
        <v>0</v>
      </c>
      <c r="N197" s="151">
        <f>Calcs!CP336</f>
        <v>0</v>
      </c>
      <c r="O197" s="151">
        <f>Calcs!CQ336</f>
        <v>0</v>
      </c>
      <c r="P197" s="151">
        <f>Calcs!CR336</f>
        <v>0</v>
      </c>
      <c r="Q197" s="151">
        <f>P197</f>
        <v>0</v>
      </c>
      <c r="R197" s="151">
        <f>Calcs!CS336</f>
        <v>0</v>
      </c>
      <c r="S197" s="151">
        <f>Calcs!CT336</f>
        <v>0</v>
      </c>
      <c r="T197" s="151">
        <f>Calcs!CU336</f>
        <v>0</v>
      </c>
      <c r="U197" s="151">
        <f>Calcs!CV336</f>
        <v>0</v>
      </c>
      <c r="V197" s="151">
        <f>Calcs!CW336</f>
        <v>0</v>
      </c>
      <c r="W197" s="151">
        <f>Calcs!CX336</f>
        <v>0</v>
      </c>
      <c r="X197" s="151">
        <f>Calcs!CY336</f>
        <v>0</v>
      </c>
      <c r="Y197" s="151">
        <f>Calcs!CZ336</f>
        <v>0</v>
      </c>
      <c r="Z197" s="151">
        <f>Calcs!DA336</f>
        <v>0</v>
      </c>
      <c r="AA197" s="151">
        <f>Calcs!DB336</f>
        <v>0</v>
      </c>
      <c r="AB197" s="151">
        <f>Calcs!DC336</f>
        <v>0</v>
      </c>
      <c r="AC197" s="151">
        <f>Calcs!DD336</f>
        <v>0</v>
      </c>
      <c r="AD197" s="151">
        <f>AC197</f>
        <v>0</v>
      </c>
      <c r="AE197" s="151">
        <f>Calcs!DE336</f>
        <v>0</v>
      </c>
      <c r="AF197" s="151">
        <f>Calcs!DF336</f>
        <v>0</v>
      </c>
      <c r="AG197" s="151">
        <f>Calcs!DG336</f>
        <v>0</v>
      </c>
      <c r="AH197" s="151">
        <f>Calcs!DH336</f>
        <v>0</v>
      </c>
      <c r="AI197" s="151">
        <f>Calcs!DI336</f>
        <v>0</v>
      </c>
      <c r="AJ197" s="151">
        <f>Calcs!DJ336</f>
        <v>0</v>
      </c>
      <c r="AK197" s="151">
        <f>Calcs!DK336</f>
        <v>0</v>
      </c>
      <c r="AL197" s="151">
        <f>Calcs!DL336</f>
        <v>0</v>
      </c>
      <c r="AM197" s="151">
        <f>Calcs!DM336</f>
        <v>0</v>
      </c>
      <c r="AN197" s="151">
        <f>Calcs!DN336</f>
        <v>0</v>
      </c>
      <c r="AO197" s="151">
        <f>Calcs!DO336</f>
        <v>0</v>
      </c>
      <c r="AP197" s="151">
        <f>Calcs!DP336</f>
        <v>0</v>
      </c>
      <c r="AQ197" s="151">
        <f>AP197</f>
        <v>0</v>
      </c>
      <c r="AR197" s="151">
        <f>Calcs!DQ336</f>
        <v>0</v>
      </c>
      <c r="AS197" s="151">
        <f>Calcs!DR336</f>
        <v>0</v>
      </c>
      <c r="AT197" s="151">
        <f>Calcs!DS336</f>
        <v>0</v>
      </c>
      <c r="AU197" s="151">
        <f>Calcs!DT336</f>
        <v>0</v>
      </c>
      <c r="AV197" s="151">
        <f>Calcs!DU336</f>
        <v>0</v>
      </c>
      <c r="AW197" s="151">
        <f>Calcs!DV336</f>
        <v>0</v>
      </c>
      <c r="AX197" s="151">
        <f>Calcs!DW336</f>
        <v>0</v>
      </c>
      <c r="AY197" s="151">
        <f>Calcs!DX336</f>
        <v>0</v>
      </c>
      <c r="AZ197" s="151">
        <f>Calcs!DY336</f>
        <v>0</v>
      </c>
      <c r="BA197" s="151">
        <f>Calcs!DZ336</f>
        <v>0</v>
      </c>
      <c r="BB197" s="151">
        <f>Calcs!EA336</f>
        <v>0</v>
      </c>
      <c r="BC197" s="151">
        <f>Calcs!EB336</f>
        <v>0</v>
      </c>
      <c r="BD197" s="151">
        <f>BC197</f>
        <v>0</v>
      </c>
      <c r="BE197" s="151">
        <f>Calcs!EC336</f>
        <v>0</v>
      </c>
      <c r="BF197" s="151">
        <f>Calcs!ED336</f>
        <v>0</v>
      </c>
      <c r="BG197" s="151">
        <f>Calcs!EE336</f>
        <v>0</v>
      </c>
      <c r="BH197" s="151">
        <f>Calcs!EF336</f>
        <v>0</v>
      </c>
      <c r="BI197" s="151">
        <f>Calcs!EG336</f>
        <v>0</v>
      </c>
      <c r="BJ197" s="151">
        <f>Calcs!EH336</f>
        <v>0</v>
      </c>
      <c r="BK197" s="151">
        <f>Calcs!EI336</f>
        <v>0</v>
      </c>
      <c r="BL197" s="151">
        <f>Calcs!EJ336</f>
        <v>0</v>
      </c>
      <c r="BM197" s="151">
        <f>Calcs!EK336</f>
        <v>0</v>
      </c>
      <c r="BN197" s="151">
        <f>Calcs!EL336</f>
        <v>0</v>
      </c>
      <c r="BO197" s="151">
        <f>Calcs!EM336</f>
        <v>0</v>
      </c>
      <c r="BP197" s="151">
        <f>Calcs!EN336</f>
        <v>0</v>
      </c>
      <c r="BQ197" s="151">
        <f>BP197</f>
        <v>0</v>
      </c>
      <c r="BR197" s="1802"/>
      <c r="BS197" s="153">
        <v>1</v>
      </c>
      <c r="BT197" s="1802"/>
      <c r="BU197" s="153">
        <f>BP197</f>
      </c>
      <c r="BV197" s="158" t="s">
        <v>336</v>
      </c>
      <c r="BW197" s="151">
        <f>Financials!G197</f>
        <v>0</v>
      </c>
      <c r="BX197" s="151">
        <f>Financials!J197</f>
        <v>0</v>
      </c>
      <c r="BY197" s="151">
        <f>Financials!M197</f>
        <v>0</v>
      </c>
      <c r="BZ197" s="151">
        <f>Financials!P197</f>
        <v>0</v>
      </c>
      <c r="CA197" s="151">
        <f>Financials!T197</f>
        <v>0</v>
      </c>
      <c r="CB197" s="151">
        <f>Financials!W197</f>
        <v>0</v>
      </c>
      <c r="CC197" s="151">
        <f>Financials!Z197</f>
        <v>0</v>
      </c>
      <c r="CD197" s="151">
        <f>Financials!AC197</f>
        <v>0</v>
      </c>
      <c r="CE197" s="151">
        <f>Financials!AG197</f>
        <v>0</v>
      </c>
      <c r="CF197" s="151">
        <f>Financials!AJ197</f>
        <v>0</v>
      </c>
      <c r="CG197" s="151">
        <f>Financials!AM197</f>
        <v>0</v>
      </c>
      <c r="CH197" s="151">
        <f>Financials!AP197</f>
        <v>0</v>
      </c>
      <c r="CI197" s="151">
        <f>Financials!AT197</f>
        <v>0</v>
      </c>
      <c r="CJ197" s="151">
        <f>Financials!AW197</f>
        <v>0</v>
      </c>
      <c r="CK197" s="151">
        <f>Financials!AZ197</f>
        <v>0</v>
      </c>
      <c r="CL197" s="151">
        <f>Financials!BC197</f>
        <v>0</v>
      </c>
      <c r="CM197" s="151">
        <f>Financials!BG197</f>
        <v>0</v>
      </c>
      <c r="CN197" s="151">
        <f>Financials!BJ197</f>
        <v>0</v>
      </c>
      <c r="CO197" s="151">
        <f>Financials!BM197</f>
        <v>0</v>
      </c>
      <c r="CP197" s="151">
        <f>Financials!BP197</f>
        <v>0</v>
      </c>
    </row>
    <row r="198" spans="1:95" ht="12.75" customHeight="1" x14ac:dyDescent="0.35">
      <c r="A198" s="136"/>
      <c r="D198" s="152" t="s">
        <v>337</v>
      </c>
      <c r="E198" s="151">
        <f>-Calcs!CG338</f>
        <v>0</v>
      </c>
      <c r="F198" s="151">
        <f>-Calcs!CH338</f>
        <v>0</v>
      </c>
      <c r="G198" s="151">
        <f>-Calcs!CI338</f>
        <v>0</v>
      </c>
      <c r="H198" s="151">
        <f>-Calcs!CJ338</f>
        <v>0</v>
      </c>
      <c r="I198" s="151">
        <f>-Calcs!CK338</f>
        <v>0</v>
      </c>
      <c r="J198" s="151">
        <f>-Calcs!CL338</f>
        <v>0</v>
      </c>
      <c r="K198" s="151">
        <f>-Calcs!CM338</f>
        <v>0</v>
      </c>
      <c r="L198" s="151">
        <f>-Calcs!CN338</f>
        <v>0</v>
      </c>
      <c r="M198" s="151">
        <f>-Calcs!CO338</f>
        <v>0</v>
      </c>
      <c r="N198" s="151">
        <f>-Calcs!CP338</f>
        <v>0</v>
      </c>
      <c r="O198" s="151">
        <f>-Calcs!CQ338</f>
        <v>0</v>
      </c>
      <c r="P198" s="151">
        <f>-Calcs!CR338</f>
        <v>0</v>
      </c>
      <c r="Q198" s="151">
        <f>P198</f>
        <v>0</v>
      </c>
      <c r="R198" s="151">
        <f>-Calcs!CS338</f>
        <v>0</v>
      </c>
      <c r="S198" s="151">
        <f>-Calcs!CT338</f>
        <v>0</v>
      </c>
      <c r="T198" s="151">
        <f>-Calcs!CU338</f>
        <v>0</v>
      </c>
      <c r="U198" s="151">
        <f>-Calcs!CV338</f>
        <v>0</v>
      </c>
      <c r="V198" s="151">
        <f>-Calcs!CW338</f>
        <v>0</v>
      </c>
      <c r="W198" s="151">
        <f>-Calcs!CX338</f>
        <v>0</v>
      </c>
      <c r="X198" s="151">
        <f>-Calcs!CY338</f>
        <v>0</v>
      </c>
      <c r="Y198" s="151">
        <f>-Calcs!CZ338</f>
        <v>0</v>
      </c>
      <c r="Z198" s="151">
        <f>-Calcs!DA338</f>
        <v>0</v>
      </c>
      <c r="AA198" s="151">
        <f>-Calcs!DB338</f>
        <v>0</v>
      </c>
      <c r="AB198" s="151">
        <f>-Calcs!DC338</f>
        <v>0</v>
      </c>
      <c r="AC198" s="151">
        <f>-Calcs!DD338</f>
        <v>0</v>
      </c>
      <c r="AD198" s="151">
        <f>AC198</f>
        <v>0</v>
      </c>
      <c r="AE198" s="151">
        <f>-Calcs!DE338</f>
        <v>0</v>
      </c>
      <c r="AF198" s="151">
        <f>-Calcs!DF338</f>
        <v>0</v>
      </c>
      <c r="AG198" s="151">
        <f>-Calcs!DG338</f>
        <v>0</v>
      </c>
      <c r="AH198" s="151">
        <f>-Calcs!DH338</f>
        <v>0</v>
      </c>
      <c r="AI198" s="151">
        <f>-Calcs!DI338</f>
        <v>0</v>
      </c>
      <c r="AJ198" s="151">
        <f>-Calcs!DJ338</f>
        <v>0</v>
      </c>
      <c r="AK198" s="151">
        <f>-Calcs!DK338</f>
        <v>0</v>
      </c>
      <c r="AL198" s="151">
        <f>-Calcs!DL338</f>
        <v>0</v>
      </c>
      <c r="AM198" s="151">
        <f>-Calcs!DM338</f>
        <v>0</v>
      </c>
      <c r="AN198" s="151">
        <f>-Calcs!DN338</f>
        <v>0</v>
      </c>
      <c r="AO198" s="151">
        <f>-Calcs!DO338</f>
        <v>0</v>
      </c>
      <c r="AP198" s="151">
        <f>-Calcs!DP338</f>
        <v>0</v>
      </c>
      <c r="AQ198" s="151">
        <f>AP198</f>
        <v>0</v>
      </c>
      <c r="AR198" s="151">
        <f>-Calcs!DQ338</f>
        <v>0</v>
      </c>
      <c r="AS198" s="151">
        <f>-Calcs!DR338</f>
        <v>0</v>
      </c>
      <c r="AT198" s="151">
        <f>-Calcs!DS338</f>
        <v>0</v>
      </c>
      <c r="AU198" s="151">
        <f>-Calcs!DT338</f>
        <v>0</v>
      </c>
      <c r="AV198" s="151">
        <f>-Calcs!DU338</f>
        <v>0</v>
      </c>
      <c r="AW198" s="151">
        <f>-Calcs!DV338</f>
        <v>0</v>
      </c>
      <c r="AX198" s="151">
        <f>-Calcs!DW338</f>
        <v>0</v>
      </c>
      <c r="AY198" s="151">
        <f>-Calcs!DX338</f>
        <v>0</v>
      </c>
      <c r="AZ198" s="151">
        <f>-Calcs!DY338</f>
        <v>0</v>
      </c>
      <c r="BA198" s="151">
        <f>-Calcs!DZ338</f>
        <v>0</v>
      </c>
      <c r="BB198" s="151">
        <f>-Calcs!EA338</f>
        <v>0</v>
      </c>
      <c r="BC198" s="151">
        <f>-Calcs!EB338</f>
        <v>0</v>
      </c>
      <c r="BD198" s="151">
        <f>BC198</f>
        <v>0</v>
      </c>
      <c r="BE198" s="151">
        <f>-Calcs!EC338</f>
        <v>0</v>
      </c>
      <c r="BF198" s="151">
        <f>-Calcs!ED338</f>
        <v>0</v>
      </c>
      <c r="BG198" s="151">
        <f>-Calcs!EE338</f>
        <v>0</v>
      </c>
      <c r="BH198" s="151">
        <f>-Calcs!EF338</f>
        <v>0</v>
      </c>
      <c r="BI198" s="151">
        <f>-Calcs!EG338</f>
        <v>0</v>
      </c>
      <c r="BJ198" s="151">
        <f>-Calcs!EH338</f>
        <v>0</v>
      </c>
      <c r="BK198" s="151">
        <f>-Calcs!EI338</f>
        <v>0</v>
      </c>
      <c r="BL198" s="151">
        <f>-Calcs!EJ338</f>
        <v>0</v>
      </c>
      <c r="BM198" s="151">
        <f>-Calcs!EK338</f>
        <v>0</v>
      </c>
      <c r="BN198" s="151">
        <f>-Calcs!EL338</f>
        <v>0</v>
      </c>
      <c r="BO198" s="151">
        <f>-Calcs!EM338</f>
        <v>0</v>
      </c>
      <c r="BP198" s="151">
        <f>-Calcs!EN338</f>
        <v>0</v>
      </c>
      <c r="BQ198" s="151">
        <f>BP198</f>
        <v>0</v>
      </c>
      <c r="BR198" s="1802"/>
      <c r="BS198" s="153">
        <v>1</v>
      </c>
      <c r="BT198" s="1802"/>
      <c r="BU198" s="153">
        <f>BP198</f>
      </c>
      <c r="BV198" s="158" t="s">
        <v>337</v>
      </c>
      <c r="BW198" s="151">
        <f>Financials!G198</f>
        <v>0</v>
      </c>
      <c r="BX198" s="151">
        <f>Financials!J198</f>
        <v>0</v>
      </c>
      <c r="BY198" s="151">
        <f>Financials!M198</f>
        <v>0</v>
      </c>
      <c r="BZ198" s="151">
        <f>Financials!P198</f>
        <v>0</v>
      </c>
      <c r="CA198" s="151">
        <f>Financials!T198</f>
        <v>0</v>
      </c>
      <c r="CB198" s="151">
        <f>Financials!W198</f>
        <v>0</v>
      </c>
      <c r="CC198" s="151">
        <f>Financials!Z198</f>
        <v>0</v>
      </c>
      <c r="CD198" s="151">
        <f>Financials!AC198</f>
        <v>0</v>
      </c>
      <c r="CE198" s="151">
        <f>Financials!AG198</f>
        <v>0</v>
      </c>
      <c r="CF198" s="151">
        <f>Financials!AJ198</f>
        <v>0</v>
      </c>
      <c r="CG198" s="151">
        <f>Financials!AM198</f>
        <v>0</v>
      </c>
      <c r="CH198" s="151">
        <f>Financials!AP198</f>
        <v>0</v>
      </c>
      <c r="CI198" s="151">
        <f>Financials!AT198</f>
        <v>0</v>
      </c>
      <c r="CJ198" s="151">
        <f>Financials!AW198</f>
        <v>0</v>
      </c>
      <c r="CK198" s="151">
        <f>Financials!AZ198</f>
        <v>0</v>
      </c>
      <c r="CL198" s="151">
        <f>Financials!BC198</f>
        <v>0</v>
      </c>
      <c r="CM198" s="151">
        <f>Financials!BG198</f>
        <v>0</v>
      </c>
      <c r="CN198" s="151">
        <f>Financials!BJ198</f>
        <v>0</v>
      </c>
      <c r="CO198" s="151">
        <f>Financials!BM198</f>
        <v>0</v>
      </c>
      <c r="CP198" s="151">
        <f>Financials!BP198</f>
        <v>0</v>
      </c>
    </row>
    <row r="199" spans="1:95" ht="12.75" customHeight="1" x14ac:dyDescent="0.35">
      <c r="A199" s="136"/>
      <c r="D199" s="142" t="s">
        <v>338</v>
      </c>
      <c r="E199" s="183">
        <f>SUM(E195:E198)</f>
        <v>0</v>
      </c>
      <c r="F199" s="183">
        <f>SUM(F195:F198)</f>
        <v>0</v>
      </c>
      <c r="G199" s="183">
        <f>SUM(G195:G198)</f>
        <v>0</v>
      </c>
      <c r="H199" s="183">
        <f>SUM(H195:H198)</f>
        <v>0</v>
      </c>
      <c r="I199" s="183">
        <f>SUM(I195:I198)</f>
        <v>0</v>
      </c>
      <c r="J199" s="183">
        <f>SUM(J195:J198)</f>
        <v>0</v>
      </c>
      <c r="K199" s="183">
        <f>SUM(K195:K198)</f>
        <v>0</v>
      </c>
      <c r="L199" s="183">
        <f>SUM(L195:L198)</f>
        <v>0</v>
      </c>
      <c r="M199" s="183">
        <f>SUM(M195:M198)</f>
        <v>0</v>
      </c>
      <c r="N199" s="183">
        <f>SUM(N195:N198)</f>
        <v>0</v>
      </c>
      <c r="O199" s="183">
        <f>SUM(O195:O198)</f>
        <v>0</v>
      </c>
      <c r="P199" s="183">
        <f>SUM(P195:P198)</f>
        <v>0</v>
      </c>
      <c r="Q199" s="183">
        <f>SUM(Q195:Q198)</f>
        <v>0</v>
      </c>
      <c r="R199" s="183">
        <f>SUM(R195:R198)</f>
        <v>0</v>
      </c>
      <c r="S199" s="183">
        <f>SUM(S195:S198)</f>
        <v>0</v>
      </c>
      <c r="T199" s="183">
        <f>SUM(T195:T198)</f>
        <v>0</v>
      </c>
      <c r="U199" s="183">
        <f>SUM(U195:U198)</f>
        <v>0</v>
      </c>
      <c r="V199" s="183">
        <f>SUM(V195:V198)</f>
        <v>0</v>
      </c>
      <c r="W199" s="183">
        <f>SUM(W195:W198)</f>
        <v>0</v>
      </c>
      <c r="X199" s="183">
        <f>SUM(X195:X198)</f>
        <v>0</v>
      </c>
      <c r="Y199" s="183">
        <f>SUM(Y195:Y198)</f>
        <v>0</v>
      </c>
      <c r="Z199" s="183">
        <f>SUM(Z195:Z198)</f>
        <v>0</v>
      </c>
      <c r="AA199" s="183">
        <f>SUM(AA195:AA198)</f>
        <v>0</v>
      </c>
      <c r="AB199" s="183">
        <f>SUM(AB195:AB198)</f>
        <v>0</v>
      </c>
      <c r="AC199" s="183">
        <f>SUM(AC195:AC198)</f>
        <v>0</v>
      </c>
      <c r="AD199" s="183">
        <f>SUM(AD195:AD198)</f>
        <v>0</v>
      </c>
      <c r="AE199" s="183">
        <f>SUM(AE195:AE198)</f>
        <v>0</v>
      </c>
      <c r="AF199" s="183">
        <f>SUM(AF195:AF198)</f>
        <v>0</v>
      </c>
      <c r="AG199" s="183">
        <f>SUM(AG195:AG198)</f>
        <v>0</v>
      </c>
      <c r="AH199" s="183">
        <f>SUM(AH195:AH198)</f>
        <v>0</v>
      </c>
      <c r="AI199" s="183">
        <f>SUM(AI195:AI198)</f>
        <v>0</v>
      </c>
      <c r="AJ199" s="183">
        <f>SUM(AJ195:AJ198)</f>
        <v>0</v>
      </c>
      <c r="AK199" s="183">
        <f>SUM(AK195:AK198)</f>
        <v>0</v>
      </c>
      <c r="AL199" s="183">
        <f>SUM(AL195:AL198)</f>
        <v>0</v>
      </c>
      <c r="AM199" s="183">
        <f>SUM(AM195:AM198)</f>
        <v>0</v>
      </c>
      <c r="AN199" s="183">
        <f>SUM(AN195:AN198)</f>
        <v>0</v>
      </c>
      <c r="AO199" s="183">
        <f>SUM(AO195:AO198)</f>
        <v>0</v>
      </c>
      <c r="AP199" s="183">
        <f>SUM(AP195:AP198)</f>
        <v>0</v>
      </c>
      <c r="AQ199" s="183">
        <f>SUM(AQ195:AQ198)</f>
        <v>0</v>
      </c>
      <c r="AR199" s="183">
        <f>SUM(AR195:AR198)</f>
        <v>0</v>
      </c>
      <c r="AS199" s="183">
        <f>SUM(AS195:AS198)</f>
        <v>0</v>
      </c>
      <c r="AT199" s="183">
        <f>SUM(AT195:AT198)</f>
        <v>0</v>
      </c>
      <c r="AU199" s="183">
        <f>SUM(AU195:AU198)</f>
        <v>0</v>
      </c>
      <c r="AV199" s="183">
        <f>SUM(AV195:AV198)</f>
        <v>0</v>
      </c>
      <c r="AW199" s="183">
        <f>SUM(AW195:AW198)</f>
        <v>0</v>
      </c>
      <c r="AX199" s="183">
        <f>SUM(AX195:AX198)</f>
        <v>0</v>
      </c>
      <c r="AY199" s="183">
        <f>SUM(AY195:AY198)</f>
        <v>0</v>
      </c>
      <c r="AZ199" s="183">
        <f>SUM(AZ195:AZ198)</f>
        <v>0</v>
      </c>
      <c r="BA199" s="183">
        <f>SUM(BA195:BA198)</f>
        <v>0</v>
      </c>
      <c r="BB199" s="183">
        <f>SUM(BB195:BB198)</f>
        <v>0</v>
      </c>
      <c r="BC199" s="183">
        <f>SUM(BC195:BC198)</f>
        <v>0</v>
      </c>
      <c r="BD199" s="183">
        <f>SUM(BD195:BD198)</f>
        <v>0</v>
      </c>
      <c r="BE199" s="183">
        <f>SUM(BE195:BE198)</f>
        <v>0</v>
      </c>
      <c r="BF199" s="183">
        <f>SUM(BF195:BF198)</f>
        <v>0</v>
      </c>
      <c r="BG199" s="183">
        <f>SUM(BG195:BG198)</f>
        <v>0</v>
      </c>
      <c r="BH199" s="183">
        <f>SUM(BH195:BH198)</f>
        <v>0</v>
      </c>
      <c r="BI199" s="183">
        <f>SUM(BI195:BI198)</f>
        <v>0</v>
      </c>
      <c r="BJ199" s="183">
        <f>SUM(BJ195:BJ198)</f>
        <v>0</v>
      </c>
      <c r="BK199" s="183">
        <f>SUM(BK195:BK198)</f>
        <v>0</v>
      </c>
      <c r="BL199" s="183">
        <f>SUM(BL195:BL198)</f>
        <v>0</v>
      </c>
      <c r="BM199" s="183">
        <f>SUM(BM195:BM198)</f>
        <v>0</v>
      </c>
      <c r="BN199" s="183">
        <f>SUM(BN195:BN198)</f>
        <v>0</v>
      </c>
      <c r="BO199" s="183">
        <f>SUM(BO195:BO198)</f>
        <v>0</v>
      </c>
      <c r="BP199" s="183">
        <f>SUM(BP195:BP198)</f>
        <v>0</v>
      </c>
      <c r="BQ199" s="183">
        <f>SUM(BQ195:BQ198)</f>
        <v>0</v>
      </c>
      <c r="BR199" s="257"/>
      <c r="BS199" s="153">
        <v>1</v>
      </c>
      <c r="BT199" s="257"/>
      <c r="BU199" s="156">
        <f>SUM(BU195:BU198)</f>
      </c>
      <c r="BV199" s="138" t="s">
        <v>338</v>
      </c>
      <c r="BW199" s="183">
        <f>SUM(BW195:BW197)-BW198</f>
        <v>0</v>
      </c>
      <c r="BX199" s="183">
        <f>SUM(BX195:BX197)-BX198</f>
        <v>0</v>
      </c>
      <c r="BY199" s="183">
        <f>SUM(BY195:BY197)-BY198</f>
        <v>0</v>
      </c>
      <c r="BZ199" s="183">
        <f>SUM(BZ195:BZ197)-BZ198</f>
        <v>0</v>
      </c>
      <c r="CA199" s="183">
        <f>SUM(CA195:CA197)-CA198</f>
        <v>0</v>
      </c>
      <c r="CB199" s="183">
        <f>SUM(CB195:CB197)-CB198</f>
        <v>0</v>
      </c>
      <c r="CC199" s="183">
        <f>SUM(CC195:CC197)-CC198</f>
        <v>0</v>
      </c>
      <c r="CD199" s="183">
        <f>SUM(CD195:CD197)-CD198</f>
        <v>0</v>
      </c>
      <c r="CE199" s="183">
        <f>SUM(CE195:CE197)-CE198</f>
        <v>0</v>
      </c>
      <c r="CF199" s="183">
        <f>SUM(CF195:CF197)-CF198</f>
        <v>0</v>
      </c>
      <c r="CG199" s="183">
        <f>SUM(CG195:CG197)-CG198</f>
        <v>0</v>
      </c>
      <c r="CH199" s="183">
        <f>SUM(CH195:CH197)-CH198</f>
        <v>0</v>
      </c>
      <c r="CI199" s="183">
        <f>SUM(CI195:CI197)-CI198</f>
        <v>0</v>
      </c>
      <c r="CJ199" s="183">
        <f>SUM(CJ195:CJ197)-CJ198</f>
        <v>0</v>
      </c>
      <c r="CK199" s="183">
        <f>SUM(CK195:CK197)-CK198</f>
        <v>0</v>
      </c>
      <c r="CL199" s="183">
        <f>SUM(CL195:CL197)-CL198</f>
        <v>0</v>
      </c>
      <c r="CM199" s="183">
        <f>SUM(CM195:CM197)-CM198</f>
        <v>0</v>
      </c>
      <c r="CN199" s="183">
        <f>SUM(CN195:CN197)-CN198</f>
        <v>0</v>
      </c>
      <c r="CO199" s="183">
        <f>SUM(CO195:CO197)-CO198</f>
        <v>0</v>
      </c>
      <c r="CP199" s="183">
        <f>SUM(CP195:CP197)-CP198</f>
        <v>0</v>
      </c>
    </row>
    <row r="200" spans="1:95" ht="12.75" customHeight="1" x14ac:dyDescent="0.35" hidden="1">
      <c r="A200" s="136"/>
      <c r="D200" s="152" t="inlineStr">
        <is>
          <t>Deposits / Other Assets</t>
        </is>
      </c>
      <c r="E200" s="151">
        <f>SUMIF(Input!$E$1584:$E$1593,"&lt;="&amp;E$3,Input!$D$1584:$D$1593)</f>
      </c>
      <c r="F200" s="151">
        <f>SUMIF(Input!$E$1584:$E$1593,"&lt;="&amp;F$3,Input!$D$1584:$D$1593)</f>
      </c>
      <c r="G200" s="151">
        <f>SUMIF(Input!$E$1584:$E$1593,"&lt;="&amp;G$3,Input!$D$1584:$D$1593)</f>
      </c>
      <c r="H200" s="151">
        <f>SUMIF(Input!$E$1584:$E$1593,"&lt;="&amp;H$3,Input!$D$1584:$D$1593)</f>
      </c>
      <c r="I200" s="151">
        <f>SUMIF(Input!$E$1584:$E$1593,"&lt;="&amp;I$3,Input!$D$1584:$D$1593)</f>
      </c>
      <c r="J200" s="151">
        <f>SUMIF(Input!$E$1584:$E$1593,"&lt;="&amp;J$3,Input!$D$1584:$D$1593)</f>
      </c>
      <c r="K200" s="151">
        <f>SUMIF(Input!$E$1584:$E$1593,"&lt;="&amp;K$3,Input!$D$1584:$D$1593)</f>
      </c>
      <c r="L200" s="151">
        <f>SUMIF(Input!$E$1584:$E$1593,"&lt;="&amp;L$3,Input!$D$1584:$D$1593)</f>
      </c>
      <c r="M200" s="151">
        <f>SUMIF(Input!$E$1584:$E$1593,"&lt;="&amp;M$3,Input!$D$1584:$D$1593)</f>
      </c>
      <c r="N200" s="151">
        <f>SUMIF(Input!$E$1584:$E$1593,"&lt;="&amp;N$3,Input!$D$1584:$D$1593)</f>
      </c>
      <c r="O200" s="151">
        <f>SUMIF(Input!$E$1584:$E$1593,"&lt;="&amp;O$3,Input!$D$1584:$D$1593)</f>
      </c>
      <c r="P200" s="151">
        <f>SUMIF(Input!$E$1584:$E$1593,"&lt;="&amp;P$3,Input!$D$1584:$D$1593)</f>
      </c>
      <c r="Q200" s="151">
        <f>P200</f>
      </c>
      <c r="R200" s="151">
        <f>SUMIF(Input!$E$1584:$E$1593,"&lt;="&amp;R$3,Input!$D$1584:$D$1593)</f>
      </c>
      <c r="S200" s="151">
        <f>SUMIF(Input!$E$1584:$E$1593,"&lt;="&amp;S$3,Input!$D$1584:$D$1593)</f>
      </c>
      <c r="T200" s="151">
        <f>SUMIF(Input!$E$1584:$E$1593,"&lt;="&amp;T$3,Input!$D$1584:$D$1593)</f>
      </c>
      <c r="U200" s="151">
        <f>SUMIF(Input!$E$1584:$E$1593,"&lt;="&amp;U$3,Input!$D$1584:$D$1593)</f>
      </c>
      <c r="V200" s="151">
        <f>SUMIF(Input!$E$1584:$E$1593,"&lt;="&amp;V$3,Input!$D$1584:$D$1593)</f>
      </c>
      <c r="W200" s="151">
        <f>SUMIF(Input!$E$1584:$E$1593,"&lt;="&amp;W$3,Input!$D$1584:$D$1593)</f>
      </c>
      <c r="X200" s="151">
        <f>SUMIF(Input!$E$1584:$E$1593,"&lt;="&amp;X$3,Input!$D$1584:$D$1593)</f>
      </c>
      <c r="Y200" s="151">
        <f>SUMIF(Input!$E$1584:$E$1593,"&lt;="&amp;Y$3,Input!$D$1584:$D$1593)</f>
      </c>
      <c r="Z200" s="151">
        <f>SUMIF(Input!$E$1584:$E$1593,"&lt;="&amp;Z$3,Input!$D$1584:$D$1593)</f>
      </c>
      <c r="AA200" s="151">
        <f>SUMIF(Input!$E$1584:$E$1593,"&lt;="&amp;AA$3,Input!$D$1584:$D$1593)</f>
      </c>
      <c r="AB200" s="151">
        <f>SUMIF(Input!$E$1584:$E$1593,"&lt;="&amp;AB$3,Input!$D$1584:$D$1593)</f>
      </c>
      <c r="AC200" s="151">
        <f>SUMIF(Input!$E$1584:$E$1593,"&lt;="&amp;AC$3,Input!$D$1584:$D$1593)</f>
      </c>
      <c r="AD200" s="151">
        <f>AC200</f>
      </c>
      <c r="AE200" s="151">
        <f>SUMIF(Input!$E$1584:$E$1593,"&lt;="&amp;AE$3,Input!$D$1584:$D$1593)</f>
      </c>
      <c r="AF200" s="151">
        <f>SUMIF(Input!$E$1584:$E$1593,"&lt;="&amp;AF$3,Input!$D$1584:$D$1593)</f>
      </c>
      <c r="AG200" s="151">
        <f>SUMIF(Input!$E$1584:$E$1593,"&lt;="&amp;AG$3,Input!$D$1584:$D$1593)</f>
      </c>
      <c r="AH200" s="151">
        <f>SUMIF(Input!$E$1584:$E$1593,"&lt;="&amp;AH$3,Input!$D$1584:$D$1593)</f>
      </c>
      <c r="AI200" s="151">
        <f>SUMIF(Input!$E$1584:$E$1593,"&lt;="&amp;AI$3,Input!$D$1584:$D$1593)</f>
      </c>
      <c r="AJ200" s="151">
        <f>SUMIF(Input!$E$1584:$E$1593,"&lt;="&amp;AJ$3,Input!$D$1584:$D$1593)</f>
      </c>
      <c r="AK200" s="151">
        <f>SUMIF(Input!$E$1584:$E$1593,"&lt;="&amp;AK$3,Input!$D$1584:$D$1593)</f>
      </c>
      <c r="AL200" s="151">
        <f>SUMIF(Input!$E$1584:$E$1593,"&lt;="&amp;AL$3,Input!$D$1584:$D$1593)</f>
      </c>
      <c r="AM200" s="151">
        <f>SUMIF(Input!$E$1584:$E$1593,"&lt;="&amp;AM$3,Input!$D$1584:$D$1593)</f>
      </c>
      <c r="AN200" s="151">
        <f>SUMIF(Input!$E$1584:$E$1593,"&lt;="&amp;AN$3,Input!$D$1584:$D$1593)</f>
      </c>
      <c r="AO200" s="151">
        <f>SUMIF(Input!$E$1584:$E$1593,"&lt;="&amp;AO$3,Input!$D$1584:$D$1593)</f>
      </c>
      <c r="AP200" s="151">
        <f>SUMIF(Input!$E$1584:$E$1593,"&lt;="&amp;AP$3,Input!$D$1584:$D$1593)</f>
      </c>
      <c r="AQ200" s="151">
        <f>AP200</f>
      </c>
      <c r="AR200" s="151">
        <f>SUMIF(Input!$E$1584:$E$1593,"&lt;="&amp;AR$3,Input!$D$1584:$D$1593)</f>
      </c>
      <c r="AS200" s="151">
        <f>SUMIF(Input!$E$1584:$E$1593,"&lt;="&amp;AS$3,Input!$D$1584:$D$1593)</f>
      </c>
      <c r="AT200" s="151">
        <f>SUMIF(Input!$E$1584:$E$1593,"&lt;="&amp;AT$3,Input!$D$1584:$D$1593)</f>
      </c>
      <c r="AU200" s="151">
        <f>SUMIF(Input!$E$1584:$E$1593,"&lt;="&amp;AU$3,Input!$D$1584:$D$1593)</f>
      </c>
      <c r="AV200" s="151">
        <f>SUMIF(Input!$E$1584:$E$1593,"&lt;="&amp;AV$3,Input!$D$1584:$D$1593)</f>
      </c>
      <c r="AW200" s="151">
        <f>SUMIF(Input!$E$1584:$E$1593,"&lt;="&amp;AW$3,Input!$D$1584:$D$1593)</f>
      </c>
      <c r="AX200" s="151">
        <f>SUMIF(Input!$E$1584:$E$1593,"&lt;="&amp;AX$3,Input!$D$1584:$D$1593)</f>
      </c>
      <c r="AY200" s="151">
        <f>SUMIF(Input!$E$1584:$E$1593,"&lt;="&amp;AY$3,Input!$D$1584:$D$1593)</f>
      </c>
      <c r="AZ200" s="151">
        <f>SUMIF(Input!$E$1584:$E$1593,"&lt;="&amp;AZ$3,Input!$D$1584:$D$1593)</f>
      </c>
      <c r="BA200" s="151">
        <f>SUMIF(Input!$E$1584:$E$1593,"&lt;="&amp;BA$3,Input!$D$1584:$D$1593)</f>
      </c>
      <c r="BB200" s="151">
        <f>SUMIF(Input!$E$1584:$E$1593,"&lt;="&amp;BB$3,Input!$D$1584:$D$1593)</f>
      </c>
      <c r="BC200" s="151">
        <f>SUMIF(Input!$E$1584:$E$1593,"&lt;="&amp;BC$3,Input!$D$1584:$D$1593)</f>
      </c>
      <c r="BD200" s="151">
        <f>BC200</f>
      </c>
      <c r="BE200" s="151">
        <f>SUMIF(Input!$E$1584:$E$1593,"&lt;="&amp;BE$3,Input!$D$1584:$D$1593)</f>
      </c>
      <c r="BF200" s="151">
        <f>SUMIF(Input!$E$1584:$E$1593,"&lt;="&amp;BF$3,Input!$D$1584:$D$1593)</f>
      </c>
      <c r="BG200" s="151">
        <f>SUMIF(Input!$E$1584:$E$1593,"&lt;="&amp;BG$3,Input!$D$1584:$D$1593)</f>
      </c>
      <c r="BH200" s="151">
        <f>SUMIF(Input!$E$1584:$E$1593,"&lt;="&amp;BH$3,Input!$D$1584:$D$1593)</f>
      </c>
      <c r="BI200" s="151">
        <f>SUMIF(Input!$E$1584:$E$1593,"&lt;="&amp;BI$3,Input!$D$1584:$D$1593)</f>
      </c>
      <c r="BJ200" s="151">
        <f>SUMIF(Input!$E$1584:$E$1593,"&lt;="&amp;BJ$3,Input!$D$1584:$D$1593)</f>
      </c>
      <c r="BK200" s="151">
        <f>SUMIF(Input!$E$1584:$E$1593,"&lt;="&amp;BK$3,Input!$D$1584:$D$1593)</f>
      </c>
      <c r="BL200" s="151">
        <f>SUMIF(Input!$E$1584:$E$1593,"&lt;="&amp;BL$3,Input!$D$1584:$D$1593)</f>
      </c>
      <c r="BM200" s="151">
        <f>SUMIF(Input!$E$1584:$E$1593,"&lt;="&amp;BM$3,Input!$D$1584:$D$1593)</f>
      </c>
      <c r="BN200" s="151">
        <f>SUMIF(Input!$E$1584:$E$1593,"&lt;="&amp;BN$3,Input!$D$1584:$D$1593)</f>
      </c>
      <c r="BO200" s="151">
        <f>SUMIF(Input!$E$1584:$E$1593,"&lt;="&amp;BO$3,Input!$D$1584:$D$1593)</f>
      </c>
      <c r="BP200" s="151">
        <f>SUMIF(Input!$E$1584:$E$1593,"&lt;="&amp;BP$3,Input!$D$1584:$D$1593)</f>
      </c>
      <c r="BQ200" s="151">
        <f>BP200</f>
      </c>
      <c r="BR200" s="1802"/>
      <c r="BS200" s="153">
        <v>1</v>
      </c>
      <c r="BT200" s="1802"/>
      <c r="BU200" s="153">
        <f>BP200</f>
      </c>
      <c r="BV200" s="138"/>
      <c r="BW200" s="151">
        <f>Financials!G200</f>
      </c>
      <c r="BX200" s="151">
        <f>Financials!J200</f>
      </c>
      <c r="BY200" s="151">
        <f>Financials!M200</f>
      </c>
      <c r="BZ200" s="151">
        <f>Financials!P200</f>
      </c>
      <c r="CA200" s="151">
        <f>Financials!T200</f>
      </c>
      <c r="CB200" s="151">
        <f>Financials!W200</f>
      </c>
      <c r="CC200" s="151">
        <f>Financials!Z200</f>
      </c>
      <c r="CD200" s="151">
        <f>Financials!AC200</f>
      </c>
      <c r="CE200" s="151">
        <f>Financials!AG200</f>
      </c>
      <c r="CF200" s="151">
        <f>Financials!AJ200</f>
      </c>
      <c r="CG200" s="151">
        <f>Financials!AM200</f>
      </c>
      <c r="CH200" s="151">
        <f>Financials!AP200</f>
      </c>
      <c r="CI200" s="151">
        <f>Financials!AT200</f>
      </c>
      <c r="CJ200" s="151">
        <f>Financials!AW200</f>
      </c>
      <c r="CK200" s="151">
        <f>Financials!AZ200</f>
      </c>
      <c r="CL200" s="151">
        <f>Financials!BC200</f>
      </c>
      <c r="CM200" s="151">
        <f>Financials!BG200</f>
      </c>
      <c r="CN200" s="151">
        <f>Financials!BJ200</f>
      </c>
      <c r="CO200" s="151">
        <f>Financials!BM200</f>
      </c>
      <c r="CP200" s="151">
        <f>Financials!BP200</f>
      </c>
    </row>
    <row r="201" spans="1:95" ht="12.75" customHeight="1" thickBot="1" x14ac:dyDescent="0.4">
      <c r="A201" s="136"/>
      <c r="D201" s="142" t="s">
        <v>25</v>
      </c>
      <c r="E201" s="159">
        <f>E188+E192+E199+E200</f>
      </c>
      <c r="F201" s="159">
        <f>F188+F192+F199+F200</f>
      </c>
      <c r="G201" s="159">
        <f>G188+G192+G199+G200</f>
      </c>
      <c r="H201" s="159">
        <f>H188+H192+H199+H200</f>
      </c>
      <c r="I201" s="159">
        <f>I188+I192+I199+I200</f>
      </c>
      <c r="J201" s="159">
        <f>J188+J192+J199+J200</f>
      </c>
      <c r="K201" s="159">
        <f>K188+K192+K199+K200</f>
      </c>
      <c r="L201" s="159">
        <f>L188+L192+L199+L200</f>
      </c>
      <c r="M201" s="159">
        <f>M188+M192+M199+M200</f>
      </c>
      <c r="N201" s="159">
        <f>N188+N192+N199+N200</f>
      </c>
      <c r="O201" s="159">
        <f>O188+O192+O199+O200</f>
      </c>
      <c r="P201" s="159">
        <f>P188+P192+P199+P200</f>
      </c>
      <c r="Q201" s="159">
        <f>Q188+Q192+Q199+Q200</f>
      </c>
      <c r="R201" s="159">
        <f>R188+R192+R199+R200</f>
      </c>
      <c r="S201" s="159">
        <f>S188+S192+S199+S200</f>
      </c>
      <c r="T201" s="159">
        <f>T188+T192+T199+T200</f>
      </c>
      <c r="U201" s="159">
        <f>U188+U192+U199+U200</f>
      </c>
      <c r="V201" s="159">
        <f>V188+V192+V199+V200</f>
      </c>
      <c r="W201" s="159">
        <f>W188+W192+W199+W200</f>
      </c>
      <c r="X201" s="159">
        <f>X188+X192+X199+X200</f>
      </c>
      <c r="Y201" s="159">
        <f>Y188+Y192+Y199+Y200</f>
      </c>
      <c r="Z201" s="159">
        <f>Z188+Z192+Z199+Z200</f>
      </c>
      <c r="AA201" s="159">
        <f>AA188+AA192+AA199+AA200</f>
      </c>
      <c r="AB201" s="159">
        <f>AB188+AB192+AB199+AB200</f>
      </c>
      <c r="AC201" s="159">
        <f>AC188+AC192+AC199+AC200</f>
      </c>
      <c r="AD201" s="159">
        <f>AD188+AD192+AD199+AD200</f>
      </c>
      <c r="AE201" s="159">
        <f>AE188+AE192+AE199+AE200</f>
      </c>
      <c r="AF201" s="159">
        <f>AF188+AF192+AF199+AF200</f>
      </c>
      <c r="AG201" s="159">
        <f>AG188+AG192+AG199+AG200</f>
      </c>
      <c r="AH201" s="159">
        <f>AH188+AH192+AH199+AH200</f>
      </c>
      <c r="AI201" s="159">
        <f>AI188+AI192+AI199+AI200</f>
      </c>
      <c r="AJ201" s="159">
        <f>AJ188+AJ192+AJ199+AJ200</f>
      </c>
      <c r="AK201" s="159">
        <f>AK188+AK192+AK199+AK200</f>
      </c>
      <c r="AL201" s="159">
        <f>AL188+AL192+AL199+AL200</f>
      </c>
      <c r="AM201" s="159">
        <f>AM188+AM192+AM199+AM200</f>
      </c>
      <c r="AN201" s="159">
        <f>AN188+AN192+AN199+AN200</f>
      </c>
      <c r="AO201" s="159">
        <f>AO188+AO192+AO199+AO200</f>
      </c>
      <c r="AP201" s="159">
        <f>AP188+AP192+AP199+AP200</f>
      </c>
      <c r="AQ201" s="159">
        <f>AQ188+AQ192+AQ199+AQ200</f>
      </c>
      <c r="AR201" s="159">
        <f>AR188+AR192+AR199+AR200</f>
      </c>
      <c r="AS201" s="159">
        <f>AS188+AS192+AS199+AS200</f>
      </c>
      <c r="AT201" s="159">
        <f>AT188+AT192+AT199+AT200</f>
      </c>
      <c r="AU201" s="159">
        <f>AU188+AU192+AU199+AU200</f>
      </c>
      <c r="AV201" s="159">
        <f>AV188+AV192+AV199+AV200</f>
      </c>
      <c r="AW201" s="159">
        <f>AW188+AW192+AW199+AW200</f>
      </c>
      <c r="AX201" s="159">
        <f>AX188+AX192+AX199+AX200</f>
      </c>
      <c r="AY201" s="159">
        <f>AY188+AY192+AY199+AY200</f>
      </c>
      <c r="AZ201" s="159">
        <f>AZ188+AZ192+AZ199+AZ200</f>
      </c>
      <c r="BA201" s="159">
        <f>BA188+BA192+BA199+BA200</f>
      </c>
      <c r="BB201" s="159">
        <f>BB188+BB192+BB199+BB200</f>
      </c>
      <c r="BC201" s="159">
        <f>BC188+BC192+BC199+BC200</f>
      </c>
      <c r="BD201" s="159">
        <f>BD188+BD192+BD199+BD200</f>
      </c>
      <c r="BE201" s="159">
        <f>BE188+BE192+BE199+BE200</f>
      </c>
      <c r="BF201" s="159">
        <f>BF188+BF192+BF199+BF200</f>
      </c>
      <c r="BG201" s="159">
        <f>BG188+BG192+BG199+BG200</f>
      </c>
      <c r="BH201" s="159">
        <f>BH188+BH192+BH199+BH200</f>
      </c>
      <c r="BI201" s="159">
        <f>BI188+BI192+BI199+BI200</f>
      </c>
      <c r="BJ201" s="159">
        <f>BJ188+BJ192+BJ199+BJ200</f>
      </c>
      <c r="BK201" s="159">
        <f>BK188+BK192+BK199+BK200</f>
      </c>
      <c r="BL201" s="159">
        <f>BL188+BL192+BL199+BL200</f>
      </c>
      <c r="BM201" s="159">
        <f>BM188+BM192+BM199+BM200</f>
      </c>
      <c r="BN201" s="159">
        <f>BN188+BN192+BN199+BN200</f>
      </c>
      <c r="BO201" s="159">
        <f>BO188+BO192+BO199+BO200</f>
      </c>
      <c r="BP201" s="159">
        <f>BP188+BP192+BP199+BP200</f>
      </c>
      <c r="BQ201" s="159">
        <f>BQ188+BQ192+BQ199+BQ200</f>
      </c>
      <c r="BR201" s="257"/>
      <c r="BS201" s="153">
        <v>1</v>
      </c>
      <c r="BT201" s="257"/>
      <c r="BU201" s="156">
        <f>BU188+BU192+BU199+BU200</f>
      </c>
      <c r="BV201" s="138" t="s">
        <v>25</v>
      </c>
      <c r="BW201" s="159">
        <f>BW188+BW192+BW199+BW200</f>
      </c>
      <c r="BX201" s="159">
        <f>BX188+BX192+BX199+BX200</f>
      </c>
      <c r="BY201" s="159">
        <f>BY188+BY192+BY199+BY200</f>
      </c>
      <c r="BZ201" s="159">
        <f>BZ188+BZ192+BZ199+BZ200</f>
      </c>
      <c r="CA201" s="159">
        <f>CA188+CA192+CA199+CA200</f>
      </c>
      <c r="CB201" s="159">
        <f>CB188+CB192+CB199+CB200</f>
      </c>
      <c r="CC201" s="159">
        <f>CC188+CC192+CC199+CC200</f>
      </c>
      <c r="CD201" s="159">
        <f>CD188+CD192+CD199+CD200</f>
      </c>
      <c r="CE201" s="159">
        <f>CE188+CE192+CE199+CE200</f>
      </c>
      <c r="CF201" s="159">
        <f>CF188+CF192+CF199+CF200</f>
      </c>
      <c r="CG201" s="159">
        <f>CG188+CG192+CG199+CG200</f>
      </c>
      <c r="CH201" s="159">
        <f>CH188+CH192+CH199+CH200</f>
      </c>
      <c r="CI201" s="159">
        <f>CI188+CI192+CI199+CI200</f>
      </c>
      <c r="CJ201" s="159">
        <f>CJ188+CJ192+CJ199+CJ200</f>
      </c>
      <c r="CK201" s="159">
        <f>CK188+CK192+CK199+CK200</f>
      </c>
      <c r="CL201" s="159">
        <f>CL188+CL192+CL199+CL200</f>
      </c>
      <c r="CM201" s="159">
        <f>CM188+CM192+CM199+CM200</f>
      </c>
      <c r="CN201" s="159">
        <f>CN188+CN192+CN199+CN200</f>
      </c>
      <c r="CO201" s="159">
        <f>CO188+CO192+CO199+CO200</f>
      </c>
      <c r="CP201" s="159">
        <f>CP188+CP192+CP199+CP200</f>
      </c>
    </row>
    <row r="202" spans="1:95" ht="12.75" customHeight="1" thickTop="1" x14ac:dyDescent="0.35">
      <c r="A202" s="136"/>
      <c r="D202" s="142"/>
      <c r="E202" s="151"/>
      <c r="F202" s="151"/>
      <c r="G202" s="151"/>
      <c r="H202" s="151"/>
      <c r="I202" s="151"/>
      <c r="J202" s="151"/>
      <c r="K202" s="151"/>
      <c r="L202" s="151"/>
      <c r="M202" s="151"/>
      <c r="N202" s="151"/>
      <c r="O202" s="151"/>
      <c r="P202" s="151"/>
      <c r="Q202" s="151"/>
      <c r="R202" s="151"/>
      <c r="S202" s="151"/>
      <c r="T202" s="151"/>
      <c r="U202" s="151"/>
      <c r="V202" s="151"/>
      <c r="W202" s="151"/>
      <c r="X202" s="151"/>
      <c r="Y202" s="151"/>
      <c r="Z202" s="151"/>
      <c r="AA202" s="151"/>
      <c r="AB202" s="151"/>
      <c r="AC202" s="151"/>
      <c r="AD202" s="151"/>
      <c r="AE202" s="151"/>
      <c r="AF202" s="151"/>
      <c r="AG202" s="151"/>
      <c r="AH202" s="151"/>
      <c r="AI202" s="151"/>
      <c r="AJ202" s="151"/>
      <c r="AK202" s="151"/>
      <c r="AL202" s="151"/>
      <c r="AM202" s="151"/>
      <c r="AN202" s="151"/>
      <c r="AO202" s="151"/>
      <c r="AP202" s="151"/>
      <c r="AQ202" s="151"/>
      <c r="AR202" s="151"/>
      <c r="AS202" s="151"/>
      <c r="AT202" s="151"/>
      <c r="AU202" s="151"/>
      <c r="AV202" s="151"/>
      <c r="AW202" s="151"/>
      <c r="AX202" s="151"/>
      <c r="AY202" s="151"/>
      <c r="AZ202" s="151"/>
      <c r="BA202" s="151"/>
      <c r="BB202" s="151"/>
      <c r="BC202" s="151"/>
      <c r="BD202" s="151"/>
      <c r="BE202" s="151"/>
      <c r="BF202" s="151"/>
      <c r="BG202" s="151"/>
      <c r="BH202" s="151"/>
      <c r="BI202" s="151"/>
      <c r="BJ202" s="151"/>
      <c r="BK202" s="151"/>
      <c r="BL202" s="151"/>
      <c r="BM202" s="151"/>
      <c r="BN202" s="151"/>
      <c r="BO202" s="151"/>
      <c r="BP202" s="151"/>
      <c r="BQ202" s="151"/>
      <c r="BR202" s="1802"/>
      <c r="BS202" s="153">
        <v>1</v>
      </c>
      <c r="BT202" s="1802"/>
      <c r="BU202" s="153"/>
      <c r="BV202" s="138"/>
      <c r="BW202" s="151"/>
      <c r="BX202" s="151"/>
      <c r="BY202" s="151"/>
      <c r="BZ202" s="151"/>
      <c r="CA202" s="151"/>
      <c r="CB202" s="151"/>
      <c r="CC202" s="151"/>
      <c r="CD202" s="151"/>
      <c r="CE202" s="151"/>
      <c r="CF202" s="151"/>
      <c r="CG202" s="151"/>
      <c r="CH202" s="151"/>
      <c r="CI202" s="151"/>
      <c r="CJ202" s="151"/>
      <c r="CK202" s="151"/>
      <c r="CL202" s="151"/>
      <c r="CM202" s="151"/>
      <c r="CN202" s="151"/>
      <c r="CO202" s="151"/>
      <c r="CP202" s="151"/>
    </row>
    <row r="203" spans="1:95" ht="12.75" customHeight="1" x14ac:dyDescent="0.35">
      <c r="A203" s="136"/>
      <c r="D203" s="142" t="str">
        <f>"Liabilities and "&amp;Infrastructure!Y38</f>
        <v>Liabilities and Stockholders' Equity</v>
      </c>
      <c r="E203" s="151"/>
      <c r="F203" s="151"/>
      <c r="G203" s="151"/>
      <c r="H203" s="151"/>
      <c r="I203" s="151"/>
      <c r="J203" s="151"/>
      <c r="K203" s="151"/>
      <c r="L203" s="151"/>
      <c r="M203" s="151"/>
      <c r="N203" s="151"/>
      <c r="O203" s="151"/>
      <c r="P203" s="151"/>
      <c r="Q203" s="151"/>
      <c r="R203" s="151"/>
      <c r="S203" s="151"/>
      <c r="T203" s="151"/>
      <c r="U203" s="151"/>
      <c r="V203" s="151"/>
      <c r="W203" s="151"/>
      <c r="X203" s="151"/>
      <c r="Y203" s="151"/>
      <c r="Z203" s="151"/>
      <c r="AA203" s="151"/>
      <c r="AB203" s="151"/>
      <c r="AC203" s="151"/>
      <c r="AD203" s="151"/>
      <c r="AE203" s="151"/>
      <c r="AF203" s="151"/>
      <c r="AG203" s="151"/>
      <c r="AH203" s="151"/>
      <c r="AI203" s="151"/>
      <c r="AJ203" s="151"/>
      <c r="AK203" s="151"/>
      <c r="AL203" s="151"/>
      <c r="AM203" s="151"/>
      <c r="AN203" s="151"/>
      <c r="AO203" s="151"/>
      <c r="AP203" s="151"/>
      <c r="AQ203" s="151"/>
      <c r="AR203" s="151"/>
      <c r="AS203" s="151"/>
      <c r="AT203" s="151"/>
      <c r="AU203" s="151"/>
      <c r="AV203" s="151"/>
      <c r="AW203" s="151"/>
      <c r="AX203" s="151"/>
      <c r="AY203" s="151"/>
      <c r="AZ203" s="151"/>
      <c r="BA203" s="151"/>
      <c r="BB203" s="151"/>
      <c r="BC203" s="151"/>
      <c r="BD203" s="151"/>
      <c r="BE203" s="151"/>
      <c r="BF203" s="151"/>
      <c r="BG203" s="151"/>
      <c r="BH203" s="151"/>
      <c r="BI203" s="151"/>
      <c r="BJ203" s="151"/>
      <c r="BK203" s="151"/>
      <c r="BL203" s="151"/>
      <c r="BM203" s="151"/>
      <c r="BN203" s="151"/>
      <c r="BO203" s="151"/>
      <c r="BP203" s="151"/>
      <c r="BQ203" s="151"/>
      <c r="BR203" s="1802"/>
      <c r="BS203" s="153">
        <v>1</v>
      </c>
      <c r="BT203" s="1802"/>
      <c r="BU203" s="153"/>
      <c r="BV203" s="138" t="s">
        <v>339</v>
      </c>
      <c r="BW203" s="151"/>
      <c r="BX203" s="151"/>
      <c r="BY203" s="151"/>
      <c r="BZ203" s="151"/>
      <c r="CA203" s="151"/>
      <c r="CB203" s="151"/>
      <c r="CC203" s="151"/>
      <c r="CD203" s="151"/>
      <c r="CE203" s="151"/>
      <c r="CF203" s="151"/>
      <c r="CG203" s="151"/>
      <c r="CH203" s="151"/>
      <c r="CI203" s="151"/>
      <c r="CJ203" s="151"/>
      <c r="CK203" s="151"/>
      <c r="CL203" s="151"/>
      <c r="CM203" s="151"/>
      <c r="CN203" s="151"/>
      <c r="CO203" s="151"/>
      <c r="CP203" s="151"/>
    </row>
    <row r="204" spans="1:95" ht="5.15" customHeight="1" x14ac:dyDescent="0.35">
      <c r="A204" s="136"/>
      <c r="D204" s="142"/>
      <c r="E204" s="151"/>
      <c r="F204" s="151"/>
      <c r="G204" s="151"/>
      <c r="H204" s="151"/>
      <c r="I204" s="151"/>
      <c r="J204" s="151"/>
      <c r="K204" s="151"/>
      <c r="L204" s="151"/>
      <c r="M204" s="151"/>
      <c r="N204" s="151"/>
      <c r="O204" s="151"/>
      <c r="P204" s="151"/>
      <c r="Q204" s="151"/>
      <c r="R204" s="151"/>
      <c r="S204" s="151"/>
      <c r="T204" s="151"/>
      <c r="U204" s="151"/>
      <c r="V204" s="151"/>
      <c r="W204" s="151"/>
      <c r="X204" s="151"/>
      <c r="Y204" s="151"/>
      <c r="Z204" s="151"/>
      <c r="AA204" s="151"/>
      <c r="AB204" s="151"/>
      <c r="AC204" s="151"/>
      <c r="AD204" s="151"/>
      <c r="AE204" s="151"/>
      <c r="AF204" s="151"/>
      <c r="AG204" s="151"/>
      <c r="AH204" s="151"/>
      <c r="AI204" s="151"/>
      <c r="AJ204" s="151"/>
      <c r="AK204" s="151"/>
      <c r="AL204" s="151"/>
      <c r="AM204" s="151"/>
      <c r="AN204" s="151"/>
      <c r="AO204" s="151"/>
      <c r="AP204" s="151"/>
      <c r="AQ204" s="151"/>
      <c r="AR204" s="151"/>
      <c r="AS204" s="151"/>
      <c r="AT204" s="151"/>
      <c r="AU204" s="151"/>
      <c r="AV204" s="151"/>
      <c r="AW204" s="151"/>
      <c r="AX204" s="151"/>
      <c r="AY204" s="151"/>
      <c r="AZ204" s="151"/>
      <c r="BA204" s="151"/>
      <c r="BB204" s="151"/>
      <c r="BC204" s="151"/>
      <c r="BD204" s="151"/>
      <c r="BE204" s="151"/>
      <c r="BF204" s="151"/>
      <c r="BG204" s="151"/>
      <c r="BH204" s="151"/>
      <c r="BI204" s="151"/>
      <c r="BJ204" s="151"/>
      <c r="BK204" s="151"/>
      <c r="BL204" s="151"/>
      <c r="BM204" s="151"/>
      <c r="BN204" s="151"/>
      <c r="BO204" s="151"/>
      <c r="BP204" s="151"/>
      <c r="BQ204" s="151"/>
      <c r="BR204" s="1802"/>
      <c r="BS204" s="153">
        <v>1</v>
      </c>
      <c r="BT204" s="1802"/>
      <c r="BU204" s="153"/>
      <c r="BV204" s="138"/>
      <c r="BW204" s="151"/>
      <c r="BX204" s="151"/>
      <c r="BY204" s="151"/>
      <c r="BZ204" s="151"/>
      <c r="CA204" s="151"/>
      <c r="CB204" s="151"/>
      <c r="CC204" s="151"/>
      <c r="CD204" s="151"/>
      <c r="CE204" s="151"/>
      <c r="CF204" s="151"/>
      <c r="CG204" s="151"/>
      <c r="CH204" s="151"/>
      <c r="CI204" s="151"/>
      <c r="CJ204" s="151"/>
      <c r="CK204" s="151"/>
      <c r="CL204" s="151"/>
      <c r="CM204" s="151"/>
      <c r="CN204" s="151"/>
      <c r="CO204" s="151"/>
      <c r="CP204" s="151"/>
    </row>
    <row r="205" spans="1:95" ht="12.75" customHeight="1" x14ac:dyDescent="0.35">
      <c r="A205" s="136"/>
      <c r="D205" s="142" t="str">
        <f>IF(Infrastructure!AN33=Infrastructure!AO33,"Current Liabilities","Current Liabilities - Hidden Rows with Values")</f>
        <v>Current Liabilities</v>
      </c>
      <c r="E205" s="151"/>
      <c r="F205" s="151"/>
      <c r="G205" s="151"/>
      <c r="H205" s="151"/>
      <c r="I205" s="151"/>
      <c r="J205" s="151"/>
      <c r="K205" s="151"/>
      <c r="L205" s="151"/>
      <c r="M205" s="151"/>
      <c r="N205" s="151"/>
      <c r="O205" s="151"/>
      <c r="P205" s="151"/>
      <c r="Q205" s="151"/>
      <c r="R205" s="151"/>
      <c r="S205" s="151"/>
      <c r="T205" s="151"/>
      <c r="U205" s="151"/>
      <c r="V205" s="151"/>
      <c r="W205" s="151"/>
      <c r="X205" s="151"/>
      <c r="Y205" s="151"/>
      <c r="Z205" s="151"/>
      <c r="AA205" s="151"/>
      <c r="AB205" s="151"/>
      <c r="AC205" s="151"/>
      <c r="AD205" s="151"/>
      <c r="AE205" s="151"/>
      <c r="AF205" s="151"/>
      <c r="AG205" s="151"/>
      <c r="AH205" s="151"/>
      <c r="AI205" s="151"/>
      <c r="AJ205" s="151"/>
      <c r="AK205" s="151"/>
      <c r="AL205" s="151"/>
      <c r="AM205" s="151"/>
      <c r="AN205" s="151"/>
      <c r="AO205" s="151"/>
      <c r="AP205" s="151"/>
      <c r="AQ205" s="151"/>
      <c r="AR205" s="151"/>
      <c r="AS205" s="151"/>
      <c r="AT205" s="151"/>
      <c r="AU205" s="151"/>
      <c r="AV205" s="151"/>
      <c r="AW205" s="151"/>
      <c r="AX205" s="151"/>
      <c r="AY205" s="151"/>
      <c r="AZ205" s="151"/>
      <c r="BA205" s="151"/>
      <c r="BB205" s="151"/>
      <c r="BC205" s="151"/>
      <c r="BD205" s="151"/>
      <c r="BE205" s="151"/>
      <c r="BF205" s="151"/>
      <c r="BG205" s="151"/>
      <c r="BH205" s="151"/>
      <c r="BI205" s="151"/>
      <c r="BJ205" s="151"/>
      <c r="BK205" s="151"/>
      <c r="BL205" s="151"/>
      <c r="BM205" s="151"/>
      <c r="BN205" s="151"/>
      <c r="BO205" s="151"/>
      <c r="BP205" s="151"/>
      <c r="BQ205" s="151"/>
      <c r="BR205" s="1802"/>
      <c r="BS205" s="153">
        <v>1</v>
      </c>
      <c r="BT205" s="1802"/>
      <c r="BU205" s="153"/>
      <c r="BV205" s="138" t="s">
        <v>340</v>
      </c>
      <c r="BW205" s="151"/>
      <c r="BX205" s="151"/>
      <c r="BY205" s="151"/>
      <c r="BZ205" s="151"/>
      <c r="CA205" s="151"/>
      <c r="CB205" s="151"/>
      <c r="CC205" s="151"/>
      <c r="CD205" s="151"/>
      <c r="CE205" s="151"/>
      <c r="CF205" s="151"/>
      <c r="CG205" s="151"/>
      <c r="CH205" s="151"/>
      <c r="CI205" s="151"/>
      <c r="CJ205" s="151"/>
      <c r="CK205" s="151"/>
      <c r="CL205" s="151"/>
      <c r="CM205" s="151"/>
      <c r="CN205" s="151"/>
      <c r="CO205" s="151"/>
      <c r="CP205" s="151"/>
    </row>
    <row r="206" spans="1:95" ht="12.75" customHeight="1" x14ac:dyDescent="0.35">
      <c r="A206" s="136"/>
      <c r="D206" s="152" t="s">
        <v>320</v>
      </c>
      <c r="E206" s="151">
        <f>Calcs!L206</f>
        <v>0</v>
      </c>
      <c r="F206" s="151">
        <f>Calcs!M206</f>
        <v>0</v>
      </c>
      <c r="G206" s="151">
        <f>Calcs!N206</f>
        <v>0</v>
      </c>
      <c r="H206" s="151">
        <f>Calcs!O206</f>
        <v>0</v>
      </c>
      <c r="I206" s="151">
        <f>Calcs!P206</f>
        <v>0</v>
      </c>
      <c r="J206" s="151">
        <f>Calcs!Q206</f>
        <v>0</v>
      </c>
      <c r="K206" s="151">
        <f>Calcs!R206</f>
        <v>0</v>
      </c>
      <c r="L206" s="151">
        <f>Calcs!S206</f>
        <v>0</v>
      </c>
      <c r="M206" s="151">
        <f>Calcs!T206</f>
        <v>0</v>
      </c>
      <c r="N206" s="151">
        <f>Calcs!U206</f>
        <v>0</v>
      </c>
      <c r="O206" s="151">
        <f>Calcs!V206</f>
        <v>0</v>
      </c>
      <c r="P206" s="151">
        <f>Calcs!W206</f>
        <v>0</v>
      </c>
      <c r="Q206" s="151">
        <f>P206</f>
        <v>0</v>
      </c>
      <c r="R206" s="151">
        <f>Calcs!X206</f>
        <v>0</v>
      </c>
      <c r="S206" s="151">
        <f>Calcs!Y206</f>
        <v>0</v>
      </c>
      <c r="T206" s="151">
        <f>Calcs!Z206</f>
        <v>0</v>
      </c>
      <c r="U206" s="151">
        <f>Calcs!AA206</f>
        <v>0</v>
      </c>
      <c r="V206" s="151">
        <f>Calcs!AB206</f>
        <v>0</v>
      </c>
      <c r="W206" s="151">
        <f>Calcs!AC206</f>
        <v>0</v>
      </c>
      <c r="X206" s="151">
        <f>Calcs!AD206</f>
        <v>0</v>
      </c>
      <c r="Y206" s="151">
        <f>Calcs!AE206</f>
        <v>0</v>
      </c>
      <c r="Z206" s="151">
        <f>Calcs!AF206</f>
        <v>0</v>
      </c>
      <c r="AA206" s="151">
        <f>Calcs!AG206</f>
        <v>0</v>
      </c>
      <c r="AB206" s="151">
        <f>Calcs!AH206</f>
        <v>0</v>
      </c>
      <c r="AC206" s="151">
        <f>Calcs!AI206</f>
        <v>0</v>
      </c>
      <c r="AD206" s="151">
        <f>AC206</f>
        <v>0</v>
      </c>
      <c r="AE206" s="151">
        <f>Calcs!AJ206</f>
        <v>0</v>
      </c>
      <c r="AF206" s="151">
        <f>Calcs!AK206</f>
        <v>0</v>
      </c>
      <c r="AG206" s="151">
        <f>Calcs!AL206</f>
        <v>0</v>
      </c>
      <c r="AH206" s="151">
        <f>Calcs!AM206</f>
        <v>0</v>
      </c>
      <c r="AI206" s="151">
        <f>Calcs!AN206</f>
        <v>0</v>
      </c>
      <c r="AJ206" s="151">
        <f>Calcs!AO206</f>
        <v>0</v>
      </c>
      <c r="AK206" s="151">
        <f>Calcs!AP206</f>
        <v>0</v>
      </c>
      <c r="AL206" s="151">
        <f>Calcs!AQ206</f>
        <v>0</v>
      </c>
      <c r="AM206" s="151">
        <f>Calcs!AR206</f>
        <v>0</v>
      </c>
      <c r="AN206" s="151">
        <f>Calcs!AS206</f>
        <v>0</v>
      </c>
      <c r="AO206" s="151">
        <f>Calcs!AT206</f>
        <v>0</v>
      </c>
      <c r="AP206" s="151">
        <f>Calcs!AU206</f>
        <v>0</v>
      </c>
      <c r="AQ206" s="151">
        <f>AP206</f>
        <v>0</v>
      </c>
      <c r="AR206" s="151">
        <f>Calcs!AV206</f>
        <v>0</v>
      </c>
      <c r="AS206" s="151">
        <f>Calcs!AW206</f>
        <v>0</v>
      </c>
      <c r="AT206" s="151">
        <f>Calcs!AX206</f>
        <v>0</v>
      </c>
      <c r="AU206" s="151">
        <f>Calcs!AY206</f>
        <v>0</v>
      </c>
      <c r="AV206" s="151">
        <f>Calcs!AZ206</f>
        <v>0</v>
      </c>
      <c r="AW206" s="151">
        <f>Calcs!BA206</f>
        <v>0</v>
      </c>
      <c r="AX206" s="151">
        <f>Calcs!BB206</f>
        <v>0</v>
      </c>
      <c r="AY206" s="151">
        <f>Calcs!BC206</f>
        <v>0</v>
      </c>
      <c r="AZ206" s="151">
        <f>Calcs!BD206</f>
        <v>0</v>
      </c>
      <c r="BA206" s="151">
        <f>Calcs!BE206</f>
        <v>0</v>
      </c>
      <c r="BB206" s="151">
        <f>Calcs!BF206</f>
        <v>0</v>
      </c>
      <c r="BC206" s="151">
        <f>Calcs!BG206</f>
        <v>0</v>
      </c>
      <c r="BD206" s="151">
        <f>BC206</f>
        <v>0</v>
      </c>
      <c r="BE206" s="151">
        <f>Calcs!BH206</f>
        <v>0</v>
      </c>
      <c r="BF206" s="151">
        <f>Calcs!BI206</f>
        <v>0</v>
      </c>
      <c r="BG206" s="151">
        <f>Calcs!BJ206</f>
        <v>0</v>
      </c>
      <c r="BH206" s="151">
        <f>Calcs!BK206</f>
        <v>0</v>
      </c>
      <c r="BI206" s="151">
        <f>Calcs!BL206</f>
        <v>0</v>
      </c>
      <c r="BJ206" s="151">
        <f>Calcs!BM206</f>
        <v>0</v>
      </c>
      <c r="BK206" s="151">
        <f>Calcs!BN206</f>
        <v>0</v>
      </c>
      <c r="BL206" s="151">
        <f>Calcs!BO206</f>
        <v>0</v>
      </c>
      <c r="BM206" s="151">
        <f>Calcs!BP206</f>
        <v>0</v>
      </c>
      <c r="BN206" s="151">
        <f>Calcs!BQ206</f>
        <v>0</v>
      </c>
      <c r="BO206" s="151">
        <f>Calcs!BR206</f>
        <v>0</v>
      </c>
      <c r="BP206" s="151">
        <f>Calcs!BS206</f>
        <v>0</v>
      </c>
      <c r="BQ206" s="151">
        <f>BP206</f>
        <v>0</v>
      </c>
      <c r="BR206" s="1802"/>
      <c r="BS206" s="153">
        <v>1</v>
      </c>
      <c r="BT206" s="1802"/>
      <c r="BU206" s="153">
        <f>BP206</f>
      </c>
      <c r="BV206" s="158" t="s">
        <v>320</v>
      </c>
      <c r="BW206" s="151">
        <f>Financials!G206</f>
        <v>0</v>
      </c>
      <c r="BX206" s="151">
        <f>Financials!J206</f>
        <v>0</v>
      </c>
      <c r="BY206" s="151">
        <f>Financials!M206</f>
        <v>0</v>
      </c>
      <c r="BZ206" s="151">
        <f>Financials!P206</f>
        <v>0</v>
      </c>
      <c r="CA206" s="151">
        <f>Financials!T206</f>
        <v>0</v>
      </c>
      <c r="CB206" s="151">
        <f>Financials!W206</f>
        <v>0</v>
      </c>
      <c r="CC206" s="151">
        <f>Financials!Z206</f>
        <v>0</v>
      </c>
      <c r="CD206" s="151">
        <f>Financials!AC206</f>
        <v>0</v>
      </c>
      <c r="CE206" s="151">
        <f>Financials!AG206</f>
        <v>0</v>
      </c>
      <c r="CF206" s="151">
        <f>Financials!AJ206</f>
        <v>0</v>
      </c>
      <c r="CG206" s="151">
        <f>Financials!AM206</f>
        <v>0</v>
      </c>
      <c r="CH206" s="151">
        <f>Financials!AP206</f>
        <v>0</v>
      </c>
      <c r="CI206" s="151">
        <f>Financials!AT206</f>
        <v>0</v>
      </c>
      <c r="CJ206" s="151">
        <f>Financials!AW206</f>
        <v>0</v>
      </c>
      <c r="CK206" s="151">
        <f>Financials!AZ206</f>
        <v>0</v>
      </c>
      <c r="CL206" s="151">
        <f>Financials!BC206</f>
        <v>0</v>
      </c>
      <c r="CM206" s="151">
        <f>Financials!BG206</f>
        <v>0</v>
      </c>
      <c r="CN206" s="151">
        <f>Financials!BJ206</f>
        <v>0</v>
      </c>
      <c r="CO206" s="151">
        <f>Financials!BM206</f>
        <v>0</v>
      </c>
      <c r="CP206" s="151">
        <f>Financials!BP206</f>
        <v>0</v>
      </c>
    </row>
    <row r="207" spans="1:95" ht="12.75" hidden="1" customHeight="1" x14ac:dyDescent="0.35">
      <c r="A207" s="136"/>
      <c r="D207" s="152" t="s">
        <v>189</v>
      </c>
      <c r="E207" s="151">
        <f>Calcs!AF808</f>
        <v>0</v>
      </c>
      <c r="F207" s="151">
        <f>Calcs!AG808</f>
        <v>0</v>
      </c>
      <c r="G207" s="151">
        <f>Calcs!AH808</f>
        <v>0</v>
      </c>
      <c r="H207" s="151">
        <f>Calcs!AI808</f>
        <v>0</v>
      </c>
      <c r="I207" s="151">
        <f>Calcs!AJ808</f>
        <v>0</v>
      </c>
      <c r="J207" s="151">
        <f>Calcs!AK808</f>
        <v>0</v>
      </c>
      <c r="K207" s="151">
        <f>Calcs!AL808</f>
        <v>0</v>
      </c>
      <c r="L207" s="151">
        <f>Calcs!AM808</f>
        <v>0</v>
      </c>
      <c r="M207" s="151">
        <f>Calcs!AN808</f>
        <v>0</v>
      </c>
      <c r="N207" s="151">
        <f>Calcs!AO808</f>
        <v>0</v>
      </c>
      <c r="O207" s="151">
        <f>Calcs!AP808</f>
        <v>0</v>
      </c>
      <c r="P207" s="151">
        <f>Calcs!AQ808</f>
        <v>0</v>
      </c>
      <c r="Q207" s="151">
        <f>P207</f>
        <v>0</v>
      </c>
      <c r="R207" s="151">
        <f>Calcs!AR808</f>
        <v>0</v>
      </c>
      <c r="S207" s="151">
        <f>Calcs!AS808</f>
        <v>0</v>
      </c>
      <c r="T207" s="151">
        <f>Calcs!AT808</f>
        <v>0</v>
      </c>
      <c r="U207" s="151">
        <f>Calcs!AU808</f>
        <v>0</v>
      </c>
      <c r="V207" s="151">
        <f>Calcs!AV808</f>
        <v>0</v>
      </c>
      <c r="W207" s="151">
        <f>Calcs!AW808</f>
        <v>0</v>
      </c>
      <c r="X207" s="151">
        <f>Calcs!AX808</f>
        <v>0</v>
      </c>
      <c r="Y207" s="151">
        <f>Calcs!AY808</f>
        <v>0</v>
      </c>
      <c r="Z207" s="151">
        <f>Calcs!AZ808</f>
        <v>0</v>
      </c>
      <c r="AA207" s="151">
        <f>Calcs!BA808</f>
        <v>0</v>
      </c>
      <c r="AB207" s="151">
        <f>Calcs!BB808</f>
        <v>0</v>
      </c>
      <c r="AC207" s="151">
        <f>Calcs!BC808</f>
        <v>0</v>
      </c>
      <c r="AD207" s="151">
        <f>AC207</f>
        <v>0</v>
      </c>
      <c r="AE207" s="151">
        <f>Calcs!BD808</f>
        <v>0</v>
      </c>
      <c r="AF207" s="151">
        <f>Calcs!BE808</f>
        <v>0</v>
      </c>
      <c r="AG207" s="151">
        <f>Calcs!BF808</f>
        <v>0</v>
      </c>
      <c r="AH207" s="151">
        <f>Calcs!BG808</f>
        <v>0</v>
      </c>
      <c r="AI207" s="151">
        <f>Calcs!BH808</f>
        <v>0</v>
      </c>
      <c r="AJ207" s="151">
        <f>Calcs!BI808</f>
        <v>0</v>
      </c>
      <c r="AK207" s="151">
        <f>Calcs!BJ808</f>
        <v>0</v>
      </c>
      <c r="AL207" s="151">
        <f>Calcs!BK808</f>
        <v>0</v>
      </c>
      <c r="AM207" s="151">
        <f>Calcs!BL808</f>
        <v>0</v>
      </c>
      <c r="AN207" s="151">
        <f>Calcs!BM808</f>
        <v>0</v>
      </c>
      <c r="AO207" s="151">
        <f>Calcs!BN808</f>
        <v>0</v>
      </c>
      <c r="AP207" s="151">
        <f>Calcs!BO808</f>
        <v>0</v>
      </c>
      <c r="AQ207" s="151">
        <f>AP207</f>
        <v>0</v>
      </c>
      <c r="AR207" s="151">
        <f>Calcs!BP808</f>
        <v>0</v>
      </c>
      <c r="AS207" s="151">
        <f>Calcs!BQ808</f>
        <v>0</v>
      </c>
      <c r="AT207" s="151">
        <f>Calcs!BR808</f>
        <v>0</v>
      </c>
      <c r="AU207" s="151">
        <f>Calcs!BS808</f>
        <v>0</v>
      </c>
      <c r="AV207" s="151">
        <f>Calcs!BT808</f>
        <v>0</v>
      </c>
      <c r="AW207" s="151">
        <f>Calcs!BU808</f>
        <v>0</v>
      </c>
      <c r="AX207" s="151">
        <f>Calcs!BV808</f>
        <v>0</v>
      </c>
      <c r="AY207" s="151">
        <f>Calcs!BW808</f>
        <v>0</v>
      </c>
      <c r="AZ207" s="151">
        <f>Calcs!BX808</f>
        <v>0</v>
      </c>
      <c r="BA207" s="151">
        <f>Calcs!BY808</f>
        <v>0</v>
      </c>
      <c r="BB207" s="151">
        <f>Calcs!BZ808</f>
        <v>0</v>
      </c>
      <c r="BC207" s="151">
        <f>Calcs!CA808</f>
        <v>0</v>
      </c>
      <c r="BD207" s="151">
        <f>BC207</f>
        <v>0</v>
      </c>
      <c r="BE207" s="151">
        <f>Calcs!CB808</f>
        <v>0</v>
      </c>
      <c r="BF207" s="151">
        <f>Calcs!CC808</f>
        <v>0</v>
      </c>
      <c r="BG207" s="151">
        <f>Calcs!CD808</f>
        <v>0</v>
      </c>
      <c r="BH207" s="151">
        <f>Calcs!CE808</f>
        <v>0</v>
      </c>
      <c r="BI207" s="151">
        <f>Calcs!CF808</f>
        <v>0</v>
      </c>
      <c r="BJ207" s="151">
        <f>Calcs!CG808</f>
        <v>0</v>
      </c>
      <c r="BK207" s="151">
        <f>Calcs!CH808</f>
        <v>0</v>
      </c>
      <c r="BL207" s="151">
        <f>Calcs!CI808</f>
        <v>0</v>
      </c>
      <c r="BM207" s="151">
        <f>Calcs!CJ808</f>
        <v>0</v>
      </c>
      <c r="BN207" s="151">
        <f>Calcs!CK808</f>
        <v>0</v>
      </c>
      <c r="BO207" s="151">
        <f>Calcs!CL808</f>
        <v>0</v>
      </c>
      <c r="BP207" s="151">
        <f>Calcs!CM808</f>
        <v>0</v>
      </c>
      <c r="BQ207" s="151">
        <f>BP207</f>
        <v>0</v>
      </c>
      <c r="BR207" s="1802"/>
      <c r="BS207" s="153">
        <f>SUM(BQ207,BD207,AQ207,AD207,Q207)</f>
        <v>0</v>
      </c>
      <c r="BT207" s="1802"/>
      <c r="BU207" s="153">
        <f>BP207</f>
      </c>
      <c r="BV207" s="158"/>
      <c r="BW207" s="151"/>
      <c r="BX207" s="151"/>
      <c r="BY207" s="151"/>
      <c r="BZ207" s="151"/>
      <c r="CA207" s="151"/>
      <c r="CB207" s="151"/>
      <c r="CC207" s="151"/>
      <c r="CD207" s="151"/>
      <c r="CE207" s="151"/>
      <c r="CF207" s="151"/>
      <c r="CG207" s="151"/>
      <c r="CH207" s="151"/>
      <c r="CI207" s="151"/>
      <c r="CJ207" s="151"/>
      <c r="CK207" s="151"/>
      <c r="CL207" s="151"/>
      <c r="CM207" s="151"/>
      <c r="CN207" s="151"/>
      <c r="CO207" s="151"/>
      <c r="CP207" s="151"/>
    </row>
    <row r="208" spans="1:95" ht="12.75" hidden="1" customHeight="1" x14ac:dyDescent="0.35">
      <c r="A208" s="136"/>
      <c r="D208" s="152" t="s">
        <v>341</v>
      </c>
      <c r="E208" s="151">
        <f>Calcs!AF761+Calcs!AF820</f>
        <v>0</v>
      </c>
      <c r="F208" s="151">
        <f>Calcs!AG761+Calcs!AG820</f>
        <v>0</v>
      </c>
      <c r="G208" s="151">
        <f>Calcs!AH761+Calcs!AH820</f>
        <v>0</v>
      </c>
      <c r="H208" s="151">
        <f>Calcs!AI761+Calcs!AI820</f>
        <v>0</v>
      </c>
      <c r="I208" s="151">
        <f>Calcs!AJ761+Calcs!AJ820</f>
        <v>0</v>
      </c>
      <c r="J208" s="151">
        <f>Calcs!AK761+Calcs!AK820</f>
        <v>0</v>
      </c>
      <c r="K208" s="151">
        <f>Calcs!AL761+Calcs!AL820</f>
        <v>0</v>
      </c>
      <c r="L208" s="151">
        <f>Calcs!AM761+Calcs!AM820</f>
        <v>0</v>
      </c>
      <c r="M208" s="151">
        <f>Calcs!AN761+Calcs!AN820</f>
        <v>0</v>
      </c>
      <c r="N208" s="151">
        <f>Calcs!AO761+Calcs!AO820</f>
        <v>0</v>
      </c>
      <c r="O208" s="151">
        <f>Calcs!AP761+Calcs!AP820</f>
        <v>0</v>
      </c>
      <c r="P208" s="151">
        <f>Calcs!AQ761+Calcs!AQ820</f>
        <v>0</v>
      </c>
      <c r="Q208" s="151">
        <f>P208</f>
        <v>0</v>
      </c>
      <c r="R208" s="151">
        <f>Calcs!AR761+Calcs!AR820</f>
        <v>0</v>
      </c>
      <c r="S208" s="151">
        <f>Calcs!AS761+Calcs!AS820</f>
        <v>0</v>
      </c>
      <c r="T208" s="151">
        <f>Calcs!AT761+Calcs!AT820</f>
        <v>0</v>
      </c>
      <c r="U208" s="151">
        <f>Calcs!AU761+Calcs!AU820</f>
        <v>0</v>
      </c>
      <c r="V208" s="151">
        <f>Calcs!AV761+Calcs!AV820</f>
        <v>0</v>
      </c>
      <c r="W208" s="151">
        <f>Calcs!AW761+Calcs!AW820</f>
        <v>0</v>
      </c>
      <c r="X208" s="151">
        <f>Calcs!AX761+Calcs!AX820</f>
        <v>0</v>
      </c>
      <c r="Y208" s="151">
        <f>Calcs!AY761+Calcs!AY820</f>
        <v>0</v>
      </c>
      <c r="Z208" s="151">
        <f>Calcs!AZ761+Calcs!AZ820</f>
        <v>0</v>
      </c>
      <c r="AA208" s="151">
        <f>Calcs!BA761+Calcs!BA820</f>
        <v>0</v>
      </c>
      <c r="AB208" s="151">
        <f>Calcs!BB761+Calcs!BB820</f>
        <v>0</v>
      </c>
      <c r="AC208" s="151">
        <f>Calcs!BC761+Calcs!BC820</f>
        <v>0</v>
      </c>
      <c r="AD208" s="151">
        <f>AC208</f>
        <v>0</v>
      </c>
      <c r="AE208" s="151">
        <f>Calcs!BD761+Calcs!BD820</f>
        <v>0</v>
      </c>
      <c r="AF208" s="151">
        <f>Calcs!BE761+Calcs!BE820</f>
        <v>0</v>
      </c>
      <c r="AG208" s="151">
        <f>Calcs!BF761+Calcs!BF820</f>
        <v>0</v>
      </c>
      <c r="AH208" s="151">
        <f>Calcs!BG761+Calcs!BG820</f>
        <v>0</v>
      </c>
      <c r="AI208" s="151">
        <f>Calcs!BH761+Calcs!BH820</f>
        <v>0</v>
      </c>
      <c r="AJ208" s="151">
        <f>Calcs!BI761+Calcs!BI820</f>
        <v>0</v>
      </c>
      <c r="AK208" s="151">
        <f>Calcs!BJ761+Calcs!BJ820</f>
        <v>0</v>
      </c>
      <c r="AL208" s="151">
        <f>Calcs!BK761+Calcs!BK820</f>
        <v>0</v>
      </c>
      <c r="AM208" s="151">
        <f>Calcs!BL761+Calcs!BL820</f>
        <v>0</v>
      </c>
      <c r="AN208" s="151">
        <f>Calcs!BM761+Calcs!BM820</f>
        <v>0</v>
      </c>
      <c r="AO208" s="151">
        <f>Calcs!BN761+Calcs!BN820</f>
        <v>0</v>
      </c>
      <c r="AP208" s="151">
        <f>Calcs!BO761+Calcs!BO820</f>
        <v>0</v>
      </c>
      <c r="AQ208" s="151">
        <f>AP208</f>
        <v>0</v>
      </c>
      <c r="AR208" s="151">
        <f>Calcs!BP761+Calcs!BP820</f>
        <v>0</v>
      </c>
      <c r="AS208" s="151">
        <f>Calcs!BQ761+Calcs!BQ820</f>
        <v>0</v>
      </c>
      <c r="AT208" s="151">
        <f>Calcs!BR761+Calcs!BR820</f>
        <v>0</v>
      </c>
      <c r="AU208" s="151">
        <f>Calcs!BS761+Calcs!BS820</f>
        <v>0</v>
      </c>
      <c r="AV208" s="151">
        <f>Calcs!BT761+Calcs!BT820</f>
        <v>0</v>
      </c>
      <c r="AW208" s="151">
        <f>Calcs!BU761+Calcs!BU820</f>
        <v>0</v>
      </c>
      <c r="AX208" s="151">
        <f>Calcs!BV761+Calcs!BV820</f>
        <v>0</v>
      </c>
      <c r="AY208" s="151">
        <f>Calcs!BW761+Calcs!BW820</f>
        <v>0</v>
      </c>
      <c r="AZ208" s="151">
        <f>Calcs!BX761+Calcs!BX820</f>
        <v>0</v>
      </c>
      <c r="BA208" s="151">
        <f>Calcs!BY761+Calcs!BY820</f>
        <v>0</v>
      </c>
      <c r="BB208" s="151">
        <f>Calcs!BZ761+Calcs!BZ820</f>
        <v>0</v>
      </c>
      <c r="BC208" s="151">
        <f>Calcs!CA761+Calcs!CA820</f>
        <v>0</v>
      </c>
      <c r="BD208" s="151">
        <f>BC208</f>
        <v>0</v>
      </c>
      <c r="BE208" s="151">
        <f>Calcs!CB761+Calcs!CB820</f>
        <v>0</v>
      </c>
      <c r="BF208" s="151">
        <f>Calcs!CC761+Calcs!CC820</f>
        <v>0</v>
      </c>
      <c r="BG208" s="151">
        <f>Calcs!CD761+Calcs!CD820</f>
        <v>0</v>
      </c>
      <c r="BH208" s="151">
        <f>Calcs!CE761+Calcs!CE820</f>
        <v>0</v>
      </c>
      <c r="BI208" s="151">
        <f>Calcs!CF761+Calcs!CF820</f>
        <v>0</v>
      </c>
      <c r="BJ208" s="151">
        <f>Calcs!CG761+Calcs!CG820</f>
        <v>0</v>
      </c>
      <c r="BK208" s="151">
        <f>Calcs!CH761+Calcs!CH820</f>
        <v>0</v>
      </c>
      <c r="BL208" s="151">
        <f>Calcs!CI761+Calcs!CI820</f>
        <v>0</v>
      </c>
      <c r="BM208" s="151">
        <f>Calcs!CJ761+Calcs!CJ820</f>
        <v>0</v>
      </c>
      <c r="BN208" s="151">
        <f>Calcs!CK761+Calcs!CK820</f>
        <v>0</v>
      </c>
      <c r="BO208" s="151">
        <f>Calcs!CL761+Calcs!CL820</f>
        <v>0</v>
      </c>
      <c r="BP208" s="151">
        <f>Calcs!CM761+Calcs!CM820</f>
        <v>0</v>
      </c>
      <c r="BQ208" s="151">
        <f>BP208</f>
        <v>0</v>
      </c>
      <c r="BR208" s="1802"/>
      <c r="BS208" s="153">
        <f>SUM(BQ208,BD208,AQ208,AD208,Q208)</f>
        <v>0</v>
      </c>
      <c r="BT208" s="153"/>
      <c r="BU208" s="153">
        <f>BP208</f>
      </c>
      <c r="BV208" s="144" t="s">
        <v>341</v>
      </c>
      <c r="BW208" s="153"/>
      <c r="BX208" s="153"/>
      <c r="BY208" s="153"/>
      <c r="BZ208" s="153"/>
      <c r="CA208" s="153"/>
      <c r="CB208" s="153"/>
      <c r="CC208" s="153"/>
      <c r="CD208" s="153"/>
      <c r="CE208" s="153"/>
      <c r="CF208" s="153"/>
      <c r="CG208" s="153"/>
      <c r="CH208" s="153"/>
      <c r="CI208" s="153"/>
      <c r="CJ208" s="153"/>
      <c r="CK208" s="153"/>
      <c r="CL208" s="153"/>
      <c r="CM208" s="153"/>
      <c r="CN208" s="153"/>
      <c r="CO208" s="153"/>
      <c r="CP208" s="153"/>
      <c r="CQ208" s="179"/>
    </row>
    <row r="209" spans="1:95" ht="12.75" hidden="1" customHeight="1" x14ac:dyDescent="0.35">
      <c r="A209" s="136"/>
      <c r="D209" s="152" t="s">
        <v>256</v>
      </c>
      <c r="E209" s="151">
        <f>Calcs!AF772</f>
        <v>0</v>
      </c>
      <c r="F209" s="151">
        <f>Calcs!AG772</f>
        <v>0</v>
      </c>
      <c r="G209" s="151">
        <f>Calcs!AH772</f>
        <v>0</v>
      </c>
      <c r="H209" s="151">
        <f>Calcs!AI772</f>
        <v>0</v>
      </c>
      <c r="I209" s="151">
        <f>Calcs!AJ772</f>
        <v>0</v>
      </c>
      <c r="J209" s="151">
        <f>Calcs!AK772</f>
        <v>0</v>
      </c>
      <c r="K209" s="151">
        <f>Calcs!AL772</f>
        <v>0</v>
      </c>
      <c r="L209" s="151">
        <f>Calcs!AM772</f>
        <v>0</v>
      </c>
      <c r="M209" s="151">
        <f>Calcs!AN772</f>
        <v>0</v>
      </c>
      <c r="N209" s="151">
        <f>Calcs!AO772</f>
        <v>0</v>
      </c>
      <c r="O209" s="151">
        <f>Calcs!AP772</f>
        <v>0</v>
      </c>
      <c r="P209" s="151">
        <f>Calcs!AQ772</f>
        <v>0</v>
      </c>
      <c r="Q209" s="151">
        <f>P209</f>
        <v>0</v>
      </c>
      <c r="R209" s="151">
        <f>Calcs!AR772</f>
        <v>0</v>
      </c>
      <c r="S209" s="151">
        <f>Calcs!AS772</f>
        <v>0</v>
      </c>
      <c r="T209" s="151">
        <f>Calcs!AT772</f>
        <v>0</v>
      </c>
      <c r="U209" s="151">
        <f>Calcs!AU772</f>
        <v>0</v>
      </c>
      <c r="V209" s="151">
        <f>Calcs!AV772</f>
        <v>0</v>
      </c>
      <c r="W209" s="151">
        <f>Calcs!AW772</f>
        <v>0</v>
      </c>
      <c r="X209" s="151">
        <f>Calcs!AX772</f>
        <v>0</v>
      </c>
      <c r="Y209" s="151">
        <f>Calcs!AY772</f>
        <v>0</v>
      </c>
      <c r="Z209" s="151">
        <f>Calcs!AZ772</f>
        <v>0</v>
      </c>
      <c r="AA209" s="151">
        <f>Calcs!BA772</f>
        <v>0</v>
      </c>
      <c r="AB209" s="151">
        <f>Calcs!BB772</f>
        <v>0</v>
      </c>
      <c r="AC209" s="151">
        <f>Calcs!BC772</f>
        <v>0</v>
      </c>
      <c r="AD209" s="151">
        <f>AC209</f>
        <v>0</v>
      </c>
      <c r="AE209" s="151">
        <f>Calcs!BD772</f>
        <v>0</v>
      </c>
      <c r="AF209" s="151">
        <f>Calcs!BE772</f>
        <v>0</v>
      </c>
      <c r="AG209" s="151">
        <f>Calcs!BF772</f>
        <v>0</v>
      </c>
      <c r="AH209" s="151">
        <f>Calcs!BG772</f>
        <v>0</v>
      </c>
      <c r="AI209" s="151">
        <f>Calcs!BH772</f>
        <v>0</v>
      </c>
      <c r="AJ209" s="151">
        <f>Calcs!BI772</f>
        <v>0</v>
      </c>
      <c r="AK209" s="151">
        <f>Calcs!BJ772</f>
        <v>0</v>
      </c>
      <c r="AL209" s="151">
        <f>Calcs!BK772</f>
        <v>0</v>
      </c>
      <c r="AM209" s="151">
        <f>Calcs!BL772</f>
        <v>0</v>
      </c>
      <c r="AN209" s="151">
        <f>Calcs!BM772</f>
        <v>0</v>
      </c>
      <c r="AO209" s="151">
        <f>Calcs!BN772</f>
        <v>0</v>
      </c>
      <c r="AP209" s="151">
        <f>Calcs!BO772</f>
        <v>0</v>
      </c>
      <c r="AQ209" s="151">
        <f>AP209</f>
        <v>0</v>
      </c>
      <c r="AR209" s="151">
        <f>Calcs!BP772</f>
        <v>0</v>
      </c>
      <c r="AS209" s="151">
        <f>Calcs!BQ772</f>
        <v>0</v>
      </c>
      <c r="AT209" s="151">
        <f>Calcs!BR772</f>
        <v>0</v>
      </c>
      <c r="AU209" s="151">
        <f>Calcs!BS772</f>
        <v>0</v>
      </c>
      <c r="AV209" s="151">
        <f>Calcs!BT772</f>
        <v>0</v>
      </c>
      <c r="AW209" s="151">
        <f>Calcs!BU772</f>
        <v>0</v>
      </c>
      <c r="AX209" s="151">
        <f>Calcs!BV772</f>
        <v>0</v>
      </c>
      <c r="AY209" s="151">
        <f>Calcs!BW772</f>
        <v>0</v>
      </c>
      <c r="AZ209" s="151">
        <f>Calcs!BX772</f>
        <v>0</v>
      </c>
      <c r="BA209" s="151">
        <f>Calcs!BY772</f>
        <v>0</v>
      </c>
      <c r="BB209" s="151">
        <f>Calcs!BZ772</f>
        <v>0</v>
      </c>
      <c r="BC209" s="151">
        <f>Calcs!CA772</f>
        <v>0</v>
      </c>
      <c r="BD209" s="151">
        <f>BC209</f>
        <v>0</v>
      </c>
      <c r="BE209" s="151">
        <f>Calcs!CB772</f>
        <v>0</v>
      </c>
      <c r="BF209" s="151">
        <f>Calcs!CC772</f>
        <v>0</v>
      </c>
      <c r="BG209" s="151">
        <f>Calcs!CD772</f>
        <v>0</v>
      </c>
      <c r="BH209" s="151">
        <f>Calcs!CE772</f>
        <v>0</v>
      </c>
      <c r="BI209" s="151">
        <f>Calcs!CF772</f>
        <v>0</v>
      </c>
      <c r="BJ209" s="151">
        <f>Calcs!CG772</f>
        <v>0</v>
      </c>
      <c r="BK209" s="151">
        <f>Calcs!CH772</f>
        <v>0</v>
      </c>
      <c r="BL209" s="151">
        <f>Calcs!CI772</f>
        <v>0</v>
      </c>
      <c r="BM209" s="151">
        <f>Calcs!CJ772</f>
        <v>0</v>
      </c>
      <c r="BN209" s="151">
        <f>Calcs!CK772</f>
        <v>0</v>
      </c>
      <c r="BO209" s="151">
        <f>Calcs!CL772</f>
        <v>0</v>
      </c>
      <c r="BP209" s="151">
        <f>Calcs!CM772</f>
        <v>0</v>
      </c>
      <c r="BQ209" s="151">
        <f>BP209</f>
        <v>0</v>
      </c>
      <c r="BR209" s="1802"/>
      <c r="BS209" s="153">
        <f>SUM(BQ209,BD209,AQ209,AD209,Q209)</f>
        <v>0</v>
      </c>
      <c r="BT209" s="153"/>
      <c r="BU209" s="153">
        <f>BP209</f>
      </c>
      <c r="BV209" s="144"/>
      <c r="BW209" s="153"/>
      <c r="BX209" s="153"/>
      <c r="BY209" s="153"/>
      <c r="BZ209" s="153"/>
      <c r="CA209" s="153"/>
      <c r="CB209" s="153"/>
      <c r="CC209" s="153"/>
      <c r="CD209" s="153"/>
      <c r="CE209" s="153"/>
      <c r="CF209" s="153"/>
      <c r="CG209" s="153"/>
      <c r="CH209" s="153"/>
      <c r="CI209" s="153"/>
      <c r="CJ209" s="153"/>
      <c r="CK209" s="153"/>
      <c r="CL209" s="153"/>
      <c r="CM209" s="153"/>
      <c r="CN209" s="153"/>
      <c r="CO209" s="153"/>
      <c r="CP209" s="153"/>
      <c r="CQ209" s="179"/>
    </row>
    <row r="210" spans="1:95" ht="12.75" hidden="1" customHeight="1" x14ac:dyDescent="0.35">
      <c r="A210" s="136"/>
      <c r="B210" s="307" t="str">
        <f>IF(Input!D1309="Monthly","This row can be hidden","")</f>
        <v/>
      </c>
      <c r="D210" s="152" t="s">
        <v>321</v>
      </c>
      <c r="E210" s="151">
        <f>Calcs!L188</f>
        <v>0</v>
      </c>
      <c r="F210" s="151">
        <f>Calcs!M188</f>
        <v>0</v>
      </c>
      <c r="G210" s="151">
        <f>Calcs!N188</f>
        <v>0</v>
      </c>
      <c r="H210" s="151">
        <f>Calcs!O188</f>
        <v>0</v>
      </c>
      <c r="I210" s="151">
        <f>Calcs!P188</f>
        <v>0</v>
      </c>
      <c r="J210" s="151">
        <f>Calcs!Q188</f>
        <v>0</v>
      </c>
      <c r="K210" s="151">
        <f>Calcs!R188</f>
        <v>0</v>
      </c>
      <c r="L210" s="151">
        <f>Calcs!S188</f>
        <v>0</v>
      </c>
      <c r="M210" s="151">
        <f>Calcs!T188</f>
        <v>0</v>
      </c>
      <c r="N210" s="151">
        <f>Calcs!U188</f>
        <v>0</v>
      </c>
      <c r="O210" s="151">
        <f>Calcs!V188</f>
        <v>0</v>
      </c>
      <c r="P210" s="151">
        <f>Calcs!W188</f>
        <v>0</v>
      </c>
      <c r="Q210" s="151">
        <f>P210</f>
        <v>0</v>
      </c>
      <c r="R210" s="151">
        <f>Calcs!X188</f>
        <v>0</v>
      </c>
      <c r="S210" s="151">
        <f>Calcs!Y188</f>
        <v>0</v>
      </c>
      <c r="T210" s="151">
        <f>Calcs!Z188</f>
        <v>0</v>
      </c>
      <c r="U210" s="151">
        <f>Calcs!AA188</f>
        <v>0</v>
      </c>
      <c r="V210" s="151">
        <f>Calcs!AB188</f>
        <v>0</v>
      </c>
      <c r="W210" s="151">
        <f>Calcs!AC188</f>
        <v>0</v>
      </c>
      <c r="X210" s="151">
        <f>Calcs!AD188</f>
        <v>0</v>
      </c>
      <c r="Y210" s="151">
        <f>Calcs!AE188</f>
        <v>0</v>
      </c>
      <c r="Z210" s="151">
        <f>Calcs!AF188</f>
        <v>0</v>
      </c>
      <c r="AA210" s="151">
        <f>Calcs!AG188</f>
        <v>0</v>
      </c>
      <c r="AB210" s="151">
        <f>Calcs!AH188</f>
        <v>0</v>
      </c>
      <c r="AC210" s="151">
        <f>Calcs!AI188</f>
        <v>0</v>
      </c>
      <c r="AD210" s="151">
        <f>AC210</f>
        <v>0</v>
      </c>
      <c r="AE210" s="151">
        <f>Calcs!AJ188</f>
        <v>0</v>
      </c>
      <c r="AF210" s="151">
        <f>Calcs!AK188</f>
        <v>0</v>
      </c>
      <c r="AG210" s="151">
        <f>Calcs!AL188</f>
        <v>0</v>
      </c>
      <c r="AH210" s="151">
        <f>Calcs!AM188</f>
        <v>0</v>
      </c>
      <c r="AI210" s="151">
        <f>Calcs!AN188</f>
        <v>0</v>
      </c>
      <c r="AJ210" s="151">
        <f>Calcs!AO188</f>
        <v>0</v>
      </c>
      <c r="AK210" s="151">
        <f>Calcs!AP188</f>
        <v>0</v>
      </c>
      <c r="AL210" s="151">
        <f>Calcs!AQ188</f>
        <v>0</v>
      </c>
      <c r="AM210" s="151">
        <f>Calcs!AR188</f>
        <v>0</v>
      </c>
      <c r="AN210" s="151">
        <f>Calcs!AS188</f>
        <v>0</v>
      </c>
      <c r="AO210" s="151">
        <f>Calcs!AT188</f>
        <v>0</v>
      </c>
      <c r="AP210" s="151">
        <f>Calcs!AU188</f>
        <v>0</v>
      </c>
      <c r="AQ210" s="151">
        <f>AP210</f>
        <v>0</v>
      </c>
      <c r="AR210" s="151">
        <f>Calcs!AV188</f>
        <v>0</v>
      </c>
      <c r="AS210" s="151">
        <f>Calcs!AW188</f>
        <v>0</v>
      </c>
      <c r="AT210" s="151">
        <f>Calcs!AX188</f>
        <v>0</v>
      </c>
      <c r="AU210" s="151">
        <f>Calcs!AY188</f>
        <v>0</v>
      </c>
      <c r="AV210" s="151">
        <f>Calcs!AZ188</f>
        <v>0</v>
      </c>
      <c r="AW210" s="151">
        <f>Calcs!BA188</f>
        <v>0</v>
      </c>
      <c r="AX210" s="151">
        <f>Calcs!BB188</f>
        <v>0</v>
      </c>
      <c r="AY210" s="151">
        <f>Calcs!BC188</f>
        <v>0</v>
      </c>
      <c r="AZ210" s="151">
        <f>Calcs!BD188</f>
        <v>0</v>
      </c>
      <c r="BA210" s="151">
        <f>Calcs!BE188</f>
        <v>0</v>
      </c>
      <c r="BB210" s="151">
        <f>Calcs!BF188</f>
        <v>0</v>
      </c>
      <c r="BC210" s="151">
        <f>Calcs!BG188</f>
        <v>0</v>
      </c>
      <c r="BD210" s="151">
        <f>BC210</f>
        <v>0</v>
      </c>
      <c r="BE210" s="151">
        <f>Calcs!BH188</f>
        <v>0</v>
      </c>
      <c r="BF210" s="151">
        <f>Calcs!BI188</f>
        <v>0</v>
      </c>
      <c r="BG210" s="151">
        <f>Calcs!BJ188</f>
        <v>0</v>
      </c>
      <c r="BH210" s="151">
        <f>Calcs!BK188</f>
        <v>0</v>
      </c>
      <c r="BI210" s="151">
        <f>Calcs!BL188</f>
        <v>0</v>
      </c>
      <c r="BJ210" s="151">
        <f>Calcs!BM188</f>
        <v>0</v>
      </c>
      <c r="BK210" s="151">
        <f>Calcs!BN188</f>
        <v>0</v>
      </c>
      <c r="BL210" s="151">
        <f>Calcs!BO188</f>
        <v>0</v>
      </c>
      <c r="BM210" s="151">
        <f>Calcs!BP188</f>
        <v>0</v>
      </c>
      <c r="BN210" s="151">
        <f>Calcs!BQ188</f>
        <v>0</v>
      </c>
      <c r="BO210" s="151">
        <f>Calcs!BR188</f>
        <v>0</v>
      </c>
      <c r="BP210" s="151">
        <f>Calcs!BS188</f>
        <v>0</v>
      </c>
      <c r="BQ210" s="151">
        <f>BP210</f>
        <v>0</v>
      </c>
      <c r="BR210" s="1802"/>
      <c r="BS210" s="153">
        <f>SUM(BQ210,BD210,AQ210,AD210,Q210)</f>
        <v>0</v>
      </c>
      <c r="BT210" s="153"/>
      <c r="BU210" s="153">
        <f>BP210</f>
      </c>
      <c r="BV210" s="144"/>
      <c r="BW210" s="153"/>
      <c r="BX210" s="153"/>
      <c r="BY210" s="153"/>
      <c r="BZ210" s="153"/>
      <c r="CA210" s="153"/>
      <c r="CB210" s="153"/>
      <c r="CC210" s="153"/>
      <c r="CD210" s="153"/>
      <c r="CE210" s="153"/>
      <c r="CF210" s="153"/>
      <c r="CG210" s="153"/>
      <c r="CH210" s="153"/>
      <c r="CI210" s="153"/>
      <c r="CJ210" s="153"/>
      <c r="CK210" s="153"/>
      <c r="CL210" s="153"/>
      <c r="CM210" s="153"/>
      <c r="CN210" s="153"/>
      <c r="CO210" s="153"/>
      <c r="CP210" s="153"/>
      <c r="CQ210" s="179"/>
    </row>
    <row r="211" spans="1:95" ht="12.75" customHeight="1" x14ac:dyDescent="0.35">
      <c r="A211" s="165"/>
      <c r="D211" s="142" t="s">
        <v>342</v>
      </c>
      <c r="E211" s="183">
        <f>SUM(E206:E210)</f>
        <v>0</v>
      </c>
      <c r="F211" s="183">
        <f>SUM(F206:F210)</f>
        <v>0</v>
      </c>
      <c r="G211" s="183">
        <f>SUM(G206:G210)</f>
        <v>0</v>
      </c>
      <c r="H211" s="183">
        <f>SUM(H206:H210)</f>
        <v>0</v>
      </c>
      <c r="I211" s="183">
        <f>SUM(I206:I210)</f>
        <v>0</v>
      </c>
      <c r="J211" s="183">
        <f>SUM(J206:J210)</f>
        <v>0</v>
      </c>
      <c r="K211" s="183">
        <f>SUM(K206:K210)</f>
        <v>0</v>
      </c>
      <c r="L211" s="183">
        <f>SUM(L206:L210)</f>
        <v>0</v>
      </c>
      <c r="M211" s="183">
        <f>SUM(M206:M210)</f>
        <v>0</v>
      </c>
      <c r="N211" s="183">
        <f>SUM(N206:N210)</f>
        <v>0</v>
      </c>
      <c r="O211" s="183">
        <f>SUM(O206:O210)</f>
        <v>0</v>
      </c>
      <c r="P211" s="183">
        <f>SUM(P206:P210)</f>
        <v>0</v>
      </c>
      <c r="Q211" s="183">
        <f>SUM(Q206:Q210)</f>
        <v>0</v>
      </c>
      <c r="R211" s="183">
        <f>SUM(R206:R210)</f>
        <v>0</v>
      </c>
      <c r="S211" s="183">
        <f>SUM(S206:S210)</f>
        <v>0</v>
      </c>
      <c r="T211" s="183">
        <f>SUM(T206:T210)</f>
        <v>0</v>
      </c>
      <c r="U211" s="183">
        <f>SUM(U206:U210)</f>
        <v>0</v>
      </c>
      <c r="V211" s="183">
        <f>SUM(V206:V210)</f>
        <v>0</v>
      </c>
      <c r="W211" s="183">
        <f>SUM(W206:W210)</f>
        <v>0</v>
      </c>
      <c r="X211" s="183">
        <f>SUM(X206:X210)</f>
        <v>0</v>
      </c>
      <c r="Y211" s="183">
        <f>SUM(Y206:Y210)</f>
        <v>0</v>
      </c>
      <c r="Z211" s="183">
        <f>SUM(Z206:Z210)</f>
        <v>0</v>
      </c>
      <c r="AA211" s="183">
        <f>SUM(AA206:AA210)</f>
        <v>0</v>
      </c>
      <c r="AB211" s="183">
        <f>SUM(AB206:AB210)</f>
        <v>0</v>
      </c>
      <c r="AC211" s="183">
        <f>SUM(AC206:AC210)</f>
        <v>0</v>
      </c>
      <c r="AD211" s="183">
        <f>SUM(AD206:AD210)</f>
        <v>0</v>
      </c>
      <c r="AE211" s="183">
        <f>SUM(AE206:AE210)</f>
        <v>0</v>
      </c>
      <c r="AF211" s="183">
        <f>SUM(AF206:AF210)</f>
        <v>0</v>
      </c>
      <c r="AG211" s="183">
        <f>SUM(AG206:AG210)</f>
        <v>0</v>
      </c>
      <c r="AH211" s="183">
        <f>SUM(AH206:AH210)</f>
        <v>0</v>
      </c>
      <c r="AI211" s="183">
        <f>SUM(AI206:AI210)</f>
        <v>0</v>
      </c>
      <c r="AJ211" s="183">
        <f>SUM(AJ206:AJ210)</f>
        <v>0</v>
      </c>
      <c r="AK211" s="183">
        <f>SUM(AK206:AK210)</f>
        <v>0</v>
      </c>
      <c r="AL211" s="183">
        <f>SUM(AL206:AL210)</f>
        <v>0</v>
      </c>
      <c r="AM211" s="183">
        <f>SUM(AM206:AM210)</f>
        <v>0</v>
      </c>
      <c r="AN211" s="183">
        <f>SUM(AN206:AN210)</f>
        <v>0</v>
      </c>
      <c r="AO211" s="183">
        <f>SUM(AO206:AO210)</f>
        <v>0</v>
      </c>
      <c r="AP211" s="183">
        <f>SUM(AP206:AP210)</f>
        <v>0</v>
      </c>
      <c r="AQ211" s="183">
        <f>SUM(AQ206:AQ210)</f>
        <v>0</v>
      </c>
      <c r="AR211" s="183">
        <f>SUM(AR206:AR210)</f>
        <v>0</v>
      </c>
      <c r="AS211" s="183">
        <f>SUM(AS206:AS210)</f>
        <v>0</v>
      </c>
      <c r="AT211" s="183">
        <f>SUM(AT206:AT210)</f>
        <v>0</v>
      </c>
      <c r="AU211" s="183">
        <f>SUM(AU206:AU210)</f>
        <v>0</v>
      </c>
      <c r="AV211" s="183">
        <f>SUM(AV206:AV210)</f>
        <v>0</v>
      </c>
      <c r="AW211" s="183">
        <f>SUM(AW206:AW210)</f>
        <v>0</v>
      </c>
      <c r="AX211" s="183">
        <f>SUM(AX206:AX210)</f>
        <v>0</v>
      </c>
      <c r="AY211" s="183">
        <f>SUM(AY206:AY210)</f>
        <v>0</v>
      </c>
      <c r="AZ211" s="183">
        <f>SUM(AZ206:AZ210)</f>
        <v>0</v>
      </c>
      <c r="BA211" s="183">
        <f>SUM(BA206:BA210)</f>
        <v>0</v>
      </c>
      <c r="BB211" s="183">
        <f>SUM(BB206:BB210)</f>
        <v>0</v>
      </c>
      <c r="BC211" s="183">
        <f>SUM(BC206:BC210)</f>
        <v>0</v>
      </c>
      <c r="BD211" s="183">
        <f>SUM(BD206:BD210)</f>
        <v>0</v>
      </c>
      <c r="BE211" s="183">
        <f>SUM(BE206:BE210)</f>
        <v>0</v>
      </c>
      <c r="BF211" s="183">
        <f>SUM(BF206:BF210)</f>
        <v>0</v>
      </c>
      <c r="BG211" s="183">
        <f>SUM(BG206:BG210)</f>
        <v>0</v>
      </c>
      <c r="BH211" s="183">
        <f>SUM(BH206:BH210)</f>
        <v>0</v>
      </c>
      <c r="BI211" s="183">
        <f>SUM(BI206:BI210)</f>
        <v>0</v>
      </c>
      <c r="BJ211" s="183">
        <f>SUM(BJ206:BJ210)</f>
        <v>0</v>
      </c>
      <c r="BK211" s="183">
        <f>SUM(BK206:BK210)</f>
        <v>0</v>
      </c>
      <c r="BL211" s="183">
        <f>SUM(BL206:BL210)</f>
        <v>0</v>
      </c>
      <c r="BM211" s="183">
        <f>SUM(BM206:BM210)</f>
        <v>0</v>
      </c>
      <c r="BN211" s="183">
        <f>SUM(BN206:BN210)</f>
        <v>0</v>
      </c>
      <c r="BO211" s="183">
        <f>SUM(BO206:BO210)</f>
        <v>0</v>
      </c>
      <c r="BP211" s="183">
        <f>SUM(BP206:BP210)</f>
        <v>0</v>
      </c>
      <c r="BQ211" s="183">
        <f>SUM(BQ206:BQ210)</f>
        <v>0</v>
      </c>
      <c r="BR211" s="257"/>
      <c r="BS211" s="153">
        <v>1</v>
      </c>
      <c r="BT211" s="156"/>
      <c r="BU211" s="156">
        <f>SUM(BU206:BU210)</f>
      </c>
      <c r="BV211" s="1185" t="s">
        <v>342</v>
      </c>
      <c r="BW211" s="1213">
        <f>SUM(BW206:BW208)</f>
        <v>0</v>
      </c>
      <c r="BX211" s="1213">
        <f>SUM(BX206:BX208)</f>
        <v>0</v>
      </c>
      <c r="BY211" s="1213">
        <f>SUM(BY206:BY208)</f>
        <v>0</v>
      </c>
      <c r="BZ211" s="1213">
        <f>SUM(BZ206:BZ208)</f>
        <v>0</v>
      </c>
      <c r="CA211" s="1213">
        <f>SUM(CA206:CA208)</f>
        <v>0</v>
      </c>
      <c r="CB211" s="1213">
        <f>SUM(CB206:CB208)</f>
        <v>0</v>
      </c>
      <c r="CC211" s="1213">
        <f>SUM(CC206:CC208)</f>
        <v>0</v>
      </c>
      <c r="CD211" s="1213">
        <f>SUM(CD206:CD208)</f>
        <v>0</v>
      </c>
      <c r="CE211" s="1213">
        <f>SUM(CE206:CE208)</f>
        <v>0</v>
      </c>
      <c r="CF211" s="1213">
        <f>SUM(CF206:CF208)</f>
        <v>0</v>
      </c>
      <c r="CG211" s="1213">
        <f>SUM(CG206:CG208)</f>
        <v>0</v>
      </c>
      <c r="CH211" s="1213">
        <f>SUM(CH206:CH208)</f>
        <v>0</v>
      </c>
      <c r="CI211" s="1213">
        <f>SUM(CI206:CI208)</f>
        <v>0</v>
      </c>
      <c r="CJ211" s="1213">
        <f>SUM(CJ206:CJ208)</f>
        <v>0</v>
      </c>
      <c r="CK211" s="1213">
        <f>SUM(CK206:CK208)</f>
        <v>0</v>
      </c>
      <c r="CL211" s="1213">
        <f>SUM(CL206:CL208)</f>
        <v>0</v>
      </c>
      <c r="CM211" s="1213">
        <f>SUM(CM206:CM208)</f>
        <v>0</v>
      </c>
      <c r="CN211" s="1213">
        <f>SUM(CN206:CN208)</f>
        <v>0</v>
      </c>
      <c r="CO211" s="1213">
        <f>SUM(CO206:CO208)</f>
        <v>0</v>
      </c>
      <c r="CP211" s="1213">
        <f>SUM(CP206:CP208)</f>
        <v>0</v>
      </c>
      <c r="CQ211" s="179"/>
    </row>
    <row r="212" spans="1:95" ht="5.15" customHeight="1" x14ac:dyDescent="0.35">
      <c r="A212" s="136"/>
      <c r="D212" s="142"/>
      <c r="E212" s="151"/>
      <c r="F212" s="178"/>
      <c r="G212" s="151"/>
      <c r="H212" s="151"/>
      <c r="I212" s="151"/>
      <c r="J212" s="151"/>
      <c r="K212" s="151"/>
      <c r="L212" s="151"/>
      <c r="M212" s="151"/>
      <c r="N212" s="151"/>
      <c r="O212" s="151"/>
      <c r="P212" s="151"/>
      <c r="Q212" s="151"/>
      <c r="R212" s="151"/>
      <c r="S212" s="151"/>
      <c r="T212" s="151"/>
      <c r="U212" s="151"/>
      <c r="V212" s="151"/>
      <c r="W212" s="151"/>
      <c r="X212" s="151"/>
      <c r="Y212" s="151"/>
      <c r="Z212" s="151"/>
      <c r="AA212" s="151"/>
      <c r="AB212" s="151"/>
      <c r="AC212" s="151"/>
      <c r="AD212" s="151"/>
      <c r="AE212" s="151"/>
      <c r="AF212" s="151"/>
      <c r="AG212" s="151"/>
      <c r="AH212" s="151"/>
      <c r="AI212" s="151"/>
      <c r="AJ212" s="151"/>
      <c r="AK212" s="151"/>
      <c r="AL212" s="151"/>
      <c r="AM212" s="151"/>
      <c r="AN212" s="151"/>
      <c r="AO212" s="151"/>
      <c r="AP212" s="151"/>
      <c r="AQ212" s="151"/>
      <c r="AR212" s="151"/>
      <c r="AS212" s="151"/>
      <c r="AT212" s="151"/>
      <c r="AU212" s="151"/>
      <c r="AV212" s="151"/>
      <c r="AW212" s="151"/>
      <c r="AX212" s="151"/>
      <c r="AY212" s="151"/>
      <c r="AZ212" s="151"/>
      <c r="BA212" s="151"/>
      <c r="BB212" s="151"/>
      <c r="BC212" s="151"/>
      <c r="BD212" s="151"/>
      <c r="BE212" s="151"/>
      <c r="BF212" s="151"/>
      <c r="BG212" s="151"/>
      <c r="BH212" s="151"/>
      <c r="BI212" s="151"/>
      <c r="BJ212" s="151"/>
      <c r="BK212" s="151"/>
      <c r="BL212" s="151"/>
      <c r="BM212" s="151"/>
      <c r="BN212" s="151"/>
      <c r="BO212" s="151"/>
      <c r="BP212" s="151"/>
      <c r="BQ212" s="151"/>
      <c r="BR212" s="1802"/>
      <c r="BS212" s="153">
        <v>1</v>
      </c>
      <c r="BT212" s="153"/>
      <c r="BU212" s="153"/>
      <c r="BV212" s="1185"/>
      <c r="BW212" s="153"/>
      <c r="BX212" s="153"/>
      <c r="BY212" s="153"/>
      <c r="BZ212" s="153"/>
      <c r="CA212" s="153"/>
      <c r="CB212" s="153"/>
      <c r="CC212" s="153"/>
      <c r="CD212" s="153"/>
      <c r="CE212" s="153"/>
      <c r="CF212" s="153"/>
      <c r="CG212" s="153"/>
      <c r="CH212" s="153"/>
      <c r="CI212" s="153"/>
      <c r="CJ212" s="153"/>
      <c r="CK212" s="153"/>
      <c r="CL212" s="153"/>
      <c r="CM212" s="153"/>
      <c r="CN212" s="153"/>
      <c r="CO212" s="153"/>
      <c r="CP212" s="153"/>
      <c r="CQ212" s="179"/>
    </row>
    <row r="213" spans="1:95" ht="12.75" customHeight="1" x14ac:dyDescent="0.35">
      <c r="A213" s="136"/>
      <c r="D213" s="142" t="s">
        <v>343</v>
      </c>
      <c r="E213" s="151"/>
      <c r="F213" s="178"/>
      <c r="G213" s="151"/>
      <c r="H213" s="151"/>
      <c r="I213" s="151"/>
      <c r="J213" s="151"/>
      <c r="K213" s="151"/>
      <c r="L213" s="151"/>
      <c r="M213" s="151"/>
      <c r="N213" s="151"/>
      <c r="O213" s="151"/>
      <c r="P213" s="151"/>
      <c r="Q213" s="151"/>
      <c r="R213" s="151"/>
      <c r="S213" s="151"/>
      <c r="T213" s="151"/>
      <c r="U213" s="151"/>
      <c r="V213" s="151"/>
      <c r="W213" s="151"/>
      <c r="X213" s="151"/>
      <c r="Y213" s="151"/>
      <c r="Z213" s="151"/>
      <c r="AA213" s="151"/>
      <c r="AB213" s="151"/>
      <c r="AC213" s="151"/>
      <c r="AD213" s="151"/>
      <c r="AE213" s="151"/>
      <c r="AF213" s="151"/>
      <c r="AG213" s="151"/>
      <c r="AH213" s="151"/>
      <c r="AI213" s="151"/>
      <c r="AJ213" s="151"/>
      <c r="AK213" s="151"/>
      <c r="AL213" s="151"/>
      <c r="AM213" s="151"/>
      <c r="AN213" s="151"/>
      <c r="AO213" s="151"/>
      <c r="AP213" s="151"/>
      <c r="AQ213" s="151"/>
      <c r="AR213" s="151"/>
      <c r="AS213" s="151"/>
      <c r="AT213" s="151"/>
      <c r="AU213" s="151"/>
      <c r="AV213" s="151"/>
      <c r="AW213" s="151"/>
      <c r="AX213" s="151"/>
      <c r="AY213" s="151"/>
      <c r="AZ213" s="151"/>
      <c r="BA213" s="151"/>
      <c r="BB213" s="151"/>
      <c r="BC213" s="151"/>
      <c r="BD213" s="151"/>
      <c r="BE213" s="151"/>
      <c r="BF213" s="151"/>
      <c r="BG213" s="151"/>
      <c r="BH213" s="151"/>
      <c r="BI213" s="151"/>
      <c r="BJ213" s="151"/>
      <c r="BK213" s="151"/>
      <c r="BL213" s="151"/>
      <c r="BM213" s="151"/>
      <c r="BN213" s="151"/>
      <c r="BO213" s="151"/>
      <c r="BP213" s="151"/>
      <c r="BQ213" s="151"/>
      <c r="BR213" s="1802"/>
      <c r="BS213" s="153">
        <v>1</v>
      </c>
      <c r="BT213" s="153"/>
      <c r="BU213" s="153"/>
      <c r="BV213" s="1185" t="s">
        <v>343</v>
      </c>
      <c r="BW213" s="153"/>
      <c r="BX213" s="153"/>
      <c r="BY213" s="153"/>
      <c r="BZ213" s="153"/>
      <c r="CA213" s="153"/>
      <c r="CB213" s="153"/>
      <c r="CC213" s="153"/>
      <c r="CD213" s="153"/>
      <c r="CE213" s="153"/>
      <c r="CF213" s="153"/>
      <c r="CG213" s="153"/>
      <c r="CH213" s="153"/>
      <c r="CI213" s="153"/>
      <c r="CJ213" s="153"/>
      <c r="CK213" s="153"/>
      <c r="CL213" s="153"/>
      <c r="CM213" s="153"/>
      <c r="CN213" s="153"/>
      <c r="CO213" s="153"/>
      <c r="CP213" s="153"/>
      <c r="CQ213" s="179"/>
    </row>
    <row r="214" spans="1:95" ht="12.75" customHeight="1" x14ac:dyDescent="0.35">
      <c r="A214" s="136"/>
      <c r="D214" s="152" t="s">
        <v>344</v>
      </c>
      <c r="E214" s="151">
        <f>Calcs!AF774</f>
        <v>0</v>
      </c>
      <c r="F214" s="151">
        <f>Calcs!AG774</f>
        <v>0</v>
      </c>
      <c r="G214" s="151">
        <f>Calcs!AH774</f>
        <v>0</v>
      </c>
      <c r="H214" s="151">
        <f>Calcs!AI774</f>
        <v>0</v>
      </c>
      <c r="I214" s="151">
        <f>Calcs!AJ774</f>
        <v>0</v>
      </c>
      <c r="J214" s="151">
        <f>Calcs!AK774</f>
        <v>0</v>
      </c>
      <c r="K214" s="151">
        <f>Calcs!AL774</f>
        <v>0</v>
      </c>
      <c r="L214" s="151">
        <f>Calcs!AM774</f>
        <v>0</v>
      </c>
      <c r="M214" s="151">
        <f>Calcs!AN774</f>
        <v>0</v>
      </c>
      <c r="N214" s="151">
        <f>Calcs!AO774</f>
        <v>0</v>
      </c>
      <c r="O214" s="151">
        <f>Calcs!AP774</f>
        <v>0</v>
      </c>
      <c r="P214" s="151">
        <f>Calcs!AQ774</f>
        <v>0</v>
      </c>
      <c r="Q214" s="151">
        <f>P214</f>
        <v>0</v>
      </c>
      <c r="R214" s="151">
        <f>Calcs!AR774</f>
        <v>0</v>
      </c>
      <c r="S214" s="151">
        <f>Calcs!AS774</f>
        <v>0</v>
      </c>
      <c r="T214" s="151">
        <f>Calcs!AT774</f>
      </c>
      <c r="U214" s="151">
        <f>Calcs!AU774</f>
      </c>
      <c r="V214" s="151">
        <f>Calcs!AV774</f>
      </c>
      <c r="W214" s="151">
        <f>Calcs!AW774</f>
      </c>
      <c r="X214" s="151">
        <f>Calcs!AX774</f>
      </c>
      <c r="Y214" s="151">
        <f>Calcs!AY774</f>
      </c>
      <c r="Z214" s="151">
        <f>Calcs!AZ774</f>
      </c>
      <c r="AA214" s="151">
        <f>Calcs!BA774</f>
      </c>
      <c r="AB214" s="151">
        <f>Calcs!BB774</f>
        <v>0</v>
      </c>
      <c r="AC214" s="151">
        <f>Calcs!BC774</f>
        <v>0</v>
      </c>
      <c r="AD214" s="151">
        <f>AC214</f>
        <v>0</v>
      </c>
      <c r="AE214" s="151">
        <f>Calcs!BD774</f>
        <v>0</v>
      </c>
      <c r="AF214" s="151">
        <f>Calcs!BE774</f>
        <v>0</v>
      </c>
      <c r="AG214" s="151">
        <f>Calcs!BF774</f>
        <v>0</v>
      </c>
      <c r="AH214" s="151">
        <f>Calcs!BG774</f>
        <v>0</v>
      </c>
      <c r="AI214" s="151">
        <f>Calcs!BH774</f>
        <v>0</v>
      </c>
      <c r="AJ214" s="151">
        <f>Calcs!BI774</f>
        <v>0</v>
      </c>
      <c r="AK214" s="151">
        <f>Calcs!BJ774</f>
        <v>0</v>
      </c>
      <c r="AL214" s="151">
        <f>Calcs!BK774</f>
        <v>0</v>
      </c>
      <c r="AM214" s="151">
        <f>Calcs!BL774</f>
        <v>0</v>
      </c>
      <c r="AN214" s="151">
        <f>Calcs!BM774</f>
        <v>0</v>
      </c>
      <c r="AO214" s="151">
        <f>Calcs!BN774</f>
        <v>0</v>
      </c>
      <c r="AP214" s="151">
        <f>Calcs!BO774</f>
        <v>0</v>
      </c>
      <c r="AQ214" s="151">
        <f>AP214</f>
        <v>0</v>
      </c>
      <c r="AR214" s="151">
        <f>Calcs!BP774</f>
        <v>0</v>
      </c>
      <c r="AS214" s="151">
        <f>Calcs!BQ774</f>
        <v>0</v>
      </c>
      <c r="AT214" s="151">
        <f>Calcs!BR774</f>
        <v>0</v>
      </c>
      <c r="AU214" s="151">
        <f>Calcs!BS774</f>
        <v>0</v>
      </c>
      <c r="AV214" s="151">
        <f>Calcs!BT774</f>
        <v>0</v>
      </c>
      <c r="AW214" s="151">
        <f>Calcs!BU774</f>
        <v>0</v>
      </c>
      <c r="AX214" s="151">
        <f>Calcs!BV774</f>
        <v>0</v>
      </c>
      <c r="AY214" s="151">
        <f>Calcs!BW774</f>
        <v>0</v>
      </c>
      <c r="AZ214" s="151">
        <f>Calcs!BX774</f>
        <v>0</v>
      </c>
      <c r="BA214" s="151">
        <f>Calcs!BY774</f>
        <v>0</v>
      </c>
      <c r="BB214" s="151">
        <f>Calcs!BZ774</f>
        <v>0</v>
      </c>
      <c r="BC214" s="151">
        <f>Calcs!CA774</f>
        <v>0</v>
      </c>
      <c r="BD214" s="151">
        <f>BC214</f>
        <v>0</v>
      </c>
      <c r="BE214" s="151">
        <f>Calcs!CB774</f>
        <v>0</v>
      </c>
      <c r="BF214" s="151">
        <f>Calcs!CC774</f>
        <v>0</v>
      </c>
      <c r="BG214" s="151">
        <f>Calcs!CD774</f>
        <v>0</v>
      </c>
      <c r="BH214" s="151">
        <f>Calcs!CE774</f>
        <v>0</v>
      </c>
      <c r="BI214" s="151">
        <f>Calcs!CF774</f>
        <v>0</v>
      </c>
      <c r="BJ214" s="151">
        <f>Calcs!CG774</f>
        <v>0</v>
      </c>
      <c r="BK214" s="151">
        <f>Calcs!CH774</f>
        <v>0</v>
      </c>
      <c r="BL214" s="151">
        <f>Calcs!CI774</f>
        <v>0</v>
      </c>
      <c r="BM214" s="151">
        <f>Calcs!CJ774</f>
        <v>0</v>
      </c>
      <c r="BN214" s="151">
        <f>Calcs!CK774</f>
        <v>0</v>
      </c>
      <c r="BO214" s="151">
        <f>Calcs!CL774</f>
        <v>0</v>
      </c>
      <c r="BP214" s="151">
        <f>Calcs!CM774</f>
        <v>0</v>
      </c>
      <c r="BQ214" s="151">
        <f>BP214</f>
        <v>0</v>
      </c>
      <c r="BR214" s="1802"/>
      <c r="BS214" s="153">
        <v>1</v>
      </c>
      <c r="BT214" s="153"/>
      <c r="BU214" s="153">
        <f>BP214</f>
      </c>
      <c r="BV214" s="144" t="s">
        <v>344</v>
      </c>
      <c r="BW214" s="153">
        <f>Financials!G214</f>
        <v>0</v>
      </c>
      <c r="BX214" s="153">
        <f>Financials!J214</f>
        <v>0</v>
      </c>
      <c r="BY214" s="153">
        <f>Financials!M214</f>
        <v>0</v>
      </c>
      <c r="BZ214" s="153">
        <f>Financials!P214</f>
        <v>0</v>
      </c>
      <c r="CA214" s="153">
        <f>Financials!T214</f>
        <v>0</v>
      </c>
      <c r="CB214" s="153">
        <f>Financials!W214</f>
        <v>0</v>
      </c>
      <c r="CC214" s="153">
        <f>Financials!Z214</f>
        <v>0</v>
      </c>
      <c r="CD214" s="153">
        <f>Financials!AC214</f>
        <v>0</v>
      </c>
      <c r="CE214" s="153">
        <f>Financials!AG214</f>
        <v>0</v>
      </c>
      <c r="CF214" s="153">
        <f>Financials!AJ214</f>
        <v>0</v>
      </c>
      <c r="CG214" s="153">
        <f>Financials!AM214</f>
        <v>0</v>
      </c>
      <c r="CH214" s="153">
        <f>Financials!AP214</f>
        <v>0</v>
      </c>
      <c r="CI214" s="153">
        <f>Financials!AT214</f>
        <v>0</v>
      </c>
      <c r="CJ214" s="153">
        <f>Financials!AW214</f>
        <v>0</v>
      </c>
      <c r="CK214" s="153">
        <f>Financials!AZ214</f>
        <v>0</v>
      </c>
      <c r="CL214" s="153">
        <f>Financials!BC214</f>
        <v>0</v>
      </c>
      <c r="CM214" s="153">
        <f>Financials!BG214</f>
        <v>0</v>
      </c>
      <c r="CN214" s="153">
        <f>Financials!BJ214</f>
        <v>0</v>
      </c>
      <c r="CO214" s="153">
        <f>Financials!BM214</f>
        <v>0</v>
      </c>
      <c r="CP214" s="153">
        <f>Financials!BP214</f>
        <v>0</v>
      </c>
      <c r="CQ214" s="179"/>
    </row>
    <row r="215" spans="1:95" ht="12.75" customHeight="1" x14ac:dyDescent="0.35">
      <c r="A215" s="136"/>
      <c r="D215" s="142" t="s">
        <v>345</v>
      </c>
      <c r="E215" s="183">
        <f>E214</f>
        <v>0</v>
      </c>
      <c r="F215" s="183">
        <f>F214</f>
        <v>0</v>
      </c>
      <c r="G215" s="183">
        <f>G214</f>
        <v>0</v>
      </c>
      <c r="H215" s="183">
        <f>H214</f>
        <v>0</v>
      </c>
      <c r="I215" s="183">
        <f>I214</f>
        <v>0</v>
      </c>
      <c r="J215" s="183">
        <f>J214</f>
        <v>0</v>
      </c>
      <c r="K215" s="183">
        <f>K214</f>
        <v>0</v>
      </c>
      <c r="L215" s="183">
        <f>L214</f>
        <v>0</v>
      </c>
      <c r="M215" s="183">
        <f>M214</f>
        <v>0</v>
      </c>
      <c r="N215" s="183">
        <f>N214</f>
        <v>0</v>
      </c>
      <c r="O215" s="183">
        <f>O214</f>
        <v>0</v>
      </c>
      <c r="P215" s="183">
        <f>P214</f>
        <v>0</v>
      </c>
      <c r="Q215" s="183">
        <f>P215</f>
        <v>0</v>
      </c>
      <c r="R215" s="183">
        <f>R214</f>
        <v>0</v>
      </c>
      <c r="S215" s="183">
        <f>S214</f>
        <v>0</v>
      </c>
      <c r="T215" s="183">
        <f>T214</f>
        <v>0</v>
      </c>
      <c r="U215" s="183">
        <f>U214</f>
        <v>0</v>
      </c>
      <c r="V215" s="183">
        <f>V214</f>
        <v>0</v>
      </c>
      <c r="W215" s="183">
        <f>W214</f>
        <v>0</v>
      </c>
      <c r="X215" s="183">
        <f>X214</f>
        <v>0</v>
      </c>
      <c r="Y215" s="183">
        <f>Y214</f>
        <v>0</v>
      </c>
      <c r="Z215" s="183">
        <f>Z214</f>
        <v>0</v>
      </c>
      <c r="AA215" s="183">
        <f>AA214</f>
        <v>0</v>
      </c>
      <c r="AB215" s="183">
        <f>AB214</f>
        <v>0</v>
      </c>
      <c r="AC215" s="183">
        <f>AC214</f>
        <v>0</v>
      </c>
      <c r="AD215" s="183">
        <f>AC215</f>
        <v>0</v>
      </c>
      <c r="AE215" s="183">
        <f>AE214</f>
        <v>0</v>
      </c>
      <c r="AF215" s="183">
        <f>AF214</f>
        <v>0</v>
      </c>
      <c r="AG215" s="183">
        <f>AG214</f>
        <v>0</v>
      </c>
      <c r="AH215" s="183">
        <f>AH214</f>
        <v>0</v>
      </c>
      <c r="AI215" s="183">
        <f>AI214</f>
        <v>0</v>
      </c>
      <c r="AJ215" s="183">
        <f>AJ214</f>
        <v>0</v>
      </c>
      <c r="AK215" s="183">
        <f>AK214</f>
        <v>0</v>
      </c>
      <c r="AL215" s="183">
        <f>AL214</f>
        <v>0</v>
      </c>
      <c r="AM215" s="183">
        <f>AM214</f>
        <v>0</v>
      </c>
      <c r="AN215" s="183">
        <f>AN214</f>
        <v>0</v>
      </c>
      <c r="AO215" s="183">
        <f>AO214</f>
        <v>0</v>
      </c>
      <c r="AP215" s="183">
        <f>AP214</f>
        <v>0</v>
      </c>
      <c r="AQ215" s="183">
        <f>AP215</f>
        <v>0</v>
      </c>
      <c r="AR215" s="183">
        <f>AR214</f>
        <v>0</v>
      </c>
      <c r="AS215" s="183">
        <f>AS214</f>
        <v>0</v>
      </c>
      <c r="AT215" s="183">
        <f>AT214</f>
        <v>0</v>
      </c>
      <c r="AU215" s="183">
        <f>AU214</f>
        <v>0</v>
      </c>
      <c r="AV215" s="183">
        <f>AV214</f>
        <v>0</v>
      </c>
      <c r="AW215" s="183">
        <f>AW214</f>
        <v>0</v>
      </c>
      <c r="AX215" s="183">
        <f>AX214</f>
        <v>0</v>
      </c>
      <c r="AY215" s="183">
        <f>AY214</f>
        <v>0</v>
      </c>
      <c r="AZ215" s="183">
        <f>AZ214</f>
        <v>0</v>
      </c>
      <c r="BA215" s="183">
        <f>BA214</f>
        <v>0</v>
      </c>
      <c r="BB215" s="183">
        <f>BB214</f>
        <v>0</v>
      </c>
      <c r="BC215" s="183">
        <f>BC214</f>
        <v>0</v>
      </c>
      <c r="BD215" s="183">
        <f>BC215</f>
        <v>0</v>
      </c>
      <c r="BE215" s="183">
        <f>BE214</f>
        <v>0</v>
      </c>
      <c r="BF215" s="183">
        <f>BF214</f>
        <v>0</v>
      </c>
      <c r="BG215" s="183">
        <f>BG214</f>
        <v>0</v>
      </c>
      <c r="BH215" s="183">
        <f>BH214</f>
        <v>0</v>
      </c>
      <c r="BI215" s="183">
        <f>BI214</f>
        <v>0</v>
      </c>
      <c r="BJ215" s="183">
        <f>BJ214</f>
        <v>0</v>
      </c>
      <c r="BK215" s="183">
        <f>BK214</f>
        <v>0</v>
      </c>
      <c r="BL215" s="183">
        <f>BL214</f>
        <v>0</v>
      </c>
      <c r="BM215" s="183">
        <f>BM214</f>
        <v>0</v>
      </c>
      <c r="BN215" s="183">
        <f>BN214</f>
        <v>0</v>
      </c>
      <c r="BO215" s="183">
        <f>BO214</f>
        <v>0</v>
      </c>
      <c r="BP215" s="183">
        <f>BP214</f>
        <v>0</v>
      </c>
      <c r="BQ215" s="183">
        <f>BP215</f>
        <v>0</v>
      </c>
      <c r="BR215" s="257"/>
      <c r="BS215" s="153">
        <v>1</v>
      </c>
      <c r="BT215" s="156"/>
      <c r="BU215" s="156">
        <f>BU214</f>
        <v>0</v>
      </c>
      <c r="BV215" s="1185" t="s">
        <v>345</v>
      </c>
      <c r="BW215" s="1213">
        <f>BW214</f>
        <v>0</v>
      </c>
      <c r="BX215" s="1213">
        <f>BX214</f>
        <v>0</v>
      </c>
      <c r="BY215" s="1213">
        <f>BY214</f>
        <v>0</v>
      </c>
      <c r="BZ215" s="1213">
        <f>BZ214</f>
        <v>0</v>
      </c>
      <c r="CA215" s="1213">
        <f>CA214</f>
        <v>0</v>
      </c>
      <c r="CB215" s="1213">
        <f>CB214</f>
        <v>0</v>
      </c>
      <c r="CC215" s="1213">
        <f>CC214</f>
        <v>0</v>
      </c>
      <c r="CD215" s="1213">
        <f>CD214</f>
        <v>0</v>
      </c>
      <c r="CE215" s="1213">
        <f>CE214</f>
        <v>0</v>
      </c>
      <c r="CF215" s="1213">
        <f>CF214</f>
        <v>0</v>
      </c>
      <c r="CG215" s="1213">
        <f>CG214</f>
        <v>0</v>
      </c>
      <c r="CH215" s="1213">
        <f>CH214</f>
        <v>0</v>
      </c>
      <c r="CI215" s="1213">
        <f>CI214</f>
        <v>0</v>
      </c>
      <c r="CJ215" s="1213">
        <f>CJ214</f>
        <v>0</v>
      </c>
      <c r="CK215" s="1213">
        <f>CK214</f>
        <v>0</v>
      </c>
      <c r="CL215" s="1213">
        <f>CL214</f>
        <v>0</v>
      </c>
      <c r="CM215" s="1213">
        <f>CM214</f>
        <v>0</v>
      </c>
      <c r="CN215" s="1213">
        <f>CN214</f>
        <v>0</v>
      </c>
      <c r="CO215" s="1213">
        <f>CO214</f>
        <v>0</v>
      </c>
      <c r="CP215" s="1213">
        <f>CP214</f>
        <v>0</v>
      </c>
      <c r="CQ215" s="179"/>
    </row>
    <row r="216" spans="1:95" ht="5.15" customHeight="1" x14ac:dyDescent="0.35">
      <c r="A216" s="136"/>
      <c r="D216" s="142"/>
      <c r="E216" s="151"/>
      <c r="F216" s="151"/>
      <c r="G216" s="151"/>
      <c r="H216" s="151"/>
      <c r="I216" s="151"/>
      <c r="J216" s="151"/>
      <c r="K216" s="151"/>
      <c r="L216" s="151"/>
      <c r="M216" s="151"/>
      <c r="N216" s="151"/>
      <c r="O216" s="151"/>
      <c r="P216" s="151"/>
      <c r="Q216" s="151"/>
      <c r="R216" s="151"/>
      <c r="S216" s="151"/>
      <c r="T216" s="151"/>
      <c r="U216" s="151"/>
      <c r="V216" s="151"/>
      <c r="W216" s="151"/>
      <c r="X216" s="151"/>
      <c r="Y216" s="151"/>
      <c r="Z216" s="151"/>
      <c r="AA216" s="151"/>
      <c r="AB216" s="151"/>
      <c r="AC216" s="151"/>
      <c r="AD216" s="151"/>
      <c r="AE216" s="151"/>
      <c r="AF216" s="151"/>
      <c r="AG216" s="151"/>
      <c r="AH216" s="151"/>
      <c r="AI216" s="151"/>
      <c r="AJ216" s="151"/>
      <c r="AK216" s="151"/>
      <c r="AL216" s="151"/>
      <c r="AM216" s="151"/>
      <c r="AN216" s="151"/>
      <c r="AO216" s="151"/>
      <c r="AP216" s="151"/>
      <c r="AQ216" s="151"/>
      <c r="AR216" s="151"/>
      <c r="AS216" s="151"/>
      <c r="AT216" s="151"/>
      <c r="AU216" s="151"/>
      <c r="AV216" s="151"/>
      <c r="AW216" s="151"/>
      <c r="AX216" s="151"/>
      <c r="AY216" s="151"/>
      <c r="AZ216" s="151"/>
      <c r="BA216" s="151"/>
      <c r="BB216" s="151"/>
      <c r="BC216" s="151"/>
      <c r="BD216" s="151"/>
      <c r="BE216" s="151"/>
      <c r="BF216" s="151"/>
      <c r="BG216" s="151"/>
      <c r="BH216" s="151"/>
      <c r="BI216" s="151"/>
      <c r="BJ216" s="151"/>
      <c r="BK216" s="151"/>
      <c r="BL216" s="151"/>
      <c r="BM216" s="151"/>
      <c r="BN216" s="151"/>
      <c r="BO216" s="151"/>
      <c r="BP216" s="151"/>
      <c r="BQ216" s="151"/>
      <c r="BR216" s="1802"/>
      <c r="BS216" s="153">
        <v>1</v>
      </c>
      <c r="BT216" s="153"/>
      <c r="BU216" s="153"/>
      <c r="BV216" s="1185"/>
      <c r="BW216" s="153"/>
      <c r="BX216" s="153"/>
      <c r="BY216" s="153"/>
      <c r="BZ216" s="153"/>
      <c r="CA216" s="153"/>
      <c r="CB216" s="153"/>
      <c r="CC216" s="153"/>
      <c r="CD216" s="153"/>
      <c r="CE216" s="153"/>
      <c r="CF216" s="153"/>
      <c r="CG216" s="153"/>
      <c r="CH216" s="153"/>
      <c r="CI216" s="153"/>
      <c r="CJ216" s="153"/>
      <c r="CK216" s="153"/>
      <c r="CL216" s="153"/>
      <c r="CM216" s="153"/>
      <c r="CN216" s="153"/>
      <c r="CO216" s="153"/>
      <c r="CP216" s="153"/>
      <c r="CQ216" s="179"/>
    </row>
    <row r="217" spans="1:95" ht="12.75" customHeight="1" thickBot="1" x14ac:dyDescent="0.4">
      <c r="A217" s="136"/>
      <c r="D217" s="142" t="s">
        <v>346</v>
      </c>
      <c r="E217" s="904">
        <f>E211+E215</f>
        <v>0</v>
      </c>
      <c r="F217" s="904">
        <f>F211+F215</f>
        <v>0</v>
      </c>
      <c r="G217" s="904">
        <f>G211+G215</f>
        <v>0</v>
      </c>
      <c r="H217" s="904">
        <f>H211+H215</f>
        <v>0</v>
      </c>
      <c r="I217" s="904">
        <f>I211+I215</f>
        <v>0</v>
      </c>
      <c r="J217" s="904">
        <f>J211+J215</f>
        <v>0</v>
      </c>
      <c r="K217" s="904">
        <f>K211+K215</f>
        <v>0</v>
      </c>
      <c r="L217" s="904">
        <f>L211+L215</f>
        <v>0</v>
      </c>
      <c r="M217" s="904">
        <f>M211+M215</f>
        <v>0</v>
      </c>
      <c r="N217" s="904">
        <f>N211+N215</f>
        <v>0</v>
      </c>
      <c r="O217" s="904">
        <f>O211+O215</f>
        <v>0</v>
      </c>
      <c r="P217" s="904">
        <f>P211+P215</f>
        <v>0</v>
      </c>
      <c r="Q217" s="904">
        <f>P217</f>
        <v>0</v>
      </c>
      <c r="R217" s="904">
        <f>R211+R215</f>
        <v>0</v>
      </c>
      <c r="S217" s="904">
        <f>S211+S215</f>
        <v>0</v>
      </c>
      <c r="T217" s="904">
        <f>T211+T215</f>
        <v>0</v>
      </c>
      <c r="U217" s="904">
        <f>U211+U215</f>
        <v>0</v>
      </c>
      <c r="V217" s="904">
        <f>V211+V215</f>
        <v>0</v>
      </c>
      <c r="W217" s="904">
        <f>W211+W215</f>
        <v>0</v>
      </c>
      <c r="X217" s="904">
        <f>X211+X215</f>
        <v>0</v>
      </c>
      <c r="Y217" s="904">
        <f>Y211+Y215</f>
        <v>0</v>
      </c>
      <c r="Z217" s="904">
        <f>Z211+Z215</f>
        <v>0</v>
      </c>
      <c r="AA217" s="904">
        <f>AA211+AA215</f>
        <v>0</v>
      </c>
      <c r="AB217" s="904">
        <f>AB211+AB215</f>
        <v>0</v>
      </c>
      <c r="AC217" s="904">
        <f>AC211+AC215</f>
        <v>0</v>
      </c>
      <c r="AD217" s="904">
        <f>AC217</f>
        <v>0</v>
      </c>
      <c r="AE217" s="904">
        <f>AE211+AE215</f>
        <v>0</v>
      </c>
      <c r="AF217" s="904">
        <f>AF211+AF215</f>
        <v>0</v>
      </c>
      <c r="AG217" s="904">
        <f>AG211+AG215</f>
        <v>0</v>
      </c>
      <c r="AH217" s="904">
        <f>AH211+AH215</f>
        <v>0</v>
      </c>
      <c r="AI217" s="904">
        <f>AI211+AI215</f>
        <v>0</v>
      </c>
      <c r="AJ217" s="904">
        <f>AJ211+AJ215</f>
        <v>0</v>
      </c>
      <c r="AK217" s="904">
        <f>AK211+AK215</f>
        <v>0</v>
      </c>
      <c r="AL217" s="904">
        <f>AL211+AL215</f>
        <v>0</v>
      </c>
      <c r="AM217" s="904">
        <f>AM211+AM215</f>
        <v>0</v>
      </c>
      <c r="AN217" s="904">
        <f>AN211+AN215</f>
        <v>0</v>
      </c>
      <c r="AO217" s="904">
        <f>AO211+AO215</f>
        <v>0</v>
      </c>
      <c r="AP217" s="904">
        <f>AP211+AP215</f>
        <v>0</v>
      </c>
      <c r="AQ217" s="904">
        <f>AP217</f>
        <v>0</v>
      </c>
      <c r="AR217" s="904">
        <f>AR211+AR215</f>
        <v>0</v>
      </c>
      <c r="AS217" s="904">
        <f>AS211+AS215</f>
        <v>0</v>
      </c>
      <c r="AT217" s="904">
        <f>AT211+AT215</f>
        <v>0</v>
      </c>
      <c r="AU217" s="904">
        <f>AU211+AU215</f>
        <v>0</v>
      </c>
      <c r="AV217" s="904">
        <f>AV211+AV215</f>
        <v>0</v>
      </c>
      <c r="AW217" s="904">
        <f>AW211+AW215</f>
        <v>0</v>
      </c>
      <c r="AX217" s="904">
        <f>AX211+AX215</f>
        <v>0</v>
      </c>
      <c r="AY217" s="904">
        <f>AY211+AY215</f>
        <v>0</v>
      </c>
      <c r="AZ217" s="904">
        <f>AZ211+AZ215</f>
        <v>0</v>
      </c>
      <c r="BA217" s="904">
        <f>BA211+BA215</f>
        <v>0</v>
      </c>
      <c r="BB217" s="904">
        <f>BB211+BB215</f>
        <v>0</v>
      </c>
      <c r="BC217" s="904">
        <f>BC211+BC215</f>
        <v>0</v>
      </c>
      <c r="BD217" s="904">
        <f>BC217</f>
        <v>0</v>
      </c>
      <c r="BE217" s="904">
        <f>BE211+BE215</f>
        <v>0</v>
      </c>
      <c r="BF217" s="904">
        <f>BF211+BF215</f>
        <v>0</v>
      </c>
      <c r="BG217" s="904">
        <f>BG211+BG215</f>
        <v>0</v>
      </c>
      <c r="BH217" s="904">
        <f>BH211+BH215</f>
        <v>0</v>
      </c>
      <c r="BI217" s="904">
        <f>BI211+BI215</f>
        <v>0</v>
      </c>
      <c r="BJ217" s="904">
        <f>BJ211+BJ215</f>
        <v>0</v>
      </c>
      <c r="BK217" s="904">
        <f>BK211+BK215</f>
        <v>0</v>
      </c>
      <c r="BL217" s="904">
        <f>BL211+BL215</f>
        <v>0</v>
      </c>
      <c r="BM217" s="904">
        <f>BM211+BM215</f>
        <v>0</v>
      </c>
      <c r="BN217" s="904">
        <f>BN211+BN215</f>
        <v>0</v>
      </c>
      <c r="BO217" s="904">
        <f>BO211+BO215</f>
        <v>0</v>
      </c>
      <c r="BP217" s="904">
        <f>BP211+BP215</f>
        <v>0</v>
      </c>
      <c r="BQ217" s="904">
        <f>BP217</f>
        <v>0</v>
      </c>
      <c r="BR217" s="1802"/>
      <c r="BS217" s="153">
        <v>1</v>
      </c>
      <c r="BT217" s="153"/>
      <c r="BU217" s="153">
        <f>BP217</f>
      </c>
      <c r="BV217" s="1185"/>
      <c r="BW217" s="153"/>
      <c r="BX217" s="153"/>
      <c r="BY217" s="153"/>
      <c r="BZ217" s="153"/>
      <c r="CA217" s="153"/>
      <c r="CB217" s="153"/>
      <c r="CC217" s="153"/>
      <c r="CD217" s="153"/>
      <c r="CE217" s="153"/>
      <c r="CF217" s="153"/>
      <c r="CG217" s="153"/>
      <c r="CH217" s="153"/>
      <c r="CI217" s="153"/>
      <c r="CJ217" s="153"/>
      <c r="CK217" s="153"/>
      <c r="CL217" s="153"/>
      <c r="CM217" s="153"/>
      <c r="CN217" s="153"/>
      <c r="CO217" s="153"/>
      <c r="CP217" s="153"/>
      <c r="CQ217" s="179"/>
    </row>
    <row r="218" spans="1:95" ht="5.15" customHeight="1" thickTop="1" x14ac:dyDescent="0.35">
      <c r="A218" s="136"/>
      <c r="D218" s="142"/>
      <c r="E218" s="151"/>
      <c r="F218" s="151"/>
      <c r="G218" s="151"/>
      <c r="H218" s="151"/>
      <c r="I218" s="151"/>
      <c r="J218" s="151"/>
      <c r="K218" s="151"/>
      <c r="L218" s="151"/>
      <c r="M218" s="151"/>
      <c r="N218" s="151"/>
      <c r="O218" s="151"/>
      <c r="P218" s="151"/>
      <c r="Q218" s="151"/>
      <c r="R218" s="151"/>
      <c r="S218" s="151"/>
      <c r="T218" s="151"/>
      <c r="U218" s="151"/>
      <c r="V218" s="151"/>
      <c r="W218" s="151"/>
      <c r="X218" s="151"/>
      <c r="Y218" s="151"/>
      <c r="Z218" s="151"/>
      <c r="AA218" s="151"/>
      <c r="AB218" s="151"/>
      <c r="AC218" s="151"/>
      <c r="AD218" s="151"/>
      <c r="AE218" s="151"/>
      <c r="AF218" s="151"/>
      <c r="AG218" s="151"/>
      <c r="AH218" s="151"/>
      <c r="AI218" s="151"/>
      <c r="AJ218" s="151"/>
      <c r="AK218" s="151"/>
      <c r="AL218" s="151"/>
      <c r="AM218" s="151"/>
      <c r="AN218" s="151"/>
      <c r="AO218" s="151"/>
      <c r="AP218" s="151"/>
      <c r="AQ218" s="151"/>
      <c r="AR218" s="151"/>
      <c r="AS218" s="151"/>
      <c r="AT218" s="151"/>
      <c r="AU218" s="151"/>
      <c r="AV218" s="151"/>
      <c r="AW218" s="151"/>
      <c r="AX218" s="151"/>
      <c r="AY218" s="151"/>
      <c r="AZ218" s="151"/>
      <c r="BA218" s="151"/>
      <c r="BB218" s="151"/>
      <c r="BC218" s="151"/>
      <c r="BD218" s="151"/>
      <c r="BE218" s="151"/>
      <c r="BF218" s="151"/>
      <c r="BG218" s="151"/>
      <c r="BH218" s="151"/>
      <c r="BI218" s="151"/>
      <c r="BJ218" s="151"/>
      <c r="BK218" s="151"/>
      <c r="BL218" s="151"/>
      <c r="BM218" s="151"/>
      <c r="BN218" s="151"/>
      <c r="BO218" s="151"/>
      <c r="BP218" s="151"/>
      <c r="BQ218" s="151"/>
      <c r="BR218" s="1802"/>
      <c r="BS218" s="153">
        <v>1</v>
      </c>
      <c r="BT218" s="153"/>
      <c r="BU218" s="153"/>
      <c r="BV218" s="1185"/>
      <c r="BW218" s="153"/>
      <c r="BX218" s="153"/>
      <c r="BY218" s="153"/>
      <c r="BZ218" s="153"/>
      <c r="CA218" s="153"/>
      <c r="CB218" s="153"/>
      <c r="CC218" s="153"/>
      <c r="CD218" s="153"/>
      <c r="CE218" s="153"/>
      <c r="CF218" s="153"/>
      <c r="CG218" s="153"/>
      <c r="CH218" s="153"/>
      <c r="CI218" s="153"/>
      <c r="CJ218" s="153"/>
      <c r="CK218" s="153"/>
      <c r="CL218" s="153"/>
      <c r="CM218" s="153"/>
      <c r="CN218" s="153"/>
      <c r="CO218" s="153"/>
      <c r="CP218" s="153"/>
      <c r="CQ218" s="179"/>
    </row>
    <row r="219" spans="1:95" ht="12.75" customHeight="1" x14ac:dyDescent="0.35">
      <c r="A219" s="136"/>
      <c r="D219" s="142" t="str">
        <f>Infrastructure!Y38</f>
        <v>Stockholders' Equity</v>
      </c>
      <c r="E219" s="151"/>
      <c r="F219" s="151"/>
      <c r="G219" s="151"/>
      <c r="H219" s="151"/>
      <c r="I219" s="151"/>
      <c r="J219" s="151"/>
      <c r="K219" s="151"/>
      <c r="L219" s="151"/>
      <c r="M219" s="151"/>
      <c r="N219" s="151"/>
      <c r="O219" s="151"/>
      <c r="P219" s="151"/>
      <c r="Q219" s="151"/>
      <c r="R219" s="151"/>
      <c r="S219" s="151"/>
      <c r="T219" s="151"/>
      <c r="U219" s="151"/>
      <c r="V219" s="151"/>
      <c r="W219" s="151"/>
      <c r="X219" s="151"/>
      <c r="Y219" s="151"/>
      <c r="Z219" s="151"/>
      <c r="AA219" s="151"/>
      <c r="AB219" s="151"/>
      <c r="AC219" s="151"/>
      <c r="AD219" s="151"/>
      <c r="AE219" s="151"/>
      <c r="AF219" s="151"/>
      <c r="AG219" s="151"/>
      <c r="AH219" s="151"/>
      <c r="AI219" s="151"/>
      <c r="AJ219" s="151"/>
      <c r="AK219" s="151"/>
      <c r="AL219" s="151"/>
      <c r="AM219" s="151"/>
      <c r="AN219" s="151"/>
      <c r="AO219" s="151"/>
      <c r="AP219" s="151"/>
      <c r="AQ219" s="151"/>
      <c r="AR219" s="151"/>
      <c r="AS219" s="151"/>
      <c r="AT219" s="151"/>
      <c r="AU219" s="151"/>
      <c r="AV219" s="151"/>
      <c r="AW219" s="151"/>
      <c r="AX219" s="151"/>
      <c r="AY219" s="151"/>
      <c r="AZ219" s="151"/>
      <c r="BA219" s="151"/>
      <c r="BB219" s="151"/>
      <c r="BC219" s="151"/>
      <c r="BD219" s="151"/>
      <c r="BE219" s="151"/>
      <c r="BF219" s="151"/>
      <c r="BG219" s="151"/>
      <c r="BH219" s="151"/>
      <c r="BI219" s="151"/>
      <c r="BJ219" s="151"/>
      <c r="BK219" s="151"/>
      <c r="BL219" s="151"/>
      <c r="BM219" s="151"/>
      <c r="BN219" s="151"/>
      <c r="BO219" s="151"/>
      <c r="BP219" s="151"/>
      <c r="BQ219" s="151"/>
      <c r="BR219" s="1802"/>
      <c r="BS219" s="153">
        <v>1</v>
      </c>
      <c r="BT219" s="153"/>
      <c r="BU219" s="153"/>
      <c r="BV219" s="1185" t="s">
        <v>347</v>
      </c>
      <c r="BW219" s="153"/>
      <c r="BX219" s="153"/>
      <c r="BY219" s="153"/>
      <c r="BZ219" s="153"/>
      <c r="CA219" s="153"/>
      <c r="CB219" s="153"/>
      <c r="CC219" s="153"/>
      <c r="CD219" s="153"/>
      <c r="CE219" s="153"/>
      <c r="CF219" s="153"/>
      <c r="CG219" s="153"/>
      <c r="CH219" s="153"/>
      <c r="CI219" s="153"/>
      <c r="CJ219" s="153"/>
      <c r="CK219" s="153"/>
      <c r="CL219" s="153"/>
      <c r="CM219" s="153"/>
      <c r="CN219" s="153"/>
      <c r="CO219" s="153"/>
      <c r="CP219" s="153"/>
      <c r="CQ219" s="179"/>
    </row>
    <row r="220" spans="1:95" ht="12.75" hidden="1" customHeight="1" x14ac:dyDescent="0.35">
      <c r="A220" s="136"/>
      <c r="D220" s="152" t="s">
        <v>62</v>
      </c>
      <c r="E220" s="151">
        <f>Calcs!AF802+Calcs!AF956</f>
        <v>0</v>
      </c>
      <c r="F220" s="151">
        <f>Calcs!AG802+Calcs!AG956</f>
        <v>0</v>
      </c>
      <c r="G220" s="151">
        <f>Calcs!AH802+Calcs!AH956</f>
        <v>0</v>
      </c>
      <c r="H220" s="151">
        <f>Calcs!AI802+Calcs!AI956</f>
        <v>0</v>
      </c>
      <c r="I220" s="151">
        <f>Calcs!AJ802+Calcs!AJ956</f>
        <v>0</v>
      </c>
      <c r="J220" s="151">
        <f>Calcs!AK802+Calcs!AK956</f>
        <v>0</v>
      </c>
      <c r="K220" s="151">
        <f>Calcs!AL802+Calcs!AL956</f>
        <v>0</v>
      </c>
      <c r="L220" s="151">
        <f>Calcs!AM802+Calcs!AM956</f>
        <v>0</v>
      </c>
      <c r="M220" s="151">
        <f>Calcs!AN802+Calcs!AN956</f>
        <v>0</v>
      </c>
      <c r="N220" s="151">
        <f>Calcs!AO802+Calcs!AO956</f>
        <v>0</v>
      </c>
      <c r="O220" s="151">
        <f>Calcs!AP802+Calcs!AP956</f>
        <v>0</v>
      </c>
      <c r="P220" s="151">
        <f>Calcs!AQ802+Calcs!AQ956</f>
        <v>0</v>
      </c>
      <c r="Q220" s="151">
        <f>P220+Calcs!AR956</f>
        <v>0</v>
      </c>
      <c r="R220" s="151">
        <f>Calcs!AR802+Calcs!AR956</f>
      </c>
      <c r="S220" s="151">
        <f>Calcs!AS802+Calcs!AS956</f>
      </c>
      <c r="T220" s="151">
        <f>Calcs!AT802+Calcs!AT956</f>
      </c>
      <c r="U220" s="151">
        <f>Calcs!AU802+Calcs!AU956</f>
      </c>
      <c r="V220" s="151">
        <f>Calcs!AV802+Calcs!AV956</f>
      </c>
      <c r="W220" s="151">
        <f>Calcs!AW802+Calcs!AW956</f>
      </c>
      <c r="X220" s="151">
        <f>Calcs!AX802+Calcs!AX956</f>
      </c>
      <c r="Y220" s="151">
        <f>Calcs!AY802+Calcs!AY956</f>
      </c>
      <c r="Z220" s="151">
        <f>Calcs!AZ802+Calcs!AZ956</f>
      </c>
      <c r="AA220" s="151">
        <f>Calcs!BA802+Calcs!BA956</f>
      </c>
      <c r="AB220" s="151">
        <f>Calcs!BB802+Calcs!BB956</f>
      </c>
      <c r="AC220" s="151">
        <f>Calcs!BC802+Calcs!BC956</f>
      </c>
      <c r="AD220" s="151">
        <f>AC220+Calcs!BE956</f>
        <v>0</v>
      </c>
      <c r="AE220" s="151">
        <f>Calcs!BD802+Calcs!BD956</f>
      </c>
      <c r="AF220" s="151">
        <f>Calcs!BE802+Calcs!BE956</f>
      </c>
      <c r="AG220" s="151">
        <f>Calcs!BF802+Calcs!BF956</f>
      </c>
      <c r="AH220" s="151">
        <f>Calcs!BG802+Calcs!BG956</f>
      </c>
      <c r="AI220" s="151">
        <f>Calcs!BH802+Calcs!BH956</f>
      </c>
      <c r="AJ220" s="151">
        <f>Calcs!BI802+Calcs!BI956</f>
      </c>
      <c r="AK220" s="151">
        <f>Calcs!BJ802+Calcs!BJ956</f>
      </c>
      <c r="AL220" s="151">
        <f>Calcs!BK802+Calcs!BK956</f>
      </c>
      <c r="AM220" s="151">
        <f>Calcs!BL802+Calcs!BL956</f>
      </c>
      <c r="AN220" s="151">
        <f>Calcs!BM802+Calcs!BM956</f>
      </c>
      <c r="AO220" s="151">
        <f>Calcs!BN802+Calcs!BN956</f>
      </c>
      <c r="AP220" s="151">
        <f>Calcs!BO802+Calcs!BO956</f>
      </c>
      <c r="AQ220" s="151">
        <f>AP220</f>
        <v>0</v>
      </c>
      <c r="AR220" s="151">
        <f>Calcs!BP802+Calcs!BP956</f>
      </c>
      <c r="AS220" s="151">
        <f>Calcs!BQ802+Calcs!BQ956</f>
      </c>
      <c r="AT220" s="151">
        <f>Calcs!BR802+Calcs!BR956</f>
      </c>
      <c r="AU220" s="151">
        <f>Calcs!BS802+Calcs!BS956</f>
      </c>
      <c r="AV220" s="151">
        <f>Calcs!BT802+Calcs!BT956</f>
      </c>
      <c r="AW220" s="151">
        <f>Calcs!BU802+Calcs!BU956</f>
      </c>
      <c r="AX220" s="151">
        <f>Calcs!BV802+Calcs!BV956</f>
      </c>
      <c r="AY220" s="151">
        <f>Calcs!BW802+Calcs!BW956</f>
      </c>
      <c r="AZ220" s="151">
        <f>Calcs!BX802+Calcs!BX956</f>
      </c>
      <c r="BA220" s="151">
        <f>Calcs!BY802+Calcs!BY956</f>
      </c>
      <c r="BB220" s="151">
        <f>Calcs!BZ802+Calcs!BZ956</f>
      </c>
      <c r="BC220" s="151">
        <f>Calcs!CA802+Calcs!CA956</f>
      </c>
      <c r="BD220" s="151">
        <f>BC220</f>
        <v>0</v>
      </c>
      <c r="BE220" s="151">
        <f>Calcs!CB802+Calcs!CB956</f>
      </c>
      <c r="BF220" s="151">
        <f>Calcs!CC802+Calcs!CC956</f>
      </c>
      <c r="BG220" s="151">
        <f>Calcs!CD802+Calcs!CD956</f>
      </c>
      <c r="BH220" s="151">
        <f>Calcs!CE802+Calcs!CE956</f>
      </c>
      <c r="BI220" s="151">
        <f>Calcs!CF802+Calcs!CF956</f>
      </c>
      <c r="BJ220" s="151">
        <f>Calcs!CG802+Calcs!CG956</f>
      </c>
      <c r="BK220" s="151">
        <f>Calcs!CH802+Calcs!CH956</f>
      </c>
      <c r="BL220" s="151">
        <f>Calcs!CI802+Calcs!CI956</f>
      </c>
      <c r="BM220" s="151">
        <f>Calcs!CJ802+Calcs!CJ956</f>
      </c>
      <c r="BN220" s="151">
        <f>Calcs!CK802+Calcs!CK956</f>
      </c>
      <c r="BO220" s="151">
        <f>Calcs!CL802+Calcs!CL956</f>
      </c>
      <c r="BP220" s="151">
        <f>Calcs!CM802+Calcs!CM956</f>
      </c>
      <c r="BQ220" s="151">
        <f>BP220</f>
        <v>0</v>
      </c>
      <c r="BR220" s="1802"/>
      <c r="BS220" s="153">
        <f>SUM(BQ220,BD220,AQ220,AD220,Q220)</f>
        <v>0</v>
      </c>
      <c r="BT220" s="153"/>
      <c r="BU220" s="153">
        <f>BP220</f>
      </c>
      <c r="BV220" s="1185"/>
      <c r="BW220" s="153"/>
      <c r="BX220" s="153"/>
      <c r="BY220" s="153"/>
      <c r="BZ220" s="153"/>
      <c r="CA220" s="153"/>
      <c r="CB220" s="153"/>
      <c r="CC220" s="153"/>
      <c r="CD220" s="153"/>
      <c r="CE220" s="153"/>
      <c r="CF220" s="153"/>
      <c r="CG220" s="153"/>
      <c r="CH220" s="153"/>
      <c r="CI220" s="153"/>
      <c r="CJ220" s="153"/>
      <c r="CK220" s="153"/>
      <c r="CL220" s="153"/>
      <c r="CM220" s="153"/>
      <c r="CN220" s="153"/>
      <c r="CO220" s="153"/>
      <c r="CP220" s="153"/>
      <c r="CQ220" s="179"/>
    </row>
    <row r="221" spans="1:95" ht="12.75" customHeight="1" x14ac:dyDescent="0.35">
      <c r="A221" s="136"/>
      <c r="D221" s="152" t="s">
        <v>348</v>
      </c>
      <c r="E221" s="151">
        <f>Calcs!AF729+Input!D1571+Calcs!AF963</f>
        <v>0</v>
      </c>
      <c r="F221" s="151">
        <f>Calcs!AG729+Calcs!AG816+E221+Calcs!AG963</f>
        <v>0</v>
      </c>
      <c r="G221" s="151">
        <f>Calcs!AH729+Calcs!AH816+F221+Calcs!AH963</f>
        <v>0</v>
      </c>
      <c r="H221" s="151">
        <f>Calcs!AI729+Calcs!AI816+G221+Calcs!AI963</f>
        <v>0</v>
      </c>
      <c r="I221" s="151">
        <f>Calcs!AJ729+Calcs!AJ816+H221+Calcs!AJ963</f>
        <v>0</v>
      </c>
      <c r="J221" s="151">
        <f>Calcs!AK729+Calcs!AK816+I221+Calcs!AK963</f>
        <v>0</v>
      </c>
      <c r="K221" s="151">
        <f>Calcs!AL729+Calcs!AL816+J221+Calcs!AL963</f>
        <v>0</v>
      </c>
      <c r="L221" s="151">
        <f>Calcs!AM729+Calcs!AM816+K221+Calcs!AM963</f>
        <v>0</v>
      </c>
      <c r="M221" s="151">
        <f>Calcs!AN729+Calcs!AN816+L221+Calcs!AN963</f>
        <v>0</v>
      </c>
      <c r="N221" s="151">
        <f>Calcs!AO729+Calcs!AO816+M221+Calcs!AO963</f>
        <v>0</v>
      </c>
      <c r="O221" s="151">
        <f>Calcs!AP729+Calcs!AP816+N221+Calcs!AP963</f>
        <v>0</v>
      </c>
      <c r="P221" s="151">
        <f>Calcs!AQ729+Calcs!AQ816+O221+Calcs!AQ963</f>
        <v>0</v>
      </c>
      <c r="Q221" s="151">
        <f>P221</f>
        <v>0</v>
      </c>
      <c r="R221" s="151">
        <f>Calcs!AR729+Q221+Calcs!AR816+Calcs!AR963</f>
        <v>0</v>
      </c>
      <c r="S221" s="151">
        <f>Calcs!AS729+R221+Calcs!AS816+Calcs!AS963</f>
        <v>0</v>
      </c>
      <c r="T221" s="151">
        <f>Calcs!AT729+S221+Calcs!AT816+Calcs!AT963</f>
        <v>0</v>
      </c>
      <c r="U221" s="151">
        <f>Calcs!AU729+T221+Calcs!AU816+Calcs!AU963</f>
        <v>0</v>
      </c>
      <c r="V221" s="151">
        <f>Calcs!AV729+U221+Calcs!AV816+Calcs!AV963</f>
        <v>0</v>
      </c>
      <c r="W221" s="151">
        <f>Calcs!AW729+V221+Calcs!AW816+Calcs!AW963</f>
        <v>0</v>
      </c>
      <c r="X221" s="151">
        <f>Calcs!AX729+W221+Calcs!AX816+Calcs!AX963</f>
        <v>0</v>
      </c>
      <c r="Y221" s="151">
        <f>Calcs!AY729+X221+Calcs!AY816+Calcs!AY963</f>
        <v>0</v>
      </c>
      <c r="Z221" s="151">
        <f>Calcs!AZ729+Y221+Calcs!AZ816+Calcs!AZ963</f>
        <v>0</v>
      </c>
      <c r="AA221" s="151">
        <f>Calcs!BA729+Z221+Calcs!BA816+Calcs!BA963</f>
        <v>0</v>
      </c>
      <c r="AB221" s="151">
        <f>Calcs!BB729+AA221+Calcs!BB816+Calcs!BB963</f>
        <v>0</v>
      </c>
      <c r="AC221" s="151">
        <f>Calcs!BC729+AB221+Calcs!BC816+Calcs!BC963</f>
        <v>0</v>
      </c>
      <c r="AD221" s="151">
        <f>AC221</f>
        <v>0</v>
      </c>
      <c r="AE221" s="151">
        <f>Calcs!BD729+AC221+Calcs!BD816+Calcs!BD963</f>
        <v>0</v>
      </c>
      <c r="AF221" s="151">
        <f>Calcs!BE729+AE221+Calcs!BE816+Calcs!BE963</f>
        <v>0</v>
      </c>
      <c r="AG221" s="151">
        <f>Calcs!BF729+AF221+Calcs!BF816+Calcs!BF963</f>
        <v>0</v>
      </c>
      <c r="AH221" s="151">
        <f>Calcs!BG729+AG221+Calcs!BG816+Calcs!BG963</f>
        <v>0</v>
      </c>
      <c r="AI221" s="151">
        <f>Calcs!BH729+AH221+Calcs!BH816+Calcs!BH963</f>
        <v>0</v>
      </c>
      <c r="AJ221" s="151">
        <f>Calcs!BI729+AI221+Calcs!BI816+Calcs!BI963</f>
        <v>0</v>
      </c>
      <c r="AK221" s="151">
        <f>Calcs!BJ729+AJ221+Calcs!BJ816+Calcs!BJ963</f>
        <v>0</v>
      </c>
      <c r="AL221" s="151">
        <f>Calcs!BK729+AK221+Calcs!BK816+Calcs!BK963</f>
        <v>0</v>
      </c>
      <c r="AM221" s="151">
        <f>Calcs!BL729+AL221+Calcs!BL816+Calcs!BL963</f>
        <v>0</v>
      </c>
      <c r="AN221" s="151">
        <f>Calcs!BM729+AM221+Calcs!BM816+Calcs!BM963</f>
        <v>0</v>
      </c>
      <c r="AO221" s="151">
        <f>Calcs!BN729+AN221+Calcs!BN816+Calcs!BN963</f>
        <v>0</v>
      </c>
      <c r="AP221" s="151">
        <f>Calcs!BO729+AO221+Calcs!BO816+Calcs!BO963</f>
        <v>0</v>
      </c>
      <c r="AQ221" s="151">
        <f>AP221</f>
        <v>0</v>
      </c>
      <c r="AR221" s="151">
        <f>IF(Years="Five",Calcs!BP729+AP221+Calcs!BP816,)+Calcs!BP963</f>
        <v>0</v>
      </c>
      <c r="AS221" s="151">
        <f>IF(Years="Five",Calcs!BQ729+AR221+Calcs!BQ816,)+Calcs!BQ963</f>
        <v>0</v>
      </c>
      <c r="AT221" s="151">
        <f>IF(Years="Five",Calcs!BR729+AS221+Calcs!BR816,)+Calcs!BR963</f>
        <v>0</v>
      </c>
      <c r="AU221" s="151">
        <f>IF(Years="Five",Calcs!BS729+AT221+Calcs!BS816,)+Calcs!BS963</f>
        <v>0</v>
      </c>
      <c r="AV221" s="151">
        <f>IF(Years="Five",Calcs!BT729+AU221+Calcs!BT816,)+Calcs!BT963</f>
        <v>0</v>
      </c>
      <c r="AW221" s="151">
        <f>IF(Years="Five",Calcs!BU729+AV221+Calcs!BU816,)+Calcs!BU963</f>
        <v>0</v>
      </c>
      <c r="AX221" s="151">
        <f>IF(Years="Five",Calcs!BV729+AW221+Calcs!BV816,)+Calcs!BV963</f>
        <v>0</v>
      </c>
      <c r="AY221" s="151">
        <f>IF(Years="Five",Calcs!BW729+AX221+Calcs!BW816,)+Calcs!BW963</f>
        <v>0</v>
      </c>
      <c r="AZ221" s="151">
        <f>IF(Years="Five",Calcs!BX729+AY221+Calcs!BX816,)+Calcs!BX963</f>
        <v>0</v>
      </c>
      <c r="BA221" s="151">
        <f>IF(Years="Five",Calcs!BY729+AZ221+Calcs!BY816,)+Calcs!BY963</f>
        <v>0</v>
      </c>
      <c r="BB221" s="151">
        <f>IF(Years="Five",Calcs!BZ729+BA221+Calcs!BZ816,)+Calcs!BZ963</f>
        <v>0</v>
      </c>
      <c r="BC221" s="151">
        <f>IF(Years="Five",Calcs!CA729+BB221+Calcs!CA816,)+Calcs!CA963</f>
        <v>0</v>
      </c>
      <c r="BD221" s="151">
        <f>BC221</f>
        <v>0</v>
      </c>
      <c r="BE221" s="151">
        <f>Calcs!CB729+BC221+Calcs!CB816+Calcs!CB963</f>
        <v>0</v>
      </c>
      <c r="BF221" s="151">
        <f>Calcs!CC729+BE221+Calcs!CC816+Calcs!CC963</f>
        <v>0</v>
      </c>
      <c r="BG221" s="151">
        <f>Calcs!CD729+BF221+Calcs!CD816+Calcs!CD963</f>
        <v>0</v>
      </c>
      <c r="BH221" s="151">
        <f>Calcs!CE729+BG221+Calcs!CE816+Calcs!CE963</f>
        <v>0</v>
      </c>
      <c r="BI221" s="151">
        <f>Calcs!CF729+BH221+Calcs!CF816+Calcs!CF963</f>
        <v>0</v>
      </c>
      <c r="BJ221" s="151">
        <f>Calcs!CG729+BI221+Calcs!CG816+Calcs!CG963</f>
        <v>0</v>
      </c>
      <c r="BK221" s="151">
        <f>Calcs!CH729+BJ221+Calcs!CH816+Calcs!CH963</f>
        <v>0</v>
      </c>
      <c r="BL221" s="151">
        <f>Calcs!CI729+BK221+Calcs!CI816+Calcs!CI963</f>
        <v>0</v>
      </c>
      <c r="BM221" s="151">
        <f>Calcs!CJ729+BL221+Calcs!CJ816+Calcs!CJ963</f>
        <v>0</v>
      </c>
      <c r="BN221" s="151">
        <f>Calcs!CK729+BM221+Calcs!CK816+Calcs!CK963</f>
        <v>0</v>
      </c>
      <c r="BO221" s="151">
        <f>Calcs!CL729+BN221+Calcs!CL816+Calcs!CL963</f>
        <v>0</v>
      </c>
      <c r="BP221" s="151">
        <f>Calcs!CM729+BO221+Calcs!CM816+Calcs!CM963</f>
        <v>0</v>
      </c>
      <c r="BQ221" s="151">
        <f>BP221</f>
        <v>0</v>
      </c>
      <c r="BR221" s="1802"/>
      <c r="BS221" s="153">
        <v>1</v>
      </c>
      <c r="BT221" s="153"/>
      <c r="BU221" s="153">
        <f>+BP221</f>
        <v>0</v>
      </c>
      <c r="BV221" s="144" t="s">
        <v>324</v>
      </c>
      <c r="BW221" s="153">
        <f>Financials!G221</f>
        <v>0</v>
      </c>
      <c r="BX221" s="153">
        <f>Financials!J221</f>
        <v>0</v>
      </c>
      <c r="BY221" s="153">
        <f>Financials!M221</f>
        <v>0</v>
      </c>
      <c r="BZ221" s="153">
        <f>Financials!P221</f>
        <v>0</v>
      </c>
      <c r="CA221" s="153">
        <f>Financials!T221</f>
        <v>0</v>
      </c>
      <c r="CB221" s="153">
        <f>Financials!W221</f>
        <v>0</v>
      </c>
      <c r="CC221" s="153">
        <f>Financials!Z221</f>
        <v>0</v>
      </c>
      <c r="CD221" s="153">
        <f>Financials!AC221</f>
        <v>0</v>
      </c>
      <c r="CE221" s="153">
        <f>Financials!AG221</f>
        <v>0</v>
      </c>
      <c r="CF221" s="153">
        <f>Financials!AJ221</f>
        <v>0</v>
      </c>
      <c r="CG221" s="153">
        <f>Financials!AM221</f>
        <v>0</v>
      </c>
      <c r="CH221" s="153">
        <f>Financials!AP221</f>
        <v>0</v>
      </c>
      <c r="CI221" s="153">
        <f>Financials!AT221</f>
        <v>0</v>
      </c>
      <c r="CJ221" s="153">
        <f>Financials!AW221</f>
        <v>0</v>
      </c>
      <c r="CK221" s="153">
        <f>Financials!AZ221</f>
        <v>0</v>
      </c>
      <c r="CL221" s="153">
        <f>Financials!BC221</f>
        <v>0</v>
      </c>
      <c r="CM221" s="153">
        <f>Financials!BG221</f>
        <v>0</v>
      </c>
      <c r="CN221" s="153">
        <f>Financials!BJ221</f>
        <v>0</v>
      </c>
      <c r="CO221" s="153">
        <f>Financials!BM221</f>
        <v>0</v>
      </c>
      <c r="CP221" s="153">
        <f>Financials!BP221</f>
        <v>0</v>
      </c>
      <c r="CQ221" s="179"/>
    </row>
    <row r="222" spans="1:95" ht="12.75" customHeight="1" x14ac:dyDescent="0.35">
      <c r="A222" s="136"/>
      <c r="D222" s="152" t="s">
        <v>349</v>
      </c>
      <c r="E222" s="151">
        <f>E268+Calcs!AF730+Input!D1572</f>
        <v>0</v>
      </c>
      <c r="F222" s="151">
        <f>Calcs!AG730+Financials!E222</f>
        <v>0</v>
      </c>
      <c r="G222" s="151">
        <f>Calcs!AH730+Financials!F222</f>
        <v>0</v>
      </c>
      <c r="H222" s="151">
        <f>Calcs!AI730+Financials!G222</f>
        <v>0</v>
      </c>
      <c r="I222" s="151">
        <f>Calcs!AJ730+Financials!H222</f>
        <v>0</v>
      </c>
      <c r="J222" s="151">
        <f>Calcs!AK730+Financials!I222</f>
        <v>0</v>
      </c>
      <c r="K222" s="151">
        <f>Calcs!AL730+Financials!J222</f>
        <v>0</v>
      </c>
      <c r="L222" s="151">
        <f>Calcs!AM730+Financials!K222</f>
        <v>0</v>
      </c>
      <c r="M222" s="151">
        <f>Calcs!AN730+Financials!L222</f>
        <v>0</v>
      </c>
      <c r="N222" s="151">
        <f>Calcs!AO730+Financials!M222</f>
        <v>0</v>
      </c>
      <c r="O222" s="151">
        <f>Calcs!AP730+Financials!N222</f>
        <v>0</v>
      </c>
      <c r="P222" s="151">
        <f>Calcs!AQ730+Financials!O222</f>
        <v>0</v>
      </c>
      <c r="Q222" s="151">
        <f>P222</f>
        <v>0</v>
      </c>
      <c r="R222" s="151">
        <f>Calcs!AR730+Financials!P222</f>
      </c>
      <c r="S222" s="151">
        <f>Calcs!AS730+Financials!R222</f>
      </c>
      <c r="T222" s="151">
        <f>Calcs!AT730+Financials!S222</f>
      </c>
      <c r="U222" s="151">
        <f>Calcs!AU730+Financials!T222</f>
      </c>
      <c r="V222" s="151">
        <f>Calcs!AV730+Financials!U222</f>
      </c>
      <c r="W222" s="151">
        <f>Calcs!AW730+Financials!V222</f>
      </c>
      <c r="X222" s="151">
        <f>Calcs!AX730+Financials!W222</f>
      </c>
      <c r="Y222" s="151">
        <f>Calcs!AY730+Financials!X222</f>
      </c>
      <c r="Z222" s="151">
        <f>Calcs!AZ730+Financials!Y222</f>
      </c>
      <c r="AA222" s="151">
        <f>Calcs!BA730+Financials!Z222</f>
      </c>
      <c r="AB222" s="151">
        <f>Calcs!BB730+Financials!AA222</f>
      </c>
      <c r="AC222" s="151">
        <f>Calcs!BC730+Financials!AB222</f>
      </c>
      <c r="AD222" s="151">
        <f>AC222</f>
        <v>0</v>
      </c>
      <c r="AE222" s="151">
        <f>Calcs!BD730+Financials!AC222</f>
      </c>
      <c r="AF222" s="151">
        <f>Calcs!BE730+Financials!AE222</f>
      </c>
      <c r="AG222" s="151">
        <f>Calcs!BF730+Financials!AF222</f>
      </c>
      <c r="AH222" s="151">
        <f>Calcs!BG730+Financials!AG222</f>
      </c>
      <c r="AI222" s="151">
        <f>Calcs!BH730+Financials!AH222</f>
      </c>
      <c r="AJ222" s="151">
        <f>Calcs!BI730+Financials!AI222</f>
      </c>
      <c r="AK222" s="151">
        <f>Calcs!BJ730+Financials!AJ222</f>
      </c>
      <c r="AL222" s="151">
        <f>Calcs!BK730+Financials!AK222</f>
      </c>
      <c r="AM222" s="151">
        <f>Calcs!BL730+Financials!AL222</f>
      </c>
      <c r="AN222" s="151">
        <f>Calcs!BM730+Financials!AM222</f>
      </c>
      <c r="AO222" s="151">
        <f>Calcs!BN730+Financials!AN222</f>
      </c>
      <c r="AP222" s="151">
        <f>Calcs!BO730+Financials!AO222</f>
      </c>
      <c r="AQ222" s="151">
        <f>AP222</f>
        <v>0</v>
      </c>
      <c r="AR222" s="151">
        <f>IF(Years="Five",Calcs!BP730+Financials!AP222,0)</f>
      </c>
      <c r="AS222" s="151">
        <f>Calcs!BQ730+Financials!AR222</f>
      </c>
      <c r="AT222" s="151">
        <f>Calcs!BR730+Financials!AS222</f>
      </c>
      <c r="AU222" s="151">
        <f>Calcs!BS730+Financials!AT222</f>
      </c>
      <c r="AV222" s="151">
        <f>Calcs!BT730+Financials!AU222</f>
      </c>
      <c r="AW222" s="151">
        <f>Calcs!BU730+Financials!AV222</f>
      </c>
      <c r="AX222" s="151">
        <f>Calcs!BV730+Financials!AW222</f>
      </c>
      <c r="AY222" s="151">
        <f>Calcs!BW730+Financials!AX222</f>
      </c>
      <c r="AZ222" s="151">
        <f>Calcs!BX730+Financials!AY222</f>
      </c>
      <c r="BA222" s="151">
        <f>Calcs!BY730+Financials!AZ222</f>
      </c>
      <c r="BB222" s="151">
        <f>Calcs!BZ730+Financials!BA222</f>
      </c>
      <c r="BC222" s="151">
        <f>Calcs!CA730+Financials!BB222</f>
      </c>
      <c r="BD222" s="151">
        <f>BC222</f>
        <v>0</v>
      </c>
      <c r="BE222" s="151">
        <f>Calcs!CB730+Financials!BC222</f>
      </c>
      <c r="BF222" s="151">
        <f>Calcs!CC730+Financials!BE222</f>
      </c>
      <c r="BG222" s="151">
        <f>Calcs!CD730+Financials!BF222</f>
      </c>
      <c r="BH222" s="151">
        <f>Calcs!CE730+Financials!BG222</f>
      </c>
      <c r="BI222" s="151">
        <f>Calcs!CF730+Financials!BH222</f>
      </c>
      <c r="BJ222" s="151">
        <f>Calcs!CG730+Financials!BI222</f>
      </c>
      <c r="BK222" s="151">
        <f>Calcs!CH730+Financials!BJ222</f>
      </c>
      <c r="BL222" s="151">
        <f>Calcs!CI730+Financials!BK222</f>
      </c>
      <c r="BM222" s="151">
        <f>Calcs!CJ730+Financials!BL222</f>
      </c>
      <c r="BN222" s="151">
        <f>Calcs!CK730+Financials!BM222</f>
      </c>
      <c r="BO222" s="151">
        <f>Calcs!CL730+Financials!BN222</f>
      </c>
      <c r="BP222" s="151">
        <f>Calcs!CM730+Financials!BO222</f>
      </c>
      <c r="BQ222" s="151">
        <f>BP222</f>
        <v>0</v>
      </c>
      <c r="BR222" s="1802"/>
      <c r="BS222" s="153">
        <v>1</v>
      </c>
      <c r="BT222" s="153"/>
      <c r="BU222" s="153">
        <f>BP222</f>
      </c>
      <c r="BV222" s="144" t="s">
        <v>325</v>
      </c>
      <c r="BW222" s="153">
        <f>Financials!G222</f>
        <v>0</v>
      </c>
      <c r="BX222" s="153">
        <f>Financials!J222</f>
        <v>0</v>
      </c>
      <c r="BY222" s="153">
        <f>Financials!M222</f>
        <v>0</v>
      </c>
      <c r="BZ222" s="153">
        <f>Financials!P222</f>
        <v>0</v>
      </c>
      <c r="CA222" s="153">
        <f>Financials!T222</f>
        <v>0</v>
      </c>
      <c r="CB222" s="153">
        <f>Financials!W222</f>
        <v>0</v>
      </c>
      <c r="CC222" s="153">
        <f>Financials!Z222</f>
        <v>0</v>
      </c>
      <c r="CD222" s="153">
        <f>Financials!AC222</f>
        <v>0</v>
      </c>
      <c r="CE222" s="153">
        <f>Financials!AG222</f>
        <v>0</v>
      </c>
      <c r="CF222" s="153">
        <f>Financials!AJ222</f>
        <v>0</v>
      </c>
      <c r="CG222" s="153">
        <f>Financials!AM222</f>
        <v>0</v>
      </c>
      <c r="CH222" s="153">
        <f>Financials!AP222</f>
        <v>0</v>
      </c>
      <c r="CI222" s="153">
        <f>Financials!AT222</f>
        <v>0</v>
      </c>
      <c r="CJ222" s="153">
        <f>Financials!AW222</f>
        <v>0</v>
      </c>
      <c r="CK222" s="153">
        <f>Financials!AZ222</f>
        <v>0</v>
      </c>
      <c r="CL222" s="153">
        <f>Financials!BC222</f>
        <v>0</v>
      </c>
      <c r="CM222" s="153">
        <f>Financials!BG222</f>
        <v>0</v>
      </c>
      <c r="CN222" s="153">
        <f>Financials!BJ222</f>
        <v>0</v>
      </c>
      <c r="CO222" s="153">
        <f>Financials!BM222</f>
        <v>0</v>
      </c>
      <c r="CP222" s="153">
        <f>Financials!BP222</f>
        <v>0</v>
      </c>
      <c r="CQ222" s="179"/>
    </row>
    <row r="223" spans="1:95" ht="12.75" customHeight="1" x14ac:dyDescent="0.35">
      <c r="A223" s="136"/>
      <c r="D223" s="152" t="s">
        <v>350</v>
      </c>
      <c r="E223" s="151">
        <f>E269+E145+Input!D1573</f>
        <v>0</v>
      </c>
      <c r="F223" s="151">
        <f>Financials!F145+E223</f>
        <v>0</v>
      </c>
      <c r="G223" s="151">
        <f>Financials!G145+F223</f>
        <v>0</v>
      </c>
      <c r="H223" s="151">
        <f>Financials!H145+G223</f>
        <v>0</v>
      </c>
      <c r="I223" s="151">
        <f>Financials!I145+H223</f>
        <v>0</v>
      </c>
      <c r="J223" s="151">
        <f>Financials!J145+I223</f>
        <v>0</v>
      </c>
      <c r="K223" s="151">
        <f>Financials!K145+J223</f>
        <v>0</v>
      </c>
      <c r="L223" s="151">
        <f>Financials!L145+K223</f>
        <v>0</v>
      </c>
      <c r="M223" s="151">
        <f>Financials!M145+L223</f>
        <v>0</v>
      </c>
      <c r="N223" s="151">
        <f>Financials!N145+M223</f>
        <v>0</v>
      </c>
      <c r="O223" s="151">
        <f>Financials!O145+N223</f>
        <v>0</v>
      </c>
      <c r="P223" s="151">
        <f>Financials!P145+O223</f>
        <v>0</v>
      </c>
      <c r="Q223" s="151">
        <f>P223</f>
        <v>0</v>
      </c>
      <c r="R223" s="151">
        <f>Financials!R145+Q223</f>
        <v>0</v>
      </c>
      <c r="S223" s="151">
        <f>Financials!S145+R223</f>
        <v>0</v>
      </c>
      <c r="T223" s="151">
        <f>Financials!T145+S223</f>
        <v>0</v>
      </c>
      <c r="U223" s="151">
        <f>Financials!U145+T223</f>
        <v>0</v>
      </c>
      <c r="V223" s="151">
        <f>Financials!V145+U223</f>
        <v>0</v>
      </c>
      <c r="W223" s="151">
        <f>Financials!W145+V223</f>
        <v>0</v>
      </c>
      <c r="X223" s="151">
        <f>Financials!X145+W223</f>
        <v>0</v>
      </c>
      <c r="Y223" s="151">
        <f>Financials!Y145+X223</f>
        <v>0</v>
      </c>
      <c r="Z223" s="151">
        <f>Financials!Z145+Y223</f>
        <v>0</v>
      </c>
      <c r="AA223" s="151">
        <f>Financials!AA145+Z223</f>
        <v>0</v>
      </c>
      <c r="AB223" s="151">
        <f>Financials!AB145+AA223</f>
        <v>0</v>
      </c>
      <c r="AC223" s="151">
        <f>Financials!AC145+AB223</f>
        <v>0</v>
      </c>
      <c r="AD223" s="151">
        <f>AC223</f>
        <v>0</v>
      </c>
      <c r="AE223" s="151">
        <f>Financials!AE145+AD223</f>
        <v>0</v>
      </c>
      <c r="AF223" s="151">
        <f>Financials!AF145+AE223</f>
        <v>0</v>
      </c>
      <c r="AG223" s="151">
        <f>Financials!AG145+AF223</f>
        <v>0</v>
      </c>
      <c r="AH223" s="151">
        <f>Financials!AH145+AG223</f>
        <v>0</v>
      </c>
      <c r="AI223" s="151">
        <f>Financials!AI145+AH223</f>
        <v>0</v>
      </c>
      <c r="AJ223" s="151">
        <f>Financials!AJ145+AI223</f>
        <v>0</v>
      </c>
      <c r="AK223" s="151">
        <f>Financials!AK145+AJ223</f>
        <v>0</v>
      </c>
      <c r="AL223" s="151">
        <f>Financials!AL145+AK223</f>
        <v>0</v>
      </c>
      <c r="AM223" s="151">
        <f>Financials!AM145+AL223</f>
        <v>0</v>
      </c>
      <c r="AN223" s="151">
        <f>Financials!AN145+AM223</f>
        <v>0</v>
      </c>
      <c r="AO223" s="151">
        <f>Financials!AO145+AN223</f>
        <v>0</v>
      </c>
      <c r="AP223" s="151">
        <f>Financials!AP145+AO223</f>
        <v>0</v>
      </c>
      <c r="AQ223" s="151">
        <f>AP223</f>
        <v>0</v>
      </c>
      <c r="AR223" s="151">
        <f>IF(Years="Five",Financials!AR145+AQ223,0)</f>
        <v>0</v>
      </c>
      <c r="AS223" s="151">
        <f>IF(Years="Five",Financials!AS145+AR223,0)</f>
        <v>0</v>
      </c>
      <c r="AT223" s="151">
        <f>IF(Years="Five",Financials!AT145+AS223,0)</f>
        <v>0</v>
      </c>
      <c r="AU223" s="151">
        <f>IF(Years="Five",Financials!AU145+AT223,0)</f>
        <v>0</v>
      </c>
      <c r="AV223" s="151">
        <f>IF(Years="Five",Financials!AV145+AU223,0)</f>
        <v>0</v>
      </c>
      <c r="AW223" s="151">
        <f>IF(Years="Five",Financials!AW145+AV223,0)</f>
        <v>0</v>
      </c>
      <c r="AX223" s="151">
        <f>IF(Years="Five",Financials!AX145+AW223,0)</f>
        <v>0</v>
      </c>
      <c r="AY223" s="151">
        <f>IF(Years="Five",Financials!AY145+AX223,0)</f>
        <v>0</v>
      </c>
      <c r="AZ223" s="151">
        <f>IF(Years="Five",Financials!AZ145+AY223,0)</f>
        <v>0</v>
      </c>
      <c r="BA223" s="151">
        <f>IF(Years="Five",Financials!BA145+AZ223,0)</f>
        <v>0</v>
      </c>
      <c r="BB223" s="151">
        <f>IF(Years="Five",Financials!BB145+BA223,0)</f>
        <v>0</v>
      </c>
      <c r="BC223" s="151">
        <f>IF(Years="Five",Financials!BC145+BB223,0)</f>
        <v>0</v>
      </c>
      <c r="BD223" s="151">
        <f>BC223</f>
        <v>0</v>
      </c>
      <c r="BE223" s="151">
        <f>IF(Years="Five",Financials!BE145+BD223,0)</f>
        <v>0</v>
      </c>
      <c r="BF223" s="151">
        <f>IF(Years="Five",Financials!BF145+BE223,0)</f>
        <v>0</v>
      </c>
      <c r="BG223" s="151">
        <f>IF(Years="Five",Financials!BG145+BF223,0)</f>
        <v>0</v>
      </c>
      <c r="BH223" s="151">
        <f>IF(Years="Five",Financials!BH145+BG223,0)</f>
        <v>0</v>
      </c>
      <c r="BI223" s="151">
        <f>IF(Years="Five",Financials!BI145+BH223,0)</f>
        <v>0</v>
      </c>
      <c r="BJ223" s="151">
        <f>IF(Years="Five",Financials!BJ145+BI223,0)</f>
        <v>0</v>
      </c>
      <c r="BK223" s="151">
        <f>IF(Years="Five",Financials!BK145+BJ223,0)</f>
        <v>0</v>
      </c>
      <c r="BL223" s="151">
        <f>IF(Years="Five",Financials!BL145+BK223,0)</f>
        <v>0</v>
      </c>
      <c r="BM223" s="151">
        <f>IF(Years="Five",Financials!BM145+BL223,0)</f>
        <v>0</v>
      </c>
      <c r="BN223" s="151">
        <f>IF(Years="Five",Financials!BN145+BM223,0)</f>
        <v>0</v>
      </c>
      <c r="BO223" s="151">
        <f>IF(Years="Five",Financials!BO145+BN223,0)</f>
        <v>0</v>
      </c>
      <c r="BP223" s="151">
        <f>IF(Years="Five",Financials!BP145+BO223,0)</f>
        <v>0</v>
      </c>
      <c r="BQ223" s="151">
        <f>BP223</f>
        <v>0</v>
      </c>
      <c r="BR223" s="1802"/>
      <c r="BS223" s="153">
        <v>1</v>
      </c>
      <c r="BT223" s="153"/>
      <c r="BU223" s="153">
        <f>Financials!BU145+Input!D1573</f>
        <v>-102</v>
      </c>
      <c r="BV223" s="144" t="s">
        <v>350</v>
      </c>
      <c r="BW223" s="153">
        <f>Financials!G223</f>
        <v>0</v>
      </c>
      <c r="BX223" s="153">
        <f>Financials!J223</f>
        <v>0</v>
      </c>
      <c r="BY223" s="153">
        <f>Financials!M223</f>
        <v>0</v>
      </c>
      <c r="BZ223" s="153">
        <f>Financials!P223</f>
        <v>0</v>
      </c>
      <c r="CA223" s="153">
        <f>Financials!T223</f>
        <v>0</v>
      </c>
      <c r="CB223" s="153">
        <f>Financials!W223</f>
        <v>0</v>
      </c>
      <c r="CC223" s="153">
        <f>Financials!Z223</f>
        <v>0</v>
      </c>
      <c r="CD223" s="153">
        <f>Financials!AC223</f>
        <v>0</v>
      </c>
      <c r="CE223" s="153">
        <f>Financials!AG223</f>
        <v>0</v>
      </c>
      <c r="CF223" s="153">
        <f>Financials!AJ223</f>
        <v>0</v>
      </c>
      <c r="CG223" s="153">
        <f>Financials!AM223</f>
        <v>0</v>
      </c>
      <c r="CH223" s="153">
        <f>Financials!AP223</f>
        <v>0</v>
      </c>
      <c r="CI223" s="153">
        <f>Financials!AT223</f>
        <v>0</v>
      </c>
      <c r="CJ223" s="153">
        <f>Financials!AW223</f>
        <v>0</v>
      </c>
      <c r="CK223" s="153">
        <f>Financials!AZ223</f>
        <v>0</v>
      </c>
      <c r="CL223" s="153">
        <f>Financials!BC223</f>
        <v>0</v>
      </c>
      <c r="CM223" s="153">
        <f>Financials!BG223</f>
        <v>0</v>
      </c>
      <c r="CN223" s="153">
        <f>Financials!BJ223</f>
        <v>0</v>
      </c>
      <c r="CO223" s="153">
        <f>Financials!BM223</f>
        <v>0</v>
      </c>
      <c r="CP223" s="153">
        <f>Financials!BP223</f>
        <v>0</v>
      </c>
      <c r="CQ223" s="179"/>
    </row>
    <row r="224" spans="1:95" ht="12.75" customHeight="1" x14ac:dyDescent="0.35">
      <c r="A224" s="136"/>
      <c r="D224" s="142" t="str">
        <f>"Total "&amp;Infrastructure!Y38</f>
        <v>Total Stockholders' Equity</v>
      </c>
      <c r="E224" s="183">
        <f>SUM(E220:E223)</f>
        <v>0</v>
      </c>
      <c r="F224" s="183">
        <f>SUM(F220:F223)</f>
        <v>0</v>
      </c>
      <c r="G224" s="183">
        <f>SUM(G220:G223)</f>
        <v>0</v>
      </c>
      <c r="H224" s="183">
        <f>SUM(H220:H223)</f>
        <v>0</v>
      </c>
      <c r="I224" s="183">
        <f>SUM(I220:I223)</f>
        <v>0</v>
      </c>
      <c r="J224" s="183">
        <f>SUM(J220:J223)</f>
        <v>0</v>
      </c>
      <c r="K224" s="183">
        <f>SUM(K220:K223)</f>
        <v>0</v>
      </c>
      <c r="L224" s="183">
        <f>SUM(L220:L223)</f>
        <v>0</v>
      </c>
      <c r="M224" s="183">
        <f>SUM(M220:M223)</f>
        <v>0</v>
      </c>
      <c r="N224" s="183">
        <f>SUM(N220:N223)</f>
        <v>0</v>
      </c>
      <c r="O224" s="183">
        <f>SUM(O220:O223)</f>
        <v>0</v>
      </c>
      <c r="P224" s="183">
        <f>SUM(P220:P223)</f>
        <v>0</v>
      </c>
      <c r="Q224" s="183">
        <f>P224</f>
        <v>0</v>
      </c>
      <c r="R224" s="183">
        <f>SUM(R220:R223)</f>
        <v>0</v>
      </c>
      <c r="S224" s="183">
        <f>SUM(S220:S223)</f>
        <v>0</v>
      </c>
      <c r="T224" s="183">
        <f>SUM(T220:T223)</f>
        <v>0</v>
      </c>
      <c r="U224" s="183">
        <f>SUM(U220:U223)</f>
        <v>0</v>
      </c>
      <c r="V224" s="183">
        <f>SUM(V220:V223)</f>
        <v>0</v>
      </c>
      <c r="W224" s="183">
        <f>SUM(W220:W223)</f>
        <v>0</v>
      </c>
      <c r="X224" s="183">
        <f>SUM(X220:X223)</f>
        <v>0</v>
      </c>
      <c r="Y224" s="183">
        <f>SUM(Y220:Y223)</f>
        <v>0</v>
      </c>
      <c r="Z224" s="183">
        <f>SUM(Z220:Z223)</f>
        <v>0</v>
      </c>
      <c r="AA224" s="183">
        <f>SUM(AA220:AA223)</f>
        <v>0</v>
      </c>
      <c r="AB224" s="183">
        <f>SUM(AB220:AB223)</f>
        <v>0</v>
      </c>
      <c r="AC224" s="183">
        <f>SUM(AC220:AC223)</f>
        <v>0</v>
      </c>
      <c r="AD224" s="183">
        <f>AC224</f>
        <v>0</v>
      </c>
      <c r="AE224" s="183">
        <f>SUM(AE220:AE223)</f>
        <v>0</v>
      </c>
      <c r="AF224" s="183">
        <f>SUM(AF220:AF223)</f>
        <v>0</v>
      </c>
      <c r="AG224" s="183">
        <f>SUM(AG220:AG223)</f>
        <v>0</v>
      </c>
      <c r="AH224" s="183">
        <f>SUM(AH220:AH223)</f>
        <v>0</v>
      </c>
      <c r="AI224" s="183">
        <f>SUM(AI220:AI223)</f>
        <v>0</v>
      </c>
      <c r="AJ224" s="183">
        <f>SUM(AJ220:AJ223)</f>
        <v>0</v>
      </c>
      <c r="AK224" s="183">
        <f>SUM(AK220:AK223)</f>
        <v>0</v>
      </c>
      <c r="AL224" s="183">
        <f>SUM(AL220:AL223)</f>
        <v>0</v>
      </c>
      <c r="AM224" s="183">
        <f>SUM(AM220:AM223)</f>
        <v>0</v>
      </c>
      <c r="AN224" s="183">
        <f>SUM(AN220:AN223)</f>
        <v>0</v>
      </c>
      <c r="AO224" s="183">
        <f>SUM(AO220:AO223)</f>
        <v>0</v>
      </c>
      <c r="AP224" s="183">
        <f>SUM(AP220:AP223)</f>
        <v>0</v>
      </c>
      <c r="AQ224" s="183">
        <f>AP224</f>
        <v>0</v>
      </c>
      <c r="AR224" s="183">
        <f>SUM(AR220:AR223)</f>
        <v>0</v>
      </c>
      <c r="AS224" s="183">
        <f>SUM(AS220:AS223)</f>
        <v>0</v>
      </c>
      <c r="AT224" s="183">
        <f>SUM(AT220:AT223)</f>
        <v>0</v>
      </c>
      <c r="AU224" s="183">
        <f>SUM(AU220:AU223)</f>
        <v>0</v>
      </c>
      <c r="AV224" s="183">
        <f>SUM(AV220:AV223)</f>
        <v>0</v>
      </c>
      <c r="AW224" s="183">
        <f>SUM(AW220:AW223)</f>
        <v>0</v>
      </c>
      <c r="AX224" s="183">
        <f>SUM(AX220:AX223)</f>
        <v>0</v>
      </c>
      <c r="AY224" s="183">
        <f>SUM(AY220:AY223)</f>
        <v>0</v>
      </c>
      <c r="AZ224" s="183">
        <f>SUM(AZ220:AZ223)</f>
        <v>0</v>
      </c>
      <c r="BA224" s="183">
        <f>SUM(BA220:BA223)</f>
        <v>0</v>
      </c>
      <c r="BB224" s="183">
        <f>SUM(BB220:BB223)</f>
        <v>0</v>
      </c>
      <c r="BC224" s="183">
        <f>SUM(BC220:BC223)</f>
        <v>0</v>
      </c>
      <c r="BD224" s="183">
        <f>BC224</f>
        <v>0</v>
      </c>
      <c r="BE224" s="183">
        <f>SUM(BE220:BE223)</f>
        <v>0</v>
      </c>
      <c r="BF224" s="183">
        <f>SUM(BF220:BF223)</f>
        <v>0</v>
      </c>
      <c r="BG224" s="183">
        <f>SUM(BG220:BG223)</f>
        <v>0</v>
      </c>
      <c r="BH224" s="183">
        <f>SUM(BH220:BH223)</f>
        <v>0</v>
      </c>
      <c r="BI224" s="183">
        <f>SUM(BI220:BI223)</f>
        <v>0</v>
      </c>
      <c r="BJ224" s="183">
        <f>SUM(BJ220:BJ223)</f>
        <v>0</v>
      </c>
      <c r="BK224" s="183">
        <f>SUM(BK220:BK223)</f>
        <v>0</v>
      </c>
      <c r="BL224" s="183">
        <f>SUM(BL220:BL223)</f>
        <v>0</v>
      </c>
      <c r="BM224" s="183">
        <f>SUM(BM220:BM223)</f>
        <v>0</v>
      </c>
      <c r="BN224" s="183">
        <f>SUM(BN220:BN223)</f>
        <v>0</v>
      </c>
      <c r="BO224" s="183">
        <f>SUM(BO220:BO223)</f>
        <v>0</v>
      </c>
      <c r="BP224" s="183">
        <f>SUM(BP220:BP223)</f>
        <v>0</v>
      </c>
      <c r="BQ224" s="183">
        <f>BP224</f>
        <v>0</v>
      </c>
      <c r="BR224" s="257"/>
      <c r="BS224" s="153">
        <v>1</v>
      </c>
      <c r="BT224" s="156"/>
      <c r="BU224" s="156">
        <f>SUM(BU221:BU223)</f>
        <v>-102</v>
      </c>
      <c r="BV224" s="1185" t="s">
        <v>351</v>
      </c>
      <c r="BW224" s="1213">
        <f>SUM(BW221:BW223)</f>
        <v>0</v>
      </c>
      <c r="BX224" s="1213">
        <f>SUM(BX221:BX223)</f>
        <v>0</v>
      </c>
      <c r="BY224" s="1213">
        <f>SUM(BY221:BY223)</f>
        <v>0</v>
      </c>
      <c r="BZ224" s="1213">
        <f>SUM(BZ221:BZ223)</f>
        <v>0</v>
      </c>
      <c r="CA224" s="1213">
        <f>SUM(CA221:CA223)</f>
        <v>0</v>
      </c>
      <c r="CB224" s="1213">
        <f>SUM(CB221:CB223)</f>
        <v>0</v>
      </c>
      <c r="CC224" s="1213">
        <f>SUM(CC221:CC223)</f>
        <v>0</v>
      </c>
      <c r="CD224" s="1213">
        <f>SUM(CD221:CD223)</f>
        <v>0</v>
      </c>
      <c r="CE224" s="1213">
        <f>SUM(CE221:CE223)</f>
        <v>0</v>
      </c>
      <c r="CF224" s="1213">
        <f>SUM(CF221:CF223)</f>
        <v>0</v>
      </c>
      <c r="CG224" s="1213">
        <f>SUM(CG221:CG223)</f>
        <v>0</v>
      </c>
      <c r="CH224" s="1213">
        <f>SUM(CH221:CH223)</f>
        <v>0</v>
      </c>
      <c r="CI224" s="1213">
        <f>SUM(CI221:CI223)</f>
        <v>0</v>
      </c>
      <c r="CJ224" s="1213">
        <f>SUM(CJ221:CJ223)</f>
        <v>0</v>
      </c>
      <c r="CK224" s="1213">
        <f>SUM(CK221:CK223)</f>
        <v>0</v>
      </c>
      <c r="CL224" s="1213">
        <f>SUM(CL221:CL223)</f>
        <v>0</v>
      </c>
      <c r="CM224" s="1213">
        <f>SUM(CM221:CM223)</f>
        <v>0</v>
      </c>
      <c r="CN224" s="1213">
        <f>SUM(CN221:CN223)</f>
        <v>0</v>
      </c>
      <c r="CO224" s="1213">
        <f>SUM(CO221:CO223)</f>
        <v>0</v>
      </c>
      <c r="CP224" s="1213">
        <f>SUM(CP221:CP223)</f>
        <v>0</v>
      </c>
      <c r="CQ224" s="179"/>
    </row>
    <row r="225" spans="1:95" ht="5.15" customHeight="1" x14ac:dyDescent="0.35">
      <c r="A225" s="136"/>
      <c r="D225" s="142"/>
      <c r="E225" s="151"/>
      <c r="F225" s="151"/>
      <c r="G225" s="151"/>
      <c r="H225" s="151"/>
      <c r="I225" s="151"/>
      <c r="J225" s="151"/>
      <c r="K225" s="151"/>
      <c r="L225" s="151"/>
      <c r="M225" s="151"/>
      <c r="N225" s="151"/>
      <c r="O225" s="151"/>
      <c r="P225" s="151"/>
      <c r="Q225" s="151"/>
      <c r="R225" s="151"/>
      <c r="S225" s="151"/>
      <c r="T225" s="151"/>
      <c r="U225" s="151"/>
      <c r="V225" s="151"/>
      <c r="W225" s="151"/>
      <c r="X225" s="151"/>
      <c r="Y225" s="151"/>
      <c r="Z225" s="151"/>
      <c r="AA225" s="151"/>
      <c r="AB225" s="151"/>
      <c r="AC225" s="151"/>
      <c r="AD225" s="151"/>
      <c r="AE225" s="151"/>
      <c r="AF225" s="151"/>
      <c r="AG225" s="151"/>
      <c r="AH225" s="151"/>
      <c r="AI225" s="151"/>
      <c r="AJ225" s="151"/>
      <c r="AK225" s="151"/>
      <c r="AL225" s="151"/>
      <c r="AM225" s="151"/>
      <c r="AN225" s="151"/>
      <c r="AO225" s="151"/>
      <c r="AP225" s="151"/>
      <c r="AQ225" s="151"/>
      <c r="AR225" s="151"/>
      <c r="AS225" s="151"/>
      <c r="AT225" s="151"/>
      <c r="AU225" s="151"/>
      <c r="AV225" s="151"/>
      <c r="AW225" s="151"/>
      <c r="AX225" s="151"/>
      <c r="AY225" s="151"/>
      <c r="AZ225" s="151"/>
      <c r="BA225" s="151"/>
      <c r="BB225" s="151"/>
      <c r="BC225" s="151"/>
      <c r="BD225" s="151"/>
      <c r="BE225" s="151"/>
      <c r="BF225" s="151"/>
      <c r="BG225" s="151"/>
      <c r="BH225" s="151"/>
      <c r="BI225" s="151"/>
      <c r="BJ225" s="151"/>
      <c r="BK225" s="151"/>
      <c r="BL225" s="151"/>
      <c r="BM225" s="151"/>
      <c r="BN225" s="151"/>
      <c r="BO225" s="151"/>
      <c r="BP225" s="151"/>
      <c r="BQ225" s="151"/>
      <c r="BR225" s="1802"/>
      <c r="BS225" s="153">
        <v>1</v>
      </c>
      <c r="BT225" s="153"/>
      <c r="BU225" s="153"/>
      <c r="BV225" s="1185"/>
      <c r="BW225" s="153"/>
      <c r="BX225" s="153"/>
      <c r="BY225" s="153"/>
      <c r="BZ225" s="153"/>
      <c r="CA225" s="153"/>
      <c r="CB225" s="153"/>
      <c r="CC225" s="153"/>
      <c r="CD225" s="153"/>
      <c r="CE225" s="153"/>
      <c r="CF225" s="153"/>
      <c r="CG225" s="153"/>
      <c r="CH225" s="153"/>
      <c r="CI225" s="153"/>
      <c r="CJ225" s="153"/>
      <c r="CK225" s="153"/>
      <c r="CL225" s="153"/>
      <c r="CM225" s="153"/>
      <c r="CN225" s="153"/>
      <c r="CO225" s="153"/>
      <c r="CP225" s="153"/>
      <c r="CQ225" s="179"/>
    </row>
    <row r="226" spans="1:95" ht="12.75" customHeight="1" thickBot="1" x14ac:dyDescent="0.4">
      <c r="A226" s="136"/>
      <c r="D226" s="142" t="str">
        <f>"Total Liabilities and "&amp;Infrastructure!Y38</f>
        <v>Total Liabilities and Stockholders' Equity</v>
      </c>
      <c r="E226" s="159">
        <f>E217+E224</f>
        <v>0</v>
      </c>
      <c r="F226" s="159">
        <f>F217+F224</f>
        <v>0</v>
      </c>
      <c r="G226" s="159">
        <f>G217+G224</f>
        <v>0</v>
      </c>
      <c r="H226" s="159">
        <f>H217+H224</f>
        <v>0</v>
      </c>
      <c r="I226" s="159">
        <f>I217+I224</f>
        <v>0</v>
      </c>
      <c r="J226" s="159">
        <f>J217+J224</f>
        <v>0</v>
      </c>
      <c r="K226" s="159">
        <f>K217+K224</f>
        <v>0</v>
      </c>
      <c r="L226" s="159">
        <f>L217+L224</f>
        <v>0</v>
      </c>
      <c r="M226" s="159">
        <f>M217+M224</f>
        <v>0</v>
      </c>
      <c r="N226" s="159">
        <f>N217+N224</f>
        <v>0</v>
      </c>
      <c r="O226" s="159">
        <f>O217+O224</f>
        <v>0</v>
      </c>
      <c r="P226" s="159">
        <f>P217+P224</f>
        <v>0</v>
      </c>
      <c r="Q226" s="159">
        <f>P226</f>
        <v>0</v>
      </c>
      <c r="R226" s="159">
        <f>R217+R224</f>
        <v>0</v>
      </c>
      <c r="S226" s="159">
        <f>S217+S224</f>
        <v>0</v>
      </c>
      <c r="T226" s="159">
        <f>T217+T224</f>
        <v>0</v>
      </c>
      <c r="U226" s="159">
        <f>U217+U224</f>
        <v>0</v>
      </c>
      <c r="V226" s="159">
        <f>V217+V224</f>
        <v>0</v>
      </c>
      <c r="W226" s="159">
        <f>W217+W224</f>
        <v>0</v>
      </c>
      <c r="X226" s="159">
        <f>X217+X224</f>
        <v>0</v>
      </c>
      <c r="Y226" s="159">
        <f>Y217+Y224</f>
        <v>0</v>
      </c>
      <c r="Z226" s="159">
        <f>Z217+Z224</f>
        <v>0</v>
      </c>
      <c r="AA226" s="159">
        <f>AA217+AA224</f>
        <v>0</v>
      </c>
      <c r="AB226" s="159">
        <f>AB217+AB224</f>
        <v>0</v>
      </c>
      <c r="AC226" s="159">
        <f>AC217+AC224</f>
        <v>0</v>
      </c>
      <c r="AD226" s="159">
        <f>AC226</f>
        <v>0</v>
      </c>
      <c r="AE226" s="159">
        <f>AE217+AE224</f>
        <v>0</v>
      </c>
      <c r="AF226" s="159">
        <f>AF217+AF224</f>
        <v>0</v>
      </c>
      <c r="AG226" s="159">
        <f>AG217+AG224</f>
        <v>0</v>
      </c>
      <c r="AH226" s="159">
        <f>AH217+AH224</f>
        <v>0</v>
      </c>
      <c r="AI226" s="159">
        <f>AI217+AI224</f>
        <v>0</v>
      </c>
      <c r="AJ226" s="159">
        <f>AJ217+AJ224</f>
        <v>0</v>
      </c>
      <c r="AK226" s="159">
        <f>AK217+AK224</f>
        <v>0</v>
      </c>
      <c r="AL226" s="159">
        <f>AL217+AL224</f>
        <v>0</v>
      </c>
      <c r="AM226" s="159">
        <f>AM217+AM224</f>
        <v>0</v>
      </c>
      <c r="AN226" s="159">
        <f>AN217+AN224</f>
        <v>0</v>
      </c>
      <c r="AO226" s="159">
        <f>AO217+AO224</f>
        <v>0</v>
      </c>
      <c r="AP226" s="159">
        <f>AP217+AP224</f>
        <v>0</v>
      </c>
      <c r="AQ226" s="159">
        <f>AP226</f>
        <v>0</v>
      </c>
      <c r="AR226" s="159">
        <f>AR217+AR224</f>
        <v>0</v>
      </c>
      <c r="AS226" s="159">
        <f>AS217+AS224</f>
        <v>0</v>
      </c>
      <c r="AT226" s="159">
        <f>AT217+AT224</f>
        <v>0</v>
      </c>
      <c r="AU226" s="159">
        <f>AU217+AU224</f>
        <v>0</v>
      </c>
      <c r="AV226" s="159">
        <f>AV217+AV224</f>
        <v>0</v>
      </c>
      <c r="AW226" s="159">
        <f>AW217+AW224</f>
        <v>0</v>
      </c>
      <c r="AX226" s="159">
        <f>AX217+AX224</f>
        <v>0</v>
      </c>
      <c r="AY226" s="159">
        <f>AY217+AY224</f>
        <v>0</v>
      </c>
      <c r="AZ226" s="159">
        <f>AZ217+AZ224</f>
        <v>0</v>
      </c>
      <c r="BA226" s="159">
        <f>BA217+BA224</f>
        <v>0</v>
      </c>
      <c r="BB226" s="159">
        <f>BB217+BB224</f>
        <v>0</v>
      </c>
      <c r="BC226" s="159">
        <f>BC217+BC224</f>
        <v>0</v>
      </c>
      <c r="BD226" s="159">
        <f>BC226</f>
        <v>0</v>
      </c>
      <c r="BE226" s="159">
        <f>BE217+BE224</f>
        <v>0</v>
      </c>
      <c r="BF226" s="159">
        <f>BF217+BF224</f>
        <v>0</v>
      </c>
      <c r="BG226" s="159">
        <f>BG217+BG224</f>
        <v>0</v>
      </c>
      <c r="BH226" s="159">
        <f>BH217+BH224</f>
        <v>0</v>
      </c>
      <c r="BI226" s="159">
        <f>BI217+BI224</f>
        <v>0</v>
      </c>
      <c r="BJ226" s="159">
        <f>BJ217+BJ224</f>
        <v>0</v>
      </c>
      <c r="BK226" s="159">
        <f>BK217+BK224</f>
        <v>0</v>
      </c>
      <c r="BL226" s="159">
        <f>BL217+BL224</f>
        <v>0</v>
      </c>
      <c r="BM226" s="159">
        <f>BM217+BM224</f>
        <v>0</v>
      </c>
      <c r="BN226" s="159">
        <f>BN217+BN224</f>
        <v>0</v>
      </c>
      <c r="BO226" s="159">
        <f>BO217+BO224</f>
        <v>0</v>
      </c>
      <c r="BP226" s="159">
        <f>BP217+BP224</f>
        <v>0</v>
      </c>
      <c r="BQ226" s="159">
        <f>BP226</f>
        <v>0</v>
      </c>
      <c r="BR226" s="257"/>
      <c r="BS226" s="153">
        <v>1</v>
      </c>
      <c r="BT226" s="156"/>
      <c r="BU226" s="156">
        <f>BU211+BU215+BU224</f>
        <v>-102</v>
      </c>
      <c r="BV226" s="1185" t="s">
        <v>352</v>
      </c>
      <c r="BW226" s="1214">
        <f>BW211+BW215+BW224</f>
        <v>0</v>
      </c>
      <c r="BX226" s="1214">
        <f>BX211+BX215+BX224</f>
        <v>0</v>
      </c>
      <c r="BY226" s="1214">
        <f>BY211+BY215+BY224</f>
        <v>0</v>
      </c>
      <c r="BZ226" s="1214">
        <f>BZ211+BZ215+BZ224</f>
        <v>0</v>
      </c>
      <c r="CA226" s="1214">
        <f>CA211+CA215+CA224</f>
        <v>0</v>
      </c>
      <c r="CB226" s="1214">
        <f>CB211+CB215+CB224</f>
        <v>0</v>
      </c>
      <c r="CC226" s="1214">
        <f>CC211+CC215+CC224</f>
        <v>0</v>
      </c>
      <c r="CD226" s="1214">
        <f>CD211+CD215+CD224</f>
        <v>0</v>
      </c>
      <c r="CE226" s="1214">
        <f>CE211+CE215+CE224</f>
        <v>0</v>
      </c>
      <c r="CF226" s="1214">
        <f>CF211+CF215+CF224</f>
        <v>0</v>
      </c>
      <c r="CG226" s="1214">
        <f>CG211+CG215+CG224</f>
        <v>0</v>
      </c>
      <c r="CH226" s="1214">
        <f>CH211+CH215+CH224</f>
        <v>0</v>
      </c>
      <c r="CI226" s="1214">
        <f>CI211+CI215+CI224</f>
        <v>0</v>
      </c>
      <c r="CJ226" s="1214">
        <f>CJ211+CJ215+CJ224</f>
        <v>0</v>
      </c>
      <c r="CK226" s="1214">
        <f>CK211+CK215+CK224</f>
        <v>0</v>
      </c>
      <c r="CL226" s="1214">
        <f>CL211+CL215+CL224</f>
        <v>0</v>
      </c>
      <c r="CM226" s="1214">
        <f>CM211+CM215+CM224</f>
        <v>0</v>
      </c>
      <c r="CN226" s="1214">
        <f>CN211+CN215+CN224</f>
        <v>0</v>
      </c>
      <c r="CO226" s="1214">
        <f>CO211+CO215+CO224</f>
        <v>0</v>
      </c>
      <c r="CP226" s="1214">
        <f>CP211+CP215+CP224</f>
        <v>0</v>
      </c>
      <c r="CQ226" s="179"/>
    </row>
    <row r="227" spans="1:95" ht="12.75" customHeight="1" thickTop="1" x14ac:dyDescent="0.35">
      <c r="A227" s="136"/>
      <c r="D227" s="152"/>
      <c r="E227" s="151"/>
      <c r="F227" s="151"/>
      <c r="G227" s="151"/>
      <c r="H227" s="151"/>
      <c r="I227" s="151"/>
      <c r="J227" s="151"/>
      <c r="K227" s="151"/>
      <c r="L227" s="151"/>
      <c r="M227" s="151"/>
      <c r="N227" s="151"/>
      <c r="O227" s="151"/>
      <c r="P227" s="151"/>
      <c r="Q227" s="151"/>
      <c r="R227" s="151"/>
      <c r="S227" s="151"/>
      <c r="T227" s="151"/>
      <c r="U227" s="151"/>
      <c r="V227" s="151"/>
      <c r="W227" s="151"/>
      <c r="X227" s="151"/>
      <c r="Y227" s="151"/>
      <c r="Z227" s="151"/>
      <c r="AA227" s="151"/>
      <c r="AB227" s="151"/>
      <c r="AC227" s="151"/>
      <c r="AD227" s="151"/>
      <c r="AE227" s="151"/>
      <c r="AF227" s="151"/>
      <c r="AG227" s="151"/>
      <c r="AH227" s="151"/>
      <c r="AI227" s="151"/>
      <c r="AJ227" s="151"/>
      <c r="AK227" s="151"/>
      <c r="AL227" s="151"/>
      <c r="AM227" s="151"/>
      <c r="AN227" s="151"/>
      <c r="AO227" s="151"/>
      <c r="AP227" s="151"/>
      <c r="AQ227" s="151"/>
      <c r="AR227" s="151"/>
      <c r="AS227" s="151"/>
      <c r="AT227" s="151"/>
      <c r="AU227" s="151"/>
      <c r="AV227" s="151"/>
      <c r="AW227" s="151"/>
      <c r="AX227" s="151"/>
      <c r="AY227" s="151"/>
      <c r="AZ227" s="151"/>
      <c r="BA227" s="151"/>
      <c r="BB227" s="151"/>
      <c r="BC227" s="151"/>
      <c r="BD227" s="151"/>
      <c r="BE227" s="151"/>
      <c r="BF227" s="151"/>
      <c r="BG227" s="151"/>
      <c r="BH227" s="151"/>
      <c r="BI227" s="151"/>
      <c r="BJ227" s="151"/>
      <c r="BK227" s="151"/>
      <c r="BL227" s="151"/>
      <c r="BM227" s="151"/>
      <c r="BN227" s="151"/>
      <c r="BO227" s="151"/>
      <c r="BP227" s="151"/>
      <c r="BQ227" s="153"/>
      <c r="BR227" s="1802"/>
      <c r="BS227" s="153"/>
      <c r="BT227" s="153"/>
      <c r="BU227" s="139"/>
      <c r="BV227" s="144"/>
      <c r="BW227" s="153"/>
      <c r="BX227" s="153"/>
      <c r="BY227" s="153"/>
      <c r="BZ227" s="153"/>
      <c r="CA227" s="153"/>
      <c r="CB227" s="153"/>
      <c r="CC227" s="153"/>
      <c r="CD227" s="153"/>
      <c r="CE227" s="153"/>
      <c r="CF227" s="153"/>
      <c r="CG227" s="153"/>
      <c r="CH227" s="153"/>
      <c r="CI227" s="153"/>
      <c r="CJ227" s="153"/>
      <c r="CK227" s="153"/>
      <c r="CL227" s="153"/>
      <c r="CM227" s="153"/>
      <c r="CN227" s="153"/>
      <c r="CO227" s="153"/>
      <c r="CP227" s="153"/>
      <c r="CQ227" s="179"/>
    </row>
    <row r="228" spans="1:95" ht="12.75" customHeight="1" x14ac:dyDescent="0.35">
      <c r="A228" s="136"/>
      <c r="D228" s="152" t="s">
        <v>353</v>
      </c>
      <c r="E228" s="151">
        <f>ROUND(E201-E226,0)</f>
        <v>0</v>
      </c>
      <c r="F228" s="151">
        <f>ROUND(F201-F226,0)</f>
        <v>0</v>
      </c>
      <c r="G228" s="151">
        <f>ROUND(G201-G226,0)</f>
        <v>0</v>
      </c>
      <c r="H228" s="151">
        <f>ROUND(H201-H226,0)</f>
        <v>0</v>
      </c>
      <c r="I228" s="151">
        <f>ROUND(I201-I226,0)</f>
        <v>0</v>
      </c>
      <c r="J228" s="151">
        <f>ROUND(J201-J226,0)</f>
        <v>0</v>
      </c>
      <c r="K228" s="151">
        <f>ROUND(K201-K226,0)</f>
        <v>0</v>
      </c>
      <c r="L228" s="151">
        <f>ROUND(L201-L226,0)</f>
        <v>0</v>
      </c>
      <c r="M228" s="151">
        <f>ROUND(M201-M226,0)</f>
        <v>0</v>
      </c>
      <c r="N228" s="151">
        <f>ROUND(N201-N226,0)</f>
        <v>0</v>
      </c>
      <c r="O228" s="151">
        <f>ROUND(O201-O226,0)</f>
        <v>0</v>
      </c>
      <c r="P228" s="151">
        <f>ROUND(P201-P226,0)</f>
        <v>0</v>
      </c>
      <c r="Q228" s="151"/>
      <c r="R228" s="151">
        <f>ROUND(R201-R226,0)</f>
        <v>0</v>
      </c>
      <c r="S228" s="151">
        <f>ROUND(S201-S226,0)</f>
        <v>0</v>
      </c>
      <c r="T228" s="151">
        <f>ROUND(T201-T226,0)</f>
        <v>0</v>
      </c>
      <c r="U228" s="151">
        <f>ROUND(U201-U226,0)</f>
        <v>0</v>
      </c>
      <c r="V228" s="151">
        <f>ROUND(V201-V226,0)</f>
        <v>0</v>
      </c>
      <c r="W228" s="151">
        <f>ROUND(W201-W226,0)</f>
        <v>0</v>
      </c>
      <c r="X228" s="151">
        <f>ROUND(X201-X226,0)</f>
        <v>0</v>
      </c>
      <c r="Y228" s="151">
        <f>ROUND(Y201-Y226,0)</f>
        <v>0</v>
      </c>
      <c r="Z228" s="151">
        <f>ROUND(Z201-Z226,0)</f>
        <v>0</v>
      </c>
      <c r="AA228" s="151">
        <f>ROUND(AA201-AA226,0)</f>
        <v>0</v>
      </c>
      <c r="AB228" s="151">
        <f>ROUND(AB201-AB226,0)</f>
        <v>0</v>
      </c>
      <c r="AC228" s="151">
        <f>ROUND(AC201-AC226,0)</f>
        <v>0</v>
      </c>
      <c r="AD228" s="151"/>
      <c r="AE228" s="151">
        <f>ROUND(AE201-AE226,0)</f>
        <v>0</v>
      </c>
      <c r="AF228" s="151">
        <f>ROUND(AF201-AF226,0)</f>
        <v>0</v>
      </c>
      <c r="AG228" s="151">
        <f>ROUND(AG201-AG226,0)</f>
        <v>0</v>
      </c>
      <c r="AH228" s="151">
        <f>ROUND(AH201-AH226,0)</f>
        <v>0</v>
      </c>
      <c r="AI228" s="151">
        <f>ROUND(AI201-AI226,0)</f>
        <v>0</v>
      </c>
      <c r="AJ228" s="151">
        <f>ROUND(AJ201-AJ226,0)</f>
        <v>0</v>
      </c>
      <c r="AK228" s="151">
        <f>ROUND(AK201-AK226,0)</f>
        <v>0</v>
      </c>
      <c r="AL228" s="151">
        <f>ROUND(AL201-AL226,0)</f>
        <v>0</v>
      </c>
      <c r="AM228" s="151">
        <f>ROUND(AM201-AM226,0)</f>
        <v>0</v>
      </c>
      <c r="AN228" s="151">
        <f>ROUND(AN201-AN226,0)</f>
        <v>0</v>
      </c>
      <c r="AO228" s="151">
        <f>ROUND(AO201-AO226,0)</f>
        <v>0</v>
      </c>
      <c r="AP228" s="151">
        <f>ROUND(AP201-AP226,0)</f>
        <v>0</v>
      </c>
      <c r="AQ228" s="153">
        <f>SUM(E228:AP228)</f>
        <v>0</v>
      </c>
      <c r="AR228" s="151">
        <f>ROUND(AR201-AR226,0)</f>
        <v>0</v>
      </c>
      <c r="AS228" s="151">
        <f>ROUND(AS201-AS226,0)</f>
        <v>0</v>
      </c>
      <c r="AT228" s="151">
        <f>ROUND(AT201-AT226,0)</f>
        <v>0</v>
      </c>
      <c r="AU228" s="151">
        <f>ROUND(AU201-AU226,0)</f>
        <v>0</v>
      </c>
      <c r="AV228" s="151">
        <f>ROUND(AV201-AV226,0)</f>
        <v>0</v>
      </c>
      <c r="AW228" s="151">
        <f>ROUND(AW201-AW226,0)</f>
        <v>0</v>
      </c>
      <c r="AX228" s="151">
        <f>ROUND(AX201-AX226,0)</f>
        <v>0</v>
      </c>
      <c r="AY228" s="151">
        <f>ROUND(AY201-AY226,0)</f>
        <v>0</v>
      </c>
      <c r="AZ228" s="151">
        <f>ROUND(AZ201-AZ226,0)</f>
        <v>0</v>
      </c>
      <c r="BA228" s="151">
        <f>ROUND(BA201-BA226,0)</f>
        <v>0</v>
      </c>
      <c r="BB228" s="151">
        <f>ROUND(BB201-BB226,0)</f>
        <v>0</v>
      </c>
      <c r="BC228" s="151">
        <f>ROUND(BC201-BC226,0)</f>
        <v>0</v>
      </c>
      <c r="BD228" s="151"/>
      <c r="BE228" s="151">
        <f>ROUND(BE201-BE226,0)</f>
        <v>0</v>
      </c>
      <c r="BF228" s="151">
        <f>ROUND(BF201-BF226,0)</f>
        <v>0</v>
      </c>
      <c r="BG228" s="151">
        <f>ROUND(BG201-BG226,0)</f>
        <v>0</v>
      </c>
      <c r="BH228" s="151">
        <f>ROUND(BH201-BH226,0)</f>
        <v>0</v>
      </c>
      <c r="BI228" s="151">
        <f>ROUND(BI201-BI226,0)</f>
        <v>0</v>
      </c>
      <c r="BJ228" s="151">
        <f>ROUND(BJ201-BJ226,0)</f>
        <v>0</v>
      </c>
      <c r="BK228" s="151">
        <f>ROUND(BK201-BK226,0)</f>
        <v>0</v>
      </c>
      <c r="BL228" s="151">
        <f>ROUND(BL201-BL226,0)</f>
        <v>0</v>
      </c>
      <c r="BM228" s="151">
        <f>ROUND(BM201-BM226,0)</f>
        <v>0</v>
      </c>
      <c r="BN228" s="151">
        <f>ROUND(BN201-BN226,0)</f>
        <v>0</v>
      </c>
      <c r="BO228" s="151">
        <f>ROUND(BO201-BO226,0)</f>
        <v>0</v>
      </c>
      <c r="BP228" s="151">
        <f>ROUND(BP201-BP226,0)</f>
        <v>0</v>
      </c>
      <c r="BQ228" s="153">
        <f>BQ201-BQ226</f>
        <v>0</v>
      </c>
      <c r="BR228" s="1802"/>
      <c r="BS228" s="153">
        <f>IF(OR(MAX(E228:BP228)&gt;1,MIN(E228:BP228))&lt;-1,1,0)</f>
        <v>0</v>
      </c>
      <c r="BT228" s="153"/>
      <c r="BU228" s="148">
        <f>BU201-BU226</f>
        <v>306</v>
      </c>
      <c r="BV228" s="144" t="s">
        <v>353</v>
      </c>
      <c r="BW228" s="153">
        <f>BW201-BW226</f>
        <v>0</v>
      </c>
      <c r="BX228" s="153">
        <f>BX201-BX226</f>
        <v>0</v>
      </c>
      <c r="BY228" s="153">
        <f>BY201-BY226</f>
        <v>0</v>
      </c>
      <c r="BZ228" s="153">
        <f>BZ201-BZ226</f>
        <v>0</v>
      </c>
      <c r="CA228" s="153">
        <f>CA201-CA226</f>
        <v>0</v>
      </c>
      <c r="CB228" s="153">
        <f>CB201-CB226</f>
        <v>0</v>
      </c>
      <c r="CC228" s="153">
        <f>CC201-CC226</f>
        <v>0</v>
      </c>
      <c r="CD228" s="153">
        <f>CD201-CD226</f>
        <v>0</v>
      </c>
      <c r="CE228" s="153">
        <f>CE201-CE226</f>
        <v>0</v>
      </c>
      <c r="CF228" s="153">
        <f>CF201-CF226</f>
        <v>0</v>
      </c>
      <c r="CG228" s="153">
        <f>CG201-CG226</f>
        <v>0</v>
      </c>
      <c r="CH228" s="153">
        <f>CH201-CH226</f>
        <v>0</v>
      </c>
      <c r="CI228" s="153">
        <f>CI201-CI226</f>
        <v>0</v>
      </c>
      <c r="CJ228" s="153">
        <f>CJ201-CJ226</f>
        <v>0</v>
      </c>
      <c r="CK228" s="153">
        <f>CK201-CK226</f>
        <v>0</v>
      </c>
      <c r="CL228" s="153">
        <f>CL201-CL226</f>
        <v>0</v>
      </c>
      <c r="CM228" s="153">
        <f>CM201-CM226</f>
        <v>0</v>
      </c>
      <c r="CN228" s="153">
        <f>CN201-CN226</f>
        <v>0</v>
      </c>
      <c r="CO228" s="153">
        <f>CO201-CO226</f>
        <v>0</v>
      </c>
      <c r="CP228" s="153">
        <f>CP201-CP226</f>
        <v>0</v>
      </c>
      <c r="CQ228" s="179"/>
    </row>
    <row r="229" spans="1:95" ht="12.75" customHeight="1" x14ac:dyDescent="0.35">
      <c r="A229" s="136"/>
      <c r="D229" s="154"/>
      <c r="E229" s="178"/>
      <c r="F229" s="178"/>
      <c r="G229" s="178"/>
      <c r="H229" s="178"/>
      <c r="I229" s="178"/>
      <c r="J229" s="178"/>
      <c r="K229" s="178"/>
      <c r="L229" s="178"/>
      <c r="M229" s="178"/>
      <c r="N229" s="178"/>
      <c r="O229" s="178"/>
      <c r="P229" s="178"/>
      <c r="Q229" s="178"/>
      <c r="R229" s="178"/>
      <c r="S229" s="178"/>
      <c r="T229" s="178"/>
      <c r="U229" s="178"/>
      <c r="V229" s="178"/>
      <c r="W229" s="178"/>
      <c r="X229" s="178"/>
      <c r="Y229" s="151"/>
      <c r="Z229" s="151"/>
      <c r="AA229" s="151"/>
      <c r="AB229" s="151"/>
      <c r="AC229" s="151"/>
      <c r="AD229" s="151"/>
      <c r="AE229" s="151"/>
      <c r="AF229" s="151"/>
      <c r="AG229" s="151"/>
      <c r="AH229" s="151"/>
      <c r="AI229" s="151"/>
      <c r="AJ229" s="151"/>
      <c r="AK229" s="151"/>
      <c r="AL229" s="151"/>
      <c r="AM229" s="151"/>
      <c r="AN229" s="151"/>
      <c r="AO229" s="151"/>
      <c r="AP229" s="151"/>
      <c r="AQ229" s="151"/>
      <c r="AR229" s="151"/>
      <c r="AS229" s="151"/>
      <c r="AT229" s="151"/>
      <c r="AU229" s="151"/>
      <c r="AV229" s="151"/>
      <c r="AW229" s="151"/>
      <c r="AX229" s="151"/>
      <c r="AY229" s="151"/>
      <c r="AZ229" s="151"/>
      <c r="BA229" s="151"/>
      <c r="BB229" s="151"/>
      <c r="BC229" s="151"/>
      <c r="BD229" s="151"/>
      <c r="BE229" s="151"/>
      <c r="BF229" s="151"/>
      <c r="BG229" s="151"/>
      <c r="BH229" s="151"/>
      <c r="BI229" s="151"/>
      <c r="BJ229" s="151"/>
      <c r="BK229" s="151"/>
      <c r="BL229" s="151"/>
      <c r="BM229" s="151"/>
      <c r="BN229" s="151"/>
      <c r="BO229" s="151"/>
      <c r="BP229" s="151"/>
      <c r="BQ229" s="153"/>
      <c r="BR229" s="1802"/>
      <c r="BS229" s="153"/>
      <c r="BT229" s="153"/>
      <c r="BU229" s="139"/>
      <c r="BV229" s="139"/>
      <c r="BW229" s="153"/>
      <c r="BX229" s="153"/>
      <c r="BY229" s="153"/>
      <c r="BZ229" s="153"/>
      <c r="CA229" s="153"/>
      <c r="CB229" s="153"/>
      <c r="CC229" s="153"/>
      <c r="CD229" s="153"/>
      <c r="CE229" s="153"/>
      <c r="CF229" s="153"/>
      <c r="CG229" s="153"/>
      <c r="CH229" s="153"/>
      <c r="CI229" s="153"/>
      <c r="CJ229" s="153"/>
      <c r="CK229" s="153"/>
      <c r="CL229" s="1215"/>
      <c r="CM229" s="1215"/>
      <c r="CN229" s="1215"/>
      <c r="CO229" s="1215"/>
      <c r="CP229" s="1215"/>
      <c r="CQ229" s="179"/>
    </row>
    <row r="230" spans="1:95" ht="12.75" customHeight="1" x14ac:dyDescent="0.35">
      <c r="A230" s="136"/>
      <c r="B230" s="136"/>
      <c r="C230" s="136"/>
      <c r="D230" s="184"/>
      <c r="E230" s="178"/>
      <c r="F230" s="185"/>
      <c r="G230" s="185"/>
      <c r="H230" s="185"/>
      <c r="I230" s="185"/>
      <c r="J230" s="185"/>
      <c r="K230" s="185"/>
      <c r="L230" s="185"/>
      <c r="M230" s="185"/>
      <c r="N230" s="185"/>
      <c r="O230" s="185"/>
      <c r="P230" s="185"/>
      <c r="Q230" s="185"/>
      <c r="R230" s="185"/>
      <c r="S230" s="185"/>
      <c r="T230" s="185"/>
      <c r="U230" s="185"/>
      <c r="V230" s="185"/>
      <c r="W230" s="185"/>
      <c r="X230" s="185"/>
      <c r="Y230" s="185"/>
      <c r="Z230" s="185"/>
      <c r="AA230" s="185"/>
      <c r="AB230" s="185"/>
      <c r="AC230" s="185"/>
      <c r="AD230" s="185"/>
      <c r="AE230" s="185"/>
      <c r="AF230" s="185"/>
      <c r="AG230" s="185"/>
      <c r="AH230" s="185"/>
      <c r="AI230" s="185"/>
      <c r="AJ230" s="185"/>
      <c r="AK230" s="185"/>
      <c r="AL230" s="151"/>
      <c r="AM230" s="151"/>
      <c r="AN230" s="151"/>
      <c r="AO230" s="151"/>
      <c r="AP230" s="151"/>
      <c r="AQ230" s="151"/>
      <c r="AR230" s="151"/>
      <c r="AS230" s="151"/>
      <c r="AT230" s="151"/>
      <c r="AU230" s="151"/>
      <c r="AV230" s="151"/>
      <c r="AW230" s="151"/>
      <c r="AX230" s="151"/>
      <c r="AY230" s="151"/>
      <c r="AZ230" s="151"/>
      <c r="BA230" s="151"/>
      <c r="BB230" s="151"/>
      <c r="BC230" s="151"/>
      <c r="BD230" s="151"/>
      <c r="BE230" s="151"/>
      <c r="BF230" s="151"/>
      <c r="BG230" s="151"/>
      <c r="BH230" s="151"/>
      <c r="BI230" s="151"/>
      <c r="BJ230" s="151"/>
      <c r="BK230" s="151"/>
      <c r="BL230" s="151"/>
      <c r="BM230" s="151"/>
      <c r="BN230" s="151"/>
      <c r="BO230" s="151"/>
      <c r="BP230" s="151"/>
      <c r="BQ230" s="153"/>
      <c r="BR230" s="1802"/>
      <c r="BS230" s="153"/>
      <c r="BT230" s="153"/>
      <c r="BU230" s="139"/>
      <c r="BV230" s="139"/>
      <c r="BW230" s="153"/>
      <c r="BX230" s="153"/>
      <c r="BY230" s="153"/>
      <c r="BZ230" s="153"/>
      <c r="CA230" s="153"/>
      <c r="CB230" s="153"/>
      <c r="CC230" s="153"/>
      <c r="CD230" s="153"/>
      <c r="CE230" s="153"/>
      <c r="CF230" s="153"/>
      <c r="CG230" s="153"/>
      <c r="CH230" s="153"/>
      <c r="CI230" s="153"/>
      <c r="CJ230" s="153"/>
      <c r="CK230" s="153"/>
      <c r="CL230" s="1215"/>
      <c r="CM230" s="1215"/>
      <c r="CN230" s="1215"/>
      <c r="CO230" s="1215"/>
      <c r="CP230" s="1215"/>
      <c r="CQ230" s="179"/>
    </row>
    <row r="231" spans="1:95" ht="12.75" customHeight="1" x14ac:dyDescent="0.35">
      <c r="A231" s="136"/>
      <c r="B231" s="136"/>
      <c r="C231" s="136"/>
      <c r="D231" s="152"/>
      <c r="E231" s="151"/>
      <c r="F231" s="151"/>
      <c r="G231" s="151"/>
      <c r="H231" s="151"/>
      <c r="I231" s="151"/>
      <c r="J231" s="151"/>
      <c r="K231" s="151"/>
      <c r="L231" s="151"/>
      <c r="M231" s="151"/>
      <c r="N231" s="151"/>
      <c r="O231" s="151"/>
      <c r="P231" s="151"/>
      <c r="Q231" s="151"/>
      <c r="R231" s="151"/>
      <c r="S231" s="151"/>
      <c r="T231" s="151"/>
      <c r="U231" s="151"/>
      <c r="V231" s="151"/>
      <c r="W231" s="151"/>
      <c r="X231" s="151"/>
      <c r="Y231" s="151"/>
      <c r="Z231" s="151"/>
      <c r="AA231" s="151"/>
      <c r="AB231" s="151"/>
      <c r="AC231" s="151"/>
      <c r="AD231" s="151"/>
      <c r="AE231" s="151"/>
      <c r="AF231" s="151"/>
      <c r="AG231" s="151"/>
      <c r="AH231" s="151"/>
      <c r="AI231" s="151"/>
      <c r="AJ231" s="151"/>
      <c r="AK231" s="151"/>
      <c r="AL231" s="151"/>
      <c r="AM231" s="151"/>
      <c r="AN231" s="151"/>
      <c r="AO231" s="151"/>
      <c r="AP231" s="151"/>
      <c r="AQ231" s="151"/>
      <c r="AR231" s="151"/>
      <c r="AS231" s="151"/>
      <c r="AT231" s="151"/>
      <c r="AU231" s="151"/>
      <c r="AV231" s="151"/>
      <c r="AW231" s="151"/>
      <c r="AX231" s="151"/>
      <c r="AY231" s="151"/>
      <c r="AZ231" s="151"/>
      <c r="BA231" s="151"/>
      <c r="BB231" s="151"/>
      <c r="BC231" s="151"/>
      <c r="BD231" s="151"/>
      <c r="BE231" s="151"/>
      <c r="BF231" s="151"/>
      <c r="BG231" s="151"/>
      <c r="BH231" s="151"/>
      <c r="BI231" s="151"/>
      <c r="BJ231" s="151"/>
      <c r="BK231" s="151"/>
      <c r="BL231" s="151"/>
      <c r="BM231" s="151"/>
      <c r="BN231" s="151"/>
      <c r="BO231" s="151"/>
      <c r="BP231" s="151"/>
      <c r="BQ231" s="153"/>
      <c r="BR231" s="1802"/>
      <c r="BS231" s="153"/>
      <c r="BT231" s="153"/>
      <c r="BU231" s="139"/>
      <c r="BV231" s="139"/>
      <c r="BW231" s="153"/>
      <c r="BX231" s="153"/>
      <c r="BY231" s="153"/>
      <c r="BZ231" s="153"/>
      <c r="CA231" s="153"/>
      <c r="CB231" s="153"/>
      <c r="CC231" s="153"/>
      <c r="CD231" s="153"/>
      <c r="CE231" s="153"/>
      <c r="CF231" s="153"/>
      <c r="CG231" s="153"/>
      <c r="CH231" s="153"/>
      <c r="CI231" s="153"/>
      <c r="CJ231" s="153"/>
      <c r="CK231" s="153"/>
      <c r="CL231" s="1215"/>
      <c r="CM231" s="1215"/>
      <c r="CN231" s="1215"/>
      <c r="CO231" s="1215"/>
      <c r="CP231" s="1215"/>
      <c r="CQ231" s="179"/>
    </row>
    <row r="232" spans="1:95" ht="12.75" customHeight="1" x14ac:dyDescent="0.35">
      <c r="A232" s="136"/>
      <c r="B232" s="136"/>
      <c r="C232" s="136"/>
      <c r="D232" s="152"/>
      <c r="E232" s="151"/>
      <c r="F232" s="151"/>
      <c r="G232" s="151"/>
      <c r="H232" s="151"/>
      <c r="I232" s="151"/>
      <c r="J232" s="151"/>
      <c r="K232" s="151"/>
      <c r="L232" s="151"/>
      <c r="M232" s="151"/>
      <c r="N232" s="151"/>
      <c r="O232" s="151"/>
      <c r="P232" s="151"/>
      <c r="Q232" s="151"/>
      <c r="R232" s="151"/>
      <c r="S232" s="151"/>
      <c r="T232" s="151"/>
      <c r="U232" s="151"/>
      <c r="V232" s="151"/>
      <c r="W232" s="151"/>
      <c r="X232" s="151"/>
      <c r="Y232" s="151"/>
      <c r="Z232" s="151"/>
      <c r="AA232" s="151"/>
      <c r="AB232" s="151"/>
      <c r="AC232" s="151"/>
      <c r="AD232" s="151"/>
      <c r="AE232" s="151"/>
      <c r="AF232" s="151"/>
      <c r="AG232" s="151"/>
      <c r="AH232" s="151"/>
      <c r="AI232" s="151"/>
      <c r="AJ232" s="151"/>
      <c r="AK232" s="151"/>
      <c r="AL232" s="151"/>
      <c r="AM232" s="151"/>
      <c r="AN232" s="151"/>
      <c r="AO232" s="151"/>
      <c r="AP232" s="151"/>
      <c r="AQ232" s="151"/>
      <c r="AR232" s="151"/>
      <c r="AS232" s="151"/>
      <c r="AT232" s="151"/>
      <c r="AU232" s="151"/>
      <c r="AV232" s="151"/>
      <c r="AW232" s="151"/>
      <c r="AX232" s="151"/>
      <c r="AY232" s="151"/>
      <c r="AZ232" s="151"/>
      <c r="BA232" s="151"/>
      <c r="BB232" s="151"/>
      <c r="BC232" s="151"/>
      <c r="BD232" s="151"/>
      <c r="BE232" s="151"/>
      <c r="BF232" s="151"/>
      <c r="BG232" s="151"/>
      <c r="BH232" s="151"/>
      <c r="BI232" s="151"/>
      <c r="BJ232" s="151"/>
      <c r="BK232" s="151"/>
      <c r="BL232" s="151"/>
      <c r="BM232" s="151"/>
      <c r="BN232" s="151"/>
      <c r="BO232" s="151"/>
      <c r="BP232" s="151"/>
      <c r="BQ232" s="153"/>
      <c r="BR232" s="1802"/>
      <c r="BS232" s="153"/>
      <c r="BT232" s="1802"/>
      <c r="BU232" s="139"/>
      <c r="BV232" s="139"/>
      <c r="BW232" s="153"/>
      <c r="BX232" s="153"/>
      <c r="BY232" s="153"/>
      <c r="BZ232" s="153"/>
      <c r="CA232" s="153"/>
      <c r="CB232" s="149"/>
      <c r="CC232" s="149"/>
      <c r="CD232" s="149"/>
      <c r="CE232" s="149"/>
      <c r="CF232" s="149"/>
      <c r="CG232" s="149"/>
      <c r="CH232" s="149"/>
      <c r="CI232" s="149"/>
      <c r="CJ232" s="149"/>
      <c r="CK232" s="149"/>
      <c r="CL232" s="178"/>
      <c r="CM232" s="178"/>
      <c r="CN232" s="178"/>
      <c r="CO232" s="178"/>
      <c r="CP232" s="178"/>
    </row>
    <row r="233" spans="1:95" ht="12.75" customHeight="1" x14ac:dyDescent="0.35">
      <c r="A233" s="136"/>
      <c r="B233" s="136"/>
      <c r="C233" s="136"/>
      <c r="D233" s="151"/>
      <c r="E233" s="151"/>
      <c r="F233" s="151"/>
      <c r="G233" s="151"/>
      <c r="H233" s="151"/>
      <c r="I233" s="151"/>
      <c r="J233" s="151"/>
      <c r="K233" s="151"/>
      <c r="L233" s="151"/>
      <c r="M233" s="151"/>
      <c r="N233" s="151"/>
      <c r="O233" s="151"/>
      <c r="P233" s="151"/>
      <c r="Q233" s="151"/>
      <c r="R233" s="151"/>
      <c r="S233" s="151"/>
      <c r="T233" s="151"/>
      <c r="U233" s="151"/>
      <c r="V233" s="151"/>
      <c r="W233" s="151"/>
      <c r="X233" s="151"/>
      <c r="Y233" s="151"/>
      <c r="Z233" s="151"/>
      <c r="AA233" s="151"/>
      <c r="AB233" s="151"/>
      <c r="AC233" s="151"/>
      <c r="AD233" s="151"/>
      <c r="AE233" s="151"/>
      <c r="AF233" s="151"/>
      <c r="AG233" s="151"/>
      <c r="AH233" s="151"/>
      <c r="AI233" s="151"/>
      <c r="AJ233" s="151"/>
      <c r="AK233" s="151"/>
      <c r="AL233" s="151"/>
      <c r="AM233" s="151"/>
      <c r="AN233" s="151"/>
      <c r="AO233" s="151"/>
      <c r="AP233" s="151"/>
      <c r="AQ233" s="151"/>
      <c r="AR233" s="151"/>
      <c r="AS233" s="151"/>
      <c r="AT233" s="151"/>
      <c r="AU233" s="151"/>
      <c r="AV233" s="151"/>
      <c r="AW233" s="151"/>
      <c r="AX233" s="151"/>
      <c r="AY233" s="151"/>
      <c r="AZ233" s="151"/>
      <c r="BA233" s="151"/>
      <c r="BB233" s="151"/>
      <c r="BC233" s="151"/>
      <c r="BD233" s="151"/>
      <c r="BE233" s="151"/>
      <c r="BF233" s="151"/>
      <c r="BG233" s="151"/>
      <c r="BH233" s="151"/>
      <c r="BI233" s="151"/>
      <c r="BJ233" s="151"/>
      <c r="BK233" s="151"/>
      <c r="BL233" s="151"/>
      <c r="BM233" s="151"/>
      <c r="BN233" s="151"/>
      <c r="BO233" s="151"/>
      <c r="BP233" s="151"/>
      <c r="BQ233" s="153"/>
      <c r="BR233" s="1802"/>
      <c r="BS233" s="153"/>
      <c r="BT233" s="1802"/>
      <c r="BU233" s="139"/>
      <c r="BV233" s="139"/>
      <c r="BW233" s="153"/>
      <c r="BX233" s="153"/>
      <c r="BY233" s="153"/>
      <c r="BZ233" s="153"/>
      <c r="CA233" s="153"/>
      <c r="CB233" s="149"/>
      <c r="CC233" s="149"/>
      <c r="CD233" s="149"/>
      <c r="CE233" s="149"/>
      <c r="CF233" s="149"/>
      <c r="CG233" s="149"/>
      <c r="CH233" s="149"/>
      <c r="CI233" s="149"/>
      <c r="CJ233" s="149"/>
      <c r="CK233" s="149"/>
      <c r="CL233" s="178"/>
      <c r="CM233" s="178"/>
      <c r="CN233" s="178"/>
      <c r="CO233" s="178"/>
      <c r="CP233" s="178"/>
    </row>
    <row r="234" spans="1:95" ht="20.5" customHeight="1" x14ac:dyDescent="0.35">
      <c r="A234" s="136"/>
      <c r="B234" s="136"/>
      <c r="C234" s="136"/>
      <c r="D234" s="120"/>
      <c r="E234" s="151"/>
      <c r="F234" s="151"/>
      <c r="G234" s="151"/>
      <c r="H234" s="151"/>
      <c r="I234" s="151"/>
      <c r="J234" s="151"/>
      <c r="K234" s="151"/>
      <c r="L234" s="151"/>
      <c r="M234" s="151"/>
      <c r="N234" s="151"/>
      <c r="O234" s="151"/>
      <c r="P234" s="151"/>
      <c r="Q234" s="151"/>
      <c r="R234" s="151"/>
      <c r="S234" s="151"/>
      <c r="T234" s="151"/>
      <c r="U234" s="151"/>
      <c r="V234" s="151"/>
      <c r="W234" s="151"/>
      <c r="X234" s="151"/>
      <c r="Y234" s="151"/>
      <c r="Z234" s="151"/>
      <c r="AA234" s="151"/>
      <c r="AB234" s="151"/>
      <c r="AC234" s="151"/>
      <c r="AD234" s="151"/>
      <c r="AE234" s="151"/>
      <c r="AF234" s="151"/>
      <c r="AG234" s="151"/>
      <c r="AH234" s="151"/>
      <c r="AI234" s="151"/>
      <c r="AJ234" s="151"/>
      <c r="AK234" s="151"/>
      <c r="AL234" s="151"/>
      <c r="AM234" s="151"/>
      <c r="AN234" s="151"/>
      <c r="AO234" s="151"/>
      <c r="AP234" s="151"/>
      <c r="AQ234" s="151"/>
      <c r="AR234" s="151"/>
      <c r="AS234" s="151"/>
      <c r="AT234" s="151"/>
      <c r="AU234" s="151"/>
      <c r="AV234" s="151"/>
      <c r="AW234" s="151"/>
      <c r="AX234" s="151"/>
      <c r="AY234" s="151"/>
      <c r="AZ234" s="151"/>
      <c r="BA234" s="151"/>
      <c r="BB234" s="151"/>
      <c r="BC234" s="151"/>
      <c r="BD234" s="151"/>
      <c r="BE234" s="151"/>
      <c r="BF234" s="151"/>
      <c r="BG234" s="151"/>
      <c r="BH234" s="151"/>
      <c r="BI234" s="151"/>
      <c r="BJ234" s="151"/>
      <c r="BK234" s="151"/>
      <c r="BL234" s="151"/>
      <c r="BM234" s="151"/>
      <c r="BN234" s="151"/>
      <c r="BO234" s="151"/>
      <c r="BP234" s="151"/>
      <c r="BQ234" s="153"/>
      <c r="BR234" s="1802"/>
      <c r="BS234" s="153"/>
      <c r="BT234" s="1802"/>
      <c r="BU234" s="139"/>
      <c r="BV234" s="139"/>
      <c r="BW234" s="153"/>
      <c r="BX234" s="153"/>
      <c r="BY234" s="153"/>
      <c r="BZ234" s="153"/>
      <c r="CA234" s="153"/>
      <c r="CB234" s="149"/>
      <c r="CC234" s="149"/>
      <c r="CD234" s="149"/>
      <c r="CE234" s="149"/>
      <c r="CF234" s="149"/>
      <c r="CG234" s="149"/>
      <c r="CH234" s="149"/>
      <c r="CI234" s="149"/>
      <c r="CJ234" s="149"/>
      <c r="CK234" s="149"/>
      <c r="CL234" s="178"/>
      <c r="CM234" s="178"/>
      <c r="CN234" s="178"/>
      <c r="CO234" s="178"/>
      <c r="CP234" s="178"/>
    </row>
    <row r="235" spans="1:95" ht="12.75" customHeight="1" x14ac:dyDescent="0.35">
      <c r="A235" s="136"/>
      <c r="B235" s="136"/>
      <c r="C235" s="136"/>
      <c r="D235" s="120"/>
      <c r="E235" s="151"/>
      <c r="F235" s="151"/>
      <c r="G235" s="151"/>
      <c r="H235" s="151"/>
      <c r="I235" s="151"/>
      <c r="J235" s="151"/>
      <c r="K235" s="151"/>
      <c r="L235" s="151"/>
      <c r="M235" s="151"/>
      <c r="N235" s="151"/>
      <c r="O235" s="151"/>
      <c r="P235" s="151"/>
      <c r="Q235" s="151"/>
      <c r="R235" s="151"/>
      <c r="S235" s="151"/>
      <c r="T235" s="151"/>
      <c r="U235" s="151"/>
      <c r="V235" s="151"/>
      <c r="W235" s="151"/>
      <c r="X235" s="151"/>
      <c r="Y235" s="151"/>
      <c r="Z235" s="151"/>
      <c r="AA235" s="151"/>
      <c r="AB235" s="151"/>
      <c r="AC235" s="151"/>
      <c r="AD235" s="151"/>
      <c r="AE235" s="151"/>
      <c r="AF235" s="151"/>
      <c r="AG235" s="151"/>
      <c r="AH235" s="151"/>
      <c r="AI235" s="151"/>
      <c r="AJ235" s="151"/>
      <c r="AK235" s="151"/>
      <c r="AL235" s="151"/>
      <c r="AM235" s="151"/>
      <c r="AN235" s="151"/>
      <c r="AO235" s="151"/>
      <c r="AP235" s="151"/>
      <c r="AQ235" s="151"/>
      <c r="AR235" s="151"/>
      <c r="AS235" s="151"/>
      <c r="AT235" s="151"/>
      <c r="AU235" s="151"/>
      <c r="AV235" s="151"/>
      <c r="AW235" s="151"/>
      <c r="AX235" s="151"/>
      <c r="AY235" s="151"/>
      <c r="AZ235" s="151"/>
      <c r="BA235" s="151"/>
      <c r="BB235" s="151"/>
      <c r="BC235" s="151"/>
      <c r="BD235" s="151"/>
      <c r="BE235" s="151"/>
      <c r="BF235" s="151"/>
      <c r="BG235" s="151"/>
      <c r="BH235" s="151"/>
      <c r="BI235" s="151"/>
      <c r="BJ235" s="151"/>
      <c r="BK235" s="151"/>
      <c r="BL235" s="151"/>
      <c r="BM235" s="151"/>
      <c r="BN235" s="151"/>
      <c r="BO235" s="151"/>
      <c r="BP235" s="151"/>
      <c r="BQ235" s="153"/>
      <c r="BR235" s="1802"/>
      <c r="BS235" s="153"/>
      <c r="BT235" s="1802"/>
      <c r="BU235" s="139"/>
      <c r="BV235" s="139"/>
      <c r="BW235" s="153"/>
      <c r="BX235" s="153"/>
      <c r="BY235" s="153"/>
      <c r="BZ235" s="153"/>
      <c r="CA235" s="153"/>
      <c r="CB235" s="149"/>
      <c r="CC235" s="149"/>
      <c r="CD235" s="149"/>
      <c r="CE235" s="149"/>
      <c r="CF235" s="149"/>
      <c r="CG235" s="149"/>
      <c r="CH235" s="149"/>
      <c r="CI235" s="149"/>
      <c r="CJ235" s="149"/>
      <c r="CK235" s="149"/>
      <c r="CL235" s="178"/>
      <c r="CM235" s="178"/>
      <c r="CN235" s="178"/>
      <c r="CO235" s="178"/>
      <c r="CP235" s="178"/>
    </row>
    <row r="236" spans="1:95" ht="12.75" customHeight="1" x14ac:dyDescent="0.35">
      <c r="A236" s="136"/>
      <c r="B236" s="136"/>
      <c r="C236" s="136"/>
      <c r="D236" s="120"/>
      <c r="E236" s="151"/>
      <c r="F236" s="151"/>
      <c r="G236" s="151"/>
      <c r="H236" s="151"/>
      <c r="I236" s="151"/>
      <c r="J236" s="151"/>
      <c r="K236" s="151"/>
      <c r="L236" s="151"/>
      <c r="M236" s="151"/>
      <c r="N236" s="151"/>
      <c r="O236" s="151"/>
      <c r="P236" s="151"/>
      <c r="Q236" s="151"/>
      <c r="R236" s="151"/>
      <c r="S236" s="151"/>
      <c r="T236" s="151"/>
      <c r="U236" s="151"/>
      <c r="V236" s="151"/>
      <c r="W236" s="151"/>
      <c r="X236" s="151"/>
      <c r="Y236" s="151"/>
      <c r="Z236" s="151"/>
      <c r="AA236" s="151"/>
      <c r="AB236" s="151"/>
      <c r="AC236" s="151"/>
      <c r="AD236" s="151"/>
      <c r="AE236" s="151"/>
      <c r="AF236" s="151"/>
      <c r="AG236" s="151"/>
      <c r="AH236" s="151"/>
      <c r="AI236" s="151"/>
      <c r="AJ236" s="151"/>
      <c r="AK236" s="151"/>
      <c r="AL236" s="151"/>
      <c r="AM236" s="151"/>
      <c r="AN236" s="151"/>
      <c r="AO236" s="151"/>
      <c r="AP236" s="151"/>
      <c r="AQ236" s="151"/>
      <c r="AR236" s="151"/>
      <c r="AS236" s="151"/>
      <c r="AT236" s="151"/>
      <c r="AU236" s="151"/>
      <c r="AV236" s="151"/>
      <c r="AW236" s="151"/>
      <c r="AX236" s="151"/>
      <c r="AY236" s="151"/>
      <c r="AZ236" s="151"/>
      <c r="BA236" s="151"/>
      <c r="BB236" s="151"/>
      <c r="BC236" s="151"/>
      <c r="BD236" s="151"/>
      <c r="BE236" s="151"/>
      <c r="BF236" s="151"/>
      <c r="BG236" s="151"/>
      <c r="BH236" s="151"/>
      <c r="BI236" s="151"/>
      <c r="BJ236" s="151"/>
      <c r="BK236" s="151"/>
      <c r="BL236" s="151"/>
      <c r="BM236" s="151"/>
      <c r="BN236" s="151"/>
      <c r="BO236" s="151"/>
      <c r="BP236" s="151"/>
      <c r="BQ236" s="153"/>
      <c r="BR236" s="1802"/>
      <c r="BS236" s="153"/>
      <c r="BT236" s="1802"/>
      <c r="BU236" s="139"/>
      <c r="BV236" s="139"/>
      <c r="BW236" s="153"/>
      <c r="BX236" s="153"/>
      <c r="BY236" s="153"/>
      <c r="BZ236" s="153"/>
      <c r="CA236" s="153"/>
      <c r="CB236" s="149"/>
      <c r="CC236" s="149"/>
      <c r="CD236" s="149"/>
      <c r="CE236" s="149"/>
      <c r="CF236" s="149"/>
      <c r="CG236" s="149"/>
      <c r="CH236" s="149"/>
      <c r="CI236" s="149"/>
      <c r="CJ236" s="149"/>
      <c r="CK236" s="149"/>
      <c r="CL236" s="178"/>
      <c r="CM236" s="178"/>
      <c r="CN236" s="178"/>
      <c r="CO236" s="178"/>
      <c r="CP236" s="178"/>
    </row>
    <row r="237" spans="1:95" ht="12.75" customHeight="1" x14ac:dyDescent="0.35">
      <c r="A237" s="136"/>
      <c r="B237" s="136"/>
      <c r="C237" s="136"/>
      <c r="D237" s="120"/>
      <c r="E237" s="151"/>
      <c r="F237" s="151"/>
      <c r="G237" s="151"/>
      <c r="H237" s="151"/>
      <c r="I237" s="151"/>
      <c r="J237" s="151"/>
      <c r="K237" s="151"/>
      <c r="L237" s="151"/>
      <c r="M237" s="151"/>
      <c r="N237" s="151"/>
      <c r="O237" s="151"/>
      <c r="P237" s="151"/>
      <c r="Q237" s="151"/>
      <c r="R237" s="151"/>
      <c r="S237" s="151"/>
      <c r="T237" s="151"/>
      <c r="U237" s="151"/>
      <c r="V237" s="151"/>
      <c r="W237" s="151"/>
      <c r="X237" s="151"/>
      <c r="Y237" s="151"/>
      <c r="Z237" s="151"/>
      <c r="AA237" s="151"/>
      <c r="AB237" s="151"/>
      <c r="AC237" s="151"/>
      <c r="AD237" s="151"/>
      <c r="AE237" s="151"/>
      <c r="AF237" s="151"/>
      <c r="AG237" s="151"/>
      <c r="AH237" s="151"/>
      <c r="AI237" s="151"/>
      <c r="AJ237" s="151"/>
      <c r="AK237" s="151"/>
      <c r="AL237" s="151"/>
      <c r="AM237" s="151"/>
      <c r="AN237" s="151"/>
      <c r="AO237" s="151"/>
      <c r="AP237" s="151"/>
      <c r="AQ237" s="151"/>
      <c r="AR237" s="151"/>
      <c r="AS237" s="151"/>
      <c r="AT237" s="151"/>
      <c r="AU237" s="151"/>
      <c r="AV237" s="151"/>
      <c r="AW237" s="151"/>
      <c r="AX237" s="151"/>
      <c r="AY237" s="151"/>
      <c r="AZ237" s="151"/>
      <c r="BA237" s="151"/>
      <c r="BB237" s="151"/>
      <c r="BC237" s="151"/>
      <c r="BD237" s="151"/>
      <c r="BE237" s="151"/>
      <c r="BF237" s="151"/>
      <c r="BG237" s="151"/>
      <c r="BH237" s="151"/>
      <c r="BI237" s="151"/>
      <c r="BJ237" s="151"/>
      <c r="BK237" s="151"/>
      <c r="BL237" s="151"/>
      <c r="BM237" s="151"/>
      <c r="BN237" s="151"/>
      <c r="BO237" s="151"/>
      <c r="BP237" s="151"/>
      <c r="BQ237" s="153"/>
      <c r="BR237" s="1802"/>
      <c r="BS237" s="153"/>
      <c r="BT237" s="1802"/>
      <c r="BU237" s="139"/>
      <c r="BV237" s="139"/>
      <c r="BW237" s="153"/>
      <c r="BX237" s="153"/>
      <c r="BY237" s="153"/>
      <c r="BZ237" s="153"/>
      <c r="CA237" s="153"/>
      <c r="CB237" s="149"/>
      <c r="CC237" s="149"/>
      <c r="CD237" s="149"/>
      <c r="CE237" s="149"/>
      <c r="CF237" s="149"/>
      <c r="CG237" s="149"/>
      <c r="CH237" s="149"/>
      <c r="CI237" s="149"/>
      <c r="CJ237" s="149"/>
      <c r="CK237" s="149"/>
      <c r="CL237" s="178"/>
      <c r="CM237" s="178"/>
      <c r="CN237" s="178"/>
      <c r="CO237" s="178"/>
      <c r="CP237" s="178"/>
    </row>
    <row r="238" spans="1:95" ht="12.75" customHeight="1" x14ac:dyDescent="0.35">
      <c r="A238" s="136"/>
      <c r="B238" s="136"/>
      <c r="C238" s="136"/>
      <c r="D238" s="120"/>
      <c r="E238" s="151"/>
      <c r="F238" s="151"/>
      <c r="G238" s="151"/>
      <c r="H238" s="151"/>
      <c r="I238" s="151"/>
      <c r="J238" s="151"/>
      <c r="K238" s="151"/>
      <c r="L238" s="151"/>
      <c r="M238" s="151"/>
      <c r="N238" s="151"/>
      <c r="O238" s="151"/>
      <c r="P238" s="151"/>
      <c r="Q238" s="151"/>
      <c r="R238" s="151"/>
      <c r="S238" s="151"/>
      <c r="T238" s="151"/>
      <c r="U238" s="151"/>
      <c r="V238" s="151"/>
      <c r="W238" s="151"/>
      <c r="X238" s="151"/>
      <c r="Y238" s="151"/>
      <c r="Z238" s="151"/>
      <c r="AA238" s="151"/>
      <c r="AB238" s="151"/>
      <c r="AC238" s="151"/>
      <c r="AD238" s="151"/>
      <c r="AE238" s="151"/>
      <c r="AF238" s="151"/>
      <c r="AG238" s="151"/>
      <c r="AH238" s="151"/>
      <c r="AI238" s="151"/>
      <c r="AJ238" s="151"/>
      <c r="AK238" s="151"/>
      <c r="AL238" s="151"/>
      <c r="AM238" s="151"/>
      <c r="AN238" s="151"/>
      <c r="AO238" s="151"/>
      <c r="AP238" s="151"/>
      <c r="AQ238" s="151"/>
      <c r="AR238" s="151"/>
      <c r="AS238" s="151"/>
      <c r="AT238" s="151"/>
      <c r="AU238" s="151"/>
      <c r="AV238" s="151"/>
      <c r="AW238" s="151"/>
      <c r="AX238" s="151"/>
      <c r="AY238" s="151"/>
      <c r="AZ238" s="151"/>
      <c r="BA238" s="151"/>
      <c r="BB238" s="151"/>
      <c r="BC238" s="151"/>
      <c r="BD238" s="151"/>
      <c r="BE238" s="151"/>
      <c r="BF238" s="151"/>
      <c r="BG238" s="151"/>
      <c r="BH238" s="151"/>
      <c r="BI238" s="151"/>
      <c r="BJ238" s="151"/>
      <c r="BK238" s="151"/>
      <c r="BL238" s="151"/>
      <c r="BM238" s="151"/>
      <c r="BN238" s="151"/>
      <c r="BO238" s="151"/>
      <c r="BP238" s="151"/>
      <c r="BQ238" s="153"/>
      <c r="BR238" s="1802"/>
      <c r="BS238" s="153"/>
      <c r="BT238" s="1802"/>
      <c r="BU238" s="139"/>
      <c r="BV238" s="139"/>
      <c r="BW238" s="153"/>
      <c r="BX238" s="153"/>
      <c r="BY238" s="153"/>
      <c r="BZ238" s="153"/>
      <c r="CA238" s="153"/>
      <c r="CB238" s="149"/>
      <c r="CC238" s="149"/>
      <c r="CD238" s="149"/>
      <c r="CE238" s="149"/>
      <c r="CF238" s="149"/>
      <c r="CG238" s="149"/>
      <c r="CH238" s="149"/>
      <c r="CI238" s="149"/>
      <c r="CJ238" s="149"/>
      <c r="CK238" s="149"/>
      <c r="CL238" s="178"/>
      <c r="CM238" s="178"/>
      <c r="CN238" s="178"/>
      <c r="CO238" s="178"/>
      <c r="CP238" s="178"/>
    </row>
    <row r="239" spans="1:95" ht="12.75" customHeight="1" x14ac:dyDescent="0.35">
      <c r="A239" s="136"/>
      <c r="B239" s="136"/>
      <c r="C239" s="136"/>
      <c r="D239" s="120"/>
      <c r="E239" s="151"/>
      <c r="F239" s="151"/>
      <c r="G239" s="151"/>
      <c r="H239" s="151"/>
      <c r="I239" s="151"/>
      <c r="J239" s="151"/>
      <c r="K239" s="151"/>
      <c r="L239" s="151"/>
      <c r="M239" s="151"/>
      <c r="N239" s="151"/>
      <c r="O239" s="151"/>
      <c r="P239" s="151"/>
      <c r="Q239" s="151"/>
      <c r="R239" s="151"/>
      <c r="S239" s="151"/>
      <c r="T239" s="151"/>
      <c r="U239" s="151"/>
      <c r="V239" s="151"/>
      <c r="W239" s="151"/>
      <c r="X239" s="151"/>
      <c r="Y239" s="151"/>
      <c r="Z239" s="151"/>
      <c r="AA239" s="151"/>
      <c r="AB239" s="151"/>
      <c r="AC239" s="151"/>
      <c r="AD239" s="151"/>
      <c r="AE239" s="151"/>
      <c r="AF239" s="151"/>
      <c r="AG239" s="151"/>
      <c r="AH239" s="151"/>
      <c r="AI239" s="151"/>
      <c r="AJ239" s="151"/>
      <c r="AK239" s="151"/>
      <c r="AL239" s="151"/>
      <c r="AM239" s="151"/>
      <c r="AN239" s="151"/>
      <c r="AO239" s="151"/>
      <c r="AP239" s="151"/>
      <c r="AQ239" s="151"/>
      <c r="AR239" s="151"/>
      <c r="AS239" s="151"/>
      <c r="AT239" s="151"/>
      <c r="AU239" s="151"/>
      <c r="AV239" s="151"/>
      <c r="AW239" s="151"/>
      <c r="AX239" s="151"/>
      <c r="AY239" s="151"/>
      <c r="AZ239" s="151"/>
      <c r="BA239" s="151"/>
      <c r="BB239" s="151"/>
      <c r="BC239" s="151"/>
      <c r="BD239" s="151"/>
      <c r="BE239" s="151"/>
      <c r="BF239" s="151"/>
      <c r="BG239" s="151"/>
      <c r="BH239" s="151"/>
      <c r="BI239" s="151"/>
      <c r="BJ239" s="151"/>
      <c r="BK239" s="151"/>
      <c r="BL239" s="151"/>
      <c r="BM239" s="151"/>
      <c r="BN239" s="151"/>
      <c r="BO239" s="151"/>
      <c r="BP239" s="151"/>
      <c r="BQ239" s="153"/>
      <c r="BR239" s="1802"/>
      <c r="BS239" s="153"/>
      <c r="BT239" s="1802"/>
      <c r="BU239" s="139"/>
      <c r="BV239" s="139"/>
      <c r="BW239" s="153"/>
      <c r="BX239" s="153"/>
      <c r="BY239" s="153"/>
      <c r="BZ239" s="153"/>
      <c r="CA239" s="153"/>
      <c r="CB239" s="149"/>
      <c r="CC239" s="149"/>
      <c r="CD239" s="149"/>
      <c r="CE239" s="149"/>
      <c r="CF239" s="149"/>
      <c r="CG239" s="149"/>
      <c r="CH239" s="149"/>
      <c r="CI239" s="149"/>
      <c r="CJ239" s="149"/>
      <c r="CK239" s="149"/>
      <c r="CL239" s="178"/>
      <c r="CM239" s="178"/>
      <c r="CN239" s="178"/>
      <c r="CO239" s="178"/>
      <c r="CP239" s="178"/>
    </row>
    <row r="240" spans="1:95" ht="12.75" customHeight="1" x14ac:dyDescent="0.35">
      <c r="A240" s="136"/>
      <c r="B240" s="136"/>
      <c r="C240" s="136"/>
      <c r="D240" s="120"/>
      <c r="E240" s="151"/>
      <c r="F240" s="151"/>
      <c r="G240" s="151"/>
      <c r="H240" s="151"/>
      <c r="I240" s="151"/>
      <c r="J240" s="151"/>
      <c r="K240" s="151"/>
      <c r="L240" s="151"/>
      <c r="M240" s="151"/>
      <c r="N240" s="151"/>
      <c r="O240" s="151"/>
      <c r="P240" s="151"/>
      <c r="Q240" s="151"/>
      <c r="R240" s="151"/>
      <c r="S240" s="151"/>
      <c r="T240" s="151"/>
      <c r="U240" s="151"/>
      <c r="V240" s="151"/>
      <c r="W240" s="151"/>
      <c r="X240" s="151"/>
      <c r="Y240" s="151"/>
      <c r="Z240" s="151"/>
      <c r="AA240" s="151"/>
      <c r="AB240" s="151"/>
      <c r="AC240" s="151"/>
      <c r="AD240" s="151"/>
      <c r="AE240" s="151"/>
      <c r="AF240" s="151"/>
      <c r="AG240" s="151"/>
      <c r="AH240" s="151"/>
      <c r="AI240" s="151"/>
      <c r="AJ240" s="151"/>
      <c r="AK240" s="151"/>
      <c r="AL240" s="151"/>
      <c r="AM240" s="151"/>
      <c r="AN240" s="151"/>
      <c r="AO240" s="151"/>
      <c r="AP240" s="151"/>
      <c r="AQ240" s="151"/>
      <c r="AR240" s="151"/>
      <c r="AS240" s="151"/>
      <c r="AT240" s="151"/>
      <c r="AU240" s="151"/>
      <c r="AV240" s="151"/>
      <c r="AW240" s="151"/>
      <c r="AX240" s="151"/>
      <c r="AY240" s="151"/>
      <c r="AZ240" s="151"/>
      <c r="BA240" s="151"/>
      <c r="BB240" s="151"/>
      <c r="BC240" s="151"/>
      <c r="BD240" s="151"/>
      <c r="BE240" s="151"/>
      <c r="BF240" s="151"/>
      <c r="BG240" s="151"/>
      <c r="BH240" s="151"/>
      <c r="BI240" s="151"/>
      <c r="BJ240" s="151"/>
      <c r="BK240" s="151"/>
      <c r="BL240" s="151"/>
      <c r="BM240" s="151"/>
      <c r="BN240" s="151"/>
      <c r="BO240" s="151"/>
      <c r="BP240" s="151"/>
      <c r="BQ240" s="153"/>
      <c r="BR240" s="1802"/>
      <c r="BS240" s="153"/>
      <c r="BT240" s="1802"/>
      <c r="BU240" s="139"/>
      <c r="BV240" s="139"/>
      <c r="BW240" s="153"/>
      <c r="BX240" s="153"/>
      <c r="BY240" s="153"/>
      <c r="BZ240" s="153"/>
      <c r="CA240" s="153"/>
      <c r="CB240" s="149"/>
      <c r="CC240" s="149"/>
      <c r="CD240" s="149"/>
      <c r="CE240" s="149"/>
      <c r="CF240" s="149"/>
      <c r="CG240" s="149"/>
      <c r="CH240" s="149"/>
      <c r="CI240" s="149"/>
      <c r="CJ240" s="149"/>
      <c r="CK240" s="149"/>
      <c r="CL240" s="178"/>
      <c r="CM240" s="178"/>
      <c r="CN240" s="178"/>
      <c r="CO240" s="178"/>
      <c r="CP240" s="178"/>
    </row>
    <row r="241" spans="1:94" ht="12.75" customHeight="1" x14ac:dyDescent="0.35">
      <c r="A241" s="136"/>
      <c r="B241" s="136"/>
      <c r="C241" s="136"/>
      <c r="D241" s="120"/>
      <c r="E241" s="151"/>
      <c r="F241" s="151"/>
      <c r="G241" s="151"/>
      <c r="H241" s="151"/>
      <c r="I241" s="151"/>
      <c r="J241" s="151"/>
      <c r="K241" s="151"/>
      <c r="L241" s="151"/>
      <c r="M241" s="151"/>
      <c r="N241" s="151"/>
      <c r="O241" s="151"/>
      <c r="P241" s="151"/>
      <c r="Q241" s="151"/>
      <c r="R241" s="151"/>
      <c r="S241" s="151"/>
      <c r="T241" s="151"/>
      <c r="U241" s="151"/>
      <c r="V241" s="151"/>
      <c r="W241" s="151"/>
      <c r="X241" s="151"/>
      <c r="Y241" s="151"/>
      <c r="Z241" s="151"/>
      <c r="AA241" s="151"/>
      <c r="AB241" s="151"/>
      <c r="AC241" s="151"/>
      <c r="AD241" s="151"/>
      <c r="AE241" s="151"/>
      <c r="AF241" s="151"/>
      <c r="AG241" s="151"/>
      <c r="AH241" s="151"/>
      <c r="AI241" s="151"/>
      <c r="AJ241" s="151"/>
      <c r="AK241" s="151"/>
      <c r="AL241" s="151"/>
      <c r="AM241" s="151"/>
      <c r="AN241" s="151"/>
      <c r="AO241" s="151"/>
      <c r="AP241" s="151"/>
      <c r="AQ241" s="151"/>
      <c r="AR241" s="151"/>
      <c r="AS241" s="151"/>
      <c r="AT241" s="151"/>
      <c r="AU241" s="151"/>
      <c r="AV241" s="151"/>
      <c r="AW241" s="151"/>
      <c r="AX241" s="151"/>
      <c r="AY241" s="151"/>
      <c r="AZ241" s="151"/>
      <c r="BA241" s="151"/>
      <c r="BB241" s="151"/>
      <c r="BC241" s="151"/>
      <c r="BD241" s="151"/>
      <c r="BE241" s="151"/>
      <c r="BF241" s="151"/>
      <c r="BG241" s="151"/>
      <c r="BH241" s="151"/>
      <c r="BI241" s="151"/>
      <c r="BJ241" s="151"/>
      <c r="BK241" s="151"/>
      <c r="BL241" s="151"/>
      <c r="BM241" s="151"/>
      <c r="BN241" s="151"/>
      <c r="BO241" s="151"/>
      <c r="BP241" s="151"/>
      <c r="BQ241" s="153"/>
      <c r="BR241" s="1802"/>
      <c r="BS241" s="153"/>
      <c r="BT241" s="1802"/>
      <c r="BU241" s="139"/>
      <c r="BV241" s="139"/>
      <c r="BW241" s="153"/>
      <c r="BX241" s="153"/>
      <c r="BY241" s="153"/>
      <c r="BZ241" s="153"/>
      <c r="CA241" s="153"/>
      <c r="CB241" s="149"/>
      <c r="CC241" s="149"/>
      <c r="CD241" s="149"/>
      <c r="CE241" s="149"/>
      <c r="CF241" s="149"/>
      <c r="CG241" s="149"/>
      <c r="CH241" s="149"/>
      <c r="CI241" s="149"/>
      <c r="CJ241" s="149"/>
      <c r="CK241" s="149"/>
      <c r="CL241" s="178"/>
      <c r="CM241" s="178"/>
      <c r="CN241" s="178"/>
      <c r="CO241" s="178"/>
      <c r="CP241" s="178"/>
    </row>
    <row r="242" spans="1:94" ht="12.75" customHeight="1" x14ac:dyDescent="0.35">
      <c r="A242" s="136"/>
      <c r="B242" s="136"/>
      <c r="C242" s="136"/>
      <c r="D242" s="120"/>
      <c r="E242" s="151"/>
      <c r="F242" s="151"/>
      <c r="G242" s="151"/>
      <c r="H242" s="151"/>
      <c r="I242" s="149"/>
      <c r="J242" s="149"/>
      <c r="K242" s="149"/>
      <c r="L242" s="149"/>
      <c r="M242" s="149"/>
      <c r="N242" s="149"/>
      <c r="O242" s="149"/>
      <c r="P242" s="149"/>
      <c r="Q242" s="149"/>
      <c r="R242" s="151"/>
      <c r="S242" s="151"/>
      <c r="T242" s="151"/>
      <c r="U242" s="151"/>
      <c r="V242" s="151"/>
      <c r="W242" s="151"/>
      <c r="X242" s="151"/>
      <c r="Y242" s="151"/>
      <c r="Z242" s="151"/>
      <c r="AA242" s="151"/>
      <c r="AB242" s="151"/>
      <c r="AC242" s="151"/>
      <c r="AD242" s="151"/>
      <c r="AE242" s="151"/>
      <c r="AF242" s="151"/>
      <c r="AG242" s="151"/>
      <c r="AH242" s="151"/>
      <c r="AI242" s="151"/>
      <c r="AJ242" s="151"/>
      <c r="AK242" s="151"/>
      <c r="AL242" s="151"/>
      <c r="AM242" s="151"/>
      <c r="AN242" s="151"/>
      <c r="AO242" s="151"/>
      <c r="AP242" s="151"/>
      <c r="AQ242" s="151"/>
      <c r="AR242" s="151"/>
      <c r="AS242" s="151"/>
      <c r="AT242" s="151"/>
      <c r="AU242" s="151"/>
      <c r="AV242" s="151"/>
      <c r="AW242" s="151"/>
      <c r="AX242" s="151"/>
      <c r="AY242" s="151"/>
      <c r="AZ242" s="151"/>
      <c r="BA242" s="151"/>
      <c r="BB242" s="151"/>
      <c r="BC242" s="151"/>
      <c r="BD242" s="151"/>
      <c r="BE242" s="151"/>
      <c r="BF242" s="151"/>
      <c r="BG242" s="151"/>
      <c r="BH242" s="151"/>
      <c r="BI242" s="151"/>
      <c r="BJ242" s="151"/>
      <c r="BK242" s="151"/>
      <c r="BL242" s="151"/>
      <c r="BM242" s="151"/>
      <c r="BN242" s="151"/>
      <c r="BO242" s="151"/>
      <c r="BP242" s="151"/>
      <c r="BQ242" s="153"/>
      <c r="BR242" s="1802"/>
      <c r="BS242" s="153"/>
      <c r="BT242" s="1802"/>
      <c r="BU242" s="139"/>
      <c r="BV242" s="139"/>
      <c r="BW242" s="153"/>
      <c r="BX242" s="153"/>
      <c r="BY242" s="153"/>
      <c r="BZ242" s="153"/>
      <c r="CA242" s="153"/>
      <c r="CB242" s="149"/>
      <c r="CC242" s="149"/>
      <c r="CD242" s="149"/>
      <c r="CE242" s="149"/>
      <c r="CF242" s="149"/>
      <c r="CG242" s="149"/>
      <c r="CH242" s="149"/>
      <c r="CI242" s="149"/>
      <c r="CJ242" s="149"/>
      <c r="CK242" s="149"/>
      <c r="CL242" s="178"/>
      <c r="CM242" s="178"/>
      <c r="CN242" s="178"/>
      <c r="CO242" s="178"/>
      <c r="CP242" s="178"/>
    </row>
    <row r="243" spans="1:94" ht="12.75" customHeight="1" x14ac:dyDescent="0.35">
      <c r="A243" s="136"/>
      <c r="B243" s="136"/>
      <c r="C243" s="136"/>
      <c r="D243" s="120"/>
      <c r="E243" s="151"/>
      <c r="F243" s="151"/>
      <c r="G243" s="151"/>
      <c r="H243" s="151"/>
      <c r="I243" s="149"/>
      <c r="J243" s="149"/>
      <c r="K243" s="149"/>
      <c r="L243" s="149"/>
      <c r="M243" s="149"/>
      <c r="N243" s="149"/>
      <c r="O243" s="149"/>
      <c r="P243" s="149"/>
      <c r="Q243" s="149"/>
      <c r="R243" s="151"/>
      <c r="S243" s="151"/>
      <c r="T243" s="151"/>
      <c r="U243" s="151"/>
      <c r="V243" s="151"/>
      <c r="W243" s="151"/>
      <c r="X243" s="151"/>
      <c r="Y243" s="151"/>
      <c r="Z243" s="151"/>
      <c r="AA243" s="151"/>
      <c r="AB243" s="151"/>
      <c r="AC243" s="151"/>
      <c r="AD243" s="151"/>
      <c r="AE243" s="151"/>
      <c r="AF243" s="151"/>
      <c r="AG243" s="151"/>
      <c r="AH243" s="151"/>
      <c r="AI243" s="151"/>
      <c r="AJ243" s="151"/>
      <c r="AK243" s="151"/>
      <c r="AL243" s="151"/>
      <c r="AM243" s="151"/>
      <c r="AN243" s="151"/>
      <c r="AO243" s="151"/>
      <c r="AP243" s="151"/>
      <c r="AQ243" s="151"/>
      <c r="AR243" s="151"/>
      <c r="AS243" s="151"/>
      <c r="AT243" s="151"/>
      <c r="AU243" s="151"/>
      <c r="AV243" s="151"/>
      <c r="AW243" s="151"/>
      <c r="AX243" s="151"/>
      <c r="AY243" s="151"/>
      <c r="AZ243" s="151"/>
      <c r="BA243" s="151"/>
      <c r="BB243" s="151"/>
      <c r="BC243" s="151"/>
      <c r="BD243" s="151"/>
      <c r="BE243" s="151"/>
      <c r="BF243" s="151"/>
      <c r="BG243" s="151"/>
      <c r="BH243" s="151"/>
      <c r="BI243" s="151"/>
      <c r="BJ243" s="151"/>
      <c r="BK243" s="151"/>
      <c r="BL243" s="151"/>
      <c r="BM243" s="151"/>
      <c r="BN243" s="151"/>
      <c r="BO243" s="151"/>
      <c r="BP243" s="151"/>
      <c r="BQ243" s="153"/>
      <c r="BR243" s="1802"/>
      <c r="BS243" s="153"/>
      <c r="BT243" s="1802"/>
      <c r="BU243" s="139"/>
      <c r="BV243" s="139"/>
      <c r="BW243" s="153"/>
      <c r="BX243" s="153"/>
      <c r="BY243" s="153"/>
      <c r="BZ243" s="153"/>
      <c r="CA243" s="153"/>
      <c r="CB243" s="149"/>
      <c r="CC243" s="149"/>
      <c r="CD243" s="149"/>
      <c r="CE243" s="149"/>
      <c r="CF243" s="149"/>
      <c r="CG243" s="149"/>
      <c r="CH243" s="149"/>
      <c r="CI243" s="149"/>
      <c r="CJ243" s="149"/>
      <c r="CK243" s="149"/>
      <c r="CL243" s="178"/>
      <c r="CM243" s="178"/>
      <c r="CN243" s="178"/>
      <c r="CO243" s="178"/>
      <c r="CP243" s="178"/>
    </row>
    <row r="244" spans="1:94" ht="12.75" customHeight="1" x14ac:dyDescent="0.35">
      <c r="A244" s="136"/>
      <c r="B244" s="136"/>
      <c r="C244" s="136"/>
      <c r="D244" s="120"/>
      <c r="E244" s="151"/>
      <c r="F244" s="151"/>
      <c r="G244" s="151"/>
      <c r="H244" s="151"/>
      <c r="I244" s="149"/>
      <c r="J244" s="149"/>
      <c r="K244" s="149"/>
      <c r="L244" s="149"/>
      <c r="M244" s="149"/>
      <c r="N244" s="149"/>
      <c r="O244" s="149"/>
      <c r="P244" s="149"/>
      <c r="Q244" s="149"/>
      <c r="R244" s="151"/>
      <c r="S244" s="151"/>
      <c r="T244" s="151"/>
      <c r="U244" s="151"/>
      <c r="V244" s="151"/>
      <c r="W244" s="151"/>
      <c r="X244" s="151"/>
      <c r="Y244" s="151"/>
      <c r="Z244" s="151"/>
      <c r="AA244" s="151"/>
      <c r="AB244" s="151"/>
      <c r="AC244" s="151"/>
      <c r="AD244" s="151"/>
      <c r="AE244" s="151"/>
      <c r="AF244" s="151"/>
      <c r="AG244" s="151"/>
      <c r="AH244" s="151"/>
      <c r="AI244" s="151"/>
      <c r="AJ244" s="151"/>
      <c r="AK244" s="151"/>
      <c r="AL244" s="151"/>
      <c r="AM244" s="151"/>
      <c r="AN244" s="151"/>
      <c r="AO244" s="151"/>
      <c r="AP244" s="151"/>
      <c r="AQ244" s="151"/>
      <c r="AR244" s="151"/>
      <c r="AS244" s="151"/>
      <c r="AT244" s="151"/>
      <c r="AU244" s="151"/>
      <c r="AV244" s="151"/>
      <c r="AW244" s="151"/>
      <c r="AX244" s="151"/>
      <c r="AY244" s="151"/>
      <c r="AZ244" s="151"/>
      <c r="BA244" s="151"/>
      <c r="BB244" s="151"/>
      <c r="BC244" s="151"/>
      <c r="BD244" s="151"/>
      <c r="BE244" s="151"/>
      <c r="BF244" s="151"/>
      <c r="BG244" s="151"/>
      <c r="BH244" s="151"/>
      <c r="BI244" s="151"/>
      <c r="BJ244" s="151"/>
      <c r="BK244" s="151"/>
      <c r="BL244" s="151"/>
      <c r="BM244" s="151"/>
      <c r="BN244" s="151"/>
      <c r="BO244" s="151"/>
      <c r="BP244" s="151"/>
      <c r="BQ244" s="153"/>
      <c r="BR244" s="1802"/>
      <c r="BS244" s="153"/>
      <c r="BT244" s="1802"/>
      <c r="BU244" s="139"/>
      <c r="BV244" s="139"/>
      <c r="BW244" s="153"/>
      <c r="BX244" s="153"/>
      <c r="BY244" s="153"/>
      <c r="BZ244" s="153"/>
      <c r="CA244" s="153"/>
      <c r="CB244" s="149"/>
      <c r="CC244" s="149"/>
      <c r="CD244" s="149"/>
      <c r="CE244" s="149"/>
      <c r="CF244" s="149"/>
      <c r="CG244" s="149"/>
      <c r="CH244" s="149"/>
      <c r="CI244" s="149"/>
      <c r="CJ244" s="149"/>
      <c r="CK244" s="149"/>
      <c r="CL244" s="178"/>
      <c r="CM244" s="178"/>
      <c r="CN244" s="178"/>
      <c r="CO244" s="178"/>
      <c r="CP244" s="178"/>
    </row>
    <row r="245" spans="1:94" ht="12.75" customHeight="1" x14ac:dyDescent="0.35">
      <c r="A245" s="136"/>
      <c r="B245" s="136"/>
      <c r="C245" s="136"/>
      <c r="D245" s="120"/>
      <c r="E245" s="151"/>
      <c r="F245" s="151"/>
      <c r="G245" s="151"/>
      <c r="H245" s="151"/>
      <c r="I245" s="149"/>
      <c r="J245" s="149"/>
      <c r="K245" s="149"/>
      <c r="L245" s="149"/>
      <c r="M245" s="149"/>
      <c r="N245" s="149"/>
      <c r="O245" s="149"/>
      <c r="P245" s="149"/>
      <c r="Q245" s="149"/>
      <c r="R245" s="151"/>
      <c r="S245" s="151"/>
      <c r="T245" s="151"/>
      <c r="U245" s="151"/>
      <c r="V245" s="151"/>
      <c r="W245" s="151"/>
      <c r="X245" s="151"/>
      <c r="Y245" s="151"/>
      <c r="Z245" s="151"/>
      <c r="AA245" s="151"/>
      <c r="AB245" s="151"/>
      <c r="AC245" s="151"/>
      <c r="AD245" s="151"/>
      <c r="AE245" s="151"/>
      <c r="AF245" s="151"/>
      <c r="AG245" s="151"/>
      <c r="AH245" s="151"/>
      <c r="AI245" s="151"/>
      <c r="AJ245" s="151"/>
      <c r="AK245" s="151"/>
      <c r="AL245" s="151"/>
      <c r="AM245" s="151"/>
      <c r="AN245" s="151"/>
      <c r="AO245" s="151"/>
      <c r="AP245" s="151"/>
      <c r="AQ245" s="151"/>
      <c r="AR245" s="151"/>
      <c r="AS245" s="151"/>
      <c r="AT245" s="151"/>
      <c r="AU245" s="151"/>
      <c r="AV245" s="151"/>
      <c r="AW245" s="151"/>
      <c r="AX245" s="151"/>
      <c r="AY245" s="151"/>
      <c r="AZ245" s="151"/>
      <c r="BA245" s="151"/>
      <c r="BB245" s="151"/>
      <c r="BC245" s="151"/>
      <c r="BD245" s="151"/>
      <c r="BE245" s="151"/>
      <c r="BF245" s="151"/>
      <c r="BG245" s="151"/>
      <c r="BH245" s="151"/>
      <c r="BI245" s="151"/>
      <c r="BJ245" s="151"/>
      <c r="BK245" s="151"/>
      <c r="BL245" s="151"/>
      <c r="BM245" s="151"/>
      <c r="BN245" s="151"/>
      <c r="BO245" s="151"/>
      <c r="BP245" s="151"/>
      <c r="BQ245" s="153"/>
      <c r="BR245" s="1802"/>
      <c r="BS245" s="153"/>
      <c r="BT245" s="1802"/>
      <c r="BU245" s="139"/>
      <c r="BV245" s="139"/>
      <c r="BW245" s="153"/>
      <c r="BX245" s="153"/>
      <c r="BY245" s="153"/>
      <c r="BZ245" s="153"/>
      <c r="CA245" s="153"/>
      <c r="CB245" s="149"/>
      <c r="CC245" s="149"/>
      <c r="CD245" s="149"/>
      <c r="CE245" s="149"/>
      <c r="CF245" s="149"/>
      <c r="CG245" s="149"/>
      <c r="CH245" s="149"/>
      <c r="CI245" s="149"/>
      <c r="CJ245" s="149"/>
      <c r="CK245" s="149"/>
      <c r="CL245" s="178"/>
      <c r="CM245" s="178"/>
      <c r="CN245" s="178"/>
      <c r="CO245" s="178"/>
      <c r="CP245" s="178"/>
    </row>
    <row r="246" spans="1:94" ht="12.75" customHeight="1" x14ac:dyDescent="0.35">
      <c r="A246" s="136"/>
      <c r="B246" s="136"/>
      <c r="C246" s="136"/>
      <c r="D246" s="120"/>
      <c r="E246" s="151"/>
      <c r="F246" s="151"/>
      <c r="G246" s="151"/>
      <c r="H246" s="151"/>
      <c r="I246" s="149"/>
      <c r="J246" s="149"/>
      <c r="K246" s="149"/>
      <c r="L246" s="149"/>
      <c r="M246" s="149"/>
      <c r="N246" s="149"/>
      <c r="O246" s="149"/>
      <c r="P246" s="149"/>
      <c r="Q246" s="149"/>
      <c r="R246" s="151"/>
      <c r="S246" s="151"/>
      <c r="T246" s="151"/>
      <c r="U246" s="151"/>
      <c r="V246" s="151"/>
      <c r="W246" s="151"/>
      <c r="X246" s="151"/>
      <c r="Y246" s="151"/>
      <c r="Z246" s="151"/>
      <c r="AA246" s="151"/>
      <c r="AB246" s="151"/>
      <c r="AC246" s="151"/>
      <c r="AD246" s="151"/>
      <c r="AE246" s="151"/>
      <c r="AF246" s="151"/>
      <c r="AG246" s="151"/>
      <c r="AH246" s="151"/>
      <c r="AI246" s="151"/>
      <c r="AJ246" s="151"/>
      <c r="AK246" s="151"/>
      <c r="AL246" s="151"/>
      <c r="AM246" s="151"/>
      <c r="AN246" s="151"/>
      <c r="AO246" s="151"/>
      <c r="AP246" s="151"/>
      <c r="AQ246" s="151"/>
      <c r="AR246" s="151"/>
      <c r="AS246" s="151"/>
      <c r="AT246" s="151"/>
      <c r="AU246" s="151"/>
      <c r="AV246" s="151"/>
      <c r="AW246" s="151"/>
      <c r="AX246" s="151"/>
      <c r="AY246" s="151"/>
      <c r="AZ246" s="151"/>
      <c r="BA246" s="151"/>
      <c r="BB246" s="151"/>
      <c r="BC246" s="151"/>
      <c r="BD246" s="151"/>
      <c r="BE246" s="151"/>
      <c r="BF246" s="151"/>
      <c r="BG246" s="151"/>
      <c r="BH246" s="151"/>
      <c r="BI246" s="151"/>
      <c r="BJ246" s="151"/>
      <c r="BK246" s="151"/>
      <c r="BL246" s="151"/>
      <c r="BM246" s="151"/>
      <c r="BN246" s="151"/>
      <c r="BO246" s="151"/>
      <c r="BP246" s="151"/>
      <c r="BQ246" s="153"/>
      <c r="BR246" s="1802"/>
      <c r="BS246" s="153"/>
      <c r="BT246" s="1802"/>
      <c r="BU246" s="139"/>
      <c r="BV246" s="139"/>
      <c r="BW246" s="153"/>
      <c r="BX246" s="153"/>
      <c r="BY246" s="153"/>
      <c r="BZ246" s="153"/>
      <c r="CA246" s="153"/>
      <c r="CB246" s="149"/>
      <c r="CC246" s="149"/>
      <c r="CD246" s="149"/>
      <c r="CE246" s="149"/>
      <c r="CF246" s="149"/>
      <c r="CG246" s="149"/>
      <c r="CH246" s="149"/>
      <c r="CI246" s="149"/>
      <c r="CJ246" s="149"/>
      <c r="CK246" s="149"/>
      <c r="CL246" s="178"/>
      <c r="CM246" s="178"/>
      <c r="CN246" s="178"/>
      <c r="CO246" s="178"/>
      <c r="CP246" s="178"/>
    </row>
    <row r="247" spans="1:94" ht="12.75" customHeight="1" x14ac:dyDescent="0.35">
      <c r="A247" s="136"/>
      <c r="B247" s="136"/>
      <c r="C247" s="136"/>
      <c r="D247" s="120"/>
      <c r="E247" s="151"/>
      <c r="F247" s="151"/>
      <c r="G247" s="151"/>
      <c r="H247" s="151"/>
      <c r="I247" s="149"/>
      <c r="J247" s="149"/>
      <c r="K247" s="149"/>
      <c r="L247" s="149"/>
      <c r="M247" s="149"/>
      <c r="N247" s="149"/>
      <c r="O247" s="149"/>
      <c r="P247" s="149"/>
      <c r="Q247" s="149"/>
      <c r="R247" s="151"/>
      <c r="S247" s="151"/>
      <c r="T247" s="151"/>
      <c r="U247" s="151"/>
      <c r="V247" s="151"/>
      <c r="W247" s="151"/>
      <c r="X247" s="151"/>
      <c r="Y247" s="151"/>
      <c r="Z247" s="151"/>
      <c r="AA247" s="151"/>
      <c r="AB247" s="151"/>
      <c r="AC247" s="151"/>
      <c r="AD247" s="151"/>
      <c r="AE247" s="151"/>
      <c r="AF247" s="151"/>
      <c r="AG247" s="151"/>
      <c r="AH247" s="151"/>
      <c r="AI247" s="151"/>
      <c r="AJ247" s="151"/>
      <c r="AK247" s="151"/>
      <c r="AL247" s="151"/>
      <c r="AM247" s="151"/>
      <c r="AN247" s="151"/>
      <c r="AO247" s="151"/>
      <c r="AP247" s="151"/>
      <c r="AQ247" s="151"/>
      <c r="AR247" s="151"/>
      <c r="AS247" s="151"/>
      <c r="AT247" s="151"/>
      <c r="AU247" s="151"/>
      <c r="AV247" s="151"/>
      <c r="AW247" s="151"/>
      <c r="AX247" s="151"/>
      <c r="AY247" s="151"/>
      <c r="AZ247" s="151"/>
      <c r="BA247" s="151"/>
      <c r="BB247" s="151"/>
      <c r="BC247" s="151"/>
      <c r="BD247" s="151"/>
      <c r="BE247" s="151"/>
      <c r="BF247" s="151"/>
      <c r="BG247" s="151"/>
      <c r="BH247" s="151"/>
      <c r="BI247" s="151"/>
      <c r="BJ247" s="151"/>
      <c r="BK247" s="151"/>
      <c r="BL247" s="151"/>
      <c r="BM247" s="151"/>
      <c r="BN247" s="151"/>
      <c r="BO247" s="151"/>
      <c r="BP247" s="151"/>
      <c r="BQ247" s="153"/>
      <c r="BR247" s="1802"/>
      <c r="BS247" s="153"/>
      <c r="BT247" s="1802"/>
      <c r="BU247" s="139"/>
      <c r="BV247" s="139"/>
      <c r="BW247" s="153"/>
      <c r="BX247" s="153"/>
      <c r="BY247" s="153"/>
      <c r="BZ247" s="153"/>
      <c r="CA247" s="153"/>
      <c r="CB247" s="149"/>
      <c r="CC247" s="149"/>
      <c r="CD247" s="149"/>
      <c r="CE247" s="149"/>
      <c r="CF247" s="149"/>
      <c r="CG247" s="149"/>
      <c r="CH247" s="149"/>
      <c r="CI247" s="149"/>
      <c r="CJ247" s="149"/>
      <c r="CK247" s="149"/>
      <c r="CL247" s="178"/>
      <c r="CM247" s="178"/>
      <c r="CN247" s="178"/>
      <c r="CO247" s="178"/>
      <c r="CP247" s="178"/>
    </row>
    <row r="248" spans="1:94" ht="12.75" customHeight="1" x14ac:dyDescent="0.35">
      <c r="A248" s="136"/>
      <c r="B248" s="136"/>
      <c r="C248" s="136"/>
      <c r="D248" s="120"/>
      <c r="E248" s="151"/>
      <c r="F248" s="151"/>
      <c r="G248" s="151"/>
      <c r="H248" s="151"/>
      <c r="I248" s="149"/>
      <c r="J248" s="149"/>
      <c r="K248" s="149"/>
      <c r="L248" s="149"/>
      <c r="M248" s="149"/>
      <c r="N248" s="149"/>
      <c r="O248" s="149"/>
      <c r="P248" s="149"/>
      <c r="Q248" s="149"/>
      <c r="R248" s="151"/>
      <c r="S248" s="151"/>
      <c r="T248" s="151"/>
      <c r="U248" s="151"/>
      <c r="V248" s="151"/>
      <c r="W248" s="151"/>
      <c r="X248" s="151"/>
      <c r="Y248" s="151"/>
      <c r="Z248" s="151"/>
      <c r="AA248" s="151"/>
      <c r="AB248" s="151"/>
      <c r="AC248" s="151"/>
      <c r="AD248" s="151"/>
      <c r="AE248" s="151"/>
      <c r="AF248" s="151"/>
      <c r="AG248" s="151"/>
      <c r="AH248" s="151"/>
      <c r="AI248" s="151"/>
      <c r="AJ248" s="151"/>
      <c r="AK248" s="151"/>
      <c r="AL248" s="151"/>
      <c r="AM248" s="151"/>
      <c r="AN248" s="151"/>
      <c r="AO248" s="151"/>
      <c r="AP248" s="151"/>
      <c r="AQ248" s="151"/>
      <c r="AR248" s="151"/>
      <c r="AS248" s="151"/>
      <c r="AT248" s="151"/>
      <c r="AU248" s="151"/>
      <c r="AV248" s="151"/>
      <c r="AW248" s="151"/>
      <c r="AX248" s="151"/>
      <c r="AY248" s="151"/>
      <c r="AZ248" s="151"/>
      <c r="BA248" s="151"/>
      <c r="BB248" s="151"/>
      <c r="BC248" s="151"/>
      <c r="BD248" s="151"/>
      <c r="BE248" s="151"/>
      <c r="BF248" s="151"/>
      <c r="BG248" s="151"/>
      <c r="BH248" s="151"/>
      <c r="BI248" s="151"/>
      <c r="BJ248" s="151"/>
      <c r="BK248" s="151"/>
      <c r="BL248" s="151"/>
      <c r="BM248" s="151"/>
      <c r="BN248" s="151"/>
      <c r="BO248" s="151"/>
      <c r="BP248" s="151"/>
      <c r="BQ248" s="153"/>
      <c r="BR248" s="1802"/>
      <c r="BS248" s="153"/>
      <c r="BT248" s="1802"/>
      <c r="BU248" s="139"/>
      <c r="BV248" s="139"/>
      <c r="BW248" s="153"/>
      <c r="BX248" s="153"/>
      <c r="BY248" s="153"/>
      <c r="BZ248" s="153"/>
      <c r="CA248" s="153"/>
      <c r="CB248" s="149"/>
      <c r="CC248" s="149"/>
      <c r="CD248" s="149"/>
      <c r="CE248" s="149"/>
      <c r="CF248" s="149"/>
      <c r="CG248" s="149"/>
      <c r="CH248" s="149"/>
      <c r="CI248" s="149"/>
      <c r="CJ248" s="149"/>
      <c r="CK248" s="149"/>
      <c r="CL248" s="178"/>
      <c r="CM248" s="178"/>
      <c r="CN248" s="178"/>
      <c r="CO248" s="178"/>
      <c r="CP248" s="178"/>
    </row>
    <row r="249" spans="1:94" ht="12.75" customHeight="1" x14ac:dyDescent="0.35">
      <c r="A249" s="136"/>
      <c r="B249" s="136"/>
      <c r="C249" s="136"/>
      <c r="D249" s="120"/>
      <c r="E249" s="151"/>
      <c r="F249" s="151"/>
      <c r="G249" s="151"/>
      <c r="H249" s="151"/>
      <c r="I249" s="149"/>
      <c r="J249" s="149"/>
      <c r="K249" s="149"/>
      <c r="L249" s="149"/>
      <c r="M249" s="149"/>
      <c r="N249" s="149"/>
      <c r="O249" s="149"/>
      <c r="P249" s="149"/>
      <c r="Q249" s="149"/>
      <c r="R249" s="151"/>
      <c r="S249" s="151"/>
      <c r="T249" s="151"/>
      <c r="U249" s="151"/>
      <c r="V249" s="151"/>
      <c r="W249" s="151"/>
      <c r="X249" s="151"/>
      <c r="Y249" s="151"/>
      <c r="Z249" s="151"/>
      <c r="AA249" s="151"/>
      <c r="AB249" s="151"/>
      <c r="AC249" s="151"/>
      <c r="AD249" s="151"/>
      <c r="AE249" s="151"/>
      <c r="AF249" s="151"/>
      <c r="AG249" s="151"/>
      <c r="AH249" s="151"/>
      <c r="AI249" s="151"/>
      <c r="AJ249" s="151"/>
      <c r="AK249" s="151"/>
      <c r="AL249" s="151"/>
      <c r="AM249" s="151"/>
      <c r="AN249" s="151"/>
      <c r="AO249" s="151"/>
      <c r="AP249" s="151"/>
      <c r="AQ249" s="151"/>
      <c r="AR249" s="151"/>
      <c r="AS249" s="151"/>
      <c r="AT249" s="151"/>
      <c r="AU249" s="151"/>
      <c r="AV249" s="151"/>
      <c r="AW249" s="151"/>
      <c r="AX249" s="151"/>
      <c r="AY249" s="151"/>
      <c r="AZ249" s="151"/>
      <c r="BA249" s="151"/>
      <c r="BB249" s="151"/>
      <c r="BC249" s="151"/>
      <c r="BD249" s="151"/>
      <c r="BE249" s="151"/>
      <c r="BF249" s="151"/>
      <c r="BG249" s="151"/>
      <c r="BH249" s="151"/>
      <c r="BI249" s="151"/>
      <c r="BJ249" s="151"/>
      <c r="BK249" s="151"/>
      <c r="BL249" s="151"/>
      <c r="BM249" s="151"/>
      <c r="BN249" s="151"/>
      <c r="BO249" s="151"/>
      <c r="BP249" s="151"/>
      <c r="BQ249" s="153"/>
      <c r="BR249" s="1802"/>
      <c r="BS249" s="153"/>
      <c r="BT249" s="1802"/>
      <c r="BU249" s="139"/>
      <c r="BV249" s="139"/>
      <c r="BW249" s="153"/>
      <c r="BX249" s="153"/>
      <c r="BY249" s="153"/>
      <c r="BZ249" s="153"/>
      <c r="CA249" s="153"/>
      <c r="CB249" s="149"/>
      <c r="CC249" s="149"/>
      <c r="CD249" s="149"/>
      <c r="CE249" s="149"/>
      <c r="CF249" s="149"/>
      <c r="CG249" s="149"/>
      <c r="CH249" s="149"/>
      <c r="CI249" s="149"/>
      <c r="CJ249" s="149"/>
      <c r="CK249" s="149"/>
      <c r="CL249" s="178"/>
      <c r="CM249" s="178"/>
      <c r="CN249" s="178"/>
      <c r="CO249" s="178"/>
      <c r="CP249" s="178"/>
    </row>
    <row r="250" spans="1:94" ht="12.75" customHeight="1" x14ac:dyDescent="0.35">
      <c r="A250" s="136"/>
      <c r="B250" s="136"/>
      <c r="C250" s="136"/>
      <c r="D250" s="120"/>
      <c r="E250" s="151"/>
      <c r="F250" s="151"/>
      <c r="G250" s="151"/>
      <c r="H250" s="151"/>
      <c r="I250" s="149"/>
      <c r="J250" s="149"/>
      <c r="K250" s="149"/>
      <c r="L250" s="149"/>
      <c r="M250" s="149"/>
      <c r="N250" s="149"/>
      <c r="O250" s="149"/>
      <c r="P250" s="149"/>
      <c r="Q250" s="149"/>
      <c r="R250" s="151"/>
      <c r="S250" s="151"/>
      <c r="T250" s="151"/>
      <c r="U250" s="151"/>
      <c r="V250" s="151"/>
      <c r="W250" s="151"/>
      <c r="X250" s="151"/>
      <c r="Y250" s="151"/>
      <c r="Z250" s="151"/>
      <c r="AA250" s="151"/>
      <c r="AB250" s="151"/>
      <c r="AC250" s="151"/>
      <c r="AD250" s="151"/>
      <c r="AE250" s="151"/>
      <c r="AF250" s="151"/>
      <c r="AG250" s="151"/>
      <c r="AH250" s="151"/>
      <c r="AI250" s="151"/>
      <c r="AJ250" s="151"/>
      <c r="AK250" s="151"/>
      <c r="AL250" s="151"/>
      <c r="AM250" s="151"/>
      <c r="AN250" s="151"/>
      <c r="AO250" s="151"/>
      <c r="AP250" s="151"/>
      <c r="AQ250" s="151"/>
      <c r="AR250" s="151"/>
      <c r="AS250" s="151"/>
      <c r="AT250" s="151"/>
      <c r="AU250" s="151"/>
      <c r="AV250" s="151"/>
      <c r="AW250" s="151"/>
      <c r="AX250" s="151"/>
      <c r="AY250" s="151"/>
      <c r="AZ250" s="151"/>
      <c r="BA250" s="151"/>
      <c r="BB250" s="151"/>
      <c r="BC250" s="151"/>
      <c r="BD250" s="151"/>
      <c r="BE250" s="151"/>
      <c r="BF250" s="151"/>
      <c r="BG250" s="151"/>
      <c r="BH250" s="151"/>
      <c r="BI250" s="151"/>
      <c r="BJ250" s="151"/>
      <c r="BK250" s="151"/>
      <c r="BL250" s="151"/>
      <c r="BM250" s="151"/>
      <c r="BN250" s="151"/>
      <c r="BO250" s="151"/>
      <c r="BP250" s="151"/>
      <c r="BQ250" s="153"/>
      <c r="BR250" s="1802"/>
      <c r="BS250" s="153"/>
      <c r="BT250" s="1802"/>
      <c r="BU250" s="139"/>
      <c r="BV250" s="139"/>
      <c r="BW250" s="153"/>
      <c r="BX250" s="153"/>
      <c r="BY250" s="153"/>
      <c r="BZ250" s="153"/>
      <c r="CA250" s="153"/>
      <c r="CB250" s="149"/>
      <c r="CC250" s="149"/>
      <c r="CD250" s="149"/>
      <c r="CE250" s="149"/>
      <c r="CF250" s="149"/>
      <c r="CG250" s="149"/>
      <c r="CH250" s="149"/>
      <c r="CI250" s="149"/>
      <c r="CJ250" s="149"/>
      <c r="CK250" s="149"/>
      <c r="CL250" s="178"/>
      <c r="CM250" s="178"/>
      <c r="CN250" s="178"/>
      <c r="CO250" s="178"/>
      <c r="CP250" s="178"/>
    </row>
    <row r="251" spans="1:94" ht="12.75" customHeight="1" x14ac:dyDescent="0.35">
      <c r="A251" s="136"/>
      <c r="B251" s="136"/>
      <c r="C251" s="136"/>
      <c r="D251" s="120"/>
      <c r="E251" s="151"/>
      <c r="F251" s="151"/>
      <c r="G251" s="151"/>
      <c r="H251" s="151"/>
      <c r="I251" s="149"/>
      <c r="J251" s="149"/>
      <c r="K251" s="149"/>
      <c r="L251" s="149"/>
      <c r="M251" s="149"/>
      <c r="N251" s="149"/>
      <c r="O251" s="149"/>
      <c r="P251" s="149"/>
      <c r="Q251" s="149"/>
      <c r="R251" s="151"/>
      <c r="S251" s="151"/>
      <c r="T251" s="151"/>
      <c r="U251" s="151"/>
      <c r="V251" s="151"/>
      <c r="W251" s="151"/>
      <c r="X251" s="151"/>
      <c r="Y251" s="151"/>
      <c r="Z251" s="151"/>
      <c r="AA251" s="151"/>
      <c r="AB251" s="151"/>
      <c r="AC251" s="151"/>
      <c r="AD251" s="151"/>
      <c r="AE251" s="151"/>
      <c r="AF251" s="151"/>
      <c r="AG251" s="151"/>
      <c r="AH251" s="151"/>
      <c r="AI251" s="151"/>
      <c r="AJ251" s="151"/>
      <c r="AK251" s="151"/>
      <c r="AL251" s="151"/>
      <c r="AM251" s="151"/>
      <c r="AN251" s="151"/>
      <c r="AO251" s="151"/>
      <c r="AP251" s="151"/>
      <c r="AQ251" s="151"/>
      <c r="AR251" s="151"/>
      <c r="AS251" s="151"/>
      <c r="AT251" s="151"/>
      <c r="AU251" s="151"/>
      <c r="AV251" s="151"/>
      <c r="AW251" s="151"/>
      <c r="AX251" s="151"/>
      <c r="AY251" s="151"/>
      <c r="AZ251" s="151"/>
      <c r="BA251" s="151"/>
      <c r="BB251" s="151"/>
      <c r="BC251" s="151"/>
      <c r="BD251" s="151"/>
      <c r="BE251" s="151"/>
      <c r="BF251" s="151"/>
      <c r="BG251" s="151"/>
      <c r="BH251" s="151"/>
      <c r="BI251" s="151"/>
      <c r="BJ251" s="151"/>
      <c r="BK251" s="151"/>
      <c r="BL251" s="151"/>
      <c r="BM251" s="151"/>
      <c r="BN251" s="151"/>
      <c r="BO251" s="151"/>
      <c r="BP251" s="151"/>
      <c r="BQ251" s="153"/>
      <c r="BR251" s="1802"/>
      <c r="BS251" s="153"/>
      <c r="BT251" s="1802"/>
      <c r="BU251" s="139"/>
      <c r="BV251" s="139"/>
      <c r="BW251" s="153"/>
      <c r="BX251" s="153"/>
      <c r="BY251" s="153"/>
      <c r="BZ251" s="153"/>
      <c r="CA251" s="153"/>
      <c r="CB251" s="149"/>
      <c r="CC251" s="149"/>
      <c r="CD251" s="149"/>
      <c r="CE251" s="149"/>
      <c r="CF251" s="149"/>
      <c r="CG251" s="149"/>
      <c r="CH251" s="149"/>
      <c r="CI251" s="149"/>
      <c r="CJ251" s="149"/>
      <c r="CK251" s="149"/>
      <c r="CL251" s="178"/>
      <c r="CM251" s="178"/>
      <c r="CN251" s="178"/>
      <c r="CO251" s="178"/>
      <c r="CP251" s="178"/>
    </row>
    <row r="252" spans="1:94" ht="12.75" customHeight="1" x14ac:dyDescent="0.35">
      <c r="A252" s="136"/>
      <c r="B252" s="136"/>
      <c r="C252" s="136"/>
      <c r="D252" s="120"/>
      <c r="E252" s="151"/>
      <c r="F252" s="151"/>
      <c r="G252" s="151"/>
      <c r="H252" s="151"/>
      <c r="I252" s="149"/>
      <c r="J252" s="149"/>
      <c r="K252" s="149"/>
      <c r="L252" s="149"/>
      <c r="M252" s="149"/>
      <c r="N252" s="149"/>
      <c r="O252" s="149"/>
      <c r="P252" s="149"/>
      <c r="Q252" s="149"/>
      <c r="R252" s="151"/>
      <c r="S252" s="151"/>
      <c r="T252" s="151"/>
      <c r="U252" s="151"/>
      <c r="V252" s="151"/>
      <c r="W252" s="151"/>
      <c r="X252" s="151"/>
      <c r="Y252" s="151"/>
      <c r="Z252" s="151"/>
      <c r="AA252" s="151"/>
      <c r="AB252" s="151"/>
      <c r="AC252" s="151"/>
      <c r="AD252" s="151"/>
      <c r="AE252" s="151"/>
      <c r="AF252" s="151"/>
      <c r="AG252" s="151"/>
      <c r="AH252" s="151"/>
      <c r="AI252" s="151"/>
      <c r="AJ252" s="151"/>
      <c r="AK252" s="151"/>
      <c r="AL252" s="151"/>
      <c r="AM252" s="151"/>
      <c r="AN252" s="151"/>
      <c r="AO252" s="151"/>
      <c r="AP252" s="151"/>
      <c r="AQ252" s="151"/>
      <c r="AR252" s="151"/>
      <c r="AS252" s="151"/>
      <c r="AT252" s="151"/>
      <c r="AU252" s="151"/>
      <c r="AV252" s="151"/>
      <c r="AW252" s="151"/>
      <c r="AX252" s="151"/>
      <c r="AY252" s="151"/>
      <c r="AZ252" s="151"/>
      <c r="BA252" s="151"/>
      <c r="BB252" s="151"/>
      <c r="BC252" s="151"/>
      <c r="BD252" s="151"/>
      <c r="BE252" s="151"/>
      <c r="BF252" s="151"/>
      <c r="BG252" s="151"/>
      <c r="BH252" s="151"/>
      <c r="BI252" s="151"/>
      <c r="BJ252" s="151"/>
      <c r="BK252" s="151"/>
      <c r="BL252" s="151"/>
      <c r="BM252" s="151"/>
      <c r="BN252" s="151"/>
      <c r="BO252" s="151"/>
      <c r="BP252" s="151"/>
      <c r="BQ252" s="153"/>
      <c r="BR252" s="1802"/>
      <c r="BS252" s="153"/>
      <c r="BT252" s="1802"/>
      <c r="BU252" s="139"/>
      <c r="BV252" s="139"/>
      <c r="BW252" s="153"/>
      <c r="BX252" s="153"/>
      <c r="BY252" s="153"/>
      <c r="BZ252" s="153"/>
      <c r="CA252" s="153"/>
      <c r="CB252" s="149"/>
      <c r="CC252" s="149"/>
      <c r="CD252" s="149"/>
      <c r="CE252" s="149"/>
      <c r="CF252" s="149"/>
      <c r="CG252" s="149"/>
      <c r="CH252" s="149"/>
      <c r="CI252" s="149"/>
      <c r="CJ252" s="149"/>
      <c r="CK252" s="149"/>
      <c r="CL252" s="178"/>
      <c r="CM252" s="178"/>
      <c r="CN252" s="178"/>
      <c r="CO252" s="178"/>
      <c r="CP252" s="178"/>
    </row>
    <row r="253" spans="1:94" ht="12.75" customHeight="1" x14ac:dyDescent="0.35">
      <c r="A253" s="136"/>
      <c r="B253" s="136"/>
      <c r="C253" s="136"/>
      <c r="D253" s="120"/>
      <c r="E253" s="151"/>
      <c r="F253" s="151"/>
      <c r="G253" s="151"/>
      <c r="H253" s="151"/>
      <c r="I253" s="149"/>
      <c r="J253" s="149"/>
      <c r="K253" s="149"/>
      <c r="L253" s="149"/>
      <c r="M253" s="149"/>
      <c r="N253" s="149"/>
      <c r="O253" s="149"/>
      <c r="P253" s="149"/>
      <c r="Q253" s="149"/>
      <c r="R253" s="151"/>
      <c r="S253" s="151"/>
      <c r="T253" s="151"/>
      <c r="U253" s="151"/>
      <c r="V253" s="151"/>
      <c r="W253" s="151"/>
      <c r="X253" s="151"/>
      <c r="Y253" s="151"/>
      <c r="Z253" s="151"/>
      <c r="AA253" s="151"/>
      <c r="AB253" s="151"/>
      <c r="AC253" s="151"/>
      <c r="AD253" s="151"/>
      <c r="AE253" s="151"/>
      <c r="AF253" s="151"/>
      <c r="AG253" s="151"/>
      <c r="AH253" s="151"/>
      <c r="AI253" s="151"/>
      <c r="AJ253" s="151"/>
      <c r="AK253" s="151"/>
      <c r="AL253" s="151"/>
      <c r="AM253" s="151"/>
      <c r="AN253" s="151"/>
      <c r="AO253" s="151"/>
      <c r="AP253" s="151"/>
      <c r="AQ253" s="151"/>
      <c r="AR253" s="151"/>
      <c r="AS253" s="151"/>
      <c r="AT253" s="151"/>
      <c r="AU253" s="151"/>
      <c r="AV253" s="151"/>
      <c r="AW253" s="151"/>
      <c r="AX253" s="151"/>
      <c r="AY253" s="151"/>
      <c r="AZ253" s="151"/>
      <c r="BA253" s="151"/>
      <c r="BB253" s="151"/>
      <c r="BC253" s="151"/>
      <c r="BD253" s="151"/>
      <c r="BE253" s="151"/>
      <c r="BF253" s="151"/>
      <c r="BG253" s="151"/>
      <c r="BH253" s="151"/>
      <c r="BI253" s="151"/>
      <c r="BJ253" s="151"/>
      <c r="BK253" s="151"/>
      <c r="BL253" s="151"/>
      <c r="BM253" s="151"/>
      <c r="BN253" s="151"/>
      <c r="BO253" s="151"/>
      <c r="BP253" s="151"/>
      <c r="BQ253" s="153"/>
      <c r="BR253" s="1802"/>
      <c r="BS253" s="153"/>
      <c r="BT253" s="1802"/>
      <c r="BU253" s="139"/>
      <c r="BV253" s="139"/>
      <c r="BW253" s="153"/>
      <c r="BX253" s="153"/>
      <c r="BY253" s="153"/>
      <c r="BZ253" s="153"/>
      <c r="CA253" s="153"/>
      <c r="CB253" s="149"/>
      <c r="CC253" s="149"/>
      <c r="CD253" s="149"/>
      <c r="CE253" s="149"/>
      <c r="CF253" s="149"/>
      <c r="CG253" s="149"/>
      <c r="CH253" s="149"/>
      <c r="CI253" s="149"/>
      <c r="CJ253" s="149"/>
      <c r="CK253" s="149"/>
      <c r="CL253" s="178"/>
      <c r="CM253" s="178"/>
      <c r="CN253" s="178"/>
      <c r="CO253" s="178"/>
      <c r="CP253" s="178"/>
    </row>
    <row r="254" spans="1:94" ht="12.75" customHeight="1" x14ac:dyDescent="0.35">
      <c r="A254" s="136"/>
      <c r="B254" s="136"/>
      <c r="C254" s="136"/>
      <c r="D254" s="120"/>
      <c r="E254" s="151"/>
      <c r="F254" s="151"/>
      <c r="G254" s="151"/>
      <c r="H254" s="151"/>
      <c r="I254" s="149"/>
      <c r="J254" s="149"/>
      <c r="K254" s="149"/>
      <c r="L254" s="149"/>
      <c r="M254" s="149"/>
      <c r="N254" s="149"/>
      <c r="O254" s="149"/>
      <c r="P254" s="149"/>
      <c r="Q254" s="149"/>
      <c r="R254" s="151"/>
      <c r="S254" s="151"/>
      <c r="T254" s="151"/>
      <c r="U254" s="151"/>
      <c r="V254" s="151"/>
      <c r="W254" s="151"/>
      <c r="X254" s="151"/>
      <c r="Y254" s="151"/>
      <c r="Z254" s="151"/>
      <c r="AA254" s="151"/>
      <c r="AB254" s="151"/>
      <c r="AC254" s="151"/>
      <c r="AD254" s="151"/>
      <c r="AE254" s="151"/>
      <c r="AF254" s="151"/>
      <c r="AG254" s="151"/>
      <c r="AH254" s="151"/>
      <c r="AI254" s="151"/>
      <c r="AJ254" s="151"/>
      <c r="AK254" s="151"/>
      <c r="AL254" s="151"/>
      <c r="AM254" s="151"/>
      <c r="AN254" s="151"/>
      <c r="AO254" s="151"/>
      <c r="AP254" s="151"/>
      <c r="AQ254" s="151"/>
      <c r="AR254" s="151"/>
      <c r="AS254" s="151"/>
      <c r="AT254" s="151"/>
      <c r="AU254" s="151"/>
      <c r="AV254" s="151"/>
      <c r="AW254" s="151"/>
      <c r="AX254" s="151"/>
      <c r="AY254" s="151"/>
      <c r="AZ254" s="151"/>
      <c r="BA254" s="151"/>
      <c r="BB254" s="151"/>
      <c r="BC254" s="151"/>
      <c r="BD254" s="151"/>
      <c r="BE254" s="151"/>
      <c r="BF254" s="151"/>
      <c r="BG254" s="151"/>
      <c r="BH254" s="151"/>
      <c r="BI254" s="151"/>
      <c r="BJ254" s="151"/>
      <c r="BK254" s="151"/>
      <c r="BL254" s="151"/>
      <c r="BM254" s="151"/>
      <c r="BN254" s="151"/>
      <c r="BO254" s="151"/>
      <c r="BP254" s="151"/>
      <c r="BQ254" s="153"/>
      <c r="BR254" s="1802"/>
      <c r="BS254" s="153"/>
      <c r="BT254" s="1802"/>
      <c r="BU254" s="139"/>
      <c r="BV254" s="139"/>
      <c r="BW254" s="153"/>
      <c r="BX254" s="153"/>
      <c r="BY254" s="153"/>
      <c r="BZ254" s="153"/>
      <c r="CA254" s="153"/>
      <c r="CB254" s="149"/>
      <c r="CC254" s="149"/>
      <c r="CD254" s="149"/>
      <c r="CE254" s="149"/>
      <c r="CF254" s="149"/>
      <c r="CG254" s="149"/>
      <c r="CH254" s="149"/>
      <c r="CI254" s="149"/>
      <c r="CJ254" s="149"/>
      <c r="CK254" s="149"/>
      <c r="CL254" s="178"/>
      <c r="CM254" s="178"/>
      <c r="CN254" s="178"/>
      <c r="CO254" s="178"/>
      <c r="CP254" s="178"/>
    </row>
    <row r="255" spans="1:94" ht="12.75" customHeight="1" x14ac:dyDescent="0.35">
      <c r="A255" s="136"/>
      <c r="B255" s="136"/>
      <c r="C255" s="136"/>
      <c r="D255" s="120"/>
      <c r="E255" s="151"/>
      <c r="F255" s="151"/>
      <c r="G255" s="151"/>
      <c r="H255" s="151"/>
      <c r="I255" s="149"/>
      <c r="J255" s="149"/>
      <c r="K255" s="149"/>
      <c r="L255" s="149"/>
      <c r="M255" s="149"/>
      <c r="N255" s="149"/>
      <c r="O255" s="149"/>
      <c r="P255" s="149"/>
      <c r="Q255" s="149"/>
      <c r="R255" s="151"/>
      <c r="S255" s="151"/>
      <c r="T255" s="151"/>
      <c r="U255" s="151"/>
      <c r="V255" s="151"/>
      <c r="W255" s="151"/>
      <c r="X255" s="151"/>
      <c r="Y255" s="151"/>
      <c r="Z255" s="151"/>
      <c r="AA255" s="151"/>
      <c r="AB255" s="151"/>
      <c r="AC255" s="151"/>
      <c r="AD255" s="151"/>
      <c r="AE255" s="151"/>
      <c r="AF255" s="151"/>
      <c r="AG255" s="151"/>
      <c r="AH255" s="151"/>
      <c r="AI255" s="151"/>
      <c r="AJ255" s="151"/>
      <c r="AK255" s="151"/>
      <c r="AL255" s="151"/>
      <c r="AM255" s="151"/>
      <c r="AN255" s="151"/>
      <c r="AO255" s="151"/>
      <c r="AP255" s="151"/>
      <c r="AQ255" s="151"/>
      <c r="AR255" s="151"/>
      <c r="AS255" s="151"/>
      <c r="AT255" s="151"/>
      <c r="AU255" s="151"/>
      <c r="AV255" s="151"/>
      <c r="AW255" s="151"/>
      <c r="AX255" s="151"/>
      <c r="AY255" s="151"/>
      <c r="AZ255" s="151"/>
      <c r="BA255" s="151"/>
      <c r="BB255" s="151"/>
      <c r="BC255" s="151"/>
      <c r="BD255" s="151"/>
      <c r="BE255" s="151"/>
      <c r="BF255" s="151"/>
      <c r="BG255" s="151"/>
      <c r="BH255" s="151"/>
      <c r="BI255" s="151"/>
      <c r="BJ255" s="151"/>
      <c r="BK255" s="151"/>
      <c r="BL255" s="151"/>
      <c r="BM255" s="151"/>
      <c r="BN255" s="151"/>
      <c r="BO255" s="151"/>
      <c r="BP255" s="151"/>
      <c r="BQ255" s="153"/>
      <c r="BR255" s="1802"/>
      <c r="BS255" s="153"/>
      <c r="BT255" s="1802"/>
      <c r="BU255" s="139"/>
      <c r="BV255" s="139"/>
      <c r="BW255" s="153"/>
      <c r="BX255" s="153"/>
      <c r="BY255" s="153"/>
      <c r="BZ255" s="153"/>
      <c r="CA255" s="153"/>
      <c r="CB255" s="149"/>
      <c r="CC255" s="149"/>
      <c r="CD255" s="149"/>
      <c r="CE255" s="149"/>
      <c r="CF255" s="149"/>
      <c r="CG255" s="149"/>
      <c r="CH255" s="149"/>
      <c r="CI255" s="149"/>
      <c r="CJ255" s="149"/>
      <c r="CK255" s="149"/>
      <c r="CL255" s="178"/>
      <c r="CM255" s="178"/>
      <c r="CN255" s="178"/>
      <c r="CO255" s="178"/>
      <c r="CP255" s="178"/>
    </row>
    <row r="256" spans="1:94" ht="12.75" customHeight="1" x14ac:dyDescent="0.35">
      <c r="A256" s="136"/>
      <c r="B256" s="136"/>
      <c r="C256" s="136"/>
      <c r="D256" s="120"/>
      <c r="E256" s="151"/>
      <c r="F256" s="151"/>
      <c r="G256" s="151"/>
      <c r="H256" s="151"/>
      <c r="I256" s="149"/>
      <c r="J256" s="149"/>
      <c r="K256" s="149"/>
      <c r="L256" s="149"/>
      <c r="M256" s="149"/>
      <c r="N256" s="149"/>
      <c r="O256" s="149"/>
      <c r="P256" s="149"/>
      <c r="Q256" s="149"/>
      <c r="R256" s="151"/>
      <c r="S256" s="151"/>
      <c r="T256" s="151"/>
      <c r="U256" s="151"/>
      <c r="V256" s="151"/>
      <c r="W256" s="151"/>
      <c r="X256" s="151"/>
      <c r="Y256" s="151"/>
      <c r="Z256" s="151"/>
      <c r="AA256" s="151"/>
      <c r="AB256" s="151"/>
      <c r="AC256" s="151"/>
      <c r="AD256" s="151"/>
      <c r="AE256" s="151"/>
      <c r="AF256" s="151"/>
      <c r="AG256" s="151"/>
      <c r="AH256" s="151"/>
      <c r="AI256" s="151"/>
      <c r="AJ256" s="151"/>
      <c r="AK256" s="151"/>
      <c r="AL256" s="151"/>
      <c r="AM256" s="151"/>
      <c r="AN256" s="151"/>
      <c r="AO256" s="151"/>
      <c r="AP256" s="151"/>
      <c r="AQ256" s="151"/>
      <c r="AR256" s="151"/>
      <c r="AS256" s="151"/>
      <c r="AT256" s="151"/>
      <c r="AU256" s="151"/>
      <c r="AV256" s="151"/>
      <c r="AW256" s="151"/>
      <c r="AX256" s="151"/>
      <c r="AY256" s="151"/>
      <c r="AZ256" s="151"/>
      <c r="BA256" s="151"/>
      <c r="BB256" s="151"/>
      <c r="BC256" s="151"/>
      <c r="BD256" s="151"/>
      <c r="BE256" s="151"/>
      <c r="BF256" s="151"/>
      <c r="BG256" s="151"/>
      <c r="BH256" s="151"/>
      <c r="BI256" s="151"/>
      <c r="BJ256" s="151"/>
      <c r="BK256" s="151"/>
      <c r="BL256" s="151"/>
      <c r="BM256" s="151"/>
      <c r="BN256" s="151"/>
      <c r="BO256" s="151"/>
      <c r="BP256" s="151"/>
      <c r="BQ256" s="153"/>
      <c r="BR256" s="1802"/>
      <c r="BS256" s="153"/>
      <c r="BT256" s="1802"/>
      <c r="BU256" s="139"/>
      <c r="BV256" s="139"/>
      <c r="BW256" s="153"/>
      <c r="BX256" s="153"/>
      <c r="BY256" s="153"/>
      <c r="BZ256" s="153"/>
      <c r="CA256" s="153"/>
      <c r="CB256" s="149"/>
      <c r="CC256" s="149"/>
      <c r="CD256" s="149"/>
      <c r="CE256" s="149"/>
      <c r="CF256" s="149"/>
      <c r="CG256" s="149"/>
      <c r="CH256" s="149"/>
      <c r="CI256" s="149"/>
      <c r="CJ256" s="149"/>
      <c r="CK256" s="149"/>
      <c r="CL256" s="178"/>
      <c r="CM256" s="178"/>
      <c r="CN256" s="178"/>
      <c r="CO256" s="178"/>
      <c r="CP256" s="178"/>
    </row>
    <row r="257" spans="1:94" ht="12.75" customHeight="1" x14ac:dyDescent="0.35">
      <c r="A257" s="136"/>
      <c r="B257" s="136"/>
      <c r="C257" s="136"/>
      <c r="D257" s="120"/>
      <c r="E257" s="151"/>
      <c r="F257" s="151"/>
      <c r="G257" s="151"/>
      <c r="H257" s="151"/>
      <c r="I257" s="149"/>
      <c r="J257" s="149"/>
      <c r="K257" s="149"/>
      <c r="L257" s="149"/>
      <c r="M257" s="149"/>
      <c r="N257" s="149"/>
      <c r="O257" s="149"/>
      <c r="P257" s="149"/>
      <c r="Q257" s="149"/>
      <c r="R257" s="151"/>
      <c r="S257" s="151"/>
      <c r="T257" s="151"/>
      <c r="U257" s="151"/>
      <c r="V257" s="151"/>
      <c r="W257" s="151"/>
      <c r="X257" s="151"/>
      <c r="Y257" s="151"/>
      <c r="Z257" s="151"/>
      <c r="AA257" s="151"/>
      <c r="AB257" s="151"/>
      <c r="AC257" s="151"/>
      <c r="AD257" s="151"/>
      <c r="AE257" s="151"/>
      <c r="AF257" s="151"/>
      <c r="AG257" s="151"/>
      <c r="AH257" s="151"/>
      <c r="AI257" s="151"/>
      <c r="AJ257" s="151"/>
      <c r="AK257" s="151"/>
      <c r="AL257" s="151"/>
      <c r="AM257" s="151"/>
      <c r="AN257" s="151"/>
      <c r="AO257" s="151"/>
      <c r="AP257" s="151"/>
      <c r="AQ257" s="151"/>
      <c r="AR257" s="151"/>
      <c r="AS257" s="151"/>
      <c r="AT257" s="151"/>
      <c r="AU257" s="151"/>
      <c r="AV257" s="151"/>
      <c r="AW257" s="151"/>
      <c r="AX257" s="151"/>
      <c r="AY257" s="151"/>
      <c r="AZ257" s="151"/>
      <c r="BA257" s="151"/>
      <c r="BB257" s="151"/>
      <c r="BC257" s="151"/>
      <c r="BD257" s="151"/>
      <c r="BE257" s="151"/>
      <c r="BF257" s="151"/>
      <c r="BG257" s="151"/>
      <c r="BH257" s="151"/>
      <c r="BI257" s="151"/>
      <c r="BJ257" s="151"/>
      <c r="BK257" s="151"/>
      <c r="BL257" s="151"/>
      <c r="BM257" s="151"/>
      <c r="BN257" s="151"/>
      <c r="BO257" s="151"/>
      <c r="BP257" s="151"/>
      <c r="BQ257" s="153"/>
      <c r="BR257" s="1802"/>
      <c r="BS257" s="153"/>
      <c r="BT257" s="1802"/>
      <c r="BU257" s="139"/>
      <c r="BV257" s="139"/>
      <c r="BW257" s="153"/>
      <c r="BX257" s="153"/>
      <c r="BY257" s="153"/>
      <c r="BZ257" s="153"/>
      <c r="CA257" s="153"/>
      <c r="CB257" s="149"/>
      <c r="CC257" s="149"/>
      <c r="CD257" s="149"/>
      <c r="CE257" s="149"/>
      <c r="CF257" s="149"/>
      <c r="CG257" s="149"/>
      <c r="CH257" s="149"/>
      <c r="CI257" s="149"/>
      <c r="CJ257" s="149"/>
      <c r="CK257" s="149"/>
      <c r="CL257" s="178"/>
      <c r="CM257" s="178"/>
      <c r="CN257" s="178"/>
      <c r="CO257" s="178"/>
      <c r="CP257" s="178"/>
    </row>
    <row r="258" spans="1:94" ht="12.75" customHeight="1" x14ac:dyDescent="0.35">
      <c r="A258" s="136"/>
      <c r="B258" s="136"/>
      <c r="C258" s="136"/>
      <c r="D258" s="120"/>
      <c r="E258" s="151"/>
      <c r="F258" s="151"/>
      <c r="G258" s="151"/>
      <c r="H258" s="151"/>
      <c r="I258" s="149"/>
      <c r="J258" s="149"/>
      <c r="K258" s="149"/>
      <c r="L258" s="149"/>
      <c r="M258" s="149"/>
      <c r="N258" s="149"/>
      <c r="O258" s="149"/>
      <c r="P258" s="149"/>
      <c r="Q258" s="149"/>
      <c r="R258" s="151"/>
      <c r="S258" s="151"/>
      <c r="T258" s="151"/>
      <c r="U258" s="151"/>
      <c r="V258" s="151"/>
      <c r="W258" s="151"/>
      <c r="X258" s="151"/>
      <c r="Y258" s="151"/>
      <c r="Z258" s="151"/>
      <c r="AA258" s="151"/>
      <c r="AB258" s="151"/>
      <c r="AC258" s="151"/>
      <c r="AD258" s="151"/>
      <c r="AE258" s="151"/>
      <c r="AF258" s="151"/>
      <c r="AG258" s="151"/>
      <c r="AH258" s="151"/>
      <c r="AI258" s="151"/>
      <c r="AJ258" s="151"/>
      <c r="AK258" s="151"/>
      <c r="AL258" s="151"/>
      <c r="AM258" s="151"/>
      <c r="AN258" s="151"/>
      <c r="AO258" s="151"/>
      <c r="AP258" s="151"/>
      <c r="AQ258" s="151"/>
      <c r="AR258" s="151"/>
      <c r="AS258" s="151"/>
      <c r="AT258" s="151"/>
      <c r="AU258" s="151"/>
      <c r="AV258" s="151"/>
      <c r="AW258" s="151"/>
      <c r="AX258" s="151"/>
      <c r="AY258" s="151"/>
      <c r="AZ258" s="151"/>
      <c r="BA258" s="151"/>
      <c r="BB258" s="151"/>
      <c r="BC258" s="151"/>
      <c r="BD258" s="151"/>
      <c r="BE258" s="151"/>
      <c r="BF258" s="151"/>
      <c r="BG258" s="151"/>
      <c r="BH258" s="151"/>
      <c r="BI258" s="151"/>
      <c r="BJ258" s="151"/>
      <c r="BK258" s="151"/>
      <c r="BL258" s="151"/>
      <c r="BM258" s="151"/>
      <c r="BN258" s="151"/>
      <c r="BO258" s="151"/>
      <c r="BP258" s="151"/>
      <c r="BQ258" s="153"/>
      <c r="BR258" s="1802"/>
      <c r="BS258" s="153"/>
      <c r="BT258" s="1802"/>
      <c r="BU258" s="139"/>
      <c r="BV258" s="139"/>
      <c r="BW258" s="153"/>
      <c r="BX258" s="153"/>
      <c r="BY258" s="153"/>
      <c r="BZ258" s="153"/>
      <c r="CA258" s="153"/>
      <c r="CB258" s="149"/>
      <c r="CC258" s="149"/>
      <c r="CD258" s="149"/>
      <c r="CE258" s="149"/>
      <c r="CF258" s="149"/>
      <c r="CG258" s="149"/>
      <c r="CH258" s="149"/>
      <c r="CI258" s="149"/>
      <c r="CJ258" s="149"/>
      <c r="CK258" s="149"/>
      <c r="CL258" s="178"/>
      <c r="CM258" s="178"/>
      <c r="CN258" s="178"/>
      <c r="CO258" s="178"/>
      <c r="CP258" s="178"/>
    </row>
    <row r="259" spans="1:94" ht="12.75" customHeight="1" x14ac:dyDescent="0.35">
      <c r="A259" s="136"/>
      <c r="B259" s="136"/>
      <c r="C259" s="136"/>
      <c r="D259" s="120"/>
      <c r="E259" s="151"/>
      <c r="F259" s="151"/>
      <c r="G259" s="151"/>
      <c r="H259" s="151"/>
      <c r="I259" s="149"/>
      <c r="J259" s="149"/>
      <c r="K259" s="149"/>
      <c r="L259" s="149"/>
      <c r="M259" s="149"/>
      <c r="N259" s="149"/>
      <c r="O259" s="149"/>
      <c r="P259" s="149"/>
      <c r="Q259" s="149"/>
      <c r="R259" s="151"/>
      <c r="S259" s="151"/>
      <c r="T259" s="151"/>
      <c r="U259" s="151"/>
      <c r="V259" s="151"/>
      <c r="W259" s="151"/>
      <c r="X259" s="151"/>
      <c r="Y259" s="151"/>
      <c r="Z259" s="151"/>
      <c r="AA259" s="151"/>
      <c r="AB259" s="151"/>
      <c r="AC259" s="151"/>
      <c r="AD259" s="151"/>
      <c r="AE259" s="151"/>
      <c r="AF259" s="151"/>
      <c r="AG259" s="151"/>
      <c r="AH259" s="151"/>
      <c r="AI259" s="151"/>
      <c r="AJ259" s="151"/>
      <c r="AK259" s="151"/>
      <c r="AL259" s="151"/>
      <c r="AM259" s="151"/>
      <c r="AN259" s="151"/>
      <c r="AO259" s="151"/>
      <c r="AP259" s="151"/>
      <c r="AQ259" s="151"/>
      <c r="AR259" s="151"/>
      <c r="AS259" s="151"/>
      <c r="AT259" s="151"/>
      <c r="AU259" s="151"/>
      <c r="AV259" s="151"/>
      <c r="AW259" s="151"/>
      <c r="AX259" s="151"/>
      <c r="AY259" s="151"/>
      <c r="AZ259" s="151"/>
      <c r="BA259" s="151"/>
      <c r="BB259" s="151"/>
      <c r="BC259" s="151"/>
      <c r="BD259" s="151"/>
      <c r="BE259" s="151"/>
      <c r="BF259" s="151"/>
      <c r="BG259" s="151"/>
      <c r="BH259" s="151"/>
      <c r="BI259" s="151"/>
      <c r="BJ259" s="151"/>
      <c r="BK259" s="151"/>
      <c r="BL259" s="151"/>
      <c r="BM259" s="151"/>
      <c r="BN259" s="151"/>
      <c r="BO259" s="151"/>
      <c r="BP259" s="151"/>
      <c r="BQ259" s="153"/>
      <c r="BR259" s="1802"/>
      <c r="BS259" s="153"/>
      <c r="BT259" s="1802"/>
      <c r="BU259" s="139"/>
      <c r="BV259" s="139"/>
      <c r="BW259" s="153"/>
      <c r="BX259" s="153"/>
      <c r="BY259" s="153"/>
      <c r="BZ259" s="153"/>
      <c r="CA259" s="153"/>
      <c r="CB259" s="149"/>
      <c r="CC259" s="149"/>
      <c r="CD259" s="149"/>
      <c r="CE259" s="149"/>
      <c r="CF259" s="149"/>
      <c r="CG259" s="149"/>
      <c r="CH259" s="149"/>
      <c r="CI259" s="149"/>
      <c r="CJ259" s="149"/>
      <c r="CK259" s="149"/>
      <c r="CL259" s="178"/>
      <c r="CM259" s="178"/>
      <c r="CN259" s="178"/>
      <c r="CO259" s="178"/>
      <c r="CP259" s="178"/>
    </row>
    <row r="260" spans="1:94" ht="12.75" customHeight="1" x14ac:dyDescent="0.35">
      <c r="A260" s="136"/>
      <c r="B260" s="136"/>
      <c r="C260" s="136"/>
      <c r="D260" s="120"/>
      <c r="E260" s="151"/>
      <c r="F260" s="151"/>
      <c r="G260" s="151"/>
      <c r="H260" s="151"/>
      <c r="I260" s="149"/>
      <c r="J260" s="149"/>
      <c r="K260" s="149"/>
      <c r="L260" s="149"/>
      <c r="M260" s="149"/>
      <c r="N260" s="149"/>
      <c r="O260" s="149"/>
      <c r="P260" s="149"/>
      <c r="Q260" s="149"/>
      <c r="R260" s="151"/>
      <c r="S260" s="151"/>
      <c r="T260" s="151"/>
      <c r="U260" s="151"/>
      <c r="V260" s="151"/>
      <c r="W260" s="151"/>
      <c r="X260" s="151"/>
      <c r="Y260" s="151"/>
      <c r="Z260" s="151"/>
      <c r="AA260" s="151"/>
      <c r="AB260" s="151"/>
      <c r="AC260" s="151"/>
      <c r="AD260" s="151"/>
      <c r="AE260" s="151"/>
      <c r="AF260" s="151"/>
      <c r="AG260" s="151"/>
      <c r="AH260" s="151"/>
      <c r="AI260" s="151"/>
      <c r="AJ260" s="151"/>
      <c r="AK260" s="151"/>
      <c r="AL260" s="151"/>
      <c r="AM260" s="151"/>
      <c r="AN260" s="151"/>
      <c r="AO260" s="151"/>
      <c r="AP260" s="151"/>
      <c r="AQ260" s="151"/>
      <c r="AR260" s="151"/>
      <c r="AS260" s="151"/>
      <c r="AT260" s="151"/>
      <c r="AU260" s="151"/>
      <c r="AV260" s="151"/>
      <c r="AW260" s="151"/>
      <c r="AX260" s="151"/>
      <c r="AY260" s="151"/>
      <c r="AZ260" s="151"/>
      <c r="BA260" s="151"/>
      <c r="BB260" s="151"/>
      <c r="BC260" s="151"/>
      <c r="BD260" s="151"/>
      <c r="BE260" s="151"/>
      <c r="BF260" s="151"/>
      <c r="BG260" s="151"/>
      <c r="BH260" s="151"/>
      <c r="BI260" s="151"/>
      <c r="BJ260" s="151"/>
      <c r="BK260" s="151"/>
      <c r="BL260" s="151"/>
      <c r="BM260" s="151"/>
      <c r="BN260" s="151"/>
      <c r="BO260" s="151"/>
      <c r="BP260" s="151"/>
      <c r="BQ260" s="153"/>
      <c r="BR260" s="1802"/>
      <c r="BS260" s="153"/>
      <c r="BT260" s="1802"/>
      <c r="BU260" s="139"/>
      <c r="BV260" s="139"/>
      <c r="BW260" s="153"/>
      <c r="BX260" s="153"/>
      <c r="BY260" s="153"/>
      <c r="BZ260" s="153"/>
      <c r="CA260" s="153"/>
      <c r="CB260" s="149"/>
      <c r="CC260" s="149"/>
      <c r="CD260" s="149"/>
      <c r="CE260" s="149"/>
      <c r="CF260" s="149"/>
      <c r="CG260" s="149"/>
      <c r="CH260" s="149"/>
      <c r="CI260" s="149"/>
      <c r="CJ260" s="149"/>
      <c r="CK260" s="149"/>
      <c r="CL260" s="178"/>
      <c r="CM260" s="178"/>
      <c r="CN260" s="178"/>
      <c r="CO260" s="178"/>
      <c r="CP260" s="178"/>
    </row>
    <row r="261" spans="1:94" ht="12.75" customHeight="1" x14ac:dyDescent="0.35">
      <c r="A261" s="136"/>
      <c r="B261" s="136"/>
      <c r="C261" s="136"/>
      <c r="D261" s="120"/>
      <c r="E261" s="151"/>
      <c r="F261" s="151"/>
      <c r="G261" s="151"/>
      <c r="H261" s="151"/>
      <c r="I261" s="149"/>
      <c r="J261" s="149"/>
      <c r="K261" s="149"/>
      <c r="L261" s="149"/>
      <c r="M261" s="149"/>
      <c r="N261" s="149"/>
      <c r="O261" s="149"/>
      <c r="P261" s="149"/>
      <c r="Q261" s="149"/>
      <c r="R261" s="151"/>
      <c r="S261" s="151"/>
      <c r="T261" s="151"/>
      <c r="U261" s="151"/>
      <c r="V261" s="151"/>
      <c r="W261" s="151"/>
      <c r="X261" s="151"/>
      <c r="Y261" s="151"/>
      <c r="Z261" s="151"/>
      <c r="AA261" s="151"/>
      <c r="AB261" s="151"/>
      <c r="AC261" s="151"/>
      <c r="AD261" s="151"/>
      <c r="AE261" s="151"/>
      <c r="AF261" s="151"/>
      <c r="AG261" s="151"/>
      <c r="AH261" s="151"/>
      <c r="AI261" s="151"/>
      <c r="AJ261" s="151"/>
      <c r="AK261" s="151"/>
      <c r="AL261" s="151"/>
      <c r="AM261" s="151"/>
      <c r="AN261" s="151"/>
      <c r="AO261" s="151"/>
      <c r="AP261" s="151"/>
      <c r="AQ261" s="151"/>
      <c r="AR261" s="151"/>
      <c r="AS261" s="151"/>
      <c r="AT261" s="151"/>
      <c r="AU261" s="151"/>
      <c r="AV261" s="151"/>
      <c r="AW261" s="151"/>
      <c r="AX261" s="151"/>
      <c r="AY261" s="151"/>
      <c r="AZ261" s="151"/>
      <c r="BA261" s="151"/>
      <c r="BB261" s="151"/>
      <c r="BC261" s="151"/>
      <c r="BD261" s="151"/>
      <c r="BE261" s="151"/>
      <c r="BF261" s="151"/>
      <c r="BG261" s="151"/>
      <c r="BH261" s="151"/>
      <c r="BI261" s="151"/>
      <c r="BJ261" s="151"/>
      <c r="BK261" s="151"/>
      <c r="BL261" s="151"/>
      <c r="BM261" s="151"/>
      <c r="BN261" s="151"/>
      <c r="BO261" s="151"/>
      <c r="BP261" s="151"/>
      <c r="BQ261" s="153"/>
      <c r="BR261" s="1802"/>
      <c r="BS261" s="153"/>
      <c r="BT261" s="1802"/>
      <c r="BU261" s="139"/>
      <c r="BV261" s="139"/>
      <c r="BW261" s="153"/>
      <c r="BX261" s="153"/>
      <c r="BY261" s="153"/>
      <c r="BZ261" s="153"/>
      <c r="CA261" s="153"/>
      <c r="CB261" s="149"/>
      <c r="CC261" s="149"/>
      <c r="CD261" s="149"/>
      <c r="CE261" s="149"/>
      <c r="CF261" s="149"/>
      <c r="CG261" s="149"/>
      <c r="CH261" s="149"/>
      <c r="CI261" s="149"/>
      <c r="CJ261" s="149"/>
      <c r="CK261" s="149"/>
      <c r="CL261" s="178"/>
      <c r="CM261" s="178"/>
      <c r="CN261" s="178"/>
      <c r="CO261" s="178"/>
      <c r="CP261" s="178"/>
    </row>
    <row r="262" spans="1:94" ht="12.75" customHeight="1" x14ac:dyDescent="0.35">
      <c r="A262" s="136"/>
      <c r="B262" s="136"/>
      <c r="C262" s="136"/>
      <c r="D262" s="120"/>
      <c r="E262" s="151"/>
      <c r="F262" s="151"/>
      <c r="G262" s="151"/>
      <c r="H262" s="151"/>
      <c r="I262" s="149"/>
      <c r="J262" s="149"/>
      <c r="K262" s="149"/>
      <c r="L262" s="149"/>
      <c r="M262" s="149"/>
      <c r="N262" s="149"/>
      <c r="O262" s="149"/>
      <c r="P262" s="149"/>
      <c r="Q262" s="149"/>
      <c r="R262" s="151"/>
      <c r="S262" s="151"/>
      <c r="T262" s="151"/>
      <c r="U262" s="151"/>
      <c r="V262" s="151"/>
      <c r="W262" s="151"/>
      <c r="X262" s="151"/>
      <c r="Y262" s="151"/>
      <c r="Z262" s="151"/>
      <c r="AA262" s="151"/>
      <c r="AB262" s="151"/>
      <c r="AC262" s="151"/>
      <c r="AD262" s="151"/>
      <c r="AE262" s="151"/>
      <c r="AF262" s="151"/>
      <c r="AG262" s="151"/>
      <c r="AH262" s="151"/>
      <c r="AI262" s="151"/>
      <c r="AJ262" s="151"/>
      <c r="AK262" s="151"/>
      <c r="AL262" s="151"/>
      <c r="AM262" s="151"/>
      <c r="AN262" s="151"/>
      <c r="AO262" s="151"/>
      <c r="AP262" s="151"/>
      <c r="AQ262" s="151"/>
      <c r="AR262" s="151"/>
      <c r="AS262" s="151"/>
      <c r="AT262" s="151"/>
      <c r="AU262" s="151"/>
      <c r="AV262" s="151"/>
      <c r="AW262" s="151"/>
      <c r="AX262" s="151"/>
      <c r="AY262" s="151"/>
      <c r="AZ262" s="151"/>
      <c r="BA262" s="151"/>
      <c r="BB262" s="151"/>
      <c r="BC262" s="151"/>
      <c r="BD262" s="151"/>
      <c r="BE262" s="151"/>
      <c r="BF262" s="151"/>
      <c r="BG262" s="151"/>
      <c r="BH262" s="151"/>
      <c r="BI262" s="151"/>
      <c r="BJ262" s="151"/>
      <c r="BK262" s="151"/>
      <c r="BL262" s="151"/>
      <c r="BM262" s="151"/>
      <c r="BN262" s="151"/>
      <c r="BO262" s="151"/>
      <c r="BP262" s="151"/>
      <c r="BQ262" s="153"/>
      <c r="BR262" s="1802"/>
      <c r="BS262" s="153"/>
      <c r="BT262" s="1802"/>
      <c r="BU262" s="139"/>
      <c r="BV262" s="139"/>
      <c r="BW262" s="153"/>
      <c r="BX262" s="153"/>
      <c r="BY262" s="153"/>
      <c r="BZ262" s="153"/>
      <c r="CA262" s="153"/>
      <c r="CB262" s="149"/>
      <c r="CC262" s="149"/>
      <c r="CD262" s="149"/>
      <c r="CE262" s="149"/>
      <c r="CF262" s="149"/>
      <c r="CG262" s="149"/>
      <c r="CH262" s="149"/>
      <c r="CI262" s="149"/>
      <c r="CJ262" s="149"/>
      <c r="CK262" s="149"/>
      <c r="CL262" s="178"/>
      <c r="CM262" s="178"/>
      <c r="CN262" s="178"/>
      <c r="CO262" s="178"/>
      <c r="CP262" s="178"/>
    </row>
    <row r="263" spans="1:94" ht="12.75" customHeight="1" x14ac:dyDescent="0.35">
      <c r="A263" s="136"/>
      <c r="B263" s="136"/>
      <c r="C263" s="136"/>
      <c r="D263" s="120"/>
      <c r="E263" s="149"/>
      <c r="F263" s="151"/>
      <c r="G263" s="151"/>
      <c r="H263" s="151"/>
      <c r="I263" s="149"/>
      <c r="J263" s="149"/>
      <c r="K263" s="149"/>
      <c r="L263" s="149"/>
      <c r="M263" s="149"/>
      <c r="N263" s="149"/>
      <c r="O263" s="149"/>
      <c r="P263" s="149"/>
      <c r="Q263" s="149"/>
      <c r="R263" s="151"/>
      <c r="S263" s="151"/>
      <c r="T263" s="151"/>
      <c r="U263" s="151"/>
      <c r="V263" s="151"/>
      <c r="W263" s="151"/>
      <c r="X263" s="151"/>
      <c r="Y263" s="151"/>
      <c r="Z263" s="151"/>
      <c r="AA263" s="151"/>
      <c r="AB263" s="151"/>
      <c r="AC263" s="151"/>
      <c r="AD263" s="151"/>
      <c r="AE263" s="151"/>
      <c r="AF263" s="151"/>
      <c r="AG263" s="151"/>
      <c r="AH263" s="151"/>
      <c r="AI263" s="151"/>
      <c r="AJ263" s="151"/>
      <c r="AK263" s="151"/>
      <c r="AL263" s="151"/>
      <c r="AM263" s="151"/>
      <c r="AN263" s="151"/>
      <c r="AO263" s="151"/>
      <c r="AP263" s="151"/>
      <c r="AQ263" s="151"/>
      <c r="AR263" s="151"/>
      <c r="AS263" s="151"/>
      <c r="AT263" s="151"/>
      <c r="AU263" s="151"/>
      <c r="AV263" s="151"/>
      <c r="AW263" s="151"/>
      <c r="AX263" s="151"/>
      <c r="AY263" s="151"/>
      <c r="AZ263" s="151"/>
      <c r="BA263" s="151"/>
      <c r="BB263" s="151"/>
      <c r="BC263" s="151"/>
      <c r="BD263" s="151"/>
      <c r="BE263" s="151"/>
      <c r="BF263" s="151"/>
      <c r="BG263" s="151"/>
      <c r="BH263" s="151"/>
      <c r="BI263" s="151"/>
      <c r="BJ263" s="151"/>
      <c r="BK263" s="151"/>
      <c r="BL263" s="151"/>
      <c r="BM263" s="151"/>
      <c r="BN263" s="151"/>
      <c r="BO263" s="151"/>
      <c r="BP263" s="151"/>
      <c r="BQ263" s="153"/>
      <c r="BR263" s="1802"/>
      <c r="BS263" s="153"/>
      <c r="BT263" s="1802"/>
      <c r="BU263" s="139"/>
      <c r="BV263" s="139"/>
      <c r="BW263" s="153"/>
      <c r="BX263" s="153"/>
      <c r="BY263" s="153"/>
      <c r="BZ263" s="153"/>
      <c r="CA263" s="153"/>
      <c r="CB263" s="149"/>
      <c r="CC263" s="149"/>
      <c r="CD263" s="149"/>
      <c r="CE263" s="149"/>
      <c r="CF263" s="149"/>
      <c r="CG263" s="149"/>
      <c r="CH263" s="149"/>
      <c r="CI263" s="149"/>
      <c r="CJ263" s="149"/>
      <c r="CK263" s="149"/>
      <c r="CL263" s="178"/>
      <c r="CM263" s="178"/>
      <c r="CN263" s="178"/>
      <c r="CO263" s="178"/>
      <c r="CP263" s="178"/>
    </row>
    <row r="264" spans="1:94" ht="12.75" customHeight="1" x14ac:dyDescent="0.35">
      <c r="A264" s="136"/>
      <c r="B264" s="136"/>
      <c r="C264" s="136"/>
      <c r="D264" s="120"/>
      <c r="E264" s="149"/>
      <c r="F264" s="151"/>
      <c r="G264" s="151"/>
      <c r="H264" s="151"/>
      <c r="I264" s="149"/>
      <c r="J264" s="149"/>
      <c r="K264" s="149"/>
      <c r="L264" s="149"/>
      <c r="M264" s="149"/>
      <c r="N264" s="149"/>
      <c r="O264" s="149"/>
      <c r="P264" s="149"/>
      <c r="Q264" s="149"/>
      <c r="R264" s="151"/>
      <c r="S264" s="151"/>
      <c r="T264" s="151"/>
      <c r="U264" s="151"/>
      <c r="V264" s="151"/>
      <c r="W264" s="151"/>
      <c r="X264" s="151"/>
      <c r="Y264" s="151"/>
      <c r="Z264" s="151"/>
      <c r="AA264" s="151"/>
      <c r="AB264" s="151"/>
      <c r="AC264" s="151"/>
      <c r="AD264" s="151"/>
      <c r="AE264" s="151"/>
      <c r="AF264" s="151"/>
      <c r="AG264" s="151"/>
      <c r="AH264" s="151"/>
      <c r="AI264" s="151"/>
      <c r="AJ264" s="151"/>
      <c r="AK264" s="151"/>
      <c r="AL264" s="151"/>
      <c r="AM264" s="151"/>
      <c r="AN264" s="151"/>
      <c r="AO264" s="151"/>
      <c r="AP264" s="151"/>
      <c r="AQ264" s="151"/>
      <c r="AR264" s="151"/>
      <c r="AS264" s="151"/>
      <c r="AT264" s="151"/>
      <c r="AU264" s="151"/>
      <c r="AV264" s="151"/>
      <c r="AW264" s="151"/>
      <c r="AX264" s="151"/>
      <c r="AY264" s="151"/>
      <c r="AZ264" s="151"/>
      <c r="BA264" s="151"/>
      <c r="BB264" s="151"/>
      <c r="BC264" s="151"/>
      <c r="BD264" s="151"/>
      <c r="BE264" s="151"/>
      <c r="BF264" s="151"/>
      <c r="BG264" s="151"/>
      <c r="BH264" s="151"/>
      <c r="BI264" s="151"/>
      <c r="BJ264" s="151"/>
      <c r="BK264" s="151"/>
      <c r="BL264" s="151"/>
      <c r="BM264" s="151"/>
      <c r="BN264" s="151"/>
      <c r="BO264" s="151"/>
      <c r="BP264" s="151"/>
      <c r="BQ264" s="153"/>
      <c r="BR264" s="1802"/>
      <c r="BS264" s="153"/>
      <c r="BT264" s="1802"/>
      <c r="BU264" s="139"/>
      <c r="BV264" s="139"/>
      <c r="BW264" s="153"/>
      <c r="BX264" s="153"/>
      <c r="BY264" s="153"/>
      <c r="BZ264" s="153"/>
      <c r="CA264" s="153"/>
      <c r="CB264" s="149"/>
      <c r="CC264" s="149"/>
      <c r="CD264" s="149"/>
      <c r="CE264" s="149"/>
      <c r="CF264" s="149"/>
      <c r="CG264" s="149"/>
      <c r="CH264" s="149"/>
      <c r="CI264" s="149"/>
      <c r="CJ264" s="149"/>
      <c r="CK264" s="149"/>
      <c r="CL264" s="178"/>
      <c r="CM264" s="178"/>
      <c r="CN264" s="178"/>
      <c r="CO264" s="178"/>
      <c r="CP264" s="178"/>
    </row>
    <row r="265" spans="1:94" ht="12.75" customHeight="1" x14ac:dyDescent="0.35">
      <c r="A265" s="136"/>
      <c r="B265" s="136"/>
      <c r="C265" s="136"/>
      <c r="D265" s="120"/>
      <c r="E265" s="149"/>
      <c r="F265" s="151"/>
      <c r="G265" s="151"/>
      <c r="H265" s="151"/>
      <c r="I265" s="149"/>
      <c r="J265" s="149"/>
      <c r="K265" s="149"/>
      <c r="L265" s="149"/>
      <c r="M265" s="149"/>
      <c r="N265" s="149"/>
      <c r="O265" s="149"/>
      <c r="P265" s="149"/>
      <c r="Q265" s="149"/>
      <c r="R265" s="151"/>
      <c r="S265" s="151"/>
      <c r="T265" s="151"/>
      <c r="U265" s="151"/>
      <c r="V265" s="151"/>
      <c r="W265" s="151"/>
      <c r="X265" s="151"/>
      <c r="Y265" s="151"/>
      <c r="Z265" s="151"/>
      <c r="AA265" s="151"/>
      <c r="AB265" s="151"/>
      <c r="AC265" s="151"/>
      <c r="AD265" s="151"/>
      <c r="AE265" s="151"/>
      <c r="AF265" s="151"/>
      <c r="AG265" s="151"/>
      <c r="AH265" s="151"/>
      <c r="AI265" s="151"/>
      <c r="AJ265" s="151"/>
      <c r="AK265" s="151"/>
      <c r="AL265" s="151"/>
      <c r="AM265" s="151"/>
      <c r="AN265" s="151"/>
      <c r="AO265" s="151"/>
      <c r="AP265" s="151"/>
      <c r="AQ265" s="151"/>
      <c r="AR265" s="151"/>
      <c r="AS265" s="151"/>
      <c r="AT265" s="151"/>
      <c r="AU265" s="151"/>
      <c r="AV265" s="151"/>
      <c r="AW265" s="151"/>
      <c r="AX265" s="151"/>
      <c r="AY265" s="151"/>
      <c r="AZ265" s="151"/>
      <c r="BA265" s="151"/>
      <c r="BB265" s="151"/>
      <c r="BC265" s="151"/>
      <c r="BD265" s="151"/>
      <c r="BE265" s="151"/>
      <c r="BF265" s="151"/>
      <c r="BG265" s="151"/>
      <c r="BH265" s="151"/>
      <c r="BI265" s="151"/>
      <c r="BJ265" s="151"/>
      <c r="BK265" s="151"/>
      <c r="BL265" s="151"/>
      <c r="BM265" s="151"/>
      <c r="BN265" s="151"/>
      <c r="BO265" s="151"/>
      <c r="BP265" s="151"/>
      <c r="BQ265" s="153"/>
      <c r="BR265" s="1802"/>
      <c r="BS265" s="153"/>
      <c r="BT265" s="1802"/>
      <c r="BU265" s="139"/>
      <c r="BV265" s="139"/>
      <c r="BW265" s="153"/>
      <c r="BX265" s="153"/>
      <c r="BY265" s="153"/>
      <c r="BZ265" s="153"/>
      <c r="CA265" s="153"/>
      <c r="CB265" s="149"/>
      <c r="CC265" s="149"/>
      <c r="CD265" s="149"/>
      <c r="CE265" s="149"/>
      <c r="CF265" s="149"/>
      <c r="CG265" s="149"/>
      <c r="CH265" s="149"/>
      <c r="CI265" s="149"/>
      <c r="CJ265" s="149"/>
      <c r="CK265" s="149"/>
      <c r="CL265" s="178"/>
      <c r="CM265" s="178"/>
      <c r="CN265" s="178"/>
      <c r="CO265" s="178"/>
      <c r="CP265" s="178"/>
    </row>
    <row r="266" spans="1:94" ht="12.75" customHeight="1" x14ac:dyDescent="0.35">
      <c r="A266" s="136"/>
      <c r="B266" s="136"/>
      <c r="C266" s="136"/>
      <c r="D266" s="120"/>
      <c r="E266" s="149"/>
      <c r="F266" s="151"/>
      <c r="G266" s="151"/>
      <c r="H266" s="151"/>
      <c r="I266" s="149"/>
      <c r="J266" s="149"/>
      <c r="K266" s="149"/>
      <c r="L266" s="149"/>
      <c r="M266" s="149"/>
      <c r="N266" s="149"/>
      <c r="O266" s="149"/>
      <c r="P266" s="149"/>
      <c r="Q266" s="149"/>
      <c r="R266" s="151"/>
      <c r="S266" s="151"/>
      <c r="T266" s="151"/>
      <c r="U266" s="151"/>
      <c r="V266" s="151"/>
      <c r="W266" s="151"/>
      <c r="X266" s="151"/>
      <c r="Y266" s="151"/>
      <c r="Z266" s="151"/>
      <c r="AA266" s="151"/>
      <c r="AB266" s="151"/>
      <c r="AC266" s="151"/>
      <c r="AD266" s="151"/>
      <c r="AE266" s="151"/>
      <c r="AF266" s="151"/>
      <c r="AG266" s="151"/>
      <c r="AH266" s="151"/>
      <c r="AI266" s="151"/>
      <c r="AJ266" s="151"/>
      <c r="AK266" s="151"/>
      <c r="AL266" s="151"/>
      <c r="AM266" s="151"/>
      <c r="AN266" s="151"/>
      <c r="AO266" s="151"/>
      <c r="AP266" s="151"/>
      <c r="AQ266" s="151"/>
      <c r="AR266" s="151"/>
      <c r="AS266" s="151"/>
      <c r="AT266" s="151"/>
      <c r="AU266" s="151"/>
      <c r="AV266" s="151"/>
      <c r="AW266" s="151"/>
      <c r="AX266" s="151"/>
      <c r="AY266" s="151"/>
      <c r="AZ266" s="151"/>
      <c r="BA266" s="151"/>
      <c r="BB266" s="151"/>
      <c r="BC266" s="151"/>
      <c r="BD266" s="151"/>
      <c r="BE266" s="151"/>
      <c r="BF266" s="151"/>
      <c r="BG266" s="151"/>
      <c r="BH266" s="151"/>
      <c r="BI266" s="151"/>
      <c r="BJ266" s="151"/>
      <c r="BK266" s="151"/>
      <c r="BL266" s="151"/>
      <c r="BM266" s="151"/>
      <c r="BN266" s="151"/>
      <c r="BO266" s="151"/>
      <c r="BP266" s="151"/>
      <c r="BQ266" s="153"/>
      <c r="BR266" s="1802"/>
      <c r="BS266" s="153"/>
      <c r="BT266" s="1802"/>
      <c r="BU266" s="139"/>
      <c r="BV266" s="139"/>
      <c r="BW266" s="153"/>
      <c r="BX266" s="153"/>
      <c r="BY266" s="153"/>
      <c r="BZ266" s="153"/>
      <c r="CA266" s="153"/>
      <c r="CB266" s="149"/>
      <c r="CC266" s="149"/>
      <c r="CD266" s="149"/>
      <c r="CE266" s="149"/>
      <c r="CF266" s="149"/>
      <c r="CG266" s="149"/>
      <c r="CH266" s="149"/>
      <c r="CI266" s="149"/>
      <c r="CJ266" s="149"/>
      <c r="CK266" s="149"/>
      <c r="CL266" s="178"/>
      <c r="CM266" s="178"/>
      <c r="CN266" s="178"/>
      <c r="CO266" s="178"/>
      <c r="CP266" s="178"/>
    </row>
    <row r="267" spans="1:94" s="305" customFormat="1" ht="12.75" customHeight="1" x14ac:dyDescent="0.35">
      <c r="A267" s="150"/>
      <c r="B267" s="150"/>
      <c r="C267" s="150"/>
      <c r="D267" s="1211"/>
      <c r="E267" s="1198"/>
      <c r="F267" s="1198"/>
      <c r="G267" s="1198"/>
      <c r="H267" s="1198"/>
      <c r="I267" s="1198"/>
      <c r="J267" s="1198"/>
      <c r="K267" s="1198"/>
      <c r="L267" s="1198"/>
      <c r="M267" s="1198"/>
      <c r="N267" s="1198"/>
      <c r="O267" s="1198"/>
      <c r="P267" s="1198"/>
      <c r="Q267" s="1198"/>
      <c r="R267" s="1198"/>
      <c r="S267" s="1198"/>
      <c r="T267" s="1198"/>
      <c r="U267" s="1198"/>
      <c r="V267" s="1198"/>
      <c r="W267" s="1198"/>
      <c r="X267" s="1198"/>
      <c r="Y267" s="1198"/>
      <c r="Z267" s="1198"/>
      <c r="AA267" s="1198"/>
      <c r="AB267" s="1198"/>
      <c r="AC267" s="1198"/>
      <c r="AD267" s="1198"/>
      <c r="AE267" s="1198"/>
      <c r="AF267" s="1198"/>
      <c r="AG267" s="1198"/>
      <c r="AH267" s="1198"/>
      <c r="AI267" s="1198"/>
      <c r="AJ267" s="1198"/>
      <c r="AK267" s="1198"/>
      <c r="AL267" s="1198"/>
      <c r="AM267" s="1198"/>
      <c r="AN267" s="1198"/>
      <c r="AO267" s="1198"/>
      <c r="AP267" s="1198"/>
      <c r="AQ267" s="1198"/>
      <c r="AR267" s="1198"/>
      <c r="AS267" s="1198"/>
      <c r="AT267" s="1198"/>
      <c r="AU267" s="1198"/>
      <c r="AV267" s="1198"/>
      <c r="AW267" s="1198"/>
      <c r="AX267" s="1198"/>
      <c r="AY267" s="1198"/>
      <c r="AZ267" s="1198"/>
      <c r="BA267" s="1198"/>
      <c r="BB267" s="1198"/>
      <c r="BC267" s="1198"/>
      <c r="BD267" s="1198"/>
      <c r="BE267" s="1198"/>
      <c r="BF267" s="1198"/>
      <c r="BG267" s="1198"/>
      <c r="BH267" s="1198"/>
      <c r="BI267" s="1198"/>
      <c r="BJ267" s="1198"/>
      <c r="BK267" s="1198"/>
      <c r="BL267" s="1198"/>
      <c r="BM267" s="1198"/>
      <c r="BN267" s="1198"/>
      <c r="BO267" s="1198"/>
      <c r="BP267" s="1198"/>
      <c r="BQ267" s="1198"/>
      <c r="BR267" s="1198"/>
      <c r="BS267" s="1198"/>
      <c r="BT267" s="1198"/>
      <c r="BU267" s="150"/>
      <c r="BV267" s="150"/>
      <c r="BW267" s="1198"/>
      <c r="BX267" s="1198"/>
      <c r="BY267" s="1198"/>
      <c r="BZ267" s="1198"/>
      <c r="CA267" s="1198"/>
      <c r="CB267" s="1198"/>
      <c r="CC267" s="1198"/>
      <c r="CD267" s="1198"/>
      <c r="CE267" s="1198"/>
      <c r="CF267" s="1198"/>
      <c r="CG267" s="1198"/>
      <c r="CH267" s="1198"/>
      <c r="CI267" s="1198"/>
      <c r="CJ267" s="1198"/>
      <c r="CK267" s="1198"/>
      <c r="CL267" s="1212"/>
      <c r="CM267" s="1212"/>
      <c r="CN267" s="1212"/>
      <c r="CO267" s="1212"/>
      <c r="CP267" s="1212"/>
    </row>
    <row r="268" spans="1:94" ht="12.75" customHeight="1" x14ac:dyDescent="0.35">
      <c r="A268" s="136"/>
      <c r="B268" s="136"/>
      <c r="C268" s="136"/>
      <c r="D268" s="120"/>
      <c r="E268" s="149"/>
      <c r="F268" s="151"/>
      <c r="G268" s="151"/>
      <c r="H268" s="151"/>
      <c r="I268" s="149"/>
      <c r="J268" s="149"/>
      <c r="K268" s="149"/>
      <c r="L268" s="149"/>
      <c r="M268" s="149"/>
      <c r="N268" s="149"/>
      <c r="O268" s="149"/>
      <c r="P268" s="149"/>
      <c r="Q268" s="149"/>
      <c r="R268" s="151"/>
      <c r="S268" s="151"/>
      <c r="T268" s="151"/>
      <c r="U268" s="151"/>
      <c r="V268" s="151"/>
      <c r="W268" s="151"/>
      <c r="X268" s="151"/>
      <c r="Y268" s="151"/>
      <c r="Z268" s="151"/>
      <c r="AA268" s="151"/>
      <c r="AB268" s="151"/>
      <c r="AC268" s="151"/>
      <c r="AD268" s="151"/>
      <c r="AE268" s="151"/>
      <c r="AF268" s="151"/>
      <c r="AG268" s="151"/>
      <c r="AH268" s="151"/>
      <c r="AI268" s="151"/>
      <c r="AJ268" s="151"/>
      <c r="AK268" s="151"/>
      <c r="AL268" s="151"/>
      <c r="AM268" s="151"/>
      <c r="AN268" s="151"/>
      <c r="AO268" s="151"/>
      <c r="AP268" s="151"/>
      <c r="AQ268" s="151"/>
      <c r="AR268" s="151"/>
      <c r="AS268" s="151"/>
      <c r="AT268" s="151"/>
      <c r="AU268" s="151"/>
      <c r="AV268" s="151"/>
      <c r="AW268" s="151"/>
      <c r="AX268" s="151"/>
      <c r="AY268" s="151"/>
      <c r="AZ268" s="151"/>
      <c r="BA268" s="151"/>
      <c r="BB268" s="151"/>
      <c r="BC268" s="151"/>
      <c r="BD268" s="151"/>
      <c r="BE268" s="151"/>
      <c r="BF268" s="151"/>
      <c r="BG268" s="151"/>
      <c r="BH268" s="151"/>
      <c r="BI268" s="151"/>
      <c r="BJ268" s="151"/>
      <c r="BK268" s="151"/>
      <c r="BL268" s="151"/>
      <c r="BM268" s="151"/>
      <c r="BN268" s="151"/>
      <c r="BO268" s="151"/>
      <c r="BP268" s="151"/>
      <c r="BQ268" s="153"/>
      <c r="BR268" s="1802"/>
      <c r="BS268" s="153"/>
      <c r="BT268" s="1802"/>
      <c r="BU268" s="139"/>
      <c r="BV268" s="139"/>
      <c r="BW268" s="153"/>
      <c r="BX268" s="153"/>
      <c r="BY268" s="153"/>
      <c r="BZ268" s="153"/>
      <c r="CA268" s="153"/>
      <c r="CB268" s="149"/>
      <c r="CC268" s="149"/>
      <c r="CD268" s="149"/>
      <c r="CE268" s="149"/>
      <c r="CF268" s="149"/>
      <c r="CG268" s="149"/>
      <c r="CH268" s="149"/>
      <c r="CI268" s="149"/>
      <c r="CJ268" s="149"/>
      <c r="CK268" s="149"/>
      <c r="CL268" s="178"/>
      <c r="CM268" s="178"/>
      <c r="CN268" s="178"/>
      <c r="CO268" s="178"/>
      <c r="CP268" s="178"/>
    </row>
    <row r="269" spans="1:94" ht="12.75" customHeight="1" x14ac:dyDescent="0.35">
      <c r="A269" s="136"/>
      <c r="B269" s="136"/>
      <c r="C269" s="136"/>
      <c r="D269" s="120"/>
      <c r="E269" s="149"/>
      <c r="F269" s="151"/>
      <c r="G269" s="151"/>
      <c r="H269" s="151"/>
      <c r="I269" s="149"/>
      <c r="J269" s="149"/>
      <c r="K269" s="149"/>
      <c r="L269" s="149"/>
      <c r="M269" s="149"/>
      <c r="N269" s="149"/>
      <c r="O269" s="149"/>
      <c r="P269" s="149"/>
      <c r="Q269" s="149"/>
      <c r="R269" s="151"/>
      <c r="S269" s="151"/>
      <c r="T269" s="151"/>
      <c r="U269" s="151"/>
      <c r="V269" s="151"/>
      <c r="W269" s="151"/>
      <c r="X269" s="151"/>
      <c r="Y269" s="151"/>
      <c r="Z269" s="151"/>
      <c r="AA269" s="151"/>
      <c r="AB269" s="151"/>
      <c r="AC269" s="151"/>
      <c r="AD269" s="151"/>
      <c r="AE269" s="151"/>
      <c r="AF269" s="151"/>
      <c r="AG269" s="151"/>
      <c r="AH269" s="151"/>
      <c r="AI269" s="151"/>
      <c r="AJ269" s="151"/>
      <c r="AK269" s="151"/>
      <c r="AL269" s="151"/>
      <c r="AM269" s="151"/>
      <c r="AN269" s="151"/>
      <c r="AO269" s="151"/>
      <c r="AP269" s="151"/>
      <c r="AQ269" s="151"/>
      <c r="AR269" s="151"/>
      <c r="AS269" s="151"/>
      <c r="AT269" s="151"/>
      <c r="AU269" s="151"/>
      <c r="AV269" s="151"/>
      <c r="AW269" s="151"/>
      <c r="AX269" s="151"/>
      <c r="AY269" s="151"/>
      <c r="AZ269" s="151"/>
      <c r="BA269" s="151"/>
      <c r="BB269" s="151"/>
      <c r="BC269" s="151"/>
      <c r="BD269" s="151"/>
      <c r="BE269" s="151"/>
      <c r="BF269" s="151"/>
      <c r="BG269" s="151"/>
      <c r="BH269" s="151"/>
      <c r="BI269" s="151"/>
      <c r="BJ269" s="151"/>
      <c r="BK269" s="151"/>
      <c r="BL269" s="151"/>
      <c r="BM269" s="151"/>
      <c r="BN269" s="151"/>
      <c r="BO269" s="151"/>
      <c r="BP269" s="151"/>
      <c r="BQ269" s="153"/>
      <c r="BR269" s="1802"/>
      <c r="BS269" s="153"/>
      <c r="BT269" s="1802"/>
      <c r="BU269" s="139"/>
      <c r="BV269" s="139"/>
      <c r="BW269" s="153"/>
      <c r="BX269" s="153"/>
      <c r="BY269" s="153"/>
      <c r="BZ269" s="153"/>
      <c r="CA269" s="153"/>
      <c r="CB269" s="149"/>
      <c r="CC269" s="149"/>
      <c r="CD269" s="149"/>
      <c r="CE269" s="149"/>
      <c r="CF269" s="149"/>
      <c r="CG269" s="149"/>
      <c r="CH269" s="149"/>
      <c r="CI269" s="149"/>
      <c r="CJ269" s="149"/>
      <c r="CK269" s="149"/>
      <c r="CL269" s="178"/>
      <c r="CM269" s="178"/>
      <c r="CN269" s="178"/>
      <c r="CO269" s="178"/>
      <c r="CP269" s="178"/>
    </row>
    <row r="270" spans="1:94" ht="12.75" customHeight="1" x14ac:dyDescent="0.35">
      <c r="A270" s="136"/>
      <c r="B270" s="136"/>
      <c r="C270" s="136"/>
      <c r="D270" s="120"/>
      <c r="E270" s="149"/>
      <c r="F270" s="151"/>
      <c r="G270" s="151"/>
      <c r="H270" s="151"/>
      <c r="I270" s="149"/>
      <c r="J270" s="149"/>
      <c r="K270" s="149"/>
      <c r="L270" s="149"/>
      <c r="M270" s="149"/>
      <c r="N270" s="149"/>
      <c r="O270" s="149"/>
      <c r="P270" s="149"/>
      <c r="Q270" s="149"/>
      <c r="R270" s="151"/>
      <c r="S270" s="151"/>
      <c r="T270" s="151"/>
      <c r="U270" s="151"/>
      <c r="V270" s="151"/>
      <c r="W270" s="151"/>
      <c r="X270" s="151"/>
      <c r="Y270" s="151"/>
      <c r="Z270" s="151"/>
      <c r="AA270" s="151"/>
      <c r="AB270" s="151"/>
      <c r="AC270" s="151"/>
      <c r="AD270" s="151"/>
      <c r="AE270" s="151"/>
      <c r="AF270" s="151"/>
      <c r="AG270" s="151"/>
      <c r="AH270" s="151"/>
      <c r="AI270" s="151"/>
      <c r="AJ270" s="151"/>
      <c r="AK270" s="151"/>
      <c r="AL270" s="151"/>
      <c r="AM270" s="151"/>
      <c r="AN270" s="151"/>
      <c r="AO270" s="151"/>
      <c r="AP270" s="151"/>
      <c r="AQ270" s="151"/>
      <c r="AR270" s="151"/>
      <c r="AS270" s="151"/>
      <c r="AT270" s="151"/>
      <c r="AU270" s="151"/>
      <c r="AV270" s="151"/>
      <c r="AW270" s="151"/>
      <c r="AX270" s="151"/>
      <c r="AY270" s="151"/>
      <c r="AZ270" s="151"/>
      <c r="BA270" s="151"/>
      <c r="BB270" s="151"/>
      <c r="BC270" s="151"/>
      <c r="BD270" s="151"/>
      <c r="BE270" s="151"/>
      <c r="BF270" s="151"/>
      <c r="BG270" s="151"/>
      <c r="BH270" s="151"/>
      <c r="BI270" s="151"/>
      <c r="BJ270" s="151"/>
      <c r="BK270" s="151"/>
      <c r="BL270" s="151"/>
      <c r="BM270" s="151"/>
      <c r="BN270" s="151"/>
      <c r="BO270" s="151"/>
      <c r="BP270" s="151"/>
      <c r="BQ270" s="153"/>
      <c r="BR270" s="1802"/>
      <c r="BS270" s="153"/>
      <c r="BT270" s="1802"/>
      <c r="BU270" s="139"/>
      <c r="BV270" s="139"/>
      <c r="BW270" s="153"/>
      <c r="BX270" s="153"/>
      <c r="BY270" s="153"/>
      <c r="BZ270" s="153"/>
      <c r="CA270" s="153"/>
      <c r="CB270" s="149"/>
      <c r="CC270" s="149"/>
      <c r="CD270" s="149"/>
      <c r="CE270" s="149"/>
      <c r="CF270" s="149"/>
      <c r="CG270" s="149"/>
      <c r="CH270" s="149"/>
      <c r="CI270" s="149"/>
      <c r="CJ270" s="149"/>
      <c r="CK270" s="149"/>
      <c r="CL270" s="178"/>
      <c r="CM270" s="178"/>
      <c r="CN270" s="178"/>
      <c r="CO270" s="178"/>
      <c r="CP270" s="178"/>
    </row>
    <row r="271" spans="1:94" ht="12.75" customHeight="1" x14ac:dyDescent="0.35">
      <c r="A271" s="136"/>
      <c r="B271" s="136"/>
      <c r="C271" s="136"/>
      <c r="D271" s="120"/>
      <c r="E271" s="149"/>
      <c r="F271" s="151"/>
      <c r="G271" s="151"/>
      <c r="H271" s="151"/>
      <c r="I271" s="149"/>
      <c r="J271" s="149"/>
      <c r="K271" s="149"/>
      <c r="L271" s="149"/>
      <c r="M271" s="149"/>
      <c r="N271" s="149"/>
      <c r="O271" s="149"/>
      <c r="P271" s="149"/>
      <c r="Q271" s="149"/>
      <c r="R271" s="151"/>
      <c r="S271" s="151"/>
      <c r="T271" s="151"/>
      <c r="U271" s="151"/>
      <c r="V271" s="151"/>
      <c r="W271" s="151"/>
      <c r="X271" s="151"/>
      <c r="Y271" s="151"/>
      <c r="Z271" s="151"/>
      <c r="AA271" s="151"/>
      <c r="AB271" s="151"/>
      <c r="AC271" s="151"/>
      <c r="AD271" s="151"/>
      <c r="AE271" s="151"/>
      <c r="AF271" s="151"/>
      <c r="AG271" s="151"/>
      <c r="AH271" s="151"/>
      <c r="AI271" s="151"/>
      <c r="AJ271" s="151"/>
      <c r="AK271" s="151"/>
      <c r="AL271" s="151"/>
      <c r="AM271" s="151"/>
      <c r="AN271" s="151"/>
      <c r="AO271" s="151"/>
      <c r="AP271" s="151"/>
      <c r="AQ271" s="151"/>
      <c r="AR271" s="151"/>
      <c r="AS271" s="151"/>
      <c r="AT271" s="151"/>
      <c r="AU271" s="151"/>
      <c r="AV271" s="151"/>
      <c r="AW271" s="151"/>
      <c r="AX271" s="151"/>
      <c r="AY271" s="151"/>
      <c r="AZ271" s="151"/>
      <c r="BA271" s="151"/>
      <c r="BB271" s="151"/>
      <c r="BC271" s="151"/>
      <c r="BD271" s="151"/>
      <c r="BE271" s="151"/>
      <c r="BF271" s="151"/>
      <c r="BG271" s="151"/>
      <c r="BH271" s="151"/>
      <c r="BI271" s="151"/>
      <c r="BJ271" s="151"/>
      <c r="BK271" s="151"/>
      <c r="BL271" s="151"/>
      <c r="BM271" s="151"/>
      <c r="BN271" s="151"/>
      <c r="BO271" s="151"/>
      <c r="BP271" s="151"/>
      <c r="BQ271" s="153"/>
      <c r="BR271" s="1802"/>
      <c r="BS271" s="153"/>
      <c r="BT271" s="1802"/>
      <c r="BU271" s="139"/>
      <c r="BV271" s="139"/>
      <c r="BW271" s="153"/>
      <c r="BX271" s="153"/>
      <c r="BY271" s="153"/>
      <c r="BZ271" s="153"/>
      <c r="CA271" s="153"/>
      <c r="CB271" s="149"/>
      <c r="CC271" s="149"/>
      <c r="CD271" s="149"/>
      <c r="CE271" s="149"/>
      <c r="CF271" s="149"/>
      <c r="CG271" s="149"/>
      <c r="CH271" s="149"/>
      <c r="CI271" s="149"/>
      <c r="CJ271" s="149"/>
      <c r="CK271" s="149"/>
      <c r="CL271" s="178"/>
      <c r="CM271" s="178"/>
      <c r="CN271" s="178"/>
      <c r="CO271" s="178"/>
      <c r="CP271" s="178"/>
    </row>
    <row r="272" spans="1:94" ht="12.75" customHeight="1" x14ac:dyDescent="0.35">
      <c r="A272" s="136"/>
      <c r="B272" s="136"/>
      <c r="C272" s="136"/>
      <c r="D272" s="120"/>
      <c r="E272" s="149"/>
      <c r="F272" s="151"/>
      <c r="G272" s="151"/>
      <c r="H272" s="151"/>
      <c r="I272" s="149"/>
      <c r="J272" s="149"/>
      <c r="K272" s="149"/>
      <c r="L272" s="149"/>
      <c r="M272" s="149"/>
      <c r="N272" s="149"/>
      <c r="O272" s="149"/>
      <c r="P272" s="149"/>
      <c r="Q272" s="149"/>
      <c r="R272" s="151"/>
      <c r="S272" s="151"/>
      <c r="T272" s="151"/>
      <c r="U272" s="151"/>
      <c r="V272" s="151"/>
      <c r="W272" s="151"/>
      <c r="X272" s="151"/>
      <c r="Y272" s="151"/>
      <c r="Z272" s="151"/>
      <c r="AA272" s="151"/>
      <c r="AB272" s="151"/>
      <c r="AC272" s="151"/>
      <c r="AD272" s="151"/>
      <c r="AE272" s="151"/>
      <c r="AF272" s="151"/>
      <c r="AG272" s="151"/>
      <c r="AH272" s="151"/>
      <c r="AI272" s="151"/>
      <c r="AJ272" s="151"/>
      <c r="AK272" s="151"/>
      <c r="AL272" s="151"/>
      <c r="AM272" s="151"/>
      <c r="AN272" s="151"/>
      <c r="AO272" s="151"/>
      <c r="AP272" s="151"/>
      <c r="AQ272" s="151"/>
      <c r="AR272" s="151"/>
      <c r="AS272" s="151"/>
      <c r="AT272" s="151"/>
      <c r="AU272" s="151"/>
      <c r="AV272" s="151"/>
      <c r="AW272" s="151"/>
      <c r="AX272" s="151"/>
      <c r="AY272" s="151"/>
      <c r="AZ272" s="151"/>
      <c r="BA272" s="151"/>
      <c r="BB272" s="151"/>
      <c r="BC272" s="151"/>
      <c r="BD272" s="151"/>
      <c r="BE272" s="151"/>
      <c r="BF272" s="151"/>
      <c r="BG272" s="151"/>
      <c r="BH272" s="151"/>
      <c r="BI272" s="151"/>
      <c r="BJ272" s="151"/>
      <c r="BK272" s="151"/>
      <c r="BL272" s="151"/>
      <c r="BM272" s="151"/>
      <c r="BN272" s="151"/>
      <c r="BO272" s="151"/>
      <c r="BP272" s="151"/>
      <c r="BQ272" s="153"/>
      <c r="BR272" s="1802"/>
      <c r="BS272" s="153"/>
      <c r="BT272" s="1802"/>
      <c r="BU272" s="139"/>
      <c r="BV272" s="139"/>
      <c r="BW272" s="153"/>
      <c r="BX272" s="153"/>
      <c r="BY272" s="153"/>
      <c r="BZ272" s="153"/>
      <c r="CA272" s="153"/>
      <c r="CB272" s="149"/>
      <c r="CC272" s="149"/>
      <c r="CD272" s="149"/>
      <c r="CE272" s="149"/>
      <c r="CF272" s="149"/>
      <c r="CG272" s="149"/>
      <c r="CH272" s="149"/>
      <c r="CI272" s="149"/>
      <c r="CJ272" s="149"/>
      <c r="CK272" s="149"/>
      <c r="CL272" s="178"/>
      <c r="CM272" s="178"/>
      <c r="CN272" s="178"/>
      <c r="CO272" s="178"/>
      <c r="CP272" s="178"/>
    </row>
    <row r="273" spans="1:94" ht="12.75" customHeight="1" x14ac:dyDescent="0.35">
      <c r="A273" s="136"/>
      <c r="B273" s="136"/>
      <c r="C273" s="136"/>
      <c r="D273" s="120"/>
      <c r="E273" s="149"/>
      <c r="F273" s="151"/>
      <c r="G273" s="151"/>
      <c r="H273" s="151"/>
      <c r="I273" s="149"/>
      <c r="J273" s="149"/>
      <c r="K273" s="149"/>
      <c r="L273" s="149"/>
      <c r="M273" s="149"/>
      <c r="N273" s="149"/>
      <c r="O273" s="149"/>
      <c r="P273" s="149"/>
      <c r="Q273" s="149"/>
      <c r="R273" s="151"/>
      <c r="S273" s="151"/>
      <c r="T273" s="151"/>
      <c r="U273" s="151"/>
      <c r="V273" s="151"/>
      <c r="W273" s="151"/>
      <c r="X273" s="151"/>
      <c r="Y273" s="151"/>
      <c r="Z273" s="151"/>
      <c r="AA273" s="151"/>
      <c r="AB273" s="151"/>
      <c r="AC273" s="151"/>
      <c r="AD273" s="151"/>
      <c r="AE273" s="151"/>
      <c r="AF273" s="151"/>
      <c r="AG273" s="151"/>
      <c r="AH273" s="151"/>
      <c r="AI273" s="151"/>
      <c r="AJ273" s="151"/>
      <c r="AK273" s="151"/>
      <c r="AL273" s="151"/>
      <c r="AM273" s="151"/>
      <c r="AN273" s="151"/>
      <c r="AO273" s="151"/>
      <c r="AP273" s="151"/>
      <c r="AQ273" s="151"/>
      <c r="AR273" s="151"/>
      <c r="AS273" s="151"/>
      <c r="AT273" s="151"/>
      <c r="AU273" s="151"/>
      <c r="AV273" s="151"/>
      <c r="AW273" s="151"/>
      <c r="AX273" s="151"/>
      <c r="AY273" s="151"/>
      <c r="AZ273" s="151"/>
      <c r="BA273" s="151"/>
      <c r="BB273" s="151"/>
      <c r="BC273" s="151"/>
      <c r="BD273" s="151"/>
      <c r="BE273" s="151"/>
      <c r="BF273" s="151"/>
      <c r="BG273" s="151"/>
      <c r="BH273" s="151"/>
      <c r="BI273" s="151"/>
      <c r="BJ273" s="151"/>
      <c r="BK273" s="151"/>
      <c r="BL273" s="151"/>
      <c r="BM273" s="151"/>
      <c r="BN273" s="151"/>
      <c r="BO273" s="151"/>
      <c r="BP273" s="151"/>
      <c r="BQ273" s="153"/>
      <c r="BR273" s="1802"/>
      <c r="BS273" s="153"/>
      <c r="BT273" s="1802"/>
      <c r="BU273" s="139"/>
      <c r="BV273" s="139"/>
      <c r="BW273" s="153"/>
      <c r="BX273" s="153"/>
      <c r="BY273" s="153"/>
      <c r="BZ273" s="153"/>
      <c r="CA273" s="153"/>
      <c r="CB273" s="149"/>
      <c r="CC273" s="149"/>
      <c r="CD273" s="149"/>
      <c r="CE273" s="149"/>
      <c r="CF273" s="149"/>
      <c r="CG273" s="149"/>
      <c r="CH273" s="149"/>
      <c r="CI273" s="149"/>
      <c r="CJ273" s="149"/>
      <c r="CK273" s="149"/>
      <c r="CL273" s="178"/>
      <c r="CM273" s="178"/>
      <c r="CN273" s="178"/>
      <c r="CO273" s="178"/>
      <c r="CP273" s="178"/>
    </row>
    <row r="274" spans="1:94" ht="12.75" customHeight="1" x14ac:dyDescent="0.35">
      <c r="A274" s="136"/>
      <c r="B274" s="136"/>
      <c r="C274" s="136"/>
      <c r="D274" s="120"/>
      <c r="E274" s="149"/>
      <c r="F274" s="151"/>
      <c r="G274" s="151"/>
      <c r="H274" s="151"/>
      <c r="I274" s="149"/>
      <c r="J274" s="149"/>
      <c r="K274" s="149"/>
      <c r="L274" s="149"/>
      <c r="M274" s="149"/>
      <c r="N274" s="149"/>
      <c r="O274" s="149"/>
      <c r="P274" s="149"/>
      <c r="Q274" s="149"/>
      <c r="R274" s="151"/>
      <c r="S274" s="151"/>
      <c r="T274" s="151"/>
      <c r="U274" s="151"/>
      <c r="V274" s="151"/>
      <c r="W274" s="151"/>
      <c r="X274" s="151"/>
      <c r="Y274" s="151"/>
      <c r="Z274" s="151"/>
      <c r="AA274" s="151"/>
      <c r="AB274" s="151"/>
      <c r="AC274" s="151"/>
      <c r="AD274" s="151"/>
      <c r="AE274" s="151"/>
      <c r="AF274" s="151"/>
      <c r="AG274" s="151"/>
      <c r="AH274" s="151"/>
      <c r="AI274" s="151"/>
      <c r="AJ274" s="151"/>
      <c r="AK274" s="151"/>
      <c r="AL274" s="151"/>
      <c r="AM274" s="151"/>
      <c r="AN274" s="151"/>
      <c r="AO274" s="151"/>
      <c r="AP274" s="151"/>
      <c r="AQ274" s="151"/>
      <c r="AR274" s="151"/>
      <c r="AS274" s="151"/>
      <c r="AT274" s="151"/>
      <c r="AU274" s="151"/>
      <c r="AV274" s="151"/>
      <c r="AW274" s="151"/>
      <c r="AX274" s="151"/>
      <c r="AY274" s="151"/>
      <c r="AZ274" s="151"/>
      <c r="BA274" s="151"/>
      <c r="BB274" s="151"/>
      <c r="BC274" s="151"/>
      <c r="BD274" s="151"/>
      <c r="BE274" s="151"/>
      <c r="BF274" s="151"/>
      <c r="BG274" s="151"/>
      <c r="BH274" s="151"/>
      <c r="BI274" s="151"/>
      <c r="BJ274" s="151"/>
      <c r="BK274" s="151"/>
      <c r="BL274" s="151"/>
      <c r="BM274" s="151"/>
      <c r="BN274" s="151"/>
      <c r="BO274" s="151"/>
      <c r="BP274" s="151"/>
      <c r="BQ274" s="153"/>
      <c r="BR274" s="1802"/>
      <c r="BS274" s="153"/>
      <c r="BT274" s="1802"/>
      <c r="BU274" s="139"/>
      <c r="BV274" s="139"/>
      <c r="BW274" s="153"/>
      <c r="BX274" s="153"/>
      <c r="BY274" s="153"/>
      <c r="BZ274" s="153"/>
      <c r="CA274" s="153"/>
      <c r="CB274" s="149"/>
      <c r="CC274" s="149"/>
      <c r="CD274" s="149"/>
      <c r="CE274" s="149"/>
      <c r="CF274" s="149"/>
      <c r="CG274" s="149"/>
      <c r="CH274" s="149"/>
      <c r="CI274" s="149"/>
      <c r="CJ274" s="149"/>
      <c r="CK274" s="149"/>
      <c r="CL274" s="178"/>
      <c r="CM274" s="178"/>
      <c r="CN274" s="178"/>
      <c r="CO274" s="178"/>
      <c r="CP274" s="178"/>
    </row>
    <row r="275" spans="1:94" ht="12.75" customHeight="1" x14ac:dyDescent="0.35">
      <c r="A275" s="136"/>
      <c r="B275" s="136"/>
      <c r="C275" s="136"/>
      <c r="D275" s="120"/>
      <c r="E275" s="149"/>
      <c r="F275" s="151"/>
      <c r="G275" s="151"/>
      <c r="H275" s="151"/>
      <c r="I275" s="149"/>
      <c r="J275" s="149"/>
      <c r="K275" s="149"/>
      <c r="L275" s="149"/>
      <c r="M275" s="149"/>
      <c r="N275" s="149"/>
      <c r="O275" s="149"/>
      <c r="P275" s="149"/>
      <c r="Q275" s="149"/>
      <c r="R275" s="151"/>
      <c r="S275" s="151"/>
      <c r="T275" s="151"/>
      <c r="U275" s="151"/>
      <c r="V275" s="151"/>
      <c r="W275" s="151"/>
      <c r="X275" s="151"/>
      <c r="Y275" s="151"/>
      <c r="Z275" s="151"/>
      <c r="AA275" s="151"/>
      <c r="AB275" s="151"/>
      <c r="AC275" s="151"/>
      <c r="AD275" s="151"/>
      <c r="AE275" s="151"/>
      <c r="AF275" s="151"/>
      <c r="AG275" s="151"/>
      <c r="AH275" s="151"/>
      <c r="AI275" s="151"/>
      <c r="AJ275" s="151"/>
      <c r="AK275" s="151"/>
      <c r="AL275" s="151"/>
      <c r="AM275" s="151"/>
      <c r="AN275" s="151"/>
      <c r="AO275" s="151"/>
      <c r="AP275" s="151"/>
      <c r="AQ275" s="151"/>
      <c r="AR275" s="151"/>
      <c r="AS275" s="151"/>
      <c r="AT275" s="151"/>
      <c r="AU275" s="151"/>
      <c r="AV275" s="151"/>
      <c r="AW275" s="151"/>
      <c r="AX275" s="151"/>
      <c r="AY275" s="151"/>
      <c r="AZ275" s="151"/>
      <c r="BA275" s="151"/>
      <c r="BB275" s="151"/>
      <c r="BC275" s="151"/>
      <c r="BD275" s="151"/>
      <c r="BE275" s="151"/>
      <c r="BF275" s="151"/>
      <c r="BG275" s="151"/>
      <c r="BH275" s="151"/>
      <c r="BI275" s="151"/>
      <c r="BJ275" s="151"/>
      <c r="BK275" s="151"/>
      <c r="BL275" s="151"/>
      <c r="BM275" s="151"/>
      <c r="BN275" s="151"/>
      <c r="BO275" s="151"/>
      <c r="BP275" s="151"/>
      <c r="BQ275" s="153"/>
      <c r="BR275" s="1802"/>
      <c r="BS275" s="153"/>
      <c r="BT275" s="1802"/>
      <c r="BU275" s="139"/>
      <c r="BV275" s="139"/>
      <c r="BW275" s="153"/>
      <c r="BX275" s="153"/>
      <c r="BY275" s="153"/>
      <c r="BZ275" s="153"/>
      <c r="CA275" s="153"/>
      <c r="CB275" s="149"/>
      <c r="CC275" s="149"/>
      <c r="CD275" s="149"/>
      <c r="CE275" s="149"/>
      <c r="CF275" s="149"/>
      <c r="CG275" s="149"/>
      <c r="CH275" s="149"/>
      <c r="CI275" s="149"/>
      <c r="CJ275" s="149"/>
      <c r="CK275" s="149"/>
      <c r="CL275" s="178"/>
      <c r="CM275" s="178"/>
      <c r="CN275" s="178"/>
      <c r="CO275" s="178"/>
      <c r="CP275" s="178"/>
    </row>
    <row r="276" spans="1:94" ht="12.75" customHeight="1" x14ac:dyDescent="0.35">
      <c r="A276" s="136"/>
      <c r="B276" s="136"/>
      <c r="C276" s="136"/>
      <c r="D276" s="152"/>
      <c r="E276" s="149"/>
      <c r="F276" s="151"/>
      <c r="G276" s="151"/>
      <c r="H276" s="151"/>
      <c r="I276" s="151"/>
      <c r="J276" s="151"/>
      <c r="K276" s="151"/>
      <c r="L276" s="151"/>
      <c r="M276" s="151"/>
      <c r="N276" s="151"/>
      <c r="O276" s="151"/>
      <c r="P276" s="151"/>
      <c r="Q276" s="151"/>
      <c r="R276" s="151"/>
      <c r="S276" s="151"/>
      <c r="T276" s="151"/>
      <c r="U276" s="151"/>
      <c r="V276" s="151"/>
      <c r="W276" s="151"/>
      <c r="X276" s="151"/>
      <c r="Y276" s="151"/>
      <c r="Z276" s="151"/>
      <c r="AA276" s="151"/>
      <c r="AB276" s="151"/>
      <c r="AC276" s="151"/>
      <c r="AD276" s="151"/>
      <c r="AE276" s="151"/>
      <c r="AF276" s="151"/>
      <c r="AG276" s="151"/>
      <c r="AH276" s="151"/>
      <c r="AI276" s="151"/>
      <c r="AJ276" s="151"/>
      <c r="AK276" s="151"/>
      <c r="AL276" s="151"/>
      <c r="AM276" s="151"/>
      <c r="AN276" s="151"/>
      <c r="AO276" s="151"/>
      <c r="AP276" s="151"/>
      <c r="AQ276" s="151"/>
      <c r="AR276" s="151"/>
      <c r="AS276" s="151"/>
      <c r="AT276" s="151"/>
      <c r="AU276" s="151"/>
      <c r="AV276" s="151"/>
      <c r="AW276" s="151"/>
      <c r="AX276" s="151"/>
      <c r="AY276" s="151"/>
      <c r="AZ276" s="151"/>
      <c r="BA276" s="151"/>
      <c r="BB276" s="151"/>
      <c r="BC276" s="151"/>
      <c r="BD276" s="151"/>
      <c r="BE276" s="151"/>
      <c r="BF276" s="151"/>
      <c r="BG276" s="151"/>
      <c r="BH276" s="151"/>
      <c r="BI276" s="151"/>
      <c r="BJ276" s="151"/>
      <c r="BK276" s="151"/>
      <c r="BL276" s="151"/>
      <c r="BM276" s="151"/>
      <c r="BN276" s="151"/>
      <c r="BO276" s="151"/>
      <c r="BP276" s="151"/>
      <c r="BQ276" s="153"/>
      <c r="BR276" s="1802"/>
      <c r="BS276" s="153"/>
      <c r="BT276" s="1802"/>
      <c r="BU276" s="139"/>
      <c r="BV276" s="139"/>
      <c r="BW276" s="153"/>
      <c r="BX276" s="153"/>
      <c r="BY276" s="153"/>
      <c r="BZ276" s="153"/>
      <c r="CA276" s="153"/>
      <c r="CB276" s="149"/>
      <c r="CC276" s="149"/>
      <c r="CD276" s="149"/>
      <c r="CE276" s="149"/>
      <c r="CF276" s="149"/>
      <c r="CG276" s="149"/>
      <c r="CH276" s="149"/>
      <c r="CI276" s="149"/>
      <c r="CJ276" s="149"/>
      <c r="CK276" s="149"/>
      <c r="CL276" s="178"/>
      <c r="CM276" s="178"/>
      <c r="CN276" s="178"/>
      <c r="CO276" s="178"/>
      <c r="CP276" s="178"/>
    </row>
    <row r="277" spans="1:94" ht="12.75" customHeight="1" x14ac:dyDescent="0.35">
      <c r="A277" s="136"/>
      <c r="B277" s="136"/>
      <c r="C277" s="136"/>
      <c r="D277" s="178"/>
      <c r="E277" s="151"/>
      <c r="F277" s="151"/>
      <c r="G277" s="151"/>
      <c r="H277" s="151"/>
      <c r="I277" s="151"/>
      <c r="J277" s="151"/>
      <c r="K277" s="151"/>
      <c r="L277" s="151"/>
      <c r="M277" s="151"/>
      <c r="N277" s="151"/>
      <c r="O277" s="151"/>
      <c r="P277" s="151"/>
      <c r="Q277" s="151"/>
      <c r="R277" s="151"/>
      <c r="S277" s="151"/>
      <c r="T277" s="151"/>
      <c r="U277" s="151"/>
      <c r="V277" s="151"/>
      <c r="W277" s="151"/>
      <c r="X277" s="151"/>
      <c r="Y277" s="151"/>
      <c r="Z277" s="151"/>
      <c r="AA277" s="151"/>
      <c r="AB277" s="151"/>
      <c r="AC277" s="151"/>
      <c r="AD277" s="151"/>
      <c r="AE277" s="151"/>
      <c r="AF277" s="151"/>
      <c r="AG277" s="151"/>
      <c r="AH277" s="151"/>
      <c r="AI277" s="151"/>
      <c r="AJ277" s="151"/>
      <c r="AK277" s="151"/>
      <c r="AL277" s="151"/>
      <c r="AM277" s="151"/>
      <c r="AN277" s="151"/>
      <c r="AO277" s="151"/>
      <c r="AP277" s="151"/>
      <c r="AQ277" s="151"/>
      <c r="AR277" s="151"/>
      <c r="AS277" s="151"/>
      <c r="AT277" s="151"/>
      <c r="AU277" s="151"/>
      <c r="AV277" s="151"/>
      <c r="AW277" s="151"/>
      <c r="AX277" s="151"/>
      <c r="AY277" s="151"/>
      <c r="AZ277" s="151"/>
      <c r="BA277" s="151"/>
      <c r="BB277" s="151"/>
      <c r="BC277" s="151"/>
      <c r="BD277" s="151"/>
      <c r="BE277" s="151"/>
      <c r="BF277" s="151"/>
      <c r="BG277" s="151"/>
      <c r="BH277" s="151"/>
      <c r="BI277" s="151"/>
      <c r="BJ277" s="151"/>
      <c r="BK277" s="151"/>
      <c r="BL277" s="151"/>
      <c r="BM277" s="151"/>
      <c r="BN277" s="151"/>
      <c r="BO277" s="151"/>
      <c r="BP277" s="151"/>
      <c r="BQ277" s="153"/>
      <c r="BR277" s="1802"/>
      <c r="BS277" s="153"/>
      <c r="BT277" s="1802"/>
      <c r="BU277" s="139"/>
      <c r="BV277" s="139"/>
      <c r="BW277" s="153"/>
      <c r="BX277" s="153"/>
      <c r="BY277" s="153"/>
      <c r="BZ277" s="153"/>
      <c r="CA277" s="153"/>
      <c r="CB277" s="149"/>
      <c r="CC277" s="149"/>
      <c r="CD277" s="149"/>
      <c r="CE277" s="149"/>
      <c r="CF277" s="149"/>
      <c r="CG277" s="149"/>
      <c r="CH277" s="149"/>
      <c r="CI277" s="149"/>
      <c r="CJ277" s="149"/>
      <c r="CK277" s="149"/>
      <c r="CL277" s="178"/>
      <c r="CM277" s="178"/>
      <c r="CN277" s="178"/>
      <c r="CO277" s="178"/>
      <c r="CP277" s="178"/>
    </row>
    <row r="278" spans="1:94" ht="12.75" customHeight="1" x14ac:dyDescent="0.35">
      <c r="A278" s="136"/>
      <c r="B278" s="136"/>
      <c r="C278" s="136"/>
      <c r="D278" s="178"/>
      <c r="E278" s="151"/>
      <c r="F278" s="151"/>
      <c r="G278" s="151"/>
      <c r="H278" s="151"/>
      <c r="I278" s="151"/>
      <c r="J278" s="151"/>
      <c r="K278" s="151"/>
      <c r="L278" s="151"/>
      <c r="M278" s="151"/>
      <c r="N278" s="151"/>
      <c r="O278" s="151"/>
      <c r="P278" s="151"/>
      <c r="Q278" s="151"/>
      <c r="R278" s="151"/>
      <c r="S278" s="151"/>
      <c r="T278" s="151"/>
      <c r="U278" s="151"/>
      <c r="V278" s="151"/>
      <c r="W278" s="151"/>
      <c r="X278" s="151"/>
      <c r="Y278" s="151"/>
      <c r="Z278" s="151"/>
      <c r="AA278" s="151"/>
      <c r="AB278" s="151"/>
      <c r="AC278" s="151"/>
      <c r="AD278" s="151"/>
      <c r="AE278" s="151"/>
      <c r="AF278" s="151"/>
      <c r="AG278" s="151"/>
      <c r="AH278" s="151"/>
      <c r="AI278" s="151"/>
      <c r="AJ278" s="151"/>
      <c r="AK278" s="151"/>
      <c r="AL278" s="151"/>
      <c r="AM278" s="151"/>
      <c r="AN278" s="151"/>
      <c r="AO278" s="151"/>
      <c r="AP278" s="151"/>
      <c r="AQ278" s="151"/>
      <c r="AR278" s="151"/>
      <c r="AS278" s="151"/>
      <c r="AT278" s="151"/>
      <c r="AU278" s="151"/>
      <c r="AV278" s="151"/>
      <c r="AW278" s="151"/>
      <c r="AX278" s="151"/>
      <c r="AY278" s="151"/>
      <c r="AZ278" s="151"/>
      <c r="BA278" s="151"/>
      <c r="BB278" s="151"/>
      <c r="BC278" s="151"/>
      <c r="BD278" s="151"/>
      <c r="BE278" s="151"/>
      <c r="BF278" s="151"/>
      <c r="BG278" s="151"/>
      <c r="BH278" s="151"/>
      <c r="BI278" s="151"/>
      <c r="BJ278" s="151"/>
      <c r="BK278" s="151"/>
      <c r="BL278" s="151"/>
      <c r="BM278" s="151"/>
      <c r="BN278" s="151"/>
      <c r="BO278" s="151"/>
      <c r="BP278" s="151"/>
      <c r="BQ278" s="153"/>
      <c r="BR278" s="1802"/>
      <c r="BS278" s="153"/>
      <c r="BT278" s="1802"/>
      <c r="BU278" s="139"/>
      <c r="BV278" s="139"/>
      <c r="BW278" s="153"/>
      <c r="BX278" s="153"/>
      <c r="BY278" s="153"/>
      <c r="BZ278" s="153"/>
      <c r="CA278" s="153"/>
      <c r="CB278" s="149"/>
      <c r="CC278" s="149"/>
      <c r="CD278" s="149"/>
      <c r="CE278" s="149"/>
      <c r="CF278" s="149"/>
      <c r="CG278" s="149"/>
      <c r="CH278" s="149"/>
      <c r="CI278" s="149"/>
      <c r="CJ278" s="149"/>
      <c r="CK278" s="149"/>
      <c r="CL278" s="178"/>
      <c r="CM278" s="178"/>
      <c r="CN278" s="178"/>
      <c r="CO278" s="178"/>
      <c r="CP278" s="178"/>
    </row>
    <row r="279" spans="1:94" ht="12.75" customHeight="1" x14ac:dyDescent="0.35">
      <c r="A279" s="136"/>
      <c r="B279" s="136"/>
      <c r="C279" s="136"/>
      <c r="D279" s="178"/>
      <c r="E279" s="151"/>
      <c r="F279" s="151"/>
      <c r="G279" s="151"/>
      <c r="H279" s="151"/>
      <c r="I279" s="151"/>
      <c r="J279" s="151"/>
      <c r="K279" s="151"/>
      <c r="L279" s="151"/>
      <c r="M279" s="151"/>
      <c r="N279" s="151"/>
      <c r="O279" s="151"/>
      <c r="P279" s="151"/>
      <c r="Q279" s="151"/>
      <c r="R279" s="151"/>
      <c r="S279" s="151"/>
      <c r="T279" s="151"/>
      <c r="U279" s="151"/>
      <c r="V279" s="151"/>
      <c r="W279" s="151"/>
      <c r="X279" s="151"/>
      <c r="Y279" s="151"/>
      <c r="Z279" s="151"/>
      <c r="AA279" s="151"/>
      <c r="AB279" s="151"/>
      <c r="AC279" s="151"/>
      <c r="AD279" s="151"/>
      <c r="AE279" s="151"/>
      <c r="AF279" s="151"/>
      <c r="AG279" s="151"/>
      <c r="AH279" s="151"/>
      <c r="AI279" s="151"/>
      <c r="AJ279" s="151"/>
      <c r="AK279" s="151"/>
      <c r="AL279" s="151"/>
      <c r="AM279" s="151"/>
      <c r="AN279" s="151"/>
      <c r="AO279" s="151"/>
      <c r="AP279" s="151"/>
      <c r="AQ279" s="151"/>
      <c r="AR279" s="151"/>
      <c r="AS279" s="151"/>
      <c r="AT279" s="151"/>
      <c r="AU279" s="151"/>
      <c r="AV279" s="151"/>
      <c r="AW279" s="151"/>
      <c r="AX279" s="151"/>
      <c r="AY279" s="151"/>
      <c r="AZ279" s="151"/>
      <c r="BA279" s="151"/>
      <c r="BB279" s="151"/>
      <c r="BC279" s="151"/>
      <c r="BD279" s="151"/>
      <c r="BE279" s="151"/>
      <c r="BF279" s="151"/>
      <c r="BG279" s="151"/>
      <c r="BH279" s="151"/>
      <c r="BI279" s="151"/>
      <c r="BJ279" s="151"/>
      <c r="BK279" s="151"/>
      <c r="BL279" s="151"/>
      <c r="BM279" s="151"/>
      <c r="BN279" s="151"/>
      <c r="BO279" s="151"/>
      <c r="BP279" s="151"/>
      <c r="BQ279" s="153"/>
      <c r="BR279" s="1802"/>
      <c r="BS279" s="153"/>
      <c r="BT279" s="1802"/>
      <c r="BU279" s="139"/>
      <c r="BV279" s="139"/>
      <c r="BW279" s="153"/>
      <c r="BX279" s="153"/>
      <c r="BY279" s="153"/>
      <c r="BZ279" s="153"/>
      <c r="CA279" s="153"/>
      <c r="CB279" s="149"/>
      <c r="CC279" s="149"/>
      <c r="CD279" s="149"/>
      <c r="CE279" s="149"/>
      <c r="CF279" s="149"/>
      <c r="CG279" s="149"/>
      <c r="CH279" s="149"/>
      <c r="CI279" s="149"/>
      <c r="CJ279" s="149"/>
      <c r="CK279" s="149"/>
      <c r="CL279" s="178"/>
      <c r="CM279" s="178"/>
      <c r="CN279" s="178"/>
      <c r="CO279" s="178"/>
      <c r="CP279" s="178"/>
    </row>
    <row r="280" spans="1:94" ht="12.75" customHeight="1" x14ac:dyDescent="0.35">
      <c r="A280" s="136"/>
      <c r="B280" s="136"/>
      <c r="C280" s="136"/>
      <c r="D280" s="178"/>
      <c r="E280" s="151"/>
      <c r="F280" s="151"/>
      <c r="G280" s="151"/>
      <c r="H280" s="151"/>
      <c r="I280" s="151"/>
      <c r="J280" s="151"/>
      <c r="K280" s="151"/>
      <c r="L280" s="151"/>
      <c r="M280" s="151"/>
      <c r="N280" s="151"/>
      <c r="O280" s="151"/>
      <c r="P280" s="151"/>
      <c r="Q280" s="151"/>
      <c r="R280" s="151"/>
      <c r="S280" s="151"/>
      <c r="T280" s="151"/>
      <c r="U280" s="151"/>
      <c r="V280" s="151"/>
      <c r="W280" s="151"/>
      <c r="X280" s="151"/>
      <c r="Y280" s="151"/>
      <c r="Z280" s="151"/>
      <c r="AA280" s="151"/>
      <c r="AB280" s="151"/>
      <c r="AC280" s="151"/>
      <c r="AD280" s="151"/>
      <c r="AE280" s="151"/>
      <c r="AF280" s="151"/>
      <c r="AG280" s="151"/>
      <c r="AH280" s="151"/>
      <c r="AI280" s="151"/>
      <c r="AJ280" s="151"/>
      <c r="AK280" s="151"/>
      <c r="AL280" s="151"/>
      <c r="AM280" s="151"/>
      <c r="AN280" s="151"/>
      <c r="AO280" s="151"/>
      <c r="AP280" s="151"/>
      <c r="AQ280" s="151"/>
      <c r="AR280" s="151"/>
      <c r="AS280" s="151"/>
      <c r="AT280" s="151"/>
      <c r="AU280" s="151"/>
      <c r="AV280" s="151"/>
      <c r="AW280" s="151"/>
      <c r="AX280" s="151"/>
      <c r="AY280" s="151"/>
      <c r="AZ280" s="151"/>
      <c r="BA280" s="151"/>
      <c r="BB280" s="151"/>
      <c r="BC280" s="151"/>
      <c r="BD280" s="151"/>
      <c r="BE280" s="151"/>
      <c r="BF280" s="151"/>
      <c r="BG280" s="151"/>
      <c r="BH280" s="151"/>
      <c r="BI280" s="151"/>
      <c r="BJ280" s="151"/>
      <c r="BK280" s="151"/>
      <c r="BL280" s="151"/>
      <c r="BM280" s="151"/>
      <c r="BN280" s="151"/>
      <c r="BO280" s="151"/>
      <c r="BP280" s="151"/>
      <c r="BQ280" s="153"/>
      <c r="BR280" s="1802"/>
      <c r="BS280" s="153"/>
      <c r="BT280" s="1802"/>
      <c r="BU280" s="139"/>
      <c r="BV280" s="139"/>
      <c r="BW280" s="153"/>
      <c r="BX280" s="153"/>
      <c r="BY280" s="153"/>
      <c r="BZ280" s="153"/>
      <c r="CA280" s="153"/>
      <c r="CB280" s="149"/>
      <c r="CC280" s="149"/>
      <c r="CD280" s="149"/>
      <c r="CE280" s="149"/>
      <c r="CF280" s="149"/>
      <c r="CG280" s="149"/>
      <c r="CH280" s="149"/>
      <c r="CI280" s="149"/>
      <c r="CJ280" s="149"/>
      <c r="CK280" s="149"/>
      <c r="CL280" s="178"/>
      <c r="CM280" s="178"/>
      <c r="CN280" s="178"/>
      <c r="CO280" s="178"/>
      <c r="CP280" s="178"/>
    </row>
    <row r="281" spans="1:94" ht="12.75" customHeight="1" x14ac:dyDescent="0.35">
      <c r="A281" s="136"/>
      <c r="B281" s="136"/>
      <c r="C281" s="136"/>
      <c r="D281" s="178"/>
      <c r="E281" s="151"/>
      <c r="F281" s="151"/>
      <c r="G281" s="151"/>
      <c r="H281" s="151"/>
      <c r="I281" s="151"/>
      <c r="J281" s="151"/>
      <c r="K281" s="151"/>
      <c r="L281" s="151"/>
      <c r="M281" s="151"/>
      <c r="N281" s="151"/>
      <c r="O281" s="151"/>
      <c r="P281" s="151"/>
      <c r="Q281" s="151"/>
      <c r="R281" s="151"/>
      <c r="S281" s="151"/>
      <c r="T281" s="151"/>
      <c r="U281" s="151"/>
      <c r="V281" s="151"/>
      <c r="W281" s="151"/>
      <c r="X281" s="151"/>
      <c r="Y281" s="151"/>
      <c r="Z281" s="151"/>
      <c r="AA281" s="151"/>
      <c r="AB281" s="151"/>
      <c r="AC281" s="151"/>
      <c r="AD281" s="151"/>
      <c r="AE281" s="151"/>
      <c r="AF281" s="151"/>
      <c r="AG281" s="151"/>
      <c r="AH281" s="151"/>
      <c r="AI281" s="151"/>
      <c r="AJ281" s="151"/>
      <c r="AK281" s="151"/>
      <c r="AL281" s="151"/>
      <c r="AM281" s="151"/>
      <c r="AN281" s="151"/>
      <c r="AO281" s="151"/>
      <c r="AP281" s="151"/>
      <c r="AQ281" s="151"/>
      <c r="AR281" s="151"/>
      <c r="AS281" s="151"/>
      <c r="AT281" s="151"/>
      <c r="AU281" s="151"/>
      <c r="AV281" s="151"/>
      <c r="AW281" s="151"/>
      <c r="AX281" s="151"/>
      <c r="AY281" s="151"/>
      <c r="AZ281" s="151"/>
      <c r="BA281" s="151"/>
      <c r="BB281" s="151"/>
      <c r="BC281" s="151"/>
      <c r="BD281" s="151"/>
      <c r="BE281" s="151"/>
      <c r="BF281" s="151"/>
      <c r="BG281" s="151"/>
      <c r="BH281" s="151"/>
      <c r="BI281" s="151"/>
      <c r="BJ281" s="151"/>
      <c r="BK281" s="151"/>
      <c r="BL281" s="151"/>
      <c r="BM281" s="151"/>
      <c r="BN281" s="151"/>
      <c r="BO281" s="151"/>
      <c r="BP281" s="151"/>
      <c r="BQ281" s="153"/>
      <c r="BR281" s="1802"/>
      <c r="BS281" s="153"/>
      <c r="BT281" s="1802"/>
      <c r="BU281" s="139"/>
      <c r="BV281" s="139"/>
      <c r="BW281" s="153"/>
      <c r="BX281" s="153"/>
      <c r="BY281" s="153"/>
      <c r="BZ281" s="153"/>
      <c r="CA281" s="153"/>
      <c r="CB281" s="149"/>
      <c r="CC281" s="149"/>
      <c r="CD281" s="149"/>
      <c r="CE281" s="149"/>
      <c r="CF281" s="149"/>
      <c r="CG281" s="149"/>
      <c r="CH281" s="149"/>
      <c r="CI281" s="149"/>
      <c r="CJ281" s="149"/>
      <c r="CK281" s="149"/>
      <c r="CL281" s="178"/>
      <c r="CM281" s="178"/>
      <c r="CN281" s="178"/>
      <c r="CO281" s="178"/>
      <c r="CP281" s="178"/>
    </row>
    <row r="282" spans="1:94" ht="12.75" customHeight="1" x14ac:dyDescent="0.35">
      <c r="A282" s="136"/>
      <c r="B282" s="136"/>
      <c r="C282" s="136"/>
      <c r="D282" s="178"/>
      <c r="E282" s="151"/>
      <c r="F282" s="151"/>
      <c r="G282" s="151"/>
      <c r="H282" s="151"/>
      <c r="I282" s="151"/>
      <c r="J282" s="151"/>
      <c r="K282" s="151"/>
      <c r="L282" s="151"/>
      <c r="M282" s="151"/>
      <c r="N282" s="151"/>
      <c r="O282" s="151"/>
      <c r="P282" s="151"/>
      <c r="Q282" s="151"/>
      <c r="R282" s="151"/>
      <c r="S282" s="151"/>
      <c r="T282" s="151"/>
      <c r="U282" s="151"/>
      <c r="V282" s="151"/>
      <c r="W282" s="151"/>
      <c r="X282" s="151"/>
      <c r="Y282" s="151"/>
      <c r="Z282" s="151"/>
      <c r="AA282" s="151"/>
      <c r="AB282" s="151"/>
      <c r="AC282" s="151"/>
      <c r="AD282" s="151"/>
      <c r="AE282" s="151"/>
      <c r="AF282" s="151"/>
      <c r="AG282" s="151"/>
      <c r="AH282" s="151"/>
      <c r="AI282" s="151"/>
      <c r="AJ282" s="151"/>
      <c r="AK282" s="151"/>
      <c r="AL282" s="151"/>
      <c r="AM282" s="151"/>
      <c r="AN282" s="151"/>
      <c r="AO282" s="151"/>
      <c r="AP282" s="151"/>
      <c r="AQ282" s="151"/>
      <c r="AR282" s="151"/>
      <c r="AS282" s="151"/>
      <c r="AT282" s="151"/>
      <c r="AU282" s="151"/>
      <c r="AV282" s="151"/>
      <c r="AW282" s="151"/>
      <c r="AX282" s="151"/>
      <c r="AY282" s="151"/>
      <c r="AZ282" s="151"/>
      <c r="BA282" s="151"/>
      <c r="BB282" s="151"/>
      <c r="BC282" s="151"/>
      <c r="BD282" s="151"/>
      <c r="BE282" s="151"/>
      <c r="BF282" s="151"/>
      <c r="BG282" s="151"/>
      <c r="BH282" s="151"/>
      <c r="BI282" s="151"/>
      <c r="BJ282" s="151"/>
      <c r="BK282" s="151"/>
      <c r="BL282" s="151"/>
      <c r="BM282" s="151"/>
      <c r="BN282" s="151"/>
      <c r="BO282" s="151"/>
      <c r="BP282" s="151"/>
      <c r="BQ282" s="153"/>
      <c r="BR282" s="1802"/>
      <c r="BS282" s="153"/>
      <c r="BT282" s="1802"/>
      <c r="BU282" s="139"/>
      <c r="BV282" s="139"/>
      <c r="BW282" s="153"/>
      <c r="BX282" s="153"/>
      <c r="BY282" s="153"/>
      <c r="BZ282" s="153"/>
      <c r="CA282" s="153"/>
      <c r="CB282" s="149"/>
      <c r="CC282" s="149"/>
      <c r="CD282" s="149"/>
      <c r="CE282" s="149"/>
      <c r="CF282" s="149"/>
      <c r="CG282" s="149"/>
      <c r="CH282" s="149"/>
      <c r="CI282" s="149"/>
      <c r="CJ282" s="149"/>
      <c r="CK282" s="149"/>
      <c r="CL282" s="178"/>
      <c r="CM282" s="178"/>
      <c r="CN282" s="178"/>
      <c r="CO282" s="178"/>
      <c r="CP282" s="178"/>
    </row>
    <row r="283" spans="1:94" ht="12.75" customHeight="1" x14ac:dyDescent="0.35">
      <c r="A283" s="136"/>
      <c r="B283" s="136"/>
      <c r="C283" s="136"/>
      <c r="D283" s="178"/>
      <c r="E283" s="178"/>
      <c r="F283" s="151"/>
      <c r="G283" s="151"/>
      <c r="H283" s="151"/>
      <c r="I283" s="151"/>
      <c r="J283" s="151"/>
      <c r="K283" s="151"/>
      <c r="L283" s="151"/>
      <c r="M283" s="151"/>
      <c r="N283" s="151"/>
      <c r="O283" s="151"/>
      <c r="P283" s="151"/>
      <c r="Q283" s="151"/>
      <c r="R283" s="151"/>
      <c r="S283" s="151"/>
      <c r="T283" s="151"/>
      <c r="U283" s="151"/>
      <c r="V283" s="151"/>
      <c r="W283" s="151"/>
      <c r="X283" s="151"/>
      <c r="Y283" s="151"/>
      <c r="Z283" s="151"/>
      <c r="AA283" s="151"/>
      <c r="AB283" s="151"/>
      <c r="AC283" s="151"/>
      <c r="AD283" s="151"/>
      <c r="AE283" s="151"/>
      <c r="AF283" s="151"/>
      <c r="AG283" s="151"/>
      <c r="AH283" s="151"/>
      <c r="AI283" s="151"/>
      <c r="AJ283" s="151"/>
      <c r="AK283" s="151"/>
      <c r="AL283" s="151"/>
      <c r="AM283" s="151"/>
      <c r="AN283" s="151"/>
      <c r="AO283" s="151"/>
      <c r="AP283" s="151"/>
      <c r="AQ283" s="151"/>
      <c r="AR283" s="151"/>
      <c r="AS283" s="151"/>
      <c r="AT283" s="151"/>
      <c r="AU283" s="151"/>
      <c r="AV283" s="151"/>
      <c r="AW283" s="151"/>
      <c r="AX283" s="151"/>
      <c r="AY283" s="151"/>
      <c r="AZ283" s="151"/>
      <c r="BA283" s="151"/>
      <c r="BB283" s="151"/>
      <c r="BC283" s="151"/>
      <c r="BD283" s="151"/>
      <c r="BE283" s="151"/>
      <c r="BF283" s="151"/>
      <c r="BG283" s="151"/>
      <c r="BH283" s="151"/>
      <c r="BI283" s="151"/>
      <c r="BJ283" s="151"/>
      <c r="BK283" s="151"/>
      <c r="BL283" s="151"/>
      <c r="BM283" s="151"/>
      <c r="BN283" s="151"/>
      <c r="BO283" s="151"/>
      <c r="BP283" s="151"/>
      <c r="BQ283" s="153"/>
      <c r="BR283" s="1802"/>
      <c r="BS283" s="153"/>
      <c r="BT283" s="1802"/>
      <c r="BU283" s="139"/>
      <c r="BV283" s="139"/>
      <c r="BW283" s="153"/>
      <c r="BX283" s="153"/>
      <c r="BY283" s="153"/>
      <c r="BZ283" s="153"/>
      <c r="CA283" s="153"/>
      <c r="CB283" s="149"/>
      <c r="CC283" s="149"/>
      <c r="CD283" s="149"/>
      <c r="CE283" s="149"/>
      <c r="CF283" s="149"/>
      <c r="CG283" s="149"/>
      <c r="CH283" s="149"/>
      <c r="CI283" s="149"/>
      <c r="CJ283" s="149"/>
      <c r="CK283" s="149"/>
      <c r="CL283" s="178"/>
      <c r="CM283" s="178"/>
      <c r="CN283" s="178"/>
      <c r="CO283" s="178"/>
      <c r="CP283" s="178"/>
    </row>
    <row r="284" spans="1:94" ht="12.75" customHeight="1" x14ac:dyDescent="0.35">
      <c r="A284" s="136"/>
      <c r="B284" s="136"/>
      <c r="C284" s="136"/>
      <c r="D284" s="178"/>
      <c r="E284" s="178"/>
      <c r="F284" s="151"/>
      <c r="G284" s="151"/>
      <c r="H284" s="151"/>
      <c r="I284" s="151"/>
      <c r="J284" s="151"/>
      <c r="K284" s="151"/>
      <c r="L284" s="151"/>
      <c r="M284" s="151"/>
      <c r="N284" s="151"/>
      <c r="O284" s="151"/>
      <c r="P284" s="151"/>
      <c r="Q284" s="151"/>
      <c r="R284" s="151"/>
      <c r="S284" s="151"/>
      <c r="T284" s="151"/>
      <c r="U284" s="151"/>
      <c r="V284" s="151"/>
      <c r="W284" s="151"/>
      <c r="X284" s="151"/>
      <c r="Y284" s="151"/>
      <c r="Z284" s="151"/>
      <c r="AA284" s="151"/>
      <c r="AB284" s="151"/>
      <c r="AC284" s="151"/>
      <c r="AD284" s="151"/>
      <c r="AE284" s="151"/>
      <c r="AF284" s="151"/>
      <c r="AG284" s="151"/>
      <c r="AH284" s="151"/>
      <c r="AI284" s="151"/>
      <c r="AJ284" s="151"/>
      <c r="AK284" s="151"/>
      <c r="AL284" s="151"/>
      <c r="AM284" s="151"/>
      <c r="AN284" s="151"/>
      <c r="AO284" s="151"/>
      <c r="AP284" s="151"/>
      <c r="AQ284" s="151"/>
      <c r="AR284" s="151"/>
      <c r="AS284" s="151"/>
      <c r="AT284" s="151"/>
      <c r="AU284" s="151"/>
      <c r="AV284" s="151"/>
      <c r="AW284" s="151"/>
      <c r="AX284" s="151"/>
      <c r="AY284" s="151"/>
      <c r="AZ284" s="151"/>
      <c r="BA284" s="151"/>
      <c r="BB284" s="151"/>
      <c r="BC284" s="151"/>
      <c r="BD284" s="151"/>
      <c r="BE284" s="151"/>
      <c r="BF284" s="151"/>
      <c r="BG284" s="151"/>
      <c r="BH284" s="151"/>
      <c r="BI284" s="151"/>
      <c r="BJ284" s="151"/>
      <c r="BK284" s="151"/>
      <c r="BL284" s="151"/>
      <c r="BM284" s="151"/>
      <c r="BN284" s="151"/>
      <c r="BO284" s="151"/>
      <c r="BP284" s="151"/>
      <c r="BQ284" s="153"/>
      <c r="BR284" s="1802"/>
      <c r="BS284" s="153"/>
      <c r="BT284" s="1802"/>
      <c r="BU284" s="139"/>
      <c r="BV284" s="139"/>
      <c r="BW284" s="153"/>
      <c r="BX284" s="153"/>
      <c r="BY284" s="153"/>
      <c r="BZ284" s="153"/>
      <c r="CA284" s="153"/>
      <c r="CB284" s="149"/>
      <c r="CC284" s="149"/>
      <c r="CD284" s="149"/>
      <c r="CE284" s="149"/>
      <c r="CF284" s="149"/>
      <c r="CG284" s="149"/>
      <c r="CH284" s="149"/>
      <c r="CI284" s="149"/>
      <c r="CJ284" s="149"/>
      <c r="CK284" s="149"/>
      <c r="CL284" s="178"/>
      <c r="CM284" s="178"/>
      <c r="CN284" s="178"/>
      <c r="CO284" s="178"/>
      <c r="CP284" s="178"/>
    </row>
    <row r="285" spans="1:94" ht="12.75" customHeight="1" x14ac:dyDescent="0.35">
      <c r="A285" s="136"/>
      <c r="B285" s="136"/>
      <c r="C285" s="136"/>
      <c r="D285" s="178"/>
      <c r="E285" s="178"/>
      <c r="F285" s="151"/>
      <c r="G285" s="151"/>
      <c r="H285" s="151"/>
      <c r="I285" s="151"/>
      <c r="J285" s="151"/>
      <c r="K285" s="151"/>
      <c r="L285" s="151"/>
      <c r="M285" s="151"/>
      <c r="N285" s="151"/>
      <c r="O285" s="151"/>
      <c r="P285" s="151"/>
      <c r="Q285" s="151"/>
      <c r="R285" s="151"/>
      <c r="S285" s="151"/>
      <c r="T285" s="151"/>
      <c r="U285" s="151"/>
      <c r="V285" s="151"/>
      <c r="W285" s="151"/>
      <c r="X285" s="151"/>
      <c r="Y285" s="151"/>
      <c r="Z285" s="151"/>
      <c r="AA285" s="151"/>
      <c r="AB285" s="151"/>
      <c r="AC285" s="151"/>
      <c r="AD285" s="151"/>
      <c r="AE285" s="151"/>
      <c r="AF285" s="151"/>
      <c r="AG285" s="151"/>
      <c r="AH285" s="151"/>
      <c r="AI285" s="151"/>
      <c r="AJ285" s="151"/>
      <c r="AK285" s="151"/>
      <c r="AL285" s="151"/>
      <c r="AM285" s="151"/>
      <c r="AN285" s="151"/>
      <c r="AO285" s="151"/>
      <c r="AP285" s="151"/>
      <c r="AQ285" s="151"/>
      <c r="AR285" s="151"/>
      <c r="AS285" s="151"/>
      <c r="AT285" s="151"/>
      <c r="AU285" s="151"/>
      <c r="AV285" s="151"/>
      <c r="AW285" s="151"/>
      <c r="AX285" s="151"/>
      <c r="AY285" s="151"/>
      <c r="AZ285" s="151"/>
      <c r="BA285" s="151"/>
      <c r="BB285" s="151"/>
      <c r="BC285" s="151"/>
      <c r="BD285" s="151"/>
      <c r="BE285" s="151"/>
      <c r="BF285" s="151"/>
      <c r="BG285" s="151"/>
      <c r="BH285" s="151"/>
      <c r="BI285" s="151"/>
      <c r="BJ285" s="151"/>
      <c r="BK285" s="151"/>
      <c r="BL285" s="151"/>
      <c r="BM285" s="151"/>
      <c r="BN285" s="151"/>
      <c r="BO285" s="151"/>
      <c r="BP285" s="151"/>
      <c r="BQ285" s="153"/>
      <c r="BR285" s="1802"/>
      <c r="BS285" s="153"/>
      <c r="BT285" s="1802"/>
      <c r="BU285" s="139"/>
      <c r="BV285" s="139"/>
      <c r="BW285" s="153"/>
      <c r="BX285" s="153"/>
      <c r="BY285" s="153"/>
      <c r="BZ285" s="153"/>
      <c r="CA285" s="153"/>
      <c r="CB285" s="149"/>
      <c r="CC285" s="149"/>
      <c r="CD285" s="149"/>
      <c r="CE285" s="149"/>
      <c r="CF285" s="149"/>
      <c r="CG285" s="149"/>
      <c r="CH285" s="149"/>
      <c r="CI285" s="149"/>
      <c r="CJ285" s="149"/>
      <c r="CK285" s="149"/>
      <c r="CL285" s="178"/>
      <c r="CM285" s="178"/>
      <c r="CN285" s="178"/>
      <c r="CO285" s="178"/>
      <c r="CP285" s="178"/>
    </row>
    <row r="286" spans="1:94" ht="12.75" customHeight="1" x14ac:dyDescent="0.35">
      <c r="A286" s="136"/>
      <c r="B286" s="136"/>
      <c r="C286" s="136"/>
      <c r="D286" s="178"/>
      <c r="E286" s="178"/>
      <c r="F286" s="151"/>
      <c r="G286" s="151"/>
      <c r="H286" s="151"/>
      <c r="I286" s="151"/>
      <c r="J286" s="151"/>
      <c r="K286" s="151"/>
      <c r="L286" s="151"/>
      <c r="M286" s="151"/>
      <c r="N286" s="151"/>
      <c r="O286" s="151"/>
      <c r="P286" s="151"/>
      <c r="Q286" s="151"/>
      <c r="R286" s="151"/>
      <c r="S286" s="151"/>
      <c r="T286" s="151"/>
      <c r="U286" s="151"/>
      <c r="V286" s="151"/>
      <c r="W286" s="151"/>
      <c r="X286" s="151"/>
      <c r="Y286" s="151"/>
      <c r="Z286" s="151"/>
      <c r="AA286" s="151"/>
      <c r="AB286" s="151"/>
      <c r="AC286" s="151"/>
      <c r="AD286" s="151"/>
      <c r="AE286" s="151"/>
      <c r="AF286" s="151"/>
      <c r="AG286" s="151"/>
      <c r="AH286" s="151"/>
      <c r="AI286" s="151"/>
      <c r="AJ286" s="151"/>
      <c r="AK286" s="151"/>
      <c r="AL286" s="151"/>
      <c r="AM286" s="151"/>
      <c r="AN286" s="151"/>
      <c r="AO286" s="151"/>
      <c r="AP286" s="151"/>
      <c r="AQ286" s="151"/>
      <c r="AR286" s="151"/>
      <c r="AS286" s="151"/>
      <c r="AT286" s="151"/>
      <c r="AU286" s="151"/>
      <c r="AV286" s="151"/>
      <c r="AW286" s="151"/>
      <c r="AX286" s="151"/>
      <c r="AY286" s="151"/>
      <c r="AZ286" s="151"/>
      <c r="BA286" s="151"/>
      <c r="BB286" s="151"/>
      <c r="BC286" s="151"/>
      <c r="BD286" s="151"/>
      <c r="BE286" s="151"/>
      <c r="BF286" s="151"/>
      <c r="BG286" s="151"/>
      <c r="BH286" s="151"/>
      <c r="BI286" s="151"/>
      <c r="BJ286" s="151"/>
      <c r="BK286" s="151"/>
      <c r="BL286" s="151"/>
      <c r="BM286" s="151"/>
      <c r="BN286" s="151"/>
      <c r="BO286" s="151"/>
      <c r="BP286" s="151"/>
      <c r="BQ286" s="153"/>
      <c r="BR286" s="1802"/>
      <c r="BS286" s="153"/>
      <c r="BT286" s="1802"/>
      <c r="BU286" s="139"/>
      <c r="BV286" s="139"/>
      <c r="BW286" s="153"/>
      <c r="BX286" s="153"/>
      <c r="BY286" s="153"/>
      <c r="BZ286" s="153"/>
      <c r="CA286" s="153"/>
      <c r="CB286" s="149"/>
      <c r="CC286" s="149"/>
      <c r="CD286" s="149"/>
      <c r="CE286" s="149"/>
      <c r="CF286" s="149"/>
      <c r="CG286" s="149"/>
      <c r="CH286" s="149"/>
      <c r="CI286" s="149"/>
      <c r="CJ286" s="149"/>
      <c r="CK286" s="149"/>
      <c r="CL286" s="178"/>
      <c r="CM286" s="178"/>
      <c r="CN286" s="178"/>
      <c r="CO286" s="178"/>
      <c r="CP286" s="178"/>
    </row>
    <row r="287" spans="1:94" ht="12.75" customHeight="1" x14ac:dyDescent="0.35">
      <c r="A287" s="136"/>
      <c r="B287" s="136"/>
      <c r="C287" s="136"/>
      <c r="D287" s="178"/>
      <c r="E287" s="178"/>
      <c r="F287" s="151"/>
      <c r="G287" s="151"/>
      <c r="H287" s="151"/>
      <c r="I287" s="151"/>
      <c r="J287" s="151"/>
      <c r="K287" s="151"/>
      <c r="L287" s="151"/>
      <c r="M287" s="151"/>
      <c r="N287" s="151"/>
      <c r="O287" s="151"/>
      <c r="P287" s="151"/>
      <c r="Q287" s="151"/>
      <c r="R287" s="151"/>
      <c r="S287" s="151"/>
      <c r="T287" s="151"/>
      <c r="U287" s="151"/>
      <c r="V287" s="151"/>
      <c r="W287" s="151"/>
      <c r="X287" s="151"/>
      <c r="Y287" s="151"/>
      <c r="Z287" s="151"/>
      <c r="AA287" s="151"/>
      <c r="AB287" s="151"/>
      <c r="AC287" s="151"/>
      <c r="AD287" s="151"/>
      <c r="AE287" s="151"/>
      <c r="AF287" s="151"/>
      <c r="AG287" s="151"/>
      <c r="AH287" s="151"/>
      <c r="AI287" s="151"/>
      <c r="AJ287" s="151"/>
      <c r="AK287" s="151"/>
      <c r="AL287" s="151"/>
      <c r="AM287" s="151"/>
      <c r="AN287" s="151"/>
      <c r="AO287" s="151"/>
      <c r="AP287" s="151"/>
      <c r="AQ287" s="151"/>
      <c r="AR287" s="151"/>
      <c r="AS287" s="151"/>
      <c r="AT287" s="151"/>
      <c r="AU287" s="151"/>
      <c r="AV287" s="151"/>
      <c r="AW287" s="151"/>
      <c r="AX287" s="151"/>
      <c r="AY287" s="151"/>
      <c r="AZ287" s="151"/>
      <c r="BA287" s="151"/>
      <c r="BB287" s="151"/>
      <c r="BC287" s="151"/>
      <c r="BD287" s="151"/>
      <c r="BE287" s="151"/>
      <c r="BF287" s="151"/>
      <c r="BG287" s="151"/>
      <c r="BH287" s="151"/>
      <c r="BI287" s="151"/>
      <c r="BJ287" s="151"/>
      <c r="BK287" s="151"/>
      <c r="BL287" s="151"/>
      <c r="BM287" s="151"/>
      <c r="BN287" s="151"/>
      <c r="BO287" s="151"/>
      <c r="BP287" s="151"/>
      <c r="BQ287" s="153"/>
      <c r="BR287" s="1802"/>
      <c r="BS287" s="153"/>
      <c r="BT287" s="1802"/>
      <c r="BU287" s="139"/>
      <c r="BV287" s="139"/>
      <c r="BW287" s="153"/>
      <c r="BX287" s="153"/>
      <c r="BY287" s="153"/>
      <c r="BZ287" s="153"/>
      <c r="CA287" s="153"/>
      <c r="CB287" s="149"/>
      <c r="CC287" s="149"/>
      <c r="CD287" s="149"/>
      <c r="CE287" s="149"/>
      <c r="CF287" s="149"/>
      <c r="CG287" s="149"/>
      <c r="CH287" s="149"/>
      <c r="CI287" s="149"/>
      <c r="CJ287" s="149"/>
      <c r="CK287" s="149"/>
      <c r="CL287" s="178"/>
      <c r="CM287" s="178"/>
      <c r="CN287" s="178"/>
      <c r="CO287" s="178"/>
      <c r="CP287" s="178"/>
    </row>
    <row r="288" spans="1:94" ht="12.75" customHeight="1" x14ac:dyDescent="0.35">
      <c r="A288" s="136"/>
      <c r="B288" s="136"/>
      <c r="C288" s="136"/>
      <c r="D288" s="178"/>
      <c r="E288" s="178"/>
      <c r="F288" s="151"/>
      <c r="G288" s="151"/>
      <c r="H288" s="151"/>
      <c r="I288" s="151"/>
      <c r="J288" s="151"/>
      <c r="K288" s="151"/>
      <c r="L288" s="151"/>
      <c r="M288" s="151"/>
      <c r="N288" s="151"/>
      <c r="O288" s="151"/>
      <c r="P288" s="151"/>
      <c r="Q288" s="151"/>
      <c r="R288" s="151"/>
      <c r="S288" s="151"/>
      <c r="T288" s="151"/>
      <c r="U288" s="151"/>
      <c r="V288" s="151"/>
      <c r="W288" s="151"/>
      <c r="X288" s="151"/>
      <c r="Y288" s="151"/>
      <c r="Z288" s="151"/>
      <c r="AA288" s="151"/>
      <c r="AB288" s="151"/>
      <c r="AC288" s="151"/>
      <c r="AD288" s="151"/>
      <c r="AE288" s="151"/>
      <c r="AF288" s="151"/>
      <c r="AG288" s="151"/>
      <c r="AH288" s="151"/>
      <c r="AI288" s="151"/>
      <c r="AJ288" s="151"/>
      <c r="AK288" s="151"/>
      <c r="AL288" s="151"/>
      <c r="AM288" s="151"/>
      <c r="AN288" s="151"/>
      <c r="AO288" s="151"/>
      <c r="AP288" s="151"/>
      <c r="AQ288" s="151"/>
      <c r="AR288" s="151"/>
      <c r="AS288" s="151"/>
      <c r="AT288" s="151"/>
      <c r="AU288" s="151"/>
      <c r="AV288" s="151"/>
      <c r="AW288" s="151"/>
      <c r="AX288" s="151"/>
      <c r="AY288" s="151"/>
      <c r="AZ288" s="151"/>
      <c r="BA288" s="151"/>
      <c r="BB288" s="151"/>
      <c r="BC288" s="151"/>
      <c r="BD288" s="151"/>
      <c r="BE288" s="151"/>
      <c r="BF288" s="151"/>
      <c r="BG288" s="151"/>
      <c r="BH288" s="151"/>
      <c r="BI288" s="151"/>
      <c r="BJ288" s="151"/>
      <c r="BK288" s="151"/>
      <c r="BL288" s="151"/>
      <c r="BM288" s="151"/>
      <c r="BN288" s="151"/>
      <c r="BO288" s="151"/>
      <c r="BP288" s="151"/>
      <c r="BQ288" s="153"/>
      <c r="BR288" s="1802"/>
      <c r="BS288" s="153"/>
      <c r="BT288" s="1802"/>
      <c r="BU288" s="139"/>
      <c r="BV288" s="139"/>
      <c r="BW288" s="153"/>
      <c r="BX288" s="153"/>
      <c r="BY288" s="153"/>
      <c r="BZ288" s="153"/>
      <c r="CA288" s="153"/>
      <c r="CB288" s="149"/>
      <c r="CC288" s="149"/>
      <c r="CD288" s="149"/>
      <c r="CE288" s="149"/>
      <c r="CF288" s="149"/>
      <c r="CG288" s="149"/>
      <c r="CH288" s="149"/>
      <c r="CI288" s="149"/>
      <c r="CJ288" s="149"/>
      <c r="CK288" s="149"/>
      <c r="CL288" s="178"/>
      <c r="CM288" s="178"/>
      <c r="CN288" s="178"/>
      <c r="CO288" s="178"/>
      <c r="CP288" s="178"/>
    </row>
    <row r="289" spans="1:94" ht="12.75" customHeight="1" x14ac:dyDescent="0.35">
      <c r="A289" s="136"/>
      <c r="B289" s="136"/>
      <c r="C289" s="136"/>
      <c r="D289" s="178"/>
      <c r="E289" s="178"/>
      <c r="F289" s="151"/>
      <c r="G289" s="151"/>
      <c r="H289" s="151"/>
      <c r="I289" s="151"/>
      <c r="J289" s="151"/>
      <c r="K289" s="151"/>
      <c r="L289" s="151"/>
      <c r="M289" s="151"/>
      <c r="N289" s="151"/>
      <c r="O289" s="151"/>
      <c r="P289" s="151"/>
      <c r="Q289" s="151"/>
      <c r="R289" s="151"/>
      <c r="S289" s="151"/>
      <c r="T289" s="151"/>
      <c r="U289" s="151"/>
      <c r="V289" s="151"/>
      <c r="W289" s="151"/>
      <c r="X289" s="151"/>
      <c r="Y289" s="151"/>
      <c r="Z289" s="151"/>
      <c r="AA289" s="151"/>
      <c r="AB289" s="151"/>
      <c r="AC289" s="151"/>
      <c r="AD289" s="151"/>
      <c r="AE289" s="151"/>
      <c r="AF289" s="151"/>
      <c r="AG289" s="151"/>
      <c r="AH289" s="151"/>
      <c r="AI289" s="151"/>
      <c r="AJ289" s="151"/>
      <c r="AK289" s="151"/>
      <c r="AL289" s="151"/>
      <c r="AM289" s="151"/>
      <c r="AN289" s="151"/>
      <c r="AO289" s="151"/>
      <c r="AP289" s="151"/>
      <c r="AQ289" s="151"/>
      <c r="AR289" s="151"/>
      <c r="AS289" s="151"/>
      <c r="AT289" s="151"/>
      <c r="AU289" s="151"/>
      <c r="AV289" s="151"/>
      <c r="AW289" s="151"/>
      <c r="AX289" s="151"/>
      <c r="AY289" s="151"/>
      <c r="AZ289" s="151"/>
      <c r="BA289" s="151"/>
      <c r="BB289" s="151"/>
      <c r="BC289" s="151"/>
      <c r="BD289" s="151"/>
      <c r="BE289" s="151"/>
      <c r="BF289" s="151"/>
      <c r="BG289" s="151"/>
      <c r="BH289" s="151"/>
      <c r="BI289" s="151"/>
      <c r="BJ289" s="151"/>
      <c r="BK289" s="151"/>
      <c r="BL289" s="151"/>
      <c r="BM289" s="151"/>
      <c r="BN289" s="151"/>
      <c r="BO289" s="151"/>
      <c r="BP289" s="151"/>
      <c r="BQ289" s="153"/>
      <c r="BR289" s="1802"/>
      <c r="BS289" s="153"/>
      <c r="BT289" s="1802"/>
      <c r="BU289" s="139"/>
      <c r="BV289" s="139"/>
      <c r="BW289" s="153"/>
      <c r="BX289" s="153"/>
      <c r="BY289" s="153"/>
      <c r="BZ289" s="153"/>
      <c r="CA289" s="153"/>
      <c r="CB289" s="149"/>
      <c r="CC289" s="149"/>
      <c r="CD289" s="149"/>
      <c r="CE289" s="149"/>
      <c r="CF289" s="149"/>
      <c r="CG289" s="149"/>
      <c r="CH289" s="149"/>
      <c r="CI289" s="149"/>
      <c r="CJ289" s="149"/>
      <c r="CK289" s="149"/>
      <c r="CL289" s="178"/>
      <c r="CM289" s="178"/>
      <c r="CN289" s="178"/>
      <c r="CO289" s="178"/>
      <c r="CP289" s="178"/>
    </row>
    <row r="290" spans="1:94" ht="12.75" customHeight="1" x14ac:dyDescent="0.35">
      <c r="A290" s="136"/>
      <c r="B290" s="136"/>
      <c r="C290" s="136"/>
      <c r="D290" s="178"/>
      <c r="E290" s="178"/>
      <c r="F290" s="151"/>
      <c r="G290" s="151"/>
      <c r="H290" s="151"/>
      <c r="I290" s="151"/>
      <c r="J290" s="151"/>
      <c r="K290" s="151"/>
      <c r="L290" s="151"/>
      <c r="M290" s="151"/>
      <c r="N290" s="151"/>
      <c r="O290" s="151"/>
      <c r="P290" s="151"/>
      <c r="Q290" s="151"/>
      <c r="R290" s="151"/>
      <c r="S290" s="151"/>
      <c r="T290" s="151"/>
      <c r="U290" s="151"/>
      <c r="V290" s="151"/>
      <c r="W290" s="151"/>
      <c r="X290" s="151"/>
      <c r="Y290" s="151"/>
      <c r="Z290" s="151"/>
      <c r="AA290" s="151"/>
      <c r="AB290" s="151"/>
      <c r="AC290" s="151"/>
      <c r="AD290" s="151"/>
      <c r="AE290" s="151"/>
      <c r="AF290" s="151"/>
      <c r="AG290" s="151"/>
      <c r="AH290" s="151"/>
      <c r="AI290" s="151"/>
      <c r="AJ290" s="151"/>
      <c r="AK290" s="151"/>
      <c r="AL290" s="151"/>
      <c r="AM290" s="151"/>
      <c r="AN290" s="151"/>
      <c r="AO290" s="151"/>
      <c r="AP290" s="151"/>
      <c r="AQ290" s="151"/>
      <c r="AR290" s="151"/>
      <c r="AS290" s="151"/>
      <c r="AT290" s="151"/>
      <c r="AU290" s="151"/>
      <c r="AV290" s="151"/>
      <c r="AW290" s="151"/>
      <c r="AX290" s="151"/>
      <c r="AY290" s="151"/>
      <c r="AZ290" s="151"/>
      <c r="BA290" s="151"/>
      <c r="BB290" s="151"/>
      <c r="BC290" s="151"/>
      <c r="BD290" s="151"/>
      <c r="BE290" s="151"/>
      <c r="BF290" s="151"/>
      <c r="BG290" s="151"/>
      <c r="BH290" s="151"/>
      <c r="BI290" s="151"/>
      <c r="BJ290" s="151"/>
      <c r="BK290" s="151"/>
      <c r="BL290" s="151"/>
      <c r="BM290" s="151"/>
      <c r="BN290" s="151"/>
      <c r="BO290" s="151"/>
      <c r="BP290" s="151"/>
      <c r="BQ290" s="153"/>
      <c r="BR290" s="1802"/>
      <c r="BS290" s="153"/>
      <c r="BT290" s="1802"/>
      <c r="BU290" s="139"/>
      <c r="BV290" s="139"/>
      <c r="BW290" s="153"/>
      <c r="BX290" s="153"/>
      <c r="BY290" s="153"/>
      <c r="BZ290" s="153"/>
      <c r="CA290" s="153"/>
      <c r="CB290" s="149"/>
      <c r="CC290" s="149"/>
      <c r="CD290" s="149"/>
      <c r="CE290" s="149"/>
      <c r="CF290" s="149"/>
      <c r="CG290" s="149"/>
      <c r="CH290" s="149"/>
      <c r="CI290" s="149"/>
      <c r="CJ290" s="149"/>
      <c r="CK290" s="149"/>
      <c r="CL290" s="178"/>
      <c r="CM290" s="178"/>
      <c r="CN290" s="178"/>
      <c r="CO290" s="178"/>
      <c r="CP290" s="178"/>
    </row>
    <row r="291" spans="1:94" ht="12.75" customHeight="1" x14ac:dyDescent="0.35">
      <c r="A291" s="136"/>
      <c r="B291" s="136"/>
      <c r="C291" s="136"/>
      <c r="D291" s="178"/>
      <c r="E291" s="178"/>
      <c r="F291" s="151"/>
      <c r="G291" s="151"/>
      <c r="H291" s="151"/>
      <c r="I291" s="151"/>
      <c r="J291" s="151"/>
      <c r="K291" s="151"/>
      <c r="L291" s="151"/>
      <c r="M291" s="151"/>
      <c r="N291" s="151"/>
      <c r="O291" s="151"/>
      <c r="P291" s="151"/>
      <c r="Q291" s="151"/>
      <c r="R291" s="151"/>
      <c r="S291" s="151"/>
      <c r="T291" s="151"/>
      <c r="U291" s="151"/>
      <c r="V291" s="151"/>
      <c r="W291" s="151"/>
      <c r="X291" s="151"/>
      <c r="Y291" s="151"/>
      <c r="Z291" s="151"/>
      <c r="AA291" s="151"/>
      <c r="AB291" s="151"/>
      <c r="AC291" s="151"/>
      <c r="AD291" s="151"/>
      <c r="AE291" s="151"/>
      <c r="AF291" s="151"/>
      <c r="AG291" s="151"/>
      <c r="AH291" s="151"/>
      <c r="AI291" s="151"/>
      <c r="AJ291" s="151"/>
      <c r="AK291" s="151"/>
      <c r="AL291" s="151"/>
      <c r="AM291" s="151"/>
      <c r="AN291" s="151"/>
      <c r="AO291" s="151"/>
      <c r="AP291" s="151"/>
      <c r="AQ291" s="151"/>
      <c r="AR291" s="151"/>
      <c r="AS291" s="151"/>
      <c r="AT291" s="151"/>
      <c r="AU291" s="151"/>
      <c r="AV291" s="151"/>
      <c r="AW291" s="151"/>
      <c r="AX291" s="151"/>
      <c r="AY291" s="151"/>
      <c r="AZ291" s="151"/>
      <c r="BA291" s="151"/>
      <c r="BB291" s="151"/>
      <c r="BC291" s="151"/>
      <c r="BD291" s="151"/>
      <c r="BE291" s="151"/>
      <c r="BF291" s="151"/>
      <c r="BG291" s="151"/>
      <c r="BH291" s="151"/>
      <c r="BI291" s="151"/>
      <c r="BJ291" s="151"/>
      <c r="BK291" s="151"/>
      <c r="BL291" s="151"/>
      <c r="BM291" s="151"/>
      <c r="BN291" s="151"/>
      <c r="BO291" s="151"/>
      <c r="BP291" s="151"/>
      <c r="BQ291" s="153"/>
      <c r="BR291" s="1802"/>
      <c r="BS291" s="153"/>
      <c r="BT291" s="1802"/>
      <c r="BU291" s="139"/>
      <c r="BV291" s="139"/>
      <c r="BW291" s="153"/>
      <c r="BX291" s="153"/>
      <c r="BY291" s="153"/>
      <c r="BZ291" s="153"/>
      <c r="CA291" s="153"/>
      <c r="CB291" s="149"/>
      <c r="CC291" s="149"/>
      <c r="CD291" s="149"/>
      <c r="CE291" s="149"/>
      <c r="CF291" s="149"/>
      <c r="CG291" s="149"/>
      <c r="CH291" s="149"/>
      <c r="CI291" s="149"/>
      <c r="CJ291" s="149"/>
      <c r="CK291" s="149"/>
      <c r="CL291" s="178"/>
      <c r="CM291" s="178"/>
      <c r="CN291" s="178"/>
      <c r="CO291" s="178"/>
      <c r="CP291" s="178"/>
    </row>
    <row r="292" spans="1:94" ht="12.75" customHeight="1" x14ac:dyDescent="0.35">
      <c r="A292" s="136"/>
      <c r="B292" s="136"/>
      <c r="C292" s="136"/>
      <c r="D292" s="178"/>
      <c r="E292" s="178"/>
      <c r="F292" s="151"/>
      <c r="G292" s="151"/>
      <c r="H292" s="151"/>
      <c r="I292" s="151"/>
      <c r="J292" s="151"/>
      <c r="K292" s="151"/>
      <c r="L292" s="151"/>
      <c r="M292" s="151"/>
      <c r="N292" s="151"/>
      <c r="O292" s="151"/>
      <c r="P292" s="151"/>
      <c r="Q292" s="151"/>
      <c r="R292" s="151"/>
      <c r="S292" s="151"/>
      <c r="T292" s="151"/>
      <c r="U292" s="151"/>
      <c r="V292" s="151"/>
      <c r="W292" s="151"/>
      <c r="X292" s="151"/>
      <c r="Y292" s="151"/>
      <c r="Z292" s="151"/>
      <c r="AA292" s="151"/>
      <c r="AB292" s="151"/>
      <c r="AC292" s="151"/>
      <c r="AD292" s="151"/>
      <c r="AE292" s="151"/>
      <c r="AF292" s="151"/>
      <c r="AG292" s="151"/>
      <c r="AH292" s="151"/>
      <c r="AI292" s="151"/>
      <c r="AJ292" s="151"/>
      <c r="AK292" s="151"/>
      <c r="AL292" s="151"/>
      <c r="AM292" s="151"/>
      <c r="AN292" s="151"/>
      <c r="AO292" s="151"/>
      <c r="AP292" s="151"/>
      <c r="AQ292" s="151"/>
      <c r="AR292" s="151"/>
      <c r="AS292" s="151"/>
      <c r="AT292" s="151"/>
      <c r="AU292" s="151"/>
      <c r="AV292" s="151"/>
      <c r="AW292" s="151"/>
      <c r="AX292" s="151"/>
      <c r="AY292" s="151"/>
      <c r="AZ292" s="151"/>
      <c r="BA292" s="151"/>
      <c r="BB292" s="151"/>
      <c r="BC292" s="151"/>
      <c r="BD292" s="151"/>
      <c r="BE292" s="151"/>
      <c r="BF292" s="151"/>
      <c r="BG292" s="151"/>
      <c r="BH292" s="151"/>
      <c r="BI292" s="151"/>
      <c r="BJ292" s="151"/>
      <c r="BK292" s="151"/>
      <c r="BL292" s="151"/>
      <c r="BM292" s="151"/>
      <c r="BN292" s="151"/>
      <c r="BO292" s="151"/>
      <c r="BP292" s="151"/>
      <c r="BQ292" s="153"/>
      <c r="BR292" s="1802"/>
      <c r="BS292" s="153"/>
      <c r="BT292" s="1802"/>
      <c r="BU292" s="139"/>
      <c r="BV292" s="139"/>
      <c r="BW292" s="153"/>
      <c r="BX292" s="153"/>
      <c r="BY292" s="153"/>
      <c r="BZ292" s="153"/>
      <c r="CA292" s="153"/>
      <c r="CB292" s="149"/>
      <c r="CC292" s="149"/>
      <c r="CD292" s="149"/>
      <c r="CE292" s="149"/>
      <c r="CF292" s="149"/>
      <c r="CG292" s="149"/>
      <c r="CH292" s="149"/>
      <c r="CI292" s="149"/>
      <c r="CJ292" s="149"/>
      <c r="CK292" s="149"/>
      <c r="CL292" s="178"/>
      <c r="CM292" s="178"/>
      <c r="CN292" s="178"/>
      <c r="CO292" s="178"/>
      <c r="CP292" s="178"/>
    </row>
    <row r="293" spans="1:94" ht="12.75" customHeight="1" x14ac:dyDescent="0.35">
      <c r="A293" s="136"/>
      <c r="B293" s="136"/>
      <c r="C293" s="136"/>
      <c r="D293" s="178"/>
      <c r="E293" s="178"/>
      <c r="F293" s="151"/>
      <c r="G293" s="151"/>
      <c r="H293" s="151"/>
      <c r="I293" s="151"/>
      <c r="J293" s="151"/>
      <c r="K293" s="151"/>
      <c r="L293" s="151"/>
      <c r="M293" s="151"/>
      <c r="N293" s="151"/>
      <c r="O293" s="151"/>
      <c r="P293" s="151"/>
      <c r="Q293" s="151"/>
      <c r="R293" s="151"/>
      <c r="S293" s="151"/>
      <c r="T293" s="151"/>
      <c r="U293" s="151"/>
      <c r="V293" s="151"/>
      <c r="W293" s="151"/>
      <c r="X293" s="151"/>
      <c r="Y293" s="151"/>
      <c r="Z293" s="151"/>
      <c r="AA293" s="151"/>
      <c r="AB293" s="151"/>
      <c r="AC293" s="151"/>
      <c r="AD293" s="151"/>
      <c r="AE293" s="151"/>
      <c r="AF293" s="151"/>
      <c r="AG293" s="151"/>
      <c r="AH293" s="151"/>
      <c r="AI293" s="151"/>
      <c r="AJ293" s="151"/>
      <c r="AK293" s="151"/>
      <c r="AL293" s="151"/>
      <c r="AM293" s="151"/>
      <c r="AN293" s="151"/>
      <c r="AO293" s="151"/>
      <c r="AP293" s="151"/>
      <c r="AQ293" s="151"/>
      <c r="AR293" s="151"/>
      <c r="AS293" s="151"/>
      <c r="AT293" s="151"/>
      <c r="AU293" s="151"/>
      <c r="AV293" s="151"/>
      <c r="AW293" s="151"/>
      <c r="AX293" s="151"/>
      <c r="AY293" s="151"/>
      <c r="AZ293" s="151"/>
      <c r="BA293" s="151"/>
      <c r="BB293" s="151"/>
      <c r="BC293" s="151"/>
      <c r="BD293" s="151"/>
      <c r="BE293" s="151"/>
      <c r="BF293" s="151"/>
      <c r="BG293" s="151"/>
      <c r="BH293" s="151"/>
      <c r="BI293" s="151"/>
      <c r="BJ293" s="151"/>
      <c r="BK293" s="151"/>
      <c r="BL293" s="151"/>
      <c r="BM293" s="151"/>
      <c r="BN293" s="151"/>
      <c r="BO293" s="151"/>
      <c r="BP293" s="151"/>
      <c r="BQ293" s="153"/>
      <c r="BR293" s="1802"/>
      <c r="BS293" s="153"/>
      <c r="BT293" s="1802"/>
      <c r="BU293" s="139"/>
      <c r="BV293" s="139"/>
      <c r="BW293" s="153"/>
      <c r="BX293" s="153"/>
      <c r="BY293" s="153"/>
      <c r="BZ293" s="153"/>
      <c r="CA293" s="153"/>
      <c r="CB293" s="149"/>
      <c r="CC293" s="149"/>
      <c r="CD293" s="149"/>
      <c r="CE293" s="149"/>
      <c r="CF293" s="149"/>
      <c r="CG293" s="149"/>
      <c r="CH293" s="149"/>
      <c r="CI293" s="149"/>
      <c r="CJ293" s="149"/>
      <c r="CK293" s="149"/>
      <c r="CL293" s="178"/>
      <c r="CM293" s="178"/>
      <c r="CN293" s="178"/>
      <c r="CO293" s="178"/>
      <c r="CP293" s="178"/>
    </row>
    <row r="294" spans="1:94" ht="12.75" customHeight="1" x14ac:dyDescent="0.35">
      <c r="A294" s="136"/>
      <c r="B294" s="136"/>
      <c r="C294" s="136"/>
      <c r="D294" s="178"/>
      <c r="E294" s="178"/>
      <c r="F294" s="151"/>
      <c r="G294" s="151"/>
      <c r="H294" s="151"/>
      <c r="I294" s="151"/>
      <c r="J294" s="151"/>
      <c r="K294" s="151"/>
      <c r="L294" s="151"/>
      <c r="M294" s="151"/>
      <c r="N294" s="151"/>
      <c r="O294" s="151"/>
      <c r="P294" s="151"/>
      <c r="Q294" s="151"/>
      <c r="R294" s="151"/>
      <c r="S294" s="151"/>
      <c r="T294" s="151"/>
      <c r="U294" s="151"/>
      <c r="V294" s="151"/>
      <c r="W294" s="151"/>
      <c r="X294" s="151"/>
      <c r="Y294" s="151"/>
      <c r="Z294" s="151"/>
      <c r="AA294" s="151"/>
      <c r="AB294" s="151"/>
      <c r="AC294" s="151"/>
      <c r="AD294" s="151"/>
      <c r="AE294" s="151"/>
      <c r="AF294" s="151"/>
      <c r="AG294" s="151"/>
      <c r="AH294" s="151"/>
      <c r="AI294" s="151"/>
      <c r="AJ294" s="151"/>
      <c r="AK294" s="151"/>
      <c r="AL294" s="151"/>
      <c r="AM294" s="151"/>
      <c r="AN294" s="151"/>
      <c r="AO294" s="151"/>
      <c r="AP294" s="151"/>
      <c r="AQ294" s="151"/>
      <c r="AR294" s="151"/>
      <c r="AS294" s="151"/>
      <c r="AT294" s="151"/>
      <c r="AU294" s="151"/>
      <c r="AV294" s="151"/>
      <c r="AW294" s="151"/>
      <c r="AX294" s="151"/>
      <c r="AY294" s="151"/>
      <c r="AZ294" s="151"/>
      <c r="BA294" s="151"/>
      <c r="BB294" s="151"/>
      <c r="BC294" s="151"/>
      <c r="BD294" s="151"/>
      <c r="BE294" s="151"/>
      <c r="BF294" s="151"/>
      <c r="BG294" s="151"/>
      <c r="BH294" s="151"/>
      <c r="BI294" s="151"/>
      <c r="BJ294" s="151"/>
      <c r="BK294" s="151"/>
      <c r="BL294" s="151"/>
      <c r="BM294" s="151"/>
      <c r="BN294" s="151"/>
      <c r="BO294" s="151"/>
      <c r="BP294" s="151"/>
      <c r="BQ294" s="153"/>
      <c r="BR294" s="1802"/>
      <c r="BS294" s="153"/>
      <c r="BT294" s="1802"/>
      <c r="BU294" s="139"/>
      <c r="BV294" s="139"/>
      <c r="BW294" s="153"/>
      <c r="BX294" s="153"/>
      <c r="BY294" s="153"/>
      <c r="BZ294" s="153"/>
      <c r="CA294" s="153"/>
      <c r="CB294" s="149"/>
      <c r="CC294" s="149"/>
      <c r="CD294" s="149"/>
      <c r="CE294" s="149"/>
      <c r="CF294" s="149"/>
      <c r="CG294" s="149"/>
      <c r="CH294" s="149"/>
      <c r="CI294" s="149"/>
      <c r="CJ294" s="149"/>
      <c r="CK294" s="149"/>
      <c r="CL294" s="178"/>
      <c r="CM294" s="178"/>
      <c r="CN294" s="178"/>
      <c r="CO294" s="178"/>
      <c r="CP294" s="178"/>
    </row>
    <row r="295" spans="1:94" ht="12.75" customHeight="1" x14ac:dyDescent="0.35">
      <c r="A295" s="136"/>
      <c r="B295" s="136"/>
      <c r="C295" s="136"/>
      <c r="D295" s="178"/>
      <c r="E295" s="178"/>
      <c r="F295" s="151"/>
      <c r="G295" s="151"/>
      <c r="H295" s="151"/>
      <c r="I295" s="151"/>
      <c r="J295" s="151"/>
      <c r="K295" s="151"/>
      <c r="L295" s="151"/>
      <c r="M295" s="151"/>
      <c r="N295" s="151"/>
      <c r="O295" s="151"/>
      <c r="P295" s="151"/>
      <c r="Q295" s="151"/>
      <c r="R295" s="151"/>
      <c r="S295" s="151"/>
      <c r="T295" s="151"/>
      <c r="U295" s="151"/>
      <c r="V295" s="151"/>
      <c r="W295" s="151"/>
      <c r="X295" s="151"/>
      <c r="Y295" s="151"/>
      <c r="Z295" s="151"/>
      <c r="AA295" s="151"/>
      <c r="AB295" s="151"/>
      <c r="AC295" s="151"/>
      <c r="AD295" s="151"/>
      <c r="AE295" s="151"/>
      <c r="AF295" s="151"/>
      <c r="AG295" s="151"/>
      <c r="AH295" s="151"/>
      <c r="AI295" s="151"/>
      <c r="AJ295" s="151"/>
      <c r="AK295" s="151"/>
      <c r="AL295" s="151"/>
      <c r="AM295" s="151"/>
      <c r="AN295" s="151"/>
      <c r="AO295" s="151"/>
      <c r="AP295" s="151"/>
      <c r="AQ295" s="151"/>
      <c r="AR295" s="151"/>
      <c r="AS295" s="151"/>
      <c r="AT295" s="151"/>
      <c r="AU295" s="151"/>
      <c r="AV295" s="151"/>
      <c r="AW295" s="151"/>
      <c r="AX295" s="151"/>
      <c r="AY295" s="151"/>
      <c r="AZ295" s="151"/>
      <c r="BA295" s="151"/>
      <c r="BB295" s="151"/>
      <c r="BC295" s="151"/>
      <c r="BD295" s="151"/>
      <c r="BE295" s="151"/>
      <c r="BF295" s="151"/>
      <c r="BG295" s="151"/>
      <c r="BH295" s="151"/>
      <c r="BI295" s="151"/>
      <c r="BJ295" s="151"/>
      <c r="BK295" s="151"/>
      <c r="BL295" s="151"/>
      <c r="BM295" s="151"/>
      <c r="BN295" s="151"/>
      <c r="BO295" s="151"/>
      <c r="BP295" s="151"/>
      <c r="BQ295" s="153"/>
      <c r="BR295" s="1802"/>
      <c r="BS295" s="153"/>
      <c r="BT295" s="1802"/>
      <c r="BU295" s="139"/>
      <c r="BV295" s="139"/>
      <c r="BW295" s="153"/>
      <c r="BX295" s="153"/>
      <c r="BY295" s="153"/>
      <c r="BZ295" s="153"/>
      <c r="CA295" s="153"/>
      <c r="CB295" s="149"/>
      <c r="CC295" s="149"/>
      <c r="CD295" s="149"/>
      <c r="CE295" s="149"/>
      <c r="CF295" s="149"/>
      <c r="CG295" s="149"/>
      <c r="CH295" s="149"/>
      <c r="CI295" s="149"/>
      <c r="CJ295" s="149"/>
      <c r="CK295" s="149"/>
      <c r="CL295" s="178"/>
      <c r="CM295" s="178"/>
      <c r="CN295" s="178"/>
      <c r="CO295" s="178"/>
      <c r="CP295" s="178"/>
    </row>
    <row r="296" spans="1:94" ht="12.75" customHeight="1" x14ac:dyDescent="0.35">
      <c r="A296" s="136"/>
      <c r="B296" s="136"/>
      <c r="C296" s="136"/>
      <c r="D296" s="178"/>
      <c r="E296" s="178"/>
      <c r="F296" s="151"/>
      <c r="G296" s="151"/>
      <c r="H296" s="151"/>
      <c r="I296" s="151"/>
      <c r="J296" s="151"/>
      <c r="K296" s="151"/>
      <c r="L296" s="151"/>
      <c r="M296" s="151"/>
      <c r="N296" s="151"/>
      <c r="O296" s="151"/>
      <c r="P296" s="151"/>
      <c r="Q296" s="151"/>
      <c r="R296" s="151"/>
      <c r="S296" s="151"/>
      <c r="T296" s="151"/>
      <c r="U296" s="151"/>
      <c r="V296" s="151"/>
      <c r="W296" s="151"/>
      <c r="X296" s="151"/>
      <c r="Y296" s="151"/>
      <c r="Z296" s="151"/>
      <c r="AA296" s="151"/>
      <c r="AB296" s="151"/>
      <c r="AC296" s="151"/>
      <c r="AD296" s="151"/>
      <c r="AE296" s="151"/>
      <c r="AF296" s="151"/>
      <c r="AG296" s="151"/>
      <c r="AH296" s="151"/>
      <c r="AI296" s="151"/>
      <c r="AJ296" s="151"/>
      <c r="AK296" s="151"/>
      <c r="AL296" s="151"/>
      <c r="AM296" s="151"/>
      <c r="AN296" s="151"/>
      <c r="AO296" s="151"/>
      <c r="AP296" s="151"/>
      <c r="AQ296" s="151"/>
      <c r="AR296" s="151"/>
      <c r="AS296" s="151"/>
      <c r="AT296" s="151"/>
      <c r="AU296" s="151"/>
      <c r="AV296" s="151"/>
      <c r="AW296" s="151"/>
      <c r="AX296" s="151"/>
      <c r="AY296" s="151"/>
      <c r="AZ296" s="151"/>
      <c r="BA296" s="151"/>
      <c r="BB296" s="151"/>
      <c r="BC296" s="151"/>
      <c r="BD296" s="151"/>
      <c r="BE296" s="151"/>
      <c r="BF296" s="151"/>
      <c r="BG296" s="151"/>
      <c r="BH296" s="151"/>
      <c r="BI296" s="151"/>
      <c r="BJ296" s="151"/>
      <c r="BK296" s="151"/>
      <c r="BL296" s="151"/>
      <c r="BM296" s="151"/>
      <c r="BN296" s="151"/>
      <c r="BO296" s="151"/>
      <c r="BP296" s="151"/>
      <c r="BQ296" s="153"/>
      <c r="BR296" s="1802"/>
      <c r="BS296" s="153"/>
      <c r="BT296" s="1802"/>
      <c r="BU296" s="139"/>
      <c r="BV296" s="139"/>
      <c r="BW296" s="153"/>
      <c r="BX296" s="153"/>
      <c r="BY296" s="153"/>
      <c r="BZ296" s="153"/>
      <c r="CA296" s="153"/>
      <c r="CB296" s="149"/>
      <c r="CC296" s="149"/>
      <c r="CD296" s="149"/>
      <c r="CE296" s="149"/>
      <c r="CF296" s="149"/>
      <c r="CG296" s="149"/>
      <c r="CH296" s="149"/>
      <c r="CI296" s="149"/>
      <c r="CJ296" s="149"/>
      <c r="CK296" s="149"/>
      <c r="CL296" s="178"/>
      <c r="CM296" s="178"/>
      <c r="CN296" s="178"/>
      <c r="CO296" s="178"/>
      <c r="CP296" s="178"/>
    </row>
    <row r="297" spans="1:94" ht="12.75" customHeight="1" x14ac:dyDescent="0.35">
      <c r="A297" s="136"/>
      <c r="B297" s="136"/>
      <c r="C297" s="136"/>
      <c r="D297" s="178"/>
      <c r="E297" s="178"/>
      <c r="F297" s="151"/>
      <c r="G297" s="151"/>
      <c r="H297" s="151"/>
      <c r="I297" s="151"/>
      <c r="J297" s="151"/>
      <c r="K297" s="151"/>
      <c r="L297" s="151"/>
      <c r="M297" s="151"/>
      <c r="N297" s="151"/>
      <c r="O297" s="151"/>
      <c r="P297" s="151"/>
      <c r="Q297" s="151"/>
      <c r="R297" s="151"/>
      <c r="S297" s="151"/>
      <c r="T297" s="151"/>
      <c r="U297" s="151"/>
      <c r="V297" s="151"/>
      <c r="W297" s="151"/>
      <c r="X297" s="151"/>
      <c r="Y297" s="151"/>
      <c r="Z297" s="151"/>
      <c r="AA297" s="151"/>
      <c r="AB297" s="151"/>
      <c r="AC297" s="151"/>
      <c r="AD297" s="151"/>
      <c r="AE297" s="151"/>
      <c r="AF297" s="151"/>
      <c r="AG297" s="151"/>
      <c r="AH297" s="151"/>
      <c r="AI297" s="151"/>
      <c r="AJ297" s="151"/>
      <c r="AK297" s="151"/>
      <c r="AL297" s="151"/>
      <c r="AM297" s="151"/>
      <c r="AN297" s="151"/>
      <c r="AO297" s="151"/>
      <c r="AP297" s="151"/>
      <c r="AQ297" s="151"/>
      <c r="AR297" s="151"/>
      <c r="AS297" s="151"/>
      <c r="AT297" s="151"/>
      <c r="AU297" s="151"/>
      <c r="AV297" s="151"/>
      <c r="AW297" s="151"/>
      <c r="AX297" s="151"/>
      <c r="AY297" s="151"/>
      <c r="AZ297" s="151"/>
      <c r="BA297" s="151"/>
      <c r="BB297" s="151"/>
      <c r="BC297" s="151"/>
      <c r="BD297" s="151"/>
      <c r="BE297" s="151"/>
      <c r="BF297" s="151"/>
      <c r="BG297" s="151"/>
      <c r="BH297" s="151"/>
      <c r="BI297" s="151"/>
      <c r="BJ297" s="151"/>
      <c r="BK297" s="151"/>
      <c r="BL297" s="151"/>
      <c r="BM297" s="151"/>
      <c r="BN297" s="151"/>
      <c r="BO297" s="151"/>
      <c r="BP297" s="151"/>
      <c r="BQ297" s="153"/>
      <c r="BR297" s="1802"/>
      <c r="BS297" s="153"/>
      <c r="BT297" s="1802"/>
      <c r="BU297" s="139"/>
      <c r="BV297" s="139"/>
      <c r="BW297" s="153"/>
      <c r="BX297" s="153"/>
      <c r="BY297" s="153"/>
      <c r="BZ297" s="153"/>
      <c r="CA297" s="153"/>
      <c r="CB297" s="149"/>
      <c r="CC297" s="149"/>
      <c r="CD297" s="149"/>
      <c r="CE297" s="149"/>
      <c r="CF297" s="149"/>
      <c r="CG297" s="149"/>
      <c r="CH297" s="149"/>
      <c r="CI297" s="149"/>
      <c r="CJ297" s="149"/>
      <c r="CK297" s="149"/>
      <c r="CL297" s="178"/>
      <c r="CM297" s="178"/>
      <c r="CN297" s="178"/>
      <c r="CO297" s="178"/>
      <c r="CP297" s="178"/>
    </row>
    <row r="298" spans="1:94" ht="12.75" customHeight="1" x14ac:dyDescent="0.35">
      <c r="A298" s="136"/>
      <c r="B298" s="136"/>
      <c r="C298" s="136"/>
      <c r="D298" s="178"/>
      <c r="E298" s="178"/>
      <c r="F298" s="151"/>
      <c r="G298" s="151"/>
      <c r="H298" s="151"/>
      <c r="I298" s="151"/>
      <c r="J298" s="151"/>
      <c r="K298" s="151"/>
      <c r="L298" s="151"/>
      <c r="M298" s="151"/>
      <c r="N298" s="151"/>
      <c r="O298" s="151"/>
      <c r="P298" s="151"/>
      <c r="Q298" s="151"/>
      <c r="R298" s="151"/>
      <c r="S298" s="151"/>
      <c r="T298" s="151"/>
      <c r="U298" s="151"/>
      <c r="V298" s="151"/>
      <c r="W298" s="151"/>
      <c r="X298" s="151"/>
      <c r="Y298" s="151"/>
      <c r="Z298" s="151"/>
      <c r="AA298" s="151"/>
      <c r="AB298" s="151"/>
      <c r="AC298" s="151"/>
      <c r="AD298" s="151"/>
      <c r="AE298" s="151"/>
      <c r="AF298" s="151"/>
      <c r="AG298" s="151"/>
      <c r="AH298" s="151"/>
      <c r="AI298" s="151"/>
      <c r="AJ298" s="151"/>
      <c r="AK298" s="151"/>
      <c r="AL298" s="151"/>
      <c r="AM298" s="151"/>
      <c r="AN298" s="151"/>
      <c r="AO298" s="151"/>
      <c r="AP298" s="151"/>
      <c r="AQ298" s="151"/>
      <c r="AR298" s="151"/>
      <c r="AS298" s="151"/>
      <c r="AT298" s="151"/>
      <c r="AU298" s="151"/>
      <c r="AV298" s="151"/>
      <c r="AW298" s="151"/>
      <c r="AX298" s="151"/>
      <c r="AY298" s="151"/>
      <c r="AZ298" s="151"/>
      <c r="BA298" s="151"/>
      <c r="BB298" s="151"/>
      <c r="BC298" s="151"/>
      <c r="BD298" s="151"/>
      <c r="BE298" s="151"/>
      <c r="BF298" s="151"/>
      <c r="BG298" s="151"/>
      <c r="BH298" s="151"/>
      <c r="BI298" s="151"/>
      <c r="BJ298" s="151"/>
      <c r="BK298" s="151"/>
      <c r="BL298" s="151"/>
      <c r="BM298" s="151"/>
      <c r="BN298" s="151"/>
      <c r="BO298" s="151"/>
      <c r="BP298" s="151"/>
      <c r="BQ298" s="153"/>
      <c r="BR298" s="1802"/>
      <c r="BS298" s="153"/>
      <c r="BT298" s="1802"/>
      <c r="BU298" s="139"/>
      <c r="BV298" s="139"/>
      <c r="BW298" s="153"/>
      <c r="BX298" s="153"/>
      <c r="BY298" s="153"/>
      <c r="BZ298" s="153"/>
      <c r="CA298" s="153"/>
      <c r="CB298" s="149"/>
      <c r="CC298" s="149"/>
      <c r="CD298" s="149"/>
      <c r="CE298" s="149"/>
      <c r="CF298" s="149"/>
      <c r="CG298" s="149"/>
      <c r="CH298" s="149"/>
      <c r="CI298" s="149"/>
      <c r="CJ298" s="149"/>
      <c r="CK298" s="149"/>
      <c r="CL298" s="178"/>
      <c r="CM298" s="178"/>
      <c r="CN298" s="178"/>
      <c r="CO298" s="178"/>
      <c r="CP298" s="178"/>
    </row>
    <row r="299" spans="1:94" ht="12.75" customHeight="1" x14ac:dyDescent="0.35">
      <c r="A299" s="136"/>
      <c r="B299" s="136"/>
      <c r="C299" s="136"/>
      <c r="D299" s="178"/>
      <c r="E299" s="178"/>
      <c r="F299" s="151"/>
      <c r="G299" s="151"/>
      <c r="H299" s="151"/>
      <c r="I299" s="151"/>
      <c r="J299" s="151"/>
      <c r="K299" s="151"/>
      <c r="L299" s="151"/>
      <c r="M299" s="151"/>
      <c r="N299" s="151"/>
      <c r="O299" s="151"/>
      <c r="P299" s="151"/>
      <c r="Q299" s="151"/>
      <c r="R299" s="151"/>
      <c r="S299" s="151"/>
      <c r="T299" s="151"/>
      <c r="U299" s="151"/>
      <c r="V299" s="151"/>
      <c r="W299" s="151"/>
      <c r="X299" s="151"/>
      <c r="Y299" s="151"/>
      <c r="Z299" s="151"/>
      <c r="AA299" s="151"/>
      <c r="AB299" s="151"/>
      <c r="AC299" s="151"/>
      <c r="AD299" s="151"/>
      <c r="AE299" s="151"/>
      <c r="AF299" s="151"/>
      <c r="AG299" s="151"/>
      <c r="AH299" s="151"/>
      <c r="AI299" s="151"/>
      <c r="AJ299" s="151"/>
      <c r="AK299" s="151"/>
      <c r="AL299" s="151"/>
      <c r="AM299" s="151"/>
      <c r="AN299" s="151"/>
      <c r="AO299" s="151"/>
      <c r="AP299" s="151"/>
      <c r="AQ299" s="151"/>
      <c r="AR299" s="151"/>
      <c r="AS299" s="151"/>
      <c r="AT299" s="151"/>
      <c r="AU299" s="151"/>
      <c r="AV299" s="151"/>
      <c r="AW299" s="151"/>
      <c r="AX299" s="151"/>
      <c r="AY299" s="151"/>
      <c r="AZ299" s="151"/>
      <c r="BA299" s="151"/>
      <c r="BB299" s="151"/>
      <c r="BC299" s="151"/>
      <c r="BD299" s="151"/>
      <c r="BE299" s="151"/>
      <c r="BF299" s="151"/>
      <c r="BG299" s="151"/>
      <c r="BH299" s="151"/>
      <c r="BI299" s="151"/>
      <c r="BJ299" s="151"/>
      <c r="BK299" s="151"/>
      <c r="BL299" s="151"/>
      <c r="BM299" s="151"/>
      <c r="BN299" s="151"/>
      <c r="BO299" s="151"/>
      <c r="BP299" s="151"/>
      <c r="BQ299" s="153"/>
      <c r="BR299" s="1802"/>
      <c r="BS299" s="153"/>
      <c r="BT299" s="1802"/>
      <c r="BU299" s="139"/>
      <c r="BV299" s="139"/>
      <c r="BW299" s="153"/>
      <c r="BX299" s="153"/>
      <c r="BY299" s="153"/>
      <c r="BZ299" s="153"/>
      <c r="CA299" s="153"/>
      <c r="CB299" s="149"/>
      <c r="CC299" s="149"/>
      <c r="CD299" s="149"/>
      <c r="CE299" s="149"/>
      <c r="CF299" s="149"/>
      <c r="CG299" s="149"/>
      <c r="CH299" s="149"/>
      <c r="CI299" s="149"/>
      <c r="CJ299" s="149"/>
      <c r="CK299" s="149"/>
      <c r="CL299" s="178"/>
      <c r="CM299" s="178"/>
      <c r="CN299" s="178"/>
      <c r="CO299" s="178"/>
      <c r="CP299" s="178"/>
    </row>
    <row r="300" spans="1:94" ht="12.75" customHeight="1" x14ac:dyDescent="0.35">
      <c r="A300" s="136"/>
      <c r="B300" s="136"/>
      <c r="C300" s="136"/>
      <c r="D300" s="178"/>
      <c r="E300" s="178"/>
      <c r="F300" s="151"/>
      <c r="G300" s="151"/>
      <c r="H300" s="151"/>
      <c r="I300" s="151"/>
      <c r="J300" s="151"/>
      <c r="K300" s="151"/>
      <c r="L300" s="151"/>
      <c r="M300" s="151"/>
      <c r="N300" s="151"/>
      <c r="O300" s="151"/>
      <c r="P300" s="151"/>
      <c r="Q300" s="151"/>
      <c r="R300" s="151"/>
      <c r="S300" s="151"/>
      <c r="T300" s="151"/>
      <c r="U300" s="151"/>
      <c r="V300" s="151"/>
      <c r="W300" s="151"/>
      <c r="X300" s="151"/>
      <c r="Y300" s="151"/>
      <c r="Z300" s="151"/>
      <c r="AA300" s="151"/>
      <c r="AB300" s="151"/>
      <c r="AC300" s="151"/>
      <c r="AD300" s="151"/>
      <c r="AE300" s="151"/>
      <c r="AF300" s="151"/>
      <c r="AG300" s="151"/>
      <c r="AH300" s="151"/>
      <c r="AI300" s="151"/>
      <c r="AJ300" s="151"/>
      <c r="AK300" s="151"/>
      <c r="AL300" s="151"/>
      <c r="AM300" s="151"/>
      <c r="AN300" s="151"/>
      <c r="AO300" s="151"/>
      <c r="AP300" s="151"/>
      <c r="AQ300" s="151"/>
      <c r="AR300" s="151"/>
      <c r="AS300" s="151"/>
      <c r="AT300" s="151"/>
      <c r="AU300" s="151"/>
      <c r="AV300" s="151"/>
      <c r="AW300" s="151"/>
      <c r="AX300" s="151"/>
      <c r="AY300" s="151"/>
      <c r="AZ300" s="151"/>
      <c r="BA300" s="151"/>
      <c r="BB300" s="151"/>
      <c r="BC300" s="151"/>
      <c r="BD300" s="151"/>
      <c r="BE300" s="151"/>
      <c r="BF300" s="151"/>
      <c r="BG300" s="151"/>
      <c r="BH300" s="151"/>
      <c r="BI300" s="151"/>
      <c r="BJ300" s="151"/>
      <c r="BK300" s="151"/>
      <c r="BL300" s="151"/>
      <c r="BM300" s="151"/>
      <c r="BN300" s="151"/>
      <c r="BO300" s="151"/>
      <c r="BP300" s="151"/>
      <c r="BQ300" s="153"/>
      <c r="BR300" s="1802"/>
      <c r="BS300" s="153"/>
      <c r="BT300" s="1802"/>
      <c r="BU300" s="139"/>
      <c r="BV300" s="139"/>
      <c r="BW300" s="153"/>
      <c r="BX300" s="153"/>
      <c r="BY300" s="153"/>
      <c r="BZ300" s="153"/>
      <c r="CA300" s="153"/>
      <c r="CB300" s="149"/>
      <c r="CC300" s="149"/>
      <c r="CD300" s="149"/>
      <c r="CE300" s="149"/>
      <c r="CF300" s="149"/>
      <c r="CG300" s="149"/>
      <c r="CH300" s="149"/>
      <c r="CI300" s="149"/>
      <c r="CJ300" s="149"/>
      <c r="CK300" s="149"/>
      <c r="CL300" s="178"/>
      <c r="CM300" s="178"/>
      <c r="CN300" s="178"/>
      <c r="CO300" s="178"/>
      <c r="CP300" s="178"/>
    </row>
    <row r="301" spans="1:94" ht="12.75" customHeight="1" x14ac:dyDescent="0.35">
      <c r="A301" s="136"/>
      <c r="B301" s="136"/>
      <c r="C301" s="136"/>
      <c r="D301" s="142">
        <f>D237</f>
        <v>0</v>
      </c>
      <c r="E301" s="151">
        <f>E237</f>
        <v>0</v>
      </c>
      <c r="F301" s="151"/>
      <c r="G301" s="151"/>
      <c r="H301" s="151"/>
      <c r="I301" s="151"/>
      <c r="J301" s="151"/>
      <c r="K301" s="151"/>
      <c r="L301" s="151"/>
      <c r="M301" s="151"/>
      <c r="N301" s="151"/>
      <c r="O301" s="151"/>
      <c r="P301" s="151"/>
      <c r="Q301" s="151"/>
      <c r="R301" s="151"/>
      <c r="S301" s="151"/>
      <c r="T301" s="151"/>
      <c r="U301" s="151"/>
      <c r="V301" s="151"/>
      <c r="W301" s="151"/>
      <c r="X301" s="151"/>
      <c r="Y301" s="151"/>
      <c r="Z301" s="151"/>
      <c r="AA301" s="151"/>
      <c r="AB301" s="151"/>
      <c r="AC301" s="151"/>
      <c r="AD301" s="151"/>
      <c r="AE301" s="151"/>
      <c r="AF301" s="151"/>
      <c r="AG301" s="151"/>
      <c r="AH301" s="151"/>
      <c r="AI301" s="151"/>
      <c r="AJ301" s="151"/>
      <c r="AK301" s="151"/>
      <c r="AL301" s="151"/>
      <c r="AM301" s="151"/>
      <c r="AN301" s="151"/>
      <c r="AO301" s="151"/>
      <c r="AP301" s="151"/>
      <c r="AQ301" s="151"/>
      <c r="AR301" s="151"/>
      <c r="AS301" s="151"/>
      <c r="AT301" s="151"/>
      <c r="AU301" s="151"/>
      <c r="AV301" s="151"/>
      <c r="AW301" s="151"/>
      <c r="AX301" s="151"/>
      <c r="AY301" s="151"/>
      <c r="AZ301" s="151"/>
      <c r="BA301" s="151"/>
      <c r="BB301" s="151"/>
      <c r="BC301" s="151"/>
      <c r="BD301" s="151"/>
      <c r="BE301" s="151"/>
      <c r="BF301" s="151"/>
      <c r="BG301" s="151"/>
      <c r="BH301" s="151"/>
      <c r="BI301" s="151"/>
      <c r="BJ301" s="151"/>
      <c r="BK301" s="151"/>
      <c r="BL301" s="151"/>
      <c r="BM301" s="151"/>
      <c r="BN301" s="151"/>
      <c r="BO301" s="151"/>
      <c r="BP301" s="151"/>
      <c r="BQ301" s="153"/>
      <c r="BR301" s="1802"/>
      <c r="BS301" s="153"/>
      <c r="BT301" s="1802"/>
      <c r="BU301" s="139"/>
      <c r="BV301" s="139"/>
      <c r="BW301" s="153"/>
      <c r="BX301" s="153"/>
      <c r="BY301" s="153"/>
      <c r="BZ301" s="153"/>
      <c r="CA301" s="153"/>
      <c r="CB301" s="149"/>
      <c r="CC301" s="149"/>
      <c r="CD301" s="149"/>
      <c r="CE301" s="149"/>
      <c r="CF301" s="149"/>
      <c r="CG301" s="149"/>
      <c r="CH301" s="149"/>
      <c r="CI301" s="149"/>
      <c r="CJ301" s="149"/>
      <c r="CK301" s="149"/>
      <c r="CL301" s="178"/>
      <c r="CM301" s="178"/>
      <c r="CN301" s="178"/>
      <c r="CO301" s="178"/>
      <c r="CP301" s="178"/>
    </row>
    <row r="302" spans="1:94" ht="12.75" customHeight="1" x14ac:dyDescent="0.35">
      <c r="A302" s="136"/>
      <c r="B302" s="136"/>
      <c r="C302" s="136"/>
      <c r="D302" s="152">
        <f>D238</f>
        <v>0</v>
      </c>
      <c r="E302" s="151">
        <f>E238</f>
        <v>0</v>
      </c>
      <c r="F302" s="151"/>
      <c r="G302" s="151"/>
      <c r="H302" s="151"/>
      <c r="I302" s="151"/>
      <c r="J302" s="151"/>
      <c r="K302" s="151"/>
      <c r="L302" s="151"/>
      <c r="M302" s="151"/>
      <c r="N302" s="151"/>
      <c r="O302" s="151"/>
      <c r="P302" s="151"/>
      <c r="Q302" s="151"/>
      <c r="R302" s="151"/>
      <c r="S302" s="151"/>
      <c r="T302" s="151"/>
      <c r="U302" s="151"/>
      <c r="V302" s="151"/>
      <c r="W302" s="151"/>
      <c r="X302" s="151"/>
      <c r="Y302" s="151"/>
      <c r="Z302" s="151"/>
      <c r="AA302" s="151"/>
      <c r="AB302" s="151"/>
      <c r="AC302" s="151"/>
      <c r="AD302" s="151"/>
      <c r="AE302" s="151"/>
      <c r="AF302" s="151"/>
      <c r="AG302" s="151"/>
      <c r="AH302" s="151"/>
      <c r="AI302" s="151"/>
      <c r="AJ302" s="151"/>
      <c r="AK302" s="151"/>
      <c r="AL302" s="151"/>
      <c r="AM302" s="151"/>
      <c r="AN302" s="151"/>
      <c r="AO302" s="151"/>
      <c r="AP302" s="151"/>
      <c r="AQ302" s="151"/>
      <c r="AR302" s="151"/>
      <c r="AS302" s="151"/>
      <c r="AT302" s="151"/>
      <c r="AU302" s="151"/>
      <c r="AV302" s="151"/>
      <c r="AW302" s="151"/>
      <c r="AX302" s="151"/>
      <c r="AY302" s="151"/>
      <c r="AZ302" s="151"/>
      <c r="BA302" s="151"/>
      <c r="BB302" s="151"/>
      <c r="BC302" s="151"/>
      <c r="BD302" s="151"/>
      <c r="BE302" s="151"/>
      <c r="BF302" s="151"/>
      <c r="BG302" s="151"/>
      <c r="BH302" s="151"/>
      <c r="BI302" s="151"/>
      <c r="BJ302" s="151"/>
      <c r="BK302" s="151"/>
      <c r="BL302" s="151"/>
      <c r="BM302" s="151"/>
      <c r="BN302" s="151"/>
      <c r="BO302" s="151"/>
      <c r="BP302" s="151"/>
      <c r="BQ302" s="153"/>
      <c r="BR302" s="1802"/>
      <c r="BS302" s="153"/>
      <c r="BT302" s="1802"/>
      <c r="BU302" s="139"/>
      <c r="BV302" s="139"/>
      <c r="BW302" s="153"/>
      <c r="BX302" s="153"/>
      <c r="BY302" s="153"/>
      <c r="BZ302" s="153"/>
      <c r="CA302" s="153"/>
      <c r="CB302" s="149"/>
      <c r="CC302" s="149"/>
      <c r="CD302" s="149"/>
      <c r="CE302" s="149"/>
      <c r="CF302" s="149"/>
      <c r="CG302" s="149"/>
      <c r="CH302" s="149"/>
      <c r="CI302" s="149"/>
      <c r="CJ302" s="149"/>
      <c r="CK302" s="149"/>
      <c r="CL302" s="178"/>
      <c r="CM302" s="178"/>
      <c r="CN302" s="178"/>
      <c r="CO302" s="178"/>
      <c r="CP302" s="178"/>
    </row>
    <row r="303" spans="1:94" ht="12.75" customHeight="1" x14ac:dyDescent="0.35">
      <c r="A303" s="136"/>
      <c r="B303" s="136"/>
      <c r="C303" s="136"/>
      <c r="D303" s="152">
        <f>D239</f>
        <v>0</v>
      </c>
      <c r="E303" s="151">
        <f>E239</f>
        <v>0</v>
      </c>
      <c r="F303" s="151"/>
      <c r="G303" s="151"/>
      <c r="H303" s="151"/>
      <c r="I303" s="151"/>
      <c r="J303" s="151"/>
      <c r="K303" s="151"/>
      <c r="L303" s="151"/>
      <c r="M303" s="151"/>
      <c r="N303" s="151"/>
      <c r="O303" s="151"/>
      <c r="P303" s="151"/>
      <c r="Q303" s="151"/>
      <c r="R303" s="151"/>
      <c r="S303" s="151"/>
      <c r="T303" s="151"/>
      <c r="U303" s="151"/>
      <c r="V303" s="151"/>
      <c r="W303" s="151"/>
      <c r="X303" s="151"/>
      <c r="Y303" s="151"/>
      <c r="Z303" s="151"/>
      <c r="AA303" s="151"/>
      <c r="AB303" s="151"/>
      <c r="AC303" s="151"/>
      <c r="AD303" s="151"/>
      <c r="AE303" s="151"/>
      <c r="AF303" s="151"/>
      <c r="AG303" s="151"/>
      <c r="AH303" s="151"/>
      <c r="AI303" s="151"/>
      <c r="AJ303" s="151"/>
      <c r="AK303" s="151"/>
      <c r="AL303" s="151"/>
      <c r="AM303" s="151"/>
      <c r="AN303" s="151"/>
      <c r="AO303" s="151"/>
      <c r="AP303" s="151"/>
      <c r="AQ303" s="151"/>
      <c r="AR303" s="151"/>
      <c r="AS303" s="151"/>
      <c r="AT303" s="151"/>
      <c r="AU303" s="151"/>
      <c r="AV303" s="151"/>
      <c r="AW303" s="151"/>
      <c r="AX303" s="151"/>
      <c r="AY303" s="151"/>
      <c r="AZ303" s="151"/>
      <c r="BA303" s="151"/>
      <c r="BB303" s="151"/>
      <c r="BC303" s="151"/>
      <c r="BD303" s="151"/>
      <c r="BE303" s="151"/>
      <c r="BF303" s="151"/>
      <c r="BG303" s="151"/>
      <c r="BH303" s="151"/>
      <c r="BI303" s="151"/>
      <c r="BJ303" s="151"/>
      <c r="BK303" s="151"/>
      <c r="BL303" s="151"/>
      <c r="BM303" s="151"/>
      <c r="BN303" s="151"/>
      <c r="BO303" s="151"/>
      <c r="BP303" s="151"/>
      <c r="BQ303" s="153"/>
      <c r="BR303" s="1802"/>
      <c r="BS303" s="153"/>
      <c r="BT303" s="1802"/>
      <c r="BU303" s="139"/>
      <c r="BV303" s="139"/>
      <c r="BW303" s="153"/>
      <c r="BX303" s="153"/>
      <c r="BY303" s="153"/>
      <c r="BZ303" s="153"/>
      <c r="CA303" s="153"/>
      <c r="CB303" s="149"/>
      <c r="CC303" s="149"/>
      <c r="CD303" s="149"/>
      <c r="CE303" s="149"/>
      <c r="CF303" s="149"/>
      <c r="CG303" s="149"/>
      <c r="CH303" s="149"/>
      <c r="CI303" s="149"/>
      <c r="CJ303" s="149"/>
      <c r="CK303" s="149"/>
      <c r="CL303" s="178"/>
      <c r="CM303" s="178"/>
      <c r="CN303" s="178"/>
      <c r="CO303" s="178"/>
      <c r="CP303" s="178"/>
    </row>
    <row r="304" spans="1:94" ht="12.75" customHeight="1" x14ac:dyDescent="0.35">
      <c r="A304" s="136"/>
      <c r="B304" s="136"/>
      <c r="C304" s="136"/>
      <c r="D304" s="142">
        <f>D240</f>
        <v>0</v>
      </c>
      <c r="E304" s="183">
        <f>E240</f>
        <v>0</v>
      </c>
      <c r="F304" s="151"/>
      <c r="G304" s="151"/>
      <c r="H304" s="151"/>
      <c r="I304" s="151"/>
      <c r="J304" s="151"/>
      <c r="K304" s="151"/>
      <c r="L304" s="151"/>
      <c r="M304" s="151"/>
      <c r="N304" s="151"/>
      <c r="O304" s="151"/>
      <c r="P304" s="151"/>
      <c r="Q304" s="151"/>
      <c r="R304" s="151"/>
      <c r="S304" s="151"/>
      <c r="T304" s="151"/>
      <c r="U304" s="151"/>
      <c r="V304" s="151"/>
      <c r="W304" s="151"/>
      <c r="X304" s="151"/>
      <c r="Y304" s="151"/>
      <c r="Z304" s="151"/>
      <c r="AA304" s="151"/>
      <c r="AB304" s="151"/>
      <c r="AC304" s="151"/>
      <c r="AD304" s="151"/>
      <c r="AE304" s="151"/>
      <c r="AF304" s="151"/>
      <c r="AG304" s="151"/>
      <c r="AH304" s="151"/>
      <c r="AI304" s="151"/>
      <c r="AJ304" s="151"/>
      <c r="AK304" s="151"/>
      <c r="AL304" s="151"/>
      <c r="AM304" s="151"/>
      <c r="AN304" s="151"/>
      <c r="AO304" s="151"/>
      <c r="AP304" s="151"/>
      <c r="AQ304" s="151"/>
      <c r="AR304" s="151"/>
      <c r="AS304" s="151"/>
      <c r="AT304" s="151"/>
      <c r="AU304" s="151"/>
      <c r="AV304" s="151"/>
      <c r="AW304" s="151"/>
      <c r="AX304" s="151"/>
      <c r="AY304" s="151"/>
      <c r="AZ304" s="151"/>
      <c r="BA304" s="151"/>
      <c r="BB304" s="151"/>
      <c r="BC304" s="151"/>
      <c r="BD304" s="151"/>
      <c r="BE304" s="151"/>
      <c r="BF304" s="151"/>
      <c r="BG304" s="151"/>
      <c r="BH304" s="151"/>
      <c r="BI304" s="151"/>
      <c r="BJ304" s="151"/>
      <c r="BK304" s="151"/>
      <c r="BL304" s="151"/>
      <c r="BM304" s="151"/>
      <c r="BN304" s="151"/>
      <c r="BO304" s="151"/>
      <c r="BP304" s="151"/>
      <c r="BQ304" s="153"/>
      <c r="BR304" s="1802"/>
      <c r="BS304" s="153"/>
      <c r="BT304" s="1802"/>
      <c r="BU304" s="139"/>
      <c r="BV304" s="139"/>
      <c r="BW304" s="153"/>
      <c r="BX304" s="153"/>
      <c r="BY304" s="153"/>
      <c r="BZ304" s="153"/>
      <c r="CA304" s="153"/>
      <c r="CB304" s="149"/>
      <c r="CC304" s="149"/>
      <c r="CD304" s="149"/>
      <c r="CE304" s="149"/>
      <c r="CF304" s="149"/>
      <c r="CG304" s="149"/>
      <c r="CH304" s="149"/>
      <c r="CI304" s="149"/>
      <c r="CJ304" s="149"/>
      <c r="CK304" s="149"/>
      <c r="CL304" s="178"/>
      <c r="CM304" s="178"/>
      <c r="CN304" s="178"/>
      <c r="CO304" s="178"/>
      <c r="CP304" s="178"/>
    </row>
    <row r="305" spans="1:94" ht="12.75" customHeight="1" x14ac:dyDescent="0.35">
      <c r="A305" s="136"/>
      <c r="B305" s="136"/>
      <c r="C305" s="136"/>
      <c r="D305" s="142">
        <f>D241</f>
        <v>0</v>
      </c>
      <c r="E305" s="151">
        <f>E241</f>
        <v>0</v>
      </c>
      <c r="F305" s="151"/>
      <c r="G305" s="151"/>
      <c r="H305" s="151"/>
      <c r="I305" s="151"/>
      <c r="J305" s="151"/>
      <c r="K305" s="151"/>
      <c r="L305" s="151"/>
      <c r="M305" s="151"/>
      <c r="N305" s="151"/>
      <c r="O305" s="151"/>
      <c r="P305" s="151"/>
      <c r="Q305" s="151"/>
      <c r="R305" s="151"/>
      <c r="S305" s="151"/>
      <c r="T305" s="151"/>
      <c r="U305" s="151"/>
      <c r="V305" s="151"/>
      <c r="W305" s="151"/>
      <c r="X305" s="151"/>
      <c r="Y305" s="151"/>
      <c r="Z305" s="151"/>
      <c r="AA305" s="151"/>
      <c r="AB305" s="151"/>
      <c r="AC305" s="151"/>
      <c r="AD305" s="151"/>
      <c r="AE305" s="151"/>
      <c r="AF305" s="151"/>
      <c r="AG305" s="151"/>
      <c r="AH305" s="151"/>
      <c r="AI305" s="151"/>
      <c r="AJ305" s="151"/>
      <c r="AK305" s="151"/>
      <c r="AL305" s="151"/>
      <c r="AM305" s="151"/>
      <c r="AN305" s="151"/>
      <c r="AO305" s="151"/>
      <c r="AP305" s="151"/>
      <c r="AQ305" s="151"/>
      <c r="AR305" s="151"/>
      <c r="AS305" s="151"/>
      <c r="AT305" s="151"/>
      <c r="AU305" s="151"/>
      <c r="AV305" s="151"/>
      <c r="AW305" s="151"/>
      <c r="AX305" s="151"/>
      <c r="AY305" s="151"/>
      <c r="AZ305" s="151"/>
      <c r="BA305" s="151"/>
      <c r="BB305" s="151"/>
      <c r="BC305" s="151"/>
      <c r="BD305" s="151"/>
      <c r="BE305" s="151"/>
      <c r="BF305" s="151"/>
      <c r="BG305" s="151"/>
      <c r="BH305" s="151"/>
      <c r="BI305" s="151"/>
      <c r="BJ305" s="151"/>
      <c r="BK305" s="151"/>
      <c r="BL305" s="151"/>
      <c r="BM305" s="151"/>
      <c r="BN305" s="151"/>
      <c r="BO305" s="151"/>
      <c r="BP305" s="151"/>
      <c r="BQ305" s="153"/>
      <c r="BR305" s="1802"/>
      <c r="BS305" s="153"/>
      <c r="BT305" s="1802"/>
      <c r="BU305" s="139"/>
      <c r="BV305" s="139"/>
      <c r="BW305" s="153"/>
      <c r="BX305" s="153"/>
      <c r="BY305" s="153"/>
      <c r="BZ305" s="153"/>
      <c r="CA305" s="153"/>
      <c r="CB305" s="149"/>
      <c r="CC305" s="149"/>
      <c r="CD305" s="149"/>
      <c r="CE305" s="149"/>
      <c r="CF305" s="149"/>
      <c r="CG305" s="149"/>
      <c r="CH305" s="149"/>
      <c r="CI305" s="149"/>
      <c r="CJ305" s="149"/>
      <c r="CK305" s="149"/>
      <c r="CL305" s="178"/>
      <c r="CM305" s="178"/>
      <c r="CN305" s="178"/>
      <c r="CO305" s="178"/>
      <c r="CP305" s="178"/>
    </row>
    <row r="306" spans="1:94" ht="12.75" customHeight="1" x14ac:dyDescent="0.35">
      <c r="A306" s="136"/>
      <c r="B306" s="136"/>
      <c r="C306" s="136"/>
      <c r="D306" s="142">
        <f>D242</f>
        <v>0</v>
      </c>
      <c r="E306" s="151">
        <f>E242</f>
        <v>0</v>
      </c>
      <c r="F306" s="151"/>
      <c r="G306" s="151"/>
      <c r="H306" s="151"/>
      <c r="I306" s="151"/>
      <c r="J306" s="151"/>
      <c r="K306" s="151"/>
      <c r="L306" s="151"/>
      <c r="M306" s="151"/>
      <c r="N306" s="151"/>
      <c r="O306" s="151"/>
      <c r="P306" s="151"/>
      <c r="Q306" s="151"/>
      <c r="R306" s="151"/>
      <c r="S306" s="151"/>
      <c r="T306" s="151"/>
      <c r="U306" s="151"/>
      <c r="V306" s="151"/>
      <c r="W306" s="151"/>
      <c r="X306" s="151"/>
      <c r="Y306" s="151"/>
      <c r="Z306" s="151"/>
      <c r="AA306" s="151"/>
      <c r="AB306" s="151"/>
      <c r="AC306" s="151"/>
      <c r="AD306" s="151"/>
      <c r="AE306" s="151"/>
      <c r="AF306" s="151"/>
      <c r="AG306" s="151"/>
      <c r="AH306" s="151"/>
      <c r="AI306" s="151"/>
      <c r="AJ306" s="151"/>
      <c r="AK306" s="151"/>
      <c r="AL306" s="151"/>
      <c r="AM306" s="151"/>
      <c r="AN306" s="151"/>
      <c r="AO306" s="151"/>
      <c r="AP306" s="151"/>
      <c r="AQ306" s="151"/>
      <c r="AR306" s="151"/>
      <c r="AS306" s="151"/>
      <c r="AT306" s="151"/>
      <c r="AU306" s="151"/>
      <c r="AV306" s="151"/>
      <c r="AW306" s="151"/>
      <c r="AX306" s="151"/>
      <c r="AY306" s="151"/>
      <c r="AZ306" s="151"/>
      <c r="BA306" s="151"/>
      <c r="BB306" s="151"/>
      <c r="BC306" s="151"/>
      <c r="BD306" s="151"/>
      <c r="BE306" s="151"/>
      <c r="BF306" s="151"/>
      <c r="BG306" s="151"/>
      <c r="BH306" s="151"/>
      <c r="BI306" s="151"/>
      <c r="BJ306" s="151"/>
      <c r="BK306" s="151"/>
      <c r="BL306" s="151"/>
      <c r="BM306" s="151"/>
      <c r="BN306" s="151"/>
      <c r="BO306" s="151"/>
      <c r="BP306" s="151"/>
      <c r="BQ306" s="153"/>
      <c r="BR306" s="1802"/>
      <c r="BS306" s="153"/>
      <c r="BT306" s="1802"/>
      <c r="BU306" s="139"/>
      <c r="BV306" s="139"/>
      <c r="BW306" s="153"/>
      <c r="BX306" s="153"/>
      <c r="BY306" s="153"/>
      <c r="BZ306" s="153"/>
      <c r="CA306" s="153"/>
      <c r="CB306" s="149"/>
      <c r="CC306" s="149"/>
      <c r="CD306" s="149"/>
      <c r="CE306" s="149"/>
      <c r="CF306" s="149"/>
      <c r="CG306" s="149"/>
      <c r="CH306" s="149"/>
      <c r="CI306" s="149"/>
      <c r="CJ306" s="149"/>
      <c r="CK306" s="149"/>
      <c r="CL306" s="178"/>
      <c r="CM306" s="178"/>
      <c r="CN306" s="178"/>
      <c r="CO306" s="178"/>
      <c r="CP306" s="178"/>
    </row>
    <row r="307" spans="1:94" ht="12.75" customHeight="1" x14ac:dyDescent="0.35">
      <c r="A307" s="136"/>
      <c r="B307" s="136"/>
      <c r="C307" s="136"/>
      <c r="D307" s="152">
        <f>D243</f>
        <v>0</v>
      </c>
      <c r="E307" s="149">
        <f>E243</f>
        <v>0</v>
      </c>
      <c r="F307" s="151"/>
      <c r="G307" s="151"/>
      <c r="H307" s="151"/>
      <c r="I307" s="151"/>
      <c r="J307" s="151"/>
      <c r="K307" s="151"/>
      <c r="L307" s="151"/>
      <c r="M307" s="151"/>
      <c r="N307" s="151"/>
      <c r="O307" s="151"/>
      <c r="P307" s="151"/>
      <c r="Q307" s="151"/>
      <c r="R307" s="151"/>
      <c r="S307" s="151"/>
      <c r="T307" s="151"/>
      <c r="U307" s="151"/>
      <c r="V307" s="151"/>
      <c r="W307" s="151"/>
      <c r="X307" s="151"/>
      <c r="Y307" s="151"/>
      <c r="Z307" s="151"/>
      <c r="AA307" s="151"/>
      <c r="AB307" s="151"/>
      <c r="AC307" s="151"/>
      <c r="AD307" s="151"/>
      <c r="AE307" s="151"/>
      <c r="AF307" s="151"/>
      <c r="AG307" s="151"/>
      <c r="AH307" s="151"/>
      <c r="AI307" s="151"/>
      <c r="AJ307" s="151"/>
      <c r="AK307" s="151"/>
      <c r="AL307" s="151"/>
      <c r="AM307" s="151"/>
      <c r="AN307" s="151"/>
      <c r="AO307" s="151"/>
      <c r="AP307" s="151"/>
      <c r="AQ307" s="151"/>
      <c r="AR307" s="151"/>
      <c r="AS307" s="151"/>
      <c r="AT307" s="151"/>
      <c r="AU307" s="151"/>
      <c r="AV307" s="151"/>
      <c r="AW307" s="151"/>
      <c r="AX307" s="151"/>
      <c r="AY307" s="151"/>
      <c r="AZ307" s="151"/>
      <c r="BA307" s="151"/>
      <c r="BB307" s="151"/>
      <c r="BC307" s="151"/>
      <c r="BD307" s="151"/>
      <c r="BE307" s="151"/>
      <c r="BF307" s="151"/>
      <c r="BG307" s="151"/>
      <c r="BH307" s="151"/>
      <c r="BI307" s="151"/>
      <c r="BJ307" s="151"/>
      <c r="BK307" s="151"/>
      <c r="BL307" s="151"/>
      <c r="BM307" s="151"/>
      <c r="BN307" s="151"/>
      <c r="BO307" s="151"/>
      <c r="BP307" s="151"/>
      <c r="BQ307" s="153"/>
      <c r="BR307" s="1802"/>
      <c r="BS307" s="153"/>
      <c r="BT307" s="1802"/>
      <c r="BU307" s="139"/>
      <c r="BV307" s="139"/>
      <c r="BW307" s="153"/>
      <c r="BX307" s="153"/>
      <c r="BY307" s="153"/>
      <c r="BZ307" s="153"/>
      <c r="CA307" s="153"/>
      <c r="CB307" s="149"/>
      <c r="CC307" s="149"/>
      <c r="CD307" s="149"/>
      <c r="CE307" s="149"/>
      <c r="CF307" s="149"/>
      <c r="CG307" s="149"/>
      <c r="CH307" s="149"/>
      <c r="CI307" s="149"/>
      <c r="CJ307" s="149"/>
      <c r="CK307" s="149"/>
      <c r="CL307" s="178"/>
      <c r="CM307" s="178"/>
      <c r="CN307" s="178"/>
      <c r="CO307" s="178"/>
      <c r="CP307" s="178"/>
    </row>
    <row r="308" spans="1:94" ht="12.75" customHeight="1" x14ac:dyDescent="0.35">
      <c r="A308" s="136"/>
      <c r="B308" s="136"/>
      <c r="C308" s="136"/>
      <c r="D308" s="142">
        <f>D244</f>
        <v>0</v>
      </c>
      <c r="E308" s="183">
        <f>E244</f>
        <v>0</v>
      </c>
      <c r="F308" s="151"/>
      <c r="G308" s="151"/>
      <c r="H308" s="151"/>
      <c r="I308" s="151"/>
      <c r="J308" s="151"/>
      <c r="K308" s="151"/>
      <c r="L308" s="151"/>
      <c r="M308" s="151"/>
      <c r="N308" s="151"/>
      <c r="O308" s="151"/>
      <c r="P308" s="151"/>
      <c r="Q308" s="151"/>
      <c r="R308" s="151"/>
      <c r="S308" s="151"/>
      <c r="T308" s="151"/>
      <c r="U308" s="151"/>
      <c r="V308" s="151"/>
      <c r="W308" s="151"/>
      <c r="X308" s="151"/>
      <c r="Y308" s="151"/>
      <c r="Z308" s="151"/>
      <c r="AA308" s="151"/>
      <c r="AB308" s="151"/>
      <c r="AC308" s="151"/>
      <c r="AD308" s="151"/>
      <c r="AE308" s="151"/>
      <c r="AF308" s="151"/>
      <c r="AG308" s="151"/>
      <c r="AH308" s="151"/>
      <c r="AI308" s="151"/>
      <c r="AJ308" s="151"/>
      <c r="AK308" s="151"/>
      <c r="AL308" s="151"/>
      <c r="AM308" s="151"/>
      <c r="AN308" s="151"/>
      <c r="AO308" s="151"/>
      <c r="AP308" s="151"/>
      <c r="AQ308" s="151"/>
      <c r="AR308" s="151"/>
      <c r="AS308" s="151"/>
      <c r="AT308" s="151"/>
      <c r="AU308" s="151"/>
      <c r="AV308" s="151"/>
      <c r="AW308" s="151"/>
      <c r="AX308" s="151"/>
      <c r="AY308" s="151"/>
      <c r="AZ308" s="151"/>
      <c r="BA308" s="151"/>
      <c r="BB308" s="151"/>
      <c r="BC308" s="151"/>
      <c r="BD308" s="151"/>
      <c r="BE308" s="151"/>
      <c r="BF308" s="151"/>
      <c r="BG308" s="151"/>
      <c r="BH308" s="151"/>
      <c r="BI308" s="151"/>
      <c r="BJ308" s="151"/>
      <c r="BK308" s="151"/>
      <c r="BL308" s="151"/>
      <c r="BM308" s="151"/>
      <c r="BN308" s="151"/>
      <c r="BO308" s="151"/>
      <c r="BP308" s="151"/>
      <c r="BQ308" s="153"/>
      <c r="BR308" s="1802"/>
      <c r="BS308" s="153"/>
      <c r="BT308" s="1802"/>
      <c r="BU308" s="139"/>
      <c r="BV308" s="139"/>
      <c r="BW308" s="153"/>
      <c r="BX308" s="153"/>
      <c r="BY308" s="153"/>
      <c r="BZ308" s="153"/>
      <c r="CA308" s="153"/>
      <c r="CB308" s="149"/>
      <c r="CC308" s="149"/>
      <c r="CD308" s="149"/>
      <c r="CE308" s="149"/>
      <c r="CF308" s="149"/>
      <c r="CG308" s="149"/>
      <c r="CH308" s="149"/>
      <c r="CI308" s="149"/>
      <c r="CJ308" s="149"/>
      <c r="CK308" s="149"/>
      <c r="CL308" s="178"/>
      <c r="CM308" s="178"/>
      <c r="CN308" s="178"/>
      <c r="CO308" s="178"/>
      <c r="CP308" s="178"/>
    </row>
    <row r="309" spans="1:94" ht="12.75" customHeight="1" x14ac:dyDescent="0.35">
      <c r="A309" s="136"/>
      <c r="B309" s="136"/>
      <c r="C309" s="136"/>
      <c r="D309" s="142">
        <f>D245</f>
        <v>0</v>
      </c>
      <c r="E309" s="151">
        <f>E245</f>
        <v>0</v>
      </c>
      <c r="F309" s="151"/>
      <c r="G309" s="151"/>
      <c r="H309" s="151"/>
      <c r="I309" s="151"/>
      <c r="J309" s="151"/>
      <c r="K309" s="151"/>
      <c r="L309" s="151"/>
      <c r="M309" s="151"/>
      <c r="N309" s="151"/>
      <c r="O309" s="151"/>
      <c r="P309" s="151"/>
      <c r="Q309" s="151"/>
      <c r="R309" s="151"/>
      <c r="S309" s="151"/>
      <c r="T309" s="151"/>
      <c r="U309" s="151"/>
      <c r="V309" s="151"/>
      <c r="W309" s="151"/>
      <c r="X309" s="151"/>
      <c r="Y309" s="151"/>
      <c r="Z309" s="151"/>
      <c r="AA309" s="151"/>
      <c r="AB309" s="151"/>
      <c r="AC309" s="151"/>
      <c r="AD309" s="151"/>
      <c r="AE309" s="151"/>
      <c r="AF309" s="151"/>
      <c r="AG309" s="151"/>
      <c r="AH309" s="151"/>
      <c r="AI309" s="151"/>
      <c r="AJ309" s="151"/>
      <c r="AK309" s="151"/>
      <c r="AL309" s="151"/>
      <c r="AM309" s="151"/>
      <c r="AN309" s="151"/>
      <c r="AO309" s="151"/>
      <c r="AP309" s="151"/>
      <c r="AQ309" s="151"/>
      <c r="AR309" s="151"/>
      <c r="AS309" s="151"/>
      <c r="AT309" s="151"/>
      <c r="AU309" s="151"/>
      <c r="AV309" s="151"/>
      <c r="AW309" s="151"/>
      <c r="AX309" s="151"/>
      <c r="AY309" s="151"/>
      <c r="AZ309" s="151"/>
      <c r="BA309" s="151"/>
      <c r="BB309" s="151"/>
      <c r="BC309" s="151"/>
      <c r="BD309" s="151"/>
      <c r="BE309" s="151"/>
      <c r="BF309" s="151"/>
      <c r="BG309" s="151"/>
      <c r="BH309" s="151"/>
      <c r="BI309" s="151"/>
      <c r="BJ309" s="151"/>
      <c r="BK309" s="151"/>
      <c r="BL309" s="151"/>
      <c r="BM309" s="151"/>
      <c r="BN309" s="151"/>
      <c r="BO309" s="151"/>
      <c r="BP309" s="151"/>
      <c r="BQ309" s="153"/>
      <c r="BR309" s="1802"/>
      <c r="BS309" s="153"/>
      <c r="BT309" s="1802"/>
      <c r="BU309" s="139"/>
      <c r="BV309" s="139"/>
      <c r="BW309" s="139"/>
      <c r="BX309" s="139"/>
      <c r="BY309" s="139"/>
      <c r="BZ309" s="139"/>
      <c r="CA309" s="139"/>
      <c r="CB309" s="29"/>
      <c r="CC309" s="29"/>
      <c r="CD309" s="29"/>
      <c r="CE309" s="29"/>
      <c r="CF309" s="29"/>
      <c r="CG309" s="29"/>
      <c r="CH309" s="29"/>
      <c r="CI309" s="29"/>
      <c r="CJ309" s="29"/>
      <c r="CK309" s="29"/>
    </row>
    <row r="310" spans="1:94" ht="12.75" customHeight="1" x14ac:dyDescent="0.35">
      <c r="A310" s="136"/>
      <c r="B310" s="136"/>
      <c r="C310" s="136"/>
      <c r="D310" s="142">
        <f>D246</f>
        <v>0</v>
      </c>
      <c r="E310" s="151">
        <f>E246</f>
        <v>0</v>
      </c>
      <c r="F310" s="151"/>
      <c r="G310" s="151"/>
      <c r="H310" s="151"/>
      <c r="I310" s="151"/>
      <c r="J310" s="151"/>
      <c r="K310" s="151"/>
      <c r="L310" s="151"/>
      <c r="M310" s="151"/>
      <c r="N310" s="151"/>
      <c r="O310" s="151"/>
      <c r="P310" s="151"/>
      <c r="Q310" s="151"/>
      <c r="R310" s="151"/>
      <c r="S310" s="151"/>
      <c r="T310" s="151"/>
      <c r="U310" s="151"/>
      <c r="V310" s="151"/>
      <c r="W310" s="151"/>
      <c r="X310" s="151"/>
      <c r="Y310" s="151"/>
      <c r="Z310" s="151"/>
      <c r="AA310" s="151"/>
      <c r="AB310" s="151"/>
      <c r="AC310" s="151"/>
      <c r="AD310" s="151"/>
      <c r="AE310" s="151"/>
      <c r="AF310" s="151"/>
      <c r="AG310" s="151"/>
      <c r="AH310" s="151"/>
      <c r="AI310" s="151"/>
      <c r="AJ310" s="151"/>
      <c r="AK310" s="151"/>
      <c r="AL310" s="151"/>
      <c r="AM310" s="151"/>
      <c r="AN310" s="151"/>
      <c r="AO310" s="151"/>
      <c r="AP310" s="151"/>
      <c r="AQ310" s="151"/>
      <c r="AR310" s="151"/>
      <c r="AS310" s="151"/>
      <c r="AT310" s="151"/>
      <c r="AU310" s="151"/>
      <c r="AV310" s="151"/>
      <c r="AW310" s="151"/>
      <c r="AX310" s="151"/>
      <c r="AY310" s="151"/>
      <c r="AZ310" s="151"/>
      <c r="BA310" s="151"/>
      <c r="BB310" s="151"/>
      <c r="BC310" s="151"/>
      <c r="BD310" s="151"/>
      <c r="BE310" s="151"/>
      <c r="BF310" s="151"/>
      <c r="BG310" s="151"/>
      <c r="BH310" s="151"/>
      <c r="BI310" s="151"/>
      <c r="BJ310" s="151"/>
      <c r="BK310" s="151"/>
      <c r="BL310" s="151"/>
      <c r="BM310" s="151"/>
      <c r="BN310" s="151"/>
      <c r="BO310" s="151"/>
      <c r="BP310" s="151"/>
      <c r="BQ310" s="153"/>
      <c r="BR310" s="1802"/>
      <c r="BS310" s="153"/>
      <c r="BT310" s="1802"/>
      <c r="BU310" s="139"/>
      <c r="BV310" s="139"/>
      <c r="BW310" s="139"/>
      <c r="BX310" s="139"/>
      <c r="BY310" s="139"/>
      <c r="BZ310" s="139"/>
      <c r="CA310" s="139"/>
      <c r="CB310" s="29"/>
      <c r="CC310" s="29"/>
      <c r="CD310" s="29"/>
      <c r="CE310" s="29"/>
      <c r="CF310" s="29"/>
      <c r="CG310" s="29"/>
      <c r="CH310" s="29"/>
      <c r="CI310" s="29"/>
      <c r="CJ310" s="29"/>
      <c r="CK310" s="29"/>
    </row>
    <row r="311" spans="1:94" ht="12.75" customHeight="1" x14ac:dyDescent="0.35">
      <c r="A311" s="136"/>
      <c r="B311" s="136"/>
      <c r="C311" s="136"/>
      <c r="D311" s="152">
        <f>D247</f>
        <v>0</v>
      </c>
      <c r="E311" s="151">
        <f>E247</f>
        <v>0</v>
      </c>
      <c r="F311" s="151"/>
      <c r="G311" s="151"/>
      <c r="H311" s="151"/>
      <c r="I311" s="151"/>
      <c r="J311" s="151"/>
      <c r="K311" s="151"/>
      <c r="L311" s="151"/>
      <c r="M311" s="151"/>
      <c r="N311" s="151"/>
      <c r="O311" s="151"/>
      <c r="P311" s="151"/>
      <c r="Q311" s="151"/>
      <c r="R311" s="151"/>
      <c r="S311" s="151"/>
      <c r="T311" s="151"/>
      <c r="U311" s="151"/>
      <c r="V311" s="151"/>
      <c r="W311" s="151"/>
      <c r="X311" s="151"/>
      <c r="Y311" s="151"/>
      <c r="Z311" s="151"/>
      <c r="AA311" s="151"/>
      <c r="AB311" s="151"/>
      <c r="AC311" s="151"/>
      <c r="AD311" s="151"/>
      <c r="AE311" s="151"/>
      <c r="AF311" s="151"/>
      <c r="AG311" s="151"/>
      <c r="AH311" s="151"/>
      <c r="AI311" s="151"/>
      <c r="AJ311" s="151"/>
      <c r="AK311" s="151"/>
      <c r="AL311" s="151"/>
      <c r="AM311" s="151"/>
      <c r="AN311" s="151"/>
      <c r="AO311" s="151"/>
      <c r="AP311" s="151"/>
      <c r="AQ311" s="151"/>
      <c r="AR311" s="151"/>
      <c r="AS311" s="151"/>
      <c r="AT311" s="151"/>
      <c r="AU311" s="151"/>
      <c r="AV311" s="151"/>
      <c r="AW311" s="151"/>
      <c r="AX311" s="151"/>
      <c r="AY311" s="151"/>
      <c r="AZ311" s="151"/>
      <c r="BA311" s="151"/>
      <c r="BB311" s="151"/>
      <c r="BC311" s="151"/>
      <c r="BD311" s="151"/>
      <c r="BE311" s="151"/>
      <c r="BF311" s="151"/>
      <c r="BG311" s="151"/>
      <c r="BH311" s="151"/>
      <c r="BI311" s="151"/>
      <c r="BJ311" s="151"/>
      <c r="BK311" s="151"/>
      <c r="BL311" s="151"/>
      <c r="BM311" s="151"/>
      <c r="BN311" s="151"/>
      <c r="BO311" s="151"/>
      <c r="BP311" s="151"/>
      <c r="BQ311" s="153"/>
      <c r="BR311" s="1802"/>
      <c r="BS311" s="153"/>
      <c r="BT311" s="1802"/>
      <c r="BU311" s="139"/>
      <c r="BV311" s="139"/>
      <c r="BW311" s="139"/>
      <c r="BX311" s="139"/>
      <c r="BY311" s="139"/>
      <c r="BZ311" s="139"/>
      <c r="CA311" s="139"/>
      <c r="CB311" s="29"/>
      <c r="CC311" s="29"/>
      <c r="CD311" s="29"/>
      <c r="CE311" s="29"/>
      <c r="CF311" s="29"/>
      <c r="CG311" s="29"/>
      <c r="CH311" s="29"/>
      <c r="CI311" s="29"/>
      <c r="CJ311" s="29"/>
      <c r="CK311" s="29"/>
    </row>
    <row r="312" spans="1:94" ht="12.75" customHeight="1" x14ac:dyDescent="0.35">
      <c r="A312" s="136"/>
      <c r="B312" s="136"/>
      <c r="C312" s="136"/>
      <c r="D312" s="152">
        <f>D248</f>
        <v>0</v>
      </c>
      <c r="E312" s="151">
        <f>E248</f>
        <v>0</v>
      </c>
      <c r="F312" s="151"/>
      <c r="G312" s="151"/>
      <c r="H312" s="151"/>
      <c r="I312" s="151"/>
      <c r="J312" s="151"/>
      <c r="K312" s="151"/>
      <c r="L312" s="151"/>
      <c r="M312" s="151"/>
      <c r="N312" s="151"/>
      <c r="O312" s="151"/>
      <c r="P312" s="151"/>
      <c r="Q312" s="151"/>
      <c r="R312" s="151"/>
      <c r="S312" s="151"/>
      <c r="T312" s="151"/>
      <c r="U312" s="151"/>
      <c r="V312" s="151"/>
      <c r="W312" s="151"/>
      <c r="X312" s="151"/>
      <c r="Y312" s="151"/>
      <c r="Z312" s="151"/>
      <c r="AA312" s="151"/>
      <c r="AB312" s="151"/>
      <c r="AC312" s="151"/>
      <c r="AD312" s="151"/>
      <c r="AE312" s="151"/>
      <c r="AF312" s="151"/>
      <c r="AG312" s="151"/>
      <c r="AH312" s="151"/>
      <c r="AI312" s="151"/>
      <c r="AJ312" s="151"/>
      <c r="AK312" s="151"/>
      <c r="AL312" s="151"/>
      <c r="AM312" s="151"/>
      <c r="AN312" s="151"/>
      <c r="AO312" s="151"/>
      <c r="AP312" s="151"/>
      <c r="AQ312" s="151"/>
      <c r="AR312" s="151"/>
      <c r="AS312" s="151"/>
      <c r="AT312" s="151"/>
      <c r="AU312" s="151"/>
      <c r="AV312" s="151"/>
      <c r="AW312" s="151"/>
      <c r="AX312" s="151"/>
      <c r="AY312" s="151"/>
      <c r="AZ312" s="151"/>
      <c r="BA312" s="151"/>
      <c r="BB312" s="151"/>
      <c r="BC312" s="151"/>
      <c r="BD312" s="151"/>
      <c r="BE312" s="151"/>
      <c r="BF312" s="151"/>
      <c r="BG312" s="151"/>
      <c r="BH312" s="151"/>
      <c r="BI312" s="151"/>
      <c r="BJ312" s="151"/>
      <c r="BK312" s="151"/>
      <c r="BL312" s="151"/>
      <c r="BM312" s="151"/>
      <c r="BN312" s="151"/>
      <c r="BO312" s="151"/>
      <c r="BP312" s="151"/>
      <c r="BQ312" s="153"/>
      <c r="BR312" s="1802"/>
      <c r="BS312" s="153"/>
      <c r="BT312" s="1802"/>
      <c r="BU312" s="139"/>
      <c r="BV312" s="139"/>
      <c r="BW312" s="139"/>
      <c r="BX312" s="139"/>
      <c r="BY312" s="139"/>
      <c r="BZ312" s="139"/>
      <c r="CA312" s="139"/>
      <c r="CB312" s="29"/>
      <c r="CC312" s="29"/>
      <c r="CD312" s="29"/>
      <c r="CE312" s="29"/>
      <c r="CF312" s="29"/>
      <c r="CG312" s="29"/>
      <c r="CH312" s="29"/>
      <c r="CI312" s="29"/>
      <c r="CJ312" s="29"/>
      <c r="CK312" s="29"/>
    </row>
    <row r="313" spans="1:94" ht="12.75" customHeight="1" x14ac:dyDescent="0.35">
      <c r="A313" s="136"/>
      <c r="B313" s="136"/>
      <c r="C313" s="136"/>
      <c r="D313" s="152">
        <f>D249</f>
        <v>0</v>
      </c>
      <c r="E313" s="151">
        <f>E249</f>
        <v>0</v>
      </c>
      <c r="F313" s="151"/>
      <c r="G313" s="151"/>
      <c r="H313" s="151"/>
      <c r="I313" s="151"/>
      <c r="J313" s="151"/>
      <c r="K313" s="151"/>
      <c r="L313" s="151"/>
      <c r="M313" s="151"/>
      <c r="N313" s="151"/>
      <c r="O313" s="151"/>
      <c r="P313" s="151"/>
      <c r="Q313" s="151"/>
      <c r="R313" s="151"/>
      <c r="S313" s="151"/>
      <c r="T313" s="151"/>
      <c r="U313" s="151"/>
      <c r="V313" s="151"/>
      <c r="W313" s="151"/>
      <c r="X313" s="151"/>
      <c r="Y313" s="151"/>
      <c r="Z313" s="151"/>
      <c r="AA313" s="151"/>
      <c r="AB313" s="151"/>
      <c r="AC313" s="151"/>
      <c r="AD313" s="151"/>
      <c r="AE313" s="151"/>
      <c r="AF313" s="151"/>
      <c r="AG313" s="151"/>
      <c r="AH313" s="151"/>
      <c r="AI313" s="151"/>
      <c r="AJ313" s="151"/>
      <c r="AK313" s="151"/>
      <c r="AL313" s="151"/>
      <c r="AM313" s="151"/>
      <c r="AN313" s="151"/>
      <c r="AO313" s="151"/>
      <c r="AP313" s="151"/>
      <c r="AQ313" s="151"/>
      <c r="AR313" s="151"/>
      <c r="AS313" s="151"/>
      <c r="AT313" s="151"/>
      <c r="AU313" s="151"/>
      <c r="AV313" s="151"/>
      <c r="AW313" s="151"/>
      <c r="AX313" s="151"/>
      <c r="AY313" s="151"/>
      <c r="AZ313" s="151"/>
      <c r="BA313" s="151"/>
      <c r="BB313" s="151"/>
      <c r="BC313" s="151"/>
      <c r="BD313" s="151"/>
      <c r="BE313" s="151"/>
      <c r="BF313" s="151"/>
      <c r="BG313" s="151"/>
      <c r="BH313" s="151"/>
      <c r="BI313" s="151"/>
      <c r="BJ313" s="151"/>
      <c r="BK313" s="151"/>
      <c r="BL313" s="151"/>
      <c r="BM313" s="151"/>
      <c r="BN313" s="151"/>
      <c r="BO313" s="151"/>
      <c r="BP313" s="151"/>
      <c r="BQ313" s="153"/>
      <c r="BR313" s="1802"/>
      <c r="BS313" s="153"/>
      <c r="BT313" s="1802"/>
      <c r="BU313" s="139"/>
      <c r="BV313" s="139"/>
      <c r="BW313" s="139"/>
      <c r="BX313" s="139"/>
      <c r="BY313" s="139"/>
      <c r="BZ313" s="139"/>
      <c r="CA313" s="139"/>
      <c r="CB313" s="29"/>
      <c r="CC313" s="29"/>
      <c r="CD313" s="29"/>
      <c r="CE313" s="29"/>
      <c r="CF313" s="29"/>
      <c r="CG313" s="29"/>
      <c r="CH313" s="29"/>
      <c r="CI313" s="29"/>
      <c r="CJ313" s="29"/>
      <c r="CK313" s="29"/>
    </row>
    <row r="314" spans="1:94" ht="12.75" customHeight="1" x14ac:dyDescent="0.35">
      <c r="A314" s="136"/>
      <c r="B314" s="136"/>
      <c r="C314" s="136"/>
      <c r="D314" s="152">
        <f>D250</f>
        <v>0</v>
      </c>
      <c r="E314" s="151">
        <f>E250</f>
        <v>0</v>
      </c>
      <c r="F314" s="151"/>
      <c r="G314" s="151"/>
      <c r="H314" s="151"/>
      <c r="I314" s="151"/>
      <c r="J314" s="151"/>
      <c r="K314" s="151"/>
      <c r="L314" s="151"/>
      <c r="M314" s="151"/>
      <c r="N314" s="151"/>
      <c r="O314" s="151"/>
      <c r="P314" s="151"/>
      <c r="Q314" s="151"/>
      <c r="R314" s="151"/>
      <c r="S314" s="151"/>
      <c r="T314" s="151"/>
      <c r="U314" s="151"/>
      <c r="V314" s="151"/>
      <c r="W314" s="151"/>
      <c r="X314" s="151"/>
      <c r="Y314" s="151"/>
      <c r="Z314" s="151"/>
      <c r="AA314" s="151"/>
      <c r="AB314" s="151"/>
      <c r="AC314" s="151"/>
      <c r="AD314" s="151"/>
      <c r="AE314" s="151"/>
      <c r="AF314" s="151"/>
      <c r="AG314" s="151"/>
      <c r="AH314" s="151"/>
      <c r="AI314" s="151"/>
      <c r="AJ314" s="151"/>
      <c r="AK314" s="151"/>
      <c r="AL314" s="151"/>
      <c r="AM314" s="151"/>
      <c r="AN314" s="151"/>
      <c r="AO314" s="151"/>
      <c r="AP314" s="151"/>
      <c r="AQ314" s="151"/>
      <c r="AR314" s="151"/>
      <c r="AS314" s="151"/>
      <c r="AT314" s="151"/>
      <c r="AU314" s="151"/>
      <c r="AV314" s="151"/>
      <c r="AW314" s="151"/>
      <c r="AX314" s="151"/>
      <c r="AY314" s="151"/>
      <c r="AZ314" s="151"/>
      <c r="BA314" s="151"/>
      <c r="BB314" s="151"/>
      <c r="BC314" s="151"/>
      <c r="BD314" s="151"/>
      <c r="BE314" s="151"/>
      <c r="BF314" s="151"/>
      <c r="BG314" s="151"/>
      <c r="BH314" s="151"/>
      <c r="BI314" s="151"/>
      <c r="BJ314" s="151"/>
      <c r="BK314" s="151"/>
      <c r="BL314" s="151"/>
      <c r="BM314" s="151"/>
      <c r="BN314" s="151"/>
      <c r="BO314" s="151"/>
      <c r="BP314" s="151"/>
      <c r="BQ314" s="153"/>
      <c r="BR314" s="1802"/>
      <c r="BS314" s="153"/>
      <c r="BT314" s="1802"/>
      <c r="BU314" s="139"/>
      <c r="BV314" s="139"/>
      <c r="BW314" s="139"/>
      <c r="BX314" s="139"/>
      <c r="BY314" s="139"/>
      <c r="BZ314" s="139"/>
      <c r="CA314" s="139"/>
      <c r="CB314" s="29"/>
      <c r="CC314" s="29"/>
      <c r="CD314" s="29"/>
      <c r="CE314" s="29"/>
      <c r="CF314" s="29"/>
      <c r="CG314" s="29"/>
      <c r="CH314" s="29"/>
      <c r="CI314" s="29"/>
      <c r="CJ314" s="29"/>
      <c r="CK314" s="29"/>
    </row>
    <row r="315" spans="1:94" ht="12.75" customHeight="1" x14ac:dyDescent="0.35">
      <c r="A315" s="136"/>
      <c r="B315" s="136"/>
      <c r="C315" s="136"/>
      <c r="D315" s="142">
        <f>D251</f>
        <v>0</v>
      </c>
      <c r="E315" s="183">
        <f>E251</f>
        <v>0</v>
      </c>
      <c r="F315" s="151"/>
      <c r="G315" s="151"/>
      <c r="H315" s="151"/>
      <c r="I315" s="151"/>
      <c r="J315" s="151"/>
      <c r="K315" s="151"/>
      <c r="L315" s="151"/>
      <c r="M315" s="151"/>
      <c r="N315" s="151"/>
      <c r="O315" s="151"/>
      <c r="P315" s="151"/>
      <c r="Q315" s="151"/>
      <c r="R315" s="151"/>
      <c r="S315" s="151"/>
      <c r="T315" s="151"/>
      <c r="U315" s="151"/>
      <c r="V315" s="151"/>
      <c r="W315" s="151"/>
      <c r="X315" s="151"/>
      <c r="Y315" s="151"/>
      <c r="Z315" s="151"/>
      <c r="AA315" s="151"/>
      <c r="AB315" s="151"/>
      <c r="AC315" s="151"/>
      <c r="AD315" s="151"/>
      <c r="AE315" s="151"/>
      <c r="AF315" s="151"/>
      <c r="AG315" s="151"/>
      <c r="AH315" s="151"/>
      <c r="AI315" s="151"/>
      <c r="AJ315" s="151"/>
      <c r="AK315" s="151"/>
      <c r="AL315" s="151"/>
      <c r="AM315" s="151"/>
      <c r="AN315" s="151"/>
      <c r="AO315" s="151"/>
      <c r="AP315" s="151"/>
      <c r="AQ315" s="151"/>
      <c r="AR315" s="151"/>
      <c r="AS315" s="151"/>
      <c r="AT315" s="151"/>
      <c r="AU315" s="151"/>
      <c r="AV315" s="151"/>
      <c r="AW315" s="151"/>
      <c r="AX315" s="151"/>
      <c r="AY315" s="151"/>
      <c r="AZ315" s="151"/>
      <c r="BA315" s="151"/>
      <c r="BB315" s="151"/>
      <c r="BC315" s="151"/>
      <c r="BD315" s="151"/>
      <c r="BE315" s="151"/>
      <c r="BF315" s="151"/>
      <c r="BG315" s="151"/>
      <c r="BH315" s="151"/>
      <c r="BI315" s="151"/>
      <c r="BJ315" s="151"/>
      <c r="BK315" s="151"/>
      <c r="BL315" s="151"/>
      <c r="BM315" s="151"/>
      <c r="BN315" s="151"/>
      <c r="BO315" s="151"/>
      <c r="BP315" s="151"/>
      <c r="BQ315" s="153"/>
      <c r="BR315" s="1802"/>
      <c r="BS315" s="153"/>
      <c r="BT315" s="1802"/>
      <c r="BU315" s="139"/>
      <c r="BV315" s="139"/>
      <c r="BW315" s="139"/>
      <c r="BX315" s="139"/>
      <c r="BY315" s="139"/>
      <c r="BZ315" s="139"/>
      <c r="CA315" s="139"/>
      <c r="CB315" s="29"/>
      <c r="CC315" s="29"/>
      <c r="CD315" s="29"/>
      <c r="CE315" s="29"/>
      <c r="CF315" s="29"/>
      <c r="CG315" s="29"/>
      <c r="CH315" s="29"/>
      <c r="CI315" s="29"/>
      <c r="CJ315" s="29"/>
      <c r="CK315" s="29"/>
    </row>
    <row r="316" spans="1:94" ht="12.75" customHeight="1" x14ac:dyDescent="0.35">
      <c r="A316" s="136"/>
      <c r="B316" s="136"/>
      <c r="C316" s="136"/>
      <c r="D316" s="142">
        <f>D252</f>
        <v>0</v>
      </c>
      <c r="E316" s="151">
        <f>E252</f>
        <v>0</v>
      </c>
      <c r="F316" s="151"/>
      <c r="G316" s="151"/>
      <c r="H316" s="151"/>
      <c r="I316" s="151"/>
      <c r="J316" s="151"/>
      <c r="K316" s="151"/>
      <c r="L316" s="151"/>
      <c r="M316" s="151"/>
      <c r="N316" s="151"/>
      <c r="O316" s="151"/>
      <c r="P316" s="151"/>
      <c r="Q316" s="151"/>
      <c r="R316" s="151"/>
      <c r="S316" s="151"/>
      <c r="T316" s="151"/>
      <c r="U316" s="151"/>
      <c r="V316" s="151"/>
      <c r="W316" s="151"/>
      <c r="X316" s="151"/>
      <c r="Y316" s="151"/>
      <c r="Z316" s="151"/>
      <c r="AA316" s="151"/>
      <c r="AB316" s="151"/>
      <c r="AC316" s="151"/>
      <c r="AD316" s="151"/>
      <c r="AE316" s="151"/>
      <c r="AF316" s="151"/>
      <c r="AG316" s="151"/>
      <c r="AH316" s="151"/>
      <c r="AI316" s="151"/>
      <c r="AJ316" s="151"/>
      <c r="AK316" s="151"/>
      <c r="AL316" s="151"/>
      <c r="AM316" s="151"/>
      <c r="AN316" s="151"/>
      <c r="AO316" s="151"/>
      <c r="AP316" s="151"/>
      <c r="AQ316" s="151"/>
      <c r="AR316" s="151"/>
      <c r="AS316" s="151"/>
      <c r="AT316" s="151"/>
      <c r="AU316" s="151"/>
      <c r="AV316" s="151"/>
      <c r="AW316" s="151"/>
      <c r="AX316" s="151"/>
      <c r="AY316" s="151"/>
      <c r="AZ316" s="151"/>
      <c r="BA316" s="151"/>
      <c r="BB316" s="151"/>
      <c r="BC316" s="151"/>
      <c r="BD316" s="151"/>
      <c r="BE316" s="151"/>
      <c r="BF316" s="151"/>
      <c r="BG316" s="151"/>
      <c r="BH316" s="151"/>
      <c r="BI316" s="151"/>
      <c r="BJ316" s="151"/>
      <c r="BK316" s="151"/>
      <c r="BL316" s="151"/>
      <c r="BM316" s="151"/>
      <c r="BN316" s="151"/>
      <c r="BO316" s="151"/>
      <c r="BP316" s="151"/>
      <c r="BQ316" s="153"/>
      <c r="BR316" s="1802"/>
      <c r="BS316" s="153"/>
      <c r="BT316" s="1802"/>
      <c r="BU316" s="139"/>
      <c r="BV316" s="139"/>
      <c r="BW316" s="139"/>
      <c r="BX316" s="139"/>
      <c r="BY316" s="139"/>
      <c r="BZ316" s="139"/>
      <c r="CA316" s="139"/>
      <c r="CB316" s="29"/>
      <c r="CC316" s="29"/>
      <c r="CD316" s="29"/>
      <c r="CE316" s="29"/>
      <c r="CF316" s="29"/>
      <c r="CG316" s="29"/>
      <c r="CH316" s="29"/>
      <c r="CI316" s="29"/>
      <c r="CJ316" s="29"/>
      <c r="CK316" s="29"/>
    </row>
    <row r="317" spans="1:94" ht="12.75" customHeight="1" thickBot="1" x14ac:dyDescent="0.4">
      <c r="A317" s="136"/>
      <c r="B317" s="136"/>
      <c r="C317" s="136"/>
      <c r="D317" s="138">
        <f>D253</f>
        <v>0</v>
      </c>
      <c r="E317" s="187">
        <f>E253</f>
        <v>0</v>
      </c>
      <c r="F317" s="136"/>
      <c r="G317" s="136"/>
      <c r="H317" s="136"/>
      <c r="I317" s="136"/>
      <c r="J317" s="136"/>
      <c r="K317" s="136"/>
      <c r="L317" s="136"/>
      <c r="M317" s="136"/>
      <c r="N317" s="136"/>
      <c r="O317" s="136"/>
      <c r="P317" s="136"/>
      <c r="Q317" s="136"/>
      <c r="R317" s="136"/>
      <c r="S317" s="136"/>
      <c r="T317" s="136"/>
      <c r="U317" s="136"/>
      <c r="V317" s="136"/>
      <c r="W317" s="136"/>
      <c r="X317" s="136"/>
      <c r="Y317" s="136"/>
      <c r="Z317" s="136"/>
      <c r="AA317" s="136"/>
      <c r="AB317" s="136"/>
      <c r="AC317" s="136"/>
      <c r="AD317" s="136"/>
      <c r="AE317" s="136"/>
      <c r="AF317" s="136"/>
      <c r="AG317" s="136"/>
      <c r="AH317" s="136"/>
      <c r="AI317" s="136"/>
      <c r="AJ317" s="136"/>
      <c r="AK317" s="136"/>
      <c r="AL317" s="136"/>
      <c r="AM317" s="136"/>
      <c r="AN317" s="136"/>
      <c r="AO317" s="136"/>
      <c r="AP317" s="136"/>
      <c r="AQ317" s="136"/>
      <c r="AR317" s="136"/>
      <c r="AS317" s="136"/>
      <c r="AT317" s="136"/>
      <c r="AU317" s="136"/>
      <c r="AV317" s="136"/>
      <c r="AW317" s="136"/>
      <c r="AX317" s="136"/>
      <c r="AY317" s="136"/>
      <c r="AZ317" s="136"/>
      <c r="BA317" s="136"/>
      <c r="BB317" s="136"/>
      <c r="BC317" s="136"/>
      <c r="BD317" s="136"/>
      <c r="BE317" s="136"/>
      <c r="BF317" s="136"/>
      <c r="BG317" s="136"/>
      <c r="BH317" s="136"/>
      <c r="BI317" s="136"/>
      <c r="BJ317" s="136"/>
      <c r="BK317" s="136"/>
      <c r="BL317" s="136"/>
      <c r="BM317" s="136"/>
      <c r="BN317" s="136"/>
      <c r="BO317" s="136"/>
      <c r="BP317" s="136"/>
      <c r="BQ317" s="139"/>
      <c r="BR317" s="1801"/>
      <c r="BS317" s="139"/>
      <c r="BT317" s="1801"/>
      <c r="BU317" s="139"/>
      <c r="BV317" s="139"/>
      <c r="BW317" s="139"/>
      <c r="BX317" s="139"/>
      <c r="BY317" s="139"/>
      <c r="BZ317" s="139"/>
      <c r="CA317" s="139"/>
      <c r="CB317" s="29"/>
      <c r="CC317" s="29"/>
      <c r="CD317" s="29"/>
      <c r="CE317" s="29"/>
      <c r="CF317" s="29"/>
      <c r="CG317" s="29"/>
      <c r="CH317" s="29"/>
      <c r="CI317" s="29"/>
      <c r="CJ317" s="29"/>
      <c r="CK317" s="29"/>
    </row>
    <row r="318" spans="1:94" ht="12.75" customHeight="1" thickTop="1" x14ac:dyDescent="0.35">
      <c r="A318" s="136"/>
      <c r="B318" s="136"/>
      <c r="C318" s="136"/>
      <c r="D318" s="138">
        <f>D254</f>
        <v>0</v>
      </c>
      <c r="E318" s="169">
        <f>E254</f>
        <v>0</v>
      </c>
      <c r="F318" s="136"/>
      <c r="G318" s="136"/>
      <c r="H318" s="136"/>
      <c r="I318" s="136"/>
      <c r="J318" s="136"/>
      <c r="K318" s="136"/>
      <c r="L318" s="136"/>
      <c r="M318" s="136"/>
      <c r="N318" s="136"/>
      <c r="O318" s="136"/>
      <c r="P318" s="136"/>
      <c r="Q318" s="136"/>
      <c r="R318" s="136"/>
      <c r="S318" s="136"/>
      <c r="T318" s="136"/>
      <c r="U318" s="136"/>
      <c r="V318" s="136"/>
      <c r="W318" s="136"/>
      <c r="X318" s="136"/>
      <c r="Y318" s="136"/>
      <c r="Z318" s="136"/>
      <c r="AA318" s="136"/>
      <c r="AB318" s="136"/>
      <c r="AC318" s="136"/>
      <c r="AD318" s="136"/>
      <c r="AE318" s="136"/>
      <c r="AF318" s="136"/>
      <c r="AG318" s="136"/>
      <c r="AH318" s="136"/>
      <c r="AI318" s="136"/>
      <c r="AJ318" s="136"/>
      <c r="AK318" s="136"/>
      <c r="AL318" s="136"/>
      <c r="AM318" s="136"/>
      <c r="AN318" s="136"/>
      <c r="AO318" s="136"/>
      <c r="AP318" s="136"/>
      <c r="AQ318" s="136"/>
      <c r="AR318" s="136"/>
      <c r="AS318" s="136"/>
      <c r="AT318" s="136"/>
      <c r="AU318" s="136"/>
      <c r="AV318" s="136"/>
      <c r="AW318" s="136"/>
      <c r="AX318" s="136"/>
      <c r="AY318" s="136"/>
      <c r="AZ318" s="136"/>
      <c r="BA318" s="136"/>
      <c r="BB318" s="136"/>
      <c r="BC318" s="136"/>
      <c r="BD318" s="136"/>
      <c r="BE318" s="136"/>
      <c r="BF318" s="136"/>
      <c r="BG318" s="136"/>
      <c r="BH318" s="136"/>
      <c r="BI318" s="136"/>
      <c r="BJ318" s="136"/>
      <c r="BK318" s="136"/>
      <c r="BL318" s="136"/>
      <c r="BM318" s="136"/>
      <c r="BN318" s="136"/>
      <c r="BO318" s="136"/>
      <c r="BP318" s="136"/>
      <c r="BQ318" s="139"/>
      <c r="BR318" s="1801"/>
      <c r="BS318" s="139"/>
      <c r="BT318" s="1801"/>
      <c r="BU318" s="139"/>
      <c r="BV318" s="139"/>
      <c r="BW318" s="139"/>
      <c r="BX318" s="139"/>
      <c r="BY318" s="139"/>
      <c r="BZ318" s="139"/>
      <c r="CA318" s="139"/>
      <c r="CB318" s="29"/>
      <c r="CC318" s="29"/>
      <c r="CD318" s="29"/>
      <c r="CE318" s="29"/>
      <c r="CF318" s="29"/>
      <c r="CG318" s="29"/>
      <c r="CH318" s="29"/>
      <c r="CI318" s="29"/>
      <c r="CJ318" s="29"/>
      <c r="CK318" s="29"/>
    </row>
    <row r="319" spans="1:94" ht="12.75" customHeight="1" x14ac:dyDescent="0.35">
      <c r="A319" s="136"/>
      <c r="B319" s="136"/>
      <c r="C319" s="136"/>
      <c r="D319" s="138">
        <f>D255</f>
        <v>0</v>
      </c>
      <c r="E319" s="169">
        <f>E255</f>
        <v>0</v>
      </c>
      <c r="F319" s="136"/>
      <c r="G319" s="136"/>
      <c r="H319" s="136"/>
      <c r="I319" s="136"/>
      <c r="J319" s="136"/>
      <c r="K319" s="136"/>
      <c r="L319" s="136"/>
      <c r="M319" s="136"/>
      <c r="N319" s="136"/>
      <c r="O319" s="136"/>
      <c r="P319" s="136"/>
      <c r="Q319" s="136"/>
      <c r="R319" s="136"/>
      <c r="S319" s="136"/>
      <c r="T319" s="136"/>
      <c r="U319" s="136"/>
      <c r="V319" s="136"/>
      <c r="W319" s="136"/>
      <c r="X319" s="136"/>
      <c r="Y319" s="136"/>
      <c r="Z319" s="136"/>
      <c r="AA319" s="136"/>
      <c r="AB319" s="136"/>
      <c r="AC319" s="136"/>
      <c r="AD319" s="136"/>
      <c r="AE319" s="136"/>
      <c r="AF319" s="136"/>
      <c r="AG319" s="136"/>
      <c r="AH319" s="136"/>
      <c r="AI319" s="136"/>
      <c r="AJ319" s="136"/>
      <c r="AK319" s="136"/>
      <c r="AL319" s="136"/>
      <c r="AM319" s="136"/>
      <c r="AN319" s="136"/>
      <c r="AO319" s="136"/>
      <c r="AP319" s="136"/>
      <c r="AQ319" s="136"/>
      <c r="AR319" s="136"/>
      <c r="AS319" s="136"/>
      <c r="AT319" s="136"/>
      <c r="AU319" s="136"/>
      <c r="AV319" s="136"/>
      <c r="AW319" s="136"/>
      <c r="AX319" s="136"/>
      <c r="AY319" s="136"/>
      <c r="AZ319" s="136"/>
      <c r="BA319" s="136"/>
      <c r="BB319" s="136"/>
      <c r="BC319" s="136"/>
      <c r="BD319" s="136"/>
      <c r="BE319" s="136"/>
      <c r="BF319" s="136"/>
      <c r="BG319" s="136"/>
      <c r="BH319" s="136"/>
      <c r="BI319" s="136"/>
      <c r="BJ319" s="136"/>
      <c r="BK319" s="136"/>
      <c r="BL319" s="136"/>
      <c r="BM319" s="136"/>
      <c r="BN319" s="136"/>
      <c r="BO319" s="136"/>
      <c r="BP319" s="136"/>
      <c r="BQ319" s="139"/>
      <c r="BR319" s="1801"/>
      <c r="BS319" s="139"/>
      <c r="BT319" s="1801"/>
      <c r="BU319" s="139"/>
      <c r="BV319" s="139"/>
      <c r="BW319" s="139"/>
      <c r="BX319" s="139"/>
      <c r="BY319" s="139"/>
      <c r="BZ319" s="139"/>
      <c r="CA319" s="139"/>
      <c r="CB319" s="29"/>
      <c r="CC319" s="29"/>
      <c r="CD319" s="29"/>
      <c r="CE319" s="29"/>
      <c r="CF319" s="29"/>
      <c r="CG319" s="29"/>
      <c r="CH319" s="29"/>
      <c r="CI319" s="29"/>
      <c r="CJ319" s="29"/>
      <c r="CK319" s="29"/>
    </row>
    <row r="320" spans="1:94" ht="12.75" customHeight="1" x14ac:dyDescent="0.35">
      <c r="A320" s="136"/>
      <c r="B320" s="136"/>
      <c r="C320" s="136"/>
      <c r="D320" s="138">
        <f>D256</f>
        <v>0</v>
      </c>
      <c r="E320" s="169">
        <f>E256</f>
        <v>0</v>
      </c>
      <c r="F320" s="136"/>
      <c r="G320" s="136"/>
      <c r="H320" s="136"/>
      <c r="I320" s="136"/>
      <c r="J320" s="136"/>
      <c r="K320" s="136"/>
      <c r="L320" s="136"/>
      <c r="M320" s="136"/>
      <c r="N320" s="136"/>
      <c r="O320" s="136"/>
      <c r="P320" s="136"/>
      <c r="Q320" s="136"/>
      <c r="R320" s="136"/>
      <c r="S320" s="136"/>
      <c r="T320" s="136"/>
      <c r="U320" s="136"/>
      <c r="V320" s="136"/>
      <c r="W320" s="136"/>
      <c r="X320" s="136"/>
      <c r="Y320" s="136"/>
      <c r="Z320" s="136"/>
      <c r="AA320" s="136"/>
      <c r="AB320" s="136"/>
      <c r="AC320" s="136"/>
      <c r="AD320" s="136"/>
      <c r="AE320" s="136"/>
      <c r="AF320" s="136"/>
      <c r="AG320" s="136"/>
      <c r="AH320" s="136"/>
      <c r="AI320" s="136"/>
      <c r="AJ320" s="136"/>
      <c r="AK320" s="136"/>
      <c r="AL320" s="136"/>
      <c r="AM320" s="136"/>
      <c r="AN320" s="136"/>
      <c r="AO320" s="136"/>
      <c r="AP320" s="136"/>
      <c r="AQ320" s="136"/>
      <c r="AR320" s="136"/>
      <c r="AS320" s="136"/>
      <c r="AT320" s="136"/>
      <c r="AU320" s="136"/>
      <c r="AV320" s="136"/>
      <c r="AW320" s="136"/>
      <c r="AX320" s="136"/>
      <c r="AY320" s="136"/>
      <c r="AZ320" s="136"/>
      <c r="BA320" s="136"/>
      <c r="BB320" s="136"/>
      <c r="BC320" s="136"/>
      <c r="BD320" s="136"/>
      <c r="BE320" s="136"/>
      <c r="BF320" s="136"/>
      <c r="BG320" s="136"/>
      <c r="BH320" s="136"/>
      <c r="BI320" s="136"/>
      <c r="BJ320" s="136"/>
      <c r="BK320" s="136"/>
      <c r="BL320" s="136"/>
      <c r="BM320" s="136"/>
      <c r="BN320" s="136"/>
      <c r="BO320" s="136"/>
      <c r="BP320" s="136"/>
      <c r="BQ320" s="139"/>
      <c r="BR320" s="1801"/>
      <c r="BS320" s="139"/>
      <c r="BT320" s="1801"/>
      <c r="BU320" s="139"/>
      <c r="BV320" s="139"/>
      <c r="BW320" s="139"/>
      <c r="BX320" s="139"/>
      <c r="BY320" s="139"/>
      <c r="BZ320" s="139"/>
      <c r="CA320" s="139"/>
      <c r="CB320" s="29"/>
      <c r="CC320" s="29"/>
      <c r="CD320" s="29"/>
      <c r="CE320" s="29"/>
      <c r="CF320" s="29"/>
      <c r="CG320" s="29"/>
      <c r="CH320" s="29"/>
      <c r="CI320" s="29"/>
      <c r="CJ320" s="29"/>
      <c r="CK320" s="29"/>
    </row>
    <row r="321" spans="1:89" ht="12.75" customHeight="1" x14ac:dyDescent="0.35">
      <c r="A321" s="136"/>
      <c r="B321" s="136"/>
      <c r="C321" s="136"/>
      <c r="D321" s="138">
        <f>D257</f>
        <v>0</v>
      </c>
      <c r="E321" s="169">
        <f>E257</f>
        <v>0</v>
      </c>
      <c r="F321" s="136"/>
      <c r="G321" s="136"/>
      <c r="H321" s="136"/>
      <c r="I321" s="136"/>
      <c r="J321" s="136"/>
      <c r="K321" s="136"/>
      <c r="L321" s="136"/>
      <c r="M321" s="136"/>
      <c r="N321" s="136"/>
      <c r="O321" s="136"/>
      <c r="P321" s="136"/>
      <c r="Q321" s="136"/>
      <c r="R321" s="136"/>
      <c r="S321" s="136"/>
      <c r="T321" s="136"/>
      <c r="U321" s="136"/>
      <c r="V321" s="136"/>
      <c r="W321" s="136"/>
      <c r="X321" s="136"/>
      <c r="Y321" s="136"/>
      <c r="Z321" s="136"/>
      <c r="AA321" s="136"/>
      <c r="AB321" s="136"/>
      <c r="AC321" s="136"/>
      <c r="AD321" s="136"/>
      <c r="AE321" s="136"/>
      <c r="AF321" s="136"/>
      <c r="AG321" s="136"/>
      <c r="AH321" s="136"/>
      <c r="AI321" s="136"/>
      <c r="AJ321" s="136"/>
      <c r="AK321" s="136"/>
      <c r="AL321" s="136"/>
      <c r="AM321" s="136"/>
      <c r="AN321" s="136"/>
      <c r="AO321" s="136"/>
      <c r="AP321" s="136"/>
      <c r="AQ321" s="136"/>
      <c r="AR321" s="136"/>
      <c r="AS321" s="136"/>
      <c r="AT321" s="136"/>
      <c r="AU321" s="136"/>
      <c r="AV321" s="136"/>
      <c r="AW321" s="136"/>
      <c r="AX321" s="136"/>
      <c r="AY321" s="136"/>
      <c r="AZ321" s="136"/>
      <c r="BA321" s="136"/>
      <c r="BB321" s="136"/>
      <c r="BC321" s="136"/>
      <c r="BD321" s="136"/>
      <c r="BE321" s="136"/>
      <c r="BF321" s="136"/>
      <c r="BG321" s="136"/>
      <c r="BH321" s="136"/>
      <c r="BI321" s="136"/>
      <c r="BJ321" s="136"/>
      <c r="BK321" s="136"/>
      <c r="BL321" s="136"/>
      <c r="BM321" s="136"/>
      <c r="BN321" s="136"/>
      <c r="BO321" s="136"/>
      <c r="BP321" s="136"/>
      <c r="BQ321" s="139"/>
      <c r="BR321" s="1801"/>
      <c r="BS321" s="139"/>
      <c r="BT321" s="1801"/>
      <c r="BU321" s="139"/>
      <c r="BV321" s="139"/>
      <c r="BW321" s="139"/>
      <c r="BX321" s="139"/>
      <c r="BY321" s="139"/>
      <c r="BZ321" s="139"/>
      <c r="CA321" s="139"/>
      <c r="CB321" s="29"/>
      <c r="CC321" s="29"/>
      <c r="CD321" s="29"/>
      <c r="CE321" s="29"/>
      <c r="CF321" s="29"/>
      <c r="CG321" s="29"/>
      <c r="CH321" s="29"/>
      <c r="CI321" s="29"/>
      <c r="CJ321" s="29"/>
      <c r="CK321" s="29"/>
    </row>
    <row r="322" spans="1:89" ht="12.75" customHeight="1" x14ac:dyDescent="0.35">
      <c r="A322" s="136"/>
      <c r="B322" s="136"/>
      <c r="C322" s="136"/>
      <c r="D322" s="158">
        <f>D258</f>
        <v>0</v>
      </c>
      <c r="E322" s="169">
        <f>E258</f>
        <v>0</v>
      </c>
      <c r="F322" s="136"/>
      <c r="G322" s="136"/>
      <c r="H322" s="136"/>
      <c r="I322" s="136"/>
      <c r="J322" s="136"/>
      <c r="K322" s="136"/>
      <c r="L322" s="136"/>
      <c r="M322" s="136"/>
      <c r="N322" s="136"/>
      <c r="O322" s="136"/>
      <c r="P322" s="136"/>
      <c r="Q322" s="136"/>
      <c r="R322" s="136"/>
      <c r="S322" s="136"/>
      <c r="T322" s="136"/>
      <c r="U322" s="136"/>
      <c r="V322" s="136"/>
      <c r="W322" s="136"/>
      <c r="X322" s="136"/>
      <c r="Y322" s="136"/>
      <c r="Z322" s="136"/>
      <c r="AA322" s="136"/>
      <c r="AB322" s="136"/>
      <c r="AC322" s="136"/>
      <c r="AD322" s="136"/>
      <c r="AE322" s="136"/>
      <c r="AF322" s="136"/>
      <c r="AG322" s="136"/>
      <c r="AH322" s="136"/>
      <c r="AI322" s="136"/>
      <c r="AJ322" s="136"/>
      <c r="AK322" s="136"/>
      <c r="AL322" s="136"/>
      <c r="AM322" s="136"/>
      <c r="AN322" s="136"/>
      <c r="AO322" s="136"/>
      <c r="AP322" s="136"/>
      <c r="AQ322" s="136"/>
      <c r="AR322" s="136"/>
      <c r="AS322" s="136"/>
      <c r="AT322" s="136"/>
      <c r="AU322" s="136"/>
      <c r="AV322" s="136"/>
      <c r="AW322" s="136"/>
      <c r="AX322" s="136"/>
      <c r="AY322" s="136"/>
      <c r="AZ322" s="136"/>
      <c r="BA322" s="136"/>
      <c r="BB322" s="136"/>
      <c r="BC322" s="136"/>
      <c r="BD322" s="136"/>
      <c r="BE322" s="136"/>
      <c r="BF322" s="136"/>
      <c r="BG322" s="136"/>
      <c r="BH322" s="136"/>
      <c r="BI322" s="136"/>
      <c r="BJ322" s="136"/>
      <c r="BK322" s="136"/>
      <c r="BL322" s="136"/>
      <c r="BM322" s="136"/>
      <c r="BN322" s="136"/>
      <c r="BO322" s="136"/>
      <c r="BP322" s="136"/>
      <c r="BQ322" s="139"/>
      <c r="BR322" s="1801"/>
      <c r="BS322" s="139"/>
      <c r="BT322" s="1801"/>
      <c r="BU322" s="139"/>
      <c r="BV322" s="139"/>
      <c r="BW322" s="139"/>
      <c r="BX322" s="139"/>
      <c r="BY322" s="139"/>
      <c r="BZ322" s="139"/>
      <c r="CA322" s="139"/>
      <c r="CB322" s="29"/>
      <c r="CC322" s="29"/>
      <c r="CD322" s="29"/>
      <c r="CE322" s="29"/>
      <c r="CF322" s="29"/>
      <c r="CG322" s="29"/>
      <c r="CH322" s="29"/>
      <c r="CI322" s="29"/>
      <c r="CJ322" s="29"/>
      <c r="CK322" s="29"/>
    </row>
    <row r="323" spans="1:89" ht="12.75" customHeight="1" x14ac:dyDescent="0.35">
      <c r="A323" s="136"/>
      <c r="B323" s="136"/>
      <c r="C323" s="136"/>
      <c r="D323" s="158">
        <f>D259</f>
        <v>0</v>
      </c>
      <c r="E323" s="169">
        <f>E259</f>
        <v>0</v>
      </c>
      <c r="F323" s="136"/>
      <c r="G323" s="136"/>
      <c r="H323" s="136"/>
      <c r="I323" s="136"/>
      <c r="J323" s="136"/>
      <c r="K323" s="136"/>
      <c r="L323" s="136"/>
      <c r="M323" s="136"/>
      <c r="N323" s="136"/>
      <c r="O323" s="136"/>
      <c r="P323" s="136"/>
      <c r="Q323" s="136"/>
      <c r="R323" s="136"/>
      <c r="S323" s="136"/>
      <c r="T323" s="136"/>
      <c r="U323" s="136"/>
      <c r="V323" s="136"/>
      <c r="W323" s="136"/>
      <c r="X323" s="136"/>
      <c r="Y323" s="136"/>
      <c r="Z323" s="136"/>
      <c r="AA323" s="136"/>
      <c r="AB323" s="136"/>
      <c r="AC323" s="136"/>
      <c r="AD323" s="136"/>
      <c r="AE323" s="136"/>
      <c r="AF323" s="136"/>
      <c r="AG323" s="136"/>
      <c r="AH323" s="136"/>
      <c r="AI323" s="136"/>
      <c r="AJ323" s="136"/>
      <c r="AK323" s="136"/>
      <c r="AL323" s="136"/>
      <c r="AM323" s="136"/>
      <c r="AN323" s="136"/>
      <c r="AO323" s="136"/>
      <c r="AP323" s="136"/>
      <c r="AQ323" s="136"/>
      <c r="AR323" s="136"/>
      <c r="AS323" s="136"/>
      <c r="AT323" s="136"/>
      <c r="AU323" s="136"/>
      <c r="AV323" s="136"/>
      <c r="AW323" s="136"/>
      <c r="AX323" s="136"/>
      <c r="AY323" s="136"/>
      <c r="AZ323" s="136"/>
      <c r="BA323" s="136"/>
      <c r="BB323" s="136"/>
      <c r="BC323" s="136"/>
      <c r="BD323" s="136"/>
      <c r="BE323" s="136"/>
      <c r="BF323" s="136"/>
      <c r="BG323" s="136"/>
      <c r="BH323" s="136"/>
      <c r="BI323" s="136"/>
      <c r="BJ323" s="136"/>
      <c r="BK323" s="136"/>
      <c r="BL323" s="136"/>
      <c r="BM323" s="136"/>
      <c r="BN323" s="136"/>
      <c r="BO323" s="136"/>
      <c r="BP323" s="136"/>
      <c r="BQ323" s="139"/>
      <c r="BR323" s="1801"/>
      <c r="BS323" s="139"/>
      <c r="BT323" s="1801"/>
      <c r="BU323" s="139"/>
      <c r="BV323" s="139"/>
      <c r="BW323" s="139"/>
      <c r="BX323" s="139"/>
      <c r="BY323" s="139"/>
      <c r="BZ323" s="139"/>
      <c r="CA323" s="139"/>
      <c r="CB323" s="29"/>
      <c r="CC323" s="29"/>
      <c r="CD323" s="29"/>
      <c r="CE323" s="29"/>
      <c r="CF323" s="29"/>
      <c r="CG323" s="29"/>
      <c r="CH323" s="29"/>
      <c r="CI323" s="29"/>
      <c r="CJ323" s="29"/>
      <c r="CK323" s="29"/>
    </row>
    <row r="324" spans="1:89" ht="12.75" customHeight="1" x14ac:dyDescent="0.35">
      <c r="A324" s="136"/>
      <c r="B324" s="136"/>
      <c r="C324" s="136"/>
      <c r="D324" s="138">
        <f>D260</f>
        <v>0</v>
      </c>
      <c r="E324" s="188">
        <f>E260</f>
        <v>0</v>
      </c>
      <c r="F324" s="136"/>
      <c r="G324" s="136"/>
      <c r="H324" s="136"/>
      <c r="I324" s="136"/>
      <c r="J324" s="136"/>
      <c r="K324" s="136"/>
      <c r="L324" s="136"/>
      <c r="M324" s="136"/>
      <c r="N324" s="136"/>
      <c r="O324" s="136"/>
      <c r="P324" s="136"/>
      <c r="Q324" s="136"/>
      <c r="R324" s="136"/>
      <c r="S324" s="136"/>
      <c r="T324" s="136"/>
      <c r="U324" s="136"/>
      <c r="V324" s="136"/>
      <c r="W324" s="136"/>
      <c r="X324" s="136"/>
      <c r="Y324" s="136"/>
      <c r="Z324" s="136"/>
      <c r="AA324" s="136"/>
      <c r="AB324" s="136"/>
      <c r="AC324" s="136"/>
      <c r="AD324" s="136"/>
      <c r="AE324" s="136"/>
      <c r="AF324" s="136"/>
      <c r="AG324" s="136"/>
      <c r="AH324" s="136"/>
      <c r="AI324" s="136"/>
      <c r="AJ324" s="136"/>
      <c r="AK324" s="136"/>
      <c r="AL324" s="136"/>
      <c r="AM324" s="136"/>
      <c r="AN324" s="136"/>
      <c r="AO324" s="136"/>
      <c r="AP324" s="136"/>
      <c r="AQ324" s="136"/>
      <c r="AR324" s="136"/>
      <c r="AS324" s="136"/>
      <c r="AT324" s="136"/>
      <c r="AU324" s="136"/>
      <c r="AV324" s="136"/>
      <c r="AW324" s="136"/>
      <c r="AX324" s="136"/>
      <c r="AY324" s="136"/>
      <c r="AZ324" s="136"/>
      <c r="BA324" s="136"/>
      <c r="BB324" s="136"/>
      <c r="BC324" s="136"/>
      <c r="BD324" s="136"/>
      <c r="BE324" s="136"/>
      <c r="BF324" s="136"/>
      <c r="BG324" s="136"/>
      <c r="BH324" s="136"/>
      <c r="BI324" s="136"/>
      <c r="BJ324" s="136"/>
      <c r="BK324" s="136"/>
      <c r="BL324" s="136"/>
      <c r="BM324" s="136"/>
      <c r="BN324" s="136"/>
      <c r="BO324" s="136"/>
      <c r="BP324" s="136"/>
      <c r="BQ324" s="139"/>
      <c r="BR324" s="1801"/>
      <c r="BS324" s="139"/>
      <c r="BT324" s="1801"/>
      <c r="BU324" s="139"/>
      <c r="BV324" s="139"/>
      <c r="BW324" s="139"/>
      <c r="BX324" s="139"/>
      <c r="BY324" s="139"/>
      <c r="BZ324" s="139"/>
      <c r="CA324" s="139"/>
      <c r="CB324" s="29"/>
      <c r="CC324" s="29"/>
      <c r="CD324" s="29"/>
      <c r="CE324" s="29"/>
      <c r="CF324" s="29"/>
      <c r="CG324" s="29"/>
      <c r="CH324" s="29"/>
      <c r="CI324" s="29"/>
      <c r="CJ324" s="29"/>
      <c r="CK324" s="29"/>
    </row>
    <row r="325" spans="1:89" ht="12.75" customHeight="1" x14ac:dyDescent="0.35">
      <c r="A325" s="136"/>
      <c r="B325" s="136"/>
      <c r="C325" s="136"/>
      <c r="D325" s="138">
        <f>D261</f>
        <v>0</v>
      </c>
      <c r="E325" s="169">
        <f>E261</f>
        <v>0</v>
      </c>
      <c r="F325" s="136"/>
      <c r="G325" s="136"/>
      <c r="H325" s="136"/>
      <c r="I325" s="136"/>
      <c r="J325" s="136"/>
      <c r="K325" s="136"/>
      <c r="L325" s="136"/>
      <c r="M325" s="136"/>
      <c r="N325" s="136"/>
      <c r="O325" s="136"/>
      <c r="P325" s="136"/>
      <c r="Q325" s="136"/>
      <c r="R325" s="136"/>
      <c r="S325" s="136"/>
      <c r="T325" s="136"/>
      <c r="U325" s="136"/>
      <c r="V325" s="136"/>
      <c r="W325" s="136"/>
      <c r="X325" s="136"/>
      <c r="Y325" s="136"/>
      <c r="Z325" s="136"/>
      <c r="AA325" s="136"/>
      <c r="AB325" s="136"/>
      <c r="AC325" s="136"/>
      <c r="AD325" s="136"/>
      <c r="AE325" s="136"/>
      <c r="AF325" s="136"/>
      <c r="AG325" s="136"/>
      <c r="AH325" s="136"/>
      <c r="AI325" s="136"/>
      <c r="AJ325" s="136"/>
      <c r="AK325" s="136"/>
      <c r="AL325" s="136"/>
      <c r="AM325" s="136"/>
      <c r="AN325" s="136"/>
      <c r="AO325" s="136"/>
      <c r="AP325" s="136"/>
      <c r="AQ325" s="136"/>
      <c r="AR325" s="136"/>
      <c r="AS325" s="136"/>
      <c r="AT325" s="136"/>
      <c r="AU325" s="136"/>
      <c r="AV325" s="136"/>
      <c r="AW325" s="136"/>
      <c r="AX325" s="136"/>
      <c r="AY325" s="136"/>
      <c r="AZ325" s="136"/>
      <c r="BA325" s="136"/>
      <c r="BB325" s="136"/>
      <c r="BC325" s="136"/>
      <c r="BD325" s="136"/>
      <c r="BE325" s="136"/>
      <c r="BF325" s="136"/>
      <c r="BG325" s="136"/>
      <c r="BH325" s="136"/>
      <c r="BI325" s="136"/>
      <c r="BJ325" s="136"/>
      <c r="BK325" s="136"/>
      <c r="BL325" s="136"/>
      <c r="BM325" s="136"/>
      <c r="BN325" s="136"/>
      <c r="BO325" s="136"/>
      <c r="BP325" s="136"/>
      <c r="BQ325" s="139"/>
      <c r="BR325" s="1801"/>
      <c r="BS325" s="139"/>
      <c r="BT325" s="1801"/>
      <c r="BU325" s="139"/>
      <c r="BV325" s="139"/>
      <c r="BW325" s="139"/>
      <c r="BX325" s="139"/>
      <c r="BY325" s="139"/>
      <c r="BZ325" s="139"/>
      <c r="CA325" s="139"/>
      <c r="CB325" s="29"/>
      <c r="CC325" s="29"/>
      <c r="CD325" s="29"/>
      <c r="CE325" s="29"/>
      <c r="CF325" s="29"/>
      <c r="CG325" s="29"/>
      <c r="CH325" s="29"/>
      <c r="CI325" s="29"/>
      <c r="CJ325" s="29"/>
      <c r="CK325" s="29"/>
    </row>
    <row r="326" spans="1:89" ht="12.75" customHeight="1" x14ac:dyDescent="0.35">
      <c r="A326" s="136"/>
      <c r="B326" s="136"/>
      <c r="C326" s="136"/>
      <c r="D326" s="138">
        <f>D262</f>
        <v>0</v>
      </c>
      <c r="E326" s="169">
        <f>E262</f>
        <v>0</v>
      </c>
      <c r="F326" s="136"/>
      <c r="G326" s="136"/>
      <c r="H326" s="136"/>
      <c r="I326" s="136"/>
      <c r="J326" s="136"/>
      <c r="K326" s="136"/>
      <c r="L326" s="136"/>
      <c r="M326" s="136"/>
      <c r="N326" s="136"/>
      <c r="O326" s="136"/>
      <c r="P326" s="136"/>
      <c r="Q326" s="136"/>
      <c r="R326" s="136"/>
      <c r="S326" s="136"/>
      <c r="T326" s="136"/>
      <c r="U326" s="136"/>
      <c r="V326" s="136"/>
      <c r="W326" s="136"/>
      <c r="X326" s="136"/>
      <c r="Y326" s="136"/>
      <c r="Z326" s="136"/>
      <c r="AA326" s="136"/>
      <c r="AB326" s="136"/>
      <c r="AC326" s="136"/>
      <c r="AD326" s="136"/>
      <c r="AE326" s="136"/>
      <c r="AF326" s="136"/>
      <c r="AG326" s="136"/>
      <c r="AH326" s="136"/>
      <c r="AI326" s="136"/>
      <c r="AJ326" s="136"/>
      <c r="AK326" s="136"/>
      <c r="AL326" s="136"/>
      <c r="AM326" s="136"/>
      <c r="AN326" s="136"/>
      <c r="AO326" s="136"/>
      <c r="AP326" s="136"/>
      <c r="AQ326" s="136"/>
      <c r="AR326" s="136"/>
      <c r="AS326" s="136"/>
      <c r="AT326" s="136"/>
      <c r="AU326" s="136"/>
      <c r="AV326" s="136"/>
      <c r="AW326" s="136"/>
      <c r="AX326" s="136"/>
      <c r="AY326" s="136"/>
      <c r="AZ326" s="136"/>
      <c r="BA326" s="136"/>
      <c r="BB326" s="136"/>
      <c r="BC326" s="136"/>
      <c r="BD326" s="136"/>
      <c r="BE326" s="136"/>
      <c r="BF326" s="136"/>
      <c r="BG326" s="136"/>
      <c r="BH326" s="136"/>
      <c r="BI326" s="136"/>
      <c r="BJ326" s="136"/>
      <c r="BK326" s="136"/>
      <c r="BL326" s="136"/>
      <c r="BM326" s="136"/>
      <c r="BN326" s="136"/>
      <c r="BO326" s="136"/>
      <c r="BP326" s="136"/>
      <c r="BQ326" s="139"/>
      <c r="BR326" s="1801"/>
      <c r="BS326" s="139"/>
      <c r="BT326" s="1801"/>
      <c r="BU326" s="139"/>
      <c r="BV326" s="139"/>
      <c r="BW326" s="139"/>
      <c r="BX326" s="139"/>
      <c r="BY326" s="139"/>
      <c r="BZ326" s="139"/>
      <c r="CA326" s="139"/>
      <c r="CB326" s="29"/>
      <c r="CC326" s="29"/>
      <c r="CD326" s="29"/>
      <c r="CE326" s="29"/>
      <c r="CF326" s="29"/>
      <c r="CG326" s="29"/>
      <c r="CH326" s="29"/>
      <c r="CI326" s="29"/>
      <c r="CJ326" s="29"/>
      <c r="CK326" s="29"/>
    </row>
    <row r="327" spans="1:89" ht="12.75" customHeight="1" x14ac:dyDescent="0.35">
      <c r="A327" s="136"/>
      <c r="B327" s="136"/>
      <c r="C327" s="136"/>
      <c r="D327" s="158">
        <f>D263</f>
        <v>0</v>
      </c>
      <c r="E327" s="169">
        <f>E263</f>
        <v>0</v>
      </c>
      <c r="F327" s="136"/>
      <c r="G327" s="136"/>
      <c r="H327" s="136"/>
      <c r="I327" s="136"/>
      <c r="J327" s="136"/>
      <c r="K327" s="136"/>
      <c r="L327" s="136"/>
      <c r="M327" s="136"/>
      <c r="N327" s="136"/>
      <c r="O327" s="136"/>
      <c r="P327" s="136"/>
      <c r="Q327" s="136"/>
      <c r="R327" s="136"/>
      <c r="S327" s="136"/>
      <c r="T327" s="136"/>
      <c r="U327" s="136"/>
      <c r="V327" s="136"/>
      <c r="W327" s="136"/>
      <c r="X327" s="136"/>
      <c r="Y327" s="136"/>
      <c r="Z327" s="136"/>
      <c r="AA327" s="136"/>
      <c r="AB327" s="136"/>
      <c r="AC327" s="136"/>
      <c r="AD327" s="136"/>
      <c r="AE327" s="136"/>
      <c r="AF327" s="136"/>
      <c r="AG327" s="136"/>
      <c r="AH327" s="136"/>
      <c r="AI327" s="136"/>
      <c r="AJ327" s="136"/>
      <c r="AK327" s="136"/>
      <c r="AL327" s="136"/>
      <c r="AM327" s="136"/>
      <c r="AN327" s="136"/>
      <c r="AO327" s="136"/>
      <c r="AP327" s="136"/>
      <c r="AQ327" s="136"/>
      <c r="AR327" s="136"/>
      <c r="AS327" s="136"/>
      <c r="AT327" s="136"/>
      <c r="AU327" s="136"/>
      <c r="AV327" s="136"/>
      <c r="AW327" s="136"/>
      <c r="AX327" s="136"/>
      <c r="AY327" s="136"/>
      <c r="AZ327" s="136"/>
      <c r="BA327" s="136"/>
      <c r="BB327" s="136"/>
      <c r="BC327" s="136"/>
      <c r="BD327" s="136"/>
      <c r="BE327" s="136"/>
      <c r="BF327" s="136"/>
      <c r="BG327" s="136"/>
      <c r="BH327" s="136"/>
      <c r="BI327" s="136"/>
      <c r="BJ327" s="136"/>
      <c r="BK327" s="136"/>
      <c r="BL327" s="136"/>
      <c r="BM327" s="136"/>
      <c r="BN327" s="136"/>
      <c r="BO327" s="136"/>
      <c r="BP327" s="136"/>
      <c r="BQ327" s="139"/>
      <c r="BR327" s="1801"/>
      <c r="BS327" s="139"/>
      <c r="BT327" s="1801"/>
      <c r="BU327" s="139"/>
      <c r="BV327" s="139"/>
      <c r="BW327" s="139"/>
      <c r="BX327" s="139"/>
      <c r="BY327" s="139"/>
      <c r="BZ327" s="139"/>
      <c r="CA327" s="139"/>
      <c r="CB327" s="29"/>
      <c r="CC327" s="29"/>
      <c r="CD327" s="29"/>
      <c r="CE327" s="29"/>
      <c r="CF327" s="29"/>
      <c r="CG327" s="29"/>
      <c r="CH327" s="29"/>
      <c r="CI327" s="29"/>
      <c r="CJ327" s="29"/>
      <c r="CK327" s="29"/>
    </row>
    <row r="328" spans="1:89" ht="12.75" customHeight="1" x14ac:dyDescent="0.35">
      <c r="A328" s="136"/>
      <c r="B328" s="136"/>
      <c r="C328" s="136"/>
      <c r="D328" s="138">
        <f>D264</f>
        <v>0</v>
      </c>
      <c r="E328" s="188">
        <f>E264</f>
        <v>0</v>
      </c>
      <c r="F328" s="136"/>
      <c r="G328" s="136"/>
      <c r="H328" s="136"/>
      <c r="I328" s="136"/>
      <c r="J328" s="136"/>
      <c r="K328" s="136"/>
      <c r="L328" s="136"/>
      <c r="M328" s="136"/>
      <c r="N328" s="136"/>
      <c r="O328" s="136"/>
      <c r="P328" s="136"/>
      <c r="Q328" s="136"/>
      <c r="R328" s="136"/>
      <c r="S328" s="136"/>
      <c r="T328" s="136"/>
      <c r="U328" s="136"/>
      <c r="V328" s="136"/>
      <c r="W328" s="136"/>
      <c r="X328" s="136"/>
      <c r="Y328" s="136"/>
      <c r="Z328" s="136"/>
      <c r="AA328" s="136"/>
      <c r="AB328" s="136"/>
      <c r="AC328" s="136"/>
      <c r="AD328" s="136"/>
      <c r="AE328" s="136"/>
      <c r="AF328" s="136"/>
      <c r="AG328" s="136"/>
      <c r="AH328" s="136"/>
      <c r="AI328" s="136"/>
      <c r="AJ328" s="136"/>
      <c r="AK328" s="136"/>
      <c r="AL328" s="136"/>
      <c r="AM328" s="136"/>
      <c r="AN328" s="136"/>
      <c r="AO328" s="136"/>
      <c r="AP328" s="136"/>
      <c r="AQ328" s="136"/>
      <c r="AR328" s="136"/>
      <c r="AS328" s="136"/>
      <c r="AT328" s="136"/>
      <c r="AU328" s="136"/>
      <c r="AV328" s="136"/>
      <c r="AW328" s="136"/>
      <c r="AX328" s="136"/>
      <c r="AY328" s="136"/>
      <c r="AZ328" s="136"/>
      <c r="BA328" s="136"/>
      <c r="BB328" s="136"/>
      <c r="BC328" s="136"/>
      <c r="BD328" s="136"/>
      <c r="BE328" s="136"/>
      <c r="BF328" s="136"/>
      <c r="BG328" s="136"/>
      <c r="BH328" s="136"/>
      <c r="BI328" s="136"/>
      <c r="BJ328" s="136"/>
      <c r="BK328" s="136"/>
      <c r="BL328" s="136"/>
      <c r="BM328" s="136"/>
      <c r="BN328" s="136"/>
      <c r="BO328" s="136"/>
      <c r="BP328" s="136"/>
      <c r="BQ328" s="139"/>
      <c r="BR328" s="1801"/>
      <c r="BS328" s="139"/>
      <c r="BT328" s="1801"/>
      <c r="BU328" s="139"/>
      <c r="BV328" s="139"/>
      <c r="BW328" s="139"/>
      <c r="BX328" s="139"/>
      <c r="BY328" s="139"/>
      <c r="BZ328" s="139"/>
      <c r="CA328" s="139"/>
      <c r="CB328" s="29"/>
      <c r="CC328" s="29"/>
      <c r="CD328" s="29"/>
      <c r="CE328" s="29"/>
      <c r="CF328" s="29"/>
      <c r="CG328" s="29"/>
      <c r="CH328" s="29"/>
      <c r="CI328" s="29"/>
      <c r="CJ328" s="29"/>
      <c r="CK328" s="29"/>
    </row>
    <row r="329" spans="1:89" ht="12.75" customHeight="1" x14ac:dyDescent="0.35">
      <c r="A329" s="136"/>
      <c r="B329" s="136"/>
      <c r="C329" s="136"/>
      <c r="D329" s="138">
        <f>D265</f>
        <v>0</v>
      </c>
      <c r="E329" s="169">
        <f>E265</f>
        <v>0</v>
      </c>
      <c r="F329" s="136"/>
      <c r="G329" s="136"/>
      <c r="H329" s="136"/>
      <c r="I329" s="136"/>
      <c r="J329" s="136"/>
      <c r="K329" s="136"/>
      <c r="L329" s="136"/>
      <c r="M329" s="136"/>
      <c r="N329" s="136"/>
      <c r="O329" s="136"/>
      <c r="P329" s="136"/>
      <c r="Q329" s="136"/>
      <c r="R329" s="136"/>
      <c r="S329" s="136"/>
      <c r="T329" s="136"/>
      <c r="U329" s="136"/>
      <c r="V329" s="136"/>
      <c r="W329" s="136"/>
      <c r="X329" s="136"/>
      <c r="Y329" s="136"/>
      <c r="Z329" s="136"/>
      <c r="AA329" s="136"/>
      <c r="AB329" s="136"/>
      <c r="AC329" s="136"/>
      <c r="AD329" s="136"/>
      <c r="AE329" s="136"/>
      <c r="AF329" s="136"/>
      <c r="AG329" s="136"/>
      <c r="AH329" s="136"/>
      <c r="AI329" s="136"/>
      <c r="AJ329" s="136"/>
      <c r="AK329" s="136"/>
      <c r="AL329" s="136"/>
      <c r="AM329" s="136"/>
      <c r="AN329" s="136"/>
      <c r="AO329" s="136"/>
      <c r="AP329" s="136"/>
      <c r="AQ329" s="136"/>
      <c r="AR329" s="136"/>
      <c r="AS329" s="136"/>
      <c r="AT329" s="136"/>
      <c r="AU329" s="136"/>
      <c r="AV329" s="136"/>
      <c r="AW329" s="136"/>
      <c r="AX329" s="136"/>
      <c r="AY329" s="136"/>
      <c r="AZ329" s="136"/>
      <c r="BA329" s="136"/>
      <c r="BB329" s="136"/>
      <c r="BC329" s="136"/>
      <c r="BD329" s="136"/>
      <c r="BE329" s="136"/>
      <c r="BF329" s="136"/>
      <c r="BG329" s="136"/>
      <c r="BH329" s="136"/>
      <c r="BI329" s="136"/>
      <c r="BJ329" s="136"/>
      <c r="BK329" s="136"/>
      <c r="BL329" s="136"/>
      <c r="BM329" s="136"/>
      <c r="BN329" s="136"/>
      <c r="BO329" s="136"/>
      <c r="BP329" s="136"/>
      <c r="BQ329" s="139"/>
      <c r="BR329" s="1801"/>
      <c r="BS329" s="139"/>
      <c r="BT329" s="1801"/>
      <c r="BU329" s="139"/>
      <c r="BV329" s="139"/>
      <c r="BW329" s="139"/>
      <c r="BX329" s="139"/>
      <c r="BY329" s="139"/>
      <c r="BZ329" s="139"/>
      <c r="CA329" s="139"/>
      <c r="CB329" s="29"/>
      <c r="CC329" s="29"/>
      <c r="CD329" s="29"/>
      <c r="CE329" s="29"/>
      <c r="CF329" s="29"/>
      <c r="CG329" s="29"/>
      <c r="CH329" s="29"/>
      <c r="CI329" s="29"/>
      <c r="CJ329" s="29"/>
      <c r="CK329" s="29"/>
    </row>
    <row r="330" spans="1:89" ht="12.75" customHeight="1" x14ac:dyDescent="0.35">
      <c r="A330" s="136"/>
      <c r="B330" s="136"/>
      <c r="C330" s="136"/>
      <c r="D330" s="138">
        <f>D266</f>
        <v>0</v>
      </c>
      <c r="E330" s="169">
        <f>E266</f>
        <v>0</v>
      </c>
      <c r="F330" s="136"/>
      <c r="G330" s="136"/>
      <c r="H330" s="136"/>
      <c r="I330" s="136"/>
      <c r="J330" s="136"/>
      <c r="K330" s="136"/>
      <c r="L330" s="136"/>
      <c r="M330" s="136"/>
      <c r="N330" s="136"/>
      <c r="O330" s="136"/>
      <c r="P330" s="136"/>
      <c r="Q330" s="136"/>
      <c r="R330" s="136"/>
      <c r="S330" s="136"/>
      <c r="T330" s="136"/>
      <c r="U330" s="136"/>
      <c r="V330" s="136"/>
      <c r="W330" s="136"/>
      <c r="X330" s="136"/>
      <c r="Y330" s="136"/>
      <c r="Z330" s="136"/>
      <c r="AA330" s="136"/>
      <c r="AB330" s="136"/>
      <c r="AC330" s="136"/>
      <c r="AD330" s="136"/>
      <c r="AE330" s="136"/>
      <c r="AF330" s="136"/>
      <c r="AG330" s="136"/>
      <c r="AH330" s="136"/>
      <c r="AI330" s="136"/>
      <c r="AJ330" s="136"/>
      <c r="AK330" s="136"/>
      <c r="AL330" s="136"/>
      <c r="AM330" s="136"/>
      <c r="AN330" s="136"/>
      <c r="AO330" s="136"/>
      <c r="AP330" s="136"/>
      <c r="AQ330" s="136"/>
      <c r="AR330" s="136"/>
      <c r="AS330" s="136"/>
      <c r="AT330" s="136"/>
      <c r="AU330" s="136"/>
      <c r="AV330" s="136"/>
      <c r="AW330" s="136"/>
      <c r="AX330" s="136"/>
      <c r="AY330" s="136"/>
      <c r="AZ330" s="136"/>
      <c r="BA330" s="136"/>
      <c r="BB330" s="136"/>
      <c r="BC330" s="136"/>
      <c r="BD330" s="136"/>
      <c r="BE330" s="136"/>
      <c r="BF330" s="136"/>
      <c r="BG330" s="136"/>
      <c r="BH330" s="136"/>
      <c r="BI330" s="136"/>
      <c r="BJ330" s="136"/>
      <c r="BK330" s="136"/>
      <c r="BL330" s="136"/>
      <c r="BM330" s="136"/>
      <c r="BN330" s="136"/>
      <c r="BO330" s="136"/>
      <c r="BP330" s="136"/>
      <c r="BQ330" s="139"/>
      <c r="BR330" s="1801"/>
      <c r="BS330" s="139"/>
      <c r="BT330" s="1801"/>
      <c r="BU330" s="139"/>
      <c r="BV330" s="139"/>
      <c r="BW330" s="139"/>
      <c r="BX330" s="139"/>
      <c r="BY330" s="139"/>
      <c r="BZ330" s="139"/>
      <c r="CA330" s="139"/>
      <c r="CB330" s="29"/>
      <c r="CC330" s="29"/>
      <c r="CD330" s="29"/>
      <c r="CE330" s="29"/>
      <c r="CF330" s="29"/>
      <c r="CG330" s="29"/>
      <c r="CH330" s="29"/>
      <c r="CI330" s="29"/>
      <c r="CJ330" s="29"/>
      <c r="CK330" s="29"/>
    </row>
    <row r="331" spans="1:89" ht="12.75" customHeight="1" x14ac:dyDescent="0.35">
      <c r="A331" s="136"/>
      <c r="B331" s="136"/>
      <c r="C331" s="136"/>
      <c r="D331" s="158">
        <f>D267</f>
        <v>0</v>
      </c>
      <c r="E331" s="169">
        <f>E267</f>
        <v>0</v>
      </c>
      <c r="F331" s="136"/>
      <c r="G331" s="136"/>
      <c r="H331" s="136"/>
      <c r="I331" s="136"/>
      <c r="J331" s="136"/>
      <c r="K331" s="136"/>
      <c r="L331" s="136"/>
      <c r="M331" s="136"/>
      <c r="N331" s="136"/>
      <c r="O331" s="136"/>
      <c r="P331" s="136"/>
      <c r="Q331" s="136"/>
      <c r="R331" s="136"/>
      <c r="S331" s="136"/>
      <c r="T331" s="136"/>
      <c r="U331" s="136"/>
      <c r="V331" s="136"/>
      <c r="W331" s="136"/>
      <c r="X331" s="136"/>
      <c r="Y331" s="136"/>
      <c r="Z331" s="136"/>
      <c r="AA331" s="136"/>
      <c r="AB331" s="136"/>
      <c r="AC331" s="136"/>
      <c r="AD331" s="136"/>
      <c r="AE331" s="136"/>
      <c r="AF331" s="136"/>
      <c r="AG331" s="136"/>
      <c r="AH331" s="136"/>
      <c r="AI331" s="136"/>
      <c r="AJ331" s="136"/>
      <c r="AK331" s="136"/>
      <c r="AL331" s="136"/>
      <c r="AM331" s="136"/>
      <c r="AN331" s="136"/>
      <c r="AO331" s="136"/>
      <c r="AP331" s="136"/>
      <c r="AQ331" s="136"/>
      <c r="AR331" s="136"/>
      <c r="AS331" s="136"/>
      <c r="AT331" s="136"/>
      <c r="AU331" s="136"/>
      <c r="AV331" s="136"/>
      <c r="AW331" s="136"/>
      <c r="AX331" s="136"/>
      <c r="AY331" s="136"/>
      <c r="AZ331" s="136"/>
      <c r="BA331" s="136"/>
      <c r="BB331" s="136"/>
      <c r="BC331" s="136"/>
      <c r="BD331" s="136"/>
      <c r="BE331" s="136"/>
      <c r="BF331" s="136"/>
      <c r="BG331" s="136"/>
      <c r="BH331" s="136"/>
      <c r="BI331" s="136"/>
      <c r="BJ331" s="136"/>
      <c r="BK331" s="136"/>
      <c r="BL331" s="136"/>
      <c r="BM331" s="136"/>
      <c r="BN331" s="136"/>
      <c r="BO331" s="136"/>
      <c r="BP331" s="136"/>
      <c r="BQ331" s="139"/>
      <c r="BR331" s="1801"/>
      <c r="BS331" s="139"/>
      <c r="BT331" s="1801"/>
      <c r="BU331" s="139"/>
      <c r="BV331" s="139"/>
      <c r="BW331" s="139"/>
      <c r="BX331" s="139"/>
      <c r="BY331" s="139"/>
      <c r="BZ331" s="139"/>
      <c r="CA331" s="139"/>
      <c r="CB331" s="29"/>
      <c r="CC331" s="29"/>
      <c r="CD331" s="29"/>
      <c r="CE331" s="29"/>
      <c r="CF331" s="29"/>
      <c r="CG331" s="29"/>
      <c r="CH331" s="29"/>
      <c r="CI331" s="29"/>
      <c r="CJ331" s="29"/>
      <c r="CK331" s="29"/>
    </row>
    <row r="332" spans="1:89" ht="12.75" customHeight="1" x14ac:dyDescent="0.35">
      <c r="A332" s="136"/>
      <c r="B332" s="136"/>
      <c r="C332" s="136"/>
      <c r="D332" s="158">
        <f>D268</f>
        <v>0</v>
      </c>
      <c r="E332" s="169">
        <f>E268</f>
        <v>0</v>
      </c>
      <c r="F332" s="136"/>
      <c r="G332" s="136"/>
      <c r="H332" s="136"/>
      <c r="I332" s="136"/>
      <c r="J332" s="136"/>
      <c r="K332" s="136"/>
      <c r="L332" s="136"/>
      <c r="M332" s="136"/>
      <c r="N332" s="136"/>
      <c r="O332" s="136"/>
      <c r="P332" s="136"/>
      <c r="Q332" s="136"/>
      <c r="R332" s="136"/>
      <c r="S332" s="136"/>
      <c r="T332" s="136"/>
      <c r="U332" s="136"/>
      <c r="V332" s="136"/>
      <c r="W332" s="136"/>
      <c r="X332" s="136"/>
      <c r="Y332" s="136"/>
      <c r="Z332" s="136"/>
      <c r="AA332" s="136"/>
      <c r="AB332" s="136"/>
      <c r="AC332" s="136"/>
      <c r="AD332" s="136"/>
      <c r="AE332" s="136"/>
      <c r="AF332" s="136"/>
      <c r="AG332" s="136"/>
      <c r="AH332" s="136"/>
      <c r="AI332" s="136"/>
      <c r="AJ332" s="136"/>
      <c r="AK332" s="136"/>
      <c r="AL332" s="136"/>
      <c r="AM332" s="136"/>
      <c r="AN332" s="136"/>
      <c r="AO332" s="136"/>
      <c r="AP332" s="136"/>
      <c r="AQ332" s="136"/>
      <c r="AR332" s="136"/>
      <c r="AS332" s="136"/>
      <c r="AT332" s="136"/>
      <c r="AU332" s="136"/>
      <c r="AV332" s="136"/>
      <c r="AW332" s="136"/>
      <c r="AX332" s="136"/>
      <c r="AY332" s="136"/>
      <c r="AZ332" s="136"/>
      <c r="BA332" s="136"/>
      <c r="BB332" s="136"/>
      <c r="BC332" s="136"/>
      <c r="BD332" s="136"/>
      <c r="BE332" s="136"/>
      <c r="BF332" s="136"/>
      <c r="BG332" s="136"/>
      <c r="BH332" s="136"/>
      <c r="BI332" s="136"/>
      <c r="BJ332" s="136"/>
      <c r="BK332" s="136"/>
      <c r="BL332" s="136"/>
      <c r="BM332" s="136"/>
      <c r="BN332" s="136"/>
      <c r="BO332" s="136"/>
      <c r="BP332" s="136"/>
      <c r="BQ332" s="139"/>
      <c r="BR332" s="1801"/>
      <c r="BS332" s="139"/>
      <c r="BT332" s="1801"/>
      <c r="BU332" s="139"/>
      <c r="BV332" s="139"/>
      <c r="BW332" s="139"/>
      <c r="BX332" s="139"/>
      <c r="BY332" s="139"/>
      <c r="BZ332" s="139"/>
      <c r="CA332" s="139"/>
      <c r="CB332" s="29"/>
      <c r="CC332" s="29"/>
      <c r="CD332" s="29"/>
      <c r="CE332" s="29"/>
      <c r="CF332" s="29"/>
      <c r="CG332" s="29"/>
      <c r="CH332" s="29"/>
      <c r="CI332" s="29"/>
      <c r="CJ332" s="29"/>
      <c r="CK332" s="29"/>
    </row>
    <row r="333" spans="1:89" ht="12.75" customHeight="1" x14ac:dyDescent="0.35">
      <c r="A333" s="136"/>
      <c r="B333" s="136"/>
      <c r="C333" s="136"/>
      <c r="D333" s="158">
        <f>D269</f>
        <v>0</v>
      </c>
      <c r="E333" s="169">
        <f>E269</f>
        <v>0</v>
      </c>
      <c r="F333" s="136"/>
      <c r="G333" s="136"/>
      <c r="H333" s="136"/>
      <c r="I333" s="136"/>
      <c r="J333" s="136"/>
      <c r="K333" s="136"/>
      <c r="L333" s="136"/>
      <c r="M333" s="136"/>
      <c r="N333" s="136"/>
      <c r="O333" s="136"/>
      <c r="P333" s="136"/>
      <c r="Q333" s="136"/>
      <c r="R333" s="136"/>
      <c r="S333" s="136"/>
      <c r="T333" s="136"/>
      <c r="U333" s="136"/>
      <c r="V333" s="136"/>
      <c r="W333" s="136"/>
      <c r="X333" s="136"/>
      <c r="Y333" s="136"/>
      <c r="Z333" s="136"/>
      <c r="AA333" s="136"/>
      <c r="AB333" s="136"/>
      <c r="AC333" s="136"/>
      <c r="AD333" s="136"/>
      <c r="AE333" s="136"/>
      <c r="AF333" s="136"/>
      <c r="AG333" s="136"/>
      <c r="AH333" s="136"/>
      <c r="AI333" s="136"/>
      <c r="AJ333" s="136"/>
      <c r="AK333" s="136"/>
      <c r="AL333" s="136"/>
      <c r="AM333" s="136"/>
      <c r="AN333" s="136"/>
      <c r="AO333" s="136"/>
      <c r="AP333" s="136"/>
      <c r="AQ333" s="136"/>
      <c r="AR333" s="136"/>
      <c r="AS333" s="136"/>
      <c r="AT333" s="136"/>
      <c r="AU333" s="136"/>
      <c r="AV333" s="136"/>
      <c r="AW333" s="136"/>
      <c r="AX333" s="136"/>
      <c r="AY333" s="136"/>
      <c r="AZ333" s="136"/>
      <c r="BA333" s="136"/>
      <c r="BB333" s="136"/>
      <c r="BC333" s="136"/>
      <c r="BD333" s="136"/>
      <c r="BE333" s="136"/>
      <c r="BF333" s="136"/>
      <c r="BG333" s="136"/>
      <c r="BH333" s="136"/>
      <c r="BI333" s="136"/>
      <c r="BJ333" s="136"/>
      <c r="BK333" s="136"/>
      <c r="BL333" s="136"/>
      <c r="BM333" s="136"/>
      <c r="BN333" s="136"/>
      <c r="BO333" s="136"/>
      <c r="BP333" s="136"/>
      <c r="BQ333" s="139"/>
      <c r="BR333" s="1801"/>
      <c r="BS333" s="139"/>
      <c r="BT333" s="1801"/>
      <c r="BU333" s="139"/>
      <c r="BV333" s="139"/>
      <c r="BW333" s="139"/>
      <c r="BX333" s="139"/>
      <c r="BY333" s="139"/>
      <c r="BZ333" s="139"/>
      <c r="CA333" s="139"/>
      <c r="CB333" s="29"/>
      <c r="CC333" s="29"/>
      <c r="CD333" s="29"/>
      <c r="CE333" s="29"/>
      <c r="CF333" s="29"/>
      <c r="CG333" s="29"/>
      <c r="CH333" s="29"/>
      <c r="CI333" s="29"/>
      <c r="CJ333" s="29"/>
      <c r="CK333" s="29"/>
    </row>
    <row r="334" spans="1:89" ht="12.75" customHeight="1" x14ac:dyDescent="0.35">
      <c r="A334" s="136"/>
      <c r="B334" s="136"/>
      <c r="C334" s="136"/>
      <c r="D334" s="138">
        <f>D270</f>
        <v>0</v>
      </c>
      <c r="E334" s="188">
        <f>E270</f>
        <v>0</v>
      </c>
      <c r="F334" s="136"/>
      <c r="G334" s="136"/>
      <c r="H334" s="136"/>
      <c r="I334" s="136"/>
      <c r="J334" s="136"/>
      <c r="K334" s="136"/>
      <c r="L334" s="136"/>
      <c r="M334" s="136"/>
      <c r="N334" s="136"/>
      <c r="O334" s="136"/>
      <c r="P334" s="136"/>
      <c r="Q334" s="136"/>
      <c r="R334" s="136"/>
      <c r="S334" s="136"/>
      <c r="T334" s="136"/>
      <c r="U334" s="136"/>
      <c r="V334" s="136"/>
      <c r="W334" s="136"/>
      <c r="X334" s="136"/>
      <c r="Y334" s="136"/>
      <c r="Z334" s="136"/>
      <c r="AA334" s="136"/>
      <c r="AB334" s="136"/>
      <c r="AC334" s="136"/>
      <c r="AD334" s="136"/>
      <c r="AE334" s="136"/>
      <c r="AF334" s="136"/>
      <c r="AG334" s="136"/>
      <c r="AH334" s="136"/>
      <c r="AI334" s="136"/>
      <c r="AJ334" s="136"/>
      <c r="AK334" s="136"/>
      <c r="AL334" s="136"/>
      <c r="AM334" s="136"/>
      <c r="AN334" s="136"/>
      <c r="AO334" s="136"/>
      <c r="AP334" s="136"/>
      <c r="AQ334" s="136"/>
      <c r="AR334" s="136"/>
      <c r="AS334" s="136"/>
      <c r="AT334" s="136"/>
      <c r="AU334" s="136"/>
      <c r="AV334" s="136"/>
      <c r="AW334" s="136"/>
      <c r="AX334" s="136"/>
      <c r="AY334" s="136"/>
      <c r="AZ334" s="136"/>
      <c r="BA334" s="136"/>
      <c r="BB334" s="136"/>
      <c r="BC334" s="136"/>
      <c r="BD334" s="136"/>
      <c r="BE334" s="136"/>
      <c r="BF334" s="136"/>
      <c r="BG334" s="136"/>
      <c r="BH334" s="136"/>
      <c r="BI334" s="136"/>
      <c r="BJ334" s="136"/>
      <c r="BK334" s="136"/>
      <c r="BL334" s="136"/>
      <c r="BM334" s="136"/>
      <c r="BN334" s="136"/>
      <c r="BO334" s="136"/>
      <c r="BP334" s="136"/>
      <c r="BQ334" s="139"/>
      <c r="BR334" s="1801"/>
      <c r="BS334" s="139"/>
      <c r="BT334" s="1801"/>
      <c r="BU334" s="139"/>
      <c r="BV334" s="139"/>
      <c r="BW334" s="139"/>
      <c r="BX334" s="139"/>
      <c r="BY334" s="139"/>
      <c r="BZ334" s="139"/>
      <c r="CA334" s="139"/>
      <c r="CB334" s="29"/>
      <c r="CC334" s="29"/>
      <c r="CD334" s="29"/>
      <c r="CE334" s="29"/>
      <c r="CF334" s="29"/>
      <c r="CG334" s="29"/>
      <c r="CH334" s="29"/>
      <c r="CI334" s="29"/>
      <c r="CJ334" s="29"/>
      <c r="CK334" s="29"/>
    </row>
    <row r="335" spans="1:89" ht="12.75" customHeight="1" x14ac:dyDescent="0.35">
      <c r="A335" s="136"/>
      <c r="B335" s="136"/>
      <c r="C335" s="136"/>
      <c r="D335" s="138">
        <f>D271</f>
        <v>0</v>
      </c>
      <c r="E335" s="169">
        <f>E271</f>
        <v>0</v>
      </c>
      <c r="F335" s="136"/>
      <c r="G335" s="136"/>
      <c r="H335" s="136"/>
      <c r="I335" s="136"/>
      <c r="J335" s="136"/>
      <c r="K335" s="136"/>
      <c r="L335" s="136"/>
      <c r="M335" s="136"/>
      <c r="N335" s="136"/>
      <c r="O335" s="136"/>
      <c r="P335" s="136"/>
      <c r="Q335" s="136"/>
      <c r="R335" s="136"/>
      <c r="S335" s="136"/>
      <c r="T335" s="136"/>
      <c r="U335" s="136"/>
      <c r="V335" s="136"/>
      <c r="W335" s="136"/>
      <c r="X335" s="136"/>
      <c r="Y335" s="136"/>
      <c r="Z335" s="136"/>
      <c r="AA335" s="136"/>
      <c r="AB335" s="136"/>
      <c r="AC335" s="136"/>
      <c r="AD335" s="136"/>
      <c r="AE335" s="136"/>
      <c r="AF335" s="136"/>
      <c r="AG335" s="136"/>
      <c r="AH335" s="136"/>
      <c r="AI335" s="136"/>
      <c r="AJ335" s="136"/>
      <c r="AK335" s="136"/>
      <c r="AL335" s="136"/>
      <c r="AM335" s="136"/>
      <c r="AN335" s="136"/>
      <c r="AO335" s="136"/>
      <c r="AP335" s="136"/>
      <c r="AQ335" s="136"/>
      <c r="AR335" s="136"/>
      <c r="AS335" s="136"/>
      <c r="AT335" s="136"/>
      <c r="AU335" s="136"/>
      <c r="AV335" s="136"/>
      <c r="AW335" s="136"/>
      <c r="AX335" s="136"/>
      <c r="AY335" s="136"/>
      <c r="AZ335" s="136"/>
      <c r="BA335" s="136"/>
      <c r="BB335" s="136"/>
      <c r="BC335" s="136"/>
      <c r="BD335" s="136"/>
      <c r="BE335" s="136"/>
      <c r="BF335" s="136"/>
      <c r="BG335" s="136"/>
      <c r="BH335" s="136"/>
      <c r="BI335" s="136"/>
      <c r="BJ335" s="136"/>
      <c r="BK335" s="136"/>
      <c r="BL335" s="136"/>
      <c r="BM335" s="136"/>
      <c r="BN335" s="136"/>
      <c r="BO335" s="136"/>
      <c r="BP335" s="136"/>
      <c r="BQ335" s="139"/>
      <c r="BR335" s="1801"/>
      <c r="BS335" s="139"/>
      <c r="BT335" s="1801"/>
      <c r="BU335" s="139"/>
      <c r="BV335" s="139"/>
      <c r="BW335" s="139"/>
      <c r="BX335" s="139"/>
      <c r="BY335" s="139"/>
      <c r="BZ335" s="139"/>
      <c r="CA335" s="139"/>
      <c r="CB335" s="29"/>
      <c r="CC335" s="29"/>
      <c r="CD335" s="29"/>
      <c r="CE335" s="29"/>
      <c r="CF335" s="29"/>
      <c r="CG335" s="29"/>
      <c r="CH335" s="29"/>
      <c r="CI335" s="29"/>
      <c r="CJ335" s="29"/>
      <c r="CK335" s="29"/>
    </row>
    <row r="336" spans="1:89" ht="12.75" customHeight="1" thickBot="1" x14ac:dyDescent="0.4">
      <c r="A336" s="136"/>
      <c r="B336" s="136"/>
      <c r="C336" s="136"/>
      <c r="D336" s="138">
        <f>D272</f>
        <v>0</v>
      </c>
      <c r="E336" s="187">
        <f>E272</f>
        <v>0</v>
      </c>
      <c r="F336" s="136"/>
      <c r="G336" s="136"/>
      <c r="H336" s="136"/>
      <c r="I336" s="136"/>
      <c r="J336" s="136"/>
      <c r="K336" s="136"/>
      <c r="L336" s="136"/>
      <c r="M336" s="136"/>
      <c r="N336" s="136"/>
      <c r="O336" s="136"/>
      <c r="P336" s="136"/>
      <c r="Q336" s="136"/>
      <c r="R336" s="136"/>
      <c r="S336" s="136"/>
      <c r="T336" s="136"/>
      <c r="U336" s="136"/>
      <c r="V336" s="136"/>
      <c r="W336" s="136"/>
      <c r="X336" s="136"/>
      <c r="Y336" s="136"/>
      <c r="Z336" s="136"/>
      <c r="AA336" s="136"/>
      <c r="AB336" s="136"/>
      <c r="AC336" s="136"/>
      <c r="AD336" s="136"/>
      <c r="AE336" s="136"/>
      <c r="AF336" s="136"/>
      <c r="AG336" s="136"/>
      <c r="AH336" s="136"/>
      <c r="AI336" s="136"/>
      <c r="AJ336" s="136"/>
      <c r="AK336" s="136"/>
      <c r="AL336" s="136"/>
      <c r="AM336" s="136"/>
      <c r="AN336" s="136"/>
      <c r="AO336" s="136"/>
      <c r="AP336" s="136"/>
      <c r="AQ336" s="136"/>
      <c r="AR336" s="136"/>
      <c r="AS336" s="136"/>
      <c r="AT336" s="136"/>
      <c r="AU336" s="136"/>
      <c r="AV336" s="136"/>
      <c r="AW336" s="136"/>
      <c r="AX336" s="136"/>
      <c r="AY336" s="136"/>
      <c r="AZ336" s="136"/>
      <c r="BA336" s="136"/>
      <c r="BB336" s="136"/>
      <c r="BC336" s="136"/>
      <c r="BD336" s="136"/>
      <c r="BE336" s="136"/>
      <c r="BF336" s="136"/>
      <c r="BG336" s="136"/>
      <c r="BH336" s="136"/>
      <c r="BI336" s="136"/>
      <c r="BJ336" s="136"/>
      <c r="BK336" s="136"/>
      <c r="BL336" s="136"/>
      <c r="BM336" s="136"/>
      <c r="BN336" s="136"/>
      <c r="BO336" s="136"/>
      <c r="BP336" s="136"/>
      <c r="BQ336" s="139"/>
      <c r="BR336" s="1801"/>
      <c r="BS336" s="139"/>
      <c r="BT336" s="1801"/>
      <c r="BU336" s="139"/>
      <c r="BV336" s="139"/>
      <c r="BW336" s="139"/>
      <c r="BX336" s="139"/>
      <c r="BY336" s="139"/>
      <c r="BZ336" s="139"/>
      <c r="CA336" s="139"/>
      <c r="CB336" s="29"/>
      <c r="CC336" s="29"/>
      <c r="CD336" s="29"/>
      <c r="CE336" s="29"/>
      <c r="CF336" s="29"/>
      <c r="CG336" s="29"/>
      <c r="CH336" s="29"/>
      <c r="CI336" s="29"/>
      <c r="CJ336" s="29"/>
      <c r="CK336" s="29"/>
    </row>
    <row r="337" spans="1:89" ht="12.75" customHeight="1" thickTop="1" x14ac:dyDescent="0.35">
      <c r="A337" s="136"/>
      <c r="B337" s="136"/>
      <c r="C337" s="136"/>
      <c r="D337" s="158"/>
      <c r="E337" s="169"/>
      <c r="F337" s="136"/>
      <c r="G337" s="136"/>
      <c r="H337" s="136"/>
      <c r="I337" s="136"/>
      <c r="J337" s="136"/>
      <c r="K337" s="136"/>
      <c r="L337" s="136"/>
      <c r="M337" s="136"/>
      <c r="N337" s="136"/>
      <c r="O337" s="136"/>
      <c r="P337" s="136"/>
      <c r="Q337" s="136"/>
      <c r="R337" s="136"/>
      <c r="S337" s="136"/>
      <c r="T337" s="136"/>
      <c r="U337" s="136"/>
      <c r="V337" s="136"/>
      <c r="W337" s="136"/>
      <c r="X337" s="136"/>
      <c r="Y337" s="136"/>
      <c r="Z337" s="136"/>
      <c r="AA337" s="136"/>
      <c r="AB337" s="136"/>
      <c r="AC337" s="136"/>
      <c r="AD337" s="136"/>
      <c r="AE337" s="136"/>
      <c r="AF337" s="136"/>
      <c r="AG337" s="136"/>
      <c r="AH337" s="136"/>
      <c r="AI337" s="136"/>
      <c r="AJ337" s="136"/>
      <c r="AK337" s="136"/>
      <c r="AL337" s="136"/>
      <c r="AM337" s="136"/>
      <c r="AN337" s="136"/>
      <c r="AO337" s="136"/>
      <c r="AP337" s="136"/>
      <c r="AQ337" s="136"/>
      <c r="AR337" s="136"/>
      <c r="AS337" s="136"/>
      <c r="AT337" s="136"/>
      <c r="AU337" s="136"/>
      <c r="AV337" s="136"/>
      <c r="AW337" s="136"/>
      <c r="AX337" s="136"/>
      <c r="AY337" s="136"/>
      <c r="AZ337" s="136"/>
      <c r="BA337" s="136"/>
      <c r="BB337" s="136"/>
      <c r="BC337" s="136"/>
      <c r="BD337" s="136"/>
      <c r="BE337" s="136"/>
      <c r="BF337" s="136"/>
      <c r="BG337" s="136"/>
      <c r="BH337" s="136"/>
      <c r="BI337" s="136"/>
      <c r="BJ337" s="136"/>
      <c r="BK337" s="136"/>
      <c r="BL337" s="136"/>
      <c r="BM337" s="136"/>
      <c r="BN337" s="136"/>
      <c r="BO337" s="136"/>
      <c r="BP337" s="136"/>
      <c r="BQ337" s="139"/>
      <c r="BR337" s="1801"/>
      <c r="BS337" s="139"/>
      <c r="BT337" s="1801"/>
      <c r="BU337" s="139"/>
      <c r="BV337" s="139"/>
      <c r="BW337" s="139"/>
      <c r="BX337" s="139"/>
      <c r="BY337" s="139"/>
      <c r="BZ337" s="139"/>
      <c r="CA337" s="139"/>
      <c r="CB337" s="29"/>
      <c r="CC337" s="29"/>
      <c r="CD337" s="29"/>
      <c r="CE337" s="29"/>
      <c r="CF337" s="29"/>
      <c r="CG337" s="29"/>
      <c r="CH337" s="29"/>
      <c r="CI337" s="29"/>
      <c r="CJ337" s="29"/>
      <c r="CK337" s="29"/>
    </row>
    <row r="338" spans="1:89" ht="12.75" customHeight="1" x14ac:dyDescent="0.35">
      <c r="A338" s="136"/>
      <c r="B338" s="136"/>
      <c r="C338" s="136"/>
      <c r="D338" s="158"/>
      <c r="E338" s="169"/>
      <c r="F338" s="136"/>
      <c r="G338" s="136"/>
      <c r="H338" s="136"/>
      <c r="I338" s="136"/>
      <c r="J338" s="136"/>
      <c r="K338" s="136"/>
      <c r="L338" s="136"/>
      <c r="M338" s="136"/>
      <c r="N338" s="136"/>
      <c r="O338" s="136"/>
      <c r="P338" s="136"/>
      <c r="Q338" s="136"/>
      <c r="R338" s="136"/>
      <c r="S338" s="136"/>
      <c r="T338" s="136"/>
      <c r="U338" s="136"/>
      <c r="V338" s="136"/>
      <c r="W338" s="136"/>
      <c r="X338" s="136"/>
      <c r="Y338" s="136"/>
      <c r="Z338" s="136"/>
      <c r="AA338" s="136"/>
      <c r="AB338" s="136"/>
      <c r="AC338" s="136"/>
      <c r="AD338" s="136"/>
      <c r="AE338" s="136"/>
      <c r="AF338" s="136"/>
      <c r="AG338" s="136"/>
      <c r="AH338" s="136"/>
      <c r="AI338" s="136"/>
      <c r="AJ338" s="136"/>
      <c r="AK338" s="136"/>
      <c r="AL338" s="136"/>
      <c r="AM338" s="136"/>
      <c r="AN338" s="136"/>
      <c r="AO338" s="136"/>
      <c r="AP338" s="136"/>
      <c r="AQ338" s="136"/>
      <c r="AR338" s="136"/>
      <c r="AS338" s="136"/>
      <c r="AT338" s="136"/>
      <c r="AU338" s="136"/>
      <c r="AV338" s="136"/>
      <c r="AW338" s="136"/>
      <c r="AX338" s="136"/>
      <c r="AY338" s="136"/>
      <c r="AZ338" s="136"/>
      <c r="BA338" s="136"/>
      <c r="BB338" s="136"/>
      <c r="BC338" s="136"/>
      <c r="BD338" s="136"/>
      <c r="BE338" s="136"/>
      <c r="BF338" s="136"/>
      <c r="BG338" s="136"/>
      <c r="BH338" s="136"/>
      <c r="BI338" s="136"/>
      <c r="BJ338" s="136"/>
      <c r="BK338" s="136"/>
      <c r="BL338" s="136"/>
      <c r="BM338" s="136"/>
      <c r="BN338" s="136"/>
      <c r="BO338" s="136"/>
      <c r="BP338" s="136"/>
      <c r="BQ338" s="139"/>
      <c r="BR338" s="1801"/>
      <c r="BS338" s="139"/>
      <c r="BT338" s="1801"/>
      <c r="BU338" s="139"/>
      <c r="BV338" s="139"/>
      <c r="BW338" s="139"/>
      <c r="BX338" s="139"/>
      <c r="BY338" s="139"/>
      <c r="BZ338" s="139"/>
      <c r="CA338" s="139"/>
      <c r="CB338" s="29"/>
      <c r="CC338" s="29"/>
      <c r="CD338" s="29"/>
      <c r="CE338" s="29"/>
      <c r="CF338" s="29"/>
      <c r="CG338" s="29"/>
      <c r="CH338" s="29"/>
      <c r="CI338" s="29"/>
      <c r="CJ338" s="29"/>
      <c r="CK338" s="29"/>
    </row>
    <row r="339" spans="1:89" ht="12.75" customHeight="1" x14ac:dyDescent="0.35">
      <c r="A339" s="136"/>
      <c r="B339" s="136"/>
      <c r="C339" s="136"/>
      <c r="D339" s="158"/>
      <c r="E339" s="169"/>
      <c r="F339" s="136"/>
      <c r="G339" s="136"/>
      <c r="H339" s="136"/>
      <c r="I339" s="136"/>
      <c r="J339" s="136"/>
      <c r="K339" s="136"/>
      <c r="L339" s="136"/>
      <c r="M339" s="136"/>
      <c r="N339" s="136"/>
      <c r="O339" s="136"/>
      <c r="P339" s="136"/>
      <c r="Q339" s="136"/>
      <c r="R339" s="136"/>
      <c r="S339" s="136"/>
      <c r="T339" s="136"/>
      <c r="U339" s="136"/>
      <c r="V339" s="136"/>
      <c r="W339" s="136"/>
      <c r="X339" s="136"/>
      <c r="Y339" s="136"/>
      <c r="Z339" s="136"/>
      <c r="AA339" s="136"/>
      <c r="AB339" s="136"/>
      <c r="AC339" s="136"/>
      <c r="AD339" s="136"/>
      <c r="AE339" s="136"/>
      <c r="AF339" s="136"/>
      <c r="AG339" s="136"/>
      <c r="AH339" s="136"/>
      <c r="AI339" s="136"/>
      <c r="AJ339" s="136"/>
      <c r="AK339" s="136"/>
      <c r="AL339" s="136"/>
      <c r="AM339" s="136"/>
      <c r="AN339" s="136"/>
      <c r="AO339" s="136"/>
      <c r="AP339" s="136"/>
      <c r="AQ339" s="136"/>
      <c r="AR339" s="136"/>
      <c r="AS339" s="136"/>
      <c r="AT339" s="136"/>
      <c r="AU339" s="136"/>
      <c r="AV339" s="136"/>
      <c r="AW339" s="136"/>
      <c r="AX339" s="136"/>
      <c r="AY339" s="136"/>
      <c r="AZ339" s="136"/>
      <c r="BA339" s="136"/>
      <c r="BB339" s="136"/>
      <c r="BC339" s="136"/>
      <c r="BD339" s="136"/>
      <c r="BE339" s="136"/>
      <c r="BF339" s="136"/>
      <c r="BG339" s="136"/>
      <c r="BH339" s="136"/>
      <c r="BI339" s="136"/>
      <c r="BJ339" s="136"/>
      <c r="BK339" s="136"/>
      <c r="BL339" s="136"/>
      <c r="BM339" s="136"/>
      <c r="BN339" s="136"/>
      <c r="BO339" s="136"/>
      <c r="BP339" s="136"/>
      <c r="BQ339" s="139"/>
      <c r="BR339" s="1801"/>
      <c r="BS339" s="139"/>
      <c r="BT339" s="1801"/>
      <c r="BU339" s="139"/>
      <c r="BV339" s="139"/>
      <c r="BW339" s="139"/>
      <c r="BX339" s="139"/>
      <c r="BY339" s="139"/>
      <c r="BZ339" s="139"/>
      <c r="CA339" s="139"/>
      <c r="CB339" s="29"/>
      <c r="CC339" s="29"/>
      <c r="CD339" s="29"/>
      <c r="CE339" s="29"/>
      <c r="CF339" s="29"/>
      <c r="CG339" s="29"/>
      <c r="CH339" s="29"/>
      <c r="CI339" s="29"/>
      <c r="CJ339" s="29"/>
      <c r="CK339" s="29"/>
    </row>
    <row r="340" spans="1:89" ht="12.75" customHeight="1" x14ac:dyDescent="0.35">
      <c r="A340" s="136"/>
      <c r="B340" s="136"/>
      <c r="C340" s="136"/>
      <c r="D340" s="158"/>
      <c r="E340" s="136"/>
      <c r="F340" s="136"/>
      <c r="G340" s="136"/>
      <c r="H340" s="136"/>
      <c r="I340" s="136"/>
      <c r="J340" s="136"/>
      <c r="K340" s="136"/>
      <c r="L340" s="136"/>
      <c r="M340" s="136"/>
      <c r="N340" s="136"/>
      <c r="O340" s="136"/>
      <c r="P340" s="136"/>
      <c r="Q340" s="136"/>
      <c r="R340" s="136"/>
      <c r="S340" s="136"/>
      <c r="T340" s="136"/>
      <c r="U340" s="136"/>
      <c r="V340" s="136"/>
      <c r="W340" s="136"/>
      <c r="X340" s="136"/>
      <c r="Y340" s="136"/>
      <c r="Z340" s="136"/>
      <c r="AA340" s="136"/>
      <c r="AB340" s="136"/>
      <c r="AC340" s="136"/>
      <c r="AD340" s="136"/>
      <c r="AE340" s="136"/>
      <c r="AF340" s="136"/>
      <c r="AG340" s="136"/>
      <c r="AH340" s="136"/>
      <c r="AI340" s="136"/>
      <c r="AJ340" s="136"/>
      <c r="AK340" s="136"/>
      <c r="AL340" s="136"/>
      <c r="AM340" s="136"/>
      <c r="AN340" s="136"/>
      <c r="AO340" s="136"/>
      <c r="AP340" s="136"/>
      <c r="AQ340" s="136"/>
      <c r="AR340" s="136"/>
      <c r="AS340" s="136"/>
      <c r="AT340" s="136"/>
      <c r="AU340" s="136"/>
      <c r="AV340" s="136"/>
      <c r="AW340" s="136"/>
      <c r="AX340" s="136"/>
      <c r="AY340" s="136"/>
      <c r="AZ340" s="136"/>
      <c r="BA340" s="136"/>
      <c r="BB340" s="136"/>
      <c r="BC340" s="136"/>
      <c r="BD340" s="136"/>
      <c r="BE340" s="136"/>
      <c r="BF340" s="136"/>
      <c r="BG340" s="136"/>
      <c r="BH340" s="136"/>
      <c r="BI340" s="136"/>
      <c r="BJ340" s="136"/>
      <c r="BK340" s="136"/>
      <c r="BL340" s="136"/>
      <c r="BM340" s="136"/>
      <c r="BN340" s="136"/>
      <c r="BO340" s="136"/>
      <c r="BP340" s="136"/>
      <c r="BQ340" s="139"/>
      <c r="BR340" s="1801"/>
      <c r="BS340" s="139"/>
      <c r="BT340" s="1801"/>
      <c r="BU340" s="139"/>
      <c r="BV340" s="139"/>
      <c r="BW340" s="139"/>
      <c r="BX340" s="139"/>
      <c r="BY340" s="139"/>
      <c r="BZ340" s="139"/>
      <c r="CA340" s="139"/>
      <c r="CB340" s="29"/>
      <c r="CC340" s="29"/>
      <c r="CD340" s="29"/>
      <c r="CE340" s="29"/>
      <c r="CF340" s="29"/>
      <c r="CG340" s="29"/>
      <c r="CH340" s="29"/>
      <c r="CI340" s="29"/>
      <c r="CJ340" s="29"/>
      <c r="CK340" s="29"/>
    </row>
  </sheetData>
  <sheetProtection algorithmName="SHA-512" hashValue="09sdu5bRMD3jKwtJ3GmSUVzgUglqzLZ9cq6lUL86CuMURfVzBW+YfuGjP19sUuBVxXcUIJJwHyabpKqsOIolpw==" saltValue="+c7H3n6fV6fIcTyLXyQYuA==" spinCount="100000" sheet="1" formatColumns="0" formatRows="0" insertColumns="0" insertRows="0"/>
  <mergeCells count="3">
    <mergeCell ref="B180:D181"/>
    <mergeCell ref="C147:D148"/>
    <mergeCell ref="D2:D3"/>
  </mergeCells>
  <conditionalFormatting sqref="A5:A226">
    <cfRule type="expression" dxfId="177" priority="25">
      <formula>$BS5=0</formula>
    </cfRule>
  </conditionalFormatting>
  <conditionalFormatting sqref="A106:A133">
    <cfRule type="expression" dxfId="176" priority="29">
      <formula>$BS106=0</formula>
    </cfRule>
  </conditionalFormatting>
  <conditionalFormatting sqref="D228:BP228">
    <cfRule type="expression" dxfId="167" priority="1">
      <formula>$AQ$28=0</formula>
    </cfRule>
  </conditionalFormatting>
  <conditionalFormatting sqref="D5:BQ32">
    <cfRule type="expression" dxfId="166" priority="20">
      <formula>$BS5=0</formula>
    </cfRule>
  </conditionalFormatting>
  <conditionalFormatting sqref="D36:BQ61">
    <cfRule type="expression" dxfId="165" priority="19">
      <formula>$BS36=0</formula>
    </cfRule>
  </conditionalFormatting>
  <conditionalFormatting sqref="D66:BQ77">
    <cfRule type="expression" dxfId="164" priority="18">
      <formula>$BS66=0</formula>
    </cfRule>
  </conditionalFormatting>
  <conditionalFormatting sqref="D82:BQ133">
    <cfRule type="expression" dxfId="163" priority="17">
      <formula>$BS82=0</formula>
    </cfRule>
  </conditionalFormatting>
  <conditionalFormatting sqref="D157:BQ157">
    <cfRule type="expression" dxfId="162" priority="13">
      <formula>$BS157=0</formula>
    </cfRule>
  </conditionalFormatting>
  <conditionalFormatting sqref="D168:BQ168">
    <cfRule type="expression" dxfId="161" priority="12">
      <formula>$B168=0</formula>
    </cfRule>
  </conditionalFormatting>
  <conditionalFormatting sqref="D187:BQ187">
    <cfRule type="expression" dxfId="160" priority="15">
      <formula>$BS187=0</formula>
    </cfRule>
  </conditionalFormatting>
  <conditionalFormatting sqref="D207:BQ210">
    <cfRule type="expression" dxfId="159" priority="4">
      <formula>$BS207=0</formula>
    </cfRule>
  </conditionalFormatting>
  <conditionalFormatting sqref="D220:BQ220">
    <cfRule type="expression" dxfId="158" priority="5">
      <formula>$BS220=0</formula>
    </cfRule>
  </conditionalFormatting>
  <conditionalFormatting sqref="AR3:BQ157 BD158 BQ158 AR159:BQ167 BD168:BQ168 AR169:BQ172 AR175:BQ194 BD195:BD198 BQ195:BQ198 AR199:BQ216 AR218:BQ219 BD220 BQ220 AR221:BQ223 BD224 BQ224 AR225:BQ225 BD226 BQ226 AR227:BQ227 BD228 BQ228">
    <cfRule type="expression" dxfId="157" priority="3">
      <formula>(Years="Three")</formula>
    </cfRule>
  </conditionalFormatting>
  <conditionalFormatting sqref="AR158:BR173 BR174 AR175:BR194 BD195:BD198 BQ195:BR198 AR199:BR228">
    <cfRule type="expression" dxfId="156" priority="2">
      <formula>Years="Three"</formula>
    </cfRule>
  </conditionalFormatting>
  <conditionalFormatting sqref="BD158 BQ158 D159:BQ159 D158:E158 Q158 AD158 AQ158">
    <cfRule type="expression" dxfId="155" priority="16">
      <formula>$BS158=0</formula>
    </cfRule>
  </conditionalFormatting>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2354" id="{00000000-000E-0000-0300-00002B030000}">
            <xm:f>Infrastructure!$AN$26&lt;&gt;Infrastructure!$AO$26</xm:f>
            <x14:dxf>
              <font>
                <b/>
                <i val="0"/>
                <color rgb="FFC00000"/>
              </font>
            </x14:dxf>
          </x14:cfRule>
          <xm:sqref>D4 D33</xm:sqref>
        </x14:conditionalFormatting>
        <x14:conditionalFormatting xmlns:xm="http://schemas.microsoft.com/office/excel/2006/main">
          <x14:cfRule type="expression" priority="2356" id="{00000000-000E-0000-0300-000003000000}">
            <xm:f>Infrastructure!$AN$27&lt;&gt;Infrastructure!$AO$27</xm:f>
            <x14:dxf>
              <font>
                <b/>
                <i val="0"/>
                <color rgb="FFC00000"/>
              </font>
            </x14:dxf>
          </x14:cfRule>
          <xm:sqref>D61 D35</xm:sqref>
        </x14:conditionalFormatting>
        <x14:conditionalFormatting xmlns:xm="http://schemas.microsoft.com/office/excel/2006/main">
          <x14:cfRule type="expression" priority="2358" id="{00000000-000E-0000-0300-000002000000}">
            <xm:f>Infrastructure!$AN$28&lt;&gt;Infrastructure!$AO$28</xm:f>
            <x14:dxf>
              <font>
                <b/>
                <i val="0"/>
                <color rgb="FFC00000"/>
              </font>
            </x14:dxf>
          </x14:cfRule>
          <xm:sqref>D65 D78</xm:sqref>
        </x14:conditionalFormatting>
        <x14:conditionalFormatting xmlns:xm="http://schemas.microsoft.com/office/excel/2006/main">
          <x14:cfRule type="expression" priority="2360" id="{00000000-000E-0000-0300-000001000000}">
            <xm:f>Infrastructure!$AN$29&lt;&gt;Infrastructure!$AO$29</xm:f>
            <x14:dxf>
              <font>
                <b/>
                <i val="0"/>
                <color rgb="FFC00000"/>
              </font>
            </x14:dxf>
          </x14:cfRule>
          <xm:sqref>D81 D134</xm:sqref>
        </x14:conditionalFormatting>
        <x14:conditionalFormatting xmlns:xm="http://schemas.microsoft.com/office/excel/2006/main">
          <x14:cfRule type="expression" priority="11" id="{01A8CDEE-75A7-47E8-8804-6B67660231CF}">
            <xm:f>(Infrastructure!$AN$31&lt;&gt;Infrastructure!$AO$31)</xm:f>
            <x14:dxf>
              <font>
                <color rgb="FFFF0000"/>
              </font>
            </x14:dxf>
          </x14:cfRule>
          <xm:sqref>D149 D160</xm:sqref>
        </x14:conditionalFormatting>
        <x14:conditionalFormatting xmlns:xm="http://schemas.microsoft.com/office/excel/2006/main">
          <x14:cfRule type="expression" priority="10" id="{CCE52D0B-7913-47BF-90EC-EAC54FAF17BD}">
            <xm:f>(Infrastructure!$AN$32&lt;&gt;Infrastructure!$AO$32)</xm:f>
            <x14:dxf>
              <font>
                <b/>
                <i val="0"/>
                <color rgb="FFC00000"/>
              </font>
            </x14:dxf>
          </x14:cfRule>
          <xm:sqref>D167:D168 D173</xm:sqref>
        </x14:conditionalFormatting>
        <x14:conditionalFormatting xmlns:xm="http://schemas.microsoft.com/office/excel/2006/main">
          <x14:cfRule type="expression" priority="9" id="{A0FA1123-ACB6-434C-ACFC-5A75E4744856}">
            <xm:f>(Infrastructure!$AN$33&lt;&gt;Infrastructure!$AO$33)</xm:f>
            <x14:dxf>
              <font>
                <b/>
                <i val="0"/>
                <color rgb="FFC00000"/>
              </font>
            </x14:dxf>
          </x14:cfRule>
          <xm:sqref>D205 D211</xm:sqref>
        </x14:conditionalFormatting>
        <x14:conditionalFormatting xmlns:xm="http://schemas.microsoft.com/office/excel/2006/main">
          <x14:cfRule type="expression" priority="8" id="{7E3EE6DE-7365-4E5C-ACCC-0072DFF8FE1E}">
            <xm:f>(Infrastructure!$AN$34&lt;&gt;Infrastructure!$AO$34)</xm:f>
            <x14:dxf>
              <font>
                <b/>
                <i val="0"/>
                <color rgb="FFC00000"/>
              </font>
            </x14:dxf>
          </x14:cfRule>
          <xm:sqref>D219 D224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5">
    <pageSetUpPr autoPageBreaks="0"/>
  </sheetPr>
  <dimension ref="A1:EX1996"/>
  <sheetViews>
    <sheetView showGridLines="0" workbookViewId="0">
      <selection activeCell="H3" sqref="H3"/>
    </sheetView>
  </sheetViews>
  <sheetFormatPr defaultColWidth="9" defaultRowHeight="14.5" x14ac:dyDescent="0.35"/>
  <cols>
    <col min="1" max="1" width="27.58203125" style="101" customWidth="1"/>
    <col min="2" max="4" width="11.5" style="40" customWidth="1"/>
    <col min="5" max="6" width="9" style="40"/>
    <col min="7" max="7" width="9" style="2"/>
    <col min="8" max="8" width="17.58203125" style="3" customWidth="1"/>
    <col min="9" max="20" width="12.58203125" style="2" customWidth="1"/>
    <col min="21" max="31" width="12.58203125" style="12" customWidth="1"/>
    <col min="32" max="94" width="12.58203125" style="22" customWidth="1"/>
    <col min="95" max="121" width="12.58203125" style="3" customWidth="1"/>
    <col min="122" max="152" width="12.58203125" style="2" customWidth="1"/>
    <col min="153" max="16384" width="9" style="2"/>
  </cols>
  <sheetData>
    <row r="1" spans="1:121" s="12" customFormat="1" ht="12" customHeight="1" x14ac:dyDescent="0.35">
      <c r="A1" s="1476"/>
      <c r="B1" s="1477"/>
      <c r="C1" s="1477"/>
      <c r="D1" s="1477"/>
      <c r="E1" s="1477"/>
      <c r="F1" s="1477"/>
      <c r="G1" s="1478"/>
      <c r="H1" s="1479"/>
      <c r="I1" s="1480">
        <f>$I$3</f>
        <v>0</v>
      </c>
      <c r="J1" s="1480">
        <f>$J$3</f>
        <v>0</v>
      </c>
      <c r="K1" s="1480">
        <f>$K$3</f>
        <v>0</v>
      </c>
      <c r="L1" s="1480">
        <f>$L$3</f>
        <v>0</v>
      </c>
      <c r="M1" s="1480">
        <f>$M$3</f>
        <v>0</v>
      </c>
      <c r="N1" s="1480">
        <f>$N$3</f>
        <v>0</v>
      </c>
      <c r="O1" s="1480">
        <f>$O$3</f>
        <v>0</v>
      </c>
      <c r="P1" s="1480">
        <f>$P$3</f>
        <v>0</v>
      </c>
      <c r="Q1" s="1480">
        <f>$Q$3</f>
        <v>0</v>
      </c>
      <c r="R1" s="1480">
        <f>$R$3</f>
        <v>0</v>
      </c>
      <c r="S1" s="1480">
        <f>$S$3</f>
        <v>0</v>
      </c>
      <c r="T1" s="1480">
        <f>$T$3</f>
        <v>0</v>
      </c>
      <c r="U1" s="1480">
        <f>$U$3</f>
        <v>0</v>
      </c>
      <c r="V1" s="1480">
        <f>$V$3</f>
        <v>0</v>
      </c>
      <c r="W1" s="1480">
        <f>$W$3</f>
        <v>0</v>
      </c>
      <c r="X1" s="1480">
        <f>$X$3</f>
        <v>0</v>
      </c>
      <c r="Y1" s="1480">
        <f>$Y$3</f>
        <v>0</v>
      </c>
      <c r="Z1" s="1480">
        <f>$Z$3</f>
        <v>0</v>
      </c>
      <c r="AA1" s="1480">
        <f>$AA$3</f>
        <v>0</v>
      </c>
      <c r="AB1" s="1480">
        <f>$AB$3</f>
        <v>0</v>
      </c>
      <c r="AC1" s="1480">
        <f>$AC$3</f>
        <v>0</v>
      </c>
      <c r="AD1" s="1480">
        <f>$AD$3</f>
        <v>0</v>
      </c>
      <c r="AE1" s="1480">
        <f>$AE$3</f>
        <v>0</v>
      </c>
      <c r="AF1" s="1480">
        <f>$AF$3</f>
        <v>0</v>
      </c>
      <c r="AG1" s="1480">
        <f>$AG$3</f>
        <v>0</v>
      </c>
      <c r="AH1" s="1480">
        <f>$AH$3</f>
        <v>0</v>
      </c>
      <c r="AI1" s="1480">
        <f>$AI$3</f>
        <v>0</v>
      </c>
      <c r="AJ1" s="1480">
        <f>$AJ$3</f>
        <v>0</v>
      </c>
      <c r="AK1" s="1480">
        <f>$AK$3</f>
        <v>0</v>
      </c>
      <c r="AL1" s="1480">
        <f>$AL$3</f>
        <v>0</v>
      </c>
      <c r="AM1" s="1480">
        <f>$AM$3</f>
        <v>0</v>
      </c>
      <c r="AN1" s="1480">
        <f>$AN$3</f>
        <v>0</v>
      </c>
      <c r="AO1" s="1480">
        <f>$AO$3</f>
        <v>0</v>
      </c>
      <c r="AP1" s="1480">
        <f>$AP$3</f>
        <v>0</v>
      </c>
      <c r="AQ1" s="1480">
        <f>$AQ$3</f>
        <v>0</v>
      </c>
      <c r="AR1" s="1480">
        <f>$AR$3</f>
        <v>0</v>
      </c>
      <c r="AS1" s="1480">
        <f>$AS$3</f>
        <v>0</v>
      </c>
      <c r="AT1" s="1480">
        <f>$AT$3</f>
        <v>0</v>
      </c>
      <c r="AU1" s="1480">
        <f>$AU$3</f>
        <v>0</v>
      </c>
      <c r="AV1" s="1480">
        <f>$AV$3</f>
        <v>0</v>
      </c>
      <c r="AW1" s="1480">
        <f>$AW$3</f>
        <v>0</v>
      </c>
      <c r="AX1" s="1480">
        <f>$AX$3</f>
        <v>0</v>
      </c>
      <c r="AY1" s="1480">
        <f>$AY$3</f>
        <v>0</v>
      </c>
      <c r="AZ1" s="1480">
        <f>$AZ$3</f>
        <v>0</v>
      </c>
      <c r="BA1" s="1480">
        <f>$BA$3</f>
        <v>0</v>
      </c>
      <c r="BB1" s="1480">
        <f>$BB$3</f>
        <v>0</v>
      </c>
      <c r="BC1" s="1480">
        <f>$BC$3</f>
        <v>0</v>
      </c>
      <c r="BD1" s="1480">
        <f>$BD$3</f>
        <v>0</v>
      </c>
      <c r="BE1" s="1480">
        <f>$BE$3</f>
        <v>0</v>
      </c>
      <c r="BF1" s="1480">
        <f>$BF$3</f>
        <v>0</v>
      </c>
      <c r="BG1" s="1480">
        <f>$BG$3</f>
        <v>0</v>
      </c>
      <c r="BH1" s="1480">
        <f>$BH$3</f>
        <v>0</v>
      </c>
      <c r="BI1" s="1480">
        <f>$BI$3</f>
        <v>0</v>
      </c>
      <c r="BJ1" s="1480">
        <f>$BJ$3</f>
        <v>0</v>
      </c>
      <c r="BK1" s="1480">
        <f>$BK$3</f>
        <v>0</v>
      </c>
      <c r="BL1" s="1480">
        <f>$BL$3</f>
        <v>0</v>
      </c>
      <c r="BM1" s="1480">
        <f>$BM$3</f>
        <v>0</v>
      </c>
      <c r="BN1" s="1480">
        <f>$BN$3</f>
        <v>0</v>
      </c>
      <c r="BO1" s="1480">
        <f>$BO$3</f>
        <v>0</v>
      </c>
      <c r="BP1" s="1480">
        <f>$BP$3</f>
        <v>0</v>
      </c>
      <c r="BQ1" s="43"/>
      <c r="BR1" s="43"/>
      <c r="BS1" s="43"/>
      <c r="BT1" s="43"/>
      <c r="BU1" s="43"/>
      <c r="BV1" s="43"/>
      <c r="BW1" s="43"/>
      <c r="BX1" s="43"/>
      <c r="BY1" s="43"/>
      <c r="BZ1" s="1183"/>
      <c r="CA1" s="1183"/>
      <c r="CB1" s="1183"/>
      <c r="CC1" s="1183"/>
      <c r="CD1" s="1183"/>
      <c r="CE1" s="1183"/>
      <c r="CF1" s="1183"/>
      <c r="CG1" s="1183"/>
      <c r="CH1" s="1183"/>
      <c r="CI1" s="1183"/>
      <c r="CJ1" s="1183"/>
      <c r="CK1" s="1183"/>
      <c r="CL1" s="1183"/>
      <c r="CM1" s="1183"/>
      <c r="CN1" s="1183"/>
      <c r="CO1" s="1183"/>
      <c r="CP1" s="1183"/>
      <c r="CQ1" s="1183"/>
      <c r="CR1" s="1183"/>
      <c r="CS1" s="1183"/>
      <c r="CT1" s="1183"/>
      <c r="CU1" s="1183"/>
      <c r="CV1" s="1183"/>
      <c r="CW1" s="1183"/>
      <c r="CX1" s="1183"/>
      <c r="CY1" s="1183"/>
      <c r="CZ1" s="1183"/>
      <c r="DA1" s="1183"/>
      <c r="DB1" s="1183"/>
      <c r="DC1" s="1183"/>
      <c r="DD1" s="1183"/>
      <c r="DE1" s="1183"/>
      <c r="DF1" s="1183"/>
      <c r="DG1" s="1183"/>
      <c r="DH1" s="1183"/>
      <c r="DI1" s="1183"/>
      <c r="DJ1" s="1183"/>
      <c r="DK1" s="1183"/>
      <c r="DL1" s="1183"/>
      <c r="DM1" s="1183"/>
      <c r="DN1" s="1183"/>
      <c r="DO1" s="1183"/>
      <c r="DP1" s="1183"/>
      <c r="DQ1" s="1183"/>
    </row>
    <row r="2" spans="1:121" s="12" customFormat="1" ht="12" customHeight="1" x14ac:dyDescent="0.35">
      <c r="A2" s="1476"/>
      <c r="B2" s="1477"/>
      <c r="C2" s="1477"/>
      <c r="D2" s="1477"/>
      <c r="E2" s="1477"/>
      <c r="F2" s="1477"/>
      <c r="G2" s="1478"/>
      <c r="H2" s="1481"/>
      <c r="I2" s="1481">
        <f>Infrastructure!H14</f>
        <v>0</v>
      </c>
      <c r="J2" s="1481">
        <f>EOMONTH(I2,1)</f>
        <v>59</v>
      </c>
      <c r="K2" s="1481">
        <f t="shared" ref="K2:BP2" si="0">EOMONTH(J2,1)</f>
        <v>91</v>
      </c>
      <c r="L2" s="1481">
        <f t="shared" si="0"/>
        <v>121</v>
      </c>
      <c r="M2" s="1481">
        <f t="shared" si="0"/>
        <v>152</v>
      </c>
      <c r="N2" s="1481">
        <f t="shared" si="0"/>
        <v>182</v>
      </c>
      <c r="O2" s="1481">
        <f t="shared" si="0"/>
        <v>213</v>
      </c>
      <c r="P2" s="1481">
        <f t="shared" si="0"/>
        <v>244</v>
      </c>
      <c r="Q2" s="1481">
        <f t="shared" si="0"/>
        <v>274</v>
      </c>
      <c r="R2" s="1481">
        <f t="shared" si="0"/>
        <v>305</v>
      </c>
      <c r="S2" s="1481">
        <f t="shared" si="0"/>
        <v>335</v>
      </c>
      <c r="T2" s="1481">
        <f t="shared" si="0"/>
        <v>366</v>
      </c>
      <c r="U2" s="1481">
        <f>EOMONTH(T2,1)</f>
        <v>397</v>
      </c>
      <c r="V2" s="1481">
        <f t="shared" si="0"/>
        <v>425</v>
      </c>
      <c r="W2" s="1481">
        <f t="shared" si="0"/>
        <v>456</v>
      </c>
      <c r="X2" s="1481">
        <f t="shared" si="0"/>
        <v>486</v>
      </c>
      <c r="Y2" s="1481">
        <f t="shared" si="0"/>
        <v>517</v>
      </c>
      <c r="Z2" s="1481">
        <f t="shared" si="0"/>
        <v>547</v>
      </c>
      <c r="AA2" s="1481">
        <f t="shared" si="0"/>
        <v>578</v>
      </c>
      <c r="AB2" s="1481">
        <f t="shared" si="0"/>
        <v>609</v>
      </c>
      <c r="AC2" s="1481">
        <f t="shared" si="0"/>
        <v>639</v>
      </c>
      <c r="AD2" s="1481">
        <f t="shared" si="0"/>
        <v>670</v>
      </c>
      <c r="AE2" s="1481">
        <f t="shared" si="0"/>
        <v>700</v>
      </c>
      <c r="AF2" s="1481">
        <f t="shared" si="0"/>
        <v>731</v>
      </c>
      <c r="AG2" s="1481">
        <f t="shared" si="0"/>
        <v>762</v>
      </c>
      <c r="AH2" s="1481">
        <f t="shared" si="0"/>
        <v>790</v>
      </c>
      <c r="AI2" s="1481">
        <f t="shared" si="0"/>
        <v>821</v>
      </c>
      <c r="AJ2" s="1481">
        <f t="shared" si="0"/>
        <v>851</v>
      </c>
      <c r="AK2" s="1481">
        <f t="shared" si="0"/>
        <v>882</v>
      </c>
      <c r="AL2" s="1481">
        <f t="shared" si="0"/>
        <v>912</v>
      </c>
      <c r="AM2" s="1481">
        <f t="shared" si="0"/>
        <v>943</v>
      </c>
      <c r="AN2" s="1481">
        <f t="shared" si="0"/>
        <v>974</v>
      </c>
      <c r="AO2" s="1481">
        <f t="shared" si="0"/>
        <v>1004</v>
      </c>
      <c r="AP2" s="1481">
        <f t="shared" si="0"/>
        <v>1035</v>
      </c>
      <c r="AQ2" s="1481">
        <f t="shared" si="0"/>
        <v>1065</v>
      </c>
      <c r="AR2" s="1481">
        <f t="shared" si="0"/>
        <v>1096</v>
      </c>
      <c r="AS2" s="1481">
        <f t="shared" si="0"/>
        <v>1127</v>
      </c>
      <c r="AT2" s="1481">
        <f t="shared" si="0"/>
        <v>1155</v>
      </c>
      <c r="AU2" s="1481">
        <f t="shared" si="0"/>
        <v>1186</v>
      </c>
      <c r="AV2" s="1481">
        <f t="shared" si="0"/>
        <v>1216</v>
      </c>
      <c r="AW2" s="1481">
        <f t="shared" si="0"/>
        <v>1247</v>
      </c>
      <c r="AX2" s="1481">
        <f t="shared" si="0"/>
        <v>1277</v>
      </c>
      <c r="AY2" s="1481">
        <f t="shared" si="0"/>
        <v>1308</v>
      </c>
      <c r="AZ2" s="1481">
        <f t="shared" si="0"/>
        <v>1339</v>
      </c>
      <c r="BA2" s="1481">
        <f t="shared" si="0"/>
        <v>1369</v>
      </c>
      <c r="BB2" s="1481">
        <f t="shared" si="0"/>
        <v>1400</v>
      </c>
      <c r="BC2" s="1481">
        <f t="shared" si="0"/>
        <v>1430</v>
      </c>
      <c r="BD2" s="1481">
        <f t="shared" si="0"/>
        <v>1461</v>
      </c>
      <c r="BE2" s="1481">
        <f t="shared" si="0"/>
        <v>1492</v>
      </c>
      <c r="BF2" s="1481">
        <f t="shared" si="0"/>
        <v>1521</v>
      </c>
      <c r="BG2" s="1481">
        <f t="shared" si="0"/>
        <v>1552</v>
      </c>
      <c r="BH2" s="1481">
        <f t="shared" si="0"/>
        <v>1582</v>
      </c>
      <c r="BI2" s="1481">
        <f t="shared" si="0"/>
        <v>1613</v>
      </c>
      <c r="BJ2" s="1481">
        <f t="shared" si="0"/>
        <v>1643</v>
      </c>
      <c r="BK2" s="1481">
        <f t="shared" si="0"/>
        <v>1674</v>
      </c>
      <c r="BL2" s="1481">
        <f t="shared" si="0"/>
        <v>1705</v>
      </c>
      <c r="BM2" s="1481">
        <f t="shared" si="0"/>
        <v>1735</v>
      </c>
      <c r="BN2" s="1481">
        <f t="shared" si="0"/>
        <v>1766</v>
      </c>
      <c r="BO2" s="1481">
        <f t="shared" si="0"/>
        <v>1796</v>
      </c>
      <c r="BP2" s="1481">
        <f t="shared" si="0"/>
        <v>1827</v>
      </c>
      <c r="BQ2" s="43"/>
      <c r="BR2" s="43"/>
      <c r="BS2" s="43"/>
      <c r="BT2" s="43"/>
      <c r="BU2" s="43"/>
      <c r="BV2" s="43"/>
      <c r="BW2" s="43"/>
      <c r="BX2" s="43"/>
      <c r="BY2" s="43"/>
      <c r="BZ2" s="1183"/>
      <c r="CA2" s="1183"/>
      <c r="CB2" s="1183"/>
      <c r="CC2" s="1183"/>
      <c r="CD2" s="1183"/>
      <c r="CE2" s="1183"/>
      <c r="CF2" s="1183"/>
      <c r="CG2" s="1183"/>
      <c r="CH2" s="1183"/>
      <c r="CI2" s="1183"/>
      <c r="CJ2" s="1183"/>
      <c r="CK2" s="1183"/>
      <c r="CL2" s="1183"/>
      <c r="CM2" s="1183"/>
      <c r="CN2" s="1183"/>
      <c r="CO2" s="1183"/>
      <c r="CP2" s="1183"/>
      <c r="CQ2" s="1183"/>
      <c r="CR2" s="1183"/>
      <c r="CS2" s="1183"/>
      <c r="CT2" s="1183"/>
      <c r="CU2" s="1183"/>
      <c r="CV2" s="1183"/>
      <c r="CW2" s="1183"/>
      <c r="CX2" s="1183"/>
      <c r="CY2" s="1183"/>
      <c r="CZ2" s="1183"/>
      <c r="DA2" s="1183"/>
      <c r="DB2" s="1183"/>
      <c r="DC2" s="1183"/>
      <c r="DD2" s="1183"/>
      <c r="DE2" s="1183"/>
      <c r="DF2" s="1183"/>
      <c r="DG2" s="1183"/>
      <c r="DH2" s="1183"/>
      <c r="DI2" s="1183"/>
      <c r="DJ2" s="1183"/>
      <c r="DK2" s="1183"/>
      <c r="DL2" s="1183"/>
      <c r="DM2" s="1183"/>
      <c r="DN2" s="1183"/>
      <c r="DO2" s="1183"/>
      <c r="DP2" s="1183"/>
      <c r="DQ2" s="1183"/>
    </row>
    <row r="3" spans="1:121" s="12" customFormat="1" ht="12" customHeight="1" x14ac:dyDescent="0.35">
      <c r="A3" s="1476"/>
      <c r="B3" s="1477"/>
      <c r="C3" s="1477"/>
      <c r="D3" s="1477"/>
      <c r="E3" s="1482"/>
      <c r="F3" s="1477"/>
      <c r="G3" s="1478"/>
      <c r="H3" s="1476" t="s">
        <v>3</v>
      </c>
      <c r="I3" s="1483">
        <f>Financials!E33</f>
        <v>0</v>
      </c>
      <c r="J3" s="1483">
        <f>Financials!F33</f>
        <v>0</v>
      </c>
      <c r="K3" s="1483">
        <f>Financials!G33</f>
        <v>0</v>
      </c>
      <c r="L3" s="1483">
        <f>Financials!H33</f>
        <v>0</v>
      </c>
      <c r="M3" s="1483">
        <f>Financials!I33</f>
        <v>0</v>
      </c>
      <c r="N3" s="1483">
        <f>Financials!J33</f>
        <v>0</v>
      </c>
      <c r="O3" s="1483">
        <f>Financials!K33</f>
        <v>0</v>
      </c>
      <c r="P3" s="1483">
        <f>Financials!L33</f>
        <v>0</v>
      </c>
      <c r="Q3" s="1483">
        <f>Financials!M33</f>
        <v>0</v>
      </c>
      <c r="R3" s="1483">
        <f>Financials!N33</f>
        <v>0</v>
      </c>
      <c r="S3" s="1483">
        <f>Financials!O33</f>
        <v>0</v>
      </c>
      <c r="T3" s="1483">
        <f>Financials!P33</f>
        <v>0</v>
      </c>
      <c r="U3" s="1483">
        <f>Financials!R33</f>
        <v>0</v>
      </c>
      <c r="V3" s="1483">
        <f>Financials!S33</f>
        <v>0</v>
      </c>
      <c r="W3" s="1483">
        <f>Financials!T33</f>
        <v>0</v>
      </c>
      <c r="X3" s="1483">
        <f>Financials!U33</f>
        <v>0</v>
      </c>
      <c r="Y3" s="1483">
        <f>Financials!V33</f>
        <v>0</v>
      </c>
      <c r="Z3" s="1483">
        <f>Financials!W33</f>
        <v>0</v>
      </c>
      <c r="AA3" s="1483">
        <f>Financials!X33</f>
        <v>0</v>
      </c>
      <c r="AB3" s="1483">
        <f>Financials!Y33</f>
        <v>0</v>
      </c>
      <c r="AC3" s="1483">
        <f>Financials!Z33</f>
        <v>0</v>
      </c>
      <c r="AD3" s="1483">
        <f>Financials!AA33</f>
        <v>0</v>
      </c>
      <c r="AE3" s="1483">
        <f>Financials!AB33</f>
        <v>0</v>
      </c>
      <c r="AF3" s="1483">
        <f>Financials!AC33</f>
        <v>0</v>
      </c>
      <c r="AG3" s="1483">
        <f>Financials!AE33</f>
        <v>0</v>
      </c>
      <c r="AH3" s="1483">
        <f>Financials!AF33</f>
        <v>0</v>
      </c>
      <c r="AI3" s="1483">
        <f>Financials!AG33</f>
        <v>0</v>
      </c>
      <c r="AJ3" s="1483">
        <f>Financials!AH33</f>
        <v>0</v>
      </c>
      <c r="AK3" s="1483">
        <f>Financials!AI33</f>
        <v>0</v>
      </c>
      <c r="AL3" s="1483">
        <f>Financials!AJ33</f>
        <v>0</v>
      </c>
      <c r="AM3" s="1483">
        <f>Financials!AK33</f>
        <v>0</v>
      </c>
      <c r="AN3" s="1483">
        <f>Financials!AL33</f>
        <v>0</v>
      </c>
      <c r="AO3" s="1483">
        <f>Financials!AM33</f>
        <v>0</v>
      </c>
      <c r="AP3" s="1483">
        <f>Financials!AN33</f>
        <v>0</v>
      </c>
      <c r="AQ3" s="1483">
        <f>Financials!AO33</f>
        <v>0</v>
      </c>
      <c r="AR3" s="1483">
        <f>Financials!AP33</f>
        <v>0</v>
      </c>
      <c r="AS3" s="1483">
        <f>Financials!AR33</f>
        <v>0</v>
      </c>
      <c r="AT3" s="1483">
        <f>Financials!AS33</f>
        <v>0</v>
      </c>
      <c r="AU3" s="1483">
        <f>Financials!AT33</f>
        <v>0</v>
      </c>
      <c r="AV3" s="1483">
        <f>Financials!AU33</f>
        <v>0</v>
      </c>
      <c r="AW3" s="1483">
        <f>Financials!AV33</f>
        <v>0</v>
      </c>
      <c r="AX3" s="1483">
        <f>Financials!AW33</f>
        <v>0</v>
      </c>
      <c r="AY3" s="1483">
        <f>Financials!AX33</f>
        <v>0</v>
      </c>
      <c r="AZ3" s="1483">
        <f>Financials!AY33</f>
        <v>0</v>
      </c>
      <c r="BA3" s="1483">
        <f>Financials!AZ33</f>
        <v>0</v>
      </c>
      <c r="BB3" s="1483">
        <f>Financials!BA33</f>
        <v>0</v>
      </c>
      <c r="BC3" s="1483">
        <f>Financials!BB33</f>
        <v>0</v>
      </c>
      <c r="BD3" s="1483">
        <f>Financials!BC33</f>
        <v>0</v>
      </c>
      <c r="BE3" s="1483">
        <f>Financials!BE33</f>
        <v>0</v>
      </c>
      <c r="BF3" s="1483">
        <f>Financials!BF33</f>
        <v>0</v>
      </c>
      <c r="BG3" s="1483">
        <f>Financials!BG33</f>
        <v>0</v>
      </c>
      <c r="BH3" s="1483">
        <f>Financials!BH33</f>
        <v>0</v>
      </c>
      <c r="BI3" s="1483">
        <f>Financials!BI33</f>
        <v>0</v>
      </c>
      <c r="BJ3" s="1483">
        <f>Financials!BJ33</f>
        <v>0</v>
      </c>
      <c r="BK3" s="1483">
        <f>Financials!BK33</f>
        <v>0</v>
      </c>
      <c r="BL3" s="1483">
        <f>Financials!BL33</f>
        <v>0</v>
      </c>
      <c r="BM3" s="1483">
        <f>Financials!BM33</f>
        <v>0</v>
      </c>
      <c r="BN3" s="1483">
        <f>Financials!BN33</f>
        <v>0</v>
      </c>
      <c r="BO3" s="1483">
        <f>Financials!BO33</f>
        <v>0</v>
      </c>
      <c r="BP3" s="1483">
        <f>Financials!BP33</f>
        <v>0</v>
      </c>
      <c r="BQ3" s="43"/>
      <c r="BR3" s="43"/>
      <c r="BS3" s="43"/>
      <c r="BT3" s="43"/>
      <c r="BU3" s="43"/>
      <c r="BV3" s="43"/>
      <c r="BW3" s="1436">
        <f>Infrastructure!M9</f>
        <v>0</v>
      </c>
      <c r="BX3" s="1437">
        <f>$I$3</f>
        <v>0</v>
      </c>
      <c r="BY3" s="1437">
        <f>$I$8</f>
        <v>0</v>
      </c>
      <c r="BZ3" s="1183"/>
      <c r="CA3" s="1183"/>
      <c r="CB3" s="1183"/>
      <c r="CC3" s="1183"/>
      <c r="CD3" s="388" t="str">
        <f>$H38</f>
        <v>S&amp;M #1</v>
      </c>
      <c r="CE3" s="388" t="str">
        <f>$H39</f>
        <v>S&amp;M #2</v>
      </c>
      <c r="CF3" s="388" t="str">
        <f>$H40</f>
        <v>S&amp;M #3</v>
      </c>
      <c r="CG3" s="388" t="str">
        <f>$H41</f>
        <v>S&amp;M #4</v>
      </c>
      <c r="CH3" s="388" t="str">
        <f>$H42</f>
        <v>S&amp;M #5</v>
      </c>
      <c r="CI3" s="388" t="str">
        <f>$H43</f>
        <v>S&amp;M #6</v>
      </c>
      <c r="CJ3" s="388" t="str">
        <f>$H44</f>
        <v>S&amp;M #7</v>
      </c>
      <c r="CK3" s="388" t="str">
        <f>$H45</f>
        <v>S&amp;M #8</v>
      </c>
      <c r="CL3" s="388" t="str">
        <f>$H46</f>
        <v>S&amp;M #9</v>
      </c>
      <c r="CM3" s="388" t="str">
        <f>$H47</f>
        <v>S&amp;M #10</v>
      </c>
      <c r="CN3" s="1183"/>
      <c r="CO3" s="1183"/>
      <c r="CP3" s="1183"/>
      <c r="CQ3" s="1183"/>
      <c r="CR3" s="1183"/>
      <c r="CS3" s="1183"/>
      <c r="CT3" s="1183"/>
      <c r="CU3" s="1183"/>
      <c r="CV3" s="1183"/>
      <c r="CW3" s="1183"/>
      <c r="CX3" s="1183"/>
      <c r="CY3" s="1183"/>
      <c r="CZ3" s="1183"/>
      <c r="DA3" s="1183"/>
      <c r="DB3" s="1183"/>
      <c r="DC3" s="1183"/>
      <c r="DD3" s="1183"/>
      <c r="DE3" s="1183"/>
      <c r="DF3" s="1183"/>
      <c r="DG3" s="1183"/>
      <c r="DH3" s="1183"/>
      <c r="DI3" s="1183"/>
      <c r="DJ3" s="1183"/>
      <c r="DK3" s="1183"/>
      <c r="DL3" s="1183"/>
      <c r="DM3" s="1183"/>
      <c r="DN3" s="1183"/>
      <c r="DO3" s="1183"/>
      <c r="DP3" s="1183"/>
      <c r="DQ3" s="1183"/>
    </row>
    <row r="4" spans="1:121" s="12" customFormat="1" ht="12" customHeight="1" x14ac:dyDescent="0.35">
      <c r="A4" s="1476"/>
      <c r="B4" s="1477"/>
      <c r="C4" s="1477"/>
      <c r="D4" s="1477"/>
      <c r="E4" s="1477"/>
      <c r="F4" s="1477"/>
      <c r="G4" s="1478"/>
      <c r="H4" s="1476" t="s">
        <v>12</v>
      </c>
      <c r="I4" s="1483">
        <f>Financials!E61</f>
        <v>0</v>
      </c>
      <c r="J4" s="1483">
        <f>Financials!F61</f>
        <v>0</v>
      </c>
      <c r="K4" s="1483">
        <f>Financials!G61</f>
        <v>0</v>
      </c>
      <c r="L4" s="1483">
        <f>Financials!H61</f>
        <v>0</v>
      </c>
      <c r="M4" s="1483">
        <f>Financials!I61</f>
        <v>0</v>
      </c>
      <c r="N4" s="1483">
        <f>Financials!J61</f>
        <v>0</v>
      </c>
      <c r="O4" s="1483">
        <f>Financials!K61</f>
        <v>0</v>
      </c>
      <c r="P4" s="1483">
        <f>Financials!L61</f>
        <v>0</v>
      </c>
      <c r="Q4" s="1483">
        <f>Financials!M61</f>
        <v>0</v>
      </c>
      <c r="R4" s="1483">
        <f>Financials!N61</f>
        <v>0</v>
      </c>
      <c r="S4" s="1483">
        <f>Financials!O61</f>
        <v>0</v>
      </c>
      <c r="T4" s="1483">
        <f>Financials!P61</f>
        <v>0</v>
      </c>
      <c r="U4" s="1483">
        <f>Financials!R61</f>
        <v>0</v>
      </c>
      <c r="V4" s="1483">
        <f>Financials!S61</f>
        <v>0</v>
      </c>
      <c r="W4" s="1483">
        <f>Financials!T61</f>
        <v>0</v>
      </c>
      <c r="X4" s="1483">
        <f>Financials!U61</f>
        <v>0</v>
      </c>
      <c r="Y4" s="1483">
        <f>Financials!V61</f>
        <v>0</v>
      </c>
      <c r="Z4" s="1483">
        <f>Financials!W61</f>
        <v>0</v>
      </c>
      <c r="AA4" s="1483">
        <f>Financials!X61</f>
        <v>0</v>
      </c>
      <c r="AB4" s="1483">
        <f>Financials!Y61</f>
        <v>0</v>
      </c>
      <c r="AC4" s="1483">
        <f>Financials!Z61</f>
        <v>0</v>
      </c>
      <c r="AD4" s="1483">
        <f>Financials!AA61</f>
        <v>0</v>
      </c>
      <c r="AE4" s="1483">
        <f>Financials!AB61</f>
        <v>0</v>
      </c>
      <c r="AF4" s="1483">
        <f>Financials!AC61</f>
        <v>0</v>
      </c>
      <c r="AG4" s="1483">
        <f>Financials!AE61</f>
        <v>0</v>
      </c>
      <c r="AH4" s="1483">
        <f>Financials!AF61</f>
        <v>0</v>
      </c>
      <c r="AI4" s="1483">
        <f>Financials!AG61</f>
        <v>0</v>
      </c>
      <c r="AJ4" s="1483">
        <f>Financials!AH61</f>
        <v>0</v>
      </c>
      <c r="AK4" s="1483">
        <f>Financials!AI61</f>
        <v>0</v>
      </c>
      <c r="AL4" s="1483">
        <f>Financials!AJ61</f>
        <v>0</v>
      </c>
      <c r="AM4" s="1483">
        <f>Financials!AK61</f>
        <v>0</v>
      </c>
      <c r="AN4" s="1483">
        <f>Financials!AL61</f>
        <v>0</v>
      </c>
      <c r="AO4" s="1483">
        <f>Financials!AM61</f>
        <v>0</v>
      </c>
      <c r="AP4" s="1483">
        <f>Financials!AN61</f>
        <v>0</v>
      </c>
      <c r="AQ4" s="1483">
        <f>Financials!AO61</f>
        <v>0</v>
      </c>
      <c r="AR4" s="1483">
        <f>Financials!AP61</f>
        <v>0</v>
      </c>
      <c r="AS4" s="1483">
        <f>Financials!AR61</f>
        <v>0</v>
      </c>
      <c r="AT4" s="1483">
        <f>Financials!AS61</f>
        <v>0</v>
      </c>
      <c r="AU4" s="1483">
        <f>Financials!AT61</f>
        <v>0</v>
      </c>
      <c r="AV4" s="1483">
        <f>Financials!AU61</f>
        <v>0</v>
      </c>
      <c r="AW4" s="1483">
        <f>Financials!AV61</f>
        <v>0</v>
      </c>
      <c r="AX4" s="1483">
        <f>Financials!AW61</f>
        <v>0</v>
      </c>
      <c r="AY4" s="1483">
        <f>Financials!AX61</f>
        <v>0</v>
      </c>
      <c r="AZ4" s="1483">
        <f>Financials!AY61</f>
        <v>0</v>
      </c>
      <c r="BA4" s="1483">
        <f>Financials!AZ61</f>
        <v>0</v>
      </c>
      <c r="BB4" s="1483">
        <f>Financials!BA61</f>
        <v>0</v>
      </c>
      <c r="BC4" s="1483">
        <f>Financials!BB61</f>
        <v>0</v>
      </c>
      <c r="BD4" s="1483">
        <f>Financials!BC61</f>
        <v>0</v>
      </c>
      <c r="BE4" s="1483">
        <f>Financials!BE61</f>
        <v>0</v>
      </c>
      <c r="BF4" s="1483">
        <f>Financials!BF61</f>
        <v>0</v>
      </c>
      <c r="BG4" s="1483">
        <f>Financials!BG61</f>
        <v>0</v>
      </c>
      <c r="BH4" s="1483">
        <f>Financials!BH61</f>
        <v>0</v>
      </c>
      <c r="BI4" s="1483">
        <f>Financials!BI61</f>
        <v>0</v>
      </c>
      <c r="BJ4" s="1483">
        <f>Financials!BJ61</f>
        <v>0</v>
      </c>
      <c r="BK4" s="1483">
        <f>Financials!BK61</f>
        <v>0</v>
      </c>
      <c r="BL4" s="1483">
        <f>Financials!BL61</f>
        <v>0</v>
      </c>
      <c r="BM4" s="1483">
        <f>Financials!BM61</f>
        <v>0</v>
      </c>
      <c r="BN4" s="1483">
        <f>Financials!BN61</f>
        <v>0</v>
      </c>
      <c r="BO4" s="1483">
        <f>Financials!BO61</f>
        <v>0</v>
      </c>
      <c r="BP4" s="1483">
        <f>Financials!BP61</f>
        <v>0</v>
      </c>
      <c r="BQ4" s="43"/>
      <c r="BR4" s="43"/>
      <c r="BS4" s="43"/>
      <c r="BT4" s="43"/>
      <c r="BU4" s="43"/>
      <c r="BV4" s="43"/>
      <c r="BW4" s="1436">
        <f>Infrastructure!M10</f>
        <v>0</v>
      </c>
      <c r="BX4" s="1437">
        <f>$J$3</f>
        <v>0</v>
      </c>
      <c r="BY4" s="1437">
        <f>$J$8</f>
        <v>0</v>
      </c>
      <c r="BZ4" s="1183"/>
      <c r="CA4" s="1183"/>
      <c r="CB4" s="1183"/>
      <c r="CC4" s="1183"/>
      <c r="CD4" s="484">
        <f>$I$38</f>
        <v>0</v>
      </c>
      <c r="CE4" s="484">
        <f>$I$39</f>
        <v>0</v>
      </c>
      <c r="CF4" s="484">
        <f>$I$40</f>
        <v>0</v>
      </c>
      <c r="CG4" s="484">
        <f>$I$41</f>
        <v>0</v>
      </c>
      <c r="CH4" s="484">
        <f>$I$42</f>
        <v>0</v>
      </c>
      <c r="CI4" s="484">
        <f>$I$43</f>
        <v>0</v>
      </c>
      <c r="CJ4" s="484">
        <f>$I$44</f>
        <v>0</v>
      </c>
      <c r="CK4" s="484">
        <f>$I$45</f>
        <v>0</v>
      </c>
      <c r="CL4" s="484">
        <f>$I$46</f>
        <v>0</v>
      </c>
      <c r="CM4" s="484">
        <f>$I$47</f>
        <v>0</v>
      </c>
      <c r="CN4" s="1183"/>
      <c r="CO4" s="1183"/>
      <c r="CP4" s="1183"/>
      <c r="CQ4" s="1183"/>
      <c r="CR4" s="1183"/>
      <c r="CS4" s="1183"/>
      <c r="CT4" s="1183"/>
      <c r="CU4" s="1183"/>
      <c r="CV4" s="1183"/>
      <c r="CW4" s="1183"/>
      <c r="CX4" s="1183"/>
      <c r="CY4" s="1183"/>
      <c r="CZ4" s="1183"/>
      <c r="DA4" s="1183"/>
      <c r="DB4" s="1183"/>
      <c r="DC4" s="1183"/>
      <c r="DD4" s="1183"/>
      <c r="DE4" s="1183"/>
      <c r="DF4" s="1183"/>
      <c r="DG4" s="1183"/>
      <c r="DH4" s="1183"/>
      <c r="DI4" s="1183"/>
      <c r="DJ4" s="1183"/>
      <c r="DK4" s="1183"/>
      <c r="DL4" s="1183"/>
      <c r="DM4" s="1183"/>
      <c r="DN4" s="1183"/>
      <c r="DO4" s="1183"/>
      <c r="DP4" s="1183"/>
      <c r="DQ4" s="1183"/>
    </row>
    <row r="5" spans="1:121" s="12" customFormat="1" ht="12" customHeight="1" x14ac:dyDescent="0.35">
      <c r="A5" s="1476"/>
      <c r="B5" s="1477"/>
      <c r="C5" s="1477"/>
      <c r="D5" s="1477"/>
      <c r="E5" s="1477"/>
      <c r="F5" s="1477"/>
      <c r="G5" s="1478"/>
      <c r="H5" s="1476" t="s">
        <v>5</v>
      </c>
      <c r="I5" s="1483">
        <f>Financials!E63</f>
        <v>0</v>
      </c>
      <c r="J5" s="1483">
        <f>Financials!F63</f>
        <v>0</v>
      </c>
      <c r="K5" s="1483">
        <f>Financials!G63</f>
        <v>0</v>
      </c>
      <c r="L5" s="1483">
        <f>Financials!H63</f>
        <v>0</v>
      </c>
      <c r="M5" s="1483">
        <f>Financials!I63</f>
        <v>0</v>
      </c>
      <c r="N5" s="1483">
        <f>Financials!J63</f>
        <v>0</v>
      </c>
      <c r="O5" s="1483">
        <f>Financials!K63</f>
        <v>0</v>
      </c>
      <c r="P5" s="1483">
        <f>Financials!L63</f>
        <v>0</v>
      </c>
      <c r="Q5" s="1483">
        <f>Financials!M63</f>
        <v>0</v>
      </c>
      <c r="R5" s="1483">
        <f>Financials!N63</f>
        <v>0</v>
      </c>
      <c r="S5" s="1483">
        <f>Financials!O63</f>
        <v>0</v>
      </c>
      <c r="T5" s="1483">
        <f>Financials!P63</f>
        <v>0</v>
      </c>
      <c r="U5" s="1483">
        <f>Financials!R63</f>
        <v>0</v>
      </c>
      <c r="V5" s="1483">
        <f>Financials!S63</f>
        <v>0</v>
      </c>
      <c r="W5" s="1483">
        <f>Financials!T63</f>
        <v>0</v>
      </c>
      <c r="X5" s="1483">
        <f>Financials!U63</f>
        <v>0</v>
      </c>
      <c r="Y5" s="1483">
        <f>Financials!V63</f>
        <v>0</v>
      </c>
      <c r="Z5" s="1483">
        <f>Financials!W63</f>
        <v>0</v>
      </c>
      <c r="AA5" s="1483">
        <f>Financials!X63</f>
        <v>0</v>
      </c>
      <c r="AB5" s="1483">
        <f>Financials!Y63</f>
        <v>0</v>
      </c>
      <c r="AC5" s="1483">
        <f>Financials!Z63</f>
        <v>0</v>
      </c>
      <c r="AD5" s="1483">
        <f>Financials!AA63</f>
        <v>0</v>
      </c>
      <c r="AE5" s="1483">
        <f>Financials!AB63</f>
        <v>0</v>
      </c>
      <c r="AF5" s="1483">
        <f>Financials!AC63</f>
        <v>0</v>
      </c>
      <c r="AG5" s="1483">
        <f>Financials!AE63</f>
        <v>0</v>
      </c>
      <c r="AH5" s="1483">
        <f>Financials!AF63</f>
        <v>0</v>
      </c>
      <c r="AI5" s="1483">
        <f>Financials!AG63</f>
        <v>0</v>
      </c>
      <c r="AJ5" s="1483">
        <f>Financials!AH63</f>
        <v>0</v>
      </c>
      <c r="AK5" s="1483">
        <f>Financials!AI63</f>
        <v>0</v>
      </c>
      <c r="AL5" s="1483">
        <f>Financials!AJ63</f>
        <v>0</v>
      </c>
      <c r="AM5" s="1483">
        <f>Financials!AK63</f>
        <v>0</v>
      </c>
      <c r="AN5" s="1483">
        <f>Financials!AL63</f>
        <v>0</v>
      </c>
      <c r="AO5" s="1483">
        <f>Financials!AM63</f>
        <v>0</v>
      </c>
      <c r="AP5" s="1483">
        <f>Financials!AN63</f>
        <v>0</v>
      </c>
      <c r="AQ5" s="1483">
        <f>Financials!AO63</f>
        <v>0</v>
      </c>
      <c r="AR5" s="1483">
        <f>Financials!AP63</f>
        <v>0</v>
      </c>
      <c r="AS5" s="1483">
        <f>Financials!AR63</f>
        <v>0</v>
      </c>
      <c r="AT5" s="1483">
        <f>Financials!AS63</f>
        <v>0</v>
      </c>
      <c r="AU5" s="1483">
        <f>Financials!AT63</f>
        <v>0</v>
      </c>
      <c r="AV5" s="1483">
        <f>Financials!AU63</f>
        <v>0</v>
      </c>
      <c r="AW5" s="1483">
        <f>Financials!AV63</f>
        <v>0</v>
      </c>
      <c r="AX5" s="1483">
        <f>Financials!AW63</f>
        <v>0</v>
      </c>
      <c r="AY5" s="1483">
        <f>Financials!AX63</f>
        <v>0</v>
      </c>
      <c r="AZ5" s="1483">
        <f>Financials!AY63</f>
        <v>0</v>
      </c>
      <c r="BA5" s="1483">
        <f>Financials!AZ63</f>
        <v>0</v>
      </c>
      <c r="BB5" s="1483">
        <f>Financials!BA63</f>
        <v>0</v>
      </c>
      <c r="BC5" s="1483">
        <f>Financials!BB63</f>
        <v>0</v>
      </c>
      <c r="BD5" s="1483">
        <f>Financials!BC63</f>
        <v>0</v>
      </c>
      <c r="BE5" s="1483">
        <f>Financials!BE63</f>
        <v>0</v>
      </c>
      <c r="BF5" s="1483">
        <f>Financials!BF63</f>
        <v>0</v>
      </c>
      <c r="BG5" s="1483">
        <f>Financials!BG63</f>
        <v>0</v>
      </c>
      <c r="BH5" s="1483">
        <f>Financials!BH63</f>
        <v>0</v>
      </c>
      <c r="BI5" s="1483">
        <f>Financials!BI63</f>
        <v>0</v>
      </c>
      <c r="BJ5" s="1483">
        <f>Financials!BJ63</f>
        <v>0</v>
      </c>
      <c r="BK5" s="1483">
        <f>Financials!BK63</f>
        <v>0</v>
      </c>
      <c r="BL5" s="1483">
        <f>Financials!BL63</f>
        <v>0</v>
      </c>
      <c r="BM5" s="1483">
        <f>Financials!BM63</f>
        <v>0</v>
      </c>
      <c r="BN5" s="1483">
        <f>Financials!BN63</f>
        <v>0</v>
      </c>
      <c r="BO5" s="1483">
        <f>Financials!BO63</f>
        <v>0</v>
      </c>
      <c r="BP5" s="1483">
        <f>Financials!BP63</f>
        <v>0</v>
      </c>
      <c r="BQ5" s="43"/>
      <c r="BR5" s="43"/>
      <c r="BS5" s="43"/>
      <c r="BT5" s="43"/>
      <c r="BU5" s="43"/>
      <c r="BV5" s="43"/>
      <c r="BW5" s="1436">
        <f>Infrastructure!M8</f>
        <v>0</v>
      </c>
      <c r="BX5" s="1437">
        <f>$K$3</f>
        <v>0</v>
      </c>
      <c r="BY5" s="1437">
        <f>$K$8</f>
        <v>0</v>
      </c>
      <c r="BZ5" s="1183"/>
      <c r="CA5" s="1183"/>
      <c r="CB5" s="1183"/>
      <c r="CC5" s="1183"/>
      <c r="CD5" s="484">
        <f>$J$38</f>
        <v>0</v>
      </c>
      <c r="CE5" s="484">
        <f>$J$39</f>
        <v>0</v>
      </c>
      <c r="CF5" s="484">
        <f>$J$40</f>
        <v>0</v>
      </c>
      <c r="CG5" s="484">
        <f>$J$41</f>
        <v>0</v>
      </c>
      <c r="CH5" s="484">
        <f>$J$42</f>
        <v>0</v>
      </c>
      <c r="CI5" s="484">
        <f>$J$43</f>
        <v>0</v>
      </c>
      <c r="CJ5" s="484">
        <f>$J$44</f>
        <v>0</v>
      </c>
      <c r="CK5" s="484">
        <f>$J$45</f>
        <v>0</v>
      </c>
      <c r="CL5" s="484">
        <f>$J$46</f>
        <v>0</v>
      </c>
      <c r="CM5" s="484">
        <f>$J$47</f>
        <v>0</v>
      </c>
      <c r="CN5" s="1183"/>
      <c r="CO5" s="1183"/>
      <c r="CP5" s="1183"/>
      <c r="CQ5" s="1183"/>
      <c r="CR5" s="1183"/>
      <c r="CS5" s="1183"/>
      <c r="CT5" s="1183"/>
      <c r="CU5" s="1183"/>
      <c r="CV5" s="1183"/>
      <c r="CW5" s="1183"/>
      <c r="CX5" s="1183"/>
      <c r="CY5" s="1183"/>
      <c r="CZ5" s="1183"/>
      <c r="DA5" s="1183"/>
      <c r="DB5" s="1183"/>
      <c r="DC5" s="1183"/>
      <c r="DD5" s="1183"/>
      <c r="DE5" s="1183"/>
      <c r="DF5" s="1183"/>
      <c r="DG5" s="1183"/>
      <c r="DH5" s="1183"/>
      <c r="DI5" s="1183"/>
      <c r="DJ5" s="1183"/>
      <c r="DK5" s="1183"/>
      <c r="DL5" s="1183"/>
      <c r="DM5" s="1183"/>
      <c r="DN5" s="1183"/>
      <c r="DO5" s="1183"/>
      <c r="DP5" s="1183"/>
      <c r="DQ5" s="1183"/>
    </row>
    <row r="6" spans="1:121" s="12" customFormat="1" ht="12" customHeight="1" x14ac:dyDescent="0.3">
      <c r="A6" s="1476"/>
      <c r="B6" s="1484" t="s">
        <v>354</v>
      </c>
      <c r="C6" s="1484" t="str">
        <f>IF(Calcs!C15="","Breakeven:",B6&amp;" " &amp;CONCATENATE(TEXT(Calcs!C15,"mmm-yy")))</f>
        <v>Breakeven: No Breakeven</v>
      </c>
      <c r="D6" s="1477"/>
      <c r="E6" s="1477"/>
      <c r="F6" s="1477"/>
      <c r="G6" s="1478"/>
      <c r="H6" s="1476" t="s">
        <v>60</v>
      </c>
      <c r="I6" s="1483">
        <f>Financials!E78</f>
        <v>0</v>
      </c>
      <c r="J6" s="1483">
        <f>Financials!F78</f>
        <v>0</v>
      </c>
      <c r="K6" s="1483">
        <f>Financials!G78</f>
        <v>0</v>
      </c>
      <c r="L6" s="1483">
        <f>Financials!H78</f>
        <v>0</v>
      </c>
      <c r="M6" s="1483">
        <f>Financials!I78</f>
        <v>0</v>
      </c>
      <c r="N6" s="1483">
        <f>Financials!J78</f>
        <v>0</v>
      </c>
      <c r="O6" s="1483">
        <f>Financials!K78</f>
        <v>0</v>
      </c>
      <c r="P6" s="1483">
        <f>Financials!L78</f>
        <v>0</v>
      </c>
      <c r="Q6" s="1483">
        <f>Financials!M78</f>
        <v>0</v>
      </c>
      <c r="R6" s="1483">
        <f>Financials!N78</f>
        <v>0</v>
      </c>
      <c r="S6" s="1483">
        <f>Financials!O78</f>
        <v>0</v>
      </c>
      <c r="T6" s="1483">
        <f>Financials!P78</f>
        <v>0</v>
      </c>
      <c r="U6" s="1483">
        <f>Financials!R78</f>
        <v>0</v>
      </c>
      <c r="V6" s="1483">
        <f>Financials!S78</f>
        <v>0</v>
      </c>
      <c r="W6" s="1483">
        <f>Financials!T78</f>
        <v>0</v>
      </c>
      <c r="X6" s="1483">
        <f>Financials!U78</f>
        <v>0</v>
      </c>
      <c r="Y6" s="1483">
        <f>Financials!V78</f>
        <v>0</v>
      </c>
      <c r="Z6" s="1483">
        <f>Financials!W78</f>
        <v>0</v>
      </c>
      <c r="AA6" s="1483">
        <f>Financials!X78</f>
        <v>0</v>
      </c>
      <c r="AB6" s="1483">
        <f>Financials!Y78</f>
        <v>0</v>
      </c>
      <c r="AC6" s="1483">
        <f>Financials!Z78</f>
        <v>0</v>
      </c>
      <c r="AD6" s="1483">
        <f>Financials!AA78</f>
        <v>0</v>
      </c>
      <c r="AE6" s="1483">
        <f>Financials!AB78</f>
        <v>0</v>
      </c>
      <c r="AF6" s="1485">
        <f>Financials!AC78</f>
        <v>0</v>
      </c>
      <c r="AG6" s="1485">
        <f>Financials!AE78</f>
        <v>0</v>
      </c>
      <c r="AH6" s="1485">
        <f>Financials!AF78</f>
        <v>0</v>
      </c>
      <c r="AI6" s="1485">
        <f>Financials!AG78</f>
        <v>0</v>
      </c>
      <c r="AJ6" s="1485">
        <f>Financials!AH78</f>
        <v>0</v>
      </c>
      <c r="AK6" s="1485">
        <f>Financials!AI78</f>
        <v>0</v>
      </c>
      <c r="AL6" s="1485">
        <f>Financials!AJ78</f>
        <v>0</v>
      </c>
      <c r="AM6" s="1485">
        <f>Financials!AK78</f>
        <v>0</v>
      </c>
      <c r="AN6" s="1485">
        <f>Financials!AL78</f>
        <v>0</v>
      </c>
      <c r="AO6" s="1485">
        <f>Financials!AM78</f>
        <v>0</v>
      </c>
      <c r="AP6" s="1485">
        <f>Financials!AN78</f>
        <v>0</v>
      </c>
      <c r="AQ6" s="1485">
        <f>Financials!AO78</f>
        <v>0</v>
      </c>
      <c r="AR6" s="1485">
        <f>Financials!AP78</f>
        <v>0</v>
      </c>
      <c r="AS6" s="1485">
        <f>Financials!AR78</f>
        <v>0</v>
      </c>
      <c r="AT6" s="1485">
        <f>Financials!AS78</f>
        <v>0</v>
      </c>
      <c r="AU6" s="1485">
        <f>Financials!AT78</f>
        <v>0</v>
      </c>
      <c r="AV6" s="1485">
        <f>Financials!AU78</f>
        <v>0</v>
      </c>
      <c r="AW6" s="1485">
        <f>Financials!AV78</f>
        <v>0</v>
      </c>
      <c r="AX6" s="1485">
        <f>Financials!AW78</f>
        <v>0</v>
      </c>
      <c r="AY6" s="1485">
        <f>Financials!AX78</f>
        <v>0</v>
      </c>
      <c r="AZ6" s="1485">
        <f>Financials!AY78</f>
        <v>0</v>
      </c>
      <c r="BA6" s="1485">
        <f>Financials!AZ78</f>
        <v>0</v>
      </c>
      <c r="BB6" s="1485">
        <f>Financials!BA78</f>
        <v>0</v>
      </c>
      <c r="BC6" s="1485">
        <f>Financials!BB78</f>
        <v>0</v>
      </c>
      <c r="BD6" s="1485">
        <f>Financials!BC78</f>
        <v>0</v>
      </c>
      <c r="BE6" s="1485">
        <f>Financials!BE78</f>
        <v>0</v>
      </c>
      <c r="BF6" s="1485">
        <f>Financials!BF78</f>
        <v>0</v>
      </c>
      <c r="BG6" s="1485">
        <f>Financials!BG78</f>
        <v>0</v>
      </c>
      <c r="BH6" s="1485">
        <f>Financials!BH78</f>
        <v>0</v>
      </c>
      <c r="BI6" s="1485">
        <f>Financials!BI78</f>
        <v>0</v>
      </c>
      <c r="BJ6" s="1485">
        <f>Financials!BJ78</f>
        <v>0</v>
      </c>
      <c r="BK6" s="1485">
        <f>Financials!BK78</f>
        <v>0</v>
      </c>
      <c r="BL6" s="1485">
        <f>Financials!BL78</f>
        <v>0</v>
      </c>
      <c r="BM6" s="1485">
        <f>Financials!BM78</f>
        <v>0</v>
      </c>
      <c r="BN6" s="1485">
        <f>Financials!BN78</f>
        <v>0</v>
      </c>
      <c r="BO6" s="1485">
        <f>Financials!BO78</f>
        <v>0</v>
      </c>
      <c r="BP6" s="1485">
        <f>Financials!BP78</f>
        <v>0</v>
      </c>
      <c r="BQ6" s="43"/>
      <c r="BR6" s="43"/>
      <c r="BS6" s="43"/>
      <c r="BT6" s="43"/>
      <c r="BU6" s="43"/>
      <c r="BV6" s="43"/>
      <c r="BW6" s="1436">
        <f>Infrastructure!M12</f>
        <v>0</v>
      </c>
      <c r="BX6" s="1437">
        <f>$L$3</f>
        <v>0</v>
      </c>
      <c r="BY6" s="1437">
        <f>$L$8</f>
        <v>0</v>
      </c>
      <c r="BZ6" s="1183"/>
      <c r="CA6" s="1183"/>
      <c r="CB6" s="1183"/>
      <c r="CC6" s="1183"/>
      <c r="CD6" s="484">
        <f>$K$38</f>
        <v>0</v>
      </c>
      <c r="CE6" s="484">
        <f>$K$39</f>
        <v>0</v>
      </c>
      <c r="CF6" s="484">
        <f>$K$40</f>
        <v>0</v>
      </c>
      <c r="CG6" s="484">
        <f>$K$41</f>
        <v>0</v>
      </c>
      <c r="CH6" s="484">
        <f>$K$42</f>
        <v>0</v>
      </c>
      <c r="CI6" s="484">
        <f>$K$43</f>
        <v>0</v>
      </c>
      <c r="CJ6" s="484">
        <f>$K$44</f>
        <v>0</v>
      </c>
      <c r="CK6" s="484">
        <f>$K$45</f>
        <v>0</v>
      </c>
      <c r="CL6" s="484">
        <f>$K$46</f>
        <v>0</v>
      </c>
      <c r="CM6" s="484">
        <f>$K$47</f>
        <v>0</v>
      </c>
      <c r="CN6" s="1183"/>
      <c r="CO6" s="1183"/>
      <c r="CP6" s="1183"/>
      <c r="CQ6" s="1183"/>
      <c r="CR6" s="1183"/>
      <c r="CS6" s="1183"/>
      <c r="CT6" s="1183"/>
      <c r="CU6" s="1183"/>
      <c r="CV6" s="1183"/>
      <c r="CW6" s="1183"/>
      <c r="CX6" s="1183"/>
      <c r="CY6" s="1183"/>
      <c r="CZ6" s="1183"/>
      <c r="DA6" s="1183"/>
      <c r="DB6" s="1183"/>
      <c r="DC6" s="1183"/>
      <c r="DD6" s="1183"/>
      <c r="DE6" s="1183"/>
      <c r="DF6" s="1183"/>
      <c r="DG6" s="1183"/>
      <c r="DH6" s="1183"/>
      <c r="DI6" s="1183"/>
      <c r="DJ6" s="1183"/>
      <c r="DK6" s="1183"/>
      <c r="DL6" s="1183"/>
      <c r="DM6" s="1183"/>
      <c r="DN6" s="1183"/>
      <c r="DO6" s="1183"/>
      <c r="DP6" s="1183"/>
      <c r="DQ6" s="1183"/>
    </row>
    <row r="7" spans="1:121" s="12" customFormat="1" ht="12" customHeight="1" x14ac:dyDescent="0.35">
      <c r="A7" s="1476"/>
      <c r="B7" s="1477"/>
      <c r="C7" s="1477"/>
      <c r="D7" s="1477"/>
      <c r="E7" s="1477"/>
      <c r="F7" s="1477"/>
      <c r="G7" s="1478"/>
      <c r="H7" s="1476" t="s">
        <v>61</v>
      </c>
      <c r="I7" s="1483">
        <f>Financials!E134</f>
        <v>0</v>
      </c>
      <c r="J7" s="1483">
        <f>Financials!F134</f>
        <v>0</v>
      </c>
      <c r="K7" s="1483">
        <f>Financials!G134</f>
        <v>0</v>
      </c>
      <c r="L7" s="1483">
        <f>Financials!H134</f>
        <v>0</v>
      </c>
      <c r="M7" s="1483">
        <f>Financials!I134</f>
        <v>0</v>
      </c>
      <c r="N7" s="1483">
        <f>Financials!J134</f>
        <v>0</v>
      </c>
      <c r="O7" s="1483">
        <f>Financials!K134</f>
        <v>0</v>
      </c>
      <c r="P7" s="1483">
        <f>Financials!L134</f>
        <v>0</v>
      </c>
      <c r="Q7" s="1483">
        <f>Financials!M134</f>
        <v>0</v>
      </c>
      <c r="R7" s="1483">
        <f>Financials!N134</f>
        <v>0</v>
      </c>
      <c r="S7" s="1483">
        <f>Financials!O134</f>
        <v>0</v>
      </c>
      <c r="T7" s="1483">
        <f>Financials!P134</f>
        <v>0</v>
      </c>
      <c r="U7" s="1483">
        <f>Financials!R134</f>
        <v>0</v>
      </c>
      <c r="V7" s="1483">
        <f>Financials!S134</f>
        <v>0</v>
      </c>
      <c r="W7" s="1483">
        <f>Financials!T134</f>
        <v>0</v>
      </c>
      <c r="X7" s="1483">
        <f>Financials!U134</f>
        <v>0</v>
      </c>
      <c r="Y7" s="1483">
        <f>Financials!V134</f>
        <v>0</v>
      </c>
      <c r="Z7" s="1483">
        <f>Financials!W134</f>
        <v>0</v>
      </c>
      <c r="AA7" s="1483">
        <f>Financials!X134</f>
        <v>0</v>
      </c>
      <c r="AB7" s="1483">
        <f>Financials!Y134</f>
        <v>0</v>
      </c>
      <c r="AC7" s="1483">
        <f>Financials!Z134</f>
        <v>0</v>
      </c>
      <c r="AD7" s="1483">
        <f>Financials!AA134</f>
        <v>0</v>
      </c>
      <c r="AE7" s="1483">
        <f>Financials!AB134</f>
        <v>0</v>
      </c>
      <c r="AF7" s="1485">
        <f>Financials!AC134</f>
        <v>0</v>
      </c>
      <c r="AG7" s="1485">
        <f>Financials!AE134</f>
        <v>0</v>
      </c>
      <c r="AH7" s="1485">
        <f>Financials!AF134</f>
        <v>0</v>
      </c>
      <c r="AI7" s="1485">
        <f>Financials!AG134</f>
        <v>0</v>
      </c>
      <c r="AJ7" s="1485">
        <f>Financials!AH134</f>
        <v>0</v>
      </c>
      <c r="AK7" s="1485">
        <f>Financials!AI134</f>
        <v>0</v>
      </c>
      <c r="AL7" s="1485">
        <f>Financials!AJ134</f>
        <v>0</v>
      </c>
      <c r="AM7" s="1485">
        <f>Financials!AK134</f>
        <v>0</v>
      </c>
      <c r="AN7" s="1485">
        <f>Financials!AL134</f>
        <v>0</v>
      </c>
      <c r="AO7" s="1485">
        <f>Financials!AM134</f>
        <v>0</v>
      </c>
      <c r="AP7" s="1485">
        <f>Financials!AN134</f>
        <v>0</v>
      </c>
      <c r="AQ7" s="1485">
        <f>Financials!AO134</f>
        <v>0</v>
      </c>
      <c r="AR7" s="1485">
        <f>Financials!AP134</f>
        <v>0</v>
      </c>
      <c r="AS7" s="1485">
        <f>Financials!AR134</f>
        <v>0</v>
      </c>
      <c r="AT7" s="1485">
        <f>Financials!AS134</f>
        <v>0</v>
      </c>
      <c r="AU7" s="1485">
        <f>Financials!AT134</f>
        <v>0</v>
      </c>
      <c r="AV7" s="1485">
        <f>Financials!AU134</f>
        <v>0</v>
      </c>
      <c r="AW7" s="1485">
        <f>Financials!AV134</f>
        <v>0</v>
      </c>
      <c r="AX7" s="1485">
        <f>Financials!AW134</f>
        <v>0</v>
      </c>
      <c r="AY7" s="1485">
        <f>Financials!AX134</f>
        <v>0</v>
      </c>
      <c r="AZ7" s="1485">
        <f>Financials!AY134</f>
        <v>0</v>
      </c>
      <c r="BA7" s="1485">
        <f>Financials!AZ134</f>
        <v>0</v>
      </c>
      <c r="BB7" s="1485">
        <f>Financials!BA134</f>
        <v>0</v>
      </c>
      <c r="BC7" s="1485">
        <f>Financials!BB134</f>
        <v>0</v>
      </c>
      <c r="BD7" s="1485">
        <f>Financials!BC134</f>
        <v>0</v>
      </c>
      <c r="BE7" s="1485">
        <f>Financials!BE134</f>
        <v>0</v>
      </c>
      <c r="BF7" s="1485">
        <f>Financials!BF134</f>
        <v>0</v>
      </c>
      <c r="BG7" s="1485">
        <f>Financials!BG134</f>
        <v>0</v>
      </c>
      <c r="BH7" s="1485">
        <f>Financials!BH134</f>
        <v>0</v>
      </c>
      <c r="BI7" s="1485">
        <f>Financials!BI134</f>
        <v>0</v>
      </c>
      <c r="BJ7" s="1485">
        <f>Financials!BJ134</f>
        <v>0</v>
      </c>
      <c r="BK7" s="1485">
        <f>Financials!BK134</f>
        <v>0</v>
      </c>
      <c r="BL7" s="1485">
        <f>Financials!BL134</f>
        <v>0</v>
      </c>
      <c r="BM7" s="1485">
        <f>Financials!BM134</f>
        <v>0</v>
      </c>
      <c r="BN7" s="1485">
        <f>Financials!BN134</f>
        <v>0</v>
      </c>
      <c r="BO7" s="1485">
        <f>Financials!BO134</f>
        <v>0</v>
      </c>
      <c r="BP7" s="1485">
        <f>Financials!BP134</f>
        <v>0</v>
      </c>
      <c r="BQ7" s="43"/>
      <c r="BR7" s="43"/>
      <c r="BS7" s="43"/>
      <c r="BT7" s="43"/>
      <c r="BU7" s="43"/>
      <c r="BV7" s="43"/>
      <c r="BW7" s="1436">
        <f>Infrastructure!M13</f>
        <v>6</v>
      </c>
      <c r="BX7" s="1437">
        <f>$M$3</f>
        <v>0</v>
      </c>
      <c r="BY7" s="1437">
        <f>$M$8</f>
        <v>0</v>
      </c>
      <c r="BZ7" s="1183"/>
      <c r="CA7" s="1183"/>
      <c r="CB7" s="1183"/>
      <c r="CC7" s="1183"/>
      <c r="CD7" s="484">
        <f>$L$38</f>
        <v>0</v>
      </c>
      <c r="CE7" s="484">
        <f>$L$39</f>
        <v>0</v>
      </c>
      <c r="CF7" s="484">
        <f>$L$40</f>
        <v>0</v>
      </c>
      <c r="CG7" s="484">
        <f>$L$41</f>
        <v>0</v>
      </c>
      <c r="CH7" s="484">
        <f>$L$42</f>
        <v>0</v>
      </c>
      <c r="CI7" s="484">
        <f>$L$43</f>
        <v>0</v>
      </c>
      <c r="CJ7" s="484">
        <f>$L$44</f>
        <v>0</v>
      </c>
      <c r="CK7" s="484">
        <f>$L$45</f>
        <v>0</v>
      </c>
      <c r="CL7" s="484">
        <f>$L$46</f>
        <v>0</v>
      </c>
      <c r="CM7" s="484">
        <f>$L$47</f>
        <v>0</v>
      </c>
      <c r="CN7" s="1183"/>
      <c r="CO7" s="1183"/>
      <c r="CP7" s="1183"/>
      <c r="CQ7" s="1183"/>
      <c r="CR7" s="1183"/>
      <c r="CS7" s="1183"/>
      <c r="CT7" s="1183"/>
      <c r="CU7" s="1183"/>
      <c r="CV7" s="1183"/>
      <c r="CW7" s="1183"/>
      <c r="CX7" s="1183"/>
      <c r="CY7" s="1183"/>
      <c r="CZ7" s="1183"/>
      <c r="DA7" s="1183"/>
      <c r="DB7" s="1183"/>
      <c r="DC7" s="1183"/>
      <c r="DD7" s="1183"/>
      <c r="DE7" s="1183"/>
      <c r="DF7" s="1183"/>
      <c r="DG7" s="1183"/>
      <c r="DH7" s="1183"/>
      <c r="DI7" s="1183"/>
      <c r="DJ7" s="1183"/>
      <c r="DK7" s="1183"/>
      <c r="DL7" s="1183"/>
      <c r="DM7" s="1183"/>
      <c r="DN7" s="1183"/>
      <c r="DO7" s="1183"/>
      <c r="DP7" s="1183"/>
      <c r="DQ7" s="1183"/>
    </row>
    <row r="8" spans="1:121" s="12" customFormat="1" ht="12" customHeight="1" x14ac:dyDescent="0.35">
      <c r="A8" s="1476"/>
      <c r="B8" s="1477"/>
      <c r="C8" s="1477"/>
      <c r="D8" s="1477"/>
      <c r="E8" s="1477"/>
      <c r="F8" s="1477"/>
      <c r="G8" s="1478"/>
      <c r="H8" s="1476" t="s">
        <v>6</v>
      </c>
      <c r="I8" s="1483">
        <f>Financials!E138</f>
        <v>0</v>
      </c>
      <c r="J8" s="1483">
        <f>Financials!F138</f>
        <v>0</v>
      </c>
      <c r="K8" s="1483">
        <f>Financials!G138</f>
        <v>0</v>
      </c>
      <c r="L8" s="1483">
        <f>Financials!H138</f>
        <v>0</v>
      </c>
      <c r="M8" s="1483">
        <f>Financials!I138</f>
        <v>0</v>
      </c>
      <c r="N8" s="1483">
        <f>Financials!J138</f>
        <v>0</v>
      </c>
      <c r="O8" s="1483">
        <f>Financials!K138</f>
        <v>0</v>
      </c>
      <c r="P8" s="1483">
        <f>Financials!L138</f>
        <v>0</v>
      </c>
      <c r="Q8" s="1483">
        <f>Financials!M138</f>
        <v>0</v>
      </c>
      <c r="R8" s="1483">
        <f>Financials!N138</f>
        <v>0</v>
      </c>
      <c r="S8" s="1483">
        <f>Financials!O138</f>
        <v>0</v>
      </c>
      <c r="T8" s="1483">
        <f>Financials!P138</f>
        <v>0</v>
      </c>
      <c r="U8" s="1483">
        <f>Financials!R138</f>
        <v>0</v>
      </c>
      <c r="V8" s="1483">
        <f>Financials!S138</f>
        <v>0</v>
      </c>
      <c r="W8" s="1483">
        <f>Financials!T138</f>
        <v>0</v>
      </c>
      <c r="X8" s="1483">
        <f>Financials!U138</f>
        <v>0</v>
      </c>
      <c r="Y8" s="1483">
        <f>Financials!V138</f>
        <v>0</v>
      </c>
      <c r="Z8" s="1483">
        <f>Financials!W138</f>
        <v>0</v>
      </c>
      <c r="AA8" s="1483">
        <f>Financials!X138</f>
        <v>0</v>
      </c>
      <c r="AB8" s="1483">
        <f>Financials!Y138</f>
        <v>0</v>
      </c>
      <c r="AC8" s="1483">
        <f>Financials!Z138</f>
        <v>0</v>
      </c>
      <c r="AD8" s="1483">
        <f>Financials!AA138</f>
        <v>0</v>
      </c>
      <c r="AE8" s="1483">
        <f>Financials!AB138</f>
        <v>0</v>
      </c>
      <c r="AF8" s="1485">
        <f>Financials!AC138</f>
        <v>0</v>
      </c>
      <c r="AG8" s="1485">
        <f>Financials!AE138</f>
        <v>0</v>
      </c>
      <c r="AH8" s="1485">
        <f>Financials!AF138</f>
        <v>0</v>
      </c>
      <c r="AI8" s="1485">
        <f>Financials!AG138</f>
        <v>0</v>
      </c>
      <c r="AJ8" s="1485">
        <f>Financials!AH138</f>
        <v>0</v>
      </c>
      <c r="AK8" s="1485">
        <f>Financials!AI138</f>
        <v>0</v>
      </c>
      <c r="AL8" s="1485">
        <f>Financials!AJ138</f>
        <v>0</v>
      </c>
      <c r="AM8" s="1485">
        <f>Financials!AK138</f>
        <v>0</v>
      </c>
      <c r="AN8" s="1485">
        <f>Financials!AL138</f>
        <v>0</v>
      </c>
      <c r="AO8" s="1485">
        <f>Financials!AM138</f>
        <v>0</v>
      </c>
      <c r="AP8" s="1485">
        <f>Financials!AN138</f>
        <v>0</v>
      </c>
      <c r="AQ8" s="1485">
        <f>Financials!AO138</f>
        <v>0</v>
      </c>
      <c r="AR8" s="1485">
        <f>Financials!AP138</f>
        <v>0</v>
      </c>
      <c r="AS8" s="1485">
        <f>Financials!AR138</f>
        <v>0</v>
      </c>
      <c r="AT8" s="1485">
        <f>Financials!AS138</f>
        <v>0</v>
      </c>
      <c r="AU8" s="1485">
        <f>Financials!AT138</f>
        <v>0</v>
      </c>
      <c r="AV8" s="1485">
        <f>Financials!AU138</f>
        <v>0</v>
      </c>
      <c r="AW8" s="1485">
        <f>Financials!AV138</f>
        <v>0</v>
      </c>
      <c r="AX8" s="1485">
        <f>Financials!AW138</f>
        <v>0</v>
      </c>
      <c r="AY8" s="1485">
        <f>Financials!AX138</f>
        <v>0</v>
      </c>
      <c r="AZ8" s="1485">
        <f>Financials!AY138</f>
        <v>0</v>
      </c>
      <c r="BA8" s="1485">
        <f>Financials!AZ138</f>
        <v>0</v>
      </c>
      <c r="BB8" s="1485">
        <f>Financials!BA138</f>
        <v>0</v>
      </c>
      <c r="BC8" s="1485">
        <f>Financials!BB138</f>
        <v>0</v>
      </c>
      <c r="BD8" s="1485">
        <f>Financials!BC138</f>
        <v>0</v>
      </c>
      <c r="BE8" s="1485">
        <f>Financials!BE138</f>
        <v>0</v>
      </c>
      <c r="BF8" s="1485">
        <f>Financials!BF138</f>
        <v>0</v>
      </c>
      <c r="BG8" s="1485">
        <f>Financials!BG138</f>
        <v>0</v>
      </c>
      <c r="BH8" s="1485">
        <f>Financials!BH138</f>
        <v>0</v>
      </c>
      <c r="BI8" s="1485">
        <f>Financials!BI138</f>
        <v>0</v>
      </c>
      <c r="BJ8" s="1485">
        <f>Financials!BJ138</f>
        <v>0</v>
      </c>
      <c r="BK8" s="1485">
        <f>Financials!BK138</f>
        <v>0</v>
      </c>
      <c r="BL8" s="1485">
        <f>Financials!BL138</f>
        <v>0</v>
      </c>
      <c r="BM8" s="1485">
        <f>Financials!BM138</f>
        <v>0</v>
      </c>
      <c r="BN8" s="1485">
        <f>Financials!BN138</f>
        <v>0</v>
      </c>
      <c r="BO8" s="1485">
        <f>Financials!BO138</f>
        <v>0</v>
      </c>
      <c r="BP8" s="1485">
        <f>Financials!BP138</f>
        <v>0</v>
      </c>
      <c r="BQ8" s="43"/>
      <c r="BR8" s="43"/>
      <c r="BS8" s="43"/>
      <c r="BT8" s="43"/>
      <c r="BU8" s="43"/>
      <c r="BV8" s="43"/>
      <c r="BW8" s="1436">
        <f>Infrastructure!M14</f>
        <v>182</v>
      </c>
      <c r="BX8" s="1437">
        <f>$N$3</f>
        <v>0</v>
      </c>
      <c r="BY8" s="1437">
        <f>$N$8</f>
        <v>0</v>
      </c>
      <c r="BZ8" s="1183"/>
      <c r="CA8" s="1183"/>
      <c r="CB8" s="1183"/>
      <c r="CC8" s="1183"/>
      <c r="CD8" s="484">
        <f>$M$38</f>
        <v>0</v>
      </c>
      <c r="CE8" s="484">
        <f>$M$39</f>
        <v>0</v>
      </c>
      <c r="CF8" s="484">
        <f>$M$40</f>
        <v>0</v>
      </c>
      <c r="CG8" s="484">
        <f>$M$41</f>
        <v>0</v>
      </c>
      <c r="CH8" s="484">
        <f>$M$42</f>
        <v>0</v>
      </c>
      <c r="CI8" s="484">
        <f>$M$43</f>
        <v>0</v>
      </c>
      <c r="CJ8" s="484">
        <f>$M$44</f>
        <v>0</v>
      </c>
      <c r="CK8" s="484">
        <f>$M$45</f>
        <v>0</v>
      </c>
      <c r="CL8" s="484">
        <f>$M$46</f>
        <v>0</v>
      </c>
      <c r="CM8" s="484">
        <f>$M$47</f>
        <v>0</v>
      </c>
      <c r="CN8" s="1183"/>
      <c r="CO8" s="1183"/>
      <c r="CP8" s="1183"/>
      <c r="CQ8" s="1183"/>
      <c r="CR8" s="1183"/>
      <c r="CS8" s="1183"/>
      <c r="CT8" s="1183"/>
      <c r="CU8" s="1183"/>
      <c r="CV8" s="1183"/>
      <c r="CW8" s="1183"/>
      <c r="CX8" s="1183"/>
      <c r="CY8" s="1183"/>
      <c r="CZ8" s="1183"/>
      <c r="DA8" s="1183"/>
      <c r="DB8" s="1183"/>
      <c r="DC8" s="1183"/>
      <c r="DD8" s="1183"/>
      <c r="DE8" s="1183"/>
      <c r="DF8" s="1183"/>
      <c r="DG8" s="1183"/>
      <c r="DH8" s="1183"/>
      <c r="DI8" s="1183"/>
      <c r="DJ8" s="1183"/>
      <c r="DK8" s="1183"/>
      <c r="DL8" s="1183"/>
      <c r="DM8" s="1183"/>
      <c r="DN8" s="1183"/>
      <c r="DO8" s="1183"/>
      <c r="DP8" s="1183"/>
      <c r="DQ8" s="1183"/>
    </row>
    <row r="9" spans="1:121" s="12" customFormat="1" ht="12" customHeight="1" x14ac:dyDescent="0.25">
      <c r="A9" s="1476"/>
      <c r="B9" s="1486">
        <f>MIN(I9:BP9)</f>
        <v>0</v>
      </c>
      <c r="C9" s="1486">
        <f>MAX(I9:BP9)</f>
        <v>0</v>
      </c>
      <c r="D9" s="1477"/>
      <c r="E9" s="1487">
        <f>IF(AND(F$15&gt;0,F9&gt;0),F9,60)</f>
        <v>60</v>
      </c>
      <c r="F9" s="1477" cm="1">
        <f t="array" ref="F9">IFERROR(MATCH(TRUE,(I19:BP19)&gt;0,0),0)</f>
        <v>0</v>
      </c>
      <c r="G9" s="1478"/>
      <c r="H9" s="1476" t="s">
        <v>355</v>
      </c>
      <c r="I9" s="1483">
        <f>Financials!E144</f>
        <v>0</v>
      </c>
      <c r="J9" s="1483">
        <f>Financials!F144</f>
        <v>0</v>
      </c>
      <c r="K9" s="1483">
        <f>Financials!G144</f>
        <v>0</v>
      </c>
      <c r="L9" s="1483">
        <f>Financials!H144</f>
        <v>0</v>
      </c>
      <c r="M9" s="1483">
        <f>Financials!I144</f>
        <v>0</v>
      </c>
      <c r="N9" s="1483">
        <f>Financials!J144</f>
        <v>0</v>
      </c>
      <c r="O9" s="1483">
        <f>Financials!K144</f>
        <v>0</v>
      </c>
      <c r="P9" s="1483">
        <f>Financials!L144</f>
        <v>0</v>
      </c>
      <c r="Q9" s="1483">
        <f>Financials!M144</f>
        <v>0</v>
      </c>
      <c r="R9" s="1483">
        <f>Financials!N144</f>
        <v>0</v>
      </c>
      <c r="S9" s="1483">
        <f>Financials!O144</f>
        <v>0</v>
      </c>
      <c r="T9" s="1483">
        <f>Financials!P144</f>
        <v>0</v>
      </c>
      <c r="U9" s="1483">
        <f>Financials!R144</f>
        <v>0</v>
      </c>
      <c r="V9" s="1483">
        <f>Financials!S144</f>
        <v>0</v>
      </c>
      <c r="W9" s="1483">
        <f>Financials!T144</f>
        <v>0</v>
      </c>
      <c r="X9" s="1483">
        <f>Financials!U144</f>
        <v>0</v>
      </c>
      <c r="Y9" s="1483">
        <f>Financials!V144</f>
        <v>0</v>
      </c>
      <c r="Z9" s="1483">
        <f>Financials!W144</f>
        <v>0</v>
      </c>
      <c r="AA9" s="1483">
        <f>Financials!X144</f>
        <v>0</v>
      </c>
      <c r="AB9" s="1483">
        <f>Financials!Y144</f>
        <v>0</v>
      </c>
      <c r="AC9" s="1483">
        <f>Financials!Z144</f>
        <v>0</v>
      </c>
      <c r="AD9" s="1483">
        <f>Financials!AA144</f>
        <v>0</v>
      </c>
      <c r="AE9" s="1483">
        <f>Financials!AB144</f>
        <v>0</v>
      </c>
      <c r="AF9" s="1485">
        <f>Financials!AC144</f>
        <v>0</v>
      </c>
      <c r="AG9" s="1485">
        <f>Financials!AE144</f>
        <v>0</v>
      </c>
      <c r="AH9" s="1485">
        <f>Financials!AF144</f>
        <v>0</v>
      </c>
      <c r="AI9" s="1485">
        <f>Financials!AG144</f>
        <v>0</v>
      </c>
      <c r="AJ9" s="1485">
        <f>Financials!AH144</f>
        <v>0</v>
      </c>
      <c r="AK9" s="1485">
        <f>Financials!AI144</f>
        <v>0</v>
      </c>
      <c r="AL9" s="1485">
        <f>Financials!AJ144</f>
        <v>0</v>
      </c>
      <c r="AM9" s="1485">
        <f>Financials!AK144</f>
        <v>0</v>
      </c>
      <c r="AN9" s="1485">
        <f>Financials!AL144</f>
        <v>0</v>
      </c>
      <c r="AO9" s="1485">
        <f>Financials!AM144</f>
        <v>0</v>
      </c>
      <c r="AP9" s="1485">
        <f>Financials!AN144</f>
        <v>0</v>
      </c>
      <c r="AQ9" s="1485">
        <f>Financials!AO144</f>
        <v>0</v>
      </c>
      <c r="AR9" s="1485">
        <f>Financials!AP144</f>
        <v>0</v>
      </c>
      <c r="AS9" s="1485">
        <f>Financials!AR144</f>
        <v>0</v>
      </c>
      <c r="AT9" s="1485">
        <f>Financials!AS144</f>
        <v>0</v>
      </c>
      <c r="AU9" s="1485">
        <f>Financials!AT144</f>
        <v>0</v>
      </c>
      <c r="AV9" s="1485">
        <f>Financials!AU144</f>
        <v>0</v>
      </c>
      <c r="AW9" s="1485">
        <f>Financials!AV144</f>
        <v>0</v>
      </c>
      <c r="AX9" s="1485">
        <f>Financials!AW144</f>
        <v>0</v>
      </c>
      <c r="AY9" s="1485">
        <f>Financials!AX144</f>
        <v>0</v>
      </c>
      <c r="AZ9" s="1485">
        <f>Financials!AY144</f>
        <v>0</v>
      </c>
      <c r="BA9" s="1485">
        <f>Financials!AZ144</f>
        <v>0</v>
      </c>
      <c r="BB9" s="1485">
        <f>Financials!BA144</f>
        <v>0</v>
      </c>
      <c r="BC9" s="1485">
        <f>Financials!BB144</f>
        <v>0</v>
      </c>
      <c r="BD9" s="1485">
        <f>Financials!BC144</f>
        <v>0</v>
      </c>
      <c r="BE9" s="1485">
        <f>Financials!BE144</f>
        <v>0</v>
      </c>
      <c r="BF9" s="1485">
        <f>Financials!BF144</f>
        <v>0</v>
      </c>
      <c r="BG9" s="1485">
        <f>Financials!BG144</f>
        <v>0</v>
      </c>
      <c r="BH9" s="1485">
        <f>Financials!BH144</f>
        <v>0</v>
      </c>
      <c r="BI9" s="1485">
        <f>Financials!BI144</f>
        <v>0</v>
      </c>
      <c r="BJ9" s="1485">
        <f>Financials!BJ144</f>
        <v>0</v>
      </c>
      <c r="BK9" s="1485">
        <f>Financials!BK144</f>
        <v>0</v>
      </c>
      <c r="BL9" s="1485">
        <f>Financials!BL144</f>
        <v>0</v>
      </c>
      <c r="BM9" s="1485">
        <f>Financials!BM144</f>
        <v>0</v>
      </c>
      <c r="BN9" s="1485">
        <f>Financials!BN144</f>
        <v>0</v>
      </c>
      <c r="BO9" s="1485">
        <f>Financials!BO144</f>
        <v>0</v>
      </c>
      <c r="BP9" s="1485">
        <f>Financials!BP144</f>
        <v>0</v>
      </c>
      <c r="BQ9" s="43"/>
      <c r="BR9" s="43"/>
      <c r="BS9" s="43"/>
      <c r="BT9" s="43"/>
      <c r="BU9" s="43"/>
      <c r="BV9" s="43"/>
      <c r="BW9" s="1436">
        <f>Infrastructure!M15</f>
        <v>6</v>
      </c>
      <c r="BX9" s="1437">
        <f>$O$3</f>
        <v>0</v>
      </c>
      <c r="BY9" s="1437">
        <f>$O$8</f>
        <v>0</v>
      </c>
      <c r="BZ9" s="1183"/>
      <c r="CA9" s="1183"/>
      <c r="CB9" s="1183"/>
      <c r="CC9" s="1183"/>
      <c r="CD9" s="484">
        <f>$N$38</f>
        <v>0</v>
      </c>
      <c r="CE9" s="484">
        <f>$N$39</f>
        <v>0</v>
      </c>
      <c r="CF9" s="484">
        <f>$N$40</f>
        <v>0</v>
      </c>
      <c r="CG9" s="484">
        <f>$N$41</f>
        <v>0</v>
      </c>
      <c r="CH9" s="484">
        <f>$N$42</f>
        <v>0</v>
      </c>
      <c r="CI9" s="484">
        <f>$N$43</f>
        <v>0</v>
      </c>
      <c r="CJ9" s="484">
        <f>$N$44</f>
        <v>0</v>
      </c>
      <c r="CK9" s="484">
        <f>$N$45</f>
        <v>0</v>
      </c>
      <c r="CL9" s="484">
        <f>$N$46</f>
        <v>0</v>
      </c>
      <c r="CM9" s="484">
        <f>$N$47</f>
        <v>0</v>
      </c>
      <c r="CN9" s="1183"/>
      <c r="CO9" s="1183"/>
      <c r="CP9" s="1183"/>
      <c r="CQ9" s="1183"/>
      <c r="CR9" s="1183"/>
      <c r="CS9" s="1183"/>
      <c r="CT9" s="1183"/>
      <c r="CU9" s="1183"/>
      <c r="CV9" s="1183"/>
      <c r="CW9" s="1183"/>
      <c r="CX9" s="1183"/>
      <c r="CY9" s="1183"/>
      <c r="CZ9" s="1183"/>
      <c r="DA9" s="1183"/>
      <c r="DB9" s="1183"/>
      <c r="DC9" s="1183"/>
      <c r="DD9" s="1183"/>
      <c r="DE9" s="1183"/>
      <c r="DF9" s="1183"/>
      <c r="DG9" s="1183"/>
      <c r="DH9" s="1183"/>
      <c r="DI9" s="1183"/>
      <c r="DJ9" s="1183"/>
      <c r="DK9" s="1183"/>
      <c r="DL9" s="1183"/>
      <c r="DM9" s="1183"/>
      <c r="DN9" s="1183"/>
      <c r="DO9" s="1183"/>
      <c r="DP9" s="1183"/>
      <c r="DQ9" s="1183"/>
    </row>
    <row r="10" spans="1:121" s="12" customFormat="1" ht="12" customHeight="1" x14ac:dyDescent="0.25">
      <c r="A10" s="1476"/>
      <c r="B10" s="1486"/>
      <c r="C10" s="1486"/>
      <c r="D10" s="1477"/>
      <c r="E10" s="1487"/>
      <c r="F10" s="1477"/>
      <c r="G10" s="1478"/>
      <c r="H10" s="1476" t="s">
        <v>188</v>
      </c>
      <c r="I10" s="1483">
        <f>Financials!E140</f>
        <v>0</v>
      </c>
      <c r="J10" s="1483">
        <f>Financials!F140</f>
        <v>0</v>
      </c>
      <c r="K10" s="1483">
        <f>Financials!G140</f>
        <v>0</v>
      </c>
      <c r="L10" s="1483">
        <f>Financials!H140</f>
        <v>0</v>
      </c>
      <c r="M10" s="1483">
        <f>Financials!I140</f>
        <v>0</v>
      </c>
      <c r="N10" s="1483">
        <f>Financials!J140</f>
        <v>0</v>
      </c>
      <c r="O10" s="1483">
        <f>Financials!K140</f>
        <v>0</v>
      </c>
      <c r="P10" s="1483">
        <f>Financials!L140</f>
        <v>0</v>
      </c>
      <c r="Q10" s="1483">
        <f>Financials!M140</f>
        <v>0</v>
      </c>
      <c r="R10" s="1483">
        <f>Financials!N140</f>
        <v>0</v>
      </c>
      <c r="S10" s="1483">
        <f>Financials!O140</f>
        <v>0</v>
      </c>
      <c r="T10" s="1483">
        <f>Financials!P140</f>
        <v>0</v>
      </c>
      <c r="U10" s="1483">
        <f>Financials!R140</f>
        <v>0</v>
      </c>
      <c r="V10" s="1483">
        <f>Financials!S140</f>
        <v>0</v>
      </c>
      <c r="W10" s="1483">
        <f>Financials!T140</f>
        <v>0</v>
      </c>
      <c r="X10" s="1483">
        <f>Financials!U140</f>
        <v>0</v>
      </c>
      <c r="Y10" s="1483">
        <f>Financials!V140</f>
        <v>0</v>
      </c>
      <c r="Z10" s="1483">
        <f>Financials!W140</f>
        <v>0</v>
      </c>
      <c r="AA10" s="1483">
        <f>Financials!X140</f>
        <v>0</v>
      </c>
      <c r="AB10" s="1483">
        <f>Financials!Y140</f>
        <v>0</v>
      </c>
      <c r="AC10" s="1483">
        <f>Financials!Z140</f>
        <v>0</v>
      </c>
      <c r="AD10" s="1483">
        <f>Financials!AA140</f>
        <v>0</v>
      </c>
      <c r="AE10" s="1483">
        <f>Financials!AB140</f>
        <v>0</v>
      </c>
      <c r="AF10" s="1485">
        <f>Financials!AC140</f>
        <v>0</v>
      </c>
      <c r="AG10" s="1485">
        <f>Financials!AE140</f>
        <v>0</v>
      </c>
      <c r="AH10" s="1485">
        <f>Financials!AF140</f>
        <v>0</v>
      </c>
      <c r="AI10" s="1485">
        <f>Financials!AG140</f>
        <v>0</v>
      </c>
      <c r="AJ10" s="1485">
        <f>Financials!AH140</f>
        <v>0</v>
      </c>
      <c r="AK10" s="1485">
        <f>Financials!AI140</f>
        <v>0</v>
      </c>
      <c r="AL10" s="1485">
        <f>Financials!AJ140</f>
        <v>0</v>
      </c>
      <c r="AM10" s="1485">
        <f>Financials!AK140</f>
        <v>0</v>
      </c>
      <c r="AN10" s="1485">
        <f>Financials!AL140</f>
        <v>0</v>
      </c>
      <c r="AO10" s="1485">
        <f>Financials!AM140</f>
        <v>0</v>
      </c>
      <c r="AP10" s="1485">
        <f>Financials!AN140</f>
        <v>0</v>
      </c>
      <c r="AQ10" s="1485">
        <f>Financials!AO140</f>
        <v>0</v>
      </c>
      <c r="AR10" s="1485">
        <f>Financials!AP140</f>
        <v>0</v>
      </c>
      <c r="AS10" s="1485">
        <f>Financials!AR140</f>
        <v>0</v>
      </c>
      <c r="AT10" s="1485">
        <f>Financials!AS140</f>
        <v>0</v>
      </c>
      <c r="AU10" s="1485">
        <f>Financials!AT140</f>
        <v>0</v>
      </c>
      <c r="AV10" s="1485">
        <f>Financials!AU140</f>
        <v>0</v>
      </c>
      <c r="AW10" s="1485">
        <f>Financials!AV140</f>
        <v>0</v>
      </c>
      <c r="AX10" s="1485">
        <f>Financials!AW140</f>
        <v>0</v>
      </c>
      <c r="AY10" s="1485">
        <f>Financials!AX140</f>
        <v>0</v>
      </c>
      <c r="AZ10" s="1485">
        <f>Financials!AY140</f>
        <v>0</v>
      </c>
      <c r="BA10" s="1485">
        <f>Financials!AZ140</f>
        <v>0</v>
      </c>
      <c r="BB10" s="1485">
        <f>Financials!BA140</f>
        <v>0</v>
      </c>
      <c r="BC10" s="1485">
        <f>Financials!BB140</f>
        <v>0</v>
      </c>
      <c r="BD10" s="1485">
        <f>Financials!BC140</f>
        <v>0</v>
      </c>
      <c r="BE10" s="1485">
        <f>Financials!BE140</f>
        <v>0</v>
      </c>
      <c r="BF10" s="1485">
        <f>Financials!BF140</f>
        <v>0</v>
      </c>
      <c r="BG10" s="1485">
        <f>Financials!BG140</f>
        <v>0</v>
      </c>
      <c r="BH10" s="1485">
        <f>Financials!BH140</f>
        <v>0</v>
      </c>
      <c r="BI10" s="1485">
        <f>Financials!BI140</f>
        <v>0</v>
      </c>
      <c r="BJ10" s="1485">
        <f>Financials!BJ140</f>
        <v>0</v>
      </c>
      <c r="BK10" s="1485">
        <f>Financials!BK140</f>
        <v>0</v>
      </c>
      <c r="BL10" s="1485">
        <f>Financials!BL140</f>
        <v>0</v>
      </c>
      <c r="BM10" s="1485">
        <f>Financials!BM140</f>
        <v>0</v>
      </c>
      <c r="BN10" s="1485">
        <f>Financials!BN140</f>
        <v>0</v>
      </c>
      <c r="BO10" s="1485">
        <f>Financials!BO140</f>
        <v>0</v>
      </c>
      <c r="BP10" s="1485">
        <f>Financials!BP140</f>
        <v>0</v>
      </c>
      <c r="BQ10" s="43"/>
      <c r="BR10" s="43"/>
      <c r="BS10" s="43"/>
      <c r="BT10" s="43"/>
      <c r="BU10" s="43"/>
      <c r="BV10" s="43"/>
      <c r="BW10" s="1436"/>
      <c r="BX10" s="1437"/>
      <c r="BY10" s="1437"/>
      <c r="BZ10" s="1183"/>
      <c r="CA10" s="1183"/>
      <c r="CB10" s="1183"/>
      <c r="CC10" s="1183"/>
      <c r="CD10" s="484"/>
      <c r="CE10" s="484"/>
      <c r="CF10" s="484"/>
      <c r="CG10" s="484"/>
      <c r="CH10" s="484"/>
      <c r="CI10" s="484"/>
      <c r="CJ10" s="484"/>
      <c r="CK10" s="484"/>
      <c r="CL10" s="484"/>
      <c r="CM10" s="484"/>
      <c r="CN10" s="1183"/>
      <c r="CO10" s="1183"/>
      <c r="CP10" s="1183"/>
      <c r="CQ10" s="1183"/>
      <c r="CR10" s="1183"/>
      <c r="CS10" s="1183"/>
      <c r="CT10" s="1183"/>
      <c r="CU10" s="1183"/>
      <c r="CV10" s="1183"/>
      <c r="CW10" s="1183"/>
      <c r="CX10" s="1183"/>
      <c r="CY10" s="1183"/>
      <c r="CZ10" s="1183"/>
      <c r="DA10" s="1183"/>
      <c r="DB10" s="1183"/>
      <c r="DC10" s="1183"/>
      <c r="DD10" s="1183"/>
      <c r="DE10" s="1183"/>
      <c r="DF10" s="1183"/>
      <c r="DG10" s="1183"/>
      <c r="DH10" s="1183"/>
      <c r="DI10" s="1183"/>
      <c r="DJ10" s="1183"/>
      <c r="DK10" s="1183"/>
      <c r="DL10" s="1183"/>
      <c r="DM10" s="1183"/>
      <c r="DN10" s="1183"/>
      <c r="DO10" s="1183"/>
      <c r="DP10" s="1183"/>
      <c r="DQ10" s="1183"/>
    </row>
    <row r="11" spans="1:121" s="12" customFormat="1" ht="12" customHeight="1" x14ac:dyDescent="0.25">
      <c r="A11" s="1476"/>
      <c r="B11" s="1486"/>
      <c r="C11" s="1486"/>
      <c r="D11" s="1477"/>
      <c r="E11" s="1487"/>
      <c r="F11" s="1477"/>
      <c r="G11" s="1478"/>
      <c r="H11" s="1476" t="s">
        <v>356</v>
      </c>
      <c r="I11" s="1483">
        <f t="shared" ref="I11:T11" si="1">AF739+AF746+AF753</f>
        <v>0</v>
      </c>
      <c r="J11" s="1483">
        <f t="shared" si="1"/>
        <v>0</v>
      </c>
      <c r="K11" s="1483">
        <f t="shared" si="1"/>
        <v>0</v>
      </c>
      <c r="L11" s="1483">
        <f t="shared" si="1"/>
        <v>0</v>
      </c>
      <c r="M11" s="1483">
        <f t="shared" si="1"/>
        <v>0</v>
      </c>
      <c r="N11" s="1483">
        <f t="shared" si="1"/>
        <v>0</v>
      </c>
      <c r="O11" s="1483">
        <f t="shared" si="1"/>
        <v>0</v>
      </c>
      <c r="P11" s="1483">
        <f t="shared" si="1"/>
        <v>0</v>
      </c>
      <c r="Q11" s="1483">
        <f t="shared" si="1"/>
        <v>0</v>
      </c>
      <c r="R11" s="1483">
        <f t="shared" si="1"/>
        <v>0</v>
      </c>
      <c r="S11" s="1483">
        <f t="shared" si="1"/>
        <v>0</v>
      </c>
      <c r="T11" s="1483">
        <f t="shared" si="1"/>
        <v>0</v>
      </c>
      <c r="U11" s="1483">
        <f t="shared" ref="U11:BP11" si="2">AR739+AR746+AR753</f>
        <v>0</v>
      </c>
      <c r="V11" s="1483">
        <f t="shared" si="2"/>
        <v>0</v>
      </c>
      <c r="W11" s="1483">
        <f t="shared" si="2"/>
        <v>0</v>
      </c>
      <c r="X11" s="1483">
        <f t="shared" si="2"/>
        <v>0</v>
      </c>
      <c r="Y11" s="1483">
        <f t="shared" si="2"/>
        <v>0</v>
      </c>
      <c r="Z11" s="1483">
        <f t="shared" si="2"/>
        <v>0</v>
      </c>
      <c r="AA11" s="1483">
        <f t="shared" si="2"/>
        <v>0</v>
      </c>
      <c r="AB11" s="1483">
        <f t="shared" si="2"/>
        <v>0</v>
      </c>
      <c r="AC11" s="1483">
        <f t="shared" si="2"/>
        <v>0</v>
      </c>
      <c r="AD11" s="1483">
        <f t="shared" si="2"/>
        <v>0</v>
      </c>
      <c r="AE11" s="1483">
        <f t="shared" si="2"/>
        <v>0</v>
      </c>
      <c r="AF11" s="1485">
        <f t="shared" si="2"/>
        <v>0</v>
      </c>
      <c r="AG11" s="1485">
        <f t="shared" si="2"/>
        <v>0</v>
      </c>
      <c r="AH11" s="1485">
        <f t="shared" si="2"/>
        <v>0</v>
      </c>
      <c r="AI11" s="1485">
        <f t="shared" si="2"/>
        <v>0</v>
      </c>
      <c r="AJ11" s="1485">
        <f t="shared" si="2"/>
        <v>0</v>
      </c>
      <c r="AK11" s="1485">
        <f t="shared" si="2"/>
        <v>0</v>
      </c>
      <c r="AL11" s="1485">
        <f t="shared" si="2"/>
        <v>0</v>
      </c>
      <c r="AM11" s="1485">
        <f t="shared" si="2"/>
        <v>0</v>
      </c>
      <c r="AN11" s="1485">
        <f t="shared" si="2"/>
        <v>0</v>
      </c>
      <c r="AO11" s="1485">
        <f t="shared" si="2"/>
        <v>0</v>
      </c>
      <c r="AP11" s="1485">
        <f t="shared" si="2"/>
        <v>0</v>
      </c>
      <c r="AQ11" s="1485">
        <f t="shared" si="2"/>
        <v>0</v>
      </c>
      <c r="AR11" s="1485">
        <f t="shared" si="2"/>
        <v>0</v>
      </c>
      <c r="AS11" s="1485">
        <f t="shared" si="2"/>
        <v>0</v>
      </c>
      <c r="AT11" s="1485">
        <f t="shared" si="2"/>
        <v>0</v>
      </c>
      <c r="AU11" s="1485">
        <f t="shared" si="2"/>
        <v>0</v>
      </c>
      <c r="AV11" s="1485">
        <f t="shared" si="2"/>
        <v>0</v>
      </c>
      <c r="AW11" s="1485">
        <f t="shared" si="2"/>
        <v>0</v>
      </c>
      <c r="AX11" s="1485">
        <f t="shared" si="2"/>
        <v>0</v>
      </c>
      <c r="AY11" s="1485">
        <f t="shared" si="2"/>
        <v>0</v>
      </c>
      <c r="AZ11" s="1485">
        <f t="shared" si="2"/>
        <v>0</v>
      </c>
      <c r="BA11" s="1485">
        <f t="shared" si="2"/>
        <v>0</v>
      </c>
      <c r="BB11" s="1485">
        <f t="shared" si="2"/>
        <v>0</v>
      </c>
      <c r="BC11" s="1485">
        <f t="shared" si="2"/>
        <v>0</v>
      </c>
      <c r="BD11" s="1485">
        <f t="shared" si="2"/>
        <v>0</v>
      </c>
      <c r="BE11" s="1485">
        <f t="shared" si="2"/>
        <v>0</v>
      </c>
      <c r="BF11" s="1485">
        <f t="shared" si="2"/>
        <v>0</v>
      </c>
      <c r="BG11" s="1485">
        <f t="shared" si="2"/>
        <v>0</v>
      </c>
      <c r="BH11" s="1485">
        <f t="shared" si="2"/>
        <v>0</v>
      </c>
      <c r="BI11" s="1485">
        <f t="shared" si="2"/>
        <v>0</v>
      </c>
      <c r="BJ11" s="1485">
        <f t="shared" si="2"/>
        <v>0</v>
      </c>
      <c r="BK11" s="1485">
        <f t="shared" si="2"/>
        <v>0</v>
      </c>
      <c r="BL11" s="1485">
        <f t="shared" si="2"/>
        <v>0</v>
      </c>
      <c r="BM11" s="1485">
        <f t="shared" si="2"/>
        <v>0</v>
      </c>
      <c r="BN11" s="1485">
        <f t="shared" si="2"/>
        <v>0</v>
      </c>
      <c r="BO11" s="1485">
        <f t="shared" si="2"/>
        <v>0</v>
      </c>
      <c r="BP11" s="1485">
        <f t="shared" si="2"/>
        <v>0</v>
      </c>
      <c r="BQ11" s="43"/>
      <c r="BR11" s="43"/>
      <c r="BS11" s="43"/>
      <c r="BT11" s="43"/>
      <c r="BU11" s="43"/>
      <c r="BV11" s="43"/>
      <c r="BW11" s="1436"/>
      <c r="BX11" s="1437"/>
      <c r="BY11" s="1437"/>
      <c r="BZ11" s="1183"/>
      <c r="CA11" s="1183"/>
      <c r="CB11" s="1183"/>
      <c r="CC11" s="1183"/>
      <c r="CD11" s="484"/>
      <c r="CE11" s="484"/>
      <c r="CF11" s="484"/>
      <c r="CG11" s="484"/>
      <c r="CH11" s="484"/>
      <c r="CI11" s="484"/>
      <c r="CJ11" s="484"/>
      <c r="CK11" s="484"/>
      <c r="CL11" s="484"/>
      <c r="CM11" s="484"/>
      <c r="CN11" s="1183"/>
      <c r="CO11" s="1183"/>
      <c r="CP11" s="1183"/>
      <c r="CQ11" s="1183"/>
      <c r="CR11" s="1183"/>
      <c r="CS11" s="1183"/>
      <c r="CT11" s="1183"/>
      <c r="CU11" s="1183"/>
      <c r="CV11" s="1183"/>
      <c r="CW11" s="1183"/>
      <c r="CX11" s="1183"/>
      <c r="CY11" s="1183"/>
      <c r="CZ11" s="1183"/>
      <c r="DA11" s="1183"/>
      <c r="DB11" s="1183"/>
      <c r="DC11" s="1183"/>
      <c r="DD11" s="1183"/>
      <c r="DE11" s="1183"/>
      <c r="DF11" s="1183"/>
      <c r="DG11" s="1183"/>
      <c r="DH11" s="1183"/>
      <c r="DI11" s="1183"/>
      <c r="DJ11" s="1183"/>
      <c r="DK11" s="1183"/>
      <c r="DL11" s="1183"/>
      <c r="DM11" s="1183"/>
      <c r="DN11" s="1183"/>
      <c r="DO11" s="1183"/>
      <c r="DP11" s="1183"/>
      <c r="DQ11" s="1183"/>
    </row>
    <row r="12" spans="1:121" s="12" customFormat="1" ht="12" customHeight="1" x14ac:dyDescent="0.35">
      <c r="A12" s="1476"/>
      <c r="B12" s="1477"/>
      <c r="C12" s="1477"/>
      <c r="D12" s="1477"/>
      <c r="E12" s="1487">
        <f>IF(AND(F$15&gt;0,F12&gt;0),F12,60)</f>
        <v>60</v>
      </c>
      <c r="F12" s="1477" cm="1">
        <f t="array" ref="F12">IFERROR(MATCH(TRUE,(I23:BP23)&gt;0,0),0)</f>
        <v>0</v>
      </c>
      <c r="G12" s="1478"/>
      <c r="H12" s="1476" t="s">
        <v>7</v>
      </c>
      <c r="I12" s="1483">
        <f>Financials!E145</f>
        <v>0</v>
      </c>
      <c r="J12" s="1483">
        <f>Financials!F145</f>
        <v>0</v>
      </c>
      <c r="K12" s="1483">
        <f>Financials!G145</f>
        <v>0</v>
      </c>
      <c r="L12" s="1483">
        <f>Financials!H145</f>
        <v>0</v>
      </c>
      <c r="M12" s="1483">
        <f>Financials!I145</f>
        <v>0</v>
      </c>
      <c r="N12" s="1483">
        <f>Financials!J145</f>
        <v>0</v>
      </c>
      <c r="O12" s="1483">
        <f>Financials!K145</f>
        <v>0</v>
      </c>
      <c r="P12" s="1483">
        <f>Financials!L145</f>
        <v>0</v>
      </c>
      <c r="Q12" s="1483">
        <f>Financials!M145</f>
        <v>0</v>
      </c>
      <c r="R12" s="1483">
        <f>Financials!N145</f>
        <v>0</v>
      </c>
      <c r="S12" s="1483">
        <f>Financials!O145</f>
        <v>0</v>
      </c>
      <c r="T12" s="1483">
        <f>Financials!P145</f>
        <v>0</v>
      </c>
      <c r="U12" s="1483">
        <f>Financials!R145</f>
        <v>0</v>
      </c>
      <c r="V12" s="1483">
        <f>Financials!S145</f>
        <v>0</v>
      </c>
      <c r="W12" s="1483">
        <f>Financials!T145</f>
        <v>0</v>
      </c>
      <c r="X12" s="1483">
        <f>Financials!U145</f>
        <v>0</v>
      </c>
      <c r="Y12" s="1483">
        <f>Financials!V145</f>
        <v>0</v>
      </c>
      <c r="Z12" s="1483">
        <f>Financials!W145</f>
        <v>0</v>
      </c>
      <c r="AA12" s="1483">
        <f>Financials!X145</f>
        <v>0</v>
      </c>
      <c r="AB12" s="1483">
        <f>Financials!Y145</f>
        <v>0</v>
      </c>
      <c r="AC12" s="1483">
        <f>Financials!Z145</f>
        <v>0</v>
      </c>
      <c r="AD12" s="1483">
        <f>Financials!AA145</f>
        <v>0</v>
      </c>
      <c r="AE12" s="1483">
        <f>Financials!AB145</f>
        <v>0</v>
      </c>
      <c r="AF12" s="1485">
        <f>Financials!AC145</f>
        <v>0</v>
      </c>
      <c r="AG12" s="1485">
        <f>Financials!AE145</f>
        <v>0</v>
      </c>
      <c r="AH12" s="1485">
        <f>Financials!AF145</f>
        <v>0</v>
      </c>
      <c r="AI12" s="1485">
        <f>Financials!AG145</f>
        <v>0</v>
      </c>
      <c r="AJ12" s="1485">
        <f>Financials!AH145</f>
        <v>0</v>
      </c>
      <c r="AK12" s="1485">
        <f>Financials!AI145</f>
        <v>0</v>
      </c>
      <c r="AL12" s="1485">
        <f>Financials!AJ145</f>
        <v>0</v>
      </c>
      <c r="AM12" s="1485">
        <f>Financials!AK145</f>
        <v>0</v>
      </c>
      <c r="AN12" s="1485">
        <f>Financials!AL145</f>
        <v>0</v>
      </c>
      <c r="AO12" s="1485">
        <f>Financials!AM145</f>
        <v>0</v>
      </c>
      <c r="AP12" s="1485">
        <f>Financials!AN145</f>
        <v>0</v>
      </c>
      <c r="AQ12" s="1485">
        <f>Financials!AO145</f>
        <v>0</v>
      </c>
      <c r="AR12" s="1485">
        <f>Financials!AP145</f>
        <v>0</v>
      </c>
      <c r="AS12" s="1485">
        <f>Financials!AR145</f>
        <v>0</v>
      </c>
      <c r="AT12" s="1485">
        <f>Financials!AS145</f>
        <v>0</v>
      </c>
      <c r="AU12" s="1485">
        <f>Financials!AT145</f>
        <v>0</v>
      </c>
      <c r="AV12" s="1485">
        <f>Financials!AU145</f>
        <v>0</v>
      </c>
      <c r="AW12" s="1485">
        <f>Financials!AV145</f>
        <v>0</v>
      </c>
      <c r="AX12" s="1485">
        <f>Financials!AW145</f>
        <v>0</v>
      </c>
      <c r="AY12" s="1485">
        <f>Financials!AX145</f>
        <v>0</v>
      </c>
      <c r="AZ12" s="1485">
        <f>Financials!AY145</f>
        <v>0</v>
      </c>
      <c r="BA12" s="1485">
        <f>Financials!AZ145</f>
        <v>0</v>
      </c>
      <c r="BB12" s="1485">
        <f>Financials!BA145</f>
        <v>0</v>
      </c>
      <c r="BC12" s="1485">
        <f>Financials!BB145</f>
        <v>0</v>
      </c>
      <c r="BD12" s="1485">
        <f>Financials!BC145</f>
        <v>0</v>
      </c>
      <c r="BE12" s="1485">
        <f>Financials!BE145</f>
        <v>0</v>
      </c>
      <c r="BF12" s="1485">
        <f>Financials!BF145</f>
        <v>0</v>
      </c>
      <c r="BG12" s="1485">
        <f>Financials!BG145</f>
        <v>0</v>
      </c>
      <c r="BH12" s="1485">
        <f>Financials!BH145</f>
        <v>0</v>
      </c>
      <c r="BI12" s="1485">
        <f>Financials!BI145</f>
        <v>0</v>
      </c>
      <c r="BJ12" s="1485">
        <f>Financials!BJ145</f>
        <v>0</v>
      </c>
      <c r="BK12" s="1485">
        <f>Financials!BK145</f>
        <v>0</v>
      </c>
      <c r="BL12" s="1485">
        <f>Financials!BL145</f>
        <v>0</v>
      </c>
      <c r="BM12" s="1485">
        <f>Financials!BM145</f>
        <v>0</v>
      </c>
      <c r="BN12" s="1485">
        <f>Financials!BN145</f>
        <v>0</v>
      </c>
      <c r="BO12" s="1485">
        <f>Financials!BO145</f>
        <v>0</v>
      </c>
      <c r="BP12" s="1485">
        <f>Financials!BP145</f>
        <v>0</v>
      </c>
      <c r="BQ12" s="43"/>
      <c r="BR12" s="43"/>
      <c r="BS12" s="43"/>
      <c r="BT12" s="43"/>
      <c r="BU12" s="43"/>
      <c r="BV12" s="43"/>
      <c r="BW12" s="1436">
        <f>Infrastructure!M16</f>
        <v>0</v>
      </c>
      <c r="BX12" s="1437">
        <f>$P$3</f>
        <v>0</v>
      </c>
      <c r="BY12" s="1437">
        <f>$P$8</f>
        <v>0</v>
      </c>
      <c r="BZ12" s="1183"/>
      <c r="CA12" s="1183"/>
      <c r="CB12" s="1183"/>
      <c r="CC12" s="1183"/>
      <c r="CD12" s="484">
        <f>$O$38</f>
        <v>0</v>
      </c>
      <c r="CE12" s="484">
        <f>$O$39</f>
        <v>0</v>
      </c>
      <c r="CF12" s="484">
        <f>$O$40</f>
        <v>0</v>
      </c>
      <c r="CG12" s="484">
        <f>$O$41</f>
        <v>0</v>
      </c>
      <c r="CH12" s="484">
        <f>$O$42</f>
        <v>0</v>
      </c>
      <c r="CI12" s="484">
        <f>$O$43</f>
        <v>0</v>
      </c>
      <c r="CJ12" s="484">
        <f>$O$44</f>
        <v>0</v>
      </c>
      <c r="CK12" s="484">
        <f>$O$45</f>
        <v>0</v>
      </c>
      <c r="CL12" s="484">
        <f>$O$46</f>
        <v>0</v>
      </c>
      <c r="CM12" s="484">
        <f>$O$47</f>
        <v>0</v>
      </c>
      <c r="CN12" s="1183"/>
      <c r="CO12" s="1183"/>
      <c r="CP12" s="1183"/>
      <c r="CQ12" s="1183"/>
      <c r="CR12" s="1183"/>
      <c r="CS12" s="1183"/>
      <c r="CT12" s="1183"/>
      <c r="CU12" s="1183"/>
      <c r="CV12" s="1183"/>
      <c r="CW12" s="1183"/>
      <c r="CX12" s="1183"/>
      <c r="CY12" s="1183"/>
      <c r="CZ12" s="1183"/>
      <c r="DA12" s="1183"/>
      <c r="DB12" s="1183"/>
      <c r="DC12" s="1183"/>
      <c r="DD12" s="1183"/>
      <c r="DE12" s="1183"/>
      <c r="DF12" s="1183"/>
      <c r="DG12" s="1183"/>
      <c r="DH12" s="1183"/>
      <c r="DI12" s="1183"/>
      <c r="DJ12" s="1183"/>
      <c r="DK12" s="1183"/>
      <c r="DL12" s="1183"/>
      <c r="DM12" s="1183"/>
      <c r="DN12" s="1183"/>
      <c r="DO12" s="1183"/>
      <c r="DP12" s="1183"/>
      <c r="DQ12" s="1183"/>
    </row>
    <row r="13" spans="1:121" s="12" customFormat="1" ht="12" customHeight="1" x14ac:dyDescent="0.35">
      <c r="A13" s="1476"/>
      <c r="B13" s="1477"/>
      <c r="C13" s="1477"/>
      <c r="D13" s="1477"/>
      <c r="E13" s="1487"/>
      <c r="F13" s="1477"/>
      <c r="G13" s="1478"/>
      <c r="H13" s="1476" t="s">
        <v>357</v>
      </c>
      <c r="I13" s="1483">
        <f>SUM($I12:I12)</f>
        <v>0</v>
      </c>
      <c r="J13" s="1483">
        <f>SUM($I12:J12)</f>
        <v>0</v>
      </c>
      <c r="K13" s="1483">
        <f>SUM($I12:K12)</f>
        <v>0</v>
      </c>
      <c r="L13" s="1483">
        <f>SUM($I12:L12)</f>
        <v>0</v>
      </c>
      <c r="M13" s="1483">
        <f>SUM($I12:M12)</f>
        <v>0</v>
      </c>
      <c r="N13" s="1483">
        <f>SUM($I12:N12)</f>
        <v>0</v>
      </c>
      <c r="O13" s="1483">
        <f>SUM($I12:O12)</f>
        <v>0</v>
      </c>
      <c r="P13" s="1483">
        <f>SUM($I12:P12)</f>
        <v>0</v>
      </c>
      <c r="Q13" s="1483">
        <f>SUM($I12:Q12)</f>
        <v>0</v>
      </c>
      <c r="R13" s="1483">
        <f>SUM($I12:R12)</f>
        <v>0</v>
      </c>
      <c r="S13" s="1483">
        <f>SUM($I12:S12)</f>
        <v>0</v>
      </c>
      <c r="T13" s="1483">
        <f>SUM($I12:T12)</f>
        <v>0</v>
      </c>
      <c r="U13" s="1483">
        <f>SUM($I12:U12)</f>
        <v>0</v>
      </c>
      <c r="V13" s="1483">
        <f>SUM($I12:V12)</f>
        <v>0</v>
      </c>
      <c r="W13" s="1483">
        <f>SUM($I12:W12)</f>
        <v>0</v>
      </c>
      <c r="X13" s="1483">
        <f>SUM($I12:X12)</f>
        <v>0</v>
      </c>
      <c r="Y13" s="1483">
        <f>SUM($I12:Y12)</f>
        <v>0</v>
      </c>
      <c r="Z13" s="1483">
        <f>SUM($I12:Z12)</f>
        <v>0</v>
      </c>
      <c r="AA13" s="1483">
        <f>SUM($I12:AA12)</f>
        <v>0</v>
      </c>
      <c r="AB13" s="1483">
        <f>SUM($I12:AB12)</f>
        <v>0</v>
      </c>
      <c r="AC13" s="1483">
        <f>SUM($I12:AC12)</f>
        <v>0</v>
      </c>
      <c r="AD13" s="1483">
        <f>SUM($I12:AD12)</f>
        <v>0</v>
      </c>
      <c r="AE13" s="1483">
        <f>SUM($I12:AE12)</f>
        <v>0</v>
      </c>
      <c r="AF13" s="1485">
        <f>SUM($I12:AF12)</f>
        <v>0</v>
      </c>
      <c r="AG13" s="1485">
        <f>SUM($I12:AG12)</f>
        <v>0</v>
      </c>
      <c r="AH13" s="1485">
        <f>SUM($I12:AH12)</f>
        <v>0</v>
      </c>
      <c r="AI13" s="1485">
        <f>SUM($I12:AI12)</f>
        <v>0</v>
      </c>
      <c r="AJ13" s="1485">
        <f>SUM($I12:AJ12)</f>
        <v>0</v>
      </c>
      <c r="AK13" s="1485">
        <f>SUM($I12:AK12)</f>
        <v>0</v>
      </c>
      <c r="AL13" s="1485">
        <f>SUM($I12:AL12)</f>
        <v>0</v>
      </c>
      <c r="AM13" s="1485">
        <f>SUM($I12:AM12)</f>
        <v>0</v>
      </c>
      <c r="AN13" s="1485">
        <f>SUM($I12:AN12)</f>
        <v>0</v>
      </c>
      <c r="AO13" s="1485">
        <f>SUM($I12:AO12)</f>
        <v>0</v>
      </c>
      <c r="AP13" s="1485">
        <f>SUM($I12:AP12)</f>
        <v>0</v>
      </c>
      <c r="AQ13" s="1485">
        <f>SUM($I12:AQ12)</f>
        <v>0</v>
      </c>
      <c r="AR13" s="1485">
        <f>SUM($I12:AR12)</f>
        <v>0</v>
      </c>
      <c r="AS13" s="1485">
        <f>SUM($I12:AS12)</f>
        <v>0</v>
      </c>
      <c r="AT13" s="1485">
        <f>SUM($I12:AT12)</f>
        <v>0</v>
      </c>
      <c r="AU13" s="1485">
        <f>SUM($I12:AU12)</f>
        <v>0</v>
      </c>
      <c r="AV13" s="1485">
        <f>SUM($I12:AV12)</f>
        <v>0</v>
      </c>
      <c r="AW13" s="1485">
        <f>SUM($I12:AW12)</f>
        <v>0</v>
      </c>
      <c r="AX13" s="1485">
        <f>SUM($I12:AX12)</f>
        <v>0</v>
      </c>
      <c r="AY13" s="1485">
        <f>SUM($I12:AY12)</f>
        <v>0</v>
      </c>
      <c r="AZ13" s="1485">
        <f>SUM($I12:AZ12)</f>
        <v>0</v>
      </c>
      <c r="BA13" s="1485">
        <f>SUM($I12:BA12)</f>
        <v>0</v>
      </c>
      <c r="BB13" s="1485">
        <f>SUM($I12:BB12)</f>
        <v>0</v>
      </c>
      <c r="BC13" s="1485">
        <f>SUM($I12:BC12)</f>
        <v>0</v>
      </c>
      <c r="BD13" s="1485">
        <f>SUM($I12:BD12)</f>
        <v>0</v>
      </c>
      <c r="BE13" s="1485">
        <f>SUM($I12:BE12)</f>
        <v>0</v>
      </c>
      <c r="BF13" s="1485">
        <f>SUM($I12:BF12)</f>
        <v>0</v>
      </c>
      <c r="BG13" s="1485">
        <f>SUM($I12:BG12)</f>
        <v>0</v>
      </c>
      <c r="BH13" s="1485">
        <f>SUM($I12:BH12)</f>
        <v>0</v>
      </c>
      <c r="BI13" s="1485">
        <f>SUM($I12:BI12)</f>
        <v>0</v>
      </c>
      <c r="BJ13" s="1485">
        <f>SUM($I12:BJ12)</f>
        <v>0</v>
      </c>
      <c r="BK13" s="1485">
        <f>SUM($I12:BK12)</f>
        <v>0</v>
      </c>
      <c r="BL13" s="1485">
        <f>SUM($I12:BL12)</f>
        <v>0</v>
      </c>
      <c r="BM13" s="1485">
        <f>SUM($I12:BM12)</f>
        <v>0</v>
      </c>
      <c r="BN13" s="1485">
        <f>SUM($I12:BN12)</f>
        <v>0</v>
      </c>
      <c r="BO13" s="1485">
        <f>SUM($I12:BO12)</f>
        <v>0</v>
      </c>
      <c r="BP13" s="1485">
        <f>SUM($I12:BP12)</f>
        <v>0</v>
      </c>
      <c r="BQ13" s="43"/>
      <c r="BR13" s="43"/>
      <c r="BS13" s="43"/>
      <c r="BT13" s="43"/>
      <c r="BU13" s="43"/>
      <c r="BV13" s="43"/>
      <c r="BW13" s="1436"/>
      <c r="BX13" s="1437"/>
      <c r="BY13" s="1437"/>
      <c r="BZ13" s="1183"/>
      <c r="CA13" s="1183"/>
      <c r="CB13" s="1183"/>
      <c r="CC13" s="1183"/>
      <c r="CD13" s="484"/>
      <c r="CE13" s="484"/>
      <c r="CF13" s="484"/>
      <c r="CG13" s="484"/>
      <c r="CH13" s="484"/>
      <c r="CI13" s="484"/>
      <c r="CJ13" s="484"/>
      <c r="CK13" s="484"/>
      <c r="CL13" s="484"/>
      <c r="CM13" s="484"/>
      <c r="CN13" s="1183"/>
      <c r="CO13" s="1183"/>
      <c r="CP13" s="1183"/>
      <c r="CQ13" s="1183"/>
      <c r="CR13" s="1183"/>
      <c r="CS13" s="1183"/>
      <c r="CT13" s="1183"/>
      <c r="CU13" s="1183"/>
      <c r="CV13" s="1183"/>
      <c r="CW13" s="1183"/>
      <c r="CX13" s="1183"/>
      <c r="CY13" s="1183"/>
      <c r="CZ13" s="1183"/>
      <c r="DA13" s="1183"/>
      <c r="DB13" s="1183"/>
      <c r="DC13" s="1183"/>
      <c r="DD13" s="1183"/>
      <c r="DE13" s="1183"/>
      <c r="DF13" s="1183"/>
      <c r="DG13" s="1183"/>
      <c r="DH13" s="1183"/>
      <c r="DI13" s="1183"/>
      <c r="DJ13" s="1183"/>
      <c r="DK13" s="1183"/>
      <c r="DL13" s="1183"/>
      <c r="DM13" s="1183"/>
      <c r="DN13" s="1183"/>
      <c r="DO13" s="1183"/>
      <c r="DP13" s="1183"/>
      <c r="DQ13" s="1183"/>
    </row>
    <row r="14" spans="1:121" s="12" customFormat="1" ht="12" customHeight="1" x14ac:dyDescent="0.35">
      <c r="A14" s="1476"/>
      <c r="B14" s="1477"/>
      <c r="C14" s="1477"/>
      <c r="D14" s="1477"/>
      <c r="E14" s="1487">
        <f>IF(AND(F$15&gt;0,F14&gt;0),F14,60)</f>
        <v>60</v>
      </c>
      <c r="F14" s="1477" cm="1">
        <f t="array" ref="F14">IFERROR(MATCH(TRUE,(I24:BP24)&gt;0,0),0)</f>
        <v>0</v>
      </c>
      <c r="G14" s="1478"/>
      <c r="H14" s="1476" t="s">
        <v>162</v>
      </c>
      <c r="I14" s="1483">
        <f>Financials!E165</f>
        <v>0</v>
      </c>
      <c r="J14" s="1483">
        <f>Financials!F165</f>
        <v>0</v>
      </c>
      <c r="K14" s="1483">
        <f>Financials!G165</f>
        <v>0</v>
      </c>
      <c r="L14" s="1483">
        <f>Financials!H165</f>
        <v>0</v>
      </c>
      <c r="M14" s="1483">
        <f>Financials!I165</f>
        <v>0</v>
      </c>
      <c r="N14" s="1483">
        <f>Financials!J165</f>
        <v>0</v>
      </c>
      <c r="O14" s="1483">
        <f>Financials!K165</f>
        <v>0</v>
      </c>
      <c r="P14" s="1483">
        <f>Financials!L165</f>
        <v>0</v>
      </c>
      <c r="Q14" s="1483">
        <f>Financials!M165</f>
        <v>0</v>
      </c>
      <c r="R14" s="1483">
        <f>Financials!N165</f>
        <v>0</v>
      </c>
      <c r="S14" s="1483">
        <f>Financials!O165</f>
        <v>0</v>
      </c>
      <c r="T14" s="1483">
        <f>Financials!P165</f>
        <v>0</v>
      </c>
      <c r="U14" s="1483">
        <f>Financials!R165</f>
        <v>0</v>
      </c>
      <c r="V14" s="1483">
        <f>Financials!S165</f>
        <v>0</v>
      </c>
      <c r="W14" s="1483">
        <f>Financials!T165</f>
        <v>0</v>
      </c>
      <c r="X14" s="1483">
        <f>Financials!U165</f>
        <v>0</v>
      </c>
      <c r="Y14" s="1483">
        <f>Financials!V165</f>
        <v>0</v>
      </c>
      <c r="Z14" s="1483">
        <f>Financials!W165</f>
        <v>0</v>
      </c>
      <c r="AA14" s="1483">
        <f>Financials!X165</f>
        <v>0</v>
      </c>
      <c r="AB14" s="1483">
        <f>Financials!Y165</f>
        <v>0</v>
      </c>
      <c r="AC14" s="1483">
        <f>Financials!Z165</f>
        <v>0</v>
      </c>
      <c r="AD14" s="1483">
        <f>Financials!AA165</f>
        <v>0</v>
      </c>
      <c r="AE14" s="1483">
        <f>Financials!AB165</f>
        <v>0</v>
      </c>
      <c r="AF14" s="1485">
        <f>Financials!AC165</f>
        <v>0</v>
      </c>
      <c r="AG14" s="1485">
        <f>Financials!AE165</f>
        <v>0</v>
      </c>
      <c r="AH14" s="1485">
        <f>Financials!AF165</f>
        <v>0</v>
      </c>
      <c r="AI14" s="1485">
        <f>Financials!AG165</f>
        <v>0</v>
      </c>
      <c r="AJ14" s="1485">
        <f>Financials!AH165</f>
        <v>0</v>
      </c>
      <c r="AK14" s="1485">
        <f>Financials!AI165</f>
        <v>0</v>
      </c>
      <c r="AL14" s="1485">
        <f>Financials!AJ165</f>
        <v>0</v>
      </c>
      <c r="AM14" s="1485">
        <f>Financials!AK165</f>
        <v>0</v>
      </c>
      <c r="AN14" s="1485">
        <f>Financials!AL165</f>
        <v>0</v>
      </c>
      <c r="AO14" s="1485">
        <f>Financials!AM165</f>
        <v>0</v>
      </c>
      <c r="AP14" s="1485">
        <f>Financials!AN165</f>
        <v>0</v>
      </c>
      <c r="AQ14" s="1485">
        <f>Financials!AO165</f>
        <v>0</v>
      </c>
      <c r="AR14" s="1485">
        <f>Financials!AP165</f>
        <v>0</v>
      </c>
      <c r="AS14" s="1485">
        <f>Financials!AR165</f>
        <v>0</v>
      </c>
      <c r="AT14" s="1485">
        <f>Financials!AS165</f>
        <v>0</v>
      </c>
      <c r="AU14" s="1485">
        <f>Financials!AT165</f>
        <v>0</v>
      </c>
      <c r="AV14" s="1485">
        <f>Financials!AU165</f>
        <v>0</v>
      </c>
      <c r="AW14" s="1485">
        <f>Financials!AV165</f>
        <v>0</v>
      </c>
      <c r="AX14" s="1485">
        <f>Financials!AW165</f>
        <v>0</v>
      </c>
      <c r="AY14" s="1485">
        <f>Financials!AX165</f>
        <v>0</v>
      </c>
      <c r="AZ14" s="1485">
        <f>Financials!AY165</f>
        <v>0</v>
      </c>
      <c r="BA14" s="1485">
        <f>Financials!AZ165</f>
        <v>0</v>
      </c>
      <c r="BB14" s="1485">
        <f>Financials!BA165</f>
        <v>0</v>
      </c>
      <c r="BC14" s="1485">
        <f>Financials!BB165</f>
        <v>0</v>
      </c>
      <c r="BD14" s="1485">
        <f>Financials!BC165</f>
        <v>0</v>
      </c>
      <c r="BE14" s="1485">
        <f>Financials!BE165</f>
        <v>0</v>
      </c>
      <c r="BF14" s="1485">
        <f>Financials!BF165</f>
        <v>0</v>
      </c>
      <c r="BG14" s="1485">
        <f>Financials!BG165</f>
        <v>0</v>
      </c>
      <c r="BH14" s="1485">
        <f>Financials!BH165</f>
        <v>0</v>
      </c>
      <c r="BI14" s="1485">
        <f>Financials!BI165</f>
        <v>0</v>
      </c>
      <c r="BJ14" s="1485">
        <f>Financials!BJ165</f>
        <v>0</v>
      </c>
      <c r="BK14" s="1485">
        <f>Financials!BK165</f>
        <v>0</v>
      </c>
      <c r="BL14" s="1485">
        <f>Financials!BL165</f>
        <v>0</v>
      </c>
      <c r="BM14" s="1485">
        <f>Financials!BM165</f>
        <v>0</v>
      </c>
      <c r="BN14" s="1485">
        <f>Financials!BN165</f>
        <v>0</v>
      </c>
      <c r="BO14" s="1485">
        <f>Financials!BO165</f>
        <v>0</v>
      </c>
      <c r="BP14" s="1485">
        <f>Financials!BP165</f>
        <v>0</v>
      </c>
      <c r="BQ14" s="43"/>
      <c r="BR14" s="43"/>
      <c r="BS14" s="43"/>
      <c r="BT14" s="43"/>
      <c r="BU14" s="43"/>
      <c r="BV14" s="43"/>
      <c r="BW14" s="1436">
        <f>Infrastructure!M17</f>
        <v>0</v>
      </c>
      <c r="BX14" s="1437">
        <f>$Q$3</f>
        <v>0</v>
      </c>
      <c r="BY14" s="1437">
        <f>$Q$8</f>
        <v>0</v>
      </c>
      <c r="BZ14" s="1183"/>
      <c r="CA14" s="1183"/>
      <c r="CB14" s="1183"/>
      <c r="CC14" s="1183"/>
      <c r="CD14" s="484">
        <f>$P$38</f>
        <v>0</v>
      </c>
      <c r="CE14" s="484">
        <f>$P$39</f>
        <v>0</v>
      </c>
      <c r="CF14" s="484">
        <f>$P$40</f>
        <v>0</v>
      </c>
      <c r="CG14" s="484">
        <f>$P$41</f>
        <v>0</v>
      </c>
      <c r="CH14" s="484">
        <f>$P$42</f>
        <v>0</v>
      </c>
      <c r="CI14" s="484">
        <f>$P$43</f>
        <v>0</v>
      </c>
      <c r="CJ14" s="484">
        <f>$P$44</f>
        <v>0</v>
      </c>
      <c r="CK14" s="484">
        <f>$P$45</f>
        <v>0</v>
      </c>
      <c r="CL14" s="484">
        <f>$P$46</f>
        <v>0</v>
      </c>
      <c r="CM14" s="484">
        <f>$P$47</f>
        <v>0</v>
      </c>
      <c r="CN14" s="1183"/>
      <c r="CO14" s="1183"/>
      <c r="CP14" s="1183"/>
      <c r="CQ14" s="1183"/>
      <c r="CR14" s="1183"/>
      <c r="CS14" s="1183"/>
      <c r="CT14" s="1183"/>
      <c r="CU14" s="1183"/>
      <c r="CV14" s="1183"/>
      <c r="CW14" s="1183"/>
      <c r="CX14" s="1183"/>
      <c r="CY14" s="1183"/>
      <c r="CZ14" s="1183"/>
      <c r="DA14" s="1183"/>
      <c r="DB14" s="1183"/>
      <c r="DC14" s="1183"/>
      <c r="DD14" s="1183"/>
      <c r="DE14" s="1183"/>
      <c r="DF14" s="1183"/>
      <c r="DG14" s="1183"/>
      <c r="DH14" s="1183"/>
      <c r="DI14" s="1183"/>
      <c r="DJ14" s="1183"/>
      <c r="DK14" s="1183"/>
      <c r="DL14" s="1183"/>
      <c r="DM14" s="1183"/>
      <c r="DN14" s="1183"/>
      <c r="DO14" s="1183"/>
      <c r="DP14" s="1183"/>
      <c r="DQ14" s="1183"/>
    </row>
    <row r="15" spans="1:121" s="12" customFormat="1" ht="12" customHeight="1" thickBot="1" x14ac:dyDescent="0.4">
      <c r="A15" s="1476"/>
      <c r="B15" s="1488" t="str">
        <f>IF(Calcs!B23=Infrastructure!$Y6,Calcs!B17,CONCATENATE(TEXT(Calcs!B23,"mmm-yy"),"  - ",Calcs!B22," months"))</f>
        <v>Jan-00  - First Month</v>
      </c>
      <c r="C15" s="1488" t="str">
        <f>IF(C23="None", "No Breakeven",IF(C22=1,IFERROR(CONCATENATE(TEXT(Calcs!C23,"mmm-yy"),"  / ",Calcs!C22," month"),""),IFERROR(CONCATENATE(TEXT(Calcs!C23,"mmm-yy"),"  / ",Calcs!C22," months"),"")))</f>
        <v>No Breakeven</v>
      </c>
      <c r="D15" s="1488" t="str">
        <f>CONCATENATE(TEXT(Calcs!D23,"mmm-yy"),"  - ",Calcs!D22," months")</f>
        <v>Dec-04  - 60 months</v>
      </c>
      <c r="E15" s="1477"/>
      <c r="F15" s="1477">
        <f>SUM(F9:F14)</f>
        <v>0</v>
      </c>
      <c r="G15" s="1478"/>
      <c r="H15" s="1476" t="s">
        <v>358</v>
      </c>
      <c r="I15" s="1483">
        <f t="shared" ref="I15:T15" si="3">AF731</f>
        <v>0</v>
      </c>
      <c r="J15" s="1483">
        <f t="shared" si="3"/>
        <v>0</v>
      </c>
      <c r="K15" s="1483">
        <f t="shared" si="3"/>
        <v>0</v>
      </c>
      <c r="L15" s="1483">
        <f t="shared" si="3"/>
        <v>0</v>
      </c>
      <c r="M15" s="1483">
        <f t="shared" si="3"/>
        <v>0</v>
      </c>
      <c r="N15" s="1483">
        <f t="shared" si="3"/>
        <v>0</v>
      </c>
      <c r="O15" s="1483">
        <f t="shared" si="3"/>
        <v>0</v>
      </c>
      <c r="P15" s="1483">
        <f t="shared" si="3"/>
        <v>0</v>
      </c>
      <c r="Q15" s="1483">
        <f t="shared" si="3"/>
        <v>0</v>
      </c>
      <c r="R15" s="1483">
        <f t="shared" si="3"/>
        <v>0</v>
      </c>
      <c r="S15" s="1483">
        <f t="shared" si="3"/>
        <v>0</v>
      </c>
      <c r="T15" s="1483">
        <f t="shared" si="3"/>
        <v>0</v>
      </c>
      <c r="U15" s="1483">
        <f t="shared" ref="U15:AE15" si="4">AR731</f>
        <v>0</v>
      </c>
      <c r="V15" s="1483">
        <f t="shared" si="4"/>
        <v>0</v>
      </c>
      <c r="W15" s="1483">
        <f t="shared" si="4"/>
        <v>0</v>
      </c>
      <c r="X15" s="1483">
        <f t="shared" si="4"/>
        <v>0</v>
      </c>
      <c r="Y15" s="1483">
        <f t="shared" si="4"/>
        <v>0</v>
      </c>
      <c r="Z15" s="1483">
        <f t="shared" si="4"/>
        <v>0</v>
      </c>
      <c r="AA15" s="1483">
        <f t="shared" si="4"/>
        <v>0</v>
      </c>
      <c r="AB15" s="1483">
        <f t="shared" si="4"/>
        <v>0</v>
      </c>
      <c r="AC15" s="1483">
        <f t="shared" si="4"/>
        <v>0</v>
      </c>
      <c r="AD15" s="1483">
        <f t="shared" si="4"/>
        <v>0</v>
      </c>
      <c r="AE15" s="1483">
        <f t="shared" si="4"/>
        <v>0</v>
      </c>
      <c r="AF15" s="1485">
        <f t="shared" ref="AF15:BP15" si="5">BC731</f>
        <v>0</v>
      </c>
      <c r="AG15" s="1485">
        <f t="shared" si="5"/>
        <v>0</v>
      </c>
      <c r="AH15" s="1485">
        <f t="shared" si="5"/>
        <v>0</v>
      </c>
      <c r="AI15" s="1485">
        <f t="shared" si="5"/>
        <v>0</v>
      </c>
      <c r="AJ15" s="1485">
        <f t="shared" si="5"/>
        <v>0</v>
      </c>
      <c r="AK15" s="1485">
        <f t="shared" si="5"/>
        <v>0</v>
      </c>
      <c r="AL15" s="1485">
        <f t="shared" si="5"/>
        <v>0</v>
      </c>
      <c r="AM15" s="1485">
        <f t="shared" si="5"/>
        <v>0</v>
      </c>
      <c r="AN15" s="1485">
        <f t="shared" si="5"/>
        <v>0</v>
      </c>
      <c r="AO15" s="1485">
        <f t="shared" si="5"/>
        <v>0</v>
      </c>
      <c r="AP15" s="1485">
        <f t="shared" si="5"/>
        <v>0</v>
      </c>
      <c r="AQ15" s="1485">
        <f t="shared" si="5"/>
        <v>0</v>
      </c>
      <c r="AR15" s="1485">
        <f t="shared" si="5"/>
        <v>0</v>
      </c>
      <c r="AS15" s="1485">
        <f t="shared" si="5"/>
        <v>0</v>
      </c>
      <c r="AT15" s="1485">
        <f t="shared" si="5"/>
        <v>0</v>
      </c>
      <c r="AU15" s="1485">
        <f t="shared" si="5"/>
        <v>0</v>
      </c>
      <c r="AV15" s="1485">
        <f t="shared" si="5"/>
        <v>0</v>
      </c>
      <c r="AW15" s="1485">
        <f t="shared" si="5"/>
        <v>0</v>
      </c>
      <c r="AX15" s="1485">
        <f t="shared" si="5"/>
        <v>0</v>
      </c>
      <c r="AY15" s="1485">
        <f t="shared" si="5"/>
        <v>0</v>
      </c>
      <c r="AZ15" s="1485">
        <f t="shared" si="5"/>
        <v>0</v>
      </c>
      <c r="BA15" s="1485">
        <f t="shared" si="5"/>
        <v>0</v>
      </c>
      <c r="BB15" s="1485">
        <f t="shared" si="5"/>
        <v>0</v>
      </c>
      <c r="BC15" s="1485">
        <f t="shared" si="5"/>
        <v>0</v>
      </c>
      <c r="BD15" s="1485">
        <f t="shared" si="5"/>
        <v>0</v>
      </c>
      <c r="BE15" s="1485">
        <f t="shared" si="5"/>
        <v>0</v>
      </c>
      <c r="BF15" s="1485">
        <f t="shared" si="5"/>
        <v>0</v>
      </c>
      <c r="BG15" s="1485">
        <f t="shared" si="5"/>
        <v>0</v>
      </c>
      <c r="BH15" s="1485">
        <f t="shared" si="5"/>
        <v>0</v>
      </c>
      <c r="BI15" s="1485">
        <f t="shared" si="5"/>
        <v>0</v>
      </c>
      <c r="BJ15" s="1485">
        <f t="shared" si="5"/>
        <v>0</v>
      </c>
      <c r="BK15" s="1485">
        <f t="shared" si="5"/>
        <v>0</v>
      </c>
      <c r="BL15" s="1485">
        <f t="shared" si="5"/>
        <v>0</v>
      </c>
      <c r="BM15" s="1485">
        <f t="shared" si="5"/>
        <v>0</v>
      </c>
      <c r="BN15" s="1485">
        <f t="shared" si="5"/>
        <v>0</v>
      </c>
      <c r="BO15" s="1485">
        <f t="shared" si="5"/>
        <v>0</v>
      </c>
      <c r="BP15" s="1485">
        <f t="shared" si="5"/>
        <v>0</v>
      </c>
      <c r="BQ15" s="43"/>
      <c r="BR15" s="43"/>
      <c r="BS15" s="43"/>
      <c r="BT15" s="43"/>
      <c r="BU15" s="43"/>
      <c r="BV15" s="43"/>
      <c r="BW15" s="1436">
        <f>Infrastructure!M18</f>
        <v>0</v>
      </c>
      <c r="BX15" s="1437">
        <f>$R$3</f>
        <v>0</v>
      </c>
      <c r="BY15" s="1437">
        <f>$R$8</f>
        <v>0</v>
      </c>
      <c r="BZ15" s="1183"/>
      <c r="CA15" s="1183"/>
      <c r="CB15" s="1183"/>
      <c r="CC15" s="1183"/>
      <c r="CD15" s="484">
        <f>$Q$38</f>
        <v>0</v>
      </c>
      <c r="CE15" s="484">
        <f>$Q$39</f>
        <v>0</v>
      </c>
      <c r="CF15" s="484">
        <f>$Q$40</f>
        <v>0</v>
      </c>
      <c r="CG15" s="484">
        <f>$Q$41</f>
        <v>0</v>
      </c>
      <c r="CH15" s="484">
        <f>$Q$42</f>
        <v>0</v>
      </c>
      <c r="CI15" s="484">
        <f>$Q$43</f>
        <v>0</v>
      </c>
      <c r="CJ15" s="484">
        <f>$Q$44</f>
        <v>0</v>
      </c>
      <c r="CK15" s="484">
        <f>$Q$45</f>
        <v>0</v>
      </c>
      <c r="CL15" s="484">
        <f>$Q$46</f>
        <v>0</v>
      </c>
      <c r="CM15" s="484">
        <f>$Q$47</f>
        <v>0</v>
      </c>
      <c r="CN15" s="1183"/>
      <c r="CO15" s="1183"/>
      <c r="CP15" s="1183"/>
      <c r="CQ15" s="1183"/>
      <c r="CR15" s="1183"/>
      <c r="CS15" s="1183"/>
      <c r="CT15" s="1183"/>
      <c r="CU15" s="1183"/>
      <c r="CV15" s="1183"/>
      <c r="CW15" s="1183"/>
      <c r="CX15" s="1183"/>
      <c r="CY15" s="1183"/>
      <c r="CZ15" s="1183"/>
      <c r="DA15" s="1183"/>
      <c r="DB15" s="1183"/>
      <c r="DC15" s="1183"/>
      <c r="DD15" s="1183"/>
      <c r="DE15" s="1183"/>
      <c r="DF15" s="1183"/>
      <c r="DG15" s="1183"/>
      <c r="DH15" s="1183"/>
      <c r="DI15" s="1183"/>
      <c r="DJ15" s="1183"/>
      <c r="DK15" s="1183"/>
      <c r="DL15" s="1183"/>
      <c r="DM15" s="1183"/>
      <c r="DN15" s="1183"/>
      <c r="DO15" s="1183"/>
      <c r="DP15" s="1183"/>
      <c r="DQ15" s="1183"/>
    </row>
    <row r="16" spans="1:121" s="12" customFormat="1" ht="12" customHeight="1" thickTop="1" x14ac:dyDescent="0.35">
      <c r="A16" s="1476"/>
      <c r="B16" s="1477"/>
      <c r="C16" s="1477"/>
      <c r="D16" s="1477"/>
      <c r="E16" s="1477"/>
      <c r="F16" s="1477"/>
      <c r="G16" s="1478"/>
      <c r="H16" s="1476" t="s">
        <v>62</v>
      </c>
      <c r="I16" s="1483">
        <f>IF(Input!$Q$279=I$2,Input!$P$279,0)+IF(Input!$Q280=I$2,Input!$P$280,0)+IF(Input!$Q$281=I$2,Input!$P$281,0)</f>
        <v>0</v>
      </c>
      <c r="J16" s="1483">
        <f>IF(Input!$Q$279=J$2,Input!$P$279,0)+IF(Input!$Q280=J$2,Input!$P$280,0)+IF(Input!$Q$281=J$2,Input!$P$281,0)</f>
        <v>0</v>
      </c>
      <c r="K16" s="1483">
        <f>IF(Input!$Q$279=K$2,Input!$P$279,0)+IF(Input!$Q280=K$2,Input!$P$280,0)+IF(Input!$Q$281=K$2,Input!$P$281,0)</f>
        <v>0</v>
      </c>
      <c r="L16" s="1483">
        <f>IF(Input!$Q$279=L$2,Input!$P$279,0)+IF(Input!$Q280=L$2,Input!$P$280,0)+IF(Input!$Q$281=L$2,Input!$P$281,0)</f>
        <v>0</v>
      </c>
      <c r="M16" s="1483">
        <f>IF(Input!$Q$279=M$2,Input!$P$279,0)+IF(Input!$Q280=M$2,Input!$P$280,0)+IF(Input!$Q$281=M$2,Input!$P$281,0)</f>
        <v>0</v>
      </c>
      <c r="N16" s="1483">
        <f>IF(Input!$Q$279=N$2,Input!$P$279,0)+IF(Input!$Q280=N$2,Input!$P$280,0)+IF(Input!$Q$281=N$2,Input!$P$281,0)</f>
        <v>0</v>
      </c>
      <c r="O16" s="1483">
        <f>IF(Input!$Q$279=O$2,Input!$P$279,0)+IF(Input!$Q280=O$2,Input!$P$280,0)+IF(Input!$Q$281=O$2,Input!$P$281,0)</f>
        <v>0</v>
      </c>
      <c r="P16" s="1483">
        <f>IF(Input!$Q$279=P$2,Input!$P$279,0)+IF(Input!$Q280=P$2,Input!$P$280,0)+IF(Input!$Q$281=P$2,Input!$P$281,0)</f>
        <v>0</v>
      </c>
      <c r="Q16" s="1483">
        <f>IF(Input!$Q$279=Q$2,Input!$P$279,0)+IF(Input!$Q280=Q$2,Input!$P$280,0)+IF(Input!$Q$281=Q$2,Input!$P$281,0)</f>
        <v>0</v>
      </c>
      <c r="R16" s="1483">
        <f>IF(Input!$Q$279=R$2,Input!$P$279,0)+IF(Input!$Q280=R$2,Input!$P$280,0)+IF(Input!$Q$281=R$2,Input!$P$281,0)</f>
        <v>0</v>
      </c>
      <c r="S16" s="1483">
        <f>IF(Input!$Q$279=S$2,Input!$P$279,0)+IF(Input!$Q280=S$2,Input!$P$280,0)+IF(Input!$Q$281=S$2,Input!$P$281,0)</f>
        <v>0</v>
      </c>
      <c r="T16" s="1483">
        <f>IF(Input!$Q$279=T$2,Input!$P$279,0)+IF(Input!$Q280=T$2,Input!$P$280,0)+IF(Input!$Q$281=T$2,Input!$P$281,0)</f>
        <v>0</v>
      </c>
      <c r="U16" s="1483">
        <f>IF(Input!$Q$279=U$2,Input!$P$279,0)+IF(Input!$Q280=U$2,Input!$P$280,0)+IF(Input!$Q$281=U$2,Input!$P$281,0)</f>
        <v>0</v>
      </c>
      <c r="V16" s="1483">
        <f>IF(Input!$Q$279=V$2,Input!$P$279,0)+IF(Input!$Q280=V$2,Input!$P$280,0)+IF(Input!$Q$281=V$2,Input!$P$281,0)</f>
        <v>0</v>
      </c>
      <c r="W16" s="1483">
        <f>IF(Input!$Q$279=W$2,Input!$P$279,0)+IF(Input!$Q280=W$2,Input!$P$280,0)+IF(Input!$Q$281=W$2,Input!$P$281,0)</f>
        <v>0</v>
      </c>
      <c r="X16" s="1483">
        <f>IF(Input!$Q$279=X$2,Input!$P$279,0)+IF(Input!$Q280=X$2,Input!$P$280,0)+IF(Input!$Q$281=X$2,Input!$P$281,0)</f>
        <v>0</v>
      </c>
      <c r="Y16" s="1483">
        <f>IF(Input!$Q$279=Y$2,Input!$P$279,0)+IF(Input!$Q280=Y$2,Input!$P$280,0)+IF(Input!$Q$281=Y$2,Input!$P$281,0)</f>
        <v>0</v>
      </c>
      <c r="Z16" s="1483">
        <f>IF(Input!$Q$279=Z$2,Input!$P$279,0)+IF(Input!$Q280=Z$2,Input!$P$280,0)+IF(Input!$Q$281=Z$2,Input!$P$281,0)</f>
        <v>0</v>
      </c>
      <c r="AA16" s="1483">
        <f>IF(Input!$Q$279=AA$2,Input!$P$279,0)+IF(Input!$Q280=AA$2,Input!$P$280,0)+IF(Input!$Q$281=AA$2,Input!$P$281,0)</f>
        <v>0</v>
      </c>
      <c r="AB16" s="1483">
        <f>IF(Input!$Q$279=AB$2,Input!$P$279,0)+IF(Input!$Q280=AB$2,Input!$P$280,0)+IF(Input!$Q$281=AB$2,Input!$P$281,0)</f>
        <v>0</v>
      </c>
      <c r="AC16" s="1483">
        <f>IF(Input!$Q$279=AC$2,Input!$P$279,0)+IF(Input!$Q280=AC$2,Input!$P$280,0)+IF(Input!$Q$281=AC$2,Input!$P$281,0)</f>
        <v>0</v>
      </c>
      <c r="AD16" s="1483">
        <f>IF(Input!$Q$279=AD$2,Input!$P$279,0)+IF(Input!$Q280=AD$2,Input!$P$280,0)+IF(Input!$Q$281=AD$2,Input!$P$281,0)</f>
        <v>0</v>
      </c>
      <c r="AE16" s="1483">
        <f>IF(Input!$Q$279=AE$2,Input!$P$279,0)+IF(Input!$Q280=AE$2,Input!$P$280,0)+IF(Input!$Q$281=AE$2,Input!$P$281,0)</f>
        <v>0</v>
      </c>
      <c r="AF16" s="1483">
        <f>IF(Input!$Q$279=AF$2,Input!$P$279,0)+IF(Input!$Q280=AF$2,Input!$P$280,0)+IF(Input!$Q$281=AF$2,Input!$P$281,0)</f>
        <v>0</v>
      </c>
      <c r="AG16" s="1483">
        <f>IF(Input!$Q$279=AG$2,Input!$P$279,0)+IF(Input!$Q280=AG$2,Input!$P$280,0)+IF(Input!$Q$281=AG$2,Input!$P$281,0)</f>
        <v>0</v>
      </c>
      <c r="AH16" s="1483">
        <f>IF(Input!$Q$279=AH$2,Input!$P$279,0)+IF(Input!$Q280=AH$2,Input!$P$280,0)+IF(Input!$Q$281=AH$2,Input!$P$281,0)</f>
        <v>0</v>
      </c>
      <c r="AI16" s="1483">
        <f>IF(Input!$Q$279=AI$2,Input!$P$279,0)+IF(Input!$Q280=AI$2,Input!$P$280,0)+IF(Input!$Q$281=AI$2,Input!$P$281,0)</f>
        <v>0</v>
      </c>
      <c r="AJ16" s="1483">
        <f>IF(Input!$Q$279=AJ$2,Input!$P$279,0)+IF(Input!$Q280=AJ$2,Input!$P$280,0)+IF(Input!$Q$281=AJ$2,Input!$P$281,0)</f>
        <v>0</v>
      </c>
      <c r="AK16" s="1483">
        <f>IF(Input!$Q$279=AK$2,Input!$P$279,0)+IF(Input!$Q280=AK$2,Input!$P$280,0)+IF(Input!$Q$281=AK$2,Input!$P$281,0)</f>
        <v>0</v>
      </c>
      <c r="AL16" s="1483">
        <f>IF(Input!$Q$279=AL$2,Input!$P$279,0)+IF(Input!$Q280=AL$2,Input!$P$280,0)+IF(Input!$Q$281=AL$2,Input!$P$281,0)</f>
        <v>0</v>
      </c>
      <c r="AM16" s="1483">
        <f>IF(Input!$Q$279=AM$2,Input!$P$279,0)+IF(Input!$Q280=AM$2,Input!$P$280,0)+IF(Input!$Q$281=AM$2,Input!$P$281,0)</f>
        <v>0</v>
      </c>
      <c r="AN16" s="1483">
        <f>IF(Input!$Q$279=AN$2,Input!$P$279,0)+IF(Input!$Q280=AN$2,Input!$P$280,0)+IF(Input!$Q$281=AN$2,Input!$P$281,0)</f>
        <v>0</v>
      </c>
      <c r="AO16" s="1483">
        <f>IF(Input!$Q$279=AO$2,Input!$P$279,0)+IF(Input!$Q280=AO$2,Input!$P$280,0)+IF(Input!$Q$281=AO$2,Input!$P$281,0)</f>
        <v>0</v>
      </c>
      <c r="AP16" s="1483">
        <f>IF(Input!$Q$279=AP$2,Input!$P$279,0)+IF(Input!$Q280=AP$2,Input!$P$280,0)+IF(Input!$Q$281=AP$2,Input!$P$281,0)</f>
        <v>0</v>
      </c>
      <c r="AQ16" s="1483">
        <f>IF(Input!$Q$279=AQ$2,Input!$P$279,0)+IF(Input!$Q280=AQ$2,Input!$P$280,0)+IF(Input!$Q$281=AQ$2,Input!$P$281,0)</f>
        <v>0</v>
      </c>
      <c r="AR16" s="1483">
        <f>IF(Input!$Q$279=AR$2,Input!$P$279,0)+IF(Input!$Q280=AR$2,Input!$P$280,0)+IF(Input!$Q$281=AR$2,Input!$P$281,0)</f>
        <v>0</v>
      </c>
      <c r="AS16" s="1483">
        <f>IF(Input!$Q$279=AS$2,Input!$P$279,0)+IF(Input!$Q280=AS$2,Input!$P$280,0)+IF(Input!$Q$281=AS$2,Input!$P$281,0)</f>
        <v>0</v>
      </c>
      <c r="AT16" s="1483">
        <f>IF(Input!$Q$279=AT$2,Input!$P$279,0)+IF(Input!$Q280=AT$2,Input!$P$280,0)+IF(Input!$Q$281=AT$2,Input!$P$281,0)</f>
        <v>0</v>
      </c>
      <c r="AU16" s="1483">
        <f>IF(Input!$Q$279=AU$2,Input!$P$279,0)+IF(Input!$Q280=AU$2,Input!$P$280,0)+IF(Input!$Q$281=AU$2,Input!$P$281,0)</f>
        <v>0</v>
      </c>
      <c r="AV16" s="1483">
        <f>IF(Input!$Q$279=AV$2,Input!$P$279,0)+IF(Input!$Q280=AV$2,Input!$P$280,0)+IF(Input!$Q$281=AV$2,Input!$P$281,0)</f>
        <v>0</v>
      </c>
      <c r="AW16" s="1483">
        <f>IF(Input!$Q$279=AW$2,Input!$P$279,0)+IF(Input!$Q280=AW$2,Input!$P$280,0)+IF(Input!$Q$281=AW$2,Input!$P$281,0)</f>
        <v>0</v>
      </c>
      <c r="AX16" s="1483">
        <f>IF(Input!$Q$279=AX$2,Input!$P$279,0)+IF(Input!$Q280=AX$2,Input!$P$280,0)+IF(Input!$Q$281=AX$2,Input!$P$281,0)</f>
        <v>0</v>
      </c>
      <c r="AY16" s="1483">
        <f>IF(Input!$Q$279=AY$2,Input!$P$279,0)+IF(Input!$Q280=AY$2,Input!$P$280,0)+IF(Input!$Q$281=AY$2,Input!$P$281,0)</f>
        <v>0</v>
      </c>
      <c r="AZ16" s="1483">
        <f>IF(Input!$Q$279=AZ$2,Input!$P$279,0)+IF(Input!$Q280=AZ$2,Input!$P$280,0)+IF(Input!$Q$281=AZ$2,Input!$P$281,0)</f>
        <v>0</v>
      </c>
      <c r="BA16" s="1483">
        <f>IF(Input!$Q$279=BA$2,Input!$P$279,0)+IF(Input!$Q280=BA$2,Input!$P$280,0)+IF(Input!$Q$281=BA$2,Input!$P$281,0)</f>
        <v>0</v>
      </c>
      <c r="BB16" s="1483">
        <f>IF(Input!$Q$279=BB$2,Input!$P$279,0)+IF(Input!$Q280=BB$2,Input!$P$280,0)+IF(Input!$Q$281=BB$2,Input!$P$281,0)</f>
        <v>0</v>
      </c>
      <c r="BC16" s="1483">
        <f>IF(Input!$Q$279=BC$2,Input!$P$279,0)+IF(Input!$Q280=BC$2,Input!$P$280,0)+IF(Input!$Q$281=BC$2,Input!$P$281,0)</f>
        <v>0</v>
      </c>
      <c r="BD16" s="1483">
        <f>IF(Input!$Q$279=BD$2,Input!$P$279,0)+IF(Input!$Q280=BD$2,Input!$P$280,0)+IF(Input!$Q$281=BD$2,Input!$P$281,0)</f>
        <v>0</v>
      </c>
      <c r="BE16" s="1483">
        <f>IF(Input!$Q$279=BE$2,Input!$P$279,0)+IF(Input!$Q280=BE$2,Input!$P$280,0)+IF(Input!$Q$281=BE$2,Input!$P$281,0)</f>
        <v>0</v>
      </c>
      <c r="BF16" s="1483">
        <f>IF(Input!$Q$279=BF$2,Input!$P$279,0)+IF(Input!$Q280=BF$2,Input!$P$280,0)+IF(Input!$Q$281=BF$2,Input!$P$281,0)</f>
        <v>0</v>
      </c>
      <c r="BG16" s="1483">
        <f>IF(Input!$Q$279=BG$2,Input!$P$279,0)+IF(Input!$Q280=BG$2,Input!$P$280,0)+IF(Input!$Q$281=BG$2,Input!$P$281,0)</f>
        <v>0</v>
      </c>
      <c r="BH16" s="1483">
        <f>IF(Input!$Q$279=BH$2,Input!$P$279,0)+IF(Input!$Q280=BH$2,Input!$P$280,0)+IF(Input!$Q$281=BH$2,Input!$P$281,0)</f>
        <v>0</v>
      </c>
      <c r="BI16" s="1483">
        <f>IF(Input!$Q$279=BI$2,Input!$P$279,0)+IF(Input!$Q280=BI$2,Input!$P$280,0)+IF(Input!$Q$281=BI$2,Input!$P$281,0)</f>
        <v>0</v>
      </c>
      <c r="BJ16" s="1483">
        <f>IF(Input!$Q$279=BJ$2,Input!$P$279,0)+IF(Input!$Q280=BJ$2,Input!$P$280,0)+IF(Input!$Q$281=BJ$2,Input!$P$281,0)</f>
        <v>0</v>
      </c>
      <c r="BK16" s="1483">
        <f>IF(Input!$Q$279=BK$2,Input!$P$279,0)+IF(Input!$Q280=BK$2,Input!$P$280,0)+IF(Input!$Q$281=BK$2,Input!$P$281,0)</f>
        <v>0</v>
      </c>
      <c r="BL16" s="1483">
        <f>IF(Input!$Q$279=BL$2,Input!$P$279,0)+IF(Input!$Q280=BL$2,Input!$P$280,0)+IF(Input!$Q$281=BL$2,Input!$P$281,0)</f>
        <v>0</v>
      </c>
      <c r="BM16" s="1483">
        <f>IF(Input!$Q$279=BM$2,Input!$P$279,0)+IF(Input!$Q280=BM$2,Input!$P$280,0)+IF(Input!$Q$281=BM$2,Input!$P$281,0)</f>
        <v>0</v>
      </c>
      <c r="BN16" s="1483">
        <f>IF(Input!$Q$279=BN$2,Input!$P$279,0)+IF(Input!$Q280=BN$2,Input!$P$280,0)+IF(Input!$Q$281=BN$2,Input!$P$281,0)</f>
        <v>0</v>
      </c>
      <c r="BO16" s="1483">
        <f>IF(Input!$Q$279=BO$2,Input!$P$279,0)+IF(Input!$Q280=BO$2,Input!$P$280,0)+IF(Input!$Q$281=BO$2,Input!$P$281,0)</f>
        <v>0</v>
      </c>
      <c r="BP16" s="1483">
        <f>IF(Input!$Q$279=BP$2,Input!$P$279,0)+IF(Input!$Q280=BP$2,Input!$P$280,0)+IF(Input!$Q$281=BP$2,Input!$P$281,0)</f>
        <v>0</v>
      </c>
      <c r="BQ16" s="43"/>
      <c r="BR16" s="43"/>
      <c r="BS16" s="43"/>
      <c r="BT16" s="43"/>
      <c r="BU16" s="43"/>
      <c r="BV16" s="43"/>
      <c r="BW16" s="1436">
        <f>Infrastructure!M19</f>
        <v>0</v>
      </c>
      <c r="BX16" s="1437">
        <f>$S$3</f>
        <v>0</v>
      </c>
      <c r="BY16" s="1437">
        <f>$S$8</f>
        <v>0</v>
      </c>
      <c r="BZ16" s="1183"/>
      <c r="CA16" s="1183"/>
      <c r="CB16" s="1183"/>
      <c r="CC16" s="1183"/>
      <c r="CD16" s="484">
        <f>$R$38</f>
        <v>0</v>
      </c>
      <c r="CE16" s="484">
        <f>$R$39</f>
        <v>0</v>
      </c>
      <c r="CF16" s="484">
        <f>$R$40</f>
        <v>0</v>
      </c>
      <c r="CG16" s="484">
        <f>$R$41</f>
        <v>0</v>
      </c>
      <c r="CH16" s="484">
        <f>$R$42</f>
        <v>0</v>
      </c>
      <c r="CI16" s="484">
        <f>$R$43</f>
        <v>0</v>
      </c>
      <c r="CJ16" s="484">
        <f>$R$44</f>
        <v>0</v>
      </c>
      <c r="CK16" s="484">
        <f>$R$45</f>
        <v>0</v>
      </c>
      <c r="CL16" s="484">
        <f>$R$46</f>
        <v>0</v>
      </c>
      <c r="CM16" s="484">
        <f>$R$47</f>
        <v>0</v>
      </c>
      <c r="CN16" s="1183"/>
      <c r="CO16" s="1183"/>
      <c r="CP16" s="1183"/>
      <c r="CQ16" s="1183"/>
      <c r="CR16" s="1183"/>
      <c r="CS16" s="1183"/>
      <c r="CT16" s="1183"/>
      <c r="CU16" s="1183"/>
      <c r="CV16" s="1183"/>
      <c r="CW16" s="1183"/>
      <c r="CX16" s="1183"/>
      <c r="CY16" s="1183"/>
      <c r="CZ16" s="1183"/>
      <c r="DA16" s="1183"/>
      <c r="DB16" s="1183"/>
      <c r="DC16" s="1183"/>
      <c r="DD16" s="1183"/>
      <c r="DE16" s="1183"/>
      <c r="DF16" s="1183"/>
      <c r="DG16" s="1183"/>
      <c r="DH16" s="1183"/>
      <c r="DI16" s="1183"/>
      <c r="DJ16" s="1183"/>
      <c r="DK16" s="1183"/>
      <c r="DL16" s="1183"/>
      <c r="DM16" s="1183"/>
      <c r="DN16" s="1183"/>
      <c r="DO16" s="1183"/>
      <c r="DP16" s="1183"/>
      <c r="DQ16" s="1183"/>
    </row>
    <row r="17" spans="1:121" s="12" customFormat="1" ht="12" customHeight="1" x14ac:dyDescent="0.35">
      <c r="A17" s="1476"/>
      <c r="B17" s="1477" t="str">
        <f>CONCATENATE(TEXT(Calcs!B23,"mmm-yy"),"  - First Month")</f>
        <v>Jan-00  - First Month</v>
      </c>
      <c r="C17" s="1477" t="str">
        <f>CONCATENATE(TEXT(Calcs!C23,"mmm-yy"),"  - First Month")</f>
        <v>None  - First Month</v>
      </c>
      <c r="D17" s="1477" t="str">
        <f>CONCATENATE(TEXT(Calcs!D23,"mmm-yy"),"  - First Month")</f>
        <v>Dec-04  - First Month</v>
      </c>
      <c r="E17" s="1477"/>
      <c r="F17" s="1477"/>
      <c r="G17" s="1478"/>
      <c r="H17" s="1476" t="s">
        <v>182</v>
      </c>
      <c r="I17" s="1483">
        <f t="shared" ref="I17:T17" si="6">AF737+AF744+AF751-AF739-AF746-AF753</f>
        <v>0</v>
      </c>
      <c r="J17" s="1483">
        <f t="shared" si="6"/>
        <v>0</v>
      </c>
      <c r="K17" s="1483">
        <f t="shared" si="6"/>
        <v>0</v>
      </c>
      <c r="L17" s="1483">
        <f t="shared" si="6"/>
        <v>0</v>
      </c>
      <c r="M17" s="1483">
        <f t="shared" si="6"/>
        <v>0</v>
      </c>
      <c r="N17" s="1483">
        <f t="shared" si="6"/>
        <v>0</v>
      </c>
      <c r="O17" s="1483">
        <f t="shared" si="6"/>
        <v>0</v>
      </c>
      <c r="P17" s="1483">
        <f t="shared" si="6"/>
        <v>0</v>
      </c>
      <c r="Q17" s="1483">
        <f t="shared" si="6"/>
        <v>0</v>
      </c>
      <c r="R17" s="1483">
        <f t="shared" si="6"/>
        <v>0</v>
      </c>
      <c r="S17" s="1483">
        <f t="shared" si="6"/>
        <v>0</v>
      </c>
      <c r="T17" s="1483">
        <f t="shared" si="6"/>
        <v>0</v>
      </c>
      <c r="U17" s="1483">
        <f t="shared" ref="U17:AE17" si="7">AR737+AR744+AR751-AR739-AR746-AR753</f>
        <v>0</v>
      </c>
      <c r="V17" s="1483">
        <f t="shared" si="7"/>
        <v>0</v>
      </c>
      <c r="W17" s="1483">
        <f t="shared" si="7"/>
        <v>0</v>
      </c>
      <c r="X17" s="1483">
        <f t="shared" si="7"/>
        <v>0</v>
      </c>
      <c r="Y17" s="1483">
        <f t="shared" si="7"/>
        <v>0</v>
      </c>
      <c r="Z17" s="1483">
        <f t="shared" si="7"/>
        <v>0</v>
      </c>
      <c r="AA17" s="1483">
        <f t="shared" si="7"/>
        <v>0</v>
      </c>
      <c r="AB17" s="1483">
        <f t="shared" si="7"/>
        <v>0</v>
      </c>
      <c r="AC17" s="1483">
        <f t="shared" si="7"/>
        <v>0</v>
      </c>
      <c r="AD17" s="1483">
        <f t="shared" si="7"/>
        <v>0</v>
      </c>
      <c r="AE17" s="1483">
        <f t="shared" si="7"/>
        <v>0</v>
      </c>
      <c r="AF17" s="1485">
        <f t="shared" ref="AF17:BP17" si="8">BC737+BC744+BC751-BC739-BC746-BC753</f>
        <v>0</v>
      </c>
      <c r="AG17" s="1485">
        <f t="shared" si="8"/>
        <v>0</v>
      </c>
      <c r="AH17" s="1485">
        <f t="shared" si="8"/>
        <v>0</v>
      </c>
      <c r="AI17" s="1485">
        <f t="shared" si="8"/>
        <v>0</v>
      </c>
      <c r="AJ17" s="1485">
        <f t="shared" si="8"/>
        <v>0</v>
      </c>
      <c r="AK17" s="1485">
        <f t="shared" si="8"/>
        <v>0</v>
      </c>
      <c r="AL17" s="1485">
        <f t="shared" si="8"/>
        <v>0</v>
      </c>
      <c r="AM17" s="1485">
        <f t="shared" si="8"/>
        <v>0</v>
      </c>
      <c r="AN17" s="1485">
        <f t="shared" si="8"/>
        <v>0</v>
      </c>
      <c r="AO17" s="1485">
        <f t="shared" si="8"/>
        <v>0</v>
      </c>
      <c r="AP17" s="1485">
        <f t="shared" si="8"/>
        <v>0</v>
      </c>
      <c r="AQ17" s="1485">
        <f t="shared" si="8"/>
        <v>0</v>
      </c>
      <c r="AR17" s="1485">
        <f t="shared" si="8"/>
        <v>0</v>
      </c>
      <c r="AS17" s="1485">
        <f t="shared" si="8"/>
        <v>0</v>
      </c>
      <c r="AT17" s="1485">
        <f t="shared" si="8"/>
        <v>0</v>
      </c>
      <c r="AU17" s="1485">
        <f t="shared" si="8"/>
        <v>0</v>
      </c>
      <c r="AV17" s="1485">
        <f t="shared" si="8"/>
        <v>0</v>
      </c>
      <c r="AW17" s="1485">
        <f t="shared" si="8"/>
        <v>0</v>
      </c>
      <c r="AX17" s="1485">
        <f t="shared" si="8"/>
        <v>0</v>
      </c>
      <c r="AY17" s="1485">
        <f t="shared" si="8"/>
        <v>0</v>
      </c>
      <c r="AZ17" s="1485">
        <f t="shared" si="8"/>
        <v>0</v>
      </c>
      <c r="BA17" s="1485">
        <f t="shared" si="8"/>
        <v>0</v>
      </c>
      <c r="BB17" s="1485">
        <f t="shared" si="8"/>
        <v>0</v>
      </c>
      <c r="BC17" s="1485">
        <f t="shared" si="8"/>
        <v>0</v>
      </c>
      <c r="BD17" s="1485">
        <f t="shared" si="8"/>
        <v>0</v>
      </c>
      <c r="BE17" s="1485">
        <f t="shared" si="8"/>
        <v>0</v>
      </c>
      <c r="BF17" s="1485">
        <f t="shared" si="8"/>
        <v>0</v>
      </c>
      <c r="BG17" s="1485">
        <f t="shared" si="8"/>
        <v>0</v>
      </c>
      <c r="BH17" s="1485">
        <f t="shared" si="8"/>
        <v>0</v>
      </c>
      <c r="BI17" s="1485">
        <f t="shared" si="8"/>
        <v>0</v>
      </c>
      <c r="BJ17" s="1485">
        <f t="shared" si="8"/>
        <v>0</v>
      </c>
      <c r="BK17" s="1485">
        <f t="shared" si="8"/>
        <v>0</v>
      </c>
      <c r="BL17" s="1485">
        <f t="shared" si="8"/>
        <v>0</v>
      </c>
      <c r="BM17" s="1485">
        <f t="shared" si="8"/>
        <v>0</v>
      </c>
      <c r="BN17" s="1485">
        <f t="shared" si="8"/>
        <v>0</v>
      </c>
      <c r="BO17" s="1485">
        <f t="shared" si="8"/>
        <v>0</v>
      </c>
      <c r="BP17" s="1485">
        <f t="shared" si="8"/>
        <v>0</v>
      </c>
      <c r="BQ17" s="43"/>
      <c r="BR17" s="43"/>
      <c r="BS17" s="43"/>
      <c r="BT17" s="43"/>
      <c r="BU17" s="43"/>
      <c r="BV17" s="43"/>
      <c r="BW17" s="1436">
        <f>Infrastructure!M20</f>
        <v>0</v>
      </c>
      <c r="BX17" s="1437">
        <f>$T$3</f>
        <v>0</v>
      </c>
      <c r="BY17" s="1437">
        <f>$T$8</f>
        <v>0</v>
      </c>
      <c r="BZ17" s="1183"/>
      <c r="CA17" s="1183"/>
      <c r="CB17" s="1183"/>
      <c r="CC17" s="1183"/>
      <c r="CD17" s="484">
        <f>$S$38</f>
        <v>0</v>
      </c>
      <c r="CE17" s="484">
        <f>$S$39</f>
        <v>0</v>
      </c>
      <c r="CF17" s="484">
        <f>$S$40</f>
        <v>0</v>
      </c>
      <c r="CG17" s="484">
        <f>$S$41</f>
        <v>0</v>
      </c>
      <c r="CH17" s="484">
        <f>$S$42</f>
        <v>0</v>
      </c>
      <c r="CI17" s="484">
        <f>$S$43</f>
        <v>0</v>
      </c>
      <c r="CJ17" s="484">
        <f>$S$44</f>
        <v>0</v>
      </c>
      <c r="CK17" s="484">
        <f>$S$45</f>
        <v>0</v>
      </c>
      <c r="CL17" s="484">
        <f>$S$46</f>
        <v>0</v>
      </c>
      <c r="CM17" s="484">
        <f>$S$47</f>
        <v>0</v>
      </c>
      <c r="CN17" s="1183"/>
      <c r="CO17" s="1183"/>
      <c r="CP17" s="1183"/>
      <c r="CQ17" s="1183"/>
      <c r="CR17" s="1183"/>
      <c r="CS17" s="1183"/>
      <c r="CT17" s="1183"/>
      <c r="CU17" s="1183"/>
      <c r="CV17" s="1183"/>
      <c r="CW17" s="1183"/>
      <c r="CX17" s="1183"/>
      <c r="CY17" s="1183"/>
      <c r="CZ17" s="1183"/>
      <c r="DA17" s="1183"/>
      <c r="DB17" s="1183"/>
      <c r="DC17" s="1183"/>
      <c r="DD17" s="1183"/>
      <c r="DE17" s="1183"/>
      <c r="DF17" s="1183"/>
      <c r="DG17" s="1183"/>
      <c r="DH17" s="1183"/>
      <c r="DI17" s="1183"/>
      <c r="DJ17" s="1183"/>
      <c r="DK17" s="1183"/>
      <c r="DL17" s="1183"/>
      <c r="DM17" s="1183"/>
      <c r="DN17" s="1183"/>
      <c r="DO17" s="1183"/>
      <c r="DP17" s="1183"/>
      <c r="DQ17" s="1183"/>
    </row>
    <row r="18" spans="1:121" s="12" customFormat="1" ht="12" customHeight="1" x14ac:dyDescent="0.35">
      <c r="A18" s="1476"/>
      <c r="B18" s="1477"/>
      <c r="C18" s="1477"/>
      <c r="D18" s="1477"/>
      <c r="E18" s="1477"/>
      <c r="F18" s="1477"/>
      <c r="G18" s="1478"/>
      <c r="H18" s="1476" t="s">
        <v>187</v>
      </c>
      <c r="I18" s="1483">
        <f>IF(Input!$Q$297=I$2,Input!$P$297,0)+IF(Input!$Q298=I$2,Input!$P$298,0)+IF(Input!$Q$299=I$2,Input!$P$299,0)</f>
        <v>0</v>
      </c>
      <c r="J18" s="1483">
        <f>IF(Input!$Q$297=J$2,Input!$P$297,0)+IF(Input!$Q298=J$2,Input!$P$298,0)+IF(Input!$Q$299=J$2,Input!$P$299,0)</f>
        <v>0</v>
      </c>
      <c r="K18" s="1483">
        <f>IF(Input!$Q$297=K$2,Input!$P$297,0)+IF(Input!$Q298=K$2,Input!$P$298,0)+IF(Input!$Q$299=K$2,Input!$P$299,0)</f>
        <v>0</v>
      </c>
      <c r="L18" s="1483">
        <f>IF(Input!$Q$297=L$2,Input!$P$297,0)+IF(Input!$Q298=L$2,Input!$P$298,0)+IF(Input!$Q$299=L$2,Input!$P$299,0)</f>
        <v>0</v>
      </c>
      <c r="M18" s="1483">
        <f>IF(Input!$Q$297=M$2,Input!$P$297,0)+IF(Input!$Q298=M$2,Input!$P$298,0)+IF(Input!$Q$299=M$2,Input!$P$299,0)</f>
        <v>0</v>
      </c>
      <c r="N18" s="1483">
        <f>IF(Input!$Q$297=N$2,Input!$P$297,0)+IF(Input!$Q298=N$2,Input!$P$298,0)+IF(Input!$Q$299=N$2,Input!$P$299,0)</f>
        <v>0</v>
      </c>
      <c r="O18" s="1483">
        <f>IF(Input!$Q$297=O$2,Input!$P$297,0)+IF(Input!$Q298=O$2,Input!$P$298,0)+IF(Input!$Q$299=O$2,Input!$P$299,0)</f>
        <v>0</v>
      </c>
      <c r="P18" s="1483">
        <f>IF(Input!$Q$297=P$2,Input!$P$297,0)+IF(Input!$Q298=P$2,Input!$P$298,0)+IF(Input!$Q$299=P$2,Input!$P$299,0)</f>
        <v>0</v>
      </c>
      <c r="Q18" s="1483">
        <f>IF(Input!$Q$297=Q$2,Input!$P$297,0)+IF(Input!$Q298=Q$2,Input!$P$298,0)+IF(Input!$Q$299=Q$2,Input!$P$299,0)</f>
        <v>0</v>
      </c>
      <c r="R18" s="1483">
        <f>IF(Input!$Q$297=R$2,Input!$P$297,0)+IF(Input!$Q298=R$2,Input!$P$298,0)+IF(Input!$Q$299=R$2,Input!$P$299,0)</f>
        <v>0</v>
      </c>
      <c r="S18" s="1483">
        <f>IF(Input!$Q$297=S$2,Input!$P$297,0)+IF(Input!$Q298=S$2,Input!$P$298,0)+IF(Input!$Q$299=S$2,Input!$P$299,0)</f>
        <v>0</v>
      </c>
      <c r="T18" s="1483">
        <f>IF(Input!$Q$297=T$2,Input!$P$297,0)+IF(Input!$Q298=T$2,Input!$P$298,0)+IF(Input!$Q$299=T$2,Input!$P$299,0)</f>
        <v>0</v>
      </c>
      <c r="U18" s="1483">
        <f>IF(Input!$Q$297=U$2,Input!$P$297,0)+IF(Input!$Q298=U$2,Input!$P$298,0)+IF(Input!$Q$299=U$2,Input!$P$299,0)</f>
        <v>0</v>
      </c>
      <c r="V18" s="1483">
        <f>IF(Input!$Q$297=V$2,Input!$P$297,0)+IF(Input!$Q298=V$2,Input!$P$298,0)+IF(Input!$Q$299=V$2,Input!$P$299,0)</f>
        <v>0</v>
      </c>
      <c r="W18" s="1483">
        <f>IF(Input!$Q$297=W$2,Input!$P$297,0)+IF(Input!$Q298=W$2,Input!$P$298,0)+IF(Input!$Q$299=W$2,Input!$P$299,0)</f>
        <v>0</v>
      </c>
      <c r="X18" s="1483">
        <f>IF(Input!$Q$297=X$2,Input!$P$297,0)+IF(Input!$Q298=X$2,Input!$P$298,0)+IF(Input!$Q$299=X$2,Input!$P$299,0)</f>
        <v>0</v>
      </c>
      <c r="Y18" s="1483">
        <f>IF(Input!$Q$297=Y$2,Input!$P$297,0)+IF(Input!$Q298=Y$2,Input!$P$298,0)+IF(Input!$Q$299=Y$2,Input!$P$299,0)</f>
        <v>0</v>
      </c>
      <c r="Z18" s="1483">
        <f>IF(Input!$Q$297=Z$2,Input!$P$297,0)+IF(Input!$Q298=Z$2,Input!$P$298,0)+IF(Input!$Q$299=Z$2,Input!$P$299,0)</f>
        <v>0</v>
      </c>
      <c r="AA18" s="1483">
        <f>IF(Input!$Q$297=AA$2,Input!$P$297,0)+IF(Input!$Q298=AA$2,Input!$P$298,0)+IF(Input!$Q$299=AA$2,Input!$P$299,0)</f>
        <v>0</v>
      </c>
      <c r="AB18" s="1483">
        <f>IF(Input!$Q$297=AB$2,Input!$P$297,0)+IF(Input!$Q298=AB$2,Input!$P$298,0)+IF(Input!$Q$299=AB$2,Input!$P$299,0)</f>
        <v>0</v>
      </c>
      <c r="AC18" s="1483">
        <f>IF(Input!$Q$297=AC$2,Input!$P$297,0)+IF(Input!$Q298=AC$2,Input!$P$298,0)+IF(Input!$Q$299=AC$2,Input!$P$299,0)</f>
        <v>0</v>
      </c>
      <c r="AD18" s="1483">
        <f>IF(Input!$Q$297=AD$2,Input!$P$297,0)+IF(Input!$Q298=AD$2,Input!$P$298,0)+IF(Input!$Q$299=AD$2,Input!$P$299,0)</f>
        <v>0</v>
      </c>
      <c r="AE18" s="1483">
        <f>IF(Input!$Q$297=AE$2,Input!$P$297,0)+IF(Input!$Q298=AE$2,Input!$P$298,0)+IF(Input!$Q$299=AE$2,Input!$P$299,0)</f>
        <v>0</v>
      </c>
      <c r="AF18" s="1483">
        <f>IF(Input!$Q$297=AF$2,Input!$P$297,0)+IF(Input!$Q298=AF$2,Input!$P$298,0)+IF(Input!$Q$299=AF$2,Input!$P$299,0)</f>
        <v>0</v>
      </c>
      <c r="AG18" s="1483">
        <f>IF(Input!$Q$297=AG$2,Input!$P$297,0)+IF(Input!$Q298=AG$2,Input!$P$298,0)+IF(Input!$Q$299=AG$2,Input!$P$299,0)</f>
        <v>0</v>
      </c>
      <c r="AH18" s="1483">
        <f>IF(Input!$Q$297=AH$2,Input!$P$297,0)+IF(Input!$Q298=AH$2,Input!$P$298,0)+IF(Input!$Q$299=AH$2,Input!$P$299,0)</f>
        <v>0</v>
      </c>
      <c r="AI18" s="1483">
        <f>IF(Input!$Q$297=AI$2,Input!$P$297,0)+IF(Input!$Q298=AI$2,Input!$P$298,0)+IF(Input!$Q$299=AI$2,Input!$P$299,0)</f>
        <v>0</v>
      </c>
      <c r="AJ18" s="1483">
        <f>IF(Input!$Q$297=AJ$2,Input!$P$297,0)+IF(Input!$Q298=AJ$2,Input!$P$298,0)+IF(Input!$Q$299=AJ$2,Input!$P$299,0)</f>
        <v>0</v>
      </c>
      <c r="AK18" s="1483">
        <f>IF(Input!$Q$297=AK$2,Input!$P$297,0)+IF(Input!$Q298=AK$2,Input!$P$298,0)+IF(Input!$Q$299=AK$2,Input!$P$299,0)</f>
        <v>0</v>
      </c>
      <c r="AL18" s="1483">
        <f>IF(Input!$Q$297=AL$2,Input!$P$297,0)+IF(Input!$Q298=AL$2,Input!$P$298,0)+IF(Input!$Q$299=AL$2,Input!$P$299,0)</f>
        <v>0</v>
      </c>
      <c r="AM18" s="1483">
        <f>IF(Input!$Q$297=AM$2,Input!$P$297,0)+IF(Input!$Q298=AM$2,Input!$P$298,0)+IF(Input!$Q$299=AM$2,Input!$P$299,0)</f>
        <v>0</v>
      </c>
      <c r="AN18" s="1483">
        <f>IF(Input!$Q$297=AN$2,Input!$P$297,0)+IF(Input!$Q298=AN$2,Input!$P$298,0)+IF(Input!$Q$299=AN$2,Input!$P$299,0)</f>
        <v>0</v>
      </c>
      <c r="AO18" s="1483">
        <f>IF(Input!$Q$297=AO$2,Input!$P$297,0)+IF(Input!$Q298=AO$2,Input!$P$298,0)+IF(Input!$Q$299=AO$2,Input!$P$299,0)</f>
        <v>0</v>
      </c>
      <c r="AP18" s="1483">
        <f>IF(Input!$Q$297=AP$2,Input!$P$297,0)+IF(Input!$Q298=AP$2,Input!$P$298,0)+IF(Input!$Q$299=AP$2,Input!$P$299,0)</f>
        <v>0</v>
      </c>
      <c r="AQ18" s="1483">
        <f>IF(Input!$Q$297=AQ$2,Input!$P$297,0)+IF(Input!$Q298=AQ$2,Input!$P$298,0)+IF(Input!$Q$299=AQ$2,Input!$P$299,0)</f>
        <v>0</v>
      </c>
      <c r="AR18" s="1483">
        <f>IF(Input!$Q$297=AR$2,Input!$P$297,0)+IF(Input!$Q298=AR$2,Input!$P$298,0)+IF(Input!$Q$299=AR$2,Input!$P$299,0)</f>
        <v>0</v>
      </c>
      <c r="AS18" s="1483">
        <f>IF(Input!$Q$297=AS$2,Input!$P$297,0)+IF(Input!$Q298=AS$2,Input!$P$298,0)+IF(Input!$Q$299=AS$2,Input!$P$299,0)</f>
        <v>0</v>
      </c>
      <c r="AT18" s="1483">
        <f>IF(Input!$Q$297=AT$2,Input!$P$297,0)+IF(Input!$Q298=AT$2,Input!$P$298,0)+IF(Input!$Q$299=AT$2,Input!$P$299,0)</f>
        <v>0</v>
      </c>
      <c r="AU18" s="1483">
        <f>IF(Input!$Q$297=AU$2,Input!$P$297,0)+IF(Input!$Q298=AU$2,Input!$P$298,0)+IF(Input!$Q$299=AU$2,Input!$P$299,0)</f>
        <v>0</v>
      </c>
      <c r="AV18" s="1483">
        <f>IF(Input!$Q$297=AV$2,Input!$P$297,0)+IF(Input!$Q298=AV$2,Input!$P$298,0)+IF(Input!$Q$299=AV$2,Input!$P$299,0)</f>
        <v>0</v>
      </c>
      <c r="AW18" s="1483">
        <f>IF(Input!$Q$297=AW$2,Input!$P$297,0)+IF(Input!$Q298=AW$2,Input!$P$298,0)+IF(Input!$Q$299=AW$2,Input!$P$299,0)</f>
        <v>0</v>
      </c>
      <c r="AX18" s="1483">
        <f>IF(Input!$Q$297=AX$2,Input!$P$297,0)+IF(Input!$Q298=AX$2,Input!$P$298,0)+IF(Input!$Q$299=AX$2,Input!$P$299,0)</f>
        <v>0</v>
      </c>
      <c r="AY18" s="1483">
        <f>IF(Input!$Q$297=AY$2,Input!$P$297,0)+IF(Input!$Q298=AY$2,Input!$P$298,0)+IF(Input!$Q$299=AY$2,Input!$P$299,0)</f>
        <v>0</v>
      </c>
      <c r="AZ18" s="1483">
        <f>IF(Input!$Q$297=AZ$2,Input!$P$297,0)+IF(Input!$Q298=AZ$2,Input!$P$298,0)+IF(Input!$Q$299=AZ$2,Input!$P$299,0)</f>
        <v>0</v>
      </c>
      <c r="BA18" s="1483">
        <f>IF(Input!$Q$297=BA$2,Input!$P$297,0)+IF(Input!$Q298=BA$2,Input!$P$298,0)+IF(Input!$Q$299=BA$2,Input!$P$299,0)</f>
        <v>0</v>
      </c>
      <c r="BB18" s="1483">
        <f>IF(Input!$Q$297=BB$2,Input!$P$297,0)+IF(Input!$Q298=BB$2,Input!$P$298,0)+IF(Input!$Q$299=BB$2,Input!$P$299,0)</f>
        <v>0</v>
      </c>
      <c r="BC18" s="1483">
        <f>IF(Input!$Q$297=BC$2,Input!$P$297,0)+IF(Input!$Q298=BC$2,Input!$P$298,0)+IF(Input!$Q$299=BC$2,Input!$P$299,0)</f>
        <v>0</v>
      </c>
      <c r="BD18" s="1483">
        <f>IF(Input!$Q$297=BD$2,Input!$P$297,0)+IF(Input!$Q298=BD$2,Input!$P$298,0)+IF(Input!$Q$299=BD$2,Input!$P$299,0)</f>
        <v>0</v>
      </c>
      <c r="BE18" s="1483">
        <f>IF(Input!$Q$297=BE$2,Input!$P$297,0)+IF(Input!$Q298=BE$2,Input!$P$298,0)+IF(Input!$Q$299=BE$2,Input!$P$299,0)</f>
        <v>0</v>
      </c>
      <c r="BF18" s="1483">
        <f>IF(Input!$Q$297=BF$2,Input!$P$297,0)+IF(Input!$Q298=BF$2,Input!$P$298,0)+IF(Input!$Q$299=BF$2,Input!$P$299,0)</f>
        <v>0</v>
      </c>
      <c r="BG18" s="1483">
        <f>IF(Input!$Q$297=BG$2,Input!$P$297,0)+IF(Input!$Q298=BG$2,Input!$P$298,0)+IF(Input!$Q$299=BG$2,Input!$P$299,0)</f>
        <v>0</v>
      </c>
      <c r="BH18" s="1483">
        <f>IF(Input!$Q$297=BH$2,Input!$P$297,0)+IF(Input!$Q298=BH$2,Input!$P$298,0)+IF(Input!$Q$299=BH$2,Input!$P$299,0)</f>
        <v>0</v>
      </c>
      <c r="BI18" s="1483">
        <f>IF(Input!$Q$297=BI$2,Input!$P$297,0)+IF(Input!$Q298=BI$2,Input!$P$298,0)+IF(Input!$Q$299=BI$2,Input!$P$299,0)</f>
        <v>0</v>
      </c>
      <c r="BJ18" s="1483">
        <f>IF(Input!$Q$297=BJ$2,Input!$P$297,0)+IF(Input!$Q298=BJ$2,Input!$P$298,0)+IF(Input!$Q$299=BJ$2,Input!$P$299,0)</f>
        <v>0</v>
      </c>
      <c r="BK18" s="1483">
        <f>IF(Input!$Q$297=BK$2,Input!$P$297,0)+IF(Input!$Q298=BK$2,Input!$P$298,0)+IF(Input!$Q$299=BK$2,Input!$P$299,0)</f>
        <v>0</v>
      </c>
      <c r="BL18" s="1483">
        <f>IF(Input!$Q$297=BL$2,Input!$P$297,0)+IF(Input!$Q298=BL$2,Input!$P$298,0)+IF(Input!$Q$299=BL$2,Input!$P$299,0)</f>
        <v>0</v>
      </c>
      <c r="BM18" s="1483">
        <f>IF(Input!$Q$297=BM$2,Input!$P$297,0)+IF(Input!$Q298=BM$2,Input!$P$298,0)+IF(Input!$Q$299=BM$2,Input!$P$299,0)</f>
        <v>0</v>
      </c>
      <c r="BN18" s="1483">
        <f>IF(Input!$Q$297=BN$2,Input!$P$297,0)+IF(Input!$Q298=BN$2,Input!$P$298,0)+IF(Input!$Q$299=BN$2,Input!$P$299,0)</f>
        <v>0</v>
      </c>
      <c r="BO18" s="1483">
        <f>IF(Input!$Q$297=BO$2,Input!$P$297,0)+IF(Input!$Q298=BO$2,Input!$P$298,0)+IF(Input!$Q$299=BO$2,Input!$P$299,0)</f>
        <v>0</v>
      </c>
      <c r="BP18" s="1483">
        <f>IF(Input!$Q$297=BP$2,Input!$P$297,0)+IF(Input!$Q298=BP$2,Input!$P$298,0)+IF(Input!$Q$299=BP$2,Input!$P$299,0)</f>
        <v>0</v>
      </c>
      <c r="BQ18" s="43"/>
      <c r="BR18" s="43"/>
      <c r="BS18" s="43"/>
      <c r="BT18" s="43"/>
      <c r="BU18" s="43"/>
      <c r="BV18" s="43"/>
      <c r="BW18" s="1436">
        <f>Infrastructure!M21</f>
        <v>0</v>
      </c>
      <c r="BX18" s="1437">
        <f>$U$3</f>
        <v>0</v>
      </c>
      <c r="BY18" s="1437">
        <f>$U$8</f>
        <v>0</v>
      </c>
      <c r="BZ18" s="1183"/>
      <c r="CA18" s="1183"/>
      <c r="CB18" s="1183"/>
      <c r="CC18" s="1183"/>
      <c r="CD18" s="484">
        <f>$T$38</f>
        <v>0</v>
      </c>
      <c r="CE18" s="484">
        <f>$T$39</f>
        <v>0</v>
      </c>
      <c r="CF18" s="484">
        <f>$T$40</f>
        <v>0</v>
      </c>
      <c r="CG18" s="484">
        <f>$T$41</f>
        <v>0</v>
      </c>
      <c r="CH18" s="484">
        <f>$T$42</f>
        <v>0</v>
      </c>
      <c r="CI18" s="484">
        <f>$T$43</f>
        <v>0</v>
      </c>
      <c r="CJ18" s="484">
        <f>$T$44</f>
        <v>0</v>
      </c>
      <c r="CK18" s="484">
        <f>$T$45</f>
        <v>0</v>
      </c>
      <c r="CL18" s="484">
        <f>$T$46</f>
        <v>0</v>
      </c>
      <c r="CM18" s="484">
        <f>$T$47</f>
        <v>0</v>
      </c>
      <c r="CN18" s="1183"/>
      <c r="CO18" s="1183"/>
      <c r="CP18" s="1183"/>
      <c r="CQ18" s="1183"/>
      <c r="CR18" s="1183"/>
      <c r="CS18" s="1183"/>
      <c r="CT18" s="1183"/>
      <c r="CU18" s="1183"/>
      <c r="CV18" s="1183"/>
      <c r="CW18" s="1183"/>
      <c r="CX18" s="1183"/>
      <c r="CY18" s="1183"/>
      <c r="CZ18" s="1183"/>
      <c r="DA18" s="1183"/>
      <c r="DB18" s="1183"/>
      <c r="DC18" s="1183"/>
      <c r="DD18" s="1183"/>
      <c r="DE18" s="1183"/>
      <c r="DF18" s="1183"/>
      <c r="DG18" s="1183"/>
      <c r="DH18" s="1183"/>
      <c r="DI18" s="1183"/>
      <c r="DJ18" s="1183"/>
      <c r="DK18" s="1183"/>
      <c r="DL18" s="1183"/>
      <c r="DM18" s="1183"/>
      <c r="DN18" s="1183"/>
      <c r="DO18" s="1183"/>
      <c r="DP18" s="1183"/>
      <c r="DQ18" s="1183"/>
    </row>
    <row r="19" spans="1:121" s="12" customFormat="1" ht="12" customHeight="1" x14ac:dyDescent="0.3">
      <c r="A19" s="1476"/>
      <c r="B19" s="1489" t="s">
        <v>359</v>
      </c>
      <c r="C19" s="1489" t="s">
        <v>45</v>
      </c>
      <c r="D19" s="1489" t="s">
        <v>138</v>
      </c>
      <c r="E19" s="1478"/>
      <c r="F19" s="1478"/>
      <c r="G19" s="1478"/>
      <c r="H19" s="1476" t="s">
        <v>360</v>
      </c>
      <c r="I19" s="1490">
        <f>SUM(Input!$D$473:$AB$473)</f>
        <v>0</v>
      </c>
      <c r="J19" s="1490">
        <f>SUM(Input!$D$474:$AB$474)</f>
        <v>0</v>
      </c>
      <c r="K19" s="1490">
        <f>SUM(Input!$D$475:$AB$475)</f>
        <v>0</v>
      </c>
      <c r="L19" s="1490">
        <f>SUM(Input!$D$476:$AB$476)</f>
        <v>0</v>
      </c>
      <c r="M19" s="1490">
        <f>SUM(Input!$D$477:$AB$477)</f>
        <v>0</v>
      </c>
      <c r="N19" s="1490">
        <f>SUM(Input!$D$478:$AB$478)</f>
        <v>0</v>
      </c>
      <c r="O19" s="1490">
        <f>SUM(Input!$D$479:$AB$479)</f>
        <v>0</v>
      </c>
      <c r="P19" s="1490">
        <f>SUM(Input!$D$480:$AB$480)</f>
        <v>0</v>
      </c>
      <c r="Q19" s="1490">
        <f>SUM(Input!$D$481:$AB$481)</f>
        <v>0</v>
      </c>
      <c r="R19" s="1490">
        <f>SUM(Input!$D$482:$AB$482)</f>
        <v>0</v>
      </c>
      <c r="S19" s="1490">
        <f>SUM(Input!$D$483:$AB$483)</f>
        <v>0</v>
      </c>
      <c r="T19" s="1490">
        <f>SUM(Input!$D$484:$AB$484)</f>
        <v>0</v>
      </c>
      <c r="U19" s="1491">
        <f>SUM(Input!$D$485:$AB$485)</f>
        <v>0</v>
      </c>
      <c r="V19" s="1491">
        <f>SUM(Input!$D$486:$AB$486)</f>
        <v>0</v>
      </c>
      <c r="W19" s="1491">
        <f>SUM(Input!$D$487:$AB$487)</f>
        <v>0</v>
      </c>
      <c r="X19" s="1491">
        <f>SUM(Input!$D$488:$AB$488)</f>
        <v>0</v>
      </c>
      <c r="Y19" s="1491">
        <f>SUM(Input!$D$489:$AB$489)</f>
        <v>0</v>
      </c>
      <c r="Z19" s="1491">
        <f>SUM(Input!$D$490:$AB$490)</f>
        <v>0</v>
      </c>
      <c r="AA19" s="1491">
        <f>SUM(Input!$D$491:$AB$491)</f>
        <v>0</v>
      </c>
      <c r="AB19" s="1491">
        <f>SUM(Input!$D$492:$AB$492)</f>
        <v>0</v>
      </c>
      <c r="AC19" s="1491">
        <f>SUM(Input!$D$493:$AB$493)</f>
        <v>0</v>
      </c>
      <c r="AD19" s="1491">
        <f>SUM(Input!$D$494:$AB$494)</f>
        <v>0</v>
      </c>
      <c r="AE19" s="1491">
        <f>SUM(Input!$D$495:$AB$495)</f>
        <v>0</v>
      </c>
      <c r="AF19" s="1491">
        <f>SUM(Input!$D$496:$AB$496)</f>
        <v>0</v>
      </c>
      <c r="AG19" s="1491">
        <f>SUM(Input!$D$497:$AB$497)</f>
        <v>0</v>
      </c>
      <c r="AH19" s="1492">
        <f>SUM(Input!$D$498:$AB$498)</f>
        <v>0</v>
      </c>
      <c r="AI19" s="1492">
        <f>SUM(Input!$D$499:$AB$499)</f>
        <v>0</v>
      </c>
      <c r="AJ19" s="1492">
        <f>SUM(Input!$D$500:$AB$500)</f>
        <v>0</v>
      </c>
      <c r="AK19" s="1493">
        <f>SUM(Input!$D$501:$AB$501)</f>
        <v>0</v>
      </c>
      <c r="AL19" s="1493">
        <f>SUM(Input!$D$502:$AB$502)</f>
        <v>0</v>
      </c>
      <c r="AM19" s="1493">
        <f>SUM(Input!$D$503:$AB$503)</f>
        <v>0</v>
      </c>
      <c r="AN19" s="1493">
        <f>SUM(Input!$D$504:$AB$504)</f>
        <v>0</v>
      </c>
      <c r="AO19" s="1493">
        <f>SUM(Input!$D$505:$AB$505)</f>
        <v>0</v>
      </c>
      <c r="AP19" s="1493">
        <f>SUM(Input!$D$506:$AB$506)</f>
        <v>0</v>
      </c>
      <c r="AQ19" s="1493">
        <f>SUM(Input!$D$507:$AB$507)</f>
        <v>0</v>
      </c>
      <c r="AR19" s="1493">
        <f>SUM(Input!$D$508:$AB$508)</f>
        <v>0</v>
      </c>
      <c r="AS19" s="1493">
        <f>SUM(Input!$D$509:$AB$509)</f>
        <v>0</v>
      </c>
      <c r="AT19" s="1493">
        <f>SUM(Input!$D$510:$AB$510)</f>
        <v>0</v>
      </c>
      <c r="AU19" s="1493">
        <f>SUM(Input!$D$511:$AB$511)</f>
        <v>0</v>
      </c>
      <c r="AV19" s="1493">
        <f>SUM(Input!$D$512:$AB$512)</f>
        <v>0</v>
      </c>
      <c r="AW19" s="1493">
        <f>SUM(Input!$D$513:$AB$513)</f>
        <v>0</v>
      </c>
      <c r="AX19" s="1493">
        <f>SUM(Input!$D$514:$AB$514)</f>
        <v>0</v>
      </c>
      <c r="AY19" s="1493">
        <f>SUM(Input!$D$515:$AB$515)</f>
        <v>0</v>
      </c>
      <c r="AZ19" s="1493">
        <f>SUM(Input!$D$516:$AB$516)</f>
        <v>0</v>
      </c>
      <c r="BA19" s="1493">
        <f>SUM(Input!$D$517:$AB$517)</f>
        <v>0</v>
      </c>
      <c r="BB19" s="1493">
        <f>SUM(Input!$D$518:$AB$518)</f>
        <v>0</v>
      </c>
      <c r="BC19" s="1493">
        <f>SUM(Input!$D$519:$AB$519)</f>
        <v>0</v>
      </c>
      <c r="BD19" s="1493">
        <f>SUM(Input!$D$520:$AB$520)</f>
        <v>0</v>
      </c>
      <c r="BE19" s="1493">
        <f>SUM(Input!$D$521:$AB$521)</f>
        <v>0</v>
      </c>
      <c r="BF19" s="1493">
        <f>SUM(Input!$D$522:$AB$522)</f>
        <v>0</v>
      </c>
      <c r="BG19" s="1493">
        <f>SUM(Input!$D$523:$AB$523)</f>
        <v>0</v>
      </c>
      <c r="BH19" s="1493">
        <f>SUM(Input!$D$524:$AB$524)</f>
        <v>0</v>
      </c>
      <c r="BI19" s="1493">
        <f>SUM(Input!$D$525:$AB$525)</f>
        <v>0</v>
      </c>
      <c r="BJ19" s="1493">
        <f>SUM(Input!$D$526:$AB$526)</f>
        <v>0</v>
      </c>
      <c r="BK19" s="1493">
        <f>SUM(Input!$D$527:$AB$527)</f>
        <v>0</v>
      </c>
      <c r="BL19" s="1493">
        <f>SUM(Input!$D$528:$AB$528)</f>
        <v>0</v>
      </c>
      <c r="BM19" s="1493">
        <f>SUM(Input!$D$529:$AB$529)</f>
        <v>0</v>
      </c>
      <c r="BN19" s="1493">
        <f>SUM(Input!$D$530:$AB$530)</f>
        <v>0</v>
      </c>
      <c r="BO19" s="1493">
        <f>SUM(Input!$D$531:$AB$531)</f>
        <v>0</v>
      </c>
      <c r="BP19" s="1493">
        <f>SUM(Input!$D$532:$AB$532)</f>
        <v>0</v>
      </c>
      <c r="BQ19" s="43"/>
      <c r="BR19" s="43"/>
      <c r="BS19" s="43"/>
      <c r="BT19" s="43"/>
      <c r="BU19" s="43"/>
      <c r="BV19" s="43"/>
      <c r="BW19" s="1436"/>
      <c r="BX19" s="1437"/>
      <c r="BY19" s="1437"/>
      <c r="BZ19" s="1183"/>
      <c r="CA19" s="1183"/>
      <c r="CB19" s="1183"/>
      <c r="CC19" s="1183"/>
      <c r="CD19" s="484"/>
      <c r="CE19" s="484"/>
      <c r="CF19" s="484"/>
      <c r="CG19" s="484"/>
      <c r="CH19" s="484"/>
      <c r="CI19" s="484"/>
      <c r="CJ19" s="484"/>
      <c r="CK19" s="484"/>
      <c r="CL19" s="484"/>
      <c r="CM19" s="484"/>
      <c r="CN19" s="1183"/>
      <c r="CO19" s="1183"/>
      <c r="CP19" s="1183"/>
      <c r="CQ19" s="1183"/>
      <c r="CR19" s="1183"/>
      <c r="CS19" s="1183"/>
      <c r="CT19" s="1183"/>
      <c r="CU19" s="1183"/>
      <c r="CV19" s="1183"/>
      <c r="CW19" s="1183"/>
      <c r="CX19" s="1183"/>
      <c r="CY19" s="1183"/>
      <c r="CZ19" s="1183"/>
      <c r="DA19" s="1183"/>
      <c r="DB19" s="1183"/>
      <c r="DC19" s="1183"/>
      <c r="DD19" s="1183"/>
      <c r="DE19" s="1183"/>
      <c r="DF19" s="1183"/>
      <c r="DG19" s="1183"/>
      <c r="DH19" s="1183"/>
      <c r="DI19" s="1183"/>
      <c r="DJ19" s="1183"/>
      <c r="DK19" s="1183"/>
      <c r="DL19" s="1183"/>
      <c r="DM19" s="1183"/>
      <c r="DN19" s="1183"/>
      <c r="DO19" s="1183"/>
      <c r="DP19" s="1183"/>
      <c r="DQ19" s="1183"/>
    </row>
    <row r="20" spans="1:121" s="12" customFormat="1" ht="12" customHeight="1" x14ac:dyDescent="0.3">
      <c r="A20" s="1476"/>
      <c r="B20" s="1489"/>
      <c r="C20" s="1489"/>
      <c r="D20" s="1489"/>
      <c r="E20" s="1478"/>
      <c r="F20" s="1478"/>
      <c r="G20" s="1478"/>
      <c r="H20" s="1476" t="s">
        <v>361</v>
      </c>
      <c r="I20" s="1494">
        <f>Input!$G$1343</f>
        <v>0</v>
      </c>
      <c r="J20" s="1494">
        <f>Input!$G$1344</f>
        <v>0</v>
      </c>
      <c r="K20" s="1495">
        <f>Input!$G$1345</f>
        <v>0</v>
      </c>
      <c r="L20" s="1495">
        <f>Input!$G$1346</f>
        <v>0</v>
      </c>
      <c r="M20" s="1495">
        <f>Input!$G$1347</f>
        <v>0</v>
      </c>
      <c r="N20" s="1495">
        <f>Input!$G$1348</f>
        <v>0</v>
      </c>
      <c r="O20" s="1495">
        <f>Input!$G$1349</f>
        <v>0</v>
      </c>
      <c r="P20" s="1495">
        <f>Input!$G$1350</f>
        <v>0</v>
      </c>
      <c r="Q20" s="1495">
        <f>Input!$G$1351</f>
        <v>0</v>
      </c>
      <c r="R20" s="1494">
        <f>Input!$G$1352</f>
        <v>0</v>
      </c>
      <c r="S20" s="1494">
        <f>Input!$G$1353</f>
        <v>0</v>
      </c>
      <c r="T20" s="1494">
        <f>Input!$G$1354</f>
        <v>0</v>
      </c>
      <c r="U20" s="1496">
        <f>Input!$G$1355</f>
        <v>0</v>
      </c>
      <c r="V20" s="1496">
        <f>Input!$G$1356</f>
        <v>0</v>
      </c>
      <c r="W20" s="1496">
        <f>Input!$G$1357</f>
        <v>0</v>
      </c>
      <c r="X20" s="1496">
        <f>Input!$G$1358</f>
        <v>0</v>
      </c>
      <c r="Y20" s="1496">
        <f>Input!$G$1359</f>
        <v>0</v>
      </c>
      <c r="Z20" s="1496">
        <f>Input!$G$1360</f>
        <v>0</v>
      </c>
      <c r="AA20" s="1496">
        <f>Input!$G$1361</f>
        <v>0</v>
      </c>
      <c r="AB20" s="1496">
        <f>Input!$G$1362</f>
        <v>0</v>
      </c>
      <c r="AC20" s="1496">
        <f>Input!$G$1363</f>
        <v>0</v>
      </c>
      <c r="AD20" s="1496">
        <f>Input!$G$1364</f>
        <v>0</v>
      </c>
      <c r="AE20" s="1496">
        <f>Input!$G$1365</f>
        <v>0</v>
      </c>
      <c r="AF20" s="1497">
        <f>Input!$G$1366</f>
        <v>0</v>
      </c>
      <c r="AG20" s="1497">
        <f>Input!$G$1367</f>
        <v>0</v>
      </c>
      <c r="AH20" s="1497">
        <f>Input!$G$1368</f>
        <v>0</v>
      </c>
      <c r="AI20" s="1497">
        <f>Input!$G$1369</f>
        <v>0</v>
      </c>
      <c r="AJ20" s="1497">
        <f>Input!$G$1370</f>
        <v>0</v>
      </c>
      <c r="AK20" s="1497">
        <f>Input!$G$1371</f>
        <v>0</v>
      </c>
      <c r="AL20" s="1497">
        <f>Input!$G$1372</f>
        <v>0</v>
      </c>
      <c r="AM20" s="1497">
        <f>Input!$G$1373</f>
        <v>0</v>
      </c>
      <c r="AN20" s="1497">
        <f>Input!$G$1374</f>
        <v>0</v>
      </c>
      <c r="AO20" s="1497">
        <f>Input!$G$1375</f>
        <v>0</v>
      </c>
      <c r="AP20" s="1497">
        <f>Input!$G$1376</f>
        <v>0</v>
      </c>
      <c r="AQ20" s="1497">
        <f>Input!$G$1377</f>
        <v>0</v>
      </c>
      <c r="AR20" s="1497">
        <f>Input!$G$1378</f>
        <v>0</v>
      </c>
      <c r="AS20" s="1497">
        <f>Input!$G$1379</f>
        <v>0</v>
      </c>
      <c r="AT20" s="1497">
        <f>Input!$G$1380</f>
        <v>0</v>
      </c>
      <c r="AU20" s="1497">
        <f>Input!$G$1381</f>
        <v>0</v>
      </c>
      <c r="AV20" s="1497">
        <f>Input!$G$1382</f>
        <v>0</v>
      </c>
      <c r="AW20" s="1497">
        <f>Input!$G$1383</f>
        <v>0</v>
      </c>
      <c r="AX20" s="1497">
        <f>Input!$G$1384</f>
        <v>0</v>
      </c>
      <c r="AY20" s="1497">
        <f>Input!$G$1385</f>
        <v>0</v>
      </c>
      <c r="AZ20" s="1497">
        <f>Input!$G$1386</f>
        <v>0</v>
      </c>
      <c r="BA20" s="1497">
        <f>Input!$G$1387</f>
        <v>0</v>
      </c>
      <c r="BB20" s="1497">
        <f>Input!$G$1388</f>
        <v>0</v>
      </c>
      <c r="BC20" s="1497">
        <f>Input!$G$1389</f>
        <v>0</v>
      </c>
      <c r="BD20" s="1497">
        <f>Input!$G$1390</f>
        <v>0</v>
      </c>
      <c r="BE20" s="1497">
        <f>Input!$G$1391</f>
        <v>0</v>
      </c>
      <c r="BF20" s="1497">
        <f>Input!$G$1392</f>
        <v>0</v>
      </c>
      <c r="BG20" s="1497">
        <f>Input!$G$1393</f>
        <v>0</v>
      </c>
      <c r="BH20" s="1497">
        <f>Input!$G$1394</f>
        <v>0</v>
      </c>
      <c r="BI20" s="1497">
        <f>Input!$G$1395</f>
        <v>0</v>
      </c>
      <c r="BJ20" s="1497">
        <f>Input!$G$1396</f>
        <v>0</v>
      </c>
      <c r="BK20" s="1497">
        <f>Input!$G$1397</f>
        <v>0</v>
      </c>
      <c r="BL20" s="1497">
        <f>Input!$G$1398</f>
        <v>0</v>
      </c>
      <c r="BM20" s="1497">
        <f>Input!$G$1399</f>
        <v>0</v>
      </c>
      <c r="BN20" s="1497">
        <f>Input!$G$1400</f>
        <v>0</v>
      </c>
      <c r="BO20" s="1497">
        <f>Input!$G$1401</f>
        <v>0</v>
      </c>
      <c r="BP20" s="1497">
        <f>Input!$G$1402</f>
        <v>0</v>
      </c>
      <c r="BQ20" s="43"/>
      <c r="BR20" s="43"/>
      <c r="BS20" s="43"/>
      <c r="BT20" s="43"/>
      <c r="BU20" s="43"/>
      <c r="BV20" s="43"/>
      <c r="BW20" s="1436"/>
      <c r="BX20" s="1437"/>
      <c r="BY20" s="1437"/>
      <c r="BZ20" s="1183"/>
      <c r="CA20" s="1183"/>
      <c r="CB20" s="1183"/>
      <c r="CC20" s="1183"/>
      <c r="CD20" s="484"/>
      <c r="CE20" s="484"/>
      <c r="CF20" s="484"/>
      <c r="CG20" s="484"/>
      <c r="CH20" s="484"/>
      <c r="CI20" s="484"/>
      <c r="CJ20" s="484"/>
      <c r="CK20" s="484"/>
      <c r="CL20" s="484"/>
      <c r="CM20" s="484"/>
      <c r="CN20" s="1183"/>
      <c r="CO20" s="1183"/>
      <c r="CP20" s="1183"/>
      <c r="CQ20" s="1183"/>
      <c r="CR20" s="1183"/>
      <c r="CS20" s="1183"/>
      <c r="CT20" s="1183"/>
      <c r="CU20" s="1183"/>
      <c r="CV20" s="1183"/>
      <c r="CW20" s="1183"/>
      <c r="CX20" s="1183"/>
      <c r="CY20" s="1183"/>
      <c r="CZ20" s="1183"/>
      <c r="DA20" s="1183"/>
      <c r="DB20" s="1183"/>
      <c r="DC20" s="1183"/>
      <c r="DD20" s="1183"/>
      <c r="DE20" s="1183"/>
      <c r="DF20" s="1183"/>
      <c r="DG20" s="1183"/>
      <c r="DH20" s="1183"/>
      <c r="DI20" s="1183"/>
      <c r="DJ20" s="1183"/>
      <c r="DK20" s="1183"/>
      <c r="DL20" s="1183"/>
      <c r="DM20" s="1183"/>
      <c r="DN20" s="1183"/>
      <c r="DO20" s="1183"/>
      <c r="DP20" s="1183"/>
      <c r="DQ20" s="1183"/>
    </row>
    <row r="21" spans="1:121" s="12" customFormat="1" ht="12" customHeight="1" x14ac:dyDescent="0.3">
      <c r="A21" s="1476"/>
      <c r="B21" s="1476"/>
      <c r="C21" s="1476"/>
      <c r="D21" s="1476"/>
      <c r="E21" s="1478"/>
      <c r="F21" s="1478"/>
      <c r="G21" s="1478"/>
      <c r="H21" s="1476" t="s">
        <v>362</v>
      </c>
      <c r="I21" s="1494">
        <f>Input!$R$1343</f>
        <v>0</v>
      </c>
      <c r="J21" s="1494">
        <f>Input!$R$1344</f>
        <v>0</v>
      </c>
      <c r="K21" s="1495">
        <f>Input!$R$1345</f>
        <v>0</v>
      </c>
      <c r="L21" s="1495">
        <f>Input!$R$1346</f>
        <v>0</v>
      </c>
      <c r="M21" s="1495">
        <f>Input!$R$1347</f>
        <v>0</v>
      </c>
      <c r="N21" s="1495">
        <f>Input!$R$1348</f>
        <v>0</v>
      </c>
      <c r="O21" s="1495">
        <f>Input!$R$1349</f>
        <v>0</v>
      </c>
      <c r="P21" s="1495">
        <f>Input!$R$1350</f>
        <v>0</v>
      </c>
      <c r="Q21" s="1495">
        <f>Input!$R$1351</f>
        <v>0</v>
      </c>
      <c r="R21" s="1494">
        <f>Input!$R$1352</f>
        <v>0</v>
      </c>
      <c r="S21" s="1494">
        <f>Input!$R$1353</f>
        <v>0</v>
      </c>
      <c r="T21" s="1494">
        <f>Input!$R$1354</f>
        <v>0</v>
      </c>
      <c r="U21" s="1496">
        <f>Input!$R$1355</f>
        <v>0</v>
      </c>
      <c r="V21" s="1496">
        <f>Input!$R$1356</f>
        <v>0</v>
      </c>
      <c r="W21" s="1496">
        <f>Input!$R$1357</f>
        <v>0</v>
      </c>
      <c r="X21" s="1496">
        <f>Input!$R$1358</f>
        <v>0</v>
      </c>
      <c r="Y21" s="1496">
        <f>Input!$R$1359</f>
        <v>0</v>
      </c>
      <c r="Z21" s="1496">
        <f>Input!$R$1360</f>
        <v>0</v>
      </c>
      <c r="AA21" s="1496">
        <f>Input!$R$1361</f>
        <v>0</v>
      </c>
      <c r="AB21" s="1496">
        <f>Input!$R$1362</f>
        <v>0</v>
      </c>
      <c r="AC21" s="1496">
        <f>Input!$R$1363</f>
        <v>0</v>
      </c>
      <c r="AD21" s="1496">
        <f>Input!$R$1364</f>
        <v>0</v>
      </c>
      <c r="AE21" s="1496">
        <f>Input!$R$1365</f>
        <v>0</v>
      </c>
      <c r="AF21" s="1497">
        <f>Input!$R$1366</f>
        <v>0</v>
      </c>
      <c r="AG21" s="1497">
        <f>Input!$R$1367</f>
        <v>0</v>
      </c>
      <c r="AH21" s="1497">
        <f>Input!$R$1368</f>
        <v>0</v>
      </c>
      <c r="AI21" s="1497">
        <f>Input!$R$1369</f>
        <v>0</v>
      </c>
      <c r="AJ21" s="1497">
        <f>Input!$R$1370</f>
        <v>0</v>
      </c>
      <c r="AK21" s="1497">
        <f>Input!$R$1371</f>
        <v>0</v>
      </c>
      <c r="AL21" s="1497">
        <f>Input!$R$1372</f>
        <v>0</v>
      </c>
      <c r="AM21" s="1497">
        <f>Input!$R$1373</f>
        <v>0</v>
      </c>
      <c r="AN21" s="1497">
        <f>Input!$R$1374</f>
        <v>0</v>
      </c>
      <c r="AO21" s="1497">
        <f>Input!$R$1375</f>
        <v>0</v>
      </c>
      <c r="AP21" s="1497">
        <f>Input!$R$1376</f>
        <v>0</v>
      </c>
      <c r="AQ21" s="1497">
        <f>Input!$R$1377</f>
        <v>0</v>
      </c>
      <c r="AR21" s="1497">
        <f>Input!$R$1378</f>
        <v>0</v>
      </c>
      <c r="AS21" s="1497">
        <f>Input!$R$1379</f>
        <v>0</v>
      </c>
      <c r="AT21" s="1497">
        <f>Input!$R$1380</f>
        <v>0</v>
      </c>
      <c r="AU21" s="1497">
        <f>Input!$R$1381</f>
        <v>0</v>
      </c>
      <c r="AV21" s="1497">
        <f>Input!$R$1382</f>
        <v>0</v>
      </c>
      <c r="AW21" s="1497">
        <f>Input!$R$1383</f>
        <v>0</v>
      </c>
      <c r="AX21" s="1497">
        <f>Input!$R$1384</f>
        <v>0</v>
      </c>
      <c r="AY21" s="1497">
        <f>Input!$R$1385</f>
        <v>0</v>
      </c>
      <c r="AZ21" s="1497">
        <f>Input!$R$1386</f>
        <v>0</v>
      </c>
      <c r="BA21" s="1497">
        <f>Input!$R$1387</f>
        <v>0</v>
      </c>
      <c r="BB21" s="1497">
        <f>Input!$R$1388</f>
        <v>0</v>
      </c>
      <c r="BC21" s="1497">
        <f>Input!$R$1389</f>
        <v>0</v>
      </c>
      <c r="BD21" s="1497">
        <f>Input!$R$1390</f>
        <v>0</v>
      </c>
      <c r="BE21" s="1497">
        <f>Input!$R$1391</f>
        <v>0</v>
      </c>
      <c r="BF21" s="1497">
        <f>Input!$R$1392</f>
        <v>0</v>
      </c>
      <c r="BG21" s="1497">
        <f>Input!$R$1393</f>
        <v>0</v>
      </c>
      <c r="BH21" s="1497">
        <f>Input!$R$1394</f>
        <v>0</v>
      </c>
      <c r="BI21" s="1497">
        <f>Input!$R$1395</f>
        <v>0</v>
      </c>
      <c r="BJ21" s="1497">
        <f>Input!$R$1396</f>
        <v>0</v>
      </c>
      <c r="BK21" s="1497">
        <f>Input!$R$1397</f>
        <v>0</v>
      </c>
      <c r="BL21" s="1497">
        <f>Input!$R$1398</f>
        <v>0</v>
      </c>
      <c r="BM21" s="1497">
        <f>Input!$R$1399</f>
        <v>0</v>
      </c>
      <c r="BN21" s="1497">
        <f>Input!$R$1400</f>
        <v>0</v>
      </c>
      <c r="BO21" s="1497">
        <f>Input!$R$1401</f>
        <v>0</v>
      </c>
      <c r="BP21" s="1497">
        <f>Input!$R$1402</f>
        <v>0</v>
      </c>
      <c r="BQ21" s="43"/>
      <c r="BR21" s="43"/>
      <c r="BS21" s="43"/>
      <c r="BT21" s="43"/>
      <c r="BU21" s="43"/>
      <c r="BV21" s="43"/>
      <c r="BW21" s="1436"/>
      <c r="BX21" s="1437"/>
      <c r="BY21" s="1437"/>
      <c r="BZ21" s="1183"/>
      <c r="CA21" s="1183"/>
      <c r="CB21" s="1183"/>
      <c r="CC21" s="1183"/>
      <c r="CD21" s="484"/>
      <c r="CE21" s="484"/>
      <c r="CF21" s="484"/>
      <c r="CG21" s="484"/>
      <c r="CH21" s="484"/>
      <c r="CI21" s="484"/>
      <c r="CJ21" s="484"/>
      <c r="CK21" s="484"/>
      <c r="CL21" s="484"/>
      <c r="CM21" s="484"/>
      <c r="CN21" s="1183"/>
      <c r="CO21" s="1183"/>
      <c r="CP21" s="1183"/>
      <c r="CQ21" s="1183"/>
      <c r="CR21" s="1183"/>
      <c r="CS21" s="1183"/>
      <c r="CT21" s="1183"/>
      <c r="CU21" s="1183"/>
      <c r="CV21" s="1183"/>
      <c r="CW21" s="1183"/>
      <c r="CX21" s="1183"/>
      <c r="CY21" s="1183"/>
      <c r="CZ21" s="1183"/>
      <c r="DA21" s="1183"/>
      <c r="DB21" s="1183"/>
      <c r="DC21" s="1183"/>
      <c r="DD21" s="1183"/>
      <c r="DE21" s="1183"/>
      <c r="DF21" s="1183"/>
      <c r="DG21" s="1183"/>
      <c r="DH21" s="1183"/>
      <c r="DI21" s="1183"/>
      <c r="DJ21" s="1183"/>
      <c r="DK21" s="1183"/>
      <c r="DL21" s="1183"/>
      <c r="DM21" s="1183"/>
      <c r="DN21" s="1183"/>
      <c r="DO21" s="1183"/>
      <c r="DP21" s="1183"/>
      <c r="DQ21" s="1183"/>
    </row>
    <row r="22" spans="1:121" s="12" customFormat="1" ht="12" customHeight="1" x14ac:dyDescent="0.35">
      <c r="A22" s="1476"/>
      <c r="B22" s="1489">
        <f>HLOOKUP(B23,Infrastructure!$H$14:$BO$15,2,FALSE)</f>
        <v>1</v>
      </c>
      <c r="C22" s="1489" t="e">
        <f>HLOOKUP(C23,Infrastructure!$H$14:$BO$15,2,FALSE)</f>
        <v>#N/A</v>
      </c>
      <c r="D22" s="1489">
        <f>HLOOKUP(D23,Infrastructure!$H$14:$BO$15,2,FALSE)</f>
        <v>60</v>
      </c>
      <c r="E22" s="1478"/>
      <c r="F22" s="1478"/>
      <c r="G22" s="1478"/>
      <c r="H22" s="1498" t="s">
        <v>363</v>
      </c>
      <c r="I22" s="1499">
        <f t="shared" ref="I22:AE22" si="9">SUM(I20:I21)</f>
        <v>0</v>
      </c>
      <c r="J22" s="1499">
        <f t="shared" si="9"/>
        <v>0</v>
      </c>
      <c r="K22" s="1499">
        <f t="shared" si="9"/>
        <v>0</v>
      </c>
      <c r="L22" s="1499">
        <f t="shared" si="9"/>
        <v>0</v>
      </c>
      <c r="M22" s="1499">
        <f t="shared" si="9"/>
        <v>0</v>
      </c>
      <c r="N22" s="1499">
        <f t="shared" si="9"/>
        <v>0</v>
      </c>
      <c r="O22" s="1499">
        <f t="shared" si="9"/>
        <v>0</v>
      </c>
      <c r="P22" s="1499">
        <f t="shared" si="9"/>
        <v>0</v>
      </c>
      <c r="Q22" s="1499">
        <f t="shared" si="9"/>
        <v>0</v>
      </c>
      <c r="R22" s="1499">
        <f t="shared" si="9"/>
        <v>0</v>
      </c>
      <c r="S22" s="1499">
        <f t="shared" si="9"/>
        <v>0</v>
      </c>
      <c r="T22" s="1499">
        <f t="shared" si="9"/>
        <v>0</v>
      </c>
      <c r="U22" s="1499">
        <f t="shared" si="9"/>
        <v>0</v>
      </c>
      <c r="V22" s="1499">
        <f t="shared" si="9"/>
        <v>0</v>
      </c>
      <c r="W22" s="1499">
        <f t="shared" si="9"/>
        <v>0</v>
      </c>
      <c r="X22" s="1499">
        <f t="shared" si="9"/>
        <v>0</v>
      </c>
      <c r="Y22" s="1499">
        <f t="shared" si="9"/>
        <v>0</v>
      </c>
      <c r="Z22" s="1499">
        <f t="shared" si="9"/>
        <v>0</v>
      </c>
      <c r="AA22" s="1499">
        <f t="shared" si="9"/>
        <v>0</v>
      </c>
      <c r="AB22" s="1499">
        <f t="shared" si="9"/>
        <v>0</v>
      </c>
      <c r="AC22" s="1499">
        <f t="shared" si="9"/>
        <v>0</v>
      </c>
      <c r="AD22" s="1499">
        <f t="shared" si="9"/>
        <v>0</v>
      </c>
      <c r="AE22" s="1499">
        <f t="shared" si="9"/>
        <v>0</v>
      </c>
      <c r="AF22" s="1500">
        <f t="shared" ref="AF22:AN22" si="10">SUM(AF20:AF21)</f>
        <v>0</v>
      </c>
      <c r="AG22" s="1500">
        <f t="shared" si="10"/>
        <v>0</v>
      </c>
      <c r="AH22" s="1500">
        <f t="shared" si="10"/>
        <v>0</v>
      </c>
      <c r="AI22" s="1500">
        <f t="shared" si="10"/>
        <v>0</v>
      </c>
      <c r="AJ22" s="1500">
        <f t="shared" si="10"/>
        <v>0</v>
      </c>
      <c r="AK22" s="1500">
        <f t="shared" si="10"/>
        <v>0</v>
      </c>
      <c r="AL22" s="1500">
        <f t="shared" si="10"/>
        <v>0</v>
      </c>
      <c r="AM22" s="1500">
        <f t="shared" si="10"/>
        <v>0</v>
      </c>
      <c r="AN22" s="1500">
        <f t="shared" si="10"/>
        <v>0</v>
      </c>
      <c r="AO22" s="1500">
        <f t="shared" ref="AO22:BP22" si="11">SUM(AO20:AO21)</f>
        <v>0</v>
      </c>
      <c r="AP22" s="1500">
        <f t="shared" si="11"/>
        <v>0</v>
      </c>
      <c r="AQ22" s="1500">
        <f t="shared" si="11"/>
        <v>0</v>
      </c>
      <c r="AR22" s="1500">
        <f t="shared" si="11"/>
        <v>0</v>
      </c>
      <c r="AS22" s="1500">
        <f t="shared" si="11"/>
        <v>0</v>
      </c>
      <c r="AT22" s="1500">
        <f t="shared" si="11"/>
        <v>0</v>
      </c>
      <c r="AU22" s="1500">
        <f t="shared" si="11"/>
        <v>0</v>
      </c>
      <c r="AV22" s="1500">
        <f t="shared" si="11"/>
        <v>0</v>
      </c>
      <c r="AW22" s="1500">
        <f t="shared" si="11"/>
        <v>0</v>
      </c>
      <c r="AX22" s="1500">
        <f t="shared" si="11"/>
        <v>0</v>
      </c>
      <c r="AY22" s="1500">
        <f t="shared" si="11"/>
        <v>0</v>
      </c>
      <c r="AZ22" s="1500">
        <f t="shared" si="11"/>
        <v>0</v>
      </c>
      <c r="BA22" s="1500">
        <f t="shared" si="11"/>
        <v>0</v>
      </c>
      <c r="BB22" s="1500">
        <f t="shared" si="11"/>
        <v>0</v>
      </c>
      <c r="BC22" s="1500">
        <f t="shared" si="11"/>
        <v>0</v>
      </c>
      <c r="BD22" s="1500">
        <f t="shared" si="11"/>
        <v>0</v>
      </c>
      <c r="BE22" s="1500">
        <f t="shared" si="11"/>
        <v>0</v>
      </c>
      <c r="BF22" s="1500">
        <f t="shared" si="11"/>
        <v>0</v>
      </c>
      <c r="BG22" s="1500">
        <f t="shared" si="11"/>
        <v>0</v>
      </c>
      <c r="BH22" s="1500">
        <f t="shared" si="11"/>
        <v>0</v>
      </c>
      <c r="BI22" s="1500">
        <f t="shared" si="11"/>
        <v>0</v>
      </c>
      <c r="BJ22" s="1500">
        <f t="shared" si="11"/>
        <v>0</v>
      </c>
      <c r="BK22" s="1500">
        <f t="shared" si="11"/>
        <v>0</v>
      </c>
      <c r="BL22" s="1500">
        <f t="shared" si="11"/>
        <v>0</v>
      </c>
      <c r="BM22" s="1500">
        <f t="shared" si="11"/>
        <v>0</v>
      </c>
      <c r="BN22" s="1500">
        <f t="shared" si="11"/>
        <v>0</v>
      </c>
      <c r="BO22" s="1500">
        <f t="shared" si="11"/>
        <v>0</v>
      </c>
      <c r="BP22" s="1500">
        <f t="shared" si="11"/>
        <v>0</v>
      </c>
      <c r="BQ22" s="43"/>
      <c r="BR22" s="43"/>
      <c r="BS22" s="43"/>
      <c r="BT22" s="43"/>
      <c r="BU22" s="43"/>
      <c r="BV22" s="43"/>
      <c r="BW22" s="1436"/>
      <c r="BX22" s="1437"/>
      <c r="BY22" s="1437"/>
      <c r="BZ22" s="1183"/>
      <c r="CA22" s="1183"/>
      <c r="CB22" s="1183"/>
      <c r="CC22" s="1183"/>
      <c r="CD22" s="484"/>
      <c r="CE22" s="484"/>
      <c r="CF22" s="484"/>
      <c r="CG22" s="484"/>
      <c r="CH22" s="484"/>
      <c r="CI22" s="484"/>
      <c r="CJ22" s="484"/>
      <c r="CK22" s="484"/>
      <c r="CL22" s="484"/>
      <c r="CM22" s="484"/>
      <c r="CN22" s="1183"/>
      <c r="CO22" s="1183"/>
      <c r="CP22" s="1183"/>
      <c r="CQ22" s="1183"/>
      <c r="CR22" s="1183"/>
      <c r="CS22" s="1183"/>
      <c r="CT22" s="1183"/>
      <c r="CU22" s="1183"/>
      <c r="CV22" s="1183"/>
      <c r="CW22" s="1183"/>
      <c r="CX22" s="1183"/>
      <c r="CY22" s="1183"/>
      <c r="CZ22" s="1183"/>
      <c r="DA22" s="1183"/>
      <c r="DB22" s="1183"/>
      <c r="DC22" s="1183"/>
      <c r="DD22" s="1183"/>
      <c r="DE22" s="1183"/>
      <c r="DF22" s="1183"/>
      <c r="DG22" s="1183"/>
      <c r="DH22" s="1183"/>
      <c r="DI22" s="1183"/>
      <c r="DJ22" s="1183"/>
      <c r="DK22" s="1183"/>
      <c r="DL22" s="1183"/>
      <c r="DM22" s="1183"/>
      <c r="DN22" s="1183"/>
      <c r="DO22" s="1183"/>
      <c r="DP22" s="1183"/>
      <c r="DQ22" s="1183"/>
    </row>
    <row r="23" spans="1:121" s="12" customFormat="1" ht="12" customHeight="1" x14ac:dyDescent="0.3">
      <c r="A23" s="1476"/>
      <c r="B23" s="1481">
        <f>Infrastructure!AK45</f>
        <v>0</v>
      </c>
      <c r="C23" s="1501" t="str">
        <f>IF(J96=0,"None",J96)</f>
        <v>None</v>
      </c>
      <c r="D23" s="1481">
        <f>IF(Years="Five",Infrastructure!BO14,Infrastructure!AQ14)</f>
        <v>1827</v>
      </c>
      <c r="E23" s="1478"/>
      <c r="F23" s="1478"/>
      <c r="G23" s="1478"/>
      <c r="H23" s="1476" t="s">
        <v>364</v>
      </c>
      <c r="I23" s="1502">
        <f>Input!$L$1343</f>
        <v>0</v>
      </c>
      <c r="J23" s="1502">
        <f>Input!$L$1344</f>
        <v>0</v>
      </c>
      <c r="K23" s="1503">
        <f>Input!$L$1345</f>
        <v>0</v>
      </c>
      <c r="L23" s="1503">
        <f>Input!$L$1346</f>
        <v>0</v>
      </c>
      <c r="M23" s="1503">
        <f>Input!$L$1347</f>
        <v>0</v>
      </c>
      <c r="N23" s="1503">
        <f>Input!$L$1348</f>
        <v>0</v>
      </c>
      <c r="O23" s="1503">
        <f>Input!$L$1349</f>
        <v>0</v>
      </c>
      <c r="P23" s="1503">
        <f>Input!$L$1350</f>
        <v>0</v>
      </c>
      <c r="Q23" s="1503">
        <f>Input!$L$1351</f>
        <v>0</v>
      </c>
      <c r="R23" s="1502">
        <f>Input!$L$1352</f>
        <v>0</v>
      </c>
      <c r="S23" s="1502">
        <f>Input!$L$1353</f>
        <v>0</v>
      </c>
      <c r="T23" s="1502">
        <f>Input!$L$1354</f>
        <v>0</v>
      </c>
      <c r="U23" s="1504">
        <f>Input!$L$1355</f>
        <v>0</v>
      </c>
      <c r="V23" s="1504">
        <f>Input!$L$1356</f>
        <v>0</v>
      </c>
      <c r="W23" s="1504">
        <f>Input!$L$1357</f>
        <v>0</v>
      </c>
      <c r="X23" s="1504">
        <f>Input!$L$1358</f>
        <v>0</v>
      </c>
      <c r="Y23" s="1504">
        <f>Input!$L$1359</f>
        <v>0</v>
      </c>
      <c r="Z23" s="1504">
        <f>Input!$L$1360</f>
        <v>0</v>
      </c>
      <c r="AA23" s="1504">
        <f>Input!$L$1361</f>
        <v>0</v>
      </c>
      <c r="AB23" s="1504">
        <f>Input!$L$1362</f>
        <v>0</v>
      </c>
      <c r="AC23" s="1504">
        <f>Input!$L$1363</f>
        <v>0</v>
      </c>
      <c r="AD23" s="1504">
        <f>Input!$L$1364</f>
        <v>0</v>
      </c>
      <c r="AE23" s="1504">
        <f>Input!$L$1365</f>
        <v>0</v>
      </c>
      <c r="AF23" s="1505">
        <f>Input!$L$1366</f>
        <v>0</v>
      </c>
      <c r="AG23" s="1505">
        <f>Input!$L$1367</f>
        <v>0</v>
      </c>
      <c r="AH23" s="1505">
        <f>Input!$L$1368</f>
        <v>0</v>
      </c>
      <c r="AI23" s="1505">
        <f>Input!$L$1369</f>
        <v>0</v>
      </c>
      <c r="AJ23" s="1505">
        <f>Input!$L$1370</f>
        <v>0</v>
      </c>
      <c r="AK23" s="1505">
        <f>Input!$L$1371</f>
        <v>0</v>
      </c>
      <c r="AL23" s="1505">
        <f>Input!$L$1372</f>
        <v>0</v>
      </c>
      <c r="AM23" s="1505">
        <f>Input!$L$1373</f>
        <v>0</v>
      </c>
      <c r="AN23" s="1505">
        <f>Input!$L$1374</f>
        <v>0</v>
      </c>
      <c r="AO23" s="1505">
        <f>Input!$L$1375</f>
        <v>0</v>
      </c>
      <c r="AP23" s="1505">
        <f>Input!$L$1376</f>
        <v>0</v>
      </c>
      <c r="AQ23" s="1505">
        <f>Input!$L$1377</f>
        <v>0</v>
      </c>
      <c r="AR23" s="1505">
        <f>Input!$L$1378</f>
        <v>0</v>
      </c>
      <c r="AS23" s="1505">
        <f>Input!$L$1379</f>
        <v>0</v>
      </c>
      <c r="AT23" s="1505">
        <f>Input!$L$1380</f>
        <v>0</v>
      </c>
      <c r="AU23" s="1505">
        <f>Input!$L$1381</f>
        <v>0</v>
      </c>
      <c r="AV23" s="1505">
        <f>Input!$L$1382</f>
        <v>0</v>
      </c>
      <c r="AW23" s="1505">
        <f>Input!$L$1383</f>
        <v>0</v>
      </c>
      <c r="AX23" s="1505">
        <f>Input!$L$1384</f>
        <v>0</v>
      </c>
      <c r="AY23" s="1505">
        <f>Input!$L$1385</f>
        <v>0</v>
      </c>
      <c r="AZ23" s="1505">
        <f>Input!$L$1386</f>
        <v>0</v>
      </c>
      <c r="BA23" s="1505">
        <f>Input!$L$1387</f>
        <v>0</v>
      </c>
      <c r="BB23" s="1505">
        <f>Input!$L$1388</f>
        <v>0</v>
      </c>
      <c r="BC23" s="1505">
        <f>Input!$L$1389</f>
        <v>0</v>
      </c>
      <c r="BD23" s="1505">
        <f>Input!$L$1390</f>
        <v>0</v>
      </c>
      <c r="BE23" s="1505">
        <f>Input!$L$1391</f>
        <v>0</v>
      </c>
      <c r="BF23" s="1505">
        <f>Input!$L$1392</f>
        <v>0</v>
      </c>
      <c r="BG23" s="1505">
        <f>Input!$L$1393</f>
        <v>0</v>
      </c>
      <c r="BH23" s="1505">
        <f>Input!$L$1394</f>
        <v>0</v>
      </c>
      <c r="BI23" s="1505">
        <f>Input!$L$1395</f>
        <v>0</v>
      </c>
      <c r="BJ23" s="1505">
        <f>Input!$L$1396</f>
        <v>0</v>
      </c>
      <c r="BK23" s="1505">
        <f>Input!$L$1397</f>
        <v>0</v>
      </c>
      <c r="BL23" s="1505">
        <f>Input!$L$1398</f>
        <v>0</v>
      </c>
      <c r="BM23" s="1505">
        <f>Input!$L$1399</f>
        <v>0</v>
      </c>
      <c r="BN23" s="1505">
        <f>Input!$L$1400</f>
        <v>0</v>
      </c>
      <c r="BO23" s="1505">
        <f>Input!$L$1401</f>
        <v>0</v>
      </c>
      <c r="BP23" s="1505">
        <f>Input!$L$1402</f>
        <v>0</v>
      </c>
      <c r="BQ23" s="43"/>
      <c r="BR23" s="43"/>
      <c r="BS23" s="43"/>
      <c r="BT23" s="43"/>
      <c r="BU23" s="43"/>
      <c r="BV23" s="43"/>
      <c r="BW23" s="1436"/>
      <c r="BX23" s="1437"/>
      <c r="BY23" s="1437"/>
      <c r="BZ23" s="1183"/>
      <c r="CA23" s="1183"/>
      <c r="CB23" s="1183"/>
      <c r="CC23" s="1183"/>
      <c r="CD23" s="484"/>
      <c r="CE23" s="484"/>
      <c r="CF23" s="484"/>
      <c r="CG23" s="484"/>
      <c r="CH23" s="484"/>
      <c r="CI23" s="484"/>
      <c r="CJ23" s="484"/>
      <c r="CK23" s="484"/>
      <c r="CL23" s="484"/>
      <c r="CM23" s="484"/>
      <c r="CN23" s="1183"/>
      <c r="CO23" s="1183"/>
      <c r="CP23" s="1183"/>
      <c r="CQ23" s="1183"/>
      <c r="CR23" s="1183"/>
      <c r="CS23" s="1183"/>
      <c r="CT23" s="1183"/>
      <c r="CU23" s="1183"/>
      <c r="CV23" s="1183"/>
      <c r="CW23" s="1183"/>
      <c r="CX23" s="1183"/>
      <c r="CY23" s="1183"/>
      <c r="CZ23" s="1183"/>
      <c r="DA23" s="1183"/>
      <c r="DB23" s="1183"/>
      <c r="DC23" s="1183"/>
      <c r="DD23" s="1183"/>
      <c r="DE23" s="1183"/>
      <c r="DF23" s="1183"/>
      <c r="DG23" s="1183"/>
      <c r="DH23" s="1183"/>
      <c r="DI23" s="1183"/>
      <c r="DJ23" s="1183"/>
      <c r="DK23" s="1183"/>
      <c r="DL23" s="1183"/>
      <c r="DM23" s="1183"/>
      <c r="DN23" s="1183"/>
      <c r="DO23" s="1183"/>
      <c r="DP23" s="1183"/>
      <c r="DQ23" s="1183"/>
    </row>
    <row r="24" spans="1:121" s="12" customFormat="1" ht="12" customHeight="1" x14ac:dyDescent="0.3">
      <c r="A24" s="1489" t="s">
        <v>360</v>
      </c>
      <c r="B24" s="1478"/>
      <c r="C24" s="1478"/>
      <c r="D24" s="1478"/>
      <c r="E24" s="1478"/>
      <c r="F24" s="1478"/>
      <c r="G24" s="1478"/>
      <c r="H24" s="1476" t="s">
        <v>365</v>
      </c>
      <c r="I24" s="1502">
        <f>L192</f>
        <v>0</v>
      </c>
      <c r="J24" s="1502">
        <f t="shared" ref="J24:BP24" si="12">M192</f>
        <v>0</v>
      </c>
      <c r="K24" s="1502">
        <f t="shared" si="12"/>
        <v>0</v>
      </c>
      <c r="L24" s="1502">
        <f t="shared" si="12"/>
        <v>0</v>
      </c>
      <c r="M24" s="1502">
        <f t="shared" si="12"/>
        <v>0</v>
      </c>
      <c r="N24" s="1502">
        <f t="shared" si="12"/>
        <v>0</v>
      </c>
      <c r="O24" s="1502">
        <f t="shared" si="12"/>
        <v>0</v>
      </c>
      <c r="P24" s="1502">
        <f t="shared" si="12"/>
        <v>0</v>
      </c>
      <c r="Q24" s="1502">
        <f t="shared" si="12"/>
        <v>0</v>
      </c>
      <c r="R24" s="1502">
        <f t="shared" si="12"/>
        <v>0</v>
      </c>
      <c r="S24" s="1502">
        <f t="shared" si="12"/>
        <v>0</v>
      </c>
      <c r="T24" s="1502">
        <f t="shared" si="12"/>
        <v>0</v>
      </c>
      <c r="U24" s="1502">
        <f t="shared" si="12"/>
        <v>0</v>
      </c>
      <c r="V24" s="1502">
        <f t="shared" si="12"/>
        <v>0</v>
      </c>
      <c r="W24" s="1502">
        <f t="shared" si="12"/>
        <v>0</v>
      </c>
      <c r="X24" s="1502">
        <f t="shared" si="12"/>
        <v>0</v>
      </c>
      <c r="Y24" s="1502">
        <f t="shared" si="12"/>
        <v>0</v>
      </c>
      <c r="Z24" s="1502">
        <f t="shared" si="12"/>
        <v>0</v>
      </c>
      <c r="AA24" s="1502">
        <f t="shared" si="12"/>
        <v>0</v>
      </c>
      <c r="AB24" s="1502">
        <f t="shared" si="12"/>
        <v>0</v>
      </c>
      <c r="AC24" s="1502">
        <f t="shared" si="12"/>
        <v>0</v>
      </c>
      <c r="AD24" s="1502">
        <f t="shared" si="12"/>
        <v>0</v>
      </c>
      <c r="AE24" s="1502">
        <f t="shared" si="12"/>
        <v>0</v>
      </c>
      <c r="AF24" s="1502">
        <f t="shared" si="12"/>
        <v>0</v>
      </c>
      <c r="AG24" s="1502">
        <f t="shared" si="12"/>
        <v>0</v>
      </c>
      <c r="AH24" s="1502">
        <f t="shared" si="12"/>
        <v>0</v>
      </c>
      <c r="AI24" s="1502">
        <f t="shared" si="12"/>
        <v>0</v>
      </c>
      <c r="AJ24" s="1502">
        <f t="shared" si="12"/>
        <v>0</v>
      </c>
      <c r="AK24" s="1502">
        <f t="shared" si="12"/>
        <v>0</v>
      </c>
      <c r="AL24" s="1502">
        <f t="shared" si="12"/>
        <v>0</v>
      </c>
      <c r="AM24" s="1502">
        <f t="shared" si="12"/>
        <v>0</v>
      </c>
      <c r="AN24" s="1502">
        <f t="shared" si="12"/>
        <v>0</v>
      </c>
      <c r="AO24" s="1502">
        <f t="shared" si="12"/>
        <v>0</v>
      </c>
      <c r="AP24" s="1502">
        <f t="shared" si="12"/>
        <v>0</v>
      </c>
      <c r="AQ24" s="1502">
        <f t="shared" si="12"/>
        <v>0</v>
      </c>
      <c r="AR24" s="1502">
        <f t="shared" si="12"/>
        <v>0</v>
      </c>
      <c r="AS24" s="1502">
        <f t="shared" si="12"/>
        <v>0</v>
      </c>
      <c r="AT24" s="1502">
        <f t="shared" si="12"/>
        <v>0</v>
      </c>
      <c r="AU24" s="1502">
        <f t="shared" si="12"/>
        <v>0</v>
      </c>
      <c r="AV24" s="1502">
        <f t="shared" si="12"/>
        <v>0</v>
      </c>
      <c r="AW24" s="1502">
        <f t="shared" si="12"/>
        <v>0</v>
      </c>
      <c r="AX24" s="1502">
        <f t="shared" si="12"/>
        <v>0</v>
      </c>
      <c r="AY24" s="1502">
        <f t="shared" si="12"/>
        <v>0</v>
      </c>
      <c r="AZ24" s="1502">
        <f t="shared" si="12"/>
        <v>0</v>
      </c>
      <c r="BA24" s="1502">
        <f t="shared" si="12"/>
        <v>0</v>
      </c>
      <c r="BB24" s="1502">
        <f t="shared" si="12"/>
        <v>0</v>
      </c>
      <c r="BC24" s="1502">
        <f t="shared" si="12"/>
        <v>0</v>
      </c>
      <c r="BD24" s="1502">
        <f t="shared" si="12"/>
        <v>0</v>
      </c>
      <c r="BE24" s="1502">
        <f t="shared" si="12"/>
        <v>0</v>
      </c>
      <c r="BF24" s="1502">
        <f t="shared" si="12"/>
        <v>0</v>
      </c>
      <c r="BG24" s="1502">
        <f t="shared" si="12"/>
        <v>0</v>
      </c>
      <c r="BH24" s="1502">
        <f t="shared" si="12"/>
        <v>0</v>
      </c>
      <c r="BI24" s="1502">
        <f t="shared" si="12"/>
        <v>0</v>
      </c>
      <c r="BJ24" s="1502">
        <f t="shared" si="12"/>
        <v>0</v>
      </c>
      <c r="BK24" s="1502">
        <f t="shared" si="12"/>
        <v>0</v>
      </c>
      <c r="BL24" s="1502">
        <f t="shared" si="12"/>
        <v>0</v>
      </c>
      <c r="BM24" s="1502">
        <f t="shared" si="12"/>
        <v>0</v>
      </c>
      <c r="BN24" s="1502">
        <f t="shared" si="12"/>
        <v>0</v>
      </c>
      <c r="BO24" s="1502">
        <f t="shared" si="12"/>
        <v>0</v>
      </c>
      <c r="BP24" s="1502">
        <f t="shared" si="12"/>
        <v>0</v>
      </c>
      <c r="BQ24" s="43"/>
      <c r="BR24" s="43"/>
      <c r="BS24" s="43"/>
      <c r="BT24" s="43"/>
      <c r="BU24" s="43"/>
      <c r="BV24" s="43"/>
      <c r="BW24" s="1436"/>
      <c r="BX24" s="1437"/>
      <c r="BY24" s="1437"/>
      <c r="BZ24" s="1183"/>
      <c r="CA24" s="1183"/>
      <c r="CB24" s="1183"/>
      <c r="CC24" s="1183"/>
      <c r="CD24" s="484"/>
      <c r="CE24" s="484"/>
      <c r="CF24" s="484"/>
      <c r="CG24" s="484"/>
      <c r="CH24" s="484"/>
      <c r="CI24" s="484"/>
      <c r="CJ24" s="484"/>
      <c r="CK24" s="484"/>
      <c r="CL24" s="484"/>
      <c r="CM24" s="484"/>
      <c r="CN24" s="1183"/>
      <c r="CO24" s="1183"/>
      <c r="CP24" s="1183"/>
      <c r="CQ24" s="1183"/>
      <c r="CR24" s="1183"/>
      <c r="CS24" s="1183"/>
      <c r="CT24" s="1183"/>
      <c r="CU24" s="1183"/>
      <c r="CV24" s="1183"/>
      <c r="CW24" s="1183"/>
      <c r="CX24" s="1183"/>
      <c r="CY24" s="1183"/>
      <c r="CZ24" s="1183"/>
      <c r="DA24" s="1183"/>
      <c r="DB24" s="1183"/>
      <c r="DC24" s="1183"/>
      <c r="DD24" s="1183"/>
      <c r="DE24" s="1183"/>
      <c r="DF24" s="1183"/>
      <c r="DG24" s="1183"/>
      <c r="DH24" s="1183"/>
      <c r="DI24" s="1183"/>
      <c r="DJ24" s="1183"/>
      <c r="DK24" s="1183"/>
      <c r="DL24" s="1183"/>
      <c r="DM24" s="1183"/>
      <c r="DN24" s="1183"/>
      <c r="DO24" s="1183"/>
      <c r="DP24" s="1183"/>
      <c r="DQ24" s="1183"/>
    </row>
    <row r="25" spans="1:121" s="12" customFormat="1" ht="12" customHeight="1" x14ac:dyDescent="0.35">
      <c r="A25" s="1476" t="s">
        <v>366</v>
      </c>
      <c r="B25" s="1496">
        <f>SUMIF($I$2:$BP$2,B$23,$I$19:$BP$19)</f>
        <v>0</v>
      </c>
      <c r="C25" s="1496">
        <f>SUMIF($I$2:$BP$2,C$23,$I$19:$BP$19)</f>
        <v>0</v>
      </c>
      <c r="D25" s="1496">
        <f>SUMIF($I$2:$BP$2,D$23,$I$19:$BP$19)</f>
        <v>0</v>
      </c>
      <c r="E25" s="1478"/>
      <c r="F25" s="1478"/>
      <c r="G25" s="1478"/>
      <c r="H25" s="1498" t="s">
        <v>367</v>
      </c>
      <c r="I25" s="1506">
        <f>SUM(I23:I24)</f>
        <v>0</v>
      </c>
      <c r="J25" s="1506">
        <f t="shared" ref="J25:AE25" si="13">SUM(J23:J24)</f>
        <v>0</v>
      </c>
      <c r="K25" s="1506">
        <f t="shared" si="13"/>
        <v>0</v>
      </c>
      <c r="L25" s="1506">
        <f t="shared" si="13"/>
        <v>0</v>
      </c>
      <c r="M25" s="1506">
        <f t="shared" si="13"/>
        <v>0</v>
      </c>
      <c r="N25" s="1506">
        <f t="shared" si="13"/>
        <v>0</v>
      </c>
      <c r="O25" s="1506">
        <f t="shared" si="13"/>
        <v>0</v>
      </c>
      <c r="P25" s="1506">
        <f t="shared" si="13"/>
        <v>0</v>
      </c>
      <c r="Q25" s="1506">
        <f t="shared" si="13"/>
        <v>0</v>
      </c>
      <c r="R25" s="1506">
        <f t="shared" si="13"/>
        <v>0</v>
      </c>
      <c r="S25" s="1506">
        <f t="shared" si="13"/>
        <v>0</v>
      </c>
      <c r="T25" s="1506">
        <f t="shared" si="13"/>
        <v>0</v>
      </c>
      <c r="U25" s="1506">
        <f t="shared" si="13"/>
        <v>0</v>
      </c>
      <c r="V25" s="1506">
        <f t="shared" si="13"/>
        <v>0</v>
      </c>
      <c r="W25" s="1506">
        <f t="shared" si="13"/>
        <v>0</v>
      </c>
      <c r="X25" s="1506">
        <f t="shared" si="13"/>
        <v>0</v>
      </c>
      <c r="Y25" s="1506">
        <f t="shared" si="13"/>
        <v>0</v>
      </c>
      <c r="Z25" s="1506">
        <f t="shared" si="13"/>
        <v>0</v>
      </c>
      <c r="AA25" s="1506">
        <f t="shared" si="13"/>
        <v>0</v>
      </c>
      <c r="AB25" s="1506">
        <f t="shared" si="13"/>
        <v>0</v>
      </c>
      <c r="AC25" s="1506">
        <f t="shared" si="13"/>
        <v>0</v>
      </c>
      <c r="AD25" s="1506">
        <f t="shared" si="13"/>
        <v>0</v>
      </c>
      <c r="AE25" s="1506">
        <f t="shared" si="13"/>
        <v>0</v>
      </c>
      <c r="AF25" s="1507">
        <f t="shared" ref="AF25:BP25" si="14">SUM(AF23:AF24)</f>
        <v>0</v>
      </c>
      <c r="AG25" s="1507">
        <f t="shared" si="14"/>
        <v>0</v>
      </c>
      <c r="AH25" s="1507">
        <f t="shared" si="14"/>
        <v>0</v>
      </c>
      <c r="AI25" s="1507">
        <f t="shared" si="14"/>
        <v>0</v>
      </c>
      <c r="AJ25" s="1507">
        <f t="shared" si="14"/>
        <v>0</v>
      </c>
      <c r="AK25" s="1507">
        <f t="shared" si="14"/>
        <v>0</v>
      </c>
      <c r="AL25" s="1507">
        <f t="shared" si="14"/>
        <v>0</v>
      </c>
      <c r="AM25" s="1507">
        <f t="shared" si="14"/>
        <v>0</v>
      </c>
      <c r="AN25" s="1507">
        <f t="shared" si="14"/>
        <v>0</v>
      </c>
      <c r="AO25" s="1507">
        <f t="shared" si="14"/>
        <v>0</v>
      </c>
      <c r="AP25" s="1507">
        <f t="shared" si="14"/>
        <v>0</v>
      </c>
      <c r="AQ25" s="1507">
        <f t="shared" si="14"/>
        <v>0</v>
      </c>
      <c r="AR25" s="1507">
        <f t="shared" si="14"/>
        <v>0</v>
      </c>
      <c r="AS25" s="1507">
        <f t="shared" si="14"/>
        <v>0</v>
      </c>
      <c r="AT25" s="1507">
        <f t="shared" si="14"/>
        <v>0</v>
      </c>
      <c r="AU25" s="1507">
        <f t="shared" si="14"/>
        <v>0</v>
      </c>
      <c r="AV25" s="1507">
        <f t="shared" si="14"/>
        <v>0</v>
      </c>
      <c r="AW25" s="1507">
        <f t="shared" si="14"/>
        <v>0</v>
      </c>
      <c r="AX25" s="1507">
        <f t="shared" si="14"/>
        <v>0</v>
      </c>
      <c r="AY25" s="1507">
        <f t="shared" si="14"/>
        <v>0</v>
      </c>
      <c r="AZ25" s="1507">
        <f t="shared" si="14"/>
        <v>0</v>
      </c>
      <c r="BA25" s="1507">
        <f t="shared" si="14"/>
        <v>0</v>
      </c>
      <c r="BB25" s="1507">
        <f t="shared" si="14"/>
        <v>0</v>
      </c>
      <c r="BC25" s="1507">
        <f t="shared" si="14"/>
        <v>0</v>
      </c>
      <c r="BD25" s="1507">
        <f t="shared" si="14"/>
        <v>0</v>
      </c>
      <c r="BE25" s="1507">
        <f t="shared" si="14"/>
        <v>0</v>
      </c>
      <c r="BF25" s="1507">
        <f t="shared" si="14"/>
        <v>0</v>
      </c>
      <c r="BG25" s="1507">
        <f t="shared" si="14"/>
        <v>0</v>
      </c>
      <c r="BH25" s="1507">
        <f t="shared" si="14"/>
        <v>0</v>
      </c>
      <c r="BI25" s="1507">
        <f t="shared" si="14"/>
        <v>0</v>
      </c>
      <c r="BJ25" s="1507">
        <f t="shared" si="14"/>
        <v>0</v>
      </c>
      <c r="BK25" s="1507">
        <f t="shared" si="14"/>
        <v>0</v>
      </c>
      <c r="BL25" s="1507">
        <f t="shared" si="14"/>
        <v>0</v>
      </c>
      <c r="BM25" s="1507">
        <f t="shared" si="14"/>
        <v>0</v>
      </c>
      <c r="BN25" s="1507">
        <f t="shared" si="14"/>
        <v>0</v>
      </c>
      <c r="BO25" s="1507">
        <f t="shared" si="14"/>
        <v>0</v>
      </c>
      <c r="BP25" s="1507">
        <f t="shared" si="14"/>
        <v>0</v>
      </c>
      <c r="BQ25" s="43"/>
      <c r="BR25" s="43"/>
      <c r="BS25" s="43"/>
      <c r="BT25" s="43"/>
      <c r="BU25" s="43"/>
      <c r="BV25" s="43"/>
      <c r="BW25" s="1436"/>
      <c r="BX25" s="1437"/>
      <c r="BY25" s="1437"/>
      <c r="BZ25" s="1183"/>
      <c r="CA25" s="1183"/>
      <c r="CB25" s="1183"/>
      <c r="CC25" s="1183"/>
      <c r="CD25" s="484"/>
      <c r="CE25" s="484"/>
      <c r="CF25" s="484"/>
      <c r="CG25" s="484"/>
      <c r="CH25" s="484"/>
      <c r="CI25" s="484"/>
      <c r="CJ25" s="484"/>
      <c r="CK25" s="484"/>
      <c r="CL25" s="484"/>
      <c r="CM25" s="484"/>
      <c r="CN25" s="1183"/>
      <c r="CO25" s="1183"/>
      <c r="CP25" s="1183"/>
      <c r="CQ25" s="1183"/>
      <c r="CR25" s="1183"/>
      <c r="CS25" s="1183"/>
      <c r="CT25" s="1183"/>
      <c r="CU25" s="1183"/>
      <c r="CV25" s="1183"/>
      <c r="CW25" s="1183"/>
      <c r="CX25" s="1183"/>
      <c r="CY25" s="1183"/>
      <c r="CZ25" s="1183"/>
      <c r="DA25" s="1183"/>
      <c r="DB25" s="1183"/>
      <c r="DC25" s="1183"/>
      <c r="DD25" s="1183"/>
      <c r="DE25" s="1183"/>
      <c r="DF25" s="1183"/>
      <c r="DG25" s="1183"/>
      <c r="DH25" s="1183"/>
      <c r="DI25" s="1183"/>
      <c r="DJ25" s="1183"/>
      <c r="DK25" s="1183"/>
      <c r="DL25" s="1183"/>
      <c r="DM25" s="1183"/>
      <c r="DN25" s="1183"/>
      <c r="DO25" s="1183"/>
      <c r="DP25" s="1183"/>
      <c r="DQ25" s="1183"/>
    </row>
    <row r="26" spans="1:121" s="12" customFormat="1" ht="12" customHeight="1" x14ac:dyDescent="0.35">
      <c r="A26" s="1476" t="s">
        <v>368</v>
      </c>
      <c r="B26" s="1496">
        <f>SUMIF($I$2:$BP$2,"&lt;="&amp;B$23,$I$19:$BP$19)</f>
        <v>0</v>
      </c>
      <c r="C26" s="1496">
        <f>SUMIF($I$2:$BP$2,"&lt;="&amp;C$23,$I$19:$BP$19)</f>
        <v>0</v>
      </c>
      <c r="D26" s="1496">
        <f>SUMIF($I$2:$BP$2,"&lt;="&amp;D$23,$I$19:$BP$19)</f>
        <v>0</v>
      </c>
      <c r="E26" s="1477"/>
      <c r="F26" s="1477"/>
      <c r="G26" s="1478"/>
      <c r="H26" s="1476"/>
      <c r="I26" s="1476"/>
      <c r="J26" s="1476"/>
      <c r="K26" s="1476"/>
      <c r="L26" s="1476"/>
      <c r="M26" s="1476"/>
      <c r="N26" s="1476"/>
      <c r="O26" s="1476"/>
      <c r="P26" s="1476"/>
      <c r="Q26" s="1476"/>
      <c r="R26" s="1476"/>
      <c r="S26" s="1476"/>
      <c r="T26" s="1476"/>
      <c r="U26" s="1476"/>
      <c r="V26" s="1476"/>
      <c r="W26" s="1476"/>
      <c r="X26" s="1476"/>
      <c r="Y26" s="1476"/>
      <c r="Z26" s="1476"/>
      <c r="AA26" s="1476"/>
      <c r="AB26" s="1476"/>
      <c r="AC26" s="1476"/>
      <c r="AD26" s="1476"/>
      <c r="AE26" s="1476"/>
      <c r="AF26" s="1476"/>
      <c r="AG26" s="1476"/>
      <c r="AH26" s="1476"/>
      <c r="AI26" s="1476"/>
      <c r="AJ26" s="1476"/>
      <c r="AK26" s="1476"/>
      <c r="AL26" s="1476"/>
      <c r="AM26" s="1476"/>
      <c r="AN26" s="1476"/>
      <c r="AO26" s="1476"/>
      <c r="AP26" s="1476"/>
      <c r="AQ26" s="1476"/>
      <c r="AR26" s="1476"/>
      <c r="AS26" s="1476"/>
      <c r="AT26" s="1476"/>
      <c r="AU26" s="1476"/>
      <c r="AV26" s="1476"/>
      <c r="AW26" s="1476"/>
      <c r="AX26" s="1476"/>
      <c r="AY26" s="1476"/>
      <c r="AZ26" s="1476"/>
      <c r="BA26" s="1476"/>
      <c r="BB26" s="1476"/>
      <c r="BC26" s="1476"/>
      <c r="BD26" s="1476"/>
      <c r="BE26" s="1476"/>
      <c r="BF26" s="1476"/>
      <c r="BG26" s="1476"/>
      <c r="BH26" s="1476"/>
      <c r="BI26" s="1476"/>
      <c r="BJ26" s="1476"/>
      <c r="BK26" s="1476"/>
      <c r="BL26" s="1476"/>
      <c r="BM26" s="1476"/>
      <c r="BN26" s="1476"/>
      <c r="BO26" s="1476"/>
      <c r="BP26" s="1476"/>
      <c r="BQ26" s="43"/>
      <c r="BR26" s="43"/>
      <c r="BS26" s="43"/>
      <c r="BT26" s="43"/>
      <c r="BU26" s="43"/>
      <c r="BV26" s="43"/>
      <c r="BW26" s="1436"/>
      <c r="BX26" s="1437"/>
      <c r="BY26" s="1437"/>
      <c r="BZ26" s="1183"/>
      <c r="CA26" s="1183"/>
      <c r="CB26" s="1183"/>
      <c r="CC26" s="1183"/>
      <c r="CD26" s="484"/>
      <c r="CE26" s="484"/>
      <c r="CF26" s="484"/>
      <c r="CG26" s="484"/>
      <c r="CH26" s="484"/>
      <c r="CI26" s="484"/>
      <c r="CJ26" s="484"/>
      <c r="CK26" s="484"/>
      <c r="CL26" s="484"/>
      <c r="CM26" s="484"/>
      <c r="CN26" s="1183"/>
      <c r="CO26" s="1183"/>
      <c r="CP26" s="1183"/>
      <c r="CQ26" s="1183"/>
      <c r="CR26" s="1183"/>
      <c r="CS26" s="1183"/>
      <c r="CT26" s="1183"/>
      <c r="CU26" s="1183"/>
      <c r="CV26" s="1183"/>
      <c r="CW26" s="1183"/>
      <c r="CX26" s="1183"/>
      <c r="CY26" s="1183"/>
      <c r="CZ26" s="1183"/>
      <c r="DA26" s="1183"/>
      <c r="DB26" s="1183"/>
      <c r="DC26" s="1183"/>
      <c r="DD26" s="1183"/>
      <c r="DE26" s="1183"/>
      <c r="DF26" s="1183"/>
      <c r="DG26" s="1183"/>
      <c r="DH26" s="1183"/>
      <c r="DI26" s="1183"/>
      <c r="DJ26" s="1183"/>
      <c r="DK26" s="1183"/>
      <c r="DL26" s="1183"/>
      <c r="DM26" s="1183"/>
      <c r="DN26" s="1183"/>
      <c r="DO26" s="1183"/>
      <c r="DP26" s="1183"/>
      <c r="DQ26" s="1183"/>
    </row>
    <row r="27" spans="1:121" s="12" customFormat="1" ht="12" customHeight="1" x14ac:dyDescent="0.35">
      <c r="A27" s="1476"/>
      <c r="B27" s="1477"/>
      <c r="C27" s="1477"/>
      <c r="D27" s="1477"/>
      <c r="E27" s="1477"/>
      <c r="F27" s="1477">
        <f>B22+12</f>
        <v>13</v>
      </c>
      <c r="G27" s="1508" t="e">
        <f>VLOOKUP(F27,Infrastructure!L9:M68,2,FALSE)</f>
        <v>#N/A</v>
      </c>
      <c r="H27" s="1476" t="s">
        <v>369</v>
      </c>
      <c r="I27" s="1483">
        <f>Financials!E174</f>
        <v>0</v>
      </c>
      <c r="J27" s="1483">
        <f>Financials!F174</f>
        <v>0</v>
      </c>
      <c r="K27" s="1483">
        <f>Financials!G174</f>
        <v>0</v>
      </c>
      <c r="L27" s="1483">
        <f>Financials!H174</f>
        <v>0</v>
      </c>
      <c r="M27" s="1483">
        <f>Financials!I174</f>
        <v>0</v>
      </c>
      <c r="N27" s="1483">
        <f>Financials!J174</f>
        <v>0</v>
      </c>
      <c r="O27" s="1483">
        <f>Financials!K174</f>
        <v>0</v>
      </c>
      <c r="P27" s="1483">
        <f>Financials!L174</f>
        <v>0</v>
      </c>
      <c r="Q27" s="1483">
        <f>Financials!M174</f>
        <v>0</v>
      </c>
      <c r="R27" s="1483">
        <f>Financials!N174</f>
        <v>0</v>
      </c>
      <c r="S27" s="1483">
        <f>Financials!O174</f>
        <v>0</v>
      </c>
      <c r="T27" s="1483">
        <f>Financials!P174</f>
        <v>0</v>
      </c>
      <c r="U27" s="1483">
        <f>Financials!R174</f>
        <v>0</v>
      </c>
      <c r="V27" s="1483">
        <f>Financials!S174</f>
        <v>0</v>
      </c>
      <c r="W27" s="1483">
        <f>Financials!T174</f>
        <v>0</v>
      </c>
      <c r="X27" s="1483">
        <f>Financials!U174</f>
        <v>0</v>
      </c>
      <c r="Y27" s="1483">
        <f>Financials!V174</f>
        <v>0</v>
      </c>
      <c r="Z27" s="1483">
        <f>Financials!W174</f>
        <v>0</v>
      </c>
      <c r="AA27" s="1483">
        <f>Financials!X174</f>
        <v>0</v>
      </c>
      <c r="AB27" s="1483">
        <f>Financials!Y174</f>
        <v>0</v>
      </c>
      <c r="AC27" s="1483">
        <f>Financials!Z174</f>
        <v>0</v>
      </c>
      <c r="AD27" s="1483">
        <f>Financials!AA174</f>
        <v>0</v>
      </c>
      <c r="AE27" s="1483">
        <f>Financials!AB174</f>
        <v>0</v>
      </c>
      <c r="AF27" s="1483">
        <f>Financials!AC174</f>
        <v>0</v>
      </c>
      <c r="AG27" s="1485">
        <f>Financials!AE174</f>
        <v>0</v>
      </c>
      <c r="AH27" s="1485">
        <f>Financials!AF174</f>
        <v>0</v>
      </c>
      <c r="AI27" s="1485">
        <f>Financials!AG174</f>
        <v>0</v>
      </c>
      <c r="AJ27" s="1485">
        <f>Financials!AH174</f>
        <v>0</v>
      </c>
      <c r="AK27" s="1485">
        <f>Financials!AI174</f>
        <v>0</v>
      </c>
      <c r="AL27" s="1485">
        <f>Financials!AJ174</f>
        <v>0</v>
      </c>
      <c r="AM27" s="1485">
        <f>Financials!AK174</f>
        <v>0</v>
      </c>
      <c r="AN27" s="1485">
        <f>Financials!AL174</f>
        <v>0</v>
      </c>
      <c r="AO27" s="1485">
        <f>Financials!AM174</f>
        <v>0</v>
      </c>
      <c r="AP27" s="1485">
        <f>Financials!AN174</f>
        <v>0</v>
      </c>
      <c r="AQ27" s="1485">
        <f>Financials!AO174</f>
        <v>0</v>
      </c>
      <c r="AR27" s="1485">
        <f>Financials!AP174</f>
        <v>0</v>
      </c>
      <c r="AS27" s="1485">
        <f>Financials!AR174</f>
        <v>0</v>
      </c>
      <c r="AT27" s="1485">
        <f>Financials!AS174</f>
        <v>0</v>
      </c>
      <c r="AU27" s="1485">
        <f>Financials!AT174</f>
        <v>0</v>
      </c>
      <c r="AV27" s="1485">
        <f>Financials!AU174</f>
        <v>0</v>
      </c>
      <c r="AW27" s="1485">
        <f>Financials!AV174</f>
        <v>0</v>
      </c>
      <c r="AX27" s="1485">
        <f>Financials!AW174</f>
        <v>0</v>
      </c>
      <c r="AY27" s="1485">
        <f>Financials!AX174</f>
        <v>0</v>
      </c>
      <c r="AZ27" s="1485">
        <f>Financials!AY174</f>
        <v>0</v>
      </c>
      <c r="BA27" s="1485">
        <f>Financials!AZ174</f>
        <v>0</v>
      </c>
      <c r="BB27" s="1485">
        <f>Financials!BA174</f>
        <v>0</v>
      </c>
      <c r="BC27" s="1485">
        <f>Financials!BB174</f>
        <v>0</v>
      </c>
      <c r="BD27" s="1485">
        <f>Financials!BC174</f>
        <v>0</v>
      </c>
      <c r="BE27" s="1485">
        <f>Financials!BE174</f>
        <v>0</v>
      </c>
      <c r="BF27" s="1485">
        <f>Financials!BF174</f>
        <v>0</v>
      </c>
      <c r="BG27" s="1485">
        <f>Financials!BG174</f>
        <v>0</v>
      </c>
      <c r="BH27" s="1485">
        <f>Financials!BH174</f>
        <v>0</v>
      </c>
      <c r="BI27" s="1485">
        <f>Financials!BI174</f>
        <v>0</v>
      </c>
      <c r="BJ27" s="1485">
        <f>Financials!BJ174</f>
        <v>0</v>
      </c>
      <c r="BK27" s="1485">
        <f>Financials!BK174</f>
        <v>0</v>
      </c>
      <c r="BL27" s="1485">
        <f>Financials!BL174</f>
        <v>0</v>
      </c>
      <c r="BM27" s="1485">
        <f>Financials!BM174</f>
        <v>0</v>
      </c>
      <c r="BN27" s="1485">
        <f>Financials!BN174</f>
        <v>0</v>
      </c>
      <c r="BO27" s="1485">
        <f>Financials!BO174</f>
        <v>0</v>
      </c>
      <c r="BP27" s="1485">
        <f>Financials!BP174</f>
        <v>0</v>
      </c>
      <c r="BQ27" s="43"/>
      <c r="BR27" s="43"/>
      <c r="BS27" s="43"/>
      <c r="BT27" s="43"/>
      <c r="BU27" s="43"/>
      <c r="BV27" s="43"/>
      <c r="BW27" s="1436"/>
      <c r="BX27" s="1437"/>
      <c r="BY27" s="1437"/>
      <c r="BZ27" s="1183"/>
      <c r="CA27" s="1183"/>
      <c r="CB27" s="1183"/>
      <c r="CC27" s="1183"/>
      <c r="CD27" s="484"/>
      <c r="CE27" s="484"/>
      <c r="CF27" s="484"/>
      <c r="CG27" s="484"/>
      <c r="CH27" s="484"/>
      <c r="CI27" s="484"/>
      <c r="CJ27" s="484"/>
      <c r="CK27" s="484"/>
      <c r="CL27" s="484"/>
      <c r="CM27" s="484"/>
      <c r="CN27" s="1183"/>
      <c r="CO27" s="1183"/>
      <c r="CP27" s="1183"/>
      <c r="CQ27" s="1183"/>
      <c r="CR27" s="1183"/>
      <c r="CS27" s="1183"/>
      <c r="CT27" s="1183"/>
      <c r="CU27" s="1183"/>
      <c r="CV27" s="1183"/>
      <c r="CW27" s="1183"/>
      <c r="CX27" s="1183"/>
      <c r="CY27" s="1183"/>
      <c r="CZ27" s="1183"/>
      <c r="DA27" s="1183"/>
      <c r="DB27" s="1183"/>
      <c r="DC27" s="1183"/>
      <c r="DD27" s="1183"/>
      <c r="DE27" s="1183"/>
      <c r="DF27" s="1183"/>
      <c r="DG27" s="1183"/>
      <c r="DH27" s="1183"/>
      <c r="DI27" s="1183"/>
      <c r="DJ27" s="1183"/>
      <c r="DK27" s="1183"/>
      <c r="DL27" s="1183"/>
      <c r="DM27" s="1183"/>
      <c r="DN27" s="1183"/>
      <c r="DO27" s="1183"/>
      <c r="DP27" s="1183"/>
      <c r="DQ27" s="1183"/>
    </row>
    <row r="28" spans="1:121" s="12" customFormat="1" ht="12" customHeight="1" x14ac:dyDescent="0.35">
      <c r="A28" s="1489" t="s">
        <v>370</v>
      </c>
      <c r="B28" s="1478"/>
      <c r="C28" s="1478"/>
      <c r="D28" s="1478"/>
      <c r="E28" s="1477"/>
      <c r="F28" s="1477">
        <f>F27+14</f>
        <v>27</v>
      </c>
      <c r="G28" s="1508" t="e">
        <f>VLOOKUP(F28,Infrastructure!L9:M68,2,FALSE)</f>
        <v>#N/A</v>
      </c>
      <c r="H28" s="1476"/>
      <c r="I28" s="1509">
        <f>I2</f>
        <v>0</v>
      </c>
      <c r="J28" s="1509">
        <f t="shared" ref="J28:AE28" si="15">J2</f>
        <v>59</v>
      </c>
      <c r="K28" s="1509">
        <f t="shared" si="15"/>
        <v>91</v>
      </c>
      <c r="L28" s="1509">
        <f t="shared" si="15"/>
        <v>121</v>
      </c>
      <c r="M28" s="1509">
        <f t="shared" si="15"/>
        <v>152</v>
      </c>
      <c r="N28" s="1509">
        <f t="shared" si="15"/>
        <v>182</v>
      </c>
      <c r="O28" s="1509">
        <f t="shared" si="15"/>
        <v>213</v>
      </c>
      <c r="P28" s="1509">
        <f t="shared" si="15"/>
        <v>244</v>
      </c>
      <c r="Q28" s="1509">
        <f t="shared" si="15"/>
        <v>274</v>
      </c>
      <c r="R28" s="1509">
        <f t="shared" si="15"/>
        <v>305</v>
      </c>
      <c r="S28" s="1509">
        <f t="shared" si="15"/>
        <v>335</v>
      </c>
      <c r="T28" s="1509">
        <f t="shared" si="15"/>
        <v>366</v>
      </c>
      <c r="U28" s="1509">
        <f t="shared" si="15"/>
        <v>397</v>
      </c>
      <c r="V28" s="1509">
        <f t="shared" si="15"/>
        <v>425</v>
      </c>
      <c r="W28" s="1509">
        <f t="shared" si="15"/>
        <v>456</v>
      </c>
      <c r="X28" s="1509">
        <f t="shared" si="15"/>
        <v>486</v>
      </c>
      <c r="Y28" s="1509">
        <f t="shared" si="15"/>
        <v>517</v>
      </c>
      <c r="Z28" s="1509">
        <f t="shared" si="15"/>
        <v>547</v>
      </c>
      <c r="AA28" s="1509">
        <f t="shared" si="15"/>
        <v>578</v>
      </c>
      <c r="AB28" s="1509">
        <f t="shared" si="15"/>
        <v>609</v>
      </c>
      <c r="AC28" s="1509">
        <f t="shared" si="15"/>
        <v>639</v>
      </c>
      <c r="AD28" s="1509">
        <f t="shared" si="15"/>
        <v>670</v>
      </c>
      <c r="AE28" s="1509">
        <f t="shared" si="15"/>
        <v>700</v>
      </c>
      <c r="AF28" s="1510">
        <f t="shared" ref="AF28:AR28" si="16">AF2</f>
        <v>731</v>
      </c>
      <c r="AG28" s="1510">
        <f t="shared" si="16"/>
        <v>762</v>
      </c>
      <c r="AH28" s="1510">
        <f t="shared" si="16"/>
        <v>790</v>
      </c>
      <c r="AI28" s="1510">
        <f t="shared" si="16"/>
        <v>821</v>
      </c>
      <c r="AJ28" s="1510">
        <f t="shared" si="16"/>
        <v>851</v>
      </c>
      <c r="AK28" s="1510">
        <f t="shared" si="16"/>
        <v>882</v>
      </c>
      <c r="AL28" s="1510">
        <f t="shared" si="16"/>
        <v>912</v>
      </c>
      <c r="AM28" s="1510">
        <f t="shared" si="16"/>
        <v>943</v>
      </c>
      <c r="AN28" s="1510">
        <f t="shared" si="16"/>
        <v>974</v>
      </c>
      <c r="AO28" s="1510">
        <f t="shared" si="16"/>
        <v>1004</v>
      </c>
      <c r="AP28" s="1510">
        <f t="shared" si="16"/>
        <v>1035</v>
      </c>
      <c r="AQ28" s="1510">
        <f t="shared" si="16"/>
        <v>1065</v>
      </c>
      <c r="AR28" s="1510">
        <f t="shared" si="16"/>
        <v>1096</v>
      </c>
      <c r="AS28" s="1510">
        <f t="shared" ref="AS28:BP28" si="17">IF(Years="Five",AS2,"")</f>
        <v>1127</v>
      </c>
      <c r="AT28" s="1510">
        <f t="shared" si="17"/>
        <v>1155</v>
      </c>
      <c r="AU28" s="1510">
        <f t="shared" si="17"/>
        <v>1186</v>
      </c>
      <c r="AV28" s="1510">
        <f t="shared" si="17"/>
        <v>1216</v>
      </c>
      <c r="AW28" s="1510">
        <f t="shared" si="17"/>
        <v>1247</v>
      </c>
      <c r="AX28" s="1510">
        <f t="shared" si="17"/>
        <v>1277</v>
      </c>
      <c r="AY28" s="1510">
        <f t="shared" si="17"/>
        <v>1308</v>
      </c>
      <c r="AZ28" s="1510">
        <f t="shared" si="17"/>
        <v>1339</v>
      </c>
      <c r="BA28" s="1510">
        <f t="shared" si="17"/>
        <v>1369</v>
      </c>
      <c r="BB28" s="1510">
        <f t="shared" si="17"/>
        <v>1400</v>
      </c>
      <c r="BC28" s="1510">
        <f t="shared" si="17"/>
        <v>1430</v>
      </c>
      <c r="BD28" s="1510">
        <f t="shared" si="17"/>
        <v>1461</v>
      </c>
      <c r="BE28" s="1510">
        <f t="shared" si="17"/>
        <v>1492</v>
      </c>
      <c r="BF28" s="1510">
        <f t="shared" si="17"/>
        <v>1521</v>
      </c>
      <c r="BG28" s="1510">
        <f t="shared" si="17"/>
        <v>1552</v>
      </c>
      <c r="BH28" s="1510">
        <f t="shared" si="17"/>
        <v>1582</v>
      </c>
      <c r="BI28" s="1510">
        <f t="shared" si="17"/>
        <v>1613</v>
      </c>
      <c r="BJ28" s="1510">
        <f t="shared" si="17"/>
        <v>1643</v>
      </c>
      <c r="BK28" s="1510">
        <f t="shared" si="17"/>
        <v>1674</v>
      </c>
      <c r="BL28" s="1510">
        <f t="shared" si="17"/>
        <v>1705</v>
      </c>
      <c r="BM28" s="1510">
        <f t="shared" si="17"/>
        <v>1735</v>
      </c>
      <c r="BN28" s="1510">
        <f t="shared" si="17"/>
        <v>1766</v>
      </c>
      <c r="BO28" s="1510">
        <f t="shared" si="17"/>
        <v>1796</v>
      </c>
      <c r="BP28" s="1510">
        <f t="shared" si="17"/>
        <v>1827</v>
      </c>
      <c r="BQ28" s="43"/>
      <c r="BR28" s="43"/>
      <c r="BS28" s="43"/>
      <c r="BT28" s="43"/>
      <c r="BU28" s="43"/>
      <c r="BV28" s="43"/>
      <c r="BW28" s="1436">
        <f>Infrastructure!M22</f>
        <v>0</v>
      </c>
      <c r="BX28" s="1437">
        <f>$V$3</f>
        <v>0</v>
      </c>
      <c r="BY28" s="1437">
        <f>$V$8</f>
        <v>0</v>
      </c>
      <c r="BZ28" s="1183"/>
      <c r="CA28" s="1183"/>
      <c r="CB28" s="1183"/>
      <c r="CC28" s="1183"/>
      <c r="CD28" s="484">
        <f>$U$38</f>
        <v>0</v>
      </c>
      <c r="CE28" s="484">
        <f>$U$39</f>
        <v>0</v>
      </c>
      <c r="CF28" s="484">
        <f>$U$40</f>
        <v>0</v>
      </c>
      <c r="CG28" s="484">
        <f>$U$41</f>
        <v>0</v>
      </c>
      <c r="CH28" s="484">
        <f>$U$42</f>
        <v>0</v>
      </c>
      <c r="CI28" s="484">
        <f>$U$43</f>
        <v>0</v>
      </c>
      <c r="CJ28" s="484">
        <f>$U$44</f>
        <v>0</v>
      </c>
      <c r="CK28" s="484">
        <f>$U$45</f>
        <v>0</v>
      </c>
      <c r="CL28" s="484">
        <f>$U$46</f>
        <v>0</v>
      </c>
      <c r="CM28" s="484">
        <f>$U$47</f>
        <v>0</v>
      </c>
      <c r="CN28" s="1183"/>
      <c r="CO28" s="1183"/>
      <c r="CP28" s="1183"/>
      <c r="CQ28" s="1183"/>
      <c r="CR28" s="1183"/>
      <c r="CS28" s="1183"/>
      <c r="CT28" s="1183"/>
      <c r="CU28" s="1183"/>
      <c r="CV28" s="1183"/>
      <c r="CW28" s="1183"/>
      <c r="CX28" s="1183"/>
      <c r="CY28" s="1183"/>
      <c r="CZ28" s="1183"/>
      <c r="DA28" s="1183"/>
      <c r="DB28" s="1183"/>
      <c r="DC28" s="1183"/>
      <c r="DD28" s="1183"/>
      <c r="DE28" s="1183"/>
      <c r="DF28" s="1183"/>
      <c r="DG28" s="1183"/>
      <c r="DH28" s="1183"/>
      <c r="DI28" s="1183"/>
      <c r="DJ28" s="1183"/>
      <c r="DK28" s="1183"/>
      <c r="DL28" s="1183"/>
      <c r="DM28" s="1183"/>
      <c r="DN28" s="1183"/>
      <c r="DO28" s="1183"/>
      <c r="DP28" s="1183"/>
      <c r="DQ28" s="1183"/>
    </row>
    <row r="29" spans="1:121" s="12" customFormat="1" ht="12" customHeight="1" x14ac:dyDescent="0.35">
      <c r="A29" s="1476" t="s">
        <v>366</v>
      </c>
      <c r="B29" s="1496">
        <f>SUMIF($I$2:$BP$2,B$22,$I$22:$BP$22)</f>
        <v>0</v>
      </c>
      <c r="C29" s="1496">
        <f>SUMIF($I$2:$BP$2,C$22,$I$22:$BP$22)</f>
        <v>0</v>
      </c>
      <c r="D29" s="1496">
        <f>SUMIF($I$2:$BP$2,D$22,$I$22:$BP$22)</f>
        <v>0</v>
      </c>
      <c r="E29" s="1477"/>
      <c r="F29" s="1477">
        <f>F28+5</f>
        <v>32</v>
      </c>
      <c r="G29" s="1508" t="e">
        <f>VLOOKUP(F29,Infrastructure!L9:M68,2,FALSE)</f>
        <v>#N/A</v>
      </c>
      <c r="H29" s="1476" t="s">
        <v>371</v>
      </c>
      <c r="I29" s="1483">
        <f>Financials!E178</f>
        <v>0</v>
      </c>
      <c r="J29" s="1483">
        <f>Financials!F178</f>
        <v>0</v>
      </c>
      <c r="K29" s="1483">
        <f>Financials!G178</f>
        <v>0</v>
      </c>
      <c r="L29" s="1483">
        <f>Financials!H178</f>
        <v>0</v>
      </c>
      <c r="M29" s="1483">
        <f>Financials!I178</f>
        <v>0</v>
      </c>
      <c r="N29" s="1483">
        <f>Financials!J178</f>
        <v>0</v>
      </c>
      <c r="O29" s="1483">
        <f>Financials!K178</f>
        <v>0</v>
      </c>
      <c r="P29" s="1483">
        <f>Financials!L178</f>
        <v>0</v>
      </c>
      <c r="Q29" s="1483">
        <f>Financials!M178</f>
        <v>0</v>
      </c>
      <c r="R29" s="1483">
        <f>Financials!N178</f>
        <v>0</v>
      </c>
      <c r="S29" s="1483">
        <f>Financials!O178</f>
        <v>0</v>
      </c>
      <c r="T29" s="1483">
        <f>Financials!P178</f>
        <v>0</v>
      </c>
      <c r="U29" s="1483">
        <f>Financials!R178</f>
        <v>0</v>
      </c>
      <c r="V29" s="1483">
        <f>Financials!S178</f>
        <v>0</v>
      </c>
      <c r="W29" s="1483">
        <f>Financials!T178</f>
        <v>0</v>
      </c>
      <c r="X29" s="1483">
        <f>Financials!U178</f>
        <v>0</v>
      </c>
      <c r="Y29" s="1483">
        <f>Financials!V178</f>
        <v>0</v>
      </c>
      <c r="Z29" s="1483">
        <f>Financials!W178</f>
        <v>0</v>
      </c>
      <c r="AA29" s="1483">
        <f>Financials!X178</f>
        <v>0</v>
      </c>
      <c r="AB29" s="1483">
        <f>Financials!Y178</f>
        <v>0</v>
      </c>
      <c r="AC29" s="1483">
        <f>Financials!Z178</f>
        <v>0</v>
      </c>
      <c r="AD29" s="1483">
        <f>Financials!AA178</f>
        <v>0</v>
      </c>
      <c r="AE29" s="1483">
        <f>Financials!AB178</f>
        <v>0</v>
      </c>
      <c r="AF29" s="1485">
        <f>Financials!AC178</f>
        <v>0</v>
      </c>
      <c r="AG29" s="1485">
        <f>Financials!AE178</f>
        <v>0</v>
      </c>
      <c r="AH29" s="1485">
        <f>Financials!AF178</f>
        <v>0</v>
      </c>
      <c r="AI29" s="1485">
        <f>Financials!AG178</f>
        <v>0</v>
      </c>
      <c r="AJ29" s="1485">
        <f>Financials!AH178</f>
        <v>0</v>
      </c>
      <c r="AK29" s="1485">
        <f>Financials!AI178</f>
        <v>0</v>
      </c>
      <c r="AL29" s="1485">
        <f>Financials!AJ178</f>
        <v>0</v>
      </c>
      <c r="AM29" s="1485">
        <f>Financials!AK178</f>
        <v>0</v>
      </c>
      <c r="AN29" s="1485">
        <f>Financials!AL178</f>
        <v>0</v>
      </c>
      <c r="AO29" s="1485">
        <f>Financials!AM178</f>
        <v>0</v>
      </c>
      <c r="AP29" s="1485">
        <f>Financials!AN178</f>
        <v>0</v>
      </c>
      <c r="AQ29" s="1485">
        <f>Financials!AO178</f>
        <v>0</v>
      </c>
      <c r="AR29" s="1485">
        <f>Financials!AP178</f>
        <v>0</v>
      </c>
      <c r="AS29" s="1485">
        <f>IF(Years="Five",Financials!AR178,0)</f>
        <v>0</v>
      </c>
      <c r="AT29" s="1485">
        <f>IF(Years="Five",Financials!AS178,0)</f>
        <v>0</v>
      </c>
      <c r="AU29" s="1485">
        <f>IF(Years="Five",Financials!AT178,0)</f>
        <v>0</v>
      </c>
      <c r="AV29" s="1485">
        <f>IF(Years="Five",Financials!AU178,0)</f>
        <v>0</v>
      </c>
      <c r="AW29" s="1485">
        <f>IF(Years="Five",Financials!AV178,0)</f>
        <v>0</v>
      </c>
      <c r="AX29" s="1485">
        <f>IF(Years="Five",Financials!AW178,0)</f>
        <v>0</v>
      </c>
      <c r="AY29" s="1485">
        <f>IF(Years="Five",Financials!AX178,0)</f>
        <v>0</v>
      </c>
      <c r="AZ29" s="1485">
        <f>IF(Years="Five",Financials!AY178,0)</f>
        <v>0</v>
      </c>
      <c r="BA29" s="1485">
        <f>IF(Years="Five",Financials!AZ178,0)</f>
        <v>0</v>
      </c>
      <c r="BB29" s="1485">
        <f>IF(Years="Five",Financials!BA178,0)</f>
        <v>0</v>
      </c>
      <c r="BC29" s="1485">
        <f>IF(Years="Five",Financials!BB178,0)</f>
        <v>0</v>
      </c>
      <c r="BD29" s="1485">
        <f>IF(Years="Five",Financials!BC178,0)</f>
        <v>0</v>
      </c>
      <c r="BE29" s="1485">
        <f>IF(Years="Five",Financials!BE178,0)</f>
        <v>0</v>
      </c>
      <c r="BF29" s="1485">
        <f>IF(Years="Five",Financials!BF178,0)</f>
        <v>0</v>
      </c>
      <c r="BG29" s="1485">
        <f>IF(Years="Five",Financials!BG178,0)</f>
        <v>0</v>
      </c>
      <c r="BH29" s="1485">
        <f>IF(Years="Five",Financials!BH178,0)</f>
        <v>0</v>
      </c>
      <c r="BI29" s="1485">
        <f>IF(Years="Five",Financials!BI178,0)</f>
        <v>0</v>
      </c>
      <c r="BJ29" s="1485">
        <f>IF(Years="Five",Financials!BJ178,0)</f>
        <v>0</v>
      </c>
      <c r="BK29" s="1485">
        <f>IF(Years="Five",Financials!BK178,0)</f>
        <v>0</v>
      </c>
      <c r="BL29" s="1485">
        <f>IF(Years="Five",Financials!BL178,0)</f>
        <v>0</v>
      </c>
      <c r="BM29" s="1485">
        <f>IF(Years="Five",Financials!BM178,0)</f>
        <v>0</v>
      </c>
      <c r="BN29" s="1485">
        <f>IF(Years="Five",Financials!BN178,0)</f>
        <v>0</v>
      </c>
      <c r="BO29" s="1485">
        <f>IF(Years="Five",Financials!BO178,0)</f>
        <v>0</v>
      </c>
      <c r="BP29" s="1485">
        <f>IF(Years="Five",Financials!BP178,0)</f>
        <v>0</v>
      </c>
      <c r="BQ29" s="43"/>
      <c r="BR29" s="43"/>
      <c r="BS29" s="43"/>
      <c r="BT29" s="43"/>
      <c r="BU29" s="43"/>
      <c r="BV29" s="43"/>
      <c r="BW29" s="1436">
        <f>Infrastructure!M23</f>
        <v>0</v>
      </c>
      <c r="BX29" s="1437">
        <f>$W$3</f>
        <v>0</v>
      </c>
      <c r="BY29" s="1437">
        <f>$W$8</f>
        <v>0</v>
      </c>
      <c r="BZ29" s="1183"/>
      <c r="CA29" s="1183"/>
      <c r="CB29" s="1183"/>
      <c r="CC29" s="1183"/>
      <c r="CD29" s="484">
        <f>$V$38</f>
        <v>0</v>
      </c>
      <c r="CE29" s="484">
        <f>$V$39</f>
        <v>0</v>
      </c>
      <c r="CF29" s="484">
        <f>$V$40</f>
        <v>0</v>
      </c>
      <c r="CG29" s="484">
        <f>$V$41</f>
        <v>0</v>
      </c>
      <c r="CH29" s="484">
        <f>$V$42</f>
        <v>0</v>
      </c>
      <c r="CI29" s="484">
        <f>$V$43</f>
        <v>0</v>
      </c>
      <c r="CJ29" s="484">
        <f>$V$44</f>
        <v>0</v>
      </c>
      <c r="CK29" s="484">
        <f>$V$45</f>
        <v>0</v>
      </c>
      <c r="CL29" s="484">
        <f>$V$46</f>
        <v>0</v>
      </c>
      <c r="CM29" s="484">
        <f>$V$47</f>
        <v>0</v>
      </c>
      <c r="CN29" s="1183"/>
      <c r="CO29" s="1183"/>
      <c r="CP29" s="1183"/>
      <c r="CQ29" s="1183"/>
      <c r="CR29" s="1183"/>
      <c r="CS29" s="1183"/>
      <c r="CT29" s="1183"/>
      <c r="CU29" s="1183"/>
      <c r="CV29" s="1183"/>
      <c r="CW29" s="1183"/>
      <c r="CX29" s="1183"/>
      <c r="CY29" s="1183"/>
      <c r="CZ29" s="1183"/>
      <c r="DA29" s="1183"/>
      <c r="DB29" s="1183"/>
      <c r="DC29" s="1183"/>
      <c r="DD29" s="1183"/>
      <c r="DE29" s="1183"/>
      <c r="DF29" s="1183"/>
      <c r="DG29" s="1183"/>
      <c r="DH29" s="1183"/>
      <c r="DI29" s="1183"/>
      <c r="DJ29" s="1183"/>
      <c r="DK29" s="1183"/>
      <c r="DL29" s="1183"/>
      <c r="DM29" s="1183"/>
      <c r="DN29" s="1183"/>
      <c r="DO29" s="1183"/>
      <c r="DP29" s="1183"/>
      <c r="DQ29" s="1183"/>
    </row>
    <row r="30" spans="1:121" s="12" customFormat="1" ht="12" customHeight="1" x14ac:dyDescent="0.35">
      <c r="A30" s="1476" t="s">
        <v>368</v>
      </c>
      <c r="B30" s="1496">
        <f>SUMIF($I$2:$BP$2,"&lt;="&amp;B$22,$I$22:$BP$22)</f>
        <v>0</v>
      </c>
      <c r="C30" s="1496">
        <f>SUMIF($I$2:$BP$2,"&lt;="&amp;C$22,$I$22:$BP$22)</f>
        <v>0</v>
      </c>
      <c r="D30" s="1496">
        <f>SUMIF($I$2:$BP$2,"&lt;="&amp;D$22,$I$22:$BP$22)</f>
        <v>0</v>
      </c>
      <c r="E30" s="1477"/>
      <c r="F30" s="1477"/>
      <c r="G30" s="1478"/>
      <c r="H30" s="1478"/>
      <c r="I30" s="1483">
        <f>Financials!E175</f>
        <v>0</v>
      </c>
      <c r="J30" s="1483">
        <f>Financials!F175</f>
        <v>0</v>
      </c>
      <c r="K30" s="1483">
        <f>Financials!G175</f>
        <v>0</v>
      </c>
      <c r="L30" s="1483">
        <f>Financials!H175</f>
        <v>0</v>
      </c>
      <c r="M30" s="1483">
        <f>Financials!I175</f>
        <v>0</v>
      </c>
      <c r="N30" s="1483">
        <f>Financials!J175</f>
        <v>0</v>
      </c>
      <c r="O30" s="1483">
        <f>Financials!K175</f>
        <v>0</v>
      </c>
      <c r="P30" s="1483">
        <f>Financials!L175</f>
        <v>0</v>
      </c>
      <c r="Q30" s="1483">
        <f>Financials!M175</f>
        <v>0</v>
      </c>
      <c r="R30" s="1483">
        <f>Financials!N175</f>
        <v>0</v>
      </c>
      <c r="S30" s="1483">
        <f>Financials!O175</f>
        <v>0</v>
      </c>
      <c r="T30" s="1483">
        <f>Financials!P175</f>
        <v>0</v>
      </c>
      <c r="U30" s="1483">
        <f>Financials!R175</f>
        <v>0</v>
      </c>
      <c r="V30" s="1483">
        <f>Financials!S175</f>
        <v>0</v>
      </c>
      <c r="W30" s="1483">
        <f>Financials!T175</f>
        <v>0</v>
      </c>
      <c r="X30" s="1483">
        <f>Financials!U175</f>
        <v>0</v>
      </c>
      <c r="Y30" s="1483">
        <f>Financials!V175</f>
        <v>0</v>
      </c>
      <c r="Z30" s="1483">
        <f>Financials!W175</f>
        <v>0</v>
      </c>
      <c r="AA30" s="1483">
        <f>Financials!X175</f>
        <v>0</v>
      </c>
      <c r="AB30" s="1483">
        <f>Financials!Y175</f>
        <v>0</v>
      </c>
      <c r="AC30" s="1483">
        <f>Financials!Z175</f>
        <v>0</v>
      </c>
      <c r="AD30" s="1483">
        <f>Financials!AA175</f>
        <v>0</v>
      </c>
      <c r="AE30" s="1483">
        <f>Financials!AB175</f>
        <v>0</v>
      </c>
      <c r="AF30" s="1485">
        <f>Financials!AC175</f>
        <v>0</v>
      </c>
      <c r="AG30" s="1485">
        <f>Financials!AE175</f>
        <v>0</v>
      </c>
      <c r="AH30" s="1485">
        <f>Financials!AF175</f>
        <v>0</v>
      </c>
      <c r="AI30" s="1485">
        <f>Financials!AG175</f>
        <v>0</v>
      </c>
      <c r="AJ30" s="1485">
        <f>Financials!AH175</f>
        <v>0</v>
      </c>
      <c r="AK30" s="1485">
        <f>Financials!AI175</f>
        <v>0</v>
      </c>
      <c r="AL30" s="1485">
        <f>Financials!AJ175</f>
        <v>0</v>
      </c>
      <c r="AM30" s="1485">
        <f>Financials!AK175</f>
        <v>0</v>
      </c>
      <c r="AN30" s="1485">
        <f>Financials!AL175</f>
        <v>0</v>
      </c>
      <c r="AO30" s="1485">
        <f>Financials!AM175</f>
        <v>0</v>
      </c>
      <c r="AP30" s="1485">
        <f>Financials!AN175</f>
        <v>0</v>
      </c>
      <c r="AQ30" s="1485">
        <f>Financials!AO175</f>
        <v>0</v>
      </c>
      <c r="AR30" s="1485">
        <f>Financials!AP175</f>
        <v>0</v>
      </c>
      <c r="AS30" s="1485">
        <f>Financials!AR175</f>
        <v>0</v>
      </c>
      <c r="AT30" s="1485">
        <f>Financials!AS175</f>
        <v>0</v>
      </c>
      <c r="AU30" s="1485">
        <f>Financials!AT175</f>
        <v>0</v>
      </c>
      <c r="AV30" s="1485">
        <f>Financials!AU175</f>
        <v>0</v>
      </c>
      <c r="AW30" s="1485">
        <f>Financials!AV175</f>
        <v>0</v>
      </c>
      <c r="AX30" s="1485">
        <f>Financials!AW175</f>
        <v>0</v>
      </c>
      <c r="AY30" s="1485">
        <f>Financials!AX175</f>
        <v>0</v>
      </c>
      <c r="AZ30" s="1485">
        <f>Financials!AY175</f>
        <v>0</v>
      </c>
      <c r="BA30" s="1485">
        <f>Financials!AZ175</f>
        <v>0</v>
      </c>
      <c r="BB30" s="1485">
        <f>Financials!BA175</f>
        <v>0</v>
      </c>
      <c r="BC30" s="1485">
        <f>Financials!BB175</f>
        <v>0</v>
      </c>
      <c r="BD30" s="1485">
        <f>Financials!BC175</f>
        <v>0</v>
      </c>
      <c r="BE30" s="1485">
        <f>Financials!BE175</f>
        <v>0</v>
      </c>
      <c r="BF30" s="1485">
        <f>Financials!BF175</f>
        <v>0</v>
      </c>
      <c r="BG30" s="1485">
        <f>Financials!BG175</f>
        <v>0</v>
      </c>
      <c r="BH30" s="1485">
        <f>Financials!BH175</f>
        <v>0</v>
      </c>
      <c r="BI30" s="1485">
        <f>Financials!BI175</f>
        <v>0</v>
      </c>
      <c r="BJ30" s="1485">
        <f>Financials!BJ175</f>
        <v>0</v>
      </c>
      <c r="BK30" s="1485">
        <f>Financials!BK175</f>
        <v>0</v>
      </c>
      <c r="BL30" s="1485">
        <f>Financials!BL175</f>
        <v>0</v>
      </c>
      <c r="BM30" s="1485">
        <f>Financials!BM175</f>
        <v>0</v>
      </c>
      <c r="BN30" s="1485">
        <f>Financials!BN175</f>
        <v>0</v>
      </c>
      <c r="BO30" s="1485">
        <f>Financials!BO175</f>
        <v>0</v>
      </c>
      <c r="BP30" s="1485">
        <f>Financials!BP175</f>
        <v>0</v>
      </c>
      <c r="BQ30" s="43"/>
      <c r="BR30" s="43"/>
      <c r="BS30" s="43"/>
      <c r="BT30" s="43"/>
      <c r="BU30" s="43"/>
      <c r="BV30" s="43"/>
      <c r="BW30" s="1436">
        <f>Infrastructure!M24</f>
        <v>0</v>
      </c>
      <c r="BX30" s="1437">
        <f>$X$3</f>
        <v>0</v>
      </c>
      <c r="BY30" s="1437">
        <f>$X$8</f>
        <v>0</v>
      </c>
      <c r="BZ30" s="1183"/>
      <c r="CA30" s="1183"/>
      <c r="CB30" s="1183"/>
      <c r="CC30" s="1183"/>
      <c r="CD30" s="484">
        <f>$W$38</f>
        <v>0</v>
      </c>
      <c r="CE30" s="484">
        <f>$W$39</f>
        <v>0</v>
      </c>
      <c r="CF30" s="484">
        <f>$W$40</f>
        <v>0</v>
      </c>
      <c r="CG30" s="484">
        <f>$W$41</f>
        <v>0</v>
      </c>
      <c r="CH30" s="484">
        <f>$W$42</f>
        <v>0</v>
      </c>
      <c r="CI30" s="484">
        <f>$W$43</f>
        <v>0</v>
      </c>
      <c r="CJ30" s="484">
        <f>$W$44</f>
        <v>0</v>
      </c>
      <c r="CK30" s="484">
        <f>$W$45</f>
        <v>0</v>
      </c>
      <c r="CL30" s="484">
        <f>$W$46</f>
        <v>0</v>
      </c>
      <c r="CM30" s="484">
        <f>$W$47</f>
        <v>0</v>
      </c>
      <c r="CN30" s="1183"/>
      <c r="CO30" s="1183"/>
      <c r="CP30" s="1183"/>
      <c r="CQ30" s="1183"/>
      <c r="CR30" s="1183"/>
      <c r="CS30" s="1183"/>
      <c r="CT30" s="1183"/>
      <c r="CU30" s="1183"/>
      <c r="CV30" s="1183"/>
      <c r="CW30" s="1183"/>
      <c r="CX30" s="1183"/>
      <c r="CY30" s="1183"/>
      <c r="CZ30" s="1183"/>
      <c r="DA30" s="1183"/>
      <c r="DB30" s="1183"/>
      <c r="DC30" s="1183"/>
      <c r="DD30" s="1183"/>
      <c r="DE30" s="1183"/>
      <c r="DF30" s="1183"/>
      <c r="DG30" s="1183"/>
      <c r="DH30" s="1183"/>
      <c r="DI30" s="1183"/>
      <c r="DJ30" s="1183"/>
      <c r="DK30" s="1183"/>
      <c r="DL30" s="1183"/>
      <c r="DM30" s="1183"/>
      <c r="DN30" s="1183"/>
      <c r="DO30" s="1183"/>
      <c r="DP30" s="1183"/>
      <c r="DQ30" s="1183"/>
    </row>
    <row r="31" spans="1:121" s="12" customFormat="1" ht="12" customHeight="1" x14ac:dyDescent="0.35">
      <c r="A31" s="1476"/>
      <c r="B31" s="1496"/>
      <c r="C31" s="1496"/>
      <c r="D31" s="1496"/>
      <c r="E31" s="1477"/>
      <c r="F31" s="1477"/>
      <c r="G31" s="1478"/>
      <c r="H31" s="1476" t="s">
        <v>17</v>
      </c>
      <c r="I31" s="1483">
        <f>Financials!E188</f>
        <v>0</v>
      </c>
      <c r="J31" s="1483">
        <f>Financials!F188</f>
        <v>0</v>
      </c>
      <c r="K31" s="1483">
        <f>Financials!G188</f>
        <v>0</v>
      </c>
      <c r="L31" s="1483">
        <f>Financials!H188</f>
        <v>0</v>
      </c>
      <c r="M31" s="1483">
        <f>Financials!I188</f>
        <v>0</v>
      </c>
      <c r="N31" s="1483">
        <f>Financials!J188</f>
        <v>0</v>
      </c>
      <c r="O31" s="1483">
        <f>Financials!K188</f>
        <v>0</v>
      </c>
      <c r="P31" s="1483">
        <f>Financials!L188</f>
        <v>0</v>
      </c>
      <c r="Q31" s="1483">
        <f>Financials!M188</f>
        <v>0</v>
      </c>
      <c r="R31" s="1483">
        <f>Financials!N188</f>
        <v>0</v>
      </c>
      <c r="S31" s="1483">
        <f>Financials!O188</f>
        <v>0</v>
      </c>
      <c r="T31" s="1483">
        <f>Financials!P188</f>
        <v>0</v>
      </c>
      <c r="U31" s="1483">
        <f>Financials!R188</f>
        <v>0</v>
      </c>
      <c r="V31" s="1483">
        <f>Financials!S188</f>
        <v>0</v>
      </c>
      <c r="W31" s="1483">
        <f>Financials!T188</f>
        <v>0</v>
      </c>
      <c r="X31" s="1483">
        <f>Financials!U188</f>
        <v>0</v>
      </c>
      <c r="Y31" s="1483">
        <f>Financials!V188</f>
        <v>0</v>
      </c>
      <c r="Z31" s="1483">
        <f>Financials!W188</f>
        <v>0</v>
      </c>
      <c r="AA31" s="1483">
        <f>Financials!X188</f>
        <v>0</v>
      </c>
      <c r="AB31" s="1483">
        <f>Financials!Y188</f>
        <v>0</v>
      </c>
      <c r="AC31" s="1483">
        <f>Financials!Z188</f>
        <v>0</v>
      </c>
      <c r="AD31" s="1483">
        <f>Financials!AA188</f>
        <v>0</v>
      </c>
      <c r="AE31" s="1483">
        <f>Financials!AB188</f>
        <v>0</v>
      </c>
      <c r="AF31" s="1485">
        <f>Financials!AC188</f>
        <v>0</v>
      </c>
      <c r="AG31" s="1485">
        <f>Financials!AE188</f>
        <v>0</v>
      </c>
      <c r="AH31" s="1485">
        <f>Financials!AF188</f>
        <v>0</v>
      </c>
      <c r="AI31" s="1485">
        <f>Financials!AG188</f>
        <v>0</v>
      </c>
      <c r="AJ31" s="1485">
        <f>Financials!AH188</f>
        <v>0</v>
      </c>
      <c r="AK31" s="1485">
        <f>Financials!AI188</f>
        <v>0</v>
      </c>
      <c r="AL31" s="1485">
        <f>Financials!AJ188</f>
        <v>0</v>
      </c>
      <c r="AM31" s="1485">
        <f>Financials!AK188</f>
        <v>0</v>
      </c>
      <c r="AN31" s="1485">
        <f>Financials!AL188</f>
        <v>0</v>
      </c>
      <c r="AO31" s="1485">
        <f>Financials!AM188</f>
        <v>0</v>
      </c>
      <c r="AP31" s="1485">
        <f>Financials!AN188</f>
        <v>0</v>
      </c>
      <c r="AQ31" s="1485">
        <f>Financials!AO188</f>
        <v>0</v>
      </c>
      <c r="AR31" s="1485">
        <f>Financials!AP188</f>
        <v>0</v>
      </c>
      <c r="AS31" s="1485">
        <f>Financials!AR188</f>
        <v>0</v>
      </c>
      <c r="AT31" s="1485">
        <f>Financials!AS188</f>
        <v>0</v>
      </c>
      <c r="AU31" s="1485">
        <f>Financials!AT188</f>
        <v>0</v>
      </c>
      <c r="AV31" s="1485">
        <f>Financials!AU188</f>
        <v>0</v>
      </c>
      <c r="AW31" s="1485">
        <f>Financials!AV188</f>
        <v>0</v>
      </c>
      <c r="AX31" s="1485">
        <f>Financials!AW188</f>
        <v>0</v>
      </c>
      <c r="AY31" s="1485">
        <f>Financials!AX188</f>
        <v>0</v>
      </c>
      <c r="AZ31" s="1485">
        <f>Financials!AY188</f>
        <v>0</v>
      </c>
      <c r="BA31" s="1485">
        <f>Financials!AZ188</f>
        <v>0</v>
      </c>
      <c r="BB31" s="1485">
        <f>Financials!BA188</f>
        <v>0</v>
      </c>
      <c r="BC31" s="1485">
        <f>Financials!BB188</f>
        <v>0</v>
      </c>
      <c r="BD31" s="1485">
        <f>Financials!BC188</f>
        <v>0</v>
      </c>
      <c r="BE31" s="1485">
        <f>Financials!BE188</f>
        <v>0</v>
      </c>
      <c r="BF31" s="1485">
        <f>Financials!BF188</f>
        <v>0</v>
      </c>
      <c r="BG31" s="1485">
        <f>Financials!BG188</f>
        <v>0</v>
      </c>
      <c r="BH31" s="1485">
        <f>Financials!BH188</f>
        <v>0</v>
      </c>
      <c r="BI31" s="1485">
        <f>Financials!BI188</f>
        <v>0</v>
      </c>
      <c r="BJ31" s="1485">
        <f>Financials!BJ188</f>
        <v>0</v>
      </c>
      <c r="BK31" s="1485">
        <f>Financials!BK188</f>
        <v>0</v>
      </c>
      <c r="BL31" s="1485">
        <f>Financials!BL188</f>
        <v>0</v>
      </c>
      <c r="BM31" s="1485">
        <f>Financials!BM188</f>
        <v>0</v>
      </c>
      <c r="BN31" s="1485">
        <f>Financials!BN188</f>
        <v>0</v>
      </c>
      <c r="BO31" s="1485">
        <f>Financials!BO188</f>
        <v>0</v>
      </c>
      <c r="BP31" s="1485">
        <f>Financials!BP188</f>
        <v>0</v>
      </c>
      <c r="BQ31" s="43"/>
      <c r="BR31" s="43"/>
      <c r="BS31" s="43"/>
      <c r="BT31" s="43"/>
      <c r="BU31" s="43"/>
      <c r="BV31" s="43"/>
      <c r="BW31" s="1436"/>
      <c r="BX31" s="1437"/>
      <c r="BY31" s="1437"/>
      <c r="BZ31" s="1183"/>
      <c r="CA31" s="1183"/>
      <c r="CB31" s="1183"/>
      <c r="CC31" s="1183"/>
      <c r="CD31" s="484"/>
      <c r="CE31" s="484"/>
      <c r="CF31" s="484"/>
      <c r="CG31" s="484"/>
      <c r="CH31" s="484"/>
      <c r="CI31" s="484"/>
      <c r="CJ31" s="484"/>
      <c r="CK31" s="484"/>
      <c r="CL31" s="484"/>
      <c r="CM31" s="484"/>
      <c r="CN31" s="1183"/>
      <c r="CO31" s="1183"/>
      <c r="CP31" s="1183"/>
      <c r="CQ31" s="1183"/>
      <c r="CR31" s="1183"/>
      <c r="CS31" s="1183"/>
      <c r="CT31" s="1183"/>
      <c r="CU31" s="1183"/>
      <c r="CV31" s="1183"/>
      <c r="CW31" s="1183"/>
      <c r="CX31" s="1183"/>
      <c r="CY31" s="1183"/>
      <c r="CZ31" s="1183"/>
      <c r="DA31" s="1183"/>
      <c r="DB31" s="1183"/>
      <c r="DC31" s="1183"/>
      <c r="DD31" s="1183"/>
      <c r="DE31" s="1183"/>
      <c r="DF31" s="1183"/>
      <c r="DG31" s="1183"/>
      <c r="DH31" s="1183"/>
      <c r="DI31" s="1183"/>
      <c r="DJ31" s="1183"/>
      <c r="DK31" s="1183"/>
      <c r="DL31" s="1183"/>
      <c r="DM31" s="1183"/>
      <c r="DN31" s="1183"/>
      <c r="DO31" s="1183"/>
      <c r="DP31" s="1183"/>
      <c r="DQ31" s="1183"/>
    </row>
    <row r="32" spans="1:121" s="12" customFormat="1" ht="12" customHeight="1" x14ac:dyDescent="0.35">
      <c r="A32" s="1476"/>
      <c r="B32" s="1496"/>
      <c r="C32" s="1496"/>
      <c r="D32" s="1496"/>
      <c r="E32" s="1477"/>
      <c r="F32" s="1477"/>
      <c r="G32" s="1478"/>
      <c r="H32" s="1476" t="s">
        <v>15</v>
      </c>
      <c r="I32" s="1483">
        <f>Financials!E187</f>
        <v>0</v>
      </c>
      <c r="J32" s="1483">
        <f>Financials!F187</f>
        <v>0</v>
      </c>
      <c r="K32" s="1483">
        <f>Financials!G187</f>
        <v>0</v>
      </c>
      <c r="L32" s="1483">
        <f>Financials!H187</f>
        <v>0</v>
      </c>
      <c r="M32" s="1483">
        <f>Financials!I187</f>
        <v>0</v>
      </c>
      <c r="N32" s="1483">
        <f>Financials!J187</f>
        <v>0</v>
      </c>
      <c r="O32" s="1483">
        <f>Financials!K187</f>
        <v>0</v>
      </c>
      <c r="P32" s="1483">
        <f>Financials!L187</f>
        <v>0</v>
      </c>
      <c r="Q32" s="1483">
        <f>Financials!M187</f>
        <v>0</v>
      </c>
      <c r="R32" s="1483">
        <f>Financials!N187</f>
        <v>0</v>
      </c>
      <c r="S32" s="1483">
        <f>Financials!O187</f>
        <v>0</v>
      </c>
      <c r="T32" s="1483">
        <f>Financials!P187</f>
        <v>0</v>
      </c>
      <c r="U32" s="1483">
        <f>Financials!R187</f>
        <v>0</v>
      </c>
      <c r="V32" s="1483">
        <f>Financials!S187</f>
        <v>0</v>
      </c>
      <c r="W32" s="1483">
        <f>Financials!T187</f>
        <v>0</v>
      </c>
      <c r="X32" s="1483">
        <f>Financials!U187</f>
        <v>0</v>
      </c>
      <c r="Y32" s="1483">
        <f>Financials!V187</f>
        <v>0</v>
      </c>
      <c r="Z32" s="1483">
        <f>Financials!W187</f>
        <v>0</v>
      </c>
      <c r="AA32" s="1483">
        <f>Financials!X187</f>
        <v>0</v>
      </c>
      <c r="AB32" s="1483">
        <f>Financials!Y187</f>
        <v>0</v>
      </c>
      <c r="AC32" s="1483">
        <f>Financials!Z187</f>
        <v>0</v>
      </c>
      <c r="AD32" s="1483">
        <f>Financials!AA187</f>
        <v>0</v>
      </c>
      <c r="AE32" s="1483">
        <f>Financials!AB187</f>
        <v>0</v>
      </c>
      <c r="AF32" s="1485">
        <f>Financials!AC187</f>
        <v>0</v>
      </c>
      <c r="AG32" s="1485">
        <f>Financials!AE187</f>
        <v>0</v>
      </c>
      <c r="AH32" s="1485">
        <f>Financials!AF187</f>
        <v>0</v>
      </c>
      <c r="AI32" s="1485">
        <f>Financials!AG187</f>
        <v>0</v>
      </c>
      <c r="AJ32" s="1485">
        <f>Financials!AH187</f>
        <v>0</v>
      </c>
      <c r="AK32" s="1485">
        <f>Financials!AI187</f>
        <v>0</v>
      </c>
      <c r="AL32" s="1485">
        <f>Financials!AJ187</f>
        <v>0</v>
      </c>
      <c r="AM32" s="1485">
        <f>Financials!AK187</f>
        <v>0</v>
      </c>
      <c r="AN32" s="1485">
        <f>Financials!AL187</f>
        <v>0</v>
      </c>
      <c r="AO32" s="1485">
        <f>Financials!AM187</f>
        <v>0</v>
      </c>
      <c r="AP32" s="1485">
        <f>Financials!AN187</f>
        <v>0</v>
      </c>
      <c r="AQ32" s="1485">
        <f>Financials!AO187</f>
        <v>0</v>
      </c>
      <c r="AR32" s="1485">
        <f>Financials!AP187</f>
        <v>0</v>
      </c>
      <c r="AS32" s="1485">
        <f>Financials!AR187</f>
        <v>0</v>
      </c>
      <c r="AT32" s="1485">
        <f>Financials!AS187</f>
        <v>0</v>
      </c>
      <c r="AU32" s="1485">
        <f>Financials!AT187</f>
        <v>0</v>
      </c>
      <c r="AV32" s="1485">
        <f>Financials!AU187</f>
        <v>0</v>
      </c>
      <c r="AW32" s="1485">
        <f>Financials!AV187</f>
        <v>0</v>
      </c>
      <c r="AX32" s="1485">
        <f>Financials!AW187</f>
        <v>0</v>
      </c>
      <c r="AY32" s="1485">
        <f>Financials!AX187</f>
        <v>0</v>
      </c>
      <c r="AZ32" s="1485">
        <f>Financials!AY187</f>
        <v>0</v>
      </c>
      <c r="BA32" s="1485">
        <f>Financials!AZ187</f>
        <v>0</v>
      </c>
      <c r="BB32" s="1485">
        <f>Financials!BA187</f>
        <v>0</v>
      </c>
      <c r="BC32" s="1485">
        <f>Financials!BB187</f>
        <v>0</v>
      </c>
      <c r="BD32" s="1485">
        <f>Financials!BC187</f>
        <v>0</v>
      </c>
      <c r="BE32" s="1485">
        <f>Financials!BE187</f>
        <v>0</v>
      </c>
      <c r="BF32" s="1485">
        <f>Financials!BF187</f>
        <v>0</v>
      </c>
      <c r="BG32" s="1485">
        <f>Financials!BG187</f>
        <v>0</v>
      </c>
      <c r="BH32" s="1485">
        <f>Financials!BH187</f>
        <v>0</v>
      </c>
      <c r="BI32" s="1485">
        <f>Financials!BI187</f>
        <v>0</v>
      </c>
      <c r="BJ32" s="1485">
        <f>Financials!BJ187</f>
        <v>0</v>
      </c>
      <c r="BK32" s="1485">
        <f>Financials!BK187</f>
        <v>0</v>
      </c>
      <c r="BL32" s="1485">
        <f>Financials!BL187</f>
        <v>0</v>
      </c>
      <c r="BM32" s="1485">
        <f>Financials!BM187</f>
        <v>0</v>
      </c>
      <c r="BN32" s="1485">
        <f>Financials!BN187</f>
        <v>0</v>
      </c>
      <c r="BO32" s="1485">
        <f>Financials!BO187</f>
        <v>0</v>
      </c>
      <c r="BP32" s="1485">
        <f>Financials!BP187</f>
        <v>0</v>
      </c>
      <c r="BQ32" s="43"/>
      <c r="BR32" s="43"/>
      <c r="BS32" s="43"/>
      <c r="BT32" s="43"/>
      <c r="BU32" s="43"/>
      <c r="BV32" s="43"/>
      <c r="BW32" s="1436"/>
      <c r="BX32" s="1437"/>
      <c r="BY32" s="1437"/>
      <c r="BZ32" s="1183"/>
      <c r="CA32" s="1183"/>
      <c r="CB32" s="1183"/>
      <c r="CC32" s="1183"/>
      <c r="CD32" s="484"/>
      <c r="CE32" s="484"/>
      <c r="CF32" s="484"/>
      <c r="CG32" s="484"/>
      <c r="CH32" s="484"/>
      <c r="CI32" s="484"/>
      <c r="CJ32" s="484"/>
      <c r="CK32" s="484"/>
      <c r="CL32" s="484"/>
      <c r="CM32" s="484"/>
      <c r="CN32" s="1183"/>
      <c r="CO32" s="1183"/>
      <c r="CP32" s="1183"/>
      <c r="CQ32" s="1183"/>
      <c r="CR32" s="1183"/>
      <c r="CS32" s="1183"/>
      <c r="CT32" s="1183"/>
      <c r="CU32" s="1183"/>
      <c r="CV32" s="1183"/>
      <c r="CW32" s="1183"/>
      <c r="CX32" s="1183"/>
      <c r="CY32" s="1183"/>
      <c r="CZ32" s="1183"/>
      <c r="DA32" s="1183"/>
      <c r="DB32" s="1183"/>
      <c r="DC32" s="1183"/>
      <c r="DD32" s="1183"/>
      <c r="DE32" s="1183"/>
      <c r="DF32" s="1183"/>
      <c r="DG32" s="1183"/>
      <c r="DH32" s="1183"/>
      <c r="DI32" s="1183"/>
      <c r="DJ32" s="1183"/>
      <c r="DK32" s="1183"/>
      <c r="DL32" s="1183"/>
      <c r="DM32" s="1183"/>
      <c r="DN32" s="1183"/>
      <c r="DO32" s="1183"/>
      <c r="DP32" s="1183"/>
      <c r="DQ32" s="1183"/>
    </row>
    <row r="33" spans="1:121" s="12" customFormat="1" ht="12" customHeight="1" x14ac:dyDescent="0.35">
      <c r="A33" s="1476"/>
      <c r="B33" s="1496"/>
      <c r="C33" s="1496"/>
      <c r="D33" s="1496"/>
      <c r="E33" s="1477"/>
      <c r="F33" s="1477"/>
      <c r="G33" s="1478"/>
      <c r="H33" s="1476" t="s">
        <v>321</v>
      </c>
      <c r="I33" s="1483">
        <f>Financials!E210</f>
        <v>0</v>
      </c>
      <c r="J33" s="1483">
        <f>Financials!F210</f>
        <v>0</v>
      </c>
      <c r="K33" s="1483">
        <f>Financials!G210</f>
        <v>0</v>
      </c>
      <c r="L33" s="1483">
        <f>Financials!H210</f>
        <v>0</v>
      </c>
      <c r="M33" s="1483">
        <f>Financials!I210</f>
        <v>0</v>
      </c>
      <c r="N33" s="1483">
        <f>Financials!J210</f>
        <v>0</v>
      </c>
      <c r="O33" s="1483">
        <f>Financials!K210</f>
        <v>0</v>
      </c>
      <c r="P33" s="1483">
        <f>Financials!L210</f>
        <v>0</v>
      </c>
      <c r="Q33" s="1483">
        <f>Financials!M210</f>
        <v>0</v>
      </c>
      <c r="R33" s="1483">
        <f>Financials!N210</f>
        <v>0</v>
      </c>
      <c r="S33" s="1483">
        <f>Financials!O210</f>
        <v>0</v>
      </c>
      <c r="T33" s="1483">
        <f>Financials!P210</f>
        <v>0</v>
      </c>
      <c r="U33" s="1483">
        <f>Financials!R210</f>
        <v>0</v>
      </c>
      <c r="V33" s="1483">
        <f>Financials!S210</f>
        <v>0</v>
      </c>
      <c r="W33" s="1483">
        <f>Financials!T210</f>
        <v>0</v>
      </c>
      <c r="X33" s="1483">
        <f>Financials!U210</f>
        <v>0</v>
      </c>
      <c r="Y33" s="1483">
        <f>Financials!V210</f>
        <v>0</v>
      </c>
      <c r="Z33" s="1483">
        <f>Financials!W210</f>
        <v>0</v>
      </c>
      <c r="AA33" s="1483">
        <f>Financials!X210</f>
        <v>0</v>
      </c>
      <c r="AB33" s="1483">
        <f>Financials!Y210</f>
        <v>0</v>
      </c>
      <c r="AC33" s="1483">
        <f>Financials!Z210</f>
        <v>0</v>
      </c>
      <c r="AD33" s="1483">
        <f>Financials!AA210</f>
        <v>0</v>
      </c>
      <c r="AE33" s="1483">
        <f>Financials!AB210</f>
        <v>0</v>
      </c>
      <c r="AF33" s="1485">
        <f>Financials!AC210</f>
        <v>0</v>
      </c>
      <c r="AG33" s="1485">
        <f>Financials!AE210</f>
        <v>0</v>
      </c>
      <c r="AH33" s="1485">
        <f>Financials!AF210</f>
        <v>0</v>
      </c>
      <c r="AI33" s="1485">
        <f>Financials!AG210</f>
        <v>0</v>
      </c>
      <c r="AJ33" s="1485">
        <f>Financials!AH210</f>
        <v>0</v>
      </c>
      <c r="AK33" s="1485">
        <f>Financials!AI210</f>
        <v>0</v>
      </c>
      <c r="AL33" s="1485">
        <f>Financials!AJ210</f>
        <v>0</v>
      </c>
      <c r="AM33" s="1485">
        <f>Financials!AK210</f>
        <v>0</v>
      </c>
      <c r="AN33" s="1485">
        <f>Financials!AL210</f>
        <v>0</v>
      </c>
      <c r="AO33" s="1485">
        <f>Financials!AM210</f>
        <v>0</v>
      </c>
      <c r="AP33" s="1485">
        <f>Financials!AN210</f>
        <v>0</v>
      </c>
      <c r="AQ33" s="1485">
        <f>Financials!AO210</f>
        <v>0</v>
      </c>
      <c r="AR33" s="1485">
        <f>Financials!AP210</f>
        <v>0</v>
      </c>
      <c r="AS33" s="1485">
        <f>Financials!AR210</f>
        <v>0</v>
      </c>
      <c r="AT33" s="1485">
        <f>Financials!AS210</f>
        <v>0</v>
      </c>
      <c r="AU33" s="1485">
        <f>Financials!AT210</f>
        <v>0</v>
      </c>
      <c r="AV33" s="1485">
        <f>Financials!AU210</f>
        <v>0</v>
      </c>
      <c r="AW33" s="1485">
        <f>Financials!AV210</f>
        <v>0</v>
      </c>
      <c r="AX33" s="1485">
        <f>Financials!AW210</f>
        <v>0</v>
      </c>
      <c r="AY33" s="1485">
        <f>Financials!AX210</f>
        <v>0</v>
      </c>
      <c r="AZ33" s="1485">
        <f>Financials!AY210</f>
        <v>0</v>
      </c>
      <c r="BA33" s="1485">
        <f>Financials!AZ210</f>
        <v>0</v>
      </c>
      <c r="BB33" s="1485">
        <f>Financials!BA210</f>
        <v>0</v>
      </c>
      <c r="BC33" s="1485">
        <f>Financials!BB210</f>
        <v>0</v>
      </c>
      <c r="BD33" s="1485">
        <f>Financials!BC210</f>
        <v>0</v>
      </c>
      <c r="BE33" s="1485">
        <f>Financials!BE210</f>
        <v>0</v>
      </c>
      <c r="BF33" s="1485">
        <f>Financials!BF210</f>
        <v>0</v>
      </c>
      <c r="BG33" s="1485">
        <f>Financials!BG210</f>
        <v>0</v>
      </c>
      <c r="BH33" s="1485">
        <f>Financials!BH210</f>
        <v>0</v>
      </c>
      <c r="BI33" s="1485">
        <f>Financials!BI210</f>
        <v>0</v>
      </c>
      <c r="BJ33" s="1485">
        <f>Financials!BJ210</f>
        <v>0</v>
      </c>
      <c r="BK33" s="1485">
        <f>Financials!BK210</f>
        <v>0</v>
      </c>
      <c r="BL33" s="1485">
        <f>Financials!BL210</f>
        <v>0</v>
      </c>
      <c r="BM33" s="1485">
        <f>Financials!BM210</f>
        <v>0</v>
      </c>
      <c r="BN33" s="1485">
        <f>Financials!BN210</f>
        <v>0</v>
      </c>
      <c r="BO33" s="1485">
        <f>Financials!BO210</f>
        <v>0</v>
      </c>
      <c r="BP33" s="1485">
        <f>Financials!BP210</f>
        <v>0</v>
      </c>
      <c r="BQ33" s="43"/>
      <c r="BR33" s="43"/>
      <c r="BS33" s="43"/>
      <c r="BT33" s="43"/>
      <c r="BU33" s="43"/>
      <c r="BV33" s="43"/>
      <c r="BW33" s="1436"/>
      <c r="BX33" s="1437"/>
      <c r="BY33" s="1437"/>
      <c r="BZ33" s="1183"/>
      <c r="CA33" s="1183"/>
      <c r="CB33" s="1183"/>
      <c r="CC33" s="1183"/>
      <c r="CD33" s="484"/>
      <c r="CE33" s="484"/>
      <c r="CF33" s="484"/>
      <c r="CG33" s="484"/>
      <c r="CH33" s="484"/>
      <c r="CI33" s="484"/>
      <c r="CJ33" s="484"/>
      <c r="CK33" s="484"/>
      <c r="CL33" s="484"/>
      <c r="CM33" s="484"/>
      <c r="CN33" s="1183"/>
      <c r="CO33" s="1183"/>
      <c r="CP33" s="1183"/>
      <c r="CQ33" s="1183"/>
      <c r="CR33" s="1183"/>
      <c r="CS33" s="1183"/>
      <c r="CT33" s="1183"/>
      <c r="CU33" s="1183"/>
      <c r="CV33" s="1183"/>
      <c r="CW33" s="1183"/>
      <c r="CX33" s="1183"/>
      <c r="CY33" s="1183"/>
      <c r="CZ33" s="1183"/>
      <c r="DA33" s="1183"/>
      <c r="DB33" s="1183"/>
      <c r="DC33" s="1183"/>
      <c r="DD33" s="1183"/>
      <c r="DE33" s="1183"/>
      <c r="DF33" s="1183"/>
      <c r="DG33" s="1183"/>
      <c r="DH33" s="1183"/>
      <c r="DI33" s="1183"/>
      <c r="DJ33" s="1183"/>
      <c r="DK33" s="1183"/>
      <c r="DL33" s="1183"/>
      <c r="DM33" s="1183"/>
      <c r="DN33" s="1183"/>
      <c r="DO33" s="1183"/>
      <c r="DP33" s="1183"/>
      <c r="DQ33" s="1183"/>
    </row>
    <row r="34" spans="1:121" s="12" customFormat="1" ht="12" customHeight="1" x14ac:dyDescent="0.35">
      <c r="A34" s="1476"/>
      <c r="B34" s="1496"/>
      <c r="C34" s="1496"/>
      <c r="D34" s="1496">
        <f>IF(D23=AR2,1,2)</f>
        <v>2</v>
      </c>
      <c r="E34" s="1477"/>
      <c r="F34" s="1477"/>
      <c r="G34" s="1478"/>
      <c r="H34" s="1476" t="s">
        <v>340</v>
      </c>
      <c r="I34" s="1483">
        <f>Financials!E211</f>
        <v>0</v>
      </c>
      <c r="J34" s="1483">
        <f>Financials!F211</f>
        <v>0</v>
      </c>
      <c r="K34" s="1483">
        <f>Financials!G211</f>
        <v>0</v>
      </c>
      <c r="L34" s="1483">
        <f>Financials!H211</f>
        <v>0</v>
      </c>
      <c r="M34" s="1483">
        <f>Financials!I211</f>
        <v>0</v>
      </c>
      <c r="N34" s="1483">
        <f>Financials!J211</f>
        <v>0</v>
      </c>
      <c r="O34" s="1483">
        <f>Financials!K211</f>
        <v>0</v>
      </c>
      <c r="P34" s="1483">
        <f>Financials!L211</f>
        <v>0</v>
      </c>
      <c r="Q34" s="1483">
        <f>Financials!M211</f>
        <v>0</v>
      </c>
      <c r="R34" s="1483">
        <f>Financials!N211</f>
        <v>0</v>
      </c>
      <c r="S34" s="1483">
        <f>Financials!O211</f>
        <v>0</v>
      </c>
      <c r="T34" s="1483">
        <f>Financials!P211</f>
        <v>0</v>
      </c>
      <c r="U34" s="1483">
        <f>Financials!R211</f>
        <v>0</v>
      </c>
      <c r="V34" s="1483">
        <f>Financials!S211</f>
        <v>0</v>
      </c>
      <c r="W34" s="1483">
        <f>Financials!T211</f>
        <v>0</v>
      </c>
      <c r="X34" s="1483">
        <f>Financials!U211</f>
        <v>0</v>
      </c>
      <c r="Y34" s="1483">
        <f>Financials!V211</f>
        <v>0</v>
      </c>
      <c r="Z34" s="1483">
        <f>Financials!W211</f>
        <v>0</v>
      </c>
      <c r="AA34" s="1483">
        <f>Financials!X211</f>
        <v>0</v>
      </c>
      <c r="AB34" s="1483">
        <f>Financials!Y211</f>
        <v>0</v>
      </c>
      <c r="AC34" s="1483">
        <f>Financials!Z211</f>
        <v>0</v>
      </c>
      <c r="AD34" s="1483">
        <f>Financials!AA211</f>
        <v>0</v>
      </c>
      <c r="AE34" s="1483">
        <f>Financials!AB211</f>
        <v>0</v>
      </c>
      <c r="AF34" s="1485">
        <f>Financials!AC211</f>
        <v>0</v>
      </c>
      <c r="AG34" s="1485">
        <f>Financials!AE211</f>
        <v>0</v>
      </c>
      <c r="AH34" s="1485">
        <f>Financials!AF211</f>
        <v>0</v>
      </c>
      <c r="AI34" s="1485">
        <f>Financials!AG211</f>
        <v>0</v>
      </c>
      <c r="AJ34" s="1485">
        <f>Financials!AH211</f>
        <v>0</v>
      </c>
      <c r="AK34" s="1485">
        <f>Financials!AI211</f>
        <v>0</v>
      </c>
      <c r="AL34" s="1485">
        <f>Financials!AJ211</f>
        <v>0</v>
      </c>
      <c r="AM34" s="1485">
        <f>Financials!AK211</f>
        <v>0</v>
      </c>
      <c r="AN34" s="1485">
        <f>Financials!AL211</f>
        <v>0</v>
      </c>
      <c r="AO34" s="1485">
        <f>Financials!AM211</f>
        <v>0</v>
      </c>
      <c r="AP34" s="1485">
        <f>Financials!AN211</f>
        <v>0</v>
      </c>
      <c r="AQ34" s="1485">
        <f>Financials!AO211</f>
        <v>0</v>
      </c>
      <c r="AR34" s="1485">
        <f>Financials!AP211</f>
        <v>0</v>
      </c>
      <c r="AS34" s="1485">
        <f>Financials!AR211</f>
        <v>0</v>
      </c>
      <c r="AT34" s="1485">
        <f>Financials!AS211</f>
        <v>0</v>
      </c>
      <c r="AU34" s="1485">
        <f>Financials!AT211</f>
        <v>0</v>
      </c>
      <c r="AV34" s="1485">
        <f>Financials!AU211</f>
        <v>0</v>
      </c>
      <c r="AW34" s="1485">
        <f>Financials!AV211</f>
        <v>0</v>
      </c>
      <c r="AX34" s="1485">
        <f>Financials!AW211</f>
        <v>0</v>
      </c>
      <c r="AY34" s="1485">
        <f>Financials!AX211</f>
        <v>0</v>
      </c>
      <c r="AZ34" s="1485">
        <f>Financials!AY211</f>
        <v>0</v>
      </c>
      <c r="BA34" s="1485">
        <f>Financials!AZ211</f>
        <v>0</v>
      </c>
      <c r="BB34" s="1485">
        <f>Financials!BA211</f>
        <v>0</v>
      </c>
      <c r="BC34" s="1485">
        <f>Financials!BB211</f>
        <v>0</v>
      </c>
      <c r="BD34" s="1485">
        <f>Financials!BC211</f>
        <v>0</v>
      </c>
      <c r="BE34" s="1485">
        <f>Financials!BE211</f>
        <v>0</v>
      </c>
      <c r="BF34" s="1485">
        <f>Financials!BF211</f>
        <v>0</v>
      </c>
      <c r="BG34" s="1485">
        <f>Financials!BG211</f>
        <v>0</v>
      </c>
      <c r="BH34" s="1485">
        <f>Financials!BH211</f>
        <v>0</v>
      </c>
      <c r="BI34" s="1485">
        <f>Financials!BI211</f>
        <v>0</v>
      </c>
      <c r="BJ34" s="1485">
        <f>Financials!BJ211</f>
        <v>0</v>
      </c>
      <c r="BK34" s="1485">
        <f>Financials!BK211</f>
        <v>0</v>
      </c>
      <c r="BL34" s="1485">
        <f>Financials!BL211</f>
        <v>0</v>
      </c>
      <c r="BM34" s="1485">
        <f>Financials!BM211</f>
        <v>0</v>
      </c>
      <c r="BN34" s="1485">
        <f>Financials!BN211</f>
        <v>0</v>
      </c>
      <c r="BO34" s="1485">
        <f>Financials!BO211</f>
        <v>0</v>
      </c>
      <c r="BP34" s="1485">
        <f>Financials!BP211</f>
        <v>0</v>
      </c>
      <c r="BQ34" s="43"/>
      <c r="BR34" s="43"/>
      <c r="BS34" s="43"/>
      <c r="BT34" s="43"/>
      <c r="BU34" s="43"/>
      <c r="BV34" s="43"/>
      <c r="BW34" s="1436"/>
      <c r="BX34" s="1437"/>
      <c r="BY34" s="1437"/>
      <c r="BZ34" s="1183"/>
      <c r="CA34" s="1183"/>
      <c r="CB34" s="1183"/>
      <c r="CC34" s="1183"/>
      <c r="CD34" s="484"/>
      <c r="CE34" s="484"/>
      <c r="CF34" s="484"/>
      <c r="CG34" s="484"/>
      <c r="CH34" s="484"/>
      <c r="CI34" s="484"/>
      <c r="CJ34" s="484"/>
      <c r="CK34" s="484"/>
      <c r="CL34" s="484"/>
      <c r="CM34" s="484"/>
      <c r="CN34" s="1183"/>
      <c r="CO34" s="1183"/>
      <c r="CP34" s="1183"/>
      <c r="CQ34" s="1183"/>
      <c r="CR34" s="1183"/>
      <c r="CS34" s="1183"/>
      <c r="CT34" s="1183"/>
      <c r="CU34" s="1183"/>
      <c r="CV34" s="1183"/>
      <c r="CW34" s="1183"/>
      <c r="CX34" s="1183"/>
      <c r="CY34" s="1183"/>
      <c r="CZ34" s="1183"/>
      <c r="DA34" s="1183"/>
      <c r="DB34" s="1183"/>
      <c r="DC34" s="1183"/>
      <c r="DD34" s="1183"/>
      <c r="DE34" s="1183"/>
      <c r="DF34" s="1183"/>
      <c r="DG34" s="1183"/>
      <c r="DH34" s="1183"/>
      <c r="DI34" s="1183"/>
      <c r="DJ34" s="1183"/>
      <c r="DK34" s="1183"/>
      <c r="DL34" s="1183"/>
      <c r="DM34" s="1183"/>
      <c r="DN34" s="1183"/>
      <c r="DO34" s="1183"/>
      <c r="DP34" s="1183"/>
      <c r="DQ34" s="1183"/>
    </row>
    <row r="35" spans="1:121" s="12" customFormat="1" ht="12" customHeight="1" x14ac:dyDescent="0.35">
      <c r="A35" s="1476"/>
      <c r="B35" s="1477"/>
      <c r="C35" s="1476"/>
      <c r="D35" s="1477"/>
      <c r="E35" s="1477"/>
      <c r="F35" s="1477"/>
      <c r="G35" s="1478"/>
      <c r="H35" s="1476" t="s">
        <v>372</v>
      </c>
      <c r="I35" s="1483">
        <f>Financials!E162</f>
        <v>0</v>
      </c>
      <c r="J35" s="1483">
        <f>Financials!F162</f>
        <v>0</v>
      </c>
      <c r="K35" s="1483">
        <f>Financials!G162</f>
        <v>0</v>
      </c>
      <c r="L35" s="1483">
        <f>Financials!H162</f>
        <v>0</v>
      </c>
      <c r="M35" s="1483">
        <f>Financials!I162</f>
        <v>0</v>
      </c>
      <c r="N35" s="1483">
        <f>Financials!J162</f>
        <v>0</v>
      </c>
      <c r="O35" s="1483">
        <f>Financials!K162</f>
        <v>0</v>
      </c>
      <c r="P35" s="1483">
        <f>Financials!L162</f>
        <v>0</v>
      </c>
      <c r="Q35" s="1483">
        <f>Financials!M162</f>
        <v>0</v>
      </c>
      <c r="R35" s="1483">
        <f>Financials!N162</f>
        <v>0</v>
      </c>
      <c r="S35" s="1483">
        <f>Financials!O162</f>
        <v>0</v>
      </c>
      <c r="T35" s="1483">
        <f>Financials!P162</f>
        <v>0</v>
      </c>
      <c r="U35" s="1483">
        <f>Financials!R162</f>
        <v>0</v>
      </c>
      <c r="V35" s="1483">
        <f>Financials!S162</f>
        <v>0</v>
      </c>
      <c r="W35" s="1483">
        <f>Financials!T162</f>
        <v>0</v>
      </c>
      <c r="X35" s="1483">
        <f>Financials!U162</f>
        <v>0</v>
      </c>
      <c r="Y35" s="1483">
        <f>Financials!V162</f>
        <v>0</v>
      </c>
      <c r="Z35" s="1483">
        <f>Financials!W162</f>
        <v>0</v>
      </c>
      <c r="AA35" s="1483">
        <f>Financials!X162</f>
        <v>0</v>
      </c>
      <c r="AB35" s="1483">
        <f>Financials!Y162</f>
        <v>0</v>
      </c>
      <c r="AC35" s="1483">
        <f>Financials!Z162</f>
        <v>0</v>
      </c>
      <c r="AD35" s="1483">
        <f>Financials!AA162</f>
        <v>0</v>
      </c>
      <c r="AE35" s="1483">
        <f>Financials!AB162</f>
        <v>0</v>
      </c>
      <c r="AF35" s="1485">
        <f>Financials!AC162</f>
        <v>0</v>
      </c>
      <c r="AG35" s="1485">
        <f>Financials!AE162</f>
        <v>0</v>
      </c>
      <c r="AH35" s="1485">
        <f>Financials!AF162</f>
        <v>0</v>
      </c>
      <c r="AI35" s="1485">
        <f>Financials!AG162</f>
        <v>0</v>
      </c>
      <c r="AJ35" s="1485">
        <f>Financials!AH162</f>
        <v>0</v>
      </c>
      <c r="AK35" s="1485">
        <f>Financials!AI162</f>
        <v>0</v>
      </c>
      <c r="AL35" s="1485">
        <f>Financials!AJ162</f>
        <v>0</v>
      </c>
      <c r="AM35" s="1485">
        <f>Financials!AK162</f>
        <v>0</v>
      </c>
      <c r="AN35" s="1485">
        <f>Financials!AL162</f>
        <v>0</v>
      </c>
      <c r="AO35" s="1485">
        <f>Financials!AM162</f>
        <v>0</v>
      </c>
      <c r="AP35" s="1485">
        <f>Financials!AN162</f>
        <v>0</v>
      </c>
      <c r="AQ35" s="1485">
        <f>Financials!AO162</f>
        <v>0</v>
      </c>
      <c r="AR35" s="1485">
        <f>Financials!AP162</f>
        <v>0</v>
      </c>
      <c r="AS35" s="1485">
        <f>Financials!AR162</f>
        <v>0</v>
      </c>
      <c r="AT35" s="1485">
        <f>Financials!AS162</f>
        <v>0</v>
      </c>
      <c r="AU35" s="1485">
        <f>Financials!AT162</f>
        <v>0</v>
      </c>
      <c r="AV35" s="1485">
        <f>Financials!AU162</f>
        <v>0</v>
      </c>
      <c r="AW35" s="1485">
        <f>Financials!AV162</f>
        <v>0</v>
      </c>
      <c r="AX35" s="1485">
        <f>Financials!AW162</f>
        <v>0</v>
      </c>
      <c r="AY35" s="1485">
        <f>Financials!AX162</f>
        <v>0</v>
      </c>
      <c r="AZ35" s="1485">
        <f>Financials!AY162</f>
        <v>0</v>
      </c>
      <c r="BA35" s="1485">
        <f>Financials!AZ162</f>
        <v>0</v>
      </c>
      <c r="BB35" s="1485">
        <f>Financials!BA162</f>
        <v>0</v>
      </c>
      <c r="BC35" s="1485">
        <f>Financials!BB162</f>
        <v>0</v>
      </c>
      <c r="BD35" s="1485">
        <f>Financials!BC162</f>
        <v>0</v>
      </c>
      <c r="BE35" s="1485">
        <f>Financials!BE162</f>
        <v>0</v>
      </c>
      <c r="BF35" s="1485">
        <f>Financials!BF162</f>
        <v>0</v>
      </c>
      <c r="BG35" s="1485">
        <f>Financials!BG162</f>
        <v>0</v>
      </c>
      <c r="BH35" s="1485">
        <f>Financials!BH162</f>
        <v>0</v>
      </c>
      <c r="BI35" s="1485">
        <f>Financials!BI162</f>
        <v>0</v>
      </c>
      <c r="BJ35" s="1485">
        <f>Financials!BJ162</f>
        <v>0</v>
      </c>
      <c r="BK35" s="1485">
        <f>Financials!BK162</f>
        <v>0</v>
      </c>
      <c r="BL35" s="1485">
        <f>Financials!BL162</f>
        <v>0</v>
      </c>
      <c r="BM35" s="1485">
        <f>Financials!BM162</f>
        <v>0</v>
      </c>
      <c r="BN35" s="1485">
        <f>Financials!BN162</f>
        <v>0</v>
      </c>
      <c r="BO35" s="1485">
        <f>Financials!BO162</f>
        <v>0</v>
      </c>
      <c r="BP35" s="1485">
        <f>Financials!BP162</f>
        <v>0</v>
      </c>
      <c r="BQ35" s="43"/>
      <c r="BR35" s="43"/>
      <c r="BS35" s="43"/>
      <c r="BT35" s="43"/>
      <c r="BU35" s="43"/>
      <c r="BV35" s="43"/>
      <c r="BW35" s="1436">
        <f>Infrastructure!M25</f>
        <v>0</v>
      </c>
      <c r="BX35" s="1437">
        <f>$Y$3</f>
        <v>0</v>
      </c>
      <c r="BY35" s="1437">
        <f>$Y$8</f>
        <v>0</v>
      </c>
      <c r="BZ35" s="1183"/>
      <c r="CA35" s="1183"/>
      <c r="CB35" s="1183"/>
      <c r="CC35" s="1183"/>
      <c r="CD35" s="484">
        <f>$X$38</f>
        <v>0</v>
      </c>
      <c r="CE35" s="484">
        <f>$X$39</f>
        <v>0</v>
      </c>
      <c r="CF35" s="484">
        <f>$X$40</f>
        <v>0</v>
      </c>
      <c r="CG35" s="484">
        <f>$X$41</f>
        <v>0</v>
      </c>
      <c r="CH35" s="484">
        <f>$X$42</f>
        <v>0</v>
      </c>
      <c r="CI35" s="484">
        <f>$X$43</f>
        <v>0</v>
      </c>
      <c r="CJ35" s="484">
        <f>$X$44</f>
        <v>0</v>
      </c>
      <c r="CK35" s="484">
        <f>$X$45</f>
        <v>0</v>
      </c>
      <c r="CL35" s="484">
        <f>$X$46</f>
        <v>0</v>
      </c>
      <c r="CM35" s="484">
        <f>$X$47</f>
        <v>0</v>
      </c>
      <c r="CN35" s="1183"/>
      <c r="CO35" s="1183"/>
      <c r="CP35" s="1183"/>
      <c r="CQ35" s="1183"/>
      <c r="CR35" s="1183"/>
      <c r="CS35" s="1183"/>
      <c r="CT35" s="1183"/>
      <c r="CU35" s="1183"/>
      <c r="CV35" s="1183"/>
      <c r="CW35" s="1183"/>
      <c r="CX35" s="1183"/>
      <c r="CY35" s="1183"/>
      <c r="CZ35" s="1183"/>
      <c r="DA35" s="1183"/>
      <c r="DB35" s="1183"/>
      <c r="DC35" s="1183"/>
      <c r="DD35" s="1183"/>
      <c r="DE35" s="1183"/>
      <c r="DF35" s="1183"/>
      <c r="DG35" s="1183"/>
      <c r="DH35" s="1183"/>
      <c r="DI35" s="1183"/>
      <c r="DJ35" s="1183"/>
      <c r="DK35" s="1183"/>
      <c r="DL35" s="1183"/>
      <c r="DM35" s="1183"/>
      <c r="DN35" s="1183"/>
      <c r="DO35" s="1183"/>
      <c r="DP35" s="1183"/>
      <c r="DQ35" s="1183"/>
    </row>
    <row r="36" spans="1:121" s="12" customFormat="1" ht="12" customHeight="1" x14ac:dyDescent="0.35">
      <c r="A36" s="1489" t="s">
        <v>373</v>
      </c>
      <c r="B36" s="1477"/>
      <c r="C36" s="1476"/>
      <c r="D36" s="1477"/>
      <c r="E36" s="1477"/>
      <c r="F36" s="1477"/>
      <c r="G36" s="1478"/>
      <c r="H36" s="1476" t="s">
        <v>374</v>
      </c>
      <c r="I36" s="1483">
        <f>Financials!E175</f>
        <v>0</v>
      </c>
      <c r="J36" s="1483">
        <f>Financials!F175</f>
        <v>0</v>
      </c>
      <c r="K36" s="1483">
        <f>Financials!G175</f>
        <v>0</v>
      </c>
      <c r="L36" s="1483">
        <f>Financials!H175</f>
        <v>0</v>
      </c>
      <c r="M36" s="1483">
        <f>Financials!I175</f>
        <v>0</v>
      </c>
      <c r="N36" s="1483">
        <f>Financials!J175</f>
        <v>0</v>
      </c>
      <c r="O36" s="1483">
        <f>Financials!K175</f>
        <v>0</v>
      </c>
      <c r="P36" s="1483">
        <f>Financials!L175</f>
        <v>0</v>
      </c>
      <c r="Q36" s="1483">
        <f>Financials!M175</f>
        <v>0</v>
      </c>
      <c r="R36" s="1483">
        <f>Financials!N175</f>
        <v>0</v>
      </c>
      <c r="S36" s="1483">
        <f>Financials!O175</f>
        <v>0</v>
      </c>
      <c r="T36" s="1483">
        <f>Financials!P175</f>
        <v>0</v>
      </c>
      <c r="U36" s="1483">
        <f>Financials!R175</f>
        <v>0</v>
      </c>
      <c r="V36" s="1483">
        <f>Financials!S175</f>
        <v>0</v>
      </c>
      <c r="W36" s="1483">
        <f>Financials!T175</f>
        <v>0</v>
      </c>
      <c r="X36" s="1483">
        <f>Financials!U175</f>
        <v>0</v>
      </c>
      <c r="Y36" s="1483">
        <f>Financials!V175</f>
        <v>0</v>
      </c>
      <c r="Z36" s="1483">
        <f>Financials!W175</f>
        <v>0</v>
      </c>
      <c r="AA36" s="1483">
        <f>Financials!X175</f>
        <v>0</v>
      </c>
      <c r="AB36" s="1483">
        <f>Financials!Y175</f>
        <v>0</v>
      </c>
      <c r="AC36" s="1483">
        <f>Financials!Z175</f>
        <v>0</v>
      </c>
      <c r="AD36" s="1483">
        <f>Financials!AA175</f>
        <v>0</v>
      </c>
      <c r="AE36" s="1483">
        <f>Financials!AB175</f>
        <v>0</v>
      </c>
      <c r="AF36" s="1485">
        <f>Financials!AC175</f>
        <v>0</v>
      </c>
      <c r="AG36" s="1485">
        <f>Financials!AE175</f>
        <v>0</v>
      </c>
      <c r="AH36" s="1485">
        <f>Financials!AF175</f>
        <v>0</v>
      </c>
      <c r="AI36" s="1485">
        <f>Financials!AG175</f>
        <v>0</v>
      </c>
      <c r="AJ36" s="1485">
        <f>Financials!AH175</f>
        <v>0</v>
      </c>
      <c r="AK36" s="1485">
        <f>Financials!AI175</f>
        <v>0</v>
      </c>
      <c r="AL36" s="1485">
        <f>Financials!AJ175</f>
        <v>0</v>
      </c>
      <c r="AM36" s="1485">
        <f>Financials!AK175</f>
        <v>0</v>
      </c>
      <c r="AN36" s="1485">
        <f>Financials!AL175</f>
        <v>0</v>
      </c>
      <c r="AO36" s="1485">
        <f>Financials!AM175</f>
        <v>0</v>
      </c>
      <c r="AP36" s="1485">
        <f>Financials!AN175</f>
        <v>0</v>
      </c>
      <c r="AQ36" s="1485">
        <f>Financials!AO175</f>
        <v>0</v>
      </c>
      <c r="AR36" s="1485">
        <f>Financials!AP175</f>
        <v>0</v>
      </c>
      <c r="AS36" s="1485">
        <f>IF(Years="Five",Financials!AR175,0)</f>
        <v>0</v>
      </c>
      <c r="AT36" s="1485">
        <f>IF(Years="Five",Financials!AS175,0)</f>
        <v>0</v>
      </c>
      <c r="AU36" s="1485">
        <f>IF(Years="Five",Financials!AT175,0)</f>
        <v>0</v>
      </c>
      <c r="AV36" s="1485">
        <f>IF(Years="Five",Financials!AU175,0)</f>
        <v>0</v>
      </c>
      <c r="AW36" s="1485">
        <f>IF(Years="Five",Financials!AV175,0)</f>
        <v>0</v>
      </c>
      <c r="AX36" s="1485">
        <f>IF(Years="Five",Financials!AW175,0)</f>
        <v>0</v>
      </c>
      <c r="AY36" s="1485">
        <f>IF(Years="Five",Financials!AX175,0)</f>
        <v>0</v>
      </c>
      <c r="AZ36" s="1485">
        <f>IF(Years="Five",Financials!AY175,0)</f>
        <v>0</v>
      </c>
      <c r="BA36" s="1485">
        <f>IF(Years="Five",Financials!AZ175,0)</f>
        <v>0</v>
      </c>
      <c r="BB36" s="1485">
        <f>IF(Years="Five",Financials!BA175,0)</f>
        <v>0</v>
      </c>
      <c r="BC36" s="1485">
        <f>IF(Years="Five",Financials!BB175,0)</f>
        <v>0</v>
      </c>
      <c r="BD36" s="1485">
        <f>IF(Years="Five",Financials!BC175,0)</f>
        <v>0</v>
      </c>
      <c r="BE36" s="1485">
        <f>IF(Years="Five",Financials!BE175,0)</f>
        <v>0</v>
      </c>
      <c r="BF36" s="1485">
        <f>IF(Years="Five",Financials!BF175,0)</f>
        <v>0</v>
      </c>
      <c r="BG36" s="1485">
        <f>IF(Years="Five",Financials!BG175,0)</f>
        <v>0</v>
      </c>
      <c r="BH36" s="1485">
        <f>IF(Years="Five",Financials!BH175,0)</f>
        <v>0</v>
      </c>
      <c r="BI36" s="1485">
        <f>IF(Years="Five",Financials!BI175,0)</f>
        <v>0</v>
      </c>
      <c r="BJ36" s="1485">
        <f>IF(Years="Five",Financials!BJ175,0)</f>
        <v>0</v>
      </c>
      <c r="BK36" s="1485">
        <f>IF(Years="Five",Financials!BK175,0)</f>
        <v>0</v>
      </c>
      <c r="BL36" s="1485">
        <f>IF(Years="Five",Financials!BL175,0)</f>
        <v>0</v>
      </c>
      <c r="BM36" s="1485">
        <f>IF(Years="Five",Financials!BM175,0)</f>
        <v>0</v>
      </c>
      <c r="BN36" s="1485">
        <f>IF(Years="Five",Financials!BN175,0)</f>
        <v>0</v>
      </c>
      <c r="BO36" s="1485">
        <f>IF(Years="Five",Financials!BO175,0)</f>
        <v>0</v>
      </c>
      <c r="BP36" s="1485">
        <f>IF(Years="Five",Financials!BP175,0)</f>
        <v>0</v>
      </c>
      <c r="BQ36" s="43"/>
      <c r="BR36" s="43"/>
      <c r="BS36" s="43"/>
      <c r="BT36" s="43"/>
      <c r="BU36" s="43"/>
      <c r="BV36" s="43"/>
      <c r="BW36" s="1436">
        <f>Infrastructure!M26</f>
        <v>0</v>
      </c>
      <c r="BX36" s="1437">
        <f>$Z$3</f>
        <v>0</v>
      </c>
      <c r="BY36" s="1437">
        <f>$Z$8</f>
        <v>0</v>
      </c>
      <c r="BZ36" s="1183"/>
      <c r="CA36" s="1183"/>
      <c r="CB36" s="1183"/>
      <c r="CC36" s="1183"/>
      <c r="CD36" s="484">
        <f>$Y$38</f>
        <v>0</v>
      </c>
      <c r="CE36" s="484">
        <f>$Y$39</f>
        <v>0</v>
      </c>
      <c r="CF36" s="484">
        <f>$Y$40</f>
        <v>0</v>
      </c>
      <c r="CG36" s="484">
        <f>$Y$41</f>
        <v>0</v>
      </c>
      <c r="CH36" s="484">
        <f>$Y$42</f>
        <v>0</v>
      </c>
      <c r="CI36" s="484">
        <f>$Y$43</f>
        <v>0</v>
      </c>
      <c r="CJ36" s="484">
        <f>$Y$44</f>
        <v>0</v>
      </c>
      <c r="CK36" s="484">
        <f>$Y$45</f>
        <v>0</v>
      </c>
      <c r="CL36" s="484">
        <f>$Y$46</f>
        <v>0</v>
      </c>
      <c r="CM36" s="484">
        <f>$Y$47</f>
        <v>0</v>
      </c>
      <c r="CN36" s="1183"/>
      <c r="CO36" s="1183"/>
      <c r="CP36" s="1183"/>
      <c r="CQ36" s="1183"/>
      <c r="CR36" s="1183"/>
      <c r="CS36" s="1183"/>
      <c r="CT36" s="1183"/>
      <c r="CU36" s="1183"/>
      <c r="CV36" s="1183"/>
      <c r="CW36" s="1183"/>
      <c r="CX36" s="1183"/>
      <c r="CY36" s="1183"/>
      <c r="CZ36" s="1183"/>
      <c r="DA36" s="1183"/>
      <c r="DB36" s="1183"/>
      <c r="DC36" s="1183"/>
      <c r="DD36" s="1183"/>
      <c r="DE36" s="1183"/>
      <c r="DF36" s="1183"/>
      <c r="DG36" s="1183"/>
      <c r="DH36" s="1183"/>
      <c r="DI36" s="1183"/>
      <c r="DJ36" s="1183"/>
      <c r="DK36" s="1183"/>
      <c r="DL36" s="1183"/>
      <c r="DM36" s="1183"/>
      <c r="DN36" s="1183"/>
      <c r="DO36" s="1183"/>
      <c r="DP36" s="1183"/>
      <c r="DQ36" s="1183"/>
    </row>
    <row r="37" spans="1:121" s="12" customFormat="1" ht="12" customHeight="1" x14ac:dyDescent="0.35">
      <c r="A37" s="1476" t="s">
        <v>366</v>
      </c>
      <c r="B37" s="1504">
        <f>SUMIF($I$2:$BP$2,B$23,$I$25:$BP$25)</f>
        <v>0</v>
      </c>
      <c r="C37" s="1504">
        <f>SUMIF($I$2:$BP$2,C$23,$I$25:$BP$25)</f>
        <v>0</v>
      </c>
      <c r="D37" s="1504">
        <f>SUMIF($I$2:$BP$2,D$23,$I$25:$BP$25)</f>
        <v>0</v>
      </c>
      <c r="E37" s="1477"/>
      <c r="F37" s="1477"/>
      <c r="G37" s="1478"/>
      <c r="H37" s="1476"/>
      <c r="I37" s="1478"/>
      <c r="J37" s="1511"/>
      <c r="K37" s="1511"/>
      <c r="L37" s="1511"/>
      <c r="M37" s="1511"/>
      <c r="N37" s="1478"/>
      <c r="O37" s="1478"/>
      <c r="P37" s="1478"/>
      <c r="Q37" s="1478"/>
      <c r="R37" s="1478"/>
      <c r="S37" s="1478"/>
      <c r="T37" s="1478"/>
      <c r="U37" s="1478"/>
      <c r="V37" s="1478"/>
      <c r="W37" s="1478"/>
      <c r="X37" s="1478"/>
      <c r="Y37" s="1478"/>
      <c r="Z37" s="1478"/>
      <c r="AA37" s="1478"/>
      <c r="AB37" s="1478"/>
      <c r="AC37" s="1478"/>
      <c r="AD37" s="1478"/>
      <c r="AE37" s="1478"/>
      <c r="AF37" s="1479"/>
      <c r="AG37" s="1479"/>
      <c r="AH37" s="1479"/>
      <c r="AI37" s="1479"/>
      <c r="AJ37" s="1479"/>
      <c r="AK37" s="1479"/>
      <c r="AL37" s="1479"/>
      <c r="AM37" s="1479"/>
      <c r="AN37" s="1479"/>
      <c r="AO37" s="1479"/>
      <c r="AP37" s="1479"/>
      <c r="AQ37" s="1479"/>
      <c r="AR37" s="1479"/>
      <c r="AS37" s="1479"/>
      <c r="AT37" s="1479"/>
      <c r="AU37" s="1479"/>
      <c r="AV37" s="1479"/>
      <c r="AW37" s="1479"/>
      <c r="AX37" s="1479"/>
      <c r="AY37" s="1479"/>
      <c r="AZ37" s="1479"/>
      <c r="BA37" s="1479"/>
      <c r="BB37" s="1479"/>
      <c r="BC37" s="1479"/>
      <c r="BD37" s="1479"/>
      <c r="BE37" s="1479"/>
      <c r="BF37" s="1479"/>
      <c r="BG37" s="1519"/>
      <c r="BH37" s="1519"/>
      <c r="BI37" s="1519"/>
      <c r="BJ37" s="1519"/>
      <c r="BK37" s="1519"/>
      <c r="BL37" s="1519"/>
      <c r="BM37" s="1519"/>
      <c r="BN37" s="1519"/>
      <c r="BO37" s="1519"/>
      <c r="BP37" s="1519"/>
      <c r="BQ37" s="43"/>
      <c r="BR37" s="43"/>
      <c r="BS37" s="43"/>
      <c r="BT37" s="43"/>
      <c r="BU37" s="43"/>
      <c r="BV37" s="43"/>
      <c r="BW37" s="1436">
        <f>Infrastructure!M27</f>
        <v>0</v>
      </c>
      <c r="BX37" s="1437">
        <f>$AA$3</f>
        <v>0</v>
      </c>
      <c r="BY37" s="1437">
        <f>$AA$8</f>
        <v>0</v>
      </c>
      <c r="BZ37" s="1183"/>
      <c r="CA37" s="1183"/>
      <c r="CB37" s="1183"/>
      <c r="CC37" s="1183"/>
      <c r="CD37" s="484">
        <f>$Z$38</f>
        <v>0</v>
      </c>
      <c r="CE37" s="484">
        <f>$Z$39</f>
        <v>0</v>
      </c>
      <c r="CF37" s="484">
        <f>$Z$40</f>
        <v>0</v>
      </c>
      <c r="CG37" s="484">
        <f>$Z$41</f>
        <v>0</v>
      </c>
      <c r="CH37" s="484">
        <f>$Z$42</f>
        <v>0</v>
      </c>
      <c r="CI37" s="484">
        <f>$Z$43</f>
        <v>0</v>
      </c>
      <c r="CJ37" s="484">
        <f>$Z$44</f>
        <v>0</v>
      </c>
      <c r="CK37" s="484">
        <f>$Z$45</f>
        <v>0</v>
      </c>
      <c r="CL37" s="484">
        <f>$Z$46</f>
        <v>0</v>
      </c>
      <c r="CM37" s="484">
        <f>$Z$47</f>
        <v>0</v>
      </c>
      <c r="CN37" s="1183"/>
      <c r="CO37" s="1183"/>
      <c r="CP37" s="1183"/>
      <c r="CQ37" s="1183"/>
      <c r="CR37" s="1183"/>
      <c r="CS37" s="1183"/>
      <c r="CT37" s="1183"/>
      <c r="CU37" s="1183"/>
      <c r="CV37" s="1183"/>
      <c r="CW37" s="1183"/>
      <c r="CX37" s="1183"/>
      <c r="CY37" s="1183"/>
      <c r="CZ37" s="1183"/>
      <c r="DA37" s="1183"/>
      <c r="DB37" s="1183"/>
      <c r="DC37" s="1183"/>
      <c r="DD37" s="1183"/>
      <c r="DE37" s="1183"/>
      <c r="DF37" s="1183"/>
      <c r="DG37" s="1183"/>
      <c r="DH37" s="1183"/>
      <c r="DI37" s="1183"/>
      <c r="DJ37" s="1183"/>
      <c r="DK37" s="1183"/>
      <c r="DL37" s="1183"/>
      <c r="DM37" s="1183"/>
      <c r="DN37" s="1183"/>
      <c r="DO37" s="1183"/>
      <c r="DP37" s="1183"/>
      <c r="DQ37" s="1183"/>
    </row>
    <row r="38" spans="1:121" s="12" customFormat="1" ht="12" customHeight="1" x14ac:dyDescent="0.35">
      <c r="A38" s="1476" t="s">
        <v>368</v>
      </c>
      <c r="B38" s="1504">
        <f>SUMIF($I$2:$BP$2,"&lt;="&amp;B$23,$I$25:$BP$25)</f>
        <v>0</v>
      </c>
      <c r="C38" s="1504">
        <f>SUMIF($I$2:$BP$2,"&lt;="&amp;C$23,$I$25:$BP$25)</f>
        <v>0</v>
      </c>
      <c r="D38" s="1504">
        <f>SUMIF($I$2:$BP$2,"&lt;="&amp;D$23,$I$25:$BP$25)</f>
        <v>0</v>
      </c>
      <c r="E38" s="1477"/>
      <c r="F38" s="1477"/>
      <c r="G38" s="1476" t="s">
        <v>375</v>
      </c>
      <c r="H38" s="1476" t="str">
        <f>IF(Input!D167&lt;&gt;"",Input!D167,"S&amp;M " &amp;G38)</f>
        <v>S&amp;M #1</v>
      </c>
      <c r="I38" s="1483">
        <f>Financials!E66</f>
        <v>0</v>
      </c>
      <c r="J38" s="1483">
        <f>Financials!F66</f>
        <v>0</v>
      </c>
      <c r="K38" s="1483">
        <f>Financials!G66</f>
        <v>0</v>
      </c>
      <c r="L38" s="1483">
        <f>Financials!H66</f>
        <v>0</v>
      </c>
      <c r="M38" s="1483">
        <f>Financials!I66</f>
        <v>0</v>
      </c>
      <c r="N38" s="1483">
        <f>Financials!J66</f>
        <v>0</v>
      </c>
      <c r="O38" s="1483">
        <f>Financials!K66</f>
        <v>0</v>
      </c>
      <c r="P38" s="1483">
        <f>Financials!L66</f>
        <v>0</v>
      </c>
      <c r="Q38" s="1483">
        <f>Financials!M66</f>
        <v>0</v>
      </c>
      <c r="R38" s="1483">
        <f>Financials!N66</f>
        <v>0</v>
      </c>
      <c r="S38" s="1483">
        <f>Financials!O66</f>
        <v>0</v>
      </c>
      <c r="T38" s="1483">
        <f>Financials!P66</f>
        <v>0</v>
      </c>
      <c r="U38" s="1483">
        <f>Financials!R66</f>
        <v>0</v>
      </c>
      <c r="V38" s="1483">
        <f>Financials!S66</f>
        <v>0</v>
      </c>
      <c r="W38" s="1483">
        <f>Financials!T66</f>
        <v>0</v>
      </c>
      <c r="X38" s="1483">
        <f>Financials!U66</f>
        <v>0</v>
      </c>
      <c r="Y38" s="1483">
        <f>Financials!V66</f>
        <v>0</v>
      </c>
      <c r="Z38" s="1483">
        <f>Financials!W66</f>
        <v>0</v>
      </c>
      <c r="AA38" s="1483">
        <f>Financials!X66</f>
        <v>0</v>
      </c>
      <c r="AB38" s="1483">
        <f>Financials!Y66</f>
        <v>0</v>
      </c>
      <c r="AC38" s="1483">
        <f>Financials!Z66</f>
        <v>0</v>
      </c>
      <c r="AD38" s="1483">
        <f>Financials!AA66</f>
        <v>0</v>
      </c>
      <c r="AE38" s="1483">
        <f>Financials!AB66</f>
        <v>0</v>
      </c>
      <c r="AF38" s="1485">
        <f>Financials!AC66</f>
        <v>0</v>
      </c>
      <c r="AG38" s="1485">
        <f>Financials!AE66</f>
        <v>0</v>
      </c>
      <c r="AH38" s="1485">
        <f>Financials!AF66</f>
        <v>0</v>
      </c>
      <c r="AI38" s="1485">
        <f>Financials!AG66</f>
        <v>0</v>
      </c>
      <c r="AJ38" s="1485">
        <f>Financials!AH66</f>
        <v>0</v>
      </c>
      <c r="AK38" s="1485">
        <f>Financials!AI66</f>
        <v>0</v>
      </c>
      <c r="AL38" s="1485">
        <f>Financials!AJ66</f>
        <v>0</v>
      </c>
      <c r="AM38" s="1485">
        <f>Financials!AK66</f>
        <v>0</v>
      </c>
      <c r="AN38" s="1485">
        <f>Financials!AL66</f>
        <v>0</v>
      </c>
      <c r="AO38" s="1485">
        <f>Financials!AM66</f>
        <v>0</v>
      </c>
      <c r="AP38" s="1485">
        <f>Financials!AN66</f>
        <v>0</v>
      </c>
      <c r="AQ38" s="1485">
        <f>Financials!AO66</f>
        <v>0</v>
      </c>
      <c r="AR38" s="1485">
        <f>Financials!AP66</f>
        <v>0</v>
      </c>
      <c r="AS38" s="1485">
        <f>Financials!AR66</f>
        <v>0</v>
      </c>
      <c r="AT38" s="1485">
        <f>Financials!AS66</f>
        <v>0</v>
      </c>
      <c r="AU38" s="1485">
        <f>Financials!AT66</f>
        <v>0</v>
      </c>
      <c r="AV38" s="1485">
        <f>Financials!AU66</f>
        <v>0</v>
      </c>
      <c r="AW38" s="1485">
        <f>Financials!AV66</f>
        <v>0</v>
      </c>
      <c r="AX38" s="1485">
        <f>Financials!AW66</f>
        <v>0</v>
      </c>
      <c r="AY38" s="1485">
        <f>Financials!AX66</f>
        <v>0</v>
      </c>
      <c r="AZ38" s="1485">
        <f>Financials!AY66</f>
        <v>0</v>
      </c>
      <c r="BA38" s="1485">
        <f>Financials!AZ66</f>
        <v>0</v>
      </c>
      <c r="BB38" s="1485">
        <f>Financials!BA66</f>
        <v>0</v>
      </c>
      <c r="BC38" s="1485">
        <f>Financials!BB66</f>
        <v>0</v>
      </c>
      <c r="BD38" s="1485">
        <f>Financials!BC66</f>
        <v>0</v>
      </c>
      <c r="BE38" s="1485">
        <f>Financials!BE66</f>
        <v>0</v>
      </c>
      <c r="BF38" s="1485">
        <f>Financials!BF66</f>
        <v>0</v>
      </c>
      <c r="BG38" s="1517">
        <f>Financials!BG66</f>
        <v>0</v>
      </c>
      <c r="BH38" s="1517">
        <f>Financials!BH66</f>
        <v>0</v>
      </c>
      <c r="BI38" s="1517">
        <f>Financials!BI66</f>
        <v>0</v>
      </c>
      <c r="BJ38" s="1517">
        <f>Financials!BJ66</f>
        <v>0</v>
      </c>
      <c r="BK38" s="1517">
        <f>Financials!BK66</f>
        <v>0</v>
      </c>
      <c r="BL38" s="1517">
        <f>Financials!BL66</f>
        <v>0</v>
      </c>
      <c r="BM38" s="1517">
        <f>Financials!BM66</f>
        <v>0</v>
      </c>
      <c r="BN38" s="1517">
        <f>Financials!BN66</f>
        <v>0</v>
      </c>
      <c r="BO38" s="1517">
        <f>Financials!BO66</f>
        <v>0</v>
      </c>
      <c r="BP38" s="1517">
        <f>Financials!BP66</f>
        <v>0</v>
      </c>
      <c r="BQ38" s="43"/>
      <c r="BR38" s="43"/>
      <c r="BS38" s="43"/>
      <c r="BT38" s="43"/>
      <c r="BU38" s="43"/>
      <c r="BV38" s="43"/>
      <c r="BW38" s="1436"/>
      <c r="BX38" s="1437"/>
      <c r="BY38" s="1437"/>
      <c r="BZ38" s="1183"/>
      <c r="CA38" s="1183"/>
      <c r="CB38" s="1183"/>
      <c r="CC38" s="1183"/>
      <c r="CD38" s="484">
        <f>$AA$38</f>
        <v>0</v>
      </c>
      <c r="CE38" s="484">
        <f>$AA$39</f>
        <v>0</v>
      </c>
      <c r="CF38" s="484">
        <f>$AA$40</f>
        <v>0</v>
      </c>
      <c r="CG38" s="484">
        <f>$AA$41</f>
        <v>0</v>
      </c>
      <c r="CH38" s="484">
        <f>$AA$42</f>
        <v>0</v>
      </c>
      <c r="CI38" s="484">
        <f>$AA$43</f>
        <v>0</v>
      </c>
      <c r="CJ38" s="484">
        <f>$AA$44</f>
        <v>0</v>
      </c>
      <c r="CK38" s="484">
        <f>$AA$45</f>
        <v>0</v>
      </c>
      <c r="CL38" s="484">
        <f>$AA$46</f>
        <v>0</v>
      </c>
      <c r="CM38" s="484">
        <f>$AA$47</f>
        <v>0</v>
      </c>
      <c r="CN38" s="1183"/>
      <c r="CO38" s="1183"/>
      <c r="CP38" s="1183"/>
      <c r="CQ38" s="1183"/>
      <c r="CR38" s="1183"/>
      <c r="CS38" s="1183"/>
      <c r="CT38" s="1183"/>
      <c r="CU38" s="1183"/>
      <c r="CV38" s="1183"/>
      <c r="CW38" s="1183"/>
      <c r="CX38" s="1183"/>
      <c r="CY38" s="1183"/>
      <c r="CZ38" s="1183"/>
      <c r="DA38" s="1183"/>
      <c r="DB38" s="1183"/>
      <c r="DC38" s="1183"/>
      <c r="DD38" s="1183"/>
      <c r="DE38" s="1183"/>
      <c r="DF38" s="1183"/>
      <c r="DG38" s="1183"/>
      <c r="DH38" s="1183"/>
      <c r="DI38" s="1183"/>
      <c r="DJ38" s="1183"/>
      <c r="DK38" s="1183"/>
      <c r="DL38" s="1183"/>
      <c r="DM38" s="1183"/>
      <c r="DN38" s="1183"/>
      <c r="DO38" s="1183"/>
      <c r="DP38" s="1183"/>
      <c r="DQ38" s="1183"/>
    </row>
    <row r="39" spans="1:121" s="12" customFormat="1" ht="12" customHeight="1" x14ac:dyDescent="0.35">
      <c r="A39" s="1476"/>
      <c r="B39" s="1477"/>
      <c r="C39" s="1476"/>
      <c r="D39" s="1477"/>
      <c r="E39" s="1477"/>
      <c r="F39" s="1477"/>
      <c r="G39" s="1476" t="s">
        <v>376</v>
      </c>
      <c r="H39" s="1476" t="str">
        <f>IF(Input!D168&lt;&gt;"",Input!D168,"S&amp;M " &amp;G39)</f>
        <v>S&amp;M #2</v>
      </c>
      <c r="I39" s="1483">
        <f>Financials!E67</f>
        <v>0</v>
      </c>
      <c r="J39" s="1483">
        <f>Financials!F67</f>
        <v>0</v>
      </c>
      <c r="K39" s="1483">
        <f>Financials!G67</f>
        <v>0</v>
      </c>
      <c r="L39" s="1483">
        <f>Financials!H67</f>
        <v>0</v>
      </c>
      <c r="M39" s="1483">
        <f>Financials!I67</f>
        <v>0</v>
      </c>
      <c r="N39" s="1483">
        <f>Financials!J67</f>
        <v>0</v>
      </c>
      <c r="O39" s="1483">
        <f>Financials!K67</f>
        <v>0</v>
      </c>
      <c r="P39" s="1483">
        <f>Financials!L67</f>
        <v>0</v>
      </c>
      <c r="Q39" s="1483">
        <f>Financials!M67</f>
        <v>0</v>
      </c>
      <c r="R39" s="1483">
        <f>Financials!N67</f>
        <v>0</v>
      </c>
      <c r="S39" s="1483">
        <f>Financials!O67</f>
        <v>0</v>
      </c>
      <c r="T39" s="1483">
        <f>Financials!P67</f>
        <v>0</v>
      </c>
      <c r="U39" s="1483">
        <f>Financials!R67</f>
        <v>0</v>
      </c>
      <c r="V39" s="1483">
        <f>Financials!S67</f>
        <v>0</v>
      </c>
      <c r="W39" s="1483">
        <f>Financials!T67</f>
        <v>0</v>
      </c>
      <c r="X39" s="1483">
        <f>Financials!U67</f>
        <v>0</v>
      </c>
      <c r="Y39" s="1483">
        <f>Financials!V67</f>
        <v>0</v>
      </c>
      <c r="Z39" s="1483">
        <f>Financials!W67</f>
        <v>0</v>
      </c>
      <c r="AA39" s="1483">
        <f>Financials!X67</f>
        <v>0</v>
      </c>
      <c r="AB39" s="1483">
        <f>Financials!Y67</f>
        <v>0</v>
      </c>
      <c r="AC39" s="1483">
        <f>Financials!Z67</f>
        <v>0</v>
      </c>
      <c r="AD39" s="1483">
        <f>Financials!AA67</f>
        <v>0</v>
      </c>
      <c r="AE39" s="1483">
        <f>Financials!AB67</f>
        <v>0</v>
      </c>
      <c r="AF39" s="1485">
        <f>Financials!AC67</f>
        <v>0</v>
      </c>
      <c r="AG39" s="1485">
        <f>Financials!AE67</f>
        <v>0</v>
      </c>
      <c r="AH39" s="1485">
        <f>Financials!AF67</f>
        <v>0</v>
      </c>
      <c r="AI39" s="1485">
        <f>Financials!AG67</f>
        <v>0</v>
      </c>
      <c r="AJ39" s="1485">
        <f>Financials!AH67</f>
        <v>0</v>
      </c>
      <c r="AK39" s="1485">
        <f>Financials!AI67</f>
        <v>0</v>
      </c>
      <c r="AL39" s="1485">
        <f>Financials!AJ67</f>
        <v>0</v>
      </c>
      <c r="AM39" s="1485">
        <f>Financials!AK67</f>
        <v>0</v>
      </c>
      <c r="AN39" s="1485">
        <f>Financials!AL67</f>
        <v>0</v>
      </c>
      <c r="AO39" s="1485">
        <f>Financials!AM67</f>
        <v>0</v>
      </c>
      <c r="AP39" s="1485">
        <f>Financials!AN67</f>
        <v>0</v>
      </c>
      <c r="AQ39" s="1485">
        <f>Financials!AO67</f>
        <v>0</v>
      </c>
      <c r="AR39" s="1485">
        <f>Financials!AP67</f>
        <v>0</v>
      </c>
      <c r="AS39" s="1485">
        <f>Financials!AR67</f>
        <v>0</v>
      </c>
      <c r="AT39" s="1485">
        <f>Financials!AS67</f>
        <v>0</v>
      </c>
      <c r="AU39" s="1485">
        <f>Financials!AT67</f>
        <v>0</v>
      </c>
      <c r="AV39" s="1485">
        <f>Financials!AU67</f>
        <v>0</v>
      </c>
      <c r="AW39" s="1485">
        <f>Financials!AV67</f>
        <v>0</v>
      </c>
      <c r="AX39" s="1485">
        <f>Financials!AW67</f>
        <v>0</v>
      </c>
      <c r="AY39" s="1485">
        <f>Financials!AX67</f>
        <v>0</v>
      </c>
      <c r="AZ39" s="1485">
        <f>Financials!AY67</f>
        <v>0</v>
      </c>
      <c r="BA39" s="1485">
        <f>Financials!AZ67</f>
        <v>0</v>
      </c>
      <c r="BB39" s="1485">
        <f>Financials!BA67</f>
        <v>0</v>
      </c>
      <c r="BC39" s="1485">
        <f>Financials!BB67</f>
        <v>0</v>
      </c>
      <c r="BD39" s="1485">
        <f>Financials!BC67</f>
        <v>0</v>
      </c>
      <c r="BE39" s="1485">
        <f>Financials!BE67</f>
        <v>0</v>
      </c>
      <c r="BF39" s="1485">
        <f>Financials!BF67</f>
        <v>0</v>
      </c>
      <c r="BG39" s="1517">
        <f>Financials!BG67</f>
        <v>0</v>
      </c>
      <c r="BH39" s="1517">
        <f>Financials!BH67</f>
        <v>0</v>
      </c>
      <c r="BI39" s="1517">
        <f>Financials!BI67</f>
        <v>0</v>
      </c>
      <c r="BJ39" s="1517">
        <f>Financials!BJ67</f>
        <v>0</v>
      </c>
      <c r="BK39" s="1517">
        <f>Financials!BK67</f>
        <v>0</v>
      </c>
      <c r="BL39" s="1517">
        <f>Financials!BL67</f>
        <v>0</v>
      </c>
      <c r="BM39" s="1517">
        <f>Financials!BM67</f>
        <v>0</v>
      </c>
      <c r="BN39" s="1517">
        <f>Financials!BN67</f>
        <v>0</v>
      </c>
      <c r="BO39" s="1517">
        <f>Financials!BO67</f>
        <v>0</v>
      </c>
      <c r="BP39" s="1517">
        <f>Financials!BP67</f>
        <v>0</v>
      </c>
      <c r="BQ39" s="43"/>
      <c r="BR39" s="43"/>
      <c r="BS39" s="43"/>
      <c r="BT39" s="43"/>
      <c r="BU39" s="43"/>
      <c r="BV39" s="43"/>
      <c r="BW39" s="1436"/>
      <c r="BX39" s="1437"/>
      <c r="BY39" s="1437"/>
      <c r="BZ39" s="1183"/>
      <c r="CA39" s="1183"/>
      <c r="CB39" s="1183"/>
      <c r="CC39" s="1183"/>
      <c r="CD39" s="484">
        <f>$AB$38</f>
        <v>0</v>
      </c>
      <c r="CE39" s="484">
        <f>$AB$39</f>
        <v>0</v>
      </c>
      <c r="CF39" s="484">
        <f>$AB$40</f>
        <v>0</v>
      </c>
      <c r="CG39" s="484">
        <f>$AB$41</f>
        <v>0</v>
      </c>
      <c r="CH39" s="484">
        <f>$AB$42</f>
        <v>0</v>
      </c>
      <c r="CI39" s="484">
        <f>$AB$43</f>
        <v>0</v>
      </c>
      <c r="CJ39" s="484">
        <f>$AB$44</f>
        <v>0</v>
      </c>
      <c r="CK39" s="484">
        <f>$AB$45</f>
        <v>0</v>
      </c>
      <c r="CL39" s="484">
        <f>$AB$46</f>
        <v>0</v>
      </c>
      <c r="CM39" s="484">
        <f>$AB$47</f>
        <v>0</v>
      </c>
      <c r="CN39" s="1183"/>
      <c r="CO39" s="1183"/>
      <c r="CP39" s="1183"/>
      <c r="CQ39" s="1183"/>
      <c r="CR39" s="1183"/>
      <c r="CS39" s="1183"/>
      <c r="CT39" s="1183"/>
      <c r="CU39" s="1183"/>
      <c r="CV39" s="1183"/>
      <c r="CW39" s="1183"/>
      <c r="CX39" s="1183"/>
      <c r="CY39" s="1183"/>
      <c r="CZ39" s="1183"/>
      <c r="DA39" s="1183"/>
      <c r="DB39" s="1183"/>
      <c r="DC39" s="1183"/>
      <c r="DD39" s="1183"/>
      <c r="DE39" s="1183"/>
      <c r="DF39" s="1183"/>
      <c r="DG39" s="1183"/>
      <c r="DH39" s="1183"/>
      <c r="DI39" s="1183"/>
      <c r="DJ39" s="1183"/>
      <c r="DK39" s="1183"/>
      <c r="DL39" s="1183"/>
      <c r="DM39" s="1183"/>
      <c r="DN39" s="1183"/>
      <c r="DO39" s="1183"/>
      <c r="DP39" s="1183"/>
      <c r="DQ39" s="1183"/>
    </row>
    <row r="40" spans="1:121" s="12" customFormat="1" ht="12" customHeight="1" x14ac:dyDescent="0.35">
      <c r="A40" s="1489" t="s">
        <v>3</v>
      </c>
      <c r="B40" s="1477"/>
      <c r="C40" s="1476"/>
      <c r="D40" s="1477"/>
      <c r="E40" s="1477"/>
      <c r="F40" s="1477"/>
      <c r="G40" s="1476" t="s">
        <v>377</v>
      </c>
      <c r="H40" s="1476" t="str">
        <f>IF(Input!D169&lt;&gt;"",Input!D169,"S&amp;M " &amp;G40)</f>
        <v>S&amp;M #3</v>
      </c>
      <c r="I40" s="1483">
        <f>Financials!E68</f>
        <v>0</v>
      </c>
      <c r="J40" s="1483">
        <f>Financials!F68</f>
        <v>0</v>
      </c>
      <c r="K40" s="1483">
        <f>Financials!G68</f>
        <v>0</v>
      </c>
      <c r="L40" s="1483">
        <f>Financials!H68</f>
        <v>0</v>
      </c>
      <c r="M40" s="1483">
        <f>Financials!I68</f>
        <v>0</v>
      </c>
      <c r="N40" s="1483">
        <f>Financials!J68</f>
        <v>0</v>
      </c>
      <c r="O40" s="1483">
        <f>Financials!K68</f>
        <v>0</v>
      </c>
      <c r="P40" s="1483">
        <f>Financials!L68</f>
        <v>0</v>
      </c>
      <c r="Q40" s="1483">
        <f>Financials!M68</f>
        <v>0</v>
      </c>
      <c r="R40" s="1483">
        <f>Financials!N68</f>
        <v>0</v>
      </c>
      <c r="S40" s="1483">
        <f>Financials!O68</f>
        <v>0</v>
      </c>
      <c r="T40" s="1483">
        <f>Financials!P68</f>
        <v>0</v>
      </c>
      <c r="U40" s="1483">
        <f>Financials!R68</f>
        <v>0</v>
      </c>
      <c r="V40" s="1483">
        <f>Financials!S68</f>
        <v>0</v>
      </c>
      <c r="W40" s="1483">
        <f>Financials!T68</f>
        <v>0</v>
      </c>
      <c r="X40" s="1483">
        <f>Financials!U68</f>
        <v>0</v>
      </c>
      <c r="Y40" s="1483">
        <f>Financials!V68</f>
        <v>0</v>
      </c>
      <c r="Z40" s="1483">
        <f>Financials!W68</f>
        <v>0</v>
      </c>
      <c r="AA40" s="1483">
        <f>Financials!X68</f>
        <v>0</v>
      </c>
      <c r="AB40" s="1483">
        <f>Financials!Y68</f>
        <v>0</v>
      </c>
      <c r="AC40" s="1483">
        <f>Financials!Z68</f>
        <v>0</v>
      </c>
      <c r="AD40" s="1483">
        <f>Financials!AA68</f>
        <v>0</v>
      </c>
      <c r="AE40" s="1483">
        <f>Financials!AB68</f>
        <v>0</v>
      </c>
      <c r="AF40" s="1485">
        <f>Financials!AC68</f>
        <v>0</v>
      </c>
      <c r="AG40" s="1485">
        <f>Financials!AE68</f>
        <v>0</v>
      </c>
      <c r="AH40" s="1485">
        <f>Financials!AF68</f>
        <v>0</v>
      </c>
      <c r="AI40" s="1485">
        <f>Financials!AG68</f>
        <v>0</v>
      </c>
      <c r="AJ40" s="1485">
        <f>Financials!AH68</f>
        <v>0</v>
      </c>
      <c r="AK40" s="1485">
        <f>Financials!AI68</f>
        <v>0</v>
      </c>
      <c r="AL40" s="1485">
        <f>Financials!AJ68</f>
        <v>0</v>
      </c>
      <c r="AM40" s="1485">
        <f>Financials!AK68</f>
        <v>0</v>
      </c>
      <c r="AN40" s="1485">
        <f>Financials!AL68</f>
        <v>0</v>
      </c>
      <c r="AO40" s="1485">
        <f>Financials!AM68</f>
        <v>0</v>
      </c>
      <c r="AP40" s="1485">
        <f>Financials!AN68</f>
        <v>0</v>
      </c>
      <c r="AQ40" s="1485">
        <f>Financials!AO68</f>
        <v>0</v>
      </c>
      <c r="AR40" s="1485">
        <f>Financials!AP68</f>
        <v>0</v>
      </c>
      <c r="AS40" s="1485">
        <f>Financials!AR68</f>
        <v>0</v>
      </c>
      <c r="AT40" s="1485">
        <f>Financials!AS68</f>
        <v>0</v>
      </c>
      <c r="AU40" s="1485">
        <f>Financials!AT68</f>
        <v>0</v>
      </c>
      <c r="AV40" s="1485">
        <f>Financials!AU68</f>
        <v>0</v>
      </c>
      <c r="AW40" s="1485">
        <f>Financials!AV68</f>
        <v>0</v>
      </c>
      <c r="AX40" s="1485">
        <f>Financials!AW68</f>
        <v>0</v>
      </c>
      <c r="AY40" s="1485">
        <f>Financials!AX68</f>
        <v>0</v>
      </c>
      <c r="AZ40" s="1485">
        <f>Financials!AY68</f>
        <v>0</v>
      </c>
      <c r="BA40" s="1485">
        <f>Financials!AZ68</f>
        <v>0</v>
      </c>
      <c r="BB40" s="1485">
        <f>Financials!BA68</f>
        <v>0</v>
      </c>
      <c r="BC40" s="1485">
        <f>Financials!BB68</f>
        <v>0</v>
      </c>
      <c r="BD40" s="1485">
        <f>Financials!BC68</f>
        <v>0</v>
      </c>
      <c r="BE40" s="1485">
        <f>Financials!BE68</f>
        <v>0</v>
      </c>
      <c r="BF40" s="1485">
        <f>Financials!BF68</f>
        <v>0</v>
      </c>
      <c r="BG40" s="1517">
        <f>Financials!BG68</f>
        <v>0</v>
      </c>
      <c r="BH40" s="1517">
        <f>Financials!BH68</f>
        <v>0</v>
      </c>
      <c r="BI40" s="1517">
        <f>Financials!BI68</f>
        <v>0</v>
      </c>
      <c r="BJ40" s="1517">
        <f>Financials!BJ68</f>
        <v>0</v>
      </c>
      <c r="BK40" s="1517">
        <f>Financials!BK68</f>
        <v>0</v>
      </c>
      <c r="BL40" s="1517">
        <f>Financials!BL68</f>
        <v>0</v>
      </c>
      <c r="BM40" s="1517">
        <f>Financials!BM68</f>
        <v>0</v>
      </c>
      <c r="BN40" s="1517">
        <f>Financials!BN68</f>
        <v>0</v>
      </c>
      <c r="BO40" s="1517">
        <f>Financials!BO68</f>
        <v>0</v>
      </c>
      <c r="BP40" s="1517">
        <f>Financials!BP68</f>
        <v>0</v>
      </c>
      <c r="BQ40" s="43"/>
      <c r="BR40" s="43"/>
      <c r="BS40" s="43"/>
      <c r="BT40" s="43"/>
      <c r="BU40" s="43"/>
      <c r="BV40" s="43"/>
      <c r="BW40" s="1436"/>
      <c r="BX40" s="1437"/>
      <c r="BY40" s="1437"/>
      <c r="BZ40" s="1183"/>
      <c r="CA40" s="1183"/>
      <c r="CB40" s="1183"/>
      <c r="CC40" s="1183"/>
      <c r="CD40" s="484">
        <f>$AC$38</f>
        <v>0</v>
      </c>
      <c r="CE40" s="484">
        <f>$AC$39</f>
        <v>0</v>
      </c>
      <c r="CF40" s="484">
        <f>$AC$40</f>
        <v>0</v>
      </c>
      <c r="CG40" s="484">
        <f>$AC$41</f>
        <v>0</v>
      </c>
      <c r="CH40" s="484">
        <f>$AC$42</f>
        <v>0</v>
      </c>
      <c r="CI40" s="484">
        <f>$AC$43</f>
        <v>0</v>
      </c>
      <c r="CJ40" s="484">
        <f>$AC$44</f>
        <v>0</v>
      </c>
      <c r="CK40" s="484">
        <f>$AC$45</f>
        <v>0</v>
      </c>
      <c r="CL40" s="484">
        <f>$AC$46</f>
        <v>0</v>
      </c>
      <c r="CM40" s="484">
        <f>$AC$47</f>
        <v>0</v>
      </c>
      <c r="CN40" s="1183"/>
      <c r="CO40" s="1183"/>
      <c r="CP40" s="1183"/>
      <c r="CQ40" s="1183"/>
      <c r="CR40" s="1183"/>
      <c r="CS40" s="1183"/>
      <c r="CT40" s="1183"/>
      <c r="CU40" s="1183"/>
      <c r="CV40" s="1183"/>
      <c r="CW40" s="1183"/>
      <c r="CX40" s="1183"/>
      <c r="CY40" s="1183"/>
      <c r="CZ40" s="1183"/>
      <c r="DA40" s="1183"/>
      <c r="DB40" s="1183"/>
      <c r="DC40" s="1183"/>
      <c r="DD40" s="1183"/>
      <c r="DE40" s="1183"/>
      <c r="DF40" s="1183"/>
      <c r="DG40" s="1183"/>
      <c r="DH40" s="1183"/>
      <c r="DI40" s="1183"/>
      <c r="DJ40" s="1183"/>
      <c r="DK40" s="1183"/>
      <c r="DL40" s="1183"/>
      <c r="DM40" s="1183"/>
      <c r="DN40" s="1183"/>
      <c r="DO40" s="1183"/>
      <c r="DP40" s="1183"/>
      <c r="DQ40" s="1183"/>
    </row>
    <row r="41" spans="1:121" s="12" customFormat="1" ht="12" customHeight="1" x14ac:dyDescent="0.35">
      <c r="A41" s="1476" t="s">
        <v>366</v>
      </c>
      <c r="B41" s="1504">
        <f>SUMIF($I$2:$BP$2,B$23,$I$3:$BP$3)</f>
        <v>0</v>
      </c>
      <c r="C41" s="1504">
        <f>SUMIF($I$2:$BP$2,C$23,$I$3:$BP$3)</f>
        <v>0</v>
      </c>
      <c r="D41" s="1504">
        <f>SUMIF($I$2:$BP$2,D$23,$I$3:$BP$3)</f>
        <v>0</v>
      </c>
      <c r="E41" s="1477"/>
      <c r="F41" s="1477"/>
      <c r="G41" s="1476" t="s">
        <v>378</v>
      </c>
      <c r="H41" s="1476" t="str">
        <f>IF(Input!D170&lt;&gt;"",Input!D170,"S&amp;M " &amp;G41)</f>
        <v>S&amp;M #4</v>
      </c>
      <c r="I41" s="1483">
        <f>Financials!E69</f>
        <v>0</v>
      </c>
      <c r="J41" s="1483">
        <f>Financials!F69</f>
        <v>0</v>
      </c>
      <c r="K41" s="1483">
        <f>Financials!G69</f>
        <v>0</v>
      </c>
      <c r="L41" s="1483">
        <f>Financials!H69</f>
        <v>0</v>
      </c>
      <c r="M41" s="1483">
        <f>Financials!I69</f>
        <v>0</v>
      </c>
      <c r="N41" s="1483">
        <f>Financials!J69</f>
        <v>0</v>
      </c>
      <c r="O41" s="1483">
        <f>Financials!K69</f>
        <v>0</v>
      </c>
      <c r="P41" s="1483">
        <f>Financials!L69</f>
        <v>0</v>
      </c>
      <c r="Q41" s="1483">
        <f>Financials!M69</f>
        <v>0</v>
      </c>
      <c r="R41" s="1483">
        <f>Financials!N69</f>
        <v>0</v>
      </c>
      <c r="S41" s="1483">
        <f>Financials!O69</f>
        <v>0</v>
      </c>
      <c r="T41" s="1483">
        <f>Financials!P69</f>
        <v>0</v>
      </c>
      <c r="U41" s="1483">
        <f>Financials!R69</f>
        <v>0</v>
      </c>
      <c r="V41" s="1483">
        <f>Financials!S69</f>
        <v>0</v>
      </c>
      <c r="W41" s="1483">
        <f>Financials!T69</f>
        <v>0</v>
      </c>
      <c r="X41" s="1483">
        <f>Financials!U69</f>
        <v>0</v>
      </c>
      <c r="Y41" s="1483">
        <f>Financials!V69</f>
        <v>0</v>
      </c>
      <c r="Z41" s="1483">
        <f>Financials!W69</f>
        <v>0</v>
      </c>
      <c r="AA41" s="1483">
        <f>Financials!X69</f>
        <v>0</v>
      </c>
      <c r="AB41" s="1483">
        <f>Financials!Y69</f>
        <v>0</v>
      </c>
      <c r="AC41" s="1483">
        <f>Financials!Z69</f>
        <v>0</v>
      </c>
      <c r="AD41" s="1483">
        <f>Financials!AA69</f>
        <v>0</v>
      </c>
      <c r="AE41" s="1483">
        <f>Financials!AB69</f>
        <v>0</v>
      </c>
      <c r="AF41" s="1485">
        <f>Financials!AC69</f>
        <v>0</v>
      </c>
      <c r="AG41" s="1485">
        <f>Financials!AE69</f>
        <v>0</v>
      </c>
      <c r="AH41" s="1485">
        <f>Financials!AF69</f>
        <v>0</v>
      </c>
      <c r="AI41" s="1485">
        <f>Financials!AG69</f>
        <v>0</v>
      </c>
      <c r="AJ41" s="1485">
        <f>Financials!AH69</f>
        <v>0</v>
      </c>
      <c r="AK41" s="1485">
        <f>Financials!AI69</f>
        <v>0</v>
      </c>
      <c r="AL41" s="1485">
        <f>Financials!AJ69</f>
        <v>0</v>
      </c>
      <c r="AM41" s="1485">
        <f>Financials!AK69</f>
        <v>0</v>
      </c>
      <c r="AN41" s="1485">
        <f>Financials!AL69</f>
        <v>0</v>
      </c>
      <c r="AO41" s="1485">
        <f>Financials!AM69</f>
        <v>0</v>
      </c>
      <c r="AP41" s="1485">
        <f>Financials!AN69</f>
        <v>0</v>
      </c>
      <c r="AQ41" s="1485">
        <f>Financials!AO69</f>
        <v>0</v>
      </c>
      <c r="AR41" s="1485">
        <f>Financials!AP69</f>
        <v>0</v>
      </c>
      <c r="AS41" s="1485">
        <f>Financials!AR69</f>
        <v>0</v>
      </c>
      <c r="AT41" s="1485">
        <f>Financials!AS69</f>
        <v>0</v>
      </c>
      <c r="AU41" s="1485">
        <f>Financials!AT69</f>
        <v>0</v>
      </c>
      <c r="AV41" s="1485">
        <f>Financials!AU69</f>
        <v>0</v>
      </c>
      <c r="AW41" s="1485">
        <f>Financials!AV69</f>
        <v>0</v>
      </c>
      <c r="AX41" s="1485">
        <f>Financials!AW69</f>
        <v>0</v>
      </c>
      <c r="AY41" s="1485">
        <f>Financials!AX69</f>
        <v>0</v>
      </c>
      <c r="AZ41" s="1485">
        <f>Financials!AY69</f>
        <v>0</v>
      </c>
      <c r="BA41" s="1485">
        <f>Financials!AZ69</f>
        <v>0</v>
      </c>
      <c r="BB41" s="1485">
        <f>Financials!BA69</f>
        <v>0</v>
      </c>
      <c r="BC41" s="1485">
        <f>Financials!BB69</f>
        <v>0</v>
      </c>
      <c r="BD41" s="1485">
        <f>Financials!BC69</f>
        <v>0</v>
      </c>
      <c r="BE41" s="1485">
        <f>Financials!BE69</f>
        <v>0</v>
      </c>
      <c r="BF41" s="1485">
        <f>Financials!BF69</f>
        <v>0</v>
      </c>
      <c r="BG41" s="1523">
        <f>Financials!BG69</f>
        <v>0</v>
      </c>
      <c r="BH41" s="1523">
        <f>Financials!BH69</f>
        <v>0</v>
      </c>
      <c r="BI41" s="1523">
        <f>Financials!BI69</f>
        <v>0</v>
      </c>
      <c r="BJ41" s="1523">
        <f>Financials!BJ69</f>
        <v>0</v>
      </c>
      <c r="BK41" s="1523">
        <f>Financials!BK69</f>
        <v>0</v>
      </c>
      <c r="BL41" s="1523">
        <f>Financials!BL69</f>
        <v>0</v>
      </c>
      <c r="BM41" s="1523">
        <f>Financials!BM69</f>
        <v>0</v>
      </c>
      <c r="BN41" s="1523">
        <f>Financials!BN69</f>
        <v>0</v>
      </c>
      <c r="BO41" s="1523">
        <f>Financials!BO69</f>
        <v>0</v>
      </c>
      <c r="BP41" s="1523">
        <f>Financials!BP69</f>
        <v>0</v>
      </c>
      <c r="BQ41" s="43"/>
      <c r="BR41" s="43"/>
      <c r="BS41" s="43"/>
      <c r="BT41" s="43"/>
      <c r="BU41" s="43"/>
      <c r="BV41" s="43"/>
      <c r="BW41" s="1436"/>
      <c r="BX41" s="1437"/>
      <c r="BY41" s="1437"/>
      <c r="BZ41" s="1183"/>
      <c r="CA41" s="1183"/>
      <c r="CB41" s="1183"/>
      <c r="CC41" s="1183"/>
      <c r="CD41" s="484">
        <f>$AD$38</f>
        <v>0</v>
      </c>
      <c r="CE41" s="484">
        <f>$AD$39</f>
        <v>0</v>
      </c>
      <c r="CF41" s="484">
        <f>$AD$40</f>
        <v>0</v>
      </c>
      <c r="CG41" s="484">
        <f>$AD$41</f>
        <v>0</v>
      </c>
      <c r="CH41" s="484">
        <f>$AD$42</f>
        <v>0</v>
      </c>
      <c r="CI41" s="484">
        <f>$AD$43</f>
        <v>0</v>
      </c>
      <c r="CJ41" s="484">
        <f>$AD$44</f>
        <v>0</v>
      </c>
      <c r="CK41" s="484">
        <f>$AD$45</f>
        <v>0</v>
      </c>
      <c r="CL41" s="484">
        <f>$AD$46</f>
        <v>0</v>
      </c>
      <c r="CM41" s="484">
        <f>$AD$47</f>
        <v>0</v>
      </c>
      <c r="CN41" s="1183"/>
      <c r="CO41" s="1183"/>
      <c r="CP41" s="1183"/>
      <c r="CQ41" s="1183"/>
      <c r="CR41" s="1183"/>
      <c r="CS41" s="1183"/>
      <c r="CT41" s="1183"/>
      <c r="CU41" s="1183"/>
      <c r="CV41" s="1183"/>
      <c r="CW41" s="1183"/>
      <c r="CX41" s="1183"/>
      <c r="CY41" s="1183"/>
      <c r="CZ41" s="1183"/>
      <c r="DA41" s="1183"/>
      <c r="DB41" s="1183"/>
      <c r="DC41" s="1183"/>
      <c r="DD41" s="1183"/>
      <c r="DE41" s="1183"/>
      <c r="DF41" s="1183"/>
      <c r="DG41" s="1183"/>
      <c r="DH41" s="1183"/>
      <c r="DI41" s="1183"/>
      <c r="DJ41" s="1183"/>
      <c r="DK41" s="1183"/>
      <c r="DL41" s="1183"/>
      <c r="DM41" s="1183"/>
      <c r="DN41" s="1183"/>
      <c r="DO41" s="1183"/>
      <c r="DP41" s="1183"/>
      <c r="DQ41" s="1183"/>
    </row>
    <row r="42" spans="1:121" s="12" customFormat="1" ht="12" customHeight="1" x14ac:dyDescent="0.35">
      <c r="A42" s="1476" t="s">
        <v>368</v>
      </c>
      <c r="B42" s="1504">
        <f>SUMIF($I$2:$BP$2,"&lt;="&amp;B$23,$I$3:$BP$3)</f>
        <v>0</v>
      </c>
      <c r="C42" s="1504">
        <f>SUMIF($I$2:$BP$2,"&lt;="&amp;C$23,$I$3:$BP$3)</f>
        <v>0</v>
      </c>
      <c r="D42" s="1504">
        <f>SUMIF($I$2:$BP$2,"&lt;="&amp;D$23,$I$3:$BP$3)</f>
        <v>0</v>
      </c>
      <c r="E42" s="1477"/>
      <c r="F42" s="1477"/>
      <c r="G42" s="1476" t="s">
        <v>379</v>
      </c>
      <c r="H42" s="1476" t="str">
        <f>IF(Input!D171&lt;&gt;"",Input!D171,"S&amp;M " &amp;G42)</f>
        <v>S&amp;M #5</v>
      </c>
      <c r="I42" s="1483">
        <f>Financials!E70</f>
        <v>0</v>
      </c>
      <c r="J42" s="1483">
        <f>Financials!F70</f>
        <v>0</v>
      </c>
      <c r="K42" s="1483">
        <f>Financials!G70</f>
        <v>0</v>
      </c>
      <c r="L42" s="1483">
        <f>Financials!H70</f>
        <v>0</v>
      </c>
      <c r="M42" s="1483">
        <f>Financials!I70</f>
        <v>0</v>
      </c>
      <c r="N42" s="1483">
        <f>Financials!J70</f>
        <v>0</v>
      </c>
      <c r="O42" s="1483">
        <f>Financials!K70</f>
        <v>0</v>
      </c>
      <c r="P42" s="1483">
        <f>Financials!L70</f>
        <v>0</v>
      </c>
      <c r="Q42" s="1483">
        <f>Financials!M70</f>
        <v>0</v>
      </c>
      <c r="R42" s="1483">
        <f>Financials!N70</f>
        <v>0</v>
      </c>
      <c r="S42" s="1483">
        <f>Financials!O70</f>
        <v>0</v>
      </c>
      <c r="T42" s="1483">
        <f>Financials!P70</f>
        <v>0</v>
      </c>
      <c r="U42" s="1483">
        <f>Financials!R70</f>
        <v>0</v>
      </c>
      <c r="V42" s="1483">
        <f>Financials!S70</f>
        <v>0</v>
      </c>
      <c r="W42" s="1483">
        <f>Financials!T70</f>
        <v>0</v>
      </c>
      <c r="X42" s="1483">
        <f>Financials!U70</f>
        <v>0</v>
      </c>
      <c r="Y42" s="1483">
        <f>Financials!V70</f>
        <v>0</v>
      </c>
      <c r="Z42" s="1483">
        <f>Financials!W70</f>
        <v>0</v>
      </c>
      <c r="AA42" s="1483">
        <f>Financials!X70</f>
        <v>0</v>
      </c>
      <c r="AB42" s="1483">
        <f>Financials!Y70</f>
        <v>0</v>
      </c>
      <c r="AC42" s="1483">
        <f>Financials!Z70</f>
        <v>0</v>
      </c>
      <c r="AD42" s="1483">
        <f>Financials!AA70</f>
        <v>0</v>
      </c>
      <c r="AE42" s="1483">
        <f>Financials!AB70</f>
        <v>0</v>
      </c>
      <c r="AF42" s="1485">
        <f>Financials!AC70</f>
        <v>0</v>
      </c>
      <c r="AG42" s="1485">
        <f>Financials!AE70</f>
        <v>0</v>
      </c>
      <c r="AH42" s="1485">
        <f>Financials!AF70</f>
        <v>0</v>
      </c>
      <c r="AI42" s="1485">
        <f>Financials!AG70</f>
        <v>0</v>
      </c>
      <c r="AJ42" s="1485">
        <f>Financials!AH70</f>
        <v>0</v>
      </c>
      <c r="AK42" s="1485">
        <f>Financials!AI70</f>
        <v>0</v>
      </c>
      <c r="AL42" s="1485">
        <f>Financials!AJ70</f>
        <v>0</v>
      </c>
      <c r="AM42" s="1485">
        <f>Financials!AK70</f>
        <v>0</v>
      </c>
      <c r="AN42" s="1485">
        <f>Financials!AL70</f>
        <v>0</v>
      </c>
      <c r="AO42" s="1485">
        <f>Financials!AM70</f>
        <v>0</v>
      </c>
      <c r="AP42" s="1485">
        <f>Financials!AN70</f>
        <v>0</v>
      </c>
      <c r="AQ42" s="1485">
        <f>Financials!AO70</f>
        <v>0</v>
      </c>
      <c r="AR42" s="1485">
        <f>Financials!AP70</f>
        <v>0</v>
      </c>
      <c r="AS42" s="1485">
        <f>Financials!AR70</f>
        <v>0</v>
      </c>
      <c r="AT42" s="1485">
        <f>Financials!AS70</f>
        <v>0</v>
      </c>
      <c r="AU42" s="1485">
        <f>Financials!AT70</f>
        <v>0</v>
      </c>
      <c r="AV42" s="1485">
        <f>Financials!AU70</f>
        <v>0</v>
      </c>
      <c r="AW42" s="1485">
        <f>Financials!AV70</f>
        <v>0</v>
      </c>
      <c r="AX42" s="1485">
        <f>Financials!AW70</f>
        <v>0</v>
      </c>
      <c r="AY42" s="1485">
        <f>Financials!AX70</f>
        <v>0</v>
      </c>
      <c r="AZ42" s="1485">
        <f>Financials!AY70</f>
        <v>0</v>
      </c>
      <c r="BA42" s="1485">
        <f>Financials!AZ70</f>
        <v>0</v>
      </c>
      <c r="BB42" s="1485">
        <f>Financials!BA70</f>
        <v>0</v>
      </c>
      <c r="BC42" s="1485">
        <f>Financials!BB70</f>
        <v>0</v>
      </c>
      <c r="BD42" s="1485">
        <f>Financials!BC70</f>
        <v>0</v>
      </c>
      <c r="BE42" s="1485">
        <f>Financials!BE70</f>
        <v>0</v>
      </c>
      <c r="BF42" s="1485">
        <f>Financials!BF70</f>
        <v>0</v>
      </c>
      <c r="BG42" s="1523">
        <f>Financials!BG70</f>
        <v>0</v>
      </c>
      <c r="BH42" s="1523">
        <f>Financials!BH70</f>
        <v>0</v>
      </c>
      <c r="BI42" s="1523">
        <f>Financials!BI70</f>
        <v>0</v>
      </c>
      <c r="BJ42" s="1523">
        <f>Financials!BJ70</f>
        <v>0</v>
      </c>
      <c r="BK42" s="1523">
        <f>Financials!BK70</f>
        <v>0</v>
      </c>
      <c r="BL42" s="1523">
        <f>Financials!BL70</f>
        <v>0</v>
      </c>
      <c r="BM42" s="1523">
        <f>Financials!BM70</f>
        <v>0</v>
      </c>
      <c r="BN42" s="1523">
        <f>Financials!BN70</f>
        <v>0</v>
      </c>
      <c r="BO42" s="1523">
        <f>Financials!BO70</f>
        <v>0</v>
      </c>
      <c r="BP42" s="1523">
        <f>Financials!BP70</f>
        <v>0</v>
      </c>
      <c r="BQ42" s="43"/>
      <c r="BR42" s="43"/>
      <c r="BS42" s="43"/>
      <c r="BT42" s="43"/>
      <c r="BU42" s="43"/>
      <c r="BV42" s="43"/>
      <c r="BW42" s="1436"/>
      <c r="BX42" s="1437"/>
      <c r="BY42" s="1437"/>
      <c r="BZ42" s="1183"/>
      <c r="CA42" s="1183"/>
      <c r="CB42" s="1183"/>
      <c r="CC42" s="1183"/>
      <c r="CD42" s="484">
        <f>$AE$38</f>
        <v>0</v>
      </c>
      <c r="CE42" s="484">
        <f>$AE$39</f>
        <v>0</v>
      </c>
      <c r="CF42" s="484">
        <f>$AE$40</f>
        <v>0</v>
      </c>
      <c r="CG42" s="484">
        <f>$AE$41</f>
        <v>0</v>
      </c>
      <c r="CH42" s="484">
        <f>$AE$42</f>
        <v>0</v>
      </c>
      <c r="CI42" s="484">
        <f>$AE$43</f>
        <v>0</v>
      </c>
      <c r="CJ42" s="484">
        <f>$AE$44</f>
        <v>0</v>
      </c>
      <c r="CK42" s="484">
        <f>$AE$45</f>
        <v>0</v>
      </c>
      <c r="CL42" s="484">
        <f>$AE$46</f>
        <v>0</v>
      </c>
      <c r="CM42" s="484">
        <f>$AE$47</f>
        <v>0</v>
      </c>
      <c r="CN42" s="1183"/>
      <c r="CO42" s="1183"/>
      <c r="CP42" s="1183"/>
      <c r="CQ42" s="1183"/>
      <c r="CR42" s="1183"/>
      <c r="CS42" s="1183"/>
      <c r="CT42" s="1183"/>
      <c r="CU42" s="1183"/>
      <c r="CV42" s="1183"/>
      <c r="CW42" s="1183"/>
      <c r="CX42" s="1183"/>
      <c r="CY42" s="1183"/>
      <c r="CZ42" s="1183"/>
      <c r="DA42" s="1183"/>
      <c r="DB42" s="1183"/>
      <c r="DC42" s="1183"/>
      <c r="DD42" s="1183"/>
      <c r="DE42" s="1183"/>
      <c r="DF42" s="1183"/>
      <c r="DG42" s="1183"/>
      <c r="DH42" s="1183"/>
      <c r="DI42" s="1183"/>
      <c r="DJ42" s="1183"/>
      <c r="DK42" s="1183"/>
      <c r="DL42" s="1183"/>
      <c r="DM42" s="1183"/>
      <c r="DN42" s="1183"/>
      <c r="DO42" s="1183"/>
      <c r="DP42" s="1183"/>
      <c r="DQ42" s="1183"/>
    </row>
    <row r="43" spans="1:121" s="12" customFormat="1" ht="12" customHeight="1" x14ac:dyDescent="0.35">
      <c r="A43" s="1478"/>
      <c r="B43" s="1478"/>
      <c r="C43" s="1478"/>
      <c r="D43" s="1478"/>
      <c r="E43" s="1477"/>
      <c r="F43" s="1477"/>
      <c r="G43" s="1476" t="s">
        <v>380</v>
      </c>
      <c r="H43" s="1476" t="str">
        <f>IF(Input!D172&lt;&gt;"",Input!D172,"S&amp;M " &amp;G43)</f>
        <v>S&amp;M #6</v>
      </c>
      <c r="I43" s="1483">
        <f>Financials!E71</f>
        <v>0</v>
      </c>
      <c r="J43" s="1483">
        <f>Financials!F71</f>
        <v>0</v>
      </c>
      <c r="K43" s="1483">
        <f>Financials!G71</f>
        <v>0</v>
      </c>
      <c r="L43" s="1483">
        <f>Financials!H71</f>
        <v>0</v>
      </c>
      <c r="M43" s="1483">
        <f>Financials!I71</f>
        <v>0</v>
      </c>
      <c r="N43" s="1483">
        <f>Financials!J71</f>
        <v>0</v>
      </c>
      <c r="O43" s="1483">
        <f>Financials!K71</f>
        <v>0</v>
      </c>
      <c r="P43" s="1483">
        <f>Financials!L71</f>
        <v>0</v>
      </c>
      <c r="Q43" s="1483">
        <f>Financials!M71</f>
        <v>0</v>
      </c>
      <c r="R43" s="1483">
        <f>Financials!N71</f>
        <v>0</v>
      </c>
      <c r="S43" s="1483">
        <f>Financials!O71</f>
        <v>0</v>
      </c>
      <c r="T43" s="1483">
        <f>Financials!P71</f>
        <v>0</v>
      </c>
      <c r="U43" s="1483">
        <f>Financials!R71</f>
        <v>0</v>
      </c>
      <c r="V43" s="1483">
        <f>Financials!S71</f>
        <v>0</v>
      </c>
      <c r="W43" s="1483">
        <f>Financials!T71</f>
        <v>0</v>
      </c>
      <c r="X43" s="1483">
        <f>Financials!U71</f>
        <v>0</v>
      </c>
      <c r="Y43" s="1483">
        <f>Financials!V71</f>
        <v>0</v>
      </c>
      <c r="Z43" s="1483">
        <f>Financials!W71</f>
        <v>0</v>
      </c>
      <c r="AA43" s="1483">
        <f>Financials!X71</f>
        <v>0</v>
      </c>
      <c r="AB43" s="1483">
        <f>Financials!Y71</f>
        <v>0</v>
      </c>
      <c r="AC43" s="1483">
        <f>Financials!Z71</f>
        <v>0</v>
      </c>
      <c r="AD43" s="1483">
        <f>Financials!AA71</f>
        <v>0</v>
      </c>
      <c r="AE43" s="1483">
        <f>Financials!AB71</f>
        <v>0</v>
      </c>
      <c r="AF43" s="1485">
        <f>Financials!AC71</f>
        <v>0</v>
      </c>
      <c r="AG43" s="1485">
        <f>Financials!AE71</f>
        <v>0</v>
      </c>
      <c r="AH43" s="1485">
        <f>Financials!AF71</f>
        <v>0</v>
      </c>
      <c r="AI43" s="1485">
        <f>Financials!AG71</f>
        <v>0</v>
      </c>
      <c r="AJ43" s="1485">
        <f>Financials!AH71</f>
        <v>0</v>
      </c>
      <c r="AK43" s="1485">
        <f>Financials!AI71</f>
        <v>0</v>
      </c>
      <c r="AL43" s="1485">
        <f>Financials!AJ71</f>
        <v>0</v>
      </c>
      <c r="AM43" s="1485">
        <f>Financials!AK71</f>
        <v>0</v>
      </c>
      <c r="AN43" s="1485">
        <f>Financials!AL71</f>
        <v>0</v>
      </c>
      <c r="AO43" s="1485">
        <f>Financials!AM71</f>
        <v>0</v>
      </c>
      <c r="AP43" s="1485">
        <f>Financials!AN71</f>
        <v>0</v>
      </c>
      <c r="AQ43" s="1485">
        <f>Financials!AO71</f>
        <v>0</v>
      </c>
      <c r="AR43" s="1485">
        <f>Financials!AP71</f>
        <v>0</v>
      </c>
      <c r="AS43" s="1485">
        <f>Financials!AR71</f>
        <v>0</v>
      </c>
      <c r="AT43" s="1485">
        <f>Financials!AS71</f>
        <v>0</v>
      </c>
      <c r="AU43" s="1485">
        <f>Financials!AT71</f>
        <v>0</v>
      </c>
      <c r="AV43" s="1485">
        <f>Financials!AU71</f>
        <v>0</v>
      </c>
      <c r="AW43" s="1485">
        <f>Financials!AV71</f>
        <v>0</v>
      </c>
      <c r="AX43" s="1485">
        <f>Financials!AW71</f>
        <v>0</v>
      </c>
      <c r="AY43" s="1485">
        <f>Financials!AX71</f>
        <v>0</v>
      </c>
      <c r="AZ43" s="1485">
        <f>Financials!AY71</f>
        <v>0</v>
      </c>
      <c r="BA43" s="1485">
        <f>Financials!AZ71</f>
        <v>0</v>
      </c>
      <c r="BB43" s="1485">
        <f>Financials!BA71</f>
        <v>0</v>
      </c>
      <c r="BC43" s="1485">
        <f>Financials!BB71</f>
        <v>0</v>
      </c>
      <c r="BD43" s="1485">
        <f>Financials!BC71</f>
        <v>0</v>
      </c>
      <c r="BE43" s="1485">
        <f>Financials!BE71</f>
        <v>0</v>
      </c>
      <c r="BF43" s="1485">
        <f>Financials!BF71</f>
        <v>0</v>
      </c>
      <c r="BG43" s="1517">
        <f>Financials!BG71</f>
        <v>0</v>
      </c>
      <c r="BH43" s="1517">
        <f>Financials!BH71</f>
        <v>0</v>
      </c>
      <c r="BI43" s="1517">
        <f>Financials!BI71</f>
        <v>0</v>
      </c>
      <c r="BJ43" s="1517">
        <f>Financials!BJ71</f>
        <v>0</v>
      </c>
      <c r="BK43" s="1517">
        <f>Financials!BK71</f>
        <v>0</v>
      </c>
      <c r="BL43" s="1517">
        <f>Financials!BL71</f>
        <v>0</v>
      </c>
      <c r="BM43" s="1517">
        <f>Financials!BM71</f>
        <v>0</v>
      </c>
      <c r="BN43" s="1517">
        <f>Financials!BN71</f>
        <v>0</v>
      </c>
      <c r="BO43" s="1517">
        <f>Financials!BO71</f>
        <v>0</v>
      </c>
      <c r="BP43" s="1517">
        <f>Financials!BP71</f>
        <v>0</v>
      </c>
      <c r="BQ43" s="43"/>
      <c r="BR43" s="43"/>
      <c r="BS43" s="43"/>
      <c r="BT43" s="43"/>
      <c r="BU43" s="43"/>
      <c r="BV43" s="43"/>
      <c r="BW43" s="1436"/>
      <c r="BX43" s="1437"/>
      <c r="BY43" s="1437"/>
      <c r="BZ43" s="1183"/>
      <c r="CA43" s="1183"/>
      <c r="CB43" s="1183"/>
      <c r="CC43" s="1183"/>
      <c r="CD43" s="484">
        <f>$AF$38</f>
        <v>0</v>
      </c>
      <c r="CE43" s="484">
        <f>$AF$39</f>
        <v>0</v>
      </c>
      <c r="CF43" s="484">
        <f>$AF$40</f>
        <v>0</v>
      </c>
      <c r="CG43" s="484">
        <f>$AF$41</f>
        <v>0</v>
      </c>
      <c r="CH43" s="484">
        <f>$AF$42</f>
        <v>0</v>
      </c>
      <c r="CI43" s="484">
        <f>$AF$43</f>
        <v>0</v>
      </c>
      <c r="CJ43" s="484">
        <f>$AF$44</f>
        <v>0</v>
      </c>
      <c r="CK43" s="484">
        <f>$AF$45</f>
        <v>0</v>
      </c>
      <c r="CL43" s="484">
        <f>$AF$46</f>
        <v>0</v>
      </c>
      <c r="CM43" s="484">
        <f>$AF$47</f>
        <v>0</v>
      </c>
      <c r="CN43" s="1183"/>
      <c r="CO43" s="1183"/>
      <c r="CP43" s="1183"/>
      <c r="CQ43" s="1183"/>
      <c r="CR43" s="1183"/>
      <c r="CS43" s="1183"/>
      <c r="CT43" s="1183"/>
      <c r="CU43" s="1183"/>
      <c r="CV43" s="1183"/>
      <c r="CW43" s="1183"/>
      <c r="CX43" s="1183"/>
      <c r="CY43" s="1183"/>
      <c r="CZ43" s="1183"/>
      <c r="DA43" s="1183"/>
      <c r="DB43" s="1183"/>
      <c r="DC43" s="1183"/>
      <c r="DD43" s="1183"/>
      <c r="DE43" s="1183"/>
      <c r="DF43" s="1183"/>
      <c r="DG43" s="1183"/>
      <c r="DH43" s="1183"/>
      <c r="DI43" s="1183"/>
      <c r="DJ43" s="1183"/>
      <c r="DK43" s="1183"/>
      <c r="DL43" s="1183"/>
      <c r="DM43" s="1183"/>
      <c r="DN43" s="1183"/>
      <c r="DO43" s="1183"/>
      <c r="DP43" s="1183"/>
      <c r="DQ43" s="1183"/>
    </row>
    <row r="44" spans="1:121" s="12" customFormat="1" ht="12" customHeight="1" x14ac:dyDescent="0.35">
      <c r="A44" s="1489" t="s">
        <v>187</v>
      </c>
      <c r="B44" s="1477"/>
      <c r="C44" s="1476"/>
      <c r="D44" s="1477"/>
      <c r="E44" s="1477"/>
      <c r="F44" s="1477"/>
      <c r="G44" s="1476" t="s">
        <v>381</v>
      </c>
      <c r="H44" s="1476" t="str">
        <f>IF(Input!D173&lt;&gt;"",Input!D173,"S&amp;M " &amp;G44)</f>
        <v>S&amp;M #7</v>
      </c>
      <c r="I44" s="1483">
        <f>Financials!E72</f>
        <v>0</v>
      </c>
      <c r="J44" s="1483">
        <f>Financials!F72</f>
        <v>0</v>
      </c>
      <c r="K44" s="1483">
        <f>Financials!G72</f>
        <v>0</v>
      </c>
      <c r="L44" s="1483">
        <f>Financials!H72</f>
        <v>0</v>
      </c>
      <c r="M44" s="1483">
        <f>Financials!I72</f>
        <v>0</v>
      </c>
      <c r="N44" s="1483">
        <f>Financials!J72</f>
        <v>0</v>
      </c>
      <c r="O44" s="1483">
        <f>Financials!K72</f>
        <v>0</v>
      </c>
      <c r="P44" s="1483">
        <f>Financials!L72</f>
        <v>0</v>
      </c>
      <c r="Q44" s="1483">
        <f>Financials!M72</f>
        <v>0</v>
      </c>
      <c r="R44" s="1483">
        <f>Financials!N72</f>
        <v>0</v>
      </c>
      <c r="S44" s="1483">
        <f>Financials!O72</f>
        <v>0</v>
      </c>
      <c r="T44" s="1483">
        <f>Financials!P72</f>
        <v>0</v>
      </c>
      <c r="U44" s="1483">
        <f>Financials!R72</f>
        <v>0</v>
      </c>
      <c r="V44" s="1483">
        <f>Financials!S72</f>
        <v>0</v>
      </c>
      <c r="W44" s="1483">
        <f>Financials!T72</f>
        <v>0</v>
      </c>
      <c r="X44" s="1483">
        <f>Financials!U72</f>
        <v>0</v>
      </c>
      <c r="Y44" s="1483">
        <f>Financials!V72</f>
        <v>0</v>
      </c>
      <c r="Z44" s="1483">
        <f>Financials!W72</f>
        <v>0</v>
      </c>
      <c r="AA44" s="1483">
        <f>Financials!X72</f>
        <v>0</v>
      </c>
      <c r="AB44" s="1483">
        <f>Financials!Y72</f>
        <v>0</v>
      </c>
      <c r="AC44" s="1483">
        <f>Financials!Z72</f>
        <v>0</v>
      </c>
      <c r="AD44" s="1483">
        <f>Financials!AA72</f>
        <v>0</v>
      </c>
      <c r="AE44" s="1483">
        <f>Financials!AB72</f>
        <v>0</v>
      </c>
      <c r="AF44" s="1485">
        <f>Financials!AC72</f>
        <v>0</v>
      </c>
      <c r="AG44" s="1485">
        <f>Financials!AE72</f>
        <v>0</v>
      </c>
      <c r="AH44" s="1485">
        <f>Financials!AF72</f>
        <v>0</v>
      </c>
      <c r="AI44" s="1485">
        <f>Financials!AG72</f>
        <v>0</v>
      </c>
      <c r="AJ44" s="1485">
        <f>Financials!AH72</f>
        <v>0</v>
      </c>
      <c r="AK44" s="1485">
        <f>Financials!AI72</f>
        <v>0</v>
      </c>
      <c r="AL44" s="1485">
        <f>Financials!AJ72</f>
        <v>0</v>
      </c>
      <c r="AM44" s="1485">
        <f>Financials!AK72</f>
        <v>0</v>
      </c>
      <c r="AN44" s="1485">
        <f>Financials!AL72</f>
        <v>0</v>
      </c>
      <c r="AO44" s="1485">
        <f>Financials!AM72</f>
        <v>0</v>
      </c>
      <c r="AP44" s="1485">
        <f>Financials!AN72</f>
        <v>0</v>
      </c>
      <c r="AQ44" s="1485">
        <f>Financials!AO72</f>
        <v>0</v>
      </c>
      <c r="AR44" s="1485">
        <f>Financials!AP72</f>
        <v>0</v>
      </c>
      <c r="AS44" s="1485">
        <f>Financials!AR72</f>
        <v>0</v>
      </c>
      <c r="AT44" s="1485">
        <f>Financials!AS72</f>
        <v>0</v>
      </c>
      <c r="AU44" s="1485">
        <f>Financials!AT72</f>
        <v>0</v>
      </c>
      <c r="AV44" s="1485">
        <f>Financials!AU72</f>
        <v>0</v>
      </c>
      <c r="AW44" s="1485">
        <f>Financials!AV72</f>
        <v>0</v>
      </c>
      <c r="AX44" s="1485">
        <f>Financials!AW72</f>
        <v>0</v>
      </c>
      <c r="AY44" s="1485">
        <f>Financials!AX72</f>
        <v>0</v>
      </c>
      <c r="AZ44" s="1485">
        <f>Financials!AY72</f>
        <v>0</v>
      </c>
      <c r="BA44" s="1485">
        <f>Financials!AZ72</f>
        <v>0</v>
      </c>
      <c r="BB44" s="1485">
        <f>Financials!BA72</f>
        <v>0</v>
      </c>
      <c r="BC44" s="1485">
        <f>Financials!BB72</f>
        <v>0</v>
      </c>
      <c r="BD44" s="1485">
        <f>Financials!BC72</f>
        <v>0</v>
      </c>
      <c r="BE44" s="1485">
        <f>Financials!BE72</f>
        <v>0</v>
      </c>
      <c r="BF44" s="1485">
        <f>Financials!BF72</f>
        <v>0</v>
      </c>
      <c r="BG44" s="1519">
        <f>Financials!BG72</f>
        <v>0</v>
      </c>
      <c r="BH44" s="1519">
        <f>Financials!BH72</f>
        <v>0</v>
      </c>
      <c r="BI44" s="1519">
        <f>Financials!BI72</f>
        <v>0</v>
      </c>
      <c r="BJ44" s="1519">
        <f>Financials!BJ72</f>
        <v>0</v>
      </c>
      <c r="BK44" s="1519">
        <f>Financials!BK72</f>
        <v>0</v>
      </c>
      <c r="BL44" s="1519">
        <f>Financials!BL72</f>
        <v>0</v>
      </c>
      <c r="BM44" s="1519">
        <f>Financials!BM72</f>
        <v>0</v>
      </c>
      <c r="BN44" s="1519">
        <f>Financials!BN72</f>
        <v>0</v>
      </c>
      <c r="BO44" s="1519">
        <f>Financials!BO72</f>
        <v>0</v>
      </c>
      <c r="BP44" s="1519">
        <f>Financials!BP72</f>
        <v>0</v>
      </c>
      <c r="BQ44" s="43"/>
      <c r="BR44" s="43"/>
      <c r="BS44" s="43"/>
      <c r="BT44" s="43"/>
      <c r="BU44" s="43"/>
      <c r="BV44" s="43"/>
      <c r="BW44" s="1436"/>
      <c r="BX44" s="1437"/>
      <c r="BY44" s="1437"/>
      <c r="BZ44" s="1183"/>
      <c r="CA44" s="1183"/>
      <c r="CB44" s="1183"/>
      <c r="CC44" s="1183"/>
      <c r="CD44" s="484">
        <f>$AG$38</f>
        <v>0</v>
      </c>
      <c r="CE44" s="484">
        <f>$AG$39</f>
        <v>0</v>
      </c>
      <c r="CF44" s="484">
        <f>$AG$40</f>
        <v>0</v>
      </c>
      <c r="CG44" s="484">
        <f>$AG$41</f>
        <v>0</v>
      </c>
      <c r="CH44" s="484">
        <f>$AG$42</f>
        <v>0</v>
      </c>
      <c r="CI44" s="484">
        <f>$AG$43</f>
        <v>0</v>
      </c>
      <c r="CJ44" s="484">
        <f>$AG$44</f>
        <v>0</v>
      </c>
      <c r="CK44" s="484">
        <f>$AG$45</f>
        <v>0</v>
      </c>
      <c r="CL44" s="484">
        <f>$AG$46</f>
        <v>0</v>
      </c>
      <c r="CM44" s="484">
        <f>$AG$47</f>
        <v>0</v>
      </c>
      <c r="CN44" s="1183"/>
      <c r="CO44" s="1183"/>
      <c r="CP44" s="1183"/>
      <c r="CQ44" s="1183"/>
      <c r="CR44" s="1183"/>
      <c r="CS44" s="1183"/>
      <c r="CT44" s="1183"/>
      <c r="CU44" s="1183"/>
      <c r="CV44" s="1183"/>
      <c r="CW44" s="1183"/>
      <c r="CX44" s="1183"/>
      <c r="CY44" s="1183"/>
      <c r="CZ44" s="1183"/>
      <c r="DA44" s="1183"/>
      <c r="DB44" s="1183"/>
      <c r="DC44" s="1183"/>
      <c r="DD44" s="1183"/>
      <c r="DE44" s="1183"/>
      <c r="DF44" s="1183"/>
      <c r="DG44" s="1183"/>
      <c r="DH44" s="1183"/>
      <c r="DI44" s="1183"/>
      <c r="DJ44" s="1183"/>
      <c r="DK44" s="1183"/>
      <c r="DL44" s="1183"/>
      <c r="DM44" s="1183"/>
      <c r="DN44" s="1183"/>
      <c r="DO44" s="1183"/>
      <c r="DP44" s="1183"/>
      <c r="DQ44" s="1183"/>
    </row>
    <row r="45" spans="1:121" s="12" customFormat="1" ht="12" customHeight="1" x14ac:dyDescent="0.35">
      <c r="A45" s="1476" t="s">
        <v>366</v>
      </c>
      <c r="B45" s="1504">
        <f>SUMIFS(Input!$P$297:$P$299,Input!$Q$297:$Q$299,"="&amp;B$23,Input!$R$297:$R$299,"&gt;0")</f>
        <v>0</v>
      </c>
      <c r="C45" s="1504">
        <f>SUMIFS(Input!$P$297:$P$299,Input!$Q$297:$Q$299,"="&amp;C$23,Input!$R$297:$R$299,"&gt;0")</f>
        <v>0</v>
      </c>
      <c r="D45" s="1504">
        <f>SUMIFS(Input!$P$297:$P$299,Input!$Q$297:$Q$299,"="&amp;D$23,Input!$R$297:$R$299,"&gt;0")</f>
        <v>0</v>
      </c>
      <c r="E45" s="1477"/>
      <c r="F45" s="1477"/>
      <c r="G45" s="1476" t="s">
        <v>382</v>
      </c>
      <c r="H45" s="1476" t="str">
        <f>IF(Input!D174&lt;&gt;"",Input!D174,"S&amp;M " &amp;G45)</f>
        <v>S&amp;M #8</v>
      </c>
      <c r="I45" s="1483">
        <f>Financials!E73</f>
        <v>0</v>
      </c>
      <c r="J45" s="1483">
        <f>Financials!F73</f>
        <v>0</v>
      </c>
      <c r="K45" s="1483">
        <f>Financials!G73</f>
        <v>0</v>
      </c>
      <c r="L45" s="1483">
        <f>Financials!H73</f>
        <v>0</v>
      </c>
      <c r="M45" s="1483">
        <f>Financials!I73</f>
        <v>0</v>
      </c>
      <c r="N45" s="1483">
        <f>Financials!J73</f>
        <v>0</v>
      </c>
      <c r="O45" s="1483">
        <f>Financials!K73</f>
        <v>0</v>
      </c>
      <c r="P45" s="1483">
        <f>Financials!L73</f>
        <v>0</v>
      </c>
      <c r="Q45" s="1483">
        <f>Financials!M73</f>
        <v>0</v>
      </c>
      <c r="R45" s="1483">
        <f>Financials!N73</f>
        <v>0</v>
      </c>
      <c r="S45" s="1483">
        <f>Financials!O73</f>
        <v>0</v>
      </c>
      <c r="T45" s="1483">
        <f>Financials!P73</f>
        <v>0</v>
      </c>
      <c r="U45" s="1483">
        <f>Financials!R73</f>
        <v>0</v>
      </c>
      <c r="V45" s="1483">
        <f>Financials!S73</f>
        <v>0</v>
      </c>
      <c r="W45" s="1483">
        <f>Financials!T73</f>
        <v>0</v>
      </c>
      <c r="X45" s="1483">
        <f>Financials!U73</f>
        <v>0</v>
      </c>
      <c r="Y45" s="1483">
        <f>Financials!V73</f>
        <v>0</v>
      </c>
      <c r="Z45" s="1483">
        <f>Financials!W73</f>
        <v>0</v>
      </c>
      <c r="AA45" s="1483">
        <f>Financials!X73</f>
        <v>0</v>
      </c>
      <c r="AB45" s="1483">
        <f>Financials!Y73</f>
        <v>0</v>
      </c>
      <c r="AC45" s="1483">
        <f>Financials!Z73</f>
        <v>0</v>
      </c>
      <c r="AD45" s="1483">
        <f>Financials!AA73</f>
        <v>0</v>
      </c>
      <c r="AE45" s="1483">
        <f>Financials!AB73</f>
        <v>0</v>
      </c>
      <c r="AF45" s="1485">
        <f>Financials!AC73</f>
        <v>0</v>
      </c>
      <c r="AG45" s="1485">
        <f>Financials!AE73</f>
        <v>0</v>
      </c>
      <c r="AH45" s="1485">
        <f>Financials!AF73</f>
        <v>0</v>
      </c>
      <c r="AI45" s="1485">
        <f>Financials!AG73</f>
        <v>0</v>
      </c>
      <c r="AJ45" s="1485">
        <f>Financials!AH73</f>
        <v>0</v>
      </c>
      <c r="AK45" s="1485">
        <f>Financials!AI73</f>
        <v>0</v>
      </c>
      <c r="AL45" s="1485">
        <f>Financials!AJ73</f>
        <v>0</v>
      </c>
      <c r="AM45" s="1485">
        <f>Financials!AK73</f>
        <v>0</v>
      </c>
      <c r="AN45" s="1485">
        <f>Financials!AL73</f>
        <v>0</v>
      </c>
      <c r="AO45" s="1485">
        <f>Financials!AM73</f>
        <v>0</v>
      </c>
      <c r="AP45" s="1485">
        <f>Financials!AN73</f>
        <v>0</v>
      </c>
      <c r="AQ45" s="1485">
        <f>Financials!AO73</f>
        <v>0</v>
      </c>
      <c r="AR45" s="1485">
        <f>Financials!AP73</f>
        <v>0</v>
      </c>
      <c r="AS45" s="1485">
        <f>Financials!AR73</f>
        <v>0</v>
      </c>
      <c r="AT45" s="1485">
        <f>Financials!AS73</f>
        <v>0</v>
      </c>
      <c r="AU45" s="1485">
        <f>Financials!AT73</f>
        <v>0</v>
      </c>
      <c r="AV45" s="1485">
        <f>Financials!AU73</f>
        <v>0</v>
      </c>
      <c r="AW45" s="1485">
        <f>Financials!AV73</f>
        <v>0</v>
      </c>
      <c r="AX45" s="1485">
        <f>Financials!AW73</f>
        <v>0</v>
      </c>
      <c r="AY45" s="1485">
        <f>Financials!AX73</f>
        <v>0</v>
      </c>
      <c r="AZ45" s="1485">
        <f>Financials!AY73</f>
        <v>0</v>
      </c>
      <c r="BA45" s="1485">
        <f>Financials!AZ73</f>
        <v>0</v>
      </c>
      <c r="BB45" s="1485">
        <f>Financials!BA73</f>
        <v>0</v>
      </c>
      <c r="BC45" s="1485">
        <f>Financials!BB73</f>
        <v>0</v>
      </c>
      <c r="BD45" s="1485">
        <f>Financials!BC73</f>
        <v>0</v>
      </c>
      <c r="BE45" s="1485">
        <f>Financials!BE73</f>
        <v>0</v>
      </c>
      <c r="BF45" s="1485">
        <f>Financials!BF73</f>
        <v>0</v>
      </c>
      <c r="BG45" s="1519">
        <f>Financials!BG73</f>
        <v>0</v>
      </c>
      <c r="BH45" s="1519">
        <f>Financials!BH73</f>
        <v>0</v>
      </c>
      <c r="BI45" s="1519">
        <f>Financials!BI73</f>
        <v>0</v>
      </c>
      <c r="BJ45" s="1519">
        <f>Financials!BJ73</f>
        <v>0</v>
      </c>
      <c r="BK45" s="1519">
        <f>Financials!BK73</f>
        <v>0</v>
      </c>
      <c r="BL45" s="1519">
        <f>Financials!BL73</f>
        <v>0</v>
      </c>
      <c r="BM45" s="1519">
        <f>Financials!BM73</f>
        <v>0</v>
      </c>
      <c r="BN45" s="1519">
        <f>Financials!BN73</f>
        <v>0</v>
      </c>
      <c r="BO45" s="1519">
        <f>Financials!BO73</f>
        <v>0</v>
      </c>
      <c r="BP45" s="1519">
        <f>Financials!BP73</f>
        <v>0</v>
      </c>
      <c r="BQ45" s="43"/>
      <c r="BR45" s="43"/>
      <c r="BS45" s="43"/>
      <c r="BT45" s="43"/>
      <c r="BU45" s="43"/>
      <c r="BV45" s="43"/>
      <c r="BW45" s="1436"/>
      <c r="BX45" s="1437"/>
      <c r="BY45" s="1437"/>
      <c r="BZ45" s="1183"/>
      <c r="CA45" s="1183"/>
      <c r="CB45" s="1183"/>
      <c r="CC45" s="1183"/>
      <c r="CD45" s="484">
        <f>$AH$38</f>
        <v>0</v>
      </c>
      <c r="CE45" s="484">
        <f>$AH$39</f>
        <v>0</v>
      </c>
      <c r="CF45" s="484">
        <f>$AH$40</f>
        <v>0</v>
      </c>
      <c r="CG45" s="484">
        <f>$AH$41</f>
        <v>0</v>
      </c>
      <c r="CH45" s="484">
        <f>$AH$42</f>
        <v>0</v>
      </c>
      <c r="CI45" s="484">
        <f>$AH$43</f>
        <v>0</v>
      </c>
      <c r="CJ45" s="484">
        <f>$AH$44</f>
        <v>0</v>
      </c>
      <c r="CK45" s="484">
        <f>$AH$45</f>
        <v>0</v>
      </c>
      <c r="CL45" s="484">
        <f>$AH$46</f>
        <v>0</v>
      </c>
      <c r="CM45" s="484">
        <f>$AH$47</f>
        <v>0</v>
      </c>
      <c r="CN45" s="1183"/>
      <c r="CO45" s="1183"/>
      <c r="CP45" s="1183"/>
      <c r="CQ45" s="1183"/>
      <c r="CR45" s="1183"/>
      <c r="CS45" s="1183"/>
      <c r="CT45" s="1183"/>
      <c r="CU45" s="1183"/>
      <c r="CV45" s="1183"/>
      <c r="CW45" s="1183"/>
      <c r="CX45" s="1183"/>
      <c r="CY45" s="1183"/>
      <c r="CZ45" s="1183"/>
      <c r="DA45" s="1183"/>
      <c r="DB45" s="1183"/>
      <c r="DC45" s="1183"/>
      <c r="DD45" s="1183"/>
      <c r="DE45" s="1183"/>
      <c r="DF45" s="1183"/>
      <c r="DG45" s="1183"/>
      <c r="DH45" s="1183"/>
      <c r="DI45" s="1183"/>
      <c r="DJ45" s="1183"/>
      <c r="DK45" s="1183"/>
      <c r="DL45" s="1183"/>
      <c r="DM45" s="1183"/>
      <c r="DN45" s="1183"/>
      <c r="DO45" s="1183"/>
      <c r="DP45" s="1183"/>
      <c r="DQ45" s="1183"/>
    </row>
    <row r="46" spans="1:121" s="12" customFormat="1" ht="12" customHeight="1" x14ac:dyDescent="0.35">
      <c r="A46" s="1476" t="s">
        <v>368</v>
      </c>
      <c r="B46" s="1504">
        <f>SUMIFS(Input!$P$297:$P$299,Input!$Q$297:$Q$299,"&lt;="&amp;B$23,Input!$R$297:$R$299,"&gt;0")</f>
        <v>0</v>
      </c>
      <c r="C46" s="1504">
        <f>SUMIFS(Input!$P$297:$P$299,Input!$Q$297:$Q$299,"&lt;="&amp;C$23,Input!$R$297:$R$299,"&gt;0")</f>
        <v>0</v>
      </c>
      <c r="D46" s="1504">
        <f>SUMIFS(Input!$P$297:$P$299,Input!$Q$297:$Q$299,"&lt;="&amp;D$23,Input!$R$297:$R$299,"&gt;0")</f>
        <v>0</v>
      </c>
      <c r="E46" s="1477"/>
      <c r="F46" s="1477"/>
      <c r="G46" s="1476" t="s">
        <v>383</v>
      </c>
      <c r="H46" s="1476" t="str">
        <f>IF(Input!D175&lt;&gt;"",Input!D175,"S&amp;M " &amp;G46)</f>
        <v>S&amp;M #9</v>
      </c>
      <c r="I46" s="1483">
        <f>Financials!E74</f>
        <v>0</v>
      </c>
      <c r="J46" s="1483">
        <f>Financials!F74</f>
        <v>0</v>
      </c>
      <c r="K46" s="1483">
        <f>Financials!G74</f>
        <v>0</v>
      </c>
      <c r="L46" s="1483">
        <f>Financials!H74</f>
        <v>0</v>
      </c>
      <c r="M46" s="1483">
        <f>Financials!I74</f>
        <v>0</v>
      </c>
      <c r="N46" s="1483">
        <f>Financials!J74</f>
        <v>0</v>
      </c>
      <c r="O46" s="1483">
        <f>Financials!K74</f>
        <v>0</v>
      </c>
      <c r="P46" s="1483">
        <f>Financials!L74</f>
        <v>0</v>
      </c>
      <c r="Q46" s="1483">
        <f>Financials!M74</f>
        <v>0</v>
      </c>
      <c r="R46" s="1483">
        <f>Financials!N74</f>
        <v>0</v>
      </c>
      <c r="S46" s="1483">
        <f>Financials!O74</f>
        <v>0</v>
      </c>
      <c r="T46" s="1483">
        <f>Financials!P74</f>
        <v>0</v>
      </c>
      <c r="U46" s="1483">
        <f>Financials!R74</f>
        <v>0</v>
      </c>
      <c r="V46" s="1483">
        <f>Financials!S74</f>
        <v>0</v>
      </c>
      <c r="W46" s="1483">
        <f>Financials!T74</f>
        <v>0</v>
      </c>
      <c r="X46" s="1483">
        <f>Financials!U74</f>
        <v>0</v>
      </c>
      <c r="Y46" s="1483">
        <f>Financials!V74</f>
        <v>0</v>
      </c>
      <c r="Z46" s="1483">
        <f>Financials!W74</f>
        <v>0</v>
      </c>
      <c r="AA46" s="1483">
        <f>Financials!X74</f>
        <v>0</v>
      </c>
      <c r="AB46" s="1483">
        <f>Financials!Y74</f>
        <v>0</v>
      </c>
      <c r="AC46" s="1483">
        <f>Financials!Z74</f>
        <v>0</v>
      </c>
      <c r="AD46" s="1483">
        <f>Financials!AA74</f>
        <v>0</v>
      </c>
      <c r="AE46" s="1483">
        <f>Financials!AB74</f>
        <v>0</v>
      </c>
      <c r="AF46" s="1485">
        <f>Financials!AC74</f>
        <v>0</v>
      </c>
      <c r="AG46" s="1485">
        <f>Financials!AE74</f>
        <v>0</v>
      </c>
      <c r="AH46" s="1485">
        <f>Financials!AF74</f>
        <v>0</v>
      </c>
      <c r="AI46" s="1485">
        <f>Financials!AG74</f>
        <v>0</v>
      </c>
      <c r="AJ46" s="1485">
        <f>Financials!AH74</f>
        <v>0</v>
      </c>
      <c r="AK46" s="1485">
        <f>Financials!AI74</f>
        <v>0</v>
      </c>
      <c r="AL46" s="1485">
        <f>Financials!AJ74</f>
        <v>0</v>
      </c>
      <c r="AM46" s="1485">
        <f>Financials!AK74</f>
        <v>0</v>
      </c>
      <c r="AN46" s="1485">
        <f>Financials!AL74</f>
        <v>0</v>
      </c>
      <c r="AO46" s="1485">
        <f>Financials!AM74</f>
        <v>0</v>
      </c>
      <c r="AP46" s="1485">
        <f>Financials!AN74</f>
        <v>0</v>
      </c>
      <c r="AQ46" s="1485">
        <f>Financials!AO74</f>
        <v>0</v>
      </c>
      <c r="AR46" s="1485">
        <f>Financials!AP74</f>
        <v>0</v>
      </c>
      <c r="AS46" s="1485">
        <f>Financials!AR74</f>
        <v>0</v>
      </c>
      <c r="AT46" s="1485">
        <f>Financials!AS74</f>
        <v>0</v>
      </c>
      <c r="AU46" s="1485">
        <f>Financials!AT74</f>
        <v>0</v>
      </c>
      <c r="AV46" s="1485">
        <f>Financials!AU74</f>
        <v>0</v>
      </c>
      <c r="AW46" s="1485">
        <f>Financials!AV74</f>
        <v>0</v>
      </c>
      <c r="AX46" s="1485">
        <f>Financials!AW74</f>
        <v>0</v>
      </c>
      <c r="AY46" s="1485">
        <f>Financials!AX74</f>
        <v>0</v>
      </c>
      <c r="AZ46" s="1485">
        <f>Financials!AY74</f>
        <v>0</v>
      </c>
      <c r="BA46" s="1485">
        <f>Financials!AZ74</f>
        <v>0</v>
      </c>
      <c r="BB46" s="1485">
        <f>Financials!BA74</f>
        <v>0</v>
      </c>
      <c r="BC46" s="1485">
        <f>Financials!BB74</f>
        <v>0</v>
      </c>
      <c r="BD46" s="1485">
        <f>Financials!BC74</f>
        <v>0</v>
      </c>
      <c r="BE46" s="1485">
        <f>Financials!BE74</f>
        <v>0</v>
      </c>
      <c r="BF46" s="1485">
        <f>Financials!BF74</f>
        <v>0</v>
      </c>
      <c r="BG46" s="1519">
        <f>Financials!BG74</f>
        <v>0</v>
      </c>
      <c r="BH46" s="1519">
        <f>Financials!BH74</f>
        <v>0</v>
      </c>
      <c r="BI46" s="1519">
        <f>Financials!BI74</f>
        <v>0</v>
      </c>
      <c r="BJ46" s="1519">
        <f>Financials!BJ74</f>
        <v>0</v>
      </c>
      <c r="BK46" s="1519">
        <f>Financials!BK74</f>
        <v>0</v>
      </c>
      <c r="BL46" s="1519">
        <f>Financials!BL74</f>
        <v>0</v>
      </c>
      <c r="BM46" s="1519">
        <f>Financials!BM74</f>
        <v>0</v>
      </c>
      <c r="BN46" s="1519">
        <f>Financials!BN74</f>
        <v>0</v>
      </c>
      <c r="BO46" s="1519">
        <f>Financials!BO74</f>
        <v>0</v>
      </c>
      <c r="BP46" s="1519">
        <f>Financials!BP74</f>
        <v>0</v>
      </c>
      <c r="BQ46" s="43"/>
      <c r="BR46" s="43"/>
      <c r="BS46" s="43"/>
      <c r="BT46" s="43"/>
      <c r="BU46" s="43"/>
      <c r="BV46" s="43"/>
      <c r="BW46" s="1436"/>
      <c r="BX46" s="1437"/>
      <c r="BY46" s="1437"/>
      <c r="BZ46" s="1183"/>
      <c r="CA46" s="1183"/>
      <c r="CB46" s="1183"/>
      <c r="CC46" s="1183"/>
      <c r="CD46" s="484">
        <f>$AI$38</f>
        <v>0</v>
      </c>
      <c r="CE46" s="484">
        <f>$AI$39</f>
        <v>0</v>
      </c>
      <c r="CF46" s="484">
        <f>$AI$40</f>
        <v>0</v>
      </c>
      <c r="CG46" s="484">
        <f>$AI$41</f>
        <v>0</v>
      </c>
      <c r="CH46" s="484">
        <f>$AI$42</f>
        <v>0</v>
      </c>
      <c r="CI46" s="484">
        <f>$AI$43</f>
        <v>0</v>
      </c>
      <c r="CJ46" s="484">
        <f>$AI$44</f>
        <v>0</v>
      </c>
      <c r="CK46" s="484">
        <f>$AI$45</f>
        <v>0</v>
      </c>
      <c r="CL46" s="484">
        <f>$AI$46</f>
        <v>0</v>
      </c>
      <c r="CM46" s="484">
        <f>$AI$47</f>
        <v>0</v>
      </c>
      <c r="CN46" s="1183"/>
      <c r="CO46" s="1183"/>
      <c r="CP46" s="1183"/>
      <c r="CQ46" s="1183"/>
      <c r="CR46" s="1183"/>
      <c r="CS46" s="1183"/>
      <c r="CT46" s="1183"/>
      <c r="CU46" s="1183"/>
      <c r="CV46" s="1183"/>
      <c r="CW46" s="1183"/>
      <c r="CX46" s="1183"/>
      <c r="CY46" s="1183"/>
      <c r="CZ46" s="1183"/>
      <c r="DA46" s="1183"/>
      <c r="DB46" s="1183"/>
      <c r="DC46" s="1183"/>
      <c r="DD46" s="1183"/>
      <c r="DE46" s="1183"/>
      <c r="DF46" s="1183"/>
      <c r="DG46" s="1183"/>
      <c r="DH46" s="1183"/>
      <c r="DI46" s="1183"/>
      <c r="DJ46" s="1183"/>
      <c r="DK46" s="1183"/>
      <c r="DL46" s="1183"/>
      <c r="DM46" s="1183"/>
      <c r="DN46" s="1183"/>
      <c r="DO46" s="1183"/>
      <c r="DP46" s="1183"/>
      <c r="DQ46" s="1183"/>
    </row>
    <row r="47" spans="1:121" s="12" customFormat="1" ht="12" customHeight="1" x14ac:dyDescent="0.35">
      <c r="A47" s="1478"/>
      <c r="B47" s="1478"/>
      <c r="C47" s="1478"/>
      <c r="D47" s="1478"/>
      <c r="E47" s="1477"/>
      <c r="F47" s="1477"/>
      <c r="G47" s="1476" t="s">
        <v>384</v>
      </c>
      <c r="H47" s="1476" t="str">
        <f>IF(Input!D176&lt;&gt;"",Input!D176,"S&amp;M " &amp;G47)</f>
        <v>S&amp;M #10</v>
      </c>
      <c r="I47" s="1483">
        <f>Financials!E75</f>
        <v>0</v>
      </c>
      <c r="J47" s="1483">
        <f>Financials!F75</f>
        <v>0</v>
      </c>
      <c r="K47" s="1483">
        <f>Financials!G75</f>
        <v>0</v>
      </c>
      <c r="L47" s="1483">
        <f>Financials!H75</f>
        <v>0</v>
      </c>
      <c r="M47" s="1483">
        <f>Financials!I75</f>
        <v>0</v>
      </c>
      <c r="N47" s="1483">
        <f>Financials!J75</f>
        <v>0</v>
      </c>
      <c r="O47" s="1483">
        <f>Financials!K75</f>
        <v>0</v>
      </c>
      <c r="P47" s="1483">
        <f>Financials!L75</f>
        <v>0</v>
      </c>
      <c r="Q47" s="1483">
        <f>Financials!M75</f>
        <v>0</v>
      </c>
      <c r="R47" s="1483">
        <f>Financials!N75</f>
        <v>0</v>
      </c>
      <c r="S47" s="1483">
        <f>Financials!O75</f>
        <v>0</v>
      </c>
      <c r="T47" s="1483">
        <f>Financials!P75</f>
        <v>0</v>
      </c>
      <c r="U47" s="1483">
        <f>Financials!R75</f>
        <v>0</v>
      </c>
      <c r="V47" s="1483">
        <f>Financials!S75</f>
        <v>0</v>
      </c>
      <c r="W47" s="1483">
        <f>Financials!T75</f>
        <v>0</v>
      </c>
      <c r="X47" s="1483">
        <f>Financials!U75</f>
        <v>0</v>
      </c>
      <c r="Y47" s="1483">
        <f>Financials!V75</f>
        <v>0</v>
      </c>
      <c r="Z47" s="1483">
        <f>Financials!W75</f>
        <v>0</v>
      </c>
      <c r="AA47" s="1483">
        <f>Financials!X75</f>
        <v>0</v>
      </c>
      <c r="AB47" s="1483">
        <f>Financials!Y75</f>
        <v>0</v>
      </c>
      <c r="AC47" s="1483">
        <f>Financials!Z75</f>
        <v>0</v>
      </c>
      <c r="AD47" s="1483">
        <f>Financials!AA75</f>
        <v>0</v>
      </c>
      <c r="AE47" s="1483">
        <f>Financials!AB75</f>
        <v>0</v>
      </c>
      <c r="AF47" s="1485">
        <f>Financials!AC75</f>
        <v>0</v>
      </c>
      <c r="AG47" s="1485">
        <f>Financials!AE75</f>
        <v>0</v>
      </c>
      <c r="AH47" s="1485">
        <f>Financials!AF75</f>
        <v>0</v>
      </c>
      <c r="AI47" s="1485">
        <f>Financials!AG75</f>
        <v>0</v>
      </c>
      <c r="AJ47" s="1485">
        <f>Financials!AH75</f>
        <v>0</v>
      </c>
      <c r="AK47" s="1485">
        <f>Financials!AI75</f>
        <v>0</v>
      </c>
      <c r="AL47" s="1485">
        <f>Financials!AJ75</f>
        <v>0</v>
      </c>
      <c r="AM47" s="1485">
        <f>Financials!AK75</f>
        <v>0</v>
      </c>
      <c r="AN47" s="1485">
        <f>Financials!AL75</f>
        <v>0</v>
      </c>
      <c r="AO47" s="1485">
        <f>Financials!AM75</f>
        <v>0</v>
      </c>
      <c r="AP47" s="1485">
        <f>Financials!AN75</f>
        <v>0</v>
      </c>
      <c r="AQ47" s="1485">
        <f>Financials!AO75</f>
        <v>0</v>
      </c>
      <c r="AR47" s="1485">
        <f>Financials!AP75</f>
        <v>0</v>
      </c>
      <c r="AS47" s="1485">
        <f>Financials!AR75</f>
        <v>0</v>
      </c>
      <c r="AT47" s="1485">
        <f>Financials!AS75</f>
        <v>0</v>
      </c>
      <c r="AU47" s="1485">
        <f>Financials!AT75</f>
        <v>0</v>
      </c>
      <c r="AV47" s="1485">
        <f>Financials!AU75</f>
        <v>0</v>
      </c>
      <c r="AW47" s="1485">
        <f>Financials!AV75</f>
        <v>0</v>
      </c>
      <c r="AX47" s="1485">
        <f>Financials!AW75</f>
        <v>0</v>
      </c>
      <c r="AY47" s="1485">
        <f>Financials!AX75</f>
        <v>0</v>
      </c>
      <c r="AZ47" s="1485">
        <f>Financials!AY75</f>
        <v>0</v>
      </c>
      <c r="BA47" s="1485">
        <f>Financials!AZ75</f>
        <v>0</v>
      </c>
      <c r="BB47" s="1485">
        <f>Financials!BA75</f>
        <v>0</v>
      </c>
      <c r="BC47" s="1485">
        <f>Financials!BB75</f>
        <v>0</v>
      </c>
      <c r="BD47" s="1485">
        <f>Financials!BC75</f>
        <v>0</v>
      </c>
      <c r="BE47" s="1485">
        <f>Financials!BE75</f>
        <v>0</v>
      </c>
      <c r="BF47" s="1485">
        <f>Financials!BF75</f>
        <v>0</v>
      </c>
      <c r="BG47" s="1517">
        <f>Financials!BG75</f>
        <v>0</v>
      </c>
      <c r="BH47" s="1517">
        <f>Financials!BH75</f>
        <v>0</v>
      </c>
      <c r="BI47" s="1517">
        <f>Financials!BI75</f>
        <v>0</v>
      </c>
      <c r="BJ47" s="1517">
        <f>Financials!BJ75</f>
        <v>0</v>
      </c>
      <c r="BK47" s="1517">
        <f>Financials!BK75</f>
        <v>0</v>
      </c>
      <c r="BL47" s="1517">
        <f>Financials!BL75</f>
        <v>0</v>
      </c>
      <c r="BM47" s="1517">
        <f>Financials!BM75</f>
        <v>0</v>
      </c>
      <c r="BN47" s="1517">
        <f>Financials!BN75</f>
        <v>0</v>
      </c>
      <c r="BO47" s="1517">
        <f>Financials!BO75</f>
        <v>0</v>
      </c>
      <c r="BP47" s="1517">
        <f>Financials!BP75</f>
        <v>0</v>
      </c>
      <c r="BQ47" s="43"/>
      <c r="BR47" s="43"/>
      <c r="BS47" s="43"/>
      <c r="BT47" s="43"/>
      <c r="BU47" s="43"/>
      <c r="BV47" s="43"/>
      <c r="BW47" s="1436"/>
      <c r="BX47" s="1437"/>
      <c r="BY47" s="1437"/>
      <c r="BZ47" s="1183"/>
      <c r="CA47" s="1183"/>
      <c r="CB47" s="1183"/>
      <c r="CC47" s="1183"/>
      <c r="CD47" s="484">
        <f>$AJ$38</f>
        <v>0</v>
      </c>
      <c r="CE47" s="484">
        <f>$AJ$39</f>
        <v>0</v>
      </c>
      <c r="CF47" s="484">
        <f>$AJ$40</f>
        <v>0</v>
      </c>
      <c r="CG47" s="484">
        <f>$AJ$41</f>
        <v>0</v>
      </c>
      <c r="CH47" s="484">
        <f>$AJ$42</f>
        <v>0</v>
      </c>
      <c r="CI47" s="484">
        <f>$AJ$43</f>
        <v>0</v>
      </c>
      <c r="CJ47" s="484">
        <f>$AJ$44</f>
        <v>0</v>
      </c>
      <c r="CK47" s="484">
        <f>$AJ$45</f>
        <v>0</v>
      </c>
      <c r="CL47" s="484">
        <f>$AJ$46</f>
        <v>0</v>
      </c>
      <c r="CM47" s="484">
        <f>$AJ$47</f>
        <v>0</v>
      </c>
      <c r="CN47" s="1183"/>
      <c r="CO47" s="1183"/>
      <c r="CP47" s="1183"/>
      <c r="CQ47" s="1183"/>
      <c r="CR47" s="1183"/>
      <c r="CS47" s="1183"/>
      <c r="CT47" s="1183"/>
      <c r="CU47" s="1183"/>
      <c r="CV47" s="1183"/>
      <c r="CW47" s="1183"/>
      <c r="CX47" s="1183"/>
      <c r="CY47" s="1183"/>
      <c r="CZ47" s="1183"/>
      <c r="DA47" s="1183"/>
      <c r="DB47" s="1183"/>
      <c r="DC47" s="1183"/>
      <c r="DD47" s="1183"/>
      <c r="DE47" s="1183"/>
      <c r="DF47" s="1183"/>
      <c r="DG47" s="1183"/>
      <c r="DH47" s="1183"/>
      <c r="DI47" s="1183"/>
      <c r="DJ47" s="1183"/>
      <c r="DK47" s="1183"/>
      <c r="DL47" s="1183"/>
      <c r="DM47" s="1183"/>
      <c r="DN47" s="1183"/>
      <c r="DO47" s="1183"/>
      <c r="DP47" s="1183"/>
      <c r="DQ47" s="1183"/>
    </row>
    <row r="48" spans="1:121" s="12" customFormat="1" ht="12" customHeight="1" x14ac:dyDescent="0.35">
      <c r="A48" s="1489" t="s">
        <v>385</v>
      </c>
      <c r="B48" s="1477"/>
      <c r="C48" s="1476"/>
      <c r="D48" s="1477"/>
      <c r="E48" s="1477"/>
      <c r="F48" s="1477"/>
      <c r="G48" s="1477"/>
      <c r="H48" s="1476"/>
      <c r="I48" s="1478"/>
      <c r="J48" s="1511"/>
      <c r="K48" s="1511"/>
      <c r="L48" s="1511"/>
      <c r="M48" s="1511"/>
      <c r="N48" s="1478"/>
      <c r="O48" s="1478"/>
      <c r="P48" s="1478"/>
      <c r="Q48" s="1478"/>
      <c r="R48" s="1478"/>
      <c r="S48" s="1478"/>
      <c r="T48" s="1478"/>
      <c r="U48" s="1478"/>
      <c r="V48" s="1478"/>
      <c r="W48" s="1478"/>
      <c r="X48" s="1478"/>
      <c r="Y48" s="1478"/>
      <c r="Z48" s="1478"/>
      <c r="AA48" s="1478"/>
      <c r="AB48" s="1478"/>
      <c r="AC48" s="1478"/>
      <c r="AD48" s="1478"/>
      <c r="AE48" s="1478"/>
      <c r="AF48" s="1479"/>
      <c r="AG48" s="1479"/>
      <c r="AH48" s="1479"/>
      <c r="AI48" s="1479"/>
      <c r="AJ48" s="1479"/>
      <c r="AK48" s="1479"/>
      <c r="AL48" s="1479"/>
      <c r="AM48" s="1479"/>
      <c r="AN48" s="1479"/>
      <c r="AO48" s="1479"/>
      <c r="AP48" s="1479"/>
      <c r="AQ48" s="1479"/>
      <c r="AR48" s="1479"/>
      <c r="AS48" s="1479"/>
      <c r="AT48" s="1479"/>
      <c r="AU48" s="1479"/>
      <c r="AV48" s="1479"/>
      <c r="AW48" s="1479"/>
      <c r="AX48" s="1479"/>
      <c r="AY48" s="1479"/>
      <c r="AZ48" s="1479"/>
      <c r="BA48" s="1479"/>
      <c r="BB48" s="1479"/>
      <c r="BC48" s="1479"/>
      <c r="BD48" s="1479"/>
      <c r="BE48" s="1479"/>
      <c r="BF48" s="1479"/>
      <c r="BG48" s="1517"/>
      <c r="BH48" s="1517"/>
      <c r="BI48" s="1517"/>
      <c r="BJ48" s="1517"/>
      <c r="BK48" s="1517"/>
      <c r="BL48" s="1517"/>
      <c r="BM48" s="1517"/>
      <c r="BN48" s="1517"/>
      <c r="BO48" s="1517"/>
      <c r="BP48" s="1517"/>
      <c r="BQ48" s="43"/>
      <c r="BR48" s="43"/>
      <c r="BS48" s="43"/>
      <c r="BT48" s="43"/>
      <c r="BU48" s="43"/>
      <c r="BV48" s="43"/>
      <c r="BW48" s="1436"/>
      <c r="BX48" s="1437"/>
      <c r="BY48" s="1437"/>
      <c r="BZ48" s="1183"/>
      <c r="CA48" s="1183"/>
      <c r="CB48" s="1183"/>
      <c r="CC48" s="1183"/>
      <c r="CD48" s="484">
        <f>$AK$38</f>
        <v>0</v>
      </c>
      <c r="CE48" s="484">
        <f>$AK$39</f>
        <v>0</v>
      </c>
      <c r="CF48" s="484">
        <f>$AK$40</f>
        <v>0</v>
      </c>
      <c r="CG48" s="484">
        <f>$AK$41</f>
        <v>0</v>
      </c>
      <c r="CH48" s="484">
        <f>$AK$42</f>
        <v>0</v>
      </c>
      <c r="CI48" s="484">
        <f>$AK$43</f>
        <v>0</v>
      </c>
      <c r="CJ48" s="484">
        <f>$AK$44</f>
        <v>0</v>
      </c>
      <c r="CK48" s="484">
        <f>$AK$45</f>
        <v>0</v>
      </c>
      <c r="CL48" s="484">
        <f>$AK$46</f>
        <v>0</v>
      </c>
      <c r="CM48" s="484">
        <f>$AK$47</f>
        <v>0</v>
      </c>
      <c r="CN48" s="1183"/>
      <c r="CO48" s="1183"/>
      <c r="CP48" s="1183"/>
      <c r="CQ48" s="1183"/>
      <c r="CR48" s="1183"/>
      <c r="CS48" s="1183"/>
      <c r="CT48" s="1183"/>
      <c r="CU48" s="1183"/>
      <c r="CV48" s="1183"/>
      <c r="CW48" s="1183"/>
      <c r="CX48" s="1183"/>
      <c r="CY48" s="1183"/>
      <c r="CZ48" s="1183"/>
      <c r="DA48" s="1183"/>
      <c r="DB48" s="1183"/>
      <c r="DC48" s="1183"/>
      <c r="DD48" s="1183"/>
      <c r="DE48" s="1183"/>
      <c r="DF48" s="1183"/>
      <c r="DG48" s="1183"/>
      <c r="DH48" s="1183"/>
      <c r="DI48" s="1183"/>
      <c r="DJ48" s="1183"/>
      <c r="DK48" s="1183"/>
      <c r="DL48" s="1183"/>
      <c r="DM48" s="1183"/>
      <c r="DN48" s="1183"/>
      <c r="DO48" s="1183"/>
      <c r="DP48" s="1183"/>
      <c r="DQ48" s="1183"/>
    </row>
    <row r="49" spans="1:121" s="12" customFormat="1" ht="12" customHeight="1" x14ac:dyDescent="0.35">
      <c r="A49" s="1476" t="s">
        <v>366</v>
      </c>
      <c r="B49" s="1504">
        <f>IF(AND(Input!$D$298&lt;&gt;"",Input!$D$298=B$23),Input!$D$297,0)+IF(AND(Input!$E$298&lt;&gt;"",Input!$E$298=B$23),Input!$E$297,0)+IF(AND(Input!$F$298&lt;&gt;"",Input!$F$298=B$23),Input!$F$297,0)</f>
        <v>0</v>
      </c>
      <c r="C49" s="1504">
        <f>IF(AND(Input!$D$298&lt;&gt;"",Input!$D$298=C$23),Input!$D$297,0)+IF(AND(Input!$E$298&lt;&gt;"",Input!$E$298=C$23),Input!$E$297,0)+IF(AND(Input!$F$298&lt;&gt;"",Input!$F$298=C$23),Input!$F$297,0)</f>
        <v>0</v>
      </c>
      <c r="D49" s="1504">
        <f>IF(AND(Input!$D$298&lt;&gt;"",Input!$D$298=D$23),Input!$D$297,0)+IF(AND(Input!$E$298&lt;&gt;"",Input!$E$298=D$23),Input!$E$297,0)+IF(AND(Input!$F$298&lt;&gt;"",Input!$F$298=D$23),Input!$F$297,0)</f>
        <v>0</v>
      </c>
      <c r="E49" s="1477"/>
      <c r="F49" s="1477"/>
      <c r="G49" s="1478"/>
      <c r="H49" s="1476"/>
      <c r="I49" s="1478"/>
      <c r="J49" s="1511"/>
      <c r="K49" s="1511"/>
      <c r="L49" s="1511"/>
      <c r="M49" s="1511"/>
      <c r="N49" s="1478"/>
      <c r="O49" s="1478"/>
      <c r="P49" s="1478"/>
      <c r="Q49" s="1478"/>
      <c r="R49" s="1478"/>
      <c r="S49" s="1478"/>
      <c r="T49" s="1478"/>
      <c r="U49" s="1478"/>
      <c r="V49" s="1478"/>
      <c r="W49" s="1478"/>
      <c r="X49" s="1478"/>
      <c r="Y49" s="1478"/>
      <c r="Z49" s="1478"/>
      <c r="AA49" s="1478"/>
      <c r="AB49" s="1478"/>
      <c r="AC49" s="1478"/>
      <c r="AD49" s="1478"/>
      <c r="AE49" s="1478"/>
      <c r="AF49" s="1479"/>
      <c r="AG49" s="1479"/>
      <c r="AH49" s="1479"/>
      <c r="AI49" s="1479"/>
      <c r="AJ49" s="1479"/>
      <c r="AK49" s="1479"/>
      <c r="AL49" s="1479"/>
      <c r="AM49" s="1479"/>
      <c r="AN49" s="1479"/>
      <c r="AO49" s="1479"/>
      <c r="AP49" s="1479"/>
      <c r="AQ49" s="1479"/>
      <c r="AR49" s="1479"/>
      <c r="AS49" s="1479"/>
      <c r="AT49" s="1479"/>
      <c r="AU49" s="1479"/>
      <c r="AV49" s="1479"/>
      <c r="AW49" s="1479"/>
      <c r="AX49" s="1479"/>
      <c r="AY49" s="1479"/>
      <c r="AZ49" s="1479"/>
      <c r="BA49" s="1479"/>
      <c r="BB49" s="1479"/>
      <c r="BC49" s="1479"/>
      <c r="BD49" s="1479"/>
      <c r="BE49" s="1479"/>
      <c r="BF49" s="1479"/>
      <c r="BG49" s="1517"/>
      <c r="BH49" s="1517"/>
      <c r="BI49" s="1517"/>
      <c r="BJ49" s="1517"/>
      <c r="BK49" s="1517"/>
      <c r="BL49" s="1517"/>
      <c r="BM49" s="1517"/>
      <c r="BN49" s="1517"/>
      <c r="BO49" s="1517"/>
      <c r="BP49" s="1517"/>
      <c r="BQ49" s="43"/>
      <c r="BR49" s="43"/>
      <c r="BS49" s="43"/>
      <c r="BT49" s="43"/>
      <c r="BU49" s="43"/>
      <c r="BV49" s="43"/>
      <c r="BW49" s="1436"/>
      <c r="BX49" s="1437"/>
      <c r="BY49" s="1437"/>
      <c r="BZ49" s="1183"/>
      <c r="CA49" s="1183"/>
      <c r="CB49" s="1183"/>
      <c r="CC49" s="1183"/>
      <c r="CD49" s="484">
        <f>$AL$38</f>
        <v>0</v>
      </c>
      <c r="CE49" s="484">
        <f>$AL$39</f>
        <v>0</v>
      </c>
      <c r="CF49" s="484">
        <f>$AL$40</f>
        <v>0</v>
      </c>
      <c r="CG49" s="484">
        <f>$AL$41</f>
        <v>0</v>
      </c>
      <c r="CH49" s="484">
        <f>$AL$42</f>
        <v>0</v>
      </c>
      <c r="CI49" s="484">
        <f>$AL$43</f>
        <v>0</v>
      </c>
      <c r="CJ49" s="484">
        <f>$AL$44</f>
        <v>0</v>
      </c>
      <c r="CK49" s="484">
        <f>$AL$45</f>
        <v>0</v>
      </c>
      <c r="CL49" s="484">
        <f>$AL$46</f>
        <v>0</v>
      </c>
      <c r="CM49" s="484">
        <f>$AL$47</f>
        <v>0</v>
      </c>
      <c r="CN49" s="1183"/>
      <c r="CO49" s="1183"/>
      <c r="CP49" s="1183"/>
      <c r="CQ49" s="1183"/>
      <c r="CR49" s="1183"/>
      <c r="CS49" s="1183"/>
      <c r="CT49" s="1183"/>
      <c r="CU49" s="1183"/>
      <c r="CV49" s="1183"/>
      <c r="CW49" s="1183"/>
      <c r="CX49" s="1183"/>
      <c r="CY49" s="1183"/>
      <c r="CZ49" s="1183"/>
      <c r="DA49" s="1183"/>
      <c r="DB49" s="1183"/>
      <c r="DC49" s="1183"/>
      <c r="DD49" s="1183"/>
      <c r="DE49" s="1183"/>
      <c r="DF49" s="1183"/>
      <c r="DG49" s="1183"/>
      <c r="DH49" s="1183"/>
      <c r="DI49" s="1183"/>
      <c r="DJ49" s="1183"/>
      <c r="DK49" s="1183"/>
      <c r="DL49" s="1183"/>
      <c r="DM49" s="1183"/>
      <c r="DN49" s="1183"/>
      <c r="DO49" s="1183"/>
      <c r="DP49" s="1183"/>
      <c r="DQ49" s="1183"/>
    </row>
    <row r="50" spans="1:121" s="12" customFormat="1" ht="12" customHeight="1" x14ac:dyDescent="0.35">
      <c r="A50" s="1476" t="s">
        <v>368</v>
      </c>
      <c r="B50" s="1504">
        <f>IF(AND(Input!$D$298&lt;&gt;"",Input!$D$298&lt;B$23),Input!$D$297,0)+IF(AND(Input!$E$298&lt;&gt;"",Input!$E$298&lt;B$23),Input!$E$297,0)+IF(AND(Input!$F$298&lt;&gt;"",Input!$F$298&lt;B$23),Input!$F$297,0)</f>
        <v>0</v>
      </c>
      <c r="C50" s="1504">
        <f>IF(AND(Input!$D$298&lt;&gt;"",Input!$D$298&lt;C$23),Input!$D$297,0)+IF(AND(Input!$E$298&lt;&gt;"",Input!$E$298&lt;C$23),Input!$E$297,0)+IF(AND(Input!$F$298&lt;&gt;"",Input!$F$298&lt;C$23),Input!$F$297,0)</f>
        <v>0</v>
      </c>
      <c r="D50" s="1504">
        <f>IF(AND(Input!$D$298&lt;&gt;"",Input!$D$298&lt;D$23),Input!$D$297,0)+IF(AND(Input!$E$298&lt;&gt;"",Input!$E$298&lt;D$23),Input!$E$297,0)+IF(AND(Input!$F$298&lt;&gt;"",Input!$F$298&lt;D$23),Input!$F$297,0)</f>
        <v>0</v>
      </c>
      <c r="E50" s="1477"/>
      <c r="F50" s="1477"/>
      <c r="G50" s="1478"/>
      <c r="H50" s="1476"/>
      <c r="I50" s="1512">
        <f>$I$38</f>
        <v>0</v>
      </c>
      <c r="J50" s="1512">
        <f>$J$38</f>
        <v>0</v>
      </c>
      <c r="K50" s="1512">
        <f>$K$38</f>
        <v>0</v>
      </c>
      <c r="L50" s="1512">
        <f>$L$38</f>
        <v>0</v>
      </c>
      <c r="M50" s="1512">
        <f>$M$38</f>
        <v>0</v>
      </c>
      <c r="N50" s="1512">
        <f>$N$38</f>
        <v>0</v>
      </c>
      <c r="O50" s="1512">
        <f>$O$38</f>
        <v>0</v>
      </c>
      <c r="P50" s="1512">
        <f>$P$38</f>
        <v>0</v>
      </c>
      <c r="Q50" s="1512">
        <f>$Q$38</f>
        <v>0</v>
      </c>
      <c r="R50" s="1512">
        <f>$R$38</f>
        <v>0</v>
      </c>
      <c r="S50" s="1512">
        <f>$S$38</f>
        <v>0</v>
      </c>
      <c r="T50" s="1512">
        <f>$T$38</f>
        <v>0</v>
      </c>
      <c r="U50" s="1512">
        <f>$U$38</f>
        <v>0</v>
      </c>
      <c r="V50" s="1512">
        <f>$V$38</f>
        <v>0</v>
      </c>
      <c r="W50" s="1512">
        <f>$W$38</f>
        <v>0</v>
      </c>
      <c r="X50" s="1512">
        <f>$X$38</f>
        <v>0</v>
      </c>
      <c r="Y50" s="1512">
        <f>$Y$38</f>
        <v>0</v>
      </c>
      <c r="Z50" s="1512">
        <f>$Z$38</f>
        <v>0</v>
      </c>
      <c r="AA50" s="1512">
        <f>$AA$38</f>
        <v>0</v>
      </c>
      <c r="AB50" s="1512">
        <f>$AB$38</f>
        <v>0</v>
      </c>
      <c r="AC50" s="1512">
        <f>$AC$38</f>
        <v>0</v>
      </c>
      <c r="AD50" s="1512">
        <f>$AD$38</f>
        <v>0</v>
      </c>
      <c r="AE50" s="1512">
        <f>$AE$38</f>
        <v>0</v>
      </c>
      <c r="AF50" s="1513">
        <f>$AF$38</f>
        <v>0</v>
      </c>
      <c r="AG50" s="1513">
        <f>$AG$38</f>
        <v>0</v>
      </c>
      <c r="AH50" s="1513">
        <f>$AH$38</f>
        <v>0</v>
      </c>
      <c r="AI50" s="1513">
        <f>$AI$38</f>
        <v>0</v>
      </c>
      <c r="AJ50" s="1513">
        <f>$AJ$38</f>
        <v>0</v>
      </c>
      <c r="AK50" s="1513">
        <f>$AK$38</f>
        <v>0</v>
      </c>
      <c r="AL50" s="1513">
        <f>$AL$38</f>
        <v>0</v>
      </c>
      <c r="AM50" s="1513">
        <f>$AM$38</f>
        <v>0</v>
      </c>
      <c r="AN50" s="1513">
        <f>$AN$38</f>
        <v>0</v>
      </c>
      <c r="AO50" s="1513">
        <f>$AO$38</f>
        <v>0</v>
      </c>
      <c r="AP50" s="1513">
        <f>$AP$38</f>
        <v>0</v>
      </c>
      <c r="AQ50" s="1513">
        <f>$AQ$38</f>
        <v>0</v>
      </c>
      <c r="AR50" s="1513">
        <f>$AR$38</f>
        <v>0</v>
      </c>
      <c r="AS50" s="1513">
        <f>$AS$38</f>
        <v>0</v>
      </c>
      <c r="AT50" s="1513">
        <f>$AT$38</f>
        <v>0</v>
      </c>
      <c r="AU50" s="1513">
        <f>$AU$38</f>
        <v>0</v>
      </c>
      <c r="AV50" s="1513">
        <f>$AV$38</f>
        <v>0</v>
      </c>
      <c r="AW50" s="1513">
        <f>$AW$38</f>
        <v>0</v>
      </c>
      <c r="AX50" s="1513">
        <f>$AX$38</f>
        <v>0</v>
      </c>
      <c r="AY50" s="1513">
        <f>$AY$38</f>
        <v>0</v>
      </c>
      <c r="AZ50" s="1513">
        <f>$AZ$38</f>
        <v>0</v>
      </c>
      <c r="BA50" s="1513">
        <f>$BA$38</f>
        <v>0</v>
      </c>
      <c r="BB50" s="1513">
        <f>$BB$38</f>
        <v>0</v>
      </c>
      <c r="BC50" s="1513">
        <f>$BC$38</f>
        <v>0</v>
      </c>
      <c r="BD50" s="1513">
        <f>$BD$38</f>
        <v>0</v>
      </c>
      <c r="BE50" s="1513">
        <f>$BE$38</f>
        <v>0</v>
      </c>
      <c r="BF50" s="1513">
        <f>$BF$38</f>
        <v>0</v>
      </c>
      <c r="BG50" s="1517">
        <f>$BG$38</f>
        <v>0</v>
      </c>
      <c r="BH50" s="1517">
        <f>$BH$38</f>
        <v>0</v>
      </c>
      <c r="BI50" s="1517">
        <f>$BI$38</f>
        <v>0</v>
      </c>
      <c r="BJ50" s="1517">
        <f>$BJ$38</f>
        <v>0</v>
      </c>
      <c r="BK50" s="1517">
        <f>$BK$38</f>
        <v>0</v>
      </c>
      <c r="BL50" s="1517">
        <f>$BL$38</f>
        <v>0</v>
      </c>
      <c r="BM50" s="1517">
        <f>$BM$38</f>
        <v>0</v>
      </c>
      <c r="BN50" s="1517">
        <f>$BN$38</f>
        <v>0</v>
      </c>
      <c r="BO50" s="1517">
        <f>$BO$38</f>
        <v>0</v>
      </c>
      <c r="BP50" s="1517">
        <f>$BP$38</f>
        <v>0</v>
      </c>
      <c r="BQ50" s="43"/>
      <c r="BR50" s="43"/>
      <c r="BS50" s="43"/>
      <c r="BT50" s="43"/>
      <c r="BU50" s="43"/>
      <c r="BV50" s="43"/>
      <c r="BW50" s="1436"/>
      <c r="BX50" s="1437"/>
      <c r="BY50" s="1437"/>
      <c r="BZ50" s="1183"/>
      <c r="CA50" s="1183"/>
      <c r="CB50" s="1183"/>
      <c r="CC50" s="1183"/>
      <c r="CD50" s="484">
        <f>$AM$38</f>
        <v>0</v>
      </c>
      <c r="CE50" s="484">
        <f>$AM$39</f>
        <v>0</v>
      </c>
      <c r="CF50" s="484">
        <f>$AM$40</f>
        <v>0</v>
      </c>
      <c r="CG50" s="484">
        <f>$AM$41</f>
        <v>0</v>
      </c>
      <c r="CH50" s="484">
        <f>$AM$42</f>
        <v>0</v>
      </c>
      <c r="CI50" s="484">
        <f>$AM$43</f>
        <v>0</v>
      </c>
      <c r="CJ50" s="484">
        <f>$AM$44</f>
        <v>0</v>
      </c>
      <c r="CK50" s="484">
        <f>$AM$45</f>
        <v>0</v>
      </c>
      <c r="CL50" s="484">
        <f>$AM$46</f>
        <v>0</v>
      </c>
      <c r="CM50" s="484">
        <f>$AM$47</f>
        <v>0</v>
      </c>
      <c r="CN50" s="1183"/>
      <c r="CO50" s="1183"/>
      <c r="CP50" s="1183"/>
      <c r="CQ50" s="1183"/>
      <c r="CR50" s="1183"/>
      <c r="CS50" s="1183"/>
      <c r="CT50" s="1183"/>
      <c r="CU50" s="1183"/>
      <c r="CV50" s="1183"/>
      <c r="CW50" s="1183"/>
      <c r="CX50" s="1183"/>
      <c r="CY50" s="1183"/>
      <c r="CZ50" s="1183"/>
      <c r="DA50" s="1183"/>
      <c r="DB50" s="1183"/>
      <c r="DC50" s="1183"/>
      <c r="DD50" s="1183"/>
      <c r="DE50" s="1183"/>
      <c r="DF50" s="1183"/>
      <c r="DG50" s="1183"/>
      <c r="DH50" s="1183"/>
      <c r="DI50" s="1183"/>
      <c r="DJ50" s="1183"/>
      <c r="DK50" s="1183"/>
      <c r="DL50" s="1183"/>
      <c r="DM50" s="1183"/>
      <c r="DN50" s="1183"/>
      <c r="DO50" s="1183"/>
      <c r="DP50" s="1183"/>
      <c r="DQ50" s="1183"/>
    </row>
    <row r="51" spans="1:121" s="12" customFormat="1" ht="12" customHeight="1" x14ac:dyDescent="0.35">
      <c r="A51" s="1476"/>
      <c r="B51" s="1477"/>
      <c r="C51" s="1477"/>
      <c r="D51" s="1477"/>
      <c r="E51" s="1477"/>
      <c r="F51" s="1477"/>
      <c r="G51" s="1478"/>
      <c r="H51" s="1476"/>
      <c r="I51" s="1478"/>
      <c r="J51" s="1511"/>
      <c r="K51" s="1511"/>
      <c r="L51" s="1511"/>
      <c r="M51" s="1511"/>
      <c r="N51" s="1478"/>
      <c r="O51" s="1478"/>
      <c r="P51" s="1478"/>
      <c r="Q51" s="1478"/>
      <c r="R51" s="1478"/>
      <c r="S51" s="1478"/>
      <c r="T51" s="1478"/>
      <c r="U51" s="1478"/>
      <c r="V51" s="1478"/>
      <c r="W51" s="1478"/>
      <c r="X51" s="1478"/>
      <c r="Y51" s="1478"/>
      <c r="Z51" s="1478"/>
      <c r="AA51" s="1478"/>
      <c r="AB51" s="1478"/>
      <c r="AC51" s="1478"/>
      <c r="AD51" s="1478"/>
      <c r="AE51" s="1478"/>
      <c r="AF51" s="1479"/>
      <c r="AG51" s="1479"/>
      <c r="AH51" s="1479"/>
      <c r="AI51" s="1479"/>
      <c r="AJ51" s="1479"/>
      <c r="AK51" s="1479"/>
      <c r="AL51" s="1479"/>
      <c r="AM51" s="1479"/>
      <c r="AN51" s="1479"/>
      <c r="AO51" s="1479"/>
      <c r="AP51" s="1479"/>
      <c r="AQ51" s="1479"/>
      <c r="AR51" s="1479"/>
      <c r="AS51" s="1479"/>
      <c r="AT51" s="1479"/>
      <c r="AU51" s="1479"/>
      <c r="AV51" s="1479"/>
      <c r="AW51" s="1479"/>
      <c r="AX51" s="1479"/>
      <c r="AY51" s="1479"/>
      <c r="AZ51" s="1479"/>
      <c r="BA51" s="1479"/>
      <c r="BB51" s="1479"/>
      <c r="BC51" s="1479"/>
      <c r="BD51" s="1479"/>
      <c r="BE51" s="1479"/>
      <c r="BF51" s="1479"/>
      <c r="BG51" s="1519"/>
      <c r="BH51" s="1519"/>
      <c r="BI51" s="1519"/>
      <c r="BJ51" s="1519"/>
      <c r="BK51" s="1519"/>
      <c r="BL51" s="1519"/>
      <c r="BM51" s="1519"/>
      <c r="BN51" s="1519"/>
      <c r="BO51" s="1519"/>
      <c r="BP51" s="1519"/>
      <c r="BQ51" s="43"/>
      <c r="BR51" s="43"/>
      <c r="BS51" s="43"/>
      <c r="BT51" s="43"/>
      <c r="BU51" s="43"/>
      <c r="BV51" s="43"/>
      <c r="BW51" s="1436"/>
      <c r="BX51" s="1437"/>
      <c r="BY51" s="1437"/>
      <c r="BZ51" s="1183"/>
      <c r="CA51" s="1183"/>
      <c r="CB51" s="1183"/>
      <c r="CC51" s="1183"/>
      <c r="CD51" s="484">
        <f>$AN$38</f>
        <v>0</v>
      </c>
      <c r="CE51" s="484">
        <f>$AN$39</f>
        <v>0</v>
      </c>
      <c r="CF51" s="484">
        <f>$AN$40</f>
        <v>0</v>
      </c>
      <c r="CG51" s="484">
        <f>$AN$41</f>
        <v>0</v>
      </c>
      <c r="CH51" s="484">
        <f>$AN$42</f>
        <v>0</v>
      </c>
      <c r="CI51" s="484">
        <f>$AN$43</f>
        <v>0</v>
      </c>
      <c r="CJ51" s="484">
        <f>$AN$44</f>
        <v>0</v>
      </c>
      <c r="CK51" s="484">
        <f>$AN$45</f>
        <v>0</v>
      </c>
      <c r="CL51" s="484">
        <f>$AN$46</f>
        <v>0</v>
      </c>
      <c r="CM51" s="484">
        <f>$AN$47</f>
        <v>0</v>
      </c>
      <c r="CN51" s="1183"/>
      <c r="CO51" s="1183"/>
      <c r="CP51" s="1183"/>
      <c r="CQ51" s="1183"/>
      <c r="CR51" s="1183"/>
      <c r="CS51" s="1183"/>
      <c r="CT51" s="1183"/>
      <c r="CU51" s="1183"/>
      <c r="CV51" s="1183"/>
      <c r="CW51" s="1183"/>
      <c r="CX51" s="1183"/>
      <c r="CY51" s="1183"/>
      <c r="CZ51" s="1183"/>
      <c r="DA51" s="1183"/>
      <c r="DB51" s="1183"/>
      <c r="DC51" s="1183"/>
      <c r="DD51" s="1183"/>
      <c r="DE51" s="1183"/>
      <c r="DF51" s="1183"/>
      <c r="DG51" s="1183"/>
      <c r="DH51" s="1183"/>
      <c r="DI51" s="1183"/>
      <c r="DJ51" s="1183"/>
      <c r="DK51" s="1183"/>
      <c r="DL51" s="1183"/>
      <c r="DM51" s="1183"/>
      <c r="DN51" s="1183"/>
      <c r="DO51" s="1183"/>
      <c r="DP51" s="1183"/>
      <c r="DQ51" s="1183"/>
    </row>
    <row r="52" spans="1:121" s="12" customFormat="1" ht="12" customHeight="1" x14ac:dyDescent="0.35">
      <c r="A52" s="1489" t="s">
        <v>62</v>
      </c>
      <c r="B52" s="1504"/>
      <c r="C52" s="1504"/>
      <c r="D52" s="1504"/>
      <c r="E52" s="1477"/>
      <c r="F52" s="1477"/>
      <c r="G52" s="1476" t="s">
        <v>386</v>
      </c>
      <c r="H52" s="1505" t="e" cm="1">
        <f t="array" ref="H52">INDEX(I53:AR53, MATCH(TRUE, I53:AR53&lt;0, 0))</f>
        <v>#N/A</v>
      </c>
      <c r="I52" s="1514">
        <v>1</v>
      </c>
      <c r="J52" s="1514">
        <v>2</v>
      </c>
      <c r="K52" s="1514">
        <v>3</v>
      </c>
      <c r="L52" s="1514">
        <v>4</v>
      </c>
      <c r="M52" s="1514">
        <v>5</v>
      </c>
      <c r="N52" s="1514">
        <v>6</v>
      </c>
      <c r="O52" s="1514">
        <v>7</v>
      </c>
      <c r="P52" s="1514">
        <v>8</v>
      </c>
      <c r="Q52" s="1514">
        <v>9</v>
      </c>
      <c r="R52" s="1514">
        <v>10</v>
      </c>
      <c r="S52" s="1514">
        <v>11</v>
      </c>
      <c r="T52" s="1514">
        <v>12</v>
      </c>
      <c r="U52" s="1514">
        <v>13</v>
      </c>
      <c r="V52" s="1514">
        <v>14</v>
      </c>
      <c r="W52" s="1514">
        <v>15</v>
      </c>
      <c r="X52" s="1514">
        <v>16</v>
      </c>
      <c r="Y52" s="1514">
        <v>17</v>
      </c>
      <c r="Z52" s="1514">
        <v>18</v>
      </c>
      <c r="AA52" s="1514">
        <v>19</v>
      </c>
      <c r="AB52" s="1514">
        <v>20</v>
      </c>
      <c r="AC52" s="1514">
        <v>21</v>
      </c>
      <c r="AD52" s="1514">
        <v>22</v>
      </c>
      <c r="AE52" s="1514">
        <v>23</v>
      </c>
      <c r="AF52" s="1176">
        <v>24</v>
      </c>
      <c r="AG52" s="1176">
        <v>25</v>
      </c>
      <c r="AH52" s="1176">
        <v>26</v>
      </c>
      <c r="AI52" s="1176">
        <v>27</v>
      </c>
      <c r="AJ52" s="1176">
        <v>28</v>
      </c>
      <c r="AK52" s="1176">
        <v>29</v>
      </c>
      <c r="AL52" s="1176">
        <v>30</v>
      </c>
      <c r="AM52" s="1176">
        <v>31</v>
      </c>
      <c r="AN52" s="1176">
        <v>32</v>
      </c>
      <c r="AO52" s="1176">
        <v>33</v>
      </c>
      <c r="AP52" s="1176">
        <v>34</v>
      </c>
      <c r="AQ52" s="1176">
        <v>35</v>
      </c>
      <c r="AR52" s="1176">
        <v>36</v>
      </c>
      <c r="AS52" s="1176">
        <v>37</v>
      </c>
      <c r="AT52" s="1176">
        <v>38</v>
      </c>
      <c r="AU52" s="1176">
        <v>39</v>
      </c>
      <c r="AV52" s="1176">
        <v>40</v>
      </c>
      <c r="AW52" s="1176">
        <v>41</v>
      </c>
      <c r="AX52" s="1176">
        <v>42</v>
      </c>
      <c r="AY52" s="1176">
        <v>43</v>
      </c>
      <c r="AZ52" s="1176">
        <v>44</v>
      </c>
      <c r="BA52" s="1176">
        <v>45</v>
      </c>
      <c r="BB52" s="1176">
        <v>46</v>
      </c>
      <c r="BC52" s="1176">
        <v>47</v>
      </c>
      <c r="BD52" s="1176">
        <v>48</v>
      </c>
      <c r="BE52" s="1176">
        <v>49</v>
      </c>
      <c r="BF52" s="1176">
        <v>50</v>
      </c>
      <c r="BG52" s="1519">
        <v>51</v>
      </c>
      <c r="BH52" s="1519">
        <v>52</v>
      </c>
      <c r="BI52" s="1519">
        <v>53</v>
      </c>
      <c r="BJ52" s="1519">
        <v>54</v>
      </c>
      <c r="BK52" s="1519">
        <v>55</v>
      </c>
      <c r="BL52" s="1519">
        <v>56</v>
      </c>
      <c r="BM52" s="1519">
        <v>57</v>
      </c>
      <c r="BN52" s="1519">
        <v>58</v>
      </c>
      <c r="BO52" s="1519">
        <v>59</v>
      </c>
      <c r="BP52" s="1519">
        <v>60</v>
      </c>
      <c r="BQ52" s="43"/>
      <c r="BR52" s="43"/>
      <c r="BS52" s="43"/>
      <c r="BT52" s="43"/>
      <c r="BU52" s="43"/>
      <c r="BV52" s="43"/>
      <c r="BW52" s="1436"/>
      <c r="BX52" s="1437"/>
      <c r="BY52" s="1437"/>
      <c r="BZ52" s="1183"/>
      <c r="CA52" s="1183"/>
      <c r="CB52" s="1183"/>
      <c r="CC52" s="1183"/>
      <c r="CD52" s="484">
        <f>$AO$38</f>
        <v>0</v>
      </c>
      <c r="CE52" s="484">
        <f>$AO$39</f>
        <v>0</v>
      </c>
      <c r="CF52" s="484">
        <f>$AO$40</f>
        <v>0</v>
      </c>
      <c r="CG52" s="484">
        <f>$AO$41</f>
        <v>0</v>
      </c>
      <c r="CH52" s="484">
        <f>$AO$42</f>
        <v>0</v>
      </c>
      <c r="CI52" s="484">
        <f>$AO$43</f>
        <v>0</v>
      </c>
      <c r="CJ52" s="484">
        <f>$AO$44</f>
        <v>0</v>
      </c>
      <c r="CK52" s="484">
        <f>$AO$45</f>
        <v>0</v>
      </c>
      <c r="CL52" s="484">
        <f>$AO$46</f>
        <v>0</v>
      </c>
      <c r="CM52" s="484">
        <f>$AO$47</f>
        <v>0</v>
      </c>
      <c r="CN52" s="1183"/>
      <c r="CO52" s="1183"/>
      <c r="CP52" s="1183"/>
      <c r="CQ52" s="1183"/>
      <c r="CR52" s="1183"/>
      <c r="CS52" s="1183"/>
      <c r="CT52" s="1183"/>
      <c r="CU52" s="1183"/>
      <c r="CV52" s="1183"/>
      <c r="CW52" s="1183"/>
      <c r="CX52" s="1183"/>
      <c r="CY52" s="1183"/>
      <c r="CZ52" s="1183"/>
      <c r="DA52" s="1183"/>
      <c r="DB52" s="1183"/>
      <c r="DC52" s="1183"/>
      <c r="DD52" s="1183"/>
      <c r="DE52" s="1183"/>
      <c r="DF52" s="1183"/>
      <c r="DG52" s="1183"/>
      <c r="DH52" s="1183"/>
      <c r="DI52" s="1183"/>
      <c r="DJ52" s="1183"/>
      <c r="DK52" s="1183"/>
      <c r="DL52" s="1183"/>
      <c r="DM52" s="1183"/>
      <c r="DN52" s="1183"/>
      <c r="DO52" s="1183"/>
      <c r="DP52" s="1183"/>
      <c r="DQ52" s="1183"/>
    </row>
    <row r="53" spans="1:121" s="12" customFormat="1" ht="12" customHeight="1" x14ac:dyDescent="0.35">
      <c r="A53" s="1476" t="s">
        <v>366</v>
      </c>
      <c r="B53" s="1504">
        <f>SUMIFS(Input!$P$279:$P$281,Input!$Q$279:$Q$281,"="&amp;B$23,Input!$R$279:$R$281,"&gt;0")</f>
        <v>0</v>
      </c>
      <c r="C53" s="1504">
        <f>SUMIFS(Input!$P$279:$P$281,Input!$Q$279:$Q$281,"="&amp;C$23,Input!$R$279:$R$281,"&gt;0")</f>
        <v>0</v>
      </c>
      <c r="D53" s="1504">
        <f>SUMIFS(Input!$P$279:$P$281,Input!$Q$279:$Q$281,"="&amp;D$23,Input!$R$279:$R$281,"&gt;0")</f>
        <v>0</v>
      </c>
      <c r="E53" s="1477"/>
      <c r="F53" s="1477"/>
      <c r="G53" s="1476" t="str">
        <f>G52</f>
        <v>3 Year Cash Out</v>
      </c>
      <c r="H53" s="1518" t="e">
        <f>HLOOKUP(H52,I53:AR55,3,FALSE)</f>
        <v>#N/A</v>
      </c>
      <c r="I53" s="1515">
        <f>IF(Financials!$BQ178&lt;&gt;Input!$D$1576,Financials!E178,0)</f>
        <v>0</v>
      </c>
      <c r="J53" s="1516">
        <f>IF(Financials!$BQ178&lt;&gt;Input!$D$1576,Financials!F178,0)</f>
        <v>0</v>
      </c>
      <c r="K53" s="1516">
        <f>IF(Financials!$BQ178&lt;&gt;Input!$D$1576,Financials!G178,0)</f>
        <v>0</v>
      </c>
      <c r="L53" s="1516">
        <f>IF(Financials!$BQ178&lt;&gt;Input!$D$1576,Financials!H178,0)</f>
        <v>0</v>
      </c>
      <c r="M53" s="1516">
        <f>IF(Financials!$BQ178&lt;&gt;Input!$D$1576,Financials!I178,0)</f>
        <v>0</v>
      </c>
      <c r="N53" s="1516">
        <f>IF(Financials!$BQ178&lt;&gt;Input!$D$1576,Financials!J178,0)</f>
        <v>0</v>
      </c>
      <c r="O53" s="1516">
        <f>IF(Financials!$BQ178&lt;&gt;Input!$D$1576,Financials!K178,0)</f>
        <v>0</v>
      </c>
      <c r="P53" s="1516">
        <f>IF(Financials!$BQ178&lt;&gt;Input!$D$1576,Financials!L178,0)</f>
        <v>0</v>
      </c>
      <c r="Q53" s="1516">
        <f>IF(Financials!$BQ178&lt;&gt;Input!$D$1576,Financials!M178,0)</f>
        <v>0</v>
      </c>
      <c r="R53" s="1516">
        <f>IF(Financials!$BQ178&lt;&gt;Input!$D$1576,Financials!N178,0)</f>
        <v>0</v>
      </c>
      <c r="S53" s="1516">
        <f>IF(Financials!$BQ178&lt;&gt;Input!$D$1576,Financials!O178,0)</f>
        <v>0</v>
      </c>
      <c r="T53" s="1516">
        <f>IF(Financials!$BQ178&lt;&gt;Input!$D$1576,Financials!P178,0)</f>
        <v>0</v>
      </c>
      <c r="U53" s="1516">
        <f>IF(Financials!$BQ178&lt;&gt;Input!$D$1576,Financials!R178,0)</f>
        <v>0</v>
      </c>
      <c r="V53" s="1516">
        <f>IF(Financials!$BQ178&lt;&gt;Input!$D$1576,Financials!S178,0)</f>
        <v>0</v>
      </c>
      <c r="W53" s="1516">
        <f>IF(Financials!$BQ178&lt;&gt;Input!$D$1576,Financials!T178,0)</f>
        <v>0</v>
      </c>
      <c r="X53" s="1516">
        <f>IF(Financials!$BQ178&lt;&gt;Input!$D$1576,Financials!U178,0)</f>
        <v>0</v>
      </c>
      <c r="Y53" s="1516">
        <f>IF(Financials!$BQ178&lt;&gt;Input!$D$1576,Financials!V178,0)</f>
        <v>0</v>
      </c>
      <c r="Z53" s="1516">
        <f>IF(Financials!$BQ178&lt;&gt;Input!$D$1576,Financials!W178,0)</f>
        <v>0</v>
      </c>
      <c r="AA53" s="1516">
        <f>IF(Financials!$BQ178&lt;&gt;Input!$D$1576,Financials!X178,0)</f>
        <v>0</v>
      </c>
      <c r="AB53" s="1516">
        <f>IF(Financials!$BQ178&lt;&gt;Input!$D$1576,Financials!Y178,0)</f>
        <v>0</v>
      </c>
      <c r="AC53" s="1516">
        <f>IF(Financials!$BQ178&lt;&gt;Input!$D$1576,Financials!Z178,0)</f>
        <v>0</v>
      </c>
      <c r="AD53" s="1516">
        <f>IF(Financials!$BQ178&lt;&gt;Input!$D$1576,Financials!AA178,0)</f>
        <v>0</v>
      </c>
      <c r="AE53" s="1516">
        <f>IF(Financials!$BQ178&lt;&gt;Input!$D$1576,Financials!AB178,0)</f>
        <v>0</v>
      </c>
      <c r="AF53" s="1517">
        <f>IF(Financials!$BQ178&lt;&gt;Input!$D$1576,Financials!AC178,0)</f>
        <v>0</v>
      </c>
      <c r="AG53" s="1517">
        <f>IF(Financials!$BQ178&lt;&gt;Input!$D$1576,Financials!AE178,0)</f>
        <v>0</v>
      </c>
      <c r="AH53" s="1517">
        <f>IF(Financials!$BQ178&lt;&gt;Input!$D$1576,Financials!AF178,0)</f>
        <v>0</v>
      </c>
      <c r="AI53" s="1517">
        <f>IF(Financials!$BQ178&lt;&gt;Input!$D$1576,Financials!AG178,0)</f>
        <v>0</v>
      </c>
      <c r="AJ53" s="1517">
        <f>IF(Financials!$BQ178&lt;&gt;Input!$D$1576,Financials!AH178,0)</f>
        <v>0</v>
      </c>
      <c r="AK53" s="1517">
        <f>IF(Financials!$BQ178&lt;&gt;Input!$D$1576,Financials!AI178,0)</f>
        <v>0</v>
      </c>
      <c r="AL53" s="1517">
        <f>IF(Financials!$BQ178&lt;&gt;Input!$D$1576,Financials!AJ178,0)</f>
        <v>0</v>
      </c>
      <c r="AM53" s="1517">
        <f>IF(Financials!$BQ178&lt;&gt;Input!$D$1576,Financials!AK178,0)</f>
        <v>0</v>
      </c>
      <c r="AN53" s="1517">
        <f>IF(Financials!$BQ178&lt;&gt;Input!$D$1576,Financials!AL178,0)</f>
        <v>0</v>
      </c>
      <c r="AO53" s="1517">
        <f>IF(Financials!$BQ178&lt;&gt;Input!$D$1576,Financials!AM178,0)</f>
        <v>0</v>
      </c>
      <c r="AP53" s="1517">
        <f>IF(Financials!$BQ178&lt;&gt;Input!$D$1576,Financials!AN178,0)</f>
        <v>0</v>
      </c>
      <c r="AQ53" s="1517">
        <f>IF(Financials!$BQ178&lt;&gt;Input!$D$1576,Financials!AO178,0)</f>
        <v>0</v>
      </c>
      <c r="AR53" s="1517">
        <f>IF(Financials!$BQ178&lt;&gt;Input!$D$1576,Financials!AP178,0)</f>
        <v>0</v>
      </c>
      <c r="AS53" s="1517">
        <f>IF(Financials!$BQ178&lt;&gt;Input!$D$1576,Financials!AR178,0)</f>
        <v>0</v>
      </c>
      <c r="AT53" s="1517">
        <f>IF(Financials!$BQ178&lt;&gt;Input!$D$1576,Financials!AS178,0)</f>
        <v>0</v>
      </c>
      <c r="AU53" s="1517">
        <f>IF(Financials!$BQ178&lt;&gt;Input!$D$1576,Financials!AT178,0)</f>
        <v>0</v>
      </c>
      <c r="AV53" s="1517">
        <f>IF(Financials!$BQ178&lt;&gt;Input!$D$1576,Financials!AU178,0)</f>
        <v>0</v>
      </c>
      <c r="AW53" s="1517">
        <f>IF(Financials!$BQ178&lt;&gt;Input!$D$1576,Financials!AV178,0)</f>
        <v>0</v>
      </c>
      <c r="AX53" s="1517">
        <f>IF(Financials!$BQ178&lt;&gt;Input!$D$1576,Financials!AW178,0)</f>
        <v>0</v>
      </c>
      <c r="AY53" s="1517">
        <f>IF(Financials!$BQ178&lt;&gt;Input!$D$1576,Financials!AX178,0)</f>
        <v>0</v>
      </c>
      <c r="AZ53" s="1517">
        <f>IF(Financials!$BQ178&lt;&gt;Input!$D$1576,Financials!AY178,0)</f>
        <v>0</v>
      </c>
      <c r="BA53" s="1517">
        <f>IF(Financials!$BQ178&lt;&gt;Input!$D$1576,Financials!AZ178,0)</f>
        <v>0</v>
      </c>
      <c r="BB53" s="1517">
        <f>IF(Financials!$BQ178&lt;&gt;Input!$D$1576,Financials!BA178,0)</f>
        <v>0</v>
      </c>
      <c r="BC53" s="1517">
        <f>IF(Financials!$BQ178&lt;&gt;Input!$D$1576,Financials!BB178,0)</f>
        <v>0</v>
      </c>
      <c r="BD53" s="1517">
        <f>IF(Financials!$BQ178&lt;&gt;Input!$D$1576,Financials!BC178,0)</f>
        <v>0</v>
      </c>
      <c r="BE53" s="1517">
        <f>IF(Financials!$BQ178&lt;&gt;Input!$D$1576,Financials!BE178,0)</f>
        <v>0</v>
      </c>
      <c r="BF53" s="1517">
        <f>IF(Financials!$BQ178&lt;&gt;Input!$D$1576,Financials!BF178,0)</f>
        <v>0</v>
      </c>
      <c r="BG53" s="1517">
        <f>IF(Financials!$BQ178&lt;&gt;Input!$D$1576,Financials!BG178,0)</f>
        <v>0</v>
      </c>
      <c r="BH53" s="1517">
        <f>IF(Financials!$BQ178&lt;&gt;Input!$D$1576,Financials!BH178,0)</f>
        <v>0</v>
      </c>
      <c r="BI53" s="1517">
        <f>IF(Financials!$BQ178&lt;&gt;Input!$D$1576,Financials!BI178,0)</f>
        <v>0</v>
      </c>
      <c r="BJ53" s="1517">
        <f>IF(Financials!$BQ178&lt;&gt;Input!$D$1576,Financials!BJ178,0)</f>
        <v>0</v>
      </c>
      <c r="BK53" s="1517">
        <f>IF(Financials!$BQ178&lt;&gt;Input!$D$1576,Financials!BK178,0)</f>
        <v>0</v>
      </c>
      <c r="BL53" s="1517">
        <f>IF(Financials!$BQ178&lt;&gt;Input!$D$1576,Financials!BL178,0)</f>
        <v>0</v>
      </c>
      <c r="BM53" s="1517">
        <f>IF(Financials!$BQ178&lt;&gt;Input!$D$1576,Financials!BM178,0)</f>
        <v>0</v>
      </c>
      <c r="BN53" s="1517">
        <f>IF(Financials!$BQ178&lt;&gt;Input!$D$1576,Financials!BN178,0)</f>
        <v>0</v>
      </c>
      <c r="BO53" s="1517">
        <f>IF(Financials!$BQ178&lt;&gt;Input!$D$1576,Financials!BO178,0)</f>
        <v>0</v>
      </c>
      <c r="BP53" s="1517">
        <f>IF(Financials!$BQ178&lt;&gt;Input!$D$1576,Financials!BP178,0)</f>
        <v>0</v>
      </c>
      <c r="BQ53" s="43"/>
      <c r="BR53" s="43"/>
      <c r="BS53" s="43"/>
      <c r="BT53" s="43"/>
      <c r="BU53" s="43"/>
      <c r="BV53" s="43"/>
      <c r="BW53" s="1436"/>
      <c r="BX53" s="1437"/>
      <c r="BY53" s="1437"/>
      <c r="BZ53" s="1183"/>
      <c r="CA53" s="1183"/>
      <c r="CB53" s="1183"/>
      <c r="CC53" s="1183"/>
      <c r="CD53" s="484">
        <f>$AP$38</f>
        <v>0</v>
      </c>
      <c r="CE53" s="484">
        <f>$AP$39</f>
        <v>0</v>
      </c>
      <c r="CF53" s="484">
        <f>$AP$40</f>
        <v>0</v>
      </c>
      <c r="CG53" s="484">
        <f>$AP$41</f>
        <v>0</v>
      </c>
      <c r="CH53" s="484">
        <f>$AP$42</f>
        <v>0</v>
      </c>
      <c r="CI53" s="484">
        <f>$AP$43</f>
        <v>0</v>
      </c>
      <c r="CJ53" s="484">
        <f>$AP$44</f>
        <v>0</v>
      </c>
      <c r="CK53" s="484">
        <f>$AP$45</f>
        <v>0</v>
      </c>
      <c r="CL53" s="484">
        <f>$AP$46</f>
        <v>0</v>
      </c>
      <c r="CM53" s="484">
        <f>$AP$47</f>
        <v>0</v>
      </c>
      <c r="CN53" s="1183"/>
      <c r="CO53" s="1183"/>
      <c r="CP53" s="1183"/>
      <c r="CQ53" s="1183"/>
      <c r="CR53" s="1183"/>
      <c r="CS53" s="1183"/>
      <c r="CT53" s="1183"/>
      <c r="CU53" s="1183"/>
      <c r="CV53" s="1183"/>
      <c r="CW53" s="1183"/>
      <c r="CX53" s="1183"/>
      <c r="CY53" s="1183"/>
      <c r="CZ53" s="1183"/>
      <c r="DA53" s="1183"/>
      <c r="DB53" s="1183"/>
      <c r="DC53" s="1183"/>
      <c r="DD53" s="1183"/>
      <c r="DE53" s="1183"/>
      <c r="DF53" s="1183"/>
      <c r="DG53" s="1183"/>
      <c r="DH53" s="1183"/>
      <c r="DI53" s="1183"/>
      <c r="DJ53" s="1183"/>
      <c r="DK53" s="1183"/>
      <c r="DL53" s="1183"/>
      <c r="DM53" s="1183"/>
      <c r="DN53" s="1183"/>
      <c r="DO53" s="1183"/>
      <c r="DP53" s="1183"/>
      <c r="DQ53" s="1183"/>
    </row>
    <row r="54" spans="1:121" s="12" customFormat="1" ht="12" customHeight="1" x14ac:dyDescent="0.35">
      <c r="A54" s="1476" t="s">
        <v>368</v>
      </c>
      <c r="B54" s="1504">
        <f>SUMIFS(Input!$P$279:$P$281,Input!$Q$279:$Q$281,"&lt;="&amp;B$23,Input!$R$279:$R$281,"&gt;0")</f>
        <v>0</v>
      </c>
      <c r="C54" s="1504">
        <f>SUMIFS(Input!$P$279:$P$281,Input!$Q$279:$Q$281,"&lt;="&amp;C$23,Input!$R$279:$R$281,"&gt;0")</f>
        <v>0</v>
      </c>
      <c r="D54" s="1504">
        <f>SUMIFS(Input!$P$279:$P$281,Input!$Q$279:$Q$281,"&lt;="&amp;D$23,Input!$R$279:$R$281,"&gt;0")</f>
        <v>0</v>
      </c>
      <c r="E54" s="1477"/>
      <c r="F54" s="1477"/>
      <c r="G54" s="1804"/>
      <c r="H54" s="1804"/>
      <c r="I54" s="1478"/>
      <c r="J54" s="1478"/>
      <c r="K54" s="1478"/>
      <c r="L54" s="1478"/>
      <c r="M54" s="1478"/>
      <c r="N54" s="1478"/>
      <c r="O54" s="1478"/>
      <c r="P54" s="1478"/>
      <c r="Q54" s="1478"/>
      <c r="R54" s="1478"/>
      <c r="S54" s="1478"/>
      <c r="T54" s="1478"/>
      <c r="U54" s="1478"/>
      <c r="V54" s="1478"/>
      <c r="W54" s="1478"/>
      <c r="X54" s="1478"/>
      <c r="Y54" s="1478"/>
      <c r="Z54" s="1478"/>
      <c r="AA54" s="1478"/>
      <c r="AB54" s="1478"/>
      <c r="AC54" s="1478"/>
      <c r="AD54" s="1478"/>
      <c r="AE54" s="1478"/>
      <c r="AF54" s="1479"/>
      <c r="AG54" s="1479"/>
      <c r="AH54" s="1479"/>
      <c r="AI54" s="1479"/>
      <c r="AJ54" s="1479"/>
      <c r="AK54" s="1479"/>
      <c r="AL54" s="1479"/>
      <c r="AM54" s="1479"/>
      <c r="AN54" s="1479"/>
      <c r="AO54" s="1479"/>
      <c r="AP54" s="1479"/>
      <c r="AQ54" s="1479"/>
      <c r="AR54" s="1479"/>
      <c r="AS54" s="1479"/>
      <c r="AT54" s="1479"/>
      <c r="AU54" s="1479"/>
      <c r="AV54" s="1479"/>
      <c r="AW54" s="1479"/>
      <c r="AX54" s="1479"/>
      <c r="AY54" s="1479"/>
      <c r="AZ54" s="1479"/>
      <c r="BA54" s="1479"/>
      <c r="BB54" s="1479"/>
      <c r="BC54" s="1479"/>
      <c r="BD54" s="1479"/>
      <c r="BE54" s="1479"/>
      <c r="BF54" s="1479"/>
      <c r="BG54" s="1517"/>
      <c r="BH54" s="1517"/>
      <c r="BI54" s="1517"/>
      <c r="BJ54" s="1517"/>
      <c r="BK54" s="1517"/>
      <c r="BL54" s="1517"/>
      <c r="BM54" s="1517"/>
      <c r="BN54" s="1517"/>
      <c r="BO54" s="1517"/>
      <c r="BP54" s="1517"/>
      <c r="BQ54" s="43"/>
      <c r="BR54" s="43"/>
      <c r="BS54" s="43"/>
      <c r="BT54" s="43"/>
      <c r="BU54" s="43"/>
      <c r="BV54" s="43"/>
      <c r="BW54" s="1436"/>
      <c r="BX54" s="1437"/>
      <c r="BY54" s="1437"/>
      <c r="BZ54" s="1183"/>
      <c r="CA54" s="1183"/>
      <c r="CB54" s="1183"/>
      <c r="CC54" s="1183"/>
      <c r="CD54" s="484"/>
      <c r="CE54" s="484"/>
      <c r="CF54" s="484"/>
      <c r="CG54" s="484"/>
      <c r="CH54" s="484"/>
      <c r="CI54" s="484"/>
      <c r="CJ54" s="484"/>
      <c r="CK54" s="484"/>
      <c r="CL54" s="484"/>
      <c r="CM54" s="484"/>
      <c r="CN54" s="1183"/>
      <c r="CO54" s="1183"/>
      <c r="CP54" s="1183"/>
      <c r="CQ54" s="1183"/>
      <c r="CR54" s="1183"/>
      <c r="CS54" s="1183"/>
      <c r="CT54" s="1183"/>
      <c r="CU54" s="1183"/>
      <c r="CV54" s="1183"/>
      <c r="CW54" s="1183"/>
      <c r="CX54" s="1183"/>
      <c r="CY54" s="1183"/>
      <c r="CZ54" s="1183"/>
      <c r="DA54" s="1183"/>
      <c r="DB54" s="1183"/>
      <c r="DC54" s="1183"/>
      <c r="DD54" s="1183"/>
      <c r="DE54" s="1183"/>
      <c r="DF54" s="1183"/>
      <c r="DG54" s="1183"/>
      <c r="DH54" s="1183"/>
      <c r="DI54" s="1183"/>
      <c r="DJ54" s="1183"/>
      <c r="DK54" s="1183"/>
      <c r="DL54" s="1183"/>
      <c r="DM54" s="1183"/>
      <c r="DN54" s="1183"/>
      <c r="DO54" s="1183"/>
      <c r="DP54" s="1183"/>
      <c r="DQ54" s="1183"/>
    </row>
    <row r="55" spans="1:121" s="12" customFormat="1" ht="12" customHeight="1" x14ac:dyDescent="0.35">
      <c r="A55" s="1476"/>
      <c r="B55" s="1476"/>
      <c r="C55" s="1476"/>
      <c r="D55" s="1476"/>
      <c r="E55" s="1477"/>
      <c r="F55" s="1477"/>
      <c r="G55" s="1476" t="s">
        <v>387</v>
      </c>
      <c r="H55" s="1505" t="e" cm="1">
        <f t="array" ref="H55">INDEX(I53:BF53, MATCH(TRUE, I53:BF53&lt;0, 0))</f>
        <v>#N/A</v>
      </c>
      <c r="I55" s="1518">
        <f t="shared" ref="I55:AE55" si="18">I2</f>
        <v>0</v>
      </c>
      <c r="J55" s="1518">
        <f t="shared" si="18"/>
        <v>59</v>
      </c>
      <c r="K55" s="1518">
        <f t="shared" si="18"/>
        <v>91</v>
      </c>
      <c r="L55" s="1518">
        <f t="shared" si="18"/>
        <v>121</v>
      </c>
      <c r="M55" s="1518">
        <f t="shared" si="18"/>
        <v>152</v>
      </c>
      <c r="N55" s="1518">
        <f t="shared" si="18"/>
        <v>182</v>
      </c>
      <c r="O55" s="1518">
        <f t="shared" si="18"/>
        <v>213</v>
      </c>
      <c r="P55" s="1518">
        <f t="shared" si="18"/>
        <v>244</v>
      </c>
      <c r="Q55" s="1518">
        <f t="shared" si="18"/>
        <v>274</v>
      </c>
      <c r="R55" s="1518">
        <f t="shared" si="18"/>
        <v>305</v>
      </c>
      <c r="S55" s="1518">
        <f t="shared" si="18"/>
        <v>335</v>
      </c>
      <c r="T55" s="1518">
        <f t="shared" si="18"/>
        <v>366</v>
      </c>
      <c r="U55" s="1518">
        <f t="shared" si="18"/>
        <v>397</v>
      </c>
      <c r="V55" s="1518">
        <f t="shared" si="18"/>
        <v>425</v>
      </c>
      <c r="W55" s="1518">
        <f t="shared" si="18"/>
        <v>456</v>
      </c>
      <c r="X55" s="1518">
        <f t="shared" si="18"/>
        <v>486</v>
      </c>
      <c r="Y55" s="1518">
        <f t="shared" si="18"/>
        <v>517</v>
      </c>
      <c r="Z55" s="1518">
        <f t="shared" si="18"/>
        <v>547</v>
      </c>
      <c r="AA55" s="1518">
        <f t="shared" si="18"/>
        <v>578</v>
      </c>
      <c r="AB55" s="1518">
        <f t="shared" si="18"/>
        <v>609</v>
      </c>
      <c r="AC55" s="1518">
        <f t="shared" si="18"/>
        <v>639</v>
      </c>
      <c r="AD55" s="1518">
        <f t="shared" si="18"/>
        <v>670</v>
      </c>
      <c r="AE55" s="1518">
        <f t="shared" si="18"/>
        <v>700</v>
      </c>
      <c r="AF55" s="1519">
        <f t="shared" ref="AF55:AN55" si="19">AF2</f>
        <v>731</v>
      </c>
      <c r="AG55" s="1519">
        <f t="shared" si="19"/>
        <v>762</v>
      </c>
      <c r="AH55" s="1519">
        <f t="shared" si="19"/>
        <v>790</v>
      </c>
      <c r="AI55" s="1519">
        <f t="shared" si="19"/>
        <v>821</v>
      </c>
      <c r="AJ55" s="1519">
        <f t="shared" si="19"/>
        <v>851</v>
      </c>
      <c r="AK55" s="1519">
        <f t="shared" si="19"/>
        <v>882</v>
      </c>
      <c r="AL55" s="1519">
        <f t="shared" si="19"/>
        <v>912</v>
      </c>
      <c r="AM55" s="1519">
        <f t="shared" si="19"/>
        <v>943</v>
      </c>
      <c r="AN55" s="1519">
        <f t="shared" si="19"/>
        <v>974</v>
      </c>
      <c r="AO55" s="1519">
        <f>AO2</f>
        <v>1004</v>
      </c>
      <c r="AP55" s="1519">
        <f>AP2</f>
        <v>1035</v>
      </c>
      <c r="AQ55" s="1519">
        <f>AQ2</f>
        <v>1065</v>
      </c>
      <c r="AR55" s="1519">
        <f>AR2</f>
        <v>1096</v>
      </c>
      <c r="AS55" s="1519">
        <f t="shared" ref="AS55:BP55" si="20">IF(Years="Five",AS2,"")</f>
        <v>1127</v>
      </c>
      <c r="AT55" s="1519">
        <f t="shared" si="20"/>
        <v>1155</v>
      </c>
      <c r="AU55" s="1519">
        <f t="shared" si="20"/>
        <v>1186</v>
      </c>
      <c r="AV55" s="1519">
        <f t="shared" si="20"/>
        <v>1216</v>
      </c>
      <c r="AW55" s="1519">
        <f t="shared" si="20"/>
        <v>1247</v>
      </c>
      <c r="AX55" s="1519">
        <f t="shared" si="20"/>
        <v>1277</v>
      </c>
      <c r="AY55" s="1519">
        <f t="shared" si="20"/>
        <v>1308</v>
      </c>
      <c r="AZ55" s="1519">
        <f t="shared" si="20"/>
        <v>1339</v>
      </c>
      <c r="BA55" s="1519">
        <f t="shared" si="20"/>
        <v>1369</v>
      </c>
      <c r="BB55" s="1519">
        <f t="shared" si="20"/>
        <v>1400</v>
      </c>
      <c r="BC55" s="1519">
        <f t="shared" si="20"/>
        <v>1430</v>
      </c>
      <c r="BD55" s="1519">
        <f t="shared" si="20"/>
        <v>1461</v>
      </c>
      <c r="BE55" s="1519">
        <f t="shared" si="20"/>
        <v>1492</v>
      </c>
      <c r="BF55" s="1519">
        <f t="shared" si="20"/>
        <v>1521</v>
      </c>
      <c r="BG55" s="1517">
        <f t="shared" si="20"/>
        <v>1552</v>
      </c>
      <c r="BH55" s="1517">
        <f t="shared" si="20"/>
        <v>1582</v>
      </c>
      <c r="BI55" s="1517">
        <f t="shared" si="20"/>
        <v>1613</v>
      </c>
      <c r="BJ55" s="1517">
        <f t="shared" si="20"/>
        <v>1643</v>
      </c>
      <c r="BK55" s="1517">
        <f t="shared" si="20"/>
        <v>1674</v>
      </c>
      <c r="BL55" s="1517">
        <f t="shared" si="20"/>
        <v>1705</v>
      </c>
      <c r="BM55" s="1517">
        <f t="shared" si="20"/>
        <v>1735</v>
      </c>
      <c r="BN55" s="1517">
        <f t="shared" si="20"/>
        <v>1766</v>
      </c>
      <c r="BO55" s="1517">
        <f t="shared" si="20"/>
        <v>1796</v>
      </c>
      <c r="BP55" s="1517">
        <f t="shared" si="20"/>
        <v>1827</v>
      </c>
      <c r="BQ55" s="43"/>
      <c r="BR55" s="43"/>
      <c r="BS55" s="43"/>
      <c r="BT55" s="43"/>
      <c r="BU55" s="43"/>
      <c r="BV55" s="43"/>
      <c r="BW55" s="1436"/>
      <c r="BX55" s="1437"/>
      <c r="BY55" s="1437"/>
      <c r="BZ55" s="1183"/>
      <c r="CA55" s="1183"/>
      <c r="CB55" s="1183"/>
      <c r="CC55" s="1183"/>
      <c r="CD55" s="484"/>
      <c r="CE55" s="484"/>
      <c r="CF55" s="484"/>
      <c r="CG55" s="484"/>
      <c r="CH55" s="484"/>
      <c r="CI55" s="484"/>
      <c r="CJ55" s="484"/>
      <c r="CK55" s="484"/>
      <c r="CL55" s="484"/>
      <c r="CM55" s="484"/>
      <c r="CN55" s="1183"/>
      <c r="CO55" s="1183"/>
      <c r="CP55" s="1183"/>
      <c r="CQ55" s="1183"/>
      <c r="CR55" s="1183"/>
      <c r="CS55" s="1183"/>
      <c r="CT55" s="1183"/>
      <c r="CU55" s="1183"/>
      <c r="CV55" s="1183"/>
      <c r="CW55" s="1183"/>
      <c r="CX55" s="1183"/>
      <c r="CY55" s="1183"/>
      <c r="CZ55" s="1183"/>
      <c r="DA55" s="1183"/>
      <c r="DB55" s="1183"/>
      <c r="DC55" s="1183"/>
      <c r="DD55" s="1183"/>
      <c r="DE55" s="1183"/>
      <c r="DF55" s="1183"/>
      <c r="DG55" s="1183"/>
      <c r="DH55" s="1183"/>
      <c r="DI55" s="1183"/>
      <c r="DJ55" s="1183"/>
      <c r="DK55" s="1183"/>
      <c r="DL55" s="1183"/>
      <c r="DM55" s="1183"/>
      <c r="DN55" s="1183"/>
      <c r="DO55" s="1183"/>
      <c r="DP55" s="1183"/>
      <c r="DQ55" s="1183"/>
    </row>
    <row r="56" spans="1:121" s="12" customFormat="1" ht="12" customHeight="1" x14ac:dyDescent="0.35">
      <c r="A56" s="1489" t="s">
        <v>30</v>
      </c>
      <c r="B56" s="1477"/>
      <c r="C56" s="1476"/>
      <c r="D56" s="1477"/>
      <c r="E56" s="1477"/>
      <c r="F56" s="1477"/>
      <c r="G56" s="1476" t="str">
        <f>G55</f>
        <v>Five Year Cash Out</v>
      </c>
      <c r="H56" s="1518" t="e">
        <f>HLOOKUP(H52,I53:BF55,3,FALSE)</f>
        <v>#N/A</v>
      </c>
      <c r="I56" s="1516">
        <f>SUM($I12:I12)</f>
        <v>0</v>
      </c>
      <c r="J56" s="1516">
        <f>SUM($I12:J12)</f>
        <v>0</v>
      </c>
      <c r="K56" s="1516">
        <f>SUM($I12:K12)</f>
        <v>0</v>
      </c>
      <c r="L56" s="1516">
        <f>SUM($I12:L12)</f>
        <v>0</v>
      </c>
      <c r="M56" s="1516">
        <f>SUM($I12:M12)</f>
        <v>0</v>
      </c>
      <c r="N56" s="1516">
        <f>SUM($I12:N12)</f>
        <v>0</v>
      </c>
      <c r="O56" s="1516">
        <f>SUM($I12:O12)</f>
        <v>0</v>
      </c>
      <c r="P56" s="1516">
        <f>SUM($I12:P12)</f>
        <v>0</v>
      </c>
      <c r="Q56" s="1516">
        <f>SUM($I12:Q12)</f>
        <v>0</v>
      </c>
      <c r="R56" s="1516">
        <f>SUM($I12:R12)</f>
        <v>0</v>
      </c>
      <c r="S56" s="1516">
        <f>SUM($I12:S12)</f>
        <v>0</v>
      </c>
      <c r="T56" s="1516">
        <f>SUM($I12:T12)</f>
        <v>0</v>
      </c>
      <c r="U56" s="1516">
        <f>SUM($I12:U12)</f>
        <v>0</v>
      </c>
      <c r="V56" s="1516">
        <f>SUM($I12:V12)</f>
        <v>0</v>
      </c>
      <c r="W56" s="1516">
        <f>SUM($I12:W12)</f>
        <v>0</v>
      </c>
      <c r="X56" s="1516">
        <f>SUM($I12:X12)</f>
        <v>0</v>
      </c>
      <c r="Y56" s="1516">
        <f>SUM($I12:Y12)</f>
        <v>0</v>
      </c>
      <c r="Z56" s="1516">
        <f>SUM($I12:Z12)</f>
        <v>0</v>
      </c>
      <c r="AA56" s="1516">
        <f>SUM($I12:AA12)</f>
        <v>0</v>
      </c>
      <c r="AB56" s="1516">
        <f>SUM($I12:AB12)</f>
        <v>0</v>
      </c>
      <c r="AC56" s="1516">
        <f>SUM($I12:AC12)</f>
        <v>0</v>
      </c>
      <c r="AD56" s="1516">
        <f>SUM($I12:AD12)</f>
        <v>0</v>
      </c>
      <c r="AE56" s="1516">
        <f>SUM($I12:AE12)</f>
        <v>0</v>
      </c>
      <c r="AF56" s="1517">
        <f>SUM($I12:AF12)</f>
        <v>0</v>
      </c>
      <c r="AG56" s="1517">
        <f>SUM($I12:AG12)</f>
        <v>0</v>
      </c>
      <c r="AH56" s="1517">
        <f>SUM($I12:AH12)</f>
        <v>0</v>
      </c>
      <c r="AI56" s="1517">
        <f>SUM($I12:AI12)</f>
        <v>0</v>
      </c>
      <c r="AJ56" s="1517">
        <f>SUM($I12:AJ12)</f>
        <v>0</v>
      </c>
      <c r="AK56" s="1517">
        <f>SUM($I12:AK12)</f>
        <v>0</v>
      </c>
      <c r="AL56" s="1517">
        <f>SUM($I12:AL12)</f>
        <v>0</v>
      </c>
      <c r="AM56" s="1517">
        <f>SUM($I12:AM12)</f>
        <v>0</v>
      </c>
      <c r="AN56" s="1517">
        <f>SUM($I12:AN12)</f>
        <v>0</v>
      </c>
      <c r="AO56" s="1517">
        <f>SUM($I12:AO12)</f>
        <v>0</v>
      </c>
      <c r="AP56" s="1517">
        <f>SUM($I12:AP12)</f>
        <v>0</v>
      </c>
      <c r="AQ56" s="1517">
        <f>SUM($I12:AQ12)</f>
        <v>0</v>
      </c>
      <c r="AR56" s="1517">
        <f>SUM($I12:AR12)</f>
        <v>0</v>
      </c>
      <c r="AS56" s="1517">
        <f>IF(Years="Five",SUM($I12:AS12),0)</f>
        <v>0</v>
      </c>
      <c r="AT56" s="1517">
        <f>IF(Years="Five",SUM($I12:AT12),0)</f>
        <v>0</v>
      </c>
      <c r="AU56" s="1517">
        <f>IF(Years="Five",SUM($I12:AU12),0)</f>
        <v>0</v>
      </c>
      <c r="AV56" s="1517">
        <f>IF(Years="Five",SUM($I12:AV12),0)</f>
        <v>0</v>
      </c>
      <c r="AW56" s="1517">
        <f>IF(Years="Five",SUM($I12:AW12),0)</f>
        <v>0</v>
      </c>
      <c r="AX56" s="1517">
        <f>IF(Years="Five",SUM($I12:AX12),0)</f>
        <v>0</v>
      </c>
      <c r="AY56" s="1517">
        <f>IF(Years="Five",SUM($I12:AY12),0)</f>
        <v>0</v>
      </c>
      <c r="AZ56" s="1517">
        <f>IF(Years="Five",SUM($I12:AZ12),0)</f>
        <v>0</v>
      </c>
      <c r="BA56" s="1517">
        <f>IF(Years="Five",SUM($I12:BA12),0)</f>
        <v>0</v>
      </c>
      <c r="BB56" s="1517">
        <f>IF(Years="Five",SUM($I12:BB12),0)</f>
        <v>0</v>
      </c>
      <c r="BC56" s="1517">
        <f>IF(Years="Five",SUM($I12:BC12),0)</f>
        <v>0</v>
      </c>
      <c r="BD56" s="1517">
        <f>IF(Years="Five",SUM($I12:BD12),0)</f>
        <v>0</v>
      </c>
      <c r="BE56" s="1517">
        <f>IF(Years="Five",SUM($I12:BE12),0)</f>
        <v>0</v>
      </c>
      <c r="BF56" s="1517">
        <f>IF(Years="Five",SUM($I12:BF12),0)</f>
        <v>0</v>
      </c>
      <c r="BG56" s="1517">
        <f>IF(Years="Five",SUM($I12:BG12),0)</f>
        <v>0</v>
      </c>
      <c r="BH56" s="1517">
        <f>IF(Years="Five",SUM($I12:BH12),0)</f>
        <v>0</v>
      </c>
      <c r="BI56" s="1517">
        <f>IF(Years="Five",SUM($I12:BI12),0)</f>
        <v>0</v>
      </c>
      <c r="BJ56" s="1517">
        <f>IF(Years="Five",SUM($I12:BJ12),0)</f>
        <v>0</v>
      </c>
      <c r="BK56" s="1517">
        <f>IF(Years="Five",SUM($I12:BK12),0)</f>
        <v>0</v>
      </c>
      <c r="BL56" s="1517">
        <f>IF(Years="Five",SUM($I12:BL12),0)</f>
        <v>0</v>
      </c>
      <c r="BM56" s="1517">
        <f>IF(Years="Five",SUM($I12:BM12),0)</f>
        <v>0</v>
      </c>
      <c r="BN56" s="1517">
        <f>IF(Years="Five",SUM($I12:BN12),0)</f>
        <v>0</v>
      </c>
      <c r="BO56" s="1517">
        <f>IF(Years="Five",SUM($I12:BO12),0)</f>
        <v>0</v>
      </c>
      <c r="BP56" s="1517">
        <f>IF(Years="Five",SUM($I12:BP12),0)</f>
        <v>0</v>
      </c>
      <c r="BQ56" s="43"/>
      <c r="BR56" s="43"/>
      <c r="BS56" s="43"/>
      <c r="BT56" s="43"/>
      <c r="BU56" s="43"/>
      <c r="BV56" s="43"/>
      <c r="BW56" s="1436"/>
      <c r="BX56" s="1437"/>
      <c r="BY56" s="1437"/>
      <c r="BZ56" s="1183"/>
      <c r="CA56" s="1183"/>
      <c r="CB56" s="1183"/>
      <c r="CC56" s="1183"/>
      <c r="CD56" s="484"/>
      <c r="CE56" s="484"/>
      <c r="CF56" s="484"/>
      <c r="CG56" s="484"/>
      <c r="CH56" s="484"/>
      <c r="CI56" s="484"/>
      <c r="CJ56" s="484"/>
      <c r="CK56" s="484"/>
      <c r="CL56" s="484"/>
      <c r="CM56" s="484"/>
      <c r="CN56" s="1183"/>
      <c r="CO56" s="1183"/>
      <c r="CP56" s="1183"/>
      <c r="CQ56" s="1183"/>
      <c r="CR56" s="1183"/>
      <c r="CS56" s="1183"/>
      <c r="CT56" s="1183"/>
      <c r="CU56" s="1183"/>
      <c r="CV56" s="1183"/>
      <c r="CW56" s="1183"/>
      <c r="CX56" s="1183"/>
      <c r="CY56" s="1183"/>
      <c r="CZ56" s="1183"/>
      <c r="DA56" s="1183"/>
      <c r="DB56" s="1183"/>
      <c r="DC56" s="1183"/>
      <c r="DD56" s="1183"/>
      <c r="DE56" s="1183"/>
      <c r="DF56" s="1183"/>
      <c r="DG56" s="1183"/>
      <c r="DH56" s="1183"/>
      <c r="DI56" s="1183"/>
      <c r="DJ56" s="1183"/>
      <c r="DK56" s="1183"/>
      <c r="DL56" s="1183"/>
      <c r="DM56" s="1183"/>
      <c r="DN56" s="1183"/>
      <c r="DO56" s="1183"/>
      <c r="DP56" s="1183"/>
      <c r="DQ56" s="1183"/>
    </row>
    <row r="57" spans="1:121" s="12" customFormat="1" ht="12" customHeight="1" x14ac:dyDescent="0.35">
      <c r="A57" s="1476" t="s">
        <v>366</v>
      </c>
      <c r="B57" s="1504">
        <f>SUMIF(Input!$H$279:$H$288,"="&amp;B$23,Input!$G$279:$G$288)</f>
        <v>0</v>
      </c>
      <c r="C57" s="1504">
        <f>SUMIF(Input!$H$279:$H$288,"="&amp;C$23,Input!$G$279:$G$288)</f>
        <v>0</v>
      </c>
      <c r="D57" s="1504">
        <f>SUMIF(Input!$H$279:$H$288,"="&amp;D$23,Input!$G$279:$G$288)</f>
        <v>0</v>
      </c>
      <c r="E57" s="1477"/>
      <c r="F57" s="1477"/>
      <c r="G57" s="1478"/>
      <c r="H57" s="1476"/>
      <c r="I57" s="1516">
        <f t="shared" ref="I57:AE57" si="21">IF(I56&gt;=0,I56,NA())</f>
        <v>0</v>
      </c>
      <c r="J57" s="1516">
        <f t="shared" si="21"/>
        <v>0</v>
      </c>
      <c r="K57" s="1516">
        <f t="shared" si="21"/>
        <v>0</v>
      </c>
      <c r="L57" s="1516">
        <f t="shared" si="21"/>
        <v>0</v>
      </c>
      <c r="M57" s="1516">
        <f t="shared" si="21"/>
        <v>0</v>
      </c>
      <c r="N57" s="1516">
        <f t="shared" si="21"/>
        <v>0</v>
      </c>
      <c r="O57" s="1516">
        <f t="shared" si="21"/>
        <v>0</v>
      </c>
      <c r="P57" s="1516">
        <f t="shared" si="21"/>
        <v>0</v>
      </c>
      <c r="Q57" s="1516">
        <f t="shared" si="21"/>
        <v>0</v>
      </c>
      <c r="R57" s="1516">
        <f t="shared" si="21"/>
        <v>0</v>
      </c>
      <c r="S57" s="1516">
        <f t="shared" si="21"/>
        <v>0</v>
      </c>
      <c r="T57" s="1516">
        <f t="shared" si="21"/>
        <v>0</v>
      </c>
      <c r="U57" s="1516">
        <f t="shared" si="21"/>
        <v>0</v>
      </c>
      <c r="V57" s="1516">
        <f t="shared" si="21"/>
        <v>0</v>
      </c>
      <c r="W57" s="1516">
        <f t="shared" si="21"/>
        <v>0</v>
      </c>
      <c r="X57" s="1516">
        <f t="shared" si="21"/>
        <v>0</v>
      </c>
      <c r="Y57" s="1516">
        <f t="shared" si="21"/>
        <v>0</v>
      </c>
      <c r="Z57" s="1516">
        <f t="shared" si="21"/>
        <v>0</v>
      </c>
      <c r="AA57" s="1516">
        <f t="shared" si="21"/>
        <v>0</v>
      </c>
      <c r="AB57" s="1516">
        <f t="shared" si="21"/>
        <v>0</v>
      </c>
      <c r="AC57" s="1516">
        <f t="shared" si="21"/>
        <v>0</v>
      </c>
      <c r="AD57" s="1516">
        <f t="shared" si="21"/>
        <v>0</v>
      </c>
      <c r="AE57" s="1516">
        <f t="shared" si="21"/>
        <v>0</v>
      </c>
      <c r="AF57" s="1517">
        <f t="shared" ref="AF57:AN57" si="22">IF(AF56&gt;=0,AF56,NA())</f>
        <v>0</v>
      </c>
      <c r="AG57" s="1517">
        <f t="shared" si="22"/>
        <v>0</v>
      </c>
      <c r="AH57" s="1517">
        <f t="shared" si="22"/>
        <v>0</v>
      </c>
      <c r="AI57" s="1517">
        <f t="shared" si="22"/>
        <v>0</v>
      </c>
      <c r="AJ57" s="1517">
        <f t="shared" si="22"/>
        <v>0</v>
      </c>
      <c r="AK57" s="1517">
        <f t="shared" si="22"/>
        <v>0</v>
      </c>
      <c r="AL57" s="1517">
        <f t="shared" si="22"/>
        <v>0</v>
      </c>
      <c r="AM57" s="1517">
        <f t="shared" si="22"/>
        <v>0</v>
      </c>
      <c r="AN57" s="1517">
        <f t="shared" si="22"/>
        <v>0</v>
      </c>
      <c r="AO57" s="1517">
        <f t="shared" ref="AO57:BP57" si="23">IF(AO56&gt;=0,AO56,NA())</f>
        <v>0</v>
      </c>
      <c r="AP57" s="1517">
        <f t="shared" si="23"/>
        <v>0</v>
      </c>
      <c r="AQ57" s="1517">
        <f t="shared" si="23"/>
        <v>0</v>
      </c>
      <c r="AR57" s="1517">
        <f t="shared" si="23"/>
        <v>0</v>
      </c>
      <c r="AS57" s="1517">
        <f t="shared" si="23"/>
        <v>0</v>
      </c>
      <c r="AT57" s="1517">
        <f t="shared" si="23"/>
        <v>0</v>
      </c>
      <c r="AU57" s="1517">
        <f t="shared" si="23"/>
        <v>0</v>
      </c>
      <c r="AV57" s="1517">
        <f t="shared" si="23"/>
        <v>0</v>
      </c>
      <c r="AW57" s="1517">
        <f t="shared" si="23"/>
        <v>0</v>
      </c>
      <c r="AX57" s="1517">
        <f t="shared" si="23"/>
        <v>0</v>
      </c>
      <c r="AY57" s="1517">
        <f t="shared" si="23"/>
        <v>0</v>
      </c>
      <c r="AZ57" s="1517">
        <f t="shared" si="23"/>
        <v>0</v>
      </c>
      <c r="BA57" s="1517">
        <f t="shared" si="23"/>
        <v>0</v>
      </c>
      <c r="BB57" s="1517">
        <f t="shared" si="23"/>
        <v>0</v>
      </c>
      <c r="BC57" s="1517">
        <f t="shared" si="23"/>
        <v>0</v>
      </c>
      <c r="BD57" s="1517">
        <f t="shared" si="23"/>
        <v>0</v>
      </c>
      <c r="BE57" s="1517">
        <f t="shared" si="23"/>
        <v>0</v>
      </c>
      <c r="BF57" s="1517">
        <f t="shared" si="23"/>
        <v>0</v>
      </c>
      <c r="BG57" s="1517">
        <f t="shared" si="23"/>
        <v>0</v>
      </c>
      <c r="BH57" s="1517">
        <f t="shared" si="23"/>
        <v>0</v>
      </c>
      <c r="BI57" s="1517">
        <f t="shared" si="23"/>
        <v>0</v>
      </c>
      <c r="BJ57" s="1517">
        <f t="shared" si="23"/>
        <v>0</v>
      </c>
      <c r="BK57" s="1517">
        <f t="shared" si="23"/>
        <v>0</v>
      </c>
      <c r="BL57" s="1517">
        <f t="shared" si="23"/>
        <v>0</v>
      </c>
      <c r="BM57" s="1517">
        <f t="shared" si="23"/>
        <v>0</v>
      </c>
      <c r="BN57" s="1517">
        <f t="shared" si="23"/>
        <v>0</v>
      </c>
      <c r="BO57" s="1517">
        <f t="shared" si="23"/>
        <v>0</v>
      </c>
      <c r="BP57" s="1517">
        <f t="shared" si="23"/>
        <v>0</v>
      </c>
      <c r="BQ57" s="43"/>
      <c r="BR57" s="43"/>
      <c r="BS57" s="43"/>
      <c r="BT57" s="43"/>
      <c r="BU57" s="43"/>
      <c r="BV57" s="43"/>
      <c r="BW57" s="1436"/>
      <c r="BX57" s="1437"/>
      <c r="BY57" s="1437"/>
      <c r="BZ57" s="1183"/>
      <c r="CA57" s="1183"/>
      <c r="CB57" s="1183"/>
      <c r="CC57" s="1183"/>
      <c r="CD57" s="484"/>
      <c r="CE57" s="484"/>
      <c r="CF57" s="484"/>
      <c r="CG57" s="484"/>
      <c r="CH57" s="484"/>
      <c r="CI57" s="484"/>
      <c r="CJ57" s="484"/>
      <c r="CK57" s="484"/>
      <c r="CL57" s="484"/>
      <c r="CM57" s="484"/>
      <c r="CN57" s="1183"/>
      <c r="CO57" s="1183"/>
      <c r="CP57" s="1183"/>
      <c r="CQ57" s="1183"/>
      <c r="CR57" s="1183"/>
      <c r="CS57" s="1183"/>
      <c r="CT57" s="1183"/>
      <c r="CU57" s="1183"/>
      <c r="CV57" s="1183"/>
      <c r="CW57" s="1183"/>
      <c r="CX57" s="1183"/>
      <c r="CY57" s="1183"/>
      <c r="CZ57" s="1183"/>
      <c r="DA57" s="1183"/>
      <c r="DB57" s="1183"/>
      <c r="DC57" s="1183"/>
      <c r="DD57" s="1183"/>
      <c r="DE57" s="1183"/>
      <c r="DF57" s="1183"/>
      <c r="DG57" s="1183"/>
      <c r="DH57" s="1183"/>
      <c r="DI57" s="1183"/>
      <c r="DJ57" s="1183"/>
      <c r="DK57" s="1183"/>
      <c r="DL57" s="1183"/>
      <c r="DM57" s="1183"/>
      <c r="DN57" s="1183"/>
      <c r="DO57" s="1183"/>
      <c r="DP57" s="1183"/>
      <c r="DQ57" s="1183"/>
    </row>
    <row r="58" spans="1:121" s="12" customFormat="1" ht="12" customHeight="1" x14ac:dyDescent="0.35">
      <c r="A58" s="1476" t="s">
        <v>368</v>
      </c>
      <c r="B58" s="1504">
        <f>SUMIF(Input!$H$279:$H$288,"&lt;"&amp;B$23,Input!$G$279:$G$288)</f>
        <v>0</v>
      </c>
      <c r="C58" s="1504">
        <f>SUMIF(Input!$H$279:$H$288,"&lt;"&amp;C$23,Input!$G$279:$G$288)</f>
        <v>0</v>
      </c>
      <c r="D58" s="1504">
        <f>SUMIF(Input!$H$279:$H$288,"&lt;"&amp;D$23,Input!$G$279:$G$288)</f>
        <v>0</v>
      </c>
      <c r="E58" s="1477"/>
      <c r="F58" s="1477"/>
      <c r="G58" s="1478"/>
      <c r="H58" s="1476"/>
      <c r="I58" s="1516"/>
      <c r="J58" s="1516"/>
      <c r="K58" s="1516"/>
      <c r="L58" s="1516"/>
      <c r="M58" s="1516"/>
      <c r="N58" s="1516"/>
      <c r="O58" s="1516"/>
      <c r="P58" s="1516"/>
      <c r="Q58" s="1516"/>
      <c r="R58" s="1516"/>
      <c r="S58" s="1516"/>
      <c r="T58" s="1516"/>
      <c r="U58" s="1516"/>
      <c r="V58" s="1516"/>
      <c r="W58" s="1516"/>
      <c r="X58" s="1516"/>
      <c r="Y58" s="1516"/>
      <c r="Z58" s="1516"/>
      <c r="AA58" s="1516"/>
      <c r="AB58" s="1516"/>
      <c r="AC58" s="1516"/>
      <c r="AD58" s="1516"/>
      <c r="AE58" s="1516"/>
      <c r="AF58" s="1517"/>
      <c r="AG58" s="1517"/>
      <c r="AH58" s="1517"/>
      <c r="AI58" s="1517"/>
      <c r="AJ58" s="1517"/>
      <c r="AK58" s="1517"/>
      <c r="AL58" s="1517"/>
      <c r="AM58" s="1517"/>
      <c r="AN58" s="1517"/>
      <c r="AO58" s="1517"/>
      <c r="AP58" s="1517"/>
      <c r="AQ58" s="1517"/>
      <c r="AR58" s="1517"/>
      <c r="AS58" s="1517"/>
      <c r="AT58" s="1517"/>
      <c r="AU58" s="1517"/>
      <c r="AV58" s="1517"/>
      <c r="AW58" s="1517"/>
      <c r="AX58" s="1517"/>
      <c r="AY58" s="1517"/>
      <c r="AZ58" s="1517"/>
      <c r="BA58" s="1517"/>
      <c r="BB58" s="1517"/>
      <c r="BC58" s="1517"/>
      <c r="BD58" s="1517"/>
      <c r="BE58" s="1517"/>
      <c r="BF58" s="1517"/>
      <c r="BG58" s="1519"/>
      <c r="BH58" s="1519"/>
      <c r="BI58" s="1519"/>
      <c r="BJ58" s="1519"/>
      <c r="BK58" s="1519"/>
      <c r="BL58" s="1519"/>
      <c r="BM58" s="1519"/>
      <c r="BN58" s="1519"/>
      <c r="BO58" s="1519"/>
      <c r="BP58" s="1519"/>
      <c r="BQ58" s="43"/>
      <c r="BR58" s="43"/>
      <c r="BS58" s="43"/>
      <c r="BT58" s="43"/>
      <c r="BU58" s="43"/>
      <c r="BV58" s="43"/>
      <c r="BW58" s="1436"/>
      <c r="BX58" s="1437"/>
      <c r="BY58" s="1437"/>
      <c r="BZ58" s="1183"/>
      <c r="CA58" s="1183"/>
      <c r="CB58" s="1183"/>
      <c r="CC58" s="1183"/>
      <c r="CD58" s="484"/>
      <c r="CE58" s="484"/>
      <c r="CF58" s="484"/>
      <c r="CG58" s="484"/>
      <c r="CH58" s="484"/>
      <c r="CI58" s="484"/>
      <c r="CJ58" s="484"/>
      <c r="CK58" s="484"/>
      <c r="CL58" s="484"/>
      <c r="CM58" s="484"/>
      <c r="CN58" s="1183"/>
      <c r="CO58" s="1183"/>
      <c r="CP58" s="1183"/>
      <c r="CQ58" s="1183"/>
      <c r="CR58" s="1183"/>
      <c r="CS58" s="1183"/>
      <c r="CT58" s="1183"/>
      <c r="CU58" s="1183"/>
      <c r="CV58" s="1183"/>
      <c r="CW58" s="1183"/>
      <c r="CX58" s="1183"/>
      <c r="CY58" s="1183"/>
      <c r="CZ58" s="1183"/>
      <c r="DA58" s="1183"/>
      <c r="DB58" s="1183"/>
      <c r="DC58" s="1183"/>
      <c r="DD58" s="1183"/>
      <c r="DE58" s="1183"/>
      <c r="DF58" s="1183"/>
      <c r="DG58" s="1183"/>
      <c r="DH58" s="1183"/>
      <c r="DI58" s="1183"/>
      <c r="DJ58" s="1183"/>
      <c r="DK58" s="1183"/>
      <c r="DL58" s="1183"/>
      <c r="DM58" s="1183"/>
      <c r="DN58" s="1183"/>
      <c r="DO58" s="1183"/>
      <c r="DP58" s="1183"/>
      <c r="DQ58" s="1183"/>
    </row>
    <row r="59" spans="1:121" s="12" customFormat="1" ht="12" customHeight="1" x14ac:dyDescent="0.35">
      <c r="A59" s="1476"/>
      <c r="B59" s="1476"/>
      <c r="C59" s="1476"/>
      <c r="D59" s="1476"/>
      <c r="E59" s="1476"/>
      <c r="F59" s="1476" t="s">
        <v>388</v>
      </c>
      <c r="G59" s="1518" t="e">
        <f>IF(Years="Three",H53,H56)</f>
        <v>#N/A</v>
      </c>
      <c r="H59" s="1479"/>
      <c r="I59" s="1520">
        <f>IF(I53&gt;=0,I53,NA())</f>
        <v>0</v>
      </c>
      <c r="J59" s="1521">
        <f t="shared" ref="J59:AE59" si="24">IF(J53&gt;=0,J53,NA())</f>
        <v>0</v>
      </c>
      <c r="K59" s="1521">
        <f t="shared" si="24"/>
        <v>0</v>
      </c>
      <c r="L59" s="1521">
        <f t="shared" si="24"/>
        <v>0</v>
      </c>
      <c r="M59" s="1521">
        <f t="shared" si="24"/>
        <v>0</v>
      </c>
      <c r="N59" s="1521">
        <f t="shared" si="24"/>
        <v>0</v>
      </c>
      <c r="O59" s="1521">
        <f t="shared" si="24"/>
        <v>0</v>
      </c>
      <c r="P59" s="1521">
        <f t="shared" si="24"/>
        <v>0</v>
      </c>
      <c r="Q59" s="1521">
        <f t="shared" si="24"/>
        <v>0</v>
      </c>
      <c r="R59" s="1521">
        <f t="shared" si="24"/>
        <v>0</v>
      </c>
      <c r="S59" s="1522">
        <f t="shared" si="24"/>
        <v>0</v>
      </c>
      <c r="T59" s="1522">
        <f t="shared" si="24"/>
        <v>0</v>
      </c>
      <c r="U59" s="1522">
        <f t="shared" si="24"/>
        <v>0</v>
      </c>
      <c r="V59" s="1522">
        <f t="shared" si="24"/>
        <v>0</v>
      </c>
      <c r="W59" s="1522">
        <f t="shared" si="24"/>
        <v>0</v>
      </c>
      <c r="X59" s="1522">
        <f t="shared" si="24"/>
        <v>0</v>
      </c>
      <c r="Y59" s="1522">
        <f t="shared" si="24"/>
        <v>0</v>
      </c>
      <c r="Z59" s="1522">
        <f t="shared" si="24"/>
        <v>0</v>
      </c>
      <c r="AA59" s="1522">
        <f t="shared" si="24"/>
        <v>0</v>
      </c>
      <c r="AB59" s="1522">
        <f t="shared" si="24"/>
        <v>0</v>
      </c>
      <c r="AC59" s="1522">
        <f t="shared" si="24"/>
        <v>0</v>
      </c>
      <c r="AD59" s="1522">
        <f t="shared" si="24"/>
        <v>0</v>
      </c>
      <c r="AE59" s="1522">
        <f t="shared" si="24"/>
        <v>0</v>
      </c>
      <c r="AF59" s="1523">
        <f t="shared" ref="AF59:AN59" si="25">IF(AF53&gt;=0,AF53,NA())</f>
        <v>0</v>
      </c>
      <c r="AG59" s="1523">
        <f t="shared" si="25"/>
        <v>0</v>
      </c>
      <c r="AH59" s="1523">
        <f t="shared" si="25"/>
        <v>0</v>
      </c>
      <c r="AI59" s="1523">
        <f t="shared" si="25"/>
        <v>0</v>
      </c>
      <c r="AJ59" s="1523">
        <f t="shared" si="25"/>
        <v>0</v>
      </c>
      <c r="AK59" s="1523">
        <f t="shared" si="25"/>
        <v>0</v>
      </c>
      <c r="AL59" s="1523">
        <f t="shared" si="25"/>
        <v>0</v>
      </c>
      <c r="AM59" s="1523">
        <f t="shared" si="25"/>
        <v>0</v>
      </c>
      <c r="AN59" s="1523">
        <f t="shared" si="25"/>
        <v>0</v>
      </c>
      <c r="AO59" s="1523">
        <f t="shared" ref="AO59:BP59" si="26">IF(AO53&gt;=0,AO53,NA())</f>
        <v>0</v>
      </c>
      <c r="AP59" s="1523">
        <f t="shared" si="26"/>
        <v>0</v>
      </c>
      <c r="AQ59" s="1523">
        <f t="shared" si="26"/>
        <v>0</v>
      </c>
      <c r="AR59" s="1523">
        <f t="shared" si="26"/>
        <v>0</v>
      </c>
      <c r="AS59" s="1523">
        <f t="shared" si="26"/>
        <v>0</v>
      </c>
      <c r="AT59" s="1523">
        <f t="shared" si="26"/>
        <v>0</v>
      </c>
      <c r="AU59" s="1523">
        <f t="shared" si="26"/>
        <v>0</v>
      </c>
      <c r="AV59" s="1523">
        <f t="shared" si="26"/>
        <v>0</v>
      </c>
      <c r="AW59" s="1523">
        <f t="shared" si="26"/>
        <v>0</v>
      </c>
      <c r="AX59" s="1523">
        <f t="shared" si="26"/>
        <v>0</v>
      </c>
      <c r="AY59" s="1523">
        <f t="shared" si="26"/>
        <v>0</v>
      </c>
      <c r="AZ59" s="1523">
        <f t="shared" si="26"/>
        <v>0</v>
      </c>
      <c r="BA59" s="1523">
        <f t="shared" si="26"/>
        <v>0</v>
      </c>
      <c r="BB59" s="1523">
        <f t="shared" si="26"/>
        <v>0</v>
      </c>
      <c r="BC59" s="1523">
        <f t="shared" si="26"/>
        <v>0</v>
      </c>
      <c r="BD59" s="1523">
        <f t="shared" si="26"/>
        <v>0</v>
      </c>
      <c r="BE59" s="1523">
        <f t="shared" si="26"/>
        <v>0</v>
      </c>
      <c r="BF59" s="1523">
        <f t="shared" si="26"/>
        <v>0</v>
      </c>
      <c r="BG59" s="1517">
        <f t="shared" si="26"/>
        <v>0</v>
      </c>
      <c r="BH59" s="1517">
        <f t="shared" si="26"/>
        <v>0</v>
      </c>
      <c r="BI59" s="1517">
        <f t="shared" si="26"/>
        <v>0</v>
      </c>
      <c r="BJ59" s="1517">
        <f t="shared" si="26"/>
        <v>0</v>
      </c>
      <c r="BK59" s="1517">
        <f t="shared" si="26"/>
        <v>0</v>
      </c>
      <c r="BL59" s="1517">
        <f t="shared" si="26"/>
        <v>0</v>
      </c>
      <c r="BM59" s="1517">
        <f t="shared" si="26"/>
        <v>0</v>
      </c>
      <c r="BN59" s="1517">
        <f t="shared" si="26"/>
        <v>0</v>
      </c>
      <c r="BO59" s="1517">
        <f t="shared" si="26"/>
        <v>0</v>
      </c>
      <c r="BP59" s="1517">
        <f t="shared" si="26"/>
        <v>0</v>
      </c>
      <c r="BQ59" s="43"/>
      <c r="BR59" s="43"/>
      <c r="BS59" s="43"/>
      <c r="BT59" s="43"/>
      <c r="BU59" s="43"/>
      <c r="BV59" s="43"/>
      <c r="BW59" s="1436">
        <f>Infrastructure!M28</f>
        <v>0</v>
      </c>
      <c r="BX59" s="1437">
        <f>$AB$3</f>
        <v>0</v>
      </c>
      <c r="BY59" s="1437">
        <f>$AB$8</f>
        <v>0</v>
      </c>
      <c r="BZ59" s="1183"/>
      <c r="CA59" s="1183"/>
      <c r="CB59" s="1183"/>
      <c r="CC59" s="1183"/>
      <c r="CD59" s="484">
        <f>$AQ$38</f>
        <v>0</v>
      </c>
      <c r="CE59" s="484">
        <f>$AQ$39</f>
        <v>0</v>
      </c>
      <c r="CF59" s="484">
        <f>$AQ$40</f>
        <v>0</v>
      </c>
      <c r="CG59" s="484">
        <f>$AQ$41</f>
        <v>0</v>
      </c>
      <c r="CH59" s="484">
        <f>$AQ$42</f>
        <v>0</v>
      </c>
      <c r="CI59" s="484">
        <f>$AQ$43</f>
        <v>0</v>
      </c>
      <c r="CJ59" s="484">
        <f>$AQ$44</f>
        <v>0</v>
      </c>
      <c r="CK59" s="484">
        <f>$AQ$45</f>
        <v>0</v>
      </c>
      <c r="CL59" s="484">
        <f>$AQ$46</f>
        <v>0</v>
      </c>
      <c r="CM59" s="484">
        <f>$AQ$47</f>
        <v>0</v>
      </c>
      <c r="CN59" s="1183"/>
      <c r="CO59" s="1183"/>
      <c r="CP59" s="1183"/>
      <c r="CQ59" s="1183"/>
      <c r="CR59" s="1183"/>
      <c r="CS59" s="1183"/>
      <c r="CT59" s="1183"/>
      <c r="CU59" s="1183"/>
      <c r="CV59" s="1183"/>
      <c r="CW59" s="1183"/>
      <c r="CX59" s="1183"/>
      <c r="CY59" s="1183"/>
      <c r="CZ59" s="1183"/>
      <c r="DA59" s="1183"/>
      <c r="DB59" s="1183"/>
      <c r="DC59" s="1183"/>
      <c r="DD59" s="1183"/>
      <c r="DE59" s="1183"/>
      <c r="DF59" s="1183"/>
      <c r="DG59" s="1183"/>
      <c r="DH59" s="1183"/>
      <c r="DI59" s="1183"/>
      <c r="DJ59" s="1183"/>
      <c r="DK59" s="1183"/>
      <c r="DL59" s="1183"/>
      <c r="DM59" s="1183"/>
      <c r="DN59" s="1183"/>
      <c r="DO59" s="1183"/>
      <c r="DP59" s="1183"/>
      <c r="DQ59" s="1183"/>
    </row>
    <row r="60" spans="1:121" s="12" customFormat="1" ht="12" customHeight="1" x14ac:dyDescent="0.35">
      <c r="A60" s="1489" t="s">
        <v>389</v>
      </c>
      <c r="B60" s="1477"/>
      <c r="C60" s="1476"/>
      <c r="D60" s="1477"/>
      <c r="E60" s="1477"/>
      <c r="F60" s="1477"/>
      <c r="G60" s="1478"/>
      <c r="H60" s="1479"/>
      <c r="I60" s="1524" cm="1">
        <f t="array" ref="I60">IFERROR(INDEX(I56:BP56,MATCH(TRUE,I56:BP56&gt;0,0)),0)</f>
        <v>0</v>
      </c>
      <c r="J60" s="1522"/>
      <c r="K60" s="1522"/>
      <c r="L60" s="1522"/>
      <c r="M60" s="1522"/>
      <c r="N60" s="1522"/>
      <c r="O60" s="1522"/>
      <c r="P60" s="1522"/>
      <c r="Q60" s="1522"/>
      <c r="R60" s="1522"/>
      <c r="S60" s="1522"/>
      <c r="T60" s="1522"/>
      <c r="U60" s="1522"/>
      <c r="V60" s="1522"/>
      <c r="W60" s="1522"/>
      <c r="X60" s="1522"/>
      <c r="Y60" s="1522"/>
      <c r="Z60" s="1522"/>
      <c r="AA60" s="1522"/>
      <c r="AB60" s="1522"/>
      <c r="AC60" s="1522"/>
      <c r="AD60" s="1522"/>
      <c r="AE60" s="1522"/>
      <c r="AF60" s="1523"/>
      <c r="AG60" s="1523"/>
      <c r="AH60" s="1523"/>
      <c r="AI60" s="1523"/>
      <c r="AJ60" s="1523"/>
      <c r="AK60" s="1523"/>
      <c r="AL60" s="1523"/>
      <c r="AM60" s="1523"/>
      <c r="AN60" s="1523"/>
      <c r="AO60" s="1523"/>
      <c r="AP60" s="1523"/>
      <c r="AQ60" s="1523"/>
      <c r="AR60" s="1523"/>
      <c r="AS60" s="1523"/>
      <c r="AT60" s="1523"/>
      <c r="AU60" s="1523"/>
      <c r="AV60" s="1523"/>
      <c r="AW60" s="1523"/>
      <c r="AX60" s="1523"/>
      <c r="AY60" s="1523"/>
      <c r="AZ60" s="1523"/>
      <c r="BA60" s="1523"/>
      <c r="BB60" s="1523"/>
      <c r="BC60" s="1523"/>
      <c r="BD60" s="1523"/>
      <c r="BE60" s="1523"/>
      <c r="BF60" s="1523"/>
      <c r="BG60" s="1517"/>
      <c r="BH60" s="1517"/>
      <c r="BI60" s="1517"/>
      <c r="BJ60" s="1517"/>
      <c r="BK60" s="1517"/>
      <c r="BL60" s="1517"/>
      <c r="BM60" s="1517"/>
      <c r="BN60" s="1517"/>
      <c r="BO60" s="1517"/>
      <c r="BP60" s="1517"/>
      <c r="BQ60" s="43"/>
      <c r="BR60" s="43"/>
      <c r="BS60" s="43"/>
      <c r="BT60" s="43"/>
      <c r="BU60" s="43"/>
      <c r="BV60" s="43"/>
      <c r="BW60" s="1436"/>
      <c r="BX60" s="1437"/>
      <c r="BY60" s="1437"/>
      <c r="BZ60" s="1183"/>
      <c r="CA60" s="1183"/>
      <c r="CB60" s="1183"/>
      <c r="CC60" s="1183"/>
      <c r="CD60" s="484"/>
      <c r="CE60" s="484"/>
      <c r="CF60" s="484"/>
      <c r="CG60" s="484"/>
      <c r="CH60" s="484"/>
      <c r="CI60" s="484"/>
      <c r="CJ60" s="484"/>
      <c r="CK60" s="484"/>
      <c r="CL60" s="484"/>
      <c r="CM60" s="484"/>
      <c r="CN60" s="1183"/>
      <c r="CO60" s="1183"/>
      <c r="CP60" s="1183"/>
      <c r="CQ60" s="1183"/>
      <c r="CR60" s="1183"/>
      <c r="CS60" s="1183"/>
      <c r="CT60" s="1183"/>
      <c r="CU60" s="1183"/>
      <c r="CV60" s="1183"/>
      <c r="CW60" s="1183"/>
      <c r="CX60" s="1183"/>
      <c r="CY60" s="1183"/>
      <c r="CZ60" s="1183"/>
      <c r="DA60" s="1183"/>
      <c r="DB60" s="1183"/>
      <c r="DC60" s="1183"/>
      <c r="DD60" s="1183"/>
      <c r="DE60" s="1183"/>
      <c r="DF60" s="1183"/>
      <c r="DG60" s="1183"/>
      <c r="DH60" s="1183"/>
      <c r="DI60" s="1183"/>
      <c r="DJ60" s="1183"/>
      <c r="DK60" s="1183"/>
      <c r="DL60" s="1183"/>
      <c r="DM60" s="1183"/>
      <c r="DN60" s="1183"/>
      <c r="DO60" s="1183"/>
      <c r="DP60" s="1183"/>
      <c r="DQ60" s="1183"/>
    </row>
    <row r="61" spans="1:121" s="12" customFormat="1" ht="12" customHeight="1" x14ac:dyDescent="0.35">
      <c r="A61" s="1476" t="s">
        <v>366</v>
      </c>
      <c r="B61" s="1504">
        <f>SUMIFS(Input!$G$239:$G$258,Input!$H$239:$H$258,"="&amp;B$23,Input!$I$239:$I$258,"&gt;0")</f>
        <v>0</v>
      </c>
      <c r="C61" s="1504">
        <f>SUMIFS(Input!$G$239:$G$258,Input!$H$239:$H$258,"="&amp;C$23,Input!$I$239:$I$258,"&gt;0")</f>
        <v>0</v>
      </c>
      <c r="D61" s="1504">
        <f>SUMIFS(Input!$G$239:$G$258,Input!$H$239:$H$258,"="&amp;D$23,Input!$I$239:$I$258,"&gt;0")</f>
        <v>0</v>
      </c>
      <c r="E61" s="1477"/>
      <c r="F61" s="1477"/>
      <c r="G61" s="1478"/>
      <c r="H61" s="1479"/>
      <c r="I61" s="1524">
        <f t="shared" ref="I61:AE61" si="27">I56</f>
        <v>0</v>
      </c>
      <c r="J61" s="1516">
        <f t="shared" si="27"/>
        <v>0</v>
      </c>
      <c r="K61" s="1516">
        <f t="shared" si="27"/>
        <v>0</v>
      </c>
      <c r="L61" s="1516">
        <f t="shared" si="27"/>
        <v>0</v>
      </c>
      <c r="M61" s="1516">
        <f t="shared" si="27"/>
        <v>0</v>
      </c>
      <c r="N61" s="1516">
        <f t="shared" si="27"/>
        <v>0</v>
      </c>
      <c r="O61" s="1516">
        <f t="shared" si="27"/>
        <v>0</v>
      </c>
      <c r="P61" s="1516">
        <f t="shared" si="27"/>
        <v>0</v>
      </c>
      <c r="Q61" s="1516">
        <f t="shared" si="27"/>
        <v>0</v>
      </c>
      <c r="R61" s="1516">
        <f t="shared" si="27"/>
        <v>0</v>
      </c>
      <c r="S61" s="1516">
        <f t="shared" si="27"/>
        <v>0</v>
      </c>
      <c r="T61" s="1516">
        <f t="shared" si="27"/>
        <v>0</v>
      </c>
      <c r="U61" s="1516">
        <f t="shared" si="27"/>
        <v>0</v>
      </c>
      <c r="V61" s="1516">
        <f t="shared" si="27"/>
        <v>0</v>
      </c>
      <c r="W61" s="1516">
        <f t="shared" si="27"/>
        <v>0</v>
      </c>
      <c r="X61" s="1516">
        <f t="shared" si="27"/>
        <v>0</v>
      </c>
      <c r="Y61" s="1516">
        <f t="shared" si="27"/>
        <v>0</v>
      </c>
      <c r="Z61" s="1516">
        <f t="shared" si="27"/>
        <v>0</v>
      </c>
      <c r="AA61" s="1516">
        <f t="shared" si="27"/>
        <v>0</v>
      </c>
      <c r="AB61" s="1516">
        <f t="shared" si="27"/>
        <v>0</v>
      </c>
      <c r="AC61" s="1516">
        <f t="shared" si="27"/>
        <v>0</v>
      </c>
      <c r="AD61" s="1516">
        <f t="shared" si="27"/>
        <v>0</v>
      </c>
      <c r="AE61" s="1516">
        <f t="shared" si="27"/>
        <v>0</v>
      </c>
      <c r="AF61" s="1517">
        <f t="shared" ref="AF61:AN61" si="28">AF56</f>
        <v>0</v>
      </c>
      <c r="AG61" s="1517">
        <f t="shared" si="28"/>
        <v>0</v>
      </c>
      <c r="AH61" s="1517">
        <f t="shared" si="28"/>
        <v>0</v>
      </c>
      <c r="AI61" s="1517">
        <f t="shared" si="28"/>
        <v>0</v>
      </c>
      <c r="AJ61" s="1517">
        <f t="shared" si="28"/>
        <v>0</v>
      </c>
      <c r="AK61" s="1517">
        <f t="shared" si="28"/>
        <v>0</v>
      </c>
      <c r="AL61" s="1517">
        <f t="shared" si="28"/>
        <v>0</v>
      </c>
      <c r="AM61" s="1517">
        <f t="shared" si="28"/>
        <v>0</v>
      </c>
      <c r="AN61" s="1517">
        <f t="shared" si="28"/>
        <v>0</v>
      </c>
      <c r="AO61" s="1517">
        <f t="shared" ref="AO61:BP61" si="29">AO56</f>
        <v>0</v>
      </c>
      <c r="AP61" s="1517">
        <f t="shared" si="29"/>
        <v>0</v>
      </c>
      <c r="AQ61" s="1517">
        <f t="shared" si="29"/>
        <v>0</v>
      </c>
      <c r="AR61" s="1517">
        <f t="shared" si="29"/>
        <v>0</v>
      </c>
      <c r="AS61" s="1517">
        <f t="shared" si="29"/>
        <v>0</v>
      </c>
      <c r="AT61" s="1517">
        <f t="shared" si="29"/>
        <v>0</v>
      </c>
      <c r="AU61" s="1517">
        <f t="shared" si="29"/>
        <v>0</v>
      </c>
      <c r="AV61" s="1517">
        <f t="shared" si="29"/>
        <v>0</v>
      </c>
      <c r="AW61" s="1517">
        <f t="shared" si="29"/>
        <v>0</v>
      </c>
      <c r="AX61" s="1517">
        <f t="shared" si="29"/>
        <v>0</v>
      </c>
      <c r="AY61" s="1517">
        <f t="shared" si="29"/>
        <v>0</v>
      </c>
      <c r="AZ61" s="1517">
        <f t="shared" si="29"/>
        <v>0</v>
      </c>
      <c r="BA61" s="1517">
        <f t="shared" si="29"/>
        <v>0</v>
      </c>
      <c r="BB61" s="1517">
        <f t="shared" si="29"/>
        <v>0</v>
      </c>
      <c r="BC61" s="1517">
        <f t="shared" si="29"/>
        <v>0</v>
      </c>
      <c r="BD61" s="1517">
        <f t="shared" si="29"/>
        <v>0</v>
      </c>
      <c r="BE61" s="1517">
        <f t="shared" si="29"/>
        <v>0</v>
      </c>
      <c r="BF61" s="1517">
        <f t="shared" si="29"/>
        <v>0</v>
      </c>
      <c r="BG61" s="1517">
        <f t="shared" si="29"/>
        <v>0</v>
      </c>
      <c r="BH61" s="1517">
        <f t="shared" si="29"/>
        <v>0</v>
      </c>
      <c r="BI61" s="1517">
        <f t="shared" si="29"/>
        <v>0</v>
      </c>
      <c r="BJ61" s="1517">
        <f t="shared" si="29"/>
        <v>0</v>
      </c>
      <c r="BK61" s="1517">
        <f t="shared" si="29"/>
        <v>0</v>
      </c>
      <c r="BL61" s="1517">
        <f t="shared" si="29"/>
        <v>0</v>
      </c>
      <c r="BM61" s="1517">
        <f t="shared" si="29"/>
        <v>0</v>
      </c>
      <c r="BN61" s="1517">
        <f t="shared" si="29"/>
        <v>0</v>
      </c>
      <c r="BO61" s="1517">
        <f t="shared" si="29"/>
        <v>0</v>
      </c>
      <c r="BP61" s="1517">
        <f t="shared" si="29"/>
        <v>0</v>
      </c>
      <c r="BQ61" s="43"/>
      <c r="BR61" s="43"/>
      <c r="BS61" s="43"/>
      <c r="BT61" s="43"/>
      <c r="BU61" s="43"/>
      <c r="BV61" s="43"/>
      <c r="BW61" s="1436"/>
      <c r="BX61" s="1437"/>
      <c r="BY61" s="1437"/>
      <c r="BZ61" s="1183"/>
      <c r="CA61" s="1183"/>
      <c r="CB61" s="1183"/>
      <c r="CC61" s="1183"/>
      <c r="CD61" s="484"/>
      <c r="CE61" s="484"/>
      <c r="CF61" s="484"/>
      <c r="CG61" s="484"/>
      <c r="CH61" s="484"/>
      <c r="CI61" s="484"/>
      <c r="CJ61" s="484"/>
      <c r="CK61" s="484"/>
      <c r="CL61" s="484"/>
      <c r="CM61" s="484"/>
      <c r="CN61" s="1183"/>
      <c r="CO61" s="1183"/>
      <c r="CP61" s="1183"/>
      <c r="CQ61" s="1183"/>
      <c r="CR61" s="1183"/>
      <c r="CS61" s="1183"/>
      <c r="CT61" s="1183"/>
      <c r="CU61" s="1183"/>
      <c r="CV61" s="1183"/>
      <c r="CW61" s="1183"/>
      <c r="CX61" s="1183"/>
      <c r="CY61" s="1183"/>
      <c r="CZ61" s="1183"/>
      <c r="DA61" s="1183"/>
      <c r="DB61" s="1183"/>
      <c r="DC61" s="1183"/>
      <c r="DD61" s="1183"/>
      <c r="DE61" s="1183"/>
      <c r="DF61" s="1183"/>
      <c r="DG61" s="1183"/>
      <c r="DH61" s="1183"/>
      <c r="DI61" s="1183"/>
      <c r="DJ61" s="1183"/>
      <c r="DK61" s="1183"/>
      <c r="DL61" s="1183"/>
      <c r="DM61" s="1183"/>
      <c r="DN61" s="1183"/>
      <c r="DO61" s="1183"/>
      <c r="DP61" s="1183"/>
      <c r="DQ61" s="1183"/>
    </row>
    <row r="62" spans="1:121" s="12" customFormat="1" ht="12" customHeight="1" x14ac:dyDescent="0.35">
      <c r="A62" s="1476" t="s">
        <v>368</v>
      </c>
      <c r="B62" s="1504">
        <f>SUMIFS(Input!$G$239:$G$258,Input!$H$239:$H$258,"&lt;"&amp;B$23,Input!$I$239:$I$258,"&gt;0")</f>
        <v>0</v>
      </c>
      <c r="C62" s="1504">
        <f>SUMIFS(Input!$G$239:$G$258,Input!$H$239:$H$258,"&lt;"&amp;C$23,Input!$I$239:$I$258,"&gt;0")</f>
        <v>0</v>
      </c>
      <c r="D62" s="1504">
        <f>SUMIFS(Input!$G$239:$G$258,Input!$H$239:$H$258,"&lt;"&amp;D$23,Input!$I$239:$I$258,"&gt;0")</f>
        <v>0</v>
      </c>
      <c r="E62" s="1477"/>
      <c r="F62" s="1477"/>
      <c r="G62" s="1478"/>
      <c r="H62" s="1479"/>
      <c r="I62" s="1518">
        <f>I55</f>
        <v>0</v>
      </c>
      <c r="J62" s="1518">
        <f t="shared" ref="J62:AE62" si="30">J55</f>
        <v>59</v>
      </c>
      <c r="K62" s="1518">
        <f t="shared" si="30"/>
        <v>91</v>
      </c>
      <c r="L62" s="1518">
        <f t="shared" si="30"/>
        <v>121</v>
      </c>
      <c r="M62" s="1518">
        <f t="shared" si="30"/>
        <v>152</v>
      </c>
      <c r="N62" s="1518">
        <f t="shared" si="30"/>
        <v>182</v>
      </c>
      <c r="O62" s="1518">
        <f t="shared" si="30"/>
        <v>213</v>
      </c>
      <c r="P62" s="1518">
        <f t="shared" si="30"/>
        <v>244</v>
      </c>
      <c r="Q62" s="1518">
        <f t="shared" si="30"/>
        <v>274</v>
      </c>
      <c r="R62" s="1518">
        <f t="shared" si="30"/>
        <v>305</v>
      </c>
      <c r="S62" s="1518">
        <f t="shared" si="30"/>
        <v>335</v>
      </c>
      <c r="T62" s="1518">
        <f t="shared" si="30"/>
        <v>366</v>
      </c>
      <c r="U62" s="1518">
        <f t="shared" si="30"/>
        <v>397</v>
      </c>
      <c r="V62" s="1518">
        <f t="shared" si="30"/>
        <v>425</v>
      </c>
      <c r="W62" s="1518">
        <f t="shared" si="30"/>
        <v>456</v>
      </c>
      <c r="X62" s="1518">
        <f t="shared" si="30"/>
        <v>486</v>
      </c>
      <c r="Y62" s="1518">
        <f t="shared" si="30"/>
        <v>517</v>
      </c>
      <c r="Z62" s="1518">
        <f t="shared" si="30"/>
        <v>547</v>
      </c>
      <c r="AA62" s="1518">
        <f t="shared" si="30"/>
        <v>578</v>
      </c>
      <c r="AB62" s="1518">
        <f t="shared" si="30"/>
        <v>609</v>
      </c>
      <c r="AC62" s="1518">
        <f t="shared" si="30"/>
        <v>639</v>
      </c>
      <c r="AD62" s="1518">
        <f t="shared" si="30"/>
        <v>670</v>
      </c>
      <c r="AE62" s="1518">
        <f t="shared" si="30"/>
        <v>700</v>
      </c>
      <c r="AF62" s="1519">
        <f t="shared" ref="AF62:BP62" si="31">AF55</f>
        <v>731</v>
      </c>
      <c r="AG62" s="1519">
        <f t="shared" si="31"/>
        <v>762</v>
      </c>
      <c r="AH62" s="1519">
        <f t="shared" si="31"/>
        <v>790</v>
      </c>
      <c r="AI62" s="1519">
        <f t="shared" si="31"/>
        <v>821</v>
      </c>
      <c r="AJ62" s="1519">
        <f t="shared" si="31"/>
        <v>851</v>
      </c>
      <c r="AK62" s="1519">
        <f t="shared" si="31"/>
        <v>882</v>
      </c>
      <c r="AL62" s="1519">
        <f t="shared" si="31"/>
        <v>912</v>
      </c>
      <c r="AM62" s="1519">
        <f t="shared" si="31"/>
        <v>943</v>
      </c>
      <c r="AN62" s="1519">
        <f t="shared" si="31"/>
        <v>974</v>
      </c>
      <c r="AO62" s="1519">
        <f t="shared" si="31"/>
        <v>1004</v>
      </c>
      <c r="AP62" s="1519">
        <f t="shared" si="31"/>
        <v>1035</v>
      </c>
      <c r="AQ62" s="1519">
        <f t="shared" si="31"/>
        <v>1065</v>
      </c>
      <c r="AR62" s="1519">
        <f t="shared" si="31"/>
        <v>1096</v>
      </c>
      <c r="AS62" s="1519">
        <f t="shared" si="31"/>
        <v>1127</v>
      </c>
      <c r="AT62" s="1519">
        <f t="shared" si="31"/>
        <v>1155</v>
      </c>
      <c r="AU62" s="1519">
        <f t="shared" si="31"/>
        <v>1186</v>
      </c>
      <c r="AV62" s="1519">
        <f t="shared" si="31"/>
        <v>1216</v>
      </c>
      <c r="AW62" s="1519">
        <f t="shared" si="31"/>
        <v>1247</v>
      </c>
      <c r="AX62" s="1519">
        <f t="shared" si="31"/>
        <v>1277</v>
      </c>
      <c r="AY62" s="1519">
        <f t="shared" si="31"/>
        <v>1308</v>
      </c>
      <c r="AZ62" s="1519">
        <f t="shared" si="31"/>
        <v>1339</v>
      </c>
      <c r="BA62" s="1519">
        <f t="shared" si="31"/>
        <v>1369</v>
      </c>
      <c r="BB62" s="1519">
        <f t="shared" si="31"/>
        <v>1400</v>
      </c>
      <c r="BC62" s="1519">
        <f t="shared" si="31"/>
        <v>1430</v>
      </c>
      <c r="BD62" s="1519">
        <f t="shared" si="31"/>
        <v>1461</v>
      </c>
      <c r="BE62" s="1519">
        <f t="shared" si="31"/>
        <v>1492</v>
      </c>
      <c r="BF62" s="1519">
        <f t="shared" si="31"/>
        <v>1521</v>
      </c>
      <c r="BG62" s="1517">
        <f t="shared" si="31"/>
        <v>1552</v>
      </c>
      <c r="BH62" s="1517">
        <f t="shared" si="31"/>
        <v>1582</v>
      </c>
      <c r="BI62" s="1517">
        <f t="shared" si="31"/>
        <v>1613</v>
      </c>
      <c r="BJ62" s="1517">
        <f t="shared" si="31"/>
        <v>1643</v>
      </c>
      <c r="BK62" s="1517">
        <f t="shared" si="31"/>
        <v>1674</v>
      </c>
      <c r="BL62" s="1517">
        <f t="shared" si="31"/>
        <v>1705</v>
      </c>
      <c r="BM62" s="1517">
        <f t="shared" si="31"/>
        <v>1735</v>
      </c>
      <c r="BN62" s="1517">
        <f t="shared" si="31"/>
        <v>1766</v>
      </c>
      <c r="BO62" s="1517">
        <f t="shared" si="31"/>
        <v>1796</v>
      </c>
      <c r="BP62" s="1517">
        <f t="shared" si="31"/>
        <v>1827</v>
      </c>
      <c r="BQ62" s="43"/>
      <c r="BR62" s="43"/>
      <c r="BS62" s="43"/>
      <c r="BT62" s="43"/>
      <c r="BU62" s="43"/>
      <c r="BV62" s="43"/>
      <c r="BW62" s="1436"/>
      <c r="BX62" s="1437"/>
      <c r="BY62" s="1437"/>
      <c r="BZ62" s="1183"/>
      <c r="CA62" s="1183"/>
      <c r="CB62" s="1183"/>
      <c r="CC62" s="1183"/>
      <c r="CD62" s="484"/>
      <c r="CE62" s="484"/>
      <c r="CF62" s="484"/>
      <c r="CG62" s="484"/>
      <c r="CH62" s="484"/>
      <c r="CI62" s="484"/>
      <c r="CJ62" s="484"/>
      <c r="CK62" s="484"/>
      <c r="CL62" s="484"/>
      <c r="CM62" s="484"/>
      <c r="CN62" s="1183"/>
      <c r="CO62" s="1183"/>
      <c r="CP62" s="1183"/>
      <c r="CQ62" s="1183"/>
      <c r="CR62" s="1183"/>
      <c r="CS62" s="1183"/>
      <c r="CT62" s="1183"/>
      <c r="CU62" s="1183"/>
      <c r="CV62" s="1183"/>
      <c r="CW62" s="1183"/>
      <c r="CX62" s="1183"/>
      <c r="CY62" s="1183"/>
      <c r="CZ62" s="1183"/>
      <c r="DA62" s="1183"/>
      <c r="DB62" s="1183"/>
      <c r="DC62" s="1183"/>
      <c r="DD62" s="1183"/>
      <c r="DE62" s="1183"/>
      <c r="DF62" s="1183"/>
      <c r="DG62" s="1183"/>
      <c r="DH62" s="1183"/>
      <c r="DI62" s="1183"/>
      <c r="DJ62" s="1183"/>
      <c r="DK62" s="1183"/>
      <c r="DL62" s="1183"/>
      <c r="DM62" s="1183"/>
      <c r="DN62" s="1183"/>
      <c r="DO62" s="1183"/>
      <c r="DP62" s="1183"/>
      <c r="DQ62" s="1183"/>
    </row>
    <row r="63" spans="1:121" s="12" customFormat="1" ht="12" customHeight="1" x14ac:dyDescent="0.35">
      <c r="A63" s="1476"/>
      <c r="B63" s="1504"/>
      <c r="C63" s="1504"/>
      <c r="D63" s="1504"/>
      <c r="E63" s="1477"/>
      <c r="F63" s="1477"/>
      <c r="G63" s="1478"/>
      <c r="H63" s="1479"/>
      <c r="I63" s="1518"/>
      <c r="J63" s="1518"/>
      <c r="K63" s="1518"/>
      <c r="L63" s="1518"/>
      <c r="M63" s="1518"/>
      <c r="N63" s="1518"/>
      <c r="O63" s="1518"/>
      <c r="P63" s="1518"/>
      <c r="Q63" s="1518"/>
      <c r="R63" s="1518"/>
      <c r="S63" s="1518"/>
      <c r="T63" s="1518"/>
      <c r="U63" s="1518"/>
      <c r="V63" s="1518"/>
      <c r="W63" s="1518"/>
      <c r="X63" s="1518"/>
      <c r="Y63" s="1518"/>
      <c r="Z63" s="1518"/>
      <c r="AA63" s="1518"/>
      <c r="AB63" s="1518"/>
      <c r="AC63" s="1518"/>
      <c r="AD63" s="1518"/>
      <c r="AE63" s="1518"/>
      <c r="AF63" s="1519"/>
      <c r="AG63" s="1519"/>
      <c r="AH63" s="1519"/>
      <c r="AI63" s="1519"/>
      <c r="AJ63" s="1519"/>
      <c r="AK63" s="1519"/>
      <c r="AL63" s="1519"/>
      <c r="AM63" s="1519"/>
      <c r="AN63" s="1519"/>
      <c r="AO63" s="1519"/>
      <c r="AP63" s="1519"/>
      <c r="AQ63" s="1519"/>
      <c r="AR63" s="1519"/>
      <c r="AS63" s="1519"/>
      <c r="AT63" s="1519"/>
      <c r="AU63" s="1519"/>
      <c r="AV63" s="1519"/>
      <c r="AW63" s="1519"/>
      <c r="AX63" s="1519"/>
      <c r="AY63" s="1519"/>
      <c r="AZ63" s="1519"/>
      <c r="BA63" s="1519"/>
      <c r="BB63" s="1519"/>
      <c r="BC63" s="1519"/>
      <c r="BD63" s="1519"/>
      <c r="BE63" s="1519"/>
      <c r="BF63" s="1519"/>
      <c r="BG63" s="1517"/>
      <c r="BH63" s="1517"/>
      <c r="BI63" s="1517"/>
      <c r="BJ63" s="1517"/>
      <c r="BK63" s="1517"/>
      <c r="BL63" s="1517"/>
      <c r="BM63" s="1517"/>
      <c r="BN63" s="1517"/>
      <c r="BO63" s="1517"/>
      <c r="BP63" s="1517"/>
      <c r="BQ63" s="43"/>
      <c r="BR63" s="43"/>
      <c r="BS63" s="43"/>
      <c r="BT63" s="43"/>
      <c r="BU63" s="43"/>
      <c r="BV63" s="43"/>
      <c r="BW63" s="1436"/>
      <c r="BX63" s="1437"/>
      <c r="BY63" s="1437"/>
      <c r="BZ63" s="1183"/>
      <c r="CA63" s="1183"/>
      <c r="CB63" s="1183"/>
      <c r="CC63" s="1183"/>
      <c r="CD63" s="484"/>
      <c r="CE63" s="484"/>
      <c r="CF63" s="484"/>
      <c r="CG63" s="484"/>
      <c r="CH63" s="484"/>
      <c r="CI63" s="484"/>
      <c r="CJ63" s="484"/>
      <c r="CK63" s="484"/>
      <c r="CL63" s="484"/>
      <c r="CM63" s="484"/>
      <c r="CN63" s="1183"/>
      <c r="CO63" s="1183"/>
      <c r="CP63" s="1183"/>
      <c r="CQ63" s="1183"/>
      <c r="CR63" s="1183"/>
      <c r="CS63" s="1183"/>
      <c r="CT63" s="1183"/>
      <c r="CU63" s="1183"/>
      <c r="CV63" s="1183"/>
      <c r="CW63" s="1183"/>
      <c r="CX63" s="1183"/>
      <c r="CY63" s="1183"/>
      <c r="CZ63" s="1183"/>
      <c r="DA63" s="1183"/>
      <c r="DB63" s="1183"/>
      <c r="DC63" s="1183"/>
      <c r="DD63" s="1183"/>
      <c r="DE63" s="1183"/>
      <c r="DF63" s="1183"/>
      <c r="DG63" s="1183"/>
      <c r="DH63" s="1183"/>
      <c r="DI63" s="1183"/>
      <c r="DJ63" s="1183"/>
      <c r="DK63" s="1183"/>
      <c r="DL63" s="1183"/>
      <c r="DM63" s="1183"/>
      <c r="DN63" s="1183"/>
      <c r="DO63" s="1183"/>
      <c r="DP63" s="1183"/>
      <c r="DQ63" s="1183"/>
    </row>
    <row r="64" spans="1:121" s="12" customFormat="1" ht="12" customHeight="1" x14ac:dyDescent="0.35">
      <c r="A64" s="1489" t="s">
        <v>390</v>
      </c>
      <c r="B64" s="1477"/>
      <c r="C64" s="1476"/>
      <c r="D64" s="1477"/>
      <c r="E64" s="1477"/>
      <c r="F64" s="1477"/>
      <c r="G64" s="1478"/>
      <c r="H64" s="1479"/>
      <c r="I64" s="1518">
        <f>I55</f>
        <v>0</v>
      </c>
      <c r="J64" s="1518">
        <f t="shared" ref="J64:BP64" si="32">J55</f>
        <v>59</v>
      </c>
      <c r="K64" s="1518">
        <f t="shared" si="32"/>
        <v>91</v>
      </c>
      <c r="L64" s="1518">
        <f t="shared" si="32"/>
        <v>121</v>
      </c>
      <c r="M64" s="1518">
        <f t="shared" si="32"/>
        <v>152</v>
      </c>
      <c r="N64" s="1518">
        <f t="shared" si="32"/>
        <v>182</v>
      </c>
      <c r="O64" s="1518">
        <f t="shared" si="32"/>
        <v>213</v>
      </c>
      <c r="P64" s="1518">
        <f t="shared" si="32"/>
        <v>244</v>
      </c>
      <c r="Q64" s="1518">
        <f t="shared" si="32"/>
        <v>274</v>
      </c>
      <c r="R64" s="1518">
        <f t="shared" si="32"/>
        <v>305</v>
      </c>
      <c r="S64" s="1518">
        <f t="shared" si="32"/>
        <v>335</v>
      </c>
      <c r="T64" s="1518">
        <f t="shared" si="32"/>
        <v>366</v>
      </c>
      <c r="U64" s="1518">
        <f t="shared" si="32"/>
        <v>397</v>
      </c>
      <c r="V64" s="1518">
        <f t="shared" si="32"/>
        <v>425</v>
      </c>
      <c r="W64" s="1518">
        <f t="shared" si="32"/>
        <v>456</v>
      </c>
      <c r="X64" s="1518">
        <f t="shared" si="32"/>
        <v>486</v>
      </c>
      <c r="Y64" s="1518">
        <f t="shared" si="32"/>
        <v>517</v>
      </c>
      <c r="Z64" s="1518">
        <f t="shared" si="32"/>
        <v>547</v>
      </c>
      <c r="AA64" s="1518">
        <f t="shared" si="32"/>
        <v>578</v>
      </c>
      <c r="AB64" s="1518">
        <f t="shared" si="32"/>
        <v>609</v>
      </c>
      <c r="AC64" s="1518">
        <f t="shared" si="32"/>
        <v>639</v>
      </c>
      <c r="AD64" s="1518">
        <f t="shared" si="32"/>
        <v>670</v>
      </c>
      <c r="AE64" s="1518">
        <f t="shared" si="32"/>
        <v>700</v>
      </c>
      <c r="AF64" s="1519">
        <f t="shared" si="32"/>
        <v>731</v>
      </c>
      <c r="AG64" s="1519">
        <f t="shared" si="32"/>
        <v>762</v>
      </c>
      <c r="AH64" s="1519">
        <f t="shared" si="32"/>
        <v>790</v>
      </c>
      <c r="AI64" s="1519">
        <f t="shared" si="32"/>
        <v>821</v>
      </c>
      <c r="AJ64" s="1519">
        <f t="shared" si="32"/>
        <v>851</v>
      </c>
      <c r="AK64" s="1519">
        <f t="shared" si="32"/>
        <v>882</v>
      </c>
      <c r="AL64" s="1519">
        <f t="shared" si="32"/>
        <v>912</v>
      </c>
      <c r="AM64" s="1519">
        <f t="shared" si="32"/>
        <v>943</v>
      </c>
      <c r="AN64" s="1519">
        <f t="shared" si="32"/>
        <v>974</v>
      </c>
      <c r="AO64" s="1519">
        <f t="shared" si="32"/>
        <v>1004</v>
      </c>
      <c r="AP64" s="1519">
        <f t="shared" si="32"/>
        <v>1035</v>
      </c>
      <c r="AQ64" s="1519">
        <f t="shared" si="32"/>
        <v>1065</v>
      </c>
      <c r="AR64" s="1519">
        <f t="shared" si="32"/>
        <v>1096</v>
      </c>
      <c r="AS64" s="1519">
        <f t="shared" si="32"/>
        <v>1127</v>
      </c>
      <c r="AT64" s="1519">
        <f t="shared" si="32"/>
        <v>1155</v>
      </c>
      <c r="AU64" s="1519">
        <f t="shared" si="32"/>
        <v>1186</v>
      </c>
      <c r="AV64" s="1519">
        <f t="shared" si="32"/>
        <v>1216</v>
      </c>
      <c r="AW64" s="1519">
        <f t="shared" si="32"/>
        <v>1247</v>
      </c>
      <c r="AX64" s="1519">
        <f t="shared" si="32"/>
        <v>1277</v>
      </c>
      <c r="AY64" s="1519">
        <f t="shared" si="32"/>
        <v>1308</v>
      </c>
      <c r="AZ64" s="1519">
        <f t="shared" si="32"/>
        <v>1339</v>
      </c>
      <c r="BA64" s="1519">
        <f t="shared" si="32"/>
        <v>1369</v>
      </c>
      <c r="BB64" s="1519">
        <f t="shared" si="32"/>
        <v>1400</v>
      </c>
      <c r="BC64" s="1519">
        <f t="shared" si="32"/>
        <v>1430</v>
      </c>
      <c r="BD64" s="1519">
        <f t="shared" si="32"/>
        <v>1461</v>
      </c>
      <c r="BE64" s="1519">
        <f t="shared" si="32"/>
        <v>1492</v>
      </c>
      <c r="BF64" s="1519">
        <f t="shared" si="32"/>
        <v>1521</v>
      </c>
      <c r="BG64" s="1519">
        <f t="shared" si="32"/>
        <v>1552</v>
      </c>
      <c r="BH64" s="1519">
        <f t="shared" si="32"/>
        <v>1582</v>
      </c>
      <c r="BI64" s="1519">
        <f t="shared" si="32"/>
        <v>1613</v>
      </c>
      <c r="BJ64" s="1519">
        <f t="shared" si="32"/>
        <v>1643</v>
      </c>
      <c r="BK64" s="1519">
        <f t="shared" si="32"/>
        <v>1674</v>
      </c>
      <c r="BL64" s="1519">
        <f t="shared" si="32"/>
        <v>1705</v>
      </c>
      <c r="BM64" s="1519">
        <f t="shared" si="32"/>
        <v>1735</v>
      </c>
      <c r="BN64" s="1519">
        <f t="shared" si="32"/>
        <v>1766</v>
      </c>
      <c r="BO64" s="1519">
        <f t="shared" si="32"/>
        <v>1796</v>
      </c>
      <c r="BP64" s="1519">
        <f t="shared" si="32"/>
        <v>1827</v>
      </c>
      <c r="BQ64" s="43"/>
      <c r="BR64" s="43"/>
      <c r="BS64" s="43"/>
      <c r="BT64" s="43"/>
      <c r="BU64" s="43"/>
      <c r="BV64" s="43"/>
      <c r="BW64" s="1436"/>
      <c r="BX64" s="1437"/>
      <c r="BY64" s="1437"/>
      <c r="BZ64" s="1183"/>
      <c r="CA64" s="1183"/>
      <c r="CB64" s="1183"/>
      <c r="CC64" s="1183"/>
      <c r="CD64" s="484"/>
      <c r="CE64" s="484"/>
      <c r="CF64" s="484"/>
      <c r="CG64" s="484"/>
      <c r="CH64" s="484"/>
      <c r="CI64" s="484"/>
      <c r="CJ64" s="484"/>
      <c r="CK64" s="484"/>
      <c r="CL64" s="484"/>
      <c r="CM64" s="484"/>
      <c r="CN64" s="1183"/>
      <c r="CO64" s="1183"/>
      <c r="CP64" s="1183"/>
      <c r="CQ64" s="1183"/>
      <c r="CR64" s="1183"/>
      <c r="CS64" s="1183"/>
      <c r="CT64" s="1183"/>
      <c r="CU64" s="1183"/>
      <c r="CV64" s="1183"/>
      <c r="CW64" s="1183"/>
      <c r="CX64" s="1183"/>
      <c r="CY64" s="1183"/>
      <c r="CZ64" s="1183"/>
      <c r="DA64" s="1183"/>
      <c r="DB64" s="1183"/>
      <c r="DC64" s="1183"/>
      <c r="DD64" s="1183"/>
      <c r="DE64" s="1183"/>
      <c r="DF64" s="1183"/>
      <c r="DG64" s="1183"/>
      <c r="DH64" s="1183"/>
      <c r="DI64" s="1183"/>
      <c r="DJ64" s="1183"/>
      <c r="DK64" s="1183"/>
      <c r="DL64" s="1183"/>
      <c r="DM64" s="1183"/>
      <c r="DN64" s="1183"/>
      <c r="DO64" s="1183"/>
      <c r="DP64" s="1183"/>
      <c r="DQ64" s="1183"/>
    </row>
    <row r="65" spans="1:121" s="12" customFormat="1" ht="12" customHeight="1" x14ac:dyDescent="0.35">
      <c r="A65" s="1476" t="s">
        <v>366</v>
      </c>
      <c r="B65" s="1504">
        <f>SUMIFS(Input!$G$262:$G$271,Input!$H$262:$H$271,"="&amp;B$23,Input!$I$262:$I$271,"&gt;0")</f>
        <v>0</v>
      </c>
      <c r="C65" s="1504">
        <f>SUMIFS(Input!$G$262:$G$271,Input!$H$262:$H$271,"="&amp;C$23,Input!$I$262:$I$271,"&gt;0")</f>
        <v>0</v>
      </c>
      <c r="D65" s="1504">
        <f>SUMIFS(Input!$G$262:$G$271,Input!$H$262:$H$271,"="&amp;D$23,Input!$I$262:$I$271,"&gt;0")</f>
        <v>0</v>
      </c>
      <c r="E65" s="1477"/>
      <c r="F65" s="1477"/>
      <c r="G65" s="1478"/>
      <c r="H65" s="1525" t="s">
        <v>391</v>
      </c>
      <c r="I65" s="1517">
        <f>IF(I29&gt;=0,I29,NA())</f>
        <v>0</v>
      </c>
      <c r="J65" s="1517">
        <f t="shared" ref="J65:AE65" si="33">IF(J29&gt;=0,J29,NA())</f>
        <v>0</v>
      </c>
      <c r="K65" s="1517">
        <f t="shared" si="33"/>
        <v>0</v>
      </c>
      <c r="L65" s="1517">
        <f t="shared" si="33"/>
        <v>0</v>
      </c>
      <c r="M65" s="1517">
        <f t="shared" si="33"/>
        <v>0</v>
      </c>
      <c r="N65" s="1517">
        <f t="shared" si="33"/>
        <v>0</v>
      </c>
      <c r="O65" s="1517">
        <f t="shared" si="33"/>
        <v>0</v>
      </c>
      <c r="P65" s="1517">
        <f t="shared" si="33"/>
        <v>0</v>
      </c>
      <c r="Q65" s="1517">
        <f t="shared" si="33"/>
        <v>0</v>
      </c>
      <c r="R65" s="1517">
        <f t="shared" si="33"/>
        <v>0</v>
      </c>
      <c r="S65" s="1517">
        <f t="shared" si="33"/>
        <v>0</v>
      </c>
      <c r="T65" s="1517">
        <f t="shared" si="33"/>
        <v>0</v>
      </c>
      <c r="U65" s="1517">
        <f t="shared" si="33"/>
        <v>0</v>
      </c>
      <c r="V65" s="1517">
        <f t="shared" si="33"/>
        <v>0</v>
      </c>
      <c r="W65" s="1517">
        <f t="shared" si="33"/>
        <v>0</v>
      </c>
      <c r="X65" s="1517">
        <f t="shared" si="33"/>
        <v>0</v>
      </c>
      <c r="Y65" s="1517">
        <f t="shared" si="33"/>
        <v>0</v>
      </c>
      <c r="Z65" s="1517">
        <f t="shared" si="33"/>
        <v>0</v>
      </c>
      <c r="AA65" s="1517">
        <f t="shared" si="33"/>
        <v>0</v>
      </c>
      <c r="AB65" s="1517">
        <f t="shared" si="33"/>
        <v>0</v>
      </c>
      <c r="AC65" s="1517">
        <f t="shared" si="33"/>
        <v>0</v>
      </c>
      <c r="AD65" s="1517">
        <f t="shared" si="33"/>
        <v>0</v>
      </c>
      <c r="AE65" s="1517">
        <f t="shared" si="33"/>
        <v>0</v>
      </c>
      <c r="AF65" s="1517">
        <f t="shared" ref="AF65:AR65" si="34">IF(AF29&gt;=0,AF29,NA())</f>
        <v>0</v>
      </c>
      <c r="AG65" s="1517">
        <f t="shared" si="34"/>
        <v>0</v>
      </c>
      <c r="AH65" s="1517">
        <f t="shared" si="34"/>
        <v>0</v>
      </c>
      <c r="AI65" s="1517">
        <f t="shared" si="34"/>
        <v>0</v>
      </c>
      <c r="AJ65" s="1517">
        <f t="shared" si="34"/>
        <v>0</v>
      </c>
      <c r="AK65" s="1517">
        <f t="shared" si="34"/>
        <v>0</v>
      </c>
      <c r="AL65" s="1517">
        <f t="shared" si="34"/>
        <v>0</v>
      </c>
      <c r="AM65" s="1517">
        <f t="shared" si="34"/>
        <v>0</v>
      </c>
      <c r="AN65" s="1517">
        <f t="shared" si="34"/>
        <v>0</v>
      </c>
      <c r="AO65" s="1517">
        <f t="shared" si="34"/>
        <v>0</v>
      </c>
      <c r="AP65" s="1517">
        <f t="shared" si="34"/>
        <v>0</v>
      </c>
      <c r="AQ65" s="1517">
        <f t="shared" si="34"/>
        <v>0</v>
      </c>
      <c r="AR65" s="1517">
        <f t="shared" si="34"/>
        <v>0</v>
      </c>
      <c r="AS65" s="1517">
        <f t="shared" ref="AS65:BP65" si="35">IF(Years="Three","",IF(AS29&gt;=0,AS29,NA()))</f>
        <v>0</v>
      </c>
      <c r="AT65" s="1517">
        <f t="shared" si="35"/>
        <v>0</v>
      </c>
      <c r="AU65" s="1517">
        <f t="shared" si="35"/>
        <v>0</v>
      </c>
      <c r="AV65" s="1517">
        <f t="shared" si="35"/>
        <v>0</v>
      </c>
      <c r="AW65" s="1517">
        <f t="shared" si="35"/>
        <v>0</v>
      </c>
      <c r="AX65" s="1517">
        <f t="shared" si="35"/>
        <v>0</v>
      </c>
      <c r="AY65" s="1517">
        <f t="shared" si="35"/>
        <v>0</v>
      </c>
      <c r="AZ65" s="1517">
        <f t="shared" si="35"/>
        <v>0</v>
      </c>
      <c r="BA65" s="1517">
        <f t="shared" si="35"/>
        <v>0</v>
      </c>
      <c r="BB65" s="1517">
        <f t="shared" si="35"/>
        <v>0</v>
      </c>
      <c r="BC65" s="1517">
        <f t="shared" si="35"/>
        <v>0</v>
      </c>
      <c r="BD65" s="1517">
        <f t="shared" si="35"/>
        <v>0</v>
      </c>
      <c r="BE65" s="1517">
        <f t="shared" si="35"/>
        <v>0</v>
      </c>
      <c r="BF65" s="1517">
        <f t="shared" si="35"/>
        <v>0</v>
      </c>
      <c r="BG65" s="1517">
        <f t="shared" si="35"/>
        <v>0</v>
      </c>
      <c r="BH65" s="1517">
        <f t="shared" si="35"/>
        <v>0</v>
      </c>
      <c r="BI65" s="1517">
        <f t="shared" si="35"/>
        <v>0</v>
      </c>
      <c r="BJ65" s="1517">
        <f t="shared" si="35"/>
        <v>0</v>
      </c>
      <c r="BK65" s="1517">
        <f t="shared" si="35"/>
        <v>0</v>
      </c>
      <c r="BL65" s="1517">
        <f t="shared" si="35"/>
        <v>0</v>
      </c>
      <c r="BM65" s="1517">
        <f t="shared" si="35"/>
        <v>0</v>
      </c>
      <c r="BN65" s="1517">
        <f t="shared" si="35"/>
        <v>0</v>
      </c>
      <c r="BO65" s="1517">
        <f t="shared" si="35"/>
        <v>0</v>
      </c>
      <c r="BP65" s="1517">
        <f t="shared" si="35"/>
        <v>0</v>
      </c>
      <c r="BQ65" s="43"/>
      <c r="BR65" s="43"/>
      <c r="BS65" s="43"/>
      <c r="BT65" s="43"/>
      <c r="BU65" s="43"/>
      <c r="BV65" s="43"/>
      <c r="BW65" s="1436"/>
      <c r="BX65" s="1437"/>
      <c r="BY65" s="1437"/>
      <c r="BZ65" s="1183"/>
      <c r="CA65" s="1183"/>
      <c r="CB65" s="1183"/>
      <c r="CC65" s="1183"/>
      <c r="CD65" s="484"/>
      <c r="CE65" s="484"/>
      <c r="CF65" s="484"/>
      <c r="CG65" s="484"/>
      <c r="CH65" s="484"/>
      <c r="CI65" s="484"/>
      <c r="CJ65" s="484"/>
      <c r="CK65" s="484"/>
      <c r="CL65" s="484"/>
      <c r="CM65" s="484"/>
      <c r="CN65" s="1183"/>
      <c r="CO65" s="1183"/>
      <c r="CP65" s="1183"/>
      <c r="CQ65" s="1183"/>
      <c r="CR65" s="1183"/>
      <c r="CS65" s="1183"/>
      <c r="CT65" s="1183"/>
      <c r="CU65" s="1183"/>
      <c r="CV65" s="1183"/>
      <c r="CW65" s="1183"/>
      <c r="CX65" s="1183"/>
      <c r="CY65" s="1183"/>
      <c r="CZ65" s="1183"/>
      <c r="DA65" s="1183"/>
      <c r="DB65" s="1183"/>
      <c r="DC65" s="1183"/>
      <c r="DD65" s="1183"/>
      <c r="DE65" s="1183"/>
      <c r="DF65" s="1183"/>
      <c r="DG65" s="1183"/>
      <c r="DH65" s="1183"/>
      <c r="DI65" s="1183"/>
      <c r="DJ65" s="1183"/>
      <c r="DK65" s="1183"/>
      <c r="DL65" s="1183"/>
      <c r="DM65" s="1183"/>
      <c r="DN65" s="1183"/>
      <c r="DO65" s="1183"/>
      <c r="DP65" s="1183"/>
      <c r="DQ65" s="1183"/>
    </row>
    <row r="66" spans="1:121" s="12" customFormat="1" ht="12" customHeight="1" x14ac:dyDescent="0.35">
      <c r="A66" s="1476" t="s">
        <v>368</v>
      </c>
      <c r="B66" s="1504">
        <f>SUMIFS(Input!$G$262:$G$271,Input!$H$262:$H$271,"&lt;"&amp;B$23,Input!$I$262:$I$271,"&gt;0")</f>
        <v>0</v>
      </c>
      <c r="C66" s="1504">
        <f>SUMIFS(Input!$G$262:$G$271,Input!$H$262:$H$271,"&lt;"&amp;C$23,Input!$I$262:$I$271,"&gt;0")</f>
        <v>0</v>
      </c>
      <c r="D66" s="1504">
        <f>SUMIFS(Input!$G$262:$G$271,Input!$H$262:$H$271,"&lt;"&amp;D$23,Input!$I$262:$I$271,"&gt;0")</f>
        <v>0</v>
      </c>
      <c r="E66" s="1477"/>
      <c r="F66" s="1477"/>
      <c r="G66" s="1478"/>
      <c r="H66" s="1525" t="s">
        <v>392</v>
      </c>
      <c r="I66" s="1516" t="e">
        <f>IF(I29&lt;0,I29,NA())</f>
        <v>#N/A</v>
      </c>
      <c r="J66" s="1516" t="e">
        <f t="shared" ref="J66:AE66" si="36">IF(J29&lt;0,J29,NA())</f>
        <v>#N/A</v>
      </c>
      <c r="K66" s="1516" t="e">
        <f t="shared" si="36"/>
        <v>#N/A</v>
      </c>
      <c r="L66" s="1516" t="e">
        <f t="shared" si="36"/>
        <v>#N/A</v>
      </c>
      <c r="M66" s="1516" t="e">
        <f t="shared" si="36"/>
        <v>#N/A</v>
      </c>
      <c r="N66" s="1516" t="e">
        <f t="shared" si="36"/>
        <v>#N/A</v>
      </c>
      <c r="O66" s="1516" t="e">
        <f t="shared" si="36"/>
        <v>#N/A</v>
      </c>
      <c r="P66" s="1516" t="e">
        <f t="shared" si="36"/>
        <v>#N/A</v>
      </c>
      <c r="Q66" s="1516" t="e">
        <f t="shared" si="36"/>
        <v>#N/A</v>
      </c>
      <c r="R66" s="1516" t="e">
        <f t="shared" si="36"/>
        <v>#N/A</v>
      </c>
      <c r="S66" s="1516" t="e">
        <f t="shared" si="36"/>
        <v>#N/A</v>
      </c>
      <c r="T66" s="1516" t="e">
        <f t="shared" si="36"/>
        <v>#N/A</v>
      </c>
      <c r="U66" s="1516" t="e">
        <f t="shared" si="36"/>
        <v>#N/A</v>
      </c>
      <c r="V66" s="1516" t="e">
        <f t="shared" si="36"/>
        <v>#N/A</v>
      </c>
      <c r="W66" s="1516" t="e">
        <f t="shared" si="36"/>
        <v>#N/A</v>
      </c>
      <c r="X66" s="1516" t="e">
        <f t="shared" si="36"/>
        <v>#N/A</v>
      </c>
      <c r="Y66" s="1516" t="e">
        <f t="shared" si="36"/>
        <v>#N/A</v>
      </c>
      <c r="Z66" s="1516" t="e">
        <f t="shared" si="36"/>
        <v>#N/A</v>
      </c>
      <c r="AA66" s="1516" t="e">
        <f t="shared" si="36"/>
        <v>#N/A</v>
      </c>
      <c r="AB66" s="1516" t="e">
        <f t="shared" si="36"/>
        <v>#N/A</v>
      </c>
      <c r="AC66" s="1516" t="e">
        <f t="shared" si="36"/>
        <v>#N/A</v>
      </c>
      <c r="AD66" s="1516" t="e">
        <f t="shared" si="36"/>
        <v>#N/A</v>
      </c>
      <c r="AE66" s="1516" t="e">
        <f t="shared" si="36"/>
        <v>#N/A</v>
      </c>
      <c r="AF66" s="1517" t="e">
        <f t="shared" ref="AF66:AR66" si="37">IF(AF29&lt;0,AF29,NA())</f>
        <v>#N/A</v>
      </c>
      <c r="AG66" s="1517" t="e">
        <f t="shared" si="37"/>
        <v>#N/A</v>
      </c>
      <c r="AH66" s="1517" t="e">
        <f t="shared" si="37"/>
        <v>#N/A</v>
      </c>
      <c r="AI66" s="1517" t="e">
        <f t="shared" si="37"/>
        <v>#N/A</v>
      </c>
      <c r="AJ66" s="1517" t="e">
        <f t="shared" si="37"/>
        <v>#N/A</v>
      </c>
      <c r="AK66" s="1517" t="e">
        <f t="shared" si="37"/>
        <v>#N/A</v>
      </c>
      <c r="AL66" s="1517" t="e">
        <f t="shared" si="37"/>
        <v>#N/A</v>
      </c>
      <c r="AM66" s="1517" t="e">
        <f t="shared" si="37"/>
        <v>#N/A</v>
      </c>
      <c r="AN66" s="1517" t="e">
        <f t="shared" si="37"/>
        <v>#N/A</v>
      </c>
      <c r="AO66" s="1517" t="e">
        <f t="shared" si="37"/>
        <v>#N/A</v>
      </c>
      <c r="AP66" s="1517" t="e">
        <f t="shared" si="37"/>
        <v>#N/A</v>
      </c>
      <c r="AQ66" s="1517" t="e">
        <f t="shared" si="37"/>
        <v>#N/A</v>
      </c>
      <c r="AR66" s="1517" t="e">
        <f t="shared" si="37"/>
        <v>#N/A</v>
      </c>
      <c r="AS66" s="1517" t="e">
        <f t="shared" ref="AS66:BP66" si="38">IF(Years="Three","",IF(AS29&lt;0,AS29,NA()))</f>
        <v>#N/A</v>
      </c>
      <c r="AT66" s="1517" t="e">
        <f t="shared" si="38"/>
        <v>#N/A</v>
      </c>
      <c r="AU66" s="1517" t="e">
        <f t="shared" si="38"/>
        <v>#N/A</v>
      </c>
      <c r="AV66" s="1517" t="e">
        <f t="shared" si="38"/>
        <v>#N/A</v>
      </c>
      <c r="AW66" s="1517" t="e">
        <f t="shared" si="38"/>
        <v>#N/A</v>
      </c>
      <c r="AX66" s="1517" t="e">
        <f t="shared" si="38"/>
        <v>#N/A</v>
      </c>
      <c r="AY66" s="1517" t="e">
        <f t="shared" si="38"/>
        <v>#N/A</v>
      </c>
      <c r="AZ66" s="1517" t="e">
        <f t="shared" si="38"/>
        <v>#N/A</v>
      </c>
      <c r="BA66" s="1517" t="e">
        <f t="shared" si="38"/>
        <v>#N/A</v>
      </c>
      <c r="BB66" s="1517" t="e">
        <f t="shared" si="38"/>
        <v>#N/A</v>
      </c>
      <c r="BC66" s="1517" t="e">
        <f t="shared" si="38"/>
        <v>#N/A</v>
      </c>
      <c r="BD66" s="1517" t="e">
        <f t="shared" si="38"/>
        <v>#N/A</v>
      </c>
      <c r="BE66" s="1517" t="e">
        <f t="shared" si="38"/>
        <v>#N/A</v>
      </c>
      <c r="BF66" s="1517" t="e">
        <f t="shared" si="38"/>
        <v>#N/A</v>
      </c>
      <c r="BG66" s="1517" t="e">
        <f t="shared" si="38"/>
        <v>#N/A</v>
      </c>
      <c r="BH66" s="1517" t="e">
        <f t="shared" si="38"/>
        <v>#N/A</v>
      </c>
      <c r="BI66" s="1517" t="e">
        <f t="shared" si="38"/>
        <v>#N/A</v>
      </c>
      <c r="BJ66" s="1517" t="e">
        <f t="shared" si="38"/>
        <v>#N/A</v>
      </c>
      <c r="BK66" s="1517" t="e">
        <f t="shared" si="38"/>
        <v>#N/A</v>
      </c>
      <c r="BL66" s="1517" t="e">
        <f t="shared" si="38"/>
        <v>#N/A</v>
      </c>
      <c r="BM66" s="1517" t="e">
        <f t="shared" si="38"/>
        <v>#N/A</v>
      </c>
      <c r="BN66" s="1517" t="e">
        <f t="shared" si="38"/>
        <v>#N/A</v>
      </c>
      <c r="BO66" s="1517" t="e">
        <f t="shared" si="38"/>
        <v>#N/A</v>
      </c>
      <c r="BP66" s="1517" t="e">
        <f t="shared" si="38"/>
        <v>#N/A</v>
      </c>
      <c r="BQ66" s="43"/>
      <c r="BR66" s="43"/>
      <c r="BS66" s="43"/>
      <c r="BT66" s="43"/>
      <c r="BU66" s="43"/>
      <c r="BV66" s="43"/>
      <c r="BW66" s="1436"/>
      <c r="BX66" s="1437"/>
      <c r="BY66" s="1437"/>
      <c r="BZ66" s="1183"/>
      <c r="CA66" s="1183"/>
      <c r="CB66" s="1183"/>
      <c r="CC66" s="1183"/>
      <c r="CD66" s="484"/>
      <c r="CE66" s="484"/>
      <c r="CF66" s="484"/>
      <c r="CG66" s="484"/>
      <c r="CH66" s="484"/>
      <c r="CI66" s="484"/>
      <c r="CJ66" s="484"/>
      <c r="CK66" s="484"/>
      <c r="CL66" s="484"/>
      <c r="CM66" s="484"/>
      <c r="CN66" s="1183"/>
      <c r="CO66" s="1183"/>
      <c r="CP66" s="1183"/>
      <c r="CQ66" s="1183"/>
      <c r="CR66" s="1183"/>
      <c r="CS66" s="1183"/>
      <c r="CT66" s="1183"/>
      <c r="CU66" s="1183"/>
      <c r="CV66" s="1183"/>
      <c r="CW66" s="1183"/>
      <c r="CX66" s="1183"/>
      <c r="CY66" s="1183"/>
      <c r="CZ66" s="1183"/>
      <c r="DA66" s="1183"/>
      <c r="DB66" s="1183"/>
      <c r="DC66" s="1183"/>
      <c r="DD66" s="1183"/>
      <c r="DE66" s="1183"/>
      <c r="DF66" s="1183"/>
      <c r="DG66" s="1183"/>
      <c r="DH66" s="1183"/>
      <c r="DI66" s="1183"/>
      <c r="DJ66" s="1183"/>
      <c r="DK66" s="1183"/>
      <c r="DL66" s="1183"/>
      <c r="DM66" s="1183"/>
      <c r="DN66" s="1183"/>
      <c r="DO66" s="1183"/>
      <c r="DP66" s="1183"/>
      <c r="DQ66" s="1183"/>
    </row>
    <row r="67" spans="1:121" s="12" customFormat="1" ht="12" customHeight="1" x14ac:dyDescent="0.35">
      <c r="A67" s="1476"/>
      <c r="B67" s="1477"/>
      <c r="C67" s="1477"/>
      <c r="D67" s="1477"/>
      <c r="E67" s="1477"/>
      <c r="F67" s="1477"/>
      <c r="G67" s="1478"/>
      <c r="H67" s="1525" t="s">
        <v>393</v>
      </c>
      <c r="I67" s="1517">
        <f t="shared" ref="I67:AR67" si="39">IF(MAX($I$29:$BP$29)=I$29,I$29,NA())</f>
        <v>0</v>
      </c>
      <c r="J67" s="1517">
        <f t="shared" si="39"/>
        <v>0</v>
      </c>
      <c r="K67" s="1517">
        <f t="shared" si="39"/>
        <v>0</v>
      </c>
      <c r="L67" s="1517">
        <f t="shared" si="39"/>
        <v>0</v>
      </c>
      <c r="M67" s="1517">
        <f t="shared" si="39"/>
        <v>0</v>
      </c>
      <c r="N67" s="1517">
        <f t="shared" si="39"/>
        <v>0</v>
      </c>
      <c r="O67" s="1517">
        <f t="shared" si="39"/>
        <v>0</v>
      </c>
      <c r="P67" s="1517">
        <f t="shared" si="39"/>
        <v>0</v>
      </c>
      <c r="Q67" s="1517">
        <f t="shared" si="39"/>
        <v>0</v>
      </c>
      <c r="R67" s="1517">
        <f t="shared" si="39"/>
        <v>0</v>
      </c>
      <c r="S67" s="1517">
        <f t="shared" si="39"/>
        <v>0</v>
      </c>
      <c r="T67" s="1517">
        <f t="shared" si="39"/>
        <v>0</v>
      </c>
      <c r="U67" s="1517">
        <f t="shared" si="39"/>
        <v>0</v>
      </c>
      <c r="V67" s="1517">
        <f t="shared" si="39"/>
        <v>0</v>
      </c>
      <c r="W67" s="1517">
        <f t="shared" si="39"/>
        <v>0</v>
      </c>
      <c r="X67" s="1517">
        <f t="shared" si="39"/>
        <v>0</v>
      </c>
      <c r="Y67" s="1517">
        <f t="shared" si="39"/>
        <v>0</v>
      </c>
      <c r="Z67" s="1517">
        <f t="shared" si="39"/>
        <v>0</v>
      </c>
      <c r="AA67" s="1517">
        <f t="shared" si="39"/>
        <v>0</v>
      </c>
      <c r="AB67" s="1517">
        <f t="shared" si="39"/>
        <v>0</v>
      </c>
      <c r="AC67" s="1517">
        <f t="shared" si="39"/>
        <v>0</v>
      </c>
      <c r="AD67" s="1517">
        <f t="shared" si="39"/>
        <v>0</v>
      </c>
      <c r="AE67" s="1517">
        <f t="shared" si="39"/>
        <v>0</v>
      </c>
      <c r="AF67" s="1517">
        <f t="shared" si="39"/>
        <v>0</v>
      </c>
      <c r="AG67" s="1517">
        <f t="shared" si="39"/>
        <v>0</v>
      </c>
      <c r="AH67" s="1517">
        <f t="shared" si="39"/>
        <v>0</v>
      </c>
      <c r="AI67" s="1517">
        <f t="shared" si="39"/>
        <v>0</v>
      </c>
      <c r="AJ67" s="1517">
        <f t="shared" si="39"/>
        <v>0</v>
      </c>
      <c r="AK67" s="1517">
        <f t="shared" si="39"/>
        <v>0</v>
      </c>
      <c r="AL67" s="1517">
        <f t="shared" si="39"/>
        <v>0</v>
      </c>
      <c r="AM67" s="1517">
        <f t="shared" si="39"/>
        <v>0</v>
      </c>
      <c r="AN67" s="1517">
        <f t="shared" si="39"/>
        <v>0</v>
      </c>
      <c r="AO67" s="1517">
        <f t="shared" si="39"/>
        <v>0</v>
      </c>
      <c r="AP67" s="1517">
        <f t="shared" si="39"/>
        <v>0</v>
      </c>
      <c r="AQ67" s="1517">
        <f t="shared" si="39"/>
        <v>0</v>
      </c>
      <c r="AR67" s="1517">
        <f t="shared" si="39"/>
        <v>0</v>
      </c>
      <c r="AS67" s="1517">
        <f t="shared" ref="AS67:BP67" si="40">IF(Years="Three","",IF(MAX($I$29:$BP$29)=AS$29,AS$29,NA()))</f>
        <v>0</v>
      </c>
      <c r="AT67" s="1517">
        <f t="shared" si="40"/>
        <v>0</v>
      </c>
      <c r="AU67" s="1517">
        <f t="shared" si="40"/>
        <v>0</v>
      </c>
      <c r="AV67" s="1517">
        <f t="shared" si="40"/>
        <v>0</v>
      </c>
      <c r="AW67" s="1517">
        <f t="shared" si="40"/>
        <v>0</v>
      </c>
      <c r="AX67" s="1517">
        <f t="shared" si="40"/>
        <v>0</v>
      </c>
      <c r="AY67" s="1517">
        <f t="shared" si="40"/>
        <v>0</v>
      </c>
      <c r="AZ67" s="1517">
        <f t="shared" si="40"/>
        <v>0</v>
      </c>
      <c r="BA67" s="1517">
        <f t="shared" si="40"/>
        <v>0</v>
      </c>
      <c r="BB67" s="1517">
        <f t="shared" si="40"/>
        <v>0</v>
      </c>
      <c r="BC67" s="1517">
        <f t="shared" si="40"/>
        <v>0</v>
      </c>
      <c r="BD67" s="1517">
        <f t="shared" si="40"/>
        <v>0</v>
      </c>
      <c r="BE67" s="1517">
        <f t="shared" si="40"/>
        <v>0</v>
      </c>
      <c r="BF67" s="1517">
        <f t="shared" si="40"/>
        <v>0</v>
      </c>
      <c r="BG67" s="1517">
        <f t="shared" si="40"/>
        <v>0</v>
      </c>
      <c r="BH67" s="1517">
        <f t="shared" si="40"/>
        <v>0</v>
      </c>
      <c r="BI67" s="1517">
        <f t="shared" si="40"/>
        <v>0</v>
      </c>
      <c r="BJ67" s="1517">
        <f t="shared" si="40"/>
        <v>0</v>
      </c>
      <c r="BK67" s="1517">
        <f t="shared" si="40"/>
        <v>0</v>
      </c>
      <c r="BL67" s="1517">
        <f t="shared" si="40"/>
        <v>0</v>
      </c>
      <c r="BM67" s="1517">
        <f t="shared" si="40"/>
        <v>0</v>
      </c>
      <c r="BN67" s="1517">
        <f t="shared" si="40"/>
        <v>0</v>
      </c>
      <c r="BO67" s="1517">
        <f t="shared" si="40"/>
        <v>0</v>
      </c>
      <c r="BP67" s="1517">
        <f t="shared" si="40"/>
        <v>0</v>
      </c>
      <c r="BQ67" s="43"/>
      <c r="BR67" s="43"/>
      <c r="BS67" s="43"/>
      <c r="BT67" s="43"/>
      <c r="BU67" s="43"/>
      <c r="BV67" s="43"/>
      <c r="BW67" s="1436"/>
      <c r="BX67" s="1437"/>
      <c r="BY67" s="1437"/>
      <c r="BZ67" s="1183"/>
      <c r="CA67" s="1183"/>
      <c r="CB67" s="1183"/>
      <c r="CC67" s="1183"/>
      <c r="CD67" s="484"/>
      <c r="CE67" s="484"/>
      <c r="CF67" s="484"/>
      <c r="CG67" s="484"/>
      <c r="CH67" s="484"/>
      <c r="CI67" s="484"/>
      <c r="CJ67" s="484"/>
      <c r="CK67" s="484"/>
      <c r="CL67" s="484"/>
      <c r="CM67" s="484"/>
      <c r="CN67" s="1183"/>
      <c r="CO67" s="1183"/>
      <c r="CP67" s="1183"/>
      <c r="CQ67" s="1183"/>
      <c r="CR67" s="1183"/>
      <c r="CS67" s="1183"/>
      <c r="CT67" s="1183"/>
      <c r="CU67" s="1183"/>
      <c r="CV67" s="1183"/>
      <c r="CW67" s="1183"/>
      <c r="CX67" s="1183"/>
      <c r="CY67" s="1183"/>
      <c r="CZ67" s="1183"/>
      <c r="DA67" s="1183"/>
      <c r="DB67" s="1183"/>
      <c r="DC67" s="1183"/>
      <c r="DD67" s="1183"/>
      <c r="DE67" s="1183"/>
      <c r="DF67" s="1183"/>
      <c r="DG67" s="1183"/>
      <c r="DH67" s="1183"/>
      <c r="DI67" s="1183"/>
      <c r="DJ67" s="1183"/>
      <c r="DK67" s="1183"/>
      <c r="DL67" s="1183"/>
      <c r="DM67" s="1183"/>
      <c r="DN67" s="1183"/>
      <c r="DO67" s="1183"/>
      <c r="DP67" s="1183"/>
      <c r="DQ67" s="1183"/>
    </row>
    <row r="68" spans="1:121" s="12" customFormat="1" ht="12" customHeight="1" x14ac:dyDescent="0.35">
      <c r="A68" s="1489" t="s">
        <v>12</v>
      </c>
      <c r="B68" s="1477"/>
      <c r="C68" s="1476"/>
      <c r="D68" s="1477"/>
      <c r="E68" s="1477"/>
      <c r="F68" s="1477"/>
      <c r="G68" s="1478"/>
      <c r="H68" s="1525" t="s">
        <v>394</v>
      </c>
      <c r="I68" s="1517">
        <f t="shared" ref="I68:AR68" si="41">IF(MIN($I$29:$BP$29)=I$29,I$29,NA())</f>
        <v>0</v>
      </c>
      <c r="J68" s="1517">
        <f t="shared" si="41"/>
        <v>0</v>
      </c>
      <c r="K68" s="1517">
        <f t="shared" si="41"/>
        <v>0</v>
      </c>
      <c r="L68" s="1517">
        <f t="shared" si="41"/>
        <v>0</v>
      </c>
      <c r="M68" s="1517">
        <f t="shared" si="41"/>
        <v>0</v>
      </c>
      <c r="N68" s="1517">
        <f t="shared" si="41"/>
        <v>0</v>
      </c>
      <c r="O68" s="1517">
        <f t="shared" si="41"/>
        <v>0</v>
      </c>
      <c r="P68" s="1517">
        <f t="shared" si="41"/>
        <v>0</v>
      </c>
      <c r="Q68" s="1517">
        <f t="shared" si="41"/>
        <v>0</v>
      </c>
      <c r="R68" s="1517">
        <f t="shared" si="41"/>
        <v>0</v>
      </c>
      <c r="S68" s="1517">
        <f t="shared" si="41"/>
        <v>0</v>
      </c>
      <c r="T68" s="1517">
        <f t="shared" si="41"/>
        <v>0</v>
      </c>
      <c r="U68" s="1517">
        <f t="shared" si="41"/>
        <v>0</v>
      </c>
      <c r="V68" s="1517">
        <f t="shared" si="41"/>
        <v>0</v>
      </c>
      <c r="W68" s="1517">
        <f t="shared" si="41"/>
        <v>0</v>
      </c>
      <c r="X68" s="1517">
        <f t="shared" si="41"/>
        <v>0</v>
      </c>
      <c r="Y68" s="1517">
        <f t="shared" si="41"/>
        <v>0</v>
      </c>
      <c r="Z68" s="1517">
        <f t="shared" si="41"/>
        <v>0</v>
      </c>
      <c r="AA68" s="1517">
        <f t="shared" si="41"/>
        <v>0</v>
      </c>
      <c r="AB68" s="1517">
        <f t="shared" si="41"/>
        <v>0</v>
      </c>
      <c r="AC68" s="1517">
        <f t="shared" si="41"/>
        <v>0</v>
      </c>
      <c r="AD68" s="1517">
        <f t="shared" si="41"/>
        <v>0</v>
      </c>
      <c r="AE68" s="1517">
        <f t="shared" si="41"/>
        <v>0</v>
      </c>
      <c r="AF68" s="1517">
        <f t="shared" si="41"/>
        <v>0</v>
      </c>
      <c r="AG68" s="1517">
        <f t="shared" si="41"/>
        <v>0</v>
      </c>
      <c r="AH68" s="1517">
        <f t="shared" si="41"/>
        <v>0</v>
      </c>
      <c r="AI68" s="1517">
        <f t="shared" si="41"/>
        <v>0</v>
      </c>
      <c r="AJ68" s="1517">
        <f t="shared" si="41"/>
        <v>0</v>
      </c>
      <c r="AK68" s="1517">
        <f t="shared" si="41"/>
        <v>0</v>
      </c>
      <c r="AL68" s="1517">
        <f t="shared" si="41"/>
        <v>0</v>
      </c>
      <c r="AM68" s="1517">
        <f t="shared" si="41"/>
        <v>0</v>
      </c>
      <c r="AN68" s="1517">
        <f t="shared" si="41"/>
        <v>0</v>
      </c>
      <c r="AO68" s="1517">
        <f t="shared" si="41"/>
        <v>0</v>
      </c>
      <c r="AP68" s="1517">
        <f t="shared" si="41"/>
        <v>0</v>
      </c>
      <c r="AQ68" s="1517">
        <f t="shared" si="41"/>
        <v>0</v>
      </c>
      <c r="AR68" s="1517">
        <f t="shared" si="41"/>
        <v>0</v>
      </c>
      <c r="AS68" s="1517">
        <f t="shared" ref="AS68:BP68" si="42">IF(Years="Three","",IF(MIN($I$29:$BP$29)=AS$29,AS$29,NA()))</f>
        <v>0</v>
      </c>
      <c r="AT68" s="1517">
        <f t="shared" si="42"/>
        <v>0</v>
      </c>
      <c r="AU68" s="1517">
        <f t="shared" si="42"/>
        <v>0</v>
      </c>
      <c r="AV68" s="1517">
        <f t="shared" si="42"/>
        <v>0</v>
      </c>
      <c r="AW68" s="1517">
        <f t="shared" si="42"/>
        <v>0</v>
      </c>
      <c r="AX68" s="1517">
        <f t="shared" si="42"/>
        <v>0</v>
      </c>
      <c r="AY68" s="1517">
        <f t="shared" si="42"/>
        <v>0</v>
      </c>
      <c r="AZ68" s="1517">
        <f t="shared" si="42"/>
        <v>0</v>
      </c>
      <c r="BA68" s="1517">
        <f t="shared" si="42"/>
        <v>0</v>
      </c>
      <c r="BB68" s="1517">
        <f t="shared" si="42"/>
        <v>0</v>
      </c>
      <c r="BC68" s="1517">
        <f t="shared" si="42"/>
        <v>0</v>
      </c>
      <c r="BD68" s="1517">
        <f t="shared" si="42"/>
        <v>0</v>
      </c>
      <c r="BE68" s="1517">
        <f t="shared" si="42"/>
        <v>0</v>
      </c>
      <c r="BF68" s="1517">
        <f t="shared" si="42"/>
        <v>0</v>
      </c>
      <c r="BG68" s="1517">
        <f t="shared" si="42"/>
        <v>0</v>
      </c>
      <c r="BH68" s="1517">
        <f t="shared" si="42"/>
        <v>0</v>
      </c>
      <c r="BI68" s="1517">
        <f t="shared" si="42"/>
        <v>0</v>
      </c>
      <c r="BJ68" s="1517">
        <f t="shared" si="42"/>
        <v>0</v>
      </c>
      <c r="BK68" s="1517">
        <f t="shared" si="42"/>
        <v>0</v>
      </c>
      <c r="BL68" s="1517">
        <f t="shared" si="42"/>
        <v>0</v>
      </c>
      <c r="BM68" s="1517">
        <f t="shared" si="42"/>
        <v>0</v>
      </c>
      <c r="BN68" s="1517">
        <f t="shared" si="42"/>
        <v>0</v>
      </c>
      <c r="BO68" s="1517">
        <f t="shared" si="42"/>
        <v>0</v>
      </c>
      <c r="BP68" s="1517">
        <f t="shared" si="42"/>
        <v>0</v>
      </c>
      <c r="BQ68" s="43"/>
      <c r="BR68" s="43"/>
      <c r="BS68" s="43"/>
      <c r="BT68" s="43"/>
      <c r="BU68" s="43"/>
      <c r="BV68" s="43"/>
      <c r="BW68" s="1436"/>
      <c r="BX68" s="1437"/>
      <c r="BY68" s="1437"/>
      <c r="BZ68" s="1183"/>
      <c r="CA68" s="1183"/>
      <c r="CB68" s="1183"/>
      <c r="CC68" s="1183"/>
      <c r="CD68" s="484"/>
      <c r="CE68" s="484"/>
      <c r="CF68" s="484"/>
      <c r="CG68" s="484"/>
      <c r="CH68" s="484"/>
      <c r="CI68" s="484"/>
      <c r="CJ68" s="484"/>
      <c r="CK68" s="484"/>
      <c r="CL68" s="484"/>
      <c r="CM68" s="484"/>
      <c r="CN68" s="1183"/>
      <c r="CO68" s="1183"/>
      <c r="CP68" s="1183"/>
      <c r="CQ68" s="1183"/>
      <c r="CR68" s="1183"/>
      <c r="CS68" s="1183"/>
      <c r="CT68" s="1183"/>
      <c r="CU68" s="1183"/>
      <c r="CV68" s="1183"/>
      <c r="CW68" s="1183"/>
      <c r="CX68" s="1183"/>
      <c r="CY68" s="1183"/>
      <c r="CZ68" s="1183"/>
      <c r="DA68" s="1183"/>
      <c r="DB68" s="1183"/>
      <c r="DC68" s="1183"/>
      <c r="DD68" s="1183"/>
      <c r="DE68" s="1183"/>
      <c r="DF68" s="1183"/>
      <c r="DG68" s="1183"/>
      <c r="DH68" s="1183"/>
      <c r="DI68" s="1183"/>
      <c r="DJ68" s="1183"/>
      <c r="DK68" s="1183"/>
      <c r="DL68" s="1183"/>
      <c r="DM68" s="1183"/>
      <c r="DN68" s="1183"/>
      <c r="DO68" s="1183"/>
      <c r="DP68" s="1183"/>
      <c r="DQ68" s="1183"/>
    </row>
    <row r="69" spans="1:121" s="12" customFormat="1" ht="12" customHeight="1" x14ac:dyDescent="0.35">
      <c r="A69" s="1476" t="s">
        <v>366</v>
      </c>
      <c r="B69" s="1504">
        <f>SUMIF($I$2:$BP$2,B$23,$I$4:$BP$4)</f>
        <v>0</v>
      </c>
      <c r="C69" s="1504">
        <f>SUMIF($I$2:$BP$2,C$23,$I$4:$BP$4)</f>
        <v>0</v>
      </c>
      <c r="D69" s="1504">
        <f>SUMIF($I$2:$BP$2,D$23,$I$4:$BP$4)</f>
        <v>0</v>
      </c>
      <c r="E69" s="1477"/>
      <c r="F69" s="1477"/>
      <c r="G69" s="1478"/>
      <c r="H69" s="1479"/>
      <c r="I69" s="1518"/>
      <c r="J69" s="1518"/>
      <c r="K69" s="1518"/>
      <c r="L69" s="1518"/>
      <c r="M69" s="1518"/>
      <c r="N69" s="1518"/>
      <c r="O69" s="1518"/>
      <c r="P69" s="1518"/>
      <c r="Q69" s="1518"/>
      <c r="R69" s="1518"/>
      <c r="S69" s="1518"/>
      <c r="T69" s="1518"/>
      <c r="U69" s="1518"/>
      <c r="V69" s="1518"/>
      <c r="W69" s="1518"/>
      <c r="X69" s="1518"/>
      <c r="Y69" s="1518"/>
      <c r="Z69" s="1518"/>
      <c r="AA69" s="1518"/>
      <c r="AB69" s="1518"/>
      <c r="AC69" s="1518"/>
      <c r="AD69" s="1518"/>
      <c r="AE69" s="1518"/>
      <c r="AF69" s="1519"/>
      <c r="AG69" s="1519"/>
      <c r="AH69" s="1519"/>
      <c r="AI69" s="1519"/>
      <c r="AJ69" s="1519"/>
      <c r="AK69" s="1519"/>
      <c r="AL69" s="1519"/>
      <c r="AM69" s="1519"/>
      <c r="AN69" s="1519"/>
      <c r="AO69" s="1519"/>
      <c r="AP69" s="1519"/>
      <c r="AQ69" s="1519"/>
      <c r="AR69" s="1519"/>
      <c r="AS69" s="1519"/>
      <c r="AT69" s="1519"/>
      <c r="AU69" s="1519"/>
      <c r="AV69" s="1519"/>
      <c r="AW69" s="1519"/>
      <c r="AX69" s="1519"/>
      <c r="AY69" s="1519"/>
      <c r="AZ69" s="1519"/>
      <c r="BA69" s="1519"/>
      <c r="BB69" s="1519"/>
      <c r="BC69" s="1519"/>
      <c r="BD69" s="1519"/>
      <c r="BE69" s="1519"/>
      <c r="BF69" s="1519"/>
      <c r="BG69" s="1519"/>
      <c r="BH69" s="1519"/>
      <c r="BI69" s="1519"/>
      <c r="BJ69" s="1519"/>
      <c r="BK69" s="1519"/>
      <c r="BL69" s="1519"/>
      <c r="BM69" s="1519"/>
      <c r="BN69" s="1519"/>
      <c r="BO69" s="1519"/>
      <c r="BP69" s="1519"/>
      <c r="BQ69" s="43"/>
      <c r="BR69" s="43"/>
      <c r="BS69" s="43"/>
      <c r="BT69" s="43"/>
      <c r="BU69" s="43"/>
      <c r="BV69" s="43"/>
      <c r="BW69" s="1436"/>
      <c r="BX69" s="1437"/>
      <c r="BY69" s="1437"/>
      <c r="BZ69" s="1183"/>
      <c r="CA69" s="1183"/>
      <c r="CB69" s="1183"/>
      <c r="CC69" s="1183"/>
      <c r="CD69" s="484"/>
      <c r="CE69" s="484"/>
      <c r="CF69" s="484"/>
      <c r="CG69" s="484"/>
      <c r="CH69" s="484"/>
      <c r="CI69" s="484"/>
      <c r="CJ69" s="484"/>
      <c r="CK69" s="484"/>
      <c r="CL69" s="484"/>
      <c r="CM69" s="484"/>
      <c r="CN69" s="1183"/>
      <c r="CO69" s="1183"/>
      <c r="CP69" s="1183"/>
      <c r="CQ69" s="1183"/>
      <c r="CR69" s="1183"/>
      <c r="CS69" s="1183"/>
      <c r="CT69" s="1183"/>
      <c r="CU69" s="1183"/>
      <c r="CV69" s="1183"/>
      <c r="CW69" s="1183"/>
      <c r="CX69" s="1183"/>
      <c r="CY69" s="1183"/>
      <c r="CZ69" s="1183"/>
      <c r="DA69" s="1183"/>
      <c r="DB69" s="1183"/>
      <c r="DC69" s="1183"/>
      <c r="DD69" s="1183"/>
      <c r="DE69" s="1183"/>
      <c r="DF69" s="1183"/>
      <c r="DG69" s="1183"/>
      <c r="DH69" s="1183"/>
      <c r="DI69" s="1183"/>
      <c r="DJ69" s="1183"/>
      <c r="DK69" s="1183"/>
      <c r="DL69" s="1183"/>
      <c r="DM69" s="1183"/>
      <c r="DN69" s="1183"/>
      <c r="DO69" s="1183"/>
      <c r="DP69" s="1183"/>
      <c r="DQ69" s="1183"/>
    </row>
    <row r="70" spans="1:121" s="12" customFormat="1" ht="12" customHeight="1" x14ac:dyDescent="0.35">
      <c r="A70" s="1476" t="s">
        <v>368</v>
      </c>
      <c r="B70" s="1504">
        <f>SUMIF($I$2:$BP$2,"&lt;="&amp;B$23,$I$4:$BP$4)</f>
        <v>0</v>
      </c>
      <c r="C70" s="1504">
        <f>SUMIF($I$2:$BP$2,"&lt;="&amp;C$23,$I$4:$BP$4)</f>
        <v>0</v>
      </c>
      <c r="D70" s="1504">
        <f>SUMIF($I$2:$BP$2,"&lt;="&amp;D$23,$I$4:$BP$4)</f>
        <v>0</v>
      </c>
      <c r="E70" s="1477"/>
      <c r="F70" s="1477"/>
      <c r="G70" s="1478"/>
      <c r="H70" s="1479"/>
      <c r="I70" s="1518">
        <f>I64</f>
        <v>0</v>
      </c>
      <c r="J70" s="1518">
        <f t="shared" ref="J70:BP70" si="43">J64</f>
        <v>59</v>
      </c>
      <c r="K70" s="1518">
        <f t="shared" si="43"/>
        <v>91</v>
      </c>
      <c r="L70" s="1518">
        <f t="shared" si="43"/>
        <v>121</v>
      </c>
      <c r="M70" s="1518">
        <f t="shared" si="43"/>
        <v>152</v>
      </c>
      <c r="N70" s="1518">
        <f t="shared" si="43"/>
        <v>182</v>
      </c>
      <c r="O70" s="1518">
        <f t="shared" si="43"/>
        <v>213</v>
      </c>
      <c r="P70" s="1518">
        <f t="shared" si="43"/>
        <v>244</v>
      </c>
      <c r="Q70" s="1518">
        <f t="shared" si="43"/>
        <v>274</v>
      </c>
      <c r="R70" s="1518">
        <f t="shared" si="43"/>
        <v>305</v>
      </c>
      <c r="S70" s="1518">
        <f t="shared" si="43"/>
        <v>335</v>
      </c>
      <c r="T70" s="1518">
        <f t="shared" si="43"/>
        <v>366</v>
      </c>
      <c r="U70" s="1518">
        <f t="shared" si="43"/>
        <v>397</v>
      </c>
      <c r="V70" s="1518">
        <f t="shared" si="43"/>
        <v>425</v>
      </c>
      <c r="W70" s="1518">
        <f t="shared" si="43"/>
        <v>456</v>
      </c>
      <c r="X70" s="1518">
        <f t="shared" si="43"/>
        <v>486</v>
      </c>
      <c r="Y70" s="1518">
        <f t="shared" si="43"/>
        <v>517</v>
      </c>
      <c r="Z70" s="1518">
        <f t="shared" si="43"/>
        <v>547</v>
      </c>
      <c r="AA70" s="1518">
        <f t="shared" si="43"/>
        <v>578</v>
      </c>
      <c r="AB70" s="1518">
        <f t="shared" si="43"/>
        <v>609</v>
      </c>
      <c r="AC70" s="1518">
        <f t="shared" si="43"/>
        <v>639</v>
      </c>
      <c r="AD70" s="1518">
        <f t="shared" si="43"/>
        <v>670</v>
      </c>
      <c r="AE70" s="1518">
        <f t="shared" si="43"/>
        <v>700</v>
      </c>
      <c r="AF70" s="1519">
        <f t="shared" si="43"/>
        <v>731</v>
      </c>
      <c r="AG70" s="1519">
        <f t="shared" si="43"/>
        <v>762</v>
      </c>
      <c r="AH70" s="1519">
        <f t="shared" si="43"/>
        <v>790</v>
      </c>
      <c r="AI70" s="1519">
        <f t="shared" si="43"/>
        <v>821</v>
      </c>
      <c r="AJ70" s="1519">
        <f t="shared" si="43"/>
        <v>851</v>
      </c>
      <c r="AK70" s="1519">
        <f t="shared" si="43"/>
        <v>882</v>
      </c>
      <c r="AL70" s="1519">
        <f t="shared" si="43"/>
        <v>912</v>
      </c>
      <c r="AM70" s="1519">
        <f t="shared" si="43"/>
        <v>943</v>
      </c>
      <c r="AN70" s="1519">
        <f t="shared" si="43"/>
        <v>974</v>
      </c>
      <c r="AO70" s="1519">
        <f t="shared" si="43"/>
        <v>1004</v>
      </c>
      <c r="AP70" s="1519">
        <f t="shared" si="43"/>
        <v>1035</v>
      </c>
      <c r="AQ70" s="1519">
        <f t="shared" si="43"/>
        <v>1065</v>
      </c>
      <c r="AR70" s="1519">
        <f t="shared" si="43"/>
        <v>1096</v>
      </c>
      <c r="AS70" s="1519">
        <f t="shared" si="43"/>
        <v>1127</v>
      </c>
      <c r="AT70" s="1519">
        <f t="shared" si="43"/>
        <v>1155</v>
      </c>
      <c r="AU70" s="1519">
        <f t="shared" si="43"/>
        <v>1186</v>
      </c>
      <c r="AV70" s="1519">
        <f t="shared" si="43"/>
        <v>1216</v>
      </c>
      <c r="AW70" s="1519">
        <f t="shared" si="43"/>
        <v>1247</v>
      </c>
      <c r="AX70" s="1519">
        <f t="shared" si="43"/>
        <v>1277</v>
      </c>
      <c r="AY70" s="1519">
        <f t="shared" si="43"/>
        <v>1308</v>
      </c>
      <c r="AZ70" s="1519">
        <f t="shared" si="43"/>
        <v>1339</v>
      </c>
      <c r="BA70" s="1519">
        <f t="shared" si="43"/>
        <v>1369</v>
      </c>
      <c r="BB70" s="1519">
        <f t="shared" si="43"/>
        <v>1400</v>
      </c>
      <c r="BC70" s="1519">
        <f t="shared" si="43"/>
        <v>1430</v>
      </c>
      <c r="BD70" s="1519">
        <f t="shared" si="43"/>
        <v>1461</v>
      </c>
      <c r="BE70" s="1519">
        <f t="shared" si="43"/>
        <v>1492</v>
      </c>
      <c r="BF70" s="1519">
        <f t="shared" si="43"/>
        <v>1521</v>
      </c>
      <c r="BG70" s="1519">
        <f t="shared" si="43"/>
        <v>1552</v>
      </c>
      <c r="BH70" s="1519">
        <f t="shared" si="43"/>
        <v>1582</v>
      </c>
      <c r="BI70" s="1519">
        <f t="shared" si="43"/>
        <v>1613</v>
      </c>
      <c r="BJ70" s="1519">
        <f t="shared" si="43"/>
        <v>1643</v>
      </c>
      <c r="BK70" s="1519">
        <f t="shared" si="43"/>
        <v>1674</v>
      </c>
      <c r="BL70" s="1519">
        <f t="shared" si="43"/>
        <v>1705</v>
      </c>
      <c r="BM70" s="1519">
        <f t="shared" si="43"/>
        <v>1735</v>
      </c>
      <c r="BN70" s="1519">
        <f t="shared" si="43"/>
        <v>1766</v>
      </c>
      <c r="BO70" s="1519">
        <f t="shared" si="43"/>
        <v>1796</v>
      </c>
      <c r="BP70" s="1519">
        <f t="shared" si="43"/>
        <v>1827</v>
      </c>
      <c r="BQ70" s="43"/>
      <c r="BR70" s="43"/>
      <c r="BS70" s="43"/>
      <c r="BT70" s="43"/>
      <c r="BU70" s="43"/>
      <c r="BV70" s="43"/>
      <c r="BW70" s="1436"/>
      <c r="BX70" s="1437"/>
      <c r="BY70" s="1437"/>
      <c r="BZ70" s="1183"/>
      <c r="CA70" s="1183"/>
      <c r="CB70" s="1183"/>
      <c r="CC70" s="1183"/>
      <c r="CD70" s="484"/>
      <c r="CE70" s="484"/>
      <c r="CF70" s="484"/>
      <c r="CG70" s="484"/>
      <c r="CH70" s="484"/>
      <c r="CI70" s="484"/>
      <c r="CJ70" s="484"/>
      <c r="CK70" s="484"/>
      <c r="CL70" s="484"/>
      <c r="CM70" s="484"/>
      <c r="CN70" s="1183"/>
      <c r="CO70" s="1183"/>
      <c r="CP70" s="1183"/>
      <c r="CQ70" s="1183"/>
      <c r="CR70" s="1183"/>
      <c r="CS70" s="1183"/>
      <c r="CT70" s="1183"/>
      <c r="CU70" s="1183"/>
      <c r="CV70" s="1183"/>
      <c r="CW70" s="1183"/>
      <c r="CX70" s="1183"/>
      <c r="CY70" s="1183"/>
      <c r="CZ70" s="1183"/>
      <c r="DA70" s="1183"/>
      <c r="DB70" s="1183"/>
      <c r="DC70" s="1183"/>
      <c r="DD70" s="1183"/>
      <c r="DE70" s="1183"/>
      <c r="DF70" s="1183"/>
      <c r="DG70" s="1183"/>
      <c r="DH70" s="1183"/>
      <c r="DI70" s="1183"/>
      <c r="DJ70" s="1183"/>
      <c r="DK70" s="1183"/>
      <c r="DL70" s="1183"/>
      <c r="DM70" s="1183"/>
      <c r="DN70" s="1183"/>
      <c r="DO70" s="1183"/>
      <c r="DP70" s="1183"/>
      <c r="DQ70" s="1183"/>
    </row>
    <row r="71" spans="1:121" s="12" customFormat="1" ht="12" customHeight="1" x14ac:dyDescent="0.35">
      <c r="A71" s="1476"/>
      <c r="B71" s="1477"/>
      <c r="C71" s="1477"/>
      <c r="D71" s="1477"/>
      <c r="E71" s="1477"/>
      <c r="F71" s="1477"/>
      <c r="G71" s="1478"/>
      <c r="H71" s="1525" t="s">
        <v>395</v>
      </c>
      <c r="I71" s="1517">
        <f>IF(I56&gt;=0,I56,NA())</f>
        <v>0</v>
      </c>
      <c r="J71" s="1517">
        <f t="shared" ref="J71:AE71" si="44">IF(J56&gt;=0,J56,NA())</f>
        <v>0</v>
      </c>
      <c r="K71" s="1517">
        <f t="shared" si="44"/>
        <v>0</v>
      </c>
      <c r="L71" s="1517">
        <f t="shared" si="44"/>
        <v>0</v>
      </c>
      <c r="M71" s="1517">
        <f t="shared" si="44"/>
        <v>0</v>
      </c>
      <c r="N71" s="1517">
        <f t="shared" si="44"/>
        <v>0</v>
      </c>
      <c r="O71" s="1517">
        <f t="shared" si="44"/>
        <v>0</v>
      </c>
      <c r="P71" s="1517">
        <f t="shared" si="44"/>
        <v>0</v>
      </c>
      <c r="Q71" s="1517">
        <f t="shared" si="44"/>
        <v>0</v>
      </c>
      <c r="R71" s="1517">
        <f t="shared" si="44"/>
        <v>0</v>
      </c>
      <c r="S71" s="1517">
        <f t="shared" si="44"/>
        <v>0</v>
      </c>
      <c r="T71" s="1517">
        <f t="shared" si="44"/>
        <v>0</v>
      </c>
      <c r="U71" s="1517">
        <f t="shared" si="44"/>
        <v>0</v>
      </c>
      <c r="V71" s="1517">
        <f t="shared" si="44"/>
        <v>0</v>
      </c>
      <c r="W71" s="1517">
        <f t="shared" si="44"/>
        <v>0</v>
      </c>
      <c r="X71" s="1517">
        <f t="shared" si="44"/>
        <v>0</v>
      </c>
      <c r="Y71" s="1517">
        <f t="shared" si="44"/>
        <v>0</v>
      </c>
      <c r="Z71" s="1517">
        <f t="shared" si="44"/>
        <v>0</v>
      </c>
      <c r="AA71" s="1517">
        <f t="shared" si="44"/>
        <v>0</v>
      </c>
      <c r="AB71" s="1517">
        <f t="shared" si="44"/>
        <v>0</v>
      </c>
      <c r="AC71" s="1517">
        <f t="shared" si="44"/>
        <v>0</v>
      </c>
      <c r="AD71" s="1517">
        <f t="shared" si="44"/>
        <v>0</v>
      </c>
      <c r="AE71" s="1517">
        <f t="shared" si="44"/>
        <v>0</v>
      </c>
      <c r="AF71" s="1517">
        <f t="shared" ref="AF71:BP71" si="45">IF(AF56&gt;=0,AF56,NA())</f>
        <v>0</v>
      </c>
      <c r="AG71" s="1517">
        <f t="shared" si="45"/>
        <v>0</v>
      </c>
      <c r="AH71" s="1517">
        <f t="shared" si="45"/>
        <v>0</v>
      </c>
      <c r="AI71" s="1517">
        <f t="shared" si="45"/>
        <v>0</v>
      </c>
      <c r="AJ71" s="1517">
        <f t="shared" si="45"/>
        <v>0</v>
      </c>
      <c r="AK71" s="1517">
        <f t="shared" si="45"/>
        <v>0</v>
      </c>
      <c r="AL71" s="1517">
        <f t="shared" si="45"/>
        <v>0</v>
      </c>
      <c r="AM71" s="1517">
        <f t="shared" si="45"/>
        <v>0</v>
      </c>
      <c r="AN71" s="1517">
        <f t="shared" si="45"/>
        <v>0</v>
      </c>
      <c r="AO71" s="1517">
        <f t="shared" si="45"/>
        <v>0</v>
      </c>
      <c r="AP71" s="1517">
        <f t="shared" si="45"/>
        <v>0</v>
      </c>
      <c r="AQ71" s="1517">
        <f t="shared" si="45"/>
        <v>0</v>
      </c>
      <c r="AR71" s="1517">
        <f t="shared" si="45"/>
        <v>0</v>
      </c>
      <c r="AS71" s="1517">
        <f t="shared" si="45"/>
        <v>0</v>
      </c>
      <c r="AT71" s="1517">
        <f t="shared" si="45"/>
        <v>0</v>
      </c>
      <c r="AU71" s="1517">
        <f t="shared" si="45"/>
        <v>0</v>
      </c>
      <c r="AV71" s="1517">
        <f t="shared" si="45"/>
        <v>0</v>
      </c>
      <c r="AW71" s="1517">
        <f t="shared" si="45"/>
        <v>0</v>
      </c>
      <c r="AX71" s="1517">
        <f t="shared" si="45"/>
        <v>0</v>
      </c>
      <c r="AY71" s="1517">
        <f t="shared" si="45"/>
        <v>0</v>
      </c>
      <c r="AZ71" s="1517">
        <f t="shared" si="45"/>
        <v>0</v>
      </c>
      <c r="BA71" s="1517">
        <f t="shared" si="45"/>
        <v>0</v>
      </c>
      <c r="BB71" s="1517">
        <f t="shared" si="45"/>
        <v>0</v>
      </c>
      <c r="BC71" s="1517">
        <f t="shared" si="45"/>
        <v>0</v>
      </c>
      <c r="BD71" s="1517">
        <f t="shared" si="45"/>
        <v>0</v>
      </c>
      <c r="BE71" s="1517">
        <f t="shared" si="45"/>
        <v>0</v>
      </c>
      <c r="BF71" s="1517">
        <f t="shared" si="45"/>
        <v>0</v>
      </c>
      <c r="BG71" s="1517">
        <f t="shared" si="45"/>
        <v>0</v>
      </c>
      <c r="BH71" s="1517">
        <f t="shared" si="45"/>
        <v>0</v>
      </c>
      <c r="BI71" s="1517">
        <f t="shared" si="45"/>
        <v>0</v>
      </c>
      <c r="BJ71" s="1517">
        <f t="shared" si="45"/>
        <v>0</v>
      </c>
      <c r="BK71" s="1517">
        <f t="shared" si="45"/>
        <v>0</v>
      </c>
      <c r="BL71" s="1517">
        <f t="shared" si="45"/>
        <v>0</v>
      </c>
      <c r="BM71" s="1517">
        <f t="shared" si="45"/>
        <v>0</v>
      </c>
      <c r="BN71" s="1517">
        <f t="shared" si="45"/>
        <v>0</v>
      </c>
      <c r="BO71" s="1517">
        <f t="shared" si="45"/>
        <v>0</v>
      </c>
      <c r="BP71" s="1517">
        <f t="shared" si="45"/>
        <v>0</v>
      </c>
      <c r="BQ71" s="43"/>
      <c r="BR71" s="43"/>
      <c r="BS71" s="43"/>
      <c r="BT71" s="43"/>
      <c r="BU71" s="43"/>
      <c r="BV71" s="43"/>
      <c r="BW71" s="1436"/>
      <c r="BX71" s="1437"/>
      <c r="BY71" s="1437"/>
      <c r="BZ71" s="1183"/>
      <c r="CA71" s="1183"/>
      <c r="CB71" s="1183"/>
      <c r="CC71" s="1183"/>
      <c r="CD71" s="484"/>
      <c r="CE71" s="484"/>
      <c r="CF71" s="484"/>
      <c r="CG71" s="484"/>
      <c r="CH71" s="484"/>
      <c r="CI71" s="484"/>
      <c r="CJ71" s="484"/>
      <c r="CK71" s="484"/>
      <c r="CL71" s="484"/>
      <c r="CM71" s="484"/>
      <c r="CN71" s="1183"/>
      <c r="CO71" s="1183"/>
      <c r="CP71" s="1183"/>
      <c r="CQ71" s="1183"/>
      <c r="CR71" s="1183"/>
      <c r="CS71" s="1183"/>
      <c r="CT71" s="1183"/>
      <c r="CU71" s="1183"/>
      <c r="CV71" s="1183"/>
      <c r="CW71" s="1183"/>
      <c r="CX71" s="1183"/>
      <c r="CY71" s="1183"/>
      <c r="CZ71" s="1183"/>
      <c r="DA71" s="1183"/>
      <c r="DB71" s="1183"/>
      <c r="DC71" s="1183"/>
      <c r="DD71" s="1183"/>
      <c r="DE71" s="1183"/>
      <c r="DF71" s="1183"/>
      <c r="DG71" s="1183"/>
      <c r="DH71" s="1183"/>
      <c r="DI71" s="1183"/>
      <c r="DJ71" s="1183"/>
      <c r="DK71" s="1183"/>
      <c r="DL71" s="1183"/>
      <c r="DM71" s="1183"/>
      <c r="DN71" s="1183"/>
      <c r="DO71" s="1183"/>
      <c r="DP71" s="1183"/>
      <c r="DQ71" s="1183"/>
    </row>
    <row r="72" spans="1:121" s="12" customFormat="1" ht="12" customHeight="1" x14ac:dyDescent="0.35">
      <c r="A72" s="1489" t="s">
        <v>18</v>
      </c>
      <c r="B72" s="1477"/>
      <c r="C72" s="1476"/>
      <c r="D72" s="1477"/>
      <c r="E72" s="1477"/>
      <c r="F72" s="1477"/>
      <c r="G72" s="1478"/>
      <c r="H72" s="1525" t="s">
        <v>396</v>
      </c>
      <c r="I72" s="1516" t="e">
        <f>IF(I56&lt;0,I56,NA())</f>
        <v>#N/A</v>
      </c>
      <c r="J72" s="1516" t="e">
        <f t="shared" ref="J72:AE72" si="46">IF(J56&lt;0,J56,NA())</f>
        <v>#N/A</v>
      </c>
      <c r="K72" s="1516" t="e">
        <f t="shared" si="46"/>
        <v>#N/A</v>
      </c>
      <c r="L72" s="1516" t="e">
        <f t="shared" si="46"/>
        <v>#N/A</v>
      </c>
      <c r="M72" s="1516" t="e">
        <f t="shared" si="46"/>
        <v>#N/A</v>
      </c>
      <c r="N72" s="1516" t="e">
        <f t="shared" si="46"/>
        <v>#N/A</v>
      </c>
      <c r="O72" s="1516" t="e">
        <f t="shared" si="46"/>
        <v>#N/A</v>
      </c>
      <c r="P72" s="1516" t="e">
        <f t="shared" si="46"/>
        <v>#N/A</v>
      </c>
      <c r="Q72" s="1516" t="e">
        <f t="shared" si="46"/>
        <v>#N/A</v>
      </c>
      <c r="R72" s="1516" t="e">
        <f t="shared" si="46"/>
        <v>#N/A</v>
      </c>
      <c r="S72" s="1516" t="e">
        <f t="shared" si="46"/>
        <v>#N/A</v>
      </c>
      <c r="T72" s="1516" t="e">
        <f t="shared" si="46"/>
        <v>#N/A</v>
      </c>
      <c r="U72" s="1516" t="e">
        <f t="shared" si="46"/>
        <v>#N/A</v>
      </c>
      <c r="V72" s="1516" t="e">
        <f t="shared" si="46"/>
        <v>#N/A</v>
      </c>
      <c r="W72" s="1516" t="e">
        <f t="shared" si="46"/>
        <v>#N/A</v>
      </c>
      <c r="X72" s="1516" t="e">
        <f t="shared" si="46"/>
        <v>#N/A</v>
      </c>
      <c r="Y72" s="1516" t="e">
        <f t="shared" si="46"/>
        <v>#N/A</v>
      </c>
      <c r="Z72" s="1516" t="e">
        <f t="shared" si="46"/>
        <v>#N/A</v>
      </c>
      <c r="AA72" s="1516" t="e">
        <f t="shared" si="46"/>
        <v>#N/A</v>
      </c>
      <c r="AB72" s="1516" t="e">
        <f t="shared" si="46"/>
        <v>#N/A</v>
      </c>
      <c r="AC72" s="1516" t="e">
        <f t="shared" si="46"/>
        <v>#N/A</v>
      </c>
      <c r="AD72" s="1516" t="e">
        <f t="shared" si="46"/>
        <v>#N/A</v>
      </c>
      <c r="AE72" s="1516" t="e">
        <f t="shared" si="46"/>
        <v>#N/A</v>
      </c>
      <c r="AF72" s="1517" t="e">
        <f t="shared" ref="AF72:BP72" si="47">IF(AF56&lt;0,AF56,NA())</f>
        <v>#N/A</v>
      </c>
      <c r="AG72" s="1517" t="e">
        <f t="shared" si="47"/>
        <v>#N/A</v>
      </c>
      <c r="AH72" s="1517" t="e">
        <f t="shared" si="47"/>
        <v>#N/A</v>
      </c>
      <c r="AI72" s="1517" t="e">
        <f t="shared" si="47"/>
        <v>#N/A</v>
      </c>
      <c r="AJ72" s="1517" t="e">
        <f t="shared" si="47"/>
        <v>#N/A</v>
      </c>
      <c r="AK72" s="1517" t="e">
        <f t="shared" si="47"/>
        <v>#N/A</v>
      </c>
      <c r="AL72" s="1517" t="e">
        <f t="shared" si="47"/>
        <v>#N/A</v>
      </c>
      <c r="AM72" s="1517" t="e">
        <f t="shared" si="47"/>
        <v>#N/A</v>
      </c>
      <c r="AN72" s="1517" t="e">
        <f t="shared" si="47"/>
        <v>#N/A</v>
      </c>
      <c r="AO72" s="1517" t="e">
        <f t="shared" si="47"/>
        <v>#N/A</v>
      </c>
      <c r="AP72" s="1517" t="e">
        <f t="shared" si="47"/>
        <v>#N/A</v>
      </c>
      <c r="AQ72" s="1517" t="e">
        <f t="shared" si="47"/>
        <v>#N/A</v>
      </c>
      <c r="AR72" s="1517" t="e">
        <f t="shared" si="47"/>
        <v>#N/A</v>
      </c>
      <c r="AS72" s="1517" t="e">
        <f t="shared" si="47"/>
        <v>#N/A</v>
      </c>
      <c r="AT72" s="1517" t="e">
        <f t="shared" si="47"/>
        <v>#N/A</v>
      </c>
      <c r="AU72" s="1517" t="e">
        <f t="shared" si="47"/>
        <v>#N/A</v>
      </c>
      <c r="AV72" s="1517" t="e">
        <f t="shared" si="47"/>
        <v>#N/A</v>
      </c>
      <c r="AW72" s="1517" t="e">
        <f t="shared" si="47"/>
        <v>#N/A</v>
      </c>
      <c r="AX72" s="1517" t="e">
        <f t="shared" si="47"/>
        <v>#N/A</v>
      </c>
      <c r="AY72" s="1517" t="e">
        <f t="shared" si="47"/>
        <v>#N/A</v>
      </c>
      <c r="AZ72" s="1517" t="e">
        <f t="shared" si="47"/>
        <v>#N/A</v>
      </c>
      <c r="BA72" s="1517" t="e">
        <f t="shared" si="47"/>
        <v>#N/A</v>
      </c>
      <c r="BB72" s="1517" t="e">
        <f t="shared" si="47"/>
        <v>#N/A</v>
      </c>
      <c r="BC72" s="1517" t="e">
        <f t="shared" si="47"/>
        <v>#N/A</v>
      </c>
      <c r="BD72" s="1517" t="e">
        <f t="shared" si="47"/>
        <v>#N/A</v>
      </c>
      <c r="BE72" s="1517" t="e">
        <f t="shared" si="47"/>
        <v>#N/A</v>
      </c>
      <c r="BF72" s="1517" t="e">
        <f t="shared" si="47"/>
        <v>#N/A</v>
      </c>
      <c r="BG72" s="1517" t="e">
        <f t="shared" si="47"/>
        <v>#N/A</v>
      </c>
      <c r="BH72" s="1517" t="e">
        <f t="shared" si="47"/>
        <v>#N/A</v>
      </c>
      <c r="BI72" s="1517" t="e">
        <f t="shared" si="47"/>
        <v>#N/A</v>
      </c>
      <c r="BJ72" s="1517" t="e">
        <f t="shared" si="47"/>
        <v>#N/A</v>
      </c>
      <c r="BK72" s="1517" t="e">
        <f t="shared" si="47"/>
        <v>#N/A</v>
      </c>
      <c r="BL72" s="1517" t="e">
        <f t="shared" si="47"/>
        <v>#N/A</v>
      </c>
      <c r="BM72" s="1517" t="e">
        <f t="shared" si="47"/>
        <v>#N/A</v>
      </c>
      <c r="BN72" s="1517" t="e">
        <f t="shared" si="47"/>
        <v>#N/A</v>
      </c>
      <c r="BO72" s="1517" t="e">
        <f t="shared" si="47"/>
        <v>#N/A</v>
      </c>
      <c r="BP72" s="1517" t="e">
        <f t="shared" si="47"/>
        <v>#N/A</v>
      </c>
      <c r="BQ72" s="43"/>
      <c r="BR72" s="43"/>
      <c r="BS72" s="43"/>
      <c r="BT72" s="43"/>
      <c r="BU72" s="43"/>
      <c r="BV72" s="43"/>
      <c r="BW72" s="1436"/>
      <c r="BX72" s="1437"/>
      <c r="BY72" s="1437"/>
      <c r="BZ72" s="1183"/>
      <c r="CA72" s="1183"/>
      <c r="CB72" s="1183"/>
      <c r="CC72" s="1183"/>
      <c r="CD72" s="484"/>
      <c r="CE72" s="484"/>
      <c r="CF72" s="484"/>
      <c r="CG72" s="484"/>
      <c r="CH72" s="484"/>
      <c r="CI72" s="484"/>
      <c r="CJ72" s="484"/>
      <c r="CK72" s="484"/>
      <c r="CL72" s="484"/>
      <c r="CM72" s="484"/>
      <c r="CN72" s="1183"/>
      <c r="CO72" s="1183"/>
      <c r="CP72" s="1183"/>
      <c r="CQ72" s="1183"/>
      <c r="CR72" s="1183"/>
      <c r="CS72" s="1183"/>
      <c r="CT72" s="1183"/>
      <c r="CU72" s="1183"/>
      <c r="CV72" s="1183"/>
      <c r="CW72" s="1183"/>
      <c r="CX72" s="1183"/>
      <c r="CY72" s="1183"/>
      <c r="CZ72" s="1183"/>
      <c r="DA72" s="1183"/>
      <c r="DB72" s="1183"/>
      <c r="DC72" s="1183"/>
      <c r="DD72" s="1183"/>
      <c r="DE72" s="1183"/>
      <c r="DF72" s="1183"/>
      <c r="DG72" s="1183"/>
      <c r="DH72" s="1183"/>
      <c r="DI72" s="1183"/>
      <c r="DJ72" s="1183"/>
      <c r="DK72" s="1183"/>
      <c r="DL72" s="1183"/>
      <c r="DM72" s="1183"/>
      <c r="DN72" s="1183"/>
      <c r="DO72" s="1183"/>
      <c r="DP72" s="1183"/>
      <c r="DQ72" s="1183"/>
    </row>
    <row r="73" spans="1:121" s="12" customFormat="1" ht="12" customHeight="1" x14ac:dyDescent="0.35">
      <c r="A73" s="1476" t="s">
        <v>366</v>
      </c>
      <c r="B73" s="1504">
        <f>SUMIF($I$2:$BP$2,B$23,$I$6:$BP$6)</f>
        <v>0</v>
      </c>
      <c r="C73" s="1504">
        <f>SUMIF($I$2:$BP$2,C$23,$I$6:$BP$6)</f>
        <v>0</v>
      </c>
      <c r="D73" s="1504">
        <f>SUMIF($I$2:$BP$2,D$23,$I$6:$BP$6)</f>
        <v>0</v>
      </c>
      <c r="E73" s="1477"/>
      <c r="F73" s="1477"/>
      <c r="G73" s="1478"/>
      <c r="H73" s="1525" t="s">
        <v>393</v>
      </c>
      <c r="I73" s="1517">
        <f t="shared" ref="I73:AN73" si="48">IF(MAX($I$56:$BP$56)=I$56,I$56,NA())</f>
        <v>0</v>
      </c>
      <c r="J73" s="1517">
        <f t="shared" si="48"/>
        <v>0</v>
      </c>
      <c r="K73" s="1517">
        <f t="shared" si="48"/>
        <v>0</v>
      </c>
      <c r="L73" s="1517">
        <f t="shared" si="48"/>
        <v>0</v>
      </c>
      <c r="M73" s="1517">
        <f t="shared" si="48"/>
        <v>0</v>
      </c>
      <c r="N73" s="1517">
        <f t="shared" si="48"/>
        <v>0</v>
      </c>
      <c r="O73" s="1517">
        <f t="shared" si="48"/>
        <v>0</v>
      </c>
      <c r="P73" s="1517">
        <f t="shared" si="48"/>
        <v>0</v>
      </c>
      <c r="Q73" s="1517">
        <f t="shared" si="48"/>
        <v>0</v>
      </c>
      <c r="R73" s="1517">
        <f t="shared" si="48"/>
        <v>0</v>
      </c>
      <c r="S73" s="1517">
        <f t="shared" si="48"/>
        <v>0</v>
      </c>
      <c r="T73" s="1517">
        <f t="shared" si="48"/>
        <v>0</v>
      </c>
      <c r="U73" s="1517">
        <f t="shared" si="48"/>
        <v>0</v>
      </c>
      <c r="V73" s="1517">
        <f t="shared" si="48"/>
        <v>0</v>
      </c>
      <c r="W73" s="1517">
        <f t="shared" si="48"/>
        <v>0</v>
      </c>
      <c r="X73" s="1517">
        <f t="shared" si="48"/>
        <v>0</v>
      </c>
      <c r="Y73" s="1517">
        <f t="shared" si="48"/>
        <v>0</v>
      </c>
      <c r="Z73" s="1517">
        <f t="shared" si="48"/>
        <v>0</v>
      </c>
      <c r="AA73" s="1517">
        <f t="shared" si="48"/>
        <v>0</v>
      </c>
      <c r="AB73" s="1517">
        <f t="shared" si="48"/>
        <v>0</v>
      </c>
      <c r="AC73" s="1517">
        <f t="shared" si="48"/>
        <v>0</v>
      </c>
      <c r="AD73" s="1517">
        <f t="shared" si="48"/>
        <v>0</v>
      </c>
      <c r="AE73" s="1517">
        <f t="shared" si="48"/>
        <v>0</v>
      </c>
      <c r="AF73" s="1517">
        <f t="shared" si="48"/>
        <v>0</v>
      </c>
      <c r="AG73" s="1517">
        <f t="shared" si="48"/>
        <v>0</v>
      </c>
      <c r="AH73" s="1517">
        <f t="shared" si="48"/>
        <v>0</v>
      </c>
      <c r="AI73" s="1517">
        <f t="shared" si="48"/>
        <v>0</v>
      </c>
      <c r="AJ73" s="1517">
        <f t="shared" si="48"/>
        <v>0</v>
      </c>
      <c r="AK73" s="1517">
        <f t="shared" si="48"/>
        <v>0</v>
      </c>
      <c r="AL73" s="1517">
        <f t="shared" si="48"/>
        <v>0</v>
      </c>
      <c r="AM73" s="1517">
        <f t="shared" si="48"/>
        <v>0</v>
      </c>
      <c r="AN73" s="1517">
        <f t="shared" si="48"/>
        <v>0</v>
      </c>
      <c r="AO73" s="1517">
        <f t="shared" ref="AO73:BP73" si="49">IF(MAX($I$56:$BP$56)=AO$56,AO$56,NA())</f>
        <v>0</v>
      </c>
      <c r="AP73" s="1517">
        <f t="shared" si="49"/>
        <v>0</v>
      </c>
      <c r="AQ73" s="1517">
        <f t="shared" si="49"/>
        <v>0</v>
      </c>
      <c r="AR73" s="1517">
        <f t="shared" si="49"/>
        <v>0</v>
      </c>
      <c r="AS73" s="1517">
        <f t="shared" si="49"/>
        <v>0</v>
      </c>
      <c r="AT73" s="1517">
        <f t="shared" si="49"/>
        <v>0</v>
      </c>
      <c r="AU73" s="1517">
        <f t="shared" si="49"/>
        <v>0</v>
      </c>
      <c r="AV73" s="1517">
        <f t="shared" si="49"/>
        <v>0</v>
      </c>
      <c r="AW73" s="1517">
        <f t="shared" si="49"/>
        <v>0</v>
      </c>
      <c r="AX73" s="1517">
        <f t="shared" si="49"/>
        <v>0</v>
      </c>
      <c r="AY73" s="1517">
        <f t="shared" si="49"/>
        <v>0</v>
      </c>
      <c r="AZ73" s="1517">
        <f t="shared" si="49"/>
        <v>0</v>
      </c>
      <c r="BA73" s="1517">
        <f t="shared" si="49"/>
        <v>0</v>
      </c>
      <c r="BB73" s="1517">
        <f t="shared" si="49"/>
        <v>0</v>
      </c>
      <c r="BC73" s="1517">
        <f t="shared" si="49"/>
        <v>0</v>
      </c>
      <c r="BD73" s="1517">
        <f t="shared" si="49"/>
        <v>0</v>
      </c>
      <c r="BE73" s="1517">
        <f t="shared" si="49"/>
        <v>0</v>
      </c>
      <c r="BF73" s="1517">
        <f t="shared" si="49"/>
        <v>0</v>
      </c>
      <c r="BG73" s="1517">
        <f t="shared" si="49"/>
        <v>0</v>
      </c>
      <c r="BH73" s="1517">
        <f t="shared" si="49"/>
        <v>0</v>
      </c>
      <c r="BI73" s="1517">
        <f t="shared" si="49"/>
        <v>0</v>
      </c>
      <c r="BJ73" s="1517">
        <f t="shared" si="49"/>
        <v>0</v>
      </c>
      <c r="BK73" s="1517">
        <f t="shared" si="49"/>
        <v>0</v>
      </c>
      <c r="BL73" s="1517">
        <f t="shared" si="49"/>
        <v>0</v>
      </c>
      <c r="BM73" s="1517">
        <f t="shared" si="49"/>
        <v>0</v>
      </c>
      <c r="BN73" s="1517">
        <f t="shared" si="49"/>
        <v>0</v>
      </c>
      <c r="BO73" s="1517">
        <f t="shared" si="49"/>
        <v>0</v>
      </c>
      <c r="BP73" s="1517">
        <f t="shared" si="49"/>
        <v>0</v>
      </c>
      <c r="BQ73" s="43"/>
      <c r="BR73" s="43"/>
      <c r="BS73" s="43"/>
      <c r="BT73" s="43"/>
      <c r="BU73" s="43"/>
      <c r="BV73" s="43"/>
      <c r="BW73" s="1436"/>
      <c r="BX73" s="1437"/>
      <c r="BY73" s="1437"/>
      <c r="BZ73" s="1183"/>
      <c r="CA73" s="1183"/>
      <c r="CB73" s="1183"/>
      <c r="CC73" s="1183"/>
      <c r="CD73" s="484"/>
      <c r="CE73" s="484"/>
      <c r="CF73" s="484"/>
      <c r="CG73" s="484"/>
      <c r="CH73" s="484"/>
      <c r="CI73" s="484"/>
      <c r="CJ73" s="484"/>
      <c r="CK73" s="484"/>
      <c r="CL73" s="484"/>
      <c r="CM73" s="484"/>
      <c r="CN73" s="1183"/>
      <c r="CO73" s="1183"/>
      <c r="CP73" s="1183"/>
      <c r="CQ73" s="1183"/>
      <c r="CR73" s="1183"/>
      <c r="CS73" s="1183"/>
      <c r="CT73" s="1183"/>
      <c r="CU73" s="1183"/>
      <c r="CV73" s="1183"/>
      <c r="CW73" s="1183"/>
      <c r="CX73" s="1183"/>
      <c r="CY73" s="1183"/>
      <c r="CZ73" s="1183"/>
      <c r="DA73" s="1183"/>
      <c r="DB73" s="1183"/>
      <c r="DC73" s="1183"/>
      <c r="DD73" s="1183"/>
      <c r="DE73" s="1183"/>
      <c r="DF73" s="1183"/>
      <c r="DG73" s="1183"/>
      <c r="DH73" s="1183"/>
      <c r="DI73" s="1183"/>
      <c r="DJ73" s="1183"/>
      <c r="DK73" s="1183"/>
      <c r="DL73" s="1183"/>
      <c r="DM73" s="1183"/>
      <c r="DN73" s="1183"/>
      <c r="DO73" s="1183"/>
      <c r="DP73" s="1183"/>
      <c r="DQ73" s="1183"/>
    </row>
    <row r="74" spans="1:121" s="12" customFormat="1" ht="12" customHeight="1" x14ac:dyDescent="0.35">
      <c r="A74" s="1476" t="s">
        <v>368</v>
      </c>
      <c r="B74" s="1504">
        <f>SUMIF($I$2:$BP$2,"&lt;="&amp;B$23,$I$6:$BP$6)</f>
        <v>0</v>
      </c>
      <c r="C74" s="1504">
        <f>SUMIF($I$2:$BP$2,"&lt;="&amp;C$23,$I$6:$BP$6)</f>
        <v>0</v>
      </c>
      <c r="D74" s="1504">
        <f>SUMIF($I$2:$BP$2,"&lt;="&amp;D$23,$I$6:$BP$6)</f>
        <v>0</v>
      </c>
      <c r="E74" s="1477"/>
      <c r="F74" s="1477"/>
      <c r="G74" s="1478"/>
      <c r="H74" s="1525" t="s">
        <v>394</v>
      </c>
      <c r="I74" s="1517">
        <f t="shared" ref="I74:AN74" si="50">IF(MIN($I$56:$BP$56)=I$56,I$56,NA())</f>
        <v>0</v>
      </c>
      <c r="J74" s="1517">
        <f t="shared" si="50"/>
        <v>0</v>
      </c>
      <c r="K74" s="1517">
        <f t="shared" si="50"/>
        <v>0</v>
      </c>
      <c r="L74" s="1517">
        <f t="shared" si="50"/>
        <v>0</v>
      </c>
      <c r="M74" s="1517">
        <f t="shared" si="50"/>
        <v>0</v>
      </c>
      <c r="N74" s="1517">
        <f t="shared" si="50"/>
        <v>0</v>
      </c>
      <c r="O74" s="1517">
        <f t="shared" si="50"/>
        <v>0</v>
      </c>
      <c r="P74" s="1517">
        <f t="shared" si="50"/>
        <v>0</v>
      </c>
      <c r="Q74" s="1517">
        <f t="shared" si="50"/>
        <v>0</v>
      </c>
      <c r="R74" s="1517">
        <f t="shared" si="50"/>
        <v>0</v>
      </c>
      <c r="S74" s="1517">
        <f t="shared" si="50"/>
        <v>0</v>
      </c>
      <c r="T74" s="1517">
        <f t="shared" si="50"/>
        <v>0</v>
      </c>
      <c r="U74" s="1517">
        <f t="shared" si="50"/>
        <v>0</v>
      </c>
      <c r="V74" s="1517">
        <f t="shared" si="50"/>
        <v>0</v>
      </c>
      <c r="W74" s="1517">
        <f t="shared" si="50"/>
        <v>0</v>
      </c>
      <c r="X74" s="1517">
        <f t="shared" si="50"/>
        <v>0</v>
      </c>
      <c r="Y74" s="1517">
        <f t="shared" si="50"/>
        <v>0</v>
      </c>
      <c r="Z74" s="1517">
        <f t="shared" si="50"/>
        <v>0</v>
      </c>
      <c r="AA74" s="1517">
        <f t="shared" si="50"/>
        <v>0</v>
      </c>
      <c r="AB74" s="1517">
        <f t="shared" si="50"/>
        <v>0</v>
      </c>
      <c r="AC74" s="1517">
        <f t="shared" si="50"/>
        <v>0</v>
      </c>
      <c r="AD74" s="1517">
        <f t="shared" si="50"/>
        <v>0</v>
      </c>
      <c r="AE74" s="1517">
        <f t="shared" si="50"/>
        <v>0</v>
      </c>
      <c r="AF74" s="1517">
        <f t="shared" si="50"/>
        <v>0</v>
      </c>
      <c r="AG74" s="1517">
        <f t="shared" si="50"/>
        <v>0</v>
      </c>
      <c r="AH74" s="1517">
        <f t="shared" si="50"/>
        <v>0</v>
      </c>
      <c r="AI74" s="1517">
        <f t="shared" si="50"/>
        <v>0</v>
      </c>
      <c r="AJ74" s="1517">
        <f t="shared" si="50"/>
        <v>0</v>
      </c>
      <c r="AK74" s="1517">
        <f t="shared" si="50"/>
        <v>0</v>
      </c>
      <c r="AL74" s="1517">
        <f t="shared" si="50"/>
        <v>0</v>
      </c>
      <c r="AM74" s="1517">
        <f t="shared" si="50"/>
        <v>0</v>
      </c>
      <c r="AN74" s="1517">
        <f t="shared" si="50"/>
        <v>0</v>
      </c>
      <c r="AO74" s="1517">
        <f t="shared" ref="AO74:BP74" si="51">IF(MIN($I$56:$BP$56)=AO$56,AO$56,NA())</f>
        <v>0</v>
      </c>
      <c r="AP74" s="1517">
        <f t="shared" si="51"/>
        <v>0</v>
      </c>
      <c r="AQ74" s="1517">
        <f t="shared" si="51"/>
        <v>0</v>
      </c>
      <c r="AR74" s="1517">
        <f t="shared" si="51"/>
        <v>0</v>
      </c>
      <c r="AS74" s="1517">
        <f t="shared" si="51"/>
        <v>0</v>
      </c>
      <c r="AT74" s="1517">
        <f t="shared" si="51"/>
        <v>0</v>
      </c>
      <c r="AU74" s="1517">
        <f t="shared" si="51"/>
        <v>0</v>
      </c>
      <c r="AV74" s="1517">
        <f t="shared" si="51"/>
        <v>0</v>
      </c>
      <c r="AW74" s="1517">
        <f t="shared" si="51"/>
        <v>0</v>
      </c>
      <c r="AX74" s="1517">
        <f t="shared" si="51"/>
        <v>0</v>
      </c>
      <c r="AY74" s="1517">
        <f t="shared" si="51"/>
        <v>0</v>
      </c>
      <c r="AZ74" s="1517">
        <f t="shared" si="51"/>
        <v>0</v>
      </c>
      <c r="BA74" s="1517">
        <f t="shared" si="51"/>
        <v>0</v>
      </c>
      <c r="BB74" s="1517">
        <f t="shared" si="51"/>
        <v>0</v>
      </c>
      <c r="BC74" s="1517">
        <f t="shared" si="51"/>
        <v>0</v>
      </c>
      <c r="BD74" s="1517">
        <f t="shared" si="51"/>
        <v>0</v>
      </c>
      <c r="BE74" s="1517">
        <f t="shared" si="51"/>
        <v>0</v>
      </c>
      <c r="BF74" s="1517">
        <f t="shared" si="51"/>
        <v>0</v>
      </c>
      <c r="BG74" s="1517">
        <f t="shared" si="51"/>
        <v>0</v>
      </c>
      <c r="BH74" s="1517">
        <f t="shared" si="51"/>
        <v>0</v>
      </c>
      <c r="BI74" s="1517">
        <f t="shared" si="51"/>
        <v>0</v>
      </c>
      <c r="BJ74" s="1517">
        <f t="shared" si="51"/>
        <v>0</v>
      </c>
      <c r="BK74" s="1517">
        <f t="shared" si="51"/>
        <v>0</v>
      </c>
      <c r="BL74" s="1517">
        <f t="shared" si="51"/>
        <v>0</v>
      </c>
      <c r="BM74" s="1517">
        <f t="shared" si="51"/>
        <v>0</v>
      </c>
      <c r="BN74" s="1517">
        <f t="shared" si="51"/>
        <v>0</v>
      </c>
      <c r="BO74" s="1517">
        <f t="shared" si="51"/>
        <v>0</v>
      </c>
      <c r="BP74" s="1517">
        <f t="shared" si="51"/>
        <v>0</v>
      </c>
      <c r="BQ74" s="43"/>
      <c r="BR74" s="43"/>
      <c r="BS74" s="43"/>
      <c r="BT74" s="43"/>
      <c r="BU74" s="43"/>
      <c r="BV74" s="43"/>
      <c r="BW74" s="1436"/>
      <c r="BX74" s="1437"/>
      <c r="BY74" s="1437"/>
      <c r="BZ74" s="1183"/>
      <c r="CA74" s="1183"/>
      <c r="CB74" s="1183"/>
      <c r="CC74" s="1183"/>
      <c r="CD74" s="484"/>
      <c r="CE74" s="484"/>
      <c r="CF74" s="484"/>
      <c r="CG74" s="484"/>
      <c r="CH74" s="484"/>
      <c r="CI74" s="484"/>
      <c r="CJ74" s="484"/>
      <c r="CK74" s="484"/>
      <c r="CL74" s="484"/>
      <c r="CM74" s="484"/>
      <c r="CN74" s="1183"/>
      <c r="CO74" s="1183"/>
      <c r="CP74" s="1183"/>
      <c r="CQ74" s="1183"/>
      <c r="CR74" s="1183"/>
      <c r="CS74" s="1183"/>
      <c r="CT74" s="1183"/>
      <c r="CU74" s="1183"/>
      <c r="CV74" s="1183"/>
      <c r="CW74" s="1183"/>
      <c r="CX74" s="1183"/>
      <c r="CY74" s="1183"/>
      <c r="CZ74" s="1183"/>
      <c r="DA74" s="1183"/>
      <c r="DB74" s="1183"/>
      <c r="DC74" s="1183"/>
      <c r="DD74" s="1183"/>
      <c r="DE74" s="1183"/>
      <c r="DF74" s="1183"/>
      <c r="DG74" s="1183"/>
      <c r="DH74" s="1183"/>
      <c r="DI74" s="1183"/>
      <c r="DJ74" s="1183"/>
      <c r="DK74" s="1183"/>
      <c r="DL74" s="1183"/>
      <c r="DM74" s="1183"/>
      <c r="DN74" s="1183"/>
      <c r="DO74" s="1183"/>
      <c r="DP74" s="1183"/>
      <c r="DQ74" s="1183"/>
    </row>
    <row r="75" spans="1:121" s="12" customFormat="1" ht="12" customHeight="1" x14ac:dyDescent="0.35">
      <c r="A75" s="1476"/>
      <c r="B75" s="1477"/>
      <c r="C75" s="1477"/>
      <c r="D75" s="1477"/>
      <c r="E75" s="1477"/>
      <c r="F75" s="1477"/>
      <c r="G75" s="1478"/>
      <c r="H75" s="1525"/>
      <c r="I75" s="1516"/>
      <c r="J75" s="1516"/>
      <c r="K75" s="1516"/>
      <c r="L75" s="1516"/>
      <c r="M75" s="1516"/>
      <c r="N75" s="1516"/>
      <c r="O75" s="1516"/>
      <c r="P75" s="1516"/>
      <c r="Q75" s="1516"/>
      <c r="R75" s="1516"/>
      <c r="S75" s="1516"/>
      <c r="T75" s="1516"/>
      <c r="U75" s="1516"/>
      <c r="V75" s="1516"/>
      <c r="W75" s="1516"/>
      <c r="X75" s="1516"/>
      <c r="Y75" s="1516"/>
      <c r="Z75" s="1516"/>
      <c r="AA75" s="1516"/>
      <c r="AB75" s="1516"/>
      <c r="AC75" s="1516"/>
      <c r="AD75" s="1516"/>
      <c r="AE75" s="1516"/>
      <c r="AF75" s="1517"/>
      <c r="AG75" s="1517"/>
      <c r="AH75" s="1517"/>
      <c r="AI75" s="1517"/>
      <c r="AJ75" s="1517"/>
      <c r="AK75" s="1517"/>
      <c r="AL75" s="1517"/>
      <c r="AM75" s="1517"/>
      <c r="AN75" s="1517"/>
      <c r="AO75" s="1517"/>
      <c r="AP75" s="1517"/>
      <c r="AQ75" s="1517"/>
      <c r="AR75" s="1517"/>
      <c r="AS75" s="1517"/>
      <c r="AT75" s="1517"/>
      <c r="AU75" s="1517"/>
      <c r="AV75" s="1517"/>
      <c r="AW75" s="1517"/>
      <c r="AX75" s="1517"/>
      <c r="AY75" s="1517"/>
      <c r="AZ75" s="1517"/>
      <c r="BA75" s="1517"/>
      <c r="BB75" s="1517"/>
      <c r="BC75" s="1517"/>
      <c r="BD75" s="1517"/>
      <c r="BE75" s="1517"/>
      <c r="BF75" s="1517"/>
      <c r="BG75" s="1517"/>
      <c r="BH75" s="1517"/>
      <c r="BI75" s="1517"/>
      <c r="BJ75" s="1517"/>
      <c r="BK75" s="1517"/>
      <c r="BL75" s="1517"/>
      <c r="BM75" s="1517"/>
      <c r="BN75" s="1517"/>
      <c r="BO75" s="1517"/>
      <c r="BP75" s="1517"/>
      <c r="BQ75" s="43"/>
      <c r="BR75" s="43"/>
      <c r="BS75" s="43"/>
      <c r="BT75" s="43"/>
      <c r="BU75" s="43"/>
      <c r="BV75" s="43"/>
      <c r="BW75" s="1436"/>
      <c r="BX75" s="1437"/>
      <c r="BY75" s="1437"/>
      <c r="BZ75" s="1183"/>
      <c r="CA75" s="1183"/>
      <c r="CB75" s="1183"/>
      <c r="CC75" s="1183"/>
      <c r="CD75" s="484"/>
      <c r="CE75" s="484"/>
      <c r="CF75" s="484"/>
      <c r="CG75" s="484"/>
      <c r="CH75" s="484"/>
      <c r="CI75" s="484"/>
      <c r="CJ75" s="484"/>
      <c r="CK75" s="484"/>
      <c r="CL75" s="484"/>
      <c r="CM75" s="484"/>
      <c r="CN75" s="1183"/>
      <c r="CO75" s="1183"/>
      <c r="CP75" s="1183"/>
      <c r="CQ75" s="1183"/>
      <c r="CR75" s="1183"/>
      <c r="CS75" s="1183"/>
      <c r="CT75" s="1183"/>
      <c r="CU75" s="1183"/>
      <c r="CV75" s="1183"/>
      <c r="CW75" s="1183"/>
      <c r="CX75" s="1183"/>
      <c r="CY75" s="1183"/>
      <c r="CZ75" s="1183"/>
      <c r="DA75" s="1183"/>
      <c r="DB75" s="1183"/>
      <c r="DC75" s="1183"/>
      <c r="DD75" s="1183"/>
      <c r="DE75" s="1183"/>
      <c r="DF75" s="1183"/>
      <c r="DG75" s="1183"/>
      <c r="DH75" s="1183"/>
      <c r="DI75" s="1183"/>
      <c r="DJ75" s="1183"/>
      <c r="DK75" s="1183"/>
      <c r="DL75" s="1183"/>
      <c r="DM75" s="1183"/>
      <c r="DN75" s="1183"/>
      <c r="DO75" s="1183"/>
      <c r="DP75" s="1183"/>
      <c r="DQ75" s="1183"/>
    </row>
    <row r="76" spans="1:121" s="12" customFormat="1" ht="12" customHeight="1" x14ac:dyDescent="0.35">
      <c r="A76" s="1489" t="s">
        <v>19</v>
      </c>
      <c r="B76" s="1477"/>
      <c r="C76" s="1476"/>
      <c r="D76" s="1477"/>
      <c r="E76" s="1477"/>
      <c r="F76" s="1477"/>
      <c r="G76" s="1478"/>
      <c r="H76" s="1525"/>
      <c r="I76" s="1518">
        <f>I70</f>
        <v>0</v>
      </c>
      <c r="J76" s="1518">
        <f t="shared" ref="J76:BP76" si="52">J70</f>
        <v>59</v>
      </c>
      <c r="K76" s="1518">
        <f t="shared" si="52"/>
        <v>91</v>
      </c>
      <c r="L76" s="1518">
        <f t="shared" si="52"/>
        <v>121</v>
      </c>
      <c r="M76" s="1518">
        <f t="shared" si="52"/>
        <v>152</v>
      </c>
      <c r="N76" s="1518">
        <f t="shared" si="52"/>
        <v>182</v>
      </c>
      <c r="O76" s="1518">
        <f t="shared" si="52"/>
        <v>213</v>
      </c>
      <c r="P76" s="1518">
        <f t="shared" si="52"/>
        <v>244</v>
      </c>
      <c r="Q76" s="1518">
        <f t="shared" si="52"/>
        <v>274</v>
      </c>
      <c r="R76" s="1518">
        <f t="shared" si="52"/>
        <v>305</v>
      </c>
      <c r="S76" s="1518">
        <f t="shared" si="52"/>
        <v>335</v>
      </c>
      <c r="T76" s="1518">
        <f t="shared" si="52"/>
        <v>366</v>
      </c>
      <c r="U76" s="1518">
        <f t="shared" si="52"/>
        <v>397</v>
      </c>
      <c r="V76" s="1518">
        <f t="shared" si="52"/>
        <v>425</v>
      </c>
      <c r="W76" s="1518">
        <f t="shared" si="52"/>
        <v>456</v>
      </c>
      <c r="X76" s="1518">
        <f t="shared" si="52"/>
        <v>486</v>
      </c>
      <c r="Y76" s="1518">
        <f t="shared" si="52"/>
        <v>517</v>
      </c>
      <c r="Z76" s="1518">
        <f t="shared" si="52"/>
        <v>547</v>
      </c>
      <c r="AA76" s="1518">
        <f t="shared" si="52"/>
        <v>578</v>
      </c>
      <c r="AB76" s="1518">
        <f t="shared" si="52"/>
        <v>609</v>
      </c>
      <c r="AC76" s="1518">
        <f t="shared" si="52"/>
        <v>639</v>
      </c>
      <c r="AD76" s="1518">
        <f t="shared" si="52"/>
        <v>670</v>
      </c>
      <c r="AE76" s="1518">
        <f t="shared" si="52"/>
        <v>700</v>
      </c>
      <c r="AF76" s="1519">
        <f t="shared" si="52"/>
        <v>731</v>
      </c>
      <c r="AG76" s="1519">
        <f t="shared" si="52"/>
        <v>762</v>
      </c>
      <c r="AH76" s="1519">
        <f t="shared" si="52"/>
        <v>790</v>
      </c>
      <c r="AI76" s="1519">
        <f t="shared" si="52"/>
        <v>821</v>
      </c>
      <c r="AJ76" s="1519">
        <f t="shared" si="52"/>
        <v>851</v>
      </c>
      <c r="AK76" s="1519">
        <f t="shared" si="52"/>
        <v>882</v>
      </c>
      <c r="AL76" s="1519">
        <f t="shared" si="52"/>
        <v>912</v>
      </c>
      <c r="AM76" s="1519">
        <f t="shared" si="52"/>
        <v>943</v>
      </c>
      <c r="AN76" s="1519">
        <f t="shared" si="52"/>
        <v>974</v>
      </c>
      <c r="AO76" s="1519">
        <f t="shared" si="52"/>
        <v>1004</v>
      </c>
      <c r="AP76" s="1519">
        <f t="shared" si="52"/>
        <v>1035</v>
      </c>
      <c r="AQ76" s="1519">
        <f t="shared" si="52"/>
        <v>1065</v>
      </c>
      <c r="AR76" s="1519">
        <f t="shared" si="52"/>
        <v>1096</v>
      </c>
      <c r="AS76" s="1519">
        <f t="shared" si="52"/>
        <v>1127</v>
      </c>
      <c r="AT76" s="1519">
        <f t="shared" si="52"/>
        <v>1155</v>
      </c>
      <c r="AU76" s="1519">
        <f t="shared" si="52"/>
        <v>1186</v>
      </c>
      <c r="AV76" s="1519">
        <f t="shared" si="52"/>
        <v>1216</v>
      </c>
      <c r="AW76" s="1519">
        <f t="shared" si="52"/>
        <v>1247</v>
      </c>
      <c r="AX76" s="1519">
        <f t="shared" si="52"/>
        <v>1277</v>
      </c>
      <c r="AY76" s="1519">
        <f t="shared" si="52"/>
        <v>1308</v>
      </c>
      <c r="AZ76" s="1519">
        <f t="shared" si="52"/>
        <v>1339</v>
      </c>
      <c r="BA76" s="1519">
        <f t="shared" si="52"/>
        <v>1369</v>
      </c>
      <c r="BB76" s="1519">
        <f t="shared" si="52"/>
        <v>1400</v>
      </c>
      <c r="BC76" s="1519">
        <f t="shared" si="52"/>
        <v>1430</v>
      </c>
      <c r="BD76" s="1519">
        <f t="shared" si="52"/>
        <v>1461</v>
      </c>
      <c r="BE76" s="1519">
        <f t="shared" si="52"/>
        <v>1492</v>
      </c>
      <c r="BF76" s="1519">
        <f t="shared" si="52"/>
        <v>1521</v>
      </c>
      <c r="BG76" s="1519">
        <f t="shared" si="52"/>
        <v>1552</v>
      </c>
      <c r="BH76" s="1519">
        <f t="shared" si="52"/>
        <v>1582</v>
      </c>
      <c r="BI76" s="1519">
        <f t="shared" si="52"/>
        <v>1613</v>
      </c>
      <c r="BJ76" s="1519">
        <f t="shared" si="52"/>
        <v>1643</v>
      </c>
      <c r="BK76" s="1519">
        <f t="shared" si="52"/>
        <v>1674</v>
      </c>
      <c r="BL76" s="1519">
        <f t="shared" si="52"/>
        <v>1705</v>
      </c>
      <c r="BM76" s="1519">
        <f t="shared" si="52"/>
        <v>1735</v>
      </c>
      <c r="BN76" s="1519">
        <f t="shared" si="52"/>
        <v>1766</v>
      </c>
      <c r="BO76" s="1519">
        <f t="shared" si="52"/>
        <v>1796</v>
      </c>
      <c r="BP76" s="1519">
        <f t="shared" si="52"/>
        <v>1827</v>
      </c>
      <c r="BQ76" s="43"/>
      <c r="BR76" s="43"/>
      <c r="BS76" s="43"/>
      <c r="BT76" s="43"/>
      <c r="BU76" s="43"/>
      <c r="BV76" s="43"/>
      <c r="BW76" s="1436"/>
      <c r="BX76" s="1437"/>
      <c r="BY76" s="1437"/>
      <c r="BZ76" s="1183"/>
      <c r="CA76" s="1183"/>
      <c r="CB76" s="1183"/>
      <c r="CC76" s="1183"/>
      <c r="CD76" s="484"/>
      <c r="CE76" s="484"/>
      <c r="CF76" s="484"/>
      <c r="CG76" s="484"/>
      <c r="CH76" s="484"/>
      <c r="CI76" s="484"/>
      <c r="CJ76" s="484"/>
      <c r="CK76" s="484"/>
      <c r="CL76" s="484"/>
      <c r="CM76" s="484"/>
      <c r="CN76" s="1183"/>
      <c r="CO76" s="1183"/>
      <c r="CP76" s="1183"/>
      <c r="CQ76" s="1183"/>
      <c r="CR76" s="1183"/>
      <c r="CS76" s="1183"/>
      <c r="CT76" s="1183"/>
      <c r="CU76" s="1183"/>
      <c r="CV76" s="1183"/>
      <c r="CW76" s="1183"/>
      <c r="CX76" s="1183"/>
      <c r="CY76" s="1183"/>
      <c r="CZ76" s="1183"/>
      <c r="DA76" s="1183"/>
      <c r="DB76" s="1183"/>
      <c r="DC76" s="1183"/>
      <c r="DD76" s="1183"/>
      <c r="DE76" s="1183"/>
      <c r="DF76" s="1183"/>
      <c r="DG76" s="1183"/>
      <c r="DH76" s="1183"/>
      <c r="DI76" s="1183"/>
      <c r="DJ76" s="1183"/>
      <c r="DK76" s="1183"/>
      <c r="DL76" s="1183"/>
      <c r="DM76" s="1183"/>
      <c r="DN76" s="1183"/>
      <c r="DO76" s="1183"/>
      <c r="DP76" s="1183"/>
      <c r="DQ76" s="1183"/>
    </row>
    <row r="77" spans="1:121" s="12" customFormat="1" ht="12" customHeight="1" x14ac:dyDescent="0.35">
      <c r="A77" s="1476" t="s">
        <v>366</v>
      </c>
      <c r="B77" s="1504">
        <f>SUMIF($I$2:$BP$2,B$23,$I$7:$BP$7)</f>
        <v>0</v>
      </c>
      <c r="C77" s="1504">
        <f>SUMIF($I$2:$BP$2,C$23,$I$7:$BP$7)</f>
        <v>0</v>
      </c>
      <c r="D77" s="1504">
        <f>SUMIF($I$2:$BP$2,D$23,$I$7:$BP$7)</f>
        <v>0</v>
      </c>
      <c r="E77" s="1477"/>
      <c r="F77" s="1477"/>
      <c r="G77" s="1478"/>
      <c r="H77" s="1525" t="s">
        <v>397</v>
      </c>
      <c r="I77" s="1517">
        <f>IF(I12&gt;=0,I12,NA())</f>
        <v>0</v>
      </c>
      <c r="J77" s="1517">
        <f t="shared" ref="J77:AE77" si="53">IF(J12&gt;=0,J12,NA())</f>
        <v>0</v>
      </c>
      <c r="K77" s="1517">
        <f t="shared" si="53"/>
        <v>0</v>
      </c>
      <c r="L77" s="1517">
        <f t="shared" si="53"/>
        <v>0</v>
      </c>
      <c r="M77" s="1517">
        <f t="shared" si="53"/>
        <v>0</v>
      </c>
      <c r="N77" s="1517">
        <f t="shared" si="53"/>
        <v>0</v>
      </c>
      <c r="O77" s="1517">
        <f t="shared" si="53"/>
        <v>0</v>
      </c>
      <c r="P77" s="1517">
        <f t="shared" si="53"/>
        <v>0</v>
      </c>
      <c r="Q77" s="1517">
        <f t="shared" si="53"/>
        <v>0</v>
      </c>
      <c r="R77" s="1517">
        <f t="shared" si="53"/>
        <v>0</v>
      </c>
      <c r="S77" s="1517">
        <f t="shared" si="53"/>
        <v>0</v>
      </c>
      <c r="T77" s="1517">
        <f t="shared" si="53"/>
        <v>0</v>
      </c>
      <c r="U77" s="1517">
        <f t="shared" si="53"/>
        <v>0</v>
      </c>
      <c r="V77" s="1517">
        <f t="shared" si="53"/>
        <v>0</v>
      </c>
      <c r="W77" s="1517">
        <f t="shared" si="53"/>
        <v>0</v>
      </c>
      <c r="X77" s="1517">
        <f t="shared" si="53"/>
        <v>0</v>
      </c>
      <c r="Y77" s="1517">
        <f t="shared" si="53"/>
        <v>0</v>
      </c>
      <c r="Z77" s="1517">
        <f t="shared" si="53"/>
        <v>0</v>
      </c>
      <c r="AA77" s="1517">
        <f t="shared" si="53"/>
        <v>0</v>
      </c>
      <c r="AB77" s="1517">
        <f t="shared" si="53"/>
        <v>0</v>
      </c>
      <c r="AC77" s="1517">
        <f t="shared" si="53"/>
        <v>0</v>
      </c>
      <c r="AD77" s="1517">
        <f t="shared" si="53"/>
        <v>0</v>
      </c>
      <c r="AE77" s="1517">
        <f t="shared" si="53"/>
        <v>0</v>
      </c>
      <c r="AF77" s="1517">
        <f t="shared" ref="AF77:BP77" si="54">IF(AF12&gt;=0,AF12,NA())</f>
        <v>0</v>
      </c>
      <c r="AG77" s="1517">
        <f t="shared" si="54"/>
        <v>0</v>
      </c>
      <c r="AH77" s="1517">
        <f t="shared" si="54"/>
        <v>0</v>
      </c>
      <c r="AI77" s="1517">
        <f t="shared" si="54"/>
        <v>0</v>
      </c>
      <c r="AJ77" s="1517">
        <f t="shared" si="54"/>
        <v>0</v>
      </c>
      <c r="AK77" s="1517">
        <f t="shared" si="54"/>
        <v>0</v>
      </c>
      <c r="AL77" s="1517">
        <f t="shared" si="54"/>
        <v>0</v>
      </c>
      <c r="AM77" s="1517">
        <f t="shared" si="54"/>
        <v>0</v>
      </c>
      <c r="AN77" s="1517">
        <f t="shared" si="54"/>
        <v>0</v>
      </c>
      <c r="AO77" s="1517">
        <f t="shared" si="54"/>
        <v>0</v>
      </c>
      <c r="AP77" s="1517">
        <f t="shared" si="54"/>
        <v>0</v>
      </c>
      <c r="AQ77" s="1517">
        <f t="shared" si="54"/>
        <v>0</v>
      </c>
      <c r="AR77" s="1517">
        <f t="shared" si="54"/>
        <v>0</v>
      </c>
      <c r="AS77" s="1517">
        <f t="shared" si="54"/>
        <v>0</v>
      </c>
      <c r="AT77" s="1517">
        <f t="shared" si="54"/>
        <v>0</v>
      </c>
      <c r="AU77" s="1517">
        <f t="shared" si="54"/>
        <v>0</v>
      </c>
      <c r="AV77" s="1517">
        <f t="shared" si="54"/>
        <v>0</v>
      </c>
      <c r="AW77" s="1517">
        <f t="shared" si="54"/>
        <v>0</v>
      </c>
      <c r="AX77" s="1517">
        <f t="shared" si="54"/>
        <v>0</v>
      </c>
      <c r="AY77" s="1517">
        <f t="shared" si="54"/>
        <v>0</v>
      </c>
      <c r="AZ77" s="1517">
        <f t="shared" si="54"/>
        <v>0</v>
      </c>
      <c r="BA77" s="1517">
        <f t="shared" si="54"/>
        <v>0</v>
      </c>
      <c r="BB77" s="1517">
        <f t="shared" si="54"/>
        <v>0</v>
      </c>
      <c r="BC77" s="1517">
        <f t="shared" si="54"/>
        <v>0</v>
      </c>
      <c r="BD77" s="1517">
        <f t="shared" si="54"/>
        <v>0</v>
      </c>
      <c r="BE77" s="1517">
        <f t="shared" si="54"/>
        <v>0</v>
      </c>
      <c r="BF77" s="1517">
        <f t="shared" si="54"/>
        <v>0</v>
      </c>
      <c r="BG77" s="1517">
        <f t="shared" si="54"/>
        <v>0</v>
      </c>
      <c r="BH77" s="1517">
        <f t="shared" si="54"/>
        <v>0</v>
      </c>
      <c r="BI77" s="1517">
        <f t="shared" si="54"/>
        <v>0</v>
      </c>
      <c r="BJ77" s="1517">
        <f t="shared" si="54"/>
        <v>0</v>
      </c>
      <c r="BK77" s="1517">
        <f t="shared" si="54"/>
        <v>0</v>
      </c>
      <c r="BL77" s="1517">
        <f t="shared" si="54"/>
        <v>0</v>
      </c>
      <c r="BM77" s="1517">
        <f t="shared" si="54"/>
        <v>0</v>
      </c>
      <c r="BN77" s="1517">
        <f t="shared" si="54"/>
        <v>0</v>
      </c>
      <c r="BO77" s="1517">
        <f t="shared" si="54"/>
        <v>0</v>
      </c>
      <c r="BP77" s="1517">
        <f t="shared" si="54"/>
        <v>0</v>
      </c>
      <c r="BQ77" s="43"/>
      <c r="BR77" s="43"/>
      <c r="BS77" s="43"/>
      <c r="BT77" s="43"/>
      <c r="BU77" s="43"/>
      <c r="BV77" s="43"/>
      <c r="BW77" s="1436"/>
      <c r="BX77" s="1437"/>
      <c r="BY77" s="1437"/>
      <c r="BZ77" s="1183"/>
      <c r="CA77" s="1183"/>
      <c r="CB77" s="1183"/>
      <c r="CC77" s="1183"/>
      <c r="CD77" s="484"/>
      <c r="CE77" s="484"/>
      <c r="CF77" s="484"/>
      <c r="CG77" s="484"/>
      <c r="CH77" s="484"/>
      <c r="CI77" s="484"/>
      <c r="CJ77" s="484"/>
      <c r="CK77" s="484"/>
      <c r="CL77" s="484"/>
      <c r="CM77" s="484"/>
      <c r="CN77" s="1183"/>
      <c r="CO77" s="1183"/>
      <c r="CP77" s="1183"/>
      <c r="CQ77" s="1183"/>
      <c r="CR77" s="1183"/>
      <c r="CS77" s="1183"/>
      <c r="CT77" s="1183"/>
      <c r="CU77" s="1183"/>
      <c r="CV77" s="1183"/>
      <c r="CW77" s="1183"/>
      <c r="CX77" s="1183"/>
      <c r="CY77" s="1183"/>
      <c r="CZ77" s="1183"/>
      <c r="DA77" s="1183"/>
      <c r="DB77" s="1183"/>
      <c r="DC77" s="1183"/>
      <c r="DD77" s="1183"/>
      <c r="DE77" s="1183"/>
      <c r="DF77" s="1183"/>
      <c r="DG77" s="1183"/>
      <c r="DH77" s="1183"/>
      <c r="DI77" s="1183"/>
      <c r="DJ77" s="1183"/>
      <c r="DK77" s="1183"/>
      <c r="DL77" s="1183"/>
      <c r="DM77" s="1183"/>
      <c r="DN77" s="1183"/>
      <c r="DO77" s="1183"/>
      <c r="DP77" s="1183"/>
      <c r="DQ77" s="1183"/>
    </row>
    <row r="78" spans="1:121" s="12" customFormat="1" ht="12" customHeight="1" x14ac:dyDescent="0.35">
      <c r="A78" s="1476" t="s">
        <v>368</v>
      </c>
      <c r="B78" s="1504">
        <f>SUMIF($I$2:$BP$2,"&lt;="&amp;B$23,$I$7:$BP$7)</f>
        <v>0</v>
      </c>
      <c r="C78" s="1504">
        <f>SUMIF($I$2:$BP$2,"&lt;="&amp;C$23,$I$7:$BP$7)</f>
        <v>0</v>
      </c>
      <c r="D78" s="1504">
        <f>SUMIF($I$2:$BP$2,"&lt;="&amp;D$23,$I$7:$BP$7)</f>
        <v>0</v>
      </c>
      <c r="E78" s="1477"/>
      <c r="F78" s="1477"/>
      <c r="G78" s="1478"/>
      <c r="H78" s="1525" t="s">
        <v>398</v>
      </c>
      <c r="I78" s="1516" t="e">
        <f>IF(I12&lt;0,I12,NA())</f>
        <v>#N/A</v>
      </c>
      <c r="J78" s="1516" t="e">
        <f t="shared" ref="J78:AE78" si="55">IF(J12&lt;0,J12,NA())</f>
        <v>#N/A</v>
      </c>
      <c r="K78" s="1516" t="e">
        <f t="shared" si="55"/>
        <v>#N/A</v>
      </c>
      <c r="L78" s="1516" t="e">
        <f t="shared" si="55"/>
        <v>#N/A</v>
      </c>
      <c r="M78" s="1516" t="e">
        <f t="shared" si="55"/>
        <v>#N/A</v>
      </c>
      <c r="N78" s="1516" t="e">
        <f t="shared" si="55"/>
        <v>#N/A</v>
      </c>
      <c r="O78" s="1516" t="e">
        <f t="shared" si="55"/>
        <v>#N/A</v>
      </c>
      <c r="P78" s="1516" t="e">
        <f t="shared" si="55"/>
        <v>#N/A</v>
      </c>
      <c r="Q78" s="1516" t="e">
        <f t="shared" si="55"/>
        <v>#N/A</v>
      </c>
      <c r="R78" s="1516" t="e">
        <f t="shared" si="55"/>
        <v>#N/A</v>
      </c>
      <c r="S78" s="1516" t="e">
        <f t="shared" si="55"/>
        <v>#N/A</v>
      </c>
      <c r="T78" s="1516" t="e">
        <f t="shared" si="55"/>
        <v>#N/A</v>
      </c>
      <c r="U78" s="1516" t="e">
        <f t="shared" si="55"/>
        <v>#N/A</v>
      </c>
      <c r="V78" s="1516" t="e">
        <f t="shared" si="55"/>
        <v>#N/A</v>
      </c>
      <c r="W78" s="1516" t="e">
        <f t="shared" si="55"/>
        <v>#N/A</v>
      </c>
      <c r="X78" s="1516" t="e">
        <f t="shared" si="55"/>
        <v>#N/A</v>
      </c>
      <c r="Y78" s="1516" t="e">
        <f t="shared" si="55"/>
        <v>#N/A</v>
      </c>
      <c r="Z78" s="1516" t="e">
        <f t="shared" si="55"/>
        <v>#N/A</v>
      </c>
      <c r="AA78" s="1516" t="e">
        <f t="shared" si="55"/>
        <v>#N/A</v>
      </c>
      <c r="AB78" s="1516" t="e">
        <f t="shared" si="55"/>
        <v>#N/A</v>
      </c>
      <c r="AC78" s="1516" t="e">
        <f t="shared" si="55"/>
        <v>#N/A</v>
      </c>
      <c r="AD78" s="1516" t="e">
        <f t="shared" si="55"/>
        <v>#N/A</v>
      </c>
      <c r="AE78" s="1516" t="e">
        <f t="shared" si="55"/>
        <v>#N/A</v>
      </c>
      <c r="AF78" s="1517" t="e">
        <f t="shared" ref="AF78:BP78" si="56">IF(AF12&lt;0,AF12,NA())</f>
        <v>#N/A</v>
      </c>
      <c r="AG78" s="1517" t="e">
        <f t="shared" si="56"/>
        <v>#N/A</v>
      </c>
      <c r="AH78" s="1517" t="e">
        <f t="shared" si="56"/>
        <v>#N/A</v>
      </c>
      <c r="AI78" s="1517" t="e">
        <f t="shared" si="56"/>
        <v>#N/A</v>
      </c>
      <c r="AJ78" s="1517" t="e">
        <f t="shared" si="56"/>
        <v>#N/A</v>
      </c>
      <c r="AK78" s="1517" t="e">
        <f t="shared" si="56"/>
        <v>#N/A</v>
      </c>
      <c r="AL78" s="1517" t="e">
        <f t="shared" si="56"/>
        <v>#N/A</v>
      </c>
      <c r="AM78" s="1517" t="e">
        <f t="shared" si="56"/>
        <v>#N/A</v>
      </c>
      <c r="AN78" s="1517" t="e">
        <f t="shared" si="56"/>
        <v>#N/A</v>
      </c>
      <c r="AO78" s="1517" t="e">
        <f t="shared" si="56"/>
        <v>#N/A</v>
      </c>
      <c r="AP78" s="1517" t="e">
        <f t="shared" si="56"/>
        <v>#N/A</v>
      </c>
      <c r="AQ78" s="1517" t="e">
        <f t="shared" si="56"/>
        <v>#N/A</v>
      </c>
      <c r="AR78" s="1517" t="e">
        <f t="shared" si="56"/>
        <v>#N/A</v>
      </c>
      <c r="AS78" s="1517" t="e">
        <f t="shared" si="56"/>
        <v>#N/A</v>
      </c>
      <c r="AT78" s="1517" t="e">
        <f t="shared" si="56"/>
        <v>#N/A</v>
      </c>
      <c r="AU78" s="1517" t="e">
        <f t="shared" si="56"/>
        <v>#N/A</v>
      </c>
      <c r="AV78" s="1517" t="e">
        <f t="shared" si="56"/>
        <v>#N/A</v>
      </c>
      <c r="AW78" s="1517" t="e">
        <f t="shared" si="56"/>
        <v>#N/A</v>
      </c>
      <c r="AX78" s="1517" t="e">
        <f t="shared" si="56"/>
        <v>#N/A</v>
      </c>
      <c r="AY78" s="1517" t="e">
        <f t="shared" si="56"/>
        <v>#N/A</v>
      </c>
      <c r="AZ78" s="1517" t="e">
        <f t="shared" si="56"/>
        <v>#N/A</v>
      </c>
      <c r="BA78" s="1517" t="e">
        <f t="shared" si="56"/>
        <v>#N/A</v>
      </c>
      <c r="BB78" s="1517" t="e">
        <f t="shared" si="56"/>
        <v>#N/A</v>
      </c>
      <c r="BC78" s="1517" t="e">
        <f t="shared" si="56"/>
        <v>#N/A</v>
      </c>
      <c r="BD78" s="1517" t="e">
        <f t="shared" si="56"/>
        <v>#N/A</v>
      </c>
      <c r="BE78" s="1517" t="e">
        <f t="shared" si="56"/>
        <v>#N/A</v>
      </c>
      <c r="BF78" s="1517" t="e">
        <f t="shared" si="56"/>
        <v>#N/A</v>
      </c>
      <c r="BG78" s="1517" t="e">
        <f t="shared" si="56"/>
        <v>#N/A</v>
      </c>
      <c r="BH78" s="1517" t="e">
        <f t="shared" si="56"/>
        <v>#N/A</v>
      </c>
      <c r="BI78" s="1517" t="e">
        <f t="shared" si="56"/>
        <v>#N/A</v>
      </c>
      <c r="BJ78" s="1517" t="e">
        <f t="shared" si="56"/>
        <v>#N/A</v>
      </c>
      <c r="BK78" s="1517" t="e">
        <f t="shared" si="56"/>
        <v>#N/A</v>
      </c>
      <c r="BL78" s="1517" t="e">
        <f t="shared" si="56"/>
        <v>#N/A</v>
      </c>
      <c r="BM78" s="1517" t="e">
        <f t="shared" si="56"/>
        <v>#N/A</v>
      </c>
      <c r="BN78" s="1517" t="e">
        <f t="shared" si="56"/>
        <v>#N/A</v>
      </c>
      <c r="BO78" s="1517" t="e">
        <f t="shared" si="56"/>
        <v>#N/A</v>
      </c>
      <c r="BP78" s="1517" t="e">
        <f t="shared" si="56"/>
        <v>#N/A</v>
      </c>
      <c r="BQ78" s="43"/>
      <c r="BR78" s="43"/>
      <c r="BS78" s="43"/>
      <c r="BT78" s="43"/>
      <c r="BU78" s="43"/>
      <c r="BV78" s="43"/>
      <c r="BW78" s="1436"/>
      <c r="BX78" s="1437"/>
      <c r="BY78" s="1437"/>
      <c r="BZ78" s="1183"/>
      <c r="CA78" s="1183"/>
      <c r="CB78" s="1183"/>
      <c r="CC78" s="1183"/>
      <c r="CD78" s="484"/>
      <c r="CE78" s="484"/>
      <c r="CF78" s="484"/>
      <c r="CG78" s="484"/>
      <c r="CH78" s="484"/>
      <c r="CI78" s="484"/>
      <c r="CJ78" s="484"/>
      <c r="CK78" s="484"/>
      <c r="CL78" s="484"/>
      <c r="CM78" s="484"/>
      <c r="CN78" s="1183"/>
      <c r="CO78" s="1183"/>
      <c r="CP78" s="1183"/>
      <c r="CQ78" s="1183"/>
      <c r="CR78" s="1183"/>
      <c r="CS78" s="1183"/>
      <c r="CT78" s="1183"/>
      <c r="CU78" s="1183"/>
      <c r="CV78" s="1183"/>
      <c r="CW78" s="1183"/>
      <c r="CX78" s="1183"/>
      <c r="CY78" s="1183"/>
      <c r="CZ78" s="1183"/>
      <c r="DA78" s="1183"/>
      <c r="DB78" s="1183"/>
      <c r="DC78" s="1183"/>
      <c r="DD78" s="1183"/>
      <c r="DE78" s="1183"/>
      <c r="DF78" s="1183"/>
      <c r="DG78" s="1183"/>
      <c r="DH78" s="1183"/>
      <c r="DI78" s="1183"/>
      <c r="DJ78" s="1183"/>
      <c r="DK78" s="1183"/>
      <c r="DL78" s="1183"/>
      <c r="DM78" s="1183"/>
      <c r="DN78" s="1183"/>
      <c r="DO78" s="1183"/>
      <c r="DP78" s="1183"/>
      <c r="DQ78" s="1183"/>
    </row>
    <row r="79" spans="1:121" s="12" customFormat="1" ht="12" customHeight="1" x14ac:dyDescent="0.35">
      <c r="A79" s="1478"/>
      <c r="B79" s="1478"/>
      <c r="C79" s="1478"/>
      <c r="D79" s="1478"/>
      <c r="E79" s="1477"/>
      <c r="F79" s="1477"/>
      <c r="G79" s="1478"/>
      <c r="H79" s="1525" t="s">
        <v>393</v>
      </c>
      <c r="I79" s="1517">
        <f t="shared" ref="I79:AN79" si="57">IF(MAX($I$12:$BP$12)=I$12,I$12,NA())</f>
        <v>0</v>
      </c>
      <c r="J79" s="1517">
        <f t="shared" si="57"/>
        <v>0</v>
      </c>
      <c r="K79" s="1517">
        <f t="shared" si="57"/>
        <v>0</v>
      </c>
      <c r="L79" s="1517">
        <f t="shared" si="57"/>
        <v>0</v>
      </c>
      <c r="M79" s="1517">
        <f t="shared" si="57"/>
        <v>0</v>
      </c>
      <c r="N79" s="1517">
        <f t="shared" si="57"/>
        <v>0</v>
      </c>
      <c r="O79" s="1517">
        <f t="shared" si="57"/>
        <v>0</v>
      </c>
      <c r="P79" s="1517">
        <f t="shared" si="57"/>
        <v>0</v>
      </c>
      <c r="Q79" s="1517">
        <f t="shared" si="57"/>
        <v>0</v>
      </c>
      <c r="R79" s="1517">
        <f t="shared" si="57"/>
        <v>0</v>
      </c>
      <c r="S79" s="1517">
        <f t="shared" si="57"/>
        <v>0</v>
      </c>
      <c r="T79" s="1517">
        <f t="shared" si="57"/>
        <v>0</v>
      </c>
      <c r="U79" s="1517">
        <f t="shared" si="57"/>
        <v>0</v>
      </c>
      <c r="V79" s="1517">
        <f t="shared" si="57"/>
        <v>0</v>
      </c>
      <c r="W79" s="1517">
        <f t="shared" si="57"/>
        <v>0</v>
      </c>
      <c r="X79" s="1517">
        <f t="shared" si="57"/>
        <v>0</v>
      </c>
      <c r="Y79" s="1517">
        <f t="shared" si="57"/>
        <v>0</v>
      </c>
      <c r="Z79" s="1517">
        <f t="shared" si="57"/>
        <v>0</v>
      </c>
      <c r="AA79" s="1517">
        <f t="shared" si="57"/>
        <v>0</v>
      </c>
      <c r="AB79" s="1517">
        <f t="shared" si="57"/>
        <v>0</v>
      </c>
      <c r="AC79" s="1517">
        <f t="shared" si="57"/>
        <v>0</v>
      </c>
      <c r="AD79" s="1517">
        <f t="shared" si="57"/>
        <v>0</v>
      </c>
      <c r="AE79" s="1517">
        <f t="shared" si="57"/>
        <v>0</v>
      </c>
      <c r="AF79" s="1517">
        <f t="shared" si="57"/>
        <v>0</v>
      </c>
      <c r="AG79" s="1517">
        <f t="shared" si="57"/>
        <v>0</v>
      </c>
      <c r="AH79" s="1517">
        <f t="shared" si="57"/>
        <v>0</v>
      </c>
      <c r="AI79" s="1517">
        <f t="shared" si="57"/>
        <v>0</v>
      </c>
      <c r="AJ79" s="1517">
        <f t="shared" si="57"/>
        <v>0</v>
      </c>
      <c r="AK79" s="1517">
        <f t="shared" si="57"/>
        <v>0</v>
      </c>
      <c r="AL79" s="1517">
        <f t="shared" si="57"/>
        <v>0</v>
      </c>
      <c r="AM79" s="1517">
        <f t="shared" si="57"/>
        <v>0</v>
      </c>
      <c r="AN79" s="1517">
        <f t="shared" si="57"/>
        <v>0</v>
      </c>
      <c r="AO79" s="1517">
        <f t="shared" ref="AO79:BP79" si="58">IF(MAX($I$12:$BP$12)=AO$12,AO$12,NA())</f>
        <v>0</v>
      </c>
      <c r="AP79" s="1517">
        <f t="shared" si="58"/>
        <v>0</v>
      </c>
      <c r="AQ79" s="1517">
        <f t="shared" si="58"/>
        <v>0</v>
      </c>
      <c r="AR79" s="1517">
        <f t="shared" si="58"/>
        <v>0</v>
      </c>
      <c r="AS79" s="1517">
        <f t="shared" si="58"/>
        <v>0</v>
      </c>
      <c r="AT79" s="1517">
        <f t="shared" si="58"/>
        <v>0</v>
      </c>
      <c r="AU79" s="1517">
        <f t="shared" si="58"/>
        <v>0</v>
      </c>
      <c r="AV79" s="1517">
        <f t="shared" si="58"/>
        <v>0</v>
      </c>
      <c r="AW79" s="1517">
        <f t="shared" si="58"/>
        <v>0</v>
      </c>
      <c r="AX79" s="1517">
        <f t="shared" si="58"/>
        <v>0</v>
      </c>
      <c r="AY79" s="1517">
        <f t="shared" si="58"/>
        <v>0</v>
      </c>
      <c r="AZ79" s="1517">
        <f t="shared" si="58"/>
        <v>0</v>
      </c>
      <c r="BA79" s="1517">
        <f t="shared" si="58"/>
        <v>0</v>
      </c>
      <c r="BB79" s="1517">
        <f t="shared" si="58"/>
        <v>0</v>
      </c>
      <c r="BC79" s="1517">
        <f t="shared" si="58"/>
        <v>0</v>
      </c>
      <c r="BD79" s="1517">
        <f t="shared" si="58"/>
        <v>0</v>
      </c>
      <c r="BE79" s="1517">
        <f t="shared" si="58"/>
        <v>0</v>
      </c>
      <c r="BF79" s="1517">
        <f t="shared" si="58"/>
        <v>0</v>
      </c>
      <c r="BG79" s="1517">
        <f t="shared" si="58"/>
        <v>0</v>
      </c>
      <c r="BH79" s="1517">
        <f t="shared" si="58"/>
        <v>0</v>
      </c>
      <c r="BI79" s="1517">
        <f t="shared" si="58"/>
        <v>0</v>
      </c>
      <c r="BJ79" s="1517">
        <f t="shared" si="58"/>
        <v>0</v>
      </c>
      <c r="BK79" s="1517">
        <f t="shared" si="58"/>
        <v>0</v>
      </c>
      <c r="BL79" s="1517">
        <f t="shared" si="58"/>
        <v>0</v>
      </c>
      <c r="BM79" s="1517">
        <f t="shared" si="58"/>
        <v>0</v>
      </c>
      <c r="BN79" s="1517">
        <f t="shared" si="58"/>
        <v>0</v>
      </c>
      <c r="BO79" s="1517">
        <f t="shared" si="58"/>
        <v>0</v>
      </c>
      <c r="BP79" s="1517">
        <f t="shared" si="58"/>
        <v>0</v>
      </c>
      <c r="BQ79" s="43"/>
      <c r="BR79" s="43"/>
      <c r="BS79" s="43"/>
      <c r="BT79" s="43"/>
      <c r="BU79" s="43"/>
      <c r="BV79" s="43"/>
      <c r="BW79" s="1436"/>
      <c r="BX79" s="1437"/>
      <c r="BY79" s="1437"/>
      <c r="BZ79" s="1183"/>
      <c r="CA79" s="1183"/>
      <c r="CB79" s="1183"/>
      <c r="CC79" s="1183"/>
      <c r="CD79" s="484"/>
      <c r="CE79" s="484"/>
      <c r="CF79" s="484"/>
      <c r="CG79" s="484"/>
      <c r="CH79" s="484"/>
      <c r="CI79" s="484"/>
      <c r="CJ79" s="484"/>
      <c r="CK79" s="484"/>
      <c r="CL79" s="484"/>
      <c r="CM79" s="484"/>
      <c r="CN79" s="1183"/>
      <c r="CO79" s="1183"/>
      <c r="CP79" s="1183"/>
      <c r="CQ79" s="1183"/>
      <c r="CR79" s="1183"/>
      <c r="CS79" s="1183"/>
      <c r="CT79" s="1183"/>
      <c r="CU79" s="1183"/>
      <c r="CV79" s="1183"/>
      <c r="CW79" s="1183"/>
      <c r="CX79" s="1183"/>
      <c r="CY79" s="1183"/>
      <c r="CZ79" s="1183"/>
      <c r="DA79" s="1183"/>
      <c r="DB79" s="1183"/>
      <c r="DC79" s="1183"/>
      <c r="DD79" s="1183"/>
      <c r="DE79" s="1183"/>
      <c r="DF79" s="1183"/>
      <c r="DG79" s="1183"/>
      <c r="DH79" s="1183"/>
      <c r="DI79" s="1183"/>
      <c r="DJ79" s="1183"/>
      <c r="DK79" s="1183"/>
      <c r="DL79" s="1183"/>
      <c r="DM79" s="1183"/>
      <c r="DN79" s="1183"/>
      <c r="DO79" s="1183"/>
      <c r="DP79" s="1183"/>
      <c r="DQ79" s="1183"/>
    </row>
    <row r="80" spans="1:121" s="12" customFormat="1" ht="12" customHeight="1" x14ac:dyDescent="0.35">
      <c r="A80" s="1489" t="s">
        <v>58</v>
      </c>
      <c r="B80" s="1477"/>
      <c r="C80" s="1476"/>
      <c r="D80" s="1477"/>
      <c r="E80" s="1477"/>
      <c r="F80" s="1477"/>
      <c r="G80" s="1478"/>
      <c r="H80" s="1525" t="s">
        <v>394</v>
      </c>
      <c r="I80" s="1517">
        <f t="shared" ref="I80:AN80" si="59">IF(MIN($I$12:$BP$12)=I$12,I$12,NA())</f>
        <v>0</v>
      </c>
      <c r="J80" s="1517">
        <f t="shared" si="59"/>
        <v>0</v>
      </c>
      <c r="K80" s="1517">
        <f t="shared" si="59"/>
        <v>0</v>
      </c>
      <c r="L80" s="1517">
        <f t="shared" si="59"/>
        <v>0</v>
      </c>
      <c r="M80" s="1517">
        <f t="shared" si="59"/>
        <v>0</v>
      </c>
      <c r="N80" s="1517">
        <f t="shared" si="59"/>
        <v>0</v>
      </c>
      <c r="O80" s="1517">
        <f t="shared" si="59"/>
        <v>0</v>
      </c>
      <c r="P80" s="1517">
        <f t="shared" si="59"/>
        <v>0</v>
      </c>
      <c r="Q80" s="1517">
        <f t="shared" si="59"/>
        <v>0</v>
      </c>
      <c r="R80" s="1517">
        <f t="shared" si="59"/>
        <v>0</v>
      </c>
      <c r="S80" s="1517">
        <f t="shared" si="59"/>
        <v>0</v>
      </c>
      <c r="T80" s="1517">
        <f t="shared" si="59"/>
        <v>0</v>
      </c>
      <c r="U80" s="1517">
        <f t="shared" si="59"/>
        <v>0</v>
      </c>
      <c r="V80" s="1517">
        <f t="shared" si="59"/>
        <v>0</v>
      </c>
      <c r="W80" s="1517">
        <f t="shared" si="59"/>
        <v>0</v>
      </c>
      <c r="X80" s="1517">
        <f t="shared" si="59"/>
        <v>0</v>
      </c>
      <c r="Y80" s="1517">
        <f t="shared" si="59"/>
        <v>0</v>
      </c>
      <c r="Z80" s="1517">
        <f t="shared" si="59"/>
        <v>0</v>
      </c>
      <c r="AA80" s="1517">
        <f t="shared" si="59"/>
        <v>0</v>
      </c>
      <c r="AB80" s="1517">
        <f t="shared" si="59"/>
        <v>0</v>
      </c>
      <c r="AC80" s="1517">
        <f t="shared" si="59"/>
        <v>0</v>
      </c>
      <c r="AD80" s="1517">
        <f t="shared" si="59"/>
        <v>0</v>
      </c>
      <c r="AE80" s="1517">
        <f t="shared" si="59"/>
        <v>0</v>
      </c>
      <c r="AF80" s="1517">
        <f t="shared" si="59"/>
        <v>0</v>
      </c>
      <c r="AG80" s="1517">
        <f t="shared" si="59"/>
        <v>0</v>
      </c>
      <c r="AH80" s="1517">
        <f t="shared" si="59"/>
        <v>0</v>
      </c>
      <c r="AI80" s="1517">
        <f t="shared" si="59"/>
        <v>0</v>
      </c>
      <c r="AJ80" s="1517">
        <f t="shared" si="59"/>
        <v>0</v>
      </c>
      <c r="AK80" s="1517">
        <f t="shared" si="59"/>
        <v>0</v>
      </c>
      <c r="AL80" s="1517">
        <f t="shared" si="59"/>
        <v>0</v>
      </c>
      <c r="AM80" s="1517">
        <f t="shared" si="59"/>
        <v>0</v>
      </c>
      <c r="AN80" s="1517">
        <f t="shared" si="59"/>
        <v>0</v>
      </c>
      <c r="AO80" s="1517">
        <f t="shared" ref="AO80:BP80" si="60">IF(MIN($I$12:$BP$12)=AO$12,AO$12,NA())</f>
        <v>0</v>
      </c>
      <c r="AP80" s="1517">
        <f t="shared" si="60"/>
        <v>0</v>
      </c>
      <c r="AQ80" s="1517">
        <f t="shared" si="60"/>
        <v>0</v>
      </c>
      <c r="AR80" s="1517">
        <f t="shared" si="60"/>
        <v>0</v>
      </c>
      <c r="AS80" s="1517">
        <f t="shared" si="60"/>
        <v>0</v>
      </c>
      <c r="AT80" s="1517">
        <f t="shared" si="60"/>
        <v>0</v>
      </c>
      <c r="AU80" s="1517">
        <f t="shared" si="60"/>
        <v>0</v>
      </c>
      <c r="AV80" s="1517">
        <f t="shared" si="60"/>
        <v>0</v>
      </c>
      <c r="AW80" s="1517">
        <f t="shared" si="60"/>
        <v>0</v>
      </c>
      <c r="AX80" s="1517">
        <f t="shared" si="60"/>
        <v>0</v>
      </c>
      <c r="AY80" s="1517">
        <f t="shared" si="60"/>
        <v>0</v>
      </c>
      <c r="AZ80" s="1517">
        <f t="shared" si="60"/>
        <v>0</v>
      </c>
      <c r="BA80" s="1517">
        <f t="shared" si="60"/>
        <v>0</v>
      </c>
      <c r="BB80" s="1517">
        <f t="shared" si="60"/>
        <v>0</v>
      </c>
      <c r="BC80" s="1517">
        <f t="shared" si="60"/>
        <v>0</v>
      </c>
      <c r="BD80" s="1517">
        <f t="shared" si="60"/>
        <v>0</v>
      </c>
      <c r="BE80" s="1517">
        <f t="shared" si="60"/>
        <v>0</v>
      </c>
      <c r="BF80" s="1517">
        <f t="shared" si="60"/>
        <v>0</v>
      </c>
      <c r="BG80" s="1517">
        <f t="shared" si="60"/>
        <v>0</v>
      </c>
      <c r="BH80" s="1517">
        <f t="shared" si="60"/>
        <v>0</v>
      </c>
      <c r="BI80" s="1517">
        <f t="shared" si="60"/>
        <v>0</v>
      </c>
      <c r="BJ80" s="1517">
        <f t="shared" si="60"/>
        <v>0</v>
      </c>
      <c r="BK80" s="1517">
        <f t="shared" si="60"/>
        <v>0</v>
      </c>
      <c r="BL80" s="1517">
        <f t="shared" si="60"/>
        <v>0</v>
      </c>
      <c r="BM80" s="1517">
        <f t="shared" si="60"/>
        <v>0</v>
      </c>
      <c r="BN80" s="1517">
        <f t="shared" si="60"/>
        <v>0</v>
      </c>
      <c r="BO80" s="1517">
        <f t="shared" si="60"/>
        <v>0</v>
      </c>
      <c r="BP80" s="1517">
        <f t="shared" si="60"/>
        <v>0</v>
      </c>
      <c r="BQ80" s="43"/>
      <c r="BR80" s="43"/>
      <c r="BS80" s="43"/>
      <c r="BT80" s="43"/>
      <c r="BU80" s="43"/>
      <c r="BV80" s="43"/>
      <c r="BW80" s="1436"/>
      <c r="BX80" s="1437"/>
      <c r="BY80" s="1437"/>
      <c r="BZ80" s="1183"/>
      <c r="CA80" s="1183"/>
      <c r="CB80" s="1183"/>
      <c r="CC80" s="1183"/>
      <c r="CD80" s="484"/>
      <c r="CE80" s="484"/>
      <c r="CF80" s="484"/>
      <c r="CG80" s="484"/>
      <c r="CH80" s="484"/>
      <c r="CI80" s="484"/>
      <c r="CJ80" s="484"/>
      <c r="CK80" s="484"/>
      <c r="CL80" s="484"/>
      <c r="CM80" s="484"/>
      <c r="CN80" s="1183"/>
      <c r="CO80" s="1183"/>
      <c r="CP80" s="1183"/>
      <c r="CQ80" s="1183"/>
      <c r="CR80" s="1183"/>
      <c r="CS80" s="1183"/>
      <c r="CT80" s="1183"/>
      <c r="CU80" s="1183"/>
      <c r="CV80" s="1183"/>
      <c r="CW80" s="1183"/>
      <c r="CX80" s="1183"/>
      <c r="CY80" s="1183"/>
      <c r="CZ80" s="1183"/>
      <c r="DA80" s="1183"/>
      <c r="DB80" s="1183"/>
      <c r="DC80" s="1183"/>
      <c r="DD80" s="1183"/>
      <c r="DE80" s="1183"/>
      <c r="DF80" s="1183"/>
      <c r="DG80" s="1183"/>
      <c r="DH80" s="1183"/>
      <c r="DI80" s="1183"/>
      <c r="DJ80" s="1183"/>
      <c r="DK80" s="1183"/>
      <c r="DL80" s="1183"/>
      <c r="DM80" s="1183"/>
      <c r="DN80" s="1183"/>
      <c r="DO80" s="1183"/>
      <c r="DP80" s="1183"/>
      <c r="DQ80" s="1183"/>
    </row>
    <row r="81" spans="1:126" s="12" customFormat="1" ht="12" customHeight="1" x14ac:dyDescent="0.35">
      <c r="A81" s="1476" t="s">
        <v>366</v>
      </c>
      <c r="B81" s="1504">
        <f>SUMIF($I$2:$BP$2,B$23,$W$490:$CD$490)</f>
        <v>0</v>
      </c>
      <c r="C81" s="1504">
        <f>SUMIF($I$2:$BP$2,C$23,$W$490:$CD$490)</f>
        <v>0</v>
      </c>
      <c r="D81" s="1504">
        <f>SUMIF($I$2:$BP$2,D$23,$W$490:$CD$490)</f>
        <v>0</v>
      </c>
      <c r="E81" s="1477"/>
      <c r="F81" s="1477"/>
      <c r="G81" s="1478"/>
      <c r="H81" s="1525"/>
      <c r="I81" s="1516"/>
      <c r="J81" s="1516"/>
      <c r="K81" s="1516"/>
      <c r="L81" s="1516"/>
      <c r="M81" s="1516"/>
      <c r="N81" s="1516"/>
      <c r="O81" s="1516"/>
      <c r="P81" s="1516"/>
      <c r="Q81" s="1516"/>
      <c r="R81" s="1516"/>
      <c r="S81" s="1516"/>
      <c r="T81" s="1516"/>
      <c r="U81" s="1516"/>
      <c r="V81" s="1516"/>
      <c r="W81" s="1516"/>
      <c r="X81" s="1516"/>
      <c r="Y81" s="1516"/>
      <c r="Z81" s="1516"/>
      <c r="AA81" s="1516"/>
      <c r="AB81" s="1516"/>
      <c r="AC81" s="1516"/>
      <c r="AD81" s="1516"/>
      <c r="AE81" s="1516"/>
      <c r="AF81" s="1517"/>
      <c r="AG81" s="1517"/>
      <c r="AH81" s="1517"/>
      <c r="AI81" s="1517"/>
      <c r="AJ81" s="1517"/>
      <c r="AK81" s="1517"/>
      <c r="AL81" s="1517"/>
      <c r="AM81" s="1517"/>
      <c r="AN81" s="1517"/>
      <c r="AO81" s="1517"/>
      <c r="AP81" s="1517"/>
      <c r="AQ81" s="1517"/>
      <c r="AR81" s="1517"/>
      <c r="AS81" s="1517"/>
      <c r="AT81" s="1517"/>
      <c r="AU81" s="1517"/>
      <c r="AV81" s="1517"/>
      <c r="AW81" s="1517"/>
      <c r="AX81" s="1517"/>
      <c r="AY81" s="1517"/>
      <c r="AZ81" s="1517"/>
      <c r="BA81" s="1517"/>
      <c r="BB81" s="1517"/>
      <c r="BC81" s="1517"/>
      <c r="BD81" s="1517"/>
      <c r="BE81" s="1517"/>
      <c r="BF81" s="1517"/>
      <c r="BG81" s="1517"/>
      <c r="BH81" s="1517"/>
      <c r="BI81" s="1517"/>
      <c r="BJ81" s="1517"/>
      <c r="BK81" s="1517"/>
      <c r="BL81" s="1517"/>
      <c r="BM81" s="1517"/>
      <c r="BN81" s="1517"/>
      <c r="BO81" s="1517"/>
      <c r="BP81" s="1517"/>
      <c r="BQ81" s="43"/>
      <c r="BR81" s="43"/>
      <c r="BS81" s="43"/>
      <c r="BT81" s="43"/>
      <c r="BU81" s="43"/>
      <c r="BV81" s="43"/>
      <c r="BW81" s="1436"/>
      <c r="BX81" s="1437"/>
      <c r="BY81" s="1437"/>
      <c r="BZ81" s="1183"/>
      <c r="CA81" s="1183"/>
      <c r="CB81" s="1183"/>
      <c r="CC81" s="1183"/>
      <c r="CD81" s="484"/>
      <c r="CE81" s="484"/>
      <c r="CF81" s="484"/>
      <c r="CG81" s="484"/>
      <c r="CH81" s="484"/>
      <c r="CI81" s="484"/>
      <c r="CJ81" s="484"/>
      <c r="CK81" s="484"/>
      <c r="CL81" s="484"/>
      <c r="CM81" s="484"/>
      <c r="CN81" s="1183"/>
      <c r="CO81" s="1183"/>
      <c r="CP81" s="1183"/>
      <c r="CQ81" s="1183"/>
      <c r="CR81" s="1183"/>
      <c r="CS81" s="1183"/>
      <c r="CT81" s="1183"/>
      <c r="CU81" s="1183"/>
      <c r="CV81" s="1183"/>
      <c r="CW81" s="1183"/>
      <c r="CX81" s="1183"/>
      <c r="CY81" s="1183"/>
      <c r="CZ81" s="1183"/>
      <c r="DA81" s="1183"/>
      <c r="DB81" s="1183"/>
      <c r="DC81" s="1183"/>
      <c r="DD81" s="1183"/>
      <c r="DE81" s="1183"/>
      <c r="DF81" s="1183"/>
      <c r="DG81" s="1183"/>
      <c r="DH81" s="1183"/>
      <c r="DI81" s="1183"/>
      <c r="DJ81" s="1183"/>
      <c r="DK81" s="1183"/>
      <c r="DL81" s="1183"/>
      <c r="DM81" s="1183"/>
      <c r="DN81" s="1183"/>
      <c r="DO81" s="1183"/>
      <c r="DP81" s="1183"/>
      <c r="DQ81" s="1183"/>
      <c r="DR81" s="1804"/>
      <c r="DS81" s="1804"/>
      <c r="DT81" s="1804"/>
      <c r="DU81" s="1804"/>
      <c r="DV81" s="1804"/>
    </row>
    <row r="82" spans="1:126" s="12" customFormat="1" ht="12" customHeight="1" x14ac:dyDescent="0.35">
      <c r="A82" s="1476" t="s">
        <v>368</v>
      </c>
      <c r="B82" s="1504">
        <f>SUMIF($I$2:$BP$2,"&lt;="&amp;B$23,$W$490:$CD$490)</f>
        <v>0</v>
      </c>
      <c r="C82" s="1504">
        <f>SUMIF($I$2:$BP$2,"&lt;="&amp;C$23,$W$490:$CD$490)</f>
        <v>0</v>
      </c>
      <c r="D82" s="1504">
        <f>SUMIF($I$2:$BP$2,"&lt;="&amp;D$23,$W$490:$CD$490)</f>
        <v>0</v>
      </c>
      <c r="E82" s="1477"/>
      <c r="F82" s="1477"/>
      <c r="G82" s="1478"/>
      <c r="H82" s="1525"/>
      <c r="I82" s="1525"/>
      <c r="J82" s="1525"/>
      <c r="K82" s="1525"/>
      <c r="L82" s="1525"/>
      <c r="M82" s="1525"/>
      <c r="N82" s="1525"/>
      <c r="O82" s="1525"/>
      <c r="P82" s="1525"/>
      <c r="Q82" s="1525"/>
      <c r="R82" s="1525"/>
      <c r="S82" s="1525"/>
      <c r="T82" s="1525"/>
      <c r="U82" s="1525"/>
      <c r="V82" s="1525"/>
      <c r="W82" s="1525"/>
      <c r="X82" s="1525"/>
      <c r="Y82" s="1525"/>
      <c r="Z82" s="1525"/>
      <c r="AA82" s="1525"/>
      <c r="AB82" s="1525"/>
      <c r="AC82" s="1525"/>
      <c r="AD82" s="1525"/>
      <c r="AE82" s="1525"/>
      <c r="AF82" s="1525"/>
      <c r="AG82" s="1525"/>
      <c r="AH82" s="1525"/>
      <c r="AI82" s="1525"/>
      <c r="AJ82" s="1525"/>
      <c r="AK82" s="1525"/>
      <c r="AL82" s="1525"/>
      <c r="AM82" s="1525"/>
      <c r="AN82" s="1525"/>
      <c r="AO82" s="1525"/>
      <c r="AP82" s="1525"/>
      <c r="AQ82" s="1525"/>
      <c r="AR82" s="1525"/>
      <c r="AS82" s="1525"/>
      <c r="AT82" s="1525"/>
      <c r="AU82" s="1525"/>
      <c r="AV82" s="1525"/>
      <c r="AW82" s="1525"/>
      <c r="AX82" s="1525"/>
      <c r="AY82" s="1525"/>
      <c r="AZ82" s="1525"/>
      <c r="BA82" s="1525"/>
      <c r="BB82" s="1525"/>
      <c r="BC82" s="1525"/>
      <c r="BD82" s="1525"/>
      <c r="BE82" s="1525"/>
      <c r="BF82" s="1525"/>
      <c r="BG82" s="1525"/>
      <c r="BH82" s="1525"/>
      <c r="BI82" s="1525"/>
      <c r="BJ82" s="1525"/>
      <c r="BK82" s="1525"/>
      <c r="BL82" s="1525"/>
      <c r="BM82" s="1525"/>
      <c r="BN82" s="1525"/>
      <c r="BO82" s="1525"/>
      <c r="BP82" s="1525"/>
      <c r="BQ82" s="680"/>
      <c r="BR82" s="680"/>
      <c r="BS82" s="680"/>
      <c r="BT82" s="680"/>
      <c r="BU82" s="680"/>
      <c r="BV82" s="680"/>
      <c r="BW82" s="680"/>
      <c r="BX82" s="680"/>
      <c r="BY82" s="680"/>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row>
    <row r="83" spans="1:126" s="12" customFormat="1" ht="12" customHeight="1" x14ac:dyDescent="0.35">
      <c r="A83" s="1478"/>
      <c r="B83" s="1478"/>
      <c r="C83" s="1478"/>
      <c r="D83" s="1478"/>
      <c r="E83" s="1477"/>
      <c r="F83" s="1477"/>
      <c r="G83" s="1478"/>
      <c r="H83" s="1479"/>
      <c r="I83" s="1518">
        <f>I76</f>
        <v>0</v>
      </c>
      <c r="J83" s="1518">
        <f t="shared" ref="J83:BP83" si="61">J76</f>
        <v>59</v>
      </c>
      <c r="K83" s="1518">
        <f t="shared" si="61"/>
        <v>91</v>
      </c>
      <c r="L83" s="1518">
        <f t="shared" si="61"/>
        <v>121</v>
      </c>
      <c r="M83" s="1518">
        <f t="shared" si="61"/>
        <v>152</v>
      </c>
      <c r="N83" s="1518">
        <f t="shared" si="61"/>
        <v>182</v>
      </c>
      <c r="O83" s="1518">
        <f t="shared" si="61"/>
        <v>213</v>
      </c>
      <c r="P83" s="1518">
        <f t="shared" si="61"/>
        <v>244</v>
      </c>
      <c r="Q83" s="1518">
        <f t="shared" si="61"/>
        <v>274</v>
      </c>
      <c r="R83" s="1518">
        <f t="shared" si="61"/>
        <v>305</v>
      </c>
      <c r="S83" s="1518">
        <f t="shared" si="61"/>
        <v>335</v>
      </c>
      <c r="T83" s="1518">
        <f t="shared" si="61"/>
        <v>366</v>
      </c>
      <c r="U83" s="1518">
        <f t="shared" si="61"/>
        <v>397</v>
      </c>
      <c r="V83" s="1518">
        <f t="shared" si="61"/>
        <v>425</v>
      </c>
      <c r="W83" s="1518">
        <f t="shared" si="61"/>
        <v>456</v>
      </c>
      <c r="X83" s="1518">
        <f t="shared" si="61"/>
        <v>486</v>
      </c>
      <c r="Y83" s="1518">
        <f t="shared" si="61"/>
        <v>517</v>
      </c>
      <c r="Z83" s="1518">
        <f t="shared" si="61"/>
        <v>547</v>
      </c>
      <c r="AA83" s="1518">
        <f t="shared" si="61"/>
        <v>578</v>
      </c>
      <c r="AB83" s="1518">
        <f t="shared" si="61"/>
        <v>609</v>
      </c>
      <c r="AC83" s="1518">
        <f t="shared" si="61"/>
        <v>639</v>
      </c>
      <c r="AD83" s="1518">
        <f t="shared" si="61"/>
        <v>670</v>
      </c>
      <c r="AE83" s="1518">
        <f t="shared" si="61"/>
        <v>700</v>
      </c>
      <c r="AF83" s="1518">
        <f t="shared" si="61"/>
        <v>731</v>
      </c>
      <c r="AG83" s="1518">
        <f t="shared" si="61"/>
        <v>762</v>
      </c>
      <c r="AH83" s="1518">
        <f t="shared" si="61"/>
        <v>790</v>
      </c>
      <c r="AI83" s="1518">
        <f t="shared" si="61"/>
        <v>821</v>
      </c>
      <c r="AJ83" s="1518">
        <f t="shared" si="61"/>
        <v>851</v>
      </c>
      <c r="AK83" s="1518">
        <f t="shared" si="61"/>
        <v>882</v>
      </c>
      <c r="AL83" s="1518">
        <f t="shared" si="61"/>
        <v>912</v>
      </c>
      <c r="AM83" s="1518">
        <f t="shared" si="61"/>
        <v>943</v>
      </c>
      <c r="AN83" s="1518">
        <f t="shared" si="61"/>
        <v>974</v>
      </c>
      <c r="AO83" s="1518">
        <f t="shared" si="61"/>
        <v>1004</v>
      </c>
      <c r="AP83" s="1518">
        <f t="shared" si="61"/>
        <v>1035</v>
      </c>
      <c r="AQ83" s="1518">
        <f t="shared" si="61"/>
        <v>1065</v>
      </c>
      <c r="AR83" s="1518">
        <f t="shared" si="61"/>
        <v>1096</v>
      </c>
      <c r="AS83" s="1518">
        <f t="shared" si="61"/>
        <v>1127</v>
      </c>
      <c r="AT83" s="1518">
        <f t="shared" si="61"/>
        <v>1155</v>
      </c>
      <c r="AU83" s="1518">
        <f t="shared" si="61"/>
        <v>1186</v>
      </c>
      <c r="AV83" s="1518">
        <f t="shared" si="61"/>
        <v>1216</v>
      </c>
      <c r="AW83" s="1518">
        <f t="shared" si="61"/>
        <v>1247</v>
      </c>
      <c r="AX83" s="1518">
        <f t="shared" si="61"/>
        <v>1277</v>
      </c>
      <c r="AY83" s="1518">
        <f t="shared" si="61"/>
        <v>1308</v>
      </c>
      <c r="AZ83" s="1518">
        <f t="shared" si="61"/>
        <v>1339</v>
      </c>
      <c r="BA83" s="1518">
        <f t="shared" si="61"/>
        <v>1369</v>
      </c>
      <c r="BB83" s="1518">
        <f t="shared" si="61"/>
        <v>1400</v>
      </c>
      <c r="BC83" s="1518">
        <f t="shared" si="61"/>
        <v>1430</v>
      </c>
      <c r="BD83" s="1518">
        <f t="shared" si="61"/>
        <v>1461</v>
      </c>
      <c r="BE83" s="1518">
        <f t="shared" si="61"/>
        <v>1492</v>
      </c>
      <c r="BF83" s="1518">
        <f t="shared" si="61"/>
        <v>1521</v>
      </c>
      <c r="BG83" s="1518">
        <f t="shared" si="61"/>
        <v>1552</v>
      </c>
      <c r="BH83" s="1518">
        <f t="shared" si="61"/>
        <v>1582</v>
      </c>
      <c r="BI83" s="1518">
        <f t="shared" si="61"/>
        <v>1613</v>
      </c>
      <c r="BJ83" s="1518">
        <f t="shared" si="61"/>
        <v>1643</v>
      </c>
      <c r="BK83" s="1518">
        <f t="shared" si="61"/>
        <v>1674</v>
      </c>
      <c r="BL83" s="1518">
        <f t="shared" si="61"/>
        <v>1705</v>
      </c>
      <c r="BM83" s="1518">
        <f t="shared" si="61"/>
        <v>1735</v>
      </c>
      <c r="BN83" s="1518">
        <f t="shared" si="61"/>
        <v>1766</v>
      </c>
      <c r="BO83" s="1518">
        <f t="shared" si="61"/>
        <v>1796</v>
      </c>
      <c r="BP83" s="1518">
        <f t="shared" si="61"/>
        <v>1827</v>
      </c>
      <c r="BQ83" s="680"/>
      <c r="BR83" s="680"/>
      <c r="BS83" s="680"/>
      <c r="BT83" s="680"/>
      <c r="BU83" s="680"/>
      <c r="BV83" s="680"/>
      <c r="BW83" s="680"/>
      <c r="BX83" s="680"/>
      <c r="BY83" s="680"/>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row>
    <row r="84" spans="1:126" s="12" customFormat="1" ht="12" customHeight="1" x14ac:dyDescent="0.35">
      <c r="A84" s="1489" t="s">
        <v>150</v>
      </c>
      <c r="B84" s="1477"/>
      <c r="C84" s="1476"/>
      <c r="D84" s="1477"/>
      <c r="E84" s="1477"/>
      <c r="F84" s="1477"/>
      <c r="G84" s="1478"/>
      <c r="H84" s="1525" t="s">
        <v>391</v>
      </c>
      <c r="I84" s="1517">
        <f>IF(I36&gt;=0,I36,NA())</f>
        <v>0</v>
      </c>
      <c r="J84" s="1517">
        <f t="shared" ref="J84:BP84" si="62">IF(J36&gt;=0,J36,NA())</f>
        <v>0</v>
      </c>
      <c r="K84" s="1517">
        <f t="shared" si="62"/>
        <v>0</v>
      </c>
      <c r="L84" s="1517">
        <f t="shared" si="62"/>
        <v>0</v>
      </c>
      <c r="M84" s="1517">
        <f t="shared" si="62"/>
        <v>0</v>
      </c>
      <c r="N84" s="1517">
        <f t="shared" si="62"/>
        <v>0</v>
      </c>
      <c r="O84" s="1517">
        <f t="shared" si="62"/>
        <v>0</v>
      </c>
      <c r="P84" s="1517">
        <f t="shared" si="62"/>
        <v>0</v>
      </c>
      <c r="Q84" s="1517">
        <f t="shared" si="62"/>
        <v>0</v>
      </c>
      <c r="R84" s="1517">
        <f t="shared" si="62"/>
        <v>0</v>
      </c>
      <c r="S84" s="1517">
        <f t="shared" si="62"/>
        <v>0</v>
      </c>
      <c r="T84" s="1517">
        <f t="shared" si="62"/>
        <v>0</v>
      </c>
      <c r="U84" s="1517">
        <f t="shared" si="62"/>
        <v>0</v>
      </c>
      <c r="V84" s="1517">
        <f t="shared" si="62"/>
        <v>0</v>
      </c>
      <c r="W84" s="1517">
        <f t="shared" si="62"/>
        <v>0</v>
      </c>
      <c r="X84" s="1517">
        <f t="shared" si="62"/>
        <v>0</v>
      </c>
      <c r="Y84" s="1517">
        <f t="shared" si="62"/>
        <v>0</v>
      </c>
      <c r="Z84" s="1517">
        <f t="shared" si="62"/>
        <v>0</v>
      </c>
      <c r="AA84" s="1517">
        <f t="shared" si="62"/>
        <v>0</v>
      </c>
      <c r="AB84" s="1517">
        <f t="shared" si="62"/>
        <v>0</v>
      </c>
      <c r="AC84" s="1517">
        <f t="shared" si="62"/>
        <v>0</v>
      </c>
      <c r="AD84" s="1517">
        <f t="shared" si="62"/>
        <v>0</v>
      </c>
      <c r="AE84" s="1517">
        <f t="shared" si="62"/>
        <v>0</v>
      </c>
      <c r="AF84" s="1517">
        <f t="shared" si="62"/>
        <v>0</v>
      </c>
      <c r="AG84" s="1517">
        <f t="shared" si="62"/>
        <v>0</v>
      </c>
      <c r="AH84" s="1517">
        <f t="shared" si="62"/>
        <v>0</v>
      </c>
      <c r="AI84" s="1517">
        <f t="shared" si="62"/>
        <v>0</v>
      </c>
      <c r="AJ84" s="1517">
        <f t="shared" si="62"/>
        <v>0</v>
      </c>
      <c r="AK84" s="1517">
        <f t="shared" si="62"/>
        <v>0</v>
      </c>
      <c r="AL84" s="1517">
        <f t="shared" si="62"/>
        <v>0</v>
      </c>
      <c r="AM84" s="1517">
        <f t="shared" si="62"/>
        <v>0</v>
      </c>
      <c r="AN84" s="1517">
        <f t="shared" si="62"/>
        <v>0</v>
      </c>
      <c r="AO84" s="1517">
        <f t="shared" si="62"/>
        <v>0</v>
      </c>
      <c r="AP84" s="1517">
        <f t="shared" si="62"/>
        <v>0</v>
      </c>
      <c r="AQ84" s="1517">
        <f t="shared" si="62"/>
        <v>0</v>
      </c>
      <c r="AR84" s="1517">
        <f t="shared" si="62"/>
        <v>0</v>
      </c>
      <c r="AS84" s="1517">
        <f t="shared" si="62"/>
        <v>0</v>
      </c>
      <c r="AT84" s="1517">
        <f t="shared" si="62"/>
        <v>0</v>
      </c>
      <c r="AU84" s="1517">
        <f t="shared" si="62"/>
        <v>0</v>
      </c>
      <c r="AV84" s="1517">
        <f t="shared" si="62"/>
        <v>0</v>
      </c>
      <c r="AW84" s="1517">
        <f t="shared" si="62"/>
        <v>0</v>
      </c>
      <c r="AX84" s="1517">
        <f t="shared" si="62"/>
        <v>0</v>
      </c>
      <c r="AY84" s="1517">
        <f t="shared" si="62"/>
        <v>0</v>
      </c>
      <c r="AZ84" s="1517">
        <f t="shared" si="62"/>
        <v>0</v>
      </c>
      <c r="BA84" s="1517">
        <f t="shared" si="62"/>
        <v>0</v>
      </c>
      <c r="BB84" s="1517">
        <f t="shared" si="62"/>
        <v>0</v>
      </c>
      <c r="BC84" s="1517">
        <f t="shared" si="62"/>
        <v>0</v>
      </c>
      <c r="BD84" s="1517">
        <f t="shared" si="62"/>
        <v>0</v>
      </c>
      <c r="BE84" s="1517">
        <f t="shared" si="62"/>
        <v>0</v>
      </c>
      <c r="BF84" s="1517">
        <f t="shared" si="62"/>
        <v>0</v>
      </c>
      <c r="BG84" s="1517">
        <f t="shared" si="62"/>
        <v>0</v>
      </c>
      <c r="BH84" s="1517">
        <f t="shared" si="62"/>
        <v>0</v>
      </c>
      <c r="BI84" s="1517">
        <f t="shared" si="62"/>
        <v>0</v>
      </c>
      <c r="BJ84" s="1517">
        <f t="shared" si="62"/>
        <v>0</v>
      </c>
      <c r="BK84" s="1517">
        <f t="shared" si="62"/>
        <v>0</v>
      </c>
      <c r="BL84" s="1517">
        <f t="shared" si="62"/>
        <v>0</v>
      </c>
      <c r="BM84" s="1517">
        <f t="shared" si="62"/>
        <v>0</v>
      </c>
      <c r="BN84" s="1517">
        <f t="shared" si="62"/>
        <v>0</v>
      </c>
      <c r="BO84" s="1517">
        <f t="shared" si="62"/>
        <v>0</v>
      </c>
      <c r="BP84" s="1517">
        <f t="shared" si="62"/>
        <v>0</v>
      </c>
      <c r="BQ84" s="680"/>
      <c r="BR84" s="680"/>
      <c r="BS84" s="680"/>
      <c r="BT84" s="680"/>
      <c r="BU84" s="680"/>
      <c r="BV84" s="680"/>
      <c r="BW84" s="680"/>
      <c r="BX84" s="680"/>
      <c r="BY84" s="680"/>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row>
    <row r="85" spans="1:126" s="12" customFormat="1" ht="12" customHeight="1" x14ac:dyDescent="0.35">
      <c r="A85" s="1476" t="s">
        <v>366</v>
      </c>
      <c r="B85" s="1504">
        <f>SUMIF($I$2:$BP$2,B$23,$W$607:$CD$607)</f>
        <v>0</v>
      </c>
      <c r="C85" s="1504">
        <f>SUMIF($I$2:$BP$2,C$23,$W$607:$CD$607)</f>
        <v>0</v>
      </c>
      <c r="D85" s="1504">
        <f>SUMIF($I$2:$BP$2,D$23,$W$607:$CD$607)</f>
        <v>0</v>
      </c>
      <c r="E85" s="1477"/>
      <c r="F85" s="1477"/>
      <c r="G85" s="1478"/>
      <c r="H85" s="1525" t="s">
        <v>392</v>
      </c>
      <c r="I85" s="1516" t="e">
        <f>IF(I36&lt;0,I36,NA())</f>
        <v>#N/A</v>
      </c>
      <c r="J85" s="1516" t="e">
        <f t="shared" ref="J85:BP85" si="63">IF(J36&lt;0,J36,NA())</f>
        <v>#N/A</v>
      </c>
      <c r="K85" s="1516" t="e">
        <f t="shared" si="63"/>
        <v>#N/A</v>
      </c>
      <c r="L85" s="1516" t="e">
        <f t="shared" si="63"/>
        <v>#N/A</v>
      </c>
      <c r="M85" s="1516" t="e">
        <f t="shared" si="63"/>
        <v>#N/A</v>
      </c>
      <c r="N85" s="1516" t="e">
        <f t="shared" si="63"/>
        <v>#N/A</v>
      </c>
      <c r="O85" s="1516" t="e">
        <f t="shared" si="63"/>
        <v>#N/A</v>
      </c>
      <c r="P85" s="1516" t="e">
        <f t="shared" si="63"/>
        <v>#N/A</v>
      </c>
      <c r="Q85" s="1516" t="e">
        <f t="shared" si="63"/>
        <v>#N/A</v>
      </c>
      <c r="R85" s="1516" t="e">
        <f t="shared" si="63"/>
        <v>#N/A</v>
      </c>
      <c r="S85" s="1516" t="e">
        <f t="shared" si="63"/>
        <v>#N/A</v>
      </c>
      <c r="T85" s="1516" t="e">
        <f t="shared" si="63"/>
        <v>#N/A</v>
      </c>
      <c r="U85" s="1516" t="e">
        <f t="shared" si="63"/>
        <v>#N/A</v>
      </c>
      <c r="V85" s="1516" t="e">
        <f t="shared" si="63"/>
        <v>#N/A</v>
      </c>
      <c r="W85" s="1516" t="e">
        <f t="shared" si="63"/>
        <v>#N/A</v>
      </c>
      <c r="X85" s="1516" t="e">
        <f t="shared" si="63"/>
        <v>#N/A</v>
      </c>
      <c r="Y85" s="1516" t="e">
        <f t="shared" si="63"/>
        <v>#N/A</v>
      </c>
      <c r="Z85" s="1516" t="e">
        <f t="shared" si="63"/>
        <v>#N/A</v>
      </c>
      <c r="AA85" s="1516" t="e">
        <f t="shared" si="63"/>
        <v>#N/A</v>
      </c>
      <c r="AB85" s="1516" t="e">
        <f t="shared" si="63"/>
        <v>#N/A</v>
      </c>
      <c r="AC85" s="1516" t="e">
        <f t="shared" si="63"/>
        <v>#N/A</v>
      </c>
      <c r="AD85" s="1516" t="e">
        <f t="shared" si="63"/>
        <v>#N/A</v>
      </c>
      <c r="AE85" s="1516" t="e">
        <f t="shared" si="63"/>
        <v>#N/A</v>
      </c>
      <c r="AF85" s="1516" t="e">
        <f t="shared" si="63"/>
        <v>#N/A</v>
      </c>
      <c r="AG85" s="1516" t="e">
        <f t="shared" si="63"/>
        <v>#N/A</v>
      </c>
      <c r="AH85" s="1516" t="e">
        <f t="shared" si="63"/>
        <v>#N/A</v>
      </c>
      <c r="AI85" s="1516" t="e">
        <f t="shared" si="63"/>
        <v>#N/A</v>
      </c>
      <c r="AJ85" s="1516" t="e">
        <f t="shared" si="63"/>
        <v>#N/A</v>
      </c>
      <c r="AK85" s="1516" t="e">
        <f t="shared" si="63"/>
        <v>#N/A</v>
      </c>
      <c r="AL85" s="1516" t="e">
        <f t="shared" si="63"/>
        <v>#N/A</v>
      </c>
      <c r="AM85" s="1516" t="e">
        <f t="shared" si="63"/>
        <v>#N/A</v>
      </c>
      <c r="AN85" s="1516" t="e">
        <f t="shared" si="63"/>
        <v>#N/A</v>
      </c>
      <c r="AO85" s="1516" t="e">
        <f t="shared" si="63"/>
        <v>#N/A</v>
      </c>
      <c r="AP85" s="1516" t="e">
        <f t="shared" si="63"/>
        <v>#N/A</v>
      </c>
      <c r="AQ85" s="1516" t="e">
        <f t="shared" si="63"/>
        <v>#N/A</v>
      </c>
      <c r="AR85" s="1516" t="e">
        <f t="shared" si="63"/>
        <v>#N/A</v>
      </c>
      <c r="AS85" s="1516" t="e">
        <f t="shared" si="63"/>
        <v>#N/A</v>
      </c>
      <c r="AT85" s="1516" t="e">
        <f t="shared" si="63"/>
        <v>#N/A</v>
      </c>
      <c r="AU85" s="1516" t="e">
        <f t="shared" si="63"/>
        <v>#N/A</v>
      </c>
      <c r="AV85" s="1516" t="e">
        <f t="shared" si="63"/>
        <v>#N/A</v>
      </c>
      <c r="AW85" s="1516" t="e">
        <f t="shared" si="63"/>
        <v>#N/A</v>
      </c>
      <c r="AX85" s="1516" t="e">
        <f t="shared" si="63"/>
        <v>#N/A</v>
      </c>
      <c r="AY85" s="1516" t="e">
        <f t="shared" si="63"/>
        <v>#N/A</v>
      </c>
      <c r="AZ85" s="1516" t="e">
        <f t="shared" si="63"/>
        <v>#N/A</v>
      </c>
      <c r="BA85" s="1516" t="e">
        <f t="shared" si="63"/>
        <v>#N/A</v>
      </c>
      <c r="BB85" s="1516" t="e">
        <f t="shared" si="63"/>
        <v>#N/A</v>
      </c>
      <c r="BC85" s="1516" t="e">
        <f t="shared" si="63"/>
        <v>#N/A</v>
      </c>
      <c r="BD85" s="1516" t="e">
        <f t="shared" si="63"/>
        <v>#N/A</v>
      </c>
      <c r="BE85" s="1516" t="e">
        <f t="shared" si="63"/>
        <v>#N/A</v>
      </c>
      <c r="BF85" s="1516" t="e">
        <f t="shared" si="63"/>
        <v>#N/A</v>
      </c>
      <c r="BG85" s="1516" t="e">
        <f t="shared" si="63"/>
        <v>#N/A</v>
      </c>
      <c r="BH85" s="1516" t="e">
        <f t="shared" si="63"/>
        <v>#N/A</v>
      </c>
      <c r="BI85" s="1516" t="e">
        <f t="shared" si="63"/>
        <v>#N/A</v>
      </c>
      <c r="BJ85" s="1516" t="e">
        <f t="shared" si="63"/>
        <v>#N/A</v>
      </c>
      <c r="BK85" s="1516" t="e">
        <f t="shared" si="63"/>
        <v>#N/A</v>
      </c>
      <c r="BL85" s="1516" t="e">
        <f t="shared" si="63"/>
        <v>#N/A</v>
      </c>
      <c r="BM85" s="1516" t="e">
        <f t="shared" si="63"/>
        <v>#N/A</v>
      </c>
      <c r="BN85" s="1516" t="e">
        <f t="shared" si="63"/>
        <v>#N/A</v>
      </c>
      <c r="BO85" s="1516" t="e">
        <f t="shared" si="63"/>
        <v>#N/A</v>
      </c>
      <c r="BP85" s="1516" t="e">
        <f t="shared" si="63"/>
        <v>#N/A</v>
      </c>
      <c r="BQ85" s="680"/>
      <c r="BR85" s="680"/>
      <c r="BS85" s="680"/>
      <c r="BT85" s="680"/>
      <c r="BU85" s="680"/>
      <c r="BV85" s="680"/>
      <c r="BW85" s="680"/>
      <c r="BX85" s="680"/>
      <c r="BY85" s="680"/>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row>
    <row r="86" spans="1:126" s="12" customFormat="1" ht="12" customHeight="1" x14ac:dyDescent="0.35">
      <c r="A86" s="1476" t="s">
        <v>368</v>
      </c>
      <c r="B86" s="1504">
        <f>SUMIF($I$2:$BP$2,"&lt;="&amp;B$23,$W$607:$CD$607)</f>
        <v>0</v>
      </c>
      <c r="C86" s="1504">
        <f>SUMIF($I$2:$BP$2,"&lt;="&amp;C$23,$W$607:$CD$607)</f>
        <v>0</v>
      </c>
      <c r="D86" s="1504">
        <f>SUMIF($I$2:$BP$2,"&lt;="&amp;D$23,$W$607:$CD$607)</f>
        <v>0</v>
      </c>
      <c r="E86" s="1477"/>
      <c r="F86" s="1477"/>
      <c r="G86" s="1478"/>
      <c r="H86" s="1525" t="s">
        <v>393</v>
      </c>
      <c r="I86" s="1517">
        <f t="shared" ref="I86:AN86" si="64">IF(MAX($I$36:$BP$36)=I$36,I$36,NA())</f>
        <v>0</v>
      </c>
      <c r="J86" s="1517">
        <f t="shared" si="64"/>
        <v>0</v>
      </c>
      <c r="K86" s="1517">
        <f t="shared" si="64"/>
        <v>0</v>
      </c>
      <c r="L86" s="1517">
        <f t="shared" si="64"/>
        <v>0</v>
      </c>
      <c r="M86" s="1517">
        <f t="shared" si="64"/>
        <v>0</v>
      </c>
      <c r="N86" s="1517">
        <f t="shared" si="64"/>
        <v>0</v>
      </c>
      <c r="O86" s="1517">
        <f t="shared" si="64"/>
        <v>0</v>
      </c>
      <c r="P86" s="1517">
        <f t="shared" si="64"/>
        <v>0</v>
      </c>
      <c r="Q86" s="1517">
        <f t="shared" si="64"/>
        <v>0</v>
      </c>
      <c r="R86" s="1517">
        <f t="shared" si="64"/>
        <v>0</v>
      </c>
      <c r="S86" s="1517">
        <f t="shared" si="64"/>
        <v>0</v>
      </c>
      <c r="T86" s="1517">
        <f t="shared" si="64"/>
        <v>0</v>
      </c>
      <c r="U86" s="1517">
        <f t="shared" si="64"/>
        <v>0</v>
      </c>
      <c r="V86" s="1517">
        <f t="shared" si="64"/>
        <v>0</v>
      </c>
      <c r="W86" s="1517">
        <f t="shared" si="64"/>
        <v>0</v>
      </c>
      <c r="X86" s="1517">
        <f t="shared" si="64"/>
        <v>0</v>
      </c>
      <c r="Y86" s="1517">
        <f t="shared" si="64"/>
        <v>0</v>
      </c>
      <c r="Z86" s="1517">
        <f t="shared" si="64"/>
        <v>0</v>
      </c>
      <c r="AA86" s="1517">
        <f t="shared" si="64"/>
        <v>0</v>
      </c>
      <c r="AB86" s="1517">
        <f t="shared" si="64"/>
        <v>0</v>
      </c>
      <c r="AC86" s="1517">
        <f t="shared" si="64"/>
        <v>0</v>
      </c>
      <c r="AD86" s="1517">
        <f t="shared" si="64"/>
        <v>0</v>
      </c>
      <c r="AE86" s="1517">
        <f t="shared" si="64"/>
        <v>0</v>
      </c>
      <c r="AF86" s="1517">
        <f t="shared" si="64"/>
        <v>0</v>
      </c>
      <c r="AG86" s="1517">
        <f t="shared" si="64"/>
        <v>0</v>
      </c>
      <c r="AH86" s="1517">
        <f t="shared" si="64"/>
        <v>0</v>
      </c>
      <c r="AI86" s="1517">
        <f t="shared" si="64"/>
        <v>0</v>
      </c>
      <c r="AJ86" s="1517">
        <f t="shared" si="64"/>
        <v>0</v>
      </c>
      <c r="AK86" s="1517">
        <f t="shared" si="64"/>
        <v>0</v>
      </c>
      <c r="AL86" s="1517">
        <f t="shared" si="64"/>
        <v>0</v>
      </c>
      <c r="AM86" s="1517">
        <f t="shared" si="64"/>
        <v>0</v>
      </c>
      <c r="AN86" s="1517">
        <f t="shared" si="64"/>
        <v>0</v>
      </c>
      <c r="AO86" s="1517">
        <f t="shared" ref="AO86:BP86" si="65">IF(MAX($I$36:$BP$36)=AO$36,AO$36,NA())</f>
        <v>0</v>
      </c>
      <c r="AP86" s="1517">
        <f t="shared" si="65"/>
        <v>0</v>
      </c>
      <c r="AQ86" s="1517">
        <f t="shared" si="65"/>
        <v>0</v>
      </c>
      <c r="AR86" s="1517">
        <f t="shared" si="65"/>
        <v>0</v>
      </c>
      <c r="AS86" s="1517">
        <f t="shared" si="65"/>
        <v>0</v>
      </c>
      <c r="AT86" s="1517">
        <f t="shared" si="65"/>
        <v>0</v>
      </c>
      <c r="AU86" s="1517">
        <f t="shared" si="65"/>
        <v>0</v>
      </c>
      <c r="AV86" s="1517">
        <f t="shared" si="65"/>
        <v>0</v>
      </c>
      <c r="AW86" s="1517">
        <f t="shared" si="65"/>
        <v>0</v>
      </c>
      <c r="AX86" s="1517">
        <f t="shared" si="65"/>
        <v>0</v>
      </c>
      <c r="AY86" s="1517">
        <f t="shared" si="65"/>
        <v>0</v>
      </c>
      <c r="AZ86" s="1517">
        <f t="shared" si="65"/>
        <v>0</v>
      </c>
      <c r="BA86" s="1517">
        <f t="shared" si="65"/>
        <v>0</v>
      </c>
      <c r="BB86" s="1517">
        <f t="shared" si="65"/>
        <v>0</v>
      </c>
      <c r="BC86" s="1517">
        <f t="shared" si="65"/>
        <v>0</v>
      </c>
      <c r="BD86" s="1517">
        <f t="shared" si="65"/>
        <v>0</v>
      </c>
      <c r="BE86" s="1517">
        <f t="shared" si="65"/>
        <v>0</v>
      </c>
      <c r="BF86" s="1517">
        <f t="shared" si="65"/>
        <v>0</v>
      </c>
      <c r="BG86" s="1517">
        <f t="shared" si="65"/>
        <v>0</v>
      </c>
      <c r="BH86" s="1517">
        <f t="shared" si="65"/>
        <v>0</v>
      </c>
      <c r="BI86" s="1517">
        <f t="shared" si="65"/>
        <v>0</v>
      </c>
      <c r="BJ86" s="1517">
        <f t="shared" si="65"/>
        <v>0</v>
      </c>
      <c r="BK86" s="1517">
        <f t="shared" si="65"/>
        <v>0</v>
      </c>
      <c r="BL86" s="1517">
        <f t="shared" si="65"/>
        <v>0</v>
      </c>
      <c r="BM86" s="1517">
        <f t="shared" si="65"/>
        <v>0</v>
      </c>
      <c r="BN86" s="1517">
        <f t="shared" si="65"/>
        <v>0</v>
      </c>
      <c r="BO86" s="1517">
        <f t="shared" si="65"/>
        <v>0</v>
      </c>
      <c r="BP86" s="1517">
        <f t="shared" si="65"/>
        <v>0</v>
      </c>
      <c r="BQ86" s="680"/>
      <c r="BR86" s="680"/>
      <c r="BS86" s="680"/>
      <c r="BT86" s="680"/>
      <c r="BU86" s="680"/>
      <c r="BV86" s="680"/>
      <c r="BW86" s="680"/>
      <c r="BX86" s="680"/>
      <c r="BY86" s="680"/>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row>
    <row r="87" spans="1:126" s="12" customFormat="1" ht="12" customHeight="1" x14ac:dyDescent="0.35">
      <c r="A87" s="1478"/>
      <c r="B87" s="1478"/>
      <c r="C87" s="1478"/>
      <c r="D87" s="1478"/>
      <c r="E87" s="1477"/>
      <c r="F87" s="1477"/>
      <c r="G87" s="1478"/>
      <c r="H87" s="1525" t="s">
        <v>394</v>
      </c>
      <c r="I87" s="1517">
        <f t="shared" ref="I87:AN87" si="66">IF(MIN($I$36:$BP$36)=I$36,I$36,NA())</f>
        <v>0</v>
      </c>
      <c r="J87" s="1517">
        <f t="shared" si="66"/>
        <v>0</v>
      </c>
      <c r="K87" s="1517">
        <f t="shared" si="66"/>
        <v>0</v>
      </c>
      <c r="L87" s="1517">
        <f t="shared" si="66"/>
        <v>0</v>
      </c>
      <c r="M87" s="1517">
        <f t="shared" si="66"/>
        <v>0</v>
      </c>
      <c r="N87" s="1517">
        <f t="shared" si="66"/>
        <v>0</v>
      </c>
      <c r="O87" s="1517">
        <f t="shared" si="66"/>
        <v>0</v>
      </c>
      <c r="P87" s="1517">
        <f t="shared" si="66"/>
        <v>0</v>
      </c>
      <c r="Q87" s="1517">
        <f t="shared" si="66"/>
        <v>0</v>
      </c>
      <c r="R87" s="1517">
        <f t="shared" si="66"/>
        <v>0</v>
      </c>
      <c r="S87" s="1517">
        <f t="shared" si="66"/>
        <v>0</v>
      </c>
      <c r="T87" s="1517">
        <f t="shared" si="66"/>
        <v>0</v>
      </c>
      <c r="U87" s="1517">
        <f t="shared" si="66"/>
        <v>0</v>
      </c>
      <c r="V87" s="1517">
        <f t="shared" si="66"/>
        <v>0</v>
      </c>
      <c r="W87" s="1517">
        <f t="shared" si="66"/>
        <v>0</v>
      </c>
      <c r="X87" s="1517">
        <f t="shared" si="66"/>
        <v>0</v>
      </c>
      <c r="Y87" s="1517">
        <f t="shared" si="66"/>
        <v>0</v>
      </c>
      <c r="Z87" s="1517">
        <f t="shared" si="66"/>
        <v>0</v>
      </c>
      <c r="AA87" s="1517">
        <f t="shared" si="66"/>
        <v>0</v>
      </c>
      <c r="AB87" s="1517">
        <f t="shared" si="66"/>
        <v>0</v>
      </c>
      <c r="AC87" s="1517">
        <f t="shared" si="66"/>
        <v>0</v>
      </c>
      <c r="AD87" s="1517">
        <f t="shared" si="66"/>
        <v>0</v>
      </c>
      <c r="AE87" s="1517">
        <f t="shared" si="66"/>
        <v>0</v>
      </c>
      <c r="AF87" s="1517">
        <f t="shared" si="66"/>
        <v>0</v>
      </c>
      <c r="AG87" s="1517">
        <f t="shared" si="66"/>
        <v>0</v>
      </c>
      <c r="AH87" s="1517">
        <f t="shared" si="66"/>
        <v>0</v>
      </c>
      <c r="AI87" s="1517">
        <f t="shared" si="66"/>
        <v>0</v>
      </c>
      <c r="AJ87" s="1517">
        <f t="shared" si="66"/>
        <v>0</v>
      </c>
      <c r="AK87" s="1517">
        <f t="shared" si="66"/>
        <v>0</v>
      </c>
      <c r="AL87" s="1517">
        <f t="shared" si="66"/>
        <v>0</v>
      </c>
      <c r="AM87" s="1517">
        <f t="shared" si="66"/>
        <v>0</v>
      </c>
      <c r="AN87" s="1517">
        <f t="shared" si="66"/>
        <v>0</v>
      </c>
      <c r="AO87" s="1517">
        <f t="shared" ref="AO87:BP87" si="67">IF(MIN($I$36:$BP$36)=AO$36,AO$36,NA())</f>
        <v>0</v>
      </c>
      <c r="AP87" s="1517">
        <f t="shared" si="67"/>
        <v>0</v>
      </c>
      <c r="AQ87" s="1517">
        <f t="shared" si="67"/>
        <v>0</v>
      </c>
      <c r="AR87" s="1517">
        <f t="shared" si="67"/>
        <v>0</v>
      </c>
      <c r="AS87" s="1517">
        <f t="shared" si="67"/>
        <v>0</v>
      </c>
      <c r="AT87" s="1517">
        <f t="shared" si="67"/>
        <v>0</v>
      </c>
      <c r="AU87" s="1517">
        <f t="shared" si="67"/>
        <v>0</v>
      </c>
      <c r="AV87" s="1517">
        <f t="shared" si="67"/>
        <v>0</v>
      </c>
      <c r="AW87" s="1517">
        <f t="shared" si="67"/>
        <v>0</v>
      </c>
      <c r="AX87" s="1517">
        <f t="shared" si="67"/>
        <v>0</v>
      </c>
      <c r="AY87" s="1517">
        <f t="shared" si="67"/>
        <v>0</v>
      </c>
      <c r="AZ87" s="1517">
        <f t="shared" si="67"/>
        <v>0</v>
      </c>
      <c r="BA87" s="1517">
        <f t="shared" si="67"/>
        <v>0</v>
      </c>
      <c r="BB87" s="1517">
        <f t="shared" si="67"/>
        <v>0</v>
      </c>
      <c r="BC87" s="1517">
        <f t="shared" si="67"/>
        <v>0</v>
      </c>
      <c r="BD87" s="1517">
        <f t="shared" si="67"/>
        <v>0</v>
      </c>
      <c r="BE87" s="1517">
        <f t="shared" si="67"/>
        <v>0</v>
      </c>
      <c r="BF87" s="1517">
        <f t="shared" si="67"/>
        <v>0</v>
      </c>
      <c r="BG87" s="1517">
        <f t="shared" si="67"/>
        <v>0</v>
      </c>
      <c r="BH87" s="1517">
        <f t="shared" si="67"/>
        <v>0</v>
      </c>
      <c r="BI87" s="1517">
        <f t="shared" si="67"/>
        <v>0</v>
      </c>
      <c r="BJ87" s="1517">
        <f t="shared" si="67"/>
        <v>0</v>
      </c>
      <c r="BK87" s="1517">
        <f t="shared" si="67"/>
        <v>0</v>
      </c>
      <c r="BL87" s="1517">
        <f t="shared" si="67"/>
        <v>0</v>
      </c>
      <c r="BM87" s="1517">
        <f t="shared" si="67"/>
        <v>0</v>
      </c>
      <c r="BN87" s="1517">
        <f t="shared" si="67"/>
        <v>0</v>
      </c>
      <c r="BO87" s="1517">
        <f t="shared" si="67"/>
        <v>0</v>
      </c>
      <c r="BP87" s="1517">
        <f t="shared" si="67"/>
        <v>0</v>
      </c>
      <c r="BQ87" s="680"/>
      <c r="BR87" s="680"/>
      <c r="BS87" s="680"/>
      <c r="BT87" s="680"/>
      <c r="BU87" s="680"/>
      <c r="BV87" s="680"/>
      <c r="BW87" s="680"/>
      <c r="BX87" s="680"/>
      <c r="BY87" s="680"/>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row>
    <row r="88" spans="1:126" s="12" customFormat="1" ht="12" customHeight="1" x14ac:dyDescent="0.35">
      <c r="A88" s="1489" t="s">
        <v>59</v>
      </c>
      <c r="B88" s="1477"/>
      <c r="C88" s="1476"/>
      <c r="D88" s="1477"/>
      <c r="E88" s="1477"/>
      <c r="F88" s="1477"/>
      <c r="G88" s="1478"/>
      <c r="H88" s="1525"/>
      <c r="I88" s="1525"/>
      <c r="J88" s="1525"/>
      <c r="K88" s="1525"/>
      <c r="L88" s="1525"/>
      <c r="M88" s="1525"/>
      <c r="N88" s="1525"/>
      <c r="O88" s="1525"/>
      <c r="P88" s="1525"/>
      <c r="Q88" s="1525"/>
      <c r="R88" s="1525"/>
      <c r="S88" s="1525"/>
      <c r="T88" s="1525"/>
      <c r="U88" s="1525"/>
      <c r="V88" s="1525"/>
      <c r="W88" s="1525"/>
      <c r="X88" s="1525"/>
      <c r="Y88" s="1525"/>
      <c r="Z88" s="1525"/>
      <c r="AA88" s="1525"/>
      <c r="AB88" s="1525"/>
      <c r="AC88" s="1525"/>
      <c r="AD88" s="1525"/>
      <c r="AE88" s="1525"/>
      <c r="AF88" s="1525"/>
      <c r="AG88" s="1525"/>
      <c r="AH88" s="1525"/>
      <c r="AI88" s="1525"/>
      <c r="AJ88" s="1525"/>
      <c r="AK88" s="1525"/>
      <c r="AL88" s="1525"/>
      <c r="AM88" s="1525"/>
      <c r="AN88" s="1525"/>
      <c r="AO88" s="1525"/>
      <c r="AP88" s="1525"/>
      <c r="AQ88" s="1525"/>
      <c r="AR88" s="1525"/>
      <c r="AS88" s="1525"/>
      <c r="AT88" s="1525"/>
      <c r="AU88" s="1525"/>
      <c r="AV88" s="1525"/>
      <c r="AW88" s="1525"/>
      <c r="AX88" s="1525"/>
      <c r="AY88" s="1525"/>
      <c r="AZ88" s="1525"/>
      <c r="BA88" s="1525"/>
      <c r="BB88" s="1525"/>
      <c r="BC88" s="1525"/>
      <c r="BD88" s="1525"/>
      <c r="BE88" s="1525"/>
      <c r="BF88" s="1525"/>
      <c r="BG88" s="1479"/>
      <c r="BH88" s="1479"/>
      <c r="BI88" s="1479"/>
      <c r="BJ88" s="1479"/>
      <c r="BK88" s="1479"/>
      <c r="BL88" s="1479"/>
      <c r="BM88" s="1479"/>
      <c r="BN88" s="1479"/>
      <c r="BO88" s="1479"/>
      <c r="BP88" s="1479"/>
      <c r="BQ88" s="680"/>
      <c r="BR88" s="680"/>
      <c r="BS88" s="680"/>
      <c r="BT88" s="680"/>
      <c r="BU88" s="680"/>
      <c r="BV88" s="680"/>
      <c r="BW88" s="680"/>
      <c r="BX88" s="680"/>
      <c r="BY88" s="680"/>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row>
    <row r="89" spans="1:126" s="12" customFormat="1" ht="12" customHeight="1" x14ac:dyDescent="0.35">
      <c r="A89" s="1476" t="s">
        <v>399</v>
      </c>
      <c r="B89" s="1496">
        <f>SUMIF($I$2:$BP$2,B$23,Input!$P$158:$BW$158)</f>
        <v>0</v>
      </c>
      <c r="C89" s="1496">
        <f>SUMIF($I$2:$BP$2,C$23,Input!$P$158:$BW$158)</f>
        <v>0</v>
      </c>
      <c r="D89" s="1496">
        <f>SUMIF($I$2:$BP$2,D$23,Input!$P$158:$BW$158)</f>
        <v>0</v>
      </c>
      <c r="E89" s="1477"/>
      <c r="F89" s="1477"/>
      <c r="G89" s="1478"/>
      <c r="H89" s="1525"/>
      <c r="I89" s="1525"/>
      <c r="J89" s="1525"/>
      <c r="K89" s="1525"/>
      <c r="L89" s="1525"/>
      <c r="M89" s="1525"/>
      <c r="N89" s="1525"/>
      <c r="O89" s="1525"/>
      <c r="P89" s="1525"/>
      <c r="Q89" s="1525"/>
      <c r="R89" s="1525"/>
      <c r="S89" s="1525"/>
      <c r="T89" s="1525"/>
      <c r="U89" s="1525"/>
      <c r="V89" s="1525"/>
      <c r="W89" s="1525"/>
      <c r="X89" s="1525"/>
      <c r="Y89" s="1525"/>
      <c r="Z89" s="1525"/>
      <c r="AA89" s="1525"/>
      <c r="AB89" s="1525"/>
      <c r="AC89" s="1525"/>
      <c r="AD89" s="1525"/>
      <c r="AE89" s="1525"/>
      <c r="AF89" s="1525"/>
      <c r="AG89" s="1525"/>
      <c r="AH89" s="1525"/>
      <c r="AI89" s="1525"/>
      <c r="AJ89" s="1525"/>
      <c r="AK89" s="1525"/>
      <c r="AL89" s="1525"/>
      <c r="AM89" s="1525"/>
      <c r="AN89" s="1525"/>
      <c r="AO89" s="1525"/>
      <c r="AP89" s="1525"/>
      <c r="AQ89" s="1525"/>
      <c r="AR89" s="1525"/>
      <c r="AS89" s="1525"/>
      <c r="AT89" s="1525"/>
      <c r="AU89" s="1525"/>
      <c r="AV89" s="1525"/>
      <c r="AW89" s="1525"/>
      <c r="AX89" s="1525"/>
      <c r="AY89" s="1525"/>
      <c r="AZ89" s="1525"/>
      <c r="BA89" s="1525"/>
      <c r="BB89" s="1525"/>
      <c r="BC89" s="1525"/>
      <c r="BD89" s="1525"/>
      <c r="BE89" s="1525"/>
      <c r="BF89" s="1525"/>
      <c r="BG89" s="1479"/>
      <c r="BH89" s="1479"/>
      <c r="BI89" s="1479"/>
      <c r="BJ89" s="1479"/>
      <c r="BK89" s="1479"/>
      <c r="BL89" s="1479"/>
      <c r="BM89" s="1479"/>
      <c r="BN89" s="1479"/>
      <c r="BO89" s="1479"/>
      <c r="BP89" s="1479"/>
      <c r="BQ89" s="680"/>
      <c r="BR89" s="680"/>
      <c r="BS89" s="680"/>
      <c r="BT89" s="680"/>
      <c r="BU89" s="680"/>
      <c r="BV89" s="680"/>
      <c r="BW89" s="680"/>
      <c r="BX89" s="680"/>
      <c r="BY89" s="680"/>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row>
    <row r="90" spans="1:126" s="12" customFormat="1" ht="12" customHeight="1" x14ac:dyDescent="0.35">
      <c r="A90" s="1478"/>
      <c r="B90" s="1478"/>
      <c r="C90" s="1478"/>
      <c r="D90" s="1478"/>
      <c r="E90" s="1477"/>
      <c r="F90" s="1477"/>
      <c r="G90" s="1478"/>
      <c r="H90" s="1525"/>
      <c r="I90" s="1525"/>
      <c r="J90" s="1525"/>
      <c r="K90" s="1525"/>
      <c r="L90" s="1525"/>
      <c r="M90" s="1525"/>
      <c r="N90" s="1525"/>
      <c r="O90" s="1525"/>
      <c r="P90" s="1525"/>
      <c r="Q90" s="1525"/>
      <c r="R90" s="1525"/>
      <c r="S90" s="1525"/>
      <c r="T90" s="1525"/>
      <c r="U90" s="1525"/>
      <c r="V90" s="1525"/>
      <c r="W90" s="1525"/>
      <c r="X90" s="1525"/>
      <c r="Y90" s="1525"/>
      <c r="Z90" s="1525"/>
      <c r="AA90" s="1525"/>
      <c r="AB90" s="1525"/>
      <c r="AC90" s="1525"/>
      <c r="AD90" s="1525"/>
      <c r="AE90" s="1525"/>
      <c r="AF90" s="1525"/>
      <c r="AG90" s="1525"/>
      <c r="AH90" s="1525"/>
      <c r="AI90" s="1525"/>
      <c r="AJ90" s="1525"/>
      <c r="AK90" s="1525"/>
      <c r="AL90" s="1525"/>
      <c r="AM90" s="1525"/>
      <c r="AN90" s="1525"/>
      <c r="AO90" s="1525"/>
      <c r="AP90" s="1525"/>
      <c r="AQ90" s="1525"/>
      <c r="AR90" s="1525"/>
      <c r="AS90" s="1525"/>
      <c r="AT90" s="1525"/>
      <c r="AU90" s="1525"/>
      <c r="AV90" s="1525"/>
      <c r="AW90" s="1525"/>
      <c r="AX90" s="1525"/>
      <c r="AY90" s="1525"/>
      <c r="AZ90" s="1525"/>
      <c r="BA90" s="1525"/>
      <c r="BB90" s="1525"/>
      <c r="BC90" s="1525"/>
      <c r="BD90" s="1525"/>
      <c r="BE90" s="1525"/>
      <c r="BF90" s="1525"/>
      <c r="BG90" s="1479"/>
      <c r="BH90" s="1479"/>
      <c r="BI90" s="1479"/>
      <c r="BJ90" s="1479"/>
      <c r="BK90" s="1479"/>
      <c r="BL90" s="1479"/>
      <c r="BM90" s="1479"/>
      <c r="BN90" s="1479"/>
      <c r="BO90" s="1479"/>
      <c r="BP90" s="1479"/>
      <c r="BQ90" s="680"/>
      <c r="BR90" s="680"/>
      <c r="BS90" s="680"/>
      <c r="BT90" s="680"/>
      <c r="BU90" s="680"/>
      <c r="BV90" s="680"/>
      <c r="BW90" s="680"/>
      <c r="BX90" s="680"/>
      <c r="BY90" s="680"/>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row>
    <row r="91" spans="1:126" s="12" customFormat="1" ht="12" customHeight="1" x14ac:dyDescent="0.35">
      <c r="A91" s="1489" t="s">
        <v>188</v>
      </c>
      <c r="B91" s="1477"/>
      <c r="C91" s="1476"/>
      <c r="D91" s="1477"/>
      <c r="E91" s="1477"/>
      <c r="F91" s="1477"/>
      <c r="G91" s="1478"/>
      <c r="H91" s="1479"/>
      <c r="I91" s="1524"/>
      <c r="J91" s="1522"/>
      <c r="K91" s="1522"/>
      <c r="L91" s="1522"/>
      <c r="M91" s="1522"/>
      <c r="N91" s="1522"/>
      <c r="O91" s="1522"/>
      <c r="P91" s="1522"/>
      <c r="Q91" s="1522"/>
      <c r="R91" s="1522"/>
      <c r="S91" s="1522"/>
      <c r="T91" s="1522"/>
      <c r="U91" s="1522"/>
      <c r="V91" s="1522"/>
      <c r="W91" s="1522"/>
      <c r="X91" s="1522"/>
      <c r="Y91" s="1522"/>
      <c r="Z91" s="1522"/>
      <c r="AA91" s="1522"/>
      <c r="AB91" s="1522"/>
      <c r="AC91" s="1522"/>
      <c r="AD91" s="1522"/>
      <c r="AE91" s="1522"/>
      <c r="AF91" s="1523"/>
      <c r="AG91" s="1523"/>
      <c r="AH91" s="1523"/>
      <c r="AI91" s="1523"/>
      <c r="AJ91" s="1523"/>
      <c r="AK91" s="1523"/>
      <c r="AL91" s="1523"/>
      <c r="AM91" s="1523"/>
      <c r="AN91" s="1523"/>
      <c r="AO91" s="1523"/>
      <c r="AP91" s="1523"/>
      <c r="AQ91" s="1523"/>
      <c r="AR91" s="1523"/>
      <c r="AS91" s="1523"/>
      <c r="AT91" s="1523"/>
      <c r="AU91" s="1523"/>
      <c r="AV91" s="1523"/>
      <c r="AW91" s="1523"/>
      <c r="AX91" s="1523"/>
      <c r="AY91" s="1523"/>
      <c r="AZ91" s="1523"/>
      <c r="BA91" s="1523"/>
      <c r="BB91" s="1523"/>
      <c r="BC91" s="1523"/>
      <c r="BD91" s="1523"/>
      <c r="BE91" s="1523"/>
      <c r="BF91" s="1523"/>
      <c r="BG91" s="1479"/>
      <c r="BH91" s="1479"/>
      <c r="BI91" s="1479"/>
      <c r="BJ91" s="1479"/>
      <c r="BK91" s="1479"/>
      <c r="BL91" s="1479"/>
      <c r="BM91" s="1479"/>
      <c r="BN91" s="1479"/>
      <c r="BO91" s="1479"/>
      <c r="BP91" s="1479"/>
      <c r="BQ91" s="43"/>
      <c r="BR91" s="43"/>
      <c r="BS91" s="43"/>
      <c r="BT91" s="43"/>
      <c r="BU91" s="43"/>
      <c r="BV91" s="43"/>
      <c r="BW91" s="1436"/>
      <c r="BX91" s="1437"/>
      <c r="BY91" s="1437"/>
      <c r="BZ91" s="1183"/>
      <c r="CA91" s="1183"/>
      <c r="CB91" s="1183"/>
      <c r="CC91" s="1183"/>
      <c r="CD91" s="484"/>
      <c r="CE91" s="484"/>
      <c r="CF91" s="484"/>
      <c r="CG91" s="484"/>
      <c r="CH91" s="484"/>
      <c r="CI91" s="484"/>
      <c r="CJ91" s="484"/>
      <c r="CK91" s="484"/>
      <c r="CL91" s="484"/>
      <c r="CM91" s="484"/>
      <c r="CN91" s="1183"/>
      <c r="CO91" s="1183"/>
      <c r="CP91" s="1183"/>
      <c r="CQ91" s="1183"/>
      <c r="CR91" s="1183"/>
      <c r="CS91" s="1183"/>
      <c r="CT91" s="1183"/>
      <c r="CU91" s="1183"/>
      <c r="CV91" s="1183"/>
      <c r="CW91" s="1183"/>
      <c r="CX91" s="1183"/>
      <c r="CY91" s="1183"/>
      <c r="CZ91" s="1183"/>
      <c r="DA91" s="1183"/>
      <c r="DB91" s="1183"/>
      <c r="DC91" s="1183"/>
      <c r="DD91" s="1183"/>
      <c r="DE91" s="1183"/>
      <c r="DF91" s="1183"/>
      <c r="DG91" s="1183"/>
      <c r="DH91" s="1183"/>
      <c r="DI91" s="1183"/>
      <c r="DJ91" s="1183"/>
      <c r="DK91" s="1183"/>
      <c r="DL91" s="1183"/>
      <c r="DM91" s="1183"/>
      <c r="DN91" s="1183"/>
      <c r="DO91" s="1183"/>
      <c r="DP91" s="1183"/>
      <c r="DQ91" s="1183"/>
      <c r="DR91" s="1804"/>
      <c r="DS91" s="1804"/>
      <c r="DT91" s="1804"/>
      <c r="DU91" s="1804"/>
      <c r="DV91" s="1804"/>
    </row>
    <row r="92" spans="1:126" s="12" customFormat="1" ht="12" customHeight="1" x14ac:dyDescent="0.35">
      <c r="A92" s="1476" t="s">
        <v>366</v>
      </c>
      <c r="B92" s="1504">
        <f>SUMIF($I$2:$BP$2,B$23,$I$10:$BP$10)</f>
        <v>0</v>
      </c>
      <c r="C92" s="1504">
        <f>SUMIF($I$2:$BP$2,C$23,$I$10:$BP$10)</f>
        <v>0</v>
      </c>
      <c r="D92" s="1504">
        <f>SUMIF($I$2:$BP$2,D$23,$I$10:$BP$10)</f>
        <v>0</v>
      </c>
      <c r="E92" s="1477"/>
      <c r="F92" s="1477"/>
      <c r="G92" s="1478"/>
      <c r="H92" s="1479"/>
      <c r="I92" s="1524"/>
      <c r="J92" s="1522"/>
      <c r="K92" s="1522"/>
      <c r="L92" s="1522"/>
      <c r="M92" s="1522"/>
      <c r="N92" s="1522"/>
      <c r="O92" s="1522"/>
      <c r="P92" s="1522"/>
      <c r="Q92" s="1522"/>
      <c r="R92" s="1522"/>
      <c r="S92" s="1522"/>
      <c r="T92" s="1522"/>
      <c r="U92" s="1522"/>
      <c r="V92" s="1522"/>
      <c r="W92" s="1522"/>
      <c r="X92" s="1522"/>
      <c r="Y92" s="1522"/>
      <c r="Z92" s="1522"/>
      <c r="AA92" s="1522"/>
      <c r="AB92" s="1522"/>
      <c r="AC92" s="1522"/>
      <c r="AD92" s="1522"/>
      <c r="AE92" s="1522"/>
      <c r="AF92" s="1523"/>
      <c r="AG92" s="1523"/>
      <c r="AH92" s="1523"/>
      <c r="AI92" s="1523"/>
      <c r="AJ92" s="1523"/>
      <c r="AK92" s="1523"/>
      <c r="AL92" s="1523"/>
      <c r="AM92" s="1523"/>
      <c r="AN92" s="1523"/>
      <c r="AO92" s="1523"/>
      <c r="AP92" s="1523"/>
      <c r="AQ92" s="1523"/>
      <c r="AR92" s="1523"/>
      <c r="AS92" s="1523"/>
      <c r="AT92" s="1523"/>
      <c r="AU92" s="1523"/>
      <c r="AV92" s="1523"/>
      <c r="AW92" s="1523"/>
      <c r="AX92" s="1523"/>
      <c r="AY92" s="1523"/>
      <c r="AZ92" s="1523"/>
      <c r="BA92" s="1523"/>
      <c r="BB92" s="1523"/>
      <c r="BC92" s="1523"/>
      <c r="BD92" s="1523"/>
      <c r="BE92" s="1523"/>
      <c r="BF92" s="1523"/>
      <c r="BG92" s="1479"/>
      <c r="BH92" s="1479"/>
      <c r="BI92" s="1479"/>
      <c r="BJ92" s="1479"/>
      <c r="BK92" s="1479"/>
      <c r="BL92" s="1479"/>
      <c r="BM92" s="1479"/>
      <c r="BN92" s="1479"/>
      <c r="BO92" s="1479"/>
      <c r="BP92" s="1479"/>
      <c r="BQ92" s="43"/>
      <c r="BR92" s="43"/>
      <c r="BS92" s="43"/>
      <c r="BT92" s="43"/>
      <c r="BU92" s="43"/>
      <c r="BV92" s="43"/>
      <c r="BW92" s="1436"/>
      <c r="BX92" s="1437"/>
      <c r="BY92" s="1437"/>
      <c r="BZ92" s="1183"/>
      <c r="CA92" s="1183"/>
      <c r="CB92" s="1183"/>
      <c r="CC92" s="1183"/>
      <c r="CD92" s="484"/>
      <c r="CE92" s="484"/>
      <c r="CF92" s="484"/>
      <c r="CG92" s="484"/>
      <c r="CH92" s="484"/>
      <c r="CI92" s="484"/>
      <c r="CJ92" s="484"/>
      <c r="CK92" s="484"/>
      <c r="CL92" s="484"/>
      <c r="CM92" s="484"/>
      <c r="CN92" s="1183"/>
      <c r="CO92" s="1183"/>
      <c r="CP92" s="1183"/>
      <c r="CQ92" s="1183"/>
      <c r="CR92" s="1183"/>
      <c r="CS92" s="1183"/>
      <c r="CT92" s="1183"/>
      <c r="CU92" s="1183"/>
      <c r="CV92" s="1183"/>
      <c r="CW92" s="1183"/>
      <c r="CX92" s="1183"/>
      <c r="CY92" s="1183"/>
      <c r="CZ92" s="1183"/>
      <c r="DA92" s="1183"/>
      <c r="DB92" s="1183"/>
      <c r="DC92" s="1183"/>
      <c r="DD92" s="1183"/>
      <c r="DE92" s="1183"/>
      <c r="DF92" s="1183"/>
      <c r="DG92" s="1183"/>
      <c r="DH92" s="1183"/>
      <c r="DI92" s="1183"/>
      <c r="DJ92" s="1183"/>
      <c r="DK92" s="1183"/>
      <c r="DL92" s="1183"/>
      <c r="DM92" s="1183"/>
      <c r="DN92" s="1183"/>
      <c r="DO92" s="1183"/>
      <c r="DP92" s="1183"/>
      <c r="DQ92" s="1183"/>
      <c r="DR92" s="1804"/>
      <c r="DS92" s="1804"/>
      <c r="DT92" s="1804"/>
      <c r="DU92" s="1804"/>
      <c r="DV92" s="1804"/>
    </row>
    <row r="93" spans="1:126" s="12" customFormat="1" ht="12" customHeight="1" x14ac:dyDescent="0.35">
      <c r="A93" s="1476" t="s">
        <v>368</v>
      </c>
      <c r="B93" s="1504">
        <f>SUMIF($I$2:$BP$2,"&lt;="&amp;B$23,$I$10:$BP$10)</f>
        <v>0</v>
      </c>
      <c r="C93" s="1504">
        <f>SUMIF($I$2:$BP$2,"&lt;="&amp;C$23,$I$10:$BP$10)</f>
        <v>0</v>
      </c>
      <c r="D93" s="1504">
        <f>SUMIF($I$2:$BP$2,"&lt;="&amp;D$23,$I$10:$BP$10)</f>
        <v>0</v>
      </c>
      <c r="E93" s="1477"/>
      <c r="F93" s="1477"/>
      <c r="G93" s="1478"/>
      <c r="H93" s="1479"/>
      <c r="I93" s="1517">
        <f t="shared" ref="I93:AN93" si="68">IF(I29&gt;=0,I29,NA())</f>
        <v>0</v>
      </c>
      <c r="J93" s="1517">
        <f t="shared" si="68"/>
        <v>0</v>
      </c>
      <c r="K93" s="1517">
        <f t="shared" si="68"/>
        <v>0</v>
      </c>
      <c r="L93" s="1517">
        <f t="shared" si="68"/>
        <v>0</v>
      </c>
      <c r="M93" s="1517">
        <f t="shared" si="68"/>
        <v>0</v>
      </c>
      <c r="N93" s="1517">
        <f t="shared" si="68"/>
        <v>0</v>
      </c>
      <c r="O93" s="1517">
        <f t="shared" si="68"/>
        <v>0</v>
      </c>
      <c r="P93" s="1517">
        <f t="shared" si="68"/>
        <v>0</v>
      </c>
      <c r="Q93" s="1517">
        <f t="shared" si="68"/>
        <v>0</v>
      </c>
      <c r="R93" s="1517">
        <f t="shared" si="68"/>
        <v>0</v>
      </c>
      <c r="S93" s="1517">
        <f t="shared" si="68"/>
        <v>0</v>
      </c>
      <c r="T93" s="1517">
        <f t="shared" si="68"/>
        <v>0</v>
      </c>
      <c r="U93" s="1517">
        <f t="shared" si="68"/>
        <v>0</v>
      </c>
      <c r="V93" s="1517">
        <f t="shared" si="68"/>
        <v>0</v>
      </c>
      <c r="W93" s="1517">
        <f t="shared" si="68"/>
        <v>0</v>
      </c>
      <c r="X93" s="1517">
        <f t="shared" si="68"/>
        <v>0</v>
      </c>
      <c r="Y93" s="1517">
        <f t="shared" si="68"/>
        <v>0</v>
      </c>
      <c r="Z93" s="1517">
        <f t="shared" si="68"/>
        <v>0</v>
      </c>
      <c r="AA93" s="1517">
        <f t="shared" si="68"/>
        <v>0</v>
      </c>
      <c r="AB93" s="1517">
        <f t="shared" si="68"/>
        <v>0</v>
      </c>
      <c r="AC93" s="1517">
        <f t="shared" si="68"/>
        <v>0</v>
      </c>
      <c r="AD93" s="1517">
        <f t="shared" si="68"/>
        <v>0</v>
      </c>
      <c r="AE93" s="1517">
        <f t="shared" si="68"/>
        <v>0</v>
      </c>
      <c r="AF93" s="1517">
        <f t="shared" si="68"/>
        <v>0</v>
      </c>
      <c r="AG93" s="1517">
        <f t="shared" si="68"/>
        <v>0</v>
      </c>
      <c r="AH93" s="1517">
        <f t="shared" si="68"/>
        <v>0</v>
      </c>
      <c r="AI93" s="1517">
        <f t="shared" si="68"/>
        <v>0</v>
      </c>
      <c r="AJ93" s="1517">
        <f t="shared" si="68"/>
        <v>0</v>
      </c>
      <c r="AK93" s="1517">
        <f t="shared" si="68"/>
        <v>0</v>
      </c>
      <c r="AL93" s="1517">
        <f t="shared" si="68"/>
        <v>0</v>
      </c>
      <c r="AM93" s="1517">
        <f t="shared" si="68"/>
        <v>0</v>
      </c>
      <c r="AN93" s="1517">
        <f t="shared" si="68"/>
        <v>0</v>
      </c>
      <c r="AO93" s="1517">
        <f t="shared" ref="AO93:BP93" si="69">IF(AO29&gt;=0,AO29,NA())</f>
        <v>0</v>
      </c>
      <c r="AP93" s="1517">
        <f t="shared" si="69"/>
        <v>0</v>
      </c>
      <c r="AQ93" s="1517">
        <f t="shared" si="69"/>
        <v>0</v>
      </c>
      <c r="AR93" s="1517">
        <f t="shared" si="69"/>
        <v>0</v>
      </c>
      <c r="AS93" s="1517">
        <f t="shared" si="69"/>
        <v>0</v>
      </c>
      <c r="AT93" s="1517">
        <f t="shared" si="69"/>
        <v>0</v>
      </c>
      <c r="AU93" s="1517">
        <f t="shared" si="69"/>
        <v>0</v>
      </c>
      <c r="AV93" s="1517">
        <f t="shared" si="69"/>
        <v>0</v>
      </c>
      <c r="AW93" s="1517">
        <f t="shared" si="69"/>
        <v>0</v>
      </c>
      <c r="AX93" s="1517">
        <f t="shared" si="69"/>
        <v>0</v>
      </c>
      <c r="AY93" s="1517">
        <f t="shared" si="69"/>
        <v>0</v>
      </c>
      <c r="AZ93" s="1517">
        <f t="shared" si="69"/>
        <v>0</v>
      </c>
      <c r="BA93" s="1517">
        <f t="shared" si="69"/>
        <v>0</v>
      </c>
      <c r="BB93" s="1517">
        <f t="shared" si="69"/>
        <v>0</v>
      </c>
      <c r="BC93" s="1517">
        <f t="shared" si="69"/>
        <v>0</v>
      </c>
      <c r="BD93" s="1517">
        <f t="shared" si="69"/>
        <v>0</v>
      </c>
      <c r="BE93" s="1517">
        <f t="shared" si="69"/>
        <v>0</v>
      </c>
      <c r="BF93" s="1517">
        <f t="shared" si="69"/>
        <v>0</v>
      </c>
      <c r="BG93" s="1542">
        <f t="shared" si="69"/>
        <v>0</v>
      </c>
      <c r="BH93" s="1542">
        <f t="shared" si="69"/>
        <v>0</v>
      </c>
      <c r="BI93" s="1542">
        <f t="shared" si="69"/>
        <v>0</v>
      </c>
      <c r="BJ93" s="1542">
        <f t="shared" si="69"/>
        <v>0</v>
      </c>
      <c r="BK93" s="1542">
        <f t="shared" si="69"/>
        <v>0</v>
      </c>
      <c r="BL93" s="1542">
        <f t="shared" si="69"/>
        <v>0</v>
      </c>
      <c r="BM93" s="1542">
        <f t="shared" si="69"/>
        <v>0</v>
      </c>
      <c r="BN93" s="1542">
        <f t="shared" si="69"/>
        <v>0</v>
      </c>
      <c r="BO93" s="1542">
        <f t="shared" si="69"/>
        <v>0</v>
      </c>
      <c r="BP93" s="1542">
        <f t="shared" si="69"/>
        <v>0</v>
      </c>
      <c r="BQ93" s="43"/>
      <c r="BR93" s="43"/>
      <c r="BS93" s="43"/>
      <c r="BT93" s="43"/>
      <c r="BU93" s="43"/>
      <c r="BV93" s="43"/>
      <c r="BW93" s="1436"/>
      <c r="BX93" s="1437"/>
      <c r="BY93" s="1437"/>
      <c r="BZ93" s="1183"/>
      <c r="CA93" s="1183"/>
      <c r="CB93" s="1183"/>
      <c r="CC93" s="1183"/>
      <c r="CD93" s="484"/>
      <c r="CE93" s="484"/>
      <c r="CF93" s="484"/>
      <c r="CG93" s="484"/>
      <c r="CH93" s="484"/>
      <c r="CI93" s="484"/>
      <c r="CJ93" s="484"/>
      <c r="CK93" s="484"/>
      <c r="CL93" s="484"/>
      <c r="CM93" s="484"/>
      <c r="CN93" s="1183"/>
      <c r="CO93" s="1183"/>
      <c r="CP93" s="1183"/>
      <c r="CQ93" s="1183"/>
      <c r="CR93" s="1183"/>
      <c r="CS93" s="1183"/>
      <c r="CT93" s="1183"/>
      <c r="CU93" s="1183"/>
      <c r="CV93" s="1183"/>
      <c r="CW93" s="1183"/>
      <c r="CX93" s="1183"/>
      <c r="CY93" s="1183"/>
      <c r="CZ93" s="1183"/>
      <c r="DA93" s="1183"/>
      <c r="DB93" s="1183"/>
      <c r="DC93" s="1183"/>
      <c r="DD93" s="1183"/>
      <c r="DE93" s="1183"/>
      <c r="DF93" s="1183"/>
      <c r="DG93" s="1183"/>
      <c r="DH93" s="1183"/>
      <c r="DI93" s="1183"/>
      <c r="DJ93" s="1183"/>
      <c r="DK93" s="1183"/>
      <c r="DL93" s="1183"/>
      <c r="DM93" s="1183"/>
      <c r="DN93" s="1183"/>
      <c r="DO93" s="1183"/>
      <c r="DP93" s="1183"/>
      <c r="DQ93" s="1183"/>
      <c r="DR93" s="1804"/>
      <c r="DS93" s="1804"/>
      <c r="DT93" s="1804"/>
      <c r="DU93" s="1804"/>
      <c r="DV93" s="1804"/>
    </row>
    <row r="94" spans="1:126" s="12" customFormat="1" ht="12" customHeight="1" x14ac:dyDescent="0.35">
      <c r="A94" s="1478"/>
      <c r="B94" s="1478"/>
      <c r="C94" s="1478"/>
      <c r="D94" s="1478"/>
      <c r="E94" s="1477"/>
      <c r="F94" s="1477"/>
      <c r="G94" s="1478"/>
      <c r="H94" s="1479"/>
      <c r="I94" s="1516" t="e">
        <f t="shared" ref="I94:AN94" si="70">IF(I29&lt;0,I29,NA())</f>
        <v>#N/A</v>
      </c>
      <c r="J94" s="1516" t="e">
        <f t="shared" si="70"/>
        <v>#N/A</v>
      </c>
      <c r="K94" s="1516" t="e">
        <f t="shared" si="70"/>
        <v>#N/A</v>
      </c>
      <c r="L94" s="1516" t="e">
        <f t="shared" si="70"/>
        <v>#N/A</v>
      </c>
      <c r="M94" s="1516" t="e">
        <f t="shared" si="70"/>
        <v>#N/A</v>
      </c>
      <c r="N94" s="1516" t="e">
        <f t="shared" si="70"/>
        <v>#N/A</v>
      </c>
      <c r="O94" s="1516" t="e">
        <f t="shared" si="70"/>
        <v>#N/A</v>
      </c>
      <c r="P94" s="1516" t="e">
        <f t="shared" si="70"/>
        <v>#N/A</v>
      </c>
      <c r="Q94" s="1516" t="e">
        <f t="shared" si="70"/>
        <v>#N/A</v>
      </c>
      <c r="R94" s="1516" t="e">
        <f t="shared" si="70"/>
        <v>#N/A</v>
      </c>
      <c r="S94" s="1516" t="e">
        <f t="shared" si="70"/>
        <v>#N/A</v>
      </c>
      <c r="T94" s="1516" t="e">
        <f t="shared" si="70"/>
        <v>#N/A</v>
      </c>
      <c r="U94" s="1516" t="e">
        <f t="shared" si="70"/>
        <v>#N/A</v>
      </c>
      <c r="V94" s="1516" t="e">
        <f t="shared" si="70"/>
        <v>#N/A</v>
      </c>
      <c r="W94" s="1516" t="e">
        <f t="shared" si="70"/>
        <v>#N/A</v>
      </c>
      <c r="X94" s="1516" t="e">
        <f t="shared" si="70"/>
        <v>#N/A</v>
      </c>
      <c r="Y94" s="1516" t="e">
        <f t="shared" si="70"/>
        <v>#N/A</v>
      </c>
      <c r="Z94" s="1516" t="e">
        <f t="shared" si="70"/>
        <v>#N/A</v>
      </c>
      <c r="AA94" s="1516" t="e">
        <f t="shared" si="70"/>
        <v>#N/A</v>
      </c>
      <c r="AB94" s="1516" t="e">
        <f t="shared" si="70"/>
        <v>#N/A</v>
      </c>
      <c r="AC94" s="1516" t="e">
        <f t="shared" si="70"/>
        <v>#N/A</v>
      </c>
      <c r="AD94" s="1516" t="e">
        <f t="shared" si="70"/>
        <v>#N/A</v>
      </c>
      <c r="AE94" s="1516" t="e">
        <f t="shared" si="70"/>
        <v>#N/A</v>
      </c>
      <c r="AF94" s="1517" t="e">
        <f t="shared" si="70"/>
        <v>#N/A</v>
      </c>
      <c r="AG94" s="1517" t="e">
        <f t="shared" si="70"/>
        <v>#N/A</v>
      </c>
      <c r="AH94" s="1517" t="e">
        <f t="shared" si="70"/>
        <v>#N/A</v>
      </c>
      <c r="AI94" s="1517" t="e">
        <f t="shared" si="70"/>
        <v>#N/A</v>
      </c>
      <c r="AJ94" s="1517" t="e">
        <f t="shared" si="70"/>
        <v>#N/A</v>
      </c>
      <c r="AK94" s="1517" t="e">
        <f t="shared" si="70"/>
        <v>#N/A</v>
      </c>
      <c r="AL94" s="1517" t="e">
        <f t="shared" si="70"/>
        <v>#N/A</v>
      </c>
      <c r="AM94" s="1517" t="e">
        <f t="shared" si="70"/>
        <v>#N/A</v>
      </c>
      <c r="AN94" s="1517" t="e">
        <f t="shared" si="70"/>
        <v>#N/A</v>
      </c>
      <c r="AO94" s="1517" t="e">
        <f t="shared" ref="AO94:BP94" si="71">IF(AO29&lt;0,AO29,NA())</f>
        <v>#N/A</v>
      </c>
      <c r="AP94" s="1517" t="e">
        <f t="shared" si="71"/>
        <v>#N/A</v>
      </c>
      <c r="AQ94" s="1517" t="e">
        <f t="shared" si="71"/>
        <v>#N/A</v>
      </c>
      <c r="AR94" s="1517" t="e">
        <f t="shared" si="71"/>
        <v>#N/A</v>
      </c>
      <c r="AS94" s="1517" t="e">
        <f t="shared" si="71"/>
        <v>#N/A</v>
      </c>
      <c r="AT94" s="1517" t="e">
        <f t="shared" si="71"/>
        <v>#N/A</v>
      </c>
      <c r="AU94" s="1517" t="e">
        <f t="shared" si="71"/>
        <v>#N/A</v>
      </c>
      <c r="AV94" s="1517" t="e">
        <f t="shared" si="71"/>
        <v>#N/A</v>
      </c>
      <c r="AW94" s="1517" t="e">
        <f t="shared" si="71"/>
        <v>#N/A</v>
      </c>
      <c r="AX94" s="1517" t="e">
        <f t="shared" si="71"/>
        <v>#N/A</v>
      </c>
      <c r="AY94" s="1517" t="e">
        <f t="shared" si="71"/>
        <v>#N/A</v>
      </c>
      <c r="AZ94" s="1517" t="e">
        <f t="shared" si="71"/>
        <v>#N/A</v>
      </c>
      <c r="BA94" s="1517" t="e">
        <f t="shared" si="71"/>
        <v>#N/A</v>
      </c>
      <c r="BB94" s="1517" t="e">
        <f t="shared" si="71"/>
        <v>#N/A</v>
      </c>
      <c r="BC94" s="1517" t="e">
        <f t="shared" si="71"/>
        <v>#N/A</v>
      </c>
      <c r="BD94" s="1517" t="e">
        <f t="shared" si="71"/>
        <v>#N/A</v>
      </c>
      <c r="BE94" s="1517" t="e">
        <f t="shared" si="71"/>
        <v>#N/A</v>
      </c>
      <c r="BF94" s="1517" t="e">
        <f t="shared" si="71"/>
        <v>#N/A</v>
      </c>
      <c r="BG94" s="1544" t="e">
        <f t="shared" si="71"/>
        <v>#N/A</v>
      </c>
      <c r="BH94" s="1544" t="e">
        <f t="shared" si="71"/>
        <v>#N/A</v>
      </c>
      <c r="BI94" s="1544" t="e">
        <f t="shared" si="71"/>
        <v>#N/A</v>
      </c>
      <c r="BJ94" s="1544" t="e">
        <f t="shared" si="71"/>
        <v>#N/A</v>
      </c>
      <c r="BK94" s="1544" t="e">
        <f t="shared" si="71"/>
        <v>#N/A</v>
      </c>
      <c r="BL94" s="1544" t="e">
        <f t="shared" si="71"/>
        <v>#N/A</v>
      </c>
      <c r="BM94" s="1544" t="e">
        <f t="shared" si="71"/>
        <v>#N/A</v>
      </c>
      <c r="BN94" s="1544" t="e">
        <f t="shared" si="71"/>
        <v>#N/A</v>
      </c>
      <c r="BO94" s="1544" t="e">
        <f t="shared" si="71"/>
        <v>#N/A</v>
      </c>
      <c r="BP94" s="1544" t="e">
        <f t="shared" si="71"/>
        <v>#N/A</v>
      </c>
      <c r="BQ94" s="43"/>
      <c r="BR94" s="43"/>
      <c r="BS94" s="43"/>
      <c r="BT94" s="43"/>
      <c r="BU94" s="43"/>
      <c r="BV94" s="43"/>
      <c r="BW94" s="1436"/>
      <c r="BX94" s="1437"/>
      <c r="BY94" s="1437"/>
      <c r="BZ94" s="1183"/>
      <c r="CA94" s="1183"/>
      <c r="CB94" s="1183"/>
      <c r="CC94" s="1183"/>
      <c r="CD94" s="484"/>
      <c r="CE94" s="484"/>
      <c r="CF94" s="484"/>
      <c r="CG94" s="484"/>
      <c r="CH94" s="484"/>
      <c r="CI94" s="484"/>
      <c r="CJ94" s="484"/>
      <c r="CK94" s="484"/>
      <c r="CL94" s="484"/>
      <c r="CM94" s="484"/>
      <c r="CN94" s="1183"/>
      <c r="CO94" s="1183"/>
      <c r="CP94" s="1183"/>
      <c r="CQ94" s="1183"/>
      <c r="CR94" s="1183"/>
      <c r="CS94" s="1183"/>
      <c r="CT94" s="1183"/>
      <c r="CU94" s="1183"/>
      <c r="CV94" s="1183"/>
      <c r="CW94" s="1183"/>
      <c r="CX94" s="1183"/>
      <c r="CY94" s="1183"/>
      <c r="CZ94" s="1183"/>
      <c r="DA94" s="1183"/>
      <c r="DB94" s="1183"/>
      <c r="DC94" s="1183"/>
      <c r="DD94" s="1183"/>
      <c r="DE94" s="1183"/>
      <c r="DF94" s="1183"/>
      <c r="DG94" s="1183"/>
      <c r="DH94" s="1183"/>
      <c r="DI94" s="1183"/>
      <c r="DJ94" s="1183"/>
      <c r="DK94" s="1183"/>
      <c r="DL94" s="1183"/>
      <c r="DM94" s="1183"/>
      <c r="DN94" s="1183"/>
      <c r="DO94" s="1183"/>
      <c r="DP94" s="1183"/>
      <c r="DQ94" s="1183"/>
      <c r="DR94" s="1804"/>
      <c r="DS94" s="1804"/>
      <c r="DT94" s="1804"/>
      <c r="DU94" s="1804"/>
      <c r="DV94" s="1804"/>
    </row>
    <row r="95" spans="1:126" s="12" customFormat="1" ht="12" customHeight="1" x14ac:dyDescent="0.35">
      <c r="A95" s="1489" t="s">
        <v>295</v>
      </c>
      <c r="B95" s="1477"/>
      <c r="C95" s="1476"/>
      <c r="D95" s="1477"/>
      <c r="E95" s="1477"/>
      <c r="F95" s="1477"/>
      <c r="G95" s="1478"/>
      <c r="H95" s="1479"/>
      <c r="I95" s="1478"/>
      <c r="J95" s="1522"/>
      <c r="K95" s="1522"/>
      <c r="L95" s="1522"/>
      <c r="M95" s="1522"/>
      <c r="N95" s="1522"/>
      <c r="O95" s="1522"/>
      <c r="P95" s="1522"/>
      <c r="Q95" s="1522"/>
      <c r="R95" s="1522"/>
      <c r="S95" s="1522"/>
      <c r="T95" s="1522"/>
      <c r="U95" s="1522"/>
      <c r="V95" s="1522"/>
      <c r="W95" s="1522"/>
      <c r="X95" s="1522"/>
      <c r="Y95" s="1522"/>
      <c r="Z95" s="1522"/>
      <c r="AA95" s="1522"/>
      <c r="AB95" s="1522"/>
      <c r="AC95" s="1522"/>
      <c r="AD95" s="1522"/>
      <c r="AE95" s="1522"/>
      <c r="AF95" s="1523"/>
      <c r="AG95" s="1523"/>
      <c r="AH95" s="1523"/>
      <c r="AI95" s="1523"/>
      <c r="AJ95" s="1523"/>
      <c r="AK95" s="1523"/>
      <c r="AL95" s="1523"/>
      <c r="AM95" s="1523"/>
      <c r="AN95" s="1523"/>
      <c r="AO95" s="1523"/>
      <c r="AP95" s="1523"/>
      <c r="AQ95" s="1523"/>
      <c r="AR95" s="1523"/>
      <c r="AS95" s="1523"/>
      <c r="AT95" s="1523"/>
      <c r="AU95" s="1523"/>
      <c r="AV95" s="1523"/>
      <c r="AW95" s="1523"/>
      <c r="AX95" s="1523"/>
      <c r="AY95" s="1523"/>
      <c r="AZ95" s="1523"/>
      <c r="BA95" s="1523"/>
      <c r="BB95" s="1523"/>
      <c r="BC95" s="1523"/>
      <c r="BD95" s="1523"/>
      <c r="BE95" s="1523"/>
      <c r="BF95" s="1523"/>
      <c r="BG95" s="1545"/>
      <c r="BH95" s="1545"/>
      <c r="BI95" s="1545"/>
      <c r="BJ95" s="1545"/>
      <c r="BK95" s="1545"/>
      <c r="BL95" s="1545"/>
      <c r="BM95" s="1545"/>
      <c r="BN95" s="1545"/>
      <c r="BO95" s="1545"/>
      <c r="BP95" s="1545"/>
      <c r="BQ95" s="43"/>
      <c r="BR95" s="43"/>
      <c r="BS95" s="43"/>
      <c r="BT95" s="43"/>
      <c r="BU95" s="43"/>
      <c r="BV95" s="43"/>
      <c r="BW95" s="1436"/>
      <c r="BX95" s="1437"/>
      <c r="BY95" s="1437"/>
      <c r="BZ95" s="1183"/>
      <c r="CA95" s="1183"/>
      <c r="CB95" s="1183"/>
      <c r="CC95" s="1183"/>
      <c r="CD95" s="484"/>
      <c r="CE95" s="484"/>
      <c r="CF95" s="484"/>
      <c r="CG95" s="484"/>
      <c r="CH95" s="484"/>
      <c r="CI95" s="484"/>
      <c r="CJ95" s="484"/>
      <c r="CK95" s="484"/>
      <c r="CL95" s="484"/>
      <c r="CM95" s="484"/>
      <c r="CN95" s="1183"/>
      <c r="CO95" s="1183"/>
      <c r="CP95" s="1183"/>
      <c r="CQ95" s="1183"/>
      <c r="CR95" s="1183"/>
      <c r="CS95" s="1183"/>
      <c r="CT95" s="1183"/>
      <c r="CU95" s="1183"/>
      <c r="CV95" s="1183"/>
      <c r="CW95" s="1183"/>
      <c r="CX95" s="1183"/>
      <c r="CY95" s="1183"/>
      <c r="CZ95" s="1183"/>
      <c r="DA95" s="1183"/>
      <c r="DB95" s="1183"/>
      <c r="DC95" s="1183"/>
      <c r="DD95" s="1183"/>
      <c r="DE95" s="1183"/>
      <c r="DF95" s="1183"/>
      <c r="DG95" s="1183"/>
      <c r="DH95" s="1183"/>
      <c r="DI95" s="1183"/>
      <c r="DJ95" s="1183"/>
      <c r="DK95" s="1183"/>
      <c r="DL95" s="1183"/>
      <c r="DM95" s="1183"/>
      <c r="DN95" s="1183"/>
      <c r="DO95" s="1183"/>
      <c r="DP95" s="1183"/>
      <c r="DQ95" s="1183"/>
      <c r="DR95" s="1804"/>
      <c r="DS95" s="1804"/>
      <c r="DT95" s="1804"/>
      <c r="DU95" s="1804"/>
      <c r="DV95" s="1804"/>
    </row>
    <row r="96" spans="1:126" s="12" customFormat="1" ht="12" customHeight="1" x14ac:dyDescent="0.35">
      <c r="A96" s="1476" t="s">
        <v>366</v>
      </c>
      <c r="B96" s="1504">
        <f>SUMIF($I$2:$BP$2,B$23,$I$108:$BP$108)</f>
        <v>0</v>
      </c>
      <c r="C96" s="1504">
        <f>SUMIF($I$2:$BP$2,C$23,$I$108:$BP$108)</f>
        <v>0</v>
      </c>
      <c r="D96" s="1504">
        <f>SUMIF($I$2:$BP$2,D$23,$I$108:$BP$108)</f>
        <v>0</v>
      </c>
      <c r="E96" s="1477"/>
      <c r="F96" s="1477"/>
      <c r="G96" s="1478"/>
      <c r="H96" s="1479" t="s">
        <v>400</v>
      </c>
      <c r="I96" s="1526">
        <f>IF(Input!DC5="C Corp",Input!E24,0)</f>
        <v>0.21</v>
      </c>
      <c r="J96" s="1518">
        <f>IF(Infrastructure!BK28=0,0,IF(Years="Five",IFERROR(HLOOKUP(I60,I61:BP62,2,FALSE),0),IFERROR(HLOOKUP(I60,I61:AR62,2,FALSE),0)))</f>
        <v>0</v>
      </c>
      <c r="K96" s="1511"/>
      <c r="L96" s="1511"/>
      <c r="M96" s="1511"/>
      <c r="N96" s="1478"/>
      <c r="O96" s="1478"/>
      <c r="P96" s="1478"/>
      <c r="Q96" s="1478"/>
      <c r="R96" s="1478"/>
      <c r="S96" s="1478"/>
      <c r="T96" s="1478"/>
      <c r="U96" s="1478"/>
      <c r="V96" s="1478"/>
      <c r="W96" s="1478"/>
      <c r="X96" s="1478"/>
      <c r="Y96" s="1478"/>
      <c r="Z96" s="1478"/>
      <c r="AA96" s="1478"/>
      <c r="AB96" s="1478"/>
      <c r="AC96" s="1478"/>
      <c r="AD96" s="1478"/>
      <c r="AE96" s="1478"/>
      <c r="AF96" s="1479"/>
      <c r="AG96" s="1479"/>
      <c r="AH96" s="1479"/>
      <c r="AI96" s="1479"/>
      <c r="AJ96" s="1479"/>
      <c r="AK96" s="1479"/>
      <c r="AL96" s="1479"/>
      <c r="AM96" s="1479"/>
      <c r="AN96" s="1479"/>
      <c r="AO96" s="1479"/>
      <c r="AP96" s="1479"/>
      <c r="AQ96" s="1479"/>
      <c r="AR96" s="1479"/>
      <c r="AS96" s="1479"/>
      <c r="AT96" s="1479"/>
      <c r="AU96" s="1479"/>
      <c r="AV96" s="1479"/>
      <c r="AW96" s="1479"/>
      <c r="AX96" s="1479"/>
      <c r="AY96" s="1479"/>
      <c r="AZ96" s="1479"/>
      <c r="BA96" s="1479"/>
      <c r="BB96" s="1479"/>
      <c r="BC96" s="1479"/>
      <c r="BD96" s="1479"/>
      <c r="BE96" s="1479"/>
      <c r="BF96" s="1479"/>
      <c r="BG96" s="1544"/>
      <c r="BH96" s="1544"/>
      <c r="BI96" s="1544"/>
      <c r="BJ96" s="1544"/>
      <c r="BK96" s="1544"/>
      <c r="BL96" s="1544"/>
      <c r="BM96" s="1544"/>
      <c r="BN96" s="1544"/>
      <c r="BO96" s="1544"/>
      <c r="BP96" s="1544"/>
      <c r="BQ96" s="43"/>
      <c r="BR96" s="43"/>
      <c r="BS96" s="43"/>
      <c r="BT96" s="43"/>
      <c r="BU96" s="43"/>
      <c r="BV96" s="43"/>
      <c r="BW96" s="1436">
        <f>Infrastructure!M29</f>
        <v>0</v>
      </c>
      <c r="BX96" s="1437">
        <f>$AC$3</f>
        <v>0</v>
      </c>
      <c r="BY96" s="1437">
        <f>$AC$8</f>
        <v>0</v>
      </c>
      <c r="BZ96" s="1183"/>
      <c r="CA96" s="1183"/>
      <c r="CB96" s="1183"/>
      <c r="CC96" s="1183"/>
      <c r="CD96" s="484">
        <f>$AR$38</f>
        <v>0</v>
      </c>
      <c r="CE96" s="484">
        <f>$AR$39</f>
        <v>0</v>
      </c>
      <c r="CF96" s="484">
        <f>$AR$40</f>
        <v>0</v>
      </c>
      <c r="CG96" s="484">
        <f>$AR$41</f>
        <v>0</v>
      </c>
      <c r="CH96" s="484">
        <f>$AR$42</f>
        <v>0</v>
      </c>
      <c r="CI96" s="484">
        <f>$AR$43</f>
        <v>0</v>
      </c>
      <c r="CJ96" s="484">
        <f>$AR$44</f>
        <v>0</v>
      </c>
      <c r="CK96" s="484">
        <f>$AR$45</f>
        <v>0</v>
      </c>
      <c r="CL96" s="484">
        <f>$AR$46</f>
        <v>0</v>
      </c>
      <c r="CM96" s="484">
        <f>$AR$47</f>
        <v>0</v>
      </c>
      <c r="CN96" s="1183"/>
      <c r="CO96" s="1183"/>
      <c r="CP96" s="1183"/>
      <c r="CQ96" s="1183"/>
      <c r="CR96" s="1183"/>
      <c r="CS96" s="1183"/>
      <c r="CT96" s="1183"/>
      <c r="CU96" s="1183"/>
      <c r="CV96" s="1183"/>
      <c r="CW96" s="1183"/>
      <c r="CX96" s="1183"/>
      <c r="CY96" s="1183"/>
      <c r="CZ96" s="1183"/>
      <c r="DA96" s="1183"/>
      <c r="DB96" s="1183"/>
      <c r="DC96" s="1183"/>
      <c r="DD96" s="1183"/>
      <c r="DE96" s="1183"/>
      <c r="DF96" s="1183"/>
      <c r="DG96" s="1183"/>
      <c r="DH96" s="1183"/>
      <c r="DI96" s="1183"/>
      <c r="DJ96" s="1183"/>
      <c r="DK96" s="1183"/>
      <c r="DL96" s="1183"/>
      <c r="DM96" s="1183"/>
      <c r="DN96" s="1183"/>
      <c r="DO96" s="1183"/>
      <c r="DP96" s="1183"/>
      <c r="DQ96" s="1183"/>
      <c r="DR96" s="1804"/>
      <c r="DS96" s="1804"/>
      <c r="DT96" s="1804"/>
      <c r="DU96" s="1804"/>
      <c r="DV96" s="1804"/>
    </row>
    <row r="97" spans="1:121" s="12" customFormat="1" ht="12" customHeight="1" x14ac:dyDescent="0.35">
      <c r="A97" s="1476" t="s">
        <v>368</v>
      </c>
      <c r="B97" s="1504">
        <f>SUMIF($I$2:$BP$2,"&lt;="&amp;B$23,$I$108:$BP$108)</f>
        <v>0</v>
      </c>
      <c r="C97" s="1504">
        <f>SUMIF($I$2:$BP$2,"&lt;="&amp;C$23,$I$108:$BP$108)</f>
        <v>0</v>
      </c>
      <c r="D97" s="1504">
        <f>SUMIF($I$2:$BP$2,"&lt;="&amp;D$23,$I$108:$BP$108)</f>
        <v>0</v>
      </c>
      <c r="E97" s="1477"/>
      <c r="F97" s="1477"/>
      <c r="G97" s="1478"/>
      <c r="H97" s="1479" t="s">
        <v>401</v>
      </c>
      <c r="I97" s="1526">
        <f>IF(Input!DC5="C Corp",Input!F24,0)</f>
        <v>0.05</v>
      </c>
      <c r="J97" s="1511"/>
      <c r="K97" s="1511"/>
      <c r="L97" s="1511"/>
      <c r="M97" s="1511"/>
      <c r="N97" s="1478"/>
      <c r="O97" s="1478"/>
      <c r="P97" s="1478"/>
      <c r="Q97" s="1478"/>
      <c r="R97" s="1478"/>
      <c r="S97" s="1478"/>
      <c r="T97" s="1478"/>
      <c r="U97" s="1478"/>
      <c r="V97" s="1478"/>
      <c r="W97" s="1478"/>
      <c r="X97" s="1478"/>
      <c r="Y97" s="1478"/>
      <c r="Z97" s="1478"/>
      <c r="AA97" s="1478"/>
      <c r="AB97" s="1478"/>
      <c r="AC97" s="1478"/>
      <c r="AD97" s="1478"/>
      <c r="AE97" s="1478"/>
      <c r="AF97" s="1479"/>
      <c r="AG97" s="1479"/>
      <c r="AH97" s="1479"/>
      <c r="AI97" s="1479"/>
      <c r="AJ97" s="1479"/>
      <c r="AK97" s="1479"/>
      <c r="AL97" s="1479"/>
      <c r="AM97" s="1479"/>
      <c r="AN97" s="1479"/>
      <c r="AO97" s="1479"/>
      <c r="AP97" s="1479"/>
      <c r="AQ97" s="1479"/>
      <c r="AR97" s="1479"/>
      <c r="AS97" s="1479"/>
      <c r="AT97" s="1479"/>
      <c r="AU97" s="1479"/>
      <c r="AV97" s="1479"/>
      <c r="AW97" s="1479"/>
      <c r="AX97" s="1479"/>
      <c r="AY97" s="1479"/>
      <c r="AZ97" s="1479"/>
      <c r="BA97" s="1479"/>
      <c r="BB97" s="1479"/>
      <c r="BC97" s="1479"/>
      <c r="BD97" s="1479"/>
      <c r="BE97" s="1479"/>
      <c r="BF97" s="1479"/>
      <c r="BG97" s="1544"/>
      <c r="BH97" s="1544"/>
      <c r="BI97" s="1544"/>
      <c r="BJ97" s="1544"/>
      <c r="BK97" s="1544"/>
      <c r="BL97" s="1544"/>
      <c r="BM97" s="1544"/>
      <c r="BN97" s="1544"/>
      <c r="BO97" s="1544"/>
      <c r="BP97" s="1544"/>
      <c r="BQ97" s="43"/>
      <c r="BR97" s="43"/>
      <c r="BS97" s="43"/>
      <c r="BT97" s="43"/>
      <c r="BU97" s="43"/>
      <c r="BV97" s="43"/>
      <c r="BW97" s="1436">
        <f>Infrastructure!M30</f>
        <v>0</v>
      </c>
      <c r="BX97" s="1437">
        <f>$AD$3</f>
        <v>0</v>
      </c>
      <c r="BY97" s="1437">
        <f>$AD$8</f>
        <v>0</v>
      </c>
      <c r="BZ97" s="1183"/>
      <c r="CA97" s="1183"/>
      <c r="CB97" s="1183"/>
      <c r="CC97" s="1183"/>
      <c r="CD97" s="484">
        <f>$AS$38</f>
        <v>0</v>
      </c>
      <c r="CE97" s="484">
        <f>$AS$39</f>
        <v>0</v>
      </c>
      <c r="CF97" s="484">
        <f>$AS$40</f>
        <v>0</v>
      </c>
      <c r="CG97" s="484">
        <f>$AS$41</f>
        <v>0</v>
      </c>
      <c r="CH97" s="484">
        <f>$AS$42</f>
        <v>0</v>
      </c>
      <c r="CI97" s="484">
        <f>$AS$43</f>
        <v>0</v>
      </c>
      <c r="CJ97" s="484">
        <f>$AS$44</f>
        <v>0</v>
      </c>
      <c r="CK97" s="484">
        <f>$AS$45</f>
        <v>0</v>
      </c>
      <c r="CL97" s="484">
        <f>$AS$46</f>
        <v>0</v>
      </c>
      <c r="CM97" s="484">
        <f>$AS$47</f>
        <v>0</v>
      </c>
      <c r="CN97" s="1183"/>
      <c r="CO97" s="1183"/>
      <c r="CP97" s="1183"/>
      <c r="CQ97" s="1183"/>
      <c r="CR97" s="1183"/>
      <c r="CS97" s="1183"/>
      <c r="CT97" s="1183"/>
      <c r="CU97" s="1183"/>
      <c r="CV97" s="1183"/>
      <c r="CW97" s="1183"/>
      <c r="CX97" s="1183"/>
      <c r="CY97" s="1183"/>
      <c r="CZ97" s="1183"/>
      <c r="DA97" s="1183"/>
      <c r="DB97" s="1183"/>
      <c r="DC97" s="1183"/>
      <c r="DD97" s="1183"/>
      <c r="DE97" s="1183"/>
      <c r="DF97" s="1183"/>
      <c r="DG97" s="1183"/>
      <c r="DH97" s="1183"/>
      <c r="DI97" s="1183"/>
      <c r="DJ97" s="1183"/>
      <c r="DK97" s="1183"/>
      <c r="DL97" s="1183"/>
      <c r="DM97" s="1183"/>
      <c r="DN97" s="1183"/>
      <c r="DO97" s="1183"/>
      <c r="DP97" s="1183"/>
      <c r="DQ97" s="1183"/>
    </row>
    <row r="98" spans="1:121" s="12" customFormat="1" ht="12" customHeight="1" x14ac:dyDescent="0.35">
      <c r="A98" s="1478"/>
      <c r="B98" s="1478"/>
      <c r="C98" s="1478"/>
      <c r="D98" s="1478"/>
      <c r="E98" s="1477"/>
      <c r="F98" s="1477"/>
      <c r="G98" s="1478"/>
      <c r="H98" s="1479"/>
      <c r="I98" s="1478"/>
      <c r="J98" s="1478"/>
      <c r="K98" s="1478"/>
      <c r="L98" s="1478"/>
      <c r="M98" s="1478"/>
      <c r="N98" s="1478"/>
      <c r="O98" s="1478"/>
      <c r="P98" s="1478"/>
      <c r="Q98" s="1478"/>
      <c r="R98" s="1478"/>
      <c r="S98" s="1478"/>
      <c r="T98" s="1478"/>
      <c r="U98" s="1478"/>
      <c r="V98" s="1478"/>
      <c r="W98" s="1478"/>
      <c r="X98" s="1478"/>
      <c r="Y98" s="1478"/>
      <c r="Z98" s="1478"/>
      <c r="AA98" s="1478"/>
      <c r="AB98" s="1478"/>
      <c r="AC98" s="1478"/>
      <c r="AD98" s="1478"/>
      <c r="AE98" s="1478"/>
      <c r="AF98" s="1479"/>
      <c r="AG98" s="1479"/>
      <c r="AH98" s="1479"/>
      <c r="AI98" s="1479"/>
      <c r="AJ98" s="1479"/>
      <c r="AK98" s="1479"/>
      <c r="AL98" s="1479"/>
      <c r="AM98" s="1479"/>
      <c r="AN98" s="1479"/>
      <c r="AO98" s="1479"/>
      <c r="AP98" s="1479"/>
      <c r="AQ98" s="1479"/>
      <c r="AR98" s="1479"/>
      <c r="AS98" s="1479"/>
      <c r="AT98" s="1479"/>
      <c r="AU98" s="1479"/>
      <c r="AV98" s="1479"/>
      <c r="AW98" s="1479"/>
      <c r="AX98" s="1479"/>
      <c r="AY98" s="1479"/>
      <c r="AZ98" s="1479"/>
      <c r="BA98" s="1479"/>
      <c r="BB98" s="1479"/>
      <c r="BC98" s="1479"/>
      <c r="BD98" s="1479"/>
      <c r="BE98" s="1479"/>
      <c r="BF98" s="1479"/>
      <c r="BG98" s="1544"/>
      <c r="BH98" s="1544"/>
      <c r="BI98" s="1544"/>
      <c r="BJ98" s="1544"/>
      <c r="BK98" s="1544"/>
      <c r="BL98" s="1544"/>
      <c r="BM98" s="1544"/>
      <c r="BN98" s="1544"/>
      <c r="BO98" s="1544"/>
      <c r="BP98" s="1544"/>
      <c r="BQ98" s="43"/>
      <c r="BR98" s="43"/>
      <c r="BS98" s="43"/>
      <c r="BT98" s="43"/>
      <c r="BU98" s="43"/>
      <c r="BV98" s="43"/>
      <c r="BW98" s="1436">
        <f>Infrastructure!M31</f>
        <v>0</v>
      </c>
      <c r="BX98" s="1437">
        <f>$AE$3</f>
        <v>0</v>
      </c>
      <c r="BY98" s="1437">
        <f>$AE$8</f>
        <v>0</v>
      </c>
      <c r="BZ98" s="1183"/>
      <c r="CA98" s="1183"/>
      <c r="CB98" s="1183"/>
      <c r="CC98" s="1183"/>
      <c r="CD98" s="484">
        <f>$AT$38</f>
        <v>0</v>
      </c>
      <c r="CE98" s="484">
        <f>$AT$39</f>
        <v>0</v>
      </c>
      <c r="CF98" s="484">
        <f>$AT$40</f>
        <v>0</v>
      </c>
      <c r="CG98" s="484">
        <f>$AT$41</f>
        <v>0</v>
      </c>
      <c r="CH98" s="484">
        <f>$AT$42</f>
        <v>0</v>
      </c>
      <c r="CI98" s="484">
        <f>$AT$43</f>
        <v>0</v>
      </c>
      <c r="CJ98" s="484">
        <f>$AT$44</f>
        <v>0</v>
      </c>
      <c r="CK98" s="484">
        <f>$AT$45</f>
        <v>0</v>
      </c>
      <c r="CL98" s="484">
        <f>$AT$46</f>
        <v>0</v>
      </c>
      <c r="CM98" s="484">
        <f>$AT$47</f>
        <v>0</v>
      </c>
      <c r="CN98" s="1183"/>
      <c r="CO98" s="1183"/>
      <c r="CP98" s="1183"/>
      <c r="CQ98" s="1183"/>
      <c r="CR98" s="1183"/>
      <c r="CS98" s="1183"/>
      <c r="CT98" s="1183"/>
      <c r="CU98" s="1183"/>
      <c r="CV98" s="1183"/>
      <c r="CW98" s="1183"/>
      <c r="CX98" s="1183"/>
      <c r="CY98" s="1183"/>
      <c r="CZ98" s="1183"/>
      <c r="DA98" s="1183"/>
      <c r="DB98" s="1183"/>
      <c r="DC98" s="1183"/>
      <c r="DD98" s="1183"/>
      <c r="DE98" s="1183"/>
      <c r="DF98" s="1183"/>
      <c r="DG98" s="1183"/>
      <c r="DH98" s="1183"/>
      <c r="DI98" s="1183"/>
      <c r="DJ98" s="1183"/>
      <c r="DK98" s="1183"/>
      <c r="DL98" s="1183"/>
      <c r="DM98" s="1183"/>
      <c r="DN98" s="1183"/>
      <c r="DO98" s="1183"/>
      <c r="DP98" s="1183"/>
      <c r="DQ98" s="1183"/>
    </row>
    <row r="99" spans="1:121" s="12" customFormat="1" ht="12" customHeight="1" x14ac:dyDescent="0.35">
      <c r="A99" s="1489" t="s">
        <v>402</v>
      </c>
      <c r="B99" s="1478"/>
      <c r="C99" s="1478"/>
      <c r="D99" s="1478"/>
      <c r="E99" s="1477"/>
      <c r="F99" s="1477"/>
      <c r="G99" s="1478"/>
      <c r="H99" s="1479"/>
      <c r="I99" s="1478"/>
      <c r="J99" s="1478"/>
      <c r="K99" s="1478"/>
      <c r="L99" s="1478"/>
      <c r="M99" s="1478"/>
      <c r="N99" s="1478"/>
      <c r="O99" s="1478"/>
      <c r="P99" s="1478"/>
      <c r="Q99" s="1478"/>
      <c r="R99" s="1478"/>
      <c r="S99" s="1478"/>
      <c r="T99" s="1478"/>
      <c r="U99" s="1478"/>
      <c r="V99" s="1478"/>
      <c r="W99" s="1478"/>
      <c r="X99" s="1478"/>
      <c r="Y99" s="1478"/>
      <c r="Z99" s="1478"/>
      <c r="AA99" s="1478"/>
      <c r="AB99" s="1478"/>
      <c r="AC99" s="1478"/>
      <c r="AD99" s="1478"/>
      <c r="AE99" s="1478"/>
      <c r="AF99" s="1479"/>
      <c r="AG99" s="1479"/>
      <c r="AH99" s="1479"/>
      <c r="AI99" s="1479"/>
      <c r="AJ99" s="1479"/>
      <c r="AK99" s="1479"/>
      <c r="AL99" s="1479"/>
      <c r="AM99" s="1479"/>
      <c r="AN99" s="1479"/>
      <c r="AO99" s="1479"/>
      <c r="AP99" s="1479"/>
      <c r="AQ99" s="1479"/>
      <c r="AR99" s="1479"/>
      <c r="AS99" s="1479"/>
      <c r="AT99" s="1479"/>
      <c r="AU99" s="1479"/>
      <c r="AV99" s="1479"/>
      <c r="AW99" s="1479"/>
      <c r="AX99" s="1479"/>
      <c r="AY99" s="1479"/>
      <c r="AZ99" s="1479"/>
      <c r="BA99" s="1479"/>
      <c r="BB99" s="1479"/>
      <c r="BC99" s="1479"/>
      <c r="BD99" s="1479"/>
      <c r="BE99" s="1479"/>
      <c r="BF99" s="1479"/>
      <c r="BG99" s="1544"/>
      <c r="BH99" s="1544"/>
      <c r="BI99" s="1544"/>
      <c r="BJ99" s="1544"/>
      <c r="BK99" s="1544"/>
      <c r="BL99" s="1544"/>
      <c r="BM99" s="1544"/>
      <c r="BN99" s="1544"/>
      <c r="BO99" s="1544"/>
      <c r="BP99" s="1544"/>
      <c r="BQ99" s="43"/>
      <c r="BR99" s="43"/>
      <c r="BS99" s="43"/>
      <c r="BT99" s="43"/>
      <c r="BU99" s="43"/>
      <c r="BV99" s="43"/>
      <c r="BW99" s="1436">
        <f>Infrastructure!M32</f>
        <v>0</v>
      </c>
      <c r="BX99" s="1437">
        <f>$AF$3</f>
        <v>0</v>
      </c>
      <c r="BY99" s="1437">
        <f>$AF$8</f>
        <v>0</v>
      </c>
      <c r="BZ99" s="1183"/>
      <c r="CA99" s="1183"/>
      <c r="CB99" s="1183"/>
      <c r="CC99" s="1183"/>
      <c r="CD99" s="484">
        <f>$AU$38</f>
        <v>0</v>
      </c>
      <c r="CE99" s="484">
        <f>$AU$39</f>
        <v>0</v>
      </c>
      <c r="CF99" s="484">
        <f>$AU$40</f>
        <v>0</v>
      </c>
      <c r="CG99" s="484">
        <f>$AU$41</f>
        <v>0</v>
      </c>
      <c r="CH99" s="484">
        <f>$AU$42</f>
        <v>0</v>
      </c>
      <c r="CI99" s="484">
        <f>$AU$43</f>
        <v>0</v>
      </c>
      <c r="CJ99" s="484">
        <f>$AU$44</f>
        <v>0</v>
      </c>
      <c r="CK99" s="484">
        <f>$AU$45</f>
        <v>0</v>
      </c>
      <c r="CL99" s="484">
        <f>$AU$46</f>
        <v>0</v>
      </c>
      <c r="CM99" s="484">
        <f>$AU$47</f>
        <v>0</v>
      </c>
      <c r="CN99" s="1183"/>
      <c r="CO99" s="1183"/>
      <c r="CP99" s="1183"/>
      <c r="CQ99" s="1183"/>
      <c r="CR99" s="1183"/>
      <c r="CS99" s="1183"/>
      <c r="CT99" s="1183"/>
      <c r="CU99" s="1183"/>
      <c r="CV99" s="1183"/>
      <c r="CW99" s="1183"/>
      <c r="CX99" s="1183"/>
      <c r="CY99" s="1183"/>
      <c r="CZ99" s="1183"/>
      <c r="DA99" s="1183"/>
      <c r="DB99" s="1183"/>
      <c r="DC99" s="1183"/>
      <c r="DD99" s="1183"/>
      <c r="DE99" s="1183"/>
      <c r="DF99" s="1183"/>
      <c r="DG99" s="1183"/>
      <c r="DH99" s="1183"/>
      <c r="DI99" s="1183"/>
      <c r="DJ99" s="1183"/>
      <c r="DK99" s="1183"/>
      <c r="DL99" s="1183"/>
      <c r="DM99" s="1183"/>
      <c r="DN99" s="1183"/>
      <c r="DO99" s="1183"/>
      <c r="DP99" s="1183"/>
      <c r="DQ99" s="1183"/>
    </row>
    <row r="100" spans="1:121" s="12" customFormat="1" ht="12" customHeight="1" x14ac:dyDescent="0.35">
      <c r="A100" s="1476" t="s">
        <v>366</v>
      </c>
      <c r="B100" s="1504">
        <f>SUMIF($I$2:$BP$2,B$23,$W493:$CD493)</f>
        <v>0</v>
      </c>
      <c r="C100" s="1504">
        <f>SUMIF($I$2:$BP$2,C$23,$W493:$CD493)</f>
        <v>0</v>
      </c>
      <c r="D100" s="1504">
        <f>SUMIF($I$2:$BP$2,D$23,$W493:$CD493)</f>
        <v>0</v>
      </c>
      <c r="E100" s="1477"/>
      <c r="F100" s="1477"/>
      <c r="G100" s="1478"/>
      <c r="H100" s="1527" t="s">
        <v>403</v>
      </c>
      <c r="I100" s="1528">
        <f>Infrastructure!Y9</f>
        <v>0</v>
      </c>
      <c r="J100" s="1478"/>
      <c r="K100" s="1478"/>
      <c r="L100" s="1478"/>
      <c r="M100" s="1478"/>
      <c r="N100" s="1478"/>
      <c r="O100" s="1478"/>
      <c r="P100" s="1478"/>
      <c r="Q100" s="1478"/>
      <c r="R100" s="1478"/>
      <c r="S100" s="1478"/>
      <c r="T100" s="1478"/>
      <c r="U100" s="1478"/>
      <c r="V100" s="1478"/>
      <c r="W100" s="1478"/>
      <c r="X100" s="1478"/>
      <c r="Y100" s="1478"/>
      <c r="Z100" s="1478"/>
      <c r="AA100" s="1478"/>
      <c r="AB100" s="1478"/>
      <c r="AC100" s="1478"/>
      <c r="AD100" s="1478"/>
      <c r="AE100" s="1478"/>
      <c r="AF100" s="1479"/>
      <c r="AG100" s="1479"/>
      <c r="AH100" s="1479"/>
      <c r="AI100" s="1479"/>
      <c r="AJ100" s="1479"/>
      <c r="AK100" s="1479"/>
      <c r="AL100" s="1479"/>
      <c r="AM100" s="1479"/>
      <c r="AN100" s="1479"/>
      <c r="AO100" s="1479"/>
      <c r="AP100" s="1479"/>
      <c r="AQ100" s="1479"/>
      <c r="AR100" s="1479"/>
      <c r="AS100" s="1479"/>
      <c r="AT100" s="1479"/>
      <c r="AU100" s="1479"/>
      <c r="AV100" s="1479"/>
      <c r="AW100" s="1479"/>
      <c r="AX100" s="1479"/>
      <c r="AY100" s="1479"/>
      <c r="AZ100" s="1479"/>
      <c r="BA100" s="1479"/>
      <c r="BB100" s="1479"/>
      <c r="BC100" s="1479"/>
      <c r="BD100" s="1479"/>
      <c r="BE100" s="1479"/>
      <c r="BF100" s="1479"/>
      <c r="BG100" s="1544"/>
      <c r="BH100" s="1544"/>
      <c r="BI100" s="1544"/>
      <c r="BJ100" s="1544"/>
      <c r="BK100" s="1544"/>
      <c r="BL100" s="1544"/>
      <c r="BM100" s="1544"/>
      <c r="BN100" s="1544"/>
      <c r="BO100" s="1544"/>
      <c r="BP100" s="1544"/>
      <c r="BQ100" s="43"/>
      <c r="BR100" s="43"/>
      <c r="BS100" s="43"/>
      <c r="BT100" s="43"/>
      <c r="BU100" s="43"/>
      <c r="BV100" s="43"/>
      <c r="BW100" s="1436">
        <f>Infrastructure!M33</f>
        <v>0</v>
      </c>
      <c r="BX100" s="1437">
        <f>$AG$3</f>
        <v>0</v>
      </c>
      <c r="BY100" s="1437">
        <f>$AG$8</f>
        <v>0</v>
      </c>
      <c r="BZ100" s="1183"/>
      <c r="CA100" s="1183"/>
      <c r="CB100" s="1183"/>
      <c r="CC100" s="1183"/>
      <c r="CD100" s="484">
        <f>$AV$38</f>
        <v>0</v>
      </c>
      <c r="CE100" s="484">
        <f>$AV$39</f>
        <v>0</v>
      </c>
      <c r="CF100" s="484">
        <f>$AV$40</f>
        <v>0</v>
      </c>
      <c r="CG100" s="484">
        <f>$AV$41</f>
        <v>0</v>
      </c>
      <c r="CH100" s="484">
        <f>$AV$42</f>
        <v>0</v>
      </c>
      <c r="CI100" s="484">
        <f>$AV$43</f>
        <v>0</v>
      </c>
      <c r="CJ100" s="484">
        <f>$AV$44</f>
        <v>0</v>
      </c>
      <c r="CK100" s="484">
        <f>$AV$45</f>
        <v>0</v>
      </c>
      <c r="CL100" s="484">
        <f>$AV$46</f>
        <v>0</v>
      </c>
      <c r="CM100" s="484">
        <f>$AV$47</f>
        <v>0</v>
      </c>
      <c r="CN100" s="1183"/>
      <c r="CO100" s="1183"/>
      <c r="CP100" s="1183"/>
      <c r="CQ100" s="1183"/>
      <c r="CR100" s="1183"/>
      <c r="CS100" s="1183"/>
      <c r="CT100" s="1183"/>
      <c r="CU100" s="1183"/>
      <c r="CV100" s="1183"/>
      <c r="CW100" s="1183"/>
      <c r="CX100" s="1183"/>
      <c r="CY100" s="1183"/>
      <c r="CZ100" s="1183"/>
      <c r="DA100" s="1183"/>
      <c r="DB100" s="1183"/>
      <c r="DC100" s="1183"/>
      <c r="DD100" s="1183"/>
      <c r="DE100" s="1183"/>
      <c r="DF100" s="1183"/>
      <c r="DG100" s="1183"/>
      <c r="DH100" s="1183"/>
      <c r="DI100" s="1183"/>
      <c r="DJ100" s="1183"/>
      <c r="DK100" s="1183"/>
      <c r="DL100" s="1183"/>
      <c r="DM100" s="1183"/>
      <c r="DN100" s="1183"/>
      <c r="DO100" s="1183"/>
      <c r="DP100" s="1183"/>
      <c r="DQ100" s="1183"/>
    </row>
    <row r="101" spans="1:121" s="12" customFormat="1" ht="12" customHeight="1" x14ac:dyDescent="0.35">
      <c r="A101" s="1476" t="s">
        <v>368</v>
      </c>
      <c r="B101" s="1504">
        <f>SUMIF($I$2:$BP$2,"&lt;="&amp;B$23,$W493:$CD493)</f>
        <v>0</v>
      </c>
      <c r="C101" s="1504">
        <f>SUMIF($I$2:$BP$2,"&lt;="&amp;C$23,$W493:$CD493)</f>
        <v>0</v>
      </c>
      <c r="D101" s="1504">
        <f>SUMIF($I$2:$BP$2,"&lt;="&amp;D$23,$W493:$CD493)</f>
        <v>0</v>
      </c>
      <c r="E101" s="1477"/>
      <c r="F101" s="1477"/>
      <c r="G101" s="1478"/>
      <c r="H101" s="1513">
        <f>IF(Input!D1573&lt;0,Input!D1573,0)</f>
        <v>0</v>
      </c>
      <c r="I101" s="1478"/>
      <c r="J101" s="1478"/>
      <c r="K101" s="1478"/>
      <c r="L101" s="1478"/>
      <c r="M101" s="1478"/>
      <c r="N101" s="1478"/>
      <c r="O101" s="1478"/>
      <c r="P101" s="1478"/>
      <c r="Q101" s="1478"/>
      <c r="R101" s="1478"/>
      <c r="S101" s="1478"/>
      <c r="T101" s="1478"/>
      <c r="U101" s="1478"/>
      <c r="V101" s="1478"/>
      <c r="W101" s="1478"/>
      <c r="X101" s="1478"/>
      <c r="Y101" s="1478"/>
      <c r="Z101" s="1478"/>
      <c r="AA101" s="1478"/>
      <c r="AB101" s="1478"/>
      <c r="AC101" s="1478"/>
      <c r="AD101" s="1478"/>
      <c r="AE101" s="1478"/>
      <c r="AF101" s="1479"/>
      <c r="AG101" s="1479"/>
      <c r="AH101" s="1479"/>
      <c r="AI101" s="1479"/>
      <c r="AJ101" s="1479"/>
      <c r="AK101" s="1479"/>
      <c r="AL101" s="1479"/>
      <c r="AM101" s="1479"/>
      <c r="AN101" s="1479"/>
      <c r="AO101" s="1479"/>
      <c r="AP101" s="1479"/>
      <c r="AQ101" s="1479"/>
      <c r="AR101" s="1479"/>
      <c r="AS101" s="1479"/>
      <c r="AT101" s="1479"/>
      <c r="AU101" s="1479"/>
      <c r="AV101" s="1479"/>
      <c r="AW101" s="1479"/>
      <c r="AX101" s="1479"/>
      <c r="AY101" s="1479"/>
      <c r="AZ101" s="1479"/>
      <c r="BA101" s="1479"/>
      <c r="BB101" s="1479"/>
      <c r="BC101" s="1479"/>
      <c r="BD101" s="1479"/>
      <c r="BE101" s="1479"/>
      <c r="BF101" s="1479"/>
      <c r="BG101" s="1544"/>
      <c r="BH101" s="1544"/>
      <c r="BI101" s="1544"/>
      <c r="BJ101" s="1544"/>
      <c r="BK101" s="1544"/>
      <c r="BL101" s="1544"/>
      <c r="BM101" s="1544"/>
      <c r="BN101" s="1544"/>
      <c r="BO101" s="1544"/>
      <c r="BP101" s="1544"/>
      <c r="BQ101" s="43"/>
      <c r="BR101" s="43"/>
      <c r="BS101" s="43"/>
      <c r="BT101" s="43"/>
      <c r="BU101" s="43"/>
      <c r="BV101" s="43"/>
      <c r="BW101" s="1436">
        <f>Infrastructure!M34</f>
        <v>0</v>
      </c>
      <c r="BX101" s="1437">
        <f>$AH$3</f>
        <v>0</v>
      </c>
      <c r="BY101" s="1437">
        <f>$AH$8</f>
        <v>0</v>
      </c>
      <c r="BZ101" s="1183"/>
      <c r="CA101" s="1183"/>
      <c r="CB101" s="1183"/>
      <c r="CC101" s="1183"/>
      <c r="CD101" s="484">
        <f>$AW$38</f>
        <v>0</v>
      </c>
      <c r="CE101" s="484">
        <f>$AW$39</f>
        <v>0</v>
      </c>
      <c r="CF101" s="484">
        <f>$AW$40</f>
        <v>0</v>
      </c>
      <c r="CG101" s="484">
        <f>$AW$41</f>
        <v>0</v>
      </c>
      <c r="CH101" s="484">
        <f>$AW$42</f>
        <v>0</v>
      </c>
      <c r="CI101" s="484">
        <f>$AW$43</f>
        <v>0</v>
      </c>
      <c r="CJ101" s="484">
        <f>$AW$44</f>
        <v>0</v>
      </c>
      <c r="CK101" s="484">
        <f>$AW$45</f>
        <v>0</v>
      </c>
      <c r="CL101" s="484">
        <f>$AW$46</f>
        <v>0</v>
      </c>
      <c r="CM101" s="484">
        <f>$AW$47</f>
        <v>0</v>
      </c>
      <c r="CN101" s="1183"/>
      <c r="CO101" s="1183"/>
      <c r="CP101" s="1183"/>
      <c r="CQ101" s="1183"/>
      <c r="CR101" s="1183"/>
      <c r="CS101" s="1183"/>
      <c r="CT101" s="1183"/>
      <c r="CU101" s="1183"/>
      <c r="CV101" s="1183"/>
      <c r="CW101" s="1183"/>
      <c r="CX101" s="1183"/>
      <c r="CY101" s="1183"/>
      <c r="CZ101" s="1183"/>
      <c r="DA101" s="1183"/>
      <c r="DB101" s="1183"/>
      <c r="DC101" s="1183"/>
      <c r="DD101" s="1183"/>
      <c r="DE101" s="1183"/>
      <c r="DF101" s="1183"/>
      <c r="DG101" s="1183"/>
      <c r="DH101" s="1183"/>
      <c r="DI101" s="1183"/>
      <c r="DJ101" s="1183"/>
      <c r="DK101" s="1183"/>
      <c r="DL101" s="1183"/>
      <c r="DM101" s="1183"/>
      <c r="DN101" s="1183"/>
      <c r="DO101" s="1183"/>
      <c r="DP101" s="1183"/>
      <c r="DQ101" s="1183"/>
    </row>
    <row r="102" spans="1:121" s="12" customFormat="1" ht="12" customHeight="1" x14ac:dyDescent="0.35">
      <c r="A102" s="1478"/>
      <c r="B102" s="1478"/>
      <c r="C102" s="1478"/>
      <c r="D102" s="1478"/>
      <c r="E102" s="1477"/>
      <c r="F102" s="1477"/>
      <c r="G102" s="1478"/>
      <c r="H102" s="1479"/>
      <c r="I102" s="1529">
        <f>I76</f>
        <v>0</v>
      </c>
      <c r="J102" s="1529">
        <f t="shared" ref="J102:BP102" si="72">J76</f>
        <v>59</v>
      </c>
      <c r="K102" s="1529">
        <f t="shared" si="72"/>
        <v>91</v>
      </c>
      <c r="L102" s="1529">
        <f t="shared" si="72"/>
        <v>121</v>
      </c>
      <c r="M102" s="1529">
        <f t="shared" si="72"/>
        <v>152</v>
      </c>
      <c r="N102" s="1529">
        <f t="shared" si="72"/>
        <v>182</v>
      </c>
      <c r="O102" s="1529">
        <f t="shared" si="72"/>
        <v>213</v>
      </c>
      <c r="P102" s="1529">
        <f t="shared" si="72"/>
        <v>244</v>
      </c>
      <c r="Q102" s="1529">
        <f t="shared" si="72"/>
        <v>274</v>
      </c>
      <c r="R102" s="1529">
        <f t="shared" si="72"/>
        <v>305</v>
      </c>
      <c r="S102" s="1529">
        <f t="shared" si="72"/>
        <v>335</v>
      </c>
      <c r="T102" s="1529">
        <f t="shared" si="72"/>
        <v>366</v>
      </c>
      <c r="U102" s="1529">
        <f t="shared" si="72"/>
        <v>397</v>
      </c>
      <c r="V102" s="1529">
        <f t="shared" si="72"/>
        <v>425</v>
      </c>
      <c r="W102" s="1529">
        <f t="shared" si="72"/>
        <v>456</v>
      </c>
      <c r="X102" s="1529">
        <f t="shared" si="72"/>
        <v>486</v>
      </c>
      <c r="Y102" s="1529">
        <f t="shared" si="72"/>
        <v>517</v>
      </c>
      <c r="Z102" s="1529">
        <f t="shared" si="72"/>
        <v>547</v>
      </c>
      <c r="AA102" s="1529">
        <f t="shared" si="72"/>
        <v>578</v>
      </c>
      <c r="AB102" s="1529">
        <f t="shared" si="72"/>
        <v>609</v>
      </c>
      <c r="AC102" s="1529">
        <f t="shared" si="72"/>
        <v>639</v>
      </c>
      <c r="AD102" s="1529">
        <f t="shared" si="72"/>
        <v>670</v>
      </c>
      <c r="AE102" s="1529">
        <f t="shared" si="72"/>
        <v>700</v>
      </c>
      <c r="AF102" s="1529">
        <f t="shared" si="72"/>
        <v>731</v>
      </c>
      <c r="AG102" s="1529">
        <f t="shared" si="72"/>
        <v>762</v>
      </c>
      <c r="AH102" s="1529">
        <f t="shared" si="72"/>
        <v>790</v>
      </c>
      <c r="AI102" s="1529">
        <f t="shared" si="72"/>
        <v>821</v>
      </c>
      <c r="AJ102" s="1529">
        <f t="shared" si="72"/>
        <v>851</v>
      </c>
      <c r="AK102" s="1529">
        <f t="shared" si="72"/>
        <v>882</v>
      </c>
      <c r="AL102" s="1529">
        <f t="shared" si="72"/>
        <v>912</v>
      </c>
      <c r="AM102" s="1529">
        <f t="shared" si="72"/>
        <v>943</v>
      </c>
      <c r="AN102" s="1529">
        <f t="shared" si="72"/>
        <v>974</v>
      </c>
      <c r="AO102" s="1529">
        <f t="shared" si="72"/>
        <v>1004</v>
      </c>
      <c r="AP102" s="1529">
        <f t="shared" si="72"/>
        <v>1035</v>
      </c>
      <c r="AQ102" s="1529">
        <f t="shared" si="72"/>
        <v>1065</v>
      </c>
      <c r="AR102" s="1529">
        <f t="shared" si="72"/>
        <v>1096</v>
      </c>
      <c r="AS102" s="1529">
        <f t="shared" si="72"/>
        <v>1127</v>
      </c>
      <c r="AT102" s="1529">
        <f t="shared" si="72"/>
        <v>1155</v>
      </c>
      <c r="AU102" s="1529">
        <f t="shared" si="72"/>
        <v>1186</v>
      </c>
      <c r="AV102" s="1529">
        <f t="shared" si="72"/>
        <v>1216</v>
      </c>
      <c r="AW102" s="1529">
        <f t="shared" si="72"/>
        <v>1247</v>
      </c>
      <c r="AX102" s="1529">
        <f t="shared" si="72"/>
        <v>1277</v>
      </c>
      <c r="AY102" s="1529">
        <f t="shared" si="72"/>
        <v>1308</v>
      </c>
      <c r="AZ102" s="1529">
        <f t="shared" si="72"/>
        <v>1339</v>
      </c>
      <c r="BA102" s="1529">
        <f t="shared" si="72"/>
        <v>1369</v>
      </c>
      <c r="BB102" s="1529">
        <f t="shared" si="72"/>
        <v>1400</v>
      </c>
      <c r="BC102" s="1529">
        <f t="shared" si="72"/>
        <v>1430</v>
      </c>
      <c r="BD102" s="1529">
        <f t="shared" si="72"/>
        <v>1461</v>
      </c>
      <c r="BE102" s="1529">
        <f t="shared" si="72"/>
        <v>1492</v>
      </c>
      <c r="BF102" s="1529">
        <f t="shared" si="72"/>
        <v>1521</v>
      </c>
      <c r="BG102" s="1544">
        <f t="shared" si="72"/>
        <v>1552</v>
      </c>
      <c r="BH102" s="1544">
        <f t="shared" si="72"/>
        <v>1582</v>
      </c>
      <c r="BI102" s="1544">
        <f t="shared" si="72"/>
        <v>1613</v>
      </c>
      <c r="BJ102" s="1544">
        <f t="shared" si="72"/>
        <v>1643</v>
      </c>
      <c r="BK102" s="1544">
        <f t="shared" si="72"/>
        <v>1674</v>
      </c>
      <c r="BL102" s="1544">
        <f t="shared" si="72"/>
        <v>1705</v>
      </c>
      <c r="BM102" s="1544">
        <f t="shared" si="72"/>
        <v>1735</v>
      </c>
      <c r="BN102" s="1544">
        <f t="shared" si="72"/>
        <v>1766</v>
      </c>
      <c r="BO102" s="1544">
        <f t="shared" si="72"/>
        <v>1796</v>
      </c>
      <c r="BP102" s="1544">
        <f t="shared" si="72"/>
        <v>1827</v>
      </c>
      <c r="BQ102" s="43"/>
      <c r="BR102" s="43"/>
      <c r="BS102" s="43"/>
      <c r="BT102" s="43"/>
      <c r="BU102" s="43"/>
      <c r="BV102" s="43"/>
      <c r="BW102" s="1436">
        <f>Infrastructure!M35</f>
        <v>0</v>
      </c>
      <c r="BX102" s="1437">
        <f>$AI$3</f>
        <v>0</v>
      </c>
      <c r="BY102" s="1437">
        <f>$AI$8</f>
        <v>0</v>
      </c>
      <c r="BZ102" s="1183"/>
      <c r="CA102" s="1183"/>
      <c r="CB102" s="1183"/>
      <c r="CC102" s="1183"/>
      <c r="CD102" s="484">
        <f>$AX$38</f>
        <v>0</v>
      </c>
      <c r="CE102" s="484">
        <f>$AX$39</f>
        <v>0</v>
      </c>
      <c r="CF102" s="484">
        <f>$AX$40</f>
        <v>0</v>
      </c>
      <c r="CG102" s="484">
        <f>$AX$41</f>
        <v>0</v>
      </c>
      <c r="CH102" s="484">
        <f>$AX$42</f>
        <v>0</v>
      </c>
      <c r="CI102" s="484">
        <f>$AX$43</f>
        <v>0</v>
      </c>
      <c r="CJ102" s="484">
        <f>$AX$44</f>
        <v>0</v>
      </c>
      <c r="CK102" s="484">
        <f>$AX$45</f>
        <v>0</v>
      </c>
      <c r="CL102" s="484">
        <f>$AX$46</f>
        <v>0</v>
      </c>
      <c r="CM102" s="484">
        <f>$AX$47</f>
        <v>0</v>
      </c>
      <c r="CN102" s="1183"/>
      <c r="CO102" s="1183"/>
      <c r="CP102" s="1183"/>
      <c r="CQ102" s="1183"/>
      <c r="CR102" s="1183"/>
      <c r="CS102" s="1183"/>
      <c r="CT102" s="1183"/>
      <c r="CU102" s="1183"/>
      <c r="CV102" s="1183"/>
      <c r="CW102" s="1183"/>
      <c r="CX102" s="1183"/>
      <c r="CY102" s="1183"/>
      <c r="CZ102" s="1183"/>
      <c r="DA102" s="1183"/>
      <c r="DB102" s="1183"/>
      <c r="DC102" s="1183"/>
      <c r="DD102" s="1183"/>
      <c r="DE102" s="1183"/>
      <c r="DF102" s="1183"/>
      <c r="DG102" s="1183"/>
      <c r="DH102" s="1183"/>
      <c r="DI102" s="1183"/>
      <c r="DJ102" s="1183"/>
      <c r="DK102" s="1183"/>
      <c r="DL102" s="1183"/>
      <c r="DM102" s="1183"/>
      <c r="DN102" s="1183"/>
      <c r="DO102" s="1183"/>
      <c r="DP102" s="1183"/>
      <c r="DQ102" s="1183"/>
    </row>
    <row r="103" spans="1:121" s="12" customFormat="1" ht="12" customHeight="1" x14ac:dyDescent="0.35">
      <c r="A103" s="1489" t="s">
        <v>404</v>
      </c>
      <c r="B103" s="1478"/>
      <c r="C103" s="1478"/>
      <c r="D103" s="1478"/>
      <c r="E103" s="1478"/>
      <c r="F103" s="1530"/>
      <c r="G103" s="1531"/>
      <c r="H103" s="1532"/>
      <c r="I103" s="1532">
        <f>EOMONTH(I100,0)</f>
        <v>31</v>
      </c>
      <c r="J103" s="1532">
        <f>EOMONTH(I103,1)</f>
        <v>59</v>
      </c>
      <c r="K103" s="1532">
        <f t="shared" ref="K103:AE103" si="73">EOMONTH(J103,1)</f>
        <v>91</v>
      </c>
      <c r="L103" s="1532">
        <f t="shared" si="73"/>
        <v>121</v>
      </c>
      <c r="M103" s="1532">
        <f t="shared" si="73"/>
        <v>152</v>
      </c>
      <c r="N103" s="1532">
        <f t="shared" si="73"/>
        <v>182</v>
      </c>
      <c r="O103" s="1532">
        <f t="shared" si="73"/>
        <v>213</v>
      </c>
      <c r="P103" s="1532">
        <f t="shared" si="73"/>
        <v>244</v>
      </c>
      <c r="Q103" s="1532">
        <f t="shared" si="73"/>
        <v>274</v>
      </c>
      <c r="R103" s="1532">
        <f t="shared" si="73"/>
        <v>305</v>
      </c>
      <c r="S103" s="1532">
        <f t="shared" si="73"/>
        <v>335</v>
      </c>
      <c r="T103" s="1532">
        <f t="shared" si="73"/>
        <v>366</v>
      </c>
      <c r="U103" s="1532">
        <f>EOMONTH(T103,1)</f>
        <v>397</v>
      </c>
      <c r="V103" s="1532">
        <f>EOMONTH(U103,1)</f>
        <v>425</v>
      </c>
      <c r="W103" s="1532">
        <f t="shared" si="73"/>
        <v>456</v>
      </c>
      <c r="X103" s="1532">
        <f>EOMONTH(W103,1)</f>
        <v>486</v>
      </c>
      <c r="Y103" s="1532">
        <f t="shared" si="73"/>
        <v>517</v>
      </c>
      <c r="Z103" s="1532">
        <f t="shared" si="73"/>
        <v>547</v>
      </c>
      <c r="AA103" s="1532">
        <f t="shared" si="73"/>
        <v>578</v>
      </c>
      <c r="AB103" s="1532">
        <f t="shared" si="73"/>
        <v>609</v>
      </c>
      <c r="AC103" s="1532">
        <f t="shared" si="73"/>
        <v>639</v>
      </c>
      <c r="AD103" s="1532">
        <f t="shared" si="73"/>
        <v>670</v>
      </c>
      <c r="AE103" s="1532">
        <f t="shared" si="73"/>
        <v>700</v>
      </c>
      <c r="AF103" s="1533">
        <f t="shared" ref="AF103:BP103" si="74">EOMONTH(AE103,1)</f>
        <v>731</v>
      </c>
      <c r="AG103" s="1533">
        <f t="shared" si="74"/>
        <v>762</v>
      </c>
      <c r="AH103" s="1533">
        <f t="shared" si="74"/>
        <v>790</v>
      </c>
      <c r="AI103" s="1533">
        <f t="shared" si="74"/>
        <v>821</v>
      </c>
      <c r="AJ103" s="1533">
        <f t="shared" si="74"/>
        <v>851</v>
      </c>
      <c r="AK103" s="1533">
        <f t="shared" si="74"/>
        <v>882</v>
      </c>
      <c r="AL103" s="1533">
        <f t="shared" si="74"/>
        <v>912</v>
      </c>
      <c r="AM103" s="1533">
        <f t="shared" si="74"/>
        <v>943</v>
      </c>
      <c r="AN103" s="1533">
        <f t="shared" si="74"/>
        <v>974</v>
      </c>
      <c r="AO103" s="1533">
        <f t="shared" si="74"/>
        <v>1004</v>
      </c>
      <c r="AP103" s="1533">
        <f t="shared" si="74"/>
        <v>1035</v>
      </c>
      <c r="AQ103" s="1533">
        <f t="shared" si="74"/>
        <v>1065</v>
      </c>
      <c r="AR103" s="1533">
        <f t="shared" si="74"/>
        <v>1096</v>
      </c>
      <c r="AS103" s="1533">
        <f t="shared" si="74"/>
        <v>1127</v>
      </c>
      <c r="AT103" s="1533">
        <f t="shared" si="74"/>
        <v>1155</v>
      </c>
      <c r="AU103" s="1533">
        <f t="shared" si="74"/>
        <v>1186</v>
      </c>
      <c r="AV103" s="1533">
        <f t="shared" si="74"/>
        <v>1216</v>
      </c>
      <c r="AW103" s="1533">
        <f t="shared" si="74"/>
        <v>1247</v>
      </c>
      <c r="AX103" s="1533">
        <f t="shared" si="74"/>
        <v>1277</v>
      </c>
      <c r="AY103" s="1533">
        <f t="shared" si="74"/>
        <v>1308</v>
      </c>
      <c r="AZ103" s="1533">
        <f t="shared" si="74"/>
        <v>1339</v>
      </c>
      <c r="BA103" s="1533">
        <f t="shared" si="74"/>
        <v>1369</v>
      </c>
      <c r="BB103" s="1533">
        <f t="shared" si="74"/>
        <v>1400</v>
      </c>
      <c r="BC103" s="1533">
        <f t="shared" si="74"/>
        <v>1430</v>
      </c>
      <c r="BD103" s="1533">
        <f t="shared" si="74"/>
        <v>1461</v>
      </c>
      <c r="BE103" s="1533">
        <f t="shared" si="74"/>
        <v>1492</v>
      </c>
      <c r="BF103" s="1533">
        <f t="shared" si="74"/>
        <v>1521</v>
      </c>
      <c r="BG103" s="1544">
        <f t="shared" si="74"/>
        <v>1552</v>
      </c>
      <c r="BH103" s="1544">
        <f t="shared" si="74"/>
        <v>1582</v>
      </c>
      <c r="BI103" s="1544">
        <f t="shared" si="74"/>
        <v>1613</v>
      </c>
      <c r="BJ103" s="1544">
        <f t="shared" si="74"/>
        <v>1643</v>
      </c>
      <c r="BK103" s="1544">
        <f t="shared" si="74"/>
        <v>1674</v>
      </c>
      <c r="BL103" s="1544">
        <f t="shared" si="74"/>
        <v>1705</v>
      </c>
      <c r="BM103" s="1544">
        <f t="shared" si="74"/>
        <v>1735</v>
      </c>
      <c r="BN103" s="1544">
        <f t="shared" si="74"/>
        <v>1766</v>
      </c>
      <c r="BO103" s="1544">
        <f t="shared" si="74"/>
        <v>1796</v>
      </c>
      <c r="BP103" s="1544">
        <f t="shared" si="74"/>
        <v>1827</v>
      </c>
      <c r="BQ103" s="43"/>
      <c r="BR103" s="43"/>
      <c r="BS103" s="43"/>
      <c r="BT103" s="43"/>
      <c r="BU103" s="43"/>
      <c r="BV103" s="43"/>
      <c r="BW103" s="1436">
        <f>Infrastructure!M36</f>
        <v>0</v>
      </c>
      <c r="BX103" s="1437">
        <f>$AJ$3</f>
        <v>0</v>
      </c>
      <c r="BY103" s="1437">
        <f>$AJ$8</f>
        <v>0</v>
      </c>
      <c r="BZ103" s="1183"/>
      <c r="CA103" s="1183"/>
      <c r="CB103" s="1183"/>
      <c r="CC103" s="1183"/>
      <c r="CD103" s="484">
        <f>$AY$38</f>
        <v>0</v>
      </c>
      <c r="CE103" s="484">
        <f>$AY$39</f>
        <v>0</v>
      </c>
      <c r="CF103" s="484">
        <f>$AY$40</f>
        <v>0</v>
      </c>
      <c r="CG103" s="484">
        <f>$AY$41</f>
        <v>0</v>
      </c>
      <c r="CH103" s="484">
        <f>$AY$42</f>
        <v>0</v>
      </c>
      <c r="CI103" s="484">
        <f>$AY$43</f>
        <v>0</v>
      </c>
      <c r="CJ103" s="484">
        <f>$AY$44</f>
        <v>0</v>
      </c>
      <c r="CK103" s="484">
        <f>$AY$45</f>
        <v>0</v>
      </c>
      <c r="CL103" s="484">
        <f>$AY$46</f>
        <v>0</v>
      </c>
      <c r="CM103" s="484">
        <f>$AY$47</f>
        <v>0</v>
      </c>
      <c r="CN103" s="1183"/>
      <c r="CO103" s="1183"/>
      <c r="CP103" s="1183"/>
      <c r="CQ103" s="1183"/>
      <c r="CR103" s="1183"/>
      <c r="CS103" s="1183"/>
      <c r="CT103" s="1183"/>
      <c r="CU103" s="1183"/>
      <c r="CV103" s="1183"/>
      <c r="CW103" s="1183"/>
      <c r="CX103" s="1183"/>
      <c r="CY103" s="1183"/>
      <c r="CZ103" s="1183"/>
      <c r="DA103" s="1183"/>
      <c r="DB103" s="1183"/>
      <c r="DC103" s="1183"/>
      <c r="DD103" s="1183"/>
      <c r="DE103" s="1183"/>
      <c r="DF103" s="1183"/>
      <c r="DG103" s="1183"/>
      <c r="DH103" s="1183"/>
      <c r="DI103" s="1183"/>
      <c r="DJ103" s="1183"/>
      <c r="DK103" s="1183"/>
      <c r="DL103" s="1183"/>
      <c r="DM103" s="1183"/>
      <c r="DN103" s="1183"/>
      <c r="DO103" s="1183"/>
      <c r="DP103" s="1183"/>
      <c r="DQ103" s="1183"/>
    </row>
    <row r="104" spans="1:121" s="12" customFormat="1" ht="12" customHeight="1" x14ac:dyDescent="0.35">
      <c r="A104" s="1476" t="s">
        <v>366</v>
      </c>
      <c r="B104" s="1504">
        <f>SUMIF($I$2:$BP$2,B$23,$W$606:$CD$606)</f>
        <v>0</v>
      </c>
      <c r="C104" s="1504">
        <f>SUMIF($I$2:$BP$2,C$23,$W$606:$CD$606)</f>
        <v>0</v>
      </c>
      <c r="D104" s="1504">
        <f>SUMIF($I$2:$BP$2,D$23,$W$606:$CD$606)</f>
        <v>0</v>
      </c>
      <c r="E104" s="1478"/>
      <c r="F104" s="1530"/>
      <c r="G104" s="1531"/>
      <c r="H104" s="1479" t="s">
        <v>405</v>
      </c>
      <c r="I104" s="1534">
        <f>Financials!E138-Financials!E140-Financials!E142-Financials!E143</f>
        <v>0</v>
      </c>
      <c r="J104" s="1534">
        <f>Financials!F138-Financials!F140-Financials!F142-Financials!F143</f>
        <v>0</v>
      </c>
      <c r="K104" s="1534">
        <f>Financials!G138-Financials!G140-Financials!G142-Financials!G143</f>
        <v>0</v>
      </c>
      <c r="L104" s="1534">
        <f>Financials!H138-Financials!H140-Financials!H142-Financials!H143</f>
        <v>0</v>
      </c>
      <c r="M104" s="1534">
        <f>Financials!I138-Financials!I140-Financials!I142-Financials!I143</f>
        <v>0</v>
      </c>
      <c r="N104" s="1534">
        <f>Financials!J138-Financials!J140-Financials!J142-Financials!J143</f>
        <v>0</v>
      </c>
      <c r="O104" s="1534">
        <f>Financials!K138-Financials!K140-Financials!K142-Financials!K143</f>
        <v>0</v>
      </c>
      <c r="P104" s="1534">
        <f>Financials!L138-Financials!L140-Financials!L142-Financials!L143</f>
        <v>0</v>
      </c>
      <c r="Q104" s="1534">
        <f>Financials!M138-Financials!M140-Financials!M142-Financials!M143</f>
        <v>0</v>
      </c>
      <c r="R104" s="1534">
        <f>Financials!N138-Financials!N140-Financials!N142-Financials!N143</f>
        <v>0</v>
      </c>
      <c r="S104" s="1534">
        <f>Financials!O138-Financials!O140-Financials!O142-Financials!O143</f>
        <v>0</v>
      </c>
      <c r="T104" s="1534">
        <f>Financials!P138-Financials!P140-Financials!P142-Financials!P143</f>
        <v>0</v>
      </c>
      <c r="U104" s="1534">
        <f>Financials!R138-Financials!R140-Financials!R142-Financials!R143</f>
        <v>0</v>
      </c>
      <c r="V104" s="1534">
        <f>Financials!S138-Financials!S140-Financials!S142-Financials!S143</f>
        <v>0</v>
      </c>
      <c r="W104" s="1534">
        <f>Financials!T138-Financials!T140-Financials!T142-Financials!T143</f>
        <v>0</v>
      </c>
      <c r="X104" s="1534">
        <f>Financials!U138-Financials!U140-Financials!U142-Financials!U143</f>
        <v>0</v>
      </c>
      <c r="Y104" s="1534">
        <f>Financials!V138-Financials!V140-Financials!V142-Financials!V143</f>
        <v>0</v>
      </c>
      <c r="Z104" s="1534">
        <f>Financials!W138-Financials!W140-Financials!W142-Financials!W143</f>
        <v>0</v>
      </c>
      <c r="AA104" s="1534">
        <f>Financials!X138-Financials!X140-Financials!X142-Financials!X143</f>
        <v>0</v>
      </c>
      <c r="AB104" s="1534">
        <f>Financials!Y138-Financials!Y140-Financials!Y142-Financials!Y143</f>
        <v>0</v>
      </c>
      <c r="AC104" s="1534">
        <f>Financials!Z138-Financials!Z140-Financials!Z142-Financials!Z143</f>
        <v>0</v>
      </c>
      <c r="AD104" s="1534">
        <f>Financials!AA138-Financials!AA140-Financials!AA142-Financials!AA143</f>
        <v>0</v>
      </c>
      <c r="AE104" s="1534">
        <f>Financials!AB138-Financials!AB140-Financials!AB142-Financials!AB143</f>
        <v>0</v>
      </c>
      <c r="AF104" s="1535">
        <f>Financials!AC138-Financials!AC140-Financials!AC142-Financials!AC143</f>
        <v>0</v>
      </c>
      <c r="AG104" s="1535">
        <f>Financials!AE138-Financials!AE140-Financials!AE142-Financials!AE143</f>
        <v>0</v>
      </c>
      <c r="AH104" s="1535">
        <f>Financials!AF138-Financials!AF140-Financials!AF142-Financials!AF143</f>
        <v>0</v>
      </c>
      <c r="AI104" s="1535">
        <f>Financials!AG138-Financials!AG140-Financials!AG142-Financials!AG143</f>
        <v>0</v>
      </c>
      <c r="AJ104" s="1535">
        <f>Financials!AH138-Financials!AH140-Financials!AH142-Financials!AH143</f>
        <v>0</v>
      </c>
      <c r="AK104" s="1535">
        <f>Financials!AI138-Financials!AI140-Financials!AI142-Financials!AI143</f>
        <v>0</v>
      </c>
      <c r="AL104" s="1535">
        <f>Financials!AJ138-Financials!AJ140-Financials!AJ142-Financials!AJ143</f>
        <v>0</v>
      </c>
      <c r="AM104" s="1535">
        <f>Financials!AK138-Financials!AK140-Financials!AK142-Financials!AK143</f>
        <v>0</v>
      </c>
      <c r="AN104" s="1535">
        <f>Financials!AL138-Financials!AL140-Financials!AL142-Financials!AL143</f>
        <v>0</v>
      </c>
      <c r="AO104" s="1535">
        <f>Financials!AM138-Financials!AM140-Financials!AM142-Financials!AM143</f>
        <v>0</v>
      </c>
      <c r="AP104" s="1535">
        <f>Financials!AN138-Financials!AN140-Financials!AN142-Financials!AN143</f>
        <v>0</v>
      </c>
      <c r="AQ104" s="1535">
        <f>Financials!AO138-Financials!AO140-Financials!AO142-Financials!AO143</f>
        <v>0</v>
      </c>
      <c r="AR104" s="1535">
        <f>Financials!AP138-Financials!AP140-Financials!AP142-Financials!AP143</f>
        <v>0</v>
      </c>
      <c r="AS104" s="1535">
        <f>Financials!AR138-Financials!AR140-Financials!AR142-Financials!AR143</f>
        <v>0</v>
      </c>
      <c r="AT104" s="1535">
        <f>Financials!AS138-Financials!AS140-Financials!AS142-Financials!AS143</f>
        <v>0</v>
      </c>
      <c r="AU104" s="1535">
        <f>Financials!AT138-Financials!AT140-Financials!AT142-Financials!AT143</f>
        <v>0</v>
      </c>
      <c r="AV104" s="1535">
        <f>Financials!AU138-Financials!AU140-Financials!AU142-Financials!AU143</f>
        <v>0</v>
      </c>
      <c r="AW104" s="1535">
        <f>Financials!AV138-Financials!AV140-Financials!AV142-Financials!AV143</f>
        <v>0</v>
      </c>
      <c r="AX104" s="1535">
        <f>Financials!AW138-Financials!AW140-Financials!AW142-Financials!AW143</f>
        <v>0</v>
      </c>
      <c r="AY104" s="1535">
        <f>Financials!AX138-Financials!AX140-Financials!AX142-Financials!AX143</f>
        <v>0</v>
      </c>
      <c r="AZ104" s="1535">
        <f>Financials!AY138-Financials!AY140-Financials!AY142-Financials!AY143</f>
        <v>0</v>
      </c>
      <c r="BA104" s="1535">
        <f>Financials!AZ138-Financials!AZ140-Financials!AZ142-Financials!AZ143</f>
        <v>0</v>
      </c>
      <c r="BB104" s="1535">
        <f>Financials!BA138-Financials!BA140-Financials!BA142-Financials!BA143</f>
        <v>0</v>
      </c>
      <c r="BC104" s="1535">
        <f>Financials!BB138-Financials!BB140-Financials!BB142-Financials!BB143</f>
        <v>0</v>
      </c>
      <c r="BD104" s="1535">
        <f>Financials!BC138-Financials!BC140-Financials!BC142-Financials!BC143</f>
        <v>0</v>
      </c>
      <c r="BE104" s="1535">
        <f>Financials!BE138-Financials!BE140-Financials!BE142-Financials!BE143</f>
        <v>0</v>
      </c>
      <c r="BF104" s="1535">
        <f>Financials!BF138-Financials!BF140-Financials!BF142-Financials!BF143</f>
        <v>0</v>
      </c>
      <c r="BG104" s="1544">
        <f>Financials!BG138-Financials!BG140-Financials!BG142-Financials!BG143</f>
        <v>0</v>
      </c>
      <c r="BH104" s="1544">
        <f>Financials!BH138-Financials!BH140-Financials!BH142-Financials!BH143</f>
        <v>0</v>
      </c>
      <c r="BI104" s="1544">
        <f>Financials!BI138-Financials!BI140-Financials!BI142-Financials!BI143</f>
        <v>0</v>
      </c>
      <c r="BJ104" s="1544">
        <f>Financials!BJ138-Financials!BJ140-Financials!BJ142-Financials!BJ143</f>
        <v>0</v>
      </c>
      <c r="BK104" s="1544">
        <f>Financials!BK138-Financials!BK140-Financials!BK142-Financials!BK143</f>
        <v>0</v>
      </c>
      <c r="BL104" s="1544">
        <f>Financials!BL138-Financials!BL140-Financials!BL142-Financials!BL143</f>
        <v>0</v>
      </c>
      <c r="BM104" s="1544">
        <f>Financials!BM138-Financials!BM140-Financials!BM142-Financials!BM143</f>
        <v>0</v>
      </c>
      <c r="BN104" s="1544">
        <f>Financials!BN138-Financials!BN140-Financials!BN142-Financials!BN143</f>
        <v>0</v>
      </c>
      <c r="BO104" s="1544">
        <f>Financials!BO138-Financials!BO140-Financials!BO142-Financials!BO143</f>
        <v>0</v>
      </c>
      <c r="BP104" s="1544">
        <f>Financials!BP138-Financials!BP140-Financials!BP142-Financials!BP143</f>
        <v>0</v>
      </c>
      <c r="BQ104" s="43"/>
      <c r="BR104" s="43"/>
      <c r="BS104" s="43"/>
      <c r="BT104" s="43"/>
      <c r="BU104" s="43"/>
      <c r="BV104" s="43"/>
      <c r="BW104" s="1436">
        <f>Infrastructure!M37</f>
        <v>0</v>
      </c>
      <c r="BX104" s="1437">
        <f>$AK$3</f>
        <v>0</v>
      </c>
      <c r="BY104" s="1437">
        <f>$AK$8</f>
        <v>0</v>
      </c>
      <c r="BZ104" s="1183"/>
      <c r="CA104" s="1183"/>
      <c r="CB104" s="1183"/>
      <c r="CC104" s="1183"/>
      <c r="CD104" s="484">
        <f>$AZ$38</f>
        <v>0</v>
      </c>
      <c r="CE104" s="484">
        <f>$AZ$39</f>
        <v>0</v>
      </c>
      <c r="CF104" s="484">
        <f>$AZ$40</f>
        <v>0</v>
      </c>
      <c r="CG104" s="484">
        <f>$AZ$41</f>
        <v>0</v>
      </c>
      <c r="CH104" s="484">
        <f>$AZ$42</f>
        <v>0</v>
      </c>
      <c r="CI104" s="484">
        <f>$AZ$43</f>
        <v>0</v>
      </c>
      <c r="CJ104" s="484">
        <f>$AZ$44</f>
        <v>0</v>
      </c>
      <c r="CK104" s="484">
        <f>$AZ$45</f>
        <v>0</v>
      </c>
      <c r="CL104" s="484">
        <f>$AZ$46</f>
        <v>0</v>
      </c>
      <c r="CM104" s="484">
        <f>$AZ$47</f>
        <v>0</v>
      </c>
      <c r="CN104" s="1183"/>
      <c r="CO104" s="1183"/>
      <c r="CP104" s="1183"/>
      <c r="CQ104" s="1183"/>
      <c r="CR104" s="1183"/>
      <c r="CS104" s="1183"/>
      <c r="CT104" s="1183"/>
      <c r="CU104" s="1183"/>
      <c r="CV104" s="1183"/>
      <c r="CW104" s="1183"/>
      <c r="CX104" s="1183"/>
      <c r="CY104" s="1183"/>
      <c r="CZ104" s="1183"/>
      <c r="DA104" s="1183"/>
      <c r="DB104" s="1183"/>
      <c r="DC104" s="1183"/>
      <c r="DD104" s="1183"/>
      <c r="DE104" s="1183"/>
      <c r="DF104" s="1183"/>
      <c r="DG104" s="1183"/>
      <c r="DH104" s="1183"/>
      <c r="DI104" s="1183"/>
      <c r="DJ104" s="1183"/>
      <c r="DK104" s="1183"/>
      <c r="DL104" s="1183"/>
      <c r="DM104" s="1183"/>
      <c r="DN104" s="1183"/>
      <c r="DO104" s="1183"/>
      <c r="DP104" s="1183"/>
      <c r="DQ104" s="1183"/>
    </row>
    <row r="105" spans="1:121" s="12" customFormat="1" ht="12" customHeight="1" x14ac:dyDescent="0.35">
      <c r="A105" s="1476" t="s">
        <v>368</v>
      </c>
      <c r="B105" s="1504">
        <f>SUMIF($I$2:$BP$2,"&lt;="&amp;B$23,$W$606:$CD$606)</f>
        <v>0</v>
      </c>
      <c r="C105" s="1504">
        <f>SUMIF($I$2:$BP$2,"&lt;="&amp;C$23,$W$606:$CD$606)</f>
        <v>0</v>
      </c>
      <c r="D105" s="1504">
        <f>SUMIF($I$2:$BP$2,"&lt;="&amp;D$23,$W$606:$CD$606)</f>
        <v>0</v>
      </c>
      <c r="E105" s="1478"/>
      <c r="F105" s="1530"/>
      <c r="G105" s="1531"/>
      <c r="H105" s="1479" t="s">
        <v>406</v>
      </c>
      <c r="I105" s="1512">
        <f>H101+I104</f>
        <v>0</v>
      </c>
      <c r="J105" s="1512">
        <f t="shared" ref="J105:T105" si="75">J104+I105</f>
        <v>0</v>
      </c>
      <c r="K105" s="1512">
        <f t="shared" si="75"/>
        <v>0</v>
      </c>
      <c r="L105" s="1512">
        <f t="shared" si="75"/>
        <v>0</v>
      </c>
      <c r="M105" s="1512">
        <f t="shared" si="75"/>
        <v>0</v>
      </c>
      <c r="N105" s="1512">
        <f t="shared" si="75"/>
        <v>0</v>
      </c>
      <c r="O105" s="1512">
        <f t="shared" si="75"/>
        <v>0</v>
      </c>
      <c r="P105" s="1512">
        <f t="shared" si="75"/>
        <v>0</v>
      </c>
      <c r="Q105" s="1512">
        <f t="shared" si="75"/>
        <v>0</v>
      </c>
      <c r="R105" s="1512">
        <f t="shared" si="75"/>
        <v>0</v>
      </c>
      <c r="S105" s="1512">
        <f t="shared" si="75"/>
        <v>0</v>
      </c>
      <c r="T105" s="1512">
        <f t="shared" si="75"/>
        <v>0</v>
      </c>
      <c r="U105" s="1512">
        <f>IF(T105&gt;0,U104,T105+U104)</f>
        <v>0</v>
      </c>
      <c r="V105" s="1512">
        <f>V104+U105</f>
        <v>0</v>
      </c>
      <c r="W105" s="1512">
        <f t="shared" ref="W105:AE105" si="76">W104+V105</f>
        <v>0</v>
      </c>
      <c r="X105" s="1512">
        <f t="shared" si="76"/>
        <v>0</v>
      </c>
      <c r="Y105" s="1512">
        <f t="shared" si="76"/>
        <v>0</v>
      </c>
      <c r="Z105" s="1512">
        <f t="shared" si="76"/>
        <v>0</v>
      </c>
      <c r="AA105" s="1512">
        <f t="shared" si="76"/>
        <v>0</v>
      </c>
      <c r="AB105" s="1512">
        <f t="shared" si="76"/>
        <v>0</v>
      </c>
      <c r="AC105" s="1512">
        <f t="shared" si="76"/>
        <v>0</v>
      </c>
      <c r="AD105" s="1512">
        <f t="shared" si="76"/>
        <v>0</v>
      </c>
      <c r="AE105" s="1512">
        <f t="shared" si="76"/>
        <v>0</v>
      </c>
      <c r="AF105" s="1513">
        <f>AF104+AE105</f>
        <v>0</v>
      </c>
      <c r="AG105" s="1513">
        <f>IF(AF105&gt;0,AG104,AF105+AG104)</f>
        <v>0</v>
      </c>
      <c r="AH105" s="1513">
        <f t="shared" ref="AH105:AR105" si="77">AH104+AG105</f>
        <v>0</v>
      </c>
      <c r="AI105" s="1513">
        <f t="shared" si="77"/>
        <v>0</v>
      </c>
      <c r="AJ105" s="1513">
        <f t="shared" si="77"/>
        <v>0</v>
      </c>
      <c r="AK105" s="1513">
        <f t="shared" si="77"/>
        <v>0</v>
      </c>
      <c r="AL105" s="1513">
        <f t="shared" si="77"/>
        <v>0</v>
      </c>
      <c r="AM105" s="1513">
        <f t="shared" si="77"/>
        <v>0</v>
      </c>
      <c r="AN105" s="1513">
        <f t="shared" si="77"/>
        <v>0</v>
      </c>
      <c r="AO105" s="1513">
        <f t="shared" si="77"/>
        <v>0</v>
      </c>
      <c r="AP105" s="1513">
        <f t="shared" si="77"/>
        <v>0</v>
      </c>
      <c r="AQ105" s="1513">
        <f t="shared" si="77"/>
        <v>0</v>
      </c>
      <c r="AR105" s="1513">
        <f t="shared" si="77"/>
        <v>0</v>
      </c>
      <c r="AS105" s="1513">
        <f>IF(AR105&gt;0,AS104,AR105+AS104)</f>
        <v>0</v>
      </c>
      <c r="AT105" s="1513">
        <f t="shared" ref="AT105:BD105" si="78">AT104+AS105</f>
        <v>0</v>
      </c>
      <c r="AU105" s="1513">
        <f t="shared" si="78"/>
        <v>0</v>
      </c>
      <c r="AV105" s="1513">
        <f t="shared" si="78"/>
        <v>0</v>
      </c>
      <c r="AW105" s="1513">
        <f t="shared" si="78"/>
        <v>0</v>
      </c>
      <c r="AX105" s="1513">
        <f t="shared" si="78"/>
        <v>0</v>
      </c>
      <c r="AY105" s="1513">
        <f t="shared" si="78"/>
        <v>0</v>
      </c>
      <c r="AZ105" s="1513">
        <f t="shared" si="78"/>
        <v>0</v>
      </c>
      <c r="BA105" s="1513">
        <f t="shared" si="78"/>
        <v>0</v>
      </c>
      <c r="BB105" s="1513">
        <f t="shared" si="78"/>
        <v>0</v>
      </c>
      <c r="BC105" s="1513">
        <f t="shared" si="78"/>
        <v>0</v>
      </c>
      <c r="BD105" s="1513">
        <f t="shared" si="78"/>
        <v>0</v>
      </c>
      <c r="BE105" s="1513">
        <f>IF(BD105&gt;0,BE104,BD105+BE104)</f>
        <v>0</v>
      </c>
      <c r="BF105" s="1513">
        <f t="shared" ref="BF105:BP105" si="79">BF104+BE105</f>
        <v>0</v>
      </c>
      <c r="BG105" s="1544">
        <f t="shared" si="79"/>
        <v>0</v>
      </c>
      <c r="BH105" s="1544">
        <f t="shared" si="79"/>
        <v>0</v>
      </c>
      <c r="BI105" s="1544">
        <f t="shared" si="79"/>
        <v>0</v>
      </c>
      <c r="BJ105" s="1544">
        <f t="shared" si="79"/>
        <v>0</v>
      </c>
      <c r="BK105" s="1544">
        <f t="shared" si="79"/>
        <v>0</v>
      </c>
      <c r="BL105" s="1544">
        <f t="shared" si="79"/>
        <v>0</v>
      </c>
      <c r="BM105" s="1544">
        <f t="shared" si="79"/>
        <v>0</v>
      </c>
      <c r="BN105" s="1544">
        <f t="shared" si="79"/>
        <v>0</v>
      </c>
      <c r="BO105" s="1544">
        <f t="shared" si="79"/>
        <v>0</v>
      </c>
      <c r="BP105" s="1544">
        <f t="shared" si="79"/>
        <v>0</v>
      </c>
      <c r="BQ105" s="43"/>
      <c r="BR105" s="43"/>
      <c r="BS105" s="43"/>
      <c r="BT105" s="43"/>
      <c r="BU105" s="43"/>
      <c r="BV105" s="43"/>
      <c r="BW105" s="1436">
        <f>Infrastructure!M38</f>
        <v>0</v>
      </c>
      <c r="BX105" s="1437">
        <f>$AL$3</f>
        <v>0</v>
      </c>
      <c r="BY105" s="1437">
        <f>$AL$8</f>
        <v>0</v>
      </c>
      <c r="BZ105" s="1183"/>
      <c r="CA105" s="1183"/>
      <c r="CB105" s="1183"/>
      <c r="CC105" s="1183"/>
      <c r="CD105" s="484">
        <f>$BA$38</f>
        <v>0</v>
      </c>
      <c r="CE105" s="484">
        <f>$BA$39</f>
        <v>0</v>
      </c>
      <c r="CF105" s="484">
        <f>$BA$40</f>
        <v>0</v>
      </c>
      <c r="CG105" s="484">
        <f>$BA$41</f>
        <v>0</v>
      </c>
      <c r="CH105" s="484">
        <f>$BA$42</f>
        <v>0</v>
      </c>
      <c r="CI105" s="484">
        <f>$BA$43</f>
        <v>0</v>
      </c>
      <c r="CJ105" s="484">
        <f>$BA$44</f>
        <v>0</v>
      </c>
      <c r="CK105" s="484">
        <f>$BA$45</f>
        <v>0</v>
      </c>
      <c r="CL105" s="484">
        <f>$BA$46</f>
        <v>0</v>
      </c>
      <c r="CM105" s="484">
        <f>$BA$47</f>
        <v>0</v>
      </c>
      <c r="CN105" s="1183"/>
      <c r="CO105" s="1183"/>
      <c r="CP105" s="1183"/>
      <c r="CQ105" s="1183"/>
      <c r="CR105" s="1183"/>
      <c r="CS105" s="1183"/>
      <c r="CT105" s="1183"/>
      <c r="CU105" s="1183"/>
      <c r="CV105" s="1183"/>
      <c r="CW105" s="1183"/>
      <c r="CX105" s="1183"/>
      <c r="CY105" s="1183"/>
      <c r="CZ105" s="1183"/>
      <c r="DA105" s="1183"/>
      <c r="DB105" s="1183"/>
      <c r="DC105" s="1183"/>
      <c r="DD105" s="1183"/>
      <c r="DE105" s="1183"/>
      <c r="DF105" s="1183"/>
      <c r="DG105" s="1183"/>
      <c r="DH105" s="1183"/>
      <c r="DI105" s="1183"/>
      <c r="DJ105" s="1183"/>
      <c r="DK105" s="1183"/>
      <c r="DL105" s="1183"/>
      <c r="DM105" s="1183"/>
      <c r="DN105" s="1183"/>
      <c r="DO105" s="1183"/>
      <c r="DP105" s="1183"/>
      <c r="DQ105" s="1183"/>
    </row>
    <row r="106" spans="1:121" s="12" customFormat="1" ht="12" customHeight="1" x14ac:dyDescent="0.35">
      <c r="A106" s="1478"/>
      <c r="B106" s="1478"/>
      <c r="C106" s="1478"/>
      <c r="D106" s="1478"/>
      <c r="E106" s="1478"/>
      <c r="F106" s="1530"/>
      <c r="G106" s="1531"/>
      <c r="H106" s="1479" t="s">
        <v>407</v>
      </c>
      <c r="I106" s="1512"/>
      <c r="J106" s="1512"/>
      <c r="K106" s="1512"/>
      <c r="L106" s="1512"/>
      <c r="M106" s="1512"/>
      <c r="N106" s="1512"/>
      <c r="O106" s="1512"/>
      <c r="P106" s="1512"/>
      <c r="Q106" s="1512"/>
      <c r="R106" s="1512"/>
      <c r="S106" s="1512"/>
      <c r="T106" s="1512">
        <f>IF(T$105&gt;0,T$105*$I$96,0)</f>
        <v>0</v>
      </c>
      <c r="U106" s="1478"/>
      <c r="V106" s="1478"/>
      <c r="W106" s="1478"/>
      <c r="X106" s="1478"/>
      <c r="Y106" s="1478"/>
      <c r="Z106" s="1478"/>
      <c r="AA106" s="1478"/>
      <c r="AB106" s="1478"/>
      <c r="AC106" s="1478"/>
      <c r="AD106" s="1478"/>
      <c r="AE106" s="1478"/>
      <c r="AF106" s="1513">
        <f>IF(AF$105&gt;0,AF$105*$I$96,0)</f>
        <v>0</v>
      </c>
      <c r="AG106" s="1479"/>
      <c r="AH106" s="1479"/>
      <c r="AI106" s="1479"/>
      <c r="AJ106" s="1479"/>
      <c r="AK106" s="1479"/>
      <c r="AL106" s="1479"/>
      <c r="AM106" s="1479"/>
      <c r="AN106" s="1479"/>
      <c r="AO106" s="1479"/>
      <c r="AP106" s="1479"/>
      <c r="AQ106" s="1479"/>
      <c r="AR106" s="1513">
        <f>IF(AR$105&gt;0,AR$105*$I$96,0)</f>
        <v>0</v>
      </c>
      <c r="AS106" s="1479"/>
      <c r="AT106" s="1479"/>
      <c r="AU106" s="1479"/>
      <c r="AV106" s="1479"/>
      <c r="AW106" s="1479"/>
      <c r="AX106" s="1479"/>
      <c r="AY106" s="1479"/>
      <c r="AZ106" s="1479"/>
      <c r="BA106" s="1479"/>
      <c r="BB106" s="1479"/>
      <c r="BC106" s="1479"/>
      <c r="BD106" s="1513">
        <f>IF(BD$105&gt;0,BD$105*$I$96,0)</f>
        <v>0</v>
      </c>
      <c r="BE106" s="1479"/>
      <c r="BF106" s="1479"/>
      <c r="BG106" s="1544"/>
      <c r="BH106" s="1544"/>
      <c r="BI106" s="1544"/>
      <c r="BJ106" s="1544"/>
      <c r="BK106" s="1544"/>
      <c r="BL106" s="1544"/>
      <c r="BM106" s="1544"/>
      <c r="BN106" s="1544"/>
      <c r="BO106" s="1544"/>
      <c r="BP106" s="1544">
        <f>IF(BP$105&gt;0,BP$105*$I$96,0)</f>
        <v>0</v>
      </c>
      <c r="BQ106" s="43"/>
      <c r="BR106" s="43"/>
      <c r="BS106" s="43"/>
      <c r="BT106" s="43"/>
      <c r="BU106" s="43"/>
      <c r="BV106" s="43"/>
      <c r="BW106" s="1436">
        <f>Infrastructure!M39</f>
        <v>0</v>
      </c>
      <c r="BX106" s="1437">
        <f>$AM$3</f>
        <v>0</v>
      </c>
      <c r="BY106" s="1437">
        <f>$AM$8</f>
        <v>0</v>
      </c>
      <c r="BZ106" s="1183"/>
      <c r="CA106" s="1183"/>
      <c r="CB106" s="1183"/>
      <c r="CC106" s="1183"/>
      <c r="CD106" s="484">
        <f>$BB$38</f>
        <v>0</v>
      </c>
      <c r="CE106" s="484">
        <f>$BB$39</f>
        <v>0</v>
      </c>
      <c r="CF106" s="484">
        <f>$BB$40</f>
        <v>0</v>
      </c>
      <c r="CG106" s="484">
        <f>$BB$41</f>
        <v>0</v>
      </c>
      <c r="CH106" s="484">
        <f>$BB$42</f>
        <v>0</v>
      </c>
      <c r="CI106" s="484">
        <f>$BB$43</f>
        <v>0</v>
      </c>
      <c r="CJ106" s="484">
        <f>$BB$44</f>
        <v>0</v>
      </c>
      <c r="CK106" s="484">
        <f>$BB$45</f>
        <v>0</v>
      </c>
      <c r="CL106" s="484">
        <f>$BB$46</f>
        <v>0</v>
      </c>
      <c r="CM106" s="484">
        <f>$BB$47</f>
        <v>0</v>
      </c>
      <c r="CN106" s="1183"/>
      <c r="CO106" s="1183"/>
      <c r="CP106" s="1183"/>
      <c r="CQ106" s="1183"/>
      <c r="CR106" s="1183"/>
      <c r="CS106" s="1183"/>
      <c r="CT106" s="1183"/>
      <c r="CU106" s="1183"/>
      <c r="CV106" s="1183"/>
      <c r="CW106" s="1183"/>
      <c r="CX106" s="1183"/>
      <c r="CY106" s="1183"/>
      <c r="CZ106" s="1183"/>
      <c r="DA106" s="1183"/>
      <c r="DB106" s="1183"/>
      <c r="DC106" s="1183"/>
      <c r="DD106" s="1183"/>
      <c r="DE106" s="1183"/>
      <c r="DF106" s="1183"/>
      <c r="DG106" s="1183"/>
      <c r="DH106" s="1183"/>
      <c r="DI106" s="1183"/>
      <c r="DJ106" s="1183"/>
      <c r="DK106" s="1183"/>
      <c r="DL106" s="1183"/>
      <c r="DM106" s="1183"/>
      <c r="DN106" s="1183"/>
      <c r="DO106" s="1183"/>
      <c r="DP106" s="1183"/>
      <c r="DQ106" s="1183"/>
    </row>
    <row r="107" spans="1:121" s="12" customFormat="1" ht="12" customHeight="1" x14ac:dyDescent="0.35">
      <c r="A107" s="1489" t="s">
        <v>408</v>
      </c>
      <c r="B107" s="1478"/>
      <c r="C107" s="1478"/>
      <c r="D107" s="1478"/>
      <c r="E107" s="1478"/>
      <c r="F107" s="1530"/>
      <c r="G107" s="1531"/>
      <c r="H107" s="1479" t="s">
        <v>409</v>
      </c>
      <c r="I107" s="1478"/>
      <c r="J107" s="1478"/>
      <c r="K107" s="1478"/>
      <c r="L107" s="1478"/>
      <c r="M107" s="1478"/>
      <c r="N107" s="1478"/>
      <c r="O107" s="1478"/>
      <c r="P107" s="1478"/>
      <c r="Q107" s="1478"/>
      <c r="R107" s="1478"/>
      <c r="S107" s="1478"/>
      <c r="T107" s="1512">
        <f>IF(T$105&gt;0,T$105*$I$97,0)</f>
        <v>0</v>
      </c>
      <c r="U107" s="1478"/>
      <c r="V107" s="1478"/>
      <c r="W107" s="1478"/>
      <c r="X107" s="1478"/>
      <c r="Y107" s="1478"/>
      <c r="Z107" s="1478"/>
      <c r="AA107" s="1478"/>
      <c r="AB107" s="1478"/>
      <c r="AC107" s="1478"/>
      <c r="AD107" s="1478"/>
      <c r="AE107" s="1478"/>
      <c r="AF107" s="1513">
        <f>IF(AF$105&gt;0,AF$105*$I$97,0)</f>
        <v>0</v>
      </c>
      <c r="AG107" s="1479"/>
      <c r="AH107" s="1479"/>
      <c r="AI107" s="1479"/>
      <c r="AJ107" s="1479"/>
      <c r="AK107" s="1479"/>
      <c r="AL107" s="1479"/>
      <c r="AM107" s="1479"/>
      <c r="AN107" s="1479"/>
      <c r="AO107" s="1479"/>
      <c r="AP107" s="1479"/>
      <c r="AQ107" s="1479"/>
      <c r="AR107" s="1513">
        <f>IF(AR$105&gt;0,AR$105*$I$97,0)</f>
        <v>0</v>
      </c>
      <c r="AS107" s="1479"/>
      <c r="AT107" s="1479"/>
      <c r="AU107" s="1479"/>
      <c r="AV107" s="1479"/>
      <c r="AW107" s="1479"/>
      <c r="AX107" s="1479"/>
      <c r="AY107" s="1479"/>
      <c r="AZ107" s="1479"/>
      <c r="BA107" s="1479"/>
      <c r="BB107" s="1479"/>
      <c r="BC107" s="1479"/>
      <c r="BD107" s="1513">
        <f>IF(BD$105&gt;0,BD$105*$I$97,0)</f>
        <v>0</v>
      </c>
      <c r="BE107" s="1479"/>
      <c r="BF107" s="1479"/>
      <c r="BG107" s="1544"/>
      <c r="BH107" s="1544"/>
      <c r="BI107" s="1544"/>
      <c r="BJ107" s="1544"/>
      <c r="BK107" s="1544"/>
      <c r="BL107" s="1544"/>
      <c r="BM107" s="1544"/>
      <c r="BN107" s="1544"/>
      <c r="BO107" s="1544"/>
      <c r="BP107" s="1544">
        <f>IF(BP$105&gt;0,BP$105*$I$97,0)</f>
        <v>0</v>
      </c>
      <c r="BQ107" s="43"/>
      <c r="BR107" s="43"/>
      <c r="BS107" s="43"/>
      <c r="BT107" s="43"/>
      <c r="BU107" s="43"/>
      <c r="BV107" s="43"/>
      <c r="BW107" s="1436">
        <f>Infrastructure!M40</f>
        <v>0</v>
      </c>
      <c r="BX107" s="1437">
        <f>$AN$3</f>
        <v>0</v>
      </c>
      <c r="BY107" s="1437">
        <f>$AN$8</f>
        <v>0</v>
      </c>
      <c r="BZ107" s="1183"/>
      <c r="CA107" s="1183"/>
      <c r="CB107" s="1183"/>
      <c r="CC107" s="1183"/>
      <c r="CD107" s="484">
        <f>$BC$38</f>
        <v>0</v>
      </c>
      <c r="CE107" s="484">
        <f>$BC$39</f>
        <v>0</v>
      </c>
      <c r="CF107" s="484">
        <f>$BC$40</f>
        <v>0</v>
      </c>
      <c r="CG107" s="484">
        <f>$BC$41</f>
        <v>0</v>
      </c>
      <c r="CH107" s="484">
        <f>$BC$42</f>
        <v>0</v>
      </c>
      <c r="CI107" s="484">
        <f>$BC$43</f>
        <v>0</v>
      </c>
      <c r="CJ107" s="484">
        <f>$BC$44</f>
        <v>0</v>
      </c>
      <c r="CK107" s="484">
        <f>$BC$45</f>
        <v>0</v>
      </c>
      <c r="CL107" s="484">
        <f>$BC$46</f>
        <v>0</v>
      </c>
      <c r="CM107" s="484">
        <f>$BC$47</f>
        <v>0</v>
      </c>
      <c r="CN107" s="1183"/>
      <c r="CO107" s="1183"/>
      <c r="CP107" s="1183"/>
      <c r="CQ107" s="1183"/>
      <c r="CR107" s="1183"/>
      <c r="CS107" s="1183"/>
      <c r="CT107" s="1183"/>
      <c r="CU107" s="1183"/>
      <c r="CV107" s="1183"/>
      <c r="CW107" s="1183"/>
      <c r="CX107" s="1183"/>
      <c r="CY107" s="1183"/>
      <c r="CZ107" s="1183"/>
      <c r="DA107" s="1183"/>
      <c r="DB107" s="1183"/>
      <c r="DC107" s="1183"/>
      <c r="DD107" s="1183"/>
      <c r="DE107" s="1183"/>
      <c r="DF107" s="1183"/>
      <c r="DG107" s="1183"/>
      <c r="DH107" s="1183"/>
      <c r="DI107" s="1183"/>
      <c r="DJ107" s="1183"/>
      <c r="DK107" s="1183"/>
      <c r="DL107" s="1183"/>
      <c r="DM107" s="1183"/>
      <c r="DN107" s="1183"/>
      <c r="DO107" s="1183"/>
      <c r="DP107" s="1183"/>
      <c r="DQ107" s="1183"/>
    </row>
    <row r="108" spans="1:121" s="12" customFormat="1" ht="12" customHeight="1" x14ac:dyDescent="0.35">
      <c r="A108" s="1476" t="s">
        <v>366</v>
      </c>
      <c r="B108" s="1504">
        <f>SUMIF($I$2:$BP$2,B$23,$W$474:$CD$474)</f>
        <v>0</v>
      </c>
      <c r="C108" s="1504">
        <f>SUMIF($I$2:$BP$2,C$23,$W$474:$CD$474)</f>
        <v>0</v>
      </c>
      <c r="D108" s="1504">
        <f>SUMIF($I$2:$BP$2,D$23,$W$474:$CD$474)</f>
        <v>0</v>
      </c>
      <c r="E108" s="1478"/>
      <c r="F108" s="1530"/>
      <c r="G108" s="1531"/>
      <c r="H108" s="1479" t="s">
        <v>410</v>
      </c>
      <c r="I108" s="1478"/>
      <c r="J108" s="1478"/>
      <c r="K108" s="1478"/>
      <c r="L108" s="1478"/>
      <c r="M108" s="1478"/>
      <c r="N108" s="1478"/>
      <c r="O108" s="1478"/>
      <c r="P108" s="1478"/>
      <c r="Q108" s="1478"/>
      <c r="R108" s="1478"/>
      <c r="S108" s="1478"/>
      <c r="T108" s="1536">
        <f>T106+T107</f>
        <v>0</v>
      </c>
      <c r="U108" s="1478"/>
      <c r="V108" s="1478"/>
      <c r="W108" s="1478"/>
      <c r="X108" s="1478"/>
      <c r="Y108" s="1478"/>
      <c r="Z108" s="1478"/>
      <c r="AA108" s="1478"/>
      <c r="AB108" s="1478"/>
      <c r="AC108" s="1478"/>
      <c r="AD108" s="1478"/>
      <c r="AE108" s="1478"/>
      <c r="AF108" s="1537">
        <f>AF106+AF107</f>
        <v>0</v>
      </c>
      <c r="AG108" s="1479"/>
      <c r="AH108" s="1479"/>
      <c r="AI108" s="1479"/>
      <c r="AJ108" s="1479"/>
      <c r="AK108" s="1479"/>
      <c r="AL108" s="1479"/>
      <c r="AM108" s="1479"/>
      <c r="AN108" s="1479"/>
      <c r="AO108" s="1479"/>
      <c r="AP108" s="1479"/>
      <c r="AQ108" s="1479"/>
      <c r="AR108" s="1537">
        <f>AR106+AR107</f>
        <v>0</v>
      </c>
      <c r="AS108" s="1479"/>
      <c r="AT108" s="1479"/>
      <c r="AU108" s="1479"/>
      <c r="AV108" s="1479"/>
      <c r="AW108" s="1479"/>
      <c r="AX108" s="1479"/>
      <c r="AY108" s="1479"/>
      <c r="AZ108" s="1479"/>
      <c r="BA108" s="1479"/>
      <c r="BB108" s="1479"/>
      <c r="BC108" s="1479"/>
      <c r="BD108" s="1537">
        <f>BD106+BD107</f>
        <v>0</v>
      </c>
      <c r="BE108" s="1479"/>
      <c r="BF108" s="1479"/>
      <c r="BG108" s="1544"/>
      <c r="BH108" s="1544"/>
      <c r="BI108" s="1544"/>
      <c r="BJ108" s="1544"/>
      <c r="BK108" s="1544"/>
      <c r="BL108" s="1544"/>
      <c r="BM108" s="1544"/>
      <c r="BN108" s="1544"/>
      <c r="BO108" s="1544"/>
      <c r="BP108" s="1544">
        <f>BP106+BP107</f>
        <v>0</v>
      </c>
      <c r="BQ108" s="43"/>
      <c r="BR108" s="43"/>
      <c r="BS108" s="43"/>
      <c r="BT108" s="43"/>
      <c r="BU108" s="43"/>
      <c r="BV108" s="43"/>
      <c r="BW108" s="1436">
        <f>Infrastructure!M41</f>
        <v>0</v>
      </c>
      <c r="BX108" s="1437">
        <f>$AO$3</f>
        <v>0</v>
      </c>
      <c r="BY108" s="1437">
        <f>$AO$8</f>
        <v>0</v>
      </c>
      <c r="BZ108" s="1183"/>
      <c r="CA108" s="1183"/>
      <c r="CB108" s="1183"/>
      <c r="CC108" s="1183"/>
      <c r="CD108" s="484">
        <f>$BD$38</f>
        <v>0</v>
      </c>
      <c r="CE108" s="484">
        <f>$BD$39</f>
        <v>0</v>
      </c>
      <c r="CF108" s="484">
        <f>$BD$40</f>
        <v>0</v>
      </c>
      <c r="CG108" s="484">
        <f>$BD$41</f>
        <v>0</v>
      </c>
      <c r="CH108" s="484">
        <f>$BD$42</f>
        <v>0</v>
      </c>
      <c r="CI108" s="484">
        <f>$BD$43</f>
        <v>0</v>
      </c>
      <c r="CJ108" s="484">
        <f>$BD$44</f>
        <v>0</v>
      </c>
      <c r="CK108" s="484">
        <f>$BD$45</f>
        <v>0</v>
      </c>
      <c r="CL108" s="484">
        <f>$BD$46</f>
        <v>0</v>
      </c>
      <c r="CM108" s="484">
        <f>$BD$47</f>
        <v>0</v>
      </c>
      <c r="CN108" s="1183"/>
      <c r="CO108" s="1183"/>
      <c r="CP108" s="1183"/>
      <c r="CQ108" s="1183"/>
      <c r="CR108" s="1183"/>
      <c r="CS108" s="1183"/>
      <c r="CT108" s="1183"/>
      <c r="CU108" s="1183"/>
      <c r="CV108" s="1183"/>
      <c r="CW108" s="1183"/>
      <c r="CX108" s="1183"/>
      <c r="CY108" s="1183"/>
      <c r="CZ108" s="1183"/>
      <c r="DA108" s="1183"/>
      <c r="DB108" s="1183"/>
      <c r="DC108" s="1183"/>
      <c r="DD108" s="1183"/>
      <c r="DE108" s="1183"/>
      <c r="DF108" s="1183"/>
      <c r="DG108" s="1183"/>
      <c r="DH108" s="1183"/>
      <c r="DI108" s="1183"/>
      <c r="DJ108" s="1183"/>
      <c r="DK108" s="1183"/>
      <c r="DL108" s="1183"/>
      <c r="DM108" s="1183"/>
      <c r="DN108" s="1183"/>
      <c r="DO108" s="1183"/>
      <c r="DP108" s="1183"/>
      <c r="DQ108" s="1183"/>
    </row>
    <row r="109" spans="1:121" s="12" customFormat="1" ht="12" customHeight="1" x14ac:dyDescent="0.35">
      <c r="A109" s="1476" t="s">
        <v>368</v>
      </c>
      <c r="B109" s="1504">
        <f>SUMIF($I$2:$BP$2,"&lt;="&amp;B$23,$W$474:$CD$474)</f>
        <v>0</v>
      </c>
      <c r="C109" s="1504">
        <f>SUMIF($I$2:$BP$2,"&lt;="&amp;C$23,$W$474:$CD$474)</f>
        <v>0</v>
      </c>
      <c r="D109" s="1504">
        <f>SUMIF($I$2:$BP$2,"&lt;="&amp;D$23,$W$474:$CD$474)</f>
        <v>0</v>
      </c>
      <c r="E109" s="1478"/>
      <c r="F109" s="1530"/>
      <c r="G109" s="1531"/>
      <c r="H109" s="1479"/>
      <c r="I109" s="1478"/>
      <c r="J109" s="1478"/>
      <c r="K109" s="1478"/>
      <c r="L109" s="1478"/>
      <c r="M109" s="1478"/>
      <c r="N109" s="1478"/>
      <c r="O109" s="1478"/>
      <c r="P109" s="1478"/>
      <c r="Q109" s="1478"/>
      <c r="R109" s="1478"/>
      <c r="S109" s="1478"/>
      <c r="T109" s="1478"/>
      <c r="U109" s="1478"/>
      <c r="V109" s="1478"/>
      <c r="W109" s="1478"/>
      <c r="X109" s="1478"/>
      <c r="Y109" s="1478"/>
      <c r="Z109" s="1478"/>
      <c r="AA109" s="1478"/>
      <c r="AB109" s="1478"/>
      <c r="AC109" s="1478"/>
      <c r="AD109" s="1478"/>
      <c r="AE109" s="1478"/>
      <c r="AF109" s="1479"/>
      <c r="AG109" s="1479"/>
      <c r="AH109" s="1479"/>
      <c r="AI109" s="1479"/>
      <c r="AJ109" s="1479"/>
      <c r="AK109" s="1479"/>
      <c r="AL109" s="1479"/>
      <c r="AM109" s="1479"/>
      <c r="AN109" s="1479"/>
      <c r="AO109" s="1479"/>
      <c r="AP109" s="1479"/>
      <c r="AQ109" s="1479"/>
      <c r="AR109" s="1479"/>
      <c r="AS109" s="1479"/>
      <c r="AT109" s="1479"/>
      <c r="AU109" s="1479"/>
      <c r="AV109" s="1479"/>
      <c r="AW109" s="1479"/>
      <c r="AX109" s="1479"/>
      <c r="AY109" s="1479"/>
      <c r="AZ109" s="1479"/>
      <c r="BA109" s="1479"/>
      <c r="BB109" s="1479"/>
      <c r="BC109" s="1479"/>
      <c r="BD109" s="1479"/>
      <c r="BE109" s="1479"/>
      <c r="BF109" s="1479"/>
      <c r="BG109" s="1544"/>
      <c r="BH109" s="1544"/>
      <c r="BI109" s="1544"/>
      <c r="BJ109" s="1544"/>
      <c r="BK109" s="1544"/>
      <c r="BL109" s="1544"/>
      <c r="BM109" s="1544"/>
      <c r="BN109" s="1544"/>
      <c r="BO109" s="1544"/>
      <c r="BP109" s="1544"/>
      <c r="BQ109" s="43"/>
      <c r="BR109" s="43"/>
      <c r="BS109" s="43"/>
      <c r="BT109" s="43"/>
      <c r="BU109" s="43"/>
      <c r="BV109" s="43"/>
      <c r="BW109" s="1436">
        <f>Infrastructure!M42</f>
        <v>0</v>
      </c>
      <c r="BX109" s="1437">
        <f>$AP$3</f>
        <v>0</v>
      </c>
      <c r="BY109" s="1437">
        <f>$AP$8</f>
        <v>0</v>
      </c>
      <c r="BZ109" s="1183"/>
      <c r="CA109" s="1183"/>
      <c r="CB109" s="1183"/>
      <c r="CC109" s="1183"/>
      <c r="CD109" s="484">
        <f>$BE$38</f>
        <v>0</v>
      </c>
      <c r="CE109" s="484">
        <f>$BE$39</f>
        <v>0</v>
      </c>
      <c r="CF109" s="484">
        <f>$BE$40</f>
        <v>0</v>
      </c>
      <c r="CG109" s="484">
        <f>$BE$41</f>
        <v>0</v>
      </c>
      <c r="CH109" s="484">
        <f>$BE$42</f>
        <v>0</v>
      </c>
      <c r="CI109" s="484">
        <f>$BE$43</f>
        <v>0</v>
      </c>
      <c r="CJ109" s="484">
        <f>$BE$44</f>
        <v>0</v>
      </c>
      <c r="CK109" s="484">
        <f>$BE$45</f>
        <v>0</v>
      </c>
      <c r="CL109" s="484">
        <f>$BE$46</f>
        <v>0</v>
      </c>
      <c r="CM109" s="484">
        <f>$BE$47</f>
        <v>0</v>
      </c>
      <c r="CN109" s="1183"/>
      <c r="CO109" s="1183"/>
      <c r="CP109" s="1183"/>
      <c r="CQ109" s="1183"/>
      <c r="CR109" s="1183"/>
      <c r="CS109" s="1183"/>
      <c r="CT109" s="1183"/>
      <c r="CU109" s="1183"/>
      <c r="CV109" s="1183"/>
      <c r="CW109" s="1183"/>
      <c r="CX109" s="1183"/>
      <c r="CY109" s="1183"/>
      <c r="CZ109" s="1183"/>
      <c r="DA109" s="1183"/>
      <c r="DB109" s="1183"/>
      <c r="DC109" s="1183"/>
      <c r="DD109" s="1183"/>
      <c r="DE109" s="1183"/>
      <c r="DF109" s="1183"/>
      <c r="DG109" s="1183"/>
      <c r="DH109" s="1183"/>
      <c r="DI109" s="1183"/>
      <c r="DJ109" s="1183"/>
      <c r="DK109" s="1183"/>
      <c r="DL109" s="1183"/>
      <c r="DM109" s="1183"/>
      <c r="DN109" s="1183"/>
      <c r="DO109" s="1183"/>
      <c r="DP109" s="1183"/>
      <c r="DQ109" s="1183"/>
    </row>
    <row r="110" spans="1:121" s="12" customFormat="1" ht="12" customHeight="1" x14ac:dyDescent="0.35">
      <c r="A110" s="1478"/>
      <c r="B110" s="1478"/>
      <c r="C110" s="1478"/>
      <c r="D110" s="1478"/>
      <c r="E110" s="1478"/>
      <c r="F110" s="1530"/>
      <c r="G110" s="1531"/>
      <c r="H110" s="1479"/>
      <c r="I110" s="1504">
        <f>Financing!AR14</f>
        <v>0</v>
      </c>
      <c r="J110" s="1504">
        <f>Financing!AS14</f>
        <v>0</v>
      </c>
      <c r="K110" s="1504">
        <f>Financing!AT14</f>
        <v>0</v>
      </c>
      <c r="L110" s="1504">
        <f>Financing!AU14</f>
        <v>0</v>
      </c>
      <c r="M110" s="1504">
        <f>Financing!AV14</f>
        <v>0</v>
      </c>
      <c r="N110" s="1504">
        <f>Financing!AW14</f>
        <v>0</v>
      </c>
      <c r="O110" s="1504">
        <f>Financing!AX14</f>
        <v>0</v>
      </c>
      <c r="P110" s="1504">
        <f>Financing!AY14</f>
        <v>0</v>
      </c>
      <c r="Q110" s="1504">
        <f>Financing!AZ14</f>
        <v>0</v>
      </c>
      <c r="R110" s="1504">
        <f>Financing!BA14</f>
        <v>0</v>
      </c>
      <c r="S110" s="1504">
        <f>Financing!BB14</f>
        <v>0</v>
      </c>
      <c r="T110" s="1504">
        <f>Financing!BC14</f>
        <v>0</v>
      </c>
      <c r="U110" s="1504">
        <f>Financing!BD14</f>
        <v>0</v>
      </c>
      <c r="V110" s="1504">
        <f>Financing!BE14</f>
        <v>0</v>
      </c>
      <c r="W110" s="1504">
        <f>Financing!BF14</f>
        <v>1000000</v>
      </c>
      <c r="X110" s="1504">
        <f>Financing!BG14</f>
        <v>1000000</v>
      </c>
      <c r="Y110" s="1504">
        <f>Financing!BH14</f>
        <v>1000000</v>
      </c>
      <c r="Z110" s="1504">
        <f>Financing!BI14</f>
        <v>1000000</v>
      </c>
      <c r="AA110" s="1504">
        <f>Financing!BJ14</f>
        <v>1000000</v>
      </c>
      <c r="AB110" s="1504">
        <f>Financing!BK14</f>
        <v>1000000</v>
      </c>
      <c r="AC110" s="1504">
        <f>Financing!BL14</f>
        <v>1000000</v>
      </c>
      <c r="AD110" s="1504">
        <f>Financing!BM14</f>
        <v>1000000</v>
      </c>
      <c r="AE110" s="1504">
        <f>Financing!BN14</f>
        <v>1000000</v>
      </c>
      <c r="AF110" s="1504">
        <f>Financing!BO14</f>
        <v>1000000</v>
      </c>
      <c r="AG110" s="1504">
        <f>Financing!BP14</f>
        <v>1000000</v>
      </c>
      <c r="AH110" s="1504">
        <f>Financing!BQ14</f>
        <v>1000000</v>
      </c>
      <c r="AI110" s="1504">
        <f>Financing!BR14</f>
        <v>1000000</v>
      </c>
      <c r="AJ110" s="1504">
        <f>Financing!BS14</f>
        <v>1000000</v>
      </c>
      <c r="AK110" s="1504">
        <f>Financing!BT14</f>
        <v>1000000</v>
      </c>
      <c r="AL110" s="1504">
        <f>Financing!BU14</f>
        <v>1000000</v>
      </c>
      <c r="AM110" s="1504">
        <f>Financing!BV14</f>
        <v>1000000</v>
      </c>
      <c r="AN110" s="1504">
        <f>Financing!BW14</f>
        <v>1000000</v>
      </c>
      <c r="AO110" s="1504">
        <f>Financing!BX14</f>
        <v>1000000</v>
      </c>
      <c r="AP110" s="1504">
        <f>Financing!BY14</f>
        <v>1000000</v>
      </c>
      <c r="AQ110" s="1504">
        <f>Financing!BZ14</f>
        <v>1000000</v>
      </c>
      <c r="AR110" s="1504">
        <f>Financing!CA14</f>
        <v>1000000</v>
      </c>
      <c r="AS110" s="1504">
        <f>Financing!CB14</f>
        <v>1000000</v>
      </c>
      <c r="AT110" s="1504">
        <f>Financing!CC14</f>
        <v>1000000</v>
      </c>
      <c r="AU110" s="1504">
        <f>Financing!CD14</f>
        <v>1000000</v>
      </c>
      <c r="AV110" s="1504">
        <f>Financing!CE14</f>
        <v>1000000</v>
      </c>
      <c r="AW110" s="1504">
        <f>Financing!CF14</f>
        <v>1000000</v>
      </c>
      <c r="AX110" s="1504">
        <f>Financing!CG14</f>
        <v>1000000</v>
      </c>
      <c r="AY110" s="1504">
        <f>Financing!CH14</f>
        <v>1000000</v>
      </c>
      <c r="AZ110" s="1504">
        <f>Financing!CI14</f>
        <v>1000000</v>
      </c>
      <c r="BA110" s="1504">
        <f>Financing!CJ14</f>
        <v>1000000</v>
      </c>
      <c r="BB110" s="1504">
        <f>Financing!CK14</f>
        <v>1000000</v>
      </c>
      <c r="BC110" s="1504">
        <f>Financing!CL14</f>
        <v>1000000</v>
      </c>
      <c r="BD110" s="1504">
        <f>Financing!CM14</f>
        <v>1000000</v>
      </c>
      <c r="BE110" s="1504">
        <f>Financing!CN14</f>
        <v>1000000</v>
      </c>
      <c r="BF110" s="1504">
        <f>Financing!CO14</f>
        <v>1000000</v>
      </c>
      <c r="BG110" s="1504">
        <f>Financing!CP14</f>
        <v>1000000</v>
      </c>
      <c r="BH110" s="1504">
        <f>Financing!CQ14</f>
        <v>1000000</v>
      </c>
      <c r="BI110" s="1504">
        <f>Financing!CR14</f>
        <v>1000000</v>
      </c>
      <c r="BJ110" s="1504">
        <f>Financing!CS14</f>
        <v>1000000</v>
      </c>
      <c r="BK110" s="1504">
        <f>Financing!CT14</f>
        <v>1000000</v>
      </c>
      <c r="BL110" s="1504">
        <f>Financing!CU14</f>
        <v>1000000</v>
      </c>
      <c r="BM110" s="1504">
        <f>Financing!CV14</f>
        <v>1000000</v>
      </c>
      <c r="BN110" s="1504">
        <f>Financing!CW14</f>
        <v>1000000</v>
      </c>
      <c r="BO110" s="1504">
        <f>Financing!CX14</f>
        <v>1000000</v>
      </c>
      <c r="BP110" s="1504">
        <f>Financing!CY14</f>
        <v>1000000</v>
      </c>
      <c r="BQ110" s="43"/>
      <c r="BR110" s="43"/>
      <c r="BS110" s="43"/>
      <c r="BT110" s="43"/>
      <c r="BU110" s="43"/>
      <c r="BV110" s="43"/>
      <c r="BW110" s="1436">
        <f>Infrastructure!M43</f>
        <v>0</v>
      </c>
      <c r="BX110" s="1437">
        <f>$AQ$3</f>
        <v>0</v>
      </c>
      <c r="BY110" s="1437">
        <f>$AQ$8</f>
        <v>0</v>
      </c>
      <c r="BZ110" s="1183"/>
      <c r="CA110" s="1183"/>
      <c r="CB110" s="1183"/>
      <c r="CC110" s="1183"/>
      <c r="CD110" s="484">
        <f>$BF$38</f>
        <v>0</v>
      </c>
      <c r="CE110" s="484">
        <f>$BF$39</f>
        <v>0</v>
      </c>
      <c r="CF110" s="484">
        <f>$BF$40</f>
        <v>0</v>
      </c>
      <c r="CG110" s="484">
        <f>$BF$41</f>
        <v>0</v>
      </c>
      <c r="CH110" s="484">
        <f>$BF$42</f>
        <v>0</v>
      </c>
      <c r="CI110" s="484">
        <f>$BF$43</f>
        <v>0</v>
      </c>
      <c r="CJ110" s="484">
        <f>$BF$44</f>
        <v>0</v>
      </c>
      <c r="CK110" s="484">
        <f>$BF$45</f>
        <v>0</v>
      </c>
      <c r="CL110" s="484">
        <f>$BF$46</f>
        <v>0</v>
      </c>
      <c r="CM110" s="484">
        <f>$BF$47</f>
        <v>0</v>
      </c>
      <c r="CN110" s="1183"/>
      <c r="CO110" s="1183"/>
      <c r="CP110" s="1183"/>
      <c r="CQ110" s="1183"/>
      <c r="CR110" s="1183"/>
      <c r="CS110" s="1183"/>
      <c r="CT110" s="1183"/>
      <c r="CU110" s="1183"/>
      <c r="CV110" s="1183"/>
      <c r="CW110" s="1183"/>
      <c r="CX110" s="1183"/>
      <c r="CY110" s="1183"/>
      <c r="CZ110" s="1183"/>
      <c r="DA110" s="1183"/>
      <c r="DB110" s="1183"/>
      <c r="DC110" s="1183"/>
      <c r="DD110" s="1183"/>
      <c r="DE110" s="1183"/>
      <c r="DF110" s="1183"/>
      <c r="DG110" s="1183"/>
      <c r="DH110" s="1183"/>
      <c r="DI110" s="1183"/>
      <c r="DJ110" s="1183"/>
      <c r="DK110" s="1183"/>
      <c r="DL110" s="1183"/>
      <c r="DM110" s="1183"/>
      <c r="DN110" s="1183"/>
      <c r="DO110" s="1183"/>
      <c r="DP110" s="1183"/>
      <c r="DQ110" s="1183"/>
    </row>
    <row r="111" spans="1:121" s="12" customFormat="1" ht="12" customHeight="1" x14ac:dyDescent="0.35">
      <c r="A111" s="1489" t="s">
        <v>58</v>
      </c>
      <c r="B111" s="1477"/>
      <c r="C111" s="1476"/>
      <c r="D111" s="1477"/>
      <c r="E111" s="1478"/>
      <c r="F111" s="1530"/>
      <c r="G111" s="1531"/>
      <c r="H111" s="1479"/>
      <c r="I111" s="1478"/>
      <c r="J111" s="1478"/>
      <c r="K111" s="1538"/>
      <c r="L111" s="1804"/>
      <c r="M111" s="1804"/>
      <c r="N111" s="1804"/>
      <c r="O111" s="1804"/>
      <c r="P111" s="1804"/>
      <c r="Q111" s="1804"/>
      <c r="R111" s="1804"/>
      <c r="S111" s="1804"/>
      <c r="T111" s="1804"/>
      <c r="U111" s="1804"/>
      <c r="V111" s="1804"/>
      <c r="W111" s="1804"/>
      <c r="X111" s="1804"/>
      <c r="Y111" s="1804"/>
      <c r="Z111" s="1804"/>
      <c r="AA111" s="1804"/>
      <c r="AB111" s="1804"/>
      <c r="AC111" s="1804"/>
      <c r="AD111" s="1804"/>
      <c r="AE111" s="1804"/>
      <c r="AF111" s="1804"/>
      <c r="AG111" s="1804"/>
      <c r="AH111" s="1804"/>
      <c r="AI111" s="1804"/>
      <c r="AJ111" s="1804"/>
      <c r="AK111" s="1804"/>
      <c r="AL111" s="1804"/>
      <c r="AM111" s="1804"/>
      <c r="AN111" s="1804"/>
      <c r="AO111" s="1804"/>
      <c r="AP111" s="1804"/>
      <c r="AQ111" s="1804"/>
      <c r="AR111" s="1804"/>
      <c r="AS111" s="1804"/>
      <c r="AT111" s="1804"/>
      <c r="AU111" s="1804"/>
      <c r="AV111" s="1804"/>
      <c r="AW111" s="1804"/>
      <c r="AX111" s="1804"/>
      <c r="AY111" s="1804"/>
      <c r="AZ111" s="1804"/>
      <c r="BA111" s="1804"/>
      <c r="BB111" s="1804"/>
      <c r="BC111" s="1804"/>
      <c r="BD111" s="1804"/>
      <c r="BE111" s="1804"/>
      <c r="BF111" s="1804"/>
      <c r="BG111" s="1804"/>
      <c r="BH111" s="1804"/>
      <c r="BI111" s="1804"/>
      <c r="BJ111" s="1804"/>
      <c r="BK111" s="1804"/>
      <c r="BL111" s="1804"/>
      <c r="BM111" s="1804"/>
      <c r="BN111" s="1804"/>
      <c r="BO111" s="1804"/>
      <c r="BP111" s="1804"/>
      <c r="BQ111" s="1442"/>
      <c r="BR111" s="1442"/>
      <c r="BS111" s="1442"/>
      <c r="BT111" s="43"/>
      <c r="BU111" s="43"/>
      <c r="BV111" s="43"/>
      <c r="BW111" s="1436">
        <f>Infrastructure!M44</f>
        <v>0</v>
      </c>
      <c r="BX111" s="1437">
        <f>$AR$3</f>
        <v>0</v>
      </c>
      <c r="BY111" s="1437">
        <f>$AR$8</f>
        <v>0</v>
      </c>
      <c r="BZ111" s="1183"/>
      <c r="CA111" s="1183"/>
      <c r="CB111" s="1183"/>
      <c r="CC111" s="1183"/>
      <c r="CD111" s="484">
        <f>$BG$38</f>
        <v>0</v>
      </c>
      <c r="CE111" s="484">
        <f>$BG$39</f>
        <v>0</v>
      </c>
      <c r="CF111" s="484">
        <f>$BG$40</f>
        <v>0</v>
      </c>
      <c r="CG111" s="484">
        <f>$BG$41</f>
        <v>0</v>
      </c>
      <c r="CH111" s="484">
        <f>$BG$42</f>
        <v>0</v>
      </c>
      <c r="CI111" s="484">
        <f>$BG$43</f>
        <v>0</v>
      </c>
      <c r="CJ111" s="484">
        <f>$BG$44</f>
        <v>0</v>
      </c>
      <c r="CK111" s="484">
        <f>$BG$45</f>
        <v>0</v>
      </c>
      <c r="CL111" s="484">
        <f>$BG$46</f>
        <v>0</v>
      </c>
      <c r="CM111" s="484">
        <f>$BG$47</f>
        <v>0</v>
      </c>
      <c r="CN111" s="1183"/>
      <c r="CO111" s="1183"/>
      <c r="CP111" s="1183"/>
      <c r="CQ111" s="1183"/>
      <c r="CR111" s="1183"/>
      <c r="CS111" s="1183"/>
      <c r="CT111" s="1183"/>
      <c r="CU111" s="1183"/>
      <c r="CV111" s="1183"/>
      <c r="CW111" s="1183"/>
      <c r="CX111" s="1183"/>
      <c r="CY111" s="1183"/>
      <c r="CZ111" s="1183"/>
      <c r="DA111" s="1183"/>
      <c r="DB111" s="1183"/>
      <c r="DC111" s="1183"/>
      <c r="DD111" s="1183"/>
      <c r="DE111" s="1183"/>
      <c r="DF111" s="1183"/>
      <c r="DG111" s="1183"/>
      <c r="DH111" s="1183"/>
      <c r="DI111" s="1183"/>
      <c r="DJ111" s="1183"/>
      <c r="DK111" s="1183"/>
      <c r="DL111" s="1183"/>
      <c r="DM111" s="1183"/>
      <c r="DN111" s="1183"/>
      <c r="DO111" s="1183"/>
      <c r="DP111" s="1183"/>
      <c r="DQ111" s="1183"/>
    </row>
    <row r="112" spans="1:121" s="12" customFormat="1" ht="12" customHeight="1" x14ac:dyDescent="0.35">
      <c r="A112" s="1476" t="s">
        <v>399</v>
      </c>
      <c r="B112" s="1543">
        <f>SUMIF(Input!P88:BW88,"="&amp;B$23,Input!P100:BW100)</f>
        <v>0</v>
      </c>
      <c r="C112" s="1543">
        <f>SUMIF(Input!Q88:BX88,"="&amp;C$23,Input!Q100:BX100)</f>
        <v>0</v>
      </c>
      <c r="D112" s="1543">
        <f>SUMIF(Input!R88:BY88,"="&amp;D$23,Input!R100:BY100)</f>
        <v>0</v>
      </c>
      <c r="E112" s="1478"/>
      <c r="F112" s="1530"/>
      <c r="G112" s="1531"/>
      <c r="H112" s="1479"/>
      <c r="I112" s="1518">
        <f>I102</f>
        <v>0</v>
      </c>
      <c r="J112" s="1518">
        <f t="shared" ref="J112:BP112" si="80">J102</f>
        <v>59</v>
      </c>
      <c r="K112" s="1518">
        <f t="shared" si="80"/>
        <v>91</v>
      </c>
      <c r="L112" s="1518">
        <f t="shared" si="80"/>
        <v>121</v>
      </c>
      <c r="M112" s="1518">
        <f t="shared" si="80"/>
        <v>152</v>
      </c>
      <c r="N112" s="1518">
        <f t="shared" si="80"/>
        <v>182</v>
      </c>
      <c r="O112" s="1518">
        <f t="shared" si="80"/>
        <v>213</v>
      </c>
      <c r="P112" s="1518">
        <f t="shared" si="80"/>
        <v>244</v>
      </c>
      <c r="Q112" s="1518">
        <f t="shared" si="80"/>
        <v>274</v>
      </c>
      <c r="R112" s="1518">
        <f t="shared" si="80"/>
        <v>305</v>
      </c>
      <c r="S112" s="1518">
        <f t="shared" si="80"/>
        <v>335</v>
      </c>
      <c r="T112" s="1518">
        <f t="shared" si="80"/>
        <v>366</v>
      </c>
      <c r="U112" s="1518">
        <f t="shared" si="80"/>
        <v>397</v>
      </c>
      <c r="V112" s="1518">
        <f t="shared" si="80"/>
        <v>425</v>
      </c>
      <c r="W112" s="1518">
        <f t="shared" si="80"/>
        <v>456</v>
      </c>
      <c r="X112" s="1518">
        <f t="shared" si="80"/>
        <v>486</v>
      </c>
      <c r="Y112" s="1518">
        <f t="shared" si="80"/>
        <v>517</v>
      </c>
      <c r="Z112" s="1518">
        <f t="shared" si="80"/>
        <v>547</v>
      </c>
      <c r="AA112" s="1518">
        <f t="shared" si="80"/>
        <v>578</v>
      </c>
      <c r="AB112" s="1518">
        <f t="shared" si="80"/>
        <v>609</v>
      </c>
      <c r="AC112" s="1518">
        <f t="shared" si="80"/>
        <v>639</v>
      </c>
      <c r="AD112" s="1518">
        <f t="shared" si="80"/>
        <v>670</v>
      </c>
      <c r="AE112" s="1518">
        <f t="shared" si="80"/>
        <v>700</v>
      </c>
      <c r="AF112" s="1518">
        <f t="shared" si="80"/>
        <v>731</v>
      </c>
      <c r="AG112" s="1518">
        <f t="shared" si="80"/>
        <v>762</v>
      </c>
      <c r="AH112" s="1518">
        <f t="shared" si="80"/>
        <v>790</v>
      </c>
      <c r="AI112" s="1518">
        <f t="shared" si="80"/>
        <v>821</v>
      </c>
      <c r="AJ112" s="1518">
        <f t="shared" si="80"/>
        <v>851</v>
      </c>
      <c r="AK112" s="1518">
        <f t="shared" si="80"/>
        <v>882</v>
      </c>
      <c r="AL112" s="1518">
        <f t="shared" si="80"/>
        <v>912</v>
      </c>
      <c r="AM112" s="1518">
        <f t="shared" si="80"/>
        <v>943</v>
      </c>
      <c r="AN112" s="1518">
        <f t="shared" si="80"/>
        <v>974</v>
      </c>
      <c r="AO112" s="1518">
        <f t="shared" si="80"/>
        <v>1004</v>
      </c>
      <c r="AP112" s="1518">
        <f t="shared" si="80"/>
        <v>1035</v>
      </c>
      <c r="AQ112" s="1518">
        <f t="shared" si="80"/>
        <v>1065</v>
      </c>
      <c r="AR112" s="1518">
        <f t="shared" si="80"/>
        <v>1096</v>
      </c>
      <c r="AS112" s="1518">
        <f t="shared" si="80"/>
        <v>1127</v>
      </c>
      <c r="AT112" s="1518">
        <f t="shared" si="80"/>
        <v>1155</v>
      </c>
      <c r="AU112" s="1518">
        <f t="shared" si="80"/>
        <v>1186</v>
      </c>
      <c r="AV112" s="1518">
        <f t="shared" si="80"/>
        <v>1216</v>
      </c>
      <c r="AW112" s="1518">
        <f t="shared" si="80"/>
        <v>1247</v>
      </c>
      <c r="AX112" s="1518">
        <f t="shared" si="80"/>
        <v>1277</v>
      </c>
      <c r="AY112" s="1518">
        <f t="shared" si="80"/>
        <v>1308</v>
      </c>
      <c r="AZ112" s="1518">
        <f t="shared" si="80"/>
        <v>1339</v>
      </c>
      <c r="BA112" s="1518">
        <f t="shared" si="80"/>
        <v>1369</v>
      </c>
      <c r="BB112" s="1518">
        <f t="shared" si="80"/>
        <v>1400</v>
      </c>
      <c r="BC112" s="1518">
        <f t="shared" si="80"/>
        <v>1430</v>
      </c>
      <c r="BD112" s="1518">
        <f t="shared" si="80"/>
        <v>1461</v>
      </c>
      <c r="BE112" s="1518">
        <f t="shared" si="80"/>
        <v>1492</v>
      </c>
      <c r="BF112" s="1518">
        <f t="shared" si="80"/>
        <v>1521</v>
      </c>
      <c r="BG112" s="1518">
        <f t="shared" si="80"/>
        <v>1552</v>
      </c>
      <c r="BH112" s="1518">
        <f t="shared" si="80"/>
        <v>1582</v>
      </c>
      <c r="BI112" s="1518">
        <f t="shared" si="80"/>
        <v>1613</v>
      </c>
      <c r="BJ112" s="1518">
        <f t="shared" si="80"/>
        <v>1643</v>
      </c>
      <c r="BK112" s="1518">
        <f t="shared" si="80"/>
        <v>1674</v>
      </c>
      <c r="BL112" s="1518">
        <f t="shared" si="80"/>
        <v>1705</v>
      </c>
      <c r="BM112" s="1518">
        <f t="shared" si="80"/>
        <v>1735</v>
      </c>
      <c r="BN112" s="1518">
        <f t="shared" si="80"/>
        <v>1766</v>
      </c>
      <c r="BO112" s="1518">
        <f t="shared" si="80"/>
        <v>1796</v>
      </c>
      <c r="BP112" s="1518">
        <f t="shared" si="80"/>
        <v>1827</v>
      </c>
      <c r="BQ112" s="1442"/>
      <c r="BR112" s="1442"/>
      <c r="BS112" s="1442"/>
      <c r="BT112" s="43"/>
      <c r="BU112" s="43"/>
      <c r="BV112" s="43"/>
      <c r="BW112" s="1436">
        <f>Infrastructure!M45</f>
        <v>0</v>
      </c>
      <c r="BX112" s="1437">
        <f>$AS$3</f>
        <v>0</v>
      </c>
      <c r="BY112" s="1437">
        <f>$AS$8</f>
        <v>0</v>
      </c>
      <c r="BZ112" s="1183"/>
      <c r="CA112" s="1183"/>
      <c r="CB112" s="1183"/>
      <c r="CC112" s="1183"/>
      <c r="CD112" s="484">
        <f>$BH$38</f>
        <v>0</v>
      </c>
      <c r="CE112" s="484">
        <f>$BH$39</f>
        <v>0</v>
      </c>
      <c r="CF112" s="484">
        <f>$BH$40</f>
        <v>0</v>
      </c>
      <c r="CG112" s="484">
        <f>$BH$41</f>
        <v>0</v>
      </c>
      <c r="CH112" s="484">
        <f>$BH$42</f>
        <v>0</v>
      </c>
      <c r="CI112" s="484">
        <f>$BH$43</f>
        <v>0</v>
      </c>
      <c r="CJ112" s="484">
        <f>$BH$44</f>
        <v>0</v>
      </c>
      <c r="CK112" s="484">
        <f>$BH$45</f>
        <v>0</v>
      </c>
      <c r="CL112" s="484">
        <f>$BH$46</f>
        <v>0</v>
      </c>
      <c r="CM112" s="484">
        <f>$BH$47</f>
        <v>0</v>
      </c>
      <c r="CN112" s="1183"/>
      <c r="CO112" s="1183"/>
      <c r="CP112" s="1183"/>
      <c r="CQ112" s="1183"/>
      <c r="CR112" s="1183"/>
      <c r="CS112" s="1183"/>
      <c r="CT112" s="1183"/>
      <c r="CU112" s="1183"/>
      <c r="CV112" s="1183"/>
      <c r="CW112" s="1183"/>
      <c r="CX112" s="1183"/>
      <c r="CY112" s="1183"/>
      <c r="CZ112" s="1183"/>
      <c r="DA112" s="1183"/>
      <c r="DB112" s="1183"/>
      <c r="DC112" s="1183"/>
      <c r="DD112" s="1183"/>
      <c r="DE112" s="1183"/>
      <c r="DF112" s="1183"/>
      <c r="DG112" s="1183"/>
      <c r="DH112" s="1183"/>
      <c r="DI112" s="1183"/>
      <c r="DJ112" s="1183"/>
      <c r="DK112" s="1183"/>
      <c r="DL112" s="1183"/>
      <c r="DM112" s="1183"/>
      <c r="DN112" s="1183"/>
      <c r="DO112" s="1183"/>
      <c r="DP112" s="1183"/>
      <c r="DQ112" s="1183"/>
    </row>
    <row r="113" spans="1:121" s="12" customFormat="1" ht="12" customHeight="1" x14ac:dyDescent="0.35">
      <c r="A113" s="1478"/>
      <c r="B113" s="1478"/>
      <c r="C113" s="1478"/>
      <c r="D113" s="1478"/>
      <c r="E113" s="1478"/>
      <c r="F113" s="1530"/>
      <c r="G113" s="1531"/>
      <c r="H113" s="1525" t="s">
        <v>391</v>
      </c>
      <c r="I113" s="1517">
        <f>IF(I110&gt;=0,I110,NA())</f>
        <v>0</v>
      </c>
      <c r="J113" s="1517">
        <f t="shared" ref="J113:BP113" si="81">IF(J110&gt;=0,J110,NA())</f>
        <v>0</v>
      </c>
      <c r="K113" s="1517">
        <f t="shared" si="81"/>
        <v>0</v>
      </c>
      <c r="L113" s="1517">
        <f t="shared" si="81"/>
        <v>0</v>
      </c>
      <c r="M113" s="1517">
        <f t="shared" si="81"/>
        <v>0</v>
      </c>
      <c r="N113" s="1517">
        <f t="shared" si="81"/>
        <v>0</v>
      </c>
      <c r="O113" s="1517">
        <f t="shared" si="81"/>
        <v>0</v>
      </c>
      <c r="P113" s="1517">
        <f t="shared" si="81"/>
        <v>0</v>
      </c>
      <c r="Q113" s="1517">
        <f t="shared" si="81"/>
        <v>0</v>
      </c>
      <c r="R113" s="1517">
        <f t="shared" si="81"/>
        <v>0</v>
      </c>
      <c r="S113" s="1517">
        <f t="shared" si="81"/>
        <v>0</v>
      </c>
      <c r="T113" s="1517">
        <f t="shared" si="81"/>
        <v>0</v>
      </c>
      <c r="U113" s="1517">
        <f t="shared" si="81"/>
        <v>0</v>
      </c>
      <c r="V113" s="1517">
        <f t="shared" si="81"/>
        <v>0</v>
      </c>
      <c r="W113" s="1517">
        <f t="shared" si="81"/>
        <v>1000000</v>
      </c>
      <c r="X113" s="1517">
        <f t="shared" si="81"/>
        <v>1000000</v>
      </c>
      <c r="Y113" s="1517">
        <f t="shared" si="81"/>
        <v>1000000</v>
      </c>
      <c r="Z113" s="1517">
        <f t="shared" si="81"/>
        <v>1000000</v>
      </c>
      <c r="AA113" s="1517">
        <f t="shared" si="81"/>
        <v>1000000</v>
      </c>
      <c r="AB113" s="1517">
        <f t="shared" si="81"/>
        <v>1000000</v>
      </c>
      <c r="AC113" s="1517">
        <f t="shared" si="81"/>
        <v>1000000</v>
      </c>
      <c r="AD113" s="1517">
        <f t="shared" si="81"/>
        <v>1000000</v>
      </c>
      <c r="AE113" s="1517">
        <f t="shared" si="81"/>
        <v>1000000</v>
      </c>
      <c r="AF113" s="1517">
        <f t="shared" si="81"/>
        <v>1000000</v>
      </c>
      <c r="AG113" s="1517">
        <f t="shared" si="81"/>
        <v>1000000</v>
      </c>
      <c r="AH113" s="1517">
        <f t="shared" si="81"/>
        <v>1000000</v>
      </c>
      <c r="AI113" s="1517">
        <f t="shared" si="81"/>
        <v>1000000</v>
      </c>
      <c r="AJ113" s="1517">
        <f t="shared" si="81"/>
        <v>1000000</v>
      </c>
      <c r="AK113" s="1517">
        <f t="shared" si="81"/>
        <v>1000000</v>
      </c>
      <c r="AL113" s="1517">
        <f t="shared" si="81"/>
        <v>1000000</v>
      </c>
      <c r="AM113" s="1517">
        <f t="shared" si="81"/>
        <v>1000000</v>
      </c>
      <c r="AN113" s="1517">
        <f t="shared" si="81"/>
        <v>1000000</v>
      </c>
      <c r="AO113" s="1517">
        <f t="shared" si="81"/>
        <v>1000000</v>
      </c>
      <c r="AP113" s="1517">
        <f t="shared" si="81"/>
        <v>1000000</v>
      </c>
      <c r="AQ113" s="1517">
        <f t="shared" si="81"/>
        <v>1000000</v>
      </c>
      <c r="AR113" s="1517">
        <f t="shared" si="81"/>
        <v>1000000</v>
      </c>
      <c r="AS113" s="1517">
        <f t="shared" si="81"/>
        <v>1000000</v>
      </c>
      <c r="AT113" s="1517">
        <f t="shared" si="81"/>
        <v>1000000</v>
      </c>
      <c r="AU113" s="1517">
        <f t="shared" si="81"/>
        <v>1000000</v>
      </c>
      <c r="AV113" s="1517">
        <f t="shared" si="81"/>
        <v>1000000</v>
      </c>
      <c r="AW113" s="1517">
        <f t="shared" si="81"/>
        <v>1000000</v>
      </c>
      <c r="AX113" s="1517">
        <f t="shared" si="81"/>
        <v>1000000</v>
      </c>
      <c r="AY113" s="1517">
        <f t="shared" si="81"/>
        <v>1000000</v>
      </c>
      <c r="AZ113" s="1517">
        <f t="shared" si="81"/>
        <v>1000000</v>
      </c>
      <c r="BA113" s="1517">
        <f t="shared" si="81"/>
        <v>1000000</v>
      </c>
      <c r="BB113" s="1517">
        <f t="shared" si="81"/>
        <v>1000000</v>
      </c>
      <c r="BC113" s="1517">
        <f t="shared" si="81"/>
        <v>1000000</v>
      </c>
      <c r="BD113" s="1517">
        <f t="shared" si="81"/>
        <v>1000000</v>
      </c>
      <c r="BE113" s="1517">
        <f t="shared" si="81"/>
        <v>1000000</v>
      </c>
      <c r="BF113" s="1517">
        <f t="shared" si="81"/>
        <v>1000000</v>
      </c>
      <c r="BG113" s="1517">
        <f t="shared" si="81"/>
        <v>1000000</v>
      </c>
      <c r="BH113" s="1517">
        <f t="shared" si="81"/>
        <v>1000000</v>
      </c>
      <c r="BI113" s="1517">
        <f t="shared" si="81"/>
        <v>1000000</v>
      </c>
      <c r="BJ113" s="1517">
        <f t="shared" si="81"/>
        <v>1000000</v>
      </c>
      <c r="BK113" s="1517">
        <f t="shared" si="81"/>
        <v>1000000</v>
      </c>
      <c r="BL113" s="1517">
        <f t="shared" si="81"/>
        <v>1000000</v>
      </c>
      <c r="BM113" s="1517">
        <f t="shared" si="81"/>
        <v>1000000</v>
      </c>
      <c r="BN113" s="1517">
        <f t="shared" si="81"/>
        <v>1000000</v>
      </c>
      <c r="BO113" s="1517">
        <f t="shared" si="81"/>
        <v>1000000</v>
      </c>
      <c r="BP113" s="1517">
        <f t="shared" si="81"/>
        <v>1000000</v>
      </c>
      <c r="BQ113" s="1442"/>
      <c r="BR113" s="1442"/>
      <c r="BS113" s="1442"/>
      <c r="BT113" s="43"/>
      <c r="BU113" s="43"/>
      <c r="BV113" s="43"/>
      <c r="BW113" s="1436">
        <f>Infrastructure!M46</f>
        <v>0</v>
      </c>
      <c r="BX113" s="1437">
        <f>$AT$3</f>
        <v>0</v>
      </c>
      <c r="BY113" s="1437">
        <f>$AT$8</f>
        <v>0</v>
      </c>
      <c r="BZ113" s="1183"/>
      <c r="CA113" s="1183"/>
      <c r="CB113" s="1183"/>
      <c r="CC113" s="1183"/>
      <c r="CD113" s="484">
        <f>$BI$38</f>
        <v>0</v>
      </c>
      <c r="CE113" s="484">
        <f>$BI$39</f>
        <v>0</v>
      </c>
      <c r="CF113" s="484">
        <f>$BI$40</f>
        <v>0</v>
      </c>
      <c r="CG113" s="484">
        <f>$BI$41</f>
        <v>0</v>
      </c>
      <c r="CH113" s="484">
        <f>$BI$42</f>
        <v>0</v>
      </c>
      <c r="CI113" s="484">
        <f>$BI$43</f>
        <v>0</v>
      </c>
      <c r="CJ113" s="484">
        <f>$BI$44</f>
        <v>0</v>
      </c>
      <c r="CK113" s="484">
        <f>$BI$45</f>
        <v>0</v>
      </c>
      <c r="CL113" s="484">
        <f>$BI$46</f>
        <v>0</v>
      </c>
      <c r="CM113" s="484">
        <f>$BI$47</f>
        <v>0</v>
      </c>
      <c r="CN113" s="1183"/>
      <c r="CO113" s="1183"/>
      <c r="CP113" s="1183"/>
      <c r="CQ113" s="1183"/>
      <c r="CR113" s="1183"/>
      <c r="CS113" s="1183"/>
      <c r="CT113" s="1183"/>
      <c r="CU113" s="1183"/>
      <c r="CV113" s="1183"/>
      <c r="CW113" s="1183"/>
      <c r="CX113" s="1183"/>
      <c r="CY113" s="1183"/>
      <c r="CZ113" s="1183"/>
      <c r="DA113" s="1183"/>
      <c r="DB113" s="1183"/>
      <c r="DC113" s="1183"/>
      <c r="DD113" s="1183"/>
      <c r="DE113" s="1183"/>
      <c r="DF113" s="1183"/>
      <c r="DG113" s="1183"/>
      <c r="DH113" s="1183"/>
      <c r="DI113" s="1183"/>
      <c r="DJ113" s="1183"/>
      <c r="DK113" s="1183"/>
      <c r="DL113" s="1183"/>
      <c r="DM113" s="1183"/>
      <c r="DN113" s="1183"/>
      <c r="DO113" s="1183"/>
      <c r="DP113" s="1183"/>
      <c r="DQ113" s="1183"/>
    </row>
    <row r="114" spans="1:121" s="12" customFormat="1" ht="12" customHeight="1" x14ac:dyDescent="0.35">
      <c r="A114" s="1478"/>
      <c r="B114" s="1478"/>
      <c r="C114" s="1478"/>
      <c r="D114" s="1478"/>
      <c r="E114" s="1478"/>
      <c r="F114" s="1530"/>
      <c r="G114" s="1531"/>
      <c r="H114" s="1525" t="s">
        <v>392</v>
      </c>
      <c r="I114" s="1516" t="e">
        <f>IF(I110&lt;0,I110,NA())</f>
        <v>#N/A</v>
      </c>
      <c r="J114" s="1516" t="e">
        <f t="shared" ref="J114:BP114" si="82">IF(J110&lt;0,J110,NA())</f>
        <v>#N/A</v>
      </c>
      <c r="K114" s="1516" t="e">
        <f t="shared" si="82"/>
        <v>#N/A</v>
      </c>
      <c r="L114" s="1516" t="e">
        <f t="shared" si="82"/>
        <v>#N/A</v>
      </c>
      <c r="M114" s="1516" t="e">
        <f t="shared" si="82"/>
        <v>#N/A</v>
      </c>
      <c r="N114" s="1516" t="e">
        <f t="shared" si="82"/>
        <v>#N/A</v>
      </c>
      <c r="O114" s="1516" t="e">
        <f t="shared" si="82"/>
        <v>#N/A</v>
      </c>
      <c r="P114" s="1516" t="e">
        <f t="shared" si="82"/>
        <v>#N/A</v>
      </c>
      <c r="Q114" s="1516" t="e">
        <f t="shared" si="82"/>
        <v>#N/A</v>
      </c>
      <c r="R114" s="1516" t="e">
        <f t="shared" si="82"/>
        <v>#N/A</v>
      </c>
      <c r="S114" s="1516" t="e">
        <f t="shared" si="82"/>
        <v>#N/A</v>
      </c>
      <c r="T114" s="1516" t="e">
        <f t="shared" si="82"/>
        <v>#N/A</v>
      </c>
      <c r="U114" s="1516" t="e">
        <f t="shared" si="82"/>
        <v>#N/A</v>
      </c>
      <c r="V114" s="1516" t="e">
        <f t="shared" si="82"/>
        <v>#N/A</v>
      </c>
      <c r="W114" s="1516" t="e">
        <f t="shared" si="82"/>
        <v>#N/A</v>
      </c>
      <c r="X114" s="1516" t="e">
        <f t="shared" si="82"/>
        <v>#N/A</v>
      </c>
      <c r="Y114" s="1516" t="e">
        <f t="shared" si="82"/>
        <v>#N/A</v>
      </c>
      <c r="Z114" s="1516" t="e">
        <f t="shared" si="82"/>
        <v>#N/A</v>
      </c>
      <c r="AA114" s="1516" t="e">
        <f t="shared" si="82"/>
        <v>#N/A</v>
      </c>
      <c r="AB114" s="1516" t="e">
        <f t="shared" si="82"/>
        <v>#N/A</v>
      </c>
      <c r="AC114" s="1516" t="e">
        <f t="shared" si="82"/>
        <v>#N/A</v>
      </c>
      <c r="AD114" s="1516" t="e">
        <f t="shared" si="82"/>
        <v>#N/A</v>
      </c>
      <c r="AE114" s="1516" t="e">
        <f t="shared" si="82"/>
        <v>#N/A</v>
      </c>
      <c r="AF114" s="1516" t="e">
        <f t="shared" si="82"/>
        <v>#N/A</v>
      </c>
      <c r="AG114" s="1516" t="e">
        <f t="shared" si="82"/>
        <v>#N/A</v>
      </c>
      <c r="AH114" s="1516" t="e">
        <f t="shared" si="82"/>
        <v>#N/A</v>
      </c>
      <c r="AI114" s="1516" t="e">
        <f t="shared" si="82"/>
        <v>#N/A</v>
      </c>
      <c r="AJ114" s="1516" t="e">
        <f t="shared" si="82"/>
        <v>#N/A</v>
      </c>
      <c r="AK114" s="1516" t="e">
        <f t="shared" si="82"/>
        <v>#N/A</v>
      </c>
      <c r="AL114" s="1516" t="e">
        <f t="shared" si="82"/>
        <v>#N/A</v>
      </c>
      <c r="AM114" s="1516" t="e">
        <f t="shared" si="82"/>
        <v>#N/A</v>
      </c>
      <c r="AN114" s="1516" t="e">
        <f t="shared" si="82"/>
        <v>#N/A</v>
      </c>
      <c r="AO114" s="1516" t="e">
        <f t="shared" si="82"/>
        <v>#N/A</v>
      </c>
      <c r="AP114" s="1516" t="e">
        <f t="shared" si="82"/>
        <v>#N/A</v>
      </c>
      <c r="AQ114" s="1516" t="e">
        <f t="shared" si="82"/>
        <v>#N/A</v>
      </c>
      <c r="AR114" s="1516" t="e">
        <f t="shared" si="82"/>
        <v>#N/A</v>
      </c>
      <c r="AS114" s="1516" t="e">
        <f t="shared" si="82"/>
        <v>#N/A</v>
      </c>
      <c r="AT114" s="1516" t="e">
        <f t="shared" si="82"/>
        <v>#N/A</v>
      </c>
      <c r="AU114" s="1516" t="e">
        <f t="shared" si="82"/>
        <v>#N/A</v>
      </c>
      <c r="AV114" s="1516" t="e">
        <f t="shared" si="82"/>
        <v>#N/A</v>
      </c>
      <c r="AW114" s="1516" t="e">
        <f t="shared" si="82"/>
        <v>#N/A</v>
      </c>
      <c r="AX114" s="1516" t="e">
        <f t="shared" si="82"/>
        <v>#N/A</v>
      </c>
      <c r="AY114" s="1516" t="e">
        <f t="shared" si="82"/>
        <v>#N/A</v>
      </c>
      <c r="AZ114" s="1516" t="e">
        <f t="shared" si="82"/>
        <v>#N/A</v>
      </c>
      <c r="BA114" s="1516" t="e">
        <f t="shared" si="82"/>
        <v>#N/A</v>
      </c>
      <c r="BB114" s="1516" t="e">
        <f t="shared" si="82"/>
        <v>#N/A</v>
      </c>
      <c r="BC114" s="1516" t="e">
        <f t="shared" si="82"/>
        <v>#N/A</v>
      </c>
      <c r="BD114" s="1516" t="e">
        <f t="shared" si="82"/>
        <v>#N/A</v>
      </c>
      <c r="BE114" s="1516" t="e">
        <f t="shared" si="82"/>
        <v>#N/A</v>
      </c>
      <c r="BF114" s="1516" t="e">
        <f t="shared" si="82"/>
        <v>#N/A</v>
      </c>
      <c r="BG114" s="1516" t="e">
        <f t="shared" si="82"/>
        <v>#N/A</v>
      </c>
      <c r="BH114" s="1516" t="e">
        <f t="shared" si="82"/>
        <v>#N/A</v>
      </c>
      <c r="BI114" s="1516" t="e">
        <f t="shared" si="82"/>
        <v>#N/A</v>
      </c>
      <c r="BJ114" s="1516" t="e">
        <f t="shared" si="82"/>
        <v>#N/A</v>
      </c>
      <c r="BK114" s="1516" t="e">
        <f t="shared" si="82"/>
        <v>#N/A</v>
      </c>
      <c r="BL114" s="1516" t="e">
        <f t="shared" si="82"/>
        <v>#N/A</v>
      </c>
      <c r="BM114" s="1516" t="e">
        <f t="shared" si="82"/>
        <v>#N/A</v>
      </c>
      <c r="BN114" s="1516" t="e">
        <f t="shared" si="82"/>
        <v>#N/A</v>
      </c>
      <c r="BO114" s="1516" t="e">
        <f t="shared" si="82"/>
        <v>#N/A</v>
      </c>
      <c r="BP114" s="1516" t="e">
        <f t="shared" si="82"/>
        <v>#N/A</v>
      </c>
      <c r="BQ114" s="1442"/>
      <c r="BR114" s="1442"/>
      <c r="BS114" s="1442"/>
      <c r="BT114" s="43"/>
      <c r="BU114" s="43"/>
      <c r="BV114" s="43"/>
      <c r="BW114" s="1436">
        <f>Infrastructure!M47</f>
        <v>0</v>
      </c>
      <c r="BX114" s="1437">
        <f>$AU$3</f>
        <v>0</v>
      </c>
      <c r="BY114" s="1437">
        <f>$AU$8</f>
        <v>0</v>
      </c>
      <c r="BZ114" s="1183"/>
      <c r="CA114" s="1183"/>
      <c r="CB114" s="1183"/>
      <c r="CC114" s="1183"/>
      <c r="CD114" s="484">
        <f>$BJ$38</f>
        <v>0</v>
      </c>
      <c r="CE114" s="484">
        <f>$BJ$39</f>
        <v>0</v>
      </c>
      <c r="CF114" s="484">
        <f>$BJ$40</f>
        <v>0</v>
      </c>
      <c r="CG114" s="484">
        <f>$BJ$41</f>
        <v>0</v>
      </c>
      <c r="CH114" s="484">
        <f>$BJ$42</f>
        <v>0</v>
      </c>
      <c r="CI114" s="484">
        <f>$BJ$43</f>
        <v>0</v>
      </c>
      <c r="CJ114" s="484">
        <f>$BJ$44</f>
        <v>0</v>
      </c>
      <c r="CK114" s="484">
        <f>$BJ$45</f>
        <v>0</v>
      </c>
      <c r="CL114" s="484">
        <f>$BJ$46</f>
        <v>0</v>
      </c>
      <c r="CM114" s="484">
        <f>$BJ$47</f>
        <v>0</v>
      </c>
      <c r="CN114" s="1183"/>
      <c r="CO114" s="1183"/>
      <c r="CP114" s="1183"/>
      <c r="CQ114" s="1183"/>
      <c r="CR114" s="1183"/>
      <c r="CS114" s="1183"/>
      <c r="CT114" s="1183"/>
      <c r="CU114" s="1183"/>
      <c r="CV114" s="1183"/>
      <c r="CW114" s="1183"/>
      <c r="CX114" s="1183"/>
      <c r="CY114" s="1183"/>
      <c r="CZ114" s="1183"/>
      <c r="DA114" s="1183"/>
      <c r="DB114" s="1183"/>
      <c r="DC114" s="1183"/>
      <c r="DD114" s="1183"/>
      <c r="DE114" s="1183"/>
      <c r="DF114" s="1183"/>
      <c r="DG114" s="1183"/>
      <c r="DH114" s="1183"/>
      <c r="DI114" s="1183"/>
      <c r="DJ114" s="1183"/>
      <c r="DK114" s="1183"/>
      <c r="DL114" s="1183"/>
      <c r="DM114" s="1183"/>
      <c r="DN114" s="1183"/>
      <c r="DO114" s="1183"/>
      <c r="DP114" s="1183"/>
      <c r="DQ114" s="1183"/>
    </row>
    <row r="115" spans="1:121" s="12" customFormat="1" ht="12" customHeight="1" x14ac:dyDescent="0.35">
      <c r="A115" s="1478"/>
      <c r="B115" s="1478"/>
      <c r="C115" s="1478"/>
      <c r="D115" s="1478"/>
      <c r="E115" s="1478"/>
      <c r="F115" s="1530"/>
      <c r="G115" s="1531"/>
      <c r="H115" s="1525" t="s">
        <v>393</v>
      </c>
      <c r="I115" s="1517" t="e">
        <f>IF(MAX($I$110:$BP$110)=I$110,I$110,NA())</f>
        <v>#N/A</v>
      </c>
      <c r="J115" s="1517" t="e">
        <f t="shared" ref="J115:BP115" si="83">IF(MAX($I$110:$BP$110)=J$110,J$110,NA())</f>
        <v>#N/A</v>
      </c>
      <c r="K115" s="1517" t="e">
        <f t="shared" si="83"/>
        <v>#N/A</v>
      </c>
      <c r="L115" s="1517" t="e">
        <f t="shared" si="83"/>
        <v>#N/A</v>
      </c>
      <c r="M115" s="1517" t="e">
        <f t="shared" si="83"/>
        <v>#N/A</v>
      </c>
      <c r="N115" s="1517" t="e">
        <f t="shared" si="83"/>
        <v>#N/A</v>
      </c>
      <c r="O115" s="1517" t="e">
        <f t="shared" si="83"/>
        <v>#N/A</v>
      </c>
      <c r="P115" s="1517" t="e">
        <f t="shared" si="83"/>
        <v>#N/A</v>
      </c>
      <c r="Q115" s="1517" t="e">
        <f t="shared" si="83"/>
        <v>#N/A</v>
      </c>
      <c r="R115" s="1517" t="e">
        <f t="shared" si="83"/>
        <v>#N/A</v>
      </c>
      <c r="S115" s="1517" t="e">
        <f t="shared" si="83"/>
        <v>#N/A</v>
      </c>
      <c r="T115" s="1517" t="e">
        <f t="shared" si="83"/>
        <v>#N/A</v>
      </c>
      <c r="U115" s="1517" t="e">
        <f t="shared" si="83"/>
        <v>#N/A</v>
      </c>
      <c r="V115" s="1517" t="e">
        <f t="shared" si="83"/>
        <v>#N/A</v>
      </c>
      <c r="W115" s="1517">
        <f t="shared" si="83"/>
        <v>1000000</v>
      </c>
      <c r="X115" s="1517">
        <f t="shared" si="83"/>
        <v>1000000</v>
      </c>
      <c r="Y115" s="1517">
        <f t="shared" si="83"/>
        <v>1000000</v>
      </c>
      <c r="Z115" s="1517">
        <f t="shared" si="83"/>
        <v>1000000</v>
      </c>
      <c r="AA115" s="1517">
        <f t="shared" si="83"/>
        <v>1000000</v>
      </c>
      <c r="AB115" s="1517">
        <f t="shared" si="83"/>
        <v>1000000</v>
      </c>
      <c r="AC115" s="1517">
        <f t="shared" si="83"/>
        <v>1000000</v>
      </c>
      <c r="AD115" s="1517">
        <f t="shared" si="83"/>
        <v>1000000</v>
      </c>
      <c r="AE115" s="1517">
        <f t="shared" si="83"/>
        <v>1000000</v>
      </c>
      <c r="AF115" s="1517">
        <f t="shared" si="83"/>
        <v>1000000</v>
      </c>
      <c r="AG115" s="1517">
        <f t="shared" si="83"/>
        <v>1000000</v>
      </c>
      <c r="AH115" s="1517">
        <f t="shared" si="83"/>
        <v>1000000</v>
      </c>
      <c r="AI115" s="1517">
        <f t="shared" si="83"/>
        <v>1000000</v>
      </c>
      <c r="AJ115" s="1517">
        <f t="shared" si="83"/>
        <v>1000000</v>
      </c>
      <c r="AK115" s="1517">
        <f t="shared" si="83"/>
        <v>1000000</v>
      </c>
      <c r="AL115" s="1517">
        <f t="shared" si="83"/>
        <v>1000000</v>
      </c>
      <c r="AM115" s="1517">
        <f t="shared" si="83"/>
        <v>1000000</v>
      </c>
      <c r="AN115" s="1517">
        <f t="shared" si="83"/>
        <v>1000000</v>
      </c>
      <c r="AO115" s="1517">
        <f t="shared" si="83"/>
        <v>1000000</v>
      </c>
      <c r="AP115" s="1517">
        <f t="shared" si="83"/>
        <v>1000000</v>
      </c>
      <c r="AQ115" s="1517">
        <f t="shared" si="83"/>
        <v>1000000</v>
      </c>
      <c r="AR115" s="1517">
        <f t="shared" si="83"/>
        <v>1000000</v>
      </c>
      <c r="AS115" s="1517">
        <f t="shared" si="83"/>
        <v>1000000</v>
      </c>
      <c r="AT115" s="1517">
        <f t="shared" si="83"/>
        <v>1000000</v>
      </c>
      <c r="AU115" s="1517">
        <f t="shared" si="83"/>
        <v>1000000</v>
      </c>
      <c r="AV115" s="1517">
        <f t="shared" si="83"/>
        <v>1000000</v>
      </c>
      <c r="AW115" s="1517">
        <f t="shared" si="83"/>
        <v>1000000</v>
      </c>
      <c r="AX115" s="1517">
        <f t="shared" si="83"/>
        <v>1000000</v>
      </c>
      <c r="AY115" s="1517">
        <f t="shared" si="83"/>
        <v>1000000</v>
      </c>
      <c r="AZ115" s="1517">
        <f t="shared" si="83"/>
        <v>1000000</v>
      </c>
      <c r="BA115" s="1517">
        <f t="shared" si="83"/>
        <v>1000000</v>
      </c>
      <c r="BB115" s="1517">
        <f t="shared" si="83"/>
        <v>1000000</v>
      </c>
      <c r="BC115" s="1517">
        <f t="shared" si="83"/>
        <v>1000000</v>
      </c>
      <c r="BD115" s="1517">
        <f t="shared" si="83"/>
        <v>1000000</v>
      </c>
      <c r="BE115" s="1517">
        <f t="shared" si="83"/>
        <v>1000000</v>
      </c>
      <c r="BF115" s="1517">
        <f t="shared" si="83"/>
        <v>1000000</v>
      </c>
      <c r="BG115" s="1517">
        <f t="shared" si="83"/>
        <v>1000000</v>
      </c>
      <c r="BH115" s="1517">
        <f t="shared" si="83"/>
        <v>1000000</v>
      </c>
      <c r="BI115" s="1517">
        <f t="shared" si="83"/>
        <v>1000000</v>
      </c>
      <c r="BJ115" s="1517">
        <f t="shared" si="83"/>
        <v>1000000</v>
      </c>
      <c r="BK115" s="1517">
        <f t="shared" si="83"/>
        <v>1000000</v>
      </c>
      <c r="BL115" s="1517">
        <f t="shared" si="83"/>
        <v>1000000</v>
      </c>
      <c r="BM115" s="1517">
        <f t="shared" si="83"/>
        <v>1000000</v>
      </c>
      <c r="BN115" s="1517">
        <f t="shared" si="83"/>
        <v>1000000</v>
      </c>
      <c r="BO115" s="1517">
        <f t="shared" si="83"/>
        <v>1000000</v>
      </c>
      <c r="BP115" s="1517">
        <f t="shared" si="83"/>
        <v>1000000</v>
      </c>
      <c r="BQ115" s="1442"/>
      <c r="BR115" s="1442"/>
      <c r="BS115" s="1442"/>
      <c r="BT115" s="43"/>
      <c r="BU115" s="43"/>
      <c r="BV115" s="43"/>
      <c r="BW115" s="1436">
        <f>Infrastructure!M48</f>
        <v>0</v>
      </c>
      <c r="BX115" s="1437">
        <f>$AV$3</f>
        <v>0</v>
      </c>
      <c r="BY115" s="1437">
        <f>$AV$8</f>
        <v>0</v>
      </c>
      <c r="BZ115" s="1183"/>
      <c r="CA115" s="1183"/>
      <c r="CB115" s="1183"/>
      <c r="CC115" s="1183"/>
      <c r="CD115" s="484">
        <f>$BK$38</f>
        <v>0</v>
      </c>
      <c r="CE115" s="484">
        <f>$BK$39</f>
        <v>0</v>
      </c>
      <c r="CF115" s="484">
        <f>$BK$40</f>
        <v>0</v>
      </c>
      <c r="CG115" s="484">
        <f>$BK$41</f>
        <v>0</v>
      </c>
      <c r="CH115" s="484">
        <f>$BK$42</f>
        <v>0</v>
      </c>
      <c r="CI115" s="484">
        <f>$BK$43</f>
        <v>0</v>
      </c>
      <c r="CJ115" s="484">
        <f>$BK$44</f>
        <v>0</v>
      </c>
      <c r="CK115" s="484">
        <f>$BK$45</f>
        <v>0</v>
      </c>
      <c r="CL115" s="484">
        <f>$BK$46</f>
        <v>0</v>
      </c>
      <c r="CM115" s="484">
        <f>$BK$47</f>
        <v>0</v>
      </c>
      <c r="CN115" s="1183"/>
      <c r="CO115" s="1183"/>
      <c r="CP115" s="1183"/>
      <c r="CQ115" s="1183"/>
      <c r="CR115" s="1183"/>
      <c r="CS115" s="1183"/>
      <c r="CT115" s="1183"/>
      <c r="CU115" s="1183"/>
      <c r="CV115" s="1183"/>
      <c r="CW115" s="1183"/>
      <c r="CX115" s="1183"/>
      <c r="CY115" s="1183"/>
      <c r="CZ115" s="1183"/>
      <c r="DA115" s="1183"/>
      <c r="DB115" s="1183"/>
      <c r="DC115" s="1183"/>
      <c r="DD115" s="1183"/>
      <c r="DE115" s="1183"/>
      <c r="DF115" s="1183"/>
      <c r="DG115" s="1183"/>
      <c r="DH115" s="1183"/>
      <c r="DI115" s="1183"/>
      <c r="DJ115" s="1183"/>
      <c r="DK115" s="1183"/>
      <c r="DL115" s="1183"/>
      <c r="DM115" s="1183"/>
      <c r="DN115" s="1183"/>
      <c r="DO115" s="1183"/>
      <c r="DP115" s="1183"/>
      <c r="DQ115" s="1183"/>
    </row>
    <row r="116" spans="1:121" s="12" customFormat="1" ht="12" customHeight="1" x14ac:dyDescent="0.35">
      <c r="A116" s="1478"/>
      <c r="B116" s="1478"/>
      <c r="C116" s="1478"/>
      <c r="D116" s="1478"/>
      <c r="E116" s="1478"/>
      <c r="F116" s="1530"/>
      <c r="G116" s="1531"/>
      <c r="H116" s="1525" t="s">
        <v>394</v>
      </c>
      <c r="I116" s="1517">
        <f>IF(MIN($I$110:$BP$110)=I$110,I$110,NA())</f>
        <v>0</v>
      </c>
      <c r="J116" s="1517">
        <f t="shared" ref="J116:BP116" si="84">IF(MIN($I$110:$BP$110)=J$110,J$110,NA())</f>
        <v>0</v>
      </c>
      <c r="K116" s="1517">
        <f t="shared" si="84"/>
        <v>0</v>
      </c>
      <c r="L116" s="1517">
        <f t="shared" si="84"/>
        <v>0</v>
      </c>
      <c r="M116" s="1517">
        <f t="shared" si="84"/>
        <v>0</v>
      </c>
      <c r="N116" s="1517">
        <f t="shared" si="84"/>
        <v>0</v>
      </c>
      <c r="O116" s="1517">
        <f t="shared" si="84"/>
        <v>0</v>
      </c>
      <c r="P116" s="1517">
        <f t="shared" si="84"/>
        <v>0</v>
      </c>
      <c r="Q116" s="1517">
        <f t="shared" si="84"/>
        <v>0</v>
      </c>
      <c r="R116" s="1517">
        <f t="shared" si="84"/>
        <v>0</v>
      </c>
      <c r="S116" s="1517">
        <f t="shared" si="84"/>
        <v>0</v>
      </c>
      <c r="T116" s="1517">
        <f t="shared" si="84"/>
        <v>0</v>
      </c>
      <c r="U116" s="1517">
        <f t="shared" si="84"/>
        <v>0</v>
      </c>
      <c r="V116" s="1517">
        <f t="shared" si="84"/>
        <v>0</v>
      </c>
      <c r="W116" s="1517" t="e">
        <f t="shared" si="84"/>
        <v>#N/A</v>
      </c>
      <c r="X116" s="1517" t="e">
        <f t="shared" si="84"/>
        <v>#N/A</v>
      </c>
      <c r="Y116" s="1517" t="e">
        <f t="shared" si="84"/>
        <v>#N/A</v>
      </c>
      <c r="Z116" s="1517" t="e">
        <f t="shared" si="84"/>
        <v>#N/A</v>
      </c>
      <c r="AA116" s="1517" t="e">
        <f t="shared" si="84"/>
        <v>#N/A</v>
      </c>
      <c r="AB116" s="1517" t="e">
        <f t="shared" si="84"/>
        <v>#N/A</v>
      </c>
      <c r="AC116" s="1517" t="e">
        <f t="shared" si="84"/>
        <v>#N/A</v>
      </c>
      <c r="AD116" s="1517" t="e">
        <f t="shared" si="84"/>
        <v>#N/A</v>
      </c>
      <c r="AE116" s="1517" t="e">
        <f t="shared" si="84"/>
        <v>#N/A</v>
      </c>
      <c r="AF116" s="1517" t="e">
        <f t="shared" si="84"/>
        <v>#N/A</v>
      </c>
      <c r="AG116" s="1517" t="e">
        <f t="shared" si="84"/>
        <v>#N/A</v>
      </c>
      <c r="AH116" s="1517" t="e">
        <f t="shared" si="84"/>
        <v>#N/A</v>
      </c>
      <c r="AI116" s="1517" t="e">
        <f t="shared" si="84"/>
        <v>#N/A</v>
      </c>
      <c r="AJ116" s="1517" t="e">
        <f t="shared" si="84"/>
        <v>#N/A</v>
      </c>
      <c r="AK116" s="1517" t="e">
        <f t="shared" si="84"/>
        <v>#N/A</v>
      </c>
      <c r="AL116" s="1517" t="e">
        <f t="shared" si="84"/>
        <v>#N/A</v>
      </c>
      <c r="AM116" s="1517" t="e">
        <f t="shared" si="84"/>
        <v>#N/A</v>
      </c>
      <c r="AN116" s="1517" t="e">
        <f t="shared" si="84"/>
        <v>#N/A</v>
      </c>
      <c r="AO116" s="1517" t="e">
        <f t="shared" si="84"/>
        <v>#N/A</v>
      </c>
      <c r="AP116" s="1517" t="e">
        <f t="shared" si="84"/>
        <v>#N/A</v>
      </c>
      <c r="AQ116" s="1517" t="e">
        <f t="shared" si="84"/>
        <v>#N/A</v>
      </c>
      <c r="AR116" s="1517" t="e">
        <f t="shared" si="84"/>
        <v>#N/A</v>
      </c>
      <c r="AS116" s="1517" t="e">
        <f t="shared" si="84"/>
        <v>#N/A</v>
      </c>
      <c r="AT116" s="1517" t="e">
        <f t="shared" si="84"/>
        <v>#N/A</v>
      </c>
      <c r="AU116" s="1517" t="e">
        <f t="shared" si="84"/>
        <v>#N/A</v>
      </c>
      <c r="AV116" s="1517" t="e">
        <f t="shared" si="84"/>
        <v>#N/A</v>
      </c>
      <c r="AW116" s="1517" t="e">
        <f t="shared" si="84"/>
        <v>#N/A</v>
      </c>
      <c r="AX116" s="1517" t="e">
        <f t="shared" si="84"/>
        <v>#N/A</v>
      </c>
      <c r="AY116" s="1517" t="e">
        <f t="shared" si="84"/>
        <v>#N/A</v>
      </c>
      <c r="AZ116" s="1517" t="e">
        <f t="shared" si="84"/>
        <v>#N/A</v>
      </c>
      <c r="BA116" s="1517" t="e">
        <f t="shared" si="84"/>
        <v>#N/A</v>
      </c>
      <c r="BB116" s="1517" t="e">
        <f t="shared" si="84"/>
        <v>#N/A</v>
      </c>
      <c r="BC116" s="1517" t="e">
        <f t="shared" si="84"/>
        <v>#N/A</v>
      </c>
      <c r="BD116" s="1517" t="e">
        <f t="shared" si="84"/>
        <v>#N/A</v>
      </c>
      <c r="BE116" s="1517" t="e">
        <f t="shared" si="84"/>
        <v>#N/A</v>
      </c>
      <c r="BF116" s="1517" t="e">
        <f t="shared" si="84"/>
        <v>#N/A</v>
      </c>
      <c r="BG116" s="1517" t="e">
        <f t="shared" si="84"/>
        <v>#N/A</v>
      </c>
      <c r="BH116" s="1517" t="e">
        <f t="shared" si="84"/>
        <v>#N/A</v>
      </c>
      <c r="BI116" s="1517" t="e">
        <f t="shared" si="84"/>
        <v>#N/A</v>
      </c>
      <c r="BJ116" s="1517" t="e">
        <f t="shared" si="84"/>
        <v>#N/A</v>
      </c>
      <c r="BK116" s="1517" t="e">
        <f t="shared" si="84"/>
        <v>#N/A</v>
      </c>
      <c r="BL116" s="1517" t="e">
        <f t="shared" si="84"/>
        <v>#N/A</v>
      </c>
      <c r="BM116" s="1517" t="e">
        <f t="shared" si="84"/>
        <v>#N/A</v>
      </c>
      <c r="BN116" s="1517" t="e">
        <f t="shared" si="84"/>
        <v>#N/A</v>
      </c>
      <c r="BO116" s="1517" t="e">
        <f t="shared" si="84"/>
        <v>#N/A</v>
      </c>
      <c r="BP116" s="1517" t="e">
        <f t="shared" si="84"/>
        <v>#N/A</v>
      </c>
      <c r="BQ116" s="1442"/>
      <c r="BR116" s="1442"/>
      <c r="BS116" s="1442"/>
      <c r="BT116" s="43"/>
      <c r="BU116" s="43"/>
      <c r="BV116" s="43"/>
      <c r="BW116" s="1436">
        <f>Infrastructure!M49</f>
        <v>0</v>
      </c>
      <c r="BX116" s="1437">
        <f>$AW$3</f>
        <v>0</v>
      </c>
      <c r="BY116" s="1437">
        <f>$AW$8</f>
        <v>0</v>
      </c>
      <c r="BZ116" s="1183"/>
      <c r="CA116" s="1183"/>
      <c r="CB116" s="1183"/>
      <c r="CC116" s="1183"/>
      <c r="CD116" s="484">
        <f>$BL$38</f>
        <v>0</v>
      </c>
      <c r="CE116" s="484">
        <f>$BL$39</f>
        <v>0</v>
      </c>
      <c r="CF116" s="484">
        <f>$BL$40</f>
        <v>0</v>
      </c>
      <c r="CG116" s="484">
        <f>$BL$41</f>
        <v>0</v>
      </c>
      <c r="CH116" s="484">
        <f>$BL$42</f>
        <v>0</v>
      </c>
      <c r="CI116" s="484">
        <f>$BL$43</f>
        <v>0</v>
      </c>
      <c r="CJ116" s="484">
        <f>$BL$44</f>
        <v>0</v>
      </c>
      <c r="CK116" s="484">
        <f>$BL$45</f>
        <v>0</v>
      </c>
      <c r="CL116" s="484">
        <f>$BL$46</f>
        <v>0</v>
      </c>
      <c r="CM116" s="484">
        <f>$BL$47</f>
        <v>0</v>
      </c>
      <c r="CN116" s="1183"/>
      <c r="CO116" s="1183"/>
      <c r="CP116" s="1183"/>
      <c r="CQ116" s="1183"/>
      <c r="CR116" s="1183"/>
      <c r="CS116" s="1183"/>
      <c r="CT116" s="1183"/>
      <c r="CU116" s="1183"/>
      <c r="CV116" s="1183"/>
      <c r="CW116" s="1183"/>
      <c r="CX116" s="1183"/>
      <c r="CY116" s="1183"/>
      <c r="CZ116" s="1183"/>
      <c r="DA116" s="1183"/>
      <c r="DB116" s="1183"/>
      <c r="DC116" s="1183"/>
      <c r="DD116" s="1183"/>
      <c r="DE116" s="1183"/>
      <c r="DF116" s="1183"/>
      <c r="DG116" s="1183"/>
      <c r="DH116" s="1183"/>
      <c r="DI116" s="1183"/>
      <c r="DJ116" s="1183"/>
      <c r="DK116" s="1183"/>
      <c r="DL116" s="1183"/>
      <c r="DM116" s="1183"/>
      <c r="DN116" s="1183"/>
      <c r="DO116" s="1183"/>
      <c r="DP116" s="1183"/>
      <c r="DQ116" s="1183"/>
    </row>
    <row r="117" spans="1:121" s="12" customFormat="1" ht="12" customHeight="1" x14ac:dyDescent="0.35">
      <c r="A117" s="1478"/>
      <c r="B117" s="1478"/>
      <c r="C117" s="1478"/>
      <c r="D117" s="1478"/>
      <c r="E117" s="1478"/>
      <c r="F117" s="1530"/>
      <c r="G117" s="1531"/>
      <c r="H117" s="1478"/>
      <c r="I117" s="1478"/>
      <c r="J117" s="1478"/>
      <c r="K117" s="1540"/>
      <c r="L117" s="1540"/>
      <c r="M117" s="1540"/>
      <c r="N117" s="1540"/>
      <c r="O117" s="1540"/>
      <c r="P117" s="1540"/>
      <c r="Q117" s="1540"/>
      <c r="R117" s="1540"/>
      <c r="S117" s="1540"/>
      <c r="T117" s="1540"/>
      <c r="U117" s="1540"/>
      <c r="V117" s="1540"/>
      <c r="W117" s="1540"/>
      <c r="X117" s="1540"/>
      <c r="Y117" s="1540"/>
      <c r="Z117" s="1540"/>
      <c r="AA117" s="1540"/>
      <c r="AB117" s="1540"/>
      <c r="AC117" s="1540"/>
      <c r="AD117" s="1540"/>
      <c r="AE117" s="1540"/>
      <c r="AF117" s="1544"/>
      <c r="AG117" s="1544"/>
      <c r="AH117" s="1544"/>
      <c r="AI117" s="1544"/>
      <c r="AJ117" s="1544"/>
      <c r="AK117" s="1544"/>
      <c r="AL117" s="1544"/>
      <c r="AM117" s="1544"/>
      <c r="AN117" s="1544"/>
      <c r="AO117" s="1544"/>
      <c r="AP117" s="1544"/>
      <c r="AQ117" s="1544"/>
      <c r="AR117" s="1544"/>
      <c r="AS117" s="1544"/>
      <c r="AT117" s="1544"/>
      <c r="AU117" s="1544"/>
      <c r="AV117" s="1544"/>
      <c r="AW117" s="1544"/>
      <c r="AX117" s="1544"/>
      <c r="AY117" s="1544"/>
      <c r="AZ117" s="1544"/>
      <c r="BA117" s="1544"/>
      <c r="BB117" s="1544"/>
      <c r="BC117" s="1544"/>
      <c r="BD117" s="1544"/>
      <c r="BE117" s="1544"/>
      <c r="BF117" s="1544"/>
      <c r="BG117" s="1544"/>
      <c r="BH117" s="1544"/>
      <c r="BI117" s="1544"/>
      <c r="BJ117" s="1544"/>
      <c r="BK117" s="1544"/>
      <c r="BL117" s="1544"/>
      <c r="BM117" s="1544"/>
      <c r="BN117" s="1544"/>
      <c r="BO117" s="1544"/>
      <c r="BP117" s="1544"/>
      <c r="BQ117" s="1442"/>
      <c r="BR117" s="1442"/>
      <c r="BS117" s="1442"/>
      <c r="BT117" s="43"/>
      <c r="BU117" s="43"/>
      <c r="BV117" s="43"/>
      <c r="BW117" s="1436">
        <f>Infrastructure!M50</f>
        <v>0</v>
      </c>
      <c r="BX117" s="1437">
        <f>$AX$3</f>
        <v>0</v>
      </c>
      <c r="BY117" s="1437">
        <f>$AX$8</f>
        <v>0</v>
      </c>
      <c r="BZ117" s="1183"/>
      <c r="CA117" s="1183"/>
      <c r="CB117" s="1183"/>
      <c r="CC117" s="1183"/>
      <c r="CD117" s="484">
        <f>$BM$38</f>
        <v>0</v>
      </c>
      <c r="CE117" s="484">
        <f>$BM$39</f>
        <v>0</v>
      </c>
      <c r="CF117" s="484">
        <f>$BM$40</f>
        <v>0</v>
      </c>
      <c r="CG117" s="484">
        <f>$BM$41</f>
        <v>0</v>
      </c>
      <c r="CH117" s="484">
        <f>$BM$42</f>
        <v>0</v>
      </c>
      <c r="CI117" s="484">
        <f>$BM$43</f>
        <v>0</v>
      </c>
      <c r="CJ117" s="484">
        <f>$BM$44</f>
        <v>0</v>
      </c>
      <c r="CK117" s="484">
        <f>$BM$45</f>
        <v>0</v>
      </c>
      <c r="CL117" s="484">
        <f>$BM$46</f>
        <v>0</v>
      </c>
      <c r="CM117" s="484">
        <f>$BM$47</f>
        <v>0</v>
      </c>
      <c r="CN117" s="1183"/>
      <c r="CO117" s="1183"/>
      <c r="CP117" s="1183"/>
      <c r="CQ117" s="1183"/>
      <c r="CR117" s="1183"/>
      <c r="CS117" s="1183"/>
      <c r="CT117" s="1183"/>
      <c r="CU117" s="1183"/>
      <c r="CV117" s="1183"/>
      <c r="CW117" s="1183"/>
      <c r="CX117" s="1183"/>
      <c r="CY117" s="1183"/>
      <c r="CZ117" s="1183"/>
      <c r="DA117" s="1183"/>
      <c r="DB117" s="1183"/>
      <c r="DC117" s="1183"/>
      <c r="DD117" s="1183"/>
      <c r="DE117" s="1183"/>
      <c r="DF117" s="1183"/>
      <c r="DG117" s="1183"/>
      <c r="DH117" s="1183"/>
      <c r="DI117" s="1183"/>
      <c r="DJ117" s="1183"/>
      <c r="DK117" s="1183"/>
      <c r="DL117" s="1183"/>
      <c r="DM117" s="1183"/>
      <c r="DN117" s="1183"/>
      <c r="DO117" s="1183"/>
      <c r="DP117" s="1183"/>
      <c r="DQ117" s="1183"/>
    </row>
    <row r="118" spans="1:121" s="12" customFormat="1" ht="12" customHeight="1" x14ac:dyDescent="0.35">
      <c r="A118" s="1478"/>
      <c r="B118" s="1478"/>
      <c r="C118" s="1478"/>
      <c r="D118" s="1478"/>
      <c r="E118" s="1478"/>
      <c r="F118" s="1530"/>
      <c r="G118" s="1531"/>
      <c r="H118" s="1478"/>
      <c r="I118" s="1478"/>
      <c r="J118" s="1478"/>
      <c r="K118" s="1540"/>
      <c r="L118" s="1540"/>
      <c r="M118" s="1540"/>
      <c r="N118" s="1540"/>
      <c r="O118" s="1540"/>
      <c r="P118" s="1540"/>
      <c r="Q118" s="1540"/>
      <c r="R118" s="1540"/>
      <c r="S118" s="1540"/>
      <c r="T118" s="1540"/>
      <c r="U118" s="1540"/>
      <c r="V118" s="1540"/>
      <c r="W118" s="1540"/>
      <c r="X118" s="1540"/>
      <c r="Y118" s="1540"/>
      <c r="Z118" s="1540"/>
      <c r="AA118" s="1540"/>
      <c r="AB118" s="1540"/>
      <c r="AC118" s="1540"/>
      <c r="AD118" s="1540"/>
      <c r="AE118" s="1540"/>
      <c r="AF118" s="1544"/>
      <c r="AG118" s="1544"/>
      <c r="AH118" s="1544"/>
      <c r="AI118" s="1544"/>
      <c r="AJ118" s="1544"/>
      <c r="AK118" s="1544"/>
      <c r="AL118" s="1544"/>
      <c r="AM118" s="1544"/>
      <c r="AN118" s="1544"/>
      <c r="AO118" s="1544"/>
      <c r="AP118" s="1544"/>
      <c r="AQ118" s="1544"/>
      <c r="AR118" s="1544"/>
      <c r="AS118" s="1544"/>
      <c r="AT118" s="1544"/>
      <c r="AU118" s="1544"/>
      <c r="AV118" s="1544"/>
      <c r="AW118" s="1544"/>
      <c r="AX118" s="1544"/>
      <c r="AY118" s="1544"/>
      <c r="AZ118" s="1544"/>
      <c r="BA118" s="1544"/>
      <c r="BB118" s="1544"/>
      <c r="BC118" s="1544"/>
      <c r="BD118" s="1544"/>
      <c r="BE118" s="1544"/>
      <c r="BF118" s="1544"/>
      <c r="BG118" s="1544"/>
      <c r="BH118" s="1544"/>
      <c r="BI118" s="1544"/>
      <c r="BJ118" s="1544"/>
      <c r="BK118" s="1544"/>
      <c r="BL118" s="1544"/>
      <c r="BM118" s="1544"/>
      <c r="BN118" s="1544"/>
      <c r="BO118" s="1544"/>
      <c r="BP118" s="1544"/>
      <c r="BQ118" s="1442"/>
      <c r="BR118" s="1442"/>
      <c r="BS118" s="1442"/>
      <c r="BT118" s="43"/>
      <c r="BU118" s="43"/>
      <c r="BV118" s="43"/>
      <c r="BW118" s="1436">
        <f>Infrastructure!M51</f>
        <v>0</v>
      </c>
      <c r="BX118" s="1437">
        <f>$AY$3</f>
        <v>0</v>
      </c>
      <c r="BY118" s="1437">
        <f>$AY$8</f>
        <v>0</v>
      </c>
      <c r="BZ118" s="1183"/>
      <c r="CA118" s="1183"/>
      <c r="CB118" s="1183"/>
      <c r="CC118" s="1183"/>
      <c r="CD118" s="484">
        <f>$BN$38</f>
        <v>0</v>
      </c>
      <c r="CE118" s="484">
        <f>$BN$39</f>
        <v>0</v>
      </c>
      <c r="CF118" s="484">
        <f>$BN$40</f>
        <v>0</v>
      </c>
      <c r="CG118" s="484">
        <f>$BN$41</f>
        <v>0</v>
      </c>
      <c r="CH118" s="484">
        <f>$BN$42</f>
        <v>0</v>
      </c>
      <c r="CI118" s="484">
        <f>$BN$43</f>
        <v>0</v>
      </c>
      <c r="CJ118" s="484">
        <f>$BN$44</f>
        <v>0</v>
      </c>
      <c r="CK118" s="484">
        <f>$BN$45</f>
        <v>0</v>
      </c>
      <c r="CL118" s="484">
        <f>$BN$46</f>
        <v>0</v>
      </c>
      <c r="CM118" s="484">
        <f>$BN$47</f>
        <v>0</v>
      </c>
      <c r="CN118" s="1183"/>
      <c r="CO118" s="1183"/>
      <c r="CP118" s="1183"/>
      <c r="CQ118" s="1183"/>
      <c r="CR118" s="1183"/>
      <c r="CS118" s="1183"/>
      <c r="CT118" s="1183"/>
      <c r="CU118" s="1183"/>
      <c r="CV118" s="1183"/>
      <c r="CW118" s="1183"/>
      <c r="CX118" s="1183"/>
      <c r="CY118" s="1183"/>
      <c r="CZ118" s="1183"/>
      <c r="DA118" s="1183"/>
      <c r="DB118" s="1183"/>
      <c r="DC118" s="1183"/>
      <c r="DD118" s="1183"/>
      <c r="DE118" s="1183"/>
      <c r="DF118" s="1183"/>
      <c r="DG118" s="1183"/>
      <c r="DH118" s="1183"/>
      <c r="DI118" s="1183"/>
      <c r="DJ118" s="1183"/>
      <c r="DK118" s="1183"/>
      <c r="DL118" s="1183"/>
      <c r="DM118" s="1183"/>
      <c r="DN118" s="1183"/>
      <c r="DO118" s="1183"/>
      <c r="DP118" s="1183"/>
      <c r="DQ118" s="1183"/>
    </row>
    <row r="119" spans="1:121" s="12" customFormat="1" ht="12" customHeight="1" x14ac:dyDescent="0.35">
      <c r="A119" s="1478"/>
      <c r="B119" s="1478"/>
      <c r="C119" s="1478"/>
      <c r="D119" s="1478"/>
      <c r="E119" s="1478"/>
      <c r="F119" s="1530"/>
      <c r="G119" s="1531"/>
      <c r="H119" s="1478"/>
      <c r="I119" s="1478"/>
      <c r="J119" s="1478"/>
      <c r="K119" s="1540"/>
      <c r="L119" s="1540"/>
      <c r="M119" s="1540"/>
      <c r="N119" s="1540"/>
      <c r="O119" s="1540"/>
      <c r="P119" s="1540"/>
      <c r="Q119" s="1540"/>
      <c r="R119" s="1540"/>
      <c r="S119" s="1540"/>
      <c r="T119" s="1540"/>
      <c r="U119" s="1540"/>
      <c r="V119" s="1540"/>
      <c r="W119" s="1540"/>
      <c r="X119" s="1540"/>
      <c r="Y119" s="1540"/>
      <c r="Z119" s="1540"/>
      <c r="AA119" s="1540"/>
      <c r="AB119" s="1540"/>
      <c r="AC119" s="1540"/>
      <c r="AD119" s="1540"/>
      <c r="AE119" s="1540"/>
      <c r="AF119" s="1544"/>
      <c r="AG119" s="1544"/>
      <c r="AH119" s="1544"/>
      <c r="AI119" s="1544"/>
      <c r="AJ119" s="1544"/>
      <c r="AK119" s="1544"/>
      <c r="AL119" s="1544"/>
      <c r="AM119" s="1544"/>
      <c r="AN119" s="1544"/>
      <c r="AO119" s="1544"/>
      <c r="AP119" s="1544"/>
      <c r="AQ119" s="1544"/>
      <c r="AR119" s="1544"/>
      <c r="AS119" s="1544"/>
      <c r="AT119" s="1544"/>
      <c r="AU119" s="1544"/>
      <c r="AV119" s="1544"/>
      <c r="AW119" s="1544"/>
      <c r="AX119" s="1544"/>
      <c r="AY119" s="1544"/>
      <c r="AZ119" s="1544"/>
      <c r="BA119" s="1544"/>
      <c r="BB119" s="1544"/>
      <c r="BC119" s="1544"/>
      <c r="BD119" s="1544"/>
      <c r="BE119" s="1544"/>
      <c r="BF119" s="1544"/>
      <c r="BG119" s="1544"/>
      <c r="BH119" s="1544"/>
      <c r="BI119" s="1544"/>
      <c r="BJ119" s="1544"/>
      <c r="BK119" s="1544"/>
      <c r="BL119" s="1544"/>
      <c r="BM119" s="1544"/>
      <c r="BN119" s="1544"/>
      <c r="BO119" s="1544"/>
      <c r="BP119" s="1544"/>
      <c r="BQ119" s="1442"/>
      <c r="BR119" s="1442"/>
      <c r="BS119" s="1442"/>
      <c r="BT119" s="43"/>
      <c r="BU119" s="43"/>
      <c r="BV119" s="43"/>
      <c r="BW119" s="1436">
        <f>Infrastructure!M52</f>
        <v>0</v>
      </c>
      <c r="BX119" s="1437">
        <f>$AZ$3</f>
        <v>0</v>
      </c>
      <c r="BY119" s="1437">
        <f>$AZ$8</f>
        <v>0</v>
      </c>
      <c r="BZ119" s="1183"/>
      <c r="CA119" s="1183"/>
      <c r="CB119" s="1183"/>
      <c r="CC119" s="1183"/>
      <c r="CD119" s="484">
        <f>$BO$38</f>
        <v>0</v>
      </c>
      <c r="CE119" s="484">
        <f>$BO$39</f>
        <v>0</v>
      </c>
      <c r="CF119" s="484">
        <f>$BO$40</f>
        <v>0</v>
      </c>
      <c r="CG119" s="484">
        <f>$BO$41</f>
        <v>0</v>
      </c>
      <c r="CH119" s="484">
        <f>$BO$42</f>
        <v>0</v>
      </c>
      <c r="CI119" s="484">
        <f>$BO$43</f>
        <v>0</v>
      </c>
      <c r="CJ119" s="484">
        <f>$BO$44</f>
        <v>0</v>
      </c>
      <c r="CK119" s="484">
        <f>$BO$45</f>
        <v>0</v>
      </c>
      <c r="CL119" s="484">
        <f>$BO$46</f>
        <v>0</v>
      </c>
      <c r="CM119" s="484">
        <f>$BO$47</f>
        <v>0</v>
      </c>
      <c r="CN119" s="1183"/>
      <c r="CO119" s="1183"/>
      <c r="CP119" s="1183"/>
      <c r="CQ119" s="1183"/>
      <c r="CR119" s="1183"/>
      <c r="CS119" s="1183"/>
      <c r="CT119" s="1183"/>
      <c r="CU119" s="1183"/>
      <c r="CV119" s="1183"/>
      <c r="CW119" s="1183"/>
      <c r="CX119" s="1183"/>
      <c r="CY119" s="1183"/>
      <c r="CZ119" s="1183"/>
      <c r="DA119" s="1183"/>
      <c r="DB119" s="1183"/>
      <c r="DC119" s="1183"/>
      <c r="DD119" s="1183"/>
      <c r="DE119" s="1183"/>
      <c r="DF119" s="1183"/>
      <c r="DG119" s="1183"/>
      <c r="DH119" s="1183"/>
      <c r="DI119" s="1183"/>
      <c r="DJ119" s="1183"/>
      <c r="DK119" s="1183"/>
      <c r="DL119" s="1183"/>
      <c r="DM119" s="1183"/>
      <c r="DN119" s="1183"/>
      <c r="DO119" s="1183"/>
      <c r="DP119" s="1183"/>
      <c r="DQ119" s="1183"/>
    </row>
    <row r="120" spans="1:121" s="12" customFormat="1" ht="12" customHeight="1" x14ac:dyDescent="0.35">
      <c r="A120" s="1478"/>
      <c r="B120" s="1478"/>
      <c r="C120" s="1478"/>
      <c r="D120" s="1478"/>
      <c r="E120" s="1478"/>
      <c r="F120" s="1530"/>
      <c r="G120" s="1531"/>
      <c r="H120" s="1478"/>
      <c r="I120" s="1478"/>
      <c r="J120" s="1478"/>
      <c r="K120" s="1540"/>
      <c r="L120" s="1540"/>
      <c r="M120" s="1540"/>
      <c r="N120" s="1540"/>
      <c r="O120" s="1540"/>
      <c r="P120" s="1540"/>
      <c r="Q120" s="1540"/>
      <c r="R120" s="1540"/>
      <c r="S120" s="1540"/>
      <c r="T120" s="1540"/>
      <c r="U120" s="1540"/>
      <c r="V120" s="1540"/>
      <c r="W120" s="1540"/>
      <c r="X120" s="1540"/>
      <c r="Y120" s="1540"/>
      <c r="Z120" s="1540"/>
      <c r="AA120" s="1540"/>
      <c r="AB120" s="1540"/>
      <c r="AC120" s="1540"/>
      <c r="AD120" s="1540"/>
      <c r="AE120" s="1540"/>
      <c r="AF120" s="1544"/>
      <c r="AG120" s="1544"/>
      <c r="AH120" s="1544"/>
      <c r="AI120" s="1544"/>
      <c r="AJ120" s="1544"/>
      <c r="AK120" s="1544"/>
      <c r="AL120" s="1544"/>
      <c r="AM120" s="1544"/>
      <c r="AN120" s="1544"/>
      <c r="AO120" s="1544"/>
      <c r="AP120" s="1544"/>
      <c r="AQ120" s="1544"/>
      <c r="AR120" s="1544"/>
      <c r="AS120" s="1544"/>
      <c r="AT120" s="1544"/>
      <c r="AU120" s="1544"/>
      <c r="AV120" s="1544"/>
      <c r="AW120" s="1544"/>
      <c r="AX120" s="1544"/>
      <c r="AY120" s="1544"/>
      <c r="AZ120" s="1544"/>
      <c r="BA120" s="1544"/>
      <c r="BB120" s="1544"/>
      <c r="BC120" s="1544"/>
      <c r="BD120" s="1544"/>
      <c r="BE120" s="1544"/>
      <c r="BF120" s="1544"/>
      <c r="BG120" s="1544"/>
      <c r="BH120" s="1544"/>
      <c r="BI120" s="1544"/>
      <c r="BJ120" s="1544"/>
      <c r="BK120" s="1544"/>
      <c r="BL120" s="1544"/>
      <c r="BM120" s="1544"/>
      <c r="BN120" s="1544"/>
      <c r="BO120" s="1544"/>
      <c r="BP120" s="1544"/>
      <c r="BQ120" s="1442"/>
      <c r="BR120" s="1442"/>
      <c r="BS120" s="1442"/>
      <c r="BT120" s="43"/>
      <c r="BU120" s="43"/>
      <c r="BV120" s="43"/>
      <c r="BW120" s="1436">
        <f>Infrastructure!M53</f>
        <v>0</v>
      </c>
      <c r="BX120" s="1437">
        <f>$BA$3</f>
        <v>0</v>
      </c>
      <c r="BY120" s="1437">
        <f>$BA$8</f>
        <v>0</v>
      </c>
      <c r="BZ120" s="1183"/>
      <c r="CA120" s="1183"/>
      <c r="CB120" s="1183"/>
      <c r="CC120" s="1183"/>
      <c r="CD120" s="484">
        <f>$BP$38</f>
        <v>0</v>
      </c>
      <c r="CE120" s="484">
        <f>$BP$39</f>
        <v>0</v>
      </c>
      <c r="CF120" s="484">
        <f>$BP$40</f>
        <v>0</v>
      </c>
      <c r="CG120" s="484">
        <f>$BP$41</f>
        <v>0</v>
      </c>
      <c r="CH120" s="484">
        <f>$BP$42</f>
        <v>0</v>
      </c>
      <c r="CI120" s="484">
        <f>$BP$43</f>
        <v>0</v>
      </c>
      <c r="CJ120" s="484">
        <f>$BP$44</f>
        <v>0</v>
      </c>
      <c r="CK120" s="484">
        <f>$BP$45</f>
        <v>0</v>
      </c>
      <c r="CL120" s="484">
        <f>$BP$46</f>
        <v>0</v>
      </c>
      <c r="CM120" s="484">
        <f>$BP$47</f>
        <v>0</v>
      </c>
      <c r="CN120" s="1183"/>
      <c r="CO120" s="1183"/>
      <c r="CP120" s="1183"/>
      <c r="CQ120" s="1183"/>
      <c r="CR120" s="1183"/>
      <c r="CS120" s="1183"/>
      <c r="CT120" s="1183"/>
      <c r="CU120" s="1183"/>
      <c r="CV120" s="1183"/>
      <c r="CW120" s="1183"/>
      <c r="CX120" s="1183"/>
      <c r="CY120" s="1183"/>
      <c r="CZ120" s="1183"/>
      <c r="DA120" s="1183"/>
      <c r="DB120" s="1183"/>
      <c r="DC120" s="1183"/>
      <c r="DD120" s="1183"/>
      <c r="DE120" s="1183"/>
      <c r="DF120" s="1183"/>
      <c r="DG120" s="1183"/>
      <c r="DH120" s="1183"/>
      <c r="DI120" s="1183"/>
      <c r="DJ120" s="1183"/>
      <c r="DK120" s="1183"/>
      <c r="DL120" s="1183"/>
      <c r="DM120" s="1183"/>
      <c r="DN120" s="1183"/>
      <c r="DO120" s="1183"/>
      <c r="DP120" s="1183"/>
      <c r="DQ120" s="1183"/>
    </row>
    <row r="121" spans="1:121" s="12" customFormat="1" ht="12" customHeight="1" x14ac:dyDescent="0.35">
      <c r="A121" s="1478"/>
      <c r="B121" s="1478"/>
      <c r="C121" s="1478"/>
      <c r="D121" s="1478"/>
      <c r="E121" s="1478"/>
      <c r="F121" s="1530"/>
      <c r="G121" s="1531"/>
      <c r="H121" s="1478"/>
      <c r="I121" s="1478"/>
      <c r="J121" s="1478"/>
      <c r="K121" s="1540"/>
      <c r="L121" s="1540"/>
      <c r="M121" s="1540"/>
      <c r="N121" s="1540"/>
      <c r="O121" s="1540"/>
      <c r="P121" s="1540"/>
      <c r="Q121" s="1540"/>
      <c r="R121" s="1540"/>
      <c r="S121" s="1540"/>
      <c r="T121" s="1540"/>
      <c r="U121" s="1540"/>
      <c r="V121" s="1540"/>
      <c r="W121" s="1540"/>
      <c r="X121" s="1540"/>
      <c r="Y121" s="1540"/>
      <c r="Z121" s="1540"/>
      <c r="AA121" s="1540"/>
      <c r="AB121" s="1540"/>
      <c r="AC121" s="1540"/>
      <c r="AD121" s="1540"/>
      <c r="AE121" s="1540"/>
      <c r="AF121" s="1544"/>
      <c r="AG121" s="1544"/>
      <c r="AH121" s="1544"/>
      <c r="AI121" s="1544"/>
      <c r="AJ121" s="1544"/>
      <c r="AK121" s="1544"/>
      <c r="AL121" s="1544"/>
      <c r="AM121" s="1544"/>
      <c r="AN121" s="1544"/>
      <c r="AO121" s="1544"/>
      <c r="AP121" s="1544"/>
      <c r="AQ121" s="1544"/>
      <c r="AR121" s="1544"/>
      <c r="AS121" s="1544"/>
      <c r="AT121" s="1544"/>
      <c r="AU121" s="1544"/>
      <c r="AV121" s="1544"/>
      <c r="AW121" s="1544"/>
      <c r="AX121" s="1544"/>
      <c r="AY121" s="1544"/>
      <c r="AZ121" s="1544"/>
      <c r="BA121" s="1544"/>
      <c r="BB121" s="1544"/>
      <c r="BC121" s="1544"/>
      <c r="BD121" s="1544"/>
      <c r="BE121" s="1544"/>
      <c r="BF121" s="1544"/>
      <c r="BG121" s="1544"/>
      <c r="BH121" s="1544"/>
      <c r="BI121" s="1544"/>
      <c r="BJ121" s="1544"/>
      <c r="BK121" s="1544"/>
      <c r="BL121" s="1544"/>
      <c r="BM121" s="1544"/>
      <c r="BN121" s="1544"/>
      <c r="BO121" s="1544"/>
      <c r="BP121" s="1544"/>
      <c r="BQ121" s="1442"/>
      <c r="BR121" s="1442"/>
      <c r="BS121" s="1442"/>
      <c r="BT121" s="43"/>
      <c r="BU121" s="43"/>
      <c r="BV121" s="43"/>
      <c r="BW121" s="1436">
        <f>Infrastructure!M54</f>
        <v>0</v>
      </c>
      <c r="BX121" s="1437">
        <f>$BB$3</f>
        <v>0</v>
      </c>
      <c r="BY121" s="1437">
        <f>$BB$8</f>
        <v>0</v>
      </c>
      <c r="BZ121" s="1183"/>
      <c r="CA121" s="1183"/>
      <c r="CB121" s="1183"/>
      <c r="CC121" s="1183"/>
      <c r="CD121" s="1183"/>
      <c r="CE121" s="1183"/>
      <c r="CF121" s="1183"/>
      <c r="CG121" s="1183"/>
      <c r="CH121" s="1183"/>
      <c r="CI121" s="1183"/>
      <c r="CJ121" s="1183"/>
      <c r="CK121" s="1183"/>
      <c r="CL121" s="1183"/>
      <c r="CM121" s="1183"/>
      <c r="CN121" s="1183"/>
      <c r="CO121" s="1183"/>
      <c r="CP121" s="1183"/>
      <c r="CQ121" s="1183"/>
      <c r="CR121" s="1183"/>
      <c r="CS121" s="1183"/>
      <c r="CT121" s="1183"/>
      <c r="CU121" s="1183"/>
      <c r="CV121" s="1183"/>
      <c r="CW121" s="1183"/>
      <c r="CX121" s="1183"/>
      <c r="CY121" s="1183"/>
      <c r="CZ121" s="1183"/>
      <c r="DA121" s="1183"/>
      <c r="DB121" s="1183"/>
      <c r="DC121" s="1183"/>
      <c r="DD121" s="1183"/>
      <c r="DE121" s="1183"/>
      <c r="DF121" s="1183"/>
      <c r="DG121" s="1183"/>
      <c r="DH121" s="1183"/>
      <c r="DI121" s="1183"/>
      <c r="DJ121" s="1183"/>
      <c r="DK121" s="1183"/>
      <c r="DL121" s="1183"/>
      <c r="DM121" s="1183"/>
      <c r="DN121" s="1183"/>
      <c r="DO121" s="1183"/>
      <c r="DP121" s="1183"/>
      <c r="DQ121" s="1183"/>
    </row>
    <row r="122" spans="1:121" s="12" customFormat="1" ht="12" customHeight="1" x14ac:dyDescent="0.35">
      <c r="A122" s="1478"/>
      <c r="B122" s="1478"/>
      <c r="C122" s="1478"/>
      <c r="D122" s="1478"/>
      <c r="E122" s="1478"/>
      <c r="F122" s="1530"/>
      <c r="G122" s="1531"/>
      <c r="H122" s="1478"/>
      <c r="I122" s="1478"/>
      <c r="J122" s="1478"/>
      <c r="K122" s="1540"/>
      <c r="L122" s="1540"/>
      <c r="M122" s="1540"/>
      <c r="N122" s="1540"/>
      <c r="O122" s="1540"/>
      <c r="P122" s="1540"/>
      <c r="Q122" s="1540"/>
      <c r="R122" s="1540"/>
      <c r="S122" s="1540"/>
      <c r="T122" s="1540"/>
      <c r="U122" s="1540"/>
      <c r="V122" s="1540"/>
      <c r="W122" s="1540"/>
      <c r="X122" s="1540"/>
      <c r="Y122" s="1540"/>
      <c r="Z122" s="1540"/>
      <c r="AA122" s="1540"/>
      <c r="AB122" s="1540"/>
      <c r="AC122" s="1540"/>
      <c r="AD122" s="1540"/>
      <c r="AE122" s="1540"/>
      <c r="AF122" s="1544"/>
      <c r="AG122" s="1544"/>
      <c r="AH122" s="1544"/>
      <c r="AI122" s="1544"/>
      <c r="AJ122" s="1544"/>
      <c r="AK122" s="1544"/>
      <c r="AL122" s="1544"/>
      <c r="AM122" s="1544"/>
      <c r="AN122" s="1544"/>
      <c r="AO122" s="1544"/>
      <c r="AP122" s="1544"/>
      <c r="AQ122" s="1544"/>
      <c r="AR122" s="1544"/>
      <c r="AS122" s="1544"/>
      <c r="AT122" s="1544"/>
      <c r="AU122" s="1544"/>
      <c r="AV122" s="1544"/>
      <c r="AW122" s="1544"/>
      <c r="AX122" s="1544"/>
      <c r="AY122" s="1544"/>
      <c r="AZ122" s="1544"/>
      <c r="BA122" s="1544"/>
      <c r="BB122" s="1544"/>
      <c r="BC122" s="1544"/>
      <c r="BD122" s="1544"/>
      <c r="BE122" s="1544"/>
      <c r="BF122" s="1544"/>
      <c r="BG122" s="1544"/>
      <c r="BH122" s="1544"/>
      <c r="BI122" s="1544"/>
      <c r="BJ122" s="1544"/>
      <c r="BK122" s="1544"/>
      <c r="BL122" s="1544"/>
      <c r="BM122" s="1544"/>
      <c r="BN122" s="1544"/>
      <c r="BO122" s="1544"/>
      <c r="BP122" s="1544"/>
      <c r="BQ122" s="1442"/>
      <c r="BR122" s="1442"/>
      <c r="BS122" s="1442"/>
      <c r="BT122" s="43"/>
      <c r="BU122" s="43"/>
      <c r="BV122" s="43"/>
      <c r="BW122" s="1436">
        <f>Infrastructure!M55</f>
        <v>0</v>
      </c>
      <c r="BX122" s="1437">
        <f>$BC$3</f>
        <v>0</v>
      </c>
      <c r="BY122" s="1437">
        <f>$BC$8</f>
        <v>0</v>
      </c>
      <c r="BZ122" s="1183"/>
      <c r="CA122" s="1183"/>
      <c r="CB122" s="1183"/>
      <c r="CC122" s="1183"/>
      <c r="CD122" s="1183"/>
      <c r="CE122" s="1183"/>
      <c r="CF122" s="1183"/>
      <c r="CG122" s="1183"/>
      <c r="CH122" s="1183"/>
      <c r="CI122" s="1183"/>
      <c r="CJ122" s="1183"/>
      <c r="CK122" s="1183"/>
      <c r="CL122" s="1183"/>
      <c r="CM122" s="1183"/>
      <c r="CN122" s="1183"/>
      <c r="CO122" s="1183"/>
      <c r="CP122" s="1183"/>
      <c r="CQ122" s="1183"/>
      <c r="CR122" s="1183"/>
      <c r="CS122" s="1183"/>
      <c r="CT122" s="1183"/>
      <c r="CU122" s="1183"/>
      <c r="CV122" s="1183"/>
      <c r="CW122" s="1183"/>
      <c r="CX122" s="1183"/>
      <c r="CY122" s="1183"/>
      <c r="CZ122" s="1183"/>
      <c r="DA122" s="1183"/>
      <c r="DB122" s="1183"/>
      <c r="DC122" s="1183"/>
      <c r="DD122" s="1183"/>
      <c r="DE122" s="1183"/>
      <c r="DF122" s="1183"/>
      <c r="DG122" s="1183"/>
      <c r="DH122" s="1183"/>
      <c r="DI122" s="1183"/>
      <c r="DJ122" s="1183"/>
      <c r="DK122" s="1183"/>
      <c r="DL122" s="1183"/>
      <c r="DM122" s="1183"/>
      <c r="DN122" s="1183"/>
      <c r="DO122" s="1183"/>
      <c r="DP122" s="1183"/>
      <c r="DQ122" s="1183"/>
    </row>
    <row r="123" spans="1:121" s="12" customFormat="1" ht="12" customHeight="1" x14ac:dyDescent="0.35">
      <c r="A123" s="1478"/>
      <c r="B123" s="1478"/>
      <c r="C123" s="1478"/>
      <c r="D123" s="1478"/>
      <c r="E123" s="1478"/>
      <c r="F123" s="1530"/>
      <c r="G123" s="1531"/>
      <c r="H123" s="1478"/>
      <c r="I123" s="1478"/>
      <c r="J123" s="1478"/>
      <c r="K123" s="1540"/>
      <c r="L123" s="1540"/>
      <c r="M123" s="1540"/>
      <c r="N123" s="1540"/>
      <c r="O123" s="1540"/>
      <c r="P123" s="1540"/>
      <c r="Q123" s="1540"/>
      <c r="R123" s="1540"/>
      <c r="S123" s="1540"/>
      <c r="T123" s="1540"/>
      <c r="U123" s="1540"/>
      <c r="V123" s="1540"/>
      <c r="W123" s="1540"/>
      <c r="X123" s="1540"/>
      <c r="Y123" s="1540"/>
      <c r="Z123" s="1540"/>
      <c r="AA123" s="1540"/>
      <c r="AB123" s="1540"/>
      <c r="AC123" s="1540"/>
      <c r="AD123" s="1540"/>
      <c r="AE123" s="1540"/>
      <c r="AF123" s="1544"/>
      <c r="AG123" s="1544"/>
      <c r="AH123" s="1544"/>
      <c r="AI123" s="1544"/>
      <c r="AJ123" s="1544"/>
      <c r="AK123" s="1544"/>
      <c r="AL123" s="1544"/>
      <c r="AM123" s="1544"/>
      <c r="AN123" s="1544"/>
      <c r="AO123" s="1544"/>
      <c r="AP123" s="1544"/>
      <c r="AQ123" s="1544"/>
      <c r="AR123" s="1544"/>
      <c r="AS123" s="1544"/>
      <c r="AT123" s="1544"/>
      <c r="AU123" s="1544"/>
      <c r="AV123" s="1544"/>
      <c r="AW123" s="1544"/>
      <c r="AX123" s="1544"/>
      <c r="AY123" s="1544"/>
      <c r="AZ123" s="1544"/>
      <c r="BA123" s="1544"/>
      <c r="BB123" s="1544"/>
      <c r="BC123" s="1544"/>
      <c r="BD123" s="1544"/>
      <c r="BE123" s="1544"/>
      <c r="BF123" s="1544"/>
      <c r="BG123" s="1544"/>
      <c r="BH123" s="1544"/>
      <c r="BI123" s="1544"/>
      <c r="BJ123" s="1544"/>
      <c r="BK123" s="1544"/>
      <c r="BL123" s="1544"/>
      <c r="BM123" s="1544"/>
      <c r="BN123" s="1544"/>
      <c r="BO123" s="1544"/>
      <c r="BP123" s="1544"/>
      <c r="BQ123" s="1442"/>
      <c r="BR123" s="1442"/>
      <c r="BS123" s="1442"/>
      <c r="BT123" s="43"/>
      <c r="BU123" s="43"/>
      <c r="BV123" s="43"/>
      <c r="BW123" s="1436">
        <f>Infrastructure!M56</f>
        <v>0</v>
      </c>
      <c r="BX123" s="1437">
        <f>$BD$3</f>
        <v>0</v>
      </c>
      <c r="BY123" s="1437">
        <f>$BD$8</f>
        <v>0</v>
      </c>
      <c r="BZ123" s="1183"/>
      <c r="CA123" s="1183"/>
      <c r="CB123" s="1183"/>
      <c r="CC123" s="1183"/>
      <c r="CD123" s="1183"/>
      <c r="CE123" s="1183"/>
      <c r="CF123" s="1183"/>
      <c r="CG123" s="1183"/>
      <c r="CH123" s="1183"/>
      <c r="CI123" s="1183"/>
      <c r="CJ123" s="1183"/>
      <c r="CK123" s="1183"/>
      <c r="CL123" s="1183"/>
      <c r="CM123" s="1183"/>
      <c r="CN123" s="1183"/>
      <c r="CO123" s="1183"/>
      <c r="CP123" s="1183"/>
      <c r="CQ123" s="1183"/>
      <c r="CR123" s="1183"/>
      <c r="CS123" s="1183"/>
      <c r="CT123" s="1183"/>
      <c r="CU123" s="1183"/>
      <c r="CV123" s="1183"/>
      <c r="CW123" s="1183"/>
      <c r="CX123" s="1183"/>
      <c r="CY123" s="1183"/>
      <c r="CZ123" s="1183"/>
      <c r="DA123" s="1183"/>
      <c r="DB123" s="1183"/>
      <c r="DC123" s="1183"/>
      <c r="DD123" s="1183"/>
      <c r="DE123" s="1183"/>
      <c r="DF123" s="1183"/>
      <c r="DG123" s="1183"/>
      <c r="DH123" s="1183"/>
      <c r="DI123" s="1183"/>
      <c r="DJ123" s="1183"/>
      <c r="DK123" s="1183"/>
      <c r="DL123" s="1183"/>
      <c r="DM123" s="1183"/>
      <c r="DN123" s="1183"/>
      <c r="DO123" s="1183"/>
      <c r="DP123" s="1183"/>
      <c r="DQ123" s="1183"/>
    </row>
    <row r="124" spans="1:121" s="12" customFormat="1" ht="12" customHeight="1" x14ac:dyDescent="0.35">
      <c r="A124" s="1478"/>
      <c r="B124" s="1478"/>
      <c r="C124" s="1478"/>
      <c r="D124" s="1478"/>
      <c r="E124" s="1478"/>
      <c r="F124" s="1530"/>
      <c r="G124" s="1531"/>
      <c r="H124" s="1478"/>
      <c r="I124" s="1478"/>
      <c r="J124" s="1478"/>
      <c r="K124" s="1540"/>
      <c r="L124" s="1540"/>
      <c r="M124" s="1540"/>
      <c r="N124" s="1540"/>
      <c r="O124" s="1540"/>
      <c r="P124" s="1540"/>
      <c r="Q124" s="1540"/>
      <c r="R124" s="1540"/>
      <c r="S124" s="1540"/>
      <c r="T124" s="1540"/>
      <c r="U124" s="1540"/>
      <c r="V124" s="1540"/>
      <c r="W124" s="1540"/>
      <c r="X124" s="1540"/>
      <c r="Y124" s="1540"/>
      <c r="Z124" s="1540"/>
      <c r="AA124" s="1540"/>
      <c r="AB124" s="1540"/>
      <c r="AC124" s="1540"/>
      <c r="AD124" s="1540"/>
      <c r="AE124" s="1540"/>
      <c r="AF124" s="1544"/>
      <c r="AG124" s="1544"/>
      <c r="AH124" s="1544"/>
      <c r="AI124" s="1544"/>
      <c r="AJ124" s="1544"/>
      <c r="AK124" s="1544"/>
      <c r="AL124" s="1544"/>
      <c r="AM124" s="1544"/>
      <c r="AN124" s="1544"/>
      <c r="AO124" s="1544"/>
      <c r="AP124" s="1544"/>
      <c r="AQ124" s="1544"/>
      <c r="AR124" s="1544"/>
      <c r="AS124" s="1544"/>
      <c r="AT124" s="1544"/>
      <c r="AU124" s="1544"/>
      <c r="AV124" s="1544"/>
      <c r="AW124" s="1544"/>
      <c r="AX124" s="1544"/>
      <c r="AY124" s="1544"/>
      <c r="AZ124" s="1544"/>
      <c r="BA124" s="1544"/>
      <c r="BB124" s="1544"/>
      <c r="BC124" s="1544"/>
      <c r="BD124" s="1544"/>
      <c r="BE124" s="1544"/>
      <c r="BF124" s="1544"/>
      <c r="BG124" s="1544"/>
      <c r="BH124" s="1544"/>
      <c r="BI124" s="1544"/>
      <c r="BJ124" s="1544"/>
      <c r="BK124" s="1544"/>
      <c r="BL124" s="1544"/>
      <c r="BM124" s="1544"/>
      <c r="BN124" s="1544"/>
      <c r="BO124" s="1544"/>
      <c r="BP124" s="1544"/>
      <c r="BQ124" s="1442"/>
      <c r="BR124" s="1442"/>
      <c r="BS124" s="1442"/>
      <c r="BT124" s="43"/>
      <c r="BU124" s="43"/>
      <c r="BV124" s="43"/>
      <c r="BW124" s="1436">
        <f>Infrastructure!M57</f>
        <v>0</v>
      </c>
      <c r="BX124" s="1437">
        <f>$BE$3</f>
        <v>0</v>
      </c>
      <c r="BY124" s="1437">
        <f>$BE$8</f>
        <v>0</v>
      </c>
      <c r="BZ124" s="1183"/>
      <c r="CA124" s="1183"/>
      <c r="CB124" s="1183"/>
      <c r="CC124" s="1183"/>
      <c r="CD124" s="1183"/>
      <c r="CE124" s="1183"/>
      <c r="CF124" s="1183"/>
      <c r="CG124" s="1183"/>
      <c r="CH124" s="1183"/>
      <c r="CI124" s="1183"/>
      <c r="CJ124" s="1183"/>
      <c r="CK124" s="1183"/>
      <c r="CL124" s="1183"/>
      <c r="CM124" s="1183"/>
      <c r="CN124" s="1183"/>
      <c r="CO124" s="1183"/>
      <c r="CP124" s="1183"/>
      <c r="CQ124" s="1183"/>
      <c r="CR124" s="1183"/>
      <c r="CS124" s="1183"/>
      <c r="CT124" s="1183"/>
      <c r="CU124" s="1183"/>
      <c r="CV124" s="1183"/>
      <c r="CW124" s="1183"/>
      <c r="CX124" s="1183"/>
      <c r="CY124" s="1183"/>
      <c r="CZ124" s="1183"/>
      <c r="DA124" s="1183"/>
      <c r="DB124" s="1183"/>
      <c r="DC124" s="1183"/>
      <c r="DD124" s="1183"/>
      <c r="DE124" s="1183"/>
      <c r="DF124" s="1183"/>
      <c r="DG124" s="1183"/>
      <c r="DH124" s="1183"/>
      <c r="DI124" s="1183"/>
      <c r="DJ124" s="1183"/>
      <c r="DK124" s="1183"/>
      <c r="DL124" s="1183"/>
      <c r="DM124" s="1183"/>
      <c r="DN124" s="1183"/>
      <c r="DO124" s="1183"/>
      <c r="DP124" s="1183"/>
      <c r="DQ124" s="1183"/>
    </row>
    <row r="125" spans="1:121" s="12" customFormat="1" ht="12" customHeight="1" x14ac:dyDescent="0.3">
      <c r="A125" s="1478"/>
      <c r="B125" s="1478"/>
      <c r="C125" s="1478"/>
      <c r="D125" s="1478"/>
      <c r="E125" s="1478"/>
      <c r="F125" s="1530"/>
      <c r="G125" s="1531"/>
      <c r="H125" s="1478"/>
      <c r="I125" s="1478"/>
      <c r="J125" s="1478"/>
      <c r="K125" s="1540"/>
      <c r="L125" s="1539">
        <v>11</v>
      </c>
      <c r="M125" s="1539">
        <v>10</v>
      </c>
      <c r="N125" s="1539">
        <f t="shared" ref="N125:T125" si="85">M125-1</f>
        <v>9</v>
      </c>
      <c r="O125" s="1539">
        <f t="shared" si="85"/>
        <v>8</v>
      </c>
      <c r="P125" s="1539">
        <f t="shared" si="85"/>
        <v>7</v>
      </c>
      <c r="Q125" s="1539">
        <f t="shared" si="85"/>
        <v>6</v>
      </c>
      <c r="R125" s="1539">
        <f t="shared" si="85"/>
        <v>5</v>
      </c>
      <c r="S125" s="1539">
        <f t="shared" si="85"/>
        <v>4</v>
      </c>
      <c r="T125" s="1539">
        <f t="shared" si="85"/>
        <v>3</v>
      </c>
      <c r="U125" s="1540">
        <f>T125-1</f>
        <v>2</v>
      </c>
      <c r="V125" s="1540">
        <f>U125-1</f>
        <v>1</v>
      </c>
      <c r="W125" s="1541"/>
      <c r="X125" s="1541"/>
      <c r="Y125" s="1541"/>
      <c r="Z125" s="1541"/>
      <c r="AA125" s="1541"/>
      <c r="AB125" s="1541"/>
      <c r="AC125" s="1541"/>
      <c r="AD125" s="1541"/>
      <c r="AE125" s="1541"/>
      <c r="AF125" s="1542"/>
      <c r="AG125" s="1542"/>
      <c r="AH125" s="1542"/>
      <c r="AI125" s="1542"/>
      <c r="AJ125" s="1542"/>
      <c r="AK125" s="1542"/>
      <c r="AL125" s="1542"/>
      <c r="AM125" s="1542"/>
      <c r="AN125" s="1542"/>
      <c r="AO125" s="1542"/>
      <c r="AP125" s="1542"/>
      <c r="AQ125" s="1542"/>
      <c r="AR125" s="1542"/>
      <c r="AS125" s="1542"/>
      <c r="AT125" s="1542"/>
      <c r="AU125" s="1542"/>
      <c r="AV125" s="1542"/>
      <c r="AW125" s="1542"/>
      <c r="AX125" s="1542"/>
      <c r="AY125" s="1542"/>
      <c r="AZ125" s="1542"/>
      <c r="BA125" s="1542"/>
      <c r="BB125" s="1542"/>
      <c r="BC125" s="1542"/>
      <c r="BD125" s="1542"/>
      <c r="BE125" s="1542"/>
      <c r="BF125" s="1542"/>
      <c r="BG125" s="1544"/>
      <c r="BH125" s="1544"/>
      <c r="BI125" s="1544"/>
      <c r="BJ125" s="1544"/>
      <c r="BK125" s="1544"/>
      <c r="BL125" s="1544"/>
      <c r="BM125" s="1544"/>
      <c r="BN125" s="1544"/>
      <c r="BO125" s="1544"/>
      <c r="BP125" s="1544"/>
      <c r="BQ125" s="1442"/>
      <c r="BR125" s="1442"/>
      <c r="BS125" s="1442"/>
      <c r="BT125" s="43"/>
      <c r="BU125" s="43"/>
      <c r="BV125" s="43"/>
      <c r="BW125" s="1436">
        <f>Infrastructure!M58</f>
        <v>0</v>
      </c>
      <c r="BX125" s="1437">
        <f>$BF$3</f>
        <v>0</v>
      </c>
      <c r="BY125" s="1437">
        <f>$BF$8</f>
        <v>0</v>
      </c>
      <c r="BZ125" s="1183"/>
      <c r="CA125" s="1183"/>
      <c r="CB125" s="1183"/>
      <c r="CC125" s="1183"/>
      <c r="CD125" s="1183"/>
      <c r="CE125" s="1183"/>
      <c r="CF125" s="1183"/>
      <c r="CG125" s="1183"/>
      <c r="CH125" s="1183"/>
      <c r="CI125" s="1183"/>
      <c r="CJ125" s="1183"/>
      <c r="CK125" s="1183"/>
      <c r="CL125" s="1183"/>
      <c r="CM125" s="1183"/>
      <c r="CN125" s="1183"/>
      <c r="CO125" s="1183"/>
      <c r="CP125" s="1183"/>
      <c r="CQ125" s="1183"/>
      <c r="CR125" s="1183"/>
      <c r="CS125" s="1183"/>
      <c r="CT125" s="1183"/>
      <c r="CU125" s="1183"/>
      <c r="CV125" s="1183"/>
      <c r="CW125" s="1183"/>
      <c r="CX125" s="1183"/>
      <c r="CY125" s="1183"/>
      <c r="CZ125" s="1183"/>
      <c r="DA125" s="1183"/>
      <c r="DB125" s="1183"/>
      <c r="DC125" s="1183"/>
      <c r="DD125" s="1183"/>
      <c r="DE125" s="1183"/>
      <c r="DF125" s="1183"/>
      <c r="DG125" s="1183"/>
      <c r="DH125" s="1183"/>
      <c r="DI125" s="1183"/>
      <c r="DJ125" s="1183"/>
      <c r="DK125" s="1183"/>
      <c r="DL125" s="1183"/>
      <c r="DM125" s="1183"/>
      <c r="DN125" s="1183"/>
      <c r="DO125" s="1183"/>
      <c r="DP125" s="1183"/>
      <c r="DQ125" s="1183"/>
    </row>
    <row r="126" spans="1:121" s="12" customFormat="1" ht="12" customHeight="1" x14ac:dyDescent="0.35">
      <c r="A126" s="1478"/>
      <c r="B126" s="1478"/>
      <c r="C126" s="1478"/>
      <c r="D126" s="1478"/>
      <c r="E126" s="1478"/>
      <c r="F126" s="1530"/>
      <c r="G126" s="1531"/>
      <c r="H126" s="1478"/>
      <c r="I126" s="1478"/>
      <c r="J126" s="1478"/>
      <c r="K126" s="1540"/>
      <c r="L126" s="1540"/>
      <c r="M126" s="1540"/>
      <c r="N126" s="1540"/>
      <c r="O126" s="1540"/>
      <c r="P126" s="1540"/>
      <c r="Q126" s="1540"/>
      <c r="R126" s="1540"/>
      <c r="S126" s="1540"/>
      <c r="T126" s="1540"/>
      <c r="U126" s="1540"/>
      <c r="V126" s="1540"/>
      <c r="W126" s="1540"/>
      <c r="X126" s="1540"/>
      <c r="Y126" s="1540"/>
      <c r="Z126" s="1540"/>
      <c r="AA126" s="1540"/>
      <c r="AB126" s="1540"/>
      <c r="AC126" s="1540"/>
      <c r="AD126" s="1540"/>
      <c r="AE126" s="1540"/>
      <c r="AF126" s="1544"/>
      <c r="AG126" s="1544"/>
      <c r="AH126" s="1544"/>
      <c r="AI126" s="1544"/>
      <c r="AJ126" s="1544"/>
      <c r="AK126" s="1544"/>
      <c r="AL126" s="1544"/>
      <c r="AM126" s="1544"/>
      <c r="AN126" s="1544"/>
      <c r="AO126" s="1544"/>
      <c r="AP126" s="1544"/>
      <c r="AQ126" s="1544"/>
      <c r="AR126" s="1544"/>
      <c r="AS126" s="1544"/>
      <c r="AT126" s="1544"/>
      <c r="AU126" s="1544"/>
      <c r="AV126" s="1544"/>
      <c r="AW126" s="1544"/>
      <c r="AX126" s="1544"/>
      <c r="AY126" s="1544"/>
      <c r="AZ126" s="1544"/>
      <c r="BA126" s="1544"/>
      <c r="BB126" s="1544"/>
      <c r="BC126" s="1544"/>
      <c r="BD126" s="1544"/>
      <c r="BE126" s="1544"/>
      <c r="BF126" s="1544"/>
      <c r="BG126" s="1544"/>
      <c r="BH126" s="1544"/>
      <c r="BI126" s="1544"/>
      <c r="BJ126" s="1544"/>
      <c r="BK126" s="1544"/>
      <c r="BL126" s="1544"/>
      <c r="BM126" s="1544"/>
      <c r="BN126" s="1544"/>
      <c r="BO126" s="1544"/>
      <c r="BP126" s="1544"/>
      <c r="BQ126" s="1442"/>
      <c r="BR126" s="1442"/>
      <c r="BS126" s="1442"/>
      <c r="BT126" s="43"/>
      <c r="BU126" s="43"/>
      <c r="BV126" s="43"/>
      <c r="BW126" s="1436">
        <f>Infrastructure!M59</f>
        <v>0</v>
      </c>
      <c r="BX126" s="1437">
        <f>$BG$3</f>
        <v>0</v>
      </c>
      <c r="BY126" s="1437">
        <f>$BG$8</f>
        <v>0</v>
      </c>
      <c r="BZ126" s="1183"/>
      <c r="CA126" s="1183"/>
      <c r="CB126" s="1183"/>
      <c r="CC126" s="1183"/>
      <c r="CD126" s="1183"/>
      <c r="CE126" s="1183"/>
      <c r="CF126" s="1183"/>
      <c r="CG126" s="1183"/>
      <c r="CH126" s="1183"/>
      <c r="CI126" s="1183"/>
      <c r="CJ126" s="1183"/>
      <c r="CK126" s="1183"/>
      <c r="CL126" s="1183"/>
      <c r="CM126" s="1183"/>
      <c r="CN126" s="1183"/>
      <c r="CO126" s="1183"/>
      <c r="CP126" s="1183"/>
      <c r="CQ126" s="1183"/>
      <c r="CR126" s="1183"/>
      <c r="CS126" s="1183"/>
      <c r="CT126" s="1183"/>
      <c r="CU126" s="1183"/>
      <c r="CV126" s="1183"/>
      <c r="CW126" s="1183"/>
      <c r="CX126" s="1183"/>
      <c r="CY126" s="1183"/>
      <c r="CZ126" s="1183"/>
      <c r="DA126" s="1183"/>
      <c r="DB126" s="1183"/>
      <c r="DC126" s="1183"/>
      <c r="DD126" s="1183"/>
      <c r="DE126" s="1183"/>
      <c r="DF126" s="1183"/>
      <c r="DG126" s="1183"/>
      <c r="DH126" s="1183"/>
      <c r="DI126" s="1183"/>
      <c r="DJ126" s="1183"/>
      <c r="DK126" s="1183"/>
      <c r="DL126" s="1183"/>
      <c r="DM126" s="1183"/>
      <c r="DN126" s="1183"/>
      <c r="DO126" s="1183"/>
      <c r="DP126" s="1183"/>
      <c r="DQ126" s="1183"/>
    </row>
    <row r="127" spans="1:121" s="12" customFormat="1" ht="12" customHeight="1" x14ac:dyDescent="0.35">
      <c r="A127" s="1478"/>
      <c r="B127" s="1478"/>
      <c r="C127" s="1478"/>
      <c r="D127" s="1478"/>
      <c r="E127" s="1478"/>
      <c r="F127" s="1530"/>
      <c r="G127" s="1531"/>
      <c r="H127" s="1478"/>
      <c r="I127" s="1478"/>
      <c r="J127" s="1478"/>
      <c r="K127" s="1540"/>
      <c r="L127" s="1545">
        <f t="shared" ref="L127:AQ127" si="86">I102</f>
        <v>0</v>
      </c>
      <c r="M127" s="1545">
        <f t="shared" si="86"/>
        <v>59</v>
      </c>
      <c r="N127" s="1545">
        <f t="shared" si="86"/>
        <v>91</v>
      </c>
      <c r="O127" s="1545">
        <f t="shared" si="86"/>
        <v>121</v>
      </c>
      <c r="P127" s="1545">
        <f t="shared" si="86"/>
        <v>152</v>
      </c>
      <c r="Q127" s="1545">
        <f t="shared" si="86"/>
        <v>182</v>
      </c>
      <c r="R127" s="1545">
        <f t="shared" si="86"/>
        <v>213</v>
      </c>
      <c r="S127" s="1545">
        <f t="shared" si="86"/>
        <v>244</v>
      </c>
      <c r="T127" s="1545">
        <f t="shared" si="86"/>
        <v>274</v>
      </c>
      <c r="U127" s="1545">
        <f t="shared" si="86"/>
        <v>305</v>
      </c>
      <c r="V127" s="1545">
        <f t="shared" si="86"/>
        <v>335</v>
      </c>
      <c r="W127" s="1545">
        <f t="shared" si="86"/>
        <v>366</v>
      </c>
      <c r="X127" s="1545">
        <f t="shared" si="86"/>
        <v>397</v>
      </c>
      <c r="Y127" s="1545">
        <f t="shared" si="86"/>
        <v>425</v>
      </c>
      <c r="Z127" s="1545">
        <f t="shared" si="86"/>
        <v>456</v>
      </c>
      <c r="AA127" s="1545">
        <f t="shared" si="86"/>
        <v>486</v>
      </c>
      <c r="AB127" s="1545">
        <f t="shared" si="86"/>
        <v>517</v>
      </c>
      <c r="AC127" s="1545">
        <f t="shared" si="86"/>
        <v>547</v>
      </c>
      <c r="AD127" s="1545">
        <f t="shared" si="86"/>
        <v>578</v>
      </c>
      <c r="AE127" s="1545">
        <f t="shared" si="86"/>
        <v>609</v>
      </c>
      <c r="AF127" s="1545">
        <f t="shared" si="86"/>
        <v>639</v>
      </c>
      <c r="AG127" s="1545">
        <f t="shared" si="86"/>
        <v>670</v>
      </c>
      <c r="AH127" s="1545">
        <f t="shared" si="86"/>
        <v>700</v>
      </c>
      <c r="AI127" s="1545">
        <f t="shared" si="86"/>
        <v>731</v>
      </c>
      <c r="AJ127" s="1545">
        <f t="shared" si="86"/>
        <v>762</v>
      </c>
      <c r="AK127" s="1545">
        <f t="shared" si="86"/>
        <v>790</v>
      </c>
      <c r="AL127" s="1545">
        <f t="shared" si="86"/>
        <v>821</v>
      </c>
      <c r="AM127" s="1545">
        <f t="shared" si="86"/>
        <v>851</v>
      </c>
      <c r="AN127" s="1545">
        <f t="shared" si="86"/>
        <v>882</v>
      </c>
      <c r="AO127" s="1545">
        <f t="shared" si="86"/>
        <v>912</v>
      </c>
      <c r="AP127" s="1545">
        <f t="shared" si="86"/>
        <v>943</v>
      </c>
      <c r="AQ127" s="1545">
        <f t="shared" si="86"/>
        <v>974</v>
      </c>
      <c r="AR127" s="1545">
        <f t="shared" ref="AR127:BP127" si="87">AO102</f>
        <v>1004</v>
      </c>
      <c r="AS127" s="1545">
        <f t="shared" si="87"/>
        <v>1035</v>
      </c>
      <c r="AT127" s="1545">
        <f t="shared" si="87"/>
        <v>1065</v>
      </c>
      <c r="AU127" s="1545">
        <f t="shared" si="87"/>
        <v>1096</v>
      </c>
      <c r="AV127" s="1545">
        <f t="shared" si="87"/>
        <v>1127</v>
      </c>
      <c r="AW127" s="1545">
        <f t="shared" si="87"/>
        <v>1155</v>
      </c>
      <c r="AX127" s="1545">
        <f t="shared" si="87"/>
        <v>1186</v>
      </c>
      <c r="AY127" s="1545">
        <f t="shared" si="87"/>
        <v>1216</v>
      </c>
      <c r="AZ127" s="1545">
        <f t="shared" si="87"/>
        <v>1247</v>
      </c>
      <c r="BA127" s="1545">
        <f t="shared" si="87"/>
        <v>1277</v>
      </c>
      <c r="BB127" s="1545">
        <f t="shared" si="87"/>
        <v>1308</v>
      </c>
      <c r="BC127" s="1545">
        <f t="shared" si="87"/>
        <v>1339</v>
      </c>
      <c r="BD127" s="1545">
        <f t="shared" si="87"/>
        <v>1369</v>
      </c>
      <c r="BE127" s="1545">
        <f t="shared" si="87"/>
        <v>1400</v>
      </c>
      <c r="BF127" s="1545">
        <f t="shared" si="87"/>
        <v>1430</v>
      </c>
      <c r="BG127" s="1545">
        <f t="shared" si="87"/>
        <v>1461</v>
      </c>
      <c r="BH127" s="1545">
        <f t="shared" si="87"/>
        <v>1492</v>
      </c>
      <c r="BI127" s="1545">
        <f t="shared" si="87"/>
        <v>1521</v>
      </c>
      <c r="BJ127" s="1545">
        <f t="shared" si="87"/>
        <v>1552</v>
      </c>
      <c r="BK127" s="1545">
        <f t="shared" si="87"/>
        <v>1582</v>
      </c>
      <c r="BL127" s="1545">
        <f t="shared" si="87"/>
        <v>1613</v>
      </c>
      <c r="BM127" s="1545">
        <f t="shared" si="87"/>
        <v>1643</v>
      </c>
      <c r="BN127" s="1545">
        <f t="shared" si="87"/>
        <v>1674</v>
      </c>
      <c r="BO127" s="1545">
        <f t="shared" si="87"/>
        <v>1705</v>
      </c>
      <c r="BP127" s="1545">
        <f t="shared" si="87"/>
        <v>1735</v>
      </c>
      <c r="BQ127" s="1442"/>
      <c r="BR127" s="1442"/>
      <c r="BS127" s="1442"/>
      <c r="BT127" s="43"/>
      <c r="BU127" s="43"/>
      <c r="BV127" s="43"/>
      <c r="BW127" s="1436">
        <f>Infrastructure!M60</f>
        <v>0</v>
      </c>
      <c r="BX127" s="1437">
        <f>$BH$3</f>
        <v>0</v>
      </c>
      <c r="BY127" s="1437">
        <f>$BH$8</f>
        <v>0</v>
      </c>
      <c r="BZ127" s="1183"/>
      <c r="CA127" s="1183"/>
      <c r="CB127" s="1183"/>
      <c r="CC127" s="1183"/>
      <c r="CD127" s="1183"/>
      <c r="CE127" s="1183"/>
      <c r="CF127" s="1183"/>
      <c r="CG127" s="1183"/>
      <c r="CH127" s="1183"/>
      <c r="CI127" s="1183"/>
      <c r="CJ127" s="1183"/>
      <c r="CK127" s="1183"/>
      <c r="CL127" s="1183"/>
      <c r="CM127" s="1183"/>
      <c r="CN127" s="1183"/>
      <c r="CO127" s="1183"/>
      <c r="CP127" s="1183"/>
      <c r="CQ127" s="1183"/>
      <c r="CR127" s="1183"/>
      <c r="CS127" s="1183"/>
      <c r="CT127" s="1183"/>
      <c r="CU127" s="1183"/>
      <c r="CV127" s="1183"/>
      <c r="CW127" s="1183"/>
      <c r="CX127" s="1183"/>
      <c r="CY127" s="1183"/>
      <c r="CZ127" s="1183"/>
      <c r="DA127" s="1183"/>
      <c r="DB127" s="1183"/>
      <c r="DC127" s="1183"/>
      <c r="DD127" s="1183"/>
      <c r="DE127" s="1183"/>
      <c r="DF127" s="1183"/>
      <c r="DG127" s="1183"/>
      <c r="DH127" s="1183"/>
      <c r="DI127" s="1183"/>
      <c r="DJ127" s="1183"/>
      <c r="DK127" s="1183"/>
      <c r="DL127" s="1183"/>
      <c r="DM127" s="1183"/>
      <c r="DN127" s="1183"/>
      <c r="DO127" s="1183"/>
      <c r="DP127" s="1183"/>
      <c r="DQ127" s="1183"/>
    </row>
    <row r="128" spans="1:121" s="12" customFormat="1" ht="12" customHeight="1" x14ac:dyDescent="0.35">
      <c r="A128" s="1478"/>
      <c r="B128" s="1478"/>
      <c r="C128" s="1478"/>
      <c r="D128" s="1478"/>
      <c r="E128" s="1478"/>
      <c r="F128" s="1530"/>
      <c r="G128" s="1531"/>
      <c r="H128" s="1478"/>
      <c r="I128" s="1478"/>
      <c r="J128" s="1478"/>
      <c r="K128" s="1546">
        <f>Input!Q1343</f>
        <v>0</v>
      </c>
      <c r="L128" s="1547">
        <f>Input!$W1343*$L$125/12</f>
        <v>0</v>
      </c>
      <c r="M128" s="1547">
        <f>Input!$W1343*$M$125/12</f>
        <v>0</v>
      </c>
      <c r="N128" s="1547">
        <f>Input!$W1343*$N$125/12</f>
        <v>0</v>
      </c>
      <c r="O128" s="1547">
        <f>Input!$W1343*$O$125/12</f>
        <v>0</v>
      </c>
      <c r="P128" s="1547">
        <f>Input!$W1343*$P$125/12</f>
        <v>0</v>
      </c>
      <c r="Q128" s="1547">
        <f>Input!$W1343*$Q$125/12</f>
        <v>0</v>
      </c>
      <c r="R128" s="1547">
        <f>Input!$W1343*$R$125/12</f>
        <v>0</v>
      </c>
      <c r="S128" s="1547">
        <f>Input!$W1343*$S$125/12</f>
        <v>0</v>
      </c>
      <c r="T128" s="1547">
        <f>Input!$W1343*$T$125/12</f>
        <v>0</v>
      </c>
      <c r="U128" s="1547">
        <f>Input!$W1343*$U$125/12</f>
        <v>0</v>
      </c>
      <c r="V128" s="1547">
        <f>Input!$W1343*$V$125/12</f>
        <v>0</v>
      </c>
      <c r="W128" s="1547"/>
      <c r="X128" s="1540"/>
      <c r="Y128" s="1540"/>
      <c r="Z128" s="1540"/>
      <c r="AA128" s="1540"/>
      <c r="AB128" s="1540"/>
      <c r="AC128" s="1540"/>
      <c r="AD128" s="1540"/>
      <c r="AE128" s="1540"/>
      <c r="AF128" s="1544"/>
      <c r="AG128" s="1544"/>
      <c r="AH128" s="1544"/>
      <c r="AI128" s="1544"/>
      <c r="AJ128" s="1544"/>
      <c r="AK128" s="1544"/>
      <c r="AL128" s="1544"/>
      <c r="AM128" s="1544"/>
      <c r="AN128" s="1544"/>
      <c r="AO128" s="1544"/>
      <c r="AP128" s="1544"/>
      <c r="AQ128" s="1544"/>
      <c r="AR128" s="1544"/>
      <c r="AS128" s="1544"/>
      <c r="AT128" s="1544"/>
      <c r="AU128" s="1544"/>
      <c r="AV128" s="1544"/>
      <c r="AW128" s="1544"/>
      <c r="AX128" s="1544"/>
      <c r="AY128" s="1544"/>
      <c r="AZ128" s="1544"/>
      <c r="BA128" s="1544"/>
      <c r="BB128" s="1544"/>
      <c r="BC128" s="1544"/>
      <c r="BD128" s="1544"/>
      <c r="BE128" s="1544"/>
      <c r="BF128" s="1544"/>
      <c r="BG128" s="1544"/>
      <c r="BH128" s="1544"/>
      <c r="BI128" s="1544"/>
      <c r="BJ128" s="1544"/>
      <c r="BK128" s="1544"/>
      <c r="BL128" s="1544"/>
      <c r="BM128" s="1544"/>
      <c r="BN128" s="1544"/>
      <c r="BO128" s="1544"/>
      <c r="BP128" s="1544"/>
      <c r="BQ128" s="1442"/>
      <c r="BR128" s="1442"/>
      <c r="BS128" s="1442"/>
      <c r="BT128" s="43"/>
      <c r="BU128" s="43"/>
      <c r="BV128" s="43"/>
      <c r="BW128" s="1436">
        <f>Infrastructure!M61</f>
        <v>0</v>
      </c>
      <c r="BX128" s="1437">
        <f>$BI$3</f>
        <v>0</v>
      </c>
      <c r="BY128" s="1437">
        <f>$BI$8</f>
        <v>0</v>
      </c>
      <c r="BZ128" s="1183"/>
      <c r="CA128" s="1183"/>
      <c r="CB128" s="1183"/>
      <c r="CC128" s="1183"/>
      <c r="CD128" s="1183"/>
      <c r="CE128" s="1183"/>
      <c r="CF128" s="1183"/>
      <c r="CG128" s="1183"/>
      <c r="CH128" s="1183"/>
      <c r="CI128" s="1183"/>
      <c r="CJ128" s="1183"/>
      <c r="CK128" s="1183"/>
      <c r="CL128" s="1183"/>
      <c r="CM128" s="1183"/>
      <c r="CN128" s="1183"/>
      <c r="CO128" s="1183"/>
      <c r="CP128" s="1183"/>
      <c r="CQ128" s="1183"/>
      <c r="CR128" s="1183"/>
      <c r="CS128" s="1183"/>
      <c r="CT128" s="1183"/>
      <c r="CU128" s="1183"/>
      <c r="CV128" s="1183"/>
      <c r="CW128" s="1183"/>
      <c r="CX128" s="1183"/>
      <c r="CY128" s="1183"/>
      <c r="CZ128" s="1183"/>
      <c r="DA128" s="1183"/>
      <c r="DB128" s="1183"/>
      <c r="DC128" s="1183"/>
      <c r="DD128" s="1183"/>
      <c r="DE128" s="1183"/>
      <c r="DF128" s="1183"/>
      <c r="DG128" s="1183"/>
      <c r="DH128" s="1183"/>
      <c r="DI128" s="1183"/>
      <c r="DJ128" s="1183"/>
      <c r="DK128" s="1183"/>
      <c r="DL128" s="1183"/>
      <c r="DM128" s="1183"/>
      <c r="DN128" s="1183"/>
      <c r="DO128" s="1183"/>
      <c r="DP128" s="1183"/>
      <c r="DQ128" s="1183"/>
    </row>
    <row r="129" spans="1:121" s="12" customFormat="1" ht="12" customHeight="1" x14ac:dyDescent="0.35">
      <c r="A129" s="1478"/>
      <c r="B129" s="1478"/>
      <c r="C129" s="1478"/>
      <c r="D129" s="1478"/>
      <c r="E129" s="1478"/>
      <c r="F129" s="1530"/>
      <c r="G129" s="1531"/>
      <c r="H129" s="1478"/>
      <c r="I129" s="1478"/>
      <c r="J129" s="1478"/>
      <c r="K129" s="1546">
        <f>Input!Q1344</f>
        <v>59</v>
      </c>
      <c r="L129" s="1540"/>
      <c r="M129" s="1547">
        <f>Input!$W1344*$L$125/12</f>
        <v>0</v>
      </c>
      <c r="N129" s="1547">
        <f>Input!$W1344*$M$125/12</f>
        <v>0</v>
      </c>
      <c r="O129" s="1547">
        <f>Input!$W1344*$N$125/12</f>
        <v>0</v>
      </c>
      <c r="P129" s="1547">
        <f>Input!$W1344*$O$125/12</f>
        <v>0</v>
      </c>
      <c r="Q129" s="1547">
        <f>Input!$W1344*$P$125/12</f>
        <v>0</v>
      </c>
      <c r="R129" s="1547">
        <f>Input!$W1344*$Q$125/12</f>
        <v>0</v>
      </c>
      <c r="S129" s="1547">
        <f>Input!$W1344*$R$125/12</f>
        <v>0</v>
      </c>
      <c r="T129" s="1547">
        <f>Input!$W1344*$S$125/12</f>
        <v>0</v>
      </c>
      <c r="U129" s="1547">
        <f>Input!$W1344*$T$125/12</f>
        <v>0</v>
      </c>
      <c r="V129" s="1547">
        <f>Input!$W1344*$U$125/12</f>
        <v>0</v>
      </c>
      <c r="W129" s="1547">
        <f>Input!$W1344*$V$125/12</f>
        <v>0</v>
      </c>
      <c r="X129" s="1540"/>
      <c r="Y129" s="1540"/>
      <c r="Z129" s="1540"/>
      <c r="AA129" s="1540"/>
      <c r="AB129" s="1540"/>
      <c r="AC129" s="1540"/>
      <c r="AD129" s="1540"/>
      <c r="AE129" s="1540"/>
      <c r="AF129" s="1544"/>
      <c r="AG129" s="1544"/>
      <c r="AH129" s="1544"/>
      <c r="AI129" s="1544"/>
      <c r="AJ129" s="1544"/>
      <c r="AK129" s="1544"/>
      <c r="AL129" s="1544"/>
      <c r="AM129" s="1544"/>
      <c r="AN129" s="1544"/>
      <c r="AO129" s="1544"/>
      <c r="AP129" s="1544"/>
      <c r="AQ129" s="1544"/>
      <c r="AR129" s="1544"/>
      <c r="AS129" s="1544"/>
      <c r="AT129" s="1544"/>
      <c r="AU129" s="1544"/>
      <c r="AV129" s="1544"/>
      <c r="AW129" s="1544"/>
      <c r="AX129" s="1544"/>
      <c r="AY129" s="1544"/>
      <c r="AZ129" s="1544"/>
      <c r="BA129" s="1544"/>
      <c r="BB129" s="1544"/>
      <c r="BC129" s="1544"/>
      <c r="BD129" s="1544"/>
      <c r="BE129" s="1544"/>
      <c r="BF129" s="1544"/>
      <c r="BG129" s="1544"/>
      <c r="BH129" s="1544"/>
      <c r="BI129" s="1544"/>
      <c r="BJ129" s="1544"/>
      <c r="BK129" s="1544"/>
      <c r="BL129" s="1544"/>
      <c r="BM129" s="1544"/>
      <c r="BN129" s="1544"/>
      <c r="BO129" s="1544"/>
      <c r="BP129" s="1544"/>
      <c r="BQ129" s="1442"/>
      <c r="BR129" s="1442"/>
      <c r="BS129" s="1442"/>
      <c r="BT129" s="43"/>
      <c r="BU129" s="43"/>
      <c r="BV129" s="43"/>
      <c r="BW129" s="1436">
        <f>Infrastructure!M62</f>
        <v>0</v>
      </c>
      <c r="BX129" s="1437">
        <f>$BJ$3</f>
        <v>0</v>
      </c>
      <c r="BY129" s="1437">
        <f>$BJ$8</f>
        <v>0</v>
      </c>
      <c r="BZ129" s="1183"/>
      <c r="CA129" s="1183"/>
      <c r="CB129" s="1183"/>
      <c r="CC129" s="1183"/>
      <c r="CD129" s="1183"/>
      <c r="CE129" s="1183"/>
      <c r="CF129" s="1183"/>
      <c r="CG129" s="1183"/>
      <c r="CH129" s="1183"/>
      <c r="CI129" s="1183"/>
      <c r="CJ129" s="1183"/>
      <c r="CK129" s="1183"/>
      <c r="CL129" s="1183"/>
      <c r="CM129" s="1183"/>
      <c r="CN129" s="1183"/>
      <c r="CO129" s="1183"/>
      <c r="CP129" s="1183"/>
      <c r="CQ129" s="1183"/>
      <c r="CR129" s="1183"/>
      <c r="CS129" s="1183"/>
      <c r="CT129" s="1183"/>
      <c r="CU129" s="1183"/>
      <c r="CV129" s="1183"/>
      <c r="CW129" s="1183"/>
      <c r="CX129" s="1183"/>
      <c r="CY129" s="1183"/>
      <c r="CZ129" s="1183"/>
      <c r="DA129" s="1183"/>
      <c r="DB129" s="1183"/>
      <c r="DC129" s="1183"/>
      <c r="DD129" s="1183"/>
      <c r="DE129" s="1183"/>
      <c r="DF129" s="1183"/>
      <c r="DG129" s="1183"/>
      <c r="DH129" s="1183"/>
      <c r="DI129" s="1183"/>
      <c r="DJ129" s="1183"/>
      <c r="DK129" s="1183"/>
      <c r="DL129" s="1183"/>
      <c r="DM129" s="1183"/>
      <c r="DN129" s="1183"/>
      <c r="DO129" s="1183"/>
      <c r="DP129" s="1183"/>
      <c r="DQ129" s="1183"/>
    </row>
    <row r="130" spans="1:121" s="12" customFormat="1" ht="12" customHeight="1" x14ac:dyDescent="0.35">
      <c r="A130" s="1478"/>
      <c r="B130" s="1478"/>
      <c r="C130" s="1478"/>
      <c r="D130" s="1478"/>
      <c r="E130" s="1478"/>
      <c r="F130" s="1530"/>
      <c r="G130" s="1531"/>
      <c r="H130" s="1478"/>
      <c r="I130" s="1478"/>
      <c r="J130" s="1478"/>
      <c r="K130" s="1546">
        <f>Input!Q1345</f>
        <v>91</v>
      </c>
      <c r="L130" s="1540"/>
      <c r="M130" s="1540"/>
      <c r="N130" s="1547">
        <f>Input!$W1345*$L$125/12</f>
        <v>0</v>
      </c>
      <c r="O130" s="1547">
        <f>Input!$W1345*$M$125/12</f>
        <v>0</v>
      </c>
      <c r="P130" s="1547">
        <f>Input!$W1345*$N$125/12</f>
        <v>0</v>
      </c>
      <c r="Q130" s="1547">
        <f>Input!$W1345*$O$125/12</f>
        <v>0</v>
      </c>
      <c r="R130" s="1547">
        <f>Input!$W1345*$P$125/12</f>
        <v>0</v>
      </c>
      <c r="S130" s="1547">
        <f>Input!$W1345*$Q$125/12</f>
        <v>0</v>
      </c>
      <c r="T130" s="1547">
        <f>Input!$W1345*$R$125/12</f>
        <v>0</v>
      </c>
      <c r="U130" s="1547">
        <f>Input!$W1345*$S$125/12</f>
        <v>0</v>
      </c>
      <c r="V130" s="1547">
        <f>Input!$W1345*$T$125/12</f>
        <v>0</v>
      </c>
      <c r="W130" s="1547">
        <f>Input!$W1345*$U$125/12</f>
        <v>0</v>
      </c>
      <c r="X130" s="1547">
        <f>Input!$W1345*$V$125/12</f>
        <v>0</v>
      </c>
      <c r="Y130" s="1540"/>
      <c r="Z130" s="1540"/>
      <c r="AA130" s="1540"/>
      <c r="AB130" s="1540"/>
      <c r="AC130" s="1540"/>
      <c r="AD130" s="1540"/>
      <c r="AE130" s="1540"/>
      <c r="AF130" s="1544"/>
      <c r="AG130" s="1544"/>
      <c r="AH130" s="1544"/>
      <c r="AI130" s="1544"/>
      <c r="AJ130" s="1544"/>
      <c r="AK130" s="1544"/>
      <c r="AL130" s="1544"/>
      <c r="AM130" s="1544"/>
      <c r="AN130" s="1544"/>
      <c r="AO130" s="1544"/>
      <c r="AP130" s="1544"/>
      <c r="AQ130" s="1544"/>
      <c r="AR130" s="1544"/>
      <c r="AS130" s="1544"/>
      <c r="AT130" s="1544"/>
      <c r="AU130" s="1544"/>
      <c r="AV130" s="1544"/>
      <c r="AW130" s="1544"/>
      <c r="AX130" s="1544"/>
      <c r="AY130" s="1544"/>
      <c r="AZ130" s="1544"/>
      <c r="BA130" s="1544"/>
      <c r="BB130" s="1544"/>
      <c r="BC130" s="1544"/>
      <c r="BD130" s="1544"/>
      <c r="BE130" s="1544"/>
      <c r="BF130" s="1544"/>
      <c r="BG130" s="1544"/>
      <c r="BH130" s="1544"/>
      <c r="BI130" s="1544"/>
      <c r="BJ130" s="1544"/>
      <c r="BK130" s="1544"/>
      <c r="BL130" s="1544"/>
      <c r="BM130" s="1544"/>
      <c r="BN130" s="1544"/>
      <c r="BO130" s="1544"/>
      <c r="BP130" s="1544"/>
      <c r="BQ130" s="1442"/>
      <c r="BR130" s="1442"/>
      <c r="BS130" s="1442"/>
      <c r="BT130" s="43"/>
      <c r="BU130" s="43"/>
      <c r="BV130" s="43"/>
      <c r="BW130" s="1436">
        <f>Infrastructure!M63</f>
        <v>0</v>
      </c>
      <c r="BX130" s="1437">
        <f>$BK$3</f>
        <v>0</v>
      </c>
      <c r="BY130" s="1437">
        <f>$BK$8</f>
        <v>0</v>
      </c>
      <c r="BZ130" s="1183"/>
      <c r="CA130" s="1183"/>
      <c r="CB130" s="1183"/>
      <c r="CC130" s="1183"/>
      <c r="CD130" s="1183"/>
      <c r="CE130" s="1183"/>
      <c r="CF130" s="1183"/>
      <c r="CG130" s="1183"/>
      <c r="CH130" s="1183"/>
      <c r="CI130" s="1183"/>
      <c r="CJ130" s="1183"/>
      <c r="CK130" s="1183"/>
      <c r="CL130" s="1183"/>
      <c r="CM130" s="1183"/>
      <c r="CN130" s="1183"/>
      <c r="CO130" s="1183"/>
      <c r="CP130" s="1183"/>
      <c r="CQ130" s="1183"/>
      <c r="CR130" s="1183"/>
      <c r="CS130" s="1183"/>
      <c r="CT130" s="1183"/>
      <c r="CU130" s="1183"/>
      <c r="CV130" s="1183"/>
      <c r="CW130" s="1183"/>
      <c r="CX130" s="1183"/>
      <c r="CY130" s="1183"/>
      <c r="CZ130" s="1183"/>
      <c r="DA130" s="1183"/>
      <c r="DB130" s="1183"/>
      <c r="DC130" s="1183"/>
      <c r="DD130" s="1183"/>
      <c r="DE130" s="1183"/>
      <c r="DF130" s="1183"/>
      <c r="DG130" s="1183"/>
      <c r="DH130" s="1183"/>
      <c r="DI130" s="1183"/>
      <c r="DJ130" s="1183"/>
      <c r="DK130" s="1183"/>
      <c r="DL130" s="1183"/>
      <c r="DM130" s="1183"/>
      <c r="DN130" s="1183"/>
      <c r="DO130" s="1183"/>
      <c r="DP130" s="1183"/>
      <c r="DQ130" s="1183"/>
    </row>
    <row r="131" spans="1:121" s="12" customFormat="1" ht="12" customHeight="1" x14ac:dyDescent="0.35">
      <c r="A131" s="1478"/>
      <c r="B131" s="1478"/>
      <c r="C131" s="1478"/>
      <c r="D131" s="1478"/>
      <c r="E131" s="1478"/>
      <c r="F131" s="1530"/>
      <c r="G131" s="1531"/>
      <c r="H131" s="1478"/>
      <c r="I131" s="1478"/>
      <c r="J131" s="1478"/>
      <c r="K131" s="1546">
        <f>Input!Q1346</f>
        <v>121</v>
      </c>
      <c r="L131" s="1540"/>
      <c r="M131" s="1540"/>
      <c r="N131" s="1540"/>
      <c r="O131" s="1547">
        <f>Input!$W1346*$L$125/12</f>
        <v>0</v>
      </c>
      <c r="P131" s="1547">
        <f>Input!$W1346*$M$125/12</f>
        <v>0</v>
      </c>
      <c r="Q131" s="1547">
        <f>Input!$W1346*$N$125/12</f>
        <v>0</v>
      </c>
      <c r="R131" s="1547">
        <f>Input!$W1346*$O$125/12</f>
        <v>0</v>
      </c>
      <c r="S131" s="1547">
        <f>Input!$W1346*$P$125/12</f>
        <v>0</v>
      </c>
      <c r="T131" s="1547">
        <f>Input!$W1346*$Q$125/12</f>
        <v>0</v>
      </c>
      <c r="U131" s="1547">
        <f>Input!$W1346*$R$125/12</f>
        <v>0</v>
      </c>
      <c r="V131" s="1547">
        <f>Input!$W1346*$S$125/12</f>
        <v>0</v>
      </c>
      <c r="W131" s="1547">
        <f>Input!$W1346*$T$125/12</f>
        <v>0</v>
      </c>
      <c r="X131" s="1547">
        <f>Input!$W1346*$U$125/12</f>
        <v>0</v>
      </c>
      <c r="Y131" s="1547">
        <f>Input!$W1346*$V$125/12</f>
        <v>0</v>
      </c>
      <c r="Z131" s="1540"/>
      <c r="AA131" s="1540"/>
      <c r="AB131" s="1540"/>
      <c r="AC131" s="1540"/>
      <c r="AD131" s="1540"/>
      <c r="AE131" s="1540"/>
      <c r="AF131" s="1544"/>
      <c r="AG131" s="1544"/>
      <c r="AH131" s="1544"/>
      <c r="AI131" s="1544"/>
      <c r="AJ131" s="1544"/>
      <c r="AK131" s="1544"/>
      <c r="AL131" s="1544"/>
      <c r="AM131" s="1544"/>
      <c r="AN131" s="1544"/>
      <c r="AO131" s="1544"/>
      <c r="AP131" s="1544"/>
      <c r="AQ131" s="1544"/>
      <c r="AR131" s="1544"/>
      <c r="AS131" s="1544"/>
      <c r="AT131" s="1544"/>
      <c r="AU131" s="1544"/>
      <c r="AV131" s="1544"/>
      <c r="AW131" s="1544"/>
      <c r="AX131" s="1544"/>
      <c r="AY131" s="1544"/>
      <c r="AZ131" s="1544"/>
      <c r="BA131" s="1544"/>
      <c r="BB131" s="1544"/>
      <c r="BC131" s="1544"/>
      <c r="BD131" s="1544"/>
      <c r="BE131" s="1544"/>
      <c r="BF131" s="1544"/>
      <c r="BG131" s="1544"/>
      <c r="BH131" s="1544"/>
      <c r="BI131" s="1544"/>
      <c r="BJ131" s="1544"/>
      <c r="BK131" s="1544"/>
      <c r="BL131" s="1544"/>
      <c r="BM131" s="1544"/>
      <c r="BN131" s="1544"/>
      <c r="BO131" s="1544"/>
      <c r="BP131" s="1544"/>
      <c r="BQ131" s="1442"/>
      <c r="BR131" s="1442"/>
      <c r="BS131" s="1442"/>
      <c r="BT131" s="43"/>
      <c r="BU131" s="43"/>
      <c r="BV131" s="43"/>
      <c r="BW131" s="1436">
        <f>Infrastructure!M64</f>
        <v>0</v>
      </c>
      <c r="BX131" s="1437">
        <f>$BL$3</f>
        <v>0</v>
      </c>
      <c r="BY131" s="1437">
        <f>$BL$8</f>
        <v>0</v>
      </c>
      <c r="BZ131" s="1183"/>
      <c r="CA131" s="1183"/>
      <c r="CB131" s="1183"/>
      <c r="CC131" s="1183"/>
      <c r="CD131" s="1183"/>
      <c r="CE131" s="1183"/>
      <c r="CF131" s="1183"/>
      <c r="CG131" s="1183"/>
      <c r="CH131" s="1183"/>
      <c r="CI131" s="1183"/>
      <c r="CJ131" s="1183"/>
      <c r="CK131" s="1183"/>
      <c r="CL131" s="1183"/>
      <c r="CM131" s="1183"/>
      <c r="CN131" s="1183"/>
      <c r="CO131" s="1183"/>
      <c r="CP131" s="1183"/>
      <c r="CQ131" s="1183"/>
      <c r="CR131" s="1183"/>
      <c r="CS131" s="1183"/>
      <c r="CT131" s="1183"/>
      <c r="CU131" s="1183"/>
      <c r="CV131" s="1183"/>
      <c r="CW131" s="1183"/>
      <c r="CX131" s="1183"/>
      <c r="CY131" s="1183"/>
      <c r="CZ131" s="1183"/>
      <c r="DA131" s="1183"/>
      <c r="DB131" s="1183"/>
      <c r="DC131" s="1183"/>
      <c r="DD131" s="1183"/>
      <c r="DE131" s="1183"/>
      <c r="DF131" s="1183"/>
      <c r="DG131" s="1183"/>
      <c r="DH131" s="1183"/>
      <c r="DI131" s="1183"/>
      <c r="DJ131" s="1183"/>
      <c r="DK131" s="1183"/>
      <c r="DL131" s="1183"/>
      <c r="DM131" s="1183"/>
      <c r="DN131" s="1183"/>
      <c r="DO131" s="1183"/>
      <c r="DP131" s="1183"/>
      <c r="DQ131" s="1183"/>
    </row>
    <row r="132" spans="1:121" s="12" customFormat="1" ht="12" customHeight="1" x14ac:dyDescent="0.35">
      <c r="A132" s="1478"/>
      <c r="B132" s="1478"/>
      <c r="C132" s="1478"/>
      <c r="D132" s="1478"/>
      <c r="E132" s="1478"/>
      <c r="F132" s="1530"/>
      <c r="G132" s="1531"/>
      <c r="H132" s="1478"/>
      <c r="I132" s="1478"/>
      <c r="J132" s="1478"/>
      <c r="K132" s="1546">
        <f>Input!Q1347</f>
        <v>152</v>
      </c>
      <c r="L132" s="1540"/>
      <c r="M132" s="1540"/>
      <c r="N132" s="1540"/>
      <c r="O132" s="1540"/>
      <c r="P132" s="1547">
        <f>Input!$W1347*$L$125/12</f>
        <v>0</v>
      </c>
      <c r="Q132" s="1547">
        <f>Input!$W1347*$M$125/12</f>
        <v>0</v>
      </c>
      <c r="R132" s="1547">
        <f>Input!$W1347*$N$125/12</f>
        <v>0</v>
      </c>
      <c r="S132" s="1547">
        <f>Input!$W1347*$O$125/12</f>
        <v>0</v>
      </c>
      <c r="T132" s="1547">
        <f>Input!$W1347*$P$125/12</f>
        <v>0</v>
      </c>
      <c r="U132" s="1547">
        <f>Input!$W1347*$Q$125/12</f>
        <v>0</v>
      </c>
      <c r="V132" s="1547">
        <f>Input!$W1347*$R$125/12</f>
        <v>0</v>
      </c>
      <c r="W132" s="1547">
        <f>Input!$W1347*$S$125/12</f>
        <v>0</v>
      </c>
      <c r="X132" s="1547">
        <f>Input!$W1347*$T$125/12</f>
        <v>0</v>
      </c>
      <c r="Y132" s="1547">
        <f>Input!$W1347*$U$125/12</f>
        <v>0</v>
      </c>
      <c r="Z132" s="1547">
        <f>Input!$W1347*$V$125/12</f>
        <v>0</v>
      </c>
      <c r="AA132" s="1540"/>
      <c r="AB132" s="1540"/>
      <c r="AC132" s="1540"/>
      <c r="AD132" s="1540"/>
      <c r="AE132" s="1540"/>
      <c r="AF132" s="1544"/>
      <c r="AG132" s="1544"/>
      <c r="AH132" s="1544"/>
      <c r="AI132" s="1544"/>
      <c r="AJ132" s="1544"/>
      <c r="AK132" s="1544"/>
      <c r="AL132" s="1544"/>
      <c r="AM132" s="1544"/>
      <c r="AN132" s="1544"/>
      <c r="AO132" s="1544"/>
      <c r="AP132" s="1544"/>
      <c r="AQ132" s="1544"/>
      <c r="AR132" s="1544"/>
      <c r="AS132" s="1544"/>
      <c r="AT132" s="1544"/>
      <c r="AU132" s="1544"/>
      <c r="AV132" s="1544"/>
      <c r="AW132" s="1544"/>
      <c r="AX132" s="1544"/>
      <c r="AY132" s="1544"/>
      <c r="AZ132" s="1544"/>
      <c r="BA132" s="1544"/>
      <c r="BB132" s="1544"/>
      <c r="BC132" s="1544"/>
      <c r="BD132" s="1544"/>
      <c r="BE132" s="1544"/>
      <c r="BF132" s="1544"/>
      <c r="BG132" s="1544"/>
      <c r="BH132" s="1544"/>
      <c r="BI132" s="1544"/>
      <c r="BJ132" s="1544"/>
      <c r="BK132" s="1544"/>
      <c r="BL132" s="1544"/>
      <c r="BM132" s="1544"/>
      <c r="BN132" s="1544"/>
      <c r="BO132" s="1544"/>
      <c r="BP132" s="1544"/>
      <c r="BQ132" s="1442"/>
      <c r="BR132" s="1442"/>
      <c r="BS132" s="1442"/>
      <c r="BT132" s="43"/>
      <c r="BU132" s="43"/>
      <c r="BV132" s="43"/>
      <c r="BW132" s="1436">
        <f>Infrastructure!M65</f>
        <v>0</v>
      </c>
      <c r="BX132" s="1437">
        <f>$BM$3</f>
        <v>0</v>
      </c>
      <c r="BY132" s="1437">
        <f>$BM$8</f>
        <v>0</v>
      </c>
      <c r="BZ132" s="1183"/>
      <c r="CA132" s="1183"/>
      <c r="CB132" s="1183"/>
      <c r="CC132" s="1183"/>
      <c r="CD132" s="1183"/>
      <c r="CE132" s="1183"/>
      <c r="CF132" s="1183"/>
      <c r="CG132" s="1183"/>
      <c r="CH132" s="1183"/>
      <c r="CI132" s="1183"/>
      <c r="CJ132" s="1183"/>
      <c r="CK132" s="1183"/>
      <c r="CL132" s="1183"/>
      <c r="CM132" s="1183"/>
      <c r="CN132" s="1183"/>
      <c r="CO132" s="1183"/>
      <c r="CP132" s="1183"/>
      <c r="CQ132" s="1183"/>
      <c r="CR132" s="1183"/>
      <c r="CS132" s="1183"/>
      <c r="CT132" s="1183"/>
      <c r="CU132" s="1183"/>
      <c r="CV132" s="1183"/>
      <c r="CW132" s="1183"/>
      <c r="CX132" s="1183"/>
      <c r="CY132" s="1183"/>
      <c r="CZ132" s="1183"/>
      <c r="DA132" s="1183"/>
      <c r="DB132" s="1183"/>
      <c r="DC132" s="1183"/>
      <c r="DD132" s="1183"/>
      <c r="DE132" s="1183"/>
      <c r="DF132" s="1183"/>
      <c r="DG132" s="1183"/>
      <c r="DH132" s="1183"/>
      <c r="DI132" s="1183"/>
      <c r="DJ132" s="1183"/>
      <c r="DK132" s="1183"/>
      <c r="DL132" s="1183"/>
      <c r="DM132" s="1183"/>
      <c r="DN132" s="1183"/>
      <c r="DO132" s="1183"/>
      <c r="DP132" s="1183"/>
      <c r="DQ132" s="1183"/>
    </row>
    <row r="133" spans="1:121" s="12" customFormat="1" ht="12" customHeight="1" x14ac:dyDescent="0.35">
      <c r="A133" s="1478"/>
      <c r="B133" s="1478"/>
      <c r="C133" s="1478"/>
      <c r="D133" s="1478"/>
      <c r="E133" s="1478"/>
      <c r="F133" s="1530"/>
      <c r="G133" s="1531"/>
      <c r="H133" s="1478"/>
      <c r="I133" s="1478"/>
      <c r="J133" s="1478"/>
      <c r="K133" s="1546">
        <f>Input!Q1348</f>
        <v>182</v>
      </c>
      <c r="L133" s="1540"/>
      <c r="M133" s="1540"/>
      <c r="N133" s="1540"/>
      <c r="O133" s="1540"/>
      <c r="P133" s="1540"/>
      <c r="Q133" s="1547">
        <f>Input!$W1348*$L$125/12</f>
        <v>0</v>
      </c>
      <c r="R133" s="1547">
        <f>Input!$W1348*$M$125/12</f>
        <v>0</v>
      </c>
      <c r="S133" s="1547">
        <f>Input!$W1348*$N$125/12</f>
        <v>0</v>
      </c>
      <c r="T133" s="1547">
        <f>Input!$W1348*$O$125/12</f>
        <v>0</v>
      </c>
      <c r="U133" s="1547">
        <f>Input!$W1348*$P$125/12</f>
        <v>0</v>
      </c>
      <c r="V133" s="1547">
        <f>Input!$W1348*$Q$125/12</f>
        <v>0</v>
      </c>
      <c r="W133" s="1547">
        <f>Input!$W1348*$R$125/12</f>
        <v>0</v>
      </c>
      <c r="X133" s="1547">
        <f>Input!$W1348*$S$125/12</f>
        <v>0</v>
      </c>
      <c r="Y133" s="1547">
        <f>Input!$W1348*$T$125/12</f>
        <v>0</v>
      </c>
      <c r="Z133" s="1547">
        <f>Input!$W1348*$U$125/12</f>
        <v>0</v>
      </c>
      <c r="AA133" s="1547">
        <f>Input!$W1348*$V$125/12</f>
        <v>0</v>
      </c>
      <c r="AB133" s="1540"/>
      <c r="AC133" s="1540"/>
      <c r="AD133" s="1540"/>
      <c r="AE133" s="1540"/>
      <c r="AF133" s="1544"/>
      <c r="AG133" s="1544"/>
      <c r="AH133" s="1544"/>
      <c r="AI133" s="1544"/>
      <c r="AJ133" s="1544"/>
      <c r="AK133" s="1544"/>
      <c r="AL133" s="1544"/>
      <c r="AM133" s="1544"/>
      <c r="AN133" s="1544"/>
      <c r="AO133" s="1544"/>
      <c r="AP133" s="1544"/>
      <c r="AQ133" s="1544"/>
      <c r="AR133" s="1544"/>
      <c r="AS133" s="1544"/>
      <c r="AT133" s="1544"/>
      <c r="AU133" s="1544"/>
      <c r="AV133" s="1544"/>
      <c r="AW133" s="1544"/>
      <c r="AX133" s="1544"/>
      <c r="AY133" s="1544"/>
      <c r="AZ133" s="1544"/>
      <c r="BA133" s="1544"/>
      <c r="BB133" s="1544"/>
      <c r="BC133" s="1544"/>
      <c r="BD133" s="1544"/>
      <c r="BE133" s="1544"/>
      <c r="BF133" s="1544"/>
      <c r="BG133" s="1544"/>
      <c r="BH133" s="1544"/>
      <c r="BI133" s="1544"/>
      <c r="BJ133" s="1544"/>
      <c r="BK133" s="1544"/>
      <c r="BL133" s="1544"/>
      <c r="BM133" s="1544"/>
      <c r="BN133" s="1544"/>
      <c r="BO133" s="1544"/>
      <c r="BP133" s="1544"/>
      <c r="BQ133" s="1442"/>
      <c r="BR133" s="1442"/>
      <c r="BS133" s="1442"/>
      <c r="BT133" s="43"/>
      <c r="BU133" s="43"/>
      <c r="BV133" s="43"/>
      <c r="BW133" s="1436">
        <f>Infrastructure!M66</f>
        <v>0</v>
      </c>
      <c r="BX133" s="1437">
        <f>$BN$3</f>
        <v>0</v>
      </c>
      <c r="BY133" s="1437">
        <f>$BN$8</f>
        <v>0</v>
      </c>
      <c r="BZ133" s="1183"/>
      <c r="CA133" s="1183"/>
      <c r="CB133" s="1183"/>
      <c r="CC133" s="1183"/>
      <c r="CD133" s="1183"/>
      <c r="CE133" s="1183"/>
      <c r="CF133" s="1183"/>
      <c r="CG133" s="1183"/>
      <c r="CH133" s="1183"/>
      <c r="CI133" s="1183"/>
      <c r="CJ133" s="1183"/>
      <c r="CK133" s="1183"/>
      <c r="CL133" s="1183"/>
      <c r="CM133" s="1183"/>
      <c r="CN133" s="1183"/>
      <c r="CO133" s="1183"/>
      <c r="CP133" s="1183"/>
      <c r="CQ133" s="1183"/>
      <c r="CR133" s="1183"/>
      <c r="CS133" s="1183"/>
      <c r="CT133" s="1183"/>
      <c r="CU133" s="1183"/>
      <c r="CV133" s="1183"/>
      <c r="CW133" s="1183"/>
      <c r="CX133" s="1183"/>
      <c r="CY133" s="1183"/>
      <c r="CZ133" s="1183"/>
      <c r="DA133" s="1183"/>
      <c r="DB133" s="1183"/>
      <c r="DC133" s="1183"/>
      <c r="DD133" s="1183"/>
      <c r="DE133" s="1183"/>
      <c r="DF133" s="1183"/>
      <c r="DG133" s="1183"/>
      <c r="DH133" s="1183"/>
      <c r="DI133" s="1183"/>
      <c r="DJ133" s="1183"/>
      <c r="DK133" s="1183"/>
      <c r="DL133" s="1183"/>
      <c r="DM133" s="1183"/>
      <c r="DN133" s="1183"/>
      <c r="DO133" s="1183"/>
      <c r="DP133" s="1183"/>
      <c r="DQ133" s="1183"/>
    </row>
    <row r="134" spans="1:121" s="12" customFormat="1" ht="12" customHeight="1" x14ac:dyDescent="0.35">
      <c r="A134" s="1478"/>
      <c r="B134" s="1478"/>
      <c r="C134" s="1478"/>
      <c r="D134" s="1478"/>
      <c r="E134" s="1478"/>
      <c r="F134" s="1530"/>
      <c r="G134" s="1531"/>
      <c r="H134" s="1478"/>
      <c r="I134" s="1478"/>
      <c r="J134" s="1478"/>
      <c r="K134" s="1546">
        <f>Input!Q1349</f>
        <v>213</v>
      </c>
      <c r="L134" s="1540"/>
      <c r="M134" s="1540"/>
      <c r="N134" s="1540"/>
      <c r="O134" s="1540"/>
      <c r="P134" s="1540"/>
      <c r="Q134" s="1540"/>
      <c r="R134" s="1547">
        <f>Input!$W1349*$L$125/12</f>
        <v>0</v>
      </c>
      <c r="S134" s="1547">
        <f>Input!$W1349*$M$125/12</f>
        <v>0</v>
      </c>
      <c r="T134" s="1547">
        <f>Input!$W1349*$N$125/12</f>
        <v>0</v>
      </c>
      <c r="U134" s="1547">
        <f>Input!$W1349*$O$125/12</f>
        <v>0</v>
      </c>
      <c r="V134" s="1547">
        <f>Input!$W1349*$P$125/12</f>
        <v>0</v>
      </c>
      <c r="W134" s="1547">
        <f>Input!$W1349*$Q$125/12</f>
        <v>0</v>
      </c>
      <c r="X134" s="1547">
        <f>Input!$W1349*$R$125/12</f>
        <v>0</v>
      </c>
      <c r="Y134" s="1547">
        <f>Input!$W1349*$S$125/12</f>
        <v>0</v>
      </c>
      <c r="Z134" s="1547">
        <f>Input!$W1349*$T$125/12</f>
        <v>0</v>
      </c>
      <c r="AA134" s="1547">
        <f>Input!$W1349*$U$125/12</f>
        <v>0</v>
      </c>
      <c r="AB134" s="1547">
        <f>Input!$W1349*$V$125/12</f>
        <v>0</v>
      </c>
      <c r="AC134" s="1540"/>
      <c r="AD134" s="1540"/>
      <c r="AE134" s="1540"/>
      <c r="AF134" s="1544"/>
      <c r="AG134" s="1544"/>
      <c r="AH134" s="1544"/>
      <c r="AI134" s="1544"/>
      <c r="AJ134" s="1544"/>
      <c r="AK134" s="1544"/>
      <c r="AL134" s="1544"/>
      <c r="AM134" s="1544"/>
      <c r="AN134" s="1544"/>
      <c r="AO134" s="1544"/>
      <c r="AP134" s="1544"/>
      <c r="AQ134" s="1544"/>
      <c r="AR134" s="1544"/>
      <c r="AS134" s="1544"/>
      <c r="AT134" s="1544"/>
      <c r="AU134" s="1544"/>
      <c r="AV134" s="1544"/>
      <c r="AW134" s="1544"/>
      <c r="AX134" s="1544"/>
      <c r="AY134" s="1544"/>
      <c r="AZ134" s="1544"/>
      <c r="BA134" s="1544"/>
      <c r="BB134" s="1544"/>
      <c r="BC134" s="1544"/>
      <c r="BD134" s="1544"/>
      <c r="BE134" s="1544"/>
      <c r="BF134" s="1544"/>
      <c r="BG134" s="1544"/>
      <c r="BH134" s="1544"/>
      <c r="BI134" s="1544"/>
      <c r="BJ134" s="1544"/>
      <c r="BK134" s="1544"/>
      <c r="BL134" s="1544"/>
      <c r="BM134" s="1544"/>
      <c r="BN134" s="1544"/>
      <c r="BO134" s="1544"/>
      <c r="BP134" s="1544"/>
      <c r="BQ134" s="1442"/>
      <c r="BR134" s="1442"/>
      <c r="BS134" s="1442"/>
      <c r="BT134" s="43"/>
      <c r="BU134" s="43"/>
      <c r="BV134" s="43"/>
      <c r="BW134" s="1436">
        <f>Infrastructure!M67</f>
        <v>0</v>
      </c>
      <c r="BX134" s="1437">
        <f>$BO$3</f>
        <v>0</v>
      </c>
      <c r="BY134" s="1437">
        <f>$BO$8</f>
        <v>0</v>
      </c>
      <c r="BZ134" s="1183"/>
      <c r="CA134" s="1183"/>
      <c r="CB134" s="1183"/>
      <c r="CC134" s="1183"/>
      <c r="CD134" s="1183"/>
      <c r="CE134" s="1183"/>
      <c r="CF134" s="1183"/>
      <c r="CG134" s="1183"/>
      <c r="CH134" s="1183"/>
      <c r="CI134" s="1183"/>
      <c r="CJ134" s="1183"/>
      <c r="CK134" s="1183"/>
      <c r="CL134" s="1183"/>
      <c r="CM134" s="1183"/>
      <c r="CN134" s="1183"/>
      <c r="CO134" s="1183"/>
      <c r="CP134" s="1183"/>
      <c r="CQ134" s="1183"/>
      <c r="CR134" s="1183"/>
      <c r="CS134" s="1183"/>
      <c r="CT134" s="1183"/>
      <c r="CU134" s="1183"/>
      <c r="CV134" s="1183"/>
      <c r="CW134" s="1183"/>
      <c r="CX134" s="1183"/>
      <c r="CY134" s="1183"/>
      <c r="CZ134" s="1183"/>
      <c r="DA134" s="1183"/>
      <c r="DB134" s="1183"/>
      <c r="DC134" s="1183"/>
      <c r="DD134" s="1183"/>
      <c r="DE134" s="1183"/>
      <c r="DF134" s="1183"/>
      <c r="DG134" s="1183"/>
      <c r="DH134" s="1183"/>
      <c r="DI134" s="1183"/>
      <c r="DJ134" s="1183"/>
      <c r="DK134" s="1183"/>
      <c r="DL134" s="1183"/>
      <c r="DM134" s="1183"/>
      <c r="DN134" s="1183"/>
      <c r="DO134" s="1183"/>
      <c r="DP134" s="1183"/>
      <c r="DQ134" s="1183"/>
    </row>
    <row r="135" spans="1:121" s="12" customFormat="1" ht="12" customHeight="1" x14ac:dyDescent="0.35">
      <c r="A135" s="1478"/>
      <c r="B135" s="1478"/>
      <c r="C135" s="1478"/>
      <c r="D135" s="1478"/>
      <c r="E135" s="1478"/>
      <c r="F135" s="1530"/>
      <c r="G135" s="1531"/>
      <c r="H135" s="1478"/>
      <c r="I135" s="1478"/>
      <c r="J135" s="1478"/>
      <c r="K135" s="1546">
        <f>Input!Q1350</f>
        <v>244</v>
      </c>
      <c r="L135" s="1540"/>
      <c r="M135" s="1540"/>
      <c r="N135" s="1540"/>
      <c r="O135" s="1540"/>
      <c r="P135" s="1540"/>
      <c r="Q135" s="1540"/>
      <c r="R135" s="1540"/>
      <c r="S135" s="1547">
        <f>Input!$W1350*$L$125/12</f>
        <v>0</v>
      </c>
      <c r="T135" s="1547">
        <f>Input!$W1350*$M$125/12</f>
        <v>0</v>
      </c>
      <c r="U135" s="1547">
        <f>Input!$W1350*$N$125/12</f>
        <v>0</v>
      </c>
      <c r="V135" s="1547">
        <f>Input!$W1350*$O$125/12</f>
        <v>0</v>
      </c>
      <c r="W135" s="1547">
        <f>Input!$W1350*$P$125/12</f>
        <v>0</v>
      </c>
      <c r="X135" s="1547">
        <f>Input!$W1350*$Q$125/12</f>
        <v>0</v>
      </c>
      <c r="Y135" s="1547">
        <f>Input!$W1350*$R$125/12</f>
        <v>0</v>
      </c>
      <c r="Z135" s="1547">
        <f>Input!$W1350*$S$125/12</f>
        <v>0</v>
      </c>
      <c r="AA135" s="1547">
        <f>Input!$W1350*$T$125/12</f>
        <v>0</v>
      </c>
      <c r="AB135" s="1547">
        <f>Input!$W1350*$U$125/12</f>
        <v>0</v>
      </c>
      <c r="AC135" s="1547">
        <f>Input!$W1350*$V$125/12</f>
        <v>0</v>
      </c>
      <c r="AD135" s="1540"/>
      <c r="AE135" s="1540"/>
      <c r="AF135" s="1544"/>
      <c r="AG135" s="1544"/>
      <c r="AH135" s="1544"/>
      <c r="AI135" s="1544"/>
      <c r="AJ135" s="1544"/>
      <c r="AK135" s="1544"/>
      <c r="AL135" s="1544"/>
      <c r="AM135" s="1544"/>
      <c r="AN135" s="1544"/>
      <c r="AO135" s="1544"/>
      <c r="AP135" s="1544"/>
      <c r="AQ135" s="1544"/>
      <c r="AR135" s="1544"/>
      <c r="AS135" s="1544"/>
      <c r="AT135" s="1544"/>
      <c r="AU135" s="1544"/>
      <c r="AV135" s="1544"/>
      <c r="AW135" s="1544"/>
      <c r="AX135" s="1544"/>
      <c r="AY135" s="1544"/>
      <c r="AZ135" s="1544"/>
      <c r="BA135" s="1544"/>
      <c r="BB135" s="1544"/>
      <c r="BC135" s="1544"/>
      <c r="BD135" s="1544"/>
      <c r="BE135" s="1544"/>
      <c r="BF135" s="1544"/>
      <c r="BG135" s="1544"/>
      <c r="BH135" s="1544"/>
      <c r="BI135" s="1544"/>
      <c r="BJ135" s="1544"/>
      <c r="BK135" s="1544"/>
      <c r="BL135" s="1544"/>
      <c r="BM135" s="1544"/>
      <c r="BN135" s="1544"/>
      <c r="BO135" s="1544"/>
      <c r="BP135" s="1544"/>
      <c r="BQ135" s="1442"/>
      <c r="BR135" s="1442"/>
      <c r="BS135" s="1442"/>
      <c r="BT135" s="43"/>
      <c r="BU135" s="43"/>
      <c r="BV135" s="43"/>
      <c r="BW135" s="1436">
        <f>Infrastructure!M68</f>
        <v>0</v>
      </c>
      <c r="BX135" s="1437">
        <f>$BP$3</f>
        <v>0</v>
      </c>
      <c r="BY135" s="1437">
        <f>$BP$8</f>
        <v>0</v>
      </c>
      <c r="BZ135" s="1183"/>
      <c r="CA135" s="1183"/>
      <c r="CB135" s="1183"/>
      <c r="CC135" s="1183"/>
      <c r="CD135" s="1183"/>
      <c r="CE135" s="1183"/>
      <c r="CF135" s="1183"/>
      <c r="CG135" s="1183"/>
      <c r="CH135" s="1183"/>
      <c r="CI135" s="1183"/>
      <c r="CJ135" s="1183"/>
      <c r="CK135" s="1183"/>
      <c r="CL135" s="1183"/>
      <c r="CM135" s="1183"/>
      <c r="CN135" s="1183"/>
      <c r="CO135" s="1183"/>
      <c r="CP135" s="1183"/>
      <c r="CQ135" s="1183"/>
      <c r="CR135" s="1183"/>
      <c r="CS135" s="1183"/>
      <c r="CT135" s="1183"/>
      <c r="CU135" s="1183"/>
      <c r="CV135" s="1183"/>
      <c r="CW135" s="1183"/>
      <c r="CX135" s="1183"/>
      <c r="CY135" s="1183"/>
      <c r="CZ135" s="1183"/>
      <c r="DA135" s="1183"/>
      <c r="DB135" s="1183"/>
      <c r="DC135" s="1183"/>
      <c r="DD135" s="1183"/>
      <c r="DE135" s="1183"/>
      <c r="DF135" s="1183"/>
      <c r="DG135" s="1183"/>
      <c r="DH135" s="1183"/>
      <c r="DI135" s="1183"/>
      <c r="DJ135" s="1183"/>
      <c r="DK135" s="1183"/>
      <c r="DL135" s="1183"/>
      <c r="DM135" s="1183"/>
      <c r="DN135" s="1183"/>
      <c r="DO135" s="1183"/>
      <c r="DP135" s="1183"/>
      <c r="DQ135" s="1183"/>
    </row>
    <row r="136" spans="1:121" s="12" customFormat="1" ht="12" customHeight="1" x14ac:dyDescent="0.35">
      <c r="A136" s="1478"/>
      <c r="B136" s="1478"/>
      <c r="C136" s="1478"/>
      <c r="D136" s="1478"/>
      <c r="E136" s="1478"/>
      <c r="F136" s="1530"/>
      <c r="G136" s="1531"/>
      <c r="H136" s="1478"/>
      <c r="I136" s="1478"/>
      <c r="J136" s="1478"/>
      <c r="K136" s="1546">
        <f>Input!Q1351</f>
        <v>274</v>
      </c>
      <c r="L136" s="1540"/>
      <c r="M136" s="1540"/>
      <c r="N136" s="1540"/>
      <c r="O136" s="1540"/>
      <c r="P136" s="1540"/>
      <c r="Q136" s="1540"/>
      <c r="R136" s="1540"/>
      <c r="S136" s="1540"/>
      <c r="T136" s="1547">
        <f>Input!$W1351*$L$125/12</f>
        <v>0</v>
      </c>
      <c r="U136" s="1547">
        <f>Input!$W1351*$M$125/12</f>
        <v>0</v>
      </c>
      <c r="V136" s="1547">
        <f>Input!$W1351*$N$125/12</f>
        <v>0</v>
      </c>
      <c r="W136" s="1547">
        <f>Input!$W1351*$O$125/12</f>
        <v>0</v>
      </c>
      <c r="X136" s="1547">
        <f>Input!$W1351*$P$125/12</f>
        <v>0</v>
      </c>
      <c r="Y136" s="1547">
        <f>Input!$W1351*$Q$125/12</f>
        <v>0</v>
      </c>
      <c r="Z136" s="1547">
        <f>Input!$W1351*$R$125/12</f>
        <v>0</v>
      </c>
      <c r="AA136" s="1547">
        <f>Input!$W1351*$S$125/12</f>
        <v>0</v>
      </c>
      <c r="AB136" s="1547">
        <f>Input!$W1351*$T$125/12</f>
        <v>0</v>
      </c>
      <c r="AC136" s="1547">
        <f>Input!$W1351*$U$125/12</f>
        <v>0</v>
      </c>
      <c r="AD136" s="1547">
        <f>Input!$W1351*$V$125/12</f>
        <v>0</v>
      </c>
      <c r="AE136" s="1540"/>
      <c r="AF136" s="1544"/>
      <c r="AG136" s="1544"/>
      <c r="AH136" s="1544"/>
      <c r="AI136" s="1544"/>
      <c r="AJ136" s="1544"/>
      <c r="AK136" s="1544"/>
      <c r="AL136" s="1544"/>
      <c r="AM136" s="1544"/>
      <c r="AN136" s="1544"/>
      <c r="AO136" s="1544"/>
      <c r="AP136" s="1544"/>
      <c r="AQ136" s="1544"/>
      <c r="AR136" s="1544"/>
      <c r="AS136" s="1544"/>
      <c r="AT136" s="1544"/>
      <c r="AU136" s="1544"/>
      <c r="AV136" s="1544"/>
      <c r="AW136" s="1544"/>
      <c r="AX136" s="1544"/>
      <c r="AY136" s="1544"/>
      <c r="AZ136" s="1544"/>
      <c r="BA136" s="1544"/>
      <c r="BB136" s="1544"/>
      <c r="BC136" s="1544"/>
      <c r="BD136" s="1544"/>
      <c r="BE136" s="1544"/>
      <c r="BF136" s="1544"/>
      <c r="BG136" s="1544"/>
      <c r="BH136" s="1544"/>
      <c r="BI136" s="1544"/>
      <c r="BJ136" s="1544"/>
      <c r="BK136" s="1544"/>
      <c r="BL136" s="1544"/>
      <c r="BM136" s="1544"/>
      <c r="BN136" s="1544"/>
      <c r="BO136" s="1544"/>
      <c r="BP136" s="1544"/>
      <c r="BQ136" s="1442"/>
      <c r="BR136" s="1442"/>
      <c r="BS136" s="1442"/>
      <c r="BT136" s="43"/>
      <c r="BU136" s="43"/>
      <c r="BV136" s="43"/>
      <c r="BW136" s="43"/>
      <c r="BX136" s="43"/>
      <c r="BY136" s="43"/>
      <c r="BZ136" s="1183"/>
      <c r="CA136" s="1183"/>
      <c r="CB136" s="1183"/>
      <c r="CC136" s="1183"/>
      <c r="CD136" s="1183"/>
      <c r="CE136" s="1183"/>
      <c r="CF136" s="1183"/>
      <c r="CG136" s="1183"/>
      <c r="CH136" s="1183"/>
      <c r="CI136" s="1183"/>
      <c r="CJ136" s="1183"/>
      <c r="CK136" s="1183"/>
      <c r="CL136" s="1183"/>
      <c r="CM136" s="1183"/>
      <c r="CN136" s="1183"/>
      <c r="CO136" s="1183"/>
      <c r="CP136" s="1183"/>
      <c r="CQ136" s="1183"/>
      <c r="CR136" s="1183"/>
      <c r="CS136" s="1183"/>
      <c r="CT136" s="1183"/>
      <c r="CU136" s="1183"/>
      <c r="CV136" s="1183"/>
      <c r="CW136" s="1183"/>
      <c r="CX136" s="1183"/>
      <c r="CY136" s="1183"/>
      <c r="CZ136" s="1183"/>
      <c r="DA136" s="1183"/>
      <c r="DB136" s="1183"/>
      <c r="DC136" s="1183"/>
      <c r="DD136" s="1183"/>
      <c r="DE136" s="1183"/>
      <c r="DF136" s="1183"/>
      <c r="DG136" s="1183"/>
      <c r="DH136" s="1183"/>
      <c r="DI136" s="1183"/>
      <c r="DJ136" s="1183"/>
      <c r="DK136" s="1183"/>
      <c r="DL136" s="1183"/>
      <c r="DM136" s="1183"/>
      <c r="DN136" s="1183"/>
      <c r="DO136" s="1183"/>
      <c r="DP136" s="1183"/>
      <c r="DQ136" s="1183"/>
    </row>
    <row r="137" spans="1:121" s="12" customFormat="1" ht="12" customHeight="1" x14ac:dyDescent="0.35">
      <c r="A137" s="1478"/>
      <c r="B137" s="1478"/>
      <c r="C137" s="1478"/>
      <c r="D137" s="1478"/>
      <c r="E137" s="1478"/>
      <c r="F137" s="1530"/>
      <c r="G137" s="1531"/>
      <c r="H137" s="1478"/>
      <c r="I137" s="1478"/>
      <c r="J137" s="1478"/>
      <c r="K137" s="1546">
        <f>Input!Q1352</f>
        <v>305</v>
      </c>
      <c r="L137" s="1540"/>
      <c r="M137" s="1540"/>
      <c r="N137" s="1540"/>
      <c r="O137" s="1540"/>
      <c r="P137" s="1540"/>
      <c r="Q137" s="1540"/>
      <c r="R137" s="1540"/>
      <c r="S137" s="1540"/>
      <c r="T137" s="1540"/>
      <c r="U137" s="1547">
        <f>Input!$W1352*$L$125/12</f>
        <v>0</v>
      </c>
      <c r="V137" s="1547">
        <f>Input!$W1352*$M$125/12</f>
        <v>0</v>
      </c>
      <c r="W137" s="1547">
        <f>Input!$W1352*$N$125/12</f>
        <v>0</v>
      </c>
      <c r="X137" s="1547">
        <f>Input!$W1352*$O$125/12</f>
        <v>0</v>
      </c>
      <c r="Y137" s="1547">
        <f>Input!$W1352*$P$125/12</f>
        <v>0</v>
      </c>
      <c r="Z137" s="1547">
        <f>Input!$W1352*$Q$125/12</f>
        <v>0</v>
      </c>
      <c r="AA137" s="1547">
        <f>Input!$W1352*$R$125/12</f>
        <v>0</v>
      </c>
      <c r="AB137" s="1547">
        <f>Input!$W1352*$S$125/12</f>
        <v>0</v>
      </c>
      <c r="AC137" s="1547">
        <f>Input!$W1352*$T$125/12</f>
        <v>0</v>
      </c>
      <c r="AD137" s="1547">
        <f>Input!$W1352*$U$125/12</f>
        <v>0</v>
      </c>
      <c r="AE137" s="1547">
        <f>Input!$W1352*$V$125/12</f>
        <v>0</v>
      </c>
      <c r="AF137" s="1544"/>
      <c r="AG137" s="1544"/>
      <c r="AH137" s="1544"/>
      <c r="AI137" s="1544"/>
      <c r="AJ137" s="1544"/>
      <c r="AK137" s="1544"/>
      <c r="AL137" s="1544"/>
      <c r="AM137" s="1544"/>
      <c r="AN137" s="1544"/>
      <c r="AO137" s="1544"/>
      <c r="AP137" s="1544"/>
      <c r="AQ137" s="1544"/>
      <c r="AR137" s="1544"/>
      <c r="AS137" s="1544"/>
      <c r="AT137" s="1544"/>
      <c r="AU137" s="1544"/>
      <c r="AV137" s="1544"/>
      <c r="AW137" s="1544"/>
      <c r="AX137" s="1544"/>
      <c r="AY137" s="1544"/>
      <c r="AZ137" s="1544"/>
      <c r="BA137" s="1544"/>
      <c r="BB137" s="1544"/>
      <c r="BC137" s="1544"/>
      <c r="BD137" s="1544"/>
      <c r="BE137" s="1544"/>
      <c r="BF137" s="1544"/>
      <c r="BG137" s="1544"/>
      <c r="BH137" s="1544"/>
      <c r="BI137" s="1544"/>
      <c r="BJ137" s="1544"/>
      <c r="BK137" s="1544"/>
      <c r="BL137" s="1544"/>
      <c r="BM137" s="1544"/>
      <c r="BN137" s="1544"/>
      <c r="BO137" s="1544"/>
      <c r="BP137" s="1544"/>
      <c r="BQ137" s="1442"/>
      <c r="BR137" s="1442"/>
      <c r="BS137" s="1442"/>
      <c r="BT137" s="43"/>
      <c r="BU137" s="43"/>
      <c r="BV137" s="43"/>
      <c r="BW137" s="43"/>
      <c r="BX137" s="43"/>
      <c r="BY137" s="43"/>
      <c r="BZ137" s="1183"/>
      <c r="CA137" s="1183"/>
      <c r="CB137" s="1183"/>
      <c r="CC137" s="1183"/>
      <c r="CD137" s="1183"/>
      <c r="CE137" s="1183"/>
      <c r="CF137" s="1183"/>
      <c r="CG137" s="1183"/>
      <c r="CH137" s="1183"/>
      <c r="CI137" s="1183"/>
      <c r="CJ137" s="1183"/>
      <c r="CK137" s="1183"/>
      <c r="CL137" s="1183"/>
      <c r="CM137" s="1183"/>
      <c r="CN137" s="1183"/>
      <c r="CO137" s="1183"/>
      <c r="CP137" s="1183"/>
      <c r="CQ137" s="1183"/>
      <c r="CR137" s="1183"/>
      <c r="CS137" s="1183"/>
      <c r="CT137" s="1183"/>
      <c r="CU137" s="1183"/>
      <c r="CV137" s="1183"/>
      <c r="CW137" s="1183"/>
      <c r="CX137" s="1183"/>
      <c r="CY137" s="1183"/>
      <c r="CZ137" s="1183"/>
      <c r="DA137" s="1183"/>
      <c r="DB137" s="1183"/>
      <c r="DC137" s="1183"/>
      <c r="DD137" s="1183"/>
      <c r="DE137" s="1183"/>
      <c r="DF137" s="1183"/>
      <c r="DG137" s="1183"/>
      <c r="DH137" s="1183"/>
      <c r="DI137" s="1183"/>
      <c r="DJ137" s="1183"/>
      <c r="DK137" s="1183"/>
      <c r="DL137" s="1183"/>
      <c r="DM137" s="1183"/>
      <c r="DN137" s="1183"/>
      <c r="DO137" s="1183"/>
      <c r="DP137" s="1183"/>
      <c r="DQ137" s="1183"/>
    </row>
    <row r="138" spans="1:121" s="12" customFormat="1" ht="12" customHeight="1" x14ac:dyDescent="0.35">
      <c r="A138" s="1478"/>
      <c r="B138" s="1478"/>
      <c r="C138" s="1478"/>
      <c r="D138" s="1478"/>
      <c r="E138" s="1478"/>
      <c r="F138" s="1530"/>
      <c r="G138" s="1531"/>
      <c r="H138" s="1478"/>
      <c r="I138" s="1478"/>
      <c r="J138" s="1478"/>
      <c r="K138" s="1546">
        <f>Input!Q1353</f>
        <v>335</v>
      </c>
      <c r="L138" s="1540"/>
      <c r="M138" s="1540"/>
      <c r="N138" s="1540"/>
      <c r="O138" s="1540"/>
      <c r="P138" s="1540"/>
      <c r="Q138" s="1540"/>
      <c r="R138" s="1540"/>
      <c r="S138" s="1540"/>
      <c r="T138" s="1540"/>
      <c r="U138" s="1540"/>
      <c r="V138" s="1547">
        <f>Input!$W1353*$L$125/12</f>
        <v>0</v>
      </c>
      <c r="W138" s="1547">
        <f>Input!$W1353*$M$125/12</f>
        <v>0</v>
      </c>
      <c r="X138" s="1547">
        <f>Input!$W1353*$N$125/12</f>
        <v>0</v>
      </c>
      <c r="Y138" s="1547">
        <f>Input!$W1353*$O$125/12</f>
        <v>0</v>
      </c>
      <c r="Z138" s="1547">
        <f>Input!$W1353*$P$125/12</f>
        <v>0</v>
      </c>
      <c r="AA138" s="1547">
        <f>Input!$W1353*$Q$125/12</f>
        <v>0</v>
      </c>
      <c r="AB138" s="1547">
        <f>Input!$W1353*$R$125/12</f>
        <v>0</v>
      </c>
      <c r="AC138" s="1547">
        <f>Input!$W1353*$S$125/12</f>
        <v>0</v>
      </c>
      <c r="AD138" s="1547">
        <f>Input!$W1353*$T$125/12</f>
        <v>0</v>
      </c>
      <c r="AE138" s="1547">
        <f>Input!$W1353*$U$125/12</f>
        <v>0</v>
      </c>
      <c r="AF138" s="1548">
        <f>Input!$W1353*$V$125/12</f>
        <v>0</v>
      </c>
      <c r="AG138" s="1544"/>
      <c r="AH138" s="1544"/>
      <c r="AI138" s="1544"/>
      <c r="AJ138" s="1544"/>
      <c r="AK138" s="1544"/>
      <c r="AL138" s="1544"/>
      <c r="AM138" s="1544"/>
      <c r="AN138" s="1544"/>
      <c r="AO138" s="1544"/>
      <c r="AP138" s="1544"/>
      <c r="AQ138" s="1544"/>
      <c r="AR138" s="1544"/>
      <c r="AS138" s="1544"/>
      <c r="AT138" s="1544"/>
      <c r="AU138" s="1544"/>
      <c r="AV138" s="1544"/>
      <c r="AW138" s="1544"/>
      <c r="AX138" s="1544"/>
      <c r="AY138" s="1544"/>
      <c r="AZ138" s="1544"/>
      <c r="BA138" s="1544"/>
      <c r="BB138" s="1544"/>
      <c r="BC138" s="1544"/>
      <c r="BD138" s="1544"/>
      <c r="BE138" s="1544"/>
      <c r="BF138" s="1544"/>
      <c r="BG138" s="1544"/>
      <c r="BH138" s="1544"/>
      <c r="BI138" s="1544"/>
      <c r="BJ138" s="1544"/>
      <c r="BK138" s="1544"/>
      <c r="BL138" s="1544"/>
      <c r="BM138" s="1544"/>
      <c r="BN138" s="1544"/>
      <c r="BO138" s="1544"/>
      <c r="BP138" s="1544"/>
      <c r="BQ138" s="1442"/>
      <c r="BR138" s="1442"/>
      <c r="BS138" s="1442"/>
      <c r="BT138" s="43"/>
      <c r="BU138" s="43"/>
      <c r="BV138" s="43"/>
      <c r="BW138" s="43"/>
      <c r="BX138" s="43"/>
      <c r="BY138" s="43"/>
      <c r="BZ138" s="1183"/>
      <c r="CA138" s="1183"/>
      <c r="CB138" s="1183"/>
      <c r="CC138" s="1183"/>
      <c r="CD138" s="1183"/>
      <c r="CE138" s="1183"/>
      <c r="CF138" s="1183"/>
      <c r="CG138" s="1183"/>
      <c r="CH138" s="1183"/>
      <c r="CI138" s="1183"/>
      <c r="CJ138" s="1183"/>
      <c r="CK138" s="1183"/>
      <c r="CL138" s="1183"/>
      <c r="CM138" s="1183"/>
      <c r="CN138" s="1183"/>
      <c r="CO138" s="1183"/>
      <c r="CP138" s="1183"/>
      <c r="CQ138" s="1183"/>
      <c r="CR138" s="1183"/>
      <c r="CS138" s="1183"/>
      <c r="CT138" s="1183"/>
      <c r="CU138" s="1183"/>
      <c r="CV138" s="1183"/>
      <c r="CW138" s="1183"/>
      <c r="CX138" s="1183"/>
      <c r="CY138" s="1183"/>
      <c r="CZ138" s="1183"/>
      <c r="DA138" s="1183"/>
      <c r="DB138" s="1183"/>
      <c r="DC138" s="1183"/>
      <c r="DD138" s="1183"/>
      <c r="DE138" s="1183"/>
      <c r="DF138" s="1183"/>
      <c r="DG138" s="1183"/>
      <c r="DH138" s="1183"/>
      <c r="DI138" s="1183"/>
      <c r="DJ138" s="1183"/>
      <c r="DK138" s="1183"/>
      <c r="DL138" s="1183"/>
      <c r="DM138" s="1183"/>
      <c r="DN138" s="1183"/>
      <c r="DO138" s="1183"/>
      <c r="DP138" s="1183"/>
      <c r="DQ138" s="1183"/>
    </row>
    <row r="139" spans="1:121" s="12" customFormat="1" ht="12" customHeight="1" x14ac:dyDescent="0.35">
      <c r="A139" s="1478"/>
      <c r="B139" s="1478"/>
      <c r="C139" s="1478"/>
      <c r="D139" s="1478"/>
      <c r="E139" s="1478"/>
      <c r="F139" s="1530"/>
      <c r="G139" s="1531"/>
      <c r="H139" s="1478"/>
      <c r="I139" s="1478"/>
      <c r="J139" s="1478"/>
      <c r="K139" s="1546">
        <f>Input!Q1354</f>
        <v>366</v>
      </c>
      <c r="L139" s="1540"/>
      <c r="M139" s="1540"/>
      <c r="N139" s="1540"/>
      <c r="O139" s="1540"/>
      <c r="P139" s="1540"/>
      <c r="Q139" s="1540"/>
      <c r="R139" s="1540"/>
      <c r="S139" s="1540"/>
      <c r="T139" s="1540"/>
      <c r="U139" s="1540"/>
      <c r="V139" s="1540"/>
      <c r="W139" s="1547">
        <f>Input!$W1354*$L$125/12</f>
        <v>0</v>
      </c>
      <c r="X139" s="1547">
        <f>Input!$W1354*$M$125/12</f>
        <v>0</v>
      </c>
      <c r="Y139" s="1547">
        <f>Input!$W1354*$N$125/12</f>
        <v>0</v>
      </c>
      <c r="Z139" s="1547">
        <f>Input!$W1354*$O$125/12</f>
        <v>0</v>
      </c>
      <c r="AA139" s="1547">
        <f>Input!$W1354*$P$125/12</f>
        <v>0</v>
      </c>
      <c r="AB139" s="1547">
        <f>Input!$W1354*$Q$125/12</f>
        <v>0</v>
      </c>
      <c r="AC139" s="1547">
        <f>Input!$W1354*$R$125/12</f>
        <v>0</v>
      </c>
      <c r="AD139" s="1547">
        <f>Input!$W1354*$S$125/12</f>
        <v>0</v>
      </c>
      <c r="AE139" s="1547">
        <f>Input!$W1354*$T$125/12</f>
        <v>0</v>
      </c>
      <c r="AF139" s="1548">
        <f>Input!$W1354*$U$125/12</f>
        <v>0</v>
      </c>
      <c r="AG139" s="1548">
        <f>Input!$W1354*$V$125/12</f>
        <v>0</v>
      </c>
      <c r="AH139" s="1544"/>
      <c r="AI139" s="1544"/>
      <c r="AJ139" s="1544"/>
      <c r="AK139" s="1544"/>
      <c r="AL139" s="1544"/>
      <c r="AM139" s="1544"/>
      <c r="AN139" s="1544"/>
      <c r="AO139" s="1544"/>
      <c r="AP139" s="1544"/>
      <c r="AQ139" s="1544"/>
      <c r="AR139" s="1544"/>
      <c r="AS139" s="1544"/>
      <c r="AT139" s="1544"/>
      <c r="AU139" s="1544"/>
      <c r="AV139" s="1544"/>
      <c r="AW139" s="1544"/>
      <c r="AX139" s="1544"/>
      <c r="AY139" s="1544"/>
      <c r="AZ139" s="1544"/>
      <c r="BA139" s="1544"/>
      <c r="BB139" s="1544"/>
      <c r="BC139" s="1544"/>
      <c r="BD139" s="1544"/>
      <c r="BE139" s="1544"/>
      <c r="BF139" s="1544"/>
      <c r="BG139" s="1544"/>
      <c r="BH139" s="1544"/>
      <c r="BI139" s="1544"/>
      <c r="BJ139" s="1544"/>
      <c r="BK139" s="1544"/>
      <c r="BL139" s="1544"/>
      <c r="BM139" s="1544"/>
      <c r="BN139" s="1544"/>
      <c r="BO139" s="1544"/>
      <c r="BP139" s="1544"/>
      <c r="BQ139" s="1442"/>
      <c r="BR139" s="1442"/>
      <c r="BS139" s="1442"/>
      <c r="BT139" s="43"/>
      <c r="BU139" s="43"/>
      <c r="BV139" s="43"/>
      <c r="BW139" s="43"/>
      <c r="BX139" s="43"/>
      <c r="BY139" s="43"/>
      <c r="BZ139" s="1183"/>
      <c r="CA139" s="1183"/>
      <c r="CB139" s="1183"/>
      <c r="CC139" s="1183"/>
      <c r="CD139" s="1183"/>
      <c r="CE139" s="1183"/>
      <c r="CF139" s="1183"/>
      <c r="CG139" s="1183"/>
      <c r="CH139" s="1183"/>
      <c r="CI139" s="1183"/>
      <c r="CJ139" s="1183"/>
      <c r="CK139" s="1183"/>
      <c r="CL139" s="1183"/>
      <c r="CM139" s="1183"/>
      <c r="CN139" s="1183"/>
      <c r="CO139" s="1183"/>
      <c r="CP139" s="1183"/>
      <c r="CQ139" s="1183"/>
      <c r="CR139" s="1183"/>
      <c r="CS139" s="1183"/>
      <c r="CT139" s="1183"/>
      <c r="CU139" s="1183"/>
      <c r="CV139" s="1183"/>
      <c r="CW139" s="1183"/>
      <c r="CX139" s="1183"/>
      <c r="CY139" s="1183"/>
      <c r="CZ139" s="1183"/>
      <c r="DA139" s="1183"/>
      <c r="DB139" s="1183"/>
      <c r="DC139" s="1183"/>
      <c r="DD139" s="1183"/>
      <c r="DE139" s="1183"/>
      <c r="DF139" s="1183"/>
      <c r="DG139" s="1183"/>
      <c r="DH139" s="1183"/>
      <c r="DI139" s="1183"/>
      <c r="DJ139" s="1183"/>
      <c r="DK139" s="1183"/>
      <c r="DL139" s="1183"/>
      <c r="DM139" s="1183"/>
      <c r="DN139" s="1183"/>
      <c r="DO139" s="1183"/>
      <c r="DP139" s="1183"/>
      <c r="DQ139" s="1183"/>
    </row>
    <row r="140" spans="1:121" s="12" customFormat="1" ht="12" customHeight="1" x14ac:dyDescent="0.35">
      <c r="A140" s="1478"/>
      <c r="B140" s="1478"/>
      <c r="C140" s="1478"/>
      <c r="D140" s="1478"/>
      <c r="E140" s="1478"/>
      <c r="F140" s="1530"/>
      <c r="G140" s="1531"/>
      <c r="H140" s="1478"/>
      <c r="I140" s="1478"/>
      <c r="J140" s="1478"/>
      <c r="K140" s="1546">
        <f>Input!Q1355</f>
        <v>397</v>
      </c>
      <c r="L140" s="1540"/>
      <c r="M140" s="1540"/>
      <c r="N140" s="1540"/>
      <c r="O140" s="1540"/>
      <c r="P140" s="1540"/>
      <c r="Q140" s="1540"/>
      <c r="R140" s="1540"/>
      <c r="S140" s="1540"/>
      <c r="T140" s="1540"/>
      <c r="U140" s="1540"/>
      <c r="V140" s="1540"/>
      <c r="W140" s="1540"/>
      <c r="X140" s="1547">
        <f>Input!$W1355*$L$125/12</f>
        <v>0</v>
      </c>
      <c r="Y140" s="1547">
        <f>Input!$W1355*$M$125/12</f>
        <v>0</v>
      </c>
      <c r="Z140" s="1547">
        <f>Input!$W1355*$N$125/12</f>
        <v>0</v>
      </c>
      <c r="AA140" s="1547">
        <f>Input!$W1355*$O$125/12</f>
        <v>0</v>
      </c>
      <c r="AB140" s="1547">
        <f>Input!$W1355*$P$125/12</f>
        <v>0</v>
      </c>
      <c r="AC140" s="1547">
        <f>Input!$W1355*$Q$125/12</f>
        <v>0</v>
      </c>
      <c r="AD140" s="1547">
        <f>Input!$W1355*$R$125/12</f>
        <v>0</v>
      </c>
      <c r="AE140" s="1547">
        <f>Input!$W1355*$S$125/12</f>
        <v>0</v>
      </c>
      <c r="AF140" s="1548">
        <f>Input!$W1355*$T$125/12</f>
        <v>0</v>
      </c>
      <c r="AG140" s="1548">
        <f>Input!$W1355*$U$125/12</f>
        <v>0</v>
      </c>
      <c r="AH140" s="1548">
        <f>Input!$W1355*$V$125/12</f>
        <v>0</v>
      </c>
      <c r="AI140" s="1544"/>
      <c r="AJ140" s="1544"/>
      <c r="AK140" s="1544"/>
      <c r="AL140" s="1544"/>
      <c r="AM140" s="1544"/>
      <c r="AN140" s="1544"/>
      <c r="AO140" s="1544"/>
      <c r="AP140" s="1544"/>
      <c r="AQ140" s="1544"/>
      <c r="AR140" s="1544"/>
      <c r="AS140" s="1544"/>
      <c r="AT140" s="1544"/>
      <c r="AU140" s="1544"/>
      <c r="AV140" s="1544"/>
      <c r="AW140" s="1544"/>
      <c r="AX140" s="1544"/>
      <c r="AY140" s="1544"/>
      <c r="AZ140" s="1544"/>
      <c r="BA140" s="1544"/>
      <c r="BB140" s="1544"/>
      <c r="BC140" s="1544"/>
      <c r="BD140" s="1544"/>
      <c r="BE140" s="1544"/>
      <c r="BF140" s="1544"/>
      <c r="BG140" s="1544"/>
      <c r="BH140" s="1544"/>
      <c r="BI140" s="1544"/>
      <c r="BJ140" s="1544"/>
      <c r="BK140" s="1544"/>
      <c r="BL140" s="1544"/>
      <c r="BM140" s="1544"/>
      <c r="BN140" s="1544"/>
      <c r="BO140" s="1544"/>
      <c r="BP140" s="1544"/>
      <c r="BQ140" s="1442"/>
      <c r="BR140" s="1442"/>
      <c r="BS140" s="1442"/>
      <c r="BT140" s="43"/>
      <c r="BU140" s="43"/>
      <c r="BV140" s="43"/>
      <c r="BW140" s="43"/>
      <c r="BX140" s="43"/>
      <c r="BY140" s="43"/>
      <c r="BZ140" s="1183"/>
      <c r="CA140" s="1183"/>
      <c r="CB140" s="1183"/>
      <c r="CC140" s="1183"/>
      <c r="CD140" s="1183"/>
      <c r="CE140" s="1183"/>
      <c r="CF140" s="1183"/>
      <c r="CG140" s="1183"/>
      <c r="CH140" s="1183"/>
      <c r="CI140" s="1183"/>
      <c r="CJ140" s="1183"/>
      <c r="CK140" s="1183"/>
      <c r="CL140" s="1183"/>
      <c r="CM140" s="1183"/>
      <c r="CN140" s="1183"/>
      <c r="CO140" s="1183"/>
      <c r="CP140" s="1183"/>
      <c r="CQ140" s="1183"/>
      <c r="CR140" s="1183"/>
      <c r="CS140" s="1183"/>
      <c r="CT140" s="1183"/>
      <c r="CU140" s="1183"/>
      <c r="CV140" s="1183"/>
      <c r="CW140" s="1183"/>
      <c r="CX140" s="1183"/>
      <c r="CY140" s="1183"/>
      <c r="CZ140" s="1183"/>
      <c r="DA140" s="1183"/>
      <c r="DB140" s="1183"/>
      <c r="DC140" s="1183"/>
      <c r="DD140" s="1183"/>
      <c r="DE140" s="1183"/>
      <c r="DF140" s="1183"/>
      <c r="DG140" s="1183"/>
      <c r="DH140" s="1183"/>
      <c r="DI140" s="1183"/>
      <c r="DJ140" s="1183"/>
      <c r="DK140" s="1183"/>
      <c r="DL140" s="1183"/>
      <c r="DM140" s="1183"/>
      <c r="DN140" s="1183"/>
      <c r="DO140" s="1183"/>
      <c r="DP140" s="1183"/>
      <c r="DQ140" s="1183"/>
    </row>
    <row r="141" spans="1:121" s="12" customFormat="1" ht="12" customHeight="1" x14ac:dyDescent="0.35">
      <c r="A141" s="1478"/>
      <c r="B141" s="1478"/>
      <c r="C141" s="1478"/>
      <c r="D141" s="1478"/>
      <c r="E141" s="1478"/>
      <c r="F141" s="1530"/>
      <c r="G141" s="1531"/>
      <c r="H141" s="1478"/>
      <c r="I141" s="1478"/>
      <c r="J141" s="1478"/>
      <c r="K141" s="1546">
        <f>Input!Q1356</f>
        <v>425</v>
      </c>
      <c r="L141" s="1540"/>
      <c r="M141" s="1540"/>
      <c r="N141" s="1540"/>
      <c r="O141" s="1540"/>
      <c r="P141" s="1540"/>
      <c r="Q141" s="1540"/>
      <c r="R141" s="1540"/>
      <c r="S141" s="1540"/>
      <c r="T141" s="1540"/>
      <c r="U141" s="1540"/>
      <c r="V141" s="1540"/>
      <c r="W141" s="1540"/>
      <c r="X141" s="1540"/>
      <c r="Y141" s="1547">
        <f>Input!$W1356*$L$125/12</f>
        <v>0</v>
      </c>
      <c r="Z141" s="1547">
        <f>Input!$W1356*$M$125/12</f>
        <v>0</v>
      </c>
      <c r="AA141" s="1547">
        <f>Input!$W1356*$N$125/12</f>
        <v>0</v>
      </c>
      <c r="AB141" s="1547">
        <f>Input!$W1356*$O$125/12</f>
        <v>0</v>
      </c>
      <c r="AC141" s="1547">
        <f>Input!$W1356*$P$125/12</f>
        <v>0</v>
      </c>
      <c r="AD141" s="1547">
        <f>Input!$W1356*$Q$125/12</f>
        <v>0</v>
      </c>
      <c r="AE141" s="1547">
        <f>Input!$W1356*$R$125/12</f>
        <v>0</v>
      </c>
      <c r="AF141" s="1548">
        <f>Input!$W1356*$S$125/12</f>
        <v>0</v>
      </c>
      <c r="AG141" s="1548">
        <f>Input!$W1356*$T$125/12</f>
        <v>0</v>
      </c>
      <c r="AH141" s="1548">
        <f>Input!$W1356*$U$125/12</f>
        <v>0</v>
      </c>
      <c r="AI141" s="1548">
        <f>Input!$W1356*$V$125/12</f>
        <v>0</v>
      </c>
      <c r="AJ141" s="1544"/>
      <c r="AK141" s="1544"/>
      <c r="AL141" s="1544"/>
      <c r="AM141" s="1544"/>
      <c r="AN141" s="1544"/>
      <c r="AO141" s="1544"/>
      <c r="AP141" s="1544"/>
      <c r="AQ141" s="1544"/>
      <c r="AR141" s="1544"/>
      <c r="AS141" s="1544"/>
      <c r="AT141" s="1544"/>
      <c r="AU141" s="1544"/>
      <c r="AV141" s="1544"/>
      <c r="AW141" s="1544"/>
      <c r="AX141" s="1544"/>
      <c r="AY141" s="1544"/>
      <c r="AZ141" s="1544"/>
      <c r="BA141" s="1544"/>
      <c r="BB141" s="1544"/>
      <c r="BC141" s="1544"/>
      <c r="BD141" s="1544"/>
      <c r="BE141" s="1544"/>
      <c r="BF141" s="1544"/>
      <c r="BG141" s="1544"/>
      <c r="BH141" s="1544"/>
      <c r="BI141" s="1544"/>
      <c r="BJ141" s="1544"/>
      <c r="BK141" s="1544"/>
      <c r="BL141" s="1544"/>
      <c r="BM141" s="1544"/>
      <c r="BN141" s="1544"/>
      <c r="BO141" s="1544"/>
      <c r="BP141" s="1544"/>
      <c r="BQ141" s="1442"/>
      <c r="BR141" s="1442"/>
      <c r="BS141" s="1442"/>
      <c r="BT141" s="43"/>
      <c r="BU141" s="43"/>
      <c r="BV141" s="43"/>
      <c r="BW141" s="43"/>
      <c r="BX141" s="43"/>
      <c r="BY141" s="43"/>
      <c r="BZ141" s="1183"/>
      <c r="CA141" s="1183"/>
      <c r="CB141" s="1183"/>
      <c r="CC141" s="1183"/>
      <c r="CD141" s="1183"/>
      <c r="CE141" s="1183"/>
      <c r="CF141" s="1183"/>
      <c r="CG141" s="1183"/>
      <c r="CH141" s="1183"/>
      <c r="CI141" s="1183"/>
      <c r="CJ141" s="1183"/>
      <c r="CK141" s="1183"/>
      <c r="CL141" s="1183"/>
      <c r="CM141" s="1183"/>
      <c r="CN141" s="1183"/>
      <c r="CO141" s="1183"/>
      <c r="CP141" s="1183"/>
      <c r="CQ141" s="1183"/>
      <c r="CR141" s="1183"/>
      <c r="CS141" s="1183"/>
      <c r="CT141" s="1183"/>
      <c r="CU141" s="1183"/>
      <c r="CV141" s="1183"/>
      <c r="CW141" s="1183"/>
      <c r="CX141" s="1183"/>
      <c r="CY141" s="1183"/>
      <c r="CZ141" s="1183"/>
      <c r="DA141" s="1183"/>
      <c r="DB141" s="1183"/>
      <c r="DC141" s="1183"/>
      <c r="DD141" s="1183"/>
      <c r="DE141" s="1183"/>
      <c r="DF141" s="1183"/>
      <c r="DG141" s="1183"/>
      <c r="DH141" s="1183"/>
      <c r="DI141" s="1183"/>
      <c r="DJ141" s="1183"/>
      <c r="DK141" s="1183"/>
      <c r="DL141" s="1183"/>
      <c r="DM141" s="1183"/>
      <c r="DN141" s="1183"/>
      <c r="DO141" s="1183"/>
      <c r="DP141" s="1183"/>
      <c r="DQ141" s="1183"/>
    </row>
    <row r="142" spans="1:121" s="12" customFormat="1" ht="12" customHeight="1" x14ac:dyDescent="0.35">
      <c r="A142" s="1478"/>
      <c r="B142" s="1478"/>
      <c r="C142" s="1478"/>
      <c r="D142" s="1478"/>
      <c r="E142" s="1478"/>
      <c r="F142" s="1530"/>
      <c r="G142" s="1531"/>
      <c r="H142" s="1478"/>
      <c r="I142" s="1478"/>
      <c r="J142" s="1478"/>
      <c r="K142" s="1546">
        <f>Input!Q1357</f>
        <v>456</v>
      </c>
      <c r="L142" s="1540"/>
      <c r="M142" s="1540"/>
      <c r="N142" s="1540"/>
      <c r="O142" s="1540"/>
      <c r="P142" s="1540"/>
      <c r="Q142" s="1540"/>
      <c r="R142" s="1540"/>
      <c r="S142" s="1540"/>
      <c r="T142" s="1540"/>
      <c r="U142" s="1540"/>
      <c r="V142" s="1540"/>
      <c r="W142" s="1540"/>
      <c r="X142" s="1540"/>
      <c r="Y142" s="1540"/>
      <c r="Z142" s="1547">
        <f>Input!$W1357*$L$125/12</f>
        <v>0</v>
      </c>
      <c r="AA142" s="1547">
        <f>Input!$W1357*$M$125/12</f>
        <v>0</v>
      </c>
      <c r="AB142" s="1547">
        <f>Input!$W1357*$N$125/12</f>
        <v>0</v>
      </c>
      <c r="AC142" s="1547">
        <f>Input!$W1357*$O$125/12</f>
        <v>0</v>
      </c>
      <c r="AD142" s="1547">
        <f>Input!$W1357*$P$125/12</f>
        <v>0</v>
      </c>
      <c r="AE142" s="1547">
        <f>Input!$W1357*$Q$125/12</f>
        <v>0</v>
      </c>
      <c r="AF142" s="1548">
        <f>Input!$W1357*$R$125/12</f>
        <v>0</v>
      </c>
      <c r="AG142" s="1548">
        <f>Input!$W1357*$S$125/12</f>
        <v>0</v>
      </c>
      <c r="AH142" s="1548">
        <f>Input!$W1357*$T$125/12</f>
        <v>0</v>
      </c>
      <c r="AI142" s="1548">
        <f>Input!$W1357*$U$125/12</f>
        <v>0</v>
      </c>
      <c r="AJ142" s="1548">
        <f>Input!$W1357*$V$125/12</f>
        <v>0</v>
      </c>
      <c r="AK142" s="1544"/>
      <c r="AL142" s="1544"/>
      <c r="AM142" s="1544"/>
      <c r="AN142" s="1544"/>
      <c r="AO142" s="1544"/>
      <c r="AP142" s="1544"/>
      <c r="AQ142" s="1544"/>
      <c r="AR142" s="1544"/>
      <c r="AS142" s="1544"/>
      <c r="AT142" s="1544"/>
      <c r="AU142" s="1544"/>
      <c r="AV142" s="1544"/>
      <c r="AW142" s="1544"/>
      <c r="AX142" s="1544"/>
      <c r="AY142" s="1544"/>
      <c r="AZ142" s="1544"/>
      <c r="BA142" s="1544"/>
      <c r="BB142" s="1544"/>
      <c r="BC142" s="1544"/>
      <c r="BD142" s="1544"/>
      <c r="BE142" s="1544"/>
      <c r="BF142" s="1544"/>
      <c r="BG142" s="1544"/>
      <c r="BH142" s="1544"/>
      <c r="BI142" s="1544"/>
      <c r="BJ142" s="1544"/>
      <c r="BK142" s="1544"/>
      <c r="BL142" s="1544"/>
      <c r="BM142" s="1544"/>
      <c r="BN142" s="1544"/>
      <c r="BO142" s="1544"/>
      <c r="BP142" s="1544"/>
      <c r="BQ142" s="1442"/>
      <c r="BR142" s="1442"/>
      <c r="BS142" s="1442"/>
      <c r="BT142" s="43"/>
      <c r="BU142" s="43"/>
      <c r="BV142" s="43"/>
      <c r="BW142" s="43"/>
      <c r="BX142" s="43"/>
      <c r="BY142" s="43"/>
      <c r="BZ142" s="1183"/>
      <c r="CA142" s="1183"/>
      <c r="CB142" s="1183"/>
      <c r="CC142" s="1183"/>
      <c r="CD142" s="1183"/>
      <c r="CE142" s="1183"/>
      <c r="CF142" s="1183"/>
      <c r="CG142" s="1183"/>
      <c r="CH142" s="1183"/>
      <c r="CI142" s="1183"/>
      <c r="CJ142" s="1183"/>
      <c r="CK142" s="1183"/>
      <c r="CL142" s="1183"/>
      <c r="CM142" s="1183"/>
      <c r="CN142" s="1183"/>
      <c r="CO142" s="1183"/>
      <c r="CP142" s="1183"/>
      <c r="CQ142" s="1183"/>
      <c r="CR142" s="1183"/>
      <c r="CS142" s="1183"/>
      <c r="CT142" s="1183"/>
      <c r="CU142" s="1183"/>
      <c r="CV142" s="1183"/>
      <c r="CW142" s="1183"/>
      <c r="CX142" s="1183"/>
      <c r="CY142" s="1183"/>
      <c r="CZ142" s="1183"/>
      <c r="DA142" s="1183"/>
      <c r="DB142" s="1183"/>
      <c r="DC142" s="1183"/>
      <c r="DD142" s="1183"/>
      <c r="DE142" s="1183"/>
      <c r="DF142" s="1183"/>
      <c r="DG142" s="1183"/>
      <c r="DH142" s="1183"/>
      <c r="DI142" s="1183"/>
      <c r="DJ142" s="1183"/>
      <c r="DK142" s="1183"/>
      <c r="DL142" s="1183"/>
      <c r="DM142" s="1183"/>
      <c r="DN142" s="1183"/>
      <c r="DO142" s="1183"/>
      <c r="DP142" s="1183"/>
      <c r="DQ142" s="1183"/>
    </row>
    <row r="143" spans="1:121" s="12" customFormat="1" ht="12" customHeight="1" x14ac:dyDescent="0.35">
      <c r="A143" s="1478"/>
      <c r="B143" s="1478"/>
      <c r="C143" s="1478"/>
      <c r="D143" s="1478"/>
      <c r="E143" s="1478"/>
      <c r="F143" s="1530"/>
      <c r="G143" s="1531"/>
      <c r="H143" s="1478"/>
      <c r="I143" s="1478"/>
      <c r="J143" s="1478"/>
      <c r="K143" s="1546">
        <f>Input!Q1358</f>
        <v>486</v>
      </c>
      <c r="L143" s="1540"/>
      <c r="M143" s="1540"/>
      <c r="N143" s="1540"/>
      <c r="O143" s="1540"/>
      <c r="P143" s="1540"/>
      <c r="Q143" s="1540"/>
      <c r="R143" s="1540"/>
      <c r="S143" s="1540"/>
      <c r="T143" s="1540"/>
      <c r="U143" s="1540"/>
      <c r="V143" s="1540"/>
      <c r="W143" s="1540"/>
      <c r="X143" s="1540"/>
      <c r="Y143" s="1540"/>
      <c r="Z143" s="1540"/>
      <c r="AA143" s="1547">
        <f>Input!$W1358*$L$125/12</f>
        <v>0</v>
      </c>
      <c r="AB143" s="1547">
        <f>Input!$W1358*$M$125/12</f>
        <v>0</v>
      </c>
      <c r="AC143" s="1547">
        <f>Input!$W1358*$N$125/12</f>
        <v>0</v>
      </c>
      <c r="AD143" s="1547">
        <f>Input!$W1358*$O$125/12</f>
        <v>0</v>
      </c>
      <c r="AE143" s="1547">
        <f>Input!$W1358*$P$125/12</f>
        <v>0</v>
      </c>
      <c r="AF143" s="1548">
        <f>Input!$W1358*$Q$125/12</f>
        <v>0</v>
      </c>
      <c r="AG143" s="1548">
        <f>Input!$W1358*$R$125/12</f>
        <v>0</v>
      </c>
      <c r="AH143" s="1548">
        <f>Input!$W1358*$S$125/12</f>
        <v>0</v>
      </c>
      <c r="AI143" s="1548">
        <f>Input!$W1358*$T$125/12</f>
        <v>0</v>
      </c>
      <c r="AJ143" s="1548">
        <f>Input!$W1358*$U$125/12</f>
        <v>0</v>
      </c>
      <c r="AK143" s="1548">
        <f>Input!$W1358*$V$125/12</f>
        <v>0</v>
      </c>
      <c r="AL143" s="1544"/>
      <c r="AM143" s="1544"/>
      <c r="AN143" s="1544"/>
      <c r="AO143" s="1544"/>
      <c r="AP143" s="1544"/>
      <c r="AQ143" s="1544"/>
      <c r="AR143" s="1544"/>
      <c r="AS143" s="1544"/>
      <c r="AT143" s="1544"/>
      <c r="AU143" s="1544"/>
      <c r="AV143" s="1544"/>
      <c r="AW143" s="1544"/>
      <c r="AX143" s="1544"/>
      <c r="AY143" s="1544"/>
      <c r="AZ143" s="1544"/>
      <c r="BA143" s="1544"/>
      <c r="BB143" s="1544"/>
      <c r="BC143" s="1544"/>
      <c r="BD143" s="1544"/>
      <c r="BE143" s="1544"/>
      <c r="BF143" s="1544"/>
      <c r="BG143" s="1544"/>
      <c r="BH143" s="1544"/>
      <c r="BI143" s="1544"/>
      <c r="BJ143" s="1544"/>
      <c r="BK143" s="1544"/>
      <c r="BL143" s="1544"/>
      <c r="BM143" s="1544"/>
      <c r="BN143" s="1544"/>
      <c r="BO143" s="1544"/>
      <c r="BP143" s="1544"/>
      <c r="BQ143" s="1442"/>
      <c r="BR143" s="1442"/>
      <c r="BS143" s="1442"/>
      <c r="BT143" s="43"/>
      <c r="BU143" s="43"/>
      <c r="BV143" s="43"/>
      <c r="BW143" s="43"/>
      <c r="BX143" s="43"/>
      <c r="BY143" s="43"/>
      <c r="BZ143" s="1183"/>
      <c r="CA143" s="1183"/>
      <c r="CB143" s="1183"/>
      <c r="CC143" s="1183"/>
      <c r="CD143" s="1183"/>
      <c r="CE143" s="1183"/>
      <c r="CF143" s="1183"/>
      <c r="CG143" s="1183"/>
      <c r="CH143" s="1183"/>
      <c r="CI143" s="1183"/>
      <c r="CJ143" s="1183"/>
      <c r="CK143" s="1183"/>
      <c r="CL143" s="1183"/>
      <c r="CM143" s="1183"/>
      <c r="CN143" s="1183"/>
      <c r="CO143" s="1183"/>
      <c r="CP143" s="1183"/>
      <c r="CQ143" s="1183"/>
      <c r="CR143" s="1183"/>
      <c r="CS143" s="1183"/>
      <c r="CT143" s="1183"/>
      <c r="CU143" s="1183"/>
      <c r="CV143" s="1183"/>
      <c r="CW143" s="1183"/>
      <c r="CX143" s="1183"/>
      <c r="CY143" s="1183"/>
      <c r="CZ143" s="1183"/>
      <c r="DA143" s="1183"/>
      <c r="DB143" s="1183"/>
      <c r="DC143" s="1183"/>
      <c r="DD143" s="1183"/>
      <c r="DE143" s="1183"/>
      <c r="DF143" s="1183"/>
      <c r="DG143" s="1183"/>
      <c r="DH143" s="1183"/>
      <c r="DI143" s="1183"/>
      <c r="DJ143" s="1183"/>
      <c r="DK143" s="1183"/>
      <c r="DL143" s="1183"/>
      <c r="DM143" s="1183"/>
      <c r="DN143" s="1183"/>
      <c r="DO143" s="1183"/>
      <c r="DP143" s="1183"/>
      <c r="DQ143" s="1183"/>
    </row>
    <row r="144" spans="1:121" s="12" customFormat="1" ht="12" customHeight="1" x14ac:dyDescent="0.35">
      <c r="A144" s="1478"/>
      <c r="B144" s="1478"/>
      <c r="C144" s="1478"/>
      <c r="D144" s="1478"/>
      <c r="E144" s="1478"/>
      <c r="F144" s="1530"/>
      <c r="G144" s="1531"/>
      <c r="H144" s="1478"/>
      <c r="I144" s="1478"/>
      <c r="J144" s="1478"/>
      <c r="K144" s="1546">
        <f>Input!Q1359</f>
        <v>517</v>
      </c>
      <c r="L144" s="1540"/>
      <c r="M144" s="1540"/>
      <c r="N144" s="1540"/>
      <c r="O144" s="1540"/>
      <c r="P144" s="1540"/>
      <c r="Q144" s="1540"/>
      <c r="R144" s="1540"/>
      <c r="S144" s="1540"/>
      <c r="T144" s="1540"/>
      <c r="U144" s="1540"/>
      <c r="V144" s="1540"/>
      <c r="W144" s="1540"/>
      <c r="X144" s="1540"/>
      <c r="Y144" s="1540"/>
      <c r="Z144" s="1540"/>
      <c r="AA144" s="1540"/>
      <c r="AB144" s="1547">
        <f>Input!$W1359*$L$125/12</f>
        <v>0</v>
      </c>
      <c r="AC144" s="1547">
        <f>Input!$W1359*$M$125/12</f>
        <v>0</v>
      </c>
      <c r="AD144" s="1547">
        <f>Input!$W1359*$N$125/12</f>
        <v>0</v>
      </c>
      <c r="AE144" s="1547">
        <f>Input!$W1359*$O$125/12</f>
        <v>0</v>
      </c>
      <c r="AF144" s="1548">
        <f>Input!$W1359*$P$125/12</f>
        <v>0</v>
      </c>
      <c r="AG144" s="1548">
        <f>Input!$W1359*$Q$125/12</f>
        <v>0</v>
      </c>
      <c r="AH144" s="1548">
        <f>Input!$W1359*$R$125/12</f>
        <v>0</v>
      </c>
      <c r="AI144" s="1548">
        <f>Input!$W1359*$S$125/12</f>
        <v>0</v>
      </c>
      <c r="AJ144" s="1548">
        <f>Input!$W1359*$T$125/12</f>
        <v>0</v>
      </c>
      <c r="AK144" s="1548">
        <f>Input!$W1359*$U$125/12</f>
        <v>0</v>
      </c>
      <c r="AL144" s="1548">
        <f>Input!$W1359*$V$125/12</f>
        <v>0</v>
      </c>
      <c r="AM144" s="1544"/>
      <c r="AN144" s="1544"/>
      <c r="AO144" s="1544"/>
      <c r="AP144" s="1544"/>
      <c r="AQ144" s="1544"/>
      <c r="AR144" s="1544"/>
      <c r="AS144" s="1544"/>
      <c r="AT144" s="1544"/>
      <c r="AU144" s="1544"/>
      <c r="AV144" s="1544"/>
      <c r="AW144" s="1544"/>
      <c r="AX144" s="1544"/>
      <c r="AY144" s="1544"/>
      <c r="AZ144" s="1544"/>
      <c r="BA144" s="1544"/>
      <c r="BB144" s="1544"/>
      <c r="BC144" s="1544"/>
      <c r="BD144" s="1544"/>
      <c r="BE144" s="1544"/>
      <c r="BF144" s="1544"/>
      <c r="BG144" s="1544"/>
      <c r="BH144" s="1544"/>
      <c r="BI144" s="1544"/>
      <c r="BJ144" s="1544"/>
      <c r="BK144" s="1544"/>
      <c r="BL144" s="1544"/>
      <c r="BM144" s="1544"/>
      <c r="BN144" s="1544"/>
      <c r="BO144" s="1544"/>
      <c r="BP144" s="1544"/>
      <c r="BQ144" s="1442"/>
      <c r="BR144" s="1442"/>
      <c r="BS144" s="1442"/>
      <c r="BT144" s="43"/>
      <c r="BU144" s="43"/>
      <c r="BV144" s="43"/>
      <c r="BW144" s="43"/>
      <c r="BX144" s="43"/>
      <c r="BY144" s="43"/>
      <c r="BZ144" s="1183"/>
      <c r="CA144" s="1183"/>
      <c r="CB144" s="1183"/>
      <c r="CC144" s="1183"/>
      <c r="CD144" s="1183"/>
      <c r="CE144" s="1183"/>
      <c r="CF144" s="1183"/>
      <c r="CG144" s="1183"/>
      <c r="CH144" s="1183"/>
      <c r="CI144" s="1183"/>
      <c r="CJ144" s="1183"/>
      <c r="CK144" s="1183"/>
      <c r="CL144" s="1183"/>
      <c r="CM144" s="1183"/>
      <c r="CN144" s="1183"/>
      <c r="CO144" s="1183"/>
      <c r="CP144" s="1183"/>
      <c r="CQ144" s="1183"/>
      <c r="CR144" s="1183"/>
      <c r="CS144" s="1183"/>
      <c r="CT144" s="1183"/>
      <c r="CU144" s="1183"/>
      <c r="CV144" s="1183"/>
      <c r="CW144" s="1183"/>
      <c r="CX144" s="1183"/>
      <c r="CY144" s="1183"/>
      <c r="CZ144" s="1183"/>
      <c r="DA144" s="1183"/>
      <c r="DB144" s="1183"/>
      <c r="DC144" s="1183"/>
      <c r="DD144" s="1183"/>
      <c r="DE144" s="1183"/>
      <c r="DF144" s="1183"/>
      <c r="DG144" s="1183"/>
      <c r="DH144" s="1183"/>
      <c r="DI144" s="1183"/>
      <c r="DJ144" s="1183"/>
      <c r="DK144" s="1183"/>
      <c r="DL144" s="1183"/>
      <c r="DM144" s="1183"/>
      <c r="DN144" s="1183"/>
      <c r="DO144" s="1183"/>
      <c r="DP144" s="1183"/>
      <c r="DQ144" s="1183"/>
    </row>
    <row r="145" spans="1:121" s="12" customFormat="1" ht="12" customHeight="1" x14ac:dyDescent="0.35">
      <c r="A145" s="1478"/>
      <c r="B145" s="1478"/>
      <c r="C145" s="1478"/>
      <c r="D145" s="1478"/>
      <c r="E145" s="1478"/>
      <c r="F145" s="1530"/>
      <c r="G145" s="1531"/>
      <c r="H145" s="1478"/>
      <c r="I145" s="1478"/>
      <c r="J145" s="1478"/>
      <c r="K145" s="1546">
        <f>Input!Q1360</f>
        <v>547</v>
      </c>
      <c r="L145" s="1540"/>
      <c r="M145" s="1540"/>
      <c r="N145" s="1540"/>
      <c r="O145" s="1540"/>
      <c r="P145" s="1540"/>
      <c r="Q145" s="1540"/>
      <c r="R145" s="1540"/>
      <c r="S145" s="1540"/>
      <c r="T145" s="1540"/>
      <c r="U145" s="1540"/>
      <c r="V145" s="1540"/>
      <c r="W145" s="1540"/>
      <c r="X145" s="1540"/>
      <c r="Y145" s="1540"/>
      <c r="Z145" s="1540"/>
      <c r="AA145" s="1540"/>
      <c r="AB145" s="1540"/>
      <c r="AC145" s="1547">
        <f>Input!$W1360*$L$125/12</f>
        <v>0</v>
      </c>
      <c r="AD145" s="1547">
        <f>Input!$W1360*$M$125/12</f>
        <v>0</v>
      </c>
      <c r="AE145" s="1547">
        <f>Input!$W1360*$N$125/12</f>
        <v>0</v>
      </c>
      <c r="AF145" s="1548">
        <f>Input!$W1360*$O$125/12</f>
        <v>0</v>
      </c>
      <c r="AG145" s="1548">
        <f>Input!$W1360*$P$125/12</f>
        <v>0</v>
      </c>
      <c r="AH145" s="1548">
        <f>Input!$W1360*$Q$125/12</f>
        <v>0</v>
      </c>
      <c r="AI145" s="1548">
        <f>Input!$W1360*$R$125/12</f>
        <v>0</v>
      </c>
      <c r="AJ145" s="1548">
        <f>Input!$W1360*$S$125/12</f>
        <v>0</v>
      </c>
      <c r="AK145" s="1548">
        <f>Input!$W1360*$T$125/12</f>
        <v>0</v>
      </c>
      <c r="AL145" s="1548">
        <f>Input!$W1360*$U$125/12</f>
        <v>0</v>
      </c>
      <c r="AM145" s="1548">
        <f>Input!$W1360*$V$125/12</f>
        <v>0</v>
      </c>
      <c r="AN145" s="1544"/>
      <c r="AO145" s="1544"/>
      <c r="AP145" s="1544"/>
      <c r="AQ145" s="1544"/>
      <c r="AR145" s="1544"/>
      <c r="AS145" s="1544"/>
      <c r="AT145" s="1544"/>
      <c r="AU145" s="1544"/>
      <c r="AV145" s="1544"/>
      <c r="AW145" s="1544"/>
      <c r="AX145" s="1544"/>
      <c r="AY145" s="1544"/>
      <c r="AZ145" s="1544"/>
      <c r="BA145" s="1544"/>
      <c r="BB145" s="1544"/>
      <c r="BC145" s="1544"/>
      <c r="BD145" s="1544"/>
      <c r="BE145" s="1544"/>
      <c r="BF145" s="1544"/>
      <c r="BG145" s="1544"/>
      <c r="BH145" s="1544"/>
      <c r="BI145" s="1544"/>
      <c r="BJ145" s="1544"/>
      <c r="BK145" s="1544"/>
      <c r="BL145" s="1544"/>
      <c r="BM145" s="1544"/>
      <c r="BN145" s="1544"/>
      <c r="BO145" s="1544"/>
      <c r="BP145" s="1544"/>
      <c r="BQ145" s="1442"/>
      <c r="BR145" s="1442"/>
      <c r="BS145" s="1442"/>
      <c r="BT145" s="43"/>
      <c r="BU145" s="43"/>
      <c r="BV145" s="43"/>
      <c r="BW145" s="43"/>
      <c r="BX145" s="43"/>
      <c r="BY145" s="43"/>
      <c r="BZ145" s="1183"/>
      <c r="CA145" s="1183"/>
      <c r="CB145" s="1183"/>
      <c r="CC145" s="1183"/>
      <c r="CD145" s="1183"/>
      <c r="CE145" s="1183"/>
      <c r="CF145" s="1183"/>
      <c r="CG145" s="1183"/>
      <c r="CH145" s="1183"/>
      <c r="CI145" s="1183"/>
      <c r="CJ145" s="1183"/>
      <c r="CK145" s="1183"/>
      <c r="CL145" s="1183"/>
      <c r="CM145" s="1183"/>
      <c r="CN145" s="1183"/>
      <c r="CO145" s="1183"/>
      <c r="CP145" s="1183"/>
      <c r="CQ145" s="1183"/>
      <c r="CR145" s="1183"/>
      <c r="CS145" s="1183"/>
      <c r="CT145" s="1183"/>
      <c r="CU145" s="1183"/>
      <c r="CV145" s="1183"/>
      <c r="CW145" s="1183"/>
      <c r="CX145" s="1183"/>
      <c r="CY145" s="1183"/>
      <c r="CZ145" s="1183"/>
      <c r="DA145" s="1183"/>
      <c r="DB145" s="1183"/>
      <c r="DC145" s="1183"/>
      <c r="DD145" s="1183"/>
      <c r="DE145" s="1183"/>
      <c r="DF145" s="1183"/>
      <c r="DG145" s="1183"/>
      <c r="DH145" s="1183"/>
      <c r="DI145" s="1183"/>
      <c r="DJ145" s="1183"/>
      <c r="DK145" s="1183"/>
      <c r="DL145" s="1183"/>
      <c r="DM145" s="1183"/>
      <c r="DN145" s="1183"/>
      <c r="DO145" s="1183"/>
      <c r="DP145" s="1183"/>
      <c r="DQ145" s="1183"/>
    </row>
    <row r="146" spans="1:121" s="12" customFormat="1" ht="12" customHeight="1" x14ac:dyDescent="0.35">
      <c r="A146" s="1478"/>
      <c r="B146" s="1478"/>
      <c r="C146" s="1478"/>
      <c r="D146" s="1478"/>
      <c r="E146" s="1478"/>
      <c r="F146" s="1530"/>
      <c r="G146" s="1531"/>
      <c r="H146" s="1478"/>
      <c r="I146" s="1478"/>
      <c r="J146" s="1478"/>
      <c r="K146" s="1546">
        <f>Input!Q1361</f>
        <v>578</v>
      </c>
      <c r="L146" s="1540"/>
      <c r="M146" s="1540"/>
      <c r="N146" s="1540"/>
      <c r="O146" s="1540"/>
      <c r="P146" s="1540"/>
      <c r="Q146" s="1540"/>
      <c r="R146" s="1540"/>
      <c r="S146" s="1540"/>
      <c r="T146" s="1540"/>
      <c r="U146" s="1540"/>
      <c r="V146" s="1540"/>
      <c r="W146" s="1540"/>
      <c r="X146" s="1540"/>
      <c r="Y146" s="1540"/>
      <c r="Z146" s="1540"/>
      <c r="AA146" s="1540"/>
      <c r="AB146" s="1540"/>
      <c r="AC146" s="1540"/>
      <c r="AD146" s="1547">
        <f>Input!$W1361*$L$125/12</f>
        <v>0</v>
      </c>
      <c r="AE146" s="1547">
        <f>Input!$W1361*$M$125/12</f>
        <v>0</v>
      </c>
      <c r="AF146" s="1548">
        <f>Input!$W1361*$N$125/12</f>
        <v>0</v>
      </c>
      <c r="AG146" s="1548">
        <f>Input!$W1361*$O$125/12</f>
        <v>0</v>
      </c>
      <c r="AH146" s="1548">
        <f>Input!$W1361*$P$125/12</f>
        <v>0</v>
      </c>
      <c r="AI146" s="1548">
        <f>Input!$W1361*$Q$125/12</f>
        <v>0</v>
      </c>
      <c r="AJ146" s="1548">
        <f>Input!$W1361*$R$125/12</f>
        <v>0</v>
      </c>
      <c r="AK146" s="1548">
        <f>Input!$W1361*$S$125/12</f>
        <v>0</v>
      </c>
      <c r="AL146" s="1548">
        <f>Input!$W1361*$T$125/12</f>
        <v>0</v>
      </c>
      <c r="AM146" s="1548">
        <f>Input!$W1361*$U$125/12</f>
        <v>0</v>
      </c>
      <c r="AN146" s="1548">
        <f>Input!$W1361*$V$125/12</f>
        <v>0</v>
      </c>
      <c r="AO146" s="1544"/>
      <c r="AP146" s="1544"/>
      <c r="AQ146" s="1544"/>
      <c r="AR146" s="1544"/>
      <c r="AS146" s="1544"/>
      <c r="AT146" s="1544"/>
      <c r="AU146" s="1544"/>
      <c r="AV146" s="1544"/>
      <c r="AW146" s="1544"/>
      <c r="AX146" s="1544"/>
      <c r="AY146" s="1544"/>
      <c r="AZ146" s="1544"/>
      <c r="BA146" s="1544"/>
      <c r="BB146" s="1544"/>
      <c r="BC146" s="1544"/>
      <c r="BD146" s="1544"/>
      <c r="BE146" s="1544"/>
      <c r="BF146" s="1544"/>
      <c r="BG146" s="1548"/>
      <c r="BH146" s="1548"/>
      <c r="BI146" s="1548"/>
      <c r="BJ146" s="1548"/>
      <c r="BK146" s="1548"/>
      <c r="BL146" s="1548"/>
      <c r="BM146" s="1548"/>
      <c r="BN146" s="1548"/>
      <c r="BO146" s="1548"/>
      <c r="BP146" s="1548"/>
      <c r="BQ146" s="1442"/>
      <c r="BR146" s="1442"/>
      <c r="BS146" s="1442"/>
      <c r="BT146" s="43"/>
      <c r="BU146" s="43"/>
      <c r="BV146" s="43"/>
      <c r="BW146" s="43"/>
      <c r="BX146" s="43"/>
      <c r="BY146" s="43"/>
      <c r="BZ146" s="1183"/>
      <c r="CA146" s="1183"/>
      <c r="CB146" s="1183"/>
      <c r="CC146" s="1183"/>
      <c r="CD146" s="1183"/>
      <c r="CE146" s="1183"/>
      <c r="CF146" s="1183"/>
      <c r="CG146" s="1183"/>
      <c r="CH146" s="1183"/>
      <c r="CI146" s="1183"/>
      <c r="CJ146" s="1183"/>
      <c r="CK146" s="1183"/>
      <c r="CL146" s="1183"/>
      <c r="CM146" s="1183"/>
      <c r="CN146" s="1183"/>
      <c r="CO146" s="1183"/>
      <c r="CP146" s="1183"/>
      <c r="CQ146" s="1183"/>
      <c r="CR146" s="1183"/>
      <c r="CS146" s="1183"/>
      <c r="CT146" s="1183"/>
      <c r="CU146" s="1183"/>
      <c r="CV146" s="1183"/>
      <c r="CW146" s="1183"/>
      <c r="CX146" s="1183"/>
      <c r="CY146" s="1183"/>
      <c r="CZ146" s="1183"/>
      <c r="DA146" s="1183"/>
      <c r="DB146" s="1183"/>
      <c r="DC146" s="1183"/>
      <c r="DD146" s="1183"/>
      <c r="DE146" s="1183"/>
      <c r="DF146" s="1183"/>
      <c r="DG146" s="1183"/>
      <c r="DH146" s="1183"/>
      <c r="DI146" s="1183"/>
      <c r="DJ146" s="1183"/>
      <c r="DK146" s="1183"/>
      <c r="DL146" s="1183"/>
      <c r="DM146" s="1183"/>
      <c r="DN146" s="1183"/>
      <c r="DO146" s="1183"/>
      <c r="DP146" s="1183"/>
      <c r="DQ146" s="1183"/>
    </row>
    <row r="147" spans="1:121" s="12" customFormat="1" ht="12" customHeight="1" x14ac:dyDescent="0.35">
      <c r="A147" s="1478"/>
      <c r="B147" s="1478"/>
      <c r="C147" s="1478"/>
      <c r="D147" s="1478"/>
      <c r="E147" s="1478"/>
      <c r="F147" s="1530"/>
      <c r="G147" s="1531"/>
      <c r="H147" s="1478"/>
      <c r="I147" s="1478"/>
      <c r="J147" s="1478"/>
      <c r="K147" s="1546">
        <f>Input!Q1362</f>
        <v>609</v>
      </c>
      <c r="L147" s="1540"/>
      <c r="M147" s="1540"/>
      <c r="N147" s="1540"/>
      <c r="O147" s="1540"/>
      <c r="P147" s="1540"/>
      <c r="Q147" s="1540"/>
      <c r="R147" s="1540"/>
      <c r="S147" s="1540"/>
      <c r="T147" s="1540"/>
      <c r="U147" s="1540"/>
      <c r="V147" s="1540"/>
      <c r="W147" s="1540"/>
      <c r="X147" s="1540"/>
      <c r="Y147" s="1540"/>
      <c r="Z147" s="1540"/>
      <c r="AA147" s="1540"/>
      <c r="AB147" s="1540"/>
      <c r="AC147" s="1540"/>
      <c r="AD147" s="1540"/>
      <c r="AE147" s="1547">
        <f>Input!$W1362*$L$125/12</f>
        <v>0</v>
      </c>
      <c r="AF147" s="1548">
        <f>Input!$W1362*$M$125/12</f>
        <v>0</v>
      </c>
      <c r="AG147" s="1548">
        <f>Input!$W1362*$N$125/12</f>
        <v>0</v>
      </c>
      <c r="AH147" s="1548">
        <f>Input!$W1362*$O$125/12</f>
        <v>0</v>
      </c>
      <c r="AI147" s="1548">
        <f>Input!$W1362*$P$125/12</f>
        <v>0</v>
      </c>
      <c r="AJ147" s="1548">
        <f>Input!$W1362*$Q$125/12</f>
        <v>0</v>
      </c>
      <c r="AK147" s="1548">
        <f>Input!$W1362*$R$125/12</f>
        <v>0</v>
      </c>
      <c r="AL147" s="1548">
        <f>Input!$W1362*$S$125/12</f>
        <v>0</v>
      </c>
      <c r="AM147" s="1548">
        <f>Input!$W1362*$T$125/12</f>
        <v>0</v>
      </c>
      <c r="AN147" s="1548">
        <f>Input!$W1362*$U$125/12</f>
        <v>0</v>
      </c>
      <c r="AO147" s="1548">
        <f>Input!$W1362*$V$125/12</f>
        <v>0</v>
      </c>
      <c r="AP147" s="1544"/>
      <c r="AQ147" s="1544"/>
      <c r="AR147" s="1544"/>
      <c r="AS147" s="1544"/>
      <c r="AT147" s="1544"/>
      <c r="AU147" s="1544"/>
      <c r="AV147" s="1544"/>
      <c r="AW147" s="1544"/>
      <c r="AX147" s="1544"/>
      <c r="AY147" s="1544"/>
      <c r="AZ147" s="1544"/>
      <c r="BA147" s="1544"/>
      <c r="BB147" s="1544"/>
      <c r="BC147" s="1544"/>
      <c r="BD147" s="1544"/>
      <c r="BE147" s="1544"/>
      <c r="BF147" s="1544"/>
      <c r="BG147" s="1548"/>
      <c r="BH147" s="1548"/>
      <c r="BI147" s="1548"/>
      <c r="BJ147" s="1548"/>
      <c r="BK147" s="1548"/>
      <c r="BL147" s="1548"/>
      <c r="BM147" s="1548"/>
      <c r="BN147" s="1548"/>
      <c r="BO147" s="1548"/>
      <c r="BP147" s="1548"/>
      <c r="BQ147" s="1442"/>
      <c r="BR147" s="1442"/>
      <c r="BS147" s="1442"/>
      <c r="BT147" s="43"/>
      <c r="BU147" s="43"/>
      <c r="BV147" s="43"/>
      <c r="BW147" s="43"/>
      <c r="BX147" s="43"/>
      <c r="BY147" s="43"/>
      <c r="BZ147" s="1183"/>
      <c r="CA147" s="1183"/>
      <c r="CB147" s="1183"/>
      <c r="CC147" s="1183"/>
      <c r="CD147" s="1183"/>
      <c r="CE147" s="1183"/>
      <c r="CF147" s="1183"/>
      <c r="CG147" s="1183"/>
      <c r="CH147" s="1183"/>
      <c r="CI147" s="1183"/>
      <c r="CJ147" s="1183"/>
      <c r="CK147" s="1183"/>
      <c r="CL147" s="1183"/>
      <c r="CM147" s="1183"/>
      <c r="CN147" s="1183"/>
      <c r="CO147" s="1183"/>
      <c r="CP147" s="1183"/>
      <c r="CQ147" s="1183"/>
      <c r="CR147" s="1183"/>
      <c r="CS147" s="1183"/>
      <c r="CT147" s="1183"/>
      <c r="CU147" s="1183"/>
      <c r="CV147" s="1183"/>
      <c r="CW147" s="1183"/>
      <c r="CX147" s="1183"/>
      <c r="CY147" s="1183"/>
      <c r="CZ147" s="1183"/>
      <c r="DA147" s="1183"/>
      <c r="DB147" s="1183"/>
      <c r="DC147" s="1183"/>
      <c r="DD147" s="1183"/>
      <c r="DE147" s="1183"/>
      <c r="DF147" s="1183"/>
      <c r="DG147" s="1183"/>
      <c r="DH147" s="1183"/>
      <c r="DI147" s="1183"/>
      <c r="DJ147" s="1183"/>
      <c r="DK147" s="1183"/>
      <c r="DL147" s="1183"/>
      <c r="DM147" s="1183"/>
      <c r="DN147" s="1183"/>
      <c r="DO147" s="1183"/>
      <c r="DP147" s="1183"/>
      <c r="DQ147" s="1183"/>
    </row>
    <row r="148" spans="1:121" s="12" customFormat="1" ht="12" customHeight="1" x14ac:dyDescent="0.35">
      <c r="A148" s="1478"/>
      <c r="B148" s="1478"/>
      <c r="C148" s="1478"/>
      <c r="D148" s="1478"/>
      <c r="E148" s="1478"/>
      <c r="F148" s="1530"/>
      <c r="G148" s="1531"/>
      <c r="H148" s="1478"/>
      <c r="I148" s="1478"/>
      <c r="J148" s="1478"/>
      <c r="K148" s="1546">
        <f>Input!Q1363</f>
        <v>639</v>
      </c>
      <c r="L148" s="1540"/>
      <c r="M148" s="1540"/>
      <c r="N148" s="1540"/>
      <c r="O148" s="1540"/>
      <c r="P148" s="1540"/>
      <c r="Q148" s="1540"/>
      <c r="R148" s="1540"/>
      <c r="S148" s="1540"/>
      <c r="T148" s="1540"/>
      <c r="U148" s="1540"/>
      <c r="V148" s="1540"/>
      <c r="W148" s="1540"/>
      <c r="X148" s="1540"/>
      <c r="Y148" s="1540"/>
      <c r="Z148" s="1540"/>
      <c r="AA148" s="1540"/>
      <c r="AB148" s="1540"/>
      <c r="AC148" s="1540"/>
      <c r="AD148" s="1540"/>
      <c r="AE148" s="1540"/>
      <c r="AF148" s="1548">
        <f>Input!$W1363*$L$125/12</f>
        <v>0</v>
      </c>
      <c r="AG148" s="1548">
        <f>Input!$W1363*$M$125/12</f>
        <v>0</v>
      </c>
      <c r="AH148" s="1548">
        <f>Input!$W1363*$N$125/12</f>
        <v>0</v>
      </c>
      <c r="AI148" s="1548">
        <f>Input!$W1363*$O$125/12</f>
        <v>0</v>
      </c>
      <c r="AJ148" s="1548">
        <f>Input!$W1363*$P$125/12</f>
        <v>0</v>
      </c>
      <c r="AK148" s="1548">
        <f>Input!$W1363*$Q$125/12</f>
        <v>0</v>
      </c>
      <c r="AL148" s="1548">
        <f>Input!$W1363*$R$125/12</f>
        <v>0</v>
      </c>
      <c r="AM148" s="1548">
        <f>Input!$W1363*$S$125/12</f>
        <v>0</v>
      </c>
      <c r="AN148" s="1548">
        <f>Input!$W1363*$T$125/12</f>
        <v>0</v>
      </c>
      <c r="AO148" s="1548">
        <f>Input!$W1363*$U$125/12</f>
        <v>0</v>
      </c>
      <c r="AP148" s="1548">
        <f>Input!$W1363*$V$125/12</f>
        <v>0</v>
      </c>
      <c r="AQ148" s="1544"/>
      <c r="AR148" s="1544"/>
      <c r="AS148" s="1544"/>
      <c r="AT148" s="1544"/>
      <c r="AU148" s="1544"/>
      <c r="AV148" s="1544"/>
      <c r="AW148" s="1544"/>
      <c r="AX148" s="1544"/>
      <c r="AY148" s="1544"/>
      <c r="AZ148" s="1544"/>
      <c r="BA148" s="1544"/>
      <c r="BB148" s="1544"/>
      <c r="BC148" s="1544"/>
      <c r="BD148" s="1544"/>
      <c r="BE148" s="1544"/>
      <c r="BF148" s="1544"/>
      <c r="BG148" s="1493"/>
      <c r="BH148" s="1493"/>
      <c r="BI148" s="1493"/>
      <c r="BJ148" s="1493"/>
      <c r="BK148" s="1493"/>
      <c r="BL148" s="1493"/>
      <c r="BM148" s="1493"/>
      <c r="BN148" s="1493"/>
      <c r="BO148" s="1493"/>
      <c r="BP148" s="1493"/>
      <c r="BQ148" s="1442"/>
      <c r="BR148" s="1442"/>
      <c r="BS148" s="1442"/>
      <c r="BT148" s="43"/>
      <c r="BU148" s="43"/>
      <c r="BV148" s="43"/>
      <c r="BW148" s="43"/>
      <c r="BX148" s="43"/>
      <c r="BY148" s="43"/>
      <c r="BZ148" s="1183"/>
      <c r="CA148" s="1183"/>
      <c r="CB148" s="1183"/>
      <c r="CC148" s="1183"/>
      <c r="CD148" s="1183"/>
      <c r="CE148" s="1183"/>
      <c r="CF148" s="1183"/>
      <c r="CG148" s="1183"/>
      <c r="CH148" s="1183"/>
      <c r="CI148" s="1183"/>
      <c r="CJ148" s="1183"/>
      <c r="CK148" s="1183"/>
      <c r="CL148" s="1183"/>
      <c r="CM148" s="1183"/>
      <c r="CN148" s="1183"/>
      <c r="CO148" s="1183"/>
      <c r="CP148" s="1183"/>
      <c r="CQ148" s="1183"/>
      <c r="CR148" s="1183"/>
      <c r="CS148" s="1183"/>
      <c r="CT148" s="1183"/>
      <c r="CU148" s="1183"/>
      <c r="CV148" s="1183"/>
      <c r="CW148" s="1183"/>
      <c r="CX148" s="1183"/>
      <c r="CY148" s="1183"/>
      <c r="CZ148" s="1183"/>
      <c r="DA148" s="1183"/>
      <c r="DB148" s="1183"/>
      <c r="DC148" s="1183"/>
      <c r="DD148" s="1183"/>
      <c r="DE148" s="1183"/>
      <c r="DF148" s="1183"/>
      <c r="DG148" s="1183"/>
      <c r="DH148" s="1183"/>
      <c r="DI148" s="1183"/>
      <c r="DJ148" s="1183"/>
      <c r="DK148" s="1183"/>
      <c r="DL148" s="1183"/>
      <c r="DM148" s="1183"/>
      <c r="DN148" s="1183"/>
      <c r="DO148" s="1183"/>
      <c r="DP148" s="1183"/>
      <c r="DQ148" s="1183"/>
    </row>
    <row r="149" spans="1:121" s="12" customFormat="1" ht="12" customHeight="1" x14ac:dyDescent="0.35">
      <c r="A149" s="1478"/>
      <c r="B149" s="1478"/>
      <c r="C149" s="1478"/>
      <c r="D149" s="1478"/>
      <c r="E149" s="1478"/>
      <c r="F149" s="1530"/>
      <c r="G149" s="1531"/>
      <c r="H149" s="1478"/>
      <c r="I149" s="1478"/>
      <c r="J149" s="1478"/>
      <c r="K149" s="1546">
        <f>Input!Q1364</f>
        <v>670</v>
      </c>
      <c r="L149" s="1540"/>
      <c r="M149" s="1540"/>
      <c r="N149" s="1540"/>
      <c r="O149" s="1540"/>
      <c r="P149" s="1540"/>
      <c r="Q149" s="1540"/>
      <c r="R149" s="1540"/>
      <c r="S149" s="1540"/>
      <c r="T149" s="1540"/>
      <c r="U149" s="1540"/>
      <c r="V149" s="1540"/>
      <c r="W149" s="1540"/>
      <c r="X149" s="1540"/>
      <c r="Y149" s="1540"/>
      <c r="Z149" s="1540"/>
      <c r="AA149" s="1540"/>
      <c r="AB149" s="1540"/>
      <c r="AC149" s="1540"/>
      <c r="AD149" s="1540"/>
      <c r="AE149" s="1540"/>
      <c r="AF149" s="1544"/>
      <c r="AG149" s="1548">
        <f>Input!$W1364*$L$125/12</f>
        <v>0</v>
      </c>
      <c r="AH149" s="1548">
        <f>Input!$W1364*$M$125/12</f>
        <v>0</v>
      </c>
      <c r="AI149" s="1548">
        <f>Input!$W1364*$N$125/12</f>
        <v>0</v>
      </c>
      <c r="AJ149" s="1548">
        <f>Input!$W1364*$O$125/12</f>
        <v>0</v>
      </c>
      <c r="AK149" s="1548">
        <f>Input!$W1364*$P$125/12</f>
        <v>0</v>
      </c>
      <c r="AL149" s="1548">
        <f>Input!$W1364*$Q$125/12</f>
        <v>0</v>
      </c>
      <c r="AM149" s="1548">
        <f>Input!$W1364*$R$125/12</f>
        <v>0</v>
      </c>
      <c r="AN149" s="1548">
        <f>Input!$W1364*$S$125/12</f>
        <v>0</v>
      </c>
      <c r="AO149" s="1548">
        <f>Input!$W1364*$T$125/12</f>
        <v>0</v>
      </c>
      <c r="AP149" s="1548">
        <f>Input!$W1364*$U$125/12</f>
        <v>0</v>
      </c>
      <c r="AQ149" s="1548">
        <f>Input!$W1364*$V$125/12</f>
        <v>0</v>
      </c>
      <c r="AR149" s="1544"/>
      <c r="AS149" s="1544"/>
      <c r="AT149" s="1544"/>
      <c r="AU149" s="1544"/>
      <c r="AV149" s="1544"/>
      <c r="AW149" s="1544"/>
      <c r="AX149" s="1544"/>
      <c r="AY149" s="1544"/>
      <c r="AZ149" s="1544"/>
      <c r="BA149" s="1544"/>
      <c r="BB149" s="1544"/>
      <c r="BC149" s="1544"/>
      <c r="BD149" s="1544"/>
      <c r="BE149" s="1544"/>
      <c r="BF149" s="1544"/>
      <c r="BG149" s="1497"/>
      <c r="BH149" s="1497"/>
      <c r="BI149" s="1497"/>
      <c r="BJ149" s="1497"/>
      <c r="BK149" s="1497"/>
      <c r="BL149" s="1497"/>
      <c r="BM149" s="1497"/>
      <c r="BN149" s="1497"/>
      <c r="BO149" s="1497"/>
      <c r="BP149" s="1497"/>
      <c r="BQ149" s="1442"/>
      <c r="BR149" s="1442"/>
      <c r="BS149" s="1442"/>
      <c r="BT149" s="43"/>
      <c r="BU149" s="43"/>
      <c r="BV149" s="43"/>
      <c r="BW149" s="43"/>
      <c r="BX149" s="43"/>
      <c r="BY149" s="43"/>
      <c r="BZ149" s="1183"/>
      <c r="CA149" s="1183"/>
      <c r="CB149" s="1183"/>
      <c r="CC149" s="1183"/>
      <c r="CD149" s="1183"/>
      <c r="CE149" s="1183"/>
      <c r="CF149" s="1183"/>
      <c r="CG149" s="1183"/>
      <c r="CH149" s="1183"/>
      <c r="CI149" s="1183"/>
      <c r="CJ149" s="1183"/>
      <c r="CK149" s="1183"/>
      <c r="CL149" s="1183"/>
      <c r="CM149" s="1183"/>
      <c r="CN149" s="1183"/>
      <c r="CO149" s="1183"/>
      <c r="CP149" s="1183"/>
      <c r="CQ149" s="1183"/>
      <c r="CR149" s="1183"/>
      <c r="CS149" s="1183"/>
      <c r="CT149" s="1183"/>
      <c r="CU149" s="1183"/>
      <c r="CV149" s="1183"/>
      <c r="CW149" s="1183"/>
      <c r="CX149" s="1183"/>
      <c r="CY149" s="1183"/>
      <c r="CZ149" s="1183"/>
      <c r="DA149" s="1183"/>
      <c r="DB149" s="1183"/>
      <c r="DC149" s="1183"/>
      <c r="DD149" s="1183"/>
      <c r="DE149" s="1183"/>
      <c r="DF149" s="1183"/>
      <c r="DG149" s="1183"/>
      <c r="DH149" s="1183"/>
      <c r="DI149" s="1183"/>
      <c r="DJ149" s="1183"/>
      <c r="DK149" s="1183"/>
      <c r="DL149" s="1183"/>
      <c r="DM149" s="1183"/>
      <c r="DN149" s="1183"/>
      <c r="DO149" s="1183"/>
      <c r="DP149" s="1183"/>
      <c r="DQ149" s="1183"/>
    </row>
    <row r="150" spans="1:121" s="12" customFormat="1" ht="12" customHeight="1" x14ac:dyDescent="0.35">
      <c r="A150" s="1478"/>
      <c r="B150" s="1478"/>
      <c r="C150" s="1478"/>
      <c r="D150" s="1478"/>
      <c r="E150" s="1478"/>
      <c r="F150" s="1530"/>
      <c r="G150" s="1531"/>
      <c r="H150" s="1478"/>
      <c r="I150" s="1478"/>
      <c r="J150" s="1478"/>
      <c r="K150" s="1546">
        <f>Input!Q1365</f>
        <v>700</v>
      </c>
      <c r="L150" s="1540"/>
      <c r="M150" s="1540"/>
      <c r="N150" s="1540"/>
      <c r="O150" s="1540"/>
      <c r="P150" s="1540"/>
      <c r="Q150" s="1540"/>
      <c r="R150" s="1540"/>
      <c r="S150" s="1540"/>
      <c r="T150" s="1540"/>
      <c r="U150" s="1540"/>
      <c r="V150" s="1540"/>
      <c r="W150" s="1540"/>
      <c r="X150" s="1540"/>
      <c r="Y150" s="1540"/>
      <c r="Z150" s="1540"/>
      <c r="AA150" s="1540"/>
      <c r="AB150" s="1540"/>
      <c r="AC150" s="1540"/>
      <c r="AD150" s="1540"/>
      <c r="AE150" s="1540"/>
      <c r="AF150" s="1544"/>
      <c r="AG150" s="1544"/>
      <c r="AH150" s="1548">
        <f>Input!$W1365*$L$125/12</f>
        <v>0</v>
      </c>
      <c r="AI150" s="1548">
        <f>Input!$W1365*$M$125/12</f>
        <v>0</v>
      </c>
      <c r="AJ150" s="1548">
        <f>Input!$W1365*$N$125/12</f>
        <v>0</v>
      </c>
      <c r="AK150" s="1548">
        <f>Input!$W1365*$O$125/12</f>
        <v>0</v>
      </c>
      <c r="AL150" s="1548">
        <f>Input!$W1365*$P$125/12</f>
        <v>0</v>
      </c>
      <c r="AM150" s="1548">
        <f>Input!$W1365*$Q$125/12</f>
        <v>0</v>
      </c>
      <c r="AN150" s="1548">
        <f>Input!$W1365*$R$125/12</f>
        <v>0</v>
      </c>
      <c r="AO150" s="1548">
        <f>Input!$W1365*$S$125/12</f>
        <v>0</v>
      </c>
      <c r="AP150" s="1548">
        <f>Input!$W1365*$T$125/12</f>
        <v>0</v>
      </c>
      <c r="AQ150" s="1548">
        <f>Input!$W1365*$U$125/12</f>
        <v>0</v>
      </c>
      <c r="AR150" s="1548">
        <f>Input!$W1365*$V$125/12</f>
        <v>0</v>
      </c>
      <c r="AS150" s="1544"/>
      <c r="AT150" s="1544"/>
      <c r="AU150" s="1544"/>
      <c r="AV150" s="1544"/>
      <c r="AW150" s="1544"/>
      <c r="AX150" s="1544"/>
      <c r="AY150" s="1544"/>
      <c r="AZ150" s="1544"/>
      <c r="BA150" s="1544"/>
      <c r="BB150" s="1544"/>
      <c r="BC150" s="1544"/>
      <c r="BD150" s="1544"/>
      <c r="BE150" s="1544"/>
      <c r="BF150" s="1544"/>
      <c r="BG150" s="1497"/>
      <c r="BH150" s="1497"/>
      <c r="BI150" s="1497"/>
      <c r="BJ150" s="1497"/>
      <c r="BK150" s="1497"/>
      <c r="BL150" s="1497"/>
      <c r="BM150" s="1497"/>
      <c r="BN150" s="1497"/>
      <c r="BO150" s="1497"/>
      <c r="BP150" s="1497"/>
      <c r="BQ150" s="1442"/>
      <c r="BR150" s="1442"/>
      <c r="BS150" s="1442"/>
      <c r="BT150" s="43"/>
      <c r="BU150" s="43"/>
      <c r="BV150" s="43"/>
      <c r="BW150" s="43"/>
      <c r="BX150" s="43"/>
      <c r="BY150" s="43"/>
      <c r="BZ150" s="1183"/>
      <c r="CA150" s="1183"/>
      <c r="CB150" s="1183"/>
      <c r="CC150" s="1183"/>
      <c r="CD150" s="1183"/>
      <c r="CE150" s="1183"/>
      <c r="CF150" s="1183"/>
      <c r="CG150" s="1183"/>
      <c r="CH150" s="1183"/>
      <c r="CI150" s="1183"/>
      <c r="CJ150" s="1183"/>
      <c r="CK150" s="1183"/>
      <c r="CL150" s="1183"/>
      <c r="CM150" s="1183"/>
      <c r="CN150" s="1183"/>
      <c r="CO150" s="1183"/>
      <c r="CP150" s="1183"/>
      <c r="CQ150" s="1183"/>
      <c r="CR150" s="1183"/>
      <c r="CS150" s="1183"/>
      <c r="CT150" s="1183"/>
      <c r="CU150" s="1183"/>
      <c r="CV150" s="1183"/>
      <c r="CW150" s="1183"/>
      <c r="CX150" s="1183"/>
      <c r="CY150" s="1183"/>
      <c r="CZ150" s="1183"/>
      <c r="DA150" s="1183"/>
      <c r="DB150" s="1183"/>
      <c r="DC150" s="1183"/>
      <c r="DD150" s="1183"/>
      <c r="DE150" s="1183"/>
      <c r="DF150" s="1183"/>
      <c r="DG150" s="1183"/>
      <c r="DH150" s="1183"/>
      <c r="DI150" s="1183"/>
      <c r="DJ150" s="1183"/>
      <c r="DK150" s="1183"/>
      <c r="DL150" s="1183"/>
      <c r="DM150" s="1183"/>
      <c r="DN150" s="1183"/>
      <c r="DO150" s="1183"/>
      <c r="DP150" s="1183"/>
      <c r="DQ150" s="1183"/>
    </row>
    <row r="151" spans="1:121" s="12" customFormat="1" ht="12" customHeight="1" x14ac:dyDescent="0.35">
      <c r="A151" s="1478"/>
      <c r="B151" s="1478"/>
      <c r="C151" s="1478"/>
      <c r="D151" s="1478"/>
      <c r="E151" s="1478"/>
      <c r="F151" s="1530"/>
      <c r="G151" s="1531"/>
      <c r="H151" s="1478"/>
      <c r="I151" s="1478"/>
      <c r="J151" s="1478"/>
      <c r="K151" s="1546">
        <f>Input!Q1366</f>
        <v>731</v>
      </c>
      <c r="L151" s="1540"/>
      <c r="M151" s="1540"/>
      <c r="N151" s="1540"/>
      <c r="O151" s="1540"/>
      <c r="P151" s="1540"/>
      <c r="Q151" s="1540"/>
      <c r="R151" s="1540"/>
      <c r="S151" s="1540"/>
      <c r="T151" s="1540"/>
      <c r="U151" s="1540"/>
      <c r="V151" s="1540"/>
      <c r="W151" s="1540"/>
      <c r="X151" s="1540"/>
      <c r="Y151" s="1540"/>
      <c r="Z151" s="1540"/>
      <c r="AA151" s="1540"/>
      <c r="AB151" s="1540"/>
      <c r="AC151" s="1540"/>
      <c r="AD151" s="1540"/>
      <c r="AE151" s="1540"/>
      <c r="AF151" s="1544"/>
      <c r="AG151" s="1544"/>
      <c r="AH151" s="1544"/>
      <c r="AI151" s="1548">
        <f>Input!$W1366*$L$125/12</f>
        <v>0</v>
      </c>
      <c r="AJ151" s="1548">
        <f>Input!$W1366*$M$125/12</f>
        <v>0</v>
      </c>
      <c r="AK151" s="1548">
        <f>Input!$W1366*$N$125/12</f>
        <v>0</v>
      </c>
      <c r="AL151" s="1548">
        <f>Input!$W1366*$O$125/12</f>
        <v>0</v>
      </c>
      <c r="AM151" s="1548">
        <f>Input!$W1366*$P$125/12</f>
        <v>0</v>
      </c>
      <c r="AN151" s="1548">
        <f>Input!$W1366*$Q$125/12</f>
        <v>0</v>
      </c>
      <c r="AO151" s="1548">
        <f>Input!$W1366*$R$125/12</f>
        <v>0</v>
      </c>
      <c r="AP151" s="1548">
        <f>Input!$W1366*$S$125/12</f>
        <v>0</v>
      </c>
      <c r="AQ151" s="1548">
        <f>Input!$W1366*$T$125/12</f>
        <v>0</v>
      </c>
      <c r="AR151" s="1548">
        <f>Input!$W1366*$U$125/12</f>
        <v>0</v>
      </c>
      <c r="AS151" s="1548">
        <f>Input!$W1366*$V$125/12</f>
        <v>0</v>
      </c>
      <c r="AT151" s="1544"/>
      <c r="AU151" s="1544"/>
      <c r="AV151" s="1544"/>
      <c r="AW151" s="1544"/>
      <c r="AX151" s="1544"/>
      <c r="AY151" s="1544"/>
      <c r="AZ151" s="1544"/>
      <c r="BA151" s="1544"/>
      <c r="BB151" s="1544"/>
      <c r="BC151" s="1544"/>
      <c r="BD151" s="1544"/>
      <c r="BE151" s="1544"/>
      <c r="BF151" s="1544"/>
      <c r="BG151" s="1500"/>
      <c r="BH151" s="1500"/>
      <c r="BI151" s="1500"/>
      <c r="BJ151" s="1500"/>
      <c r="BK151" s="1500"/>
      <c r="BL151" s="1500"/>
      <c r="BM151" s="1500"/>
      <c r="BN151" s="1500"/>
      <c r="BO151" s="1500"/>
      <c r="BP151" s="1500"/>
      <c r="BQ151" s="1442"/>
      <c r="BR151" s="1442"/>
      <c r="BS151" s="1442"/>
      <c r="BT151" s="43"/>
      <c r="BU151" s="43"/>
      <c r="BV151" s="43"/>
      <c r="BW151" s="43"/>
      <c r="BX151" s="43"/>
      <c r="BY151" s="43"/>
      <c r="BZ151" s="1183"/>
      <c r="CA151" s="1183"/>
      <c r="CB151" s="1183"/>
      <c r="CC151" s="1183"/>
      <c r="CD151" s="1183"/>
      <c r="CE151" s="1183"/>
      <c r="CF151" s="1183"/>
      <c r="CG151" s="1183"/>
      <c r="CH151" s="1183"/>
      <c r="CI151" s="1183"/>
      <c r="CJ151" s="1183"/>
      <c r="CK151" s="1183"/>
      <c r="CL151" s="1183"/>
      <c r="CM151" s="1183"/>
      <c r="CN151" s="1183"/>
      <c r="CO151" s="1183"/>
      <c r="CP151" s="1183"/>
      <c r="CQ151" s="1183"/>
      <c r="CR151" s="1183"/>
      <c r="CS151" s="1183"/>
      <c r="CT151" s="1183"/>
      <c r="CU151" s="1183"/>
      <c r="CV151" s="1183"/>
      <c r="CW151" s="1183"/>
      <c r="CX151" s="1183"/>
      <c r="CY151" s="1183"/>
      <c r="CZ151" s="1183"/>
      <c r="DA151" s="1183"/>
      <c r="DB151" s="1183"/>
      <c r="DC151" s="1183"/>
      <c r="DD151" s="1183"/>
      <c r="DE151" s="1183"/>
      <c r="DF151" s="1183"/>
      <c r="DG151" s="1183"/>
      <c r="DH151" s="1183"/>
      <c r="DI151" s="1183"/>
      <c r="DJ151" s="1183"/>
      <c r="DK151" s="1183"/>
      <c r="DL151" s="1183"/>
      <c r="DM151" s="1183"/>
      <c r="DN151" s="1183"/>
      <c r="DO151" s="1183"/>
      <c r="DP151" s="1183"/>
      <c r="DQ151" s="1183"/>
    </row>
    <row r="152" spans="1:121" s="12" customFormat="1" ht="12" customHeight="1" x14ac:dyDescent="0.35">
      <c r="A152" s="1478"/>
      <c r="B152" s="1478"/>
      <c r="C152" s="1478"/>
      <c r="D152" s="1478"/>
      <c r="E152" s="1478"/>
      <c r="F152" s="1530"/>
      <c r="G152" s="1531"/>
      <c r="H152" s="1478"/>
      <c r="I152" s="1478"/>
      <c r="J152" s="1478"/>
      <c r="K152" s="1546">
        <f>Input!Q1367</f>
        <v>762</v>
      </c>
      <c r="L152" s="1540"/>
      <c r="M152" s="1540"/>
      <c r="N152" s="1540"/>
      <c r="O152" s="1540"/>
      <c r="P152" s="1540"/>
      <c r="Q152" s="1540"/>
      <c r="R152" s="1540"/>
      <c r="S152" s="1540"/>
      <c r="T152" s="1540"/>
      <c r="U152" s="1540"/>
      <c r="V152" s="1540"/>
      <c r="W152" s="1540"/>
      <c r="X152" s="1540"/>
      <c r="Y152" s="1540"/>
      <c r="Z152" s="1540"/>
      <c r="AA152" s="1540"/>
      <c r="AB152" s="1540"/>
      <c r="AC152" s="1540"/>
      <c r="AD152" s="1540"/>
      <c r="AE152" s="1540"/>
      <c r="AF152" s="1544"/>
      <c r="AG152" s="1544"/>
      <c r="AH152" s="1544"/>
      <c r="AI152" s="1544"/>
      <c r="AJ152" s="1548">
        <f>Input!$W1367*$L$125/12</f>
        <v>0</v>
      </c>
      <c r="AK152" s="1548">
        <f>Input!$W1367*$M$125/12</f>
        <v>0</v>
      </c>
      <c r="AL152" s="1548">
        <f>Input!$W1367*$N$125/12</f>
        <v>0</v>
      </c>
      <c r="AM152" s="1548">
        <f>Input!$W1367*$O$125/12</f>
        <v>0</v>
      </c>
      <c r="AN152" s="1548">
        <f>Input!$W1367*$P$125/12</f>
        <v>0</v>
      </c>
      <c r="AO152" s="1548">
        <f>Input!$W1367*$Q$125/12</f>
        <v>0</v>
      </c>
      <c r="AP152" s="1548">
        <f>Input!$W1367*$R$125/12</f>
        <v>0</v>
      </c>
      <c r="AQ152" s="1548">
        <f>Input!$W1367*$S$125/12</f>
        <v>0</v>
      </c>
      <c r="AR152" s="1548">
        <f>Input!$W1367*$T$125/12</f>
        <v>0</v>
      </c>
      <c r="AS152" s="1548">
        <f>Input!$W1367*$U$125/12</f>
        <v>0</v>
      </c>
      <c r="AT152" s="1548">
        <f>Input!$W1367*$V$125/12</f>
        <v>0</v>
      </c>
      <c r="AU152" s="1544"/>
      <c r="AV152" s="1544"/>
      <c r="AW152" s="1544"/>
      <c r="AX152" s="1544"/>
      <c r="AY152" s="1544"/>
      <c r="AZ152" s="1544"/>
      <c r="BA152" s="1544"/>
      <c r="BB152" s="1544"/>
      <c r="BC152" s="1544"/>
      <c r="BD152" s="1544"/>
      <c r="BE152" s="1544"/>
      <c r="BF152" s="1544"/>
      <c r="BG152" s="1505"/>
      <c r="BH152" s="1505"/>
      <c r="BI152" s="1505"/>
      <c r="BJ152" s="1505"/>
      <c r="BK152" s="1505"/>
      <c r="BL152" s="1505"/>
      <c r="BM152" s="1505"/>
      <c r="BN152" s="1505"/>
      <c r="BO152" s="1505"/>
      <c r="BP152" s="1505"/>
      <c r="BQ152" s="1442"/>
      <c r="BR152" s="1442"/>
      <c r="BS152" s="1442"/>
      <c r="BT152" s="43"/>
      <c r="BU152" s="43"/>
      <c r="BV152" s="43"/>
      <c r="BW152" s="43"/>
      <c r="BX152" s="43"/>
      <c r="BY152" s="43"/>
      <c r="BZ152" s="1183"/>
      <c r="CA152" s="1183"/>
      <c r="CB152" s="1183"/>
      <c r="CC152" s="1183"/>
      <c r="CD152" s="1183"/>
      <c r="CE152" s="1183"/>
      <c r="CF152" s="1183"/>
      <c r="CG152" s="1183"/>
      <c r="CH152" s="1183"/>
      <c r="CI152" s="1183"/>
      <c r="CJ152" s="1183"/>
      <c r="CK152" s="1183"/>
      <c r="CL152" s="1183"/>
      <c r="CM152" s="1183"/>
      <c r="CN152" s="1183"/>
      <c r="CO152" s="1183"/>
      <c r="CP152" s="1183"/>
      <c r="CQ152" s="1183"/>
      <c r="CR152" s="1183"/>
      <c r="CS152" s="1183"/>
      <c r="CT152" s="1183"/>
      <c r="CU152" s="1183"/>
      <c r="CV152" s="1183"/>
      <c r="CW152" s="1183"/>
      <c r="CX152" s="1183"/>
      <c r="CY152" s="1183"/>
      <c r="CZ152" s="1183"/>
      <c r="DA152" s="1183"/>
      <c r="DB152" s="1183"/>
      <c r="DC152" s="1183"/>
      <c r="DD152" s="1183"/>
      <c r="DE152" s="1183"/>
      <c r="DF152" s="1183"/>
      <c r="DG152" s="1183"/>
      <c r="DH152" s="1183"/>
      <c r="DI152" s="1183"/>
      <c r="DJ152" s="1183"/>
      <c r="DK152" s="1183"/>
      <c r="DL152" s="1183"/>
      <c r="DM152" s="1183"/>
      <c r="DN152" s="1183"/>
      <c r="DO152" s="1183"/>
      <c r="DP152" s="1183"/>
      <c r="DQ152" s="1183"/>
    </row>
    <row r="153" spans="1:121" s="12" customFormat="1" ht="12" customHeight="1" x14ac:dyDescent="0.3">
      <c r="A153" s="1478"/>
      <c r="B153" s="1478"/>
      <c r="C153" s="1478"/>
      <c r="D153" s="1478"/>
      <c r="E153" s="1478"/>
      <c r="F153" s="1530"/>
      <c r="G153" s="1531"/>
      <c r="H153" s="1478"/>
      <c r="I153" s="1478"/>
      <c r="J153" s="1478"/>
      <c r="K153" s="1546">
        <f>Input!Q1368</f>
        <v>790</v>
      </c>
      <c r="L153" s="1540"/>
      <c r="M153" s="1540"/>
      <c r="N153" s="1540"/>
      <c r="O153" s="1540"/>
      <c r="P153" s="1540"/>
      <c r="Q153" s="1540"/>
      <c r="R153" s="1540"/>
      <c r="S153" s="1540"/>
      <c r="T153" s="1540"/>
      <c r="U153" s="1540"/>
      <c r="V153" s="1540"/>
      <c r="W153" s="1540"/>
      <c r="X153" s="1540"/>
      <c r="Y153" s="1540"/>
      <c r="Z153" s="1540"/>
      <c r="AA153" s="1540"/>
      <c r="AB153" s="1540"/>
      <c r="AC153" s="1540"/>
      <c r="AD153" s="1540"/>
      <c r="AE153" s="1540"/>
      <c r="AF153" s="1544"/>
      <c r="AG153" s="1544"/>
      <c r="AH153" s="1544"/>
      <c r="AI153" s="1544"/>
      <c r="AJ153" s="1544"/>
      <c r="AK153" s="1548">
        <f>Input!$W1368*$L$125/12</f>
        <v>0</v>
      </c>
      <c r="AL153" s="1548">
        <f>Input!$W1368*$M$125/12</f>
        <v>0</v>
      </c>
      <c r="AM153" s="1548">
        <f>Input!$W1368*$N$125/12</f>
        <v>0</v>
      </c>
      <c r="AN153" s="1548">
        <f>Input!$W1368*$O$125/12</f>
        <v>0</v>
      </c>
      <c r="AO153" s="1548">
        <f>Input!$W1368*$P$125/12</f>
        <v>0</v>
      </c>
      <c r="AP153" s="1548">
        <f>Input!$W1368*$Q$125/12</f>
        <v>0</v>
      </c>
      <c r="AQ153" s="1548">
        <f>Input!$W1368*$R$125/12</f>
        <v>0</v>
      </c>
      <c r="AR153" s="1548">
        <f>Input!$W1368*$S$125/12</f>
        <v>0</v>
      </c>
      <c r="AS153" s="1548">
        <f>Input!$W1368*$T$125/12</f>
        <v>0</v>
      </c>
      <c r="AT153" s="1548">
        <f>Input!$W1368*$U$125/12</f>
        <v>0</v>
      </c>
      <c r="AU153" s="1548">
        <f>Input!$W1368*$V$125/12</f>
        <v>0</v>
      </c>
      <c r="AV153" s="1544"/>
      <c r="AW153" s="1544"/>
      <c r="AX153" s="1544"/>
      <c r="AY153" s="1544"/>
      <c r="AZ153" s="1544"/>
      <c r="BA153" s="1544"/>
      <c r="BB153" s="1544"/>
      <c r="BC153" s="1544"/>
      <c r="BD153" s="1544"/>
      <c r="BE153" s="1544"/>
      <c r="BF153" s="1544"/>
      <c r="BG153" s="1502"/>
      <c r="BH153" s="1502"/>
      <c r="BI153" s="1502"/>
      <c r="BJ153" s="1502"/>
      <c r="BK153" s="1502"/>
      <c r="BL153" s="1502"/>
      <c r="BM153" s="1502"/>
      <c r="BN153" s="1502"/>
      <c r="BO153" s="1502"/>
      <c r="BP153" s="1502"/>
      <c r="BQ153" s="1442"/>
      <c r="BR153" s="1442"/>
      <c r="BS153" s="1442"/>
      <c r="BT153" s="43"/>
      <c r="BU153" s="43"/>
      <c r="BV153" s="43"/>
      <c r="BW153" s="43"/>
      <c r="BX153" s="43"/>
      <c r="BY153" s="43"/>
      <c r="BZ153" s="1183"/>
      <c r="CA153" s="1183"/>
      <c r="CB153" s="1183"/>
      <c r="CC153" s="1183"/>
      <c r="CD153" s="1183"/>
      <c r="CE153" s="1183"/>
      <c r="CF153" s="1183"/>
      <c r="CG153" s="1183"/>
      <c r="CH153" s="1183"/>
      <c r="CI153" s="1183"/>
      <c r="CJ153" s="1183"/>
      <c r="CK153" s="1183"/>
      <c r="CL153" s="1183"/>
      <c r="CM153" s="1183"/>
      <c r="CN153" s="1183"/>
      <c r="CO153" s="1183"/>
      <c r="CP153" s="1183"/>
      <c r="CQ153" s="1183"/>
      <c r="CR153" s="1183"/>
      <c r="CS153" s="1183"/>
      <c r="CT153" s="1183"/>
      <c r="CU153" s="1183"/>
      <c r="CV153" s="1183"/>
      <c r="CW153" s="1183"/>
      <c r="CX153" s="1183"/>
      <c r="CY153" s="1183"/>
      <c r="CZ153" s="1183"/>
      <c r="DA153" s="1183"/>
      <c r="DB153" s="1183"/>
      <c r="DC153" s="1183"/>
      <c r="DD153" s="1183"/>
      <c r="DE153" s="1183"/>
      <c r="DF153" s="1183"/>
      <c r="DG153" s="1183"/>
      <c r="DH153" s="1183"/>
      <c r="DI153" s="1183"/>
      <c r="DJ153" s="1183"/>
      <c r="DK153" s="1183"/>
      <c r="DL153" s="1183"/>
      <c r="DM153" s="1183"/>
      <c r="DN153" s="1183"/>
      <c r="DO153" s="1183"/>
      <c r="DP153" s="1183"/>
      <c r="DQ153" s="1183"/>
    </row>
    <row r="154" spans="1:121" s="12" customFormat="1" ht="12" customHeight="1" x14ac:dyDescent="0.35">
      <c r="A154" s="1478"/>
      <c r="B154" s="1478"/>
      <c r="C154" s="1478"/>
      <c r="D154" s="1478"/>
      <c r="E154" s="1478"/>
      <c r="F154" s="1530"/>
      <c r="G154" s="1531"/>
      <c r="H154" s="1478"/>
      <c r="I154" s="1478"/>
      <c r="J154" s="1478"/>
      <c r="K154" s="1546">
        <f>Input!Q1369</f>
        <v>821</v>
      </c>
      <c r="L154" s="1540"/>
      <c r="M154" s="1540"/>
      <c r="N154" s="1540"/>
      <c r="O154" s="1540"/>
      <c r="P154" s="1540"/>
      <c r="Q154" s="1540"/>
      <c r="R154" s="1540"/>
      <c r="S154" s="1540"/>
      <c r="T154" s="1540"/>
      <c r="U154" s="1540"/>
      <c r="V154" s="1540"/>
      <c r="W154" s="1540"/>
      <c r="X154" s="1540"/>
      <c r="Y154" s="1540"/>
      <c r="Z154" s="1540"/>
      <c r="AA154" s="1540"/>
      <c r="AB154" s="1540"/>
      <c r="AC154" s="1540"/>
      <c r="AD154" s="1540"/>
      <c r="AE154" s="1540"/>
      <c r="AF154" s="1544"/>
      <c r="AG154" s="1544"/>
      <c r="AH154" s="1544"/>
      <c r="AI154" s="1544"/>
      <c r="AJ154" s="1544"/>
      <c r="AK154" s="1544"/>
      <c r="AL154" s="1548">
        <f>Input!$W1369*$L$125/12</f>
        <v>0</v>
      </c>
      <c r="AM154" s="1548">
        <f>Input!$W1369*$M$125/12</f>
        <v>0</v>
      </c>
      <c r="AN154" s="1548">
        <f>Input!$W1369*$N$125/12</f>
        <v>0</v>
      </c>
      <c r="AO154" s="1548">
        <f>Input!$W1369*$O$125/12</f>
        <v>0</v>
      </c>
      <c r="AP154" s="1548">
        <f>Input!$W1369*$P$125/12</f>
        <v>0</v>
      </c>
      <c r="AQ154" s="1548">
        <f>Input!$W1369*$Q$125/12</f>
        <v>0</v>
      </c>
      <c r="AR154" s="1548">
        <f>Input!$W1369*$R$125/12</f>
        <v>0</v>
      </c>
      <c r="AS154" s="1548">
        <f>Input!$W1369*$S$125/12</f>
        <v>0</v>
      </c>
      <c r="AT154" s="1548">
        <f>Input!$W1369*$T$125/12</f>
        <v>0</v>
      </c>
      <c r="AU154" s="1548">
        <f>Input!$W1369*$U$125/12</f>
        <v>0</v>
      </c>
      <c r="AV154" s="1548">
        <f>Input!$W1369*$V$125/12</f>
        <v>0</v>
      </c>
      <c r="AW154" s="1544"/>
      <c r="AX154" s="1544"/>
      <c r="AY154" s="1544"/>
      <c r="AZ154" s="1544"/>
      <c r="BA154" s="1544"/>
      <c r="BB154" s="1544"/>
      <c r="BC154" s="1544"/>
      <c r="BD154" s="1544"/>
      <c r="BE154" s="1544"/>
      <c r="BF154" s="1544"/>
      <c r="BG154" s="1507"/>
      <c r="BH154" s="1507"/>
      <c r="BI154" s="1507"/>
      <c r="BJ154" s="1507"/>
      <c r="BK154" s="1507"/>
      <c r="BL154" s="1507"/>
      <c r="BM154" s="1507"/>
      <c r="BN154" s="1507"/>
      <c r="BO154" s="1507"/>
      <c r="BP154" s="1507"/>
      <c r="BQ154" s="1442"/>
      <c r="BR154" s="1442"/>
      <c r="BS154" s="1442"/>
      <c r="BT154" s="43"/>
      <c r="BU154" s="43"/>
      <c r="BV154" s="43"/>
      <c r="BW154" s="43"/>
      <c r="BX154" s="43"/>
      <c r="BY154" s="43"/>
      <c r="BZ154" s="1183"/>
      <c r="CA154" s="1183"/>
      <c r="CB154" s="1183"/>
      <c r="CC154" s="1183"/>
      <c r="CD154" s="1183"/>
      <c r="CE154" s="1183"/>
      <c r="CF154" s="1183"/>
      <c r="CG154" s="1183"/>
      <c r="CH154" s="1183"/>
      <c r="CI154" s="1183"/>
      <c r="CJ154" s="1183"/>
      <c r="CK154" s="1183"/>
      <c r="CL154" s="1183"/>
      <c r="CM154" s="1183"/>
      <c r="CN154" s="1183"/>
      <c r="CO154" s="1183"/>
      <c r="CP154" s="1183"/>
      <c r="CQ154" s="1183"/>
      <c r="CR154" s="1183"/>
      <c r="CS154" s="1183"/>
      <c r="CT154" s="1183"/>
      <c r="CU154" s="1183"/>
      <c r="CV154" s="1183"/>
      <c r="CW154" s="1183"/>
      <c r="CX154" s="1183"/>
      <c r="CY154" s="1183"/>
      <c r="CZ154" s="1183"/>
      <c r="DA154" s="1183"/>
      <c r="DB154" s="1183"/>
      <c r="DC154" s="1183"/>
      <c r="DD154" s="1183"/>
      <c r="DE154" s="1183"/>
      <c r="DF154" s="1183"/>
      <c r="DG154" s="1183"/>
      <c r="DH154" s="1183"/>
      <c r="DI154" s="1183"/>
      <c r="DJ154" s="1183"/>
      <c r="DK154" s="1183"/>
      <c r="DL154" s="1183"/>
      <c r="DM154" s="1183"/>
      <c r="DN154" s="1183"/>
      <c r="DO154" s="1183"/>
      <c r="DP154" s="1183"/>
      <c r="DQ154" s="1183"/>
    </row>
    <row r="155" spans="1:121" s="12" customFormat="1" ht="12" customHeight="1" x14ac:dyDescent="0.3">
      <c r="A155" s="1510">
        <v>44227</v>
      </c>
      <c r="B155" s="1484">
        <v>1</v>
      </c>
      <c r="C155" s="1478"/>
      <c r="D155" s="1478"/>
      <c r="E155" s="1478"/>
      <c r="F155" s="1530"/>
      <c r="G155" s="1531"/>
      <c r="H155" s="1478"/>
      <c r="I155" s="1478"/>
      <c r="J155" s="1478"/>
      <c r="K155" s="1546">
        <f>Input!Q1370</f>
        <v>851</v>
      </c>
      <c r="L155" s="1540"/>
      <c r="M155" s="1540"/>
      <c r="N155" s="1540"/>
      <c r="O155" s="1540"/>
      <c r="P155" s="1540"/>
      <c r="Q155" s="1540"/>
      <c r="R155" s="1540"/>
      <c r="S155" s="1540"/>
      <c r="T155" s="1540"/>
      <c r="U155" s="1540"/>
      <c r="V155" s="1540"/>
      <c r="W155" s="1540"/>
      <c r="X155" s="1540"/>
      <c r="Y155" s="1540"/>
      <c r="Z155" s="1540"/>
      <c r="AA155" s="1540"/>
      <c r="AB155" s="1540"/>
      <c r="AC155" s="1540"/>
      <c r="AD155" s="1540"/>
      <c r="AE155" s="1540"/>
      <c r="AF155" s="1544"/>
      <c r="AG155" s="1544"/>
      <c r="AH155" s="1544"/>
      <c r="AI155" s="1544"/>
      <c r="AJ155" s="1544"/>
      <c r="AK155" s="1544"/>
      <c r="AL155" s="1544"/>
      <c r="AM155" s="1548">
        <f>Input!$W1370*$L$125/12</f>
        <v>0</v>
      </c>
      <c r="AN155" s="1548">
        <f>Input!$W1370*$M$125/12</f>
        <v>0</v>
      </c>
      <c r="AO155" s="1548">
        <f>Input!$W1370*$N$125/12</f>
        <v>0</v>
      </c>
      <c r="AP155" s="1548">
        <f>Input!$W1370*$O$125/12</f>
        <v>0</v>
      </c>
      <c r="AQ155" s="1548">
        <f>Input!$W1370*$P$125/12</f>
        <v>0</v>
      </c>
      <c r="AR155" s="1548">
        <f>Input!$W1370*$Q$125/12</f>
        <v>0</v>
      </c>
      <c r="AS155" s="1548">
        <f>Input!$W1370*$R$125/12</f>
        <v>0</v>
      </c>
      <c r="AT155" s="1548">
        <f>Input!$W1370*$S$125/12</f>
        <v>0</v>
      </c>
      <c r="AU155" s="1548">
        <f>Input!$W1370*$T$125/12</f>
        <v>0</v>
      </c>
      <c r="AV155" s="1548">
        <f>Input!$W1370*$U$125/12</f>
        <v>0</v>
      </c>
      <c r="AW155" s="1548">
        <f>Input!$W1370*$V$125/12</f>
        <v>0</v>
      </c>
      <c r="AX155" s="1544"/>
      <c r="AY155" s="1544"/>
      <c r="AZ155" s="1544"/>
      <c r="BA155" s="1544"/>
      <c r="BB155" s="1544"/>
      <c r="BC155" s="1544"/>
      <c r="BD155" s="1544"/>
      <c r="BE155" s="1544"/>
      <c r="BF155" s="1544"/>
      <c r="BG155" s="1476"/>
      <c r="BH155" s="1476"/>
      <c r="BI155" s="1476"/>
      <c r="BJ155" s="1476"/>
      <c r="BK155" s="1476"/>
      <c r="BL155" s="1476"/>
      <c r="BM155" s="1476"/>
      <c r="BN155" s="1476"/>
      <c r="BO155" s="1476"/>
      <c r="BP155" s="1476"/>
      <c r="BQ155" s="1442"/>
      <c r="BR155" s="1442"/>
      <c r="BS155" s="1442"/>
      <c r="BT155" s="43"/>
      <c r="BU155" s="43"/>
      <c r="BV155" s="43"/>
      <c r="BW155" s="43"/>
      <c r="BX155" s="43"/>
      <c r="BY155" s="43"/>
      <c r="BZ155" s="1183"/>
      <c r="CA155" s="1183"/>
      <c r="CB155" s="1183"/>
      <c r="CC155" s="1183"/>
      <c r="CD155" s="1183"/>
      <c r="CE155" s="1183"/>
      <c r="CF155" s="1183"/>
      <c r="CG155" s="1183"/>
      <c r="CH155" s="1183"/>
      <c r="CI155" s="1183"/>
      <c r="CJ155" s="1183"/>
      <c r="CK155" s="1183"/>
      <c r="CL155" s="1183"/>
      <c r="CM155" s="1183"/>
      <c r="CN155" s="1183"/>
      <c r="CO155" s="1183"/>
      <c r="CP155" s="1183"/>
      <c r="CQ155" s="1183"/>
      <c r="CR155" s="1183"/>
      <c r="CS155" s="1183"/>
      <c r="CT155" s="1183"/>
      <c r="CU155" s="1183"/>
      <c r="CV155" s="1183"/>
      <c r="CW155" s="1183"/>
      <c r="CX155" s="1183"/>
      <c r="CY155" s="1183"/>
      <c r="CZ155" s="1183"/>
      <c r="DA155" s="1183"/>
      <c r="DB155" s="1183"/>
      <c r="DC155" s="1183"/>
      <c r="DD155" s="1183"/>
      <c r="DE155" s="1183"/>
      <c r="DF155" s="1183"/>
      <c r="DG155" s="1183"/>
      <c r="DH155" s="1183"/>
      <c r="DI155" s="1183"/>
      <c r="DJ155" s="1183"/>
      <c r="DK155" s="1183"/>
      <c r="DL155" s="1183"/>
      <c r="DM155" s="1183"/>
      <c r="DN155" s="1183"/>
      <c r="DO155" s="1183"/>
      <c r="DP155" s="1183"/>
      <c r="DQ155" s="1183"/>
    </row>
    <row r="156" spans="1:121" s="12" customFormat="1" ht="12" customHeight="1" x14ac:dyDescent="0.3">
      <c r="A156" s="1510">
        <f>EOMONTH(A155,1)</f>
        <v>44255</v>
      </c>
      <c r="B156" s="1484">
        <v>2</v>
      </c>
      <c r="C156" s="1478"/>
      <c r="D156" s="1478"/>
      <c r="E156" s="1478"/>
      <c r="F156" s="1530"/>
      <c r="G156" s="1531"/>
      <c r="H156" s="1478"/>
      <c r="I156" s="1478"/>
      <c r="J156" s="1478"/>
      <c r="K156" s="1546">
        <f>Input!Q1371</f>
        <v>882</v>
      </c>
      <c r="L156" s="1540"/>
      <c r="M156" s="1540"/>
      <c r="N156" s="1540"/>
      <c r="O156" s="1540"/>
      <c r="P156" s="1540"/>
      <c r="Q156" s="1540"/>
      <c r="R156" s="1540"/>
      <c r="S156" s="1540"/>
      <c r="T156" s="1540"/>
      <c r="U156" s="1540"/>
      <c r="V156" s="1540"/>
      <c r="W156" s="1540"/>
      <c r="X156" s="1540"/>
      <c r="Y156" s="1540"/>
      <c r="Z156" s="1540"/>
      <c r="AA156" s="1540"/>
      <c r="AB156" s="1540"/>
      <c r="AC156" s="1540"/>
      <c r="AD156" s="1540"/>
      <c r="AE156" s="1540"/>
      <c r="AF156" s="1544"/>
      <c r="AG156" s="1544"/>
      <c r="AH156" s="1544"/>
      <c r="AI156" s="1544"/>
      <c r="AJ156" s="1544"/>
      <c r="AK156" s="1544"/>
      <c r="AL156" s="1544"/>
      <c r="AM156" s="1544"/>
      <c r="AN156" s="1548">
        <f>Input!$W1371*$L$125/12</f>
        <v>0</v>
      </c>
      <c r="AO156" s="1548">
        <f>Input!$W1371*$M$125/12</f>
        <v>0</v>
      </c>
      <c r="AP156" s="1548">
        <f>Input!$W1371*$N$125/12</f>
        <v>0</v>
      </c>
      <c r="AQ156" s="1548">
        <f>Input!$W1371*$O$125/12</f>
        <v>0</v>
      </c>
      <c r="AR156" s="1548">
        <f>Input!$W1371*$P$125/12</f>
        <v>0</v>
      </c>
      <c r="AS156" s="1548">
        <f>Input!$W1371*$Q$125/12</f>
        <v>0</v>
      </c>
      <c r="AT156" s="1548">
        <f>Input!$W1371*$R$125/12</f>
        <v>0</v>
      </c>
      <c r="AU156" s="1548">
        <f>Input!$W1371*$S$125/12</f>
        <v>0</v>
      </c>
      <c r="AV156" s="1548">
        <f>Input!$W1371*$T$125/12</f>
        <v>0</v>
      </c>
      <c r="AW156" s="1548">
        <f>Input!$W1371*$U$125/12</f>
        <v>0</v>
      </c>
      <c r="AX156" s="1548">
        <f>Input!$W1371*$V$125/12</f>
        <v>0</v>
      </c>
      <c r="AY156" s="1544"/>
      <c r="AZ156" s="1544"/>
      <c r="BA156" s="1544"/>
      <c r="BB156" s="1544"/>
      <c r="BC156" s="1544"/>
      <c r="BD156" s="1544"/>
      <c r="BE156" s="1544"/>
      <c r="BF156" s="1544"/>
      <c r="BG156" s="1485"/>
      <c r="BH156" s="1485"/>
      <c r="BI156" s="1485"/>
      <c r="BJ156" s="1485"/>
      <c r="BK156" s="1485"/>
      <c r="BL156" s="1485"/>
      <c r="BM156" s="1485"/>
      <c r="BN156" s="1485"/>
      <c r="BO156" s="1485"/>
      <c r="BP156" s="1485"/>
      <c r="BQ156" s="1442"/>
      <c r="BR156" s="1442"/>
      <c r="BS156" s="1442"/>
      <c r="BT156" s="43"/>
      <c r="BU156" s="43"/>
      <c r="BV156" s="43"/>
      <c r="BW156" s="43"/>
      <c r="BX156" s="43"/>
      <c r="BY156" s="43"/>
      <c r="BZ156" s="1183"/>
      <c r="CA156" s="1183"/>
      <c r="CB156" s="1183"/>
      <c r="CC156" s="1183"/>
      <c r="CD156" s="1183"/>
      <c r="CE156" s="1183"/>
      <c r="CF156" s="1183"/>
      <c r="CG156" s="1183"/>
      <c r="CH156" s="1183"/>
      <c r="CI156" s="1183"/>
      <c r="CJ156" s="1183"/>
      <c r="CK156" s="1183"/>
      <c r="CL156" s="1183"/>
      <c r="CM156" s="1183"/>
      <c r="CN156" s="1183"/>
      <c r="CO156" s="1183"/>
      <c r="CP156" s="1183"/>
      <c r="CQ156" s="1183"/>
      <c r="CR156" s="1183"/>
      <c r="CS156" s="1183"/>
      <c r="CT156" s="1183"/>
      <c r="CU156" s="1183"/>
      <c r="CV156" s="1183"/>
      <c r="CW156" s="1183"/>
      <c r="CX156" s="1183"/>
      <c r="CY156" s="1183"/>
      <c r="CZ156" s="1183"/>
      <c r="DA156" s="1183"/>
      <c r="DB156" s="1183"/>
      <c r="DC156" s="1183"/>
      <c r="DD156" s="1183"/>
      <c r="DE156" s="1183"/>
      <c r="DF156" s="1183"/>
      <c r="DG156" s="1183"/>
      <c r="DH156" s="1183"/>
      <c r="DI156" s="1183"/>
      <c r="DJ156" s="1183"/>
      <c r="DK156" s="1183"/>
      <c r="DL156" s="1183"/>
      <c r="DM156" s="1183"/>
      <c r="DN156" s="1183"/>
      <c r="DO156" s="1183"/>
      <c r="DP156" s="1183"/>
      <c r="DQ156" s="1183"/>
    </row>
    <row r="157" spans="1:121" s="12" customFormat="1" ht="12" customHeight="1" x14ac:dyDescent="0.3">
      <c r="A157" s="1510">
        <f t="shared" ref="A157:A220" si="88">EOMONTH(A156,1)</f>
        <v>44286</v>
      </c>
      <c r="B157" s="1484">
        <v>3</v>
      </c>
      <c r="C157" s="1478"/>
      <c r="D157" s="1478"/>
      <c r="E157" s="1478"/>
      <c r="F157" s="1530"/>
      <c r="G157" s="1531"/>
      <c r="H157" s="1478"/>
      <c r="I157" s="1478"/>
      <c r="J157" s="1478"/>
      <c r="K157" s="1546">
        <f>Input!Q1372</f>
        <v>912</v>
      </c>
      <c r="L157" s="1540"/>
      <c r="M157" s="1540"/>
      <c r="N157" s="1540"/>
      <c r="O157" s="1540"/>
      <c r="P157" s="1540"/>
      <c r="Q157" s="1540"/>
      <c r="R157" s="1540"/>
      <c r="S157" s="1540"/>
      <c r="T157" s="1540"/>
      <c r="U157" s="1540"/>
      <c r="V157" s="1540"/>
      <c r="W157" s="1540"/>
      <c r="X157" s="1540"/>
      <c r="Y157" s="1540"/>
      <c r="Z157" s="1540"/>
      <c r="AA157" s="1540"/>
      <c r="AB157" s="1540"/>
      <c r="AC157" s="1540"/>
      <c r="AD157" s="1540"/>
      <c r="AE157" s="1540"/>
      <c r="AF157" s="1544"/>
      <c r="AG157" s="1544"/>
      <c r="AH157" s="1544"/>
      <c r="AI157" s="1544"/>
      <c r="AJ157" s="1544"/>
      <c r="AK157" s="1544"/>
      <c r="AL157" s="1544"/>
      <c r="AM157" s="1544"/>
      <c r="AN157" s="1544"/>
      <c r="AO157" s="1548">
        <f>Input!$W1372*$L$125/12</f>
        <v>0</v>
      </c>
      <c r="AP157" s="1548">
        <f>Input!$W1372*$M$125/12</f>
        <v>0</v>
      </c>
      <c r="AQ157" s="1548">
        <f>Input!$W1372*$N$125/12</f>
        <v>0</v>
      </c>
      <c r="AR157" s="1548">
        <f>Input!$W1372*$O$125/12</f>
        <v>0</v>
      </c>
      <c r="AS157" s="1548">
        <f>Input!$W1372*$P$125/12</f>
        <v>0</v>
      </c>
      <c r="AT157" s="1548">
        <f>Input!$W1372*$Q$125/12</f>
        <v>0</v>
      </c>
      <c r="AU157" s="1548">
        <f>Input!$W1372*$R$125/12</f>
        <v>0</v>
      </c>
      <c r="AV157" s="1548">
        <f>Input!$W1372*$S$125/12</f>
        <v>0</v>
      </c>
      <c r="AW157" s="1548">
        <f>Input!$W1372*$T$125/12</f>
        <v>0</v>
      </c>
      <c r="AX157" s="1548">
        <f>Input!$W1372*$U$125/12</f>
        <v>0</v>
      </c>
      <c r="AY157" s="1548">
        <f>Input!$W1372*$V$125/12</f>
        <v>0</v>
      </c>
      <c r="AZ157" s="1544"/>
      <c r="BA157" s="1544"/>
      <c r="BB157" s="1544"/>
      <c r="BC157" s="1544"/>
      <c r="BD157" s="1544"/>
      <c r="BE157" s="1544"/>
      <c r="BF157" s="1544"/>
      <c r="BG157" s="1510"/>
      <c r="BH157" s="1510"/>
      <c r="BI157" s="1510"/>
      <c r="BJ157" s="1510"/>
      <c r="BK157" s="1510"/>
      <c r="BL157" s="1510"/>
      <c r="BM157" s="1510"/>
      <c r="BN157" s="1510"/>
      <c r="BO157" s="1510"/>
      <c r="BP157" s="1510"/>
      <c r="BQ157" s="1442"/>
      <c r="BR157" s="1442"/>
      <c r="BS157" s="1442"/>
      <c r="BT157" s="43"/>
      <c r="BU157" s="43"/>
      <c r="BV157" s="43"/>
      <c r="BW157" s="43"/>
      <c r="BX157" s="43"/>
      <c r="BY157" s="43"/>
      <c r="BZ157" s="1183"/>
      <c r="CA157" s="1183"/>
      <c r="CB157" s="1183"/>
      <c r="CC157" s="1183"/>
      <c r="CD157" s="1183"/>
      <c r="CE157" s="1183"/>
      <c r="CF157" s="1183"/>
      <c r="CG157" s="1183"/>
      <c r="CH157" s="1183"/>
      <c r="CI157" s="1183"/>
      <c r="CJ157" s="1183"/>
      <c r="CK157" s="1183"/>
      <c r="CL157" s="1183"/>
      <c r="CM157" s="1183"/>
      <c r="CN157" s="1183"/>
      <c r="CO157" s="1183"/>
      <c r="CP157" s="1183"/>
      <c r="CQ157" s="1183"/>
      <c r="CR157" s="1183"/>
      <c r="CS157" s="1183"/>
      <c r="CT157" s="1183"/>
      <c r="CU157" s="1183"/>
      <c r="CV157" s="1183"/>
      <c r="CW157" s="1183"/>
      <c r="CX157" s="1183"/>
      <c r="CY157" s="1183"/>
      <c r="CZ157" s="1183"/>
      <c r="DA157" s="1183"/>
      <c r="DB157" s="1183"/>
      <c r="DC157" s="1183"/>
      <c r="DD157" s="1183"/>
      <c r="DE157" s="1183"/>
      <c r="DF157" s="1183"/>
      <c r="DG157" s="1183"/>
      <c r="DH157" s="1183"/>
      <c r="DI157" s="1183"/>
      <c r="DJ157" s="1183"/>
      <c r="DK157" s="1183"/>
      <c r="DL157" s="1183"/>
      <c r="DM157" s="1183"/>
      <c r="DN157" s="1183"/>
      <c r="DO157" s="1183"/>
      <c r="DP157" s="1183"/>
      <c r="DQ157" s="1183"/>
    </row>
    <row r="158" spans="1:121" s="12" customFormat="1" ht="12" customHeight="1" x14ac:dyDescent="0.3">
      <c r="A158" s="1510">
        <f t="shared" si="88"/>
        <v>44316</v>
      </c>
      <c r="B158" s="1484">
        <v>4</v>
      </c>
      <c r="C158" s="1478"/>
      <c r="D158" s="1478"/>
      <c r="E158" s="1478"/>
      <c r="F158" s="1530"/>
      <c r="G158" s="1531"/>
      <c r="H158" s="1478"/>
      <c r="I158" s="1478"/>
      <c r="J158" s="1478"/>
      <c r="K158" s="1546">
        <f>Input!Q1373</f>
        <v>943</v>
      </c>
      <c r="L158" s="1540"/>
      <c r="M158" s="1540"/>
      <c r="N158" s="1540"/>
      <c r="O158" s="1540"/>
      <c r="P158" s="1540"/>
      <c r="Q158" s="1540"/>
      <c r="R158" s="1540"/>
      <c r="S158" s="1540"/>
      <c r="T158" s="1540"/>
      <c r="U158" s="1540"/>
      <c r="V158" s="1540"/>
      <c r="W158" s="1540"/>
      <c r="X158" s="1540"/>
      <c r="Y158" s="1540"/>
      <c r="Z158" s="1540"/>
      <c r="AA158" s="1540"/>
      <c r="AB158" s="1540"/>
      <c r="AC158" s="1540"/>
      <c r="AD158" s="1540"/>
      <c r="AE158" s="1540"/>
      <c r="AF158" s="1544"/>
      <c r="AG158" s="1544"/>
      <c r="AH158" s="1544"/>
      <c r="AI158" s="1544"/>
      <c r="AJ158" s="1544"/>
      <c r="AK158" s="1544"/>
      <c r="AL158" s="1544"/>
      <c r="AM158" s="1544"/>
      <c r="AN158" s="1544"/>
      <c r="AO158" s="1544"/>
      <c r="AP158" s="1548">
        <f>Input!$W1373*$L$125/12</f>
        <v>0</v>
      </c>
      <c r="AQ158" s="1548">
        <f>Input!$W1373*$M$125/12</f>
        <v>0</v>
      </c>
      <c r="AR158" s="1548">
        <f>Input!$W1373*$N$125/12</f>
        <v>0</v>
      </c>
      <c r="AS158" s="1548">
        <f>Input!$W1373*$O$125/12</f>
        <v>0</v>
      </c>
      <c r="AT158" s="1548">
        <f>Input!$W1373*$P$125/12</f>
        <v>0</v>
      </c>
      <c r="AU158" s="1548">
        <f>Input!$W1373*$Q$125/12</f>
        <v>0</v>
      </c>
      <c r="AV158" s="1548">
        <f>Input!$W1373*$R$125/12</f>
        <v>0</v>
      </c>
      <c r="AW158" s="1548">
        <f>Input!$W1373*$S$125/12</f>
        <v>0</v>
      </c>
      <c r="AX158" s="1548">
        <f>Input!$W1373*$T$125/12</f>
        <v>0</v>
      </c>
      <c r="AY158" s="1548">
        <f>Input!$W1373*$U$125/12</f>
        <v>0</v>
      </c>
      <c r="AZ158" s="1548">
        <f>Input!$W1373*$V$125/12</f>
        <v>0</v>
      </c>
      <c r="BA158" s="1544"/>
      <c r="BB158" s="1544"/>
      <c r="BC158" s="1544"/>
      <c r="BD158" s="1544"/>
      <c r="BE158" s="1544"/>
      <c r="BF158" s="1544"/>
      <c r="BG158" s="1485"/>
      <c r="BH158" s="1485"/>
      <c r="BI158" s="1485"/>
      <c r="BJ158" s="1485"/>
      <c r="BK158" s="1485"/>
      <c r="BL158" s="1485"/>
      <c r="BM158" s="1485"/>
      <c r="BN158" s="1485"/>
      <c r="BO158" s="1485"/>
      <c r="BP158" s="1485"/>
      <c r="BQ158" s="1442"/>
      <c r="BR158" s="1442"/>
      <c r="BS158" s="1442"/>
      <c r="BT158" s="43"/>
      <c r="BU158" s="43"/>
      <c r="BV158" s="43"/>
      <c r="BW158" s="43"/>
      <c r="BX158" s="43"/>
      <c r="BY158" s="43"/>
      <c r="BZ158" s="1183"/>
      <c r="CA158" s="1183"/>
      <c r="CB158" s="1183"/>
      <c r="CC158" s="1183"/>
      <c r="CD158" s="1183"/>
      <c r="CE158" s="1183"/>
      <c r="CF158" s="1183"/>
      <c r="CG158" s="1183"/>
      <c r="CH158" s="1183"/>
      <c r="CI158" s="1183"/>
      <c r="CJ158" s="1183"/>
      <c r="CK158" s="1183"/>
      <c r="CL158" s="1183"/>
      <c r="CM158" s="1183"/>
      <c r="CN158" s="1183"/>
      <c r="CO158" s="1183"/>
      <c r="CP158" s="1183"/>
      <c r="CQ158" s="1183"/>
      <c r="CR158" s="1183"/>
      <c r="CS158" s="1183"/>
      <c r="CT158" s="1183"/>
      <c r="CU158" s="1183"/>
      <c r="CV158" s="1183"/>
      <c r="CW158" s="1183"/>
      <c r="CX158" s="1183"/>
      <c r="CY158" s="1183"/>
      <c r="CZ158" s="1183"/>
      <c r="DA158" s="1183"/>
      <c r="DB158" s="1183"/>
      <c r="DC158" s="1183"/>
      <c r="DD158" s="1183"/>
      <c r="DE158" s="1183"/>
      <c r="DF158" s="1183"/>
      <c r="DG158" s="1183"/>
      <c r="DH158" s="1183"/>
      <c r="DI158" s="1183"/>
      <c r="DJ158" s="1183"/>
      <c r="DK158" s="1183"/>
      <c r="DL158" s="1183"/>
      <c r="DM158" s="1183"/>
      <c r="DN158" s="1183"/>
      <c r="DO158" s="1183"/>
      <c r="DP158" s="1183"/>
      <c r="DQ158" s="1183"/>
    </row>
    <row r="159" spans="1:121" s="12" customFormat="1" ht="12" customHeight="1" x14ac:dyDescent="0.3">
      <c r="A159" s="1510">
        <f t="shared" si="88"/>
        <v>44347</v>
      </c>
      <c r="B159" s="1484">
        <v>5</v>
      </c>
      <c r="C159" s="1478"/>
      <c r="D159" s="1478"/>
      <c r="E159" s="1478"/>
      <c r="F159" s="1530"/>
      <c r="G159" s="1531"/>
      <c r="H159" s="1478"/>
      <c r="I159" s="1478"/>
      <c r="J159" s="1478"/>
      <c r="K159" s="1546">
        <f>Input!Q1374</f>
        <v>974</v>
      </c>
      <c r="L159" s="1540"/>
      <c r="M159" s="1540"/>
      <c r="N159" s="1540"/>
      <c r="O159" s="1540"/>
      <c r="P159" s="1540"/>
      <c r="Q159" s="1540"/>
      <c r="R159" s="1540"/>
      <c r="S159" s="1540"/>
      <c r="T159" s="1540"/>
      <c r="U159" s="1540"/>
      <c r="V159" s="1540"/>
      <c r="W159" s="1540"/>
      <c r="X159" s="1540"/>
      <c r="Y159" s="1540"/>
      <c r="Z159" s="1540"/>
      <c r="AA159" s="1540"/>
      <c r="AB159" s="1540"/>
      <c r="AC159" s="1540"/>
      <c r="AD159" s="1540"/>
      <c r="AE159" s="1540"/>
      <c r="AF159" s="1544"/>
      <c r="AG159" s="1544"/>
      <c r="AH159" s="1544"/>
      <c r="AI159" s="1544"/>
      <c r="AJ159" s="1544"/>
      <c r="AK159" s="1544"/>
      <c r="AL159" s="1544"/>
      <c r="AM159" s="1544"/>
      <c r="AN159" s="1544"/>
      <c r="AO159" s="1544"/>
      <c r="AP159" s="1544"/>
      <c r="AQ159" s="1548">
        <f>Input!$W1374*$L$125/12</f>
        <v>0</v>
      </c>
      <c r="AR159" s="1548">
        <f>Input!$W1374*$M$125/12</f>
        <v>0</v>
      </c>
      <c r="AS159" s="1548">
        <f>Input!$W1374*$N$125/12</f>
        <v>0</v>
      </c>
      <c r="AT159" s="1548">
        <f>Input!$W1374*$O$125/12</f>
        <v>0</v>
      </c>
      <c r="AU159" s="1548">
        <f>Input!$W1374*$P$125/12</f>
        <v>0</v>
      </c>
      <c r="AV159" s="1548">
        <f>Input!$W1374*$Q$125/12</f>
        <v>0</v>
      </c>
      <c r="AW159" s="1548">
        <f>Input!$W1374*$R$125/12</f>
        <v>0</v>
      </c>
      <c r="AX159" s="1548">
        <f>Input!$W1374*$S$125/12</f>
        <v>0</v>
      </c>
      <c r="AY159" s="1548">
        <f>Input!$W1374*$T$125/12</f>
        <v>0</v>
      </c>
      <c r="AZ159" s="1548">
        <f>Input!$W1374*$U$125/12</f>
        <v>0</v>
      </c>
      <c r="BA159" s="1548">
        <f>Input!$W1374*$V$125/12</f>
        <v>0</v>
      </c>
      <c r="BB159" s="1544"/>
      <c r="BC159" s="1544"/>
      <c r="BD159" s="1544"/>
      <c r="BE159" s="1544"/>
      <c r="BF159" s="1544"/>
      <c r="BG159" s="1485"/>
      <c r="BH159" s="1485"/>
      <c r="BI159" s="1485"/>
      <c r="BJ159" s="1485"/>
      <c r="BK159" s="1485"/>
      <c r="BL159" s="1485"/>
      <c r="BM159" s="1485"/>
      <c r="BN159" s="1485"/>
      <c r="BO159" s="1485"/>
      <c r="BP159" s="1485"/>
      <c r="BQ159" s="1442"/>
      <c r="BR159" s="1442"/>
      <c r="BS159" s="1442"/>
      <c r="BT159" s="43"/>
      <c r="BU159" s="43"/>
      <c r="BV159" s="43"/>
      <c r="BW159" s="43"/>
      <c r="BX159" s="43"/>
      <c r="BY159" s="43"/>
      <c r="BZ159" s="1183"/>
      <c r="CA159" s="1183"/>
      <c r="CB159" s="1183"/>
      <c r="CC159" s="1183"/>
      <c r="CD159" s="1183"/>
      <c r="CE159" s="1183"/>
      <c r="CF159" s="1183"/>
      <c r="CG159" s="1183"/>
      <c r="CH159" s="1183"/>
      <c r="CI159" s="1183"/>
      <c r="CJ159" s="1183"/>
      <c r="CK159" s="1183"/>
      <c r="CL159" s="1183"/>
      <c r="CM159" s="1183"/>
      <c r="CN159" s="1183"/>
      <c r="CO159" s="1183"/>
      <c r="CP159" s="1183"/>
      <c r="CQ159" s="1183"/>
      <c r="CR159" s="1183"/>
      <c r="CS159" s="1183"/>
      <c r="CT159" s="1183"/>
      <c r="CU159" s="1183"/>
      <c r="CV159" s="1183"/>
      <c r="CW159" s="1183"/>
      <c r="CX159" s="1183"/>
      <c r="CY159" s="1183"/>
      <c r="CZ159" s="1183"/>
      <c r="DA159" s="1183"/>
      <c r="DB159" s="1183"/>
      <c r="DC159" s="1183"/>
      <c r="DD159" s="1183"/>
      <c r="DE159" s="1183"/>
      <c r="DF159" s="1183"/>
      <c r="DG159" s="1183"/>
      <c r="DH159" s="1183"/>
      <c r="DI159" s="1183"/>
      <c r="DJ159" s="1183"/>
      <c r="DK159" s="1183"/>
      <c r="DL159" s="1183"/>
      <c r="DM159" s="1183"/>
      <c r="DN159" s="1183"/>
      <c r="DO159" s="1183"/>
      <c r="DP159" s="1183"/>
      <c r="DQ159" s="1183"/>
    </row>
    <row r="160" spans="1:121" s="12" customFormat="1" ht="12" customHeight="1" x14ac:dyDescent="0.3">
      <c r="A160" s="1510">
        <f t="shared" si="88"/>
        <v>44377</v>
      </c>
      <c r="B160" s="1484">
        <v>6</v>
      </c>
      <c r="C160" s="1478"/>
      <c r="D160" s="1478"/>
      <c r="E160" s="1478"/>
      <c r="F160" s="1530"/>
      <c r="G160" s="1531"/>
      <c r="H160" s="1478"/>
      <c r="I160" s="1478"/>
      <c r="J160" s="1478"/>
      <c r="K160" s="1546">
        <f>Input!Q1375</f>
        <v>1004</v>
      </c>
      <c r="L160" s="1540"/>
      <c r="M160" s="1540"/>
      <c r="N160" s="1540"/>
      <c r="O160" s="1540"/>
      <c r="P160" s="1540"/>
      <c r="Q160" s="1540"/>
      <c r="R160" s="1540"/>
      <c r="S160" s="1540"/>
      <c r="T160" s="1540"/>
      <c r="U160" s="1540"/>
      <c r="V160" s="1540"/>
      <c r="W160" s="1540"/>
      <c r="X160" s="1540"/>
      <c r="Y160" s="1540"/>
      <c r="Z160" s="1540"/>
      <c r="AA160" s="1540"/>
      <c r="AB160" s="1540"/>
      <c r="AC160" s="1540"/>
      <c r="AD160" s="1540"/>
      <c r="AE160" s="1540"/>
      <c r="AF160" s="1544"/>
      <c r="AG160" s="1544"/>
      <c r="AH160" s="1544"/>
      <c r="AI160" s="1544"/>
      <c r="AJ160" s="1544"/>
      <c r="AK160" s="1544"/>
      <c r="AL160" s="1544"/>
      <c r="AM160" s="1544"/>
      <c r="AN160" s="1544"/>
      <c r="AO160" s="1544"/>
      <c r="AP160" s="1544"/>
      <c r="AQ160" s="1544"/>
      <c r="AR160" s="1548">
        <f>Input!$W1375*$L$125/12</f>
        <v>0</v>
      </c>
      <c r="AS160" s="1548">
        <f>Input!$W1375*$M$125/12</f>
        <v>0</v>
      </c>
      <c r="AT160" s="1548">
        <f>Input!$W1375*$N$125/12</f>
        <v>0</v>
      </c>
      <c r="AU160" s="1548">
        <f>Input!$W1375*$O$125/12</f>
        <v>0</v>
      </c>
      <c r="AV160" s="1548">
        <f>Input!$W1375*$P$125/12</f>
        <v>0</v>
      </c>
      <c r="AW160" s="1548">
        <f>Input!$W1375*$Q$125/12</f>
        <v>0</v>
      </c>
      <c r="AX160" s="1548">
        <f>Input!$W1375*$R$125/12</f>
        <v>0</v>
      </c>
      <c r="AY160" s="1548">
        <f>Input!$W1375*$S$125/12</f>
        <v>0</v>
      </c>
      <c r="AZ160" s="1548">
        <f>Input!$W1375*$T$125/12</f>
        <v>0</v>
      </c>
      <c r="BA160" s="1548">
        <f>Input!$W1375*$U$125/12</f>
        <v>0</v>
      </c>
      <c r="BB160" s="1548">
        <f>Input!$W1375*$V$125/12</f>
        <v>0</v>
      </c>
      <c r="BC160" s="1544"/>
      <c r="BD160" s="1544"/>
      <c r="BE160" s="1544"/>
      <c r="BF160" s="1544"/>
      <c r="BG160" s="1485"/>
      <c r="BH160" s="1485"/>
      <c r="BI160" s="1485"/>
      <c r="BJ160" s="1485"/>
      <c r="BK160" s="1485"/>
      <c r="BL160" s="1485"/>
      <c r="BM160" s="1485"/>
      <c r="BN160" s="1485"/>
      <c r="BO160" s="1485"/>
      <c r="BP160" s="1485"/>
      <c r="BQ160" s="1442"/>
      <c r="BR160" s="1442"/>
      <c r="BS160" s="1442"/>
      <c r="BT160" s="43"/>
      <c r="BU160" s="43"/>
      <c r="BV160" s="43"/>
      <c r="BW160" s="43"/>
      <c r="BX160" s="43"/>
      <c r="BY160" s="43"/>
      <c r="BZ160" s="1183"/>
      <c r="CA160" s="1183"/>
      <c r="CB160" s="1183"/>
      <c r="CC160" s="1183"/>
      <c r="CD160" s="1183"/>
      <c r="CE160" s="1183"/>
      <c r="CF160" s="1183"/>
      <c r="CG160" s="1183"/>
      <c r="CH160" s="1183"/>
      <c r="CI160" s="1183"/>
      <c r="CJ160" s="1183"/>
      <c r="CK160" s="1183"/>
      <c r="CL160" s="1183"/>
      <c r="CM160" s="1183"/>
      <c r="CN160" s="1183"/>
      <c r="CO160" s="1183"/>
      <c r="CP160" s="1183"/>
      <c r="CQ160" s="1183"/>
      <c r="CR160" s="1183"/>
      <c r="CS160" s="1183"/>
      <c r="CT160" s="1183"/>
      <c r="CU160" s="1183"/>
      <c r="CV160" s="1183"/>
      <c r="CW160" s="1183"/>
      <c r="CX160" s="1183"/>
      <c r="CY160" s="1183"/>
      <c r="CZ160" s="1183"/>
      <c r="DA160" s="1183"/>
      <c r="DB160" s="1183"/>
      <c r="DC160" s="1183"/>
      <c r="DD160" s="1183"/>
      <c r="DE160" s="1183"/>
      <c r="DF160" s="1183"/>
      <c r="DG160" s="1183"/>
      <c r="DH160" s="1183"/>
      <c r="DI160" s="1183"/>
      <c r="DJ160" s="1183"/>
      <c r="DK160" s="1183"/>
      <c r="DL160" s="1183"/>
      <c r="DM160" s="1183"/>
      <c r="DN160" s="1183"/>
      <c r="DO160" s="1183"/>
      <c r="DP160" s="1183"/>
      <c r="DQ160" s="1183"/>
    </row>
    <row r="161" spans="1:121" s="12" customFormat="1" ht="12" customHeight="1" x14ac:dyDescent="0.3">
      <c r="A161" s="1510">
        <f t="shared" si="88"/>
        <v>44408</v>
      </c>
      <c r="B161" s="1484">
        <v>7</v>
      </c>
      <c r="C161" s="1478"/>
      <c r="D161" s="1478"/>
      <c r="E161" s="1478"/>
      <c r="F161" s="1530"/>
      <c r="G161" s="1531"/>
      <c r="H161" s="1478"/>
      <c r="I161" s="1478"/>
      <c r="J161" s="1478"/>
      <c r="K161" s="1546">
        <f>Input!Q1376</f>
        <v>1035</v>
      </c>
      <c r="L161" s="1540"/>
      <c r="M161" s="1540"/>
      <c r="N161" s="1540"/>
      <c r="O161" s="1540"/>
      <c r="P161" s="1540"/>
      <c r="Q161" s="1540"/>
      <c r="R161" s="1540"/>
      <c r="S161" s="1540"/>
      <c r="T161" s="1540"/>
      <c r="U161" s="1540"/>
      <c r="V161" s="1540"/>
      <c r="W161" s="1540"/>
      <c r="X161" s="1540"/>
      <c r="Y161" s="1540"/>
      <c r="Z161" s="1540"/>
      <c r="AA161" s="1540"/>
      <c r="AB161" s="1540"/>
      <c r="AC161" s="1540"/>
      <c r="AD161" s="1540"/>
      <c r="AE161" s="1540"/>
      <c r="AF161" s="1544"/>
      <c r="AG161" s="1544"/>
      <c r="AH161" s="1544"/>
      <c r="AI161" s="1544"/>
      <c r="AJ161" s="1544"/>
      <c r="AK161" s="1544"/>
      <c r="AL161" s="1544"/>
      <c r="AM161" s="1544"/>
      <c r="AN161" s="1544"/>
      <c r="AO161" s="1544"/>
      <c r="AP161" s="1544"/>
      <c r="AQ161" s="1544"/>
      <c r="AR161" s="1544"/>
      <c r="AS161" s="1548">
        <f>Input!$W1376*$L$125/12</f>
        <v>0</v>
      </c>
      <c r="AT161" s="1548">
        <f>Input!$W1376*$M$125/12</f>
        <v>0</v>
      </c>
      <c r="AU161" s="1548">
        <f>Input!$W1376*$N$125/12</f>
        <v>0</v>
      </c>
      <c r="AV161" s="1548">
        <f>Input!$W1376*$O$125/12</f>
        <v>0</v>
      </c>
      <c r="AW161" s="1548">
        <f>Input!$W1376*$P$125/12</f>
        <v>0</v>
      </c>
      <c r="AX161" s="1548">
        <f>Input!$W1376*$Q$125/12</f>
        <v>0</v>
      </c>
      <c r="AY161" s="1548">
        <f>Input!$W1376*$R$125/12</f>
        <v>0</v>
      </c>
      <c r="AZ161" s="1548">
        <f>Input!$W1376*$S$125/12</f>
        <v>0</v>
      </c>
      <c r="BA161" s="1548">
        <f>Input!$W1376*$T$125/12</f>
        <v>0</v>
      </c>
      <c r="BB161" s="1548">
        <f>Input!$W1376*$U$125/12</f>
        <v>0</v>
      </c>
      <c r="BC161" s="1548">
        <f>Input!$W1376*$V$125/12</f>
        <v>0</v>
      </c>
      <c r="BD161" s="1544"/>
      <c r="BE161" s="1544"/>
      <c r="BF161" s="1544"/>
      <c r="BG161" s="1485"/>
      <c r="BH161" s="1485"/>
      <c r="BI161" s="1485"/>
      <c r="BJ161" s="1485"/>
      <c r="BK161" s="1485"/>
      <c r="BL161" s="1485"/>
      <c r="BM161" s="1485"/>
      <c r="BN161" s="1485"/>
      <c r="BO161" s="1485"/>
      <c r="BP161" s="1485"/>
      <c r="BQ161" s="1442"/>
      <c r="BR161" s="1442"/>
      <c r="BS161" s="1442"/>
      <c r="BT161" s="43"/>
      <c r="BU161" s="43"/>
      <c r="BV161" s="43"/>
      <c r="BW161" s="43"/>
      <c r="BX161" s="43"/>
      <c r="BY161" s="43"/>
      <c r="BZ161" s="1183"/>
      <c r="CA161" s="1183"/>
      <c r="CB161" s="1183"/>
      <c r="CC161" s="1183"/>
      <c r="CD161" s="1183"/>
      <c r="CE161" s="1183"/>
      <c r="CF161" s="1183"/>
      <c r="CG161" s="1183"/>
      <c r="CH161" s="1183"/>
      <c r="CI161" s="1183"/>
      <c r="CJ161" s="1183"/>
      <c r="CK161" s="1183"/>
      <c r="CL161" s="1183"/>
      <c r="CM161" s="1183"/>
      <c r="CN161" s="1183"/>
      <c r="CO161" s="1183"/>
      <c r="CP161" s="1183"/>
      <c r="CQ161" s="1183"/>
      <c r="CR161" s="1183"/>
      <c r="CS161" s="1183"/>
      <c r="CT161" s="1183"/>
      <c r="CU161" s="1183"/>
      <c r="CV161" s="1183"/>
      <c r="CW161" s="1183"/>
      <c r="CX161" s="1183"/>
      <c r="CY161" s="1183"/>
      <c r="CZ161" s="1183"/>
      <c r="DA161" s="1183"/>
      <c r="DB161" s="1183"/>
      <c r="DC161" s="1183"/>
      <c r="DD161" s="1183"/>
      <c r="DE161" s="1183"/>
      <c r="DF161" s="1183"/>
      <c r="DG161" s="1183"/>
      <c r="DH161" s="1183"/>
      <c r="DI161" s="1183"/>
      <c r="DJ161" s="1183"/>
      <c r="DK161" s="1183"/>
      <c r="DL161" s="1183"/>
      <c r="DM161" s="1183"/>
      <c r="DN161" s="1183"/>
      <c r="DO161" s="1183"/>
      <c r="DP161" s="1183"/>
      <c r="DQ161" s="1183"/>
    </row>
    <row r="162" spans="1:121" s="12" customFormat="1" ht="12" customHeight="1" x14ac:dyDescent="0.3">
      <c r="A162" s="1510">
        <f t="shared" si="88"/>
        <v>44439</v>
      </c>
      <c r="B162" s="1484">
        <v>8</v>
      </c>
      <c r="C162" s="1478"/>
      <c r="D162" s="1478"/>
      <c r="E162" s="1478"/>
      <c r="F162" s="1530"/>
      <c r="G162" s="1531"/>
      <c r="H162" s="1478"/>
      <c r="I162" s="1478"/>
      <c r="J162" s="1478"/>
      <c r="K162" s="1546">
        <f>Input!Q1377</f>
        <v>1065</v>
      </c>
      <c r="L162" s="1540"/>
      <c r="M162" s="1540"/>
      <c r="N162" s="1540"/>
      <c r="O162" s="1540"/>
      <c r="P162" s="1540"/>
      <c r="Q162" s="1540"/>
      <c r="R162" s="1540"/>
      <c r="S162" s="1540"/>
      <c r="T162" s="1540"/>
      <c r="U162" s="1540"/>
      <c r="V162" s="1540"/>
      <c r="W162" s="1540"/>
      <c r="X162" s="1540"/>
      <c r="Y162" s="1540"/>
      <c r="Z162" s="1540"/>
      <c r="AA162" s="1540"/>
      <c r="AB162" s="1540"/>
      <c r="AC162" s="1540"/>
      <c r="AD162" s="1540"/>
      <c r="AE162" s="1540"/>
      <c r="AF162" s="1544"/>
      <c r="AG162" s="1544"/>
      <c r="AH162" s="1544"/>
      <c r="AI162" s="1544"/>
      <c r="AJ162" s="1544"/>
      <c r="AK162" s="1544"/>
      <c r="AL162" s="1544"/>
      <c r="AM162" s="1544"/>
      <c r="AN162" s="1544"/>
      <c r="AO162" s="1544"/>
      <c r="AP162" s="1544"/>
      <c r="AQ162" s="1544"/>
      <c r="AR162" s="1544"/>
      <c r="AS162" s="1544"/>
      <c r="AT162" s="1548">
        <f>Input!$W1377*$L$125/12</f>
        <v>0</v>
      </c>
      <c r="AU162" s="1548">
        <f>Input!$W1377*$M$125/12</f>
        <v>0</v>
      </c>
      <c r="AV162" s="1548">
        <f>Input!$W1377*$N$125/12</f>
        <v>0</v>
      </c>
      <c r="AW162" s="1548">
        <f>Input!$W1377*$O$125/12</f>
        <v>0</v>
      </c>
      <c r="AX162" s="1548">
        <f>Input!$W1377*$P$125/12</f>
        <v>0</v>
      </c>
      <c r="AY162" s="1548">
        <f>Input!$W1377*$Q$125/12</f>
        <v>0</v>
      </c>
      <c r="AZ162" s="1548">
        <f>Input!$W1377*$R$125/12</f>
        <v>0</v>
      </c>
      <c r="BA162" s="1548">
        <f>Input!$W1377*$S$125/12</f>
        <v>0</v>
      </c>
      <c r="BB162" s="1548">
        <f>Input!$W1377*$T$125/12</f>
        <v>0</v>
      </c>
      <c r="BC162" s="1548">
        <f>Input!$W1377*$U$125/12</f>
        <v>0</v>
      </c>
      <c r="BD162" s="1548">
        <f>Input!$W1377*$V$125/12</f>
        <v>0</v>
      </c>
      <c r="BE162" s="1544"/>
      <c r="BF162" s="1544"/>
      <c r="BG162" s="1485"/>
      <c r="BH162" s="1485"/>
      <c r="BI162" s="1485"/>
      <c r="BJ162" s="1485"/>
      <c r="BK162" s="1485"/>
      <c r="BL162" s="1485"/>
      <c r="BM162" s="1485"/>
      <c r="BN162" s="1485"/>
      <c r="BO162" s="1485"/>
      <c r="BP162" s="1485"/>
      <c r="BQ162" s="1442"/>
      <c r="BR162" s="1442"/>
      <c r="BS162" s="1442"/>
      <c r="BT162" s="43"/>
      <c r="BU162" s="43"/>
      <c r="BV162" s="43"/>
      <c r="BW162" s="43"/>
      <c r="BX162" s="43"/>
      <c r="BY162" s="43"/>
      <c r="BZ162" s="1183"/>
      <c r="CA162" s="1183"/>
      <c r="CB162" s="1183"/>
      <c r="CC162" s="1183"/>
      <c r="CD162" s="1183"/>
      <c r="CE162" s="1183"/>
      <c r="CF162" s="1183"/>
      <c r="CG162" s="1183"/>
      <c r="CH162" s="1183"/>
      <c r="CI162" s="1183"/>
      <c r="CJ162" s="1183"/>
      <c r="CK162" s="1183"/>
      <c r="CL162" s="1183"/>
      <c r="CM162" s="1183"/>
      <c r="CN162" s="1183"/>
      <c r="CO162" s="1183"/>
      <c r="CP162" s="1183"/>
      <c r="CQ162" s="1183"/>
      <c r="CR162" s="1183"/>
      <c r="CS162" s="1183"/>
      <c r="CT162" s="1183"/>
      <c r="CU162" s="1183"/>
      <c r="CV162" s="1183"/>
      <c r="CW162" s="1183"/>
      <c r="CX162" s="1183"/>
      <c r="CY162" s="1183"/>
      <c r="CZ162" s="1183"/>
      <c r="DA162" s="1183"/>
      <c r="DB162" s="1183"/>
      <c r="DC162" s="1183"/>
      <c r="DD162" s="1183"/>
      <c r="DE162" s="1183"/>
      <c r="DF162" s="1183"/>
      <c r="DG162" s="1183"/>
      <c r="DH162" s="1183"/>
      <c r="DI162" s="1183"/>
      <c r="DJ162" s="1183"/>
      <c r="DK162" s="1183"/>
      <c r="DL162" s="1183"/>
      <c r="DM162" s="1183"/>
      <c r="DN162" s="1183"/>
      <c r="DO162" s="1183"/>
      <c r="DP162" s="1183"/>
      <c r="DQ162" s="1183"/>
    </row>
    <row r="163" spans="1:121" s="12" customFormat="1" ht="12" customHeight="1" x14ac:dyDescent="0.3">
      <c r="A163" s="1510">
        <f t="shared" si="88"/>
        <v>44469</v>
      </c>
      <c r="B163" s="1484">
        <v>9</v>
      </c>
      <c r="C163" s="1477"/>
      <c r="D163" s="1477"/>
      <c r="E163" s="1477"/>
      <c r="F163" s="1477"/>
      <c r="G163" s="1478"/>
      <c r="H163" s="1479"/>
      <c r="I163" s="1478"/>
      <c r="J163" s="1478"/>
      <c r="K163" s="1546">
        <f>Input!Q1378</f>
        <v>1096</v>
      </c>
      <c r="L163" s="1540"/>
      <c r="M163" s="1540"/>
      <c r="N163" s="1540"/>
      <c r="O163" s="1540"/>
      <c r="P163" s="1540"/>
      <c r="Q163" s="1540"/>
      <c r="R163" s="1540"/>
      <c r="S163" s="1540"/>
      <c r="T163" s="1540"/>
      <c r="U163" s="1540"/>
      <c r="V163" s="1540"/>
      <c r="W163" s="1540"/>
      <c r="X163" s="1540"/>
      <c r="Y163" s="1540"/>
      <c r="Z163" s="1540"/>
      <c r="AA163" s="1540"/>
      <c r="AB163" s="1540"/>
      <c r="AC163" s="1540"/>
      <c r="AD163" s="1540"/>
      <c r="AE163" s="1540"/>
      <c r="AF163" s="1544"/>
      <c r="AG163" s="1544"/>
      <c r="AH163" s="1544"/>
      <c r="AI163" s="1544"/>
      <c r="AJ163" s="1544"/>
      <c r="AK163" s="1544"/>
      <c r="AL163" s="1544"/>
      <c r="AM163" s="1544"/>
      <c r="AN163" s="1544"/>
      <c r="AO163" s="1544"/>
      <c r="AP163" s="1544"/>
      <c r="AQ163" s="1544"/>
      <c r="AR163" s="1544"/>
      <c r="AS163" s="1544"/>
      <c r="AT163" s="1544"/>
      <c r="AU163" s="1548">
        <f>Input!$W1378*$L$125/12</f>
        <v>0</v>
      </c>
      <c r="AV163" s="1548">
        <f>Input!$W1378*$M$125/12</f>
        <v>0</v>
      </c>
      <c r="AW163" s="1548">
        <f>Input!$W1378*$N$125/12</f>
        <v>0</v>
      </c>
      <c r="AX163" s="1548">
        <f>Input!$W1378*$O$125/12</f>
        <v>0</v>
      </c>
      <c r="AY163" s="1548">
        <f>Input!$W1378*$P$125/12</f>
        <v>0</v>
      </c>
      <c r="AZ163" s="1548">
        <f>Input!$W1378*$Q$125/12</f>
        <v>0</v>
      </c>
      <c r="BA163" s="1548">
        <f>Input!$W1378*$R$125/12</f>
        <v>0</v>
      </c>
      <c r="BB163" s="1548">
        <f>Input!$W1378*$S$125/12</f>
        <v>0</v>
      </c>
      <c r="BC163" s="1548">
        <f>Input!$W1378*$T$125/12</f>
        <v>0</v>
      </c>
      <c r="BD163" s="1548">
        <f>Input!$W1378*$U$125/12</f>
        <v>0</v>
      </c>
      <c r="BE163" s="1548">
        <f>Input!$W1378*$V$125/12</f>
        <v>0</v>
      </c>
      <c r="BF163" s="1544"/>
      <c r="BG163" s="1485"/>
      <c r="BH163" s="1485"/>
      <c r="BI163" s="1485"/>
      <c r="BJ163" s="1485"/>
      <c r="BK163" s="1485"/>
      <c r="BL163" s="1485"/>
      <c r="BM163" s="1485"/>
      <c r="BN163" s="1485"/>
      <c r="BO163" s="1485"/>
      <c r="BP163" s="1485"/>
      <c r="BQ163" s="1442"/>
      <c r="BR163" s="1442"/>
      <c r="BS163" s="1442"/>
      <c r="BT163" s="43"/>
      <c r="BU163" s="43"/>
      <c r="BV163" s="43"/>
      <c r="BW163" s="43"/>
      <c r="BX163" s="43"/>
      <c r="BY163" s="43"/>
      <c r="BZ163" s="1183"/>
      <c r="CA163" s="1183"/>
      <c r="CB163" s="1183"/>
      <c r="CC163" s="1183"/>
      <c r="CD163" s="1183"/>
      <c r="CE163" s="1183"/>
      <c r="CF163" s="1183"/>
      <c r="CG163" s="1183"/>
      <c r="CH163" s="1183"/>
      <c r="CI163" s="1183"/>
      <c r="CJ163" s="1183"/>
      <c r="CK163" s="1183"/>
      <c r="CL163" s="1183"/>
      <c r="CM163" s="1183"/>
      <c r="CN163" s="1183"/>
      <c r="CO163" s="1183"/>
      <c r="CP163" s="1183"/>
      <c r="CQ163" s="1183"/>
      <c r="CR163" s="1183"/>
      <c r="CS163" s="1183"/>
      <c r="CT163" s="1183"/>
      <c r="CU163" s="1183"/>
      <c r="CV163" s="1183"/>
      <c r="CW163" s="1183"/>
      <c r="CX163" s="1183"/>
      <c r="CY163" s="1183"/>
      <c r="CZ163" s="1183"/>
      <c r="DA163" s="1183"/>
      <c r="DB163" s="1183"/>
      <c r="DC163" s="1183"/>
      <c r="DD163" s="1183"/>
      <c r="DE163" s="1183"/>
      <c r="DF163" s="1183"/>
      <c r="DG163" s="1183"/>
      <c r="DH163" s="1183"/>
      <c r="DI163" s="1183"/>
      <c r="DJ163" s="1183"/>
      <c r="DK163" s="1183"/>
      <c r="DL163" s="1183"/>
      <c r="DM163" s="1183"/>
      <c r="DN163" s="1183"/>
      <c r="DO163" s="1183"/>
      <c r="DP163" s="1183"/>
      <c r="DQ163" s="1183"/>
    </row>
    <row r="164" spans="1:121" s="12" customFormat="1" ht="12" customHeight="1" x14ac:dyDescent="0.3">
      <c r="A164" s="1510">
        <f t="shared" si="88"/>
        <v>44500</v>
      </c>
      <c r="B164" s="1484">
        <v>10</v>
      </c>
      <c r="C164" s="1477"/>
      <c r="D164" s="1477"/>
      <c r="E164" s="1477"/>
      <c r="F164" s="1477"/>
      <c r="G164" s="1478"/>
      <c r="H164" s="1479"/>
      <c r="I164" s="1478"/>
      <c r="J164" s="1478"/>
      <c r="K164" s="1546">
        <f>Input!Q1379</f>
        <v>1127</v>
      </c>
      <c r="L164" s="1540"/>
      <c r="M164" s="1540"/>
      <c r="N164" s="1540"/>
      <c r="O164" s="1540"/>
      <c r="P164" s="1540"/>
      <c r="Q164" s="1540"/>
      <c r="R164" s="1540"/>
      <c r="S164" s="1540"/>
      <c r="T164" s="1540"/>
      <c r="U164" s="1540"/>
      <c r="V164" s="1540"/>
      <c r="W164" s="1540"/>
      <c r="X164" s="1540"/>
      <c r="Y164" s="1540"/>
      <c r="Z164" s="1540"/>
      <c r="AA164" s="1540"/>
      <c r="AB164" s="1540"/>
      <c r="AC164" s="1540"/>
      <c r="AD164" s="1540"/>
      <c r="AE164" s="1540"/>
      <c r="AF164" s="1544"/>
      <c r="AG164" s="1544"/>
      <c r="AH164" s="1544"/>
      <c r="AI164" s="1544"/>
      <c r="AJ164" s="1544"/>
      <c r="AK164" s="1544"/>
      <c r="AL164" s="1544"/>
      <c r="AM164" s="1544"/>
      <c r="AN164" s="1544"/>
      <c r="AO164" s="1544"/>
      <c r="AP164" s="1544"/>
      <c r="AQ164" s="1544"/>
      <c r="AR164" s="1544"/>
      <c r="AS164" s="1544"/>
      <c r="AT164" s="1544"/>
      <c r="AU164" s="1544"/>
      <c r="AV164" s="1548">
        <f>Input!$W1379*$L$125/12</f>
        <v>0</v>
      </c>
      <c r="AW164" s="1548">
        <f>Input!$W1379*$M$125/12</f>
        <v>0</v>
      </c>
      <c r="AX164" s="1548">
        <f>Input!$W1379*$N$125/12</f>
        <v>0</v>
      </c>
      <c r="AY164" s="1548">
        <f>Input!$W1379*$O$125/12</f>
        <v>0</v>
      </c>
      <c r="AZ164" s="1548">
        <f>Input!$W1379*$P$125/12</f>
        <v>0</v>
      </c>
      <c r="BA164" s="1548">
        <f>Input!$W1379*$Q$125/12</f>
        <v>0</v>
      </c>
      <c r="BB164" s="1548">
        <f>Input!$W1379*$R$125/12</f>
        <v>0</v>
      </c>
      <c r="BC164" s="1548">
        <f>Input!$W1379*$S$125/12</f>
        <v>0</v>
      </c>
      <c r="BD164" s="1548">
        <f>Input!$W1379*$T$125/12</f>
        <v>0</v>
      </c>
      <c r="BE164" s="1548">
        <f>Input!$W1379*$U$125/12</f>
        <v>0</v>
      </c>
      <c r="BF164" s="1548">
        <f>Input!$W1379*$V$125/12</f>
        <v>0</v>
      </c>
      <c r="BG164" s="1485"/>
      <c r="BH164" s="1485"/>
      <c r="BI164" s="1485"/>
      <c r="BJ164" s="1485"/>
      <c r="BK164" s="1485"/>
      <c r="BL164" s="1485"/>
      <c r="BM164" s="1485"/>
      <c r="BN164" s="1485"/>
      <c r="BO164" s="1485"/>
      <c r="BP164" s="1485"/>
      <c r="BQ164" s="1442"/>
      <c r="BR164" s="1442"/>
      <c r="BS164" s="1442"/>
      <c r="BT164" s="43"/>
      <c r="BU164" s="43"/>
      <c r="BV164" s="43"/>
      <c r="BW164" s="43"/>
      <c r="BX164" s="43"/>
      <c r="BY164" s="43"/>
      <c r="BZ164" s="1183"/>
      <c r="CA164" s="1183"/>
      <c r="CB164" s="1183"/>
      <c r="CC164" s="1183"/>
      <c r="CD164" s="1183"/>
      <c r="CE164" s="1183"/>
      <c r="CF164" s="1183"/>
      <c r="CG164" s="1183"/>
      <c r="CH164" s="1183"/>
      <c r="CI164" s="1183"/>
      <c r="CJ164" s="1183"/>
      <c r="CK164" s="1183"/>
      <c r="CL164" s="1183"/>
      <c r="CM164" s="1183"/>
      <c r="CN164" s="1183"/>
      <c r="CO164" s="1183"/>
      <c r="CP164" s="1183"/>
      <c r="CQ164" s="1183"/>
      <c r="CR164" s="1183"/>
      <c r="CS164" s="1183"/>
      <c r="CT164" s="1183"/>
      <c r="CU164" s="1183"/>
      <c r="CV164" s="1183"/>
      <c r="CW164" s="1183"/>
      <c r="CX164" s="1183"/>
      <c r="CY164" s="1183"/>
      <c r="CZ164" s="1183"/>
      <c r="DA164" s="1183"/>
      <c r="DB164" s="1183"/>
      <c r="DC164" s="1183"/>
      <c r="DD164" s="1183"/>
      <c r="DE164" s="1183"/>
      <c r="DF164" s="1183"/>
      <c r="DG164" s="1183"/>
      <c r="DH164" s="1183"/>
      <c r="DI164" s="1183"/>
      <c r="DJ164" s="1183"/>
      <c r="DK164" s="1183"/>
      <c r="DL164" s="1183"/>
      <c r="DM164" s="1183"/>
      <c r="DN164" s="1183"/>
      <c r="DO164" s="1183"/>
      <c r="DP164" s="1183"/>
      <c r="DQ164" s="1183"/>
    </row>
    <row r="165" spans="1:121" s="12" customFormat="1" ht="12" customHeight="1" x14ac:dyDescent="0.3">
      <c r="A165" s="1510">
        <f t="shared" si="88"/>
        <v>44530</v>
      </c>
      <c r="B165" s="1484">
        <v>11</v>
      </c>
      <c r="C165" s="1477"/>
      <c r="D165" s="1477"/>
      <c r="E165" s="1477"/>
      <c r="F165" s="1477"/>
      <c r="G165" s="1478"/>
      <c r="H165" s="1479"/>
      <c r="I165" s="1478"/>
      <c r="J165" s="1478"/>
      <c r="K165" s="1546">
        <f>Input!Q1380</f>
        <v>1155</v>
      </c>
      <c r="L165" s="1540"/>
      <c r="M165" s="1540"/>
      <c r="N165" s="1540"/>
      <c r="O165" s="1540"/>
      <c r="P165" s="1540"/>
      <c r="Q165" s="1540"/>
      <c r="R165" s="1540"/>
      <c r="S165" s="1540"/>
      <c r="T165" s="1540"/>
      <c r="U165" s="1540"/>
      <c r="V165" s="1540"/>
      <c r="W165" s="1540"/>
      <c r="X165" s="1540"/>
      <c r="Y165" s="1540"/>
      <c r="Z165" s="1540"/>
      <c r="AA165" s="1540"/>
      <c r="AB165" s="1540"/>
      <c r="AC165" s="1540"/>
      <c r="AD165" s="1540"/>
      <c r="AE165" s="1540"/>
      <c r="AF165" s="1544"/>
      <c r="AG165" s="1544"/>
      <c r="AH165" s="1544"/>
      <c r="AI165" s="1544"/>
      <c r="AJ165" s="1544"/>
      <c r="AK165" s="1544"/>
      <c r="AL165" s="1544"/>
      <c r="AM165" s="1544"/>
      <c r="AN165" s="1544"/>
      <c r="AO165" s="1544"/>
      <c r="AP165" s="1544"/>
      <c r="AQ165" s="1544"/>
      <c r="AR165" s="1544"/>
      <c r="AS165" s="1544"/>
      <c r="AT165" s="1544"/>
      <c r="AU165" s="1544"/>
      <c r="AV165" s="1544"/>
      <c r="AW165" s="1548">
        <f>Input!$W1380*$L$125/12</f>
        <v>0</v>
      </c>
      <c r="AX165" s="1548">
        <f>Input!$W1380*$M$125/12</f>
        <v>0</v>
      </c>
      <c r="AY165" s="1548">
        <f>Input!$W1380*$N$125/12</f>
        <v>0</v>
      </c>
      <c r="AZ165" s="1548">
        <f>Input!$W1380*$O$125/12</f>
        <v>0</v>
      </c>
      <c r="BA165" s="1548">
        <f>Input!$W1380*$P$125/12</f>
        <v>0</v>
      </c>
      <c r="BB165" s="1548">
        <f>Input!$W1380*$Q$125/12</f>
        <v>0</v>
      </c>
      <c r="BC165" s="1548">
        <f>Input!$W1380*$R$125/12</f>
        <v>0</v>
      </c>
      <c r="BD165" s="1548">
        <f>Input!$W1380*$S$125/12</f>
        <v>0</v>
      </c>
      <c r="BE165" s="1548">
        <f>Input!$W1380*$T$125/12</f>
        <v>0</v>
      </c>
      <c r="BF165" s="1548">
        <f>Input!$W1380*$U$125/12</f>
        <v>0</v>
      </c>
      <c r="BG165" s="1485">
        <f>Input!$W1380*$V$125/12</f>
        <v>0</v>
      </c>
      <c r="BH165" s="1485"/>
      <c r="BI165" s="1485"/>
      <c r="BJ165" s="1485"/>
      <c r="BK165" s="1485"/>
      <c r="BL165" s="1485"/>
      <c r="BM165" s="1485"/>
      <c r="BN165" s="1485"/>
      <c r="BO165" s="1485"/>
      <c r="BP165" s="1485"/>
      <c r="BQ165" s="1442"/>
      <c r="BR165" s="1442"/>
      <c r="BS165" s="1442"/>
      <c r="BT165" s="43"/>
      <c r="BU165" s="43"/>
      <c r="BV165" s="43"/>
      <c r="BW165" s="43"/>
      <c r="BX165" s="43"/>
      <c r="BY165" s="43"/>
      <c r="BZ165" s="1183"/>
      <c r="CA165" s="1183"/>
      <c r="CB165" s="1183"/>
      <c r="CC165" s="1183"/>
      <c r="CD165" s="1183"/>
      <c r="CE165" s="1183"/>
      <c r="CF165" s="1183"/>
      <c r="CG165" s="1183"/>
      <c r="CH165" s="1183"/>
      <c r="CI165" s="1183"/>
      <c r="CJ165" s="1183"/>
      <c r="CK165" s="1183"/>
      <c r="CL165" s="1183"/>
      <c r="CM165" s="1183"/>
      <c r="CN165" s="1183"/>
      <c r="CO165" s="1183"/>
      <c r="CP165" s="1183"/>
      <c r="CQ165" s="1183"/>
      <c r="CR165" s="1183"/>
      <c r="CS165" s="1183"/>
      <c r="CT165" s="1183"/>
      <c r="CU165" s="1183"/>
      <c r="CV165" s="1183"/>
      <c r="CW165" s="1183"/>
      <c r="CX165" s="1183"/>
      <c r="CY165" s="1183"/>
      <c r="CZ165" s="1183"/>
      <c r="DA165" s="1183"/>
      <c r="DB165" s="1183"/>
      <c r="DC165" s="1183"/>
      <c r="DD165" s="1183"/>
      <c r="DE165" s="1183"/>
      <c r="DF165" s="1183"/>
      <c r="DG165" s="1183"/>
      <c r="DH165" s="1183"/>
      <c r="DI165" s="1183"/>
      <c r="DJ165" s="1183"/>
      <c r="DK165" s="1183"/>
      <c r="DL165" s="1183"/>
      <c r="DM165" s="1183"/>
      <c r="DN165" s="1183"/>
      <c r="DO165" s="1183"/>
      <c r="DP165" s="1183"/>
      <c r="DQ165" s="1183"/>
    </row>
    <row r="166" spans="1:121" s="12" customFormat="1" ht="12" customHeight="1" x14ac:dyDescent="0.3">
      <c r="A166" s="1439">
        <f t="shared" si="88"/>
        <v>44561</v>
      </c>
      <c r="B166" s="82">
        <v>12</v>
      </c>
      <c r="C166" s="67"/>
      <c r="D166" s="67"/>
      <c r="E166" s="67"/>
      <c r="F166" s="67"/>
      <c r="G166" s="1435"/>
      <c r="H166" s="43"/>
      <c r="I166" s="1435"/>
      <c r="J166" s="1435"/>
      <c r="K166" s="1444">
        <f>Input!Q1381</f>
        <v>1186</v>
      </c>
      <c r="L166" s="1441"/>
      <c r="M166" s="1441"/>
      <c r="N166" s="1441"/>
      <c r="O166" s="1441"/>
      <c r="P166" s="1441"/>
      <c r="Q166" s="1441"/>
      <c r="R166" s="1441"/>
      <c r="S166" s="1441"/>
      <c r="T166" s="1441"/>
      <c r="U166" s="1441"/>
      <c r="V166" s="1441"/>
      <c r="W166" s="1441"/>
      <c r="X166" s="1441"/>
      <c r="Y166" s="1441"/>
      <c r="Z166" s="1441"/>
      <c r="AA166" s="1441"/>
      <c r="AB166" s="1441"/>
      <c r="AC166" s="1441"/>
      <c r="AD166" s="1441"/>
      <c r="AE166" s="1441"/>
      <c r="AF166" s="1443"/>
      <c r="AG166" s="1443"/>
      <c r="AH166" s="1443"/>
      <c r="AI166" s="1443"/>
      <c r="AJ166" s="1443"/>
      <c r="AK166" s="1443"/>
      <c r="AL166" s="1443"/>
      <c r="AM166" s="1443"/>
      <c r="AN166" s="1443"/>
      <c r="AO166" s="1443"/>
      <c r="AP166" s="1443"/>
      <c r="AQ166" s="1443"/>
      <c r="AR166" s="1443"/>
      <c r="AS166" s="1443"/>
      <c r="AT166" s="1443"/>
      <c r="AU166" s="1443"/>
      <c r="AV166" s="1443"/>
      <c r="AW166" s="1443"/>
      <c r="AX166" s="1445">
        <f>Input!$W1381*$L$125/12</f>
        <v>0</v>
      </c>
      <c r="AY166" s="1445">
        <f>Input!$W1381*$M$125/12</f>
        <v>0</v>
      </c>
      <c r="AZ166" s="1445">
        <f>Input!$W1381*$N$125/12</f>
        <v>0</v>
      </c>
      <c r="BA166" s="1445">
        <f>Input!$W1381*$O$125/12</f>
        <v>0</v>
      </c>
      <c r="BB166" s="1445">
        <f>Input!$W1381*$P$125/12</f>
        <v>0</v>
      </c>
      <c r="BC166" s="1445">
        <f>Input!$W1381*$Q$125/12</f>
        <v>0</v>
      </c>
      <c r="BD166" s="1445">
        <f>Input!$W1381*$R$125/12</f>
        <v>0</v>
      </c>
      <c r="BE166" s="1445">
        <f>Input!$W1381*$S$125/12</f>
        <v>0</v>
      </c>
      <c r="BF166" s="1445">
        <f>Input!$W1381*$T$125/12</f>
        <v>0</v>
      </c>
      <c r="BG166" s="1445">
        <f>Input!$W1381*$U$125/12</f>
        <v>0</v>
      </c>
      <c r="BH166" s="1445">
        <f>Input!$W1381*$V$125/12</f>
        <v>0</v>
      </c>
      <c r="BI166" s="1443"/>
      <c r="BJ166" s="1443"/>
      <c r="BK166" s="1443"/>
      <c r="BL166" s="1443"/>
      <c r="BM166" s="1443"/>
      <c r="BN166" s="1442"/>
      <c r="BO166" s="1442"/>
      <c r="BP166" s="1442"/>
      <c r="BQ166" s="1442"/>
      <c r="BR166" s="1442"/>
      <c r="BS166" s="1442"/>
      <c r="BT166" s="43"/>
      <c r="BU166" s="43"/>
      <c r="BV166" s="43"/>
      <c r="BW166" s="43"/>
      <c r="BX166" s="43"/>
      <c r="BY166" s="43"/>
      <c r="BZ166" s="1183"/>
      <c r="CA166" s="1183"/>
      <c r="CB166" s="1183"/>
      <c r="CC166" s="1183"/>
      <c r="CD166" s="1183"/>
      <c r="CE166" s="1183"/>
      <c r="CF166" s="1183"/>
      <c r="CG166" s="1183"/>
      <c r="CH166" s="1183"/>
      <c r="CI166" s="1183"/>
      <c r="CJ166" s="1183"/>
      <c r="CK166" s="1183"/>
      <c r="CL166" s="1183"/>
      <c r="CM166" s="1183"/>
      <c r="CN166" s="1183"/>
      <c r="CO166" s="1183"/>
      <c r="CP166" s="1183"/>
      <c r="CQ166" s="1183"/>
      <c r="CR166" s="1183"/>
      <c r="CS166" s="1183"/>
      <c r="CT166" s="1183"/>
      <c r="CU166" s="1183"/>
      <c r="CV166" s="1183"/>
      <c r="CW166" s="1183"/>
      <c r="CX166" s="1183"/>
      <c r="CY166" s="1183"/>
      <c r="CZ166" s="1183"/>
      <c r="DA166" s="1183"/>
      <c r="DB166" s="1183"/>
      <c r="DC166" s="1183"/>
      <c r="DD166" s="1183"/>
      <c r="DE166" s="1183"/>
      <c r="DF166" s="1183"/>
      <c r="DG166" s="1183"/>
      <c r="DH166" s="1183"/>
      <c r="DI166" s="1183"/>
      <c r="DJ166" s="1183"/>
      <c r="DK166" s="1183"/>
      <c r="DL166" s="1183"/>
      <c r="DM166" s="1183"/>
      <c r="DN166" s="1183"/>
      <c r="DO166" s="1183"/>
      <c r="DP166" s="1183"/>
      <c r="DQ166" s="1183"/>
    </row>
    <row r="167" spans="1:121" s="12" customFormat="1" ht="12" customHeight="1" x14ac:dyDescent="0.3">
      <c r="A167" s="1439">
        <f t="shared" si="88"/>
        <v>44592</v>
      </c>
      <c r="B167" s="82">
        <v>13</v>
      </c>
      <c r="C167" s="67"/>
      <c r="D167" s="67"/>
      <c r="E167" s="67"/>
      <c r="F167" s="67"/>
      <c r="G167" s="1435"/>
      <c r="H167" s="43"/>
      <c r="I167" s="1435"/>
      <c r="J167" s="1435"/>
      <c r="K167" s="1444">
        <f>Input!Q1382</f>
        <v>1216</v>
      </c>
      <c r="L167" s="1441"/>
      <c r="M167" s="1441"/>
      <c r="N167" s="1441"/>
      <c r="O167" s="1441"/>
      <c r="P167" s="1441"/>
      <c r="Q167" s="1441"/>
      <c r="R167" s="1441"/>
      <c r="S167" s="1441"/>
      <c r="T167" s="1441"/>
      <c r="U167" s="1441"/>
      <c r="V167" s="1441"/>
      <c r="W167" s="1441"/>
      <c r="X167" s="1441"/>
      <c r="Y167" s="1441"/>
      <c r="Z167" s="1441"/>
      <c r="AA167" s="1441"/>
      <c r="AB167" s="1441"/>
      <c r="AC167" s="1441"/>
      <c r="AD167" s="1441"/>
      <c r="AE167" s="1441"/>
      <c r="AF167" s="1443"/>
      <c r="AG167" s="1443"/>
      <c r="AH167" s="1443"/>
      <c r="AI167" s="1443"/>
      <c r="AJ167" s="1443"/>
      <c r="AK167" s="1443"/>
      <c r="AL167" s="1443"/>
      <c r="AM167" s="1443"/>
      <c r="AN167" s="1443"/>
      <c r="AO167" s="1443"/>
      <c r="AP167" s="1443"/>
      <c r="AQ167" s="1443"/>
      <c r="AR167" s="1443"/>
      <c r="AS167" s="1443"/>
      <c r="AT167" s="1443"/>
      <c r="AU167" s="1443"/>
      <c r="AV167" s="1443"/>
      <c r="AW167" s="1443"/>
      <c r="AX167" s="1443"/>
      <c r="AY167" s="1445">
        <f>Input!$W1382*$L$125/12</f>
        <v>0</v>
      </c>
      <c r="AZ167" s="1445">
        <f>Input!$W1382*$M$125/12</f>
        <v>0</v>
      </c>
      <c r="BA167" s="1445">
        <f>Input!$W1382*$N$125/12</f>
        <v>0</v>
      </c>
      <c r="BB167" s="1445">
        <f>Input!$W1382*$O$125/12</f>
        <v>0</v>
      </c>
      <c r="BC167" s="1445">
        <f>Input!$W1382*$P$125/12</f>
        <v>0</v>
      </c>
      <c r="BD167" s="1445">
        <f>Input!$W1382*$Q$125/12</f>
        <v>0</v>
      </c>
      <c r="BE167" s="1445">
        <f>Input!$W1382*$R$125/12</f>
        <v>0</v>
      </c>
      <c r="BF167" s="1445">
        <f>Input!$W1382*$S$125/12</f>
        <v>0</v>
      </c>
      <c r="BG167" s="1445">
        <f>Input!$W1382*$T$125/12</f>
        <v>0</v>
      </c>
      <c r="BH167" s="1445">
        <f>Input!$W1382*$U$125/12</f>
        <v>0</v>
      </c>
      <c r="BI167" s="1445">
        <f>Input!$W1382*$V$125/12</f>
        <v>0</v>
      </c>
      <c r="BJ167" s="1443"/>
      <c r="BK167" s="1443"/>
      <c r="BL167" s="1443"/>
      <c r="BM167" s="1443"/>
      <c r="BN167" s="1442"/>
      <c r="BO167" s="1442"/>
      <c r="BP167" s="1442"/>
      <c r="BQ167" s="1442"/>
      <c r="BR167" s="1442"/>
      <c r="BS167" s="1442"/>
      <c r="BT167" s="43"/>
      <c r="BU167" s="43"/>
      <c r="BV167" s="43"/>
      <c r="BW167" s="43"/>
      <c r="BX167" s="43"/>
      <c r="BY167" s="43"/>
      <c r="BZ167" s="1183"/>
      <c r="CA167" s="1183"/>
      <c r="CB167" s="1183"/>
      <c r="CC167" s="1183"/>
      <c r="CD167" s="1183"/>
      <c r="CE167" s="1183"/>
      <c r="CF167" s="1183"/>
      <c r="CG167" s="1183"/>
      <c r="CH167" s="1183"/>
      <c r="CI167" s="1183"/>
      <c r="CJ167" s="1183"/>
      <c r="CK167" s="1183"/>
      <c r="CL167" s="1183"/>
      <c r="CM167" s="1183"/>
      <c r="CN167" s="1183"/>
      <c r="CO167" s="1183"/>
      <c r="CP167" s="1183"/>
      <c r="CQ167" s="1183"/>
      <c r="CR167" s="1183"/>
      <c r="CS167" s="1183"/>
      <c r="CT167" s="1183"/>
      <c r="CU167" s="1183"/>
      <c r="CV167" s="1183"/>
      <c r="CW167" s="1183"/>
      <c r="CX167" s="1183"/>
      <c r="CY167" s="1183"/>
      <c r="CZ167" s="1183"/>
      <c r="DA167" s="1183"/>
      <c r="DB167" s="1183"/>
      <c r="DC167" s="1183"/>
      <c r="DD167" s="1183"/>
      <c r="DE167" s="1183"/>
      <c r="DF167" s="1183"/>
      <c r="DG167" s="1183"/>
      <c r="DH167" s="1183"/>
      <c r="DI167" s="1183"/>
      <c r="DJ167" s="1183"/>
      <c r="DK167" s="1183"/>
      <c r="DL167" s="1183"/>
      <c r="DM167" s="1183"/>
      <c r="DN167" s="1183"/>
      <c r="DO167" s="1183"/>
      <c r="DP167" s="1183"/>
      <c r="DQ167" s="1183"/>
    </row>
    <row r="168" spans="1:121" s="12" customFormat="1" ht="12" customHeight="1" x14ac:dyDescent="0.3">
      <c r="A168" s="1439">
        <f t="shared" si="88"/>
        <v>44620</v>
      </c>
      <c r="B168" s="82">
        <v>14</v>
      </c>
      <c r="C168" s="67"/>
      <c r="D168" s="67"/>
      <c r="E168" s="67"/>
      <c r="F168" s="67"/>
      <c r="G168" s="1435"/>
      <c r="H168" s="43"/>
      <c r="I168" s="1435"/>
      <c r="J168" s="1435"/>
      <c r="K168" s="1584">
        <f>Input!Q1383</f>
        <v>1247</v>
      </c>
      <c r="L168" s="1585"/>
      <c r="M168" s="1585"/>
      <c r="N168" s="1585"/>
      <c r="O168" s="1585"/>
      <c r="P168" s="1585"/>
      <c r="Q168" s="1585"/>
      <c r="R168" s="1585"/>
      <c r="S168" s="1585"/>
      <c r="T168" s="1585"/>
      <c r="U168" s="1585"/>
      <c r="V168" s="1585"/>
      <c r="W168" s="1585"/>
      <c r="X168" s="1585"/>
      <c r="Y168" s="1585"/>
      <c r="Z168" s="1585"/>
      <c r="AA168" s="1585"/>
      <c r="AB168" s="1585"/>
      <c r="AC168" s="1585"/>
      <c r="AD168" s="1585"/>
      <c r="AE168" s="1585"/>
      <c r="AF168" s="1586"/>
      <c r="AG168" s="1586"/>
      <c r="AH168" s="1586"/>
      <c r="AI168" s="1586"/>
      <c r="AJ168" s="1586"/>
      <c r="AK168" s="1586"/>
      <c r="AL168" s="1586"/>
      <c r="AM168" s="1586"/>
      <c r="AN168" s="1586"/>
      <c r="AO168" s="1586"/>
      <c r="AP168" s="1586"/>
      <c r="AQ168" s="1586"/>
      <c r="AR168" s="1586"/>
      <c r="AS168" s="1586"/>
      <c r="AT168" s="1586"/>
      <c r="AU168" s="1586"/>
      <c r="AV168" s="1586"/>
      <c r="AW168" s="1586"/>
      <c r="AX168" s="1586"/>
      <c r="AY168" s="1586"/>
      <c r="AZ168" s="1587">
        <f>Input!$W1383*$L$125/12</f>
        <v>0</v>
      </c>
      <c r="BA168" s="1587">
        <f>Input!$W1383*$M$125/12</f>
        <v>0</v>
      </c>
      <c r="BB168" s="1587">
        <f>Input!$W1383*$N$125/12</f>
        <v>0</v>
      </c>
      <c r="BC168" s="1587">
        <f>Input!$W1383*$O$125/12</f>
        <v>0</v>
      </c>
      <c r="BD168" s="1587">
        <f>Input!$W1383*$P$125/12</f>
        <v>0</v>
      </c>
      <c r="BE168" s="1587">
        <f>Input!$W1383*$Q$125/12</f>
        <v>0</v>
      </c>
      <c r="BF168" s="1587">
        <f>Input!$W1383*$R$125/12</f>
        <v>0</v>
      </c>
      <c r="BG168" s="1587">
        <f>Input!$W1383*$S$125/12</f>
        <v>0</v>
      </c>
      <c r="BH168" s="1587">
        <f>Input!$W1383*$T$125/12</f>
        <v>0</v>
      </c>
      <c r="BI168" s="1587">
        <f>Input!$W1383*$U$125/12</f>
        <v>0</v>
      </c>
      <c r="BJ168" s="1587">
        <f>Input!$W1383*$V$125/12</f>
        <v>0</v>
      </c>
      <c r="BK168" s="1586"/>
      <c r="BL168" s="1586"/>
      <c r="BM168" s="1586"/>
      <c r="BN168" s="1588"/>
      <c r="BO168" s="1588"/>
      <c r="BP168" s="1588"/>
      <c r="BQ168" s="1588"/>
      <c r="BR168" s="1588"/>
      <c r="BS168" s="1588"/>
      <c r="BT168" s="1171"/>
      <c r="BU168" s="1171"/>
      <c r="BV168" s="1171"/>
      <c r="BW168" s="1171"/>
      <c r="BX168" s="43"/>
      <c r="BY168" s="43"/>
      <c r="BZ168" s="1183"/>
      <c r="CA168" s="1183"/>
      <c r="CB168" s="1183"/>
      <c r="CC168" s="1183"/>
      <c r="CD168" s="1183"/>
      <c r="CE168" s="1183"/>
      <c r="CF168" s="1183"/>
      <c r="CG168" s="1183"/>
      <c r="CH168" s="1183"/>
      <c r="CI168" s="1183"/>
      <c r="CJ168" s="1183"/>
      <c r="CK168" s="1183"/>
      <c r="CL168" s="1183"/>
      <c r="CM168" s="1183"/>
      <c r="CN168" s="1183"/>
      <c r="CO168" s="1183"/>
      <c r="CP168" s="1183"/>
      <c r="CQ168" s="1183"/>
      <c r="CR168" s="1183"/>
      <c r="CS168" s="1183"/>
      <c r="CT168" s="1183"/>
      <c r="CU168" s="1183"/>
      <c r="CV168" s="1183"/>
      <c r="CW168" s="1183"/>
      <c r="CX168" s="1183"/>
      <c r="CY168" s="1183"/>
      <c r="CZ168" s="1183"/>
      <c r="DA168" s="1183"/>
      <c r="DB168" s="1183"/>
      <c r="DC168" s="1183"/>
      <c r="DD168" s="1183"/>
      <c r="DE168" s="1183"/>
      <c r="DF168" s="1183"/>
      <c r="DG168" s="1183"/>
      <c r="DH168" s="1183"/>
      <c r="DI168" s="1183"/>
      <c r="DJ168" s="1183"/>
      <c r="DK168" s="1183"/>
      <c r="DL168" s="1183"/>
      <c r="DM168" s="1183"/>
      <c r="DN168" s="1183"/>
      <c r="DO168" s="1183"/>
      <c r="DP168" s="1183"/>
      <c r="DQ168" s="1183"/>
    </row>
    <row r="169" spans="1:121" s="12" customFormat="1" ht="12" customHeight="1" x14ac:dyDescent="0.3">
      <c r="A169" s="1439">
        <f t="shared" si="88"/>
        <v>44651</v>
      </c>
      <c r="B169" s="82">
        <v>15</v>
      </c>
      <c r="C169" s="67"/>
      <c r="D169" s="67"/>
      <c r="E169" s="67"/>
      <c r="F169" s="67"/>
      <c r="G169" s="1435"/>
      <c r="H169" s="43"/>
      <c r="I169" s="1435"/>
      <c r="J169" s="1435"/>
      <c r="K169" s="1584">
        <f>Input!Q1384</f>
        <v>1277</v>
      </c>
      <c r="L169" s="1585"/>
      <c r="M169" s="1585"/>
      <c r="N169" s="1585"/>
      <c r="O169" s="1585"/>
      <c r="P169" s="1585"/>
      <c r="Q169" s="1585"/>
      <c r="R169" s="1585"/>
      <c r="S169" s="1585"/>
      <c r="T169" s="1585"/>
      <c r="U169" s="1585"/>
      <c r="V169" s="1585"/>
      <c r="W169" s="1585"/>
      <c r="X169" s="1585"/>
      <c r="Y169" s="1585"/>
      <c r="Z169" s="1585"/>
      <c r="AA169" s="1585"/>
      <c r="AB169" s="1585"/>
      <c r="AC169" s="1585"/>
      <c r="AD169" s="1585"/>
      <c r="AE169" s="1585"/>
      <c r="AF169" s="1586"/>
      <c r="AG169" s="1586"/>
      <c r="AH169" s="1586"/>
      <c r="AI169" s="1586"/>
      <c r="AJ169" s="1586"/>
      <c r="AK169" s="1586"/>
      <c r="AL169" s="1586"/>
      <c r="AM169" s="1586"/>
      <c r="AN169" s="1586"/>
      <c r="AO169" s="1586"/>
      <c r="AP169" s="1586"/>
      <c r="AQ169" s="1586"/>
      <c r="AR169" s="1586"/>
      <c r="AS169" s="1586"/>
      <c r="AT169" s="1586"/>
      <c r="AU169" s="1586"/>
      <c r="AV169" s="1586"/>
      <c r="AW169" s="1586"/>
      <c r="AX169" s="1586"/>
      <c r="AY169" s="1586"/>
      <c r="AZ169" s="1586"/>
      <c r="BA169" s="1587">
        <f>Input!$W1384*$L$125/12</f>
        <v>0</v>
      </c>
      <c r="BB169" s="1587">
        <f>Input!$W1384*$M$125/12</f>
        <v>0</v>
      </c>
      <c r="BC169" s="1587">
        <f>Input!$W1384*$N$125/12</f>
        <v>0</v>
      </c>
      <c r="BD169" s="1587">
        <f>Input!$W1384*$O$125/12</f>
        <v>0</v>
      </c>
      <c r="BE169" s="1587">
        <f>Input!$W1384*$P$125/12</f>
        <v>0</v>
      </c>
      <c r="BF169" s="1587">
        <f>Input!$W1384*$Q$125/12</f>
        <v>0</v>
      </c>
      <c r="BG169" s="1587">
        <f>Input!$W1384*$R$125/12</f>
        <v>0</v>
      </c>
      <c r="BH169" s="1587">
        <f>Input!$W1384*$S$125/12</f>
        <v>0</v>
      </c>
      <c r="BI169" s="1587">
        <f>Input!$W1384*$T$125/12</f>
        <v>0</v>
      </c>
      <c r="BJ169" s="1587">
        <f>Input!$W1384*$U$125/12</f>
        <v>0</v>
      </c>
      <c r="BK169" s="1587">
        <f>Input!$W1384*$V$125/12</f>
        <v>0</v>
      </c>
      <c r="BL169" s="1586"/>
      <c r="BM169" s="1586"/>
      <c r="BN169" s="1588"/>
      <c r="BO169" s="1588"/>
      <c r="BP169" s="1588"/>
      <c r="BQ169" s="1588"/>
      <c r="BR169" s="1588"/>
      <c r="BS169" s="1588"/>
      <c r="BT169" s="1171"/>
      <c r="BU169" s="1171"/>
      <c r="BV169" s="1171"/>
      <c r="BW169" s="1171"/>
      <c r="BX169" s="43"/>
      <c r="BY169" s="43"/>
      <c r="BZ169" s="1183"/>
      <c r="CA169" s="1183"/>
      <c r="CB169" s="1183"/>
      <c r="CC169" s="1183"/>
      <c r="CD169" s="1183"/>
      <c r="CE169" s="1183"/>
      <c r="CF169" s="1183"/>
      <c r="CG169" s="1183"/>
      <c r="CH169" s="1183"/>
      <c r="CI169" s="1183"/>
      <c r="CJ169" s="1183"/>
      <c r="CK169" s="1183"/>
      <c r="CL169" s="1183"/>
      <c r="CM169" s="1183"/>
      <c r="CN169" s="1183"/>
      <c r="CO169" s="1183"/>
      <c r="CP169" s="1183"/>
      <c r="CQ169" s="1183"/>
      <c r="CR169" s="1183"/>
      <c r="CS169" s="1183"/>
      <c r="CT169" s="1183"/>
      <c r="CU169" s="1183"/>
      <c r="CV169" s="1183"/>
      <c r="CW169" s="1183"/>
      <c r="CX169" s="1183"/>
      <c r="CY169" s="1183"/>
      <c r="CZ169" s="1183"/>
      <c r="DA169" s="1183"/>
      <c r="DB169" s="1183"/>
      <c r="DC169" s="1183"/>
      <c r="DD169" s="1183"/>
      <c r="DE169" s="1183"/>
      <c r="DF169" s="1183"/>
      <c r="DG169" s="1183"/>
      <c r="DH169" s="1183"/>
      <c r="DI169" s="1183"/>
      <c r="DJ169" s="1183"/>
      <c r="DK169" s="1183"/>
      <c r="DL169" s="1183"/>
      <c r="DM169" s="1183"/>
      <c r="DN169" s="1183"/>
      <c r="DO169" s="1183"/>
      <c r="DP169" s="1183"/>
      <c r="DQ169" s="1183"/>
    </row>
    <row r="170" spans="1:121" s="12" customFormat="1" ht="12" customHeight="1" x14ac:dyDescent="0.3">
      <c r="A170" s="1439">
        <f t="shared" si="88"/>
        <v>44681</v>
      </c>
      <c r="B170" s="82">
        <v>16</v>
      </c>
      <c r="C170" s="67"/>
      <c r="D170" s="67"/>
      <c r="E170" s="67"/>
      <c r="F170" s="67"/>
      <c r="G170" s="1435"/>
      <c r="H170" s="43"/>
      <c r="I170" s="1435"/>
      <c r="J170" s="1435"/>
      <c r="K170" s="1584">
        <f>Input!Q1385</f>
        <v>1308</v>
      </c>
      <c r="L170" s="1585"/>
      <c r="M170" s="1585"/>
      <c r="N170" s="1585"/>
      <c r="O170" s="1585"/>
      <c r="P170" s="1585"/>
      <c r="Q170" s="1585"/>
      <c r="R170" s="1585"/>
      <c r="S170" s="1585"/>
      <c r="T170" s="1585"/>
      <c r="U170" s="1585"/>
      <c r="V170" s="1585"/>
      <c r="W170" s="1585"/>
      <c r="X170" s="1585"/>
      <c r="Y170" s="1585"/>
      <c r="Z170" s="1585"/>
      <c r="AA170" s="1585"/>
      <c r="AB170" s="1585"/>
      <c r="AC170" s="1585"/>
      <c r="AD170" s="1585"/>
      <c r="AE170" s="1585"/>
      <c r="AF170" s="1586"/>
      <c r="AG170" s="1586"/>
      <c r="AH170" s="1586"/>
      <c r="AI170" s="1586"/>
      <c r="AJ170" s="1586"/>
      <c r="AK170" s="1586"/>
      <c r="AL170" s="1586"/>
      <c r="AM170" s="1586"/>
      <c r="AN170" s="1586"/>
      <c r="AO170" s="1586"/>
      <c r="AP170" s="1586"/>
      <c r="AQ170" s="1586"/>
      <c r="AR170" s="1586"/>
      <c r="AS170" s="1586"/>
      <c r="AT170" s="1586"/>
      <c r="AU170" s="1586"/>
      <c r="AV170" s="1586"/>
      <c r="AW170" s="1586"/>
      <c r="AX170" s="1586"/>
      <c r="AY170" s="1586"/>
      <c r="AZ170" s="1586"/>
      <c r="BA170" s="1586"/>
      <c r="BB170" s="1587">
        <f>Input!$W1385*$L$125/12</f>
        <v>0</v>
      </c>
      <c r="BC170" s="1587">
        <f>Input!$W1385*$M$125/12</f>
        <v>0</v>
      </c>
      <c r="BD170" s="1587">
        <f>Input!$W1385*$N$125/12</f>
        <v>0</v>
      </c>
      <c r="BE170" s="1587">
        <f>Input!$W1385*$O$125/12</f>
        <v>0</v>
      </c>
      <c r="BF170" s="1587">
        <f>Input!$W1385*$P$125/12</f>
        <v>0</v>
      </c>
      <c r="BG170" s="1587">
        <f>Input!$W1385*$Q$125/12</f>
        <v>0</v>
      </c>
      <c r="BH170" s="1587">
        <f>Input!$W1385*$R$125/12</f>
        <v>0</v>
      </c>
      <c r="BI170" s="1587">
        <f>Input!$W1385*$S$125/12</f>
        <v>0</v>
      </c>
      <c r="BJ170" s="1587">
        <f>Input!$W1385*$T$125/12</f>
        <v>0</v>
      </c>
      <c r="BK170" s="1587">
        <f>Input!$W1385*$U$125/12</f>
        <v>0</v>
      </c>
      <c r="BL170" s="1587">
        <f>Input!$W1385*$V$125/12</f>
        <v>0</v>
      </c>
      <c r="BM170" s="1586"/>
      <c r="BN170" s="1588"/>
      <c r="BO170" s="1588"/>
      <c r="BP170" s="1588"/>
      <c r="BQ170" s="1588"/>
      <c r="BR170" s="1588"/>
      <c r="BS170" s="1588"/>
      <c r="BT170" s="1171"/>
      <c r="BU170" s="1171"/>
      <c r="BV170" s="1171"/>
      <c r="BW170" s="1171"/>
      <c r="BX170" s="43"/>
      <c r="BY170" s="43"/>
      <c r="BZ170" s="1183"/>
      <c r="CA170" s="1183"/>
      <c r="CB170" s="1183"/>
      <c r="CC170" s="1183"/>
      <c r="CD170" s="1183"/>
      <c r="CE170" s="1183"/>
      <c r="CF170" s="1183"/>
      <c r="CG170" s="1183"/>
      <c r="CH170" s="1183"/>
      <c r="CI170" s="1183"/>
      <c r="CJ170" s="1183"/>
      <c r="CK170" s="1183"/>
      <c r="CL170" s="1183"/>
      <c r="CM170" s="1183"/>
      <c r="CN170" s="1183"/>
      <c r="CO170" s="1183"/>
      <c r="CP170" s="1183"/>
      <c r="CQ170" s="1183"/>
      <c r="CR170" s="1183"/>
      <c r="CS170" s="1183"/>
      <c r="CT170" s="1183"/>
      <c r="CU170" s="1183"/>
      <c r="CV170" s="1183"/>
      <c r="CW170" s="1183"/>
      <c r="CX170" s="1183"/>
      <c r="CY170" s="1183"/>
      <c r="CZ170" s="1183"/>
      <c r="DA170" s="1183"/>
      <c r="DB170" s="1183"/>
      <c r="DC170" s="1183"/>
      <c r="DD170" s="1183"/>
      <c r="DE170" s="1183"/>
      <c r="DF170" s="1183"/>
      <c r="DG170" s="1183"/>
      <c r="DH170" s="1183"/>
      <c r="DI170" s="1183"/>
      <c r="DJ170" s="1183"/>
      <c r="DK170" s="1183"/>
      <c r="DL170" s="1183"/>
      <c r="DM170" s="1183"/>
      <c r="DN170" s="1183"/>
      <c r="DO170" s="1183"/>
      <c r="DP170" s="1183"/>
      <c r="DQ170" s="1183"/>
    </row>
    <row r="171" spans="1:121" s="12" customFormat="1" ht="12" customHeight="1" x14ac:dyDescent="0.3">
      <c r="A171" s="1439">
        <f t="shared" si="88"/>
        <v>44712</v>
      </c>
      <c r="B171" s="82">
        <v>17</v>
      </c>
      <c r="C171" s="67"/>
      <c r="D171" s="67"/>
      <c r="E171" s="67"/>
      <c r="F171" s="67"/>
      <c r="G171" s="1435"/>
      <c r="H171" s="43"/>
      <c r="I171" s="1435"/>
      <c r="J171" s="1435"/>
      <c r="K171" s="1584">
        <f>Input!Q1386</f>
        <v>1339</v>
      </c>
      <c r="L171" s="1585"/>
      <c r="M171" s="1585"/>
      <c r="N171" s="1585"/>
      <c r="O171" s="1585"/>
      <c r="P171" s="1585"/>
      <c r="Q171" s="1585"/>
      <c r="R171" s="1585"/>
      <c r="S171" s="1585"/>
      <c r="T171" s="1585"/>
      <c r="U171" s="1585"/>
      <c r="V171" s="1585"/>
      <c r="W171" s="1585"/>
      <c r="X171" s="1585"/>
      <c r="Y171" s="1585"/>
      <c r="Z171" s="1585"/>
      <c r="AA171" s="1585"/>
      <c r="AB171" s="1585"/>
      <c r="AC171" s="1585"/>
      <c r="AD171" s="1585"/>
      <c r="AE171" s="1585"/>
      <c r="AF171" s="1586"/>
      <c r="AG171" s="1586"/>
      <c r="AH171" s="1586"/>
      <c r="AI171" s="1586"/>
      <c r="AJ171" s="1586"/>
      <c r="AK171" s="1586"/>
      <c r="AL171" s="1586"/>
      <c r="AM171" s="1586"/>
      <c r="AN171" s="1586"/>
      <c r="AO171" s="1586"/>
      <c r="AP171" s="1586"/>
      <c r="AQ171" s="1586"/>
      <c r="AR171" s="1586"/>
      <c r="AS171" s="1586"/>
      <c r="AT171" s="1586"/>
      <c r="AU171" s="1586"/>
      <c r="AV171" s="1586"/>
      <c r="AW171" s="1586"/>
      <c r="AX171" s="1586"/>
      <c r="AY171" s="1586"/>
      <c r="AZ171" s="1586"/>
      <c r="BA171" s="1586"/>
      <c r="BB171" s="1586"/>
      <c r="BC171" s="1587">
        <f>Input!$W1386*$L$125/12</f>
        <v>0</v>
      </c>
      <c r="BD171" s="1587">
        <f>Input!$W1386*$M$125/12</f>
        <v>0</v>
      </c>
      <c r="BE171" s="1587">
        <f>Input!$W1386*$N$125/12</f>
        <v>0</v>
      </c>
      <c r="BF171" s="1587">
        <f>Input!$W1386*$O$125/12</f>
        <v>0</v>
      </c>
      <c r="BG171" s="1587">
        <f>Input!$W1386*$P$125/12</f>
        <v>0</v>
      </c>
      <c r="BH171" s="1587">
        <f>Input!$W1386*$Q$125/12</f>
        <v>0</v>
      </c>
      <c r="BI171" s="1587">
        <f>Input!$W1386*$R$125/12</f>
        <v>0</v>
      </c>
      <c r="BJ171" s="1587">
        <f>Input!$W1386*$S$125/12</f>
        <v>0</v>
      </c>
      <c r="BK171" s="1587">
        <f>Input!$W1386*$T$125/12</f>
        <v>0</v>
      </c>
      <c r="BL171" s="1587">
        <f>Input!$W1386*$U$125/12</f>
        <v>0</v>
      </c>
      <c r="BM171" s="1587">
        <f>Input!$W1386*$V$125/12</f>
        <v>0</v>
      </c>
      <c r="BN171" s="1588"/>
      <c r="BO171" s="1588"/>
      <c r="BP171" s="1588"/>
      <c r="BQ171" s="1588"/>
      <c r="BR171" s="1588"/>
      <c r="BS171" s="1588"/>
      <c r="BT171" s="1171"/>
      <c r="BU171" s="1171"/>
      <c r="BV171" s="1171"/>
      <c r="BW171" s="1171"/>
      <c r="BX171" s="43"/>
      <c r="BY171" s="43"/>
      <c r="BZ171" s="1183"/>
      <c r="CA171" s="1183"/>
      <c r="CB171" s="1183"/>
      <c r="CC171" s="1183"/>
      <c r="CD171" s="1183"/>
      <c r="CE171" s="1183"/>
      <c r="CF171" s="1183"/>
      <c r="CG171" s="1183"/>
      <c r="CH171" s="1183"/>
      <c r="CI171" s="1183"/>
      <c r="CJ171" s="1183"/>
      <c r="CK171" s="1183"/>
      <c r="CL171" s="1183"/>
      <c r="CM171" s="1183"/>
      <c r="CN171" s="1183"/>
      <c r="CO171" s="1183"/>
      <c r="CP171" s="1183"/>
      <c r="CQ171" s="1183"/>
      <c r="CR171" s="1183"/>
      <c r="CS171" s="1183"/>
      <c r="CT171" s="1183"/>
      <c r="CU171" s="1183"/>
      <c r="CV171" s="1183"/>
      <c r="CW171" s="1183"/>
      <c r="CX171" s="1183"/>
      <c r="CY171" s="1183"/>
      <c r="CZ171" s="1183"/>
      <c r="DA171" s="1183"/>
      <c r="DB171" s="1183"/>
      <c r="DC171" s="1183"/>
      <c r="DD171" s="1183"/>
      <c r="DE171" s="1183"/>
      <c r="DF171" s="1183"/>
      <c r="DG171" s="1183"/>
      <c r="DH171" s="1183"/>
      <c r="DI171" s="1183"/>
      <c r="DJ171" s="1183"/>
      <c r="DK171" s="1183"/>
      <c r="DL171" s="1183"/>
      <c r="DM171" s="1183"/>
      <c r="DN171" s="1183"/>
      <c r="DO171" s="1183"/>
      <c r="DP171" s="1183"/>
      <c r="DQ171" s="1183"/>
    </row>
    <row r="172" spans="1:121" s="12" customFormat="1" ht="12" customHeight="1" x14ac:dyDescent="0.3">
      <c r="A172" s="1439">
        <f t="shared" si="88"/>
        <v>44742</v>
      </c>
      <c r="B172" s="82">
        <v>18</v>
      </c>
      <c r="C172" s="67"/>
      <c r="D172" s="67"/>
      <c r="E172" s="67"/>
      <c r="F172" s="67"/>
      <c r="G172" s="1435"/>
      <c r="H172" s="43"/>
      <c r="I172" s="1435"/>
      <c r="J172" s="1435"/>
      <c r="K172" s="1584">
        <f>Input!Q1387</f>
        <v>1369</v>
      </c>
      <c r="L172" s="1585"/>
      <c r="M172" s="1585"/>
      <c r="N172" s="1585"/>
      <c r="O172" s="1585"/>
      <c r="P172" s="1585"/>
      <c r="Q172" s="1585"/>
      <c r="R172" s="1585"/>
      <c r="S172" s="1585"/>
      <c r="T172" s="1585"/>
      <c r="U172" s="1585"/>
      <c r="V172" s="1585"/>
      <c r="W172" s="1585"/>
      <c r="X172" s="1585"/>
      <c r="Y172" s="1585"/>
      <c r="Z172" s="1585"/>
      <c r="AA172" s="1585"/>
      <c r="AB172" s="1585"/>
      <c r="AC172" s="1585"/>
      <c r="AD172" s="1585"/>
      <c r="AE172" s="1585"/>
      <c r="AF172" s="1586"/>
      <c r="AG172" s="1586"/>
      <c r="AH172" s="1586"/>
      <c r="AI172" s="1586"/>
      <c r="AJ172" s="1586"/>
      <c r="AK172" s="1586"/>
      <c r="AL172" s="1586"/>
      <c r="AM172" s="1586"/>
      <c r="AN172" s="1586"/>
      <c r="AO172" s="1586"/>
      <c r="AP172" s="1586"/>
      <c r="AQ172" s="1586"/>
      <c r="AR172" s="1586"/>
      <c r="AS172" s="1586"/>
      <c r="AT172" s="1586"/>
      <c r="AU172" s="1586"/>
      <c r="AV172" s="1586"/>
      <c r="AW172" s="1586"/>
      <c r="AX172" s="1586"/>
      <c r="AY172" s="1586"/>
      <c r="AZ172" s="1586"/>
      <c r="BA172" s="1586"/>
      <c r="BB172" s="1586"/>
      <c r="BC172" s="1586"/>
      <c r="BD172" s="1587">
        <f>Input!$W1387*$L$125/12</f>
        <v>0</v>
      </c>
      <c r="BE172" s="1587">
        <f>Input!$W1387*$M$125/12</f>
        <v>0</v>
      </c>
      <c r="BF172" s="1587">
        <f>Input!$W1387*$N$125/12</f>
        <v>0</v>
      </c>
      <c r="BG172" s="1587">
        <f>Input!$W1387*$O$125/12</f>
        <v>0</v>
      </c>
      <c r="BH172" s="1587">
        <f>Input!$W1387*$P$125/12</f>
        <v>0</v>
      </c>
      <c r="BI172" s="1587">
        <f>Input!$W1387*$Q$125/12</f>
        <v>0</v>
      </c>
      <c r="BJ172" s="1587">
        <f>Input!$W1387*$R$125/12</f>
        <v>0</v>
      </c>
      <c r="BK172" s="1587">
        <f>Input!$W1387*$S$125/12</f>
        <v>0</v>
      </c>
      <c r="BL172" s="1587">
        <f>Input!$W1387*$T$125/12</f>
        <v>0</v>
      </c>
      <c r="BM172" s="1587">
        <f>Input!$W1387*$U$125/12</f>
        <v>0</v>
      </c>
      <c r="BN172" s="1587">
        <f>Input!$W1387*$V$125/12</f>
        <v>0</v>
      </c>
      <c r="BO172" s="1588"/>
      <c r="BP172" s="1588"/>
      <c r="BQ172" s="1588"/>
      <c r="BR172" s="1588"/>
      <c r="BS172" s="1588"/>
      <c r="BT172" s="1171"/>
      <c r="BU172" s="1171"/>
      <c r="BV172" s="1171"/>
      <c r="BW172" s="1171"/>
      <c r="BX172" s="43"/>
      <c r="BY172" s="43"/>
      <c r="BZ172" s="1183"/>
      <c r="CA172" s="1183"/>
      <c r="CB172" s="1183"/>
      <c r="CC172" s="1183"/>
      <c r="CD172" s="1183"/>
      <c r="CE172" s="1183"/>
      <c r="CF172" s="1183"/>
      <c r="CG172" s="1183"/>
      <c r="CH172" s="1183"/>
      <c r="CI172" s="1183"/>
      <c r="CJ172" s="1183"/>
      <c r="CK172" s="1183"/>
      <c r="CL172" s="1183"/>
      <c r="CM172" s="1183"/>
      <c r="CN172" s="1183"/>
      <c r="CO172" s="1183"/>
      <c r="CP172" s="1183"/>
      <c r="CQ172" s="1183"/>
      <c r="CR172" s="1183"/>
      <c r="CS172" s="1183"/>
      <c r="CT172" s="1183"/>
      <c r="CU172" s="1183"/>
      <c r="CV172" s="1183"/>
      <c r="CW172" s="1183"/>
      <c r="CX172" s="1183"/>
      <c r="CY172" s="1183"/>
      <c r="CZ172" s="1183"/>
      <c r="DA172" s="1183"/>
      <c r="DB172" s="1183"/>
      <c r="DC172" s="1183"/>
      <c r="DD172" s="1183"/>
      <c r="DE172" s="1183"/>
      <c r="DF172" s="1183"/>
      <c r="DG172" s="1183"/>
      <c r="DH172" s="1183"/>
      <c r="DI172" s="1183"/>
      <c r="DJ172" s="1183"/>
      <c r="DK172" s="1183"/>
      <c r="DL172" s="1183"/>
      <c r="DM172" s="1183"/>
      <c r="DN172" s="1183"/>
      <c r="DO172" s="1183"/>
      <c r="DP172" s="1183"/>
      <c r="DQ172" s="1183"/>
    </row>
    <row r="173" spans="1:121" s="12" customFormat="1" ht="12" customHeight="1" x14ac:dyDescent="0.3">
      <c r="A173" s="1439">
        <f t="shared" si="88"/>
        <v>44773</v>
      </c>
      <c r="B173" s="82">
        <v>19</v>
      </c>
      <c r="C173" s="67"/>
      <c r="D173" s="67"/>
      <c r="E173" s="67"/>
      <c r="F173" s="67"/>
      <c r="G173" s="1435"/>
      <c r="H173" s="43"/>
      <c r="I173" s="1435"/>
      <c r="J173" s="1435"/>
      <c r="K173" s="1584">
        <f>Input!Q1388</f>
        <v>1400</v>
      </c>
      <c r="L173" s="1585"/>
      <c r="M173" s="1585"/>
      <c r="N173" s="1585"/>
      <c r="O173" s="1585"/>
      <c r="P173" s="1585"/>
      <c r="Q173" s="1585"/>
      <c r="R173" s="1585"/>
      <c r="S173" s="1585"/>
      <c r="T173" s="1585"/>
      <c r="U173" s="1585"/>
      <c r="V173" s="1585"/>
      <c r="W173" s="1585"/>
      <c r="X173" s="1585"/>
      <c r="Y173" s="1585"/>
      <c r="Z173" s="1585"/>
      <c r="AA173" s="1585"/>
      <c r="AB173" s="1585"/>
      <c r="AC173" s="1585"/>
      <c r="AD173" s="1585"/>
      <c r="AE173" s="1585"/>
      <c r="AF173" s="1586"/>
      <c r="AG173" s="1586"/>
      <c r="AH173" s="1586"/>
      <c r="AI173" s="1586"/>
      <c r="AJ173" s="1586"/>
      <c r="AK173" s="1586"/>
      <c r="AL173" s="1586"/>
      <c r="AM173" s="1586"/>
      <c r="AN173" s="1586"/>
      <c r="AO173" s="1586"/>
      <c r="AP173" s="1586"/>
      <c r="AQ173" s="1586"/>
      <c r="AR173" s="1586"/>
      <c r="AS173" s="1586"/>
      <c r="AT173" s="1586"/>
      <c r="AU173" s="1586"/>
      <c r="AV173" s="1586"/>
      <c r="AW173" s="1586"/>
      <c r="AX173" s="1586"/>
      <c r="AY173" s="1586"/>
      <c r="AZ173" s="1586"/>
      <c r="BA173" s="1586"/>
      <c r="BB173" s="1586"/>
      <c r="BC173" s="1586"/>
      <c r="BD173" s="1586"/>
      <c r="BE173" s="1587">
        <f>Input!$W1388*$L$125/12</f>
        <v>0</v>
      </c>
      <c r="BF173" s="1587">
        <f>Input!$W1388*$M$125/12</f>
        <v>0</v>
      </c>
      <c r="BG173" s="1587">
        <f>Input!$W1388*$N$125/12</f>
        <v>0</v>
      </c>
      <c r="BH173" s="1587">
        <f>Input!$W1388*$O$125/12</f>
        <v>0</v>
      </c>
      <c r="BI173" s="1587">
        <f>Input!$W1388*$P$125/12</f>
        <v>0</v>
      </c>
      <c r="BJ173" s="1587">
        <f>Input!$W1388*$Q$125/12</f>
        <v>0</v>
      </c>
      <c r="BK173" s="1587">
        <f>Input!$W1388*$R$125/12</f>
        <v>0</v>
      </c>
      <c r="BL173" s="1587">
        <f>Input!$W1388*$S$125/12</f>
        <v>0</v>
      </c>
      <c r="BM173" s="1587">
        <f>Input!$W1388*$T$125/12</f>
        <v>0</v>
      </c>
      <c r="BN173" s="1587">
        <f>Input!$W1388*$U$125/12</f>
        <v>0</v>
      </c>
      <c r="BO173" s="1587">
        <f>Input!$W1388*$V$125/12</f>
        <v>0</v>
      </c>
      <c r="BP173" s="1588"/>
      <c r="BQ173" s="1588"/>
      <c r="BR173" s="1588"/>
      <c r="BS173" s="1588"/>
      <c r="BT173" s="1171"/>
      <c r="BU173" s="1171"/>
      <c r="BV173" s="1171"/>
      <c r="BW173" s="1171"/>
      <c r="BX173" s="43"/>
      <c r="BY173" s="43"/>
      <c r="BZ173" s="1183"/>
      <c r="CA173" s="1183"/>
      <c r="CB173" s="1183"/>
      <c r="CC173" s="1183"/>
      <c r="CD173" s="1183"/>
      <c r="CE173" s="1183"/>
      <c r="CF173" s="1183"/>
      <c r="CG173" s="1183"/>
      <c r="CH173" s="1183"/>
      <c r="CI173" s="1183"/>
      <c r="CJ173" s="1183"/>
      <c r="CK173" s="1183"/>
      <c r="CL173" s="1183"/>
      <c r="CM173" s="1183"/>
      <c r="CN173" s="1183"/>
      <c r="CO173" s="1183"/>
      <c r="CP173" s="1183"/>
      <c r="CQ173" s="1183"/>
      <c r="CR173" s="1183"/>
      <c r="CS173" s="1183"/>
      <c r="CT173" s="1183"/>
      <c r="CU173" s="1183"/>
      <c r="CV173" s="1183"/>
      <c r="CW173" s="1183"/>
      <c r="CX173" s="1183"/>
      <c r="CY173" s="1183"/>
      <c r="CZ173" s="1183"/>
      <c r="DA173" s="1183"/>
      <c r="DB173" s="1183"/>
      <c r="DC173" s="1183"/>
      <c r="DD173" s="1183"/>
      <c r="DE173" s="1183"/>
      <c r="DF173" s="1183"/>
      <c r="DG173" s="1183"/>
      <c r="DH173" s="1183"/>
      <c r="DI173" s="1183"/>
      <c r="DJ173" s="1183"/>
      <c r="DK173" s="1183"/>
      <c r="DL173" s="1183"/>
      <c r="DM173" s="1183"/>
      <c r="DN173" s="1183"/>
      <c r="DO173" s="1183"/>
      <c r="DP173" s="1183"/>
      <c r="DQ173" s="1183"/>
    </row>
    <row r="174" spans="1:121" s="12" customFormat="1" ht="12" customHeight="1" x14ac:dyDescent="0.3">
      <c r="A174" s="1439">
        <f t="shared" si="88"/>
        <v>44804</v>
      </c>
      <c r="B174" s="82">
        <v>20</v>
      </c>
      <c r="C174" s="67"/>
      <c r="D174" s="67"/>
      <c r="E174" s="67"/>
      <c r="F174" s="67"/>
      <c r="G174" s="1435"/>
      <c r="H174" s="43"/>
      <c r="I174" s="1435"/>
      <c r="J174" s="1435"/>
      <c r="K174" s="1584">
        <f>Input!Q1389</f>
        <v>1430</v>
      </c>
      <c r="L174" s="1585"/>
      <c r="M174" s="1585"/>
      <c r="N174" s="1585"/>
      <c r="O174" s="1585"/>
      <c r="P174" s="1585"/>
      <c r="Q174" s="1585"/>
      <c r="R174" s="1585"/>
      <c r="S174" s="1585"/>
      <c r="T174" s="1585"/>
      <c r="U174" s="1585"/>
      <c r="V174" s="1585"/>
      <c r="W174" s="1585"/>
      <c r="X174" s="1585"/>
      <c r="Y174" s="1585"/>
      <c r="Z174" s="1585"/>
      <c r="AA174" s="1585"/>
      <c r="AB174" s="1585"/>
      <c r="AC174" s="1585"/>
      <c r="AD174" s="1585"/>
      <c r="AE174" s="1585"/>
      <c r="AF174" s="1586"/>
      <c r="AG174" s="1586"/>
      <c r="AH174" s="1586"/>
      <c r="AI174" s="1586"/>
      <c r="AJ174" s="1586"/>
      <c r="AK174" s="1586"/>
      <c r="AL174" s="1586"/>
      <c r="AM174" s="1586"/>
      <c r="AN174" s="1586"/>
      <c r="AO174" s="1586"/>
      <c r="AP174" s="1586"/>
      <c r="AQ174" s="1586"/>
      <c r="AR174" s="1586"/>
      <c r="AS174" s="1586"/>
      <c r="AT174" s="1586"/>
      <c r="AU174" s="1586"/>
      <c r="AV174" s="1586"/>
      <c r="AW174" s="1586"/>
      <c r="AX174" s="1586"/>
      <c r="AY174" s="1586"/>
      <c r="AZ174" s="1586"/>
      <c r="BA174" s="1586"/>
      <c r="BB174" s="1586"/>
      <c r="BC174" s="1586"/>
      <c r="BD174" s="1586"/>
      <c r="BE174" s="1586"/>
      <c r="BF174" s="1587">
        <f>Input!$W1389*$L$125/12</f>
        <v>0</v>
      </c>
      <c r="BG174" s="1587">
        <f>Input!$W1389*$M$125/12</f>
        <v>0</v>
      </c>
      <c r="BH174" s="1587">
        <f>Input!$W1389*$N$125/12</f>
        <v>0</v>
      </c>
      <c r="BI174" s="1587">
        <f>Input!$W1389*$O$125/12</f>
        <v>0</v>
      </c>
      <c r="BJ174" s="1587">
        <f>Input!$W1389*$P$125/12</f>
        <v>0</v>
      </c>
      <c r="BK174" s="1587">
        <f>Input!$W1389*$Q$125/12</f>
        <v>0</v>
      </c>
      <c r="BL174" s="1587">
        <f>Input!$W1389*$R$125/12</f>
        <v>0</v>
      </c>
      <c r="BM174" s="1587">
        <f>Input!$W1389*$S$125/12</f>
        <v>0</v>
      </c>
      <c r="BN174" s="1587">
        <f>Input!$W1389*$T$125/12</f>
        <v>0</v>
      </c>
      <c r="BO174" s="1587">
        <f>Input!$W1389*$U$125/12</f>
        <v>0</v>
      </c>
      <c r="BP174" s="1587">
        <f>Input!$W1389*$V$125/12</f>
        <v>0</v>
      </c>
      <c r="BQ174" s="1588"/>
      <c r="BR174" s="1588"/>
      <c r="BS174" s="1588"/>
      <c r="BT174" s="1171"/>
      <c r="BU174" s="1171"/>
      <c r="BV174" s="1171"/>
      <c r="BW174" s="1171"/>
      <c r="BX174" s="43"/>
      <c r="BY174" s="43"/>
      <c r="BZ174" s="1183"/>
      <c r="CA174" s="1183"/>
      <c r="CB174" s="1183"/>
      <c r="CC174" s="1183"/>
      <c r="CD174" s="1183"/>
      <c r="CE174" s="1183"/>
      <c r="CF174" s="1183"/>
      <c r="CG174" s="1183"/>
      <c r="CH174" s="1183"/>
      <c r="CI174" s="1183"/>
      <c r="CJ174" s="1183"/>
      <c r="CK174" s="1183"/>
      <c r="CL174" s="1183"/>
      <c r="CM174" s="1183"/>
      <c r="CN174" s="1183"/>
      <c r="CO174" s="1183"/>
      <c r="CP174" s="1183"/>
      <c r="CQ174" s="1183"/>
      <c r="CR174" s="1183"/>
      <c r="CS174" s="1183"/>
      <c r="CT174" s="1183"/>
      <c r="CU174" s="1183"/>
      <c r="CV174" s="1183"/>
      <c r="CW174" s="1183"/>
      <c r="CX174" s="1183"/>
      <c r="CY174" s="1183"/>
      <c r="CZ174" s="1183"/>
      <c r="DA174" s="1183"/>
      <c r="DB174" s="1183"/>
      <c r="DC174" s="1183"/>
      <c r="DD174" s="1183"/>
      <c r="DE174" s="1183"/>
      <c r="DF174" s="1183"/>
      <c r="DG174" s="1183"/>
      <c r="DH174" s="1183"/>
      <c r="DI174" s="1183"/>
      <c r="DJ174" s="1183"/>
      <c r="DK174" s="1183"/>
      <c r="DL174" s="1183"/>
      <c r="DM174" s="1183"/>
      <c r="DN174" s="1183"/>
      <c r="DO174" s="1183"/>
      <c r="DP174" s="1183"/>
      <c r="DQ174" s="1183"/>
    </row>
    <row r="175" spans="1:121" s="12" customFormat="1" ht="12" customHeight="1" x14ac:dyDescent="0.3">
      <c r="A175" s="1439">
        <f t="shared" si="88"/>
        <v>44834</v>
      </c>
      <c r="B175" s="82">
        <v>21</v>
      </c>
      <c r="C175" s="67"/>
      <c r="D175" s="67"/>
      <c r="E175" s="67"/>
      <c r="F175" s="67"/>
      <c r="G175" s="1435"/>
      <c r="H175" s="43"/>
      <c r="I175" s="1435"/>
      <c r="J175" s="1435"/>
      <c r="K175" s="1584">
        <f>Input!Q1390</f>
        <v>1461</v>
      </c>
      <c r="L175" s="1585"/>
      <c r="M175" s="1585"/>
      <c r="N175" s="1585"/>
      <c r="O175" s="1585"/>
      <c r="P175" s="1585"/>
      <c r="Q175" s="1585"/>
      <c r="R175" s="1585"/>
      <c r="S175" s="1585"/>
      <c r="T175" s="1585"/>
      <c r="U175" s="1585"/>
      <c r="V175" s="1585"/>
      <c r="W175" s="1585"/>
      <c r="X175" s="1585"/>
      <c r="Y175" s="1585"/>
      <c r="Z175" s="1585"/>
      <c r="AA175" s="1585"/>
      <c r="AB175" s="1585"/>
      <c r="AC175" s="1585"/>
      <c r="AD175" s="1585"/>
      <c r="AE175" s="1585"/>
      <c r="AF175" s="1586"/>
      <c r="AG175" s="1586"/>
      <c r="AH175" s="1586"/>
      <c r="AI175" s="1586"/>
      <c r="AJ175" s="1586"/>
      <c r="AK175" s="1586"/>
      <c r="AL175" s="1586"/>
      <c r="AM175" s="1586"/>
      <c r="AN175" s="1586"/>
      <c r="AO175" s="1586"/>
      <c r="AP175" s="1586"/>
      <c r="AQ175" s="1586"/>
      <c r="AR175" s="1586"/>
      <c r="AS175" s="1586"/>
      <c r="AT175" s="1586"/>
      <c r="AU175" s="1586"/>
      <c r="AV175" s="1586"/>
      <c r="AW175" s="1586"/>
      <c r="AX175" s="1586"/>
      <c r="AY175" s="1586"/>
      <c r="AZ175" s="1586"/>
      <c r="BA175" s="1586"/>
      <c r="BB175" s="1586"/>
      <c r="BC175" s="1586"/>
      <c r="BD175" s="1586"/>
      <c r="BE175" s="1586"/>
      <c r="BF175" s="1586"/>
      <c r="BG175" s="1587">
        <f>Input!$W1390*$L$125/12</f>
        <v>0</v>
      </c>
      <c r="BH175" s="1587">
        <f>Input!$W1390*$M$125/12</f>
        <v>0</v>
      </c>
      <c r="BI175" s="1587">
        <f>Input!$W1390*$N$125/12</f>
        <v>0</v>
      </c>
      <c r="BJ175" s="1587">
        <f>Input!$W1390*$O$125/12</f>
        <v>0</v>
      </c>
      <c r="BK175" s="1587">
        <f>Input!$W1390*$P$125/12</f>
        <v>0</v>
      </c>
      <c r="BL175" s="1587">
        <f>Input!$W1390*$Q$125/12</f>
        <v>0</v>
      </c>
      <c r="BM175" s="1587">
        <f>Input!$W1390*$R$125/12</f>
        <v>0</v>
      </c>
      <c r="BN175" s="1587">
        <f>Input!$W1390*$S$125/12</f>
        <v>0</v>
      </c>
      <c r="BO175" s="1587">
        <f>Input!$W1390*$T$125/12</f>
        <v>0</v>
      </c>
      <c r="BP175" s="1587">
        <f>Input!$W1390*$U$125/12</f>
        <v>0</v>
      </c>
      <c r="BQ175" s="1587">
        <f>Input!$W1390*$V$125/12</f>
        <v>0</v>
      </c>
      <c r="BR175" s="1588"/>
      <c r="BS175" s="1588"/>
      <c r="BT175" s="1171"/>
      <c r="BU175" s="1171"/>
      <c r="BV175" s="1171"/>
      <c r="BW175" s="1171"/>
      <c r="BX175" s="43"/>
      <c r="BY175" s="43"/>
      <c r="BZ175" s="1183"/>
      <c r="CA175" s="1183"/>
      <c r="CB175" s="1183"/>
      <c r="CC175" s="1183"/>
      <c r="CD175" s="1183"/>
      <c r="CE175" s="1183"/>
      <c r="CF175" s="1183"/>
      <c r="CG175" s="1183"/>
      <c r="CH175" s="1183"/>
      <c r="CI175" s="1183"/>
      <c r="CJ175" s="1183"/>
      <c r="CK175" s="1183"/>
      <c r="CL175" s="1183"/>
      <c r="CM175" s="1183"/>
      <c r="CN175" s="1183"/>
      <c r="CO175" s="1183"/>
      <c r="CP175" s="1183"/>
      <c r="CQ175" s="1183"/>
      <c r="CR175" s="1183"/>
      <c r="CS175" s="1183"/>
      <c r="CT175" s="1183"/>
      <c r="CU175" s="1183"/>
      <c r="CV175" s="1183"/>
      <c r="CW175" s="1183"/>
      <c r="CX175" s="1183"/>
      <c r="CY175" s="1183"/>
      <c r="CZ175" s="1183"/>
      <c r="DA175" s="1183"/>
      <c r="DB175" s="1183"/>
      <c r="DC175" s="1183"/>
      <c r="DD175" s="1183"/>
      <c r="DE175" s="1183"/>
      <c r="DF175" s="1183"/>
      <c r="DG175" s="1183"/>
      <c r="DH175" s="1183"/>
      <c r="DI175" s="1183"/>
      <c r="DJ175" s="1183"/>
      <c r="DK175" s="1183"/>
      <c r="DL175" s="1183"/>
      <c r="DM175" s="1183"/>
      <c r="DN175" s="1183"/>
      <c r="DO175" s="1183"/>
      <c r="DP175" s="1183"/>
      <c r="DQ175" s="1183"/>
    </row>
    <row r="176" spans="1:121" s="12" customFormat="1" ht="12" customHeight="1" x14ac:dyDescent="0.3">
      <c r="A176" s="1439">
        <f t="shared" si="88"/>
        <v>44865</v>
      </c>
      <c r="B176" s="82">
        <v>22</v>
      </c>
      <c r="C176" s="67"/>
      <c r="D176" s="67"/>
      <c r="E176" s="67"/>
      <c r="F176" s="67"/>
      <c r="G176" s="1435"/>
      <c r="H176" s="43"/>
      <c r="I176" s="1435"/>
      <c r="J176" s="1435"/>
      <c r="K176" s="1584">
        <f>Input!Q1391</f>
        <v>1492</v>
      </c>
      <c r="L176" s="1585"/>
      <c r="M176" s="1585"/>
      <c r="N176" s="1585"/>
      <c r="O176" s="1585"/>
      <c r="P176" s="1585"/>
      <c r="Q176" s="1585"/>
      <c r="R176" s="1585"/>
      <c r="S176" s="1585"/>
      <c r="T176" s="1585"/>
      <c r="U176" s="1585"/>
      <c r="V176" s="1585"/>
      <c r="W176" s="1585"/>
      <c r="X176" s="1585"/>
      <c r="Y176" s="1585"/>
      <c r="Z176" s="1585"/>
      <c r="AA176" s="1585"/>
      <c r="AB176" s="1585"/>
      <c r="AC176" s="1585"/>
      <c r="AD176" s="1585"/>
      <c r="AE176" s="1585"/>
      <c r="AF176" s="1586"/>
      <c r="AG176" s="1586"/>
      <c r="AH176" s="1586"/>
      <c r="AI176" s="1586"/>
      <c r="AJ176" s="1586"/>
      <c r="AK176" s="1586"/>
      <c r="AL176" s="1586"/>
      <c r="AM176" s="1586"/>
      <c r="AN176" s="1586"/>
      <c r="AO176" s="1586"/>
      <c r="AP176" s="1586"/>
      <c r="AQ176" s="1586"/>
      <c r="AR176" s="1586"/>
      <c r="AS176" s="1586"/>
      <c r="AT176" s="1586"/>
      <c r="AU176" s="1586"/>
      <c r="AV176" s="1586"/>
      <c r="AW176" s="1586"/>
      <c r="AX176" s="1586"/>
      <c r="AY176" s="1586"/>
      <c r="AZ176" s="1586"/>
      <c r="BA176" s="1586"/>
      <c r="BB176" s="1586"/>
      <c r="BC176" s="1586"/>
      <c r="BD176" s="1586"/>
      <c r="BE176" s="1586"/>
      <c r="BF176" s="1586"/>
      <c r="BG176" s="1586"/>
      <c r="BH176" s="1587">
        <f>Input!$W1391*$L$125/12</f>
        <v>0</v>
      </c>
      <c r="BI176" s="1587">
        <f>Input!$W1391*$M$125/12</f>
        <v>0</v>
      </c>
      <c r="BJ176" s="1587">
        <f>Input!$W1391*$N$125/12</f>
        <v>0</v>
      </c>
      <c r="BK176" s="1587">
        <f>Input!$W1391*$O$125/12</f>
        <v>0</v>
      </c>
      <c r="BL176" s="1587">
        <f>Input!$W1391*$P$125/12</f>
        <v>0</v>
      </c>
      <c r="BM176" s="1587">
        <f>Input!$W1391*$Q$125/12</f>
        <v>0</v>
      </c>
      <c r="BN176" s="1587">
        <f>Input!$W1391*$R$125/12</f>
        <v>0</v>
      </c>
      <c r="BO176" s="1587">
        <f>Input!$W1391*$S$125/12</f>
        <v>0</v>
      </c>
      <c r="BP176" s="1587">
        <f>Input!$W1391*$T$125/12</f>
        <v>0</v>
      </c>
      <c r="BQ176" s="1587">
        <f>Input!$W1391*$U$125/12</f>
        <v>0</v>
      </c>
      <c r="BR176" s="1587">
        <f>Input!$W1391*$V$125/12</f>
        <v>0</v>
      </c>
      <c r="BS176" s="1588"/>
      <c r="BT176" s="1171"/>
      <c r="BU176" s="1171"/>
      <c r="BV176" s="1171"/>
      <c r="BW176" s="1171"/>
      <c r="BX176" s="43"/>
      <c r="BY176" s="43"/>
      <c r="BZ176" s="1183"/>
      <c r="CA176" s="1183"/>
      <c r="CB176" s="1183"/>
      <c r="CC176" s="1183"/>
      <c r="CD176" s="1183"/>
      <c r="CE176" s="1183"/>
      <c r="CF176" s="1183"/>
      <c r="CG176" s="1183"/>
      <c r="CH176" s="1183"/>
      <c r="CI176" s="1183"/>
      <c r="CJ176" s="1183"/>
      <c r="CK176" s="1183"/>
      <c r="CL176" s="1183"/>
      <c r="CM176" s="1183"/>
      <c r="CN176" s="1183"/>
      <c r="CO176" s="1183"/>
      <c r="CP176" s="1183"/>
      <c r="CQ176" s="1183"/>
      <c r="CR176" s="1183"/>
      <c r="CS176" s="1183"/>
      <c r="CT176" s="1183"/>
      <c r="CU176" s="1183"/>
      <c r="CV176" s="1183"/>
      <c r="CW176" s="1183"/>
      <c r="CX176" s="1183"/>
      <c r="CY176" s="1183"/>
      <c r="CZ176" s="1183"/>
      <c r="DA176" s="1183"/>
      <c r="DB176" s="1183"/>
      <c r="DC176" s="1183"/>
      <c r="DD176" s="1183"/>
      <c r="DE176" s="1183"/>
      <c r="DF176" s="1183"/>
      <c r="DG176" s="1183"/>
      <c r="DH176" s="1183"/>
      <c r="DI176" s="1183"/>
      <c r="DJ176" s="1183"/>
      <c r="DK176" s="1183"/>
      <c r="DL176" s="1183"/>
      <c r="DM176" s="1183"/>
      <c r="DN176" s="1183"/>
      <c r="DO176" s="1183"/>
      <c r="DP176" s="1183"/>
      <c r="DQ176" s="1183"/>
    </row>
    <row r="177" spans="1:121" s="12" customFormat="1" ht="12" customHeight="1" x14ac:dyDescent="0.3">
      <c r="A177" s="1439">
        <f t="shared" si="88"/>
        <v>44895</v>
      </c>
      <c r="B177" s="82">
        <v>23</v>
      </c>
      <c r="C177" s="67"/>
      <c r="D177" s="67"/>
      <c r="E177" s="67"/>
      <c r="F177" s="67"/>
      <c r="G177" s="1435"/>
      <c r="H177" s="43"/>
      <c r="I177" s="1435"/>
      <c r="J177" s="1435"/>
      <c r="K177" s="1584">
        <f>Input!Q1392</f>
        <v>1521</v>
      </c>
      <c r="L177" s="1585"/>
      <c r="M177" s="1585"/>
      <c r="N177" s="1585"/>
      <c r="O177" s="1585"/>
      <c r="P177" s="1585"/>
      <c r="Q177" s="1585"/>
      <c r="R177" s="1585"/>
      <c r="S177" s="1585"/>
      <c r="T177" s="1585"/>
      <c r="U177" s="1585"/>
      <c r="V177" s="1585"/>
      <c r="W177" s="1585"/>
      <c r="X177" s="1585"/>
      <c r="Y177" s="1585"/>
      <c r="Z177" s="1585"/>
      <c r="AA177" s="1585"/>
      <c r="AB177" s="1585"/>
      <c r="AC177" s="1585"/>
      <c r="AD177" s="1585"/>
      <c r="AE177" s="1585"/>
      <c r="AF177" s="1586"/>
      <c r="AG177" s="1586"/>
      <c r="AH177" s="1586"/>
      <c r="AI177" s="1586"/>
      <c r="AJ177" s="1586"/>
      <c r="AK177" s="1586"/>
      <c r="AL177" s="1586"/>
      <c r="AM177" s="1586"/>
      <c r="AN177" s="1586"/>
      <c r="AO177" s="1586"/>
      <c r="AP177" s="1586"/>
      <c r="AQ177" s="1586"/>
      <c r="AR177" s="1586"/>
      <c r="AS177" s="1586"/>
      <c r="AT177" s="1586"/>
      <c r="AU177" s="1586"/>
      <c r="AV177" s="1586"/>
      <c r="AW177" s="1586"/>
      <c r="AX177" s="1586"/>
      <c r="AY177" s="1586"/>
      <c r="AZ177" s="1586"/>
      <c r="BA177" s="1586"/>
      <c r="BB177" s="1586"/>
      <c r="BC177" s="1586"/>
      <c r="BD177" s="1586"/>
      <c r="BE177" s="1586"/>
      <c r="BF177" s="1586"/>
      <c r="BG177" s="1586"/>
      <c r="BH177" s="1586"/>
      <c r="BI177" s="1587">
        <f>Input!$W1392*$L$125/12</f>
        <v>0</v>
      </c>
      <c r="BJ177" s="1587">
        <f>Input!$W1392*$M$125/12</f>
        <v>0</v>
      </c>
      <c r="BK177" s="1587">
        <f>Input!$W1392*$N$125/12</f>
        <v>0</v>
      </c>
      <c r="BL177" s="1587">
        <f>Input!$W1392*$O$125/12</f>
        <v>0</v>
      </c>
      <c r="BM177" s="1587">
        <f>Input!$W1392*$P$125/12</f>
        <v>0</v>
      </c>
      <c r="BN177" s="1587">
        <f>Input!$W1392*$Q$125/12</f>
        <v>0</v>
      </c>
      <c r="BO177" s="1587">
        <f>Input!$W1392*$R$125/12</f>
        <v>0</v>
      </c>
      <c r="BP177" s="1587">
        <f>Input!$W1392*$S$125/12</f>
        <v>0</v>
      </c>
      <c r="BQ177" s="1587">
        <f>Input!$W1392*$T$125/12</f>
        <v>0</v>
      </c>
      <c r="BR177" s="1587">
        <f>Input!$W1392*$U$125/12</f>
        <v>0</v>
      </c>
      <c r="BS177" s="1587">
        <f>Input!$W1392*$V$125/12</f>
        <v>0</v>
      </c>
      <c r="BT177" s="1171"/>
      <c r="BU177" s="1171"/>
      <c r="BV177" s="1171"/>
      <c r="BW177" s="1171"/>
      <c r="BX177" s="43"/>
      <c r="BY177" s="43"/>
      <c r="BZ177" s="1183"/>
      <c r="CA177" s="1183"/>
      <c r="CB177" s="1183"/>
      <c r="CC177" s="1183"/>
      <c r="CD177" s="1183"/>
      <c r="CE177" s="1183"/>
      <c r="CF177" s="1183"/>
      <c r="CG177" s="1183"/>
      <c r="CH177" s="1183"/>
      <c r="CI177" s="1183"/>
      <c r="CJ177" s="1183"/>
      <c r="CK177" s="1183"/>
      <c r="CL177" s="1183"/>
      <c r="CM177" s="1183"/>
      <c r="CN177" s="1183"/>
      <c r="CO177" s="1183"/>
      <c r="CP177" s="1183"/>
      <c r="CQ177" s="1183"/>
      <c r="CR177" s="1183"/>
      <c r="CS177" s="1183"/>
      <c r="CT177" s="1183"/>
      <c r="CU177" s="1183"/>
      <c r="CV177" s="1183"/>
      <c r="CW177" s="1183"/>
      <c r="CX177" s="1183"/>
      <c r="CY177" s="1183"/>
      <c r="CZ177" s="1183"/>
      <c r="DA177" s="1183"/>
      <c r="DB177" s="1183"/>
      <c r="DC177" s="1183"/>
      <c r="DD177" s="1183"/>
      <c r="DE177" s="1183"/>
      <c r="DF177" s="1183"/>
      <c r="DG177" s="1183"/>
      <c r="DH177" s="1183"/>
      <c r="DI177" s="1183"/>
      <c r="DJ177" s="1183"/>
      <c r="DK177" s="1183"/>
      <c r="DL177" s="1183"/>
      <c r="DM177" s="1183"/>
      <c r="DN177" s="1183"/>
      <c r="DO177" s="1183"/>
      <c r="DP177" s="1183"/>
      <c r="DQ177" s="1183"/>
    </row>
    <row r="178" spans="1:121" s="12" customFormat="1" ht="12" customHeight="1" x14ac:dyDescent="0.3">
      <c r="A178" s="1439">
        <f t="shared" si="88"/>
        <v>44926</v>
      </c>
      <c r="B178" s="82">
        <v>24</v>
      </c>
      <c r="C178" s="67"/>
      <c r="D178" s="67"/>
      <c r="E178" s="67"/>
      <c r="F178" s="67"/>
      <c r="G178" s="1435"/>
      <c r="H178" s="43"/>
      <c r="I178" s="1435"/>
      <c r="J178" s="1435"/>
      <c r="K178" s="1584">
        <f>Input!Q1393</f>
        <v>1552</v>
      </c>
      <c r="L178" s="1585"/>
      <c r="M178" s="1585"/>
      <c r="N178" s="1585"/>
      <c r="O178" s="1585"/>
      <c r="P178" s="1585"/>
      <c r="Q178" s="1585"/>
      <c r="R178" s="1585"/>
      <c r="S178" s="1585"/>
      <c r="T178" s="1585"/>
      <c r="U178" s="1585"/>
      <c r="V178" s="1585"/>
      <c r="W178" s="1585"/>
      <c r="X178" s="1585"/>
      <c r="Y178" s="1585"/>
      <c r="Z178" s="1585"/>
      <c r="AA178" s="1585"/>
      <c r="AB178" s="1585"/>
      <c r="AC178" s="1585"/>
      <c r="AD178" s="1585"/>
      <c r="AE178" s="1585"/>
      <c r="AF178" s="1586"/>
      <c r="AG178" s="1586"/>
      <c r="AH178" s="1586"/>
      <c r="AI178" s="1586"/>
      <c r="AJ178" s="1586"/>
      <c r="AK178" s="1586"/>
      <c r="AL178" s="1586"/>
      <c r="AM178" s="1586"/>
      <c r="AN178" s="1586"/>
      <c r="AO178" s="1586"/>
      <c r="AP178" s="1586"/>
      <c r="AQ178" s="1586"/>
      <c r="AR178" s="1586"/>
      <c r="AS178" s="1586"/>
      <c r="AT178" s="1586"/>
      <c r="AU178" s="1586"/>
      <c r="AV178" s="1586"/>
      <c r="AW178" s="1586"/>
      <c r="AX178" s="1586"/>
      <c r="AY178" s="1586"/>
      <c r="AZ178" s="1586"/>
      <c r="BA178" s="1586"/>
      <c r="BB178" s="1586"/>
      <c r="BC178" s="1586"/>
      <c r="BD178" s="1586"/>
      <c r="BE178" s="1586"/>
      <c r="BF178" s="1586"/>
      <c r="BG178" s="1586"/>
      <c r="BH178" s="1586"/>
      <c r="BI178" s="1586"/>
      <c r="BJ178" s="1587">
        <f>Input!$W1393*$L$125/12</f>
        <v>0</v>
      </c>
      <c r="BK178" s="1587">
        <f>Input!$W1393*$M$125/12</f>
        <v>0</v>
      </c>
      <c r="BL178" s="1587">
        <f>Input!$W1393*$N$125/12</f>
        <v>0</v>
      </c>
      <c r="BM178" s="1587">
        <f>Input!$W1393*$O$125/12</f>
        <v>0</v>
      </c>
      <c r="BN178" s="1587">
        <f>Input!$W1393*$P$125/12</f>
        <v>0</v>
      </c>
      <c r="BO178" s="1587">
        <f>Input!$W1393*$Q$125/12</f>
        <v>0</v>
      </c>
      <c r="BP178" s="1587">
        <f>Input!$W1393*$R$125/12</f>
        <v>0</v>
      </c>
      <c r="BQ178" s="1587">
        <f>Input!$W1393*$S$125/12</f>
        <v>0</v>
      </c>
      <c r="BR178" s="1587">
        <f>Input!$W1393*$T$125/12</f>
        <v>0</v>
      </c>
      <c r="BS178" s="1587">
        <f>Input!$W1393*$U$125/12</f>
        <v>0</v>
      </c>
      <c r="BT178" s="1171"/>
      <c r="BU178" s="1171"/>
      <c r="BV178" s="1171"/>
      <c r="BW178" s="1171"/>
      <c r="BX178" s="43"/>
      <c r="BY178" s="43"/>
      <c r="BZ178" s="1183"/>
      <c r="CA178" s="1183"/>
      <c r="CB178" s="1183"/>
      <c r="CC178" s="1183"/>
      <c r="CD178" s="1183"/>
      <c r="CE178" s="1183"/>
      <c r="CF178" s="1183"/>
      <c r="CG178" s="1183"/>
      <c r="CH178" s="1183"/>
      <c r="CI178" s="1183"/>
      <c r="CJ178" s="1183"/>
      <c r="CK178" s="1183"/>
      <c r="CL178" s="1183"/>
      <c r="CM178" s="1183"/>
      <c r="CN178" s="1183"/>
      <c r="CO178" s="1183"/>
      <c r="CP178" s="1183"/>
      <c r="CQ178" s="1183"/>
      <c r="CR178" s="1183"/>
      <c r="CS178" s="1183"/>
      <c r="CT178" s="1183"/>
      <c r="CU178" s="1183"/>
      <c r="CV178" s="1183"/>
      <c r="CW178" s="1183"/>
      <c r="CX178" s="1183"/>
      <c r="CY178" s="1183"/>
      <c r="CZ178" s="1183"/>
      <c r="DA178" s="1183"/>
      <c r="DB178" s="1183"/>
      <c r="DC178" s="1183"/>
      <c r="DD178" s="1183"/>
      <c r="DE178" s="1183"/>
      <c r="DF178" s="1183"/>
      <c r="DG178" s="1183"/>
      <c r="DH178" s="1183"/>
      <c r="DI178" s="1183"/>
      <c r="DJ178" s="1183"/>
      <c r="DK178" s="1183"/>
      <c r="DL178" s="1183"/>
      <c r="DM178" s="1183"/>
      <c r="DN178" s="1183"/>
      <c r="DO178" s="1183"/>
      <c r="DP178" s="1183"/>
      <c r="DQ178" s="1183"/>
    </row>
    <row r="179" spans="1:121" s="12" customFormat="1" ht="12" customHeight="1" x14ac:dyDescent="0.3">
      <c r="A179" s="1439">
        <f t="shared" si="88"/>
        <v>44957</v>
      </c>
      <c r="B179" s="82">
        <v>25</v>
      </c>
      <c r="C179" s="67"/>
      <c r="D179" s="67"/>
      <c r="E179" s="67"/>
      <c r="F179" s="67"/>
      <c r="G179" s="1435"/>
      <c r="H179" s="43"/>
      <c r="I179" s="1435"/>
      <c r="J179" s="1435"/>
      <c r="K179" s="1584">
        <f>Input!Q1394</f>
        <v>1582</v>
      </c>
      <c r="L179" s="1585"/>
      <c r="M179" s="1585"/>
      <c r="N179" s="1585"/>
      <c r="O179" s="1585"/>
      <c r="P179" s="1585"/>
      <c r="Q179" s="1585"/>
      <c r="R179" s="1585"/>
      <c r="S179" s="1585"/>
      <c r="T179" s="1585"/>
      <c r="U179" s="1585"/>
      <c r="V179" s="1585"/>
      <c r="W179" s="1585"/>
      <c r="X179" s="1585"/>
      <c r="Y179" s="1585"/>
      <c r="Z179" s="1585"/>
      <c r="AA179" s="1585"/>
      <c r="AB179" s="1585"/>
      <c r="AC179" s="1585"/>
      <c r="AD179" s="1585"/>
      <c r="AE179" s="1585"/>
      <c r="AF179" s="1586"/>
      <c r="AG179" s="1586"/>
      <c r="AH179" s="1586"/>
      <c r="AI179" s="1586"/>
      <c r="AJ179" s="1586"/>
      <c r="AK179" s="1586"/>
      <c r="AL179" s="1586"/>
      <c r="AM179" s="1586"/>
      <c r="AN179" s="1586"/>
      <c r="AO179" s="1586"/>
      <c r="AP179" s="1586"/>
      <c r="AQ179" s="1586"/>
      <c r="AR179" s="1586"/>
      <c r="AS179" s="1586"/>
      <c r="AT179" s="1586"/>
      <c r="AU179" s="1586"/>
      <c r="AV179" s="1586"/>
      <c r="AW179" s="1586"/>
      <c r="AX179" s="1586"/>
      <c r="AY179" s="1586"/>
      <c r="AZ179" s="1586"/>
      <c r="BA179" s="1586"/>
      <c r="BB179" s="1586"/>
      <c r="BC179" s="1586"/>
      <c r="BD179" s="1586"/>
      <c r="BE179" s="1586"/>
      <c r="BF179" s="1586"/>
      <c r="BG179" s="1586"/>
      <c r="BH179" s="1586"/>
      <c r="BI179" s="1586"/>
      <c r="BJ179" s="1586"/>
      <c r="BK179" s="1587">
        <f>Input!$W1394*$L$125/12</f>
        <v>0</v>
      </c>
      <c r="BL179" s="1587">
        <f>Input!$W1394*$M$125/12</f>
        <v>0</v>
      </c>
      <c r="BM179" s="1587">
        <f>Input!$W1394*$N$125/12</f>
        <v>0</v>
      </c>
      <c r="BN179" s="1587">
        <f>Input!$W1394*$O$125/12</f>
        <v>0</v>
      </c>
      <c r="BO179" s="1587">
        <f>Input!$W1394*$P$125/12</f>
        <v>0</v>
      </c>
      <c r="BP179" s="1587">
        <f>Input!$W1394*$Q$125/12</f>
        <v>0</v>
      </c>
      <c r="BQ179" s="1587">
        <f>Input!$W1394*$R$125/12</f>
        <v>0</v>
      </c>
      <c r="BR179" s="1587">
        <f>Input!$W1394*$S$125/12</f>
        <v>0</v>
      </c>
      <c r="BS179" s="1587">
        <f>Input!$W1394*$T$125/12</f>
        <v>0</v>
      </c>
      <c r="BT179" s="1171"/>
      <c r="BU179" s="1171"/>
      <c r="BV179" s="1171"/>
      <c r="BW179" s="1171"/>
      <c r="BX179" s="43"/>
      <c r="BY179" s="43"/>
      <c r="BZ179" s="1183"/>
      <c r="CA179" s="1183"/>
      <c r="CB179" s="1183"/>
      <c r="CC179" s="1183"/>
      <c r="CD179" s="1183"/>
      <c r="CE179" s="1183"/>
      <c r="CF179" s="1183"/>
      <c r="CG179" s="1183"/>
      <c r="CH179" s="1183"/>
      <c r="CI179" s="1183"/>
      <c r="CJ179" s="1183"/>
      <c r="CK179" s="1183"/>
      <c r="CL179" s="1183"/>
      <c r="CM179" s="1183"/>
      <c r="CN179" s="1183"/>
      <c r="CO179" s="1183"/>
      <c r="CP179" s="1183"/>
      <c r="CQ179" s="1183"/>
      <c r="CR179" s="1183"/>
      <c r="CS179" s="1183"/>
      <c r="CT179" s="1183"/>
      <c r="CU179" s="1183"/>
      <c r="CV179" s="1183"/>
      <c r="CW179" s="1183"/>
      <c r="CX179" s="1183"/>
      <c r="CY179" s="1183"/>
      <c r="CZ179" s="1183"/>
      <c r="DA179" s="1183"/>
      <c r="DB179" s="1183"/>
      <c r="DC179" s="1183"/>
      <c r="DD179" s="1183"/>
      <c r="DE179" s="1183"/>
      <c r="DF179" s="1183"/>
      <c r="DG179" s="1183"/>
      <c r="DH179" s="1183"/>
      <c r="DI179" s="1183"/>
      <c r="DJ179" s="1183"/>
      <c r="DK179" s="1183"/>
      <c r="DL179" s="1183"/>
      <c r="DM179" s="1183"/>
      <c r="DN179" s="1183"/>
      <c r="DO179" s="1183"/>
      <c r="DP179" s="1183"/>
      <c r="DQ179" s="1183"/>
    </row>
    <row r="180" spans="1:121" s="12" customFormat="1" ht="12" customHeight="1" x14ac:dyDescent="0.3">
      <c r="A180" s="1439">
        <f t="shared" si="88"/>
        <v>44985</v>
      </c>
      <c r="B180" s="82">
        <v>26</v>
      </c>
      <c r="C180" s="67"/>
      <c r="D180" s="67"/>
      <c r="E180" s="67"/>
      <c r="F180" s="67"/>
      <c r="G180" s="1435"/>
      <c r="H180" s="43"/>
      <c r="I180" s="1435"/>
      <c r="J180" s="1435"/>
      <c r="K180" s="1584">
        <f>Input!Q1395</f>
        <v>1613</v>
      </c>
      <c r="L180" s="1585"/>
      <c r="M180" s="1585"/>
      <c r="N180" s="1585"/>
      <c r="O180" s="1585"/>
      <c r="P180" s="1585"/>
      <c r="Q180" s="1585"/>
      <c r="R180" s="1585"/>
      <c r="S180" s="1585"/>
      <c r="T180" s="1585"/>
      <c r="U180" s="1585"/>
      <c r="V180" s="1585"/>
      <c r="W180" s="1585"/>
      <c r="X180" s="1585"/>
      <c r="Y180" s="1585"/>
      <c r="Z180" s="1585"/>
      <c r="AA180" s="1585"/>
      <c r="AB180" s="1585"/>
      <c r="AC180" s="1585"/>
      <c r="AD180" s="1585"/>
      <c r="AE180" s="1585"/>
      <c r="AF180" s="1586"/>
      <c r="AG180" s="1586"/>
      <c r="AH180" s="1586"/>
      <c r="AI180" s="1586"/>
      <c r="AJ180" s="1586"/>
      <c r="AK180" s="1586"/>
      <c r="AL180" s="1586"/>
      <c r="AM180" s="1586"/>
      <c r="AN180" s="1586"/>
      <c r="AO180" s="1586"/>
      <c r="AP180" s="1586"/>
      <c r="AQ180" s="1586"/>
      <c r="AR180" s="1586"/>
      <c r="AS180" s="1586"/>
      <c r="AT180" s="1586"/>
      <c r="AU180" s="1586"/>
      <c r="AV180" s="1586"/>
      <c r="AW180" s="1586"/>
      <c r="AX180" s="1586"/>
      <c r="AY180" s="1586"/>
      <c r="AZ180" s="1586"/>
      <c r="BA180" s="1586"/>
      <c r="BB180" s="1586"/>
      <c r="BC180" s="1586"/>
      <c r="BD180" s="1586"/>
      <c r="BE180" s="1586"/>
      <c r="BF180" s="1586"/>
      <c r="BG180" s="1586"/>
      <c r="BH180" s="1586"/>
      <c r="BI180" s="1586"/>
      <c r="BJ180" s="1586"/>
      <c r="BK180" s="1586"/>
      <c r="BL180" s="1587">
        <f>Input!$W1395*$L$125/12</f>
        <v>0</v>
      </c>
      <c r="BM180" s="1587">
        <f>Input!$W1395*$M$125/12</f>
        <v>0</v>
      </c>
      <c r="BN180" s="1587">
        <f>Input!$W1395*$N$125/12</f>
        <v>0</v>
      </c>
      <c r="BO180" s="1587">
        <f>Input!$W1395*$O$125/12</f>
        <v>0</v>
      </c>
      <c r="BP180" s="1587">
        <f>Input!$W1395*$P$125/12</f>
        <v>0</v>
      </c>
      <c r="BQ180" s="1587">
        <f>Input!$W1395*$Q$125/12</f>
        <v>0</v>
      </c>
      <c r="BR180" s="1587">
        <f>Input!$W1395*$R$125/12</f>
        <v>0</v>
      </c>
      <c r="BS180" s="1587">
        <f>Input!$W1395*$S$125/12</f>
        <v>0</v>
      </c>
      <c r="BT180" s="1171"/>
      <c r="BU180" s="1171"/>
      <c r="BV180" s="1171"/>
      <c r="BW180" s="1171"/>
      <c r="BX180" s="43"/>
      <c r="BY180" s="43"/>
      <c r="BZ180" s="1183"/>
      <c r="CA180" s="1183"/>
      <c r="CB180" s="1183"/>
      <c r="CC180" s="1183"/>
      <c r="CD180" s="1183"/>
      <c r="CE180" s="1183"/>
      <c r="CF180" s="1183"/>
      <c r="CG180" s="1183"/>
      <c r="CH180" s="1183"/>
      <c r="CI180" s="1183"/>
      <c r="CJ180" s="1183"/>
      <c r="CK180" s="1183"/>
      <c r="CL180" s="1183"/>
      <c r="CM180" s="1183"/>
      <c r="CN180" s="1183"/>
      <c r="CO180" s="1183"/>
      <c r="CP180" s="1183"/>
      <c r="CQ180" s="1183"/>
      <c r="CR180" s="1183"/>
      <c r="CS180" s="1183"/>
      <c r="CT180" s="1183"/>
      <c r="CU180" s="1183"/>
      <c r="CV180" s="1183"/>
      <c r="CW180" s="1183"/>
      <c r="CX180" s="1183"/>
      <c r="CY180" s="1183"/>
      <c r="CZ180" s="1183"/>
      <c r="DA180" s="1183"/>
      <c r="DB180" s="1183"/>
      <c r="DC180" s="1183"/>
      <c r="DD180" s="1183"/>
      <c r="DE180" s="1183"/>
      <c r="DF180" s="1183"/>
      <c r="DG180" s="1183"/>
      <c r="DH180" s="1183"/>
      <c r="DI180" s="1183"/>
      <c r="DJ180" s="1183"/>
      <c r="DK180" s="1183"/>
      <c r="DL180" s="1183"/>
      <c r="DM180" s="1183"/>
      <c r="DN180" s="1183"/>
      <c r="DO180" s="1183"/>
      <c r="DP180" s="1183"/>
      <c r="DQ180" s="1183"/>
    </row>
    <row r="181" spans="1:121" s="12" customFormat="1" ht="12" customHeight="1" x14ac:dyDescent="0.3">
      <c r="A181" s="1439">
        <f t="shared" si="88"/>
        <v>45016</v>
      </c>
      <c r="B181" s="82">
        <v>27</v>
      </c>
      <c r="C181" s="67"/>
      <c r="D181" s="67"/>
      <c r="E181" s="67"/>
      <c r="F181" s="67"/>
      <c r="G181" s="1435"/>
      <c r="H181" s="43"/>
      <c r="I181" s="1435"/>
      <c r="J181" s="1435"/>
      <c r="K181" s="1584">
        <f>Input!Q1396</f>
        <v>1643</v>
      </c>
      <c r="L181" s="1585"/>
      <c r="M181" s="1585"/>
      <c r="N181" s="1585"/>
      <c r="O181" s="1585"/>
      <c r="P181" s="1585"/>
      <c r="Q181" s="1585"/>
      <c r="R181" s="1585"/>
      <c r="S181" s="1585"/>
      <c r="T181" s="1585"/>
      <c r="U181" s="1585"/>
      <c r="V181" s="1585"/>
      <c r="W181" s="1585"/>
      <c r="X181" s="1585"/>
      <c r="Y181" s="1585"/>
      <c r="Z181" s="1585"/>
      <c r="AA181" s="1585"/>
      <c r="AB181" s="1585"/>
      <c r="AC181" s="1585"/>
      <c r="AD181" s="1585"/>
      <c r="AE181" s="1585"/>
      <c r="AF181" s="1586"/>
      <c r="AG181" s="1586"/>
      <c r="AH181" s="1586"/>
      <c r="AI181" s="1586"/>
      <c r="AJ181" s="1586"/>
      <c r="AK181" s="1586"/>
      <c r="AL181" s="1586"/>
      <c r="AM181" s="1586"/>
      <c r="AN181" s="1586"/>
      <c r="AO181" s="1586"/>
      <c r="AP181" s="1586"/>
      <c r="AQ181" s="1586"/>
      <c r="AR181" s="1586"/>
      <c r="AS181" s="1586"/>
      <c r="AT181" s="1586"/>
      <c r="AU181" s="1586"/>
      <c r="AV181" s="1586"/>
      <c r="AW181" s="1586"/>
      <c r="AX181" s="1586"/>
      <c r="AY181" s="1586"/>
      <c r="AZ181" s="1586"/>
      <c r="BA181" s="1586"/>
      <c r="BB181" s="1586"/>
      <c r="BC181" s="1586"/>
      <c r="BD181" s="1586"/>
      <c r="BE181" s="1586"/>
      <c r="BF181" s="1586"/>
      <c r="BG181" s="1586"/>
      <c r="BH181" s="1586"/>
      <c r="BI181" s="1586"/>
      <c r="BJ181" s="1586"/>
      <c r="BK181" s="1586"/>
      <c r="BL181" s="1586"/>
      <c r="BM181" s="1587">
        <f>Input!$W1396*$L$125/12</f>
        <v>0</v>
      </c>
      <c r="BN181" s="1587">
        <f>Input!$W1396*$M$125/12</f>
        <v>0</v>
      </c>
      <c r="BO181" s="1587">
        <f>Input!$W1396*$N$125/12</f>
        <v>0</v>
      </c>
      <c r="BP181" s="1587">
        <f>Input!$W1396*$O$125/12</f>
        <v>0</v>
      </c>
      <c r="BQ181" s="1587">
        <f>Input!$W1396*$P$125/12</f>
        <v>0</v>
      </c>
      <c r="BR181" s="1587">
        <f>Input!$W1396*$Q$125/12</f>
        <v>0</v>
      </c>
      <c r="BS181" s="1587">
        <f>Input!$W1396*$R$125/12</f>
        <v>0</v>
      </c>
      <c r="BT181" s="1171"/>
      <c r="BU181" s="1171"/>
      <c r="BV181" s="1171"/>
      <c r="BW181" s="1171"/>
      <c r="BX181" s="43"/>
      <c r="BY181" s="43"/>
      <c r="BZ181" s="1183"/>
      <c r="CA181" s="1183"/>
      <c r="CB181" s="1183"/>
      <c r="CC181" s="1183"/>
      <c r="CD181" s="1183"/>
      <c r="CE181" s="1183"/>
      <c r="CF181" s="1183"/>
      <c r="CG181" s="1183"/>
      <c r="CH181" s="1183"/>
      <c r="CI181" s="1183"/>
      <c r="CJ181" s="1183"/>
      <c r="CK181" s="1183"/>
      <c r="CL181" s="1183"/>
      <c r="CM181" s="1183"/>
      <c r="CN181" s="1183"/>
      <c r="CO181" s="1183"/>
      <c r="CP181" s="1183"/>
      <c r="CQ181" s="1183"/>
      <c r="CR181" s="1183"/>
      <c r="CS181" s="1183"/>
      <c r="CT181" s="1183"/>
      <c r="CU181" s="1183"/>
      <c r="CV181" s="1183"/>
      <c r="CW181" s="1183"/>
      <c r="CX181" s="1183"/>
      <c r="CY181" s="1183"/>
      <c r="CZ181" s="1183"/>
      <c r="DA181" s="1183"/>
      <c r="DB181" s="1183"/>
      <c r="DC181" s="1183"/>
      <c r="DD181" s="1183"/>
      <c r="DE181" s="1183"/>
      <c r="DF181" s="1183"/>
      <c r="DG181" s="1183"/>
      <c r="DH181" s="1183"/>
      <c r="DI181" s="1183"/>
      <c r="DJ181" s="1183"/>
      <c r="DK181" s="1183"/>
      <c r="DL181" s="1183"/>
      <c r="DM181" s="1183"/>
      <c r="DN181" s="1183"/>
      <c r="DO181" s="1183"/>
      <c r="DP181" s="1183"/>
      <c r="DQ181" s="1183"/>
    </row>
    <row r="182" spans="1:121" s="12" customFormat="1" ht="12" customHeight="1" x14ac:dyDescent="0.3">
      <c r="A182" s="1439">
        <f t="shared" si="88"/>
        <v>45046</v>
      </c>
      <c r="B182" s="82">
        <v>28</v>
      </c>
      <c r="C182" s="67"/>
      <c r="D182" s="67"/>
      <c r="E182" s="67"/>
      <c r="F182" s="67"/>
      <c r="G182" s="1435"/>
      <c r="H182" s="43"/>
      <c r="I182" s="1435"/>
      <c r="J182" s="1435"/>
      <c r="K182" s="1584">
        <f>Input!Q1397</f>
        <v>1674</v>
      </c>
      <c r="L182" s="1585"/>
      <c r="M182" s="1585"/>
      <c r="N182" s="1585"/>
      <c r="O182" s="1585"/>
      <c r="P182" s="1585"/>
      <c r="Q182" s="1585"/>
      <c r="R182" s="1585"/>
      <c r="S182" s="1585"/>
      <c r="T182" s="1585"/>
      <c r="U182" s="1585"/>
      <c r="V182" s="1585"/>
      <c r="W182" s="1585"/>
      <c r="X182" s="1585"/>
      <c r="Y182" s="1585"/>
      <c r="Z182" s="1585"/>
      <c r="AA182" s="1585"/>
      <c r="AB182" s="1585"/>
      <c r="AC182" s="1585"/>
      <c r="AD182" s="1585"/>
      <c r="AE182" s="1585"/>
      <c r="AF182" s="1586"/>
      <c r="AG182" s="1586"/>
      <c r="AH182" s="1586"/>
      <c r="AI182" s="1586"/>
      <c r="AJ182" s="1586"/>
      <c r="AK182" s="1586"/>
      <c r="AL182" s="1586"/>
      <c r="AM182" s="1586"/>
      <c r="AN182" s="1586"/>
      <c r="AO182" s="1586"/>
      <c r="AP182" s="1586"/>
      <c r="AQ182" s="1586"/>
      <c r="AR182" s="1586"/>
      <c r="AS182" s="1586"/>
      <c r="AT182" s="1586"/>
      <c r="AU182" s="1586"/>
      <c r="AV182" s="1586"/>
      <c r="AW182" s="1586"/>
      <c r="AX182" s="1586"/>
      <c r="AY182" s="1586"/>
      <c r="AZ182" s="1586"/>
      <c r="BA182" s="1586"/>
      <c r="BB182" s="1586"/>
      <c r="BC182" s="1586"/>
      <c r="BD182" s="1586"/>
      <c r="BE182" s="1586"/>
      <c r="BF182" s="1586"/>
      <c r="BG182" s="1586"/>
      <c r="BH182" s="1586"/>
      <c r="BI182" s="1586"/>
      <c r="BJ182" s="1586"/>
      <c r="BK182" s="1586"/>
      <c r="BL182" s="1586"/>
      <c r="BM182" s="1586"/>
      <c r="BN182" s="1587">
        <f>Input!$W1397*$L$125/12</f>
        <v>0</v>
      </c>
      <c r="BO182" s="1587">
        <f>Input!$W1397*$M$125/12</f>
        <v>0</v>
      </c>
      <c r="BP182" s="1587">
        <f>Input!$W1397*$N$125/12</f>
        <v>0</v>
      </c>
      <c r="BQ182" s="1587">
        <f>Input!$W1397*$O$125/12</f>
        <v>0</v>
      </c>
      <c r="BR182" s="1587">
        <f>Input!$W1397*$P$125/12</f>
        <v>0</v>
      </c>
      <c r="BS182" s="1587">
        <f>Input!$W1397*$Q$125/12</f>
        <v>0</v>
      </c>
      <c r="BT182" s="1171"/>
      <c r="BU182" s="1171"/>
      <c r="BV182" s="1171"/>
      <c r="BW182" s="1171"/>
      <c r="BX182" s="43"/>
      <c r="BY182" s="43"/>
      <c r="BZ182" s="1183"/>
      <c r="CA182" s="1183"/>
      <c r="CB182" s="1183"/>
      <c r="CC182" s="1183"/>
      <c r="CD182" s="1183"/>
      <c r="CE182" s="1183"/>
      <c r="CF182" s="1183"/>
      <c r="CG182" s="1183"/>
      <c r="CH182" s="1183"/>
      <c r="CI182" s="1183"/>
      <c r="CJ182" s="1183"/>
      <c r="CK182" s="1183"/>
      <c r="CL182" s="1183"/>
      <c r="CM182" s="1183"/>
      <c r="CN182" s="1183"/>
      <c r="CO182" s="1183"/>
      <c r="CP182" s="1183"/>
      <c r="CQ182" s="1183"/>
      <c r="CR182" s="1183"/>
      <c r="CS182" s="1183"/>
      <c r="CT182" s="1183"/>
      <c r="CU182" s="1183"/>
      <c r="CV182" s="1183"/>
      <c r="CW182" s="1183"/>
      <c r="CX182" s="1183"/>
      <c r="CY182" s="1183"/>
      <c r="CZ182" s="1183"/>
      <c r="DA182" s="1183"/>
      <c r="DB182" s="1183"/>
      <c r="DC182" s="1183"/>
      <c r="DD182" s="1183"/>
      <c r="DE182" s="1183"/>
      <c r="DF182" s="1183"/>
      <c r="DG182" s="1183"/>
      <c r="DH182" s="1183"/>
      <c r="DI182" s="1183"/>
      <c r="DJ182" s="1183"/>
      <c r="DK182" s="1183"/>
      <c r="DL182" s="1183"/>
      <c r="DM182" s="1183"/>
      <c r="DN182" s="1183"/>
      <c r="DO182" s="1183"/>
      <c r="DP182" s="1183"/>
      <c r="DQ182" s="1183"/>
    </row>
    <row r="183" spans="1:121" s="12" customFormat="1" ht="12" customHeight="1" x14ac:dyDescent="0.3">
      <c r="A183" s="1439">
        <f t="shared" si="88"/>
        <v>45077</v>
      </c>
      <c r="B183" s="82">
        <v>29</v>
      </c>
      <c r="C183" s="67"/>
      <c r="D183" s="67"/>
      <c r="E183" s="67"/>
      <c r="F183" s="67"/>
      <c r="G183" s="1435"/>
      <c r="H183" s="43"/>
      <c r="I183" s="1435"/>
      <c r="J183" s="1435"/>
      <c r="K183" s="1584">
        <f>Input!Q1398</f>
        <v>1705</v>
      </c>
      <c r="L183" s="1585"/>
      <c r="M183" s="1585"/>
      <c r="N183" s="1585"/>
      <c r="O183" s="1585"/>
      <c r="P183" s="1585"/>
      <c r="Q183" s="1585"/>
      <c r="R183" s="1585"/>
      <c r="S183" s="1585"/>
      <c r="T183" s="1585"/>
      <c r="U183" s="1585"/>
      <c r="V183" s="1585"/>
      <c r="W183" s="1585"/>
      <c r="X183" s="1585"/>
      <c r="Y183" s="1585"/>
      <c r="Z183" s="1585"/>
      <c r="AA183" s="1585"/>
      <c r="AB183" s="1585"/>
      <c r="AC183" s="1585"/>
      <c r="AD183" s="1585"/>
      <c r="AE183" s="1585"/>
      <c r="AF183" s="1586"/>
      <c r="AG183" s="1586"/>
      <c r="AH183" s="1586"/>
      <c r="AI183" s="1586"/>
      <c r="AJ183" s="1586"/>
      <c r="AK183" s="1586"/>
      <c r="AL183" s="1586"/>
      <c r="AM183" s="1586"/>
      <c r="AN183" s="1586"/>
      <c r="AO183" s="1586"/>
      <c r="AP183" s="1586"/>
      <c r="AQ183" s="1586"/>
      <c r="AR183" s="1586"/>
      <c r="AS183" s="1586"/>
      <c r="AT183" s="1586"/>
      <c r="AU183" s="1586"/>
      <c r="AV183" s="1586"/>
      <c r="AW183" s="1586"/>
      <c r="AX183" s="1586"/>
      <c r="AY183" s="1586"/>
      <c r="AZ183" s="1586"/>
      <c r="BA183" s="1586"/>
      <c r="BB183" s="1586"/>
      <c r="BC183" s="1586"/>
      <c r="BD183" s="1586"/>
      <c r="BE183" s="1586"/>
      <c r="BF183" s="1586"/>
      <c r="BG183" s="1586"/>
      <c r="BH183" s="1586"/>
      <c r="BI183" s="1586"/>
      <c r="BJ183" s="1586"/>
      <c r="BK183" s="1586"/>
      <c r="BL183" s="1586"/>
      <c r="BM183" s="1586"/>
      <c r="BN183" s="1588"/>
      <c r="BO183" s="1587">
        <f>Input!$W1398*$L$125/12</f>
        <v>0</v>
      </c>
      <c r="BP183" s="1587">
        <f>Input!$W1398*$M$125/12</f>
        <v>0</v>
      </c>
      <c r="BQ183" s="1587">
        <f>Input!$W1398*$N$125/12</f>
        <v>0</v>
      </c>
      <c r="BR183" s="1587">
        <f>Input!$W1398*$O$125/12</f>
        <v>0</v>
      </c>
      <c r="BS183" s="1587">
        <f>Input!$W1398*$P$125/12</f>
        <v>0</v>
      </c>
      <c r="BT183" s="1171"/>
      <c r="BU183" s="1171"/>
      <c r="BV183" s="1171"/>
      <c r="BW183" s="1171"/>
      <c r="BX183" s="43"/>
      <c r="BY183" s="43"/>
      <c r="BZ183" s="1183"/>
      <c r="CA183" s="1183"/>
      <c r="CB183" s="1183"/>
      <c r="CC183" s="1183"/>
      <c r="CD183" s="1183"/>
      <c r="CE183" s="1183"/>
      <c r="CF183" s="1183"/>
      <c r="CG183" s="1183"/>
      <c r="CH183" s="1183"/>
      <c r="CI183" s="1183"/>
      <c r="CJ183" s="1183"/>
      <c r="CK183" s="1183"/>
      <c r="CL183" s="1183"/>
      <c r="CM183" s="1183"/>
      <c r="CN183" s="1183"/>
      <c r="CO183" s="1183"/>
      <c r="CP183" s="1183"/>
      <c r="CQ183" s="1183"/>
      <c r="CR183" s="1183"/>
      <c r="CS183" s="1183"/>
      <c r="CT183" s="1183"/>
      <c r="CU183" s="1183"/>
      <c r="CV183" s="1183"/>
      <c r="CW183" s="1183"/>
      <c r="CX183" s="1183"/>
      <c r="CY183" s="1183"/>
      <c r="CZ183" s="1183"/>
      <c r="DA183" s="1183"/>
      <c r="DB183" s="1183"/>
      <c r="DC183" s="1183"/>
      <c r="DD183" s="1183"/>
      <c r="DE183" s="1183"/>
      <c r="DF183" s="1183"/>
      <c r="DG183" s="1183"/>
      <c r="DH183" s="1183"/>
      <c r="DI183" s="1183"/>
      <c r="DJ183" s="1183"/>
      <c r="DK183" s="1183"/>
      <c r="DL183" s="1183"/>
      <c r="DM183" s="1183"/>
      <c r="DN183" s="1183"/>
      <c r="DO183" s="1183"/>
      <c r="DP183" s="1183"/>
      <c r="DQ183" s="1183"/>
    </row>
    <row r="184" spans="1:121" s="12" customFormat="1" ht="12" customHeight="1" x14ac:dyDescent="0.3">
      <c r="A184" s="1439">
        <f t="shared" si="88"/>
        <v>45107</v>
      </c>
      <c r="B184" s="82">
        <v>30</v>
      </c>
      <c r="C184" s="67"/>
      <c r="D184" s="67"/>
      <c r="E184" s="67"/>
      <c r="F184" s="67"/>
      <c r="G184" s="1435"/>
      <c r="H184" s="43"/>
      <c r="I184" s="1435"/>
      <c r="J184" s="1435"/>
      <c r="K184" s="1584">
        <f>Input!Q1399</f>
        <v>1735</v>
      </c>
      <c r="L184" s="1585"/>
      <c r="M184" s="1585"/>
      <c r="N184" s="1585"/>
      <c r="O184" s="1585"/>
      <c r="P184" s="1585"/>
      <c r="Q184" s="1585"/>
      <c r="R184" s="1585"/>
      <c r="S184" s="1585"/>
      <c r="T184" s="1585"/>
      <c r="U184" s="1585"/>
      <c r="V184" s="1585"/>
      <c r="W184" s="1585"/>
      <c r="X184" s="1585"/>
      <c r="Y184" s="1585"/>
      <c r="Z184" s="1585"/>
      <c r="AA184" s="1585"/>
      <c r="AB184" s="1585"/>
      <c r="AC184" s="1585"/>
      <c r="AD184" s="1585"/>
      <c r="AE184" s="1585"/>
      <c r="AF184" s="1586"/>
      <c r="AG184" s="1586"/>
      <c r="AH184" s="1586"/>
      <c r="AI184" s="1586"/>
      <c r="AJ184" s="1586"/>
      <c r="AK184" s="1586"/>
      <c r="AL184" s="1586"/>
      <c r="AM184" s="1586"/>
      <c r="AN184" s="1586"/>
      <c r="AO184" s="1586"/>
      <c r="AP184" s="1586"/>
      <c r="AQ184" s="1586"/>
      <c r="AR184" s="1586"/>
      <c r="AS184" s="1586"/>
      <c r="AT184" s="1586"/>
      <c r="AU184" s="1586"/>
      <c r="AV184" s="1586"/>
      <c r="AW184" s="1586"/>
      <c r="AX184" s="1586"/>
      <c r="AY184" s="1586"/>
      <c r="AZ184" s="1586"/>
      <c r="BA184" s="1586"/>
      <c r="BB184" s="1586"/>
      <c r="BC184" s="1586"/>
      <c r="BD184" s="1586"/>
      <c r="BE184" s="1586"/>
      <c r="BF184" s="1586"/>
      <c r="BG184" s="1586"/>
      <c r="BH184" s="1586"/>
      <c r="BI184" s="1586"/>
      <c r="BJ184" s="1586"/>
      <c r="BK184" s="1586"/>
      <c r="BL184" s="1586"/>
      <c r="BM184" s="1586"/>
      <c r="BN184" s="1588"/>
      <c r="BO184" s="1588"/>
      <c r="BP184" s="1587">
        <f>Input!$W1399*$L$125/12</f>
        <v>0</v>
      </c>
      <c r="BQ184" s="1587">
        <f>Input!$W1399*$M$125/12</f>
        <v>0</v>
      </c>
      <c r="BR184" s="1587">
        <f>Input!$W1399*$N$125/12</f>
        <v>0</v>
      </c>
      <c r="BS184" s="1587">
        <f>Input!$W1399*$O$125/12</f>
        <v>0</v>
      </c>
      <c r="BT184" s="1171"/>
      <c r="BU184" s="1171"/>
      <c r="BV184" s="1171"/>
      <c r="BW184" s="1171"/>
      <c r="BX184" s="43"/>
      <c r="BY184" s="43"/>
      <c r="BZ184" s="1183"/>
      <c r="CA184" s="1183"/>
      <c r="CB184" s="1183"/>
      <c r="CC184" s="1183"/>
      <c r="CD184" s="1183"/>
      <c r="CE184" s="1183"/>
      <c r="CF184" s="1183"/>
      <c r="CG184" s="1183"/>
      <c r="CH184" s="1183"/>
      <c r="CI184" s="1183"/>
      <c r="CJ184" s="1183"/>
      <c r="CK184" s="1183"/>
      <c r="CL184" s="1183"/>
      <c r="CM184" s="1183"/>
      <c r="CN184" s="1183"/>
      <c r="CO184" s="1183"/>
      <c r="CP184" s="1183"/>
      <c r="CQ184" s="1183"/>
      <c r="CR184" s="1183"/>
      <c r="CS184" s="1183"/>
      <c r="CT184" s="1183"/>
      <c r="CU184" s="1183"/>
      <c r="CV184" s="1183"/>
      <c r="CW184" s="1183"/>
      <c r="CX184" s="1183"/>
      <c r="CY184" s="1183"/>
      <c r="CZ184" s="1183"/>
      <c r="DA184" s="1183"/>
      <c r="DB184" s="1183"/>
      <c r="DC184" s="1183"/>
      <c r="DD184" s="1183"/>
      <c r="DE184" s="1183"/>
      <c r="DF184" s="1183"/>
      <c r="DG184" s="1183"/>
      <c r="DH184" s="1183"/>
      <c r="DI184" s="1183"/>
      <c r="DJ184" s="1183"/>
      <c r="DK184" s="1183"/>
      <c r="DL184" s="1183"/>
      <c r="DM184" s="1183"/>
      <c r="DN184" s="1183"/>
      <c r="DO184" s="1183"/>
      <c r="DP184" s="1183"/>
      <c r="DQ184" s="1183"/>
    </row>
    <row r="185" spans="1:121" s="12" customFormat="1" ht="12" customHeight="1" x14ac:dyDescent="0.3">
      <c r="A185" s="1439">
        <f t="shared" si="88"/>
        <v>45138</v>
      </c>
      <c r="B185" s="82">
        <v>31</v>
      </c>
      <c r="C185" s="67"/>
      <c r="D185" s="67"/>
      <c r="E185" s="67"/>
      <c r="F185" s="67"/>
      <c r="G185" s="1435"/>
      <c r="H185" s="43"/>
      <c r="I185" s="1435"/>
      <c r="J185" s="1435"/>
      <c r="K185" s="1584">
        <f>Input!Q1400</f>
        <v>1766</v>
      </c>
      <c r="L185" s="1585"/>
      <c r="M185" s="1585"/>
      <c r="N185" s="1585"/>
      <c r="O185" s="1585"/>
      <c r="P185" s="1585"/>
      <c r="Q185" s="1585"/>
      <c r="R185" s="1585"/>
      <c r="S185" s="1585"/>
      <c r="T185" s="1585"/>
      <c r="U185" s="1585"/>
      <c r="V185" s="1585"/>
      <c r="W185" s="1585"/>
      <c r="X185" s="1585"/>
      <c r="Y185" s="1585"/>
      <c r="Z185" s="1585"/>
      <c r="AA185" s="1585"/>
      <c r="AB185" s="1585"/>
      <c r="AC185" s="1585"/>
      <c r="AD185" s="1585"/>
      <c r="AE185" s="1585"/>
      <c r="AF185" s="1586"/>
      <c r="AG185" s="1586"/>
      <c r="AH185" s="1586"/>
      <c r="AI185" s="1586"/>
      <c r="AJ185" s="1586"/>
      <c r="AK185" s="1586"/>
      <c r="AL185" s="1586"/>
      <c r="AM185" s="1586"/>
      <c r="AN185" s="1586"/>
      <c r="AO185" s="1586"/>
      <c r="AP185" s="1586"/>
      <c r="AQ185" s="1586"/>
      <c r="AR185" s="1586"/>
      <c r="AS185" s="1586"/>
      <c r="AT185" s="1586"/>
      <c r="AU185" s="1586"/>
      <c r="AV185" s="1586"/>
      <c r="AW185" s="1586"/>
      <c r="AX185" s="1586"/>
      <c r="AY185" s="1586"/>
      <c r="AZ185" s="1586"/>
      <c r="BA185" s="1586"/>
      <c r="BB185" s="1586"/>
      <c r="BC185" s="1586"/>
      <c r="BD185" s="1586"/>
      <c r="BE185" s="1586"/>
      <c r="BF185" s="1586"/>
      <c r="BG185" s="1586"/>
      <c r="BH185" s="1586"/>
      <c r="BI185" s="1586"/>
      <c r="BJ185" s="1586"/>
      <c r="BK185" s="1586"/>
      <c r="BL185" s="1586"/>
      <c r="BM185" s="1586"/>
      <c r="BN185" s="1588"/>
      <c r="BO185" s="1588"/>
      <c r="BP185" s="1588"/>
      <c r="BQ185" s="1587">
        <f>Input!$W1400*$L$125/12</f>
        <v>0</v>
      </c>
      <c r="BR185" s="1587">
        <f>Input!$W1400*$M$125/12</f>
        <v>0</v>
      </c>
      <c r="BS185" s="1587">
        <f>Input!$W1400*$N$125/12</f>
        <v>0</v>
      </c>
      <c r="BT185" s="1171"/>
      <c r="BU185" s="1171"/>
      <c r="BV185" s="1171"/>
      <c r="BW185" s="1171"/>
      <c r="BX185" s="43"/>
      <c r="BY185" s="43"/>
      <c r="BZ185" s="1183"/>
      <c r="CA185" s="1183"/>
      <c r="CB185" s="1183"/>
      <c r="CC185" s="1183"/>
      <c r="CD185" s="1183"/>
      <c r="CE185" s="1183"/>
      <c r="CF185" s="1183"/>
      <c r="CG185" s="1183"/>
      <c r="CH185" s="1183"/>
      <c r="CI185" s="1183"/>
      <c r="CJ185" s="1183"/>
      <c r="CK185" s="1183"/>
      <c r="CL185" s="1183"/>
      <c r="CM185" s="1183"/>
      <c r="CN185" s="1183"/>
      <c r="CO185" s="1183"/>
      <c r="CP185" s="1183"/>
      <c r="CQ185" s="1183"/>
      <c r="CR185" s="1183"/>
      <c r="CS185" s="1183"/>
      <c r="CT185" s="1183"/>
      <c r="CU185" s="1183"/>
      <c r="CV185" s="1183"/>
      <c r="CW185" s="1183"/>
      <c r="CX185" s="1183"/>
      <c r="CY185" s="1183"/>
      <c r="CZ185" s="1183"/>
      <c r="DA185" s="1183"/>
      <c r="DB185" s="1183"/>
      <c r="DC185" s="1183"/>
      <c r="DD185" s="1183"/>
      <c r="DE185" s="1183"/>
      <c r="DF185" s="1183"/>
      <c r="DG185" s="1183"/>
      <c r="DH185" s="1183"/>
      <c r="DI185" s="1183"/>
      <c r="DJ185" s="1183"/>
      <c r="DK185" s="1183"/>
      <c r="DL185" s="1183"/>
      <c r="DM185" s="1183"/>
      <c r="DN185" s="1183"/>
      <c r="DO185" s="1183"/>
      <c r="DP185" s="1183"/>
      <c r="DQ185" s="1183"/>
    </row>
    <row r="186" spans="1:121" s="12" customFormat="1" ht="12" customHeight="1" x14ac:dyDescent="0.3">
      <c r="A186" s="1439">
        <f t="shared" si="88"/>
        <v>45169</v>
      </c>
      <c r="B186" s="82">
        <v>32</v>
      </c>
      <c r="C186" s="67"/>
      <c r="D186" s="67"/>
      <c r="E186" s="67"/>
      <c r="F186" s="67"/>
      <c r="G186" s="1435"/>
      <c r="H186" s="43"/>
      <c r="I186" s="1435"/>
      <c r="J186" s="1435"/>
      <c r="K186" s="1584">
        <f>Input!Q1401</f>
        <v>1796</v>
      </c>
      <c r="L186" s="1585"/>
      <c r="M186" s="1585"/>
      <c r="N186" s="1585"/>
      <c r="O186" s="1585"/>
      <c r="P186" s="1585"/>
      <c r="Q186" s="1585"/>
      <c r="R186" s="1585"/>
      <c r="S186" s="1585"/>
      <c r="T186" s="1585"/>
      <c r="U186" s="1585"/>
      <c r="V186" s="1585"/>
      <c r="W186" s="1585"/>
      <c r="X186" s="1585"/>
      <c r="Y186" s="1585"/>
      <c r="Z186" s="1585"/>
      <c r="AA186" s="1585"/>
      <c r="AB186" s="1585"/>
      <c r="AC186" s="1585"/>
      <c r="AD186" s="1585"/>
      <c r="AE186" s="1585"/>
      <c r="AF186" s="1586"/>
      <c r="AG186" s="1586"/>
      <c r="AH186" s="1586"/>
      <c r="AI186" s="1586"/>
      <c r="AJ186" s="1586"/>
      <c r="AK186" s="1586"/>
      <c r="AL186" s="1586"/>
      <c r="AM186" s="1586"/>
      <c r="AN186" s="1586"/>
      <c r="AO186" s="1586"/>
      <c r="AP186" s="1586"/>
      <c r="AQ186" s="1586"/>
      <c r="AR186" s="1586"/>
      <c r="AS186" s="1586"/>
      <c r="AT186" s="1586"/>
      <c r="AU186" s="1586"/>
      <c r="AV186" s="1586"/>
      <c r="AW186" s="1586"/>
      <c r="AX186" s="1586"/>
      <c r="AY186" s="1586"/>
      <c r="AZ186" s="1586"/>
      <c r="BA186" s="1586"/>
      <c r="BB186" s="1586"/>
      <c r="BC186" s="1586"/>
      <c r="BD186" s="1586"/>
      <c r="BE186" s="1586"/>
      <c r="BF186" s="1586"/>
      <c r="BG186" s="1586"/>
      <c r="BH186" s="1586"/>
      <c r="BI186" s="1586"/>
      <c r="BJ186" s="1586"/>
      <c r="BK186" s="1586"/>
      <c r="BL186" s="1586"/>
      <c r="BM186" s="1586"/>
      <c r="BN186" s="1588"/>
      <c r="BO186" s="1588"/>
      <c r="BP186" s="1588"/>
      <c r="BQ186" s="1588"/>
      <c r="BR186" s="1587">
        <f>Input!$W1401*$L$125/12</f>
        <v>0</v>
      </c>
      <c r="BS186" s="1587">
        <f>Input!$W1401*$M$125/12</f>
        <v>0</v>
      </c>
      <c r="BT186" s="1171"/>
      <c r="BU186" s="1171"/>
      <c r="BV186" s="1171"/>
      <c r="BW186" s="1171"/>
      <c r="BX186" s="43"/>
      <c r="BY186" s="43"/>
      <c r="BZ186" s="1183"/>
      <c r="CA186" s="1183"/>
      <c r="CB186" s="1183"/>
      <c r="CC186" s="1183"/>
      <c r="CD186" s="1183"/>
      <c r="CE186" s="1183"/>
      <c r="CF186" s="1183"/>
      <c r="CG186" s="1183"/>
      <c r="CH186" s="1183"/>
      <c r="CI186" s="1183"/>
      <c r="CJ186" s="1183"/>
      <c r="CK186" s="1183"/>
      <c r="CL186" s="1183"/>
      <c r="CM186" s="1183"/>
      <c r="CN186" s="1183"/>
      <c r="CO186" s="1183"/>
      <c r="CP186" s="1183"/>
      <c r="CQ186" s="1183"/>
      <c r="CR186" s="1183"/>
      <c r="CS186" s="1183"/>
      <c r="CT186" s="1183"/>
      <c r="CU186" s="1183"/>
      <c r="CV186" s="1183"/>
      <c r="CW186" s="1183"/>
      <c r="CX186" s="1183"/>
      <c r="CY186" s="1183"/>
      <c r="CZ186" s="1183"/>
      <c r="DA186" s="1183"/>
      <c r="DB186" s="1183"/>
      <c r="DC186" s="1183"/>
      <c r="DD186" s="1183"/>
      <c r="DE186" s="1183"/>
      <c r="DF186" s="1183"/>
      <c r="DG186" s="1183"/>
      <c r="DH186" s="1183"/>
      <c r="DI186" s="1183"/>
      <c r="DJ186" s="1183"/>
      <c r="DK186" s="1183"/>
      <c r="DL186" s="1183"/>
      <c r="DM186" s="1183"/>
      <c r="DN186" s="1183"/>
      <c r="DO186" s="1183"/>
      <c r="DP186" s="1183"/>
      <c r="DQ186" s="1183"/>
    </row>
    <row r="187" spans="1:121" s="12" customFormat="1" ht="12" customHeight="1" x14ac:dyDescent="0.3">
      <c r="A187" s="1439">
        <f t="shared" si="88"/>
        <v>45199</v>
      </c>
      <c r="B187" s="82">
        <v>33</v>
      </c>
      <c r="C187" s="67"/>
      <c r="D187" s="67"/>
      <c r="E187" s="67"/>
      <c r="F187" s="67"/>
      <c r="G187" s="1435"/>
      <c r="H187" s="43"/>
      <c r="I187" s="1435"/>
      <c r="J187" s="1435"/>
      <c r="K187" s="1584">
        <f>Input!Q1402</f>
        <v>1827</v>
      </c>
      <c r="L187" s="1589"/>
      <c r="M187" s="1589"/>
      <c r="N187" s="1589"/>
      <c r="O187" s="1589"/>
      <c r="P187" s="1589"/>
      <c r="Q187" s="1589"/>
      <c r="R187" s="1589"/>
      <c r="S187" s="1589"/>
      <c r="T187" s="1589"/>
      <c r="U187" s="1589"/>
      <c r="V187" s="1589"/>
      <c r="W187" s="1589"/>
      <c r="X187" s="1589"/>
      <c r="Y187" s="1589"/>
      <c r="Z187" s="1589"/>
      <c r="AA187" s="1589"/>
      <c r="AB187" s="1589"/>
      <c r="AC187" s="1589"/>
      <c r="AD187" s="1589"/>
      <c r="AE187" s="1589"/>
      <c r="AF187" s="1590"/>
      <c r="AG187" s="1590"/>
      <c r="AH187" s="1590"/>
      <c r="AI187" s="1590"/>
      <c r="AJ187" s="1590"/>
      <c r="AK187" s="1590"/>
      <c r="AL187" s="1590"/>
      <c r="AM187" s="1590"/>
      <c r="AN187" s="1590"/>
      <c r="AO187" s="1590"/>
      <c r="AP187" s="1590"/>
      <c r="AQ187" s="1590"/>
      <c r="AR187" s="1590"/>
      <c r="AS187" s="1590"/>
      <c r="AT187" s="1590"/>
      <c r="AU187" s="1590"/>
      <c r="AV187" s="1590"/>
      <c r="AW187" s="1590"/>
      <c r="AX187" s="1590"/>
      <c r="AY187" s="1590"/>
      <c r="AZ187" s="1590"/>
      <c r="BA187" s="1590"/>
      <c r="BB187" s="1590"/>
      <c r="BC187" s="1590"/>
      <c r="BD187" s="1590"/>
      <c r="BE187" s="1590"/>
      <c r="BF187" s="1590"/>
      <c r="BG187" s="1590"/>
      <c r="BH187" s="1590"/>
      <c r="BI187" s="1590"/>
      <c r="BJ187" s="1590"/>
      <c r="BK187" s="1590"/>
      <c r="BL187" s="1590"/>
      <c r="BM187" s="1590"/>
      <c r="BN187" s="1591"/>
      <c r="BO187" s="1591"/>
      <c r="BP187" s="1591"/>
      <c r="BQ187" s="1591"/>
      <c r="BR187" s="1591"/>
      <c r="BS187" s="1592">
        <f>Input!$W1402*$L$125/12</f>
        <v>0</v>
      </c>
      <c r="BT187" s="1171"/>
      <c r="BU187" s="1171"/>
      <c r="BV187" s="1171"/>
      <c r="BW187" s="1171"/>
      <c r="BX187" s="43"/>
      <c r="BY187" s="43"/>
      <c r="BZ187" s="1183"/>
      <c r="CA187" s="1183"/>
      <c r="CB187" s="1183"/>
      <c r="CC187" s="1183"/>
      <c r="CD187" s="1183"/>
      <c r="CE187" s="1183"/>
      <c r="CF187" s="1183"/>
      <c r="CG187" s="1183"/>
      <c r="CH187" s="1183"/>
      <c r="CI187" s="1183"/>
      <c r="CJ187" s="1183"/>
      <c r="CK187" s="1183"/>
      <c r="CL187" s="1183"/>
      <c r="CM187" s="1183"/>
      <c r="CN187" s="1183"/>
      <c r="CO187" s="1183"/>
      <c r="CP187" s="1183"/>
      <c r="CQ187" s="1183"/>
      <c r="CR187" s="1183"/>
      <c r="CS187" s="1183"/>
      <c r="CT187" s="1183"/>
      <c r="CU187" s="1183"/>
      <c r="CV187" s="1183"/>
      <c r="CW187" s="1183"/>
      <c r="CX187" s="1183"/>
      <c r="CY187" s="1183"/>
      <c r="CZ187" s="1183"/>
      <c r="DA187" s="1183"/>
      <c r="DB187" s="1183"/>
      <c r="DC187" s="1183"/>
      <c r="DD187" s="1183"/>
      <c r="DE187" s="1183"/>
      <c r="DF187" s="1183"/>
      <c r="DG187" s="1183"/>
      <c r="DH187" s="1183"/>
      <c r="DI187" s="1183"/>
      <c r="DJ187" s="1183"/>
      <c r="DK187" s="1183"/>
      <c r="DL187" s="1183"/>
      <c r="DM187" s="1183"/>
      <c r="DN187" s="1183"/>
      <c r="DO187" s="1183"/>
      <c r="DP187" s="1183"/>
      <c r="DQ187" s="1183"/>
    </row>
    <row r="188" spans="1:121" s="12" customFormat="1" ht="12" customHeight="1" x14ac:dyDescent="0.3">
      <c r="A188" s="1439">
        <f t="shared" si="88"/>
        <v>45230</v>
      </c>
      <c r="B188" s="82">
        <v>34</v>
      </c>
      <c r="C188" s="67"/>
      <c r="D188" s="67"/>
      <c r="E188" s="67"/>
      <c r="F188" s="67"/>
      <c r="G188" s="1435"/>
      <c r="H188" s="43"/>
      <c r="I188" s="1435"/>
      <c r="J188" s="1435"/>
      <c r="K188" s="1586" t="s">
        <v>321</v>
      </c>
      <c r="L188" s="1593">
        <f>Calcs!$D$216</f>
        <v>0</v>
      </c>
      <c r="M188" s="1593">
        <f>Calcs!$D$217</f>
        <v>0</v>
      </c>
      <c r="N188" s="1593">
        <f>Calcs!$D$218</f>
        <v>0</v>
      </c>
      <c r="O188" s="1593">
        <f>Calcs!$D$219</f>
        <v>0</v>
      </c>
      <c r="P188" s="1593">
        <f>Calcs!$D$220</f>
        <v>0</v>
      </c>
      <c r="Q188" s="1593">
        <f>Calcs!$D$221</f>
        <v>0</v>
      </c>
      <c r="R188" s="1593">
        <f>Calcs!$D$222</f>
        <v>0</v>
      </c>
      <c r="S188" s="269">
        <f>Calcs!$D$223</f>
        <v>0</v>
      </c>
      <c r="T188" s="269">
        <f>Calcs!$D$224</f>
        <v>0</v>
      </c>
      <c r="U188" s="821">
        <f>Calcs!$D$225</f>
        <v>0</v>
      </c>
      <c r="V188" s="821">
        <f>Calcs!$D$226</f>
        <v>0</v>
      </c>
      <c r="W188" s="821">
        <f>Calcs!$D$227</f>
        <v>0</v>
      </c>
      <c r="X188" s="821">
        <f>Calcs!$D$228</f>
        <v>0</v>
      </c>
      <c r="Y188" s="821">
        <f>Calcs!$D$229</f>
        <v>0</v>
      </c>
      <c r="Z188" s="821">
        <f>Calcs!$D$230</f>
        <v>0</v>
      </c>
      <c r="AA188" s="821">
        <f>Calcs!$D$231</f>
        <v>0</v>
      </c>
      <c r="AB188" s="821">
        <f>Calcs!$D$232</f>
        <v>0</v>
      </c>
      <c r="AC188" s="821">
        <f>Calcs!$D$233</f>
        <v>0</v>
      </c>
      <c r="AD188" s="821">
        <f>Calcs!$D$234</f>
        <v>0</v>
      </c>
      <c r="AE188" s="821">
        <f>Calcs!$D$235</f>
        <v>0</v>
      </c>
      <c r="AF188" s="1594">
        <f>Calcs!$D$236</f>
        <v>0</v>
      </c>
      <c r="AG188" s="1594">
        <f>Calcs!$D$237</f>
        <v>0</v>
      </c>
      <c r="AH188" s="1594">
        <f>Calcs!$D$238</f>
        <v>0</v>
      </c>
      <c r="AI188" s="1594">
        <f>Calcs!$D$239</f>
        <v>0</v>
      </c>
      <c r="AJ188" s="1594">
        <f>Calcs!$D$240</f>
        <v>0</v>
      </c>
      <c r="AK188" s="1594">
        <f>Calcs!$D$241</f>
        <v>0</v>
      </c>
      <c r="AL188" s="1594">
        <f>Calcs!$D$242</f>
        <v>0</v>
      </c>
      <c r="AM188" s="1594">
        <f>Calcs!$D$243</f>
        <v>0</v>
      </c>
      <c r="AN188" s="1594">
        <f>Calcs!$D$244</f>
        <v>0</v>
      </c>
      <c r="AO188" s="1594">
        <f>Calcs!$D$245</f>
        <v>0</v>
      </c>
      <c r="AP188" s="1594">
        <f>Calcs!$D$246</f>
        <v>0</v>
      </c>
      <c r="AQ188" s="1594">
        <f>Calcs!$D$247</f>
        <v>0</v>
      </c>
      <c r="AR188" s="1594">
        <f>Calcs!$D$248</f>
        <v>0</v>
      </c>
      <c r="AS188" s="1594">
        <f>Calcs!$D$249</f>
        <v>0</v>
      </c>
      <c r="AT188" s="1594">
        <f>Calcs!$D$250</f>
        <v>0</v>
      </c>
      <c r="AU188" s="1594">
        <f>Calcs!$D$251</f>
        <v>0</v>
      </c>
      <c r="AV188" s="1594">
        <f>Calcs!$D$252</f>
        <v>0</v>
      </c>
      <c r="AW188" s="1594">
        <f>Calcs!$D$253</f>
        <v>0</v>
      </c>
      <c r="AX188" s="1594">
        <f>Calcs!$D$254</f>
        <v>0</v>
      </c>
      <c r="AY188" s="1594">
        <f>Calcs!$D$255</f>
        <v>0</v>
      </c>
      <c r="AZ188" s="1594">
        <f>Calcs!$D$256</f>
        <v>0</v>
      </c>
      <c r="BA188" s="1594">
        <f>Calcs!$D$257</f>
        <v>0</v>
      </c>
      <c r="BB188" s="1594">
        <f>Calcs!$D$258</f>
        <v>0</v>
      </c>
      <c r="BC188" s="1594">
        <f>Calcs!$D$259</f>
        <v>0</v>
      </c>
      <c r="BD188" s="1594">
        <f>Calcs!$D$260</f>
        <v>0</v>
      </c>
      <c r="BE188" s="1594">
        <f>Calcs!$D$261</f>
        <v>0</v>
      </c>
      <c r="BF188" s="1594">
        <f>Calcs!$D$262</f>
        <v>0</v>
      </c>
      <c r="BG188" s="1594">
        <f>Calcs!$D$263</f>
        <v>0</v>
      </c>
      <c r="BH188" s="1594">
        <f>Calcs!$D$264</f>
        <v>0</v>
      </c>
      <c r="BI188" s="1594">
        <f>Calcs!$D$265</f>
        <v>0</v>
      </c>
      <c r="BJ188" s="1594">
        <f>Calcs!$D$266</f>
        <v>0</v>
      </c>
      <c r="BK188" s="1594">
        <f>Calcs!$D$267</f>
        <v>0</v>
      </c>
      <c r="BL188" s="1594">
        <f>Calcs!$D$268</f>
        <v>0</v>
      </c>
      <c r="BM188" s="1594">
        <f>Calcs!$D$269</f>
        <v>0</v>
      </c>
      <c r="BN188" s="1594">
        <f>Calcs!$D$270</f>
        <v>0</v>
      </c>
      <c r="BO188" s="1594">
        <f>Calcs!$D$271</f>
        <v>0</v>
      </c>
      <c r="BP188" s="1594">
        <f>Calcs!$D$272</f>
        <v>0</v>
      </c>
      <c r="BQ188" s="1594">
        <f>Calcs!$D$273</f>
        <v>0</v>
      </c>
      <c r="BR188" s="1594">
        <f>Calcs!$D$274</f>
        <v>0</v>
      </c>
      <c r="BS188" s="1594">
        <f>Calcs!$D$275</f>
        <v>0</v>
      </c>
      <c r="BT188" s="1171"/>
      <c r="BU188" s="1171"/>
      <c r="BV188" s="1171"/>
      <c r="BW188" s="1171"/>
      <c r="BX188" s="43"/>
      <c r="BY188" s="43"/>
      <c r="BZ188" s="1183"/>
      <c r="CA188" s="1183"/>
      <c r="CB188" s="1183"/>
      <c r="CC188" s="1183"/>
      <c r="CD188" s="1183"/>
      <c r="CE188" s="1183"/>
      <c r="CF188" s="1183"/>
      <c r="CG188" s="1183"/>
      <c r="CH188" s="1183"/>
      <c r="CI188" s="1183"/>
      <c r="CJ188" s="1183"/>
      <c r="CK188" s="1183"/>
      <c r="CL188" s="1183"/>
      <c r="CM188" s="1183"/>
      <c r="CN188" s="1183"/>
      <c r="CO188" s="1183"/>
      <c r="CP188" s="1183"/>
      <c r="CQ188" s="1183"/>
      <c r="CR188" s="1183"/>
      <c r="CS188" s="1183"/>
      <c r="CT188" s="1183"/>
      <c r="CU188" s="1183"/>
      <c r="CV188" s="1183"/>
      <c r="CW188" s="1183"/>
      <c r="CX188" s="1183"/>
      <c r="CY188" s="1183"/>
      <c r="CZ188" s="1183"/>
      <c r="DA188" s="1183"/>
      <c r="DB188" s="1183"/>
      <c r="DC188" s="1183"/>
      <c r="DD188" s="1183"/>
      <c r="DE188" s="1183"/>
      <c r="DF188" s="1183"/>
      <c r="DG188" s="1183"/>
      <c r="DH188" s="1183"/>
      <c r="DI188" s="1183"/>
      <c r="DJ188" s="1183"/>
      <c r="DK188" s="1183"/>
      <c r="DL188" s="1183"/>
      <c r="DM188" s="1183"/>
      <c r="DN188" s="1183"/>
      <c r="DO188" s="1183"/>
      <c r="DP188" s="1183"/>
      <c r="DQ188" s="1183"/>
    </row>
    <row r="189" spans="1:121" s="12" customFormat="1" ht="12" customHeight="1" x14ac:dyDescent="0.3">
      <c r="A189" s="1439">
        <f t="shared" si="88"/>
        <v>45260</v>
      </c>
      <c r="B189" s="82">
        <v>35</v>
      </c>
      <c r="C189" s="67"/>
      <c r="D189" s="67"/>
      <c r="E189" s="67"/>
      <c r="F189" s="67"/>
      <c r="G189" s="1435"/>
      <c r="H189" s="43"/>
      <c r="I189" s="1435"/>
      <c r="J189" s="1435"/>
      <c r="K189" s="1586"/>
      <c r="L189" s="1585"/>
      <c r="M189" s="1585"/>
      <c r="N189" s="1585"/>
      <c r="O189" s="1585"/>
      <c r="P189" s="1585"/>
      <c r="Q189" s="1585"/>
      <c r="R189" s="1585"/>
      <c r="S189" s="1585"/>
      <c r="T189" s="1585"/>
      <c r="U189" s="1585"/>
      <c r="V189" s="1585"/>
      <c r="W189" s="1585"/>
      <c r="X189" s="1585"/>
      <c r="Y189" s="1585"/>
      <c r="Z189" s="1585"/>
      <c r="AA189" s="1585"/>
      <c r="AB189" s="1585"/>
      <c r="AC189" s="1585"/>
      <c r="AD189" s="1585"/>
      <c r="AE189" s="1585"/>
      <c r="AF189" s="1586"/>
      <c r="AG189" s="1586"/>
      <c r="AH189" s="1586"/>
      <c r="AI189" s="1586"/>
      <c r="AJ189" s="1586"/>
      <c r="AK189" s="1586"/>
      <c r="AL189" s="1586"/>
      <c r="AM189" s="1586"/>
      <c r="AN189" s="1586"/>
      <c r="AO189" s="1586"/>
      <c r="AP189" s="1586"/>
      <c r="AQ189" s="1586"/>
      <c r="AR189" s="1586"/>
      <c r="AS189" s="1586"/>
      <c r="AT189" s="1586"/>
      <c r="AU189" s="1586"/>
      <c r="AV189" s="1586"/>
      <c r="AW189" s="1586"/>
      <c r="AX189" s="1586"/>
      <c r="AY189" s="1586"/>
      <c r="AZ189" s="1586"/>
      <c r="BA189" s="1586"/>
      <c r="BB189" s="1586"/>
      <c r="BC189" s="1586"/>
      <c r="BD189" s="1586"/>
      <c r="BE189" s="1586"/>
      <c r="BF189" s="1586"/>
      <c r="BG189" s="1586"/>
      <c r="BH189" s="1586"/>
      <c r="BI189" s="1586"/>
      <c r="BJ189" s="1586"/>
      <c r="BK189" s="1586"/>
      <c r="BL189" s="1586"/>
      <c r="BM189" s="1586"/>
      <c r="BN189" s="1586"/>
      <c r="BO189" s="1586"/>
      <c r="BP189" s="1586"/>
      <c r="BQ189" s="1586"/>
      <c r="BR189" s="1586"/>
      <c r="BS189" s="1586"/>
      <c r="BT189" s="1171"/>
      <c r="BU189" s="1171"/>
      <c r="BV189" s="1171"/>
      <c r="BW189" s="1171"/>
      <c r="BX189" s="43"/>
      <c r="BY189" s="43"/>
      <c r="BZ189" s="1183"/>
      <c r="CA189" s="1183"/>
      <c r="CB189" s="1183"/>
      <c r="CC189" s="1183"/>
      <c r="CD189" s="1183"/>
      <c r="CE189" s="1183"/>
      <c r="CF189" s="1183"/>
      <c r="CG189" s="1183"/>
      <c r="CH189" s="1183"/>
      <c r="CI189" s="1183"/>
      <c r="CJ189" s="1183"/>
      <c r="CK189" s="1183"/>
      <c r="CL189" s="1183"/>
      <c r="CM189" s="1183"/>
      <c r="CN189" s="1183"/>
      <c r="CO189" s="1183"/>
      <c r="CP189" s="1183"/>
      <c r="CQ189" s="1183"/>
      <c r="CR189" s="1183"/>
      <c r="CS189" s="1183"/>
      <c r="CT189" s="1183"/>
      <c r="CU189" s="1183"/>
      <c r="CV189" s="1183"/>
      <c r="CW189" s="1183"/>
      <c r="CX189" s="1183"/>
      <c r="CY189" s="1183"/>
      <c r="CZ189" s="1183"/>
      <c r="DA189" s="1183"/>
      <c r="DB189" s="1183"/>
      <c r="DC189" s="1183"/>
      <c r="DD189" s="1183"/>
      <c r="DE189" s="1183"/>
      <c r="DF189" s="1183"/>
      <c r="DG189" s="1183"/>
      <c r="DH189" s="1183"/>
      <c r="DI189" s="1183"/>
      <c r="DJ189" s="1183"/>
      <c r="DK189" s="1183"/>
      <c r="DL189" s="1183"/>
      <c r="DM189" s="1183"/>
      <c r="DN189" s="1183"/>
      <c r="DO189" s="1183"/>
      <c r="DP189" s="1183"/>
      <c r="DQ189" s="1183"/>
    </row>
    <row r="190" spans="1:121" s="12" customFormat="1" ht="12" customHeight="1" x14ac:dyDescent="0.3">
      <c r="A190" s="1439">
        <f t="shared" si="88"/>
        <v>45291</v>
      </c>
      <c r="B190" s="82">
        <v>36</v>
      </c>
      <c r="C190" s="67"/>
      <c r="D190" s="67"/>
      <c r="E190" s="67"/>
      <c r="F190" s="67"/>
      <c r="G190" s="1435"/>
      <c r="H190" s="43"/>
      <c r="I190" s="1435"/>
      <c r="J190" s="1435"/>
      <c r="K190" s="1586" t="s">
        <v>284</v>
      </c>
      <c r="L190" s="1595">
        <f>Input!$W$1343</f>
        <v>0</v>
      </c>
      <c r="M190" s="1595">
        <f>Input!$W$1344</f>
        <v>0</v>
      </c>
      <c r="N190" s="1595">
        <f>Input!$W$1345</f>
        <v>0</v>
      </c>
      <c r="O190" s="1595">
        <f>Input!$W$1346</f>
        <v>0</v>
      </c>
      <c r="P190" s="1595">
        <f>Input!$W$1347</f>
        <v>0</v>
      </c>
      <c r="Q190" s="1595">
        <f>Input!$W$1348</f>
        <v>0</v>
      </c>
      <c r="R190" s="1595">
        <f>Input!$W$1349</f>
        <v>0</v>
      </c>
      <c r="S190" s="1595">
        <f>Input!$W$1350</f>
        <v>0</v>
      </c>
      <c r="T190" s="1595">
        <f>Input!$W$1351</f>
        <v>0</v>
      </c>
      <c r="U190" s="1595">
        <f>Input!$W$1352</f>
        <v>0</v>
      </c>
      <c r="V190" s="1595">
        <f>Input!$W$1353</f>
        <v>0</v>
      </c>
      <c r="W190" s="1595">
        <f>Input!$W$1354</f>
        <v>0</v>
      </c>
      <c r="X190" s="1595">
        <f>Input!$W$1355</f>
        <v>0</v>
      </c>
      <c r="Y190" s="1595">
        <f>Input!$W$1356</f>
        <v>0</v>
      </c>
      <c r="Z190" s="1595">
        <f>Input!$W$1357</f>
        <v>0</v>
      </c>
      <c r="AA190" s="1595">
        <f>Input!$W$1358</f>
        <v>0</v>
      </c>
      <c r="AB190" s="1595">
        <f>Input!$W$1359</f>
        <v>0</v>
      </c>
      <c r="AC190" s="1595">
        <f>Input!$W$1360</f>
        <v>0</v>
      </c>
      <c r="AD190" s="1595">
        <f>Input!$W$1361</f>
        <v>0</v>
      </c>
      <c r="AE190" s="1595">
        <f>Input!$W$1362</f>
        <v>0</v>
      </c>
      <c r="AF190" s="1596">
        <f>Input!$W$1363</f>
        <v>0</v>
      </c>
      <c r="AG190" s="1596">
        <f>Input!$W$1364</f>
        <v>0</v>
      </c>
      <c r="AH190" s="1596">
        <f>Input!$W$1365</f>
        <v>0</v>
      </c>
      <c r="AI190" s="1596">
        <f>Input!$W$1366</f>
        <v>0</v>
      </c>
      <c r="AJ190" s="1596">
        <f>Input!$W$1367</f>
        <v>0</v>
      </c>
      <c r="AK190" s="1596">
        <f>Input!$W$1368</f>
        <v>0</v>
      </c>
      <c r="AL190" s="1596">
        <f>Input!$W$1369</f>
        <v>0</v>
      </c>
      <c r="AM190" s="1596">
        <f>Input!$W$1370</f>
        <v>0</v>
      </c>
      <c r="AN190" s="1596">
        <f>Input!$W$1371</f>
        <v>0</v>
      </c>
      <c r="AO190" s="1596">
        <f>Input!$W$1372</f>
        <v>0</v>
      </c>
      <c r="AP190" s="1596">
        <f>Input!$W$1373</f>
        <v>0</v>
      </c>
      <c r="AQ190" s="1596">
        <f>Input!$W$1374</f>
        <v>0</v>
      </c>
      <c r="AR190" s="1596">
        <f>Input!$W$1375</f>
        <v>0</v>
      </c>
      <c r="AS190" s="1596">
        <f>Input!$W$1376</f>
        <v>0</v>
      </c>
      <c r="AT190" s="1596">
        <f>Input!$W$1377</f>
        <v>0</v>
      </c>
      <c r="AU190" s="1596">
        <f>Input!$W$1378</f>
        <v>0</v>
      </c>
      <c r="AV190" s="1596">
        <f>Input!$W$1379</f>
        <v>0</v>
      </c>
      <c r="AW190" s="1596">
        <f>Input!$W$1380</f>
        <v>0</v>
      </c>
      <c r="AX190" s="1596">
        <f>Input!$W$1381</f>
        <v>0</v>
      </c>
      <c r="AY190" s="1596">
        <f>Input!$W$1382</f>
        <v>0</v>
      </c>
      <c r="AZ190" s="1596">
        <f>Input!$W$1383</f>
        <v>0</v>
      </c>
      <c r="BA190" s="1596">
        <f>Input!$W$1384</f>
        <v>0</v>
      </c>
      <c r="BB190" s="1596">
        <f>Input!$W$1385</f>
        <v>0</v>
      </c>
      <c r="BC190" s="1596">
        <f>Input!$W$1386</f>
        <v>0</v>
      </c>
      <c r="BD190" s="1596">
        <f>Input!$W$1387</f>
        <v>0</v>
      </c>
      <c r="BE190" s="1596">
        <f>Input!$W$1388</f>
        <v>0</v>
      </c>
      <c r="BF190" s="1596">
        <f>Input!$W$1389</f>
        <v>0</v>
      </c>
      <c r="BG190" s="1596">
        <f>Input!$W$1390</f>
        <v>0</v>
      </c>
      <c r="BH190" s="1596">
        <f>Input!$W$1391</f>
        <v>0</v>
      </c>
      <c r="BI190" s="1596">
        <f>Input!$W$1392</f>
        <v>0</v>
      </c>
      <c r="BJ190" s="1596">
        <f>Input!$W$1393</f>
        <v>0</v>
      </c>
      <c r="BK190" s="1596">
        <f>Input!$W$1394</f>
        <v>0</v>
      </c>
      <c r="BL190" s="1596">
        <f>Input!$W$1395</f>
        <v>0</v>
      </c>
      <c r="BM190" s="1596">
        <f>Input!$W$1396</f>
        <v>0</v>
      </c>
      <c r="BN190" s="1596">
        <f>Input!$W$1397</f>
        <v>0</v>
      </c>
      <c r="BO190" s="1596">
        <f>Input!$W$1398</f>
        <v>0</v>
      </c>
      <c r="BP190" s="1596">
        <f>Input!$W$1399</f>
        <v>0</v>
      </c>
      <c r="BQ190" s="1596">
        <f>Input!$W$1400</f>
        <v>0</v>
      </c>
      <c r="BR190" s="1596">
        <f>Input!$W$1401</f>
        <v>0</v>
      </c>
      <c r="BS190" s="1596">
        <f>Input!$W$1402</f>
        <v>0</v>
      </c>
      <c r="BT190" s="1171"/>
      <c r="BU190" s="1171"/>
      <c r="BV190" s="1171"/>
      <c r="BW190" s="1171"/>
      <c r="BX190" s="43"/>
      <c r="BY190" s="43"/>
      <c r="BZ190" s="1183"/>
      <c r="CA190" s="1183"/>
      <c r="CB190" s="1183"/>
      <c r="CC190" s="1183"/>
      <c r="CD190" s="1183"/>
      <c r="CE190" s="1183"/>
      <c r="CF190" s="1183"/>
      <c r="CG190" s="1183"/>
      <c r="CH190" s="1183"/>
      <c r="CI190" s="1183"/>
      <c r="CJ190" s="1183"/>
      <c r="CK190" s="1183"/>
      <c r="CL190" s="1183"/>
      <c r="CM190" s="1183"/>
      <c r="CN190" s="1183"/>
      <c r="CO190" s="1183"/>
      <c r="CP190" s="1183"/>
      <c r="CQ190" s="1183"/>
      <c r="CR190" s="1183"/>
      <c r="CS190" s="1183"/>
      <c r="CT190" s="1183"/>
      <c r="CU190" s="1183"/>
      <c r="CV190" s="1183"/>
      <c r="CW190" s="1183"/>
      <c r="CX190" s="1183"/>
      <c r="CY190" s="1183"/>
      <c r="CZ190" s="1183"/>
      <c r="DA190" s="1183"/>
      <c r="DB190" s="1183"/>
      <c r="DC190" s="1183"/>
      <c r="DD190" s="1183"/>
      <c r="DE190" s="1183"/>
      <c r="DF190" s="1183"/>
      <c r="DG190" s="1183"/>
      <c r="DH190" s="1183"/>
      <c r="DI190" s="1183"/>
      <c r="DJ190" s="1183"/>
      <c r="DK190" s="1183"/>
      <c r="DL190" s="1183"/>
      <c r="DM190" s="1183"/>
      <c r="DN190" s="1183"/>
      <c r="DO190" s="1183"/>
      <c r="DP190" s="1183"/>
      <c r="DQ190" s="1183"/>
    </row>
    <row r="191" spans="1:121" s="12" customFormat="1" ht="12" customHeight="1" x14ac:dyDescent="0.3">
      <c r="A191" s="1439">
        <f t="shared" si="88"/>
        <v>45322</v>
      </c>
      <c r="B191" s="82">
        <v>37</v>
      </c>
      <c r="C191" s="67"/>
      <c r="D191" s="67"/>
      <c r="E191" s="67"/>
      <c r="F191" s="67"/>
      <c r="G191" s="1435"/>
      <c r="H191" s="43"/>
      <c r="I191" s="1435"/>
      <c r="J191" s="1435"/>
      <c r="K191" s="1586"/>
      <c r="L191" s="1585"/>
      <c r="M191" s="1585"/>
      <c r="N191" s="1585"/>
      <c r="O191" s="1585"/>
      <c r="P191" s="1585"/>
      <c r="Q191" s="1585"/>
      <c r="R191" s="1585"/>
      <c r="S191" s="1585"/>
      <c r="T191" s="1585"/>
      <c r="U191" s="1585"/>
      <c r="V191" s="1585"/>
      <c r="W191" s="1585"/>
      <c r="X191" s="1585"/>
      <c r="Y191" s="1585"/>
      <c r="Z191" s="1585"/>
      <c r="AA191" s="1585"/>
      <c r="AB191" s="1585"/>
      <c r="AC191" s="1585"/>
      <c r="AD191" s="1585"/>
      <c r="AE191" s="1585"/>
      <c r="AF191" s="1586"/>
      <c r="AG191" s="1586"/>
      <c r="AH191" s="1586"/>
      <c r="AI191" s="1586"/>
      <c r="AJ191" s="1586"/>
      <c r="AK191" s="1586"/>
      <c r="AL191" s="1586"/>
      <c r="AM191" s="1586"/>
      <c r="AN191" s="1586"/>
      <c r="AO191" s="1586"/>
      <c r="AP191" s="1586"/>
      <c r="AQ191" s="1586"/>
      <c r="AR191" s="1586"/>
      <c r="AS191" s="1586"/>
      <c r="AT191" s="1586"/>
      <c r="AU191" s="1586"/>
      <c r="AV191" s="1586"/>
      <c r="AW191" s="1586"/>
      <c r="AX191" s="1586"/>
      <c r="AY191" s="1586"/>
      <c r="AZ191" s="1586"/>
      <c r="BA191" s="1586"/>
      <c r="BB191" s="1586"/>
      <c r="BC191" s="1586"/>
      <c r="BD191" s="1586"/>
      <c r="BE191" s="1586"/>
      <c r="BF191" s="1586"/>
      <c r="BG191" s="1586"/>
      <c r="BH191" s="1586"/>
      <c r="BI191" s="1586"/>
      <c r="BJ191" s="1586"/>
      <c r="BK191" s="1586"/>
      <c r="BL191" s="1586"/>
      <c r="BM191" s="1586"/>
      <c r="BN191" s="1586"/>
      <c r="BO191" s="1586"/>
      <c r="BP191" s="1586"/>
      <c r="BQ191" s="1586"/>
      <c r="BR191" s="1586"/>
      <c r="BS191" s="1586"/>
      <c r="BT191" s="1171"/>
      <c r="BU191" s="1171"/>
      <c r="BV191" s="1171"/>
      <c r="BW191" s="1171"/>
      <c r="BX191" s="43"/>
      <c r="BY191" s="43"/>
      <c r="BZ191" s="1183"/>
      <c r="CA191" s="1183"/>
      <c r="CB191" s="1183"/>
      <c r="CC191" s="1183"/>
      <c r="CD191" s="1183"/>
      <c r="CE191" s="1183"/>
      <c r="CF191" s="1183"/>
      <c r="CG191" s="1183"/>
      <c r="CH191" s="1183"/>
      <c r="CI191" s="1183"/>
      <c r="CJ191" s="1183"/>
      <c r="CK191" s="1183"/>
      <c r="CL191" s="1183"/>
      <c r="CM191" s="1183"/>
      <c r="CN191" s="1183"/>
      <c r="CO191" s="1183"/>
      <c r="CP191" s="1183"/>
      <c r="CQ191" s="1183"/>
      <c r="CR191" s="1183"/>
      <c r="CS191" s="1183"/>
      <c r="CT191" s="1183"/>
      <c r="CU191" s="1183"/>
      <c r="CV191" s="1183"/>
      <c r="CW191" s="1183"/>
      <c r="CX191" s="1183"/>
      <c r="CY191" s="1183"/>
      <c r="CZ191" s="1183"/>
      <c r="DA191" s="1183"/>
      <c r="DB191" s="1183"/>
      <c r="DC191" s="1183"/>
      <c r="DD191" s="1183"/>
      <c r="DE191" s="1183"/>
      <c r="DF191" s="1183"/>
      <c r="DG191" s="1183"/>
      <c r="DH191" s="1183"/>
      <c r="DI191" s="1183"/>
      <c r="DJ191" s="1183"/>
      <c r="DK191" s="1183"/>
      <c r="DL191" s="1183"/>
      <c r="DM191" s="1183"/>
      <c r="DN191" s="1183"/>
      <c r="DO191" s="1183"/>
      <c r="DP191" s="1183"/>
      <c r="DQ191" s="1183"/>
    </row>
    <row r="192" spans="1:121" s="12" customFormat="1" ht="12" customHeight="1" x14ac:dyDescent="0.3">
      <c r="A192" s="1439">
        <f t="shared" si="88"/>
        <v>45351</v>
      </c>
      <c r="B192" s="82">
        <v>38</v>
      </c>
      <c r="C192" s="67"/>
      <c r="D192" s="67"/>
      <c r="E192" s="67"/>
      <c r="F192" s="67"/>
      <c r="G192" s="1435"/>
      <c r="H192" s="43"/>
      <c r="I192" s="1435"/>
      <c r="J192" s="1435"/>
      <c r="K192" s="1586" t="s">
        <v>411</v>
      </c>
      <c r="L192" s="1593">
        <f>Calcs!$E$216</f>
        <v>0</v>
      </c>
      <c r="M192" s="1593">
        <f>Calcs!$E$217</f>
        <v>0</v>
      </c>
      <c r="N192" s="1593">
        <f>Calcs!$E$218</f>
        <v>0</v>
      </c>
      <c r="O192" s="1593">
        <f>Calcs!$E$219</f>
        <v>0</v>
      </c>
      <c r="P192" s="1593">
        <f>Calcs!$E$220</f>
        <v>0</v>
      </c>
      <c r="Q192" s="1593">
        <f>Calcs!$E$221</f>
        <v>0</v>
      </c>
      <c r="R192" s="1593">
        <f>Calcs!$E$222</f>
        <v>0</v>
      </c>
      <c r="S192" s="269">
        <f>Calcs!$E$223</f>
        <v>0</v>
      </c>
      <c r="T192" s="269">
        <f>Calcs!$E$224</f>
        <v>0</v>
      </c>
      <c r="U192" s="821">
        <f>Calcs!$E$225</f>
        <v>0</v>
      </c>
      <c r="V192" s="821">
        <f>Calcs!$E$226</f>
        <v>0</v>
      </c>
      <c r="W192" s="821">
        <f>Calcs!$E$227</f>
        <v>0</v>
      </c>
      <c r="X192" s="821">
        <f>Calcs!$E$228</f>
        <v>0</v>
      </c>
      <c r="Y192" s="821">
        <f>Calcs!$E$229</f>
        <v>0</v>
      </c>
      <c r="Z192" s="821">
        <f>Calcs!$E$230</f>
        <v>0</v>
      </c>
      <c r="AA192" s="821">
        <f>Calcs!$E$231</f>
        <v>0</v>
      </c>
      <c r="AB192" s="821">
        <f>Calcs!$E$232</f>
        <v>0</v>
      </c>
      <c r="AC192" s="821">
        <f>Calcs!$E$233</f>
        <v>0</v>
      </c>
      <c r="AD192" s="821">
        <f>Calcs!$E$234</f>
        <v>0</v>
      </c>
      <c r="AE192" s="821">
        <f>Calcs!$E$235</f>
        <v>0</v>
      </c>
      <c r="AF192" s="1594">
        <f>Calcs!$E$236</f>
        <v>0</v>
      </c>
      <c r="AG192" s="1594">
        <f>Calcs!$E$237</f>
        <v>0</v>
      </c>
      <c r="AH192" s="1594">
        <f>Calcs!$E$238</f>
        <v>0</v>
      </c>
      <c r="AI192" s="1594">
        <f>Calcs!$E$239</f>
        <v>0</v>
      </c>
      <c r="AJ192" s="1594">
        <f>Calcs!$E$240</f>
        <v>0</v>
      </c>
      <c r="AK192" s="1594">
        <f>Calcs!$E$241</f>
        <v>0</v>
      </c>
      <c r="AL192" s="1594">
        <f>Calcs!$E$242</f>
        <v>0</v>
      </c>
      <c r="AM192" s="1594">
        <f>Calcs!$E$243</f>
        <v>0</v>
      </c>
      <c r="AN192" s="1594">
        <f>Calcs!$E$244</f>
        <v>0</v>
      </c>
      <c r="AO192" s="1594">
        <f>Calcs!$E$245</f>
        <v>0</v>
      </c>
      <c r="AP192" s="1594">
        <f>Calcs!$E$246</f>
        <v>0</v>
      </c>
      <c r="AQ192" s="1594">
        <f>Calcs!$E$247</f>
        <v>0</v>
      </c>
      <c r="AR192" s="1594">
        <f>Calcs!$E$248</f>
        <v>0</v>
      </c>
      <c r="AS192" s="1594">
        <f>Calcs!$E$249</f>
        <v>0</v>
      </c>
      <c r="AT192" s="1594">
        <f>Calcs!$E$250</f>
        <v>0</v>
      </c>
      <c r="AU192" s="1594">
        <f>Calcs!$E$251</f>
        <v>0</v>
      </c>
      <c r="AV192" s="1594">
        <f>Calcs!$E$252</f>
        <v>0</v>
      </c>
      <c r="AW192" s="1594">
        <f>Calcs!$E$253</f>
        <v>0</v>
      </c>
      <c r="AX192" s="1594">
        <f>Calcs!$E$254</f>
        <v>0</v>
      </c>
      <c r="AY192" s="1594">
        <f>Calcs!$E$255</f>
        <v>0</v>
      </c>
      <c r="AZ192" s="1594">
        <f>Calcs!$E$256</f>
        <v>0</v>
      </c>
      <c r="BA192" s="1594">
        <f>Calcs!$E$257</f>
        <v>0</v>
      </c>
      <c r="BB192" s="1594">
        <f>Calcs!$E$258</f>
        <v>0</v>
      </c>
      <c r="BC192" s="1594">
        <f>Calcs!$E$259</f>
        <v>0</v>
      </c>
      <c r="BD192" s="1594">
        <f>Calcs!$E$260</f>
        <v>0</v>
      </c>
      <c r="BE192" s="1594">
        <f>Calcs!$E$261</f>
        <v>0</v>
      </c>
      <c r="BF192" s="1594">
        <f>Calcs!$E$262</f>
        <v>0</v>
      </c>
      <c r="BG192" s="1594">
        <f>Calcs!$E$263</f>
        <v>0</v>
      </c>
      <c r="BH192" s="1594">
        <f>Calcs!$E$264</f>
        <v>0</v>
      </c>
      <c r="BI192" s="1594">
        <f>Calcs!$E$265</f>
        <v>0</v>
      </c>
      <c r="BJ192" s="1594">
        <f>Calcs!$E$266</f>
        <v>0</v>
      </c>
      <c r="BK192" s="1594">
        <f>Calcs!$E$267</f>
        <v>0</v>
      </c>
      <c r="BL192" s="1594">
        <f>Calcs!$E$268</f>
        <v>0</v>
      </c>
      <c r="BM192" s="1594">
        <f>Calcs!$E$269</f>
        <v>0</v>
      </c>
      <c r="BN192" s="1594">
        <f>Calcs!$E$270</f>
        <v>0</v>
      </c>
      <c r="BO192" s="1594">
        <f>Calcs!$E$271</f>
        <v>0</v>
      </c>
      <c r="BP192" s="1594">
        <f>Calcs!$E$272</f>
        <v>0</v>
      </c>
      <c r="BQ192" s="1594">
        <f>Calcs!$E$273</f>
        <v>0</v>
      </c>
      <c r="BR192" s="1594">
        <f>Calcs!$E$274</f>
        <v>0</v>
      </c>
      <c r="BS192" s="1594">
        <f>Calcs!$E$275</f>
        <v>0</v>
      </c>
      <c r="BT192" s="1171"/>
      <c r="BU192" s="1171"/>
      <c r="BV192" s="1171"/>
      <c r="BW192" s="1171"/>
      <c r="BX192" s="43"/>
      <c r="BY192" s="43"/>
      <c r="BZ192" s="1183"/>
      <c r="CA192" s="1183"/>
      <c r="CB192" s="1183"/>
      <c r="CC192" s="1183"/>
      <c r="CD192" s="1183"/>
      <c r="CE192" s="1183"/>
      <c r="CF192" s="1183"/>
      <c r="CG192" s="1183"/>
      <c r="CH192" s="1183"/>
      <c r="CI192" s="1183"/>
      <c r="CJ192" s="1183"/>
      <c r="CK192" s="1183"/>
      <c r="CL192" s="1183"/>
      <c r="CM192" s="1183"/>
      <c r="CN192" s="1183"/>
      <c r="CO192" s="1183"/>
      <c r="CP192" s="1183"/>
      <c r="CQ192" s="1183"/>
      <c r="CR192" s="1183"/>
      <c r="CS192" s="1183"/>
      <c r="CT192" s="1183"/>
      <c r="CU192" s="1183"/>
      <c r="CV192" s="1183"/>
      <c r="CW192" s="1183"/>
      <c r="CX192" s="1183"/>
      <c r="CY192" s="1183"/>
      <c r="CZ192" s="1183"/>
      <c r="DA192" s="1183"/>
      <c r="DB192" s="1183"/>
      <c r="DC192" s="1183"/>
      <c r="DD192" s="1183"/>
      <c r="DE192" s="1183"/>
      <c r="DF192" s="1183"/>
      <c r="DG192" s="1183"/>
      <c r="DH192" s="1183"/>
      <c r="DI192" s="1183"/>
      <c r="DJ192" s="1183"/>
      <c r="DK192" s="1183"/>
      <c r="DL192" s="1183"/>
      <c r="DM192" s="1183"/>
      <c r="DN192" s="1183"/>
      <c r="DO192" s="1183"/>
      <c r="DP192" s="1183"/>
      <c r="DQ192" s="1183"/>
    </row>
    <row r="193" spans="1:121" s="12" customFormat="1" ht="12" customHeight="1" x14ac:dyDescent="0.3">
      <c r="A193" s="1439">
        <f t="shared" si="88"/>
        <v>45382</v>
      </c>
      <c r="B193" s="82">
        <v>39</v>
      </c>
      <c r="C193" s="67"/>
      <c r="D193" s="67"/>
      <c r="E193" s="67"/>
      <c r="F193" s="67"/>
      <c r="G193" s="1435"/>
      <c r="H193" s="43"/>
      <c r="I193" s="1435"/>
      <c r="J193" s="1435"/>
      <c r="K193" s="1585"/>
      <c r="L193" s="1585"/>
      <c r="M193" s="1585"/>
      <c r="N193" s="1585"/>
      <c r="O193" s="1585"/>
      <c r="P193" s="1585"/>
      <c r="Q193" s="1585"/>
      <c r="R193" s="1585"/>
      <c r="S193" s="1585"/>
      <c r="T193" s="1585"/>
      <c r="U193" s="1585"/>
      <c r="V193" s="1585"/>
      <c r="W193" s="1585"/>
      <c r="X193" s="1585"/>
      <c r="Y193" s="1585"/>
      <c r="Z193" s="1585"/>
      <c r="AA193" s="1585"/>
      <c r="AB193" s="1585"/>
      <c r="AC193" s="1585"/>
      <c r="AD193" s="1585"/>
      <c r="AE193" s="1585"/>
      <c r="AF193" s="1586"/>
      <c r="AG193" s="1586"/>
      <c r="AH193" s="1586"/>
      <c r="AI193" s="1586"/>
      <c r="AJ193" s="1586"/>
      <c r="AK193" s="1586"/>
      <c r="AL193" s="1586"/>
      <c r="AM193" s="1586"/>
      <c r="AN193" s="1586"/>
      <c r="AO193" s="1586"/>
      <c r="AP193" s="1586"/>
      <c r="AQ193" s="1586"/>
      <c r="AR193" s="1586"/>
      <c r="AS193" s="1586"/>
      <c r="AT193" s="1586"/>
      <c r="AU193" s="1586"/>
      <c r="AV193" s="1586"/>
      <c r="AW193" s="1586"/>
      <c r="AX193" s="1586"/>
      <c r="AY193" s="1586"/>
      <c r="AZ193" s="1586"/>
      <c r="BA193" s="1586"/>
      <c r="BB193" s="1586"/>
      <c r="BC193" s="1586"/>
      <c r="BD193" s="1586"/>
      <c r="BE193" s="1586"/>
      <c r="BF193" s="1586"/>
      <c r="BG193" s="1586"/>
      <c r="BH193" s="1586"/>
      <c r="BI193" s="1586"/>
      <c r="BJ193" s="1586"/>
      <c r="BK193" s="1586"/>
      <c r="BL193" s="1586"/>
      <c r="BM193" s="1586"/>
      <c r="BN193" s="1586"/>
      <c r="BO193" s="1586"/>
      <c r="BP193" s="1586"/>
      <c r="BQ193" s="1586"/>
      <c r="BR193" s="1586"/>
      <c r="BS193" s="1586"/>
      <c r="BT193" s="1171"/>
      <c r="BU193" s="1171"/>
      <c r="BV193" s="1171"/>
      <c r="BW193" s="1171"/>
      <c r="BX193" s="43"/>
      <c r="BY193" s="43"/>
      <c r="BZ193" s="1183"/>
      <c r="CA193" s="1183"/>
      <c r="CB193" s="1183"/>
      <c r="CC193" s="1183"/>
      <c r="CD193" s="1183"/>
      <c r="CE193" s="1183"/>
      <c r="CF193" s="1183"/>
      <c r="CG193" s="1183"/>
      <c r="CH193" s="1183"/>
      <c r="CI193" s="1183"/>
      <c r="CJ193" s="1183"/>
      <c r="CK193" s="1183"/>
      <c r="CL193" s="1183"/>
      <c r="CM193" s="1183"/>
      <c r="CN193" s="1183"/>
      <c r="CO193" s="1183"/>
      <c r="CP193" s="1183"/>
      <c r="CQ193" s="1183"/>
      <c r="CR193" s="1183"/>
      <c r="CS193" s="1183"/>
      <c r="CT193" s="1183"/>
      <c r="CU193" s="1183"/>
      <c r="CV193" s="1183"/>
      <c r="CW193" s="1183"/>
      <c r="CX193" s="1183"/>
      <c r="CY193" s="1183"/>
      <c r="CZ193" s="1183"/>
      <c r="DA193" s="1183"/>
      <c r="DB193" s="1183"/>
      <c r="DC193" s="1183"/>
      <c r="DD193" s="1183"/>
      <c r="DE193" s="1183"/>
      <c r="DF193" s="1183"/>
      <c r="DG193" s="1183"/>
      <c r="DH193" s="1183"/>
      <c r="DI193" s="1183"/>
      <c r="DJ193" s="1183"/>
      <c r="DK193" s="1183"/>
      <c r="DL193" s="1183"/>
      <c r="DM193" s="1183"/>
      <c r="DN193" s="1183"/>
      <c r="DO193" s="1183"/>
      <c r="DP193" s="1183"/>
      <c r="DQ193" s="1183"/>
    </row>
    <row r="194" spans="1:121" s="12" customFormat="1" ht="12" customHeight="1" x14ac:dyDescent="0.3">
      <c r="A194" s="1439">
        <f t="shared" si="88"/>
        <v>45412</v>
      </c>
      <c r="B194" s="82">
        <v>40</v>
      </c>
      <c r="C194" s="67"/>
      <c r="D194" s="67"/>
      <c r="E194" s="67"/>
      <c r="F194" s="67"/>
      <c r="G194" s="1435"/>
      <c r="H194" s="43"/>
      <c r="I194" s="1435"/>
      <c r="J194" s="1435"/>
      <c r="K194" s="1585" t="s">
        <v>412</v>
      </c>
      <c r="L194" s="1595">
        <f t="shared" ref="L194:AQ194" si="89">I23</f>
        <v>0</v>
      </c>
      <c r="M194" s="1595">
        <f t="shared" si="89"/>
        <v>0</v>
      </c>
      <c r="N194" s="1595">
        <f t="shared" si="89"/>
        <v>0</v>
      </c>
      <c r="O194" s="1595">
        <f t="shared" si="89"/>
        <v>0</v>
      </c>
      <c r="P194" s="1595">
        <f t="shared" si="89"/>
        <v>0</v>
      </c>
      <c r="Q194" s="1595">
        <f t="shared" si="89"/>
        <v>0</v>
      </c>
      <c r="R194" s="1595">
        <f t="shared" si="89"/>
        <v>0</v>
      </c>
      <c r="S194" s="1595">
        <f t="shared" si="89"/>
        <v>0</v>
      </c>
      <c r="T194" s="1595">
        <f t="shared" si="89"/>
        <v>0</v>
      </c>
      <c r="U194" s="1595">
        <f>R23</f>
        <v>0</v>
      </c>
      <c r="V194" s="1595">
        <f>S23</f>
        <v>0</v>
      </c>
      <c r="W194" s="1595">
        <f>T23</f>
        <v>0</v>
      </c>
      <c r="X194" s="1595">
        <f t="shared" si="89"/>
        <v>0</v>
      </c>
      <c r="Y194" s="1595">
        <f t="shared" si="89"/>
        <v>0</v>
      </c>
      <c r="Z194" s="1595">
        <f t="shared" si="89"/>
        <v>0</v>
      </c>
      <c r="AA194" s="1595">
        <f t="shared" si="89"/>
        <v>0</v>
      </c>
      <c r="AB194" s="1595">
        <f t="shared" si="89"/>
        <v>0</v>
      </c>
      <c r="AC194" s="1595">
        <f t="shared" si="89"/>
        <v>0</v>
      </c>
      <c r="AD194" s="1595">
        <f t="shared" si="89"/>
        <v>0</v>
      </c>
      <c r="AE194" s="1595">
        <f t="shared" si="89"/>
        <v>0</v>
      </c>
      <c r="AF194" s="1596">
        <f t="shared" si="89"/>
        <v>0</v>
      </c>
      <c r="AG194" s="1596">
        <f t="shared" si="89"/>
        <v>0</v>
      </c>
      <c r="AH194" s="1596">
        <f t="shared" si="89"/>
        <v>0</v>
      </c>
      <c r="AI194" s="1596">
        <f t="shared" si="89"/>
        <v>0</v>
      </c>
      <c r="AJ194" s="1596">
        <f t="shared" si="89"/>
        <v>0</v>
      </c>
      <c r="AK194" s="1596">
        <f t="shared" si="89"/>
        <v>0</v>
      </c>
      <c r="AL194" s="1596">
        <f t="shared" si="89"/>
        <v>0</v>
      </c>
      <c r="AM194" s="1596">
        <f t="shared" si="89"/>
        <v>0</v>
      </c>
      <c r="AN194" s="1596">
        <f t="shared" si="89"/>
        <v>0</v>
      </c>
      <c r="AO194" s="1596">
        <f t="shared" si="89"/>
        <v>0</v>
      </c>
      <c r="AP194" s="1596">
        <f t="shared" si="89"/>
        <v>0</v>
      </c>
      <c r="AQ194" s="1596">
        <f t="shared" si="89"/>
        <v>0</v>
      </c>
      <c r="AR194" s="1596">
        <f>AO23</f>
        <v>0</v>
      </c>
      <c r="AS194" s="1596">
        <f>AP23</f>
        <v>0</v>
      </c>
      <c r="AT194" s="1596">
        <f>AQ23</f>
        <v>0</v>
      </c>
      <c r="AU194" s="1596">
        <f>AR23</f>
        <v>0</v>
      </c>
      <c r="AV194" s="1596">
        <f t="shared" ref="AV194:BS194" si="90">IF(Years="Five",AS23,0)</f>
        <v>0</v>
      </c>
      <c r="AW194" s="1596">
        <f t="shared" si="90"/>
        <v>0</v>
      </c>
      <c r="AX194" s="1596">
        <f t="shared" si="90"/>
        <v>0</v>
      </c>
      <c r="AY194" s="1596">
        <f t="shared" si="90"/>
        <v>0</v>
      </c>
      <c r="AZ194" s="1596">
        <f t="shared" si="90"/>
        <v>0</v>
      </c>
      <c r="BA194" s="1596">
        <f t="shared" si="90"/>
        <v>0</v>
      </c>
      <c r="BB194" s="1596">
        <f t="shared" si="90"/>
        <v>0</v>
      </c>
      <c r="BC194" s="1596">
        <f t="shared" si="90"/>
        <v>0</v>
      </c>
      <c r="BD194" s="1596">
        <f t="shared" si="90"/>
        <v>0</v>
      </c>
      <c r="BE194" s="1596">
        <f t="shared" si="90"/>
        <v>0</v>
      </c>
      <c r="BF194" s="1596">
        <f t="shared" si="90"/>
        <v>0</v>
      </c>
      <c r="BG194" s="1596">
        <f t="shared" si="90"/>
        <v>0</v>
      </c>
      <c r="BH194" s="1596">
        <f t="shared" si="90"/>
        <v>0</v>
      </c>
      <c r="BI194" s="1596">
        <f t="shared" si="90"/>
        <v>0</v>
      </c>
      <c r="BJ194" s="1596">
        <f t="shared" si="90"/>
        <v>0</v>
      </c>
      <c r="BK194" s="1596">
        <f t="shared" si="90"/>
        <v>0</v>
      </c>
      <c r="BL194" s="1596">
        <f t="shared" si="90"/>
        <v>0</v>
      </c>
      <c r="BM194" s="1596">
        <f t="shared" si="90"/>
        <v>0</v>
      </c>
      <c r="BN194" s="1596">
        <f t="shared" si="90"/>
        <v>0</v>
      </c>
      <c r="BO194" s="1596">
        <f t="shared" si="90"/>
        <v>0</v>
      </c>
      <c r="BP194" s="1596">
        <f t="shared" si="90"/>
        <v>0</v>
      </c>
      <c r="BQ194" s="1596">
        <f t="shared" si="90"/>
        <v>0</v>
      </c>
      <c r="BR194" s="1596">
        <f t="shared" si="90"/>
        <v>0</v>
      </c>
      <c r="BS194" s="1596">
        <f t="shared" si="90"/>
        <v>0</v>
      </c>
      <c r="BT194" s="1171"/>
      <c r="BU194" s="1171"/>
      <c r="BV194" s="1171"/>
      <c r="BW194" s="1171"/>
      <c r="BX194" s="43"/>
      <c r="BY194" s="43"/>
      <c r="BZ194" s="1183"/>
      <c r="CA194" s="1183"/>
      <c r="CB194" s="1183"/>
      <c r="CC194" s="1183"/>
      <c r="CD194" s="1183"/>
      <c r="CE194" s="1183"/>
      <c r="CF194" s="1183"/>
      <c r="CG194" s="1183"/>
      <c r="CH194" s="1183"/>
      <c r="CI194" s="1183"/>
      <c r="CJ194" s="1183"/>
      <c r="CK194" s="1183"/>
      <c r="CL194" s="1183"/>
      <c r="CM194" s="1183"/>
      <c r="CN194" s="1183"/>
      <c r="CO194" s="1183"/>
      <c r="CP194" s="1183"/>
      <c r="CQ194" s="1183"/>
      <c r="CR194" s="1183"/>
      <c r="CS194" s="1183"/>
      <c r="CT194" s="1183"/>
      <c r="CU194" s="1183"/>
      <c r="CV194" s="1183"/>
      <c r="CW194" s="1183"/>
      <c r="CX194" s="1183"/>
      <c r="CY194" s="1183"/>
      <c r="CZ194" s="1183"/>
      <c r="DA194" s="1183"/>
      <c r="DB194" s="1183"/>
      <c r="DC194" s="1183"/>
      <c r="DD194" s="1183"/>
      <c r="DE194" s="1183"/>
      <c r="DF194" s="1183"/>
      <c r="DG194" s="1183"/>
      <c r="DH194" s="1183"/>
      <c r="DI194" s="1183"/>
      <c r="DJ194" s="1183"/>
      <c r="DK194" s="1183"/>
      <c r="DL194" s="1183"/>
      <c r="DM194" s="1183"/>
      <c r="DN194" s="1183"/>
      <c r="DO194" s="1183"/>
      <c r="DP194" s="1183"/>
      <c r="DQ194" s="1183"/>
    </row>
    <row r="195" spans="1:121" s="12" customFormat="1" ht="12" customHeight="1" x14ac:dyDescent="0.3">
      <c r="A195" s="1439">
        <f t="shared" si="88"/>
        <v>45443</v>
      </c>
      <c r="B195" s="82">
        <v>41</v>
      </c>
      <c r="C195" s="67"/>
      <c r="D195" s="67"/>
      <c r="E195" s="67"/>
      <c r="F195" s="67"/>
      <c r="G195" s="1435"/>
      <c r="H195" s="43"/>
      <c r="I195" s="1435"/>
      <c r="J195" s="1435"/>
      <c r="K195" s="1597"/>
      <c r="L195" s="1595">
        <f>IF(Infrastructure!$AI$43&gt;0,IF(Input!$D$1309&lt;&gt;"Annual",Calcs!L194,0),0)</f>
        <v>0</v>
      </c>
      <c r="M195" s="1595">
        <f>IF(Infrastructure!$AI$43&gt;0,IF(Input!$D$1309&lt;&gt;"Annual",Calcs!M194,0),0)</f>
        <v>0</v>
      </c>
      <c r="N195" s="1595">
        <f>IF(Infrastructure!$AI$43&gt;0,IF(Input!$D$1309&lt;&gt;"Annual",Calcs!N194,0),0)</f>
        <v>0</v>
      </c>
      <c r="O195" s="1595">
        <f>IF(Infrastructure!$AI$43&gt;0,IF(Input!$D$1309&lt;&gt;"Annual",Calcs!O194,0),0)</f>
        <v>0</v>
      </c>
      <c r="P195" s="1595">
        <f>IF(Infrastructure!$AI$43&gt;0,IF(Input!$D$1309&lt;&gt;"Annual",Calcs!P194,0),0)</f>
        <v>0</v>
      </c>
      <c r="Q195" s="1595">
        <f>IF(Infrastructure!$AI$43&gt;0,IF(Input!$D$1309&lt;&gt;"Annual",Calcs!Q194,0),0)</f>
        <v>0</v>
      </c>
      <c r="R195" s="1595">
        <f>IF(Infrastructure!$AI$43&gt;0,IF(Input!$D$1309&lt;&gt;"Annual",Calcs!R194,0),0)</f>
        <v>0</v>
      </c>
      <c r="S195" s="1595">
        <f>IF(Infrastructure!$AI$43&gt;0,IF(Input!$D$1309&lt;&gt;"Annual",Calcs!S194,0),0)</f>
        <v>0</v>
      </c>
      <c r="T195" s="1595">
        <f>IF(Infrastructure!$AI$43&gt;0,IF(Input!$D$1309&lt;&gt;"Annual",Calcs!T194,0),0)</f>
        <v>0</v>
      </c>
      <c r="U195" s="1595">
        <f>IF(Infrastructure!$AI$43&gt;0,IF(Input!$D$1309&lt;&gt;"Annual",Calcs!U194,0),0)</f>
        <v>0</v>
      </c>
      <c r="V195" s="1595">
        <f>IF(Infrastructure!$AI$43&gt;0,IF(Input!$D$1309&lt;&gt;"Annual",Calcs!V194,0),0)</f>
        <v>0</v>
      </c>
      <c r="W195" s="1595">
        <f>IF(Infrastructure!$AI$43&gt;0,IF(Input!$D$1309&lt;&gt;"Annual",Calcs!W194,0),0)</f>
        <v>0</v>
      </c>
      <c r="X195" s="1595">
        <f>IF(Infrastructure!$AI$43&gt;0,IF(Input!$D$1309&lt;&gt;"Annual",Calcs!X194,0),0)</f>
        <v>0</v>
      </c>
      <c r="Y195" s="1595">
        <f>IF(Infrastructure!$AI$43&gt;0,IF(Input!$D$1309&lt;&gt;"Annual",Calcs!Y194,0),0)</f>
        <v>0</v>
      </c>
      <c r="Z195" s="1595">
        <f>IF(Infrastructure!$AI$43&gt;0,IF(Input!$D$1309&lt;&gt;"Annual",Calcs!Z194,0),0)</f>
        <v>0</v>
      </c>
      <c r="AA195" s="1595">
        <f>IF(Infrastructure!$AI$43&gt;0,IF(Input!$D$1309&lt;&gt;"Annual",Calcs!AA194,0),0)</f>
        <v>0</v>
      </c>
      <c r="AB195" s="1595">
        <f>IF(Infrastructure!$AI$43&gt;0,IF(Input!$D$1309&lt;&gt;"Annual",Calcs!AB194,0),0)</f>
        <v>0</v>
      </c>
      <c r="AC195" s="1595">
        <f>IF(Infrastructure!$AI$43&gt;0,IF(Input!$D$1309&lt;&gt;"Annual",Calcs!AC194,0),0)</f>
        <v>0</v>
      </c>
      <c r="AD195" s="1595">
        <f>IF(Infrastructure!$AI$43&gt;0,IF(Input!$D$1309&lt;&gt;"Annual",Calcs!AD194,0),0)</f>
        <v>0</v>
      </c>
      <c r="AE195" s="1595">
        <f>IF(Infrastructure!$AI$43&gt;0,IF(Input!$D$1309&lt;&gt;"Annual",Calcs!AE194,0),0)</f>
        <v>0</v>
      </c>
      <c r="AF195" s="1596">
        <f>IF(Infrastructure!$AI$43&gt;0,IF(Input!$D$1309&lt;&gt;"Annual",Calcs!AF194,0),0)</f>
        <v>0</v>
      </c>
      <c r="AG195" s="1596">
        <f>IF(Infrastructure!$AI$43&gt;0,IF(Input!$D$1309&lt;&gt;"Annual",Calcs!AG194,0),0)</f>
        <v>0</v>
      </c>
      <c r="AH195" s="1596">
        <f>IF(Infrastructure!$AI$43&gt;0,IF(Input!$D$1309&lt;&gt;"Annual",Calcs!AH194,0),0)</f>
        <v>0</v>
      </c>
      <c r="AI195" s="1596">
        <f>IF(Infrastructure!$AI$43&gt;0,IF(Input!$D$1309&lt;&gt;"Annual",Calcs!AI194,0),0)</f>
        <v>0</v>
      </c>
      <c r="AJ195" s="1596">
        <f>IF(Infrastructure!$AI$43&gt;0,IF(Input!$D$1309&lt;&gt;"Annual",Calcs!AJ194,0),0)</f>
        <v>0</v>
      </c>
      <c r="AK195" s="1596">
        <f>IF(Infrastructure!$AI$43&gt;0,IF(Input!$D$1309&lt;&gt;"Annual",Calcs!AK194,0),0)</f>
        <v>0</v>
      </c>
      <c r="AL195" s="1596">
        <f>IF(Infrastructure!$AI$43&gt;0,IF(Input!$D$1309&lt;&gt;"Annual",Calcs!AL194,0),0)</f>
        <v>0</v>
      </c>
      <c r="AM195" s="1596">
        <f>IF(Infrastructure!$AI$43&gt;0,IF(Input!$D$1309&lt;&gt;"Annual",Calcs!AM194,0),0)</f>
        <v>0</v>
      </c>
      <c r="AN195" s="1596">
        <f>IF(Infrastructure!$AI$43&gt;0,IF(Input!$D$1309&lt;&gt;"Annual",Calcs!AN194,0),0)</f>
        <v>0</v>
      </c>
      <c r="AO195" s="1596">
        <f>IF(Infrastructure!$AI$43&gt;0,IF(Input!$D$1309&lt;&gt;"Annual",Calcs!AO194,0),0)</f>
        <v>0</v>
      </c>
      <c r="AP195" s="1596">
        <f>IF(Infrastructure!$AI$43&gt;0,IF(Input!$D$1309&lt;&gt;"Annual",Calcs!AP194,0),0)</f>
        <v>0</v>
      </c>
      <c r="AQ195" s="1596">
        <f>IF(Infrastructure!$AI$43&gt;0,IF(Input!$D$1309&lt;&gt;"Annual",Calcs!AQ194,0),0)</f>
        <v>0</v>
      </c>
      <c r="AR195" s="1596">
        <f>IF(Infrastructure!$AI$43&gt;0,IF(Input!$D$1309&lt;&gt;"Annual",Calcs!AR194,0),0)</f>
        <v>0</v>
      </c>
      <c r="AS195" s="1596">
        <f>IF(Infrastructure!$AI$43&gt;0,IF(Input!$D$1309&lt;&gt;"Annual",Calcs!AS194,0),0)</f>
        <v>0</v>
      </c>
      <c r="AT195" s="1596">
        <f>IF(Infrastructure!$AI$43&gt;0,IF(Input!$D$1309&lt;&gt;"Annual",Calcs!AT194,0),0)</f>
        <v>0</v>
      </c>
      <c r="AU195" s="1596">
        <f>IF(Infrastructure!$AI$43&gt;0,IF(Input!$D$1309&lt;&gt;"Annual",Calcs!AU194,0),0)</f>
        <v>0</v>
      </c>
      <c r="AV195" s="1596">
        <f>IF(Infrastructure!$AI$43&gt;0,IF(Input!$D$1309&lt;&gt;"Annual",Calcs!AV194,0),0)</f>
        <v>0</v>
      </c>
      <c r="AW195" s="1596">
        <f>IF(Infrastructure!$AI$43&gt;0,IF(Input!$D$1309&lt;&gt;"Annual",Calcs!AW194,0),0)</f>
        <v>0</v>
      </c>
      <c r="AX195" s="1596">
        <f>IF(Infrastructure!$AI$43&gt;0,IF(Input!$D$1309&lt;&gt;"Annual",Calcs!AX194,0),0)</f>
        <v>0</v>
      </c>
      <c r="AY195" s="1596">
        <f>IF(Infrastructure!$AI$43&gt;0,IF(Input!$D$1309&lt;&gt;"Annual",Calcs!AY194,0),0)</f>
        <v>0</v>
      </c>
      <c r="AZ195" s="1596">
        <f>IF(Infrastructure!$AI$43&gt;0,IF(Input!$D$1309&lt;&gt;"Annual",Calcs!AZ194,0),0)</f>
        <v>0</v>
      </c>
      <c r="BA195" s="1596">
        <f>IF(Infrastructure!$AI$43&gt;0,IF(Input!$D$1309&lt;&gt;"Annual",Calcs!BA194,0),0)</f>
        <v>0</v>
      </c>
      <c r="BB195" s="1596">
        <f>IF(Infrastructure!$AI$43&gt;0,IF(Input!$D$1309&lt;&gt;"Annual",Calcs!BB194,0),0)</f>
        <v>0</v>
      </c>
      <c r="BC195" s="1596">
        <f>IF(Infrastructure!$AI$43&gt;0,IF(Input!$D$1309&lt;&gt;"Annual",Calcs!BC194,0),0)</f>
        <v>0</v>
      </c>
      <c r="BD195" s="1596">
        <f>IF(Infrastructure!$AI$43&gt;0,IF(Input!$D$1309&lt;&gt;"Annual",Calcs!BD194,0),0)</f>
        <v>0</v>
      </c>
      <c r="BE195" s="1596">
        <f>IF(Infrastructure!$AI$43&gt;0,IF(Input!$D$1309&lt;&gt;"Annual",Calcs!BE194,0),0)</f>
        <v>0</v>
      </c>
      <c r="BF195" s="1596">
        <f>IF(Infrastructure!$AI$43&gt;0,IF(Input!$D$1309&lt;&gt;"Annual",Calcs!BF194,0),0)</f>
        <v>0</v>
      </c>
      <c r="BG195" s="1596">
        <f>IF(Infrastructure!$AI$43&gt;0,IF(Input!$D$1309&lt;&gt;"Annual",Calcs!BG194,0),0)</f>
        <v>0</v>
      </c>
      <c r="BH195" s="1596">
        <f>IF(Infrastructure!$AI$43&gt;0,IF(Input!$D$1309&lt;&gt;"Annual",Calcs!BH194,0),0)</f>
        <v>0</v>
      </c>
      <c r="BI195" s="1596">
        <f>IF(Infrastructure!$AI$43&gt;0,IF(Input!$D$1309&lt;&gt;"Annual",Calcs!BI194,0),0)</f>
        <v>0</v>
      </c>
      <c r="BJ195" s="1596">
        <f>IF(Infrastructure!$AI$43&gt;0,IF(Input!$D$1309&lt;&gt;"Annual",Calcs!BJ194,0),0)</f>
        <v>0</v>
      </c>
      <c r="BK195" s="1596">
        <f>IF(Infrastructure!$AI$43&gt;0,IF(Input!$D$1309&lt;&gt;"Annual",Calcs!BK194,0),0)</f>
        <v>0</v>
      </c>
      <c r="BL195" s="1596">
        <f>IF(Infrastructure!$AI$43&gt;0,IF(Input!$D$1309&lt;&gt;"Annual",Calcs!BL194,0),0)</f>
        <v>0</v>
      </c>
      <c r="BM195" s="1596">
        <f>IF(Infrastructure!$AI$43&gt;0,IF(Input!$D$1309&lt;&gt;"Annual",Calcs!BM194,0),0)</f>
        <v>0</v>
      </c>
      <c r="BN195" s="1596">
        <f>IF(Infrastructure!$AI$43&gt;0,IF(Input!$D$1309&lt;&gt;"Annual",Calcs!BN194,0),0)</f>
        <v>0</v>
      </c>
      <c r="BO195" s="1596">
        <f>IF(Infrastructure!$AI$43&gt;0,IF(Input!$D$1309&lt;&gt;"Annual",Calcs!BO194,0),0)</f>
        <v>0</v>
      </c>
      <c r="BP195" s="1596">
        <f>IF(Infrastructure!$AI$43&gt;0,IF(Input!$D$1309&lt;&gt;"Annual",Calcs!BP194,0),0)</f>
        <v>0</v>
      </c>
      <c r="BQ195" s="1596">
        <f>IF(Infrastructure!$AI$43&gt;0,IF(Input!$D$1309&lt;&gt;"Annual",Calcs!BQ194,0),0)</f>
        <v>0</v>
      </c>
      <c r="BR195" s="1596">
        <f>IF(Infrastructure!$AI$43&gt;0,IF(Input!$D$1309&lt;&gt;"Annual",Calcs!BR194,0),0)</f>
        <v>0</v>
      </c>
      <c r="BS195" s="1596">
        <f>IF(Infrastructure!$AI$43&gt;0,IF(Input!$D$1309&lt;&gt;"Annual",Calcs!BS194,0),0)</f>
        <v>0</v>
      </c>
      <c r="BT195" s="1171"/>
      <c r="BU195" s="1171"/>
      <c r="BV195" s="1171"/>
      <c r="BW195" s="1171"/>
      <c r="BX195" s="43"/>
      <c r="BY195" s="43"/>
      <c r="BZ195" s="1183"/>
      <c r="CA195" s="1183"/>
      <c r="CB195" s="1183"/>
      <c r="CC195" s="1183"/>
      <c r="CD195" s="1183"/>
      <c r="CE195" s="1183"/>
      <c r="CF195" s="1183"/>
      <c r="CG195" s="1183"/>
      <c r="CH195" s="1183"/>
      <c r="CI195" s="1183"/>
      <c r="CJ195" s="1183"/>
      <c r="CK195" s="1183"/>
      <c r="CL195" s="1183"/>
      <c r="CM195" s="1183"/>
      <c r="CN195" s="1183"/>
      <c r="CO195" s="1183"/>
      <c r="CP195" s="1183"/>
      <c r="CQ195" s="1183"/>
      <c r="CR195" s="1183"/>
      <c r="CS195" s="1183"/>
      <c r="CT195" s="1183"/>
      <c r="CU195" s="1183"/>
      <c r="CV195" s="1183"/>
      <c r="CW195" s="1183"/>
      <c r="CX195" s="1183"/>
      <c r="CY195" s="1183"/>
      <c r="CZ195" s="1183"/>
      <c r="DA195" s="1183"/>
      <c r="DB195" s="1183"/>
      <c r="DC195" s="1183"/>
      <c r="DD195" s="1183"/>
      <c r="DE195" s="1183"/>
      <c r="DF195" s="1183"/>
      <c r="DG195" s="1183"/>
      <c r="DH195" s="1183"/>
      <c r="DI195" s="1183"/>
      <c r="DJ195" s="1183"/>
      <c r="DK195" s="1183"/>
      <c r="DL195" s="1183"/>
      <c r="DM195" s="1183"/>
      <c r="DN195" s="1183"/>
      <c r="DO195" s="1183"/>
      <c r="DP195" s="1183"/>
      <c r="DQ195" s="1183"/>
    </row>
    <row r="196" spans="1:121" s="12" customFormat="1" ht="12" customHeight="1" x14ac:dyDescent="0.3">
      <c r="A196" s="1439">
        <f t="shared" si="88"/>
        <v>45473</v>
      </c>
      <c r="B196" s="82">
        <v>42</v>
      </c>
      <c r="C196" s="67"/>
      <c r="D196" s="67"/>
      <c r="E196" s="67"/>
      <c r="F196" s="67"/>
      <c r="G196" s="1435"/>
      <c r="H196" s="43"/>
      <c r="I196" s="1435"/>
      <c r="J196" s="1435"/>
      <c r="K196" s="1597"/>
      <c r="L196" s="1597"/>
      <c r="M196" s="1597"/>
      <c r="N196" s="1597"/>
      <c r="O196" s="1597"/>
      <c r="P196" s="1597"/>
      <c r="Q196" s="1597"/>
      <c r="R196" s="1597"/>
      <c r="S196" s="1597"/>
      <c r="T196" s="1597"/>
      <c r="U196" s="1597"/>
      <c r="V196" s="1597"/>
      <c r="W196" s="1597"/>
      <c r="X196" s="1597"/>
      <c r="Y196" s="1597"/>
      <c r="Z196" s="1597"/>
      <c r="AA196" s="1597"/>
      <c r="AB196" s="1597"/>
      <c r="AC196" s="1597"/>
      <c r="AD196" s="1597"/>
      <c r="AE196" s="1597"/>
      <c r="AF196" s="1171"/>
      <c r="AG196" s="1171"/>
      <c r="AH196" s="1171"/>
      <c r="AI196" s="1171"/>
      <c r="AJ196" s="1171"/>
      <c r="AK196" s="1171"/>
      <c r="AL196" s="1171"/>
      <c r="AM196" s="1171"/>
      <c r="AN196" s="1171"/>
      <c r="AO196" s="1171"/>
      <c r="AP196" s="1171"/>
      <c r="AQ196" s="1171"/>
      <c r="AR196" s="1171"/>
      <c r="AS196" s="1171"/>
      <c r="AT196" s="1171"/>
      <c r="AU196" s="1171"/>
      <c r="AV196" s="1171"/>
      <c r="AW196" s="1171"/>
      <c r="AX196" s="1171"/>
      <c r="AY196" s="1171"/>
      <c r="AZ196" s="1171"/>
      <c r="BA196" s="1171"/>
      <c r="BB196" s="1171"/>
      <c r="BC196" s="1171"/>
      <c r="BD196" s="1171"/>
      <c r="BE196" s="1171"/>
      <c r="BF196" s="1171"/>
      <c r="BG196" s="1171"/>
      <c r="BH196" s="1171"/>
      <c r="BI196" s="1171"/>
      <c r="BJ196" s="1171"/>
      <c r="BK196" s="1171"/>
      <c r="BL196" s="1171"/>
      <c r="BM196" s="1171"/>
      <c r="BN196" s="1171"/>
      <c r="BO196" s="1171"/>
      <c r="BP196" s="1171"/>
      <c r="BQ196" s="1171"/>
      <c r="BR196" s="1171"/>
      <c r="BS196" s="1171"/>
      <c r="BT196" s="1171"/>
      <c r="BU196" s="1171"/>
      <c r="BV196" s="1171"/>
      <c r="BW196" s="1171"/>
      <c r="BX196" s="43"/>
      <c r="BY196" s="43"/>
      <c r="BZ196" s="1183"/>
      <c r="CA196" s="1183"/>
      <c r="CB196" s="1183"/>
      <c r="CC196" s="1183"/>
      <c r="CD196" s="1183"/>
      <c r="CE196" s="1183"/>
      <c r="CF196" s="1183"/>
      <c r="CG196" s="1183"/>
      <c r="CH196" s="1183"/>
      <c r="CI196" s="1183"/>
      <c r="CJ196" s="1183"/>
      <c r="CK196" s="1183"/>
      <c r="CL196" s="1183"/>
      <c r="CM196" s="1183"/>
      <c r="CN196" s="1183"/>
      <c r="CO196" s="1183"/>
      <c r="CP196" s="1183"/>
      <c r="CQ196" s="1183"/>
      <c r="CR196" s="1183"/>
      <c r="CS196" s="1183"/>
      <c r="CT196" s="1183"/>
      <c r="CU196" s="1183"/>
      <c r="CV196" s="1183"/>
      <c r="CW196" s="1183"/>
      <c r="CX196" s="1183"/>
      <c r="CY196" s="1183"/>
      <c r="CZ196" s="1183"/>
      <c r="DA196" s="1183"/>
      <c r="DB196" s="1183"/>
      <c r="DC196" s="1183"/>
      <c r="DD196" s="1183"/>
      <c r="DE196" s="1183"/>
      <c r="DF196" s="1183"/>
      <c r="DG196" s="1183"/>
      <c r="DH196" s="1183"/>
      <c r="DI196" s="1183"/>
      <c r="DJ196" s="1183"/>
      <c r="DK196" s="1183"/>
      <c r="DL196" s="1183"/>
      <c r="DM196" s="1183"/>
      <c r="DN196" s="1183"/>
      <c r="DO196" s="1183"/>
      <c r="DP196" s="1183"/>
      <c r="DQ196" s="1183"/>
    </row>
    <row r="197" spans="1:121" s="12" customFormat="1" ht="12" customHeight="1" x14ac:dyDescent="0.3">
      <c r="A197" s="1439">
        <f t="shared" si="88"/>
        <v>45504</v>
      </c>
      <c r="B197" s="82">
        <v>43</v>
      </c>
      <c r="C197" s="67"/>
      <c r="D197" s="67"/>
      <c r="E197" s="67"/>
      <c r="F197" s="67"/>
      <c r="G197" s="1435"/>
      <c r="H197" s="43"/>
      <c r="I197" s="1435"/>
      <c r="J197" s="1435"/>
      <c r="K197" s="1597"/>
      <c r="L197" s="1597"/>
      <c r="M197" s="1597"/>
      <c r="N197" s="1597"/>
      <c r="O197" s="1597"/>
      <c r="P197" s="1597"/>
      <c r="Q197" s="1597"/>
      <c r="R197" s="1597"/>
      <c r="S197" s="1597"/>
      <c r="T197" s="1597"/>
      <c r="U197" s="1597"/>
      <c r="V197" s="1597"/>
      <c r="W197" s="1597"/>
      <c r="X197" s="1597"/>
      <c r="Y197" s="1597"/>
      <c r="Z197" s="1597"/>
      <c r="AA197" s="1597"/>
      <c r="AB197" s="1597"/>
      <c r="AC197" s="1597"/>
      <c r="AD197" s="1597"/>
      <c r="AE197" s="1597"/>
      <c r="AF197" s="1171"/>
      <c r="AG197" s="1171"/>
      <c r="AH197" s="1171"/>
      <c r="AI197" s="1171"/>
      <c r="AJ197" s="1171"/>
      <c r="AK197" s="1171"/>
      <c r="AL197" s="1171"/>
      <c r="AM197" s="1171"/>
      <c r="AN197" s="1171"/>
      <c r="AO197" s="1171"/>
      <c r="AP197" s="1171"/>
      <c r="AQ197" s="1171"/>
      <c r="AR197" s="1171"/>
      <c r="AS197" s="1171"/>
      <c r="AT197" s="1171"/>
      <c r="AU197" s="1171"/>
      <c r="AV197" s="1171"/>
      <c r="AW197" s="1171"/>
      <c r="AX197" s="1171"/>
      <c r="AY197" s="1171"/>
      <c r="AZ197" s="1171"/>
      <c r="BA197" s="1171"/>
      <c r="BB197" s="1171"/>
      <c r="BC197" s="1171"/>
      <c r="BD197" s="1171"/>
      <c r="BE197" s="1171"/>
      <c r="BF197" s="1171"/>
      <c r="BG197" s="1171"/>
      <c r="BH197" s="1171"/>
      <c r="BI197" s="1171"/>
      <c r="BJ197" s="1171"/>
      <c r="BK197" s="1171"/>
      <c r="BL197" s="1171"/>
      <c r="BM197" s="1171"/>
      <c r="BN197" s="1171"/>
      <c r="BO197" s="1171"/>
      <c r="BP197" s="1171"/>
      <c r="BQ197" s="1171"/>
      <c r="BR197" s="1171"/>
      <c r="BS197" s="1171"/>
      <c r="BT197" s="1171"/>
      <c r="BU197" s="1171"/>
      <c r="BV197" s="1171"/>
      <c r="BW197" s="1171"/>
      <c r="BX197" s="43"/>
      <c r="BY197" s="43"/>
      <c r="BZ197" s="1183"/>
      <c r="CA197" s="1183"/>
      <c r="CB197" s="1183"/>
      <c r="CC197" s="1183"/>
      <c r="CD197" s="1183"/>
      <c r="CE197" s="1183"/>
      <c r="CF197" s="1183"/>
      <c r="CG197" s="1183"/>
      <c r="CH197" s="1183"/>
      <c r="CI197" s="1183"/>
      <c r="CJ197" s="1183"/>
      <c r="CK197" s="1183"/>
      <c r="CL197" s="1183"/>
      <c r="CM197" s="1183"/>
      <c r="CN197" s="1183"/>
      <c r="CO197" s="1183"/>
      <c r="CP197" s="1183"/>
      <c r="CQ197" s="1183"/>
      <c r="CR197" s="1183"/>
      <c r="CS197" s="1183"/>
      <c r="CT197" s="1183"/>
      <c r="CU197" s="1183"/>
      <c r="CV197" s="1183"/>
      <c r="CW197" s="1183"/>
      <c r="CX197" s="1183"/>
      <c r="CY197" s="1183"/>
      <c r="CZ197" s="1183"/>
      <c r="DA197" s="1183"/>
      <c r="DB197" s="1183"/>
      <c r="DC197" s="1183"/>
      <c r="DD197" s="1183"/>
      <c r="DE197" s="1183"/>
      <c r="DF197" s="1183"/>
      <c r="DG197" s="1183"/>
      <c r="DH197" s="1183"/>
      <c r="DI197" s="1183"/>
      <c r="DJ197" s="1183"/>
      <c r="DK197" s="1183"/>
      <c r="DL197" s="1183"/>
      <c r="DM197" s="1183"/>
      <c r="DN197" s="1183"/>
      <c r="DO197" s="1183"/>
      <c r="DP197" s="1183"/>
      <c r="DQ197" s="1183"/>
    </row>
    <row r="198" spans="1:121" s="12" customFormat="1" ht="12" customHeight="1" x14ac:dyDescent="0.3">
      <c r="A198" s="1439">
        <f t="shared" si="88"/>
        <v>45535</v>
      </c>
      <c r="B198" s="82">
        <v>44</v>
      </c>
      <c r="C198" s="67"/>
      <c r="D198" s="67"/>
      <c r="E198" s="67"/>
      <c r="F198" s="67"/>
      <c r="G198" s="1435"/>
      <c r="H198" s="43"/>
      <c r="I198" s="1435"/>
      <c r="J198" s="1435"/>
      <c r="K198" s="1597"/>
      <c r="L198" s="1597"/>
      <c r="M198" s="1597"/>
      <c r="N198" s="1597"/>
      <c r="O198" s="1597"/>
      <c r="P198" s="1597"/>
      <c r="Q198" s="1597"/>
      <c r="R198" s="1597"/>
      <c r="S198" s="1597"/>
      <c r="T198" s="1597"/>
      <c r="U198" s="1597"/>
      <c r="V198" s="1597"/>
      <c r="W198" s="1597"/>
      <c r="X198" s="1597"/>
      <c r="Y198" s="1597"/>
      <c r="Z198" s="1597"/>
      <c r="AA198" s="1597"/>
      <c r="AB198" s="1597"/>
      <c r="AC198" s="1597"/>
      <c r="AD198" s="1597"/>
      <c r="AE198" s="1597"/>
      <c r="AF198" s="1171"/>
      <c r="AG198" s="1171"/>
      <c r="AH198" s="1171"/>
      <c r="AI198" s="1171"/>
      <c r="AJ198" s="1171"/>
      <c r="AK198" s="1171"/>
      <c r="AL198" s="1171"/>
      <c r="AM198" s="1171"/>
      <c r="AN198" s="1171"/>
      <c r="AO198" s="1171"/>
      <c r="AP198" s="1171"/>
      <c r="AQ198" s="1171"/>
      <c r="AR198" s="1171"/>
      <c r="AS198" s="1171"/>
      <c r="AT198" s="1171"/>
      <c r="AU198" s="1171"/>
      <c r="AV198" s="1171"/>
      <c r="AW198" s="1171"/>
      <c r="AX198" s="1171"/>
      <c r="AY198" s="1171"/>
      <c r="AZ198" s="1171"/>
      <c r="BA198" s="1171"/>
      <c r="BB198" s="1171"/>
      <c r="BC198" s="1171"/>
      <c r="BD198" s="1171"/>
      <c r="BE198" s="1171"/>
      <c r="BF198" s="1171"/>
      <c r="BG198" s="1171"/>
      <c r="BH198" s="1171"/>
      <c r="BI198" s="1171"/>
      <c r="BJ198" s="1171"/>
      <c r="BK198" s="1171"/>
      <c r="BL198" s="1171"/>
      <c r="BM198" s="1171"/>
      <c r="BN198" s="1171"/>
      <c r="BO198" s="1171"/>
      <c r="BP198" s="1171"/>
      <c r="BQ198" s="1171"/>
      <c r="BR198" s="1171"/>
      <c r="BS198" s="1171"/>
      <c r="BT198" s="1171"/>
      <c r="BU198" s="1171"/>
      <c r="BV198" s="1171"/>
      <c r="BW198" s="1171"/>
      <c r="BX198" s="43"/>
      <c r="BY198" s="43"/>
      <c r="BZ198" s="1183"/>
      <c r="CA198" s="1183"/>
      <c r="CB198" s="1183"/>
      <c r="CC198" s="1183"/>
      <c r="CD198" s="1183"/>
      <c r="CE198" s="1183"/>
      <c r="CF198" s="1183"/>
      <c r="CG198" s="1183"/>
      <c r="CH198" s="1183"/>
      <c r="CI198" s="1183"/>
      <c r="CJ198" s="1183"/>
      <c r="CK198" s="1183"/>
      <c r="CL198" s="1183"/>
      <c r="CM198" s="1183"/>
      <c r="CN198" s="1183"/>
      <c r="CO198" s="1183"/>
      <c r="CP198" s="1183"/>
      <c r="CQ198" s="1183"/>
      <c r="CR198" s="1183"/>
      <c r="CS198" s="1183"/>
      <c r="CT198" s="1183"/>
      <c r="CU198" s="1183"/>
      <c r="CV198" s="1183"/>
      <c r="CW198" s="1183"/>
      <c r="CX198" s="1183"/>
      <c r="CY198" s="1183"/>
      <c r="CZ198" s="1183"/>
      <c r="DA198" s="1183"/>
      <c r="DB198" s="1183"/>
      <c r="DC198" s="1183"/>
      <c r="DD198" s="1183"/>
      <c r="DE198" s="1183"/>
      <c r="DF198" s="1183"/>
      <c r="DG198" s="1183"/>
      <c r="DH198" s="1183"/>
      <c r="DI198" s="1183"/>
      <c r="DJ198" s="1183"/>
      <c r="DK198" s="1183"/>
      <c r="DL198" s="1183"/>
      <c r="DM198" s="1183"/>
      <c r="DN198" s="1183"/>
      <c r="DO198" s="1183"/>
      <c r="DP198" s="1183"/>
      <c r="DQ198" s="1183"/>
    </row>
    <row r="199" spans="1:121" s="12" customFormat="1" ht="12" customHeight="1" x14ac:dyDescent="0.3">
      <c r="A199" s="1439">
        <f t="shared" si="88"/>
        <v>45565</v>
      </c>
      <c r="B199" s="82">
        <v>45</v>
      </c>
      <c r="C199" s="67"/>
      <c r="D199" s="67"/>
      <c r="E199" s="67"/>
      <c r="F199" s="67"/>
      <c r="G199" s="1435"/>
      <c r="H199" s="43"/>
      <c r="I199" s="1435"/>
      <c r="J199" s="1435"/>
      <c r="K199" s="1597"/>
      <c r="L199" s="1597"/>
      <c r="M199" s="1597"/>
      <c r="N199" s="1597"/>
      <c r="O199" s="1597"/>
      <c r="P199" s="1597"/>
      <c r="Q199" s="1597"/>
      <c r="R199" s="1597"/>
      <c r="S199" s="1597"/>
      <c r="T199" s="1597"/>
      <c r="U199" s="1597"/>
      <c r="V199" s="1597"/>
      <c r="W199" s="1597"/>
      <c r="X199" s="1597"/>
      <c r="Y199" s="1597"/>
      <c r="Z199" s="1597"/>
      <c r="AA199" s="1597"/>
      <c r="AB199" s="1597"/>
      <c r="AC199" s="1597"/>
      <c r="AD199" s="1597"/>
      <c r="AE199" s="1597"/>
      <c r="AF199" s="1171"/>
      <c r="AG199" s="1171"/>
      <c r="AH199" s="1171"/>
      <c r="AI199" s="1171"/>
      <c r="AJ199" s="1171"/>
      <c r="AK199" s="1171"/>
      <c r="AL199" s="1171"/>
      <c r="AM199" s="1171"/>
      <c r="AN199" s="1171"/>
      <c r="AO199" s="1171"/>
      <c r="AP199" s="1171"/>
      <c r="AQ199" s="1171"/>
      <c r="AR199" s="1171"/>
      <c r="AS199" s="1171"/>
      <c r="AT199" s="1171"/>
      <c r="AU199" s="1171"/>
      <c r="AV199" s="1171"/>
      <c r="AW199" s="1171"/>
      <c r="AX199" s="1171"/>
      <c r="AY199" s="1171"/>
      <c r="AZ199" s="1171"/>
      <c r="BA199" s="1171"/>
      <c r="BB199" s="1171"/>
      <c r="BC199" s="1171"/>
      <c r="BD199" s="1171"/>
      <c r="BE199" s="1171"/>
      <c r="BF199" s="1171"/>
      <c r="BG199" s="1171"/>
      <c r="BH199" s="1171"/>
      <c r="BI199" s="1171"/>
      <c r="BJ199" s="1171"/>
      <c r="BK199" s="1171"/>
      <c r="BL199" s="1171"/>
      <c r="BM199" s="1171"/>
      <c r="BN199" s="1171"/>
      <c r="BO199" s="1171"/>
      <c r="BP199" s="1171"/>
      <c r="BQ199" s="1171"/>
      <c r="BR199" s="1171"/>
      <c r="BS199" s="1171"/>
      <c r="BT199" s="1171"/>
      <c r="BU199" s="1171"/>
      <c r="BV199" s="1171"/>
      <c r="BW199" s="1171"/>
      <c r="BX199" s="43"/>
      <c r="BY199" s="43"/>
      <c r="BZ199" s="1183"/>
      <c r="CA199" s="1183"/>
      <c r="CB199" s="1183"/>
      <c r="CC199" s="1183"/>
      <c r="CD199" s="1183"/>
      <c r="CE199" s="1183"/>
      <c r="CF199" s="1183"/>
      <c r="CG199" s="1183"/>
      <c r="CH199" s="1183"/>
      <c r="CI199" s="1183"/>
      <c r="CJ199" s="1183"/>
      <c r="CK199" s="1183"/>
      <c r="CL199" s="1183"/>
      <c r="CM199" s="1183"/>
      <c r="CN199" s="1183"/>
      <c r="CO199" s="1183"/>
      <c r="CP199" s="1183"/>
      <c r="CQ199" s="1183"/>
      <c r="CR199" s="1183"/>
      <c r="CS199" s="1183"/>
      <c r="CT199" s="1183"/>
      <c r="CU199" s="1183"/>
      <c r="CV199" s="1183"/>
      <c r="CW199" s="1183"/>
      <c r="CX199" s="1183"/>
      <c r="CY199" s="1183"/>
      <c r="CZ199" s="1183"/>
      <c r="DA199" s="1183"/>
      <c r="DB199" s="1183"/>
      <c r="DC199" s="1183"/>
      <c r="DD199" s="1183"/>
      <c r="DE199" s="1183"/>
      <c r="DF199" s="1183"/>
      <c r="DG199" s="1183"/>
      <c r="DH199" s="1183"/>
      <c r="DI199" s="1183"/>
      <c r="DJ199" s="1183"/>
      <c r="DK199" s="1183"/>
      <c r="DL199" s="1183"/>
      <c r="DM199" s="1183"/>
      <c r="DN199" s="1183"/>
      <c r="DO199" s="1183"/>
      <c r="DP199" s="1183"/>
      <c r="DQ199" s="1183"/>
    </row>
    <row r="200" spans="1:121" s="12" customFormat="1" ht="12" customHeight="1" x14ac:dyDescent="0.3">
      <c r="A200" s="1439">
        <f t="shared" si="88"/>
        <v>45596</v>
      </c>
      <c r="B200" s="82">
        <v>46</v>
      </c>
      <c r="C200" s="67"/>
      <c r="D200" s="67"/>
      <c r="E200" s="67"/>
      <c r="F200" s="67"/>
      <c r="G200" s="1446">
        <f>SUM(Input!D473:AB473)</f>
        <v>0</v>
      </c>
      <c r="H200" s="1446">
        <f>SUM(Input!D793:AB793)</f>
        <v>0</v>
      </c>
      <c r="I200" s="1435"/>
      <c r="J200" s="1435"/>
      <c r="K200" s="1073"/>
      <c r="L200" s="1598">
        <v>1</v>
      </c>
      <c r="M200" s="1598">
        <v>2</v>
      </c>
      <c r="N200" s="1598">
        <v>3</v>
      </c>
      <c r="O200" s="1598">
        <v>4</v>
      </c>
      <c r="P200" s="1598">
        <v>5</v>
      </c>
      <c r="Q200" s="1598">
        <v>6</v>
      </c>
      <c r="R200" s="1598">
        <v>7</v>
      </c>
      <c r="S200" s="1598">
        <v>8</v>
      </c>
      <c r="T200" s="1598">
        <v>9</v>
      </c>
      <c r="U200" s="1599">
        <v>10</v>
      </c>
      <c r="V200" s="1599">
        <v>11</v>
      </c>
      <c r="W200" s="1599">
        <v>12</v>
      </c>
      <c r="X200" s="1599">
        <v>13</v>
      </c>
      <c r="Y200" s="1599">
        <v>14</v>
      </c>
      <c r="Z200" s="1599">
        <v>15</v>
      </c>
      <c r="AA200" s="1599">
        <v>16</v>
      </c>
      <c r="AB200" s="1599">
        <v>17</v>
      </c>
      <c r="AC200" s="1599">
        <v>18</v>
      </c>
      <c r="AD200" s="1599">
        <v>19</v>
      </c>
      <c r="AE200" s="1599">
        <v>20</v>
      </c>
      <c r="AF200" s="1600">
        <v>21</v>
      </c>
      <c r="AG200" s="1600">
        <v>22</v>
      </c>
      <c r="AH200" s="1600">
        <v>23</v>
      </c>
      <c r="AI200" s="1600">
        <v>24</v>
      </c>
      <c r="AJ200" s="1600">
        <v>25</v>
      </c>
      <c r="AK200" s="1600">
        <v>26</v>
      </c>
      <c r="AL200" s="1600">
        <v>27</v>
      </c>
      <c r="AM200" s="1600">
        <v>28</v>
      </c>
      <c r="AN200" s="1600">
        <v>29</v>
      </c>
      <c r="AO200" s="1600">
        <v>30</v>
      </c>
      <c r="AP200" s="1600">
        <v>31</v>
      </c>
      <c r="AQ200" s="1600">
        <v>32</v>
      </c>
      <c r="AR200" s="1600">
        <v>33</v>
      </c>
      <c r="AS200" s="1600">
        <v>34</v>
      </c>
      <c r="AT200" s="1600">
        <v>35</v>
      </c>
      <c r="AU200" s="1600">
        <v>36</v>
      </c>
      <c r="AV200" s="1600">
        <v>37</v>
      </c>
      <c r="AW200" s="1600">
        <v>38</v>
      </c>
      <c r="AX200" s="1600">
        <v>39</v>
      </c>
      <c r="AY200" s="1600">
        <v>40</v>
      </c>
      <c r="AZ200" s="1600">
        <v>41</v>
      </c>
      <c r="BA200" s="1600">
        <v>42</v>
      </c>
      <c r="BB200" s="1600">
        <v>43</v>
      </c>
      <c r="BC200" s="1600">
        <v>44</v>
      </c>
      <c r="BD200" s="1600">
        <v>45</v>
      </c>
      <c r="BE200" s="1600">
        <v>46</v>
      </c>
      <c r="BF200" s="1600">
        <v>47</v>
      </c>
      <c r="BG200" s="1600">
        <v>48</v>
      </c>
      <c r="BH200" s="1600">
        <v>49</v>
      </c>
      <c r="BI200" s="1600">
        <v>50</v>
      </c>
      <c r="BJ200" s="1600">
        <v>51</v>
      </c>
      <c r="BK200" s="1600">
        <v>52</v>
      </c>
      <c r="BL200" s="1600">
        <v>53</v>
      </c>
      <c r="BM200" s="1600">
        <v>54</v>
      </c>
      <c r="BN200" s="1600">
        <v>55</v>
      </c>
      <c r="BO200" s="1600">
        <v>56</v>
      </c>
      <c r="BP200" s="1600">
        <v>57</v>
      </c>
      <c r="BQ200" s="1600">
        <v>58</v>
      </c>
      <c r="BR200" s="1600">
        <v>59</v>
      </c>
      <c r="BS200" s="1600">
        <v>60</v>
      </c>
      <c r="BT200" s="1171"/>
      <c r="BU200" s="1171"/>
      <c r="BV200" s="1171"/>
      <c r="BW200" s="1171"/>
      <c r="BX200" s="43"/>
      <c r="BY200" s="43"/>
      <c r="BZ200" s="1183"/>
      <c r="CA200" s="1183"/>
      <c r="CB200" s="1183"/>
      <c r="CC200" s="1183"/>
      <c r="CD200" s="1183"/>
      <c r="CE200" s="1183"/>
      <c r="CF200" s="1183"/>
      <c r="CG200" s="1183"/>
      <c r="CH200" s="1183"/>
      <c r="CI200" s="1183"/>
      <c r="CJ200" s="1183"/>
      <c r="CK200" s="1183"/>
      <c r="CL200" s="1183"/>
      <c r="CM200" s="1183"/>
      <c r="CN200" s="1183"/>
      <c r="CO200" s="1183"/>
      <c r="CP200" s="1183"/>
      <c r="CQ200" s="1183"/>
      <c r="CR200" s="1183"/>
      <c r="CS200" s="1183"/>
      <c r="CT200" s="1183"/>
      <c r="CU200" s="1183"/>
      <c r="CV200" s="1183"/>
      <c r="CW200" s="1183"/>
      <c r="CX200" s="1183"/>
      <c r="CY200" s="1183"/>
      <c r="CZ200" s="1183"/>
      <c r="DA200" s="1183"/>
      <c r="DB200" s="1183"/>
      <c r="DC200" s="1183"/>
      <c r="DD200" s="1183"/>
      <c r="DE200" s="1183"/>
      <c r="DF200" s="1183"/>
      <c r="DG200" s="1183"/>
      <c r="DH200" s="1183"/>
      <c r="DI200" s="1183"/>
      <c r="DJ200" s="1183"/>
      <c r="DK200" s="1183"/>
      <c r="DL200" s="1183"/>
      <c r="DM200" s="1183"/>
      <c r="DN200" s="1183"/>
      <c r="DO200" s="1183"/>
      <c r="DP200" s="1183"/>
      <c r="DQ200" s="1183"/>
    </row>
    <row r="201" spans="1:121" s="12" customFormat="1" ht="12" customHeight="1" x14ac:dyDescent="0.3">
      <c r="A201" s="1439">
        <f t="shared" si="88"/>
        <v>45626</v>
      </c>
      <c r="B201" s="82">
        <v>47</v>
      </c>
      <c r="C201" s="67"/>
      <c r="D201" s="1447" t="s">
        <v>413</v>
      </c>
      <c r="E201" s="1447" t="s">
        <v>218</v>
      </c>
      <c r="F201" s="67"/>
      <c r="G201" s="1446">
        <f>SUM(Input!D474:AB474)</f>
        <v>0</v>
      </c>
      <c r="H201" s="1446">
        <f>SUM(Input!D794:AB794)</f>
        <v>0</v>
      </c>
      <c r="I201" s="1435"/>
      <c r="J201" s="1435"/>
      <c r="K201" s="1601" t="s">
        <v>195</v>
      </c>
      <c r="L201" s="1602">
        <f>Calcs!$G$200</f>
        <v>0</v>
      </c>
      <c r="M201" s="1602">
        <f>Calcs!$G$201</f>
        <v>0</v>
      </c>
      <c r="N201" s="1602">
        <f>Calcs!$G$202</f>
        <v>0</v>
      </c>
      <c r="O201" s="1602">
        <f>Calcs!$G$203</f>
        <v>0</v>
      </c>
      <c r="P201" s="1602">
        <f>Calcs!$G$204</f>
        <v>0</v>
      </c>
      <c r="Q201" s="1602">
        <f>Calcs!$G$205</f>
        <v>0</v>
      </c>
      <c r="R201" s="1602">
        <f>Calcs!$G$206</f>
        <v>0</v>
      </c>
      <c r="S201" s="1602">
        <f>Calcs!$G$207</f>
        <v>0</v>
      </c>
      <c r="T201" s="1602">
        <f>Calcs!$G$208</f>
        <v>0</v>
      </c>
      <c r="U201" s="1603">
        <f>Calcs!$G$209</f>
        <v>0</v>
      </c>
      <c r="V201" s="1603">
        <f>Calcs!$G$210</f>
        <v>0</v>
      </c>
      <c r="W201" s="1603">
        <f>Calcs!$G$211</f>
        <v>0</v>
      </c>
      <c r="X201" s="1603">
        <f>Calcs!$G$212</f>
        <v>0</v>
      </c>
      <c r="Y201" s="1603">
        <f>Calcs!$G$213</f>
        <v>0</v>
      </c>
      <c r="Z201" s="1603">
        <f>Calcs!$G$214</f>
        <v>0</v>
      </c>
      <c r="AA201" s="1603">
        <f>Calcs!$G$215</f>
        <v>0</v>
      </c>
      <c r="AB201" s="1603">
        <f>Calcs!$G$216</f>
        <v>0</v>
      </c>
      <c r="AC201" s="1603">
        <f>Calcs!$G$217</f>
        <v>0</v>
      </c>
      <c r="AD201" s="1603">
        <f>Calcs!$G$218</f>
        <v>0</v>
      </c>
      <c r="AE201" s="1603">
        <f>Calcs!$G$219</f>
        <v>0</v>
      </c>
      <c r="AF201" s="1604">
        <f>Calcs!$G$220</f>
        <v>0</v>
      </c>
      <c r="AG201" s="1604">
        <f>Calcs!$G$221</f>
        <v>0</v>
      </c>
      <c r="AH201" s="1604">
        <f>Calcs!$G$222</f>
        <v>0</v>
      </c>
      <c r="AI201" s="1604">
        <f>Calcs!$G$223</f>
        <v>0</v>
      </c>
      <c r="AJ201" s="1604">
        <f>Calcs!$G$224</f>
        <v>0</v>
      </c>
      <c r="AK201" s="1604">
        <f>Calcs!$G$225</f>
        <v>0</v>
      </c>
      <c r="AL201" s="1604">
        <f>Calcs!$G$226</f>
        <v>0</v>
      </c>
      <c r="AM201" s="1604">
        <f>Calcs!$G$227</f>
        <v>0</v>
      </c>
      <c r="AN201" s="1604">
        <f>Calcs!$G$228</f>
        <v>0</v>
      </c>
      <c r="AO201" s="1604">
        <f>Calcs!$G$229</f>
        <v>0</v>
      </c>
      <c r="AP201" s="1604">
        <f>Calcs!$G$230</f>
        <v>0</v>
      </c>
      <c r="AQ201" s="1604">
        <f>Calcs!$G$231</f>
        <v>0</v>
      </c>
      <c r="AR201" s="1604">
        <f>Calcs!$G$232</f>
        <v>0</v>
      </c>
      <c r="AS201" s="1604">
        <f>Calcs!$G$233</f>
        <v>0</v>
      </c>
      <c r="AT201" s="1604">
        <f>Calcs!$G$234</f>
        <v>0</v>
      </c>
      <c r="AU201" s="1604">
        <f>Calcs!$G$235</f>
        <v>0</v>
      </c>
      <c r="AV201" s="1604">
        <f>Calcs!$G$236</f>
        <v>0</v>
      </c>
      <c r="AW201" s="1604">
        <f>Calcs!$G$237</f>
        <v>0</v>
      </c>
      <c r="AX201" s="1604">
        <f>Calcs!$G$238</f>
        <v>0</v>
      </c>
      <c r="AY201" s="1604">
        <f>Calcs!$G$239</f>
        <v>0</v>
      </c>
      <c r="AZ201" s="1604">
        <f>Calcs!$G$240</f>
        <v>0</v>
      </c>
      <c r="BA201" s="1604">
        <f>Calcs!$G$241</f>
        <v>0</v>
      </c>
      <c r="BB201" s="1604">
        <f>Calcs!$G$242</f>
        <v>0</v>
      </c>
      <c r="BC201" s="1604">
        <f>Calcs!$G$243</f>
        <v>0</v>
      </c>
      <c r="BD201" s="1604">
        <f>Calcs!$G$244</f>
        <v>0</v>
      </c>
      <c r="BE201" s="1604">
        <f>Calcs!$G$245</f>
        <v>0</v>
      </c>
      <c r="BF201" s="1604">
        <f>Calcs!$G$246</f>
        <v>0</v>
      </c>
      <c r="BG201" s="1604">
        <f>Calcs!$G$247</f>
        <v>0</v>
      </c>
      <c r="BH201" s="1604">
        <f>Calcs!$G$248</f>
        <v>0</v>
      </c>
      <c r="BI201" s="1604">
        <f>Calcs!$G$249</f>
        <v>0</v>
      </c>
      <c r="BJ201" s="1604">
        <f>Calcs!$G$250</f>
        <v>0</v>
      </c>
      <c r="BK201" s="1604">
        <f>Calcs!$G$251</f>
        <v>0</v>
      </c>
      <c r="BL201" s="1604">
        <f>Calcs!$G$252</f>
        <v>0</v>
      </c>
      <c r="BM201" s="1604">
        <f>Calcs!$G$253</f>
        <v>0</v>
      </c>
      <c r="BN201" s="1604">
        <f>Calcs!$G$254</f>
        <v>0</v>
      </c>
      <c r="BO201" s="1604">
        <f>Calcs!$G$255</f>
        <v>0</v>
      </c>
      <c r="BP201" s="1604">
        <f>Calcs!$G$256</f>
        <v>0</v>
      </c>
      <c r="BQ201" s="1604">
        <f>Calcs!$G$257</f>
        <v>0</v>
      </c>
      <c r="BR201" s="1604">
        <f>Calcs!$G$258</f>
        <v>0</v>
      </c>
      <c r="BS201" s="1604">
        <f>Calcs!$G$259</f>
        <v>0</v>
      </c>
      <c r="BT201" s="1171"/>
      <c r="BU201" s="1171"/>
      <c r="BV201" s="1171"/>
      <c r="BW201" s="1171"/>
      <c r="BX201" s="43"/>
      <c r="BY201" s="43"/>
      <c r="BZ201" s="1183"/>
      <c r="CA201" s="1183"/>
      <c r="CB201" s="1183"/>
      <c r="CC201" s="1183"/>
      <c r="CD201" s="1183"/>
      <c r="CE201" s="1183"/>
      <c r="CF201" s="1183"/>
      <c r="CG201" s="1183"/>
      <c r="CH201" s="1183"/>
      <c r="CI201" s="1183"/>
      <c r="CJ201" s="1183"/>
      <c r="CK201" s="1183"/>
      <c r="CL201" s="1183"/>
      <c r="CM201" s="1183"/>
      <c r="CN201" s="1183"/>
      <c r="CO201" s="1183"/>
      <c r="CP201" s="1183"/>
      <c r="CQ201" s="1183"/>
      <c r="CR201" s="1183"/>
      <c r="CS201" s="1183"/>
      <c r="CT201" s="1183"/>
      <c r="CU201" s="1183"/>
      <c r="CV201" s="1183"/>
      <c r="CW201" s="1183"/>
      <c r="CX201" s="1183"/>
      <c r="CY201" s="1183"/>
      <c r="CZ201" s="1183"/>
      <c r="DA201" s="1183"/>
      <c r="DB201" s="1183"/>
      <c r="DC201" s="1183"/>
      <c r="DD201" s="1183"/>
      <c r="DE201" s="1183"/>
      <c r="DF201" s="1183"/>
      <c r="DG201" s="1183"/>
      <c r="DH201" s="1183"/>
      <c r="DI201" s="1183"/>
      <c r="DJ201" s="1183"/>
      <c r="DK201" s="1183"/>
      <c r="DL201" s="1183"/>
      <c r="DM201" s="1183"/>
      <c r="DN201" s="1183"/>
      <c r="DO201" s="1183"/>
      <c r="DP201" s="1183"/>
      <c r="DQ201" s="1183"/>
    </row>
    <row r="202" spans="1:121" s="12" customFormat="1" ht="12" customHeight="1" x14ac:dyDescent="0.3">
      <c r="A202" s="1439">
        <f t="shared" si="88"/>
        <v>45657</v>
      </c>
      <c r="B202" s="82">
        <v>48</v>
      </c>
      <c r="C202" s="1439">
        <f>Infrastructure!B9</f>
        <v>0</v>
      </c>
      <c r="D202" s="82"/>
      <c r="E202" s="82"/>
      <c r="F202" s="67"/>
      <c r="G202" s="1446">
        <f>SUM(Input!D475:AB475)</f>
        <v>0</v>
      </c>
      <c r="H202" s="1446">
        <f>SUM(Input!D795:AB795)</f>
        <v>0</v>
      </c>
      <c r="I202" s="1435"/>
      <c r="J202" s="1435"/>
      <c r="K202" s="1601" t="s">
        <v>414</v>
      </c>
      <c r="L202" s="269">
        <f>Calcs!$H$200</f>
        <v>0</v>
      </c>
      <c r="M202" s="269">
        <f>Calcs!$H$201</f>
        <v>0</v>
      </c>
      <c r="N202" s="269">
        <f>Calcs!$H$202</f>
        <v>0</v>
      </c>
      <c r="O202" s="269">
        <f>Calcs!$H$203</f>
        <v>0</v>
      </c>
      <c r="P202" s="269">
        <f>Calcs!$H$204</f>
        <v>0</v>
      </c>
      <c r="Q202" s="269">
        <f>Calcs!$H$205</f>
        <v>0</v>
      </c>
      <c r="R202" s="269">
        <f>Calcs!$H$206</f>
        <v>0</v>
      </c>
      <c r="S202" s="269">
        <f>Calcs!$H$207</f>
        <v>0</v>
      </c>
      <c r="T202" s="269">
        <f>Calcs!$H$208</f>
        <v>0</v>
      </c>
      <c r="U202" s="821">
        <f>Calcs!$H$209</f>
        <v>0</v>
      </c>
      <c r="V202" s="821">
        <f>Calcs!$H$210</f>
        <v>0</v>
      </c>
      <c r="W202" s="821">
        <f>Calcs!$H$211</f>
        <v>0</v>
      </c>
      <c r="X202" s="821">
        <f>Calcs!$H$212</f>
        <v>0</v>
      </c>
      <c r="Y202" s="821">
        <f>Calcs!$H$213</f>
        <v>0</v>
      </c>
      <c r="Z202" s="821">
        <f>Calcs!$H$214</f>
        <v>0</v>
      </c>
      <c r="AA202" s="821">
        <f>Calcs!$H$215</f>
        <v>0</v>
      </c>
      <c r="AB202" s="821">
        <f>Calcs!$H$216</f>
        <v>0</v>
      </c>
      <c r="AC202" s="821">
        <f>Calcs!$H$217</f>
        <v>0</v>
      </c>
      <c r="AD202" s="821">
        <f>Calcs!$H$218</f>
        <v>0</v>
      </c>
      <c r="AE202" s="821">
        <f>Calcs!$H$219</f>
        <v>0</v>
      </c>
      <c r="AF202" s="1594">
        <f>Calcs!$H$220</f>
        <v>0</v>
      </c>
      <c r="AG202" s="1594">
        <f>Calcs!$H$221</f>
        <v>0</v>
      </c>
      <c r="AH202" s="1594">
        <f>Calcs!$H$222</f>
        <v>0</v>
      </c>
      <c r="AI202" s="1594">
        <f>Calcs!$H$223</f>
        <v>0</v>
      </c>
      <c r="AJ202" s="1594">
        <f>Calcs!$H$224</f>
        <v>0</v>
      </c>
      <c r="AK202" s="1594">
        <f>Calcs!$H$225</f>
        <v>0</v>
      </c>
      <c r="AL202" s="1594">
        <f>Calcs!$H$226</f>
        <v>0</v>
      </c>
      <c r="AM202" s="1594">
        <f>Calcs!$H$227</f>
        <v>0</v>
      </c>
      <c r="AN202" s="1594">
        <f>Calcs!$H$228</f>
        <v>0</v>
      </c>
      <c r="AO202" s="1594">
        <f>Calcs!$H$229</f>
        <v>0</v>
      </c>
      <c r="AP202" s="1594">
        <f>Calcs!$H$230</f>
        <v>0</v>
      </c>
      <c r="AQ202" s="1594">
        <f>Calcs!$H$231</f>
        <v>0</v>
      </c>
      <c r="AR202" s="1594">
        <f>Calcs!$H$232</f>
        <v>0</v>
      </c>
      <c r="AS202" s="1594">
        <f>Calcs!$H$233</f>
        <v>0</v>
      </c>
      <c r="AT202" s="1594">
        <f>Calcs!$H$234</f>
        <v>0</v>
      </c>
      <c r="AU202" s="1594">
        <f>Calcs!$H$235</f>
        <v>0</v>
      </c>
      <c r="AV202" s="1594">
        <f>Calcs!$H$236</f>
        <v>0</v>
      </c>
      <c r="AW202" s="1594">
        <f>Calcs!$H$237</f>
        <v>0</v>
      </c>
      <c r="AX202" s="1594">
        <f>Calcs!$H$238</f>
        <v>0</v>
      </c>
      <c r="AY202" s="1594">
        <f>Calcs!$H$239</f>
        <v>0</v>
      </c>
      <c r="AZ202" s="1594">
        <f>Calcs!$H$240</f>
        <v>0</v>
      </c>
      <c r="BA202" s="1594">
        <f>Calcs!$H$241</f>
        <v>0</v>
      </c>
      <c r="BB202" s="1594">
        <f>Calcs!$H$242</f>
        <v>0</v>
      </c>
      <c r="BC202" s="1594">
        <f>Calcs!$H$243</f>
        <v>0</v>
      </c>
      <c r="BD202" s="1594">
        <f>Calcs!$H$244</f>
        <v>0</v>
      </c>
      <c r="BE202" s="1594">
        <f>Calcs!$H$245</f>
        <v>0</v>
      </c>
      <c r="BF202" s="1594">
        <f>Calcs!$H$246</f>
        <v>0</v>
      </c>
      <c r="BG202" s="1594">
        <f>Calcs!$H$247</f>
        <v>0</v>
      </c>
      <c r="BH202" s="1594">
        <f>Calcs!$H$248</f>
        <v>0</v>
      </c>
      <c r="BI202" s="1594">
        <f>Calcs!$H$249</f>
        <v>0</v>
      </c>
      <c r="BJ202" s="1594">
        <f>Calcs!$H$250</f>
        <v>0</v>
      </c>
      <c r="BK202" s="1594">
        <f>Calcs!$H$251</f>
        <v>0</v>
      </c>
      <c r="BL202" s="1594">
        <f>Calcs!$H$252</f>
        <v>0</v>
      </c>
      <c r="BM202" s="1594">
        <f>Calcs!$H$253</f>
        <v>0</v>
      </c>
      <c r="BN202" s="1594">
        <f>Calcs!$H$254</f>
        <v>0</v>
      </c>
      <c r="BO202" s="1594">
        <f>Calcs!$H$255</f>
        <v>0</v>
      </c>
      <c r="BP202" s="1594">
        <f>Calcs!$H$256</f>
        <v>0</v>
      </c>
      <c r="BQ202" s="1594">
        <f>Calcs!$H$257</f>
        <v>0</v>
      </c>
      <c r="BR202" s="1594">
        <f>Calcs!$H$258</f>
        <v>0</v>
      </c>
      <c r="BS202" s="1594">
        <f>Calcs!$H$259</f>
        <v>0</v>
      </c>
      <c r="BT202" s="1171"/>
      <c r="BU202" s="1171"/>
      <c r="BV202" s="1171"/>
      <c r="BW202" s="1171"/>
      <c r="BX202" s="43"/>
      <c r="BY202" s="43"/>
      <c r="BZ202" s="1183"/>
      <c r="CA202" s="1183"/>
      <c r="CB202" s="1183"/>
      <c r="CC202" s="1183"/>
      <c r="CD202" s="1183"/>
      <c r="CE202" s="1183"/>
      <c r="CF202" s="1183"/>
      <c r="CG202" s="1183"/>
      <c r="CH202" s="1183"/>
      <c r="CI202" s="1183"/>
      <c r="CJ202" s="1183"/>
      <c r="CK202" s="1183"/>
      <c r="CL202" s="1183"/>
      <c r="CM202" s="1183"/>
      <c r="CN202" s="1183"/>
      <c r="CO202" s="1183"/>
      <c r="CP202" s="1183"/>
      <c r="CQ202" s="1183"/>
      <c r="CR202" s="1183"/>
      <c r="CS202" s="1183"/>
      <c r="CT202" s="1183"/>
      <c r="CU202" s="1183"/>
      <c r="CV202" s="1183"/>
      <c r="CW202" s="1183"/>
      <c r="CX202" s="1183"/>
      <c r="CY202" s="1183"/>
      <c r="CZ202" s="1183"/>
      <c r="DA202" s="1183"/>
      <c r="DB202" s="1183"/>
      <c r="DC202" s="1183"/>
      <c r="DD202" s="1183"/>
      <c r="DE202" s="1183"/>
      <c r="DF202" s="1183"/>
      <c r="DG202" s="1183"/>
      <c r="DH202" s="1183"/>
      <c r="DI202" s="1183"/>
      <c r="DJ202" s="1183"/>
      <c r="DK202" s="1183"/>
      <c r="DL202" s="1183"/>
      <c r="DM202" s="1183"/>
      <c r="DN202" s="1183"/>
      <c r="DO202" s="1183"/>
      <c r="DP202" s="1183"/>
      <c r="DQ202" s="1183"/>
    </row>
    <row r="203" spans="1:121" s="12" customFormat="1" ht="12" customHeight="1" x14ac:dyDescent="0.3">
      <c r="A203" s="1439">
        <f t="shared" si="88"/>
        <v>45688</v>
      </c>
      <c r="B203" s="82">
        <v>49</v>
      </c>
      <c r="C203" s="1439">
        <f>EOMONTH(C202,1)</f>
        <v>59</v>
      </c>
      <c r="D203" s="82"/>
      <c r="E203" s="82"/>
      <c r="F203" s="67"/>
      <c r="G203" s="1446">
        <f>SUM(Input!D476:AB476)</f>
        <v>0</v>
      </c>
      <c r="H203" s="1446">
        <f>SUM(Input!D796:AB796)</f>
        <v>0</v>
      </c>
      <c r="I203" s="1435"/>
      <c r="J203" s="1435"/>
      <c r="K203" s="1601" t="s">
        <v>201</v>
      </c>
      <c r="L203" s="269">
        <f>SUM(Input!$D$856:'Input'!$AB$856)</f>
        <v>0</v>
      </c>
      <c r="M203" s="269">
        <f>SUM(Input!$D$857:'Input'!$AB$857)</f>
        <v>0</v>
      </c>
      <c r="N203" s="269">
        <f>SUM(Input!$D$858:'Input'!$AB$858)</f>
        <v>0</v>
      </c>
      <c r="O203" s="269">
        <f>SUM(Input!$D$859:'Input'!$AB$859)</f>
        <v>0</v>
      </c>
      <c r="P203" s="269">
        <f>SUM(Input!$D$860:'Input'!$AB$860)</f>
        <v>0</v>
      </c>
      <c r="Q203" s="269">
        <f>SUM(Input!$D$861:'Input'!$AB$861)</f>
        <v>0</v>
      </c>
      <c r="R203" s="269">
        <f>SUM(Input!$D$862:'Input'!$AB$862)</f>
        <v>0</v>
      </c>
      <c r="S203" s="269">
        <f>SUM(Input!$D$863:'Input'!$AB$863)</f>
        <v>0</v>
      </c>
      <c r="T203" s="269">
        <f>SUM(Input!$D$864:'Input'!$AB$864)</f>
        <v>0</v>
      </c>
      <c r="U203" s="821">
        <f>SUM(Input!$D$865:'Input'!$AB$865)</f>
        <v>0</v>
      </c>
      <c r="V203" s="821">
        <f>SUM(Input!$D$866:'Input'!$AB$866)</f>
        <v>0</v>
      </c>
      <c r="W203" s="821">
        <f>SUM(Input!$D$867:'Input'!$AB$867)</f>
        <v>0</v>
      </c>
      <c r="X203" s="821">
        <f>SUM(Input!$D$868:'Input'!$AB$868)</f>
        <v>0</v>
      </c>
      <c r="Y203" s="821">
        <f>SUM(Input!$D$869:'Input'!$AB$869)</f>
        <v>0</v>
      </c>
      <c r="Z203" s="821">
        <f>SUM(Input!$D$870:'Input'!$AB$870)</f>
        <v>0</v>
      </c>
      <c r="AA203" s="821">
        <f>SUM(Input!$D$871:'Input'!$AB$871)</f>
        <v>0</v>
      </c>
      <c r="AB203" s="821">
        <f>SUM(Input!$D$872:'Input'!$AB$872)</f>
        <v>0</v>
      </c>
      <c r="AC203" s="821">
        <f>SUM(Input!$D$873:'Input'!$AB$873)</f>
        <v>0</v>
      </c>
      <c r="AD203" s="821">
        <f>SUM(Input!$D$874:'Input'!$AB$874)</f>
        <v>0</v>
      </c>
      <c r="AE203" s="821">
        <f>SUM(Input!$D$875:'Input'!$AB$875)</f>
        <v>0</v>
      </c>
      <c r="AF203" s="1594">
        <f>SUM(Input!$D$876:'Input'!$AB$876)</f>
        <v>0</v>
      </c>
      <c r="AG203" s="1594">
        <f>SUM(Input!$D$877:'Input'!$AB$877)</f>
        <v>0</v>
      </c>
      <c r="AH203" s="1594">
        <f>SUM(Input!$D$878:'Input'!$AB$878)</f>
        <v>0</v>
      </c>
      <c r="AI203" s="1594">
        <f>SUM(Input!$D$879:'Input'!$AB$879)</f>
        <v>0</v>
      </c>
      <c r="AJ203" s="1594">
        <f>SUM(Input!$D$880:'Input'!$AB$880)</f>
        <v>0</v>
      </c>
      <c r="AK203" s="1594">
        <f>SUM(Input!$D$881:'Input'!$AB$881)</f>
        <v>0</v>
      </c>
      <c r="AL203" s="1594">
        <f>SUM(Input!$D$882:'Input'!$AB$882)</f>
        <v>0</v>
      </c>
      <c r="AM203" s="1594">
        <f>SUM(Input!$D$883:'Input'!$AB$883)</f>
        <v>0</v>
      </c>
      <c r="AN203" s="1594">
        <f>SUM(Input!$D$884:'Input'!$AB$884)</f>
        <v>0</v>
      </c>
      <c r="AO203" s="1594">
        <f>SUM(Input!$D$885:'Input'!$AB$885)</f>
        <v>0</v>
      </c>
      <c r="AP203" s="1594">
        <f>SUM(Input!$D$886:'Input'!$AB$886)</f>
        <v>0</v>
      </c>
      <c r="AQ203" s="1594">
        <f>SUM(Input!$D$887:'Input'!$AB$887)</f>
        <v>0</v>
      </c>
      <c r="AR203" s="1594">
        <f>SUM(Input!$D$888:'Input'!$AB$888)</f>
        <v>0</v>
      </c>
      <c r="AS203" s="1594">
        <f>SUM(Input!$D$889:'Input'!$AB$889)</f>
        <v>0</v>
      </c>
      <c r="AT203" s="1594">
        <f>SUM(Input!$D$890:'Input'!$AB$890)</f>
        <v>0</v>
      </c>
      <c r="AU203" s="1594">
        <f>SUM(Input!$D$891:'Input'!$AB$891)</f>
        <v>0</v>
      </c>
      <c r="AV203" s="1594">
        <f>SUM(Input!$D$892:'Input'!$AB$892)</f>
        <v>0</v>
      </c>
      <c r="AW203" s="1594">
        <f>SUM(Input!$D$893:'Input'!$AB$893)</f>
        <v>0</v>
      </c>
      <c r="AX203" s="1594">
        <f>SUM(Input!$D$894:'Input'!$AB$894)</f>
        <v>0</v>
      </c>
      <c r="AY203" s="1594">
        <f>SUM(Input!$D$895:'Input'!$AB$895)</f>
        <v>0</v>
      </c>
      <c r="AZ203" s="1594">
        <f>SUM(Input!$D$896:'Input'!$AB$896)</f>
        <v>0</v>
      </c>
      <c r="BA203" s="1594">
        <f>SUM(Input!$D$897:'Input'!$AB$897)</f>
        <v>0</v>
      </c>
      <c r="BB203" s="1594">
        <f>SUM(Input!$D$898:'Input'!$AB$898)</f>
        <v>0</v>
      </c>
      <c r="BC203" s="1594">
        <f>SUM(Input!$D$899:'Input'!$AB$899)</f>
        <v>0</v>
      </c>
      <c r="BD203" s="1594">
        <f>SUM(Input!$D$900:'Input'!$AB$900)</f>
        <v>0</v>
      </c>
      <c r="BE203" s="1594">
        <f>SUM(Input!$D$901:'Input'!$AB$901)</f>
        <v>0</v>
      </c>
      <c r="BF203" s="1594">
        <f>SUM(Input!$D$902:'Input'!$AB$902)</f>
        <v>0</v>
      </c>
      <c r="BG203" s="1594">
        <f>SUM(Input!$D$903:'Input'!$AB$903)</f>
        <v>0</v>
      </c>
      <c r="BH203" s="1594">
        <f>SUM(Input!$D$904:'Input'!$AB$904)</f>
        <v>0</v>
      </c>
      <c r="BI203" s="1594">
        <f>SUM(Input!$D$905:'Input'!$AB$905)</f>
        <v>0</v>
      </c>
      <c r="BJ203" s="1594">
        <f>SUM(Input!$D$906:'Input'!$AB$906)</f>
        <v>0</v>
      </c>
      <c r="BK203" s="1594">
        <f>SUM(Input!$D$907:'Input'!$AB$907)</f>
        <v>0</v>
      </c>
      <c r="BL203" s="1594">
        <f>SUM(Input!$D$908:'Input'!$AB$908)</f>
        <v>0</v>
      </c>
      <c r="BM203" s="1594">
        <f>SUM(Input!$D$909:'Input'!$AB$909)</f>
        <v>0</v>
      </c>
      <c r="BN203" s="1594">
        <f>SUM(Input!$D$910:'Input'!$AB$910)</f>
        <v>0</v>
      </c>
      <c r="BO203" s="1594">
        <f>SUM(Input!$D$911:'Input'!$AB$911)</f>
        <v>0</v>
      </c>
      <c r="BP203" s="1594">
        <f>SUM(Input!$D$912:'Input'!$AB$912)</f>
        <v>0</v>
      </c>
      <c r="BQ203" s="1594">
        <f>SUM(Input!$D$913:'Input'!$AB$913)</f>
        <v>0</v>
      </c>
      <c r="BR203" s="1594">
        <f>SUM(Input!$D$914:'Input'!$AB$914)</f>
        <v>0</v>
      </c>
      <c r="BS203" s="1594">
        <f>SUM(Input!$D$915:'Input'!$AB$915)</f>
        <v>0</v>
      </c>
      <c r="BT203" s="1171"/>
      <c r="BU203" s="1171"/>
      <c r="BV203" s="1171"/>
      <c r="BW203" s="1171"/>
      <c r="BX203" s="43"/>
      <c r="BY203" s="43"/>
      <c r="BZ203" s="1183"/>
      <c r="CA203" s="1183"/>
      <c r="CB203" s="1183"/>
      <c r="CC203" s="1183"/>
      <c r="CD203" s="1183"/>
      <c r="CE203" s="1183"/>
      <c r="CF203" s="1183"/>
      <c r="CG203" s="1183"/>
      <c r="CH203" s="1183"/>
      <c r="CI203" s="1183"/>
      <c r="CJ203" s="1183"/>
      <c r="CK203" s="1183"/>
      <c r="CL203" s="1183"/>
      <c r="CM203" s="1183"/>
      <c r="CN203" s="1183"/>
      <c r="CO203" s="1183"/>
      <c r="CP203" s="1183"/>
      <c r="CQ203" s="1183"/>
      <c r="CR203" s="1183"/>
      <c r="CS203" s="1183"/>
      <c r="CT203" s="1183"/>
      <c r="CU203" s="1183"/>
      <c r="CV203" s="1183"/>
      <c r="CW203" s="1183"/>
      <c r="CX203" s="1183"/>
      <c r="CY203" s="1183"/>
      <c r="CZ203" s="1183"/>
      <c r="DA203" s="1183"/>
      <c r="DB203" s="1183"/>
      <c r="DC203" s="1183"/>
      <c r="DD203" s="1183"/>
      <c r="DE203" s="1183"/>
      <c r="DF203" s="1183"/>
      <c r="DG203" s="1183"/>
      <c r="DH203" s="1183"/>
      <c r="DI203" s="1183"/>
      <c r="DJ203" s="1183"/>
      <c r="DK203" s="1183"/>
      <c r="DL203" s="1183"/>
      <c r="DM203" s="1183"/>
      <c r="DN203" s="1183"/>
      <c r="DO203" s="1183"/>
      <c r="DP203" s="1183"/>
      <c r="DQ203" s="1183"/>
    </row>
    <row r="204" spans="1:121" s="12" customFormat="1" ht="12" customHeight="1" x14ac:dyDescent="0.3">
      <c r="A204" s="1439">
        <f t="shared" si="88"/>
        <v>45716</v>
      </c>
      <c r="B204" s="82">
        <v>50</v>
      </c>
      <c r="C204" s="1439">
        <f t="shared" ref="C204:C261" si="91">EOMONTH(C203,1)</f>
        <v>91</v>
      </c>
      <c r="D204" s="82"/>
      <c r="E204" s="82"/>
      <c r="F204" s="67"/>
      <c r="G204" s="1446">
        <f>SUM(Input!D477:AB477)</f>
        <v>0</v>
      </c>
      <c r="H204" s="1446">
        <f>SUM(Input!D797:AB797)</f>
        <v>0</v>
      </c>
      <c r="I204" s="1435"/>
      <c r="J204" s="1435"/>
      <c r="K204" s="1601" t="s">
        <v>288</v>
      </c>
      <c r="L204" s="1073">
        <f>SUM(Input!$D$919:$AB$919)</f>
        <v>0</v>
      </c>
      <c r="M204" s="1073">
        <f>SUM(Input!$D$920:$AB$920)</f>
        <v>0</v>
      </c>
      <c r="N204" s="1073">
        <f>SUM(Input!$D$921:$AB$921)</f>
        <v>0</v>
      </c>
      <c r="O204" s="1073">
        <f>SUM(Input!$D$922:$AB$922)</f>
        <v>0</v>
      </c>
      <c r="P204" s="269">
        <f>SUM(Input!$D$923:$AB$923)</f>
        <v>0</v>
      </c>
      <c r="Q204" s="269">
        <f>SUM(Input!$D$924:$AB$924)</f>
        <v>0</v>
      </c>
      <c r="R204" s="269">
        <f>SUM(Input!$D$925:$AB$925)</f>
        <v>0</v>
      </c>
      <c r="S204" s="269">
        <f>SUM(Input!$D$926:$AB$926)</f>
        <v>0</v>
      </c>
      <c r="T204" s="269">
        <f>SUM(Input!$D$927:$AB$927)</f>
        <v>0</v>
      </c>
      <c r="U204" s="821">
        <f>SUM(Input!$D$928:$AB$928)</f>
        <v>0</v>
      </c>
      <c r="V204" s="821">
        <f>SUM(Input!$D$929:$AB$929)</f>
        <v>0</v>
      </c>
      <c r="W204" s="821">
        <f>SUM(Input!$D$930:$AB$930)</f>
        <v>0</v>
      </c>
      <c r="X204" s="821">
        <f>SUM(Input!$D$931:$AB$931)</f>
        <v>0</v>
      </c>
      <c r="Y204" s="821">
        <f>SUM(Input!$D$932:$AB$932)</f>
        <v>0</v>
      </c>
      <c r="Z204" s="821">
        <f>SUM(Input!$D$933:$AB$933)</f>
        <v>0</v>
      </c>
      <c r="AA204" s="821">
        <f>SUM(Input!$D$934:$AB$934)</f>
        <v>0</v>
      </c>
      <c r="AB204" s="821">
        <f>SUM(Input!$D$935:$AB$935)</f>
        <v>0</v>
      </c>
      <c r="AC204" s="821">
        <f>SUM(Input!$D$936:$AB$936)</f>
        <v>0</v>
      </c>
      <c r="AD204" s="821">
        <f>SUM(Input!$D$937:$AB$937)</f>
        <v>0</v>
      </c>
      <c r="AE204" s="821">
        <f>SUM(Input!$D$938:$AB$938)</f>
        <v>0</v>
      </c>
      <c r="AF204" s="1594">
        <f>SUM(Input!$D$939:$AB$939)</f>
        <v>0</v>
      </c>
      <c r="AG204" s="1594">
        <f>SUM(Input!$D$940:$AB$940)</f>
        <v>0</v>
      </c>
      <c r="AH204" s="1594">
        <f>SUM(Input!$D$941:$AB$941)</f>
        <v>0</v>
      </c>
      <c r="AI204" s="1594">
        <f>SUM(Input!$D$942:$AB$942)</f>
        <v>0</v>
      </c>
      <c r="AJ204" s="1594">
        <f>SUM(Input!$D$943:$AB$943)</f>
        <v>0</v>
      </c>
      <c r="AK204" s="1594">
        <f>SUM(Input!$D$944:$AB$944)</f>
        <v>0</v>
      </c>
      <c r="AL204" s="1594">
        <f>SUM(Input!$D$945:$AB$945)</f>
        <v>0</v>
      </c>
      <c r="AM204" s="1594">
        <f>SUM(Input!$D$946:$AB$946)</f>
        <v>0</v>
      </c>
      <c r="AN204" s="1594">
        <f>SUM(Input!$D$947:$AB$947)</f>
        <v>0</v>
      </c>
      <c r="AO204" s="1594">
        <f>SUM(Input!$D$948:$AB$948)</f>
        <v>0</v>
      </c>
      <c r="AP204" s="1594">
        <f>SUM(Input!$D$949:$AB$949)</f>
        <v>0</v>
      </c>
      <c r="AQ204" s="1594">
        <f>SUM(Input!$D$950:$AB$950)</f>
        <v>0</v>
      </c>
      <c r="AR204" s="1594">
        <f>SUM(Input!$D$951:$AB$951)</f>
        <v>0</v>
      </c>
      <c r="AS204" s="1594">
        <f>SUM(Input!$D$952:$AB$952)</f>
        <v>0</v>
      </c>
      <c r="AT204" s="1594">
        <f>SUM(Input!$D$953:$AB$953)</f>
        <v>0</v>
      </c>
      <c r="AU204" s="1594">
        <f>SUM(Input!$D$954:$AB$954)</f>
        <v>0</v>
      </c>
      <c r="AV204" s="1594">
        <f>SUM(Input!$D$955:$AB$955)</f>
        <v>0</v>
      </c>
      <c r="AW204" s="1594">
        <f>SUM(Input!$D$956:$AB$956)</f>
        <v>0</v>
      </c>
      <c r="AX204" s="1594">
        <f>SUM(Input!$D$957:$AB$957)</f>
        <v>0</v>
      </c>
      <c r="AY204" s="1594">
        <f>SUM(Input!$D$958:$AB$958)</f>
        <v>0</v>
      </c>
      <c r="AZ204" s="1594">
        <f>SUM(Input!$D$959:$AB$959)</f>
        <v>0</v>
      </c>
      <c r="BA204" s="1594">
        <f>SUM(Input!$D$960:$AB$960)</f>
        <v>0</v>
      </c>
      <c r="BB204" s="1594">
        <f>SUM(Input!$D$961:$AB$961)</f>
        <v>0</v>
      </c>
      <c r="BC204" s="1594">
        <f>SUM(Input!$D$962:$AB$962)</f>
        <v>0</v>
      </c>
      <c r="BD204" s="1594">
        <f>SUM(Input!$D$963:$AB$963)</f>
        <v>0</v>
      </c>
      <c r="BE204" s="1594">
        <f>SUM(Input!$D$964:$AB$964)</f>
        <v>0</v>
      </c>
      <c r="BF204" s="1594">
        <f>SUM(Input!$D$965:$AB$965)</f>
        <v>0</v>
      </c>
      <c r="BG204" s="1594">
        <f>SUM(Input!$D$966:$AB$966)</f>
        <v>0</v>
      </c>
      <c r="BH204" s="1594">
        <f>SUM(Input!$D$967:$AB$967)</f>
        <v>0</v>
      </c>
      <c r="BI204" s="1594">
        <f>SUM(Input!$D$968:$AB$968)</f>
        <v>0</v>
      </c>
      <c r="BJ204" s="1594">
        <f>SUM(Input!$D$969:$AB$969)</f>
        <v>0</v>
      </c>
      <c r="BK204" s="1594">
        <f>SUM(Input!$D$970:$AB$970)</f>
        <v>0</v>
      </c>
      <c r="BL204" s="1594">
        <f>SUM(Input!$D$971:$AB$971)</f>
        <v>0</v>
      </c>
      <c r="BM204" s="1594">
        <f>SUM(Input!$D$972:$AB$972)</f>
        <v>0</v>
      </c>
      <c r="BN204" s="1594">
        <f>SUM(Input!$D$973:$AB$973)</f>
        <v>0</v>
      </c>
      <c r="BO204" s="1594">
        <f>SUM(Input!$D$974:$AB$974)</f>
        <v>0</v>
      </c>
      <c r="BP204" s="1594">
        <f>SUM(Input!$D$975:$AB$975)</f>
        <v>0</v>
      </c>
      <c r="BQ204" s="1594">
        <f>SUM(Input!$D$976:$AB$976)</f>
        <v>0</v>
      </c>
      <c r="BR204" s="1594">
        <f>SUM(Input!$D$977:$AB$977)</f>
        <v>0</v>
      </c>
      <c r="BS204" s="1594">
        <f>SUM(Input!$D$978:$AB$978)</f>
        <v>0</v>
      </c>
      <c r="BT204" s="1171"/>
      <c r="BU204" s="1171"/>
      <c r="BV204" s="1171"/>
      <c r="BW204" s="1171"/>
      <c r="BX204" s="43"/>
      <c r="BY204" s="43"/>
      <c r="BZ204" s="1183"/>
      <c r="CA204" s="1183"/>
      <c r="CB204" s="1183"/>
      <c r="CC204" s="1183"/>
      <c r="CD204" s="1183"/>
      <c r="CE204" s="1183"/>
      <c r="CF204" s="1183"/>
      <c r="CG204" s="1183"/>
      <c r="CH204" s="1183"/>
      <c r="CI204" s="1183"/>
      <c r="CJ204" s="1183"/>
      <c r="CK204" s="1183"/>
      <c r="CL204" s="1183"/>
      <c r="CM204" s="1183"/>
      <c r="CN204" s="1183"/>
      <c r="CO204" s="1183"/>
      <c r="CP204" s="1183"/>
      <c r="CQ204" s="1183"/>
      <c r="CR204" s="1183"/>
      <c r="CS204" s="1183"/>
      <c r="CT204" s="1183"/>
      <c r="CU204" s="1183"/>
      <c r="CV204" s="1183"/>
      <c r="CW204" s="1183"/>
      <c r="CX204" s="1183"/>
      <c r="CY204" s="1183"/>
      <c r="CZ204" s="1183"/>
      <c r="DA204" s="1183"/>
      <c r="DB204" s="1183"/>
      <c r="DC204" s="1183"/>
      <c r="DD204" s="1183"/>
      <c r="DE204" s="1183"/>
      <c r="DF204" s="1183"/>
      <c r="DG204" s="1183"/>
      <c r="DH204" s="1183"/>
      <c r="DI204" s="1183"/>
      <c r="DJ204" s="1183"/>
      <c r="DK204" s="1183"/>
      <c r="DL204" s="1183"/>
      <c r="DM204" s="1183"/>
      <c r="DN204" s="1183"/>
      <c r="DO204" s="1183"/>
      <c r="DP204" s="1183"/>
      <c r="DQ204" s="1183"/>
    </row>
    <row r="205" spans="1:121" s="12" customFormat="1" ht="12" customHeight="1" x14ac:dyDescent="0.3">
      <c r="A205" s="1439">
        <f t="shared" si="88"/>
        <v>45747</v>
      </c>
      <c r="B205" s="82">
        <v>51</v>
      </c>
      <c r="C205" s="1439">
        <f t="shared" si="91"/>
        <v>121</v>
      </c>
      <c r="D205" s="82"/>
      <c r="E205" s="82"/>
      <c r="F205" s="67"/>
      <c r="G205" s="1446">
        <f>SUM(Input!D478:AB478)</f>
        <v>0</v>
      </c>
      <c r="H205" s="1446">
        <f>SUM(Input!D798:AB798)</f>
        <v>0</v>
      </c>
      <c r="I205" s="1435"/>
      <c r="J205" s="1435"/>
      <c r="K205" s="1601" t="s">
        <v>203</v>
      </c>
      <c r="L205" s="1073">
        <f>SUM(Input!$D$982:$AB$982)</f>
        <v>0</v>
      </c>
      <c r="M205" s="1073">
        <f>SUM(Input!$D$983:$AB$983)</f>
        <v>0</v>
      </c>
      <c r="N205" s="1073">
        <f>SUM(Input!$D$984:$AB$984)</f>
        <v>0</v>
      </c>
      <c r="O205" s="1073">
        <f>SUM(Input!$D$985:$AB$985)</f>
        <v>0</v>
      </c>
      <c r="P205" s="269">
        <f>SUM(Input!$D$986:$AB$986)</f>
        <v>0</v>
      </c>
      <c r="Q205" s="269">
        <f>SUM(Input!$D$987:$AB$987)</f>
        <v>0</v>
      </c>
      <c r="R205" s="269">
        <f>SUM(Input!$D$988:$AB$988)</f>
        <v>0</v>
      </c>
      <c r="S205" s="269">
        <f>SUM(Input!$D$989:$AB$989)</f>
        <v>0</v>
      </c>
      <c r="T205" s="269">
        <f>SUM(Input!$D$990:$AB$990)</f>
        <v>0</v>
      </c>
      <c r="U205" s="821">
        <f>SUM(Input!$D$991:$AB$991)</f>
        <v>0</v>
      </c>
      <c r="V205" s="821">
        <f>SUM(Input!$D$992:$AB$992)</f>
        <v>0</v>
      </c>
      <c r="W205" s="821">
        <f>SUM(Input!$D$993:$AB$993)</f>
        <v>0</v>
      </c>
      <c r="X205" s="821">
        <f>SUM(Input!$D$994:$AB$994)</f>
        <v>0</v>
      </c>
      <c r="Y205" s="821">
        <f>SUM(Input!$D$995:$AB$995)</f>
        <v>0</v>
      </c>
      <c r="Z205" s="821">
        <f>SUM(Input!$D$996:$AB$996)</f>
        <v>0</v>
      </c>
      <c r="AA205" s="821">
        <f>SUM(Input!$D$997:$AB$997)</f>
        <v>0</v>
      </c>
      <c r="AB205" s="821">
        <f>SUM(Input!$D$998:$AB$998)</f>
        <v>0</v>
      </c>
      <c r="AC205" s="821">
        <f>SUM(Input!$D$999:$AB$999)</f>
        <v>0</v>
      </c>
      <c r="AD205" s="821">
        <f>SUM(Input!$D$1000:$AB$1000)</f>
        <v>0</v>
      </c>
      <c r="AE205" s="821">
        <f>SUM(Input!$D$1001:$AB$1001)</f>
        <v>0</v>
      </c>
      <c r="AF205" s="1594">
        <f>SUM(Input!$D$1002:$AB$1002)</f>
        <v>0</v>
      </c>
      <c r="AG205" s="1594">
        <f>SUM(Input!$D$1003:$AB$1003)</f>
        <v>0</v>
      </c>
      <c r="AH205" s="1594">
        <f>SUM(Input!$D$1004:$AB$1004)</f>
        <v>0</v>
      </c>
      <c r="AI205" s="1594">
        <f>SUM(Input!$D$1005:$AB$1005)</f>
        <v>0</v>
      </c>
      <c r="AJ205" s="1594">
        <f>SUM(Input!$D$1006:$AB$1006)</f>
        <v>0</v>
      </c>
      <c r="AK205" s="1594">
        <f>SUM(Input!$D$1007:$AB$1007)</f>
        <v>0</v>
      </c>
      <c r="AL205" s="1594">
        <f>SUM(Input!$D$1008:$AB$1008)</f>
        <v>0</v>
      </c>
      <c r="AM205" s="1594">
        <f>SUM(Input!$D$1009:$AB$1009)</f>
        <v>0</v>
      </c>
      <c r="AN205" s="1594">
        <f>SUM(Input!$D$1010:$AB$1010)</f>
        <v>0</v>
      </c>
      <c r="AO205" s="1594">
        <f>SUM(Input!$D$1011:$AB$1011)</f>
        <v>0</v>
      </c>
      <c r="AP205" s="1594">
        <f>SUM(Input!$D$1012:$AB$1012)</f>
        <v>0</v>
      </c>
      <c r="AQ205" s="1594">
        <f>SUM(Input!$D$1013:$AB$1013)</f>
        <v>0</v>
      </c>
      <c r="AR205" s="1594">
        <f>SUM(Input!$D$1014:$AB$1014)</f>
        <v>0</v>
      </c>
      <c r="AS205" s="1594">
        <f>SUM(Input!$D$1015:$AB$1015)</f>
        <v>0</v>
      </c>
      <c r="AT205" s="1594">
        <f>SUM(Input!$D$1016:$AB$1016)</f>
        <v>0</v>
      </c>
      <c r="AU205" s="1594">
        <f>SUM(Input!$D$1017:$AB$1017)</f>
        <v>0</v>
      </c>
      <c r="AV205" s="1594">
        <f>SUM(Input!$D$1018:$AB$1018)</f>
        <v>0</v>
      </c>
      <c r="AW205" s="1594">
        <f>SUM(Input!$D$1019:$AB$1019)</f>
        <v>0</v>
      </c>
      <c r="AX205" s="1594">
        <f>SUM(Input!$D$1020:$AB$1020)</f>
        <v>0</v>
      </c>
      <c r="AY205" s="1594">
        <f>SUM(Input!$D$1021:$AB$1021)</f>
        <v>0</v>
      </c>
      <c r="AZ205" s="1594">
        <f>SUM(Input!$D$1022:$AB$1022)</f>
        <v>0</v>
      </c>
      <c r="BA205" s="1594">
        <f>SUM(Input!$D$1023:$AB$1023)</f>
        <v>0</v>
      </c>
      <c r="BB205" s="1594">
        <f>SUM(Input!$D$1024:$AB$1024)</f>
        <v>0</v>
      </c>
      <c r="BC205" s="1594">
        <f>SUM(Input!$D$1025:$AB$1025)</f>
        <v>0</v>
      </c>
      <c r="BD205" s="1594">
        <f>SUM(Input!$D$1026:$AB$1026)</f>
        <v>0</v>
      </c>
      <c r="BE205" s="1594">
        <f>SUM(Input!$D$1027:$AB$1027)</f>
        <v>0</v>
      </c>
      <c r="BF205" s="1594">
        <f>SUM(Input!$D$1028:$AB$1028)</f>
        <v>0</v>
      </c>
      <c r="BG205" s="1594">
        <f>SUM(Input!$D$1029:$AB$1029)</f>
        <v>0</v>
      </c>
      <c r="BH205" s="1594">
        <f>SUM(Input!$D$1030:$AB$1030)</f>
        <v>0</v>
      </c>
      <c r="BI205" s="1594">
        <f>SUM(Input!$D$1031:$AB$1031)</f>
        <v>0</v>
      </c>
      <c r="BJ205" s="1594">
        <f>SUM(Input!$D$1032:$AB$1032)</f>
        <v>0</v>
      </c>
      <c r="BK205" s="1594">
        <f>SUM(Input!$D$1033:$AB$1033)</f>
        <v>0</v>
      </c>
      <c r="BL205" s="1594">
        <f>SUM(Input!$D$1034:$AB$1034)</f>
        <v>0</v>
      </c>
      <c r="BM205" s="1594">
        <f>SUM(Input!$D$1035:$AB$1035)</f>
        <v>0</v>
      </c>
      <c r="BN205" s="1594">
        <f>SUM(Input!$D$1036:$AB$1036)</f>
        <v>0</v>
      </c>
      <c r="BO205" s="1594">
        <f>SUM(Input!$D$1037:$AB$1037)</f>
        <v>0</v>
      </c>
      <c r="BP205" s="1594">
        <f>SUM(Input!$D$1038:$AB$1038)</f>
        <v>0</v>
      </c>
      <c r="BQ205" s="1594">
        <f>SUM(Input!$D$1039:$AB$1039)</f>
        <v>0</v>
      </c>
      <c r="BR205" s="1594">
        <f>SUM(Input!$D$1040:$AB$1040)</f>
        <v>0</v>
      </c>
      <c r="BS205" s="1594">
        <f>SUM(Input!$D$1041:$AB$1041)</f>
        <v>0</v>
      </c>
      <c r="BT205" s="1171"/>
      <c r="BU205" s="1171"/>
      <c r="BV205" s="1171"/>
      <c r="BW205" s="1171"/>
      <c r="BX205" s="43"/>
      <c r="BY205" s="43"/>
      <c r="BZ205" s="1183"/>
      <c r="CA205" s="1183"/>
      <c r="CB205" s="1183"/>
      <c r="CC205" s="1183"/>
      <c r="CD205" s="1183"/>
      <c r="CE205" s="1183"/>
      <c r="CF205" s="1183"/>
      <c r="CG205" s="1183"/>
      <c r="CH205" s="1183"/>
      <c r="CI205" s="1183"/>
      <c r="CJ205" s="1183"/>
      <c r="CK205" s="1183"/>
      <c r="CL205" s="1183"/>
      <c r="CM205" s="1183"/>
      <c r="CN205" s="1183"/>
      <c r="CO205" s="1183"/>
      <c r="CP205" s="1183"/>
      <c r="CQ205" s="1183"/>
      <c r="CR205" s="1183"/>
      <c r="CS205" s="1183"/>
      <c r="CT205" s="1183"/>
      <c r="CU205" s="1183"/>
      <c r="CV205" s="1183"/>
      <c r="CW205" s="1183"/>
      <c r="CX205" s="1183"/>
      <c r="CY205" s="1183"/>
      <c r="CZ205" s="1183"/>
      <c r="DA205" s="1183"/>
      <c r="DB205" s="1183"/>
      <c r="DC205" s="1183"/>
      <c r="DD205" s="1183"/>
      <c r="DE205" s="1183"/>
      <c r="DF205" s="1183"/>
      <c r="DG205" s="1183"/>
      <c r="DH205" s="1183"/>
      <c r="DI205" s="1183"/>
      <c r="DJ205" s="1183"/>
      <c r="DK205" s="1183"/>
      <c r="DL205" s="1183"/>
      <c r="DM205" s="1183"/>
      <c r="DN205" s="1183"/>
      <c r="DO205" s="1183"/>
      <c r="DP205" s="1183"/>
      <c r="DQ205" s="1183"/>
    </row>
    <row r="206" spans="1:121" s="12" customFormat="1" ht="12" customHeight="1" x14ac:dyDescent="0.3">
      <c r="A206" s="1439">
        <f t="shared" si="88"/>
        <v>45777</v>
      </c>
      <c r="B206" s="82">
        <v>52</v>
      </c>
      <c r="C206" s="1439">
        <f t="shared" si="91"/>
        <v>152</v>
      </c>
      <c r="D206" s="82"/>
      <c r="E206" s="82"/>
      <c r="F206" s="67"/>
      <c r="G206" s="1446">
        <f>SUM(Input!D479:AB479)</f>
        <v>0</v>
      </c>
      <c r="H206" s="1446">
        <f>SUM(Input!D799:AB799)</f>
        <v>0</v>
      </c>
      <c r="I206" s="1435"/>
      <c r="J206" s="1435"/>
      <c r="K206" s="1601" t="s">
        <v>204</v>
      </c>
      <c r="L206" s="1073">
        <f>SUM(Input!$D$1045:$AB$1045)</f>
        <v>0</v>
      </c>
      <c r="M206" s="1073">
        <f>SUM(Input!$D$1046:$AB$1046)</f>
        <v>0</v>
      </c>
      <c r="N206" s="1073">
        <f>SUM(Input!$D$1047:$AB$1047)</f>
        <v>0</v>
      </c>
      <c r="O206" s="1073">
        <f>SUM(Input!$D$1048:$AB$1048)</f>
        <v>0</v>
      </c>
      <c r="P206" s="269">
        <f>SUM(Input!$D$1049:$AB$1049)</f>
        <v>0</v>
      </c>
      <c r="Q206" s="269">
        <f>SUM(Input!$D$1050:$AB$1050)</f>
        <v>0</v>
      </c>
      <c r="R206" s="269">
        <f>SUM(Input!$D$1051:$AB$1051)</f>
        <v>0</v>
      </c>
      <c r="S206" s="269">
        <f>SUM(Input!$D$1052:$AB$1052)</f>
        <v>0</v>
      </c>
      <c r="T206" s="269">
        <f>SUM(Input!$D$1053:$AB$1053)</f>
        <v>0</v>
      </c>
      <c r="U206" s="821">
        <f>SUM(Input!$D$1054:$AB$1054)</f>
        <v>0</v>
      </c>
      <c r="V206" s="821">
        <f>SUM(Input!$D$1055:$AB$1055)</f>
        <v>0</v>
      </c>
      <c r="W206" s="821">
        <f>SUM(Input!$D$1056:$AB$1056)</f>
        <v>0</v>
      </c>
      <c r="X206" s="821">
        <f>SUM(Input!$D$1057:$AB$1057)</f>
        <v>0</v>
      </c>
      <c r="Y206" s="821">
        <f>SUM(Input!$D$1058:$AB$1058)</f>
        <v>0</v>
      </c>
      <c r="Z206" s="821">
        <f>SUM(Input!$D$1059:$AB$1059)</f>
        <v>0</v>
      </c>
      <c r="AA206" s="821">
        <f>SUM(Input!$D$1060:$AB$1060)</f>
        <v>0</v>
      </c>
      <c r="AB206" s="821">
        <f>SUM(Input!$D$1061:$AB$1061)</f>
        <v>0</v>
      </c>
      <c r="AC206" s="821">
        <f>SUM(Input!$D$1062:$AB$1062)</f>
        <v>0</v>
      </c>
      <c r="AD206" s="821">
        <f>SUM(Input!$D$1063:$AB$1063)</f>
        <v>0</v>
      </c>
      <c r="AE206" s="821">
        <f>SUM(Input!$D$1064:$AB$1064)</f>
        <v>0</v>
      </c>
      <c r="AF206" s="1594">
        <f>SUM(Input!$D$1065:$AB$1065)</f>
        <v>0</v>
      </c>
      <c r="AG206" s="1594">
        <f>SUM(Input!$D$1066:$AB$1066)</f>
        <v>0</v>
      </c>
      <c r="AH206" s="1594">
        <f>SUM(Input!$D$1067:$AB$1067)</f>
        <v>0</v>
      </c>
      <c r="AI206" s="1594">
        <f>SUM(Input!$D$1068:$AB$1068)</f>
        <v>0</v>
      </c>
      <c r="AJ206" s="1594">
        <f>SUM(Input!$D$1069:$AB$1069)</f>
        <v>0</v>
      </c>
      <c r="AK206" s="1594">
        <f>SUM(Input!$D$1070:$AB$1070)</f>
        <v>0</v>
      </c>
      <c r="AL206" s="1594">
        <f>SUM(Input!$D$1071:$AB$1071)</f>
        <v>0</v>
      </c>
      <c r="AM206" s="1594">
        <f>SUM(Input!$D$1072:$AB$1072)</f>
        <v>0</v>
      </c>
      <c r="AN206" s="1594">
        <f>SUM(Input!$D$1073:$AB$1073)</f>
        <v>0</v>
      </c>
      <c r="AO206" s="1594">
        <f>SUM(Input!$D$1074:$AB$1074)</f>
        <v>0</v>
      </c>
      <c r="AP206" s="1594">
        <f>SUM(Input!$D$1075:$AB$1075)</f>
        <v>0</v>
      </c>
      <c r="AQ206" s="1594">
        <f>SUM(Input!$D$1076:$AB$1076)</f>
        <v>0</v>
      </c>
      <c r="AR206" s="1594">
        <f>SUM(Input!$D$1077:$AB$1077)</f>
        <v>0</v>
      </c>
      <c r="AS206" s="1594">
        <f>SUM(Input!$D$1078:$AB$1078)</f>
        <v>0</v>
      </c>
      <c r="AT206" s="1594">
        <f>SUM(Input!$D$1079:$AB$1079)</f>
        <v>0</v>
      </c>
      <c r="AU206" s="1594">
        <f>SUM(Input!$D$1080:$AB$1080)</f>
        <v>0</v>
      </c>
      <c r="AV206" s="1594">
        <f>SUM(Input!$D$1081:$AB$1081)</f>
        <v>0</v>
      </c>
      <c r="AW206" s="1594">
        <f>SUM(Input!$D$1082:$AB$1082)</f>
        <v>0</v>
      </c>
      <c r="AX206" s="1594">
        <f>SUM(Input!$D$1083:$AB$1083)</f>
        <v>0</v>
      </c>
      <c r="AY206" s="1594">
        <f>SUM(Input!$D$1084:$AB$1084)</f>
        <v>0</v>
      </c>
      <c r="AZ206" s="1594">
        <f>SUM(Input!$D$1085:$AB$1085)</f>
        <v>0</v>
      </c>
      <c r="BA206" s="1594">
        <f>SUM(Input!$D$1086:$AB$1086)</f>
        <v>0</v>
      </c>
      <c r="BB206" s="1594">
        <f>SUM(Input!$D$1087:$AB$1087)</f>
        <v>0</v>
      </c>
      <c r="BC206" s="1594">
        <f>SUM(Input!$D$1088:$AB$1088)</f>
        <v>0</v>
      </c>
      <c r="BD206" s="1594">
        <f>SUM(Input!$D$1089:$AB$1089)</f>
        <v>0</v>
      </c>
      <c r="BE206" s="1594">
        <f>SUM(Input!$D$1090:$AB$1090)</f>
        <v>0</v>
      </c>
      <c r="BF206" s="1594">
        <f>SUM(Input!$D$1091:$AB$1091)</f>
        <v>0</v>
      </c>
      <c r="BG206" s="1594">
        <f>SUM(Input!$D$1092:$AB$1092)</f>
        <v>0</v>
      </c>
      <c r="BH206" s="1594">
        <f>SUM(Input!$D$1093:$AB$1093)</f>
        <v>0</v>
      </c>
      <c r="BI206" s="1594">
        <f>SUM(Input!$D$1094:$AB$1094)</f>
        <v>0</v>
      </c>
      <c r="BJ206" s="1594">
        <f>SUM(Input!$D$1095:$AB$1095)</f>
        <v>0</v>
      </c>
      <c r="BK206" s="1594">
        <f>SUM(Input!$D$1096:$AB$1096)</f>
        <v>0</v>
      </c>
      <c r="BL206" s="1594">
        <f>SUM(Input!$D$1097:$AB$1097)</f>
        <v>0</v>
      </c>
      <c r="BM206" s="1594">
        <f>SUM(Input!$D$1098:$AB$1098)</f>
        <v>0</v>
      </c>
      <c r="BN206" s="1594">
        <f>SUM(Input!$D$1099:$AB$1099)</f>
        <v>0</v>
      </c>
      <c r="BO206" s="1594">
        <f>SUM(Input!$D$1100:$AB$1100)</f>
        <v>0</v>
      </c>
      <c r="BP206" s="1594">
        <f>SUM(Input!$D$1101:$AB$1101)</f>
        <v>0</v>
      </c>
      <c r="BQ206" s="1594">
        <f>SUM(Input!$D$1102:$AB$1102)</f>
        <v>0</v>
      </c>
      <c r="BR206" s="1594">
        <f>SUM(Input!$D$1103:$AB$1103)</f>
        <v>0</v>
      </c>
      <c r="BS206" s="1594">
        <f>SUM(Input!$D$1104:$AB$1104)</f>
        <v>0</v>
      </c>
      <c r="BT206" s="1171"/>
      <c r="BU206" s="1171"/>
      <c r="BV206" s="1171"/>
      <c r="BW206" s="1171"/>
      <c r="BX206" s="43"/>
      <c r="BY206" s="43"/>
      <c r="BZ206" s="1183"/>
      <c r="CA206" s="1183"/>
      <c r="CB206" s="1183"/>
      <c r="CC206" s="1183"/>
      <c r="CD206" s="1183"/>
      <c r="CE206" s="1183"/>
      <c r="CF206" s="1183"/>
      <c r="CG206" s="1183"/>
      <c r="CH206" s="1183"/>
      <c r="CI206" s="1183"/>
      <c r="CJ206" s="1183"/>
      <c r="CK206" s="1183"/>
      <c r="CL206" s="1183"/>
      <c r="CM206" s="1183"/>
      <c r="CN206" s="1183"/>
      <c r="CO206" s="1183"/>
      <c r="CP206" s="1183"/>
      <c r="CQ206" s="1183"/>
      <c r="CR206" s="1183"/>
      <c r="CS206" s="1183"/>
      <c r="CT206" s="1183"/>
      <c r="CU206" s="1183"/>
      <c r="CV206" s="1183"/>
      <c r="CW206" s="1183"/>
      <c r="CX206" s="1183"/>
      <c r="CY206" s="1183"/>
      <c r="CZ206" s="1183"/>
      <c r="DA206" s="1183"/>
      <c r="DB206" s="1183"/>
      <c r="DC206" s="1183"/>
      <c r="DD206" s="1183"/>
      <c r="DE206" s="1183"/>
      <c r="DF206" s="1183"/>
      <c r="DG206" s="1183"/>
      <c r="DH206" s="1183"/>
      <c r="DI206" s="1183"/>
      <c r="DJ206" s="1183"/>
      <c r="DK206" s="1183"/>
      <c r="DL206" s="1183"/>
      <c r="DM206" s="1183"/>
      <c r="DN206" s="1183"/>
      <c r="DO206" s="1183"/>
      <c r="DP206" s="1183"/>
      <c r="DQ206" s="1183"/>
    </row>
    <row r="207" spans="1:121" ht="12" customHeight="1" x14ac:dyDescent="0.35">
      <c r="A207" s="1439">
        <f t="shared" si="88"/>
        <v>45808</v>
      </c>
      <c r="B207" s="82">
        <v>53</v>
      </c>
      <c r="C207" s="1439">
        <f t="shared" si="91"/>
        <v>182</v>
      </c>
      <c r="D207" s="82"/>
      <c r="E207" s="82"/>
      <c r="F207" s="82"/>
      <c r="G207" s="1446">
        <f>SUM(Input!D480:AB480)</f>
        <v>0</v>
      </c>
      <c r="H207" s="1446">
        <f>SUM(Input!D800:AB800)</f>
        <v>0</v>
      </c>
      <c r="I207" s="1448"/>
      <c r="J207" s="1448"/>
      <c r="K207" s="1601" t="s">
        <v>15</v>
      </c>
      <c r="L207" s="1073">
        <f>SUM(Input!$D$1108:$AB$1108)</f>
        <v>0</v>
      </c>
      <c r="M207" s="1073">
        <f>SUM(Input!$D$1109:$AB$1109)</f>
        <v>0</v>
      </c>
      <c r="N207" s="1073">
        <f>SUM(Input!$D$1110:$AB$1110)</f>
        <v>0</v>
      </c>
      <c r="O207" s="1073">
        <f>SUM(Input!$D$1111:$AB$1111)</f>
        <v>0</v>
      </c>
      <c r="P207" s="269">
        <f>SUM(Input!$D$1112:$AB$1112)</f>
        <v>0</v>
      </c>
      <c r="Q207" s="269">
        <f>SUM(Input!$D$1113:$AB$1113)</f>
        <v>0</v>
      </c>
      <c r="R207" s="269">
        <f>SUM(Input!$D$1114:$AB$1114)</f>
        <v>0</v>
      </c>
      <c r="S207" s="269">
        <f>SUM(Input!$D$1115:$AB$1115)</f>
        <v>0</v>
      </c>
      <c r="T207" s="269">
        <f>SUM(Input!$D$1116:$AB$1116)</f>
        <v>0</v>
      </c>
      <c r="U207" s="821">
        <f>SUM(Input!$D$1117:$AB$1117)</f>
        <v>0</v>
      </c>
      <c r="V207" s="821">
        <f>SUM(Input!$D$1118:$AB$1118)</f>
        <v>0</v>
      </c>
      <c r="W207" s="821">
        <f>SUM(Input!$D$1119:$AB$1119)</f>
        <v>0</v>
      </c>
      <c r="X207" s="821">
        <f>SUM(Input!$D$1120:$AB$1120)</f>
        <v>0</v>
      </c>
      <c r="Y207" s="821">
        <f>SUM(Input!$D$1121:$AB$1121)</f>
        <v>0</v>
      </c>
      <c r="Z207" s="821">
        <f>SUM(Input!$D$1122:$AB$1122)</f>
        <v>0</v>
      </c>
      <c r="AA207" s="821">
        <f>SUM(Input!$D$1123:$AB$1123)</f>
        <v>0</v>
      </c>
      <c r="AB207" s="821">
        <f>SUM(Input!$D$1124:$AB$1124)</f>
        <v>0</v>
      </c>
      <c r="AC207" s="821">
        <f>SUM(Input!$D$1125:$AB$1125)</f>
        <v>0</v>
      </c>
      <c r="AD207" s="821">
        <f>SUM(Input!$D$1126:$AB$1126)</f>
        <v>0</v>
      </c>
      <c r="AE207" s="821">
        <f>SUM(Input!$D$1127:$AB$1127)</f>
        <v>0</v>
      </c>
      <c r="AF207" s="1594">
        <f>SUM(Input!$D$1128:$AB$1128)</f>
        <v>0</v>
      </c>
      <c r="AG207" s="1594">
        <f>SUM(Input!$D$1129:$AB$1129)</f>
        <v>0</v>
      </c>
      <c r="AH207" s="1594">
        <f>SUM(Input!$D$1130:$AB$1130)</f>
        <v>0</v>
      </c>
      <c r="AI207" s="1594">
        <f>SUM(Input!$D$1131:$AB$1131)</f>
        <v>0</v>
      </c>
      <c r="AJ207" s="1594">
        <f>SUM(Input!$D$1132:$AB$1132)</f>
        <v>0</v>
      </c>
      <c r="AK207" s="1594">
        <f>SUM(Input!$D$1133:$AB$1133)</f>
        <v>0</v>
      </c>
      <c r="AL207" s="1594">
        <f>SUM(Input!$D$1134:$AB$1134)</f>
        <v>0</v>
      </c>
      <c r="AM207" s="1594">
        <f>SUM(Input!$D$1135:$AB$1135)</f>
        <v>0</v>
      </c>
      <c r="AN207" s="1594">
        <f>SUM(Input!$D$1136:$AB$1136)</f>
        <v>0</v>
      </c>
      <c r="AO207" s="1594">
        <f>SUM(Input!$D$1137:$AB$1137)</f>
        <v>0</v>
      </c>
      <c r="AP207" s="1594">
        <f>SUM(Input!$D$1138:$AB$1138)</f>
        <v>0</v>
      </c>
      <c r="AQ207" s="1594">
        <f>SUM(Input!$D$1139:$AB$1139)</f>
        <v>0</v>
      </c>
      <c r="AR207" s="1594">
        <f>SUM(Input!$D$1140:$AB$1140)</f>
        <v>0</v>
      </c>
      <c r="AS207" s="1594">
        <f>SUM(Input!$D$1141:$AB$1141)</f>
        <v>0</v>
      </c>
      <c r="AT207" s="1594">
        <f>SUM(Input!$D$1142:$AB$1142)</f>
        <v>0</v>
      </c>
      <c r="AU207" s="1594">
        <f>SUM(Input!$D$1143:$AB$1143)</f>
        <v>0</v>
      </c>
      <c r="AV207" s="1594">
        <f>SUM(Input!$D$1144:$AB$1144)</f>
        <v>0</v>
      </c>
      <c r="AW207" s="1594">
        <f>SUM(Input!$D$1145:$AB$1145)</f>
        <v>0</v>
      </c>
      <c r="AX207" s="1594">
        <f>SUM(Input!$D$1146:$AB$1146)</f>
        <v>0</v>
      </c>
      <c r="AY207" s="1594">
        <f>SUM(Input!$D$1147:$AB$1147)</f>
        <v>0</v>
      </c>
      <c r="AZ207" s="1594">
        <f>SUM(Input!$D$1148:$AB$1148)</f>
        <v>0</v>
      </c>
      <c r="BA207" s="1594">
        <f>SUM(Input!$D$1149:$AB$1149)</f>
        <v>0</v>
      </c>
      <c r="BB207" s="1594">
        <f>SUM(Input!$D$1150:$AB$1150)</f>
        <v>0</v>
      </c>
      <c r="BC207" s="1594">
        <f>SUM(Input!$D$1151:$AB$1151)</f>
        <v>0</v>
      </c>
      <c r="BD207" s="1594">
        <f>SUM(Input!$D$1152:$AB$1152)</f>
        <v>0</v>
      </c>
      <c r="BE207" s="1594">
        <f>SUM(Input!$D$1153:$AB$1153)</f>
        <v>0</v>
      </c>
      <c r="BF207" s="1594">
        <f>SUM(Input!$D$1154:$AB$1154)</f>
        <v>0</v>
      </c>
      <c r="BG207" s="1594">
        <f>SUM(Input!$D$1155:$AB$1155)</f>
        <v>0</v>
      </c>
      <c r="BH207" s="1594">
        <f>SUM(Input!$D$1156:$AB$1156)</f>
        <v>0</v>
      </c>
      <c r="BI207" s="1594">
        <f>SUM(Input!$D$1157:$AB$1157)</f>
        <v>0</v>
      </c>
      <c r="BJ207" s="1594">
        <f>SUM(Input!$D$1158:$AB$1158)</f>
        <v>0</v>
      </c>
      <c r="BK207" s="1594">
        <f>SUM(Input!$D$1159:$AB$1159)</f>
        <v>0</v>
      </c>
      <c r="BL207" s="1594">
        <f>SUM(Input!$D$1160:$AB$1160)</f>
        <v>0</v>
      </c>
      <c r="BM207" s="1594">
        <f>SUM(Input!$D$1161:$AB$1161)</f>
        <v>0</v>
      </c>
      <c r="BN207" s="1594">
        <f>SUM(Input!$D$1162:$AB$1162)</f>
        <v>0</v>
      </c>
      <c r="BO207" s="1594">
        <f>SUM(Input!$D$1163:$AB$1163)</f>
        <v>0</v>
      </c>
      <c r="BP207" s="1594">
        <f>SUM(Input!$D$1164:$AB$1164)</f>
        <v>0</v>
      </c>
      <c r="BQ207" s="1594">
        <f>SUM(Input!$D$1165:$AB$1165)</f>
        <v>0</v>
      </c>
      <c r="BR207" s="1594">
        <f>SUM(Input!$D$1166:$AB$1166)</f>
        <v>0</v>
      </c>
      <c r="BS207" s="1594">
        <f>SUM(Input!$D$1167:$AB$1167)</f>
        <v>0</v>
      </c>
      <c r="BT207" s="1171"/>
      <c r="BU207" s="1171"/>
      <c r="BV207" s="1171"/>
      <c r="BW207" s="1171"/>
      <c r="BX207" s="43"/>
      <c r="BY207" s="43"/>
      <c r="BZ207" s="1183"/>
      <c r="CA207" s="1183"/>
      <c r="CB207" s="1183"/>
      <c r="CC207" s="1183"/>
      <c r="CD207" s="1183"/>
      <c r="CE207" s="1183"/>
      <c r="CF207" s="1183"/>
      <c r="CG207" s="1183"/>
      <c r="CH207" s="1183"/>
      <c r="CI207" s="1183"/>
      <c r="CJ207" s="1183"/>
      <c r="CK207" s="1183"/>
      <c r="CL207" s="1183"/>
      <c r="CM207" s="1183"/>
      <c r="CN207" s="1183"/>
      <c r="CO207" s="1183"/>
      <c r="CP207" s="1183"/>
      <c r="CQ207" s="1301"/>
      <c r="CR207" s="1301"/>
      <c r="CS207" s="1301"/>
      <c r="CT207" s="1301"/>
      <c r="CU207" s="1301"/>
      <c r="CV207" s="1301"/>
      <c r="CW207" s="1301"/>
      <c r="CX207" s="1301"/>
      <c r="CY207" s="1301"/>
      <c r="CZ207" s="1301"/>
      <c r="DA207" s="1301"/>
      <c r="DB207" s="1301"/>
      <c r="DC207" s="1301"/>
      <c r="DD207" s="1301"/>
      <c r="DE207" s="1301"/>
      <c r="DF207" s="1301"/>
      <c r="DG207" s="1301"/>
      <c r="DH207" s="1301"/>
      <c r="DI207" s="1301"/>
      <c r="DJ207" s="1301"/>
      <c r="DK207" s="1301"/>
      <c r="DL207" s="1301"/>
      <c r="DM207" s="1301"/>
      <c r="DN207" s="1301"/>
      <c r="DO207" s="1301"/>
      <c r="DP207" s="1301"/>
      <c r="DQ207" s="1301"/>
    </row>
    <row r="208" spans="1:121" ht="12" customHeight="1" x14ac:dyDescent="0.35">
      <c r="A208" s="1439">
        <f t="shared" si="88"/>
        <v>45838</v>
      </c>
      <c r="B208" s="82">
        <v>54</v>
      </c>
      <c r="C208" s="1439">
        <f t="shared" si="91"/>
        <v>213</v>
      </c>
      <c r="D208" s="82"/>
      <c r="E208" s="82"/>
      <c r="F208" s="82"/>
      <c r="G208" s="1446">
        <f>SUM(Input!D481:AB481)</f>
        <v>0</v>
      </c>
      <c r="H208" s="1446">
        <f>SUM(Input!D801:AB801)</f>
        <v>0</v>
      </c>
      <c r="I208" s="1448"/>
      <c r="J208" s="1448"/>
      <c r="K208" s="1073"/>
      <c r="L208" s="1073"/>
      <c r="M208" s="1073"/>
      <c r="N208" s="1073"/>
      <c r="O208" s="1073"/>
      <c r="P208" s="1073"/>
      <c r="Q208" s="1073"/>
      <c r="R208" s="1073"/>
      <c r="S208" s="1073"/>
      <c r="T208" s="1073"/>
      <c r="U208" s="1605"/>
      <c r="V208" s="1605"/>
      <c r="W208" s="1605"/>
      <c r="X208" s="1605"/>
      <c r="Y208" s="1605"/>
      <c r="Z208" s="1605"/>
      <c r="AA208" s="1605"/>
      <c r="AB208" s="1605"/>
      <c r="AC208" s="1605"/>
      <c r="AD208" s="1605"/>
      <c r="AE208" s="1605"/>
      <c r="AF208" s="1606"/>
      <c r="AG208" s="1606"/>
      <c r="AH208" s="1606"/>
      <c r="AI208" s="1606"/>
      <c r="AJ208" s="1606"/>
      <c r="AK208" s="1606"/>
      <c r="AL208" s="1606"/>
      <c r="AM208" s="1606"/>
      <c r="AN208" s="1606"/>
      <c r="AO208" s="1606"/>
      <c r="AP208" s="1606"/>
      <c r="AQ208" s="1606"/>
      <c r="AR208" s="1606"/>
      <c r="AS208" s="1606"/>
      <c r="AT208" s="1606"/>
      <c r="AU208" s="1606"/>
      <c r="AV208" s="1606"/>
      <c r="AW208" s="1606"/>
      <c r="AX208" s="1606"/>
      <c r="AY208" s="1606"/>
      <c r="AZ208" s="1606"/>
      <c r="BA208" s="1606"/>
      <c r="BB208" s="1606"/>
      <c r="BC208" s="1606"/>
      <c r="BD208" s="1606"/>
      <c r="BE208" s="1606"/>
      <c r="BF208" s="1606"/>
      <c r="BG208" s="1606"/>
      <c r="BH208" s="1606"/>
      <c r="BI208" s="1606"/>
      <c r="BJ208" s="1606"/>
      <c r="BK208" s="1606"/>
      <c r="BL208" s="1606"/>
      <c r="BM208" s="1606"/>
      <c r="BN208" s="1606"/>
      <c r="BO208" s="1606"/>
      <c r="BP208" s="1606"/>
      <c r="BQ208" s="1606"/>
      <c r="BR208" s="1606"/>
      <c r="BS208" s="1606"/>
      <c r="BT208" s="1171"/>
      <c r="BU208" s="1171"/>
      <c r="BV208" s="1171"/>
      <c r="BW208" s="1171"/>
      <c r="BX208" s="43"/>
      <c r="BY208" s="43"/>
      <c r="BZ208" s="1183"/>
      <c r="CA208" s="1183"/>
      <c r="CB208" s="1183"/>
      <c r="CC208" s="1183"/>
      <c r="CD208" s="1183"/>
      <c r="CE208" s="1183"/>
      <c r="CF208" s="1183"/>
      <c r="CG208" s="1183"/>
      <c r="CH208" s="1183"/>
      <c r="CI208" s="1183"/>
      <c r="CJ208" s="1183"/>
      <c r="CK208" s="1183"/>
      <c r="CL208" s="1183"/>
      <c r="CM208" s="1183"/>
      <c r="CN208" s="1183"/>
      <c r="CO208" s="1183"/>
      <c r="CP208" s="1183"/>
      <c r="CQ208" s="1301"/>
      <c r="CR208" s="1301"/>
      <c r="CS208" s="1301"/>
      <c r="CT208" s="1301"/>
      <c r="CU208" s="1301"/>
      <c r="CV208" s="1301"/>
      <c r="CW208" s="1301"/>
      <c r="CX208" s="1301"/>
      <c r="CY208" s="1301"/>
      <c r="CZ208" s="1301"/>
      <c r="DA208" s="1301"/>
      <c r="DB208" s="1301"/>
      <c r="DC208" s="1301"/>
      <c r="DD208" s="1301"/>
      <c r="DE208" s="1301"/>
      <c r="DF208" s="1301"/>
      <c r="DG208" s="1301"/>
      <c r="DH208" s="1301"/>
      <c r="DI208" s="1301"/>
      <c r="DJ208" s="1301"/>
      <c r="DK208" s="1301"/>
      <c r="DL208" s="1301"/>
      <c r="DM208" s="1301"/>
      <c r="DN208" s="1301"/>
      <c r="DO208" s="1301"/>
      <c r="DP208" s="1301"/>
      <c r="DQ208" s="1301"/>
    </row>
    <row r="209" spans="1:77" ht="12" customHeight="1" x14ac:dyDescent="0.35">
      <c r="A209" s="1439">
        <f t="shared" si="88"/>
        <v>45869</v>
      </c>
      <c r="B209" s="82">
        <v>55</v>
      </c>
      <c r="C209" s="1439">
        <f t="shared" si="91"/>
        <v>244</v>
      </c>
      <c r="D209" s="82"/>
      <c r="E209" s="82"/>
      <c r="F209" s="82"/>
      <c r="G209" s="1446">
        <f>SUM(Input!D482:AB482)</f>
        <v>0</v>
      </c>
      <c r="H209" s="1446">
        <f>SUM(Input!D802:AB802)</f>
        <v>0</v>
      </c>
      <c r="I209" s="1448"/>
      <c r="J209" s="1448"/>
      <c r="K209" s="1073"/>
      <c r="L209" s="1073"/>
      <c r="M209" s="1073"/>
      <c r="N209" s="1073"/>
      <c r="O209" s="1073"/>
      <c r="P209" s="1073"/>
      <c r="Q209" s="1073"/>
      <c r="R209" s="1073"/>
      <c r="S209" s="1073"/>
      <c r="T209" s="1073"/>
      <c r="U209" s="1605"/>
      <c r="V209" s="1605"/>
      <c r="W209" s="1605"/>
      <c r="X209" s="1605"/>
      <c r="Y209" s="1605"/>
      <c r="Z209" s="1605"/>
      <c r="AA209" s="1605"/>
      <c r="AB209" s="1605"/>
      <c r="AC209" s="1605"/>
      <c r="AD209" s="1605"/>
      <c r="AE209" s="1605"/>
      <c r="AF209" s="1606"/>
      <c r="AG209" s="1606"/>
      <c r="AH209" s="1606"/>
      <c r="AI209" s="1606"/>
      <c r="AJ209" s="1606"/>
      <c r="AK209" s="1606"/>
      <c r="AL209" s="1606"/>
      <c r="AM209" s="1606"/>
      <c r="AN209" s="1606"/>
      <c r="AO209" s="1606"/>
      <c r="AP209" s="1606"/>
      <c r="AQ209" s="1606"/>
      <c r="AR209" s="1606"/>
      <c r="AS209" s="1606"/>
      <c r="AT209" s="1606"/>
      <c r="AU209" s="1606"/>
      <c r="AV209" s="1606"/>
      <c r="AW209" s="1606"/>
      <c r="AX209" s="1606"/>
      <c r="AY209" s="1606"/>
      <c r="AZ209" s="1606"/>
      <c r="BA209" s="1606"/>
      <c r="BB209" s="1606"/>
      <c r="BC209" s="1606"/>
      <c r="BD209" s="1606"/>
      <c r="BE209" s="1606"/>
      <c r="BF209" s="1606"/>
      <c r="BG209" s="1606"/>
      <c r="BH209" s="1606"/>
      <c r="BI209" s="1606"/>
      <c r="BJ209" s="1606"/>
      <c r="BK209" s="1606"/>
      <c r="BL209" s="1606"/>
      <c r="BM209" s="1606"/>
      <c r="BN209" s="1606"/>
      <c r="BO209" s="1606"/>
      <c r="BP209" s="1606"/>
      <c r="BQ209" s="1606"/>
      <c r="BR209" s="1606"/>
      <c r="BS209" s="1606"/>
      <c r="BT209" s="1171"/>
      <c r="BU209" s="1171"/>
      <c r="BV209" s="1171"/>
      <c r="BW209" s="1171"/>
      <c r="BX209" s="43"/>
      <c r="BY209" s="43"/>
    </row>
    <row r="210" spans="1:77" ht="12" customHeight="1" x14ac:dyDescent="0.35">
      <c r="A210" s="1439">
        <f t="shared" si="88"/>
        <v>45900</v>
      </c>
      <c r="B210" s="82">
        <v>56</v>
      </c>
      <c r="C210" s="1439">
        <f t="shared" si="91"/>
        <v>274</v>
      </c>
      <c r="D210" s="82"/>
      <c r="E210" s="82"/>
      <c r="F210" s="82"/>
      <c r="G210" s="1446">
        <f>SUM(Input!D483:AB483)</f>
        <v>0</v>
      </c>
      <c r="H210" s="1446">
        <f>SUM(Input!D803:AB803)</f>
        <v>0</v>
      </c>
      <c r="I210" s="1448"/>
      <c r="J210" s="1448"/>
      <c r="K210" s="1073"/>
      <c r="L210" s="1073"/>
      <c r="M210" s="1073"/>
      <c r="N210" s="1073"/>
      <c r="O210" s="1073"/>
      <c r="P210" s="1073"/>
      <c r="Q210" s="1073"/>
      <c r="R210" s="1073"/>
      <c r="S210" s="1073"/>
      <c r="T210" s="1073"/>
      <c r="U210" s="1605"/>
      <c r="V210" s="1605"/>
      <c r="W210" s="1605"/>
      <c r="X210" s="1605"/>
      <c r="Y210" s="1605"/>
      <c r="Z210" s="1605"/>
      <c r="AA210" s="1605"/>
      <c r="AB210" s="1605"/>
      <c r="AC210" s="1605"/>
      <c r="AD210" s="1605"/>
      <c r="AE210" s="1605"/>
      <c r="AF210" s="1606"/>
      <c r="AG210" s="1606"/>
      <c r="AH210" s="1606"/>
      <c r="AI210" s="1606"/>
      <c r="AJ210" s="1606"/>
      <c r="AK210" s="1606"/>
      <c r="AL210" s="1606"/>
      <c r="AM210" s="1606"/>
      <c r="AN210" s="1606"/>
      <c r="AO210" s="1606"/>
      <c r="AP210" s="1606"/>
      <c r="AQ210" s="1606"/>
      <c r="AR210" s="1606"/>
      <c r="AS210" s="1606"/>
      <c r="AT210" s="1606"/>
      <c r="AU210" s="1606"/>
      <c r="AV210" s="1606"/>
      <c r="AW210" s="1606"/>
      <c r="AX210" s="1606"/>
      <c r="AY210" s="1606"/>
      <c r="AZ210" s="1606"/>
      <c r="BA210" s="1606"/>
      <c r="BB210" s="1606"/>
      <c r="BC210" s="1606"/>
      <c r="BD210" s="1606"/>
      <c r="BE210" s="1606"/>
      <c r="BF210" s="1606"/>
      <c r="BG210" s="1606"/>
      <c r="BH210" s="1606"/>
      <c r="BI210" s="1606"/>
      <c r="BJ210" s="1606"/>
      <c r="BK210" s="1606"/>
      <c r="BL210" s="1606"/>
      <c r="BM210" s="1606"/>
      <c r="BN210" s="1606"/>
      <c r="BO210" s="1606"/>
      <c r="BP210" s="1606"/>
      <c r="BQ210" s="1606"/>
      <c r="BR210" s="1606"/>
      <c r="BS210" s="1606"/>
      <c r="BT210" s="1171"/>
      <c r="BU210" s="1171"/>
      <c r="BV210" s="1171"/>
      <c r="BW210" s="1171"/>
      <c r="BX210" s="43"/>
      <c r="BY210" s="43"/>
    </row>
    <row r="211" spans="1:77" ht="12" customHeight="1" x14ac:dyDescent="0.35">
      <c r="A211" s="1439">
        <f t="shared" si="88"/>
        <v>45930</v>
      </c>
      <c r="B211" s="82">
        <v>57</v>
      </c>
      <c r="C211" s="1439">
        <f t="shared" si="91"/>
        <v>305</v>
      </c>
      <c r="D211" s="82"/>
      <c r="E211" s="82"/>
      <c r="F211" s="82"/>
      <c r="G211" s="1446">
        <f>SUM(Input!D484:AB484)</f>
        <v>0</v>
      </c>
      <c r="H211" s="1446">
        <f>SUM(Input!D804:AB804)</f>
        <v>0</v>
      </c>
      <c r="I211" s="1448"/>
      <c r="J211" s="1448"/>
      <c r="K211" s="1601" t="str">
        <f>Input!$D$1171</f>
        <v>Item 1</v>
      </c>
      <c r="L211" s="268">
        <f>Input!$D$1172</f>
        <v>0</v>
      </c>
      <c r="M211" s="268">
        <f>Input!$D$1173</f>
        <v>0</v>
      </c>
      <c r="N211" s="268">
        <f>Input!$D$1174</f>
        <v>0</v>
      </c>
      <c r="O211" s="268">
        <f>Input!$D$1175</f>
        <v>0</v>
      </c>
      <c r="P211" s="268">
        <f>Input!$D$1176</f>
        <v>0</v>
      </c>
      <c r="Q211" s="268">
        <f>Input!$D$1177</f>
        <v>0</v>
      </c>
      <c r="R211" s="268">
        <f>Input!$D$1178</f>
        <v>0</v>
      </c>
      <c r="S211" s="268">
        <f>Input!$D$1179</f>
        <v>0</v>
      </c>
      <c r="T211" s="268">
        <f>Input!$D$1180</f>
        <v>0</v>
      </c>
      <c r="U211" s="1595">
        <f>Input!$D$1181</f>
        <v>0</v>
      </c>
      <c r="V211" s="1595">
        <f>Input!$D$1182</f>
        <v>0</v>
      </c>
      <c r="W211" s="1595">
        <f>Input!$D$1183</f>
        <v>0</v>
      </c>
      <c r="X211" s="1595">
        <f>Input!$D$1184</f>
        <v>0</v>
      </c>
      <c r="Y211" s="1595">
        <f>Input!$D$1185</f>
        <v>0</v>
      </c>
      <c r="Z211" s="1595">
        <f>Input!$D$1186</f>
        <v>0</v>
      </c>
      <c r="AA211" s="1595">
        <f>Input!$D$1187</f>
        <v>0</v>
      </c>
      <c r="AB211" s="1595">
        <f>Input!$D$1188</f>
        <v>0</v>
      </c>
      <c r="AC211" s="1595">
        <f>Input!$D$1189</f>
        <v>0</v>
      </c>
      <c r="AD211" s="1595">
        <f>Input!$D$1190</f>
        <v>0</v>
      </c>
      <c r="AE211" s="1595">
        <f>Input!$D$1191</f>
        <v>0</v>
      </c>
      <c r="AF211" s="1596">
        <f>Input!$D$1192</f>
        <v>0</v>
      </c>
      <c r="AG211" s="1596">
        <f>Input!$D$1193</f>
        <v>0</v>
      </c>
      <c r="AH211" s="1596">
        <f>Input!$D$1194</f>
        <v>0</v>
      </c>
      <c r="AI211" s="1596">
        <f>Input!$D$1195</f>
        <v>0</v>
      </c>
      <c r="AJ211" s="1596">
        <f>Input!$D$1196</f>
        <v>0</v>
      </c>
      <c r="AK211" s="1596">
        <f>Input!$D$1197</f>
        <v>0</v>
      </c>
      <c r="AL211" s="1596">
        <f>Input!$D$1198</f>
        <v>0</v>
      </c>
      <c r="AM211" s="1596">
        <f>Input!$D$1199</f>
        <v>0</v>
      </c>
      <c r="AN211" s="1596">
        <f>Input!$D$1200</f>
        <v>0</v>
      </c>
      <c r="AO211" s="1596">
        <f>Input!$D$1201</f>
        <v>0</v>
      </c>
      <c r="AP211" s="1596">
        <f>Input!$D$1202</f>
        <v>0</v>
      </c>
      <c r="AQ211" s="1596">
        <f>Input!$D$1203</f>
        <v>0</v>
      </c>
      <c r="AR211" s="1596">
        <f>Input!$D$1204</f>
        <v>0</v>
      </c>
      <c r="AS211" s="1596">
        <f>Input!$D$1205</f>
        <v>0</v>
      </c>
      <c r="AT211" s="1596">
        <f>Input!$D$1206</f>
        <v>0</v>
      </c>
      <c r="AU211" s="1596">
        <f>Input!$D$1207</f>
        <v>0</v>
      </c>
      <c r="AV211" s="1596">
        <f>Input!$D$1208</f>
        <v>0</v>
      </c>
      <c r="AW211" s="1596">
        <f>Input!$D$1209</f>
        <v>0</v>
      </c>
      <c r="AX211" s="1596">
        <f>Input!$D$1210</f>
        <v>0</v>
      </c>
      <c r="AY211" s="1596">
        <f>Input!$D$1211</f>
        <v>0</v>
      </c>
      <c r="AZ211" s="1596">
        <f>Input!$D$1212</f>
        <v>0</v>
      </c>
      <c r="BA211" s="1596">
        <f>Input!$D$1213</f>
        <v>0</v>
      </c>
      <c r="BB211" s="1596">
        <f>Input!$D$1214</f>
        <v>0</v>
      </c>
      <c r="BC211" s="1596">
        <f>Input!$D$1215</f>
        <v>0</v>
      </c>
      <c r="BD211" s="1596">
        <f>Input!$D$1216</f>
        <v>0</v>
      </c>
      <c r="BE211" s="1596">
        <f>Input!$D$1217</f>
        <v>0</v>
      </c>
      <c r="BF211" s="1596">
        <f>Input!$D$1218</f>
        <v>0</v>
      </c>
      <c r="BG211" s="1596">
        <f>Input!$D$1219</f>
        <v>0</v>
      </c>
      <c r="BH211" s="1596">
        <f>Input!$D$1220</f>
        <v>0</v>
      </c>
      <c r="BI211" s="1596">
        <f>Input!$D$1221</f>
        <v>0</v>
      </c>
      <c r="BJ211" s="1596">
        <f>Input!$D$1222</f>
        <v>0</v>
      </c>
      <c r="BK211" s="1596">
        <f>Input!$D$1223</f>
        <v>0</v>
      </c>
      <c r="BL211" s="1596">
        <f>Input!$D$1224</f>
        <v>0</v>
      </c>
      <c r="BM211" s="1596">
        <f>Input!$D$1225</f>
        <v>0</v>
      </c>
      <c r="BN211" s="1596">
        <f>Input!$D$1226</f>
        <v>0</v>
      </c>
      <c r="BO211" s="1596">
        <f>Input!$D$1227</f>
        <v>0</v>
      </c>
      <c r="BP211" s="1596">
        <f>Input!$D$1228</f>
        <v>0</v>
      </c>
      <c r="BQ211" s="1596">
        <f>Input!$D$1229</f>
        <v>0</v>
      </c>
      <c r="BR211" s="1596">
        <f>Input!$D$1230</f>
        <v>0</v>
      </c>
      <c r="BS211" s="1596">
        <f>Input!$D$1231</f>
        <v>0</v>
      </c>
      <c r="BT211" s="1171"/>
      <c r="BU211" s="1171"/>
      <c r="BV211" s="1171"/>
      <c r="BW211" s="1171"/>
      <c r="BX211" s="43"/>
      <c r="BY211" s="43"/>
    </row>
    <row r="212" spans="1:77" ht="12" customHeight="1" x14ac:dyDescent="0.35">
      <c r="A212" s="1439">
        <f t="shared" si="88"/>
        <v>45961</v>
      </c>
      <c r="B212" s="82">
        <v>58</v>
      </c>
      <c r="C212" s="1439">
        <f t="shared" si="91"/>
        <v>335</v>
      </c>
      <c r="D212" s="82"/>
      <c r="E212" s="82"/>
      <c r="F212" s="82"/>
      <c r="G212" s="1446">
        <f>SUM(Input!D485:AB485)</f>
        <v>0</v>
      </c>
      <c r="H212" s="1446">
        <f>SUM(Input!D805:AB805)</f>
        <v>0</v>
      </c>
      <c r="I212" s="1448"/>
      <c r="J212" s="1448"/>
      <c r="K212" s="1601" t="str">
        <f>Input!$E$1171</f>
        <v>Item 2</v>
      </c>
      <c r="L212" s="268">
        <f>Input!$E$1172</f>
        <v>0</v>
      </c>
      <c r="M212" s="268">
        <f>Input!$E$1173</f>
        <v>0</v>
      </c>
      <c r="N212" s="268">
        <f>Input!$E$1174</f>
        <v>0</v>
      </c>
      <c r="O212" s="268">
        <f>Input!$E$1175</f>
        <v>0</v>
      </c>
      <c r="P212" s="268">
        <f>Input!$E$1176</f>
        <v>0</v>
      </c>
      <c r="Q212" s="268">
        <f>Input!$E$1177</f>
        <v>0</v>
      </c>
      <c r="R212" s="268">
        <f>Input!$E$1178</f>
        <v>0</v>
      </c>
      <c r="S212" s="268">
        <f>Input!$E$1179</f>
        <v>0</v>
      </c>
      <c r="T212" s="268">
        <f>Input!$E$1180</f>
        <v>0</v>
      </c>
      <c r="U212" s="1595">
        <f>Input!$E$1181</f>
        <v>0</v>
      </c>
      <c r="V212" s="1595">
        <f>Input!$E$1182</f>
        <v>0</v>
      </c>
      <c r="W212" s="1595">
        <f>Input!$E$1183</f>
        <v>0</v>
      </c>
      <c r="X212" s="1595">
        <f>Input!$E$1184</f>
        <v>0</v>
      </c>
      <c r="Y212" s="1595">
        <f>Input!$E$1185</f>
        <v>0</v>
      </c>
      <c r="Z212" s="1595">
        <f>Input!$E$1186</f>
        <v>0</v>
      </c>
      <c r="AA212" s="1595">
        <f>Input!$E$1187</f>
        <v>0</v>
      </c>
      <c r="AB212" s="1595">
        <f>Input!$E$1188</f>
        <v>0</v>
      </c>
      <c r="AC212" s="1595">
        <f>Input!$E$1189</f>
        <v>0</v>
      </c>
      <c r="AD212" s="1595">
        <f>Input!$E$1190</f>
        <v>0</v>
      </c>
      <c r="AE212" s="1595">
        <f>Input!$E$1191</f>
        <v>0</v>
      </c>
      <c r="AF212" s="1596">
        <f>Input!$E$1192</f>
        <v>0</v>
      </c>
      <c r="AG212" s="1596">
        <f>Input!$E$1193</f>
        <v>0</v>
      </c>
      <c r="AH212" s="1596">
        <f>Input!$E$1194</f>
        <v>0</v>
      </c>
      <c r="AI212" s="1596">
        <f>Input!$E$1195</f>
        <v>0</v>
      </c>
      <c r="AJ212" s="1596">
        <f>Input!$E$1196</f>
        <v>0</v>
      </c>
      <c r="AK212" s="1596">
        <f>Input!$E$1197</f>
        <v>0</v>
      </c>
      <c r="AL212" s="1596">
        <f>Input!$E$1198</f>
        <v>0</v>
      </c>
      <c r="AM212" s="1596">
        <f>Input!$E$1199</f>
        <v>0</v>
      </c>
      <c r="AN212" s="1596">
        <f>Input!$E$1200</f>
        <v>0</v>
      </c>
      <c r="AO212" s="1596">
        <f>Input!$E$1201</f>
        <v>0</v>
      </c>
      <c r="AP212" s="1596">
        <f>Input!$E$1202</f>
        <v>0</v>
      </c>
      <c r="AQ212" s="1596">
        <f>Input!$E$1203</f>
        <v>0</v>
      </c>
      <c r="AR212" s="1596">
        <f>Input!$E$1204</f>
        <v>0</v>
      </c>
      <c r="AS212" s="1596">
        <f>Input!$E$1205</f>
        <v>0</v>
      </c>
      <c r="AT212" s="1596">
        <f>Input!$E$1206</f>
        <v>0</v>
      </c>
      <c r="AU212" s="1596">
        <f>Input!$E$1207</f>
        <v>0</v>
      </c>
      <c r="AV212" s="1596">
        <f>Input!$E$1208</f>
        <v>0</v>
      </c>
      <c r="AW212" s="1596">
        <f>Input!$E$1209</f>
        <v>0</v>
      </c>
      <c r="AX212" s="1596">
        <f>Input!$E$1210</f>
        <v>0</v>
      </c>
      <c r="AY212" s="1596">
        <f>Input!$E$1211</f>
        <v>0</v>
      </c>
      <c r="AZ212" s="1596">
        <f>Input!$E$1212</f>
        <v>0</v>
      </c>
      <c r="BA212" s="1596">
        <f>Input!$E$1213</f>
        <v>0</v>
      </c>
      <c r="BB212" s="1596">
        <f>Input!$E$1214</f>
        <v>0</v>
      </c>
      <c r="BC212" s="1596">
        <f>Input!$E$1215</f>
        <v>0</v>
      </c>
      <c r="BD212" s="1596">
        <f>Input!$E$1216</f>
        <v>0</v>
      </c>
      <c r="BE212" s="1596">
        <f>Input!$E$1217</f>
        <v>0</v>
      </c>
      <c r="BF212" s="1596">
        <f>Input!$E$1218</f>
        <v>0</v>
      </c>
      <c r="BG212" s="1596">
        <f>Input!$E$1219</f>
        <v>0</v>
      </c>
      <c r="BH212" s="1596">
        <f>Input!$E$1220</f>
        <v>0</v>
      </c>
      <c r="BI212" s="1596">
        <f>Input!$E$1221</f>
        <v>0</v>
      </c>
      <c r="BJ212" s="1596">
        <f>Input!$E$1222</f>
        <v>0</v>
      </c>
      <c r="BK212" s="1596">
        <f>Input!$E$1223</f>
        <v>0</v>
      </c>
      <c r="BL212" s="1596">
        <f>Input!$E$1224</f>
        <v>0</v>
      </c>
      <c r="BM212" s="1596">
        <f>Input!$E$1225</f>
        <v>0</v>
      </c>
      <c r="BN212" s="1596">
        <f>Input!$E$1226</f>
        <v>0</v>
      </c>
      <c r="BO212" s="1596">
        <f>Input!$E$1227</f>
        <v>0</v>
      </c>
      <c r="BP212" s="1596">
        <f>Input!$E$1228</f>
        <v>0</v>
      </c>
      <c r="BQ212" s="1596">
        <f>Input!$E$1229</f>
        <v>0</v>
      </c>
      <c r="BR212" s="1596">
        <f>Input!$E$1230</f>
        <v>0</v>
      </c>
      <c r="BS212" s="1596">
        <f>Input!$E$1231</f>
        <v>0</v>
      </c>
      <c r="BT212" s="1171"/>
      <c r="BU212" s="1171"/>
      <c r="BV212" s="1171"/>
      <c r="BW212" s="1171"/>
      <c r="BX212" s="43"/>
      <c r="BY212" s="43"/>
    </row>
    <row r="213" spans="1:77" ht="12" customHeight="1" x14ac:dyDescent="0.35">
      <c r="A213" s="1439">
        <f t="shared" si="88"/>
        <v>45991</v>
      </c>
      <c r="B213" s="82">
        <v>59</v>
      </c>
      <c r="C213" s="1439">
        <f t="shared" si="91"/>
        <v>366</v>
      </c>
      <c r="D213" s="82"/>
      <c r="E213" s="82"/>
      <c r="F213" s="82"/>
      <c r="G213" s="1446">
        <f>SUM(Input!D486:AB486)</f>
        <v>0</v>
      </c>
      <c r="H213" s="1446">
        <f>SUM(Input!D806:AB806)</f>
        <v>0</v>
      </c>
      <c r="I213" s="1448"/>
      <c r="J213" s="1448"/>
      <c r="K213" s="1601" t="str">
        <f>Input!$F$1171</f>
        <v>Item 3</v>
      </c>
      <c r="L213" s="268">
        <f>Input!$F$1172</f>
        <v>0</v>
      </c>
      <c r="M213" s="268">
        <f>Input!$F$1173</f>
        <v>0</v>
      </c>
      <c r="N213" s="268">
        <f>Input!$F$1174</f>
        <v>0</v>
      </c>
      <c r="O213" s="268">
        <f>Input!$F$1175</f>
        <v>0</v>
      </c>
      <c r="P213" s="268">
        <f>Input!$F$1176</f>
        <v>0</v>
      </c>
      <c r="Q213" s="268">
        <f>Input!$F$1177</f>
        <v>0</v>
      </c>
      <c r="R213" s="268">
        <f>Input!$F$1178</f>
        <v>0</v>
      </c>
      <c r="S213" s="268">
        <f>Input!$F$1179</f>
        <v>0</v>
      </c>
      <c r="T213" s="268">
        <f>Input!$F$1180</f>
        <v>0</v>
      </c>
      <c r="U213" s="1595">
        <f>Input!$F$1181</f>
        <v>0</v>
      </c>
      <c r="V213" s="1595">
        <f>Input!$F$1182</f>
        <v>0</v>
      </c>
      <c r="W213" s="1595">
        <f>Input!$F$1183</f>
        <v>0</v>
      </c>
      <c r="X213" s="1595">
        <f>Input!$F$1184</f>
        <v>0</v>
      </c>
      <c r="Y213" s="1595">
        <f>Input!$F$1185</f>
        <v>0</v>
      </c>
      <c r="Z213" s="1595">
        <f>Input!$F$1186</f>
        <v>0</v>
      </c>
      <c r="AA213" s="1595">
        <f>Input!$F$1187</f>
        <v>0</v>
      </c>
      <c r="AB213" s="1595">
        <f>Input!$F$1188</f>
        <v>0</v>
      </c>
      <c r="AC213" s="1595">
        <f>Input!$F$1189</f>
        <v>0</v>
      </c>
      <c r="AD213" s="1595">
        <f>Input!$F$1190</f>
        <v>0</v>
      </c>
      <c r="AE213" s="1595">
        <f>Input!$F$1191</f>
        <v>0</v>
      </c>
      <c r="AF213" s="1596">
        <f>Input!$F$1192</f>
        <v>0</v>
      </c>
      <c r="AG213" s="1596">
        <f>Input!$F$1193</f>
        <v>0</v>
      </c>
      <c r="AH213" s="1596">
        <f>Input!$F$1194</f>
        <v>0</v>
      </c>
      <c r="AI213" s="1596">
        <f>Input!$F$1195</f>
        <v>0</v>
      </c>
      <c r="AJ213" s="1596">
        <f>Input!$F$1196</f>
        <v>0</v>
      </c>
      <c r="AK213" s="1596">
        <f>Input!$F$1197</f>
        <v>0</v>
      </c>
      <c r="AL213" s="1596">
        <f>Input!$F$1198</f>
        <v>0</v>
      </c>
      <c r="AM213" s="1596">
        <f>Input!$F$1199</f>
        <v>0</v>
      </c>
      <c r="AN213" s="1596">
        <f>Input!$F$1200</f>
        <v>0</v>
      </c>
      <c r="AO213" s="1596">
        <f>Input!$F$1201</f>
        <v>0</v>
      </c>
      <c r="AP213" s="1596">
        <f>Input!$F$1202</f>
        <v>0</v>
      </c>
      <c r="AQ213" s="1596">
        <f>Input!$F$1203</f>
        <v>0</v>
      </c>
      <c r="AR213" s="1596">
        <f>Input!$F$1204</f>
        <v>0</v>
      </c>
      <c r="AS213" s="1596">
        <f>Input!$F$1205</f>
        <v>0</v>
      </c>
      <c r="AT213" s="1596">
        <f>Input!$F$1206</f>
        <v>0</v>
      </c>
      <c r="AU213" s="1596">
        <f>Input!$F$1207</f>
        <v>0</v>
      </c>
      <c r="AV213" s="1596">
        <f>Input!$F$1208</f>
        <v>0</v>
      </c>
      <c r="AW213" s="1596">
        <f>Input!$F$1209</f>
        <v>0</v>
      </c>
      <c r="AX213" s="1596">
        <f>Input!$F$1210</f>
        <v>0</v>
      </c>
      <c r="AY213" s="1596">
        <f>Input!$F$1211</f>
        <v>0</v>
      </c>
      <c r="AZ213" s="1596">
        <f>Input!$F$1212</f>
        <v>0</v>
      </c>
      <c r="BA213" s="1596">
        <f>Input!$F$1213</f>
        <v>0</v>
      </c>
      <c r="BB213" s="1596">
        <f>Input!$F$1214</f>
        <v>0</v>
      </c>
      <c r="BC213" s="1596">
        <f>Input!$F$1215</f>
        <v>0</v>
      </c>
      <c r="BD213" s="1596">
        <f>Input!$F$1216</f>
        <v>0</v>
      </c>
      <c r="BE213" s="1596">
        <f>Input!$F$1217</f>
        <v>0</v>
      </c>
      <c r="BF213" s="1596">
        <f>Input!$F$1218</f>
        <v>0</v>
      </c>
      <c r="BG213" s="1596">
        <f>Input!$F$1219</f>
        <v>0</v>
      </c>
      <c r="BH213" s="1596">
        <f>Input!$F$1220</f>
        <v>0</v>
      </c>
      <c r="BI213" s="1596">
        <f>Input!$F$1221</f>
        <v>0</v>
      </c>
      <c r="BJ213" s="1596">
        <f>Input!$F$1222</f>
        <v>0</v>
      </c>
      <c r="BK213" s="1596">
        <f>Input!$F$1223</f>
        <v>0</v>
      </c>
      <c r="BL213" s="1596">
        <f>Input!$F$1224</f>
        <v>0</v>
      </c>
      <c r="BM213" s="1596">
        <f>Input!$F$1225</f>
        <v>0</v>
      </c>
      <c r="BN213" s="1596">
        <f>Input!$F$1226</f>
        <v>0</v>
      </c>
      <c r="BO213" s="1596">
        <f>Input!$F$1227</f>
        <v>0</v>
      </c>
      <c r="BP213" s="1596">
        <f>Input!$F$1228</f>
        <v>0</v>
      </c>
      <c r="BQ213" s="1596">
        <f>Input!$F$1229</f>
        <v>0</v>
      </c>
      <c r="BR213" s="1596">
        <f>Input!$F$1230</f>
        <v>0</v>
      </c>
      <c r="BS213" s="1596">
        <f>Input!$F$1231</f>
        <v>0</v>
      </c>
      <c r="BT213" s="1171"/>
      <c r="BU213" s="1171"/>
      <c r="BV213" s="1171"/>
      <c r="BW213" s="1171"/>
      <c r="BX213" s="43"/>
      <c r="BY213" s="43"/>
    </row>
    <row r="214" spans="1:77" ht="12" customHeight="1" x14ac:dyDescent="0.35">
      <c r="A214" s="1439">
        <f t="shared" si="88"/>
        <v>46022</v>
      </c>
      <c r="B214" s="82">
        <v>60</v>
      </c>
      <c r="C214" s="1439">
        <f t="shared" si="91"/>
        <v>397</v>
      </c>
      <c r="D214" s="82"/>
      <c r="E214" s="82"/>
      <c r="F214" s="82"/>
      <c r="G214" s="1446">
        <f>SUM(Input!D487:AB487)</f>
        <v>0</v>
      </c>
      <c r="H214" s="1446">
        <f>SUM(Input!D807:AB807)</f>
        <v>0</v>
      </c>
      <c r="I214" s="1448"/>
      <c r="J214" s="1448"/>
      <c r="K214" s="1601" t="str">
        <f>Input!$G$1171</f>
        <v>Item 4</v>
      </c>
      <c r="L214" s="268">
        <f>Input!$G$1172</f>
        <v>0</v>
      </c>
      <c r="M214" s="268">
        <f>Input!$G$1173</f>
        <v>0</v>
      </c>
      <c r="N214" s="268">
        <f>Input!$G$1174</f>
        <v>0</v>
      </c>
      <c r="O214" s="268">
        <f>Input!$G$1175</f>
        <v>0</v>
      </c>
      <c r="P214" s="268">
        <f>Input!$G$1176</f>
        <v>0</v>
      </c>
      <c r="Q214" s="268">
        <f>Input!$G$1177</f>
        <v>0</v>
      </c>
      <c r="R214" s="268">
        <f>Input!$G$1178</f>
        <v>0</v>
      </c>
      <c r="S214" s="268">
        <f>Input!$G$1179</f>
        <v>0</v>
      </c>
      <c r="T214" s="268">
        <f>Input!$G$1180</f>
        <v>0</v>
      </c>
      <c r="U214" s="1595">
        <f>Input!$G$1181</f>
        <v>0</v>
      </c>
      <c r="V214" s="1595">
        <f>Input!$G$1182</f>
        <v>0</v>
      </c>
      <c r="W214" s="1595">
        <f>Input!$G$1183</f>
        <v>0</v>
      </c>
      <c r="X214" s="1595">
        <f>Input!$G$1184</f>
        <v>0</v>
      </c>
      <c r="Y214" s="1595">
        <f>Input!$G$1185</f>
        <v>0</v>
      </c>
      <c r="Z214" s="1595">
        <f>Input!$G$1186</f>
        <v>0</v>
      </c>
      <c r="AA214" s="1595">
        <f>Input!$G$1187</f>
        <v>0</v>
      </c>
      <c r="AB214" s="1595">
        <f>Input!$G$1188</f>
        <v>0</v>
      </c>
      <c r="AC214" s="1595">
        <f>Input!$G$1189</f>
        <v>0</v>
      </c>
      <c r="AD214" s="1595">
        <f>Input!$G$1190</f>
        <v>0</v>
      </c>
      <c r="AE214" s="1595">
        <f>Input!$G$1191</f>
        <v>0</v>
      </c>
      <c r="AF214" s="1596">
        <f>Input!$G$1192</f>
        <v>0</v>
      </c>
      <c r="AG214" s="1596">
        <f>Input!$G$1193</f>
        <v>0</v>
      </c>
      <c r="AH214" s="1596">
        <f>Input!$G$1194</f>
        <v>0</v>
      </c>
      <c r="AI214" s="1596">
        <f>Input!$G$1195</f>
        <v>0</v>
      </c>
      <c r="AJ214" s="1596">
        <f>Input!$G$1196</f>
        <v>0</v>
      </c>
      <c r="AK214" s="1596">
        <f>Input!$G$1197</f>
        <v>0</v>
      </c>
      <c r="AL214" s="1596">
        <f>Input!$G$1198</f>
        <v>0</v>
      </c>
      <c r="AM214" s="1596">
        <f>Input!$G$1199</f>
        <v>0</v>
      </c>
      <c r="AN214" s="1596">
        <f>Input!$G$1200</f>
        <v>0</v>
      </c>
      <c r="AO214" s="1596">
        <f>Input!$G$1201</f>
        <v>0</v>
      </c>
      <c r="AP214" s="1596">
        <f>Input!$G$1202</f>
        <v>0</v>
      </c>
      <c r="AQ214" s="1596">
        <f>Input!$G$1203</f>
        <v>0</v>
      </c>
      <c r="AR214" s="1596">
        <f>Input!$G$1204</f>
        <v>0</v>
      </c>
      <c r="AS214" s="1596">
        <f>Input!$G$1205</f>
        <v>0</v>
      </c>
      <c r="AT214" s="1596">
        <f>Input!$G$1206</f>
        <v>0</v>
      </c>
      <c r="AU214" s="1596">
        <f>Input!$G$1207</f>
        <v>0</v>
      </c>
      <c r="AV214" s="1596">
        <f>Input!$G$1208</f>
        <v>0</v>
      </c>
      <c r="AW214" s="1596">
        <f>Input!$G$1209</f>
        <v>0</v>
      </c>
      <c r="AX214" s="1596">
        <f>Input!$G$1210</f>
        <v>0</v>
      </c>
      <c r="AY214" s="1596">
        <f>Input!$G$1211</f>
        <v>0</v>
      </c>
      <c r="AZ214" s="1596">
        <f>Input!$G$1212</f>
        <v>0</v>
      </c>
      <c r="BA214" s="1596">
        <f>Input!$G$1213</f>
        <v>0</v>
      </c>
      <c r="BB214" s="1596">
        <f>Input!$G$1214</f>
        <v>0</v>
      </c>
      <c r="BC214" s="1596">
        <f>Input!$G$1215</f>
        <v>0</v>
      </c>
      <c r="BD214" s="1596">
        <f>Input!$G$1216</f>
        <v>0</v>
      </c>
      <c r="BE214" s="1596">
        <f>Input!$G$1217</f>
        <v>0</v>
      </c>
      <c r="BF214" s="1596">
        <f>Input!$G$1218</f>
        <v>0</v>
      </c>
      <c r="BG214" s="1596">
        <f>Input!$G$1219</f>
        <v>0</v>
      </c>
      <c r="BH214" s="1596">
        <f>Input!$G$1220</f>
        <v>0</v>
      </c>
      <c r="BI214" s="1596">
        <f>Input!$G$1221</f>
        <v>0</v>
      </c>
      <c r="BJ214" s="1596">
        <f>Input!$G$1222</f>
        <v>0</v>
      </c>
      <c r="BK214" s="1596">
        <f>Input!$G$1223</f>
        <v>0</v>
      </c>
      <c r="BL214" s="1596">
        <f>Input!$G$1224</f>
        <v>0</v>
      </c>
      <c r="BM214" s="1596">
        <f>Input!$G$1225</f>
        <v>0</v>
      </c>
      <c r="BN214" s="1596">
        <f>Input!$G$1226</f>
        <v>0</v>
      </c>
      <c r="BO214" s="1596">
        <f>Input!$G$1227</f>
        <v>0</v>
      </c>
      <c r="BP214" s="1596">
        <f>Input!$G$1228</f>
        <v>0</v>
      </c>
      <c r="BQ214" s="1596">
        <f>Input!$G$1229</f>
        <v>0</v>
      </c>
      <c r="BR214" s="1596">
        <f>Input!$G$1230</f>
        <v>0</v>
      </c>
      <c r="BS214" s="1596">
        <f>Input!$G$1231</f>
        <v>0</v>
      </c>
      <c r="BT214" s="1171"/>
      <c r="BU214" s="1171"/>
      <c r="BV214" s="1171"/>
      <c r="BW214" s="1171"/>
      <c r="BX214" s="43"/>
      <c r="BY214" s="43"/>
    </row>
    <row r="215" spans="1:77" ht="12" customHeight="1" x14ac:dyDescent="0.35">
      <c r="A215" s="1439">
        <f t="shared" si="88"/>
        <v>46053</v>
      </c>
      <c r="B215" s="82">
        <v>61</v>
      </c>
      <c r="C215" s="1439">
        <f t="shared" si="91"/>
        <v>425</v>
      </c>
      <c r="D215" s="82"/>
      <c r="E215" s="82"/>
      <c r="F215" s="82"/>
      <c r="G215" s="1446">
        <f>SUM(Input!D488:AB488)</f>
        <v>0</v>
      </c>
      <c r="H215" s="1446">
        <f>SUM(Input!D808:AB808)</f>
        <v>0</v>
      </c>
      <c r="I215" s="1448"/>
      <c r="J215" s="1448"/>
      <c r="K215" s="1601" t="str">
        <f>Input!$H$1171</f>
        <v>Item 5</v>
      </c>
      <c r="L215" s="268">
        <f>Input!$H$1172</f>
        <v>0</v>
      </c>
      <c r="M215" s="268">
        <f>Input!$H$1173</f>
        <v>0</v>
      </c>
      <c r="N215" s="268">
        <f>Input!$H$1174</f>
        <v>0</v>
      </c>
      <c r="O215" s="268">
        <f>Input!$H$1175</f>
        <v>0</v>
      </c>
      <c r="P215" s="268">
        <f>Input!$H$1176</f>
        <v>0</v>
      </c>
      <c r="Q215" s="268">
        <f>Input!$H$1177</f>
        <v>0</v>
      </c>
      <c r="R215" s="268">
        <f>Input!$H$1178</f>
        <v>0</v>
      </c>
      <c r="S215" s="268">
        <f>Input!$H$1179</f>
        <v>0</v>
      </c>
      <c r="T215" s="268">
        <f>Input!$H$1180</f>
        <v>0</v>
      </c>
      <c r="U215" s="1595">
        <f>Input!$H$1181</f>
        <v>0</v>
      </c>
      <c r="V215" s="1595">
        <f>Input!$H$1182</f>
        <v>0</v>
      </c>
      <c r="W215" s="1595">
        <f>Input!$H$1183</f>
        <v>0</v>
      </c>
      <c r="X215" s="1595">
        <f>Input!$H$1184</f>
        <v>0</v>
      </c>
      <c r="Y215" s="1595">
        <f>Input!$H$1185</f>
        <v>0</v>
      </c>
      <c r="Z215" s="1595">
        <f>Input!$H$1186</f>
        <v>0</v>
      </c>
      <c r="AA215" s="1595">
        <f>Input!$H$1187</f>
        <v>0</v>
      </c>
      <c r="AB215" s="1595">
        <f>Input!$H$1188</f>
        <v>0</v>
      </c>
      <c r="AC215" s="1595">
        <f>Input!$H$1189</f>
        <v>0</v>
      </c>
      <c r="AD215" s="1595">
        <f>Input!$H$1190</f>
        <v>0</v>
      </c>
      <c r="AE215" s="1595">
        <f>Input!$H$1191</f>
        <v>0</v>
      </c>
      <c r="AF215" s="1596">
        <f>Input!$H$1192</f>
        <v>0</v>
      </c>
      <c r="AG215" s="1596">
        <f>Input!$H$1193</f>
        <v>0</v>
      </c>
      <c r="AH215" s="1596">
        <f>Input!$H$1194</f>
        <v>0</v>
      </c>
      <c r="AI215" s="1596">
        <f>Input!$H$1195</f>
        <v>0</v>
      </c>
      <c r="AJ215" s="1596">
        <f>Input!$H$1196</f>
        <v>0</v>
      </c>
      <c r="AK215" s="1596">
        <f>Input!$H$1197</f>
        <v>0</v>
      </c>
      <c r="AL215" s="1596">
        <f>Input!$H$1198</f>
        <v>0</v>
      </c>
      <c r="AM215" s="1596">
        <f>Input!$H$1199</f>
        <v>0</v>
      </c>
      <c r="AN215" s="1596">
        <f>Input!$H$1200</f>
        <v>0</v>
      </c>
      <c r="AO215" s="1596">
        <f>Input!$H$1201</f>
        <v>0</v>
      </c>
      <c r="AP215" s="1596">
        <f>Input!$H$1202</f>
        <v>0</v>
      </c>
      <c r="AQ215" s="1596">
        <f>Input!$H$1203</f>
        <v>0</v>
      </c>
      <c r="AR215" s="1596">
        <f>Input!$H$1204</f>
        <v>0</v>
      </c>
      <c r="AS215" s="1596">
        <f>Input!$H$1205</f>
        <v>0</v>
      </c>
      <c r="AT215" s="1596">
        <f>Input!$H$1206</f>
        <v>0</v>
      </c>
      <c r="AU215" s="1596">
        <f>Input!$H$1207</f>
        <v>0</v>
      </c>
      <c r="AV215" s="1596">
        <f>Input!$H$1208</f>
        <v>0</v>
      </c>
      <c r="AW215" s="1596">
        <f>Input!$H$1209</f>
        <v>0</v>
      </c>
      <c r="AX215" s="1596">
        <f>Input!$H$1210</f>
        <v>0</v>
      </c>
      <c r="AY215" s="1596">
        <f>Input!$H$1211</f>
        <v>0</v>
      </c>
      <c r="AZ215" s="1596">
        <f>Input!$H$1212</f>
        <v>0</v>
      </c>
      <c r="BA215" s="1596">
        <f>Input!$H$1213</f>
        <v>0</v>
      </c>
      <c r="BB215" s="1596">
        <f>Input!$H$1214</f>
        <v>0</v>
      </c>
      <c r="BC215" s="1596">
        <f>Input!$H$1215</f>
        <v>0</v>
      </c>
      <c r="BD215" s="1596">
        <f>Input!$H$1216</f>
        <v>0</v>
      </c>
      <c r="BE215" s="1596">
        <f>Input!$H$1217</f>
        <v>0</v>
      </c>
      <c r="BF215" s="1596">
        <f>Input!$H$1218</f>
        <v>0</v>
      </c>
      <c r="BG215" s="1596">
        <f>Input!$H$1219</f>
        <v>0</v>
      </c>
      <c r="BH215" s="1596">
        <f>Input!$H$1220</f>
        <v>0</v>
      </c>
      <c r="BI215" s="1596">
        <f>Input!$H$1221</f>
        <v>0</v>
      </c>
      <c r="BJ215" s="1596">
        <f>Input!$H$1222</f>
        <v>0</v>
      </c>
      <c r="BK215" s="1596">
        <f>Input!$H$1223</f>
        <v>0</v>
      </c>
      <c r="BL215" s="1596">
        <f>Input!$H$1224</f>
        <v>0</v>
      </c>
      <c r="BM215" s="1596">
        <f>Input!$H$1225</f>
        <v>0</v>
      </c>
      <c r="BN215" s="1596">
        <f>Input!$H$1226</f>
        <v>0</v>
      </c>
      <c r="BO215" s="1596">
        <f>Input!$H$1227</f>
        <v>0</v>
      </c>
      <c r="BP215" s="1596">
        <f>Input!$H$1228</f>
        <v>0</v>
      </c>
      <c r="BQ215" s="1596">
        <f>Input!$H$1229</f>
        <v>0</v>
      </c>
      <c r="BR215" s="1596">
        <f>Input!$H$1230</f>
        <v>0</v>
      </c>
      <c r="BS215" s="1596">
        <f>Input!$H$1231</f>
        <v>0</v>
      </c>
      <c r="BT215" s="1171"/>
      <c r="BU215" s="1171"/>
      <c r="BV215" s="1171"/>
      <c r="BW215" s="1171"/>
      <c r="BX215" s="43"/>
      <c r="BY215" s="43"/>
    </row>
    <row r="216" spans="1:77" ht="12" customHeight="1" x14ac:dyDescent="0.35">
      <c r="A216" s="1439">
        <f t="shared" si="88"/>
        <v>46081</v>
      </c>
      <c r="B216" s="82">
        <v>62</v>
      </c>
      <c r="C216" s="1439">
        <f t="shared" si="91"/>
        <v>456</v>
      </c>
      <c r="D216" s="1449">
        <f>Input!W1343*11/12</f>
        <v>0</v>
      </c>
      <c r="E216" s="1449">
        <f>SUM(Input!W$1343:W1343)*1/12</f>
        <v>0</v>
      </c>
      <c r="F216" s="82"/>
      <c r="G216" s="1446">
        <f>SUM(Input!D489:AB489)</f>
        <v>0</v>
      </c>
      <c r="H216" s="1446">
        <f>SUM(Input!D809:AB809)</f>
        <v>0</v>
      </c>
      <c r="I216" s="1448"/>
      <c r="J216" s="1448"/>
      <c r="K216" s="1601" t="str">
        <f>Input!$I$1171</f>
        <v>Item 6</v>
      </c>
      <c r="L216" s="268">
        <f>Input!$I$1172</f>
        <v>0</v>
      </c>
      <c r="M216" s="268">
        <f>Input!$I$1173</f>
        <v>0</v>
      </c>
      <c r="N216" s="268">
        <f>Input!$I$1174</f>
        <v>0</v>
      </c>
      <c r="O216" s="268">
        <f>Input!$I$1175</f>
        <v>0</v>
      </c>
      <c r="P216" s="268">
        <f>Input!$I$1176</f>
        <v>0</v>
      </c>
      <c r="Q216" s="268">
        <f>Input!$I$1177</f>
        <v>0</v>
      </c>
      <c r="R216" s="268">
        <f>Input!$I$1178</f>
        <v>0</v>
      </c>
      <c r="S216" s="268">
        <f>Input!$I$1179</f>
        <v>0</v>
      </c>
      <c r="T216" s="268">
        <f>Input!$I$1180</f>
        <v>0</v>
      </c>
      <c r="U216" s="1595">
        <f>Input!$I$1181</f>
        <v>0</v>
      </c>
      <c r="V216" s="1595">
        <f>Input!$I$1182</f>
        <v>0</v>
      </c>
      <c r="W216" s="1595">
        <f>Input!$I$1183</f>
        <v>0</v>
      </c>
      <c r="X216" s="1595">
        <f>Input!$I$1184</f>
        <v>0</v>
      </c>
      <c r="Y216" s="1595">
        <f>Input!$I$1185</f>
        <v>0</v>
      </c>
      <c r="Z216" s="1595">
        <f>Input!$I$1186</f>
        <v>0</v>
      </c>
      <c r="AA216" s="1595">
        <f>Input!$I$1187</f>
        <v>0</v>
      </c>
      <c r="AB216" s="1595">
        <f>Input!$I$1188</f>
        <v>0</v>
      </c>
      <c r="AC216" s="1595">
        <f>Input!$I$1189</f>
        <v>0</v>
      </c>
      <c r="AD216" s="1595">
        <f>Input!$I$1190</f>
        <v>0</v>
      </c>
      <c r="AE216" s="1595">
        <f>Input!$I$1191</f>
        <v>0</v>
      </c>
      <c r="AF216" s="1596">
        <f>Input!$I$1192</f>
        <v>0</v>
      </c>
      <c r="AG216" s="1596">
        <f>Input!$I$1193</f>
        <v>0</v>
      </c>
      <c r="AH216" s="1596">
        <f>Input!$I$1194</f>
        <v>0</v>
      </c>
      <c r="AI216" s="1596">
        <f>Input!$I$1195</f>
        <v>0</v>
      </c>
      <c r="AJ216" s="1596">
        <f>Input!$I$1196</f>
        <v>0</v>
      </c>
      <c r="AK216" s="1596">
        <f>Input!$I$1197</f>
        <v>0</v>
      </c>
      <c r="AL216" s="1596">
        <f>Input!$I$1198</f>
        <v>0</v>
      </c>
      <c r="AM216" s="1596">
        <f>Input!$I$1199</f>
        <v>0</v>
      </c>
      <c r="AN216" s="1596">
        <f>Input!$I$1200</f>
        <v>0</v>
      </c>
      <c r="AO216" s="1596">
        <f>Input!$I$1201</f>
        <v>0</v>
      </c>
      <c r="AP216" s="1596">
        <f>Input!$I$1202</f>
        <v>0</v>
      </c>
      <c r="AQ216" s="1596">
        <f>Input!$I$1203</f>
        <v>0</v>
      </c>
      <c r="AR216" s="1596">
        <f>Input!$I$1204</f>
        <v>0</v>
      </c>
      <c r="AS216" s="1596">
        <f>Input!$I$1205</f>
        <v>0</v>
      </c>
      <c r="AT216" s="1596">
        <f>Input!$I$1206</f>
        <v>0</v>
      </c>
      <c r="AU216" s="1596">
        <f>Input!$I$1207</f>
        <v>0</v>
      </c>
      <c r="AV216" s="1596">
        <f>Input!$I$1208</f>
        <v>0</v>
      </c>
      <c r="AW216" s="1596">
        <f>Input!$I$1209</f>
        <v>0</v>
      </c>
      <c r="AX216" s="1596">
        <f>Input!$I$1210</f>
        <v>0</v>
      </c>
      <c r="AY216" s="1596">
        <f>Input!$I$1211</f>
        <v>0</v>
      </c>
      <c r="AZ216" s="1596">
        <f>Input!$I$1212</f>
        <v>0</v>
      </c>
      <c r="BA216" s="1596">
        <f>Input!$I$1213</f>
        <v>0</v>
      </c>
      <c r="BB216" s="1596">
        <f>Input!$I$1214</f>
        <v>0</v>
      </c>
      <c r="BC216" s="1596">
        <f>Input!$I$1215</f>
        <v>0</v>
      </c>
      <c r="BD216" s="1596">
        <f>Input!$I$1216</f>
        <v>0</v>
      </c>
      <c r="BE216" s="1596">
        <f>Input!$I$1217</f>
        <v>0</v>
      </c>
      <c r="BF216" s="1596">
        <f>Input!$I$1218</f>
        <v>0</v>
      </c>
      <c r="BG216" s="1596">
        <f>Input!$I$1219</f>
        <v>0</v>
      </c>
      <c r="BH216" s="1596">
        <f>Input!$I$1220</f>
        <v>0</v>
      </c>
      <c r="BI216" s="1596">
        <f>Input!$I$1221</f>
        <v>0</v>
      </c>
      <c r="BJ216" s="1596">
        <f>Input!$I$1222</f>
        <v>0</v>
      </c>
      <c r="BK216" s="1596">
        <f>Input!$I$1223</f>
        <v>0</v>
      </c>
      <c r="BL216" s="1596">
        <f>Input!$I$1224</f>
        <v>0</v>
      </c>
      <c r="BM216" s="1596">
        <f>Input!$I$1225</f>
        <v>0</v>
      </c>
      <c r="BN216" s="1596">
        <f>Input!$I$1226</f>
        <v>0</v>
      </c>
      <c r="BO216" s="1596">
        <f>Input!$I$1227</f>
        <v>0</v>
      </c>
      <c r="BP216" s="1596">
        <f>Input!$I$1228</f>
        <v>0</v>
      </c>
      <c r="BQ216" s="1596">
        <f>Input!$I$1229</f>
        <v>0</v>
      </c>
      <c r="BR216" s="1596">
        <f>Input!$I$1230</f>
        <v>0</v>
      </c>
      <c r="BS216" s="1596">
        <f>Input!$I$1231</f>
        <v>0</v>
      </c>
      <c r="BT216" s="1171"/>
      <c r="BU216" s="1171"/>
      <c r="BV216" s="1171"/>
      <c r="BW216" s="1171"/>
      <c r="BX216" s="43"/>
      <c r="BY216" s="43"/>
    </row>
    <row r="217" spans="1:77" ht="12" customHeight="1" x14ac:dyDescent="0.35">
      <c r="A217" s="1439">
        <f t="shared" si="88"/>
        <v>46112</v>
      </c>
      <c r="B217" s="82">
        <v>63</v>
      </c>
      <c r="C217" s="1439">
        <f t="shared" si="91"/>
        <v>486</v>
      </c>
      <c r="D217" s="1449">
        <f>SUM(Input!W$1343:W1344)-E217</f>
        <v>0</v>
      </c>
      <c r="E217" s="1449">
        <f>SUM(Input!W$1343:W1344)*1/12</f>
        <v>0</v>
      </c>
      <c r="F217" s="82"/>
      <c r="G217" s="1446">
        <f>SUM(Input!D490:AB490)</f>
        <v>0</v>
      </c>
      <c r="H217" s="1446">
        <f>SUM(Input!D810:AB810)</f>
        <v>0</v>
      </c>
      <c r="I217" s="1448"/>
      <c r="J217" s="1448"/>
      <c r="K217" s="1601" t="str">
        <f>Input!$J$1171</f>
        <v>Item 7</v>
      </c>
      <c r="L217" s="268">
        <f>Input!$J$1172</f>
        <v>0</v>
      </c>
      <c r="M217" s="268">
        <f>Input!$J$1173</f>
        <v>0</v>
      </c>
      <c r="N217" s="268">
        <f>Input!$J$1174</f>
        <v>0</v>
      </c>
      <c r="O217" s="268">
        <f>Input!$J$1175</f>
        <v>0</v>
      </c>
      <c r="P217" s="268">
        <f>Input!$J$1176</f>
        <v>0</v>
      </c>
      <c r="Q217" s="268">
        <f>Input!$J$1177</f>
        <v>0</v>
      </c>
      <c r="R217" s="268">
        <f>Input!$J$1178</f>
        <v>0</v>
      </c>
      <c r="S217" s="268">
        <f>Input!$J$1179</f>
        <v>0</v>
      </c>
      <c r="T217" s="268">
        <f>Input!$J$1180</f>
        <v>0</v>
      </c>
      <c r="U217" s="1595">
        <f>Input!$J$1181</f>
        <v>0</v>
      </c>
      <c r="V217" s="1595">
        <f>Input!$J$1182</f>
        <v>0</v>
      </c>
      <c r="W217" s="1595">
        <f>Input!$J$1183</f>
        <v>0</v>
      </c>
      <c r="X217" s="1595">
        <f>Input!$J$1184</f>
        <v>0</v>
      </c>
      <c r="Y217" s="1595">
        <f>Input!$J$1185</f>
        <v>0</v>
      </c>
      <c r="Z217" s="1595">
        <f>Input!$J$1186</f>
        <v>0</v>
      </c>
      <c r="AA217" s="1595">
        <f>Input!$J$1187</f>
        <v>0</v>
      </c>
      <c r="AB217" s="1595">
        <f>Input!$J$1188</f>
        <v>0</v>
      </c>
      <c r="AC217" s="1595">
        <f>Input!$J$1189</f>
        <v>0</v>
      </c>
      <c r="AD217" s="1595">
        <f>Input!$J$1190</f>
        <v>0</v>
      </c>
      <c r="AE217" s="1595">
        <f>Input!$J$1191</f>
        <v>0</v>
      </c>
      <c r="AF217" s="1596">
        <f>Input!$J$1192</f>
        <v>0</v>
      </c>
      <c r="AG217" s="1596">
        <f>Input!$J$1193</f>
        <v>0</v>
      </c>
      <c r="AH217" s="1596">
        <f>Input!$J$1194</f>
        <v>0</v>
      </c>
      <c r="AI217" s="1596">
        <f>Input!$J$1195</f>
        <v>0</v>
      </c>
      <c r="AJ217" s="1596">
        <f>Input!$J$1196</f>
        <v>0</v>
      </c>
      <c r="AK217" s="1596">
        <f>Input!$J$1197</f>
        <v>0</v>
      </c>
      <c r="AL217" s="1596">
        <f>Input!$J$1198</f>
        <v>0</v>
      </c>
      <c r="AM217" s="1596">
        <f>Input!$J$1199</f>
        <v>0</v>
      </c>
      <c r="AN217" s="1596">
        <f>Input!$J$1200</f>
        <v>0</v>
      </c>
      <c r="AO217" s="1596">
        <f>Input!$J$1201</f>
        <v>0</v>
      </c>
      <c r="AP217" s="1596">
        <f>Input!$J$1202</f>
        <v>0</v>
      </c>
      <c r="AQ217" s="1596">
        <f>Input!$J$1203</f>
        <v>0</v>
      </c>
      <c r="AR217" s="1596">
        <f>Input!$J$1204</f>
        <v>0</v>
      </c>
      <c r="AS217" s="1596">
        <f>Input!$J$1205</f>
        <v>0</v>
      </c>
      <c r="AT217" s="1596">
        <f>Input!$J$1206</f>
        <v>0</v>
      </c>
      <c r="AU217" s="1596">
        <f>Input!$J$1207</f>
        <v>0</v>
      </c>
      <c r="AV217" s="1596">
        <f>Input!$J$1208</f>
        <v>0</v>
      </c>
      <c r="AW217" s="1596">
        <f>Input!$J$1209</f>
        <v>0</v>
      </c>
      <c r="AX217" s="1596">
        <f>Input!$J$1210</f>
        <v>0</v>
      </c>
      <c r="AY217" s="1596">
        <f>Input!$J$1211</f>
        <v>0</v>
      </c>
      <c r="AZ217" s="1596">
        <f>Input!$J$1212</f>
        <v>0</v>
      </c>
      <c r="BA217" s="1596">
        <f>Input!$J$1213</f>
        <v>0</v>
      </c>
      <c r="BB217" s="1596">
        <f>Input!$J$1214</f>
        <v>0</v>
      </c>
      <c r="BC217" s="1596">
        <f>Input!$J$1215</f>
        <v>0</v>
      </c>
      <c r="BD217" s="1596">
        <f>Input!$J$1216</f>
        <v>0</v>
      </c>
      <c r="BE217" s="1596">
        <f>Input!$J$1217</f>
        <v>0</v>
      </c>
      <c r="BF217" s="1596">
        <f>Input!$J$1218</f>
        <v>0</v>
      </c>
      <c r="BG217" s="1596">
        <f>Input!$J$1219</f>
        <v>0</v>
      </c>
      <c r="BH217" s="1596">
        <f>Input!$J$1220</f>
        <v>0</v>
      </c>
      <c r="BI217" s="1596">
        <f>Input!$J$1221</f>
        <v>0</v>
      </c>
      <c r="BJ217" s="1596">
        <f>Input!$J$1222</f>
        <v>0</v>
      </c>
      <c r="BK217" s="1596">
        <f>Input!$J$1223</f>
        <v>0</v>
      </c>
      <c r="BL217" s="1596">
        <f>Input!$J$1224</f>
        <v>0</v>
      </c>
      <c r="BM217" s="1596">
        <f>Input!$J$1225</f>
        <v>0</v>
      </c>
      <c r="BN217" s="1596">
        <f>Input!$J$1226</f>
        <v>0</v>
      </c>
      <c r="BO217" s="1596">
        <f>Input!$J$1227</f>
        <v>0</v>
      </c>
      <c r="BP217" s="1596">
        <f>Input!$J$1228</f>
        <v>0</v>
      </c>
      <c r="BQ217" s="1596">
        <f>Input!$J$1229</f>
        <v>0</v>
      </c>
      <c r="BR217" s="1596">
        <f>Input!$J$1230</f>
        <v>0</v>
      </c>
      <c r="BS217" s="1596">
        <f>Input!$J$1231</f>
        <v>0</v>
      </c>
      <c r="BT217" s="1171"/>
      <c r="BU217" s="1171"/>
      <c r="BV217" s="1171"/>
      <c r="BW217" s="1171"/>
      <c r="BX217" s="43"/>
      <c r="BY217" s="43"/>
    </row>
    <row r="218" spans="1:77" ht="12" customHeight="1" x14ac:dyDescent="0.35">
      <c r="A218" s="1439">
        <f t="shared" si="88"/>
        <v>46142</v>
      </c>
      <c r="B218" s="82">
        <v>64</v>
      </c>
      <c r="C218" s="1439">
        <f t="shared" si="91"/>
        <v>517</v>
      </c>
      <c r="D218" s="1449">
        <f>SUM(Input!W$1343:W1345)-E218</f>
        <v>0</v>
      </c>
      <c r="E218" s="1449">
        <f>SUM(Input!W$1343:W1345)*1/12</f>
        <v>0</v>
      </c>
      <c r="F218" s="82"/>
      <c r="G218" s="1446">
        <f>SUM(Input!D491:AB491)</f>
        <v>0</v>
      </c>
      <c r="H218" s="1446">
        <f>SUM(Input!D811:AB811)</f>
        <v>0</v>
      </c>
      <c r="I218" s="1448"/>
      <c r="J218" s="1448"/>
      <c r="K218" s="1601" t="str">
        <f>Input!$K$1171</f>
        <v>Item 8</v>
      </c>
      <c r="L218" s="268">
        <f>Input!$K$1172</f>
        <v>0</v>
      </c>
      <c r="M218" s="268">
        <f>Input!$K$1173</f>
        <v>0</v>
      </c>
      <c r="N218" s="268">
        <f>Input!$K$1174</f>
        <v>0</v>
      </c>
      <c r="O218" s="268">
        <f>Input!$K$1175</f>
        <v>0</v>
      </c>
      <c r="P218" s="268">
        <f>Input!$K$1176</f>
        <v>0</v>
      </c>
      <c r="Q218" s="268">
        <f>Input!$K$1177</f>
        <v>0</v>
      </c>
      <c r="R218" s="268">
        <f>Input!$K$1178</f>
        <v>0</v>
      </c>
      <c r="S218" s="268">
        <f>Input!$K$1179</f>
        <v>0</v>
      </c>
      <c r="T218" s="268">
        <f>Input!$K$1180</f>
        <v>0</v>
      </c>
      <c r="U218" s="1595">
        <f>Input!$K$1181</f>
        <v>0</v>
      </c>
      <c r="V218" s="1595">
        <f>Input!$K$1182</f>
        <v>0</v>
      </c>
      <c r="W218" s="1595">
        <f>Input!$K$1183</f>
        <v>0</v>
      </c>
      <c r="X218" s="1595">
        <f>Input!$K$1184</f>
        <v>0</v>
      </c>
      <c r="Y218" s="1595">
        <f>Input!$K$1185</f>
        <v>0</v>
      </c>
      <c r="Z218" s="1595">
        <f>Input!$K$1186</f>
        <v>0</v>
      </c>
      <c r="AA218" s="1595">
        <f>Input!$K$1187</f>
        <v>0</v>
      </c>
      <c r="AB218" s="1595">
        <f>Input!$K$1188</f>
        <v>0</v>
      </c>
      <c r="AC218" s="1595">
        <f>Input!$K$1189</f>
        <v>0</v>
      </c>
      <c r="AD218" s="1595">
        <f>Input!$K$1190</f>
        <v>0</v>
      </c>
      <c r="AE218" s="1595">
        <f>Input!$K$1191</f>
        <v>0</v>
      </c>
      <c r="AF218" s="1596">
        <f>Input!$K$1192</f>
        <v>0</v>
      </c>
      <c r="AG218" s="1596">
        <f>Input!$K$1193</f>
        <v>0</v>
      </c>
      <c r="AH218" s="1596">
        <f>Input!$K$1194</f>
        <v>0</v>
      </c>
      <c r="AI218" s="1596">
        <f>Input!$K$1195</f>
        <v>0</v>
      </c>
      <c r="AJ218" s="1596">
        <f>Input!$K$1196</f>
        <v>0</v>
      </c>
      <c r="AK218" s="1596">
        <f>Input!$K$1197</f>
        <v>0</v>
      </c>
      <c r="AL218" s="1596">
        <f>Input!$K$1198</f>
        <v>0</v>
      </c>
      <c r="AM218" s="1596">
        <f>Input!$K$1199</f>
        <v>0</v>
      </c>
      <c r="AN218" s="1596">
        <f>Input!$K$1200</f>
        <v>0</v>
      </c>
      <c r="AO218" s="1596">
        <f>Input!$K$1201</f>
        <v>0</v>
      </c>
      <c r="AP218" s="1596">
        <f>Input!$K$1202</f>
        <v>0</v>
      </c>
      <c r="AQ218" s="1596">
        <f>Input!$K$1203</f>
        <v>0</v>
      </c>
      <c r="AR218" s="1596">
        <f>Input!$K$1204</f>
        <v>0</v>
      </c>
      <c r="AS218" s="1596">
        <f>Input!$K$1205</f>
        <v>0</v>
      </c>
      <c r="AT218" s="1596">
        <f>Input!$K$1206</f>
        <v>0</v>
      </c>
      <c r="AU218" s="1596">
        <f>Input!$K$1207</f>
        <v>0</v>
      </c>
      <c r="AV218" s="1596">
        <f>Input!$K$1208</f>
        <v>0</v>
      </c>
      <c r="AW218" s="1596">
        <f>Input!$K$1209</f>
        <v>0</v>
      </c>
      <c r="AX218" s="1596">
        <f>Input!$K$1210</f>
        <v>0</v>
      </c>
      <c r="AY218" s="1596">
        <f>Input!$K$1211</f>
        <v>0</v>
      </c>
      <c r="AZ218" s="1596">
        <f>Input!$K$1212</f>
        <v>0</v>
      </c>
      <c r="BA218" s="1596">
        <f>Input!$K$1213</f>
        <v>0</v>
      </c>
      <c r="BB218" s="1596">
        <f>Input!$K$1214</f>
        <v>0</v>
      </c>
      <c r="BC218" s="1596">
        <f>Input!$K$1215</f>
        <v>0</v>
      </c>
      <c r="BD218" s="1596">
        <f>Input!$K$1216</f>
        <v>0</v>
      </c>
      <c r="BE218" s="1596">
        <f>Input!$K$1217</f>
        <v>0</v>
      </c>
      <c r="BF218" s="1596">
        <f>Input!$K$1218</f>
        <v>0</v>
      </c>
      <c r="BG218" s="1596">
        <f>Input!$K$1219</f>
        <v>0</v>
      </c>
      <c r="BH218" s="1596">
        <f>Input!$K$1220</f>
        <v>0</v>
      </c>
      <c r="BI218" s="1596">
        <f>Input!$K$1221</f>
        <v>0</v>
      </c>
      <c r="BJ218" s="1596">
        <f>Input!$K$1222</f>
        <v>0</v>
      </c>
      <c r="BK218" s="1596">
        <f>Input!$K$1223</f>
        <v>0</v>
      </c>
      <c r="BL218" s="1596">
        <f>Input!$K$1224</f>
        <v>0</v>
      </c>
      <c r="BM218" s="1596">
        <f>Input!$K$1225</f>
        <v>0</v>
      </c>
      <c r="BN218" s="1596">
        <f>Input!$K$1226</f>
        <v>0</v>
      </c>
      <c r="BO218" s="1596">
        <f>Input!$K$1227</f>
        <v>0</v>
      </c>
      <c r="BP218" s="1596">
        <f>Input!$K$1228</f>
        <v>0</v>
      </c>
      <c r="BQ218" s="1596">
        <f>Input!$K$1229</f>
        <v>0</v>
      </c>
      <c r="BR218" s="1596">
        <f>Input!$K$1230</f>
        <v>0</v>
      </c>
      <c r="BS218" s="1596">
        <f>Input!$K$1231</f>
        <v>0</v>
      </c>
      <c r="BT218" s="1171"/>
      <c r="BU218" s="1171"/>
      <c r="BV218" s="1171"/>
      <c r="BW218" s="1171"/>
      <c r="BX218" s="43"/>
      <c r="BY218" s="43"/>
    </row>
    <row r="219" spans="1:77" ht="12" customHeight="1" x14ac:dyDescent="0.35">
      <c r="A219" s="1439">
        <f t="shared" si="88"/>
        <v>46173</v>
      </c>
      <c r="B219" s="82">
        <v>65</v>
      </c>
      <c r="C219" s="1439">
        <f t="shared" si="91"/>
        <v>547</v>
      </c>
      <c r="D219" s="1449">
        <f>SUM(Input!W$1343:W1346)-E219</f>
        <v>0</v>
      </c>
      <c r="E219" s="1449">
        <f>SUM(Input!W$1343:W1346)*1/12</f>
        <v>0</v>
      </c>
      <c r="F219" s="82"/>
      <c r="G219" s="1446">
        <f>SUM(Input!D492:AB492)</f>
        <v>0</v>
      </c>
      <c r="H219" s="1446">
        <f>SUM(Input!D812:AB812)</f>
        <v>0</v>
      </c>
      <c r="I219" s="1448"/>
      <c r="J219" s="1448"/>
      <c r="K219" s="1601" t="str">
        <f>Input!$L$1171</f>
        <v>Item 9</v>
      </c>
      <c r="L219" s="268">
        <f>Input!$L$1172</f>
        <v>0</v>
      </c>
      <c r="M219" s="268">
        <f>Input!$L$1173</f>
        <v>0</v>
      </c>
      <c r="N219" s="268">
        <f>Input!$L$1174</f>
        <v>0</v>
      </c>
      <c r="O219" s="268">
        <f>Input!$L$1175</f>
        <v>0</v>
      </c>
      <c r="P219" s="268">
        <f>Input!$L$1176</f>
        <v>0</v>
      </c>
      <c r="Q219" s="268">
        <f>Input!$L$1177</f>
        <v>0</v>
      </c>
      <c r="R219" s="268">
        <f>Input!$L$1178</f>
        <v>0</v>
      </c>
      <c r="S219" s="268">
        <f>Input!$L$1179</f>
        <v>0</v>
      </c>
      <c r="T219" s="268">
        <f>Input!$L$1180</f>
        <v>0</v>
      </c>
      <c r="U219" s="1595">
        <f>Input!$L$1181</f>
        <v>0</v>
      </c>
      <c r="V219" s="1595">
        <f>Input!$L$1182</f>
        <v>0</v>
      </c>
      <c r="W219" s="1595">
        <f>Input!$L$1183</f>
        <v>0</v>
      </c>
      <c r="X219" s="1595">
        <f>Input!$L$1184</f>
        <v>0</v>
      </c>
      <c r="Y219" s="1595">
        <f>Input!$L$1185</f>
        <v>0</v>
      </c>
      <c r="Z219" s="1595">
        <f>Input!$L$1186</f>
        <v>0</v>
      </c>
      <c r="AA219" s="1595">
        <f>Input!$L$1187</f>
        <v>0</v>
      </c>
      <c r="AB219" s="1595">
        <f>Input!$L$1188</f>
        <v>0</v>
      </c>
      <c r="AC219" s="1595">
        <f>Input!$L$1189</f>
        <v>0</v>
      </c>
      <c r="AD219" s="1595">
        <f>Input!$L$1190</f>
        <v>0</v>
      </c>
      <c r="AE219" s="1595">
        <f>Input!$L$1191</f>
        <v>0</v>
      </c>
      <c r="AF219" s="1596">
        <f>Input!$L$1192</f>
        <v>0</v>
      </c>
      <c r="AG219" s="1596">
        <f>Input!$L$1193</f>
        <v>0</v>
      </c>
      <c r="AH219" s="1596">
        <f>Input!$L$1194</f>
        <v>0</v>
      </c>
      <c r="AI219" s="1596">
        <f>Input!$L$1195</f>
        <v>0</v>
      </c>
      <c r="AJ219" s="1596">
        <f>Input!$L$1196</f>
        <v>0</v>
      </c>
      <c r="AK219" s="1596">
        <f>Input!$L$1197</f>
        <v>0</v>
      </c>
      <c r="AL219" s="1596">
        <f>Input!$L$1198</f>
        <v>0</v>
      </c>
      <c r="AM219" s="1596">
        <f>Input!$L$1199</f>
        <v>0</v>
      </c>
      <c r="AN219" s="1596">
        <f>Input!$L$1200</f>
        <v>0</v>
      </c>
      <c r="AO219" s="1596">
        <f>Input!$L$1201</f>
        <v>0</v>
      </c>
      <c r="AP219" s="1596">
        <f>Input!$L$1202</f>
        <v>0</v>
      </c>
      <c r="AQ219" s="1596">
        <f>Input!$L$1203</f>
        <v>0</v>
      </c>
      <c r="AR219" s="1596">
        <f>Input!$L$1204</f>
        <v>0</v>
      </c>
      <c r="AS219" s="1596">
        <f>Input!$L$1205</f>
        <v>0</v>
      </c>
      <c r="AT219" s="1596">
        <f>Input!$L$1206</f>
        <v>0</v>
      </c>
      <c r="AU219" s="1596">
        <f>Input!$L$1207</f>
        <v>0</v>
      </c>
      <c r="AV219" s="1596">
        <f>Input!$L$1208</f>
        <v>0</v>
      </c>
      <c r="AW219" s="1596">
        <f>Input!$L$1209</f>
        <v>0</v>
      </c>
      <c r="AX219" s="1596">
        <f>Input!$L$1210</f>
        <v>0</v>
      </c>
      <c r="AY219" s="1596">
        <f>Input!$L$1211</f>
        <v>0</v>
      </c>
      <c r="AZ219" s="1596">
        <f>Input!$L$1212</f>
        <v>0</v>
      </c>
      <c r="BA219" s="1596">
        <f>Input!$L$1213</f>
        <v>0</v>
      </c>
      <c r="BB219" s="1596">
        <f>Input!$L$1214</f>
        <v>0</v>
      </c>
      <c r="BC219" s="1596">
        <f>Input!$L$1215</f>
        <v>0</v>
      </c>
      <c r="BD219" s="1596">
        <f>Input!$L$1216</f>
        <v>0</v>
      </c>
      <c r="BE219" s="1596">
        <f>Input!$L$1217</f>
        <v>0</v>
      </c>
      <c r="BF219" s="1596">
        <f>Input!$L$1218</f>
        <v>0</v>
      </c>
      <c r="BG219" s="1596">
        <f>Input!$L$1219</f>
        <v>0</v>
      </c>
      <c r="BH219" s="1596">
        <f>Input!$L$1220</f>
        <v>0</v>
      </c>
      <c r="BI219" s="1596">
        <f>Input!$L$1221</f>
        <v>0</v>
      </c>
      <c r="BJ219" s="1596">
        <f>Input!$L$1222</f>
        <v>0</v>
      </c>
      <c r="BK219" s="1596">
        <f>Input!$L$1223</f>
        <v>0</v>
      </c>
      <c r="BL219" s="1596">
        <f>Input!$L$1224</f>
        <v>0</v>
      </c>
      <c r="BM219" s="1596">
        <f>Input!$L$1225</f>
        <v>0</v>
      </c>
      <c r="BN219" s="1596">
        <f>Input!$L$1226</f>
        <v>0</v>
      </c>
      <c r="BO219" s="1596">
        <f>Input!$L$1227</f>
        <v>0</v>
      </c>
      <c r="BP219" s="1596">
        <f>Input!$L$1228</f>
        <v>0</v>
      </c>
      <c r="BQ219" s="1596">
        <f>Input!$L$1229</f>
        <v>0</v>
      </c>
      <c r="BR219" s="1596">
        <f>Input!$L$1230</f>
        <v>0</v>
      </c>
      <c r="BS219" s="1596">
        <f>Input!$L$1231</f>
        <v>0</v>
      </c>
      <c r="BT219" s="1171"/>
      <c r="BU219" s="1171"/>
      <c r="BV219" s="1171"/>
      <c r="BW219" s="1171"/>
      <c r="BX219" s="43"/>
      <c r="BY219" s="43"/>
    </row>
    <row r="220" spans="1:77" ht="12" customHeight="1" x14ac:dyDescent="0.35">
      <c r="A220" s="1439">
        <f t="shared" si="88"/>
        <v>46203</v>
      </c>
      <c r="B220" s="82">
        <v>66</v>
      </c>
      <c r="C220" s="1439">
        <f t="shared" si="91"/>
        <v>578</v>
      </c>
      <c r="D220" s="1449">
        <f>SUM(Input!W$1343:W1347)-E220</f>
        <v>0</v>
      </c>
      <c r="E220" s="1449">
        <f>SUM(Input!W$1343:W1347)*1/12</f>
        <v>0</v>
      </c>
      <c r="F220" s="82"/>
      <c r="G220" s="1446">
        <f>SUM(Input!D493:AB493)</f>
        <v>0</v>
      </c>
      <c r="H220" s="1446">
        <f>SUM(Input!D813:AB813)</f>
        <v>0</v>
      </c>
      <c r="I220" s="1448"/>
      <c r="J220" s="1448"/>
      <c r="K220" s="1601" t="str">
        <f>Input!$M$1171</f>
        <v>Item 10</v>
      </c>
      <c r="L220" s="268">
        <f>Input!$M$1172</f>
        <v>0</v>
      </c>
      <c r="M220" s="268">
        <f>Input!$M$1173</f>
        <v>0</v>
      </c>
      <c r="N220" s="268">
        <f>Input!$M$1174</f>
        <v>0</v>
      </c>
      <c r="O220" s="268">
        <f>Input!$M$1175</f>
        <v>0</v>
      </c>
      <c r="P220" s="268">
        <f>Input!$M$1176</f>
        <v>0</v>
      </c>
      <c r="Q220" s="268">
        <f>Input!$M$1177</f>
        <v>0</v>
      </c>
      <c r="R220" s="268">
        <f>Input!$M$1178</f>
        <v>0</v>
      </c>
      <c r="S220" s="268">
        <f>Input!$M$1179</f>
        <v>0</v>
      </c>
      <c r="T220" s="268">
        <f>Input!$M$1180</f>
        <v>0</v>
      </c>
      <c r="U220" s="1595">
        <f>Input!$M$1181</f>
        <v>0</v>
      </c>
      <c r="V220" s="1595">
        <f>Input!$M$1182</f>
        <v>0</v>
      </c>
      <c r="W220" s="1595">
        <f>Input!$M$1183</f>
        <v>0</v>
      </c>
      <c r="X220" s="1595">
        <f>Input!$M$1184</f>
        <v>0</v>
      </c>
      <c r="Y220" s="1595">
        <f>Input!$M$1185</f>
        <v>0</v>
      </c>
      <c r="Z220" s="1595">
        <f>Input!$M$1186</f>
        <v>0</v>
      </c>
      <c r="AA220" s="1595">
        <f>Input!$M$1187</f>
        <v>0</v>
      </c>
      <c r="AB220" s="1595">
        <f>Input!$M$1188</f>
        <v>0</v>
      </c>
      <c r="AC220" s="1595">
        <f>Input!$M$1189</f>
        <v>0</v>
      </c>
      <c r="AD220" s="1595">
        <f>Input!$M$1190</f>
        <v>0</v>
      </c>
      <c r="AE220" s="1595">
        <f>Input!$M$1191</f>
        <v>0</v>
      </c>
      <c r="AF220" s="1596">
        <f>Input!$M$1192</f>
        <v>0</v>
      </c>
      <c r="AG220" s="1596">
        <f>Input!$M$1193</f>
        <v>0</v>
      </c>
      <c r="AH220" s="1596">
        <f>Input!$M$1194</f>
        <v>0</v>
      </c>
      <c r="AI220" s="1596">
        <f>Input!$M$1195</f>
        <v>0</v>
      </c>
      <c r="AJ220" s="1596">
        <f>Input!$M$1196</f>
        <v>0</v>
      </c>
      <c r="AK220" s="1596">
        <f>Input!$M$1197</f>
        <v>0</v>
      </c>
      <c r="AL220" s="1596">
        <f>Input!$M$1198</f>
        <v>0</v>
      </c>
      <c r="AM220" s="1596">
        <f>Input!$M$1199</f>
        <v>0</v>
      </c>
      <c r="AN220" s="1596">
        <f>Input!$M$1200</f>
        <v>0</v>
      </c>
      <c r="AO220" s="1596">
        <f>Input!$M$1201</f>
        <v>0</v>
      </c>
      <c r="AP220" s="1596">
        <f>Input!$M$1202</f>
        <v>0</v>
      </c>
      <c r="AQ220" s="1596">
        <f>Input!$M$1203</f>
        <v>0</v>
      </c>
      <c r="AR220" s="1596">
        <f>Input!$M$1204</f>
        <v>0</v>
      </c>
      <c r="AS220" s="1596">
        <f>Input!$M$1205</f>
        <v>0</v>
      </c>
      <c r="AT220" s="1596">
        <f>Input!$M$1206</f>
        <v>0</v>
      </c>
      <c r="AU220" s="1596">
        <f>Input!$M$1207</f>
        <v>0</v>
      </c>
      <c r="AV220" s="1596">
        <f>Input!$M$1208</f>
        <v>0</v>
      </c>
      <c r="AW220" s="1596">
        <f>Input!$M$1209</f>
        <v>0</v>
      </c>
      <c r="AX220" s="1596">
        <f>Input!$M$1210</f>
        <v>0</v>
      </c>
      <c r="AY220" s="1596">
        <f>Input!$M$1211</f>
        <v>0</v>
      </c>
      <c r="AZ220" s="1596">
        <f>Input!$M$1212</f>
        <v>0</v>
      </c>
      <c r="BA220" s="1596">
        <f>Input!$M$1213</f>
        <v>0</v>
      </c>
      <c r="BB220" s="1596">
        <f>Input!$M$1214</f>
        <v>0</v>
      </c>
      <c r="BC220" s="1596">
        <f>Input!$M$1215</f>
        <v>0</v>
      </c>
      <c r="BD220" s="1596">
        <f>Input!$M$1216</f>
        <v>0</v>
      </c>
      <c r="BE220" s="1596">
        <f>Input!$M$1217</f>
        <v>0</v>
      </c>
      <c r="BF220" s="1596">
        <f>Input!$M$1218</f>
        <v>0</v>
      </c>
      <c r="BG220" s="1596">
        <f>Input!$M$1219</f>
        <v>0</v>
      </c>
      <c r="BH220" s="1596">
        <f>Input!$M$1220</f>
        <v>0</v>
      </c>
      <c r="BI220" s="1596">
        <f>Input!$M$1221</f>
        <v>0</v>
      </c>
      <c r="BJ220" s="1596">
        <f>Input!$M$1222</f>
        <v>0</v>
      </c>
      <c r="BK220" s="1596">
        <f>Input!$M$1223</f>
        <v>0</v>
      </c>
      <c r="BL220" s="1596">
        <f>Input!$M$1224</f>
        <v>0</v>
      </c>
      <c r="BM220" s="1596">
        <f>Input!$M$1225</f>
        <v>0</v>
      </c>
      <c r="BN220" s="1596">
        <f>Input!$M$1226</f>
        <v>0</v>
      </c>
      <c r="BO220" s="1596">
        <f>Input!$M$1227</f>
        <v>0</v>
      </c>
      <c r="BP220" s="1596">
        <f>Input!$M$1228</f>
        <v>0</v>
      </c>
      <c r="BQ220" s="1596">
        <f>Input!$M$1229</f>
        <v>0</v>
      </c>
      <c r="BR220" s="1596">
        <f>Input!$M$1230</f>
        <v>0</v>
      </c>
      <c r="BS220" s="1596">
        <f>Input!$M$1231</f>
        <v>0</v>
      </c>
      <c r="BT220" s="1171"/>
      <c r="BU220" s="1171"/>
      <c r="BV220" s="1171"/>
      <c r="BW220" s="1171"/>
      <c r="BX220" s="43"/>
      <c r="BY220" s="43"/>
    </row>
    <row r="221" spans="1:77" ht="12" customHeight="1" x14ac:dyDescent="0.35">
      <c r="A221" s="1439">
        <f t="shared" ref="A221:A261" si="92">EOMONTH(A220,1)</f>
        <v>46234</v>
      </c>
      <c r="B221" s="82">
        <v>67</v>
      </c>
      <c r="C221" s="1439">
        <f t="shared" si="91"/>
        <v>609</v>
      </c>
      <c r="D221" s="1449">
        <f>SUM(Input!W$1343:W1348)-E221</f>
        <v>0</v>
      </c>
      <c r="E221" s="1449">
        <f>SUM(Input!W$1343:W1348)*1/12</f>
        <v>0</v>
      </c>
      <c r="F221" s="82"/>
      <c r="G221" s="1446">
        <f>SUM(Input!D494:AB494)</f>
        <v>0</v>
      </c>
      <c r="H221" s="1446">
        <f>SUM(Input!D814:AB814)</f>
        <v>0</v>
      </c>
      <c r="I221" s="1448"/>
      <c r="J221" s="1448"/>
      <c r="K221" s="1601" t="str">
        <f>Input!$N$1171</f>
        <v>Item 11</v>
      </c>
      <c r="L221" s="268">
        <f>Input!$N$1172</f>
        <v>0</v>
      </c>
      <c r="M221" s="268">
        <f>Input!$N$1173</f>
        <v>0</v>
      </c>
      <c r="N221" s="268">
        <f>Input!$N$1174</f>
        <v>0</v>
      </c>
      <c r="O221" s="268">
        <f>Input!$N$1175</f>
        <v>0</v>
      </c>
      <c r="P221" s="268">
        <f>Input!$N$1176</f>
        <v>0</v>
      </c>
      <c r="Q221" s="268">
        <f>Input!$N$1177</f>
        <v>0</v>
      </c>
      <c r="R221" s="268">
        <f>Input!$N$1178</f>
        <v>0</v>
      </c>
      <c r="S221" s="268">
        <f>Input!$N$1179</f>
        <v>0</v>
      </c>
      <c r="T221" s="268">
        <f>Input!$N$1180</f>
        <v>0</v>
      </c>
      <c r="U221" s="1595">
        <f>Input!$N$1181</f>
        <v>0</v>
      </c>
      <c r="V221" s="1595">
        <f>Input!$N$1182</f>
        <v>0</v>
      </c>
      <c r="W221" s="1595">
        <f>Input!$N$1183</f>
        <v>0</v>
      </c>
      <c r="X221" s="1595">
        <f>Input!$N$1184</f>
        <v>0</v>
      </c>
      <c r="Y221" s="1595">
        <f>Input!$N$1185</f>
        <v>0</v>
      </c>
      <c r="Z221" s="1595">
        <f>Input!$N$1186</f>
        <v>0</v>
      </c>
      <c r="AA221" s="1595">
        <f>Input!$N$1187</f>
        <v>0</v>
      </c>
      <c r="AB221" s="1595">
        <f>Input!$N$1188</f>
        <v>0</v>
      </c>
      <c r="AC221" s="1595">
        <f>Input!$N$1189</f>
        <v>0</v>
      </c>
      <c r="AD221" s="1595">
        <f>Input!$N$1190</f>
        <v>0</v>
      </c>
      <c r="AE221" s="1595">
        <f>Input!$N$1191</f>
        <v>0</v>
      </c>
      <c r="AF221" s="1596">
        <f>Input!$N$1192</f>
        <v>0</v>
      </c>
      <c r="AG221" s="1596">
        <f>Input!$N$1193</f>
        <v>0</v>
      </c>
      <c r="AH221" s="1596">
        <f>Input!$N$1194</f>
        <v>0</v>
      </c>
      <c r="AI221" s="1596">
        <f>Input!$N$1195</f>
        <v>0</v>
      </c>
      <c r="AJ221" s="1596">
        <f>Input!$N$1196</f>
        <v>0</v>
      </c>
      <c r="AK221" s="1596">
        <f>Input!$N$1197</f>
        <v>0</v>
      </c>
      <c r="AL221" s="1596">
        <f>Input!$N$1198</f>
        <v>0</v>
      </c>
      <c r="AM221" s="1596">
        <f>Input!$N$1199</f>
        <v>0</v>
      </c>
      <c r="AN221" s="1596">
        <f>Input!$N$1200</f>
        <v>0</v>
      </c>
      <c r="AO221" s="1596">
        <f>Input!$N$1201</f>
        <v>0</v>
      </c>
      <c r="AP221" s="1596">
        <f>Input!$N$1202</f>
        <v>0</v>
      </c>
      <c r="AQ221" s="1596">
        <f>Input!$N$1203</f>
        <v>0</v>
      </c>
      <c r="AR221" s="1596">
        <f>Input!$N$1204</f>
        <v>0</v>
      </c>
      <c r="AS221" s="1596">
        <f>Input!$N$1205</f>
        <v>0</v>
      </c>
      <c r="AT221" s="1596">
        <f>Input!$N$1206</f>
        <v>0</v>
      </c>
      <c r="AU221" s="1596">
        <f>Input!$N$1207</f>
        <v>0</v>
      </c>
      <c r="AV221" s="1596">
        <f>Input!$N$1208</f>
        <v>0</v>
      </c>
      <c r="AW221" s="1596">
        <f>Input!$N$1209</f>
        <v>0</v>
      </c>
      <c r="AX221" s="1596">
        <f>Input!$N$1210</f>
        <v>0</v>
      </c>
      <c r="AY221" s="1596">
        <f>Input!$N$1211</f>
        <v>0</v>
      </c>
      <c r="AZ221" s="1596">
        <f>Input!$N$1212</f>
        <v>0</v>
      </c>
      <c r="BA221" s="1596">
        <f>Input!$N$1213</f>
        <v>0</v>
      </c>
      <c r="BB221" s="1596">
        <f>Input!$N$1214</f>
        <v>0</v>
      </c>
      <c r="BC221" s="1596">
        <f>Input!$N$1215</f>
        <v>0</v>
      </c>
      <c r="BD221" s="1596">
        <f>Input!$N$1216</f>
        <v>0</v>
      </c>
      <c r="BE221" s="1596">
        <f>Input!$N$1217</f>
        <v>0</v>
      </c>
      <c r="BF221" s="1596">
        <f>Input!$N$1218</f>
        <v>0</v>
      </c>
      <c r="BG221" s="1596">
        <f>Input!$N$1219</f>
        <v>0</v>
      </c>
      <c r="BH221" s="1596">
        <f>Input!$N$1220</f>
        <v>0</v>
      </c>
      <c r="BI221" s="1596">
        <f>Input!$N$1221</f>
        <v>0</v>
      </c>
      <c r="BJ221" s="1596">
        <f>Input!$N$1222</f>
        <v>0</v>
      </c>
      <c r="BK221" s="1596">
        <f>Input!$N$1223</f>
        <v>0</v>
      </c>
      <c r="BL221" s="1596">
        <f>Input!$N$1224</f>
        <v>0</v>
      </c>
      <c r="BM221" s="1596">
        <f>Input!$N$1225</f>
        <v>0</v>
      </c>
      <c r="BN221" s="1596">
        <f>Input!$N$1226</f>
        <v>0</v>
      </c>
      <c r="BO221" s="1596">
        <f>Input!$N$1227</f>
        <v>0</v>
      </c>
      <c r="BP221" s="1596">
        <f>Input!$N$1228</f>
        <v>0</v>
      </c>
      <c r="BQ221" s="1596">
        <f>Input!$N$1229</f>
        <v>0</v>
      </c>
      <c r="BR221" s="1596">
        <f>Input!$N$1230</f>
        <v>0</v>
      </c>
      <c r="BS221" s="1596">
        <f>Input!$N$1231</f>
        <v>0</v>
      </c>
      <c r="BT221" s="1171"/>
      <c r="BU221" s="1171"/>
      <c r="BV221" s="1171"/>
      <c r="BW221" s="1171"/>
      <c r="BX221" s="43"/>
      <c r="BY221" s="43"/>
    </row>
    <row r="222" spans="1:77" ht="12" customHeight="1" x14ac:dyDescent="0.35">
      <c r="A222" s="1439">
        <f t="shared" si="92"/>
        <v>46265</v>
      </c>
      <c r="B222" s="82">
        <v>68</v>
      </c>
      <c r="C222" s="1439">
        <f t="shared" si="91"/>
        <v>639</v>
      </c>
      <c r="D222" s="1449">
        <f>SUM(Input!W$1343:W1349)-E222</f>
        <v>0</v>
      </c>
      <c r="E222" s="1449">
        <f>SUM(Input!W$1343:W1349)*1/12</f>
        <v>0</v>
      </c>
      <c r="F222" s="82"/>
      <c r="G222" s="1446">
        <f>SUM(Input!D495:AB495)</f>
        <v>0</v>
      </c>
      <c r="H222" s="1446">
        <f>SUM(Input!D815:AB815)</f>
        <v>0</v>
      </c>
      <c r="I222" s="1448"/>
      <c r="J222" s="1448"/>
      <c r="K222" s="1601" t="str">
        <f>Input!$O$1171</f>
        <v>Item 12</v>
      </c>
      <c r="L222" s="268">
        <f>Input!$O$1172</f>
        <v>0</v>
      </c>
      <c r="M222" s="268">
        <f>Input!$O$1173</f>
        <v>0</v>
      </c>
      <c r="N222" s="268">
        <f>Input!$O$1174</f>
        <v>0</v>
      </c>
      <c r="O222" s="268">
        <f>Input!$O$1175</f>
        <v>0</v>
      </c>
      <c r="P222" s="268">
        <f>Input!$O$1176</f>
        <v>0</v>
      </c>
      <c r="Q222" s="268">
        <f>Input!$O$1177</f>
        <v>0</v>
      </c>
      <c r="R222" s="268">
        <f>Input!$O$1178</f>
        <v>0</v>
      </c>
      <c r="S222" s="268">
        <f>Input!$O$1179</f>
        <v>0</v>
      </c>
      <c r="T222" s="268">
        <f>Input!$O$1180</f>
        <v>0</v>
      </c>
      <c r="U222" s="1595">
        <f>Input!$O$1181</f>
        <v>0</v>
      </c>
      <c r="V222" s="1595">
        <f>Input!$O$1182</f>
        <v>0</v>
      </c>
      <c r="W222" s="1595">
        <f>Input!$O$1183</f>
        <v>0</v>
      </c>
      <c r="X222" s="1595">
        <f>Input!$O$1184</f>
        <v>0</v>
      </c>
      <c r="Y222" s="1595">
        <f>Input!$O$1185</f>
        <v>0</v>
      </c>
      <c r="Z222" s="1595">
        <f>Input!$O$1186</f>
        <v>0</v>
      </c>
      <c r="AA222" s="1595">
        <f>Input!$O$1187</f>
        <v>0</v>
      </c>
      <c r="AB222" s="1595">
        <f>Input!$O$1188</f>
        <v>0</v>
      </c>
      <c r="AC222" s="1595">
        <f>Input!$O$1189</f>
        <v>0</v>
      </c>
      <c r="AD222" s="1595">
        <f>Input!$O$1190</f>
        <v>0</v>
      </c>
      <c r="AE222" s="1595">
        <f>Input!$O$1191</f>
        <v>0</v>
      </c>
      <c r="AF222" s="1596">
        <f>Input!$O$1192</f>
        <v>0</v>
      </c>
      <c r="AG222" s="1596">
        <f>Input!$O$1193</f>
        <v>0</v>
      </c>
      <c r="AH222" s="1596">
        <f>Input!$O$1194</f>
        <v>0</v>
      </c>
      <c r="AI222" s="1596">
        <f>Input!$O$1195</f>
        <v>0</v>
      </c>
      <c r="AJ222" s="1596">
        <f>Input!$O$1196</f>
        <v>0</v>
      </c>
      <c r="AK222" s="1596">
        <f>Input!$O$1197</f>
        <v>0</v>
      </c>
      <c r="AL222" s="1596">
        <f>Input!$O$1198</f>
        <v>0</v>
      </c>
      <c r="AM222" s="1596">
        <f>Input!$O$1199</f>
        <v>0</v>
      </c>
      <c r="AN222" s="1596">
        <f>Input!$O$1200</f>
        <v>0</v>
      </c>
      <c r="AO222" s="1596">
        <f>Input!$O$1201</f>
        <v>0</v>
      </c>
      <c r="AP222" s="1596">
        <f>Input!$O$1202</f>
        <v>0</v>
      </c>
      <c r="AQ222" s="1596">
        <f>Input!$O$1203</f>
        <v>0</v>
      </c>
      <c r="AR222" s="1596">
        <f>Input!$O$1204</f>
        <v>0</v>
      </c>
      <c r="AS222" s="1596">
        <f>Input!$O$1205</f>
        <v>0</v>
      </c>
      <c r="AT222" s="1596">
        <f>Input!$O$1206</f>
        <v>0</v>
      </c>
      <c r="AU222" s="1596">
        <f>Input!$O$1207</f>
        <v>0</v>
      </c>
      <c r="AV222" s="1596">
        <f>Input!$O$1208</f>
        <v>0</v>
      </c>
      <c r="AW222" s="1596">
        <f>Input!$O$1209</f>
        <v>0</v>
      </c>
      <c r="AX222" s="1596">
        <f>Input!$O$1210</f>
        <v>0</v>
      </c>
      <c r="AY222" s="1596">
        <f>Input!$O$1211</f>
        <v>0</v>
      </c>
      <c r="AZ222" s="1596">
        <f>Input!$O$1212</f>
        <v>0</v>
      </c>
      <c r="BA222" s="1596">
        <f>Input!$O$1213</f>
        <v>0</v>
      </c>
      <c r="BB222" s="1596">
        <f>Input!$O$1214</f>
        <v>0</v>
      </c>
      <c r="BC222" s="1596">
        <f>Input!$O$1215</f>
        <v>0</v>
      </c>
      <c r="BD222" s="1596">
        <f>Input!$O$1216</f>
        <v>0</v>
      </c>
      <c r="BE222" s="1596">
        <f>Input!$O$1217</f>
        <v>0</v>
      </c>
      <c r="BF222" s="1596">
        <f>Input!$O$1218</f>
        <v>0</v>
      </c>
      <c r="BG222" s="1596">
        <f>Input!$O$1219</f>
        <v>0</v>
      </c>
      <c r="BH222" s="1596">
        <f>Input!$O$1220</f>
        <v>0</v>
      </c>
      <c r="BI222" s="1596">
        <f>Input!$O$1221</f>
        <v>0</v>
      </c>
      <c r="BJ222" s="1596">
        <f>Input!$O$1222</f>
        <v>0</v>
      </c>
      <c r="BK222" s="1596">
        <f>Input!$O$1223</f>
        <v>0</v>
      </c>
      <c r="BL222" s="1596">
        <f>Input!$O$1224</f>
        <v>0</v>
      </c>
      <c r="BM222" s="1596">
        <f>Input!$O$1225</f>
        <v>0</v>
      </c>
      <c r="BN222" s="1596">
        <f>Input!$O$1226</f>
        <v>0</v>
      </c>
      <c r="BO222" s="1596">
        <f>Input!$O$1227</f>
        <v>0</v>
      </c>
      <c r="BP222" s="1596">
        <f>Input!$O$1228</f>
        <v>0</v>
      </c>
      <c r="BQ222" s="1596">
        <f>Input!$O$1229</f>
        <v>0</v>
      </c>
      <c r="BR222" s="1596">
        <f>Input!$O$1230</f>
        <v>0</v>
      </c>
      <c r="BS222" s="1596">
        <f>Input!$O$1231</f>
        <v>0</v>
      </c>
      <c r="BT222" s="1171"/>
      <c r="BU222" s="1171"/>
      <c r="BV222" s="1171"/>
      <c r="BW222" s="1171"/>
      <c r="BX222" s="43"/>
      <c r="BY222" s="43"/>
    </row>
    <row r="223" spans="1:77" ht="12" customHeight="1" x14ac:dyDescent="0.35">
      <c r="A223" s="1439">
        <f t="shared" si="92"/>
        <v>46295</v>
      </c>
      <c r="B223" s="82">
        <v>69</v>
      </c>
      <c r="C223" s="1439">
        <f t="shared" si="91"/>
        <v>670</v>
      </c>
      <c r="D223" s="1449">
        <f>SUM(Input!W$1343:W1350)-E223</f>
        <v>0</v>
      </c>
      <c r="E223" s="1449">
        <f>SUM(Input!W$1343:W1350)*1/12</f>
        <v>0</v>
      </c>
      <c r="F223" s="82"/>
      <c r="G223" s="1446">
        <f>SUM(Input!D496:AB496)</f>
        <v>0</v>
      </c>
      <c r="H223" s="1446">
        <f>SUM(Input!D816:AB816)</f>
        <v>0</v>
      </c>
      <c r="I223" s="1448"/>
      <c r="J223" s="1448"/>
      <c r="K223" s="1601" t="str">
        <f>Input!$P$1171</f>
        <v>Item 13</v>
      </c>
      <c r="L223" s="268">
        <f>Input!$P$1172</f>
        <v>0</v>
      </c>
      <c r="M223" s="268">
        <f>Input!$P$1173</f>
        <v>0</v>
      </c>
      <c r="N223" s="268">
        <f>Input!$P$1174</f>
        <v>0</v>
      </c>
      <c r="O223" s="268">
        <f>Input!$P$1175</f>
        <v>0</v>
      </c>
      <c r="P223" s="268">
        <f>Input!$P$1176</f>
        <v>0</v>
      </c>
      <c r="Q223" s="268">
        <f>Input!$P$1177</f>
        <v>0</v>
      </c>
      <c r="R223" s="268">
        <f>Input!$P$1178</f>
        <v>0</v>
      </c>
      <c r="S223" s="268">
        <f>Input!$P$1179</f>
        <v>0</v>
      </c>
      <c r="T223" s="268">
        <f>Input!$P$1180</f>
        <v>0</v>
      </c>
      <c r="U223" s="1595">
        <f>Input!$P$1181</f>
        <v>0</v>
      </c>
      <c r="V223" s="1595">
        <f>Input!$P$1182</f>
        <v>0</v>
      </c>
      <c r="W223" s="1595">
        <f>Input!$P$1183</f>
        <v>0</v>
      </c>
      <c r="X223" s="1595">
        <f>Input!$P$1184</f>
        <v>0</v>
      </c>
      <c r="Y223" s="1595">
        <f>Input!$P$1185</f>
        <v>0</v>
      </c>
      <c r="Z223" s="1595">
        <f>Input!$P$1186</f>
        <v>0</v>
      </c>
      <c r="AA223" s="1595">
        <f>Input!$P$1187</f>
        <v>0</v>
      </c>
      <c r="AB223" s="1595">
        <f>Input!$P$1188</f>
        <v>0</v>
      </c>
      <c r="AC223" s="1595">
        <f>Input!$P$1189</f>
        <v>0</v>
      </c>
      <c r="AD223" s="1595">
        <f>Input!$P$1190</f>
        <v>0</v>
      </c>
      <c r="AE223" s="1595">
        <f>Input!$P$1191</f>
        <v>0</v>
      </c>
      <c r="AF223" s="1596">
        <f>Input!$P$1192</f>
        <v>0</v>
      </c>
      <c r="AG223" s="1596">
        <f>Input!$P$1193</f>
        <v>0</v>
      </c>
      <c r="AH223" s="1596">
        <f>Input!$P$1194</f>
        <v>0</v>
      </c>
      <c r="AI223" s="1596">
        <f>Input!$P$1195</f>
        <v>0</v>
      </c>
      <c r="AJ223" s="1596">
        <f>Input!$P$1196</f>
        <v>0</v>
      </c>
      <c r="AK223" s="1596">
        <f>Input!$P$1197</f>
        <v>0</v>
      </c>
      <c r="AL223" s="1596">
        <f>Input!$P$1198</f>
        <v>0</v>
      </c>
      <c r="AM223" s="1596">
        <f>Input!$P$1199</f>
        <v>0</v>
      </c>
      <c r="AN223" s="1596">
        <f>Input!$P$1200</f>
        <v>0</v>
      </c>
      <c r="AO223" s="1596">
        <f>Input!$P$1201</f>
        <v>0</v>
      </c>
      <c r="AP223" s="1596">
        <f>Input!$P$1202</f>
        <v>0</v>
      </c>
      <c r="AQ223" s="1596">
        <f>Input!$P$1203</f>
        <v>0</v>
      </c>
      <c r="AR223" s="1596">
        <f>Input!$P$1204</f>
        <v>0</v>
      </c>
      <c r="AS223" s="1596">
        <f>Input!$P$1205</f>
        <v>0</v>
      </c>
      <c r="AT223" s="1596">
        <f>Input!$P$1206</f>
        <v>0</v>
      </c>
      <c r="AU223" s="1596">
        <f>Input!$P$1207</f>
        <v>0</v>
      </c>
      <c r="AV223" s="1596">
        <f>Input!$P$1208</f>
        <v>0</v>
      </c>
      <c r="AW223" s="1596">
        <f>Input!$P$1209</f>
        <v>0</v>
      </c>
      <c r="AX223" s="1596">
        <f>Input!$P$1210</f>
        <v>0</v>
      </c>
      <c r="AY223" s="1596">
        <f>Input!$P$1211</f>
        <v>0</v>
      </c>
      <c r="AZ223" s="1596">
        <f>Input!$P$1212</f>
        <v>0</v>
      </c>
      <c r="BA223" s="1596">
        <f>Input!$P$1213</f>
        <v>0</v>
      </c>
      <c r="BB223" s="1596">
        <f>Input!$P$1214</f>
        <v>0</v>
      </c>
      <c r="BC223" s="1596">
        <f>Input!$P$1215</f>
        <v>0</v>
      </c>
      <c r="BD223" s="1596">
        <f>Input!$P$1216</f>
        <v>0</v>
      </c>
      <c r="BE223" s="1596">
        <f>Input!$P$1217</f>
        <v>0</v>
      </c>
      <c r="BF223" s="1596">
        <f>Input!$P$1218</f>
        <v>0</v>
      </c>
      <c r="BG223" s="1596">
        <f>Input!$P$1219</f>
        <v>0</v>
      </c>
      <c r="BH223" s="1596">
        <f>Input!$P$1220</f>
        <v>0</v>
      </c>
      <c r="BI223" s="1596">
        <f>Input!$P$1221</f>
        <v>0</v>
      </c>
      <c r="BJ223" s="1596">
        <f>Input!$P$1222</f>
        <v>0</v>
      </c>
      <c r="BK223" s="1596">
        <f>Input!$P$1223</f>
        <v>0</v>
      </c>
      <c r="BL223" s="1596">
        <f>Input!$P$1224</f>
        <v>0</v>
      </c>
      <c r="BM223" s="1596">
        <f>Input!$P$1225</f>
        <v>0</v>
      </c>
      <c r="BN223" s="1596">
        <f>Input!$P$1226</f>
        <v>0</v>
      </c>
      <c r="BO223" s="1596">
        <f>Input!$P$1227</f>
        <v>0</v>
      </c>
      <c r="BP223" s="1596">
        <f>Input!$P$1228</f>
        <v>0</v>
      </c>
      <c r="BQ223" s="1596">
        <f>Input!$P$1229</f>
        <v>0</v>
      </c>
      <c r="BR223" s="1596">
        <f>Input!$P$1230</f>
        <v>0</v>
      </c>
      <c r="BS223" s="1596">
        <f>Input!$P$1231</f>
        <v>0</v>
      </c>
      <c r="BT223" s="1171"/>
      <c r="BU223" s="1171"/>
      <c r="BV223" s="1171"/>
      <c r="BW223" s="1171"/>
      <c r="BX223" s="43"/>
      <c r="BY223" s="43"/>
    </row>
    <row r="224" spans="1:77" ht="12" customHeight="1" x14ac:dyDescent="0.35">
      <c r="A224" s="1439">
        <f t="shared" si="92"/>
        <v>46326</v>
      </c>
      <c r="B224" s="82">
        <v>70</v>
      </c>
      <c r="C224" s="1439">
        <f t="shared" si="91"/>
        <v>700</v>
      </c>
      <c r="D224" s="1449">
        <f>SUM(Input!W$1343:W1351)-E224</f>
        <v>0</v>
      </c>
      <c r="E224" s="1449">
        <f>SUM(Input!W$1343:W1351)*1/12</f>
        <v>0</v>
      </c>
      <c r="F224" s="82"/>
      <c r="G224" s="1446">
        <f>SUM(Input!D497:AB497)</f>
        <v>0</v>
      </c>
      <c r="H224" s="1446">
        <f>SUM(Input!D817:AB817)</f>
        <v>0</v>
      </c>
      <c r="I224" s="1448"/>
      <c r="J224" s="1448"/>
      <c r="K224" s="1601" t="str">
        <f>Input!$Q$1171</f>
        <v>Item 14</v>
      </c>
      <c r="L224" s="268">
        <f>Input!$Q$1172</f>
        <v>0</v>
      </c>
      <c r="M224" s="268">
        <f>Input!$Q$1173</f>
        <v>0</v>
      </c>
      <c r="N224" s="268">
        <f>Input!$Q$1174</f>
        <v>0</v>
      </c>
      <c r="O224" s="268">
        <f>Input!$Q$1175</f>
        <v>0</v>
      </c>
      <c r="P224" s="268">
        <f>Input!$Q$1176</f>
        <v>0</v>
      </c>
      <c r="Q224" s="268">
        <f>Input!$Q$1177</f>
        <v>0</v>
      </c>
      <c r="R224" s="268">
        <f>Input!$Q$1178</f>
        <v>0</v>
      </c>
      <c r="S224" s="268">
        <f>Input!$Q$1179</f>
        <v>0</v>
      </c>
      <c r="T224" s="268">
        <f>Input!$Q$1180</f>
        <v>0</v>
      </c>
      <c r="U224" s="1595">
        <f>Input!$Q$1181</f>
        <v>0</v>
      </c>
      <c r="V224" s="1595">
        <f>Input!$Q$1182</f>
        <v>0</v>
      </c>
      <c r="W224" s="1595">
        <f>Input!$Q$1183</f>
        <v>0</v>
      </c>
      <c r="X224" s="1595">
        <f>Input!$Q$1184</f>
        <v>0</v>
      </c>
      <c r="Y224" s="1595">
        <f>Input!$Q$1185</f>
        <v>0</v>
      </c>
      <c r="Z224" s="1595">
        <f>Input!$Q$1186</f>
        <v>0</v>
      </c>
      <c r="AA224" s="1595">
        <f>Input!$Q$1187</f>
        <v>0</v>
      </c>
      <c r="AB224" s="1595">
        <f>Input!$Q$1188</f>
        <v>0</v>
      </c>
      <c r="AC224" s="1595">
        <f>Input!$Q$1189</f>
        <v>0</v>
      </c>
      <c r="AD224" s="1595">
        <f>Input!$Q$1190</f>
        <v>0</v>
      </c>
      <c r="AE224" s="1595">
        <f>Input!$Q$1191</f>
        <v>0</v>
      </c>
      <c r="AF224" s="1596">
        <f>Input!$Q$1192</f>
        <v>0</v>
      </c>
      <c r="AG224" s="1596">
        <f>Input!$Q$1193</f>
        <v>0</v>
      </c>
      <c r="AH224" s="1596">
        <f>Input!$Q$1194</f>
        <v>0</v>
      </c>
      <c r="AI224" s="1596">
        <f>Input!$Q$1195</f>
        <v>0</v>
      </c>
      <c r="AJ224" s="1596">
        <f>Input!$Q$1196</f>
        <v>0</v>
      </c>
      <c r="AK224" s="1596">
        <f>Input!$Q$1197</f>
        <v>0</v>
      </c>
      <c r="AL224" s="1596">
        <f>Input!$Q$1198</f>
        <v>0</v>
      </c>
      <c r="AM224" s="1596">
        <f>Input!$Q$1199</f>
        <v>0</v>
      </c>
      <c r="AN224" s="1596">
        <f>Input!$Q$1200</f>
        <v>0</v>
      </c>
      <c r="AO224" s="1596">
        <f>Input!$Q$1201</f>
        <v>0</v>
      </c>
      <c r="AP224" s="1596">
        <f>Input!$Q$1202</f>
        <v>0</v>
      </c>
      <c r="AQ224" s="1596">
        <f>Input!$Q$1203</f>
        <v>0</v>
      </c>
      <c r="AR224" s="1596">
        <f>Input!$Q$1204</f>
        <v>0</v>
      </c>
      <c r="AS224" s="1596">
        <f>Input!$Q$1205</f>
        <v>0</v>
      </c>
      <c r="AT224" s="1596">
        <f>Input!$Q$1206</f>
        <v>0</v>
      </c>
      <c r="AU224" s="1596">
        <f>Input!$Q$1207</f>
        <v>0</v>
      </c>
      <c r="AV224" s="1596">
        <f>Input!$Q$1208</f>
        <v>0</v>
      </c>
      <c r="AW224" s="1596">
        <f>Input!$Q$1209</f>
        <v>0</v>
      </c>
      <c r="AX224" s="1596">
        <f>Input!$Q$1210</f>
        <v>0</v>
      </c>
      <c r="AY224" s="1596">
        <f>Input!$Q$1211</f>
        <v>0</v>
      </c>
      <c r="AZ224" s="1596">
        <f>Input!$Q$1212</f>
        <v>0</v>
      </c>
      <c r="BA224" s="1596">
        <f>Input!$Q$1213</f>
        <v>0</v>
      </c>
      <c r="BB224" s="1596">
        <f>Input!$Q$1214</f>
        <v>0</v>
      </c>
      <c r="BC224" s="1596">
        <f>Input!$Q$1215</f>
        <v>0</v>
      </c>
      <c r="BD224" s="1596">
        <f>Input!$Q$1216</f>
        <v>0</v>
      </c>
      <c r="BE224" s="1596">
        <f>Input!$Q$1217</f>
        <v>0</v>
      </c>
      <c r="BF224" s="1596">
        <f>Input!$Q$1218</f>
        <v>0</v>
      </c>
      <c r="BG224" s="1596">
        <f>Input!$Q$1219</f>
        <v>0</v>
      </c>
      <c r="BH224" s="1596">
        <f>Input!$Q$1220</f>
        <v>0</v>
      </c>
      <c r="BI224" s="1596">
        <f>Input!$Q$1221</f>
        <v>0</v>
      </c>
      <c r="BJ224" s="1596">
        <f>Input!$Q$1222</f>
        <v>0</v>
      </c>
      <c r="BK224" s="1596">
        <f>Input!$Q$1223</f>
        <v>0</v>
      </c>
      <c r="BL224" s="1596">
        <f>Input!$Q$1224</f>
        <v>0</v>
      </c>
      <c r="BM224" s="1596">
        <f>Input!$Q$1225</f>
        <v>0</v>
      </c>
      <c r="BN224" s="1596">
        <f>Input!$Q$1226</f>
        <v>0</v>
      </c>
      <c r="BO224" s="1596">
        <f>Input!$Q$1227</f>
        <v>0</v>
      </c>
      <c r="BP224" s="1596">
        <f>Input!$Q$1228</f>
        <v>0</v>
      </c>
      <c r="BQ224" s="1596">
        <f>Input!$Q$1229</f>
        <v>0</v>
      </c>
      <c r="BR224" s="1596">
        <f>Input!$Q$1230</f>
        <v>0</v>
      </c>
      <c r="BS224" s="1596">
        <f>Input!$Q$1231</f>
        <v>0</v>
      </c>
      <c r="BT224" s="1171"/>
      <c r="BU224" s="1171"/>
      <c r="BV224" s="1171"/>
      <c r="BW224" s="1171"/>
      <c r="BX224" s="43"/>
      <c r="BY224" s="43"/>
    </row>
    <row r="225" spans="1:77" ht="12" customHeight="1" x14ac:dyDescent="0.35">
      <c r="A225" s="1439">
        <f t="shared" si="92"/>
        <v>46356</v>
      </c>
      <c r="B225" s="82">
        <v>71</v>
      </c>
      <c r="C225" s="1439">
        <f t="shared" si="91"/>
        <v>731</v>
      </c>
      <c r="D225" s="1449">
        <f>SUM(Input!W$1343:W1352)-E225</f>
        <v>0</v>
      </c>
      <c r="E225" s="1449">
        <f>SUM(Input!W$1343:W1352)*1/12</f>
        <v>0</v>
      </c>
      <c r="F225" s="82"/>
      <c r="G225" s="1446">
        <f>SUM(Input!D498:AB498)</f>
        <v>0</v>
      </c>
      <c r="H225" s="1446">
        <f>SUM(Input!D818:AB818)</f>
        <v>0</v>
      </c>
      <c r="I225" s="1448"/>
      <c r="J225" s="1448"/>
      <c r="K225" s="1601" t="str">
        <f>Input!$R$1171</f>
        <v>Item 15</v>
      </c>
      <c r="L225" s="268">
        <f>Input!$R$1172</f>
        <v>0</v>
      </c>
      <c r="M225" s="268">
        <f>Input!$R$1173</f>
        <v>0</v>
      </c>
      <c r="N225" s="268">
        <f>Input!$R$1174</f>
        <v>0</v>
      </c>
      <c r="O225" s="268">
        <f>Input!$R$1175</f>
        <v>0</v>
      </c>
      <c r="P225" s="268">
        <f>Input!$R$1176</f>
        <v>0</v>
      </c>
      <c r="Q225" s="268">
        <f>Input!$R$1177</f>
        <v>0</v>
      </c>
      <c r="R225" s="268">
        <f>Input!$R$1178</f>
        <v>0</v>
      </c>
      <c r="S225" s="268">
        <f>Input!$R$1179</f>
        <v>0</v>
      </c>
      <c r="T225" s="268">
        <f>Input!$R$1180</f>
        <v>0</v>
      </c>
      <c r="U225" s="1595">
        <f>Input!$R$1181</f>
        <v>0</v>
      </c>
      <c r="V225" s="1595">
        <f>Input!$R$1182</f>
        <v>0</v>
      </c>
      <c r="W225" s="1595">
        <f>Input!$R$1183</f>
        <v>0</v>
      </c>
      <c r="X225" s="1595">
        <f>Input!$R$1184</f>
        <v>0</v>
      </c>
      <c r="Y225" s="1595">
        <f>Input!$R$1185</f>
        <v>0</v>
      </c>
      <c r="Z225" s="1595">
        <f>Input!$R$1186</f>
        <v>0</v>
      </c>
      <c r="AA225" s="1595">
        <f>Input!$R$1187</f>
        <v>0</v>
      </c>
      <c r="AB225" s="1595">
        <f>Input!$R$1188</f>
        <v>0</v>
      </c>
      <c r="AC225" s="1595">
        <f>Input!$R$1189</f>
        <v>0</v>
      </c>
      <c r="AD225" s="1595">
        <f>Input!$R$1190</f>
        <v>0</v>
      </c>
      <c r="AE225" s="1595">
        <f>Input!$R$1191</f>
        <v>0</v>
      </c>
      <c r="AF225" s="1596">
        <f>Input!$R$1192</f>
        <v>0</v>
      </c>
      <c r="AG225" s="1596">
        <f>Input!$R$1193</f>
        <v>0</v>
      </c>
      <c r="AH225" s="1596">
        <f>Input!$R$1194</f>
        <v>0</v>
      </c>
      <c r="AI225" s="1596">
        <f>Input!$R$1195</f>
        <v>0</v>
      </c>
      <c r="AJ225" s="1596">
        <f>Input!$R$1196</f>
        <v>0</v>
      </c>
      <c r="AK225" s="1596">
        <f>Input!$R$1197</f>
        <v>0</v>
      </c>
      <c r="AL225" s="1596">
        <f>Input!$R$1198</f>
        <v>0</v>
      </c>
      <c r="AM225" s="1596">
        <f>Input!$R$1199</f>
        <v>0</v>
      </c>
      <c r="AN225" s="1596">
        <f>Input!$R$1200</f>
        <v>0</v>
      </c>
      <c r="AO225" s="1596">
        <f>Input!$R$1201</f>
        <v>0</v>
      </c>
      <c r="AP225" s="1596">
        <f>Input!$R$1202</f>
        <v>0</v>
      </c>
      <c r="AQ225" s="1596">
        <f>Input!$R$1203</f>
        <v>0</v>
      </c>
      <c r="AR225" s="1596">
        <f>Input!$R$1204</f>
        <v>0</v>
      </c>
      <c r="AS225" s="1596">
        <f>Input!$R$1205</f>
        <v>0</v>
      </c>
      <c r="AT225" s="1596">
        <f>Input!$R$1206</f>
        <v>0</v>
      </c>
      <c r="AU225" s="1596">
        <f>Input!$R$1207</f>
        <v>0</v>
      </c>
      <c r="AV225" s="1596">
        <f>Input!$R$1208</f>
        <v>0</v>
      </c>
      <c r="AW225" s="1596">
        <f>Input!$R$1209</f>
        <v>0</v>
      </c>
      <c r="AX225" s="1596">
        <f>Input!$R$1210</f>
        <v>0</v>
      </c>
      <c r="AY225" s="1596">
        <f>Input!$R$1211</f>
        <v>0</v>
      </c>
      <c r="AZ225" s="1596">
        <f>Input!$R$1212</f>
        <v>0</v>
      </c>
      <c r="BA225" s="1596">
        <f>Input!$R$1213</f>
        <v>0</v>
      </c>
      <c r="BB225" s="1596">
        <f>Input!$R$1214</f>
        <v>0</v>
      </c>
      <c r="BC225" s="1596">
        <f>Input!$R$1215</f>
        <v>0</v>
      </c>
      <c r="BD225" s="1596">
        <f>Input!$R$1216</f>
        <v>0</v>
      </c>
      <c r="BE225" s="1596">
        <f>Input!$R$1217</f>
        <v>0</v>
      </c>
      <c r="BF225" s="1596">
        <f>Input!$R$1218</f>
        <v>0</v>
      </c>
      <c r="BG225" s="1596">
        <f>Input!$R$1219</f>
        <v>0</v>
      </c>
      <c r="BH225" s="1596">
        <f>Input!$R$1220</f>
        <v>0</v>
      </c>
      <c r="BI225" s="1596">
        <f>Input!$R$1221</f>
        <v>0</v>
      </c>
      <c r="BJ225" s="1596">
        <f>Input!$R$1222</f>
        <v>0</v>
      </c>
      <c r="BK225" s="1596">
        <f>Input!$R$1223</f>
        <v>0</v>
      </c>
      <c r="BL225" s="1596">
        <f>Input!$R$1224</f>
        <v>0</v>
      </c>
      <c r="BM225" s="1596">
        <f>Input!$R$1225</f>
        <v>0</v>
      </c>
      <c r="BN225" s="1596">
        <f>Input!$R$1226</f>
        <v>0</v>
      </c>
      <c r="BO225" s="1596">
        <f>Input!$R$1227</f>
        <v>0</v>
      </c>
      <c r="BP225" s="1596">
        <f>Input!$R$1228</f>
        <v>0</v>
      </c>
      <c r="BQ225" s="1596">
        <f>Input!$R$1229</f>
        <v>0</v>
      </c>
      <c r="BR225" s="1596">
        <f>Input!$R$1230</f>
        <v>0</v>
      </c>
      <c r="BS225" s="1596">
        <f>Input!$R$1231</f>
        <v>0</v>
      </c>
      <c r="BT225" s="1171"/>
      <c r="BU225" s="1171"/>
      <c r="BV225" s="1171"/>
      <c r="BW225" s="1171"/>
      <c r="BX225" s="43"/>
      <c r="BY225" s="43"/>
    </row>
    <row r="226" spans="1:77" ht="12" customHeight="1" x14ac:dyDescent="0.35">
      <c r="A226" s="1439">
        <f t="shared" si="92"/>
        <v>46387</v>
      </c>
      <c r="B226" s="82">
        <v>72</v>
      </c>
      <c r="C226" s="1439">
        <f t="shared" si="91"/>
        <v>762</v>
      </c>
      <c r="D226" s="1449">
        <f>SUM(Input!W$1343:W1353)-E226</f>
        <v>0</v>
      </c>
      <c r="E226" s="1449">
        <f>SUM(Input!W$1343:W1353)*1/12</f>
        <v>0</v>
      </c>
      <c r="F226" s="82"/>
      <c r="G226" s="1446">
        <f>SUM(Input!D499:AB499)</f>
        <v>0</v>
      </c>
      <c r="H226" s="1446">
        <f>SUM(Input!D819:AB819)</f>
        <v>0</v>
      </c>
      <c r="I226" s="1448"/>
      <c r="J226" s="1448"/>
      <c r="K226" s="1601" t="str">
        <f>Input!$S$1171</f>
        <v>Item 16</v>
      </c>
      <c r="L226" s="268">
        <f>Input!$S$1172</f>
        <v>0</v>
      </c>
      <c r="M226" s="268">
        <f>Input!$S$1173</f>
        <v>0</v>
      </c>
      <c r="N226" s="268">
        <f>Input!$S$1174</f>
        <v>0</v>
      </c>
      <c r="O226" s="268">
        <f>Input!$S$1175</f>
        <v>0</v>
      </c>
      <c r="P226" s="268">
        <f>Input!$S$1176</f>
        <v>0</v>
      </c>
      <c r="Q226" s="268">
        <f>Input!$S$1177</f>
        <v>0</v>
      </c>
      <c r="R226" s="268">
        <f>Input!$S$1178</f>
        <v>0</v>
      </c>
      <c r="S226" s="268">
        <f>Input!$S$1179</f>
        <v>0</v>
      </c>
      <c r="T226" s="268">
        <f>Input!$S$1180</f>
        <v>0</v>
      </c>
      <c r="U226" s="1595">
        <f>Input!$S$1181</f>
        <v>0</v>
      </c>
      <c r="V226" s="1595">
        <f>Input!$S$1182</f>
        <v>0</v>
      </c>
      <c r="W226" s="1595">
        <f>Input!$S$1183</f>
        <v>0</v>
      </c>
      <c r="X226" s="1595">
        <f>Input!$S$1184</f>
        <v>0</v>
      </c>
      <c r="Y226" s="1595">
        <f>Input!$S$1185</f>
        <v>0</v>
      </c>
      <c r="Z226" s="1595">
        <f>Input!$S$1186</f>
        <v>0</v>
      </c>
      <c r="AA226" s="1595">
        <f>Input!$S$1187</f>
        <v>0</v>
      </c>
      <c r="AB226" s="1595">
        <f>Input!$S$1188</f>
        <v>0</v>
      </c>
      <c r="AC226" s="1595">
        <f>Input!$S$1189</f>
        <v>0</v>
      </c>
      <c r="AD226" s="1595">
        <f>Input!$S$1190</f>
        <v>0</v>
      </c>
      <c r="AE226" s="1595">
        <f>Input!$S$1191</f>
        <v>0</v>
      </c>
      <c r="AF226" s="1596">
        <f>Input!$S$1192</f>
        <v>0</v>
      </c>
      <c r="AG226" s="1596">
        <f>Input!$S$1193</f>
        <v>0</v>
      </c>
      <c r="AH226" s="1596">
        <f>Input!$S$1194</f>
        <v>0</v>
      </c>
      <c r="AI226" s="1596">
        <f>Input!$S$1195</f>
        <v>0</v>
      </c>
      <c r="AJ226" s="1596">
        <f>Input!$S$1196</f>
        <v>0</v>
      </c>
      <c r="AK226" s="1596">
        <f>Input!$S$1197</f>
        <v>0</v>
      </c>
      <c r="AL226" s="1596">
        <f>Input!$S$1198</f>
        <v>0</v>
      </c>
      <c r="AM226" s="1596">
        <f>Input!$S$1199</f>
        <v>0</v>
      </c>
      <c r="AN226" s="1596">
        <f>Input!$S$1200</f>
        <v>0</v>
      </c>
      <c r="AO226" s="1596">
        <f>Input!$S$1201</f>
        <v>0</v>
      </c>
      <c r="AP226" s="1596">
        <f>Input!$S$1202</f>
        <v>0</v>
      </c>
      <c r="AQ226" s="1596">
        <f>Input!$S$1203</f>
        <v>0</v>
      </c>
      <c r="AR226" s="1596">
        <f>Input!$S$1204</f>
        <v>0</v>
      </c>
      <c r="AS226" s="1596">
        <f>Input!$S$1205</f>
        <v>0</v>
      </c>
      <c r="AT226" s="1596">
        <f>Input!$S$1206</f>
        <v>0</v>
      </c>
      <c r="AU226" s="1596">
        <f>Input!$S$1207</f>
        <v>0</v>
      </c>
      <c r="AV226" s="1596">
        <f>Input!$S$1208</f>
        <v>0</v>
      </c>
      <c r="AW226" s="1596">
        <f>Input!$S$1209</f>
        <v>0</v>
      </c>
      <c r="AX226" s="1596">
        <f>Input!$S$1210</f>
        <v>0</v>
      </c>
      <c r="AY226" s="1596">
        <f>Input!$S$1211</f>
        <v>0</v>
      </c>
      <c r="AZ226" s="1596">
        <f>Input!$S$1212</f>
        <v>0</v>
      </c>
      <c r="BA226" s="1596">
        <f>Input!$S$1213</f>
        <v>0</v>
      </c>
      <c r="BB226" s="1596">
        <f>Input!$S$1214</f>
        <v>0</v>
      </c>
      <c r="BC226" s="1596">
        <f>Input!$S$1215</f>
        <v>0</v>
      </c>
      <c r="BD226" s="1596">
        <f>Input!$S$1216</f>
        <v>0</v>
      </c>
      <c r="BE226" s="1596">
        <f>Input!$S$1217</f>
        <v>0</v>
      </c>
      <c r="BF226" s="1596">
        <f>Input!$S$1218</f>
        <v>0</v>
      </c>
      <c r="BG226" s="1596">
        <f>Input!$S$1219</f>
        <v>0</v>
      </c>
      <c r="BH226" s="1596">
        <f>Input!$S$1220</f>
        <v>0</v>
      </c>
      <c r="BI226" s="1596">
        <f>Input!$S$1221</f>
        <v>0</v>
      </c>
      <c r="BJ226" s="1596">
        <f>Input!$S$1222</f>
        <v>0</v>
      </c>
      <c r="BK226" s="1596">
        <f>Input!$S$1223</f>
        <v>0</v>
      </c>
      <c r="BL226" s="1596">
        <f>Input!$S$1224</f>
        <v>0</v>
      </c>
      <c r="BM226" s="1596">
        <f>Input!$S$1225</f>
        <v>0</v>
      </c>
      <c r="BN226" s="1596">
        <f>Input!$S$1226</f>
        <v>0</v>
      </c>
      <c r="BO226" s="1596">
        <f>Input!$S$1227</f>
        <v>0</v>
      </c>
      <c r="BP226" s="1596">
        <f>Input!$S$1228</f>
        <v>0</v>
      </c>
      <c r="BQ226" s="1596">
        <f>Input!$S$1229</f>
        <v>0</v>
      </c>
      <c r="BR226" s="1596">
        <f>Input!$S$1230</f>
        <v>0</v>
      </c>
      <c r="BS226" s="1596">
        <f>Input!$S$1231</f>
        <v>0</v>
      </c>
      <c r="BT226" s="1171"/>
      <c r="BU226" s="1171"/>
      <c r="BV226" s="1171"/>
      <c r="BW226" s="1171"/>
      <c r="BX226" s="43"/>
      <c r="BY226" s="43"/>
    </row>
    <row r="227" spans="1:77" ht="12" customHeight="1" x14ac:dyDescent="0.35">
      <c r="A227" s="1439">
        <f t="shared" si="92"/>
        <v>46418</v>
      </c>
      <c r="B227" s="82">
        <v>73</v>
      </c>
      <c r="C227" s="1439">
        <f t="shared" si="91"/>
        <v>790</v>
      </c>
      <c r="D227" s="1449">
        <f>SUM(Input!W$1343:W1354)-E227</f>
        <v>0</v>
      </c>
      <c r="E227" s="1449">
        <f>SUM(Input!W$1343:W1354)*1/12</f>
        <v>0</v>
      </c>
      <c r="F227" s="82"/>
      <c r="G227" s="1446">
        <f>SUM(Input!D500:AB500)</f>
        <v>0</v>
      </c>
      <c r="H227" s="1446">
        <f>SUM(Input!D820:AB820)</f>
        <v>0</v>
      </c>
      <c r="I227" s="1448"/>
      <c r="J227" s="1448"/>
      <c r="K227" s="1601" t="str">
        <f>Input!$T$1171</f>
        <v>Item 17</v>
      </c>
      <c r="L227" s="268">
        <f>Input!$T$1172</f>
        <v>0</v>
      </c>
      <c r="M227" s="268">
        <f>Input!$T$1173</f>
        <v>0</v>
      </c>
      <c r="N227" s="268">
        <f>Input!$T$1174</f>
        <v>0</v>
      </c>
      <c r="O227" s="268">
        <f>Input!$T$1175</f>
        <v>0</v>
      </c>
      <c r="P227" s="268">
        <f>Input!$T$1176</f>
        <v>0</v>
      </c>
      <c r="Q227" s="268">
        <f>Input!$T$1177</f>
        <v>0</v>
      </c>
      <c r="R227" s="268">
        <f>Input!$T$1178</f>
        <v>0</v>
      </c>
      <c r="S227" s="268">
        <f>Input!$T$1179</f>
        <v>0</v>
      </c>
      <c r="T227" s="268">
        <f>Input!$T$1180</f>
        <v>0</v>
      </c>
      <c r="U227" s="1595">
        <f>Input!$T$1181</f>
        <v>0</v>
      </c>
      <c r="V227" s="1595">
        <f>Input!$T$1182</f>
        <v>0</v>
      </c>
      <c r="W227" s="1595">
        <f>Input!$T$1183</f>
        <v>0</v>
      </c>
      <c r="X227" s="1595">
        <f>Input!$T$1184</f>
        <v>0</v>
      </c>
      <c r="Y227" s="1595">
        <f>Input!$T$1185</f>
        <v>0</v>
      </c>
      <c r="Z227" s="1595">
        <f>Input!$T$1186</f>
        <v>0</v>
      </c>
      <c r="AA227" s="1595">
        <f>Input!$T$1187</f>
        <v>0</v>
      </c>
      <c r="AB227" s="1595">
        <f>Input!$T$1188</f>
        <v>0</v>
      </c>
      <c r="AC227" s="1595">
        <f>Input!$T$1189</f>
        <v>0</v>
      </c>
      <c r="AD227" s="1595">
        <f>Input!$T$1190</f>
        <v>0</v>
      </c>
      <c r="AE227" s="1595">
        <f>Input!$T$1191</f>
        <v>0</v>
      </c>
      <c r="AF227" s="1596">
        <f>Input!$T$1192</f>
        <v>0</v>
      </c>
      <c r="AG227" s="1596">
        <f>Input!$T$1193</f>
        <v>0</v>
      </c>
      <c r="AH227" s="1596">
        <f>Input!$T$1194</f>
        <v>0</v>
      </c>
      <c r="AI227" s="1596">
        <f>Input!$T$1195</f>
        <v>0</v>
      </c>
      <c r="AJ227" s="1596">
        <f>Input!$T$1196</f>
        <v>0</v>
      </c>
      <c r="AK227" s="1596">
        <f>Input!$T$1197</f>
        <v>0</v>
      </c>
      <c r="AL227" s="1596">
        <f>Input!$T$1198</f>
        <v>0</v>
      </c>
      <c r="AM227" s="1596">
        <f>Input!$T$1199</f>
        <v>0</v>
      </c>
      <c r="AN227" s="1596">
        <f>Input!$T$1200</f>
        <v>0</v>
      </c>
      <c r="AO227" s="1596">
        <f>Input!$T$1201</f>
        <v>0</v>
      </c>
      <c r="AP227" s="1596">
        <f>Input!$T$1202</f>
        <v>0</v>
      </c>
      <c r="AQ227" s="1596">
        <f>Input!$T$1203</f>
        <v>0</v>
      </c>
      <c r="AR227" s="1596">
        <f>Input!$T$1204</f>
        <v>0</v>
      </c>
      <c r="AS227" s="1596">
        <f>Input!$T$1205</f>
        <v>0</v>
      </c>
      <c r="AT227" s="1596">
        <f>Input!$T$1206</f>
        <v>0</v>
      </c>
      <c r="AU227" s="1596">
        <f>Input!$T$1207</f>
        <v>0</v>
      </c>
      <c r="AV227" s="1596">
        <f>Input!$T$1208</f>
        <v>0</v>
      </c>
      <c r="AW227" s="1596">
        <f>Input!$T$1209</f>
        <v>0</v>
      </c>
      <c r="AX227" s="1596">
        <f>Input!$T$1210</f>
        <v>0</v>
      </c>
      <c r="AY227" s="1596">
        <f>Input!$T$1211</f>
        <v>0</v>
      </c>
      <c r="AZ227" s="1596">
        <f>Input!$T$1212</f>
        <v>0</v>
      </c>
      <c r="BA227" s="1596">
        <f>Input!$T$1213</f>
        <v>0</v>
      </c>
      <c r="BB227" s="1596">
        <f>Input!$T$1214</f>
        <v>0</v>
      </c>
      <c r="BC227" s="1596">
        <f>Input!$T$1215</f>
        <v>0</v>
      </c>
      <c r="BD227" s="1596">
        <f>Input!$T$1216</f>
        <v>0</v>
      </c>
      <c r="BE227" s="1596">
        <f>Input!$T$1217</f>
        <v>0</v>
      </c>
      <c r="BF227" s="1596">
        <f>Input!$T$1218</f>
        <v>0</v>
      </c>
      <c r="BG227" s="1596">
        <f>Input!$T$1219</f>
        <v>0</v>
      </c>
      <c r="BH227" s="1596">
        <f>Input!$T$1220</f>
        <v>0</v>
      </c>
      <c r="BI227" s="1596">
        <f>Input!$T$1221</f>
        <v>0</v>
      </c>
      <c r="BJ227" s="1596">
        <f>Input!$T$1222</f>
        <v>0</v>
      </c>
      <c r="BK227" s="1596">
        <f>Input!$T$1223</f>
        <v>0</v>
      </c>
      <c r="BL227" s="1596">
        <f>Input!$T$1224</f>
        <v>0</v>
      </c>
      <c r="BM227" s="1596">
        <f>Input!$T$1225</f>
        <v>0</v>
      </c>
      <c r="BN227" s="1596">
        <f>Input!$T$1226</f>
        <v>0</v>
      </c>
      <c r="BO227" s="1596">
        <f>Input!$T$1227</f>
        <v>0</v>
      </c>
      <c r="BP227" s="1596">
        <f>Input!$T$1228</f>
        <v>0</v>
      </c>
      <c r="BQ227" s="1596">
        <f>Input!$T$1229</f>
        <v>0</v>
      </c>
      <c r="BR227" s="1596">
        <f>Input!$T$1230</f>
        <v>0</v>
      </c>
      <c r="BS227" s="1596">
        <f>Input!$T$1231</f>
        <v>0</v>
      </c>
      <c r="BT227" s="1171"/>
      <c r="BU227" s="1171"/>
      <c r="BV227" s="1171"/>
      <c r="BW227" s="1171"/>
      <c r="BX227" s="43"/>
      <c r="BY227" s="43"/>
    </row>
    <row r="228" spans="1:77" ht="12" customHeight="1" x14ac:dyDescent="0.35">
      <c r="A228" s="1439">
        <f t="shared" si="92"/>
        <v>46446</v>
      </c>
      <c r="B228" s="82">
        <v>74</v>
      </c>
      <c r="C228" s="1439">
        <f t="shared" si="91"/>
        <v>821</v>
      </c>
      <c r="D228" s="1449">
        <f>SUM(Input!W$1343:W1355)-E228</f>
        <v>0</v>
      </c>
      <c r="E228" s="1449">
        <f>SUM(Input!W1344:W1355)*1/12</f>
        <v>0</v>
      </c>
      <c r="F228" s="82"/>
      <c r="G228" s="1446">
        <f>SUM(Input!D501:AB501)</f>
        <v>0</v>
      </c>
      <c r="H228" s="1446">
        <f>SUM(Input!D821:AB821)</f>
        <v>0</v>
      </c>
      <c r="I228" s="1448"/>
      <c r="J228" s="1448"/>
      <c r="K228" s="1601" t="str">
        <f>Input!$U$1171</f>
        <v>Item 18</v>
      </c>
      <c r="L228" s="268">
        <f>Input!$U$1172</f>
        <v>0</v>
      </c>
      <c r="M228" s="268">
        <f>Input!$U$1173</f>
        <v>0</v>
      </c>
      <c r="N228" s="268">
        <f>Input!$U$1174</f>
        <v>0</v>
      </c>
      <c r="O228" s="268">
        <f>Input!$U$1175</f>
        <v>0</v>
      </c>
      <c r="P228" s="268">
        <f>Input!$U$1176</f>
        <v>0</v>
      </c>
      <c r="Q228" s="268">
        <f>Input!$U$1177</f>
        <v>0</v>
      </c>
      <c r="R228" s="268">
        <f>Input!$U$1178</f>
        <v>0</v>
      </c>
      <c r="S228" s="268">
        <f>Input!$U$1179</f>
        <v>0</v>
      </c>
      <c r="T228" s="268">
        <f>Input!$U$1180</f>
        <v>0</v>
      </c>
      <c r="U228" s="1595">
        <f>Input!$U$1181</f>
        <v>0</v>
      </c>
      <c r="V228" s="1595">
        <f>Input!$U$1182</f>
        <v>0</v>
      </c>
      <c r="W228" s="1595">
        <f>Input!$U$1183</f>
        <v>0</v>
      </c>
      <c r="X228" s="1595">
        <f>Input!$U$1184</f>
        <v>0</v>
      </c>
      <c r="Y228" s="1595">
        <f>Input!$U$1185</f>
        <v>0</v>
      </c>
      <c r="Z228" s="1595">
        <f>Input!$U$1186</f>
        <v>0</v>
      </c>
      <c r="AA228" s="1595">
        <f>Input!$U$1187</f>
        <v>0</v>
      </c>
      <c r="AB228" s="1595">
        <f>Input!$U$1188</f>
        <v>0</v>
      </c>
      <c r="AC228" s="1595">
        <f>Input!$U$1189</f>
        <v>0</v>
      </c>
      <c r="AD228" s="1595">
        <f>Input!$U$1190</f>
        <v>0</v>
      </c>
      <c r="AE228" s="1595">
        <f>Input!$U$1191</f>
        <v>0</v>
      </c>
      <c r="AF228" s="1596">
        <f>Input!$U$1192</f>
        <v>0</v>
      </c>
      <c r="AG228" s="1596">
        <f>Input!$U$1193</f>
        <v>0</v>
      </c>
      <c r="AH228" s="1596">
        <f>Input!$U$1194</f>
        <v>0</v>
      </c>
      <c r="AI228" s="1596">
        <f>Input!$U$1195</f>
        <v>0</v>
      </c>
      <c r="AJ228" s="1596">
        <f>Input!$U$1196</f>
        <v>0</v>
      </c>
      <c r="AK228" s="1596">
        <f>Input!$U$1197</f>
        <v>0</v>
      </c>
      <c r="AL228" s="1596">
        <f>Input!$U$1198</f>
        <v>0</v>
      </c>
      <c r="AM228" s="1596">
        <f>Input!$U$1199</f>
        <v>0</v>
      </c>
      <c r="AN228" s="1596">
        <f>Input!$U$1200</f>
        <v>0</v>
      </c>
      <c r="AO228" s="1596">
        <f>Input!$U$1201</f>
        <v>0</v>
      </c>
      <c r="AP228" s="1596">
        <f>Input!$U$1202</f>
        <v>0</v>
      </c>
      <c r="AQ228" s="1596">
        <f>Input!$U$1203</f>
        <v>0</v>
      </c>
      <c r="AR228" s="1596">
        <f>Input!$U$1204</f>
        <v>0</v>
      </c>
      <c r="AS228" s="1596">
        <f>Input!$U$1205</f>
        <v>0</v>
      </c>
      <c r="AT228" s="1596">
        <f>Input!$U$1206</f>
        <v>0</v>
      </c>
      <c r="AU228" s="1596">
        <f>Input!$U$1207</f>
        <v>0</v>
      </c>
      <c r="AV228" s="1596">
        <f>Input!$U$1208</f>
        <v>0</v>
      </c>
      <c r="AW228" s="1596">
        <f>Input!$U$1209</f>
        <v>0</v>
      </c>
      <c r="AX228" s="1596">
        <f>Input!$U$1210</f>
        <v>0</v>
      </c>
      <c r="AY228" s="1596">
        <f>Input!$U$1211</f>
        <v>0</v>
      </c>
      <c r="AZ228" s="1596">
        <f>Input!$U$1212</f>
        <v>0</v>
      </c>
      <c r="BA228" s="1596">
        <f>Input!$U$1213</f>
        <v>0</v>
      </c>
      <c r="BB228" s="1596">
        <f>Input!$U$1214</f>
        <v>0</v>
      </c>
      <c r="BC228" s="1596">
        <f>Input!$U$1215</f>
        <v>0</v>
      </c>
      <c r="BD228" s="1596">
        <f>Input!$U$1216</f>
        <v>0</v>
      </c>
      <c r="BE228" s="1596">
        <f>Input!$U$1217</f>
        <v>0</v>
      </c>
      <c r="BF228" s="1596">
        <f>Input!$U$1218</f>
        <v>0</v>
      </c>
      <c r="BG228" s="1596">
        <f>Input!$U$1219</f>
        <v>0</v>
      </c>
      <c r="BH228" s="1596">
        <f>Input!$U$1220</f>
        <v>0</v>
      </c>
      <c r="BI228" s="1596">
        <f>Input!$U$1221</f>
        <v>0</v>
      </c>
      <c r="BJ228" s="1596">
        <f>Input!$U$1222</f>
        <v>0</v>
      </c>
      <c r="BK228" s="1596">
        <f>Input!$U$1223</f>
        <v>0</v>
      </c>
      <c r="BL228" s="1596">
        <f>Input!$U$1224</f>
        <v>0</v>
      </c>
      <c r="BM228" s="1596">
        <f>Input!$U$1225</f>
        <v>0</v>
      </c>
      <c r="BN228" s="1596">
        <f>Input!$U$1226</f>
        <v>0</v>
      </c>
      <c r="BO228" s="1596">
        <f>Input!$U$1227</f>
        <v>0</v>
      </c>
      <c r="BP228" s="1596">
        <f>Input!$U$1228</f>
        <v>0</v>
      </c>
      <c r="BQ228" s="1596">
        <f>Input!$U$1229</f>
        <v>0</v>
      </c>
      <c r="BR228" s="1596">
        <f>Input!$U$1230</f>
        <v>0</v>
      </c>
      <c r="BS228" s="1596">
        <f>Input!$U$1231</f>
        <v>0</v>
      </c>
      <c r="BT228" s="1171"/>
      <c r="BU228" s="1171"/>
      <c r="BV228" s="1171"/>
      <c r="BW228" s="1171"/>
      <c r="BX228" s="43"/>
      <c r="BY228" s="43"/>
    </row>
    <row r="229" spans="1:77" ht="12" customHeight="1" x14ac:dyDescent="0.35">
      <c r="A229" s="1439">
        <f t="shared" si="92"/>
        <v>46477</v>
      </c>
      <c r="B229" s="82">
        <v>75</v>
      </c>
      <c r="C229" s="1439">
        <f t="shared" si="91"/>
        <v>851</v>
      </c>
      <c r="D229" s="1449">
        <f>SUM(Input!W$1343:W1356)-E229</f>
        <v>0</v>
      </c>
      <c r="E229" s="1449">
        <f>SUM(Input!W1345:W1356)*1/12</f>
        <v>0</v>
      </c>
      <c r="F229" s="82"/>
      <c r="G229" s="1446">
        <f>SUM(Input!D502:AB502)</f>
        <v>0</v>
      </c>
      <c r="H229" s="1446">
        <f>SUM(Input!D822:AB822)</f>
        <v>0</v>
      </c>
      <c r="I229" s="1448"/>
      <c r="J229" s="1448"/>
      <c r="K229" s="1601" t="str">
        <f>Input!$V$1171</f>
        <v>Item 19</v>
      </c>
      <c r="L229" s="268">
        <f>Input!$V$1172</f>
        <v>0</v>
      </c>
      <c r="M229" s="268">
        <f>Input!$V$1173</f>
        <v>0</v>
      </c>
      <c r="N229" s="268">
        <f>Input!$V$1174</f>
        <v>0</v>
      </c>
      <c r="O229" s="268">
        <f>Input!$V$1175</f>
        <v>0</v>
      </c>
      <c r="P229" s="268">
        <f>Input!$V$1176</f>
        <v>0</v>
      </c>
      <c r="Q229" s="268">
        <f>Input!$V$1177</f>
        <v>0</v>
      </c>
      <c r="R229" s="268">
        <f>Input!$V$1178</f>
        <v>0</v>
      </c>
      <c r="S229" s="268">
        <f>Input!$V$1179</f>
        <v>0</v>
      </c>
      <c r="T229" s="268">
        <f>Input!$V$1180</f>
        <v>0</v>
      </c>
      <c r="U229" s="1595">
        <f>Input!$V$1181</f>
        <v>0</v>
      </c>
      <c r="V229" s="1595">
        <f>Input!$V$1182</f>
        <v>0</v>
      </c>
      <c r="W229" s="1595">
        <f>Input!$V$1183</f>
        <v>0</v>
      </c>
      <c r="X229" s="1595">
        <f>Input!$V$1184</f>
        <v>0</v>
      </c>
      <c r="Y229" s="1595">
        <f>Input!$V$1185</f>
        <v>0</v>
      </c>
      <c r="Z229" s="1595">
        <f>Input!$V$1186</f>
        <v>0</v>
      </c>
      <c r="AA229" s="1595">
        <f>Input!$V$1187</f>
        <v>0</v>
      </c>
      <c r="AB229" s="1595">
        <f>Input!$V$1188</f>
        <v>0</v>
      </c>
      <c r="AC229" s="1595">
        <f>Input!$V$1189</f>
        <v>0</v>
      </c>
      <c r="AD229" s="1595">
        <f>Input!$V$1190</f>
        <v>0</v>
      </c>
      <c r="AE229" s="1595">
        <f>Input!$V$1191</f>
        <v>0</v>
      </c>
      <c r="AF229" s="1596">
        <f>Input!$V$1192</f>
        <v>0</v>
      </c>
      <c r="AG229" s="1596">
        <f>Input!$V$1193</f>
        <v>0</v>
      </c>
      <c r="AH229" s="1596">
        <f>Input!$V$1194</f>
        <v>0</v>
      </c>
      <c r="AI229" s="1596">
        <f>Input!$V$1195</f>
        <v>0</v>
      </c>
      <c r="AJ229" s="1596">
        <f>Input!$V$1196</f>
        <v>0</v>
      </c>
      <c r="AK229" s="1596">
        <f>Input!$V$1197</f>
        <v>0</v>
      </c>
      <c r="AL229" s="1596">
        <f>Input!$V$1198</f>
        <v>0</v>
      </c>
      <c r="AM229" s="1596">
        <f>Input!$V$1199</f>
        <v>0</v>
      </c>
      <c r="AN229" s="1596">
        <f>Input!$V$1200</f>
        <v>0</v>
      </c>
      <c r="AO229" s="1596">
        <f>Input!$V$1201</f>
        <v>0</v>
      </c>
      <c r="AP229" s="1596">
        <f>Input!$V$1202</f>
        <v>0</v>
      </c>
      <c r="AQ229" s="1596">
        <f>Input!$V$1203</f>
        <v>0</v>
      </c>
      <c r="AR229" s="1596">
        <f>Input!$V$1204</f>
        <v>0</v>
      </c>
      <c r="AS229" s="1596">
        <f>Input!$V$1205</f>
        <v>0</v>
      </c>
      <c r="AT229" s="1596">
        <f>Input!$V$1206</f>
        <v>0</v>
      </c>
      <c r="AU229" s="1596">
        <f>Input!$V$1207</f>
        <v>0</v>
      </c>
      <c r="AV229" s="1596">
        <f>Input!$V$1208</f>
        <v>0</v>
      </c>
      <c r="AW229" s="1596">
        <f>Input!$V$1209</f>
        <v>0</v>
      </c>
      <c r="AX229" s="1596">
        <f>Input!$V$1210</f>
        <v>0</v>
      </c>
      <c r="AY229" s="1596">
        <f>Input!$V$1211</f>
        <v>0</v>
      </c>
      <c r="AZ229" s="1596">
        <f>Input!$V$1212</f>
        <v>0</v>
      </c>
      <c r="BA229" s="1596">
        <f>Input!$V$1213</f>
        <v>0</v>
      </c>
      <c r="BB229" s="1596">
        <f>Input!$V$1214</f>
        <v>0</v>
      </c>
      <c r="BC229" s="1596">
        <f>Input!$V$1215</f>
        <v>0</v>
      </c>
      <c r="BD229" s="1596">
        <f>Input!$V$1216</f>
        <v>0</v>
      </c>
      <c r="BE229" s="1596">
        <f>Input!$V$1217</f>
        <v>0</v>
      </c>
      <c r="BF229" s="1596">
        <f>Input!$V$1218</f>
        <v>0</v>
      </c>
      <c r="BG229" s="1596">
        <f>Input!$V$1219</f>
        <v>0</v>
      </c>
      <c r="BH229" s="1596">
        <f>Input!$V$1220</f>
        <v>0</v>
      </c>
      <c r="BI229" s="1596">
        <f>Input!$V$1221</f>
        <v>0</v>
      </c>
      <c r="BJ229" s="1596">
        <f>Input!$V$1222</f>
        <v>0</v>
      </c>
      <c r="BK229" s="1596">
        <f>Input!$V$1223</f>
        <v>0</v>
      </c>
      <c r="BL229" s="1596">
        <f>Input!$V$1224</f>
        <v>0</v>
      </c>
      <c r="BM229" s="1596">
        <f>Input!$V$1225</f>
        <v>0</v>
      </c>
      <c r="BN229" s="1596">
        <f>Input!$V$1226</f>
        <v>0</v>
      </c>
      <c r="BO229" s="1596">
        <f>Input!$V$1227</f>
        <v>0</v>
      </c>
      <c r="BP229" s="1596">
        <f>Input!$V$1228</f>
        <v>0</v>
      </c>
      <c r="BQ229" s="1596">
        <f>Input!$V$1229</f>
        <v>0</v>
      </c>
      <c r="BR229" s="1596">
        <f>Input!$V$1230</f>
        <v>0</v>
      </c>
      <c r="BS229" s="1596">
        <f>Input!$V$1231</f>
        <v>0</v>
      </c>
      <c r="BT229" s="1171"/>
      <c r="BU229" s="1171"/>
      <c r="BV229" s="1171"/>
      <c r="BW229" s="1171"/>
      <c r="BX229" s="43"/>
      <c r="BY229" s="43"/>
    </row>
    <row r="230" spans="1:77" ht="12" customHeight="1" x14ac:dyDescent="0.35">
      <c r="A230" s="1439">
        <f t="shared" si="92"/>
        <v>46507</v>
      </c>
      <c r="B230" s="82">
        <v>76</v>
      </c>
      <c r="C230" s="1439">
        <f t="shared" si="91"/>
        <v>882</v>
      </c>
      <c r="D230" s="1449">
        <f>SUM(Input!W$1343:W1357)-E230</f>
        <v>0</v>
      </c>
      <c r="E230" s="1449">
        <f>SUM(Input!W1346:W1357)*1/12</f>
        <v>0</v>
      </c>
      <c r="F230" s="82"/>
      <c r="G230" s="1446">
        <f>SUM(Input!D503:AB503)</f>
        <v>0</v>
      </c>
      <c r="H230" s="1446">
        <f>SUM(Input!D823:AB823)</f>
        <v>0</v>
      </c>
      <c r="I230" s="1448"/>
      <c r="J230" s="1448"/>
      <c r="K230" s="1601" t="str">
        <f>Input!$W$1171</f>
        <v>Item 20</v>
      </c>
      <c r="L230" s="268">
        <f>Input!$W$1172</f>
        <v>0</v>
      </c>
      <c r="M230" s="268">
        <f>Input!$W$1173</f>
        <v>0</v>
      </c>
      <c r="N230" s="268">
        <f>Input!$W$1174</f>
        <v>0</v>
      </c>
      <c r="O230" s="268">
        <f>Input!$W$1175</f>
        <v>0</v>
      </c>
      <c r="P230" s="268">
        <f>Input!$W$1176</f>
        <v>0</v>
      </c>
      <c r="Q230" s="268">
        <f>Input!$W$1177</f>
        <v>0</v>
      </c>
      <c r="R230" s="268">
        <f>Input!$W$1178</f>
        <v>0</v>
      </c>
      <c r="S230" s="268">
        <f>Input!$W$1179</f>
        <v>0</v>
      </c>
      <c r="T230" s="268">
        <f>Input!$W$1180</f>
        <v>0</v>
      </c>
      <c r="U230" s="1595">
        <f>Input!$W$1181</f>
        <v>0</v>
      </c>
      <c r="V230" s="1595">
        <f>Input!$W$1182</f>
        <v>0</v>
      </c>
      <c r="W230" s="1595">
        <f>Input!$W$1183</f>
        <v>0</v>
      </c>
      <c r="X230" s="1595">
        <f>Input!$W$1184</f>
        <v>0</v>
      </c>
      <c r="Y230" s="1595">
        <f>Input!$W$1185</f>
        <v>0</v>
      </c>
      <c r="Z230" s="1595">
        <f>Input!$W$1186</f>
        <v>0</v>
      </c>
      <c r="AA230" s="1595">
        <f>Input!$W$1187</f>
        <v>0</v>
      </c>
      <c r="AB230" s="1595">
        <f>Input!$W$1188</f>
        <v>0</v>
      </c>
      <c r="AC230" s="1595">
        <f>Input!$W$1189</f>
        <v>0</v>
      </c>
      <c r="AD230" s="1595">
        <f>Input!$W$1190</f>
        <v>0</v>
      </c>
      <c r="AE230" s="1595">
        <f>Input!$W$1191</f>
        <v>0</v>
      </c>
      <c r="AF230" s="1596">
        <f>Input!$W$1192</f>
        <v>0</v>
      </c>
      <c r="AG230" s="1596">
        <f>Input!$W$1193</f>
        <v>0</v>
      </c>
      <c r="AH230" s="1596">
        <f>Input!$W$1194</f>
        <v>0</v>
      </c>
      <c r="AI230" s="1596">
        <f>Input!$W$1195</f>
        <v>0</v>
      </c>
      <c r="AJ230" s="1596">
        <f>Input!$W$1196</f>
        <v>0</v>
      </c>
      <c r="AK230" s="1596">
        <f>Input!$W$1197</f>
        <v>0</v>
      </c>
      <c r="AL230" s="1596">
        <f>Input!$W$1198</f>
        <v>0</v>
      </c>
      <c r="AM230" s="1596">
        <f>Input!$W$1199</f>
        <v>0</v>
      </c>
      <c r="AN230" s="1596">
        <f>Input!$W$1200</f>
        <v>0</v>
      </c>
      <c r="AO230" s="1596">
        <f>Input!$W$1201</f>
        <v>0</v>
      </c>
      <c r="AP230" s="1596">
        <f>Input!$W$1202</f>
        <v>0</v>
      </c>
      <c r="AQ230" s="1596">
        <f>Input!$W$1203</f>
        <v>0</v>
      </c>
      <c r="AR230" s="1596">
        <f>Input!$W$1204</f>
        <v>0</v>
      </c>
      <c r="AS230" s="1596">
        <f>Input!$W$1205</f>
        <v>0</v>
      </c>
      <c r="AT230" s="1596">
        <f>Input!$W$1206</f>
        <v>0</v>
      </c>
      <c r="AU230" s="1596">
        <f>Input!$W$1207</f>
        <v>0</v>
      </c>
      <c r="AV230" s="1596">
        <f>Input!$W$1208</f>
        <v>0</v>
      </c>
      <c r="AW230" s="1596">
        <f>Input!$W$1209</f>
        <v>0</v>
      </c>
      <c r="AX230" s="1596">
        <f>Input!$W$1210</f>
        <v>0</v>
      </c>
      <c r="AY230" s="1596">
        <f>Input!$W$1211</f>
        <v>0</v>
      </c>
      <c r="AZ230" s="1596">
        <f>Input!$W$1212</f>
        <v>0</v>
      </c>
      <c r="BA230" s="1596">
        <f>Input!$W$1213</f>
        <v>0</v>
      </c>
      <c r="BB230" s="1596">
        <f>Input!$W$1214</f>
        <v>0</v>
      </c>
      <c r="BC230" s="1596">
        <f>Input!$W$1215</f>
        <v>0</v>
      </c>
      <c r="BD230" s="1596">
        <f>Input!$W$1216</f>
        <v>0</v>
      </c>
      <c r="BE230" s="1596">
        <f>Input!$W$1217</f>
        <v>0</v>
      </c>
      <c r="BF230" s="1596">
        <f>Input!$W$1218</f>
        <v>0</v>
      </c>
      <c r="BG230" s="1596">
        <f>Input!$W$1219</f>
        <v>0</v>
      </c>
      <c r="BH230" s="1596">
        <f>Input!$W$1220</f>
        <v>0</v>
      </c>
      <c r="BI230" s="1596">
        <f>Input!$W$1221</f>
        <v>0</v>
      </c>
      <c r="BJ230" s="1596">
        <f>Input!$W$1222</f>
        <v>0</v>
      </c>
      <c r="BK230" s="1596">
        <f>Input!$W$1223</f>
        <v>0</v>
      </c>
      <c r="BL230" s="1596">
        <f>Input!$W$1224</f>
        <v>0</v>
      </c>
      <c r="BM230" s="1596">
        <f>Input!$W$1225</f>
        <v>0</v>
      </c>
      <c r="BN230" s="1596">
        <f>Input!$W$1226</f>
        <v>0</v>
      </c>
      <c r="BO230" s="1596">
        <f>Input!$W$1227</f>
        <v>0</v>
      </c>
      <c r="BP230" s="1596">
        <f>Input!$W$1228</f>
        <v>0</v>
      </c>
      <c r="BQ230" s="1596">
        <f>Input!$W$1229</f>
        <v>0</v>
      </c>
      <c r="BR230" s="1596">
        <f>Input!$W$1230</f>
        <v>0</v>
      </c>
      <c r="BS230" s="1596">
        <f>Input!$W$1231</f>
        <v>0</v>
      </c>
      <c r="BT230" s="1171"/>
      <c r="BU230" s="1171"/>
      <c r="BV230" s="1171"/>
      <c r="BW230" s="1171"/>
      <c r="BX230" s="43"/>
      <c r="BY230" s="43"/>
    </row>
    <row r="231" spans="1:77" ht="12" customHeight="1" x14ac:dyDescent="0.35">
      <c r="A231" s="1439">
        <f t="shared" si="92"/>
        <v>46538</v>
      </c>
      <c r="B231" s="82">
        <v>77</v>
      </c>
      <c r="C231" s="1439">
        <f t="shared" si="91"/>
        <v>912</v>
      </c>
      <c r="D231" s="1449">
        <f>SUM(Input!W$1343:W1358)-E231</f>
        <v>0</v>
      </c>
      <c r="E231" s="1449">
        <f>SUM(Input!W1347:W1358)*1/12</f>
        <v>0</v>
      </c>
      <c r="F231" s="82"/>
      <c r="G231" s="1446">
        <f>SUM(Input!D504:AB504)</f>
        <v>0</v>
      </c>
      <c r="H231" s="1446">
        <f>SUM(Input!D824:AB824)</f>
        <v>0</v>
      </c>
      <c r="I231" s="1448"/>
      <c r="J231" s="1448"/>
      <c r="K231" s="1601" t="str">
        <f>Input!$X$1171</f>
        <v>Item 21</v>
      </c>
      <c r="L231" s="268">
        <f>Input!$X$1172</f>
        <v>0</v>
      </c>
      <c r="M231" s="268">
        <f>Input!$X$1173</f>
        <v>0</v>
      </c>
      <c r="N231" s="268">
        <f>Input!$X$1174</f>
        <v>0</v>
      </c>
      <c r="O231" s="268">
        <f>Input!$X$1175</f>
        <v>0</v>
      </c>
      <c r="P231" s="268">
        <f>Input!$X$1176</f>
        <v>0</v>
      </c>
      <c r="Q231" s="268">
        <f>Input!$X$1177</f>
        <v>0</v>
      </c>
      <c r="R231" s="268">
        <f>Input!$X$1178</f>
        <v>0</v>
      </c>
      <c r="S231" s="268">
        <f>Input!$X$1179</f>
        <v>0</v>
      </c>
      <c r="T231" s="268">
        <f>Input!$X$1180</f>
        <v>0</v>
      </c>
      <c r="U231" s="1595">
        <f>Input!$X$1181</f>
        <v>0</v>
      </c>
      <c r="V231" s="1595">
        <f>Input!$X$1182</f>
        <v>0</v>
      </c>
      <c r="W231" s="1595">
        <f>Input!$X$1183</f>
        <v>0</v>
      </c>
      <c r="X231" s="1595">
        <f>Input!$X$1184</f>
        <v>0</v>
      </c>
      <c r="Y231" s="1595">
        <f>Input!$X$1185</f>
        <v>0</v>
      </c>
      <c r="Z231" s="1595">
        <f>Input!$X$1186</f>
        <v>0</v>
      </c>
      <c r="AA231" s="1595">
        <f>Input!$X$1187</f>
        <v>0</v>
      </c>
      <c r="AB231" s="1595">
        <f>Input!$X$1188</f>
        <v>0</v>
      </c>
      <c r="AC231" s="1595">
        <f>Input!$X$1189</f>
        <v>0</v>
      </c>
      <c r="AD231" s="1595">
        <f>Input!$X$1190</f>
        <v>0</v>
      </c>
      <c r="AE231" s="1595">
        <f>Input!$X$1191</f>
        <v>0</v>
      </c>
      <c r="AF231" s="1596">
        <f>Input!$X$1192</f>
        <v>0</v>
      </c>
      <c r="AG231" s="1596">
        <f>Input!$X$1193</f>
        <v>0</v>
      </c>
      <c r="AH231" s="1596">
        <f>Input!$X$1194</f>
        <v>0</v>
      </c>
      <c r="AI231" s="1596">
        <f>Input!$X$1195</f>
        <v>0</v>
      </c>
      <c r="AJ231" s="1596">
        <f>Input!$X$1196</f>
        <v>0</v>
      </c>
      <c r="AK231" s="1596">
        <f>Input!$X$1197</f>
        <v>0</v>
      </c>
      <c r="AL231" s="1596">
        <f>Input!$X$1198</f>
        <v>0</v>
      </c>
      <c r="AM231" s="1596">
        <f>Input!$X$1199</f>
        <v>0</v>
      </c>
      <c r="AN231" s="1596">
        <f>Input!$X$1200</f>
        <v>0</v>
      </c>
      <c r="AO231" s="1596">
        <f>Input!$X$1201</f>
        <v>0</v>
      </c>
      <c r="AP231" s="1596">
        <f>Input!$X$1202</f>
        <v>0</v>
      </c>
      <c r="AQ231" s="1596">
        <f>Input!$X$1203</f>
        <v>0</v>
      </c>
      <c r="AR231" s="1596">
        <f>Input!$X$1204</f>
        <v>0</v>
      </c>
      <c r="AS231" s="1596">
        <f>Input!$X$1205</f>
        <v>0</v>
      </c>
      <c r="AT231" s="1596">
        <f>Input!$X$1206</f>
        <v>0</v>
      </c>
      <c r="AU231" s="1596">
        <f>Input!$X$1207</f>
        <v>0</v>
      </c>
      <c r="AV231" s="1596">
        <f>Input!$X$1208</f>
        <v>0</v>
      </c>
      <c r="AW231" s="1596">
        <f>Input!$X$1209</f>
        <v>0</v>
      </c>
      <c r="AX231" s="1596">
        <f>Input!$X$1210</f>
        <v>0</v>
      </c>
      <c r="AY231" s="1596">
        <f>Input!$X$1211</f>
        <v>0</v>
      </c>
      <c r="AZ231" s="1596">
        <f>Input!$X$1212</f>
        <v>0</v>
      </c>
      <c r="BA231" s="1596">
        <f>Input!$X$1213</f>
        <v>0</v>
      </c>
      <c r="BB231" s="1596">
        <f>Input!$X$1214</f>
        <v>0</v>
      </c>
      <c r="BC231" s="1596">
        <f>Input!$X$1215</f>
        <v>0</v>
      </c>
      <c r="BD231" s="1596">
        <f>Input!$X$1216</f>
        <v>0</v>
      </c>
      <c r="BE231" s="1596">
        <f>Input!$X$1217</f>
        <v>0</v>
      </c>
      <c r="BF231" s="1596">
        <f>Input!$X$1218</f>
        <v>0</v>
      </c>
      <c r="BG231" s="1596">
        <f>Input!$X$1219</f>
        <v>0</v>
      </c>
      <c r="BH231" s="1596">
        <f>Input!$X$1220</f>
        <v>0</v>
      </c>
      <c r="BI231" s="1596">
        <f>Input!$X$1221</f>
        <v>0</v>
      </c>
      <c r="BJ231" s="1596">
        <f>Input!$X$1222</f>
        <v>0</v>
      </c>
      <c r="BK231" s="1596">
        <f>Input!$X$1223</f>
        <v>0</v>
      </c>
      <c r="BL231" s="1596">
        <f>Input!$X$1224</f>
        <v>0</v>
      </c>
      <c r="BM231" s="1596">
        <f>Input!$X$1225</f>
        <v>0</v>
      </c>
      <c r="BN231" s="1596">
        <f>Input!$X$1226</f>
        <v>0</v>
      </c>
      <c r="BO231" s="1596">
        <f>Input!$X$1227</f>
        <v>0</v>
      </c>
      <c r="BP231" s="1596">
        <f>Input!$X$1228</f>
        <v>0</v>
      </c>
      <c r="BQ231" s="1596">
        <f>Input!$X$1229</f>
        <v>0</v>
      </c>
      <c r="BR231" s="1596">
        <f>Input!$X$1230</f>
        <v>0</v>
      </c>
      <c r="BS231" s="1596">
        <f>Input!$X$1231</f>
      </c>
      <c r="BT231" s="1171"/>
      <c r="BU231" s="1171"/>
      <c r="BV231" s="1171"/>
      <c r="BW231" s="1171"/>
      <c r="BX231" s="43"/>
      <c r="BY231" s="43"/>
    </row>
    <row r="232" spans="1:77" ht="12" customHeight="1" x14ac:dyDescent="0.35">
      <c r="A232" s="1439">
        <f t="shared" si="92"/>
        <v>46568</v>
      </c>
      <c r="B232" s="82">
        <v>78</v>
      </c>
      <c r="C232" s="1439">
        <f t="shared" si="91"/>
        <v>943</v>
      </c>
      <c r="D232" s="1449">
        <f>SUM(Input!W$1343:W1359)-E232</f>
        <v>0</v>
      </c>
      <c r="E232" s="1449">
        <f>SUM(Input!W1348:W1359)*1/12</f>
        <v>0</v>
      </c>
      <c r="F232" s="82"/>
      <c r="G232" s="1446">
        <f>SUM(Input!D505:AB505)</f>
        <v>0</v>
      </c>
      <c r="H232" s="1446">
        <f>SUM(Input!D825:AB825)</f>
        <v>0</v>
      </c>
      <c r="I232" s="1448"/>
      <c r="J232" s="1448"/>
      <c r="K232" s="1601" t="str">
        <f>Input!$Y$1171</f>
        <v>Item 22</v>
      </c>
      <c r="L232" s="268">
        <f>Input!$Y$1172</f>
        <v>0</v>
      </c>
      <c r="M232" s="268">
        <f>Input!$Y$1173</f>
        <v>0</v>
      </c>
      <c r="N232" s="268">
        <f>Input!$Y$1174</f>
        <v>0</v>
      </c>
      <c r="O232" s="268">
        <f>Input!$Y$1175</f>
        <v>0</v>
      </c>
      <c r="P232" s="268">
        <f>Input!$Y$1176</f>
        <v>0</v>
      </c>
      <c r="Q232" s="268">
        <f>Input!$Y$1177</f>
        <v>0</v>
      </c>
      <c r="R232" s="268">
        <f>Input!$Y$1178</f>
        <v>0</v>
      </c>
      <c r="S232" s="268">
        <f>Input!$Y$1179</f>
        <v>0</v>
      </c>
      <c r="T232" s="268">
        <f>Input!$Y$1180</f>
        <v>0</v>
      </c>
      <c r="U232" s="1595">
        <f>Input!$Y$1181</f>
        <v>0</v>
      </c>
      <c r="V232" s="1595">
        <f>Input!$Y$1182</f>
        <v>0</v>
      </c>
      <c r="W232" s="1595">
        <f>Input!$Y$1183</f>
        <v>0</v>
      </c>
      <c r="X232" s="1595">
        <f>Input!$Y$1184</f>
        <v>0</v>
      </c>
      <c r="Y232" s="1595">
        <f>Input!$Y$1185</f>
        <v>0</v>
      </c>
      <c r="Z232" s="1595">
        <f>Input!$Y$1186</f>
        <v>0</v>
      </c>
      <c r="AA232" s="1595">
        <f>Input!$Y$1187</f>
        <v>0</v>
      </c>
      <c r="AB232" s="1595">
        <f>Input!$Y$1188</f>
        <v>0</v>
      </c>
      <c r="AC232" s="1595">
        <f>Input!$Y$1189</f>
        <v>0</v>
      </c>
      <c r="AD232" s="1595">
        <f>Input!$Y$1190</f>
        <v>0</v>
      </c>
      <c r="AE232" s="1595">
        <f>Input!$Y$1191</f>
        <v>0</v>
      </c>
      <c r="AF232" s="1596">
        <f>Input!$Y$1192</f>
        <v>0</v>
      </c>
      <c r="AG232" s="1596">
        <f>Input!$Y$1193</f>
        <v>0</v>
      </c>
      <c r="AH232" s="1596">
        <f>Input!$Y$1194</f>
        <v>0</v>
      </c>
      <c r="AI232" s="1596">
        <f>Input!$Y$1195</f>
        <v>0</v>
      </c>
      <c r="AJ232" s="1596">
        <f>Input!$Y$1196</f>
        <v>0</v>
      </c>
      <c r="AK232" s="1596">
        <f>Input!$Y$1197</f>
        <v>0</v>
      </c>
      <c r="AL232" s="1596">
        <f>Input!$Y$1198</f>
        <v>0</v>
      </c>
      <c r="AM232" s="1596">
        <f>Input!$Y$1199</f>
        <v>0</v>
      </c>
      <c r="AN232" s="1596">
        <f>Input!$Y$1200</f>
        <v>0</v>
      </c>
      <c r="AO232" s="1596">
        <f>Input!$Y$1201</f>
        <v>0</v>
      </c>
      <c r="AP232" s="1596">
        <f>Input!$Y$1202</f>
        <v>0</v>
      </c>
      <c r="AQ232" s="1596">
        <f>Input!$Y$1203</f>
        <v>0</v>
      </c>
      <c r="AR232" s="1596">
        <f>Input!$Y$1204</f>
        <v>0</v>
      </c>
      <c r="AS232" s="1596">
        <f>Input!$Y$1205</f>
        <v>0</v>
      </c>
      <c r="AT232" s="1596">
        <f>Input!$Y$1206</f>
        <v>0</v>
      </c>
      <c r="AU232" s="1596">
        <f>Input!$Y$1207</f>
        <v>0</v>
      </c>
      <c r="AV232" s="1596">
        <f>Input!$Y$1208</f>
        <v>0</v>
      </c>
      <c r="AW232" s="1596">
        <f>Input!$Y$1209</f>
        <v>0</v>
      </c>
      <c r="AX232" s="1596">
        <f>Input!$Y$1210</f>
        <v>0</v>
      </c>
      <c r="AY232" s="1596">
        <f>Input!$Y$1211</f>
        <v>0</v>
      </c>
      <c r="AZ232" s="1596">
        <f>Input!$Y$1212</f>
        <v>0</v>
      </c>
      <c r="BA232" s="1596">
        <f>Input!$Y$1213</f>
        <v>0</v>
      </c>
      <c r="BB232" s="1596">
        <f>Input!$Y$1214</f>
        <v>0</v>
      </c>
      <c r="BC232" s="1596">
        <f>Input!$Y$1215</f>
        <v>0</v>
      </c>
      <c r="BD232" s="1596">
        <f>Input!$Y$1216</f>
        <v>0</v>
      </c>
      <c r="BE232" s="1596">
        <f>Input!$Y$1217</f>
        <v>0</v>
      </c>
      <c r="BF232" s="1596">
        <f>Input!$Y$1218</f>
        <v>0</v>
      </c>
      <c r="BG232" s="1596">
        <f>Input!$Y$1219</f>
        <v>0</v>
      </c>
      <c r="BH232" s="1596">
        <f>Input!$Y$1220</f>
        <v>0</v>
      </c>
      <c r="BI232" s="1596">
        <f>Input!$Y$1221</f>
        <v>0</v>
      </c>
      <c r="BJ232" s="1596">
        <f>Input!$Y$1222</f>
        <v>0</v>
      </c>
      <c r="BK232" s="1596">
        <f>Input!$Y$1223</f>
        <v>0</v>
      </c>
      <c r="BL232" s="1596">
        <f>Input!$Y$1224</f>
        <v>0</v>
      </c>
      <c r="BM232" s="1596">
        <f>Input!$Y$1225</f>
        <v>0</v>
      </c>
      <c r="BN232" s="1596">
        <f>Input!$Y$1226</f>
        <v>0</v>
      </c>
      <c r="BO232" s="1596">
        <f>Input!$Y$1227</f>
        <v>0</v>
      </c>
      <c r="BP232" s="1596">
        <f>Input!$Y$1228</f>
        <v>0</v>
      </c>
      <c r="BQ232" s="1596">
        <f>Input!$Y$1229</f>
        <v>0</v>
      </c>
      <c r="BR232" s="1596">
        <f>Input!$Y$1230</f>
        <v>0</v>
      </c>
      <c r="BS232" s="1596">
        <f>Input!$Y$1231</f>
        <v>0</v>
      </c>
      <c r="BT232" s="1171"/>
      <c r="BU232" s="1171"/>
      <c r="BV232" s="1171"/>
      <c r="BW232" s="1171"/>
      <c r="BX232" s="43"/>
      <c r="BY232" s="43"/>
    </row>
    <row r="233" spans="1:77" ht="12" customHeight="1" x14ac:dyDescent="0.35">
      <c r="A233" s="1439">
        <f t="shared" si="92"/>
        <v>46599</v>
      </c>
      <c r="B233" s="82">
        <v>79</v>
      </c>
      <c r="C233" s="1439">
        <f t="shared" si="91"/>
        <v>974</v>
      </c>
      <c r="D233" s="1449">
        <f>SUM(Input!W$1343:W1360)-E233</f>
        <v>0</v>
      </c>
      <c r="E233" s="1449">
        <f>SUM(Input!W1349:W1360)*1/12</f>
        <v>0</v>
      </c>
      <c r="F233" s="82"/>
      <c r="G233" s="1446">
        <f>SUM(Input!D506:AB506)</f>
        <v>0</v>
      </c>
      <c r="H233" s="1446">
        <f>SUM(Input!D826:AB826)</f>
        <v>0</v>
      </c>
      <c r="I233" s="1448"/>
      <c r="J233" s="1448"/>
      <c r="K233" s="1601" t="str">
        <f>Input!$Z$1171</f>
        <v>Item 23</v>
      </c>
      <c r="L233" s="268">
        <f>Input!$Z$1172</f>
        <v>0</v>
      </c>
      <c r="M233" s="268">
        <f>Input!$Z$1173</f>
        <v>0</v>
      </c>
      <c r="N233" s="268">
        <f>Input!$Z$1174</f>
        <v>0</v>
      </c>
      <c r="O233" s="268">
        <f>Input!$Z$1175</f>
        <v>0</v>
      </c>
      <c r="P233" s="268">
        <f>Input!$Z$1176</f>
        <v>0</v>
      </c>
      <c r="Q233" s="268">
        <f>Input!$Z$1177</f>
        <v>0</v>
      </c>
      <c r="R233" s="268">
        <f>Input!$Z$1178</f>
        <v>0</v>
      </c>
      <c r="S233" s="268">
        <f>Input!$Z$1179</f>
        <v>0</v>
      </c>
      <c r="T233" s="268">
        <f>Input!$Z$1180</f>
        <v>0</v>
      </c>
      <c r="U233" s="1595">
        <f>Input!$Z$1181</f>
        <v>0</v>
      </c>
      <c r="V233" s="1595">
        <f>Input!$Z$1182</f>
        <v>0</v>
      </c>
      <c r="W233" s="1595">
        <f>Input!$Z$1183</f>
        <v>0</v>
      </c>
      <c r="X233" s="1595">
        <f>Input!$Z$1184</f>
        <v>0</v>
      </c>
      <c r="Y233" s="1595">
        <f>Input!$Z$1185</f>
        <v>0</v>
      </c>
      <c r="Z233" s="1595">
        <f>Input!$Z$1186</f>
        <v>0</v>
      </c>
      <c r="AA233" s="1595">
        <f>Input!$Z$1187</f>
        <v>0</v>
      </c>
      <c r="AB233" s="1595">
        <f>Input!$Z$1188</f>
        <v>0</v>
      </c>
      <c r="AC233" s="1595">
        <f>Input!$Z$1189</f>
        <v>0</v>
      </c>
      <c r="AD233" s="1595">
        <f>Input!$Z$1190</f>
        <v>0</v>
      </c>
      <c r="AE233" s="1595">
        <f>Input!$Z$1191</f>
        <v>0</v>
      </c>
      <c r="AF233" s="1596">
        <f>Input!$Z$1192</f>
        <v>0</v>
      </c>
      <c r="AG233" s="1596">
        <f>Input!$Z$1193</f>
        <v>0</v>
      </c>
      <c r="AH233" s="1596">
        <f>Input!$Z$1194</f>
        <v>0</v>
      </c>
      <c r="AI233" s="1596">
        <f>Input!$Z$1195</f>
        <v>0</v>
      </c>
      <c r="AJ233" s="1596">
        <f>Input!$Z$1196</f>
        <v>0</v>
      </c>
      <c r="AK233" s="1596">
        <f>Input!$Z$1197</f>
        <v>0</v>
      </c>
      <c r="AL233" s="1596">
        <f>Input!$Z$1198</f>
        <v>0</v>
      </c>
      <c r="AM233" s="1596">
        <f>Input!$Z$1199</f>
        <v>0</v>
      </c>
      <c r="AN233" s="1596">
        <f>Input!$Z$1200</f>
        <v>0</v>
      </c>
      <c r="AO233" s="1596">
        <f>Input!$Z$1201</f>
        <v>0</v>
      </c>
      <c r="AP233" s="1596">
        <f>Input!$Z$1202</f>
        <v>0</v>
      </c>
      <c r="AQ233" s="1596">
        <f>Input!$Z$1203</f>
        <v>0</v>
      </c>
      <c r="AR233" s="1596">
        <f>Input!$Z$1204</f>
        <v>0</v>
      </c>
      <c r="AS233" s="1596">
        <f>Input!$Z$1205</f>
        <v>0</v>
      </c>
      <c r="AT233" s="1596">
        <f>Input!$Z$1206</f>
        <v>0</v>
      </c>
      <c r="AU233" s="1596">
        <f>Input!$Z$1207</f>
        <v>0</v>
      </c>
      <c r="AV233" s="1596">
        <f>Input!$Z$1208</f>
        <v>0</v>
      </c>
      <c r="AW233" s="1596">
        <f>Input!$Z$1209</f>
        <v>0</v>
      </c>
      <c r="AX233" s="1596">
        <f>Input!$Z$1210</f>
        <v>0</v>
      </c>
      <c r="AY233" s="1596">
        <f>Input!$Z$1211</f>
        <v>0</v>
      </c>
      <c r="AZ233" s="1596">
        <f>Input!$Z$1212</f>
        <v>0</v>
      </c>
      <c r="BA233" s="1596">
        <f>Input!$Z$1213</f>
        <v>0</v>
      </c>
      <c r="BB233" s="1596">
        <f>Input!$Z$1214</f>
        <v>0</v>
      </c>
      <c r="BC233" s="1596">
        <f>Input!$Z$1215</f>
        <v>0</v>
      </c>
      <c r="BD233" s="1596">
        <f>Input!$Z$1216</f>
        <v>0</v>
      </c>
      <c r="BE233" s="1596">
        <f>Input!$Z$1217</f>
        <v>0</v>
      </c>
      <c r="BF233" s="1596">
        <f>Input!$Z$1218</f>
        <v>0</v>
      </c>
      <c r="BG233" s="1596">
        <f>Input!$Z$1219</f>
        <v>0</v>
      </c>
      <c r="BH233" s="1596">
        <f>Input!$Z$1220</f>
        <v>0</v>
      </c>
      <c r="BI233" s="1596">
        <f>Input!$Z$1221</f>
        <v>0</v>
      </c>
      <c r="BJ233" s="1596">
        <f>Input!$Z$1222</f>
        <v>0</v>
      </c>
      <c r="BK233" s="1596">
        <f>Input!$Z$1223</f>
        <v>0</v>
      </c>
      <c r="BL233" s="1596">
        <f>Input!$Z$1224</f>
        <v>0</v>
      </c>
      <c r="BM233" s="1596">
        <f>Input!$Z$1225</f>
        <v>0</v>
      </c>
      <c r="BN233" s="1596">
        <f>Input!$Z$1226</f>
        <v>0</v>
      </c>
      <c r="BO233" s="1596">
        <f>Input!$Z$1227</f>
        <v>0</v>
      </c>
      <c r="BP233" s="1596">
        <f>Input!$Z$1228</f>
        <v>0</v>
      </c>
      <c r="BQ233" s="1596">
        <f>Input!$Z$1229</f>
        <v>0</v>
      </c>
      <c r="BR233" s="1596">
        <f>Input!$Z$1230</f>
        <v>0</v>
      </c>
      <c r="BS233" s="1596">
        <f>Input!$Z$1231</f>
        <v>0</v>
      </c>
      <c r="BT233" s="1171"/>
      <c r="BU233" s="1171"/>
      <c r="BV233" s="1171"/>
      <c r="BW233" s="1171"/>
      <c r="BX233" s="43"/>
      <c r="BY233" s="43"/>
    </row>
    <row r="234" spans="1:77" ht="12" customHeight="1" x14ac:dyDescent="0.35">
      <c r="A234" s="1439">
        <f t="shared" si="92"/>
        <v>46630</v>
      </c>
      <c r="B234" s="82">
        <v>80</v>
      </c>
      <c r="C234" s="1439">
        <f t="shared" si="91"/>
        <v>1004</v>
      </c>
      <c r="D234" s="1449">
        <f>SUM(Input!W$1343:W1361)-E234</f>
        <v>0</v>
      </c>
      <c r="E234" s="1449">
        <f>SUM(Input!W1350:W1361)*1/12</f>
        <v>0</v>
      </c>
      <c r="F234" s="82"/>
      <c r="G234" s="1446">
        <f>SUM(Input!D507:AB507)</f>
        <v>0</v>
      </c>
      <c r="H234" s="1446">
        <f>SUM(Input!D827:AB827)</f>
        <v>0</v>
      </c>
      <c r="I234" s="1448"/>
      <c r="J234" s="1448"/>
      <c r="K234" s="1601" t="str">
        <f>Input!$AA$1171</f>
        <v>Item 24</v>
      </c>
      <c r="L234" s="268">
        <f>Input!$AA$1172</f>
        <v>0</v>
      </c>
      <c r="M234" s="268">
        <f>Input!$AA$1173</f>
        <v>0</v>
      </c>
      <c r="N234" s="268">
        <f>Input!$AA$1174</f>
        <v>0</v>
      </c>
      <c r="O234" s="268">
        <f>Input!$AA$1175</f>
        <v>0</v>
      </c>
      <c r="P234" s="268">
        <f>Input!$AA$1176</f>
        <v>0</v>
      </c>
      <c r="Q234" s="268">
        <f>Input!$AA$1177</f>
        <v>0</v>
      </c>
      <c r="R234" s="268">
        <f>Input!$AA$1178</f>
        <v>0</v>
      </c>
      <c r="S234" s="268">
        <f>Input!$AA$1179</f>
        <v>0</v>
      </c>
      <c r="T234" s="268">
        <f>Input!$AA$1180</f>
        <v>0</v>
      </c>
      <c r="U234" s="1595">
        <f>Input!$AA$1181</f>
        <v>0</v>
      </c>
      <c r="V234" s="1595">
        <f>Input!$AA$1182</f>
        <v>0</v>
      </c>
      <c r="W234" s="1595">
        <f>Input!$AA$1183</f>
        <v>0</v>
      </c>
      <c r="X234" s="1595">
        <f>Input!$AA$1184</f>
        <v>0</v>
      </c>
      <c r="Y234" s="1595">
        <f>Input!$AA$1185</f>
        <v>0</v>
      </c>
      <c r="Z234" s="1595">
        <f>Input!$AA$1186</f>
        <v>0</v>
      </c>
      <c r="AA234" s="1595">
        <f>Input!$AA$1187</f>
        <v>0</v>
      </c>
      <c r="AB234" s="1595">
        <f>Input!$AA$1188</f>
        <v>0</v>
      </c>
      <c r="AC234" s="1595">
        <f>Input!$AA$1189</f>
        <v>0</v>
      </c>
      <c r="AD234" s="1595">
        <f>Input!$AA$1190</f>
        <v>0</v>
      </c>
      <c r="AE234" s="1595">
        <f>Input!$AA$1191</f>
        <v>0</v>
      </c>
      <c r="AF234" s="1596">
        <f>Input!$AA$1192</f>
        <v>0</v>
      </c>
      <c r="AG234" s="1596">
        <f>Input!$AA$1193</f>
        <v>0</v>
      </c>
      <c r="AH234" s="1596">
        <f>Input!$AA$1194</f>
        <v>0</v>
      </c>
      <c r="AI234" s="1596">
        <f>Input!$AA$1195</f>
        <v>0</v>
      </c>
      <c r="AJ234" s="1596">
        <f>Input!$AA$1196</f>
        <v>0</v>
      </c>
      <c r="AK234" s="1596">
        <f>Input!$AA$1197</f>
        <v>0</v>
      </c>
      <c r="AL234" s="1596">
        <f>Input!$AA$1198</f>
        <v>0</v>
      </c>
      <c r="AM234" s="1596">
        <f>Input!$AA$1199</f>
        <v>0</v>
      </c>
      <c r="AN234" s="1596">
        <f>Input!$AA$1200</f>
        <v>0</v>
      </c>
      <c r="AO234" s="1596">
        <f>Input!$AA$1201</f>
        <v>0</v>
      </c>
      <c r="AP234" s="1596">
        <f>Input!$AA$1202</f>
        <v>0</v>
      </c>
      <c r="AQ234" s="1596">
        <f>Input!$AA$1203</f>
        <v>0</v>
      </c>
      <c r="AR234" s="1596">
        <f>Input!$AA$1204</f>
        <v>0</v>
      </c>
      <c r="AS234" s="1596">
        <f>Input!$AA$1205</f>
        <v>0</v>
      </c>
      <c r="AT234" s="1596">
        <f>Input!$AA$1206</f>
        <v>0</v>
      </c>
      <c r="AU234" s="1596">
        <f>Input!$AA$1207</f>
        <v>0</v>
      </c>
      <c r="AV234" s="1596">
        <f>Input!$AA$1208</f>
        <v>0</v>
      </c>
      <c r="AW234" s="1596">
        <f>Input!$AA$1209</f>
        <v>0</v>
      </c>
      <c r="AX234" s="1596">
        <f>Input!$AA$1210</f>
        <v>0</v>
      </c>
      <c r="AY234" s="1596">
        <f>Input!$AA$1211</f>
        <v>0</v>
      </c>
      <c r="AZ234" s="1596">
        <f>Input!$AA$1212</f>
        <v>0</v>
      </c>
      <c r="BA234" s="1596">
        <f>Input!$AA$1213</f>
        <v>0</v>
      </c>
      <c r="BB234" s="1596">
        <f>Input!$AA$1214</f>
        <v>0</v>
      </c>
      <c r="BC234" s="1596">
        <f>Input!$AA$1215</f>
        <v>0</v>
      </c>
      <c r="BD234" s="1596">
        <f>Input!$AA$1216</f>
        <v>0</v>
      </c>
      <c r="BE234" s="1596">
        <f>Input!$AA$1217</f>
        <v>0</v>
      </c>
      <c r="BF234" s="1596">
        <f>Input!$AA$1218</f>
        <v>0</v>
      </c>
      <c r="BG234" s="1596">
        <f>Input!$AA$1219</f>
        <v>0</v>
      </c>
      <c r="BH234" s="1596">
        <f>Input!$AA$1220</f>
        <v>0</v>
      </c>
      <c r="BI234" s="1596">
        <f>Input!$AA$1221</f>
        <v>0</v>
      </c>
      <c r="BJ234" s="1596">
        <f>Input!$AA$1222</f>
        <v>0</v>
      </c>
      <c r="BK234" s="1596">
        <f>Input!$AA$1223</f>
        <v>0</v>
      </c>
      <c r="BL234" s="1596">
        <f>Input!$AA$1224</f>
        <v>0</v>
      </c>
      <c r="BM234" s="1596">
        <f>Input!$AA$1225</f>
        <v>0</v>
      </c>
      <c r="BN234" s="1596">
        <f>Input!$AA$1226</f>
        <v>0</v>
      </c>
      <c r="BO234" s="1596">
        <f>Input!$AA$1227</f>
        <v>0</v>
      </c>
      <c r="BP234" s="1596">
        <f>Input!$AA$1228</f>
        <v>0</v>
      </c>
      <c r="BQ234" s="1596">
        <f>Input!$AA$1229</f>
        <v>0</v>
      </c>
      <c r="BR234" s="1596">
        <f>Input!$AA$1230</f>
        <v>0</v>
      </c>
      <c r="BS234" s="1596">
        <f>Input!$AA$1231</f>
        <v>0</v>
      </c>
      <c r="BT234" s="1171"/>
      <c r="BU234" s="1171"/>
      <c r="BV234" s="1171"/>
      <c r="BW234" s="1171"/>
      <c r="BX234" s="43"/>
      <c r="BY234" s="43"/>
    </row>
    <row r="235" spans="1:77" ht="12" customHeight="1" x14ac:dyDescent="0.35">
      <c r="A235" s="1439">
        <f t="shared" si="92"/>
        <v>46660</v>
      </c>
      <c r="B235" s="82">
        <v>81</v>
      </c>
      <c r="C235" s="1439">
        <f t="shared" si="91"/>
        <v>1035</v>
      </c>
      <c r="D235" s="1449">
        <f>SUM(Input!W$1343:W1362)-E235</f>
        <v>0</v>
      </c>
      <c r="E235" s="1449">
        <f>SUM(Input!W1351:W1362)*1/12</f>
        <v>0</v>
      </c>
      <c r="F235" s="82"/>
      <c r="G235" s="1446">
        <f>SUM(Input!D508:AB508)</f>
        <v>0</v>
      </c>
      <c r="H235" s="1446">
        <f>SUM(Input!D828:AB828)</f>
        <v>0</v>
      </c>
      <c r="I235" s="1448"/>
      <c r="J235" s="1448"/>
      <c r="K235" s="1601" t="str">
        <f>Input!$AB$1171</f>
        <v>Item 25</v>
      </c>
      <c r="L235" s="268">
        <f>Input!$AB$1172</f>
        <v>0</v>
      </c>
      <c r="M235" s="268">
        <f>Input!$AB$1173</f>
        <v>0</v>
      </c>
      <c r="N235" s="268">
        <f>Input!$AB$1174</f>
        <v>0</v>
      </c>
      <c r="O235" s="268">
        <f>Input!$AB$1175</f>
        <v>0</v>
      </c>
      <c r="P235" s="268">
        <f>Input!$AB$1176</f>
        <v>0</v>
      </c>
      <c r="Q235" s="268">
        <f>Input!$AB$1177</f>
        <v>0</v>
      </c>
      <c r="R235" s="268">
        <f>Input!$AB$1178</f>
        <v>0</v>
      </c>
      <c r="S235" s="268">
        <f>Input!$AB$1179</f>
        <v>0</v>
      </c>
      <c r="T235" s="268">
        <f>Input!$AB$1180</f>
        <v>0</v>
      </c>
      <c r="U235" s="1595">
        <f>Input!$AB$1181</f>
        <v>0</v>
      </c>
      <c r="V235" s="1595">
        <f>Input!$AB$1182</f>
        <v>0</v>
      </c>
      <c r="W235" s="1595">
        <f>Input!$AB$1183</f>
        <v>0</v>
      </c>
      <c r="X235" s="1595">
        <f>Input!$AB$1184</f>
        <v>0</v>
      </c>
      <c r="Y235" s="1595">
        <f>Input!$AB$1185</f>
        <v>0</v>
      </c>
      <c r="Z235" s="1595">
        <f>Input!$AB$1186</f>
        <v>0</v>
      </c>
      <c r="AA235" s="1595">
        <f>Input!$AB$1187</f>
        <v>0</v>
      </c>
      <c r="AB235" s="1595">
        <f>Input!$AB$1188</f>
        <v>0</v>
      </c>
      <c r="AC235" s="1595">
        <f>Input!$AB$1189</f>
        <v>0</v>
      </c>
      <c r="AD235" s="1595">
        <f>Input!$AB$1190</f>
        <v>0</v>
      </c>
      <c r="AE235" s="1595">
        <f>Input!$AB$1191</f>
        <v>0</v>
      </c>
      <c r="AF235" s="1596">
        <f>Input!$AB$1192</f>
        <v>0</v>
      </c>
      <c r="AG235" s="1596">
        <f>Input!$AB$1193</f>
        <v>0</v>
      </c>
      <c r="AH235" s="1596">
        <f>Input!$AB$1194</f>
        <v>0</v>
      </c>
      <c r="AI235" s="1596">
        <f>Input!$AB$1195</f>
        <v>0</v>
      </c>
      <c r="AJ235" s="1596">
        <f>Input!$AB$1196</f>
        <v>0</v>
      </c>
      <c r="AK235" s="1596">
        <f>Input!$AB$1197</f>
        <v>0</v>
      </c>
      <c r="AL235" s="1596">
        <f>Input!$AB$1198</f>
        <v>0</v>
      </c>
      <c r="AM235" s="1596">
        <f>Input!$AB$1199</f>
        <v>0</v>
      </c>
      <c r="AN235" s="1596">
        <f>Input!$AB$1200</f>
        <v>0</v>
      </c>
      <c r="AO235" s="1596">
        <f>Input!$AB$1201</f>
        <v>0</v>
      </c>
      <c r="AP235" s="1596">
        <f>Input!$AB$1202</f>
        <v>0</v>
      </c>
      <c r="AQ235" s="1596">
        <f>Input!$AB$1203</f>
        <v>0</v>
      </c>
      <c r="AR235" s="1596">
        <f>Input!$AB$1204</f>
        <v>0</v>
      </c>
      <c r="AS235" s="1596">
        <f>Input!$AB$1205</f>
        <v>0</v>
      </c>
      <c r="AT235" s="1596">
        <f>Input!$AB$1206</f>
        <v>0</v>
      </c>
      <c r="AU235" s="1596">
        <f>Input!$AB$1207</f>
        <v>0</v>
      </c>
      <c r="AV235" s="1596">
        <f>Input!$AB$1208</f>
        <v>0</v>
      </c>
      <c r="AW235" s="1596">
        <f>Input!$AB$1209</f>
        <v>0</v>
      </c>
      <c r="AX235" s="1596">
        <f>Input!$AB$1210</f>
        <v>0</v>
      </c>
      <c r="AY235" s="1596">
        <f>Input!$AB$1211</f>
        <v>0</v>
      </c>
      <c r="AZ235" s="1596">
        <f>Input!$AB$1212</f>
        <v>0</v>
      </c>
      <c r="BA235" s="1596">
        <f>Input!$AB$1213</f>
        <v>0</v>
      </c>
      <c r="BB235" s="1596">
        <f>Input!$AB$1214</f>
        <v>0</v>
      </c>
      <c r="BC235" s="1596">
        <f>Input!$AB$1215</f>
        <v>0</v>
      </c>
      <c r="BD235" s="1596">
        <f>Input!$AB$1216</f>
        <v>0</v>
      </c>
      <c r="BE235" s="1596">
        <f>Input!$AB$1217</f>
        <v>0</v>
      </c>
      <c r="BF235" s="1596">
        <f>Input!$AB$1218</f>
        <v>0</v>
      </c>
      <c r="BG235" s="1596">
        <f>Input!$AB$1219</f>
        <v>0</v>
      </c>
      <c r="BH235" s="1596">
        <f>Input!$AB$1220</f>
        <v>0</v>
      </c>
      <c r="BI235" s="1596">
        <f>Input!$AB$1221</f>
        <v>0</v>
      </c>
      <c r="BJ235" s="1596">
        <f>Input!$AB$1222</f>
        <v>0</v>
      </c>
      <c r="BK235" s="1596">
        <f>Input!$AB$1223</f>
        <v>0</v>
      </c>
      <c r="BL235" s="1596">
        <f>Input!$AB$1224</f>
        <v>0</v>
      </c>
      <c r="BM235" s="1596">
        <f>Input!$AB$1225</f>
        <v>0</v>
      </c>
      <c r="BN235" s="1596">
        <f>Input!$AB$1226</f>
        <v>0</v>
      </c>
      <c r="BO235" s="1596">
        <f>Input!$AB$1227</f>
        <v>0</v>
      </c>
      <c r="BP235" s="1596">
        <f>Input!$AB$1228</f>
        <v>0</v>
      </c>
      <c r="BQ235" s="1596">
        <f>Input!$AB$1229</f>
        <v>0</v>
      </c>
      <c r="BR235" s="1596">
        <f>Input!$AB$1230</f>
        <v>0</v>
      </c>
      <c r="BS235" s="1596">
        <f>Input!$AB$1231</f>
        <v>0</v>
      </c>
      <c r="BT235" s="1171"/>
      <c r="BU235" s="1171"/>
      <c r="BV235" s="1171"/>
      <c r="BW235" s="1171"/>
      <c r="BX235" s="43"/>
      <c r="BY235" s="43"/>
    </row>
    <row r="236" spans="1:77" ht="12" customHeight="1" x14ac:dyDescent="0.35">
      <c r="A236" s="1439">
        <f t="shared" si="92"/>
        <v>46691</v>
      </c>
      <c r="B236" s="82">
        <v>82</v>
      </c>
      <c r="C236" s="1439">
        <f t="shared" si="91"/>
        <v>1065</v>
      </c>
      <c r="D236" s="1449">
        <f>SUM(Input!W$1343:W1363)-E236</f>
        <v>0</v>
      </c>
      <c r="E236" s="1449">
        <f>SUM(Input!W1352:W1363)*1/12</f>
        <v>0</v>
      </c>
      <c r="F236" s="82"/>
      <c r="G236" s="1446">
        <f>IF(Years="Five",SUM(Input!D509:AB509),0)</f>
        <v>0</v>
      </c>
      <c r="H236" s="1446">
        <f>IF(Years="Five",SUM(Input!D829:AB829),0)</f>
        <v>0</v>
      </c>
      <c r="I236" s="1448"/>
      <c r="J236" s="1448"/>
      <c r="K236" s="1601"/>
      <c r="L236" s="1607">
        <f>SUM(L211:L235)</f>
        <v>0</v>
      </c>
      <c r="M236" s="1607">
        <f t="shared" ref="M236:AE236" si="93">SUM(M211:M235)</f>
        <v>0</v>
      </c>
      <c r="N236" s="1607">
        <f t="shared" si="93"/>
        <v>0</v>
      </c>
      <c r="O236" s="1607">
        <f t="shared" si="93"/>
        <v>0</v>
      </c>
      <c r="P236" s="1607">
        <f t="shared" si="93"/>
        <v>0</v>
      </c>
      <c r="Q236" s="1607">
        <f t="shared" si="93"/>
        <v>0</v>
      </c>
      <c r="R236" s="1607">
        <f t="shared" si="93"/>
        <v>0</v>
      </c>
      <c r="S236" s="1607">
        <f t="shared" si="93"/>
        <v>0</v>
      </c>
      <c r="T236" s="1607">
        <f t="shared" si="93"/>
        <v>0</v>
      </c>
      <c r="U236" s="1608">
        <f t="shared" si="93"/>
        <v>0</v>
      </c>
      <c r="V236" s="1608">
        <f t="shared" si="93"/>
        <v>0</v>
      </c>
      <c r="W236" s="1608">
        <f t="shared" si="93"/>
        <v>0</v>
      </c>
      <c r="X236" s="1608">
        <f t="shared" si="93"/>
        <v>0</v>
      </c>
      <c r="Y236" s="1608">
        <f t="shared" si="93"/>
        <v>0</v>
      </c>
      <c r="Z236" s="1608">
        <f t="shared" si="93"/>
        <v>0</v>
      </c>
      <c r="AA236" s="1608">
        <f t="shared" si="93"/>
        <v>0</v>
      </c>
      <c r="AB236" s="1608">
        <f t="shared" si="93"/>
        <v>0</v>
      </c>
      <c r="AC236" s="1608">
        <f t="shared" si="93"/>
        <v>0</v>
      </c>
      <c r="AD236" s="1608">
        <f t="shared" si="93"/>
        <v>0</v>
      </c>
      <c r="AE236" s="1608">
        <f t="shared" si="93"/>
        <v>0</v>
      </c>
      <c r="AF236" s="1609">
        <f t="shared" ref="AF236:BS236" si="94">SUM(AF211:AF235)</f>
        <v>0</v>
      </c>
      <c r="AG236" s="1609">
        <f t="shared" si="94"/>
        <v>0</v>
      </c>
      <c r="AH236" s="1609">
        <f t="shared" si="94"/>
        <v>0</v>
      </c>
      <c r="AI236" s="1609">
        <f t="shared" si="94"/>
        <v>0</v>
      </c>
      <c r="AJ236" s="1609">
        <f t="shared" si="94"/>
        <v>0</v>
      </c>
      <c r="AK236" s="1609">
        <f t="shared" si="94"/>
        <v>0</v>
      </c>
      <c r="AL236" s="1609">
        <f t="shared" si="94"/>
        <v>0</v>
      </c>
      <c r="AM236" s="1609">
        <f t="shared" si="94"/>
        <v>0</v>
      </c>
      <c r="AN236" s="1609">
        <f t="shared" si="94"/>
        <v>0</v>
      </c>
      <c r="AO236" s="1609">
        <f t="shared" si="94"/>
        <v>0</v>
      </c>
      <c r="AP236" s="1609">
        <f t="shared" si="94"/>
        <v>0</v>
      </c>
      <c r="AQ236" s="1609">
        <f t="shared" si="94"/>
        <v>0</v>
      </c>
      <c r="AR236" s="1609">
        <f t="shared" si="94"/>
        <v>0</v>
      </c>
      <c r="AS236" s="1609">
        <f t="shared" si="94"/>
        <v>0</v>
      </c>
      <c r="AT236" s="1609">
        <f t="shared" si="94"/>
        <v>0</v>
      </c>
      <c r="AU236" s="1609">
        <f t="shared" si="94"/>
        <v>0</v>
      </c>
      <c r="AV236" s="1609">
        <f t="shared" si="94"/>
        <v>0</v>
      </c>
      <c r="AW236" s="1609">
        <f t="shared" si="94"/>
        <v>0</v>
      </c>
      <c r="AX236" s="1609">
        <f t="shared" si="94"/>
        <v>0</v>
      </c>
      <c r="AY236" s="1609">
        <f t="shared" si="94"/>
        <v>0</v>
      </c>
      <c r="AZ236" s="1609">
        <f t="shared" si="94"/>
        <v>0</v>
      </c>
      <c r="BA236" s="1609">
        <f t="shared" si="94"/>
        <v>0</v>
      </c>
      <c r="BB236" s="1609">
        <f t="shared" si="94"/>
        <v>0</v>
      </c>
      <c r="BC236" s="1609">
        <f t="shared" si="94"/>
        <v>0</v>
      </c>
      <c r="BD236" s="1609">
        <f t="shared" si="94"/>
        <v>0</v>
      </c>
      <c r="BE236" s="1609">
        <f t="shared" si="94"/>
        <v>0</v>
      </c>
      <c r="BF236" s="1609">
        <f t="shared" si="94"/>
        <v>0</v>
      </c>
      <c r="BG236" s="1609">
        <f t="shared" si="94"/>
        <v>0</v>
      </c>
      <c r="BH236" s="1609">
        <f t="shared" si="94"/>
        <v>0</v>
      </c>
      <c r="BI236" s="1609">
        <f t="shared" si="94"/>
        <v>0</v>
      </c>
      <c r="BJ236" s="1609">
        <f t="shared" si="94"/>
        <v>0</v>
      </c>
      <c r="BK236" s="1609">
        <f t="shared" si="94"/>
        <v>0</v>
      </c>
      <c r="BL236" s="1609">
        <f t="shared" si="94"/>
        <v>0</v>
      </c>
      <c r="BM236" s="1609">
        <f t="shared" si="94"/>
        <v>0</v>
      </c>
      <c r="BN236" s="1609">
        <f t="shared" si="94"/>
        <v>0</v>
      </c>
      <c r="BO236" s="1609">
        <f t="shared" si="94"/>
        <v>0</v>
      </c>
      <c r="BP236" s="1609">
        <f t="shared" si="94"/>
        <v>0</v>
      </c>
      <c r="BQ236" s="1609">
        <f t="shared" si="94"/>
        <v>0</v>
      </c>
      <c r="BR236" s="1609">
        <f t="shared" si="94"/>
        <v>0</v>
      </c>
      <c r="BS236" s="1609">
        <f t="shared" si="94"/>
        <v>0</v>
      </c>
      <c r="BT236" s="1171"/>
      <c r="BU236" s="1171"/>
      <c r="BV236" s="1171"/>
      <c r="BW236" s="1171"/>
      <c r="BX236" s="43"/>
      <c r="BY236" s="43"/>
    </row>
    <row r="237" spans="1:77" ht="12" customHeight="1" x14ac:dyDescent="0.35">
      <c r="A237" s="1439">
        <f t="shared" si="92"/>
        <v>46721</v>
      </c>
      <c r="B237" s="82">
        <v>83</v>
      </c>
      <c r="C237" s="1439">
        <f t="shared" si="91"/>
        <v>1096</v>
      </c>
      <c r="D237" s="1449">
        <f>SUM(Input!W$1343:W1364)-E237</f>
        <v>0</v>
      </c>
      <c r="E237" s="1449">
        <f>SUM(Input!W1353:W1364)*1/12</f>
        <v>0</v>
      </c>
      <c r="F237" s="82"/>
      <c r="G237" s="1446">
        <f>IF(Years="Five",SUM(Input!D510:AB510),0)</f>
        <v>0</v>
      </c>
      <c r="H237" s="1446">
        <f>IF(Years="Five",SUM(Input!D830:AB830),0)</f>
        <v>0</v>
      </c>
      <c r="I237" s="1448"/>
      <c r="J237" s="1448"/>
      <c r="K237" s="1601"/>
      <c r="L237" s="268"/>
      <c r="M237" s="268"/>
      <c r="N237" s="268"/>
      <c r="O237" s="268"/>
      <c r="P237" s="268"/>
      <c r="Q237" s="268"/>
      <c r="R237" s="268"/>
      <c r="S237" s="268"/>
      <c r="T237" s="268"/>
      <c r="U237" s="1595"/>
      <c r="V237" s="1595"/>
      <c r="W237" s="1595"/>
      <c r="X237" s="1595"/>
      <c r="Y237" s="1595"/>
      <c r="Z237" s="1595"/>
      <c r="AA237" s="1595"/>
      <c r="AB237" s="1595"/>
      <c r="AC237" s="1595"/>
      <c r="AD237" s="1595"/>
      <c r="AE237" s="1595"/>
      <c r="AF237" s="1596"/>
      <c r="AG237" s="1596"/>
      <c r="AH237" s="1596"/>
      <c r="AI237" s="1596"/>
      <c r="AJ237" s="1596"/>
      <c r="AK237" s="1596"/>
      <c r="AL237" s="1596"/>
      <c r="AM237" s="1596"/>
      <c r="AN237" s="1596"/>
      <c r="AO237" s="1596"/>
      <c r="AP237" s="1596"/>
      <c r="AQ237" s="1596"/>
      <c r="AR237" s="1596"/>
      <c r="AS237" s="1596"/>
      <c r="AT237" s="1596"/>
      <c r="AU237" s="1596"/>
      <c r="AV237" s="1596"/>
      <c r="AW237" s="1596"/>
      <c r="AX237" s="1596"/>
      <c r="AY237" s="1596"/>
      <c r="AZ237" s="1596"/>
      <c r="BA237" s="1596"/>
      <c r="BB237" s="1596"/>
      <c r="BC237" s="1596"/>
      <c r="BD237" s="1596"/>
      <c r="BE237" s="1596"/>
      <c r="BF237" s="1596"/>
      <c r="BG237" s="1596"/>
      <c r="BH237" s="1596"/>
      <c r="BI237" s="1596"/>
      <c r="BJ237" s="1596"/>
      <c r="BK237" s="1596"/>
      <c r="BL237" s="1596"/>
      <c r="BM237" s="1596"/>
      <c r="BN237" s="1596"/>
      <c r="BO237" s="1596"/>
      <c r="BP237" s="1596"/>
      <c r="BQ237" s="1596"/>
      <c r="BR237" s="1596"/>
      <c r="BS237" s="1596"/>
      <c r="BT237" s="1171"/>
      <c r="BU237" s="1171"/>
      <c r="BV237" s="1171"/>
      <c r="BW237" s="1171"/>
      <c r="BX237" s="43"/>
      <c r="BY237" s="43"/>
    </row>
    <row r="238" spans="1:77" ht="12" customHeight="1" x14ac:dyDescent="0.35">
      <c r="A238" s="1439">
        <f t="shared" si="92"/>
        <v>46752</v>
      </c>
      <c r="B238" s="82">
        <v>84</v>
      </c>
      <c r="C238" s="1439">
        <f t="shared" si="91"/>
        <v>1127</v>
      </c>
      <c r="D238" s="1449">
        <f>SUM(Input!W$1343:W1365)-E238</f>
        <v>0</v>
      </c>
      <c r="E238" s="1449">
        <f>SUM(Input!W1354:W1365)*1/12</f>
        <v>0</v>
      </c>
      <c r="F238" s="82"/>
      <c r="G238" s="1446">
        <f>IF(Years="Five",SUM(Input!D511:AB511),0)</f>
        <v>0</v>
      </c>
      <c r="H238" s="1446">
        <f>IF(Years="Five",SUM(Input!D831:AB831),0)</f>
        <v>0</v>
      </c>
      <c r="I238" s="1448"/>
      <c r="J238" s="1448"/>
      <c r="K238" s="1073"/>
      <c r="L238" s="1598">
        <f t="shared" ref="L238:AE238" si="95">L200</f>
        <v>1</v>
      </c>
      <c r="M238" s="1598">
        <f t="shared" si="95"/>
        <v>2</v>
      </c>
      <c r="N238" s="1598">
        <f t="shared" si="95"/>
        <v>3</v>
      </c>
      <c r="O238" s="1598">
        <f t="shared" si="95"/>
        <v>4</v>
      </c>
      <c r="P238" s="1598">
        <f t="shared" si="95"/>
        <v>5</v>
      </c>
      <c r="Q238" s="1598">
        <f t="shared" si="95"/>
        <v>6</v>
      </c>
      <c r="R238" s="1598">
        <f t="shared" si="95"/>
        <v>7</v>
      </c>
      <c r="S238" s="1598">
        <f t="shared" si="95"/>
        <v>8</v>
      </c>
      <c r="T238" s="1598">
        <f t="shared" si="95"/>
        <v>9</v>
      </c>
      <c r="U238" s="1599">
        <f t="shared" si="95"/>
        <v>10</v>
      </c>
      <c r="V238" s="1599">
        <f t="shared" si="95"/>
        <v>11</v>
      </c>
      <c r="W238" s="1599">
        <f t="shared" si="95"/>
        <v>12</v>
      </c>
      <c r="X238" s="1599">
        <f t="shared" si="95"/>
        <v>13</v>
      </c>
      <c r="Y238" s="1599">
        <f t="shared" si="95"/>
        <v>14</v>
      </c>
      <c r="Z238" s="1599">
        <f t="shared" si="95"/>
        <v>15</v>
      </c>
      <c r="AA238" s="1599">
        <f t="shared" si="95"/>
        <v>16</v>
      </c>
      <c r="AB238" s="1599">
        <f t="shared" si="95"/>
        <v>17</v>
      </c>
      <c r="AC238" s="1599">
        <f t="shared" si="95"/>
        <v>18</v>
      </c>
      <c r="AD238" s="1599">
        <f t="shared" si="95"/>
        <v>19</v>
      </c>
      <c r="AE238" s="1599">
        <f t="shared" si="95"/>
        <v>20</v>
      </c>
      <c r="AF238" s="1600">
        <f t="shared" ref="AF238:AQ238" si="96">AF200</f>
        <v>21</v>
      </c>
      <c r="AG238" s="1600">
        <f t="shared" si="96"/>
        <v>22</v>
      </c>
      <c r="AH238" s="1600">
        <f t="shared" si="96"/>
        <v>23</v>
      </c>
      <c r="AI238" s="1600">
        <f t="shared" si="96"/>
        <v>24</v>
      </c>
      <c r="AJ238" s="1600">
        <f t="shared" si="96"/>
        <v>25</v>
      </c>
      <c r="AK238" s="1600">
        <f t="shared" si="96"/>
        <v>26</v>
      </c>
      <c r="AL238" s="1600">
        <f t="shared" si="96"/>
        <v>27</v>
      </c>
      <c r="AM238" s="1600">
        <f t="shared" si="96"/>
        <v>28</v>
      </c>
      <c r="AN238" s="1600">
        <f t="shared" si="96"/>
        <v>29</v>
      </c>
      <c r="AO238" s="1600">
        <f t="shared" si="96"/>
        <v>30</v>
      </c>
      <c r="AP238" s="1600">
        <f t="shared" si="96"/>
        <v>31</v>
      </c>
      <c r="AQ238" s="1600">
        <f t="shared" si="96"/>
        <v>32</v>
      </c>
      <c r="AR238" s="1600">
        <f t="shared" ref="AR238:BS238" si="97">AR200</f>
        <v>33</v>
      </c>
      <c r="AS238" s="1600">
        <f t="shared" si="97"/>
        <v>34</v>
      </c>
      <c r="AT238" s="1600">
        <f t="shared" si="97"/>
        <v>35</v>
      </c>
      <c r="AU238" s="1600">
        <f t="shared" si="97"/>
        <v>36</v>
      </c>
      <c r="AV238" s="1600">
        <f t="shared" si="97"/>
        <v>37</v>
      </c>
      <c r="AW238" s="1600">
        <f t="shared" si="97"/>
        <v>38</v>
      </c>
      <c r="AX238" s="1600">
        <f t="shared" si="97"/>
        <v>39</v>
      </c>
      <c r="AY238" s="1600">
        <f t="shared" si="97"/>
        <v>40</v>
      </c>
      <c r="AZ238" s="1600">
        <f t="shared" si="97"/>
        <v>41</v>
      </c>
      <c r="BA238" s="1600">
        <f t="shared" si="97"/>
        <v>42</v>
      </c>
      <c r="BB238" s="1600">
        <f t="shared" si="97"/>
        <v>43</v>
      </c>
      <c r="BC238" s="1600">
        <f t="shared" si="97"/>
        <v>44</v>
      </c>
      <c r="BD238" s="1600">
        <f t="shared" si="97"/>
        <v>45</v>
      </c>
      <c r="BE238" s="1600">
        <f t="shared" si="97"/>
        <v>46</v>
      </c>
      <c r="BF238" s="1600">
        <f t="shared" si="97"/>
        <v>47</v>
      </c>
      <c r="BG238" s="1600">
        <f t="shared" si="97"/>
        <v>48</v>
      </c>
      <c r="BH238" s="1600">
        <f t="shared" si="97"/>
        <v>49</v>
      </c>
      <c r="BI238" s="1600">
        <f t="shared" si="97"/>
        <v>50</v>
      </c>
      <c r="BJ238" s="1600">
        <f t="shared" si="97"/>
        <v>51</v>
      </c>
      <c r="BK238" s="1600">
        <f t="shared" si="97"/>
        <v>52</v>
      </c>
      <c r="BL238" s="1600">
        <f t="shared" si="97"/>
        <v>53</v>
      </c>
      <c r="BM238" s="1600">
        <f t="shared" si="97"/>
        <v>54</v>
      </c>
      <c r="BN238" s="1600">
        <f t="shared" si="97"/>
        <v>55</v>
      </c>
      <c r="BO238" s="1600">
        <f t="shared" si="97"/>
        <v>56</v>
      </c>
      <c r="BP238" s="1600">
        <f t="shared" si="97"/>
        <v>57</v>
      </c>
      <c r="BQ238" s="1600">
        <f t="shared" si="97"/>
        <v>58</v>
      </c>
      <c r="BR238" s="1600">
        <f t="shared" si="97"/>
        <v>59</v>
      </c>
      <c r="BS238" s="1600">
        <f t="shared" si="97"/>
        <v>60</v>
      </c>
      <c r="BT238" s="1171"/>
      <c r="BU238" s="1171"/>
      <c r="BV238" s="1171"/>
      <c r="BW238" s="1171"/>
      <c r="BX238" s="43"/>
      <c r="BY238" s="43"/>
    </row>
    <row r="239" spans="1:77" ht="12" customHeight="1" x14ac:dyDescent="0.35">
      <c r="A239" s="1439">
        <f t="shared" si="92"/>
        <v>46783</v>
      </c>
      <c r="B239" s="82">
        <v>85</v>
      </c>
      <c r="C239" s="1439">
        <f t="shared" si="91"/>
        <v>1155</v>
      </c>
      <c r="D239" s="1449">
        <f>SUM(Input!W$1343:W1366)-E239</f>
        <v>0</v>
      </c>
      <c r="E239" s="1449">
        <f>SUM(Input!W1355:W1366)*1/12</f>
        <v>0</v>
      </c>
      <c r="F239" s="82"/>
      <c r="G239" s="1446">
        <f>IF(Years="Five",SUM(Input!D512:AB512),0)</f>
        <v>0</v>
      </c>
      <c r="H239" s="1446">
        <f>IF(Years="Five",SUM(Input!D832:AB832),0)</f>
        <v>0</v>
      </c>
      <c r="I239" s="1448"/>
      <c r="J239" s="1448"/>
      <c r="K239" s="1601" t="str">
        <f>Input!$D$1171</f>
        <v>Item 1</v>
      </c>
      <c r="L239" s="268">
        <f>Input!$D$1235</f>
        <v>0</v>
      </c>
      <c r="M239" s="268">
        <f>Input!$D$1236</f>
        <v>0</v>
      </c>
      <c r="N239" s="268">
        <f>Input!$D$1237</f>
        <v>0</v>
      </c>
      <c r="O239" s="268">
        <f>Input!$D$1238</f>
        <v>0</v>
      </c>
      <c r="P239" s="268">
        <f>Input!$D$1239</f>
        <v>0</v>
      </c>
      <c r="Q239" s="268">
        <f>Input!$D$1240</f>
        <v>0</v>
      </c>
      <c r="R239" s="268">
        <f>Input!$D$1241</f>
        <v>0</v>
      </c>
      <c r="S239" s="268">
        <f>Input!$D$1242</f>
        <v>0</v>
      </c>
      <c r="T239" s="268">
        <f>Input!$D$1243</f>
        <v>0</v>
      </c>
      <c r="U239" s="1595">
        <f>Input!$D$1244</f>
        <v>0</v>
      </c>
      <c r="V239" s="1595">
        <f>Input!$D$1245</f>
        <v>0</v>
      </c>
      <c r="W239" s="1595">
        <f>Input!$D$1246</f>
        <v>0</v>
      </c>
      <c r="X239" s="1595">
        <f>Input!$D$1247</f>
        <v>0</v>
      </c>
      <c r="Y239" s="1595">
        <f>Input!$D$1248</f>
        <v>0</v>
      </c>
      <c r="Z239" s="1595">
        <f>Input!$D$1249</f>
        <v>0</v>
      </c>
      <c r="AA239" s="1595">
        <f>Input!$D$1250</f>
        <v>0</v>
      </c>
      <c r="AB239" s="1595">
        <f>Input!$D$1251</f>
        <v>0</v>
      </c>
      <c r="AC239" s="1595">
        <f>Input!$D$1252</f>
        <v>0</v>
      </c>
      <c r="AD239" s="1595">
        <f>Input!$D$1253</f>
        <v>0</v>
      </c>
      <c r="AE239" s="1595">
        <f>Input!$D$1254</f>
        <v>0</v>
      </c>
      <c r="AF239" s="1596">
        <f>Input!$D$1255</f>
        <v>0</v>
      </c>
      <c r="AG239" s="1596">
        <f>Input!$D$1256</f>
        <v>0</v>
      </c>
      <c r="AH239" s="1596">
        <f>Input!$D$1257</f>
        <v>0</v>
      </c>
      <c r="AI239" s="1596">
        <f>Input!$D$1258</f>
        <v>0</v>
      </c>
      <c r="AJ239" s="1596">
        <f>Input!$D$1259</f>
        <v>0</v>
      </c>
      <c r="AK239" s="1596">
        <f>Input!$D$1260</f>
        <v>0</v>
      </c>
      <c r="AL239" s="1596">
        <f>Input!$D$1261</f>
        <v>0</v>
      </c>
      <c r="AM239" s="1596">
        <f>Input!$D$1262</f>
        <v>0</v>
      </c>
      <c r="AN239" s="1596">
        <f>Input!$D$1263</f>
        <v>0</v>
      </c>
      <c r="AO239" s="1596">
        <f>Input!$D$1264</f>
        <v>0</v>
      </c>
      <c r="AP239" s="1596">
        <f>Input!$D$1265</f>
        <v>0</v>
      </c>
      <c r="AQ239" s="1596">
        <f>Input!$D$1266</f>
        <v>0</v>
      </c>
      <c r="AR239" s="1596">
        <f>Input!$D$1267</f>
        <v>0</v>
      </c>
      <c r="AS239" s="1596">
        <f>Input!$D$1268</f>
        <v>0</v>
      </c>
      <c r="AT239" s="1596">
        <f>Input!$D$1269</f>
        <v>0</v>
      </c>
      <c r="AU239" s="1596">
        <f>Input!$D$1270</f>
        <v>0</v>
      </c>
      <c r="AV239" s="1596">
        <f>Input!$D$1271</f>
        <v>0</v>
      </c>
      <c r="AW239" s="1596">
        <f>Input!$D$1272</f>
        <v>0</v>
      </c>
      <c r="AX239" s="1596">
        <f>Input!$D$1273</f>
        <v>0</v>
      </c>
      <c r="AY239" s="1596">
        <f>Input!$D$1274</f>
        <v>0</v>
      </c>
      <c r="AZ239" s="1596">
        <f>Input!$D$1275</f>
        <v>0</v>
      </c>
      <c r="BA239" s="1596">
        <f>Input!$D$1276</f>
        <v>0</v>
      </c>
      <c r="BB239" s="1596">
        <f>Input!$D$1277</f>
        <v>0</v>
      </c>
      <c r="BC239" s="1596">
        <f>Input!$D$1278</f>
        <v>0</v>
      </c>
      <c r="BD239" s="1596">
        <f>Input!$D$1279</f>
        <v>0</v>
      </c>
      <c r="BE239" s="1596">
        <f>Input!$D$1280</f>
        <v>0</v>
      </c>
      <c r="BF239" s="1596">
        <f>Input!$D$1281</f>
        <v>0</v>
      </c>
      <c r="BG239" s="1596">
        <f>Input!$D$1282</f>
        <v>0</v>
      </c>
      <c r="BH239" s="1596">
        <f>Input!$D$1283</f>
        <v>0</v>
      </c>
      <c r="BI239" s="1596">
        <f>Input!$D$1284</f>
        <v>0</v>
      </c>
      <c r="BJ239" s="1596">
        <f>Input!$D$1285</f>
        <v>0</v>
      </c>
      <c r="BK239" s="1596">
        <f>Input!$D$1286</f>
        <v>0</v>
      </c>
      <c r="BL239" s="1596">
        <f>Input!$D$1287</f>
        <v>0</v>
      </c>
      <c r="BM239" s="1596">
        <f>Input!$D$1288</f>
        <v>0</v>
      </c>
      <c r="BN239" s="1596">
        <f>Input!$D$1289</f>
        <v>0</v>
      </c>
      <c r="BO239" s="1596">
        <f>Input!$D$1290</f>
        <v>0</v>
      </c>
      <c r="BP239" s="1596">
        <f>Input!$D$1291</f>
        <v>0</v>
      </c>
      <c r="BQ239" s="1596">
        <f>Input!$D$1292</f>
        <v>0</v>
      </c>
      <c r="BR239" s="1596">
        <f>Input!$D$1293</f>
        <v>0</v>
      </c>
      <c r="BS239" s="1596">
        <f>Input!$D$1294</f>
        <v>0</v>
      </c>
      <c r="BT239" s="1171"/>
      <c r="BU239" s="1171"/>
      <c r="BV239" s="1171"/>
      <c r="BW239" s="1171"/>
      <c r="BX239" s="43"/>
      <c r="BY239" s="43"/>
    </row>
    <row r="240" spans="1:77" ht="12" customHeight="1" x14ac:dyDescent="0.35">
      <c r="A240" s="1439">
        <f t="shared" si="92"/>
        <v>46812</v>
      </c>
      <c r="B240" s="82">
        <v>86</v>
      </c>
      <c r="C240" s="1439">
        <f t="shared" si="91"/>
        <v>1186</v>
      </c>
      <c r="D240" s="1449">
        <f>SUM(Input!W1344:W1367)-E240</f>
        <v>0</v>
      </c>
      <c r="E240" s="1449">
        <f>SUM(Input!W1356:W1367)*1/12</f>
        <v>0</v>
      </c>
      <c r="F240" s="82"/>
      <c r="G240" s="1446">
        <f>IF(Years="Five",SUM(Input!D513:AB513),0)</f>
        <v>0</v>
      </c>
      <c r="H240" s="1446">
        <f>IF(Years="Five",SUM(Input!D833:AB833),0)</f>
        <v>0</v>
      </c>
      <c r="I240" s="1448"/>
      <c r="J240" s="1448"/>
      <c r="K240" s="1601" t="str">
        <f>Input!$E$1171</f>
        <v>Item 2</v>
      </c>
      <c r="L240" s="268">
        <f>Input!$E$1235</f>
        <v>0</v>
      </c>
      <c r="M240" s="268">
        <f>Input!$E$1236</f>
        <v>0</v>
      </c>
      <c r="N240" s="268">
        <f>Input!$E$1237</f>
        <v>0</v>
      </c>
      <c r="O240" s="268">
        <f>Input!$E$1238</f>
        <v>0</v>
      </c>
      <c r="P240" s="268">
        <f>Input!$E$1239</f>
        <v>0</v>
      </c>
      <c r="Q240" s="268">
        <f>Input!$E$1240</f>
        <v>0</v>
      </c>
      <c r="R240" s="268">
        <f>Input!$E$1241</f>
        <v>0</v>
      </c>
      <c r="S240" s="268">
        <f>Input!$E$1242</f>
        <v>0</v>
      </c>
      <c r="T240" s="268">
        <f>Input!$E$1243</f>
        <v>0</v>
      </c>
      <c r="U240" s="1595">
        <f>Input!$E$1244</f>
        <v>0</v>
      </c>
      <c r="V240" s="1595">
        <f>Input!$E$1245</f>
        <v>0</v>
      </c>
      <c r="W240" s="1595">
        <f>Input!$E$1246</f>
        <v>0</v>
      </c>
      <c r="X240" s="1595">
        <f>Input!$E$1247</f>
        <v>0</v>
      </c>
      <c r="Y240" s="1595">
        <f>Input!$E$1248</f>
        <v>0</v>
      </c>
      <c r="Z240" s="1595">
        <f>Input!$E$1249</f>
        <v>0</v>
      </c>
      <c r="AA240" s="1595">
        <f>Input!$E$1250</f>
        <v>0</v>
      </c>
      <c r="AB240" s="1595">
        <f>Input!$E$1251</f>
        <v>0</v>
      </c>
      <c r="AC240" s="1595">
        <f>Input!$E$1252</f>
        <v>0</v>
      </c>
      <c r="AD240" s="1595">
        <f>Input!$E$1253</f>
        <v>0</v>
      </c>
      <c r="AE240" s="1595">
        <f>Input!$E$1254</f>
        <v>0</v>
      </c>
      <c r="AF240" s="1596">
        <f>Input!$E$1255</f>
        <v>0</v>
      </c>
      <c r="AG240" s="1596">
        <f>Input!$E$1256</f>
        <v>0</v>
      </c>
      <c r="AH240" s="1596">
        <f>Input!$E$1257</f>
        <v>0</v>
      </c>
      <c r="AI240" s="1596">
        <f>Input!$E$1258</f>
        <v>0</v>
      </c>
      <c r="AJ240" s="1596">
        <f>Input!$E$1259</f>
        <v>0</v>
      </c>
      <c r="AK240" s="1596">
        <f>Input!$E$1260</f>
        <v>0</v>
      </c>
      <c r="AL240" s="1596">
        <f>Input!$E$1261</f>
        <v>0</v>
      </c>
      <c r="AM240" s="1596">
        <f>Input!$E$1262</f>
        <v>0</v>
      </c>
      <c r="AN240" s="1596">
        <f>Input!$E$1263</f>
        <v>0</v>
      </c>
      <c r="AO240" s="1596">
        <f>Input!$E$1264</f>
        <v>0</v>
      </c>
      <c r="AP240" s="1596">
        <f>Input!$E$1265</f>
        <v>0</v>
      </c>
      <c r="AQ240" s="1596">
        <f>Input!$E$1266</f>
        <v>0</v>
      </c>
      <c r="AR240" s="1596">
        <f>Input!$E$1267</f>
        <v>0</v>
      </c>
      <c r="AS240" s="1596">
        <f>Input!$E$1268</f>
        <v>0</v>
      </c>
      <c r="AT240" s="1596">
        <f>Input!$E$1269</f>
        <v>0</v>
      </c>
      <c r="AU240" s="1596">
        <f>Input!$E$1270</f>
        <v>0</v>
      </c>
      <c r="AV240" s="1596">
        <f>Input!$E$1271</f>
        <v>0</v>
      </c>
      <c r="AW240" s="1596">
        <f>Input!$E$1272</f>
        <v>0</v>
      </c>
      <c r="AX240" s="1596">
        <f>Input!$E$1273</f>
        <v>0</v>
      </c>
      <c r="AY240" s="1596">
        <f>Input!$E$1274</f>
        <v>0</v>
      </c>
      <c r="AZ240" s="1596">
        <f>Input!$E$1275</f>
        <v>0</v>
      </c>
      <c r="BA240" s="1596">
        <f>Input!$E$1276</f>
        <v>0</v>
      </c>
      <c r="BB240" s="1596">
        <f>Input!$E$1277</f>
        <v>0</v>
      </c>
      <c r="BC240" s="1596">
        <f>Input!$E$1278</f>
        <v>0</v>
      </c>
      <c r="BD240" s="1596">
        <f>Input!$E$1279</f>
        <v>0</v>
      </c>
      <c r="BE240" s="1596">
        <f>Input!$E$1280</f>
        <v>0</v>
      </c>
      <c r="BF240" s="1596">
        <f>Input!$E$1281</f>
        <v>0</v>
      </c>
      <c r="BG240" s="1596">
        <f>Input!$E$1282</f>
        <v>0</v>
      </c>
      <c r="BH240" s="1596">
        <f>Input!$E$1283</f>
        <v>0</v>
      </c>
      <c r="BI240" s="1596">
        <f>Input!$E$1284</f>
        <v>0</v>
      </c>
      <c r="BJ240" s="1596">
        <f>Input!$E$1285</f>
        <v>0</v>
      </c>
      <c r="BK240" s="1596">
        <f>Input!$E$1286</f>
        <v>0</v>
      </c>
      <c r="BL240" s="1596">
        <f>Input!$E$1287</f>
        <v>0</v>
      </c>
      <c r="BM240" s="1596">
        <f>Input!$E$1288</f>
        <v>0</v>
      </c>
      <c r="BN240" s="1596">
        <f>Input!$E$1289</f>
        <v>0</v>
      </c>
      <c r="BO240" s="1596">
        <f>Input!$E$1290</f>
        <v>0</v>
      </c>
      <c r="BP240" s="1596">
        <f>Input!$E$1291</f>
        <v>0</v>
      </c>
      <c r="BQ240" s="1596">
        <f>Input!$E$1292</f>
        <v>0</v>
      </c>
      <c r="BR240" s="1596">
        <f>Input!$E$1293</f>
        <v>0</v>
      </c>
      <c r="BS240" s="1596">
        <f>Input!$E$1294</f>
        <v>0</v>
      </c>
      <c r="BT240" s="1171"/>
      <c r="BU240" s="1171"/>
      <c r="BV240" s="1171"/>
      <c r="BW240" s="1171"/>
      <c r="BX240" s="43"/>
      <c r="BY240" s="43"/>
    </row>
    <row r="241" spans="1:77" ht="12" customHeight="1" x14ac:dyDescent="0.35">
      <c r="A241" s="1439">
        <f t="shared" si="92"/>
        <v>46843</v>
      </c>
      <c r="B241" s="82">
        <v>87</v>
      </c>
      <c r="C241" s="1439">
        <f t="shared" si="91"/>
        <v>1216</v>
      </c>
      <c r="D241" s="1449">
        <f>SUM(Input!W1345:W1368)-E241</f>
        <v>0</v>
      </c>
      <c r="E241" s="1449">
        <f>SUM(Input!W1357:W1368)*1/12</f>
        <v>0</v>
      </c>
      <c r="F241" s="82"/>
      <c r="G241" s="1446">
        <f>IF(Years="Five",SUM(Input!D514:AB514),0)</f>
        <v>0</v>
      </c>
      <c r="H241" s="1446">
        <f>IF(Years="Five",SUM(Input!D834:AB834),0)</f>
        <v>0</v>
      </c>
      <c r="I241" s="1448"/>
      <c r="J241" s="1448"/>
      <c r="K241" s="1601" t="str">
        <f>Input!$F$1171</f>
        <v>Item 3</v>
      </c>
      <c r="L241" s="268">
        <f>Input!$F$1235</f>
        <v>0</v>
      </c>
      <c r="M241" s="268">
        <f>Input!$F$1236</f>
        <v>0</v>
      </c>
      <c r="N241" s="268">
        <f>Input!$F$1237</f>
        <v>0</v>
      </c>
      <c r="O241" s="268">
        <f>Input!$F$1238</f>
        <v>0</v>
      </c>
      <c r="P241" s="268">
        <f>Input!$F$1239</f>
        <v>0</v>
      </c>
      <c r="Q241" s="268">
        <f>Input!$F$1240</f>
        <v>0</v>
      </c>
      <c r="R241" s="268">
        <f>Input!$F$1241</f>
        <v>0</v>
      </c>
      <c r="S241" s="268">
        <f>Input!$F$1242</f>
        <v>0</v>
      </c>
      <c r="T241" s="268">
        <f>Input!$F$1243</f>
        <v>0</v>
      </c>
      <c r="U241" s="1595">
        <f>Input!$F$1244</f>
        <v>0</v>
      </c>
      <c r="V241" s="1595">
        <f>Input!$F$1245</f>
        <v>0</v>
      </c>
      <c r="W241" s="1595">
        <f>Input!$F$1246</f>
        <v>0</v>
      </c>
      <c r="X241" s="1595">
        <f>Input!$F$1247</f>
        <v>0</v>
      </c>
      <c r="Y241" s="1595">
        <f>Input!$F$1248</f>
        <v>0</v>
      </c>
      <c r="Z241" s="1595">
        <f>Input!$F$1249</f>
        <v>0</v>
      </c>
      <c r="AA241" s="1595">
        <f>Input!$F$1250</f>
        <v>0</v>
      </c>
      <c r="AB241" s="1595">
        <f>Input!$F$1251</f>
        <v>0</v>
      </c>
      <c r="AC241" s="1595">
        <f>Input!$F$1252</f>
        <v>0</v>
      </c>
      <c r="AD241" s="1595">
        <f>Input!$F$1253</f>
        <v>0</v>
      </c>
      <c r="AE241" s="1595">
        <f>Input!$F$1254</f>
        <v>0</v>
      </c>
      <c r="AF241" s="1596">
        <f>Input!$F$1255</f>
        <v>0</v>
      </c>
      <c r="AG241" s="1596">
        <f>Input!$F$1256</f>
        <v>0</v>
      </c>
      <c r="AH241" s="1596">
        <f>Input!$F$1257</f>
        <v>0</v>
      </c>
      <c r="AI241" s="1596">
        <f>Input!$F$1258</f>
        <v>0</v>
      </c>
      <c r="AJ241" s="1596">
        <f>Input!$F$1259</f>
        <v>0</v>
      </c>
      <c r="AK241" s="1596">
        <f>Input!$F$1260</f>
        <v>0</v>
      </c>
      <c r="AL241" s="1596">
        <f>Input!$F$1261</f>
        <v>0</v>
      </c>
      <c r="AM241" s="1596">
        <f>Input!$F$1262</f>
        <v>0</v>
      </c>
      <c r="AN241" s="1596">
        <f>Input!$F$1263</f>
        <v>0</v>
      </c>
      <c r="AO241" s="1596">
        <f>Input!$F$1264</f>
        <v>0</v>
      </c>
      <c r="AP241" s="1596">
        <f>Input!$F$1265</f>
        <v>0</v>
      </c>
      <c r="AQ241" s="1596">
        <f>Input!$F$1266</f>
        <v>0</v>
      </c>
      <c r="AR241" s="1596">
        <f>Input!$F$1267</f>
        <v>0</v>
      </c>
      <c r="AS241" s="1596">
        <f>Input!$F$1268</f>
        <v>0</v>
      </c>
      <c r="AT241" s="1596">
        <f>Input!$F$1269</f>
        <v>0</v>
      </c>
      <c r="AU241" s="1596">
        <f>Input!$F$1270</f>
        <v>0</v>
      </c>
      <c r="AV241" s="1596">
        <f>Input!$F$1271</f>
        <v>0</v>
      </c>
      <c r="AW241" s="1596">
        <f>Input!$F$1272</f>
        <v>0</v>
      </c>
      <c r="AX241" s="1596">
        <f>Input!$F$1273</f>
        <v>0</v>
      </c>
      <c r="AY241" s="1596">
        <f>Input!$F$1274</f>
        <v>0</v>
      </c>
      <c r="AZ241" s="1596">
        <f>Input!$F$1275</f>
        <v>0</v>
      </c>
      <c r="BA241" s="1596">
        <f>Input!$F$1276</f>
        <v>0</v>
      </c>
      <c r="BB241" s="1596">
        <f>Input!$F$1277</f>
        <v>0</v>
      </c>
      <c r="BC241" s="1596">
        <f>Input!$F$1278</f>
        <v>0</v>
      </c>
      <c r="BD241" s="1596">
        <f>Input!$F$1279</f>
        <v>0</v>
      </c>
      <c r="BE241" s="1596">
        <f>Input!$F$1280</f>
        <v>0</v>
      </c>
      <c r="BF241" s="1596">
        <f>Input!$F$1281</f>
        <v>0</v>
      </c>
      <c r="BG241" s="1596">
        <f>Input!$F$1282</f>
        <v>0</v>
      </c>
      <c r="BH241" s="1596">
        <f>Input!$F$1283</f>
        <v>0</v>
      </c>
      <c r="BI241" s="1596">
        <f>Input!$F$1284</f>
        <v>0</v>
      </c>
      <c r="BJ241" s="1596">
        <f>Input!$F$1285</f>
        <v>0</v>
      </c>
      <c r="BK241" s="1596">
        <f>Input!$F$1286</f>
        <v>0</v>
      </c>
      <c r="BL241" s="1596">
        <f>Input!$F$1287</f>
        <v>0</v>
      </c>
      <c r="BM241" s="1596">
        <f>Input!$F$1288</f>
        <v>0</v>
      </c>
      <c r="BN241" s="1596">
        <f>Input!$F$1289</f>
        <v>0</v>
      </c>
      <c r="BO241" s="1596">
        <f>Input!$F$1290</f>
        <v>0</v>
      </c>
      <c r="BP241" s="1596">
        <f>Input!$F$1291</f>
        <v>0</v>
      </c>
      <c r="BQ241" s="1596">
        <f>Input!$F$1292</f>
        <v>0</v>
      </c>
      <c r="BR241" s="1596">
        <f>Input!$F$1293</f>
        <v>0</v>
      </c>
      <c r="BS241" s="1596">
        <f>Input!$F$1294</f>
        <v>0</v>
      </c>
      <c r="BT241" s="1171"/>
      <c r="BU241" s="1171"/>
      <c r="BV241" s="1171"/>
      <c r="BW241" s="1171"/>
      <c r="BX241" s="43"/>
      <c r="BY241" s="43"/>
    </row>
    <row r="242" spans="1:77" ht="12" customHeight="1" x14ac:dyDescent="0.35">
      <c r="A242" s="1439">
        <f t="shared" si="92"/>
        <v>46873</v>
      </c>
      <c r="B242" s="82">
        <v>88</v>
      </c>
      <c r="C242" s="1439">
        <f t="shared" si="91"/>
        <v>1247</v>
      </c>
      <c r="D242" s="1449">
        <f>SUM(Input!W1346:W1369)-E242</f>
        <v>0</v>
      </c>
      <c r="E242" s="1449">
        <f>SUM(Input!W1358:W1369)*1/12</f>
        <v>0</v>
      </c>
      <c r="F242" s="82"/>
      <c r="G242" s="1446">
        <f>IF(Years="Five",SUM(Input!D515:AB515),0)</f>
        <v>0</v>
      </c>
      <c r="H242" s="1446">
        <f>IF(Years="Five",SUM(Input!D835:AB835),0)</f>
        <v>0</v>
      </c>
      <c r="I242" s="1448"/>
      <c r="J242" s="1448"/>
      <c r="K242" s="1601" t="str">
        <f>Input!$G$1171</f>
        <v>Item 4</v>
      </c>
      <c r="L242" s="268">
        <f>Input!$G$1235</f>
        <v>0</v>
      </c>
      <c r="M242" s="268">
        <f>Input!$G$1236</f>
        <v>0</v>
      </c>
      <c r="N242" s="268">
        <f>Input!$G$1237</f>
        <v>0</v>
      </c>
      <c r="O242" s="268">
        <f>Input!$G$1238</f>
        <v>0</v>
      </c>
      <c r="P242" s="268">
        <f>Input!$G$1239</f>
        <v>0</v>
      </c>
      <c r="Q242" s="268">
        <f>Input!$G$1240</f>
        <v>0</v>
      </c>
      <c r="R242" s="268">
        <f>Input!$G$1241</f>
        <v>0</v>
      </c>
      <c r="S242" s="268">
        <f>Input!$G$1242</f>
        <v>0</v>
      </c>
      <c r="T242" s="268">
        <f>Input!$G$1243</f>
        <v>0</v>
      </c>
      <c r="U242" s="1595">
        <f>Input!$G$1244</f>
        <v>0</v>
      </c>
      <c r="V242" s="1595">
        <f>Input!$G$1245</f>
        <v>0</v>
      </c>
      <c r="W242" s="1595">
        <f>Input!$G$1246</f>
        <v>0</v>
      </c>
      <c r="X242" s="1595">
        <f>Input!$G$1247</f>
        <v>0</v>
      </c>
      <c r="Y242" s="1595">
        <f>Input!$G$1248</f>
        <v>0</v>
      </c>
      <c r="Z242" s="1595">
        <f>Input!$G$1249</f>
        <v>0</v>
      </c>
      <c r="AA242" s="1595">
        <f>Input!$G$1250</f>
        <v>0</v>
      </c>
      <c r="AB242" s="1595">
        <f>Input!$G$1251</f>
        <v>0</v>
      </c>
      <c r="AC242" s="1595">
        <f>Input!$G$1252</f>
        <v>0</v>
      </c>
      <c r="AD242" s="1595">
        <f>Input!$G$1253</f>
        <v>0</v>
      </c>
      <c r="AE242" s="1595">
        <f>Input!$G$1254</f>
        <v>0</v>
      </c>
      <c r="AF242" s="1596">
        <f>Input!$G$1255</f>
        <v>0</v>
      </c>
      <c r="AG242" s="1596">
        <f>Input!$G$1256</f>
        <v>0</v>
      </c>
      <c r="AH242" s="1596">
        <f>Input!$G$1257</f>
        <v>0</v>
      </c>
      <c r="AI242" s="1596">
        <f>Input!$G$1258</f>
        <v>0</v>
      </c>
      <c r="AJ242" s="1596">
        <f>Input!$G$1259</f>
        <v>0</v>
      </c>
      <c r="AK242" s="1596">
        <f>Input!$G$1260</f>
        <v>0</v>
      </c>
      <c r="AL242" s="1596">
        <f>Input!$G$1261</f>
        <v>0</v>
      </c>
      <c r="AM242" s="1596">
        <f>Input!$G$1262</f>
        <v>0</v>
      </c>
      <c r="AN242" s="1596">
        <f>Input!$G$1263</f>
        <v>0</v>
      </c>
      <c r="AO242" s="1596">
        <f>Input!$G$1264</f>
        <v>0</v>
      </c>
      <c r="AP242" s="1596">
        <f>Input!$G$1265</f>
        <v>0</v>
      </c>
      <c r="AQ242" s="1596">
        <f>Input!$G$1266</f>
        <v>0</v>
      </c>
      <c r="AR242" s="1596">
        <f>Input!$G$1267</f>
        <v>0</v>
      </c>
      <c r="AS242" s="1596">
        <f>Input!$G$1268</f>
        <v>0</v>
      </c>
      <c r="AT242" s="1596">
        <f>Input!$G$1269</f>
        <v>0</v>
      </c>
      <c r="AU242" s="1596">
        <f>Input!$G$1270</f>
        <v>0</v>
      </c>
      <c r="AV242" s="1596">
        <f>Input!$G$1271</f>
        <v>0</v>
      </c>
      <c r="AW242" s="1596">
        <f>Input!$G$1272</f>
        <v>0</v>
      </c>
      <c r="AX242" s="1596">
        <f>Input!$G$1273</f>
        <v>0</v>
      </c>
      <c r="AY242" s="1596">
        <f>Input!$G$1274</f>
        <v>0</v>
      </c>
      <c r="AZ242" s="1596">
        <f>Input!$G$1275</f>
        <v>0</v>
      </c>
      <c r="BA242" s="1596">
        <f>Input!$G$1276</f>
        <v>0</v>
      </c>
      <c r="BB242" s="1596">
        <f>Input!$G$1277</f>
        <v>0</v>
      </c>
      <c r="BC242" s="1596">
        <f>Input!$G$1278</f>
        <v>0</v>
      </c>
      <c r="BD242" s="1596">
        <f>Input!$G$1279</f>
        <v>0</v>
      </c>
      <c r="BE242" s="1596">
        <f>Input!$G$1280</f>
        <v>0</v>
      </c>
      <c r="BF242" s="1596">
        <f>Input!$G$1281</f>
        <v>0</v>
      </c>
      <c r="BG242" s="1596">
        <f>Input!$G$1282</f>
        <v>0</v>
      </c>
      <c r="BH242" s="1596">
        <f>Input!$G$1283</f>
        <v>0</v>
      </c>
      <c r="BI242" s="1596">
        <f>Input!$G$1284</f>
        <v>0</v>
      </c>
      <c r="BJ242" s="1596">
        <f>Input!$G$1285</f>
        <v>0</v>
      </c>
      <c r="BK242" s="1596">
        <f>Input!$G$1286</f>
        <v>0</v>
      </c>
      <c r="BL242" s="1596">
        <f>Input!$G$1287</f>
        <v>0</v>
      </c>
      <c r="BM242" s="1596">
        <f>Input!$G$1288</f>
        <v>0</v>
      </c>
      <c r="BN242" s="1596">
        <f>Input!$G$1289</f>
        <v>0</v>
      </c>
      <c r="BO242" s="1596">
        <f>Input!$G$1290</f>
        <v>0</v>
      </c>
      <c r="BP242" s="1596">
        <f>Input!$G$1291</f>
        <v>0</v>
      </c>
      <c r="BQ242" s="1596">
        <f>Input!$G$1292</f>
        <v>0</v>
      </c>
      <c r="BR242" s="1596">
        <f>Input!$G$1293</f>
        <v>0</v>
      </c>
      <c r="BS242" s="1596">
        <f>Input!$G$1294</f>
        <v>0</v>
      </c>
      <c r="BT242" s="1171"/>
      <c r="BU242" s="1171"/>
      <c r="BV242" s="1171"/>
      <c r="BW242" s="1171"/>
      <c r="BX242" s="43"/>
      <c r="BY242" s="43"/>
    </row>
    <row r="243" spans="1:77" ht="12" customHeight="1" x14ac:dyDescent="0.35">
      <c r="A243" s="1439">
        <f t="shared" si="92"/>
        <v>46904</v>
      </c>
      <c r="B243" s="82">
        <v>89</v>
      </c>
      <c r="C243" s="1439">
        <f t="shared" si="91"/>
        <v>1277</v>
      </c>
      <c r="D243" s="1449">
        <f>SUM(Input!W1347:W1370)-E243</f>
        <v>0</v>
      </c>
      <c r="E243" s="1449">
        <f>SUM(Input!W1359:W1370)*1/12</f>
        <v>0</v>
      </c>
      <c r="F243" s="82"/>
      <c r="G243" s="1446">
        <f>IF(Years="Five",SUM(Input!D516:AB516),0)</f>
        <v>0</v>
      </c>
      <c r="H243" s="1446">
        <f>IF(Years="Five",SUM(Input!D836:AB836),0)</f>
        <v>0</v>
      </c>
      <c r="I243" s="1448"/>
      <c r="J243" s="1448"/>
      <c r="K243" s="1601" t="str">
        <f>Input!$H$1171</f>
        <v>Item 5</v>
      </c>
      <c r="L243" s="268">
        <f>Input!$H$1235</f>
        <v>0</v>
      </c>
      <c r="M243" s="268">
        <f>Input!$H$1236</f>
        <v>0</v>
      </c>
      <c r="N243" s="268">
        <f>Input!$H$1237</f>
        <v>0</v>
      </c>
      <c r="O243" s="268">
        <f>Input!$H$1238</f>
        <v>0</v>
      </c>
      <c r="P243" s="268">
        <f>Input!$H$1239</f>
        <v>0</v>
      </c>
      <c r="Q243" s="268">
        <f>Input!$H$1240</f>
        <v>0</v>
      </c>
      <c r="R243" s="268">
        <f>Input!$H$1241</f>
        <v>0</v>
      </c>
      <c r="S243" s="268">
        <f>Input!$H$1242</f>
        <v>0</v>
      </c>
      <c r="T243" s="268">
        <f>Input!$H$1243</f>
        <v>0</v>
      </c>
      <c r="U243" s="1595">
        <f>Input!$H$1244</f>
        <v>0</v>
      </c>
      <c r="V243" s="1595">
        <f>Input!$H$1245</f>
        <v>0</v>
      </c>
      <c r="W243" s="1595">
        <f>Input!$H$1246</f>
        <v>0</v>
      </c>
      <c r="X243" s="1595">
        <f>Input!$H$1247</f>
        <v>0</v>
      </c>
      <c r="Y243" s="1595">
        <f>Input!$H$1248</f>
        <v>0</v>
      </c>
      <c r="Z243" s="1595">
        <f>Input!$H$1249</f>
        <v>0</v>
      </c>
      <c r="AA243" s="1595">
        <f>Input!$H$1250</f>
        <v>0</v>
      </c>
      <c r="AB243" s="1595">
        <f>Input!$H$1251</f>
        <v>0</v>
      </c>
      <c r="AC243" s="1595">
        <f>Input!$H$1252</f>
        <v>0</v>
      </c>
      <c r="AD243" s="1595">
        <f>Input!$H$1253</f>
        <v>0</v>
      </c>
      <c r="AE243" s="1595">
        <f>Input!$H$1254</f>
        <v>0</v>
      </c>
      <c r="AF243" s="1596">
        <f>Input!$H$1255</f>
        <v>0</v>
      </c>
      <c r="AG243" s="1596">
        <f>Input!$H$1256</f>
        <v>0</v>
      </c>
      <c r="AH243" s="1596">
        <f>Input!$H$1257</f>
        <v>0</v>
      </c>
      <c r="AI243" s="1596">
        <f>Input!$H$1258</f>
        <v>0</v>
      </c>
      <c r="AJ243" s="1596">
        <f>Input!$H$1259</f>
        <v>0</v>
      </c>
      <c r="AK243" s="1596">
        <f>Input!$H$1260</f>
        <v>0</v>
      </c>
      <c r="AL243" s="1596">
        <f>Input!$H$1261</f>
        <v>0</v>
      </c>
      <c r="AM243" s="1596">
        <f>Input!$H$1262</f>
        <v>0</v>
      </c>
      <c r="AN243" s="1596">
        <f>Input!$H$1263</f>
        <v>0</v>
      </c>
      <c r="AO243" s="1596">
        <f>Input!$H$1264</f>
        <v>0</v>
      </c>
      <c r="AP243" s="1596">
        <f>Input!$H$1265</f>
        <v>0</v>
      </c>
      <c r="AQ243" s="1596">
        <f>Input!$H$1266</f>
        <v>0</v>
      </c>
      <c r="AR243" s="1596">
        <f>Input!$H$1267</f>
        <v>0</v>
      </c>
      <c r="AS243" s="1596">
        <f>Input!$H$1268</f>
        <v>0</v>
      </c>
      <c r="AT243" s="1596">
        <f>Input!$H$1269</f>
        <v>0</v>
      </c>
      <c r="AU243" s="1596">
        <f>Input!$H$1270</f>
        <v>0</v>
      </c>
      <c r="AV243" s="1596">
        <f>Input!$H$1271</f>
        <v>0</v>
      </c>
      <c r="AW243" s="1596">
        <f>Input!$H$1272</f>
        <v>0</v>
      </c>
      <c r="AX243" s="1596">
        <f>Input!$H$1273</f>
        <v>0</v>
      </c>
      <c r="AY243" s="1596">
        <f>Input!$H$1274</f>
        <v>0</v>
      </c>
      <c r="AZ243" s="1596">
        <f>Input!$H$1275</f>
        <v>0</v>
      </c>
      <c r="BA243" s="1596">
        <f>Input!$H$1276</f>
        <v>0</v>
      </c>
      <c r="BB243" s="1596">
        <f>Input!$H$1277</f>
        <v>0</v>
      </c>
      <c r="BC243" s="1596">
        <f>Input!$H$1278</f>
        <v>0</v>
      </c>
      <c r="BD243" s="1596">
        <f>Input!$H$1279</f>
        <v>0</v>
      </c>
      <c r="BE243" s="1596">
        <f>Input!$H$1280</f>
        <v>0</v>
      </c>
      <c r="BF243" s="1596">
        <f>Input!$H$1281</f>
        <v>0</v>
      </c>
      <c r="BG243" s="1596">
        <f>Input!$H$1282</f>
        <v>0</v>
      </c>
      <c r="BH243" s="1596">
        <f>Input!$H$1283</f>
        <v>0</v>
      </c>
      <c r="BI243" s="1596">
        <f>Input!$H$1284</f>
        <v>0</v>
      </c>
      <c r="BJ243" s="1596">
        <f>Input!$H$1285</f>
        <v>0</v>
      </c>
      <c r="BK243" s="1596">
        <f>Input!$H$1286</f>
        <v>0</v>
      </c>
      <c r="BL243" s="1596">
        <f>Input!$H$1287</f>
        <v>0</v>
      </c>
      <c r="BM243" s="1596">
        <f>Input!$H$1288</f>
        <v>0</v>
      </c>
      <c r="BN243" s="1596">
        <f>Input!$H$1289</f>
        <v>0</v>
      </c>
      <c r="BO243" s="1596">
        <f>Input!$H$1290</f>
        <v>0</v>
      </c>
      <c r="BP243" s="1596">
        <f>Input!$H$1291</f>
        <v>0</v>
      </c>
      <c r="BQ243" s="1596">
        <f>Input!$H$1292</f>
        <v>0</v>
      </c>
      <c r="BR243" s="1596">
        <f>Input!$H$1293</f>
        <v>0</v>
      </c>
      <c r="BS243" s="1596">
        <f>Input!$H$1294</f>
        <v>0</v>
      </c>
      <c r="BT243" s="1171"/>
      <c r="BU243" s="1171"/>
      <c r="BV243" s="1171"/>
      <c r="BW243" s="1171"/>
      <c r="BX243" s="43"/>
      <c r="BY243" s="43"/>
    </row>
    <row r="244" spans="1:77" ht="12" customHeight="1" x14ac:dyDescent="0.35">
      <c r="A244" s="1439">
        <f t="shared" si="92"/>
        <v>46934</v>
      </c>
      <c r="B244" s="82">
        <v>90</v>
      </c>
      <c r="C244" s="1439">
        <f t="shared" si="91"/>
        <v>1308</v>
      </c>
      <c r="D244" s="1449">
        <f>SUM(Input!W1348:W1371)-E244</f>
        <v>0</v>
      </c>
      <c r="E244" s="1449">
        <f>SUM(Input!W1360:W1371)*1/12</f>
        <v>0</v>
      </c>
      <c r="F244" s="82"/>
      <c r="G244" s="1446">
        <f>IF(Years="Five",SUM(Input!D517:AB517),0)</f>
        <v>0</v>
      </c>
      <c r="H244" s="1446">
        <f>IF(Years="Five",SUM(Input!D837:AB837),0)</f>
        <v>0</v>
      </c>
      <c r="I244" s="1448"/>
      <c r="J244" s="1448"/>
      <c r="K244" s="1601" t="str">
        <f>Input!$I$1171</f>
        <v>Item 6</v>
      </c>
      <c r="L244" s="268">
        <f>Input!$I$1235</f>
        <v>0</v>
      </c>
      <c r="M244" s="268">
        <f>Input!$I$1236</f>
        <v>0</v>
      </c>
      <c r="N244" s="268">
        <f>Input!$I$1237</f>
        <v>0</v>
      </c>
      <c r="O244" s="268">
        <f>Input!$I$1238</f>
        <v>0</v>
      </c>
      <c r="P244" s="268">
        <f>Input!$I$1239</f>
        <v>0</v>
      </c>
      <c r="Q244" s="268">
        <f>Input!$I$1240</f>
        <v>0</v>
      </c>
      <c r="R244" s="268">
        <f>Input!$I$1241</f>
        <v>0</v>
      </c>
      <c r="S244" s="268">
        <f>Input!$I$1242</f>
        <v>0</v>
      </c>
      <c r="T244" s="268">
        <f>Input!$I$1243</f>
        <v>0</v>
      </c>
      <c r="U244" s="1595">
        <f>Input!$I$1244</f>
        <v>0</v>
      </c>
      <c r="V244" s="1595">
        <f>Input!$I$1245</f>
        <v>0</v>
      </c>
      <c r="W244" s="1595">
        <f>Input!$I$1246</f>
        <v>0</v>
      </c>
      <c r="X244" s="1595">
        <f>Input!$I$1247</f>
        <v>0</v>
      </c>
      <c r="Y244" s="1595">
        <f>Input!$I$1248</f>
        <v>0</v>
      </c>
      <c r="Z244" s="1595">
        <f>Input!$I$1249</f>
        <v>0</v>
      </c>
      <c r="AA244" s="1595">
        <f>Input!$I$1250</f>
        <v>0</v>
      </c>
      <c r="AB244" s="1595">
        <f>Input!$I$1251</f>
        <v>0</v>
      </c>
      <c r="AC244" s="1595">
        <f>Input!$I$1252</f>
        <v>0</v>
      </c>
      <c r="AD244" s="1595">
        <f>Input!$I$1253</f>
        <v>0</v>
      </c>
      <c r="AE244" s="1595">
        <f>Input!$I$1254</f>
        <v>0</v>
      </c>
      <c r="AF244" s="1596">
        <f>Input!$I$1255</f>
        <v>0</v>
      </c>
      <c r="AG244" s="1596">
        <f>Input!$I$1256</f>
        <v>0</v>
      </c>
      <c r="AH244" s="1596">
        <f>Input!$I$1257</f>
        <v>0</v>
      </c>
      <c r="AI244" s="1596">
        <f>Input!$I$1258</f>
        <v>0</v>
      </c>
      <c r="AJ244" s="1596">
        <f>Input!$I$1259</f>
        <v>0</v>
      </c>
      <c r="AK244" s="1596">
        <f>Input!$I$1260</f>
        <v>0</v>
      </c>
      <c r="AL244" s="1596">
        <f>Input!$I$1261</f>
        <v>0</v>
      </c>
      <c r="AM244" s="1596">
        <f>Input!$I$1262</f>
        <v>0</v>
      </c>
      <c r="AN244" s="1596">
        <f>Input!$I$1263</f>
        <v>0</v>
      </c>
      <c r="AO244" s="1596">
        <f>Input!$I$1264</f>
        <v>0</v>
      </c>
      <c r="AP244" s="1596">
        <f>Input!$I$1265</f>
        <v>0</v>
      </c>
      <c r="AQ244" s="1596">
        <f>Input!$I$1266</f>
        <v>0</v>
      </c>
      <c r="AR244" s="1596">
        <f>Input!$I$1267</f>
        <v>0</v>
      </c>
      <c r="AS244" s="1596">
        <f>Input!$I$1268</f>
        <v>0</v>
      </c>
      <c r="AT244" s="1596">
        <f>Input!$I$1269</f>
        <v>0</v>
      </c>
      <c r="AU244" s="1596">
        <f>Input!$I$1270</f>
        <v>0</v>
      </c>
      <c r="AV244" s="1596">
        <f>Input!$I$1271</f>
        <v>0</v>
      </c>
      <c r="AW244" s="1596">
        <f>Input!$I$1272</f>
        <v>0</v>
      </c>
      <c r="AX244" s="1596">
        <f>Input!$I$1273</f>
        <v>0</v>
      </c>
      <c r="AY244" s="1596">
        <f>Input!$I$1274</f>
        <v>0</v>
      </c>
      <c r="AZ244" s="1596">
        <f>Input!$I$1275</f>
        <v>0</v>
      </c>
      <c r="BA244" s="1596">
        <f>Input!$I$1276</f>
        <v>0</v>
      </c>
      <c r="BB244" s="1596">
        <f>Input!$I$1277</f>
        <v>0</v>
      </c>
      <c r="BC244" s="1596">
        <f>Input!$I$1278</f>
        <v>0</v>
      </c>
      <c r="BD244" s="1596">
        <f>Input!$I$1279</f>
        <v>0</v>
      </c>
      <c r="BE244" s="1596">
        <f>Input!$I$1280</f>
        <v>0</v>
      </c>
      <c r="BF244" s="1596">
        <f>Input!$I$1281</f>
        <v>0</v>
      </c>
      <c r="BG244" s="1596">
        <f>Input!$I$1282</f>
        <v>0</v>
      </c>
      <c r="BH244" s="1596">
        <f>Input!$I$1283</f>
        <v>0</v>
      </c>
      <c r="BI244" s="1596">
        <f>Input!$I$1284</f>
        <v>0</v>
      </c>
      <c r="BJ244" s="1596">
        <f>Input!$I$1285</f>
        <v>0</v>
      </c>
      <c r="BK244" s="1596">
        <f>Input!$I$1286</f>
        <v>0</v>
      </c>
      <c r="BL244" s="1596">
        <f>Input!$I$1287</f>
        <v>0</v>
      </c>
      <c r="BM244" s="1596">
        <f>Input!$I$1288</f>
        <v>0</v>
      </c>
      <c r="BN244" s="1596">
        <f>Input!$I$1289</f>
        <v>0</v>
      </c>
      <c r="BO244" s="1596">
        <f>Input!$I$1290</f>
        <v>0</v>
      </c>
      <c r="BP244" s="1596">
        <f>Input!$I$1291</f>
        <v>0</v>
      </c>
      <c r="BQ244" s="1596">
        <f>Input!$I$1292</f>
        <v>0</v>
      </c>
      <c r="BR244" s="1596">
        <f>Input!$I$1293</f>
        <v>0</v>
      </c>
      <c r="BS244" s="1596">
        <f>Input!$I$1294</f>
        <v>0</v>
      </c>
      <c r="BT244" s="1171"/>
      <c r="BU244" s="1171"/>
      <c r="BV244" s="1171"/>
      <c r="BW244" s="1171"/>
      <c r="BX244" s="43"/>
      <c r="BY244" s="43"/>
    </row>
    <row r="245" spans="1:77" ht="12" customHeight="1" x14ac:dyDescent="0.35">
      <c r="A245" s="1439">
        <f t="shared" si="92"/>
        <v>46965</v>
      </c>
      <c r="B245" s="82">
        <v>91</v>
      </c>
      <c r="C245" s="1439">
        <f t="shared" si="91"/>
        <v>1339</v>
      </c>
      <c r="D245" s="1449">
        <f>SUM(Input!W1349:W1372)-E245</f>
        <v>0</v>
      </c>
      <c r="E245" s="1449">
        <f>SUM(Input!W1361:W1372)*1/12</f>
        <v>0</v>
      </c>
      <c r="F245" s="82"/>
      <c r="G245" s="1446">
        <f>IF(Years="Five",SUM(Input!D518:AB518),0)</f>
        <v>0</v>
      </c>
      <c r="H245" s="1446">
        <f>IF(Years="Five",SUM(Input!D838:AB838),0)</f>
        <v>0</v>
      </c>
      <c r="I245" s="1448"/>
      <c r="J245" s="1448"/>
      <c r="K245" s="1601" t="str">
        <f>Input!$J$1171</f>
        <v>Item 7</v>
      </c>
      <c r="L245" s="268">
        <f>Input!$J$1235</f>
        <v>0</v>
      </c>
      <c r="M245" s="268">
        <f>Input!$J$1236</f>
        <v>0</v>
      </c>
      <c r="N245" s="268">
        <f>Input!$J$1237</f>
        <v>0</v>
      </c>
      <c r="O245" s="268">
        <f>Input!$J$1238</f>
        <v>0</v>
      </c>
      <c r="P245" s="268">
        <f>Input!$J$1239</f>
        <v>0</v>
      </c>
      <c r="Q245" s="268">
        <f>Input!$J$1240</f>
        <v>0</v>
      </c>
      <c r="R245" s="268">
        <f>Input!$J$1241</f>
        <v>0</v>
      </c>
      <c r="S245" s="268">
        <f>Input!$J$1242</f>
        <v>0</v>
      </c>
      <c r="T245" s="268">
        <f>Input!$J$1243</f>
        <v>0</v>
      </c>
      <c r="U245" s="1595">
        <f>Input!$J$1244</f>
        <v>0</v>
      </c>
      <c r="V245" s="1595">
        <f>Input!$J$1245</f>
        <v>0</v>
      </c>
      <c r="W245" s="1595">
        <f>Input!$J$1246</f>
        <v>0</v>
      </c>
      <c r="X245" s="1595">
        <f>Input!$J$1247</f>
        <v>0</v>
      </c>
      <c r="Y245" s="1595">
        <f>Input!$J$1248</f>
        <v>0</v>
      </c>
      <c r="Z245" s="1595">
        <f>Input!$J$1249</f>
        <v>0</v>
      </c>
      <c r="AA245" s="1595">
        <f>Input!$J$1250</f>
        <v>0</v>
      </c>
      <c r="AB245" s="1595">
        <f>Input!$J$1251</f>
        <v>0</v>
      </c>
      <c r="AC245" s="1595">
        <f>Input!$J$1252</f>
        <v>0</v>
      </c>
      <c r="AD245" s="1595">
        <f>Input!$J$1253</f>
        <v>0</v>
      </c>
      <c r="AE245" s="1595">
        <f>Input!$J$1254</f>
        <v>0</v>
      </c>
      <c r="AF245" s="1596">
        <f>Input!$J$1255</f>
        <v>0</v>
      </c>
      <c r="AG245" s="1596">
        <f>Input!$J$1256</f>
        <v>0</v>
      </c>
      <c r="AH245" s="1596">
        <f>Input!$J$1257</f>
        <v>0</v>
      </c>
      <c r="AI245" s="1596">
        <f>Input!$J$1258</f>
        <v>0</v>
      </c>
      <c r="AJ245" s="1596">
        <f>Input!$J$1259</f>
        <v>0</v>
      </c>
      <c r="AK245" s="1596">
        <f>Input!$J$1260</f>
        <v>0</v>
      </c>
      <c r="AL245" s="1596">
        <f>Input!$J$1261</f>
        <v>0</v>
      </c>
      <c r="AM245" s="1596">
        <f>Input!$J$1262</f>
        <v>0</v>
      </c>
      <c r="AN245" s="1596">
        <f>Input!$J$1263</f>
        <v>0</v>
      </c>
      <c r="AO245" s="1596">
        <f>Input!$J$1264</f>
        <v>0</v>
      </c>
      <c r="AP245" s="1596">
        <f>Input!$J$1265</f>
        <v>0</v>
      </c>
      <c r="AQ245" s="1596">
        <f>Input!$J$1266</f>
        <v>0</v>
      </c>
      <c r="AR245" s="1596">
        <f>Input!$J$1267</f>
        <v>0</v>
      </c>
      <c r="AS245" s="1596">
        <f>Input!$J$1268</f>
        <v>0</v>
      </c>
      <c r="AT245" s="1596">
        <f>Input!$J$1269</f>
        <v>0</v>
      </c>
      <c r="AU245" s="1596">
        <f>Input!$J$1270</f>
        <v>0</v>
      </c>
      <c r="AV245" s="1596">
        <f>Input!$J$1271</f>
        <v>0</v>
      </c>
      <c r="AW245" s="1596">
        <f>Input!$J$1272</f>
        <v>0</v>
      </c>
      <c r="AX245" s="1596">
        <f>Input!$J$1273</f>
        <v>0</v>
      </c>
      <c r="AY245" s="1596">
        <f>Input!$J$1274</f>
        <v>0</v>
      </c>
      <c r="AZ245" s="1596">
        <f>Input!$J$1275</f>
        <v>0</v>
      </c>
      <c r="BA245" s="1596">
        <f>Input!$J$1276</f>
        <v>0</v>
      </c>
      <c r="BB245" s="1596">
        <f>Input!$J$1277</f>
        <v>0</v>
      </c>
      <c r="BC245" s="1596">
        <f>Input!$J$1278</f>
        <v>0</v>
      </c>
      <c r="BD245" s="1596">
        <f>Input!$J$1279</f>
        <v>0</v>
      </c>
      <c r="BE245" s="1596">
        <f>Input!$J$1280</f>
        <v>0</v>
      </c>
      <c r="BF245" s="1596">
        <f>Input!$J$1281</f>
        <v>0</v>
      </c>
      <c r="BG245" s="1596">
        <f>Input!$J$1282</f>
        <v>0</v>
      </c>
      <c r="BH245" s="1596">
        <f>Input!$J$1283</f>
        <v>0</v>
      </c>
      <c r="BI245" s="1596">
        <f>Input!$J$1284</f>
        <v>0</v>
      </c>
      <c r="BJ245" s="1596">
        <f>Input!$J$1285</f>
        <v>0</v>
      </c>
      <c r="BK245" s="1596">
        <f>Input!$J$1286</f>
        <v>0</v>
      </c>
      <c r="BL245" s="1596">
        <f>Input!$J$1287</f>
        <v>0</v>
      </c>
      <c r="BM245" s="1596">
        <f>Input!$J$1288</f>
        <v>0</v>
      </c>
      <c r="BN245" s="1596">
        <f>Input!$J$1289</f>
        <v>0</v>
      </c>
      <c r="BO245" s="1596">
        <f>Input!$J$1290</f>
        <v>0</v>
      </c>
      <c r="BP245" s="1596">
        <f>Input!$J$1291</f>
        <v>0</v>
      </c>
      <c r="BQ245" s="1596">
        <f>Input!$J$1292</f>
        <v>0</v>
      </c>
      <c r="BR245" s="1596">
        <f>Input!$J$1293</f>
        <v>0</v>
      </c>
      <c r="BS245" s="1596">
        <f>Input!$J$1294</f>
        <v>0</v>
      </c>
      <c r="BT245" s="1171"/>
      <c r="BU245" s="1171"/>
      <c r="BV245" s="1171"/>
      <c r="BW245" s="1171"/>
      <c r="BX245" s="43"/>
      <c r="BY245" s="43"/>
    </row>
    <row r="246" spans="1:77" ht="12" customHeight="1" x14ac:dyDescent="0.35">
      <c r="A246" s="1439">
        <f t="shared" si="92"/>
        <v>46996</v>
      </c>
      <c r="B246" s="82">
        <v>92</v>
      </c>
      <c r="C246" s="1439">
        <f t="shared" si="91"/>
        <v>1369</v>
      </c>
      <c r="D246" s="1449">
        <f>SUM(Input!W1350:W1373)-E246</f>
        <v>0</v>
      </c>
      <c r="E246" s="1449">
        <f>SUM(Input!W1362:W1373)*1/12</f>
        <v>0</v>
      </c>
      <c r="F246" s="82"/>
      <c r="G246" s="1446">
        <f>IF(Years="Five",SUM(Input!D519:AB519),0)</f>
        <v>0</v>
      </c>
      <c r="H246" s="1446">
        <f>IF(Years="Five",SUM(Input!D839:AB839),0)</f>
        <v>0</v>
      </c>
      <c r="I246" s="1448"/>
      <c r="J246" s="1448"/>
      <c r="K246" s="1601" t="str">
        <f>Input!$K$1171</f>
        <v>Item 8</v>
      </c>
      <c r="L246" s="268">
        <f>Input!$K$1235</f>
        <v>0</v>
      </c>
      <c r="M246" s="268">
        <f>Input!$K$1236</f>
        <v>0</v>
      </c>
      <c r="N246" s="268">
        <f>Input!$K$1237</f>
        <v>0</v>
      </c>
      <c r="O246" s="268">
        <f>Input!$K$1238</f>
        <v>0</v>
      </c>
      <c r="P246" s="268">
        <f>Input!$K$1239</f>
        <v>0</v>
      </c>
      <c r="Q246" s="268">
        <f>Input!$K$1240</f>
        <v>0</v>
      </c>
      <c r="R246" s="268">
        <f>Input!$K$1241</f>
        <v>0</v>
      </c>
      <c r="S246" s="268">
        <f>Input!$K$1242</f>
        <v>0</v>
      </c>
      <c r="T246" s="268">
        <f>Input!$K$1243</f>
        <v>0</v>
      </c>
      <c r="U246" s="1595">
        <f>Input!$K$1244</f>
        <v>0</v>
      </c>
      <c r="V246" s="1595">
        <f>Input!$K$1245</f>
        <v>0</v>
      </c>
      <c r="W246" s="1595">
        <f>Input!$K$1246</f>
        <v>0</v>
      </c>
      <c r="X246" s="1595">
        <f>Input!$K$1247</f>
        <v>0</v>
      </c>
      <c r="Y246" s="1595">
        <f>Input!$K$1248</f>
        <v>0</v>
      </c>
      <c r="Z246" s="1595">
        <f>Input!$K$1249</f>
        <v>0</v>
      </c>
      <c r="AA246" s="1595">
        <f>Input!$K$1250</f>
        <v>0</v>
      </c>
      <c r="AB246" s="1595">
        <f>Input!$K$1251</f>
        <v>0</v>
      </c>
      <c r="AC246" s="1595">
        <f>Input!$K$1252</f>
        <v>0</v>
      </c>
      <c r="AD246" s="1595">
        <f>Input!$K$1253</f>
        <v>0</v>
      </c>
      <c r="AE246" s="1595">
        <f>Input!$K$1254</f>
        <v>0</v>
      </c>
      <c r="AF246" s="1596">
        <f>Input!$K$1255</f>
        <v>0</v>
      </c>
      <c r="AG246" s="1596">
        <f>Input!$K$1256</f>
        <v>0</v>
      </c>
      <c r="AH246" s="1596">
        <f>Input!$K$1257</f>
        <v>0</v>
      </c>
      <c r="AI246" s="1596">
        <f>Input!$K$1258</f>
        <v>0</v>
      </c>
      <c r="AJ246" s="1596">
        <f>Input!$K$1259</f>
        <v>0</v>
      </c>
      <c r="AK246" s="1596">
        <f>Input!$K$1260</f>
        <v>0</v>
      </c>
      <c r="AL246" s="1596">
        <f>Input!$K$1261</f>
        <v>0</v>
      </c>
      <c r="AM246" s="1596">
        <f>Input!$K$1262</f>
        <v>0</v>
      </c>
      <c r="AN246" s="1596">
        <f>Input!$K$1263</f>
        <v>0</v>
      </c>
      <c r="AO246" s="1596">
        <f>Input!$K$1264</f>
        <v>0</v>
      </c>
      <c r="AP246" s="1596">
        <f>Input!$K$1265</f>
        <v>0</v>
      </c>
      <c r="AQ246" s="1596">
        <f>Input!$K$1266</f>
        <v>0</v>
      </c>
      <c r="AR246" s="1596">
        <f>Input!$K$1267</f>
        <v>0</v>
      </c>
      <c r="AS246" s="1596">
        <f>Input!$K$1268</f>
        <v>0</v>
      </c>
      <c r="AT246" s="1596">
        <f>Input!$K$1269</f>
        <v>0</v>
      </c>
      <c r="AU246" s="1596">
        <f>Input!$K$1270</f>
        <v>0</v>
      </c>
      <c r="AV246" s="1596">
        <f>Input!$K$1271</f>
        <v>0</v>
      </c>
      <c r="AW246" s="1596">
        <f>Input!$K$1272</f>
        <v>0</v>
      </c>
      <c r="AX246" s="1596">
        <f>Input!$K$1273</f>
        <v>0</v>
      </c>
      <c r="AY246" s="1596">
        <f>Input!$K$1274</f>
        <v>0</v>
      </c>
      <c r="AZ246" s="1596">
        <f>Input!$K$1275</f>
        <v>0</v>
      </c>
      <c r="BA246" s="1596">
        <f>Input!$K$1276</f>
        <v>0</v>
      </c>
      <c r="BB246" s="1596">
        <f>Input!$K$1277</f>
        <v>0</v>
      </c>
      <c r="BC246" s="1596">
        <f>Input!$K$1278</f>
        <v>0</v>
      </c>
      <c r="BD246" s="1596">
        <f>Input!$K$1279</f>
        <v>0</v>
      </c>
      <c r="BE246" s="1596">
        <f>Input!$K$1280</f>
        <v>0</v>
      </c>
      <c r="BF246" s="1596">
        <f>Input!$K$1281</f>
        <v>0</v>
      </c>
      <c r="BG246" s="1596">
        <f>Input!$K$1282</f>
        <v>0</v>
      </c>
      <c r="BH246" s="1596">
        <f>Input!$K$1283</f>
        <v>0</v>
      </c>
      <c r="BI246" s="1596">
        <f>Input!$K$1284</f>
        <v>0</v>
      </c>
      <c r="BJ246" s="1596">
        <f>Input!$K$1285</f>
        <v>0</v>
      </c>
      <c r="BK246" s="1596">
        <f>Input!$K$1286</f>
        <v>0</v>
      </c>
      <c r="BL246" s="1596">
        <f>Input!$K$1287</f>
        <v>0</v>
      </c>
      <c r="BM246" s="1596">
        <f>Input!$K$1288</f>
        <v>0</v>
      </c>
      <c r="BN246" s="1596">
        <f>Input!$K$1289</f>
        <v>0</v>
      </c>
      <c r="BO246" s="1596">
        <f>Input!$K$1290</f>
        <v>0</v>
      </c>
      <c r="BP246" s="1596">
        <f>Input!$K$1291</f>
        <v>0</v>
      </c>
      <c r="BQ246" s="1596">
        <f>Input!$K$1292</f>
        <v>0</v>
      </c>
      <c r="BR246" s="1596">
        <f>Input!$K$1293</f>
        <v>0</v>
      </c>
      <c r="BS246" s="1596">
        <f>Input!$K$1294</f>
        <v>0</v>
      </c>
      <c r="BT246" s="1171"/>
      <c r="BU246" s="1171"/>
      <c r="BV246" s="1171"/>
      <c r="BW246" s="1171"/>
      <c r="BX246" s="43"/>
      <c r="BY246" s="43"/>
    </row>
    <row r="247" spans="1:77" ht="12" customHeight="1" x14ac:dyDescent="0.35">
      <c r="A247" s="1439">
        <f t="shared" si="92"/>
        <v>47026</v>
      </c>
      <c r="B247" s="82">
        <v>93</v>
      </c>
      <c r="C247" s="1439">
        <f t="shared" si="91"/>
        <v>1400</v>
      </c>
      <c r="D247" s="1449">
        <f>SUM(Input!W1351:W1374)-E247</f>
        <v>0</v>
      </c>
      <c r="E247" s="1449">
        <f>SUM(Input!W1363:W1374)*1/12</f>
        <v>0</v>
      </c>
      <c r="F247" s="82"/>
      <c r="G247" s="1446">
        <f>IF(Years="Five",SUM(Input!D520:AB520),0)</f>
        <v>0</v>
      </c>
      <c r="H247" s="1446">
        <f>IF(Years="Five",SUM(Input!D840:AB840),0)</f>
        <v>0</v>
      </c>
      <c r="I247" s="1448"/>
      <c r="J247" s="1448"/>
      <c r="K247" s="1601" t="str">
        <f>Input!$L$1234</f>
        <v>Item 9</v>
      </c>
      <c r="L247" s="268">
        <f>Input!$L$1235</f>
        <v>0</v>
      </c>
      <c r="M247" s="268">
        <f>Input!$L$1236</f>
        <v>0</v>
      </c>
      <c r="N247" s="268">
        <f>Input!$L$1237</f>
        <v>0</v>
      </c>
      <c r="O247" s="268">
        <f>Input!$L$1238</f>
        <v>0</v>
      </c>
      <c r="P247" s="268">
        <f>Input!$L$1239</f>
        <v>0</v>
      </c>
      <c r="Q247" s="268">
        <f>Input!$L$1240</f>
        <v>0</v>
      </c>
      <c r="R247" s="268">
        <f>Input!$L$1241</f>
        <v>0</v>
      </c>
      <c r="S247" s="268">
        <f>Input!$L$1242</f>
        <v>0</v>
      </c>
      <c r="T247" s="268">
        <f>Input!$L$1243</f>
        <v>0</v>
      </c>
      <c r="U247" s="1595">
        <f>Input!$L$1244</f>
        <v>0</v>
      </c>
      <c r="V247" s="1595">
        <f>Input!$L$1245</f>
        <v>0</v>
      </c>
      <c r="W247" s="1595">
        <f>Input!$L$1246</f>
        <v>0</v>
      </c>
      <c r="X247" s="1595">
        <f>Input!$L$1247</f>
        <v>0</v>
      </c>
      <c r="Y247" s="1595">
        <f>Input!$L$1248</f>
        <v>0</v>
      </c>
      <c r="Z247" s="1595">
        <f>Input!$L$1249</f>
        <v>0</v>
      </c>
      <c r="AA247" s="1595">
        <f>Input!$L$1250</f>
        <v>0</v>
      </c>
      <c r="AB247" s="1595">
        <f>Input!$L$1251</f>
        <v>0</v>
      </c>
      <c r="AC247" s="1595">
        <f>Input!$L$1252</f>
        <v>0</v>
      </c>
      <c r="AD247" s="1595">
        <f>Input!$L$1253</f>
        <v>0</v>
      </c>
      <c r="AE247" s="1595">
        <f>Input!$L$1254</f>
        <v>0</v>
      </c>
      <c r="AF247" s="1596">
        <f>Input!$L$1255</f>
        <v>0</v>
      </c>
      <c r="AG247" s="1596">
        <f>Input!$L$1256</f>
        <v>0</v>
      </c>
      <c r="AH247" s="1596">
        <f>Input!$L$1257</f>
        <v>0</v>
      </c>
      <c r="AI247" s="1596">
        <f>Input!$L$1258</f>
        <v>0</v>
      </c>
      <c r="AJ247" s="1596">
        <f>Input!$L$1259</f>
        <v>0</v>
      </c>
      <c r="AK247" s="1596">
        <f>Input!$L$1260</f>
        <v>0</v>
      </c>
      <c r="AL247" s="1596">
        <f>Input!$L$1261</f>
        <v>0</v>
      </c>
      <c r="AM247" s="1596">
        <f>Input!$L$1262</f>
        <v>0</v>
      </c>
      <c r="AN247" s="1596">
        <f>Input!$L$1263</f>
        <v>0</v>
      </c>
      <c r="AO247" s="1596">
        <f>Input!$L$1264</f>
        <v>0</v>
      </c>
      <c r="AP247" s="1596">
        <f>Input!$L$1265</f>
        <v>0</v>
      </c>
      <c r="AQ247" s="1596">
        <f>Input!$L$1266</f>
        <v>0</v>
      </c>
      <c r="AR247" s="1596">
        <f>Input!$L$1267</f>
        <v>0</v>
      </c>
      <c r="AS247" s="1596">
        <f>Input!$L$1268</f>
        <v>0</v>
      </c>
      <c r="AT247" s="1596">
        <f>Input!$L$1269</f>
        <v>0</v>
      </c>
      <c r="AU247" s="1596">
        <f>Input!$L$1270</f>
        <v>0</v>
      </c>
      <c r="AV247" s="1596">
        <f>Input!$L$1271</f>
        <v>0</v>
      </c>
      <c r="AW247" s="1596">
        <f>Input!$L$1272</f>
        <v>0</v>
      </c>
      <c r="AX247" s="1596">
        <f>Input!$L$1273</f>
        <v>0</v>
      </c>
      <c r="AY247" s="1596">
        <f>Input!$L$1274</f>
        <v>0</v>
      </c>
      <c r="AZ247" s="1596">
        <f>Input!$L$1275</f>
        <v>0</v>
      </c>
      <c r="BA247" s="1596">
        <f>Input!$L$1276</f>
        <v>0</v>
      </c>
      <c r="BB247" s="1596">
        <f>Input!$L$1277</f>
        <v>0</v>
      </c>
      <c r="BC247" s="1596">
        <f>Input!$L$1278</f>
        <v>0</v>
      </c>
      <c r="BD247" s="1596">
        <f>Input!$L$1279</f>
        <v>0</v>
      </c>
      <c r="BE247" s="1596">
        <f>Input!$L$1280</f>
        <v>0</v>
      </c>
      <c r="BF247" s="1596">
        <f>Input!$L$1281</f>
        <v>0</v>
      </c>
      <c r="BG247" s="1596">
        <f>Input!$L$1282</f>
        <v>0</v>
      </c>
      <c r="BH247" s="1596">
        <f>Input!$L$1283</f>
        <v>0</v>
      </c>
      <c r="BI247" s="1596">
        <f>Input!$L$1284</f>
        <v>0</v>
      </c>
      <c r="BJ247" s="1596">
        <f>Input!$L$1285</f>
        <v>0</v>
      </c>
      <c r="BK247" s="1596">
        <f>Input!$L$1286</f>
        <v>0</v>
      </c>
      <c r="BL247" s="1596">
        <f>Input!$L$1287</f>
        <v>0</v>
      </c>
      <c r="BM247" s="1596">
        <f>Input!$L$1288</f>
        <v>0</v>
      </c>
      <c r="BN247" s="1596">
        <f>Input!$L$1289</f>
        <v>0</v>
      </c>
      <c r="BO247" s="1596">
        <f>Input!$L$1290</f>
        <v>0</v>
      </c>
      <c r="BP247" s="1596">
        <f>Input!$L$1291</f>
        <v>0</v>
      </c>
      <c r="BQ247" s="1596">
        <f>Input!$L$1292</f>
        <v>0</v>
      </c>
      <c r="BR247" s="1596">
        <f>Input!$L$1293</f>
        <v>0</v>
      </c>
      <c r="BS247" s="1596">
        <f>Input!$L$1294</f>
        <v>0</v>
      </c>
      <c r="BT247" s="1171"/>
      <c r="BU247" s="1171"/>
      <c r="BV247" s="1171"/>
      <c r="BW247" s="1171"/>
      <c r="BX247" s="43"/>
      <c r="BY247" s="43"/>
    </row>
    <row r="248" spans="1:77" ht="12" customHeight="1" x14ac:dyDescent="0.35">
      <c r="A248" s="1439">
        <f t="shared" si="92"/>
        <v>47057</v>
      </c>
      <c r="B248" s="82">
        <v>94</v>
      </c>
      <c r="C248" s="1439">
        <f t="shared" si="91"/>
        <v>1430</v>
      </c>
      <c r="D248" s="1449">
        <f>SUM(Input!W1352:W1375)-E248</f>
        <v>0</v>
      </c>
      <c r="E248" s="1449">
        <f>SUM(Input!W1364:W1375)*1/12</f>
        <v>0</v>
      </c>
      <c r="F248" s="82"/>
      <c r="G248" s="1446">
        <f>IF(Years="Five",SUM(Input!D521:AB521),0)</f>
        <v>0</v>
      </c>
      <c r="H248" s="1446">
        <f>IF(Years="Five",SUM(Input!D841:AB841),0)</f>
        <v>0</v>
      </c>
      <c r="I248" s="1448"/>
      <c r="J248" s="1448"/>
      <c r="K248" s="1601" t="str">
        <f>Input!$M$1234</f>
        <v>Item 10</v>
      </c>
      <c r="L248" s="268">
        <f>Input!$M$1235</f>
        <v>0</v>
      </c>
      <c r="M248" s="268">
        <f>Input!$M$1236</f>
        <v>0</v>
      </c>
      <c r="N248" s="268">
        <f>Input!$M$1237</f>
        <v>0</v>
      </c>
      <c r="O248" s="268">
        <f>Input!$M$1238</f>
        <v>0</v>
      </c>
      <c r="P248" s="268">
        <f>Input!$M$1239</f>
        <v>0</v>
      </c>
      <c r="Q248" s="268">
        <f>Input!$M$1240</f>
        <v>0</v>
      </c>
      <c r="R248" s="268">
        <f>Input!$M$1241</f>
        <v>0</v>
      </c>
      <c r="S248" s="268">
        <f>Input!$M$1242</f>
        <v>0</v>
      </c>
      <c r="T248" s="268">
        <f>Input!$M$1243</f>
        <v>0</v>
      </c>
      <c r="U248" s="1595">
        <f>Input!$M$1244</f>
        <v>0</v>
      </c>
      <c r="V248" s="1595">
        <f>Input!$M$1245</f>
        <v>0</v>
      </c>
      <c r="W248" s="1595">
        <f>Input!$M$1246</f>
        <v>0</v>
      </c>
      <c r="X248" s="1595">
        <f>Input!$M$1247</f>
        <v>0</v>
      </c>
      <c r="Y248" s="1595">
        <f>Input!$M$1248</f>
        <v>0</v>
      </c>
      <c r="Z248" s="1595">
        <f>Input!$M$1249</f>
        <v>0</v>
      </c>
      <c r="AA248" s="1595">
        <f>Input!$M$1250</f>
        <v>0</v>
      </c>
      <c r="AB248" s="1595">
        <f>Input!$M$1251</f>
        <v>0</v>
      </c>
      <c r="AC248" s="1595">
        <f>Input!$M$1252</f>
        <v>0</v>
      </c>
      <c r="AD248" s="1595">
        <f>Input!$M$1253</f>
        <v>0</v>
      </c>
      <c r="AE248" s="1595">
        <f>Input!$M$1254</f>
        <v>0</v>
      </c>
      <c r="AF248" s="1596">
        <f>Input!$M$1255</f>
        <v>0</v>
      </c>
      <c r="AG248" s="1596">
        <f>Input!$M$1256</f>
        <v>0</v>
      </c>
      <c r="AH248" s="1596">
        <f>Input!$M$1257</f>
        <v>0</v>
      </c>
      <c r="AI248" s="1596">
        <f>Input!$M$1258</f>
        <v>0</v>
      </c>
      <c r="AJ248" s="1596">
        <f>Input!$M$1259</f>
        <v>0</v>
      </c>
      <c r="AK248" s="1596">
        <f>Input!$M$1260</f>
        <v>0</v>
      </c>
      <c r="AL248" s="1596">
        <f>Input!$M$1261</f>
        <v>0</v>
      </c>
      <c r="AM248" s="1596">
        <f>Input!$M$1262</f>
        <v>0</v>
      </c>
      <c r="AN248" s="1596">
        <f>Input!$M$1263</f>
        <v>0</v>
      </c>
      <c r="AO248" s="1596">
        <f>Input!$M$1264</f>
        <v>0</v>
      </c>
      <c r="AP248" s="1596">
        <f>Input!$M$1265</f>
        <v>0</v>
      </c>
      <c r="AQ248" s="1596">
        <f>Input!$M$1266</f>
        <v>0</v>
      </c>
      <c r="AR248" s="1596">
        <f>Input!$M$1267</f>
        <v>0</v>
      </c>
      <c r="AS248" s="1596">
        <f>Input!$M$1268</f>
        <v>0</v>
      </c>
      <c r="AT248" s="1596">
        <f>Input!$M$1269</f>
        <v>0</v>
      </c>
      <c r="AU248" s="1596">
        <f>Input!$M$1270</f>
        <v>0</v>
      </c>
      <c r="AV248" s="1596">
        <f>Input!$M$1271</f>
        <v>0</v>
      </c>
      <c r="AW248" s="1596">
        <f>Input!$M$1272</f>
        <v>0</v>
      </c>
      <c r="AX248" s="1596">
        <f>Input!$M$1273</f>
        <v>0</v>
      </c>
      <c r="AY248" s="1596">
        <f>Input!$M$1274</f>
        <v>0</v>
      </c>
      <c r="AZ248" s="1596">
        <f>Input!$M$1275</f>
        <v>0</v>
      </c>
      <c r="BA248" s="1596">
        <f>Input!$M$1276</f>
        <v>0</v>
      </c>
      <c r="BB248" s="1596">
        <f>Input!$M$1277</f>
        <v>0</v>
      </c>
      <c r="BC248" s="1596">
        <f>Input!$M$1278</f>
        <v>0</v>
      </c>
      <c r="BD248" s="1596">
        <f>Input!$M$1279</f>
        <v>0</v>
      </c>
      <c r="BE248" s="1596">
        <f>Input!$M$1280</f>
        <v>0</v>
      </c>
      <c r="BF248" s="1596">
        <f>Input!$M$1281</f>
        <v>0</v>
      </c>
      <c r="BG248" s="1596">
        <f>Input!$M$1282</f>
        <v>0</v>
      </c>
      <c r="BH248" s="1596">
        <f>Input!$M$1283</f>
        <v>0</v>
      </c>
      <c r="BI248" s="1596">
        <f>Input!$M$1284</f>
        <v>0</v>
      </c>
      <c r="BJ248" s="1596">
        <f>Input!$M$1285</f>
        <v>0</v>
      </c>
      <c r="BK248" s="1596">
        <f>Input!$M$1286</f>
        <v>0</v>
      </c>
      <c r="BL248" s="1596">
        <f>Input!$M$1287</f>
        <v>0</v>
      </c>
      <c r="BM248" s="1596">
        <f>Input!$M$1288</f>
        <v>0</v>
      </c>
      <c r="BN248" s="1596">
        <f>Input!$M$1289</f>
        <v>0</v>
      </c>
      <c r="BO248" s="1596">
        <f>Input!$M$1290</f>
        <v>0</v>
      </c>
      <c r="BP248" s="1596">
        <f>Input!$M$1291</f>
        <v>0</v>
      </c>
      <c r="BQ248" s="1596">
        <f>Input!$M$1292</f>
        <v>0</v>
      </c>
      <c r="BR248" s="1596">
        <f>Input!$M$1293</f>
        <v>0</v>
      </c>
      <c r="BS248" s="1596">
        <f>Input!$M$1294</f>
        <v>0</v>
      </c>
      <c r="BT248" s="1171"/>
      <c r="BU248" s="1171"/>
      <c r="BV248" s="1171"/>
      <c r="BW248" s="1171"/>
      <c r="BX248" s="43"/>
      <c r="BY248" s="43"/>
    </row>
    <row r="249" spans="1:77" ht="12" customHeight="1" x14ac:dyDescent="0.35">
      <c r="A249" s="1439">
        <f t="shared" si="92"/>
        <v>47087</v>
      </c>
      <c r="B249" s="82">
        <v>95</v>
      </c>
      <c r="C249" s="1439">
        <f t="shared" si="91"/>
        <v>1461</v>
      </c>
      <c r="D249" s="1449">
        <f>SUM(Input!W1353:W1376)-E249</f>
        <v>0</v>
      </c>
      <c r="E249" s="1449">
        <f>SUM(Input!W1365:W1376)*1/12</f>
        <v>0</v>
      </c>
      <c r="F249" s="82"/>
      <c r="G249" s="1446">
        <f>IF(Years="Five",SUM(Input!D522:AB522),0)</f>
        <v>0</v>
      </c>
      <c r="H249" s="1446">
        <f>IF(Years="Five",SUM(Input!D842:AB842),0)</f>
        <v>0</v>
      </c>
      <c r="I249" s="1448"/>
      <c r="J249" s="1448"/>
      <c r="K249" s="1601" t="str">
        <f>Input!$N$1234</f>
        <v>Item 11</v>
      </c>
      <c r="L249" s="268">
        <f>Input!$N$1235</f>
        <v>0</v>
      </c>
      <c r="M249" s="268">
        <f>Input!$N$1236</f>
        <v>0</v>
      </c>
      <c r="N249" s="268">
        <f>Input!$N$1237</f>
        <v>0</v>
      </c>
      <c r="O249" s="268">
        <f>Input!$N$1238</f>
        <v>0</v>
      </c>
      <c r="P249" s="268">
        <f>Input!$N$1239</f>
        <v>0</v>
      </c>
      <c r="Q249" s="268">
        <f>Input!$N$1240</f>
        <v>0</v>
      </c>
      <c r="R249" s="268">
        <f>Input!$N$1241</f>
        <v>0</v>
      </c>
      <c r="S249" s="268">
        <f>Input!$N$1242</f>
        <v>0</v>
      </c>
      <c r="T249" s="268">
        <f>Input!$N$1243</f>
        <v>0</v>
      </c>
      <c r="U249" s="1595">
        <f>Input!$N$1244</f>
        <v>0</v>
      </c>
      <c r="V249" s="1595">
        <f>Input!$N$1245</f>
        <v>0</v>
      </c>
      <c r="W249" s="1595">
        <f>Input!$N$1246</f>
        <v>0</v>
      </c>
      <c r="X249" s="1595">
        <f>Input!$N$1247</f>
        <v>0</v>
      </c>
      <c r="Y249" s="1595">
        <f>Input!$N$1248</f>
        <v>0</v>
      </c>
      <c r="Z249" s="1595">
        <f>Input!$N$1249</f>
        <v>0</v>
      </c>
      <c r="AA249" s="1595">
        <f>Input!$N$1250</f>
        <v>0</v>
      </c>
      <c r="AB249" s="1595">
        <f>Input!$N$1251</f>
        <v>0</v>
      </c>
      <c r="AC249" s="1595">
        <f>Input!$N$1252</f>
        <v>0</v>
      </c>
      <c r="AD249" s="1595">
        <f>Input!$N$1253</f>
        <v>0</v>
      </c>
      <c r="AE249" s="1595">
        <f>Input!$N$1254</f>
        <v>0</v>
      </c>
      <c r="AF249" s="1596">
        <f>Input!$N$1255</f>
        <v>0</v>
      </c>
      <c r="AG249" s="1596">
        <f>Input!$N$1256</f>
        <v>0</v>
      </c>
      <c r="AH249" s="1596">
        <f>Input!$N$1257</f>
        <v>0</v>
      </c>
      <c r="AI249" s="1596">
        <f>Input!$N$1258</f>
        <v>0</v>
      </c>
      <c r="AJ249" s="1596">
        <f>Input!$N$1259</f>
        <v>0</v>
      </c>
      <c r="AK249" s="1596">
        <f>Input!$N$1260</f>
        <v>0</v>
      </c>
      <c r="AL249" s="1596">
        <f>Input!$N$1261</f>
        <v>0</v>
      </c>
      <c r="AM249" s="1596">
        <f>Input!$N$1262</f>
        <v>0</v>
      </c>
      <c r="AN249" s="1596">
        <f>Input!$N$1263</f>
        <v>0</v>
      </c>
      <c r="AO249" s="1596">
        <f>Input!$N$1264</f>
        <v>0</v>
      </c>
      <c r="AP249" s="1596">
        <f>Input!$N$1265</f>
        <v>0</v>
      </c>
      <c r="AQ249" s="1596">
        <f>Input!$N$1266</f>
        <v>0</v>
      </c>
      <c r="AR249" s="1596">
        <f>Input!$N$1267</f>
        <v>0</v>
      </c>
      <c r="AS249" s="1596">
        <f>Input!$N$1268</f>
        <v>0</v>
      </c>
      <c r="AT249" s="1596">
        <f>Input!$N$1269</f>
        <v>0</v>
      </c>
      <c r="AU249" s="1596">
        <f>Input!$N$1270</f>
        <v>0</v>
      </c>
      <c r="AV249" s="1596">
        <f>Input!$N$1271</f>
        <v>0</v>
      </c>
      <c r="AW249" s="1596">
        <f>Input!$N$1272</f>
        <v>0</v>
      </c>
      <c r="AX249" s="1596">
        <f>Input!$N$1273</f>
        <v>0</v>
      </c>
      <c r="AY249" s="1596">
        <f>Input!$N$1274</f>
        <v>0</v>
      </c>
      <c r="AZ249" s="1596">
        <f>Input!$N$1275</f>
        <v>0</v>
      </c>
      <c r="BA249" s="1596">
        <f>Input!$N$1276</f>
        <v>0</v>
      </c>
      <c r="BB249" s="1596">
        <f>Input!$N$1277</f>
        <v>0</v>
      </c>
      <c r="BC249" s="1596">
        <f>Input!$N$1278</f>
        <v>0</v>
      </c>
      <c r="BD249" s="1596">
        <f>Input!$N$1279</f>
        <v>0</v>
      </c>
      <c r="BE249" s="1596">
        <f>Input!$N$1280</f>
        <v>0</v>
      </c>
      <c r="BF249" s="1596">
        <f>Input!$N$1281</f>
        <v>0</v>
      </c>
      <c r="BG249" s="1596">
        <f>Input!$N$1282</f>
        <v>0</v>
      </c>
      <c r="BH249" s="1596">
        <f>Input!$N$1283</f>
        <v>0</v>
      </c>
      <c r="BI249" s="1596">
        <f>Input!$N$1284</f>
        <v>0</v>
      </c>
      <c r="BJ249" s="1596">
        <f>Input!$N$1285</f>
        <v>0</v>
      </c>
      <c r="BK249" s="1596">
        <f>Input!$N$1286</f>
        <v>0</v>
      </c>
      <c r="BL249" s="1596">
        <f>Input!$N$1287</f>
        <v>0</v>
      </c>
      <c r="BM249" s="1596">
        <f>Input!$N$1288</f>
        <v>0</v>
      </c>
      <c r="BN249" s="1596">
        <f>Input!$N$1289</f>
        <v>0</v>
      </c>
      <c r="BO249" s="1596">
        <f>Input!$N$1290</f>
        <v>0</v>
      </c>
      <c r="BP249" s="1596">
        <f>Input!$N$1291</f>
        <v>0</v>
      </c>
      <c r="BQ249" s="1596">
        <f>Input!$N$1292</f>
        <v>0</v>
      </c>
      <c r="BR249" s="1596">
        <f>Input!$N$1293</f>
        <v>0</v>
      </c>
      <c r="BS249" s="1596">
        <f>Input!$N$1294</f>
        <v>0</v>
      </c>
      <c r="BT249" s="1171"/>
      <c r="BU249" s="1171"/>
      <c r="BV249" s="1171"/>
      <c r="BW249" s="1171"/>
      <c r="BX249" s="43"/>
      <c r="BY249" s="43"/>
    </row>
    <row r="250" spans="1:77" ht="12" customHeight="1" x14ac:dyDescent="0.35">
      <c r="A250" s="1439">
        <f t="shared" si="92"/>
        <v>47118</v>
      </c>
      <c r="B250" s="82">
        <v>96</v>
      </c>
      <c r="C250" s="1439">
        <f t="shared" si="91"/>
        <v>1492</v>
      </c>
      <c r="D250" s="1449">
        <f>SUM(Input!W1354:W1377)-E250</f>
        <v>0</v>
      </c>
      <c r="E250" s="1449">
        <f>SUM(Input!W1366:W1377)*1/12</f>
        <v>0</v>
      </c>
      <c r="F250" s="82"/>
      <c r="G250" s="1446">
        <f>IF(Years="Five",SUM(Input!D523:AB523),0)</f>
        <v>0</v>
      </c>
      <c r="H250" s="1446">
        <f>IF(Years="Five",SUM(Input!D843:AB843),0)</f>
        <v>0</v>
      </c>
      <c r="I250" s="1448"/>
      <c r="J250" s="1448"/>
      <c r="K250" s="1601" t="str">
        <f>Input!$O$1234</f>
        <v>Item 12</v>
      </c>
      <c r="L250" s="268">
        <f>Input!$O$1235</f>
        <v>0</v>
      </c>
      <c r="M250" s="268">
        <f>Input!$O$1236</f>
        <v>0</v>
      </c>
      <c r="N250" s="268">
        <f>Input!$O$1237</f>
        <v>0</v>
      </c>
      <c r="O250" s="268">
        <f>Input!$O$1238</f>
        <v>0</v>
      </c>
      <c r="P250" s="268">
        <f>Input!$O$1239</f>
        <v>0</v>
      </c>
      <c r="Q250" s="268">
        <f>Input!$O$1240</f>
        <v>0</v>
      </c>
      <c r="R250" s="268">
        <f>Input!$O$1241</f>
        <v>0</v>
      </c>
      <c r="S250" s="268">
        <f>Input!$O$1242</f>
        <v>0</v>
      </c>
      <c r="T250" s="268">
        <f>Input!$O$1243</f>
        <v>0</v>
      </c>
      <c r="U250" s="1595">
        <f>Input!$O$1244</f>
        <v>0</v>
      </c>
      <c r="V250" s="1595">
        <f>Input!$O$1245</f>
        <v>0</v>
      </c>
      <c r="W250" s="1595">
        <f>Input!$O$1246</f>
        <v>0</v>
      </c>
      <c r="X250" s="1595">
        <f>Input!$O$1247</f>
        <v>0</v>
      </c>
      <c r="Y250" s="1595">
        <f>Input!$O$1248</f>
        <v>0</v>
      </c>
      <c r="Z250" s="1595">
        <f>Input!$O$1249</f>
        <v>0</v>
      </c>
      <c r="AA250" s="1595">
        <f>Input!$O$1250</f>
        <v>0</v>
      </c>
      <c r="AB250" s="1595">
        <f>Input!$O$1251</f>
        <v>0</v>
      </c>
      <c r="AC250" s="1595">
        <f>Input!$O$1252</f>
        <v>0</v>
      </c>
      <c r="AD250" s="1595">
        <f>Input!$O$1253</f>
        <v>0</v>
      </c>
      <c r="AE250" s="1595">
        <f>Input!$O$1254</f>
        <v>0</v>
      </c>
      <c r="AF250" s="1596">
        <f>Input!$O$1255</f>
        <v>0</v>
      </c>
      <c r="AG250" s="1596">
        <f>Input!$O$1256</f>
        <v>0</v>
      </c>
      <c r="AH250" s="1596">
        <f>Input!$O$1257</f>
        <v>0</v>
      </c>
      <c r="AI250" s="1596">
        <f>Input!$O$1258</f>
        <v>0</v>
      </c>
      <c r="AJ250" s="1596">
        <f>Input!$O$1259</f>
        <v>0</v>
      </c>
      <c r="AK250" s="1596">
        <f>Input!$O$1260</f>
        <v>0</v>
      </c>
      <c r="AL250" s="1596">
        <f>Input!$O$1261</f>
        <v>0</v>
      </c>
      <c r="AM250" s="1596">
        <f>Input!$O$1262</f>
        <v>0</v>
      </c>
      <c r="AN250" s="1596">
        <f>Input!$O$1263</f>
        <v>0</v>
      </c>
      <c r="AO250" s="1596">
        <f>Input!$O$1264</f>
        <v>0</v>
      </c>
      <c r="AP250" s="1596">
        <f>Input!$O$1265</f>
        <v>0</v>
      </c>
      <c r="AQ250" s="1596">
        <f>Input!$O$1266</f>
        <v>0</v>
      </c>
      <c r="AR250" s="1596">
        <f>Input!$O$1267</f>
        <v>0</v>
      </c>
      <c r="AS250" s="1596">
        <f>Input!$O$1268</f>
        <v>0</v>
      </c>
      <c r="AT250" s="1596">
        <f>Input!$O$1269</f>
        <v>0</v>
      </c>
      <c r="AU250" s="1596">
        <f>Input!$O$1270</f>
        <v>0</v>
      </c>
      <c r="AV250" s="1596">
        <f>Input!$O$1271</f>
        <v>0</v>
      </c>
      <c r="AW250" s="1596">
        <f>Input!$O$1272</f>
        <v>0</v>
      </c>
      <c r="AX250" s="1596">
        <f>Input!$O$1273</f>
        <v>0</v>
      </c>
      <c r="AY250" s="1596">
        <f>Input!$O$1274</f>
        <v>0</v>
      </c>
      <c r="AZ250" s="1596">
        <f>Input!$O$1275</f>
        <v>0</v>
      </c>
      <c r="BA250" s="1596">
        <f>Input!$O$1276</f>
        <v>0</v>
      </c>
      <c r="BB250" s="1596">
        <f>Input!$O$1277</f>
        <v>0</v>
      </c>
      <c r="BC250" s="1596">
        <f>Input!$O$1278</f>
        <v>0</v>
      </c>
      <c r="BD250" s="1596">
        <f>Input!$O$1279</f>
        <v>0</v>
      </c>
      <c r="BE250" s="1596">
        <f>Input!$O$1280</f>
        <v>0</v>
      </c>
      <c r="BF250" s="1596">
        <f>Input!$O$1281</f>
        <v>0</v>
      </c>
      <c r="BG250" s="1596">
        <f>Input!$O$1282</f>
        <v>0</v>
      </c>
      <c r="BH250" s="1596">
        <f>Input!$O$1283</f>
        <v>0</v>
      </c>
      <c r="BI250" s="1596">
        <f>Input!$O$1284</f>
        <v>0</v>
      </c>
      <c r="BJ250" s="1596">
        <f>Input!$O$1285</f>
        <v>0</v>
      </c>
      <c r="BK250" s="1596">
        <f>Input!$O$1286</f>
        <v>0</v>
      </c>
      <c r="BL250" s="1596">
        <f>Input!$O$1287</f>
        <v>0</v>
      </c>
      <c r="BM250" s="1596">
        <f>Input!$O$1288</f>
        <v>0</v>
      </c>
      <c r="BN250" s="1596">
        <f>Input!$O$1289</f>
        <v>0</v>
      </c>
      <c r="BO250" s="1596">
        <f>Input!$O$1290</f>
        <v>0</v>
      </c>
      <c r="BP250" s="1596">
        <f>Input!$O$1291</f>
        <v>0</v>
      </c>
      <c r="BQ250" s="1596">
        <f>Input!$O$1292</f>
        <v>0</v>
      </c>
      <c r="BR250" s="1596">
        <f>Input!$O$1293</f>
        <v>0</v>
      </c>
      <c r="BS250" s="1596">
        <f>Input!$O$1294</f>
        <v>0</v>
      </c>
      <c r="BT250" s="1171"/>
      <c r="BU250" s="1171"/>
      <c r="BV250" s="1171"/>
      <c r="BW250" s="1171"/>
      <c r="BX250" s="43"/>
      <c r="BY250" s="43"/>
    </row>
    <row r="251" spans="1:77" ht="12" customHeight="1" x14ac:dyDescent="0.35">
      <c r="A251" s="1439">
        <f t="shared" si="92"/>
        <v>47149</v>
      </c>
      <c r="B251" s="82">
        <v>97</v>
      </c>
      <c r="C251" s="1439">
        <f t="shared" si="91"/>
        <v>1521</v>
      </c>
      <c r="D251" s="1449">
        <f>SUM(Input!W1355:W1378)-E251</f>
        <v>0</v>
      </c>
      <c r="E251" s="1449">
        <f>SUM(Input!W1367:W1378)*1/12</f>
        <v>0</v>
      </c>
      <c r="F251" s="82"/>
      <c r="G251" s="1446">
        <f>IF(Years="Five",SUM(Input!D524:AB524),0)</f>
        <v>0</v>
      </c>
      <c r="H251" s="1446">
        <f>IF(Years="Five",SUM(Input!D844:AB844),0)</f>
        <v>0</v>
      </c>
      <c r="I251" s="1448"/>
      <c r="J251" s="1448"/>
      <c r="K251" s="1601" t="str">
        <f>Input!$P$1234</f>
        <v>Item 13</v>
      </c>
      <c r="L251" s="268">
        <f>Input!$P$1235</f>
        <v>0</v>
      </c>
      <c r="M251" s="268">
        <f>Input!$P$1236</f>
        <v>0</v>
      </c>
      <c r="N251" s="268">
        <f>Input!$P$1237</f>
        <v>0</v>
      </c>
      <c r="O251" s="268">
        <f>Input!$P$1238</f>
        <v>0</v>
      </c>
      <c r="P251" s="268">
        <f>Input!$P$1239</f>
        <v>0</v>
      </c>
      <c r="Q251" s="268">
        <f>Input!$P$1240</f>
        <v>0</v>
      </c>
      <c r="R251" s="268">
        <f>Input!$P$1241</f>
        <v>0</v>
      </c>
      <c r="S251" s="268">
        <f>Input!$P$1242</f>
        <v>0</v>
      </c>
      <c r="T251" s="268">
        <f>Input!$P$1243</f>
        <v>0</v>
      </c>
      <c r="U251" s="1595">
        <f>Input!$P$1244</f>
        <v>0</v>
      </c>
      <c r="V251" s="1595">
        <f>Input!$P$1245</f>
        <v>0</v>
      </c>
      <c r="W251" s="1595">
        <f>Input!$P$1246</f>
        <v>0</v>
      </c>
      <c r="X251" s="1595">
        <f>Input!$P$1247</f>
        <v>0</v>
      </c>
      <c r="Y251" s="1595">
        <f>Input!$P$1248</f>
        <v>0</v>
      </c>
      <c r="Z251" s="1595">
        <f>Input!$P$1249</f>
        <v>0</v>
      </c>
      <c r="AA251" s="1595">
        <f>Input!$P$1250</f>
        <v>0</v>
      </c>
      <c r="AB251" s="1595">
        <f>Input!$P$1251</f>
        <v>0</v>
      </c>
      <c r="AC251" s="1595">
        <f>Input!$P$1252</f>
        <v>0</v>
      </c>
      <c r="AD251" s="1595">
        <f>Input!$P$1253</f>
        <v>0</v>
      </c>
      <c r="AE251" s="1595">
        <f>Input!$P$1254</f>
        <v>0</v>
      </c>
      <c r="AF251" s="1596">
        <f>Input!$P$1255</f>
        <v>0</v>
      </c>
      <c r="AG251" s="1596">
        <f>Input!$P$1256</f>
        <v>0</v>
      </c>
      <c r="AH251" s="1596">
        <f>Input!$P$1257</f>
        <v>0</v>
      </c>
      <c r="AI251" s="1596">
        <f>Input!$P$1258</f>
        <v>0</v>
      </c>
      <c r="AJ251" s="1596">
        <f>Input!$P$1259</f>
        <v>0</v>
      </c>
      <c r="AK251" s="1596">
        <f>Input!$P$1260</f>
        <v>0</v>
      </c>
      <c r="AL251" s="1596">
        <f>Input!$P$1261</f>
        <v>0</v>
      </c>
      <c r="AM251" s="1596">
        <f>Input!$P$1262</f>
        <v>0</v>
      </c>
      <c r="AN251" s="1596">
        <f>Input!$P$1263</f>
        <v>0</v>
      </c>
      <c r="AO251" s="1596">
        <f>Input!$P$1264</f>
        <v>0</v>
      </c>
      <c r="AP251" s="1596">
        <f>Input!$P$1265</f>
        <v>0</v>
      </c>
      <c r="AQ251" s="1596">
        <f>Input!$P$1266</f>
        <v>0</v>
      </c>
      <c r="AR251" s="1596">
        <f>Input!$P$1267</f>
        <v>0</v>
      </c>
      <c r="AS251" s="1596">
        <f>Input!$P$1268</f>
        <v>0</v>
      </c>
      <c r="AT251" s="1596">
        <f>Input!$P$1269</f>
        <v>0</v>
      </c>
      <c r="AU251" s="1596">
        <f>Input!$P$1270</f>
        <v>0</v>
      </c>
      <c r="AV251" s="1596">
        <f>Input!$P$1271</f>
        <v>0</v>
      </c>
      <c r="AW251" s="1596">
        <f>Input!$P$1272</f>
        <v>0</v>
      </c>
      <c r="AX251" s="1596">
        <f>Input!$P$1273</f>
        <v>0</v>
      </c>
      <c r="AY251" s="1596">
        <f>Input!$P$1274</f>
        <v>0</v>
      </c>
      <c r="AZ251" s="1596">
        <f>Input!$P$1275</f>
        <v>0</v>
      </c>
      <c r="BA251" s="1596">
        <f>Input!$P$1276</f>
        <v>0</v>
      </c>
      <c r="BB251" s="1596">
        <f>Input!$P$1277</f>
        <v>0</v>
      </c>
      <c r="BC251" s="1596">
        <f>Input!$P$1278</f>
        <v>0</v>
      </c>
      <c r="BD251" s="1596">
        <f>Input!$P$1279</f>
        <v>0</v>
      </c>
      <c r="BE251" s="1596">
        <f>Input!$P$1280</f>
        <v>0</v>
      </c>
      <c r="BF251" s="1596">
        <f>Input!$P$1281</f>
        <v>0</v>
      </c>
      <c r="BG251" s="1596">
        <f>Input!$P$1282</f>
        <v>0</v>
      </c>
      <c r="BH251" s="1596">
        <f>Input!$P$1283</f>
        <v>0</v>
      </c>
      <c r="BI251" s="1596">
        <f>Input!$P$1284</f>
        <v>0</v>
      </c>
      <c r="BJ251" s="1596">
        <f>Input!$P$1285</f>
        <v>0</v>
      </c>
      <c r="BK251" s="1596">
        <f>Input!$P$1286</f>
        <v>0</v>
      </c>
      <c r="BL251" s="1596">
        <f>Input!$P$1287</f>
        <v>0</v>
      </c>
      <c r="BM251" s="1596">
        <f>Input!$P$1288</f>
        <v>0</v>
      </c>
      <c r="BN251" s="1596">
        <f>Input!$P$1289</f>
        <v>0</v>
      </c>
      <c r="BO251" s="1596">
        <f>Input!$P$1290</f>
        <v>0</v>
      </c>
      <c r="BP251" s="1596">
        <f>Input!$P$1291</f>
        <v>0</v>
      </c>
      <c r="BQ251" s="1596">
        <f>Input!$P$1292</f>
        <v>0</v>
      </c>
      <c r="BR251" s="1596">
        <f>Input!$P$1293</f>
        <v>0</v>
      </c>
      <c r="BS251" s="1596">
        <f>Input!$P$1294</f>
        <v>0</v>
      </c>
      <c r="BT251" s="1171"/>
      <c r="BU251" s="1171"/>
      <c r="BV251" s="1171"/>
      <c r="BW251" s="1171"/>
      <c r="BX251" s="43"/>
      <c r="BY251" s="43"/>
    </row>
    <row r="252" spans="1:77" ht="12" customHeight="1" x14ac:dyDescent="0.35">
      <c r="A252" s="1439">
        <f t="shared" si="92"/>
        <v>47177</v>
      </c>
      <c r="B252" s="82">
        <v>98</v>
      </c>
      <c r="C252" s="1439">
        <f t="shared" si="91"/>
        <v>1552</v>
      </c>
      <c r="D252" s="1449">
        <f>SUM(Input!W1356:W1379)-E252</f>
        <v>0</v>
      </c>
      <c r="E252" s="1449">
        <f>IF(Years="Five",SUM(Input!W1368:W1379)*1/12,0)</f>
        <v>0</v>
      </c>
      <c r="F252" s="82"/>
      <c r="G252" s="1446">
        <f>IF(Years="Five",SUM(Input!D525:AB525),0)</f>
        <v>0</v>
      </c>
      <c r="H252" s="1446">
        <f>IF(Years="Five",SUM(Input!D845:AB845),0)</f>
        <v>0</v>
      </c>
      <c r="I252" s="1448"/>
      <c r="J252" s="1448"/>
      <c r="K252" s="1601" t="str">
        <f>Input!$Q$1234</f>
        <v>Item 14</v>
      </c>
      <c r="L252" s="268">
        <f>Input!$Q$1235</f>
        <v>0</v>
      </c>
      <c r="M252" s="268">
        <f>Input!$Q$1236</f>
        <v>0</v>
      </c>
      <c r="N252" s="268">
        <f>Input!$Q$1237</f>
        <v>0</v>
      </c>
      <c r="O252" s="268">
        <f>Input!$Q$1238</f>
        <v>0</v>
      </c>
      <c r="P252" s="268">
        <f>Input!$Q$1239</f>
        <v>0</v>
      </c>
      <c r="Q252" s="268">
        <f>Input!$Q$1240</f>
        <v>0</v>
      </c>
      <c r="R252" s="268">
        <f>Input!$Q$1241</f>
        <v>0</v>
      </c>
      <c r="S252" s="268">
        <f>Input!$Q$1242</f>
        <v>0</v>
      </c>
      <c r="T252" s="268">
        <f>Input!$Q$1243</f>
        <v>0</v>
      </c>
      <c r="U252" s="1595">
        <f>Input!$Q$1244</f>
        <v>0</v>
      </c>
      <c r="V252" s="1595">
        <f>Input!$Q$1245</f>
        <v>0</v>
      </c>
      <c r="W252" s="1595">
        <f>Input!$Q$1246</f>
        <v>0</v>
      </c>
      <c r="X252" s="1595">
        <f>Input!$Q$1247</f>
        <v>0</v>
      </c>
      <c r="Y252" s="1595">
        <f>Input!$Q$1248</f>
        <v>0</v>
      </c>
      <c r="Z252" s="1595">
        <f>Input!$Q$1249</f>
        <v>0</v>
      </c>
      <c r="AA252" s="1595">
        <f>Input!$Q$1250</f>
        <v>0</v>
      </c>
      <c r="AB252" s="1595">
        <f>Input!$Q$1251</f>
        <v>0</v>
      </c>
      <c r="AC252" s="1595">
        <f>Input!$Q$1252</f>
        <v>0</v>
      </c>
      <c r="AD252" s="1595">
        <f>Input!$Q$1253</f>
        <v>0</v>
      </c>
      <c r="AE252" s="1595">
        <f>Input!$Q$1254</f>
        <v>0</v>
      </c>
      <c r="AF252" s="1596">
        <f>Input!$Q$1255</f>
        <v>0</v>
      </c>
      <c r="AG252" s="1596">
        <f>Input!$Q$1256</f>
        <v>0</v>
      </c>
      <c r="AH252" s="1596">
        <f>Input!$Q$1257</f>
        <v>0</v>
      </c>
      <c r="AI252" s="1596">
        <f>Input!$Q$1258</f>
        <v>0</v>
      </c>
      <c r="AJ252" s="1596">
        <f>Input!$Q$1259</f>
        <v>0</v>
      </c>
      <c r="AK252" s="1596">
        <f>Input!$Q$1260</f>
        <v>0</v>
      </c>
      <c r="AL252" s="1596">
        <f>Input!$Q$1261</f>
        <v>0</v>
      </c>
      <c r="AM252" s="1596">
        <f>Input!$Q$1262</f>
        <v>0</v>
      </c>
      <c r="AN252" s="1596">
        <f>Input!$Q$1263</f>
        <v>0</v>
      </c>
      <c r="AO252" s="1596">
        <f>Input!$Q$1264</f>
        <v>0</v>
      </c>
      <c r="AP252" s="1596">
        <f>Input!$Q$1265</f>
        <v>0</v>
      </c>
      <c r="AQ252" s="1596">
        <f>Input!$Q$1266</f>
        <v>0</v>
      </c>
      <c r="AR252" s="1596">
        <f>Input!$Q$1267</f>
        <v>0</v>
      </c>
      <c r="AS252" s="1596">
        <f>Input!$Q$1268</f>
        <v>0</v>
      </c>
      <c r="AT252" s="1596">
        <f>Input!$Q$1269</f>
        <v>0</v>
      </c>
      <c r="AU252" s="1596">
        <f>Input!$Q$1270</f>
        <v>0</v>
      </c>
      <c r="AV252" s="1596">
        <f>Input!$Q$1271</f>
        <v>0</v>
      </c>
      <c r="AW252" s="1596">
        <f>Input!$Q$1272</f>
        <v>0</v>
      </c>
      <c r="AX252" s="1596">
        <f>Input!$Q$1273</f>
        <v>0</v>
      </c>
      <c r="AY252" s="1596">
        <f>Input!$Q$1274</f>
        <v>0</v>
      </c>
      <c r="AZ252" s="1596">
        <f>Input!$Q$1275</f>
        <v>0</v>
      </c>
      <c r="BA252" s="1596">
        <f>Input!$Q$1276</f>
        <v>0</v>
      </c>
      <c r="BB252" s="1596">
        <f>Input!$Q$1277</f>
        <v>0</v>
      </c>
      <c r="BC252" s="1596">
        <f>Input!$Q$1278</f>
        <v>0</v>
      </c>
      <c r="BD252" s="1596">
        <f>Input!$Q$1279</f>
        <v>0</v>
      </c>
      <c r="BE252" s="1596">
        <f>Input!$Q$1280</f>
        <v>0</v>
      </c>
      <c r="BF252" s="1596">
        <f>Input!$Q$1281</f>
        <v>0</v>
      </c>
      <c r="BG252" s="1596">
        <f>Input!$Q$1282</f>
        <v>0</v>
      </c>
      <c r="BH252" s="1596">
        <f>Input!$Q$1283</f>
        <v>0</v>
      </c>
      <c r="BI252" s="1596">
        <f>Input!$Q$1284</f>
        <v>0</v>
      </c>
      <c r="BJ252" s="1596">
        <f>Input!$Q$1285</f>
        <v>0</v>
      </c>
      <c r="BK252" s="1596">
        <f>Input!$Q$1286</f>
        <v>0</v>
      </c>
      <c r="BL252" s="1596">
        <f>Input!$Q$1287</f>
        <v>0</v>
      </c>
      <c r="BM252" s="1596">
        <f>Input!$Q$1288</f>
        <v>0</v>
      </c>
      <c r="BN252" s="1596">
        <f>Input!$Q$1289</f>
        <v>0</v>
      </c>
      <c r="BO252" s="1596">
        <f>Input!$Q$1290</f>
        <v>0</v>
      </c>
      <c r="BP252" s="1596">
        <f>Input!$Q$1291</f>
        <v>0</v>
      </c>
      <c r="BQ252" s="1596">
        <f>Input!$Q$1292</f>
        <v>0</v>
      </c>
      <c r="BR252" s="1596">
        <f>Input!$Q$1293</f>
        <v>0</v>
      </c>
      <c r="BS252" s="1596">
        <f>Input!$Q$1294</f>
        <v>0</v>
      </c>
      <c r="BT252" s="1171"/>
      <c r="BU252" s="1171"/>
      <c r="BV252" s="1171"/>
      <c r="BW252" s="1171"/>
      <c r="BX252" s="43"/>
      <c r="BY252" s="43"/>
    </row>
    <row r="253" spans="1:77" ht="12" customHeight="1" x14ac:dyDescent="0.35">
      <c r="A253" s="1439">
        <f t="shared" si="92"/>
        <v>47208</v>
      </c>
      <c r="B253" s="82">
        <v>99</v>
      </c>
      <c r="C253" s="1439">
        <f t="shared" si="91"/>
        <v>1582</v>
      </c>
      <c r="D253" s="1449">
        <f>SUM(Input!W1357:W1380)-E253</f>
        <v>0</v>
      </c>
      <c r="E253" s="1449">
        <f>IF(Years="Five",SUM(Input!W1369:W1380)*1/12,0)</f>
        <v>0</v>
      </c>
      <c r="F253" s="82"/>
      <c r="G253" s="1446">
        <f>IF(Years="Five",SUM(Input!D526:AB526),0)</f>
        <v>0</v>
      </c>
      <c r="H253" s="1446">
        <f>IF(Years="Five",SUM(Input!D846:AB846),0)</f>
        <v>0</v>
      </c>
      <c r="I253" s="1448"/>
      <c r="J253" s="1448"/>
      <c r="K253" s="1601" t="str">
        <f>Input!$R$1234</f>
        <v>Item 15</v>
      </c>
      <c r="L253" s="268">
        <f>Input!$R$1235</f>
        <v>0</v>
      </c>
      <c r="M253" s="268">
        <f>Input!$R$1236</f>
        <v>0</v>
      </c>
      <c r="N253" s="268">
        <f>Input!$R$1237</f>
        <v>0</v>
      </c>
      <c r="O253" s="268">
        <f>Input!$R$1238</f>
        <v>0</v>
      </c>
      <c r="P253" s="268">
        <f>Input!$R$1239</f>
        <v>0</v>
      </c>
      <c r="Q253" s="268">
        <f>Input!$R$1240</f>
        <v>0</v>
      </c>
      <c r="R253" s="268">
        <f>Input!$R$1241</f>
        <v>0</v>
      </c>
      <c r="S253" s="268">
        <f>Input!$R$1242</f>
        <v>0</v>
      </c>
      <c r="T253" s="268">
        <f>Input!$R$1243</f>
        <v>0</v>
      </c>
      <c r="U253" s="1595">
        <f>Input!$R$1244</f>
        <v>0</v>
      </c>
      <c r="V253" s="1595">
        <f>Input!$R$1245</f>
        <v>0</v>
      </c>
      <c r="W253" s="1595">
        <f>Input!$R$1246</f>
        <v>0</v>
      </c>
      <c r="X253" s="1595">
        <f>Input!$R$1247</f>
        <v>0</v>
      </c>
      <c r="Y253" s="1595">
        <f>Input!$R$1248</f>
        <v>0</v>
      </c>
      <c r="Z253" s="1595">
        <f>Input!$R$1249</f>
        <v>0</v>
      </c>
      <c r="AA253" s="1595">
        <f>Input!$R$1250</f>
        <v>0</v>
      </c>
      <c r="AB253" s="1595">
        <f>Input!$R$1251</f>
        <v>0</v>
      </c>
      <c r="AC253" s="1595">
        <f>Input!$R$1252</f>
        <v>0</v>
      </c>
      <c r="AD253" s="1595">
        <f>Input!$R$1253</f>
        <v>0</v>
      </c>
      <c r="AE253" s="1595">
        <f>Input!$R$1254</f>
        <v>0</v>
      </c>
      <c r="AF253" s="1596">
        <f>Input!$R$1255</f>
        <v>0</v>
      </c>
      <c r="AG253" s="1596">
        <f>Input!$R$1256</f>
        <v>0</v>
      </c>
      <c r="AH253" s="1596">
        <f>Input!$R$1257</f>
        <v>0</v>
      </c>
      <c r="AI253" s="1596">
        <f>Input!$R$1258</f>
        <v>0</v>
      </c>
      <c r="AJ253" s="1596">
        <f>Input!$R$1259</f>
        <v>0</v>
      </c>
      <c r="AK253" s="1596">
        <f>Input!$R$1260</f>
        <v>0</v>
      </c>
      <c r="AL253" s="1596">
        <f>Input!$R$1261</f>
        <v>0</v>
      </c>
      <c r="AM253" s="1596">
        <f>Input!$R$1262</f>
        <v>0</v>
      </c>
      <c r="AN253" s="1596">
        <f>Input!$R$1263</f>
        <v>0</v>
      </c>
      <c r="AO253" s="1596">
        <f>Input!$R$1264</f>
        <v>0</v>
      </c>
      <c r="AP253" s="1596">
        <f>Input!$R$1265</f>
        <v>0</v>
      </c>
      <c r="AQ253" s="1596">
        <f>Input!$R$1266</f>
        <v>0</v>
      </c>
      <c r="AR253" s="1596">
        <f>Input!$R$1267</f>
        <v>0</v>
      </c>
      <c r="AS253" s="1596">
        <f>Input!$R$1268</f>
        <v>0</v>
      </c>
      <c r="AT253" s="1596">
        <f>Input!$R$1269</f>
        <v>0</v>
      </c>
      <c r="AU253" s="1596">
        <f>Input!$R$1270</f>
        <v>0</v>
      </c>
      <c r="AV253" s="1596">
        <f>Input!$R$1271</f>
        <v>0</v>
      </c>
      <c r="AW253" s="1596">
        <f>Input!$R$1272</f>
        <v>0</v>
      </c>
      <c r="AX253" s="1596">
        <f>Input!$R$1273</f>
        <v>0</v>
      </c>
      <c r="AY253" s="1596">
        <f>Input!$R$1274</f>
        <v>0</v>
      </c>
      <c r="AZ253" s="1596">
        <f>Input!$R$1275</f>
        <v>0</v>
      </c>
      <c r="BA253" s="1596">
        <f>Input!$R$1276</f>
        <v>0</v>
      </c>
      <c r="BB253" s="1596">
        <f>Input!$R$1277</f>
        <v>0</v>
      </c>
      <c r="BC253" s="1596">
        <f>Input!$R$1278</f>
        <v>0</v>
      </c>
      <c r="BD253" s="1596">
        <f>Input!$R$1279</f>
        <v>0</v>
      </c>
      <c r="BE253" s="1596">
        <f>Input!$R$1280</f>
        <v>0</v>
      </c>
      <c r="BF253" s="1596">
        <f>Input!$R$1281</f>
        <v>0</v>
      </c>
      <c r="BG253" s="1596">
        <f>Input!$R$1282</f>
        <v>0</v>
      </c>
      <c r="BH253" s="1596">
        <f>Input!$R$1283</f>
        <v>0</v>
      </c>
      <c r="BI253" s="1596">
        <f>Input!$R$1284</f>
        <v>0</v>
      </c>
      <c r="BJ253" s="1596">
        <f>Input!$R$1285</f>
        <v>0</v>
      </c>
      <c r="BK253" s="1596">
        <f>Input!$R$1286</f>
        <v>0</v>
      </c>
      <c r="BL253" s="1596">
        <f>Input!$R$1287</f>
        <v>0</v>
      </c>
      <c r="BM253" s="1596">
        <f>Input!$R$1288</f>
        <v>0</v>
      </c>
      <c r="BN253" s="1596">
        <f>Input!$R$1289</f>
        <v>0</v>
      </c>
      <c r="BO253" s="1596">
        <f>Input!$R$1290</f>
        <v>0</v>
      </c>
      <c r="BP253" s="1596">
        <f>Input!$R$1291</f>
        <v>0</v>
      </c>
      <c r="BQ253" s="1596">
        <f>Input!$R$1292</f>
        <v>0</v>
      </c>
      <c r="BR253" s="1596">
        <f>Input!$R$1293</f>
        <v>0</v>
      </c>
      <c r="BS253" s="1596">
        <f>Input!$R$1294</f>
        <v>0</v>
      </c>
      <c r="BT253" s="1171"/>
      <c r="BU253" s="1171"/>
      <c r="BV253" s="1171"/>
      <c r="BW253" s="1171"/>
      <c r="BX253" s="43"/>
      <c r="BY253" s="43"/>
    </row>
    <row r="254" spans="1:77" ht="12" customHeight="1" x14ac:dyDescent="0.35">
      <c r="A254" s="1439">
        <f t="shared" si="92"/>
        <v>47238</v>
      </c>
      <c r="B254" s="82">
        <v>100</v>
      </c>
      <c r="C254" s="1439">
        <f t="shared" si="91"/>
        <v>1613</v>
      </c>
      <c r="D254" s="1449">
        <f>SUM(Input!W1358:W1381)-E254</f>
        <v>0</v>
      </c>
      <c r="E254" s="1449">
        <f>IF(Years="Five",SUM(Input!W1370:W1381)*1/12,0)</f>
        <v>0</v>
      </c>
      <c r="F254" s="82"/>
      <c r="G254" s="1446">
        <f>IF(Years="Five",SUM(Input!D527:AB527),0)</f>
        <v>0</v>
      </c>
      <c r="H254" s="1446">
        <f>IF(Years="Five",SUM(Input!D847:AB847),0)</f>
        <v>0</v>
      </c>
      <c r="I254" s="1448"/>
      <c r="J254" s="1448"/>
      <c r="K254" s="1601" t="str">
        <f>Input!$S$1234</f>
        <v>Item 16</v>
      </c>
      <c r="L254" s="268">
        <f>Input!$S$1235</f>
        <v>0</v>
      </c>
      <c r="M254" s="268">
        <f>Input!$S$1236</f>
        <v>0</v>
      </c>
      <c r="N254" s="268">
        <f>Input!$S$1237</f>
        <v>0</v>
      </c>
      <c r="O254" s="268">
        <f>Input!$S$1238</f>
        <v>0</v>
      </c>
      <c r="P254" s="268">
        <f>Input!$S$1239</f>
        <v>0</v>
      </c>
      <c r="Q254" s="268">
        <f>Input!$S$1240</f>
        <v>0</v>
      </c>
      <c r="R254" s="268">
        <f>Input!$S$1241</f>
        <v>0</v>
      </c>
      <c r="S254" s="268">
        <f>Input!$S$1242</f>
        <v>0</v>
      </c>
      <c r="T254" s="268">
        <f>Input!$S$1243</f>
        <v>0</v>
      </c>
      <c r="U254" s="1595">
        <f>Input!$S$1244</f>
        <v>0</v>
      </c>
      <c r="V254" s="1595">
        <f>Input!$S$1245</f>
        <v>0</v>
      </c>
      <c r="W254" s="1595">
        <f>Input!$S$1246</f>
        <v>0</v>
      </c>
      <c r="X254" s="1595">
        <f>Input!$S$1247</f>
        <v>0</v>
      </c>
      <c r="Y254" s="1595">
        <f>Input!$S$1248</f>
        <v>0</v>
      </c>
      <c r="Z254" s="1595">
        <f>Input!$S$1249</f>
        <v>0</v>
      </c>
      <c r="AA254" s="1595">
        <f>Input!$S$1250</f>
        <v>0</v>
      </c>
      <c r="AB254" s="1595">
        <f>Input!$S$1251</f>
        <v>0</v>
      </c>
      <c r="AC254" s="1595">
        <f>Input!$S$1252</f>
        <v>0</v>
      </c>
      <c r="AD254" s="1595">
        <f>Input!$S$1253</f>
        <v>0</v>
      </c>
      <c r="AE254" s="1595">
        <f>Input!$S$1254</f>
        <v>0</v>
      </c>
      <c r="AF254" s="1596">
        <f>Input!$S$1255</f>
        <v>0</v>
      </c>
      <c r="AG254" s="1596">
        <f>Input!$S$1256</f>
        <v>0</v>
      </c>
      <c r="AH254" s="1596">
        <f>Input!$S$1257</f>
        <v>0</v>
      </c>
      <c r="AI254" s="1596">
        <f>Input!$S$1258</f>
        <v>0</v>
      </c>
      <c r="AJ254" s="1596">
        <f>Input!$S$1259</f>
        <v>0</v>
      </c>
      <c r="AK254" s="1596">
        <f>Input!$S$1260</f>
        <v>0</v>
      </c>
      <c r="AL254" s="1596">
        <f>Input!$S$1261</f>
        <v>0</v>
      </c>
      <c r="AM254" s="1596">
        <f>Input!$S$1262</f>
        <v>0</v>
      </c>
      <c r="AN254" s="1596">
        <f>Input!$S$1263</f>
        <v>0</v>
      </c>
      <c r="AO254" s="1596">
        <f>Input!$S$1264</f>
        <v>0</v>
      </c>
      <c r="AP254" s="1596">
        <f>Input!$S$1265</f>
        <v>0</v>
      </c>
      <c r="AQ254" s="1596">
        <f>Input!$S$1266</f>
        <v>0</v>
      </c>
      <c r="AR254" s="1596">
        <f>Input!$S$1267</f>
        <v>0</v>
      </c>
      <c r="AS254" s="1596">
        <f>Input!$S$1268</f>
        <v>0</v>
      </c>
      <c r="AT254" s="1596">
        <f>Input!$S$1269</f>
        <v>0</v>
      </c>
      <c r="AU254" s="1596">
        <f>Input!$S$1270</f>
        <v>0</v>
      </c>
      <c r="AV254" s="1596">
        <f>Input!$S$1271</f>
        <v>0</v>
      </c>
      <c r="AW254" s="1596">
        <f>Input!$S$1272</f>
        <v>0</v>
      </c>
      <c r="AX254" s="1596">
        <f>Input!$S$1273</f>
        <v>0</v>
      </c>
      <c r="AY254" s="1596">
        <f>Input!$S$1274</f>
        <v>0</v>
      </c>
      <c r="AZ254" s="1596">
        <f>Input!$S$1275</f>
        <v>0</v>
      </c>
      <c r="BA254" s="1596">
        <f>Input!$S$1276</f>
        <v>0</v>
      </c>
      <c r="BB254" s="1596">
        <f>Input!$S$1277</f>
        <v>0</v>
      </c>
      <c r="BC254" s="1596">
        <f>Input!$S$1278</f>
        <v>0</v>
      </c>
      <c r="BD254" s="1596">
        <f>Input!$S$1279</f>
        <v>0</v>
      </c>
      <c r="BE254" s="1596">
        <f>Input!$S$1280</f>
        <v>0</v>
      </c>
      <c r="BF254" s="1596">
        <f>Input!$S$1281</f>
        <v>0</v>
      </c>
      <c r="BG254" s="1596">
        <f>Input!$S$1282</f>
        <v>0</v>
      </c>
      <c r="BH254" s="1596">
        <f>Input!$S$1283</f>
        <v>0</v>
      </c>
      <c r="BI254" s="1596">
        <f>Input!$S$1284</f>
        <v>0</v>
      </c>
      <c r="BJ254" s="1596">
        <f>Input!$S$1285</f>
        <v>0</v>
      </c>
      <c r="BK254" s="1596">
        <f>Input!$S$1286</f>
        <v>0</v>
      </c>
      <c r="BL254" s="1596">
        <f>Input!$S$1287</f>
        <v>0</v>
      </c>
      <c r="BM254" s="1596">
        <f>Input!$S$1288</f>
        <v>0</v>
      </c>
      <c r="BN254" s="1596">
        <f>Input!$S$1289</f>
        <v>0</v>
      </c>
      <c r="BO254" s="1596">
        <f>Input!$S$1290</f>
        <v>0</v>
      </c>
      <c r="BP254" s="1596">
        <f>Input!$S$1291</f>
        <v>0</v>
      </c>
      <c r="BQ254" s="1596">
        <f>Input!$S$1292</f>
        <v>0</v>
      </c>
      <c r="BR254" s="1596">
        <f>Input!$S$1293</f>
        <v>0</v>
      </c>
      <c r="BS254" s="1596">
        <f>Input!$S$1294</f>
        <v>0</v>
      </c>
      <c r="BT254" s="1171"/>
      <c r="BU254" s="1171"/>
      <c r="BV254" s="1171"/>
      <c r="BW254" s="1171"/>
      <c r="BX254" s="43"/>
      <c r="BY254" s="43"/>
    </row>
    <row r="255" spans="1:77" ht="12" customHeight="1" x14ac:dyDescent="0.35">
      <c r="A255" s="1439">
        <f t="shared" si="92"/>
        <v>47269</v>
      </c>
      <c r="B255" s="82">
        <v>101</v>
      </c>
      <c r="C255" s="1439">
        <f t="shared" si="91"/>
        <v>1643</v>
      </c>
      <c r="D255" s="1449">
        <f>SUM(Input!W1359:W1382)-E255</f>
        <v>0</v>
      </c>
      <c r="E255" s="1449">
        <f>IF(Years="Five",SUM(Input!W1371:W1382)*1/12,0)</f>
        <v>0</v>
      </c>
      <c r="F255" s="82"/>
      <c r="G255" s="1446">
        <f>IF(Years="Five",SUM(Input!D528:AB528),0)</f>
        <v>0</v>
      </c>
      <c r="H255" s="1446">
        <f>IF(Years="Five",SUM(Input!D848:AB848),0)</f>
        <v>0</v>
      </c>
      <c r="I255" s="1448"/>
      <c r="J255" s="1448"/>
      <c r="K255" s="1601" t="str">
        <f>Input!$T$1234</f>
        <v>Item 17</v>
      </c>
      <c r="L255" s="268">
        <f>Input!$T$1235</f>
        <v>0</v>
      </c>
      <c r="M255" s="268">
        <f>Input!$T$1236</f>
        <v>0</v>
      </c>
      <c r="N255" s="268">
        <f>Input!$T$1237</f>
        <v>0</v>
      </c>
      <c r="O255" s="268">
        <f>Input!$T$1238</f>
        <v>0</v>
      </c>
      <c r="P255" s="268">
        <f>Input!$T$1239</f>
        <v>0</v>
      </c>
      <c r="Q255" s="268">
        <f>Input!$T$1240</f>
        <v>0</v>
      </c>
      <c r="R255" s="268">
        <f>Input!$T$1241</f>
        <v>0</v>
      </c>
      <c r="S255" s="268">
        <f>Input!$T$1242</f>
        <v>0</v>
      </c>
      <c r="T255" s="268">
        <f>Input!$T$1243</f>
        <v>0</v>
      </c>
      <c r="U255" s="1595">
        <f>Input!$T$1244</f>
        <v>0</v>
      </c>
      <c r="V255" s="1595">
        <f>Input!$T$1245</f>
        <v>0</v>
      </c>
      <c r="W255" s="1595">
        <f>Input!$T$1246</f>
        <v>0</v>
      </c>
      <c r="X255" s="1595">
        <f>Input!$T$1247</f>
        <v>0</v>
      </c>
      <c r="Y255" s="1595">
        <f>Input!$T$1248</f>
        <v>0</v>
      </c>
      <c r="Z255" s="1595">
        <f>Input!$T$1249</f>
        <v>0</v>
      </c>
      <c r="AA255" s="1595">
        <f>Input!$T$1250</f>
        <v>0</v>
      </c>
      <c r="AB255" s="1595">
        <f>Input!$T$1251</f>
        <v>0</v>
      </c>
      <c r="AC255" s="1595">
        <f>Input!$T$1252</f>
        <v>0</v>
      </c>
      <c r="AD255" s="1595">
        <f>Input!$T$1253</f>
        <v>0</v>
      </c>
      <c r="AE255" s="1595">
        <f>Input!$T$1254</f>
        <v>0</v>
      </c>
      <c r="AF255" s="1596">
        <f>Input!$T$1255</f>
        <v>0</v>
      </c>
      <c r="AG255" s="1596">
        <f>Input!$T$1256</f>
        <v>0</v>
      </c>
      <c r="AH255" s="1596">
        <f>Input!$T$1257</f>
        <v>0</v>
      </c>
      <c r="AI255" s="1596">
        <f>Input!$T$1258</f>
        <v>0</v>
      </c>
      <c r="AJ255" s="1596">
        <f>Input!$T$1259</f>
        <v>0</v>
      </c>
      <c r="AK255" s="1596">
        <f>Input!$T$1260</f>
        <v>0</v>
      </c>
      <c r="AL255" s="1596">
        <f>Input!$T$1261</f>
        <v>0</v>
      </c>
      <c r="AM255" s="1596">
        <f>Input!$T$1262</f>
        <v>0</v>
      </c>
      <c r="AN255" s="1596">
        <f>Input!$T$1263</f>
        <v>0</v>
      </c>
      <c r="AO255" s="1596">
        <f>Input!$T$1264</f>
        <v>0</v>
      </c>
      <c r="AP255" s="1596">
        <f>Input!$T$1265</f>
        <v>0</v>
      </c>
      <c r="AQ255" s="1596">
        <f>Input!$T$1266</f>
        <v>0</v>
      </c>
      <c r="AR255" s="1596">
        <f>Input!$T$1267</f>
        <v>0</v>
      </c>
      <c r="AS255" s="1596">
        <f>Input!$T$1268</f>
        <v>0</v>
      </c>
      <c r="AT255" s="1596">
        <f>Input!$T$1269</f>
        <v>0</v>
      </c>
      <c r="AU255" s="1596">
        <f>Input!$T$1270</f>
        <v>0</v>
      </c>
      <c r="AV255" s="1596">
        <f>Input!$T$1271</f>
        <v>0</v>
      </c>
      <c r="AW255" s="1596">
        <f>Input!$T$1272</f>
        <v>0</v>
      </c>
      <c r="AX255" s="1596">
        <f>Input!$T$1273</f>
        <v>0</v>
      </c>
      <c r="AY255" s="1596">
        <f>Input!$T$1274</f>
        <v>0</v>
      </c>
      <c r="AZ255" s="1596">
        <f>Input!$T$1275</f>
        <v>0</v>
      </c>
      <c r="BA255" s="1596">
        <f>Input!$T$1276</f>
        <v>0</v>
      </c>
      <c r="BB255" s="1596">
        <f>Input!$T$1277</f>
        <v>0</v>
      </c>
      <c r="BC255" s="1596">
        <f>Input!$T$1278</f>
        <v>0</v>
      </c>
      <c r="BD255" s="1596">
        <f>Input!$T$1279</f>
        <v>0</v>
      </c>
      <c r="BE255" s="1596">
        <f>Input!$T$1280</f>
        <v>0</v>
      </c>
      <c r="BF255" s="1596">
        <f>Input!$T$1281</f>
        <v>0</v>
      </c>
      <c r="BG255" s="1596">
        <f>Input!$T$1282</f>
        <v>0</v>
      </c>
      <c r="BH255" s="1596">
        <f>Input!$T$1283</f>
        <v>0</v>
      </c>
      <c r="BI255" s="1596">
        <f>Input!$T$1284</f>
        <v>0</v>
      </c>
      <c r="BJ255" s="1596">
        <f>Input!$T$1285</f>
        <v>0</v>
      </c>
      <c r="BK255" s="1596">
        <f>Input!$T$1286</f>
        <v>0</v>
      </c>
      <c r="BL255" s="1596">
        <f>Input!$T$1287</f>
        <v>0</v>
      </c>
      <c r="BM255" s="1596">
        <f>Input!$T$1288</f>
        <v>0</v>
      </c>
      <c r="BN255" s="1596">
        <f>Input!$T$1289</f>
        <v>0</v>
      </c>
      <c r="BO255" s="1596">
        <f>Input!$T$1290</f>
        <v>0</v>
      </c>
      <c r="BP255" s="1596">
        <f>Input!$T$1291</f>
        <v>0</v>
      </c>
      <c r="BQ255" s="1596">
        <f>Input!$T$1292</f>
        <v>0</v>
      </c>
      <c r="BR255" s="1596">
        <f>Input!$T$1293</f>
        <v>0</v>
      </c>
      <c r="BS255" s="1596">
        <f>Input!$T$1294</f>
        <v>0</v>
      </c>
      <c r="BT255" s="1171"/>
      <c r="BU255" s="1171"/>
      <c r="BV255" s="1171"/>
      <c r="BW255" s="1171"/>
      <c r="BX255" s="43"/>
      <c r="BY255" s="43"/>
    </row>
    <row r="256" spans="1:77" ht="12" customHeight="1" x14ac:dyDescent="0.35">
      <c r="A256" s="1439">
        <f t="shared" si="92"/>
        <v>47299</v>
      </c>
      <c r="B256" s="82">
        <v>102</v>
      </c>
      <c r="C256" s="1439">
        <f t="shared" si="91"/>
        <v>1674</v>
      </c>
      <c r="D256" s="1449">
        <f>SUM(Input!W1360:W1383)-E256</f>
        <v>0</v>
      </c>
      <c r="E256" s="1449">
        <f>IF(Years="Five",SUM(Input!W1372:W1383)*1/12,0)</f>
        <v>0</v>
      </c>
      <c r="F256" s="82"/>
      <c r="G256" s="1446">
        <f>IF(Years="Five",SUM(Input!D529:AB529),0)</f>
        <v>0</v>
      </c>
      <c r="H256" s="1446">
        <f>IF(Years="Five",SUM(Input!D849:AB849),0)</f>
        <v>0</v>
      </c>
      <c r="I256" s="1448"/>
      <c r="J256" s="1448"/>
      <c r="K256" s="1601" t="str">
        <f>Input!$U$1234</f>
        <v>Item 18</v>
      </c>
      <c r="L256" s="268">
        <f>Input!$U$1235</f>
        <v>0</v>
      </c>
      <c r="M256" s="268">
        <f>Input!$U$1236</f>
        <v>0</v>
      </c>
      <c r="N256" s="268">
        <f>Input!$U$1237</f>
        <v>0</v>
      </c>
      <c r="O256" s="268">
        <f>Input!$U$1238</f>
        <v>0</v>
      </c>
      <c r="P256" s="268">
        <f>Input!$U$1239</f>
        <v>0</v>
      </c>
      <c r="Q256" s="268">
        <f>Input!$U$1240</f>
        <v>0</v>
      </c>
      <c r="R256" s="268">
        <f>Input!$U$1241</f>
        <v>0</v>
      </c>
      <c r="S256" s="268">
        <f>Input!$U$1242</f>
        <v>0</v>
      </c>
      <c r="T256" s="268">
        <f>Input!$U$1243</f>
        <v>0</v>
      </c>
      <c r="U256" s="1595">
        <f>Input!$U$1244</f>
        <v>0</v>
      </c>
      <c r="V256" s="1595">
        <f>Input!$U$1245</f>
        <v>0</v>
      </c>
      <c r="W256" s="1595">
        <f>Input!$U$1246</f>
        <v>0</v>
      </c>
      <c r="X256" s="1595">
        <f>Input!$U$1247</f>
        <v>0</v>
      </c>
      <c r="Y256" s="1595">
        <f>Input!$U$1248</f>
        <v>0</v>
      </c>
      <c r="Z256" s="1595">
        <f>Input!$U$1249</f>
        <v>0</v>
      </c>
      <c r="AA256" s="1595">
        <f>Input!$U$1250</f>
        <v>0</v>
      </c>
      <c r="AB256" s="1595">
        <f>Input!$U$1251</f>
        <v>0</v>
      </c>
      <c r="AC256" s="1595">
        <f>Input!$U$1252</f>
        <v>0</v>
      </c>
      <c r="AD256" s="1595">
        <f>Input!$U$1253</f>
        <v>0</v>
      </c>
      <c r="AE256" s="1595">
        <f>Input!$U$1254</f>
        <v>0</v>
      </c>
      <c r="AF256" s="1596">
        <f>Input!$U$1255</f>
        <v>0</v>
      </c>
      <c r="AG256" s="1596">
        <f>Input!$U$1256</f>
        <v>0</v>
      </c>
      <c r="AH256" s="1596">
        <f>Input!$U$1257</f>
        <v>0</v>
      </c>
      <c r="AI256" s="1596">
        <f>Input!$U$1258</f>
        <v>0</v>
      </c>
      <c r="AJ256" s="1596">
        <f>Input!$U$1259</f>
        <v>0</v>
      </c>
      <c r="AK256" s="1596">
        <f>Input!$U$1260</f>
        <v>0</v>
      </c>
      <c r="AL256" s="1596">
        <f>Input!$U$1261</f>
        <v>0</v>
      </c>
      <c r="AM256" s="1596">
        <f>Input!$U$1262</f>
        <v>0</v>
      </c>
      <c r="AN256" s="1596">
        <f>Input!$U$1263</f>
        <v>0</v>
      </c>
      <c r="AO256" s="1596">
        <f>Input!$U$1264</f>
        <v>0</v>
      </c>
      <c r="AP256" s="1596">
        <f>Input!$U$1265</f>
        <v>0</v>
      </c>
      <c r="AQ256" s="1596">
        <f>Input!$U$1266</f>
        <v>0</v>
      </c>
      <c r="AR256" s="1596">
        <f>Input!$U$1267</f>
        <v>0</v>
      </c>
      <c r="AS256" s="1596">
        <f>Input!$U$1268</f>
        <v>0</v>
      </c>
      <c r="AT256" s="1596">
        <f>Input!$U$1269</f>
        <v>0</v>
      </c>
      <c r="AU256" s="1596">
        <f>Input!$U$1270</f>
        <v>0</v>
      </c>
      <c r="AV256" s="1596">
        <f>Input!$U$1271</f>
        <v>0</v>
      </c>
      <c r="AW256" s="1596">
        <f>Input!$U$1272</f>
        <v>0</v>
      </c>
      <c r="AX256" s="1596">
        <f>Input!$U$1273</f>
        <v>0</v>
      </c>
      <c r="AY256" s="1596">
        <f>Input!$U$1274</f>
        <v>0</v>
      </c>
      <c r="AZ256" s="1596">
        <f>Input!$U$1275</f>
        <v>0</v>
      </c>
      <c r="BA256" s="1596">
        <f>Input!$U$1276</f>
        <v>0</v>
      </c>
      <c r="BB256" s="1596">
        <f>Input!$U$1277</f>
        <v>0</v>
      </c>
      <c r="BC256" s="1596">
        <f>Input!$U$1278</f>
        <v>0</v>
      </c>
      <c r="BD256" s="1596">
        <f>Input!$U$1279</f>
        <v>0</v>
      </c>
      <c r="BE256" s="1596">
        <f>Input!$U$1280</f>
        <v>0</v>
      </c>
      <c r="BF256" s="1596">
        <f>Input!$U$1281</f>
        <v>0</v>
      </c>
      <c r="BG256" s="1596">
        <f>Input!$U$1282</f>
        <v>0</v>
      </c>
      <c r="BH256" s="1596">
        <f>Input!$U$1283</f>
        <v>0</v>
      </c>
      <c r="BI256" s="1596">
        <f>Input!$U$1284</f>
        <v>0</v>
      </c>
      <c r="BJ256" s="1596">
        <f>Input!$U$1285</f>
        <v>0</v>
      </c>
      <c r="BK256" s="1596">
        <f>Input!$U$1286</f>
        <v>0</v>
      </c>
      <c r="BL256" s="1596">
        <f>Input!$U$1287</f>
        <v>0</v>
      </c>
      <c r="BM256" s="1596">
        <f>Input!$U$1288</f>
        <v>0</v>
      </c>
      <c r="BN256" s="1596">
        <f>Input!$U$1289</f>
        <v>0</v>
      </c>
      <c r="BO256" s="1596">
        <f>Input!$U$1290</f>
        <v>0</v>
      </c>
      <c r="BP256" s="1596">
        <f>Input!$U$1291</f>
        <v>0</v>
      </c>
      <c r="BQ256" s="1596">
        <f>Input!$U$1292</f>
        <v>0</v>
      </c>
      <c r="BR256" s="1596">
        <f>Input!$U$1293</f>
        <v>0</v>
      </c>
      <c r="BS256" s="1596">
        <f>Input!$U$1294</f>
        <v>0</v>
      </c>
      <c r="BT256" s="1171"/>
      <c r="BU256" s="1171"/>
      <c r="BV256" s="1171"/>
      <c r="BW256" s="1171"/>
      <c r="BX256" s="43"/>
      <c r="BY256" s="43"/>
    </row>
    <row r="257" spans="1:154" ht="12" customHeight="1" x14ac:dyDescent="0.35">
      <c r="A257" s="1439">
        <f t="shared" si="92"/>
        <v>47330</v>
      </c>
      <c r="B257" s="82">
        <v>103</v>
      </c>
      <c r="C257" s="1439">
        <f t="shared" si="91"/>
        <v>1705</v>
      </c>
      <c r="D257" s="1449">
        <f>SUM(Input!W1361:W1384)-E257</f>
        <v>0</v>
      </c>
      <c r="E257" s="1449">
        <f>IF(Years="Five",SUM(Input!W1373:W1384)*1/12,0)</f>
        <v>0</v>
      </c>
      <c r="F257" s="82"/>
      <c r="G257" s="1446">
        <f>IF(Years="Five",SUM(Input!D530:AB530),0)</f>
        <v>0</v>
      </c>
      <c r="H257" s="1446">
        <f>IF(Years="Five",SUM(Input!D850:AB850),0)</f>
        <v>0</v>
      </c>
      <c r="I257" s="1448"/>
      <c r="J257" s="1448"/>
      <c r="K257" s="1601" t="str">
        <f>Input!$V$1234</f>
        <v>Item 19</v>
      </c>
      <c r="L257" s="268">
        <f>Input!$V$1235</f>
        <v>0</v>
      </c>
      <c r="M257" s="268">
        <f>Input!$V$1236</f>
        <v>0</v>
      </c>
      <c r="N257" s="268">
        <f>Input!$V$1237</f>
        <v>0</v>
      </c>
      <c r="O257" s="268">
        <f>Input!$V$1238</f>
        <v>0</v>
      </c>
      <c r="P257" s="268">
        <f>Input!$V$1239</f>
        <v>0</v>
      </c>
      <c r="Q257" s="268">
        <f>Input!$V$1240</f>
        <v>0</v>
      </c>
      <c r="R257" s="268">
        <f>Input!$V$1241</f>
        <v>0</v>
      </c>
      <c r="S257" s="268">
        <f>Input!$V$1242</f>
        <v>0</v>
      </c>
      <c r="T257" s="268">
        <f>Input!$V$1243</f>
        <v>0</v>
      </c>
      <c r="U257" s="1595">
        <f>Input!$V$1244</f>
        <v>0</v>
      </c>
      <c r="V257" s="1595">
        <f>Input!$V$1245</f>
        <v>0</v>
      </c>
      <c r="W257" s="1595">
        <f>Input!$V$1246</f>
        <v>0</v>
      </c>
      <c r="X257" s="1595">
        <f>Input!$V$1247</f>
        <v>0</v>
      </c>
      <c r="Y257" s="1595">
        <f>Input!$V$1248</f>
        <v>0</v>
      </c>
      <c r="Z257" s="1595">
        <f>Input!$V$1249</f>
        <v>0</v>
      </c>
      <c r="AA257" s="1595">
        <f>Input!$V$1250</f>
        <v>0</v>
      </c>
      <c r="AB257" s="1595">
        <f>Input!$V$1251</f>
        <v>0</v>
      </c>
      <c r="AC257" s="1595">
        <f>Input!$V$1252</f>
        <v>0</v>
      </c>
      <c r="AD257" s="1595">
        <f>Input!$V$1253</f>
        <v>0</v>
      </c>
      <c r="AE257" s="1595">
        <f>Input!$V$1254</f>
        <v>0</v>
      </c>
      <c r="AF257" s="1596">
        <f>Input!$V$1255</f>
        <v>0</v>
      </c>
      <c r="AG257" s="1596">
        <f>Input!$V$1256</f>
        <v>0</v>
      </c>
      <c r="AH257" s="1596">
        <f>Input!$V$1257</f>
        <v>0</v>
      </c>
      <c r="AI257" s="1596">
        <f>Input!$V$1258</f>
        <v>0</v>
      </c>
      <c r="AJ257" s="1596">
        <f>Input!$V$1259</f>
        <v>0</v>
      </c>
      <c r="AK257" s="1596">
        <f>Input!$V$1260</f>
        <v>0</v>
      </c>
      <c r="AL257" s="1596">
        <f>Input!$V$1261</f>
        <v>0</v>
      </c>
      <c r="AM257" s="1596">
        <f>Input!$V$1262</f>
        <v>0</v>
      </c>
      <c r="AN257" s="1596">
        <f>Input!$V$1263</f>
        <v>0</v>
      </c>
      <c r="AO257" s="1596">
        <f>Input!$V$1264</f>
        <v>0</v>
      </c>
      <c r="AP257" s="1596">
        <f>Input!$V$1265</f>
        <v>0</v>
      </c>
      <c r="AQ257" s="1596">
        <f>Input!$V$1266</f>
        <v>0</v>
      </c>
      <c r="AR257" s="1596">
        <f>Input!$V$1267</f>
        <v>0</v>
      </c>
      <c r="AS257" s="1596">
        <f>Input!$V$1268</f>
        <v>0</v>
      </c>
      <c r="AT257" s="1596">
        <f>Input!$V$1269</f>
        <v>0</v>
      </c>
      <c r="AU257" s="1596">
        <f>Input!$V$1270</f>
        <v>0</v>
      </c>
      <c r="AV257" s="1596">
        <f>Input!$V$1271</f>
        <v>0</v>
      </c>
      <c r="AW257" s="1596">
        <f>Input!$V$1272</f>
        <v>0</v>
      </c>
      <c r="AX257" s="1596">
        <f>Input!$V$1273</f>
        <v>0</v>
      </c>
      <c r="AY257" s="1596">
        <f>Input!$V$1274</f>
        <v>0</v>
      </c>
      <c r="AZ257" s="1596">
        <f>Input!$V$1275</f>
        <v>0</v>
      </c>
      <c r="BA257" s="1596">
        <f>Input!$V$1276</f>
        <v>0</v>
      </c>
      <c r="BB257" s="1596">
        <f>Input!$V$1277</f>
        <v>0</v>
      </c>
      <c r="BC257" s="1596">
        <f>Input!$V$1278</f>
        <v>0</v>
      </c>
      <c r="BD257" s="1596">
        <f>Input!$V$1279</f>
        <v>0</v>
      </c>
      <c r="BE257" s="1596">
        <f>Input!$V$1280</f>
        <v>0</v>
      </c>
      <c r="BF257" s="1596">
        <f>Input!$V$1281</f>
        <v>0</v>
      </c>
      <c r="BG257" s="1596">
        <f>Input!$V$1282</f>
        <v>0</v>
      </c>
      <c r="BH257" s="1596">
        <f>Input!$V$1283</f>
        <v>0</v>
      </c>
      <c r="BI257" s="1596">
        <f>Input!$V$1284</f>
        <v>0</v>
      </c>
      <c r="BJ257" s="1596">
        <f>Input!$V$1285</f>
        <v>0</v>
      </c>
      <c r="BK257" s="1596">
        <f>Input!$V$1286</f>
        <v>0</v>
      </c>
      <c r="BL257" s="1596">
        <f>Input!$V$1287</f>
        <v>0</v>
      </c>
      <c r="BM257" s="1596">
        <f>Input!$V$1288</f>
        <v>0</v>
      </c>
      <c r="BN257" s="1596">
        <f>Input!$V$1289</f>
        <v>0</v>
      </c>
      <c r="BO257" s="1596">
        <f>Input!$V$1290</f>
        <v>0</v>
      </c>
      <c r="BP257" s="1596">
        <f>Input!$V$1291</f>
        <v>0</v>
      </c>
      <c r="BQ257" s="1596">
        <f>Input!$V$1292</f>
        <v>0</v>
      </c>
      <c r="BR257" s="1596">
        <f>Input!$V$1293</f>
        <v>0</v>
      </c>
      <c r="BS257" s="1596">
        <f>Input!$V$1294</f>
        <v>0</v>
      </c>
      <c r="BT257" s="1171"/>
      <c r="BU257" s="1171"/>
      <c r="BV257" s="1171"/>
      <c r="BW257" s="1171"/>
      <c r="BX257" s="43"/>
      <c r="BY257" s="43"/>
      <c r="BZ257" s="1183"/>
      <c r="CA257" s="1183"/>
      <c r="CB257" s="1183"/>
      <c r="CC257" s="1183"/>
      <c r="CD257" s="1183"/>
      <c r="CE257" s="1183"/>
      <c r="CF257" s="1183"/>
      <c r="CG257" s="1183"/>
      <c r="CH257" s="1183"/>
      <c r="CI257" s="1183"/>
      <c r="CJ257" s="1183"/>
      <c r="CK257" s="1183"/>
      <c r="CL257" s="1183"/>
      <c r="CM257" s="1183"/>
      <c r="CN257" s="1183"/>
      <c r="CO257" s="1183"/>
      <c r="CP257" s="1183"/>
      <c r="CQ257" s="1301"/>
      <c r="CR257" s="1301"/>
      <c r="CS257" s="1301"/>
      <c r="CT257" s="1301"/>
      <c r="CU257" s="1301"/>
      <c r="CV257" s="1301"/>
      <c r="CW257" s="1301"/>
      <c r="CX257" s="1301"/>
      <c r="CY257" s="1301"/>
      <c r="CZ257" s="1301"/>
      <c r="DA257" s="1301"/>
      <c r="DB257" s="1301"/>
      <c r="DC257" s="1301"/>
      <c r="DD257" s="1301"/>
      <c r="DE257" s="1301"/>
      <c r="DF257" s="1301"/>
      <c r="DG257" s="1301"/>
      <c r="DH257" s="1301"/>
      <c r="DI257" s="1301"/>
      <c r="DJ257" s="1301"/>
      <c r="DK257" s="1301"/>
      <c r="DL257" s="1301"/>
      <c r="DM257" s="1301"/>
      <c r="DN257" s="1301"/>
      <c r="DO257" s="1301"/>
      <c r="DP257" s="1301"/>
      <c r="DQ257" s="1301"/>
      <c r="DR257" s="1300"/>
      <c r="DS257" s="1300"/>
      <c r="DT257" s="1300"/>
      <c r="DU257" s="1300"/>
      <c r="DV257" s="1300"/>
      <c r="DW257" s="1300"/>
      <c r="DX257" s="1300"/>
      <c r="DY257" s="1300"/>
      <c r="DZ257" s="1300"/>
      <c r="EA257" s="1300"/>
      <c r="EB257" s="1300"/>
      <c r="EC257" s="1300"/>
      <c r="ED257" s="1300"/>
      <c r="EE257" s="1300"/>
      <c r="EF257" s="1300"/>
      <c r="EG257" s="1300"/>
      <c r="EH257" s="1300"/>
      <c r="EI257" s="1300"/>
      <c r="EJ257" s="1300"/>
      <c r="EK257" s="1300"/>
      <c r="EL257" s="1300"/>
      <c r="EM257" s="1300"/>
      <c r="EN257" s="1300"/>
      <c r="EO257" s="1300"/>
      <c r="EP257" s="1300"/>
      <c r="EQ257" s="1300"/>
      <c r="ER257" s="1300"/>
      <c r="ES257" s="1300"/>
      <c r="ET257" s="1300"/>
      <c r="EU257" s="1300"/>
      <c r="EV257" s="1300"/>
      <c r="EW257" s="1300"/>
      <c r="EX257" s="1300"/>
    </row>
    <row r="258" spans="1:154" ht="12" customHeight="1" x14ac:dyDescent="0.35">
      <c r="A258" s="1439">
        <f t="shared" si="92"/>
        <v>47361</v>
      </c>
      <c r="B258" s="82">
        <v>104</v>
      </c>
      <c r="C258" s="1439">
        <f t="shared" si="91"/>
        <v>1735</v>
      </c>
      <c r="D258" s="1449">
        <f>SUM(Input!W1362:W1385)-E258</f>
        <v>0</v>
      </c>
      <c r="E258" s="1449">
        <f>IF(Years="Five",SUM(Input!W1374:W1385)*1/12,0)</f>
        <v>0</v>
      </c>
      <c r="F258" s="82"/>
      <c r="G258" s="1446">
        <f>IF(Years="Five",SUM(Input!D531:AB531),0)</f>
        <v>0</v>
      </c>
      <c r="H258" s="1446">
        <f>IF(Years="Five",SUM(Input!D851:AB851),0)</f>
        <v>0</v>
      </c>
      <c r="I258" s="1448"/>
      <c r="J258" s="1448"/>
      <c r="K258" s="1601" t="str">
        <f>Input!$W$1234</f>
        <v>Item 20</v>
      </c>
      <c r="L258" s="268">
        <f>Input!$W$1235</f>
        <v>0</v>
      </c>
      <c r="M258" s="268">
        <f>Input!$W$1236</f>
        <v>0</v>
      </c>
      <c r="N258" s="268">
        <f>Input!$W$1237</f>
        <v>0</v>
      </c>
      <c r="O258" s="268">
        <f>Input!$W$1238</f>
        <v>0</v>
      </c>
      <c r="P258" s="268">
        <f>Input!$W$1239</f>
        <v>0</v>
      </c>
      <c r="Q258" s="268">
        <f>Input!$W$1240</f>
        <v>0</v>
      </c>
      <c r="R258" s="268">
        <f>Input!$W$1241</f>
        <v>0</v>
      </c>
      <c r="S258" s="268">
        <f>Input!$W$1242</f>
        <v>0</v>
      </c>
      <c r="T258" s="268">
        <f>Input!$W$1243</f>
        <v>0</v>
      </c>
      <c r="U258" s="1595">
        <f>Input!$W$1244</f>
        <v>0</v>
      </c>
      <c r="V258" s="1595">
        <f>Input!$W$1245</f>
        <v>0</v>
      </c>
      <c r="W258" s="1595">
        <f>Input!$W$1246</f>
        <v>0</v>
      </c>
      <c r="X258" s="1595">
        <f>Input!$W$1247</f>
        <v>0</v>
      </c>
      <c r="Y258" s="1595">
        <f>Input!$W$1248</f>
        <v>0</v>
      </c>
      <c r="Z258" s="1595">
        <f>Input!$W$1249</f>
        <v>0</v>
      </c>
      <c r="AA258" s="1595">
        <f>Input!$W$1250</f>
        <v>0</v>
      </c>
      <c r="AB258" s="1595">
        <f>Input!$W$1251</f>
        <v>0</v>
      </c>
      <c r="AC258" s="1595">
        <f>Input!$W$1252</f>
        <v>0</v>
      </c>
      <c r="AD258" s="1595">
        <f>Input!$W$1253</f>
        <v>0</v>
      </c>
      <c r="AE258" s="1595">
        <f>Input!$W$1254</f>
        <v>0</v>
      </c>
      <c r="AF258" s="1596">
        <f>Input!$W$1255</f>
        <v>0</v>
      </c>
      <c r="AG258" s="1596">
        <f>Input!$W$1256</f>
        <v>0</v>
      </c>
      <c r="AH258" s="1596">
        <f>Input!$W$1257</f>
        <v>0</v>
      </c>
      <c r="AI258" s="1596">
        <f>Input!$W$1258</f>
        <v>0</v>
      </c>
      <c r="AJ258" s="1596">
        <f>Input!$W$1259</f>
        <v>0</v>
      </c>
      <c r="AK258" s="1596">
        <f>Input!$W$1260</f>
        <v>0</v>
      </c>
      <c r="AL258" s="1596">
        <f>Input!$W$1261</f>
        <v>0</v>
      </c>
      <c r="AM258" s="1596">
        <f>Input!$W$1262</f>
        <v>0</v>
      </c>
      <c r="AN258" s="1596">
        <f>Input!$W$1263</f>
        <v>0</v>
      </c>
      <c r="AO258" s="1596">
        <f>Input!$W$1264</f>
        <v>0</v>
      </c>
      <c r="AP258" s="1596">
        <f>Input!$W$1265</f>
        <v>0</v>
      </c>
      <c r="AQ258" s="1596">
        <f>Input!$W$1266</f>
        <v>0</v>
      </c>
      <c r="AR258" s="1596">
        <f>Input!$W$1267</f>
        <v>0</v>
      </c>
      <c r="AS258" s="1596">
        <f>Input!$W$1268</f>
        <v>0</v>
      </c>
      <c r="AT258" s="1596">
        <f>Input!$W$1269</f>
        <v>0</v>
      </c>
      <c r="AU258" s="1596">
        <f>Input!$W$1270</f>
        <v>0</v>
      </c>
      <c r="AV258" s="1596">
        <f>Input!$W$1271</f>
        <v>0</v>
      </c>
      <c r="AW258" s="1596">
        <f>Input!$W$1272</f>
        <v>0</v>
      </c>
      <c r="AX258" s="1596">
        <f>Input!$W$1273</f>
        <v>0</v>
      </c>
      <c r="AY258" s="1596">
        <f>Input!$W$1274</f>
        <v>0</v>
      </c>
      <c r="AZ258" s="1596">
        <f>Input!$W$1275</f>
        <v>0</v>
      </c>
      <c r="BA258" s="1596">
        <f>Input!$W$1276</f>
        <v>0</v>
      </c>
      <c r="BB258" s="1596">
        <f>Input!$W$1277</f>
        <v>0</v>
      </c>
      <c r="BC258" s="1596">
        <f>Input!$W$1278</f>
        <v>0</v>
      </c>
      <c r="BD258" s="1596">
        <f>Input!$W$1279</f>
        <v>0</v>
      </c>
      <c r="BE258" s="1596">
        <f>Input!$W$1280</f>
        <v>0</v>
      </c>
      <c r="BF258" s="1596">
        <f>Input!$W$1281</f>
        <v>0</v>
      </c>
      <c r="BG258" s="1596">
        <f>Input!$W$1282</f>
        <v>0</v>
      </c>
      <c r="BH258" s="1596">
        <f>Input!$W$1283</f>
        <v>0</v>
      </c>
      <c r="BI258" s="1596">
        <f>Input!$W$1284</f>
        <v>0</v>
      </c>
      <c r="BJ258" s="1596">
        <f>Input!$W$1285</f>
        <v>0</v>
      </c>
      <c r="BK258" s="1596">
        <f>Input!$W$1286</f>
        <v>0</v>
      </c>
      <c r="BL258" s="1596">
        <f>Input!$W$1287</f>
        <v>0</v>
      </c>
      <c r="BM258" s="1596">
        <f>Input!$W$1288</f>
        <v>0</v>
      </c>
      <c r="BN258" s="1596">
        <f>Input!$W$1289</f>
        <v>0</v>
      </c>
      <c r="BO258" s="1596">
        <f>Input!$W$1290</f>
        <v>0</v>
      </c>
      <c r="BP258" s="1596">
        <f>Input!$W$1291</f>
        <v>0</v>
      </c>
      <c r="BQ258" s="1596">
        <f>Input!$W$1292</f>
        <v>0</v>
      </c>
      <c r="BR258" s="1596">
        <f>Input!$W$1293</f>
        <v>0</v>
      </c>
      <c r="BS258" s="1596">
        <f>Input!$W$1294</f>
        <v>0</v>
      </c>
      <c r="BT258" s="1171"/>
      <c r="BU258" s="1171"/>
      <c r="BV258" s="1171"/>
      <c r="BW258" s="1171"/>
      <c r="BX258" s="43"/>
      <c r="BY258" s="43"/>
      <c r="BZ258" s="1183"/>
      <c r="CA258" s="1183"/>
      <c r="CB258" s="1183"/>
      <c r="CC258" s="1183"/>
      <c r="CD258" s="1183"/>
      <c r="CE258" s="1183"/>
      <c r="CF258" s="1183"/>
      <c r="CG258" s="1183"/>
      <c r="CH258" s="1183"/>
      <c r="CI258" s="1183"/>
      <c r="CJ258" s="1183"/>
      <c r="CK258" s="1183"/>
      <c r="CL258" s="1183"/>
      <c r="CM258" s="1183"/>
      <c r="CN258" s="1183"/>
      <c r="CO258" s="1183"/>
      <c r="CP258" s="1183"/>
      <c r="CQ258" s="1301"/>
      <c r="CR258" s="1301"/>
      <c r="CS258" s="1301"/>
      <c r="CT258" s="1301"/>
      <c r="CU258" s="1301"/>
      <c r="CV258" s="1301"/>
      <c r="CW258" s="1301"/>
      <c r="CX258" s="1301"/>
      <c r="CY258" s="1301"/>
      <c r="CZ258" s="1301"/>
      <c r="DA258" s="1301"/>
      <c r="DB258" s="1301"/>
      <c r="DC258" s="1301"/>
      <c r="DD258" s="1301"/>
      <c r="DE258" s="1301"/>
      <c r="DF258" s="1301"/>
      <c r="DG258" s="1301"/>
      <c r="DH258" s="1301"/>
      <c r="DI258" s="1301"/>
      <c r="DJ258" s="1301"/>
      <c r="DK258" s="1301"/>
      <c r="DL258" s="1301"/>
      <c r="DM258" s="1301"/>
      <c r="DN258" s="1301"/>
      <c r="DO258" s="1301"/>
      <c r="DP258" s="1301"/>
      <c r="DQ258" s="1301"/>
      <c r="DR258" s="1300"/>
      <c r="DS258" s="1300"/>
      <c r="DT258" s="1300"/>
      <c r="DU258" s="1300"/>
      <c r="DV258" s="1300"/>
      <c r="DW258" s="1300"/>
      <c r="DX258" s="1300"/>
      <c r="DY258" s="1300"/>
      <c r="DZ258" s="1300"/>
      <c r="EA258" s="1300"/>
      <c r="EB258" s="1300"/>
      <c r="EC258" s="1300"/>
      <c r="ED258" s="1300"/>
      <c r="EE258" s="1300"/>
      <c r="EF258" s="1300"/>
      <c r="EG258" s="1300"/>
      <c r="EH258" s="1300"/>
      <c r="EI258" s="1300"/>
      <c r="EJ258" s="1300"/>
      <c r="EK258" s="1300"/>
      <c r="EL258" s="1300"/>
      <c r="EM258" s="1300"/>
      <c r="EN258" s="1300"/>
      <c r="EO258" s="1300"/>
      <c r="EP258" s="1300"/>
      <c r="EQ258" s="1300"/>
      <c r="ER258" s="1300"/>
      <c r="ES258" s="1300"/>
      <c r="ET258" s="1300"/>
      <c r="EU258" s="1300"/>
      <c r="EV258" s="1300"/>
      <c r="EW258" s="1300"/>
      <c r="EX258" s="1300"/>
    </row>
    <row r="259" spans="1:154" ht="12" customHeight="1" x14ac:dyDescent="0.35">
      <c r="A259" s="1439">
        <f t="shared" si="92"/>
        <v>47391</v>
      </c>
      <c r="B259" s="82">
        <v>105</v>
      </c>
      <c r="C259" s="1439">
        <f t="shared" si="91"/>
        <v>1766</v>
      </c>
      <c r="D259" s="1449">
        <f>SUM(Input!W1363:W1386)-E259</f>
        <v>0</v>
      </c>
      <c r="E259" s="1449">
        <f>IF(Years="Five",SUM(Input!W1375:W1386)*1/12,0)</f>
        <v>0</v>
      </c>
      <c r="F259" s="82"/>
      <c r="G259" s="1446">
        <f>IF(Years="Five",SUM(Input!D532:AB532),0)</f>
        <v>0</v>
      </c>
      <c r="H259" s="1446">
        <f>IF(Years="Five",SUM(Input!D852:AB852),0)</f>
        <v>0</v>
      </c>
      <c r="I259" s="1448"/>
      <c r="J259" s="1448"/>
      <c r="K259" s="1601" t="str">
        <f>Input!$X$1234</f>
        <v>Item 21</v>
      </c>
      <c r="L259" s="268">
        <f>Input!$X$1235</f>
        <v>0</v>
      </c>
      <c r="M259" s="268">
        <f>Input!$X$1236</f>
        <v>0</v>
      </c>
      <c r="N259" s="268">
        <f>Input!$X$1237</f>
        <v>0</v>
      </c>
      <c r="O259" s="268">
        <f>Input!$X$1238</f>
        <v>0</v>
      </c>
      <c r="P259" s="268">
        <f>Input!$X$1239</f>
        <v>0</v>
      </c>
      <c r="Q259" s="268">
        <f>Input!$X$1240</f>
        <v>0</v>
      </c>
      <c r="R259" s="268">
        <f>Input!$X$1241</f>
        <v>0</v>
      </c>
      <c r="S259" s="268">
        <f>Input!$X$1242</f>
        <v>0</v>
      </c>
      <c r="T259" s="268">
        <f>Input!$X$1243</f>
        <v>0</v>
      </c>
      <c r="U259" s="1595">
        <f>Input!$X$1244</f>
        <v>0</v>
      </c>
      <c r="V259" s="1595">
        <f>Input!$X$1245</f>
        <v>0</v>
      </c>
      <c r="W259" s="1595">
        <f>Input!$X$1246</f>
        <v>0</v>
      </c>
      <c r="X259" s="1595">
        <f>Input!$X$1247</f>
        <v>0</v>
      </c>
      <c r="Y259" s="1595">
        <f>Input!$X$1248</f>
        <v>0</v>
      </c>
      <c r="Z259" s="1595">
        <f>Input!$X$1249</f>
        <v>0</v>
      </c>
      <c r="AA259" s="1595">
        <f>Input!$X$1250</f>
        <v>0</v>
      </c>
      <c r="AB259" s="1595">
        <f>Input!$X$1251</f>
        <v>0</v>
      </c>
      <c r="AC259" s="1595">
        <f>Input!$X$1252</f>
        <v>0</v>
      </c>
      <c r="AD259" s="1595">
        <f>Input!$X$1253</f>
        <v>0</v>
      </c>
      <c r="AE259" s="1595">
        <f>Input!$X$1254</f>
        <v>0</v>
      </c>
      <c r="AF259" s="1596">
        <f>Input!$X$1255</f>
        <v>0</v>
      </c>
      <c r="AG259" s="1596">
        <f>Input!$X$1256</f>
        <v>0</v>
      </c>
      <c r="AH259" s="1596">
        <f>Input!$X$1257</f>
        <v>0</v>
      </c>
      <c r="AI259" s="1596">
        <f>Input!$X$1258</f>
        <v>0</v>
      </c>
      <c r="AJ259" s="1596">
        <f>Input!$X$1259</f>
        <v>0</v>
      </c>
      <c r="AK259" s="1596">
        <f>Input!$X$1260</f>
        <v>0</v>
      </c>
      <c r="AL259" s="1596">
        <f>Input!$X$1261</f>
        <v>0</v>
      </c>
      <c r="AM259" s="1596">
        <f>Input!$X$1262</f>
        <v>0</v>
      </c>
      <c r="AN259" s="1596">
        <f>Input!$X$1263</f>
        <v>0</v>
      </c>
      <c r="AO259" s="1596">
        <f>Input!$X$1264</f>
        <v>0</v>
      </c>
      <c r="AP259" s="1596">
        <f>Input!$X$1265</f>
        <v>0</v>
      </c>
      <c r="AQ259" s="1596">
        <f>Input!$X$1266</f>
        <v>0</v>
      </c>
      <c r="AR259" s="1596">
        <f>Input!$X$1267</f>
        <v>0</v>
      </c>
      <c r="AS259" s="1596">
        <f>Input!$X$1268</f>
        <v>0</v>
      </c>
      <c r="AT259" s="1596">
        <f>Input!$X$1269</f>
        <v>0</v>
      </c>
      <c r="AU259" s="1596">
        <f>Input!$X$1270</f>
        <v>0</v>
      </c>
      <c r="AV259" s="1596">
        <f>Input!$X$1271</f>
        <v>0</v>
      </c>
      <c r="AW259" s="1596">
        <f>Input!$X$1272</f>
        <v>0</v>
      </c>
      <c r="AX259" s="1596">
        <f>Input!$X$1273</f>
        <v>0</v>
      </c>
      <c r="AY259" s="1596">
        <f>Input!$X$1274</f>
        <v>0</v>
      </c>
      <c r="AZ259" s="1596">
        <f>Input!$X$1275</f>
        <v>0</v>
      </c>
      <c r="BA259" s="1596">
        <f>Input!$X$1276</f>
        <v>0</v>
      </c>
      <c r="BB259" s="1596">
        <f>Input!$X$1277</f>
        <v>0</v>
      </c>
      <c r="BC259" s="1596">
        <f>Input!$X$1278</f>
        <v>0</v>
      </c>
      <c r="BD259" s="1596">
        <f>Input!$X$1279</f>
        <v>0</v>
      </c>
      <c r="BE259" s="1596">
        <f>Input!$X$1280</f>
        <v>0</v>
      </c>
      <c r="BF259" s="1596">
        <f>Input!$X$1281</f>
        <v>0</v>
      </c>
      <c r="BG259" s="1596">
        <f>Input!$X$1282</f>
        <v>0</v>
      </c>
      <c r="BH259" s="1596">
        <f>Input!$X$1283</f>
        <v>0</v>
      </c>
      <c r="BI259" s="1596">
        <f>Input!$X$1284</f>
        <v>0</v>
      </c>
      <c r="BJ259" s="1596">
        <f>Input!$X$1285</f>
        <v>0</v>
      </c>
      <c r="BK259" s="1596">
        <f>Input!$X$1286</f>
        <v>0</v>
      </c>
      <c r="BL259" s="1596">
        <f>Input!$X$1287</f>
        <v>0</v>
      </c>
      <c r="BM259" s="1596">
        <f>Input!$X$1288</f>
        <v>0</v>
      </c>
      <c r="BN259" s="1596">
        <f>Input!$X$1289</f>
        <v>0</v>
      </c>
      <c r="BO259" s="1596">
        <f>Input!$X$1290</f>
        <v>0</v>
      </c>
      <c r="BP259" s="1596">
        <f>Input!$X$1291</f>
        <v>0</v>
      </c>
      <c r="BQ259" s="1596">
        <f>Input!$X$1292</f>
        <v>0</v>
      </c>
      <c r="BR259" s="1596">
        <f>Input!$X$1293</f>
        <v>0</v>
      </c>
      <c r="BS259" s="1596">
        <f>Input!$X$1294</f>
        <v>0</v>
      </c>
      <c r="BT259" s="1171"/>
      <c r="BU259" s="1171"/>
      <c r="BV259" s="1171"/>
      <c r="BW259" s="1171"/>
      <c r="BX259" s="43"/>
      <c r="BY259" s="43"/>
      <c r="BZ259" s="1183"/>
      <c r="CA259" s="1183"/>
      <c r="CB259" s="1183"/>
      <c r="CC259" s="1183"/>
      <c r="CD259" s="1183"/>
      <c r="CE259" s="1183"/>
      <c r="CF259" s="1183"/>
      <c r="CG259" s="1183"/>
      <c r="CH259" s="1183"/>
      <c r="CI259" s="1183"/>
      <c r="CJ259" s="1183"/>
      <c r="CK259" s="1183"/>
      <c r="CL259" s="1183"/>
      <c r="CM259" s="1183"/>
      <c r="CN259" s="1183"/>
      <c r="CO259" s="1183"/>
      <c r="CP259" s="1183"/>
      <c r="CQ259" s="1301"/>
      <c r="CR259" s="1301"/>
      <c r="CS259" s="1301"/>
      <c r="CT259" s="1301"/>
      <c r="CU259" s="1301"/>
      <c r="CV259" s="1301"/>
      <c r="CW259" s="1301"/>
      <c r="CX259" s="1301"/>
      <c r="CY259" s="1301"/>
      <c r="CZ259" s="1301"/>
      <c r="DA259" s="1301"/>
      <c r="DB259" s="1301"/>
      <c r="DC259" s="1301"/>
      <c r="DD259" s="1301"/>
      <c r="DE259" s="1301"/>
      <c r="DF259" s="1301"/>
      <c r="DG259" s="1301"/>
      <c r="DH259" s="1301"/>
      <c r="DI259" s="1301"/>
      <c r="DJ259" s="1301"/>
      <c r="DK259" s="1301"/>
      <c r="DL259" s="1301"/>
      <c r="DM259" s="1301"/>
      <c r="DN259" s="1301"/>
      <c r="DO259" s="1301"/>
      <c r="DP259" s="1301"/>
      <c r="DQ259" s="1301"/>
      <c r="DR259" s="1300"/>
      <c r="DS259" s="1300"/>
      <c r="DT259" s="1300"/>
      <c r="DU259" s="1300"/>
      <c r="DV259" s="1300"/>
      <c r="DW259" s="1300"/>
      <c r="DX259" s="1300"/>
      <c r="DY259" s="1300"/>
      <c r="DZ259" s="1300"/>
      <c r="EA259" s="1300"/>
      <c r="EB259" s="1300"/>
      <c r="EC259" s="1300"/>
      <c r="ED259" s="1300"/>
      <c r="EE259" s="1300"/>
      <c r="EF259" s="1300"/>
      <c r="EG259" s="1300"/>
      <c r="EH259" s="1300"/>
      <c r="EI259" s="1300"/>
      <c r="EJ259" s="1300"/>
      <c r="EK259" s="1300"/>
      <c r="EL259" s="1300"/>
      <c r="EM259" s="1300"/>
      <c r="EN259" s="1300"/>
      <c r="EO259" s="1300"/>
      <c r="EP259" s="1300"/>
      <c r="EQ259" s="1300"/>
      <c r="ER259" s="1300"/>
      <c r="ES259" s="1300"/>
      <c r="ET259" s="1300"/>
      <c r="EU259" s="1300"/>
      <c r="EV259" s="1300"/>
      <c r="EW259" s="1300"/>
      <c r="EX259" s="1300"/>
    </row>
    <row r="260" spans="1:154" ht="12" customHeight="1" x14ac:dyDescent="0.35">
      <c r="A260" s="1439">
        <f t="shared" si="92"/>
        <v>47422</v>
      </c>
      <c r="B260" s="82">
        <v>106</v>
      </c>
      <c r="C260" s="1439">
        <f t="shared" si="91"/>
        <v>1796</v>
      </c>
      <c r="D260" s="1449">
        <f>SUM(Input!W1364:W1387)-E260</f>
        <v>0</v>
      </c>
      <c r="E260" s="1449">
        <f>IF(Years="Five",SUM(Input!W1376:W1387)*1/12,0)</f>
        <v>0</v>
      </c>
      <c r="F260" s="82"/>
      <c r="G260" s="1446">
        <f>IF(Years="Five",SUM(Input!D533:AB533),0)</f>
        <v>0</v>
      </c>
      <c r="H260" s="1446">
        <f>IF(Years="Five",SUM(Input!D853:AB853),0)</f>
        <v>0</v>
      </c>
      <c r="I260" s="1448"/>
      <c r="J260" s="1448"/>
      <c r="K260" s="1601" t="str">
        <f>Input!$Y$1234</f>
        <v>Item 22</v>
      </c>
      <c r="L260" s="268">
        <f>Input!$Y$1235</f>
        <v>0</v>
      </c>
      <c r="M260" s="268">
        <f>Input!$Y$1236</f>
        <v>0</v>
      </c>
      <c r="N260" s="268">
        <f>Input!$Y$1237</f>
        <v>0</v>
      </c>
      <c r="O260" s="268">
        <f>Input!$Y$1238</f>
        <v>0</v>
      </c>
      <c r="P260" s="268">
        <f>Input!$Y$1239</f>
        <v>0</v>
      </c>
      <c r="Q260" s="268">
        <f>Input!$Y$1240</f>
        <v>0</v>
      </c>
      <c r="R260" s="268">
        <f>Input!$Y$1241</f>
        <v>0</v>
      </c>
      <c r="S260" s="268">
        <f>Input!$Y$1242</f>
        <v>0</v>
      </c>
      <c r="T260" s="268">
        <f>Input!$Y$1243</f>
        <v>0</v>
      </c>
      <c r="U260" s="1595">
        <f>Input!$Y$1244</f>
        <v>0</v>
      </c>
      <c r="V260" s="1595">
        <f>Input!$Y$1245</f>
        <v>0</v>
      </c>
      <c r="W260" s="1595">
        <f>Input!$Y$1246</f>
        <v>0</v>
      </c>
      <c r="X260" s="1595">
        <f>Input!$Y$1247</f>
        <v>0</v>
      </c>
      <c r="Y260" s="1595">
        <f>Input!$Y$1248</f>
        <v>0</v>
      </c>
      <c r="Z260" s="1595">
        <f>Input!$Y$1249</f>
        <v>0</v>
      </c>
      <c r="AA260" s="1595">
        <f>Input!$Y$1250</f>
        <v>0</v>
      </c>
      <c r="AB260" s="1595">
        <f>Input!$Y$1251</f>
        <v>0</v>
      </c>
      <c r="AC260" s="1595">
        <f>Input!$Y$1252</f>
        <v>0</v>
      </c>
      <c r="AD260" s="1595">
        <f>Input!$Y$1253</f>
        <v>0</v>
      </c>
      <c r="AE260" s="1595">
        <f>Input!$Y$1254</f>
        <v>0</v>
      </c>
      <c r="AF260" s="1596">
        <f>Input!$Y$1255</f>
        <v>0</v>
      </c>
      <c r="AG260" s="1596">
        <f>Input!$Y$1256</f>
        <v>0</v>
      </c>
      <c r="AH260" s="1596">
        <f>Input!$Y$1257</f>
        <v>0</v>
      </c>
      <c r="AI260" s="1596">
        <f>Input!$Y$1258</f>
        <v>0</v>
      </c>
      <c r="AJ260" s="1596">
        <f>Input!$Y$1259</f>
        <v>0</v>
      </c>
      <c r="AK260" s="1596">
        <f>Input!$Y$1260</f>
        <v>0</v>
      </c>
      <c r="AL260" s="1596">
        <f>Input!$Y$1261</f>
        <v>0</v>
      </c>
      <c r="AM260" s="1596">
        <f>Input!$Y$1262</f>
        <v>0</v>
      </c>
      <c r="AN260" s="1596">
        <f>Input!$Y$1263</f>
        <v>0</v>
      </c>
      <c r="AO260" s="1596">
        <f>Input!$Y$1264</f>
        <v>0</v>
      </c>
      <c r="AP260" s="1596">
        <f>Input!$Y$1265</f>
        <v>0</v>
      </c>
      <c r="AQ260" s="1596">
        <f>Input!$Y$1266</f>
        <v>0</v>
      </c>
      <c r="AR260" s="1596">
        <f>Input!$Y$1267</f>
        <v>0</v>
      </c>
      <c r="AS260" s="1596">
        <f>Input!$Y$1268</f>
        <v>0</v>
      </c>
      <c r="AT260" s="1596">
        <f>Input!$Y$1269</f>
        <v>0</v>
      </c>
      <c r="AU260" s="1596">
        <f>Input!$Y$1270</f>
        <v>0</v>
      </c>
      <c r="AV260" s="1596">
        <f>Input!$Y$1271</f>
        <v>0</v>
      </c>
      <c r="AW260" s="1596">
        <f>Input!$Y$1272</f>
        <v>0</v>
      </c>
      <c r="AX260" s="1596">
        <f>Input!$Y$1273</f>
        <v>0</v>
      </c>
      <c r="AY260" s="1596">
        <f>Input!$Y$1274</f>
        <v>0</v>
      </c>
      <c r="AZ260" s="1596">
        <f>Input!$Y$1275</f>
        <v>0</v>
      </c>
      <c r="BA260" s="1596">
        <f>Input!$Y$1276</f>
        <v>0</v>
      </c>
      <c r="BB260" s="1596">
        <f>Input!$Y$1277</f>
        <v>0</v>
      </c>
      <c r="BC260" s="1596">
        <f>Input!$Y$1278</f>
        <v>0</v>
      </c>
      <c r="BD260" s="1596">
        <f>Input!$Y$1279</f>
        <v>0</v>
      </c>
      <c r="BE260" s="1596">
        <f>Input!$Y$1280</f>
        <v>0</v>
      </c>
      <c r="BF260" s="1596">
        <f>Input!$Y$1281</f>
        <v>0</v>
      </c>
      <c r="BG260" s="1596">
        <f>Input!$Y$1282</f>
        <v>0</v>
      </c>
      <c r="BH260" s="1596">
        <f>Input!$Y$1283</f>
        <v>0</v>
      </c>
      <c r="BI260" s="1596">
        <f>Input!$Y$1284</f>
        <v>0</v>
      </c>
      <c r="BJ260" s="1596">
        <f>Input!$Y$1285</f>
        <v>0</v>
      </c>
      <c r="BK260" s="1596">
        <f>Input!$Y$1286</f>
        <v>0</v>
      </c>
      <c r="BL260" s="1596">
        <f>Input!$Y$1287</f>
        <v>0</v>
      </c>
      <c r="BM260" s="1596">
        <f>Input!$Y$1288</f>
        <v>0</v>
      </c>
      <c r="BN260" s="1596">
        <f>Input!$Y$1289</f>
        <v>0</v>
      </c>
      <c r="BO260" s="1596">
        <f>Input!$Y$1290</f>
        <v>0</v>
      </c>
      <c r="BP260" s="1596">
        <f>Input!$Y$1291</f>
        <v>0</v>
      </c>
      <c r="BQ260" s="1596">
        <f>Input!$Y$1292</f>
        <v>0</v>
      </c>
      <c r="BR260" s="1596">
        <f>Input!$Y$1293</f>
        <v>0</v>
      </c>
      <c r="BS260" s="1596">
        <f>Input!$Y$1294</f>
        <v>0</v>
      </c>
      <c r="BT260" s="1171"/>
      <c r="BU260" s="1171"/>
      <c r="BV260" s="1171"/>
      <c r="BW260" s="1171"/>
      <c r="BX260" s="43"/>
      <c r="BY260" s="43"/>
      <c r="BZ260" s="1183"/>
      <c r="CA260" s="1183"/>
      <c r="CB260" s="1183"/>
      <c r="CC260" s="1183"/>
      <c r="CD260" s="1183"/>
      <c r="CE260" s="1183"/>
      <c r="CF260" s="1183"/>
      <c r="CG260" s="1183"/>
      <c r="CH260" s="1183"/>
      <c r="CI260" s="1183"/>
      <c r="CJ260" s="1183"/>
      <c r="CK260" s="1183"/>
      <c r="CL260" s="1183"/>
      <c r="CM260" s="1183"/>
      <c r="CN260" s="1183"/>
      <c r="CO260" s="1183"/>
      <c r="CP260" s="1183"/>
      <c r="CQ260" s="1301"/>
      <c r="CR260" s="1301"/>
      <c r="CS260" s="1301"/>
      <c r="CT260" s="1301"/>
      <c r="CU260" s="1301"/>
      <c r="CV260" s="1301"/>
      <c r="CW260" s="1301"/>
      <c r="CX260" s="1301"/>
      <c r="CY260" s="1301"/>
      <c r="CZ260" s="1301"/>
      <c r="DA260" s="1301"/>
      <c r="DB260" s="1301"/>
      <c r="DC260" s="1301"/>
      <c r="DD260" s="1301"/>
      <c r="DE260" s="1301"/>
      <c r="DF260" s="1301"/>
      <c r="DG260" s="1301"/>
      <c r="DH260" s="1301"/>
      <c r="DI260" s="1301"/>
      <c r="DJ260" s="1301"/>
      <c r="DK260" s="1301"/>
      <c r="DL260" s="1301"/>
      <c r="DM260" s="1301"/>
      <c r="DN260" s="1301"/>
      <c r="DO260" s="1301"/>
      <c r="DP260" s="1301"/>
      <c r="DQ260" s="1301"/>
      <c r="DR260" s="1300"/>
      <c r="DS260" s="1300"/>
      <c r="DT260" s="1300"/>
      <c r="DU260" s="1300"/>
      <c r="DV260" s="1300"/>
      <c r="DW260" s="1300"/>
      <c r="DX260" s="1300"/>
      <c r="DY260" s="1300"/>
      <c r="DZ260" s="1300"/>
      <c r="EA260" s="1300"/>
      <c r="EB260" s="1300"/>
      <c r="EC260" s="1300"/>
      <c r="ED260" s="1300"/>
      <c r="EE260" s="1300"/>
      <c r="EF260" s="1300"/>
      <c r="EG260" s="1300"/>
      <c r="EH260" s="1300"/>
      <c r="EI260" s="1300"/>
      <c r="EJ260" s="1300"/>
      <c r="EK260" s="1300"/>
      <c r="EL260" s="1300"/>
      <c r="EM260" s="1300"/>
      <c r="EN260" s="1300"/>
      <c r="EO260" s="1300"/>
      <c r="EP260" s="1300"/>
      <c r="EQ260" s="1300"/>
      <c r="ER260" s="1300"/>
      <c r="ES260" s="1300"/>
      <c r="ET260" s="1300"/>
      <c r="EU260" s="1300"/>
      <c r="EV260" s="1300"/>
      <c r="EW260" s="1300"/>
      <c r="EX260" s="1300"/>
    </row>
    <row r="261" spans="1:154" ht="12" customHeight="1" x14ac:dyDescent="0.35">
      <c r="A261" s="1439">
        <f t="shared" si="92"/>
        <v>47452</v>
      </c>
      <c r="B261" s="82">
        <v>107</v>
      </c>
      <c r="C261" s="1439">
        <f t="shared" si="91"/>
        <v>1827</v>
      </c>
      <c r="D261" s="1449">
        <f>SUM(Input!W1365:W1388)-E261</f>
        <v>0</v>
      </c>
      <c r="E261" s="1449">
        <f>IF(Years="Five",SUM(Input!W1377:W1388)*1/12,0)</f>
        <v>0</v>
      </c>
      <c r="F261" s="82"/>
      <c r="G261" s="1448"/>
      <c r="H261" s="1448"/>
      <c r="I261" s="1448"/>
      <c r="J261" s="1448"/>
      <c r="K261" s="1601" t="str">
        <f>Input!$Z$1234</f>
        <v>Item 23</v>
      </c>
      <c r="L261" s="268">
        <f>Input!$Z$1235</f>
        <v>0</v>
      </c>
      <c r="M261" s="268">
        <f>Input!$Z$1236</f>
        <v>0</v>
      </c>
      <c r="N261" s="268">
        <f>Input!$Z$1237</f>
        <v>0</v>
      </c>
      <c r="O261" s="268">
        <f>Input!$Z$1238</f>
        <v>0</v>
      </c>
      <c r="P261" s="268">
        <f>Input!$Z$1239</f>
        <v>0</v>
      </c>
      <c r="Q261" s="268">
        <f>Input!$Z$1240</f>
        <v>0</v>
      </c>
      <c r="R261" s="268">
        <f>Input!$Z$1241</f>
        <v>0</v>
      </c>
      <c r="S261" s="268">
        <f>Input!$Z$1242</f>
        <v>0</v>
      </c>
      <c r="T261" s="268">
        <f>Input!$Z$1243</f>
        <v>0</v>
      </c>
      <c r="U261" s="1595">
        <f>Input!$Z$1244</f>
        <v>0</v>
      </c>
      <c r="V261" s="1595">
        <f>Input!$Z$1245</f>
        <v>0</v>
      </c>
      <c r="W261" s="1595">
        <f>Input!$Z$1246</f>
        <v>0</v>
      </c>
      <c r="X261" s="1595">
        <f>Input!$Z$1247</f>
        <v>0</v>
      </c>
      <c r="Y261" s="1595">
        <f>Input!$Z$1248</f>
        <v>0</v>
      </c>
      <c r="Z261" s="1595">
        <f>Input!$Z$1249</f>
        <v>0</v>
      </c>
      <c r="AA261" s="1595">
        <f>Input!$Z$1250</f>
        <v>0</v>
      </c>
      <c r="AB261" s="1595">
        <f>Input!$Z$1251</f>
        <v>0</v>
      </c>
      <c r="AC261" s="1595">
        <f>Input!$Z$1252</f>
        <v>0</v>
      </c>
      <c r="AD261" s="1595">
        <f>Input!$Z$1253</f>
        <v>0</v>
      </c>
      <c r="AE261" s="1595">
        <f>Input!$Z$1254</f>
        <v>0</v>
      </c>
      <c r="AF261" s="1596">
        <f>Input!$Z$1255</f>
        <v>0</v>
      </c>
      <c r="AG261" s="1596">
        <f>Input!$Z$1256</f>
        <v>0</v>
      </c>
      <c r="AH261" s="1596">
        <f>Input!$Z$1257</f>
        <v>0</v>
      </c>
      <c r="AI261" s="1596">
        <f>Input!$Z$1258</f>
        <v>0</v>
      </c>
      <c r="AJ261" s="1596">
        <f>Input!$Z$1259</f>
        <v>0</v>
      </c>
      <c r="AK261" s="1596">
        <f>Input!$Z$1260</f>
        <v>0</v>
      </c>
      <c r="AL261" s="1596">
        <f>Input!$Z$1261</f>
        <v>0</v>
      </c>
      <c r="AM261" s="1596">
        <f>Input!$Z$1262</f>
        <v>0</v>
      </c>
      <c r="AN261" s="1596">
        <f>Input!$Z$1263</f>
        <v>0</v>
      </c>
      <c r="AO261" s="1596">
        <f>Input!$Z$1264</f>
        <v>0</v>
      </c>
      <c r="AP261" s="1596">
        <f>Input!$Z$1265</f>
        <v>0</v>
      </c>
      <c r="AQ261" s="1596">
        <f>Input!$Z$1266</f>
        <v>0</v>
      </c>
      <c r="AR261" s="1596">
        <f>Input!$Z$1267</f>
        <v>0</v>
      </c>
      <c r="AS261" s="1596">
        <f>Input!$Z$1268</f>
        <v>0</v>
      </c>
      <c r="AT261" s="1596">
        <f>Input!$Z$1269</f>
        <v>0</v>
      </c>
      <c r="AU261" s="1596">
        <f>Input!$Z$1270</f>
        <v>0</v>
      </c>
      <c r="AV261" s="1596">
        <f>Input!$Z$1271</f>
        <v>0</v>
      </c>
      <c r="AW261" s="1596">
        <f>Input!$Z$1272</f>
        <v>0</v>
      </c>
      <c r="AX261" s="1596">
        <f>Input!$Z$1273</f>
        <v>0</v>
      </c>
      <c r="AY261" s="1596">
        <f>Input!$Z$1274</f>
        <v>0</v>
      </c>
      <c r="AZ261" s="1596">
        <f>Input!$Z$1275</f>
        <v>0</v>
      </c>
      <c r="BA261" s="1596">
        <f>Input!$Z$1276</f>
        <v>0</v>
      </c>
      <c r="BB261" s="1596">
        <f>Input!$Z$1277</f>
        <v>0</v>
      </c>
      <c r="BC261" s="1596">
        <f>Input!$Z$1278</f>
        <v>0</v>
      </c>
      <c r="BD261" s="1596">
        <f>Input!$Z$1279</f>
        <v>0</v>
      </c>
      <c r="BE261" s="1596">
        <f>Input!$Z$1280</f>
        <v>0</v>
      </c>
      <c r="BF261" s="1596">
        <f>Input!$Z$1281</f>
        <v>0</v>
      </c>
      <c r="BG261" s="1596">
        <f>Input!$Z$1282</f>
        <v>0</v>
      </c>
      <c r="BH261" s="1596">
        <f>Input!$Z$1283</f>
        <v>0</v>
      </c>
      <c r="BI261" s="1596">
        <f>Input!$Z$1284</f>
        <v>0</v>
      </c>
      <c r="BJ261" s="1596">
        <f>Input!$Z$1285</f>
        <v>0</v>
      </c>
      <c r="BK261" s="1596">
        <f>Input!$Z$1286</f>
        <v>0</v>
      </c>
      <c r="BL261" s="1596">
        <f>Input!$Z$1287</f>
        <v>0</v>
      </c>
      <c r="BM261" s="1596">
        <f>Input!$Z$1288</f>
        <v>0</v>
      </c>
      <c r="BN261" s="1596">
        <f>Input!$Z$1289</f>
        <v>0</v>
      </c>
      <c r="BO261" s="1596">
        <f>Input!$Z$1290</f>
        <v>0</v>
      </c>
      <c r="BP261" s="1596">
        <f>Input!$Z$1291</f>
        <v>0</v>
      </c>
      <c r="BQ261" s="1596">
        <f>Input!$Z$1292</f>
        <v>0</v>
      </c>
      <c r="BR261" s="1596">
        <f>Input!$Z$1293</f>
        <v>0</v>
      </c>
      <c r="BS261" s="1596">
        <f>Input!$Z$1294</f>
        <v>0</v>
      </c>
      <c r="BT261" s="1171"/>
      <c r="BU261" s="1171"/>
      <c r="BV261" s="1171"/>
      <c r="BW261" s="1171"/>
      <c r="BX261" s="43"/>
      <c r="BY261" s="43"/>
      <c r="BZ261" s="1183"/>
      <c r="CA261" s="1183"/>
      <c r="CB261" s="1183"/>
      <c r="CC261" s="1183"/>
      <c r="CD261" s="1183"/>
      <c r="CE261" s="1183"/>
      <c r="CF261" s="1183"/>
      <c r="CG261" s="1183"/>
      <c r="CH261" s="1183"/>
      <c r="CI261" s="1183"/>
      <c r="CJ261" s="1183"/>
      <c r="CK261" s="1183"/>
      <c r="CL261" s="1183"/>
      <c r="CM261" s="1183"/>
      <c r="CN261" s="1183"/>
      <c r="CO261" s="1183"/>
      <c r="CP261" s="1183"/>
      <c r="CQ261" s="1301"/>
      <c r="CR261" s="1301"/>
      <c r="CS261" s="1301"/>
      <c r="CT261" s="1301"/>
      <c r="CU261" s="1301"/>
      <c r="CV261" s="1301"/>
      <c r="CW261" s="1301"/>
      <c r="CX261" s="1301"/>
      <c r="CY261" s="1301"/>
      <c r="CZ261" s="1301"/>
      <c r="DA261" s="1301"/>
      <c r="DB261" s="1301"/>
      <c r="DC261" s="1301"/>
      <c r="DD261" s="1301"/>
      <c r="DE261" s="1301"/>
      <c r="DF261" s="1301"/>
      <c r="DG261" s="1301"/>
      <c r="DH261" s="1301"/>
      <c r="DI261" s="1301"/>
      <c r="DJ261" s="1301"/>
      <c r="DK261" s="1301"/>
      <c r="DL261" s="1301"/>
      <c r="DM261" s="1301"/>
      <c r="DN261" s="1301"/>
      <c r="DO261" s="1301"/>
      <c r="DP261" s="1301"/>
      <c r="DQ261" s="1301"/>
      <c r="DR261" s="1300"/>
      <c r="DS261" s="1300"/>
      <c r="DT261" s="1300"/>
      <c r="DU261" s="1300"/>
      <c r="DV261" s="1300"/>
      <c r="DW261" s="1300"/>
      <c r="DX261" s="1300"/>
      <c r="DY261" s="1300"/>
      <c r="DZ261" s="1300"/>
      <c r="EA261" s="1300"/>
      <c r="EB261" s="1300"/>
      <c r="EC261" s="1300"/>
      <c r="ED261" s="1300"/>
      <c r="EE261" s="1300"/>
      <c r="EF261" s="1300"/>
      <c r="EG261" s="1300"/>
      <c r="EH261" s="1300"/>
      <c r="EI261" s="1300"/>
      <c r="EJ261" s="1300"/>
      <c r="EK261" s="1300"/>
      <c r="EL261" s="1300"/>
      <c r="EM261" s="1300"/>
      <c r="EN261" s="1300"/>
      <c r="EO261" s="1300"/>
      <c r="EP261" s="1300"/>
      <c r="EQ261" s="1300"/>
      <c r="ER261" s="1300"/>
      <c r="ES261" s="1300"/>
      <c r="ET261" s="1300"/>
      <c r="EU261" s="1300"/>
      <c r="EV261" s="1300"/>
      <c r="EW261" s="1300"/>
      <c r="EX261" s="1300"/>
    </row>
    <row r="262" spans="1:154" ht="12" customHeight="1" x14ac:dyDescent="0.35">
      <c r="A262" s="1439">
        <f>EOMONTH(A261,1)</f>
        <v>47483</v>
      </c>
      <c r="B262" s="82">
        <v>108</v>
      </c>
      <c r="C262" s="82"/>
      <c r="D262" s="1449">
        <f>SUM(Input!W1366:W1389)-E262</f>
        <v>0</v>
      </c>
      <c r="E262" s="1449">
        <f>IF(Years="Five",SUM(Input!W1378:W1389)*1/12,0)</f>
        <v>0</v>
      </c>
      <c r="F262" s="82"/>
      <c r="G262" s="1448"/>
      <c r="H262" s="1448"/>
      <c r="I262" s="1448"/>
      <c r="J262" s="1448"/>
      <c r="K262" s="1601" t="str">
        <f>Input!$AA$1234</f>
        <v>Item 24</v>
      </c>
      <c r="L262" s="268">
        <f>Input!$AA$1235</f>
        <v>0</v>
      </c>
      <c r="M262" s="268">
        <f>Input!$AA$1236</f>
        <v>0</v>
      </c>
      <c r="N262" s="268">
        <f>Input!$AA$1237</f>
        <v>0</v>
      </c>
      <c r="O262" s="268">
        <f>Input!$AA$1238</f>
        <v>0</v>
      </c>
      <c r="P262" s="268">
        <f>Input!$AA$1239</f>
        <v>0</v>
      </c>
      <c r="Q262" s="268">
        <f>Input!$AA$1240</f>
        <v>0</v>
      </c>
      <c r="R262" s="268">
        <f>Input!$AA$1241</f>
        <v>0</v>
      </c>
      <c r="S262" s="268">
        <f>Input!$AA$1242</f>
        <v>0</v>
      </c>
      <c r="T262" s="268">
        <f>Input!$AA$1243</f>
        <v>0</v>
      </c>
      <c r="U262" s="1595">
        <f>Input!$AA$1244</f>
        <v>0</v>
      </c>
      <c r="V262" s="1595">
        <f>Input!$AA$1245</f>
        <v>0</v>
      </c>
      <c r="W262" s="1595">
        <f>Input!$AA$1246</f>
        <v>0</v>
      </c>
      <c r="X262" s="1595">
        <f>Input!$AA$1247</f>
        <v>0</v>
      </c>
      <c r="Y262" s="1595">
        <f>Input!$AA$1248</f>
        <v>0</v>
      </c>
      <c r="Z262" s="1595">
        <f>Input!$AA$1249</f>
        <v>0</v>
      </c>
      <c r="AA262" s="1595">
        <f>Input!$AA$1250</f>
        <v>0</v>
      </c>
      <c r="AB262" s="1595">
        <f>Input!$AA$1251</f>
        <v>0</v>
      </c>
      <c r="AC262" s="1595">
        <f>Input!$AA$1252</f>
        <v>0</v>
      </c>
      <c r="AD262" s="1595">
        <f>Input!$AA$1253</f>
        <v>0</v>
      </c>
      <c r="AE262" s="1595">
        <f>Input!$AA$1254</f>
        <v>0</v>
      </c>
      <c r="AF262" s="1596">
        <f>Input!$AA$1255</f>
        <v>0</v>
      </c>
      <c r="AG262" s="1596">
        <f>Input!$AA$1256</f>
        <v>0</v>
      </c>
      <c r="AH262" s="1596">
        <f>Input!$AA$1257</f>
        <v>0</v>
      </c>
      <c r="AI262" s="1596">
        <f>Input!$AA$1258</f>
        <v>0</v>
      </c>
      <c r="AJ262" s="1596">
        <f>Input!$AA$1259</f>
        <v>0</v>
      </c>
      <c r="AK262" s="1596">
        <f>Input!$AA$1260</f>
        <v>0</v>
      </c>
      <c r="AL262" s="1596">
        <f>Input!$AA$1261</f>
        <v>0</v>
      </c>
      <c r="AM262" s="1596">
        <f>Input!$AA$1262</f>
        <v>0</v>
      </c>
      <c r="AN262" s="1596">
        <f>Input!$AA$1263</f>
        <v>0</v>
      </c>
      <c r="AO262" s="1596">
        <f>Input!$AA$1264</f>
        <v>0</v>
      </c>
      <c r="AP262" s="1596">
        <f>Input!$AA$1265</f>
        <v>0</v>
      </c>
      <c r="AQ262" s="1596">
        <f>Input!$AA$1266</f>
        <v>0</v>
      </c>
      <c r="AR262" s="1596">
        <f>Input!$AA$1267</f>
        <v>0</v>
      </c>
      <c r="AS262" s="1596">
        <f>Input!$AA$1268</f>
        <v>0</v>
      </c>
      <c r="AT262" s="1596">
        <f>Input!$AA$1269</f>
        <v>0</v>
      </c>
      <c r="AU262" s="1596">
        <f>Input!$AA$1270</f>
        <v>0</v>
      </c>
      <c r="AV262" s="1596">
        <f>Input!$AA$1271</f>
        <v>0</v>
      </c>
      <c r="AW262" s="1596">
        <f>Input!$AA$1272</f>
        <v>0</v>
      </c>
      <c r="AX262" s="1596">
        <f>Input!$AA$1273</f>
        <v>0</v>
      </c>
      <c r="AY262" s="1596">
        <f>Input!$AA$1274</f>
        <v>0</v>
      </c>
      <c r="AZ262" s="1596">
        <f>Input!$AA$1275</f>
        <v>0</v>
      </c>
      <c r="BA262" s="1596">
        <f>Input!$AA$1276</f>
        <v>0</v>
      </c>
      <c r="BB262" s="1596">
        <f>Input!$AA$1277</f>
        <v>0</v>
      </c>
      <c r="BC262" s="1596">
        <f>Input!$AA$1278</f>
        <v>0</v>
      </c>
      <c r="BD262" s="1596">
        <f>Input!$AA$1279</f>
        <v>0</v>
      </c>
      <c r="BE262" s="1596">
        <f>Input!$AA$1280</f>
        <v>0</v>
      </c>
      <c r="BF262" s="1596">
        <f>Input!$AA$1281</f>
        <v>0</v>
      </c>
      <c r="BG262" s="1596">
        <f>Input!$AA$1282</f>
        <v>0</v>
      </c>
      <c r="BH262" s="1596">
        <f>Input!$AA$1283</f>
        <v>0</v>
      </c>
      <c r="BI262" s="1596">
        <f>Input!$AA$1284</f>
        <v>0</v>
      </c>
      <c r="BJ262" s="1596">
        <f>Input!$AA$1285</f>
        <v>0</v>
      </c>
      <c r="BK262" s="1596">
        <f>Input!$AA$1286</f>
        <v>0</v>
      </c>
      <c r="BL262" s="1596">
        <f>Input!$AA$1287</f>
        <v>0</v>
      </c>
      <c r="BM262" s="1596">
        <f>Input!$AA$1288</f>
        <v>0</v>
      </c>
      <c r="BN262" s="1596">
        <f>Input!$AA$1289</f>
        <v>0</v>
      </c>
      <c r="BO262" s="1596">
        <f>Input!$AA$1290</f>
        <v>0</v>
      </c>
      <c r="BP262" s="1596">
        <f>Input!$AA$1291</f>
        <v>0</v>
      </c>
      <c r="BQ262" s="1596">
        <f>Input!$AA$1292</f>
        <v>0</v>
      </c>
      <c r="BR262" s="1596">
        <f>Input!$AA$1293</f>
        <v>0</v>
      </c>
      <c r="BS262" s="1596">
        <f>Input!$AA$1294</f>
        <v>0</v>
      </c>
      <c r="BT262" s="1171"/>
      <c r="BU262" s="1171"/>
      <c r="BV262" s="1171"/>
      <c r="BW262" s="1171"/>
      <c r="BX262" s="43"/>
      <c r="BY262" s="43"/>
      <c r="BZ262" s="1183"/>
      <c r="CA262" s="1183"/>
      <c r="CB262" s="1183"/>
      <c r="CC262" s="1183"/>
      <c r="CD262" s="1183"/>
      <c r="CE262" s="1183"/>
      <c r="CF262" s="1183"/>
      <c r="CG262" s="1183"/>
      <c r="CH262" s="1183"/>
      <c r="CI262" s="1183"/>
      <c r="CJ262" s="1183"/>
      <c r="CK262" s="1183"/>
      <c r="CL262" s="1183"/>
      <c r="CM262" s="1183"/>
      <c r="CN262" s="1183"/>
      <c r="CO262" s="1183"/>
      <c r="CP262" s="1183"/>
      <c r="CQ262" s="1301"/>
      <c r="CR262" s="1301"/>
      <c r="CS262" s="1301"/>
      <c r="CT262" s="1301"/>
      <c r="CU262" s="1301"/>
      <c r="CV262" s="1301"/>
      <c r="CW262" s="1301"/>
      <c r="CX262" s="1301"/>
      <c r="CY262" s="1301"/>
      <c r="CZ262" s="1301"/>
      <c r="DA262" s="1301"/>
      <c r="DB262" s="1301"/>
      <c r="DC262" s="1301"/>
      <c r="DD262" s="1301"/>
      <c r="DE262" s="1301"/>
      <c r="DF262" s="1301"/>
      <c r="DG262" s="1301"/>
      <c r="DH262" s="1301"/>
      <c r="DI262" s="1301"/>
      <c r="DJ262" s="1301"/>
      <c r="DK262" s="1301"/>
      <c r="DL262" s="1301"/>
      <c r="DM262" s="1301"/>
      <c r="DN262" s="1301"/>
      <c r="DO262" s="1301"/>
      <c r="DP262" s="1301"/>
      <c r="DQ262" s="1301"/>
      <c r="DR262" s="1300"/>
      <c r="DS262" s="1300"/>
      <c r="DT262" s="1300"/>
      <c r="DU262" s="1300"/>
      <c r="DV262" s="1300"/>
      <c r="DW262" s="1300"/>
      <c r="DX262" s="1300"/>
      <c r="DY262" s="1300"/>
      <c r="DZ262" s="1300"/>
      <c r="EA262" s="1300"/>
      <c r="EB262" s="1300"/>
      <c r="EC262" s="1300"/>
      <c r="ED262" s="1300"/>
      <c r="EE262" s="1300"/>
      <c r="EF262" s="1300"/>
      <c r="EG262" s="1300"/>
      <c r="EH262" s="1300"/>
      <c r="EI262" s="1300"/>
      <c r="EJ262" s="1300"/>
      <c r="EK262" s="1300"/>
      <c r="EL262" s="1300"/>
      <c r="EM262" s="1300"/>
      <c r="EN262" s="1300"/>
      <c r="EO262" s="1300"/>
      <c r="EP262" s="1300"/>
      <c r="EQ262" s="1300"/>
      <c r="ER262" s="1300"/>
      <c r="ES262" s="1300"/>
      <c r="ET262" s="1300"/>
      <c r="EU262" s="1300"/>
      <c r="EV262" s="1300"/>
      <c r="EW262" s="1300"/>
      <c r="EX262" s="1300"/>
    </row>
    <row r="263" spans="1:154" ht="12" customHeight="1" x14ac:dyDescent="0.35">
      <c r="A263" s="1439">
        <f t="shared" ref="A263:A274" si="98">EOMONTH(A262,1)</f>
        <v>47514</v>
      </c>
      <c r="B263" s="82">
        <v>109</v>
      </c>
      <c r="C263" s="82"/>
      <c r="D263" s="1449">
        <f>SUM(Input!W1367:W1390)-E263</f>
        <v>0</v>
      </c>
      <c r="E263" s="1449">
        <f>IF(Years="Five",SUM(Input!W1379:W1390)*1/12,0)</f>
        <v>0</v>
      </c>
      <c r="F263" s="82"/>
      <c r="G263" s="1448"/>
      <c r="H263" s="1448"/>
      <c r="I263" s="1448"/>
      <c r="J263" s="1448"/>
      <c r="K263" s="1601" t="str">
        <f>Input!$AB$1234</f>
        <v>Item 25</v>
      </c>
      <c r="L263" s="268">
        <f>Input!$AB$1235</f>
        <v>0</v>
      </c>
      <c r="M263" s="268">
        <f>Input!$AB$1236</f>
        <v>0</v>
      </c>
      <c r="N263" s="268">
        <f>Input!$AB$1237</f>
        <v>0</v>
      </c>
      <c r="O263" s="268">
        <f>Input!$AB$1238</f>
        <v>0</v>
      </c>
      <c r="P263" s="268">
        <f>Input!$AB$1239</f>
        <v>0</v>
      </c>
      <c r="Q263" s="268">
        <f>Input!$AB$1240</f>
        <v>0</v>
      </c>
      <c r="R263" s="268">
        <f>Input!$AB$1241</f>
        <v>0</v>
      </c>
      <c r="S263" s="268">
        <f>Input!$AB$1242</f>
        <v>0</v>
      </c>
      <c r="T263" s="268">
        <f>Input!$AB$1243</f>
        <v>0</v>
      </c>
      <c r="U263" s="1595">
        <f>Input!$AB$1244</f>
        <v>0</v>
      </c>
      <c r="V263" s="1595">
        <f>Input!$AB$1245</f>
        <v>0</v>
      </c>
      <c r="W263" s="1595">
        <f>Input!$AB$1246</f>
        <v>0</v>
      </c>
      <c r="X263" s="1595">
        <f>Input!$AB$1247</f>
        <v>0</v>
      </c>
      <c r="Y263" s="1595">
        <f>Input!$AB$1248</f>
        <v>0</v>
      </c>
      <c r="Z263" s="1595">
        <f>Input!$AB$1249</f>
        <v>0</v>
      </c>
      <c r="AA263" s="1595">
        <f>Input!$AB$1250</f>
        <v>0</v>
      </c>
      <c r="AB263" s="1595">
        <f>Input!$AB$1251</f>
        <v>0</v>
      </c>
      <c r="AC263" s="1595">
        <f>Input!$AB$1252</f>
        <v>0</v>
      </c>
      <c r="AD263" s="1595">
        <f>Input!$AB$1253</f>
        <v>0</v>
      </c>
      <c r="AE263" s="1595">
        <f>Input!$AB$1254</f>
        <v>0</v>
      </c>
      <c r="AF263" s="1596">
        <f>Input!$AB$1255</f>
        <v>0</v>
      </c>
      <c r="AG263" s="1596">
        <f>Input!$AB$1256</f>
        <v>0</v>
      </c>
      <c r="AH263" s="1596">
        <f>Input!$AB$1257</f>
        <v>0</v>
      </c>
      <c r="AI263" s="1596">
        <f>Input!$AB$1258</f>
        <v>0</v>
      </c>
      <c r="AJ263" s="1596">
        <f>Input!$AB$1259</f>
        <v>0</v>
      </c>
      <c r="AK263" s="1596">
        <f>Input!$AB$1260</f>
        <v>0</v>
      </c>
      <c r="AL263" s="1596">
        <f>Input!$AB$1261</f>
        <v>0</v>
      </c>
      <c r="AM263" s="1596">
        <f>Input!$AB$1262</f>
        <v>0</v>
      </c>
      <c r="AN263" s="1596">
        <f>Input!$AB$1263</f>
        <v>0</v>
      </c>
      <c r="AO263" s="1596">
        <f>Input!$AB$1264</f>
        <v>0</v>
      </c>
      <c r="AP263" s="1596">
        <f>Input!$AB$1265</f>
        <v>0</v>
      </c>
      <c r="AQ263" s="1596">
        <f>Input!$AB$1266</f>
        <v>0</v>
      </c>
      <c r="AR263" s="1596">
        <f>Input!$AB$1267</f>
        <v>0</v>
      </c>
      <c r="AS263" s="1596">
        <f>Input!$AB$1268</f>
        <v>0</v>
      </c>
      <c r="AT263" s="1596">
        <f>Input!$AB$1269</f>
        <v>0</v>
      </c>
      <c r="AU263" s="1596">
        <f>Input!$AB$1270</f>
        <v>0</v>
      </c>
      <c r="AV263" s="1596">
        <f>Input!$AB$1271</f>
        <v>0</v>
      </c>
      <c r="AW263" s="1596">
        <f>Input!$AB$1272</f>
        <v>0</v>
      </c>
      <c r="AX263" s="1596">
        <f>Input!$AB$1273</f>
        <v>0</v>
      </c>
      <c r="AY263" s="1596">
        <f>Input!$AB$1274</f>
        <v>0</v>
      </c>
      <c r="AZ263" s="1596">
        <f>Input!$AB$1275</f>
        <v>0</v>
      </c>
      <c r="BA263" s="1596">
        <f>Input!$AB$1276</f>
        <v>0</v>
      </c>
      <c r="BB263" s="1596">
        <f>Input!$AB$1277</f>
        <v>0</v>
      </c>
      <c r="BC263" s="1596">
        <f>Input!$AB$1278</f>
        <v>0</v>
      </c>
      <c r="BD263" s="1596">
        <f>Input!$AB$1279</f>
        <v>0</v>
      </c>
      <c r="BE263" s="1596">
        <f>Input!$AB$1280</f>
        <v>0</v>
      </c>
      <c r="BF263" s="1596">
        <f>Input!$AB$1281</f>
        <v>0</v>
      </c>
      <c r="BG263" s="1596">
        <f>Input!$AB$1282</f>
        <v>0</v>
      </c>
      <c r="BH263" s="1596">
        <f>Input!$AB$1283</f>
        <v>0</v>
      </c>
      <c r="BI263" s="1596">
        <f>Input!$AB$1284</f>
        <v>0</v>
      </c>
      <c r="BJ263" s="1596">
        <f>Input!$AB$1285</f>
        <v>0</v>
      </c>
      <c r="BK263" s="1596">
        <f>Input!$AB$1286</f>
        <v>0</v>
      </c>
      <c r="BL263" s="1596">
        <f>Input!$AB$1287</f>
        <v>0</v>
      </c>
      <c r="BM263" s="1596">
        <f>Input!$AB$1288</f>
        <v>0</v>
      </c>
      <c r="BN263" s="1596">
        <f>Input!$AB$1289</f>
        <v>0</v>
      </c>
      <c r="BO263" s="1596">
        <f>Input!$AB$1290</f>
        <v>0</v>
      </c>
      <c r="BP263" s="1596">
        <f>Input!$AB$1291</f>
        <v>0</v>
      </c>
      <c r="BQ263" s="1596">
        <f>Input!$AB$1292</f>
        <v>0</v>
      </c>
      <c r="BR263" s="1596">
        <f>Input!$AB$1293</f>
        <v>0</v>
      </c>
      <c r="BS263" s="1596">
        <f>Input!$AB$1294</f>
        <v>0</v>
      </c>
      <c r="BT263" s="1171"/>
      <c r="BU263" s="1171"/>
      <c r="BV263" s="1171"/>
      <c r="BW263" s="1171"/>
      <c r="BX263" s="43"/>
      <c r="BY263" s="43"/>
      <c r="BZ263" s="1183"/>
      <c r="CA263" s="1183"/>
      <c r="CB263" s="1183"/>
      <c r="CC263" s="1183"/>
      <c r="CD263" s="1183"/>
      <c r="CE263" s="1183"/>
      <c r="CF263" s="1183"/>
      <c r="CG263" s="1183"/>
      <c r="CH263" s="1183"/>
      <c r="CI263" s="1183"/>
      <c r="CJ263" s="1183"/>
      <c r="CK263" s="1183"/>
      <c r="CL263" s="1183"/>
      <c r="CM263" s="1183"/>
      <c r="CN263" s="1183"/>
      <c r="CO263" s="1183"/>
      <c r="CP263" s="1183"/>
      <c r="CQ263" s="1301"/>
      <c r="CR263" s="1301"/>
      <c r="CS263" s="1301"/>
      <c r="CT263" s="1301"/>
      <c r="CU263" s="1301"/>
      <c r="CV263" s="1301"/>
      <c r="CW263" s="1301"/>
      <c r="CX263" s="1301"/>
      <c r="CY263" s="1301"/>
      <c r="CZ263" s="1301"/>
      <c r="DA263" s="1301"/>
      <c r="DB263" s="1301"/>
      <c r="DC263" s="1301"/>
      <c r="DD263" s="1301"/>
      <c r="DE263" s="1301"/>
      <c r="DF263" s="1301"/>
      <c r="DG263" s="1301"/>
      <c r="DH263" s="1301"/>
      <c r="DI263" s="1301"/>
      <c r="DJ263" s="1301"/>
      <c r="DK263" s="1301"/>
      <c r="DL263" s="1301"/>
      <c r="DM263" s="1301"/>
      <c r="DN263" s="1301"/>
      <c r="DO263" s="1301"/>
      <c r="DP263" s="1301"/>
      <c r="DQ263" s="1301"/>
      <c r="DR263" s="1300"/>
      <c r="DS263" s="1300"/>
      <c r="DT263" s="1300"/>
      <c r="DU263" s="1300"/>
      <c r="DV263" s="1300"/>
      <c r="DW263" s="1300"/>
      <c r="DX263" s="1300"/>
      <c r="DY263" s="1300"/>
      <c r="DZ263" s="1300"/>
      <c r="EA263" s="1300"/>
      <c r="EB263" s="1300"/>
      <c r="EC263" s="1300"/>
      <c r="ED263" s="1300"/>
      <c r="EE263" s="1300"/>
      <c r="EF263" s="1300"/>
      <c r="EG263" s="1300"/>
      <c r="EH263" s="1300"/>
      <c r="EI263" s="1300"/>
      <c r="EJ263" s="1300"/>
      <c r="EK263" s="1300"/>
      <c r="EL263" s="1300"/>
      <c r="EM263" s="1300"/>
      <c r="EN263" s="1300"/>
      <c r="EO263" s="1300"/>
      <c r="EP263" s="1300"/>
      <c r="EQ263" s="1300"/>
      <c r="ER263" s="1300"/>
      <c r="ES263" s="1300"/>
      <c r="ET263" s="1300"/>
      <c r="EU263" s="1300"/>
      <c r="EV263" s="1300"/>
      <c r="EW263" s="1300"/>
      <c r="EX263" s="1300"/>
    </row>
    <row r="264" spans="1:154" ht="12" customHeight="1" x14ac:dyDescent="0.35">
      <c r="A264" s="1439">
        <f t="shared" si="98"/>
        <v>47542</v>
      </c>
      <c r="B264" s="82">
        <v>110</v>
      </c>
      <c r="C264" s="82"/>
      <c r="D264" s="1449">
        <f>SUM(Input!W1368:W1391)-E264</f>
        <v>0</v>
      </c>
      <c r="E264" s="1449">
        <f>IF(Years="Five",SUM(Input!W1380:W1391)*1/12,0)</f>
        <v>0</v>
      </c>
      <c r="F264" s="82"/>
      <c r="G264" s="1448"/>
      <c r="H264" s="1448"/>
      <c r="I264" s="1448"/>
      <c r="J264" s="1448"/>
      <c r="K264" s="1610"/>
      <c r="L264" s="1610"/>
      <c r="M264" s="1610"/>
      <c r="N264" s="1610"/>
      <c r="O264" s="1610"/>
      <c r="P264" s="1610"/>
      <c r="Q264" s="1610"/>
      <c r="R264" s="1610"/>
      <c r="S264" s="1610"/>
      <c r="T264" s="1610"/>
      <c r="U264" s="1597"/>
      <c r="V264" s="1597"/>
      <c r="W264" s="1597"/>
      <c r="X264" s="1597"/>
      <c r="Y264" s="1597"/>
      <c r="Z264" s="1597"/>
      <c r="AA264" s="1597"/>
      <c r="AB264" s="1597"/>
      <c r="AC264" s="1597"/>
      <c r="AD264" s="1597"/>
      <c r="AE264" s="1597"/>
      <c r="AF264" s="1171"/>
      <c r="AG264" s="1171"/>
      <c r="AH264" s="1171"/>
      <c r="AI264" s="1171"/>
      <c r="AJ264" s="1171"/>
      <c r="AK264" s="1171"/>
      <c r="AL264" s="1171"/>
      <c r="AM264" s="1171"/>
      <c r="AN264" s="1171"/>
      <c r="AO264" s="1171"/>
      <c r="AP264" s="1171"/>
      <c r="AQ264" s="1171"/>
      <c r="AR264" s="1171"/>
      <c r="AS264" s="1171"/>
      <c r="AT264" s="1171"/>
      <c r="AU264" s="1171"/>
      <c r="AV264" s="1171"/>
      <c r="AW264" s="1171"/>
      <c r="AX264" s="1171"/>
      <c r="AY264" s="1171"/>
      <c r="AZ264" s="1171"/>
      <c r="BA264" s="1171"/>
      <c r="BB264" s="1171"/>
      <c r="BC264" s="1171"/>
      <c r="BD264" s="1171"/>
      <c r="BE264" s="1171"/>
      <c r="BF264" s="1171"/>
      <c r="BG264" s="1171"/>
      <c r="BH264" s="1171"/>
      <c r="BI264" s="1171"/>
      <c r="BJ264" s="1171"/>
      <c r="BK264" s="1171"/>
      <c r="BL264" s="1171"/>
      <c r="BM264" s="1171"/>
      <c r="BN264" s="1171"/>
      <c r="BO264" s="1171"/>
      <c r="BP264" s="1171"/>
      <c r="BQ264" s="1171"/>
      <c r="BR264" s="1171"/>
      <c r="BS264" s="1171"/>
      <c r="BT264" s="1171"/>
      <c r="BU264" s="1171"/>
      <c r="BV264" s="1171"/>
      <c r="BW264" s="1171"/>
      <c r="BX264" s="43"/>
      <c r="BY264" s="43"/>
      <c r="BZ264" s="1183"/>
      <c r="CA264" s="1183"/>
      <c r="CB264" s="1183"/>
      <c r="CC264" s="1183"/>
      <c r="CD264" s="1183"/>
      <c r="CE264" s="1183"/>
      <c r="CF264" s="1183"/>
      <c r="CG264" s="1183"/>
      <c r="CH264" s="1183"/>
      <c r="CI264" s="1183"/>
      <c r="CJ264" s="1183"/>
      <c r="CK264" s="1183"/>
      <c r="CL264" s="1183"/>
      <c r="CM264" s="1183"/>
      <c r="CN264" s="1183"/>
      <c r="CO264" s="1183"/>
      <c r="CP264" s="1183"/>
      <c r="CQ264" s="1301"/>
      <c r="CR264" s="1301"/>
      <c r="CS264" s="1301"/>
      <c r="CT264" s="1301"/>
      <c r="CU264" s="1301"/>
      <c r="CV264" s="1301"/>
      <c r="CW264" s="1301"/>
      <c r="CX264" s="1301"/>
      <c r="CY264" s="1301"/>
      <c r="CZ264" s="1301"/>
      <c r="DA264" s="1301"/>
      <c r="DB264" s="1301"/>
      <c r="DC264" s="1301"/>
      <c r="DD264" s="1301"/>
      <c r="DE264" s="1301"/>
      <c r="DF264" s="1301"/>
      <c r="DG264" s="1301"/>
      <c r="DH264" s="1301"/>
      <c r="DI264" s="1301"/>
      <c r="DJ264" s="1301"/>
      <c r="DK264" s="1301"/>
      <c r="DL264" s="1301"/>
      <c r="DM264" s="1301"/>
      <c r="DN264" s="1301"/>
      <c r="DO264" s="1301"/>
      <c r="DP264" s="1301"/>
      <c r="DQ264" s="1301"/>
      <c r="DR264" s="1300"/>
      <c r="DS264" s="1300"/>
      <c r="DT264" s="1300"/>
      <c r="DU264" s="1300"/>
      <c r="DV264" s="1300"/>
      <c r="DW264" s="1300"/>
      <c r="DX264" s="1300"/>
      <c r="DY264" s="1300"/>
      <c r="DZ264" s="1300"/>
      <c r="EA264" s="1300"/>
      <c r="EB264" s="1300"/>
      <c r="EC264" s="1300"/>
      <c r="ED264" s="1300"/>
      <c r="EE264" s="1300"/>
      <c r="EF264" s="1300"/>
      <c r="EG264" s="1300"/>
      <c r="EH264" s="1300"/>
      <c r="EI264" s="1300"/>
      <c r="EJ264" s="1300"/>
      <c r="EK264" s="1300"/>
      <c r="EL264" s="1300"/>
      <c r="EM264" s="1300"/>
      <c r="EN264" s="1300"/>
      <c r="EO264" s="1300"/>
      <c r="EP264" s="1300"/>
      <c r="EQ264" s="1300"/>
      <c r="ER264" s="1300"/>
      <c r="ES264" s="1300"/>
      <c r="ET264" s="1300"/>
      <c r="EU264" s="1300"/>
      <c r="EV264" s="1300"/>
      <c r="EW264" s="1300"/>
      <c r="EX264" s="1300"/>
    </row>
    <row r="265" spans="1:154" ht="12" customHeight="1" x14ac:dyDescent="0.35">
      <c r="A265" s="1439">
        <f t="shared" si="98"/>
        <v>47573</v>
      </c>
      <c r="B265" s="82">
        <v>111</v>
      </c>
      <c r="C265" s="82"/>
      <c r="D265" s="1449">
        <f>SUM(Input!W1369:W1392)-E265</f>
        <v>0</v>
      </c>
      <c r="E265" s="1449">
        <f>IF(Years="Five",SUM(Input!W1381:W1392)*1/12,0)</f>
        <v>0</v>
      </c>
      <c r="F265" s="82"/>
      <c r="G265" s="1448"/>
      <c r="H265" s="1448"/>
      <c r="I265" s="1448"/>
      <c r="J265" s="1448"/>
      <c r="K265" s="1610"/>
      <c r="L265" s="1610"/>
      <c r="M265" s="1610"/>
      <c r="N265" s="1610"/>
      <c r="O265" s="1610"/>
      <c r="P265" s="1610"/>
      <c r="Q265" s="1610"/>
      <c r="R265" s="1610"/>
      <c r="S265" s="1610"/>
      <c r="T265" s="1610"/>
      <c r="U265" s="1597"/>
      <c r="V265" s="1597"/>
      <c r="W265" s="1597"/>
      <c r="X265" s="1597"/>
      <c r="Y265" s="1597"/>
      <c r="Z265" s="1597"/>
      <c r="AA265" s="1597"/>
      <c r="AB265" s="1597"/>
      <c r="AC265" s="1597"/>
      <c r="AD265" s="1597"/>
      <c r="AE265" s="1597"/>
      <c r="AF265" s="1171"/>
      <c r="AG265" s="1171"/>
      <c r="AH265" s="1171"/>
      <c r="AI265" s="1171"/>
      <c r="AJ265" s="1171"/>
      <c r="AK265" s="1171"/>
      <c r="AL265" s="1171"/>
      <c r="AM265" s="1171"/>
      <c r="AN265" s="1171"/>
      <c r="AO265" s="1171"/>
      <c r="AP265" s="1171"/>
      <c r="AQ265" s="1171"/>
      <c r="AR265" s="1171"/>
      <c r="AS265" s="1171"/>
      <c r="AT265" s="1171"/>
      <c r="AU265" s="1171"/>
      <c r="AV265" s="1171"/>
      <c r="AW265" s="1171"/>
      <c r="AX265" s="1171"/>
      <c r="AY265" s="1171"/>
      <c r="AZ265" s="1171"/>
      <c r="BA265" s="1171"/>
      <c r="BB265" s="1171"/>
      <c r="BC265" s="1171"/>
      <c r="BD265" s="1171"/>
      <c r="BE265" s="1171"/>
      <c r="BF265" s="1171"/>
      <c r="BG265" s="1171"/>
      <c r="BH265" s="1171"/>
      <c r="BI265" s="1171"/>
      <c r="BJ265" s="1171"/>
      <c r="BK265" s="1171"/>
      <c r="BL265" s="1171"/>
      <c r="BM265" s="1171"/>
      <c r="BN265" s="1171"/>
      <c r="BO265" s="1171"/>
      <c r="BP265" s="1171"/>
      <c r="BQ265" s="1171"/>
      <c r="BR265" s="1171"/>
      <c r="BS265" s="1171"/>
      <c r="BT265" s="1171"/>
      <c r="BU265" s="1171"/>
      <c r="BV265" s="1171"/>
      <c r="BW265" s="1171"/>
      <c r="BX265" s="43"/>
      <c r="BY265" s="43"/>
      <c r="BZ265" s="1183"/>
      <c r="CA265" s="1183"/>
      <c r="CB265" s="1183"/>
      <c r="CC265" s="1183"/>
      <c r="CD265" s="1183"/>
      <c r="CE265" s="1183"/>
      <c r="CF265" s="1183"/>
      <c r="CG265" s="1183"/>
      <c r="CH265" s="1183"/>
      <c r="CI265" s="1183"/>
      <c r="CJ265" s="1183"/>
      <c r="CK265" s="1183"/>
      <c r="CL265" s="1183"/>
      <c r="CM265" s="1183"/>
      <c r="CN265" s="1183"/>
      <c r="CO265" s="1183"/>
      <c r="CP265" s="1183"/>
      <c r="CQ265" s="1301"/>
      <c r="CR265" s="1301"/>
      <c r="CS265" s="1301"/>
      <c r="CT265" s="1301"/>
      <c r="CU265" s="1301"/>
      <c r="CV265" s="1301"/>
      <c r="CW265" s="1301"/>
      <c r="CX265" s="1301"/>
      <c r="CY265" s="1301"/>
      <c r="CZ265" s="1301"/>
      <c r="DA265" s="1301"/>
      <c r="DB265" s="1301"/>
      <c r="DC265" s="1301"/>
      <c r="DD265" s="1301"/>
      <c r="DE265" s="1301"/>
      <c r="DF265" s="1301"/>
      <c r="DG265" s="1301"/>
      <c r="DH265" s="1301"/>
      <c r="DI265" s="1301"/>
      <c r="DJ265" s="1301"/>
      <c r="DK265" s="1301"/>
      <c r="DL265" s="1301"/>
      <c r="DM265" s="1301"/>
      <c r="DN265" s="1301"/>
      <c r="DO265" s="1301"/>
      <c r="DP265" s="1301"/>
      <c r="DQ265" s="1301"/>
      <c r="DR265" s="1300"/>
      <c r="DS265" s="1300"/>
      <c r="DT265" s="1300"/>
      <c r="DU265" s="1300"/>
      <c r="DV265" s="1300"/>
      <c r="DW265" s="1300"/>
      <c r="DX265" s="1300"/>
      <c r="DY265" s="1300"/>
      <c r="DZ265" s="1300"/>
      <c r="EA265" s="1300"/>
      <c r="EB265" s="1300"/>
      <c r="EC265" s="1300"/>
      <c r="ED265" s="1300"/>
      <c r="EE265" s="1300"/>
      <c r="EF265" s="1300"/>
      <c r="EG265" s="1300"/>
      <c r="EH265" s="1300"/>
      <c r="EI265" s="1300"/>
      <c r="EJ265" s="1300"/>
      <c r="EK265" s="1300"/>
      <c r="EL265" s="1300"/>
      <c r="EM265" s="1300"/>
      <c r="EN265" s="1300"/>
      <c r="EO265" s="1300"/>
      <c r="EP265" s="1300"/>
      <c r="EQ265" s="1300"/>
      <c r="ER265" s="1300"/>
      <c r="ES265" s="1300"/>
      <c r="ET265" s="1300"/>
      <c r="EU265" s="1300"/>
      <c r="EV265" s="1300"/>
      <c r="EW265" s="1300"/>
      <c r="EX265" s="1300"/>
    </row>
    <row r="266" spans="1:154" ht="12" customHeight="1" x14ac:dyDescent="0.35">
      <c r="A266" s="1439">
        <f t="shared" si="98"/>
        <v>47603</v>
      </c>
      <c r="B266" s="82">
        <v>112</v>
      </c>
      <c r="C266" s="82"/>
      <c r="D266" s="1449">
        <f>SUM(Input!W1370:W1393)-E266</f>
        <v>0</v>
      </c>
      <c r="E266" s="1449">
        <f>IF(Years="Five",SUM(Input!W1382:W1393)*1/12,0)</f>
        <v>0</v>
      </c>
      <c r="F266" s="82"/>
      <c r="G266" s="1448"/>
      <c r="H266" s="1448"/>
      <c r="I266" s="1448"/>
      <c r="J266" s="1448"/>
      <c r="K266" s="1610"/>
      <c r="L266" s="1610"/>
      <c r="M266" s="1610"/>
      <c r="N266" s="1610"/>
      <c r="O266" s="1610"/>
      <c r="P266" s="1610"/>
      <c r="Q266" s="1610"/>
      <c r="R266" s="1610"/>
      <c r="S266" s="1610"/>
      <c r="T266" s="1610"/>
      <c r="U266" s="1597"/>
      <c r="V266" s="1597"/>
      <c r="W266" s="1597"/>
      <c r="X266" s="1597"/>
      <c r="Y266" s="1597"/>
      <c r="Z266" s="1597"/>
      <c r="AA266" s="1597"/>
      <c r="AB266" s="1597"/>
      <c r="AC266" s="1597"/>
      <c r="AD266" s="1597"/>
      <c r="AE266" s="1597"/>
      <c r="AF266" s="1171"/>
      <c r="AG266" s="1171"/>
      <c r="AH266" s="1171"/>
      <c r="AI266" s="1171"/>
      <c r="AJ266" s="1171"/>
      <c r="AK266" s="1171"/>
      <c r="AL266" s="1171"/>
      <c r="AM266" s="1171"/>
      <c r="AN266" s="1171"/>
      <c r="AO266" s="1171"/>
      <c r="AP266" s="1171"/>
      <c r="AQ266" s="1171"/>
      <c r="AR266" s="1171"/>
      <c r="AS266" s="1171"/>
      <c r="AT266" s="1171"/>
      <c r="AU266" s="1171"/>
      <c r="AV266" s="1171"/>
      <c r="AW266" s="1171"/>
      <c r="AX266" s="1171"/>
      <c r="AY266" s="1171"/>
      <c r="AZ266" s="1171"/>
      <c r="BA266" s="1171"/>
      <c r="BB266" s="1171"/>
      <c r="BC266" s="1171"/>
      <c r="BD266" s="1171"/>
      <c r="BE266" s="1171"/>
      <c r="BF266" s="1171"/>
      <c r="BG266" s="1171"/>
      <c r="BH266" s="1171"/>
      <c r="BI266" s="1171"/>
      <c r="BJ266" s="1171"/>
      <c r="BK266" s="1171"/>
      <c r="BL266" s="1171"/>
      <c r="BM266" s="1171"/>
      <c r="BN266" s="1171"/>
      <c r="BO266" s="1171"/>
      <c r="BP266" s="1171"/>
      <c r="BQ266" s="1171"/>
      <c r="BR266" s="1171"/>
      <c r="BS266" s="1171"/>
      <c r="BT266" s="1171"/>
      <c r="BU266" s="1171"/>
      <c r="BV266" s="1171"/>
      <c r="BW266" s="1171"/>
      <c r="BX266" s="43"/>
      <c r="BY266" s="43"/>
      <c r="BZ266" s="1183"/>
      <c r="CA266" s="1183"/>
      <c r="CB266" s="1183"/>
      <c r="CC266" s="1183"/>
      <c r="CD266" s="1183"/>
      <c r="CE266" s="1183"/>
      <c r="CF266" s="1183"/>
      <c r="CG266" s="1183"/>
      <c r="CH266" s="1183"/>
      <c r="CI266" s="1183"/>
      <c r="CJ266" s="1183"/>
      <c r="CK266" s="1183"/>
      <c r="CL266" s="1183"/>
      <c r="CM266" s="1183"/>
      <c r="CN266" s="1183"/>
      <c r="CO266" s="1183"/>
      <c r="CP266" s="1183"/>
      <c r="CQ266" s="1301"/>
      <c r="CR266" s="1301"/>
      <c r="CS266" s="1301"/>
      <c r="CT266" s="1301"/>
      <c r="CU266" s="1301"/>
      <c r="CV266" s="1301"/>
      <c r="CW266" s="1301"/>
      <c r="CX266" s="1301"/>
      <c r="CY266" s="1301"/>
      <c r="CZ266" s="1301"/>
      <c r="DA266" s="1301"/>
      <c r="DB266" s="1301"/>
      <c r="DC266" s="1301"/>
      <c r="DD266" s="1301"/>
      <c r="DE266" s="1301"/>
      <c r="DF266" s="1301"/>
      <c r="DG266" s="1301"/>
      <c r="DH266" s="1301"/>
      <c r="DI266" s="1301"/>
      <c r="DJ266" s="1301"/>
      <c r="DK266" s="1301"/>
      <c r="DL266" s="1301"/>
      <c r="DM266" s="1301"/>
      <c r="DN266" s="1301"/>
      <c r="DO266" s="1301"/>
      <c r="DP266" s="1301"/>
      <c r="DQ266" s="1301"/>
      <c r="DR266" s="1300"/>
      <c r="DS266" s="1300"/>
      <c r="DT266" s="1300"/>
      <c r="DU266" s="1300"/>
      <c r="DV266" s="1300"/>
      <c r="DW266" s="1300"/>
      <c r="DX266" s="1300"/>
      <c r="DY266" s="1300"/>
      <c r="DZ266" s="1300"/>
      <c r="EA266" s="1300"/>
      <c r="EB266" s="1300"/>
      <c r="EC266" s="1300"/>
      <c r="ED266" s="1300"/>
      <c r="EE266" s="1300"/>
      <c r="EF266" s="1300"/>
      <c r="EG266" s="1300"/>
      <c r="EH266" s="1300"/>
      <c r="EI266" s="1300"/>
      <c r="EJ266" s="1300"/>
      <c r="EK266" s="1300"/>
      <c r="EL266" s="1300"/>
      <c r="EM266" s="1300"/>
      <c r="EN266" s="1300"/>
      <c r="EO266" s="1300"/>
      <c r="EP266" s="1300"/>
      <c r="EQ266" s="1300"/>
      <c r="ER266" s="1300"/>
      <c r="ES266" s="1300"/>
      <c r="ET266" s="1300"/>
      <c r="EU266" s="1300"/>
      <c r="EV266" s="1300"/>
      <c r="EW266" s="1300"/>
      <c r="EX266" s="1300"/>
    </row>
    <row r="267" spans="1:154" ht="12" customHeight="1" x14ac:dyDescent="0.35">
      <c r="A267" s="1439">
        <f t="shared" si="98"/>
        <v>47634</v>
      </c>
      <c r="B267" s="82">
        <v>113</v>
      </c>
      <c r="C267" s="82"/>
      <c r="D267" s="1449">
        <f>SUM(Input!W1371:W1394)-E267</f>
        <v>0</v>
      </c>
      <c r="E267" s="1449">
        <f>IF(Years="Five",SUM(Input!W1383:W1394)*1/12,0)</f>
        <v>0</v>
      </c>
      <c r="F267" s="82"/>
      <c r="G267" s="1448"/>
      <c r="H267" s="1448"/>
      <c r="I267" s="1448"/>
      <c r="J267" s="1448"/>
      <c r="K267" s="1610"/>
      <c r="L267" s="1610"/>
      <c r="M267" s="1610"/>
      <c r="N267" s="1610"/>
      <c r="O267" s="1610"/>
      <c r="P267" s="1610"/>
      <c r="Q267" s="1610"/>
      <c r="R267" s="1610"/>
      <c r="S267" s="1610"/>
      <c r="T267" s="1610"/>
      <c r="U267" s="1597"/>
      <c r="V267" s="1597"/>
      <c r="W267" s="1597"/>
      <c r="X267" s="1597"/>
      <c r="Y267" s="1597"/>
      <c r="Z267" s="1597"/>
      <c r="AA267" s="1597"/>
      <c r="AB267" s="1597"/>
      <c r="AC267" s="1597"/>
      <c r="AD267" s="1597"/>
      <c r="AE267" s="1597"/>
      <c r="AF267" s="1171"/>
      <c r="AG267" s="1171"/>
      <c r="AH267" s="1171"/>
      <c r="AI267" s="1171"/>
      <c r="AJ267" s="1171"/>
      <c r="AK267" s="1171"/>
      <c r="AL267" s="1171"/>
      <c r="AM267" s="1171"/>
      <c r="AN267" s="1171"/>
      <c r="AO267" s="1171"/>
      <c r="AP267" s="1171"/>
      <c r="AQ267" s="1171"/>
      <c r="AR267" s="1171"/>
      <c r="AS267" s="1171"/>
      <c r="AT267" s="1171"/>
      <c r="AU267" s="1171"/>
      <c r="AV267" s="1171"/>
      <c r="AW267" s="1171"/>
      <c r="AX267" s="1171"/>
      <c r="AY267" s="1171"/>
      <c r="AZ267" s="1171"/>
      <c r="BA267" s="1171"/>
      <c r="BB267" s="1171"/>
      <c r="BC267" s="1171"/>
      <c r="BD267" s="1171"/>
      <c r="BE267" s="1171"/>
      <c r="BF267" s="1171"/>
      <c r="BG267" s="1171"/>
      <c r="BH267" s="1171"/>
      <c r="BI267" s="1171"/>
      <c r="BJ267" s="1171"/>
      <c r="BK267" s="1171"/>
      <c r="BL267" s="1171"/>
      <c r="BM267" s="1171"/>
      <c r="BN267" s="1171"/>
      <c r="BO267" s="1171"/>
      <c r="BP267" s="1171"/>
      <c r="BQ267" s="1171"/>
      <c r="BR267" s="1171"/>
      <c r="BS267" s="1171"/>
      <c r="BT267" s="1171"/>
      <c r="BU267" s="1171"/>
      <c r="BV267" s="1171"/>
      <c r="BW267" s="1171"/>
      <c r="BX267" s="43"/>
      <c r="BY267" s="43"/>
      <c r="BZ267" s="1183"/>
      <c r="CA267" s="1183"/>
      <c r="CB267" s="1183"/>
      <c r="CC267" s="1183"/>
      <c r="CD267" s="1183"/>
      <c r="CE267" s="1183"/>
      <c r="CF267" s="1183"/>
      <c r="CG267" s="1183"/>
      <c r="CH267" s="1183"/>
      <c r="CI267" s="1183"/>
      <c r="CJ267" s="1183"/>
      <c r="CK267" s="1183"/>
      <c r="CL267" s="1183"/>
      <c r="CM267" s="1183"/>
      <c r="CN267" s="1183"/>
      <c r="CO267" s="1183"/>
      <c r="CP267" s="1183"/>
      <c r="CQ267" s="1301"/>
      <c r="CR267" s="1301"/>
      <c r="CS267" s="1301"/>
      <c r="CT267" s="1301"/>
      <c r="CU267" s="1301"/>
      <c r="CV267" s="1301"/>
      <c r="CW267" s="1301"/>
      <c r="CX267" s="1301"/>
      <c r="CY267" s="1301"/>
      <c r="CZ267" s="1301"/>
      <c r="DA267" s="1301"/>
      <c r="DB267" s="1301"/>
      <c r="DC267" s="1301"/>
      <c r="DD267" s="1301"/>
      <c r="DE267" s="1301"/>
      <c r="DF267" s="1301"/>
      <c r="DG267" s="1301"/>
      <c r="DH267" s="1301"/>
      <c r="DI267" s="1301"/>
      <c r="DJ267" s="1301"/>
      <c r="DK267" s="1301"/>
      <c r="DL267" s="1301"/>
      <c r="DM267" s="1301"/>
      <c r="DN267" s="1301"/>
      <c r="DO267" s="1301"/>
      <c r="DP267" s="1301"/>
      <c r="DQ267" s="1301"/>
      <c r="DR267" s="1300"/>
      <c r="DS267" s="1300"/>
      <c r="DT267" s="1300"/>
      <c r="DU267" s="1300"/>
      <c r="DV267" s="1300"/>
      <c r="DW267" s="1300"/>
      <c r="DX267" s="1300"/>
      <c r="DY267" s="1300"/>
      <c r="DZ267" s="1300"/>
      <c r="EA267" s="1300"/>
      <c r="EB267" s="1300"/>
      <c r="EC267" s="1300"/>
      <c r="ED267" s="1300"/>
      <c r="EE267" s="1300"/>
      <c r="EF267" s="1300"/>
      <c r="EG267" s="1300"/>
      <c r="EH267" s="1300"/>
      <c r="EI267" s="1300"/>
      <c r="EJ267" s="1300"/>
      <c r="EK267" s="1300"/>
      <c r="EL267" s="1300"/>
      <c r="EM267" s="1300"/>
      <c r="EN267" s="1300"/>
      <c r="EO267" s="1300"/>
      <c r="EP267" s="1300"/>
      <c r="EQ267" s="1300"/>
      <c r="ER267" s="1300"/>
      <c r="ES267" s="1300"/>
      <c r="ET267" s="1300"/>
      <c r="EU267" s="1300"/>
      <c r="EV267" s="1300"/>
      <c r="EW267" s="1300"/>
      <c r="EX267" s="1300"/>
    </row>
    <row r="268" spans="1:154" ht="12" customHeight="1" x14ac:dyDescent="0.35">
      <c r="A268" s="1439">
        <f t="shared" si="98"/>
        <v>47664</v>
      </c>
      <c r="B268" s="82">
        <v>114</v>
      </c>
      <c r="C268" s="82"/>
      <c r="D268" s="1449">
        <f>SUM(Input!W1372:W1395)-E268</f>
        <v>0</v>
      </c>
      <c r="E268" s="1449">
        <f>IF(Years="Five",SUM(Input!W1384:W1395)*1/12,0)</f>
        <v>0</v>
      </c>
      <c r="F268" s="82"/>
      <c r="G268" s="1448"/>
      <c r="H268" s="1448"/>
      <c r="I268" s="1448"/>
      <c r="J268" s="1448"/>
      <c r="K268" s="1610"/>
      <c r="L268" s="1610"/>
      <c r="M268" s="1610"/>
      <c r="N268" s="1610"/>
      <c r="O268" s="1610"/>
      <c r="P268" s="1610"/>
      <c r="Q268" s="1610"/>
      <c r="R268" s="1610"/>
      <c r="S268" s="1610"/>
      <c r="T268" s="1610"/>
      <c r="U268" s="1597"/>
      <c r="V268" s="1597"/>
      <c r="W268" s="1597"/>
      <c r="X268" s="1597"/>
      <c r="Y268" s="1597"/>
      <c r="Z268" s="1597"/>
      <c r="AA268" s="1597"/>
      <c r="AB268" s="1597"/>
      <c r="AC268" s="1597"/>
      <c r="AD268" s="1597"/>
      <c r="AE268" s="1597"/>
      <c r="AF268" s="1171"/>
      <c r="AG268" s="1171"/>
      <c r="AH268" s="1171"/>
      <c r="AI268" s="1171"/>
      <c r="AJ268" s="1171"/>
      <c r="AK268" s="1171"/>
      <c r="AL268" s="1171"/>
      <c r="AM268" s="1171"/>
      <c r="AN268" s="1171"/>
      <c r="AO268" s="1171"/>
      <c r="AP268" s="1171"/>
      <c r="AQ268" s="1171"/>
      <c r="AR268" s="1171"/>
      <c r="AS268" s="1171"/>
      <c r="AT268" s="1171"/>
      <c r="AU268" s="1171"/>
      <c r="AV268" s="1171"/>
      <c r="AW268" s="1171"/>
      <c r="AX268" s="1171"/>
      <c r="AY268" s="1171"/>
      <c r="AZ268" s="1171"/>
      <c r="BA268" s="1171"/>
      <c r="BB268" s="1171"/>
      <c r="BC268" s="1171"/>
      <c r="BD268" s="1171"/>
      <c r="BE268" s="1171"/>
      <c r="BF268" s="1171"/>
      <c r="BG268" s="1171"/>
      <c r="BH268" s="1171"/>
      <c r="BI268" s="1171"/>
      <c r="BJ268" s="1171"/>
      <c r="BK268" s="1171"/>
      <c r="BL268" s="1171"/>
      <c r="BM268" s="1171"/>
      <c r="BN268" s="1171"/>
      <c r="BO268" s="1171"/>
      <c r="BP268" s="1171"/>
      <c r="BQ268" s="1171"/>
      <c r="BR268" s="1171"/>
      <c r="BS268" s="1171"/>
      <c r="BT268" s="1171"/>
      <c r="BU268" s="1171"/>
      <c r="BV268" s="1171"/>
      <c r="BW268" s="1171"/>
      <c r="BX268" s="43"/>
      <c r="BY268" s="43"/>
      <c r="BZ268" s="1183"/>
      <c r="CA268" s="1183"/>
      <c r="CB268" s="1183"/>
      <c r="CC268" s="1183"/>
      <c r="CD268" s="1183"/>
      <c r="CE268" s="1183"/>
      <c r="CF268" s="1183"/>
      <c r="CG268" s="1183"/>
      <c r="CH268" s="1183"/>
      <c r="CI268" s="1183"/>
      <c r="CJ268" s="1183"/>
      <c r="CK268" s="1183"/>
      <c r="CL268" s="1183"/>
      <c r="CM268" s="1183"/>
      <c r="CN268" s="1183"/>
      <c r="CO268" s="1183"/>
      <c r="CP268" s="1183"/>
      <c r="CQ268" s="1301"/>
      <c r="CR268" s="1301"/>
      <c r="CS268" s="1301"/>
      <c r="CT268" s="1301"/>
      <c r="CU268" s="1301"/>
      <c r="CV268" s="1301"/>
      <c r="CW268" s="1301"/>
      <c r="CX268" s="1301"/>
      <c r="CY268" s="1301"/>
      <c r="CZ268" s="1301"/>
      <c r="DA268" s="1301"/>
      <c r="DB268" s="1301"/>
      <c r="DC268" s="1301"/>
      <c r="DD268" s="1301"/>
      <c r="DE268" s="1301"/>
      <c r="DF268" s="1301"/>
      <c r="DG268" s="1301"/>
      <c r="DH268" s="1301"/>
      <c r="DI268" s="1301"/>
      <c r="DJ268" s="1301"/>
      <c r="DK268" s="1301"/>
      <c r="DL268" s="1301"/>
      <c r="DM268" s="1301"/>
      <c r="DN268" s="1301"/>
      <c r="DO268" s="1301"/>
      <c r="DP268" s="1301"/>
      <c r="DQ268" s="1301"/>
      <c r="DR268" s="1300"/>
      <c r="DS268" s="1300"/>
      <c r="DT268" s="1300"/>
      <c r="DU268" s="1300"/>
      <c r="DV268" s="1300"/>
      <c r="DW268" s="1300"/>
      <c r="DX268" s="1300"/>
      <c r="DY268" s="1300"/>
      <c r="DZ268" s="1300"/>
      <c r="EA268" s="1300"/>
      <c r="EB268" s="1300"/>
      <c r="EC268" s="1300"/>
      <c r="ED268" s="1300"/>
      <c r="EE268" s="1300"/>
      <c r="EF268" s="1300"/>
      <c r="EG268" s="1300"/>
      <c r="EH268" s="1300"/>
      <c r="EI268" s="1300"/>
      <c r="EJ268" s="1300"/>
      <c r="EK268" s="1300"/>
      <c r="EL268" s="1300"/>
      <c r="EM268" s="1300"/>
      <c r="EN268" s="1300"/>
      <c r="EO268" s="1300"/>
      <c r="EP268" s="1300"/>
      <c r="EQ268" s="1300"/>
      <c r="ER268" s="1300"/>
      <c r="ES268" s="1300"/>
      <c r="ET268" s="1300"/>
      <c r="EU268" s="1300"/>
      <c r="EV268" s="1300"/>
      <c r="EW268" s="1300"/>
      <c r="EX268" s="1300"/>
    </row>
    <row r="269" spans="1:154" ht="12" customHeight="1" x14ac:dyDescent="0.35">
      <c r="A269" s="1439">
        <f t="shared" si="98"/>
        <v>47695</v>
      </c>
      <c r="B269" s="82">
        <v>115</v>
      </c>
      <c r="C269" s="82"/>
      <c r="D269" s="1449">
        <f>SUM(Input!W1373:W1396)-E269</f>
        <v>0</v>
      </c>
      <c r="E269" s="1449">
        <f>IF(Years="Five",SUM(Input!W1385:W1396)*1/12,0)</f>
        <v>0</v>
      </c>
      <c r="F269" s="82"/>
      <c r="G269" s="1448"/>
      <c r="H269" s="1448"/>
      <c r="I269" s="1448"/>
      <c r="J269" s="1448"/>
      <c r="K269" s="1891" t="s">
        <v>164</v>
      </c>
      <c r="L269" s="1891"/>
      <c r="M269" s="1302"/>
      <c r="N269" s="1302"/>
      <c r="O269" s="1610"/>
      <c r="P269" s="1610"/>
      <c r="Q269" s="1891" t="s">
        <v>21</v>
      </c>
      <c r="R269" s="1891"/>
      <c r="S269" s="1610"/>
      <c r="T269" s="1610"/>
      <c r="U269" s="1597"/>
      <c r="V269" s="1597"/>
      <c r="W269" s="1597"/>
      <c r="X269" s="1597"/>
      <c r="Y269" s="1597"/>
      <c r="Z269" s="1597"/>
      <c r="AA269" s="1597"/>
      <c r="AB269" s="1597"/>
      <c r="AC269" s="1597"/>
      <c r="AD269" s="1597"/>
      <c r="AE269" s="1597"/>
      <c r="AF269" s="1171"/>
      <c r="AG269" s="1171"/>
      <c r="AH269" s="1171"/>
      <c r="AI269" s="1171"/>
      <c r="AJ269" s="1171"/>
      <c r="AK269" s="1171"/>
      <c r="AL269" s="1171"/>
      <c r="AM269" s="1171"/>
      <c r="AN269" s="1171"/>
      <c r="AO269" s="1171"/>
      <c r="AP269" s="1171"/>
      <c r="AQ269" s="1171"/>
      <c r="AR269" s="1171"/>
      <c r="AS269" s="1171"/>
      <c r="AT269" s="1171"/>
      <c r="AU269" s="1171"/>
      <c r="AV269" s="1171"/>
      <c r="AW269" s="1171"/>
      <c r="AX269" s="1171"/>
      <c r="AY269" s="1171"/>
      <c r="AZ269" s="1171"/>
      <c r="BA269" s="1171"/>
      <c r="BB269" s="1171"/>
      <c r="BC269" s="1171"/>
      <c r="BD269" s="1171"/>
      <c r="BE269" s="1171"/>
      <c r="BF269" s="1171"/>
      <c r="BG269" s="1171"/>
      <c r="BH269" s="1171"/>
      <c r="BI269" s="1171"/>
      <c r="BJ269" s="1171"/>
      <c r="BK269" s="1171"/>
      <c r="BL269" s="1171"/>
      <c r="BM269" s="1171"/>
      <c r="BN269" s="1171"/>
      <c r="BO269" s="1171"/>
      <c r="BP269" s="1171"/>
      <c r="BQ269" s="1171"/>
      <c r="BR269" s="1171"/>
      <c r="BS269" s="1171"/>
      <c r="BT269" s="1171"/>
      <c r="BU269" s="1171"/>
      <c r="BV269" s="1171"/>
      <c r="BW269" s="1171"/>
      <c r="BX269" s="43"/>
      <c r="BY269" s="43"/>
      <c r="BZ269" s="1183"/>
      <c r="CA269" s="1183"/>
      <c r="CB269" s="1183"/>
      <c r="CC269" s="1183"/>
      <c r="CD269" s="1183"/>
      <c r="CE269" s="1183"/>
      <c r="CF269" s="1183"/>
      <c r="CG269" s="1183"/>
      <c r="CH269" s="1183"/>
      <c r="CI269" s="1183"/>
      <c r="CJ269" s="1183"/>
      <c r="CK269" s="1183"/>
      <c r="CL269" s="1183"/>
      <c r="CM269" s="1183"/>
      <c r="CN269" s="1183"/>
      <c r="CO269" s="1183"/>
      <c r="CP269" s="1183"/>
      <c r="CQ269" s="1301"/>
      <c r="CR269" s="1301"/>
      <c r="CS269" s="1301"/>
      <c r="CT269" s="1301"/>
      <c r="CU269" s="1301"/>
      <c r="CV269" s="1301"/>
      <c r="CW269" s="1301"/>
      <c r="CX269" s="1301"/>
      <c r="CY269" s="1301"/>
      <c r="CZ269" s="1301"/>
      <c r="DA269" s="1301"/>
      <c r="DB269" s="1301"/>
      <c r="DC269" s="1301"/>
      <c r="DD269" s="1301"/>
      <c r="DE269" s="1301"/>
      <c r="DF269" s="1301"/>
      <c r="DG269" s="1301"/>
      <c r="DH269" s="1301"/>
      <c r="DI269" s="1301"/>
      <c r="DJ269" s="1301"/>
      <c r="DK269" s="1301"/>
      <c r="DL269" s="1301"/>
      <c r="DM269" s="1301"/>
      <c r="DN269" s="1301"/>
      <c r="DO269" s="1301"/>
      <c r="DP269" s="1301"/>
      <c r="DQ269" s="1301"/>
      <c r="DR269" s="1300"/>
      <c r="DS269" s="1300"/>
      <c r="DT269" s="1300"/>
      <c r="DU269" s="1300"/>
      <c r="DV269" s="1300"/>
      <c r="DW269" s="1300"/>
      <c r="DX269" s="1300"/>
      <c r="DY269" s="1300"/>
      <c r="DZ269" s="1300"/>
      <c r="EA269" s="1300"/>
      <c r="EB269" s="1300"/>
      <c r="EC269" s="1300"/>
      <c r="ED269" s="1300"/>
      <c r="EE269" s="1300"/>
      <c r="EF269" s="1300"/>
      <c r="EG269" s="1300"/>
      <c r="EH269" s="1300"/>
      <c r="EI269" s="1300"/>
      <c r="EJ269" s="1300"/>
      <c r="EK269" s="1300"/>
      <c r="EL269" s="1300"/>
      <c r="EM269" s="1300"/>
      <c r="EN269" s="1300"/>
      <c r="EO269" s="1300"/>
      <c r="EP269" s="1300"/>
      <c r="EQ269" s="1300"/>
      <c r="ER269" s="1300"/>
      <c r="ES269" s="1300"/>
      <c r="ET269" s="1300"/>
      <c r="EU269" s="1300"/>
      <c r="EV269" s="1300"/>
      <c r="EW269" s="1300"/>
      <c r="EX269" s="1300"/>
    </row>
    <row r="270" spans="1:154" ht="12" customHeight="1" x14ac:dyDescent="0.35">
      <c r="A270" s="1439">
        <f t="shared" si="98"/>
        <v>47726</v>
      </c>
      <c r="B270" s="82">
        <v>116</v>
      </c>
      <c r="C270" s="82"/>
      <c r="D270" s="1449">
        <f>SUM(Input!W1374:W1397)-E270</f>
        <v>0</v>
      </c>
      <c r="E270" s="1449">
        <f>IF(Years="Five",SUM(Input!W1386:W1397)*1/12,0)</f>
        <v>0</v>
      </c>
      <c r="F270" s="82"/>
      <c r="G270" s="1448"/>
      <c r="H270" s="1448"/>
      <c r="I270" s="1448"/>
      <c r="J270" s="1448"/>
      <c r="K270" s="1891"/>
      <c r="L270" s="1891"/>
      <c r="M270" s="1610"/>
      <c r="N270" s="1610"/>
      <c r="O270" s="1611"/>
      <c r="P270" s="1612"/>
      <c r="Q270" s="1891"/>
      <c r="R270" s="1891"/>
      <c r="S270" s="1613"/>
      <c r="T270" s="1614"/>
      <c r="U270" s="1615"/>
      <c r="V270" s="1615"/>
      <c r="W270" s="1615"/>
      <c r="X270" s="1616"/>
      <c r="Y270" s="1615">
        <v>-10</v>
      </c>
      <c r="Z270" s="1615">
        <v>-9</v>
      </c>
      <c r="AA270" s="1615">
        <v>-8</v>
      </c>
      <c r="AB270" s="1615">
        <v>-7</v>
      </c>
      <c r="AC270" s="1615">
        <v>-6</v>
      </c>
      <c r="AD270" s="1615">
        <v>-5</v>
      </c>
      <c r="AE270" s="1615">
        <v>-4</v>
      </c>
      <c r="AF270" s="1616">
        <v>-3</v>
      </c>
      <c r="AG270" s="1616">
        <v>-2</v>
      </c>
      <c r="AH270" s="1616">
        <v>-1</v>
      </c>
      <c r="AI270" s="1616"/>
      <c r="AJ270" s="1616"/>
      <c r="AK270" s="1616"/>
      <c r="AL270" s="1616"/>
      <c r="AM270" s="1616"/>
      <c r="AN270" s="1616"/>
      <c r="AO270" s="1616"/>
      <c r="AP270" s="1616"/>
      <c r="AQ270" s="1616"/>
      <c r="AR270" s="1616"/>
      <c r="AS270" s="1616"/>
      <c r="AT270" s="1616"/>
      <c r="AU270" s="1616"/>
      <c r="AV270" s="1616"/>
      <c r="AW270" s="1616"/>
      <c r="AX270" s="1616"/>
      <c r="AY270" s="1616"/>
      <c r="AZ270" s="1616"/>
      <c r="BA270" s="1616"/>
      <c r="BB270" s="1616"/>
      <c r="BC270" s="1616"/>
      <c r="BD270" s="1616"/>
      <c r="BE270" s="1616"/>
      <c r="BF270" s="1616"/>
      <c r="BG270" s="1616"/>
      <c r="BH270" s="1616"/>
      <c r="BI270" s="1616"/>
      <c r="BJ270" s="1616"/>
      <c r="BK270" s="1616"/>
      <c r="BL270" s="1616"/>
      <c r="BM270" s="1616"/>
      <c r="BN270" s="1616"/>
      <c r="BO270" s="1616"/>
      <c r="BP270" s="1616"/>
      <c r="BQ270" s="1616"/>
      <c r="BR270" s="1616"/>
      <c r="BS270" s="1616"/>
      <c r="BT270" s="1616"/>
      <c r="BU270" s="1616"/>
      <c r="BV270" s="1616"/>
      <c r="BW270" s="1616"/>
      <c r="BX270" s="1450"/>
      <c r="BY270" s="1450"/>
      <c r="BZ270" s="1159"/>
      <c r="CA270" s="1159"/>
      <c r="CB270" s="1159"/>
      <c r="CC270" s="1159"/>
      <c r="CD270" s="1159"/>
      <c r="CE270" s="1159"/>
      <c r="CF270" s="1159"/>
      <c r="CG270" s="1159"/>
      <c r="CH270" s="1159"/>
      <c r="CI270" s="1159"/>
      <c r="CJ270" s="1159"/>
      <c r="CK270" s="1159"/>
      <c r="CL270" s="1159"/>
      <c r="CM270" s="1159"/>
      <c r="CN270" s="1159"/>
      <c r="CO270" s="1159"/>
      <c r="CP270" s="1159"/>
      <c r="CQ270" s="44">
        <v>1</v>
      </c>
      <c r="CR270" s="44">
        <v>2</v>
      </c>
      <c r="CS270" s="44">
        <v>3</v>
      </c>
      <c r="CT270" s="44">
        <v>4</v>
      </c>
      <c r="CU270" s="44">
        <v>5</v>
      </c>
      <c r="CV270" s="44">
        <v>6</v>
      </c>
      <c r="CW270" s="44">
        <v>7</v>
      </c>
      <c r="CX270" s="44">
        <v>8</v>
      </c>
      <c r="CY270" s="44">
        <v>9</v>
      </c>
      <c r="CZ270" s="44">
        <v>10</v>
      </c>
      <c r="DA270" s="44">
        <v>11</v>
      </c>
      <c r="DB270" s="44">
        <v>12</v>
      </c>
      <c r="DC270" s="44">
        <v>13</v>
      </c>
      <c r="DD270" s="44">
        <v>14</v>
      </c>
      <c r="DE270" s="44">
        <v>15</v>
      </c>
      <c r="DF270" s="44">
        <v>16</v>
      </c>
      <c r="DG270" s="44">
        <v>17</v>
      </c>
      <c r="DH270" s="44">
        <v>18</v>
      </c>
      <c r="DI270" s="44">
        <v>19</v>
      </c>
      <c r="DJ270" s="44">
        <v>20</v>
      </c>
      <c r="DK270" s="44">
        <v>21</v>
      </c>
      <c r="DL270" s="44">
        <v>22</v>
      </c>
      <c r="DM270" s="44">
        <v>23</v>
      </c>
      <c r="DN270" s="44">
        <v>24</v>
      </c>
      <c r="DO270" s="44">
        <v>25</v>
      </c>
      <c r="DP270" s="44">
        <v>26</v>
      </c>
      <c r="DQ270" s="44">
        <v>27</v>
      </c>
      <c r="DR270" s="45">
        <v>28</v>
      </c>
      <c r="DS270" s="45">
        <v>29</v>
      </c>
      <c r="DT270" s="45">
        <v>30</v>
      </c>
      <c r="DU270" s="45">
        <v>31</v>
      </c>
      <c r="DV270" s="45">
        <v>32</v>
      </c>
      <c r="DW270" s="45">
        <v>33</v>
      </c>
      <c r="DX270" s="45">
        <v>34</v>
      </c>
      <c r="DY270" s="45">
        <v>35</v>
      </c>
      <c r="DZ270" s="45">
        <v>36</v>
      </c>
      <c r="EA270" s="45">
        <v>37</v>
      </c>
      <c r="EB270" s="45">
        <v>38</v>
      </c>
      <c r="EC270" s="45">
        <v>39</v>
      </c>
      <c r="ED270" s="45">
        <v>40</v>
      </c>
      <c r="EE270" s="45">
        <v>41</v>
      </c>
      <c r="EF270" s="45">
        <v>42</v>
      </c>
      <c r="EG270" s="45">
        <v>43</v>
      </c>
      <c r="EH270" s="45">
        <v>44</v>
      </c>
      <c r="EI270" s="45">
        <v>45</v>
      </c>
      <c r="EJ270" s="45">
        <v>46</v>
      </c>
      <c r="EK270" s="45">
        <v>47</v>
      </c>
      <c r="EL270" s="45">
        <v>48</v>
      </c>
      <c r="EM270" s="45">
        <v>49</v>
      </c>
      <c r="EN270" s="45">
        <v>50</v>
      </c>
      <c r="EO270" s="45">
        <v>51</v>
      </c>
      <c r="EP270" s="45">
        <v>52</v>
      </c>
      <c r="EQ270" s="45">
        <v>53</v>
      </c>
      <c r="ER270" s="45">
        <v>54</v>
      </c>
      <c r="ES270" s="45">
        <v>55</v>
      </c>
      <c r="ET270" s="45">
        <v>56</v>
      </c>
      <c r="EU270" s="45">
        <v>57</v>
      </c>
      <c r="EV270" s="45">
        <v>58</v>
      </c>
      <c r="EW270" s="45">
        <v>59</v>
      </c>
      <c r="EX270" s="45">
        <v>60</v>
      </c>
    </row>
    <row r="271" spans="1:154" ht="12" customHeight="1" x14ac:dyDescent="0.35">
      <c r="A271" s="1439">
        <f t="shared" si="98"/>
        <v>47756</v>
      </c>
      <c r="B271" s="82">
        <v>117</v>
      </c>
      <c r="C271" s="82"/>
      <c r="D271" s="1449">
        <f>SUM(Input!W1375:W1398)-E271</f>
        <v>0</v>
      </c>
      <c r="E271" s="1449">
        <f>IF(Years="Five",SUM(Input!W1387:W1398)*1/12,0)</f>
        <v>0</v>
      </c>
      <c r="F271" s="82"/>
      <c r="G271" s="1448"/>
      <c r="H271" s="1448"/>
      <c r="I271" s="1448"/>
      <c r="J271" s="1448"/>
      <c r="K271" s="1617"/>
      <c r="L271" s="1617"/>
      <c r="M271" s="1610"/>
      <c r="N271" s="1610"/>
      <c r="O271" s="1618"/>
      <c r="P271" s="1619"/>
      <c r="Q271" s="1620"/>
      <c r="R271" s="1620"/>
      <c r="S271" s="1620"/>
      <c r="T271" s="27"/>
      <c r="U271" s="1621"/>
      <c r="V271" s="1621"/>
      <c r="W271" s="1621"/>
      <c r="X271" s="32"/>
      <c r="Y271" s="59"/>
      <c r="Z271" s="59"/>
      <c r="AA271" s="59"/>
      <c r="AB271" s="59"/>
      <c r="AC271" s="59"/>
      <c r="AD271" s="59"/>
      <c r="AE271" s="59"/>
      <c r="AF271" s="1148"/>
      <c r="AG271" s="1148"/>
      <c r="AH271" s="1148"/>
      <c r="AI271" s="376"/>
      <c r="AJ271" s="376"/>
      <c r="AK271" s="376"/>
      <c r="AL271" s="376"/>
      <c r="AM271" s="376"/>
      <c r="AN271" s="376"/>
      <c r="AO271" s="376"/>
      <c r="AP271" s="376"/>
      <c r="AQ271" s="376"/>
      <c r="AR271" s="376"/>
      <c r="AS271" s="376"/>
      <c r="AT271" s="376"/>
      <c r="AU271" s="376"/>
      <c r="AV271" s="376"/>
      <c r="AW271" s="376"/>
      <c r="AX271" s="376"/>
      <c r="AY271" s="376"/>
      <c r="AZ271" s="376"/>
      <c r="BA271" s="376"/>
      <c r="BB271" s="376"/>
      <c r="BC271" s="376"/>
      <c r="BD271" s="376"/>
      <c r="BE271" s="376"/>
      <c r="BF271" s="376"/>
      <c r="BG271" s="376"/>
      <c r="BH271" s="376"/>
      <c r="BI271" s="376"/>
      <c r="BJ271" s="376"/>
      <c r="BK271" s="376"/>
      <c r="BL271" s="376"/>
      <c r="BM271" s="376"/>
      <c r="BN271" s="376"/>
      <c r="BO271" s="376"/>
      <c r="BP271" s="376"/>
      <c r="BQ271" s="376"/>
      <c r="BR271" s="376"/>
      <c r="BS271" s="376"/>
      <c r="BT271" s="376"/>
      <c r="BU271" s="376"/>
      <c r="BV271" s="376"/>
      <c r="BW271" s="376"/>
      <c r="BX271" s="144"/>
      <c r="BY271" s="144"/>
      <c r="BZ271" s="1141"/>
      <c r="CA271" s="1141"/>
      <c r="CB271" s="1141"/>
      <c r="CC271" s="1141"/>
      <c r="CD271" s="1141"/>
      <c r="CE271" s="1141"/>
      <c r="CF271" s="1141"/>
      <c r="CG271" s="1141"/>
      <c r="CH271" s="1141"/>
      <c r="CI271" s="1141"/>
      <c r="CJ271" s="1141"/>
      <c r="CK271" s="1141"/>
      <c r="CL271" s="1141"/>
      <c r="CM271" s="1141"/>
      <c r="CN271" s="1141"/>
      <c r="CO271" s="1141"/>
      <c r="CP271" s="1141"/>
      <c r="CQ271" s="1117"/>
      <c r="CR271" s="1117"/>
      <c r="CS271" s="1117"/>
      <c r="CT271" s="1117"/>
      <c r="CU271" s="1117"/>
      <c r="CV271" s="1117"/>
      <c r="CW271" s="1117"/>
      <c r="CX271" s="1117"/>
      <c r="CY271" s="1117"/>
      <c r="CZ271" s="1117"/>
      <c r="DA271" s="1117"/>
      <c r="DB271" s="1117"/>
      <c r="DC271" s="1117"/>
      <c r="DD271" s="1117"/>
      <c r="DE271" s="1117"/>
      <c r="DF271" s="1117"/>
      <c r="DG271" s="1117"/>
      <c r="DH271" s="1117"/>
      <c r="DI271" s="1117"/>
      <c r="DJ271" s="1117"/>
      <c r="DK271" s="1117"/>
      <c r="DL271" s="1117"/>
      <c r="DM271" s="1117"/>
      <c r="DN271" s="1117"/>
      <c r="DO271" s="1117"/>
      <c r="DP271" s="1117"/>
      <c r="DQ271" s="1117"/>
      <c r="DR271" s="39"/>
      <c r="DS271" s="39"/>
      <c r="DT271" s="39"/>
      <c r="DU271" s="39"/>
      <c r="DV271" s="39"/>
      <c r="DW271" s="39"/>
      <c r="DX271" s="39"/>
      <c r="DY271" s="39"/>
      <c r="DZ271" s="39"/>
      <c r="EA271" s="39"/>
      <c r="EB271" s="39"/>
      <c r="EC271" s="39"/>
      <c r="ED271" s="39"/>
      <c r="EE271" s="39"/>
      <c r="EF271" s="39"/>
      <c r="EG271" s="39"/>
      <c r="EH271" s="39"/>
      <c r="EI271" s="39"/>
      <c r="EJ271" s="39"/>
      <c r="EK271" s="39"/>
      <c r="EL271" s="39"/>
      <c r="EM271" s="39"/>
      <c r="EN271" s="39"/>
      <c r="EO271" s="39"/>
      <c r="EP271" s="39"/>
      <c r="EQ271" s="39"/>
      <c r="ER271" s="39"/>
      <c r="ES271" s="39"/>
      <c r="ET271" s="39"/>
      <c r="EU271" s="39"/>
      <c r="EV271" s="39"/>
      <c r="EW271" s="39"/>
      <c r="EX271" s="39"/>
    </row>
    <row r="272" spans="1:154" ht="12" customHeight="1" x14ac:dyDescent="0.35">
      <c r="A272" s="1439">
        <f t="shared" si="98"/>
        <v>47787</v>
      </c>
      <c r="B272" s="82">
        <v>118</v>
      </c>
      <c r="C272" s="82"/>
      <c r="D272" s="1449">
        <f>SUM(Input!W1376:W1399)-E272</f>
        <v>0</v>
      </c>
      <c r="E272" s="1449">
        <f>IF(Years="Five",SUM(Input!W1388:W1399)*1/12,0)</f>
        <v>0</v>
      </c>
      <c r="F272" s="82"/>
      <c r="G272" s="1448"/>
      <c r="H272" s="1448"/>
      <c r="I272" s="1448"/>
      <c r="J272" s="1448"/>
      <c r="K272" s="1617"/>
      <c r="L272" s="1617"/>
      <c r="M272" s="1610"/>
      <c r="N272" s="1610"/>
      <c r="O272" s="1618"/>
      <c r="P272" s="1619"/>
      <c r="Q272" s="1620"/>
      <c r="R272" s="1620"/>
      <c r="S272" s="1620"/>
      <c r="T272" s="27"/>
      <c r="U272" s="1621"/>
      <c r="V272" s="1621"/>
      <c r="W272" s="1621"/>
      <c r="X272" s="32"/>
      <c r="Y272" s="59"/>
      <c r="Z272" s="59"/>
      <c r="AA272" s="59"/>
      <c r="AB272" s="59"/>
      <c r="AC272" s="59"/>
      <c r="AD272" s="59"/>
      <c r="AE272" s="59"/>
      <c r="AF272" s="1148"/>
      <c r="AG272" s="1148"/>
      <c r="AH272" s="1148"/>
      <c r="AI272" s="376"/>
      <c r="AJ272" s="376"/>
      <c r="AK272" s="376"/>
      <c r="AL272" s="376"/>
      <c r="AM272" s="376"/>
      <c r="AN272" s="376"/>
      <c r="AO272" s="376"/>
      <c r="AP272" s="376"/>
      <c r="AQ272" s="376"/>
      <c r="AR272" s="376"/>
      <c r="AS272" s="376"/>
      <c r="AT272" s="376"/>
      <c r="AU272" s="376"/>
      <c r="AV272" s="376"/>
      <c r="AW272" s="376"/>
      <c r="AX272" s="376"/>
      <c r="AY272" s="376"/>
      <c r="AZ272" s="376"/>
      <c r="BA272" s="376"/>
      <c r="BB272" s="376"/>
      <c r="BC272" s="376"/>
      <c r="BD272" s="376"/>
      <c r="BE272" s="376"/>
      <c r="BF272" s="376"/>
      <c r="BG272" s="376"/>
      <c r="BH272" s="376"/>
      <c r="BI272" s="376"/>
      <c r="BJ272" s="376"/>
      <c r="BK272" s="376"/>
      <c r="BL272" s="376"/>
      <c r="BM272" s="376"/>
      <c r="BN272" s="376"/>
      <c r="BO272" s="376"/>
      <c r="BP272" s="376"/>
      <c r="BQ272" s="376"/>
      <c r="BR272" s="376"/>
      <c r="BS272" s="376"/>
      <c r="BT272" s="376"/>
      <c r="BU272" s="376"/>
      <c r="BV272" s="376"/>
      <c r="BW272" s="376"/>
      <c r="BX272" s="144"/>
      <c r="BY272" s="144"/>
      <c r="BZ272" s="1141"/>
      <c r="CA272" s="1141"/>
      <c r="CB272" s="1141"/>
      <c r="CC272" s="1141"/>
      <c r="CD272" s="1141"/>
      <c r="CE272" s="1141"/>
      <c r="CF272" s="1141"/>
      <c r="CG272" s="1141"/>
      <c r="CH272" s="1141"/>
      <c r="CI272" s="1141"/>
      <c r="CJ272" s="1141"/>
      <c r="CK272" s="1141"/>
      <c r="CL272" s="1141"/>
      <c r="CM272" s="1141"/>
      <c r="CN272" s="1141"/>
      <c r="CO272" s="1141"/>
      <c r="CP272" s="1141"/>
      <c r="CQ272" s="1117"/>
      <c r="CR272" s="1117"/>
      <c r="CS272" s="1117"/>
      <c r="CT272" s="1117"/>
      <c r="CU272" s="1117"/>
      <c r="CV272" s="1117"/>
      <c r="CW272" s="1117"/>
      <c r="CX272" s="1117"/>
      <c r="CY272" s="1117"/>
      <c r="CZ272" s="1117"/>
      <c r="DA272" s="1117"/>
      <c r="DB272" s="1117"/>
      <c r="DC272" s="1117"/>
      <c r="DD272" s="1117"/>
      <c r="DE272" s="1117"/>
      <c r="DF272" s="1117"/>
      <c r="DG272" s="1117"/>
      <c r="DH272" s="1117"/>
      <c r="DI272" s="1117"/>
      <c r="DJ272" s="1117"/>
      <c r="DK272" s="1117"/>
      <c r="DL272" s="1117"/>
      <c r="DM272" s="1117"/>
      <c r="DN272" s="1117"/>
      <c r="DO272" s="1117"/>
      <c r="DP272" s="1117"/>
      <c r="DQ272" s="1117"/>
      <c r="DR272" s="39"/>
      <c r="DS272" s="39"/>
      <c r="DT272" s="39"/>
      <c r="DU272" s="39"/>
      <c r="DV272" s="39"/>
      <c r="DW272" s="39"/>
      <c r="DX272" s="39"/>
      <c r="DY272" s="39"/>
      <c r="DZ272" s="39"/>
      <c r="EA272" s="39"/>
      <c r="EB272" s="39"/>
      <c r="EC272" s="39"/>
      <c r="ED272" s="39"/>
      <c r="EE272" s="39"/>
      <c r="EF272" s="39"/>
      <c r="EG272" s="39"/>
      <c r="EH272" s="39"/>
      <c r="EI272" s="39"/>
      <c r="EJ272" s="39"/>
      <c r="EK272" s="39"/>
      <c r="EL272" s="39"/>
      <c r="EM272" s="39"/>
      <c r="EN272" s="39"/>
      <c r="EO272" s="39"/>
      <c r="EP272" s="39"/>
      <c r="EQ272" s="39"/>
      <c r="ER272" s="39"/>
      <c r="ES272" s="39"/>
      <c r="ET272" s="39"/>
      <c r="EU272" s="39"/>
      <c r="EV272" s="39"/>
      <c r="EW272" s="39"/>
      <c r="EX272" s="39"/>
    </row>
    <row r="273" spans="1:154" ht="12" customHeight="1" x14ac:dyDescent="0.35">
      <c r="A273" s="1439">
        <f t="shared" si="98"/>
        <v>47817</v>
      </c>
      <c r="B273" s="82">
        <v>119</v>
      </c>
      <c r="C273" s="82"/>
      <c r="D273" s="1449">
        <f>SUM(Input!W1377:W1400)-E273</f>
        <v>0</v>
      </c>
      <c r="E273" s="1449">
        <f>IF(Years="Five",SUM(Input!W1389:W1400)*1/12,0)</f>
        <v>0</v>
      </c>
      <c r="F273" s="82"/>
      <c r="G273" s="1448"/>
      <c r="H273" s="1448"/>
      <c r="I273" s="1448"/>
      <c r="J273" s="1448"/>
      <c r="K273" s="1617"/>
      <c r="L273" s="1617"/>
      <c r="M273" s="1610"/>
      <c r="N273" s="1610"/>
      <c r="O273" s="1618"/>
      <c r="P273" s="1619"/>
      <c r="Q273" s="1620"/>
      <c r="R273" s="1620"/>
      <c r="S273" s="1620"/>
      <c r="T273" s="27"/>
      <c r="U273" s="1621"/>
      <c r="V273" s="1621"/>
      <c r="W273" s="1621"/>
      <c r="X273" s="32"/>
      <c r="Y273" s="59"/>
      <c r="Z273" s="59"/>
      <c r="AA273" s="59"/>
      <c r="AB273" s="59"/>
      <c r="AC273" s="59"/>
      <c r="AD273" s="59"/>
      <c r="AE273" s="59"/>
      <c r="AF273" s="1148"/>
      <c r="AG273" s="1148"/>
      <c r="AH273" s="1148"/>
      <c r="AI273" s="376"/>
      <c r="AJ273" s="376"/>
      <c r="AK273" s="376"/>
      <c r="AL273" s="376"/>
      <c r="AM273" s="376"/>
      <c r="AN273" s="376"/>
      <c r="AO273" s="376"/>
      <c r="AP273" s="376"/>
      <c r="AQ273" s="376"/>
      <c r="AR273" s="376"/>
      <c r="AS273" s="376"/>
      <c r="AT273" s="376"/>
      <c r="AU273" s="376"/>
      <c r="AV273" s="376"/>
      <c r="AW273" s="376"/>
      <c r="AX273" s="376"/>
      <c r="AY273" s="376"/>
      <c r="AZ273" s="376"/>
      <c r="BA273" s="376"/>
      <c r="BB273" s="376"/>
      <c r="BC273" s="376"/>
      <c r="BD273" s="376"/>
      <c r="BE273" s="376"/>
      <c r="BF273" s="376"/>
      <c r="BG273" s="376"/>
      <c r="BH273" s="376"/>
      <c r="BI273" s="376"/>
      <c r="BJ273" s="376"/>
      <c r="BK273" s="376"/>
      <c r="BL273" s="376"/>
      <c r="BM273" s="376"/>
      <c r="BN273" s="376"/>
      <c r="BO273" s="376"/>
      <c r="BP273" s="376"/>
      <c r="BQ273" s="376"/>
      <c r="BR273" s="376"/>
      <c r="BS273" s="376"/>
      <c r="BT273" s="376"/>
      <c r="BU273" s="376"/>
      <c r="BV273" s="376"/>
      <c r="BW273" s="376"/>
      <c r="BX273" s="144"/>
      <c r="BY273" s="144"/>
      <c r="BZ273" s="1141"/>
      <c r="CA273" s="1141"/>
      <c r="CB273" s="1141"/>
      <c r="CC273" s="1141"/>
      <c r="CD273" s="1141"/>
      <c r="CE273" s="1141"/>
      <c r="CF273" s="1141"/>
      <c r="CG273" s="1141"/>
      <c r="CH273" s="1141"/>
      <c r="CI273" s="1141"/>
      <c r="CJ273" s="1141"/>
      <c r="CK273" s="1141"/>
      <c r="CL273" s="1141"/>
      <c r="CM273" s="1141"/>
      <c r="CN273" s="1141"/>
      <c r="CO273" s="1141"/>
      <c r="CP273" s="1141"/>
      <c r="CQ273" s="1117"/>
      <c r="CR273" s="1117"/>
      <c r="CS273" s="1117"/>
      <c r="CT273" s="1117"/>
      <c r="CU273" s="1117"/>
      <c r="CV273" s="1117"/>
      <c r="CW273" s="1117"/>
      <c r="CX273" s="1117"/>
      <c r="CY273" s="1117"/>
      <c r="CZ273" s="1117"/>
      <c r="DA273" s="1117"/>
      <c r="DB273" s="1117"/>
      <c r="DC273" s="1117"/>
      <c r="DD273" s="1117"/>
      <c r="DE273" s="1117"/>
      <c r="DF273" s="1117"/>
      <c r="DG273" s="1117"/>
      <c r="DH273" s="1117"/>
      <c r="DI273" s="1117"/>
      <c r="DJ273" s="1117"/>
      <c r="DK273" s="1117"/>
      <c r="DL273" s="1117"/>
      <c r="DM273" s="1117"/>
      <c r="DN273" s="1117"/>
      <c r="DO273" s="1117"/>
      <c r="DP273" s="1117"/>
      <c r="DQ273" s="1117"/>
      <c r="DR273" s="39"/>
      <c r="DS273" s="39"/>
      <c r="DT273" s="39"/>
      <c r="DU273" s="39"/>
      <c r="DV273" s="39"/>
      <c r="DW273" s="39"/>
      <c r="DX273" s="39"/>
      <c r="DY273" s="39"/>
      <c r="DZ273" s="39"/>
      <c r="EA273" s="39"/>
      <c r="EB273" s="39"/>
      <c r="EC273" s="39"/>
      <c r="ED273" s="39"/>
      <c r="EE273" s="39"/>
      <c r="EF273" s="39"/>
      <c r="EG273" s="39"/>
      <c r="EH273" s="39"/>
      <c r="EI273" s="39"/>
      <c r="EJ273" s="39"/>
      <c r="EK273" s="39"/>
      <c r="EL273" s="39"/>
      <c r="EM273" s="39"/>
      <c r="EN273" s="39"/>
      <c r="EO273" s="39"/>
      <c r="EP273" s="39"/>
      <c r="EQ273" s="39"/>
      <c r="ER273" s="39"/>
      <c r="ES273" s="39"/>
      <c r="ET273" s="39"/>
      <c r="EU273" s="39"/>
      <c r="EV273" s="39"/>
      <c r="EW273" s="39"/>
      <c r="EX273" s="39"/>
    </row>
    <row r="274" spans="1:154" ht="12" customHeight="1" x14ac:dyDescent="0.35">
      <c r="A274" s="1439">
        <f t="shared" si="98"/>
        <v>47848</v>
      </c>
      <c r="B274" s="82">
        <v>120</v>
      </c>
      <c r="C274" s="82"/>
      <c r="D274" s="1449">
        <f>SUM(Input!W1378:W1401)-E274</f>
        <v>0</v>
      </c>
      <c r="E274" s="1449">
        <f>IF(Years="Five",SUM(Input!W1390:W1401)*1/12,0)</f>
        <v>0</v>
      </c>
      <c r="F274" s="82"/>
      <c r="G274" s="1448"/>
      <c r="H274" s="1448"/>
      <c r="I274" s="1448"/>
      <c r="J274" s="1448"/>
      <c r="K274" s="1617"/>
      <c r="L274" s="1617"/>
      <c r="M274" s="24"/>
      <c r="N274" s="1618"/>
      <c r="O274" s="1618"/>
      <c r="P274" s="1619"/>
      <c r="Q274" s="1620"/>
      <c r="R274" s="1620"/>
      <c r="S274" s="1620"/>
      <c r="T274" s="27"/>
      <c r="U274" s="1621"/>
      <c r="V274" s="1621"/>
      <c r="W274" s="1621"/>
      <c r="X274" s="32"/>
      <c r="Y274" s="59"/>
      <c r="Z274" s="59"/>
      <c r="AA274" s="59"/>
      <c r="AB274" s="59"/>
      <c r="AC274" s="59"/>
      <c r="AD274" s="59"/>
      <c r="AE274" s="59"/>
      <c r="AF274" s="1148"/>
      <c r="AG274" s="1148"/>
      <c r="AH274" s="1148"/>
      <c r="AI274" s="376"/>
      <c r="AJ274" s="376"/>
      <c r="AK274" s="376"/>
      <c r="AL274" s="376"/>
      <c r="AM274" s="376"/>
      <c r="AN274" s="376"/>
      <c r="AO274" s="376"/>
      <c r="AP274" s="376"/>
      <c r="AQ274" s="376"/>
      <c r="AR274" s="376"/>
      <c r="AS274" s="376"/>
      <c r="AT274" s="376"/>
      <c r="AU274" s="376"/>
      <c r="AV274" s="376"/>
      <c r="AW274" s="376"/>
      <c r="AX274" s="376"/>
      <c r="AY274" s="376"/>
      <c r="AZ274" s="376"/>
      <c r="BA274" s="376"/>
      <c r="BB274" s="376"/>
      <c r="BC274" s="376"/>
      <c r="BD274" s="376"/>
      <c r="BE274" s="376"/>
      <c r="BF274" s="376"/>
      <c r="BG274" s="376"/>
      <c r="BH274" s="376"/>
      <c r="BI274" s="376"/>
      <c r="BJ274" s="376"/>
      <c r="BK274" s="376"/>
      <c r="BL274" s="376"/>
      <c r="BM274" s="376"/>
      <c r="BN274" s="376"/>
      <c r="BO274" s="376"/>
      <c r="BP274" s="376"/>
      <c r="BQ274" s="376"/>
      <c r="BR274" s="376"/>
      <c r="BS274" s="376"/>
      <c r="BT274" s="376"/>
      <c r="BU274" s="376"/>
      <c r="BV274" s="376"/>
      <c r="BW274" s="376"/>
      <c r="BX274" s="144"/>
      <c r="BY274" s="144"/>
      <c r="BZ274" s="1141"/>
      <c r="CA274" s="1141"/>
      <c r="CB274" s="1141"/>
      <c r="CC274" s="1141"/>
      <c r="CD274" s="1141"/>
      <c r="CE274" s="1141"/>
      <c r="CF274" s="1141"/>
      <c r="CG274" s="1141"/>
      <c r="CH274" s="1141"/>
      <c r="CI274" s="1141"/>
      <c r="CJ274" s="1141"/>
      <c r="CK274" s="1141"/>
      <c r="CL274" s="1141"/>
      <c r="CM274" s="1141"/>
      <c r="CN274" s="1141"/>
      <c r="CO274" s="1141"/>
      <c r="CP274" s="1141"/>
      <c r="CQ274" s="1117"/>
      <c r="CR274" s="1117"/>
      <c r="CS274" s="1117"/>
      <c r="CT274" s="1117"/>
      <c r="CU274" s="1117"/>
      <c r="CV274" s="1117"/>
      <c r="CW274" s="1117"/>
      <c r="CX274" s="1117"/>
      <c r="CY274" s="1117"/>
      <c r="CZ274" s="1117"/>
      <c r="DA274" s="1117"/>
      <c r="DB274" s="1117"/>
      <c r="DC274" s="1117"/>
      <c r="DD274" s="1117"/>
      <c r="DE274" s="1117"/>
      <c r="DF274" s="1117"/>
      <c r="DG274" s="1117"/>
      <c r="DH274" s="1117"/>
      <c r="DI274" s="1117"/>
      <c r="DJ274" s="1117"/>
      <c r="DK274" s="1117"/>
      <c r="DL274" s="1117"/>
      <c r="DM274" s="1117"/>
      <c r="DN274" s="1117"/>
      <c r="DO274" s="1117"/>
      <c r="DP274" s="1117"/>
      <c r="DQ274" s="1117"/>
      <c r="DR274" s="39"/>
      <c r="DS274" s="39"/>
      <c r="DT274" s="39"/>
      <c r="DU274" s="39"/>
      <c r="DV274" s="39"/>
      <c r="DW274" s="39"/>
      <c r="DX274" s="39"/>
      <c r="DY274" s="39"/>
      <c r="DZ274" s="39"/>
      <c r="EA274" s="39"/>
      <c r="EB274" s="39"/>
      <c r="EC274" s="39"/>
      <c r="ED274" s="39"/>
      <c r="EE274" s="39"/>
      <c r="EF274" s="39"/>
      <c r="EG274" s="39"/>
      <c r="EH274" s="39"/>
      <c r="EI274" s="39"/>
      <c r="EJ274" s="39"/>
      <c r="EK274" s="39"/>
      <c r="EL274" s="39"/>
      <c r="EM274" s="39"/>
      <c r="EN274" s="39"/>
      <c r="EO274" s="39"/>
      <c r="EP274" s="39"/>
      <c r="EQ274" s="39"/>
      <c r="ER274" s="39"/>
      <c r="ES274" s="39"/>
      <c r="ET274" s="39"/>
      <c r="EU274" s="39"/>
      <c r="EV274" s="39"/>
      <c r="EW274" s="39"/>
      <c r="EX274" s="39"/>
    </row>
    <row r="275" spans="1:154" ht="12" customHeight="1" x14ac:dyDescent="0.35">
      <c r="A275" s="1287"/>
      <c r="B275" s="82"/>
      <c r="C275" s="82"/>
      <c r="D275" s="1449">
        <f>SUM(Input!W1379:W1402)-E275</f>
        <v>0</v>
      </c>
      <c r="E275" s="1449">
        <f>IF(Years="Five",SUM(Input!W1391:W1402)*1/12,0)</f>
        <v>0</v>
      </c>
      <c r="F275" s="82"/>
      <c r="G275" s="1448"/>
      <c r="H275" s="1448"/>
      <c r="I275" s="1448"/>
      <c r="J275" s="1448"/>
      <c r="K275" s="1612"/>
      <c r="L275" s="1612"/>
      <c r="M275" s="1622"/>
      <c r="N275" s="1611"/>
      <c r="O275" s="1611"/>
      <c r="P275" s="1623"/>
      <c r="Q275" s="1613"/>
      <c r="R275" s="1613"/>
      <c r="S275" s="1613"/>
      <c r="T275" s="1614"/>
      <c r="U275" s="1615"/>
      <c r="V275" s="1615"/>
      <c r="W275" s="1615"/>
      <c r="X275" s="32"/>
      <c r="Y275" s="59"/>
      <c r="Z275" s="59"/>
      <c r="AA275" s="59"/>
      <c r="AB275" s="59"/>
      <c r="AC275" s="59"/>
      <c r="AD275" s="59"/>
      <c r="AE275" s="59"/>
      <c r="AF275" s="1148"/>
      <c r="AG275" s="1148"/>
      <c r="AH275" s="1148"/>
      <c r="AI275" s="376"/>
      <c r="AJ275" s="376"/>
      <c r="AK275" s="376"/>
      <c r="AL275" s="376"/>
      <c r="AM275" s="376"/>
      <c r="AN275" s="376"/>
      <c r="AO275" s="376"/>
      <c r="AP275" s="376"/>
      <c r="AQ275" s="376"/>
      <c r="AR275" s="376"/>
      <c r="AS275" s="376"/>
      <c r="AT275" s="376"/>
      <c r="AU275" s="376"/>
      <c r="AV275" s="376"/>
      <c r="AW275" s="376"/>
      <c r="AX275" s="376"/>
      <c r="AY275" s="376"/>
      <c r="AZ275" s="376"/>
      <c r="BA275" s="376"/>
      <c r="BB275" s="376"/>
      <c r="BC275" s="376"/>
      <c r="BD275" s="376"/>
      <c r="BE275" s="376"/>
      <c r="BF275" s="376"/>
      <c r="BG275" s="376"/>
      <c r="BH275" s="376"/>
      <c r="BI275" s="376"/>
      <c r="BJ275" s="376"/>
      <c r="BK275" s="376"/>
      <c r="BL275" s="376"/>
      <c r="BM275" s="376"/>
      <c r="BN275" s="376"/>
      <c r="BO275" s="376"/>
      <c r="BP275" s="376"/>
      <c r="BQ275" s="376"/>
      <c r="BR275" s="376"/>
      <c r="BS275" s="376"/>
      <c r="BT275" s="376"/>
      <c r="BU275" s="376"/>
      <c r="BV275" s="376"/>
      <c r="BW275" s="376"/>
      <c r="BX275" s="144"/>
      <c r="BY275" s="144"/>
      <c r="BZ275" s="1141"/>
      <c r="CA275" s="1141"/>
      <c r="CB275" s="1141"/>
      <c r="CC275" s="1141"/>
      <c r="CD275" s="1141"/>
      <c r="CE275" s="1141"/>
      <c r="CF275" s="1141"/>
      <c r="CG275" s="1141"/>
      <c r="CH275" s="1141"/>
      <c r="CI275" s="1141"/>
      <c r="CJ275" s="1141"/>
      <c r="CK275" s="1141"/>
      <c r="CL275" s="1141"/>
      <c r="CM275" s="1141"/>
      <c r="CN275" s="1141"/>
      <c r="CO275" s="1141"/>
      <c r="CP275" s="1141"/>
      <c r="CQ275" s="1117"/>
      <c r="CR275" s="1117"/>
      <c r="CS275" s="1117"/>
      <c r="CT275" s="1117"/>
      <c r="CU275" s="1117"/>
      <c r="CV275" s="1117"/>
      <c r="CW275" s="1117"/>
      <c r="CX275" s="1117"/>
      <c r="CY275" s="1117"/>
      <c r="CZ275" s="1117"/>
      <c r="DA275" s="1117"/>
      <c r="DB275" s="1117"/>
      <c r="DC275" s="1117"/>
      <c r="DD275" s="1117"/>
      <c r="DE275" s="1117"/>
      <c r="DF275" s="1117"/>
      <c r="DG275" s="1117"/>
      <c r="DH275" s="1117"/>
      <c r="DI275" s="1117"/>
      <c r="DJ275" s="1117"/>
      <c r="DK275" s="1117"/>
      <c r="DL275" s="1117"/>
      <c r="DM275" s="1117"/>
      <c r="DN275" s="1117"/>
      <c r="DO275" s="1117"/>
      <c r="DP275" s="1117"/>
      <c r="DQ275" s="1117"/>
      <c r="DR275" s="39"/>
      <c r="DS275" s="39"/>
      <c r="DT275" s="39"/>
      <c r="DU275" s="39"/>
      <c r="DV275" s="39"/>
      <c r="DW275" s="39"/>
      <c r="DX275" s="39"/>
      <c r="DY275" s="39"/>
      <c r="DZ275" s="39"/>
      <c r="EA275" s="39"/>
      <c r="EB275" s="39"/>
      <c r="EC275" s="39"/>
      <c r="ED275" s="39"/>
      <c r="EE275" s="39"/>
      <c r="EF275" s="39"/>
      <c r="EG275" s="39"/>
      <c r="EH275" s="39"/>
      <c r="EI275" s="39"/>
      <c r="EJ275" s="39"/>
      <c r="EK275" s="39"/>
      <c r="EL275" s="39"/>
      <c r="EM275" s="39"/>
      <c r="EN275" s="39"/>
      <c r="EO275" s="39"/>
      <c r="EP275" s="39"/>
      <c r="EQ275" s="39"/>
      <c r="ER275" s="39"/>
      <c r="ES275" s="39"/>
      <c r="ET275" s="39"/>
      <c r="EU275" s="39"/>
      <c r="EV275" s="39"/>
      <c r="EW275" s="39"/>
      <c r="EX275" s="39"/>
    </row>
    <row r="276" spans="1:154" ht="12" customHeight="1" x14ac:dyDescent="0.35">
      <c r="A276" s="1287"/>
      <c r="B276" s="82"/>
      <c r="C276" s="82"/>
      <c r="D276" s="82"/>
      <c r="E276" s="82"/>
      <c r="F276" s="82"/>
      <c r="G276" s="1448"/>
      <c r="H276" s="1448"/>
      <c r="I276" s="1448"/>
      <c r="J276" s="1448"/>
      <c r="K276" s="1612"/>
      <c r="L276" s="1612"/>
      <c r="M276" s="1612"/>
      <c r="N276" s="1611"/>
      <c r="O276" s="1611"/>
      <c r="P276" s="1623"/>
      <c r="Q276" s="1613"/>
      <c r="R276" s="1613"/>
      <c r="S276" s="1613"/>
      <c r="T276" s="1614"/>
      <c r="U276" s="1615"/>
      <c r="V276" s="1615"/>
      <c r="W276" s="1615"/>
      <c r="X276" s="32" t="s">
        <v>415</v>
      </c>
      <c r="Y276" s="1261">
        <v>1</v>
      </c>
      <c r="Z276" s="1261">
        <v>2</v>
      </c>
      <c r="AA276" s="1261">
        <v>3</v>
      </c>
      <c r="AB276" s="1261">
        <v>4</v>
      </c>
      <c r="AC276" s="1261">
        <v>5</v>
      </c>
      <c r="AD276" s="1261">
        <v>6</v>
      </c>
      <c r="AE276" s="1261">
        <v>7</v>
      </c>
      <c r="AF276" s="1261">
        <v>8</v>
      </c>
      <c r="AG276" s="1261">
        <v>9</v>
      </c>
      <c r="AH276" s="1261">
        <v>10</v>
      </c>
      <c r="AI276" s="1261">
        <v>11</v>
      </c>
      <c r="AJ276" s="1261">
        <v>12</v>
      </c>
      <c r="AK276" s="1261">
        <v>13</v>
      </c>
      <c r="AL276" s="1261">
        <v>14</v>
      </c>
      <c r="AM276" s="1261">
        <v>15</v>
      </c>
      <c r="AN276" s="1261">
        <v>16</v>
      </c>
      <c r="AO276" s="1261">
        <v>17</v>
      </c>
      <c r="AP276" s="1261">
        <v>18</v>
      </c>
      <c r="AQ276" s="1261">
        <v>19</v>
      </c>
      <c r="AR276" s="1261">
        <v>20</v>
      </c>
      <c r="AS276" s="1261">
        <v>21</v>
      </c>
      <c r="AT276" s="1261">
        <v>22</v>
      </c>
      <c r="AU276" s="1261">
        <v>23</v>
      </c>
      <c r="AV276" s="1261">
        <v>24</v>
      </c>
      <c r="AW276" s="1261">
        <v>25</v>
      </c>
      <c r="AX276" s="1261">
        <v>26</v>
      </c>
      <c r="AY276" s="1261">
        <v>27</v>
      </c>
      <c r="AZ276" s="1261">
        <v>28</v>
      </c>
      <c r="BA276" s="1261">
        <v>29</v>
      </c>
      <c r="BB276" s="1261">
        <v>30</v>
      </c>
      <c r="BC276" s="1261">
        <v>31</v>
      </c>
      <c r="BD276" s="1261">
        <v>32</v>
      </c>
      <c r="BE276" s="1261">
        <v>33</v>
      </c>
      <c r="BF276" s="1261">
        <v>34</v>
      </c>
      <c r="BG276" s="1261">
        <v>35</v>
      </c>
      <c r="BH276" s="1261">
        <v>36</v>
      </c>
      <c r="BI276" s="1261">
        <v>37</v>
      </c>
      <c r="BJ276" s="1261">
        <v>38</v>
      </c>
      <c r="BK276" s="1261">
        <v>39</v>
      </c>
      <c r="BL276" s="1261">
        <v>40</v>
      </c>
      <c r="BM276" s="1261">
        <v>41</v>
      </c>
      <c r="BN276" s="1261">
        <v>42</v>
      </c>
      <c r="BO276" s="1261">
        <v>43</v>
      </c>
      <c r="BP276" s="1261">
        <v>44</v>
      </c>
      <c r="BQ276" s="1261">
        <v>45</v>
      </c>
      <c r="BR276" s="1261">
        <v>46</v>
      </c>
      <c r="BS276" s="1261">
        <v>47</v>
      </c>
      <c r="BT276" s="1261">
        <v>48</v>
      </c>
      <c r="BU276" s="1261">
        <v>49</v>
      </c>
      <c r="BV276" s="1261">
        <v>50</v>
      </c>
      <c r="BW276" s="1261">
        <v>51</v>
      </c>
      <c r="BX276" s="1452">
        <v>52</v>
      </c>
      <c r="BY276" s="1452">
        <v>53</v>
      </c>
      <c r="BZ276" s="1261">
        <v>54</v>
      </c>
      <c r="CA276" s="1261">
        <v>55</v>
      </c>
      <c r="CB276" s="1261">
        <v>56</v>
      </c>
      <c r="CC276" s="1261">
        <v>57</v>
      </c>
      <c r="CD276" s="1261">
        <v>58</v>
      </c>
      <c r="CE276" s="1261">
        <v>59</v>
      </c>
      <c r="CF276" s="1261">
        <v>60</v>
      </c>
      <c r="CG276" s="1261">
        <v>61</v>
      </c>
      <c r="CH276" s="1261">
        <v>62</v>
      </c>
      <c r="CI276" s="1261">
        <v>63</v>
      </c>
      <c r="CJ276" s="1261">
        <v>64</v>
      </c>
      <c r="CK276" s="1261">
        <v>65</v>
      </c>
      <c r="CL276" s="1261">
        <v>66</v>
      </c>
      <c r="CM276" s="1261">
        <v>67</v>
      </c>
      <c r="CN276" s="1261">
        <v>68</v>
      </c>
      <c r="CO276" s="1261">
        <v>69</v>
      </c>
      <c r="CP276" s="1261">
        <v>70</v>
      </c>
      <c r="CQ276" s="1261">
        <v>71</v>
      </c>
      <c r="CR276" s="1261">
        <v>72</v>
      </c>
      <c r="CS276" s="1261">
        <v>73</v>
      </c>
      <c r="CT276" s="1261">
        <v>74</v>
      </c>
      <c r="CU276" s="1261">
        <v>75</v>
      </c>
      <c r="CV276" s="1261">
        <v>76</v>
      </c>
      <c r="CW276" s="1261">
        <v>77</v>
      </c>
      <c r="CX276" s="1261">
        <v>78</v>
      </c>
      <c r="CY276" s="1261">
        <v>79</v>
      </c>
      <c r="CZ276" s="1261">
        <v>80</v>
      </c>
      <c r="DA276" s="1261">
        <v>81</v>
      </c>
      <c r="DB276" s="1261">
        <v>82</v>
      </c>
      <c r="DC276" s="1261">
        <v>83</v>
      </c>
      <c r="DD276" s="1261">
        <v>84</v>
      </c>
      <c r="DE276" s="1261">
        <v>85</v>
      </c>
      <c r="DF276" s="1261">
        <v>86</v>
      </c>
      <c r="DG276" s="1261">
        <v>87</v>
      </c>
      <c r="DH276" s="1261">
        <v>88</v>
      </c>
      <c r="DI276" s="1261">
        <v>89</v>
      </c>
      <c r="DJ276" s="1261">
        <v>90</v>
      </c>
      <c r="DK276" s="1261">
        <v>91</v>
      </c>
      <c r="DL276" s="1261">
        <v>92</v>
      </c>
      <c r="DM276" s="1261">
        <v>93</v>
      </c>
      <c r="DN276" s="1261">
        <v>94</v>
      </c>
      <c r="DO276" s="1261">
        <v>95</v>
      </c>
      <c r="DP276" s="1261">
        <v>96</v>
      </c>
      <c r="DQ276" s="1261">
        <v>97</v>
      </c>
      <c r="DR276" s="1261">
        <v>98</v>
      </c>
      <c r="DS276" s="1261">
        <v>99</v>
      </c>
      <c r="DT276" s="1261">
        <v>100</v>
      </c>
      <c r="DU276" s="1261">
        <v>101</v>
      </c>
      <c r="DV276" s="1261">
        <v>102</v>
      </c>
      <c r="DW276" s="1261">
        <v>103</v>
      </c>
      <c r="DX276" s="1261">
        <v>104</v>
      </c>
      <c r="DY276" s="1261">
        <v>105</v>
      </c>
      <c r="DZ276" s="1261">
        <v>106</v>
      </c>
      <c r="EA276" s="1261">
        <v>107</v>
      </c>
      <c r="EB276" s="1261">
        <v>108</v>
      </c>
      <c r="EC276" s="1261">
        <v>109</v>
      </c>
      <c r="ED276" s="1261">
        <v>110</v>
      </c>
      <c r="EE276" s="1261">
        <v>111</v>
      </c>
      <c r="EF276" s="1261">
        <v>112</v>
      </c>
      <c r="EG276" s="1261">
        <v>113</v>
      </c>
      <c r="EH276" s="1261">
        <v>114</v>
      </c>
      <c r="EI276" s="1261">
        <v>115</v>
      </c>
      <c r="EJ276" s="1261">
        <v>116</v>
      </c>
      <c r="EK276" s="1261">
        <v>117</v>
      </c>
      <c r="EL276" s="1261">
        <v>118</v>
      </c>
      <c r="EM276" s="1261">
        <v>119</v>
      </c>
      <c r="EN276" s="1261">
        <v>120</v>
      </c>
      <c r="EO276" s="39">
        <v>51</v>
      </c>
      <c r="EP276" s="39">
        <v>52</v>
      </c>
      <c r="EQ276" s="39">
        <v>53</v>
      </c>
      <c r="ER276" s="39">
        <v>54</v>
      </c>
      <c r="ES276" s="39">
        <v>55</v>
      </c>
      <c r="ET276" s="39">
        <v>56</v>
      </c>
      <c r="EU276" s="39">
        <v>57</v>
      </c>
      <c r="EV276" s="39">
        <v>58</v>
      </c>
      <c r="EW276" s="39">
        <v>59</v>
      </c>
      <c r="EX276" s="39">
        <v>60</v>
      </c>
    </row>
    <row r="277" spans="1:154" ht="12" customHeight="1" thickBot="1" x14ac:dyDescent="0.4">
      <c r="A277" s="1287"/>
      <c r="B277" s="82"/>
      <c r="C277" s="82"/>
      <c r="D277" s="82"/>
      <c r="E277" s="82"/>
      <c r="F277" s="82"/>
      <c r="G277" s="1448"/>
      <c r="H277" s="1448"/>
      <c r="I277" s="1448"/>
      <c r="J277" s="1448"/>
      <c r="K277" s="1624"/>
      <c r="L277" s="1625" t="s">
        <v>416</v>
      </c>
      <c r="M277" s="1626" t="s">
        <v>161</v>
      </c>
      <c r="N277" s="1625" t="s">
        <v>165</v>
      </c>
      <c r="O277" s="1625" t="s">
        <v>166</v>
      </c>
      <c r="P277" s="1627"/>
      <c r="Q277" s="1625" t="s">
        <v>416</v>
      </c>
      <c r="R277" s="1628" t="s">
        <v>161</v>
      </c>
      <c r="S277" s="1624" t="s">
        <v>165</v>
      </c>
      <c r="T277" s="1624" t="s">
        <v>417</v>
      </c>
      <c r="U277" s="1616"/>
      <c r="V277" s="1616"/>
      <c r="W277" s="1616"/>
      <c r="X277" s="1616"/>
      <c r="Y277" s="1629">
        <f>Infrastructure!D10</f>
        <v>0</v>
      </c>
      <c r="Z277" s="1629">
        <f>EOMONTH(Y277,1)</f>
        <v>59</v>
      </c>
      <c r="AA277" s="1629">
        <f t="shared" ref="AA277:CL277" si="99">EOMONTH(Z277,1)</f>
        <v>91</v>
      </c>
      <c r="AB277" s="1629">
        <f t="shared" si="99"/>
        <v>121</v>
      </c>
      <c r="AC277" s="1629">
        <f t="shared" si="99"/>
        <v>152</v>
      </c>
      <c r="AD277" s="1629">
        <f t="shared" si="99"/>
        <v>182</v>
      </c>
      <c r="AE277" s="1629">
        <f t="shared" si="99"/>
        <v>213</v>
      </c>
      <c r="AF277" s="1629">
        <f t="shared" si="99"/>
        <v>244</v>
      </c>
      <c r="AG277" s="1629">
        <f t="shared" si="99"/>
        <v>274</v>
      </c>
      <c r="AH277" s="1629">
        <f t="shared" si="99"/>
        <v>305</v>
      </c>
      <c r="AI277" s="1629">
        <f t="shared" si="99"/>
        <v>335</v>
      </c>
      <c r="AJ277" s="1629">
        <f t="shared" si="99"/>
        <v>366</v>
      </c>
      <c r="AK277" s="1629">
        <f t="shared" si="99"/>
        <v>397</v>
      </c>
      <c r="AL277" s="1629">
        <f t="shared" si="99"/>
        <v>425</v>
      </c>
      <c r="AM277" s="1629">
        <f t="shared" si="99"/>
        <v>456</v>
      </c>
      <c r="AN277" s="1629">
        <f t="shared" si="99"/>
        <v>486</v>
      </c>
      <c r="AO277" s="1629">
        <f t="shared" si="99"/>
        <v>517</v>
      </c>
      <c r="AP277" s="1629">
        <f t="shared" si="99"/>
        <v>547</v>
      </c>
      <c r="AQ277" s="1629">
        <f t="shared" si="99"/>
        <v>578</v>
      </c>
      <c r="AR277" s="1629">
        <f t="shared" si="99"/>
        <v>609</v>
      </c>
      <c r="AS277" s="1629">
        <f t="shared" si="99"/>
        <v>639</v>
      </c>
      <c r="AT277" s="1629">
        <f t="shared" si="99"/>
        <v>670</v>
      </c>
      <c r="AU277" s="1629">
        <f t="shared" si="99"/>
        <v>700</v>
      </c>
      <c r="AV277" s="1629">
        <f t="shared" si="99"/>
        <v>731</v>
      </c>
      <c r="AW277" s="1629">
        <f t="shared" si="99"/>
        <v>762</v>
      </c>
      <c r="AX277" s="1629">
        <f t="shared" si="99"/>
        <v>790</v>
      </c>
      <c r="AY277" s="1629">
        <f t="shared" si="99"/>
        <v>821</v>
      </c>
      <c r="AZ277" s="1629">
        <f t="shared" si="99"/>
        <v>851</v>
      </c>
      <c r="BA277" s="1629">
        <f t="shared" si="99"/>
        <v>882</v>
      </c>
      <c r="BB277" s="1629">
        <f t="shared" si="99"/>
        <v>912</v>
      </c>
      <c r="BC277" s="1629">
        <f t="shared" si="99"/>
        <v>943</v>
      </c>
      <c r="BD277" s="1629">
        <f t="shared" si="99"/>
        <v>974</v>
      </c>
      <c r="BE277" s="1629">
        <f t="shared" si="99"/>
        <v>1004</v>
      </c>
      <c r="BF277" s="1629">
        <f t="shared" si="99"/>
        <v>1035</v>
      </c>
      <c r="BG277" s="1629">
        <f t="shared" si="99"/>
        <v>1065</v>
      </c>
      <c r="BH277" s="1629">
        <f t="shared" si="99"/>
        <v>1096</v>
      </c>
      <c r="BI277" s="1629">
        <f t="shared" si="99"/>
        <v>1127</v>
      </c>
      <c r="BJ277" s="1629">
        <f t="shared" si="99"/>
        <v>1155</v>
      </c>
      <c r="BK277" s="1629">
        <f t="shared" si="99"/>
        <v>1186</v>
      </c>
      <c r="BL277" s="1629">
        <f t="shared" si="99"/>
        <v>1216</v>
      </c>
      <c r="BM277" s="1629">
        <f t="shared" si="99"/>
        <v>1247</v>
      </c>
      <c r="BN277" s="1629">
        <f t="shared" si="99"/>
        <v>1277</v>
      </c>
      <c r="BO277" s="1629">
        <f t="shared" si="99"/>
        <v>1308</v>
      </c>
      <c r="BP277" s="1629">
        <f t="shared" si="99"/>
        <v>1339</v>
      </c>
      <c r="BQ277" s="1629">
        <f t="shared" si="99"/>
        <v>1369</v>
      </c>
      <c r="BR277" s="1629">
        <f t="shared" si="99"/>
        <v>1400</v>
      </c>
      <c r="BS277" s="1629">
        <f t="shared" si="99"/>
        <v>1430</v>
      </c>
      <c r="BT277" s="1629">
        <f t="shared" si="99"/>
        <v>1461</v>
      </c>
      <c r="BU277" s="1629">
        <f t="shared" si="99"/>
        <v>1492</v>
      </c>
      <c r="BV277" s="1629">
        <f t="shared" si="99"/>
        <v>1521</v>
      </c>
      <c r="BW277" s="1629">
        <f t="shared" si="99"/>
        <v>1552</v>
      </c>
      <c r="BX277" s="1453">
        <f t="shared" si="99"/>
        <v>1582</v>
      </c>
      <c r="BY277" s="1453">
        <f t="shared" si="99"/>
        <v>1613</v>
      </c>
      <c r="BZ277" s="1118">
        <f t="shared" si="99"/>
        <v>1643</v>
      </c>
      <c r="CA277" s="1118">
        <f t="shared" si="99"/>
        <v>1674</v>
      </c>
      <c r="CB277" s="1118">
        <f t="shared" si="99"/>
        <v>1705</v>
      </c>
      <c r="CC277" s="1118">
        <f t="shared" si="99"/>
        <v>1735</v>
      </c>
      <c r="CD277" s="1118">
        <f t="shared" si="99"/>
        <v>1766</v>
      </c>
      <c r="CE277" s="1118">
        <f t="shared" si="99"/>
        <v>1796</v>
      </c>
      <c r="CF277" s="1118">
        <f t="shared" si="99"/>
        <v>1827</v>
      </c>
      <c r="CG277" s="1118">
        <f t="shared" si="99"/>
        <v>1858</v>
      </c>
      <c r="CH277" s="1118">
        <f t="shared" si="99"/>
        <v>1886</v>
      </c>
      <c r="CI277" s="1118">
        <f t="shared" si="99"/>
        <v>1917</v>
      </c>
      <c r="CJ277" s="1118">
        <f t="shared" si="99"/>
        <v>1947</v>
      </c>
      <c r="CK277" s="1118">
        <f t="shared" si="99"/>
        <v>1978</v>
      </c>
      <c r="CL277" s="1118">
        <f t="shared" si="99"/>
        <v>2008</v>
      </c>
      <c r="CM277" s="1118">
        <f t="shared" ref="CM277:DQ277" si="100">EOMONTH(CL277,1)</f>
        <v>2039</v>
      </c>
      <c r="CN277" s="1118">
        <f t="shared" si="100"/>
        <v>2070</v>
      </c>
      <c r="CO277" s="1118">
        <f t="shared" si="100"/>
        <v>2100</v>
      </c>
      <c r="CP277" s="1118">
        <f t="shared" si="100"/>
        <v>2131</v>
      </c>
      <c r="CQ277" s="1118">
        <f t="shared" si="100"/>
        <v>2161</v>
      </c>
      <c r="CR277" s="1118">
        <f t="shared" si="100"/>
        <v>2192</v>
      </c>
      <c r="CS277" s="1118">
        <f t="shared" si="100"/>
        <v>2223</v>
      </c>
      <c r="CT277" s="1118">
        <f t="shared" si="100"/>
        <v>2251</v>
      </c>
      <c r="CU277" s="1118">
        <f t="shared" si="100"/>
        <v>2282</v>
      </c>
      <c r="CV277" s="1118">
        <f t="shared" si="100"/>
        <v>2312</v>
      </c>
      <c r="CW277" s="1118">
        <f t="shared" si="100"/>
        <v>2343</v>
      </c>
      <c r="CX277" s="1118">
        <f t="shared" si="100"/>
        <v>2373</v>
      </c>
      <c r="CY277" s="1118">
        <f t="shared" si="100"/>
        <v>2404</v>
      </c>
      <c r="CZ277" s="1118">
        <f t="shared" si="100"/>
        <v>2435</v>
      </c>
      <c r="DA277" s="1118">
        <f t="shared" si="100"/>
        <v>2465</v>
      </c>
      <c r="DB277" s="1118">
        <f t="shared" si="100"/>
        <v>2496</v>
      </c>
      <c r="DC277" s="1118">
        <f t="shared" si="100"/>
        <v>2526</v>
      </c>
      <c r="DD277" s="1118">
        <f t="shared" si="100"/>
        <v>2557</v>
      </c>
      <c r="DE277" s="1118">
        <f t="shared" si="100"/>
        <v>2588</v>
      </c>
      <c r="DF277" s="1118">
        <f t="shared" si="100"/>
        <v>2616</v>
      </c>
      <c r="DG277" s="1118">
        <f t="shared" si="100"/>
        <v>2647</v>
      </c>
      <c r="DH277" s="1118">
        <f t="shared" si="100"/>
        <v>2677</v>
      </c>
      <c r="DI277" s="1118">
        <f t="shared" si="100"/>
        <v>2708</v>
      </c>
      <c r="DJ277" s="1118">
        <f t="shared" si="100"/>
        <v>2738</v>
      </c>
      <c r="DK277" s="1118">
        <f t="shared" si="100"/>
        <v>2769</v>
      </c>
      <c r="DL277" s="1118">
        <f t="shared" si="100"/>
        <v>2800</v>
      </c>
      <c r="DM277" s="1118">
        <f t="shared" si="100"/>
        <v>2830</v>
      </c>
      <c r="DN277" s="1118">
        <f t="shared" si="100"/>
        <v>2861</v>
      </c>
      <c r="DO277" s="1118">
        <f t="shared" si="100"/>
        <v>2891</v>
      </c>
      <c r="DP277" s="1118">
        <f t="shared" si="100"/>
        <v>2922</v>
      </c>
      <c r="DQ277" s="1118">
        <f t="shared" si="100"/>
        <v>2953</v>
      </c>
      <c r="DR277" s="1118">
        <f>EOMONTH(DQ277,1)</f>
        <v>2982</v>
      </c>
      <c r="DS277" s="1118">
        <f t="shared" ref="DS277:EN277" si="101">EOMONTH(DR277,1)</f>
        <v>3013</v>
      </c>
      <c r="DT277" s="1118">
        <f t="shared" si="101"/>
        <v>3043</v>
      </c>
      <c r="DU277" s="1118">
        <f t="shared" si="101"/>
        <v>3074</v>
      </c>
      <c r="DV277" s="1118">
        <f t="shared" si="101"/>
        <v>3104</v>
      </c>
      <c r="DW277" s="1118">
        <f t="shared" si="101"/>
        <v>3135</v>
      </c>
      <c r="DX277" s="1118">
        <f t="shared" si="101"/>
        <v>3166</v>
      </c>
      <c r="DY277" s="1118">
        <f t="shared" si="101"/>
        <v>3196</v>
      </c>
      <c r="DZ277" s="1118">
        <f t="shared" si="101"/>
        <v>3227</v>
      </c>
      <c r="EA277" s="1118">
        <f t="shared" si="101"/>
        <v>3257</v>
      </c>
      <c r="EB277" s="1118">
        <f t="shared" si="101"/>
        <v>3288</v>
      </c>
      <c r="EC277" s="1118">
        <f t="shared" si="101"/>
        <v>3319</v>
      </c>
      <c r="ED277" s="1118">
        <f t="shared" si="101"/>
        <v>3347</v>
      </c>
      <c r="EE277" s="1118">
        <f t="shared" si="101"/>
        <v>3378</v>
      </c>
      <c r="EF277" s="1118">
        <f t="shared" si="101"/>
        <v>3408</v>
      </c>
      <c r="EG277" s="1118">
        <f t="shared" si="101"/>
        <v>3439</v>
      </c>
      <c r="EH277" s="1118">
        <f t="shared" si="101"/>
        <v>3469</v>
      </c>
      <c r="EI277" s="1118">
        <f t="shared" si="101"/>
        <v>3500</v>
      </c>
      <c r="EJ277" s="1118">
        <f t="shared" si="101"/>
        <v>3531</v>
      </c>
      <c r="EK277" s="1118">
        <f t="shared" si="101"/>
        <v>3561</v>
      </c>
      <c r="EL277" s="1118">
        <f t="shared" si="101"/>
        <v>3592</v>
      </c>
      <c r="EM277" s="1118">
        <f t="shared" si="101"/>
        <v>3622</v>
      </c>
      <c r="EN277" s="1118">
        <f t="shared" si="101"/>
        <v>3653</v>
      </c>
      <c r="EO277" s="39">
        <v>51</v>
      </c>
      <c r="EP277" s="39">
        <v>51</v>
      </c>
      <c r="EQ277" s="39">
        <v>51</v>
      </c>
      <c r="ER277" s="39">
        <v>51</v>
      </c>
      <c r="ES277" s="39">
        <v>51</v>
      </c>
      <c r="ET277" s="39">
        <v>51</v>
      </c>
      <c r="EU277" s="39">
        <v>51</v>
      </c>
      <c r="EV277" s="39">
        <v>51</v>
      </c>
      <c r="EW277" s="39">
        <v>51</v>
      </c>
      <c r="EX277" s="39">
        <v>51</v>
      </c>
    </row>
    <row r="278" spans="1:154" ht="12" customHeight="1" x14ac:dyDescent="0.35">
      <c r="A278" s="67">
        <v>1</v>
      </c>
      <c r="B278" s="1438">
        <f>EOMONTH(I100,0)</f>
        <v>31</v>
      </c>
      <c r="C278" s="1440">
        <v>1</v>
      </c>
      <c r="D278" s="67"/>
      <c r="E278" s="67"/>
      <c r="F278" s="82"/>
      <c r="G278" s="1448"/>
      <c r="H278" s="1448"/>
      <c r="I278" s="1448"/>
      <c r="J278" s="1448"/>
      <c r="K278" s="1630">
        <v>1</v>
      </c>
      <c r="L278" s="1631">
        <f>Input!D239</f>
        <v>0</v>
      </c>
      <c r="M278" s="1632">
        <f>IF(Input!$F$238&gt;=$K278,Input!G239,0)</f>
        <v>0</v>
      </c>
      <c r="N278" s="1633">
        <f>Input!H239</f>
        <v>0</v>
      </c>
      <c r="O278" s="1634">
        <f>Input!I239</f>
        <v>0</v>
      </c>
      <c r="P278" s="1630">
        <f t="shared" ref="P278:P297" si="102">K278</f>
        <v>1</v>
      </c>
      <c r="Q278" s="1635">
        <f>Input!D262</f>
        <v>0</v>
      </c>
      <c r="R278" s="1632">
        <f>IF(Input!$F$261&gt;=$K278,Input!G262,0)</f>
        <v>0</v>
      </c>
      <c r="S278" s="1633">
        <f>Input!H262</f>
        <v>0</v>
      </c>
      <c r="T278" s="1634">
        <f>Input!I262</f>
        <v>0</v>
      </c>
      <c r="U278" s="1621"/>
      <c r="V278" s="1636">
        <f t="shared" ref="V278:V297" si="103">N278</f>
        <v>0</v>
      </c>
      <c r="W278" s="1636">
        <f t="shared" ref="W278:W297" si="104">S278</f>
        <v>0</v>
      </c>
      <c r="X278" s="381">
        <f t="shared" ref="X278:X297" si="105">IF(L278&lt;&gt;"",L278,P278)</f>
        <v>0</v>
      </c>
      <c r="Y278" s="1637">
        <f>IF(OR($M278=0,$N278=0),0,IF($N278=Y$277,$M278,0))</f>
        <v>0</v>
      </c>
      <c r="Z278" s="1638">
        <f t="shared" ref="Z278:CK279" si="106">IF(OR($M278=0,$N278=0),0,IF($N278=Z$277,$M278,0))</f>
        <v>0</v>
      </c>
      <c r="AA278" s="1638">
        <f t="shared" si="106"/>
        <v>0</v>
      </c>
      <c r="AB278" s="1638">
        <f t="shared" si="106"/>
        <v>0</v>
      </c>
      <c r="AC278" s="1638">
        <f t="shared" si="106"/>
        <v>0</v>
      </c>
      <c r="AD278" s="1638">
        <f t="shared" si="106"/>
        <v>0</v>
      </c>
      <c r="AE278" s="1638">
        <f t="shared" si="106"/>
        <v>0</v>
      </c>
      <c r="AF278" s="1639">
        <f t="shared" si="106"/>
        <v>0</v>
      </c>
      <c r="AG278" s="1639">
        <f t="shared" si="106"/>
        <v>0</v>
      </c>
      <c r="AH278" s="1639">
        <f t="shared" si="106"/>
        <v>0</v>
      </c>
      <c r="AI278" s="1639">
        <f t="shared" si="106"/>
        <v>0</v>
      </c>
      <c r="AJ278" s="1639">
        <f t="shared" si="106"/>
        <v>0</v>
      </c>
      <c r="AK278" s="1639">
        <f t="shared" si="106"/>
        <v>0</v>
      </c>
      <c r="AL278" s="1639">
        <f t="shared" si="106"/>
        <v>0</v>
      </c>
      <c r="AM278" s="1639">
        <f t="shared" si="106"/>
        <v>0</v>
      </c>
      <c r="AN278" s="1639">
        <f t="shared" si="106"/>
        <v>0</v>
      </c>
      <c r="AO278" s="1639">
        <f t="shared" si="106"/>
        <v>0</v>
      </c>
      <c r="AP278" s="1639">
        <f t="shared" si="106"/>
        <v>0</v>
      </c>
      <c r="AQ278" s="1639">
        <f t="shared" si="106"/>
        <v>0</v>
      </c>
      <c r="AR278" s="1639">
        <f t="shared" si="106"/>
        <v>0</v>
      </c>
      <c r="AS278" s="1639">
        <f t="shared" si="106"/>
        <v>0</v>
      </c>
      <c r="AT278" s="1639">
        <f t="shared" si="106"/>
        <v>0</v>
      </c>
      <c r="AU278" s="1639">
        <f t="shared" si="106"/>
        <v>0</v>
      </c>
      <c r="AV278" s="1639">
        <f t="shared" si="106"/>
        <v>0</v>
      </c>
      <c r="AW278" s="1639">
        <f t="shared" si="106"/>
        <v>0</v>
      </c>
      <c r="AX278" s="1639">
        <f t="shared" si="106"/>
        <v>0</v>
      </c>
      <c r="AY278" s="1639">
        <f t="shared" si="106"/>
        <v>0</v>
      </c>
      <c r="AZ278" s="1639">
        <f t="shared" si="106"/>
        <v>0</v>
      </c>
      <c r="BA278" s="1639">
        <f t="shared" si="106"/>
        <v>0</v>
      </c>
      <c r="BB278" s="1639">
        <f t="shared" si="106"/>
        <v>0</v>
      </c>
      <c r="BC278" s="1639">
        <f t="shared" si="106"/>
        <v>0</v>
      </c>
      <c r="BD278" s="1639">
        <f t="shared" si="106"/>
        <v>0</v>
      </c>
      <c r="BE278" s="1639">
        <f t="shared" si="106"/>
        <v>0</v>
      </c>
      <c r="BF278" s="1639">
        <f t="shared" si="106"/>
        <v>0</v>
      </c>
      <c r="BG278" s="1639">
        <f t="shared" si="106"/>
        <v>0</v>
      </c>
      <c r="BH278" s="1639">
        <f t="shared" si="106"/>
        <v>0</v>
      </c>
      <c r="BI278" s="1639">
        <f t="shared" si="106"/>
        <v>0</v>
      </c>
      <c r="BJ278" s="1639">
        <f t="shared" si="106"/>
        <v>0</v>
      </c>
      <c r="BK278" s="1639">
        <f t="shared" si="106"/>
        <v>0</v>
      </c>
      <c r="BL278" s="1639">
        <f t="shared" si="106"/>
        <v>0</v>
      </c>
      <c r="BM278" s="1639">
        <f t="shared" si="106"/>
        <v>0</v>
      </c>
      <c r="BN278" s="1639">
        <f t="shared" si="106"/>
        <v>0</v>
      </c>
      <c r="BO278" s="1639">
        <f t="shared" si="106"/>
        <v>0</v>
      </c>
      <c r="BP278" s="1639">
        <f t="shared" si="106"/>
        <v>0</v>
      </c>
      <c r="BQ278" s="1639">
        <f t="shared" si="106"/>
        <v>0</v>
      </c>
      <c r="BR278" s="1639">
        <f t="shared" si="106"/>
        <v>0</v>
      </c>
      <c r="BS278" s="1639">
        <f t="shared" si="106"/>
        <v>0</v>
      </c>
      <c r="BT278" s="1639">
        <f t="shared" si="106"/>
        <v>0</v>
      </c>
      <c r="BU278" s="1639">
        <f t="shared" si="106"/>
        <v>0</v>
      </c>
      <c r="BV278" s="1639">
        <f t="shared" si="106"/>
        <v>0</v>
      </c>
      <c r="BW278" s="1639">
        <f t="shared" si="106"/>
        <v>0</v>
      </c>
      <c r="BX278" s="1456">
        <f t="shared" si="106"/>
        <v>0</v>
      </c>
      <c r="BY278" s="1456">
        <f t="shared" si="106"/>
        <v>0</v>
      </c>
      <c r="BZ278" s="1161">
        <f t="shared" si="106"/>
        <v>0</v>
      </c>
      <c r="CA278" s="1161">
        <f t="shared" si="106"/>
        <v>0</v>
      </c>
      <c r="CB278" s="1161">
        <f t="shared" si="106"/>
        <v>0</v>
      </c>
      <c r="CC278" s="1161">
        <f t="shared" si="106"/>
        <v>0</v>
      </c>
      <c r="CD278" s="1161">
        <f t="shared" si="106"/>
        <v>0</v>
      </c>
      <c r="CE278" s="1161">
        <f t="shared" si="106"/>
        <v>0</v>
      </c>
      <c r="CF278" s="1161">
        <f t="shared" si="106"/>
        <v>0</v>
      </c>
      <c r="CG278" s="1161">
        <f t="shared" si="106"/>
        <v>0</v>
      </c>
      <c r="CH278" s="1161">
        <f t="shared" si="106"/>
        <v>0</v>
      </c>
      <c r="CI278" s="1161">
        <f t="shared" si="106"/>
        <v>0</v>
      </c>
      <c r="CJ278" s="1161">
        <f t="shared" si="106"/>
        <v>0</v>
      </c>
      <c r="CK278" s="1161">
        <f t="shared" si="106"/>
        <v>0</v>
      </c>
      <c r="CL278" s="1161">
        <f t="shared" ref="CL278:EN282" si="107">IF(OR($M278=0,$N278=0),0,IF($N278=CL$277,$M278,0))</f>
        <v>0</v>
      </c>
      <c r="CM278" s="1161">
        <f t="shared" si="107"/>
        <v>0</v>
      </c>
      <c r="CN278" s="1161">
        <f t="shared" si="107"/>
        <v>0</v>
      </c>
      <c r="CO278" s="1161">
        <f t="shared" si="107"/>
        <v>0</v>
      </c>
      <c r="CP278" s="1161">
        <f t="shared" si="107"/>
        <v>0</v>
      </c>
      <c r="CQ278" s="1119">
        <f t="shared" si="107"/>
        <v>0</v>
      </c>
      <c r="CR278" s="1119">
        <f t="shared" si="107"/>
        <v>0</v>
      </c>
      <c r="CS278" s="1119">
        <f t="shared" si="107"/>
        <v>0</v>
      </c>
      <c r="CT278" s="1119">
        <f t="shared" si="107"/>
        <v>0</v>
      </c>
      <c r="CU278" s="1119">
        <f t="shared" si="107"/>
        <v>0</v>
      </c>
      <c r="CV278" s="1119">
        <f t="shared" si="107"/>
        <v>0</v>
      </c>
      <c r="CW278" s="1119">
        <f t="shared" si="107"/>
        <v>0</v>
      </c>
      <c r="CX278" s="1119">
        <f t="shared" si="107"/>
        <v>0</v>
      </c>
      <c r="CY278" s="1119">
        <f t="shared" si="107"/>
        <v>0</v>
      </c>
      <c r="CZ278" s="1119">
        <f t="shared" si="107"/>
        <v>0</v>
      </c>
      <c r="DA278" s="1119">
        <f t="shared" si="107"/>
        <v>0</v>
      </c>
      <c r="DB278" s="1119">
        <f t="shared" si="107"/>
        <v>0</v>
      </c>
      <c r="DC278" s="1119">
        <f t="shared" si="107"/>
        <v>0</v>
      </c>
      <c r="DD278" s="1119">
        <f t="shared" si="107"/>
        <v>0</v>
      </c>
      <c r="DE278" s="1119">
        <f t="shared" si="107"/>
        <v>0</v>
      </c>
      <c r="DF278" s="1119">
        <f t="shared" si="107"/>
        <v>0</v>
      </c>
      <c r="DG278" s="1119">
        <f t="shared" si="107"/>
        <v>0</v>
      </c>
      <c r="DH278" s="1119">
        <f t="shared" si="107"/>
        <v>0</v>
      </c>
      <c r="DI278" s="1119">
        <f t="shared" si="107"/>
        <v>0</v>
      </c>
      <c r="DJ278" s="1119">
        <f t="shared" si="107"/>
        <v>0</v>
      </c>
      <c r="DK278" s="1119">
        <f t="shared" si="107"/>
        <v>0</v>
      </c>
      <c r="DL278" s="1119">
        <f t="shared" si="107"/>
        <v>0</v>
      </c>
      <c r="DM278" s="1119">
        <f t="shared" si="107"/>
        <v>0</v>
      </c>
      <c r="DN278" s="1119">
        <f t="shared" si="107"/>
        <v>0</v>
      </c>
      <c r="DO278" s="1119">
        <f t="shared" si="107"/>
        <v>0</v>
      </c>
      <c r="DP278" s="1119">
        <f t="shared" si="107"/>
        <v>0</v>
      </c>
      <c r="DQ278" s="1119">
        <f t="shared" si="107"/>
        <v>0</v>
      </c>
      <c r="DR278" s="49">
        <f t="shared" si="107"/>
        <v>0</v>
      </c>
      <c r="DS278" s="49">
        <f t="shared" si="107"/>
        <v>0</v>
      </c>
      <c r="DT278" s="49">
        <f t="shared" si="107"/>
        <v>0</v>
      </c>
      <c r="DU278" s="49">
        <f t="shared" si="107"/>
        <v>0</v>
      </c>
      <c r="DV278" s="49">
        <f t="shared" si="107"/>
        <v>0</v>
      </c>
      <c r="DW278" s="49">
        <f t="shared" si="107"/>
        <v>0</v>
      </c>
      <c r="DX278" s="49">
        <f t="shared" si="107"/>
        <v>0</v>
      </c>
      <c r="DY278" s="49">
        <f t="shared" si="107"/>
        <v>0</v>
      </c>
      <c r="DZ278" s="49">
        <f t="shared" si="107"/>
        <v>0</v>
      </c>
      <c r="EA278" s="49">
        <f t="shared" si="107"/>
        <v>0</v>
      </c>
      <c r="EB278" s="49">
        <f t="shared" si="107"/>
        <v>0</v>
      </c>
      <c r="EC278" s="49">
        <f t="shared" si="107"/>
        <v>0</v>
      </c>
      <c r="ED278" s="49">
        <f t="shared" si="107"/>
        <v>0</v>
      </c>
      <c r="EE278" s="49">
        <f t="shared" si="107"/>
        <v>0</v>
      </c>
      <c r="EF278" s="49">
        <f t="shared" si="107"/>
        <v>0</v>
      </c>
      <c r="EG278" s="49">
        <f t="shared" si="107"/>
        <v>0</v>
      </c>
      <c r="EH278" s="49">
        <f t="shared" si="107"/>
        <v>0</v>
      </c>
      <c r="EI278" s="49">
        <f t="shared" si="107"/>
        <v>0</v>
      </c>
      <c r="EJ278" s="49">
        <f t="shared" si="107"/>
        <v>0</v>
      </c>
      <c r="EK278" s="49">
        <f t="shared" si="107"/>
        <v>0</v>
      </c>
      <c r="EL278" s="49">
        <f t="shared" si="107"/>
        <v>0</v>
      </c>
      <c r="EM278" s="49">
        <f t="shared" si="107"/>
        <v>0</v>
      </c>
      <c r="EN278" s="49">
        <f t="shared" si="107"/>
        <v>0</v>
      </c>
      <c r="EO278" s="39">
        <v>51</v>
      </c>
      <c r="EP278" s="39">
        <v>51</v>
      </c>
      <c r="EQ278" s="39">
        <v>51</v>
      </c>
      <c r="ER278" s="39">
        <v>51</v>
      </c>
      <c r="ES278" s="39">
        <v>51</v>
      </c>
      <c r="ET278" s="39">
        <v>51</v>
      </c>
      <c r="EU278" s="39">
        <v>51</v>
      </c>
      <c r="EV278" s="39">
        <v>51</v>
      </c>
      <c r="EW278" s="39">
        <v>51</v>
      </c>
      <c r="EX278" s="39">
        <v>51</v>
      </c>
    </row>
    <row r="279" spans="1:154" ht="12" customHeight="1" x14ac:dyDescent="0.35">
      <c r="A279" s="67">
        <v>2</v>
      </c>
      <c r="B279" s="1438">
        <f t="shared" ref="B279:B310" si="108">EOMONTH(B278,1)</f>
        <v>59</v>
      </c>
      <c r="C279" s="1440">
        <v>2</v>
      </c>
      <c r="D279" s="67"/>
      <c r="E279" s="67"/>
      <c r="F279" s="82"/>
      <c r="G279" s="1448"/>
      <c r="H279" s="1448"/>
      <c r="I279" s="1448"/>
      <c r="J279" s="1448"/>
      <c r="K279" s="1630">
        <v>2</v>
      </c>
      <c r="L279" s="1640">
        <f>Input!D240</f>
        <v>0</v>
      </c>
      <c r="M279" s="1641">
        <f>IF(Input!$F$238&gt;=$K279,Input!G240,0)</f>
        <v>0</v>
      </c>
      <c r="N279" s="1642">
        <f>Input!H240</f>
        <v>0</v>
      </c>
      <c r="O279" s="1643">
        <f>Input!I240</f>
        <v>0</v>
      </c>
      <c r="P279" s="1630">
        <f t="shared" si="102"/>
        <v>2</v>
      </c>
      <c r="Q279" s="1644">
        <f>Input!D263</f>
        <v>0</v>
      </c>
      <c r="R279" s="1641">
        <f>IF(Input!$F$261&gt;=$K279,Input!G263,0)</f>
        <v>0</v>
      </c>
      <c r="S279" s="1642">
        <f>Input!H263</f>
        <v>0</v>
      </c>
      <c r="T279" s="1643">
        <f>Input!I263</f>
        <v>0</v>
      </c>
      <c r="U279" s="1621"/>
      <c r="V279" s="1636">
        <f t="shared" si="103"/>
        <v>0</v>
      </c>
      <c r="W279" s="1636">
        <f t="shared" si="104"/>
        <v>0</v>
      </c>
      <c r="X279" s="381">
        <f t="shared" si="105"/>
        <v>0</v>
      </c>
      <c r="Y279" s="1645">
        <f t="shared" ref="Y279:AN297" si="109">IF(OR($M279=0,$N279=0),0,IF($N279=Y$277,$M279,0))</f>
        <v>0</v>
      </c>
      <c r="Z279" s="1646">
        <f t="shared" si="109"/>
        <v>0</v>
      </c>
      <c r="AA279" s="1646">
        <f t="shared" si="109"/>
        <v>0</v>
      </c>
      <c r="AB279" s="1646">
        <f t="shared" si="109"/>
        <v>0</v>
      </c>
      <c r="AC279" s="1646">
        <f t="shared" si="109"/>
        <v>0</v>
      </c>
      <c r="AD279" s="1646">
        <f t="shared" si="109"/>
        <v>0</v>
      </c>
      <c r="AE279" s="1646">
        <f t="shared" si="109"/>
        <v>0</v>
      </c>
      <c r="AF279" s="1155">
        <f t="shared" si="109"/>
        <v>0</v>
      </c>
      <c r="AG279" s="1155">
        <f t="shared" si="109"/>
        <v>0</v>
      </c>
      <c r="AH279" s="1155">
        <f t="shared" si="109"/>
        <v>0</v>
      </c>
      <c r="AI279" s="1155">
        <f t="shared" si="109"/>
        <v>0</v>
      </c>
      <c r="AJ279" s="1155">
        <f t="shared" si="109"/>
        <v>0</v>
      </c>
      <c r="AK279" s="1155">
        <f t="shared" si="109"/>
        <v>0</v>
      </c>
      <c r="AL279" s="1155">
        <f t="shared" si="109"/>
        <v>0</v>
      </c>
      <c r="AM279" s="1155">
        <f t="shared" si="109"/>
        <v>0</v>
      </c>
      <c r="AN279" s="1155">
        <f t="shared" si="109"/>
        <v>0</v>
      </c>
      <c r="AO279" s="1155">
        <f t="shared" si="106"/>
        <v>0</v>
      </c>
      <c r="AP279" s="1155">
        <f t="shared" si="106"/>
        <v>0</v>
      </c>
      <c r="AQ279" s="1155">
        <f t="shared" si="106"/>
        <v>0</v>
      </c>
      <c r="AR279" s="1155">
        <f t="shared" si="106"/>
        <v>0</v>
      </c>
      <c r="AS279" s="1155">
        <f t="shared" si="106"/>
        <v>0</v>
      </c>
      <c r="AT279" s="1155">
        <f t="shared" si="106"/>
        <v>0</v>
      </c>
      <c r="AU279" s="1155">
        <f t="shared" si="106"/>
        <v>0</v>
      </c>
      <c r="AV279" s="1155">
        <f t="shared" si="106"/>
        <v>0</v>
      </c>
      <c r="AW279" s="1155">
        <f t="shared" si="106"/>
        <v>0</v>
      </c>
      <c r="AX279" s="1155">
        <f t="shared" si="106"/>
        <v>0</v>
      </c>
      <c r="AY279" s="1155">
        <f t="shared" si="106"/>
        <v>0</v>
      </c>
      <c r="AZ279" s="1155">
        <f t="shared" si="106"/>
        <v>0</v>
      </c>
      <c r="BA279" s="1155">
        <f t="shared" si="106"/>
        <v>0</v>
      </c>
      <c r="BB279" s="1155">
        <f t="shared" si="106"/>
        <v>0</v>
      </c>
      <c r="BC279" s="1155">
        <f t="shared" si="106"/>
        <v>0</v>
      </c>
      <c r="BD279" s="1155">
        <f t="shared" si="106"/>
        <v>0</v>
      </c>
      <c r="BE279" s="1155">
        <f t="shared" si="106"/>
        <v>0</v>
      </c>
      <c r="BF279" s="1155">
        <f t="shared" si="106"/>
        <v>0</v>
      </c>
      <c r="BG279" s="1155">
        <f t="shared" si="106"/>
        <v>0</v>
      </c>
      <c r="BH279" s="1155">
        <f t="shared" si="106"/>
        <v>0</v>
      </c>
      <c r="BI279" s="1155">
        <f t="shared" si="106"/>
        <v>0</v>
      </c>
      <c r="BJ279" s="1155">
        <f t="shared" si="106"/>
        <v>0</v>
      </c>
      <c r="BK279" s="1155">
        <f t="shared" si="106"/>
        <v>0</v>
      </c>
      <c r="BL279" s="1155">
        <f t="shared" si="106"/>
        <v>0</v>
      </c>
      <c r="BM279" s="1155">
        <f t="shared" si="106"/>
        <v>0</v>
      </c>
      <c r="BN279" s="1155">
        <f t="shared" si="106"/>
        <v>0</v>
      </c>
      <c r="BO279" s="1155">
        <f t="shared" si="106"/>
        <v>0</v>
      </c>
      <c r="BP279" s="1155">
        <f t="shared" si="106"/>
        <v>0</v>
      </c>
      <c r="BQ279" s="1155">
        <f t="shared" si="106"/>
        <v>0</v>
      </c>
      <c r="BR279" s="1155">
        <f t="shared" si="106"/>
        <v>0</v>
      </c>
      <c r="BS279" s="1155">
        <f t="shared" si="106"/>
        <v>0</v>
      </c>
      <c r="BT279" s="1155">
        <f t="shared" si="106"/>
        <v>0</v>
      </c>
      <c r="BU279" s="1155">
        <f t="shared" si="106"/>
        <v>0</v>
      </c>
      <c r="BV279" s="1155">
        <f t="shared" si="106"/>
        <v>0</v>
      </c>
      <c r="BW279" s="1155">
        <f t="shared" si="106"/>
        <v>0</v>
      </c>
      <c r="BX279" s="1457">
        <f t="shared" si="106"/>
        <v>0</v>
      </c>
      <c r="BY279" s="1457">
        <f t="shared" si="106"/>
        <v>0</v>
      </c>
      <c r="BZ279" s="1162">
        <f t="shared" si="106"/>
        <v>0</v>
      </c>
      <c r="CA279" s="1162">
        <f t="shared" si="106"/>
        <v>0</v>
      </c>
      <c r="CB279" s="1162">
        <f t="shared" si="106"/>
        <v>0</v>
      </c>
      <c r="CC279" s="1162">
        <f t="shared" si="106"/>
        <v>0</v>
      </c>
      <c r="CD279" s="1162">
        <f t="shared" si="106"/>
        <v>0</v>
      </c>
      <c r="CE279" s="1162">
        <f t="shared" si="106"/>
        <v>0</v>
      </c>
      <c r="CF279" s="1162">
        <f t="shared" si="106"/>
        <v>0</v>
      </c>
      <c r="CG279" s="1162">
        <f t="shared" si="106"/>
        <v>0</v>
      </c>
      <c r="CH279" s="1162">
        <f t="shared" si="106"/>
        <v>0</v>
      </c>
      <c r="CI279" s="1162">
        <f t="shared" si="106"/>
        <v>0</v>
      </c>
      <c r="CJ279" s="1162">
        <f t="shared" si="106"/>
        <v>0</v>
      </c>
      <c r="CK279" s="1162">
        <f t="shared" si="106"/>
        <v>0</v>
      </c>
      <c r="CL279" s="1162">
        <f t="shared" si="107"/>
        <v>0</v>
      </c>
      <c r="CM279" s="1162">
        <f t="shared" si="107"/>
        <v>0</v>
      </c>
      <c r="CN279" s="1162">
        <f t="shared" si="107"/>
        <v>0</v>
      </c>
      <c r="CO279" s="1162">
        <f t="shared" si="107"/>
        <v>0</v>
      </c>
      <c r="CP279" s="1162">
        <f t="shared" si="107"/>
        <v>0</v>
      </c>
      <c r="CQ279" s="48">
        <f t="shared" si="107"/>
        <v>0</v>
      </c>
      <c r="CR279" s="48">
        <f t="shared" si="107"/>
        <v>0</v>
      </c>
      <c r="CS279" s="48">
        <f t="shared" si="107"/>
        <v>0</v>
      </c>
      <c r="CT279" s="48">
        <f t="shared" si="107"/>
        <v>0</v>
      </c>
      <c r="CU279" s="48">
        <f t="shared" si="107"/>
        <v>0</v>
      </c>
      <c r="CV279" s="48">
        <f t="shared" si="107"/>
        <v>0</v>
      </c>
      <c r="CW279" s="48">
        <f t="shared" si="107"/>
        <v>0</v>
      </c>
      <c r="CX279" s="48">
        <f t="shared" si="107"/>
        <v>0</v>
      </c>
      <c r="CY279" s="48">
        <f t="shared" si="107"/>
        <v>0</v>
      </c>
      <c r="CZ279" s="48">
        <f t="shared" si="107"/>
        <v>0</v>
      </c>
      <c r="DA279" s="48">
        <f t="shared" si="107"/>
        <v>0</v>
      </c>
      <c r="DB279" s="48">
        <f t="shared" si="107"/>
        <v>0</v>
      </c>
      <c r="DC279" s="48">
        <f t="shared" si="107"/>
        <v>0</v>
      </c>
      <c r="DD279" s="48">
        <f t="shared" si="107"/>
        <v>0</v>
      </c>
      <c r="DE279" s="48">
        <f t="shared" si="107"/>
        <v>0</v>
      </c>
      <c r="DF279" s="48">
        <f t="shared" si="107"/>
        <v>0</v>
      </c>
      <c r="DG279" s="48">
        <f t="shared" si="107"/>
        <v>0</v>
      </c>
      <c r="DH279" s="48">
        <f t="shared" si="107"/>
        <v>0</v>
      </c>
      <c r="DI279" s="48">
        <f t="shared" si="107"/>
        <v>0</v>
      </c>
      <c r="DJ279" s="48">
        <f t="shared" si="107"/>
        <v>0</v>
      </c>
      <c r="DK279" s="48">
        <f t="shared" si="107"/>
        <v>0</v>
      </c>
      <c r="DL279" s="48">
        <f t="shared" si="107"/>
        <v>0</v>
      </c>
      <c r="DM279" s="48">
        <f t="shared" si="107"/>
        <v>0</v>
      </c>
      <c r="DN279" s="48">
        <f t="shared" si="107"/>
        <v>0</v>
      </c>
      <c r="DO279" s="48">
        <f t="shared" si="107"/>
        <v>0</v>
      </c>
      <c r="DP279" s="48">
        <f t="shared" si="107"/>
        <v>0</v>
      </c>
      <c r="DQ279" s="48">
        <f t="shared" si="107"/>
        <v>0</v>
      </c>
      <c r="DR279" s="50">
        <f t="shared" si="107"/>
        <v>0</v>
      </c>
      <c r="DS279" s="50">
        <f t="shared" si="107"/>
        <v>0</v>
      </c>
      <c r="DT279" s="50">
        <f t="shared" si="107"/>
        <v>0</v>
      </c>
      <c r="DU279" s="50">
        <f t="shared" si="107"/>
        <v>0</v>
      </c>
      <c r="DV279" s="50">
        <f t="shared" si="107"/>
        <v>0</v>
      </c>
      <c r="DW279" s="50">
        <f t="shared" si="107"/>
        <v>0</v>
      </c>
      <c r="DX279" s="50">
        <f t="shared" si="107"/>
        <v>0</v>
      </c>
      <c r="DY279" s="50">
        <f t="shared" si="107"/>
        <v>0</v>
      </c>
      <c r="DZ279" s="50">
        <f t="shared" si="107"/>
        <v>0</v>
      </c>
      <c r="EA279" s="50">
        <f t="shared" si="107"/>
        <v>0</v>
      </c>
      <c r="EB279" s="50">
        <f t="shared" si="107"/>
        <v>0</v>
      </c>
      <c r="EC279" s="50">
        <f t="shared" si="107"/>
        <v>0</v>
      </c>
      <c r="ED279" s="50">
        <f t="shared" si="107"/>
        <v>0</v>
      </c>
      <c r="EE279" s="50">
        <f t="shared" si="107"/>
        <v>0</v>
      </c>
      <c r="EF279" s="50">
        <f t="shared" si="107"/>
        <v>0</v>
      </c>
      <c r="EG279" s="50">
        <f t="shared" si="107"/>
        <v>0</v>
      </c>
      <c r="EH279" s="50">
        <f t="shared" si="107"/>
        <v>0</v>
      </c>
      <c r="EI279" s="50">
        <f t="shared" si="107"/>
        <v>0</v>
      </c>
      <c r="EJ279" s="50">
        <f t="shared" si="107"/>
        <v>0</v>
      </c>
      <c r="EK279" s="50">
        <f t="shared" si="107"/>
        <v>0</v>
      </c>
      <c r="EL279" s="50">
        <f t="shared" si="107"/>
        <v>0</v>
      </c>
      <c r="EM279" s="50">
        <f t="shared" si="107"/>
        <v>0</v>
      </c>
      <c r="EN279" s="50">
        <f t="shared" si="107"/>
        <v>0</v>
      </c>
      <c r="EO279" s="39">
        <v>51</v>
      </c>
      <c r="EP279" s="39">
        <v>51</v>
      </c>
      <c r="EQ279" s="39">
        <v>51</v>
      </c>
      <c r="ER279" s="39">
        <v>51</v>
      </c>
      <c r="ES279" s="39">
        <v>51</v>
      </c>
      <c r="ET279" s="39">
        <v>51</v>
      </c>
      <c r="EU279" s="39">
        <v>51</v>
      </c>
      <c r="EV279" s="39">
        <v>51</v>
      </c>
      <c r="EW279" s="39">
        <v>51</v>
      </c>
      <c r="EX279" s="39">
        <v>51</v>
      </c>
    </row>
    <row r="280" spans="1:154" ht="12" customHeight="1" x14ac:dyDescent="0.35">
      <c r="A280" s="67">
        <v>3</v>
      </c>
      <c r="B280" s="1438">
        <f t="shared" si="108"/>
        <v>91</v>
      </c>
      <c r="C280" s="1440">
        <v>3</v>
      </c>
      <c r="D280" s="67"/>
      <c r="E280" s="67"/>
      <c r="F280" s="82"/>
      <c r="G280" s="1448"/>
      <c r="H280" s="1448"/>
      <c r="I280" s="1448"/>
      <c r="J280" s="1448"/>
      <c r="K280" s="1630">
        <v>3</v>
      </c>
      <c r="L280" s="1640">
        <f>Input!D241</f>
        <v>0</v>
      </c>
      <c r="M280" s="1641">
        <f>IF(Input!$F$238&gt;=$K280,Input!G241,0)</f>
        <v>0</v>
      </c>
      <c r="N280" s="1642">
        <f>Input!H241</f>
        <v>0</v>
      </c>
      <c r="O280" s="1643">
        <f>Input!I241</f>
        <v>0</v>
      </c>
      <c r="P280" s="1630">
        <f t="shared" si="102"/>
        <v>3</v>
      </c>
      <c r="Q280" s="1644">
        <f>Input!D264</f>
        <v>0</v>
      </c>
      <c r="R280" s="1641">
        <f>IF(Input!$F$261&gt;=$K280,Input!G264,0)</f>
        <v>0</v>
      </c>
      <c r="S280" s="1642">
        <f>Input!H264</f>
        <v>0</v>
      </c>
      <c r="T280" s="1643">
        <f>Input!I264</f>
        <v>0</v>
      </c>
      <c r="U280" s="1621"/>
      <c r="V280" s="1636">
        <f t="shared" si="103"/>
        <v>0</v>
      </c>
      <c r="W280" s="1636">
        <f t="shared" si="104"/>
        <v>0</v>
      </c>
      <c r="X280" s="381">
        <f t="shared" si="105"/>
        <v>0</v>
      </c>
      <c r="Y280" s="1645">
        <f t="shared" si="109"/>
        <v>0</v>
      </c>
      <c r="Z280" s="1646">
        <f t="shared" ref="Z280:CK283" si="110">IF(OR($M280=0,$N280=0),0,IF($N280=Z$277,$M280,0))</f>
        <v>0</v>
      </c>
      <c r="AA280" s="1646">
        <f t="shared" si="110"/>
        <v>0</v>
      </c>
      <c r="AB280" s="1646">
        <f t="shared" si="110"/>
        <v>0</v>
      </c>
      <c r="AC280" s="1646">
        <f t="shared" si="110"/>
        <v>0</v>
      </c>
      <c r="AD280" s="1646">
        <f t="shared" si="110"/>
        <v>0</v>
      </c>
      <c r="AE280" s="1646">
        <f t="shared" si="110"/>
        <v>0</v>
      </c>
      <c r="AF280" s="1155">
        <f t="shared" si="110"/>
        <v>0</v>
      </c>
      <c r="AG280" s="1155">
        <f t="shared" si="110"/>
        <v>0</v>
      </c>
      <c r="AH280" s="1155">
        <f t="shared" si="110"/>
        <v>0</v>
      </c>
      <c r="AI280" s="1155">
        <f t="shared" si="110"/>
        <v>0</v>
      </c>
      <c r="AJ280" s="1155">
        <f t="shared" si="110"/>
        <v>0</v>
      </c>
      <c r="AK280" s="1155">
        <f t="shared" si="110"/>
        <v>0</v>
      </c>
      <c r="AL280" s="1155">
        <f t="shared" si="110"/>
        <v>0</v>
      </c>
      <c r="AM280" s="1155">
        <f t="shared" si="110"/>
        <v>0</v>
      </c>
      <c r="AN280" s="1155">
        <f t="shared" si="110"/>
        <v>0</v>
      </c>
      <c r="AO280" s="1155">
        <f t="shared" si="110"/>
        <v>0</v>
      </c>
      <c r="AP280" s="1155">
        <f t="shared" si="110"/>
        <v>0</v>
      </c>
      <c r="AQ280" s="1155">
        <f t="shared" si="110"/>
        <v>0</v>
      </c>
      <c r="AR280" s="1155">
        <f t="shared" si="110"/>
        <v>0</v>
      </c>
      <c r="AS280" s="1155">
        <f t="shared" si="110"/>
        <v>0</v>
      </c>
      <c r="AT280" s="1155">
        <f t="shared" si="110"/>
        <v>0</v>
      </c>
      <c r="AU280" s="1155">
        <f t="shared" si="110"/>
        <v>0</v>
      </c>
      <c r="AV280" s="1155">
        <f t="shared" si="110"/>
        <v>0</v>
      </c>
      <c r="AW280" s="1155">
        <f t="shared" si="110"/>
        <v>0</v>
      </c>
      <c r="AX280" s="1155">
        <f t="shared" si="110"/>
        <v>0</v>
      </c>
      <c r="AY280" s="1155">
        <f t="shared" si="110"/>
        <v>0</v>
      </c>
      <c r="AZ280" s="1155">
        <f t="shared" si="110"/>
        <v>0</v>
      </c>
      <c r="BA280" s="1155">
        <f t="shared" si="110"/>
        <v>0</v>
      </c>
      <c r="BB280" s="1155">
        <f t="shared" si="110"/>
        <v>0</v>
      </c>
      <c r="BC280" s="1155">
        <f t="shared" si="110"/>
        <v>0</v>
      </c>
      <c r="BD280" s="1155">
        <f t="shared" si="110"/>
        <v>0</v>
      </c>
      <c r="BE280" s="1155">
        <f t="shared" si="110"/>
        <v>0</v>
      </c>
      <c r="BF280" s="1155">
        <f t="shared" si="110"/>
        <v>0</v>
      </c>
      <c r="BG280" s="1155">
        <f t="shared" si="110"/>
        <v>0</v>
      </c>
      <c r="BH280" s="1155">
        <f t="shared" si="110"/>
        <v>0</v>
      </c>
      <c r="BI280" s="1155">
        <f t="shared" si="110"/>
        <v>0</v>
      </c>
      <c r="BJ280" s="1155">
        <f t="shared" si="110"/>
        <v>0</v>
      </c>
      <c r="BK280" s="1155">
        <f t="shared" si="110"/>
        <v>0</v>
      </c>
      <c r="BL280" s="1155">
        <f t="shared" si="110"/>
        <v>0</v>
      </c>
      <c r="BM280" s="1155">
        <f t="shared" si="110"/>
        <v>0</v>
      </c>
      <c r="BN280" s="1155">
        <f t="shared" si="110"/>
        <v>0</v>
      </c>
      <c r="BO280" s="1155">
        <f t="shared" si="110"/>
        <v>0</v>
      </c>
      <c r="BP280" s="1155">
        <f t="shared" si="110"/>
        <v>0</v>
      </c>
      <c r="BQ280" s="1155">
        <f t="shared" si="110"/>
        <v>0</v>
      </c>
      <c r="BR280" s="1155">
        <f t="shared" si="110"/>
        <v>0</v>
      </c>
      <c r="BS280" s="1155">
        <f t="shared" si="110"/>
        <v>0</v>
      </c>
      <c r="BT280" s="1155">
        <f t="shared" si="110"/>
        <v>0</v>
      </c>
      <c r="BU280" s="1155">
        <f t="shared" si="110"/>
        <v>0</v>
      </c>
      <c r="BV280" s="1155">
        <f t="shared" si="110"/>
        <v>0</v>
      </c>
      <c r="BW280" s="1155">
        <f t="shared" si="110"/>
        <v>0</v>
      </c>
      <c r="BX280" s="1457">
        <f t="shared" si="110"/>
        <v>0</v>
      </c>
      <c r="BY280" s="1457">
        <f t="shared" si="110"/>
        <v>0</v>
      </c>
      <c r="BZ280" s="1162">
        <f t="shared" si="110"/>
        <v>0</v>
      </c>
      <c r="CA280" s="1162">
        <f t="shared" si="110"/>
        <v>0</v>
      </c>
      <c r="CB280" s="1162">
        <f t="shared" si="110"/>
        <v>0</v>
      </c>
      <c r="CC280" s="1162">
        <f t="shared" si="110"/>
        <v>0</v>
      </c>
      <c r="CD280" s="1162">
        <f t="shared" si="110"/>
        <v>0</v>
      </c>
      <c r="CE280" s="1162">
        <f t="shared" si="110"/>
        <v>0</v>
      </c>
      <c r="CF280" s="1162">
        <f t="shared" si="110"/>
        <v>0</v>
      </c>
      <c r="CG280" s="1162">
        <f t="shared" si="110"/>
        <v>0</v>
      </c>
      <c r="CH280" s="1162">
        <f t="shared" si="110"/>
        <v>0</v>
      </c>
      <c r="CI280" s="1162">
        <f t="shared" si="110"/>
        <v>0</v>
      </c>
      <c r="CJ280" s="1162">
        <f t="shared" si="110"/>
        <v>0</v>
      </c>
      <c r="CK280" s="1162">
        <f t="shared" si="110"/>
        <v>0</v>
      </c>
      <c r="CL280" s="1162">
        <f t="shared" si="107"/>
        <v>0</v>
      </c>
      <c r="CM280" s="1162">
        <f t="shared" si="107"/>
        <v>0</v>
      </c>
      <c r="CN280" s="1162">
        <f t="shared" si="107"/>
        <v>0</v>
      </c>
      <c r="CO280" s="1162">
        <f t="shared" si="107"/>
        <v>0</v>
      </c>
      <c r="CP280" s="1162">
        <f t="shared" si="107"/>
        <v>0</v>
      </c>
      <c r="CQ280" s="48">
        <f t="shared" si="107"/>
        <v>0</v>
      </c>
      <c r="CR280" s="48">
        <f t="shared" si="107"/>
        <v>0</v>
      </c>
      <c r="CS280" s="48">
        <f t="shared" si="107"/>
        <v>0</v>
      </c>
      <c r="CT280" s="48">
        <f t="shared" si="107"/>
        <v>0</v>
      </c>
      <c r="CU280" s="48">
        <f t="shared" si="107"/>
        <v>0</v>
      </c>
      <c r="CV280" s="48">
        <f t="shared" si="107"/>
        <v>0</v>
      </c>
      <c r="CW280" s="48">
        <f t="shared" si="107"/>
        <v>0</v>
      </c>
      <c r="CX280" s="48">
        <f t="shared" si="107"/>
        <v>0</v>
      </c>
      <c r="CY280" s="48">
        <f t="shared" si="107"/>
        <v>0</v>
      </c>
      <c r="CZ280" s="48">
        <f t="shared" si="107"/>
        <v>0</v>
      </c>
      <c r="DA280" s="48">
        <f t="shared" si="107"/>
        <v>0</v>
      </c>
      <c r="DB280" s="48">
        <f t="shared" si="107"/>
        <v>0</v>
      </c>
      <c r="DC280" s="48">
        <f t="shared" si="107"/>
        <v>0</v>
      </c>
      <c r="DD280" s="48">
        <f t="shared" si="107"/>
        <v>0</v>
      </c>
      <c r="DE280" s="48">
        <f t="shared" si="107"/>
        <v>0</v>
      </c>
      <c r="DF280" s="48">
        <f t="shared" si="107"/>
        <v>0</v>
      </c>
      <c r="DG280" s="48">
        <f t="shared" si="107"/>
        <v>0</v>
      </c>
      <c r="DH280" s="48">
        <f t="shared" si="107"/>
        <v>0</v>
      </c>
      <c r="DI280" s="48">
        <f t="shared" si="107"/>
        <v>0</v>
      </c>
      <c r="DJ280" s="48">
        <f t="shared" si="107"/>
        <v>0</v>
      </c>
      <c r="DK280" s="48">
        <f t="shared" si="107"/>
        <v>0</v>
      </c>
      <c r="DL280" s="48">
        <f t="shared" si="107"/>
        <v>0</v>
      </c>
      <c r="DM280" s="48">
        <f t="shared" si="107"/>
        <v>0</v>
      </c>
      <c r="DN280" s="48">
        <f t="shared" si="107"/>
        <v>0</v>
      </c>
      <c r="DO280" s="48">
        <f t="shared" si="107"/>
        <v>0</v>
      </c>
      <c r="DP280" s="48">
        <f t="shared" si="107"/>
        <v>0</v>
      </c>
      <c r="DQ280" s="48">
        <f t="shared" si="107"/>
        <v>0</v>
      </c>
      <c r="DR280" s="50">
        <f t="shared" si="107"/>
        <v>0</v>
      </c>
      <c r="DS280" s="50">
        <f t="shared" si="107"/>
        <v>0</v>
      </c>
      <c r="DT280" s="50">
        <f t="shared" si="107"/>
        <v>0</v>
      </c>
      <c r="DU280" s="50">
        <f t="shared" si="107"/>
        <v>0</v>
      </c>
      <c r="DV280" s="50">
        <f t="shared" si="107"/>
        <v>0</v>
      </c>
      <c r="DW280" s="50">
        <f t="shared" si="107"/>
        <v>0</v>
      </c>
      <c r="DX280" s="50">
        <f t="shared" si="107"/>
        <v>0</v>
      </c>
      <c r="DY280" s="50">
        <f t="shared" si="107"/>
        <v>0</v>
      </c>
      <c r="DZ280" s="50">
        <f t="shared" si="107"/>
        <v>0</v>
      </c>
      <c r="EA280" s="50">
        <f t="shared" si="107"/>
        <v>0</v>
      </c>
      <c r="EB280" s="50">
        <f t="shared" si="107"/>
        <v>0</v>
      </c>
      <c r="EC280" s="50">
        <f t="shared" si="107"/>
        <v>0</v>
      </c>
      <c r="ED280" s="50">
        <f t="shared" si="107"/>
        <v>0</v>
      </c>
      <c r="EE280" s="50">
        <f t="shared" si="107"/>
        <v>0</v>
      </c>
      <c r="EF280" s="50">
        <f t="shared" si="107"/>
        <v>0</v>
      </c>
      <c r="EG280" s="50">
        <f t="shared" si="107"/>
        <v>0</v>
      </c>
      <c r="EH280" s="50">
        <f t="shared" si="107"/>
        <v>0</v>
      </c>
      <c r="EI280" s="50">
        <f t="shared" si="107"/>
        <v>0</v>
      </c>
      <c r="EJ280" s="50">
        <f t="shared" si="107"/>
        <v>0</v>
      </c>
      <c r="EK280" s="50">
        <f t="shared" si="107"/>
        <v>0</v>
      </c>
      <c r="EL280" s="50">
        <f t="shared" si="107"/>
        <v>0</v>
      </c>
      <c r="EM280" s="50">
        <f t="shared" si="107"/>
        <v>0</v>
      </c>
      <c r="EN280" s="50">
        <f t="shared" si="107"/>
        <v>0</v>
      </c>
      <c r="EO280" s="39">
        <v>51</v>
      </c>
      <c r="EP280" s="39">
        <v>51</v>
      </c>
      <c r="EQ280" s="39">
        <v>51</v>
      </c>
      <c r="ER280" s="39">
        <v>51</v>
      </c>
      <c r="ES280" s="39">
        <v>51</v>
      </c>
      <c r="ET280" s="39">
        <v>51</v>
      </c>
      <c r="EU280" s="39">
        <v>51</v>
      </c>
      <c r="EV280" s="39">
        <v>51</v>
      </c>
      <c r="EW280" s="39">
        <v>51</v>
      </c>
      <c r="EX280" s="39">
        <v>51</v>
      </c>
    </row>
    <row r="281" spans="1:154" ht="12" customHeight="1" x14ac:dyDescent="0.35">
      <c r="A281" s="67">
        <v>4</v>
      </c>
      <c r="B281" s="1438">
        <f t="shared" si="108"/>
        <v>121</v>
      </c>
      <c r="C281" s="1440">
        <v>4</v>
      </c>
      <c r="D281" s="67"/>
      <c r="E281" s="67"/>
      <c r="F281" s="82"/>
      <c r="G281" s="1448"/>
      <c r="H281" s="1448"/>
      <c r="I281" s="1448"/>
      <c r="J281" s="1448"/>
      <c r="K281" s="1630">
        <v>4</v>
      </c>
      <c r="L281" s="1640">
        <f>Input!D242</f>
        <v>0</v>
      </c>
      <c r="M281" s="1641">
        <f>IF(Input!$F$238&gt;=$K281,Input!G242,0)</f>
        <v>0</v>
      </c>
      <c r="N281" s="1642">
        <f>Input!H242</f>
        <v>0</v>
      </c>
      <c r="O281" s="1643">
        <f>Input!I242</f>
        <v>0</v>
      </c>
      <c r="P281" s="1630">
        <f t="shared" si="102"/>
        <v>4</v>
      </c>
      <c r="Q281" s="1644">
        <f>Input!D265</f>
        <v>0</v>
      </c>
      <c r="R281" s="1641">
        <f>IF(Input!$F$261&gt;=$K281,Input!G265,0)</f>
        <v>0</v>
      </c>
      <c r="S281" s="1642">
        <f>Input!H265</f>
        <v>0</v>
      </c>
      <c r="T281" s="1643">
        <f>Input!I265</f>
        <v>0</v>
      </c>
      <c r="U281" s="1621"/>
      <c r="V281" s="1636">
        <f t="shared" si="103"/>
        <v>0</v>
      </c>
      <c r="W281" s="1636">
        <f t="shared" si="104"/>
        <v>0</v>
      </c>
      <c r="X281" s="381">
        <f t="shared" si="105"/>
        <v>0</v>
      </c>
      <c r="Y281" s="1645">
        <f t="shared" si="109"/>
        <v>0</v>
      </c>
      <c r="Z281" s="1646">
        <f t="shared" si="110"/>
        <v>0</v>
      </c>
      <c r="AA281" s="1646">
        <f t="shared" si="110"/>
        <v>0</v>
      </c>
      <c r="AB281" s="1646">
        <f t="shared" si="110"/>
        <v>0</v>
      </c>
      <c r="AC281" s="1646">
        <f t="shared" si="110"/>
        <v>0</v>
      </c>
      <c r="AD281" s="1646">
        <f t="shared" si="110"/>
        <v>0</v>
      </c>
      <c r="AE281" s="1646">
        <f t="shared" si="110"/>
        <v>0</v>
      </c>
      <c r="AF281" s="1155">
        <f t="shared" si="110"/>
        <v>0</v>
      </c>
      <c r="AG281" s="1155">
        <f t="shared" si="110"/>
        <v>0</v>
      </c>
      <c r="AH281" s="1155">
        <f t="shared" si="110"/>
        <v>0</v>
      </c>
      <c r="AI281" s="1155">
        <f t="shared" si="110"/>
        <v>0</v>
      </c>
      <c r="AJ281" s="1155">
        <f t="shared" si="110"/>
        <v>0</v>
      </c>
      <c r="AK281" s="1155">
        <f t="shared" si="110"/>
        <v>0</v>
      </c>
      <c r="AL281" s="1155">
        <f t="shared" si="110"/>
        <v>0</v>
      </c>
      <c r="AM281" s="1155">
        <f t="shared" si="110"/>
        <v>0</v>
      </c>
      <c r="AN281" s="1155">
        <f t="shared" si="110"/>
        <v>0</v>
      </c>
      <c r="AO281" s="1155">
        <f t="shared" si="110"/>
        <v>0</v>
      </c>
      <c r="AP281" s="1155">
        <f t="shared" si="110"/>
        <v>0</v>
      </c>
      <c r="AQ281" s="1155">
        <f t="shared" si="110"/>
        <v>0</v>
      </c>
      <c r="AR281" s="1155">
        <f t="shared" si="110"/>
        <v>0</v>
      </c>
      <c r="AS281" s="1155">
        <f t="shared" si="110"/>
        <v>0</v>
      </c>
      <c r="AT281" s="1155">
        <f t="shared" si="110"/>
        <v>0</v>
      </c>
      <c r="AU281" s="1155">
        <f t="shared" si="110"/>
        <v>0</v>
      </c>
      <c r="AV281" s="1155">
        <f t="shared" si="110"/>
        <v>0</v>
      </c>
      <c r="AW281" s="1155">
        <f t="shared" si="110"/>
        <v>0</v>
      </c>
      <c r="AX281" s="1155">
        <f t="shared" si="110"/>
        <v>0</v>
      </c>
      <c r="AY281" s="1155">
        <f t="shared" si="110"/>
        <v>0</v>
      </c>
      <c r="AZ281" s="1155">
        <f t="shared" si="110"/>
        <v>0</v>
      </c>
      <c r="BA281" s="1155">
        <f t="shared" si="110"/>
        <v>0</v>
      </c>
      <c r="BB281" s="1155">
        <f t="shared" si="110"/>
        <v>0</v>
      </c>
      <c r="BC281" s="1155">
        <f t="shared" si="110"/>
        <v>0</v>
      </c>
      <c r="BD281" s="1155">
        <f t="shared" si="110"/>
        <v>0</v>
      </c>
      <c r="BE281" s="1155">
        <f t="shared" si="110"/>
        <v>0</v>
      </c>
      <c r="BF281" s="1155">
        <f t="shared" si="110"/>
        <v>0</v>
      </c>
      <c r="BG281" s="1155">
        <f t="shared" si="110"/>
        <v>0</v>
      </c>
      <c r="BH281" s="1155">
        <f t="shared" si="110"/>
        <v>0</v>
      </c>
      <c r="BI281" s="1155">
        <f t="shared" si="110"/>
        <v>0</v>
      </c>
      <c r="BJ281" s="1155">
        <f t="shared" si="110"/>
        <v>0</v>
      </c>
      <c r="BK281" s="1155">
        <f t="shared" si="110"/>
        <v>0</v>
      </c>
      <c r="BL281" s="1155">
        <f t="shared" si="110"/>
        <v>0</v>
      </c>
      <c r="BM281" s="1155">
        <f t="shared" si="110"/>
        <v>0</v>
      </c>
      <c r="BN281" s="1155">
        <f t="shared" si="110"/>
        <v>0</v>
      </c>
      <c r="BO281" s="1155">
        <f t="shared" si="110"/>
        <v>0</v>
      </c>
      <c r="BP281" s="1155">
        <f t="shared" si="110"/>
        <v>0</v>
      </c>
      <c r="BQ281" s="1155">
        <f t="shared" si="110"/>
        <v>0</v>
      </c>
      <c r="BR281" s="1155">
        <f t="shared" si="110"/>
        <v>0</v>
      </c>
      <c r="BS281" s="1155">
        <f t="shared" si="110"/>
        <v>0</v>
      </c>
      <c r="BT281" s="1155">
        <f t="shared" si="110"/>
        <v>0</v>
      </c>
      <c r="BU281" s="1155">
        <f t="shared" si="110"/>
        <v>0</v>
      </c>
      <c r="BV281" s="1155">
        <f t="shared" si="110"/>
        <v>0</v>
      </c>
      <c r="BW281" s="1155">
        <f t="shared" si="110"/>
        <v>0</v>
      </c>
      <c r="BX281" s="1457">
        <f t="shared" si="110"/>
        <v>0</v>
      </c>
      <c r="BY281" s="1457">
        <f t="shared" si="110"/>
        <v>0</v>
      </c>
      <c r="BZ281" s="1162">
        <f t="shared" si="110"/>
        <v>0</v>
      </c>
      <c r="CA281" s="1162">
        <f t="shared" si="110"/>
        <v>0</v>
      </c>
      <c r="CB281" s="1162">
        <f t="shared" si="110"/>
        <v>0</v>
      </c>
      <c r="CC281" s="1162">
        <f t="shared" si="110"/>
        <v>0</v>
      </c>
      <c r="CD281" s="1162">
        <f t="shared" si="110"/>
        <v>0</v>
      </c>
      <c r="CE281" s="1162">
        <f t="shared" si="110"/>
        <v>0</v>
      </c>
      <c r="CF281" s="1162">
        <f t="shared" si="110"/>
        <v>0</v>
      </c>
      <c r="CG281" s="1162">
        <f t="shared" si="110"/>
        <v>0</v>
      </c>
      <c r="CH281" s="1162">
        <f t="shared" si="110"/>
        <v>0</v>
      </c>
      <c r="CI281" s="1162">
        <f t="shared" si="110"/>
        <v>0</v>
      </c>
      <c r="CJ281" s="1162">
        <f t="shared" si="110"/>
        <v>0</v>
      </c>
      <c r="CK281" s="1162">
        <f t="shared" si="110"/>
        <v>0</v>
      </c>
      <c r="CL281" s="1162">
        <f t="shared" si="107"/>
        <v>0</v>
      </c>
      <c r="CM281" s="1162">
        <f t="shared" si="107"/>
        <v>0</v>
      </c>
      <c r="CN281" s="1162">
        <f t="shared" si="107"/>
        <v>0</v>
      </c>
      <c r="CO281" s="1162">
        <f t="shared" si="107"/>
        <v>0</v>
      </c>
      <c r="CP281" s="1162">
        <f t="shared" si="107"/>
        <v>0</v>
      </c>
      <c r="CQ281" s="48">
        <f t="shared" si="107"/>
        <v>0</v>
      </c>
      <c r="CR281" s="48">
        <f t="shared" si="107"/>
        <v>0</v>
      </c>
      <c r="CS281" s="48">
        <f t="shared" si="107"/>
        <v>0</v>
      </c>
      <c r="CT281" s="48">
        <f t="shared" si="107"/>
        <v>0</v>
      </c>
      <c r="CU281" s="48">
        <f t="shared" si="107"/>
        <v>0</v>
      </c>
      <c r="CV281" s="48">
        <f t="shared" si="107"/>
        <v>0</v>
      </c>
      <c r="CW281" s="48">
        <f t="shared" si="107"/>
        <v>0</v>
      </c>
      <c r="CX281" s="48">
        <f t="shared" si="107"/>
        <v>0</v>
      </c>
      <c r="CY281" s="48">
        <f t="shared" si="107"/>
        <v>0</v>
      </c>
      <c r="CZ281" s="48">
        <f t="shared" si="107"/>
        <v>0</v>
      </c>
      <c r="DA281" s="48">
        <f t="shared" si="107"/>
        <v>0</v>
      </c>
      <c r="DB281" s="48">
        <f t="shared" si="107"/>
        <v>0</v>
      </c>
      <c r="DC281" s="48">
        <f t="shared" si="107"/>
        <v>0</v>
      </c>
      <c r="DD281" s="48">
        <f t="shared" si="107"/>
        <v>0</v>
      </c>
      <c r="DE281" s="48">
        <f t="shared" si="107"/>
        <v>0</v>
      </c>
      <c r="DF281" s="48">
        <f t="shared" si="107"/>
        <v>0</v>
      </c>
      <c r="DG281" s="48">
        <f t="shared" si="107"/>
        <v>0</v>
      </c>
      <c r="DH281" s="48">
        <f t="shared" si="107"/>
        <v>0</v>
      </c>
      <c r="DI281" s="48">
        <f t="shared" si="107"/>
        <v>0</v>
      </c>
      <c r="DJ281" s="48">
        <f t="shared" si="107"/>
        <v>0</v>
      </c>
      <c r="DK281" s="48">
        <f t="shared" si="107"/>
        <v>0</v>
      </c>
      <c r="DL281" s="48">
        <f t="shared" si="107"/>
        <v>0</v>
      </c>
      <c r="DM281" s="48">
        <f t="shared" si="107"/>
        <v>0</v>
      </c>
      <c r="DN281" s="48">
        <f t="shared" si="107"/>
        <v>0</v>
      </c>
      <c r="DO281" s="48">
        <f t="shared" si="107"/>
        <v>0</v>
      </c>
      <c r="DP281" s="48">
        <f t="shared" si="107"/>
        <v>0</v>
      </c>
      <c r="DQ281" s="48">
        <f t="shared" si="107"/>
        <v>0</v>
      </c>
      <c r="DR281" s="50">
        <f t="shared" si="107"/>
        <v>0</v>
      </c>
      <c r="DS281" s="50">
        <f t="shared" si="107"/>
        <v>0</v>
      </c>
      <c r="DT281" s="50">
        <f t="shared" si="107"/>
        <v>0</v>
      </c>
      <c r="DU281" s="50">
        <f t="shared" si="107"/>
        <v>0</v>
      </c>
      <c r="DV281" s="50">
        <f t="shared" si="107"/>
        <v>0</v>
      </c>
      <c r="DW281" s="50">
        <f t="shared" si="107"/>
        <v>0</v>
      </c>
      <c r="DX281" s="50">
        <f t="shared" si="107"/>
        <v>0</v>
      </c>
      <c r="DY281" s="50">
        <f t="shared" si="107"/>
        <v>0</v>
      </c>
      <c r="DZ281" s="50">
        <f t="shared" si="107"/>
        <v>0</v>
      </c>
      <c r="EA281" s="50">
        <f t="shared" si="107"/>
        <v>0</v>
      </c>
      <c r="EB281" s="50">
        <f t="shared" si="107"/>
        <v>0</v>
      </c>
      <c r="EC281" s="50">
        <f t="shared" si="107"/>
        <v>0</v>
      </c>
      <c r="ED281" s="50">
        <f t="shared" si="107"/>
        <v>0</v>
      </c>
      <c r="EE281" s="50">
        <f t="shared" si="107"/>
        <v>0</v>
      </c>
      <c r="EF281" s="50">
        <f t="shared" si="107"/>
        <v>0</v>
      </c>
      <c r="EG281" s="50">
        <f t="shared" si="107"/>
        <v>0</v>
      </c>
      <c r="EH281" s="50">
        <f t="shared" si="107"/>
        <v>0</v>
      </c>
      <c r="EI281" s="50">
        <f t="shared" si="107"/>
        <v>0</v>
      </c>
      <c r="EJ281" s="50">
        <f t="shared" si="107"/>
        <v>0</v>
      </c>
      <c r="EK281" s="50">
        <f t="shared" si="107"/>
        <v>0</v>
      </c>
      <c r="EL281" s="50">
        <f t="shared" si="107"/>
        <v>0</v>
      </c>
      <c r="EM281" s="50">
        <f t="shared" si="107"/>
        <v>0</v>
      </c>
      <c r="EN281" s="50">
        <f t="shared" si="107"/>
        <v>0</v>
      </c>
      <c r="EO281" s="39">
        <v>51</v>
      </c>
      <c r="EP281" s="39">
        <v>51</v>
      </c>
      <c r="EQ281" s="39">
        <v>51</v>
      </c>
      <c r="ER281" s="39">
        <v>51</v>
      </c>
      <c r="ES281" s="39">
        <v>51</v>
      </c>
      <c r="ET281" s="39">
        <v>51</v>
      </c>
      <c r="EU281" s="39">
        <v>51</v>
      </c>
      <c r="EV281" s="39">
        <v>51</v>
      </c>
      <c r="EW281" s="39">
        <v>51</v>
      </c>
      <c r="EX281" s="39">
        <v>51</v>
      </c>
    </row>
    <row r="282" spans="1:154" ht="12" customHeight="1" x14ac:dyDescent="0.35">
      <c r="A282" s="67">
        <v>5</v>
      </c>
      <c r="B282" s="1438">
        <f t="shared" si="108"/>
        <v>152</v>
      </c>
      <c r="C282" s="1440">
        <v>5</v>
      </c>
      <c r="D282" s="67"/>
      <c r="E282" s="67"/>
      <c r="F282" s="82"/>
      <c r="G282" s="1448"/>
      <c r="H282" s="1448"/>
      <c r="I282" s="1448"/>
      <c r="J282" s="1448"/>
      <c r="K282" s="1630">
        <v>5</v>
      </c>
      <c r="L282" s="1640">
        <f>Input!D243</f>
        <v>0</v>
      </c>
      <c r="M282" s="1641">
        <f>IF(Input!$F$238&gt;=$K282,Input!G243,0)</f>
        <v>0</v>
      </c>
      <c r="N282" s="1642">
        <f>Input!H243</f>
        <v>0</v>
      </c>
      <c r="O282" s="1643">
        <f>Input!I243</f>
        <v>0</v>
      </c>
      <c r="P282" s="1630">
        <f t="shared" si="102"/>
        <v>5</v>
      </c>
      <c r="Q282" s="1644">
        <f>Input!D266</f>
        <v>0</v>
      </c>
      <c r="R282" s="1641">
        <f>IF(Input!$F$261&gt;=$K282,Input!G266,0)</f>
        <v>0</v>
      </c>
      <c r="S282" s="1642">
        <f>Input!H266</f>
        <v>0</v>
      </c>
      <c r="T282" s="1643">
        <f>Input!I266</f>
        <v>0</v>
      </c>
      <c r="U282" s="1621"/>
      <c r="V282" s="1636">
        <f t="shared" si="103"/>
        <v>0</v>
      </c>
      <c r="W282" s="1636">
        <f t="shared" si="104"/>
        <v>0</v>
      </c>
      <c r="X282" s="381">
        <f t="shared" si="105"/>
        <v>0</v>
      </c>
      <c r="Y282" s="1645">
        <f t="shared" si="109"/>
        <v>0</v>
      </c>
      <c r="Z282" s="1646">
        <f t="shared" si="110"/>
        <v>0</v>
      </c>
      <c r="AA282" s="1646">
        <f t="shared" si="110"/>
        <v>0</v>
      </c>
      <c r="AB282" s="1646">
        <f t="shared" si="110"/>
        <v>0</v>
      </c>
      <c r="AC282" s="1646">
        <f t="shared" si="110"/>
        <v>0</v>
      </c>
      <c r="AD282" s="1646">
        <f t="shared" si="110"/>
        <v>0</v>
      </c>
      <c r="AE282" s="1646">
        <f t="shared" si="110"/>
        <v>0</v>
      </c>
      <c r="AF282" s="1155">
        <f t="shared" si="110"/>
        <v>0</v>
      </c>
      <c r="AG282" s="1155">
        <f t="shared" si="110"/>
        <v>0</v>
      </c>
      <c r="AH282" s="1155">
        <f t="shared" si="110"/>
        <v>0</v>
      </c>
      <c r="AI282" s="1155">
        <f t="shared" si="110"/>
        <v>0</v>
      </c>
      <c r="AJ282" s="1155">
        <f t="shared" si="110"/>
        <v>0</v>
      </c>
      <c r="AK282" s="1155">
        <f t="shared" si="110"/>
        <v>0</v>
      </c>
      <c r="AL282" s="1155">
        <f t="shared" si="110"/>
        <v>0</v>
      </c>
      <c r="AM282" s="1155">
        <f t="shared" si="110"/>
        <v>0</v>
      </c>
      <c r="AN282" s="1155">
        <f t="shared" si="110"/>
        <v>0</v>
      </c>
      <c r="AO282" s="1155">
        <f t="shared" si="110"/>
        <v>0</v>
      </c>
      <c r="AP282" s="1155">
        <f t="shared" si="110"/>
        <v>0</v>
      </c>
      <c r="AQ282" s="1155">
        <f t="shared" si="110"/>
        <v>0</v>
      </c>
      <c r="AR282" s="1155">
        <f t="shared" si="110"/>
        <v>0</v>
      </c>
      <c r="AS282" s="1155">
        <f t="shared" si="110"/>
        <v>0</v>
      </c>
      <c r="AT282" s="1155">
        <f t="shared" si="110"/>
        <v>0</v>
      </c>
      <c r="AU282" s="1155">
        <f t="shared" si="110"/>
        <v>0</v>
      </c>
      <c r="AV282" s="1155">
        <f t="shared" si="110"/>
        <v>0</v>
      </c>
      <c r="AW282" s="1155">
        <f t="shared" si="110"/>
        <v>0</v>
      </c>
      <c r="AX282" s="1155">
        <f t="shared" si="110"/>
        <v>0</v>
      </c>
      <c r="AY282" s="1155">
        <f t="shared" si="110"/>
        <v>0</v>
      </c>
      <c r="AZ282" s="1155">
        <f t="shared" si="110"/>
        <v>0</v>
      </c>
      <c r="BA282" s="1155">
        <f t="shared" si="110"/>
        <v>0</v>
      </c>
      <c r="BB282" s="1155">
        <f t="shared" si="110"/>
        <v>0</v>
      </c>
      <c r="BC282" s="1155">
        <f t="shared" si="110"/>
        <v>0</v>
      </c>
      <c r="BD282" s="1155">
        <f t="shared" si="110"/>
        <v>0</v>
      </c>
      <c r="BE282" s="1155">
        <f t="shared" si="110"/>
        <v>0</v>
      </c>
      <c r="BF282" s="1155">
        <f t="shared" si="110"/>
        <v>0</v>
      </c>
      <c r="BG282" s="1155">
        <f t="shared" si="110"/>
        <v>0</v>
      </c>
      <c r="BH282" s="1155">
        <f t="shared" si="110"/>
        <v>0</v>
      </c>
      <c r="BI282" s="1155">
        <f t="shared" si="110"/>
        <v>0</v>
      </c>
      <c r="BJ282" s="1155">
        <f t="shared" si="110"/>
        <v>0</v>
      </c>
      <c r="BK282" s="1155">
        <f t="shared" si="110"/>
        <v>0</v>
      </c>
      <c r="BL282" s="1155">
        <f t="shared" si="110"/>
        <v>0</v>
      </c>
      <c r="BM282" s="1155">
        <f t="shared" si="110"/>
        <v>0</v>
      </c>
      <c r="BN282" s="1155">
        <f t="shared" si="110"/>
        <v>0</v>
      </c>
      <c r="BO282" s="1155">
        <f t="shared" si="110"/>
        <v>0</v>
      </c>
      <c r="BP282" s="1155">
        <f t="shared" si="110"/>
        <v>0</v>
      </c>
      <c r="BQ282" s="1155">
        <f t="shared" si="110"/>
        <v>0</v>
      </c>
      <c r="BR282" s="1155">
        <f t="shared" si="110"/>
        <v>0</v>
      </c>
      <c r="BS282" s="1155">
        <f t="shared" si="110"/>
        <v>0</v>
      </c>
      <c r="BT282" s="1155">
        <f t="shared" si="110"/>
        <v>0</v>
      </c>
      <c r="BU282" s="1155">
        <f t="shared" si="110"/>
        <v>0</v>
      </c>
      <c r="BV282" s="1155">
        <f t="shared" si="110"/>
        <v>0</v>
      </c>
      <c r="BW282" s="1155">
        <f t="shared" si="110"/>
        <v>0</v>
      </c>
      <c r="BX282" s="1457">
        <f t="shared" si="110"/>
        <v>0</v>
      </c>
      <c r="BY282" s="1457">
        <f t="shared" si="110"/>
        <v>0</v>
      </c>
      <c r="BZ282" s="1162">
        <f t="shared" si="110"/>
        <v>0</v>
      </c>
      <c r="CA282" s="1162">
        <f t="shared" si="110"/>
        <v>0</v>
      </c>
      <c r="CB282" s="1162">
        <f t="shared" si="110"/>
        <v>0</v>
      </c>
      <c r="CC282" s="1162">
        <f t="shared" si="110"/>
        <v>0</v>
      </c>
      <c r="CD282" s="1162">
        <f t="shared" si="110"/>
        <v>0</v>
      </c>
      <c r="CE282" s="1162">
        <f t="shared" si="110"/>
        <v>0</v>
      </c>
      <c r="CF282" s="1162">
        <f t="shared" si="110"/>
        <v>0</v>
      </c>
      <c r="CG282" s="1162">
        <f t="shared" si="110"/>
        <v>0</v>
      </c>
      <c r="CH282" s="1162">
        <f t="shared" si="110"/>
        <v>0</v>
      </c>
      <c r="CI282" s="1162">
        <f t="shared" si="110"/>
        <v>0</v>
      </c>
      <c r="CJ282" s="1162">
        <f t="shared" si="110"/>
        <v>0</v>
      </c>
      <c r="CK282" s="1162">
        <f t="shared" si="110"/>
        <v>0</v>
      </c>
      <c r="CL282" s="1162">
        <f t="shared" si="107"/>
        <v>0</v>
      </c>
      <c r="CM282" s="1162">
        <f t="shared" si="107"/>
        <v>0</v>
      </c>
      <c r="CN282" s="1162">
        <f t="shared" si="107"/>
        <v>0</v>
      </c>
      <c r="CO282" s="1162">
        <f t="shared" si="107"/>
        <v>0</v>
      </c>
      <c r="CP282" s="1162">
        <f t="shared" si="107"/>
        <v>0</v>
      </c>
      <c r="CQ282" s="48">
        <f t="shared" si="107"/>
        <v>0</v>
      </c>
      <c r="CR282" s="48">
        <f t="shared" si="107"/>
        <v>0</v>
      </c>
      <c r="CS282" s="48">
        <f t="shared" si="107"/>
        <v>0</v>
      </c>
      <c r="CT282" s="48">
        <f t="shared" si="107"/>
        <v>0</v>
      </c>
      <c r="CU282" s="48">
        <f t="shared" si="107"/>
        <v>0</v>
      </c>
      <c r="CV282" s="48">
        <f t="shared" si="107"/>
        <v>0</v>
      </c>
      <c r="CW282" s="48">
        <f t="shared" si="107"/>
        <v>0</v>
      </c>
      <c r="CX282" s="48">
        <f t="shared" si="107"/>
        <v>0</v>
      </c>
      <c r="CY282" s="48">
        <f t="shared" si="107"/>
        <v>0</v>
      </c>
      <c r="CZ282" s="48">
        <f t="shared" si="107"/>
        <v>0</v>
      </c>
      <c r="DA282" s="48">
        <f t="shared" si="107"/>
        <v>0</v>
      </c>
      <c r="DB282" s="48">
        <f t="shared" si="107"/>
        <v>0</v>
      </c>
      <c r="DC282" s="48">
        <f t="shared" si="107"/>
        <v>0</v>
      </c>
      <c r="DD282" s="48">
        <f t="shared" si="107"/>
        <v>0</v>
      </c>
      <c r="DE282" s="48">
        <f t="shared" si="107"/>
        <v>0</v>
      </c>
      <c r="DF282" s="48">
        <f t="shared" si="107"/>
        <v>0</v>
      </c>
      <c r="DG282" s="48">
        <f t="shared" si="107"/>
        <v>0</v>
      </c>
      <c r="DH282" s="48">
        <f t="shared" si="107"/>
        <v>0</v>
      </c>
      <c r="DI282" s="48">
        <f t="shared" si="107"/>
        <v>0</v>
      </c>
      <c r="DJ282" s="48">
        <f t="shared" si="107"/>
        <v>0</v>
      </c>
      <c r="DK282" s="48">
        <f t="shared" si="107"/>
        <v>0</v>
      </c>
      <c r="DL282" s="48">
        <f t="shared" si="107"/>
        <v>0</v>
      </c>
      <c r="DM282" s="48">
        <f t="shared" si="107"/>
        <v>0</v>
      </c>
      <c r="DN282" s="48">
        <f t="shared" si="107"/>
        <v>0</v>
      </c>
      <c r="DO282" s="48">
        <f t="shared" si="107"/>
        <v>0</v>
      </c>
      <c r="DP282" s="48">
        <f t="shared" si="107"/>
        <v>0</v>
      </c>
      <c r="DQ282" s="48">
        <f t="shared" si="107"/>
        <v>0</v>
      </c>
      <c r="DR282" s="50">
        <f t="shared" si="107"/>
        <v>0</v>
      </c>
      <c r="DS282" s="50">
        <f t="shared" si="107"/>
        <v>0</v>
      </c>
      <c r="DT282" s="50">
        <f t="shared" si="107"/>
        <v>0</v>
      </c>
      <c r="DU282" s="50">
        <f t="shared" ref="DU282:EN282" si="111">IF(OR($M282=0,$N282=0),0,IF($N282=DU$277,$M282,0))</f>
        <v>0</v>
      </c>
      <c r="DV282" s="50">
        <f t="shared" si="111"/>
        <v>0</v>
      </c>
      <c r="DW282" s="50">
        <f t="shared" si="111"/>
        <v>0</v>
      </c>
      <c r="DX282" s="50">
        <f t="shared" si="111"/>
        <v>0</v>
      </c>
      <c r="DY282" s="50">
        <f t="shared" si="111"/>
        <v>0</v>
      </c>
      <c r="DZ282" s="50">
        <f t="shared" si="111"/>
        <v>0</v>
      </c>
      <c r="EA282" s="50">
        <f t="shared" si="111"/>
        <v>0</v>
      </c>
      <c r="EB282" s="50">
        <f t="shared" si="111"/>
        <v>0</v>
      </c>
      <c r="EC282" s="50">
        <f t="shared" si="111"/>
        <v>0</v>
      </c>
      <c r="ED282" s="50">
        <f t="shared" si="111"/>
        <v>0</v>
      </c>
      <c r="EE282" s="50">
        <f t="shared" si="111"/>
        <v>0</v>
      </c>
      <c r="EF282" s="50">
        <f t="shared" si="111"/>
        <v>0</v>
      </c>
      <c r="EG282" s="50">
        <f t="shared" si="111"/>
        <v>0</v>
      </c>
      <c r="EH282" s="50">
        <f t="shared" si="111"/>
        <v>0</v>
      </c>
      <c r="EI282" s="50">
        <f t="shared" si="111"/>
        <v>0</v>
      </c>
      <c r="EJ282" s="50">
        <f t="shared" si="111"/>
        <v>0</v>
      </c>
      <c r="EK282" s="50">
        <f t="shared" si="111"/>
        <v>0</v>
      </c>
      <c r="EL282" s="50">
        <f t="shared" si="111"/>
        <v>0</v>
      </c>
      <c r="EM282" s="50">
        <f t="shared" si="111"/>
        <v>0</v>
      </c>
      <c r="EN282" s="50">
        <f t="shared" si="111"/>
        <v>0</v>
      </c>
      <c r="EO282" s="39">
        <v>51</v>
      </c>
      <c r="EP282" s="39">
        <v>51</v>
      </c>
      <c r="EQ282" s="39">
        <v>51</v>
      </c>
      <c r="ER282" s="39">
        <v>51</v>
      </c>
      <c r="ES282" s="39">
        <v>51</v>
      </c>
      <c r="ET282" s="39">
        <v>51</v>
      </c>
      <c r="EU282" s="39">
        <v>51</v>
      </c>
      <c r="EV282" s="39">
        <v>51</v>
      </c>
      <c r="EW282" s="39">
        <v>51</v>
      </c>
      <c r="EX282" s="39">
        <v>51</v>
      </c>
    </row>
    <row r="283" spans="1:154" ht="12" customHeight="1" x14ac:dyDescent="0.35">
      <c r="A283" s="67">
        <v>6</v>
      </c>
      <c r="B283" s="1438">
        <f t="shared" si="108"/>
        <v>182</v>
      </c>
      <c r="C283" s="1440">
        <v>6</v>
      </c>
      <c r="D283" s="67"/>
      <c r="E283" s="67"/>
      <c r="F283" s="82"/>
      <c r="G283" s="1448"/>
      <c r="H283" s="1448"/>
      <c r="I283" s="1448"/>
      <c r="J283" s="1448"/>
      <c r="K283" s="1630">
        <v>6</v>
      </c>
      <c r="L283" s="1640">
        <f>Input!D244</f>
        <v>0</v>
      </c>
      <c r="M283" s="1641">
        <f>IF(Input!$F$238&gt;=$K283,Input!G244,0)</f>
        <v>0</v>
      </c>
      <c r="N283" s="1642">
        <f>Input!H244</f>
        <v>0</v>
      </c>
      <c r="O283" s="1643">
        <f>Input!I244</f>
        <v>0</v>
      </c>
      <c r="P283" s="1630">
        <f t="shared" si="102"/>
        <v>6</v>
      </c>
      <c r="Q283" s="1644">
        <f>Input!D267</f>
        <v>0</v>
      </c>
      <c r="R283" s="1641">
        <f>IF(Input!$F$261&gt;=$K283,Input!G267,0)</f>
        <v>0</v>
      </c>
      <c r="S283" s="1642">
        <f>Input!H267</f>
        <v>0</v>
      </c>
      <c r="T283" s="1643">
        <f>Input!I267</f>
        <v>0</v>
      </c>
      <c r="U283" s="1621"/>
      <c r="V283" s="1636">
        <f t="shared" si="103"/>
        <v>0</v>
      </c>
      <c r="W283" s="1636">
        <f t="shared" si="104"/>
        <v>0</v>
      </c>
      <c r="X283" s="381">
        <f t="shared" si="105"/>
        <v>0</v>
      </c>
      <c r="Y283" s="1645">
        <f t="shared" si="109"/>
        <v>0</v>
      </c>
      <c r="Z283" s="1646">
        <f t="shared" si="110"/>
        <v>0</v>
      </c>
      <c r="AA283" s="1646">
        <f t="shared" si="110"/>
        <v>0</v>
      </c>
      <c r="AB283" s="1646">
        <f t="shared" si="110"/>
        <v>0</v>
      </c>
      <c r="AC283" s="1646">
        <f t="shared" si="110"/>
        <v>0</v>
      </c>
      <c r="AD283" s="1646">
        <f t="shared" si="110"/>
        <v>0</v>
      </c>
      <c r="AE283" s="1646">
        <f t="shared" si="110"/>
        <v>0</v>
      </c>
      <c r="AF283" s="1155">
        <f t="shared" si="110"/>
        <v>0</v>
      </c>
      <c r="AG283" s="1155">
        <f t="shared" si="110"/>
        <v>0</v>
      </c>
      <c r="AH283" s="1155">
        <f t="shared" si="110"/>
        <v>0</v>
      </c>
      <c r="AI283" s="1155">
        <f t="shared" si="110"/>
        <v>0</v>
      </c>
      <c r="AJ283" s="1155">
        <f t="shared" si="110"/>
        <v>0</v>
      </c>
      <c r="AK283" s="1155">
        <f t="shared" si="110"/>
        <v>0</v>
      </c>
      <c r="AL283" s="1155">
        <f t="shared" si="110"/>
        <v>0</v>
      </c>
      <c r="AM283" s="1155">
        <f t="shared" si="110"/>
        <v>0</v>
      </c>
      <c r="AN283" s="1155">
        <f t="shared" si="110"/>
        <v>0</v>
      </c>
      <c r="AO283" s="1155">
        <f t="shared" si="110"/>
        <v>0</v>
      </c>
      <c r="AP283" s="1155">
        <f t="shared" si="110"/>
        <v>0</v>
      </c>
      <c r="AQ283" s="1155">
        <f t="shared" si="110"/>
        <v>0</v>
      </c>
      <c r="AR283" s="1155">
        <f t="shared" si="110"/>
        <v>0</v>
      </c>
      <c r="AS283" s="1155">
        <f t="shared" si="110"/>
        <v>0</v>
      </c>
      <c r="AT283" s="1155">
        <f t="shared" si="110"/>
        <v>0</v>
      </c>
      <c r="AU283" s="1155">
        <f t="shared" si="110"/>
        <v>0</v>
      </c>
      <c r="AV283" s="1155">
        <f t="shared" si="110"/>
        <v>0</v>
      </c>
      <c r="AW283" s="1155">
        <f t="shared" si="110"/>
        <v>0</v>
      </c>
      <c r="AX283" s="1155">
        <f t="shared" si="110"/>
        <v>0</v>
      </c>
      <c r="AY283" s="1155">
        <f t="shared" si="110"/>
        <v>0</v>
      </c>
      <c r="AZ283" s="1155">
        <f t="shared" si="110"/>
        <v>0</v>
      </c>
      <c r="BA283" s="1155">
        <f t="shared" si="110"/>
        <v>0</v>
      </c>
      <c r="BB283" s="1155">
        <f t="shared" si="110"/>
        <v>0</v>
      </c>
      <c r="BC283" s="1155">
        <f t="shared" si="110"/>
        <v>0</v>
      </c>
      <c r="BD283" s="1155">
        <f t="shared" si="110"/>
        <v>0</v>
      </c>
      <c r="BE283" s="1155">
        <f t="shared" si="110"/>
        <v>0</v>
      </c>
      <c r="BF283" s="1155">
        <f t="shared" si="110"/>
        <v>0</v>
      </c>
      <c r="BG283" s="1155">
        <f t="shared" si="110"/>
        <v>0</v>
      </c>
      <c r="BH283" s="1155">
        <f t="shared" si="110"/>
        <v>0</v>
      </c>
      <c r="BI283" s="1155">
        <f t="shared" si="110"/>
        <v>0</v>
      </c>
      <c r="BJ283" s="1155">
        <f t="shared" si="110"/>
        <v>0</v>
      </c>
      <c r="BK283" s="1155">
        <f t="shared" si="110"/>
        <v>0</v>
      </c>
      <c r="BL283" s="1155">
        <f t="shared" si="110"/>
        <v>0</v>
      </c>
      <c r="BM283" s="1155">
        <f t="shared" si="110"/>
        <v>0</v>
      </c>
      <c r="BN283" s="1155">
        <f t="shared" si="110"/>
        <v>0</v>
      </c>
      <c r="BO283" s="1155">
        <f t="shared" si="110"/>
        <v>0</v>
      </c>
      <c r="BP283" s="1155">
        <f t="shared" si="110"/>
        <v>0</v>
      </c>
      <c r="BQ283" s="1155">
        <f t="shared" si="110"/>
        <v>0</v>
      </c>
      <c r="BR283" s="1155">
        <f t="shared" si="110"/>
        <v>0</v>
      </c>
      <c r="BS283" s="1155">
        <f t="shared" si="110"/>
        <v>0</v>
      </c>
      <c r="BT283" s="1155">
        <f t="shared" si="110"/>
        <v>0</v>
      </c>
      <c r="BU283" s="1155">
        <f t="shared" si="110"/>
        <v>0</v>
      </c>
      <c r="BV283" s="1155">
        <f t="shared" si="110"/>
        <v>0</v>
      </c>
      <c r="BW283" s="1155">
        <f t="shared" si="110"/>
        <v>0</v>
      </c>
      <c r="BX283" s="1457">
        <f t="shared" si="110"/>
        <v>0</v>
      </c>
      <c r="BY283" s="1457">
        <f t="shared" si="110"/>
        <v>0</v>
      </c>
      <c r="BZ283" s="1162">
        <f t="shared" si="110"/>
        <v>0</v>
      </c>
      <c r="CA283" s="1162">
        <f t="shared" si="110"/>
        <v>0</v>
      </c>
      <c r="CB283" s="1162">
        <f t="shared" si="110"/>
        <v>0</v>
      </c>
      <c r="CC283" s="1162">
        <f t="shared" si="110"/>
        <v>0</v>
      </c>
      <c r="CD283" s="1162">
        <f t="shared" si="110"/>
        <v>0</v>
      </c>
      <c r="CE283" s="1162">
        <f t="shared" si="110"/>
        <v>0</v>
      </c>
      <c r="CF283" s="1162">
        <f t="shared" si="110"/>
        <v>0</v>
      </c>
      <c r="CG283" s="1162">
        <f t="shared" si="110"/>
        <v>0</v>
      </c>
      <c r="CH283" s="1162">
        <f t="shared" si="110"/>
        <v>0</v>
      </c>
      <c r="CI283" s="1162">
        <f t="shared" si="110"/>
        <v>0</v>
      </c>
      <c r="CJ283" s="1162">
        <f t="shared" si="110"/>
        <v>0</v>
      </c>
      <c r="CK283" s="1162">
        <f t="shared" ref="CK283:EN286" si="112">IF(OR($M283=0,$N283=0),0,IF($N283=CK$277,$M283,0))</f>
        <v>0</v>
      </c>
      <c r="CL283" s="1162">
        <f t="shared" si="112"/>
        <v>0</v>
      </c>
      <c r="CM283" s="1162">
        <f t="shared" si="112"/>
        <v>0</v>
      </c>
      <c r="CN283" s="1162">
        <f t="shared" si="112"/>
        <v>0</v>
      </c>
      <c r="CO283" s="1162">
        <f t="shared" si="112"/>
        <v>0</v>
      </c>
      <c r="CP283" s="1162">
        <f t="shared" si="112"/>
        <v>0</v>
      </c>
      <c r="CQ283" s="48">
        <f t="shared" si="112"/>
        <v>0</v>
      </c>
      <c r="CR283" s="48">
        <f t="shared" si="112"/>
        <v>0</v>
      </c>
      <c r="CS283" s="48">
        <f t="shared" si="112"/>
        <v>0</v>
      </c>
      <c r="CT283" s="48">
        <f t="shared" si="112"/>
        <v>0</v>
      </c>
      <c r="CU283" s="48">
        <f t="shared" si="112"/>
        <v>0</v>
      </c>
      <c r="CV283" s="48">
        <f t="shared" si="112"/>
        <v>0</v>
      </c>
      <c r="CW283" s="48">
        <f t="shared" si="112"/>
        <v>0</v>
      </c>
      <c r="CX283" s="48">
        <f t="shared" si="112"/>
        <v>0</v>
      </c>
      <c r="CY283" s="48">
        <f t="shared" si="112"/>
        <v>0</v>
      </c>
      <c r="CZ283" s="48">
        <f t="shared" si="112"/>
        <v>0</v>
      </c>
      <c r="DA283" s="48">
        <f t="shared" si="112"/>
        <v>0</v>
      </c>
      <c r="DB283" s="48">
        <f t="shared" si="112"/>
        <v>0</v>
      </c>
      <c r="DC283" s="48">
        <f t="shared" si="112"/>
        <v>0</v>
      </c>
      <c r="DD283" s="48">
        <f t="shared" si="112"/>
        <v>0</v>
      </c>
      <c r="DE283" s="48">
        <f t="shared" si="112"/>
        <v>0</v>
      </c>
      <c r="DF283" s="48">
        <f t="shared" si="112"/>
        <v>0</v>
      </c>
      <c r="DG283" s="48">
        <f t="shared" si="112"/>
        <v>0</v>
      </c>
      <c r="DH283" s="48">
        <f t="shared" si="112"/>
        <v>0</v>
      </c>
      <c r="DI283" s="48">
        <f t="shared" si="112"/>
        <v>0</v>
      </c>
      <c r="DJ283" s="48">
        <f t="shared" si="112"/>
        <v>0</v>
      </c>
      <c r="DK283" s="48">
        <f t="shared" si="112"/>
        <v>0</v>
      </c>
      <c r="DL283" s="48">
        <f t="shared" si="112"/>
        <v>0</v>
      </c>
      <c r="DM283" s="48">
        <f t="shared" si="112"/>
        <v>0</v>
      </c>
      <c r="DN283" s="48">
        <f t="shared" si="112"/>
        <v>0</v>
      </c>
      <c r="DO283" s="48">
        <f t="shared" si="112"/>
        <v>0</v>
      </c>
      <c r="DP283" s="48">
        <f t="shared" si="112"/>
        <v>0</v>
      </c>
      <c r="DQ283" s="48">
        <f t="shared" si="112"/>
        <v>0</v>
      </c>
      <c r="DR283" s="50">
        <f t="shared" si="112"/>
        <v>0</v>
      </c>
      <c r="DS283" s="50">
        <f t="shared" si="112"/>
        <v>0</v>
      </c>
      <c r="DT283" s="50">
        <f t="shared" si="112"/>
        <v>0</v>
      </c>
      <c r="DU283" s="50">
        <f t="shared" si="112"/>
        <v>0</v>
      </c>
      <c r="DV283" s="50">
        <f t="shared" si="112"/>
        <v>0</v>
      </c>
      <c r="DW283" s="50">
        <f t="shared" si="112"/>
        <v>0</v>
      </c>
      <c r="DX283" s="50">
        <f t="shared" si="112"/>
        <v>0</v>
      </c>
      <c r="DY283" s="50">
        <f t="shared" si="112"/>
        <v>0</v>
      </c>
      <c r="DZ283" s="50">
        <f t="shared" si="112"/>
        <v>0</v>
      </c>
      <c r="EA283" s="50">
        <f t="shared" si="112"/>
        <v>0</v>
      </c>
      <c r="EB283" s="50">
        <f t="shared" si="112"/>
        <v>0</v>
      </c>
      <c r="EC283" s="50">
        <f t="shared" si="112"/>
        <v>0</v>
      </c>
      <c r="ED283" s="50">
        <f t="shared" si="112"/>
        <v>0</v>
      </c>
      <c r="EE283" s="50">
        <f t="shared" si="112"/>
        <v>0</v>
      </c>
      <c r="EF283" s="50">
        <f t="shared" si="112"/>
        <v>0</v>
      </c>
      <c r="EG283" s="50">
        <f t="shared" si="112"/>
        <v>0</v>
      </c>
      <c r="EH283" s="50">
        <f t="shared" si="112"/>
        <v>0</v>
      </c>
      <c r="EI283" s="50">
        <f t="shared" si="112"/>
        <v>0</v>
      </c>
      <c r="EJ283" s="50">
        <f t="shared" si="112"/>
        <v>0</v>
      </c>
      <c r="EK283" s="50">
        <f t="shared" si="112"/>
        <v>0</v>
      </c>
      <c r="EL283" s="50">
        <f t="shared" si="112"/>
        <v>0</v>
      </c>
      <c r="EM283" s="50">
        <f t="shared" si="112"/>
        <v>0</v>
      </c>
      <c r="EN283" s="50">
        <f t="shared" si="112"/>
        <v>0</v>
      </c>
      <c r="EO283" s="39">
        <v>51</v>
      </c>
      <c r="EP283" s="39">
        <v>51</v>
      </c>
      <c r="EQ283" s="39">
        <v>51</v>
      </c>
      <c r="ER283" s="39">
        <v>51</v>
      </c>
      <c r="ES283" s="39">
        <v>51</v>
      </c>
      <c r="ET283" s="39">
        <v>51</v>
      </c>
      <c r="EU283" s="39">
        <v>51</v>
      </c>
      <c r="EV283" s="39">
        <v>51</v>
      </c>
      <c r="EW283" s="39">
        <v>51</v>
      </c>
      <c r="EX283" s="39">
        <v>51</v>
      </c>
    </row>
    <row r="284" spans="1:154" ht="12" customHeight="1" x14ac:dyDescent="0.35">
      <c r="A284" s="67">
        <v>7</v>
      </c>
      <c r="B284" s="1438">
        <f t="shared" si="108"/>
        <v>213</v>
      </c>
      <c r="C284" s="1440">
        <v>7</v>
      </c>
      <c r="D284" s="67"/>
      <c r="E284" s="67"/>
      <c r="F284" s="82"/>
      <c r="G284" s="1448"/>
      <c r="H284" s="1448"/>
      <c r="I284" s="1448"/>
      <c r="J284" s="1448"/>
      <c r="K284" s="1630">
        <v>7</v>
      </c>
      <c r="L284" s="1640">
        <f>Input!D245</f>
        <v>0</v>
      </c>
      <c r="M284" s="1641">
        <f>IF(Input!$F$238&gt;=$K284,Input!G245,0)</f>
        <v>0</v>
      </c>
      <c r="N284" s="1642">
        <f>Input!H245</f>
        <v>0</v>
      </c>
      <c r="O284" s="1643">
        <f>Input!I245</f>
        <v>0</v>
      </c>
      <c r="P284" s="1630">
        <f t="shared" si="102"/>
        <v>7</v>
      </c>
      <c r="Q284" s="1644">
        <f>Input!D268</f>
        <v>0</v>
      </c>
      <c r="R284" s="1641">
        <f>IF(Input!$F$261&gt;=$K284,Input!G268,0)</f>
        <v>0</v>
      </c>
      <c r="S284" s="1642">
        <f>Input!H268</f>
        <v>0</v>
      </c>
      <c r="T284" s="1643">
        <f>Input!I268</f>
        <v>0</v>
      </c>
      <c r="U284" s="1621"/>
      <c r="V284" s="1636">
        <f t="shared" si="103"/>
        <v>0</v>
      </c>
      <c r="W284" s="1636">
        <f t="shared" si="104"/>
        <v>0</v>
      </c>
      <c r="X284" s="381">
        <f t="shared" si="105"/>
        <v>0</v>
      </c>
      <c r="Y284" s="1645">
        <f t="shared" si="109"/>
        <v>0</v>
      </c>
      <c r="Z284" s="1646">
        <f t="shared" ref="Z284:CK287" si="113">IF(OR($M284=0,$N284=0),0,IF($N284=Z$277,$M284,0))</f>
        <v>0</v>
      </c>
      <c r="AA284" s="1646">
        <f t="shared" si="113"/>
        <v>0</v>
      </c>
      <c r="AB284" s="1646">
        <f t="shared" si="113"/>
        <v>0</v>
      </c>
      <c r="AC284" s="1646">
        <f t="shared" si="113"/>
        <v>0</v>
      </c>
      <c r="AD284" s="1646">
        <f t="shared" si="113"/>
        <v>0</v>
      </c>
      <c r="AE284" s="1646">
        <f t="shared" si="113"/>
        <v>0</v>
      </c>
      <c r="AF284" s="1155">
        <f t="shared" si="113"/>
        <v>0</v>
      </c>
      <c r="AG284" s="1155">
        <f t="shared" si="113"/>
        <v>0</v>
      </c>
      <c r="AH284" s="1155">
        <f t="shared" si="113"/>
        <v>0</v>
      </c>
      <c r="AI284" s="1155">
        <f t="shared" si="113"/>
        <v>0</v>
      </c>
      <c r="AJ284" s="1155">
        <f t="shared" si="113"/>
        <v>0</v>
      </c>
      <c r="AK284" s="1155">
        <f t="shared" si="113"/>
        <v>0</v>
      </c>
      <c r="AL284" s="1155">
        <f t="shared" si="113"/>
        <v>0</v>
      </c>
      <c r="AM284" s="1155">
        <f t="shared" si="113"/>
        <v>0</v>
      </c>
      <c r="AN284" s="1155">
        <f t="shared" si="113"/>
        <v>0</v>
      </c>
      <c r="AO284" s="1155">
        <f t="shared" si="113"/>
        <v>0</v>
      </c>
      <c r="AP284" s="1155">
        <f t="shared" si="113"/>
        <v>0</v>
      </c>
      <c r="AQ284" s="1155">
        <f t="shared" si="113"/>
        <v>0</v>
      </c>
      <c r="AR284" s="1155">
        <f t="shared" si="113"/>
        <v>0</v>
      </c>
      <c r="AS284" s="1155">
        <f t="shared" si="113"/>
        <v>0</v>
      </c>
      <c r="AT284" s="1155">
        <f t="shared" si="113"/>
        <v>0</v>
      </c>
      <c r="AU284" s="1155">
        <f t="shared" si="113"/>
        <v>0</v>
      </c>
      <c r="AV284" s="1155">
        <f t="shared" si="113"/>
        <v>0</v>
      </c>
      <c r="AW284" s="1155">
        <f t="shared" si="113"/>
        <v>0</v>
      </c>
      <c r="AX284" s="1155">
        <f t="shared" si="113"/>
        <v>0</v>
      </c>
      <c r="AY284" s="1155">
        <f t="shared" si="113"/>
        <v>0</v>
      </c>
      <c r="AZ284" s="1155">
        <f t="shared" si="113"/>
        <v>0</v>
      </c>
      <c r="BA284" s="1155">
        <f t="shared" si="113"/>
        <v>0</v>
      </c>
      <c r="BB284" s="1155">
        <f t="shared" si="113"/>
        <v>0</v>
      </c>
      <c r="BC284" s="1155">
        <f t="shared" si="113"/>
        <v>0</v>
      </c>
      <c r="BD284" s="1155">
        <f t="shared" si="113"/>
        <v>0</v>
      </c>
      <c r="BE284" s="1155">
        <f t="shared" si="113"/>
        <v>0</v>
      </c>
      <c r="BF284" s="1155">
        <f t="shared" si="113"/>
        <v>0</v>
      </c>
      <c r="BG284" s="1155">
        <f t="shared" si="113"/>
        <v>0</v>
      </c>
      <c r="BH284" s="1155">
        <f t="shared" si="113"/>
        <v>0</v>
      </c>
      <c r="BI284" s="1155">
        <f t="shared" si="113"/>
        <v>0</v>
      </c>
      <c r="BJ284" s="1155">
        <f t="shared" si="113"/>
        <v>0</v>
      </c>
      <c r="BK284" s="1155">
        <f t="shared" si="113"/>
        <v>0</v>
      </c>
      <c r="BL284" s="1155">
        <f t="shared" si="113"/>
        <v>0</v>
      </c>
      <c r="BM284" s="1155">
        <f t="shared" si="113"/>
        <v>0</v>
      </c>
      <c r="BN284" s="1155">
        <f t="shared" si="113"/>
        <v>0</v>
      </c>
      <c r="BO284" s="1155">
        <f t="shared" si="113"/>
        <v>0</v>
      </c>
      <c r="BP284" s="1155">
        <f t="shared" si="113"/>
        <v>0</v>
      </c>
      <c r="BQ284" s="1155">
        <f t="shared" si="113"/>
        <v>0</v>
      </c>
      <c r="BR284" s="1155">
        <f t="shared" si="113"/>
        <v>0</v>
      </c>
      <c r="BS284" s="1155">
        <f t="shared" si="113"/>
        <v>0</v>
      </c>
      <c r="BT284" s="1155">
        <f t="shared" si="113"/>
        <v>0</v>
      </c>
      <c r="BU284" s="1155">
        <f t="shared" si="113"/>
        <v>0</v>
      </c>
      <c r="BV284" s="1155">
        <f t="shared" si="113"/>
        <v>0</v>
      </c>
      <c r="BW284" s="1155">
        <f t="shared" si="113"/>
        <v>0</v>
      </c>
      <c r="BX284" s="1457">
        <f t="shared" si="113"/>
        <v>0</v>
      </c>
      <c r="BY284" s="1457">
        <f t="shared" si="113"/>
        <v>0</v>
      </c>
      <c r="BZ284" s="1162">
        <f t="shared" si="113"/>
        <v>0</v>
      </c>
      <c r="CA284" s="1162">
        <f t="shared" si="113"/>
        <v>0</v>
      </c>
      <c r="CB284" s="1162">
        <f t="shared" si="113"/>
        <v>0</v>
      </c>
      <c r="CC284" s="1162">
        <f t="shared" si="113"/>
        <v>0</v>
      </c>
      <c r="CD284" s="1162">
        <f t="shared" si="113"/>
        <v>0</v>
      </c>
      <c r="CE284" s="1162">
        <f t="shared" si="113"/>
        <v>0</v>
      </c>
      <c r="CF284" s="1162">
        <f t="shared" si="113"/>
        <v>0</v>
      </c>
      <c r="CG284" s="1162">
        <f t="shared" si="113"/>
        <v>0</v>
      </c>
      <c r="CH284" s="1162">
        <f t="shared" si="113"/>
        <v>0</v>
      </c>
      <c r="CI284" s="1162">
        <f t="shared" si="113"/>
        <v>0</v>
      </c>
      <c r="CJ284" s="1162">
        <f t="shared" si="113"/>
        <v>0</v>
      </c>
      <c r="CK284" s="1162">
        <f t="shared" si="113"/>
        <v>0</v>
      </c>
      <c r="CL284" s="1162">
        <f t="shared" si="112"/>
        <v>0</v>
      </c>
      <c r="CM284" s="1162">
        <f t="shared" si="112"/>
        <v>0</v>
      </c>
      <c r="CN284" s="1162">
        <f t="shared" si="112"/>
        <v>0</v>
      </c>
      <c r="CO284" s="1162">
        <f t="shared" si="112"/>
        <v>0</v>
      </c>
      <c r="CP284" s="1162">
        <f t="shared" si="112"/>
        <v>0</v>
      </c>
      <c r="CQ284" s="48">
        <f t="shared" si="112"/>
        <v>0</v>
      </c>
      <c r="CR284" s="48">
        <f t="shared" si="112"/>
        <v>0</v>
      </c>
      <c r="CS284" s="48">
        <f t="shared" si="112"/>
        <v>0</v>
      </c>
      <c r="CT284" s="48">
        <f t="shared" si="112"/>
        <v>0</v>
      </c>
      <c r="CU284" s="48">
        <f t="shared" si="112"/>
        <v>0</v>
      </c>
      <c r="CV284" s="48">
        <f t="shared" si="112"/>
        <v>0</v>
      </c>
      <c r="CW284" s="48">
        <f t="shared" si="112"/>
        <v>0</v>
      </c>
      <c r="CX284" s="48">
        <f t="shared" si="112"/>
        <v>0</v>
      </c>
      <c r="CY284" s="48">
        <f t="shared" si="112"/>
        <v>0</v>
      </c>
      <c r="CZ284" s="48">
        <f t="shared" si="112"/>
        <v>0</v>
      </c>
      <c r="DA284" s="48">
        <f t="shared" si="112"/>
        <v>0</v>
      </c>
      <c r="DB284" s="48">
        <f t="shared" si="112"/>
        <v>0</v>
      </c>
      <c r="DC284" s="48">
        <f t="shared" si="112"/>
        <v>0</v>
      </c>
      <c r="DD284" s="48">
        <f t="shared" si="112"/>
        <v>0</v>
      </c>
      <c r="DE284" s="48">
        <f t="shared" si="112"/>
        <v>0</v>
      </c>
      <c r="DF284" s="48">
        <f t="shared" si="112"/>
        <v>0</v>
      </c>
      <c r="DG284" s="48">
        <f t="shared" si="112"/>
        <v>0</v>
      </c>
      <c r="DH284" s="48">
        <f t="shared" si="112"/>
        <v>0</v>
      </c>
      <c r="DI284" s="48">
        <f t="shared" si="112"/>
        <v>0</v>
      </c>
      <c r="DJ284" s="48">
        <f t="shared" si="112"/>
        <v>0</v>
      </c>
      <c r="DK284" s="48">
        <f t="shared" si="112"/>
        <v>0</v>
      </c>
      <c r="DL284" s="48">
        <f t="shared" si="112"/>
        <v>0</v>
      </c>
      <c r="DM284" s="48">
        <f t="shared" si="112"/>
        <v>0</v>
      </c>
      <c r="DN284" s="48">
        <f t="shared" si="112"/>
        <v>0</v>
      </c>
      <c r="DO284" s="48">
        <f t="shared" si="112"/>
        <v>0</v>
      </c>
      <c r="DP284" s="48">
        <f t="shared" si="112"/>
        <v>0</v>
      </c>
      <c r="DQ284" s="48">
        <f t="shared" si="112"/>
        <v>0</v>
      </c>
      <c r="DR284" s="50">
        <f t="shared" si="112"/>
        <v>0</v>
      </c>
      <c r="DS284" s="50">
        <f t="shared" si="112"/>
        <v>0</v>
      </c>
      <c r="DT284" s="50">
        <f t="shared" si="112"/>
        <v>0</v>
      </c>
      <c r="DU284" s="50">
        <f t="shared" si="112"/>
        <v>0</v>
      </c>
      <c r="DV284" s="50">
        <f t="shared" si="112"/>
        <v>0</v>
      </c>
      <c r="DW284" s="50">
        <f t="shared" si="112"/>
        <v>0</v>
      </c>
      <c r="DX284" s="50">
        <f t="shared" si="112"/>
        <v>0</v>
      </c>
      <c r="DY284" s="50">
        <f t="shared" si="112"/>
        <v>0</v>
      </c>
      <c r="DZ284" s="50">
        <f t="shared" si="112"/>
        <v>0</v>
      </c>
      <c r="EA284" s="50">
        <f t="shared" si="112"/>
        <v>0</v>
      </c>
      <c r="EB284" s="50">
        <f t="shared" si="112"/>
        <v>0</v>
      </c>
      <c r="EC284" s="50">
        <f t="shared" si="112"/>
        <v>0</v>
      </c>
      <c r="ED284" s="50">
        <f t="shared" si="112"/>
        <v>0</v>
      </c>
      <c r="EE284" s="50">
        <f t="shared" si="112"/>
        <v>0</v>
      </c>
      <c r="EF284" s="50">
        <f t="shared" si="112"/>
        <v>0</v>
      </c>
      <c r="EG284" s="50">
        <f t="shared" si="112"/>
        <v>0</v>
      </c>
      <c r="EH284" s="50">
        <f t="shared" si="112"/>
        <v>0</v>
      </c>
      <c r="EI284" s="50">
        <f t="shared" si="112"/>
        <v>0</v>
      </c>
      <c r="EJ284" s="50">
        <f t="shared" si="112"/>
        <v>0</v>
      </c>
      <c r="EK284" s="50">
        <f t="shared" si="112"/>
        <v>0</v>
      </c>
      <c r="EL284" s="50">
        <f t="shared" si="112"/>
        <v>0</v>
      </c>
      <c r="EM284" s="50">
        <f t="shared" si="112"/>
        <v>0</v>
      </c>
      <c r="EN284" s="50">
        <f t="shared" si="112"/>
        <v>0</v>
      </c>
      <c r="EO284" s="39">
        <v>51</v>
      </c>
      <c r="EP284" s="39">
        <v>51</v>
      </c>
      <c r="EQ284" s="39">
        <v>51</v>
      </c>
      <c r="ER284" s="39">
        <v>51</v>
      </c>
      <c r="ES284" s="39">
        <v>51</v>
      </c>
      <c r="ET284" s="39">
        <v>51</v>
      </c>
      <c r="EU284" s="39">
        <v>51</v>
      </c>
      <c r="EV284" s="39">
        <v>51</v>
      </c>
      <c r="EW284" s="39">
        <v>51</v>
      </c>
      <c r="EX284" s="39">
        <v>51</v>
      </c>
    </row>
    <row r="285" spans="1:154" ht="12" customHeight="1" x14ac:dyDescent="0.35">
      <c r="A285" s="67">
        <v>8</v>
      </c>
      <c r="B285" s="1438">
        <f t="shared" si="108"/>
        <v>244</v>
      </c>
      <c r="C285" s="1440">
        <v>8</v>
      </c>
      <c r="D285" s="67"/>
      <c r="E285" s="67"/>
      <c r="F285" s="82"/>
      <c r="G285" s="1448"/>
      <c r="H285" s="1448"/>
      <c r="I285" s="1448"/>
      <c r="J285" s="1448"/>
      <c r="K285" s="1630">
        <v>8</v>
      </c>
      <c r="L285" s="1640">
        <f>Input!D246</f>
        <v>0</v>
      </c>
      <c r="M285" s="1641">
        <f>IF(Input!$F$238&gt;=$K285,Input!G246,0)</f>
        <v>0</v>
      </c>
      <c r="N285" s="1642">
        <f>Input!H246</f>
        <v>0</v>
      </c>
      <c r="O285" s="1643">
        <f>Input!I246</f>
        <v>0</v>
      </c>
      <c r="P285" s="1630">
        <f t="shared" si="102"/>
        <v>8</v>
      </c>
      <c r="Q285" s="1644">
        <f>Input!D269</f>
        <v>0</v>
      </c>
      <c r="R285" s="1641">
        <f>IF(Input!$F$261&gt;=$K285,Input!G269,0)</f>
        <v>0</v>
      </c>
      <c r="S285" s="1642">
        <f>Input!H269</f>
        <v>0</v>
      </c>
      <c r="T285" s="1643">
        <f>Input!I269</f>
        <v>0</v>
      </c>
      <c r="U285" s="1621"/>
      <c r="V285" s="1636">
        <f t="shared" si="103"/>
        <v>0</v>
      </c>
      <c r="W285" s="1636">
        <f t="shared" si="104"/>
        <v>0</v>
      </c>
      <c r="X285" s="381">
        <f t="shared" si="105"/>
        <v>0</v>
      </c>
      <c r="Y285" s="1645">
        <f t="shared" si="109"/>
        <v>0</v>
      </c>
      <c r="Z285" s="1646">
        <f t="shared" si="113"/>
        <v>0</v>
      </c>
      <c r="AA285" s="1646">
        <f t="shared" si="113"/>
        <v>0</v>
      </c>
      <c r="AB285" s="1646">
        <f t="shared" si="113"/>
        <v>0</v>
      </c>
      <c r="AC285" s="1646">
        <f t="shared" si="113"/>
        <v>0</v>
      </c>
      <c r="AD285" s="1646">
        <f t="shared" si="113"/>
        <v>0</v>
      </c>
      <c r="AE285" s="1646">
        <f t="shared" si="113"/>
        <v>0</v>
      </c>
      <c r="AF285" s="1155">
        <f t="shared" si="113"/>
        <v>0</v>
      </c>
      <c r="AG285" s="1155">
        <f t="shared" si="113"/>
        <v>0</v>
      </c>
      <c r="AH285" s="1155">
        <f t="shared" si="113"/>
        <v>0</v>
      </c>
      <c r="AI285" s="1155">
        <f t="shared" si="113"/>
        <v>0</v>
      </c>
      <c r="AJ285" s="1155">
        <f t="shared" si="113"/>
        <v>0</v>
      </c>
      <c r="AK285" s="1155">
        <f t="shared" si="113"/>
        <v>0</v>
      </c>
      <c r="AL285" s="1155">
        <f t="shared" si="113"/>
        <v>0</v>
      </c>
      <c r="AM285" s="1155">
        <f t="shared" si="113"/>
        <v>0</v>
      </c>
      <c r="AN285" s="1155">
        <f t="shared" si="113"/>
        <v>0</v>
      </c>
      <c r="AO285" s="1155">
        <f t="shared" si="113"/>
        <v>0</v>
      </c>
      <c r="AP285" s="1155">
        <f t="shared" si="113"/>
        <v>0</v>
      </c>
      <c r="AQ285" s="1155">
        <f t="shared" si="113"/>
        <v>0</v>
      </c>
      <c r="AR285" s="1155">
        <f t="shared" si="113"/>
        <v>0</v>
      </c>
      <c r="AS285" s="1155">
        <f t="shared" si="113"/>
        <v>0</v>
      </c>
      <c r="AT285" s="1155">
        <f t="shared" si="113"/>
        <v>0</v>
      </c>
      <c r="AU285" s="1155">
        <f t="shared" si="113"/>
        <v>0</v>
      </c>
      <c r="AV285" s="1155">
        <f t="shared" si="113"/>
        <v>0</v>
      </c>
      <c r="AW285" s="1155">
        <f t="shared" si="113"/>
        <v>0</v>
      </c>
      <c r="AX285" s="1155">
        <f t="shared" si="113"/>
        <v>0</v>
      </c>
      <c r="AY285" s="1155">
        <f t="shared" si="113"/>
        <v>0</v>
      </c>
      <c r="AZ285" s="1155">
        <f t="shared" si="113"/>
        <v>0</v>
      </c>
      <c r="BA285" s="1155">
        <f t="shared" si="113"/>
        <v>0</v>
      </c>
      <c r="BB285" s="1155">
        <f t="shared" si="113"/>
        <v>0</v>
      </c>
      <c r="BC285" s="1155">
        <f t="shared" si="113"/>
        <v>0</v>
      </c>
      <c r="BD285" s="1155">
        <f t="shared" si="113"/>
        <v>0</v>
      </c>
      <c r="BE285" s="1155">
        <f t="shared" si="113"/>
        <v>0</v>
      </c>
      <c r="BF285" s="1155">
        <f t="shared" si="113"/>
        <v>0</v>
      </c>
      <c r="BG285" s="1155">
        <f t="shared" si="113"/>
        <v>0</v>
      </c>
      <c r="BH285" s="1155">
        <f t="shared" si="113"/>
        <v>0</v>
      </c>
      <c r="BI285" s="1155">
        <f t="shared" si="113"/>
        <v>0</v>
      </c>
      <c r="BJ285" s="1155">
        <f t="shared" si="113"/>
        <v>0</v>
      </c>
      <c r="BK285" s="1155">
        <f t="shared" si="113"/>
        <v>0</v>
      </c>
      <c r="BL285" s="1155">
        <f t="shared" si="113"/>
        <v>0</v>
      </c>
      <c r="BM285" s="1155">
        <f t="shared" si="113"/>
        <v>0</v>
      </c>
      <c r="BN285" s="1155">
        <f t="shared" si="113"/>
        <v>0</v>
      </c>
      <c r="BO285" s="1155">
        <f t="shared" si="113"/>
        <v>0</v>
      </c>
      <c r="BP285" s="1155">
        <f t="shared" si="113"/>
        <v>0</v>
      </c>
      <c r="BQ285" s="1155">
        <f t="shared" si="113"/>
        <v>0</v>
      </c>
      <c r="BR285" s="1155">
        <f t="shared" si="113"/>
        <v>0</v>
      </c>
      <c r="BS285" s="1155">
        <f t="shared" si="113"/>
        <v>0</v>
      </c>
      <c r="BT285" s="1155">
        <f t="shared" si="113"/>
        <v>0</v>
      </c>
      <c r="BU285" s="1155">
        <f t="shared" si="113"/>
        <v>0</v>
      </c>
      <c r="BV285" s="1155">
        <f t="shared" si="113"/>
        <v>0</v>
      </c>
      <c r="BW285" s="1155">
        <f t="shared" si="113"/>
        <v>0</v>
      </c>
      <c r="BX285" s="1457">
        <f t="shared" si="113"/>
        <v>0</v>
      </c>
      <c r="BY285" s="1457">
        <f t="shared" si="113"/>
        <v>0</v>
      </c>
      <c r="BZ285" s="1162">
        <f t="shared" si="113"/>
        <v>0</v>
      </c>
      <c r="CA285" s="1162">
        <f t="shared" si="113"/>
        <v>0</v>
      </c>
      <c r="CB285" s="1162">
        <f t="shared" si="113"/>
        <v>0</v>
      </c>
      <c r="CC285" s="1162">
        <f t="shared" si="113"/>
        <v>0</v>
      </c>
      <c r="CD285" s="1162">
        <f t="shared" si="113"/>
        <v>0</v>
      </c>
      <c r="CE285" s="1162">
        <f t="shared" si="113"/>
        <v>0</v>
      </c>
      <c r="CF285" s="1162">
        <f t="shared" si="113"/>
        <v>0</v>
      </c>
      <c r="CG285" s="1162">
        <f t="shared" si="113"/>
        <v>0</v>
      </c>
      <c r="CH285" s="1162">
        <f t="shared" si="113"/>
        <v>0</v>
      </c>
      <c r="CI285" s="1162">
        <f t="shared" si="113"/>
        <v>0</v>
      </c>
      <c r="CJ285" s="1162">
        <f t="shared" si="113"/>
        <v>0</v>
      </c>
      <c r="CK285" s="1162">
        <f t="shared" si="113"/>
        <v>0</v>
      </c>
      <c r="CL285" s="1162">
        <f t="shared" si="112"/>
        <v>0</v>
      </c>
      <c r="CM285" s="1162">
        <f t="shared" si="112"/>
        <v>0</v>
      </c>
      <c r="CN285" s="1162">
        <f t="shared" si="112"/>
        <v>0</v>
      </c>
      <c r="CO285" s="1162">
        <f t="shared" si="112"/>
        <v>0</v>
      </c>
      <c r="CP285" s="1162">
        <f t="shared" si="112"/>
        <v>0</v>
      </c>
      <c r="CQ285" s="48">
        <f t="shared" si="112"/>
        <v>0</v>
      </c>
      <c r="CR285" s="48">
        <f t="shared" si="112"/>
        <v>0</v>
      </c>
      <c r="CS285" s="48">
        <f t="shared" si="112"/>
        <v>0</v>
      </c>
      <c r="CT285" s="48">
        <f t="shared" si="112"/>
        <v>0</v>
      </c>
      <c r="CU285" s="48">
        <f t="shared" si="112"/>
        <v>0</v>
      </c>
      <c r="CV285" s="48">
        <f t="shared" si="112"/>
        <v>0</v>
      </c>
      <c r="CW285" s="48">
        <f t="shared" si="112"/>
        <v>0</v>
      </c>
      <c r="CX285" s="48">
        <f t="shared" si="112"/>
        <v>0</v>
      </c>
      <c r="CY285" s="48">
        <f t="shared" si="112"/>
        <v>0</v>
      </c>
      <c r="CZ285" s="48">
        <f t="shared" si="112"/>
        <v>0</v>
      </c>
      <c r="DA285" s="48">
        <f t="shared" si="112"/>
        <v>0</v>
      </c>
      <c r="DB285" s="48">
        <f t="shared" si="112"/>
        <v>0</v>
      </c>
      <c r="DC285" s="48">
        <f t="shared" si="112"/>
        <v>0</v>
      </c>
      <c r="DD285" s="48">
        <f t="shared" si="112"/>
        <v>0</v>
      </c>
      <c r="DE285" s="48">
        <f t="shared" si="112"/>
        <v>0</v>
      </c>
      <c r="DF285" s="48">
        <f t="shared" si="112"/>
        <v>0</v>
      </c>
      <c r="DG285" s="48">
        <f t="shared" si="112"/>
        <v>0</v>
      </c>
      <c r="DH285" s="48">
        <f t="shared" si="112"/>
        <v>0</v>
      </c>
      <c r="DI285" s="48">
        <f t="shared" si="112"/>
        <v>0</v>
      </c>
      <c r="DJ285" s="48">
        <f t="shared" si="112"/>
        <v>0</v>
      </c>
      <c r="DK285" s="48">
        <f t="shared" si="112"/>
        <v>0</v>
      </c>
      <c r="DL285" s="48">
        <f t="shared" si="112"/>
        <v>0</v>
      </c>
      <c r="DM285" s="48">
        <f t="shared" si="112"/>
        <v>0</v>
      </c>
      <c r="DN285" s="48">
        <f t="shared" si="112"/>
        <v>0</v>
      </c>
      <c r="DO285" s="48">
        <f t="shared" si="112"/>
        <v>0</v>
      </c>
      <c r="DP285" s="48">
        <f t="shared" si="112"/>
        <v>0</v>
      </c>
      <c r="DQ285" s="48">
        <f t="shared" si="112"/>
        <v>0</v>
      </c>
      <c r="DR285" s="50">
        <f t="shared" si="112"/>
        <v>0</v>
      </c>
      <c r="DS285" s="50">
        <f t="shared" si="112"/>
        <v>0</v>
      </c>
      <c r="DT285" s="50">
        <f t="shared" si="112"/>
        <v>0</v>
      </c>
      <c r="DU285" s="50">
        <f t="shared" si="112"/>
        <v>0</v>
      </c>
      <c r="DV285" s="50">
        <f t="shared" si="112"/>
        <v>0</v>
      </c>
      <c r="DW285" s="50">
        <f t="shared" si="112"/>
        <v>0</v>
      </c>
      <c r="DX285" s="50">
        <f t="shared" si="112"/>
        <v>0</v>
      </c>
      <c r="DY285" s="50">
        <f t="shared" si="112"/>
        <v>0</v>
      </c>
      <c r="DZ285" s="50">
        <f t="shared" si="112"/>
        <v>0</v>
      </c>
      <c r="EA285" s="50">
        <f t="shared" si="112"/>
        <v>0</v>
      </c>
      <c r="EB285" s="50">
        <f t="shared" si="112"/>
        <v>0</v>
      </c>
      <c r="EC285" s="50">
        <f t="shared" si="112"/>
        <v>0</v>
      </c>
      <c r="ED285" s="50">
        <f t="shared" si="112"/>
        <v>0</v>
      </c>
      <c r="EE285" s="50">
        <f t="shared" si="112"/>
        <v>0</v>
      </c>
      <c r="EF285" s="50">
        <f t="shared" si="112"/>
        <v>0</v>
      </c>
      <c r="EG285" s="50">
        <f t="shared" si="112"/>
        <v>0</v>
      </c>
      <c r="EH285" s="50">
        <f t="shared" si="112"/>
        <v>0</v>
      </c>
      <c r="EI285" s="50">
        <f t="shared" si="112"/>
        <v>0</v>
      </c>
      <c r="EJ285" s="50">
        <f t="shared" si="112"/>
        <v>0</v>
      </c>
      <c r="EK285" s="50">
        <f t="shared" si="112"/>
        <v>0</v>
      </c>
      <c r="EL285" s="50">
        <f t="shared" si="112"/>
        <v>0</v>
      </c>
      <c r="EM285" s="50">
        <f t="shared" si="112"/>
        <v>0</v>
      </c>
      <c r="EN285" s="50">
        <f t="shared" si="112"/>
        <v>0</v>
      </c>
      <c r="EO285" s="39">
        <v>51</v>
      </c>
      <c r="EP285" s="39">
        <v>51</v>
      </c>
      <c r="EQ285" s="39">
        <v>51</v>
      </c>
      <c r="ER285" s="39">
        <v>51</v>
      </c>
      <c r="ES285" s="39">
        <v>51</v>
      </c>
      <c r="ET285" s="39">
        <v>51</v>
      </c>
      <c r="EU285" s="39">
        <v>51</v>
      </c>
      <c r="EV285" s="39">
        <v>51</v>
      </c>
      <c r="EW285" s="39">
        <v>51</v>
      </c>
      <c r="EX285" s="39">
        <v>51</v>
      </c>
    </row>
    <row r="286" spans="1:154" ht="12" customHeight="1" x14ac:dyDescent="0.35">
      <c r="A286" s="67">
        <v>9</v>
      </c>
      <c r="B286" s="1438">
        <f t="shared" si="108"/>
        <v>274</v>
      </c>
      <c r="C286" s="1440">
        <v>9</v>
      </c>
      <c r="D286" s="67"/>
      <c r="E286" s="67"/>
      <c r="F286" s="82"/>
      <c r="G286" s="1448"/>
      <c r="H286" s="1448"/>
      <c r="I286" s="1448"/>
      <c r="J286" s="1448"/>
      <c r="K286" s="1630">
        <v>9</v>
      </c>
      <c r="L286" s="1640">
        <f>Input!D247</f>
        <v>0</v>
      </c>
      <c r="M286" s="1641">
        <f>IF(Input!$F$238&gt;=$K286,Input!G247,0)</f>
        <v>0</v>
      </c>
      <c r="N286" s="1642">
        <f>Input!H247</f>
        <v>0</v>
      </c>
      <c r="O286" s="1643">
        <f>Input!I247</f>
        <v>0</v>
      </c>
      <c r="P286" s="1630">
        <f t="shared" si="102"/>
        <v>9</v>
      </c>
      <c r="Q286" s="1644">
        <f>Input!D270</f>
        <v>0</v>
      </c>
      <c r="R286" s="1641">
        <f>IF(Input!$F$261&gt;=$K286,Input!G270,0)</f>
        <v>0</v>
      </c>
      <c r="S286" s="1642">
        <f>Input!H270</f>
        <v>0</v>
      </c>
      <c r="T286" s="1643">
        <f>Input!I270</f>
        <v>0</v>
      </c>
      <c r="U286" s="1621"/>
      <c r="V286" s="1636">
        <f t="shared" si="103"/>
        <v>0</v>
      </c>
      <c r="W286" s="1636">
        <f t="shared" si="104"/>
        <v>0</v>
      </c>
      <c r="X286" s="381">
        <f t="shared" si="105"/>
        <v>0</v>
      </c>
      <c r="Y286" s="1645">
        <f t="shared" si="109"/>
        <v>0</v>
      </c>
      <c r="Z286" s="1646">
        <f t="shared" si="113"/>
        <v>0</v>
      </c>
      <c r="AA286" s="1646">
        <f t="shared" si="113"/>
        <v>0</v>
      </c>
      <c r="AB286" s="1646">
        <f t="shared" si="113"/>
        <v>0</v>
      </c>
      <c r="AC286" s="1646">
        <f t="shared" si="113"/>
        <v>0</v>
      </c>
      <c r="AD286" s="1646">
        <f t="shared" si="113"/>
        <v>0</v>
      </c>
      <c r="AE286" s="1646">
        <f t="shared" si="113"/>
        <v>0</v>
      </c>
      <c r="AF286" s="1155">
        <f t="shared" si="113"/>
        <v>0</v>
      </c>
      <c r="AG286" s="1155">
        <f t="shared" si="113"/>
        <v>0</v>
      </c>
      <c r="AH286" s="1155">
        <f t="shared" si="113"/>
        <v>0</v>
      </c>
      <c r="AI286" s="1155">
        <f t="shared" si="113"/>
        <v>0</v>
      </c>
      <c r="AJ286" s="1155">
        <f t="shared" si="113"/>
        <v>0</v>
      </c>
      <c r="AK286" s="1155">
        <f t="shared" si="113"/>
        <v>0</v>
      </c>
      <c r="AL286" s="1155">
        <f t="shared" si="113"/>
        <v>0</v>
      </c>
      <c r="AM286" s="1155">
        <f t="shared" si="113"/>
        <v>0</v>
      </c>
      <c r="AN286" s="1155">
        <f t="shared" si="113"/>
        <v>0</v>
      </c>
      <c r="AO286" s="1155">
        <f t="shared" si="113"/>
        <v>0</v>
      </c>
      <c r="AP286" s="1155">
        <f t="shared" si="113"/>
        <v>0</v>
      </c>
      <c r="AQ286" s="1155">
        <f t="shared" si="113"/>
        <v>0</v>
      </c>
      <c r="AR286" s="1155">
        <f t="shared" si="113"/>
        <v>0</v>
      </c>
      <c r="AS286" s="1155">
        <f t="shared" si="113"/>
        <v>0</v>
      </c>
      <c r="AT286" s="1155">
        <f t="shared" si="113"/>
        <v>0</v>
      </c>
      <c r="AU286" s="1155">
        <f t="shared" si="113"/>
        <v>0</v>
      </c>
      <c r="AV286" s="1155">
        <f t="shared" si="113"/>
        <v>0</v>
      </c>
      <c r="AW286" s="1155">
        <f t="shared" si="113"/>
        <v>0</v>
      </c>
      <c r="AX286" s="1155">
        <f t="shared" si="113"/>
        <v>0</v>
      </c>
      <c r="AY286" s="1155">
        <f t="shared" si="113"/>
        <v>0</v>
      </c>
      <c r="AZ286" s="1155">
        <f t="shared" si="113"/>
        <v>0</v>
      </c>
      <c r="BA286" s="1155">
        <f t="shared" si="113"/>
        <v>0</v>
      </c>
      <c r="BB286" s="1155">
        <f t="shared" si="113"/>
        <v>0</v>
      </c>
      <c r="BC286" s="1155">
        <f t="shared" si="113"/>
        <v>0</v>
      </c>
      <c r="BD286" s="1155">
        <f t="shared" si="113"/>
        <v>0</v>
      </c>
      <c r="BE286" s="1155">
        <f t="shared" si="113"/>
        <v>0</v>
      </c>
      <c r="BF286" s="1155">
        <f t="shared" si="113"/>
        <v>0</v>
      </c>
      <c r="BG286" s="1155">
        <f t="shared" si="113"/>
        <v>0</v>
      </c>
      <c r="BH286" s="1155">
        <f t="shared" si="113"/>
        <v>0</v>
      </c>
      <c r="BI286" s="1155">
        <f t="shared" si="113"/>
        <v>0</v>
      </c>
      <c r="BJ286" s="1155">
        <f t="shared" si="113"/>
        <v>0</v>
      </c>
      <c r="BK286" s="1155">
        <f t="shared" si="113"/>
        <v>0</v>
      </c>
      <c r="BL286" s="1155">
        <f t="shared" si="113"/>
        <v>0</v>
      </c>
      <c r="BM286" s="1155">
        <f t="shared" si="113"/>
        <v>0</v>
      </c>
      <c r="BN286" s="1155">
        <f t="shared" si="113"/>
        <v>0</v>
      </c>
      <c r="BO286" s="1155">
        <f t="shared" si="113"/>
        <v>0</v>
      </c>
      <c r="BP286" s="1155">
        <f t="shared" si="113"/>
        <v>0</v>
      </c>
      <c r="BQ286" s="1155">
        <f t="shared" si="113"/>
        <v>0</v>
      </c>
      <c r="BR286" s="1155">
        <f t="shared" si="113"/>
        <v>0</v>
      </c>
      <c r="BS286" s="1155">
        <f t="shared" si="113"/>
        <v>0</v>
      </c>
      <c r="BT286" s="1155">
        <f t="shared" si="113"/>
        <v>0</v>
      </c>
      <c r="BU286" s="1155">
        <f t="shared" si="113"/>
        <v>0</v>
      </c>
      <c r="BV286" s="1155">
        <f t="shared" si="113"/>
        <v>0</v>
      </c>
      <c r="BW286" s="1155">
        <f t="shared" si="113"/>
        <v>0</v>
      </c>
      <c r="BX286" s="1457">
        <f t="shared" si="113"/>
        <v>0</v>
      </c>
      <c r="BY286" s="1457">
        <f t="shared" si="113"/>
        <v>0</v>
      </c>
      <c r="BZ286" s="1162">
        <f t="shared" si="113"/>
        <v>0</v>
      </c>
      <c r="CA286" s="1162">
        <f t="shared" si="113"/>
        <v>0</v>
      </c>
      <c r="CB286" s="1162">
        <f t="shared" si="113"/>
        <v>0</v>
      </c>
      <c r="CC286" s="1162">
        <f t="shared" si="113"/>
        <v>0</v>
      </c>
      <c r="CD286" s="1162">
        <f t="shared" si="113"/>
        <v>0</v>
      </c>
      <c r="CE286" s="1162">
        <f t="shared" si="113"/>
        <v>0</v>
      </c>
      <c r="CF286" s="1162">
        <f t="shared" si="113"/>
        <v>0</v>
      </c>
      <c r="CG286" s="1162">
        <f t="shared" si="113"/>
        <v>0</v>
      </c>
      <c r="CH286" s="1162">
        <f t="shared" si="113"/>
        <v>0</v>
      </c>
      <c r="CI286" s="1162">
        <f t="shared" si="113"/>
        <v>0</v>
      </c>
      <c r="CJ286" s="1162">
        <f t="shared" si="113"/>
        <v>0</v>
      </c>
      <c r="CK286" s="1162">
        <f t="shared" si="113"/>
        <v>0</v>
      </c>
      <c r="CL286" s="1162">
        <f t="shared" si="112"/>
        <v>0</v>
      </c>
      <c r="CM286" s="1162">
        <f t="shared" si="112"/>
        <v>0</v>
      </c>
      <c r="CN286" s="1162">
        <f t="shared" si="112"/>
        <v>0</v>
      </c>
      <c r="CO286" s="1162">
        <f t="shared" si="112"/>
        <v>0</v>
      </c>
      <c r="CP286" s="1162">
        <f t="shared" si="112"/>
        <v>0</v>
      </c>
      <c r="CQ286" s="48">
        <f t="shared" si="112"/>
        <v>0</v>
      </c>
      <c r="CR286" s="48">
        <f t="shared" si="112"/>
        <v>0</v>
      </c>
      <c r="CS286" s="48">
        <f t="shared" si="112"/>
        <v>0</v>
      </c>
      <c r="CT286" s="48">
        <f t="shared" si="112"/>
        <v>0</v>
      </c>
      <c r="CU286" s="48">
        <f t="shared" si="112"/>
        <v>0</v>
      </c>
      <c r="CV286" s="48">
        <f t="shared" si="112"/>
        <v>0</v>
      </c>
      <c r="CW286" s="48">
        <f t="shared" si="112"/>
        <v>0</v>
      </c>
      <c r="CX286" s="48">
        <f t="shared" si="112"/>
        <v>0</v>
      </c>
      <c r="CY286" s="48">
        <f t="shared" si="112"/>
        <v>0</v>
      </c>
      <c r="CZ286" s="48">
        <f t="shared" si="112"/>
        <v>0</v>
      </c>
      <c r="DA286" s="48">
        <f t="shared" si="112"/>
        <v>0</v>
      </c>
      <c r="DB286" s="48">
        <f t="shared" si="112"/>
        <v>0</v>
      </c>
      <c r="DC286" s="48">
        <f t="shared" si="112"/>
        <v>0</v>
      </c>
      <c r="DD286" s="48">
        <f t="shared" si="112"/>
        <v>0</v>
      </c>
      <c r="DE286" s="48">
        <f t="shared" si="112"/>
        <v>0</v>
      </c>
      <c r="DF286" s="48">
        <f t="shared" si="112"/>
        <v>0</v>
      </c>
      <c r="DG286" s="48">
        <f t="shared" si="112"/>
        <v>0</v>
      </c>
      <c r="DH286" s="48">
        <f t="shared" si="112"/>
        <v>0</v>
      </c>
      <c r="DI286" s="48">
        <f t="shared" si="112"/>
        <v>0</v>
      </c>
      <c r="DJ286" s="48">
        <f t="shared" si="112"/>
        <v>0</v>
      </c>
      <c r="DK286" s="48">
        <f t="shared" si="112"/>
        <v>0</v>
      </c>
      <c r="DL286" s="48">
        <f t="shared" si="112"/>
        <v>0</v>
      </c>
      <c r="DM286" s="48">
        <f t="shared" si="112"/>
        <v>0</v>
      </c>
      <c r="DN286" s="48">
        <f t="shared" si="112"/>
        <v>0</v>
      </c>
      <c r="DO286" s="48">
        <f t="shared" si="112"/>
        <v>0</v>
      </c>
      <c r="DP286" s="48">
        <f t="shared" si="112"/>
        <v>0</v>
      </c>
      <c r="DQ286" s="48">
        <f t="shared" si="112"/>
        <v>0</v>
      </c>
      <c r="DR286" s="50">
        <f t="shared" si="112"/>
        <v>0</v>
      </c>
      <c r="DS286" s="50">
        <f t="shared" si="112"/>
        <v>0</v>
      </c>
      <c r="DT286" s="50">
        <f t="shared" si="112"/>
        <v>0</v>
      </c>
      <c r="DU286" s="50">
        <f t="shared" si="112"/>
        <v>0</v>
      </c>
      <c r="DV286" s="50">
        <f t="shared" si="112"/>
        <v>0</v>
      </c>
      <c r="DW286" s="50">
        <f t="shared" si="112"/>
        <v>0</v>
      </c>
      <c r="DX286" s="50">
        <f t="shared" si="112"/>
        <v>0</v>
      </c>
      <c r="DY286" s="50">
        <f t="shared" si="112"/>
        <v>0</v>
      </c>
      <c r="DZ286" s="50">
        <f t="shared" si="112"/>
        <v>0</v>
      </c>
      <c r="EA286" s="50">
        <f t="shared" si="112"/>
        <v>0</v>
      </c>
      <c r="EB286" s="50">
        <f t="shared" si="112"/>
        <v>0</v>
      </c>
      <c r="EC286" s="50">
        <f t="shared" si="112"/>
        <v>0</v>
      </c>
      <c r="ED286" s="50">
        <f t="shared" si="112"/>
        <v>0</v>
      </c>
      <c r="EE286" s="50">
        <f t="shared" si="112"/>
        <v>0</v>
      </c>
      <c r="EF286" s="50">
        <f t="shared" si="112"/>
        <v>0</v>
      </c>
      <c r="EG286" s="50">
        <f t="shared" si="112"/>
        <v>0</v>
      </c>
      <c r="EH286" s="50">
        <f t="shared" si="112"/>
        <v>0</v>
      </c>
      <c r="EI286" s="50">
        <f t="shared" si="112"/>
        <v>0</v>
      </c>
      <c r="EJ286" s="50">
        <f t="shared" si="112"/>
        <v>0</v>
      </c>
      <c r="EK286" s="50">
        <f t="shared" si="112"/>
        <v>0</v>
      </c>
      <c r="EL286" s="50">
        <f t="shared" si="112"/>
        <v>0</v>
      </c>
      <c r="EM286" s="50">
        <f t="shared" si="112"/>
        <v>0</v>
      </c>
      <c r="EN286" s="50">
        <f t="shared" si="112"/>
        <v>0</v>
      </c>
      <c r="EO286" s="39">
        <v>51</v>
      </c>
      <c r="EP286" s="39">
        <v>51</v>
      </c>
      <c r="EQ286" s="39">
        <v>51</v>
      </c>
      <c r="ER286" s="39">
        <v>51</v>
      </c>
      <c r="ES286" s="39">
        <v>51</v>
      </c>
      <c r="ET286" s="39">
        <v>51</v>
      </c>
      <c r="EU286" s="39">
        <v>51</v>
      </c>
      <c r="EV286" s="39">
        <v>51</v>
      </c>
      <c r="EW286" s="39">
        <v>51</v>
      </c>
      <c r="EX286" s="39">
        <v>51</v>
      </c>
    </row>
    <row r="287" spans="1:154" ht="12" customHeight="1" x14ac:dyDescent="0.35">
      <c r="A287" s="67">
        <v>10</v>
      </c>
      <c r="B287" s="1438">
        <f t="shared" si="108"/>
        <v>305</v>
      </c>
      <c r="C287" s="1440">
        <v>10</v>
      </c>
      <c r="D287" s="67"/>
      <c r="E287" s="67"/>
      <c r="F287" s="82"/>
      <c r="G287" s="1448"/>
      <c r="H287" s="1448"/>
      <c r="I287" s="1448"/>
      <c r="J287" s="1448"/>
      <c r="K287" s="1630">
        <v>10</v>
      </c>
      <c r="L287" s="1640">
        <f>Input!D248</f>
        <v>0</v>
      </c>
      <c r="M287" s="1641">
        <f>IF(Input!$F$238&gt;=$K287,Input!G248,0)</f>
        <v>0</v>
      </c>
      <c r="N287" s="1642">
        <f>Input!H248</f>
        <v>0</v>
      </c>
      <c r="O287" s="1643">
        <f>Input!I248</f>
        <v>0</v>
      </c>
      <c r="P287" s="1630">
        <f t="shared" si="102"/>
        <v>10</v>
      </c>
      <c r="Q287" s="1644">
        <f>Input!D271</f>
        <v>0</v>
      </c>
      <c r="R287" s="1641">
        <f>IF(Input!$F$261&gt;=$K287,Input!G271,0)</f>
        <v>0</v>
      </c>
      <c r="S287" s="1642">
        <f>Input!H271</f>
        <v>0</v>
      </c>
      <c r="T287" s="1643">
        <f>Input!I271</f>
        <v>0</v>
      </c>
      <c r="U287" s="1621"/>
      <c r="V287" s="1636">
        <f t="shared" si="103"/>
        <v>0</v>
      </c>
      <c r="W287" s="1636">
        <f t="shared" si="104"/>
        <v>0</v>
      </c>
      <c r="X287" s="381">
        <f t="shared" si="105"/>
        <v>0</v>
      </c>
      <c r="Y287" s="1645">
        <f t="shared" si="109"/>
        <v>0</v>
      </c>
      <c r="Z287" s="1646">
        <f t="shared" si="113"/>
        <v>0</v>
      </c>
      <c r="AA287" s="1646">
        <f t="shared" si="113"/>
        <v>0</v>
      </c>
      <c r="AB287" s="1646">
        <f t="shared" si="113"/>
        <v>0</v>
      </c>
      <c r="AC287" s="1646">
        <f t="shared" si="113"/>
        <v>0</v>
      </c>
      <c r="AD287" s="1646">
        <f t="shared" si="113"/>
        <v>0</v>
      </c>
      <c r="AE287" s="1646">
        <f t="shared" si="113"/>
        <v>0</v>
      </c>
      <c r="AF287" s="1155">
        <f t="shared" si="113"/>
        <v>0</v>
      </c>
      <c r="AG287" s="1155">
        <f t="shared" si="113"/>
        <v>0</v>
      </c>
      <c r="AH287" s="1155">
        <f t="shared" si="113"/>
        <v>0</v>
      </c>
      <c r="AI287" s="1155">
        <f t="shared" si="113"/>
        <v>0</v>
      </c>
      <c r="AJ287" s="1155">
        <f t="shared" si="113"/>
        <v>0</v>
      </c>
      <c r="AK287" s="1155">
        <f t="shared" si="113"/>
        <v>0</v>
      </c>
      <c r="AL287" s="1155">
        <f t="shared" si="113"/>
        <v>0</v>
      </c>
      <c r="AM287" s="1155">
        <f t="shared" si="113"/>
        <v>0</v>
      </c>
      <c r="AN287" s="1155">
        <f t="shared" si="113"/>
        <v>0</v>
      </c>
      <c r="AO287" s="1155">
        <f t="shared" si="113"/>
        <v>0</v>
      </c>
      <c r="AP287" s="1155">
        <f t="shared" si="113"/>
        <v>0</v>
      </c>
      <c r="AQ287" s="1155">
        <f t="shared" si="113"/>
        <v>0</v>
      </c>
      <c r="AR287" s="1155">
        <f t="shared" si="113"/>
        <v>0</v>
      </c>
      <c r="AS287" s="1155">
        <f t="shared" si="113"/>
        <v>0</v>
      </c>
      <c r="AT287" s="1155">
        <f t="shared" si="113"/>
        <v>0</v>
      </c>
      <c r="AU287" s="1155">
        <f t="shared" si="113"/>
        <v>0</v>
      </c>
      <c r="AV287" s="1155">
        <f t="shared" si="113"/>
        <v>0</v>
      </c>
      <c r="AW287" s="1155">
        <f t="shared" si="113"/>
        <v>0</v>
      </c>
      <c r="AX287" s="1155">
        <f t="shared" si="113"/>
        <v>0</v>
      </c>
      <c r="AY287" s="1155">
        <f t="shared" si="113"/>
        <v>0</v>
      </c>
      <c r="AZ287" s="1155">
        <f t="shared" si="113"/>
        <v>0</v>
      </c>
      <c r="BA287" s="1155">
        <f t="shared" si="113"/>
        <v>0</v>
      </c>
      <c r="BB287" s="1155">
        <f t="shared" si="113"/>
        <v>0</v>
      </c>
      <c r="BC287" s="1155">
        <f t="shared" si="113"/>
        <v>0</v>
      </c>
      <c r="BD287" s="1155">
        <f t="shared" si="113"/>
        <v>0</v>
      </c>
      <c r="BE287" s="1155">
        <f t="shared" si="113"/>
        <v>0</v>
      </c>
      <c r="BF287" s="1155">
        <f t="shared" si="113"/>
        <v>0</v>
      </c>
      <c r="BG287" s="1155">
        <f t="shared" si="113"/>
        <v>0</v>
      </c>
      <c r="BH287" s="1155">
        <f t="shared" si="113"/>
        <v>0</v>
      </c>
      <c r="BI287" s="1155">
        <f t="shared" si="113"/>
        <v>0</v>
      </c>
      <c r="BJ287" s="1155">
        <f t="shared" si="113"/>
        <v>0</v>
      </c>
      <c r="BK287" s="1155">
        <f t="shared" si="113"/>
        <v>0</v>
      </c>
      <c r="BL287" s="1155">
        <f t="shared" si="113"/>
        <v>0</v>
      </c>
      <c r="BM287" s="1155">
        <f t="shared" si="113"/>
        <v>0</v>
      </c>
      <c r="BN287" s="1155">
        <f t="shared" si="113"/>
        <v>0</v>
      </c>
      <c r="BO287" s="1155">
        <f t="shared" si="113"/>
        <v>0</v>
      </c>
      <c r="BP287" s="1155">
        <f t="shared" si="113"/>
        <v>0</v>
      </c>
      <c r="BQ287" s="1155">
        <f t="shared" si="113"/>
        <v>0</v>
      </c>
      <c r="BR287" s="1155">
        <f t="shared" si="113"/>
        <v>0</v>
      </c>
      <c r="BS287" s="1155">
        <f t="shared" si="113"/>
        <v>0</v>
      </c>
      <c r="BT287" s="1155">
        <f t="shared" si="113"/>
        <v>0</v>
      </c>
      <c r="BU287" s="1155">
        <f t="shared" si="113"/>
        <v>0</v>
      </c>
      <c r="BV287" s="1155">
        <f t="shared" si="113"/>
        <v>0</v>
      </c>
      <c r="BW287" s="1155">
        <f t="shared" si="113"/>
        <v>0</v>
      </c>
      <c r="BX287" s="1457">
        <f t="shared" si="113"/>
        <v>0</v>
      </c>
      <c r="BY287" s="1457">
        <f t="shared" si="113"/>
        <v>0</v>
      </c>
      <c r="BZ287" s="1162">
        <f t="shared" si="113"/>
        <v>0</v>
      </c>
      <c r="CA287" s="1162">
        <f t="shared" si="113"/>
        <v>0</v>
      </c>
      <c r="CB287" s="1162">
        <f t="shared" si="113"/>
        <v>0</v>
      </c>
      <c r="CC287" s="1162">
        <f t="shared" si="113"/>
        <v>0</v>
      </c>
      <c r="CD287" s="1162">
        <f t="shared" si="113"/>
        <v>0</v>
      </c>
      <c r="CE287" s="1162">
        <f t="shared" si="113"/>
        <v>0</v>
      </c>
      <c r="CF287" s="1162">
        <f t="shared" si="113"/>
        <v>0</v>
      </c>
      <c r="CG287" s="1162">
        <f t="shared" si="113"/>
        <v>0</v>
      </c>
      <c r="CH287" s="1162">
        <f t="shared" si="113"/>
        <v>0</v>
      </c>
      <c r="CI287" s="1162">
        <f t="shared" si="113"/>
        <v>0</v>
      </c>
      <c r="CJ287" s="1162">
        <f t="shared" si="113"/>
        <v>0</v>
      </c>
      <c r="CK287" s="1162">
        <f t="shared" ref="CK287:EN290" si="114">IF(OR($M287=0,$N287=0),0,IF($N287=CK$277,$M287,0))</f>
        <v>0</v>
      </c>
      <c r="CL287" s="1162">
        <f t="shared" si="114"/>
        <v>0</v>
      </c>
      <c r="CM287" s="1162">
        <f t="shared" si="114"/>
        <v>0</v>
      </c>
      <c r="CN287" s="1162">
        <f t="shared" si="114"/>
        <v>0</v>
      </c>
      <c r="CO287" s="1162">
        <f t="shared" si="114"/>
        <v>0</v>
      </c>
      <c r="CP287" s="1162">
        <f t="shared" si="114"/>
        <v>0</v>
      </c>
      <c r="CQ287" s="48">
        <f t="shared" si="114"/>
        <v>0</v>
      </c>
      <c r="CR287" s="48">
        <f t="shared" si="114"/>
        <v>0</v>
      </c>
      <c r="CS287" s="48">
        <f t="shared" si="114"/>
        <v>0</v>
      </c>
      <c r="CT287" s="48">
        <f t="shared" si="114"/>
        <v>0</v>
      </c>
      <c r="CU287" s="48">
        <f t="shared" si="114"/>
        <v>0</v>
      </c>
      <c r="CV287" s="48">
        <f t="shared" si="114"/>
        <v>0</v>
      </c>
      <c r="CW287" s="48">
        <f t="shared" si="114"/>
        <v>0</v>
      </c>
      <c r="CX287" s="48">
        <f t="shared" si="114"/>
        <v>0</v>
      </c>
      <c r="CY287" s="48">
        <f t="shared" si="114"/>
        <v>0</v>
      </c>
      <c r="CZ287" s="48">
        <f t="shared" si="114"/>
        <v>0</v>
      </c>
      <c r="DA287" s="48">
        <f t="shared" si="114"/>
        <v>0</v>
      </c>
      <c r="DB287" s="48">
        <f t="shared" si="114"/>
        <v>0</v>
      </c>
      <c r="DC287" s="48">
        <f t="shared" si="114"/>
        <v>0</v>
      </c>
      <c r="DD287" s="48">
        <f t="shared" si="114"/>
        <v>0</v>
      </c>
      <c r="DE287" s="48">
        <f t="shared" si="114"/>
        <v>0</v>
      </c>
      <c r="DF287" s="48">
        <f t="shared" si="114"/>
        <v>0</v>
      </c>
      <c r="DG287" s="48">
        <f t="shared" si="114"/>
        <v>0</v>
      </c>
      <c r="DH287" s="48">
        <f t="shared" si="114"/>
        <v>0</v>
      </c>
      <c r="DI287" s="48">
        <f t="shared" si="114"/>
        <v>0</v>
      </c>
      <c r="DJ287" s="48">
        <f t="shared" si="114"/>
        <v>0</v>
      </c>
      <c r="DK287" s="48">
        <f t="shared" si="114"/>
        <v>0</v>
      </c>
      <c r="DL287" s="48">
        <f t="shared" si="114"/>
        <v>0</v>
      </c>
      <c r="DM287" s="48">
        <f t="shared" si="114"/>
        <v>0</v>
      </c>
      <c r="DN287" s="48">
        <f t="shared" si="114"/>
        <v>0</v>
      </c>
      <c r="DO287" s="48">
        <f t="shared" si="114"/>
        <v>0</v>
      </c>
      <c r="DP287" s="48">
        <f t="shared" si="114"/>
        <v>0</v>
      </c>
      <c r="DQ287" s="48">
        <f t="shared" si="114"/>
        <v>0</v>
      </c>
      <c r="DR287" s="50">
        <f t="shared" si="114"/>
        <v>0</v>
      </c>
      <c r="DS287" s="50">
        <f t="shared" si="114"/>
        <v>0</v>
      </c>
      <c r="DT287" s="50">
        <f t="shared" si="114"/>
        <v>0</v>
      </c>
      <c r="DU287" s="50">
        <f t="shared" si="114"/>
        <v>0</v>
      </c>
      <c r="DV287" s="50">
        <f t="shared" si="114"/>
        <v>0</v>
      </c>
      <c r="DW287" s="50">
        <f t="shared" si="114"/>
        <v>0</v>
      </c>
      <c r="DX287" s="50">
        <f t="shared" si="114"/>
        <v>0</v>
      </c>
      <c r="DY287" s="50">
        <f t="shared" si="114"/>
        <v>0</v>
      </c>
      <c r="DZ287" s="50">
        <f t="shared" si="114"/>
        <v>0</v>
      </c>
      <c r="EA287" s="50">
        <f t="shared" si="114"/>
        <v>0</v>
      </c>
      <c r="EB287" s="50">
        <f t="shared" si="114"/>
        <v>0</v>
      </c>
      <c r="EC287" s="50">
        <f t="shared" si="114"/>
        <v>0</v>
      </c>
      <c r="ED287" s="50">
        <f t="shared" si="114"/>
        <v>0</v>
      </c>
      <c r="EE287" s="50">
        <f t="shared" si="114"/>
        <v>0</v>
      </c>
      <c r="EF287" s="50">
        <f t="shared" si="114"/>
        <v>0</v>
      </c>
      <c r="EG287" s="50">
        <f t="shared" si="114"/>
        <v>0</v>
      </c>
      <c r="EH287" s="50">
        <f t="shared" si="114"/>
        <v>0</v>
      </c>
      <c r="EI287" s="50">
        <f t="shared" si="114"/>
        <v>0</v>
      </c>
      <c r="EJ287" s="50">
        <f t="shared" si="114"/>
        <v>0</v>
      </c>
      <c r="EK287" s="50">
        <f t="shared" si="114"/>
        <v>0</v>
      </c>
      <c r="EL287" s="50">
        <f t="shared" si="114"/>
        <v>0</v>
      </c>
      <c r="EM287" s="50">
        <f t="shared" si="114"/>
        <v>0</v>
      </c>
      <c r="EN287" s="50">
        <f t="shared" si="114"/>
        <v>0</v>
      </c>
      <c r="EO287" s="39">
        <v>51</v>
      </c>
      <c r="EP287" s="39">
        <v>51</v>
      </c>
      <c r="EQ287" s="39">
        <v>51</v>
      </c>
      <c r="ER287" s="39">
        <v>51</v>
      </c>
      <c r="ES287" s="39">
        <v>51</v>
      </c>
      <c r="ET287" s="39">
        <v>51</v>
      </c>
      <c r="EU287" s="39">
        <v>51</v>
      </c>
      <c r="EV287" s="39">
        <v>51</v>
      </c>
      <c r="EW287" s="39">
        <v>51</v>
      </c>
      <c r="EX287" s="39">
        <v>51</v>
      </c>
    </row>
    <row r="288" spans="1:154" ht="12" customHeight="1" x14ac:dyDescent="0.35">
      <c r="A288" s="67">
        <v>11</v>
      </c>
      <c r="B288" s="1438">
        <f t="shared" si="108"/>
        <v>335</v>
      </c>
      <c r="C288" s="1440">
        <v>11</v>
      </c>
      <c r="D288" s="67"/>
      <c r="E288" s="67"/>
      <c r="F288" s="82"/>
      <c r="G288" s="1448"/>
      <c r="H288" s="1448"/>
      <c r="I288" s="1448"/>
      <c r="J288" s="1448"/>
      <c r="K288" s="1630">
        <v>11</v>
      </c>
      <c r="L288" s="1640">
        <f>Input!D249</f>
        <v>0</v>
      </c>
      <c r="M288" s="1641">
        <f>IF(Input!$F$238&gt;=$K288,Input!G249,0)</f>
        <v>0</v>
      </c>
      <c r="N288" s="1642">
        <f>Input!H249</f>
        <v>0</v>
      </c>
      <c r="O288" s="1643">
        <f>Input!I249</f>
        <v>0</v>
      </c>
      <c r="P288" s="1630">
        <f t="shared" si="102"/>
        <v>11</v>
      </c>
      <c r="Q288" s="1647"/>
      <c r="R288" s="1648"/>
      <c r="S288" s="1649"/>
      <c r="T288" s="1650"/>
      <c r="U288" s="1621"/>
      <c r="V288" s="1636">
        <f t="shared" si="103"/>
        <v>0</v>
      </c>
      <c r="W288" s="1636">
        <f t="shared" si="104"/>
        <v>0</v>
      </c>
      <c r="X288" s="381">
        <f t="shared" si="105"/>
        <v>0</v>
      </c>
      <c r="Y288" s="1645">
        <f t="shared" si="109"/>
        <v>0</v>
      </c>
      <c r="Z288" s="1646">
        <f t="shared" ref="Z288:CK291" si="115">IF(OR($M288=0,$N288=0),0,IF($N288=Z$277,$M288,0))</f>
        <v>0</v>
      </c>
      <c r="AA288" s="1646">
        <f t="shared" si="115"/>
        <v>0</v>
      </c>
      <c r="AB288" s="1646">
        <f t="shared" si="115"/>
        <v>0</v>
      </c>
      <c r="AC288" s="1646">
        <f t="shared" si="115"/>
        <v>0</v>
      </c>
      <c r="AD288" s="1646">
        <f t="shared" si="115"/>
        <v>0</v>
      </c>
      <c r="AE288" s="1646">
        <f t="shared" si="115"/>
        <v>0</v>
      </c>
      <c r="AF288" s="1155">
        <f t="shared" si="115"/>
        <v>0</v>
      </c>
      <c r="AG288" s="1155">
        <f t="shared" si="115"/>
        <v>0</v>
      </c>
      <c r="AH288" s="1155">
        <f t="shared" si="115"/>
        <v>0</v>
      </c>
      <c r="AI288" s="1155">
        <f t="shared" si="115"/>
        <v>0</v>
      </c>
      <c r="AJ288" s="1155">
        <f t="shared" si="115"/>
        <v>0</v>
      </c>
      <c r="AK288" s="1155">
        <f t="shared" si="115"/>
        <v>0</v>
      </c>
      <c r="AL288" s="1155">
        <f t="shared" si="115"/>
        <v>0</v>
      </c>
      <c r="AM288" s="1155">
        <f t="shared" si="115"/>
        <v>0</v>
      </c>
      <c r="AN288" s="1155">
        <f t="shared" si="115"/>
        <v>0</v>
      </c>
      <c r="AO288" s="1155">
        <f t="shared" si="115"/>
        <v>0</v>
      </c>
      <c r="AP288" s="1155">
        <f t="shared" si="115"/>
        <v>0</v>
      </c>
      <c r="AQ288" s="1155">
        <f t="shared" si="115"/>
        <v>0</v>
      </c>
      <c r="AR288" s="1155">
        <f t="shared" si="115"/>
        <v>0</v>
      </c>
      <c r="AS288" s="1155">
        <f t="shared" si="115"/>
        <v>0</v>
      </c>
      <c r="AT288" s="1155">
        <f t="shared" si="115"/>
        <v>0</v>
      </c>
      <c r="AU288" s="1155">
        <f t="shared" si="115"/>
        <v>0</v>
      </c>
      <c r="AV288" s="1155">
        <f t="shared" si="115"/>
        <v>0</v>
      </c>
      <c r="AW288" s="1155">
        <f t="shared" si="115"/>
        <v>0</v>
      </c>
      <c r="AX288" s="1155">
        <f t="shared" si="115"/>
        <v>0</v>
      </c>
      <c r="AY288" s="1155">
        <f t="shared" si="115"/>
        <v>0</v>
      </c>
      <c r="AZ288" s="1155">
        <f t="shared" si="115"/>
        <v>0</v>
      </c>
      <c r="BA288" s="1155">
        <f t="shared" si="115"/>
        <v>0</v>
      </c>
      <c r="BB288" s="1155">
        <f t="shared" si="115"/>
        <v>0</v>
      </c>
      <c r="BC288" s="1155">
        <f t="shared" si="115"/>
        <v>0</v>
      </c>
      <c r="BD288" s="1155">
        <f t="shared" si="115"/>
        <v>0</v>
      </c>
      <c r="BE288" s="1155">
        <f t="shared" si="115"/>
        <v>0</v>
      </c>
      <c r="BF288" s="1155">
        <f t="shared" si="115"/>
        <v>0</v>
      </c>
      <c r="BG288" s="1155">
        <f t="shared" si="115"/>
        <v>0</v>
      </c>
      <c r="BH288" s="1155">
        <f t="shared" si="115"/>
        <v>0</v>
      </c>
      <c r="BI288" s="1155">
        <f t="shared" si="115"/>
        <v>0</v>
      </c>
      <c r="BJ288" s="1155">
        <f t="shared" si="115"/>
        <v>0</v>
      </c>
      <c r="BK288" s="1155">
        <f t="shared" si="115"/>
        <v>0</v>
      </c>
      <c r="BL288" s="1155">
        <f t="shared" si="115"/>
        <v>0</v>
      </c>
      <c r="BM288" s="1155">
        <f t="shared" si="115"/>
        <v>0</v>
      </c>
      <c r="BN288" s="1155">
        <f t="shared" si="115"/>
        <v>0</v>
      </c>
      <c r="BO288" s="1155">
        <f t="shared" si="115"/>
        <v>0</v>
      </c>
      <c r="BP288" s="1155">
        <f t="shared" si="115"/>
        <v>0</v>
      </c>
      <c r="BQ288" s="1155">
        <f t="shared" si="115"/>
        <v>0</v>
      </c>
      <c r="BR288" s="1155">
        <f t="shared" si="115"/>
        <v>0</v>
      </c>
      <c r="BS288" s="1155">
        <f t="shared" si="115"/>
        <v>0</v>
      </c>
      <c r="BT288" s="1155">
        <f t="shared" si="115"/>
        <v>0</v>
      </c>
      <c r="BU288" s="1155">
        <f t="shared" si="115"/>
        <v>0</v>
      </c>
      <c r="BV288" s="1155">
        <f t="shared" si="115"/>
        <v>0</v>
      </c>
      <c r="BW288" s="1155">
        <f t="shared" si="115"/>
        <v>0</v>
      </c>
      <c r="BX288" s="1457">
        <f t="shared" si="115"/>
        <v>0</v>
      </c>
      <c r="BY288" s="1457">
        <f t="shared" si="115"/>
        <v>0</v>
      </c>
      <c r="BZ288" s="1162">
        <f t="shared" si="115"/>
        <v>0</v>
      </c>
      <c r="CA288" s="1162">
        <f t="shared" si="115"/>
        <v>0</v>
      </c>
      <c r="CB288" s="1162">
        <f t="shared" si="115"/>
        <v>0</v>
      </c>
      <c r="CC288" s="1162">
        <f t="shared" si="115"/>
        <v>0</v>
      </c>
      <c r="CD288" s="1162">
        <f t="shared" si="115"/>
        <v>0</v>
      </c>
      <c r="CE288" s="1162">
        <f t="shared" si="115"/>
        <v>0</v>
      </c>
      <c r="CF288" s="1162">
        <f t="shared" si="115"/>
        <v>0</v>
      </c>
      <c r="CG288" s="1162">
        <f t="shared" si="115"/>
        <v>0</v>
      </c>
      <c r="CH288" s="1162">
        <f t="shared" si="115"/>
        <v>0</v>
      </c>
      <c r="CI288" s="1162">
        <f t="shared" si="115"/>
        <v>0</v>
      </c>
      <c r="CJ288" s="1162">
        <f t="shared" si="115"/>
        <v>0</v>
      </c>
      <c r="CK288" s="1162">
        <f t="shared" si="115"/>
        <v>0</v>
      </c>
      <c r="CL288" s="1162">
        <f t="shared" si="114"/>
        <v>0</v>
      </c>
      <c r="CM288" s="1162">
        <f t="shared" si="114"/>
        <v>0</v>
      </c>
      <c r="CN288" s="1162">
        <f t="shared" si="114"/>
        <v>0</v>
      </c>
      <c r="CO288" s="1162">
        <f t="shared" si="114"/>
        <v>0</v>
      </c>
      <c r="CP288" s="1162">
        <f t="shared" si="114"/>
        <v>0</v>
      </c>
      <c r="CQ288" s="48">
        <f t="shared" si="114"/>
        <v>0</v>
      </c>
      <c r="CR288" s="48">
        <f t="shared" si="114"/>
        <v>0</v>
      </c>
      <c r="CS288" s="48">
        <f t="shared" si="114"/>
        <v>0</v>
      </c>
      <c r="CT288" s="48">
        <f t="shared" si="114"/>
        <v>0</v>
      </c>
      <c r="CU288" s="48">
        <f t="shared" si="114"/>
        <v>0</v>
      </c>
      <c r="CV288" s="48">
        <f t="shared" si="114"/>
        <v>0</v>
      </c>
      <c r="CW288" s="48">
        <f t="shared" si="114"/>
        <v>0</v>
      </c>
      <c r="CX288" s="48">
        <f t="shared" si="114"/>
        <v>0</v>
      </c>
      <c r="CY288" s="48">
        <f t="shared" si="114"/>
        <v>0</v>
      </c>
      <c r="CZ288" s="48">
        <f t="shared" si="114"/>
        <v>0</v>
      </c>
      <c r="DA288" s="48">
        <f t="shared" si="114"/>
        <v>0</v>
      </c>
      <c r="DB288" s="48">
        <f t="shared" si="114"/>
        <v>0</v>
      </c>
      <c r="DC288" s="48">
        <f t="shared" si="114"/>
        <v>0</v>
      </c>
      <c r="DD288" s="48">
        <f t="shared" si="114"/>
        <v>0</v>
      </c>
      <c r="DE288" s="48">
        <f t="shared" si="114"/>
        <v>0</v>
      </c>
      <c r="DF288" s="48">
        <f t="shared" si="114"/>
        <v>0</v>
      </c>
      <c r="DG288" s="48">
        <f t="shared" si="114"/>
        <v>0</v>
      </c>
      <c r="DH288" s="48">
        <f t="shared" si="114"/>
        <v>0</v>
      </c>
      <c r="DI288" s="48">
        <f t="shared" si="114"/>
        <v>0</v>
      </c>
      <c r="DJ288" s="48">
        <f t="shared" si="114"/>
        <v>0</v>
      </c>
      <c r="DK288" s="48">
        <f t="shared" si="114"/>
        <v>0</v>
      </c>
      <c r="DL288" s="48">
        <f t="shared" si="114"/>
        <v>0</v>
      </c>
      <c r="DM288" s="48">
        <f t="shared" si="114"/>
        <v>0</v>
      </c>
      <c r="DN288" s="48">
        <f t="shared" si="114"/>
        <v>0</v>
      </c>
      <c r="DO288" s="48">
        <f t="shared" si="114"/>
        <v>0</v>
      </c>
      <c r="DP288" s="48">
        <f t="shared" si="114"/>
        <v>0</v>
      </c>
      <c r="DQ288" s="48">
        <f t="shared" si="114"/>
        <v>0</v>
      </c>
      <c r="DR288" s="50">
        <f t="shared" si="114"/>
        <v>0</v>
      </c>
      <c r="DS288" s="50">
        <f t="shared" si="114"/>
        <v>0</v>
      </c>
      <c r="DT288" s="50">
        <f t="shared" si="114"/>
        <v>0</v>
      </c>
      <c r="DU288" s="50">
        <f t="shared" si="114"/>
        <v>0</v>
      </c>
      <c r="DV288" s="50">
        <f t="shared" si="114"/>
        <v>0</v>
      </c>
      <c r="DW288" s="50">
        <f t="shared" si="114"/>
        <v>0</v>
      </c>
      <c r="DX288" s="50">
        <f t="shared" si="114"/>
        <v>0</v>
      </c>
      <c r="DY288" s="50">
        <f t="shared" si="114"/>
        <v>0</v>
      </c>
      <c r="DZ288" s="50">
        <f t="shared" si="114"/>
        <v>0</v>
      </c>
      <c r="EA288" s="50">
        <f t="shared" si="114"/>
        <v>0</v>
      </c>
      <c r="EB288" s="50">
        <f t="shared" si="114"/>
        <v>0</v>
      </c>
      <c r="EC288" s="50">
        <f t="shared" si="114"/>
        <v>0</v>
      </c>
      <c r="ED288" s="50">
        <f t="shared" si="114"/>
        <v>0</v>
      </c>
      <c r="EE288" s="50">
        <f t="shared" si="114"/>
        <v>0</v>
      </c>
      <c r="EF288" s="50">
        <f t="shared" si="114"/>
        <v>0</v>
      </c>
      <c r="EG288" s="50">
        <f t="shared" si="114"/>
        <v>0</v>
      </c>
      <c r="EH288" s="50">
        <f t="shared" si="114"/>
        <v>0</v>
      </c>
      <c r="EI288" s="50">
        <f t="shared" si="114"/>
        <v>0</v>
      </c>
      <c r="EJ288" s="50">
        <f t="shared" si="114"/>
        <v>0</v>
      </c>
      <c r="EK288" s="50">
        <f t="shared" si="114"/>
        <v>0</v>
      </c>
      <c r="EL288" s="50">
        <f t="shared" si="114"/>
        <v>0</v>
      </c>
      <c r="EM288" s="50">
        <f t="shared" si="114"/>
        <v>0</v>
      </c>
      <c r="EN288" s="50">
        <f t="shared" si="114"/>
        <v>0</v>
      </c>
      <c r="EO288" s="39">
        <v>51</v>
      </c>
      <c r="EP288" s="39">
        <v>51</v>
      </c>
      <c r="EQ288" s="39">
        <v>51</v>
      </c>
      <c r="ER288" s="39">
        <v>51</v>
      </c>
      <c r="ES288" s="39">
        <v>51</v>
      </c>
      <c r="ET288" s="39">
        <v>51</v>
      </c>
      <c r="EU288" s="39">
        <v>51</v>
      </c>
      <c r="EV288" s="39">
        <v>51</v>
      </c>
      <c r="EW288" s="39">
        <v>51</v>
      </c>
      <c r="EX288" s="39">
        <v>51</v>
      </c>
    </row>
    <row r="289" spans="1:154" ht="12" customHeight="1" x14ac:dyDescent="0.35">
      <c r="A289" s="67">
        <v>12</v>
      </c>
      <c r="B289" s="1438">
        <f t="shared" si="108"/>
        <v>366</v>
      </c>
      <c r="C289" s="1440">
        <v>12</v>
      </c>
      <c r="D289" s="67"/>
      <c r="E289" s="67"/>
      <c r="F289" s="82"/>
      <c r="G289" s="1448"/>
      <c r="H289" s="1448"/>
      <c r="I289" s="1448"/>
      <c r="J289" s="1448"/>
      <c r="K289" s="1630">
        <v>12</v>
      </c>
      <c r="L289" s="1640">
        <f>Input!D250</f>
        <v>0</v>
      </c>
      <c r="M289" s="1641">
        <f>IF(Input!$F$238&gt;=$K289,Input!G250,0)</f>
        <v>0</v>
      </c>
      <c r="N289" s="1642">
        <f>Input!H250</f>
        <v>0</v>
      </c>
      <c r="O289" s="1643">
        <f>Input!I250</f>
        <v>0</v>
      </c>
      <c r="P289" s="1630">
        <f t="shared" si="102"/>
        <v>12</v>
      </c>
      <c r="Q289" s="1647"/>
      <c r="R289" s="1648"/>
      <c r="S289" s="1649"/>
      <c r="T289" s="1650"/>
      <c r="U289" s="1621"/>
      <c r="V289" s="1636">
        <f t="shared" si="103"/>
        <v>0</v>
      </c>
      <c r="W289" s="1636">
        <f t="shared" si="104"/>
        <v>0</v>
      </c>
      <c r="X289" s="381">
        <f t="shared" si="105"/>
        <v>0</v>
      </c>
      <c r="Y289" s="1645">
        <f t="shared" si="109"/>
        <v>0</v>
      </c>
      <c r="Z289" s="1646">
        <f t="shared" si="115"/>
        <v>0</v>
      </c>
      <c r="AA289" s="1646">
        <f t="shared" si="115"/>
        <v>0</v>
      </c>
      <c r="AB289" s="1646">
        <f t="shared" si="115"/>
        <v>0</v>
      </c>
      <c r="AC289" s="1646">
        <f t="shared" si="115"/>
        <v>0</v>
      </c>
      <c r="AD289" s="1646">
        <f t="shared" si="115"/>
        <v>0</v>
      </c>
      <c r="AE289" s="1646">
        <f t="shared" si="115"/>
        <v>0</v>
      </c>
      <c r="AF289" s="1155">
        <f t="shared" si="115"/>
        <v>0</v>
      </c>
      <c r="AG289" s="1155">
        <f t="shared" si="115"/>
        <v>0</v>
      </c>
      <c r="AH289" s="1155">
        <f t="shared" si="115"/>
        <v>0</v>
      </c>
      <c r="AI289" s="1155">
        <f t="shared" si="115"/>
        <v>0</v>
      </c>
      <c r="AJ289" s="1155">
        <f t="shared" si="115"/>
        <v>0</v>
      </c>
      <c r="AK289" s="1155">
        <f t="shared" si="115"/>
        <v>0</v>
      </c>
      <c r="AL289" s="1155">
        <f t="shared" si="115"/>
        <v>0</v>
      </c>
      <c r="AM289" s="1155">
        <f t="shared" si="115"/>
        <v>0</v>
      </c>
      <c r="AN289" s="1155">
        <f t="shared" si="115"/>
        <v>0</v>
      </c>
      <c r="AO289" s="1155">
        <f t="shared" si="115"/>
        <v>0</v>
      </c>
      <c r="AP289" s="1155">
        <f t="shared" si="115"/>
        <v>0</v>
      </c>
      <c r="AQ289" s="1155">
        <f t="shared" si="115"/>
        <v>0</v>
      </c>
      <c r="AR289" s="1155">
        <f t="shared" si="115"/>
        <v>0</v>
      </c>
      <c r="AS289" s="1155">
        <f t="shared" si="115"/>
        <v>0</v>
      </c>
      <c r="AT289" s="1155">
        <f t="shared" si="115"/>
        <v>0</v>
      </c>
      <c r="AU289" s="1155">
        <f t="shared" si="115"/>
        <v>0</v>
      </c>
      <c r="AV289" s="1155">
        <f t="shared" si="115"/>
        <v>0</v>
      </c>
      <c r="AW289" s="1155">
        <f t="shared" si="115"/>
        <v>0</v>
      </c>
      <c r="AX289" s="1155">
        <f t="shared" si="115"/>
        <v>0</v>
      </c>
      <c r="AY289" s="1155">
        <f t="shared" si="115"/>
        <v>0</v>
      </c>
      <c r="AZ289" s="1155">
        <f t="shared" si="115"/>
        <v>0</v>
      </c>
      <c r="BA289" s="1155">
        <f t="shared" si="115"/>
        <v>0</v>
      </c>
      <c r="BB289" s="1155">
        <f t="shared" si="115"/>
        <v>0</v>
      </c>
      <c r="BC289" s="1155">
        <f t="shared" si="115"/>
        <v>0</v>
      </c>
      <c r="BD289" s="1155">
        <f t="shared" si="115"/>
        <v>0</v>
      </c>
      <c r="BE289" s="1155">
        <f t="shared" si="115"/>
        <v>0</v>
      </c>
      <c r="BF289" s="1155">
        <f t="shared" si="115"/>
        <v>0</v>
      </c>
      <c r="BG289" s="1155">
        <f t="shared" si="115"/>
        <v>0</v>
      </c>
      <c r="BH289" s="1155">
        <f t="shared" si="115"/>
        <v>0</v>
      </c>
      <c r="BI289" s="1155">
        <f t="shared" si="115"/>
        <v>0</v>
      </c>
      <c r="BJ289" s="1155">
        <f t="shared" si="115"/>
        <v>0</v>
      </c>
      <c r="BK289" s="1155">
        <f t="shared" si="115"/>
        <v>0</v>
      </c>
      <c r="BL289" s="1155">
        <f t="shared" si="115"/>
        <v>0</v>
      </c>
      <c r="BM289" s="1155">
        <f t="shared" si="115"/>
        <v>0</v>
      </c>
      <c r="BN289" s="1155">
        <f t="shared" si="115"/>
        <v>0</v>
      </c>
      <c r="BO289" s="1155">
        <f t="shared" si="115"/>
        <v>0</v>
      </c>
      <c r="BP289" s="1155">
        <f t="shared" si="115"/>
        <v>0</v>
      </c>
      <c r="BQ289" s="1155">
        <f t="shared" si="115"/>
        <v>0</v>
      </c>
      <c r="BR289" s="1155">
        <f t="shared" si="115"/>
        <v>0</v>
      </c>
      <c r="BS289" s="1155">
        <f t="shared" si="115"/>
        <v>0</v>
      </c>
      <c r="BT289" s="1155">
        <f t="shared" si="115"/>
        <v>0</v>
      </c>
      <c r="BU289" s="1155">
        <f t="shared" si="115"/>
        <v>0</v>
      </c>
      <c r="BV289" s="1155">
        <f t="shared" si="115"/>
        <v>0</v>
      </c>
      <c r="BW289" s="1155">
        <f t="shared" si="115"/>
        <v>0</v>
      </c>
      <c r="BX289" s="1457">
        <f t="shared" si="115"/>
        <v>0</v>
      </c>
      <c r="BY289" s="1457">
        <f t="shared" si="115"/>
        <v>0</v>
      </c>
      <c r="BZ289" s="1162">
        <f t="shared" si="115"/>
        <v>0</v>
      </c>
      <c r="CA289" s="1162">
        <f t="shared" si="115"/>
        <v>0</v>
      </c>
      <c r="CB289" s="1162">
        <f t="shared" si="115"/>
        <v>0</v>
      </c>
      <c r="CC289" s="1162">
        <f t="shared" si="115"/>
        <v>0</v>
      </c>
      <c r="CD289" s="1162">
        <f t="shared" si="115"/>
        <v>0</v>
      </c>
      <c r="CE289" s="1162">
        <f t="shared" si="115"/>
        <v>0</v>
      </c>
      <c r="CF289" s="1162">
        <f t="shared" si="115"/>
        <v>0</v>
      </c>
      <c r="CG289" s="1162">
        <f t="shared" si="115"/>
        <v>0</v>
      </c>
      <c r="CH289" s="1162">
        <f t="shared" si="115"/>
        <v>0</v>
      </c>
      <c r="CI289" s="1162">
        <f t="shared" si="115"/>
        <v>0</v>
      </c>
      <c r="CJ289" s="1162">
        <f t="shared" si="115"/>
        <v>0</v>
      </c>
      <c r="CK289" s="1162">
        <f t="shared" si="115"/>
        <v>0</v>
      </c>
      <c r="CL289" s="1162">
        <f t="shared" si="114"/>
        <v>0</v>
      </c>
      <c r="CM289" s="1162">
        <f t="shared" si="114"/>
        <v>0</v>
      </c>
      <c r="CN289" s="1162">
        <f t="shared" si="114"/>
        <v>0</v>
      </c>
      <c r="CO289" s="1162">
        <f t="shared" si="114"/>
        <v>0</v>
      </c>
      <c r="CP289" s="1162">
        <f t="shared" si="114"/>
        <v>0</v>
      </c>
      <c r="CQ289" s="48">
        <f t="shared" si="114"/>
        <v>0</v>
      </c>
      <c r="CR289" s="48">
        <f t="shared" si="114"/>
        <v>0</v>
      </c>
      <c r="CS289" s="48">
        <f t="shared" si="114"/>
        <v>0</v>
      </c>
      <c r="CT289" s="48">
        <f t="shared" si="114"/>
        <v>0</v>
      </c>
      <c r="CU289" s="48">
        <f t="shared" si="114"/>
        <v>0</v>
      </c>
      <c r="CV289" s="48">
        <f t="shared" si="114"/>
        <v>0</v>
      </c>
      <c r="CW289" s="48">
        <f t="shared" si="114"/>
        <v>0</v>
      </c>
      <c r="CX289" s="48">
        <f t="shared" si="114"/>
        <v>0</v>
      </c>
      <c r="CY289" s="48">
        <f t="shared" si="114"/>
        <v>0</v>
      </c>
      <c r="CZ289" s="48">
        <f t="shared" si="114"/>
        <v>0</v>
      </c>
      <c r="DA289" s="48">
        <f t="shared" si="114"/>
        <v>0</v>
      </c>
      <c r="DB289" s="48">
        <f t="shared" si="114"/>
        <v>0</v>
      </c>
      <c r="DC289" s="48">
        <f t="shared" si="114"/>
        <v>0</v>
      </c>
      <c r="DD289" s="48">
        <f t="shared" si="114"/>
        <v>0</v>
      </c>
      <c r="DE289" s="48">
        <f t="shared" si="114"/>
        <v>0</v>
      </c>
      <c r="DF289" s="48">
        <f t="shared" si="114"/>
        <v>0</v>
      </c>
      <c r="DG289" s="48">
        <f t="shared" si="114"/>
        <v>0</v>
      </c>
      <c r="DH289" s="48">
        <f t="shared" si="114"/>
        <v>0</v>
      </c>
      <c r="DI289" s="48">
        <f t="shared" si="114"/>
        <v>0</v>
      </c>
      <c r="DJ289" s="48">
        <f t="shared" si="114"/>
        <v>0</v>
      </c>
      <c r="DK289" s="48">
        <f t="shared" si="114"/>
        <v>0</v>
      </c>
      <c r="DL289" s="48">
        <f t="shared" si="114"/>
        <v>0</v>
      </c>
      <c r="DM289" s="48">
        <f t="shared" si="114"/>
        <v>0</v>
      </c>
      <c r="DN289" s="48">
        <f t="shared" si="114"/>
        <v>0</v>
      </c>
      <c r="DO289" s="48">
        <f t="shared" si="114"/>
        <v>0</v>
      </c>
      <c r="DP289" s="48">
        <f t="shared" si="114"/>
        <v>0</v>
      </c>
      <c r="DQ289" s="48">
        <f t="shared" si="114"/>
        <v>0</v>
      </c>
      <c r="DR289" s="50">
        <f t="shared" si="114"/>
        <v>0</v>
      </c>
      <c r="DS289" s="50">
        <f t="shared" si="114"/>
        <v>0</v>
      </c>
      <c r="DT289" s="50">
        <f t="shared" si="114"/>
        <v>0</v>
      </c>
      <c r="DU289" s="50">
        <f t="shared" si="114"/>
        <v>0</v>
      </c>
      <c r="DV289" s="50">
        <f t="shared" si="114"/>
        <v>0</v>
      </c>
      <c r="DW289" s="50">
        <f t="shared" si="114"/>
        <v>0</v>
      </c>
      <c r="DX289" s="50">
        <f t="shared" si="114"/>
        <v>0</v>
      </c>
      <c r="DY289" s="50">
        <f t="shared" si="114"/>
        <v>0</v>
      </c>
      <c r="DZ289" s="50">
        <f t="shared" si="114"/>
        <v>0</v>
      </c>
      <c r="EA289" s="50">
        <f t="shared" si="114"/>
        <v>0</v>
      </c>
      <c r="EB289" s="50">
        <f t="shared" si="114"/>
        <v>0</v>
      </c>
      <c r="EC289" s="50">
        <f t="shared" si="114"/>
        <v>0</v>
      </c>
      <c r="ED289" s="50">
        <f t="shared" si="114"/>
        <v>0</v>
      </c>
      <c r="EE289" s="50">
        <f t="shared" si="114"/>
        <v>0</v>
      </c>
      <c r="EF289" s="50">
        <f t="shared" si="114"/>
        <v>0</v>
      </c>
      <c r="EG289" s="50">
        <f t="shared" si="114"/>
        <v>0</v>
      </c>
      <c r="EH289" s="50">
        <f t="shared" si="114"/>
        <v>0</v>
      </c>
      <c r="EI289" s="50">
        <f t="shared" si="114"/>
        <v>0</v>
      </c>
      <c r="EJ289" s="50">
        <f t="shared" si="114"/>
        <v>0</v>
      </c>
      <c r="EK289" s="50">
        <f t="shared" si="114"/>
        <v>0</v>
      </c>
      <c r="EL289" s="50">
        <f t="shared" si="114"/>
        <v>0</v>
      </c>
      <c r="EM289" s="50">
        <f t="shared" si="114"/>
        <v>0</v>
      </c>
      <c r="EN289" s="50">
        <f t="shared" si="114"/>
        <v>0</v>
      </c>
      <c r="EO289" s="39">
        <v>51</v>
      </c>
      <c r="EP289" s="39">
        <v>51</v>
      </c>
      <c r="EQ289" s="39">
        <v>51</v>
      </c>
      <c r="ER289" s="39">
        <v>51</v>
      </c>
      <c r="ES289" s="39">
        <v>51</v>
      </c>
      <c r="ET289" s="39">
        <v>51</v>
      </c>
      <c r="EU289" s="39">
        <v>51</v>
      </c>
      <c r="EV289" s="39">
        <v>51</v>
      </c>
      <c r="EW289" s="39">
        <v>51</v>
      </c>
      <c r="EX289" s="39">
        <v>51</v>
      </c>
    </row>
    <row r="290" spans="1:154" ht="12" customHeight="1" x14ac:dyDescent="0.35">
      <c r="A290" s="67">
        <v>13</v>
      </c>
      <c r="B290" s="1438">
        <f t="shared" si="108"/>
        <v>397</v>
      </c>
      <c r="C290" s="1440">
        <v>13</v>
      </c>
      <c r="D290" s="67"/>
      <c r="E290" s="67"/>
      <c r="F290" s="82"/>
      <c r="G290" s="1448"/>
      <c r="H290" s="1448"/>
      <c r="I290" s="1448"/>
      <c r="J290" s="1448"/>
      <c r="K290" s="1630">
        <v>13</v>
      </c>
      <c r="L290" s="1640">
        <f>Input!D251</f>
        <v>0</v>
      </c>
      <c r="M290" s="1641">
        <f>IF(Input!$F$238&gt;=$K290,Input!G251,0)</f>
        <v>0</v>
      </c>
      <c r="N290" s="1642">
        <f>Input!H251</f>
        <v>0</v>
      </c>
      <c r="O290" s="1643">
        <f>Input!I251</f>
        <v>0</v>
      </c>
      <c r="P290" s="1630">
        <f t="shared" si="102"/>
        <v>13</v>
      </c>
      <c r="Q290" s="1647"/>
      <c r="R290" s="1648"/>
      <c r="S290" s="1649"/>
      <c r="T290" s="1650"/>
      <c r="U290" s="1621"/>
      <c r="V290" s="1636">
        <f t="shared" si="103"/>
        <v>0</v>
      </c>
      <c r="W290" s="1636">
        <f t="shared" si="104"/>
        <v>0</v>
      </c>
      <c r="X290" s="381">
        <f t="shared" si="105"/>
        <v>0</v>
      </c>
      <c r="Y290" s="1645">
        <f t="shared" si="109"/>
        <v>0</v>
      </c>
      <c r="Z290" s="1646">
        <f t="shared" si="115"/>
        <v>0</v>
      </c>
      <c r="AA290" s="1646">
        <f t="shared" si="115"/>
        <v>0</v>
      </c>
      <c r="AB290" s="1646">
        <f t="shared" si="115"/>
        <v>0</v>
      </c>
      <c r="AC290" s="1646">
        <f t="shared" si="115"/>
        <v>0</v>
      </c>
      <c r="AD290" s="1646">
        <f t="shared" si="115"/>
        <v>0</v>
      </c>
      <c r="AE290" s="1646">
        <f t="shared" si="115"/>
        <v>0</v>
      </c>
      <c r="AF290" s="1155">
        <f t="shared" si="115"/>
        <v>0</v>
      </c>
      <c r="AG290" s="1155">
        <f t="shared" si="115"/>
        <v>0</v>
      </c>
      <c r="AH290" s="1155">
        <f t="shared" si="115"/>
        <v>0</v>
      </c>
      <c r="AI290" s="1155">
        <f t="shared" si="115"/>
        <v>0</v>
      </c>
      <c r="AJ290" s="1155">
        <f t="shared" si="115"/>
        <v>0</v>
      </c>
      <c r="AK290" s="1155">
        <f t="shared" si="115"/>
        <v>0</v>
      </c>
      <c r="AL290" s="1155">
        <f t="shared" si="115"/>
        <v>0</v>
      </c>
      <c r="AM290" s="1155">
        <f t="shared" si="115"/>
        <v>0</v>
      </c>
      <c r="AN290" s="1155">
        <f t="shared" si="115"/>
        <v>0</v>
      </c>
      <c r="AO290" s="1155">
        <f t="shared" si="115"/>
        <v>0</v>
      </c>
      <c r="AP290" s="1155">
        <f t="shared" si="115"/>
        <v>0</v>
      </c>
      <c r="AQ290" s="1155">
        <f t="shared" si="115"/>
        <v>0</v>
      </c>
      <c r="AR290" s="1155">
        <f t="shared" si="115"/>
        <v>0</v>
      </c>
      <c r="AS290" s="1155">
        <f t="shared" si="115"/>
        <v>0</v>
      </c>
      <c r="AT290" s="1155">
        <f t="shared" si="115"/>
        <v>0</v>
      </c>
      <c r="AU290" s="1155">
        <f t="shared" si="115"/>
        <v>0</v>
      </c>
      <c r="AV290" s="1155">
        <f t="shared" si="115"/>
        <v>0</v>
      </c>
      <c r="AW290" s="1155">
        <f t="shared" si="115"/>
        <v>0</v>
      </c>
      <c r="AX290" s="1155">
        <f t="shared" si="115"/>
        <v>0</v>
      </c>
      <c r="AY290" s="1155">
        <f t="shared" si="115"/>
        <v>0</v>
      </c>
      <c r="AZ290" s="1155">
        <f t="shared" si="115"/>
        <v>0</v>
      </c>
      <c r="BA290" s="1155">
        <f t="shared" si="115"/>
        <v>0</v>
      </c>
      <c r="BB290" s="1155">
        <f t="shared" si="115"/>
        <v>0</v>
      </c>
      <c r="BC290" s="1155">
        <f t="shared" si="115"/>
        <v>0</v>
      </c>
      <c r="BD290" s="1155">
        <f t="shared" si="115"/>
        <v>0</v>
      </c>
      <c r="BE290" s="1155">
        <f t="shared" si="115"/>
        <v>0</v>
      </c>
      <c r="BF290" s="1155">
        <f t="shared" si="115"/>
        <v>0</v>
      </c>
      <c r="BG290" s="1155">
        <f t="shared" si="115"/>
        <v>0</v>
      </c>
      <c r="BH290" s="1155">
        <f t="shared" si="115"/>
        <v>0</v>
      </c>
      <c r="BI290" s="1155">
        <f t="shared" si="115"/>
        <v>0</v>
      </c>
      <c r="BJ290" s="1155">
        <f t="shared" si="115"/>
        <v>0</v>
      </c>
      <c r="BK290" s="1155">
        <f t="shared" si="115"/>
        <v>0</v>
      </c>
      <c r="BL290" s="1155">
        <f t="shared" si="115"/>
        <v>0</v>
      </c>
      <c r="BM290" s="1155">
        <f t="shared" si="115"/>
        <v>0</v>
      </c>
      <c r="BN290" s="1155">
        <f t="shared" si="115"/>
        <v>0</v>
      </c>
      <c r="BO290" s="1155">
        <f t="shared" si="115"/>
        <v>0</v>
      </c>
      <c r="BP290" s="1155">
        <f t="shared" si="115"/>
        <v>0</v>
      </c>
      <c r="BQ290" s="1155">
        <f t="shared" si="115"/>
        <v>0</v>
      </c>
      <c r="BR290" s="1155">
        <f t="shared" si="115"/>
        <v>0</v>
      </c>
      <c r="BS290" s="1155">
        <f t="shared" si="115"/>
        <v>0</v>
      </c>
      <c r="BT290" s="1155">
        <f t="shared" si="115"/>
        <v>0</v>
      </c>
      <c r="BU290" s="1155">
        <f t="shared" si="115"/>
        <v>0</v>
      </c>
      <c r="BV290" s="1155">
        <f t="shared" si="115"/>
        <v>0</v>
      </c>
      <c r="BW290" s="1155">
        <f t="shared" si="115"/>
        <v>0</v>
      </c>
      <c r="BX290" s="1457">
        <f t="shared" si="115"/>
        <v>0</v>
      </c>
      <c r="BY290" s="1457">
        <f t="shared" si="115"/>
        <v>0</v>
      </c>
      <c r="BZ290" s="1162">
        <f t="shared" si="115"/>
        <v>0</v>
      </c>
      <c r="CA290" s="1162">
        <f t="shared" si="115"/>
        <v>0</v>
      </c>
      <c r="CB290" s="1162">
        <f t="shared" si="115"/>
        <v>0</v>
      </c>
      <c r="CC290" s="1162">
        <f t="shared" si="115"/>
        <v>0</v>
      </c>
      <c r="CD290" s="1162">
        <f t="shared" si="115"/>
        <v>0</v>
      </c>
      <c r="CE290" s="1162">
        <f t="shared" si="115"/>
        <v>0</v>
      </c>
      <c r="CF290" s="1162">
        <f t="shared" si="115"/>
        <v>0</v>
      </c>
      <c r="CG290" s="1162">
        <f t="shared" si="115"/>
        <v>0</v>
      </c>
      <c r="CH290" s="1162">
        <f t="shared" si="115"/>
        <v>0</v>
      </c>
      <c r="CI290" s="1162">
        <f t="shared" si="115"/>
        <v>0</v>
      </c>
      <c r="CJ290" s="1162">
        <f t="shared" si="115"/>
        <v>0</v>
      </c>
      <c r="CK290" s="1162">
        <f t="shared" si="115"/>
        <v>0</v>
      </c>
      <c r="CL290" s="1162">
        <f t="shared" si="114"/>
        <v>0</v>
      </c>
      <c r="CM290" s="1162">
        <f t="shared" si="114"/>
        <v>0</v>
      </c>
      <c r="CN290" s="1162">
        <f t="shared" si="114"/>
        <v>0</v>
      </c>
      <c r="CO290" s="1162">
        <f t="shared" si="114"/>
        <v>0</v>
      </c>
      <c r="CP290" s="1162">
        <f t="shared" si="114"/>
        <v>0</v>
      </c>
      <c r="CQ290" s="48">
        <f t="shared" si="114"/>
        <v>0</v>
      </c>
      <c r="CR290" s="48">
        <f t="shared" si="114"/>
        <v>0</v>
      </c>
      <c r="CS290" s="48">
        <f t="shared" si="114"/>
        <v>0</v>
      </c>
      <c r="CT290" s="48">
        <f t="shared" si="114"/>
        <v>0</v>
      </c>
      <c r="CU290" s="48">
        <f t="shared" si="114"/>
        <v>0</v>
      </c>
      <c r="CV290" s="48">
        <f t="shared" si="114"/>
        <v>0</v>
      </c>
      <c r="CW290" s="48">
        <f t="shared" si="114"/>
        <v>0</v>
      </c>
      <c r="CX290" s="48">
        <f t="shared" si="114"/>
        <v>0</v>
      </c>
      <c r="CY290" s="48">
        <f t="shared" si="114"/>
        <v>0</v>
      </c>
      <c r="CZ290" s="48">
        <f t="shared" si="114"/>
        <v>0</v>
      </c>
      <c r="DA290" s="48">
        <f t="shared" si="114"/>
        <v>0</v>
      </c>
      <c r="DB290" s="48">
        <f t="shared" si="114"/>
        <v>0</v>
      </c>
      <c r="DC290" s="48">
        <f t="shared" si="114"/>
        <v>0</v>
      </c>
      <c r="DD290" s="48">
        <f t="shared" si="114"/>
        <v>0</v>
      </c>
      <c r="DE290" s="48">
        <f t="shared" si="114"/>
        <v>0</v>
      </c>
      <c r="DF290" s="48">
        <f t="shared" si="114"/>
        <v>0</v>
      </c>
      <c r="DG290" s="48">
        <f t="shared" si="114"/>
        <v>0</v>
      </c>
      <c r="DH290" s="48">
        <f t="shared" si="114"/>
        <v>0</v>
      </c>
      <c r="DI290" s="48">
        <f t="shared" si="114"/>
        <v>0</v>
      </c>
      <c r="DJ290" s="48">
        <f t="shared" si="114"/>
        <v>0</v>
      </c>
      <c r="DK290" s="48">
        <f t="shared" si="114"/>
        <v>0</v>
      </c>
      <c r="DL290" s="48">
        <f t="shared" si="114"/>
        <v>0</v>
      </c>
      <c r="DM290" s="48">
        <f t="shared" si="114"/>
        <v>0</v>
      </c>
      <c r="DN290" s="48">
        <f t="shared" si="114"/>
        <v>0</v>
      </c>
      <c r="DO290" s="48">
        <f t="shared" si="114"/>
        <v>0</v>
      </c>
      <c r="DP290" s="48">
        <f t="shared" si="114"/>
        <v>0</v>
      </c>
      <c r="DQ290" s="48">
        <f t="shared" si="114"/>
        <v>0</v>
      </c>
      <c r="DR290" s="50">
        <f t="shared" si="114"/>
        <v>0</v>
      </c>
      <c r="DS290" s="50">
        <f t="shared" si="114"/>
        <v>0</v>
      </c>
      <c r="DT290" s="50">
        <f t="shared" si="114"/>
        <v>0</v>
      </c>
      <c r="DU290" s="50">
        <f t="shared" si="114"/>
        <v>0</v>
      </c>
      <c r="DV290" s="50">
        <f t="shared" si="114"/>
        <v>0</v>
      </c>
      <c r="DW290" s="50">
        <f t="shared" si="114"/>
        <v>0</v>
      </c>
      <c r="DX290" s="50">
        <f t="shared" si="114"/>
        <v>0</v>
      </c>
      <c r="DY290" s="50">
        <f t="shared" si="114"/>
        <v>0</v>
      </c>
      <c r="DZ290" s="50">
        <f t="shared" si="114"/>
        <v>0</v>
      </c>
      <c r="EA290" s="50">
        <f t="shared" si="114"/>
        <v>0</v>
      </c>
      <c r="EB290" s="50">
        <f t="shared" si="114"/>
        <v>0</v>
      </c>
      <c r="EC290" s="50">
        <f t="shared" si="114"/>
        <v>0</v>
      </c>
      <c r="ED290" s="50">
        <f t="shared" si="114"/>
        <v>0</v>
      </c>
      <c r="EE290" s="50">
        <f t="shared" si="114"/>
        <v>0</v>
      </c>
      <c r="EF290" s="50">
        <f t="shared" si="114"/>
        <v>0</v>
      </c>
      <c r="EG290" s="50">
        <f t="shared" si="114"/>
        <v>0</v>
      </c>
      <c r="EH290" s="50">
        <f t="shared" si="114"/>
        <v>0</v>
      </c>
      <c r="EI290" s="50">
        <f t="shared" si="114"/>
        <v>0</v>
      </c>
      <c r="EJ290" s="50">
        <f t="shared" si="114"/>
        <v>0</v>
      </c>
      <c r="EK290" s="50">
        <f t="shared" si="114"/>
        <v>0</v>
      </c>
      <c r="EL290" s="50">
        <f t="shared" si="114"/>
        <v>0</v>
      </c>
      <c r="EM290" s="50">
        <f t="shared" si="114"/>
        <v>0</v>
      </c>
      <c r="EN290" s="50">
        <f t="shared" si="114"/>
        <v>0</v>
      </c>
      <c r="EO290" s="39">
        <v>51</v>
      </c>
      <c r="EP290" s="39">
        <v>51</v>
      </c>
      <c r="EQ290" s="39">
        <v>51</v>
      </c>
      <c r="ER290" s="39">
        <v>51</v>
      </c>
      <c r="ES290" s="39">
        <v>51</v>
      </c>
      <c r="ET290" s="39">
        <v>51</v>
      </c>
      <c r="EU290" s="39">
        <v>51</v>
      </c>
      <c r="EV290" s="39">
        <v>51</v>
      </c>
      <c r="EW290" s="39">
        <v>51</v>
      </c>
      <c r="EX290" s="39">
        <v>51</v>
      </c>
    </row>
    <row r="291" spans="1:154" ht="12" customHeight="1" thickBot="1" x14ac:dyDescent="0.4">
      <c r="A291" s="67">
        <v>14</v>
      </c>
      <c r="B291" s="1438">
        <f t="shared" si="108"/>
        <v>425</v>
      </c>
      <c r="C291" s="1440">
        <v>14</v>
      </c>
      <c r="D291" s="1458" t="s">
        <v>400</v>
      </c>
      <c r="E291" s="67"/>
      <c r="F291" s="82"/>
      <c r="G291" s="1448"/>
      <c r="H291" s="1448"/>
      <c r="I291" s="1448"/>
      <c r="J291" s="1448"/>
      <c r="K291" s="1630">
        <v>14</v>
      </c>
      <c r="L291" s="1640">
        <f>Input!D252</f>
        <v>0</v>
      </c>
      <c r="M291" s="1641">
        <f>IF(Input!$F$238&gt;=$K291,Input!G252,0)</f>
        <v>0</v>
      </c>
      <c r="N291" s="1642">
        <f>Input!H252</f>
        <v>0</v>
      </c>
      <c r="O291" s="1643">
        <f>Input!I252</f>
        <v>0</v>
      </c>
      <c r="P291" s="1630">
        <f t="shared" si="102"/>
        <v>14</v>
      </c>
      <c r="Q291" s="1647"/>
      <c r="R291" s="1648"/>
      <c r="S291" s="1649"/>
      <c r="T291" s="1650"/>
      <c r="U291" s="1621"/>
      <c r="V291" s="1636">
        <f t="shared" si="103"/>
        <v>0</v>
      </c>
      <c r="W291" s="1636">
        <f t="shared" si="104"/>
        <v>0</v>
      </c>
      <c r="X291" s="381">
        <f t="shared" si="105"/>
        <v>0</v>
      </c>
      <c r="Y291" s="1645">
        <f t="shared" si="109"/>
        <v>0</v>
      </c>
      <c r="Z291" s="1646">
        <f t="shared" si="115"/>
        <v>0</v>
      </c>
      <c r="AA291" s="1646">
        <f t="shared" si="115"/>
        <v>0</v>
      </c>
      <c r="AB291" s="1646">
        <f t="shared" si="115"/>
        <v>0</v>
      </c>
      <c r="AC291" s="1646">
        <f t="shared" si="115"/>
        <v>0</v>
      </c>
      <c r="AD291" s="1646">
        <f t="shared" si="115"/>
        <v>0</v>
      </c>
      <c r="AE291" s="1646">
        <f t="shared" si="115"/>
        <v>0</v>
      </c>
      <c r="AF291" s="1155">
        <f t="shared" si="115"/>
        <v>0</v>
      </c>
      <c r="AG291" s="1155">
        <f t="shared" si="115"/>
        <v>0</v>
      </c>
      <c r="AH291" s="1155">
        <f t="shared" si="115"/>
        <v>0</v>
      </c>
      <c r="AI291" s="1155">
        <f t="shared" si="115"/>
        <v>0</v>
      </c>
      <c r="AJ291" s="1155">
        <f t="shared" si="115"/>
        <v>0</v>
      </c>
      <c r="AK291" s="1155">
        <f t="shared" si="115"/>
        <v>0</v>
      </c>
      <c r="AL291" s="1155">
        <f t="shared" si="115"/>
        <v>0</v>
      </c>
      <c r="AM291" s="1155">
        <f t="shared" si="115"/>
        <v>0</v>
      </c>
      <c r="AN291" s="1155">
        <f t="shared" si="115"/>
        <v>0</v>
      </c>
      <c r="AO291" s="1155">
        <f t="shared" si="115"/>
        <v>0</v>
      </c>
      <c r="AP291" s="1155">
        <f t="shared" si="115"/>
        <v>0</v>
      </c>
      <c r="AQ291" s="1155">
        <f t="shared" si="115"/>
        <v>0</v>
      </c>
      <c r="AR291" s="1155">
        <f t="shared" si="115"/>
        <v>0</v>
      </c>
      <c r="AS291" s="1155">
        <f t="shared" si="115"/>
        <v>0</v>
      </c>
      <c r="AT291" s="1155">
        <f t="shared" si="115"/>
        <v>0</v>
      </c>
      <c r="AU291" s="1155">
        <f t="shared" si="115"/>
        <v>0</v>
      </c>
      <c r="AV291" s="1155">
        <f t="shared" si="115"/>
        <v>0</v>
      </c>
      <c r="AW291" s="1155">
        <f t="shared" si="115"/>
        <v>0</v>
      </c>
      <c r="AX291" s="1155">
        <f t="shared" si="115"/>
        <v>0</v>
      </c>
      <c r="AY291" s="1155">
        <f t="shared" si="115"/>
        <v>0</v>
      </c>
      <c r="AZ291" s="1155">
        <f t="shared" si="115"/>
        <v>0</v>
      </c>
      <c r="BA291" s="1155">
        <f t="shared" si="115"/>
        <v>0</v>
      </c>
      <c r="BB291" s="1155">
        <f t="shared" si="115"/>
        <v>0</v>
      </c>
      <c r="BC291" s="1155">
        <f t="shared" si="115"/>
        <v>0</v>
      </c>
      <c r="BD291" s="1155">
        <f t="shared" si="115"/>
        <v>0</v>
      </c>
      <c r="BE291" s="1155">
        <f t="shared" si="115"/>
        <v>0</v>
      </c>
      <c r="BF291" s="1155">
        <f t="shared" si="115"/>
        <v>0</v>
      </c>
      <c r="BG291" s="1155">
        <f t="shared" si="115"/>
        <v>0</v>
      </c>
      <c r="BH291" s="1155">
        <f t="shared" si="115"/>
        <v>0</v>
      </c>
      <c r="BI291" s="1155">
        <f t="shared" si="115"/>
        <v>0</v>
      </c>
      <c r="BJ291" s="1155">
        <f t="shared" si="115"/>
        <v>0</v>
      </c>
      <c r="BK291" s="1155">
        <f t="shared" si="115"/>
        <v>0</v>
      </c>
      <c r="BL291" s="1155">
        <f t="shared" si="115"/>
        <v>0</v>
      </c>
      <c r="BM291" s="1155">
        <f t="shared" si="115"/>
        <v>0</v>
      </c>
      <c r="BN291" s="1155">
        <f t="shared" si="115"/>
        <v>0</v>
      </c>
      <c r="BO291" s="1155">
        <f t="shared" si="115"/>
        <v>0</v>
      </c>
      <c r="BP291" s="1155">
        <f t="shared" si="115"/>
        <v>0</v>
      </c>
      <c r="BQ291" s="1155">
        <f t="shared" si="115"/>
        <v>0</v>
      </c>
      <c r="BR291" s="1155">
        <f t="shared" si="115"/>
        <v>0</v>
      </c>
      <c r="BS291" s="1155">
        <f t="shared" si="115"/>
        <v>0</v>
      </c>
      <c r="BT291" s="1155">
        <f t="shared" si="115"/>
        <v>0</v>
      </c>
      <c r="BU291" s="1155">
        <f t="shared" si="115"/>
        <v>0</v>
      </c>
      <c r="BV291" s="1155">
        <f t="shared" si="115"/>
        <v>0</v>
      </c>
      <c r="BW291" s="1155">
        <f t="shared" si="115"/>
        <v>0</v>
      </c>
      <c r="BX291" s="1457">
        <f t="shared" si="115"/>
        <v>0</v>
      </c>
      <c r="BY291" s="1457">
        <f t="shared" si="115"/>
        <v>0</v>
      </c>
      <c r="BZ291" s="1162">
        <f t="shared" si="115"/>
        <v>0</v>
      </c>
      <c r="CA291" s="1162">
        <f t="shared" si="115"/>
        <v>0</v>
      </c>
      <c r="CB291" s="1162">
        <f t="shared" si="115"/>
        <v>0</v>
      </c>
      <c r="CC291" s="1162">
        <f t="shared" si="115"/>
        <v>0</v>
      </c>
      <c r="CD291" s="1162">
        <f t="shared" si="115"/>
        <v>0</v>
      </c>
      <c r="CE291" s="1162">
        <f t="shared" si="115"/>
        <v>0</v>
      </c>
      <c r="CF291" s="1162">
        <f t="shared" si="115"/>
        <v>0</v>
      </c>
      <c r="CG291" s="1162">
        <f t="shared" si="115"/>
        <v>0</v>
      </c>
      <c r="CH291" s="1162">
        <f t="shared" si="115"/>
        <v>0</v>
      </c>
      <c r="CI291" s="1162">
        <f t="shared" si="115"/>
        <v>0</v>
      </c>
      <c r="CJ291" s="1162">
        <f t="shared" si="115"/>
        <v>0</v>
      </c>
      <c r="CK291" s="1162">
        <f t="shared" ref="CK291:EN294" si="116">IF(OR($M291=0,$N291=0),0,IF($N291=CK$277,$M291,0))</f>
        <v>0</v>
      </c>
      <c r="CL291" s="1162">
        <f t="shared" si="116"/>
        <v>0</v>
      </c>
      <c r="CM291" s="1162">
        <f t="shared" si="116"/>
        <v>0</v>
      </c>
      <c r="CN291" s="1162">
        <f t="shared" si="116"/>
        <v>0</v>
      </c>
      <c r="CO291" s="1162">
        <f t="shared" si="116"/>
        <v>0</v>
      </c>
      <c r="CP291" s="1162">
        <f t="shared" si="116"/>
        <v>0</v>
      </c>
      <c r="CQ291" s="48">
        <f t="shared" si="116"/>
        <v>0</v>
      </c>
      <c r="CR291" s="48">
        <f t="shared" si="116"/>
        <v>0</v>
      </c>
      <c r="CS291" s="48">
        <f t="shared" si="116"/>
        <v>0</v>
      </c>
      <c r="CT291" s="48">
        <f t="shared" si="116"/>
        <v>0</v>
      </c>
      <c r="CU291" s="48">
        <f t="shared" si="116"/>
        <v>0</v>
      </c>
      <c r="CV291" s="48">
        <f t="shared" si="116"/>
        <v>0</v>
      </c>
      <c r="CW291" s="48">
        <f t="shared" si="116"/>
        <v>0</v>
      </c>
      <c r="CX291" s="48">
        <f t="shared" si="116"/>
        <v>0</v>
      </c>
      <c r="CY291" s="48">
        <f t="shared" si="116"/>
        <v>0</v>
      </c>
      <c r="CZ291" s="48">
        <f t="shared" si="116"/>
        <v>0</v>
      </c>
      <c r="DA291" s="48">
        <f t="shared" si="116"/>
        <v>0</v>
      </c>
      <c r="DB291" s="48">
        <f t="shared" si="116"/>
        <v>0</v>
      </c>
      <c r="DC291" s="48">
        <f t="shared" si="116"/>
        <v>0</v>
      </c>
      <c r="DD291" s="48">
        <f t="shared" si="116"/>
        <v>0</v>
      </c>
      <c r="DE291" s="48">
        <f t="shared" si="116"/>
        <v>0</v>
      </c>
      <c r="DF291" s="48">
        <f t="shared" si="116"/>
        <v>0</v>
      </c>
      <c r="DG291" s="48">
        <f t="shared" si="116"/>
        <v>0</v>
      </c>
      <c r="DH291" s="48">
        <f t="shared" si="116"/>
        <v>0</v>
      </c>
      <c r="DI291" s="48">
        <f t="shared" si="116"/>
        <v>0</v>
      </c>
      <c r="DJ291" s="48">
        <f t="shared" si="116"/>
        <v>0</v>
      </c>
      <c r="DK291" s="48">
        <f t="shared" si="116"/>
        <v>0</v>
      </c>
      <c r="DL291" s="48">
        <f t="shared" si="116"/>
        <v>0</v>
      </c>
      <c r="DM291" s="48">
        <f t="shared" si="116"/>
        <v>0</v>
      </c>
      <c r="DN291" s="48">
        <f t="shared" si="116"/>
        <v>0</v>
      </c>
      <c r="DO291" s="48">
        <f t="shared" si="116"/>
        <v>0</v>
      </c>
      <c r="DP291" s="48">
        <f t="shared" si="116"/>
        <v>0</v>
      </c>
      <c r="DQ291" s="48">
        <f t="shared" si="116"/>
        <v>0</v>
      </c>
      <c r="DR291" s="50">
        <f t="shared" si="116"/>
        <v>0</v>
      </c>
      <c r="DS291" s="50">
        <f t="shared" si="116"/>
        <v>0</v>
      </c>
      <c r="DT291" s="50">
        <f t="shared" si="116"/>
        <v>0</v>
      </c>
      <c r="DU291" s="50">
        <f t="shared" si="116"/>
        <v>0</v>
      </c>
      <c r="DV291" s="50">
        <f t="shared" si="116"/>
        <v>0</v>
      </c>
      <c r="DW291" s="50">
        <f t="shared" si="116"/>
        <v>0</v>
      </c>
      <c r="DX291" s="50">
        <f t="shared" si="116"/>
        <v>0</v>
      </c>
      <c r="DY291" s="50">
        <f t="shared" si="116"/>
        <v>0</v>
      </c>
      <c r="DZ291" s="50">
        <f t="shared" si="116"/>
        <v>0</v>
      </c>
      <c r="EA291" s="50">
        <f t="shared" si="116"/>
        <v>0</v>
      </c>
      <c r="EB291" s="50">
        <f t="shared" si="116"/>
        <v>0</v>
      </c>
      <c r="EC291" s="50">
        <f t="shared" si="116"/>
        <v>0</v>
      </c>
      <c r="ED291" s="50">
        <f t="shared" si="116"/>
        <v>0</v>
      </c>
      <c r="EE291" s="50">
        <f t="shared" si="116"/>
        <v>0</v>
      </c>
      <c r="EF291" s="50">
        <f t="shared" si="116"/>
        <v>0</v>
      </c>
      <c r="EG291" s="50">
        <f t="shared" si="116"/>
        <v>0</v>
      </c>
      <c r="EH291" s="50">
        <f t="shared" si="116"/>
        <v>0</v>
      </c>
      <c r="EI291" s="50">
        <f t="shared" si="116"/>
        <v>0</v>
      </c>
      <c r="EJ291" s="50">
        <f t="shared" si="116"/>
        <v>0</v>
      </c>
      <c r="EK291" s="50">
        <f t="shared" si="116"/>
        <v>0</v>
      </c>
      <c r="EL291" s="50">
        <f t="shared" si="116"/>
        <v>0</v>
      </c>
      <c r="EM291" s="50">
        <f t="shared" si="116"/>
        <v>0</v>
      </c>
      <c r="EN291" s="50">
        <f t="shared" si="116"/>
        <v>0</v>
      </c>
      <c r="EO291" s="39">
        <v>51</v>
      </c>
      <c r="EP291" s="39">
        <v>51</v>
      </c>
      <c r="EQ291" s="39">
        <v>51</v>
      </c>
      <c r="ER291" s="39">
        <v>51</v>
      </c>
      <c r="ES291" s="39">
        <v>51</v>
      </c>
      <c r="ET291" s="39">
        <v>51</v>
      </c>
      <c r="EU291" s="39">
        <v>51</v>
      </c>
      <c r="EV291" s="39">
        <v>51</v>
      </c>
      <c r="EW291" s="39">
        <v>51</v>
      </c>
      <c r="EX291" s="39">
        <v>51</v>
      </c>
    </row>
    <row r="292" spans="1:154" ht="12" customHeight="1" x14ac:dyDescent="0.35">
      <c r="A292" s="67">
        <v>15</v>
      </c>
      <c r="B292" s="1438">
        <f t="shared" si="108"/>
        <v>456</v>
      </c>
      <c r="C292" s="1440">
        <v>15</v>
      </c>
      <c r="D292" s="1459">
        <f>SUM(Input!U104:X104)</f>
        <v>0</v>
      </c>
      <c r="E292" s="67"/>
      <c r="F292" s="82"/>
      <c r="G292" s="1448"/>
      <c r="H292" s="1448"/>
      <c r="I292" s="1448"/>
      <c r="J292" s="1448"/>
      <c r="K292" s="1630">
        <v>15</v>
      </c>
      <c r="L292" s="1640">
        <f>Input!D253</f>
        <v>0</v>
      </c>
      <c r="M292" s="1641">
        <f>IF(Input!$F$238&gt;=$K292,Input!G253,0)</f>
        <v>0</v>
      </c>
      <c r="N292" s="1642">
        <f>Input!H253</f>
        <v>0</v>
      </c>
      <c r="O292" s="1643">
        <f>Input!I253</f>
        <v>0</v>
      </c>
      <c r="P292" s="1630">
        <f t="shared" si="102"/>
        <v>15</v>
      </c>
      <c r="Q292" s="1647"/>
      <c r="R292" s="1648"/>
      <c r="S292" s="1649"/>
      <c r="T292" s="1650"/>
      <c r="U292" s="1621"/>
      <c r="V292" s="1636">
        <f t="shared" si="103"/>
        <v>0</v>
      </c>
      <c r="W292" s="1636">
        <f t="shared" si="104"/>
        <v>0</v>
      </c>
      <c r="X292" s="381">
        <f t="shared" si="105"/>
        <v>0</v>
      </c>
      <c r="Y292" s="1645">
        <f t="shared" si="109"/>
        <v>0</v>
      </c>
      <c r="Z292" s="1646">
        <f t="shared" ref="Z292:CK295" si="117">IF(OR($M292=0,$N292=0),0,IF($N292=Z$277,$M292,0))</f>
        <v>0</v>
      </c>
      <c r="AA292" s="1646">
        <f t="shared" si="117"/>
        <v>0</v>
      </c>
      <c r="AB292" s="1646">
        <f t="shared" si="117"/>
        <v>0</v>
      </c>
      <c r="AC292" s="1646">
        <f t="shared" si="117"/>
        <v>0</v>
      </c>
      <c r="AD292" s="1646">
        <f t="shared" si="117"/>
        <v>0</v>
      </c>
      <c r="AE292" s="1646">
        <f t="shared" si="117"/>
        <v>0</v>
      </c>
      <c r="AF292" s="1155">
        <f t="shared" si="117"/>
        <v>0</v>
      </c>
      <c r="AG292" s="1155">
        <f t="shared" si="117"/>
        <v>0</v>
      </c>
      <c r="AH292" s="1155">
        <f t="shared" si="117"/>
        <v>0</v>
      </c>
      <c r="AI292" s="1155">
        <f t="shared" si="117"/>
        <v>0</v>
      </c>
      <c r="AJ292" s="1155">
        <f t="shared" si="117"/>
        <v>0</v>
      </c>
      <c r="AK292" s="1155">
        <f t="shared" si="117"/>
        <v>0</v>
      </c>
      <c r="AL292" s="1155">
        <f t="shared" si="117"/>
        <v>0</v>
      </c>
      <c r="AM292" s="1155">
        <f t="shared" si="117"/>
        <v>0</v>
      </c>
      <c r="AN292" s="1155">
        <f t="shared" si="117"/>
        <v>0</v>
      </c>
      <c r="AO292" s="1155">
        <f t="shared" si="117"/>
        <v>0</v>
      </c>
      <c r="AP292" s="1155">
        <f t="shared" si="117"/>
        <v>0</v>
      </c>
      <c r="AQ292" s="1155">
        <f t="shared" si="117"/>
        <v>0</v>
      </c>
      <c r="AR292" s="1155">
        <f t="shared" si="117"/>
        <v>0</v>
      </c>
      <c r="AS292" s="1155">
        <f t="shared" si="117"/>
        <v>0</v>
      </c>
      <c r="AT292" s="1155">
        <f t="shared" si="117"/>
        <v>0</v>
      </c>
      <c r="AU292" s="1155">
        <f t="shared" si="117"/>
        <v>0</v>
      </c>
      <c r="AV292" s="1155">
        <f t="shared" si="117"/>
        <v>0</v>
      </c>
      <c r="AW292" s="1155">
        <f t="shared" si="117"/>
        <v>0</v>
      </c>
      <c r="AX292" s="1155">
        <f t="shared" si="117"/>
        <v>0</v>
      </c>
      <c r="AY292" s="1155">
        <f t="shared" si="117"/>
        <v>0</v>
      </c>
      <c r="AZ292" s="1155">
        <f t="shared" si="117"/>
        <v>0</v>
      </c>
      <c r="BA292" s="1155">
        <f t="shared" si="117"/>
        <v>0</v>
      </c>
      <c r="BB292" s="1155">
        <f t="shared" si="117"/>
        <v>0</v>
      </c>
      <c r="BC292" s="1155">
        <f t="shared" si="117"/>
        <v>0</v>
      </c>
      <c r="BD292" s="1155">
        <f t="shared" si="117"/>
        <v>0</v>
      </c>
      <c r="BE292" s="1155">
        <f t="shared" si="117"/>
        <v>0</v>
      </c>
      <c r="BF292" s="1155">
        <f t="shared" si="117"/>
        <v>0</v>
      </c>
      <c r="BG292" s="1155">
        <f t="shared" si="117"/>
        <v>0</v>
      </c>
      <c r="BH292" s="1155">
        <f t="shared" si="117"/>
        <v>0</v>
      </c>
      <c r="BI292" s="1155">
        <f t="shared" si="117"/>
        <v>0</v>
      </c>
      <c r="BJ292" s="1155">
        <f t="shared" si="117"/>
        <v>0</v>
      </c>
      <c r="BK292" s="1155">
        <f t="shared" si="117"/>
        <v>0</v>
      </c>
      <c r="BL292" s="1155">
        <f t="shared" si="117"/>
        <v>0</v>
      </c>
      <c r="BM292" s="1155">
        <f t="shared" si="117"/>
        <v>0</v>
      </c>
      <c r="BN292" s="1155">
        <f t="shared" si="117"/>
        <v>0</v>
      </c>
      <c r="BO292" s="1155">
        <f t="shared" si="117"/>
        <v>0</v>
      </c>
      <c r="BP292" s="1155">
        <f t="shared" si="117"/>
        <v>0</v>
      </c>
      <c r="BQ292" s="1155">
        <f t="shared" si="117"/>
        <v>0</v>
      </c>
      <c r="BR292" s="1155">
        <f t="shared" si="117"/>
        <v>0</v>
      </c>
      <c r="BS292" s="1155">
        <f t="shared" si="117"/>
        <v>0</v>
      </c>
      <c r="BT292" s="1155">
        <f t="shared" si="117"/>
        <v>0</v>
      </c>
      <c r="BU292" s="1155">
        <f t="shared" si="117"/>
        <v>0</v>
      </c>
      <c r="BV292" s="1155">
        <f t="shared" si="117"/>
        <v>0</v>
      </c>
      <c r="BW292" s="1155">
        <f t="shared" si="117"/>
        <v>0</v>
      </c>
      <c r="BX292" s="1457">
        <f t="shared" si="117"/>
        <v>0</v>
      </c>
      <c r="BY292" s="1457">
        <f t="shared" si="117"/>
        <v>0</v>
      </c>
      <c r="BZ292" s="1162">
        <f t="shared" si="117"/>
        <v>0</v>
      </c>
      <c r="CA292" s="1162">
        <f t="shared" si="117"/>
        <v>0</v>
      </c>
      <c r="CB292" s="1162">
        <f t="shared" si="117"/>
        <v>0</v>
      </c>
      <c r="CC292" s="1162">
        <f t="shared" si="117"/>
        <v>0</v>
      </c>
      <c r="CD292" s="1162">
        <f t="shared" si="117"/>
        <v>0</v>
      </c>
      <c r="CE292" s="1162">
        <f t="shared" si="117"/>
        <v>0</v>
      </c>
      <c r="CF292" s="1162">
        <f t="shared" si="117"/>
        <v>0</v>
      </c>
      <c r="CG292" s="1162">
        <f t="shared" si="117"/>
        <v>0</v>
      </c>
      <c r="CH292" s="1162">
        <f t="shared" si="117"/>
        <v>0</v>
      </c>
      <c r="CI292" s="1162">
        <f t="shared" si="117"/>
        <v>0</v>
      </c>
      <c r="CJ292" s="1162">
        <f t="shared" si="117"/>
        <v>0</v>
      </c>
      <c r="CK292" s="1162">
        <f t="shared" si="117"/>
        <v>0</v>
      </c>
      <c r="CL292" s="1162">
        <f t="shared" si="116"/>
        <v>0</v>
      </c>
      <c r="CM292" s="1162">
        <f t="shared" si="116"/>
        <v>0</v>
      </c>
      <c r="CN292" s="1162">
        <f t="shared" si="116"/>
        <v>0</v>
      </c>
      <c r="CO292" s="1162">
        <f t="shared" si="116"/>
        <v>0</v>
      </c>
      <c r="CP292" s="1162">
        <f t="shared" si="116"/>
        <v>0</v>
      </c>
      <c r="CQ292" s="48">
        <f t="shared" si="116"/>
        <v>0</v>
      </c>
      <c r="CR292" s="48">
        <f t="shared" si="116"/>
        <v>0</v>
      </c>
      <c r="CS292" s="48">
        <f t="shared" si="116"/>
        <v>0</v>
      </c>
      <c r="CT292" s="48">
        <f t="shared" si="116"/>
        <v>0</v>
      </c>
      <c r="CU292" s="48">
        <f t="shared" si="116"/>
        <v>0</v>
      </c>
      <c r="CV292" s="48">
        <f t="shared" si="116"/>
        <v>0</v>
      </c>
      <c r="CW292" s="48">
        <f t="shared" si="116"/>
        <v>0</v>
      </c>
      <c r="CX292" s="48">
        <f t="shared" si="116"/>
        <v>0</v>
      </c>
      <c r="CY292" s="48">
        <f t="shared" si="116"/>
        <v>0</v>
      </c>
      <c r="CZ292" s="48">
        <f t="shared" si="116"/>
        <v>0</v>
      </c>
      <c r="DA292" s="48">
        <f t="shared" si="116"/>
        <v>0</v>
      </c>
      <c r="DB292" s="48">
        <f t="shared" si="116"/>
        <v>0</v>
      </c>
      <c r="DC292" s="48">
        <f t="shared" si="116"/>
        <v>0</v>
      </c>
      <c r="DD292" s="48">
        <f t="shared" si="116"/>
        <v>0</v>
      </c>
      <c r="DE292" s="48">
        <f t="shared" si="116"/>
        <v>0</v>
      </c>
      <c r="DF292" s="48">
        <f t="shared" si="116"/>
        <v>0</v>
      </c>
      <c r="DG292" s="48">
        <f t="shared" si="116"/>
        <v>0</v>
      </c>
      <c r="DH292" s="48">
        <f t="shared" si="116"/>
        <v>0</v>
      </c>
      <c r="DI292" s="48">
        <f t="shared" si="116"/>
        <v>0</v>
      </c>
      <c r="DJ292" s="48">
        <f t="shared" si="116"/>
        <v>0</v>
      </c>
      <c r="DK292" s="48">
        <f t="shared" si="116"/>
        <v>0</v>
      </c>
      <c r="DL292" s="48">
        <f t="shared" si="116"/>
        <v>0</v>
      </c>
      <c r="DM292" s="48">
        <f t="shared" si="116"/>
        <v>0</v>
      </c>
      <c r="DN292" s="48">
        <f t="shared" si="116"/>
        <v>0</v>
      </c>
      <c r="DO292" s="48">
        <f t="shared" si="116"/>
        <v>0</v>
      </c>
      <c r="DP292" s="48">
        <f t="shared" si="116"/>
        <v>0</v>
      </c>
      <c r="DQ292" s="48">
        <f t="shared" si="116"/>
        <v>0</v>
      </c>
      <c r="DR292" s="50">
        <f t="shared" si="116"/>
        <v>0</v>
      </c>
      <c r="DS292" s="50">
        <f t="shared" si="116"/>
        <v>0</v>
      </c>
      <c r="DT292" s="50">
        <f t="shared" si="116"/>
        <v>0</v>
      </c>
      <c r="DU292" s="50">
        <f t="shared" si="116"/>
        <v>0</v>
      </c>
      <c r="DV292" s="50">
        <f t="shared" si="116"/>
        <v>0</v>
      </c>
      <c r="DW292" s="50">
        <f t="shared" si="116"/>
        <v>0</v>
      </c>
      <c r="DX292" s="50">
        <f t="shared" si="116"/>
        <v>0</v>
      </c>
      <c r="DY292" s="50">
        <f t="shared" si="116"/>
        <v>0</v>
      </c>
      <c r="DZ292" s="50">
        <f t="shared" si="116"/>
        <v>0</v>
      </c>
      <c r="EA292" s="50">
        <f t="shared" si="116"/>
        <v>0</v>
      </c>
      <c r="EB292" s="50">
        <f t="shared" si="116"/>
        <v>0</v>
      </c>
      <c r="EC292" s="50">
        <f t="shared" si="116"/>
        <v>0</v>
      </c>
      <c r="ED292" s="50">
        <f t="shared" si="116"/>
        <v>0</v>
      </c>
      <c r="EE292" s="50">
        <f t="shared" si="116"/>
        <v>0</v>
      </c>
      <c r="EF292" s="50">
        <f t="shared" si="116"/>
        <v>0</v>
      </c>
      <c r="EG292" s="50">
        <f t="shared" si="116"/>
        <v>0</v>
      </c>
      <c r="EH292" s="50">
        <f t="shared" si="116"/>
        <v>0</v>
      </c>
      <c r="EI292" s="50">
        <f t="shared" si="116"/>
        <v>0</v>
      </c>
      <c r="EJ292" s="50">
        <f t="shared" si="116"/>
        <v>0</v>
      </c>
      <c r="EK292" s="50">
        <f t="shared" si="116"/>
        <v>0</v>
      </c>
      <c r="EL292" s="50">
        <f t="shared" si="116"/>
        <v>0</v>
      </c>
      <c r="EM292" s="50">
        <f t="shared" si="116"/>
        <v>0</v>
      </c>
      <c r="EN292" s="50">
        <f t="shared" si="116"/>
        <v>0</v>
      </c>
      <c r="EO292" s="39">
        <v>51</v>
      </c>
      <c r="EP292" s="39">
        <v>51</v>
      </c>
      <c r="EQ292" s="39">
        <v>51</v>
      </c>
      <c r="ER292" s="39">
        <v>51</v>
      </c>
      <c r="ES292" s="39">
        <v>51</v>
      </c>
      <c r="ET292" s="39">
        <v>51</v>
      </c>
      <c r="EU292" s="39">
        <v>51</v>
      </c>
      <c r="EV292" s="39">
        <v>51</v>
      </c>
      <c r="EW292" s="39">
        <v>51</v>
      </c>
      <c r="EX292" s="39">
        <v>51</v>
      </c>
    </row>
    <row r="293" spans="1:154" ht="12" customHeight="1" x14ac:dyDescent="0.35">
      <c r="A293" s="67">
        <v>16</v>
      </c>
      <c r="B293" s="1438">
        <f t="shared" si="108"/>
        <v>486</v>
      </c>
      <c r="C293" s="1440">
        <v>16</v>
      </c>
      <c r="D293" s="67"/>
      <c r="E293" s="67"/>
      <c r="F293" s="82"/>
      <c r="G293" s="1448"/>
      <c r="H293" s="1448"/>
      <c r="I293" s="1448"/>
      <c r="J293" s="1448"/>
      <c r="K293" s="1630">
        <v>16</v>
      </c>
      <c r="L293" s="1640">
        <f>Input!D254</f>
        <v>0</v>
      </c>
      <c r="M293" s="1641">
        <f>IF(Input!$F$238&gt;=$K293,Input!G254,0)</f>
        <v>0</v>
      </c>
      <c r="N293" s="1642">
        <f>Input!H254</f>
        <v>0</v>
      </c>
      <c r="O293" s="1643">
        <f>Input!I254</f>
        <v>0</v>
      </c>
      <c r="P293" s="1630">
        <f t="shared" si="102"/>
        <v>16</v>
      </c>
      <c r="Q293" s="1647"/>
      <c r="R293" s="1648"/>
      <c r="S293" s="1649"/>
      <c r="T293" s="1650"/>
      <c r="U293" s="1621"/>
      <c r="V293" s="1636">
        <f t="shared" si="103"/>
        <v>0</v>
      </c>
      <c r="W293" s="1636">
        <f t="shared" si="104"/>
        <v>0</v>
      </c>
      <c r="X293" s="381">
        <f t="shared" si="105"/>
        <v>0</v>
      </c>
      <c r="Y293" s="1645">
        <f t="shared" si="109"/>
        <v>0</v>
      </c>
      <c r="Z293" s="1646">
        <f t="shared" si="117"/>
        <v>0</v>
      </c>
      <c r="AA293" s="1646">
        <f t="shared" si="117"/>
        <v>0</v>
      </c>
      <c r="AB293" s="1646">
        <f t="shared" si="117"/>
        <v>0</v>
      </c>
      <c r="AC293" s="1646">
        <f t="shared" si="117"/>
        <v>0</v>
      </c>
      <c r="AD293" s="1646">
        <f t="shared" si="117"/>
        <v>0</v>
      </c>
      <c r="AE293" s="1646">
        <f t="shared" si="117"/>
        <v>0</v>
      </c>
      <c r="AF293" s="1155">
        <f t="shared" si="117"/>
        <v>0</v>
      </c>
      <c r="AG293" s="1155">
        <f t="shared" si="117"/>
        <v>0</v>
      </c>
      <c r="AH293" s="1155">
        <f t="shared" si="117"/>
        <v>0</v>
      </c>
      <c r="AI293" s="1155">
        <f t="shared" si="117"/>
        <v>0</v>
      </c>
      <c r="AJ293" s="1155">
        <f t="shared" si="117"/>
        <v>0</v>
      </c>
      <c r="AK293" s="1155">
        <f t="shared" si="117"/>
        <v>0</v>
      </c>
      <c r="AL293" s="1155">
        <f t="shared" si="117"/>
        <v>0</v>
      </c>
      <c r="AM293" s="1155">
        <f t="shared" si="117"/>
        <v>0</v>
      </c>
      <c r="AN293" s="1155">
        <f t="shared" si="117"/>
        <v>0</v>
      </c>
      <c r="AO293" s="1155">
        <f t="shared" si="117"/>
        <v>0</v>
      </c>
      <c r="AP293" s="1155">
        <f t="shared" si="117"/>
        <v>0</v>
      </c>
      <c r="AQ293" s="1155">
        <f t="shared" si="117"/>
        <v>0</v>
      </c>
      <c r="AR293" s="1155">
        <f t="shared" si="117"/>
        <v>0</v>
      </c>
      <c r="AS293" s="1155">
        <f t="shared" si="117"/>
        <v>0</v>
      </c>
      <c r="AT293" s="1155">
        <f t="shared" si="117"/>
        <v>0</v>
      </c>
      <c r="AU293" s="1155">
        <f t="shared" si="117"/>
        <v>0</v>
      </c>
      <c r="AV293" s="1155">
        <f t="shared" si="117"/>
        <v>0</v>
      </c>
      <c r="AW293" s="1155">
        <f t="shared" si="117"/>
        <v>0</v>
      </c>
      <c r="AX293" s="1155">
        <f t="shared" si="117"/>
        <v>0</v>
      </c>
      <c r="AY293" s="1155">
        <f t="shared" si="117"/>
        <v>0</v>
      </c>
      <c r="AZ293" s="1155">
        <f t="shared" si="117"/>
        <v>0</v>
      </c>
      <c r="BA293" s="1155">
        <f t="shared" si="117"/>
        <v>0</v>
      </c>
      <c r="BB293" s="1155">
        <f t="shared" si="117"/>
        <v>0</v>
      </c>
      <c r="BC293" s="1155">
        <f t="shared" si="117"/>
        <v>0</v>
      </c>
      <c r="BD293" s="1155">
        <f t="shared" si="117"/>
        <v>0</v>
      </c>
      <c r="BE293" s="1155">
        <f t="shared" si="117"/>
        <v>0</v>
      </c>
      <c r="BF293" s="1155">
        <f t="shared" si="117"/>
        <v>0</v>
      </c>
      <c r="BG293" s="1155">
        <f t="shared" si="117"/>
        <v>0</v>
      </c>
      <c r="BH293" s="1155">
        <f t="shared" si="117"/>
        <v>0</v>
      </c>
      <c r="BI293" s="1155">
        <f t="shared" si="117"/>
        <v>0</v>
      </c>
      <c r="BJ293" s="1155">
        <f t="shared" si="117"/>
        <v>0</v>
      </c>
      <c r="BK293" s="1155">
        <f t="shared" si="117"/>
        <v>0</v>
      </c>
      <c r="BL293" s="1155">
        <f t="shared" si="117"/>
        <v>0</v>
      </c>
      <c r="BM293" s="1155">
        <f t="shared" si="117"/>
        <v>0</v>
      </c>
      <c r="BN293" s="1155">
        <f t="shared" si="117"/>
        <v>0</v>
      </c>
      <c r="BO293" s="1155">
        <f t="shared" si="117"/>
        <v>0</v>
      </c>
      <c r="BP293" s="1155">
        <f t="shared" si="117"/>
        <v>0</v>
      </c>
      <c r="BQ293" s="1155">
        <f t="shared" si="117"/>
        <v>0</v>
      </c>
      <c r="BR293" s="1155">
        <f t="shared" si="117"/>
        <v>0</v>
      </c>
      <c r="BS293" s="1155">
        <f t="shared" si="117"/>
        <v>0</v>
      </c>
      <c r="BT293" s="1155">
        <f t="shared" si="117"/>
        <v>0</v>
      </c>
      <c r="BU293" s="1155">
        <f t="shared" si="117"/>
        <v>0</v>
      </c>
      <c r="BV293" s="1155">
        <f t="shared" si="117"/>
        <v>0</v>
      </c>
      <c r="BW293" s="1155">
        <f t="shared" si="117"/>
        <v>0</v>
      </c>
      <c r="BX293" s="1457">
        <f t="shared" si="117"/>
        <v>0</v>
      </c>
      <c r="BY293" s="1457">
        <f t="shared" si="117"/>
        <v>0</v>
      </c>
      <c r="BZ293" s="1162">
        <f t="shared" si="117"/>
        <v>0</v>
      </c>
      <c r="CA293" s="1162">
        <f t="shared" si="117"/>
        <v>0</v>
      </c>
      <c r="CB293" s="1162">
        <f t="shared" si="117"/>
        <v>0</v>
      </c>
      <c r="CC293" s="1162">
        <f t="shared" si="117"/>
        <v>0</v>
      </c>
      <c r="CD293" s="1162">
        <f t="shared" si="117"/>
        <v>0</v>
      </c>
      <c r="CE293" s="1162">
        <f t="shared" si="117"/>
        <v>0</v>
      </c>
      <c r="CF293" s="1162">
        <f t="shared" si="117"/>
        <v>0</v>
      </c>
      <c r="CG293" s="1162">
        <f t="shared" si="117"/>
        <v>0</v>
      </c>
      <c r="CH293" s="1162">
        <f t="shared" si="117"/>
        <v>0</v>
      </c>
      <c r="CI293" s="1162">
        <f t="shared" si="117"/>
        <v>0</v>
      </c>
      <c r="CJ293" s="1162">
        <f t="shared" si="117"/>
        <v>0</v>
      </c>
      <c r="CK293" s="1162">
        <f t="shared" si="117"/>
        <v>0</v>
      </c>
      <c r="CL293" s="1162">
        <f t="shared" si="116"/>
        <v>0</v>
      </c>
      <c r="CM293" s="1162">
        <f t="shared" si="116"/>
        <v>0</v>
      </c>
      <c r="CN293" s="1162">
        <f t="shared" si="116"/>
        <v>0</v>
      </c>
      <c r="CO293" s="1162">
        <f t="shared" si="116"/>
        <v>0</v>
      </c>
      <c r="CP293" s="1162">
        <f t="shared" si="116"/>
        <v>0</v>
      </c>
      <c r="CQ293" s="48">
        <f t="shared" si="116"/>
        <v>0</v>
      </c>
      <c r="CR293" s="48">
        <f t="shared" si="116"/>
        <v>0</v>
      </c>
      <c r="CS293" s="48">
        <f t="shared" si="116"/>
        <v>0</v>
      </c>
      <c r="CT293" s="48">
        <f t="shared" si="116"/>
        <v>0</v>
      </c>
      <c r="CU293" s="48">
        <f t="shared" si="116"/>
        <v>0</v>
      </c>
      <c r="CV293" s="48">
        <f t="shared" si="116"/>
        <v>0</v>
      </c>
      <c r="CW293" s="48">
        <f t="shared" si="116"/>
        <v>0</v>
      </c>
      <c r="CX293" s="48">
        <f t="shared" si="116"/>
        <v>0</v>
      </c>
      <c r="CY293" s="48">
        <f t="shared" si="116"/>
        <v>0</v>
      </c>
      <c r="CZ293" s="48">
        <f t="shared" si="116"/>
        <v>0</v>
      </c>
      <c r="DA293" s="48">
        <f t="shared" si="116"/>
        <v>0</v>
      </c>
      <c r="DB293" s="48">
        <f t="shared" si="116"/>
        <v>0</v>
      </c>
      <c r="DC293" s="48">
        <f t="shared" si="116"/>
        <v>0</v>
      </c>
      <c r="DD293" s="48">
        <f t="shared" si="116"/>
        <v>0</v>
      </c>
      <c r="DE293" s="48">
        <f t="shared" si="116"/>
        <v>0</v>
      </c>
      <c r="DF293" s="48">
        <f t="shared" si="116"/>
        <v>0</v>
      </c>
      <c r="DG293" s="48">
        <f t="shared" si="116"/>
        <v>0</v>
      </c>
      <c r="DH293" s="48">
        <f t="shared" si="116"/>
        <v>0</v>
      </c>
      <c r="DI293" s="48">
        <f t="shared" si="116"/>
        <v>0</v>
      </c>
      <c r="DJ293" s="48">
        <f t="shared" si="116"/>
        <v>0</v>
      </c>
      <c r="DK293" s="48">
        <f t="shared" si="116"/>
        <v>0</v>
      </c>
      <c r="DL293" s="48">
        <f t="shared" si="116"/>
        <v>0</v>
      </c>
      <c r="DM293" s="48">
        <f t="shared" si="116"/>
        <v>0</v>
      </c>
      <c r="DN293" s="48">
        <f t="shared" si="116"/>
        <v>0</v>
      </c>
      <c r="DO293" s="48">
        <f t="shared" si="116"/>
        <v>0</v>
      </c>
      <c r="DP293" s="48">
        <f t="shared" si="116"/>
        <v>0</v>
      </c>
      <c r="DQ293" s="48">
        <f t="shared" si="116"/>
        <v>0</v>
      </c>
      <c r="DR293" s="50">
        <f t="shared" si="116"/>
        <v>0</v>
      </c>
      <c r="DS293" s="50">
        <f t="shared" si="116"/>
        <v>0</v>
      </c>
      <c r="DT293" s="50">
        <f t="shared" si="116"/>
        <v>0</v>
      </c>
      <c r="DU293" s="50">
        <f t="shared" si="116"/>
        <v>0</v>
      </c>
      <c r="DV293" s="50">
        <f t="shared" si="116"/>
        <v>0</v>
      </c>
      <c r="DW293" s="50">
        <f t="shared" si="116"/>
        <v>0</v>
      </c>
      <c r="DX293" s="50">
        <f t="shared" si="116"/>
        <v>0</v>
      </c>
      <c r="DY293" s="50">
        <f t="shared" si="116"/>
        <v>0</v>
      </c>
      <c r="DZ293" s="50">
        <f t="shared" si="116"/>
        <v>0</v>
      </c>
      <c r="EA293" s="50">
        <f t="shared" si="116"/>
        <v>0</v>
      </c>
      <c r="EB293" s="50">
        <f t="shared" si="116"/>
        <v>0</v>
      </c>
      <c r="EC293" s="50">
        <f t="shared" si="116"/>
        <v>0</v>
      </c>
      <c r="ED293" s="50">
        <f t="shared" si="116"/>
        <v>0</v>
      </c>
      <c r="EE293" s="50">
        <f t="shared" si="116"/>
        <v>0</v>
      </c>
      <c r="EF293" s="50">
        <f t="shared" si="116"/>
        <v>0</v>
      </c>
      <c r="EG293" s="50">
        <f t="shared" si="116"/>
        <v>0</v>
      </c>
      <c r="EH293" s="50">
        <f t="shared" si="116"/>
        <v>0</v>
      </c>
      <c r="EI293" s="50">
        <f t="shared" si="116"/>
        <v>0</v>
      </c>
      <c r="EJ293" s="50">
        <f t="shared" si="116"/>
        <v>0</v>
      </c>
      <c r="EK293" s="50">
        <f t="shared" si="116"/>
        <v>0</v>
      </c>
      <c r="EL293" s="50">
        <f t="shared" si="116"/>
        <v>0</v>
      </c>
      <c r="EM293" s="50">
        <f t="shared" si="116"/>
        <v>0</v>
      </c>
      <c r="EN293" s="50">
        <f t="shared" si="116"/>
        <v>0</v>
      </c>
      <c r="EO293" s="39">
        <v>51</v>
      </c>
      <c r="EP293" s="39">
        <v>51</v>
      </c>
      <c r="EQ293" s="39">
        <v>51</v>
      </c>
      <c r="ER293" s="39">
        <v>51</v>
      </c>
      <c r="ES293" s="39">
        <v>51</v>
      </c>
      <c r="ET293" s="39">
        <v>51</v>
      </c>
      <c r="EU293" s="39">
        <v>51</v>
      </c>
      <c r="EV293" s="39">
        <v>51</v>
      </c>
      <c r="EW293" s="39">
        <v>51</v>
      </c>
      <c r="EX293" s="39">
        <v>51</v>
      </c>
    </row>
    <row r="294" spans="1:154" ht="12" customHeight="1" x14ac:dyDescent="0.35">
      <c r="A294" s="67">
        <v>17</v>
      </c>
      <c r="B294" s="1438">
        <f t="shared" si="108"/>
        <v>517</v>
      </c>
      <c r="C294" s="1440">
        <v>17</v>
      </c>
      <c r="D294" s="67"/>
      <c r="E294" s="67"/>
      <c r="F294" s="82"/>
      <c r="G294" s="1448"/>
      <c r="H294" s="1448"/>
      <c r="I294" s="1448"/>
      <c r="J294" s="1448"/>
      <c r="K294" s="1630">
        <v>17</v>
      </c>
      <c r="L294" s="1640">
        <f>Input!D255</f>
        <v>0</v>
      </c>
      <c r="M294" s="1641">
        <f>IF(Input!$F$238&gt;=$K294,Input!G255,0)</f>
        <v>0</v>
      </c>
      <c r="N294" s="1642">
        <f>Input!H255</f>
        <v>0</v>
      </c>
      <c r="O294" s="1643">
        <f>Input!I255</f>
        <v>0</v>
      </c>
      <c r="P294" s="1630">
        <f t="shared" si="102"/>
        <v>17</v>
      </c>
      <c r="Q294" s="1647"/>
      <c r="R294" s="1648"/>
      <c r="S294" s="1649"/>
      <c r="T294" s="1650"/>
      <c r="U294" s="1621"/>
      <c r="V294" s="1636">
        <f t="shared" si="103"/>
        <v>0</v>
      </c>
      <c r="W294" s="1636">
        <f t="shared" si="104"/>
        <v>0</v>
      </c>
      <c r="X294" s="381">
        <f t="shared" si="105"/>
        <v>0</v>
      </c>
      <c r="Y294" s="1645">
        <f t="shared" si="109"/>
        <v>0</v>
      </c>
      <c r="Z294" s="1646">
        <f t="shared" si="117"/>
        <v>0</v>
      </c>
      <c r="AA294" s="1646">
        <f t="shared" si="117"/>
        <v>0</v>
      </c>
      <c r="AB294" s="1646">
        <f t="shared" si="117"/>
        <v>0</v>
      </c>
      <c r="AC294" s="1646">
        <f t="shared" si="117"/>
        <v>0</v>
      </c>
      <c r="AD294" s="1646">
        <f t="shared" si="117"/>
        <v>0</v>
      </c>
      <c r="AE294" s="1646">
        <f t="shared" si="117"/>
        <v>0</v>
      </c>
      <c r="AF294" s="1155">
        <f t="shared" si="117"/>
        <v>0</v>
      </c>
      <c r="AG294" s="1155">
        <f t="shared" si="117"/>
        <v>0</v>
      </c>
      <c r="AH294" s="1155">
        <f t="shared" si="117"/>
        <v>0</v>
      </c>
      <c r="AI294" s="1155">
        <f t="shared" si="117"/>
        <v>0</v>
      </c>
      <c r="AJ294" s="1155">
        <f t="shared" si="117"/>
        <v>0</v>
      </c>
      <c r="AK294" s="1155">
        <f t="shared" si="117"/>
        <v>0</v>
      </c>
      <c r="AL294" s="1155">
        <f t="shared" si="117"/>
        <v>0</v>
      </c>
      <c r="AM294" s="1155">
        <f t="shared" si="117"/>
        <v>0</v>
      </c>
      <c r="AN294" s="1155">
        <f t="shared" si="117"/>
        <v>0</v>
      </c>
      <c r="AO294" s="1155">
        <f t="shared" si="117"/>
        <v>0</v>
      </c>
      <c r="AP294" s="1155">
        <f t="shared" si="117"/>
        <v>0</v>
      </c>
      <c r="AQ294" s="1155">
        <f t="shared" si="117"/>
        <v>0</v>
      </c>
      <c r="AR294" s="1155">
        <f t="shared" si="117"/>
        <v>0</v>
      </c>
      <c r="AS294" s="1155">
        <f t="shared" si="117"/>
        <v>0</v>
      </c>
      <c r="AT294" s="1155">
        <f t="shared" si="117"/>
        <v>0</v>
      </c>
      <c r="AU294" s="1155">
        <f t="shared" si="117"/>
        <v>0</v>
      </c>
      <c r="AV294" s="1155">
        <f t="shared" si="117"/>
        <v>0</v>
      </c>
      <c r="AW294" s="1155">
        <f t="shared" si="117"/>
        <v>0</v>
      </c>
      <c r="AX294" s="1155">
        <f t="shared" si="117"/>
        <v>0</v>
      </c>
      <c r="AY294" s="1155">
        <f t="shared" si="117"/>
        <v>0</v>
      </c>
      <c r="AZ294" s="1155">
        <f t="shared" si="117"/>
        <v>0</v>
      </c>
      <c r="BA294" s="1155">
        <f t="shared" si="117"/>
        <v>0</v>
      </c>
      <c r="BB294" s="1155">
        <f t="shared" si="117"/>
        <v>0</v>
      </c>
      <c r="BC294" s="1155">
        <f t="shared" si="117"/>
        <v>0</v>
      </c>
      <c r="BD294" s="1155">
        <f t="shared" si="117"/>
        <v>0</v>
      </c>
      <c r="BE294" s="1155">
        <f t="shared" si="117"/>
        <v>0</v>
      </c>
      <c r="BF294" s="1155">
        <f t="shared" si="117"/>
        <v>0</v>
      </c>
      <c r="BG294" s="1155">
        <f t="shared" si="117"/>
        <v>0</v>
      </c>
      <c r="BH294" s="1155">
        <f t="shared" si="117"/>
        <v>0</v>
      </c>
      <c r="BI294" s="1155">
        <f t="shared" si="117"/>
        <v>0</v>
      </c>
      <c r="BJ294" s="1155">
        <f t="shared" si="117"/>
        <v>0</v>
      </c>
      <c r="BK294" s="1155">
        <f t="shared" si="117"/>
        <v>0</v>
      </c>
      <c r="BL294" s="1155">
        <f t="shared" si="117"/>
        <v>0</v>
      </c>
      <c r="BM294" s="1155">
        <f t="shared" si="117"/>
        <v>0</v>
      </c>
      <c r="BN294" s="1155">
        <f t="shared" si="117"/>
        <v>0</v>
      </c>
      <c r="BO294" s="1155">
        <f t="shared" si="117"/>
        <v>0</v>
      </c>
      <c r="BP294" s="1155">
        <f t="shared" si="117"/>
        <v>0</v>
      </c>
      <c r="BQ294" s="1155">
        <f t="shared" si="117"/>
        <v>0</v>
      </c>
      <c r="BR294" s="1155">
        <f t="shared" si="117"/>
        <v>0</v>
      </c>
      <c r="BS294" s="1155">
        <f t="shared" si="117"/>
        <v>0</v>
      </c>
      <c r="BT294" s="1155">
        <f t="shared" si="117"/>
        <v>0</v>
      </c>
      <c r="BU294" s="1155">
        <f t="shared" si="117"/>
        <v>0</v>
      </c>
      <c r="BV294" s="1155">
        <f t="shared" si="117"/>
        <v>0</v>
      </c>
      <c r="BW294" s="1155">
        <f t="shared" si="117"/>
        <v>0</v>
      </c>
      <c r="BX294" s="1457">
        <f t="shared" si="117"/>
        <v>0</v>
      </c>
      <c r="BY294" s="1457">
        <f t="shared" si="117"/>
        <v>0</v>
      </c>
      <c r="BZ294" s="1162">
        <f t="shared" si="117"/>
        <v>0</v>
      </c>
      <c r="CA294" s="1162">
        <f t="shared" si="117"/>
        <v>0</v>
      </c>
      <c r="CB294" s="1162">
        <f t="shared" si="117"/>
        <v>0</v>
      </c>
      <c r="CC294" s="1162">
        <f t="shared" si="117"/>
        <v>0</v>
      </c>
      <c r="CD294" s="1162">
        <f t="shared" si="117"/>
        <v>0</v>
      </c>
      <c r="CE294" s="1162">
        <f t="shared" si="117"/>
        <v>0</v>
      </c>
      <c r="CF294" s="1162">
        <f t="shared" si="117"/>
        <v>0</v>
      </c>
      <c r="CG294" s="1162">
        <f t="shared" si="117"/>
        <v>0</v>
      </c>
      <c r="CH294" s="1162">
        <f t="shared" si="117"/>
        <v>0</v>
      </c>
      <c r="CI294" s="1162">
        <f t="shared" si="117"/>
        <v>0</v>
      </c>
      <c r="CJ294" s="1162">
        <f t="shared" si="117"/>
        <v>0</v>
      </c>
      <c r="CK294" s="1162">
        <f t="shared" si="117"/>
        <v>0</v>
      </c>
      <c r="CL294" s="1162">
        <f t="shared" si="116"/>
        <v>0</v>
      </c>
      <c r="CM294" s="1162">
        <f t="shared" si="116"/>
        <v>0</v>
      </c>
      <c r="CN294" s="1162">
        <f t="shared" si="116"/>
        <v>0</v>
      </c>
      <c r="CO294" s="1162">
        <f t="shared" si="116"/>
        <v>0</v>
      </c>
      <c r="CP294" s="1162">
        <f t="shared" si="116"/>
        <v>0</v>
      </c>
      <c r="CQ294" s="48">
        <f t="shared" si="116"/>
        <v>0</v>
      </c>
      <c r="CR294" s="48">
        <f t="shared" si="116"/>
        <v>0</v>
      </c>
      <c r="CS294" s="48">
        <f t="shared" si="116"/>
        <v>0</v>
      </c>
      <c r="CT294" s="48">
        <f t="shared" si="116"/>
        <v>0</v>
      </c>
      <c r="CU294" s="48">
        <f t="shared" si="116"/>
        <v>0</v>
      </c>
      <c r="CV294" s="48">
        <f t="shared" si="116"/>
        <v>0</v>
      </c>
      <c r="CW294" s="48">
        <f t="shared" si="116"/>
        <v>0</v>
      </c>
      <c r="CX294" s="48">
        <f t="shared" si="116"/>
        <v>0</v>
      </c>
      <c r="CY294" s="48">
        <f t="shared" si="116"/>
        <v>0</v>
      </c>
      <c r="CZ294" s="48">
        <f t="shared" si="116"/>
        <v>0</v>
      </c>
      <c r="DA294" s="48">
        <f t="shared" si="116"/>
        <v>0</v>
      </c>
      <c r="DB294" s="48">
        <f t="shared" si="116"/>
        <v>0</v>
      </c>
      <c r="DC294" s="48">
        <f t="shared" si="116"/>
        <v>0</v>
      </c>
      <c r="DD294" s="48">
        <f t="shared" si="116"/>
        <v>0</v>
      </c>
      <c r="DE294" s="48">
        <f t="shared" si="116"/>
        <v>0</v>
      </c>
      <c r="DF294" s="48">
        <f t="shared" si="116"/>
        <v>0</v>
      </c>
      <c r="DG294" s="48">
        <f t="shared" si="116"/>
        <v>0</v>
      </c>
      <c r="DH294" s="48">
        <f t="shared" si="116"/>
        <v>0</v>
      </c>
      <c r="DI294" s="48">
        <f t="shared" si="116"/>
        <v>0</v>
      </c>
      <c r="DJ294" s="48">
        <f t="shared" si="116"/>
        <v>0</v>
      </c>
      <c r="DK294" s="48">
        <f t="shared" si="116"/>
        <v>0</v>
      </c>
      <c r="DL294" s="48">
        <f t="shared" si="116"/>
        <v>0</v>
      </c>
      <c r="DM294" s="48">
        <f t="shared" si="116"/>
        <v>0</v>
      </c>
      <c r="DN294" s="48">
        <f t="shared" si="116"/>
        <v>0</v>
      </c>
      <c r="DO294" s="48">
        <f t="shared" si="116"/>
        <v>0</v>
      </c>
      <c r="DP294" s="48">
        <f t="shared" si="116"/>
        <v>0</v>
      </c>
      <c r="DQ294" s="48">
        <f t="shared" si="116"/>
        <v>0</v>
      </c>
      <c r="DR294" s="50">
        <f t="shared" si="116"/>
        <v>0</v>
      </c>
      <c r="DS294" s="50">
        <f t="shared" si="116"/>
        <v>0</v>
      </c>
      <c r="DT294" s="50">
        <f t="shared" si="116"/>
        <v>0</v>
      </c>
      <c r="DU294" s="50">
        <f t="shared" si="116"/>
        <v>0</v>
      </c>
      <c r="DV294" s="50">
        <f t="shared" si="116"/>
        <v>0</v>
      </c>
      <c r="DW294" s="50">
        <f t="shared" si="116"/>
        <v>0</v>
      </c>
      <c r="DX294" s="50">
        <f t="shared" si="116"/>
        <v>0</v>
      </c>
      <c r="DY294" s="50">
        <f t="shared" si="116"/>
        <v>0</v>
      </c>
      <c r="DZ294" s="50">
        <f t="shared" si="116"/>
        <v>0</v>
      </c>
      <c r="EA294" s="50">
        <f t="shared" si="116"/>
        <v>0</v>
      </c>
      <c r="EB294" s="50">
        <f t="shared" si="116"/>
        <v>0</v>
      </c>
      <c r="EC294" s="50">
        <f t="shared" si="116"/>
        <v>0</v>
      </c>
      <c r="ED294" s="50">
        <f t="shared" si="116"/>
        <v>0</v>
      </c>
      <c r="EE294" s="50">
        <f t="shared" si="116"/>
        <v>0</v>
      </c>
      <c r="EF294" s="50">
        <f t="shared" si="116"/>
        <v>0</v>
      </c>
      <c r="EG294" s="50">
        <f t="shared" si="116"/>
        <v>0</v>
      </c>
      <c r="EH294" s="50">
        <f t="shared" si="116"/>
        <v>0</v>
      </c>
      <c r="EI294" s="50">
        <f t="shared" si="116"/>
        <v>0</v>
      </c>
      <c r="EJ294" s="50">
        <f t="shared" si="116"/>
        <v>0</v>
      </c>
      <c r="EK294" s="50">
        <f t="shared" si="116"/>
        <v>0</v>
      </c>
      <c r="EL294" s="50">
        <f t="shared" si="116"/>
        <v>0</v>
      </c>
      <c r="EM294" s="50">
        <f t="shared" si="116"/>
        <v>0</v>
      </c>
      <c r="EN294" s="50">
        <f t="shared" si="116"/>
        <v>0</v>
      </c>
      <c r="EO294" s="39">
        <v>51</v>
      </c>
      <c r="EP294" s="39">
        <v>51</v>
      </c>
      <c r="EQ294" s="39">
        <v>51</v>
      </c>
      <c r="ER294" s="39">
        <v>51</v>
      </c>
      <c r="ES294" s="39">
        <v>51</v>
      </c>
      <c r="ET294" s="39">
        <v>51</v>
      </c>
      <c r="EU294" s="39">
        <v>51</v>
      </c>
      <c r="EV294" s="39">
        <v>51</v>
      </c>
      <c r="EW294" s="39">
        <v>51</v>
      </c>
      <c r="EX294" s="39">
        <v>51</v>
      </c>
    </row>
    <row r="295" spans="1:154" ht="12" customHeight="1" x14ac:dyDescent="0.35">
      <c r="A295" s="67">
        <v>18</v>
      </c>
      <c r="B295" s="1438">
        <f t="shared" si="108"/>
        <v>547</v>
      </c>
      <c r="C295" s="1440">
        <v>18</v>
      </c>
      <c r="D295" s="82"/>
      <c r="E295" s="82"/>
      <c r="F295" s="82"/>
      <c r="G295" s="1448"/>
      <c r="H295" s="1448"/>
      <c r="I295" s="1448"/>
      <c r="J295" s="1448"/>
      <c r="K295" s="1630">
        <v>18</v>
      </c>
      <c r="L295" s="1640">
        <f>Input!D256</f>
        <v>0</v>
      </c>
      <c r="M295" s="1641">
        <f>IF(Input!$F$238&gt;=$K295,Input!G256,0)</f>
        <v>0</v>
      </c>
      <c r="N295" s="1642">
        <f>Input!H256</f>
        <v>0</v>
      </c>
      <c r="O295" s="1643">
        <f>Input!I256</f>
        <v>0</v>
      </c>
      <c r="P295" s="1630">
        <f t="shared" si="102"/>
        <v>18</v>
      </c>
      <c r="Q295" s="1647"/>
      <c r="R295" s="1648"/>
      <c r="S295" s="1649"/>
      <c r="T295" s="1650"/>
      <c r="U295" s="1621"/>
      <c r="V295" s="1636">
        <f t="shared" si="103"/>
        <v>0</v>
      </c>
      <c r="W295" s="1636">
        <f t="shared" si="104"/>
        <v>0</v>
      </c>
      <c r="X295" s="381">
        <f t="shared" si="105"/>
        <v>0</v>
      </c>
      <c r="Y295" s="1645">
        <f t="shared" si="109"/>
        <v>0</v>
      </c>
      <c r="Z295" s="1646">
        <f t="shared" si="117"/>
        <v>0</v>
      </c>
      <c r="AA295" s="1646">
        <f t="shared" si="117"/>
        <v>0</v>
      </c>
      <c r="AB295" s="1646">
        <f t="shared" si="117"/>
        <v>0</v>
      </c>
      <c r="AC295" s="1646">
        <f t="shared" si="117"/>
        <v>0</v>
      </c>
      <c r="AD295" s="1646">
        <f t="shared" si="117"/>
        <v>0</v>
      </c>
      <c r="AE295" s="1646">
        <f t="shared" si="117"/>
        <v>0</v>
      </c>
      <c r="AF295" s="1155">
        <f t="shared" si="117"/>
        <v>0</v>
      </c>
      <c r="AG295" s="1155">
        <f t="shared" si="117"/>
        <v>0</v>
      </c>
      <c r="AH295" s="1155">
        <f t="shared" si="117"/>
        <v>0</v>
      </c>
      <c r="AI295" s="1155">
        <f t="shared" si="117"/>
        <v>0</v>
      </c>
      <c r="AJ295" s="1155">
        <f t="shared" si="117"/>
        <v>0</v>
      </c>
      <c r="AK295" s="1155">
        <f t="shared" si="117"/>
        <v>0</v>
      </c>
      <c r="AL295" s="1155">
        <f t="shared" si="117"/>
        <v>0</v>
      </c>
      <c r="AM295" s="1155">
        <f t="shared" si="117"/>
        <v>0</v>
      </c>
      <c r="AN295" s="1155">
        <f t="shared" si="117"/>
        <v>0</v>
      </c>
      <c r="AO295" s="1155">
        <f t="shared" si="117"/>
        <v>0</v>
      </c>
      <c r="AP295" s="1155">
        <f t="shared" si="117"/>
        <v>0</v>
      </c>
      <c r="AQ295" s="1155">
        <f t="shared" si="117"/>
        <v>0</v>
      </c>
      <c r="AR295" s="1155">
        <f t="shared" si="117"/>
        <v>0</v>
      </c>
      <c r="AS295" s="1155">
        <f t="shared" si="117"/>
        <v>0</v>
      </c>
      <c r="AT295" s="1155">
        <f t="shared" si="117"/>
        <v>0</v>
      </c>
      <c r="AU295" s="1155">
        <f t="shared" si="117"/>
        <v>0</v>
      </c>
      <c r="AV295" s="1155">
        <f t="shared" si="117"/>
        <v>0</v>
      </c>
      <c r="AW295" s="1155">
        <f t="shared" si="117"/>
        <v>0</v>
      </c>
      <c r="AX295" s="1155">
        <f t="shared" si="117"/>
        <v>0</v>
      </c>
      <c r="AY295" s="1155">
        <f t="shared" si="117"/>
        <v>0</v>
      </c>
      <c r="AZ295" s="1155">
        <f t="shared" si="117"/>
        <v>0</v>
      </c>
      <c r="BA295" s="1155">
        <f t="shared" si="117"/>
        <v>0</v>
      </c>
      <c r="BB295" s="1155">
        <f t="shared" si="117"/>
        <v>0</v>
      </c>
      <c r="BC295" s="1155">
        <f t="shared" si="117"/>
        <v>0</v>
      </c>
      <c r="BD295" s="1155">
        <f t="shared" si="117"/>
        <v>0</v>
      </c>
      <c r="BE295" s="1155">
        <f t="shared" si="117"/>
        <v>0</v>
      </c>
      <c r="BF295" s="1155">
        <f t="shared" si="117"/>
        <v>0</v>
      </c>
      <c r="BG295" s="1155">
        <f t="shared" si="117"/>
        <v>0</v>
      </c>
      <c r="BH295" s="1155">
        <f t="shared" si="117"/>
        <v>0</v>
      </c>
      <c r="BI295" s="1155">
        <f t="shared" si="117"/>
        <v>0</v>
      </c>
      <c r="BJ295" s="1155">
        <f t="shared" si="117"/>
        <v>0</v>
      </c>
      <c r="BK295" s="1155">
        <f t="shared" si="117"/>
        <v>0</v>
      </c>
      <c r="BL295" s="1155">
        <f t="shared" si="117"/>
        <v>0</v>
      </c>
      <c r="BM295" s="1155">
        <f t="shared" si="117"/>
        <v>0</v>
      </c>
      <c r="BN295" s="1155">
        <f t="shared" si="117"/>
        <v>0</v>
      </c>
      <c r="BO295" s="1155">
        <f t="shared" si="117"/>
        <v>0</v>
      </c>
      <c r="BP295" s="1155">
        <f t="shared" si="117"/>
        <v>0</v>
      </c>
      <c r="BQ295" s="1155">
        <f t="shared" si="117"/>
        <v>0</v>
      </c>
      <c r="BR295" s="1155">
        <f t="shared" si="117"/>
        <v>0</v>
      </c>
      <c r="BS295" s="1155">
        <f t="shared" si="117"/>
        <v>0</v>
      </c>
      <c r="BT295" s="1155">
        <f t="shared" si="117"/>
        <v>0</v>
      </c>
      <c r="BU295" s="1155">
        <f t="shared" si="117"/>
        <v>0</v>
      </c>
      <c r="BV295" s="1155">
        <f t="shared" si="117"/>
        <v>0</v>
      </c>
      <c r="BW295" s="1155">
        <f t="shared" si="117"/>
        <v>0</v>
      </c>
      <c r="BX295" s="1457">
        <f t="shared" si="117"/>
        <v>0</v>
      </c>
      <c r="BY295" s="1457">
        <f t="shared" si="117"/>
        <v>0</v>
      </c>
      <c r="BZ295" s="1162">
        <f t="shared" si="117"/>
        <v>0</v>
      </c>
      <c r="CA295" s="1162">
        <f t="shared" si="117"/>
        <v>0</v>
      </c>
      <c r="CB295" s="1162">
        <f t="shared" si="117"/>
        <v>0</v>
      </c>
      <c r="CC295" s="1162">
        <f t="shared" si="117"/>
        <v>0</v>
      </c>
      <c r="CD295" s="1162">
        <f t="shared" si="117"/>
        <v>0</v>
      </c>
      <c r="CE295" s="1162">
        <f t="shared" si="117"/>
        <v>0</v>
      </c>
      <c r="CF295" s="1162">
        <f t="shared" si="117"/>
        <v>0</v>
      </c>
      <c r="CG295" s="1162">
        <f t="shared" si="117"/>
        <v>0</v>
      </c>
      <c r="CH295" s="1162">
        <f t="shared" si="117"/>
        <v>0</v>
      </c>
      <c r="CI295" s="1162">
        <f t="shared" si="117"/>
        <v>0</v>
      </c>
      <c r="CJ295" s="1162">
        <f t="shared" si="117"/>
        <v>0</v>
      </c>
      <c r="CK295" s="1162">
        <f t="shared" ref="CK295:EN297" si="118">IF(OR($M295=0,$N295=0),0,IF($N295=CK$277,$M295,0))</f>
        <v>0</v>
      </c>
      <c r="CL295" s="1162">
        <f t="shared" si="118"/>
        <v>0</v>
      </c>
      <c r="CM295" s="1162">
        <f t="shared" si="118"/>
        <v>0</v>
      </c>
      <c r="CN295" s="1162">
        <f t="shared" si="118"/>
        <v>0</v>
      </c>
      <c r="CO295" s="1162">
        <f t="shared" si="118"/>
        <v>0</v>
      </c>
      <c r="CP295" s="1162">
        <f t="shared" si="118"/>
        <v>0</v>
      </c>
      <c r="CQ295" s="48">
        <f t="shared" si="118"/>
        <v>0</v>
      </c>
      <c r="CR295" s="48">
        <f t="shared" si="118"/>
        <v>0</v>
      </c>
      <c r="CS295" s="48">
        <f t="shared" si="118"/>
        <v>0</v>
      </c>
      <c r="CT295" s="48">
        <f t="shared" si="118"/>
        <v>0</v>
      </c>
      <c r="CU295" s="48">
        <f t="shared" si="118"/>
        <v>0</v>
      </c>
      <c r="CV295" s="48">
        <f t="shared" si="118"/>
        <v>0</v>
      </c>
      <c r="CW295" s="48">
        <f t="shared" si="118"/>
        <v>0</v>
      </c>
      <c r="CX295" s="48">
        <f t="shared" si="118"/>
        <v>0</v>
      </c>
      <c r="CY295" s="48">
        <f t="shared" si="118"/>
        <v>0</v>
      </c>
      <c r="CZ295" s="48">
        <f t="shared" si="118"/>
        <v>0</v>
      </c>
      <c r="DA295" s="48">
        <f t="shared" si="118"/>
        <v>0</v>
      </c>
      <c r="DB295" s="48">
        <f t="shared" si="118"/>
        <v>0</v>
      </c>
      <c r="DC295" s="48">
        <f t="shared" si="118"/>
        <v>0</v>
      </c>
      <c r="DD295" s="48">
        <f t="shared" si="118"/>
        <v>0</v>
      </c>
      <c r="DE295" s="48">
        <f t="shared" si="118"/>
        <v>0</v>
      </c>
      <c r="DF295" s="48">
        <f t="shared" si="118"/>
        <v>0</v>
      </c>
      <c r="DG295" s="48">
        <f t="shared" si="118"/>
        <v>0</v>
      </c>
      <c r="DH295" s="48">
        <f t="shared" si="118"/>
        <v>0</v>
      </c>
      <c r="DI295" s="48">
        <f t="shared" si="118"/>
        <v>0</v>
      </c>
      <c r="DJ295" s="48">
        <f t="shared" si="118"/>
        <v>0</v>
      </c>
      <c r="DK295" s="48">
        <f t="shared" si="118"/>
        <v>0</v>
      </c>
      <c r="DL295" s="48">
        <f t="shared" si="118"/>
        <v>0</v>
      </c>
      <c r="DM295" s="48">
        <f t="shared" si="118"/>
        <v>0</v>
      </c>
      <c r="DN295" s="48">
        <f t="shared" si="118"/>
        <v>0</v>
      </c>
      <c r="DO295" s="48">
        <f t="shared" si="118"/>
        <v>0</v>
      </c>
      <c r="DP295" s="48">
        <f t="shared" si="118"/>
        <v>0</v>
      </c>
      <c r="DQ295" s="48">
        <f t="shared" si="118"/>
        <v>0</v>
      </c>
      <c r="DR295" s="50">
        <f t="shared" si="118"/>
        <v>0</v>
      </c>
      <c r="DS295" s="50">
        <f t="shared" si="118"/>
        <v>0</v>
      </c>
      <c r="DT295" s="50">
        <f t="shared" si="118"/>
        <v>0</v>
      </c>
      <c r="DU295" s="50">
        <f t="shared" si="118"/>
        <v>0</v>
      </c>
      <c r="DV295" s="50">
        <f t="shared" si="118"/>
        <v>0</v>
      </c>
      <c r="DW295" s="50">
        <f t="shared" si="118"/>
        <v>0</v>
      </c>
      <c r="DX295" s="50">
        <f t="shared" si="118"/>
        <v>0</v>
      </c>
      <c r="DY295" s="50">
        <f t="shared" si="118"/>
        <v>0</v>
      </c>
      <c r="DZ295" s="50">
        <f t="shared" si="118"/>
        <v>0</v>
      </c>
      <c r="EA295" s="50">
        <f t="shared" si="118"/>
        <v>0</v>
      </c>
      <c r="EB295" s="50">
        <f t="shared" si="118"/>
        <v>0</v>
      </c>
      <c r="EC295" s="50">
        <f t="shared" si="118"/>
        <v>0</v>
      </c>
      <c r="ED295" s="50">
        <f t="shared" si="118"/>
        <v>0</v>
      </c>
      <c r="EE295" s="50">
        <f t="shared" si="118"/>
        <v>0</v>
      </c>
      <c r="EF295" s="50">
        <f t="shared" si="118"/>
        <v>0</v>
      </c>
      <c r="EG295" s="50">
        <f t="shared" si="118"/>
        <v>0</v>
      </c>
      <c r="EH295" s="50">
        <f t="shared" si="118"/>
        <v>0</v>
      </c>
      <c r="EI295" s="50">
        <f t="shared" si="118"/>
        <v>0</v>
      </c>
      <c r="EJ295" s="50">
        <f t="shared" si="118"/>
        <v>0</v>
      </c>
      <c r="EK295" s="50">
        <f t="shared" si="118"/>
        <v>0</v>
      </c>
      <c r="EL295" s="50">
        <f t="shared" si="118"/>
        <v>0</v>
      </c>
      <c r="EM295" s="50">
        <f t="shared" si="118"/>
        <v>0</v>
      </c>
      <c r="EN295" s="50">
        <f t="shared" si="118"/>
        <v>0</v>
      </c>
      <c r="EO295" s="39">
        <v>51</v>
      </c>
      <c r="EP295" s="39">
        <v>51</v>
      </c>
      <c r="EQ295" s="39">
        <v>51</v>
      </c>
      <c r="ER295" s="39">
        <v>51</v>
      </c>
      <c r="ES295" s="39">
        <v>51</v>
      </c>
      <c r="ET295" s="39">
        <v>51</v>
      </c>
      <c r="EU295" s="39">
        <v>51</v>
      </c>
      <c r="EV295" s="39">
        <v>51</v>
      </c>
      <c r="EW295" s="39">
        <v>51</v>
      </c>
      <c r="EX295" s="39">
        <v>51</v>
      </c>
    </row>
    <row r="296" spans="1:154" ht="12" customHeight="1" x14ac:dyDescent="0.35">
      <c r="A296" s="67">
        <v>19</v>
      </c>
      <c r="B296" s="1438">
        <f t="shared" si="108"/>
        <v>578</v>
      </c>
      <c r="C296" s="1440">
        <v>19</v>
      </c>
      <c r="D296" s="82"/>
      <c r="E296" s="82"/>
      <c r="F296" s="82"/>
      <c r="G296" s="1448"/>
      <c r="H296" s="1448"/>
      <c r="I296" s="1448"/>
      <c r="J296" s="1448"/>
      <c r="K296" s="1630">
        <v>19</v>
      </c>
      <c r="L296" s="1640">
        <f>Input!D257</f>
        <v>0</v>
      </c>
      <c r="M296" s="1641">
        <f>IF(Input!$F$238&gt;=$K296,Input!G257,0)</f>
        <v>0</v>
      </c>
      <c r="N296" s="1651">
        <f>Input!H257</f>
        <v>0</v>
      </c>
      <c r="O296" s="1643">
        <f>Input!I257</f>
        <v>0</v>
      </c>
      <c r="P296" s="1630">
        <f t="shared" si="102"/>
        <v>19</v>
      </c>
      <c r="Q296" s="1647"/>
      <c r="R296" s="1648"/>
      <c r="S296" s="1649"/>
      <c r="T296" s="1650"/>
      <c r="U296" s="1621"/>
      <c r="V296" s="1636">
        <f t="shared" si="103"/>
        <v>0</v>
      </c>
      <c r="W296" s="1636">
        <f t="shared" si="104"/>
        <v>0</v>
      </c>
      <c r="X296" s="381">
        <f t="shared" si="105"/>
        <v>0</v>
      </c>
      <c r="Y296" s="1645">
        <f t="shared" si="109"/>
        <v>0</v>
      </c>
      <c r="Z296" s="1646">
        <f t="shared" ref="Z296:CK297" si="119">IF(OR($M296=0,$N296=0),0,IF($N296=Z$277,$M296,0))</f>
        <v>0</v>
      </c>
      <c r="AA296" s="1646">
        <f t="shared" si="119"/>
        <v>0</v>
      </c>
      <c r="AB296" s="1646">
        <f t="shared" si="119"/>
        <v>0</v>
      </c>
      <c r="AC296" s="1646">
        <f t="shared" si="119"/>
        <v>0</v>
      </c>
      <c r="AD296" s="1646">
        <f t="shared" si="119"/>
        <v>0</v>
      </c>
      <c r="AE296" s="1646">
        <f t="shared" si="119"/>
        <v>0</v>
      </c>
      <c r="AF296" s="1155">
        <f t="shared" si="119"/>
        <v>0</v>
      </c>
      <c r="AG296" s="1155">
        <f t="shared" si="119"/>
        <v>0</v>
      </c>
      <c r="AH296" s="1155">
        <f t="shared" si="119"/>
        <v>0</v>
      </c>
      <c r="AI296" s="1155">
        <f t="shared" si="119"/>
        <v>0</v>
      </c>
      <c r="AJ296" s="1155">
        <f t="shared" si="119"/>
        <v>0</v>
      </c>
      <c r="AK296" s="1155">
        <f t="shared" si="119"/>
        <v>0</v>
      </c>
      <c r="AL296" s="1155">
        <f t="shared" si="119"/>
        <v>0</v>
      </c>
      <c r="AM296" s="1155">
        <f t="shared" si="119"/>
        <v>0</v>
      </c>
      <c r="AN296" s="1155">
        <f t="shared" si="119"/>
        <v>0</v>
      </c>
      <c r="AO296" s="1155">
        <f t="shared" si="119"/>
        <v>0</v>
      </c>
      <c r="AP296" s="1155">
        <f t="shared" si="119"/>
        <v>0</v>
      </c>
      <c r="AQ296" s="1155">
        <f t="shared" si="119"/>
        <v>0</v>
      </c>
      <c r="AR296" s="1155">
        <f t="shared" si="119"/>
        <v>0</v>
      </c>
      <c r="AS296" s="1155">
        <f t="shared" si="119"/>
        <v>0</v>
      </c>
      <c r="AT296" s="1155">
        <f t="shared" si="119"/>
        <v>0</v>
      </c>
      <c r="AU296" s="1155">
        <f t="shared" si="119"/>
        <v>0</v>
      </c>
      <c r="AV296" s="1155">
        <f t="shared" si="119"/>
        <v>0</v>
      </c>
      <c r="AW296" s="1155">
        <f t="shared" si="119"/>
        <v>0</v>
      </c>
      <c r="AX296" s="1155">
        <f t="shared" si="119"/>
        <v>0</v>
      </c>
      <c r="AY296" s="1155">
        <f t="shared" si="119"/>
        <v>0</v>
      </c>
      <c r="AZ296" s="1155">
        <f t="shared" si="119"/>
        <v>0</v>
      </c>
      <c r="BA296" s="1155">
        <f t="shared" si="119"/>
        <v>0</v>
      </c>
      <c r="BB296" s="1155">
        <f t="shared" si="119"/>
        <v>0</v>
      </c>
      <c r="BC296" s="1155">
        <f t="shared" si="119"/>
        <v>0</v>
      </c>
      <c r="BD296" s="1155">
        <f t="shared" si="119"/>
        <v>0</v>
      </c>
      <c r="BE296" s="1155">
        <f t="shared" si="119"/>
        <v>0</v>
      </c>
      <c r="BF296" s="1155">
        <f t="shared" si="119"/>
        <v>0</v>
      </c>
      <c r="BG296" s="1155">
        <f t="shared" si="119"/>
        <v>0</v>
      </c>
      <c r="BH296" s="1155">
        <f t="shared" si="119"/>
        <v>0</v>
      </c>
      <c r="BI296" s="1155">
        <f t="shared" si="119"/>
        <v>0</v>
      </c>
      <c r="BJ296" s="1155">
        <f t="shared" si="119"/>
        <v>0</v>
      </c>
      <c r="BK296" s="1155">
        <f t="shared" si="119"/>
        <v>0</v>
      </c>
      <c r="BL296" s="1155">
        <f t="shared" si="119"/>
        <v>0</v>
      </c>
      <c r="BM296" s="1155">
        <f t="shared" si="119"/>
        <v>0</v>
      </c>
      <c r="BN296" s="1155">
        <f t="shared" si="119"/>
        <v>0</v>
      </c>
      <c r="BO296" s="1155">
        <f t="shared" si="119"/>
        <v>0</v>
      </c>
      <c r="BP296" s="1155">
        <f t="shared" si="119"/>
        <v>0</v>
      </c>
      <c r="BQ296" s="1155">
        <f t="shared" si="119"/>
        <v>0</v>
      </c>
      <c r="BR296" s="1155">
        <f t="shared" si="119"/>
        <v>0</v>
      </c>
      <c r="BS296" s="1155">
        <f t="shared" si="119"/>
        <v>0</v>
      </c>
      <c r="BT296" s="1155">
        <f t="shared" si="119"/>
        <v>0</v>
      </c>
      <c r="BU296" s="1155">
        <f t="shared" si="119"/>
        <v>0</v>
      </c>
      <c r="BV296" s="1155">
        <f t="shared" si="119"/>
        <v>0</v>
      </c>
      <c r="BW296" s="1155">
        <f t="shared" si="119"/>
        <v>0</v>
      </c>
      <c r="BX296" s="1457">
        <f t="shared" si="119"/>
        <v>0</v>
      </c>
      <c r="BY296" s="1457">
        <f t="shared" si="119"/>
        <v>0</v>
      </c>
      <c r="BZ296" s="1162">
        <f t="shared" si="119"/>
        <v>0</v>
      </c>
      <c r="CA296" s="1162">
        <f t="shared" si="119"/>
        <v>0</v>
      </c>
      <c r="CB296" s="1162">
        <f t="shared" si="119"/>
        <v>0</v>
      </c>
      <c r="CC296" s="1162">
        <f t="shared" si="119"/>
        <v>0</v>
      </c>
      <c r="CD296" s="1162">
        <f t="shared" si="119"/>
        <v>0</v>
      </c>
      <c r="CE296" s="1162">
        <f t="shared" si="119"/>
        <v>0</v>
      </c>
      <c r="CF296" s="1162">
        <f t="shared" si="119"/>
        <v>0</v>
      </c>
      <c r="CG296" s="1162">
        <f t="shared" si="119"/>
        <v>0</v>
      </c>
      <c r="CH296" s="1162">
        <f t="shared" si="119"/>
        <v>0</v>
      </c>
      <c r="CI296" s="1162">
        <f t="shared" si="119"/>
        <v>0</v>
      </c>
      <c r="CJ296" s="1162">
        <f t="shared" si="119"/>
        <v>0</v>
      </c>
      <c r="CK296" s="1162">
        <f t="shared" si="119"/>
        <v>0</v>
      </c>
      <c r="CL296" s="1162">
        <f t="shared" si="118"/>
        <v>0</v>
      </c>
      <c r="CM296" s="1162">
        <f t="shared" si="118"/>
        <v>0</v>
      </c>
      <c r="CN296" s="1162">
        <f t="shared" si="118"/>
        <v>0</v>
      </c>
      <c r="CO296" s="1162">
        <f t="shared" si="118"/>
        <v>0</v>
      </c>
      <c r="CP296" s="1162">
        <f t="shared" si="118"/>
        <v>0</v>
      </c>
      <c r="CQ296" s="48">
        <f t="shared" si="118"/>
        <v>0</v>
      </c>
      <c r="CR296" s="48">
        <f t="shared" si="118"/>
        <v>0</v>
      </c>
      <c r="CS296" s="48">
        <f t="shared" si="118"/>
        <v>0</v>
      </c>
      <c r="CT296" s="48">
        <f t="shared" si="118"/>
        <v>0</v>
      </c>
      <c r="CU296" s="48">
        <f t="shared" si="118"/>
        <v>0</v>
      </c>
      <c r="CV296" s="48">
        <f t="shared" si="118"/>
        <v>0</v>
      </c>
      <c r="CW296" s="48">
        <f t="shared" si="118"/>
        <v>0</v>
      </c>
      <c r="CX296" s="48">
        <f t="shared" si="118"/>
        <v>0</v>
      </c>
      <c r="CY296" s="48">
        <f t="shared" si="118"/>
        <v>0</v>
      </c>
      <c r="CZ296" s="48">
        <f t="shared" si="118"/>
        <v>0</v>
      </c>
      <c r="DA296" s="48">
        <f t="shared" si="118"/>
        <v>0</v>
      </c>
      <c r="DB296" s="48">
        <f t="shared" si="118"/>
        <v>0</v>
      </c>
      <c r="DC296" s="48">
        <f t="shared" si="118"/>
        <v>0</v>
      </c>
      <c r="DD296" s="48">
        <f t="shared" si="118"/>
        <v>0</v>
      </c>
      <c r="DE296" s="48">
        <f t="shared" si="118"/>
        <v>0</v>
      </c>
      <c r="DF296" s="48">
        <f t="shared" si="118"/>
        <v>0</v>
      </c>
      <c r="DG296" s="48">
        <f t="shared" si="118"/>
        <v>0</v>
      </c>
      <c r="DH296" s="48">
        <f t="shared" si="118"/>
        <v>0</v>
      </c>
      <c r="DI296" s="48">
        <f t="shared" si="118"/>
        <v>0</v>
      </c>
      <c r="DJ296" s="48">
        <f t="shared" si="118"/>
        <v>0</v>
      </c>
      <c r="DK296" s="48">
        <f t="shared" si="118"/>
        <v>0</v>
      </c>
      <c r="DL296" s="48">
        <f t="shared" si="118"/>
        <v>0</v>
      </c>
      <c r="DM296" s="48">
        <f t="shared" si="118"/>
        <v>0</v>
      </c>
      <c r="DN296" s="48">
        <f t="shared" si="118"/>
        <v>0</v>
      </c>
      <c r="DO296" s="48">
        <f t="shared" si="118"/>
        <v>0</v>
      </c>
      <c r="DP296" s="48">
        <f t="shared" si="118"/>
        <v>0</v>
      </c>
      <c r="DQ296" s="48">
        <f t="shared" si="118"/>
        <v>0</v>
      </c>
      <c r="DR296" s="50">
        <f t="shared" si="118"/>
        <v>0</v>
      </c>
      <c r="DS296" s="50">
        <f t="shared" si="118"/>
        <v>0</v>
      </c>
      <c r="DT296" s="50">
        <f t="shared" si="118"/>
        <v>0</v>
      </c>
      <c r="DU296" s="50">
        <f t="shared" si="118"/>
        <v>0</v>
      </c>
      <c r="DV296" s="50">
        <f t="shared" si="118"/>
        <v>0</v>
      </c>
      <c r="DW296" s="50">
        <f t="shared" si="118"/>
        <v>0</v>
      </c>
      <c r="DX296" s="50">
        <f t="shared" si="118"/>
        <v>0</v>
      </c>
      <c r="DY296" s="50">
        <f t="shared" si="118"/>
        <v>0</v>
      </c>
      <c r="DZ296" s="50">
        <f t="shared" si="118"/>
        <v>0</v>
      </c>
      <c r="EA296" s="50">
        <f t="shared" si="118"/>
        <v>0</v>
      </c>
      <c r="EB296" s="50">
        <f t="shared" si="118"/>
        <v>0</v>
      </c>
      <c r="EC296" s="50">
        <f t="shared" si="118"/>
        <v>0</v>
      </c>
      <c r="ED296" s="50">
        <f t="shared" si="118"/>
        <v>0</v>
      </c>
      <c r="EE296" s="50">
        <f t="shared" si="118"/>
        <v>0</v>
      </c>
      <c r="EF296" s="50">
        <f t="shared" si="118"/>
        <v>0</v>
      </c>
      <c r="EG296" s="50">
        <f t="shared" si="118"/>
        <v>0</v>
      </c>
      <c r="EH296" s="50">
        <f t="shared" si="118"/>
        <v>0</v>
      </c>
      <c r="EI296" s="50">
        <f t="shared" si="118"/>
        <v>0</v>
      </c>
      <c r="EJ296" s="50">
        <f t="shared" si="118"/>
        <v>0</v>
      </c>
      <c r="EK296" s="50">
        <f t="shared" si="118"/>
        <v>0</v>
      </c>
      <c r="EL296" s="50">
        <f t="shared" si="118"/>
        <v>0</v>
      </c>
      <c r="EM296" s="50">
        <f t="shared" si="118"/>
        <v>0</v>
      </c>
      <c r="EN296" s="50">
        <f t="shared" si="118"/>
        <v>0</v>
      </c>
      <c r="EO296" s="39">
        <v>51</v>
      </c>
      <c r="EP296" s="39">
        <v>51</v>
      </c>
      <c r="EQ296" s="39">
        <v>51</v>
      </c>
      <c r="ER296" s="39">
        <v>51</v>
      </c>
      <c r="ES296" s="39">
        <v>51</v>
      </c>
      <c r="ET296" s="39">
        <v>51</v>
      </c>
      <c r="EU296" s="39">
        <v>51</v>
      </c>
      <c r="EV296" s="39">
        <v>51</v>
      </c>
      <c r="EW296" s="39">
        <v>51</v>
      </c>
      <c r="EX296" s="39">
        <v>51</v>
      </c>
    </row>
    <row r="297" spans="1:154" ht="12" customHeight="1" thickBot="1" x14ac:dyDescent="0.4">
      <c r="A297" s="67">
        <v>20</v>
      </c>
      <c r="B297" s="1438">
        <f t="shared" si="108"/>
        <v>609</v>
      </c>
      <c r="C297" s="1440">
        <v>20</v>
      </c>
      <c r="D297" s="82"/>
      <c r="E297" s="82"/>
      <c r="F297" s="82"/>
      <c r="G297" s="1448"/>
      <c r="H297" s="1448"/>
      <c r="I297" s="1448"/>
      <c r="J297" s="1448"/>
      <c r="K297" s="1630">
        <v>20</v>
      </c>
      <c r="L297" s="1652">
        <f>Input!D258</f>
        <v>0</v>
      </c>
      <c r="M297" s="1653">
        <f>IF(Input!$F$238&gt;=$K297,Input!G258,0)</f>
        <v>0</v>
      </c>
      <c r="N297" s="1654">
        <f>Input!H258</f>
        <v>0</v>
      </c>
      <c r="O297" s="1655">
        <f>Input!I258</f>
        <v>0</v>
      </c>
      <c r="P297" s="1630">
        <f t="shared" si="102"/>
        <v>20</v>
      </c>
      <c r="Q297" s="1656"/>
      <c r="R297" s="1657"/>
      <c r="S297" s="1658"/>
      <c r="T297" s="1659"/>
      <c r="U297" s="1621"/>
      <c r="V297" s="1636">
        <f t="shared" si="103"/>
        <v>0</v>
      </c>
      <c r="W297" s="1636">
        <f t="shared" si="104"/>
        <v>0</v>
      </c>
      <c r="X297" s="381">
        <f t="shared" si="105"/>
        <v>0</v>
      </c>
      <c r="Y297" s="1645">
        <f t="shared" si="109"/>
        <v>0</v>
      </c>
      <c r="Z297" s="1646">
        <f t="shared" si="119"/>
        <v>0</v>
      </c>
      <c r="AA297" s="1646">
        <f t="shared" si="119"/>
        <v>0</v>
      </c>
      <c r="AB297" s="1646">
        <f t="shared" si="119"/>
        <v>0</v>
      </c>
      <c r="AC297" s="1646">
        <f t="shared" si="119"/>
        <v>0</v>
      </c>
      <c r="AD297" s="1646">
        <f t="shared" si="119"/>
        <v>0</v>
      </c>
      <c r="AE297" s="1646">
        <f t="shared" si="119"/>
        <v>0</v>
      </c>
      <c r="AF297" s="1155">
        <f t="shared" si="119"/>
        <v>0</v>
      </c>
      <c r="AG297" s="1155">
        <f t="shared" si="119"/>
        <v>0</v>
      </c>
      <c r="AH297" s="1155">
        <f t="shared" si="119"/>
        <v>0</v>
      </c>
      <c r="AI297" s="1155">
        <f t="shared" si="119"/>
        <v>0</v>
      </c>
      <c r="AJ297" s="1155">
        <f t="shared" si="119"/>
        <v>0</v>
      </c>
      <c r="AK297" s="1155">
        <f t="shared" si="119"/>
        <v>0</v>
      </c>
      <c r="AL297" s="1155">
        <f t="shared" si="119"/>
        <v>0</v>
      </c>
      <c r="AM297" s="1155">
        <f t="shared" si="119"/>
        <v>0</v>
      </c>
      <c r="AN297" s="1155">
        <f t="shared" si="119"/>
        <v>0</v>
      </c>
      <c r="AO297" s="1155">
        <f t="shared" si="119"/>
        <v>0</v>
      </c>
      <c r="AP297" s="1155">
        <f t="shared" si="119"/>
        <v>0</v>
      </c>
      <c r="AQ297" s="1155">
        <f t="shared" si="119"/>
        <v>0</v>
      </c>
      <c r="AR297" s="1155">
        <f t="shared" si="119"/>
        <v>0</v>
      </c>
      <c r="AS297" s="1155">
        <f t="shared" si="119"/>
        <v>0</v>
      </c>
      <c r="AT297" s="1155">
        <f t="shared" si="119"/>
        <v>0</v>
      </c>
      <c r="AU297" s="1155">
        <f t="shared" si="119"/>
        <v>0</v>
      </c>
      <c r="AV297" s="1155">
        <f t="shared" si="119"/>
        <v>0</v>
      </c>
      <c r="AW297" s="1155">
        <f t="shared" si="119"/>
        <v>0</v>
      </c>
      <c r="AX297" s="1155">
        <f t="shared" si="119"/>
        <v>0</v>
      </c>
      <c r="AY297" s="1155">
        <f t="shared" si="119"/>
        <v>0</v>
      </c>
      <c r="AZ297" s="1155">
        <f t="shared" si="119"/>
        <v>0</v>
      </c>
      <c r="BA297" s="1155">
        <f t="shared" si="119"/>
        <v>0</v>
      </c>
      <c r="BB297" s="1155">
        <f t="shared" si="119"/>
        <v>0</v>
      </c>
      <c r="BC297" s="1155">
        <f t="shared" si="119"/>
        <v>0</v>
      </c>
      <c r="BD297" s="1155">
        <f t="shared" si="119"/>
        <v>0</v>
      </c>
      <c r="BE297" s="1155">
        <f t="shared" si="119"/>
        <v>0</v>
      </c>
      <c r="BF297" s="1155">
        <f t="shared" si="119"/>
        <v>0</v>
      </c>
      <c r="BG297" s="1155">
        <f t="shared" si="119"/>
        <v>0</v>
      </c>
      <c r="BH297" s="1155">
        <f t="shared" si="119"/>
        <v>0</v>
      </c>
      <c r="BI297" s="1155">
        <f t="shared" si="119"/>
        <v>0</v>
      </c>
      <c r="BJ297" s="1155">
        <f t="shared" si="119"/>
        <v>0</v>
      </c>
      <c r="BK297" s="1155">
        <f t="shared" si="119"/>
        <v>0</v>
      </c>
      <c r="BL297" s="1155">
        <f t="shared" si="119"/>
        <v>0</v>
      </c>
      <c r="BM297" s="1155">
        <f t="shared" si="119"/>
        <v>0</v>
      </c>
      <c r="BN297" s="1155">
        <f t="shared" si="119"/>
        <v>0</v>
      </c>
      <c r="BO297" s="1155">
        <f t="shared" si="119"/>
        <v>0</v>
      </c>
      <c r="BP297" s="1155">
        <f t="shared" si="119"/>
        <v>0</v>
      </c>
      <c r="BQ297" s="1155">
        <f t="shared" si="119"/>
        <v>0</v>
      </c>
      <c r="BR297" s="1155">
        <f t="shared" si="119"/>
        <v>0</v>
      </c>
      <c r="BS297" s="1155">
        <f t="shared" si="119"/>
        <v>0</v>
      </c>
      <c r="BT297" s="1155">
        <f t="shared" si="119"/>
        <v>0</v>
      </c>
      <c r="BU297" s="1155">
        <f t="shared" si="119"/>
        <v>0</v>
      </c>
      <c r="BV297" s="1155">
        <f t="shared" si="119"/>
        <v>0</v>
      </c>
      <c r="BW297" s="1155">
        <f t="shared" si="119"/>
        <v>0</v>
      </c>
      <c r="BX297" s="1457">
        <f t="shared" si="119"/>
        <v>0</v>
      </c>
      <c r="BY297" s="1457">
        <f t="shared" si="119"/>
        <v>0</v>
      </c>
      <c r="BZ297" s="1162">
        <f t="shared" si="119"/>
        <v>0</v>
      </c>
      <c r="CA297" s="1162">
        <f t="shared" si="119"/>
        <v>0</v>
      </c>
      <c r="CB297" s="1162">
        <f t="shared" si="119"/>
        <v>0</v>
      </c>
      <c r="CC297" s="1162">
        <f t="shared" si="119"/>
        <v>0</v>
      </c>
      <c r="CD297" s="1162">
        <f t="shared" si="119"/>
        <v>0</v>
      </c>
      <c r="CE297" s="1162">
        <f t="shared" si="119"/>
        <v>0</v>
      </c>
      <c r="CF297" s="1162">
        <f t="shared" si="119"/>
        <v>0</v>
      </c>
      <c r="CG297" s="1162">
        <f t="shared" si="119"/>
        <v>0</v>
      </c>
      <c r="CH297" s="1162">
        <f t="shared" si="119"/>
        <v>0</v>
      </c>
      <c r="CI297" s="1162">
        <f t="shared" si="119"/>
        <v>0</v>
      </c>
      <c r="CJ297" s="1162">
        <f t="shared" si="119"/>
        <v>0</v>
      </c>
      <c r="CK297" s="1162">
        <f t="shared" si="119"/>
        <v>0</v>
      </c>
      <c r="CL297" s="1162">
        <f t="shared" si="118"/>
        <v>0</v>
      </c>
      <c r="CM297" s="1162">
        <f t="shared" si="118"/>
        <v>0</v>
      </c>
      <c r="CN297" s="1162">
        <f t="shared" si="118"/>
        <v>0</v>
      </c>
      <c r="CO297" s="1162">
        <f t="shared" si="118"/>
        <v>0</v>
      </c>
      <c r="CP297" s="1162">
        <f t="shared" si="118"/>
        <v>0</v>
      </c>
      <c r="CQ297" s="48">
        <f t="shared" si="118"/>
        <v>0</v>
      </c>
      <c r="CR297" s="48">
        <f t="shared" si="118"/>
        <v>0</v>
      </c>
      <c r="CS297" s="48">
        <f t="shared" si="118"/>
        <v>0</v>
      </c>
      <c r="CT297" s="48">
        <f t="shared" si="118"/>
        <v>0</v>
      </c>
      <c r="CU297" s="48">
        <f t="shared" si="118"/>
        <v>0</v>
      </c>
      <c r="CV297" s="48">
        <f t="shared" si="118"/>
        <v>0</v>
      </c>
      <c r="CW297" s="48">
        <f t="shared" si="118"/>
        <v>0</v>
      </c>
      <c r="CX297" s="48">
        <f t="shared" si="118"/>
        <v>0</v>
      </c>
      <c r="CY297" s="48">
        <f t="shared" si="118"/>
        <v>0</v>
      </c>
      <c r="CZ297" s="48">
        <f t="shared" si="118"/>
        <v>0</v>
      </c>
      <c r="DA297" s="48">
        <f t="shared" si="118"/>
        <v>0</v>
      </c>
      <c r="DB297" s="48">
        <f t="shared" si="118"/>
        <v>0</v>
      </c>
      <c r="DC297" s="48">
        <f t="shared" si="118"/>
        <v>0</v>
      </c>
      <c r="DD297" s="48">
        <f t="shared" si="118"/>
        <v>0</v>
      </c>
      <c r="DE297" s="48">
        <f t="shared" si="118"/>
        <v>0</v>
      </c>
      <c r="DF297" s="48">
        <f t="shared" si="118"/>
        <v>0</v>
      </c>
      <c r="DG297" s="48">
        <f t="shared" si="118"/>
        <v>0</v>
      </c>
      <c r="DH297" s="48">
        <f t="shared" si="118"/>
        <v>0</v>
      </c>
      <c r="DI297" s="48">
        <f t="shared" si="118"/>
        <v>0</v>
      </c>
      <c r="DJ297" s="48">
        <f t="shared" si="118"/>
        <v>0</v>
      </c>
      <c r="DK297" s="48">
        <f t="shared" si="118"/>
        <v>0</v>
      </c>
      <c r="DL297" s="48">
        <f t="shared" si="118"/>
        <v>0</v>
      </c>
      <c r="DM297" s="48">
        <f t="shared" si="118"/>
        <v>0</v>
      </c>
      <c r="DN297" s="48">
        <f t="shared" si="118"/>
        <v>0</v>
      </c>
      <c r="DO297" s="48">
        <f t="shared" si="118"/>
        <v>0</v>
      </c>
      <c r="DP297" s="48">
        <f t="shared" si="118"/>
        <v>0</v>
      </c>
      <c r="DQ297" s="48">
        <f t="shared" si="118"/>
        <v>0</v>
      </c>
      <c r="DR297" s="50">
        <f t="shared" si="118"/>
        <v>0</v>
      </c>
      <c r="DS297" s="50">
        <f t="shared" si="118"/>
        <v>0</v>
      </c>
      <c r="DT297" s="50">
        <f t="shared" si="118"/>
        <v>0</v>
      </c>
      <c r="DU297" s="50">
        <f t="shared" si="118"/>
        <v>0</v>
      </c>
      <c r="DV297" s="50">
        <f t="shared" si="118"/>
        <v>0</v>
      </c>
      <c r="DW297" s="50">
        <f t="shared" si="118"/>
        <v>0</v>
      </c>
      <c r="DX297" s="50">
        <f t="shared" si="118"/>
        <v>0</v>
      </c>
      <c r="DY297" s="50">
        <f t="shared" si="118"/>
        <v>0</v>
      </c>
      <c r="DZ297" s="50">
        <f t="shared" si="118"/>
        <v>0</v>
      </c>
      <c r="EA297" s="50">
        <f t="shared" si="118"/>
        <v>0</v>
      </c>
      <c r="EB297" s="50">
        <f t="shared" si="118"/>
        <v>0</v>
      </c>
      <c r="EC297" s="50">
        <f t="shared" si="118"/>
        <v>0</v>
      </c>
      <c r="ED297" s="50">
        <f t="shared" si="118"/>
        <v>0</v>
      </c>
      <c r="EE297" s="50">
        <f t="shared" si="118"/>
        <v>0</v>
      </c>
      <c r="EF297" s="50">
        <f t="shared" si="118"/>
        <v>0</v>
      </c>
      <c r="EG297" s="50">
        <f t="shared" si="118"/>
        <v>0</v>
      </c>
      <c r="EH297" s="50">
        <f t="shared" si="118"/>
        <v>0</v>
      </c>
      <c r="EI297" s="50">
        <f t="shared" si="118"/>
        <v>0</v>
      </c>
      <c r="EJ297" s="50">
        <f t="shared" si="118"/>
        <v>0</v>
      </c>
      <c r="EK297" s="50">
        <f t="shared" si="118"/>
        <v>0</v>
      </c>
      <c r="EL297" s="50">
        <f t="shared" si="118"/>
        <v>0</v>
      </c>
      <c r="EM297" s="50">
        <f t="shared" si="118"/>
        <v>0</v>
      </c>
      <c r="EN297" s="50">
        <f t="shared" si="118"/>
        <v>0</v>
      </c>
      <c r="EO297" s="39">
        <v>51</v>
      </c>
      <c r="EP297" s="39">
        <v>51</v>
      </c>
      <c r="EQ297" s="39">
        <v>51</v>
      </c>
      <c r="ER297" s="39">
        <v>51</v>
      </c>
      <c r="ES297" s="39">
        <v>51</v>
      </c>
      <c r="ET297" s="39">
        <v>51</v>
      </c>
      <c r="EU297" s="39">
        <v>51</v>
      </c>
      <c r="EV297" s="39">
        <v>51</v>
      </c>
      <c r="EW297" s="39">
        <v>51</v>
      </c>
      <c r="EX297" s="39">
        <v>51</v>
      </c>
    </row>
    <row r="298" spans="1:154" ht="12" customHeight="1" x14ac:dyDescent="0.35">
      <c r="A298" s="67">
        <v>21</v>
      </c>
      <c r="B298" s="1438">
        <f t="shared" si="108"/>
        <v>639</v>
      </c>
      <c r="C298" s="1440">
        <v>21</v>
      </c>
      <c r="D298" s="82"/>
      <c r="E298" s="82"/>
      <c r="F298" s="82"/>
      <c r="G298" s="1448"/>
      <c r="H298" s="1448"/>
      <c r="I298" s="1448"/>
      <c r="J298" s="1448"/>
      <c r="K298" s="1617"/>
      <c r="L298" s="1660"/>
      <c r="M298" s="1660"/>
      <c r="N298" s="1661"/>
      <c r="O298" s="1661"/>
      <c r="P298" s="1662"/>
      <c r="Q298" s="1663"/>
      <c r="R298" s="1663"/>
      <c r="S298" s="1663"/>
      <c r="T298" s="1664"/>
      <c r="U298" s="1621"/>
      <c r="V298" s="1621"/>
      <c r="W298" s="1621"/>
      <c r="X298" s="381"/>
      <c r="Y298" s="1665">
        <f t="shared" ref="Y298:AE298" si="120">SUM(Y278:Y297)</f>
        <v>0</v>
      </c>
      <c r="Z298" s="1665">
        <f t="shared" si="120"/>
        <v>0</v>
      </c>
      <c r="AA298" s="1665">
        <f t="shared" si="120"/>
        <v>0</v>
      </c>
      <c r="AB298" s="1665">
        <f t="shared" si="120"/>
        <v>0</v>
      </c>
      <c r="AC298" s="1665">
        <f t="shared" si="120"/>
        <v>0</v>
      </c>
      <c r="AD298" s="1665">
        <f t="shared" si="120"/>
        <v>0</v>
      </c>
      <c r="AE298" s="1665">
        <f t="shared" si="120"/>
        <v>0</v>
      </c>
      <c r="AF298" s="1666">
        <f>SUM(AF278:AF297)</f>
        <v>0</v>
      </c>
      <c r="AG298" s="1666">
        <f>SUM(AG278:AG297)</f>
        <v>0</v>
      </c>
      <c r="AH298" s="1666">
        <f>SUM(AH278:AH297)</f>
        <v>0</v>
      </c>
      <c r="AI298" s="1666"/>
      <c r="AJ298" s="1666"/>
      <c r="AK298" s="1666"/>
      <c r="AL298" s="1666"/>
      <c r="AM298" s="1666"/>
      <c r="AN298" s="1666"/>
      <c r="AO298" s="1666"/>
      <c r="AP298" s="1666"/>
      <c r="AQ298" s="1666"/>
      <c r="AR298" s="1666"/>
      <c r="AS298" s="1666"/>
      <c r="AT298" s="1666"/>
      <c r="AU298" s="1666"/>
      <c r="AV298" s="1666"/>
      <c r="AW298" s="1666"/>
      <c r="AX298" s="1666"/>
      <c r="AY298" s="1666"/>
      <c r="AZ298" s="1666"/>
      <c r="BA298" s="1666"/>
      <c r="BB298" s="1666"/>
      <c r="BC298" s="1666"/>
      <c r="BD298" s="1666"/>
      <c r="BE298" s="1666"/>
      <c r="BF298" s="1666"/>
      <c r="BG298" s="1666"/>
      <c r="BH298" s="1666"/>
      <c r="BI298" s="1666"/>
      <c r="BJ298" s="1666"/>
      <c r="BK298" s="1666"/>
      <c r="BL298" s="1666"/>
      <c r="BM298" s="1666"/>
      <c r="BN298" s="1666"/>
      <c r="BO298" s="1666"/>
      <c r="BP298" s="1666"/>
      <c r="BQ298" s="1666"/>
      <c r="BR298" s="1666"/>
      <c r="BS298" s="1666"/>
      <c r="BT298" s="1666"/>
      <c r="BU298" s="1666"/>
      <c r="BV298" s="1666"/>
      <c r="BW298" s="1666"/>
      <c r="BX298" s="1460"/>
      <c r="BY298" s="1460"/>
      <c r="BZ298" s="1163"/>
      <c r="CA298" s="1163"/>
      <c r="CB298" s="1163"/>
      <c r="CC298" s="1163"/>
      <c r="CD298" s="1163"/>
      <c r="CE298" s="1163"/>
      <c r="CF298" s="1163"/>
      <c r="CG298" s="1163"/>
      <c r="CH298" s="1163"/>
      <c r="CI298" s="1163"/>
      <c r="CJ298" s="1163"/>
      <c r="CK298" s="1163"/>
      <c r="CL298" s="1163"/>
      <c r="CM298" s="1163"/>
      <c r="CN298" s="1163"/>
      <c r="CO298" s="1163"/>
      <c r="CP298" s="1163"/>
      <c r="CQ298" s="1120">
        <f t="shared" ref="CQ298:DV298" si="121">SUM(CQ278:CQ297)</f>
        <v>0</v>
      </c>
      <c r="CR298" s="1120">
        <f t="shared" si="121"/>
        <v>0</v>
      </c>
      <c r="CS298" s="1120">
        <f t="shared" si="121"/>
        <v>0</v>
      </c>
      <c r="CT298" s="1120">
        <f t="shared" si="121"/>
        <v>0</v>
      </c>
      <c r="CU298" s="1120">
        <f t="shared" si="121"/>
        <v>0</v>
      </c>
      <c r="CV298" s="1120">
        <f t="shared" si="121"/>
        <v>0</v>
      </c>
      <c r="CW298" s="1120">
        <f t="shared" si="121"/>
        <v>0</v>
      </c>
      <c r="CX298" s="1120">
        <f t="shared" si="121"/>
        <v>0</v>
      </c>
      <c r="CY298" s="1120">
        <f t="shared" si="121"/>
        <v>0</v>
      </c>
      <c r="CZ298" s="1120">
        <f t="shared" si="121"/>
        <v>0</v>
      </c>
      <c r="DA298" s="1120">
        <f t="shared" si="121"/>
        <v>0</v>
      </c>
      <c r="DB298" s="1120">
        <f t="shared" si="121"/>
        <v>0</v>
      </c>
      <c r="DC298" s="1120">
        <f t="shared" si="121"/>
        <v>0</v>
      </c>
      <c r="DD298" s="1120">
        <f t="shared" si="121"/>
        <v>0</v>
      </c>
      <c r="DE298" s="1120">
        <f t="shared" si="121"/>
        <v>0</v>
      </c>
      <c r="DF298" s="1120">
        <f t="shared" si="121"/>
        <v>0</v>
      </c>
      <c r="DG298" s="1120">
        <f t="shared" si="121"/>
        <v>0</v>
      </c>
      <c r="DH298" s="1120">
        <f t="shared" si="121"/>
        <v>0</v>
      </c>
      <c r="DI298" s="1120">
        <f t="shared" si="121"/>
        <v>0</v>
      </c>
      <c r="DJ298" s="1120">
        <f t="shared" si="121"/>
        <v>0</v>
      </c>
      <c r="DK298" s="1120">
        <f t="shared" si="121"/>
        <v>0</v>
      </c>
      <c r="DL298" s="1120">
        <f t="shared" si="121"/>
        <v>0</v>
      </c>
      <c r="DM298" s="1120">
        <f t="shared" si="121"/>
        <v>0</v>
      </c>
      <c r="DN298" s="1120">
        <f t="shared" si="121"/>
        <v>0</v>
      </c>
      <c r="DO298" s="1120">
        <f t="shared" si="121"/>
        <v>0</v>
      </c>
      <c r="DP298" s="1120">
        <f t="shared" si="121"/>
        <v>0</v>
      </c>
      <c r="DQ298" s="1120">
        <f t="shared" si="121"/>
        <v>0</v>
      </c>
      <c r="DR298" s="58">
        <f t="shared" si="121"/>
        <v>0</v>
      </c>
      <c r="DS298" s="58">
        <f t="shared" si="121"/>
        <v>0</v>
      </c>
      <c r="DT298" s="58">
        <f t="shared" si="121"/>
        <v>0</v>
      </c>
      <c r="DU298" s="58">
        <f t="shared" si="121"/>
        <v>0</v>
      </c>
      <c r="DV298" s="58">
        <f t="shared" si="121"/>
        <v>0</v>
      </c>
      <c r="DW298" s="58">
        <f t="shared" ref="DW298:EN298" si="122">SUM(DW278:DW297)</f>
        <v>0</v>
      </c>
      <c r="DX298" s="58">
        <f t="shared" si="122"/>
        <v>0</v>
      </c>
      <c r="DY298" s="58">
        <f t="shared" si="122"/>
        <v>0</v>
      </c>
      <c r="DZ298" s="58">
        <f t="shared" si="122"/>
        <v>0</v>
      </c>
      <c r="EA298" s="58">
        <f t="shared" si="122"/>
        <v>0</v>
      </c>
      <c r="EB298" s="58">
        <f t="shared" si="122"/>
        <v>0</v>
      </c>
      <c r="EC298" s="58">
        <f t="shared" si="122"/>
        <v>0</v>
      </c>
      <c r="ED298" s="58">
        <f t="shared" si="122"/>
        <v>0</v>
      </c>
      <c r="EE298" s="58">
        <f t="shared" si="122"/>
        <v>0</v>
      </c>
      <c r="EF298" s="58">
        <f t="shared" si="122"/>
        <v>0</v>
      </c>
      <c r="EG298" s="58">
        <f t="shared" si="122"/>
        <v>0</v>
      </c>
      <c r="EH298" s="58">
        <f t="shared" si="122"/>
        <v>0</v>
      </c>
      <c r="EI298" s="58">
        <f t="shared" si="122"/>
        <v>0</v>
      </c>
      <c r="EJ298" s="58">
        <f t="shared" si="122"/>
        <v>0</v>
      </c>
      <c r="EK298" s="58">
        <f t="shared" si="122"/>
        <v>0</v>
      </c>
      <c r="EL298" s="58">
        <f t="shared" si="122"/>
        <v>0</v>
      </c>
      <c r="EM298" s="58">
        <f t="shared" si="122"/>
        <v>0</v>
      </c>
      <c r="EN298" s="58">
        <f t="shared" si="122"/>
        <v>0</v>
      </c>
      <c r="EO298" s="39">
        <v>51</v>
      </c>
      <c r="EP298" s="39">
        <v>51</v>
      </c>
      <c r="EQ298" s="39">
        <v>51</v>
      </c>
      <c r="ER298" s="39">
        <v>51</v>
      </c>
      <c r="ES298" s="39">
        <v>51</v>
      </c>
      <c r="ET298" s="39">
        <v>51</v>
      </c>
      <c r="EU298" s="39">
        <v>51</v>
      </c>
      <c r="EV298" s="39">
        <v>51</v>
      </c>
      <c r="EW298" s="39">
        <v>51</v>
      </c>
      <c r="EX298" s="39">
        <v>51</v>
      </c>
    </row>
    <row r="299" spans="1:154" ht="12" customHeight="1" x14ac:dyDescent="0.35">
      <c r="A299" s="67">
        <v>22</v>
      </c>
      <c r="B299" s="1438">
        <f t="shared" si="108"/>
        <v>670</v>
      </c>
      <c r="C299" s="1440">
        <v>22</v>
      </c>
      <c r="D299" s="82"/>
      <c r="E299" s="82"/>
      <c r="F299" s="82"/>
      <c r="G299" s="1448"/>
      <c r="H299" s="1448"/>
      <c r="I299" s="1448"/>
      <c r="J299" s="1448"/>
      <c r="K299" s="1617"/>
      <c r="L299" s="1617"/>
      <c r="M299" s="1617"/>
      <c r="N299" s="1618"/>
      <c r="O299" s="1618"/>
      <c r="P299" s="1662"/>
      <c r="Q299" s="1620"/>
      <c r="R299" s="1620"/>
      <c r="S299" s="1620"/>
      <c r="T299" s="27"/>
      <c r="U299" s="1621"/>
      <c r="V299" s="1621"/>
      <c r="W299" s="1621"/>
      <c r="X299" s="381"/>
      <c r="Y299" s="1621"/>
      <c r="Z299" s="1621"/>
      <c r="AA299" s="1621"/>
      <c r="AB299" s="1621"/>
      <c r="AC299" s="1621"/>
      <c r="AD299" s="1621"/>
      <c r="AE299" s="1621"/>
      <c r="AF299" s="381"/>
      <c r="AG299" s="381"/>
      <c r="AH299" s="381"/>
      <c r="AI299" s="381"/>
      <c r="AJ299" s="381"/>
      <c r="AK299" s="381"/>
      <c r="AL299" s="381"/>
      <c r="AM299" s="381"/>
      <c r="AN299" s="381"/>
      <c r="AO299" s="381"/>
      <c r="AP299" s="381"/>
      <c r="AQ299" s="381"/>
      <c r="AR299" s="381"/>
      <c r="AS299" s="381"/>
      <c r="AT299" s="381"/>
      <c r="AU299" s="381"/>
      <c r="AV299" s="381"/>
      <c r="AW299" s="381"/>
      <c r="AX299" s="381"/>
      <c r="AY299" s="381"/>
      <c r="AZ299" s="381"/>
      <c r="BA299" s="381"/>
      <c r="BB299" s="381"/>
      <c r="BC299" s="381"/>
      <c r="BD299" s="381"/>
      <c r="BE299" s="381"/>
      <c r="BF299" s="381"/>
      <c r="BG299" s="381"/>
      <c r="BH299" s="381"/>
      <c r="BI299" s="381"/>
      <c r="BJ299" s="381"/>
      <c r="BK299" s="381"/>
      <c r="BL299" s="381"/>
      <c r="BM299" s="381"/>
      <c r="BN299" s="381"/>
      <c r="BO299" s="381"/>
      <c r="BP299" s="381"/>
      <c r="BQ299" s="381"/>
      <c r="BR299" s="381"/>
      <c r="BS299" s="381"/>
      <c r="BT299" s="381"/>
      <c r="BU299" s="381"/>
      <c r="BV299" s="381"/>
      <c r="BW299" s="381"/>
      <c r="BX299" s="1454"/>
      <c r="BY299" s="1454"/>
      <c r="BZ299" s="53"/>
      <c r="CA299" s="53"/>
      <c r="CB299" s="53"/>
      <c r="CC299" s="53"/>
      <c r="CD299" s="53"/>
      <c r="CE299" s="53"/>
      <c r="CF299" s="53"/>
      <c r="CG299" s="53"/>
      <c r="CH299" s="53"/>
      <c r="CI299" s="53"/>
      <c r="CJ299" s="53"/>
      <c r="CK299" s="53"/>
      <c r="CL299" s="53"/>
      <c r="CM299" s="53"/>
      <c r="CN299" s="53"/>
      <c r="CO299" s="53"/>
      <c r="CP299" s="53"/>
      <c r="CQ299" s="47"/>
      <c r="CR299" s="47"/>
      <c r="CS299" s="47"/>
      <c r="CT299" s="47"/>
      <c r="CU299" s="47"/>
      <c r="CV299" s="47"/>
      <c r="CW299" s="47"/>
      <c r="CX299" s="47"/>
      <c r="CY299" s="47"/>
      <c r="CZ299" s="47"/>
      <c r="DA299" s="47"/>
      <c r="DB299" s="47"/>
      <c r="DC299" s="47"/>
      <c r="DD299" s="54"/>
      <c r="DE299" s="54"/>
      <c r="DF299" s="54"/>
      <c r="DG299" s="54"/>
      <c r="DH299" s="54"/>
      <c r="DI299" s="54"/>
      <c r="DJ299" s="54"/>
      <c r="DK299" s="54"/>
      <c r="DL299" s="54"/>
      <c r="DM299" s="54"/>
      <c r="DN299" s="54"/>
      <c r="DO299" s="54"/>
      <c r="DP299" s="54"/>
      <c r="DQ299" s="54"/>
      <c r="DR299" s="38"/>
      <c r="DS299" s="38"/>
      <c r="DT299" s="38"/>
      <c r="DU299" s="38"/>
      <c r="DV299" s="38"/>
      <c r="DW299" s="38"/>
      <c r="DX299" s="38"/>
      <c r="DY299" s="38"/>
      <c r="DZ299" s="38"/>
      <c r="EA299" s="38"/>
      <c r="EB299" s="38"/>
      <c r="EC299" s="38"/>
      <c r="ED299" s="38"/>
      <c r="EE299" s="38"/>
      <c r="EF299" s="38"/>
      <c r="EG299" s="38"/>
      <c r="EH299" s="38"/>
      <c r="EI299" s="38"/>
      <c r="EJ299" s="38"/>
      <c r="EK299" s="38"/>
      <c r="EL299" s="38"/>
      <c r="EM299" s="38"/>
      <c r="EN299" s="38"/>
      <c r="EO299" s="39">
        <v>51</v>
      </c>
      <c r="EP299" s="39">
        <v>51</v>
      </c>
      <c r="EQ299" s="39">
        <v>51</v>
      </c>
      <c r="ER299" s="39">
        <v>51</v>
      </c>
      <c r="ES299" s="39">
        <v>51</v>
      </c>
      <c r="ET299" s="39">
        <v>51</v>
      </c>
      <c r="EU299" s="39">
        <v>51</v>
      </c>
      <c r="EV299" s="39">
        <v>51</v>
      </c>
      <c r="EW299" s="39">
        <v>51</v>
      </c>
      <c r="EX299" s="39">
        <v>51</v>
      </c>
    </row>
    <row r="300" spans="1:154" ht="12" customHeight="1" x14ac:dyDescent="0.35">
      <c r="A300" s="67">
        <v>23</v>
      </c>
      <c r="B300" s="1438">
        <f t="shared" si="108"/>
        <v>700</v>
      </c>
      <c r="C300" s="1440">
        <v>23</v>
      </c>
      <c r="D300" s="82"/>
      <c r="E300" s="82"/>
      <c r="F300" s="82"/>
      <c r="G300" s="1448"/>
      <c r="H300" s="1448"/>
      <c r="I300" s="1448"/>
      <c r="J300" s="1448"/>
      <c r="K300" s="1617"/>
      <c r="L300" s="1617"/>
      <c r="M300" s="1617"/>
      <c r="N300" s="1618"/>
      <c r="O300" s="1618"/>
      <c r="P300" s="1662"/>
      <c r="Q300" s="1620"/>
      <c r="R300" s="1620"/>
      <c r="S300" s="1620"/>
      <c r="T300" s="27"/>
      <c r="U300" s="1621"/>
      <c r="V300" s="1621"/>
      <c r="W300" s="1621"/>
      <c r="X300" s="32" t="s">
        <v>418</v>
      </c>
      <c r="Y300" s="1621"/>
      <c r="Z300" s="1621"/>
      <c r="AA300" s="1621"/>
      <c r="AB300" s="1621"/>
      <c r="AC300" s="1621"/>
      <c r="AD300" s="1621"/>
      <c r="AE300" s="1621"/>
      <c r="AF300" s="381"/>
      <c r="AG300" s="381"/>
      <c r="AH300" s="381"/>
      <c r="AI300" s="381"/>
      <c r="AJ300" s="381"/>
      <c r="AK300" s="381"/>
      <c r="AL300" s="381"/>
      <c r="AM300" s="381"/>
      <c r="AN300" s="381"/>
      <c r="AO300" s="381"/>
      <c r="AP300" s="381"/>
      <c r="AQ300" s="381"/>
      <c r="AR300" s="381"/>
      <c r="AS300" s="381"/>
      <c r="AT300" s="381"/>
      <c r="AU300" s="381"/>
      <c r="AV300" s="381"/>
      <c r="AW300" s="381"/>
      <c r="AX300" s="381"/>
      <c r="AY300" s="381"/>
      <c r="AZ300" s="381"/>
      <c r="BA300" s="381"/>
      <c r="BB300" s="381"/>
      <c r="BC300" s="381"/>
      <c r="BD300" s="381"/>
      <c r="BE300" s="381"/>
      <c r="BF300" s="381"/>
      <c r="BG300" s="381"/>
      <c r="BH300" s="381"/>
      <c r="BI300" s="381"/>
      <c r="BJ300" s="381"/>
      <c r="BK300" s="381"/>
      <c r="BL300" s="381"/>
      <c r="BM300" s="381"/>
      <c r="BN300" s="381"/>
      <c r="BO300" s="381"/>
      <c r="BP300" s="381"/>
      <c r="BQ300" s="381"/>
      <c r="BR300" s="381"/>
      <c r="BS300" s="381"/>
      <c r="BT300" s="381"/>
      <c r="BU300" s="381"/>
      <c r="BV300" s="381"/>
      <c r="BW300" s="381"/>
      <c r="BX300" s="1454"/>
      <c r="BY300" s="1454"/>
      <c r="BZ300" s="53"/>
      <c r="CA300" s="53"/>
      <c r="CB300" s="53"/>
      <c r="CC300" s="53"/>
      <c r="CD300" s="53"/>
      <c r="CE300" s="53"/>
      <c r="CF300" s="53"/>
      <c r="CG300" s="53"/>
      <c r="CH300" s="53"/>
      <c r="CI300" s="53"/>
      <c r="CJ300" s="53"/>
      <c r="CK300" s="53"/>
      <c r="CL300" s="53"/>
      <c r="CM300" s="53"/>
      <c r="CN300" s="53"/>
      <c r="CO300" s="53"/>
      <c r="CP300" s="53"/>
      <c r="CQ300" s="47"/>
      <c r="CR300" s="47"/>
      <c r="CS300" s="47"/>
      <c r="CT300" s="47"/>
      <c r="CU300" s="47"/>
      <c r="CV300" s="47"/>
      <c r="CW300" s="47"/>
      <c r="CX300" s="47"/>
      <c r="CY300" s="47"/>
      <c r="CZ300" s="47"/>
      <c r="DA300" s="47"/>
      <c r="DB300" s="47"/>
      <c r="DC300" s="47"/>
      <c r="DD300" s="47"/>
      <c r="DE300" s="47"/>
      <c r="DF300" s="47"/>
      <c r="DG300" s="47"/>
      <c r="DH300" s="47"/>
      <c r="DI300" s="47"/>
      <c r="DJ300" s="47"/>
      <c r="DK300" s="47"/>
      <c r="DL300" s="47"/>
      <c r="DM300" s="47"/>
      <c r="DN300" s="47"/>
      <c r="DO300" s="47"/>
      <c r="DP300" s="47"/>
      <c r="DQ300" s="47"/>
      <c r="DR300" s="46"/>
      <c r="DS300" s="46"/>
      <c r="DT300" s="46"/>
      <c r="DU300" s="46"/>
      <c r="DV300" s="46"/>
      <c r="DW300" s="46"/>
      <c r="DX300" s="46"/>
      <c r="DY300" s="46"/>
      <c r="DZ300" s="46"/>
      <c r="EA300" s="46"/>
      <c r="EB300" s="46"/>
      <c r="EC300" s="46"/>
      <c r="ED300" s="46"/>
      <c r="EE300" s="46"/>
      <c r="EF300" s="46"/>
      <c r="EG300" s="46"/>
      <c r="EH300" s="46"/>
      <c r="EI300" s="46"/>
      <c r="EJ300" s="46"/>
      <c r="EK300" s="46"/>
      <c r="EL300" s="46"/>
      <c r="EM300" s="46"/>
      <c r="EN300" s="46"/>
      <c r="EO300" s="39">
        <v>51</v>
      </c>
      <c r="EP300" s="39">
        <v>51</v>
      </c>
      <c r="EQ300" s="39">
        <v>51</v>
      </c>
      <c r="ER300" s="39">
        <v>51</v>
      </c>
      <c r="ES300" s="39">
        <v>51</v>
      </c>
      <c r="ET300" s="39">
        <v>51</v>
      </c>
      <c r="EU300" s="39">
        <v>51</v>
      </c>
      <c r="EV300" s="39">
        <v>51</v>
      </c>
      <c r="EW300" s="39">
        <v>51</v>
      </c>
      <c r="EX300" s="39">
        <v>51</v>
      </c>
    </row>
    <row r="301" spans="1:154" ht="12" customHeight="1" x14ac:dyDescent="0.35">
      <c r="A301" s="67">
        <v>24</v>
      </c>
      <c r="B301" s="1438">
        <f t="shared" si="108"/>
        <v>731</v>
      </c>
      <c r="C301" s="1440">
        <v>24</v>
      </c>
      <c r="D301" s="82"/>
      <c r="E301" s="82"/>
      <c r="F301" s="82"/>
      <c r="G301" s="1448"/>
      <c r="H301" s="1448"/>
      <c r="I301" s="1448"/>
      <c r="J301" s="1448"/>
      <c r="K301" s="1617"/>
      <c r="L301" s="1617"/>
      <c r="M301" s="1617"/>
      <c r="N301" s="1618"/>
      <c r="O301" s="1618"/>
      <c r="P301" s="1662"/>
      <c r="Q301" s="1620"/>
      <c r="R301" s="1620"/>
      <c r="S301" s="1620"/>
      <c r="T301" s="27"/>
      <c r="U301" s="1621"/>
      <c r="V301" s="1621"/>
      <c r="W301" s="1621"/>
      <c r="X301" s="381">
        <f>Input!M239</f>
        <v>3</v>
      </c>
      <c r="Y301" s="1646">
        <f t="shared" ref="Y301:AH303" si="123">SUMIF($O$278:$O$297,$X301,Y$278:Y$297)</f>
        <v>0</v>
      </c>
      <c r="Z301" s="1646">
        <f t="shared" si="123"/>
        <v>0</v>
      </c>
      <c r="AA301" s="1646">
        <f t="shared" si="123"/>
        <v>0</v>
      </c>
      <c r="AB301" s="1646">
        <f t="shared" si="123"/>
        <v>0</v>
      </c>
      <c r="AC301" s="1646">
        <f t="shared" si="123"/>
        <v>0</v>
      </c>
      <c r="AD301" s="1646">
        <f t="shared" si="123"/>
        <v>0</v>
      </c>
      <c r="AE301" s="1646">
        <f t="shared" si="123"/>
        <v>0</v>
      </c>
      <c r="AF301" s="1155">
        <f t="shared" si="123"/>
        <v>0</v>
      </c>
      <c r="AG301" s="1155">
        <f t="shared" si="123"/>
        <v>0</v>
      </c>
      <c r="AH301" s="1155">
        <f t="shared" si="123"/>
        <v>0</v>
      </c>
      <c r="AI301" s="1155">
        <f t="shared" ref="AI301:AR303" si="124">SUMIF($O$278:$O$297,$X301,AI$278:AI$297)</f>
        <v>0</v>
      </c>
      <c r="AJ301" s="1155">
        <f t="shared" si="124"/>
        <v>0</v>
      </c>
      <c r="AK301" s="1155">
        <f t="shared" si="124"/>
        <v>0</v>
      </c>
      <c r="AL301" s="1155">
        <f t="shared" si="124"/>
        <v>0</v>
      </c>
      <c r="AM301" s="1155">
        <f t="shared" si="124"/>
        <v>0</v>
      </c>
      <c r="AN301" s="1155">
        <f t="shared" si="124"/>
        <v>0</v>
      </c>
      <c r="AO301" s="1155">
        <f t="shared" si="124"/>
        <v>0</v>
      </c>
      <c r="AP301" s="1155">
        <f t="shared" si="124"/>
        <v>0</v>
      </c>
      <c r="AQ301" s="1155">
        <f t="shared" si="124"/>
        <v>0</v>
      </c>
      <c r="AR301" s="1155">
        <f t="shared" si="124"/>
        <v>0</v>
      </c>
      <c r="AS301" s="1155">
        <f t="shared" ref="AS301:BB303" si="125">SUMIF($O$278:$O$297,$X301,AS$278:AS$297)</f>
        <v>0</v>
      </c>
      <c r="AT301" s="1155">
        <f t="shared" si="125"/>
        <v>0</v>
      </c>
      <c r="AU301" s="1155">
        <f t="shared" si="125"/>
        <v>0</v>
      </c>
      <c r="AV301" s="1155">
        <f t="shared" si="125"/>
        <v>0</v>
      </c>
      <c r="AW301" s="1155">
        <f t="shared" si="125"/>
        <v>0</v>
      </c>
      <c r="AX301" s="1155">
        <f t="shared" si="125"/>
        <v>0</v>
      </c>
      <c r="AY301" s="1155">
        <f t="shared" si="125"/>
        <v>0</v>
      </c>
      <c r="AZ301" s="1155">
        <f t="shared" si="125"/>
        <v>0</v>
      </c>
      <c r="BA301" s="1155">
        <f t="shared" si="125"/>
        <v>0</v>
      </c>
      <c r="BB301" s="1155">
        <f t="shared" si="125"/>
        <v>0</v>
      </c>
      <c r="BC301" s="1155">
        <f t="shared" ref="BC301:BL303" si="126">SUMIF($O$278:$O$297,$X301,BC$278:BC$297)</f>
        <v>0</v>
      </c>
      <c r="BD301" s="1155">
        <f t="shared" si="126"/>
        <v>0</v>
      </c>
      <c r="BE301" s="1155">
        <f t="shared" si="126"/>
        <v>0</v>
      </c>
      <c r="BF301" s="1155">
        <f t="shared" si="126"/>
        <v>0</v>
      </c>
      <c r="BG301" s="1155">
        <f t="shared" si="126"/>
        <v>0</v>
      </c>
      <c r="BH301" s="1155">
        <f t="shared" si="126"/>
        <v>0</v>
      </c>
      <c r="BI301" s="1155">
        <f t="shared" si="126"/>
        <v>0</v>
      </c>
      <c r="BJ301" s="1155">
        <f t="shared" si="126"/>
        <v>0</v>
      </c>
      <c r="BK301" s="1155">
        <f t="shared" si="126"/>
        <v>0</v>
      </c>
      <c r="BL301" s="1155">
        <f t="shared" si="126"/>
        <v>0</v>
      </c>
      <c r="BM301" s="1155">
        <f t="shared" ref="BM301:BV303" si="127">SUMIF($O$278:$O$297,$X301,BM$278:BM$297)</f>
        <v>0</v>
      </c>
      <c r="BN301" s="1155">
        <f t="shared" si="127"/>
        <v>0</v>
      </c>
      <c r="BO301" s="1155">
        <f t="shared" si="127"/>
        <v>0</v>
      </c>
      <c r="BP301" s="1155">
        <f t="shared" si="127"/>
        <v>0</v>
      </c>
      <c r="BQ301" s="1155">
        <f t="shared" si="127"/>
        <v>0</v>
      </c>
      <c r="BR301" s="1155">
        <f t="shared" si="127"/>
        <v>0</v>
      </c>
      <c r="BS301" s="1155">
        <f t="shared" si="127"/>
        <v>0</v>
      </c>
      <c r="BT301" s="1155">
        <f t="shared" si="127"/>
        <v>0</v>
      </c>
      <c r="BU301" s="1155">
        <f t="shared" si="127"/>
        <v>0</v>
      </c>
      <c r="BV301" s="1155">
        <f t="shared" si="127"/>
        <v>0</v>
      </c>
      <c r="BW301" s="1155">
        <f t="shared" ref="BW301:CF303" si="128">SUMIF($O$278:$O$297,$X301,BW$278:BW$297)</f>
        <v>0</v>
      </c>
      <c r="BX301" s="1457">
        <f t="shared" si="128"/>
        <v>0</v>
      </c>
      <c r="BY301" s="1457">
        <f t="shared" si="128"/>
        <v>0</v>
      </c>
      <c r="BZ301" s="1162">
        <f t="shared" si="128"/>
        <v>0</v>
      </c>
      <c r="CA301" s="1162">
        <f t="shared" si="128"/>
        <v>0</v>
      </c>
      <c r="CB301" s="1162">
        <f t="shared" si="128"/>
        <v>0</v>
      </c>
      <c r="CC301" s="1162">
        <f t="shared" si="128"/>
        <v>0</v>
      </c>
      <c r="CD301" s="1162">
        <f t="shared" si="128"/>
        <v>0</v>
      </c>
      <c r="CE301" s="1162">
        <f t="shared" si="128"/>
        <v>0</v>
      </c>
      <c r="CF301" s="1162">
        <f t="shared" si="128"/>
        <v>0</v>
      </c>
      <c r="CG301" s="1162">
        <f t="shared" ref="CG301:CP303" si="129">SUMIF($O$278:$O$297,$X301,CG$278:CG$297)</f>
        <v>0</v>
      </c>
      <c r="CH301" s="1162">
        <f t="shared" si="129"/>
        <v>0</v>
      </c>
      <c r="CI301" s="1162">
        <f t="shared" si="129"/>
        <v>0</v>
      </c>
      <c r="CJ301" s="1162">
        <f t="shared" si="129"/>
        <v>0</v>
      </c>
      <c r="CK301" s="1162">
        <f t="shared" si="129"/>
        <v>0</v>
      </c>
      <c r="CL301" s="1162">
        <f t="shared" si="129"/>
        <v>0</v>
      </c>
      <c r="CM301" s="1162">
        <f t="shared" si="129"/>
        <v>0</v>
      </c>
      <c r="CN301" s="1162">
        <f t="shared" si="129"/>
        <v>0</v>
      </c>
      <c r="CO301" s="1162">
        <f t="shared" si="129"/>
        <v>0</v>
      </c>
      <c r="CP301" s="1162">
        <f t="shared" si="129"/>
        <v>0</v>
      </c>
      <c r="CQ301" s="48">
        <f t="shared" ref="CQ301:CZ303" si="130">SUMIF($O$278:$O$297,$X301,CQ$278:CQ$297)</f>
        <v>0</v>
      </c>
      <c r="CR301" s="48">
        <f t="shared" si="130"/>
        <v>0</v>
      </c>
      <c r="CS301" s="48">
        <f t="shared" si="130"/>
        <v>0</v>
      </c>
      <c r="CT301" s="48">
        <f t="shared" si="130"/>
        <v>0</v>
      </c>
      <c r="CU301" s="48">
        <f t="shared" si="130"/>
        <v>0</v>
      </c>
      <c r="CV301" s="48">
        <f t="shared" si="130"/>
        <v>0</v>
      </c>
      <c r="CW301" s="48">
        <f t="shared" si="130"/>
        <v>0</v>
      </c>
      <c r="CX301" s="48">
        <f t="shared" si="130"/>
        <v>0</v>
      </c>
      <c r="CY301" s="48">
        <f t="shared" si="130"/>
        <v>0</v>
      </c>
      <c r="CZ301" s="48">
        <f t="shared" si="130"/>
        <v>0</v>
      </c>
      <c r="DA301" s="48">
        <f t="shared" ref="DA301:DJ303" si="131">SUMIF($O$278:$O$297,$X301,DA$278:DA$297)</f>
        <v>0</v>
      </c>
      <c r="DB301" s="48">
        <f t="shared" si="131"/>
        <v>0</v>
      </c>
      <c r="DC301" s="48">
        <f t="shared" si="131"/>
        <v>0</v>
      </c>
      <c r="DD301" s="48">
        <f t="shared" si="131"/>
        <v>0</v>
      </c>
      <c r="DE301" s="48">
        <f t="shared" si="131"/>
        <v>0</v>
      </c>
      <c r="DF301" s="48">
        <f t="shared" si="131"/>
        <v>0</v>
      </c>
      <c r="DG301" s="48">
        <f t="shared" si="131"/>
        <v>0</v>
      </c>
      <c r="DH301" s="48">
        <f t="shared" si="131"/>
        <v>0</v>
      </c>
      <c r="DI301" s="48">
        <f t="shared" si="131"/>
        <v>0</v>
      </c>
      <c r="DJ301" s="48">
        <f t="shared" si="131"/>
        <v>0</v>
      </c>
      <c r="DK301" s="48">
        <f t="shared" ref="DK301:DT303" si="132">SUMIF($O$278:$O$297,$X301,DK$278:DK$297)</f>
        <v>0</v>
      </c>
      <c r="DL301" s="48">
        <f t="shared" si="132"/>
        <v>0</v>
      </c>
      <c r="DM301" s="48">
        <f t="shared" si="132"/>
        <v>0</v>
      </c>
      <c r="DN301" s="48">
        <f t="shared" si="132"/>
        <v>0</v>
      </c>
      <c r="DO301" s="48">
        <f t="shared" si="132"/>
        <v>0</v>
      </c>
      <c r="DP301" s="48">
        <f t="shared" si="132"/>
        <v>0</v>
      </c>
      <c r="DQ301" s="48">
        <f t="shared" si="132"/>
        <v>0</v>
      </c>
      <c r="DR301" s="50">
        <f t="shared" si="132"/>
        <v>0</v>
      </c>
      <c r="DS301" s="50">
        <f t="shared" si="132"/>
        <v>0</v>
      </c>
      <c r="DT301" s="50">
        <f t="shared" si="132"/>
        <v>0</v>
      </c>
      <c r="DU301" s="50">
        <f t="shared" ref="DU301:ED303" si="133">SUMIF($O$278:$O$297,$X301,DU$278:DU$297)</f>
        <v>0</v>
      </c>
      <c r="DV301" s="50">
        <f t="shared" si="133"/>
        <v>0</v>
      </c>
      <c r="DW301" s="50">
        <f t="shared" si="133"/>
        <v>0</v>
      </c>
      <c r="DX301" s="50">
        <f t="shared" si="133"/>
        <v>0</v>
      </c>
      <c r="DY301" s="50">
        <f t="shared" si="133"/>
        <v>0</v>
      </c>
      <c r="DZ301" s="50">
        <f t="shared" si="133"/>
        <v>0</v>
      </c>
      <c r="EA301" s="50">
        <f t="shared" si="133"/>
        <v>0</v>
      </c>
      <c r="EB301" s="50">
        <f t="shared" si="133"/>
        <v>0</v>
      </c>
      <c r="EC301" s="50">
        <f t="shared" si="133"/>
        <v>0</v>
      </c>
      <c r="ED301" s="50">
        <f t="shared" si="133"/>
        <v>0</v>
      </c>
      <c r="EE301" s="50">
        <f t="shared" ref="EE301:EN303" si="134">SUMIF($O$278:$O$297,$X301,EE$278:EE$297)</f>
        <v>0</v>
      </c>
      <c r="EF301" s="50">
        <f t="shared" si="134"/>
        <v>0</v>
      </c>
      <c r="EG301" s="50">
        <f t="shared" si="134"/>
        <v>0</v>
      </c>
      <c r="EH301" s="50">
        <f t="shared" si="134"/>
        <v>0</v>
      </c>
      <c r="EI301" s="50">
        <f t="shared" si="134"/>
        <v>0</v>
      </c>
      <c r="EJ301" s="50">
        <f t="shared" si="134"/>
        <v>0</v>
      </c>
      <c r="EK301" s="50">
        <f t="shared" si="134"/>
        <v>0</v>
      </c>
      <c r="EL301" s="50">
        <f t="shared" si="134"/>
        <v>0</v>
      </c>
      <c r="EM301" s="50">
        <f t="shared" si="134"/>
        <v>0</v>
      </c>
      <c r="EN301" s="50">
        <f t="shared" si="134"/>
        <v>0</v>
      </c>
      <c r="EO301" s="39">
        <v>51</v>
      </c>
      <c r="EP301" s="39">
        <v>51</v>
      </c>
      <c r="EQ301" s="39">
        <v>51</v>
      </c>
      <c r="ER301" s="39">
        <v>51</v>
      </c>
      <c r="ES301" s="39">
        <v>51</v>
      </c>
      <c r="ET301" s="39">
        <v>51</v>
      </c>
      <c r="EU301" s="39">
        <v>51</v>
      </c>
      <c r="EV301" s="39">
        <v>51</v>
      </c>
      <c r="EW301" s="39">
        <v>51</v>
      </c>
      <c r="EX301" s="39">
        <v>51</v>
      </c>
    </row>
    <row r="302" spans="1:154" ht="12" customHeight="1" x14ac:dyDescent="0.35">
      <c r="A302" s="67">
        <v>25</v>
      </c>
      <c r="B302" s="1438">
        <f t="shared" si="108"/>
        <v>762</v>
      </c>
      <c r="C302" s="1440">
        <v>25</v>
      </c>
      <c r="D302" s="82"/>
      <c r="E302" s="82"/>
      <c r="F302" s="82"/>
      <c r="G302" s="1448"/>
      <c r="H302" s="1448"/>
      <c r="I302" s="1448"/>
      <c r="J302" s="1448"/>
      <c r="K302" s="1617"/>
      <c r="L302" s="1617"/>
      <c r="M302" s="1617"/>
      <c r="N302" s="1618"/>
      <c r="O302" s="1618"/>
      <c r="P302" s="1662"/>
      <c r="Q302" s="1620"/>
      <c r="R302" s="1620"/>
      <c r="S302" s="1667"/>
      <c r="T302" s="27"/>
      <c r="U302" s="1621"/>
      <c r="V302" s="1621"/>
      <c r="W302" s="1621"/>
      <c r="X302" s="381">
        <f>Input!M240</f>
        <v>7</v>
      </c>
      <c r="Y302" s="1646">
        <f t="shared" si="123"/>
        <v>0</v>
      </c>
      <c r="Z302" s="1646">
        <f t="shared" si="123"/>
        <v>0</v>
      </c>
      <c r="AA302" s="1646">
        <f t="shared" si="123"/>
        <v>0</v>
      </c>
      <c r="AB302" s="1646">
        <f t="shared" si="123"/>
        <v>0</v>
      </c>
      <c r="AC302" s="1646">
        <f t="shared" si="123"/>
        <v>0</v>
      </c>
      <c r="AD302" s="1646">
        <f t="shared" si="123"/>
        <v>0</v>
      </c>
      <c r="AE302" s="1646">
        <f t="shared" si="123"/>
        <v>0</v>
      </c>
      <c r="AF302" s="1155">
        <f t="shared" si="123"/>
        <v>0</v>
      </c>
      <c r="AG302" s="1155">
        <f t="shared" si="123"/>
        <v>0</v>
      </c>
      <c r="AH302" s="1155">
        <f t="shared" si="123"/>
        <v>0</v>
      </c>
      <c r="AI302" s="1155">
        <f t="shared" si="124"/>
        <v>0</v>
      </c>
      <c r="AJ302" s="1155">
        <f t="shared" si="124"/>
        <v>0</v>
      </c>
      <c r="AK302" s="1155">
        <f t="shared" si="124"/>
        <v>0</v>
      </c>
      <c r="AL302" s="1155">
        <f t="shared" si="124"/>
        <v>0</v>
      </c>
      <c r="AM302" s="1155">
        <f t="shared" si="124"/>
        <v>0</v>
      </c>
      <c r="AN302" s="1155">
        <f t="shared" si="124"/>
        <v>0</v>
      </c>
      <c r="AO302" s="1155">
        <f t="shared" si="124"/>
        <v>0</v>
      </c>
      <c r="AP302" s="1155">
        <f t="shared" si="124"/>
        <v>0</v>
      </c>
      <c r="AQ302" s="1155">
        <f t="shared" si="124"/>
        <v>0</v>
      </c>
      <c r="AR302" s="1155">
        <f t="shared" si="124"/>
        <v>0</v>
      </c>
      <c r="AS302" s="1155">
        <f t="shared" si="125"/>
        <v>0</v>
      </c>
      <c r="AT302" s="1155">
        <f t="shared" si="125"/>
        <v>0</v>
      </c>
      <c r="AU302" s="1155">
        <f t="shared" si="125"/>
        <v>0</v>
      </c>
      <c r="AV302" s="1155">
        <f t="shared" si="125"/>
        <v>0</v>
      </c>
      <c r="AW302" s="1155">
        <f t="shared" si="125"/>
        <v>0</v>
      </c>
      <c r="AX302" s="1155">
        <f t="shared" si="125"/>
        <v>0</v>
      </c>
      <c r="AY302" s="1155">
        <f t="shared" si="125"/>
        <v>0</v>
      </c>
      <c r="AZ302" s="1155">
        <f t="shared" si="125"/>
        <v>0</v>
      </c>
      <c r="BA302" s="1155">
        <f t="shared" si="125"/>
        <v>0</v>
      </c>
      <c r="BB302" s="1155">
        <f t="shared" si="125"/>
        <v>0</v>
      </c>
      <c r="BC302" s="1155">
        <f t="shared" si="126"/>
        <v>0</v>
      </c>
      <c r="BD302" s="1155">
        <f t="shared" si="126"/>
        <v>0</v>
      </c>
      <c r="BE302" s="1155">
        <f t="shared" si="126"/>
        <v>0</v>
      </c>
      <c r="BF302" s="1155">
        <f t="shared" si="126"/>
        <v>0</v>
      </c>
      <c r="BG302" s="1155">
        <f t="shared" si="126"/>
        <v>0</v>
      </c>
      <c r="BH302" s="1155">
        <f t="shared" si="126"/>
        <v>0</v>
      </c>
      <c r="BI302" s="1155">
        <f t="shared" si="126"/>
        <v>0</v>
      </c>
      <c r="BJ302" s="1155">
        <f t="shared" si="126"/>
        <v>0</v>
      </c>
      <c r="BK302" s="1155">
        <f t="shared" si="126"/>
        <v>0</v>
      </c>
      <c r="BL302" s="1155">
        <f t="shared" si="126"/>
        <v>0</v>
      </c>
      <c r="BM302" s="1155">
        <f t="shared" si="127"/>
        <v>0</v>
      </c>
      <c r="BN302" s="1155">
        <f t="shared" si="127"/>
        <v>0</v>
      </c>
      <c r="BO302" s="1155">
        <f t="shared" si="127"/>
        <v>0</v>
      </c>
      <c r="BP302" s="1155">
        <f t="shared" si="127"/>
        <v>0</v>
      </c>
      <c r="BQ302" s="1155">
        <f t="shared" si="127"/>
        <v>0</v>
      </c>
      <c r="BR302" s="1155">
        <f t="shared" si="127"/>
        <v>0</v>
      </c>
      <c r="BS302" s="1155">
        <f t="shared" si="127"/>
        <v>0</v>
      </c>
      <c r="BT302" s="1155">
        <f t="shared" si="127"/>
        <v>0</v>
      </c>
      <c r="BU302" s="1155">
        <f t="shared" si="127"/>
        <v>0</v>
      </c>
      <c r="BV302" s="1155">
        <f t="shared" si="127"/>
        <v>0</v>
      </c>
      <c r="BW302" s="1155">
        <f t="shared" si="128"/>
        <v>0</v>
      </c>
      <c r="BX302" s="1457">
        <f t="shared" si="128"/>
        <v>0</v>
      </c>
      <c r="BY302" s="1457">
        <f t="shared" si="128"/>
        <v>0</v>
      </c>
      <c r="BZ302" s="1162">
        <f t="shared" si="128"/>
        <v>0</v>
      </c>
      <c r="CA302" s="1162">
        <f t="shared" si="128"/>
        <v>0</v>
      </c>
      <c r="CB302" s="1162">
        <f t="shared" si="128"/>
        <v>0</v>
      </c>
      <c r="CC302" s="1162">
        <f t="shared" si="128"/>
        <v>0</v>
      </c>
      <c r="CD302" s="1162">
        <f t="shared" si="128"/>
        <v>0</v>
      </c>
      <c r="CE302" s="1162">
        <f t="shared" si="128"/>
        <v>0</v>
      </c>
      <c r="CF302" s="1162">
        <f t="shared" si="128"/>
        <v>0</v>
      </c>
      <c r="CG302" s="1162">
        <f t="shared" si="129"/>
        <v>0</v>
      </c>
      <c r="CH302" s="1162">
        <f t="shared" si="129"/>
        <v>0</v>
      </c>
      <c r="CI302" s="1162">
        <f t="shared" si="129"/>
        <v>0</v>
      </c>
      <c r="CJ302" s="1162">
        <f t="shared" si="129"/>
        <v>0</v>
      </c>
      <c r="CK302" s="1162">
        <f t="shared" si="129"/>
        <v>0</v>
      </c>
      <c r="CL302" s="1162">
        <f t="shared" si="129"/>
        <v>0</v>
      </c>
      <c r="CM302" s="1162">
        <f t="shared" si="129"/>
        <v>0</v>
      </c>
      <c r="CN302" s="1162">
        <f t="shared" si="129"/>
        <v>0</v>
      </c>
      <c r="CO302" s="1162">
        <f t="shared" si="129"/>
        <v>0</v>
      </c>
      <c r="CP302" s="1162">
        <f t="shared" si="129"/>
        <v>0</v>
      </c>
      <c r="CQ302" s="48">
        <f t="shared" si="130"/>
        <v>0</v>
      </c>
      <c r="CR302" s="48">
        <f t="shared" si="130"/>
        <v>0</v>
      </c>
      <c r="CS302" s="48">
        <f t="shared" si="130"/>
        <v>0</v>
      </c>
      <c r="CT302" s="48">
        <f t="shared" si="130"/>
        <v>0</v>
      </c>
      <c r="CU302" s="48">
        <f t="shared" si="130"/>
        <v>0</v>
      </c>
      <c r="CV302" s="48">
        <f t="shared" si="130"/>
        <v>0</v>
      </c>
      <c r="CW302" s="48">
        <f t="shared" si="130"/>
        <v>0</v>
      </c>
      <c r="CX302" s="48">
        <f t="shared" si="130"/>
        <v>0</v>
      </c>
      <c r="CY302" s="48">
        <f t="shared" si="130"/>
        <v>0</v>
      </c>
      <c r="CZ302" s="48">
        <f t="shared" si="130"/>
        <v>0</v>
      </c>
      <c r="DA302" s="48">
        <f t="shared" si="131"/>
        <v>0</v>
      </c>
      <c r="DB302" s="48">
        <f t="shared" si="131"/>
        <v>0</v>
      </c>
      <c r="DC302" s="48">
        <f t="shared" si="131"/>
        <v>0</v>
      </c>
      <c r="DD302" s="48">
        <f t="shared" si="131"/>
        <v>0</v>
      </c>
      <c r="DE302" s="48">
        <f t="shared" si="131"/>
        <v>0</v>
      </c>
      <c r="DF302" s="48">
        <f t="shared" si="131"/>
        <v>0</v>
      </c>
      <c r="DG302" s="48">
        <f t="shared" si="131"/>
        <v>0</v>
      </c>
      <c r="DH302" s="48">
        <f t="shared" si="131"/>
        <v>0</v>
      </c>
      <c r="DI302" s="48">
        <f t="shared" si="131"/>
        <v>0</v>
      </c>
      <c r="DJ302" s="48">
        <f t="shared" si="131"/>
        <v>0</v>
      </c>
      <c r="DK302" s="48">
        <f t="shared" si="132"/>
        <v>0</v>
      </c>
      <c r="DL302" s="48">
        <f t="shared" si="132"/>
        <v>0</v>
      </c>
      <c r="DM302" s="48">
        <f t="shared" si="132"/>
        <v>0</v>
      </c>
      <c r="DN302" s="48">
        <f t="shared" si="132"/>
        <v>0</v>
      </c>
      <c r="DO302" s="48">
        <f t="shared" si="132"/>
        <v>0</v>
      </c>
      <c r="DP302" s="48">
        <f t="shared" si="132"/>
        <v>0</v>
      </c>
      <c r="DQ302" s="48">
        <f t="shared" si="132"/>
        <v>0</v>
      </c>
      <c r="DR302" s="50">
        <f t="shared" si="132"/>
        <v>0</v>
      </c>
      <c r="DS302" s="50">
        <f t="shared" si="132"/>
        <v>0</v>
      </c>
      <c r="DT302" s="50">
        <f t="shared" si="132"/>
        <v>0</v>
      </c>
      <c r="DU302" s="50">
        <f t="shared" si="133"/>
        <v>0</v>
      </c>
      <c r="DV302" s="50">
        <f t="shared" si="133"/>
        <v>0</v>
      </c>
      <c r="DW302" s="50">
        <f t="shared" si="133"/>
        <v>0</v>
      </c>
      <c r="DX302" s="50">
        <f t="shared" si="133"/>
        <v>0</v>
      </c>
      <c r="DY302" s="50">
        <f t="shared" si="133"/>
        <v>0</v>
      </c>
      <c r="DZ302" s="50">
        <f t="shared" si="133"/>
        <v>0</v>
      </c>
      <c r="EA302" s="50">
        <f t="shared" si="133"/>
        <v>0</v>
      </c>
      <c r="EB302" s="50">
        <f t="shared" si="133"/>
        <v>0</v>
      </c>
      <c r="EC302" s="50">
        <f t="shared" si="133"/>
        <v>0</v>
      </c>
      <c r="ED302" s="50">
        <f t="shared" si="133"/>
        <v>0</v>
      </c>
      <c r="EE302" s="50">
        <f t="shared" si="134"/>
        <v>0</v>
      </c>
      <c r="EF302" s="50">
        <f t="shared" si="134"/>
        <v>0</v>
      </c>
      <c r="EG302" s="50">
        <f t="shared" si="134"/>
        <v>0</v>
      </c>
      <c r="EH302" s="50">
        <f t="shared" si="134"/>
        <v>0</v>
      </c>
      <c r="EI302" s="50">
        <f t="shared" si="134"/>
        <v>0</v>
      </c>
      <c r="EJ302" s="50">
        <f t="shared" si="134"/>
        <v>0</v>
      </c>
      <c r="EK302" s="50">
        <f t="shared" si="134"/>
        <v>0</v>
      </c>
      <c r="EL302" s="50">
        <f t="shared" si="134"/>
        <v>0</v>
      </c>
      <c r="EM302" s="50">
        <f t="shared" si="134"/>
        <v>0</v>
      </c>
      <c r="EN302" s="50">
        <f t="shared" si="134"/>
        <v>0</v>
      </c>
      <c r="EO302" s="39">
        <v>51</v>
      </c>
      <c r="EP302" s="39">
        <v>51</v>
      </c>
      <c r="EQ302" s="39">
        <v>51</v>
      </c>
      <c r="ER302" s="39">
        <v>51</v>
      </c>
      <c r="ES302" s="39">
        <v>51</v>
      </c>
      <c r="ET302" s="39">
        <v>51</v>
      </c>
      <c r="EU302" s="39">
        <v>51</v>
      </c>
      <c r="EV302" s="39">
        <v>51</v>
      </c>
      <c r="EW302" s="39">
        <v>51</v>
      </c>
      <c r="EX302" s="39">
        <v>51</v>
      </c>
    </row>
    <row r="303" spans="1:154" ht="12" customHeight="1" x14ac:dyDescent="0.35">
      <c r="A303" s="67">
        <v>26</v>
      </c>
      <c r="B303" s="1438">
        <f t="shared" si="108"/>
        <v>790</v>
      </c>
      <c r="C303" s="1440">
        <v>26</v>
      </c>
      <c r="D303" s="82"/>
      <c r="E303" s="82"/>
      <c r="F303" s="82"/>
      <c r="G303" s="1448"/>
      <c r="H303" s="1448"/>
      <c r="I303" s="1448"/>
      <c r="J303" s="1448"/>
      <c r="K303" s="1617"/>
      <c r="L303" s="1617"/>
      <c r="M303" s="1617"/>
      <c r="N303" s="1618"/>
      <c r="O303" s="1618"/>
      <c r="P303" s="1662"/>
      <c r="Q303" s="1620"/>
      <c r="R303" s="1620"/>
      <c r="S303" s="1667"/>
      <c r="T303" s="27"/>
      <c r="U303" s="1621"/>
      <c r="V303" s="1621"/>
      <c r="W303" s="1621"/>
      <c r="X303" s="381">
        <f>Input!M241</f>
        <v>15</v>
      </c>
      <c r="Y303" s="1646">
        <f t="shared" si="123"/>
        <v>0</v>
      </c>
      <c r="Z303" s="1646">
        <f t="shared" si="123"/>
        <v>0</v>
      </c>
      <c r="AA303" s="1646">
        <f t="shared" si="123"/>
        <v>0</v>
      </c>
      <c r="AB303" s="1646">
        <f t="shared" si="123"/>
        <v>0</v>
      </c>
      <c r="AC303" s="1646">
        <f t="shared" si="123"/>
        <v>0</v>
      </c>
      <c r="AD303" s="1646">
        <f t="shared" si="123"/>
        <v>0</v>
      </c>
      <c r="AE303" s="1646">
        <f t="shared" si="123"/>
        <v>0</v>
      </c>
      <c r="AF303" s="1155">
        <f t="shared" si="123"/>
        <v>0</v>
      </c>
      <c r="AG303" s="1155">
        <f t="shared" si="123"/>
        <v>0</v>
      </c>
      <c r="AH303" s="1155">
        <f t="shared" si="123"/>
        <v>0</v>
      </c>
      <c r="AI303" s="1155">
        <f t="shared" si="124"/>
        <v>0</v>
      </c>
      <c r="AJ303" s="1155">
        <f t="shared" si="124"/>
        <v>0</v>
      </c>
      <c r="AK303" s="1155">
        <f t="shared" si="124"/>
        <v>0</v>
      </c>
      <c r="AL303" s="1155">
        <f t="shared" si="124"/>
        <v>0</v>
      </c>
      <c r="AM303" s="1155">
        <f t="shared" si="124"/>
        <v>0</v>
      </c>
      <c r="AN303" s="1155">
        <f t="shared" si="124"/>
        <v>0</v>
      </c>
      <c r="AO303" s="1155">
        <f t="shared" si="124"/>
        <v>0</v>
      </c>
      <c r="AP303" s="1155">
        <f t="shared" si="124"/>
        <v>0</v>
      </c>
      <c r="AQ303" s="1155">
        <f t="shared" si="124"/>
        <v>0</v>
      </c>
      <c r="AR303" s="1155">
        <f t="shared" si="124"/>
        <v>0</v>
      </c>
      <c r="AS303" s="1155">
        <f t="shared" si="125"/>
        <v>0</v>
      </c>
      <c r="AT303" s="1155">
        <f t="shared" si="125"/>
        <v>0</v>
      </c>
      <c r="AU303" s="1155">
        <f t="shared" si="125"/>
        <v>0</v>
      </c>
      <c r="AV303" s="1155">
        <f t="shared" si="125"/>
        <v>0</v>
      </c>
      <c r="AW303" s="1155">
        <f t="shared" si="125"/>
        <v>0</v>
      </c>
      <c r="AX303" s="1155">
        <f t="shared" si="125"/>
        <v>0</v>
      </c>
      <c r="AY303" s="1155">
        <f t="shared" si="125"/>
        <v>0</v>
      </c>
      <c r="AZ303" s="1155">
        <f t="shared" si="125"/>
        <v>0</v>
      </c>
      <c r="BA303" s="1155">
        <f t="shared" si="125"/>
        <v>0</v>
      </c>
      <c r="BB303" s="1155">
        <f t="shared" si="125"/>
        <v>0</v>
      </c>
      <c r="BC303" s="1155">
        <f t="shared" si="126"/>
        <v>0</v>
      </c>
      <c r="BD303" s="1155">
        <f t="shared" si="126"/>
        <v>0</v>
      </c>
      <c r="BE303" s="1155">
        <f t="shared" si="126"/>
        <v>0</v>
      </c>
      <c r="BF303" s="1155">
        <f t="shared" si="126"/>
        <v>0</v>
      </c>
      <c r="BG303" s="1155">
        <f t="shared" si="126"/>
        <v>0</v>
      </c>
      <c r="BH303" s="1155">
        <f t="shared" si="126"/>
        <v>0</v>
      </c>
      <c r="BI303" s="1155">
        <f t="shared" si="126"/>
        <v>0</v>
      </c>
      <c r="BJ303" s="1155">
        <f t="shared" si="126"/>
        <v>0</v>
      </c>
      <c r="BK303" s="1155">
        <f t="shared" si="126"/>
        <v>0</v>
      </c>
      <c r="BL303" s="1155">
        <f t="shared" si="126"/>
        <v>0</v>
      </c>
      <c r="BM303" s="1155">
        <f t="shared" si="127"/>
        <v>0</v>
      </c>
      <c r="BN303" s="1155">
        <f t="shared" si="127"/>
        <v>0</v>
      </c>
      <c r="BO303" s="1155">
        <f t="shared" si="127"/>
        <v>0</v>
      </c>
      <c r="BP303" s="1155">
        <f t="shared" si="127"/>
        <v>0</v>
      </c>
      <c r="BQ303" s="1155">
        <f t="shared" si="127"/>
        <v>0</v>
      </c>
      <c r="BR303" s="1155">
        <f t="shared" si="127"/>
        <v>0</v>
      </c>
      <c r="BS303" s="1155">
        <f t="shared" si="127"/>
        <v>0</v>
      </c>
      <c r="BT303" s="1155">
        <f t="shared" si="127"/>
        <v>0</v>
      </c>
      <c r="BU303" s="1155">
        <f t="shared" si="127"/>
        <v>0</v>
      </c>
      <c r="BV303" s="1155">
        <f t="shared" si="127"/>
        <v>0</v>
      </c>
      <c r="BW303" s="1155">
        <f t="shared" si="128"/>
        <v>0</v>
      </c>
      <c r="BX303" s="1457">
        <f t="shared" si="128"/>
        <v>0</v>
      </c>
      <c r="BY303" s="1457">
        <f t="shared" si="128"/>
        <v>0</v>
      </c>
      <c r="BZ303" s="1162">
        <f t="shared" si="128"/>
        <v>0</v>
      </c>
      <c r="CA303" s="1162">
        <f t="shared" si="128"/>
        <v>0</v>
      </c>
      <c r="CB303" s="1162">
        <f t="shared" si="128"/>
        <v>0</v>
      </c>
      <c r="CC303" s="1162">
        <f t="shared" si="128"/>
        <v>0</v>
      </c>
      <c r="CD303" s="1162">
        <f t="shared" si="128"/>
        <v>0</v>
      </c>
      <c r="CE303" s="1162">
        <f t="shared" si="128"/>
        <v>0</v>
      </c>
      <c r="CF303" s="1162">
        <f t="shared" si="128"/>
        <v>0</v>
      </c>
      <c r="CG303" s="1162">
        <f t="shared" si="129"/>
        <v>0</v>
      </c>
      <c r="CH303" s="1162">
        <f t="shared" si="129"/>
        <v>0</v>
      </c>
      <c r="CI303" s="1162">
        <f t="shared" si="129"/>
        <v>0</v>
      </c>
      <c r="CJ303" s="1162">
        <f t="shared" si="129"/>
        <v>0</v>
      </c>
      <c r="CK303" s="1162">
        <f t="shared" si="129"/>
        <v>0</v>
      </c>
      <c r="CL303" s="1162">
        <f t="shared" si="129"/>
        <v>0</v>
      </c>
      <c r="CM303" s="1162">
        <f t="shared" si="129"/>
        <v>0</v>
      </c>
      <c r="CN303" s="1162">
        <f t="shared" si="129"/>
        <v>0</v>
      </c>
      <c r="CO303" s="1162">
        <f t="shared" si="129"/>
        <v>0</v>
      </c>
      <c r="CP303" s="1162">
        <f t="shared" si="129"/>
        <v>0</v>
      </c>
      <c r="CQ303" s="48">
        <f t="shared" si="130"/>
        <v>0</v>
      </c>
      <c r="CR303" s="48">
        <f t="shared" si="130"/>
        <v>0</v>
      </c>
      <c r="CS303" s="48">
        <f t="shared" si="130"/>
        <v>0</v>
      </c>
      <c r="CT303" s="48">
        <f t="shared" si="130"/>
        <v>0</v>
      </c>
      <c r="CU303" s="48">
        <f t="shared" si="130"/>
        <v>0</v>
      </c>
      <c r="CV303" s="48">
        <f t="shared" si="130"/>
        <v>0</v>
      </c>
      <c r="CW303" s="48">
        <f t="shared" si="130"/>
        <v>0</v>
      </c>
      <c r="CX303" s="48">
        <f t="shared" si="130"/>
        <v>0</v>
      </c>
      <c r="CY303" s="48">
        <f t="shared" si="130"/>
        <v>0</v>
      </c>
      <c r="CZ303" s="48">
        <f t="shared" si="130"/>
        <v>0</v>
      </c>
      <c r="DA303" s="48">
        <f t="shared" si="131"/>
        <v>0</v>
      </c>
      <c r="DB303" s="48">
        <f t="shared" si="131"/>
        <v>0</v>
      </c>
      <c r="DC303" s="48">
        <f t="shared" si="131"/>
        <v>0</v>
      </c>
      <c r="DD303" s="48">
        <f t="shared" si="131"/>
        <v>0</v>
      </c>
      <c r="DE303" s="48">
        <f t="shared" si="131"/>
        <v>0</v>
      </c>
      <c r="DF303" s="48">
        <f t="shared" si="131"/>
        <v>0</v>
      </c>
      <c r="DG303" s="48">
        <f t="shared" si="131"/>
        <v>0</v>
      </c>
      <c r="DH303" s="48">
        <f t="shared" si="131"/>
        <v>0</v>
      </c>
      <c r="DI303" s="48">
        <f t="shared" si="131"/>
        <v>0</v>
      </c>
      <c r="DJ303" s="48">
        <f t="shared" si="131"/>
        <v>0</v>
      </c>
      <c r="DK303" s="48">
        <f t="shared" si="132"/>
        <v>0</v>
      </c>
      <c r="DL303" s="48">
        <f t="shared" si="132"/>
        <v>0</v>
      </c>
      <c r="DM303" s="48">
        <f t="shared" si="132"/>
        <v>0</v>
      </c>
      <c r="DN303" s="48">
        <f t="shared" si="132"/>
        <v>0</v>
      </c>
      <c r="DO303" s="48">
        <f t="shared" si="132"/>
        <v>0</v>
      </c>
      <c r="DP303" s="48">
        <f t="shared" si="132"/>
        <v>0</v>
      </c>
      <c r="DQ303" s="48">
        <f t="shared" si="132"/>
        <v>0</v>
      </c>
      <c r="DR303" s="50">
        <f t="shared" si="132"/>
        <v>0</v>
      </c>
      <c r="DS303" s="50">
        <f t="shared" si="132"/>
        <v>0</v>
      </c>
      <c r="DT303" s="50">
        <f t="shared" si="132"/>
        <v>0</v>
      </c>
      <c r="DU303" s="50">
        <f t="shared" si="133"/>
        <v>0</v>
      </c>
      <c r="DV303" s="50">
        <f t="shared" si="133"/>
        <v>0</v>
      </c>
      <c r="DW303" s="50">
        <f t="shared" si="133"/>
        <v>0</v>
      </c>
      <c r="DX303" s="50">
        <f t="shared" si="133"/>
        <v>0</v>
      </c>
      <c r="DY303" s="50">
        <f t="shared" si="133"/>
        <v>0</v>
      </c>
      <c r="DZ303" s="50">
        <f t="shared" si="133"/>
        <v>0</v>
      </c>
      <c r="EA303" s="50">
        <f t="shared" si="133"/>
        <v>0</v>
      </c>
      <c r="EB303" s="50">
        <f t="shared" si="133"/>
        <v>0</v>
      </c>
      <c r="EC303" s="50">
        <f t="shared" si="133"/>
        <v>0</v>
      </c>
      <c r="ED303" s="50">
        <f t="shared" si="133"/>
        <v>0</v>
      </c>
      <c r="EE303" s="50">
        <f t="shared" si="134"/>
        <v>0</v>
      </c>
      <c r="EF303" s="50">
        <f t="shared" si="134"/>
        <v>0</v>
      </c>
      <c r="EG303" s="50">
        <f t="shared" si="134"/>
        <v>0</v>
      </c>
      <c r="EH303" s="50">
        <f t="shared" si="134"/>
        <v>0</v>
      </c>
      <c r="EI303" s="50">
        <f t="shared" si="134"/>
        <v>0</v>
      </c>
      <c r="EJ303" s="50">
        <f t="shared" si="134"/>
        <v>0</v>
      </c>
      <c r="EK303" s="50">
        <f t="shared" si="134"/>
        <v>0</v>
      </c>
      <c r="EL303" s="50">
        <f t="shared" si="134"/>
        <v>0</v>
      </c>
      <c r="EM303" s="50">
        <f t="shared" si="134"/>
        <v>0</v>
      </c>
      <c r="EN303" s="50">
        <f t="shared" si="134"/>
        <v>0</v>
      </c>
      <c r="EO303" s="39">
        <v>51</v>
      </c>
      <c r="EP303" s="39">
        <v>51</v>
      </c>
      <c r="EQ303" s="39">
        <v>51</v>
      </c>
      <c r="ER303" s="39">
        <v>51</v>
      </c>
      <c r="ES303" s="39">
        <v>51</v>
      </c>
      <c r="ET303" s="39">
        <v>51</v>
      </c>
      <c r="EU303" s="39">
        <v>51</v>
      </c>
      <c r="EV303" s="39">
        <v>51</v>
      </c>
      <c r="EW303" s="39">
        <v>51</v>
      </c>
      <c r="EX303" s="39">
        <v>51</v>
      </c>
    </row>
    <row r="304" spans="1:154" ht="12" customHeight="1" x14ac:dyDescent="0.35">
      <c r="A304" s="67">
        <v>27</v>
      </c>
      <c r="B304" s="1438">
        <f t="shared" si="108"/>
        <v>821</v>
      </c>
      <c r="C304" s="1440">
        <v>27</v>
      </c>
      <c r="D304" s="82"/>
      <c r="E304" s="82"/>
      <c r="F304" s="82"/>
      <c r="G304" s="1448"/>
      <c r="H304" s="1448"/>
      <c r="I304" s="1448"/>
      <c r="J304" s="1448"/>
      <c r="K304" s="1617"/>
      <c r="L304" s="1617"/>
      <c r="M304" s="1617"/>
      <c r="N304" s="1618"/>
      <c r="O304" s="1618"/>
      <c r="P304" s="1619"/>
      <c r="Q304" s="1620"/>
      <c r="R304" s="1620"/>
      <c r="S304" s="1667"/>
      <c r="T304" s="27"/>
      <c r="U304" s="1621"/>
      <c r="V304" s="1621"/>
      <c r="W304" s="1621"/>
      <c r="X304" s="381" t="s">
        <v>419</v>
      </c>
      <c r="Y304" s="1665">
        <f>SUM($Y301:Y303)</f>
        <v>0</v>
      </c>
      <c r="Z304" s="1665">
        <f t="shared" ref="Z304:AE304" si="135">SUM(Z301:Z303)</f>
        <v>0</v>
      </c>
      <c r="AA304" s="1665">
        <f t="shared" si="135"/>
        <v>0</v>
      </c>
      <c r="AB304" s="1665">
        <f t="shared" si="135"/>
        <v>0</v>
      </c>
      <c r="AC304" s="1665">
        <f t="shared" si="135"/>
        <v>0</v>
      </c>
      <c r="AD304" s="1665">
        <f t="shared" si="135"/>
        <v>0</v>
      </c>
      <c r="AE304" s="1665">
        <f t="shared" si="135"/>
        <v>0</v>
      </c>
      <c r="AF304" s="1666">
        <f t="shared" ref="AF304:BE304" si="136">SUM(AF301:AF303)</f>
        <v>0</v>
      </c>
      <c r="AG304" s="1666">
        <f t="shared" si="136"/>
        <v>0</v>
      </c>
      <c r="AH304" s="1666">
        <f t="shared" si="136"/>
        <v>0</v>
      </c>
      <c r="AI304" s="1666">
        <f t="shared" si="136"/>
        <v>0</v>
      </c>
      <c r="AJ304" s="1666">
        <f t="shared" si="136"/>
        <v>0</v>
      </c>
      <c r="AK304" s="1666">
        <f t="shared" si="136"/>
        <v>0</v>
      </c>
      <c r="AL304" s="1666">
        <f t="shared" si="136"/>
        <v>0</v>
      </c>
      <c r="AM304" s="1666">
        <f t="shared" si="136"/>
        <v>0</v>
      </c>
      <c r="AN304" s="1666">
        <f t="shared" si="136"/>
        <v>0</v>
      </c>
      <c r="AO304" s="1666">
        <f t="shared" si="136"/>
        <v>0</v>
      </c>
      <c r="AP304" s="1666">
        <f t="shared" si="136"/>
        <v>0</v>
      </c>
      <c r="AQ304" s="1666">
        <f t="shared" si="136"/>
        <v>0</v>
      </c>
      <c r="AR304" s="1666">
        <f t="shared" si="136"/>
        <v>0</v>
      </c>
      <c r="AS304" s="1666">
        <f t="shared" si="136"/>
        <v>0</v>
      </c>
      <c r="AT304" s="1666">
        <f t="shared" si="136"/>
        <v>0</v>
      </c>
      <c r="AU304" s="1666">
        <f t="shared" si="136"/>
        <v>0</v>
      </c>
      <c r="AV304" s="1666">
        <f t="shared" si="136"/>
        <v>0</v>
      </c>
      <c r="AW304" s="1666">
        <f t="shared" si="136"/>
        <v>0</v>
      </c>
      <c r="AX304" s="1666">
        <f t="shared" si="136"/>
        <v>0</v>
      </c>
      <c r="AY304" s="1666">
        <f t="shared" si="136"/>
        <v>0</v>
      </c>
      <c r="AZ304" s="1666">
        <f t="shared" si="136"/>
        <v>0</v>
      </c>
      <c r="BA304" s="1666">
        <f t="shared" si="136"/>
        <v>0</v>
      </c>
      <c r="BB304" s="1666">
        <f t="shared" si="136"/>
        <v>0</v>
      </c>
      <c r="BC304" s="1666">
        <f t="shared" si="136"/>
        <v>0</v>
      </c>
      <c r="BD304" s="1666">
        <f t="shared" si="136"/>
        <v>0</v>
      </c>
      <c r="BE304" s="1666">
        <f t="shared" si="136"/>
        <v>0</v>
      </c>
      <c r="BF304" s="1666">
        <f t="shared" ref="BF304:CK304" si="137">SUM(BF301:BF303)</f>
        <v>0</v>
      </c>
      <c r="BG304" s="1666">
        <f t="shared" si="137"/>
        <v>0</v>
      </c>
      <c r="BH304" s="1666">
        <f t="shared" si="137"/>
        <v>0</v>
      </c>
      <c r="BI304" s="1666">
        <f t="shared" si="137"/>
        <v>0</v>
      </c>
      <c r="BJ304" s="1666">
        <f t="shared" si="137"/>
        <v>0</v>
      </c>
      <c r="BK304" s="1666">
        <f t="shared" si="137"/>
        <v>0</v>
      </c>
      <c r="BL304" s="1666">
        <f t="shared" si="137"/>
        <v>0</v>
      </c>
      <c r="BM304" s="1666">
        <f t="shared" si="137"/>
        <v>0</v>
      </c>
      <c r="BN304" s="1666">
        <f t="shared" si="137"/>
        <v>0</v>
      </c>
      <c r="BO304" s="1666">
        <f t="shared" si="137"/>
        <v>0</v>
      </c>
      <c r="BP304" s="1666">
        <f t="shared" si="137"/>
        <v>0</v>
      </c>
      <c r="BQ304" s="1666">
        <f t="shared" si="137"/>
        <v>0</v>
      </c>
      <c r="BR304" s="1666">
        <f t="shared" si="137"/>
        <v>0</v>
      </c>
      <c r="BS304" s="1666">
        <f t="shared" si="137"/>
        <v>0</v>
      </c>
      <c r="BT304" s="1666">
        <f t="shared" si="137"/>
        <v>0</v>
      </c>
      <c r="BU304" s="1666">
        <f t="shared" si="137"/>
        <v>0</v>
      </c>
      <c r="BV304" s="1666">
        <f t="shared" si="137"/>
        <v>0</v>
      </c>
      <c r="BW304" s="1666">
        <f t="shared" si="137"/>
        <v>0</v>
      </c>
      <c r="BX304" s="1460">
        <f t="shared" si="137"/>
        <v>0</v>
      </c>
      <c r="BY304" s="1460">
        <f t="shared" si="137"/>
        <v>0</v>
      </c>
      <c r="BZ304" s="1163">
        <f t="shared" si="137"/>
        <v>0</v>
      </c>
      <c r="CA304" s="1163">
        <f t="shared" si="137"/>
        <v>0</v>
      </c>
      <c r="CB304" s="1163">
        <f t="shared" si="137"/>
        <v>0</v>
      </c>
      <c r="CC304" s="1163">
        <f t="shared" si="137"/>
        <v>0</v>
      </c>
      <c r="CD304" s="1163">
        <f t="shared" si="137"/>
        <v>0</v>
      </c>
      <c r="CE304" s="1163">
        <f t="shared" si="137"/>
        <v>0</v>
      </c>
      <c r="CF304" s="1163">
        <f t="shared" si="137"/>
        <v>0</v>
      </c>
      <c r="CG304" s="1163">
        <f t="shared" si="137"/>
        <v>0</v>
      </c>
      <c r="CH304" s="1163">
        <f t="shared" si="137"/>
        <v>0</v>
      </c>
      <c r="CI304" s="1163">
        <f t="shared" si="137"/>
        <v>0</v>
      </c>
      <c r="CJ304" s="1163">
        <f t="shared" si="137"/>
        <v>0</v>
      </c>
      <c r="CK304" s="1163">
        <f t="shared" si="137"/>
        <v>0</v>
      </c>
      <c r="CL304" s="1163">
        <f t="shared" ref="CL304:DQ304" si="138">SUM(CL301:CL303)</f>
        <v>0</v>
      </c>
      <c r="CM304" s="1163">
        <f t="shared" si="138"/>
        <v>0</v>
      </c>
      <c r="CN304" s="1163">
        <f t="shared" si="138"/>
        <v>0</v>
      </c>
      <c r="CO304" s="1163">
        <f t="shared" si="138"/>
        <v>0</v>
      </c>
      <c r="CP304" s="1163">
        <f t="shared" si="138"/>
        <v>0</v>
      </c>
      <c r="CQ304" s="1120">
        <f t="shared" si="138"/>
        <v>0</v>
      </c>
      <c r="CR304" s="1120">
        <f t="shared" si="138"/>
        <v>0</v>
      </c>
      <c r="CS304" s="1120">
        <f t="shared" si="138"/>
        <v>0</v>
      </c>
      <c r="CT304" s="1120">
        <f t="shared" si="138"/>
        <v>0</v>
      </c>
      <c r="CU304" s="1120">
        <f t="shared" si="138"/>
        <v>0</v>
      </c>
      <c r="CV304" s="1120">
        <f t="shared" si="138"/>
        <v>0</v>
      </c>
      <c r="CW304" s="1120">
        <f t="shared" si="138"/>
        <v>0</v>
      </c>
      <c r="CX304" s="1120">
        <f t="shared" si="138"/>
        <v>0</v>
      </c>
      <c r="CY304" s="1120">
        <f t="shared" si="138"/>
        <v>0</v>
      </c>
      <c r="CZ304" s="1120">
        <f t="shared" si="138"/>
        <v>0</v>
      </c>
      <c r="DA304" s="1120">
        <f t="shared" si="138"/>
        <v>0</v>
      </c>
      <c r="DB304" s="1120">
        <f t="shared" si="138"/>
        <v>0</v>
      </c>
      <c r="DC304" s="1120">
        <f t="shared" si="138"/>
        <v>0</v>
      </c>
      <c r="DD304" s="1120">
        <f t="shared" si="138"/>
        <v>0</v>
      </c>
      <c r="DE304" s="1120">
        <f t="shared" si="138"/>
        <v>0</v>
      </c>
      <c r="DF304" s="1120">
        <f t="shared" si="138"/>
        <v>0</v>
      </c>
      <c r="DG304" s="1120">
        <f t="shared" si="138"/>
        <v>0</v>
      </c>
      <c r="DH304" s="1120">
        <f t="shared" si="138"/>
        <v>0</v>
      </c>
      <c r="DI304" s="1120">
        <f t="shared" si="138"/>
        <v>0</v>
      </c>
      <c r="DJ304" s="1120">
        <f t="shared" si="138"/>
        <v>0</v>
      </c>
      <c r="DK304" s="1120">
        <f t="shared" si="138"/>
        <v>0</v>
      </c>
      <c r="DL304" s="1120">
        <f t="shared" si="138"/>
        <v>0</v>
      </c>
      <c r="DM304" s="1120">
        <f t="shared" si="138"/>
        <v>0</v>
      </c>
      <c r="DN304" s="1120">
        <f t="shared" si="138"/>
        <v>0</v>
      </c>
      <c r="DO304" s="1120">
        <f t="shared" si="138"/>
        <v>0</v>
      </c>
      <c r="DP304" s="1120">
        <f t="shared" si="138"/>
        <v>0</v>
      </c>
      <c r="DQ304" s="1120">
        <f t="shared" si="138"/>
        <v>0</v>
      </c>
      <c r="DR304" s="58">
        <f t="shared" ref="DR304:EN304" si="139">SUM(DR301:DR303)</f>
        <v>0</v>
      </c>
      <c r="DS304" s="58">
        <f t="shared" si="139"/>
        <v>0</v>
      </c>
      <c r="DT304" s="58">
        <f t="shared" si="139"/>
        <v>0</v>
      </c>
      <c r="DU304" s="58">
        <f t="shared" si="139"/>
        <v>0</v>
      </c>
      <c r="DV304" s="58">
        <f t="shared" si="139"/>
        <v>0</v>
      </c>
      <c r="DW304" s="58">
        <f t="shared" si="139"/>
        <v>0</v>
      </c>
      <c r="DX304" s="58">
        <f t="shared" si="139"/>
        <v>0</v>
      </c>
      <c r="DY304" s="58">
        <f t="shared" si="139"/>
        <v>0</v>
      </c>
      <c r="DZ304" s="58">
        <f t="shared" si="139"/>
        <v>0</v>
      </c>
      <c r="EA304" s="58">
        <f t="shared" si="139"/>
        <v>0</v>
      </c>
      <c r="EB304" s="58">
        <f t="shared" si="139"/>
        <v>0</v>
      </c>
      <c r="EC304" s="58">
        <f t="shared" si="139"/>
        <v>0</v>
      </c>
      <c r="ED304" s="58">
        <f t="shared" si="139"/>
        <v>0</v>
      </c>
      <c r="EE304" s="58">
        <f t="shared" si="139"/>
        <v>0</v>
      </c>
      <c r="EF304" s="58">
        <f t="shared" si="139"/>
        <v>0</v>
      </c>
      <c r="EG304" s="58">
        <f t="shared" si="139"/>
        <v>0</v>
      </c>
      <c r="EH304" s="58">
        <f t="shared" si="139"/>
        <v>0</v>
      </c>
      <c r="EI304" s="58">
        <f t="shared" si="139"/>
        <v>0</v>
      </c>
      <c r="EJ304" s="58">
        <f t="shared" si="139"/>
        <v>0</v>
      </c>
      <c r="EK304" s="58">
        <f t="shared" si="139"/>
        <v>0</v>
      </c>
      <c r="EL304" s="58">
        <f t="shared" si="139"/>
        <v>0</v>
      </c>
      <c r="EM304" s="58">
        <f t="shared" si="139"/>
        <v>0</v>
      </c>
      <c r="EN304" s="58">
        <f t="shared" si="139"/>
        <v>0</v>
      </c>
      <c r="EO304" s="39">
        <v>51</v>
      </c>
      <c r="EP304" s="39">
        <v>51</v>
      </c>
      <c r="EQ304" s="39">
        <v>51</v>
      </c>
      <c r="ER304" s="39">
        <v>51</v>
      </c>
      <c r="ES304" s="39">
        <v>51</v>
      </c>
      <c r="ET304" s="39">
        <v>51</v>
      </c>
      <c r="EU304" s="39">
        <v>51</v>
      </c>
      <c r="EV304" s="39">
        <v>51</v>
      </c>
      <c r="EW304" s="39">
        <v>51</v>
      </c>
      <c r="EX304" s="39">
        <v>51</v>
      </c>
    </row>
    <row r="305" spans="1:154" ht="12" customHeight="1" x14ac:dyDescent="0.35">
      <c r="A305" s="67">
        <v>28</v>
      </c>
      <c r="B305" s="1438">
        <f t="shared" si="108"/>
        <v>851</v>
      </c>
      <c r="C305" s="1440">
        <v>28</v>
      </c>
      <c r="D305" s="82"/>
      <c r="E305" s="82"/>
      <c r="F305" s="82"/>
      <c r="G305" s="1448"/>
      <c r="H305" s="1448"/>
      <c r="I305" s="1448"/>
      <c r="J305" s="1448"/>
      <c r="K305" s="1617"/>
      <c r="L305" s="1617"/>
      <c r="M305" s="1617"/>
      <c r="N305" s="1618"/>
      <c r="O305" s="1618"/>
      <c r="P305" s="1619"/>
      <c r="Q305" s="1620"/>
      <c r="R305" s="1620"/>
      <c r="S305" s="1667"/>
      <c r="T305" s="27"/>
      <c r="U305" s="1621"/>
      <c r="V305" s="1621"/>
      <c r="W305" s="1621"/>
      <c r="X305" s="381"/>
      <c r="Y305" s="1621"/>
      <c r="Z305" s="1621"/>
      <c r="AA305" s="1621"/>
      <c r="AB305" s="1621"/>
      <c r="AC305" s="1621"/>
      <c r="AD305" s="1621"/>
      <c r="AE305" s="1621"/>
      <c r="AF305" s="381"/>
      <c r="AG305" s="381"/>
      <c r="AH305" s="381"/>
      <c r="AI305" s="381"/>
      <c r="AJ305" s="381"/>
      <c r="AK305" s="381"/>
      <c r="AL305" s="381"/>
      <c r="AM305" s="381"/>
      <c r="AN305" s="381"/>
      <c r="AO305" s="381"/>
      <c r="AP305" s="381"/>
      <c r="AQ305" s="381"/>
      <c r="AR305" s="381"/>
      <c r="AS305" s="381"/>
      <c r="AT305" s="381"/>
      <c r="AU305" s="381"/>
      <c r="AV305" s="381"/>
      <c r="AW305" s="381"/>
      <c r="AX305" s="381"/>
      <c r="AY305" s="381"/>
      <c r="AZ305" s="381"/>
      <c r="BA305" s="381"/>
      <c r="BB305" s="381"/>
      <c r="BC305" s="381"/>
      <c r="BD305" s="381"/>
      <c r="BE305" s="381"/>
      <c r="BF305" s="381"/>
      <c r="BG305" s="381"/>
      <c r="BH305" s="381"/>
      <c r="BI305" s="381"/>
      <c r="BJ305" s="381"/>
      <c r="BK305" s="381"/>
      <c r="BL305" s="381"/>
      <c r="BM305" s="381"/>
      <c r="BN305" s="381"/>
      <c r="BO305" s="381"/>
      <c r="BP305" s="381"/>
      <c r="BQ305" s="381"/>
      <c r="BR305" s="381"/>
      <c r="BS305" s="381"/>
      <c r="BT305" s="381"/>
      <c r="BU305" s="381"/>
      <c r="BV305" s="381"/>
      <c r="BW305" s="381"/>
      <c r="BX305" s="1454"/>
      <c r="BY305" s="1454"/>
      <c r="BZ305" s="53"/>
      <c r="CA305" s="53"/>
      <c r="CB305" s="53"/>
      <c r="CC305" s="53"/>
      <c r="CD305" s="53"/>
      <c r="CE305" s="53"/>
      <c r="CF305" s="53"/>
      <c r="CG305" s="53"/>
      <c r="CH305" s="53"/>
      <c r="CI305" s="53"/>
      <c r="CJ305" s="53"/>
      <c r="CK305" s="53"/>
      <c r="CL305" s="53"/>
      <c r="CM305" s="53"/>
      <c r="CN305" s="53"/>
      <c r="CO305" s="53"/>
      <c r="CP305" s="53"/>
      <c r="CQ305" s="47"/>
      <c r="CR305" s="47"/>
      <c r="CS305" s="47"/>
      <c r="CT305" s="47"/>
      <c r="CU305" s="47"/>
      <c r="CV305" s="47"/>
      <c r="CW305" s="47"/>
      <c r="CX305" s="47"/>
      <c r="CY305" s="47"/>
      <c r="CZ305" s="47"/>
      <c r="DA305" s="47"/>
      <c r="DB305" s="47"/>
      <c r="DC305" s="47"/>
      <c r="DD305" s="54"/>
      <c r="DE305" s="54"/>
      <c r="DF305" s="54"/>
      <c r="DG305" s="54"/>
      <c r="DH305" s="54"/>
      <c r="DI305" s="54"/>
      <c r="DJ305" s="54"/>
      <c r="DK305" s="54"/>
      <c r="DL305" s="54"/>
      <c r="DM305" s="54"/>
      <c r="DN305" s="54"/>
      <c r="DO305" s="54"/>
      <c r="DP305" s="54"/>
      <c r="DQ305" s="54"/>
      <c r="DR305" s="38"/>
      <c r="DS305" s="38"/>
      <c r="DT305" s="38"/>
      <c r="DU305" s="38"/>
      <c r="DV305" s="38"/>
      <c r="DW305" s="38"/>
      <c r="DX305" s="38"/>
      <c r="DY305" s="38"/>
      <c r="DZ305" s="38"/>
      <c r="EA305" s="38"/>
      <c r="EB305" s="38"/>
      <c r="EC305" s="38"/>
      <c r="ED305" s="38"/>
      <c r="EE305" s="38"/>
      <c r="EF305" s="38"/>
      <c r="EG305" s="38"/>
      <c r="EH305" s="38"/>
      <c r="EI305" s="38"/>
      <c r="EJ305" s="38"/>
      <c r="EK305" s="38"/>
      <c r="EL305" s="38"/>
      <c r="EM305" s="38"/>
      <c r="EN305" s="38"/>
      <c r="EO305" s="39">
        <v>51</v>
      </c>
      <c r="EP305" s="39">
        <v>51</v>
      </c>
      <c r="EQ305" s="39">
        <v>51</v>
      </c>
      <c r="ER305" s="39">
        <v>51</v>
      </c>
      <c r="ES305" s="39">
        <v>51</v>
      </c>
      <c r="ET305" s="39">
        <v>51</v>
      </c>
      <c r="EU305" s="39">
        <v>51</v>
      </c>
      <c r="EV305" s="39">
        <v>51</v>
      </c>
      <c r="EW305" s="39">
        <v>51</v>
      </c>
      <c r="EX305" s="39">
        <v>51</v>
      </c>
    </row>
    <row r="306" spans="1:154" ht="12" customHeight="1" x14ac:dyDescent="0.35">
      <c r="A306" s="67">
        <v>29</v>
      </c>
      <c r="B306" s="1438">
        <f t="shared" si="108"/>
        <v>882</v>
      </c>
      <c r="C306" s="1440">
        <v>29</v>
      </c>
      <c r="D306" s="82"/>
      <c r="E306" s="82"/>
      <c r="F306" s="82"/>
      <c r="G306" s="1448"/>
      <c r="H306" s="1448"/>
      <c r="I306" s="1448"/>
      <c r="J306" s="1448"/>
      <c r="K306" s="1617"/>
      <c r="L306" s="1617"/>
      <c r="M306" s="1617"/>
      <c r="N306" s="1618"/>
      <c r="O306" s="1618"/>
      <c r="P306" s="1662"/>
      <c r="Q306" s="1620"/>
      <c r="R306" s="1610"/>
      <c r="S306" s="1667"/>
      <c r="T306" s="27"/>
      <c r="U306" s="1621"/>
      <c r="V306" s="1621"/>
      <c r="W306" s="1621"/>
      <c r="X306" s="381"/>
      <c r="Y306" s="1621"/>
      <c r="Z306" s="1621"/>
      <c r="AA306" s="1621"/>
      <c r="AB306" s="1621"/>
      <c r="AC306" s="1621"/>
      <c r="AD306" s="1621"/>
      <c r="AE306" s="1621"/>
      <c r="AF306" s="381"/>
      <c r="AG306" s="381"/>
      <c r="AH306" s="381"/>
      <c r="AI306" s="381"/>
      <c r="AJ306" s="381"/>
      <c r="AK306" s="381"/>
      <c r="AL306" s="381"/>
      <c r="AM306" s="381"/>
      <c r="AN306" s="381"/>
      <c r="AO306" s="381"/>
      <c r="AP306" s="381"/>
      <c r="AQ306" s="381"/>
      <c r="AR306" s="381"/>
      <c r="AS306" s="381"/>
      <c r="AT306" s="381"/>
      <c r="AU306" s="381"/>
      <c r="AV306" s="381"/>
      <c r="AW306" s="381"/>
      <c r="AX306" s="381"/>
      <c r="AY306" s="381"/>
      <c r="AZ306" s="381"/>
      <c r="BA306" s="381"/>
      <c r="BB306" s="381"/>
      <c r="BC306" s="381"/>
      <c r="BD306" s="381"/>
      <c r="BE306" s="381"/>
      <c r="BF306" s="381"/>
      <c r="BG306" s="381"/>
      <c r="BH306" s="381"/>
      <c r="BI306" s="381"/>
      <c r="BJ306" s="381"/>
      <c r="BK306" s="381"/>
      <c r="BL306" s="381"/>
      <c r="BM306" s="381"/>
      <c r="BN306" s="381"/>
      <c r="BO306" s="381"/>
      <c r="BP306" s="381"/>
      <c r="BQ306" s="381"/>
      <c r="BR306" s="381"/>
      <c r="BS306" s="381"/>
      <c r="BT306" s="381"/>
      <c r="BU306" s="381"/>
      <c r="BV306" s="381"/>
      <c r="BW306" s="381"/>
      <c r="BX306" s="1454"/>
      <c r="BY306" s="1454"/>
      <c r="BZ306" s="53"/>
      <c r="CA306" s="53"/>
      <c r="CB306" s="53"/>
      <c r="CC306" s="53"/>
      <c r="CD306" s="53"/>
      <c r="CE306" s="53"/>
      <c r="CF306" s="53"/>
      <c r="CG306" s="53"/>
      <c r="CH306" s="53"/>
      <c r="CI306" s="53"/>
      <c r="CJ306" s="53"/>
      <c r="CK306" s="53"/>
      <c r="CL306" s="53"/>
      <c r="CM306" s="53"/>
      <c r="CN306" s="53"/>
      <c r="CO306" s="53"/>
      <c r="CP306" s="53"/>
      <c r="CQ306" s="47"/>
      <c r="CR306" s="47"/>
      <c r="CS306" s="47"/>
      <c r="CT306" s="47"/>
      <c r="CU306" s="47"/>
      <c r="CV306" s="47"/>
      <c r="CW306" s="47"/>
      <c r="CX306" s="47"/>
      <c r="CY306" s="47"/>
      <c r="CZ306" s="47"/>
      <c r="DA306" s="47"/>
      <c r="DB306" s="47"/>
      <c r="DC306" s="47"/>
      <c r="DD306" s="47"/>
      <c r="DE306" s="47"/>
      <c r="DF306" s="47"/>
      <c r="DG306" s="47"/>
      <c r="DH306" s="47"/>
      <c r="DI306" s="47"/>
      <c r="DJ306" s="47"/>
      <c r="DK306" s="47"/>
      <c r="DL306" s="47"/>
      <c r="DM306" s="47"/>
      <c r="DN306" s="47"/>
      <c r="DO306" s="47"/>
      <c r="DP306" s="47"/>
      <c r="DQ306" s="47"/>
      <c r="DR306" s="46"/>
      <c r="DS306" s="46"/>
      <c r="DT306" s="46"/>
      <c r="DU306" s="46"/>
      <c r="DV306" s="46"/>
      <c r="DW306" s="46"/>
      <c r="DX306" s="46"/>
      <c r="DY306" s="46"/>
      <c r="DZ306" s="46"/>
      <c r="EA306" s="46"/>
      <c r="EB306" s="46"/>
      <c r="EC306" s="46"/>
      <c r="ED306" s="46"/>
      <c r="EE306" s="46"/>
      <c r="EF306" s="46"/>
      <c r="EG306" s="46"/>
      <c r="EH306" s="46"/>
      <c r="EI306" s="46"/>
      <c r="EJ306" s="46"/>
      <c r="EK306" s="46"/>
      <c r="EL306" s="46"/>
      <c r="EM306" s="46"/>
      <c r="EN306" s="46"/>
      <c r="EO306" s="39">
        <v>51</v>
      </c>
      <c r="EP306" s="39">
        <v>51</v>
      </c>
      <c r="EQ306" s="39">
        <v>51</v>
      </c>
      <c r="ER306" s="39">
        <v>51</v>
      </c>
      <c r="ES306" s="39">
        <v>51</v>
      </c>
      <c r="ET306" s="39">
        <v>51</v>
      </c>
      <c r="EU306" s="39">
        <v>51</v>
      </c>
      <c r="EV306" s="39">
        <v>51</v>
      </c>
      <c r="EW306" s="39">
        <v>51</v>
      </c>
      <c r="EX306" s="39">
        <v>51</v>
      </c>
    </row>
    <row r="307" spans="1:154" ht="12" customHeight="1" x14ac:dyDescent="0.35">
      <c r="A307" s="67">
        <v>30</v>
      </c>
      <c r="B307" s="1438">
        <f t="shared" si="108"/>
        <v>912</v>
      </c>
      <c r="C307" s="1440">
        <v>30</v>
      </c>
      <c r="D307" s="82"/>
      <c r="E307" s="82"/>
      <c r="F307" s="82"/>
      <c r="G307" s="1448"/>
      <c r="H307" s="1448"/>
      <c r="I307" s="1448"/>
      <c r="J307" s="1448"/>
      <c r="K307" s="1617"/>
      <c r="L307" s="1617"/>
      <c r="M307" s="1617"/>
      <c r="N307" s="1618"/>
      <c r="O307" s="1618"/>
      <c r="P307" s="1662"/>
      <c r="Q307" s="1620"/>
      <c r="R307" s="1620"/>
      <c r="S307" s="1667"/>
      <c r="T307" s="27"/>
      <c r="U307" s="1621"/>
      <c r="V307" s="1621"/>
      <c r="W307" s="1621"/>
      <c r="X307" s="381"/>
      <c r="Y307" s="1621"/>
      <c r="Z307" s="1621"/>
      <c r="AA307" s="1621"/>
      <c r="AB307" s="1621"/>
      <c r="AC307" s="1621"/>
      <c r="AD307" s="1621"/>
      <c r="AE307" s="1621"/>
      <c r="AF307" s="381"/>
      <c r="AG307" s="381"/>
      <c r="AH307" s="381"/>
      <c r="AI307" s="381"/>
      <c r="AJ307" s="381"/>
      <c r="AK307" s="381"/>
      <c r="AL307" s="381"/>
      <c r="AM307" s="381"/>
      <c r="AN307" s="381"/>
      <c r="AO307" s="381"/>
      <c r="AP307" s="381"/>
      <c r="AQ307" s="381"/>
      <c r="AR307" s="381"/>
      <c r="AS307" s="381"/>
      <c r="AT307" s="381"/>
      <c r="AU307" s="381"/>
      <c r="AV307" s="381"/>
      <c r="AW307" s="381"/>
      <c r="AX307" s="381"/>
      <c r="AY307" s="381"/>
      <c r="AZ307" s="381"/>
      <c r="BA307" s="381"/>
      <c r="BB307" s="381"/>
      <c r="BC307" s="381"/>
      <c r="BD307" s="381"/>
      <c r="BE307" s="381"/>
      <c r="BF307" s="381"/>
      <c r="BG307" s="381"/>
      <c r="BH307" s="381"/>
      <c r="BI307" s="381"/>
      <c r="BJ307" s="381"/>
      <c r="BK307" s="381"/>
      <c r="BL307" s="381"/>
      <c r="BM307" s="381"/>
      <c r="BN307" s="381"/>
      <c r="BO307" s="381"/>
      <c r="BP307" s="381"/>
      <c r="BQ307" s="381"/>
      <c r="BR307" s="381"/>
      <c r="BS307" s="381"/>
      <c r="BT307" s="381"/>
      <c r="BU307" s="381"/>
      <c r="BV307" s="381"/>
      <c r="BW307" s="381"/>
      <c r="BX307" s="1454"/>
      <c r="BY307" s="1454"/>
      <c r="BZ307" s="53"/>
      <c r="CA307" s="53"/>
      <c r="CB307" s="53"/>
      <c r="CC307" s="53"/>
      <c r="CD307" s="53"/>
      <c r="CE307" s="53"/>
      <c r="CF307" s="53"/>
      <c r="CG307" s="53"/>
      <c r="CH307" s="53"/>
      <c r="CI307" s="53"/>
      <c r="CJ307" s="53"/>
      <c r="CK307" s="53"/>
      <c r="CL307" s="53"/>
      <c r="CM307" s="53"/>
      <c r="CN307" s="53"/>
      <c r="CO307" s="53"/>
      <c r="CP307" s="53"/>
      <c r="CQ307" s="47"/>
      <c r="CR307" s="47"/>
      <c r="CS307" s="47"/>
      <c r="CT307" s="47"/>
      <c r="CU307" s="47"/>
      <c r="CV307" s="47"/>
      <c r="CW307" s="47"/>
      <c r="CX307" s="47"/>
      <c r="CY307" s="47"/>
      <c r="CZ307" s="47"/>
      <c r="DA307" s="47"/>
      <c r="DB307" s="47"/>
      <c r="DC307" s="47"/>
      <c r="DD307" s="47"/>
      <c r="DE307" s="47"/>
      <c r="DF307" s="47"/>
      <c r="DG307" s="47"/>
      <c r="DH307" s="47"/>
      <c r="DI307" s="47"/>
      <c r="DJ307" s="47"/>
      <c r="DK307" s="47"/>
      <c r="DL307" s="47"/>
      <c r="DM307" s="47"/>
      <c r="DN307" s="47"/>
      <c r="DO307" s="47"/>
      <c r="DP307" s="47"/>
      <c r="DQ307" s="47"/>
      <c r="DR307" s="46"/>
      <c r="DS307" s="46"/>
      <c r="DT307" s="46"/>
      <c r="DU307" s="46"/>
      <c r="DV307" s="46"/>
      <c r="DW307" s="46"/>
      <c r="DX307" s="46"/>
      <c r="DY307" s="46"/>
      <c r="DZ307" s="46"/>
      <c r="EA307" s="46"/>
      <c r="EB307" s="46"/>
      <c r="EC307" s="46"/>
      <c r="ED307" s="46"/>
      <c r="EE307" s="46"/>
      <c r="EF307" s="46"/>
      <c r="EG307" s="46"/>
      <c r="EH307" s="46"/>
      <c r="EI307" s="46"/>
      <c r="EJ307" s="46"/>
      <c r="EK307" s="46"/>
      <c r="EL307" s="46"/>
      <c r="EM307" s="46"/>
      <c r="EN307" s="46"/>
      <c r="EO307" s="39">
        <v>51</v>
      </c>
      <c r="EP307" s="39">
        <v>51</v>
      </c>
      <c r="EQ307" s="39">
        <v>51</v>
      </c>
      <c r="ER307" s="39">
        <v>51</v>
      </c>
      <c r="ES307" s="39">
        <v>51</v>
      </c>
      <c r="ET307" s="39">
        <v>51</v>
      </c>
      <c r="EU307" s="39">
        <v>51</v>
      </c>
      <c r="EV307" s="39">
        <v>51</v>
      </c>
      <c r="EW307" s="39">
        <v>51</v>
      </c>
      <c r="EX307" s="39">
        <v>51</v>
      </c>
    </row>
    <row r="308" spans="1:154" ht="12" customHeight="1" x14ac:dyDescent="0.35">
      <c r="A308" s="67">
        <v>31</v>
      </c>
      <c r="B308" s="1438">
        <f t="shared" si="108"/>
        <v>943</v>
      </c>
      <c r="C308" s="1440">
        <v>31</v>
      </c>
      <c r="D308" s="82"/>
      <c r="E308" s="82"/>
      <c r="F308" s="82"/>
      <c r="G308" s="1448"/>
      <c r="H308" s="1448"/>
      <c r="I308" s="1448"/>
      <c r="J308" s="1448"/>
      <c r="K308" s="1617"/>
      <c r="L308" s="1617"/>
      <c r="M308" s="1617"/>
      <c r="N308" s="1618"/>
      <c r="O308" s="1618"/>
      <c r="P308" s="1662"/>
      <c r="Q308" s="1620"/>
      <c r="R308" s="1620"/>
      <c r="S308" s="1667"/>
      <c r="T308" s="27"/>
      <c r="U308" s="1621"/>
      <c r="V308" s="1621"/>
      <c r="W308" s="1621"/>
      <c r="X308" s="381"/>
      <c r="Y308" s="1621">
        <f>Y276</f>
        <v>1</v>
      </c>
      <c r="Z308" s="1621">
        <f t="shared" ref="Z308:CK308" si="140">Z276</f>
        <v>2</v>
      </c>
      <c r="AA308" s="1621">
        <f t="shared" si="140"/>
        <v>3</v>
      </c>
      <c r="AB308" s="1621">
        <f t="shared" si="140"/>
        <v>4</v>
      </c>
      <c r="AC308" s="1621">
        <f t="shared" si="140"/>
        <v>5</v>
      </c>
      <c r="AD308" s="1621">
        <f t="shared" si="140"/>
        <v>6</v>
      </c>
      <c r="AE308" s="1621">
        <f t="shared" si="140"/>
        <v>7</v>
      </c>
      <c r="AF308" s="1621">
        <f t="shared" si="140"/>
        <v>8</v>
      </c>
      <c r="AG308" s="1621">
        <f t="shared" si="140"/>
        <v>9</v>
      </c>
      <c r="AH308" s="1621">
        <f t="shared" si="140"/>
        <v>10</v>
      </c>
      <c r="AI308" s="1621">
        <f t="shared" si="140"/>
        <v>11</v>
      </c>
      <c r="AJ308" s="1621">
        <f t="shared" si="140"/>
        <v>12</v>
      </c>
      <c r="AK308" s="1621">
        <f t="shared" si="140"/>
        <v>13</v>
      </c>
      <c r="AL308" s="1621">
        <f t="shared" si="140"/>
        <v>14</v>
      </c>
      <c r="AM308" s="1621">
        <f t="shared" si="140"/>
        <v>15</v>
      </c>
      <c r="AN308" s="1621">
        <f t="shared" si="140"/>
        <v>16</v>
      </c>
      <c r="AO308" s="1621">
        <f t="shared" si="140"/>
        <v>17</v>
      </c>
      <c r="AP308" s="1621">
        <f t="shared" si="140"/>
        <v>18</v>
      </c>
      <c r="AQ308" s="1621">
        <f t="shared" si="140"/>
        <v>19</v>
      </c>
      <c r="AR308" s="1621">
        <f t="shared" si="140"/>
        <v>20</v>
      </c>
      <c r="AS308" s="1621">
        <f t="shared" si="140"/>
        <v>21</v>
      </c>
      <c r="AT308" s="1621">
        <f t="shared" si="140"/>
        <v>22</v>
      </c>
      <c r="AU308" s="1621">
        <f t="shared" si="140"/>
        <v>23</v>
      </c>
      <c r="AV308" s="1621">
        <f t="shared" si="140"/>
        <v>24</v>
      </c>
      <c r="AW308" s="1621">
        <f t="shared" si="140"/>
        <v>25</v>
      </c>
      <c r="AX308" s="1621">
        <f t="shared" si="140"/>
        <v>26</v>
      </c>
      <c r="AY308" s="1621">
        <f t="shared" si="140"/>
        <v>27</v>
      </c>
      <c r="AZ308" s="1621">
        <f t="shared" si="140"/>
        <v>28</v>
      </c>
      <c r="BA308" s="1621">
        <f t="shared" si="140"/>
        <v>29</v>
      </c>
      <c r="BB308" s="1621">
        <f t="shared" si="140"/>
        <v>30</v>
      </c>
      <c r="BC308" s="1621">
        <f t="shared" si="140"/>
        <v>31</v>
      </c>
      <c r="BD308" s="1621">
        <f t="shared" si="140"/>
        <v>32</v>
      </c>
      <c r="BE308" s="1621">
        <f t="shared" si="140"/>
        <v>33</v>
      </c>
      <c r="BF308" s="1621">
        <f t="shared" si="140"/>
        <v>34</v>
      </c>
      <c r="BG308" s="1621">
        <f t="shared" si="140"/>
        <v>35</v>
      </c>
      <c r="BH308" s="1621">
        <f t="shared" si="140"/>
        <v>36</v>
      </c>
      <c r="BI308" s="1621">
        <f t="shared" si="140"/>
        <v>37</v>
      </c>
      <c r="BJ308" s="1621">
        <f t="shared" si="140"/>
        <v>38</v>
      </c>
      <c r="BK308" s="1621">
        <f t="shared" si="140"/>
        <v>39</v>
      </c>
      <c r="BL308" s="1621">
        <f t="shared" si="140"/>
        <v>40</v>
      </c>
      <c r="BM308" s="1621">
        <f t="shared" si="140"/>
        <v>41</v>
      </c>
      <c r="BN308" s="1621">
        <f t="shared" si="140"/>
        <v>42</v>
      </c>
      <c r="BO308" s="1621">
        <f t="shared" si="140"/>
        <v>43</v>
      </c>
      <c r="BP308" s="1621">
        <f t="shared" si="140"/>
        <v>44</v>
      </c>
      <c r="BQ308" s="1621">
        <f t="shared" si="140"/>
        <v>45</v>
      </c>
      <c r="BR308" s="1621">
        <f t="shared" si="140"/>
        <v>46</v>
      </c>
      <c r="BS308" s="1621">
        <f t="shared" si="140"/>
        <v>47</v>
      </c>
      <c r="BT308" s="1621">
        <f t="shared" si="140"/>
        <v>48</v>
      </c>
      <c r="BU308" s="1621">
        <f t="shared" si="140"/>
        <v>49</v>
      </c>
      <c r="BV308" s="1621">
        <f t="shared" si="140"/>
        <v>50</v>
      </c>
      <c r="BW308" s="1621">
        <f t="shared" si="140"/>
        <v>51</v>
      </c>
      <c r="BX308" s="1451">
        <f t="shared" si="140"/>
        <v>52</v>
      </c>
      <c r="BY308" s="1451">
        <f t="shared" si="140"/>
        <v>53</v>
      </c>
      <c r="BZ308" s="1164">
        <f t="shared" si="140"/>
        <v>54</v>
      </c>
      <c r="CA308" s="1164">
        <f t="shared" si="140"/>
        <v>55</v>
      </c>
      <c r="CB308" s="1164">
        <f t="shared" si="140"/>
        <v>56</v>
      </c>
      <c r="CC308" s="1164">
        <f t="shared" si="140"/>
        <v>57</v>
      </c>
      <c r="CD308" s="1164">
        <f t="shared" si="140"/>
        <v>58</v>
      </c>
      <c r="CE308" s="1164">
        <f t="shared" si="140"/>
        <v>59</v>
      </c>
      <c r="CF308" s="1164">
        <f t="shared" si="140"/>
        <v>60</v>
      </c>
      <c r="CG308" s="1164">
        <f t="shared" si="140"/>
        <v>61</v>
      </c>
      <c r="CH308" s="1164">
        <f t="shared" si="140"/>
        <v>62</v>
      </c>
      <c r="CI308" s="1164">
        <f t="shared" si="140"/>
        <v>63</v>
      </c>
      <c r="CJ308" s="1164">
        <f t="shared" si="140"/>
        <v>64</v>
      </c>
      <c r="CK308" s="1164">
        <f t="shared" si="140"/>
        <v>65</v>
      </c>
      <c r="CL308" s="1164">
        <f t="shared" ref="CL308:EN308" si="141">CL276</f>
        <v>66</v>
      </c>
      <c r="CM308" s="1164">
        <f t="shared" si="141"/>
        <v>67</v>
      </c>
      <c r="CN308" s="1164">
        <f t="shared" si="141"/>
        <v>68</v>
      </c>
      <c r="CO308" s="1164">
        <f t="shared" si="141"/>
        <v>69</v>
      </c>
      <c r="CP308" s="1164">
        <f t="shared" si="141"/>
        <v>70</v>
      </c>
      <c r="CQ308" s="1164">
        <f t="shared" si="141"/>
        <v>71</v>
      </c>
      <c r="CR308" s="1164">
        <f t="shared" si="141"/>
        <v>72</v>
      </c>
      <c r="CS308" s="1164">
        <f t="shared" si="141"/>
        <v>73</v>
      </c>
      <c r="CT308" s="1164">
        <f t="shared" si="141"/>
        <v>74</v>
      </c>
      <c r="CU308" s="1164">
        <f t="shared" si="141"/>
        <v>75</v>
      </c>
      <c r="CV308" s="1164">
        <f t="shared" si="141"/>
        <v>76</v>
      </c>
      <c r="CW308" s="1164">
        <f t="shared" si="141"/>
        <v>77</v>
      </c>
      <c r="CX308" s="1164">
        <f t="shared" si="141"/>
        <v>78</v>
      </c>
      <c r="CY308" s="1164">
        <f t="shared" si="141"/>
        <v>79</v>
      </c>
      <c r="CZ308" s="1164">
        <f t="shared" si="141"/>
        <v>80</v>
      </c>
      <c r="DA308" s="1164">
        <f t="shared" si="141"/>
        <v>81</v>
      </c>
      <c r="DB308" s="1164">
        <f t="shared" si="141"/>
        <v>82</v>
      </c>
      <c r="DC308" s="1164">
        <f t="shared" si="141"/>
        <v>83</v>
      </c>
      <c r="DD308" s="1164">
        <f t="shared" si="141"/>
        <v>84</v>
      </c>
      <c r="DE308" s="1164">
        <f t="shared" si="141"/>
        <v>85</v>
      </c>
      <c r="DF308" s="1164">
        <f t="shared" si="141"/>
        <v>86</v>
      </c>
      <c r="DG308" s="1164">
        <f t="shared" si="141"/>
        <v>87</v>
      </c>
      <c r="DH308" s="1164">
        <f t="shared" si="141"/>
        <v>88</v>
      </c>
      <c r="DI308" s="1164">
        <f t="shared" si="141"/>
        <v>89</v>
      </c>
      <c r="DJ308" s="1164">
        <f t="shared" si="141"/>
        <v>90</v>
      </c>
      <c r="DK308" s="1164">
        <f t="shared" si="141"/>
        <v>91</v>
      </c>
      <c r="DL308" s="1164">
        <f t="shared" si="141"/>
        <v>92</v>
      </c>
      <c r="DM308" s="1164">
        <f t="shared" si="141"/>
        <v>93</v>
      </c>
      <c r="DN308" s="1164">
        <f t="shared" si="141"/>
        <v>94</v>
      </c>
      <c r="DO308" s="1164">
        <f t="shared" si="141"/>
        <v>95</v>
      </c>
      <c r="DP308" s="1164">
        <f t="shared" si="141"/>
        <v>96</v>
      </c>
      <c r="DQ308" s="1164">
        <f t="shared" si="141"/>
        <v>97</v>
      </c>
      <c r="DR308" s="1164">
        <f t="shared" si="141"/>
        <v>98</v>
      </c>
      <c r="DS308" s="1164">
        <f t="shared" si="141"/>
        <v>99</v>
      </c>
      <c r="DT308" s="1164">
        <f t="shared" si="141"/>
        <v>100</v>
      </c>
      <c r="DU308" s="1164">
        <f t="shared" si="141"/>
        <v>101</v>
      </c>
      <c r="DV308" s="1164">
        <f t="shared" si="141"/>
        <v>102</v>
      </c>
      <c r="DW308" s="1164">
        <f t="shared" si="141"/>
        <v>103</v>
      </c>
      <c r="DX308" s="1164">
        <f t="shared" si="141"/>
        <v>104</v>
      </c>
      <c r="DY308" s="1164">
        <f t="shared" si="141"/>
        <v>105</v>
      </c>
      <c r="DZ308" s="1164">
        <f t="shared" si="141"/>
        <v>106</v>
      </c>
      <c r="EA308" s="1164">
        <f t="shared" si="141"/>
        <v>107</v>
      </c>
      <c r="EB308" s="1164">
        <f t="shared" si="141"/>
        <v>108</v>
      </c>
      <c r="EC308" s="1164">
        <f t="shared" si="141"/>
        <v>109</v>
      </c>
      <c r="ED308" s="1164">
        <f t="shared" si="141"/>
        <v>110</v>
      </c>
      <c r="EE308" s="1164">
        <f t="shared" si="141"/>
        <v>111</v>
      </c>
      <c r="EF308" s="1164">
        <f t="shared" si="141"/>
        <v>112</v>
      </c>
      <c r="EG308" s="1164">
        <f t="shared" si="141"/>
        <v>113</v>
      </c>
      <c r="EH308" s="1164">
        <f t="shared" si="141"/>
        <v>114</v>
      </c>
      <c r="EI308" s="1164">
        <f t="shared" si="141"/>
        <v>115</v>
      </c>
      <c r="EJ308" s="1164">
        <f t="shared" si="141"/>
        <v>116</v>
      </c>
      <c r="EK308" s="1164">
        <f t="shared" si="141"/>
        <v>117</v>
      </c>
      <c r="EL308" s="1164">
        <f t="shared" si="141"/>
        <v>118</v>
      </c>
      <c r="EM308" s="1164">
        <f t="shared" si="141"/>
        <v>119</v>
      </c>
      <c r="EN308" s="1164">
        <f t="shared" si="141"/>
        <v>120</v>
      </c>
      <c r="EO308" s="39">
        <v>51</v>
      </c>
      <c r="EP308" s="39">
        <v>51</v>
      </c>
      <c r="EQ308" s="39">
        <v>51</v>
      </c>
      <c r="ER308" s="39">
        <v>51</v>
      </c>
      <c r="ES308" s="39">
        <v>51</v>
      </c>
      <c r="ET308" s="39">
        <v>51</v>
      </c>
      <c r="EU308" s="39">
        <v>51</v>
      </c>
      <c r="EV308" s="39">
        <v>51</v>
      </c>
      <c r="EW308" s="39">
        <v>51</v>
      </c>
      <c r="EX308" s="39">
        <v>51</v>
      </c>
    </row>
    <row r="309" spans="1:154" ht="12" customHeight="1" x14ac:dyDescent="0.35">
      <c r="A309" s="67">
        <v>32</v>
      </c>
      <c r="B309" s="1438">
        <f t="shared" si="108"/>
        <v>974</v>
      </c>
      <c r="C309" s="1440">
        <v>32</v>
      </c>
      <c r="D309" s="82"/>
      <c r="E309" s="82"/>
      <c r="F309" s="82"/>
      <c r="G309" s="1448"/>
      <c r="H309" s="1448"/>
      <c r="I309" s="1448"/>
      <c r="J309" s="1448"/>
      <c r="K309" s="1617"/>
      <c r="L309" s="1617"/>
      <c r="M309" s="1617"/>
      <c r="N309" s="1618"/>
      <c r="O309" s="1618"/>
      <c r="P309" s="1662"/>
      <c r="Q309" s="1620"/>
      <c r="R309" s="1620"/>
      <c r="S309" s="1667"/>
      <c r="T309" s="27"/>
      <c r="U309" s="1621"/>
      <c r="V309" s="1621"/>
      <c r="W309" s="1621"/>
      <c r="X309" s="32" t="s">
        <v>420</v>
      </c>
      <c r="Y309" s="59">
        <v>-10</v>
      </c>
      <c r="Z309" s="59">
        <v>-9</v>
      </c>
      <c r="AA309" s="59">
        <v>-8</v>
      </c>
      <c r="AB309" s="59">
        <v>-7</v>
      </c>
      <c r="AC309" s="59">
        <v>-6</v>
      </c>
      <c r="AD309" s="59">
        <v>-5</v>
      </c>
      <c r="AE309" s="59">
        <v>-4</v>
      </c>
      <c r="AF309" s="1148">
        <v>-3</v>
      </c>
      <c r="AG309" s="1148">
        <v>-2</v>
      </c>
      <c r="AH309" s="1148">
        <v>-1</v>
      </c>
      <c r="AI309" s="376"/>
      <c r="AJ309" s="376"/>
      <c r="AK309" s="376"/>
      <c r="AL309" s="376"/>
      <c r="AM309" s="376"/>
      <c r="AN309" s="376"/>
      <c r="AO309" s="376"/>
      <c r="AP309" s="376"/>
      <c r="AQ309" s="376"/>
      <c r="AR309" s="376"/>
      <c r="AS309" s="376"/>
      <c r="AT309" s="376"/>
      <c r="AU309" s="376"/>
      <c r="AV309" s="376"/>
      <c r="AW309" s="376"/>
      <c r="AX309" s="376"/>
      <c r="AY309" s="376"/>
      <c r="AZ309" s="376"/>
      <c r="BA309" s="376"/>
      <c r="BB309" s="376"/>
      <c r="BC309" s="376"/>
      <c r="BD309" s="376"/>
      <c r="BE309" s="376"/>
      <c r="BF309" s="376"/>
      <c r="BG309" s="376"/>
      <c r="BH309" s="376"/>
      <c r="BI309" s="376"/>
      <c r="BJ309" s="376"/>
      <c r="BK309" s="376"/>
      <c r="BL309" s="376"/>
      <c r="BM309" s="376"/>
      <c r="BN309" s="376"/>
      <c r="BO309" s="376"/>
      <c r="BP309" s="376"/>
      <c r="BQ309" s="376"/>
      <c r="BR309" s="376"/>
      <c r="BS309" s="376"/>
      <c r="BT309" s="376"/>
      <c r="BU309" s="376"/>
      <c r="BV309" s="376"/>
      <c r="BW309" s="376"/>
      <c r="BX309" s="144"/>
      <c r="BY309" s="144"/>
      <c r="BZ309" s="1141"/>
      <c r="CA309" s="1141"/>
      <c r="CB309" s="1141"/>
      <c r="CC309" s="1141"/>
      <c r="CD309" s="1141"/>
      <c r="CE309" s="1141"/>
      <c r="CF309" s="1141"/>
      <c r="CG309" s="1141"/>
      <c r="CH309" s="1141"/>
      <c r="CI309" s="1141"/>
      <c r="CJ309" s="1141"/>
      <c r="CK309" s="1141"/>
      <c r="CL309" s="1141"/>
      <c r="CM309" s="1141"/>
      <c r="CN309" s="1141"/>
      <c r="CO309" s="1141"/>
      <c r="CP309" s="1141"/>
      <c r="CQ309" s="1117">
        <v>1</v>
      </c>
      <c r="CR309" s="1117">
        <v>2</v>
      </c>
      <c r="CS309" s="1117">
        <v>3</v>
      </c>
      <c r="CT309" s="1117">
        <v>4</v>
      </c>
      <c r="CU309" s="1117">
        <v>5</v>
      </c>
      <c r="CV309" s="1117">
        <v>6</v>
      </c>
      <c r="CW309" s="1117">
        <v>7</v>
      </c>
      <c r="CX309" s="1117">
        <v>8</v>
      </c>
      <c r="CY309" s="1117">
        <v>9</v>
      </c>
      <c r="CZ309" s="1117">
        <v>10</v>
      </c>
      <c r="DA309" s="1117">
        <v>11</v>
      </c>
      <c r="DB309" s="1117">
        <v>12</v>
      </c>
      <c r="DC309" s="1117">
        <v>13</v>
      </c>
      <c r="DD309" s="1117">
        <v>14</v>
      </c>
      <c r="DE309" s="1117">
        <v>15</v>
      </c>
      <c r="DF309" s="1117">
        <v>16</v>
      </c>
      <c r="DG309" s="1117">
        <v>17</v>
      </c>
      <c r="DH309" s="1117">
        <v>18</v>
      </c>
      <c r="DI309" s="1117">
        <v>19</v>
      </c>
      <c r="DJ309" s="1117">
        <v>20</v>
      </c>
      <c r="DK309" s="1117">
        <v>21</v>
      </c>
      <c r="DL309" s="1117">
        <v>22</v>
      </c>
      <c r="DM309" s="1117">
        <v>23</v>
      </c>
      <c r="DN309" s="1117">
        <v>24</v>
      </c>
      <c r="DO309" s="1117">
        <v>25</v>
      </c>
      <c r="DP309" s="1117">
        <v>26</v>
      </c>
      <c r="DQ309" s="1117">
        <v>27</v>
      </c>
      <c r="DR309" s="39">
        <v>28</v>
      </c>
      <c r="DS309" s="39">
        <v>29</v>
      </c>
      <c r="DT309" s="39">
        <v>30</v>
      </c>
      <c r="DU309" s="39">
        <v>31</v>
      </c>
      <c r="DV309" s="39">
        <v>32</v>
      </c>
      <c r="DW309" s="39">
        <v>33</v>
      </c>
      <c r="DX309" s="39">
        <v>34</v>
      </c>
      <c r="DY309" s="39">
        <v>35</v>
      </c>
      <c r="DZ309" s="39">
        <v>36</v>
      </c>
      <c r="EA309" s="39">
        <v>37</v>
      </c>
      <c r="EB309" s="39">
        <v>38</v>
      </c>
      <c r="EC309" s="39">
        <v>39</v>
      </c>
      <c r="ED309" s="39">
        <v>40</v>
      </c>
      <c r="EE309" s="39">
        <v>41</v>
      </c>
      <c r="EF309" s="39">
        <v>42</v>
      </c>
      <c r="EG309" s="39">
        <v>43</v>
      </c>
      <c r="EH309" s="39">
        <v>44</v>
      </c>
      <c r="EI309" s="39">
        <v>45</v>
      </c>
      <c r="EJ309" s="39">
        <v>46</v>
      </c>
      <c r="EK309" s="39">
        <v>47</v>
      </c>
      <c r="EL309" s="39">
        <v>48</v>
      </c>
      <c r="EM309" s="39">
        <v>49</v>
      </c>
      <c r="EN309" s="39">
        <v>50</v>
      </c>
      <c r="EO309" s="39">
        <v>51</v>
      </c>
      <c r="EP309" s="39">
        <v>51</v>
      </c>
      <c r="EQ309" s="39">
        <v>51</v>
      </c>
      <c r="ER309" s="39">
        <v>51</v>
      </c>
      <c r="ES309" s="39">
        <v>51</v>
      </c>
      <c r="ET309" s="39">
        <v>51</v>
      </c>
      <c r="EU309" s="39">
        <v>51</v>
      </c>
      <c r="EV309" s="39">
        <v>51</v>
      </c>
      <c r="EW309" s="39">
        <v>51</v>
      </c>
      <c r="EX309" s="39">
        <v>51</v>
      </c>
    </row>
    <row r="310" spans="1:154" ht="12" customHeight="1" x14ac:dyDescent="0.35">
      <c r="A310" s="67">
        <v>33</v>
      </c>
      <c r="B310" s="1438">
        <f t="shared" si="108"/>
        <v>1004</v>
      </c>
      <c r="C310" s="1440">
        <v>33</v>
      </c>
      <c r="D310" s="82"/>
      <c r="E310" s="82"/>
      <c r="F310" s="82"/>
      <c r="G310" s="1448"/>
      <c r="H310" s="1448"/>
      <c r="I310" s="1448"/>
      <c r="J310" s="1448"/>
      <c r="K310" s="1617"/>
      <c r="L310" s="1617"/>
      <c r="M310" s="1617"/>
      <c r="N310" s="1618"/>
      <c r="O310" s="1618"/>
      <c r="P310" s="1662"/>
      <c r="Q310" s="1620"/>
      <c r="R310" s="1620"/>
      <c r="S310" s="1667"/>
      <c r="T310" s="27"/>
      <c r="U310" s="1621"/>
      <c r="V310" s="1621"/>
      <c r="W310" s="1621"/>
      <c r="X310" s="381"/>
      <c r="Y310" s="1167">
        <f>Y277</f>
        <v>0</v>
      </c>
      <c r="Z310" s="1167">
        <f t="shared" ref="Z310:CK310" si="142">Z277</f>
        <v>59</v>
      </c>
      <c r="AA310" s="1167">
        <f t="shared" si="142"/>
        <v>91</v>
      </c>
      <c r="AB310" s="1167">
        <f t="shared" si="142"/>
        <v>121</v>
      </c>
      <c r="AC310" s="1167">
        <f t="shared" si="142"/>
        <v>152</v>
      </c>
      <c r="AD310" s="1167">
        <f t="shared" si="142"/>
        <v>182</v>
      </c>
      <c r="AE310" s="1167">
        <f t="shared" si="142"/>
        <v>213</v>
      </c>
      <c r="AF310" s="1167">
        <f t="shared" si="142"/>
        <v>244</v>
      </c>
      <c r="AG310" s="1167">
        <f t="shared" si="142"/>
        <v>274</v>
      </c>
      <c r="AH310" s="1167">
        <f t="shared" si="142"/>
        <v>305</v>
      </c>
      <c r="AI310" s="1167">
        <f t="shared" si="142"/>
        <v>335</v>
      </c>
      <c r="AJ310" s="1167">
        <f t="shared" si="142"/>
        <v>366</v>
      </c>
      <c r="AK310" s="1167">
        <f t="shared" si="142"/>
        <v>397</v>
      </c>
      <c r="AL310" s="1167">
        <f t="shared" si="142"/>
        <v>425</v>
      </c>
      <c r="AM310" s="1167">
        <f t="shared" si="142"/>
        <v>456</v>
      </c>
      <c r="AN310" s="1167">
        <f t="shared" si="142"/>
        <v>486</v>
      </c>
      <c r="AO310" s="1167">
        <f t="shared" si="142"/>
        <v>517</v>
      </c>
      <c r="AP310" s="1167">
        <f t="shared" si="142"/>
        <v>547</v>
      </c>
      <c r="AQ310" s="1167">
        <f t="shared" si="142"/>
        <v>578</v>
      </c>
      <c r="AR310" s="1167">
        <f t="shared" si="142"/>
        <v>609</v>
      </c>
      <c r="AS310" s="1167">
        <f t="shared" si="142"/>
        <v>639</v>
      </c>
      <c r="AT310" s="1167">
        <f t="shared" si="142"/>
        <v>670</v>
      </c>
      <c r="AU310" s="1167">
        <f t="shared" si="142"/>
        <v>700</v>
      </c>
      <c r="AV310" s="1167">
        <f t="shared" si="142"/>
        <v>731</v>
      </c>
      <c r="AW310" s="1167">
        <f t="shared" si="142"/>
        <v>762</v>
      </c>
      <c r="AX310" s="1167">
        <f t="shared" si="142"/>
        <v>790</v>
      </c>
      <c r="AY310" s="1167">
        <f t="shared" si="142"/>
        <v>821</v>
      </c>
      <c r="AZ310" s="1167">
        <f t="shared" si="142"/>
        <v>851</v>
      </c>
      <c r="BA310" s="1167">
        <f t="shared" si="142"/>
        <v>882</v>
      </c>
      <c r="BB310" s="1167">
        <f t="shared" si="142"/>
        <v>912</v>
      </c>
      <c r="BC310" s="1167">
        <f t="shared" si="142"/>
        <v>943</v>
      </c>
      <c r="BD310" s="1167">
        <f t="shared" si="142"/>
        <v>974</v>
      </c>
      <c r="BE310" s="1167">
        <f t="shared" si="142"/>
        <v>1004</v>
      </c>
      <c r="BF310" s="1167">
        <f t="shared" si="142"/>
        <v>1035</v>
      </c>
      <c r="BG310" s="1167">
        <f t="shared" si="142"/>
        <v>1065</v>
      </c>
      <c r="BH310" s="1167">
        <f t="shared" si="142"/>
        <v>1096</v>
      </c>
      <c r="BI310" s="1167">
        <f t="shared" si="142"/>
        <v>1127</v>
      </c>
      <c r="BJ310" s="1167">
        <f t="shared" si="142"/>
        <v>1155</v>
      </c>
      <c r="BK310" s="1167">
        <f t="shared" si="142"/>
        <v>1186</v>
      </c>
      <c r="BL310" s="1167">
        <f t="shared" si="142"/>
        <v>1216</v>
      </c>
      <c r="BM310" s="1167">
        <f t="shared" si="142"/>
        <v>1247</v>
      </c>
      <c r="BN310" s="1167">
        <f t="shared" si="142"/>
        <v>1277</v>
      </c>
      <c r="BO310" s="1167">
        <f t="shared" si="142"/>
        <v>1308</v>
      </c>
      <c r="BP310" s="1167">
        <f t="shared" si="142"/>
        <v>1339</v>
      </c>
      <c r="BQ310" s="1167">
        <f t="shared" si="142"/>
        <v>1369</v>
      </c>
      <c r="BR310" s="1167">
        <f t="shared" si="142"/>
        <v>1400</v>
      </c>
      <c r="BS310" s="1167">
        <f t="shared" si="142"/>
        <v>1430</v>
      </c>
      <c r="BT310" s="1167">
        <f t="shared" si="142"/>
        <v>1461</v>
      </c>
      <c r="BU310" s="1167">
        <f t="shared" si="142"/>
        <v>1492</v>
      </c>
      <c r="BV310" s="1167">
        <f t="shared" si="142"/>
        <v>1521</v>
      </c>
      <c r="BW310" s="1167">
        <f t="shared" si="142"/>
        <v>1552</v>
      </c>
      <c r="BX310" s="1461">
        <f t="shared" si="142"/>
        <v>1582</v>
      </c>
      <c r="BY310" s="1461">
        <f t="shared" si="142"/>
        <v>1613</v>
      </c>
      <c r="BZ310" s="1167">
        <f t="shared" si="142"/>
        <v>1643</v>
      </c>
      <c r="CA310" s="1167">
        <f t="shared" si="142"/>
        <v>1674</v>
      </c>
      <c r="CB310" s="1167">
        <f t="shared" si="142"/>
        <v>1705</v>
      </c>
      <c r="CC310" s="1167">
        <f t="shared" si="142"/>
        <v>1735</v>
      </c>
      <c r="CD310" s="1167">
        <f t="shared" si="142"/>
        <v>1766</v>
      </c>
      <c r="CE310" s="1167">
        <f t="shared" si="142"/>
        <v>1796</v>
      </c>
      <c r="CF310" s="1167">
        <f t="shared" si="142"/>
        <v>1827</v>
      </c>
      <c r="CG310" s="1167">
        <f t="shared" si="142"/>
        <v>1858</v>
      </c>
      <c r="CH310" s="1167">
        <f t="shared" si="142"/>
        <v>1886</v>
      </c>
      <c r="CI310" s="1167">
        <f t="shared" si="142"/>
        <v>1917</v>
      </c>
      <c r="CJ310" s="1167">
        <f t="shared" si="142"/>
        <v>1947</v>
      </c>
      <c r="CK310" s="1167">
        <f t="shared" si="142"/>
        <v>1978</v>
      </c>
      <c r="CL310" s="1167">
        <f t="shared" ref="CL310:EN310" si="143">CL277</f>
        <v>2008</v>
      </c>
      <c r="CM310" s="1167">
        <f t="shared" si="143"/>
        <v>2039</v>
      </c>
      <c r="CN310" s="1167">
        <f t="shared" si="143"/>
        <v>2070</v>
      </c>
      <c r="CO310" s="1167">
        <f t="shared" si="143"/>
        <v>2100</v>
      </c>
      <c r="CP310" s="1167">
        <f t="shared" si="143"/>
        <v>2131</v>
      </c>
      <c r="CQ310" s="1167">
        <f t="shared" si="143"/>
        <v>2161</v>
      </c>
      <c r="CR310" s="1167">
        <f t="shared" si="143"/>
        <v>2192</v>
      </c>
      <c r="CS310" s="1167">
        <f t="shared" si="143"/>
        <v>2223</v>
      </c>
      <c r="CT310" s="1167">
        <f t="shared" si="143"/>
        <v>2251</v>
      </c>
      <c r="CU310" s="1167">
        <f t="shared" si="143"/>
        <v>2282</v>
      </c>
      <c r="CV310" s="1167">
        <f t="shared" si="143"/>
        <v>2312</v>
      </c>
      <c r="CW310" s="1167">
        <f t="shared" si="143"/>
        <v>2343</v>
      </c>
      <c r="CX310" s="1167">
        <f t="shared" si="143"/>
        <v>2373</v>
      </c>
      <c r="CY310" s="1167">
        <f t="shared" si="143"/>
        <v>2404</v>
      </c>
      <c r="CZ310" s="1167">
        <f t="shared" si="143"/>
        <v>2435</v>
      </c>
      <c r="DA310" s="1167">
        <f t="shared" si="143"/>
        <v>2465</v>
      </c>
      <c r="DB310" s="1167">
        <f t="shared" si="143"/>
        <v>2496</v>
      </c>
      <c r="DC310" s="1167">
        <f t="shared" si="143"/>
        <v>2526</v>
      </c>
      <c r="DD310" s="1167">
        <f t="shared" si="143"/>
        <v>2557</v>
      </c>
      <c r="DE310" s="1167">
        <f t="shared" si="143"/>
        <v>2588</v>
      </c>
      <c r="DF310" s="1167">
        <f t="shared" si="143"/>
        <v>2616</v>
      </c>
      <c r="DG310" s="1167">
        <f t="shared" si="143"/>
        <v>2647</v>
      </c>
      <c r="DH310" s="1167">
        <f t="shared" si="143"/>
        <v>2677</v>
      </c>
      <c r="DI310" s="1167">
        <f t="shared" si="143"/>
        <v>2708</v>
      </c>
      <c r="DJ310" s="1167">
        <f t="shared" si="143"/>
        <v>2738</v>
      </c>
      <c r="DK310" s="1167">
        <f t="shared" si="143"/>
        <v>2769</v>
      </c>
      <c r="DL310" s="1167">
        <f t="shared" si="143"/>
        <v>2800</v>
      </c>
      <c r="DM310" s="1167">
        <f t="shared" si="143"/>
        <v>2830</v>
      </c>
      <c r="DN310" s="1167">
        <f t="shared" si="143"/>
        <v>2861</v>
      </c>
      <c r="DO310" s="1167">
        <f t="shared" si="143"/>
        <v>2891</v>
      </c>
      <c r="DP310" s="1167">
        <f t="shared" si="143"/>
        <v>2922</v>
      </c>
      <c r="DQ310" s="1167">
        <f t="shared" si="143"/>
        <v>2953</v>
      </c>
      <c r="DR310" s="1167">
        <f t="shared" si="143"/>
        <v>2982</v>
      </c>
      <c r="DS310" s="1167">
        <f t="shared" si="143"/>
        <v>3013</v>
      </c>
      <c r="DT310" s="1167">
        <f t="shared" si="143"/>
        <v>3043</v>
      </c>
      <c r="DU310" s="1167">
        <f t="shared" si="143"/>
        <v>3074</v>
      </c>
      <c r="DV310" s="1167">
        <f t="shared" si="143"/>
        <v>3104</v>
      </c>
      <c r="DW310" s="1167">
        <f t="shared" si="143"/>
        <v>3135</v>
      </c>
      <c r="DX310" s="1167">
        <f t="shared" si="143"/>
        <v>3166</v>
      </c>
      <c r="DY310" s="1167">
        <f t="shared" si="143"/>
        <v>3196</v>
      </c>
      <c r="DZ310" s="1167">
        <f t="shared" si="143"/>
        <v>3227</v>
      </c>
      <c r="EA310" s="1167">
        <f t="shared" si="143"/>
        <v>3257</v>
      </c>
      <c r="EB310" s="1167">
        <f t="shared" si="143"/>
        <v>3288</v>
      </c>
      <c r="EC310" s="1167">
        <f t="shared" si="143"/>
        <v>3319</v>
      </c>
      <c r="ED310" s="1167">
        <f t="shared" si="143"/>
        <v>3347</v>
      </c>
      <c r="EE310" s="1167">
        <f t="shared" si="143"/>
        <v>3378</v>
      </c>
      <c r="EF310" s="1167">
        <f t="shared" si="143"/>
        <v>3408</v>
      </c>
      <c r="EG310" s="1167">
        <f t="shared" si="143"/>
        <v>3439</v>
      </c>
      <c r="EH310" s="1167">
        <f t="shared" si="143"/>
        <v>3469</v>
      </c>
      <c r="EI310" s="1167">
        <f t="shared" si="143"/>
        <v>3500</v>
      </c>
      <c r="EJ310" s="1167">
        <f t="shared" si="143"/>
        <v>3531</v>
      </c>
      <c r="EK310" s="1167">
        <f t="shared" si="143"/>
        <v>3561</v>
      </c>
      <c r="EL310" s="1167">
        <f t="shared" si="143"/>
        <v>3592</v>
      </c>
      <c r="EM310" s="1167">
        <f t="shared" si="143"/>
        <v>3622</v>
      </c>
      <c r="EN310" s="1167">
        <f t="shared" si="143"/>
        <v>3653</v>
      </c>
      <c r="EO310" s="39">
        <v>51</v>
      </c>
      <c r="EP310" s="39">
        <v>51</v>
      </c>
      <c r="EQ310" s="39">
        <v>51</v>
      </c>
      <c r="ER310" s="39">
        <v>51</v>
      </c>
      <c r="ES310" s="39">
        <v>51</v>
      </c>
      <c r="ET310" s="39">
        <v>51</v>
      </c>
      <c r="EU310" s="39">
        <v>51</v>
      </c>
      <c r="EV310" s="39">
        <v>51</v>
      </c>
      <c r="EW310" s="39">
        <v>51</v>
      </c>
      <c r="EX310" s="39">
        <v>51</v>
      </c>
    </row>
    <row r="311" spans="1:154" ht="12" customHeight="1" x14ac:dyDescent="0.35">
      <c r="A311" s="67">
        <v>34</v>
      </c>
      <c r="B311" s="1438">
        <f t="shared" ref="B311:B337" si="144">EOMONTH(B310,1)</f>
        <v>1035</v>
      </c>
      <c r="C311" s="1440">
        <v>34</v>
      </c>
      <c r="D311" s="82"/>
      <c r="E311" s="82"/>
      <c r="F311" s="82"/>
      <c r="G311" s="1448"/>
      <c r="H311" s="1448"/>
      <c r="I311" s="1448"/>
      <c r="J311" s="1448"/>
      <c r="K311" s="1617"/>
      <c r="L311" s="1617"/>
      <c r="M311" s="1617"/>
      <c r="N311" s="1618"/>
      <c r="O311" s="1618"/>
      <c r="P311" s="1662"/>
      <c r="Q311" s="1620"/>
      <c r="R311" s="1620"/>
      <c r="S311" s="1620"/>
      <c r="T311" s="27"/>
      <c r="U311" s="1621"/>
      <c r="V311" s="1636">
        <f t="shared" ref="V311:V330" si="145">IFERROR(EOMONTH(N278,W311-1),0)</f>
        <v>0</v>
      </c>
      <c r="W311" s="102">
        <f t="shared" ref="W311:W330" si="146">O278*12</f>
        <v>0</v>
      </c>
      <c r="X311" s="381">
        <f t="shared" ref="X311:X330" si="147">X278</f>
        <v>0</v>
      </c>
      <c r="Y311" s="1637">
        <f>IF(OR($V311=0,$W311=0),0,IF(Y$310&gt;$V311,0,SUM($Y278:Y278)/$W311))</f>
        <v>0</v>
      </c>
      <c r="Z311" s="1638">
        <f>IF(OR($V311=0,$W311=0),0,IF(Z$310&gt;$V311,0,SUM($Y278:Z278)/$W311))</f>
        <v>0</v>
      </c>
      <c r="AA311" s="1638">
        <f>IF(OR($V311=0,$W311=0),0,IF(AA$310&gt;$V311,0,SUM($Y278:AA278)/$W311))</f>
        <v>0</v>
      </c>
      <c r="AB311" s="1638">
        <f>IF(OR($V311=0,$W311=0),0,IF(AB$310&gt;$V311,0,SUM($Y278:AB278)/$W311))</f>
        <v>0</v>
      </c>
      <c r="AC311" s="1638">
        <f>IF(OR($V311=0,$W311=0),0,IF(AC$310&gt;$V311,0,SUM($Y278:AC278)/$W311))</f>
        <v>0</v>
      </c>
      <c r="AD311" s="1638">
        <f>IF(OR($V311=0,$W311=0),0,IF(AD$310&gt;$V311,0,SUM($Y278:AD278)/$W311))</f>
        <v>0</v>
      </c>
      <c r="AE311" s="1638">
        <f>IF(OR($V311=0,$W311=0),0,IF(AE$310&gt;$V311,0,SUM($Y278:AE278)/$W311))</f>
        <v>0</v>
      </c>
      <c r="AF311" s="1638">
        <f>IF(OR($V311=0,$W311=0),0,IF(AF$310&gt;$V311,0,SUM($Y278:AF278)/$W311))</f>
        <v>0</v>
      </c>
      <c r="AG311" s="1638">
        <f>IF(OR($V311=0,$W311=0),0,IF(AG$310&gt;$V311,0,SUM($Y278:AG278)/$W311))</f>
        <v>0</v>
      </c>
      <c r="AH311" s="1638">
        <f>IF(OR($V311=0,$W311=0),0,IF(AH$310&gt;$V311,0,SUM($Y278:AH278)/$W311))</f>
        <v>0</v>
      </c>
      <c r="AI311" s="1638">
        <f>IF(OR($V311=0,$W311=0),0,IF(AI$310&gt;$V311,0,SUM($Y278:AI278)/$W311))</f>
        <v>0</v>
      </c>
      <c r="AJ311" s="1638">
        <f>IF(OR($V311=0,$W311=0),0,IF(AJ$310&gt;$V311,0,SUM($Y278:AJ278)/$W311))</f>
        <v>0</v>
      </c>
      <c r="AK311" s="1638">
        <f>IF(OR($V311=0,$W311=0),0,IF(AK$310&gt;$V311,0,SUM($Y278:AK278)/$W311))</f>
        <v>0</v>
      </c>
      <c r="AL311" s="1638">
        <f>IF(OR($V311=0,$W311=0),0,IF(AL$310&gt;$V311,0,SUM($Y278:AL278)/$W311))</f>
        <v>0</v>
      </c>
      <c r="AM311" s="1638">
        <f>IF(OR($V311=0,$W311=0),0,IF(AM$310&gt;$V311,0,SUM($Y278:AM278)/$W311))</f>
        <v>0</v>
      </c>
      <c r="AN311" s="1638">
        <f>IF(OR($V311=0,$W311=0),0,IF(AN$310&gt;$V311,0,SUM($Y278:AN278)/$W311))</f>
        <v>0</v>
      </c>
      <c r="AO311" s="1638">
        <f>IF(OR($V311=0,$W311=0),0,IF(AO$310&gt;$V311,0,SUM($Y278:AO278)/$W311))</f>
        <v>0</v>
      </c>
      <c r="AP311" s="1638">
        <f>IF(OR($V311=0,$W311=0),0,IF(AP$310&gt;$V311,0,SUM($Y278:AP278)/$W311))</f>
        <v>0</v>
      </c>
      <c r="AQ311" s="1638">
        <f>IF(OR($V311=0,$W311=0),0,IF(AQ$310&gt;$V311,0,SUM($Y278:AQ278)/$W311))</f>
        <v>0</v>
      </c>
      <c r="AR311" s="1638">
        <f>IF(OR($V311=0,$W311=0),0,IF(AR$310&gt;$V311,0,SUM($Y278:AR278)/$W311))</f>
        <v>0</v>
      </c>
      <c r="AS311" s="1638">
        <f>IF(OR($V311=0,$W311=0),0,IF(AS$310&gt;$V311,0,SUM($Y278:AS278)/$W311))</f>
        <v>0</v>
      </c>
      <c r="AT311" s="1638">
        <f>IF(OR($V311=0,$W311=0),0,IF(AT$310&gt;$V311,0,SUM($Y278:AT278)/$W311))</f>
        <v>0</v>
      </c>
      <c r="AU311" s="1638">
        <f>IF(OR($V311=0,$W311=0),0,IF(AU$310&gt;$V311,0,SUM($Y278:AU278)/$W311))</f>
        <v>0</v>
      </c>
      <c r="AV311" s="1638">
        <f>IF(OR($V311=0,$W311=0),0,IF(AV$310&gt;$V311,0,SUM($Y278:AV278)/$W311))</f>
        <v>0</v>
      </c>
      <c r="AW311" s="1638">
        <f>IF(OR($V311=0,$W311=0),0,IF(AW$310&gt;$V311,0,SUM($Y278:AW278)/$W311))</f>
        <v>0</v>
      </c>
      <c r="AX311" s="1638">
        <f>IF(OR($V311=0,$W311=0),0,IF(AX$310&gt;$V311,0,SUM($Y278:AX278)/$W311))</f>
        <v>0</v>
      </c>
      <c r="AY311" s="1638">
        <f>IF(OR($V311=0,$W311=0),0,IF(AY$310&gt;$V311,0,SUM($Y278:AY278)/$W311))</f>
        <v>0</v>
      </c>
      <c r="AZ311" s="1638">
        <f>IF(OR($V311=0,$W311=0),0,IF(AZ$310&gt;$V311,0,SUM($Y278:AZ278)/$W311))</f>
        <v>0</v>
      </c>
      <c r="BA311" s="1638">
        <f>IF(OR($V311=0,$W311=0),0,IF(BA$310&gt;$V311,0,SUM($Y278:BA278)/$W311))</f>
        <v>0</v>
      </c>
      <c r="BB311" s="1638">
        <f>IF(OR($V311=0,$W311=0),0,IF(BB$310&gt;$V311,0,SUM($Y278:BB278)/$W311))</f>
        <v>0</v>
      </c>
      <c r="BC311" s="1638">
        <f>IF(OR($V311=0,$W311=0),0,IF(BC$310&gt;$V311,0,SUM($Y278:BC278)/$W311))</f>
        <v>0</v>
      </c>
      <c r="BD311" s="1638">
        <f>IF(OR($V311=0,$W311=0),0,IF(BD$310&gt;$V311,0,SUM($Y278:BD278)/$W311))</f>
        <v>0</v>
      </c>
      <c r="BE311" s="1638">
        <f>IF(OR($V311=0,$W311=0),0,IF(BE$310&gt;$V311,0,SUM($Y278:BE278)/$W311))</f>
        <v>0</v>
      </c>
      <c r="BF311" s="1638">
        <f>IF(OR($V311=0,$W311=0),0,IF(BF$310&gt;$V311,0,SUM($Y278:BF278)/$W311))</f>
        <v>0</v>
      </c>
      <c r="BG311" s="1638">
        <f>IF(OR($V311=0,$W311=0),0,IF(BG$310&gt;$V311,0,SUM($Y278:BG278)/$W311))</f>
        <v>0</v>
      </c>
      <c r="BH311" s="1638">
        <f>IF(OR($V311=0,$W311=0),0,IF(BH$310&gt;$V311,0,SUM($Y278:BH278)/$W311))</f>
        <v>0</v>
      </c>
      <c r="BI311" s="1638">
        <f>IF(OR($V311=0,$W311=0),0,IF(BI$310&gt;$V311,0,SUM($Y278:BI278)/$W311))</f>
        <v>0</v>
      </c>
      <c r="BJ311" s="1638">
        <f>IF(OR($V311=0,$W311=0),0,IF(BJ$310&gt;$V311,0,SUM($Y278:BJ278)/$W311))</f>
        <v>0</v>
      </c>
      <c r="BK311" s="1638">
        <f>IF(OR($V311=0,$W311=0),0,IF(BK$310&gt;$V311,0,SUM($Y278:BK278)/$W311))</f>
        <v>0</v>
      </c>
      <c r="BL311" s="1638">
        <f>IF(OR($V311=0,$W311=0),0,IF(BL$310&gt;$V311,0,SUM($Y278:BL278)/$W311))</f>
        <v>0</v>
      </c>
      <c r="BM311" s="1638">
        <f>IF(OR($V311=0,$W311=0),0,IF(BM$310&gt;$V311,0,SUM($Y278:BM278)/$W311))</f>
        <v>0</v>
      </c>
      <c r="BN311" s="1638">
        <f>IF(OR($V311=0,$W311=0),0,IF(BN$310&gt;$V311,0,SUM($Y278:BN278)/$W311))</f>
        <v>0</v>
      </c>
      <c r="BO311" s="1638">
        <f>IF(OR($V311=0,$W311=0),0,IF(BO$310&gt;$V311,0,SUM($Y278:BO278)/$W311))</f>
        <v>0</v>
      </c>
      <c r="BP311" s="1638">
        <f>IF(OR($V311=0,$W311=0),0,IF(BP$310&gt;$V311,0,SUM($Y278:BP278)/$W311))</f>
        <v>0</v>
      </c>
      <c r="BQ311" s="1638">
        <f>IF(OR($V311=0,$W311=0),0,IF(BQ$310&gt;$V311,0,SUM($Y278:BQ278)/$W311))</f>
        <v>0</v>
      </c>
      <c r="BR311" s="1638">
        <f>IF(OR($V311=0,$W311=0),0,IF(BR$310&gt;$V311,0,SUM($Y278:BR278)/$W311))</f>
        <v>0</v>
      </c>
      <c r="BS311" s="1638">
        <f>IF(OR($V311=0,$W311=0),0,IF(BS$310&gt;$V311,0,SUM($Y278:BS278)/$W311))</f>
        <v>0</v>
      </c>
      <c r="BT311" s="1638">
        <f>IF(OR($V311=0,$W311=0),0,IF(BT$310&gt;$V311,0,SUM($Y278:BT278)/$W311))</f>
        <v>0</v>
      </c>
      <c r="BU311" s="1638">
        <f>IF(OR($V311=0,$W311=0),0,IF(BU$310&gt;$V311,0,SUM($Y278:BU278)/$W311))</f>
        <v>0</v>
      </c>
      <c r="BV311" s="1638">
        <f>IF(OR($V311=0,$W311=0),0,IF(BV$310&gt;$V311,0,SUM($Y278:BV278)/$W311))</f>
        <v>0</v>
      </c>
      <c r="BW311" s="1638">
        <f>IF(OR($V311=0,$W311=0),0,IF(BW$310&gt;$V311,0,SUM($Y278:BW278)/$W311))</f>
        <v>0</v>
      </c>
      <c r="BX311" s="1455">
        <f>IF(OR($V311=0,$W311=0),0,IF(BX$310&gt;$V311,0,SUM($Y278:BX278)/$W311))</f>
        <v>0</v>
      </c>
      <c r="BY311" s="1455">
        <f>IF(OR($V311=0,$W311=0),0,IF(BY$310&gt;$V311,0,SUM($Y278:BY278)/$W311))</f>
        <v>0</v>
      </c>
      <c r="BZ311" s="1160">
        <f>IF(OR($V311=0,$W311=0),0,IF(BZ$310&gt;$V311,0,SUM($Y278:BZ278)/$W311))</f>
        <v>0</v>
      </c>
      <c r="CA311" s="1160">
        <f>IF(OR($V311=0,$W311=0),0,IF(CA$310&gt;$V311,0,SUM($Y278:CA278)/$W311))</f>
        <v>0</v>
      </c>
      <c r="CB311" s="1160">
        <f>IF(OR($V311=0,$W311=0),0,IF(CB$310&gt;$V311,0,SUM($Y278:CB278)/$W311))</f>
        <v>0</v>
      </c>
      <c r="CC311" s="1160">
        <f>IF(OR($V311=0,$W311=0),0,IF(CC$310&gt;$V311,0,SUM($Y278:CC278)/$W311))</f>
        <v>0</v>
      </c>
      <c r="CD311" s="1160">
        <f>IF(OR($V311=0,$W311=0),0,IF(CD$310&gt;$V311,0,SUM($Y278:CD278)/$W311))</f>
        <v>0</v>
      </c>
      <c r="CE311" s="1160">
        <f>IF(OR($V311=0,$W311=0),0,IF(CE$310&gt;$V311,0,SUM($Y278:CE278)/$W311))</f>
        <v>0</v>
      </c>
      <c r="CF311" s="1160">
        <f>IF(OR($V311=0,$W311=0),0,IF(CF$310&gt;$V311,0,SUM($Y278:CF278)/$W311))</f>
        <v>0</v>
      </c>
      <c r="CG311" s="1160">
        <f>IF(OR($V311=0,$W311=0),0,IF(CG$310&gt;$V311,0,SUM($Y278:CG278)/$W311))</f>
        <v>0</v>
      </c>
      <c r="CH311" s="1160">
        <f>IF(OR($V311=0,$W311=0),0,IF(CH$310&gt;$V311,0,SUM($Y278:CH278)/$W311))</f>
        <v>0</v>
      </c>
      <c r="CI311" s="1160">
        <f>IF(OR($V311=0,$W311=0),0,IF(CI$310&gt;$V311,0,SUM($Y278:CI278)/$W311))</f>
        <v>0</v>
      </c>
      <c r="CJ311" s="1160">
        <f>IF(OR($V311=0,$W311=0),0,IF(CJ$310&gt;$V311,0,SUM($Y278:CJ278)/$W311))</f>
        <v>0</v>
      </c>
      <c r="CK311" s="1160">
        <f>IF(OR($V311=0,$W311=0),0,IF(CK$310&gt;$V311,0,SUM($Y278:CK278)/$W311))</f>
        <v>0</v>
      </c>
      <c r="CL311" s="1160">
        <f>IF(OR($V311=0,$W311=0),0,IF(CL$310&gt;$V311,0,SUM($Y278:CL278)/$W311))</f>
        <v>0</v>
      </c>
      <c r="CM311" s="1160">
        <f>IF(OR($V311=0,$W311=0),0,IF(CM$310&gt;$V311,0,SUM($Y278:CM278)/$W311))</f>
        <v>0</v>
      </c>
      <c r="CN311" s="1160">
        <f>IF(OR($V311=0,$W311=0),0,IF(CN$310&gt;$V311,0,SUM($Y278:CN278)/$W311))</f>
        <v>0</v>
      </c>
      <c r="CO311" s="1160">
        <f>IF(OR($V311=0,$W311=0),0,IF(CO$310&gt;$V311,0,SUM($Y278:CO278)/$W311))</f>
        <v>0</v>
      </c>
      <c r="CP311" s="1160">
        <f>IF(OR($V311=0,$W311=0),0,IF(CP$310&gt;$V311,0,SUM($Y278:CP278)/$W311))</f>
        <v>0</v>
      </c>
      <c r="CQ311" s="1160">
        <f>IF(OR($V311=0,$W311=0),0,IF(CQ$310&gt;$V311,0,SUM($Y278:CQ278)/$W311))</f>
        <v>0</v>
      </c>
      <c r="CR311" s="1160">
        <f>IF(OR($V311=0,$W311=0),0,IF(CR$310&gt;$V311,0,SUM($Y278:CR278)/$W311))</f>
        <v>0</v>
      </c>
      <c r="CS311" s="1160">
        <f>IF(OR($V311=0,$W311=0),0,IF(CS$310&gt;$V311,0,SUM($Y278:CS278)/$W311))</f>
        <v>0</v>
      </c>
      <c r="CT311" s="1160">
        <f>IF(OR($V311=0,$W311=0),0,IF(CT$310&gt;$V311,0,SUM($Y278:CT278)/$W311))</f>
        <v>0</v>
      </c>
      <c r="CU311" s="1160">
        <f>IF(OR($V311=0,$W311=0),0,IF(CU$310&gt;$V311,0,SUM($Y278:CU278)/$W311))</f>
        <v>0</v>
      </c>
      <c r="CV311" s="1160">
        <f>IF(OR($V311=0,$W311=0),0,IF(CV$310&gt;$V311,0,SUM($Y278:CV278)/$W311))</f>
        <v>0</v>
      </c>
      <c r="CW311" s="1160">
        <f>IF(OR($V311=0,$W311=0),0,IF(CW$310&gt;$V311,0,SUM($Y278:CW278)/$W311))</f>
        <v>0</v>
      </c>
      <c r="CX311" s="1160">
        <f>IF(OR($V311=0,$W311=0),0,IF(CX$310&gt;$V311,0,SUM($Y278:CX278)/$W311))</f>
        <v>0</v>
      </c>
      <c r="CY311" s="1160">
        <f>IF(OR($V311=0,$W311=0),0,IF(CY$310&gt;$V311,0,SUM($Y278:CY278)/$W311))</f>
        <v>0</v>
      </c>
      <c r="CZ311" s="1160">
        <f>IF(OR($V311=0,$W311=0),0,IF(CZ$310&gt;$V311,0,SUM($Y278:CZ278)/$W311))</f>
        <v>0</v>
      </c>
      <c r="DA311" s="1160">
        <f>IF(OR($V311=0,$W311=0),0,IF(DA$310&gt;$V311,0,SUM($Y278:DA278)/$W311))</f>
        <v>0</v>
      </c>
      <c r="DB311" s="1160">
        <f>IF(OR($V311=0,$W311=0),0,IF(DB$310&gt;$V311,0,SUM($Y278:DB278)/$W311))</f>
        <v>0</v>
      </c>
      <c r="DC311" s="1160">
        <f>IF(OR($V311=0,$W311=0),0,IF(DC$310&gt;$V311,0,SUM($Y278:DC278)/$W311))</f>
        <v>0</v>
      </c>
      <c r="DD311" s="1160">
        <f>IF(OR($V311=0,$W311=0),0,IF(DD$310&gt;$V311,0,SUM($Y278:DD278)/$W311))</f>
        <v>0</v>
      </c>
      <c r="DE311" s="1160">
        <f>IF(OR($V311=0,$W311=0),0,IF(DE$310&gt;$V311,0,SUM($Y278:DE278)/$W311))</f>
        <v>0</v>
      </c>
      <c r="DF311" s="1160">
        <f>IF(OR($V311=0,$W311=0),0,IF(DF$310&gt;$V311,0,SUM($Y278:DF278)/$W311))</f>
        <v>0</v>
      </c>
      <c r="DG311" s="1160">
        <f>IF(OR($V311=0,$W311=0),0,IF(DG$310&gt;$V311,0,SUM($Y278:DG278)/$W311))</f>
        <v>0</v>
      </c>
      <c r="DH311" s="1160">
        <f>IF(OR($V311=0,$W311=0),0,IF(DH$310&gt;$V311,0,SUM($Y278:DH278)/$W311))</f>
        <v>0</v>
      </c>
      <c r="DI311" s="1160">
        <f>IF(OR($V311=0,$W311=0),0,IF(DI$310&gt;$V311,0,SUM($Y278:DI278)/$W311))</f>
        <v>0</v>
      </c>
      <c r="DJ311" s="1160">
        <f>IF(OR($V311=0,$W311=0),0,IF(DJ$310&gt;$V311,0,SUM($Y278:DJ278)/$W311))</f>
        <v>0</v>
      </c>
      <c r="DK311" s="1160">
        <f>IF(OR($V311=0,$W311=0),0,IF(DK$310&gt;$V311,0,SUM($Y278:DK278)/$W311))</f>
        <v>0</v>
      </c>
      <c r="DL311" s="1160">
        <f>IF(OR($V311=0,$W311=0),0,IF(DL$310&gt;$V311,0,SUM($Y278:DL278)/$W311))</f>
        <v>0</v>
      </c>
      <c r="DM311" s="1160">
        <f>IF(OR($V311=0,$W311=0),0,IF(DM$310&gt;$V311,0,SUM($Y278:DM278)/$W311))</f>
        <v>0</v>
      </c>
      <c r="DN311" s="1160">
        <f>IF(OR($V311=0,$W311=0),0,IF(DN$310&gt;$V311,0,SUM($Y278:DN278)/$W311))</f>
        <v>0</v>
      </c>
      <c r="DO311" s="1160">
        <f>IF(OR($V311=0,$W311=0),0,IF(DO$310&gt;$V311,0,SUM($Y278:DO278)/$W311))</f>
        <v>0</v>
      </c>
      <c r="DP311" s="1160">
        <f>IF(OR($V311=0,$W311=0),0,IF(DP$310&gt;$V311,0,SUM($Y278:DP278)/$W311))</f>
        <v>0</v>
      </c>
      <c r="DQ311" s="1160">
        <f>IF(OR($V311=0,$W311=0),0,IF(DQ$310&gt;$V311,0,SUM($Y278:DQ278)/$W311))</f>
        <v>0</v>
      </c>
      <c r="DR311" s="1160">
        <f>IF(OR($V311=0,$W311=0),0,IF(DR$310&gt;$V311,0,SUM($Y278:DR278)/$W311))</f>
        <v>0</v>
      </c>
      <c r="DS311" s="1160">
        <f>IF(OR($V311=0,$W311=0),0,IF(DS$310&gt;$V311,0,SUM($Y278:DS278)/$W311))</f>
        <v>0</v>
      </c>
      <c r="DT311" s="1160">
        <f>IF(OR($V311=0,$W311=0),0,IF(DT$310&gt;$V311,0,SUM($Y278:DT278)/$W311))</f>
        <v>0</v>
      </c>
      <c r="DU311" s="1160">
        <f>IF(OR($V311=0,$W311=0),0,IF(DU$310&gt;$V311,0,SUM($Y278:DU278)/$W311))</f>
        <v>0</v>
      </c>
      <c r="DV311" s="1160">
        <f>IF(OR($V311=0,$W311=0),0,IF(DV$310&gt;$V311,0,SUM($Y278:DV278)/$W311))</f>
        <v>0</v>
      </c>
      <c r="DW311" s="1160">
        <f>IF(OR($V311=0,$W311=0),0,IF(DW$310&gt;$V311,0,SUM($Y278:DW278)/$W311))</f>
        <v>0</v>
      </c>
      <c r="DX311" s="1160">
        <f>IF(OR($V311=0,$W311=0),0,IF(DX$310&gt;$V311,0,SUM($Y278:DX278)/$W311))</f>
        <v>0</v>
      </c>
      <c r="DY311" s="1160">
        <f>IF(OR($V311=0,$W311=0),0,IF(DY$310&gt;$V311,0,SUM($Y278:DY278)/$W311))</f>
        <v>0</v>
      </c>
      <c r="DZ311" s="1160">
        <f>IF(OR($V311=0,$W311=0),0,IF(DZ$310&gt;$V311,0,SUM($Y278:DZ278)/$W311))</f>
        <v>0</v>
      </c>
      <c r="EA311" s="1160">
        <f>IF(OR($V311=0,$W311=0),0,IF(EA$310&gt;$V311,0,SUM($Y278:EA278)/$W311))</f>
        <v>0</v>
      </c>
      <c r="EB311" s="1160">
        <f>IF(OR($V311=0,$W311=0),0,IF(EB$310&gt;$V311,0,SUM($Y278:EB278)/$W311))</f>
        <v>0</v>
      </c>
      <c r="EC311" s="1160">
        <f>IF(OR($V311=0,$W311=0),0,IF(EC$310&gt;$V311,0,SUM($Y278:EC278)/$W311))</f>
        <v>0</v>
      </c>
      <c r="ED311" s="1160">
        <f>IF(OR($V311=0,$W311=0),0,IF(ED$310&gt;$V311,0,SUM($Y278:ED278)/$W311))</f>
        <v>0</v>
      </c>
      <c r="EE311" s="1160">
        <f>IF(OR($V311=0,$W311=0),0,IF(EE$310&gt;$V311,0,SUM($Y278:EE278)/$W311))</f>
        <v>0</v>
      </c>
      <c r="EF311" s="1160">
        <f>IF(OR($V311=0,$W311=0),0,IF(EF$310&gt;$V311,0,SUM($Y278:EF278)/$W311))</f>
        <v>0</v>
      </c>
      <c r="EG311" s="1160">
        <f>IF(OR($V311=0,$W311=0),0,IF(EG$310&gt;$V311,0,SUM($Y278:EG278)/$W311))</f>
        <v>0</v>
      </c>
      <c r="EH311" s="1160">
        <f>IF(OR($V311=0,$W311=0),0,IF(EH$310&gt;$V311,0,SUM($Y278:EH278)/$W311))</f>
        <v>0</v>
      </c>
      <c r="EI311" s="1160">
        <f>IF(OR($V311=0,$W311=0),0,IF(EI$310&gt;$V311,0,SUM($Y278:EI278)/$W311))</f>
        <v>0</v>
      </c>
      <c r="EJ311" s="1160">
        <f>IF(OR($V311=0,$W311=0),0,IF(EJ$310&gt;$V311,0,SUM($Y278:EJ278)/$W311))</f>
        <v>0</v>
      </c>
      <c r="EK311" s="1160">
        <f>IF(OR($V311=0,$W311=0),0,IF(EK$310&gt;$V311,0,SUM($Y278:EK278)/$W311))</f>
        <v>0</v>
      </c>
      <c r="EL311" s="1160">
        <f>IF(OR($V311=0,$W311=0),0,IF(EL$310&gt;$V311,0,SUM($Y278:EL278)/$W311))</f>
        <v>0</v>
      </c>
      <c r="EM311" s="1160">
        <f>IF(OR($V311=0,$W311=0),0,IF(EM$310&gt;$V311,0,SUM($Y278:EM278)/$W311))</f>
        <v>0</v>
      </c>
      <c r="EN311" s="1160">
        <f>IF(OR($V311=0,$W311=0),0,IF(EN$310&gt;$V311,0,SUM($Y278:EN278)/$W311))</f>
        <v>0</v>
      </c>
      <c r="EO311" s="39">
        <v>51</v>
      </c>
      <c r="EP311" s="39">
        <v>51</v>
      </c>
      <c r="EQ311" s="39">
        <v>51</v>
      </c>
      <c r="ER311" s="39">
        <v>51</v>
      </c>
      <c r="ES311" s="39">
        <v>51</v>
      </c>
      <c r="ET311" s="39">
        <v>51</v>
      </c>
      <c r="EU311" s="39">
        <v>51</v>
      </c>
      <c r="EV311" s="39">
        <v>51</v>
      </c>
      <c r="EW311" s="39">
        <v>51</v>
      </c>
      <c r="EX311" s="39">
        <v>51</v>
      </c>
    </row>
    <row r="312" spans="1:154" ht="12" customHeight="1" x14ac:dyDescent="0.35">
      <c r="A312" s="67">
        <v>35</v>
      </c>
      <c r="B312" s="1438">
        <f t="shared" si="144"/>
        <v>1065</v>
      </c>
      <c r="C312" s="1440">
        <v>35</v>
      </c>
      <c r="D312" s="82"/>
      <c r="E312" s="82"/>
      <c r="F312" s="82"/>
      <c r="G312" s="1448"/>
      <c r="H312" s="1448"/>
      <c r="I312" s="1448"/>
      <c r="J312" s="1448"/>
      <c r="K312" s="1617"/>
      <c r="L312" s="1617"/>
      <c r="M312" s="1617"/>
      <c r="N312" s="1618"/>
      <c r="O312" s="1618"/>
      <c r="P312" s="1662"/>
      <c r="Q312" s="1620"/>
      <c r="R312" s="1620"/>
      <c r="S312" s="1620"/>
      <c r="T312" s="27"/>
      <c r="U312" s="1621"/>
      <c r="V312" s="1636">
        <f t="shared" si="145"/>
        <v>0</v>
      </c>
      <c r="W312" s="102">
        <f t="shared" si="146"/>
        <v>0</v>
      </c>
      <c r="X312" s="381">
        <f t="shared" si="147"/>
        <v>0</v>
      </c>
      <c r="Y312" s="1645">
        <f>IF(OR($V312=0,$W312=0),0,IF(Y$310&gt;$V312,0,SUM($Y279:Y279)/$W312))</f>
        <v>0</v>
      </c>
      <c r="Z312" s="1646">
        <f>IF(OR($V312=0,$W312=0),0,IF(Z$310&gt;$V312,0,SUM($Y279:Z279)/$W312))</f>
        <v>0</v>
      </c>
      <c r="AA312" s="1646">
        <f>IF(OR($V312=0,$W312=0),0,IF(AA$310&gt;$V312,0,SUM($Y279:AA279)/$W312))</f>
        <v>0</v>
      </c>
      <c r="AB312" s="1646">
        <f>IF(OR($V312=0,$W312=0),0,IF(AB$310&gt;$V312,0,SUM($Y279:AB279)/$W312))</f>
        <v>0</v>
      </c>
      <c r="AC312" s="1646">
        <f>IF(OR($V312=0,$W312=0),0,IF(AC$310&gt;$V312,0,SUM($Y279:AC279)/$W312))</f>
        <v>0</v>
      </c>
      <c r="AD312" s="1646">
        <f>IF(OR($V312=0,$W312=0),0,IF(AD$310&gt;$V312,0,SUM($Y279:AD279)/$W312))</f>
        <v>0</v>
      </c>
      <c r="AE312" s="1646">
        <f>IF(OR($V312=0,$W312=0),0,IF(AE$310&gt;$V312,0,SUM($Y279:AE279)/$W312))</f>
        <v>0</v>
      </c>
      <c r="AF312" s="1155">
        <f>IF(OR($V312=0,$W312=0),0,IF(AF$310&gt;$V312,0,SUM($Y279:AF279)/$W312))</f>
        <v>0</v>
      </c>
      <c r="AG312" s="1155">
        <f>IF(OR($V312=0,$W312=0),0,IF(AG$310&gt;$V312,0,SUM($Y279:AG279)/$W312))</f>
        <v>0</v>
      </c>
      <c r="AH312" s="1155">
        <f>IF(OR($V312=0,$W312=0),0,IF(AH$310&gt;$V312,0,SUM($Y279:AH279)/$W312))</f>
        <v>0</v>
      </c>
      <c r="AI312" s="1155">
        <f>IF(OR($V312=0,$W312=0),0,IF(AI$310&gt;$V312,0,SUM($Y279:AI279)/$W312))</f>
        <v>0</v>
      </c>
      <c r="AJ312" s="1155">
        <f>IF(OR($V312=0,$W312=0),0,IF(AJ$310&gt;$V312,0,SUM($Y279:AJ279)/$W312))</f>
        <v>0</v>
      </c>
      <c r="AK312" s="1155">
        <f>IF(OR($V312=0,$W312=0),0,IF(AK$310&gt;$V312,0,SUM($Y279:AK279)/$W312))</f>
        <v>0</v>
      </c>
      <c r="AL312" s="1155">
        <f>IF(OR($V312=0,$W312=0),0,IF(AL$310&gt;$V312,0,SUM($Y279:AL279)/$W312))</f>
        <v>0</v>
      </c>
      <c r="AM312" s="1155">
        <f>IF(OR($V312=0,$W312=0),0,IF(AM$310&gt;$V312,0,SUM($Y279:AM279)/$W312))</f>
        <v>0</v>
      </c>
      <c r="AN312" s="1155">
        <f>IF(OR($V312=0,$W312=0),0,IF(AN$310&gt;$V312,0,SUM($Y279:AN279)/$W312))</f>
        <v>0</v>
      </c>
      <c r="AO312" s="1155">
        <f>IF(OR($V312=0,$W312=0),0,IF(AO$310&gt;$V312,0,SUM($Y279:AO279)/$W312))</f>
        <v>0</v>
      </c>
      <c r="AP312" s="1155">
        <f>IF(OR($V312=0,$W312=0),0,IF(AP$310&gt;$V312,0,SUM($Y279:AP279)/$W312))</f>
        <v>0</v>
      </c>
      <c r="AQ312" s="1155">
        <f>IF(OR($V312=0,$W312=0),0,IF(AQ$310&gt;$V312,0,SUM($Y279:AQ279)/$W312))</f>
        <v>0</v>
      </c>
      <c r="AR312" s="1155">
        <f>IF(OR($V312=0,$W312=0),0,IF(AR$310&gt;$V312,0,SUM($Y279:AR279)/$W312))</f>
        <v>0</v>
      </c>
      <c r="AS312" s="1155">
        <f>IF(OR($V312=0,$W312=0),0,IF(AS$310&gt;$V312,0,SUM($Y279:AS279)/$W312))</f>
        <v>0</v>
      </c>
      <c r="AT312" s="1155">
        <f>IF(OR($V312=0,$W312=0),0,IF(AT$310&gt;$V312,0,SUM($Y279:AT279)/$W312))</f>
        <v>0</v>
      </c>
      <c r="AU312" s="1155">
        <f>IF(OR($V312=0,$W312=0),0,IF(AU$310&gt;$V312,0,SUM($Y279:AU279)/$W312))</f>
        <v>0</v>
      </c>
      <c r="AV312" s="1155">
        <f>IF(OR($V312=0,$W312=0),0,IF(AV$310&gt;$V312,0,SUM($Y279:AV279)/$W312))</f>
        <v>0</v>
      </c>
      <c r="AW312" s="1155">
        <f>IF(OR($V312=0,$W312=0),0,IF(AW$310&gt;$V312,0,SUM($Y279:AW279)/$W312))</f>
        <v>0</v>
      </c>
      <c r="AX312" s="1155">
        <f>IF(OR($V312=0,$W312=0),0,IF(AX$310&gt;$V312,0,SUM($Y279:AX279)/$W312))</f>
        <v>0</v>
      </c>
      <c r="AY312" s="1155">
        <f>IF(OR($V312=0,$W312=0),0,IF(AY$310&gt;$V312,0,SUM($Y279:AY279)/$W312))</f>
        <v>0</v>
      </c>
      <c r="AZ312" s="1155">
        <f>IF(OR($V312=0,$W312=0),0,IF(AZ$310&gt;$V312,0,SUM($Y279:AZ279)/$W312))</f>
        <v>0</v>
      </c>
      <c r="BA312" s="1155">
        <f>IF(OR($V312=0,$W312=0),0,IF(BA$310&gt;$V312,0,SUM($Y279:BA279)/$W312))</f>
        <v>0</v>
      </c>
      <c r="BB312" s="1155">
        <f>IF(OR($V312=0,$W312=0),0,IF(BB$310&gt;$V312,0,SUM($Y279:BB279)/$W312))</f>
        <v>0</v>
      </c>
      <c r="BC312" s="1155">
        <f>IF(OR($V312=0,$W312=0),0,IF(BC$310&gt;$V312,0,SUM($Y279:BC279)/$W312))</f>
        <v>0</v>
      </c>
      <c r="BD312" s="1155">
        <f>IF(OR($V312=0,$W312=0),0,IF(BD$310&gt;$V312,0,SUM($Y279:BD279)/$W312))</f>
        <v>0</v>
      </c>
      <c r="BE312" s="1155">
        <f>IF(OR($V312=0,$W312=0),0,IF(BE$310&gt;$V312,0,SUM($Y279:BE279)/$W312))</f>
        <v>0</v>
      </c>
      <c r="BF312" s="1155">
        <f>IF(OR($V312=0,$W312=0),0,IF(BF$310&gt;$V312,0,SUM($Y279:BF279)/$W312))</f>
        <v>0</v>
      </c>
      <c r="BG312" s="1155">
        <f>IF(OR($V312=0,$W312=0),0,IF(BG$310&gt;$V312,0,SUM($Y279:BG279)/$W312))</f>
        <v>0</v>
      </c>
      <c r="BH312" s="1155">
        <f>IF(OR($V312=0,$W312=0),0,IF(BH$310&gt;$V312,0,SUM($Y279:BH279)/$W312))</f>
        <v>0</v>
      </c>
      <c r="BI312" s="1155">
        <f>IF(OR($V312=0,$W312=0),0,IF(BI$310&gt;$V312,0,SUM($Y279:BI279)/$W312))</f>
        <v>0</v>
      </c>
      <c r="BJ312" s="1155">
        <f>IF(OR($V312=0,$W312=0),0,IF(BJ$310&gt;$V312,0,SUM($Y279:BJ279)/$W312))</f>
        <v>0</v>
      </c>
      <c r="BK312" s="1155">
        <f>IF(OR($V312=0,$W312=0),0,IF(BK$310&gt;$V312,0,SUM($Y279:BK279)/$W312))</f>
        <v>0</v>
      </c>
      <c r="BL312" s="1155">
        <f>IF(OR($V312=0,$W312=0),0,IF(BL$310&gt;$V312,0,SUM($Y279:BL279)/$W312))</f>
        <v>0</v>
      </c>
      <c r="BM312" s="1155">
        <f>IF(OR($V312=0,$W312=0),0,IF(BM$310&gt;$V312,0,SUM($Y279:BM279)/$W312))</f>
        <v>0</v>
      </c>
      <c r="BN312" s="1155">
        <f>IF(OR($V312=0,$W312=0),0,IF(BN$310&gt;$V312,0,SUM($Y279:BN279)/$W312))</f>
        <v>0</v>
      </c>
      <c r="BO312" s="1155">
        <f>IF(OR($V312=0,$W312=0),0,IF(BO$310&gt;$V312,0,SUM($Y279:BO279)/$W312))</f>
        <v>0</v>
      </c>
      <c r="BP312" s="1155">
        <f>IF(OR($V312=0,$W312=0),0,IF(BP$310&gt;$V312,0,SUM($Y279:BP279)/$W312))</f>
        <v>0</v>
      </c>
      <c r="BQ312" s="1155">
        <f>IF(OR($V312=0,$W312=0),0,IF(BQ$310&gt;$V312,0,SUM($Y279:BQ279)/$W312))</f>
        <v>0</v>
      </c>
      <c r="BR312" s="1155">
        <f>IF(OR($V312=0,$W312=0),0,IF(BR$310&gt;$V312,0,SUM($Y279:BR279)/$W312))</f>
        <v>0</v>
      </c>
      <c r="BS312" s="1155">
        <f>IF(OR($V312=0,$W312=0),0,IF(BS$310&gt;$V312,0,SUM($Y279:BS279)/$W312))</f>
        <v>0</v>
      </c>
      <c r="BT312" s="1155">
        <f>IF(OR($V312=0,$W312=0),0,IF(BT$310&gt;$V312,0,SUM($Y279:BT279)/$W312))</f>
        <v>0</v>
      </c>
      <c r="BU312" s="1155">
        <f>IF(OR($V312=0,$W312=0),0,IF(BU$310&gt;$V312,0,SUM($Y279:BU279)/$W312))</f>
        <v>0</v>
      </c>
      <c r="BV312" s="1155">
        <f>IF(OR($V312=0,$W312=0),0,IF(BV$310&gt;$V312,0,SUM($Y279:BV279)/$W312))</f>
        <v>0</v>
      </c>
      <c r="BW312" s="1155">
        <f>IF(OR($V312=0,$W312=0),0,IF(BW$310&gt;$V312,0,SUM($Y279:BW279)/$W312))</f>
        <v>0</v>
      </c>
      <c r="BX312" s="1457">
        <f>IF(OR($V312=0,$W312=0),0,IF(BX$310&gt;$V312,0,SUM($Y279:BX279)/$W312))</f>
        <v>0</v>
      </c>
      <c r="BY312" s="1457">
        <f>IF(OR($V312=0,$W312=0),0,IF(BY$310&gt;$V312,0,SUM($Y279:BY279)/$W312))</f>
        <v>0</v>
      </c>
      <c r="BZ312" s="1162">
        <f>IF(OR($V312=0,$W312=0),0,IF(BZ$310&gt;$V312,0,SUM($Y279:BZ279)/$W312))</f>
        <v>0</v>
      </c>
      <c r="CA312" s="1162">
        <f>IF(OR($V312=0,$W312=0),0,IF(CA$310&gt;$V312,0,SUM($Y279:CA279)/$W312))</f>
        <v>0</v>
      </c>
      <c r="CB312" s="1162">
        <f>IF(OR($V312=0,$W312=0),0,IF(CB$310&gt;$V312,0,SUM($Y279:CB279)/$W312))</f>
        <v>0</v>
      </c>
      <c r="CC312" s="1162">
        <f>IF(OR($V312=0,$W312=0),0,IF(CC$310&gt;$V312,0,SUM($Y279:CC279)/$W312))</f>
        <v>0</v>
      </c>
      <c r="CD312" s="1162">
        <f>IF(OR($V312=0,$W312=0),0,IF(CD$310&gt;$V312,0,SUM($Y279:CD279)/$W312))</f>
        <v>0</v>
      </c>
      <c r="CE312" s="1162">
        <f>IF(OR($V312=0,$W312=0),0,IF(CE$310&gt;$V312,0,SUM($Y279:CE279)/$W312))</f>
        <v>0</v>
      </c>
      <c r="CF312" s="1162">
        <f>IF(OR($V312=0,$W312=0),0,IF(CF$310&gt;$V312,0,SUM($Y279:CF279)/$W312))</f>
        <v>0</v>
      </c>
      <c r="CG312" s="1162">
        <f>IF(OR($V312=0,$W312=0),0,IF(CG$310&gt;$V312,0,SUM($Y279:CG279)/$W312))</f>
        <v>0</v>
      </c>
      <c r="CH312" s="1162">
        <f>IF(OR($V312=0,$W312=0),0,IF(CH$310&gt;$V312,0,SUM($Y279:CH279)/$W312))</f>
        <v>0</v>
      </c>
      <c r="CI312" s="1162">
        <f>IF(OR($V312=0,$W312=0),0,IF(CI$310&gt;$V312,0,SUM($Y279:CI279)/$W312))</f>
        <v>0</v>
      </c>
      <c r="CJ312" s="1162">
        <f>IF(OR($V312=0,$W312=0),0,IF(CJ$310&gt;$V312,0,SUM($Y279:CJ279)/$W312))</f>
        <v>0</v>
      </c>
      <c r="CK312" s="1162">
        <f>IF(OR($V312=0,$W312=0),0,IF(CK$310&gt;$V312,0,SUM($Y279:CK279)/$W312))</f>
        <v>0</v>
      </c>
      <c r="CL312" s="1162">
        <f>IF(OR($V312=0,$W312=0),0,IF(CL$310&gt;$V312,0,SUM($Y279:CL279)/$W312))</f>
        <v>0</v>
      </c>
      <c r="CM312" s="1162">
        <f>IF(OR($V312=0,$W312=0),0,IF(CM$310&gt;$V312,0,SUM($Y279:CM279)/$W312))</f>
        <v>0</v>
      </c>
      <c r="CN312" s="1162">
        <f>IF(OR($V312=0,$W312=0),0,IF(CN$310&gt;$V312,0,SUM($Y279:CN279)/$W312))</f>
        <v>0</v>
      </c>
      <c r="CO312" s="1162">
        <f>IF(OR($V312=0,$W312=0),0,IF(CO$310&gt;$V312,0,SUM($Y279:CO279)/$W312))</f>
        <v>0</v>
      </c>
      <c r="CP312" s="1162">
        <f>IF(OR($V312=0,$W312=0),0,IF(CP$310&gt;$V312,0,SUM($Y279:CP279)/$W312))</f>
        <v>0</v>
      </c>
      <c r="CQ312" s="48">
        <f>IF(OR($V312=0,$W312=0),0,IF(CQ$310&gt;$V312,0,SUM($Y279:CQ279)/$W312))</f>
        <v>0</v>
      </c>
      <c r="CR312" s="48">
        <f>IF(OR($V312=0,$W312=0),0,IF(CR$310&gt;$V312,0,SUM($Y279:CR279)/$W312))</f>
        <v>0</v>
      </c>
      <c r="CS312" s="48">
        <f>IF(OR($V312=0,$W312=0),0,IF(CS$310&gt;$V312,0,SUM($Y279:CS279)/$W312))</f>
        <v>0</v>
      </c>
      <c r="CT312" s="48">
        <f>IF(OR($V312=0,$W312=0),0,IF(CT$310&gt;$V312,0,SUM($Y279:CT279)/$W312))</f>
        <v>0</v>
      </c>
      <c r="CU312" s="48">
        <f>IF(OR($V312=0,$W312=0),0,IF(CU$310&gt;$V312,0,SUM($Y279:CU279)/$W312))</f>
        <v>0</v>
      </c>
      <c r="CV312" s="48">
        <f>IF(OR($V312=0,$W312=0),0,IF(CV$310&gt;$V312,0,SUM($Y279:CV279)/$W312))</f>
        <v>0</v>
      </c>
      <c r="CW312" s="48">
        <f>IF(OR($V312=0,$W312=0),0,IF(CW$310&gt;$V312,0,SUM($Y279:CW279)/$W312))</f>
        <v>0</v>
      </c>
      <c r="CX312" s="48">
        <f>IF(OR($V312=0,$W312=0),0,IF(CX$310&gt;$V312,0,SUM($Y279:CX279)/$W312))</f>
        <v>0</v>
      </c>
      <c r="CY312" s="48">
        <f>IF(OR($V312=0,$W312=0),0,IF(CY$310&gt;$V312,0,SUM($Y279:CY279)/$W312))</f>
        <v>0</v>
      </c>
      <c r="CZ312" s="48">
        <f>IF(OR($V312=0,$W312=0),0,IF(CZ$310&gt;$V312,0,SUM($Y279:CZ279)/$W312))</f>
        <v>0</v>
      </c>
      <c r="DA312" s="48">
        <f>IF(OR($V312=0,$W312=0),0,IF(DA$310&gt;$V312,0,SUM($Y279:DA279)/$W312))</f>
        <v>0</v>
      </c>
      <c r="DB312" s="48">
        <f>IF(OR($V312=0,$W312=0),0,IF(DB$310&gt;$V312,0,SUM($Y279:DB279)/$W312))</f>
        <v>0</v>
      </c>
      <c r="DC312" s="48">
        <f>IF(OR($V312=0,$W312=0),0,IF(DC$310&gt;$V312,0,SUM($Y279:DC279)/$W312))</f>
        <v>0</v>
      </c>
      <c r="DD312" s="48">
        <f>IF(OR($V312=0,$W312=0),0,IF(DD$310&gt;$V312,0,SUM($Y279:DD279)/$W312))</f>
        <v>0</v>
      </c>
      <c r="DE312" s="48">
        <f>IF(OR($V312=0,$W312=0),0,IF(DE$310&gt;$V312,0,SUM($Y279:DE279)/$W312))</f>
        <v>0</v>
      </c>
      <c r="DF312" s="48">
        <f>IF(OR($V312=0,$W312=0),0,IF(DF$310&gt;$V312,0,SUM($Y279:DF279)/$W312))</f>
        <v>0</v>
      </c>
      <c r="DG312" s="48">
        <f>IF(OR($V312=0,$W312=0),0,IF(DG$310&gt;$V312,0,SUM($Y279:DG279)/$W312))</f>
        <v>0</v>
      </c>
      <c r="DH312" s="48">
        <f>IF(OR($V312=0,$W312=0),0,IF(DH$310&gt;$V312,0,SUM($Y279:DH279)/$W312))</f>
        <v>0</v>
      </c>
      <c r="DI312" s="48">
        <f>IF(OR($V312=0,$W312=0),0,IF(DI$310&gt;$V312,0,SUM($Y279:DI279)/$W312))</f>
        <v>0</v>
      </c>
      <c r="DJ312" s="48">
        <f>IF(OR($V312=0,$W312=0),0,IF(DJ$310&gt;$V312,0,SUM($Y279:DJ279)/$W312))</f>
        <v>0</v>
      </c>
      <c r="DK312" s="48">
        <f>IF(OR($V312=0,$W312=0),0,IF(DK$310&gt;$V312,0,SUM($Y279:DK279)/$W312))</f>
        <v>0</v>
      </c>
      <c r="DL312" s="48">
        <f>IF(OR($V312=0,$W312=0),0,IF(DL$310&gt;$V312,0,SUM($Y279:DL279)/$W312))</f>
        <v>0</v>
      </c>
      <c r="DM312" s="48">
        <f>IF(OR($V312=0,$W312=0),0,IF(DM$310&gt;$V312,0,SUM($Y279:DM279)/$W312))</f>
        <v>0</v>
      </c>
      <c r="DN312" s="48">
        <f>IF(OR($V312=0,$W312=0),0,IF(DN$310&gt;$V312,0,SUM($Y279:DN279)/$W312))</f>
        <v>0</v>
      </c>
      <c r="DO312" s="48">
        <f>IF(OR($V312=0,$W312=0),0,IF(DO$310&gt;$V312,0,SUM($Y279:DO279)/$W312))</f>
        <v>0</v>
      </c>
      <c r="DP312" s="48">
        <f>IF(OR($V312=0,$W312=0),0,IF(DP$310&gt;$V312,0,SUM($Y279:DP279)/$W312))</f>
        <v>0</v>
      </c>
      <c r="DQ312" s="48">
        <f>IF(OR($V312=0,$W312=0),0,IF(DQ$310&gt;$V312,0,SUM($Y279:DQ279)/$W312))</f>
        <v>0</v>
      </c>
      <c r="DR312" s="50">
        <f>IF(OR($V312=0,$W312=0),0,IF(DR$310&gt;$V312,0,SUM($Y279:DR279)/$W312))</f>
        <v>0</v>
      </c>
      <c r="DS312" s="50">
        <f>IF(OR($V312=0,$W312=0),0,IF(DS$310&gt;$V312,0,SUM($Y279:DS279)/$W312))</f>
        <v>0</v>
      </c>
      <c r="DT312" s="50">
        <f>IF(OR($V312=0,$W312=0),0,IF(DT$310&gt;$V312,0,SUM($Y279:DT279)/$W312))</f>
        <v>0</v>
      </c>
      <c r="DU312" s="50">
        <f>IF(OR($V312=0,$W312=0),0,IF(DU$310&gt;$V312,0,SUM($Y279:DU279)/$W312))</f>
        <v>0</v>
      </c>
      <c r="DV312" s="50">
        <f>IF(OR($V312=0,$W312=0),0,IF(DV$310&gt;$V312,0,SUM($Y279:DV279)/$W312))</f>
        <v>0</v>
      </c>
      <c r="DW312" s="50">
        <f>IF(OR($V312=0,$W312=0),0,IF(DW$310&gt;$V312,0,SUM($Y279:DW279)/$W312))</f>
        <v>0</v>
      </c>
      <c r="DX312" s="50">
        <f>IF(OR($V312=0,$W312=0),0,IF(DX$310&gt;$V312,0,SUM($Y279:DX279)/$W312))</f>
        <v>0</v>
      </c>
      <c r="DY312" s="50">
        <f>IF(OR($V312=0,$W312=0),0,IF(DY$310&gt;$V312,0,SUM($Y279:DY279)/$W312))</f>
        <v>0</v>
      </c>
      <c r="DZ312" s="50">
        <f>IF(OR($V312=0,$W312=0),0,IF(DZ$310&gt;$V312,0,SUM($Y279:DZ279)/$W312))</f>
        <v>0</v>
      </c>
      <c r="EA312" s="50">
        <f>IF(OR($V312=0,$W312=0),0,IF(EA$310&gt;$V312,0,SUM($Y279:EA279)/$W312))</f>
        <v>0</v>
      </c>
      <c r="EB312" s="50">
        <f>IF(OR($V312=0,$W312=0),0,IF(EB$310&gt;$V312,0,SUM($Y279:EB279)/$W312))</f>
        <v>0</v>
      </c>
      <c r="EC312" s="50">
        <f>IF(OR($V312=0,$W312=0),0,IF(EC$310&gt;$V312,0,SUM($Y279:EC279)/$W312))</f>
        <v>0</v>
      </c>
      <c r="ED312" s="50">
        <f>IF(OR($V312=0,$W312=0),0,IF(ED$310&gt;$V312,0,SUM($Y279:ED279)/$W312))</f>
        <v>0</v>
      </c>
      <c r="EE312" s="50">
        <f>IF(OR($V312=0,$W312=0),0,IF(EE$310&gt;$V312,0,SUM($Y279:EE279)/$W312))</f>
        <v>0</v>
      </c>
      <c r="EF312" s="50">
        <f>IF(OR($V312=0,$W312=0),0,IF(EF$310&gt;$V312,0,SUM($Y279:EF279)/$W312))</f>
        <v>0</v>
      </c>
      <c r="EG312" s="50">
        <f>IF(OR($V312=0,$W312=0),0,IF(EG$310&gt;$V312,0,SUM($Y279:EG279)/$W312))</f>
        <v>0</v>
      </c>
      <c r="EH312" s="50">
        <f>IF(OR($V312=0,$W312=0),0,IF(EH$310&gt;$V312,0,SUM($Y279:EH279)/$W312))</f>
        <v>0</v>
      </c>
      <c r="EI312" s="50">
        <f>IF(OR($V312=0,$W312=0),0,IF(EI$310&gt;$V312,0,SUM($Y279:EI279)/$W312))</f>
        <v>0</v>
      </c>
      <c r="EJ312" s="50">
        <f>IF(OR($V312=0,$W312=0),0,IF(EJ$310&gt;$V312,0,SUM($Y279:EJ279)/$W312))</f>
        <v>0</v>
      </c>
      <c r="EK312" s="50">
        <f>IF(OR($V312=0,$W312=0),0,IF(EK$310&gt;$V312,0,SUM($Y279:EK279)/$W312))</f>
        <v>0</v>
      </c>
      <c r="EL312" s="50">
        <f>IF(OR($V312=0,$W312=0),0,IF(EL$310&gt;$V312,0,SUM($Y279:EL279)/$W312))</f>
        <v>0</v>
      </c>
      <c r="EM312" s="50">
        <f>IF(OR($V312=0,$W312=0),0,IF(EM$310&gt;$V312,0,SUM($Y279:EM279)/$W312))</f>
        <v>0</v>
      </c>
      <c r="EN312" s="50">
        <f>IF(OR($V312=0,$W312=0),0,IF(EN$310&gt;$V312,0,SUM($Y279:EN279)/$W312))</f>
        <v>0</v>
      </c>
      <c r="EO312" s="39">
        <v>51</v>
      </c>
      <c r="EP312" s="39">
        <v>51</v>
      </c>
      <c r="EQ312" s="39">
        <v>51</v>
      </c>
      <c r="ER312" s="39">
        <v>51</v>
      </c>
      <c r="ES312" s="39">
        <v>51</v>
      </c>
      <c r="ET312" s="39">
        <v>51</v>
      </c>
      <c r="EU312" s="39">
        <v>51</v>
      </c>
      <c r="EV312" s="39">
        <v>51</v>
      </c>
      <c r="EW312" s="39">
        <v>51</v>
      </c>
      <c r="EX312" s="39">
        <v>51</v>
      </c>
    </row>
    <row r="313" spans="1:154" ht="12" customHeight="1" x14ac:dyDescent="0.35">
      <c r="A313" s="67">
        <v>36</v>
      </c>
      <c r="B313" s="1438">
        <f t="shared" si="144"/>
        <v>1096</v>
      </c>
      <c r="C313" s="1440">
        <v>36</v>
      </c>
      <c r="D313" s="82"/>
      <c r="E313" s="82"/>
      <c r="F313" s="82"/>
      <c r="G313" s="1448"/>
      <c r="H313" s="1448"/>
      <c r="I313" s="1448"/>
      <c r="J313" s="1448"/>
      <c r="K313" s="1617"/>
      <c r="L313" s="1617"/>
      <c r="M313" s="1617"/>
      <c r="N313" s="1618"/>
      <c r="O313" s="1618"/>
      <c r="P313" s="1619"/>
      <c r="Q313" s="1620"/>
      <c r="R313" s="1620"/>
      <c r="S313" s="1620"/>
      <c r="T313" s="27"/>
      <c r="U313" s="1621"/>
      <c r="V313" s="1636">
        <f t="shared" si="145"/>
        <v>0</v>
      </c>
      <c r="W313" s="102">
        <f t="shared" si="146"/>
        <v>0</v>
      </c>
      <c r="X313" s="381">
        <f t="shared" si="147"/>
        <v>0</v>
      </c>
      <c r="Y313" s="1645">
        <f>IF(OR($V313=0,$W313=0),0,IF(Y$310&gt;$V313,0,SUM($Y280:Y280)/$W313))</f>
        <v>0</v>
      </c>
      <c r="Z313" s="1646">
        <f>IF(OR($V313=0,$W313=0),0,IF(Z$310&gt;$V313,0,SUM($Y280:Z280)/$W313))</f>
        <v>0</v>
      </c>
      <c r="AA313" s="1646">
        <f>IF(OR($V313=0,$W313=0),0,IF(AA$310&gt;$V313,0,SUM($Y280:AA280)/$W313))</f>
        <v>0</v>
      </c>
      <c r="AB313" s="1646">
        <f>IF(OR($V313=0,$W313=0),0,IF(AB$310&gt;$V313,0,SUM($Y280:AB280)/$W313))</f>
        <v>0</v>
      </c>
      <c r="AC313" s="1646">
        <f>IF(OR($V313=0,$W313=0),0,IF(AC$310&gt;$V313,0,SUM($Y280:AC280)/$W313))</f>
        <v>0</v>
      </c>
      <c r="AD313" s="1646">
        <f>IF(OR($V313=0,$W313=0),0,IF(AD$310&gt;$V313,0,SUM($Y280:AD280)/$W313))</f>
        <v>0</v>
      </c>
      <c r="AE313" s="1646">
        <f>IF(OR($V313=0,$W313=0),0,IF(AE$310&gt;$V313,0,SUM($Y280:AE280)/$W313))</f>
        <v>0</v>
      </c>
      <c r="AF313" s="1155">
        <f>IF(OR($V313=0,$W313=0),0,IF(AF$310&gt;$V313,0,SUM($Y280:AF280)/$W313))</f>
        <v>0</v>
      </c>
      <c r="AG313" s="1155">
        <f>IF(OR($V313=0,$W313=0),0,IF(AG$310&gt;$V313,0,SUM($Y280:AG280)/$W313))</f>
        <v>0</v>
      </c>
      <c r="AH313" s="1155">
        <f>IF(OR($V313=0,$W313=0),0,IF(AH$310&gt;$V313,0,SUM($Y280:AH280)/$W313))</f>
        <v>0</v>
      </c>
      <c r="AI313" s="1155">
        <f>IF(OR($V313=0,$W313=0),0,IF(AI$310&gt;$V313,0,SUM($Y280:AI280)/$W313))</f>
        <v>0</v>
      </c>
      <c r="AJ313" s="1155">
        <f>IF(OR($V313=0,$W313=0),0,IF(AJ$310&gt;$V313,0,SUM($Y280:AJ280)/$W313))</f>
        <v>0</v>
      </c>
      <c r="AK313" s="1155">
        <f>IF(OR($V313=0,$W313=0),0,IF(AK$310&gt;$V313,0,SUM($Y280:AK280)/$W313))</f>
        <v>0</v>
      </c>
      <c r="AL313" s="1155">
        <f>IF(OR($V313=0,$W313=0),0,IF(AL$310&gt;$V313,0,SUM($Y280:AL280)/$W313))</f>
        <v>0</v>
      </c>
      <c r="AM313" s="1155">
        <f>IF(OR($V313=0,$W313=0),0,IF(AM$310&gt;$V313,0,SUM($Y280:AM280)/$W313))</f>
        <v>0</v>
      </c>
      <c r="AN313" s="1155">
        <f>IF(OR($V313=0,$W313=0),0,IF(AN$310&gt;$V313,0,SUM($Y280:AN280)/$W313))</f>
        <v>0</v>
      </c>
      <c r="AO313" s="1155">
        <f>IF(OR($V313=0,$W313=0),0,IF(AO$310&gt;$V313,0,SUM($Y280:AO280)/$W313))</f>
        <v>0</v>
      </c>
      <c r="AP313" s="1155">
        <f>IF(OR($V313=0,$W313=0),0,IF(AP$310&gt;$V313,0,SUM($Y280:AP280)/$W313))</f>
        <v>0</v>
      </c>
      <c r="AQ313" s="1155">
        <f>IF(OR($V313=0,$W313=0),0,IF(AQ$310&gt;$V313,0,SUM($Y280:AQ280)/$W313))</f>
        <v>0</v>
      </c>
      <c r="AR313" s="1155">
        <f>IF(OR($V313=0,$W313=0),0,IF(AR$310&gt;$V313,0,SUM($Y280:AR280)/$W313))</f>
        <v>0</v>
      </c>
      <c r="AS313" s="1155">
        <f>IF(OR($V313=0,$W313=0),0,IF(AS$310&gt;$V313,0,SUM($Y280:AS280)/$W313))</f>
        <v>0</v>
      </c>
      <c r="AT313" s="1155">
        <f>IF(OR($V313=0,$W313=0),0,IF(AT$310&gt;$V313,0,SUM($Y280:AT280)/$W313))</f>
        <v>0</v>
      </c>
      <c r="AU313" s="1155">
        <f>IF(OR($V313=0,$W313=0),0,IF(AU$310&gt;$V313,0,SUM($Y280:AU280)/$W313))</f>
        <v>0</v>
      </c>
      <c r="AV313" s="1155">
        <f>IF(OR($V313=0,$W313=0),0,IF(AV$310&gt;$V313,0,SUM($Y280:AV280)/$W313))</f>
        <v>0</v>
      </c>
      <c r="AW313" s="1155">
        <f>IF(OR($V313=0,$W313=0),0,IF(AW$310&gt;$V313,0,SUM($Y280:AW280)/$W313))</f>
        <v>0</v>
      </c>
      <c r="AX313" s="1155">
        <f>IF(OR($V313=0,$W313=0),0,IF(AX$310&gt;$V313,0,SUM($Y280:AX280)/$W313))</f>
        <v>0</v>
      </c>
      <c r="AY313" s="1155">
        <f>IF(OR($V313=0,$W313=0),0,IF(AY$310&gt;$V313,0,SUM($Y280:AY280)/$W313))</f>
        <v>0</v>
      </c>
      <c r="AZ313" s="1155">
        <f>IF(OR($V313=0,$W313=0),0,IF(AZ$310&gt;$V313,0,SUM($Y280:AZ280)/$W313))</f>
        <v>0</v>
      </c>
      <c r="BA313" s="1155">
        <f>IF(OR($V313=0,$W313=0),0,IF(BA$310&gt;$V313,0,SUM($Y280:BA280)/$W313))</f>
        <v>0</v>
      </c>
      <c r="BB313" s="1155">
        <f>IF(OR($V313=0,$W313=0),0,IF(BB$310&gt;$V313,0,SUM($Y280:BB280)/$W313))</f>
        <v>0</v>
      </c>
      <c r="BC313" s="1155">
        <f>IF(OR($V313=0,$W313=0),0,IF(BC$310&gt;$V313,0,SUM($Y280:BC280)/$W313))</f>
        <v>0</v>
      </c>
      <c r="BD313" s="1155">
        <f>IF(OR($V313=0,$W313=0),0,IF(BD$310&gt;$V313,0,SUM($Y280:BD280)/$W313))</f>
        <v>0</v>
      </c>
      <c r="BE313" s="1155">
        <f>IF(OR($V313=0,$W313=0),0,IF(BE$310&gt;$V313,0,SUM($Y280:BE280)/$W313))</f>
        <v>0</v>
      </c>
      <c r="BF313" s="1155">
        <f>IF(OR($V313=0,$W313=0),0,IF(BF$310&gt;$V313,0,SUM($Y280:BF280)/$W313))</f>
        <v>0</v>
      </c>
      <c r="BG313" s="1155">
        <f>IF(OR($V313=0,$W313=0),0,IF(BG$310&gt;$V313,0,SUM($Y280:BG280)/$W313))</f>
        <v>0</v>
      </c>
      <c r="BH313" s="1155">
        <f>IF(OR($V313=0,$W313=0),0,IF(BH$310&gt;$V313,0,SUM($Y280:BH280)/$W313))</f>
        <v>0</v>
      </c>
      <c r="BI313" s="1155">
        <f>IF(OR($V313=0,$W313=0),0,IF(BI$310&gt;$V313,0,SUM($Y280:BI280)/$W313))</f>
        <v>0</v>
      </c>
      <c r="BJ313" s="1155">
        <f>IF(OR($V313=0,$W313=0),0,IF(BJ$310&gt;$V313,0,SUM($Y280:BJ280)/$W313))</f>
        <v>0</v>
      </c>
      <c r="BK313" s="1155">
        <f>IF(OR($V313=0,$W313=0),0,IF(BK$310&gt;$V313,0,SUM($Y280:BK280)/$W313))</f>
        <v>0</v>
      </c>
      <c r="BL313" s="1155">
        <f>IF(OR($V313=0,$W313=0),0,IF(BL$310&gt;$V313,0,SUM($Y280:BL280)/$W313))</f>
        <v>0</v>
      </c>
      <c r="BM313" s="1155">
        <f>IF(OR($V313=0,$W313=0),0,IF(BM$310&gt;$V313,0,SUM($Y280:BM280)/$W313))</f>
        <v>0</v>
      </c>
      <c r="BN313" s="1155">
        <f>IF(OR($V313=0,$W313=0),0,IF(BN$310&gt;$V313,0,SUM($Y280:BN280)/$W313))</f>
        <v>0</v>
      </c>
      <c r="BO313" s="1155">
        <f>IF(OR($V313=0,$W313=0),0,IF(BO$310&gt;$V313,0,SUM($Y280:BO280)/$W313))</f>
        <v>0</v>
      </c>
      <c r="BP313" s="1155">
        <f>IF(OR($V313=0,$W313=0),0,IF(BP$310&gt;$V313,0,SUM($Y280:BP280)/$W313))</f>
        <v>0</v>
      </c>
      <c r="BQ313" s="1155">
        <f>IF(OR($V313=0,$W313=0),0,IF(BQ$310&gt;$V313,0,SUM($Y280:BQ280)/$W313))</f>
        <v>0</v>
      </c>
      <c r="BR313" s="1155">
        <f>IF(OR($V313=0,$W313=0),0,IF(BR$310&gt;$V313,0,SUM($Y280:BR280)/$W313))</f>
        <v>0</v>
      </c>
      <c r="BS313" s="1155">
        <f>IF(OR($V313=0,$W313=0),0,IF(BS$310&gt;$V313,0,SUM($Y280:BS280)/$W313))</f>
        <v>0</v>
      </c>
      <c r="BT313" s="1155">
        <f>IF(OR($V313=0,$W313=0),0,IF(BT$310&gt;$V313,0,SUM($Y280:BT280)/$W313))</f>
        <v>0</v>
      </c>
      <c r="BU313" s="1155">
        <f>IF(OR($V313=0,$W313=0),0,IF(BU$310&gt;$V313,0,SUM($Y280:BU280)/$W313))</f>
        <v>0</v>
      </c>
      <c r="BV313" s="1155">
        <f>IF(OR($V313=0,$W313=0),0,IF(BV$310&gt;$V313,0,SUM($Y280:BV280)/$W313))</f>
        <v>0</v>
      </c>
      <c r="BW313" s="1155">
        <f>IF(OR($V313=0,$W313=0),0,IF(BW$310&gt;$V313,0,SUM($Y280:BW280)/$W313))</f>
        <v>0</v>
      </c>
      <c r="BX313" s="1457">
        <f>IF(OR($V313=0,$W313=0),0,IF(BX$310&gt;$V313,0,SUM($Y280:BX280)/$W313))</f>
        <v>0</v>
      </c>
      <c r="BY313" s="1457">
        <f>IF(OR($V313=0,$W313=0),0,IF(BY$310&gt;$V313,0,SUM($Y280:BY280)/$W313))</f>
        <v>0</v>
      </c>
      <c r="BZ313" s="1162">
        <f>IF(OR($V313=0,$W313=0),0,IF(BZ$310&gt;$V313,0,SUM($Y280:BZ280)/$W313))</f>
        <v>0</v>
      </c>
      <c r="CA313" s="1162">
        <f>IF(OR($V313=0,$W313=0),0,IF(CA$310&gt;$V313,0,SUM($Y280:CA280)/$W313))</f>
        <v>0</v>
      </c>
      <c r="CB313" s="1162">
        <f>IF(OR($V313=0,$W313=0),0,IF(CB$310&gt;$V313,0,SUM($Y280:CB280)/$W313))</f>
        <v>0</v>
      </c>
      <c r="CC313" s="1162">
        <f>IF(OR($V313=0,$W313=0),0,IF(CC$310&gt;$V313,0,SUM($Y280:CC280)/$W313))</f>
        <v>0</v>
      </c>
      <c r="CD313" s="1162">
        <f>IF(OR($V313=0,$W313=0),0,IF(CD$310&gt;$V313,0,SUM($Y280:CD280)/$W313))</f>
        <v>0</v>
      </c>
      <c r="CE313" s="1162">
        <f>IF(OR($V313=0,$W313=0),0,IF(CE$310&gt;$V313,0,SUM($Y280:CE280)/$W313))</f>
        <v>0</v>
      </c>
      <c r="CF313" s="1162">
        <f>IF(OR($V313=0,$W313=0),0,IF(CF$310&gt;$V313,0,SUM($Y280:CF280)/$W313))</f>
        <v>0</v>
      </c>
      <c r="CG313" s="1162">
        <f>IF(OR($V313=0,$W313=0),0,IF(CG$310&gt;$V313,0,SUM($Y280:CG280)/$W313))</f>
        <v>0</v>
      </c>
      <c r="CH313" s="1162">
        <f>IF(OR($V313=0,$W313=0),0,IF(CH$310&gt;$V313,0,SUM($Y280:CH280)/$W313))</f>
        <v>0</v>
      </c>
      <c r="CI313" s="1162">
        <f>IF(OR($V313=0,$W313=0),0,IF(CI$310&gt;$V313,0,SUM($Y280:CI280)/$W313))</f>
        <v>0</v>
      </c>
      <c r="CJ313" s="1162">
        <f>IF(OR($V313=0,$W313=0),0,IF(CJ$310&gt;$V313,0,SUM($Y280:CJ280)/$W313))</f>
        <v>0</v>
      </c>
      <c r="CK313" s="1162">
        <f>IF(OR($V313=0,$W313=0),0,IF(CK$310&gt;$V313,0,SUM($Y280:CK280)/$W313))</f>
        <v>0</v>
      </c>
      <c r="CL313" s="1162">
        <f>IF(OR($V313=0,$W313=0),0,IF(CL$310&gt;$V313,0,SUM($Y280:CL280)/$W313))</f>
        <v>0</v>
      </c>
      <c r="CM313" s="1162">
        <f>IF(OR($V313=0,$W313=0),0,IF(CM$310&gt;$V313,0,SUM($Y280:CM280)/$W313))</f>
        <v>0</v>
      </c>
      <c r="CN313" s="1162">
        <f>IF(OR($V313=0,$W313=0),0,IF(CN$310&gt;$V313,0,SUM($Y280:CN280)/$W313))</f>
        <v>0</v>
      </c>
      <c r="CO313" s="1162">
        <f>IF(OR($V313=0,$W313=0),0,IF(CO$310&gt;$V313,0,SUM($Y280:CO280)/$W313))</f>
        <v>0</v>
      </c>
      <c r="CP313" s="1162">
        <f>IF(OR($V313=0,$W313=0),0,IF(CP$310&gt;$V313,0,SUM($Y280:CP280)/$W313))</f>
        <v>0</v>
      </c>
      <c r="CQ313" s="48">
        <f>IF(OR($V313=0,$W313=0),0,IF(CQ$310&gt;$V313,0,SUM($Y280:CQ280)/$W313))</f>
        <v>0</v>
      </c>
      <c r="CR313" s="48">
        <f>IF(OR($V313=0,$W313=0),0,IF(CR$310&gt;$V313,0,SUM($Y280:CR280)/$W313))</f>
        <v>0</v>
      </c>
      <c r="CS313" s="48">
        <f>IF(OR($V313=0,$W313=0),0,IF(CS$310&gt;$V313,0,SUM($Y280:CS280)/$W313))</f>
        <v>0</v>
      </c>
      <c r="CT313" s="48">
        <f>IF(OR($V313=0,$W313=0),0,IF(CT$310&gt;$V313,0,SUM($Y280:CT280)/$W313))</f>
        <v>0</v>
      </c>
      <c r="CU313" s="48">
        <f>IF(OR($V313=0,$W313=0),0,IF(CU$310&gt;$V313,0,SUM($Y280:CU280)/$W313))</f>
        <v>0</v>
      </c>
      <c r="CV313" s="48">
        <f>IF(OR($V313=0,$W313=0),0,IF(CV$310&gt;$V313,0,SUM($Y280:CV280)/$W313))</f>
        <v>0</v>
      </c>
      <c r="CW313" s="48">
        <f>IF(OR($V313=0,$W313=0),0,IF(CW$310&gt;$V313,0,SUM($Y280:CW280)/$W313))</f>
        <v>0</v>
      </c>
      <c r="CX313" s="48">
        <f>IF(OR($V313=0,$W313=0),0,IF(CX$310&gt;$V313,0,SUM($Y280:CX280)/$W313))</f>
        <v>0</v>
      </c>
      <c r="CY313" s="48">
        <f>IF(OR($V313=0,$W313=0),0,IF(CY$310&gt;$V313,0,SUM($Y280:CY280)/$W313))</f>
        <v>0</v>
      </c>
      <c r="CZ313" s="48">
        <f>IF(OR($V313=0,$W313=0),0,IF(CZ$310&gt;$V313,0,SUM($Y280:CZ280)/$W313))</f>
        <v>0</v>
      </c>
      <c r="DA313" s="48">
        <f>IF(OR($V313=0,$W313=0),0,IF(DA$310&gt;$V313,0,SUM($Y280:DA280)/$W313))</f>
        <v>0</v>
      </c>
      <c r="DB313" s="48">
        <f>IF(OR($V313=0,$W313=0),0,IF(DB$310&gt;$V313,0,SUM($Y280:DB280)/$W313))</f>
        <v>0</v>
      </c>
      <c r="DC313" s="48">
        <f>IF(OR($V313=0,$W313=0),0,IF(DC$310&gt;$V313,0,SUM($Y280:DC280)/$W313))</f>
        <v>0</v>
      </c>
      <c r="DD313" s="48">
        <f>IF(OR($V313=0,$W313=0),0,IF(DD$310&gt;$V313,0,SUM($Y280:DD280)/$W313))</f>
        <v>0</v>
      </c>
      <c r="DE313" s="48">
        <f>IF(OR($V313=0,$W313=0),0,IF(DE$310&gt;$V313,0,SUM($Y280:DE280)/$W313))</f>
        <v>0</v>
      </c>
      <c r="DF313" s="48">
        <f>IF(OR($V313=0,$W313=0),0,IF(DF$310&gt;$V313,0,SUM($Y280:DF280)/$W313))</f>
        <v>0</v>
      </c>
      <c r="DG313" s="48">
        <f>IF(OR($V313=0,$W313=0),0,IF(DG$310&gt;$V313,0,SUM($Y280:DG280)/$W313))</f>
        <v>0</v>
      </c>
      <c r="DH313" s="48">
        <f>IF(OR($V313=0,$W313=0),0,IF(DH$310&gt;$V313,0,SUM($Y280:DH280)/$W313))</f>
        <v>0</v>
      </c>
      <c r="DI313" s="48">
        <f>IF(OR($V313=0,$W313=0),0,IF(DI$310&gt;$V313,0,SUM($Y280:DI280)/$W313))</f>
        <v>0</v>
      </c>
      <c r="DJ313" s="48">
        <f>IF(OR($V313=0,$W313=0),0,IF(DJ$310&gt;$V313,0,SUM($Y280:DJ280)/$W313))</f>
        <v>0</v>
      </c>
      <c r="DK313" s="48">
        <f>IF(OR($V313=0,$W313=0),0,IF(DK$310&gt;$V313,0,SUM($Y280:DK280)/$W313))</f>
        <v>0</v>
      </c>
      <c r="DL313" s="48">
        <f>IF(OR($V313=0,$W313=0),0,IF(DL$310&gt;$V313,0,SUM($Y280:DL280)/$W313))</f>
        <v>0</v>
      </c>
      <c r="DM313" s="48">
        <f>IF(OR($V313=0,$W313=0),0,IF(DM$310&gt;$V313,0,SUM($Y280:DM280)/$W313))</f>
        <v>0</v>
      </c>
      <c r="DN313" s="48">
        <f>IF(OR($V313=0,$W313=0),0,IF(DN$310&gt;$V313,0,SUM($Y280:DN280)/$W313))</f>
        <v>0</v>
      </c>
      <c r="DO313" s="48">
        <f>IF(OR($V313=0,$W313=0),0,IF(DO$310&gt;$V313,0,SUM($Y280:DO280)/$W313))</f>
        <v>0</v>
      </c>
      <c r="DP313" s="48">
        <f>IF(OR($V313=0,$W313=0),0,IF(DP$310&gt;$V313,0,SUM($Y280:DP280)/$W313))</f>
        <v>0</v>
      </c>
      <c r="DQ313" s="48">
        <f>IF(OR($V313=0,$W313=0),0,IF(DQ$310&gt;$V313,0,SUM($Y280:DQ280)/$W313))</f>
        <v>0</v>
      </c>
      <c r="DR313" s="50">
        <f>IF(OR($V313=0,$W313=0),0,IF(DR$310&gt;$V313,0,SUM($Y280:DR280)/$W313))</f>
        <v>0</v>
      </c>
      <c r="DS313" s="50">
        <f>IF(OR($V313=0,$W313=0),0,IF(DS$310&gt;$V313,0,SUM($Y280:DS280)/$W313))</f>
        <v>0</v>
      </c>
      <c r="DT313" s="50">
        <f>IF(OR($V313=0,$W313=0),0,IF(DT$310&gt;$V313,0,SUM($Y280:DT280)/$W313))</f>
        <v>0</v>
      </c>
      <c r="DU313" s="50">
        <f>IF(OR($V313=0,$W313=0),0,IF(DU$310&gt;$V313,0,SUM($Y280:DU280)/$W313))</f>
        <v>0</v>
      </c>
      <c r="DV313" s="50">
        <f>IF(OR($V313=0,$W313=0),0,IF(DV$310&gt;$V313,0,SUM($Y280:DV280)/$W313))</f>
        <v>0</v>
      </c>
      <c r="DW313" s="50">
        <f>IF(OR($V313=0,$W313=0),0,IF(DW$310&gt;$V313,0,SUM($Y280:DW280)/$W313))</f>
        <v>0</v>
      </c>
      <c r="DX313" s="50">
        <f>IF(OR($V313=0,$W313=0),0,IF(DX$310&gt;$V313,0,SUM($Y280:DX280)/$W313))</f>
        <v>0</v>
      </c>
      <c r="DY313" s="50">
        <f>IF(OR($V313=0,$W313=0),0,IF(DY$310&gt;$V313,0,SUM($Y280:DY280)/$W313))</f>
        <v>0</v>
      </c>
      <c r="DZ313" s="50">
        <f>IF(OR($V313=0,$W313=0),0,IF(DZ$310&gt;$V313,0,SUM($Y280:DZ280)/$W313))</f>
        <v>0</v>
      </c>
      <c r="EA313" s="50">
        <f>IF(OR($V313=0,$W313=0),0,IF(EA$310&gt;$V313,0,SUM($Y280:EA280)/$W313))</f>
        <v>0</v>
      </c>
      <c r="EB313" s="50">
        <f>IF(OR($V313=0,$W313=0),0,IF(EB$310&gt;$V313,0,SUM($Y280:EB280)/$W313))</f>
        <v>0</v>
      </c>
      <c r="EC313" s="50">
        <f>IF(OR($V313=0,$W313=0),0,IF(EC$310&gt;$V313,0,SUM($Y280:EC280)/$W313))</f>
        <v>0</v>
      </c>
      <c r="ED313" s="50">
        <f>IF(OR($V313=0,$W313=0),0,IF(ED$310&gt;$V313,0,SUM($Y280:ED280)/$W313))</f>
        <v>0</v>
      </c>
      <c r="EE313" s="50">
        <f>IF(OR($V313=0,$W313=0),0,IF(EE$310&gt;$V313,0,SUM($Y280:EE280)/$W313))</f>
        <v>0</v>
      </c>
      <c r="EF313" s="50">
        <f>IF(OR($V313=0,$W313=0),0,IF(EF$310&gt;$V313,0,SUM($Y280:EF280)/$W313))</f>
        <v>0</v>
      </c>
      <c r="EG313" s="50">
        <f>IF(OR($V313=0,$W313=0),0,IF(EG$310&gt;$V313,0,SUM($Y280:EG280)/$W313))</f>
        <v>0</v>
      </c>
      <c r="EH313" s="50">
        <f>IF(OR($V313=0,$W313=0),0,IF(EH$310&gt;$V313,0,SUM($Y280:EH280)/$W313))</f>
        <v>0</v>
      </c>
      <c r="EI313" s="50">
        <f>IF(OR($V313=0,$W313=0),0,IF(EI$310&gt;$V313,0,SUM($Y280:EI280)/$W313))</f>
        <v>0</v>
      </c>
      <c r="EJ313" s="50">
        <f>IF(OR($V313=0,$W313=0),0,IF(EJ$310&gt;$V313,0,SUM($Y280:EJ280)/$W313))</f>
        <v>0</v>
      </c>
      <c r="EK313" s="50">
        <f>IF(OR($V313=0,$W313=0),0,IF(EK$310&gt;$V313,0,SUM($Y280:EK280)/$W313))</f>
        <v>0</v>
      </c>
      <c r="EL313" s="50">
        <f>IF(OR($V313=0,$W313=0),0,IF(EL$310&gt;$V313,0,SUM($Y280:EL280)/$W313))</f>
        <v>0</v>
      </c>
      <c r="EM313" s="50">
        <f>IF(OR($V313=0,$W313=0),0,IF(EM$310&gt;$V313,0,SUM($Y280:EM280)/$W313))</f>
        <v>0</v>
      </c>
      <c r="EN313" s="50">
        <f>IF(OR($V313=0,$W313=0),0,IF(EN$310&gt;$V313,0,SUM($Y280:EN280)/$W313))</f>
        <v>0</v>
      </c>
      <c r="EO313" s="39">
        <v>51</v>
      </c>
      <c r="EP313" s="39">
        <v>51</v>
      </c>
      <c r="EQ313" s="39">
        <v>51</v>
      </c>
      <c r="ER313" s="39">
        <v>51</v>
      </c>
      <c r="ES313" s="39">
        <v>51</v>
      </c>
      <c r="ET313" s="39">
        <v>51</v>
      </c>
      <c r="EU313" s="39">
        <v>51</v>
      </c>
      <c r="EV313" s="39">
        <v>51</v>
      </c>
      <c r="EW313" s="39">
        <v>51</v>
      </c>
      <c r="EX313" s="39">
        <v>51</v>
      </c>
    </row>
    <row r="314" spans="1:154" ht="12" customHeight="1" x14ac:dyDescent="0.35">
      <c r="A314" s="67">
        <v>37</v>
      </c>
      <c r="B314" s="1438">
        <f t="shared" si="144"/>
        <v>1127</v>
      </c>
      <c r="C314" s="1440">
        <v>37</v>
      </c>
      <c r="D314" s="82"/>
      <c r="E314" s="82"/>
      <c r="F314" s="82"/>
      <c r="G314" s="1448"/>
      <c r="H314" s="1448"/>
      <c r="I314" s="1448"/>
      <c r="J314" s="1448"/>
      <c r="K314" s="1668"/>
      <c r="L314" s="1668"/>
      <c r="M314" s="1668"/>
      <c r="N314" s="1669"/>
      <c r="O314" s="1669"/>
      <c r="P314" s="1670"/>
      <c r="Q314" s="1671"/>
      <c r="R314" s="1671"/>
      <c r="S314" s="1671"/>
      <c r="T314" s="1667"/>
      <c r="U314" s="1672"/>
      <c r="V314" s="1636">
        <f t="shared" si="145"/>
        <v>0</v>
      </c>
      <c r="W314" s="102">
        <f t="shared" si="146"/>
        <v>0</v>
      </c>
      <c r="X314" s="381">
        <f t="shared" si="147"/>
        <v>0</v>
      </c>
      <c r="Y314" s="1645">
        <f>IF(OR($V314=0,$W314=0),0,IF(Y$310&gt;$V314,0,SUM($Y281:Y281)/$W314))</f>
        <v>0</v>
      </c>
      <c r="Z314" s="1646">
        <f>IF(OR($V314=0,$W314=0),0,IF(Z$310&gt;$V314,0,SUM($Y281:Z281)/$W314))</f>
        <v>0</v>
      </c>
      <c r="AA314" s="1646">
        <f>IF(OR($V314=0,$W314=0),0,IF(AA$310&gt;$V314,0,SUM($Y281:AA281)/$W314))</f>
        <v>0</v>
      </c>
      <c r="AB314" s="1646">
        <f>IF(OR($V314=0,$W314=0),0,IF(AB$310&gt;$V314,0,SUM($Y281:AB281)/$W314))</f>
        <v>0</v>
      </c>
      <c r="AC314" s="1646">
        <f>IF(OR($V314=0,$W314=0),0,IF(AC$310&gt;$V314,0,SUM($Y281:AC281)/$W314))</f>
        <v>0</v>
      </c>
      <c r="AD314" s="1646">
        <f>IF(OR($V314=0,$W314=0),0,IF(AD$310&gt;$V314,0,SUM($Y281:AD281)/$W314))</f>
        <v>0</v>
      </c>
      <c r="AE314" s="1646">
        <f>IF(OR($V314=0,$W314=0),0,IF(AE$310&gt;$V314,0,SUM($Y281:AE281)/$W314))</f>
        <v>0</v>
      </c>
      <c r="AF314" s="1155">
        <f>IF(OR($V314=0,$W314=0),0,IF(AF$310&gt;$V314,0,SUM($Y281:AF281)/$W314))</f>
        <v>0</v>
      </c>
      <c r="AG314" s="1155">
        <f>IF(OR($V314=0,$W314=0),0,IF(AG$310&gt;$V314,0,SUM($Y281:AG281)/$W314))</f>
        <v>0</v>
      </c>
      <c r="AH314" s="1155">
        <f>IF(OR($V314=0,$W314=0),0,IF(AH$310&gt;$V314,0,SUM($Y281:AH281)/$W314))</f>
        <v>0</v>
      </c>
      <c r="AI314" s="1155">
        <f>IF(OR($V314=0,$W314=0),0,IF(AI$310&gt;$V314,0,SUM($Y281:AI281)/$W314))</f>
        <v>0</v>
      </c>
      <c r="AJ314" s="1155">
        <f>IF(OR($V314=0,$W314=0),0,IF(AJ$310&gt;$V314,0,SUM($Y281:AJ281)/$W314))</f>
        <v>0</v>
      </c>
      <c r="AK314" s="1155">
        <f>IF(OR($V314=0,$W314=0),0,IF(AK$310&gt;$V314,0,SUM($Y281:AK281)/$W314))</f>
        <v>0</v>
      </c>
      <c r="AL314" s="1155">
        <f>IF(OR($V314=0,$W314=0),0,IF(AL$310&gt;$V314,0,SUM($Y281:AL281)/$W314))</f>
        <v>0</v>
      </c>
      <c r="AM314" s="1155">
        <f>IF(OR($V314=0,$W314=0),0,IF(AM$310&gt;$V314,0,SUM($Y281:AM281)/$W314))</f>
        <v>0</v>
      </c>
      <c r="AN314" s="1155">
        <f>IF(OR($V314=0,$W314=0),0,IF(AN$310&gt;$V314,0,SUM($Y281:AN281)/$W314))</f>
        <v>0</v>
      </c>
      <c r="AO314" s="1155">
        <f>IF(OR($V314=0,$W314=0),0,IF(AO$310&gt;$V314,0,SUM($Y281:AO281)/$W314))</f>
        <v>0</v>
      </c>
      <c r="AP314" s="1155">
        <f>IF(OR($V314=0,$W314=0),0,IF(AP$310&gt;$V314,0,SUM($Y281:AP281)/$W314))</f>
        <v>0</v>
      </c>
      <c r="AQ314" s="1155">
        <f>IF(OR($V314=0,$W314=0),0,IF(AQ$310&gt;$V314,0,SUM($Y281:AQ281)/$W314))</f>
        <v>0</v>
      </c>
      <c r="AR314" s="1155">
        <f>IF(OR($V314=0,$W314=0),0,IF(AR$310&gt;$V314,0,SUM($Y281:AR281)/$W314))</f>
        <v>0</v>
      </c>
      <c r="AS314" s="1155">
        <f>IF(OR($V314=0,$W314=0),0,IF(AS$310&gt;$V314,0,SUM($Y281:AS281)/$W314))</f>
        <v>0</v>
      </c>
      <c r="AT314" s="1155">
        <f>IF(OR($V314=0,$W314=0),0,IF(AT$310&gt;$V314,0,SUM($Y281:AT281)/$W314))</f>
        <v>0</v>
      </c>
      <c r="AU314" s="1155">
        <f>IF(OR($V314=0,$W314=0),0,IF(AU$310&gt;$V314,0,SUM($Y281:AU281)/$W314))</f>
        <v>0</v>
      </c>
      <c r="AV314" s="1155">
        <f>IF(OR($V314=0,$W314=0),0,IF(AV$310&gt;$V314,0,SUM($Y281:AV281)/$W314))</f>
        <v>0</v>
      </c>
      <c r="AW314" s="1155">
        <f>IF(OR($V314=0,$W314=0),0,IF(AW$310&gt;$V314,0,SUM($Y281:AW281)/$W314))</f>
        <v>0</v>
      </c>
      <c r="AX314" s="1155">
        <f>IF(OR($V314=0,$W314=0),0,IF(AX$310&gt;$V314,0,SUM($Y281:AX281)/$W314))</f>
        <v>0</v>
      </c>
      <c r="AY314" s="1155">
        <f>IF(OR($V314=0,$W314=0),0,IF(AY$310&gt;$V314,0,SUM($Y281:AY281)/$W314))</f>
        <v>0</v>
      </c>
      <c r="AZ314" s="1155">
        <f>IF(OR($V314=0,$W314=0),0,IF(AZ$310&gt;$V314,0,SUM($Y281:AZ281)/$W314))</f>
        <v>0</v>
      </c>
      <c r="BA314" s="1155">
        <f>IF(OR($V314=0,$W314=0),0,IF(BA$310&gt;$V314,0,SUM($Y281:BA281)/$W314))</f>
        <v>0</v>
      </c>
      <c r="BB314" s="1155">
        <f>IF(OR($V314=0,$W314=0),0,IF(BB$310&gt;$V314,0,SUM($Y281:BB281)/$W314))</f>
        <v>0</v>
      </c>
      <c r="BC314" s="1155">
        <f>IF(OR($V314=0,$W314=0),0,IF(BC$310&gt;$V314,0,SUM($Y281:BC281)/$W314))</f>
        <v>0</v>
      </c>
      <c r="BD314" s="1155">
        <f>IF(OR($V314=0,$W314=0),0,IF(BD$310&gt;$V314,0,SUM($Y281:BD281)/$W314))</f>
        <v>0</v>
      </c>
      <c r="BE314" s="1155">
        <f>IF(OR($V314=0,$W314=0),0,IF(BE$310&gt;$V314,0,SUM($Y281:BE281)/$W314))</f>
        <v>0</v>
      </c>
      <c r="BF314" s="1155">
        <f>IF(OR($V314=0,$W314=0),0,IF(BF$310&gt;$V314,0,SUM($Y281:BF281)/$W314))</f>
        <v>0</v>
      </c>
      <c r="BG314" s="1155">
        <f>IF(OR($V314=0,$W314=0),0,IF(BG$310&gt;$V314,0,SUM($Y281:BG281)/$W314))</f>
        <v>0</v>
      </c>
      <c r="BH314" s="1155">
        <f>IF(OR($V314=0,$W314=0),0,IF(BH$310&gt;$V314,0,SUM($Y281:BH281)/$W314))</f>
        <v>0</v>
      </c>
      <c r="BI314" s="1155">
        <f>IF(OR($V314=0,$W314=0),0,IF(BI$310&gt;$V314,0,SUM($Y281:BI281)/$W314))</f>
        <v>0</v>
      </c>
      <c r="BJ314" s="1155">
        <f>IF(OR($V314=0,$W314=0),0,IF(BJ$310&gt;$V314,0,SUM($Y281:BJ281)/$W314))</f>
        <v>0</v>
      </c>
      <c r="BK314" s="1155">
        <f>IF(OR($V314=0,$W314=0),0,IF(BK$310&gt;$V314,0,SUM($Y281:BK281)/$W314))</f>
        <v>0</v>
      </c>
      <c r="BL314" s="1155">
        <f>IF(OR($V314=0,$W314=0),0,IF(BL$310&gt;$V314,0,SUM($Y281:BL281)/$W314))</f>
        <v>0</v>
      </c>
      <c r="BM314" s="1155">
        <f>IF(OR($V314=0,$W314=0),0,IF(BM$310&gt;$V314,0,SUM($Y281:BM281)/$W314))</f>
        <v>0</v>
      </c>
      <c r="BN314" s="1155">
        <f>IF(OR($V314=0,$W314=0),0,IF(BN$310&gt;$V314,0,SUM($Y281:BN281)/$W314))</f>
        <v>0</v>
      </c>
      <c r="BO314" s="1155">
        <f>IF(OR($V314=0,$W314=0),0,IF(BO$310&gt;$V314,0,SUM($Y281:BO281)/$W314))</f>
        <v>0</v>
      </c>
      <c r="BP314" s="1155">
        <f>IF(OR($V314=0,$W314=0),0,IF(BP$310&gt;$V314,0,SUM($Y281:BP281)/$W314))</f>
        <v>0</v>
      </c>
      <c r="BQ314" s="1155">
        <f>IF(OR($V314=0,$W314=0),0,IF(BQ$310&gt;$V314,0,SUM($Y281:BQ281)/$W314))</f>
        <v>0</v>
      </c>
      <c r="BR314" s="1155">
        <f>IF(OR($V314=0,$W314=0),0,IF(BR$310&gt;$V314,0,SUM($Y281:BR281)/$W314))</f>
        <v>0</v>
      </c>
      <c r="BS314" s="1155">
        <f>IF(OR($V314=0,$W314=0),0,IF(BS$310&gt;$V314,0,SUM($Y281:BS281)/$W314))</f>
        <v>0</v>
      </c>
      <c r="BT314" s="1155">
        <f>IF(OR($V314=0,$W314=0),0,IF(BT$310&gt;$V314,0,SUM($Y281:BT281)/$W314))</f>
        <v>0</v>
      </c>
      <c r="BU314" s="1155">
        <f>IF(OR($V314=0,$W314=0),0,IF(BU$310&gt;$V314,0,SUM($Y281:BU281)/$W314))</f>
        <v>0</v>
      </c>
      <c r="BV314" s="1155">
        <f>IF(OR($V314=0,$W314=0),0,IF(BV$310&gt;$V314,0,SUM($Y281:BV281)/$W314))</f>
        <v>0</v>
      </c>
      <c r="BW314" s="1155">
        <f>IF(OR($V314=0,$W314=0),0,IF(BW$310&gt;$V314,0,SUM($Y281:BW281)/$W314))</f>
        <v>0</v>
      </c>
      <c r="BX314" s="1457">
        <f>IF(OR($V314=0,$W314=0),0,IF(BX$310&gt;$V314,0,SUM($Y281:BX281)/$W314))</f>
        <v>0</v>
      </c>
      <c r="BY314" s="1457">
        <f>IF(OR($V314=0,$W314=0),0,IF(BY$310&gt;$V314,0,SUM($Y281:BY281)/$W314))</f>
        <v>0</v>
      </c>
      <c r="BZ314" s="1162">
        <f>IF(OR($V314=0,$W314=0),0,IF(BZ$310&gt;$V314,0,SUM($Y281:BZ281)/$W314))</f>
        <v>0</v>
      </c>
      <c r="CA314" s="1162">
        <f>IF(OR($V314=0,$W314=0),0,IF(CA$310&gt;$V314,0,SUM($Y281:CA281)/$W314))</f>
        <v>0</v>
      </c>
      <c r="CB314" s="1162">
        <f>IF(OR($V314=0,$W314=0),0,IF(CB$310&gt;$V314,0,SUM($Y281:CB281)/$W314))</f>
        <v>0</v>
      </c>
      <c r="CC314" s="1162">
        <f>IF(OR($V314=0,$W314=0),0,IF(CC$310&gt;$V314,0,SUM($Y281:CC281)/$W314))</f>
        <v>0</v>
      </c>
      <c r="CD314" s="1162">
        <f>IF(OR($V314=0,$W314=0),0,IF(CD$310&gt;$V314,0,SUM($Y281:CD281)/$W314))</f>
        <v>0</v>
      </c>
      <c r="CE314" s="1162">
        <f>IF(OR($V314=0,$W314=0),0,IF(CE$310&gt;$V314,0,SUM($Y281:CE281)/$W314))</f>
        <v>0</v>
      </c>
      <c r="CF314" s="1162">
        <f>IF(OR($V314=0,$W314=0),0,IF(CF$310&gt;$V314,0,SUM($Y281:CF281)/$W314))</f>
        <v>0</v>
      </c>
      <c r="CG314" s="1162">
        <f>IF(OR($V314=0,$W314=0),0,IF(CG$310&gt;$V314,0,SUM($Y281:CG281)/$W314))</f>
        <v>0</v>
      </c>
      <c r="CH314" s="1162">
        <f>IF(OR($V314=0,$W314=0),0,IF(CH$310&gt;$V314,0,SUM($Y281:CH281)/$W314))</f>
        <v>0</v>
      </c>
      <c r="CI314" s="1162">
        <f>IF(OR($V314=0,$W314=0),0,IF(CI$310&gt;$V314,0,SUM($Y281:CI281)/$W314))</f>
        <v>0</v>
      </c>
      <c r="CJ314" s="1162">
        <f>IF(OR($V314=0,$W314=0),0,IF(CJ$310&gt;$V314,0,SUM($Y281:CJ281)/$W314))</f>
        <v>0</v>
      </c>
      <c r="CK314" s="1162">
        <f>IF(OR($V314=0,$W314=0),0,IF(CK$310&gt;$V314,0,SUM($Y281:CK281)/$W314))</f>
        <v>0</v>
      </c>
      <c r="CL314" s="1162">
        <f>IF(OR($V314=0,$W314=0),0,IF(CL$310&gt;$V314,0,SUM($Y281:CL281)/$W314))</f>
        <v>0</v>
      </c>
      <c r="CM314" s="1162">
        <f>IF(OR($V314=0,$W314=0),0,IF(CM$310&gt;$V314,0,SUM($Y281:CM281)/$W314))</f>
        <v>0</v>
      </c>
      <c r="CN314" s="1162">
        <f>IF(OR($V314=0,$W314=0),0,IF(CN$310&gt;$V314,0,SUM($Y281:CN281)/$W314))</f>
        <v>0</v>
      </c>
      <c r="CO314" s="1162">
        <f>IF(OR($V314=0,$W314=0),0,IF(CO$310&gt;$V314,0,SUM($Y281:CO281)/$W314))</f>
        <v>0</v>
      </c>
      <c r="CP314" s="1162">
        <f>IF(OR($V314=0,$W314=0),0,IF(CP$310&gt;$V314,0,SUM($Y281:CP281)/$W314))</f>
        <v>0</v>
      </c>
      <c r="CQ314" s="48">
        <f>IF(OR($V314=0,$W314=0),0,IF(CQ$310&gt;$V314,0,SUM($Y281:CQ281)/$W314))</f>
        <v>0</v>
      </c>
      <c r="CR314" s="48">
        <f>IF(OR($V314=0,$W314=0),0,IF(CR$310&gt;$V314,0,SUM($Y281:CR281)/$W314))</f>
        <v>0</v>
      </c>
      <c r="CS314" s="48">
        <f>IF(OR($V314=0,$W314=0),0,IF(CS$310&gt;$V314,0,SUM($Y281:CS281)/$W314))</f>
        <v>0</v>
      </c>
      <c r="CT314" s="48">
        <f>IF(OR($V314=0,$W314=0),0,IF(CT$310&gt;$V314,0,SUM($Y281:CT281)/$W314))</f>
        <v>0</v>
      </c>
      <c r="CU314" s="48">
        <f>IF(OR($V314=0,$W314=0),0,IF(CU$310&gt;$V314,0,SUM($Y281:CU281)/$W314))</f>
        <v>0</v>
      </c>
      <c r="CV314" s="48">
        <f>IF(OR($V314=0,$W314=0),0,IF(CV$310&gt;$V314,0,SUM($Y281:CV281)/$W314))</f>
        <v>0</v>
      </c>
      <c r="CW314" s="48">
        <f>IF(OR($V314=0,$W314=0),0,IF(CW$310&gt;$V314,0,SUM($Y281:CW281)/$W314))</f>
        <v>0</v>
      </c>
      <c r="CX314" s="48">
        <f>IF(OR($V314=0,$W314=0),0,IF(CX$310&gt;$V314,0,SUM($Y281:CX281)/$W314))</f>
        <v>0</v>
      </c>
      <c r="CY314" s="48">
        <f>IF(OR($V314=0,$W314=0),0,IF(CY$310&gt;$V314,0,SUM($Y281:CY281)/$W314))</f>
        <v>0</v>
      </c>
      <c r="CZ314" s="48">
        <f>IF(OR($V314=0,$W314=0),0,IF(CZ$310&gt;$V314,0,SUM($Y281:CZ281)/$W314))</f>
        <v>0</v>
      </c>
      <c r="DA314" s="48">
        <f>IF(OR($V314=0,$W314=0),0,IF(DA$310&gt;$V314,0,SUM($Y281:DA281)/$W314))</f>
        <v>0</v>
      </c>
      <c r="DB314" s="48">
        <f>IF(OR($V314=0,$W314=0),0,IF(DB$310&gt;$V314,0,SUM($Y281:DB281)/$W314))</f>
        <v>0</v>
      </c>
      <c r="DC314" s="48">
        <f>IF(OR($V314=0,$W314=0),0,IF(DC$310&gt;$V314,0,SUM($Y281:DC281)/$W314))</f>
        <v>0</v>
      </c>
      <c r="DD314" s="48">
        <f>IF(OR($V314=0,$W314=0),0,IF(DD$310&gt;$V314,0,SUM($Y281:DD281)/$W314))</f>
        <v>0</v>
      </c>
      <c r="DE314" s="48">
        <f>IF(OR($V314=0,$W314=0),0,IF(DE$310&gt;$V314,0,SUM($Y281:DE281)/$W314))</f>
        <v>0</v>
      </c>
      <c r="DF314" s="48">
        <f>IF(OR($V314=0,$W314=0),0,IF(DF$310&gt;$V314,0,SUM($Y281:DF281)/$W314))</f>
        <v>0</v>
      </c>
      <c r="DG314" s="48">
        <f>IF(OR($V314=0,$W314=0),0,IF(DG$310&gt;$V314,0,SUM($Y281:DG281)/$W314))</f>
        <v>0</v>
      </c>
      <c r="DH314" s="48">
        <f>IF(OR($V314=0,$W314=0),0,IF(DH$310&gt;$V314,0,SUM($Y281:DH281)/$W314))</f>
        <v>0</v>
      </c>
      <c r="DI314" s="48">
        <f>IF(OR($V314=0,$W314=0),0,IF(DI$310&gt;$V314,0,SUM($Y281:DI281)/$W314))</f>
        <v>0</v>
      </c>
      <c r="DJ314" s="48">
        <f>IF(OR($V314=0,$W314=0),0,IF(DJ$310&gt;$V314,0,SUM($Y281:DJ281)/$W314))</f>
        <v>0</v>
      </c>
      <c r="DK314" s="48">
        <f>IF(OR($V314=0,$W314=0),0,IF(DK$310&gt;$V314,0,SUM($Y281:DK281)/$W314))</f>
        <v>0</v>
      </c>
      <c r="DL314" s="48">
        <f>IF(OR($V314=0,$W314=0),0,IF(DL$310&gt;$V314,0,SUM($Y281:DL281)/$W314))</f>
        <v>0</v>
      </c>
      <c r="DM314" s="48">
        <f>IF(OR($V314=0,$W314=0),0,IF(DM$310&gt;$V314,0,SUM($Y281:DM281)/$W314))</f>
        <v>0</v>
      </c>
      <c r="DN314" s="48">
        <f>IF(OR($V314=0,$W314=0),0,IF(DN$310&gt;$V314,0,SUM($Y281:DN281)/$W314))</f>
        <v>0</v>
      </c>
      <c r="DO314" s="48">
        <f>IF(OR($V314=0,$W314=0),0,IF(DO$310&gt;$V314,0,SUM($Y281:DO281)/$W314))</f>
        <v>0</v>
      </c>
      <c r="DP314" s="48">
        <f>IF(OR($V314=0,$W314=0),0,IF(DP$310&gt;$V314,0,SUM($Y281:DP281)/$W314))</f>
        <v>0</v>
      </c>
      <c r="DQ314" s="48">
        <f>IF(OR($V314=0,$W314=0),0,IF(DQ$310&gt;$V314,0,SUM($Y281:DQ281)/$W314))</f>
        <v>0</v>
      </c>
      <c r="DR314" s="50">
        <f>IF(OR($V314=0,$W314=0),0,IF(DR$310&gt;$V314,0,SUM($Y281:DR281)/$W314))</f>
        <v>0</v>
      </c>
      <c r="DS314" s="50">
        <f>IF(OR($V314=0,$W314=0),0,IF(DS$310&gt;$V314,0,SUM($Y281:DS281)/$W314))</f>
        <v>0</v>
      </c>
      <c r="DT314" s="50">
        <f>IF(OR($V314=0,$W314=0),0,IF(DT$310&gt;$V314,0,SUM($Y281:DT281)/$W314))</f>
        <v>0</v>
      </c>
      <c r="DU314" s="50">
        <f>IF(OR($V314=0,$W314=0),0,IF(DU$310&gt;$V314,0,SUM($Y281:DU281)/$W314))</f>
        <v>0</v>
      </c>
      <c r="DV314" s="50">
        <f>IF(OR($V314=0,$W314=0),0,IF(DV$310&gt;$V314,0,SUM($Y281:DV281)/$W314))</f>
        <v>0</v>
      </c>
      <c r="DW314" s="50">
        <f>IF(OR($V314=0,$W314=0),0,IF(DW$310&gt;$V314,0,SUM($Y281:DW281)/$W314))</f>
        <v>0</v>
      </c>
      <c r="DX314" s="50">
        <f>IF(OR($V314=0,$W314=0),0,IF(DX$310&gt;$V314,0,SUM($Y281:DX281)/$W314))</f>
        <v>0</v>
      </c>
      <c r="DY314" s="50">
        <f>IF(OR($V314=0,$W314=0),0,IF(DY$310&gt;$V314,0,SUM($Y281:DY281)/$W314))</f>
        <v>0</v>
      </c>
      <c r="DZ314" s="50">
        <f>IF(OR($V314=0,$W314=0),0,IF(DZ$310&gt;$V314,0,SUM($Y281:DZ281)/$W314))</f>
        <v>0</v>
      </c>
      <c r="EA314" s="50">
        <f>IF(OR($V314=0,$W314=0),0,IF(EA$310&gt;$V314,0,SUM($Y281:EA281)/$W314))</f>
        <v>0</v>
      </c>
      <c r="EB314" s="50">
        <f>IF(OR($V314=0,$W314=0),0,IF(EB$310&gt;$V314,0,SUM($Y281:EB281)/$W314))</f>
        <v>0</v>
      </c>
      <c r="EC314" s="50">
        <f>IF(OR($V314=0,$W314=0),0,IF(EC$310&gt;$V314,0,SUM($Y281:EC281)/$W314))</f>
        <v>0</v>
      </c>
      <c r="ED314" s="50">
        <f>IF(OR($V314=0,$W314=0),0,IF(ED$310&gt;$V314,0,SUM($Y281:ED281)/$W314))</f>
        <v>0</v>
      </c>
      <c r="EE314" s="50">
        <f>IF(OR($V314=0,$W314=0),0,IF(EE$310&gt;$V314,0,SUM($Y281:EE281)/$W314))</f>
        <v>0</v>
      </c>
      <c r="EF314" s="50">
        <f>IF(OR($V314=0,$W314=0),0,IF(EF$310&gt;$V314,0,SUM($Y281:EF281)/$W314))</f>
        <v>0</v>
      </c>
      <c r="EG314" s="50">
        <f>IF(OR($V314=0,$W314=0),0,IF(EG$310&gt;$V314,0,SUM($Y281:EG281)/$W314))</f>
        <v>0</v>
      </c>
      <c r="EH314" s="50">
        <f>IF(OR($V314=0,$W314=0),0,IF(EH$310&gt;$V314,0,SUM($Y281:EH281)/$W314))</f>
        <v>0</v>
      </c>
      <c r="EI314" s="50">
        <f>IF(OR($V314=0,$W314=0),0,IF(EI$310&gt;$V314,0,SUM($Y281:EI281)/$W314))</f>
        <v>0</v>
      </c>
      <c r="EJ314" s="50">
        <f>IF(OR($V314=0,$W314=0),0,IF(EJ$310&gt;$V314,0,SUM($Y281:EJ281)/$W314))</f>
        <v>0</v>
      </c>
      <c r="EK314" s="50">
        <f>IF(OR($V314=0,$W314=0),0,IF(EK$310&gt;$V314,0,SUM($Y281:EK281)/$W314))</f>
        <v>0</v>
      </c>
      <c r="EL314" s="50">
        <f>IF(OR($V314=0,$W314=0),0,IF(EL$310&gt;$V314,0,SUM($Y281:EL281)/$W314))</f>
        <v>0</v>
      </c>
      <c r="EM314" s="50">
        <f>IF(OR($V314=0,$W314=0),0,IF(EM$310&gt;$V314,0,SUM($Y281:EM281)/$W314))</f>
        <v>0</v>
      </c>
      <c r="EN314" s="50">
        <f>IF(OR($V314=0,$W314=0),0,IF(EN$310&gt;$V314,0,SUM($Y281:EN281)/$W314))</f>
        <v>0</v>
      </c>
      <c r="EO314" s="39">
        <v>51</v>
      </c>
      <c r="EP314" s="39">
        <v>51</v>
      </c>
      <c r="EQ314" s="39">
        <v>51</v>
      </c>
      <c r="ER314" s="39">
        <v>51</v>
      </c>
      <c r="ES314" s="39">
        <v>51</v>
      </c>
      <c r="ET314" s="39">
        <v>51</v>
      </c>
      <c r="EU314" s="39">
        <v>51</v>
      </c>
      <c r="EV314" s="39">
        <v>51</v>
      </c>
      <c r="EW314" s="39">
        <v>51</v>
      </c>
      <c r="EX314" s="39">
        <v>51</v>
      </c>
    </row>
    <row r="315" spans="1:154" ht="12" customHeight="1" x14ac:dyDescent="0.35">
      <c r="A315" s="67">
        <v>38</v>
      </c>
      <c r="B315" s="1438">
        <f t="shared" si="144"/>
        <v>1155</v>
      </c>
      <c r="C315" s="1440">
        <v>38</v>
      </c>
      <c r="D315" s="82"/>
      <c r="E315" s="82"/>
      <c r="F315" s="82"/>
      <c r="G315" s="1448"/>
      <c r="H315" s="1448"/>
      <c r="I315" s="1448"/>
      <c r="J315" s="1448"/>
      <c r="K315" s="1668"/>
      <c r="L315" s="1668"/>
      <c r="M315" s="1668"/>
      <c r="N315" s="1669"/>
      <c r="O315" s="1669"/>
      <c r="P315" s="1670"/>
      <c r="Q315" s="1671"/>
      <c r="R315" s="1671"/>
      <c r="S315" s="1671"/>
      <c r="T315" s="1667"/>
      <c r="U315" s="1672"/>
      <c r="V315" s="1636">
        <f t="shared" si="145"/>
        <v>0</v>
      </c>
      <c r="W315" s="102">
        <f t="shared" si="146"/>
        <v>0</v>
      </c>
      <c r="X315" s="381">
        <f t="shared" si="147"/>
        <v>0</v>
      </c>
      <c r="Y315" s="1645">
        <f>IF(OR($V315=0,$W315=0),0,IF(Y$310&gt;$V315,0,SUM($Y282:Y282)/$W315))</f>
        <v>0</v>
      </c>
      <c r="Z315" s="1646">
        <f>IF(OR($V315=0,$W315=0),0,IF(Z$310&gt;$V315,0,SUM($Y282:Z282)/$W315))</f>
        <v>0</v>
      </c>
      <c r="AA315" s="1646">
        <f>IF(OR($V315=0,$W315=0),0,IF(AA$310&gt;$V315,0,SUM($Y282:AA282)/$W315))</f>
        <v>0</v>
      </c>
      <c r="AB315" s="1646">
        <f>IF(OR($V315=0,$W315=0),0,IF(AB$310&gt;$V315,0,SUM($Y282:AB282)/$W315))</f>
        <v>0</v>
      </c>
      <c r="AC315" s="1646">
        <f>IF(OR($V315=0,$W315=0),0,IF(AC$310&gt;$V315,0,SUM($Y282:AC282)/$W315))</f>
        <v>0</v>
      </c>
      <c r="AD315" s="1646">
        <f>IF(OR($V315=0,$W315=0),0,IF(AD$310&gt;$V315,0,SUM($Y282:AD282)/$W315))</f>
        <v>0</v>
      </c>
      <c r="AE315" s="1646">
        <f>IF(OR($V315=0,$W315=0),0,IF(AE$310&gt;$V315,0,SUM($Y282:AE282)/$W315))</f>
        <v>0</v>
      </c>
      <c r="AF315" s="1155">
        <f>IF(OR($V315=0,$W315=0),0,IF(AF$310&gt;$V315,0,SUM($Y282:AF282)/$W315))</f>
        <v>0</v>
      </c>
      <c r="AG315" s="1155">
        <f>IF(OR($V315=0,$W315=0),0,IF(AG$310&gt;$V315,0,SUM($Y282:AG282)/$W315))</f>
        <v>0</v>
      </c>
      <c r="AH315" s="1155">
        <f>IF(OR($V315=0,$W315=0),0,IF(AH$310&gt;$V315,0,SUM($Y282:AH282)/$W315))</f>
        <v>0</v>
      </c>
      <c r="AI315" s="1155">
        <f>IF(OR($V315=0,$W315=0),0,IF(AI$310&gt;$V315,0,SUM($Y282:AI282)/$W315))</f>
        <v>0</v>
      </c>
      <c r="AJ315" s="1155">
        <f>IF(OR($V315=0,$W315=0),0,IF(AJ$310&gt;$V315,0,SUM($Y282:AJ282)/$W315))</f>
        <v>0</v>
      </c>
      <c r="AK315" s="1155">
        <f>IF(OR($V315=0,$W315=0),0,IF(AK$310&gt;$V315,0,SUM($Y282:AK282)/$W315))</f>
        <v>0</v>
      </c>
      <c r="AL315" s="1155">
        <f>IF(OR($V315=0,$W315=0),0,IF(AL$310&gt;$V315,0,SUM($Y282:AL282)/$W315))</f>
        <v>0</v>
      </c>
      <c r="AM315" s="1155">
        <f>IF(OR($V315=0,$W315=0),0,IF(AM$310&gt;$V315,0,SUM($Y282:AM282)/$W315))</f>
        <v>0</v>
      </c>
      <c r="AN315" s="1155">
        <f>IF(OR($V315=0,$W315=0),0,IF(AN$310&gt;$V315,0,SUM($Y282:AN282)/$W315))</f>
        <v>0</v>
      </c>
      <c r="AO315" s="1155">
        <f>IF(OR($V315=0,$W315=0),0,IF(AO$310&gt;$V315,0,SUM($Y282:AO282)/$W315))</f>
        <v>0</v>
      </c>
      <c r="AP315" s="1155">
        <f>IF(OR($V315=0,$W315=0),0,IF(AP$310&gt;$V315,0,SUM($Y282:AP282)/$W315))</f>
        <v>0</v>
      </c>
      <c r="AQ315" s="1155">
        <f>IF(OR($V315=0,$W315=0),0,IF(AQ$310&gt;$V315,0,SUM($Y282:AQ282)/$W315))</f>
        <v>0</v>
      </c>
      <c r="AR315" s="1155">
        <f>IF(OR($V315=0,$W315=0),0,IF(AR$310&gt;$V315,0,SUM($Y282:AR282)/$W315))</f>
        <v>0</v>
      </c>
      <c r="AS315" s="1155">
        <f>IF(OR($V315=0,$W315=0),0,IF(AS$310&gt;$V315,0,SUM($Y282:AS282)/$W315))</f>
        <v>0</v>
      </c>
      <c r="AT315" s="1155">
        <f>IF(OR($V315=0,$W315=0),0,IF(AT$310&gt;$V315,0,SUM($Y282:AT282)/$W315))</f>
        <v>0</v>
      </c>
      <c r="AU315" s="1155">
        <f>IF(OR($V315=0,$W315=0),0,IF(AU$310&gt;$V315,0,SUM($Y282:AU282)/$W315))</f>
        <v>0</v>
      </c>
      <c r="AV315" s="1155">
        <f>IF(OR($V315=0,$W315=0),0,IF(AV$310&gt;$V315,0,SUM($Y282:AV282)/$W315))</f>
        <v>0</v>
      </c>
      <c r="AW315" s="1155">
        <f>IF(OR($V315=0,$W315=0),0,IF(AW$310&gt;$V315,0,SUM($Y282:AW282)/$W315))</f>
        <v>0</v>
      </c>
      <c r="AX315" s="1155">
        <f>IF(OR($V315=0,$W315=0),0,IF(AX$310&gt;$V315,0,SUM($Y282:AX282)/$W315))</f>
        <v>0</v>
      </c>
      <c r="AY315" s="1155">
        <f>IF(OR($V315=0,$W315=0),0,IF(AY$310&gt;$V315,0,SUM($Y282:AY282)/$W315))</f>
        <v>0</v>
      </c>
      <c r="AZ315" s="1155">
        <f>IF(OR($V315=0,$W315=0),0,IF(AZ$310&gt;$V315,0,SUM($Y282:AZ282)/$W315))</f>
        <v>0</v>
      </c>
      <c r="BA315" s="1155">
        <f>IF(OR($V315=0,$W315=0),0,IF(BA$310&gt;$V315,0,SUM($Y282:BA282)/$W315))</f>
        <v>0</v>
      </c>
      <c r="BB315" s="1155">
        <f>IF(OR($V315=0,$W315=0),0,IF(BB$310&gt;$V315,0,SUM($Y282:BB282)/$W315))</f>
        <v>0</v>
      </c>
      <c r="BC315" s="1155">
        <f>IF(OR($V315=0,$W315=0),0,IF(BC$310&gt;$V315,0,SUM($Y282:BC282)/$W315))</f>
        <v>0</v>
      </c>
      <c r="BD315" s="1155">
        <f>IF(OR($V315=0,$W315=0),0,IF(BD$310&gt;$V315,0,SUM($Y282:BD282)/$W315))</f>
        <v>0</v>
      </c>
      <c r="BE315" s="1155">
        <f>IF(OR($V315=0,$W315=0),0,IF(BE$310&gt;$V315,0,SUM($Y282:BE282)/$W315))</f>
        <v>0</v>
      </c>
      <c r="BF315" s="1155">
        <f>IF(OR($V315=0,$W315=0),0,IF(BF$310&gt;$V315,0,SUM($Y282:BF282)/$W315))</f>
        <v>0</v>
      </c>
      <c r="BG315" s="1155">
        <f>IF(OR($V315=0,$W315=0),0,IF(BG$310&gt;$V315,0,SUM($Y282:BG282)/$W315))</f>
        <v>0</v>
      </c>
      <c r="BH315" s="1155">
        <f>IF(OR($V315=0,$W315=0),0,IF(BH$310&gt;$V315,0,SUM($Y282:BH282)/$W315))</f>
        <v>0</v>
      </c>
      <c r="BI315" s="1155">
        <f>IF(OR($V315=0,$W315=0),0,IF(BI$310&gt;$V315,0,SUM($Y282:BI282)/$W315))</f>
        <v>0</v>
      </c>
      <c r="BJ315" s="1155">
        <f>IF(OR($V315=0,$W315=0),0,IF(BJ$310&gt;$V315,0,SUM($Y282:BJ282)/$W315))</f>
        <v>0</v>
      </c>
      <c r="BK315" s="1155">
        <f>IF(OR($V315=0,$W315=0),0,IF(BK$310&gt;$V315,0,SUM($Y282:BK282)/$W315))</f>
        <v>0</v>
      </c>
      <c r="BL315" s="1155">
        <f>IF(OR($V315=0,$W315=0),0,IF(BL$310&gt;$V315,0,SUM($Y282:BL282)/$W315))</f>
        <v>0</v>
      </c>
      <c r="BM315" s="1155">
        <f>IF(OR($V315=0,$W315=0),0,IF(BM$310&gt;$V315,0,SUM($Y282:BM282)/$W315))</f>
        <v>0</v>
      </c>
      <c r="BN315" s="1155">
        <f>IF(OR($V315=0,$W315=0),0,IF(BN$310&gt;$V315,0,SUM($Y282:BN282)/$W315))</f>
        <v>0</v>
      </c>
      <c r="BO315" s="1155">
        <f>IF(OR($V315=0,$W315=0),0,IF(BO$310&gt;$V315,0,SUM($Y282:BO282)/$W315))</f>
        <v>0</v>
      </c>
      <c r="BP315" s="1155">
        <f>IF(OR($V315=0,$W315=0),0,IF(BP$310&gt;$V315,0,SUM($Y282:BP282)/$W315))</f>
        <v>0</v>
      </c>
      <c r="BQ315" s="1155">
        <f>IF(OR($V315=0,$W315=0),0,IF(BQ$310&gt;$V315,0,SUM($Y282:BQ282)/$W315))</f>
        <v>0</v>
      </c>
      <c r="BR315" s="1155">
        <f>IF(OR($V315=0,$W315=0),0,IF(BR$310&gt;$V315,0,SUM($Y282:BR282)/$W315))</f>
        <v>0</v>
      </c>
      <c r="BS315" s="1155">
        <f>IF(OR($V315=0,$W315=0),0,IF(BS$310&gt;$V315,0,SUM($Y282:BS282)/$W315))</f>
        <v>0</v>
      </c>
      <c r="BT315" s="1155">
        <f>IF(OR($V315=0,$W315=0),0,IF(BT$310&gt;$V315,0,SUM($Y282:BT282)/$W315))</f>
        <v>0</v>
      </c>
      <c r="BU315" s="1155">
        <f>IF(OR($V315=0,$W315=0),0,IF(BU$310&gt;$V315,0,SUM($Y282:BU282)/$W315))</f>
        <v>0</v>
      </c>
      <c r="BV315" s="1155">
        <f>IF(OR($V315=0,$W315=0),0,IF(BV$310&gt;$V315,0,SUM($Y282:BV282)/$W315))</f>
        <v>0</v>
      </c>
      <c r="BW315" s="1155">
        <f>IF(OR($V315=0,$W315=0),0,IF(BW$310&gt;$V315,0,SUM($Y282:BW282)/$W315))</f>
        <v>0</v>
      </c>
      <c r="BX315" s="1457">
        <f>IF(OR($V315=0,$W315=0),0,IF(BX$310&gt;$V315,0,SUM($Y282:BX282)/$W315))</f>
        <v>0</v>
      </c>
      <c r="BY315" s="1457">
        <f>IF(OR($V315=0,$W315=0),0,IF(BY$310&gt;$V315,0,SUM($Y282:BY282)/$W315))</f>
        <v>0</v>
      </c>
      <c r="BZ315" s="1162">
        <f>IF(OR($V315=0,$W315=0),0,IF(BZ$310&gt;$V315,0,SUM($Y282:BZ282)/$W315))</f>
        <v>0</v>
      </c>
      <c r="CA315" s="1162">
        <f>IF(OR($V315=0,$W315=0),0,IF(CA$310&gt;$V315,0,SUM($Y282:CA282)/$W315))</f>
        <v>0</v>
      </c>
      <c r="CB315" s="1162">
        <f>IF(OR($V315=0,$W315=0),0,IF(CB$310&gt;$V315,0,SUM($Y282:CB282)/$W315))</f>
        <v>0</v>
      </c>
      <c r="CC315" s="1162">
        <f>IF(OR($V315=0,$W315=0),0,IF(CC$310&gt;$V315,0,SUM($Y282:CC282)/$W315))</f>
        <v>0</v>
      </c>
      <c r="CD315" s="1162">
        <f>IF(OR($V315=0,$W315=0),0,IF(CD$310&gt;$V315,0,SUM($Y282:CD282)/$W315))</f>
        <v>0</v>
      </c>
      <c r="CE315" s="1162">
        <f>IF(OR($V315=0,$W315=0),0,IF(CE$310&gt;$V315,0,SUM($Y282:CE282)/$W315))</f>
        <v>0</v>
      </c>
      <c r="CF315" s="1162">
        <f>IF(OR($V315=0,$W315=0),0,IF(CF$310&gt;$V315,0,SUM($Y282:CF282)/$W315))</f>
        <v>0</v>
      </c>
      <c r="CG315" s="1162">
        <f>IF(OR($V315=0,$W315=0),0,IF(CG$310&gt;$V315,0,SUM($Y282:CG282)/$W315))</f>
        <v>0</v>
      </c>
      <c r="CH315" s="1162">
        <f>IF(OR($V315=0,$W315=0),0,IF(CH$310&gt;$V315,0,SUM($Y282:CH282)/$W315))</f>
        <v>0</v>
      </c>
      <c r="CI315" s="1162">
        <f>IF(OR($V315=0,$W315=0),0,IF(CI$310&gt;$V315,0,SUM($Y282:CI282)/$W315))</f>
        <v>0</v>
      </c>
      <c r="CJ315" s="1162">
        <f>IF(OR($V315=0,$W315=0),0,IF(CJ$310&gt;$V315,0,SUM($Y282:CJ282)/$W315))</f>
        <v>0</v>
      </c>
      <c r="CK315" s="1162">
        <f>IF(OR($V315=0,$W315=0),0,IF(CK$310&gt;$V315,0,SUM($Y282:CK282)/$W315))</f>
        <v>0</v>
      </c>
      <c r="CL315" s="1162">
        <f>IF(OR($V315=0,$W315=0),0,IF(CL$310&gt;$V315,0,SUM($Y282:CL282)/$W315))</f>
        <v>0</v>
      </c>
      <c r="CM315" s="1162">
        <f>IF(OR($V315=0,$W315=0),0,IF(CM$310&gt;$V315,0,SUM($Y282:CM282)/$W315))</f>
        <v>0</v>
      </c>
      <c r="CN315" s="1162">
        <f>IF(OR($V315=0,$W315=0),0,IF(CN$310&gt;$V315,0,SUM($Y282:CN282)/$W315))</f>
        <v>0</v>
      </c>
      <c r="CO315" s="1162">
        <f>IF(OR($V315=0,$W315=0),0,IF(CO$310&gt;$V315,0,SUM($Y282:CO282)/$W315))</f>
        <v>0</v>
      </c>
      <c r="CP315" s="1162">
        <f>IF(OR($V315=0,$W315=0),0,IF(CP$310&gt;$V315,0,SUM($Y282:CP282)/$W315))</f>
        <v>0</v>
      </c>
      <c r="CQ315" s="48">
        <f>IF(OR($V315=0,$W315=0),0,IF(CQ$310&gt;$V315,0,SUM($Y282:CQ282)/$W315))</f>
        <v>0</v>
      </c>
      <c r="CR315" s="48">
        <f>IF(OR($V315=0,$W315=0),0,IF(CR$310&gt;$V315,0,SUM($Y282:CR282)/$W315))</f>
        <v>0</v>
      </c>
      <c r="CS315" s="48">
        <f>IF(OR($V315=0,$W315=0),0,IF(CS$310&gt;$V315,0,SUM($Y282:CS282)/$W315))</f>
        <v>0</v>
      </c>
      <c r="CT315" s="48">
        <f>IF(OR($V315=0,$W315=0),0,IF(CT$310&gt;$V315,0,SUM($Y282:CT282)/$W315))</f>
        <v>0</v>
      </c>
      <c r="CU315" s="48">
        <f>IF(OR($V315=0,$W315=0),0,IF(CU$310&gt;$V315,0,SUM($Y282:CU282)/$W315))</f>
        <v>0</v>
      </c>
      <c r="CV315" s="48">
        <f>IF(OR($V315=0,$W315=0),0,IF(CV$310&gt;$V315,0,SUM($Y282:CV282)/$W315))</f>
        <v>0</v>
      </c>
      <c r="CW315" s="48">
        <f>IF(OR($V315=0,$W315=0),0,IF(CW$310&gt;$V315,0,SUM($Y282:CW282)/$W315))</f>
        <v>0</v>
      </c>
      <c r="CX315" s="48">
        <f>IF(OR($V315=0,$W315=0),0,IF(CX$310&gt;$V315,0,SUM($Y282:CX282)/$W315))</f>
        <v>0</v>
      </c>
      <c r="CY315" s="48">
        <f>IF(OR($V315=0,$W315=0),0,IF(CY$310&gt;$V315,0,SUM($Y282:CY282)/$W315))</f>
        <v>0</v>
      </c>
      <c r="CZ315" s="48">
        <f>IF(OR($V315=0,$W315=0),0,IF(CZ$310&gt;$V315,0,SUM($Y282:CZ282)/$W315))</f>
        <v>0</v>
      </c>
      <c r="DA315" s="48">
        <f>IF(OR($V315=0,$W315=0),0,IF(DA$310&gt;$V315,0,SUM($Y282:DA282)/$W315))</f>
        <v>0</v>
      </c>
      <c r="DB315" s="48">
        <f>IF(OR($V315=0,$W315=0),0,IF(DB$310&gt;$V315,0,SUM($Y282:DB282)/$W315))</f>
        <v>0</v>
      </c>
      <c r="DC315" s="48">
        <f>IF(OR($V315=0,$W315=0),0,IF(DC$310&gt;$V315,0,SUM($Y282:DC282)/$W315))</f>
        <v>0</v>
      </c>
      <c r="DD315" s="48">
        <f>IF(OR($V315=0,$W315=0),0,IF(DD$310&gt;$V315,0,SUM($Y282:DD282)/$W315))</f>
        <v>0</v>
      </c>
      <c r="DE315" s="48">
        <f>IF(OR($V315=0,$W315=0),0,IF(DE$310&gt;$V315,0,SUM($Y282:DE282)/$W315))</f>
        <v>0</v>
      </c>
      <c r="DF315" s="48">
        <f>IF(OR($V315=0,$W315=0),0,IF(DF$310&gt;$V315,0,SUM($Y282:DF282)/$W315))</f>
        <v>0</v>
      </c>
      <c r="DG315" s="48">
        <f>IF(OR($V315=0,$W315=0),0,IF(DG$310&gt;$V315,0,SUM($Y282:DG282)/$W315))</f>
        <v>0</v>
      </c>
      <c r="DH315" s="48">
        <f>IF(OR($V315=0,$W315=0),0,IF(DH$310&gt;$V315,0,SUM($Y282:DH282)/$W315))</f>
        <v>0</v>
      </c>
      <c r="DI315" s="48">
        <f>IF(OR($V315=0,$W315=0),0,IF(DI$310&gt;$V315,0,SUM($Y282:DI282)/$W315))</f>
        <v>0</v>
      </c>
      <c r="DJ315" s="48">
        <f>IF(OR($V315=0,$W315=0),0,IF(DJ$310&gt;$V315,0,SUM($Y282:DJ282)/$W315))</f>
        <v>0</v>
      </c>
      <c r="DK315" s="48">
        <f>IF(OR($V315=0,$W315=0),0,IF(DK$310&gt;$V315,0,SUM($Y282:DK282)/$W315))</f>
        <v>0</v>
      </c>
      <c r="DL315" s="48">
        <f>IF(OR($V315=0,$W315=0),0,IF(DL$310&gt;$V315,0,SUM($Y282:DL282)/$W315))</f>
        <v>0</v>
      </c>
      <c r="DM315" s="48">
        <f>IF(OR($V315=0,$W315=0),0,IF(DM$310&gt;$V315,0,SUM($Y282:DM282)/$W315))</f>
        <v>0</v>
      </c>
      <c r="DN315" s="48">
        <f>IF(OR($V315=0,$W315=0),0,IF(DN$310&gt;$V315,0,SUM($Y282:DN282)/$W315))</f>
        <v>0</v>
      </c>
      <c r="DO315" s="48">
        <f>IF(OR($V315=0,$W315=0),0,IF(DO$310&gt;$V315,0,SUM($Y282:DO282)/$W315))</f>
        <v>0</v>
      </c>
      <c r="DP315" s="48">
        <f>IF(OR($V315=0,$W315=0),0,IF(DP$310&gt;$V315,0,SUM($Y282:DP282)/$W315))</f>
        <v>0</v>
      </c>
      <c r="DQ315" s="48">
        <f>IF(OR($V315=0,$W315=0),0,IF(DQ$310&gt;$V315,0,SUM($Y282:DQ282)/$W315))</f>
        <v>0</v>
      </c>
      <c r="DR315" s="50">
        <f>IF(OR($V315=0,$W315=0),0,IF(DR$310&gt;$V315,0,SUM($Y282:DR282)/$W315))</f>
        <v>0</v>
      </c>
      <c r="DS315" s="50">
        <f>IF(OR($V315=0,$W315=0),0,IF(DS$310&gt;$V315,0,SUM($Y282:DS282)/$W315))</f>
        <v>0</v>
      </c>
      <c r="DT315" s="50">
        <f>IF(OR($V315=0,$W315=0),0,IF(DT$310&gt;$V315,0,SUM($Y282:DT282)/$W315))</f>
        <v>0</v>
      </c>
      <c r="DU315" s="50">
        <f>IF(OR($V315=0,$W315=0),0,IF(DU$310&gt;$V315,0,SUM($Y282:DU282)/$W315))</f>
        <v>0</v>
      </c>
      <c r="DV315" s="50">
        <f>IF(OR($V315=0,$W315=0),0,IF(DV$310&gt;$V315,0,SUM($Y282:DV282)/$W315))</f>
        <v>0</v>
      </c>
      <c r="DW315" s="50">
        <f>IF(OR($V315=0,$W315=0),0,IF(DW$310&gt;$V315,0,SUM($Y282:DW282)/$W315))</f>
        <v>0</v>
      </c>
      <c r="DX315" s="50">
        <f>IF(OR($V315=0,$W315=0),0,IF(DX$310&gt;$V315,0,SUM($Y282:DX282)/$W315))</f>
        <v>0</v>
      </c>
      <c r="DY315" s="50">
        <f>IF(OR($V315=0,$W315=0),0,IF(DY$310&gt;$V315,0,SUM($Y282:DY282)/$W315))</f>
        <v>0</v>
      </c>
      <c r="DZ315" s="50">
        <f>IF(OR($V315=0,$W315=0),0,IF(DZ$310&gt;$V315,0,SUM($Y282:DZ282)/$W315))</f>
        <v>0</v>
      </c>
      <c r="EA315" s="50">
        <f>IF(OR($V315=0,$W315=0),0,IF(EA$310&gt;$V315,0,SUM($Y282:EA282)/$W315))</f>
        <v>0</v>
      </c>
      <c r="EB315" s="50">
        <f>IF(OR($V315=0,$W315=0),0,IF(EB$310&gt;$V315,0,SUM($Y282:EB282)/$W315))</f>
        <v>0</v>
      </c>
      <c r="EC315" s="50">
        <f>IF(OR($V315=0,$W315=0),0,IF(EC$310&gt;$V315,0,SUM($Y282:EC282)/$W315))</f>
        <v>0</v>
      </c>
      <c r="ED315" s="50">
        <f>IF(OR($V315=0,$W315=0),0,IF(ED$310&gt;$V315,0,SUM($Y282:ED282)/$W315))</f>
        <v>0</v>
      </c>
      <c r="EE315" s="50">
        <f>IF(OR($V315=0,$W315=0),0,IF(EE$310&gt;$V315,0,SUM($Y282:EE282)/$W315))</f>
        <v>0</v>
      </c>
      <c r="EF315" s="50">
        <f>IF(OR($V315=0,$W315=0),0,IF(EF$310&gt;$V315,0,SUM($Y282:EF282)/$W315))</f>
        <v>0</v>
      </c>
      <c r="EG315" s="50">
        <f>IF(OR($V315=0,$W315=0),0,IF(EG$310&gt;$V315,0,SUM($Y282:EG282)/$W315))</f>
        <v>0</v>
      </c>
      <c r="EH315" s="50">
        <f>IF(OR($V315=0,$W315=0),0,IF(EH$310&gt;$V315,0,SUM($Y282:EH282)/$W315))</f>
        <v>0</v>
      </c>
      <c r="EI315" s="50">
        <f>IF(OR($V315=0,$W315=0),0,IF(EI$310&gt;$V315,0,SUM($Y282:EI282)/$W315))</f>
        <v>0</v>
      </c>
      <c r="EJ315" s="50">
        <f>IF(OR($V315=0,$W315=0),0,IF(EJ$310&gt;$V315,0,SUM($Y282:EJ282)/$W315))</f>
        <v>0</v>
      </c>
      <c r="EK315" s="50">
        <f>IF(OR($V315=0,$W315=0),0,IF(EK$310&gt;$V315,0,SUM($Y282:EK282)/$W315))</f>
        <v>0</v>
      </c>
      <c r="EL315" s="50">
        <f>IF(OR($V315=0,$W315=0),0,IF(EL$310&gt;$V315,0,SUM($Y282:EL282)/$W315))</f>
        <v>0</v>
      </c>
      <c r="EM315" s="50">
        <f>IF(OR($V315=0,$W315=0),0,IF(EM$310&gt;$V315,0,SUM($Y282:EM282)/$W315))</f>
        <v>0</v>
      </c>
      <c r="EN315" s="50">
        <f>IF(OR($V315=0,$W315=0),0,IF(EN$310&gt;$V315,0,SUM($Y282:EN282)/$W315))</f>
        <v>0</v>
      </c>
      <c r="EO315" s="39">
        <v>51</v>
      </c>
      <c r="EP315" s="39">
        <v>51</v>
      </c>
      <c r="EQ315" s="39">
        <v>51</v>
      </c>
      <c r="ER315" s="39">
        <v>51</v>
      </c>
      <c r="ES315" s="39">
        <v>51</v>
      </c>
      <c r="ET315" s="39">
        <v>51</v>
      </c>
      <c r="EU315" s="39">
        <v>51</v>
      </c>
      <c r="EV315" s="39">
        <v>51</v>
      </c>
      <c r="EW315" s="39">
        <v>51</v>
      </c>
      <c r="EX315" s="39">
        <v>51</v>
      </c>
    </row>
    <row r="316" spans="1:154" ht="12" customHeight="1" x14ac:dyDescent="0.35">
      <c r="A316" s="67">
        <v>39</v>
      </c>
      <c r="B316" s="1438">
        <f t="shared" si="144"/>
        <v>1186</v>
      </c>
      <c r="C316" s="1440">
        <v>39</v>
      </c>
      <c r="D316" s="82"/>
      <c r="E316" s="82"/>
      <c r="F316" s="82"/>
      <c r="G316" s="1448"/>
      <c r="H316" s="1448"/>
      <c r="I316" s="1448"/>
      <c r="J316" s="1448"/>
      <c r="K316" s="1668"/>
      <c r="L316" s="1668"/>
      <c r="M316" s="1668"/>
      <c r="N316" s="1669"/>
      <c r="O316" s="1669"/>
      <c r="P316" s="1670"/>
      <c r="Q316" s="1671"/>
      <c r="R316" s="1671"/>
      <c r="S316" s="1671"/>
      <c r="T316" s="1667"/>
      <c r="U316" s="1672"/>
      <c r="V316" s="1636">
        <f t="shared" si="145"/>
        <v>0</v>
      </c>
      <c r="W316" s="102">
        <f t="shared" si="146"/>
        <v>0</v>
      </c>
      <c r="X316" s="381">
        <f t="shared" si="147"/>
        <v>0</v>
      </c>
      <c r="Y316" s="1645">
        <f>IF(OR($V316=0,$W316=0),0,IF(Y$310&gt;$V316,0,SUM($Y283:Y283)/$W316))</f>
        <v>0</v>
      </c>
      <c r="Z316" s="1646">
        <f>IF(OR($V316=0,$W316=0),0,IF(Z$310&gt;$V316,0,SUM($Y283:Z283)/$W316))</f>
        <v>0</v>
      </c>
      <c r="AA316" s="1646">
        <f>IF(OR($V316=0,$W316=0),0,IF(AA$310&gt;$V316,0,SUM($Y283:AA283)/$W316))</f>
        <v>0</v>
      </c>
      <c r="AB316" s="1646">
        <f>IF(OR($V316=0,$W316=0),0,IF(AB$310&gt;$V316,0,SUM($Y283:AB283)/$W316))</f>
        <v>0</v>
      </c>
      <c r="AC316" s="1646">
        <f>IF(OR($V316=0,$W316=0),0,IF(AC$310&gt;$V316,0,SUM($Y283:AC283)/$W316))</f>
        <v>0</v>
      </c>
      <c r="AD316" s="1646">
        <f>IF(OR($V316=0,$W316=0),0,IF(AD$310&gt;$V316,0,SUM($Y283:AD283)/$W316))</f>
        <v>0</v>
      </c>
      <c r="AE316" s="1646">
        <f>IF(OR($V316=0,$W316=0),0,IF(AE$310&gt;$V316,0,SUM($Y283:AE283)/$W316))</f>
        <v>0</v>
      </c>
      <c r="AF316" s="1155">
        <f>IF(OR($V316=0,$W316=0),0,IF(AF$310&gt;$V316,0,SUM($Y283:AF283)/$W316))</f>
        <v>0</v>
      </c>
      <c r="AG316" s="1155">
        <f>IF(OR($V316=0,$W316=0),0,IF(AG$310&gt;$V316,0,SUM($Y283:AG283)/$W316))</f>
        <v>0</v>
      </c>
      <c r="AH316" s="1155">
        <f>IF(OR($V316=0,$W316=0),0,IF(AH$310&gt;$V316,0,SUM($Y283:AH283)/$W316))</f>
        <v>0</v>
      </c>
      <c r="AI316" s="1155">
        <f>IF(OR($V316=0,$W316=0),0,IF(AI$310&gt;$V316,0,SUM($Y283:AI283)/$W316))</f>
        <v>0</v>
      </c>
      <c r="AJ316" s="1155">
        <f>IF(OR($V316=0,$W316=0),0,IF(AJ$310&gt;$V316,0,SUM($Y283:AJ283)/$W316))</f>
        <v>0</v>
      </c>
      <c r="AK316" s="1155">
        <f>IF(OR($V316=0,$W316=0),0,IF(AK$310&gt;$V316,0,SUM($Y283:AK283)/$W316))</f>
        <v>0</v>
      </c>
      <c r="AL316" s="1155">
        <f>IF(OR($V316=0,$W316=0),0,IF(AL$310&gt;$V316,0,SUM($Y283:AL283)/$W316))</f>
        <v>0</v>
      </c>
      <c r="AM316" s="1155">
        <f>IF(OR($V316=0,$W316=0),0,IF(AM$310&gt;$V316,0,SUM($Y283:AM283)/$W316))</f>
        <v>0</v>
      </c>
      <c r="AN316" s="1155">
        <f>IF(OR($V316=0,$W316=0),0,IF(AN$310&gt;$V316,0,SUM($Y283:AN283)/$W316))</f>
        <v>0</v>
      </c>
      <c r="AO316" s="1155">
        <f>IF(OR($V316=0,$W316=0),0,IF(AO$310&gt;$V316,0,SUM($Y283:AO283)/$W316))</f>
        <v>0</v>
      </c>
      <c r="AP316" s="1155">
        <f>IF(OR($V316=0,$W316=0),0,IF(AP$310&gt;$V316,0,SUM($Y283:AP283)/$W316))</f>
        <v>0</v>
      </c>
      <c r="AQ316" s="1155">
        <f>IF(OR($V316=0,$W316=0),0,IF(AQ$310&gt;$V316,0,SUM($Y283:AQ283)/$W316))</f>
        <v>0</v>
      </c>
      <c r="AR316" s="1155">
        <f>IF(OR($V316=0,$W316=0),0,IF(AR$310&gt;$V316,0,SUM($Y283:AR283)/$W316))</f>
        <v>0</v>
      </c>
      <c r="AS316" s="1155">
        <f>IF(OR($V316=0,$W316=0),0,IF(AS$310&gt;$V316,0,SUM($Y283:AS283)/$W316))</f>
        <v>0</v>
      </c>
      <c r="AT316" s="1155">
        <f>IF(OR($V316=0,$W316=0),0,IF(AT$310&gt;$V316,0,SUM($Y283:AT283)/$W316))</f>
        <v>0</v>
      </c>
      <c r="AU316" s="1155">
        <f>IF(OR($V316=0,$W316=0),0,IF(AU$310&gt;$V316,0,SUM($Y283:AU283)/$W316))</f>
        <v>0</v>
      </c>
      <c r="AV316" s="1155">
        <f>IF(OR($V316=0,$W316=0),0,IF(AV$310&gt;$V316,0,SUM($Y283:AV283)/$W316))</f>
        <v>0</v>
      </c>
      <c r="AW316" s="1155">
        <f>IF(OR($V316=0,$W316=0),0,IF(AW$310&gt;$V316,0,SUM($Y283:AW283)/$W316))</f>
        <v>0</v>
      </c>
      <c r="AX316" s="1155">
        <f>IF(OR($V316=0,$W316=0),0,IF(AX$310&gt;$V316,0,SUM($Y283:AX283)/$W316))</f>
        <v>0</v>
      </c>
      <c r="AY316" s="1155">
        <f>IF(OR($V316=0,$W316=0),0,IF(AY$310&gt;$V316,0,SUM($Y283:AY283)/$W316))</f>
        <v>0</v>
      </c>
      <c r="AZ316" s="1155">
        <f>IF(OR($V316=0,$W316=0),0,IF(AZ$310&gt;$V316,0,SUM($Y283:AZ283)/$W316))</f>
        <v>0</v>
      </c>
      <c r="BA316" s="1155">
        <f>IF(OR($V316=0,$W316=0),0,IF(BA$310&gt;$V316,0,SUM($Y283:BA283)/$W316))</f>
        <v>0</v>
      </c>
      <c r="BB316" s="1155">
        <f>IF(OR($V316=0,$W316=0),0,IF(BB$310&gt;$V316,0,SUM($Y283:BB283)/$W316))</f>
        <v>0</v>
      </c>
      <c r="BC316" s="1155">
        <f>IF(OR($V316=0,$W316=0),0,IF(BC$310&gt;$V316,0,SUM($Y283:BC283)/$W316))</f>
        <v>0</v>
      </c>
      <c r="BD316" s="1155">
        <f>IF(OR($V316=0,$W316=0),0,IF(BD$310&gt;$V316,0,SUM($Y283:BD283)/$W316))</f>
        <v>0</v>
      </c>
      <c r="BE316" s="1155">
        <f>IF(OR($V316=0,$W316=0),0,IF(BE$310&gt;$V316,0,SUM($Y283:BE283)/$W316))</f>
        <v>0</v>
      </c>
      <c r="BF316" s="1155">
        <f>IF(OR($V316=0,$W316=0),0,IF(BF$310&gt;$V316,0,SUM($Y283:BF283)/$W316))</f>
        <v>0</v>
      </c>
      <c r="BG316" s="1155">
        <f>IF(OR($V316=0,$W316=0),0,IF(BG$310&gt;$V316,0,SUM($Y283:BG283)/$W316))</f>
        <v>0</v>
      </c>
      <c r="BH316" s="1155">
        <f>IF(OR($V316=0,$W316=0),0,IF(BH$310&gt;$V316,0,SUM($Y283:BH283)/$W316))</f>
        <v>0</v>
      </c>
      <c r="BI316" s="1155">
        <f>IF(OR($V316=0,$W316=0),0,IF(BI$310&gt;$V316,0,SUM($Y283:BI283)/$W316))</f>
        <v>0</v>
      </c>
      <c r="BJ316" s="1155">
        <f>IF(OR($V316=0,$W316=0),0,IF(BJ$310&gt;$V316,0,SUM($Y283:BJ283)/$W316))</f>
        <v>0</v>
      </c>
      <c r="BK316" s="1155">
        <f>IF(OR($V316=0,$W316=0),0,IF(BK$310&gt;$V316,0,SUM($Y283:BK283)/$W316))</f>
        <v>0</v>
      </c>
      <c r="BL316" s="1155">
        <f>IF(OR($V316=0,$W316=0),0,IF(BL$310&gt;$V316,0,SUM($Y283:BL283)/$W316))</f>
        <v>0</v>
      </c>
      <c r="BM316" s="1155">
        <f>IF(OR($V316=0,$W316=0),0,IF(BM$310&gt;$V316,0,SUM($Y283:BM283)/$W316))</f>
        <v>0</v>
      </c>
      <c r="BN316" s="1155">
        <f>IF(OR($V316=0,$W316=0),0,IF(BN$310&gt;$V316,0,SUM($Y283:BN283)/$W316))</f>
        <v>0</v>
      </c>
      <c r="BO316" s="1155">
        <f>IF(OR($V316=0,$W316=0),0,IF(BO$310&gt;$V316,0,SUM($Y283:BO283)/$W316))</f>
        <v>0</v>
      </c>
      <c r="BP316" s="1155">
        <f>IF(OR($V316=0,$W316=0),0,IF(BP$310&gt;$V316,0,SUM($Y283:BP283)/$W316))</f>
        <v>0</v>
      </c>
      <c r="BQ316" s="1155">
        <f>IF(OR($V316=0,$W316=0),0,IF(BQ$310&gt;$V316,0,SUM($Y283:BQ283)/$W316))</f>
        <v>0</v>
      </c>
      <c r="BR316" s="1155">
        <f>IF(OR($V316=0,$W316=0),0,IF(BR$310&gt;$V316,0,SUM($Y283:BR283)/$W316))</f>
        <v>0</v>
      </c>
      <c r="BS316" s="1155">
        <f>IF(OR($V316=0,$W316=0),0,IF(BS$310&gt;$V316,0,SUM($Y283:BS283)/$W316))</f>
        <v>0</v>
      </c>
      <c r="BT316" s="1155">
        <f>IF(OR($V316=0,$W316=0),0,IF(BT$310&gt;$V316,0,SUM($Y283:BT283)/$W316))</f>
        <v>0</v>
      </c>
      <c r="BU316" s="1155">
        <f>IF(OR($V316=0,$W316=0),0,IF(BU$310&gt;$V316,0,SUM($Y283:BU283)/$W316))</f>
        <v>0</v>
      </c>
      <c r="BV316" s="1155">
        <f>IF(OR($V316=0,$W316=0),0,IF(BV$310&gt;$V316,0,SUM($Y283:BV283)/$W316))</f>
        <v>0</v>
      </c>
      <c r="BW316" s="1155">
        <f>IF(OR($V316=0,$W316=0),0,IF(BW$310&gt;$V316,0,SUM($Y283:BW283)/$W316))</f>
        <v>0</v>
      </c>
      <c r="BX316" s="1457">
        <f>IF(OR($V316=0,$W316=0),0,IF(BX$310&gt;$V316,0,SUM($Y283:BX283)/$W316))</f>
        <v>0</v>
      </c>
      <c r="BY316" s="1457">
        <f>IF(OR($V316=0,$W316=0),0,IF(BY$310&gt;$V316,0,SUM($Y283:BY283)/$W316))</f>
        <v>0</v>
      </c>
      <c r="BZ316" s="1162">
        <f>IF(OR($V316=0,$W316=0),0,IF(BZ$310&gt;$V316,0,SUM($Y283:BZ283)/$W316))</f>
        <v>0</v>
      </c>
      <c r="CA316" s="1162">
        <f>IF(OR($V316=0,$W316=0),0,IF(CA$310&gt;$V316,0,SUM($Y283:CA283)/$W316))</f>
        <v>0</v>
      </c>
      <c r="CB316" s="1162">
        <f>IF(OR($V316=0,$W316=0),0,IF(CB$310&gt;$V316,0,SUM($Y283:CB283)/$W316))</f>
        <v>0</v>
      </c>
      <c r="CC316" s="1162">
        <f>IF(OR($V316=0,$W316=0),0,IF(CC$310&gt;$V316,0,SUM($Y283:CC283)/$W316))</f>
        <v>0</v>
      </c>
      <c r="CD316" s="1162">
        <f>IF(OR($V316=0,$W316=0),0,IF(CD$310&gt;$V316,0,SUM($Y283:CD283)/$W316))</f>
        <v>0</v>
      </c>
      <c r="CE316" s="1162">
        <f>IF(OR($V316=0,$W316=0),0,IF(CE$310&gt;$V316,0,SUM($Y283:CE283)/$W316))</f>
        <v>0</v>
      </c>
      <c r="CF316" s="1162">
        <f>IF(OR($V316=0,$W316=0),0,IF(CF$310&gt;$V316,0,SUM($Y283:CF283)/$W316))</f>
        <v>0</v>
      </c>
      <c r="CG316" s="1162">
        <f>IF(OR($V316=0,$W316=0),0,IF(CG$310&gt;$V316,0,SUM($Y283:CG283)/$W316))</f>
        <v>0</v>
      </c>
      <c r="CH316" s="1162">
        <f>IF(OR($V316=0,$W316=0),0,IF(CH$310&gt;$V316,0,SUM($Y283:CH283)/$W316))</f>
        <v>0</v>
      </c>
      <c r="CI316" s="1162">
        <f>IF(OR($V316=0,$W316=0),0,IF(CI$310&gt;$V316,0,SUM($Y283:CI283)/$W316))</f>
        <v>0</v>
      </c>
      <c r="CJ316" s="1162">
        <f>IF(OR($V316=0,$W316=0),0,IF(CJ$310&gt;$V316,0,SUM($Y283:CJ283)/$W316))</f>
        <v>0</v>
      </c>
      <c r="CK316" s="1162">
        <f>IF(OR($V316=0,$W316=0),0,IF(CK$310&gt;$V316,0,SUM($Y283:CK283)/$W316))</f>
        <v>0</v>
      </c>
      <c r="CL316" s="1162">
        <f>IF(OR($V316=0,$W316=0),0,IF(CL$310&gt;$V316,0,SUM($Y283:CL283)/$W316))</f>
        <v>0</v>
      </c>
      <c r="CM316" s="1162">
        <f>IF(OR($V316=0,$W316=0),0,IF(CM$310&gt;$V316,0,SUM($Y283:CM283)/$W316))</f>
        <v>0</v>
      </c>
      <c r="CN316" s="1162">
        <f>IF(OR($V316=0,$W316=0),0,IF(CN$310&gt;$V316,0,SUM($Y283:CN283)/$W316))</f>
        <v>0</v>
      </c>
      <c r="CO316" s="1162">
        <f>IF(OR($V316=0,$W316=0),0,IF(CO$310&gt;$V316,0,SUM($Y283:CO283)/$W316))</f>
        <v>0</v>
      </c>
      <c r="CP316" s="1162">
        <f>IF(OR($V316=0,$W316=0),0,IF(CP$310&gt;$V316,0,SUM($Y283:CP283)/$W316))</f>
        <v>0</v>
      </c>
      <c r="CQ316" s="48">
        <f>IF(OR($V316=0,$W316=0),0,IF(CQ$310&gt;$V316,0,SUM($Y283:CQ283)/$W316))</f>
        <v>0</v>
      </c>
      <c r="CR316" s="48">
        <f>IF(OR($V316=0,$W316=0),0,IF(CR$310&gt;$V316,0,SUM($Y283:CR283)/$W316))</f>
        <v>0</v>
      </c>
      <c r="CS316" s="48">
        <f>IF(OR($V316=0,$W316=0),0,IF(CS$310&gt;$V316,0,SUM($Y283:CS283)/$W316))</f>
        <v>0</v>
      </c>
      <c r="CT316" s="48">
        <f>IF(OR($V316=0,$W316=0),0,IF(CT$310&gt;$V316,0,SUM($Y283:CT283)/$W316))</f>
        <v>0</v>
      </c>
      <c r="CU316" s="48">
        <f>IF(OR($V316=0,$W316=0),0,IF(CU$310&gt;$V316,0,SUM($Y283:CU283)/$W316))</f>
        <v>0</v>
      </c>
      <c r="CV316" s="48">
        <f>IF(OR($V316=0,$W316=0),0,IF(CV$310&gt;$V316,0,SUM($Y283:CV283)/$W316))</f>
        <v>0</v>
      </c>
      <c r="CW316" s="48">
        <f>IF(OR($V316=0,$W316=0),0,IF(CW$310&gt;$V316,0,SUM($Y283:CW283)/$W316))</f>
        <v>0</v>
      </c>
      <c r="CX316" s="48">
        <f>IF(OR($V316=0,$W316=0),0,IF(CX$310&gt;$V316,0,SUM($Y283:CX283)/$W316))</f>
        <v>0</v>
      </c>
      <c r="CY316" s="48">
        <f>IF(OR($V316=0,$W316=0),0,IF(CY$310&gt;$V316,0,SUM($Y283:CY283)/$W316))</f>
        <v>0</v>
      </c>
      <c r="CZ316" s="48">
        <f>IF(OR($V316=0,$W316=0),0,IF(CZ$310&gt;$V316,0,SUM($Y283:CZ283)/$W316))</f>
        <v>0</v>
      </c>
      <c r="DA316" s="48">
        <f>IF(OR($V316=0,$W316=0),0,IF(DA$310&gt;$V316,0,SUM($Y283:DA283)/$W316))</f>
        <v>0</v>
      </c>
      <c r="DB316" s="48">
        <f>IF(OR($V316=0,$W316=0),0,IF(DB$310&gt;$V316,0,SUM($Y283:DB283)/$W316))</f>
        <v>0</v>
      </c>
      <c r="DC316" s="48">
        <f>IF(OR($V316=0,$W316=0),0,IF(DC$310&gt;$V316,0,SUM($Y283:DC283)/$W316))</f>
        <v>0</v>
      </c>
      <c r="DD316" s="48">
        <f>IF(OR($V316=0,$W316=0),0,IF(DD$310&gt;$V316,0,SUM($Y283:DD283)/$W316))</f>
        <v>0</v>
      </c>
      <c r="DE316" s="48">
        <f>IF(OR($V316=0,$W316=0),0,IF(DE$310&gt;$V316,0,SUM($Y283:DE283)/$W316))</f>
        <v>0</v>
      </c>
      <c r="DF316" s="48">
        <f>IF(OR($V316=0,$W316=0),0,IF(DF$310&gt;$V316,0,SUM($Y283:DF283)/$W316))</f>
        <v>0</v>
      </c>
      <c r="DG316" s="48">
        <f>IF(OR($V316=0,$W316=0),0,IF(DG$310&gt;$V316,0,SUM($Y283:DG283)/$W316))</f>
        <v>0</v>
      </c>
      <c r="DH316" s="48">
        <f>IF(OR($V316=0,$W316=0),0,IF(DH$310&gt;$V316,0,SUM($Y283:DH283)/$W316))</f>
        <v>0</v>
      </c>
      <c r="DI316" s="48">
        <f>IF(OR($V316=0,$W316=0),0,IF(DI$310&gt;$V316,0,SUM($Y283:DI283)/$W316))</f>
        <v>0</v>
      </c>
      <c r="DJ316" s="48">
        <f>IF(OR($V316=0,$W316=0),0,IF(DJ$310&gt;$V316,0,SUM($Y283:DJ283)/$W316))</f>
        <v>0</v>
      </c>
      <c r="DK316" s="48">
        <f>IF(OR($V316=0,$W316=0),0,IF(DK$310&gt;$V316,0,SUM($Y283:DK283)/$W316))</f>
        <v>0</v>
      </c>
      <c r="DL316" s="48">
        <f>IF(OR($V316=0,$W316=0),0,IF(DL$310&gt;$V316,0,SUM($Y283:DL283)/$W316))</f>
        <v>0</v>
      </c>
      <c r="DM316" s="48">
        <f>IF(OR($V316=0,$W316=0),0,IF(DM$310&gt;$V316,0,SUM($Y283:DM283)/$W316))</f>
        <v>0</v>
      </c>
      <c r="DN316" s="48">
        <f>IF(OR($V316=0,$W316=0),0,IF(DN$310&gt;$V316,0,SUM($Y283:DN283)/$W316))</f>
        <v>0</v>
      </c>
      <c r="DO316" s="48">
        <f>IF(OR($V316=0,$W316=0),0,IF(DO$310&gt;$V316,0,SUM($Y283:DO283)/$W316))</f>
        <v>0</v>
      </c>
      <c r="DP316" s="48">
        <f>IF(OR($V316=0,$W316=0),0,IF(DP$310&gt;$V316,0,SUM($Y283:DP283)/$W316))</f>
        <v>0</v>
      </c>
      <c r="DQ316" s="48">
        <f>IF(OR($V316=0,$W316=0),0,IF(DQ$310&gt;$V316,0,SUM($Y283:DQ283)/$W316))</f>
        <v>0</v>
      </c>
      <c r="DR316" s="50">
        <f>IF(OR($V316=0,$W316=0),0,IF(DR$310&gt;$V316,0,SUM($Y283:DR283)/$W316))</f>
        <v>0</v>
      </c>
      <c r="DS316" s="50">
        <f>IF(OR($V316=0,$W316=0),0,IF(DS$310&gt;$V316,0,SUM($Y283:DS283)/$W316))</f>
        <v>0</v>
      </c>
      <c r="DT316" s="50">
        <f>IF(OR($V316=0,$W316=0),0,IF(DT$310&gt;$V316,0,SUM($Y283:DT283)/$W316))</f>
        <v>0</v>
      </c>
      <c r="DU316" s="50">
        <f>IF(OR($V316=0,$W316=0),0,IF(DU$310&gt;$V316,0,SUM($Y283:DU283)/$W316))</f>
        <v>0</v>
      </c>
      <c r="DV316" s="50">
        <f>IF(OR($V316=0,$W316=0),0,IF(DV$310&gt;$V316,0,SUM($Y283:DV283)/$W316))</f>
        <v>0</v>
      </c>
      <c r="DW316" s="50">
        <f>IF(OR($V316=0,$W316=0),0,IF(DW$310&gt;$V316,0,SUM($Y283:DW283)/$W316))</f>
        <v>0</v>
      </c>
      <c r="DX316" s="50">
        <f>IF(OR($V316=0,$W316=0),0,IF(DX$310&gt;$V316,0,SUM($Y283:DX283)/$W316))</f>
        <v>0</v>
      </c>
      <c r="DY316" s="50">
        <f>IF(OR($V316=0,$W316=0),0,IF(DY$310&gt;$V316,0,SUM($Y283:DY283)/$W316))</f>
        <v>0</v>
      </c>
      <c r="DZ316" s="50">
        <f>IF(OR($V316=0,$W316=0),0,IF(DZ$310&gt;$V316,0,SUM($Y283:DZ283)/$W316))</f>
        <v>0</v>
      </c>
      <c r="EA316" s="50">
        <f>IF(OR($V316=0,$W316=0),0,IF(EA$310&gt;$V316,0,SUM($Y283:EA283)/$W316))</f>
        <v>0</v>
      </c>
      <c r="EB316" s="50">
        <f>IF(OR($V316=0,$W316=0),0,IF(EB$310&gt;$V316,0,SUM($Y283:EB283)/$W316))</f>
        <v>0</v>
      </c>
      <c r="EC316" s="50">
        <f>IF(OR($V316=0,$W316=0),0,IF(EC$310&gt;$V316,0,SUM($Y283:EC283)/$W316))</f>
        <v>0</v>
      </c>
      <c r="ED316" s="50">
        <f>IF(OR($V316=0,$W316=0),0,IF(ED$310&gt;$V316,0,SUM($Y283:ED283)/$W316))</f>
        <v>0</v>
      </c>
      <c r="EE316" s="50">
        <f>IF(OR($V316=0,$W316=0),0,IF(EE$310&gt;$V316,0,SUM($Y283:EE283)/$W316))</f>
        <v>0</v>
      </c>
      <c r="EF316" s="50">
        <f>IF(OR($V316=0,$W316=0),0,IF(EF$310&gt;$V316,0,SUM($Y283:EF283)/$W316))</f>
        <v>0</v>
      </c>
      <c r="EG316" s="50">
        <f>IF(OR($V316=0,$W316=0),0,IF(EG$310&gt;$V316,0,SUM($Y283:EG283)/$W316))</f>
        <v>0</v>
      </c>
      <c r="EH316" s="50">
        <f>IF(OR($V316=0,$W316=0),0,IF(EH$310&gt;$V316,0,SUM($Y283:EH283)/$W316))</f>
        <v>0</v>
      </c>
      <c r="EI316" s="50">
        <f>IF(OR($V316=0,$W316=0),0,IF(EI$310&gt;$V316,0,SUM($Y283:EI283)/$W316))</f>
        <v>0</v>
      </c>
      <c r="EJ316" s="50">
        <f>IF(OR($V316=0,$W316=0),0,IF(EJ$310&gt;$V316,0,SUM($Y283:EJ283)/$W316))</f>
        <v>0</v>
      </c>
      <c r="EK316" s="50">
        <f>IF(OR($V316=0,$W316=0),0,IF(EK$310&gt;$V316,0,SUM($Y283:EK283)/$W316))</f>
        <v>0</v>
      </c>
      <c r="EL316" s="50">
        <f>IF(OR($V316=0,$W316=0),0,IF(EL$310&gt;$V316,0,SUM($Y283:EL283)/$W316))</f>
        <v>0</v>
      </c>
      <c r="EM316" s="50">
        <f>IF(OR($V316=0,$W316=0),0,IF(EM$310&gt;$V316,0,SUM($Y283:EM283)/$W316))</f>
        <v>0</v>
      </c>
      <c r="EN316" s="50">
        <f>IF(OR($V316=0,$W316=0),0,IF(EN$310&gt;$V316,0,SUM($Y283:EN283)/$W316))</f>
        <v>0</v>
      </c>
      <c r="EO316" s="39">
        <v>51</v>
      </c>
      <c r="EP316" s="39">
        <v>51</v>
      </c>
      <c r="EQ316" s="39">
        <v>51</v>
      </c>
      <c r="ER316" s="39">
        <v>51</v>
      </c>
      <c r="ES316" s="39">
        <v>51</v>
      </c>
      <c r="ET316" s="39">
        <v>51</v>
      </c>
      <c r="EU316" s="39">
        <v>51</v>
      </c>
      <c r="EV316" s="39">
        <v>51</v>
      </c>
      <c r="EW316" s="39">
        <v>51</v>
      </c>
      <c r="EX316" s="39">
        <v>51</v>
      </c>
    </row>
    <row r="317" spans="1:154" ht="12" customHeight="1" x14ac:dyDescent="0.35">
      <c r="A317" s="67">
        <v>40</v>
      </c>
      <c r="B317" s="1438">
        <f t="shared" si="144"/>
        <v>1216</v>
      </c>
      <c r="C317" s="1440">
        <v>40</v>
      </c>
      <c r="D317" s="82"/>
      <c r="E317" s="82"/>
      <c r="F317" s="82"/>
      <c r="G317" s="1448"/>
      <c r="H317" s="1448"/>
      <c r="I317" s="1448"/>
      <c r="J317" s="1448"/>
      <c r="K317" s="1668"/>
      <c r="L317" s="1668"/>
      <c r="M317" s="1668"/>
      <c r="N317" s="1669"/>
      <c r="O317" s="1669"/>
      <c r="P317" s="1673"/>
      <c r="Q317" s="1671"/>
      <c r="R317" s="1671"/>
      <c r="S317" s="1671"/>
      <c r="T317" s="1667"/>
      <c r="U317" s="1672"/>
      <c r="V317" s="1636">
        <f t="shared" si="145"/>
        <v>0</v>
      </c>
      <c r="W317" s="102">
        <f t="shared" si="146"/>
        <v>0</v>
      </c>
      <c r="X317" s="381">
        <f t="shared" si="147"/>
        <v>0</v>
      </c>
      <c r="Y317" s="1645">
        <f>IF(OR($V317=0,$W317=0),0,IF(Y$310&gt;$V317,0,SUM($Y284:Y284)/$W317))</f>
        <v>0</v>
      </c>
      <c r="Z317" s="1646">
        <f>IF(OR($V317=0,$W317=0),0,IF(Z$310&gt;$V317,0,SUM($Y284:Z284)/$W317))</f>
        <v>0</v>
      </c>
      <c r="AA317" s="1646">
        <f>IF(OR($V317=0,$W317=0),0,IF(AA$310&gt;$V317,0,SUM($Y284:AA284)/$W317))</f>
        <v>0</v>
      </c>
      <c r="AB317" s="1646">
        <f>IF(OR($V317=0,$W317=0),0,IF(AB$310&gt;$V317,0,SUM($Y284:AB284)/$W317))</f>
        <v>0</v>
      </c>
      <c r="AC317" s="1646">
        <f>IF(OR($V317=0,$W317=0),0,IF(AC$310&gt;$V317,0,SUM($Y284:AC284)/$W317))</f>
        <v>0</v>
      </c>
      <c r="AD317" s="1646">
        <f>IF(OR($V317=0,$W317=0),0,IF(AD$310&gt;$V317,0,SUM($Y284:AD284)/$W317))</f>
        <v>0</v>
      </c>
      <c r="AE317" s="1646">
        <f>IF(OR($V317=0,$W317=0),0,IF(AE$310&gt;$V317,0,SUM($Y284:AE284)/$W317))</f>
        <v>0</v>
      </c>
      <c r="AF317" s="1155">
        <f>IF(OR($V317=0,$W317=0),0,IF(AF$310&gt;$V317,0,SUM($Y284:AF284)/$W317))</f>
        <v>0</v>
      </c>
      <c r="AG317" s="1155">
        <f>IF(OR($V317=0,$W317=0),0,IF(AG$310&gt;$V317,0,SUM($Y284:AG284)/$W317))</f>
        <v>0</v>
      </c>
      <c r="AH317" s="1155">
        <f>IF(OR($V317=0,$W317=0),0,IF(AH$310&gt;$V317,0,SUM($Y284:AH284)/$W317))</f>
        <v>0</v>
      </c>
      <c r="AI317" s="1155">
        <f>IF(OR($V317=0,$W317=0),0,IF(AI$310&gt;$V317,0,SUM($Y284:AI284)/$W317))</f>
        <v>0</v>
      </c>
      <c r="AJ317" s="1155">
        <f>IF(OR($V317=0,$W317=0),0,IF(AJ$310&gt;$V317,0,SUM($Y284:AJ284)/$W317))</f>
        <v>0</v>
      </c>
      <c r="AK317" s="1155">
        <f>IF(OR($V317=0,$W317=0),0,IF(AK$310&gt;$V317,0,SUM($Y284:AK284)/$W317))</f>
        <v>0</v>
      </c>
      <c r="AL317" s="1155">
        <f>IF(OR($V317=0,$W317=0),0,IF(AL$310&gt;$V317,0,SUM($Y284:AL284)/$W317))</f>
        <v>0</v>
      </c>
      <c r="AM317" s="1155">
        <f>IF(OR($V317=0,$W317=0),0,IF(AM$310&gt;$V317,0,SUM($Y284:AM284)/$W317))</f>
        <v>0</v>
      </c>
      <c r="AN317" s="1155">
        <f>IF(OR($V317=0,$W317=0),0,IF(AN$310&gt;$V317,0,SUM($Y284:AN284)/$W317))</f>
        <v>0</v>
      </c>
      <c r="AO317" s="1155">
        <f>IF(OR($V317=0,$W317=0),0,IF(AO$310&gt;$V317,0,SUM($Y284:AO284)/$W317))</f>
        <v>0</v>
      </c>
      <c r="AP317" s="1155">
        <f>IF(OR($V317=0,$W317=0),0,IF(AP$310&gt;$V317,0,SUM($Y284:AP284)/$W317))</f>
        <v>0</v>
      </c>
      <c r="AQ317" s="1155">
        <f>IF(OR($V317=0,$W317=0),0,IF(AQ$310&gt;$V317,0,SUM($Y284:AQ284)/$W317))</f>
        <v>0</v>
      </c>
      <c r="AR317" s="1155">
        <f>IF(OR($V317=0,$W317=0),0,IF(AR$310&gt;$V317,0,SUM($Y284:AR284)/$W317))</f>
        <v>0</v>
      </c>
      <c r="AS317" s="1155">
        <f>IF(OR($V317=0,$W317=0),0,IF(AS$310&gt;$V317,0,SUM($Y284:AS284)/$W317))</f>
        <v>0</v>
      </c>
      <c r="AT317" s="1155">
        <f>IF(OR($V317=0,$W317=0),0,IF(AT$310&gt;$V317,0,SUM($Y284:AT284)/$W317))</f>
        <v>0</v>
      </c>
      <c r="AU317" s="1155">
        <f>IF(OR($V317=0,$W317=0),0,IF(AU$310&gt;$V317,0,SUM($Y284:AU284)/$W317))</f>
        <v>0</v>
      </c>
      <c r="AV317" s="1155">
        <f>IF(OR($V317=0,$W317=0),0,IF(AV$310&gt;$V317,0,SUM($Y284:AV284)/$W317))</f>
        <v>0</v>
      </c>
      <c r="AW317" s="1155">
        <f>IF(OR($V317=0,$W317=0),0,IF(AW$310&gt;$V317,0,SUM($Y284:AW284)/$W317))</f>
        <v>0</v>
      </c>
      <c r="AX317" s="1155">
        <f>IF(OR($V317=0,$W317=0),0,IF(AX$310&gt;$V317,0,SUM($Y284:AX284)/$W317))</f>
        <v>0</v>
      </c>
      <c r="AY317" s="1155">
        <f>IF(OR($V317=0,$W317=0),0,IF(AY$310&gt;$V317,0,SUM($Y284:AY284)/$W317))</f>
        <v>0</v>
      </c>
      <c r="AZ317" s="1155">
        <f>IF(OR($V317=0,$W317=0),0,IF(AZ$310&gt;$V317,0,SUM($Y284:AZ284)/$W317))</f>
        <v>0</v>
      </c>
      <c r="BA317" s="1155">
        <f>IF(OR($V317=0,$W317=0),0,IF(BA$310&gt;$V317,0,SUM($Y284:BA284)/$W317))</f>
        <v>0</v>
      </c>
      <c r="BB317" s="1155">
        <f>IF(OR($V317=0,$W317=0),0,IF(BB$310&gt;$V317,0,SUM($Y284:BB284)/$W317))</f>
        <v>0</v>
      </c>
      <c r="BC317" s="1155">
        <f>IF(OR($V317=0,$W317=0),0,IF(BC$310&gt;$V317,0,SUM($Y284:BC284)/$W317))</f>
        <v>0</v>
      </c>
      <c r="BD317" s="1155">
        <f>IF(OR($V317=0,$W317=0),0,IF(BD$310&gt;$V317,0,SUM($Y284:BD284)/$W317))</f>
        <v>0</v>
      </c>
      <c r="BE317" s="1155">
        <f>IF(OR($V317=0,$W317=0),0,IF(BE$310&gt;$V317,0,SUM($Y284:BE284)/$W317))</f>
        <v>0</v>
      </c>
      <c r="BF317" s="1155">
        <f>IF(OR($V317=0,$W317=0),0,IF(BF$310&gt;$V317,0,SUM($Y284:BF284)/$W317))</f>
        <v>0</v>
      </c>
      <c r="BG317" s="1155">
        <f>IF(OR($V317=0,$W317=0),0,IF(BG$310&gt;$V317,0,SUM($Y284:BG284)/$W317))</f>
        <v>0</v>
      </c>
      <c r="BH317" s="1155">
        <f>IF(OR($V317=0,$W317=0),0,IF(BH$310&gt;$V317,0,SUM($Y284:BH284)/$W317))</f>
        <v>0</v>
      </c>
      <c r="BI317" s="1155">
        <f>IF(OR($V317=0,$W317=0),0,IF(BI$310&gt;$V317,0,SUM($Y284:BI284)/$W317))</f>
        <v>0</v>
      </c>
      <c r="BJ317" s="1155">
        <f>IF(OR($V317=0,$W317=0),0,IF(BJ$310&gt;$V317,0,SUM($Y284:BJ284)/$W317))</f>
        <v>0</v>
      </c>
      <c r="BK317" s="1155">
        <f>IF(OR($V317=0,$W317=0),0,IF(BK$310&gt;$V317,0,SUM($Y284:BK284)/$W317))</f>
        <v>0</v>
      </c>
      <c r="BL317" s="1155">
        <f>IF(OR($V317=0,$W317=0),0,IF(BL$310&gt;$V317,0,SUM($Y284:BL284)/$W317))</f>
        <v>0</v>
      </c>
      <c r="BM317" s="1155">
        <f>IF(OR($V317=0,$W317=0),0,IF(BM$310&gt;$V317,0,SUM($Y284:BM284)/$W317))</f>
        <v>0</v>
      </c>
      <c r="BN317" s="1155">
        <f>IF(OR($V317=0,$W317=0),0,IF(BN$310&gt;$V317,0,SUM($Y284:BN284)/$W317))</f>
        <v>0</v>
      </c>
      <c r="BO317" s="1155">
        <f>IF(OR($V317=0,$W317=0),0,IF(BO$310&gt;$V317,0,SUM($Y284:BO284)/$W317))</f>
        <v>0</v>
      </c>
      <c r="BP317" s="1155">
        <f>IF(OR($V317=0,$W317=0),0,IF(BP$310&gt;$V317,0,SUM($Y284:BP284)/$W317))</f>
        <v>0</v>
      </c>
      <c r="BQ317" s="1155">
        <f>IF(OR($V317=0,$W317=0),0,IF(BQ$310&gt;$V317,0,SUM($Y284:BQ284)/$W317))</f>
        <v>0</v>
      </c>
      <c r="BR317" s="1155">
        <f>IF(OR($V317=0,$W317=0),0,IF(BR$310&gt;$V317,0,SUM($Y284:BR284)/$W317))</f>
        <v>0</v>
      </c>
      <c r="BS317" s="1155">
        <f>IF(OR($V317=0,$W317=0),0,IF(BS$310&gt;$V317,0,SUM($Y284:BS284)/$W317))</f>
        <v>0</v>
      </c>
      <c r="BT317" s="1155">
        <f>IF(OR($V317=0,$W317=0),0,IF(BT$310&gt;$V317,0,SUM($Y284:BT284)/$W317))</f>
        <v>0</v>
      </c>
      <c r="BU317" s="1155">
        <f>IF(OR($V317=0,$W317=0),0,IF(BU$310&gt;$V317,0,SUM($Y284:BU284)/$W317))</f>
        <v>0</v>
      </c>
      <c r="BV317" s="1155">
        <f>IF(OR($V317=0,$W317=0),0,IF(BV$310&gt;$V317,0,SUM($Y284:BV284)/$W317))</f>
        <v>0</v>
      </c>
      <c r="BW317" s="1155">
        <f>IF(OR($V317=0,$W317=0),0,IF(BW$310&gt;$V317,0,SUM($Y284:BW284)/$W317))</f>
        <v>0</v>
      </c>
      <c r="BX317" s="1457">
        <f>IF(OR($V317=0,$W317=0),0,IF(BX$310&gt;$V317,0,SUM($Y284:BX284)/$W317))</f>
        <v>0</v>
      </c>
      <c r="BY317" s="1457">
        <f>IF(OR($V317=0,$W317=0),0,IF(BY$310&gt;$V317,0,SUM($Y284:BY284)/$W317))</f>
        <v>0</v>
      </c>
      <c r="BZ317" s="1162">
        <f>IF(OR($V317=0,$W317=0),0,IF(BZ$310&gt;$V317,0,SUM($Y284:BZ284)/$W317))</f>
        <v>0</v>
      </c>
      <c r="CA317" s="1162">
        <f>IF(OR($V317=0,$W317=0),0,IF(CA$310&gt;$V317,0,SUM($Y284:CA284)/$W317))</f>
        <v>0</v>
      </c>
      <c r="CB317" s="1162">
        <f>IF(OR($V317=0,$W317=0),0,IF(CB$310&gt;$V317,0,SUM($Y284:CB284)/$W317))</f>
        <v>0</v>
      </c>
      <c r="CC317" s="1162">
        <f>IF(OR($V317=0,$W317=0),0,IF(CC$310&gt;$V317,0,SUM($Y284:CC284)/$W317))</f>
        <v>0</v>
      </c>
      <c r="CD317" s="1162">
        <f>IF(OR($V317=0,$W317=0),0,IF(CD$310&gt;$V317,0,SUM($Y284:CD284)/$W317))</f>
        <v>0</v>
      </c>
      <c r="CE317" s="1162">
        <f>IF(OR($V317=0,$W317=0),0,IF(CE$310&gt;$V317,0,SUM($Y284:CE284)/$W317))</f>
        <v>0</v>
      </c>
      <c r="CF317" s="1162">
        <f>IF(OR($V317=0,$W317=0),0,IF(CF$310&gt;$V317,0,SUM($Y284:CF284)/$W317))</f>
        <v>0</v>
      </c>
      <c r="CG317" s="1162">
        <f>IF(OR($V317=0,$W317=0),0,IF(CG$310&gt;$V317,0,SUM($Y284:CG284)/$W317))</f>
        <v>0</v>
      </c>
      <c r="CH317" s="1162">
        <f>IF(OR($V317=0,$W317=0),0,IF(CH$310&gt;$V317,0,SUM($Y284:CH284)/$W317))</f>
        <v>0</v>
      </c>
      <c r="CI317" s="1162">
        <f>IF(OR($V317=0,$W317=0),0,IF(CI$310&gt;$V317,0,SUM($Y284:CI284)/$W317))</f>
        <v>0</v>
      </c>
      <c r="CJ317" s="1162">
        <f>IF(OR($V317=0,$W317=0),0,IF(CJ$310&gt;$V317,0,SUM($Y284:CJ284)/$W317))</f>
        <v>0</v>
      </c>
      <c r="CK317" s="1162">
        <f>IF(OR($V317=0,$W317=0),0,IF(CK$310&gt;$V317,0,SUM($Y284:CK284)/$W317))</f>
        <v>0</v>
      </c>
      <c r="CL317" s="1162">
        <f>IF(OR($V317=0,$W317=0),0,IF(CL$310&gt;$V317,0,SUM($Y284:CL284)/$W317))</f>
        <v>0</v>
      </c>
      <c r="CM317" s="1162">
        <f>IF(OR($V317=0,$W317=0),0,IF(CM$310&gt;$V317,0,SUM($Y284:CM284)/$W317))</f>
        <v>0</v>
      </c>
      <c r="CN317" s="1162">
        <f>IF(OR($V317=0,$W317=0),0,IF(CN$310&gt;$V317,0,SUM($Y284:CN284)/$W317))</f>
        <v>0</v>
      </c>
      <c r="CO317" s="1162">
        <f>IF(OR($V317=0,$W317=0),0,IF(CO$310&gt;$V317,0,SUM($Y284:CO284)/$W317))</f>
        <v>0</v>
      </c>
      <c r="CP317" s="1162">
        <f>IF(OR($V317=0,$W317=0),0,IF(CP$310&gt;$V317,0,SUM($Y284:CP284)/$W317))</f>
        <v>0</v>
      </c>
      <c r="CQ317" s="48">
        <f>IF(OR($V317=0,$W317=0),0,IF(CQ$310&gt;$V317,0,SUM($Y284:CQ284)/$W317))</f>
        <v>0</v>
      </c>
      <c r="CR317" s="48">
        <f>IF(OR($V317=0,$W317=0),0,IF(CR$310&gt;$V317,0,SUM($Y284:CR284)/$W317))</f>
        <v>0</v>
      </c>
      <c r="CS317" s="48">
        <f>IF(OR($V317=0,$W317=0),0,IF(CS$310&gt;$V317,0,SUM($Y284:CS284)/$W317))</f>
        <v>0</v>
      </c>
      <c r="CT317" s="48">
        <f>IF(OR($V317=0,$W317=0),0,IF(CT$310&gt;$V317,0,SUM($Y284:CT284)/$W317))</f>
        <v>0</v>
      </c>
      <c r="CU317" s="48">
        <f>IF(OR($V317=0,$W317=0),0,IF(CU$310&gt;$V317,0,SUM($Y284:CU284)/$W317))</f>
        <v>0</v>
      </c>
      <c r="CV317" s="48">
        <f>IF(OR($V317=0,$W317=0),0,IF(CV$310&gt;$V317,0,SUM($Y284:CV284)/$W317))</f>
        <v>0</v>
      </c>
      <c r="CW317" s="48">
        <f>IF(OR($V317=0,$W317=0),0,IF(CW$310&gt;$V317,0,SUM($Y284:CW284)/$W317))</f>
        <v>0</v>
      </c>
      <c r="CX317" s="48">
        <f>IF(OR($V317=0,$W317=0),0,IF(CX$310&gt;$V317,0,SUM($Y284:CX284)/$W317))</f>
        <v>0</v>
      </c>
      <c r="CY317" s="48">
        <f>IF(OR($V317=0,$W317=0),0,IF(CY$310&gt;$V317,0,SUM($Y284:CY284)/$W317))</f>
        <v>0</v>
      </c>
      <c r="CZ317" s="48">
        <f>IF(OR($V317=0,$W317=0),0,IF(CZ$310&gt;$V317,0,SUM($Y284:CZ284)/$W317))</f>
        <v>0</v>
      </c>
      <c r="DA317" s="48">
        <f>IF(OR($V317=0,$W317=0),0,IF(DA$310&gt;$V317,0,SUM($Y284:DA284)/$W317))</f>
        <v>0</v>
      </c>
      <c r="DB317" s="48">
        <f>IF(OR($V317=0,$W317=0),0,IF(DB$310&gt;$V317,0,SUM($Y284:DB284)/$W317))</f>
        <v>0</v>
      </c>
      <c r="DC317" s="48">
        <f>IF(OR($V317=0,$W317=0),0,IF(DC$310&gt;$V317,0,SUM($Y284:DC284)/$W317))</f>
        <v>0</v>
      </c>
      <c r="DD317" s="48">
        <f>IF(OR($V317=0,$W317=0),0,IF(DD$310&gt;$V317,0,SUM($Y284:DD284)/$W317))</f>
        <v>0</v>
      </c>
      <c r="DE317" s="48">
        <f>IF(OR($V317=0,$W317=0),0,IF(DE$310&gt;$V317,0,SUM($Y284:DE284)/$W317))</f>
        <v>0</v>
      </c>
      <c r="DF317" s="48">
        <f>IF(OR($V317=0,$W317=0),0,IF(DF$310&gt;$V317,0,SUM($Y284:DF284)/$W317))</f>
        <v>0</v>
      </c>
      <c r="DG317" s="48">
        <f>IF(OR($V317=0,$W317=0),0,IF(DG$310&gt;$V317,0,SUM($Y284:DG284)/$W317))</f>
        <v>0</v>
      </c>
      <c r="DH317" s="48">
        <f>IF(OR($V317=0,$W317=0),0,IF(DH$310&gt;$V317,0,SUM($Y284:DH284)/$W317))</f>
        <v>0</v>
      </c>
      <c r="DI317" s="48">
        <f>IF(OR($V317=0,$W317=0),0,IF(DI$310&gt;$V317,0,SUM($Y284:DI284)/$W317))</f>
        <v>0</v>
      </c>
      <c r="DJ317" s="48">
        <f>IF(OR($V317=0,$W317=0),0,IF(DJ$310&gt;$V317,0,SUM($Y284:DJ284)/$W317))</f>
        <v>0</v>
      </c>
      <c r="DK317" s="48">
        <f>IF(OR($V317=0,$W317=0),0,IF(DK$310&gt;$V317,0,SUM($Y284:DK284)/$W317))</f>
        <v>0</v>
      </c>
      <c r="DL317" s="48">
        <f>IF(OR($V317=0,$W317=0),0,IF(DL$310&gt;$V317,0,SUM($Y284:DL284)/$W317))</f>
        <v>0</v>
      </c>
      <c r="DM317" s="48">
        <f>IF(OR($V317=0,$W317=0),0,IF(DM$310&gt;$V317,0,SUM($Y284:DM284)/$W317))</f>
        <v>0</v>
      </c>
      <c r="DN317" s="48">
        <f>IF(OR($V317=0,$W317=0),0,IF(DN$310&gt;$V317,0,SUM($Y284:DN284)/$W317))</f>
        <v>0</v>
      </c>
      <c r="DO317" s="48">
        <f>IF(OR($V317=0,$W317=0),0,IF(DO$310&gt;$V317,0,SUM($Y284:DO284)/$W317))</f>
        <v>0</v>
      </c>
      <c r="DP317" s="48">
        <f>IF(OR($V317=0,$W317=0),0,IF(DP$310&gt;$V317,0,SUM($Y284:DP284)/$W317))</f>
        <v>0</v>
      </c>
      <c r="DQ317" s="48">
        <f>IF(OR($V317=0,$W317=0),0,IF(DQ$310&gt;$V317,0,SUM($Y284:DQ284)/$W317))</f>
        <v>0</v>
      </c>
      <c r="DR317" s="50">
        <f>IF(OR($V317=0,$W317=0),0,IF(DR$310&gt;$V317,0,SUM($Y284:DR284)/$W317))</f>
        <v>0</v>
      </c>
      <c r="DS317" s="50">
        <f>IF(OR($V317=0,$W317=0),0,IF(DS$310&gt;$V317,0,SUM($Y284:DS284)/$W317))</f>
        <v>0</v>
      </c>
      <c r="DT317" s="50">
        <f>IF(OR($V317=0,$W317=0),0,IF(DT$310&gt;$V317,0,SUM($Y284:DT284)/$W317))</f>
        <v>0</v>
      </c>
      <c r="DU317" s="50">
        <f>IF(OR($V317=0,$W317=0),0,IF(DU$310&gt;$V317,0,SUM($Y284:DU284)/$W317))</f>
        <v>0</v>
      </c>
      <c r="DV317" s="50">
        <f>IF(OR($V317=0,$W317=0),0,IF(DV$310&gt;$V317,0,SUM($Y284:DV284)/$W317))</f>
        <v>0</v>
      </c>
      <c r="DW317" s="50">
        <f>IF(OR($V317=0,$W317=0),0,IF(DW$310&gt;$V317,0,SUM($Y284:DW284)/$W317))</f>
        <v>0</v>
      </c>
      <c r="DX317" s="50">
        <f>IF(OR($V317=0,$W317=0),0,IF(DX$310&gt;$V317,0,SUM($Y284:DX284)/$W317))</f>
        <v>0</v>
      </c>
      <c r="DY317" s="50">
        <f>IF(OR($V317=0,$W317=0),0,IF(DY$310&gt;$V317,0,SUM($Y284:DY284)/$W317))</f>
        <v>0</v>
      </c>
      <c r="DZ317" s="50">
        <f>IF(OR($V317=0,$W317=0),0,IF(DZ$310&gt;$V317,0,SUM($Y284:DZ284)/$W317))</f>
        <v>0</v>
      </c>
      <c r="EA317" s="50">
        <f>IF(OR($V317=0,$W317=0),0,IF(EA$310&gt;$V317,0,SUM($Y284:EA284)/$W317))</f>
        <v>0</v>
      </c>
      <c r="EB317" s="50">
        <f>IF(OR($V317=0,$W317=0),0,IF(EB$310&gt;$V317,0,SUM($Y284:EB284)/$W317))</f>
        <v>0</v>
      </c>
      <c r="EC317" s="50">
        <f>IF(OR($V317=0,$W317=0),0,IF(EC$310&gt;$V317,0,SUM($Y284:EC284)/$W317))</f>
        <v>0</v>
      </c>
      <c r="ED317" s="50">
        <f>IF(OR($V317=0,$W317=0),0,IF(ED$310&gt;$V317,0,SUM($Y284:ED284)/$W317))</f>
        <v>0</v>
      </c>
      <c r="EE317" s="50">
        <f>IF(OR($V317=0,$W317=0),0,IF(EE$310&gt;$V317,0,SUM($Y284:EE284)/$W317))</f>
        <v>0</v>
      </c>
      <c r="EF317" s="50">
        <f>IF(OR($V317=0,$W317=0),0,IF(EF$310&gt;$V317,0,SUM($Y284:EF284)/$W317))</f>
        <v>0</v>
      </c>
      <c r="EG317" s="50">
        <f>IF(OR($V317=0,$W317=0),0,IF(EG$310&gt;$V317,0,SUM($Y284:EG284)/$W317))</f>
        <v>0</v>
      </c>
      <c r="EH317" s="50">
        <f>IF(OR($V317=0,$W317=0),0,IF(EH$310&gt;$V317,0,SUM($Y284:EH284)/$W317))</f>
        <v>0</v>
      </c>
      <c r="EI317" s="50">
        <f>IF(OR($V317=0,$W317=0),0,IF(EI$310&gt;$V317,0,SUM($Y284:EI284)/$W317))</f>
        <v>0</v>
      </c>
      <c r="EJ317" s="50">
        <f>IF(OR($V317=0,$W317=0),0,IF(EJ$310&gt;$V317,0,SUM($Y284:EJ284)/$W317))</f>
        <v>0</v>
      </c>
      <c r="EK317" s="50">
        <f>IF(OR($V317=0,$W317=0),0,IF(EK$310&gt;$V317,0,SUM($Y284:EK284)/$W317))</f>
        <v>0</v>
      </c>
      <c r="EL317" s="50">
        <f>IF(OR($V317=0,$W317=0),0,IF(EL$310&gt;$V317,0,SUM($Y284:EL284)/$W317))</f>
        <v>0</v>
      </c>
      <c r="EM317" s="50">
        <f>IF(OR($V317=0,$W317=0),0,IF(EM$310&gt;$V317,0,SUM($Y284:EM284)/$W317))</f>
        <v>0</v>
      </c>
      <c r="EN317" s="50">
        <f>IF(OR($V317=0,$W317=0),0,IF(EN$310&gt;$V317,0,SUM($Y284:EN284)/$W317))</f>
        <v>0</v>
      </c>
      <c r="EO317" s="39">
        <v>51</v>
      </c>
      <c r="EP317" s="39">
        <v>51</v>
      </c>
      <c r="EQ317" s="39">
        <v>51</v>
      </c>
      <c r="ER317" s="39">
        <v>51</v>
      </c>
      <c r="ES317" s="39">
        <v>51</v>
      </c>
      <c r="ET317" s="39">
        <v>51</v>
      </c>
      <c r="EU317" s="39">
        <v>51</v>
      </c>
      <c r="EV317" s="39">
        <v>51</v>
      </c>
      <c r="EW317" s="39">
        <v>51</v>
      </c>
      <c r="EX317" s="39">
        <v>51</v>
      </c>
    </row>
    <row r="318" spans="1:154" ht="12" customHeight="1" x14ac:dyDescent="0.35">
      <c r="A318" s="67">
        <v>41</v>
      </c>
      <c r="B318" s="1438">
        <f t="shared" si="144"/>
        <v>1247</v>
      </c>
      <c r="C318" s="1440">
        <v>41</v>
      </c>
      <c r="D318" s="82"/>
      <c r="E318" s="82"/>
      <c r="F318" s="82"/>
      <c r="G318" s="1448"/>
      <c r="H318" s="1448"/>
      <c r="I318" s="1448"/>
      <c r="J318" s="1448"/>
      <c r="K318" s="1668"/>
      <c r="L318" s="1668"/>
      <c r="M318" s="1668"/>
      <c r="N318" s="1669"/>
      <c r="O318" s="1669"/>
      <c r="P318" s="1670"/>
      <c r="Q318" s="1671"/>
      <c r="R318" s="1671"/>
      <c r="S318" s="1671"/>
      <c r="T318" s="1667"/>
      <c r="U318" s="1672"/>
      <c r="V318" s="1636">
        <f t="shared" si="145"/>
        <v>0</v>
      </c>
      <c r="W318" s="102">
        <f t="shared" si="146"/>
        <v>0</v>
      </c>
      <c r="X318" s="381">
        <f t="shared" si="147"/>
        <v>0</v>
      </c>
      <c r="Y318" s="1645">
        <f>IF(OR($V318=0,$W318=0),0,IF(Y$310&gt;$V318,0,SUM($Y285:Y285)/$W318))</f>
        <v>0</v>
      </c>
      <c r="Z318" s="1646">
        <f>IF(OR($V318=0,$W318=0),0,IF(Z$310&gt;$V318,0,SUM($Y285:Z285)/$W318))</f>
        <v>0</v>
      </c>
      <c r="AA318" s="1646">
        <f>IF(OR($V318=0,$W318=0),0,IF(AA$310&gt;$V318,0,SUM($Y285:AA285)/$W318))</f>
        <v>0</v>
      </c>
      <c r="AB318" s="1646">
        <f>IF(OR($V318=0,$W318=0),0,IF(AB$310&gt;$V318,0,SUM($Y285:AB285)/$W318))</f>
        <v>0</v>
      </c>
      <c r="AC318" s="1646">
        <f>IF(OR($V318=0,$W318=0),0,IF(AC$310&gt;$V318,0,SUM($Y285:AC285)/$W318))</f>
        <v>0</v>
      </c>
      <c r="AD318" s="1646">
        <f>IF(OR($V318=0,$W318=0),0,IF(AD$310&gt;$V318,0,SUM($Y285:AD285)/$W318))</f>
        <v>0</v>
      </c>
      <c r="AE318" s="1646">
        <f>IF(OR($V318=0,$W318=0),0,IF(AE$310&gt;$V318,0,SUM($Y285:AE285)/$W318))</f>
        <v>0</v>
      </c>
      <c r="AF318" s="1155">
        <f>IF(OR($V318=0,$W318=0),0,IF(AF$310&gt;$V318,0,SUM($Y285:AF285)/$W318))</f>
        <v>0</v>
      </c>
      <c r="AG318" s="1155">
        <f>IF(OR($V318=0,$W318=0),0,IF(AG$310&gt;$V318,0,SUM($Y285:AG285)/$W318))</f>
        <v>0</v>
      </c>
      <c r="AH318" s="1155">
        <f>IF(OR($V318=0,$W318=0),0,IF(AH$310&gt;$V318,0,SUM($Y285:AH285)/$W318))</f>
        <v>0</v>
      </c>
      <c r="AI318" s="1155">
        <f>IF(OR($V318=0,$W318=0),0,IF(AI$310&gt;$V318,0,SUM($Y285:AI285)/$W318))</f>
        <v>0</v>
      </c>
      <c r="AJ318" s="1155">
        <f>IF(OR($V318=0,$W318=0),0,IF(AJ$310&gt;$V318,0,SUM($Y285:AJ285)/$W318))</f>
        <v>0</v>
      </c>
      <c r="AK318" s="1155">
        <f>IF(OR($V318=0,$W318=0),0,IF(AK$310&gt;$V318,0,SUM($Y285:AK285)/$W318))</f>
        <v>0</v>
      </c>
      <c r="AL318" s="1155">
        <f>IF(OR($V318=0,$W318=0),0,IF(AL$310&gt;$V318,0,SUM($Y285:AL285)/$W318))</f>
        <v>0</v>
      </c>
      <c r="AM318" s="1155">
        <f>IF(OR($V318=0,$W318=0),0,IF(AM$310&gt;$V318,0,SUM($Y285:AM285)/$W318))</f>
        <v>0</v>
      </c>
      <c r="AN318" s="1155">
        <f>IF(OR($V318=0,$W318=0),0,IF(AN$310&gt;$V318,0,SUM($Y285:AN285)/$W318))</f>
        <v>0</v>
      </c>
      <c r="AO318" s="1155">
        <f>IF(OR($V318=0,$W318=0),0,IF(AO$310&gt;$V318,0,SUM($Y285:AO285)/$W318))</f>
        <v>0</v>
      </c>
      <c r="AP318" s="1155">
        <f>IF(OR($V318=0,$W318=0),0,IF(AP$310&gt;$V318,0,SUM($Y285:AP285)/$W318))</f>
        <v>0</v>
      </c>
      <c r="AQ318" s="1155">
        <f>IF(OR($V318=0,$W318=0),0,IF(AQ$310&gt;$V318,0,SUM($Y285:AQ285)/$W318))</f>
        <v>0</v>
      </c>
      <c r="AR318" s="1155">
        <f>IF(OR($V318=0,$W318=0),0,IF(AR$310&gt;$V318,0,SUM($Y285:AR285)/$W318))</f>
        <v>0</v>
      </c>
      <c r="AS318" s="1155">
        <f>IF(OR($V318=0,$W318=0),0,IF(AS$310&gt;$V318,0,SUM($Y285:AS285)/$W318))</f>
        <v>0</v>
      </c>
      <c r="AT318" s="1155">
        <f>IF(OR($V318=0,$W318=0),0,IF(AT$310&gt;$V318,0,SUM($Y285:AT285)/$W318))</f>
        <v>0</v>
      </c>
      <c r="AU318" s="1155">
        <f>IF(OR($V318=0,$W318=0),0,IF(AU$310&gt;$V318,0,SUM($Y285:AU285)/$W318))</f>
        <v>0</v>
      </c>
      <c r="AV318" s="1155">
        <f>IF(OR($V318=0,$W318=0),0,IF(AV$310&gt;$V318,0,SUM($Y285:AV285)/$W318))</f>
        <v>0</v>
      </c>
      <c r="AW318" s="1155">
        <f>IF(OR($V318=0,$W318=0),0,IF(AW$310&gt;$V318,0,SUM($Y285:AW285)/$W318))</f>
        <v>0</v>
      </c>
      <c r="AX318" s="1155">
        <f>IF(OR($V318=0,$W318=0),0,IF(AX$310&gt;$V318,0,SUM($Y285:AX285)/$W318))</f>
        <v>0</v>
      </c>
      <c r="AY318" s="1155">
        <f>IF(OR($V318=0,$W318=0),0,IF(AY$310&gt;$V318,0,SUM($Y285:AY285)/$W318))</f>
        <v>0</v>
      </c>
      <c r="AZ318" s="1155">
        <f>IF(OR($V318=0,$W318=0),0,IF(AZ$310&gt;$V318,0,SUM($Y285:AZ285)/$W318))</f>
        <v>0</v>
      </c>
      <c r="BA318" s="1155">
        <f>IF(OR($V318=0,$W318=0),0,IF(BA$310&gt;$V318,0,SUM($Y285:BA285)/$W318))</f>
        <v>0</v>
      </c>
      <c r="BB318" s="1155">
        <f>IF(OR($V318=0,$W318=0),0,IF(BB$310&gt;$V318,0,SUM($Y285:BB285)/$W318))</f>
        <v>0</v>
      </c>
      <c r="BC318" s="1155">
        <f>IF(OR($V318=0,$W318=0),0,IF(BC$310&gt;$V318,0,SUM($Y285:BC285)/$W318))</f>
        <v>0</v>
      </c>
      <c r="BD318" s="1155">
        <f>IF(OR($V318=0,$W318=0),0,IF(BD$310&gt;$V318,0,SUM($Y285:BD285)/$W318))</f>
        <v>0</v>
      </c>
      <c r="BE318" s="1155">
        <f>IF(OR($V318=0,$W318=0),0,IF(BE$310&gt;$V318,0,SUM($Y285:BE285)/$W318))</f>
        <v>0</v>
      </c>
      <c r="BF318" s="1155">
        <f>IF(OR($V318=0,$W318=0),0,IF(BF$310&gt;$V318,0,SUM($Y285:BF285)/$W318))</f>
        <v>0</v>
      </c>
      <c r="BG318" s="1155">
        <f>IF(OR($V318=0,$W318=0),0,IF(BG$310&gt;$V318,0,SUM($Y285:BG285)/$W318))</f>
        <v>0</v>
      </c>
      <c r="BH318" s="1155">
        <f>IF(OR($V318=0,$W318=0),0,IF(BH$310&gt;$V318,0,SUM($Y285:BH285)/$W318))</f>
        <v>0</v>
      </c>
      <c r="BI318" s="1155">
        <f>IF(OR($V318=0,$W318=0),0,IF(BI$310&gt;$V318,0,SUM($Y285:BI285)/$W318))</f>
        <v>0</v>
      </c>
      <c r="BJ318" s="1155">
        <f>IF(OR($V318=0,$W318=0),0,IF(BJ$310&gt;$V318,0,SUM($Y285:BJ285)/$W318))</f>
        <v>0</v>
      </c>
      <c r="BK318" s="1155">
        <f>IF(OR($V318=0,$W318=0),0,IF(BK$310&gt;$V318,0,SUM($Y285:BK285)/$W318))</f>
        <v>0</v>
      </c>
      <c r="BL318" s="1155">
        <f>IF(OR($V318=0,$W318=0),0,IF(BL$310&gt;$V318,0,SUM($Y285:BL285)/$W318))</f>
        <v>0</v>
      </c>
      <c r="BM318" s="1155">
        <f>IF(OR($V318=0,$W318=0),0,IF(BM$310&gt;$V318,0,SUM($Y285:BM285)/$W318))</f>
        <v>0</v>
      </c>
      <c r="BN318" s="1155">
        <f>IF(OR($V318=0,$W318=0),0,IF(BN$310&gt;$V318,0,SUM($Y285:BN285)/$W318))</f>
        <v>0</v>
      </c>
      <c r="BO318" s="1155">
        <f>IF(OR($V318=0,$W318=0),0,IF(BO$310&gt;$V318,0,SUM($Y285:BO285)/$W318))</f>
        <v>0</v>
      </c>
      <c r="BP318" s="1155">
        <f>IF(OR($V318=0,$W318=0),0,IF(BP$310&gt;$V318,0,SUM($Y285:BP285)/$W318))</f>
        <v>0</v>
      </c>
      <c r="BQ318" s="1155">
        <f>IF(OR($V318=0,$W318=0),0,IF(BQ$310&gt;$V318,0,SUM($Y285:BQ285)/$W318))</f>
        <v>0</v>
      </c>
      <c r="BR318" s="1155">
        <f>IF(OR($V318=0,$W318=0),0,IF(BR$310&gt;$V318,0,SUM($Y285:BR285)/$W318))</f>
        <v>0</v>
      </c>
      <c r="BS318" s="1155">
        <f>IF(OR($V318=0,$W318=0),0,IF(BS$310&gt;$V318,0,SUM($Y285:BS285)/$W318))</f>
        <v>0</v>
      </c>
      <c r="BT318" s="1155">
        <f>IF(OR($V318=0,$W318=0),0,IF(BT$310&gt;$V318,0,SUM($Y285:BT285)/$W318))</f>
        <v>0</v>
      </c>
      <c r="BU318" s="1155">
        <f>IF(OR($V318=0,$W318=0),0,IF(BU$310&gt;$V318,0,SUM($Y285:BU285)/$W318))</f>
        <v>0</v>
      </c>
      <c r="BV318" s="1155">
        <f>IF(OR($V318=0,$W318=0),0,IF(BV$310&gt;$V318,0,SUM($Y285:BV285)/$W318))</f>
        <v>0</v>
      </c>
      <c r="BW318" s="1155">
        <f>IF(OR($V318=0,$W318=0),0,IF(BW$310&gt;$V318,0,SUM($Y285:BW285)/$W318))</f>
        <v>0</v>
      </c>
      <c r="BX318" s="1457">
        <f>IF(OR($V318=0,$W318=0),0,IF(BX$310&gt;$V318,0,SUM($Y285:BX285)/$W318))</f>
        <v>0</v>
      </c>
      <c r="BY318" s="1457">
        <f>IF(OR($V318=0,$W318=0),0,IF(BY$310&gt;$V318,0,SUM($Y285:BY285)/$W318))</f>
        <v>0</v>
      </c>
      <c r="BZ318" s="1162">
        <f>IF(OR($V318=0,$W318=0),0,IF(BZ$310&gt;$V318,0,SUM($Y285:BZ285)/$W318))</f>
        <v>0</v>
      </c>
      <c r="CA318" s="1162">
        <f>IF(OR($V318=0,$W318=0),0,IF(CA$310&gt;$V318,0,SUM($Y285:CA285)/$W318))</f>
        <v>0</v>
      </c>
      <c r="CB318" s="1162">
        <f>IF(OR($V318=0,$W318=0),0,IF(CB$310&gt;$V318,0,SUM($Y285:CB285)/$W318))</f>
        <v>0</v>
      </c>
      <c r="CC318" s="1162">
        <f>IF(OR($V318=0,$W318=0),0,IF(CC$310&gt;$V318,0,SUM($Y285:CC285)/$W318))</f>
        <v>0</v>
      </c>
      <c r="CD318" s="1162">
        <f>IF(OR($V318=0,$W318=0),0,IF(CD$310&gt;$V318,0,SUM($Y285:CD285)/$W318))</f>
        <v>0</v>
      </c>
      <c r="CE318" s="1162">
        <f>IF(OR($V318=0,$W318=0),0,IF(CE$310&gt;$V318,0,SUM($Y285:CE285)/$W318))</f>
        <v>0</v>
      </c>
      <c r="CF318" s="1162">
        <f>IF(OR($V318=0,$W318=0),0,IF(CF$310&gt;$V318,0,SUM($Y285:CF285)/$W318))</f>
        <v>0</v>
      </c>
      <c r="CG318" s="1162">
        <f>IF(OR($V318=0,$W318=0),0,IF(CG$310&gt;$V318,0,SUM($Y285:CG285)/$W318))</f>
        <v>0</v>
      </c>
      <c r="CH318" s="1162">
        <f>IF(OR($V318=0,$W318=0),0,IF(CH$310&gt;$V318,0,SUM($Y285:CH285)/$W318))</f>
        <v>0</v>
      </c>
      <c r="CI318" s="1162">
        <f>IF(OR($V318=0,$W318=0),0,IF(CI$310&gt;$V318,0,SUM($Y285:CI285)/$W318))</f>
        <v>0</v>
      </c>
      <c r="CJ318" s="1162">
        <f>IF(OR($V318=0,$W318=0),0,IF(CJ$310&gt;$V318,0,SUM($Y285:CJ285)/$W318))</f>
        <v>0</v>
      </c>
      <c r="CK318" s="1162">
        <f>IF(OR($V318=0,$W318=0),0,IF(CK$310&gt;$V318,0,SUM($Y285:CK285)/$W318))</f>
        <v>0</v>
      </c>
      <c r="CL318" s="1162">
        <f>IF(OR($V318=0,$W318=0),0,IF(CL$310&gt;$V318,0,SUM($Y285:CL285)/$W318))</f>
        <v>0</v>
      </c>
      <c r="CM318" s="1162">
        <f>IF(OR($V318=0,$W318=0),0,IF(CM$310&gt;$V318,0,SUM($Y285:CM285)/$W318))</f>
        <v>0</v>
      </c>
      <c r="CN318" s="1162">
        <f>IF(OR($V318=0,$W318=0),0,IF(CN$310&gt;$V318,0,SUM($Y285:CN285)/$W318))</f>
        <v>0</v>
      </c>
      <c r="CO318" s="1162">
        <f>IF(OR($V318=0,$W318=0),0,IF(CO$310&gt;$V318,0,SUM($Y285:CO285)/$W318))</f>
        <v>0</v>
      </c>
      <c r="CP318" s="1162">
        <f>IF(OR($V318=0,$W318=0),0,IF(CP$310&gt;$V318,0,SUM($Y285:CP285)/$W318))</f>
        <v>0</v>
      </c>
      <c r="CQ318" s="48">
        <f>IF(OR($V318=0,$W318=0),0,IF(CQ$310&gt;$V318,0,SUM($Y285:CQ285)/$W318))</f>
        <v>0</v>
      </c>
      <c r="CR318" s="48">
        <f>IF(OR($V318=0,$W318=0),0,IF(CR$310&gt;$V318,0,SUM($Y285:CR285)/$W318))</f>
        <v>0</v>
      </c>
      <c r="CS318" s="48">
        <f>IF(OR($V318=0,$W318=0),0,IF(CS$310&gt;$V318,0,SUM($Y285:CS285)/$W318))</f>
        <v>0</v>
      </c>
      <c r="CT318" s="48">
        <f>IF(OR($V318=0,$W318=0),0,IF(CT$310&gt;$V318,0,SUM($Y285:CT285)/$W318))</f>
        <v>0</v>
      </c>
      <c r="CU318" s="48">
        <f>IF(OR($V318=0,$W318=0),0,IF(CU$310&gt;$V318,0,SUM($Y285:CU285)/$W318))</f>
        <v>0</v>
      </c>
      <c r="CV318" s="48">
        <f>IF(OR($V318=0,$W318=0),0,IF(CV$310&gt;$V318,0,SUM($Y285:CV285)/$W318))</f>
        <v>0</v>
      </c>
      <c r="CW318" s="48">
        <f>IF(OR($V318=0,$W318=0),0,IF(CW$310&gt;$V318,0,SUM($Y285:CW285)/$W318))</f>
        <v>0</v>
      </c>
      <c r="CX318" s="48">
        <f>IF(OR($V318=0,$W318=0),0,IF(CX$310&gt;$V318,0,SUM($Y285:CX285)/$W318))</f>
        <v>0</v>
      </c>
      <c r="CY318" s="48">
        <f>IF(OR($V318=0,$W318=0),0,IF(CY$310&gt;$V318,0,SUM($Y285:CY285)/$W318))</f>
        <v>0</v>
      </c>
      <c r="CZ318" s="48">
        <f>IF(OR($V318=0,$W318=0),0,IF(CZ$310&gt;$V318,0,SUM($Y285:CZ285)/$W318))</f>
        <v>0</v>
      </c>
      <c r="DA318" s="48">
        <f>IF(OR($V318=0,$W318=0),0,IF(DA$310&gt;$V318,0,SUM($Y285:DA285)/$W318))</f>
        <v>0</v>
      </c>
      <c r="DB318" s="48">
        <f>IF(OR($V318=0,$W318=0),0,IF(DB$310&gt;$V318,0,SUM($Y285:DB285)/$W318))</f>
        <v>0</v>
      </c>
      <c r="DC318" s="48">
        <f>IF(OR($V318=0,$W318=0),0,IF(DC$310&gt;$V318,0,SUM($Y285:DC285)/$W318))</f>
        <v>0</v>
      </c>
      <c r="DD318" s="48">
        <f>IF(OR($V318=0,$W318=0),0,IF(DD$310&gt;$V318,0,SUM($Y285:DD285)/$W318))</f>
        <v>0</v>
      </c>
      <c r="DE318" s="48">
        <f>IF(OR($V318=0,$W318=0),0,IF(DE$310&gt;$V318,0,SUM($Y285:DE285)/$W318))</f>
        <v>0</v>
      </c>
      <c r="DF318" s="48">
        <f>IF(OR($V318=0,$W318=0),0,IF(DF$310&gt;$V318,0,SUM($Y285:DF285)/$W318))</f>
        <v>0</v>
      </c>
      <c r="DG318" s="48">
        <f>IF(OR($V318=0,$W318=0),0,IF(DG$310&gt;$V318,0,SUM($Y285:DG285)/$W318))</f>
        <v>0</v>
      </c>
      <c r="DH318" s="48">
        <f>IF(OR($V318=0,$W318=0),0,IF(DH$310&gt;$V318,0,SUM($Y285:DH285)/$W318))</f>
        <v>0</v>
      </c>
      <c r="DI318" s="48">
        <f>IF(OR($V318=0,$W318=0),0,IF(DI$310&gt;$V318,0,SUM($Y285:DI285)/$W318))</f>
        <v>0</v>
      </c>
      <c r="DJ318" s="48">
        <f>IF(OR($V318=0,$W318=0),0,IF(DJ$310&gt;$V318,0,SUM($Y285:DJ285)/$W318))</f>
        <v>0</v>
      </c>
      <c r="DK318" s="48">
        <f>IF(OR($V318=0,$W318=0),0,IF(DK$310&gt;$V318,0,SUM($Y285:DK285)/$W318))</f>
        <v>0</v>
      </c>
      <c r="DL318" s="48">
        <f>IF(OR($V318=0,$W318=0),0,IF(DL$310&gt;$V318,0,SUM($Y285:DL285)/$W318))</f>
        <v>0</v>
      </c>
      <c r="DM318" s="48">
        <f>IF(OR($V318=0,$W318=0),0,IF(DM$310&gt;$V318,0,SUM($Y285:DM285)/$W318))</f>
        <v>0</v>
      </c>
      <c r="DN318" s="48">
        <f>IF(OR($V318=0,$W318=0),0,IF(DN$310&gt;$V318,0,SUM($Y285:DN285)/$W318))</f>
        <v>0</v>
      </c>
      <c r="DO318" s="48">
        <f>IF(OR($V318=0,$W318=0),0,IF(DO$310&gt;$V318,0,SUM($Y285:DO285)/$W318))</f>
        <v>0</v>
      </c>
      <c r="DP318" s="48">
        <f>IF(OR($V318=0,$W318=0),0,IF(DP$310&gt;$V318,0,SUM($Y285:DP285)/$W318))</f>
        <v>0</v>
      </c>
      <c r="DQ318" s="48">
        <f>IF(OR($V318=0,$W318=0),0,IF(DQ$310&gt;$V318,0,SUM($Y285:DQ285)/$W318))</f>
        <v>0</v>
      </c>
      <c r="DR318" s="50">
        <f>IF(OR($V318=0,$W318=0),0,IF(DR$310&gt;$V318,0,SUM($Y285:DR285)/$W318))</f>
        <v>0</v>
      </c>
      <c r="DS318" s="50">
        <f>IF(OR($V318=0,$W318=0),0,IF(DS$310&gt;$V318,0,SUM($Y285:DS285)/$W318))</f>
        <v>0</v>
      </c>
      <c r="DT318" s="50">
        <f>IF(OR($V318=0,$W318=0),0,IF(DT$310&gt;$V318,0,SUM($Y285:DT285)/$W318))</f>
        <v>0</v>
      </c>
      <c r="DU318" s="50">
        <f>IF(OR($V318=0,$W318=0),0,IF(DU$310&gt;$V318,0,SUM($Y285:DU285)/$W318))</f>
        <v>0</v>
      </c>
      <c r="DV318" s="50">
        <f>IF(OR($V318=0,$W318=0),0,IF(DV$310&gt;$V318,0,SUM($Y285:DV285)/$W318))</f>
        <v>0</v>
      </c>
      <c r="DW318" s="50">
        <f>IF(OR($V318=0,$W318=0),0,IF(DW$310&gt;$V318,0,SUM($Y285:DW285)/$W318))</f>
        <v>0</v>
      </c>
      <c r="DX318" s="50">
        <f>IF(OR($V318=0,$W318=0),0,IF(DX$310&gt;$V318,0,SUM($Y285:DX285)/$W318))</f>
        <v>0</v>
      </c>
      <c r="DY318" s="50">
        <f>IF(OR($V318=0,$W318=0),0,IF(DY$310&gt;$V318,0,SUM($Y285:DY285)/$W318))</f>
        <v>0</v>
      </c>
      <c r="DZ318" s="50">
        <f>IF(OR($V318=0,$W318=0),0,IF(DZ$310&gt;$V318,0,SUM($Y285:DZ285)/$W318))</f>
        <v>0</v>
      </c>
      <c r="EA318" s="50">
        <f>IF(OR($V318=0,$W318=0),0,IF(EA$310&gt;$V318,0,SUM($Y285:EA285)/$W318))</f>
        <v>0</v>
      </c>
      <c r="EB318" s="50">
        <f>IF(OR($V318=0,$W318=0),0,IF(EB$310&gt;$V318,0,SUM($Y285:EB285)/$W318))</f>
        <v>0</v>
      </c>
      <c r="EC318" s="50">
        <f>IF(OR($V318=0,$W318=0),0,IF(EC$310&gt;$V318,0,SUM($Y285:EC285)/$W318))</f>
        <v>0</v>
      </c>
      <c r="ED318" s="50">
        <f>IF(OR($V318=0,$W318=0),0,IF(ED$310&gt;$V318,0,SUM($Y285:ED285)/$W318))</f>
        <v>0</v>
      </c>
      <c r="EE318" s="50">
        <f>IF(OR($V318=0,$W318=0),0,IF(EE$310&gt;$V318,0,SUM($Y285:EE285)/$W318))</f>
        <v>0</v>
      </c>
      <c r="EF318" s="50">
        <f>IF(OR($V318=0,$W318=0),0,IF(EF$310&gt;$V318,0,SUM($Y285:EF285)/$W318))</f>
        <v>0</v>
      </c>
      <c r="EG318" s="50">
        <f>IF(OR($V318=0,$W318=0),0,IF(EG$310&gt;$V318,0,SUM($Y285:EG285)/$W318))</f>
        <v>0</v>
      </c>
      <c r="EH318" s="50">
        <f>IF(OR($V318=0,$W318=0),0,IF(EH$310&gt;$V318,0,SUM($Y285:EH285)/$W318))</f>
        <v>0</v>
      </c>
      <c r="EI318" s="50">
        <f>IF(OR($V318=0,$W318=0),0,IF(EI$310&gt;$V318,0,SUM($Y285:EI285)/$W318))</f>
        <v>0</v>
      </c>
      <c r="EJ318" s="50">
        <f>IF(OR($V318=0,$W318=0),0,IF(EJ$310&gt;$V318,0,SUM($Y285:EJ285)/$W318))</f>
        <v>0</v>
      </c>
      <c r="EK318" s="50">
        <f>IF(OR($V318=0,$W318=0),0,IF(EK$310&gt;$V318,0,SUM($Y285:EK285)/$W318))</f>
        <v>0</v>
      </c>
      <c r="EL318" s="50">
        <f>IF(OR($V318=0,$W318=0),0,IF(EL$310&gt;$V318,0,SUM($Y285:EL285)/$W318))</f>
        <v>0</v>
      </c>
      <c r="EM318" s="50">
        <f>IF(OR($V318=0,$W318=0),0,IF(EM$310&gt;$V318,0,SUM($Y285:EM285)/$W318))</f>
        <v>0</v>
      </c>
      <c r="EN318" s="50">
        <f>IF(OR($V318=0,$W318=0),0,IF(EN$310&gt;$V318,0,SUM($Y285:EN285)/$W318))</f>
        <v>0</v>
      </c>
      <c r="EO318" s="39">
        <v>51</v>
      </c>
      <c r="EP318" s="39">
        <v>51</v>
      </c>
      <c r="EQ318" s="39">
        <v>51</v>
      </c>
      <c r="ER318" s="39">
        <v>51</v>
      </c>
      <c r="ES318" s="39">
        <v>51</v>
      </c>
      <c r="ET318" s="39">
        <v>51</v>
      </c>
      <c r="EU318" s="39">
        <v>51</v>
      </c>
      <c r="EV318" s="39">
        <v>51</v>
      </c>
      <c r="EW318" s="39">
        <v>51</v>
      </c>
      <c r="EX318" s="39">
        <v>51</v>
      </c>
    </row>
    <row r="319" spans="1:154" ht="12" customHeight="1" x14ac:dyDescent="0.35">
      <c r="A319" s="67">
        <v>42</v>
      </c>
      <c r="B319" s="1438">
        <f t="shared" si="144"/>
        <v>1277</v>
      </c>
      <c r="C319" s="1440">
        <v>42</v>
      </c>
      <c r="D319" s="82"/>
      <c r="E319" s="82"/>
      <c r="F319" s="82"/>
      <c r="G319" s="1448"/>
      <c r="H319" s="1448"/>
      <c r="I319" s="1448"/>
      <c r="J319" s="1448"/>
      <c r="K319" s="1668"/>
      <c r="L319" s="1668"/>
      <c r="M319" s="1668"/>
      <c r="N319" s="1669"/>
      <c r="O319" s="1669"/>
      <c r="P319" s="1670"/>
      <c r="Q319" s="1671"/>
      <c r="R319" s="1671"/>
      <c r="S319" s="1671"/>
      <c r="T319" s="1667"/>
      <c r="U319" s="1672"/>
      <c r="V319" s="1636">
        <f t="shared" si="145"/>
        <v>0</v>
      </c>
      <c r="W319" s="102">
        <f t="shared" si="146"/>
        <v>0</v>
      </c>
      <c r="X319" s="381">
        <f t="shared" si="147"/>
        <v>0</v>
      </c>
      <c r="Y319" s="1645">
        <f>IF(OR($V319=0,$W319=0),0,IF(Y$310&gt;$V319,0,SUM($Y286:Y286)/$W319))</f>
        <v>0</v>
      </c>
      <c r="Z319" s="1646">
        <f>IF(OR($V319=0,$W319=0),0,IF(Z$310&gt;$V319,0,SUM($Y286:Z286)/$W319))</f>
        <v>0</v>
      </c>
      <c r="AA319" s="1646">
        <f>IF(OR($V319=0,$W319=0),0,IF(AA$310&gt;$V319,0,SUM($Y286:AA286)/$W319))</f>
        <v>0</v>
      </c>
      <c r="AB319" s="1646">
        <f>IF(OR($V319=0,$W319=0),0,IF(AB$310&gt;$V319,0,SUM($Y286:AB286)/$W319))</f>
        <v>0</v>
      </c>
      <c r="AC319" s="1646">
        <f>IF(OR($V319=0,$W319=0),0,IF(AC$310&gt;$V319,0,SUM($Y286:AC286)/$W319))</f>
        <v>0</v>
      </c>
      <c r="AD319" s="1646">
        <f>IF(OR($V319=0,$W319=0),0,IF(AD$310&gt;$V319,0,SUM($Y286:AD286)/$W319))</f>
        <v>0</v>
      </c>
      <c r="AE319" s="1646">
        <f>IF(OR($V319=0,$W319=0),0,IF(AE$310&gt;$V319,0,SUM($Y286:AE286)/$W319))</f>
        <v>0</v>
      </c>
      <c r="AF319" s="1155">
        <f>IF(OR($V319=0,$W319=0),0,IF(AF$310&gt;$V319,0,SUM($Y286:AF286)/$W319))</f>
        <v>0</v>
      </c>
      <c r="AG319" s="1155">
        <f>IF(OR($V319=0,$W319=0),0,IF(AG$310&gt;$V319,0,SUM($Y286:AG286)/$W319))</f>
        <v>0</v>
      </c>
      <c r="AH319" s="1155">
        <f>IF(OR($V319=0,$W319=0),0,IF(AH$310&gt;$V319,0,SUM($Y286:AH286)/$W319))</f>
        <v>0</v>
      </c>
      <c r="AI319" s="1155">
        <f>IF(OR($V319=0,$W319=0),0,IF(AI$310&gt;$V319,0,SUM($Y286:AI286)/$W319))</f>
        <v>0</v>
      </c>
      <c r="AJ319" s="1155">
        <f>IF(OR($V319=0,$W319=0),0,IF(AJ$310&gt;$V319,0,SUM($Y286:AJ286)/$W319))</f>
        <v>0</v>
      </c>
      <c r="AK319" s="1155">
        <f>IF(OR($V319=0,$W319=0),0,IF(AK$310&gt;$V319,0,SUM($Y286:AK286)/$W319))</f>
        <v>0</v>
      </c>
      <c r="AL319" s="1155">
        <f>IF(OR($V319=0,$W319=0),0,IF(AL$310&gt;$V319,0,SUM($Y286:AL286)/$W319))</f>
        <v>0</v>
      </c>
      <c r="AM319" s="1155">
        <f>IF(OR($V319=0,$W319=0),0,IF(AM$310&gt;$V319,0,SUM($Y286:AM286)/$W319))</f>
        <v>0</v>
      </c>
      <c r="AN319" s="1155">
        <f>IF(OR($V319=0,$W319=0),0,IF(AN$310&gt;$V319,0,SUM($Y286:AN286)/$W319))</f>
        <v>0</v>
      </c>
      <c r="AO319" s="1155">
        <f>IF(OR($V319=0,$W319=0),0,IF(AO$310&gt;$V319,0,SUM($Y286:AO286)/$W319))</f>
        <v>0</v>
      </c>
      <c r="AP319" s="1155">
        <f>IF(OR($V319=0,$W319=0),0,IF(AP$310&gt;$V319,0,SUM($Y286:AP286)/$W319))</f>
        <v>0</v>
      </c>
      <c r="AQ319" s="1155">
        <f>IF(OR($V319=0,$W319=0),0,IF(AQ$310&gt;$V319,0,SUM($Y286:AQ286)/$W319))</f>
        <v>0</v>
      </c>
      <c r="AR319" s="1155">
        <f>IF(OR($V319=0,$W319=0),0,IF(AR$310&gt;$V319,0,SUM($Y286:AR286)/$W319))</f>
        <v>0</v>
      </c>
      <c r="AS319" s="1155">
        <f>IF(OR($V319=0,$W319=0),0,IF(AS$310&gt;$V319,0,SUM($Y286:AS286)/$W319))</f>
        <v>0</v>
      </c>
      <c r="AT319" s="1155">
        <f>IF(OR($V319=0,$W319=0),0,IF(AT$310&gt;$V319,0,SUM($Y286:AT286)/$W319))</f>
        <v>0</v>
      </c>
      <c r="AU319" s="1155">
        <f>IF(OR($V319=0,$W319=0),0,IF(AU$310&gt;$V319,0,SUM($Y286:AU286)/$W319))</f>
        <v>0</v>
      </c>
      <c r="AV319" s="1155">
        <f>IF(OR($V319=0,$W319=0),0,IF(AV$310&gt;$V319,0,SUM($Y286:AV286)/$W319))</f>
        <v>0</v>
      </c>
      <c r="AW319" s="1155">
        <f>IF(OR($V319=0,$W319=0),0,IF(AW$310&gt;$V319,0,SUM($Y286:AW286)/$W319))</f>
        <v>0</v>
      </c>
      <c r="AX319" s="1155">
        <f>IF(OR($V319=0,$W319=0),0,IF(AX$310&gt;$V319,0,SUM($Y286:AX286)/$W319))</f>
        <v>0</v>
      </c>
      <c r="AY319" s="1155">
        <f>IF(OR($V319=0,$W319=0),0,IF(AY$310&gt;$V319,0,SUM($Y286:AY286)/$W319))</f>
        <v>0</v>
      </c>
      <c r="AZ319" s="1155">
        <f>IF(OR($V319=0,$W319=0),0,IF(AZ$310&gt;$V319,0,SUM($Y286:AZ286)/$W319))</f>
        <v>0</v>
      </c>
      <c r="BA319" s="1155">
        <f>IF(OR($V319=0,$W319=0),0,IF(BA$310&gt;$V319,0,SUM($Y286:BA286)/$W319))</f>
        <v>0</v>
      </c>
      <c r="BB319" s="1155">
        <f>IF(OR($V319=0,$W319=0),0,IF(BB$310&gt;$V319,0,SUM($Y286:BB286)/$W319))</f>
        <v>0</v>
      </c>
      <c r="BC319" s="1155">
        <f>IF(OR($V319=0,$W319=0),0,IF(BC$310&gt;$V319,0,SUM($Y286:BC286)/$W319))</f>
        <v>0</v>
      </c>
      <c r="BD319" s="1155">
        <f>IF(OR($V319=0,$W319=0),0,IF(BD$310&gt;$V319,0,SUM($Y286:BD286)/$W319))</f>
        <v>0</v>
      </c>
      <c r="BE319" s="1155">
        <f>IF(OR($V319=0,$W319=0),0,IF(BE$310&gt;$V319,0,SUM($Y286:BE286)/$W319))</f>
        <v>0</v>
      </c>
      <c r="BF319" s="1155">
        <f>IF(OR($V319=0,$W319=0),0,IF(BF$310&gt;$V319,0,SUM($Y286:BF286)/$W319))</f>
        <v>0</v>
      </c>
      <c r="BG319" s="1155">
        <f>IF(OR($V319=0,$W319=0),0,IF(BG$310&gt;$V319,0,SUM($Y286:BG286)/$W319))</f>
        <v>0</v>
      </c>
      <c r="BH319" s="1155">
        <f>IF(OR($V319=0,$W319=0),0,IF(BH$310&gt;$V319,0,SUM($Y286:BH286)/$W319))</f>
        <v>0</v>
      </c>
      <c r="BI319" s="1155">
        <f>IF(OR($V319=0,$W319=0),0,IF(BI$310&gt;$V319,0,SUM($Y286:BI286)/$W319))</f>
        <v>0</v>
      </c>
      <c r="BJ319" s="1155">
        <f>IF(OR($V319=0,$W319=0),0,IF(BJ$310&gt;$V319,0,SUM($Y286:BJ286)/$W319))</f>
        <v>0</v>
      </c>
      <c r="BK319" s="1155">
        <f>IF(OR($V319=0,$W319=0),0,IF(BK$310&gt;$V319,0,SUM($Y286:BK286)/$W319))</f>
        <v>0</v>
      </c>
      <c r="BL319" s="1155">
        <f>IF(OR($V319=0,$W319=0),0,IF(BL$310&gt;$V319,0,SUM($Y286:BL286)/$W319))</f>
        <v>0</v>
      </c>
      <c r="BM319" s="1155">
        <f>IF(OR($V319=0,$W319=0),0,IF(BM$310&gt;$V319,0,SUM($Y286:BM286)/$W319))</f>
        <v>0</v>
      </c>
      <c r="BN319" s="1155">
        <f>IF(OR($V319=0,$W319=0),0,IF(BN$310&gt;$V319,0,SUM($Y286:BN286)/$W319))</f>
        <v>0</v>
      </c>
      <c r="BO319" s="1155">
        <f>IF(OR($V319=0,$W319=0),0,IF(BO$310&gt;$V319,0,SUM($Y286:BO286)/$W319))</f>
        <v>0</v>
      </c>
      <c r="BP319" s="1155">
        <f>IF(OR($V319=0,$W319=0),0,IF(BP$310&gt;$V319,0,SUM($Y286:BP286)/$W319))</f>
        <v>0</v>
      </c>
      <c r="BQ319" s="1155">
        <f>IF(OR($V319=0,$W319=0),0,IF(BQ$310&gt;$V319,0,SUM($Y286:BQ286)/$W319))</f>
        <v>0</v>
      </c>
      <c r="BR319" s="1155">
        <f>IF(OR($V319=0,$W319=0),0,IF(BR$310&gt;$V319,0,SUM($Y286:BR286)/$W319))</f>
        <v>0</v>
      </c>
      <c r="BS319" s="1155">
        <f>IF(OR($V319=0,$W319=0),0,IF(BS$310&gt;$V319,0,SUM($Y286:BS286)/$W319))</f>
        <v>0</v>
      </c>
      <c r="BT319" s="1155">
        <f>IF(OR($V319=0,$W319=0),0,IF(BT$310&gt;$V319,0,SUM($Y286:BT286)/$W319))</f>
        <v>0</v>
      </c>
      <c r="BU319" s="1155">
        <f>IF(OR($V319=0,$W319=0),0,IF(BU$310&gt;$V319,0,SUM($Y286:BU286)/$W319))</f>
        <v>0</v>
      </c>
      <c r="BV319" s="1155">
        <f>IF(OR($V319=0,$W319=0),0,IF(BV$310&gt;$V319,0,SUM($Y286:BV286)/$W319))</f>
        <v>0</v>
      </c>
      <c r="BW319" s="1155">
        <f>IF(OR($V319=0,$W319=0),0,IF(BW$310&gt;$V319,0,SUM($Y286:BW286)/$W319))</f>
        <v>0</v>
      </c>
      <c r="BX319" s="1457">
        <f>IF(OR($V319=0,$W319=0),0,IF(BX$310&gt;$V319,0,SUM($Y286:BX286)/$W319))</f>
        <v>0</v>
      </c>
      <c r="BY319" s="1457">
        <f>IF(OR($V319=0,$W319=0),0,IF(BY$310&gt;$V319,0,SUM($Y286:BY286)/$W319))</f>
        <v>0</v>
      </c>
      <c r="BZ319" s="1162">
        <f>IF(OR($V319=0,$W319=0),0,IF(BZ$310&gt;$V319,0,SUM($Y286:BZ286)/$W319))</f>
        <v>0</v>
      </c>
      <c r="CA319" s="1162">
        <f>IF(OR($V319=0,$W319=0),0,IF(CA$310&gt;$V319,0,SUM($Y286:CA286)/$W319))</f>
        <v>0</v>
      </c>
      <c r="CB319" s="1162">
        <f>IF(OR($V319=0,$W319=0),0,IF(CB$310&gt;$V319,0,SUM($Y286:CB286)/$W319))</f>
        <v>0</v>
      </c>
      <c r="CC319" s="1162">
        <f>IF(OR($V319=0,$W319=0),0,IF(CC$310&gt;$V319,0,SUM($Y286:CC286)/$W319))</f>
        <v>0</v>
      </c>
      <c r="CD319" s="1162">
        <f>IF(OR($V319=0,$W319=0),0,IF(CD$310&gt;$V319,0,SUM($Y286:CD286)/$W319))</f>
        <v>0</v>
      </c>
      <c r="CE319" s="1162">
        <f>IF(OR($V319=0,$W319=0),0,IF(CE$310&gt;$V319,0,SUM($Y286:CE286)/$W319))</f>
        <v>0</v>
      </c>
      <c r="CF319" s="1162">
        <f>IF(OR($V319=0,$W319=0),0,IF(CF$310&gt;$V319,0,SUM($Y286:CF286)/$W319))</f>
        <v>0</v>
      </c>
      <c r="CG319" s="1162">
        <f>IF(OR($V319=0,$W319=0),0,IF(CG$310&gt;$V319,0,SUM($Y286:CG286)/$W319))</f>
        <v>0</v>
      </c>
      <c r="CH319" s="1162">
        <f>IF(OR($V319=0,$W319=0),0,IF(CH$310&gt;$V319,0,SUM($Y286:CH286)/$W319))</f>
        <v>0</v>
      </c>
      <c r="CI319" s="1162">
        <f>IF(OR($V319=0,$W319=0),0,IF(CI$310&gt;$V319,0,SUM($Y286:CI286)/$W319))</f>
        <v>0</v>
      </c>
      <c r="CJ319" s="1162">
        <f>IF(OR($V319=0,$W319=0),0,IF(CJ$310&gt;$V319,0,SUM($Y286:CJ286)/$W319))</f>
        <v>0</v>
      </c>
      <c r="CK319" s="1162">
        <f>IF(OR($V319=0,$W319=0),0,IF(CK$310&gt;$V319,0,SUM($Y286:CK286)/$W319))</f>
        <v>0</v>
      </c>
      <c r="CL319" s="1162">
        <f>IF(OR($V319=0,$W319=0),0,IF(CL$310&gt;$V319,0,SUM($Y286:CL286)/$W319))</f>
        <v>0</v>
      </c>
      <c r="CM319" s="1162">
        <f>IF(OR($V319=0,$W319=0),0,IF(CM$310&gt;$V319,0,SUM($Y286:CM286)/$W319))</f>
        <v>0</v>
      </c>
      <c r="CN319" s="1162">
        <f>IF(OR($V319=0,$W319=0),0,IF(CN$310&gt;$V319,0,SUM($Y286:CN286)/$W319))</f>
        <v>0</v>
      </c>
      <c r="CO319" s="1162">
        <f>IF(OR($V319=0,$W319=0),0,IF(CO$310&gt;$V319,0,SUM($Y286:CO286)/$W319))</f>
        <v>0</v>
      </c>
      <c r="CP319" s="1162">
        <f>IF(OR($V319=0,$W319=0),0,IF(CP$310&gt;$V319,0,SUM($Y286:CP286)/$W319))</f>
        <v>0</v>
      </c>
      <c r="CQ319" s="48">
        <f>IF(OR($V319=0,$W319=0),0,IF(CQ$310&gt;$V319,0,SUM($Y286:CQ286)/$W319))</f>
        <v>0</v>
      </c>
      <c r="CR319" s="48">
        <f>IF(OR($V319=0,$W319=0),0,IF(CR$310&gt;$V319,0,SUM($Y286:CR286)/$W319))</f>
        <v>0</v>
      </c>
      <c r="CS319" s="48">
        <f>IF(OR($V319=0,$W319=0),0,IF(CS$310&gt;$V319,0,SUM($Y286:CS286)/$W319))</f>
        <v>0</v>
      </c>
      <c r="CT319" s="48">
        <f>IF(OR($V319=0,$W319=0),0,IF(CT$310&gt;$V319,0,SUM($Y286:CT286)/$W319))</f>
        <v>0</v>
      </c>
      <c r="CU319" s="48">
        <f>IF(OR($V319=0,$W319=0),0,IF(CU$310&gt;$V319,0,SUM($Y286:CU286)/$W319))</f>
        <v>0</v>
      </c>
      <c r="CV319" s="48">
        <f>IF(OR($V319=0,$W319=0),0,IF(CV$310&gt;$V319,0,SUM($Y286:CV286)/$W319))</f>
        <v>0</v>
      </c>
      <c r="CW319" s="48">
        <f>IF(OR($V319=0,$W319=0),0,IF(CW$310&gt;$V319,0,SUM($Y286:CW286)/$W319))</f>
        <v>0</v>
      </c>
      <c r="CX319" s="48">
        <f>IF(OR($V319=0,$W319=0),0,IF(CX$310&gt;$V319,0,SUM($Y286:CX286)/$W319))</f>
        <v>0</v>
      </c>
      <c r="CY319" s="48">
        <f>IF(OR($V319=0,$W319=0),0,IF(CY$310&gt;$V319,0,SUM($Y286:CY286)/$W319))</f>
        <v>0</v>
      </c>
      <c r="CZ319" s="48">
        <f>IF(OR($V319=0,$W319=0),0,IF(CZ$310&gt;$V319,0,SUM($Y286:CZ286)/$W319))</f>
        <v>0</v>
      </c>
      <c r="DA319" s="48">
        <f>IF(OR($V319=0,$W319=0),0,IF(DA$310&gt;$V319,0,SUM($Y286:DA286)/$W319))</f>
        <v>0</v>
      </c>
      <c r="DB319" s="48">
        <f>IF(OR($V319=0,$W319=0),0,IF(DB$310&gt;$V319,0,SUM($Y286:DB286)/$W319))</f>
        <v>0</v>
      </c>
      <c r="DC319" s="48">
        <f>IF(OR($V319=0,$W319=0),0,IF(DC$310&gt;$V319,0,SUM($Y286:DC286)/$W319))</f>
        <v>0</v>
      </c>
      <c r="DD319" s="48">
        <f>IF(OR($V319=0,$W319=0),0,IF(DD$310&gt;$V319,0,SUM($Y286:DD286)/$W319))</f>
        <v>0</v>
      </c>
      <c r="DE319" s="48">
        <f>IF(OR($V319=0,$W319=0),0,IF(DE$310&gt;$V319,0,SUM($Y286:DE286)/$W319))</f>
        <v>0</v>
      </c>
      <c r="DF319" s="48">
        <f>IF(OR($V319=0,$W319=0),0,IF(DF$310&gt;$V319,0,SUM($Y286:DF286)/$W319))</f>
        <v>0</v>
      </c>
      <c r="DG319" s="48">
        <f>IF(OR($V319=0,$W319=0),0,IF(DG$310&gt;$V319,0,SUM($Y286:DG286)/$W319))</f>
        <v>0</v>
      </c>
      <c r="DH319" s="48">
        <f>IF(OR($V319=0,$W319=0),0,IF(DH$310&gt;$V319,0,SUM($Y286:DH286)/$W319))</f>
        <v>0</v>
      </c>
      <c r="DI319" s="48">
        <f>IF(OR($V319=0,$W319=0),0,IF(DI$310&gt;$V319,0,SUM($Y286:DI286)/$W319))</f>
        <v>0</v>
      </c>
      <c r="DJ319" s="48">
        <f>IF(OR($V319=0,$W319=0),0,IF(DJ$310&gt;$V319,0,SUM($Y286:DJ286)/$W319))</f>
        <v>0</v>
      </c>
      <c r="DK319" s="48">
        <f>IF(OR($V319=0,$W319=0),0,IF(DK$310&gt;$V319,0,SUM($Y286:DK286)/$W319))</f>
        <v>0</v>
      </c>
      <c r="DL319" s="48">
        <f>IF(OR($V319=0,$W319=0),0,IF(DL$310&gt;$V319,0,SUM($Y286:DL286)/$W319))</f>
        <v>0</v>
      </c>
      <c r="DM319" s="48">
        <f>IF(OR($V319=0,$W319=0),0,IF(DM$310&gt;$V319,0,SUM($Y286:DM286)/$W319))</f>
        <v>0</v>
      </c>
      <c r="DN319" s="48">
        <f>IF(OR($V319=0,$W319=0),0,IF(DN$310&gt;$V319,0,SUM($Y286:DN286)/$W319))</f>
        <v>0</v>
      </c>
      <c r="DO319" s="48">
        <f>IF(OR($V319=0,$W319=0),0,IF(DO$310&gt;$V319,0,SUM($Y286:DO286)/$W319))</f>
        <v>0</v>
      </c>
      <c r="DP319" s="48">
        <f>IF(OR($V319=0,$W319=0),0,IF(DP$310&gt;$V319,0,SUM($Y286:DP286)/$W319))</f>
        <v>0</v>
      </c>
      <c r="DQ319" s="48">
        <f>IF(OR($V319=0,$W319=0),0,IF(DQ$310&gt;$V319,0,SUM($Y286:DQ286)/$W319))</f>
        <v>0</v>
      </c>
      <c r="DR319" s="50">
        <f>IF(OR($V319=0,$W319=0),0,IF(DR$310&gt;$V319,0,SUM($Y286:DR286)/$W319))</f>
        <v>0</v>
      </c>
      <c r="DS319" s="50">
        <f>IF(OR($V319=0,$W319=0),0,IF(DS$310&gt;$V319,0,SUM($Y286:DS286)/$W319))</f>
        <v>0</v>
      </c>
      <c r="DT319" s="50">
        <f>IF(OR($V319=0,$W319=0),0,IF(DT$310&gt;$V319,0,SUM($Y286:DT286)/$W319))</f>
        <v>0</v>
      </c>
      <c r="DU319" s="50">
        <f>IF(OR($V319=0,$W319=0),0,IF(DU$310&gt;$V319,0,SUM($Y286:DU286)/$W319))</f>
        <v>0</v>
      </c>
      <c r="DV319" s="50">
        <f>IF(OR($V319=0,$W319=0),0,IF(DV$310&gt;$V319,0,SUM($Y286:DV286)/$W319))</f>
        <v>0</v>
      </c>
      <c r="DW319" s="50">
        <f>IF(OR($V319=0,$W319=0),0,IF(DW$310&gt;$V319,0,SUM($Y286:DW286)/$W319))</f>
        <v>0</v>
      </c>
      <c r="DX319" s="50">
        <f>IF(OR($V319=0,$W319=0),0,IF(DX$310&gt;$V319,0,SUM($Y286:DX286)/$W319))</f>
        <v>0</v>
      </c>
      <c r="DY319" s="50">
        <f>IF(OR($V319=0,$W319=0),0,IF(DY$310&gt;$V319,0,SUM($Y286:DY286)/$W319))</f>
        <v>0</v>
      </c>
      <c r="DZ319" s="50">
        <f>IF(OR($V319=0,$W319=0),0,IF(DZ$310&gt;$V319,0,SUM($Y286:DZ286)/$W319))</f>
        <v>0</v>
      </c>
      <c r="EA319" s="50">
        <f>IF(OR($V319=0,$W319=0),0,IF(EA$310&gt;$V319,0,SUM($Y286:EA286)/$W319))</f>
        <v>0</v>
      </c>
      <c r="EB319" s="50">
        <f>IF(OR($V319=0,$W319=0),0,IF(EB$310&gt;$V319,0,SUM($Y286:EB286)/$W319))</f>
        <v>0</v>
      </c>
      <c r="EC319" s="50">
        <f>IF(OR($V319=0,$W319=0),0,IF(EC$310&gt;$V319,0,SUM($Y286:EC286)/$W319))</f>
        <v>0</v>
      </c>
      <c r="ED319" s="50">
        <f>IF(OR($V319=0,$W319=0),0,IF(ED$310&gt;$V319,0,SUM($Y286:ED286)/$W319))</f>
        <v>0</v>
      </c>
      <c r="EE319" s="50">
        <f>IF(OR($V319=0,$W319=0),0,IF(EE$310&gt;$V319,0,SUM($Y286:EE286)/$W319))</f>
        <v>0</v>
      </c>
      <c r="EF319" s="50">
        <f>IF(OR($V319=0,$W319=0),0,IF(EF$310&gt;$V319,0,SUM($Y286:EF286)/$W319))</f>
        <v>0</v>
      </c>
      <c r="EG319" s="50">
        <f>IF(OR($V319=0,$W319=0),0,IF(EG$310&gt;$V319,0,SUM($Y286:EG286)/$W319))</f>
        <v>0</v>
      </c>
      <c r="EH319" s="50">
        <f>IF(OR($V319=0,$W319=0),0,IF(EH$310&gt;$V319,0,SUM($Y286:EH286)/$W319))</f>
        <v>0</v>
      </c>
      <c r="EI319" s="50">
        <f>IF(OR($V319=0,$W319=0),0,IF(EI$310&gt;$V319,0,SUM($Y286:EI286)/$W319))</f>
        <v>0</v>
      </c>
      <c r="EJ319" s="50">
        <f>IF(OR($V319=0,$W319=0),0,IF(EJ$310&gt;$V319,0,SUM($Y286:EJ286)/$W319))</f>
        <v>0</v>
      </c>
      <c r="EK319" s="50">
        <f>IF(OR($V319=0,$W319=0),0,IF(EK$310&gt;$V319,0,SUM($Y286:EK286)/$W319))</f>
        <v>0</v>
      </c>
      <c r="EL319" s="50">
        <f>IF(OR($V319=0,$W319=0),0,IF(EL$310&gt;$V319,0,SUM($Y286:EL286)/$W319))</f>
        <v>0</v>
      </c>
      <c r="EM319" s="50">
        <f>IF(OR($V319=0,$W319=0),0,IF(EM$310&gt;$V319,0,SUM($Y286:EM286)/$W319))</f>
        <v>0</v>
      </c>
      <c r="EN319" s="50">
        <f>IF(OR($V319=0,$W319=0),0,IF(EN$310&gt;$V319,0,SUM($Y286:EN286)/$W319))</f>
        <v>0</v>
      </c>
      <c r="EO319" s="39">
        <v>51</v>
      </c>
      <c r="EP319" s="39">
        <v>51</v>
      </c>
      <c r="EQ319" s="39">
        <v>51</v>
      </c>
      <c r="ER319" s="39">
        <v>51</v>
      </c>
      <c r="ES319" s="39">
        <v>51</v>
      </c>
      <c r="ET319" s="39">
        <v>51</v>
      </c>
      <c r="EU319" s="39">
        <v>51</v>
      </c>
      <c r="EV319" s="39">
        <v>51</v>
      </c>
      <c r="EW319" s="39">
        <v>51</v>
      </c>
      <c r="EX319" s="39">
        <v>51</v>
      </c>
    </row>
    <row r="320" spans="1:154" ht="12" customHeight="1" x14ac:dyDescent="0.35">
      <c r="A320" s="67">
        <v>43</v>
      </c>
      <c r="B320" s="1438">
        <f t="shared" si="144"/>
        <v>1308</v>
      </c>
      <c r="C320" s="1440">
        <v>43</v>
      </c>
      <c r="D320" s="82"/>
      <c r="E320" s="82"/>
      <c r="F320" s="82"/>
      <c r="G320" s="1448"/>
      <c r="H320" s="1448"/>
      <c r="I320" s="1448"/>
      <c r="J320" s="1448"/>
      <c r="K320" s="1668"/>
      <c r="L320" s="1668"/>
      <c r="M320" s="1668"/>
      <c r="N320" s="1669"/>
      <c r="O320" s="1669"/>
      <c r="P320" s="1670"/>
      <c r="Q320" s="1671"/>
      <c r="R320" s="1671"/>
      <c r="S320" s="1671"/>
      <c r="T320" s="1667"/>
      <c r="U320" s="1672"/>
      <c r="V320" s="1636">
        <f t="shared" si="145"/>
        <v>0</v>
      </c>
      <c r="W320" s="102">
        <f t="shared" si="146"/>
        <v>0</v>
      </c>
      <c r="X320" s="381">
        <f t="shared" si="147"/>
        <v>0</v>
      </c>
      <c r="Y320" s="1645">
        <f>IF(OR($V320=0,$W320=0),0,IF(Y$310&gt;$V320,0,SUM($Y287:Y287)/$W320))</f>
        <v>0</v>
      </c>
      <c r="Z320" s="1646">
        <f>IF(OR($V320=0,$W320=0),0,IF(Z$310&gt;$V320,0,SUM($Y287:Z287)/$W320))</f>
        <v>0</v>
      </c>
      <c r="AA320" s="1646">
        <f>IF(OR($V320=0,$W320=0),0,IF(AA$310&gt;$V320,0,SUM($Y287:AA287)/$W320))</f>
        <v>0</v>
      </c>
      <c r="AB320" s="1646">
        <f>IF(OR($V320=0,$W320=0),0,IF(AB$310&gt;$V320,0,SUM($Y287:AB287)/$W320))</f>
        <v>0</v>
      </c>
      <c r="AC320" s="1646">
        <f>IF(OR($V320=0,$W320=0),0,IF(AC$310&gt;$V320,0,SUM($Y287:AC287)/$W320))</f>
        <v>0</v>
      </c>
      <c r="AD320" s="1646">
        <f>IF(OR($V320=0,$W320=0),0,IF(AD$310&gt;$V320,0,SUM($Y287:AD287)/$W320))</f>
        <v>0</v>
      </c>
      <c r="AE320" s="1646">
        <f>IF(OR($V320=0,$W320=0),0,IF(AE$310&gt;$V320,0,SUM($Y287:AE287)/$W320))</f>
        <v>0</v>
      </c>
      <c r="AF320" s="1155">
        <f>IF(OR($V320=0,$W320=0),0,IF(AF$310&gt;$V320,0,SUM($Y287:AF287)/$W320))</f>
        <v>0</v>
      </c>
      <c r="AG320" s="1155">
        <f>IF(OR($V320=0,$W320=0),0,IF(AG$310&gt;$V320,0,SUM($Y287:AG287)/$W320))</f>
        <v>0</v>
      </c>
      <c r="AH320" s="1155">
        <f>IF(OR($V320=0,$W320=0),0,IF(AH$310&gt;$V320,0,SUM($Y287:AH287)/$W320))</f>
        <v>0</v>
      </c>
      <c r="AI320" s="1155">
        <f>IF(OR($V320=0,$W320=0),0,IF(AI$310&gt;$V320,0,SUM($Y287:AI287)/$W320))</f>
        <v>0</v>
      </c>
      <c r="AJ320" s="1155">
        <f>IF(OR($V320=0,$W320=0),0,IF(AJ$310&gt;$V320,0,SUM($Y287:AJ287)/$W320))</f>
        <v>0</v>
      </c>
      <c r="AK320" s="1155">
        <f>IF(OR($V320=0,$W320=0),0,IF(AK$310&gt;$V320,0,SUM($Y287:AK287)/$W320))</f>
        <v>0</v>
      </c>
      <c r="AL320" s="1155">
        <f>IF(OR($V320=0,$W320=0),0,IF(AL$310&gt;$V320,0,SUM($Y287:AL287)/$W320))</f>
        <v>0</v>
      </c>
      <c r="AM320" s="1155">
        <f>IF(OR($V320=0,$W320=0),0,IF(AM$310&gt;$V320,0,SUM($Y287:AM287)/$W320))</f>
        <v>0</v>
      </c>
      <c r="AN320" s="1155">
        <f>IF(OR($V320=0,$W320=0),0,IF(AN$310&gt;$V320,0,SUM($Y287:AN287)/$W320))</f>
        <v>0</v>
      </c>
      <c r="AO320" s="1155">
        <f>IF(OR($V320=0,$W320=0),0,IF(AO$310&gt;$V320,0,SUM($Y287:AO287)/$W320))</f>
        <v>0</v>
      </c>
      <c r="AP320" s="1155">
        <f>IF(OR($V320=0,$W320=0),0,IF(AP$310&gt;$V320,0,SUM($Y287:AP287)/$W320))</f>
        <v>0</v>
      </c>
      <c r="AQ320" s="1155">
        <f>IF(OR($V320=0,$W320=0),0,IF(AQ$310&gt;$V320,0,SUM($Y287:AQ287)/$W320))</f>
        <v>0</v>
      </c>
      <c r="AR320" s="1155">
        <f>IF(OR($V320=0,$W320=0),0,IF(AR$310&gt;$V320,0,SUM($Y287:AR287)/$W320))</f>
        <v>0</v>
      </c>
      <c r="AS320" s="1155">
        <f>IF(OR($V320=0,$W320=0),0,IF(AS$310&gt;$V320,0,SUM($Y287:AS287)/$W320))</f>
        <v>0</v>
      </c>
      <c r="AT320" s="1155">
        <f>IF(OR($V320=0,$W320=0),0,IF(AT$310&gt;$V320,0,SUM($Y287:AT287)/$W320))</f>
        <v>0</v>
      </c>
      <c r="AU320" s="1155">
        <f>IF(OR($V320=0,$W320=0),0,IF(AU$310&gt;$V320,0,SUM($Y287:AU287)/$W320))</f>
        <v>0</v>
      </c>
      <c r="AV320" s="1155">
        <f>IF(OR($V320=0,$W320=0),0,IF(AV$310&gt;$V320,0,SUM($Y287:AV287)/$W320))</f>
        <v>0</v>
      </c>
      <c r="AW320" s="1155">
        <f>IF(OR($V320=0,$W320=0),0,IF(AW$310&gt;$V320,0,SUM($Y287:AW287)/$W320))</f>
        <v>0</v>
      </c>
      <c r="AX320" s="1155">
        <f>IF(OR($V320=0,$W320=0),0,IF(AX$310&gt;$V320,0,SUM($Y287:AX287)/$W320))</f>
        <v>0</v>
      </c>
      <c r="AY320" s="1155">
        <f>IF(OR($V320=0,$W320=0),0,IF(AY$310&gt;$V320,0,SUM($Y287:AY287)/$W320))</f>
        <v>0</v>
      </c>
      <c r="AZ320" s="1155">
        <f>IF(OR($V320=0,$W320=0),0,IF(AZ$310&gt;$V320,0,SUM($Y287:AZ287)/$W320))</f>
        <v>0</v>
      </c>
      <c r="BA320" s="1155">
        <f>IF(OR($V320=0,$W320=0),0,IF(BA$310&gt;$V320,0,SUM($Y287:BA287)/$W320))</f>
        <v>0</v>
      </c>
      <c r="BB320" s="1155">
        <f>IF(OR($V320=0,$W320=0),0,IF(BB$310&gt;$V320,0,SUM($Y287:BB287)/$W320))</f>
        <v>0</v>
      </c>
      <c r="BC320" s="1155">
        <f>IF(OR($V320=0,$W320=0),0,IF(BC$310&gt;$V320,0,SUM($Y287:BC287)/$W320))</f>
        <v>0</v>
      </c>
      <c r="BD320" s="1155">
        <f>IF(OR($V320=0,$W320=0),0,IF(BD$310&gt;$V320,0,SUM($Y287:BD287)/$W320))</f>
        <v>0</v>
      </c>
      <c r="BE320" s="1155">
        <f>IF(OR($V320=0,$W320=0),0,IF(BE$310&gt;$V320,0,SUM($Y287:BE287)/$W320))</f>
        <v>0</v>
      </c>
      <c r="BF320" s="1155">
        <f>IF(OR($V320=0,$W320=0),0,IF(BF$310&gt;$V320,0,SUM($Y287:BF287)/$W320))</f>
        <v>0</v>
      </c>
      <c r="BG320" s="1155">
        <f>IF(OR($V320=0,$W320=0),0,IF(BG$310&gt;$V320,0,SUM($Y287:BG287)/$W320))</f>
        <v>0</v>
      </c>
      <c r="BH320" s="1155">
        <f>IF(OR($V320=0,$W320=0),0,IF(BH$310&gt;$V320,0,SUM($Y287:BH287)/$W320))</f>
        <v>0</v>
      </c>
      <c r="BI320" s="1155">
        <f>IF(OR($V320=0,$W320=0),0,IF(BI$310&gt;$V320,0,SUM($Y287:BI287)/$W320))</f>
        <v>0</v>
      </c>
      <c r="BJ320" s="1155">
        <f>IF(OR($V320=0,$W320=0),0,IF(BJ$310&gt;$V320,0,SUM($Y287:BJ287)/$W320))</f>
        <v>0</v>
      </c>
      <c r="BK320" s="1155">
        <f>IF(OR($V320=0,$W320=0),0,IF(BK$310&gt;$V320,0,SUM($Y287:BK287)/$W320))</f>
        <v>0</v>
      </c>
      <c r="BL320" s="1155">
        <f>IF(OR($V320=0,$W320=0),0,IF(BL$310&gt;$V320,0,SUM($Y287:BL287)/$W320))</f>
        <v>0</v>
      </c>
      <c r="BM320" s="1155">
        <f>IF(OR($V320=0,$W320=0),0,IF(BM$310&gt;$V320,0,SUM($Y287:BM287)/$W320))</f>
        <v>0</v>
      </c>
      <c r="BN320" s="1155">
        <f>IF(OR($V320=0,$W320=0),0,IF(BN$310&gt;$V320,0,SUM($Y287:BN287)/$W320))</f>
        <v>0</v>
      </c>
      <c r="BO320" s="1155">
        <f>IF(OR($V320=0,$W320=0),0,IF(BO$310&gt;$V320,0,SUM($Y287:BO287)/$W320))</f>
        <v>0</v>
      </c>
      <c r="BP320" s="1155">
        <f>IF(OR($V320=0,$W320=0),0,IF(BP$310&gt;$V320,0,SUM($Y287:BP287)/$W320))</f>
        <v>0</v>
      </c>
      <c r="BQ320" s="1155">
        <f>IF(OR($V320=0,$W320=0),0,IF(BQ$310&gt;$V320,0,SUM($Y287:BQ287)/$W320))</f>
        <v>0</v>
      </c>
      <c r="BR320" s="1155">
        <f>IF(OR($V320=0,$W320=0),0,IF(BR$310&gt;$V320,0,SUM($Y287:BR287)/$W320))</f>
        <v>0</v>
      </c>
      <c r="BS320" s="1155">
        <f>IF(OR($V320=0,$W320=0),0,IF(BS$310&gt;$V320,0,SUM($Y287:BS287)/$W320))</f>
        <v>0</v>
      </c>
      <c r="BT320" s="1155">
        <f>IF(OR($V320=0,$W320=0),0,IF(BT$310&gt;$V320,0,SUM($Y287:BT287)/$W320))</f>
        <v>0</v>
      </c>
      <c r="BU320" s="1155">
        <f>IF(OR($V320=0,$W320=0),0,IF(BU$310&gt;$V320,0,SUM($Y287:BU287)/$W320))</f>
        <v>0</v>
      </c>
      <c r="BV320" s="1155">
        <f>IF(OR($V320=0,$W320=0),0,IF(BV$310&gt;$V320,0,SUM($Y287:BV287)/$W320))</f>
        <v>0</v>
      </c>
      <c r="BW320" s="1155">
        <f>IF(OR($V320=0,$W320=0),0,IF(BW$310&gt;$V320,0,SUM($Y287:BW287)/$W320))</f>
        <v>0</v>
      </c>
      <c r="BX320" s="1457">
        <f>IF(OR($V320=0,$W320=0),0,IF(BX$310&gt;$V320,0,SUM($Y287:BX287)/$W320))</f>
        <v>0</v>
      </c>
      <c r="BY320" s="1457">
        <f>IF(OR($V320=0,$W320=0),0,IF(BY$310&gt;$V320,0,SUM($Y287:BY287)/$W320))</f>
        <v>0</v>
      </c>
      <c r="BZ320" s="1162">
        <f>IF(OR($V320=0,$W320=0),0,IF(BZ$310&gt;$V320,0,SUM($Y287:BZ287)/$W320))</f>
        <v>0</v>
      </c>
      <c r="CA320" s="1162">
        <f>IF(OR($V320=0,$W320=0),0,IF(CA$310&gt;$V320,0,SUM($Y287:CA287)/$W320))</f>
        <v>0</v>
      </c>
      <c r="CB320" s="1162">
        <f>IF(OR($V320=0,$W320=0),0,IF(CB$310&gt;$V320,0,SUM($Y287:CB287)/$W320))</f>
        <v>0</v>
      </c>
      <c r="CC320" s="1162">
        <f>IF(OR($V320=0,$W320=0),0,IF(CC$310&gt;$V320,0,SUM($Y287:CC287)/$W320))</f>
        <v>0</v>
      </c>
      <c r="CD320" s="1162">
        <f>IF(OR($V320=0,$W320=0),0,IF(CD$310&gt;$V320,0,SUM($Y287:CD287)/$W320))</f>
        <v>0</v>
      </c>
      <c r="CE320" s="1162">
        <f>IF(OR($V320=0,$W320=0),0,IF(CE$310&gt;$V320,0,SUM($Y287:CE287)/$W320))</f>
        <v>0</v>
      </c>
      <c r="CF320" s="1162">
        <f>IF(OR($V320=0,$W320=0),0,IF(CF$310&gt;$V320,0,SUM($Y287:CF287)/$W320))</f>
        <v>0</v>
      </c>
      <c r="CG320" s="1162">
        <f>IF(OR($V320=0,$W320=0),0,IF(CG$310&gt;$V320,0,SUM($Y287:CG287)/$W320))</f>
        <v>0</v>
      </c>
      <c r="CH320" s="1162">
        <f>IF(OR($V320=0,$W320=0),0,IF(CH$310&gt;$V320,0,SUM($Y287:CH287)/$W320))</f>
        <v>0</v>
      </c>
      <c r="CI320" s="1162">
        <f>IF(OR($V320=0,$W320=0),0,IF(CI$310&gt;$V320,0,SUM($Y287:CI287)/$W320))</f>
        <v>0</v>
      </c>
      <c r="CJ320" s="1162">
        <f>IF(OR($V320=0,$W320=0),0,IF(CJ$310&gt;$V320,0,SUM($Y287:CJ287)/$W320))</f>
        <v>0</v>
      </c>
      <c r="CK320" s="1162">
        <f>IF(OR($V320=0,$W320=0),0,IF(CK$310&gt;$V320,0,SUM($Y287:CK287)/$W320))</f>
        <v>0</v>
      </c>
      <c r="CL320" s="1162">
        <f>IF(OR($V320=0,$W320=0),0,IF(CL$310&gt;$V320,0,SUM($Y287:CL287)/$W320))</f>
        <v>0</v>
      </c>
      <c r="CM320" s="1162">
        <f>IF(OR($V320=0,$W320=0),0,IF(CM$310&gt;$V320,0,SUM($Y287:CM287)/$W320))</f>
        <v>0</v>
      </c>
      <c r="CN320" s="1162">
        <f>IF(OR($V320=0,$W320=0),0,IF(CN$310&gt;$V320,0,SUM($Y287:CN287)/$W320))</f>
        <v>0</v>
      </c>
      <c r="CO320" s="1162">
        <f>IF(OR($V320=0,$W320=0),0,IF(CO$310&gt;$V320,0,SUM($Y287:CO287)/$W320))</f>
        <v>0</v>
      </c>
      <c r="CP320" s="1162">
        <f>IF(OR($V320=0,$W320=0),0,IF(CP$310&gt;$V320,0,SUM($Y287:CP287)/$W320))</f>
        <v>0</v>
      </c>
      <c r="CQ320" s="48">
        <f>IF(OR($V320=0,$W320=0),0,IF(CQ$310&gt;$V320,0,SUM($Y287:CQ287)/$W320))</f>
        <v>0</v>
      </c>
      <c r="CR320" s="48">
        <f>IF(OR($V320=0,$W320=0),0,IF(CR$310&gt;$V320,0,SUM($Y287:CR287)/$W320))</f>
        <v>0</v>
      </c>
      <c r="CS320" s="48">
        <f>IF(OR($V320=0,$W320=0),0,IF(CS$310&gt;$V320,0,SUM($Y287:CS287)/$W320))</f>
        <v>0</v>
      </c>
      <c r="CT320" s="48">
        <f>IF(OR($V320=0,$W320=0),0,IF(CT$310&gt;$V320,0,SUM($Y287:CT287)/$W320))</f>
        <v>0</v>
      </c>
      <c r="CU320" s="48">
        <f>IF(OR($V320=0,$W320=0),0,IF(CU$310&gt;$V320,0,SUM($Y287:CU287)/$W320))</f>
        <v>0</v>
      </c>
      <c r="CV320" s="48">
        <f>IF(OR($V320=0,$W320=0),0,IF(CV$310&gt;$V320,0,SUM($Y287:CV287)/$W320))</f>
        <v>0</v>
      </c>
      <c r="CW320" s="48">
        <f>IF(OR($V320=0,$W320=0),0,IF(CW$310&gt;$V320,0,SUM($Y287:CW287)/$W320))</f>
        <v>0</v>
      </c>
      <c r="CX320" s="48">
        <f>IF(OR($V320=0,$W320=0),0,IF(CX$310&gt;$V320,0,SUM($Y287:CX287)/$W320))</f>
        <v>0</v>
      </c>
      <c r="CY320" s="48">
        <f>IF(OR($V320=0,$W320=0),0,IF(CY$310&gt;$V320,0,SUM($Y287:CY287)/$W320))</f>
        <v>0</v>
      </c>
      <c r="CZ320" s="48">
        <f>IF(OR($V320=0,$W320=0),0,IF(CZ$310&gt;$V320,0,SUM($Y287:CZ287)/$W320))</f>
        <v>0</v>
      </c>
      <c r="DA320" s="48">
        <f>IF(OR($V320=0,$W320=0),0,IF(DA$310&gt;$V320,0,SUM($Y287:DA287)/$W320))</f>
        <v>0</v>
      </c>
      <c r="DB320" s="48">
        <f>IF(OR($V320=0,$W320=0),0,IF(DB$310&gt;$V320,0,SUM($Y287:DB287)/$W320))</f>
        <v>0</v>
      </c>
      <c r="DC320" s="48">
        <f>IF(OR($V320=0,$W320=0),0,IF(DC$310&gt;$V320,0,SUM($Y287:DC287)/$W320))</f>
        <v>0</v>
      </c>
      <c r="DD320" s="48">
        <f>IF(OR($V320=0,$W320=0),0,IF(DD$310&gt;$V320,0,SUM($Y287:DD287)/$W320))</f>
        <v>0</v>
      </c>
      <c r="DE320" s="48">
        <f>IF(OR($V320=0,$W320=0),0,IF(DE$310&gt;$V320,0,SUM($Y287:DE287)/$W320))</f>
        <v>0</v>
      </c>
      <c r="DF320" s="48">
        <f>IF(OR($V320=0,$W320=0),0,IF(DF$310&gt;$V320,0,SUM($Y287:DF287)/$W320))</f>
        <v>0</v>
      </c>
      <c r="DG320" s="48">
        <f>IF(OR($V320=0,$W320=0),0,IF(DG$310&gt;$V320,0,SUM($Y287:DG287)/$W320))</f>
        <v>0</v>
      </c>
      <c r="DH320" s="48">
        <f>IF(OR($V320=0,$W320=0),0,IF(DH$310&gt;$V320,0,SUM($Y287:DH287)/$W320))</f>
        <v>0</v>
      </c>
      <c r="DI320" s="48">
        <f>IF(OR($V320=0,$W320=0),0,IF(DI$310&gt;$V320,0,SUM($Y287:DI287)/$W320))</f>
        <v>0</v>
      </c>
      <c r="DJ320" s="48">
        <f>IF(OR($V320=0,$W320=0),0,IF(DJ$310&gt;$V320,0,SUM($Y287:DJ287)/$W320))</f>
        <v>0</v>
      </c>
      <c r="DK320" s="48">
        <f>IF(OR($V320=0,$W320=0),0,IF(DK$310&gt;$V320,0,SUM($Y287:DK287)/$W320))</f>
        <v>0</v>
      </c>
      <c r="DL320" s="48">
        <f>IF(OR($V320=0,$W320=0),0,IF(DL$310&gt;$V320,0,SUM($Y287:DL287)/$W320))</f>
        <v>0</v>
      </c>
      <c r="DM320" s="48">
        <f>IF(OR($V320=0,$W320=0),0,IF(DM$310&gt;$V320,0,SUM($Y287:DM287)/$W320))</f>
        <v>0</v>
      </c>
      <c r="DN320" s="48">
        <f>IF(OR($V320=0,$W320=0),0,IF(DN$310&gt;$V320,0,SUM($Y287:DN287)/$W320))</f>
        <v>0</v>
      </c>
      <c r="DO320" s="48">
        <f>IF(OR($V320=0,$W320=0),0,IF(DO$310&gt;$V320,0,SUM($Y287:DO287)/$W320))</f>
        <v>0</v>
      </c>
      <c r="DP320" s="48">
        <f>IF(OR($V320=0,$W320=0),0,IF(DP$310&gt;$V320,0,SUM($Y287:DP287)/$W320))</f>
        <v>0</v>
      </c>
      <c r="DQ320" s="48">
        <f>IF(OR($V320=0,$W320=0),0,IF(DQ$310&gt;$V320,0,SUM($Y287:DQ287)/$W320))</f>
        <v>0</v>
      </c>
      <c r="DR320" s="50">
        <f>IF(OR($V320=0,$W320=0),0,IF(DR$310&gt;$V320,0,SUM($Y287:DR287)/$W320))</f>
        <v>0</v>
      </c>
      <c r="DS320" s="50">
        <f>IF(OR($V320=0,$W320=0),0,IF(DS$310&gt;$V320,0,SUM($Y287:DS287)/$W320))</f>
        <v>0</v>
      </c>
      <c r="DT320" s="50">
        <f>IF(OR($V320=0,$W320=0),0,IF(DT$310&gt;$V320,0,SUM($Y287:DT287)/$W320))</f>
        <v>0</v>
      </c>
      <c r="DU320" s="50">
        <f>IF(OR($V320=0,$W320=0),0,IF(DU$310&gt;$V320,0,SUM($Y287:DU287)/$W320))</f>
        <v>0</v>
      </c>
      <c r="DV320" s="50">
        <f>IF(OR($V320=0,$W320=0),0,IF(DV$310&gt;$V320,0,SUM($Y287:DV287)/$W320))</f>
        <v>0</v>
      </c>
      <c r="DW320" s="50">
        <f>IF(OR($V320=0,$W320=0),0,IF(DW$310&gt;$V320,0,SUM($Y287:DW287)/$W320))</f>
        <v>0</v>
      </c>
      <c r="DX320" s="50">
        <f>IF(OR($V320=0,$W320=0),0,IF(DX$310&gt;$V320,0,SUM($Y287:DX287)/$W320))</f>
        <v>0</v>
      </c>
      <c r="DY320" s="50">
        <f>IF(OR($V320=0,$W320=0),0,IF(DY$310&gt;$V320,0,SUM($Y287:DY287)/$W320))</f>
        <v>0</v>
      </c>
      <c r="DZ320" s="50">
        <f>IF(OR($V320=0,$W320=0),0,IF(DZ$310&gt;$V320,0,SUM($Y287:DZ287)/$W320))</f>
        <v>0</v>
      </c>
      <c r="EA320" s="50">
        <f>IF(OR($V320=0,$W320=0),0,IF(EA$310&gt;$V320,0,SUM($Y287:EA287)/$W320))</f>
        <v>0</v>
      </c>
      <c r="EB320" s="50">
        <f>IF(OR($V320=0,$W320=0),0,IF(EB$310&gt;$V320,0,SUM($Y287:EB287)/$W320))</f>
        <v>0</v>
      </c>
      <c r="EC320" s="50">
        <f>IF(OR($V320=0,$W320=0),0,IF(EC$310&gt;$V320,0,SUM($Y287:EC287)/$W320))</f>
        <v>0</v>
      </c>
      <c r="ED320" s="50">
        <f>IF(OR($V320=0,$W320=0),0,IF(ED$310&gt;$V320,0,SUM($Y287:ED287)/$W320))</f>
        <v>0</v>
      </c>
      <c r="EE320" s="50">
        <f>IF(OR($V320=0,$W320=0),0,IF(EE$310&gt;$V320,0,SUM($Y287:EE287)/$W320))</f>
        <v>0</v>
      </c>
      <c r="EF320" s="50">
        <f>IF(OR($V320=0,$W320=0),0,IF(EF$310&gt;$V320,0,SUM($Y287:EF287)/$W320))</f>
        <v>0</v>
      </c>
      <c r="EG320" s="50">
        <f>IF(OR($V320=0,$W320=0),0,IF(EG$310&gt;$V320,0,SUM($Y287:EG287)/$W320))</f>
        <v>0</v>
      </c>
      <c r="EH320" s="50">
        <f>IF(OR($V320=0,$W320=0),0,IF(EH$310&gt;$V320,0,SUM($Y287:EH287)/$W320))</f>
        <v>0</v>
      </c>
      <c r="EI320" s="50">
        <f>IF(OR($V320=0,$W320=0),0,IF(EI$310&gt;$V320,0,SUM($Y287:EI287)/$W320))</f>
        <v>0</v>
      </c>
      <c r="EJ320" s="50">
        <f>IF(OR($V320=0,$W320=0),0,IF(EJ$310&gt;$V320,0,SUM($Y287:EJ287)/$W320))</f>
        <v>0</v>
      </c>
      <c r="EK320" s="50">
        <f>IF(OR($V320=0,$W320=0),0,IF(EK$310&gt;$V320,0,SUM($Y287:EK287)/$W320))</f>
        <v>0</v>
      </c>
      <c r="EL320" s="50">
        <f>IF(OR($V320=0,$W320=0),0,IF(EL$310&gt;$V320,0,SUM($Y287:EL287)/$W320))</f>
        <v>0</v>
      </c>
      <c r="EM320" s="50">
        <f>IF(OR($V320=0,$W320=0),0,IF(EM$310&gt;$V320,0,SUM($Y287:EM287)/$W320))</f>
        <v>0</v>
      </c>
      <c r="EN320" s="50">
        <f>IF(OR($V320=0,$W320=0),0,IF(EN$310&gt;$V320,0,SUM($Y287:EN287)/$W320))</f>
        <v>0</v>
      </c>
      <c r="EO320" s="39">
        <v>51</v>
      </c>
      <c r="EP320" s="39">
        <v>51</v>
      </c>
      <c r="EQ320" s="39">
        <v>51</v>
      </c>
      <c r="ER320" s="39">
        <v>51</v>
      </c>
      <c r="ES320" s="39">
        <v>51</v>
      </c>
      <c r="ET320" s="39">
        <v>51</v>
      </c>
      <c r="EU320" s="39">
        <v>51</v>
      </c>
      <c r="EV320" s="39">
        <v>51</v>
      </c>
      <c r="EW320" s="39">
        <v>51</v>
      </c>
      <c r="EX320" s="39">
        <v>51</v>
      </c>
    </row>
    <row r="321" spans="1:154" ht="12" customHeight="1" x14ac:dyDescent="0.35">
      <c r="A321" s="67">
        <v>44</v>
      </c>
      <c r="B321" s="1438">
        <f t="shared" si="144"/>
        <v>1339</v>
      </c>
      <c r="C321" s="1440">
        <v>44</v>
      </c>
      <c r="D321" s="82"/>
      <c r="E321" s="82"/>
      <c r="F321" s="82"/>
      <c r="G321" s="1448"/>
      <c r="H321" s="1448"/>
      <c r="I321" s="1448"/>
      <c r="J321" s="1448"/>
      <c r="K321" s="1668"/>
      <c r="L321" s="1668"/>
      <c r="M321" s="1668"/>
      <c r="N321" s="1669"/>
      <c r="O321" s="1669"/>
      <c r="P321" s="1670"/>
      <c r="Q321" s="1671"/>
      <c r="R321" s="1671"/>
      <c r="S321" s="1671"/>
      <c r="T321" s="1667"/>
      <c r="U321" s="1672"/>
      <c r="V321" s="1636">
        <f t="shared" si="145"/>
        <v>0</v>
      </c>
      <c r="W321" s="102">
        <f t="shared" si="146"/>
        <v>0</v>
      </c>
      <c r="X321" s="381">
        <f t="shared" si="147"/>
        <v>0</v>
      </c>
      <c r="Y321" s="1645">
        <f>IF(OR($V321=0,$W321=0),0,IF(Y$310&gt;$V321,0,SUM($Y288:Y288)/$W321))</f>
        <v>0</v>
      </c>
      <c r="Z321" s="1646">
        <f>IF(OR($V321=0,$W321=0),0,IF(Z$310&gt;$V321,0,SUM($Y288:Z288)/$W321))</f>
        <v>0</v>
      </c>
      <c r="AA321" s="1646">
        <f>IF(OR($V321=0,$W321=0),0,IF(AA$310&gt;$V321,0,SUM($Y288:AA288)/$W321))</f>
        <v>0</v>
      </c>
      <c r="AB321" s="1646">
        <f>IF(OR($V321=0,$W321=0),0,IF(AB$310&gt;$V321,0,SUM($Y288:AB288)/$W321))</f>
        <v>0</v>
      </c>
      <c r="AC321" s="1646">
        <f>IF(OR($V321=0,$W321=0),0,IF(AC$310&gt;$V321,0,SUM($Y288:AC288)/$W321))</f>
        <v>0</v>
      </c>
      <c r="AD321" s="1646">
        <f>IF(OR($V321=0,$W321=0),0,IF(AD$310&gt;$V321,0,SUM($Y288:AD288)/$W321))</f>
        <v>0</v>
      </c>
      <c r="AE321" s="1646">
        <f>IF(OR($V321=0,$W321=0),0,IF(AE$310&gt;$V321,0,SUM($Y288:AE288)/$W321))</f>
        <v>0</v>
      </c>
      <c r="AF321" s="1155">
        <f>IF(OR($V321=0,$W321=0),0,IF(AF$310&gt;$V321,0,SUM($Y288:AF288)/$W321))</f>
        <v>0</v>
      </c>
      <c r="AG321" s="1155">
        <f>IF(OR($V321=0,$W321=0),0,IF(AG$310&gt;$V321,0,SUM($Y288:AG288)/$W321))</f>
        <v>0</v>
      </c>
      <c r="AH321" s="1155">
        <f>IF(OR($V321=0,$W321=0),0,IF(AH$310&gt;$V321,0,SUM($Y288:AH288)/$W321))</f>
        <v>0</v>
      </c>
      <c r="AI321" s="1155">
        <f>IF(OR($V321=0,$W321=0),0,IF(AI$310&gt;$V321,0,SUM($Y288:AI288)/$W321))</f>
        <v>0</v>
      </c>
      <c r="AJ321" s="1155">
        <f>IF(OR($V321=0,$W321=0),0,IF(AJ$310&gt;$V321,0,SUM($Y288:AJ288)/$W321))</f>
        <v>0</v>
      </c>
      <c r="AK321" s="1155">
        <f>IF(OR($V321=0,$W321=0),0,IF(AK$310&gt;$V321,0,SUM($Y288:AK288)/$W321))</f>
        <v>0</v>
      </c>
      <c r="AL321" s="1155">
        <f>IF(OR($V321=0,$W321=0),0,IF(AL$310&gt;$V321,0,SUM($Y288:AL288)/$W321))</f>
        <v>0</v>
      </c>
      <c r="AM321" s="1155">
        <f>IF(OR($V321=0,$W321=0),0,IF(AM$310&gt;$V321,0,SUM($Y288:AM288)/$W321))</f>
        <v>0</v>
      </c>
      <c r="AN321" s="1155">
        <f>IF(OR($V321=0,$W321=0),0,IF(AN$310&gt;$V321,0,SUM($Y288:AN288)/$W321))</f>
        <v>0</v>
      </c>
      <c r="AO321" s="1155">
        <f>IF(OR($V321=0,$W321=0),0,IF(AO$310&gt;$V321,0,SUM($Y288:AO288)/$W321))</f>
        <v>0</v>
      </c>
      <c r="AP321" s="1155">
        <f>IF(OR($V321=0,$W321=0),0,IF(AP$310&gt;$V321,0,SUM($Y288:AP288)/$W321))</f>
        <v>0</v>
      </c>
      <c r="AQ321" s="1155">
        <f>IF(OR($V321=0,$W321=0),0,IF(AQ$310&gt;$V321,0,SUM($Y288:AQ288)/$W321))</f>
        <v>0</v>
      </c>
      <c r="AR321" s="1155">
        <f>IF(OR($V321=0,$W321=0),0,IF(AR$310&gt;$V321,0,SUM($Y288:AR288)/$W321))</f>
        <v>0</v>
      </c>
      <c r="AS321" s="1155">
        <f>IF(OR($V321=0,$W321=0),0,IF(AS$310&gt;$V321,0,SUM($Y288:AS288)/$W321))</f>
        <v>0</v>
      </c>
      <c r="AT321" s="1155">
        <f>IF(OR($V321=0,$W321=0),0,IF(AT$310&gt;$V321,0,SUM($Y288:AT288)/$W321))</f>
        <v>0</v>
      </c>
      <c r="AU321" s="1155">
        <f>IF(OR($V321=0,$W321=0),0,IF(AU$310&gt;$V321,0,SUM($Y288:AU288)/$W321))</f>
        <v>0</v>
      </c>
      <c r="AV321" s="1155">
        <f>IF(OR($V321=0,$W321=0),0,IF(AV$310&gt;$V321,0,SUM($Y288:AV288)/$W321))</f>
        <v>0</v>
      </c>
      <c r="AW321" s="1155">
        <f>IF(OR($V321=0,$W321=0),0,IF(AW$310&gt;$V321,0,SUM($Y288:AW288)/$W321))</f>
        <v>0</v>
      </c>
      <c r="AX321" s="1155">
        <f>IF(OR($V321=0,$W321=0),0,IF(AX$310&gt;$V321,0,SUM($Y288:AX288)/$W321))</f>
        <v>0</v>
      </c>
      <c r="AY321" s="1155">
        <f>IF(OR($V321=0,$W321=0),0,IF(AY$310&gt;$V321,0,SUM($Y288:AY288)/$W321))</f>
        <v>0</v>
      </c>
      <c r="AZ321" s="1155">
        <f>IF(OR($V321=0,$W321=0),0,IF(AZ$310&gt;$V321,0,SUM($Y288:AZ288)/$W321))</f>
        <v>0</v>
      </c>
      <c r="BA321" s="1155">
        <f>IF(OR($V321=0,$W321=0),0,IF(BA$310&gt;$V321,0,SUM($Y288:BA288)/$W321))</f>
        <v>0</v>
      </c>
      <c r="BB321" s="1155">
        <f>IF(OR($V321=0,$W321=0),0,IF(BB$310&gt;$V321,0,SUM($Y288:BB288)/$W321))</f>
        <v>0</v>
      </c>
      <c r="BC321" s="1155">
        <f>IF(OR($V321=0,$W321=0),0,IF(BC$310&gt;$V321,0,SUM($Y288:BC288)/$W321))</f>
        <v>0</v>
      </c>
      <c r="BD321" s="1155">
        <f>IF(OR($V321=0,$W321=0),0,IF(BD$310&gt;$V321,0,SUM($Y288:BD288)/$W321))</f>
        <v>0</v>
      </c>
      <c r="BE321" s="1155">
        <f>IF(OR($V321=0,$W321=0),0,IF(BE$310&gt;$V321,0,SUM($Y288:BE288)/$W321))</f>
        <v>0</v>
      </c>
      <c r="BF321" s="1155">
        <f>IF(OR($V321=0,$W321=0),0,IF(BF$310&gt;$V321,0,SUM($Y288:BF288)/$W321))</f>
        <v>0</v>
      </c>
      <c r="BG321" s="1155">
        <f>IF(OR($V321=0,$W321=0),0,IF(BG$310&gt;$V321,0,SUM($Y288:BG288)/$W321))</f>
        <v>0</v>
      </c>
      <c r="BH321" s="1155">
        <f>IF(OR($V321=0,$W321=0),0,IF(BH$310&gt;$V321,0,SUM($Y288:BH288)/$W321))</f>
        <v>0</v>
      </c>
      <c r="BI321" s="1155">
        <f>IF(OR($V321=0,$W321=0),0,IF(BI$310&gt;$V321,0,SUM($Y288:BI288)/$W321))</f>
        <v>0</v>
      </c>
      <c r="BJ321" s="1155">
        <f>IF(OR($V321=0,$W321=0),0,IF(BJ$310&gt;$V321,0,SUM($Y288:BJ288)/$W321))</f>
        <v>0</v>
      </c>
      <c r="BK321" s="1155">
        <f>IF(OR($V321=0,$W321=0),0,IF(BK$310&gt;$V321,0,SUM($Y288:BK288)/$W321))</f>
        <v>0</v>
      </c>
      <c r="BL321" s="1155">
        <f>IF(OR($V321=0,$W321=0),0,IF(BL$310&gt;$V321,0,SUM($Y288:BL288)/$W321))</f>
        <v>0</v>
      </c>
      <c r="BM321" s="1155">
        <f>IF(OR($V321=0,$W321=0),0,IF(BM$310&gt;$V321,0,SUM($Y288:BM288)/$W321))</f>
        <v>0</v>
      </c>
      <c r="BN321" s="1155">
        <f>IF(OR($V321=0,$W321=0),0,IF(BN$310&gt;$V321,0,SUM($Y288:BN288)/$W321))</f>
        <v>0</v>
      </c>
      <c r="BO321" s="1155">
        <f>IF(OR($V321=0,$W321=0),0,IF(BO$310&gt;$V321,0,SUM($Y288:BO288)/$W321))</f>
        <v>0</v>
      </c>
      <c r="BP321" s="1155">
        <f>IF(OR($V321=0,$W321=0),0,IF(BP$310&gt;$V321,0,SUM($Y288:BP288)/$W321))</f>
        <v>0</v>
      </c>
      <c r="BQ321" s="1155">
        <f>IF(OR($V321=0,$W321=0),0,IF(BQ$310&gt;$V321,0,SUM($Y288:BQ288)/$W321))</f>
        <v>0</v>
      </c>
      <c r="BR321" s="1155">
        <f>IF(OR($V321=0,$W321=0),0,IF(BR$310&gt;$V321,0,SUM($Y288:BR288)/$W321))</f>
        <v>0</v>
      </c>
      <c r="BS321" s="1155">
        <f>IF(OR($V321=0,$W321=0),0,IF(BS$310&gt;$V321,0,SUM($Y288:BS288)/$W321))</f>
        <v>0</v>
      </c>
      <c r="BT321" s="1155">
        <f>IF(OR($V321=0,$W321=0),0,IF(BT$310&gt;$V321,0,SUM($Y288:BT288)/$W321))</f>
        <v>0</v>
      </c>
      <c r="BU321" s="1155">
        <f>IF(OR($V321=0,$W321=0),0,IF(BU$310&gt;$V321,0,SUM($Y288:BU288)/$W321))</f>
        <v>0</v>
      </c>
      <c r="BV321" s="1155">
        <f>IF(OR($V321=0,$W321=0),0,IF(BV$310&gt;$V321,0,SUM($Y288:BV288)/$W321))</f>
        <v>0</v>
      </c>
      <c r="BW321" s="1155">
        <f>IF(OR($V321=0,$W321=0),0,IF(BW$310&gt;$V321,0,SUM($Y288:BW288)/$W321))</f>
        <v>0</v>
      </c>
      <c r="BX321" s="1457">
        <f>IF(OR($V321=0,$W321=0),0,IF(BX$310&gt;$V321,0,SUM($Y288:BX288)/$W321))</f>
        <v>0</v>
      </c>
      <c r="BY321" s="1457">
        <f>IF(OR($V321=0,$W321=0),0,IF(BY$310&gt;$V321,0,SUM($Y288:BY288)/$W321))</f>
        <v>0</v>
      </c>
      <c r="BZ321" s="1162">
        <f>IF(OR($V321=0,$W321=0),0,IF(BZ$310&gt;$V321,0,SUM($Y288:BZ288)/$W321))</f>
        <v>0</v>
      </c>
      <c r="CA321" s="1162">
        <f>IF(OR($V321=0,$W321=0),0,IF(CA$310&gt;$V321,0,SUM($Y288:CA288)/$W321))</f>
        <v>0</v>
      </c>
      <c r="CB321" s="1162">
        <f>IF(OR($V321=0,$W321=0),0,IF(CB$310&gt;$V321,0,SUM($Y288:CB288)/$W321))</f>
        <v>0</v>
      </c>
      <c r="CC321" s="1162">
        <f>IF(OR($V321=0,$W321=0),0,IF(CC$310&gt;$V321,0,SUM($Y288:CC288)/$W321))</f>
        <v>0</v>
      </c>
      <c r="CD321" s="1162">
        <f>IF(OR($V321=0,$W321=0),0,IF(CD$310&gt;$V321,0,SUM($Y288:CD288)/$W321))</f>
        <v>0</v>
      </c>
      <c r="CE321" s="1162">
        <f>IF(OR($V321=0,$W321=0),0,IF(CE$310&gt;$V321,0,SUM($Y288:CE288)/$W321))</f>
        <v>0</v>
      </c>
      <c r="CF321" s="1162">
        <f>IF(OR($V321=0,$W321=0),0,IF(CF$310&gt;$V321,0,SUM($Y288:CF288)/$W321))</f>
        <v>0</v>
      </c>
      <c r="CG321" s="1162">
        <f>IF(OR($V321=0,$W321=0),0,IF(CG$310&gt;$V321,0,SUM($Y288:CG288)/$W321))</f>
        <v>0</v>
      </c>
      <c r="CH321" s="1162">
        <f>IF(OR($V321=0,$W321=0),0,IF(CH$310&gt;$V321,0,SUM($Y288:CH288)/$W321))</f>
        <v>0</v>
      </c>
      <c r="CI321" s="1162">
        <f>IF(OR($V321=0,$W321=0),0,IF(CI$310&gt;$V321,0,SUM($Y288:CI288)/$W321))</f>
        <v>0</v>
      </c>
      <c r="CJ321" s="1162">
        <f>IF(OR($V321=0,$W321=0),0,IF(CJ$310&gt;$V321,0,SUM($Y288:CJ288)/$W321))</f>
        <v>0</v>
      </c>
      <c r="CK321" s="1162">
        <f>IF(OR($V321=0,$W321=0),0,IF(CK$310&gt;$V321,0,SUM($Y288:CK288)/$W321))</f>
        <v>0</v>
      </c>
      <c r="CL321" s="1162">
        <f>IF(OR($V321=0,$W321=0),0,IF(CL$310&gt;$V321,0,SUM($Y288:CL288)/$W321))</f>
        <v>0</v>
      </c>
      <c r="CM321" s="1162">
        <f>IF(OR($V321=0,$W321=0),0,IF(CM$310&gt;$V321,0,SUM($Y288:CM288)/$W321))</f>
        <v>0</v>
      </c>
      <c r="CN321" s="1162">
        <f>IF(OR($V321=0,$W321=0),0,IF(CN$310&gt;$V321,0,SUM($Y288:CN288)/$W321))</f>
        <v>0</v>
      </c>
      <c r="CO321" s="1162">
        <f>IF(OR($V321=0,$W321=0),0,IF(CO$310&gt;$V321,0,SUM($Y288:CO288)/$W321))</f>
        <v>0</v>
      </c>
      <c r="CP321" s="1162">
        <f>IF(OR($V321=0,$W321=0),0,IF(CP$310&gt;$V321,0,SUM($Y288:CP288)/$W321))</f>
        <v>0</v>
      </c>
      <c r="CQ321" s="48">
        <f>IF(OR($V321=0,$W321=0),0,IF(CQ$310&gt;$V321,0,SUM($Y288:CQ288)/$W321))</f>
        <v>0</v>
      </c>
      <c r="CR321" s="48">
        <f>IF(OR($V321=0,$W321=0),0,IF(CR$310&gt;$V321,0,SUM($Y288:CR288)/$W321))</f>
        <v>0</v>
      </c>
      <c r="CS321" s="48">
        <f>IF(OR($V321=0,$W321=0),0,IF(CS$310&gt;$V321,0,SUM($Y288:CS288)/$W321))</f>
        <v>0</v>
      </c>
      <c r="CT321" s="48">
        <f>IF(OR($V321=0,$W321=0),0,IF(CT$310&gt;$V321,0,SUM($Y288:CT288)/$W321))</f>
        <v>0</v>
      </c>
      <c r="CU321" s="48">
        <f>IF(OR($V321=0,$W321=0),0,IF(CU$310&gt;$V321,0,SUM($Y288:CU288)/$W321))</f>
        <v>0</v>
      </c>
      <c r="CV321" s="48">
        <f>IF(OR($V321=0,$W321=0),0,IF(CV$310&gt;$V321,0,SUM($Y288:CV288)/$W321))</f>
        <v>0</v>
      </c>
      <c r="CW321" s="48">
        <f>IF(OR($V321=0,$W321=0),0,IF(CW$310&gt;$V321,0,SUM($Y288:CW288)/$W321))</f>
        <v>0</v>
      </c>
      <c r="CX321" s="48">
        <f>IF(OR($V321=0,$W321=0),0,IF(CX$310&gt;$V321,0,SUM($Y288:CX288)/$W321))</f>
        <v>0</v>
      </c>
      <c r="CY321" s="48">
        <f>IF(OR($V321=0,$W321=0),0,IF(CY$310&gt;$V321,0,SUM($Y288:CY288)/$W321))</f>
        <v>0</v>
      </c>
      <c r="CZ321" s="48">
        <f>IF(OR($V321=0,$W321=0),0,IF(CZ$310&gt;$V321,0,SUM($Y288:CZ288)/$W321))</f>
        <v>0</v>
      </c>
      <c r="DA321" s="48">
        <f>IF(OR($V321=0,$W321=0),0,IF(DA$310&gt;$V321,0,SUM($Y288:DA288)/$W321))</f>
        <v>0</v>
      </c>
      <c r="DB321" s="48">
        <f>IF(OR($V321=0,$W321=0),0,IF(DB$310&gt;$V321,0,SUM($Y288:DB288)/$W321))</f>
        <v>0</v>
      </c>
      <c r="DC321" s="48">
        <f>IF(OR($V321=0,$W321=0),0,IF(DC$310&gt;$V321,0,SUM($Y288:DC288)/$W321))</f>
        <v>0</v>
      </c>
      <c r="DD321" s="48">
        <f>IF(OR($V321=0,$W321=0),0,IF(DD$310&gt;$V321,0,SUM($Y288:DD288)/$W321))</f>
        <v>0</v>
      </c>
      <c r="DE321" s="48">
        <f>IF(OR($V321=0,$W321=0),0,IF(DE$310&gt;$V321,0,SUM($Y288:DE288)/$W321))</f>
        <v>0</v>
      </c>
      <c r="DF321" s="48">
        <f>IF(OR($V321=0,$W321=0),0,IF(DF$310&gt;$V321,0,SUM($Y288:DF288)/$W321))</f>
        <v>0</v>
      </c>
      <c r="DG321" s="48">
        <f>IF(OR($V321=0,$W321=0),0,IF(DG$310&gt;$V321,0,SUM($Y288:DG288)/$W321))</f>
        <v>0</v>
      </c>
      <c r="DH321" s="48">
        <f>IF(OR($V321=0,$W321=0),0,IF(DH$310&gt;$V321,0,SUM($Y288:DH288)/$W321))</f>
        <v>0</v>
      </c>
      <c r="DI321" s="48">
        <f>IF(OR($V321=0,$W321=0),0,IF(DI$310&gt;$V321,0,SUM($Y288:DI288)/$W321))</f>
        <v>0</v>
      </c>
      <c r="DJ321" s="48">
        <f>IF(OR($V321=0,$W321=0),0,IF(DJ$310&gt;$V321,0,SUM($Y288:DJ288)/$W321))</f>
        <v>0</v>
      </c>
      <c r="DK321" s="48">
        <f>IF(OR($V321=0,$W321=0),0,IF(DK$310&gt;$V321,0,SUM($Y288:DK288)/$W321))</f>
        <v>0</v>
      </c>
      <c r="DL321" s="48">
        <f>IF(OR($V321=0,$W321=0),0,IF(DL$310&gt;$V321,0,SUM($Y288:DL288)/$W321))</f>
        <v>0</v>
      </c>
      <c r="DM321" s="48">
        <f>IF(OR($V321=0,$W321=0),0,IF(DM$310&gt;$V321,0,SUM($Y288:DM288)/$W321))</f>
        <v>0</v>
      </c>
      <c r="DN321" s="48">
        <f>IF(OR($V321=0,$W321=0),0,IF(DN$310&gt;$V321,0,SUM($Y288:DN288)/$W321))</f>
        <v>0</v>
      </c>
      <c r="DO321" s="48">
        <f>IF(OR($V321=0,$W321=0),0,IF(DO$310&gt;$V321,0,SUM($Y288:DO288)/$W321))</f>
        <v>0</v>
      </c>
      <c r="DP321" s="48">
        <f>IF(OR($V321=0,$W321=0),0,IF(DP$310&gt;$V321,0,SUM($Y288:DP288)/$W321))</f>
        <v>0</v>
      </c>
      <c r="DQ321" s="48">
        <f>IF(OR($V321=0,$W321=0),0,IF(DQ$310&gt;$V321,0,SUM($Y288:DQ288)/$W321))</f>
        <v>0</v>
      </c>
      <c r="DR321" s="50">
        <f>IF(OR($V321=0,$W321=0),0,IF(DR$310&gt;$V321,0,SUM($Y288:DR288)/$W321))</f>
        <v>0</v>
      </c>
      <c r="DS321" s="50">
        <f>IF(OR($V321=0,$W321=0),0,IF(DS$310&gt;$V321,0,SUM($Y288:DS288)/$W321))</f>
        <v>0</v>
      </c>
      <c r="DT321" s="50">
        <f>IF(OR($V321=0,$W321=0),0,IF(DT$310&gt;$V321,0,SUM($Y288:DT288)/$W321))</f>
        <v>0</v>
      </c>
      <c r="DU321" s="50">
        <f>IF(OR($V321=0,$W321=0),0,IF(DU$310&gt;$V321,0,SUM($Y288:DU288)/$W321))</f>
        <v>0</v>
      </c>
      <c r="DV321" s="50">
        <f>IF(OR($V321=0,$W321=0),0,IF(DV$310&gt;$V321,0,SUM($Y288:DV288)/$W321))</f>
        <v>0</v>
      </c>
      <c r="DW321" s="50">
        <f>IF(OR($V321=0,$W321=0),0,IF(DW$310&gt;$V321,0,SUM($Y288:DW288)/$W321))</f>
        <v>0</v>
      </c>
      <c r="DX321" s="50">
        <f>IF(OR($V321=0,$W321=0),0,IF(DX$310&gt;$V321,0,SUM($Y288:DX288)/$W321))</f>
        <v>0</v>
      </c>
      <c r="DY321" s="50">
        <f>IF(OR($V321=0,$W321=0),0,IF(DY$310&gt;$V321,0,SUM($Y288:DY288)/$W321))</f>
        <v>0</v>
      </c>
      <c r="DZ321" s="50">
        <f>IF(OR($V321=0,$W321=0),0,IF(DZ$310&gt;$V321,0,SUM($Y288:DZ288)/$W321))</f>
        <v>0</v>
      </c>
      <c r="EA321" s="50">
        <f>IF(OR($V321=0,$W321=0),0,IF(EA$310&gt;$V321,0,SUM($Y288:EA288)/$W321))</f>
        <v>0</v>
      </c>
      <c r="EB321" s="50">
        <f>IF(OR($V321=0,$W321=0),0,IF(EB$310&gt;$V321,0,SUM($Y288:EB288)/$W321))</f>
        <v>0</v>
      </c>
      <c r="EC321" s="50">
        <f>IF(OR($V321=0,$W321=0),0,IF(EC$310&gt;$V321,0,SUM($Y288:EC288)/$W321))</f>
        <v>0</v>
      </c>
      <c r="ED321" s="50">
        <f>IF(OR($V321=0,$W321=0),0,IF(ED$310&gt;$V321,0,SUM($Y288:ED288)/$W321))</f>
        <v>0</v>
      </c>
      <c r="EE321" s="50">
        <f>IF(OR($V321=0,$W321=0),0,IF(EE$310&gt;$V321,0,SUM($Y288:EE288)/$W321))</f>
        <v>0</v>
      </c>
      <c r="EF321" s="50">
        <f>IF(OR($V321=0,$W321=0),0,IF(EF$310&gt;$V321,0,SUM($Y288:EF288)/$W321))</f>
        <v>0</v>
      </c>
      <c r="EG321" s="50">
        <f>IF(OR($V321=0,$W321=0),0,IF(EG$310&gt;$V321,0,SUM($Y288:EG288)/$W321))</f>
        <v>0</v>
      </c>
      <c r="EH321" s="50">
        <f>IF(OR($V321=0,$W321=0),0,IF(EH$310&gt;$V321,0,SUM($Y288:EH288)/$W321))</f>
        <v>0</v>
      </c>
      <c r="EI321" s="50">
        <f>IF(OR($V321=0,$W321=0),0,IF(EI$310&gt;$V321,0,SUM($Y288:EI288)/$W321))</f>
        <v>0</v>
      </c>
      <c r="EJ321" s="50">
        <f>IF(OR($V321=0,$W321=0),0,IF(EJ$310&gt;$V321,0,SUM($Y288:EJ288)/$W321))</f>
        <v>0</v>
      </c>
      <c r="EK321" s="50">
        <f>IF(OR($V321=0,$W321=0),0,IF(EK$310&gt;$V321,0,SUM($Y288:EK288)/$W321))</f>
        <v>0</v>
      </c>
      <c r="EL321" s="50">
        <f>IF(OR($V321=0,$W321=0),0,IF(EL$310&gt;$V321,0,SUM($Y288:EL288)/$W321))</f>
        <v>0</v>
      </c>
      <c r="EM321" s="50">
        <f>IF(OR($V321=0,$W321=0),0,IF(EM$310&gt;$V321,0,SUM($Y288:EM288)/$W321))</f>
        <v>0</v>
      </c>
      <c r="EN321" s="50">
        <f>IF(OR($V321=0,$W321=0),0,IF(EN$310&gt;$V321,0,SUM($Y288:EN288)/$W321))</f>
        <v>0</v>
      </c>
      <c r="EO321" s="39">
        <v>51</v>
      </c>
      <c r="EP321" s="39">
        <v>51</v>
      </c>
      <c r="EQ321" s="39">
        <v>51</v>
      </c>
      <c r="ER321" s="39">
        <v>51</v>
      </c>
      <c r="ES321" s="39">
        <v>51</v>
      </c>
      <c r="ET321" s="39">
        <v>51</v>
      </c>
      <c r="EU321" s="39">
        <v>51</v>
      </c>
      <c r="EV321" s="39">
        <v>51</v>
      </c>
      <c r="EW321" s="39">
        <v>51</v>
      </c>
      <c r="EX321" s="39">
        <v>51</v>
      </c>
    </row>
    <row r="322" spans="1:154" ht="12" customHeight="1" x14ac:dyDescent="0.35">
      <c r="A322" s="67">
        <v>45</v>
      </c>
      <c r="B322" s="1438">
        <f t="shared" si="144"/>
        <v>1369</v>
      </c>
      <c r="C322" s="1440">
        <v>45</v>
      </c>
      <c r="D322" s="82"/>
      <c r="E322" s="82"/>
      <c r="F322" s="82"/>
      <c r="G322" s="1448"/>
      <c r="H322" s="1448"/>
      <c r="I322" s="1448"/>
      <c r="J322" s="1448"/>
      <c r="K322" s="1668"/>
      <c r="L322" s="1668"/>
      <c r="M322" s="1668"/>
      <c r="N322" s="1669"/>
      <c r="O322" s="1669"/>
      <c r="P322" s="1670"/>
      <c r="Q322" s="1671"/>
      <c r="R322" s="1671"/>
      <c r="S322" s="1671"/>
      <c r="T322" s="1667"/>
      <c r="U322" s="1672"/>
      <c r="V322" s="1636">
        <f t="shared" si="145"/>
        <v>0</v>
      </c>
      <c r="W322" s="102">
        <f t="shared" si="146"/>
        <v>0</v>
      </c>
      <c r="X322" s="381">
        <f t="shared" si="147"/>
        <v>0</v>
      </c>
      <c r="Y322" s="1645">
        <f>IF(OR($V322=0,$W322=0),0,IF(Y$310&gt;$V322,0,SUM($Y289:Y289)/$W322))</f>
        <v>0</v>
      </c>
      <c r="Z322" s="1646">
        <f>IF(OR($V322=0,$W322=0),0,IF(Z$310&gt;$V322,0,SUM($Y289:Z289)/$W322))</f>
        <v>0</v>
      </c>
      <c r="AA322" s="1646">
        <f>IF(OR($V322=0,$W322=0),0,IF(AA$310&gt;$V322,0,SUM($Y289:AA289)/$W322))</f>
        <v>0</v>
      </c>
      <c r="AB322" s="1646">
        <f>IF(OR($V322=0,$W322=0),0,IF(AB$310&gt;$V322,0,SUM($Y289:AB289)/$W322))</f>
        <v>0</v>
      </c>
      <c r="AC322" s="1646">
        <f>IF(OR($V322=0,$W322=0),0,IF(AC$310&gt;$V322,0,SUM($Y289:AC289)/$W322))</f>
        <v>0</v>
      </c>
      <c r="AD322" s="1646">
        <f>IF(OR($V322=0,$W322=0),0,IF(AD$310&gt;$V322,0,SUM($Y289:AD289)/$W322))</f>
        <v>0</v>
      </c>
      <c r="AE322" s="1646">
        <f>IF(OR($V322=0,$W322=0),0,IF(AE$310&gt;$V322,0,SUM($Y289:AE289)/$W322))</f>
        <v>0</v>
      </c>
      <c r="AF322" s="1155">
        <f>IF(OR($V322=0,$W322=0),0,IF(AF$310&gt;$V322,0,SUM($Y289:AF289)/$W322))</f>
        <v>0</v>
      </c>
      <c r="AG322" s="1155">
        <f>IF(OR($V322=0,$W322=0),0,IF(AG$310&gt;$V322,0,SUM($Y289:AG289)/$W322))</f>
        <v>0</v>
      </c>
      <c r="AH322" s="1155">
        <f>IF(OR($V322=0,$W322=0),0,IF(AH$310&gt;$V322,0,SUM($Y289:AH289)/$W322))</f>
        <v>0</v>
      </c>
      <c r="AI322" s="1155">
        <f>IF(OR($V322=0,$W322=0),0,IF(AI$310&gt;$V322,0,SUM($Y289:AI289)/$W322))</f>
        <v>0</v>
      </c>
      <c r="AJ322" s="1155">
        <f>IF(OR($V322=0,$W322=0),0,IF(AJ$310&gt;$V322,0,SUM($Y289:AJ289)/$W322))</f>
        <v>0</v>
      </c>
      <c r="AK322" s="1155">
        <f>IF(OR($V322=0,$W322=0),0,IF(AK$310&gt;$V322,0,SUM($Y289:AK289)/$W322))</f>
        <v>0</v>
      </c>
      <c r="AL322" s="1155">
        <f>IF(OR($V322=0,$W322=0),0,IF(AL$310&gt;$V322,0,SUM($Y289:AL289)/$W322))</f>
        <v>0</v>
      </c>
      <c r="AM322" s="1155">
        <f>IF(OR($V322=0,$W322=0),0,IF(AM$310&gt;$V322,0,SUM($Y289:AM289)/$W322))</f>
        <v>0</v>
      </c>
      <c r="AN322" s="1155">
        <f>IF(OR($V322=0,$W322=0),0,IF(AN$310&gt;$V322,0,SUM($Y289:AN289)/$W322))</f>
        <v>0</v>
      </c>
      <c r="AO322" s="1155">
        <f>IF(OR($V322=0,$W322=0),0,IF(AO$310&gt;$V322,0,SUM($Y289:AO289)/$W322))</f>
        <v>0</v>
      </c>
      <c r="AP322" s="1155">
        <f>IF(OR($V322=0,$W322=0),0,IF(AP$310&gt;$V322,0,SUM($Y289:AP289)/$W322))</f>
        <v>0</v>
      </c>
      <c r="AQ322" s="1155">
        <f>IF(OR($V322=0,$W322=0),0,IF(AQ$310&gt;$V322,0,SUM($Y289:AQ289)/$W322))</f>
        <v>0</v>
      </c>
      <c r="AR322" s="1155">
        <f>IF(OR($V322=0,$W322=0),0,IF(AR$310&gt;$V322,0,SUM($Y289:AR289)/$W322))</f>
        <v>0</v>
      </c>
      <c r="AS322" s="1155">
        <f>IF(OR($V322=0,$W322=0),0,IF(AS$310&gt;$V322,0,SUM($Y289:AS289)/$W322))</f>
        <v>0</v>
      </c>
      <c r="AT322" s="1155">
        <f>IF(OR($V322=0,$W322=0),0,IF(AT$310&gt;$V322,0,SUM($Y289:AT289)/$W322))</f>
        <v>0</v>
      </c>
      <c r="AU322" s="1155">
        <f>IF(OR($V322=0,$W322=0),0,IF(AU$310&gt;$V322,0,SUM($Y289:AU289)/$W322))</f>
        <v>0</v>
      </c>
      <c r="AV322" s="1155">
        <f>IF(OR($V322=0,$W322=0),0,IF(AV$310&gt;$V322,0,SUM($Y289:AV289)/$W322))</f>
        <v>0</v>
      </c>
      <c r="AW322" s="1155">
        <f>IF(OR($V322=0,$W322=0),0,IF(AW$310&gt;$V322,0,SUM($Y289:AW289)/$W322))</f>
        <v>0</v>
      </c>
      <c r="AX322" s="1155">
        <f>IF(OR($V322=0,$W322=0),0,IF(AX$310&gt;$V322,0,SUM($Y289:AX289)/$W322))</f>
        <v>0</v>
      </c>
      <c r="AY322" s="1155">
        <f>IF(OR($V322=0,$W322=0),0,IF(AY$310&gt;$V322,0,SUM($Y289:AY289)/$W322))</f>
        <v>0</v>
      </c>
      <c r="AZ322" s="1155">
        <f>IF(OR($V322=0,$W322=0),0,IF(AZ$310&gt;$V322,0,SUM($Y289:AZ289)/$W322))</f>
        <v>0</v>
      </c>
      <c r="BA322" s="1155">
        <f>IF(OR($V322=0,$W322=0),0,IF(BA$310&gt;$V322,0,SUM($Y289:BA289)/$W322))</f>
        <v>0</v>
      </c>
      <c r="BB322" s="1155">
        <f>IF(OR($V322=0,$W322=0),0,IF(BB$310&gt;$V322,0,SUM($Y289:BB289)/$W322))</f>
        <v>0</v>
      </c>
      <c r="BC322" s="1155">
        <f>IF(OR($V322=0,$W322=0),0,IF(BC$310&gt;$V322,0,SUM($Y289:BC289)/$W322))</f>
        <v>0</v>
      </c>
      <c r="BD322" s="1155">
        <f>IF(OR($V322=0,$W322=0),0,IF(BD$310&gt;$V322,0,SUM($Y289:BD289)/$W322))</f>
        <v>0</v>
      </c>
      <c r="BE322" s="1155">
        <f>IF(OR($V322=0,$W322=0),0,IF(BE$310&gt;$V322,0,SUM($Y289:BE289)/$W322))</f>
        <v>0</v>
      </c>
      <c r="BF322" s="1155">
        <f>IF(OR($V322=0,$W322=0),0,IF(BF$310&gt;$V322,0,SUM($Y289:BF289)/$W322))</f>
        <v>0</v>
      </c>
      <c r="BG322" s="1155">
        <f>IF(OR($V322=0,$W322=0),0,IF(BG$310&gt;$V322,0,SUM($Y289:BG289)/$W322))</f>
        <v>0</v>
      </c>
      <c r="BH322" s="1155">
        <f>IF(OR($V322=0,$W322=0),0,IF(BH$310&gt;$V322,0,SUM($Y289:BH289)/$W322))</f>
        <v>0</v>
      </c>
      <c r="BI322" s="1155">
        <f>IF(OR($V322=0,$W322=0),0,IF(BI$310&gt;$V322,0,SUM($Y289:BI289)/$W322))</f>
        <v>0</v>
      </c>
      <c r="BJ322" s="1155">
        <f>IF(OR($V322=0,$W322=0),0,IF(BJ$310&gt;$V322,0,SUM($Y289:BJ289)/$W322))</f>
        <v>0</v>
      </c>
      <c r="BK322" s="1155">
        <f>IF(OR($V322=0,$W322=0),0,IF(BK$310&gt;$V322,0,SUM($Y289:BK289)/$W322))</f>
        <v>0</v>
      </c>
      <c r="BL322" s="1155">
        <f>IF(OR($V322=0,$W322=0),0,IF(BL$310&gt;$V322,0,SUM($Y289:BL289)/$W322))</f>
        <v>0</v>
      </c>
      <c r="BM322" s="1155">
        <f>IF(OR($V322=0,$W322=0),0,IF(BM$310&gt;$V322,0,SUM($Y289:BM289)/$W322))</f>
        <v>0</v>
      </c>
      <c r="BN322" s="1155">
        <f>IF(OR($V322=0,$W322=0),0,IF(BN$310&gt;$V322,0,SUM($Y289:BN289)/$W322))</f>
        <v>0</v>
      </c>
      <c r="BO322" s="1155">
        <f>IF(OR($V322=0,$W322=0),0,IF(BO$310&gt;$V322,0,SUM($Y289:BO289)/$W322))</f>
        <v>0</v>
      </c>
      <c r="BP322" s="1155">
        <f>IF(OR($V322=0,$W322=0),0,IF(BP$310&gt;$V322,0,SUM($Y289:BP289)/$W322))</f>
        <v>0</v>
      </c>
      <c r="BQ322" s="1155">
        <f>IF(OR($V322=0,$W322=0),0,IF(BQ$310&gt;$V322,0,SUM($Y289:BQ289)/$W322))</f>
        <v>0</v>
      </c>
      <c r="BR322" s="1155">
        <f>IF(OR($V322=0,$W322=0),0,IF(BR$310&gt;$V322,0,SUM($Y289:BR289)/$W322))</f>
        <v>0</v>
      </c>
      <c r="BS322" s="1155">
        <f>IF(OR($V322=0,$W322=0),0,IF(BS$310&gt;$V322,0,SUM($Y289:BS289)/$W322))</f>
        <v>0</v>
      </c>
      <c r="BT322" s="1155">
        <f>IF(OR($V322=0,$W322=0),0,IF(BT$310&gt;$V322,0,SUM($Y289:BT289)/$W322))</f>
        <v>0</v>
      </c>
      <c r="BU322" s="1155">
        <f>IF(OR($V322=0,$W322=0),0,IF(BU$310&gt;$V322,0,SUM($Y289:BU289)/$W322))</f>
        <v>0</v>
      </c>
      <c r="BV322" s="1155">
        <f>IF(OR($V322=0,$W322=0),0,IF(BV$310&gt;$V322,0,SUM($Y289:BV289)/$W322))</f>
        <v>0</v>
      </c>
      <c r="BW322" s="1155">
        <f>IF(OR($V322=0,$W322=0),0,IF(BW$310&gt;$V322,0,SUM($Y289:BW289)/$W322))</f>
        <v>0</v>
      </c>
      <c r="BX322" s="1457">
        <f>IF(OR($V322=0,$W322=0),0,IF(BX$310&gt;$V322,0,SUM($Y289:BX289)/$W322))</f>
        <v>0</v>
      </c>
      <c r="BY322" s="1457">
        <f>IF(OR($V322=0,$W322=0),0,IF(BY$310&gt;$V322,0,SUM($Y289:BY289)/$W322))</f>
        <v>0</v>
      </c>
      <c r="BZ322" s="1162">
        <f>IF(OR($V322=0,$W322=0),0,IF(BZ$310&gt;$V322,0,SUM($Y289:BZ289)/$W322))</f>
        <v>0</v>
      </c>
      <c r="CA322" s="1162">
        <f>IF(OR($V322=0,$W322=0),0,IF(CA$310&gt;$V322,0,SUM($Y289:CA289)/$W322))</f>
        <v>0</v>
      </c>
      <c r="CB322" s="1162">
        <f>IF(OR($V322=0,$W322=0),0,IF(CB$310&gt;$V322,0,SUM($Y289:CB289)/$W322))</f>
        <v>0</v>
      </c>
      <c r="CC322" s="1162">
        <f>IF(OR($V322=0,$W322=0),0,IF(CC$310&gt;$V322,0,SUM($Y289:CC289)/$W322))</f>
        <v>0</v>
      </c>
      <c r="CD322" s="1162">
        <f>IF(OR($V322=0,$W322=0),0,IF(CD$310&gt;$V322,0,SUM($Y289:CD289)/$W322))</f>
        <v>0</v>
      </c>
      <c r="CE322" s="1162">
        <f>IF(OR($V322=0,$W322=0),0,IF(CE$310&gt;$V322,0,SUM($Y289:CE289)/$W322))</f>
        <v>0</v>
      </c>
      <c r="CF322" s="1162">
        <f>IF(OR($V322=0,$W322=0),0,IF(CF$310&gt;$V322,0,SUM($Y289:CF289)/$W322))</f>
        <v>0</v>
      </c>
      <c r="CG322" s="1162">
        <f>IF(OR($V322=0,$W322=0),0,IF(CG$310&gt;$V322,0,SUM($Y289:CG289)/$W322))</f>
        <v>0</v>
      </c>
      <c r="CH322" s="1162">
        <f>IF(OR($V322=0,$W322=0),0,IF(CH$310&gt;$V322,0,SUM($Y289:CH289)/$W322))</f>
        <v>0</v>
      </c>
      <c r="CI322" s="1162">
        <f>IF(OR($V322=0,$W322=0),0,IF(CI$310&gt;$V322,0,SUM($Y289:CI289)/$W322))</f>
        <v>0</v>
      </c>
      <c r="CJ322" s="1162">
        <f>IF(OR($V322=0,$W322=0),0,IF(CJ$310&gt;$V322,0,SUM($Y289:CJ289)/$W322))</f>
        <v>0</v>
      </c>
      <c r="CK322" s="1162">
        <f>IF(OR($V322=0,$W322=0),0,IF(CK$310&gt;$V322,0,SUM($Y289:CK289)/$W322))</f>
        <v>0</v>
      </c>
      <c r="CL322" s="1162">
        <f>IF(OR($V322=0,$W322=0),0,IF(CL$310&gt;$V322,0,SUM($Y289:CL289)/$W322))</f>
        <v>0</v>
      </c>
      <c r="CM322" s="1162">
        <f>IF(OR($V322=0,$W322=0),0,IF(CM$310&gt;$V322,0,SUM($Y289:CM289)/$W322))</f>
        <v>0</v>
      </c>
      <c r="CN322" s="1162">
        <f>IF(OR($V322=0,$W322=0),0,IF(CN$310&gt;$V322,0,SUM($Y289:CN289)/$W322))</f>
        <v>0</v>
      </c>
      <c r="CO322" s="1162">
        <f>IF(OR($V322=0,$W322=0),0,IF(CO$310&gt;$V322,0,SUM($Y289:CO289)/$W322))</f>
        <v>0</v>
      </c>
      <c r="CP322" s="1162">
        <f>IF(OR($V322=0,$W322=0),0,IF(CP$310&gt;$V322,0,SUM($Y289:CP289)/$W322))</f>
        <v>0</v>
      </c>
      <c r="CQ322" s="48">
        <f>IF(OR($V322=0,$W322=0),0,IF(CQ$310&gt;$V322,0,SUM($Y289:CQ289)/$W322))</f>
        <v>0</v>
      </c>
      <c r="CR322" s="48">
        <f>IF(OR($V322=0,$W322=0),0,IF(CR$310&gt;$V322,0,SUM($Y289:CR289)/$W322))</f>
        <v>0</v>
      </c>
      <c r="CS322" s="48">
        <f>IF(OR($V322=0,$W322=0),0,IF(CS$310&gt;$V322,0,SUM($Y289:CS289)/$W322))</f>
        <v>0</v>
      </c>
      <c r="CT322" s="48">
        <f>IF(OR($V322=0,$W322=0),0,IF(CT$310&gt;$V322,0,SUM($Y289:CT289)/$W322))</f>
        <v>0</v>
      </c>
      <c r="CU322" s="48">
        <f>IF(OR($V322=0,$W322=0),0,IF(CU$310&gt;$V322,0,SUM($Y289:CU289)/$W322))</f>
        <v>0</v>
      </c>
      <c r="CV322" s="48">
        <f>IF(OR($V322=0,$W322=0),0,IF(CV$310&gt;$V322,0,SUM($Y289:CV289)/$W322))</f>
        <v>0</v>
      </c>
      <c r="CW322" s="48">
        <f>IF(OR($V322=0,$W322=0),0,IF(CW$310&gt;$V322,0,SUM($Y289:CW289)/$W322))</f>
        <v>0</v>
      </c>
      <c r="CX322" s="48">
        <f>IF(OR($V322=0,$W322=0),0,IF(CX$310&gt;$V322,0,SUM($Y289:CX289)/$W322))</f>
        <v>0</v>
      </c>
      <c r="CY322" s="48">
        <f>IF(OR($V322=0,$W322=0),0,IF(CY$310&gt;$V322,0,SUM($Y289:CY289)/$W322))</f>
        <v>0</v>
      </c>
      <c r="CZ322" s="48">
        <f>IF(OR($V322=0,$W322=0),0,IF(CZ$310&gt;$V322,0,SUM($Y289:CZ289)/$W322))</f>
        <v>0</v>
      </c>
      <c r="DA322" s="48">
        <f>IF(OR($V322=0,$W322=0),0,IF(DA$310&gt;$V322,0,SUM($Y289:DA289)/$W322))</f>
        <v>0</v>
      </c>
      <c r="DB322" s="48">
        <f>IF(OR($V322=0,$W322=0),0,IF(DB$310&gt;$V322,0,SUM($Y289:DB289)/$W322))</f>
        <v>0</v>
      </c>
      <c r="DC322" s="48">
        <f>IF(OR($V322=0,$W322=0),0,IF(DC$310&gt;$V322,0,SUM($Y289:DC289)/$W322))</f>
        <v>0</v>
      </c>
      <c r="DD322" s="48">
        <f>IF(OR($V322=0,$W322=0),0,IF(DD$310&gt;$V322,0,SUM($Y289:DD289)/$W322))</f>
        <v>0</v>
      </c>
      <c r="DE322" s="48">
        <f>IF(OR($V322=0,$W322=0),0,IF(DE$310&gt;$V322,0,SUM($Y289:DE289)/$W322))</f>
        <v>0</v>
      </c>
      <c r="DF322" s="48">
        <f>IF(OR($V322=0,$W322=0),0,IF(DF$310&gt;$V322,0,SUM($Y289:DF289)/$W322))</f>
        <v>0</v>
      </c>
      <c r="DG322" s="48">
        <f>IF(OR($V322=0,$W322=0),0,IF(DG$310&gt;$V322,0,SUM($Y289:DG289)/$W322))</f>
        <v>0</v>
      </c>
      <c r="DH322" s="48">
        <f>IF(OR($V322=0,$W322=0),0,IF(DH$310&gt;$V322,0,SUM($Y289:DH289)/$W322))</f>
        <v>0</v>
      </c>
      <c r="DI322" s="48">
        <f>IF(OR($V322=0,$W322=0),0,IF(DI$310&gt;$V322,0,SUM($Y289:DI289)/$W322))</f>
        <v>0</v>
      </c>
      <c r="DJ322" s="48">
        <f>IF(OR($V322=0,$W322=0),0,IF(DJ$310&gt;$V322,0,SUM($Y289:DJ289)/$W322))</f>
        <v>0</v>
      </c>
      <c r="DK322" s="48">
        <f>IF(OR($V322=0,$W322=0),0,IF(DK$310&gt;$V322,0,SUM($Y289:DK289)/$W322))</f>
        <v>0</v>
      </c>
      <c r="DL322" s="48">
        <f>IF(OR($V322=0,$W322=0),0,IF(DL$310&gt;$V322,0,SUM($Y289:DL289)/$W322))</f>
        <v>0</v>
      </c>
      <c r="DM322" s="48">
        <f>IF(OR($V322=0,$W322=0),0,IF(DM$310&gt;$V322,0,SUM($Y289:DM289)/$W322))</f>
        <v>0</v>
      </c>
      <c r="DN322" s="48">
        <f>IF(OR($V322=0,$W322=0),0,IF(DN$310&gt;$V322,0,SUM($Y289:DN289)/$W322))</f>
        <v>0</v>
      </c>
      <c r="DO322" s="48">
        <f>IF(OR($V322=0,$W322=0),0,IF(DO$310&gt;$V322,0,SUM($Y289:DO289)/$W322))</f>
        <v>0</v>
      </c>
      <c r="DP322" s="48">
        <f>IF(OR($V322=0,$W322=0),0,IF(DP$310&gt;$V322,0,SUM($Y289:DP289)/$W322))</f>
        <v>0</v>
      </c>
      <c r="DQ322" s="48">
        <f>IF(OR($V322=0,$W322=0),0,IF(DQ$310&gt;$V322,0,SUM($Y289:DQ289)/$W322))</f>
        <v>0</v>
      </c>
      <c r="DR322" s="50">
        <f>IF(OR($V322=0,$W322=0),0,IF(DR$310&gt;$V322,0,SUM($Y289:DR289)/$W322))</f>
        <v>0</v>
      </c>
      <c r="DS322" s="50">
        <f>IF(OR($V322=0,$W322=0),0,IF(DS$310&gt;$V322,0,SUM($Y289:DS289)/$W322))</f>
        <v>0</v>
      </c>
      <c r="DT322" s="50">
        <f>IF(OR($V322=0,$W322=0),0,IF(DT$310&gt;$V322,0,SUM($Y289:DT289)/$W322))</f>
        <v>0</v>
      </c>
      <c r="DU322" s="50">
        <f>IF(OR($V322=0,$W322=0),0,IF(DU$310&gt;$V322,0,SUM($Y289:DU289)/$W322))</f>
        <v>0</v>
      </c>
      <c r="DV322" s="50">
        <f>IF(OR($V322=0,$W322=0),0,IF(DV$310&gt;$V322,0,SUM($Y289:DV289)/$W322))</f>
        <v>0</v>
      </c>
      <c r="DW322" s="50">
        <f>IF(OR($V322=0,$W322=0),0,IF(DW$310&gt;$V322,0,SUM($Y289:DW289)/$W322))</f>
        <v>0</v>
      </c>
      <c r="DX322" s="50">
        <f>IF(OR($V322=0,$W322=0),0,IF(DX$310&gt;$V322,0,SUM($Y289:DX289)/$W322))</f>
        <v>0</v>
      </c>
      <c r="DY322" s="50">
        <f>IF(OR($V322=0,$W322=0),0,IF(DY$310&gt;$V322,0,SUM($Y289:DY289)/$W322))</f>
        <v>0</v>
      </c>
      <c r="DZ322" s="50">
        <f>IF(OR($V322=0,$W322=0),0,IF(DZ$310&gt;$V322,0,SUM($Y289:DZ289)/$W322))</f>
        <v>0</v>
      </c>
      <c r="EA322" s="50">
        <f>IF(OR($V322=0,$W322=0),0,IF(EA$310&gt;$V322,0,SUM($Y289:EA289)/$W322))</f>
        <v>0</v>
      </c>
      <c r="EB322" s="50">
        <f>IF(OR($V322=0,$W322=0),0,IF(EB$310&gt;$V322,0,SUM($Y289:EB289)/$W322))</f>
        <v>0</v>
      </c>
      <c r="EC322" s="50">
        <f>IF(OR($V322=0,$W322=0),0,IF(EC$310&gt;$V322,0,SUM($Y289:EC289)/$W322))</f>
        <v>0</v>
      </c>
      <c r="ED322" s="50">
        <f>IF(OR($V322=0,$W322=0),0,IF(ED$310&gt;$V322,0,SUM($Y289:ED289)/$W322))</f>
        <v>0</v>
      </c>
      <c r="EE322" s="50">
        <f>IF(OR($V322=0,$W322=0),0,IF(EE$310&gt;$V322,0,SUM($Y289:EE289)/$W322))</f>
        <v>0</v>
      </c>
      <c r="EF322" s="50">
        <f>IF(OR($V322=0,$W322=0),0,IF(EF$310&gt;$V322,0,SUM($Y289:EF289)/$W322))</f>
        <v>0</v>
      </c>
      <c r="EG322" s="50">
        <f>IF(OR($V322=0,$W322=0),0,IF(EG$310&gt;$V322,0,SUM($Y289:EG289)/$W322))</f>
        <v>0</v>
      </c>
      <c r="EH322" s="50">
        <f>IF(OR($V322=0,$W322=0),0,IF(EH$310&gt;$V322,0,SUM($Y289:EH289)/$W322))</f>
        <v>0</v>
      </c>
      <c r="EI322" s="50">
        <f>IF(OR($V322=0,$W322=0),0,IF(EI$310&gt;$V322,0,SUM($Y289:EI289)/$W322))</f>
        <v>0</v>
      </c>
      <c r="EJ322" s="50">
        <f>IF(OR($V322=0,$W322=0),0,IF(EJ$310&gt;$V322,0,SUM($Y289:EJ289)/$W322))</f>
        <v>0</v>
      </c>
      <c r="EK322" s="50">
        <f>IF(OR($V322=0,$W322=0),0,IF(EK$310&gt;$V322,0,SUM($Y289:EK289)/$W322))</f>
        <v>0</v>
      </c>
      <c r="EL322" s="50">
        <f>IF(OR($V322=0,$W322=0),0,IF(EL$310&gt;$V322,0,SUM($Y289:EL289)/$W322))</f>
        <v>0</v>
      </c>
      <c r="EM322" s="50">
        <f>IF(OR($V322=0,$W322=0),0,IF(EM$310&gt;$V322,0,SUM($Y289:EM289)/$W322))</f>
        <v>0</v>
      </c>
      <c r="EN322" s="50">
        <f>IF(OR($V322=0,$W322=0),0,IF(EN$310&gt;$V322,0,SUM($Y289:EN289)/$W322))</f>
        <v>0</v>
      </c>
      <c r="EO322" s="39">
        <v>51</v>
      </c>
      <c r="EP322" s="39">
        <v>51</v>
      </c>
      <c r="EQ322" s="39">
        <v>51</v>
      </c>
      <c r="ER322" s="39">
        <v>51</v>
      </c>
      <c r="ES322" s="39">
        <v>51</v>
      </c>
      <c r="ET322" s="39">
        <v>51</v>
      </c>
      <c r="EU322" s="39">
        <v>51</v>
      </c>
      <c r="EV322" s="39">
        <v>51</v>
      </c>
      <c r="EW322" s="39">
        <v>51</v>
      </c>
      <c r="EX322" s="39">
        <v>51</v>
      </c>
    </row>
    <row r="323" spans="1:154" ht="12" customHeight="1" x14ac:dyDescent="0.35">
      <c r="A323" s="67">
        <v>46</v>
      </c>
      <c r="B323" s="1438">
        <f t="shared" si="144"/>
        <v>1400</v>
      </c>
      <c r="C323" s="1440">
        <v>46</v>
      </c>
      <c r="D323" s="82"/>
      <c r="E323" s="82"/>
      <c r="F323" s="82"/>
      <c r="G323" s="1448"/>
      <c r="H323" s="1448"/>
      <c r="I323" s="1448"/>
      <c r="J323" s="1448"/>
      <c r="K323" s="1668"/>
      <c r="L323" s="1668"/>
      <c r="M323" s="1668"/>
      <c r="N323" s="1669"/>
      <c r="O323" s="1669"/>
      <c r="P323" s="1673"/>
      <c r="Q323" s="1671"/>
      <c r="R323" s="1671"/>
      <c r="S323" s="1671"/>
      <c r="T323" s="1667"/>
      <c r="U323" s="1672"/>
      <c r="V323" s="1636">
        <f t="shared" si="145"/>
        <v>0</v>
      </c>
      <c r="W323" s="102">
        <f t="shared" si="146"/>
        <v>0</v>
      </c>
      <c r="X323" s="381">
        <f t="shared" si="147"/>
        <v>0</v>
      </c>
      <c r="Y323" s="1645">
        <f>IF(OR($V323=0,$W323=0),0,IF(Y$310&gt;$V323,0,SUM($Y290:Y290)/$W323))</f>
        <v>0</v>
      </c>
      <c r="Z323" s="1646">
        <f>IF(OR($V323=0,$W323=0),0,IF(Z$310&gt;$V323,0,SUM($Y290:Z290)/$W323))</f>
        <v>0</v>
      </c>
      <c r="AA323" s="1646">
        <f>IF(OR($V323=0,$W323=0),0,IF(AA$310&gt;$V323,0,SUM($Y290:AA290)/$W323))</f>
        <v>0</v>
      </c>
      <c r="AB323" s="1646">
        <f>IF(OR($V323=0,$W323=0),0,IF(AB$310&gt;$V323,0,SUM($Y290:AB290)/$W323))</f>
        <v>0</v>
      </c>
      <c r="AC323" s="1646">
        <f>IF(OR($V323=0,$W323=0),0,IF(AC$310&gt;$V323,0,SUM($Y290:AC290)/$W323))</f>
        <v>0</v>
      </c>
      <c r="AD323" s="1646">
        <f>IF(OR($V323=0,$W323=0),0,IF(AD$310&gt;$V323,0,SUM($Y290:AD290)/$W323))</f>
        <v>0</v>
      </c>
      <c r="AE323" s="1646">
        <f>IF(OR($V323=0,$W323=0),0,IF(AE$310&gt;$V323,0,SUM($Y290:AE290)/$W323))</f>
        <v>0</v>
      </c>
      <c r="AF323" s="1155">
        <f>IF(OR($V323=0,$W323=0),0,IF(AF$310&gt;$V323,0,SUM($Y290:AF290)/$W323))</f>
        <v>0</v>
      </c>
      <c r="AG323" s="1155">
        <f>IF(OR($V323=0,$W323=0),0,IF(AG$310&gt;$V323,0,SUM($Y290:AG290)/$W323))</f>
        <v>0</v>
      </c>
      <c r="AH323" s="1155">
        <f>IF(OR($V323=0,$W323=0),0,IF(AH$310&gt;$V323,0,SUM($Y290:AH290)/$W323))</f>
        <v>0</v>
      </c>
      <c r="AI323" s="1155">
        <f>IF(OR($V323=0,$W323=0),0,IF(AI$310&gt;$V323,0,SUM($Y290:AI290)/$W323))</f>
        <v>0</v>
      </c>
      <c r="AJ323" s="1155">
        <f>IF(OR($V323=0,$W323=0),0,IF(AJ$310&gt;$V323,0,SUM($Y290:AJ290)/$W323))</f>
        <v>0</v>
      </c>
      <c r="AK323" s="1155">
        <f>IF(OR($V323=0,$W323=0),0,IF(AK$310&gt;$V323,0,SUM($Y290:AK290)/$W323))</f>
        <v>0</v>
      </c>
      <c r="AL323" s="1155">
        <f>IF(OR($V323=0,$W323=0),0,IF(AL$310&gt;$V323,0,SUM($Y290:AL290)/$W323))</f>
        <v>0</v>
      </c>
      <c r="AM323" s="1155">
        <f>IF(OR($V323=0,$W323=0),0,IF(AM$310&gt;$V323,0,SUM($Y290:AM290)/$W323))</f>
        <v>0</v>
      </c>
      <c r="AN323" s="1155">
        <f>IF(OR($V323=0,$W323=0),0,IF(AN$310&gt;$V323,0,SUM($Y290:AN290)/$W323))</f>
        <v>0</v>
      </c>
      <c r="AO323" s="1155">
        <f>IF(OR($V323=0,$W323=0),0,IF(AO$310&gt;$V323,0,SUM($Y290:AO290)/$W323))</f>
        <v>0</v>
      </c>
      <c r="AP323" s="1155">
        <f>IF(OR($V323=0,$W323=0),0,IF(AP$310&gt;$V323,0,SUM($Y290:AP290)/$W323))</f>
        <v>0</v>
      </c>
      <c r="AQ323" s="1155">
        <f>IF(OR($V323=0,$W323=0),0,IF(AQ$310&gt;$V323,0,SUM($Y290:AQ290)/$W323))</f>
        <v>0</v>
      </c>
      <c r="AR323" s="1155">
        <f>IF(OR($V323=0,$W323=0),0,IF(AR$310&gt;$V323,0,SUM($Y290:AR290)/$W323))</f>
        <v>0</v>
      </c>
      <c r="AS323" s="1155">
        <f>IF(OR($V323=0,$W323=0),0,IF(AS$310&gt;$V323,0,SUM($Y290:AS290)/$W323))</f>
        <v>0</v>
      </c>
      <c r="AT323" s="1155">
        <f>IF(OR($V323=0,$W323=0),0,IF(AT$310&gt;$V323,0,SUM($Y290:AT290)/$W323))</f>
        <v>0</v>
      </c>
      <c r="AU323" s="1155">
        <f>IF(OR($V323=0,$W323=0),0,IF(AU$310&gt;$V323,0,SUM($Y290:AU290)/$W323))</f>
        <v>0</v>
      </c>
      <c r="AV323" s="1155">
        <f>IF(OR($V323=0,$W323=0),0,IF(AV$310&gt;$V323,0,SUM($Y290:AV290)/$W323))</f>
        <v>0</v>
      </c>
      <c r="AW323" s="1155">
        <f>IF(OR($V323=0,$W323=0),0,IF(AW$310&gt;$V323,0,SUM($Y290:AW290)/$W323))</f>
        <v>0</v>
      </c>
      <c r="AX323" s="1155">
        <f>IF(OR($V323=0,$W323=0),0,IF(AX$310&gt;$V323,0,SUM($Y290:AX290)/$W323))</f>
        <v>0</v>
      </c>
      <c r="AY323" s="1155">
        <f>IF(OR($V323=0,$W323=0),0,IF(AY$310&gt;$V323,0,SUM($Y290:AY290)/$W323))</f>
        <v>0</v>
      </c>
      <c r="AZ323" s="1155">
        <f>IF(OR($V323=0,$W323=0),0,IF(AZ$310&gt;$V323,0,SUM($Y290:AZ290)/$W323))</f>
        <v>0</v>
      </c>
      <c r="BA323" s="1155">
        <f>IF(OR($V323=0,$W323=0),0,IF(BA$310&gt;$V323,0,SUM($Y290:BA290)/$W323))</f>
        <v>0</v>
      </c>
      <c r="BB323" s="1155">
        <f>IF(OR($V323=0,$W323=0),0,IF(BB$310&gt;$V323,0,SUM($Y290:BB290)/$W323))</f>
        <v>0</v>
      </c>
      <c r="BC323" s="1155">
        <f>IF(OR($V323=0,$W323=0),0,IF(BC$310&gt;$V323,0,SUM($Y290:BC290)/$W323))</f>
        <v>0</v>
      </c>
      <c r="BD323" s="1155">
        <f>IF(OR($V323=0,$W323=0),0,IF(BD$310&gt;$V323,0,SUM($Y290:BD290)/$W323))</f>
        <v>0</v>
      </c>
      <c r="BE323" s="1155">
        <f>IF(OR($V323=0,$W323=0),0,IF(BE$310&gt;$V323,0,SUM($Y290:BE290)/$W323))</f>
        <v>0</v>
      </c>
      <c r="BF323" s="1155">
        <f>IF(OR($V323=0,$W323=0),0,IF(BF$310&gt;$V323,0,SUM($Y290:BF290)/$W323))</f>
        <v>0</v>
      </c>
      <c r="BG323" s="1155">
        <f>IF(OR($V323=0,$W323=0),0,IF(BG$310&gt;$V323,0,SUM($Y290:BG290)/$W323))</f>
        <v>0</v>
      </c>
      <c r="BH323" s="1155">
        <f>IF(OR($V323=0,$W323=0),0,IF(BH$310&gt;$V323,0,SUM($Y290:BH290)/$W323))</f>
        <v>0</v>
      </c>
      <c r="BI323" s="1155">
        <f>IF(OR($V323=0,$W323=0),0,IF(BI$310&gt;$V323,0,SUM($Y290:BI290)/$W323))</f>
        <v>0</v>
      </c>
      <c r="BJ323" s="1155">
        <f>IF(OR($V323=0,$W323=0),0,IF(BJ$310&gt;$V323,0,SUM($Y290:BJ290)/$W323))</f>
        <v>0</v>
      </c>
      <c r="BK323" s="1155">
        <f>IF(OR($V323=0,$W323=0),0,IF(BK$310&gt;$V323,0,SUM($Y290:BK290)/$W323))</f>
        <v>0</v>
      </c>
      <c r="BL323" s="1155">
        <f>IF(OR($V323=0,$W323=0),0,IF(BL$310&gt;$V323,0,SUM($Y290:BL290)/$W323))</f>
        <v>0</v>
      </c>
      <c r="BM323" s="1155">
        <f>IF(OR($V323=0,$W323=0),0,IF(BM$310&gt;$V323,0,SUM($Y290:BM290)/$W323))</f>
        <v>0</v>
      </c>
      <c r="BN323" s="1155">
        <f>IF(OR($V323=0,$W323=0),0,IF(BN$310&gt;$V323,0,SUM($Y290:BN290)/$W323))</f>
        <v>0</v>
      </c>
      <c r="BO323" s="1155">
        <f>IF(OR($V323=0,$W323=0),0,IF(BO$310&gt;$V323,0,SUM($Y290:BO290)/$W323))</f>
        <v>0</v>
      </c>
      <c r="BP323" s="1155">
        <f>IF(OR($V323=0,$W323=0),0,IF(BP$310&gt;$V323,0,SUM($Y290:BP290)/$W323))</f>
        <v>0</v>
      </c>
      <c r="BQ323" s="1155">
        <f>IF(OR($V323=0,$W323=0),0,IF(BQ$310&gt;$V323,0,SUM($Y290:BQ290)/$W323))</f>
        <v>0</v>
      </c>
      <c r="BR323" s="1155">
        <f>IF(OR($V323=0,$W323=0),0,IF(BR$310&gt;$V323,0,SUM($Y290:BR290)/$W323))</f>
        <v>0</v>
      </c>
      <c r="BS323" s="1155">
        <f>IF(OR($V323=0,$W323=0),0,IF(BS$310&gt;$V323,0,SUM($Y290:BS290)/$W323))</f>
        <v>0</v>
      </c>
      <c r="BT323" s="1155">
        <f>IF(OR($V323=0,$W323=0),0,IF(BT$310&gt;$V323,0,SUM($Y290:BT290)/$W323))</f>
        <v>0</v>
      </c>
      <c r="BU323" s="1155">
        <f>IF(OR($V323=0,$W323=0),0,IF(BU$310&gt;$V323,0,SUM($Y290:BU290)/$W323))</f>
        <v>0</v>
      </c>
      <c r="BV323" s="1155">
        <f>IF(OR($V323=0,$W323=0),0,IF(BV$310&gt;$V323,0,SUM($Y290:BV290)/$W323))</f>
        <v>0</v>
      </c>
      <c r="BW323" s="1155">
        <f>IF(OR($V323=0,$W323=0),0,IF(BW$310&gt;$V323,0,SUM($Y290:BW290)/$W323))</f>
        <v>0</v>
      </c>
      <c r="BX323" s="1457">
        <f>IF(OR($V323=0,$W323=0),0,IF(BX$310&gt;$V323,0,SUM($Y290:BX290)/$W323))</f>
        <v>0</v>
      </c>
      <c r="BY323" s="1457">
        <f>IF(OR($V323=0,$W323=0),0,IF(BY$310&gt;$V323,0,SUM($Y290:BY290)/$W323))</f>
        <v>0</v>
      </c>
      <c r="BZ323" s="1162">
        <f>IF(OR($V323=0,$W323=0),0,IF(BZ$310&gt;$V323,0,SUM($Y290:BZ290)/$W323))</f>
        <v>0</v>
      </c>
      <c r="CA323" s="1162">
        <f>IF(OR($V323=0,$W323=0),0,IF(CA$310&gt;$V323,0,SUM($Y290:CA290)/$W323))</f>
        <v>0</v>
      </c>
      <c r="CB323" s="1162">
        <f>IF(OR($V323=0,$W323=0),0,IF(CB$310&gt;$V323,0,SUM($Y290:CB290)/$W323))</f>
        <v>0</v>
      </c>
      <c r="CC323" s="1162">
        <f>IF(OR($V323=0,$W323=0),0,IF(CC$310&gt;$V323,0,SUM($Y290:CC290)/$W323))</f>
        <v>0</v>
      </c>
      <c r="CD323" s="1162">
        <f>IF(OR($V323=0,$W323=0),0,IF(CD$310&gt;$V323,0,SUM($Y290:CD290)/$W323))</f>
        <v>0</v>
      </c>
      <c r="CE323" s="1162">
        <f>IF(OR($V323=0,$W323=0),0,IF(CE$310&gt;$V323,0,SUM($Y290:CE290)/$W323))</f>
        <v>0</v>
      </c>
      <c r="CF323" s="1162">
        <f>IF(OR($V323=0,$W323=0),0,IF(CF$310&gt;$V323,0,SUM($Y290:CF290)/$W323))</f>
        <v>0</v>
      </c>
      <c r="CG323" s="1162">
        <f>IF(OR($V323=0,$W323=0),0,IF(CG$310&gt;$V323,0,SUM($Y290:CG290)/$W323))</f>
        <v>0</v>
      </c>
      <c r="CH323" s="1162">
        <f>IF(OR($V323=0,$W323=0),0,IF(CH$310&gt;$V323,0,SUM($Y290:CH290)/$W323))</f>
        <v>0</v>
      </c>
      <c r="CI323" s="1162">
        <f>IF(OR($V323=0,$W323=0),0,IF(CI$310&gt;$V323,0,SUM($Y290:CI290)/$W323))</f>
        <v>0</v>
      </c>
      <c r="CJ323" s="1162">
        <f>IF(OR($V323=0,$W323=0),0,IF(CJ$310&gt;$V323,0,SUM($Y290:CJ290)/$W323))</f>
        <v>0</v>
      </c>
      <c r="CK323" s="1162">
        <f>IF(OR($V323=0,$W323=0),0,IF(CK$310&gt;$V323,0,SUM($Y290:CK290)/$W323))</f>
        <v>0</v>
      </c>
      <c r="CL323" s="1162">
        <f>IF(OR($V323=0,$W323=0),0,IF(CL$310&gt;$V323,0,SUM($Y290:CL290)/$W323))</f>
        <v>0</v>
      </c>
      <c r="CM323" s="1162">
        <f>IF(OR($V323=0,$W323=0),0,IF(CM$310&gt;$V323,0,SUM($Y290:CM290)/$W323))</f>
        <v>0</v>
      </c>
      <c r="CN323" s="1162">
        <f>IF(OR($V323=0,$W323=0),0,IF(CN$310&gt;$V323,0,SUM($Y290:CN290)/$W323))</f>
        <v>0</v>
      </c>
      <c r="CO323" s="1162">
        <f>IF(OR($V323=0,$W323=0),0,IF(CO$310&gt;$V323,0,SUM($Y290:CO290)/$W323))</f>
        <v>0</v>
      </c>
      <c r="CP323" s="1162">
        <f>IF(OR($V323=0,$W323=0),0,IF(CP$310&gt;$V323,0,SUM($Y290:CP290)/$W323))</f>
        <v>0</v>
      </c>
      <c r="CQ323" s="48">
        <f>IF(OR($V323=0,$W323=0),0,IF(CQ$310&gt;$V323,0,SUM($Y290:CQ290)/$W323))</f>
        <v>0</v>
      </c>
      <c r="CR323" s="48">
        <f>IF(OR($V323=0,$W323=0),0,IF(CR$310&gt;$V323,0,SUM($Y290:CR290)/$W323))</f>
        <v>0</v>
      </c>
      <c r="CS323" s="48">
        <f>IF(OR($V323=0,$W323=0),0,IF(CS$310&gt;$V323,0,SUM($Y290:CS290)/$W323))</f>
        <v>0</v>
      </c>
      <c r="CT323" s="48">
        <f>IF(OR($V323=0,$W323=0),0,IF(CT$310&gt;$V323,0,SUM($Y290:CT290)/$W323))</f>
        <v>0</v>
      </c>
      <c r="CU323" s="48">
        <f>IF(OR($V323=0,$W323=0),0,IF(CU$310&gt;$V323,0,SUM($Y290:CU290)/$W323))</f>
        <v>0</v>
      </c>
      <c r="CV323" s="48">
        <f>IF(OR($V323=0,$W323=0),0,IF(CV$310&gt;$V323,0,SUM($Y290:CV290)/$W323))</f>
        <v>0</v>
      </c>
      <c r="CW323" s="48">
        <f>IF(OR($V323=0,$W323=0),0,IF(CW$310&gt;$V323,0,SUM($Y290:CW290)/$W323))</f>
        <v>0</v>
      </c>
      <c r="CX323" s="48">
        <f>IF(OR($V323=0,$W323=0),0,IF(CX$310&gt;$V323,0,SUM($Y290:CX290)/$W323))</f>
        <v>0</v>
      </c>
      <c r="CY323" s="48">
        <f>IF(OR($V323=0,$W323=0),0,IF(CY$310&gt;$V323,0,SUM($Y290:CY290)/$W323))</f>
        <v>0</v>
      </c>
      <c r="CZ323" s="48">
        <f>IF(OR($V323=0,$W323=0),0,IF(CZ$310&gt;$V323,0,SUM($Y290:CZ290)/$W323))</f>
        <v>0</v>
      </c>
      <c r="DA323" s="48">
        <f>IF(OR($V323=0,$W323=0),0,IF(DA$310&gt;$V323,0,SUM($Y290:DA290)/$W323))</f>
        <v>0</v>
      </c>
      <c r="DB323" s="48">
        <f>IF(OR($V323=0,$W323=0),0,IF(DB$310&gt;$V323,0,SUM($Y290:DB290)/$W323))</f>
        <v>0</v>
      </c>
      <c r="DC323" s="48">
        <f>IF(OR($V323=0,$W323=0),0,IF(DC$310&gt;$V323,0,SUM($Y290:DC290)/$W323))</f>
        <v>0</v>
      </c>
      <c r="DD323" s="48">
        <f>IF(OR($V323=0,$W323=0),0,IF(DD$310&gt;$V323,0,SUM($Y290:DD290)/$W323))</f>
        <v>0</v>
      </c>
      <c r="DE323" s="48">
        <f>IF(OR($V323=0,$W323=0),0,IF(DE$310&gt;$V323,0,SUM($Y290:DE290)/$W323))</f>
        <v>0</v>
      </c>
      <c r="DF323" s="48">
        <f>IF(OR($V323=0,$W323=0),0,IF(DF$310&gt;$V323,0,SUM($Y290:DF290)/$W323))</f>
        <v>0</v>
      </c>
      <c r="DG323" s="48">
        <f>IF(OR($V323=0,$W323=0),0,IF(DG$310&gt;$V323,0,SUM($Y290:DG290)/$W323))</f>
        <v>0</v>
      </c>
      <c r="DH323" s="48">
        <f>IF(OR($V323=0,$W323=0),0,IF(DH$310&gt;$V323,0,SUM($Y290:DH290)/$W323))</f>
        <v>0</v>
      </c>
      <c r="DI323" s="48">
        <f>IF(OR($V323=0,$W323=0),0,IF(DI$310&gt;$V323,0,SUM($Y290:DI290)/$W323))</f>
        <v>0</v>
      </c>
      <c r="DJ323" s="48">
        <f>IF(OR($V323=0,$W323=0),0,IF(DJ$310&gt;$V323,0,SUM($Y290:DJ290)/$W323))</f>
        <v>0</v>
      </c>
      <c r="DK323" s="48">
        <f>IF(OR($V323=0,$W323=0),0,IF(DK$310&gt;$V323,0,SUM($Y290:DK290)/$W323))</f>
        <v>0</v>
      </c>
      <c r="DL323" s="48">
        <f>IF(OR($V323=0,$W323=0),0,IF(DL$310&gt;$V323,0,SUM($Y290:DL290)/$W323))</f>
        <v>0</v>
      </c>
      <c r="DM323" s="48">
        <f>IF(OR($V323=0,$W323=0),0,IF(DM$310&gt;$V323,0,SUM($Y290:DM290)/$W323))</f>
        <v>0</v>
      </c>
      <c r="DN323" s="48">
        <f>IF(OR($V323=0,$W323=0),0,IF(DN$310&gt;$V323,0,SUM($Y290:DN290)/$W323))</f>
        <v>0</v>
      </c>
      <c r="DO323" s="48">
        <f>IF(OR($V323=0,$W323=0),0,IF(DO$310&gt;$V323,0,SUM($Y290:DO290)/$W323))</f>
        <v>0</v>
      </c>
      <c r="DP323" s="48">
        <f>IF(OR($V323=0,$W323=0),0,IF(DP$310&gt;$V323,0,SUM($Y290:DP290)/$W323))</f>
        <v>0</v>
      </c>
      <c r="DQ323" s="48">
        <f>IF(OR($V323=0,$W323=0),0,IF(DQ$310&gt;$V323,0,SUM($Y290:DQ290)/$W323))</f>
        <v>0</v>
      </c>
      <c r="DR323" s="50">
        <f>IF(OR($V323=0,$W323=0),0,IF(DR$310&gt;$V323,0,SUM($Y290:DR290)/$W323))</f>
        <v>0</v>
      </c>
      <c r="DS323" s="50">
        <f>IF(OR($V323=0,$W323=0),0,IF(DS$310&gt;$V323,0,SUM($Y290:DS290)/$W323))</f>
        <v>0</v>
      </c>
      <c r="DT323" s="50">
        <f>IF(OR($V323=0,$W323=0),0,IF(DT$310&gt;$V323,0,SUM($Y290:DT290)/$W323))</f>
        <v>0</v>
      </c>
      <c r="DU323" s="50">
        <f>IF(OR($V323=0,$W323=0),0,IF(DU$310&gt;$V323,0,SUM($Y290:DU290)/$W323))</f>
        <v>0</v>
      </c>
      <c r="DV323" s="50">
        <f>IF(OR($V323=0,$W323=0),0,IF(DV$310&gt;$V323,0,SUM($Y290:DV290)/$W323))</f>
        <v>0</v>
      </c>
      <c r="DW323" s="50">
        <f>IF(OR($V323=0,$W323=0),0,IF(DW$310&gt;$V323,0,SUM($Y290:DW290)/$W323))</f>
        <v>0</v>
      </c>
      <c r="DX323" s="50">
        <f>IF(OR($V323=0,$W323=0),0,IF(DX$310&gt;$V323,0,SUM($Y290:DX290)/$W323))</f>
        <v>0</v>
      </c>
      <c r="DY323" s="50">
        <f>IF(OR($V323=0,$W323=0),0,IF(DY$310&gt;$V323,0,SUM($Y290:DY290)/$W323))</f>
        <v>0</v>
      </c>
      <c r="DZ323" s="50">
        <f>IF(OR($V323=0,$W323=0),0,IF(DZ$310&gt;$V323,0,SUM($Y290:DZ290)/$W323))</f>
        <v>0</v>
      </c>
      <c r="EA323" s="50">
        <f>IF(OR($V323=0,$W323=0),0,IF(EA$310&gt;$V323,0,SUM($Y290:EA290)/$W323))</f>
        <v>0</v>
      </c>
      <c r="EB323" s="50">
        <f>IF(OR($V323=0,$W323=0),0,IF(EB$310&gt;$V323,0,SUM($Y290:EB290)/$W323))</f>
        <v>0</v>
      </c>
      <c r="EC323" s="50">
        <f>IF(OR($V323=0,$W323=0),0,IF(EC$310&gt;$V323,0,SUM($Y290:EC290)/$W323))</f>
        <v>0</v>
      </c>
      <c r="ED323" s="50">
        <f>IF(OR($V323=0,$W323=0),0,IF(ED$310&gt;$V323,0,SUM($Y290:ED290)/$W323))</f>
        <v>0</v>
      </c>
      <c r="EE323" s="50">
        <f>IF(OR($V323=0,$W323=0),0,IF(EE$310&gt;$V323,0,SUM($Y290:EE290)/$W323))</f>
        <v>0</v>
      </c>
      <c r="EF323" s="50">
        <f>IF(OR($V323=0,$W323=0),0,IF(EF$310&gt;$V323,0,SUM($Y290:EF290)/$W323))</f>
        <v>0</v>
      </c>
      <c r="EG323" s="50">
        <f>IF(OR($V323=0,$W323=0),0,IF(EG$310&gt;$V323,0,SUM($Y290:EG290)/$W323))</f>
        <v>0</v>
      </c>
      <c r="EH323" s="50">
        <f>IF(OR($V323=0,$W323=0),0,IF(EH$310&gt;$V323,0,SUM($Y290:EH290)/$W323))</f>
        <v>0</v>
      </c>
      <c r="EI323" s="50">
        <f>IF(OR($V323=0,$W323=0),0,IF(EI$310&gt;$V323,0,SUM($Y290:EI290)/$W323))</f>
        <v>0</v>
      </c>
      <c r="EJ323" s="50">
        <f>IF(OR($V323=0,$W323=0),0,IF(EJ$310&gt;$V323,0,SUM($Y290:EJ290)/$W323))</f>
        <v>0</v>
      </c>
      <c r="EK323" s="50">
        <f>IF(OR($V323=0,$W323=0),0,IF(EK$310&gt;$V323,0,SUM($Y290:EK290)/$W323))</f>
        <v>0</v>
      </c>
      <c r="EL323" s="50">
        <f>IF(OR($V323=0,$W323=0),0,IF(EL$310&gt;$V323,0,SUM($Y290:EL290)/$W323))</f>
        <v>0</v>
      </c>
      <c r="EM323" s="50">
        <f>IF(OR($V323=0,$W323=0),0,IF(EM$310&gt;$V323,0,SUM($Y290:EM290)/$W323))</f>
        <v>0</v>
      </c>
      <c r="EN323" s="50">
        <f>IF(OR($V323=0,$W323=0),0,IF(EN$310&gt;$V323,0,SUM($Y290:EN290)/$W323))</f>
        <v>0</v>
      </c>
      <c r="EO323" s="39">
        <v>51</v>
      </c>
      <c r="EP323" s="39">
        <v>51</v>
      </c>
      <c r="EQ323" s="39">
        <v>51</v>
      </c>
      <c r="ER323" s="39">
        <v>51</v>
      </c>
      <c r="ES323" s="39">
        <v>51</v>
      </c>
      <c r="ET323" s="39">
        <v>51</v>
      </c>
      <c r="EU323" s="39">
        <v>51</v>
      </c>
      <c r="EV323" s="39">
        <v>51</v>
      </c>
      <c r="EW323" s="39">
        <v>51</v>
      </c>
      <c r="EX323" s="39">
        <v>51</v>
      </c>
    </row>
    <row r="324" spans="1:154" ht="12" customHeight="1" x14ac:dyDescent="0.35">
      <c r="A324" s="67">
        <v>47</v>
      </c>
      <c r="B324" s="1438">
        <f t="shared" si="144"/>
        <v>1430</v>
      </c>
      <c r="C324" s="1440">
        <v>47</v>
      </c>
      <c r="D324" s="82"/>
      <c r="E324" s="82"/>
      <c r="F324" s="82"/>
      <c r="G324" s="1448"/>
      <c r="H324" s="1448"/>
      <c r="I324" s="1448"/>
      <c r="J324" s="1448"/>
      <c r="K324" s="1668"/>
      <c r="L324" s="1668"/>
      <c r="M324" s="1668"/>
      <c r="N324" s="1669"/>
      <c r="O324" s="1669"/>
      <c r="P324" s="1670"/>
      <c r="Q324" s="1671"/>
      <c r="R324" s="1671"/>
      <c r="S324" s="1671"/>
      <c r="T324" s="1667"/>
      <c r="U324" s="1672"/>
      <c r="V324" s="1636">
        <f t="shared" si="145"/>
        <v>0</v>
      </c>
      <c r="W324" s="102">
        <f t="shared" si="146"/>
        <v>0</v>
      </c>
      <c r="X324" s="381">
        <f t="shared" si="147"/>
        <v>0</v>
      </c>
      <c r="Y324" s="1645">
        <f>IF(OR($V324=0,$W324=0),0,IF(Y$310&gt;$V324,0,SUM($Y291:Y291)/$W324))</f>
        <v>0</v>
      </c>
      <c r="Z324" s="1646">
        <f>IF(OR($V324=0,$W324=0),0,IF(Z$310&gt;$V324,0,SUM($Y291:Z291)/$W324))</f>
        <v>0</v>
      </c>
      <c r="AA324" s="1646">
        <f>IF(OR($V324=0,$W324=0),0,IF(AA$310&gt;$V324,0,SUM($Y291:AA291)/$W324))</f>
        <v>0</v>
      </c>
      <c r="AB324" s="1646">
        <f>IF(OR($V324=0,$W324=0),0,IF(AB$310&gt;$V324,0,SUM($Y291:AB291)/$W324))</f>
        <v>0</v>
      </c>
      <c r="AC324" s="1646">
        <f>IF(OR($V324=0,$W324=0),0,IF(AC$310&gt;$V324,0,SUM($Y291:AC291)/$W324))</f>
        <v>0</v>
      </c>
      <c r="AD324" s="1646">
        <f>IF(OR($V324=0,$W324=0),0,IF(AD$310&gt;$V324,0,SUM($Y291:AD291)/$W324))</f>
        <v>0</v>
      </c>
      <c r="AE324" s="1646">
        <f>IF(OR($V324=0,$W324=0),0,IF(AE$310&gt;$V324,0,SUM($Y291:AE291)/$W324))</f>
        <v>0</v>
      </c>
      <c r="AF324" s="1155">
        <f>IF(OR($V324=0,$W324=0),0,IF(AF$310&gt;$V324,0,SUM($Y291:AF291)/$W324))</f>
        <v>0</v>
      </c>
      <c r="AG324" s="1155">
        <f>IF(OR($V324=0,$W324=0),0,IF(AG$310&gt;$V324,0,SUM($Y291:AG291)/$W324))</f>
        <v>0</v>
      </c>
      <c r="AH324" s="1155">
        <f>IF(OR($V324=0,$W324=0),0,IF(AH$310&gt;$V324,0,SUM($Y291:AH291)/$W324))</f>
        <v>0</v>
      </c>
      <c r="AI324" s="1155">
        <f>IF(OR($V324=0,$W324=0),0,IF(AI$310&gt;$V324,0,SUM($Y291:AI291)/$W324))</f>
        <v>0</v>
      </c>
      <c r="AJ324" s="1155">
        <f>IF(OR($V324=0,$W324=0),0,IF(AJ$310&gt;$V324,0,SUM($Y291:AJ291)/$W324))</f>
        <v>0</v>
      </c>
      <c r="AK324" s="1155">
        <f>IF(OR($V324=0,$W324=0),0,IF(AK$310&gt;$V324,0,SUM($Y291:AK291)/$W324))</f>
        <v>0</v>
      </c>
      <c r="AL324" s="1155">
        <f>IF(OR($V324=0,$W324=0),0,IF(AL$310&gt;$V324,0,SUM($Y291:AL291)/$W324))</f>
        <v>0</v>
      </c>
      <c r="AM324" s="1155">
        <f>IF(OR($V324=0,$W324=0),0,IF(AM$310&gt;$V324,0,SUM($Y291:AM291)/$W324))</f>
        <v>0</v>
      </c>
      <c r="AN324" s="1155">
        <f>IF(OR($V324=0,$W324=0),0,IF(AN$310&gt;$V324,0,SUM($Y291:AN291)/$W324))</f>
        <v>0</v>
      </c>
      <c r="AO324" s="1155">
        <f>IF(OR($V324=0,$W324=0),0,IF(AO$310&gt;$V324,0,SUM($Y291:AO291)/$W324))</f>
        <v>0</v>
      </c>
      <c r="AP324" s="1155">
        <f>IF(OR($V324=0,$W324=0),0,IF(AP$310&gt;$V324,0,SUM($Y291:AP291)/$W324))</f>
        <v>0</v>
      </c>
      <c r="AQ324" s="1155">
        <f>IF(OR($V324=0,$W324=0),0,IF(AQ$310&gt;$V324,0,SUM($Y291:AQ291)/$W324))</f>
        <v>0</v>
      </c>
      <c r="AR324" s="1155">
        <f>IF(OR($V324=0,$W324=0),0,IF(AR$310&gt;$V324,0,SUM($Y291:AR291)/$W324))</f>
        <v>0</v>
      </c>
      <c r="AS324" s="1155">
        <f>IF(OR($V324=0,$W324=0),0,IF(AS$310&gt;$V324,0,SUM($Y291:AS291)/$W324))</f>
        <v>0</v>
      </c>
      <c r="AT324" s="1155">
        <f>IF(OR($V324=0,$W324=0),0,IF(AT$310&gt;$V324,0,SUM($Y291:AT291)/$W324))</f>
        <v>0</v>
      </c>
      <c r="AU324" s="1155">
        <f>IF(OR($V324=0,$W324=0),0,IF(AU$310&gt;$V324,0,SUM($Y291:AU291)/$W324))</f>
        <v>0</v>
      </c>
      <c r="AV324" s="1155">
        <f>IF(OR($V324=0,$W324=0),0,IF(AV$310&gt;$V324,0,SUM($Y291:AV291)/$W324))</f>
        <v>0</v>
      </c>
      <c r="AW324" s="1155">
        <f>IF(OR($V324=0,$W324=0),0,IF(AW$310&gt;$V324,0,SUM($Y291:AW291)/$W324))</f>
        <v>0</v>
      </c>
      <c r="AX324" s="1155">
        <f>IF(OR($V324=0,$W324=0),0,IF(AX$310&gt;$V324,0,SUM($Y291:AX291)/$W324))</f>
        <v>0</v>
      </c>
      <c r="AY324" s="1155">
        <f>IF(OR($V324=0,$W324=0),0,IF(AY$310&gt;$V324,0,SUM($Y291:AY291)/$W324))</f>
        <v>0</v>
      </c>
      <c r="AZ324" s="1155">
        <f>IF(OR($V324=0,$W324=0),0,IF(AZ$310&gt;$V324,0,SUM($Y291:AZ291)/$W324))</f>
        <v>0</v>
      </c>
      <c r="BA324" s="1155">
        <f>IF(OR($V324=0,$W324=0),0,IF(BA$310&gt;$V324,0,SUM($Y291:BA291)/$W324))</f>
        <v>0</v>
      </c>
      <c r="BB324" s="1155">
        <f>IF(OR($V324=0,$W324=0),0,IF(BB$310&gt;$V324,0,SUM($Y291:BB291)/$W324))</f>
        <v>0</v>
      </c>
      <c r="BC324" s="1155">
        <f>IF(OR($V324=0,$W324=0),0,IF(BC$310&gt;$V324,0,SUM($Y291:BC291)/$W324))</f>
        <v>0</v>
      </c>
      <c r="BD324" s="1155">
        <f>IF(OR($V324=0,$W324=0),0,IF(BD$310&gt;$V324,0,SUM($Y291:BD291)/$W324))</f>
        <v>0</v>
      </c>
      <c r="BE324" s="1155">
        <f>IF(OR($V324=0,$W324=0),0,IF(BE$310&gt;$V324,0,SUM($Y291:BE291)/$W324))</f>
        <v>0</v>
      </c>
      <c r="BF324" s="1155">
        <f>IF(OR($V324=0,$W324=0),0,IF(BF$310&gt;$V324,0,SUM($Y291:BF291)/$W324))</f>
        <v>0</v>
      </c>
      <c r="BG324" s="1155">
        <f>IF(OR($V324=0,$W324=0),0,IF(BG$310&gt;$V324,0,SUM($Y291:BG291)/$W324))</f>
        <v>0</v>
      </c>
      <c r="BH324" s="1155">
        <f>IF(OR($V324=0,$W324=0),0,IF(BH$310&gt;$V324,0,SUM($Y291:BH291)/$W324))</f>
        <v>0</v>
      </c>
      <c r="BI324" s="1155">
        <f>IF(OR($V324=0,$W324=0),0,IF(BI$310&gt;$V324,0,SUM($Y291:BI291)/$W324))</f>
        <v>0</v>
      </c>
      <c r="BJ324" s="1155">
        <f>IF(OR($V324=0,$W324=0),0,IF(BJ$310&gt;$V324,0,SUM($Y291:BJ291)/$W324))</f>
        <v>0</v>
      </c>
      <c r="BK324" s="1155">
        <f>IF(OR($V324=0,$W324=0),0,IF(BK$310&gt;$V324,0,SUM($Y291:BK291)/$W324))</f>
        <v>0</v>
      </c>
      <c r="BL324" s="1155">
        <f>IF(OR($V324=0,$W324=0),0,IF(BL$310&gt;$V324,0,SUM($Y291:BL291)/$W324))</f>
        <v>0</v>
      </c>
      <c r="BM324" s="1155">
        <f>IF(OR($V324=0,$W324=0),0,IF(BM$310&gt;$V324,0,SUM($Y291:BM291)/$W324))</f>
        <v>0</v>
      </c>
      <c r="BN324" s="1155">
        <f>IF(OR($V324=0,$W324=0),0,IF(BN$310&gt;$V324,0,SUM($Y291:BN291)/$W324))</f>
        <v>0</v>
      </c>
      <c r="BO324" s="1155">
        <f>IF(OR($V324=0,$W324=0),0,IF(BO$310&gt;$V324,0,SUM($Y291:BO291)/$W324))</f>
        <v>0</v>
      </c>
      <c r="BP324" s="1155">
        <f>IF(OR($V324=0,$W324=0),0,IF(BP$310&gt;$V324,0,SUM($Y291:BP291)/$W324))</f>
        <v>0</v>
      </c>
      <c r="BQ324" s="1155">
        <f>IF(OR($V324=0,$W324=0),0,IF(BQ$310&gt;$V324,0,SUM($Y291:BQ291)/$W324))</f>
        <v>0</v>
      </c>
      <c r="BR324" s="1155">
        <f>IF(OR($V324=0,$W324=0),0,IF(BR$310&gt;$V324,0,SUM($Y291:BR291)/$W324))</f>
        <v>0</v>
      </c>
      <c r="BS324" s="1155">
        <f>IF(OR($V324=0,$W324=0),0,IF(BS$310&gt;$V324,0,SUM($Y291:BS291)/$W324))</f>
        <v>0</v>
      </c>
      <c r="BT324" s="1155">
        <f>IF(OR($V324=0,$W324=0),0,IF(BT$310&gt;$V324,0,SUM($Y291:BT291)/$W324))</f>
        <v>0</v>
      </c>
      <c r="BU324" s="1155">
        <f>IF(OR($V324=0,$W324=0),0,IF(BU$310&gt;$V324,0,SUM($Y291:BU291)/$W324))</f>
        <v>0</v>
      </c>
      <c r="BV324" s="1155">
        <f>IF(OR($V324=0,$W324=0),0,IF(BV$310&gt;$V324,0,SUM($Y291:BV291)/$W324))</f>
        <v>0</v>
      </c>
      <c r="BW324" s="1155">
        <f>IF(OR($V324=0,$W324=0),0,IF(BW$310&gt;$V324,0,SUM($Y291:BW291)/$W324))</f>
        <v>0</v>
      </c>
      <c r="BX324" s="1457">
        <f>IF(OR($V324=0,$W324=0),0,IF(BX$310&gt;$V324,0,SUM($Y291:BX291)/$W324))</f>
        <v>0</v>
      </c>
      <c r="BY324" s="1457">
        <f>IF(OR($V324=0,$W324=0),0,IF(BY$310&gt;$V324,0,SUM($Y291:BY291)/$W324))</f>
        <v>0</v>
      </c>
      <c r="BZ324" s="1162">
        <f>IF(OR($V324=0,$W324=0),0,IF(BZ$310&gt;$V324,0,SUM($Y291:BZ291)/$W324))</f>
        <v>0</v>
      </c>
      <c r="CA324" s="1162">
        <f>IF(OR($V324=0,$W324=0),0,IF(CA$310&gt;$V324,0,SUM($Y291:CA291)/$W324))</f>
        <v>0</v>
      </c>
      <c r="CB324" s="1162">
        <f>IF(OR($V324=0,$W324=0),0,IF(CB$310&gt;$V324,0,SUM($Y291:CB291)/$W324))</f>
        <v>0</v>
      </c>
      <c r="CC324" s="1162">
        <f>IF(OR($V324=0,$W324=0),0,IF(CC$310&gt;$V324,0,SUM($Y291:CC291)/$W324))</f>
        <v>0</v>
      </c>
      <c r="CD324" s="1162">
        <f>IF(OR($V324=0,$W324=0),0,IF(CD$310&gt;$V324,0,SUM($Y291:CD291)/$W324))</f>
        <v>0</v>
      </c>
      <c r="CE324" s="1162">
        <f>IF(OR($V324=0,$W324=0),0,IF(CE$310&gt;$V324,0,SUM($Y291:CE291)/$W324))</f>
        <v>0</v>
      </c>
      <c r="CF324" s="1162">
        <f>IF(OR($V324=0,$W324=0),0,IF(CF$310&gt;$V324,0,SUM($Y291:CF291)/$W324))</f>
        <v>0</v>
      </c>
      <c r="CG324" s="1162">
        <f>IF(OR($V324=0,$W324=0),0,IF(CG$310&gt;$V324,0,SUM($Y291:CG291)/$W324))</f>
        <v>0</v>
      </c>
      <c r="CH324" s="1162">
        <f>IF(OR($V324=0,$W324=0),0,IF(CH$310&gt;$V324,0,SUM($Y291:CH291)/$W324))</f>
        <v>0</v>
      </c>
      <c r="CI324" s="1162">
        <f>IF(OR($V324=0,$W324=0),0,IF(CI$310&gt;$V324,0,SUM($Y291:CI291)/$W324))</f>
        <v>0</v>
      </c>
      <c r="CJ324" s="1162">
        <f>IF(OR($V324=0,$W324=0),0,IF(CJ$310&gt;$V324,0,SUM($Y291:CJ291)/$W324))</f>
        <v>0</v>
      </c>
      <c r="CK324" s="1162">
        <f>IF(OR($V324=0,$W324=0),0,IF(CK$310&gt;$V324,0,SUM($Y291:CK291)/$W324))</f>
        <v>0</v>
      </c>
      <c r="CL324" s="1162">
        <f>IF(OR($V324=0,$W324=0),0,IF(CL$310&gt;$V324,0,SUM($Y291:CL291)/$W324))</f>
        <v>0</v>
      </c>
      <c r="CM324" s="1162">
        <f>IF(OR($V324=0,$W324=0),0,IF(CM$310&gt;$V324,0,SUM($Y291:CM291)/$W324))</f>
        <v>0</v>
      </c>
      <c r="CN324" s="1162">
        <f>IF(OR($V324=0,$W324=0),0,IF(CN$310&gt;$V324,0,SUM($Y291:CN291)/$W324))</f>
        <v>0</v>
      </c>
      <c r="CO324" s="1162">
        <f>IF(OR($V324=0,$W324=0),0,IF(CO$310&gt;$V324,0,SUM($Y291:CO291)/$W324))</f>
        <v>0</v>
      </c>
      <c r="CP324" s="1162">
        <f>IF(OR($V324=0,$W324=0),0,IF(CP$310&gt;$V324,0,SUM($Y291:CP291)/$W324))</f>
        <v>0</v>
      </c>
      <c r="CQ324" s="48">
        <f>IF(OR($V324=0,$W324=0),0,IF(CQ$310&gt;$V324,0,SUM($Y291:CQ291)/$W324))</f>
        <v>0</v>
      </c>
      <c r="CR324" s="48">
        <f>IF(OR($V324=0,$W324=0),0,IF(CR$310&gt;$V324,0,SUM($Y291:CR291)/$W324))</f>
        <v>0</v>
      </c>
      <c r="CS324" s="48">
        <f>IF(OR($V324=0,$W324=0),0,IF(CS$310&gt;$V324,0,SUM($Y291:CS291)/$W324))</f>
        <v>0</v>
      </c>
      <c r="CT324" s="48">
        <f>IF(OR($V324=0,$W324=0),0,IF(CT$310&gt;$V324,0,SUM($Y291:CT291)/$W324))</f>
        <v>0</v>
      </c>
      <c r="CU324" s="48">
        <f>IF(OR($V324=0,$W324=0),0,IF(CU$310&gt;$V324,0,SUM($Y291:CU291)/$W324))</f>
        <v>0</v>
      </c>
      <c r="CV324" s="48">
        <f>IF(OR($V324=0,$W324=0),0,IF(CV$310&gt;$V324,0,SUM($Y291:CV291)/$W324))</f>
        <v>0</v>
      </c>
      <c r="CW324" s="48">
        <f>IF(OR($V324=0,$W324=0),0,IF(CW$310&gt;$V324,0,SUM($Y291:CW291)/$W324))</f>
        <v>0</v>
      </c>
      <c r="CX324" s="48">
        <f>IF(OR($V324=0,$W324=0),0,IF(CX$310&gt;$V324,0,SUM($Y291:CX291)/$W324))</f>
        <v>0</v>
      </c>
      <c r="CY324" s="48">
        <f>IF(OR($V324=0,$W324=0),0,IF(CY$310&gt;$V324,0,SUM($Y291:CY291)/$W324))</f>
        <v>0</v>
      </c>
      <c r="CZ324" s="48">
        <f>IF(OR($V324=0,$W324=0),0,IF(CZ$310&gt;$V324,0,SUM($Y291:CZ291)/$W324))</f>
        <v>0</v>
      </c>
      <c r="DA324" s="48">
        <f>IF(OR($V324=0,$W324=0),0,IF(DA$310&gt;$V324,0,SUM($Y291:DA291)/$W324))</f>
        <v>0</v>
      </c>
      <c r="DB324" s="48">
        <f>IF(OR($V324=0,$W324=0),0,IF(DB$310&gt;$V324,0,SUM($Y291:DB291)/$W324))</f>
        <v>0</v>
      </c>
      <c r="DC324" s="48">
        <f>IF(OR($V324=0,$W324=0),0,IF(DC$310&gt;$V324,0,SUM($Y291:DC291)/$W324))</f>
        <v>0</v>
      </c>
      <c r="DD324" s="48">
        <f>IF(OR($V324=0,$W324=0),0,IF(DD$310&gt;$V324,0,SUM($Y291:DD291)/$W324))</f>
        <v>0</v>
      </c>
      <c r="DE324" s="48">
        <f>IF(OR($V324=0,$W324=0),0,IF(DE$310&gt;$V324,0,SUM($Y291:DE291)/$W324))</f>
        <v>0</v>
      </c>
      <c r="DF324" s="48">
        <f>IF(OR($V324=0,$W324=0),0,IF(DF$310&gt;$V324,0,SUM($Y291:DF291)/$W324))</f>
        <v>0</v>
      </c>
      <c r="DG324" s="48">
        <f>IF(OR($V324=0,$W324=0),0,IF(DG$310&gt;$V324,0,SUM($Y291:DG291)/$W324))</f>
        <v>0</v>
      </c>
      <c r="DH324" s="48">
        <f>IF(OR($V324=0,$W324=0),0,IF(DH$310&gt;$V324,0,SUM($Y291:DH291)/$W324))</f>
        <v>0</v>
      </c>
      <c r="DI324" s="48">
        <f>IF(OR($V324=0,$W324=0),0,IF(DI$310&gt;$V324,0,SUM($Y291:DI291)/$W324))</f>
        <v>0</v>
      </c>
      <c r="DJ324" s="48">
        <f>IF(OR($V324=0,$W324=0),0,IF(DJ$310&gt;$V324,0,SUM($Y291:DJ291)/$W324))</f>
        <v>0</v>
      </c>
      <c r="DK324" s="48">
        <f>IF(OR($V324=0,$W324=0),0,IF(DK$310&gt;$V324,0,SUM($Y291:DK291)/$W324))</f>
        <v>0</v>
      </c>
      <c r="DL324" s="48">
        <f>IF(OR($V324=0,$W324=0),0,IF(DL$310&gt;$V324,0,SUM($Y291:DL291)/$W324))</f>
        <v>0</v>
      </c>
      <c r="DM324" s="48">
        <f>IF(OR($V324=0,$W324=0),0,IF(DM$310&gt;$V324,0,SUM($Y291:DM291)/$W324))</f>
        <v>0</v>
      </c>
      <c r="DN324" s="48">
        <f>IF(OR($V324=0,$W324=0),0,IF(DN$310&gt;$V324,0,SUM($Y291:DN291)/$W324))</f>
        <v>0</v>
      </c>
      <c r="DO324" s="48">
        <f>IF(OR($V324=0,$W324=0),0,IF(DO$310&gt;$V324,0,SUM($Y291:DO291)/$W324))</f>
        <v>0</v>
      </c>
      <c r="DP324" s="48">
        <f>IF(OR($V324=0,$W324=0),0,IF(DP$310&gt;$V324,0,SUM($Y291:DP291)/$W324))</f>
        <v>0</v>
      </c>
      <c r="DQ324" s="48">
        <f>IF(OR($V324=0,$W324=0),0,IF(DQ$310&gt;$V324,0,SUM($Y291:DQ291)/$W324))</f>
        <v>0</v>
      </c>
      <c r="DR324" s="50">
        <f>IF(OR($V324=0,$W324=0),0,IF(DR$310&gt;$V324,0,SUM($Y291:DR291)/$W324))</f>
        <v>0</v>
      </c>
      <c r="DS324" s="50">
        <f>IF(OR($V324=0,$W324=0),0,IF(DS$310&gt;$V324,0,SUM($Y291:DS291)/$W324))</f>
        <v>0</v>
      </c>
      <c r="DT324" s="50">
        <f>IF(OR($V324=0,$W324=0),0,IF(DT$310&gt;$V324,0,SUM($Y291:DT291)/$W324))</f>
        <v>0</v>
      </c>
      <c r="DU324" s="50">
        <f>IF(OR($V324=0,$W324=0),0,IF(DU$310&gt;$V324,0,SUM($Y291:DU291)/$W324))</f>
        <v>0</v>
      </c>
      <c r="DV324" s="50">
        <f>IF(OR($V324=0,$W324=0),0,IF(DV$310&gt;$V324,0,SUM($Y291:DV291)/$W324))</f>
        <v>0</v>
      </c>
      <c r="DW324" s="50">
        <f>IF(OR($V324=0,$W324=0),0,IF(DW$310&gt;$V324,0,SUM($Y291:DW291)/$W324))</f>
        <v>0</v>
      </c>
      <c r="DX324" s="50">
        <f>IF(OR($V324=0,$W324=0),0,IF(DX$310&gt;$V324,0,SUM($Y291:DX291)/$W324))</f>
        <v>0</v>
      </c>
      <c r="DY324" s="50">
        <f>IF(OR($V324=0,$W324=0),0,IF(DY$310&gt;$V324,0,SUM($Y291:DY291)/$W324))</f>
        <v>0</v>
      </c>
      <c r="DZ324" s="50">
        <f>IF(OR($V324=0,$W324=0),0,IF(DZ$310&gt;$V324,0,SUM($Y291:DZ291)/$W324))</f>
        <v>0</v>
      </c>
      <c r="EA324" s="50">
        <f>IF(OR($V324=0,$W324=0),0,IF(EA$310&gt;$V324,0,SUM($Y291:EA291)/$W324))</f>
        <v>0</v>
      </c>
      <c r="EB324" s="50">
        <f>IF(OR($V324=0,$W324=0),0,IF(EB$310&gt;$V324,0,SUM($Y291:EB291)/$W324))</f>
        <v>0</v>
      </c>
      <c r="EC324" s="50">
        <f>IF(OR($V324=0,$W324=0),0,IF(EC$310&gt;$V324,0,SUM($Y291:EC291)/$W324))</f>
        <v>0</v>
      </c>
      <c r="ED324" s="50">
        <f>IF(OR($V324=0,$W324=0),0,IF(ED$310&gt;$V324,0,SUM($Y291:ED291)/$W324))</f>
        <v>0</v>
      </c>
      <c r="EE324" s="50">
        <f>IF(OR($V324=0,$W324=0),0,IF(EE$310&gt;$V324,0,SUM($Y291:EE291)/$W324))</f>
        <v>0</v>
      </c>
      <c r="EF324" s="50">
        <f>IF(OR($V324=0,$W324=0),0,IF(EF$310&gt;$V324,0,SUM($Y291:EF291)/$W324))</f>
        <v>0</v>
      </c>
      <c r="EG324" s="50">
        <f>IF(OR($V324=0,$W324=0),0,IF(EG$310&gt;$V324,0,SUM($Y291:EG291)/$W324))</f>
        <v>0</v>
      </c>
      <c r="EH324" s="50">
        <f>IF(OR($V324=0,$W324=0),0,IF(EH$310&gt;$V324,0,SUM($Y291:EH291)/$W324))</f>
        <v>0</v>
      </c>
      <c r="EI324" s="50">
        <f>IF(OR($V324=0,$W324=0),0,IF(EI$310&gt;$V324,0,SUM($Y291:EI291)/$W324))</f>
        <v>0</v>
      </c>
      <c r="EJ324" s="50">
        <f>IF(OR($V324=0,$W324=0),0,IF(EJ$310&gt;$V324,0,SUM($Y291:EJ291)/$W324))</f>
        <v>0</v>
      </c>
      <c r="EK324" s="50">
        <f>IF(OR($V324=0,$W324=0),0,IF(EK$310&gt;$V324,0,SUM($Y291:EK291)/$W324))</f>
        <v>0</v>
      </c>
      <c r="EL324" s="50">
        <f>IF(OR($V324=0,$W324=0),0,IF(EL$310&gt;$V324,0,SUM($Y291:EL291)/$W324))</f>
        <v>0</v>
      </c>
      <c r="EM324" s="50">
        <f>IF(OR($V324=0,$W324=0),0,IF(EM$310&gt;$V324,0,SUM($Y291:EM291)/$W324))</f>
        <v>0</v>
      </c>
      <c r="EN324" s="50">
        <f>IF(OR($V324=0,$W324=0),0,IF(EN$310&gt;$V324,0,SUM($Y291:EN291)/$W324))</f>
        <v>0</v>
      </c>
      <c r="EO324" s="39">
        <v>51</v>
      </c>
      <c r="EP324" s="39">
        <v>51</v>
      </c>
      <c r="EQ324" s="39">
        <v>51</v>
      </c>
      <c r="ER324" s="39">
        <v>51</v>
      </c>
      <c r="ES324" s="39">
        <v>51</v>
      </c>
      <c r="ET324" s="39">
        <v>51</v>
      </c>
      <c r="EU324" s="39">
        <v>51</v>
      </c>
      <c r="EV324" s="39">
        <v>51</v>
      </c>
      <c r="EW324" s="39">
        <v>51</v>
      </c>
      <c r="EX324" s="39">
        <v>51</v>
      </c>
    </row>
    <row r="325" spans="1:154" ht="12" customHeight="1" x14ac:dyDescent="0.35">
      <c r="A325" s="67">
        <v>48</v>
      </c>
      <c r="B325" s="1438">
        <f t="shared" si="144"/>
        <v>1461</v>
      </c>
      <c r="C325" s="1440">
        <v>48</v>
      </c>
      <c r="D325" s="82"/>
      <c r="E325" s="82"/>
      <c r="F325" s="82"/>
      <c r="G325" s="1448"/>
      <c r="H325" s="1448"/>
      <c r="I325" s="1448"/>
      <c r="J325" s="1448"/>
      <c r="K325" s="1668"/>
      <c r="L325" s="1668"/>
      <c r="M325" s="1668"/>
      <c r="N325" s="1669"/>
      <c r="O325" s="1669"/>
      <c r="P325" s="1670"/>
      <c r="Q325" s="1671"/>
      <c r="R325" s="1671"/>
      <c r="S325" s="1671"/>
      <c r="T325" s="1667"/>
      <c r="U325" s="1672"/>
      <c r="V325" s="1636">
        <f t="shared" si="145"/>
        <v>0</v>
      </c>
      <c r="W325" s="102">
        <f t="shared" si="146"/>
        <v>0</v>
      </c>
      <c r="X325" s="381">
        <f t="shared" si="147"/>
        <v>0</v>
      </c>
      <c r="Y325" s="1645">
        <f>IF(OR($V325=0,$W325=0),0,IF(Y$310&gt;$V325,0,SUM($Y292:Y292)/$W325))</f>
        <v>0</v>
      </c>
      <c r="Z325" s="1646">
        <f>IF(OR($V325=0,$W325=0),0,IF(Z$310&gt;$V325,0,SUM($Y292:Z292)/$W325))</f>
        <v>0</v>
      </c>
      <c r="AA325" s="1646">
        <f>IF(OR($V325=0,$W325=0),0,IF(AA$310&gt;$V325,0,SUM($Y292:AA292)/$W325))</f>
        <v>0</v>
      </c>
      <c r="AB325" s="1646">
        <f>IF(OR($V325=0,$W325=0),0,IF(AB$310&gt;$V325,0,SUM($Y292:AB292)/$W325))</f>
        <v>0</v>
      </c>
      <c r="AC325" s="1646">
        <f>IF(OR($V325=0,$W325=0),0,IF(AC$310&gt;$V325,0,SUM($Y292:AC292)/$W325))</f>
        <v>0</v>
      </c>
      <c r="AD325" s="1646">
        <f>IF(OR($V325=0,$W325=0),0,IF(AD$310&gt;$V325,0,SUM($Y292:AD292)/$W325))</f>
        <v>0</v>
      </c>
      <c r="AE325" s="1646">
        <f>IF(OR($V325=0,$W325=0),0,IF(AE$310&gt;$V325,0,SUM($Y292:AE292)/$W325))</f>
        <v>0</v>
      </c>
      <c r="AF325" s="1155">
        <f>IF(OR($V325=0,$W325=0),0,IF(AF$310&gt;$V325,0,SUM($Y292:AF292)/$W325))</f>
        <v>0</v>
      </c>
      <c r="AG325" s="1155">
        <f>IF(OR($V325=0,$W325=0),0,IF(AG$310&gt;$V325,0,SUM($Y292:AG292)/$W325))</f>
        <v>0</v>
      </c>
      <c r="AH325" s="1155">
        <f>IF(OR($V325=0,$W325=0),0,IF(AH$310&gt;$V325,0,SUM($Y292:AH292)/$W325))</f>
        <v>0</v>
      </c>
      <c r="AI325" s="1155">
        <f>IF(OR($V325=0,$W325=0),0,IF(AI$310&gt;$V325,0,SUM($Y292:AI292)/$W325))</f>
        <v>0</v>
      </c>
      <c r="AJ325" s="1155">
        <f>IF(OR($V325=0,$W325=0),0,IF(AJ$310&gt;$V325,0,SUM($Y292:AJ292)/$W325))</f>
        <v>0</v>
      </c>
      <c r="AK325" s="1155">
        <f>IF(OR($V325=0,$W325=0),0,IF(AK$310&gt;$V325,0,SUM($Y292:AK292)/$W325))</f>
        <v>0</v>
      </c>
      <c r="AL325" s="1155">
        <f>IF(OR($V325=0,$W325=0),0,IF(AL$310&gt;$V325,0,SUM($Y292:AL292)/$W325))</f>
        <v>0</v>
      </c>
      <c r="AM325" s="1155">
        <f>IF(OR($V325=0,$W325=0),0,IF(AM$310&gt;$V325,0,SUM($Y292:AM292)/$W325))</f>
        <v>0</v>
      </c>
      <c r="AN325" s="1155">
        <f>IF(OR($V325=0,$W325=0),0,IF(AN$310&gt;$V325,0,SUM($Y292:AN292)/$W325))</f>
        <v>0</v>
      </c>
      <c r="AO325" s="1155">
        <f>IF(OR($V325=0,$W325=0),0,IF(AO$310&gt;$V325,0,SUM($Y292:AO292)/$W325))</f>
        <v>0</v>
      </c>
      <c r="AP325" s="1155">
        <f>IF(OR($V325=0,$W325=0),0,IF(AP$310&gt;$V325,0,SUM($Y292:AP292)/$W325))</f>
        <v>0</v>
      </c>
      <c r="AQ325" s="1155">
        <f>IF(OR($V325=0,$W325=0),0,IF(AQ$310&gt;$V325,0,SUM($Y292:AQ292)/$W325))</f>
        <v>0</v>
      </c>
      <c r="AR325" s="1155">
        <f>IF(OR($V325=0,$W325=0),0,IF(AR$310&gt;$V325,0,SUM($Y292:AR292)/$W325))</f>
        <v>0</v>
      </c>
      <c r="AS325" s="1155">
        <f>IF(OR($V325=0,$W325=0),0,IF(AS$310&gt;$V325,0,SUM($Y292:AS292)/$W325))</f>
        <v>0</v>
      </c>
      <c r="AT325" s="1155">
        <f>IF(OR($V325=0,$W325=0),0,IF(AT$310&gt;$V325,0,SUM($Y292:AT292)/$W325))</f>
        <v>0</v>
      </c>
      <c r="AU325" s="1155">
        <f>IF(OR($V325=0,$W325=0),0,IF(AU$310&gt;$V325,0,SUM($Y292:AU292)/$W325))</f>
        <v>0</v>
      </c>
      <c r="AV325" s="1155">
        <f>IF(OR($V325=0,$W325=0),0,IF(AV$310&gt;$V325,0,SUM($Y292:AV292)/$W325))</f>
        <v>0</v>
      </c>
      <c r="AW325" s="1155">
        <f>IF(OR($V325=0,$W325=0),0,IF(AW$310&gt;$V325,0,SUM($Y292:AW292)/$W325))</f>
        <v>0</v>
      </c>
      <c r="AX325" s="1155">
        <f>IF(OR($V325=0,$W325=0),0,IF(AX$310&gt;$V325,0,SUM($Y292:AX292)/$W325))</f>
        <v>0</v>
      </c>
      <c r="AY325" s="1155">
        <f>IF(OR($V325=0,$W325=0),0,IF(AY$310&gt;$V325,0,SUM($Y292:AY292)/$W325))</f>
        <v>0</v>
      </c>
      <c r="AZ325" s="1155">
        <f>IF(OR($V325=0,$W325=0),0,IF(AZ$310&gt;$V325,0,SUM($Y292:AZ292)/$W325))</f>
        <v>0</v>
      </c>
      <c r="BA325" s="1155">
        <f>IF(OR($V325=0,$W325=0),0,IF(BA$310&gt;$V325,0,SUM($Y292:BA292)/$W325))</f>
        <v>0</v>
      </c>
      <c r="BB325" s="1155">
        <f>IF(OR($V325=0,$W325=0),0,IF(BB$310&gt;$V325,0,SUM($Y292:BB292)/$W325))</f>
        <v>0</v>
      </c>
      <c r="BC325" s="1155">
        <f>IF(OR($V325=0,$W325=0),0,IF(BC$310&gt;$V325,0,SUM($Y292:BC292)/$W325))</f>
        <v>0</v>
      </c>
      <c r="BD325" s="1155">
        <f>IF(OR($V325=0,$W325=0),0,IF(BD$310&gt;$V325,0,SUM($Y292:BD292)/$W325))</f>
        <v>0</v>
      </c>
      <c r="BE325" s="1155">
        <f>IF(OR($V325=0,$W325=0),0,IF(BE$310&gt;$V325,0,SUM($Y292:BE292)/$W325))</f>
        <v>0</v>
      </c>
      <c r="BF325" s="1155">
        <f>IF(OR($V325=0,$W325=0),0,IF(BF$310&gt;$V325,0,SUM($Y292:BF292)/$W325))</f>
        <v>0</v>
      </c>
      <c r="BG325" s="1155">
        <f>IF(OR($V325=0,$W325=0),0,IF(BG$310&gt;$V325,0,SUM($Y292:BG292)/$W325))</f>
        <v>0</v>
      </c>
      <c r="BH325" s="1155">
        <f>IF(OR($V325=0,$W325=0),0,IF(BH$310&gt;$V325,0,SUM($Y292:BH292)/$W325))</f>
        <v>0</v>
      </c>
      <c r="BI325" s="1155">
        <f>IF(OR($V325=0,$W325=0),0,IF(BI$310&gt;$V325,0,SUM($Y292:BI292)/$W325))</f>
        <v>0</v>
      </c>
      <c r="BJ325" s="1155">
        <f>IF(OR($V325=0,$W325=0),0,IF(BJ$310&gt;$V325,0,SUM($Y292:BJ292)/$W325))</f>
        <v>0</v>
      </c>
      <c r="BK325" s="1155">
        <f>IF(OR($V325=0,$W325=0),0,IF(BK$310&gt;$V325,0,SUM($Y292:BK292)/$W325))</f>
        <v>0</v>
      </c>
      <c r="BL325" s="1155">
        <f>IF(OR($V325=0,$W325=0),0,IF(BL$310&gt;$V325,0,SUM($Y292:BL292)/$W325))</f>
        <v>0</v>
      </c>
      <c r="BM325" s="1155">
        <f>IF(OR($V325=0,$W325=0),0,IF(BM$310&gt;$V325,0,SUM($Y292:BM292)/$W325))</f>
        <v>0</v>
      </c>
      <c r="BN325" s="1155">
        <f>IF(OR($V325=0,$W325=0),0,IF(BN$310&gt;$V325,0,SUM($Y292:BN292)/$W325))</f>
        <v>0</v>
      </c>
      <c r="BO325" s="1155">
        <f>IF(OR($V325=0,$W325=0),0,IF(BO$310&gt;$V325,0,SUM($Y292:BO292)/$W325))</f>
        <v>0</v>
      </c>
      <c r="BP325" s="1155">
        <f>IF(OR($V325=0,$W325=0),0,IF(BP$310&gt;$V325,0,SUM($Y292:BP292)/$W325))</f>
        <v>0</v>
      </c>
      <c r="BQ325" s="1155">
        <f>IF(OR($V325=0,$W325=0),0,IF(BQ$310&gt;$V325,0,SUM($Y292:BQ292)/$W325))</f>
        <v>0</v>
      </c>
      <c r="BR325" s="1155">
        <f>IF(OR($V325=0,$W325=0),0,IF(BR$310&gt;$V325,0,SUM($Y292:BR292)/$W325))</f>
        <v>0</v>
      </c>
      <c r="BS325" s="1155">
        <f>IF(OR($V325=0,$W325=0),0,IF(BS$310&gt;$V325,0,SUM($Y292:BS292)/$W325))</f>
        <v>0</v>
      </c>
      <c r="BT325" s="1155">
        <f>IF(OR($V325=0,$W325=0),0,IF(BT$310&gt;$V325,0,SUM($Y292:BT292)/$W325))</f>
        <v>0</v>
      </c>
      <c r="BU325" s="1155">
        <f>IF(OR($V325=0,$W325=0),0,IF(BU$310&gt;$V325,0,SUM($Y292:BU292)/$W325))</f>
        <v>0</v>
      </c>
      <c r="BV325" s="1155">
        <f>IF(OR($V325=0,$W325=0),0,IF(BV$310&gt;$V325,0,SUM($Y292:BV292)/$W325))</f>
        <v>0</v>
      </c>
      <c r="BW325" s="1155">
        <f>IF(OR($V325=0,$W325=0),0,IF(BW$310&gt;$V325,0,SUM($Y292:BW292)/$W325))</f>
        <v>0</v>
      </c>
      <c r="BX325" s="1457">
        <f>IF(OR($V325=0,$W325=0),0,IF(BX$310&gt;$V325,0,SUM($Y292:BX292)/$W325))</f>
        <v>0</v>
      </c>
      <c r="BY325" s="1457">
        <f>IF(OR($V325=0,$W325=0),0,IF(BY$310&gt;$V325,0,SUM($Y292:BY292)/$W325))</f>
        <v>0</v>
      </c>
      <c r="BZ325" s="1162">
        <f>IF(OR($V325=0,$W325=0),0,IF(BZ$310&gt;$V325,0,SUM($Y292:BZ292)/$W325))</f>
        <v>0</v>
      </c>
      <c r="CA325" s="1162">
        <f>IF(OR($V325=0,$W325=0),0,IF(CA$310&gt;$V325,0,SUM($Y292:CA292)/$W325))</f>
        <v>0</v>
      </c>
      <c r="CB325" s="1162">
        <f>IF(OR($V325=0,$W325=0),0,IF(CB$310&gt;$V325,0,SUM($Y292:CB292)/$W325))</f>
        <v>0</v>
      </c>
      <c r="CC325" s="1162">
        <f>IF(OR($V325=0,$W325=0),0,IF(CC$310&gt;$V325,0,SUM($Y292:CC292)/$W325))</f>
        <v>0</v>
      </c>
      <c r="CD325" s="1162">
        <f>IF(OR($V325=0,$W325=0),0,IF(CD$310&gt;$V325,0,SUM($Y292:CD292)/$W325))</f>
        <v>0</v>
      </c>
      <c r="CE325" s="1162">
        <f>IF(OR($V325=0,$W325=0),0,IF(CE$310&gt;$V325,0,SUM($Y292:CE292)/$W325))</f>
        <v>0</v>
      </c>
      <c r="CF325" s="1162">
        <f>IF(OR($V325=0,$W325=0),0,IF(CF$310&gt;$V325,0,SUM($Y292:CF292)/$W325))</f>
        <v>0</v>
      </c>
      <c r="CG325" s="1162">
        <f>IF(OR($V325=0,$W325=0),0,IF(CG$310&gt;$V325,0,SUM($Y292:CG292)/$W325))</f>
        <v>0</v>
      </c>
      <c r="CH325" s="1162">
        <f>IF(OR($V325=0,$W325=0),0,IF(CH$310&gt;$V325,0,SUM($Y292:CH292)/$W325))</f>
        <v>0</v>
      </c>
      <c r="CI325" s="1162">
        <f>IF(OR($V325=0,$W325=0),0,IF(CI$310&gt;$V325,0,SUM($Y292:CI292)/$W325))</f>
        <v>0</v>
      </c>
      <c r="CJ325" s="1162">
        <f>IF(OR($V325=0,$W325=0),0,IF(CJ$310&gt;$V325,0,SUM($Y292:CJ292)/$W325))</f>
        <v>0</v>
      </c>
      <c r="CK325" s="1162">
        <f>IF(OR($V325=0,$W325=0),0,IF(CK$310&gt;$V325,0,SUM($Y292:CK292)/$W325))</f>
        <v>0</v>
      </c>
      <c r="CL325" s="1162">
        <f>IF(OR($V325=0,$W325=0),0,IF(CL$310&gt;$V325,0,SUM($Y292:CL292)/$W325))</f>
        <v>0</v>
      </c>
      <c r="CM325" s="1162">
        <f>IF(OR($V325=0,$W325=0),0,IF(CM$310&gt;$V325,0,SUM($Y292:CM292)/$W325))</f>
        <v>0</v>
      </c>
      <c r="CN325" s="1162">
        <f>IF(OR($V325=0,$W325=0),0,IF(CN$310&gt;$V325,0,SUM($Y292:CN292)/$W325))</f>
        <v>0</v>
      </c>
      <c r="CO325" s="1162">
        <f>IF(OR($V325=0,$W325=0),0,IF(CO$310&gt;$V325,0,SUM($Y292:CO292)/$W325))</f>
        <v>0</v>
      </c>
      <c r="CP325" s="1162">
        <f>IF(OR($V325=0,$W325=0),0,IF(CP$310&gt;$V325,0,SUM($Y292:CP292)/$W325))</f>
        <v>0</v>
      </c>
      <c r="CQ325" s="48">
        <f>IF(OR($V325=0,$W325=0),0,IF(CQ$310&gt;$V325,0,SUM($Y292:CQ292)/$W325))</f>
        <v>0</v>
      </c>
      <c r="CR325" s="48">
        <f>IF(OR($V325=0,$W325=0),0,IF(CR$310&gt;$V325,0,SUM($Y292:CR292)/$W325))</f>
        <v>0</v>
      </c>
      <c r="CS325" s="48">
        <f>IF(OR($V325=0,$W325=0),0,IF(CS$310&gt;$V325,0,SUM($Y292:CS292)/$W325))</f>
        <v>0</v>
      </c>
      <c r="CT325" s="48">
        <f>IF(OR($V325=0,$W325=0),0,IF(CT$310&gt;$V325,0,SUM($Y292:CT292)/$W325))</f>
        <v>0</v>
      </c>
      <c r="CU325" s="48">
        <f>IF(OR($V325=0,$W325=0),0,IF(CU$310&gt;$V325,0,SUM($Y292:CU292)/$W325))</f>
        <v>0</v>
      </c>
      <c r="CV325" s="48">
        <f>IF(OR($V325=0,$W325=0),0,IF(CV$310&gt;$V325,0,SUM($Y292:CV292)/$W325))</f>
        <v>0</v>
      </c>
      <c r="CW325" s="48">
        <f>IF(OR($V325=0,$W325=0),0,IF(CW$310&gt;$V325,0,SUM($Y292:CW292)/$W325))</f>
        <v>0</v>
      </c>
      <c r="CX325" s="48">
        <f>IF(OR($V325=0,$W325=0),0,IF(CX$310&gt;$V325,0,SUM($Y292:CX292)/$W325))</f>
        <v>0</v>
      </c>
      <c r="CY325" s="48">
        <f>IF(OR($V325=0,$W325=0),0,IF(CY$310&gt;$V325,0,SUM($Y292:CY292)/$W325))</f>
        <v>0</v>
      </c>
      <c r="CZ325" s="48">
        <f>IF(OR($V325=0,$W325=0),0,IF(CZ$310&gt;$V325,0,SUM($Y292:CZ292)/$W325))</f>
        <v>0</v>
      </c>
      <c r="DA325" s="48">
        <f>IF(OR($V325=0,$W325=0),0,IF(DA$310&gt;$V325,0,SUM($Y292:DA292)/$W325))</f>
        <v>0</v>
      </c>
      <c r="DB325" s="48">
        <f>IF(OR($V325=0,$W325=0),0,IF(DB$310&gt;$V325,0,SUM($Y292:DB292)/$W325))</f>
        <v>0</v>
      </c>
      <c r="DC325" s="48">
        <f>IF(OR($V325=0,$W325=0),0,IF(DC$310&gt;$V325,0,SUM($Y292:DC292)/$W325))</f>
        <v>0</v>
      </c>
      <c r="DD325" s="48">
        <f>IF(OR($V325=0,$W325=0),0,IF(DD$310&gt;$V325,0,SUM($Y292:DD292)/$W325))</f>
        <v>0</v>
      </c>
      <c r="DE325" s="48">
        <f>IF(OR($V325=0,$W325=0),0,IF(DE$310&gt;$V325,0,SUM($Y292:DE292)/$W325))</f>
        <v>0</v>
      </c>
      <c r="DF325" s="48">
        <f>IF(OR($V325=0,$W325=0),0,IF(DF$310&gt;$V325,0,SUM($Y292:DF292)/$W325))</f>
        <v>0</v>
      </c>
      <c r="DG325" s="48">
        <f>IF(OR($V325=0,$W325=0),0,IF(DG$310&gt;$V325,0,SUM($Y292:DG292)/$W325))</f>
        <v>0</v>
      </c>
      <c r="DH325" s="48">
        <f>IF(OR($V325=0,$W325=0),0,IF(DH$310&gt;$V325,0,SUM($Y292:DH292)/$W325))</f>
        <v>0</v>
      </c>
      <c r="DI325" s="48">
        <f>IF(OR($V325=0,$W325=0),0,IF(DI$310&gt;$V325,0,SUM($Y292:DI292)/$W325))</f>
        <v>0</v>
      </c>
      <c r="DJ325" s="48">
        <f>IF(OR($V325=0,$W325=0),0,IF(DJ$310&gt;$V325,0,SUM($Y292:DJ292)/$W325))</f>
        <v>0</v>
      </c>
      <c r="DK325" s="48">
        <f>IF(OR($V325=0,$W325=0),0,IF(DK$310&gt;$V325,0,SUM($Y292:DK292)/$W325))</f>
        <v>0</v>
      </c>
      <c r="DL325" s="48">
        <f>IF(OR($V325=0,$W325=0),0,IF(DL$310&gt;$V325,0,SUM($Y292:DL292)/$W325))</f>
        <v>0</v>
      </c>
      <c r="DM325" s="48">
        <f>IF(OR($V325=0,$W325=0),0,IF(DM$310&gt;$V325,0,SUM($Y292:DM292)/$W325))</f>
        <v>0</v>
      </c>
      <c r="DN325" s="48">
        <f>IF(OR($V325=0,$W325=0),0,IF(DN$310&gt;$V325,0,SUM($Y292:DN292)/$W325))</f>
        <v>0</v>
      </c>
      <c r="DO325" s="48">
        <f>IF(OR($V325=0,$W325=0),0,IF(DO$310&gt;$V325,0,SUM($Y292:DO292)/$W325))</f>
        <v>0</v>
      </c>
      <c r="DP325" s="48">
        <f>IF(OR($V325=0,$W325=0),0,IF(DP$310&gt;$V325,0,SUM($Y292:DP292)/$W325))</f>
        <v>0</v>
      </c>
      <c r="DQ325" s="48">
        <f>IF(OR($V325=0,$W325=0),0,IF(DQ$310&gt;$V325,0,SUM($Y292:DQ292)/$W325))</f>
        <v>0</v>
      </c>
      <c r="DR325" s="50">
        <f>IF(OR($V325=0,$W325=0),0,IF(DR$310&gt;$V325,0,SUM($Y292:DR292)/$W325))</f>
        <v>0</v>
      </c>
      <c r="DS325" s="50">
        <f>IF(OR($V325=0,$W325=0),0,IF(DS$310&gt;$V325,0,SUM($Y292:DS292)/$W325))</f>
        <v>0</v>
      </c>
      <c r="DT325" s="50">
        <f>IF(OR($V325=0,$W325=0),0,IF(DT$310&gt;$V325,0,SUM($Y292:DT292)/$W325))</f>
        <v>0</v>
      </c>
      <c r="DU325" s="50">
        <f>IF(OR($V325=0,$W325=0),0,IF(DU$310&gt;$V325,0,SUM($Y292:DU292)/$W325))</f>
        <v>0</v>
      </c>
      <c r="DV325" s="50">
        <f>IF(OR($V325=0,$W325=0),0,IF(DV$310&gt;$V325,0,SUM($Y292:DV292)/$W325))</f>
        <v>0</v>
      </c>
      <c r="DW325" s="50">
        <f>IF(OR($V325=0,$W325=0),0,IF(DW$310&gt;$V325,0,SUM($Y292:DW292)/$W325))</f>
        <v>0</v>
      </c>
      <c r="DX325" s="50">
        <f>IF(OR($V325=0,$W325=0),0,IF(DX$310&gt;$V325,0,SUM($Y292:DX292)/$W325))</f>
        <v>0</v>
      </c>
      <c r="DY325" s="50">
        <f>IF(OR($V325=0,$W325=0),0,IF(DY$310&gt;$V325,0,SUM($Y292:DY292)/$W325))</f>
        <v>0</v>
      </c>
      <c r="DZ325" s="50">
        <f>IF(OR($V325=0,$W325=0),0,IF(DZ$310&gt;$V325,0,SUM($Y292:DZ292)/$W325))</f>
        <v>0</v>
      </c>
      <c r="EA325" s="50">
        <f>IF(OR($V325=0,$W325=0),0,IF(EA$310&gt;$V325,0,SUM($Y292:EA292)/$W325))</f>
        <v>0</v>
      </c>
      <c r="EB325" s="50">
        <f>IF(OR($V325=0,$W325=0),0,IF(EB$310&gt;$V325,0,SUM($Y292:EB292)/$W325))</f>
        <v>0</v>
      </c>
      <c r="EC325" s="50">
        <f>IF(OR($V325=0,$W325=0),0,IF(EC$310&gt;$V325,0,SUM($Y292:EC292)/$W325))</f>
        <v>0</v>
      </c>
      <c r="ED325" s="50">
        <f>IF(OR($V325=0,$W325=0),0,IF(ED$310&gt;$V325,0,SUM($Y292:ED292)/$W325))</f>
        <v>0</v>
      </c>
      <c r="EE325" s="50">
        <f>IF(OR($V325=0,$W325=0),0,IF(EE$310&gt;$V325,0,SUM($Y292:EE292)/$W325))</f>
        <v>0</v>
      </c>
      <c r="EF325" s="50">
        <f>IF(OR($V325=0,$W325=0),0,IF(EF$310&gt;$V325,0,SUM($Y292:EF292)/$W325))</f>
        <v>0</v>
      </c>
      <c r="EG325" s="50">
        <f>IF(OR($V325=0,$W325=0),0,IF(EG$310&gt;$V325,0,SUM($Y292:EG292)/$W325))</f>
        <v>0</v>
      </c>
      <c r="EH325" s="50">
        <f>IF(OR($V325=0,$W325=0),0,IF(EH$310&gt;$V325,0,SUM($Y292:EH292)/$W325))</f>
        <v>0</v>
      </c>
      <c r="EI325" s="50">
        <f>IF(OR($V325=0,$W325=0),0,IF(EI$310&gt;$V325,0,SUM($Y292:EI292)/$W325))</f>
        <v>0</v>
      </c>
      <c r="EJ325" s="50">
        <f>IF(OR($V325=0,$W325=0),0,IF(EJ$310&gt;$V325,0,SUM($Y292:EJ292)/$W325))</f>
        <v>0</v>
      </c>
      <c r="EK325" s="50">
        <f>IF(OR($V325=0,$W325=0),0,IF(EK$310&gt;$V325,0,SUM($Y292:EK292)/$W325))</f>
        <v>0</v>
      </c>
      <c r="EL325" s="50">
        <f>IF(OR($V325=0,$W325=0),0,IF(EL$310&gt;$V325,0,SUM($Y292:EL292)/$W325))</f>
        <v>0</v>
      </c>
      <c r="EM325" s="50">
        <f>IF(OR($V325=0,$W325=0),0,IF(EM$310&gt;$V325,0,SUM($Y292:EM292)/$W325))</f>
        <v>0</v>
      </c>
      <c r="EN325" s="50">
        <f>IF(OR($V325=0,$W325=0),0,IF(EN$310&gt;$V325,0,SUM($Y292:EN292)/$W325))</f>
        <v>0</v>
      </c>
      <c r="EO325" s="39">
        <v>51</v>
      </c>
      <c r="EP325" s="39">
        <v>51</v>
      </c>
      <c r="EQ325" s="39">
        <v>51</v>
      </c>
      <c r="ER325" s="39">
        <v>51</v>
      </c>
      <c r="ES325" s="39">
        <v>51</v>
      </c>
      <c r="ET325" s="39">
        <v>51</v>
      </c>
      <c r="EU325" s="39">
        <v>51</v>
      </c>
      <c r="EV325" s="39">
        <v>51</v>
      </c>
      <c r="EW325" s="39">
        <v>51</v>
      </c>
      <c r="EX325" s="39">
        <v>51</v>
      </c>
    </row>
    <row r="326" spans="1:154" ht="12" customHeight="1" x14ac:dyDescent="0.35">
      <c r="A326" s="67">
        <v>49</v>
      </c>
      <c r="B326" s="1438">
        <f t="shared" si="144"/>
        <v>1492</v>
      </c>
      <c r="C326" s="1440">
        <v>49</v>
      </c>
      <c r="D326" s="82"/>
      <c r="E326" s="82"/>
      <c r="F326" s="82"/>
      <c r="G326" s="1448"/>
      <c r="H326" s="1448"/>
      <c r="I326" s="1448"/>
      <c r="J326" s="1448"/>
      <c r="K326" s="1668"/>
      <c r="L326" s="1668"/>
      <c r="M326" s="1668"/>
      <c r="N326" s="1669"/>
      <c r="O326" s="1669"/>
      <c r="P326" s="1670"/>
      <c r="Q326" s="1671"/>
      <c r="R326" s="1671"/>
      <c r="S326" s="1671"/>
      <c r="T326" s="1667"/>
      <c r="U326" s="1672"/>
      <c r="V326" s="1636">
        <f t="shared" si="145"/>
        <v>0</v>
      </c>
      <c r="W326" s="102">
        <f t="shared" si="146"/>
        <v>0</v>
      </c>
      <c r="X326" s="381">
        <f t="shared" si="147"/>
        <v>0</v>
      </c>
      <c r="Y326" s="1645">
        <f>IF(OR($V326=0,$W326=0),0,IF(Y$310&gt;$V326,0,SUM($Y293:Y293)/$W326))</f>
        <v>0</v>
      </c>
      <c r="Z326" s="1646">
        <f>IF(OR($V326=0,$W326=0),0,IF(Z$310&gt;$V326,0,SUM($Y293:Z293)/$W326))</f>
        <v>0</v>
      </c>
      <c r="AA326" s="1646">
        <f>IF(OR($V326=0,$W326=0),0,IF(AA$310&gt;$V326,0,SUM($Y293:AA293)/$W326))</f>
        <v>0</v>
      </c>
      <c r="AB326" s="1646">
        <f>IF(OR($V326=0,$W326=0),0,IF(AB$310&gt;$V326,0,SUM($Y293:AB293)/$W326))</f>
        <v>0</v>
      </c>
      <c r="AC326" s="1646">
        <f>IF(OR($V326=0,$W326=0),0,IF(AC$310&gt;$V326,0,SUM($Y293:AC293)/$W326))</f>
        <v>0</v>
      </c>
      <c r="AD326" s="1646">
        <f>IF(OR($V326=0,$W326=0),0,IF(AD$310&gt;$V326,0,SUM($Y293:AD293)/$W326))</f>
        <v>0</v>
      </c>
      <c r="AE326" s="1646">
        <f>IF(OR($V326=0,$W326=0),0,IF(AE$310&gt;$V326,0,SUM($Y293:AE293)/$W326))</f>
        <v>0</v>
      </c>
      <c r="AF326" s="1155">
        <f>IF(OR($V326=0,$W326=0),0,IF(AF$310&gt;$V326,0,SUM($Y293:AF293)/$W326))</f>
        <v>0</v>
      </c>
      <c r="AG326" s="1155">
        <f>IF(OR($V326=0,$W326=0),0,IF(AG$310&gt;$V326,0,SUM($Y293:AG293)/$W326))</f>
        <v>0</v>
      </c>
      <c r="AH326" s="1155">
        <f>IF(OR($V326=0,$W326=0),0,IF(AH$310&gt;$V326,0,SUM($Y293:AH293)/$W326))</f>
        <v>0</v>
      </c>
      <c r="AI326" s="1155">
        <f>IF(OR($V326=0,$W326=0),0,IF(AI$310&gt;$V326,0,SUM($Y293:AI293)/$W326))</f>
        <v>0</v>
      </c>
      <c r="AJ326" s="1155">
        <f>IF(OR($V326=0,$W326=0),0,IF(AJ$310&gt;$V326,0,SUM($Y293:AJ293)/$W326))</f>
        <v>0</v>
      </c>
      <c r="AK326" s="1155">
        <f>IF(OR($V326=0,$W326=0),0,IF(AK$310&gt;$V326,0,SUM($Y293:AK293)/$W326))</f>
        <v>0</v>
      </c>
      <c r="AL326" s="1155">
        <f>IF(OR($V326=0,$W326=0),0,IF(AL$310&gt;$V326,0,SUM($Y293:AL293)/$W326))</f>
        <v>0</v>
      </c>
      <c r="AM326" s="1155">
        <f>IF(OR($V326=0,$W326=0),0,IF(AM$310&gt;$V326,0,SUM($Y293:AM293)/$W326))</f>
        <v>0</v>
      </c>
      <c r="AN326" s="1155">
        <f>IF(OR($V326=0,$W326=0),0,IF(AN$310&gt;$V326,0,SUM($Y293:AN293)/$W326))</f>
        <v>0</v>
      </c>
      <c r="AO326" s="1155">
        <f>IF(OR($V326=0,$W326=0),0,IF(AO$310&gt;$V326,0,SUM($Y293:AO293)/$W326))</f>
        <v>0</v>
      </c>
      <c r="AP326" s="1155">
        <f>IF(OR($V326=0,$W326=0),0,IF(AP$310&gt;$V326,0,SUM($Y293:AP293)/$W326))</f>
        <v>0</v>
      </c>
      <c r="AQ326" s="1155">
        <f>IF(OR($V326=0,$W326=0),0,IF(AQ$310&gt;$V326,0,SUM($Y293:AQ293)/$W326))</f>
        <v>0</v>
      </c>
      <c r="AR326" s="1155">
        <f>IF(OR($V326=0,$W326=0),0,IF(AR$310&gt;$V326,0,SUM($Y293:AR293)/$W326))</f>
        <v>0</v>
      </c>
      <c r="AS326" s="1155">
        <f>IF(OR($V326=0,$W326=0),0,IF(AS$310&gt;$V326,0,SUM($Y293:AS293)/$W326))</f>
        <v>0</v>
      </c>
      <c r="AT326" s="1155">
        <f>IF(OR($V326=0,$W326=0),0,IF(AT$310&gt;$V326,0,SUM($Y293:AT293)/$W326))</f>
        <v>0</v>
      </c>
      <c r="AU326" s="1155">
        <f>IF(OR($V326=0,$W326=0),0,IF(AU$310&gt;$V326,0,SUM($Y293:AU293)/$W326))</f>
        <v>0</v>
      </c>
      <c r="AV326" s="1155">
        <f>IF(OR($V326=0,$W326=0),0,IF(AV$310&gt;$V326,0,SUM($Y293:AV293)/$W326))</f>
        <v>0</v>
      </c>
      <c r="AW326" s="1155">
        <f>IF(OR($V326=0,$W326=0),0,IF(AW$310&gt;$V326,0,SUM($Y293:AW293)/$W326))</f>
        <v>0</v>
      </c>
      <c r="AX326" s="1155">
        <f>IF(OR($V326=0,$W326=0),0,IF(AX$310&gt;$V326,0,SUM($Y293:AX293)/$W326))</f>
        <v>0</v>
      </c>
      <c r="AY326" s="1155">
        <f>IF(OR($V326=0,$W326=0),0,IF(AY$310&gt;$V326,0,SUM($Y293:AY293)/$W326))</f>
        <v>0</v>
      </c>
      <c r="AZ326" s="1155">
        <f>IF(OR($V326=0,$W326=0),0,IF(AZ$310&gt;$V326,0,SUM($Y293:AZ293)/$W326))</f>
        <v>0</v>
      </c>
      <c r="BA326" s="1155">
        <f>IF(OR($V326=0,$W326=0),0,IF(BA$310&gt;$V326,0,SUM($Y293:BA293)/$W326))</f>
        <v>0</v>
      </c>
      <c r="BB326" s="1155">
        <f>IF(OR($V326=0,$W326=0),0,IF(BB$310&gt;$V326,0,SUM($Y293:BB293)/$W326))</f>
        <v>0</v>
      </c>
      <c r="BC326" s="1155">
        <f>IF(OR($V326=0,$W326=0),0,IF(BC$310&gt;$V326,0,SUM($Y293:BC293)/$W326))</f>
        <v>0</v>
      </c>
      <c r="BD326" s="1155">
        <f>IF(OR($V326=0,$W326=0),0,IF(BD$310&gt;$V326,0,SUM($Y293:BD293)/$W326))</f>
        <v>0</v>
      </c>
      <c r="BE326" s="1155">
        <f>IF(OR($V326=0,$W326=0),0,IF(BE$310&gt;$V326,0,SUM($Y293:BE293)/$W326))</f>
        <v>0</v>
      </c>
      <c r="BF326" s="1155">
        <f>IF(OR($V326=0,$W326=0),0,IF(BF$310&gt;$V326,0,SUM($Y293:BF293)/$W326))</f>
        <v>0</v>
      </c>
      <c r="BG326" s="1155">
        <f>IF(OR($V326=0,$W326=0),0,IF(BG$310&gt;$V326,0,SUM($Y293:BG293)/$W326))</f>
        <v>0</v>
      </c>
      <c r="BH326" s="1155">
        <f>IF(OR($V326=0,$W326=0),0,IF(BH$310&gt;$V326,0,SUM($Y293:BH293)/$W326))</f>
        <v>0</v>
      </c>
      <c r="BI326" s="1155">
        <f>IF(OR($V326=0,$W326=0),0,IF(BI$310&gt;$V326,0,SUM($Y293:BI293)/$W326))</f>
        <v>0</v>
      </c>
      <c r="BJ326" s="1155">
        <f>IF(OR($V326=0,$W326=0),0,IF(BJ$310&gt;$V326,0,SUM($Y293:BJ293)/$W326))</f>
        <v>0</v>
      </c>
      <c r="BK326" s="1155">
        <f>IF(OR($V326=0,$W326=0),0,IF(BK$310&gt;$V326,0,SUM($Y293:BK293)/$W326))</f>
        <v>0</v>
      </c>
      <c r="BL326" s="1155">
        <f>IF(OR($V326=0,$W326=0),0,IF(BL$310&gt;$V326,0,SUM($Y293:BL293)/$W326))</f>
        <v>0</v>
      </c>
      <c r="BM326" s="1155">
        <f>IF(OR($V326=0,$W326=0),0,IF(BM$310&gt;$V326,0,SUM($Y293:BM293)/$W326))</f>
        <v>0</v>
      </c>
      <c r="BN326" s="1155">
        <f>IF(OR($V326=0,$W326=0),0,IF(BN$310&gt;$V326,0,SUM($Y293:BN293)/$W326))</f>
        <v>0</v>
      </c>
      <c r="BO326" s="1155">
        <f>IF(OR($V326=0,$W326=0),0,IF(BO$310&gt;$V326,0,SUM($Y293:BO293)/$W326))</f>
        <v>0</v>
      </c>
      <c r="BP326" s="1155">
        <f>IF(OR($V326=0,$W326=0),0,IF(BP$310&gt;$V326,0,SUM($Y293:BP293)/$W326))</f>
        <v>0</v>
      </c>
      <c r="BQ326" s="1155">
        <f>IF(OR($V326=0,$W326=0),0,IF(BQ$310&gt;$V326,0,SUM($Y293:BQ293)/$W326))</f>
        <v>0</v>
      </c>
      <c r="BR326" s="1155">
        <f>IF(OR($V326=0,$W326=0),0,IF(BR$310&gt;$V326,0,SUM($Y293:BR293)/$W326))</f>
        <v>0</v>
      </c>
      <c r="BS326" s="1155">
        <f>IF(OR($V326=0,$W326=0),0,IF(BS$310&gt;$V326,0,SUM($Y293:BS293)/$W326))</f>
        <v>0</v>
      </c>
      <c r="BT326" s="1155">
        <f>IF(OR($V326=0,$W326=0),0,IF(BT$310&gt;$V326,0,SUM($Y293:BT293)/$W326))</f>
        <v>0</v>
      </c>
      <c r="BU326" s="1155">
        <f>IF(OR($V326=0,$W326=0),0,IF(BU$310&gt;$V326,0,SUM($Y293:BU293)/$W326))</f>
        <v>0</v>
      </c>
      <c r="BV326" s="1155">
        <f>IF(OR($V326=0,$W326=0),0,IF(BV$310&gt;$V326,0,SUM($Y293:BV293)/$W326))</f>
        <v>0</v>
      </c>
      <c r="BW326" s="1155">
        <f>IF(OR($V326=0,$W326=0),0,IF(BW$310&gt;$V326,0,SUM($Y293:BW293)/$W326))</f>
        <v>0</v>
      </c>
      <c r="BX326" s="1457">
        <f>IF(OR($V326=0,$W326=0),0,IF(BX$310&gt;$V326,0,SUM($Y293:BX293)/$W326))</f>
        <v>0</v>
      </c>
      <c r="BY326" s="1457">
        <f>IF(OR($V326=0,$W326=0),0,IF(BY$310&gt;$V326,0,SUM($Y293:BY293)/$W326))</f>
        <v>0</v>
      </c>
      <c r="BZ326" s="1162">
        <f>IF(OR($V326=0,$W326=0),0,IF(BZ$310&gt;$V326,0,SUM($Y293:BZ293)/$W326))</f>
        <v>0</v>
      </c>
      <c r="CA326" s="1162">
        <f>IF(OR($V326=0,$W326=0),0,IF(CA$310&gt;$V326,0,SUM($Y293:CA293)/$W326))</f>
        <v>0</v>
      </c>
      <c r="CB326" s="1162">
        <f>IF(OR($V326=0,$W326=0),0,IF(CB$310&gt;$V326,0,SUM($Y293:CB293)/$W326))</f>
        <v>0</v>
      </c>
      <c r="CC326" s="1162">
        <f>IF(OR($V326=0,$W326=0),0,IF(CC$310&gt;$V326,0,SUM($Y293:CC293)/$W326))</f>
        <v>0</v>
      </c>
      <c r="CD326" s="1162">
        <f>IF(OR($V326=0,$W326=0),0,IF(CD$310&gt;$V326,0,SUM($Y293:CD293)/$W326))</f>
        <v>0</v>
      </c>
      <c r="CE326" s="1162">
        <f>IF(OR($V326=0,$W326=0),0,IF(CE$310&gt;$V326,0,SUM($Y293:CE293)/$W326))</f>
        <v>0</v>
      </c>
      <c r="CF326" s="1162">
        <f>IF(OR($V326=0,$W326=0),0,IF(CF$310&gt;$V326,0,SUM($Y293:CF293)/$W326))</f>
        <v>0</v>
      </c>
      <c r="CG326" s="1162">
        <f>IF(OR($V326=0,$W326=0),0,IF(CG$310&gt;$V326,0,SUM($Y293:CG293)/$W326))</f>
        <v>0</v>
      </c>
      <c r="CH326" s="1162">
        <f>IF(OR($V326=0,$W326=0),0,IF(CH$310&gt;$V326,0,SUM($Y293:CH293)/$W326))</f>
        <v>0</v>
      </c>
      <c r="CI326" s="1162">
        <f>IF(OR($V326=0,$W326=0),0,IF(CI$310&gt;$V326,0,SUM($Y293:CI293)/$W326))</f>
        <v>0</v>
      </c>
      <c r="CJ326" s="1162">
        <f>IF(OR($V326=0,$W326=0),0,IF(CJ$310&gt;$V326,0,SUM($Y293:CJ293)/$W326))</f>
        <v>0</v>
      </c>
      <c r="CK326" s="1162">
        <f>IF(OR($V326=0,$W326=0),0,IF(CK$310&gt;$V326,0,SUM($Y293:CK293)/$W326))</f>
        <v>0</v>
      </c>
      <c r="CL326" s="1162">
        <f>IF(OR($V326=0,$W326=0),0,IF(CL$310&gt;$V326,0,SUM($Y293:CL293)/$W326))</f>
        <v>0</v>
      </c>
      <c r="CM326" s="1162">
        <f>IF(OR($V326=0,$W326=0),0,IF(CM$310&gt;$V326,0,SUM($Y293:CM293)/$W326))</f>
        <v>0</v>
      </c>
      <c r="CN326" s="1162">
        <f>IF(OR($V326=0,$W326=0),0,IF(CN$310&gt;$V326,0,SUM($Y293:CN293)/$W326))</f>
        <v>0</v>
      </c>
      <c r="CO326" s="1162">
        <f>IF(OR($V326=0,$W326=0),0,IF(CO$310&gt;$V326,0,SUM($Y293:CO293)/$W326))</f>
        <v>0</v>
      </c>
      <c r="CP326" s="1162">
        <f>IF(OR($V326=0,$W326=0),0,IF(CP$310&gt;$V326,0,SUM($Y293:CP293)/$W326))</f>
        <v>0</v>
      </c>
      <c r="CQ326" s="48">
        <f>IF(OR($V326=0,$W326=0),0,IF(CQ$310&gt;$V326,0,SUM($Y293:CQ293)/$W326))</f>
        <v>0</v>
      </c>
      <c r="CR326" s="48">
        <f>IF(OR($V326=0,$W326=0),0,IF(CR$310&gt;$V326,0,SUM($Y293:CR293)/$W326))</f>
        <v>0</v>
      </c>
      <c r="CS326" s="48">
        <f>IF(OR($V326=0,$W326=0),0,IF(CS$310&gt;$V326,0,SUM($Y293:CS293)/$W326))</f>
        <v>0</v>
      </c>
      <c r="CT326" s="48">
        <f>IF(OR($V326=0,$W326=0),0,IF(CT$310&gt;$V326,0,SUM($Y293:CT293)/$W326))</f>
        <v>0</v>
      </c>
      <c r="CU326" s="48">
        <f>IF(OR($V326=0,$W326=0),0,IF(CU$310&gt;$V326,0,SUM($Y293:CU293)/$W326))</f>
        <v>0</v>
      </c>
      <c r="CV326" s="48">
        <f>IF(OR($V326=0,$W326=0),0,IF(CV$310&gt;$V326,0,SUM($Y293:CV293)/$W326))</f>
        <v>0</v>
      </c>
      <c r="CW326" s="48">
        <f>IF(OR($V326=0,$W326=0),0,IF(CW$310&gt;$V326,0,SUM($Y293:CW293)/$W326))</f>
        <v>0</v>
      </c>
      <c r="CX326" s="48">
        <f>IF(OR($V326=0,$W326=0),0,IF(CX$310&gt;$V326,0,SUM($Y293:CX293)/$W326))</f>
        <v>0</v>
      </c>
      <c r="CY326" s="48">
        <f>IF(OR($V326=0,$W326=0),0,IF(CY$310&gt;$V326,0,SUM($Y293:CY293)/$W326))</f>
        <v>0</v>
      </c>
      <c r="CZ326" s="48">
        <f>IF(OR($V326=0,$W326=0),0,IF(CZ$310&gt;$V326,0,SUM($Y293:CZ293)/$W326))</f>
        <v>0</v>
      </c>
      <c r="DA326" s="48">
        <f>IF(OR($V326=0,$W326=0),0,IF(DA$310&gt;$V326,0,SUM($Y293:DA293)/$W326))</f>
        <v>0</v>
      </c>
      <c r="DB326" s="48">
        <f>IF(OR($V326=0,$W326=0),0,IF(DB$310&gt;$V326,0,SUM($Y293:DB293)/$W326))</f>
        <v>0</v>
      </c>
      <c r="DC326" s="48">
        <f>IF(OR($V326=0,$W326=0),0,IF(DC$310&gt;$V326,0,SUM($Y293:DC293)/$W326))</f>
        <v>0</v>
      </c>
      <c r="DD326" s="48">
        <f>IF(OR($V326=0,$W326=0),0,IF(DD$310&gt;$V326,0,SUM($Y293:DD293)/$W326))</f>
        <v>0</v>
      </c>
      <c r="DE326" s="48">
        <f>IF(OR($V326=0,$W326=0),0,IF(DE$310&gt;$V326,0,SUM($Y293:DE293)/$W326))</f>
        <v>0</v>
      </c>
      <c r="DF326" s="48">
        <f>IF(OR($V326=0,$W326=0),0,IF(DF$310&gt;$V326,0,SUM($Y293:DF293)/$W326))</f>
        <v>0</v>
      </c>
      <c r="DG326" s="48">
        <f>IF(OR($V326=0,$W326=0),0,IF(DG$310&gt;$V326,0,SUM($Y293:DG293)/$W326))</f>
        <v>0</v>
      </c>
      <c r="DH326" s="48">
        <f>IF(OR($V326=0,$W326=0),0,IF(DH$310&gt;$V326,0,SUM($Y293:DH293)/$W326))</f>
        <v>0</v>
      </c>
      <c r="DI326" s="48">
        <f>IF(OR($V326=0,$W326=0),0,IF(DI$310&gt;$V326,0,SUM($Y293:DI293)/$W326))</f>
        <v>0</v>
      </c>
      <c r="DJ326" s="48">
        <f>IF(OR($V326=0,$W326=0),0,IF(DJ$310&gt;$V326,0,SUM($Y293:DJ293)/$W326))</f>
        <v>0</v>
      </c>
      <c r="DK326" s="48">
        <f>IF(OR($V326=0,$W326=0),0,IF(DK$310&gt;$V326,0,SUM($Y293:DK293)/$W326))</f>
        <v>0</v>
      </c>
      <c r="DL326" s="48">
        <f>IF(OR($V326=0,$W326=0),0,IF(DL$310&gt;$V326,0,SUM($Y293:DL293)/$W326))</f>
        <v>0</v>
      </c>
      <c r="DM326" s="48">
        <f>IF(OR($V326=0,$W326=0),0,IF(DM$310&gt;$V326,0,SUM($Y293:DM293)/$W326))</f>
        <v>0</v>
      </c>
      <c r="DN326" s="48">
        <f>IF(OR($V326=0,$W326=0),0,IF(DN$310&gt;$V326,0,SUM($Y293:DN293)/$W326))</f>
        <v>0</v>
      </c>
      <c r="DO326" s="48">
        <f>IF(OR($V326=0,$W326=0),0,IF(DO$310&gt;$V326,0,SUM($Y293:DO293)/$W326))</f>
        <v>0</v>
      </c>
      <c r="DP326" s="48">
        <f>IF(OR($V326=0,$W326=0),0,IF(DP$310&gt;$V326,0,SUM($Y293:DP293)/$W326))</f>
        <v>0</v>
      </c>
      <c r="DQ326" s="48">
        <f>IF(OR($V326=0,$W326=0),0,IF(DQ$310&gt;$V326,0,SUM($Y293:DQ293)/$W326))</f>
        <v>0</v>
      </c>
      <c r="DR326" s="50">
        <f>IF(OR($V326=0,$W326=0),0,IF(DR$310&gt;$V326,0,SUM($Y293:DR293)/$W326))</f>
        <v>0</v>
      </c>
      <c r="DS326" s="50">
        <f>IF(OR($V326=0,$W326=0),0,IF(DS$310&gt;$V326,0,SUM($Y293:DS293)/$W326))</f>
        <v>0</v>
      </c>
      <c r="DT326" s="50">
        <f>IF(OR($V326=0,$W326=0),0,IF(DT$310&gt;$V326,0,SUM($Y293:DT293)/$W326))</f>
        <v>0</v>
      </c>
      <c r="DU326" s="50">
        <f>IF(OR($V326=0,$W326=0),0,IF(DU$310&gt;$V326,0,SUM($Y293:DU293)/$W326))</f>
        <v>0</v>
      </c>
      <c r="DV326" s="50">
        <f>IF(OR($V326=0,$W326=0),0,IF(DV$310&gt;$V326,0,SUM($Y293:DV293)/$W326))</f>
        <v>0</v>
      </c>
      <c r="DW326" s="50">
        <f>IF(OR($V326=0,$W326=0),0,IF(DW$310&gt;$V326,0,SUM($Y293:DW293)/$W326))</f>
        <v>0</v>
      </c>
      <c r="DX326" s="50">
        <f>IF(OR($V326=0,$W326=0),0,IF(DX$310&gt;$V326,0,SUM($Y293:DX293)/$W326))</f>
        <v>0</v>
      </c>
      <c r="DY326" s="50">
        <f>IF(OR($V326=0,$W326=0),0,IF(DY$310&gt;$V326,0,SUM($Y293:DY293)/$W326))</f>
        <v>0</v>
      </c>
      <c r="DZ326" s="50">
        <f>IF(OR($V326=0,$W326=0),0,IF(DZ$310&gt;$V326,0,SUM($Y293:DZ293)/$W326))</f>
        <v>0</v>
      </c>
      <c r="EA326" s="50">
        <f>IF(OR($V326=0,$W326=0),0,IF(EA$310&gt;$V326,0,SUM($Y293:EA293)/$W326))</f>
        <v>0</v>
      </c>
      <c r="EB326" s="50">
        <f>IF(OR($V326=0,$W326=0),0,IF(EB$310&gt;$V326,0,SUM($Y293:EB293)/$W326))</f>
        <v>0</v>
      </c>
      <c r="EC326" s="50">
        <f>IF(OR($V326=0,$W326=0),0,IF(EC$310&gt;$V326,0,SUM($Y293:EC293)/$W326))</f>
        <v>0</v>
      </c>
      <c r="ED326" s="50">
        <f>IF(OR($V326=0,$W326=0),0,IF(ED$310&gt;$V326,0,SUM($Y293:ED293)/$W326))</f>
        <v>0</v>
      </c>
      <c r="EE326" s="50">
        <f>IF(OR($V326=0,$W326=0),0,IF(EE$310&gt;$V326,0,SUM($Y293:EE293)/$W326))</f>
        <v>0</v>
      </c>
      <c r="EF326" s="50">
        <f>IF(OR($V326=0,$W326=0),0,IF(EF$310&gt;$V326,0,SUM($Y293:EF293)/$W326))</f>
        <v>0</v>
      </c>
      <c r="EG326" s="50">
        <f>IF(OR($V326=0,$W326=0),0,IF(EG$310&gt;$V326,0,SUM($Y293:EG293)/$W326))</f>
        <v>0</v>
      </c>
      <c r="EH326" s="50">
        <f>IF(OR($V326=0,$W326=0),0,IF(EH$310&gt;$V326,0,SUM($Y293:EH293)/$W326))</f>
        <v>0</v>
      </c>
      <c r="EI326" s="50">
        <f>IF(OR($V326=0,$W326=0),0,IF(EI$310&gt;$V326,0,SUM($Y293:EI293)/$W326))</f>
        <v>0</v>
      </c>
      <c r="EJ326" s="50">
        <f>IF(OR($V326=0,$W326=0),0,IF(EJ$310&gt;$V326,0,SUM($Y293:EJ293)/$W326))</f>
        <v>0</v>
      </c>
      <c r="EK326" s="50">
        <f>IF(OR($V326=0,$W326=0),0,IF(EK$310&gt;$V326,0,SUM($Y293:EK293)/$W326))</f>
        <v>0</v>
      </c>
      <c r="EL326" s="50">
        <f>IF(OR($V326=0,$W326=0),0,IF(EL$310&gt;$V326,0,SUM($Y293:EL293)/$W326))</f>
        <v>0</v>
      </c>
      <c r="EM326" s="50">
        <f>IF(OR($V326=0,$W326=0),0,IF(EM$310&gt;$V326,0,SUM($Y293:EM293)/$W326))</f>
        <v>0</v>
      </c>
      <c r="EN326" s="50">
        <f>IF(OR($V326=0,$W326=0),0,IF(EN$310&gt;$V326,0,SUM($Y293:EN293)/$W326))</f>
        <v>0</v>
      </c>
      <c r="EO326" s="39">
        <v>51</v>
      </c>
      <c r="EP326" s="39">
        <v>51</v>
      </c>
      <c r="EQ326" s="39">
        <v>51</v>
      </c>
      <c r="ER326" s="39">
        <v>51</v>
      </c>
      <c r="ES326" s="39">
        <v>51</v>
      </c>
      <c r="ET326" s="39">
        <v>51</v>
      </c>
      <c r="EU326" s="39">
        <v>51</v>
      </c>
      <c r="EV326" s="39">
        <v>51</v>
      </c>
      <c r="EW326" s="39">
        <v>51</v>
      </c>
      <c r="EX326" s="39">
        <v>51</v>
      </c>
    </row>
    <row r="327" spans="1:154" ht="12" customHeight="1" x14ac:dyDescent="0.35">
      <c r="A327" s="67">
        <v>50</v>
      </c>
      <c r="B327" s="1438">
        <f t="shared" si="144"/>
        <v>1521</v>
      </c>
      <c r="C327" s="1440">
        <v>50</v>
      </c>
      <c r="D327" s="82"/>
      <c r="E327" s="82"/>
      <c r="F327" s="82"/>
      <c r="G327" s="1448"/>
      <c r="H327" s="1448"/>
      <c r="I327" s="1448"/>
      <c r="J327" s="1448"/>
      <c r="K327" s="1668"/>
      <c r="L327" s="1668"/>
      <c r="M327" s="1668"/>
      <c r="N327" s="1669"/>
      <c r="O327" s="1669"/>
      <c r="P327" s="1673"/>
      <c r="Q327" s="1671"/>
      <c r="R327" s="1671"/>
      <c r="S327" s="1671"/>
      <c r="T327" s="1667"/>
      <c r="U327" s="1672"/>
      <c r="V327" s="1636">
        <f t="shared" si="145"/>
        <v>0</v>
      </c>
      <c r="W327" s="102">
        <f t="shared" si="146"/>
        <v>0</v>
      </c>
      <c r="X327" s="381">
        <f t="shared" si="147"/>
        <v>0</v>
      </c>
      <c r="Y327" s="1645">
        <f>IF(OR($V327=0,$W327=0),0,IF(Y$310&gt;$V327,0,SUM($Y294:Y294)/$W327))</f>
        <v>0</v>
      </c>
      <c r="Z327" s="1646">
        <f>IF(OR($V327=0,$W327=0),0,IF(Z$310&gt;$V327,0,SUM($Y294:Z294)/$W327))</f>
        <v>0</v>
      </c>
      <c r="AA327" s="1646">
        <f>IF(OR($V327=0,$W327=0),0,IF(AA$310&gt;$V327,0,SUM($Y294:AA294)/$W327))</f>
        <v>0</v>
      </c>
      <c r="AB327" s="1646">
        <f>IF(OR($V327=0,$W327=0),0,IF(AB$310&gt;$V327,0,SUM($Y294:AB294)/$W327))</f>
        <v>0</v>
      </c>
      <c r="AC327" s="1646">
        <f>IF(OR($V327=0,$W327=0),0,IF(AC$310&gt;$V327,0,SUM($Y294:AC294)/$W327))</f>
        <v>0</v>
      </c>
      <c r="AD327" s="1646">
        <f>IF(OR($V327=0,$W327=0),0,IF(AD$310&gt;$V327,0,SUM($Y294:AD294)/$W327))</f>
        <v>0</v>
      </c>
      <c r="AE327" s="1646">
        <f>IF(OR($V327=0,$W327=0),0,IF(AE$310&gt;$V327,0,SUM($Y294:AE294)/$W327))</f>
        <v>0</v>
      </c>
      <c r="AF327" s="1155">
        <f>IF(OR($V327=0,$W327=0),0,IF(AF$310&gt;$V327,0,SUM($Y294:AF294)/$W327))</f>
        <v>0</v>
      </c>
      <c r="AG327" s="1155">
        <f>IF(OR($V327=0,$W327=0),0,IF(AG$310&gt;$V327,0,SUM($Y294:AG294)/$W327))</f>
        <v>0</v>
      </c>
      <c r="AH327" s="1155">
        <f>IF(OR($V327=0,$W327=0),0,IF(AH$310&gt;$V327,0,SUM($Y294:AH294)/$W327))</f>
        <v>0</v>
      </c>
      <c r="AI327" s="1155">
        <f>IF(OR($V327=0,$W327=0),0,IF(AI$310&gt;$V327,0,SUM($Y294:AI294)/$W327))</f>
        <v>0</v>
      </c>
      <c r="AJ327" s="1155">
        <f>IF(OR($V327=0,$W327=0),0,IF(AJ$310&gt;$V327,0,SUM($Y294:AJ294)/$W327))</f>
        <v>0</v>
      </c>
      <c r="AK327" s="1155">
        <f>IF(OR($V327=0,$W327=0),0,IF(AK$310&gt;$V327,0,SUM($Y294:AK294)/$W327))</f>
        <v>0</v>
      </c>
      <c r="AL327" s="1155">
        <f>IF(OR($V327=0,$W327=0),0,IF(AL$310&gt;$V327,0,SUM($Y294:AL294)/$W327))</f>
        <v>0</v>
      </c>
      <c r="AM327" s="1155">
        <f>IF(OR($V327=0,$W327=0),0,IF(AM$310&gt;$V327,0,SUM($Y294:AM294)/$W327))</f>
        <v>0</v>
      </c>
      <c r="AN327" s="1155">
        <f>IF(OR($V327=0,$W327=0),0,IF(AN$310&gt;$V327,0,SUM($Y294:AN294)/$W327))</f>
        <v>0</v>
      </c>
      <c r="AO327" s="1155">
        <f>IF(OR($V327=0,$W327=0),0,IF(AO$310&gt;$V327,0,SUM($Y294:AO294)/$W327))</f>
        <v>0</v>
      </c>
      <c r="AP327" s="1155">
        <f>IF(OR($V327=0,$W327=0),0,IF(AP$310&gt;$V327,0,SUM($Y294:AP294)/$W327))</f>
        <v>0</v>
      </c>
      <c r="AQ327" s="1155">
        <f>IF(OR($V327=0,$W327=0),0,IF(AQ$310&gt;$V327,0,SUM($Y294:AQ294)/$W327))</f>
        <v>0</v>
      </c>
      <c r="AR327" s="1155">
        <f>IF(OR($V327=0,$W327=0),0,IF(AR$310&gt;$V327,0,SUM($Y294:AR294)/$W327))</f>
        <v>0</v>
      </c>
      <c r="AS327" s="1155">
        <f>IF(OR($V327=0,$W327=0),0,IF(AS$310&gt;$V327,0,SUM($Y294:AS294)/$W327))</f>
        <v>0</v>
      </c>
      <c r="AT327" s="1155">
        <f>IF(OR($V327=0,$W327=0),0,IF(AT$310&gt;$V327,0,SUM($Y294:AT294)/$W327))</f>
        <v>0</v>
      </c>
      <c r="AU327" s="1155">
        <f>IF(OR($V327=0,$W327=0),0,IF(AU$310&gt;$V327,0,SUM($Y294:AU294)/$W327))</f>
        <v>0</v>
      </c>
      <c r="AV327" s="1155">
        <f>IF(OR($V327=0,$W327=0),0,IF(AV$310&gt;$V327,0,SUM($Y294:AV294)/$W327))</f>
        <v>0</v>
      </c>
      <c r="AW327" s="1155">
        <f>IF(OR($V327=0,$W327=0),0,IF(AW$310&gt;$V327,0,SUM($Y294:AW294)/$W327))</f>
        <v>0</v>
      </c>
      <c r="AX327" s="1155">
        <f>IF(OR($V327=0,$W327=0),0,IF(AX$310&gt;$V327,0,SUM($Y294:AX294)/$W327))</f>
        <v>0</v>
      </c>
      <c r="AY327" s="1155">
        <f>IF(OR($V327=0,$W327=0),0,IF(AY$310&gt;$V327,0,SUM($Y294:AY294)/$W327))</f>
        <v>0</v>
      </c>
      <c r="AZ327" s="1155">
        <f>IF(OR($V327=0,$W327=0),0,IF(AZ$310&gt;$V327,0,SUM($Y294:AZ294)/$W327))</f>
        <v>0</v>
      </c>
      <c r="BA327" s="1155">
        <f>IF(OR($V327=0,$W327=0),0,IF(BA$310&gt;$V327,0,SUM($Y294:BA294)/$W327))</f>
        <v>0</v>
      </c>
      <c r="BB327" s="1155">
        <f>IF(OR($V327=0,$W327=0),0,IF(BB$310&gt;$V327,0,SUM($Y294:BB294)/$W327))</f>
        <v>0</v>
      </c>
      <c r="BC327" s="1155">
        <f>IF(OR($V327=0,$W327=0),0,IF(BC$310&gt;$V327,0,SUM($Y294:BC294)/$W327))</f>
        <v>0</v>
      </c>
      <c r="BD327" s="1155">
        <f>IF(OR($V327=0,$W327=0),0,IF(BD$310&gt;$V327,0,SUM($Y294:BD294)/$W327))</f>
        <v>0</v>
      </c>
      <c r="BE327" s="1155">
        <f>IF(OR($V327=0,$W327=0),0,IF(BE$310&gt;$V327,0,SUM($Y294:BE294)/$W327))</f>
        <v>0</v>
      </c>
      <c r="BF327" s="1155">
        <f>IF(OR($V327=0,$W327=0),0,IF(BF$310&gt;$V327,0,SUM($Y294:BF294)/$W327))</f>
        <v>0</v>
      </c>
      <c r="BG327" s="1155">
        <f>IF(OR($V327=0,$W327=0),0,IF(BG$310&gt;$V327,0,SUM($Y294:BG294)/$W327))</f>
        <v>0</v>
      </c>
      <c r="BH327" s="1155">
        <f>IF(OR($V327=0,$W327=0),0,IF(BH$310&gt;$V327,0,SUM($Y294:BH294)/$W327))</f>
        <v>0</v>
      </c>
      <c r="BI327" s="1155">
        <f>IF(OR($V327=0,$W327=0),0,IF(BI$310&gt;$V327,0,SUM($Y294:BI294)/$W327))</f>
        <v>0</v>
      </c>
      <c r="BJ327" s="1155">
        <f>IF(OR($V327=0,$W327=0),0,IF(BJ$310&gt;$V327,0,SUM($Y294:BJ294)/$W327))</f>
        <v>0</v>
      </c>
      <c r="BK327" s="1155">
        <f>IF(OR($V327=0,$W327=0),0,IF(BK$310&gt;$V327,0,SUM($Y294:BK294)/$W327))</f>
        <v>0</v>
      </c>
      <c r="BL327" s="1155">
        <f>IF(OR($V327=0,$W327=0),0,IF(BL$310&gt;$V327,0,SUM($Y294:BL294)/$W327))</f>
        <v>0</v>
      </c>
      <c r="BM327" s="1155">
        <f>IF(OR($V327=0,$W327=0),0,IF(BM$310&gt;$V327,0,SUM($Y294:BM294)/$W327))</f>
        <v>0</v>
      </c>
      <c r="BN327" s="1155">
        <f>IF(OR($V327=0,$W327=0),0,IF(BN$310&gt;$V327,0,SUM($Y294:BN294)/$W327))</f>
        <v>0</v>
      </c>
      <c r="BO327" s="1155">
        <f>IF(OR($V327=0,$W327=0),0,IF(BO$310&gt;$V327,0,SUM($Y294:BO294)/$W327))</f>
        <v>0</v>
      </c>
      <c r="BP327" s="1155">
        <f>IF(OR($V327=0,$W327=0),0,IF(BP$310&gt;$V327,0,SUM($Y294:BP294)/$W327))</f>
        <v>0</v>
      </c>
      <c r="BQ327" s="1155">
        <f>IF(OR($V327=0,$W327=0),0,IF(BQ$310&gt;$V327,0,SUM($Y294:BQ294)/$W327))</f>
        <v>0</v>
      </c>
      <c r="BR327" s="1155">
        <f>IF(OR($V327=0,$W327=0),0,IF(BR$310&gt;$V327,0,SUM($Y294:BR294)/$W327))</f>
        <v>0</v>
      </c>
      <c r="BS327" s="1155">
        <f>IF(OR($V327=0,$W327=0),0,IF(BS$310&gt;$V327,0,SUM($Y294:BS294)/$W327))</f>
        <v>0</v>
      </c>
      <c r="BT327" s="1155">
        <f>IF(OR($V327=0,$W327=0),0,IF(BT$310&gt;$V327,0,SUM($Y294:BT294)/$W327))</f>
        <v>0</v>
      </c>
      <c r="BU327" s="1155">
        <f>IF(OR($V327=0,$W327=0),0,IF(BU$310&gt;$V327,0,SUM($Y294:BU294)/$W327))</f>
        <v>0</v>
      </c>
      <c r="BV327" s="1155">
        <f>IF(OR($V327=0,$W327=0),0,IF(BV$310&gt;$V327,0,SUM($Y294:BV294)/$W327))</f>
        <v>0</v>
      </c>
      <c r="BW327" s="1155">
        <f>IF(OR($V327=0,$W327=0),0,IF(BW$310&gt;$V327,0,SUM($Y294:BW294)/$W327))</f>
        <v>0</v>
      </c>
      <c r="BX327" s="1457">
        <f>IF(OR($V327=0,$W327=0),0,IF(BX$310&gt;$V327,0,SUM($Y294:BX294)/$W327))</f>
        <v>0</v>
      </c>
      <c r="BY327" s="1457">
        <f>IF(OR($V327=0,$W327=0),0,IF(BY$310&gt;$V327,0,SUM($Y294:BY294)/$W327))</f>
        <v>0</v>
      </c>
      <c r="BZ327" s="1162">
        <f>IF(OR($V327=0,$W327=0),0,IF(BZ$310&gt;$V327,0,SUM($Y294:BZ294)/$W327))</f>
        <v>0</v>
      </c>
      <c r="CA327" s="1162">
        <f>IF(OR($V327=0,$W327=0),0,IF(CA$310&gt;$V327,0,SUM($Y294:CA294)/$W327))</f>
        <v>0</v>
      </c>
      <c r="CB327" s="1162">
        <f>IF(OR($V327=0,$W327=0),0,IF(CB$310&gt;$V327,0,SUM($Y294:CB294)/$W327))</f>
        <v>0</v>
      </c>
      <c r="CC327" s="1162">
        <f>IF(OR($V327=0,$W327=0),0,IF(CC$310&gt;$V327,0,SUM($Y294:CC294)/$W327))</f>
        <v>0</v>
      </c>
      <c r="CD327" s="1162">
        <f>IF(OR($V327=0,$W327=0),0,IF(CD$310&gt;$V327,0,SUM($Y294:CD294)/$W327))</f>
        <v>0</v>
      </c>
      <c r="CE327" s="1162">
        <f>IF(OR($V327=0,$W327=0),0,IF(CE$310&gt;$V327,0,SUM($Y294:CE294)/$W327))</f>
        <v>0</v>
      </c>
      <c r="CF327" s="1162">
        <f>IF(OR($V327=0,$W327=0),0,IF(CF$310&gt;$V327,0,SUM($Y294:CF294)/$W327))</f>
        <v>0</v>
      </c>
      <c r="CG327" s="1162">
        <f>IF(OR($V327=0,$W327=0),0,IF(CG$310&gt;$V327,0,SUM($Y294:CG294)/$W327))</f>
        <v>0</v>
      </c>
      <c r="CH327" s="1162">
        <f>IF(OR($V327=0,$W327=0),0,IF(CH$310&gt;$V327,0,SUM($Y294:CH294)/$W327))</f>
        <v>0</v>
      </c>
      <c r="CI327" s="1162">
        <f>IF(OR($V327=0,$W327=0),0,IF(CI$310&gt;$V327,0,SUM($Y294:CI294)/$W327))</f>
        <v>0</v>
      </c>
      <c r="CJ327" s="1162">
        <f>IF(OR($V327=0,$W327=0),0,IF(CJ$310&gt;$V327,0,SUM($Y294:CJ294)/$W327))</f>
        <v>0</v>
      </c>
      <c r="CK327" s="1162">
        <f>IF(OR($V327=0,$W327=0),0,IF(CK$310&gt;$V327,0,SUM($Y294:CK294)/$W327))</f>
        <v>0</v>
      </c>
      <c r="CL327" s="1162">
        <f>IF(OR($V327=0,$W327=0),0,IF(CL$310&gt;$V327,0,SUM($Y294:CL294)/$W327))</f>
        <v>0</v>
      </c>
      <c r="CM327" s="1162">
        <f>IF(OR($V327=0,$W327=0),0,IF(CM$310&gt;$V327,0,SUM($Y294:CM294)/$W327))</f>
        <v>0</v>
      </c>
      <c r="CN327" s="1162">
        <f>IF(OR($V327=0,$W327=0),0,IF(CN$310&gt;$V327,0,SUM($Y294:CN294)/$W327))</f>
        <v>0</v>
      </c>
      <c r="CO327" s="1162">
        <f>IF(OR($V327=0,$W327=0),0,IF(CO$310&gt;$V327,0,SUM($Y294:CO294)/$W327))</f>
        <v>0</v>
      </c>
      <c r="CP327" s="1162">
        <f>IF(OR($V327=0,$W327=0),0,IF(CP$310&gt;$V327,0,SUM($Y294:CP294)/$W327))</f>
        <v>0</v>
      </c>
      <c r="CQ327" s="48">
        <f>IF(OR($V327=0,$W327=0),0,IF(CQ$310&gt;$V327,0,SUM($Y294:CQ294)/$W327))</f>
        <v>0</v>
      </c>
      <c r="CR327" s="48">
        <f>IF(OR($V327=0,$W327=0),0,IF(CR$310&gt;$V327,0,SUM($Y294:CR294)/$W327))</f>
        <v>0</v>
      </c>
      <c r="CS327" s="48">
        <f>IF(OR($V327=0,$W327=0),0,IF(CS$310&gt;$V327,0,SUM($Y294:CS294)/$W327))</f>
        <v>0</v>
      </c>
      <c r="CT327" s="48">
        <f>IF(OR($V327=0,$W327=0),0,IF(CT$310&gt;$V327,0,SUM($Y294:CT294)/$W327))</f>
        <v>0</v>
      </c>
      <c r="CU327" s="48">
        <f>IF(OR($V327=0,$W327=0),0,IF(CU$310&gt;$V327,0,SUM($Y294:CU294)/$W327))</f>
        <v>0</v>
      </c>
      <c r="CV327" s="48">
        <f>IF(OR($V327=0,$W327=0),0,IF(CV$310&gt;$V327,0,SUM($Y294:CV294)/$W327))</f>
        <v>0</v>
      </c>
      <c r="CW327" s="48">
        <f>IF(OR($V327=0,$W327=0),0,IF(CW$310&gt;$V327,0,SUM($Y294:CW294)/$W327))</f>
        <v>0</v>
      </c>
      <c r="CX327" s="48">
        <f>IF(OR($V327=0,$W327=0),0,IF(CX$310&gt;$V327,0,SUM($Y294:CX294)/$W327))</f>
        <v>0</v>
      </c>
      <c r="CY327" s="48">
        <f>IF(OR($V327=0,$W327=0),0,IF(CY$310&gt;$V327,0,SUM($Y294:CY294)/$W327))</f>
        <v>0</v>
      </c>
      <c r="CZ327" s="48">
        <f>IF(OR($V327=0,$W327=0),0,IF(CZ$310&gt;$V327,0,SUM($Y294:CZ294)/$W327))</f>
        <v>0</v>
      </c>
      <c r="DA327" s="48">
        <f>IF(OR($V327=0,$W327=0),0,IF(DA$310&gt;$V327,0,SUM($Y294:DA294)/$W327))</f>
        <v>0</v>
      </c>
      <c r="DB327" s="48">
        <f>IF(OR($V327=0,$W327=0),0,IF(DB$310&gt;$V327,0,SUM($Y294:DB294)/$W327))</f>
        <v>0</v>
      </c>
      <c r="DC327" s="48">
        <f>IF(OR($V327=0,$W327=0),0,IF(DC$310&gt;$V327,0,SUM($Y294:DC294)/$W327))</f>
        <v>0</v>
      </c>
      <c r="DD327" s="48">
        <f>IF(OR($V327=0,$W327=0),0,IF(DD$310&gt;$V327,0,SUM($Y294:DD294)/$W327))</f>
        <v>0</v>
      </c>
      <c r="DE327" s="48">
        <f>IF(OR($V327=0,$W327=0),0,IF(DE$310&gt;$V327,0,SUM($Y294:DE294)/$W327))</f>
        <v>0</v>
      </c>
      <c r="DF327" s="48">
        <f>IF(OR($V327=0,$W327=0),0,IF(DF$310&gt;$V327,0,SUM($Y294:DF294)/$W327))</f>
        <v>0</v>
      </c>
      <c r="DG327" s="48">
        <f>IF(OR($V327=0,$W327=0),0,IF(DG$310&gt;$V327,0,SUM($Y294:DG294)/$W327))</f>
        <v>0</v>
      </c>
      <c r="DH327" s="48">
        <f>IF(OR($V327=0,$W327=0),0,IF(DH$310&gt;$V327,0,SUM($Y294:DH294)/$W327))</f>
        <v>0</v>
      </c>
      <c r="DI327" s="48">
        <f>IF(OR($V327=0,$W327=0),0,IF(DI$310&gt;$V327,0,SUM($Y294:DI294)/$W327))</f>
        <v>0</v>
      </c>
      <c r="DJ327" s="48">
        <f>IF(OR($V327=0,$W327=0),0,IF(DJ$310&gt;$V327,0,SUM($Y294:DJ294)/$W327))</f>
        <v>0</v>
      </c>
      <c r="DK327" s="48">
        <f>IF(OR($V327=0,$W327=0),0,IF(DK$310&gt;$V327,0,SUM($Y294:DK294)/$W327))</f>
        <v>0</v>
      </c>
      <c r="DL327" s="48">
        <f>IF(OR($V327=0,$W327=0),0,IF(DL$310&gt;$V327,0,SUM($Y294:DL294)/$W327))</f>
        <v>0</v>
      </c>
      <c r="DM327" s="48">
        <f>IF(OR($V327=0,$W327=0),0,IF(DM$310&gt;$V327,0,SUM($Y294:DM294)/$W327))</f>
        <v>0</v>
      </c>
      <c r="DN327" s="48">
        <f>IF(OR($V327=0,$W327=0),0,IF(DN$310&gt;$V327,0,SUM($Y294:DN294)/$W327))</f>
        <v>0</v>
      </c>
      <c r="DO327" s="48">
        <f>IF(OR($V327=0,$W327=0),0,IF(DO$310&gt;$V327,0,SUM($Y294:DO294)/$W327))</f>
        <v>0</v>
      </c>
      <c r="DP327" s="48">
        <f>IF(OR($V327=0,$W327=0),0,IF(DP$310&gt;$V327,0,SUM($Y294:DP294)/$W327))</f>
        <v>0</v>
      </c>
      <c r="DQ327" s="48">
        <f>IF(OR($V327=0,$W327=0),0,IF(DQ$310&gt;$V327,0,SUM($Y294:DQ294)/$W327))</f>
        <v>0</v>
      </c>
      <c r="DR327" s="50">
        <f>IF(OR($V327=0,$W327=0),0,IF(DR$310&gt;$V327,0,SUM($Y294:DR294)/$W327))</f>
        <v>0</v>
      </c>
      <c r="DS327" s="50">
        <f>IF(OR($V327=0,$W327=0),0,IF(DS$310&gt;$V327,0,SUM($Y294:DS294)/$W327))</f>
        <v>0</v>
      </c>
      <c r="DT327" s="50">
        <f>IF(OR($V327=0,$W327=0),0,IF(DT$310&gt;$V327,0,SUM($Y294:DT294)/$W327))</f>
        <v>0</v>
      </c>
      <c r="DU327" s="50">
        <f>IF(OR($V327=0,$W327=0),0,IF(DU$310&gt;$V327,0,SUM($Y294:DU294)/$W327))</f>
        <v>0</v>
      </c>
      <c r="DV327" s="50">
        <f>IF(OR($V327=0,$W327=0),0,IF(DV$310&gt;$V327,0,SUM($Y294:DV294)/$W327))</f>
        <v>0</v>
      </c>
      <c r="DW327" s="50">
        <f>IF(OR($V327=0,$W327=0),0,IF(DW$310&gt;$V327,0,SUM($Y294:DW294)/$W327))</f>
        <v>0</v>
      </c>
      <c r="DX327" s="50">
        <f>IF(OR($V327=0,$W327=0),0,IF(DX$310&gt;$V327,0,SUM($Y294:DX294)/$W327))</f>
        <v>0</v>
      </c>
      <c r="DY327" s="50">
        <f>IF(OR($V327=0,$W327=0),0,IF(DY$310&gt;$V327,0,SUM($Y294:DY294)/$W327))</f>
        <v>0</v>
      </c>
      <c r="DZ327" s="50">
        <f>IF(OR($V327=0,$W327=0),0,IF(DZ$310&gt;$V327,0,SUM($Y294:DZ294)/$W327))</f>
        <v>0</v>
      </c>
      <c r="EA327" s="50">
        <f>IF(OR($V327=0,$W327=0),0,IF(EA$310&gt;$V327,0,SUM($Y294:EA294)/$W327))</f>
        <v>0</v>
      </c>
      <c r="EB327" s="50">
        <f>IF(OR($V327=0,$W327=0),0,IF(EB$310&gt;$V327,0,SUM($Y294:EB294)/$W327))</f>
        <v>0</v>
      </c>
      <c r="EC327" s="50">
        <f>IF(OR($V327=0,$W327=0),0,IF(EC$310&gt;$V327,0,SUM($Y294:EC294)/$W327))</f>
        <v>0</v>
      </c>
      <c r="ED327" s="50">
        <f>IF(OR($V327=0,$W327=0),0,IF(ED$310&gt;$V327,0,SUM($Y294:ED294)/$W327))</f>
        <v>0</v>
      </c>
      <c r="EE327" s="50">
        <f>IF(OR($V327=0,$W327=0),0,IF(EE$310&gt;$V327,0,SUM($Y294:EE294)/$W327))</f>
        <v>0</v>
      </c>
      <c r="EF327" s="50">
        <f>IF(OR($V327=0,$W327=0),0,IF(EF$310&gt;$V327,0,SUM($Y294:EF294)/$W327))</f>
        <v>0</v>
      </c>
      <c r="EG327" s="50">
        <f>IF(OR($V327=0,$W327=0),0,IF(EG$310&gt;$V327,0,SUM($Y294:EG294)/$W327))</f>
        <v>0</v>
      </c>
      <c r="EH327" s="50">
        <f>IF(OR($V327=0,$W327=0),0,IF(EH$310&gt;$V327,0,SUM($Y294:EH294)/$W327))</f>
        <v>0</v>
      </c>
      <c r="EI327" s="50">
        <f>IF(OR($V327=0,$W327=0),0,IF(EI$310&gt;$V327,0,SUM($Y294:EI294)/$W327))</f>
        <v>0</v>
      </c>
      <c r="EJ327" s="50">
        <f>IF(OR($V327=0,$W327=0),0,IF(EJ$310&gt;$V327,0,SUM($Y294:EJ294)/$W327))</f>
        <v>0</v>
      </c>
      <c r="EK327" s="50">
        <f>IF(OR($V327=0,$W327=0),0,IF(EK$310&gt;$V327,0,SUM($Y294:EK294)/$W327))</f>
        <v>0</v>
      </c>
      <c r="EL327" s="50">
        <f>IF(OR($V327=0,$W327=0),0,IF(EL$310&gt;$V327,0,SUM($Y294:EL294)/$W327))</f>
        <v>0</v>
      </c>
      <c r="EM327" s="50">
        <f>IF(OR($V327=0,$W327=0),0,IF(EM$310&gt;$V327,0,SUM($Y294:EM294)/$W327))</f>
        <v>0</v>
      </c>
      <c r="EN327" s="50">
        <f>IF(OR($V327=0,$W327=0),0,IF(EN$310&gt;$V327,0,SUM($Y294:EN294)/$W327))</f>
        <v>0</v>
      </c>
      <c r="EO327" s="39">
        <v>51</v>
      </c>
      <c r="EP327" s="39">
        <v>51</v>
      </c>
      <c r="EQ327" s="39">
        <v>51</v>
      </c>
      <c r="ER327" s="39">
        <v>51</v>
      </c>
      <c r="ES327" s="39">
        <v>51</v>
      </c>
      <c r="ET327" s="39">
        <v>51</v>
      </c>
      <c r="EU327" s="39">
        <v>51</v>
      </c>
      <c r="EV327" s="39">
        <v>51</v>
      </c>
      <c r="EW327" s="39">
        <v>51</v>
      </c>
      <c r="EX327" s="39">
        <v>51</v>
      </c>
    </row>
    <row r="328" spans="1:154" ht="12" customHeight="1" x14ac:dyDescent="0.35">
      <c r="A328" s="67">
        <v>51</v>
      </c>
      <c r="B328" s="1438">
        <f t="shared" si="144"/>
        <v>1552</v>
      </c>
      <c r="C328" s="1440">
        <v>51</v>
      </c>
      <c r="D328" s="82"/>
      <c r="E328" s="82"/>
      <c r="F328" s="82"/>
      <c r="G328" s="1448"/>
      <c r="H328" s="1448"/>
      <c r="I328" s="1448"/>
      <c r="J328" s="1448"/>
      <c r="K328" s="1668"/>
      <c r="L328" s="1668"/>
      <c r="M328" s="1668"/>
      <c r="N328" s="1669"/>
      <c r="O328" s="1669"/>
      <c r="P328" s="1670"/>
      <c r="Q328" s="1671"/>
      <c r="R328" s="1671"/>
      <c r="S328" s="1671"/>
      <c r="T328" s="1667"/>
      <c r="U328" s="1672"/>
      <c r="V328" s="1636">
        <f t="shared" si="145"/>
        <v>0</v>
      </c>
      <c r="W328" s="102">
        <f t="shared" si="146"/>
        <v>0</v>
      </c>
      <c r="X328" s="381">
        <f t="shared" si="147"/>
        <v>0</v>
      </c>
      <c r="Y328" s="1645">
        <f>IF(OR($V328=0,$W328=0),0,IF(Y$310&gt;$V328,0,SUM($Y295:Y295)/$W328))</f>
        <v>0</v>
      </c>
      <c r="Z328" s="1646">
        <f>IF(OR($V328=0,$W328=0),0,IF(Z$310&gt;$V328,0,SUM($Y295:Z295)/$W328))</f>
        <v>0</v>
      </c>
      <c r="AA328" s="1646">
        <f>IF(OR($V328=0,$W328=0),0,IF(AA$310&gt;$V328,0,SUM($Y295:AA295)/$W328))</f>
        <v>0</v>
      </c>
      <c r="AB328" s="1646">
        <f>IF(OR($V328=0,$W328=0),0,IF(AB$310&gt;$V328,0,SUM($Y295:AB295)/$W328))</f>
        <v>0</v>
      </c>
      <c r="AC328" s="1646">
        <f>IF(OR($V328=0,$W328=0),0,IF(AC$310&gt;$V328,0,SUM($Y295:AC295)/$W328))</f>
        <v>0</v>
      </c>
      <c r="AD328" s="1646">
        <f>IF(OR($V328=0,$W328=0),0,IF(AD$310&gt;$V328,0,SUM($Y295:AD295)/$W328))</f>
        <v>0</v>
      </c>
      <c r="AE328" s="1646">
        <f>IF(OR($V328=0,$W328=0),0,IF(AE$310&gt;$V328,0,SUM($Y295:AE295)/$W328))</f>
        <v>0</v>
      </c>
      <c r="AF328" s="1155">
        <f>IF(OR($V328=0,$W328=0),0,IF(AF$310&gt;$V328,0,SUM($Y295:AF295)/$W328))</f>
        <v>0</v>
      </c>
      <c r="AG328" s="1155">
        <f>IF(OR($V328=0,$W328=0),0,IF(AG$310&gt;$V328,0,SUM($Y295:AG295)/$W328))</f>
        <v>0</v>
      </c>
      <c r="AH328" s="1155">
        <f>IF(OR($V328=0,$W328=0),0,IF(AH$310&gt;$V328,0,SUM($Y295:AH295)/$W328))</f>
        <v>0</v>
      </c>
      <c r="AI328" s="1155">
        <f>IF(OR($V328=0,$W328=0),0,IF(AI$310&gt;$V328,0,SUM($Y295:AI295)/$W328))</f>
        <v>0</v>
      </c>
      <c r="AJ328" s="1155">
        <f>IF(OR($V328=0,$W328=0),0,IF(AJ$310&gt;$V328,0,SUM($Y295:AJ295)/$W328))</f>
        <v>0</v>
      </c>
      <c r="AK328" s="1155">
        <f>IF(OR($V328=0,$W328=0),0,IF(AK$310&gt;$V328,0,SUM($Y295:AK295)/$W328))</f>
        <v>0</v>
      </c>
      <c r="AL328" s="1155">
        <f>IF(OR($V328=0,$W328=0),0,IF(AL$310&gt;$V328,0,SUM($Y295:AL295)/$W328))</f>
        <v>0</v>
      </c>
      <c r="AM328" s="1155">
        <f>IF(OR($V328=0,$W328=0),0,IF(AM$310&gt;$V328,0,SUM($Y295:AM295)/$W328))</f>
        <v>0</v>
      </c>
      <c r="AN328" s="1155">
        <f>IF(OR($V328=0,$W328=0),0,IF(AN$310&gt;$V328,0,SUM($Y295:AN295)/$W328))</f>
        <v>0</v>
      </c>
      <c r="AO328" s="1155">
        <f>IF(OR($V328=0,$W328=0),0,IF(AO$310&gt;$V328,0,SUM($Y295:AO295)/$W328))</f>
        <v>0</v>
      </c>
      <c r="AP328" s="1155">
        <f>IF(OR($V328=0,$W328=0),0,IF(AP$310&gt;$V328,0,SUM($Y295:AP295)/$W328))</f>
        <v>0</v>
      </c>
      <c r="AQ328" s="1155">
        <f>IF(OR($V328=0,$W328=0),0,IF(AQ$310&gt;$V328,0,SUM($Y295:AQ295)/$W328))</f>
        <v>0</v>
      </c>
      <c r="AR328" s="1155">
        <f>IF(OR($V328=0,$W328=0),0,IF(AR$310&gt;$V328,0,SUM($Y295:AR295)/$W328))</f>
        <v>0</v>
      </c>
      <c r="AS328" s="1155">
        <f>IF(OR($V328=0,$W328=0),0,IF(AS$310&gt;$V328,0,SUM($Y295:AS295)/$W328))</f>
        <v>0</v>
      </c>
      <c r="AT328" s="1155">
        <f>IF(OR($V328=0,$W328=0),0,IF(AT$310&gt;$V328,0,SUM($Y295:AT295)/$W328))</f>
        <v>0</v>
      </c>
      <c r="AU328" s="1155">
        <f>IF(OR($V328=0,$W328=0),0,IF(AU$310&gt;$V328,0,SUM($Y295:AU295)/$W328))</f>
        <v>0</v>
      </c>
      <c r="AV328" s="1155">
        <f>IF(OR($V328=0,$W328=0),0,IF(AV$310&gt;$V328,0,SUM($Y295:AV295)/$W328))</f>
        <v>0</v>
      </c>
      <c r="AW328" s="1155">
        <f>IF(OR($V328=0,$W328=0),0,IF(AW$310&gt;$V328,0,SUM($Y295:AW295)/$W328))</f>
        <v>0</v>
      </c>
      <c r="AX328" s="1155">
        <f>IF(OR($V328=0,$W328=0),0,IF(AX$310&gt;$V328,0,SUM($Y295:AX295)/$W328))</f>
        <v>0</v>
      </c>
      <c r="AY328" s="1155">
        <f>IF(OR($V328=0,$W328=0),0,IF(AY$310&gt;$V328,0,SUM($Y295:AY295)/$W328))</f>
        <v>0</v>
      </c>
      <c r="AZ328" s="1155">
        <f>IF(OR($V328=0,$W328=0),0,IF(AZ$310&gt;$V328,0,SUM($Y295:AZ295)/$W328))</f>
        <v>0</v>
      </c>
      <c r="BA328" s="1155">
        <f>IF(OR($V328=0,$W328=0),0,IF(BA$310&gt;$V328,0,SUM($Y295:BA295)/$W328))</f>
        <v>0</v>
      </c>
      <c r="BB328" s="1155">
        <f>IF(OR($V328=0,$W328=0),0,IF(BB$310&gt;$V328,0,SUM($Y295:BB295)/$W328))</f>
        <v>0</v>
      </c>
      <c r="BC328" s="1155">
        <f>IF(OR($V328=0,$W328=0),0,IF(BC$310&gt;$V328,0,SUM($Y295:BC295)/$W328))</f>
        <v>0</v>
      </c>
      <c r="BD328" s="1155">
        <f>IF(OR($V328=0,$W328=0),0,IF(BD$310&gt;$V328,0,SUM($Y295:BD295)/$W328))</f>
        <v>0</v>
      </c>
      <c r="BE328" s="1155">
        <f>IF(OR($V328=0,$W328=0),0,IF(BE$310&gt;$V328,0,SUM($Y295:BE295)/$W328))</f>
        <v>0</v>
      </c>
      <c r="BF328" s="1155">
        <f>IF(OR($V328=0,$W328=0),0,IF(BF$310&gt;$V328,0,SUM($Y295:BF295)/$W328))</f>
        <v>0</v>
      </c>
      <c r="BG328" s="1155">
        <f>IF(OR($V328=0,$W328=0),0,IF(BG$310&gt;$V328,0,SUM($Y295:BG295)/$W328))</f>
        <v>0</v>
      </c>
      <c r="BH328" s="1155">
        <f>IF(OR($V328=0,$W328=0),0,IF(BH$310&gt;$V328,0,SUM($Y295:BH295)/$W328))</f>
        <v>0</v>
      </c>
      <c r="BI328" s="1155">
        <f>IF(OR($V328=0,$W328=0),0,IF(BI$310&gt;$V328,0,SUM($Y295:BI295)/$W328))</f>
        <v>0</v>
      </c>
      <c r="BJ328" s="1155">
        <f>IF(OR($V328=0,$W328=0),0,IF(BJ$310&gt;$V328,0,SUM($Y295:BJ295)/$W328))</f>
        <v>0</v>
      </c>
      <c r="BK328" s="1155">
        <f>IF(OR($V328=0,$W328=0),0,IF(BK$310&gt;$V328,0,SUM($Y295:BK295)/$W328))</f>
        <v>0</v>
      </c>
      <c r="BL328" s="1155">
        <f>IF(OR($V328=0,$W328=0),0,IF(BL$310&gt;$V328,0,SUM($Y295:BL295)/$W328))</f>
        <v>0</v>
      </c>
      <c r="BM328" s="1155">
        <f>IF(OR($V328=0,$W328=0),0,IF(BM$310&gt;$V328,0,SUM($Y295:BM295)/$W328))</f>
        <v>0</v>
      </c>
      <c r="BN328" s="1155">
        <f>IF(OR($V328=0,$W328=0),0,IF(BN$310&gt;$V328,0,SUM($Y295:BN295)/$W328))</f>
        <v>0</v>
      </c>
      <c r="BO328" s="1155">
        <f>IF(OR($V328=0,$W328=0),0,IF(BO$310&gt;$V328,0,SUM($Y295:BO295)/$W328))</f>
        <v>0</v>
      </c>
      <c r="BP328" s="1155">
        <f>IF(OR($V328=0,$W328=0),0,IF(BP$310&gt;$V328,0,SUM($Y295:BP295)/$W328))</f>
        <v>0</v>
      </c>
      <c r="BQ328" s="1155">
        <f>IF(OR($V328=0,$W328=0),0,IF(BQ$310&gt;$V328,0,SUM($Y295:BQ295)/$W328))</f>
        <v>0</v>
      </c>
      <c r="BR328" s="1155">
        <f>IF(OR($V328=0,$W328=0),0,IF(BR$310&gt;$V328,0,SUM($Y295:BR295)/$W328))</f>
        <v>0</v>
      </c>
      <c r="BS328" s="1155">
        <f>IF(OR($V328=0,$W328=0),0,IF(BS$310&gt;$V328,0,SUM($Y295:BS295)/$W328))</f>
        <v>0</v>
      </c>
      <c r="BT328" s="1155">
        <f>IF(OR($V328=0,$W328=0),0,IF(BT$310&gt;$V328,0,SUM($Y295:BT295)/$W328))</f>
        <v>0</v>
      </c>
      <c r="BU328" s="1155">
        <f>IF(OR($V328=0,$W328=0),0,IF(BU$310&gt;$V328,0,SUM($Y295:BU295)/$W328))</f>
        <v>0</v>
      </c>
      <c r="BV328" s="1155">
        <f>IF(OR($V328=0,$W328=0),0,IF(BV$310&gt;$V328,0,SUM($Y295:BV295)/$W328))</f>
        <v>0</v>
      </c>
      <c r="BW328" s="1155">
        <f>IF(OR($V328=0,$W328=0),0,IF(BW$310&gt;$V328,0,SUM($Y295:BW295)/$W328))</f>
        <v>0</v>
      </c>
      <c r="BX328" s="1457">
        <f>IF(OR($V328=0,$W328=0),0,IF(BX$310&gt;$V328,0,SUM($Y295:BX295)/$W328))</f>
        <v>0</v>
      </c>
      <c r="BY328" s="1457">
        <f>IF(OR($V328=0,$W328=0),0,IF(BY$310&gt;$V328,0,SUM($Y295:BY295)/$W328))</f>
        <v>0</v>
      </c>
      <c r="BZ328" s="1162">
        <f>IF(OR($V328=0,$W328=0),0,IF(BZ$310&gt;$V328,0,SUM($Y295:BZ295)/$W328))</f>
        <v>0</v>
      </c>
      <c r="CA328" s="1162">
        <f>IF(OR($V328=0,$W328=0),0,IF(CA$310&gt;$V328,0,SUM($Y295:CA295)/$W328))</f>
        <v>0</v>
      </c>
      <c r="CB328" s="1162">
        <f>IF(OR($V328=0,$W328=0),0,IF(CB$310&gt;$V328,0,SUM($Y295:CB295)/$W328))</f>
        <v>0</v>
      </c>
      <c r="CC328" s="1162">
        <f>IF(OR($V328=0,$W328=0),0,IF(CC$310&gt;$V328,0,SUM($Y295:CC295)/$W328))</f>
        <v>0</v>
      </c>
      <c r="CD328" s="1162">
        <f>IF(OR($V328=0,$W328=0),0,IF(CD$310&gt;$V328,0,SUM($Y295:CD295)/$W328))</f>
        <v>0</v>
      </c>
      <c r="CE328" s="1162">
        <f>IF(OR($V328=0,$W328=0),0,IF(CE$310&gt;$V328,0,SUM($Y295:CE295)/$W328))</f>
        <v>0</v>
      </c>
      <c r="CF328" s="1162">
        <f>IF(OR($V328=0,$W328=0),0,IF(CF$310&gt;$V328,0,SUM($Y295:CF295)/$W328))</f>
        <v>0</v>
      </c>
      <c r="CG328" s="1162">
        <f>IF(OR($V328=0,$W328=0),0,IF(CG$310&gt;$V328,0,SUM($Y295:CG295)/$W328))</f>
        <v>0</v>
      </c>
      <c r="CH328" s="1162">
        <f>IF(OR($V328=0,$W328=0),0,IF(CH$310&gt;$V328,0,SUM($Y295:CH295)/$W328))</f>
        <v>0</v>
      </c>
      <c r="CI328" s="1162">
        <f>IF(OR($V328=0,$W328=0),0,IF(CI$310&gt;$V328,0,SUM($Y295:CI295)/$W328))</f>
        <v>0</v>
      </c>
      <c r="CJ328" s="1162">
        <f>IF(OR($V328=0,$W328=0),0,IF(CJ$310&gt;$V328,0,SUM($Y295:CJ295)/$W328))</f>
        <v>0</v>
      </c>
      <c r="CK328" s="1162">
        <f>IF(OR($V328=0,$W328=0),0,IF(CK$310&gt;$V328,0,SUM($Y295:CK295)/$W328))</f>
        <v>0</v>
      </c>
      <c r="CL328" s="1162">
        <f>IF(OR($V328=0,$W328=0),0,IF(CL$310&gt;$V328,0,SUM($Y295:CL295)/$W328))</f>
        <v>0</v>
      </c>
      <c r="CM328" s="1162">
        <f>IF(OR($V328=0,$W328=0),0,IF(CM$310&gt;$V328,0,SUM($Y295:CM295)/$W328))</f>
        <v>0</v>
      </c>
      <c r="CN328" s="1162">
        <f>IF(OR($V328=0,$W328=0),0,IF(CN$310&gt;$V328,0,SUM($Y295:CN295)/$W328))</f>
        <v>0</v>
      </c>
      <c r="CO328" s="1162">
        <f>IF(OR($V328=0,$W328=0),0,IF(CO$310&gt;$V328,0,SUM($Y295:CO295)/$W328))</f>
        <v>0</v>
      </c>
      <c r="CP328" s="1162">
        <f>IF(OR($V328=0,$W328=0),0,IF(CP$310&gt;$V328,0,SUM($Y295:CP295)/$W328))</f>
        <v>0</v>
      </c>
      <c r="CQ328" s="48">
        <f>IF(OR($V328=0,$W328=0),0,IF(CQ$310&gt;$V328,0,SUM($Y295:CQ295)/$W328))</f>
        <v>0</v>
      </c>
      <c r="CR328" s="48">
        <f>IF(OR($V328=0,$W328=0),0,IF(CR$310&gt;$V328,0,SUM($Y295:CR295)/$W328))</f>
        <v>0</v>
      </c>
      <c r="CS328" s="48">
        <f>IF(OR($V328=0,$W328=0),0,IF(CS$310&gt;$V328,0,SUM($Y295:CS295)/$W328))</f>
        <v>0</v>
      </c>
      <c r="CT328" s="48">
        <f>IF(OR($V328=0,$W328=0),0,IF(CT$310&gt;$V328,0,SUM($Y295:CT295)/$W328))</f>
        <v>0</v>
      </c>
      <c r="CU328" s="48">
        <f>IF(OR($V328=0,$W328=0),0,IF(CU$310&gt;$V328,0,SUM($Y295:CU295)/$W328))</f>
        <v>0</v>
      </c>
      <c r="CV328" s="48">
        <f>IF(OR($V328=0,$W328=0),0,IF(CV$310&gt;$V328,0,SUM($Y295:CV295)/$W328))</f>
        <v>0</v>
      </c>
      <c r="CW328" s="48">
        <f>IF(OR($V328=0,$W328=0),0,IF(CW$310&gt;$V328,0,SUM($Y295:CW295)/$W328))</f>
        <v>0</v>
      </c>
      <c r="CX328" s="48">
        <f>IF(OR($V328=0,$W328=0),0,IF(CX$310&gt;$V328,0,SUM($Y295:CX295)/$W328))</f>
        <v>0</v>
      </c>
      <c r="CY328" s="48">
        <f>IF(OR($V328=0,$W328=0),0,IF(CY$310&gt;$V328,0,SUM($Y295:CY295)/$W328))</f>
        <v>0</v>
      </c>
      <c r="CZ328" s="48">
        <f>IF(OR($V328=0,$W328=0),0,IF(CZ$310&gt;$V328,0,SUM($Y295:CZ295)/$W328))</f>
        <v>0</v>
      </c>
      <c r="DA328" s="48">
        <f>IF(OR($V328=0,$W328=0),0,IF(DA$310&gt;$V328,0,SUM($Y295:DA295)/$W328))</f>
        <v>0</v>
      </c>
      <c r="DB328" s="48">
        <f>IF(OR($V328=0,$W328=0),0,IF(DB$310&gt;$V328,0,SUM($Y295:DB295)/$W328))</f>
        <v>0</v>
      </c>
      <c r="DC328" s="48">
        <f>IF(OR($V328=0,$W328=0),0,IF(DC$310&gt;$V328,0,SUM($Y295:DC295)/$W328))</f>
        <v>0</v>
      </c>
      <c r="DD328" s="48">
        <f>IF(OR($V328=0,$W328=0),0,IF(DD$310&gt;$V328,0,SUM($Y295:DD295)/$W328))</f>
        <v>0</v>
      </c>
      <c r="DE328" s="48">
        <f>IF(OR($V328=0,$W328=0),0,IF(DE$310&gt;$V328,0,SUM($Y295:DE295)/$W328))</f>
        <v>0</v>
      </c>
      <c r="DF328" s="48">
        <f>IF(OR($V328=0,$W328=0),0,IF(DF$310&gt;$V328,0,SUM($Y295:DF295)/$W328))</f>
        <v>0</v>
      </c>
      <c r="DG328" s="48">
        <f>IF(OR($V328=0,$W328=0),0,IF(DG$310&gt;$V328,0,SUM($Y295:DG295)/$W328))</f>
        <v>0</v>
      </c>
      <c r="DH328" s="48">
        <f>IF(OR($V328=0,$W328=0),0,IF(DH$310&gt;$V328,0,SUM($Y295:DH295)/$W328))</f>
        <v>0</v>
      </c>
      <c r="DI328" s="48">
        <f>IF(OR($V328=0,$W328=0),0,IF(DI$310&gt;$V328,0,SUM($Y295:DI295)/$W328))</f>
        <v>0</v>
      </c>
      <c r="DJ328" s="48">
        <f>IF(OR($V328=0,$W328=0),0,IF(DJ$310&gt;$V328,0,SUM($Y295:DJ295)/$W328))</f>
        <v>0</v>
      </c>
      <c r="DK328" s="48">
        <f>IF(OR($V328=0,$W328=0),0,IF(DK$310&gt;$V328,0,SUM($Y295:DK295)/$W328))</f>
        <v>0</v>
      </c>
      <c r="DL328" s="48">
        <f>IF(OR($V328=0,$W328=0),0,IF(DL$310&gt;$V328,0,SUM($Y295:DL295)/$W328))</f>
        <v>0</v>
      </c>
      <c r="DM328" s="48">
        <f>IF(OR($V328=0,$W328=0),0,IF(DM$310&gt;$V328,0,SUM($Y295:DM295)/$W328))</f>
        <v>0</v>
      </c>
      <c r="DN328" s="48">
        <f>IF(OR($V328=0,$W328=0),0,IF(DN$310&gt;$V328,0,SUM($Y295:DN295)/$W328))</f>
        <v>0</v>
      </c>
      <c r="DO328" s="48">
        <f>IF(OR($V328=0,$W328=0),0,IF(DO$310&gt;$V328,0,SUM($Y295:DO295)/$W328))</f>
        <v>0</v>
      </c>
      <c r="DP328" s="48">
        <f>IF(OR($V328=0,$W328=0),0,IF(DP$310&gt;$V328,0,SUM($Y295:DP295)/$W328))</f>
        <v>0</v>
      </c>
      <c r="DQ328" s="48">
        <f>IF(OR($V328=0,$W328=0),0,IF(DQ$310&gt;$V328,0,SUM($Y295:DQ295)/$W328))</f>
        <v>0</v>
      </c>
      <c r="DR328" s="50">
        <f>IF(OR($V328=0,$W328=0),0,IF(DR$310&gt;$V328,0,SUM($Y295:DR295)/$W328))</f>
        <v>0</v>
      </c>
      <c r="DS328" s="50">
        <f>IF(OR($V328=0,$W328=0),0,IF(DS$310&gt;$V328,0,SUM($Y295:DS295)/$W328))</f>
        <v>0</v>
      </c>
      <c r="DT328" s="50">
        <f>IF(OR($V328=0,$W328=0),0,IF(DT$310&gt;$V328,0,SUM($Y295:DT295)/$W328))</f>
        <v>0</v>
      </c>
      <c r="DU328" s="50">
        <f>IF(OR($V328=0,$W328=0),0,IF(DU$310&gt;$V328,0,SUM($Y295:DU295)/$W328))</f>
        <v>0</v>
      </c>
      <c r="DV328" s="50">
        <f>IF(OR($V328=0,$W328=0),0,IF(DV$310&gt;$V328,0,SUM($Y295:DV295)/$W328))</f>
        <v>0</v>
      </c>
      <c r="DW328" s="50">
        <f>IF(OR($V328=0,$W328=0),0,IF(DW$310&gt;$V328,0,SUM($Y295:DW295)/$W328))</f>
        <v>0</v>
      </c>
      <c r="DX328" s="50">
        <f>IF(OR($V328=0,$W328=0),0,IF(DX$310&gt;$V328,0,SUM($Y295:DX295)/$W328))</f>
        <v>0</v>
      </c>
      <c r="DY328" s="50">
        <f>IF(OR($V328=0,$W328=0),0,IF(DY$310&gt;$V328,0,SUM($Y295:DY295)/$W328))</f>
        <v>0</v>
      </c>
      <c r="DZ328" s="50">
        <f>IF(OR($V328=0,$W328=0),0,IF(DZ$310&gt;$V328,0,SUM($Y295:DZ295)/$W328))</f>
        <v>0</v>
      </c>
      <c r="EA328" s="50">
        <f>IF(OR($V328=0,$W328=0),0,IF(EA$310&gt;$V328,0,SUM($Y295:EA295)/$W328))</f>
        <v>0</v>
      </c>
      <c r="EB328" s="50">
        <f>IF(OR($V328=0,$W328=0),0,IF(EB$310&gt;$V328,0,SUM($Y295:EB295)/$W328))</f>
        <v>0</v>
      </c>
      <c r="EC328" s="50">
        <f>IF(OR($V328=0,$W328=0),0,IF(EC$310&gt;$V328,0,SUM($Y295:EC295)/$W328))</f>
        <v>0</v>
      </c>
      <c r="ED328" s="50">
        <f>IF(OR($V328=0,$W328=0),0,IF(ED$310&gt;$V328,0,SUM($Y295:ED295)/$W328))</f>
        <v>0</v>
      </c>
      <c r="EE328" s="50">
        <f>IF(OR($V328=0,$W328=0),0,IF(EE$310&gt;$V328,0,SUM($Y295:EE295)/$W328))</f>
        <v>0</v>
      </c>
      <c r="EF328" s="50">
        <f>IF(OR($V328=0,$W328=0),0,IF(EF$310&gt;$V328,0,SUM($Y295:EF295)/$W328))</f>
        <v>0</v>
      </c>
      <c r="EG328" s="50">
        <f>IF(OR($V328=0,$W328=0),0,IF(EG$310&gt;$V328,0,SUM($Y295:EG295)/$W328))</f>
        <v>0</v>
      </c>
      <c r="EH328" s="50">
        <f>IF(OR($V328=0,$W328=0),0,IF(EH$310&gt;$V328,0,SUM($Y295:EH295)/$W328))</f>
        <v>0</v>
      </c>
      <c r="EI328" s="50">
        <f>IF(OR($V328=0,$W328=0),0,IF(EI$310&gt;$V328,0,SUM($Y295:EI295)/$W328))</f>
        <v>0</v>
      </c>
      <c r="EJ328" s="50">
        <f>IF(OR($V328=0,$W328=0),0,IF(EJ$310&gt;$V328,0,SUM($Y295:EJ295)/$W328))</f>
        <v>0</v>
      </c>
      <c r="EK328" s="50">
        <f>IF(OR($V328=0,$W328=0),0,IF(EK$310&gt;$V328,0,SUM($Y295:EK295)/$W328))</f>
        <v>0</v>
      </c>
      <c r="EL328" s="50">
        <f>IF(OR($V328=0,$W328=0),0,IF(EL$310&gt;$V328,0,SUM($Y295:EL295)/$W328))</f>
        <v>0</v>
      </c>
      <c r="EM328" s="50">
        <f>IF(OR($V328=0,$W328=0),0,IF(EM$310&gt;$V328,0,SUM($Y295:EM295)/$W328))</f>
        <v>0</v>
      </c>
      <c r="EN328" s="50">
        <f>IF(OR($V328=0,$W328=0),0,IF(EN$310&gt;$V328,0,SUM($Y295:EN295)/$W328))</f>
        <v>0</v>
      </c>
      <c r="EO328" s="39">
        <v>51</v>
      </c>
      <c r="EP328" s="39">
        <v>51</v>
      </c>
      <c r="EQ328" s="39">
        <v>51</v>
      </c>
      <c r="ER328" s="39">
        <v>51</v>
      </c>
      <c r="ES328" s="39">
        <v>51</v>
      </c>
      <c r="ET328" s="39">
        <v>51</v>
      </c>
      <c r="EU328" s="39">
        <v>51</v>
      </c>
      <c r="EV328" s="39">
        <v>51</v>
      </c>
      <c r="EW328" s="39">
        <v>51</v>
      </c>
      <c r="EX328" s="39">
        <v>51</v>
      </c>
    </row>
    <row r="329" spans="1:154" ht="12" customHeight="1" x14ac:dyDescent="0.35">
      <c r="A329" s="67">
        <v>52</v>
      </c>
      <c r="B329" s="1438">
        <f t="shared" si="144"/>
        <v>1582</v>
      </c>
      <c r="C329" s="1440">
        <v>52</v>
      </c>
      <c r="D329" s="82"/>
      <c r="E329" s="82"/>
      <c r="F329" s="82"/>
      <c r="G329" s="1448"/>
      <c r="H329" s="1448"/>
      <c r="I329" s="1448"/>
      <c r="J329" s="1448"/>
      <c r="K329" s="1668"/>
      <c r="L329" s="1668"/>
      <c r="M329" s="1668"/>
      <c r="N329" s="1669"/>
      <c r="O329" s="1669"/>
      <c r="P329" s="1670"/>
      <c r="Q329" s="1671"/>
      <c r="R329" s="1671"/>
      <c r="S329" s="1671"/>
      <c r="T329" s="1667"/>
      <c r="U329" s="1672"/>
      <c r="V329" s="1636">
        <f t="shared" si="145"/>
        <v>0</v>
      </c>
      <c r="W329" s="102">
        <f t="shared" si="146"/>
        <v>0</v>
      </c>
      <c r="X329" s="381">
        <f t="shared" si="147"/>
        <v>0</v>
      </c>
      <c r="Y329" s="1645">
        <f>IF(OR($V329=0,$W329=0),0,IF(Y$310&gt;$V329,0,SUM($Y296:Y296)/$W329))</f>
        <v>0</v>
      </c>
      <c r="Z329" s="1646">
        <f>IF(OR($V329=0,$W329=0),0,IF(Z$310&gt;$V329,0,SUM($Y296:Z296)/$W329))</f>
        <v>0</v>
      </c>
      <c r="AA329" s="1646">
        <f>IF(OR($V329=0,$W329=0),0,IF(AA$310&gt;$V329,0,SUM($Y296:AA296)/$W329))</f>
        <v>0</v>
      </c>
      <c r="AB329" s="1646">
        <f>IF(OR($V329=0,$W329=0),0,IF(AB$310&gt;$V329,0,SUM($Y296:AB296)/$W329))</f>
        <v>0</v>
      </c>
      <c r="AC329" s="1646">
        <f>IF(OR($V329=0,$W329=0),0,IF(AC$310&gt;$V329,0,SUM($Y296:AC296)/$W329))</f>
        <v>0</v>
      </c>
      <c r="AD329" s="1646">
        <f>IF(OR($V329=0,$W329=0),0,IF(AD$310&gt;$V329,0,SUM($Y296:AD296)/$W329))</f>
        <v>0</v>
      </c>
      <c r="AE329" s="1646">
        <f>IF(OR($V329=0,$W329=0),0,IF(AE$310&gt;$V329,0,SUM($Y296:AE296)/$W329))</f>
        <v>0</v>
      </c>
      <c r="AF329" s="1155">
        <f>IF(OR($V329=0,$W329=0),0,IF(AF$310&gt;$V329,0,SUM($Y296:AF296)/$W329))</f>
        <v>0</v>
      </c>
      <c r="AG329" s="1155">
        <f>IF(OR($V329=0,$W329=0),0,IF(AG$310&gt;$V329,0,SUM($Y296:AG296)/$W329))</f>
        <v>0</v>
      </c>
      <c r="AH329" s="1155">
        <f>IF(OR($V329=0,$W329=0),0,IF(AH$310&gt;$V329,0,SUM($Y296:AH296)/$W329))</f>
        <v>0</v>
      </c>
      <c r="AI329" s="1155">
        <f>IF(OR($V329=0,$W329=0),0,IF(AI$310&gt;$V329,0,SUM($Y296:AI296)/$W329))</f>
        <v>0</v>
      </c>
      <c r="AJ329" s="1155">
        <f>IF(OR($V329=0,$W329=0),0,IF(AJ$310&gt;$V329,0,SUM($Y296:AJ296)/$W329))</f>
        <v>0</v>
      </c>
      <c r="AK329" s="1155">
        <f>IF(OR($V329=0,$W329=0),0,IF(AK$310&gt;$V329,0,SUM($Y296:AK296)/$W329))</f>
        <v>0</v>
      </c>
      <c r="AL329" s="1155">
        <f>IF(OR($V329=0,$W329=0),0,IF(AL$310&gt;$V329,0,SUM($Y296:AL296)/$W329))</f>
        <v>0</v>
      </c>
      <c r="AM329" s="1155">
        <f>IF(OR($V329=0,$W329=0),0,IF(AM$310&gt;$V329,0,SUM($Y296:AM296)/$W329))</f>
        <v>0</v>
      </c>
      <c r="AN329" s="1155">
        <f>IF(OR($V329=0,$W329=0),0,IF(AN$310&gt;$V329,0,SUM($Y296:AN296)/$W329))</f>
        <v>0</v>
      </c>
      <c r="AO329" s="1155">
        <f>IF(OR($V329=0,$W329=0),0,IF(AO$310&gt;$V329,0,SUM($Y296:AO296)/$W329))</f>
        <v>0</v>
      </c>
      <c r="AP329" s="1155">
        <f>IF(OR($V329=0,$W329=0),0,IF(AP$310&gt;$V329,0,SUM($Y296:AP296)/$W329))</f>
        <v>0</v>
      </c>
      <c r="AQ329" s="1155">
        <f>IF(OR($V329=0,$W329=0),0,IF(AQ$310&gt;$V329,0,SUM($Y296:AQ296)/$W329))</f>
        <v>0</v>
      </c>
      <c r="AR329" s="1155">
        <f>IF(OR($V329=0,$W329=0),0,IF(AR$310&gt;$V329,0,SUM($Y296:AR296)/$W329))</f>
        <v>0</v>
      </c>
      <c r="AS329" s="1155">
        <f>IF(OR($V329=0,$W329=0),0,IF(AS$310&gt;$V329,0,SUM($Y296:AS296)/$W329))</f>
        <v>0</v>
      </c>
      <c r="AT329" s="1155">
        <f>IF(OR($V329=0,$W329=0),0,IF(AT$310&gt;$V329,0,SUM($Y296:AT296)/$W329))</f>
        <v>0</v>
      </c>
      <c r="AU329" s="1155">
        <f>IF(OR($V329=0,$W329=0),0,IF(AU$310&gt;$V329,0,SUM($Y296:AU296)/$W329))</f>
        <v>0</v>
      </c>
      <c r="AV329" s="1155">
        <f>IF(OR($V329=0,$W329=0),0,IF(AV$310&gt;$V329,0,SUM($Y296:AV296)/$W329))</f>
        <v>0</v>
      </c>
      <c r="AW329" s="1155">
        <f>IF(OR($V329=0,$W329=0),0,IF(AW$310&gt;$V329,0,SUM($Y296:AW296)/$W329))</f>
        <v>0</v>
      </c>
      <c r="AX329" s="1155">
        <f>IF(OR($V329=0,$W329=0),0,IF(AX$310&gt;$V329,0,SUM($Y296:AX296)/$W329))</f>
        <v>0</v>
      </c>
      <c r="AY329" s="1155">
        <f>IF(OR($V329=0,$W329=0),0,IF(AY$310&gt;$V329,0,SUM($Y296:AY296)/$W329))</f>
        <v>0</v>
      </c>
      <c r="AZ329" s="1155">
        <f>IF(OR($V329=0,$W329=0),0,IF(AZ$310&gt;$V329,0,SUM($Y296:AZ296)/$W329))</f>
        <v>0</v>
      </c>
      <c r="BA329" s="1155">
        <f>IF(OR($V329=0,$W329=0),0,IF(BA$310&gt;$V329,0,SUM($Y296:BA296)/$W329))</f>
        <v>0</v>
      </c>
      <c r="BB329" s="1155">
        <f>IF(OR($V329=0,$W329=0),0,IF(BB$310&gt;$V329,0,SUM($Y296:BB296)/$W329))</f>
        <v>0</v>
      </c>
      <c r="BC329" s="1155">
        <f>IF(OR($V329=0,$W329=0),0,IF(BC$310&gt;$V329,0,SUM($Y296:BC296)/$W329))</f>
        <v>0</v>
      </c>
      <c r="BD329" s="1155">
        <f>IF(OR($V329=0,$W329=0),0,IF(BD$310&gt;$V329,0,SUM($Y296:BD296)/$W329))</f>
        <v>0</v>
      </c>
      <c r="BE329" s="1155">
        <f>IF(OR($V329=0,$W329=0),0,IF(BE$310&gt;$V329,0,SUM($Y296:BE296)/$W329))</f>
        <v>0</v>
      </c>
      <c r="BF329" s="1155">
        <f>IF(OR($V329=0,$W329=0),0,IF(BF$310&gt;$V329,0,SUM($Y296:BF296)/$W329))</f>
        <v>0</v>
      </c>
      <c r="BG329" s="1155">
        <f>IF(OR($V329=0,$W329=0),0,IF(BG$310&gt;$V329,0,SUM($Y296:BG296)/$W329))</f>
        <v>0</v>
      </c>
      <c r="BH329" s="1155">
        <f>IF(OR($V329=0,$W329=0),0,IF(BH$310&gt;$V329,0,SUM($Y296:BH296)/$W329))</f>
        <v>0</v>
      </c>
      <c r="BI329" s="1155">
        <f>IF(OR($V329=0,$W329=0),0,IF(BI$310&gt;$V329,0,SUM($Y296:BI296)/$W329))</f>
        <v>0</v>
      </c>
      <c r="BJ329" s="1155">
        <f>IF(OR($V329=0,$W329=0),0,IF(BJ$310&gt;$V329,0,SUM($Y296:BJ296)/$W329))</f>
        <v>0</v>
      </c>
      <c r="BK329" s="1155">
        <f>IF(OR($V329=0,$W329=0),0,IF(BK$310&gt;$V329,0,SUM($Y296:BK296)/$W329))</f>
        <v>0</v>
      </c>
      <c r="BL329" s="1155">
        <f>IF(OR($V329=0,$W329=0),0,IF(BL$310&gt;$V329,0,SUM($Y296:BL296)/$W329))</f>
        <v>0</v>
      </c>
      <c r="BM329" s="1155">
        <f>IF(OR($V329=0,$W329=0),0,IF(BM$310&gt;$V329,0,SUM($Y296:BM296)/$W329))</f>
        <v>0</v>
      </c>
      <c r="BN329" s="1155">
        <f>IF(OR($V329=0,$W329=0),0,IF(BN$310&gt;$V329,0,SUM($Y296:BN296)/$W329))</f>
        <v>0</v>
      </c>
      <c r="BO329" s="1155">
        <f>IF(OR($V329=0,$W329=0),0,IF(BO$310&gt;$V329,0,SUM($Y296:BO296)/$W329))</f>
        <v>0</v>
      </c>
      <c r="BP329" s="1155">
        <f>IF(OR($V329=0,$W329=0),0,IF(BP$310&gt;$V329,0,SUM($Y296:BP296)/$W329))</f>
        <v>0</v>
      </c>
      <c r="BQ329" s="1155">
        <f>IF(OR($V329=0,$W329=0),0,IF(BQ$310&gt;$V329,0,SUM($Y296:BQ296)/$W329))</f>
        <v>0</v>
      </c>
      <c r="BR329" s="1155">
        <f>IF(OR($V329=0,$W329=0),0,IF(BR$310&gt;$V329,0,SUM($Y296:BR296)/$W329))</f>
        <v>0</v>
      </c>
      <c r="BS329" s="1155">
        <f>IF(OR($V329=0,$W329=0),0,IF(BS$310&gt;$V329,0,SUM($Y296:BS296)/$W329))</f>
        <v>0</v>
      </c>
      <c r="BT329" s="1155">
        <f>IF(OR($V329=0,$W329=0),0,IF(BT$310&gt;$V329,0,SUM($Y296:BT296)/$W329))</f>
        <v>0</v>
      </c>
      <c r="BU329" s="1155">
        <f>IF(OR($V329=0,$W329=0),0,IF(BU$310&gt;$V329,0,SUM($Y296:BU296)/$W329))</f>
        <v>0</v>
      </c>
      <c r="BV329" s="1155">
        <f>IF(OR($V329=0,$W329=0),0,IF(BV$310&gt;$V329,0,SUM($Y296:BV296)/$W329))</f>
        <v>0</v>
      </c>
      <c r="BW329" s="1155">
        <f>IF(OR($V329=0,$W329=0),0,IF(BW$310&gt;$V329,0,SUM($Y296:BW296)/$W329))</f>
        <v>0</v>
      </c>
      <c r="BX329" s="1457">
        <f>IF(OR($V329=0,$W329=0),0,IF(BX$310&gt;$V329,0,SUM($Y296:BX296)/$W329))</f>
        <v>0</v>
      </c>
      <c r="BY329" s="1457">
        <f>IF(OR($V329=0,$W329=0),0,IF(BY$310&gt;$V329,0,SUM($Y296:BY296)/$W329))</f>
        <v>0</v>
      </c>
      <c r="BZ329" s="1162">
        <f>IF(OR($V329=0,$W329=0),0,IF(BZ$310&gt;$V329,0,SUM($Y296:BZ296)/$W329))</f>
        <v>0</v>
      </c>
      <c r="CA329" s="1162">
        <f>IF(OR($V329=0,$W329=0),0,IF(CA$310&gt;$V329,0,SUM($Y296:CA296)/$W329))</f>
        <v>0</v>
      </c>
      <c r="CB329" s="1162">
        <f>IF(OR($V329=0,$W329=0),0,IF(CB$310&gt;$V329,0,SUM($Y296:CB296)/$W329))</f>
        <v>0</v>
      </c>
      <c r="CC329" s="1162">
        <f>IF(OR($V329=0,$W329=0),0,IF(CC$310&gt;$V329,0,SUM($Y296:CC296)/$W329))</f>
        <v>0</v>
      </c>
      <c r="CD329" s="1162">
        <f>IF(OR($V329=0,$W329=0),0,IF(CD$310&gt;$V329,0,SUM($Y296:CD296)/$W329))</f>
        <v>0</v>
      </c>
      <c r="CE329" s="1162">
        <f>IF(OR($V329=0,$W329=0),0,IF(CE$310&gt;$V329,0,SUM($Y296:CE296)/$W329))</f>
        <v>0</v>
      </c>
      <c r="CF329" s="1162">
        <f>IF(OR($V329=0,$W329=0),0,IF(CF$310&gt;$V329,0,SUM($Y296:CF296)/$W329))</f>
        <v>0</v>
      </c>
      <c r="CG329" s="1162">
        <f>IF(OR($V329=0,$W329=0),0,IF(CG$310&gt;$V329,0,SUM($Y296:CG296)/$W329))</f>
        <v>0</v>
      </c>
      <c r="CH329" s="1162">
        <f>IF(OR($V329=0,$W329=0),0,IF(CH$310&gt;$V329,0,SUM($Y296:CH296)/$W329))</f>
        <v>0</v>
      </c>
      <c r="CI329" s="1162">
        <f>IF(OR($V329=0,$W329=0),0,IF(CI$310&gt;$V329,0,SUM($Y296:CI296)/$W329))</f>
        <v>0</v>
      </c>
      <c r="CJ329" s="1162">
        <f>IF(OR($V329=0,$W329=0),0,IF(CJ$310&gt;$V329,0,SUM($Y296:CJ296)/$W329))</f>
        <v>0</v>
      </c>
      <c r="CK329" s="1162">
        <f>IF(OR($V329=0,$W329=0),0,IF(CK$310&gt;$V329,0,SUM($Y296:CK296)/$W329))</f>
        <v>0</v>
      </c>
      <c r="CL329" s="1162">
        <f>IF(OR($V329=0,$W329=0),0,IF(CL$310&gt;$V329,0,SUM($Y296:CL296)/$W329))</f>
        <v>0</v>
      </c>
      <c r="CM329" s="1162">
        <f>IF(OR($V329=0,$W329=0),0,IF(CM$310&gt;$V329,0,SUM($Y296:CM296)/$W329))</f>
        <v>0</v>
      </c>
      <c r="CN329" s="1162">
        <f>IF(OR($V329=0,$W329=0),0,IF(CN$310&gt;$V329,0,SUM($Y296:CN296)/$W329))</f>
        <v>0</v>
      </c>
      <c r="CO329" s="1162">
        <f>IF(OR($V329=0,$W329=0),0,IF(CO$310&gt;$V329,0,SUM($Y296:CO296)/$W329))</f>
        <v>0</v>
      </c>
      <c r="CP329" s="1162">
        <f>IF(OR($V329=0,$W329=0),0,IF(CP$310&gt;$V329,0,SUM($Y296:CP296)/$W329))</f>
        <v>0</v>
      </c>
      <c r="CQ329" s="48">
        <f>IF(OR($V329=0,$W329=0),0,IF(CQ$310&gt;$V329,0,SUM($Y296:CQ296)/$W329))</f>
        <v>0</v>
      </c>
      <c r="CR329" s="48">
        <f>IF(OR($V329=0,$W329=0),0,IF(CR$310&gt;$V329,0,SUM($Y296:CR296)/$W329))</f>
        <v>0</v>
      </c>
      <c r="CS329" s="48">
        <f>IF(OR($V329=0,$W329=0),0,IF(CS$310&gt;$V329,0,SUM($Y296:CS296)/$W329))</f>
        <v>0</v>
      </c>
      <c r="CT329" s="48">
        <f>IF(OR($V329=0,$W329=0),0,IF(CT$310&gt;$V329,0,SUM($Y296:CT296)/$W329))</f>
        <v>0</v>
      </c>
      <c r="CU329" s="48">
        <f>IF(OR($V329=0,$W329=0),0,IF(CU$310&gt;$V329,0,SUM($Y296:CU296)/$W329))</f>
        <v>0</v>
      </c>
      <c r="CV329" s="48">
        <f>IF(OR($V329=0,$W329=0),0,IF(CV$310&gt;$V329,0,SUM($Y296:CV296)/$W329))</f>
        <v>0</v>
      </c>
      <c r="CW329" s="48">
        <f>IF(OR($V329=0,$W329=0),0,IF(CW$310&gt;$V329,0,SUM($Y296:CW296)/$W329))</f>
        <v>0</v>
      </c>
      <c r="CX329" s="48">
        <f>IF(OR($V329=0,$W329=0),0,IF(CX$310&gt;$V329,0,SUM($Y296:CX296)/$W329))</f>
        <v>0</v>
      </c>
      <c r="CY329" s="48">
        <f>IF(OR($V329=0,$W329=0),0,IF(CY$310&gt;$V329,0,SUM($Y296:CY296)/$W329))</f>
        <v>0</v>
      </c>
      <c r="CZ329" s="48">
        <f>IF(OR($V329=0,$W329=0),0,IF(CZ$310&gt;$V329,0,SUM($Y296:CZ296)/$W329))</f>
        <v>0</v>
      </c>
      <c r="DA329" s="48">
        <f>IF(OR($V329=0,$W329=0),0,IF(DA$310&gt;$V329,0,SUM($Y296:DA296)/$W329))</f>
        <v>0</v>
      </c>
      <c r="DB329" s="48">
        <f>IF(OR($V329=0,$W329=0),0,IF(DB$310&gt;$V329,0,SUM($Y296:DB296)/$W329))</f>
        <v>0</v>
      </c>
      <c r="DC329" s="48">
        <f>IF(OR($V329=0,$W329=0),0,IF(DC$310&gt;$V329,0,SUM($Y296:DC296)/$W329))</f>
        <v>0</v>
      </c>
      <c r="DD329" s="48">
        <f>IF(OR($V329=0,$W329=0),0,IF(DD$310&gt;$V329,0,SUM($Y296:DD296)/$W329))</f>
        <v>0</v>
      </c>
      <c r="DE329" s="48">
        <f>IF(OR($V329=0,$W329=0),0,IF(DE$310&gt;$V329,0,SUM($Y296:DE296)/$W329))</f>
        <v>0</v>
      </c>
      <c r="DF329" s="48">
        <f>IF(OR($V329=0,$W329=0),0,IF(DF$310&gt;$V329,0,SUM($Y296:DF296)/$W329))</f>
        <v>0</v>
      </c>
      <c r="DG329" s="48">
        <f>IF(OR($V329=0,$W329=0),0,IF(DG$310&gt;$V329,0,SUM($Y296:DG296)/$W329))</f>
        <v>0</v>
      </c>
      <c r="DH329" s="48">
        <f>IF(OR($V329=0,$W329=0),0,IF(DH$310&gt;$V329,0,SUM($Y296:DH296)/$W329))</f>
        <v>0</v>
      </c>
      <c r="DI329" s="48">
        <f>IF(OR($V329=0,$W329=0),0,IF(DI$310&gt;$V329,0,SUM($Y296:DI296)/$W329))</f>
        <v>0</v>
      </c>
      <c r="DJ329" s="48">
        <f>IF(OR($V329=0,$W329=0),0,IF(DJ$310&gt;$V329,0,SUM($Y296:DJ296)/$W329))</f>
        <v>0</v>
      </c>
      <c r="DK329" s="48">
        <f>IF(OR($V329=0,$W329=0),0,IF(DK$310&gt;$V329,0,SUM($Y296:DK296)/$W329))</f>
        <v>0</v>
      </c>
      <c r="DL329" s="48">
        <f>IF(OR($V329=0,$W329=0),0,IF(DL$310&gt;$V329,0,SUM($Y296:DL296)/$W329))</f>
        <v>0</v>
      </c>
      <c r="DM329" s="48">
        <f>IF(OR($V329=0,$W329=0),0,IF(DM$310&gt;$V329,0,SUM($Y296:DM296)/$W329))</f>
        <v>0</v>
      </c>
      <c r="DN329" s="48">
        <f>IF(OR($V329=0,$W329=0),0,IF(DN$310&gt;$V329,0,SUM($Y296:DN296)/$W329))</f>
        <v>0</v>
      </c>
      <c r="DO329" s="48">
        <f>IF(OR($V329=0,$W329=0),0,IF(DO$310&gt;$V329,0,SUM($Y296:DO296)/$W329))</f>
        <v>0</v>
      </c>
      <c r="DP329" s="48">
        <f>IF(OR($V329=0,$W329=0),0,IF(DP$310&gt;$V329,0,SUM($Y296:DP296)/$W329))</f>
        <v>0</v>
      </c>
      <c r="DQ329" s="48">
        <f>IF(OR($V329=0,$W329=0),0,IF(DQ$310&gt;$V329,0,SUM($Y296:DQ296)/$W329))</f>
        <v>0</v>
      </c>
      <c r="DR329" s="50">
        <f>IF(OR($V329=0,$W329=0),0,IF(DR$310&gt;$V329,0,SUM($Y296:DR296)/$W329))</f>
        <v>0</v>
      </c>
      <c r="DS329" s="50">
        <f>IF(OR($V329=0,$W329=0),0,IF(DS$310&gt;$V329,0,SUM($Y296:DS296)/$W329))</f>
        <v>0</v>
      </c>
      <c r="DT329" s="50">
        <f>IF(OR($V329=0,$W329=0),0,IF(DT$310&gt;$V329,0,SUM($Y296:DT296)/$W329))</f>
        <v>0</v>
      </c>
      <c r="DU329" s="50">
        <f>IF(OR($V329=0,$W329=0),0,IF(DU$310&gt;$V329,0,SUM($Y296:DU296)/$W329))</f>
        <v>0</v>
      </c>
      <c r="DV329" s="50">
        <f>IF(OR($V329=0,$W329=0),0,IF(DV$310&gt;$V329,0,SUM($Y296:DV296)/$W329))</f>
        <v>0</v>
      </c>
      <c r="DW329" s="50">
        <f>IF(OR($V329=0,$W329=0),0,IF(DW$310&gt;$V329,0,SUM($Y296:DW296)/$W329))</f>
        <v>0</v>
      </c>
      <c r="DX329" s="50">
        <f>IF(OR($V329=0,$W329=0),0,IF(DX$310&gt;$V329,0,SUM($Y296:DX296)/$W329))</f>
        <v>0</v>
      </c>
      <c r="DY329" s="50">
        <f>IF(OR($V329=0,$W329=0),0,IF(DY$310&gt;$V329,0,SUM($Y296:DY296)/$W329))</f>
        <v>0</v>
      </c>
      <c r="DZ329" s="50">
        <f>IF(OR($V329=0,$W329=0),0,IF(DZ$310&gt;$V329,0,SUM($Y296:DZ296)/$W329))</f>
        <v>0</v>
      </c>
      <c r="EA329" s="50">
        <f>IF(OR($V329=0,$W329=0),0,IF(EA$310&gt;$V329,0,SUM($Y296:EA296)/$W329))</f>
        <v>0</v>
      </c>
      <c r="EB329" s="50">
        <f>IF(OR($V329=0,$W329=0),0,IF(EB$310&gt;$V329,0,SUM($Y296:EB296)/$W329))</f>
        <v>0</v>
      </c>
      <c r="EC329" s="50">
        <f>IF(OR($V329=0,$W329=0),0,IF(EC$310&gt;$V329,0,SUM($Y296:EC296)/$W329))</f>
        <v>0</v>
      </c>
      <c r="ED329" s="50">
        <f>IF(OR($V329=0,$W329=0),0,IF(ED$310&gt;$V329,0,SUM($Y296:ED296)/$W329))</f>
        <v>0</v>
      </c>
      <c r="EE329" s="50">
        <f>IF(OR($V329=0,$W329=0),0,IF(EE$310&gt;$V329,0,SUM($Y296:EE296)/$W329))</f>
        <v>0</v>
      </c>
      <c r="EF329" s="50">
        <f>IF(OR($V329=0,$W329=0),0,IF(EF$310&gt;$V329,0,SUM($Y296:EF296)/$W329))</f>
        <v>0</v>
      </c>
      <c r="EG329" s="50">
        <f>IF(OR($V329=0,$W329=0),0,IF(EG$310&gt;$V329,0,SUM($Y296:EG296)/$W329))</f>
        <v>0</v>
      </c>
      <c r="EH329" s="50">
        <f>IF(OR($V329=0,$W329=0),0,IF(EH$310&gt;$V329,0,SUM($Y296:EH296)/$W329))</f>
        <v>0</v>
      </c>
      <c r="EI329" s="50">
        <f>IF(OR($V329=0,$W329=0),0,IF(EI$310&gt;$V329,0,SUM($Y296:EI296)/$W329))</f>
        <v>0</v>
      </c>
      <c r="EJ329" s="50">
        <f>IF(OR($V329=0,$W329=0),0,IF(EJ$310&gt;$V329,0,SUM($Y296:EJ296)/$W329))</f>
        <v>0</v>
      </c>
      <c r="EK329" s="50">
        <f>IF(OR($V329=0,$W329=0),0,IF(EK$310&gt;$V329,0,SUM($Y296:EK296)/$W329))</f>
        <v>0</v>
      </c>
      <c r="EL329" s="50">
        <f>IF(OR($V329=0,$W329=0),0,IF(EL$310&gt;$V329,0,SUM($Y296:EL296)/$W329))</f>
        <v>0</v>
      </c>
      <c r="EM329" s="50">
        <f>IF(OR($V329=0,$W329=0),0,IF(EM$310&gt;$V329,0,SUM($Y296:EM296)/$W329))</f>
        <v>0</v>
      </c>
      <c r="EN329" s="50">
        <f>IF(OR($V329=0,$W329=0),0,IF(EN$310&gt;$V329,0,SUM($Y296:EN296)/$W329))</f>
        <v>0</v>
      </c>
      <c r="EO329" s="39">
        <v>51</v>
      </c>
      <c r="EP329" s="39">
        <v>51</v>
      </c>
      <c r="EQ329" s="39">
        <v>51</v>
      </c>
      <c r="ER329" s="39">
        <v>51</v>
      </c>
      <c r="ES329" s="39">
        <v>51</v>
      </c>
      <c r="ET329" s="39">
        <v>51</v>
      </c>
      <c r="EU329" s="39">
        <v>51</v>
      </c>
      <c r="EV329" s="39">
        <v>51</v>
      </c>
      <c r="EW329" s="39">
        <v>51</v>
      </c>
      <c r="EX329" s="39">
        <v>51</v>
      </c>
    </row>
    <row r="330" spans="1:154" ht="12" customHeight="1" x14ac:dyDescent="0.35">
      <c r="A330" s="67">
        <v>53</v>
      </c>
      <c r="B330" s="1438">
        <f t="shared" si="144"/>
        <v>1613</v>
      </c>
      <c r="C330" s="1440">
        <v>53</v>
      </c>
      <c r="D330" s="82"/>
      <c r="E330" s="82"/>
      <c r="F330" s="82"/>
      <c r="G330" s="1448"/>
      <c r="H330" s="1448"/>
      <c r="I330" s="1448"/>
      <c r="J330" s="1448"/>
      <c r="K330" s="1668"/>
      <c r="L330" s="1668"/>
      <c r="M330" s="1668"/>
      <c r="N330" s="1669"/>
      <c r="O330" s="1669"/>
      <c r="P330" s="1670"/>
      <c r="Q330" s="1671"/>
      <c r="R330" s="1671"/>
      <c r="S330" s="1671"/>
      <c r="T330" s="1667"/>
      <c r="U330" s="1672"/>
      <c r="V330" s="1636">
        <f t="shared" si="145"/>
        <v>0</v>
      </c>
      <c r="W330" s="102">
        <f t="shared" si="146"/>
        <v>0</v>
      </c>
      <c r="X330" s="381">
        <f t="shared" si="147"/>
        <v>0</v>
      </c>
      <c r="Y330" s="1645">
        <f>IF(OR($V330=0,$W330=0),0,IF(Y$310&gt;$V330,0,SUM($Y297:Y297)/$W330))</f>
        <v>0</v>
      </c>
      <c r="Z330" s="1646">
        <f>IF(OR($V330=0,$W330=0),0,IF(Z$310&gt;$V330,0,SUM($Y297:Z297)/$W330))</f>
        <v>0</v>
      </c>
      <c r="AA330" s="1646">
        <f>IF(OR($V330=0,$W330=0),0,IF(AA$310&gt;$V330,0,SUM($Y297:AA297)/$W330))</f>
        <v>0</v>
      </c>
      <c r="AB330" s="1646">
        <f>IF(OR($V330=0,$W330=0),0,IF(AB$310&gt;$V330,0,SUM($Y297:AB297)/$W330))</f>
        <v>0</v>
      </c>
      <c r="AC330" s="1646">
        <f>IF(OR($V330=0,$W330=0),0,IF(AC$310&gt;$V330,0,SUM($Y297:AC297)/$W330))</f>
        <v>0</v>
      </c>
      <c r="AD330" s="1646">
        <f>IF(OR($V330=0,$W330=0),0,IF(AD$310&gt;$V330,0,SUM($Y297:AD297)/$W330))</f>
        <v>0</v>
      </c>
      <c r="AE330" s="1646">
        <f>IF(OR($V330=0,$W330=0),0,IF(AE$310&gt;$V330,0,SUM($Y297:AE297)/$W330))</f>
        <v>0</v>
      </c>
      <c r="AF330" s="1155">
        <f>IF(OR($V330=0,$W330=0),0,IF(AF$310&gt;$V330,0,SUM($Y297:AF297)/$W330))</f>
        <v>0</v>
      </c>
      <c r="AG330" s="1155">
        <f>IF(OR($V330=0,$W330=0),0,IF(AG$310&gt;$V330,0,SUM($Y297:AG297)/$W330))</f>
        <v>0</v>
      </c>
      <c r="AH330" s="1155">
        <f>IF(OR($V330=0,$W330=0),0,IF(AH$310&gt;$V330,0,SUM($Y297:AH297)/$W330))</f>
        <v>0</v>
      </c>
      <c r="AI330" s="1155">
        <f>IF(OR($V330=0,$W330=0),0,IF(AI$310&gt;$V330,0,SUM($Y297:AI297)/$W330))</f>
        <v>0</v>
      </c>
      <c r="AJ330" s="1155">
        <f>IF(OR($V330=0,$W330=0),0,IF(AJ$310&gt;$V330,0,SUM($Y297:AJ297)/$W330))</f>
        <v>0</v>
      </c>
      <c r="AK330" s="1155">
        <f>IF(OR($V330=0,$W330=0),0,IF(AK$310&gt;$V330,0,SUM($Y297:AK297)/$W330))</f>
        <v>0</v>
      </c>
      <c r="AL330" s="1155">
        <f>IF(OR($V330=0,$W330=0),0,IF(AL$310&gt;$V330,0,SUM($Y297:AL297)/$W330))</f>
        <v>0</v>
      </c>
      <c r="AM330" s="1155">
        <f>IF(OR($V330=0,$W330=0),0,IF(AM$310&gt;$V330,0,SUM($Y297:AM297)/$W330))</f>
        <v>0</v>
      </c>
      <c r="AN330" s="1155">
        <f>IF(OR($V330=0,$W330=0),0,IF(AN$310&gt;$V330,0,SUM($Y297:AN297)/$W330))</f>
        <v>0</v>
      </c>
      <c r="AO330" s="1155">
        <f>IF(OR($V330=0,$W330=0),0,IF(AO$310&gt;$V330,0,SUM($Y297:AO297)/$W330))</f>
        <v>0</v>
      </c>
      <c r="AP330" s="1155">
        <f>IF(OR($V330=0,$W330=0),0,IF(AP$310&gt;$V330,0,SUM($Y297:AP297)/$W330))</f>
        <v>0</v>
      </c>
      <c r="AQ330" s="1155">
        <f>IF(OR($V330=0,$W330=0),0,IF(AQ$310&gt;$V330,0,SUM($Y297:AQ297)/$W330))</f>
        <v>0</v>
      </c>
      <c r="AR330" s="1155">
        <f>IF(OR($V330=0,$W330=0),0,IF(AR$310&gt;$V330,0,SUM($Y297:AR297)/$W330))</f>
        <v>0</v>
      </c>
      <c r="AS330" s="1155">
        <f>IF(OR($V330=0,$W330=0),0,IF(AS$310&gt;$V330,0,SUM($Y297:AS297)/$W330))</f>
        <v>0</v>
      </c>
      <c r="AT330" s="1155">
        <f>IF(OR($V330=0,$W330=0),0,IF(AT$310&gt;$V330,0,SUM($Y297:AT297)/$W330))</f>
        <v>0</v>
      </c>
      <c r="AU330" s="1155">
        <f>IF(OR($V330=0,$W330=0),0,IF(AU$310&gt;$V330,0,SUM($Y297:AU297)/$W330))</f>
        <v>0</v>
      </c>
      <c r="AV330" s="1155">
        <f>IF(OR($V330=0,$W330=0),0,IF(AV$310&gt;$V330,0,SUM($Y297:AV297)/$W330))</f>
        <v>0</v>
      </c>
      <c r="AW330" s="1155">
        <f>IF(OR($V330=0,$W330=0),0,IF(AW$310&gt;$V330,0,SUM($Y297:AW297)/$W330))</f>
        <v>0</v>
      </c>
      <c r="AX330" s="1155">
        <f>IF(OR($V330=0,$W330=0),0,IF(AX$310&gt;$V330,0,SUM($Y297:AX297)/$W330))</f>
        <v>0</v>
      </c>
      <c r="AY330" s="1155">
        <f>IF(OR($V330=0,$W330=0),0,IF(AY$310&gt;$V330,0,SUM($Y297:AY297)/$W330))</f>
        <v>0</v>
      </c>
      <c r="AZ330" s="1155">
        <f>IF(OR($V330=0,$W330=0),0,IF(AZ$310&gt;$V330,0,SUM($Y297:AZ297)/$W330))</f>
        <v>0</v>
      </c>
      <c r="BA330" s="1155">
        <f>IF(OR($V330=0,$W330=0),0,IF(BA$310&gt;$V330,0,SUM($Y297:BA297)/$W330))</f>
        <v>0</v>
      </c>
      <c r="BB330" s="1155">
        <f>IF(OR($V330=0,$W330=0),0,IF(BB$310&gt;$V330,0,SUM($Y297:BB297)/$W330))</f>
        <v>0</v>
      </c>
      <c r="BC330" s="1155">
        <f>IF(OR($V330=0,$W330=0),0,IF(BC$310&gt;$V330,0,SUM($Y297:BC297)/$W330))</f>
        <v>0</v>
      </c>
      <c r="BD330" s="1155">
        <f>IF(OR($V330=0,$W330=0),0,IF(BD$310&gt;$V330,0,SUM($Y297:BD297)/$W330))</f>
        <v>0</v>
      </c>
      <c r="BE330" s="1155">
        <f>IF(OR($V330=0,$W330=0),0,IF(BE$310&gt;$V330,0,SUM($Y297:BE297)/$W330))</f>
        <v>0</v>
      </c>
      <c r="BF330" s="1155">
        <f>IF(OR($V330=0,$W330=0),0,IF(BF$310&gt;$V330,0,SUM($Y297:BF297)/$W330))</f>
        <v>0</v>
      </c>
      <c r="BG330" s="1155">
        <f>IF(OR($V330=0,$W330=0),0,IF(BG$310&gt;$V330,0,SUM($Y297:BG297)/$W330))</f>
        <v>0</v>
      </c>
      <c r="BH330" s="1155">
        <f>IF(OR($V330=0,$W330=0),0,IF(BH$310&gt;$V330,0,SUM($Y297:BH297)/$W330))</f>
        <v>0</v>
      </c>
      <c r="BI330" s="1155">
        <f>IF(OR($V330=0,$W330=0),0,IF(BI$310&gt;$V330,0,SUM($Y297:BI297)/$W330))</f>
        <v>0</v>
      </c>
      <c r="BJ330" s="1155">
        <f>IF(OR($V330=0,$W330=0),0,IF(BJ$310&gt;$V330,0,SUM($Y297:BJ297)/$W330))</f>
        <v>0</v>
      </c>
      <c r="BK330" s="1155">
        <f>IF(OR($V330=0,$W330=0),0,IF(BK$310&gt;$V330,0,SUM($Y297:BK297)/$W330))</f>
        <v>0</v>
      </c>
      <c r="BL330" s="1155">
        <f>IF(OR($V330=0,$W330=0),0,IF(BL$310&gt;$V330,0,SUM($Y297:BL297)/$W330))</f>
        <v>0</v>
      </c>
      <c r="BM330" s="1155">
        <f>IF(OR($V330=0,$W330=0),0,IF(BM$310&gt;$V330,0,SUM($Y297:BM297)/$W330))</f>
        <v>0</v>
      </c>
      <c r="BN330" s="1155">
        <f>IF(OR($V330=0,$W330=0),0,IF(BN$310&gt;$V330,0,SUM($Y297:BN297)/$W330))</f>
        <v>0</v>
      </c>
      <c r="BO330" s="1155">
        <f>IF(OR($V330=0,$W330=0),0,IF(BO$310&gt;$V330,0,SUM($Y297:BO297)/$W330))</f>
        <v>0</v>
      </c>
      <c r="BP330" s="1155">
        <f>IF(OR($V330=0,$W330=0),0,IF(BP$310&gt;$V330,0,SUM($Y297:BP297)/$W330))</f>
        <v>0</v>
      </c>
      <c r="BQ330" s="1155">
        <f>IF(OR($V330=0,$W330=0),0,IF(BQ$310&gt;$V330,0,SUM($Y297:BQ297)/$W330))</f>
        <v>0</v>
      </c>
      <c r="BR330" s="1155">
        <f>IF(OR($V330=0,$W330=0),0,IF(BR$310&gt;$V330,0,SUM($Y297:BR297)/$W330))</f>
        <v>0</v>
      </c>
      <c r="BS330" s="1155">
        <f>IF(OR($V330=0,$W330=0),0,IF(BS$310&gt;$V330,0,SUM($Y297:BS297)/$W330))</f>
        <v>0</v>
      </c>
      <c r="BT330" s="1155">
        <f>IF(OR($V330=0,$W330=0),0,IF(BT$310&gt;$V330,0,SUM($Y297:BT297)/$W330))</f>
        <v>0</v>
      </c>
      <c r="BU330" s="1155">
        <f>IF(OR($V330=0,$W330=0),0,IF(BU$310&gt;$V330,0,SUM($Y297:BU297)/$W330))</f>
        <v>0</v>
      </c>
      <c r="BV330" s="1155">
        <f>IF(OR($V330=0,$W330=0),0,IF(BV$310&gt;$V330,0,SUM($Y297:BV297)/$W330))</f>
        <v>0</v>
      </c>
      <c r="BW330" s="1155">
        <f>IF(OR($V330=0,$W330=0),0,IF(BW$310&gt;$V330,0,SUM($Y297:BW297)/$W330))</f>
        <v>0</v>
      </c>
      <c r="BX330" s="1457">
        <f>IF(OR($V330=0,$W330=0),0,IF(BX$310&gt;$V330,0,SUM($Y297:BX297)/$W330))</f>
        <v>0</v>
      </c>
      <c r="BY330" s="1457">
        <f>IF(OR($V330=0,$W330=0),0,IF(BY$310&gt;$V330,0,SUM($Y297:BY297)/$W330))</f>
        <v>0</v>
      </c>
      <c r="BZ330" s="1162">
        <f>IF(OR($V330=0,$W330=0),0,IF(BZ$310&gt;$V330,0,SUM($Y297:BZ297)/$W330))</f>
        <v>0</v>
      </c>
      <c r="CA330" s="1162">
        <f>IF(OR($V330=0,$W330=0),0,IF(CA$310&gt;$V330,0,SUM($Y297:CA297)/$W330))</f>
        <v>0</v>
      </c>
      <c r="CB330" s="1162">
        <f>IF(OR($V330=0,$W330=0),0,IF(CB$310&gt;$V330,0,SUM($Y297:CB297)/$W330))</f>
        <v>0</v>
      </c>
      <c r="CC330" s="1162">
        <f>IF(OR($V330=0,$W330=0),0,IF(CC$310&gt;$V330,0,SUM($Y297:CC297)/$W330))</f>
        <v>0</v>
      </c>
      <c r="CD330" s="1162">
        <f>IF(OR($V330=0,$W330=0),0,IF(CD$310&gt;$V330,0,SUM($Y297:CD297)/$W330))</f>
        <v>0</v>
      </c>
      <c r="CE330" s="1162">
        <f>IF(OR($V330=0,$W330=0),0,IF(CE$310&gt;$V330,0,SUM($Y297:CE297)/$W330))</f>
        <v>0</v>
      </c>
      <c r="CF330" s="1162">
        <f>IF(OR($V330=0,$W330=0),0,IF(CF$310&gt;$V330,0,SUM($Y297:CF297)/$W330))</f>
        <v>0</v>
      </c>
      <c r="CG330" s="1162">
        <f>IF(OR($V330=0,$W330=0),0,IF(CG$310&gt;$V330,0,SUM($Y297:CG297)/$W330))</f>
        <v>0</v>
      </c>
      <c r="CH330" s="1162">
        <f>IF(OR($V330=0,$W330=0),0,IF(CH$310&gt;$V330,0,SUM($Y297:CH297)/$W330))</f>
        <v>0</v>
      </c>
      <c r="CI330" s="1162">
        <f>IF(OR($V330=0,$W330=0),0,IF(CI$310&gt;$V330,0,SUM($Y297:CI297)/$W330))</f>
        <v>0</v>
      </c>
      <c r="CJ330" s="1162">
        <f>IF(OR($V330=0,$W330=0),0,IF(CJ$310&gt;$V330,0,SUM($Y297:CJ297)/$W330))</f>
        <v>0</v>
      </c>
      <c r="CK330" s="1162">
        <f>IF(OR($V330=0,$W330=0),0,IF(CK$310&gt;$V330,0,SUM($Y297:CK297)/$W330))</f>
        <v>0</v>
      </c>
      <c r="CL330" s="1162">
        <f>IF(OR($V330=0,$W330=0),0,IF(CL$310&gt;$V330,0,SUM($Y297:CL297)/$W330))</f>
        <v>0</v>
      </c>
      <c r="CM330" s="1162">
        <f>IF(OR($V330=0,$W330=0),0,IF(CM$310&gt;$V330,0,SUM($Y297:CM297)/$W330))</f>
        <v>0</v>
      </c>
      <c r="CN330" s="1162">
        <f>IF(OR($V330=0,$W330=0),0,IF(CN$310&gt;$V330,0,SUM($Y297:CN297)/$W330))</f>
        <v>0</v>
      </c>
      <c r="CO330" s="1162">
        <f>IF(OR($V330=0,$W330=0),0,IF(CO$310&gt;$V330,0,SUM($Y297:CO297)/$W330))</f>
        <v>0</v>
      </c>
      <c r="CP330" s="1162">
        <f>IF(OR($V330=0,$W330=0),0,IF(CP$310&gt;$V330,0,SUM($Y297:CP297)/$W330))</f>
        <v>0</v>
      </c>
      <c r="CQ330" s="48">
        <f>IF(OR($V330=0,$W330=0),0,IF(CQ$310&gt;$V330,0,SUM($Y297:CQ297)/$W330))</f>
        <v>0</v>
      </c>
      <c r="CR330" s="48">
        <f>IF(OR($V330=0,$W330=0),0,IF(CR$310&gt;$V330,0,SUM($Y297:CR297)/$W330))</f>
        <v>0</v>
      </c>
      <c r="CS330" s="48">
        <f>IF(OR($V330=0,$W330=0),0,IF(CS$310&gt;$V330,0,SUM($Y297:CS297)/$W330))</f>
        <v>0</v>
      </c>
      <c r="CT330" s="48">
        <f>IF(OR($V330=0,$W330=0),0,IF(CT$310&gt;$V330,0,SUM($Y297:CT297)/$W330))</f>
        <v>0</v>
      </c>
      <c r="CU330" s="48">
        <f>IF(OR($V330=0,$W330=0),0,IF(CU$310&gt;$V330,0,SUM($Y297:CU297)/$W330))</f>
        <v>0</v>
      </c>
      <c r="CV330" s="48">
        <f>IF(OR($V330=0,$W330=0),0,IF(CV$310&gt;$V330,0,SUM($Y297:CV297)/$W330))</f>
        <v>0</v>
      </c>
      <c r="CW330" s="48">
        <f>IF(OR($V330=0,$W330=0),0,IF(CW$310&gt;$V330,0,SUM($Y297:CW297)/$W330))</f>
        <v>0</v>
      </c>
      <c r="CX330" s="48">
        <f>IF(OR($V330=0,$W330=0),0,IF(CX$310&gt;$V330,0,SUM($Y297:CX297)/$W330))</f>
        <v>0</v>
      </c>
      <c r="CY330" s="48">
        <f>IF(OR($V330=0,$W330=0),0,IF(CY$310&gt;$V330,0,SUM($Y297:CY297)/$W330))</f>
        <v>0</v>
      </c>
      <c r="CZ330" s="48">
        <f>IF(OR($V330=0,$W330=0),0,IF(CZ$310&gt;$V330,0,SUM($Y297:CZ297)/$W330))</f>
        <v>0</v>
      </c>
      <c r="DA330" s="48">
        <f>IF(OR($V330=0,$W330=0),0,IF(DA$310&gt;$V330,0,SUM($Y297:DA297)/$W330))</f>
        <v>0</v>
      </c>
      <c r="DB330" s="48">
        <f>IF(OR($V330=0,$W330=0),0,IF(DB$310&gt;$V330,0,SUM($Y297:DB297)/$W330))</f>
        <v>0</v>
      </c>
      <c r="DC330" s="48">
        <f>IF(OR($V330=0,$W330=0),0,IF(DC$310&gt;$V330,0,SUM($Y297:DC297)/$W330))</f>
        <v>0</v>
      </c>
      <c r="DD330" s="48">
        <f>IF(OR($V330=0,$W330=0),0,IF(DD$310&gt;$V330,0,SUM($Y297:DD297)/$W330))</f>
        <v>0</v>
      </c>
      <c r="DE330" s="48">
        <f>IF(OR($V330=0,$W330=0),0,IF(DE$310&gt;$V330,0,SUM($Y297:DE297)/$W330))</f>
        <v>0</v>
      </c>
      <c r="DF330" s="48">
        <f>IF(OR($V330=0,$W330=0),0,IF(DF$310&gt;$V330,0,SUM($Y297:DF297)/$W330))</f>
        <v>0</v>
      </c>
      <c r="DG330" s="48">
        <f>IF(OR($V330=0,$W330=0),0,IF(DG$310&gt;$V330,0,SUM($Y297:DG297)/$W330))</f>
        <v>0</v>
      </c>
      <c r="DH330" s="48">
        <f>IF(OR($V330=0,$W330=0),0,IF(DH$310&gt;$V330,0,SUM($Y297:DH297)/$W330))</f>
        <v>0</v>
      </c>
      <c r="DI330" s="48">
        <f>IF(OR($V330=0,$W330=0),0,IF(DI$310&gt;$V330,0,SUM($Y297:DI297)/$W330))</f>
        <v>0</v>
      </c>
      <c r="DJ330" s="48">
        <f>IF(OR($V330=0,$W330=0),0,IF(DJ$310&gt;$V330,0,SUM($Y297:DJ297)/$W330))</f>
        <v>0</v>
      </c>
      <c r="DK330" s="48">
        <f>IF(OR($V330=0,$W330=0),0,IF(DK$310&gt;$V330,0,SUM($Y297:DK297)/$W330))</f>
        <v>0</v>
      </c>
      <c r="DL330" s="48">
        <f>IF(OR($V330=0,$W330=0),0,IF(DL$310&gt;$V330,0,SUM($Y297:DL297)/$W330))</f>
        <v>0</v>
      </c>
      <c r="DM330" s="48">
        <f>IF(OR($V330=0,$W330=0),0,IF(DM$310&gt;$V330,0,SUM($Y297:DM297)/$W330))</f>
        <v>0</v>
      </c>
      <c r="DN330" s="48">
        <f>IF(OR($V330=0,$W330=0),0,IF(DN$310&gt;$V330,0,SUM($Y297:DN297)/$W330))</f>
        <v>0</v>
      </c>
      <c r="DO330" s="48">
        <f>IF(OR($V330=0,$W330=0),0,IF(DO$310&gt;$V330,0,SUM($Y297:DO297)/$W330))</f>
        <v>0</v>
      </c>
      <c r="DP330" s="48">
        <f>IF(OR($V330=0,$W330=0),0,IF(DP$310&gt;$V330,0,SUM($Y297:DP297)/$W330))</f>
        <v>0</v>
      </c>
      <c r="DQ330" s="48">
        <f>IF(OR($V330=0,$W330=0),0,IF(DQ$310&gt;$V330,0,SUM($Y297:DQ297)/$W330))</f>
        <v>0</v>
      </c>
      <c r="DR330" s="50">
        <f>IF(OR($V330=0,$W330=0),0,IF(DR$310&gt;$V330,0,SUM($Y297:DR297)/$W330))</f>
        <v>0</v>
      </c>
      <c r="DS330" s="50">
        <f>IF(OR($V330=0,$W330=0),0,IF(DS$310&gt;$V330,0,SUM($Y297:DS297)/$W330))</f>
        <v>0</v>
      </c>
      <c r="DT330" s="50">
        <f>IF(OR($V330=0,$W330=0),0,IF(DT$310&gt;$V330,0,SUM($Y297:DT297)/$W330))</f>
        <v>0</v>
      </c>
      <c r="DU330" s="50">
        <f>IF(OR($V330=0,$W330=0),0,IF(DU$310&gt;$V330,0,SUM($Y297:DU297)/$W330))</f>
        <v>0</v>
      </c>
      <c r="DV330" s="50">
        <f>IF(OR($V330=0,$W330=0),0,IF(DV$310&gt;$V330,0,SUM($Y297:DV297)/$W330))</f>
        <v>0</v>
      </c>
      <c r="DW330" s="50">
        <f>IF(OR($V330=0,$W330=0),0,IF(DW$310&gt;$V330,0,SUM($Y297:DW297)/$W330))</f>
        <v>0</v>
      </c>
      <c r="DX330" s="50">
        <f>IF(OR($V330=0,$W330=0),0,IF(DX$310&gt;$V330,0,SUM($Y297:DX297)/$W330))</f>
        <v>0</v>
      </c>
      <c r="DY330" s="50">
        <f>IF(OR($V330=0,$W330=0),0,IF(DY$310&gt;$V330,0,SUM($Y297:DY297)/$W330))</f>
        <v>0</v>
      </c>
      <c r="DZ330" s="50">
        <f>IF(OR($V330=0,$W330=0),0,IF(DZ$310&gt;$V330,0,SUM($Y297:DZ297)/$W330))</f>
        <v>0</v>
      </c>
      <c r="EA330" s="50">
        <f>IF(OR($V330=0,$W330=0),0,IF(EA$310&gt;$V330,0,SUM($Y297:EA297)/$W330))</f>
        <v>0</v>
      </c>
      <c r="EB330" s="50">
        <f>IF(OR($V330=0,$W330=0),0,IF(EB$310&gt;$V330,0,SUM($Y297:EB297)/$W330))</f>
        <v>0</v>
      </c>
      <c r="EC330" s="50">
        <f>IF(OR($V330=0,$W330=0),0,IF(EC$310&gt;$V330,0,SUM($Y297:EC297)/$W330))</f>
        <v>0</v>
      </c>
      <c r="ED330" s="50">
        <f>IF(OR($V330=0,$W330=0),0,IF(ED$310&gt;$V330,0,SUM($Y297:ED297)/$W330))</f>
        <v>0</v>
      </c>
      <c r="EE330" s="50">
        <f>IF(OR($V330=0,$W330=0),0,IF(EE$310&gt;$V330,0,SUM($Y297:EE297)/$W330))</f>
        <v>0</v>
      </c>
      <c r="EF330" s="50">
        <f>IF(OR($V330=0,$W330=0),0,IF(EF$310&gt;$V330,0,SUM($Y297:EF297)/$W330))</f>
        <v>0</v>
      </c>
      <c r="EG330" s="50">
        <f>IF(OR($V330=0,$W330=0),0,IF(EG$310&gt;$V330,0,SUM($Y297:EG297)/$W330))</f>
        <v>0</v>
      </c>
      <c r="EH330" s="50">
        <f>IF(OR($V330=0,$W330=0),0,IF(EH$310&gt;$V330,0,SUM($Y297:EH297)/$W330))</f>
        <v>0</v>
      </c>
      <c r="EI330" s="50">
        <f>IF(OR($V330=0,$W330=0),0,IF(EI$310&gt;$V330,0,SUM($Y297:EI297)/$W330))</f>
        <v>0</v>
      </c>
      <c r="EJ330" s="50">
        <f>IF(OR($V330=0,$W330=0),0,IF(EJ$310&gt;$V330,0,SUM($Y297:EJ297)/$W330))</f>
        <v>0</v>
      </c>
      <c r="EK330" s="50">
        <f>IF(OR($V330=0,$W330=0),0,IF(EK$310&gt;$V330,0,SUM($Y297:EK297)/$W330))</f>
        <v>0</v>
      </c>
      <c r="EL330" s="50">
        <f>IF(OR($V330=0,$W330=0),0,IF(EL$310&gt;$V330,0,SUM($Y297:EL297)/$W330))</f>
        <v>0</v>
      </c>
      <c r="EM330" s="50">
        <f>IF(OR($V330=0,$W330=0),0,IF(EM$310&gt;$V330,0,SUM($Y297:EM297)/$W330))</f>
        <v>0</v>
      </c>
      <c r="EN330" s="50">
        <f>IF(OR($V330=0,$W330=0),0,IF(EN$310&gt;$V330,0,SUM($Y297:EN297)/$W330))</f>
        <v>0</v>
      </c>
      <c r="EO330" s="39">
        <v>51</v>
      </c>
      <c r="EP330" s="39">
        <v>51</v>
      </c>
      <c r="EQ330" s="39">
        <v>51</v>
      </c>
      <c r="ER330" s="39">
        <v>51</v>
      </c>
      <c r="ES330" s="39">
        <v>51</v>
      </c>
      <c r="ET330" s="39">
        <v>51</v>
      </c>
      <c r="EU330" s="39">
        <v>51</v>
      </c>
      <c r="EV330" s="39">
        <v>51</v>
      </c>
      <c r="EW330" s="39">
        <v>51</v>
      </c>
      <c r="EX330" s="39">
        <v>51</v>
      </c>
    </row>
    <row r="331" spans="1:154" ht="12" customHeight="1" x14ac:dyDescent="0.35">
      <c r="A331" s="67">
        <v>54</v>
      </c>
      <c r="B331" s="1438">
        <f t="shared" si="144"/>
        <v>1643</v>
      </c>
      <c r="C331" s="1440">
        <v>54</v>
      </c>
      <c r="D331" s="82"/>
      <c r="E331" s="82"/>
      <c r="F331" s="82"/>
      <c r="G331" s="1448"/>
      <c r="H331" s="1448"/>
      <c r="I331" s="1448"/>
      <c r="J331" s="1448"/>
      <c r="K331" s="1668"/>
      <c r="L331" s="1668"/>
      <c r="M331" s="1674"/>
      <c r="N331" s="1674"/>
      <c r="O331" s="1674"/>
      <c r="P331" s="1674"/>
      <c r="Q331" s="1671"/>
      <c r="R331" s="1671"/>
      <c r="S331" s="1671"/>
      <c r="T331" s="1674"/>
      <c r="U331" s="1675"/>
      <c r="V331" s="1675"/>
      <c r="W331" s="1675"/>
      <c r="X331" s="30" t="s">
        <v>421</v>
      </c>
      <c r="Y331" s="1665">
        <f t="shared" ref="Y331:AE331" si="148">SUM(Y311:Y330)</f>
        <v>0</v>
      </c>
      <c r="Z331" s="1665">
        <f t="shared" si="148"/>
        <v>0</v>
      </c>
      <c r="AA331" s="1665">
        <f t="shared" si="148"/>
        <v>0</v>
      </c>
      <c r="AB331" s="1665">
        <f t="shared" si="148"/>
        <v>0</v>
      </c>
      <c r="AC331" s="1665">
        <f t="shared" si="148"/>
        <v>0</v>
      </c>
      <c r="AD331" s="1665">
        <f t="shared" si="148"/>
        <v>0</v>
      </c>
      <c r="AE331" s="1665">
        <f t="shared" si="148"/>
        <v>0</v>
      </c>
      <c r="AF331" s="1666">
        <f>SUM(AF311:AF330)</f>
        <v>0</v>
      </c>
      <c r="AG331" s="1666">
        <f>SUM(AG311:AG330)</f>
        <v>0</v>
      </c>
      <c r="AH331" s="1666">
        <f>SUM(AH311:AH330)</f>
        <v>0</v>
      </c>
      <c r="AI331" s="1666">
        <f>IF(ISERROR(A1),0,SUM(AI311:AI330))</f>
        <v>0</v>
      </c>
      <c r="AJ331" s="1666">
        <f t="shared" ref="AJ331:BD331" si="149">SUM(AJ311:AJ330)</f>
        <v>0</v>
      </c>
      <c r="AK331" s="1666">
        <f t="shared" si="149"/>
        <v>0</v>
      </c>
      <c r="AL331" s="1666">
        <f t="shared" si="149"/>
        <v>0</v>
      </c>
      <c r="AM331" s="1666">
        <f t="shared" si="149"/>
        <v>0</v>
      </c>
      <c r="AN331" s="1666">
        <f t="shared" si="149"/>
        <v>0</v>
      </c>
      <c r="AO331" s="1666">
        <f t="shared" si="149"/>
        <v>0</v>
      </c>
      <c r="AP331" s="1666">
        <f t="shared" si="149"/>
        <v>0</v>
      </c>
      <c r="AQ331" s="1666">
        <f t="shared" si="149"/>
        <v>0</v>
      </c>
      <c r="AR331" s="1666">
        <f t="shared" si="149"/>
        <v>0</v>
      </c>
      <c r="AS331" s="1666">
        <f t="shared" si="149"/>
        <v>0</v>
      </c>
      <c r="AT331" s="1666">
        <f t="shared" si="149"/>
        <v>0</v>
      </c>
      <c r="AU331" s="1666">
        <f t="shared" si="149"/>
        <v>0</v>
      </c>
      <c r="AV331" s="1666">
        <f t="shared" si="149"/>
        <v>0</v>
      </c>
      <c r="AW331" s="1666">
        <f t="shared" si="149"/>
        <v>0</v>
      </c>
      <c r="AX331" s="1666">
        <f t="shared" si="149"/>
        <v>0</v>
      </c>
      <c r="AY331" s="1666">
        <f t="shared" si="149"/>
        <v>0</v>
      </c>
      <c r="AZ331" s="1666">
        <f t="shared" si="149"/>
        <v>0</v>
      </c>
      <c r="BA331" s="1666">
        <f t="shared" si="149"/>
        <v>0</v>
      </c>
      <c r="BB331" s="1666">
        <f t="shared" si="149"/>
        <v>0</v>
      </c>
      <c r="BC331" s="1666">
        <f t="shared" si="149"/>
        <v>0</v>
      </c>
      <c r="BD331" s="1666">
        <f t="shared" si="149"/>
        <v>0</v>
      </c>
      <c r="BE331" s="1666">
        <f t="shared" ref="BE331:CJ331" si="150">SUM(BE311:BE330)</f>
        <v>0</v>
      </c>
      <c r="BF331" s="1666">
        <f t="shared" si="150"/>
        <v>0</v>
      </c>
      <c r="BG331" s="1666">
        <f t="shared" si="150"/>
        <v>0</v>
      </c>
      <c r="BH331" s="1666">
        <f t="shared" si="150"/>
        <v>0</v>
      </c>
      <c r="BI331" s="1666">
        <f t="shared" si="150"/>
        <v>0</v>
      </c>
      <c r="BJ331" s="1666">
        <f t="shared" si="150"/>
        <v>0</v>
      </c>
      <c r="BK331" s="1666">
        <f t="shared" si="150"/>
        <v>0</v>
      </c>
      <c r="BL331" s="1666">
        <f t="shared" si="150"/>
        <v>0</v>
      </c>
      <c r="BM331" s="1666">
        <f t="shared" si="150"/>
        <v>0</v>
      </c>
      <c r="BN331" s="1666">
        <f t="shared" si="150"/>
        <v>0</v>
      </c>
      <c r="BO331" s="1666">
        <f t="shared" si="150"/>
        <v>0</v>
      </c>
      <c r="BP331" s="1666">
        <f t="shared" si="150"/>
        <v>0</v>
      </c>
      <c r="BQ331" s="1666">
        <f t="shared" si="150"/>
        <v>0</v>
      </c>
      <c r="BR331" s="1666">
        <f t="shared" si="150"/>
        <v>0</v>
      </c>
      <c r="BS331" s="1666">
        <f t="shared" si="150"/>
        <v>0</v>
      </c>
      <c r="BT331" s="1666">
        <f t="shared" si="150"/>
        <v>0</v>
      </c>
      <c r="BU331" s="1666">
        <f t="shared" si="150"/>
        <v>0</v>
      </c>
      <c r="BV331" s="1666">
        <f t="shared" si="150"/>
        <v>0</v>
      </c>
      <c r="BW331" s="1666">
        <f t="shared" si="150"/>
        <v>0</v>
      </c>
      <c r="BX331" s="1460">
        <f t="shared" si="150"/>
        <v>0</v>
      </c>
      <c r="BY331" s="1460">
        <f t="shared" si="150"/>
        <v>0</v>
      </c>
      <c r="BZ331" s="1163">
        <f t="shared" si="150"/>
        <v>0</v>
      </c>
      <c r="CA331" s="1163">
        <f t="shared" si="150"/>
        <v>0</v>
      </c>
      <c r="CB331" s="1163">
        <f t="shared" si="150"/>
        <v>0</v>
      </c>
      <c r="CC331" s="1163">
        <f t="shared" si="150"/>
        <v>0</v>
      </c>
      <c r="CD331" s="1163">
        <f t="shared" si="150"/>
        <v>0</v>
      </c>
      <c r="CE331" s="1163">
        <f t="shared" si="150"/>
        <v>0</v>
      </c>
      <c r="CF331" s="1163">
        <f t="shared" si="150"/>
        <v>0</v>
      </c>
      <c r="CG331" s="1163">
        <f t="shared" si="150"/>
        <v>0</v>
      </c>
      <c r="CH331" s="1163">
        <f t="shared" si="150"/>
        <v>0</v>
      </c>
      <c r="CI331" s="1163">
        <f t="shared" si="150"/>
        <v>0</v>
      </c>
      <c r="CJ331" s="1163">
        <f t="shared" si="150"/>
        <v>0</v>
      </c>
      <c r="CK331" s="1163">
        <f t="shared" ref="CK331:DP331" si="151">SUM(CK311:CK330)</f>
        <v>0</v>
      </c>
      <c r="CL331" s="1163">
        <f t="shared" si="151"/>
        <v>0</v>
      </c>
      <c r="CM331" s="1163">
        <f t="shared" si="151"/>
        <v>0</v>
      </c>
      <c r="CN331" s="1163">
        <f t="shared" si="151"/>
        <v>0</v>
      </c>
      <c r="CO331" s="1163">
        <f t="shared" si="151"/>
        <v>0</v>
      </c>
      <c r="CP331" s="1163">
        <f t="shared" si="151"/>
        <v>0</v>
      </c>
      <c r="CQ331" s="1120">
        <f t="shared" si="151"/>
        <v>0</v>
      </c>
      <c r="CR331" s="1120">
        <f t="shared" si="151"/>
        <v>0</v>
      </c>
      <c r="CS331" s="1120">
        <f t="shared" si="151"/>
        <v>0</v>
      </c>
      <c r="CT331" s="1120">
        <f t="shared" si="151"/>
        <v>0</v>
      </c>
      <c r="CU331" s="1120">
        <f t="shared" si="151"/>
        <v>0</v>
      </c>
      <c r="CV331" s="1120">
        <f t="shared" si="151"/>
        <v>0</v>
      </c>
      <c r="CW331" s="1120">
        <f t="shared" si="151"/>
        <v>0</v>
      </c>
      <c r="CX331" s="1120">
        <f t="shared" si="151"/>
        <v>0</v>
      </c>
      <c r="CY331" s="1120">
        <f t="shared" si="151"/>
        <v>0</v>
      </c>
      <c r="CZ331" s="1120">
        <f t="shared" si="151"/>
        <v>0</v>
      </c>
      <c r="DA331" s="1120">
        <f t="shared" si="151"/>
        <v>0</v>
      </c>
      <c r="DB331" s="1120">
        <f t="shared" si="151"/>
        <v>0</v>
      </c>
      <c r="DC331" s="1120">
        <f t="shared" si="151"/>
        <v>0</v>
      </c>
      <c r="DD331" s="1120">
        <f t="shared" si="151"/>
        <v>0</v>
      </c>
      <c r="DE331" s="1120">
        <f t="shared" si="151"/>
        <v>0</v>
      </c>
      <c r="DF331" s="1120">
        <f t="shared" si="151"/>
        <v>0</v>
      </c>
      <c r="DG331" s="1120">
        <f t="shared" si="151"/>
        <v>0</v>
      </c>
      <c r="DH331" s="1120">
        <f t="shared" si="151"/>
        <v>0</v>
      </c>
      <c r="DI331" s="1120">
        <f t="shared" si="151"/>
        <v>0</v>
      </c>
      <c r="DJ331" s="1120">
        <f t="shared" si="151"/>
        <v>0</v>
      </c>
      <c r="DK331" s="1120">
        <f t="shared" si="151"/>
        <v>0</v>
      </c>
      <c r="DL331" s="1120">
        <f t="shared" si="151"/>
        <v>0</v>
      </c>
      <c r="DM331" s="1120">
        <f t="shared" si="151"/>
        <v>0</v>
      </c>
      <c r="DN331" s="1120">
        <f t="shared" si="151"/>
        <v>0</v>
      </c>
      <c r="DO331" s="1120">
        <f t="shared" si="151"/>
        <v>0</v>
      </c>
      <c r="DP331" s="1120">
        <f t="shared" si="151"/>
        <v>0</v>
      </c>
      <c r="DQ331" s="1120">
        <f t="shared" ref="DQ331:EN331" si="152">SUM(DQ311:DQ330)</f>
        <v>0</v>
      </c>
      <c r="DR331" s="58">
        <f t="shared" si="152"/>
        <v>0</v>
      </c>
      <c r="DS331" s="58">
        <f t="shared" si="152"/>
        <v>0</v>
      </c>
      <c r="DT331" s="58">
        <f t="shared" si="152"/>
        <v>0</v>
      </c>
      <c r="DU331" s="58">
        <f t="shared" si="152"/>
        <v>0</v>
      </c>
      <c r="DV331" s="58">
        <f t="shared" si="152"/>
        <v>0</v>
      </c>
      <c r="DW331" s="58">
        <f t="shared" si="152"/>
        <v>0</v>
      </c>
      <c r="DX331" s="58">
        <f t="shared" si="152"/>
        <v>0</v>
      </c>
      <c r="DY331" s="58">
        <f t="shared" si="152"/>
        <v>0</v>
      </c>
      <c r="DZ331" s="58">
        <f t="shared" si="152"/>
        <v>0</v>
      </c>
      <c r="EA331" s="58">
        <f t="shared" si="152"/>
        <v>0</v>
      </c>
      <c r="EB331" s="58">
        <f t="shared" si="152"/>
        <v>0</v>
      </c>
      <c r="EC331" s="58">
        <f t="shared" si="152"/>
        <v>0</v>
      </c>
      <c r="ED331" s="58">
        <f t="shared" si="152"/>
        <v>0</v>
      </c>
      <c r="EE331" s="58">
        <f t="shared" si="152"/>
        <v>0</v>
      </c>
      <c r="EF331" s="58">
        <f t="shared" si="152"/>
        <v>0</v>
      </c>
      <c r="EG331" s="58">
        <f t="shared" si="152"/>
        <v>0</v>
      </c>
      <c r="EH331" s="58">
        <f t="shared" si="152"/>
        <v>0</v>
      </c>
      <c r="EI331" s="58">
        <f t="shared" si="152"/>
        <v>0</v>
      </c>
      <c r="EJ331" s="58">
        <f t="shared" si="152"/>
        <v>0</v>
      </c>
      <c r="EK331" s="58">
        <f t="shared" si="152"/>
        <v>0</v>
      </c>
      <c r="EL331" s="58">
        <f t="shared" si="152"/>
        <v>0</v>
      </c>
      <c r="EM331" s="58">
        <f t="shared" si="152"/>
        <v>0</v>
      </c>
      <c r="EN331" s="58">
        <f t="shared" si="152"/>
        <v>0</v>
      </c>
      <c r="EO331" s="39">
        <v>51</v>
      </c>
      <c r="EP331" s="39">
        <v>51</v>
      </c>
      <c r="EQ331" s="39">
        <v>51</v>
      </c>
      <c r="ER331" s="39">
        <v>51</v>
      </c>
      <c r="ES331" s="39">
        <v>51</v>
      </c>
      <c r="ET331" s="39">
        <v>51</v>
      </c>
      <c r="EU331" s="39">
        <v>51</v>
      </c>
      <c r="EV331" s="39">
        <v>51</v>
      </c>
      <c r="EW331" s="39">
        <v>51</v>
      </c>
      <c r="EX331" s="39">
        <v>51</v>
      </c>
    </row>
    <row r="332" spans="1:154" ht="12" customHeight="1" x14ac:dyDescent="0.35">
      <c r="A332" s="67">
        <v>55</v>
      </c>
      <c r="B332" s="1438">
        <f t="shared" si="144"/>
        <v>1674</v>
      </c>
      <c r="C332" s="1440">
        <v>55</v>
      </c>
      <c r="D332" s="82"/>
      <c r="E332" s="82"/>
      <c r="F332" s="82"/>
      <c r="G332" s="1448"/>
      <c r="H332" s="1448"/>
      <c r="I332" s="1448"/>
      <c r="J332" s="1448"/>
      <c r="K332" s="1668"/>
      <c r="L332" s="1668"/>
      <c r="M332" s="1674"/>
      <c r="N332" s="1674"/>
      <c r="O332" s="1674"/>
      <c r="P332" s="1674"/>
      <c r="Q332" s="1671"/>
      <c r="R332" s="1671"/>
      <c r="S332" s="1671"/>
      <c r="T332" s="1674"/>
      <c r="U332" s="1675"/>
      <c r="V332" s="1675"/>
      <c r="W332" s="1675"/>
      <c r="X332" s="30"/>
      <c r="Y332" s="1676">
        <f>Y331</f>
        <v>0</v>
      </c>
      <c r="Z332" s="1676">
        <f t="shared" ref="Z332:AE332" si="153">Z331</f>
        <v>0</v>
      </c>
      <c r="AA332" s="1676">
        <f t="shared" si="153"/>
        <v>0</v>
      </c>
      <c r="AB332" s="1676">
        <f t="shared" si="153"/>
        <v>0</v>
      </c>
      <c r="AC332" s="1676">
        <f t="shared" si="153"/>
        <v>0</v>
      </c>
      <c r="AD332" s="1676">
        <f t="shared" si="153"/>
        <v>0</v>
      </c>
      <c r="AE332" s="1676">
        <f t="shared" si="153"/>
        <v>0</v>
      </c>
      <c r="AF332" s="1156">
        <f>AF331</f>
        <v>0</v>
      </c>
      <c r="AG332" s="1156">
        <f>AG331</f>
        <v>0</v>
      </c>
      <c r="AH332" s="1156">
        <f>AH331</f>
        <v>0</v>
      </c>
      <c r="AI332" s="1156">
        <f>IFERROR(AI331,0)</f>
        <v>0</v>
      </c>
      <c r="AJ332" s="1156">
        <f t="shared" ref="AJ332:CU332" si="154">IFERROR(AJ331,0)</f>
        <v>0</v>
      </c>
      <c r="AK332" s="1156">
        <f t="shared" si="154"/>
        <v>0</v>
      </c>
      <c r="AL332" s="1156">
        <f t="shared" si="154"/>
        <v>0</v>
      </c>
      <c r="AM332" s="1156">
        <f t="shared" si="154"/>
        <v>0</v>
      </c>
      <c r="AN332" s="1156">
        <f t="shared" si="154"/>
        <v>0</v>
      </c>
      <c r="AO332" s="1156">
        <f t="shared" si="154"/>
        <v>0</v>
      </c>
      <c r="AP332" s="1156">
        <f t="shared" si="154"/>
        <v>0</v>
      </c>
      <c r="AQ332" s="1156">
        <f t="shared" si="154"/>
        <v>0</v>
      </c>
      <c r="AR332" s="1156">
        <f t="shared" si="154"/>
        <v>0</v>
      </c>
      <c r="AS332" s="1156">
        <f t="shared" si="154"/>
        <v>0</v>
      </c>
      <c r="AT332" s="1156">
        <f t="shared" si="154"/>
        <v>0</v>
      </c>
      <c r="AU332" s="1156">
        <f t="shared" si="154"/>
        <v>0</v>
      </c>
      <c r="AV332" s="1156">
        <f t="shared" si="154"/>
        <v>0</v>
      </c>
      <c r="AW332" s="1156">
        <f t="shared" si="154"/>
        <v>0</v>
      </c>
      <c r="AX332" s="1156">
        <f t="shared" si="154"/>
        <v>0</v>
      </c>
      <c r="AY332" s="1156">
        <f t="shared" si="154"/>
        <v>0</v>
      </c>
      <c r="AZ332" s="1156">
        <f t="shared" si="154"/>
        <v>0</v>
      </c>
      <c r="BA332" s="1156">
        <f t="shared" si="154"/>
        <v>0</v>
      </c>
      <c r="BB332" s="1156">
        <f t="shared" si="154"/>
        <v>0</v>
      </c>
      <c r="BC332" s="1156">
        <f t="shared" si="154"/>
        <v>0</v>
      </c>
      <c r="BD332" s="1156">
        <f t="shared" si="154"/>
        <v>0</v>
      </c>
      <c r="BE332" s="1156">
        <f t="shared" si="154"/>
        <v>0</v>
      </c>
      <c r="BF332" s="1156">
        <f t="shared" si="154"/>
        <v>0</v>
      </c>
      <c r="BG332" s="1156">
        <f t="shared" si="154"/>
        <v>0</v>
      </c>
      <c r="BH332" s="1156">
        <f t="shared" si="154"/>
        <v>0</v>
      </c>
      <c r="BI332" s="1156">
        <f t="shared" si="154"/>
        <v>0</v>
      </c>
      <c r="BJ332" s="1156">
        <f t="shared" si="154"/>
        <v>0</v>
      </c>
      <c r="BK332" s="1156">
        <f t="shared" si="154"/>
        <v>0</v>
      </c>
      <c r="BL332" s="1156">
        <f t="shared" si="154"/>
        <v>0</v>
      </c>
      <c r="BM332" s="1156">
        <f t="shared" si="154"/>
        <v>0</v>
      </c>
      <c r="BN332" s="1156">
        <f t="shared" si="154"/>
        <v>0</v>
      </c>
      <c r="BO332" s="1156">
        <f t="shared" si="154"/>
        <v>0</v>
      </c>
      <c r="BP332" s="1156">
        <f t="shared" si="154"/>
        <v>0</v>
      </c>
      <c r="BQ332" s="1156">
        <f t="shared" si="154"/>
        <v>0</v>
      </c>
      <c r="BR332" s="1156">
        <f t="shared" si="154"/>
        <v>0</v>
      </c>
      <c r="BS332" s="1156">
        <f t="shared" si="154"/>
        <v>0</v>
      </c>
      <c r="BT332" s="1156">
        <f t="shared" si="154"/>
        <v>0</v>
      </c>
      <c r="BU332" s="1156">
        <f t="shared" si="154"/>
        <v>0</v>
      </c>
      <c r="BV332" s="1156">
        <f t="shared" si="154"/>
        <v>0</v>
      </c>
      <c r="BW332" s="1156">
        <f t="shared" si="154"/>
        <v>0</v>
      </c>
      <c r="BX332" s="1462">
        <f t="shared" si="154"/>
        <v>0</v>
      </c>
      <c r="BY332" s="1462">
        <f t="shared" si="154"/>
        <v>0</v>
      </c>
      <c r="BZ332" s="1166">
        <f t="shared" si="154"/>
        <v>0</v>
      </c>
      <c r="CA332" s="1166">
        <f t="shared" si="154"/>
        <v>0</v>
      </c>
      <c r="CB332" s="1166">
        <f t="shared" si="154"/>
        <v>0</v>
      </c>
      <c r="CC332" s="1166">
        <f t="shared" si="154"/>
        <v>0</v>
      </c>
      <c r="CD332" s="1166">
        <f t="shared" si="154"/>
        <v>0</v>
      </c>
      <c r="CE332" s="1166">
        <f t="shared" si="154"/>
        <v>0</v>
      </c>
      <c r="CF332" s="1166">
        <f t="shared" si="154"/>
        <v>0</v>
      </c>
      <c r="CG332" s="1166">
        <f t="shared" si="154"/>
        <v>0</v>
      </c>
      <c r="CH332" s="1166">
        <f t="shared" si="154"/>
        <v>0</v>
      </c>
      <c r="CI332" s="1166">
        <f t="shared" si="154"/>
        <v>0</v>
      </c>
      <c r="CJ332" s="1166">
        <f t="shared" si="154"/>
        <v>0</v>
      </c>
      <c r="CK332" s="1166">
        <f t="shared" si="154"/>
        <v>0</v>
      </c>
      <c r="CL332" s="1166">
        <f t="shared" si="154"/>
        <v>0</v>
      </c>
      <c r="CM332" s="1166">
        <f t="shared" si="154"/>
        <v>0</v>
      </c>
      <c r="CN332" s="1166">
        <f t="shared" si="154"/>
        <v>0</v>
      </c>
      <c r="CO332" s="1166">
        <f t="shared" si="154"/>
        <v>0</v>
      </c>
      <c r="CP332" s="1166">
        <f t="shared" si="154"/>
        <v>0</v>
      </c>
      <c r="CQ332" s="1121">
        <f t="shared" si="154"/>
        <v>0</v>
      </c>
      <c r="CR332" s="1121">
        <f t="shared" si="154"/>
        <v>0</v>
      </c>
      <c r="CS332" s="1121">
        <f t="shared" si="154"/>
        <v>0</v>
      </c>
      <c r="CT332" s="1121">
        <f t="shared" si="154"/>
        <v>0</v>
      </c>
      <c r="CU332" s="1121">
        <f t="shared" si="154"/>
        <v>0</v>
      </c>
      <c r="CV332" s="1121">
        <f t="shared" ref="CV332:DZ332" si="155">IFERROR(CV331,0)</f>
        <v>0</v>
      </c>
      <c r="CW332" s="1121">
        <f t="shared" si="155"/>
        <v>0</v>
      </c>
      <c r="CX332" s="1121">
        <f t="shared" si="155"/>
        <v>0</v>
      </c>
      <c r="CY332" s="1121">
        <f t="shared" si="155"/>
        <v>0</v>
      </c>
      <c r="CZ332" s="1121">
        <f t="shared" si="155"/>
        <v>0</v>
      </c>
      <c r="DA332" s="1121">
        <f t="shared" si="155"/>
        <v>0</v>
      </c>
      <c r="DB332" s="1121">
        <f t="shared" si="155"/>
        <v>0</v>
      </c>
      <c r="DC332" s="1121">
        <f t="shared" si="155"/>
        <v>0</v>
      </c>
      <c r="DD332" s="1121">
        <f t="shared" si="155"/>
        <v>0</v>
      </c>
      <c r="DE332" s="1121">
        <f t="shared" si="155"/>
        <v>0</v>
      </c>
      <c r="DF332" s="1121">
        <f t="shared" si="155"/>
        <v>0</v>
      </c>
      <c r="DG332" s="1121">
        <f t="shared" si="155"/>
        <v>0</v>
      </c>
      <c r="DH332" s="1121">
        <f t="shared" si="155"/>
        <v>0</v>
      </c>
      <c r="DI332" s="1121">
        <f t="shared" si="155"/>
        <v>0</v>
      </c>
      <c r="DJ332" s="1121">
        <f t="shared" si="155"/>
        <v>0</v>
      </c>
      <c r="DK332" s="1121">
        <f t="shared" si="155"/>
        <v>0</v>
      </c>
      <c r="DL332" s="1121">
        <f t="shared" si="155"/>
        <v>0</v>
      </c>
      <c r="DM332" s="1121">
        <f t="shared" si="155"/>
        <v>0</v>
      </c>
      <c r="DN332" s="1121">
        <f t="shared" si="155"/>
        <v>0</v>
      </c>
      <c r="DO332" s="1121">
        <f t="shared" si="155"/>
        <v>0</v>
      </c>
      <c r="DP332" s="1121">
        <f t="shared" si="155"/>
        <v>0</v>
      </c>
      <c r="DQ332" s="1121">
        <f t="shared" si="155"/>
        <v>0</v>
      </c>
      <c r="DR332" s="445">
        <f t="shared" si="155"/>
        <v>0</v>
      </c>
      <c r="DS332" s="445">
        <f t="shared" si="155"/>
        <v>0</v>
      </c>
      <c r="DT332" s="445">
        <f t="shared" si="155"/>
        <v>0</v>
      </c>
      <c r="DU332" s="445">
        <f t="shared" si="155"/>
        <v>0</v>
      </c>
      <c r="DV332" s="445">
        <f t="shared" si="155"/>
        <v>0</v>
      </c>
      <c r="DW332" s="445">
        <f t="shared" si="155"/>
        <v>0</v>
      </c>
      <c r="DX332" s="445">
        <f t="shared" si="155"/>
        <v>0</v>
      </c>
      <c r="DY332" s="445">
        <f t="shared" si="155"/>
        <v>0</v>
      </c>
      <c r="DZ332" s="445">
        <f t="shared" si="155"/>
        <v>0</v>
      </c>
      <c r="EA332" s="445">
        <f t="shared" ref="EA332:EN332" si="156">IF(Years="Five",IFERROR(EA331,0),0)</f>
        <v>0</v>
      </c>
      <c r="EB332" s="445">
        <f t="shared" si="156"/>
        <v>0</v>
      </c>
      <c r="EC332" s="445">
        <f t="shared" si="156"/>
        <v>0</v>
      </c>
      <c r="ED332" s="445">
        <f t="shared" si="156"/>
        <v>0</v>
      </c>
      <c r="EE332" s="445">
        <f t="shared" si="156"/>
        <v>0</v>
      </c>
      <c r="EF332" s="445">
        <f t="shared" si="156"/>
        <v>0</v>
      </c>
      <c r="EG332" s="445">
        <f t="shared" si="156"/>
        <v>0</v>
      </c>
      <c r="EH332" s="445">
        <f t="shared" si="156"/>
        <v>0</v>
      </c>
      <c r="EI332" s="445">
        <f t="shared" si="156"/>
        <v>0</v>
      </c>
      <c r="EJ332" s="445">
        <f t="shared" si="156"/>
        <v>0</v>
      </c>
      <c r="EK332" s="445">
        <f t="shared" si="156"/>
        <v>0</v>
      </c>
      <c r="EL332" s="445">
        <f t="shared" si="156"/>
        <v>0</v>
      </c>
      <c r="EM332" s="445">
        <f t="shared" si="156"/>
        <v>0</v>
      </c>
      <c r="EN332" s="445">
        <f t="shared" si="156"/>
        <v>0</v>
      </c>
      <c r="EO332" s="39">
        <v>51</v>
      </c>
      <c r="EP332" s="39">
        <v>51</v>
      </c>
      <c r="EQ332" s="39">
        <v>51</v>
      </c>
      <c r="ER332" s="39">
        <v>51</v>
      </c>
      <c r="ES332" s="39">
        <v>51</v>
      </c>
      <c r="ET332" s="39">
        <v>51</v>
      </c>
      <c r="EU332" s="39">
        <v>51</v>
      </c>
      <c r="EV332" s="39">
        <v>51</v>
      </c>
      <c r="EW332" s="39">
        <v>51</v>
      </c>
      <c r="EX332" s="39">
        <v>51</v>
      </c>
    </row>
    <row r="333" spans="1:154" ht="12" customHeight="1" x14ac:dyDescent="0.35">
      <c r="A333" s="67">
        <v>56</v>
      </c>
      <c r="B333" s="1438">
        <f t="shared" si="144"/>
        <v>1705</v>
      </c>
      <c r="C333" s="1440">
        <v>56</v>
      </c>
      <c r="D333" s="82"/>
      <c r="E333" s="82"/>
      <c r="F333" s="82"/>
      <c r="G333" s="1448"/>
      <c r="H333" s="1448"/>
      <c r="I333" s="1448"/>
      <c r="J333" s="1448"/>
      <c r="K333" s="1668"/>
      <c r="L333" s="1668"/>
      <c r="M333" s="1668"/>
      <c r="N333" s="1668"/>
      <c r="O333" s="1668"/>
      <c r="P333" s="1668"/>
      <c r="Q333" s="1671"/>
      <c r="R333" s="1671"/>
      <c r="S333" s="1671"/>
      <c r="T333" s="1668"/>
      <c r="U333" s="1672"/>
      <c r="V333" s="1672"/>
      <c r="W333" s="1672"/>
      <c r="X333" s="30" t="s">
        <v>422</v>
      </c>
      <c r="Y333" s="1677"/>
      <c r="Z333" s="1677"/>
      <c r="AA333" s="1677"/>
      <c r="AB333" s="1677"/>
      <c r="AC333" s="1677"/>
      <c r="AD333" s="1677"/>
      <c r="AE333" s="1677"/>
      <c r="AF333" s="30"/>
      <c r="AG333" s="30"/>
      <c r="AH333" s="30"/>
      <c r="AI333" s="30"/>
      <c r="AJ333" s="30"/>
      <c r="AK333" s="30"/>
      <c r="AL333" s="30"/>
      <c r="AM333" s="30"/>
      <c r="AN333" s="30"/>
      <c r="AO333" s="30"/>
      <c r="AP333" s="30"/>
      <c r="AQ333" s="30"/>
      <c r="AR333" s="30"/>
      <c r="AS333" s="30"/>
      <c r="AT333" s="30"/>
      <c r="AU333" s="30"/>
      <c r="AV333" s="30"/>
      <c r="AW333" s="30"/>
      <c r="AX333" s="30"/>
      <c r="AY333" s="30"/>
      <c r="AZ333" s="30"/>
      <c r="BA333" s="30"/>
      <c r="BB333" s="30"/>
      <c r="BC333" s="30"/>
      <c r="BD333" s="30"/>
      <c r="BE333" s="30"/>
      <c r="BF333" s="30"/>
      <c r="BG333" s="30"/>
      <c r="BH333" s="30"/>
      <c r="BI333" s="30"/>
      <c r="BJ333" s="30"/>
      <c r="BK333" s="30"/>
      <c r="BL333" s="30"/>
      <c r="BM333" s="30"/>
      <c r="BN333" s="30"/>
      <c r="BO333" s="30"/>
      <c r="BP333" s="30"/>
      <c r="BQ333" s="30"/>
      <c r="BR333" s="30"/>
      <c r="BS333" s="30"/>
      <c r="BT333" s="30"/>
      <c r="BU333" s="30"/>
      <c r="BV333" s="30"/>
      <c r="BW333" s="30"/>
      <c r="BX333" s="204"/>
      <c r="BY333" s="204"/>
      <c r="BZ333" s="52"/>
      <c r="CA333" s="52"/>
      <c r="CB333" s="52"/>
      <c r="CC333" s="52"/>
      <c r="CD333" s="52"/>
      <c r="CE333" s="52"/>
      <c r="CF333" s="52"/>
      <c r="CG333" s="52"/>
      <c r="CH333" s="52"/>
      <c r="CI333" s="52"/>
      <c r="CJ333" s="52"/>
      <c r="CK333" s="52"/>
      <c r="CL333" s="52"/>
      <c r="CM333" s="52"/>
      <c r="CN333" s="52"/>
      <c r="CO333" s="52"/>
      <c r="CP333" s="52"/>
      <c r="CQ333" s="56"/>
      <c r="CR333" s="56"/>
      <c r="CS333" s="56"/>
      <c r="CT333" s="56"/>
      <c r="CU333" s="56"/>
      <c r="CV333" s="56"/>
      <c r="CW333" s="56"/>
      <c r="CX333" s="56"/>
      <c r="CY333" s="56"/>
      <c r="CZ333" s="56"/>
      <c r="DA333" s="56"/>
      <c r="DB333" s="56"/>
      <c r="DC333" s="56"/>
      <c r="DD333" s="56"/>
      <c r="DE333" s="56"/>
      <c r="DF333" s="56"/>
      <c r="DG333" s="56"/>
      <c r="DH333" s="56"/>
      <c r="DI333" s="56"/>
      <c r="DJ333" s="56"/>
      <c r="DK333" s="56"/>
      <c r="DL333" s="56"/>
      <c r="DM333" s="56"/>
      <c r="DN333" s="56"/>
      <c r="DO333" s="56"/>
      <c r="DP333" s="56"/>
      <c r="DQ333" s="56"/>
      <c r="DR333" s="94"/>
      <c r="DS333" s="94"/>
      <c r="DT333" s="94"/>
      <c r="DU333" s="94"/>
      <c r="DV333" s="94"/>
      <c r="DW333" s="94"/>
      <c r="DX333" s="94"/>
      <c r="DY333" s="94"/>
      <c r="DZ333" s="94"/>
      <c r="EA333" s="94"/>
      <c r="EB333" s="94"/>
      <c r="EC333" s="94"/>
      <c r="ED333" s="94"/>
      <c r="EE333" s="94"/>
      <c r="EF333" s="94"/>
      <c r="EG333" s="94"/>
      <c r="EH333" s="94"/>
      <c r="EI333" s="94"/>
      <c r="EJ333" s="94"/>
      <c r="EK333" s="94"/>
      <c r="EL333" s="94"/>
      <c r="EM333" s="94"/>
      <c r="EN333" s="94"/>
      <c r="EO333" s="39">
        <v>51</v>
      </c>
      <c r="EP333" s="39">
        <v>51</v>
      </c>
      <c r="EQ333" s="39">
        <v>51</v>
      </c>
      <c r="ER333" s="39">
        <v>51</v>
      </c>
      <c r="ES333" s="39">
        <v>51</v>
      </c>
      <c r="ET333" s="39">
        <v>51</v>
      </c>
      <c r="EU333" s="39">
        <v>51</v>
      </c>
      <c r="EV333" s="39">
        <v>51</v>
      </c>
      <c r="EW333" s="39">
        <v>51</v>
      </c>
      <c r="EX333" s="39">
        <v>51</v>
      </c>
    </row>
    <row r="334" spans="1:154" ht="12" customHeight="1" x14ac:dyDescent="0.35">
      <c r="A334" s="67">
        <v>57</v>
      </c>
      <c r="B334" s="1438">
        <f t="shared" si="144"/>
        <v>1735</v>
      </c>
      <c r="C334" s="1440">
        <v>57</v>
      </c>
      <c r="D334" s="82"/>
      <c r="E334" s="82"/>
      <c r="F334" s="82"/>
      <c r="G334" s="1448"/>
      <c r="H334" s="1448"/>
      <c r="I334" s="1448"/>
      <c r="J334" s="1448"/>
      <c r="K334" s="1668"/>
      <c r="L334" s="1668"/>
      <c r="M334" s="1668"/>
      <c r="N334" s="1668"/>
      <c r="O334" s="1668"/>
      <c r="P334" s="1668"/>
      <c r="Q334" s="1671"/>
      <c r="R334" s="1671"/>
      <c r="S334" s="1671"/>
      <c r="T334" s="1668"/>
      <c r="U334" s="1672"/>
      <c r="V334" s="1672"/>
      <c r="W334" s="1672"/>
      <c r="X334" s="376">
        <f>X301</f>
        <v>3</v>
      </c>
      <c r="Y334" s="1676">
        <f>SUM($Y301:Y301)</f>
        <v>0</v>
      </c>
      <c r="Z334" s="1676">
        <f>SUM($Y301:Z301)</f>
        <v>0</v>
      </c>
      <c r="AA334" s="1676">
        <f>SUM($Y301:AA301)</f>
        <v>0</v>
      </c>
      <c r="AB334" s="1676">
        <f>SUM($Y301:AB301)</f>
        <v>0</v>
      </c>
      <c r="AC334" s="1676">
        <f>SUM($Y301:AC301)</f>
        <v>0</v>
      </c>
      <c r="AD334" s="1676">
        <f>SUM($Y301:AD301)</f>
        <v>0</v>
      </c>
      <c r="AE334" s="1676">
        <f>SUM($Y301:AE301)</f>
        <v>0</v>
      </c>
      <c r="AF334" s="1156">
        <f>SUM($Y301:AF301)</f>
        <v>0</v>
      </c>
      <c r="AG334" s="1156">
        <f>SUM($Y301:AG301)</f>
        <v>0</v>
      </c>
      <c r="AH334" s="1156">
        <f>SUM($Y301:AH301)</f>
        <v>0</v>
      </c>
      <c r="AI334" s="1156">
        <f>IFERROR(SUM($Y301:AI301),0)</f>
        <v>0</v>
      </c>
      <c r="AJ334" s="1156">
        <f>IFERROR(SUM($Y301:AJ301),0)</f>
        <v>0</v>
      </c>
      <c r="AK334" s="1156">
        <f>IFERROR(SUM($Y301:AK301),0)</f>
        <v>0</v>
      </c>
      <c r="AL334" s="1156">
        <f>IFERROR(SUM($Y301:AL301),0)</f>
        <v>0</v>
      </c>
      <c r="AM334" s="1156">
        <f>IFERROR(SUM($Y301:AM301),0)</f>
        <v>0</v>
      </c>
      <c r="AN334" s="1156">
        <f>IFERROR(SUM($Y301:AN301),0)</f>
        <v>0</v>
      </c>
      <c r="AO334" s="1156">
        <f>IFERROR(SUM($Y301:AO301),0)</f>
        <v>0</v>
      </c>
      <c r="AP334" s="1156">
        <f>IFERROR(SUM($Y301:AP301),0)</f>
        <v>0</v>
      </c>
      <c r="AQ334" s="1156">
        <f>IFERROR(SUM($Y301:AQ301),0)</f>
        <v>0</v>
      </c>
      <c r="AR334" s="1156">
        <f>IFERROR(SUM($Y301:AR301),0)</f>
        <v>0</v>
      </c>
      <c r="AS334" s="1156">
        <f>IFERROR(SUM($Y301:AS301),0)</f>
        <v>0</v>
      </c>
      <c r="AT334" s="1156">
        <f>IFERROR(SUM($Y301:AT301),0)</f>
        <v>0</v>
      </c>
      <c r="AU334" s="1156">
        <f>IFERROR(SUM($Y301:AU301),0)</f>
        <v>0</v>
      </c>
      <c r="AV334" s="1156">
        <f>IFERROR(SUM($Y301:AV301),0)</f>
        <v>0</v>
      </c>
      <c r="AW334" s="1156">
        <f>IFERROR(SUM($Y301:AW301),0)</f>
        <v>0</v>
      </c>
      <c r="AX334" s="1156">
        <f>IFERROR(SUM($Y301:AX301),0)</f>
        <v>0</v>
      </c>
      <c r="AY334" s="1156">
        <f>IFERROR(SUM($Y301:AY301),0)</f>
        <v>0</v>
      </c>
      <c r="AZ334" s="1156">
        <f>IFERROR(SUM($Y301:AZ301),0)</f>
        <v>0</v>
      </c>
      <c r="BA334" s="1156">
        <f>IFERROR(SUM($Y301:BA301),0)</f>
        <v>0</v>
      </c>
      <c r="BB334" s="1156">
        <f>IFERROR(SUM($Y301:BB301),0)</f>
        <v>0</v>
      </c>
      <c r="BC334" s="1156">
        <f>IFERROR(SUM($Y301:BC301),0)</f>
        <v>0</v>
      </c>
      <c r="BD334" s="1156">
        <f>IFERROR(SUM($Y301:BD301),0)</f>
        <v>0</v>
      </c>
      <c r="BE334" s="1156">
        <f>IFERROR(SUM($Y301:BE301),0)</f>
        <v>0</v>
      </c>
      <c r="BF334" s="1156">
        <f>IFERROR(SUM($Y301:BF301),0)</f>
        <v>0</v>
      </c>
      <c r="BG334" s="1156">
        <f>IFERROR(SUM($Y301:BG301),0)</f>
        <v>0</v>
      </c>
      <c r="BH334" s="1156">
        <f>IFERROR(SUM($Y301:BH301),0)</f>
        <v>0</v>
      </c>
      <c r="BI334" s="1156">
        <f>IFERROR(SUM($Y301:BI301),0)</f>
        <v>0</v>
      </c>
      <c r="BJ334" s="1156">
        <f>IFERROR(SUM($Y301:BJ301),0)</f>
        <v>0</v>
      </c>
      <c r="BK334" s="1156">
        <f>IFERROR(SUM($Y301:BK301),0)</f>
        <v>0</v>
      </c>
      <c r="BL334" s="1156">
        <f>IFERROR(SUM($Y301:BL301),0)</f>
        <v>0</v>
      </c>
      <c r="BM334" s="1156">
        <f>IFERROR(SUM($Y301:BM301),0)</f>
        <v>0</v>
      </c>
      <c r="BN334" s="1156">
        <f>IFERROR(SUM($Y301:BN301),0)</f>
        <v>0</v>
      </c>
      <c r="BO334" s="1156">
        <f>IFERROR(SUM($Y301:BO301),0)</f>
        <v>0</v>
      </c>
      <c r="BP334" s="1156">
        <f>IFERROR(SUM($Y301:BP301),0)</f>
        <v>0</v>
      </c>
      <c r="BQ334" s="1156">
        <f>IFERROR(SUM($Y301:BQ301),0)</f>
        <v>0</v>
      </c>
      <c r="BR334" s="1156">
        <f>IFERROR(SUM($Y301:BR301),0)</f>
        <v>0</v>
      </c>
      <c r="BS334" s="1156">
        <f>IFERROR(SUM($Y301:BS301),0)</f>
        <v>0</v>
      </c>
      <c r="BT334" s="1156">
        <f>IFERROR(SUM($Y301:BT301),0)</f>
        <v>0</v>
      </c>
      <c r="BU334" s="1156">
        <f>IFERROR(SUM($Y301:BU301),0)</f>
        <v>0</v>
      </c>
      <c r="BV334" s="1156">
        <f>IFERROR(SUM($Y301:BV301),0)</f>
        <v>0</v>
      </c>
      <c r="BW334" s="1156">
        <f>IFERROR(SUM($Y301:BW301),0)</f>
        <v>0</v>
      </c>
      <c r="BX334" s="1462">
        <f>IFERROR(SUM($Y301:BX301),0)</f>
        <v>0</v>
      </c>
      <c r="BY334" s="1462">
        <f>IFERROR(SUM($Y301:BY301),0)</f>
        <v>0</v>
      </c>
      <c r="BZ334" s="1165">
        <f>IFERROR(SUM($Y301:BZ301),0)</f>
        <v>0</v>
      </c>
      <c r="CA334" s="1165">
        <f>IFERROR(SUM($Y301:CA301),0)</f>
        <v>0</v>
      </c>
      <c r="CB334" s="1165">
        <f>IFERROR(SUM($Y301:CB301),0)</f>
        <v>0</v>
      </c>
      <c r="CC334" s="1165">
        <f>IFERROR(SUM($Y301:CC301),0)</f>
        <v>0</v>
      </c>
      <c r="CD334" s="1165">
        <f>IFERROR(SUM($Y301:CD301),0)</f>
        <v>0</v>
      </c>
      <c r="CE334" s="1165">
        <f>IFERROR(SUM($Y301:CE301),0)</f>
        <v>0</v>
      </c>
      <c r="CF334" s="1165">
        <f>IFERROR(SUM($Y301:CF301),0)</f>
        <v>0</v>
      </c>
      <c r="CG334" s="1165">
        <f>IFERROR(SUM($Y301:CG301),0)</f>
        <v>0</v>
      </c>
      <c r="CH334" s="1165">
        <f>IFERROR(SUM($Y301:CH301),0)</f>
        <v>0</v>
      </c>
      <c r="CI334" s="1165">
        <f>IFERROR(SUM($Y301:CI301),0)</f>
        <v>0</v>
      </c>
      <c r="CJ334" s="1165">
        <f>IFERROR(SUM($Y301:CJ301),0)</f>
        <v>0</v>
      </c>
      <c r="CK334" s="1165">
        <f>IFERROR(SUM($Y301:CK301),0)</f>
        <v>0</v>
      </c>
      <c r="CL334" s="1165">
        <f>IFERROR(SUM($Y301:CL301),0)</f>
        <v>0</v>
      </c>
      <c r="CM334" s="1165">
        <f>IFERROR(SUM($Y301:CM301),0)</f>
        <v>0</v>
      </c>
      <c r="CN334" s="1165">
        <f>IFERROR(SUM($Y301:CN301),0)</f>
        <v>0</v>
      </c>
      <c r="CO334" s="1165">
        <f>IFERROR(SUM($Y301:CO301),0)</f>
        <v>0</v>
      </c>
      <c r="CP334" s="1165">
        <f>IFERROR(SUM($Y301:CP301),0)</f>
        <v>0</v>
      </c>
      <c r="CQ334" s="95">
        <f>IFERROR(SUM($Y301:CQ301),0)</f>
        <v>0</v>
      </c>
      <c r="CR334" s="95">
        <f>IFERROR(SUM($Y301:CR301),0)</f>
        <v>0</v>
      </c>
      <c r="CS334" s="95">
        <f>IFERROR(SUM($Y301:CS301),0)</f>
        <v>0</v>
      </c>
      <c r="CT334" s="95">
        <f>IFERROR(SUM($Y301:CT301),0)</f>
        <v>0</v>
      </c>
      <c r="CU334" s="95">
        <f>IFERROR(SUM($Y301:CU301),0)</f>
        <v>0</v>
      </c>
      <c r="CV334" s="95">
        <f>IFERROR(SUM($Y301:CV301),0)</f>
        <v>0</v>
      </c>
      <c r="CW334" s="95">
        <f>IFERROR(SUM($Y301:CW301),0)</f>
        <v>0</v>
      </c>
      <c r="CX334" s="95">
        <f>IFERROR(SUM($Y301:CX301),0)</f>
        <v>0</v>
      </c>
      <c r="CY334" s="95">
        <f>IFERROR(SUM($Y301:CY301),0)</f>
        <v>0</v>
      </c>
      <c r="CZ334" s="95">
        <f>IFERROR(SUM($Y301:CZ301),0)</f>
        <v>0</v>
      </c>
      <c r="DA334" s="95">
        <f>IFERROR(SUM($Y301:DA301),0)</f>
        <v>0</v>
      </c>
      <c r="DB334" s="95">
        <f>IFERROR(SUM($Y301:DB301),0)</f>
        <v>0</v>
      </c>
      <c r="DC334" s="95">
        <f>IFERROR(SUM($Y301:DC301),0)</f>
        <v>0</v>
      </c>
      <c r="DD334" s="95">
        <f>IFERROR(SUM($Y301:DD301),0)</f>
        <v>0</v>
      </c>
      <c r="DE334" s="95">
        <f>IFERROR(SUM($Y301:DE301),0)</f>
        <v>0</v>
      </c>
      <c r="DF334" s="95">
        <f>IFERROR(SUM($Y301:DF301),0)</f>
        <v>0</v>
      </c>
      <c r="DG334" s="95">
        <f>IFERROR(SUM($Y301:DG301),0)</f>
        <v>0</v>
      </c>
      <c r="DH334" s="95">
        <f>IFERROR(SUM($Y301:DH301),0)</f>
        <v>0</v>
      </c>
      <c r="DI334" s="95">
        <f>IFERROR(SUM($Y301:DI301),0)</f>
        <v>0</v>
      </c>
      <c r="DJ334" s="95">
        <f>IFERROR(SUM($Y301:DJ301),0)</f>
        <v>0</v>
      </c>
      <c r="DK334" s="95">
        <f>IFERROR(SUM($Y301:DK301),0)</f>
        <v>0</v>
      </c>
      <c r="DL334" s="95">
        <f>IFERROR(SUM($Y301:DL301),0)</f>
        <v>0</v>
      </c>
      <c r="DM334" s="95">
        <f>IFERROR(SUM($Y301:DM301),0)</f>
        <v>0</v>
      </c>
      <c r="DN334" s="95">
        <f>IFERROR(SUM($Y301:DN301),0)</f>
        <v>0</v>
      </c>
      <c r="DO334" s="95">
        <f>IFERROR(SUM($Y301:DO301),0)</f>
        <v>0</v>
      </c>
      <c r="DP334" s="95">
        <f>IFERROR(SUM($Y301:DP301),0)</f>
        <v>0</v>
      </c>
      <c r="DQ334" s="95">
        <f>IFERROR(SUM($Y301:DQ301),0)</f>
        <v>0</v>
      </c>
      <c r="DR334" s="57">
        <f>IFERROR(SUM($Y301:DR301),0)</f>
        <v>0</v>
      </c>
      <c r="DS334" s="57">
        <f>IFERROR(SUM($Y301:DS301),0)</f>
        <v>0</v>
      </c>
      <c r="DT334" s="57">
        <f>IFERROR(SUM($Y301:DT301),0)</f>
        <v>0</v>
      </c>
      <c r="DU334" s="57">
        <f>IFERROR(SUM($Y301:DU301),0)</f>
        <v>0</v>
      </c>
      <c r="DV334" s="57">
        <f>IFERROR(SUM($Y301:DV301),0)</f>
        <v>0</v>
      </c>
      <c r="DW334" s="57">
        <f>IFERROR(SUM($Y301:DW301),0)</f>
        <v>0</v>
      </c>
      <c r="DX334" s="57">
        <f>IFERROR(SUM($Y301:DX301),0)</f>
        <v>0</v>
      </c>
      <c r="DY334" s="57">
        <f>IFERROR(SUM($Y301:DY301),0)</f>
        <v>0</v>
      </c>
      <c r="DZ334" s="57">
        <f>IFERROR(SUM($Y301:DZ301),0)</f>
        <v>0</v>
      </c>
      <c r="EA334" s="57">
        <f>IFERROR(SUM($Y301:EA301),0)</f>
        <v>0</v>
      </c>
      <c r="EB334" s="57">
        <f>IFERROR(SUM($Y301:EB301),0)</f>
        <v>0</v>
      </c>
      <c r="EC334" s="57">
        <f>IFERROR(SUM($Y301:EC301),0)</f>
        <v>0</v>
      </c>
      <c r="ED334" s="57">
        <f>IFERROR(SUM($Y301:ED301),0)</f>
        <v>0</v>
      </c>
      <c r="EE334" s="57">
        <f>IFERROR(SUM($Y301:EE301),0)</f>
        <v>0</v>
      </c>
      <c r="EF334" s="57">
        <f>IFERROR(SUM($Y301:EF301),0)</f>
        <v>0</v>
      </c>
      <c r="EG334" s="57">
        <f>IFERROR(SUM($Y301:EG301),0)</f>
        <v>0</v>
      </c>
      <c r="EH334" s="57">
        <f>IFERROR(SUM($Y301:EH301),0)</f>
        <v>0</v>
      </c>
      <c r="EI334" s="57">
        <f>IFERROR(SUM($Y301:EI301),0)</f>
        <v>0</v>
      </c>
      <c r="EJ334" s="57">
        <f>IFERROR(SUM($Y301:EJ301),0)</f>
        <v>0</v>
      </c>
      <c r="EK334" s="57">
        <f>IFERROR(SUM($Y301:EK301),0)</f>
        <v>0</v>
      </c>
      <c r="EL334" s="57">
        <f>IFERROR(SUM($Y301:EL301),0)</f>
        <v>0</v>
      </c>
      <c r="EM334" s="57">
        <f>IFERROR(SUM($Y301:EM301),0)</f>
        <v>0</v>
      </c>
      <c r="EN334" s="57">
        <f>IFERROR(SUM($Y301:EN301),0)</f>
        <v>0</v>
      </c>
      <c r="EO334" s="39">
        <v>51</v>
      </c>
      <c r="EP334" s="39">
        <v>51</v>
      </c>
      <c r="EQ334" s="39">
        <v>51</v>
      </c>
      <c r="ER334" s="39">
        <v>51</v>
      </c>
      <c r="ES334" s="39">
        <v>51</v>
      </c>
      <c r="ET334" s="39">
        <v>51</v>
      </c>
      <c r="EU334" s="39">
        <v>51</v>
      </c>
      <c r="EV334" s="39">
        <v>51</v>
      </c>
      <c r="EW334" s="39">
        <v>51</v>
      </c>
      <c r="EX334" s="39">
        <v>51</v>
      </c>
    </row>
    <row r="335" spans="1:154" ht="12" customHeight="1" x14ac:dyDescent="0.35">
      <c r="A335" s="67">
        <v>58</v>
      </c>
      <c r="B335" s="1438">
        <f t="shared" si="144"/>
        <v>1766</v>
      </c>
      <c r="C335" s="1440">
        <v>58</v>
      </c>
      <c r="D335" s="82"/>
      <c r="E335" s="82"/>
      <c r="F335" s="82"/>
      <c r="G335" s="1448"/>
      <c r="H335" s="1448"/>
      <c r="I335" s="1448"/>
      <c r="J335" s="1448"/>
      <c r="K335" s="1668"/>
      <c r="L335" s="1668"/>
      <c r="M335" s="1674"/>
      <c r="N335" s="1674"/>
      <c r="O335" s="1674"/>
      <c r="P335" s="1674"/>
      <c r="Q335" s="1671"/>
      <c r="R335" s="1671"/>
      <c r="S335" s="1671"/>
      <c r="T335" s="1674"/>
      <c r="U335" s="1672"/>
      <c r="V335" s="1672"/>
      <c r="W335" s="1672"/>
      <c r="X335" s="376">
        <f>X302</f>
        <v>7</v>
      </c>
      <c r="Y335" s="1676">
        <f>SUM($Y302:Y302)</f>
        <v>0</v>
      </c>
      <c r="Z335" s="1676">
        <f>SUM($Y302:Z302)</f>
        <v>0</v>
      </c>
      <c r="AA335" s="1676">
        <f>SUM($Y302:AA302)</f>
        <v>0</v>
      </c>
      <c r="AB335" s="1676">
        <f>SUM($Y302:AB302)</f>
        <v>0</v>
      </c>
      <c r="AC335" s="1676">
        <f>SUM($Y302:AC302)</f>
        <v>0</v>
      </c>
      <c r="AD335" s="1676">
        <f>SUM($Y302:AD302)</f>
        <v>0</v>
      </c>
      <c r="AE335" s="1676">
        <f>SUM($Y302:AE302)</f>
        <v>0</v>
      </c>
      <c r="AF335" s="1156">
        <f>SUM($Y302:AF302)</f>
        <v>0</v>
      </c>
      <c r="AG335" s="1156">
        <f>SUM($Y302:AG302)</f>
        <v>0</v>
      </c>
      <c r="AH335" s="1156">
        <f>SUM($Y302:AH302)</f>
        <v>0</v>
      </c>
      <c r="AI335" s="1156">
        <f>SUM($Y302:AI302)</f>
        <v>0</v>
      </c>
      <c r="AJ335" s="1156">
        <f>SUM($Y302:AJ302)</f>
        <v>0</v>
      </c>
      <c r="AK335" s="1156">
        <f>SUM($Y302:AK302)</f>
        <v>0</v>
      </c>
      <c r="AL335" s="1156">
        <f>SUM($Y302:AL302)</f>
        <v>0</v>
      </c>
      <c r="AM335" s="1156">
        <f>SUM($Y302:AM302)</f>
        <v>0</v>
      </c>
      <c r="AN335" s="1156">
        <f>SUM($Y302:AN302)</f>
        <v>0</v>
      </c>
      <c r="AO335" s="1156">
        <f>SUM($Y302:AO302)</f>
        <v>0</v>
      </c>
      <c r="AP335" s="1156">
        <f>SUM($Y302:AP302)</f>
        <v>0</v>
      </c>
      <c r="AQ335" s="1156">
        <f>SUM($Y302:AQ302)</f>
        <v>0</v>
      </c>
      <c r="AR335" s="1156">
        <f>SUM($Y302:AR302)</f>
        <v>0</v>
      </c>
      <c r="AS335" s="1156">
        <f>SUM($Y302:AS302)</f>
        <v>0</v>
      </c>
      <c r="AT335" s="1156">
        <f>SUM($Y302:AT302)</f>
        <v>0</v>
      </c>
      <c r="AU335" s="1156">
        <f>SUM($Y302:AU302)</f>
        <v>0</v>
      </c>
      <c r="AV335" s="1156">
        <f>SUM($Y302:AV302)</f>
        <v>0</v>
      </c>
      <c r="AW335" s="1156">
        <f>SUM($Y302:AW302)</f>
        <v>0</v>
      </c>
      <c r="AX335" s="1156">
        <f>SUM($Y302:AX302)</f>
        <v>0</v>
      </c>
      <c r="AY335" s="1156">
        <f>SUM($Y302:AY302)</f>
        <v>0</v>
      </c>
      <c r="AZ335" s="1156">
        <f>SUM($Y302:AZ302)</f>
        <v>0</v>
      </c>
      <c r="BA335" s="1156">
        <f>SUM($Y302:BA302)</f>
        <v>0</v>
      </c>
      <c r="BB335" s="1156">
        <f>SUM($Y302:BB302)</f>
        <v>0</v>
      </c>
      <c r="BC335" s="1156">
        <f>SUM($Y302:BC302)</f>
        <v>0</v>
      </c>
      <c r="BD335" s="1156">
        <f>SUM($Y302:BD302)</f>
        <v>0</v>
      </c>
      <c r="BE335" s="1156">
        <f>SUM($Y302:BE302)</f>
        <v>0</v>
      </c>
      <c r="BF335" s="1156">
        <f>SUM($Y302:BF302)</f>
        <v>0</v>
      </c>
      <c r="BG335" s="1156">
        <f>SUM($Y302:BG302)</f>
        <v>0</v>
      </c>
      <c r="BH335" s="1156">
        <f>SUM($Y302:BH302)</f>
        <v>0</v>
      </c>
      <c r="BI335" s="1156">
        <f>SUM($Y302:BI302)</f>
        <v>0</v>
      </c>
      <c r="BJ335" s="1156">
        <f>SUM($Y302:BJ302)</f>
        <v>0</v>
      </c>
      <c r="BK335" s="1156">
        <f>SUM($Y302:BK302)</f>
        <v>0</v>
      </c>
      <c r="BL335" s="1156">
        <f>SUM($Y302:BL302)</f>
        <v>0</v>
      </c>
      <c r="BM335" s="1156">
        <f>SUM($Y302:BM302)</f>
        <v>0</v>
      </c>
      <c r="BN335" s="1156">
        <f>SUM($Y302:BN302)</f>
        <v>0</v>
      </c>
      <c r="BO335" s="1156">
        <f>SUM($Y302:BO302)</f>
        <v>0</v>
      </c>
      <c r="BP335" s="1156">
        <f>SUM($Y302:BP302)</f>
        <v>0</v>
      </c>
      <c r="BQ335" s="1156">
        <f>SUM($Y302:BQ302)</f>
        <v>0</v>
      </c>
      <c r="BR335" s="1156">
        <f>SUM($Y302:BR302)</f>
        <v>0</v>
      </c>
      <c r="BS335" s="1156">
        <f>SUM($Y302:BS302)</f>
        <v>0</v>
      </c>
      <c r="BT335" s="1156">
        <f>SUM($Y302:BT302)</f>
        <v>0</v>
      </c>
      <c r="BU335" s="1156">
        <f>SUM($Y302:BU302)</f>
        <v>0</v>
      </c>
      <c r="BV335" s="1156">
        <f>SUM($Y302:BV302)</f>
        <v>0</v>
      </c>
      <c r="BW335" s="1156">
        <f>SUM($Y302:BW302)</f>
        <v>0</v>
      </c>
      <c r="BX335" s="1462">
        <f>SUM($Y302:BX302)</f>
        <v>0</v>
      </c>
      <c r="BY335" s="1462">
        <f>SUM($Y302:BY302)</f>
        <v>0</v>
      </c>
      <c r="BZ335" s="1165">
        <f>SUM($Y302:BZ302)</f>
        <v>0</v>
      </c>
      <c r="CA335" s="1165">
        <f>SUM($Y302:CA302)</f>
        <v>0</v>
      </c>
      <c r="CB335" s="1165">
        <f>SUM($Y302:CB302)</f>
        <v>0</v>
      </c>
      <c r="CC335" s="1165">
        <f>SUM($Y302:CC302)</f>
        <v>0</v>
      </c>
      <c r="CD335" s="1165">
        <f>SUM($Y302:CD302)</f>
        <v>0</v>
      </c>
      <c r="CE335" s="1165">
        <f>SUM($Y302:CE302)</f>
        <v>0</v>
      </c>
      <c r="CF335" s="1165">
        <f>SUM($Y302:CF302)</f>
        <v>0</v>
      </c>
      <c r="CG335" s="1165">
        <f>SUM($Y302:CG302)</f>
        <v>0</v>
      </c>
      <c r="CH335" s="1165">
        <f>SUM($Y302:CH302)</f>
        <v>0</v>
      </c>
      <c r="CI335" s="1165">
        <f>SUM($Y302:CI302)</f>
        <v>0</v>
      </c>
      <c r="CJ335" s="1165">
        <f>SUM($Y302:CJ302)</f>
        <v>0</v>
      </c>
      <c r="CK335" s="1165">
        <f>SUM($Y302:CK302)</f>
        <v>0</v>
      </c>
      <c r="CL335" s="1165">
        <f>SUM($Y302:CL302)</f>
        <v>0</v>
      </c>
      <c r="CM335" s="1165">
        <f>SUM($Y302:CM302)</f>
        <v>0</v>
      </c>
      <c r="CN335" s="1165">
        <f>SUM($Y302:CN302)</f>
        <v>0</v>
      </c>
      <c r="CO335" s="1165">
        <f>SUM($Y302:CO302)</f>
        <v>0</v>
      </c>
      <c r="CP335" s="1165">
        <f>SUM($Y302:CP302)</f>
        <v>0</v>
      </c>
      <c r="CQ335" s="95">
        <f>SUM($Y302:CQ302)</f>
        <v>0</v>
      </c>
      <c r="CR335" s="95">
        <f>SUM($Y302:CR302)</f>
        <v>0</v>
      </c>
      <c r="CS335" s="95">
        <f>SUM($Y302:CS302)</f>
        <v>0</v>
      </c>
      <c r="CT335" s="95">
        <f>SUM($Y302:CT302)</f>
        <v>0</v>
      </c>
      <c r="CU335" s="95">
        <f>SUM($Y302:CU302)</f>
        <v>0</v>
      </c>
      <c r="CV335" s="95">
        <f>SUM($Y302:CV302)</f>
        <v>0</v>
      </c>
      <c r="CW335" s="95">
        <f>SUM($Y302:CW302)</f>
        <v>0</v>
      </c>
      <c r="CX335" s="95">
        <f>SUM($Y302:CX302)</f>
        <v>0</v>
      </c>
      <c r="CY335" s="95">
        <f>SUM($Y302:CY302)</f>
        <v>0</v>
      </c>
      <c r="CZ335" s="95">
        <f>SUM($Y302:CZ302)</f>
        <v>0</v>
      </c>
      <c r="DA335" s="95">
        <f>SUM($Y302:DA302)</f>
        <v>0</v>
      </c>
      <c r="DB335" s="95">
        <f>SUM($Y302:DB302)</f>
        <v>0</v>
      </c>
      <c r="DC335" s="95">
        <f>SUM($Y302:DC302)</f>
        <v>0</v>
      </c>
      <c r="DD335" s="95">
        <f>SUM($Y302:DD302)</f>
        <v>0</v>
      </c>
      <c r="DE335" s="95">
        <f>SUM($Y302:DE302)</f>
        <v>0</v>
      </c>
      <c r="DF335" s="95">
        <f>SUM($Y302:DF302)</f>
        <v>0</v>
      </c>
      <c r="DG335" s="95">
        <f>SUM($Y302:DG302)</f>
        <v>0</v>
      </c>
      <c r="DH335" s="95">
        <f>SUM($Y302:DH302)</f>
        <v>0</v>
      </c>
      <c r="DI335" s="95">
        <f>SUM($Y302:DI302)</f>
        <v>0</v>
      </c>
      <c r="DJ335" s="95">
        <f>SUM($Y302:DJ302)</f>
        <v>0</v>
      </c>
      <c r="DK335" s="95">
        <f>SUM($Y302:DK302)</f>
        <v>0</v>
      </c>
      <c r="DL335" s="95">
        <f>SUM($Y302:DL302)</f>
        <v>0</v>
      </c>
      <c r="DM335" s="95">
        <f>SUM($Y302:DM302)</f>
        <v>0</v>
      </c>
      <c r="DN335" s="95">
        <f>SUM($Y302:DN302)</f>
        <v>0</v>
      </c>
      <c r="DO335" s="95">
        <f>SUM($Y302:DO302)</f>
        <v>0</v>
      </c>
      <c r="DP335" s="95">
        <f>SUM($Y302:DP302)</f>
        <v>0</v>
      </c>
      <c r="DQ335" s="95">
        <f>SUM($Y302:DQ302)</f>
        <v>0</v>
      </c>
      <c r="DR335" s="57">
        <f>SUM($Y302:DR302)</f>
        <v>0</v>
      </c>
      <c r="DS335" s="57">
        <f>SUM($Y302:DS302)</f>
        <v>0</v>
      </c>
      <c r="DT335" s="57">
        <f>SUM($Y302:DT302)</f>
        <v>0</v>
      </c>
      <c r="DU335" s="57">
        <f>SUM($Y302:DU302)</f>
        <v>0</v>
      </c>
      <c r="DV335" s="57">
        <f>SUM($Y302:DV302)</f>
        <v>0</v>
      </c>
      <c r="DW335" s="57">
        <f>SUM($Y302:DW302)</f>
        <v>0</v>
      </c>
      <c r="DX335" s="57">
        <f>SUM($Y302:DX302)</f>
        <v>0</v>
      </c>
      <c r="DY335" s="57">
        <f>SUM($Y302:DY302)</f>
        <v>0</v>
      </c>
      <c r="DZ335" s="57">
        <f>SUM($Y302:DZ302)</f>
        <v>0</v>
      </c>
      <c r="EA335" s="57">
        <f>IF(Years="Five",SUM($Y302:EA302),0)</f>
        <v>0</v>
      </c>
      <c r="EB335" s="57">
        <f>IF(Years="Five",SUM($Y302:EB302),0)</f>
        <v>0</v>
      </c>
      <c r="EC335" s="57">
        <f>IF(Years="Five",SUM($Y302:EC302),0)</f>
        <v>0</v>
      </c>
      <c r="ED335" s="57">
        <f>IF(Years="Five",SUM($Y302:ED302),0)</f>
        <v>0</v>
      </c>
      <c r="EE335" s="57">
        <f>IF(Years="Five",SUM($Y302:EE302),0)</f>
        <v>0</v>
      </c>
      <c r="EF335" s="57">
        <f>IF(Years="Five",SUM($Y302:EF302),0)</f>
        <v>0</v>
      </c>
      <c r="EG335" s="57">
        <f>IF(Years="Five",SUM($Y302:EG302),0)</f>
        <v>0</v>
      </c>
      <c r="EH335" s="57">
        <f>IF(Years="Five",SUM($Y302:EH302),0)</f>
        <v>0</v>
      </c>
      <c r="EI335" s="57">
        <f>IF(Years="Five",SUM($Y302:EI302),0)</f>
        <v>0</v>
      </c>
      <c r="EJ335" s="57">
        <f>IF(Years="Five",SUM($Y302:EJ302),0)</f>
        <v>0</v>
      </c>
      <c r="EK335" s="57">
        <f>IF(Years="Five",SUM($Y302:EK302),0)</f>
        <v>0</v>
      </c>
      <c r="EL335" s="57">
        <f>IF(Years="Five",SUM($Y302:EL302),0)</f>
        <v>0</v>
      </c>
      <c r="EM335" s="57">
        <f>IF(Years="Five",SUM($Y302:EM302),0)</f>
        <v>0</v>
      </c>
      <c r="EN335" s="57">
        <f>IF(Years="Five",SUM($Y302:EN302),0)</f>
        <v>0</v>
      </c>
      <c r="EO335" s="39">
        <v>51</v>
      </c>
      <c r="EP335" s="39">
        <v>51</v>
      </c>
      <c r="EQ335" s="39">
        <v>51</v>
      </c>
      <c r="ER335" s="39">
        <v>51</v>
      </c>
      <c r="ES335" s="39">
        <v>51</v>
      </c>
      <c r="ET335" s="39">
        <v>51</v>
      </c>
      <c r="EU335" s="39">
        <v>51</v>
      </c>
      <c r="EV335" s="39">
        <v>51</v>
      </c>
      <c r="EW335" s="39">
        <v>51</v>
      </c>
      <c r="EX335" s="39">
        <v>51</v>
      </c>
    </row>
    <row r="336" spans="1:154" ht="12" customHeight="1" x14ac:dyDescent="0.35">
      <c r="A336" s="67">
        <v>59</v>
      </c>
      <c r="B336" s="1438">
        <f t="shared" si="144"/>
        <v>1796</v>
      </c>
      <c r="C336" s="1440">
        <v>59</v>
      </c>
      <c r="D336" s="82"/>
      <c r="E336" s="82"/>
      <c r="F336" s="82"/>
      <c r="G336" s="1448"/>
      <c r="H336" s="1448"/>
      <c r="I336" s="1448"/>
      <c r="J336" s="1448"/>
      <c r="K336" s="1668"/>
      <c r="L336" s="1668"/>
      <c r="M336" s="1674"/>
      <c r="N336" s="1674"/>
      <c r="O336" s="1674"/>
      <c r="P336" s="1674"/>
      <c r="Q336" s="1671"/>
      <c r="R336" s="1671"/>
      <c r="S336" s="1671"/>
      <c r="T336" s="1674"/>
      <c r="U336" s="1672"/>
      <c r="V336" s="1672"/>
      <c r="W336" s="1672"/>
      <c r="X336" s="381">
        <f>X303</f>
        <v>15</v>
      </c>
      <c r="Y336" s="1676">
        <f>SUM($Y303:Y303)</f>
        <v>0</v>
      </c>
      <c r="Z336" s="1676">
        <f>SUM($Y303:Z303)</f>
        <v>0</v>
      </c>
      <c r="AA336" s="1676">
        <f>SUM($Y303:AA303)</f>
        <v>0</v>
      </c>
      <c r="AB336" s="1676">
        <f>SUM($Y303:AB303)</f>
        <v>0</v>
      </c>
      <c r="AC336" s="1676">
        <f>SUM($Y303:AC303)</f>
        <v>0</v>
      </c>
      <c r="AD336" s="1676">
        <f>SUM($Y303:AD303)</f>
        <v>0</v>
      </c>
      <c r="AE336" s="1676">
        <f>SUM($Y303:AE303)</f>
        <v>0</v>
      </c>
      <c r="AF336" s="1156">
        <f>SUM($Y303:AF303)</f>
        <v>0</v>
      </c>
      <c r="AG336" s="1156">
        <f>SUM($Y303:AG303)</f>
        <v>0</v>
      </c>
      <c r="AH336" s="1156">
        <f>SUM($Y303:AH303)</f>
        <v>0</v>
      </c>
      <c r="AI336" s="1156">
        <f>SUM($Y303:AI303)</f>
        <v>0</v>
      </c>
      <c r="AJ336" s="1156">
        <f>SUM($Y303:AJ303)</f>
        <v>0</v>
      </c>
      <c r="AK336" s="1156">
        <f>SUM($Y303:AK303)</f>
        <v>0</v>
      </c>
      <c r="AL336" s="1156">
        <f>SUM($Y303:AL303)</f>
        <v>0</v>
      </c>
      <c r="AM336" s="1156">
        <f>SUM($Y303:AM303)</f>
        <v>0</v>
      </c>
      <c r="AN336" s="1156">
        <f>SUM($Y303:AN303)</f>
        <v>0</v>
      </c>
      <c r="AO336" s="1156">
        <f>SUM($Y303:AO303)</f>
        <v>0</v>
      </c>
      <c r="AP336" s="1156">
        <f>SUM($Y303:AP303)</f>
        <v>0</v>
      </c>
      <c r="AQ336" s="1156">
        <f>SUM($Y303:AQ303)</f>
        <v>0</v>
      </c>
      <c r="AR336" s="1156">
        <f>SUM($Y303:AR303)</f>
        <v>0</v>
      </c>
      <c r="AS336" s="1156">
        <f>SUM($Y303:AS303)</f>
        <v>0</v>
      </c>
      <c r="AT336" s="1156">
        <f>SUM($Y303:AT303)</f>
        <v>0</v>
      </c>
      <c r="AU336" s="1156">
        <f>SUM($Y303:AU303)</f>
        <v>0</v>
      </c>
      <c r="AV336" s="1156">
        <f>SUM($Y303:AV303)</f>
        <v>0</v>
      </c>
      <c r="AW336" s="1156">
        <f>SUM($Y303:AW303)</f>
        <v>0</v>
      </c>
      <c r="AX336" s="1156">
        <f>SUM($Y303:AX303)</f>
        <v>0</v>
      </c>
      <c r="AY336" s="1156">
        <f>SUM($Y303:AY303)</f>
        <v>0</v>
      </c>
      <c r="AZ336" s="1156">
        <f>SUM($Y303:AZ303)</f>
        <v>0</v>
      </c>
      <c r="BA336" s="1156">
        <f>SUM($Y303:BA303)</f>
        <v>0</v>
      </c>
      <c r="BB336" s="1156">
        <f>SUM($Y303:BB303)</f>
        <v>0</v>
      </c>
      <c r="BC336" s="1156">
        <f>SUM($Y303:BC303)</f>
        <v>0</v>
      </c>
      <c r="BD336" s="1156">
        <f>SUM($Y303:BD303)</f>
        <v>0</v>
      </c>
      <c r="BE336" s="1156">
        <f>SUM($Y303:BE303)</f>
        <v>0</v>
      </c>
      <c r="BF336" s="1156">
        <f>SUM($Y303:BF303)</f>
        <v>0</v>
      </c>
      <c r="BG336" s="1156">
        <f>SUM($Y303:BG303)</f>
        <v>0</v>
      </c>
      <c r="BH336" s="1156">
        <f>SUM($Y303:BH303)</f>
        <v>0</v>
      </c>
      <c r="BI336" s="1156">
        <f>SUM($Y303:BI303)</f>
        <v>0</v>
      </c>
      <c r="BJ336" s="1156">
        <f>SUM($Y303:BJ303)</f>
        <v>0</v>
      </c>
      <c r="BK336" s="1156">
        <f>SUM($Y303:BK303)</f>
        <v>0</v>
      </c>
      <c r="BL336" s="1156">
        <f>SUM($Y303:BL303)</f>
        <v>0</v>
      </c>
      <c r="BM336" s="1156">
        <f>SUM($Y303:BM303)</f>
        <v>0</v>
      </c>
      <c r="BN336" s="1156">
        <f>SUM($Y303:BN303)</f>
        <v>0</v>
      </c>
      <c r="BO336" s="1156">
        <f>SUM($Y303:BO303)</f>
        <v>0</v>
      </c>
      <c r="BP336" s="1156">
        <f>SUM($Y303:BP303)</f>
        <v>0</v>
      </c>
      <c r="BQ336" s="1156">
        <f>SUM($Y303:BQ303)</f>
        <v>0</v>
      </c>
      <c r="BR336" s="1156">
        <f>SUM($Y303:BR303)</f>
        <v>0</v>
      </c>
      <c r="BS336" s="1156">
        <f>SUM($Y303:BS303)</f>
        <v>0</v>
      </c>
      <c r="BT336" s="1156">
        <f>SUM($Y303:BT303)</f>
        <v>0</v>
      </c>
      <c r="BU336" s="1156">
        <f>SUM($Y303:BU303)</f>
        <v>0</v>
      </c>
      <c r="BV336" s="1156">
        <f>SUM($Y303:BV303)</f>
        <v>0</v>
      </c>
      <c r="BW336" s="1156">
        <f>SUM($Y303:BW303)</f>
        <v>0</v>
      </c>
      <c r="BX336" s="1462">
        <f>SUM($Y303:BX303)</f>
        <v>0</v>
      </c>
      <c r="BY336" s="1462">
        <f>SUM($Y303:BY303)</f>
        <v>0</v>
      </c>
      <c r="BZ336" s="1165">
        <f>SUM($Y303:BZ303)</f>
        <v>0</v>
      </c>
      <c r="CA336" s="1165">
        <f>SUM($Y303:CA303)</f>
        <v>0</v>
      </c>
      <c r="CB336" s="1165">
        <f>SUM($Y303:CB303)</f>
        <v>0</v>
      </c>
      <c r="CC336" s="1165">
        <f>SUM($Y303:CC303)</f>
        <v>0</v>
      </c>
      <c r="CD336" s="1165">
        <f>SUM($Y303:CD303)</f>
        <v>0</v>
      </c>
      <c r="CE336" s="1165">
        <f>SUM($Y303:CE303)</f>
        <v>0</v>
      </c>
      <c r="CF336" s="1165">
        <f>SUM($Y303:CF303)</f>
        <v>0</v>
      </c>
      <c r="CG336" s="1165">
        <f>SUM($Y303:CG303)</f>
        <v>0</v>
      </c>
      <c r="CH336" s="1165">
        <f>SUM($Y303:CH303)</f>
        <v>0</v>
      </c>
      <c r="CI336" s="1165">
        <f>SUM($Y303:CI303)</f>
        <v>0</v>
      </c>
      <c r="CJ336" s="1165">
        <f>SUM($Y303:CJ303)</f>
        <v>0</v>
      </c>
      <c r="CK336" s="1165">
        <f>SUM($Y303:CK303)</f>
        <v>0</v>
      </c>
      <c r="CL336" s="1165">
        <f>SUM($Y303:CL303)</f>
        <v>0</v>
      </c>
      <c r="CM336" s="1165">
        <f>SUM($Y303:CM303)</f>
        <v>0</v>
      </c>
      <c r="CN336" s="1165">
        <f>SUM($Y303:CN303)</f>
        <v>0</v>
      </c>
      <c r="CO336" s="1165">
        <f>SUM($Y303:CO303)</f>
        <v>0</v>
      </c>
      <c r="CP336" s="1165">
        <f>SUM($Y303:CP303)</f>
        <v>0</v>
      </c>
      <c r="CQ336" s="95">
        <f>SUM($Y303:CQ303)</f>
        <v>0</v>
      </c>
      <c r="CR336" s="95">
        <f>SUM($Y303:CR303)</f>
        <v>0</v>
      </c>
      <c r="CS336" s="95">
        <f>SUM($Y303:CS303)</f>
        <v>0</v>
      </c>
      <c r="CT336" s="95">
        <f>SUM($Y303:CT303)</f>
        <v>0</v>
      </c>
      <c r="CU336" s="95">
        <f>SUM($Y303:CU303)</f>
        <v>0</v>
      </c>
      <c r="CV336" s="95">
        <f>SUM($Y303:CV303)</f>
        <v>0</v>
      </c>
      <c r="CW336" s="95">
        <f>SUM($Y303:CW303)</f>
        <v>0</v>
      </c>
      <c r="CX336" s="95">
        <f>SUM($Y303:CX303)</f>
        <v>0</v>
      </c>
      <c r="CY336" s="95">
        <f>SUM($Y303:CY303)</f>
        <v>0</v>
      </c>
      <c r="CZ336" s="95">
        <f>SUM($Y303:CZ303)</f>
        <v>0</v>
      </c>
      <c r="DA336" s="95">
        <f>SUM($Y303:DA303)</f>
        <v>0</v>
      </c>
      <c r="DB336" s="95">
        <f>SUM($Y303:DB303)</f>
        <v>0</v>
      </c>
      <c r="DC336" s="95">
        <f>SUM($Y303:DC303)</f>
        <v>0</v>
      </c>
      <c r="DD336" s="95">
        <f>SUM($Y303:DD303)</f>
        <v>0</v>
      </c>
      <c r="DE336" s="95">
        <f>SUM($Y303:DE303)</f>
        <v>0</v>
      </c>
      <c r="DF336" s="95">
        <f>SUM($Y303:DF303)</f>
        <v>0</v>
      </c>
      <c r="DG336" s="95">
        <f>SUM($Y303:DG303)</f>
        <v>0</v>
      </c>
      <c r="DH336" s="95">
        <f>SUM($Y303:DH303)</f>
        <v>0</v>
      </c>
      <c r="DI336" s="95">
        <f>SUM($Y303:DI303)</f>
        <v>0</v>
      </c>
      <c r="DJ336" s="95">
        <f>SUM($Y303:DJ303)</f>
        <v>0</v>
      </c>
      <c r="DK336" s="95">
        <f>SUM($Y303:DK303)</f>
        <v>0</v>
      </c>
      <c r="DL336" s="95">
        <f>SUM($Y303:DL303)</f>
        <v>0</v>
      </c>
      <c r="DM336" s="95">
        <f>SUM($Y303:DM303)</f>
        <v>0</v>
      </c>
      <c r="DN336" s="95">
        <f>SUM($Y303:DN303)</f>
        <v>0</v>
      </c>
      <c r="DO336" s="95">
        <f>SUM($Y303:DO303)</f>
        <v>0</v>
      </c>
      <c r="DP336" s="95">
        <f>SUM($Y303:DP303)</f>
        <v>0</v>
      </c>
      <c r="DQ336" s="95">
        <f>SUM($Y303:DQ303)</f>
        <v>0</v>
      </c>
      <c r="DR336" s="57">
        <f>SUM($Y303:DR303)</f>
        <v>0</v>
      </c>
      <c r="DS336" s="57">
        <f>SUM($Y303:DS303)</f>
        <v>0</v>
      </c>
      <c r="DT336" s="57">
        <f>SUM($Y303:DT303)</f>
        <v>0</v>
      </c>
      <c r="DU336" s="57">
        <f>SUM($Y303:DU303)</f>
        <v>0</v>
      </c>
      <c r="DV336" s="57">
        <f>SUM($Y303:DV303)</f>
        <v>0</v>
      </c>
      <c r="DW336" s="57">
        <f>SUM($Y303:DW303)</f>
        <v>0</v>
      </c>
      <c r="DX336" s="57">
        <f>SUM($Y303:DX303)</f>
        <v>0</v>
      </c>
      <c r="DY336" s="57">
        <f>SUM($Y303:DY303)</f>
        <v>0</v>
      </c>
      <c r="DZ336" s="57">
        <f>SUM($Y303:DZ303)</f>
        <v>0</v>
      </c>
      <c r="EA336" s="57">
        <f>SUM($Y303:EA303)</f>
        <v>0</v>
      </c>
      <c r="EB336" s="57">
        <f>SUM($Y303:EB303)</f>
        <v>0</v>
      </c>
      <c r="EC336" s="57">
        <f>SUM($Y303:EC303)</f>
        <v>0</v>
      </c>
      <c r="ED336" s="57">
        <f>SUM($Y303:ED303)</f>
        <v>0</v>
      </c>
      <c r="EE336" s="57">
        <f>SUM($Y303:EE303)</f>
        <v>0</v>
      </c>
      <c r="EF336" s="57">
        <f>SUM($Y303:EF303)</f>
        <v>0</v>
      </c>
      <c r="EG336" s="57">
        <f>SUM($Y303:EG303)</f>
        <v>0</v>
      </c>
      <c r="EH336" s="57">
        <f>SUM($Y303:EH303)</f>
        <v>0</v>
      </c>
      <c r="EI336" s="57">
        <f>SUM($Y303:EI303)</f>
        <v>0</v>
      </c>
      <c r="EJ336" s="57">
        <f>SUM($Y303:EJ303)</f>
        <v>0</v>
      </c>
      <c r="EK336" s="57">
        <f>SUM($Y303:EK303)</f>
        <v>0</v>
      </c>
      <c r="EL336" s="57">
        <f>SUM($Y303:EL303)</f>
        <v>0</v>
      </c>
      <c r="EM336" s="57">
        <f>SUM($Y303:EM303)</f>
        <v>0</v>
      </c>
      <c r="EN336" s="57">
        <f>SUM($Y303:EN303)</f>
        <v>0</v>
      </c>
      <c r="EO336" s="39">
        <v>51</v>
      </c>
      <c r="EP336" s="39">
        <v>51</v>
      </c>
      <c r="EQ336" s="39">
        <v>51</v>
      </c>
      <c r="ER336" s="39">
        <v>51</v>
      </c>
      <c r="ES336" s="39">
        <v>51</v>
      </c>
      <c r="ET336" s="39">
        <v>51</v>
      </c>
      <c r="EU336" s="39">
        <v>51</v>
      </c>
      <c r="EV336" s="39">
        <v>51</v>
      </c>
      <c r="EW336" s="39">
        <v>51</v>
      </c>
      <c r="EX336" s="39">
        <v>51</v>
      </c>
    </row>
    <row r="337" spans="1:154" ht="12" customHeight="1" x14ac:dyDescent="0.35">
      <c r="A337" s="67">
        <v>60</v>
      </c>
      <c r="B337" s="1438">
        <f t="shared" si="144"/>
        <v>1827</v>
      </c>
      <c r="C337" s="1440">
        <v>60</v>
      </c>
      <c r="D337" s="82"/>
      <c r="E337" s="82"/>
      <c r="F337" s="82"/>
      <c r="G337" s="1448"/>
      <c r="H337" s="1448"/>
      <c r="I337" s="1448"/>
      <c r="J337" s="1448"/>
      <c r="K337" s="1668"/>
      <c r="L337" s="1668"/>
      <c r="M337" s="1674"/>
      <c r="N337" s="1674"/>
      <c r="O337" s="1674"/>
      <c r="P337" s="1674"/>
      <c r="Q337" s="1671"/>
      <c r="R337" s="1671"/>
      <c r="S337" s="1671"/>
      <c r="T337" s="1674"/>
      <c r="U337" s="1672"/>
      <c r="V337" s="1672"/>
      <c r="W337" s="1672"/>
      <c r="X337" s="30"/>
      <c r="Y337" s="1156"/>
      <c r="Z337" s="1156"/>
      <c r="AA337" s="1156"/>
      <c r="AB337" s="1156"/>
      <c r="AC337" s="1156"/>
      <c r="AD337" s="1156"/>
      <c r="AE337" s="1156"/>
      <c r="AF337" s="1156"/>
      <c r="AG337" s="1156"/>
      <c r="AH337" s="1156"/>
      <c r="AI337" s="1156">
        <f>IFERROR(AI338,0)</f>
        <v>0</v>
      </c>
      <c r="AJ337" s="1156"/>
      <c r="AK337" s="1156"/>
      <c r="AL337" s="1156"/>
      <c r="AM337" s="1156"/>
      <c r="AN337" s="1156"/>
      <c r="AO337" s="1156"/>
      <c r="AP337" s="1156"/>
      <c r="AQ337" s="1156"/>
      <c r="AR337" s="1156"/>
      <c r="AS337" s="1156"/>
      <c r="AT337" s="1156"/>
      <c r="AU337" s="1156"/>
      <c r="AV337" s="1156"/>
      <c r="AW337" s="1156"/>
      <c r="AX337" s="1156"/>
      <c r="AY337" s="1156"/>
      <c r="AZ337" s="1156"/>
      <c r="BA337" s="1156"/>
      <c r="BB337" s="1156"/>
      <c r="BC337" s="1156"/>
      <c r="BD337" s="1156"/>
      <c r="BE337" s="1156"/>
      <c r="BF337" s="1156"/>
      <c r="BG337" s="1156"/>
      <c r="BH337" s="1156"/>
      <c r="BI337" s="1156"/>
      <c r="BJ337" s="1156"/>
      <c r="BK337" s="1156"/>
      <c r="BL337" s="1156"/>
      <c r="BM337" s="1156"/>
      <c r="BN337" s="1156"/>
      <c r="BO337" s="1156"/>
      <c r="BP337" s="1156"/>
      <c r="BQ337" s="1156"/>
      <c r="BR337" s="1156"/>
      <c r="BS337" s="1156"/>
      <c r="BT337" s="1156"/>
      <c r="BU337" s="1156"/>
      <c r="BV337" s="1156"/>
      <c r="BW337" s="1156"/>
      <c r="BX337" s="1462"/>
      <c r="BY337" s="1462"/>
      <c r="BZ337" s="1165"/>
      <c r="CA337" s="1165"/>
      <c r="CB337" s="1165"/>
      <c r="CC337" s="1165"/>
      <c r="CD337" s="1165"/>
      <c r="CE337" s="1165"/>
      <c r="CF337" s="1165"/>
      <c r="CG337" s="1165"/>
      <c r="CH337" s="1165"/>
      <c r="CI337" s="1165"/>
      <c r="CJ337" s="1165"/>
      <c r="CK337" s="1165"/>
      <c r="CL337" s="1165"/>
      <c r="CM337" s="1165"/>
      <c r="CN337" s="1165"/>
      <c r="CO337" s="1165"/>
      <c r="CP337" s="1165"/>
      <c r="CQ337" s="95"/>
      <c r="CR337" s="95"/>
      <c r="CS337" s="95"/>
      <c r="CT337" s="95"/>
      <c r="CU337" s="95"/>
      <c r="CV337" s="95"/>
      <c r="CW337" s="95"/>
      <c r="CX337" s="95"/>
      <c r="CY337" s="95"/>
      <c r="CZ337" s="95"/>
      <c r="DA337" s="95"/>
      <c r="DB337" s="95"/>
      <c r="DC337" s="95"/>
      <c r="DD337" s="95"/>
      <c r="DE337" s="95"/>
      <c r="DF337" s="95"/>
      <c r="DG337" s="95"/>
      <c r="DH337" s="95"/>
      <c r="DI337" s="95"/>
      <c r="DJ337" s="95"/>
      <c r="DK337" s="95"/>
      <c r="DL337" s="95"/>
      <c r="DM337" s="95"/>
      <c r="DN337" s="95"/>
      <c r="DO337" s="95"/>
      <c r="DP337" s="95"/>
      <c r="DQ337" s="95"/>
      <c r="DR337" s="95"/>
      <c r="DS337" s="95"/>
      <c r="DT337" s="95"/>
      <c r="DU337" s="95"/>
      <c r="DV337" s="95"/>
      <c r="DW337" s="95"/>
      <c r="DX337" s="95"/>
      <c r="DY337" s="95"/>
      <c r="DZ337" s="95"/>
      <c r="EA337" s="95"/>
      <c r="EB337" s="95"/>
      <c r="EC337" s="95"/>
      <c r="ED337" s="95"/>
      <c r="EE337" s="95"/>
      <c r="EF337" s="95"/>
      <c r="EG337" s="95"/>
      <c r="EH337" s="95"/>
      <c r="EI337" s="95"/>
      <c r="EJ337" s="95"/>
      <c r="EK337" s="95"/>
      <c r="EL337" s="95"/>
      <c r="EM337" s="95"/>
      <c r="EN337" s="95"/>
      <c r="EO337" s="39">
        <v>51</v>
      </c>
      <c r="EP337" s="39">
        <v>51</v>
      </c>
      <c r="EQ337" s="39">
        <v>51</v>
      </c>
      <c r="ER337" s="39">
        <v>51</v>
      </c>
      <c r="ES337" s="39">
        <v>51</v>
      </c>
      <c r="ET337" s="39">
        <v>51</v>
      </c>
      <c r="EU337" s="39">
        <v>51</v>
      </c>
      <c r="EV337" s="39">
        <v>51</v>
      </c>
      <c r="EW337" s="39">
        <v>51</v>
      </c>
      <c r="EX337" s="39">
        <v>51</v>
      </c>
    </row>
    <row r="338" spans="1:154" ht="12" customHeight="1" x14ac:dyDescent="0.35">
      <c r="A338" s="1287"/>
      <c r="B338" s="82"/>
      <c r="C338" s="82"/>
      <c r="D338" s="82"/>
      <c r="E338" s="82"/>
      <c r="F338" s="82"/>
      <c r="G338" s="1448"/>
      <c r="H338" s="1448"/>
      <c r="I338" s="1448"/>
      <c r="J338" s="1448"/>
      <c r="K338" s="1668"/>
      <c r="L338" s="1668"/>
      <c r="M338" s="1674"/>
      <c r="N338" s="1674"/>
      <c r="O338" s="1674"/>
      <c r="P338" s="1674"/>
      <c r="Q338" s="1671"/>
      <c r="R338" s="1671"/>
      <c r="S338" s="1671"/>
      <c r="T338" s="1674"/>
      <c r="U338" s="1672"/>
      <c r="V338" s="1672"/>
      <c r="W338" s="1672"/>
      <c r="X338" s="30" t="s">
        <v>423</v>
      </c>
      <c r="Y338" s="1156">
        <f>Y331</f>
        <v>0</v>
      </c>
      <c r="Z338" s="1156">
        <f t="shared" ref="Z338:AE338" si="157">Y338+Z331</f>
        <v>0</v>
      </c>
      <c r="AA338" s="1156">
        <f t="shared" si="157"/>
        <v>0</v>
      </c>
      <c r="AB338" s="1156">
        <f t="shared" si="157"/>
        <v>0</v>
      </c>
      <c r="AC338" s="1156">
        <f t="shared" si="157"/>
        <v>0</v>
      </c>
      <c r="AD338" s="1156">
        <f t="shared" si="157"/>
        <v>0</v>
      </c>
      <c r="AE338" s="1156">
        <f t="shared" si="157"/>
        <v>0</v>
      </c>
      <c r="AF338" s="1156">
        <f>AE338+AF331</f>
        <v>0</v>
      </c>
      <c r="AG338" s="1156">
        <f>AF338+AG331</f>
        <v>0</v>
      </c>
      <c r="AH338" s="1156">
        <f>AG338+AH331</f>
        <v>0</v>
      </c>
      <c r="AI338" s="1156">
        <f>AH338+AI331</f>
        <v>0</v>
      </c>
      <c r="AJ338" s="1156">
        <f>AI338+AJ331</f>
        <v>0</v>
      </c>
      <c r="AK338" s="1156">
        <f>SUM($AI332:AK332)</f>
        <v>0</v>
      </c>
      <c r="AL338" s="1156">
        <f>SUM($AI332:AL332)</f>
        <v>0</v>
      </c>
      <c r="AM338" s="1156">
        <f>SUM($AI332:AM332)</f>
        <v>0</v>
      </c>
      <c r="AN338" s="1156">
        <f>SUM($AI332:AN332)</f>
        <v>0</v>
      </c>
      <c r="AO338" s="1156">
        <f>SUM($AI332:AO332)</f>
        <v>0</v>
      </c>
      <c r="AP338" s="1156">
        <f>SUM($AI332:AP332)</f>
        <v>0</v>
      </c>
      <c r="AQ338" s="1156">
        <f>SUM($AI332:AQ332)</f>
        <v>0</v>
      </c>
      <c r="AR338" s="1156">
        <f>SUM($AI332:AR332)</f>
        <v>0</v>
      </c>
      <c r="AS338" s="1156">
        <f>SUM($AI332:AS332)</f>
        <v>0</v>
      </c>
      <c r="AT338" s="1156">
        <f>SUM($AI332:AT332)</f>
        <v>0</v>
      </c>
      <c r="AU338" s="1156">
        <f>SUM($AI332:AU332)</f>
        <v>0</v>
      </c>
      <c r="AV338" s="1156">
        <f>SUM($AI332:AV332)</f>
        <v>0</v>
      </c>
      <c r="AW338" s="1156">
        <f>SUM($AI332:AW332)</f>
        <v>0</v>
      </c>
      <c r="AX338" s="1156">
        <f>SUM($AI332:AX332)</f>
        <v>0</v>
      </c>
      <c r="AY338" s="1156">
        <f>SUM($AI332:AY332)</f>
        <v>0</v>
      </c>
      <c r="AZ338" s="1156">
        <f>SUM($AI332:AZ332)</f>
        <v>0</v>
      </c>
      <c r="BA338" s="1156">
        <f>SUM($AI332:BA332)</f>
        <v>0</v>
      </c>
      <c r="BB338" s="1156">
        <f>SUM($AI332:BB332)</f>
        <v>0</v>
      </c>
      <c r="BC338" s="1156">
        <f>SUM($AI332:BC332)</f>
        <v>0</v>
      </c>
      <c r="BD338" s="1156">
        <f>SUM($AI332:BD332)</f>
        <v>0</v>
      </c>
      <c r="BE338" s="1156">
        <f>SUM($AI332:BE332)</f>
        <v>0</v>
      </c>
      <c r="BF338" s="1156">
        <f>SUM($AI332:BF332)</f>
        <v>0</v>
      </c>
      <c r="BG338" s="1156">
        <f>SUM($AI332:BG332)</f>
        <v>0</v>
      </c>
      <c r="BH338" s="1156">
        <f>SUM($AI332:BH332)</f>
        <v>0</v>
      </c>
      <c r="BI338" s="1156">
        <f>SUM($AI332:BI332)</f>
        <v>0</v>
      </c>
      <c r="BJ338" s="1156">
        <f>SUM($AI332:BJ332)</f>
        <v>0</v>
      </c>
      <c r="BK338" s="1156">
        <f>SUM($AI332:BK332)</f>
        <v>0</v>
      </c>
      <c r="BL338" s="1156">
        <f>SUM($AI332:BL332)</f>
        <v>0</v>
      </c>
      <c r="BM338" s="1156">
        <f>SUM($AI332:BM332)</f>
        <v>0</v>
      </c>
      <c r="BN338" s="1156">
        <f>SUM($AI332:BN332)</f>
        <v>0</v>
      </c>
      <c r="BO338" s="1156">
        <f>SUM($AI332:BO332)</f>
        <v>0</v>
      </c>
      <c r="BP338" s="1156">
        <f>SUM($AI332:BP332)</f>
        <v>0</v>
      </c>
      <c r="BQ338" s="1156">
        <f>SUM($AI332:BQ332)</f>
        <v>0</v>
      </c>
      <c r="BR338" s="1156">
        <f>SUM($AI332:BR332)</f>
        <v>0</v>
      </c>
      <c r="BS338" s="1156">
        <f>SUM($AI332:BS332)</f>
        <v>0</v>
      </c>
      <c r="BT338" s="1156">
        <f>SUM($AI332:BT332)</f>
        <v>0</v>
      </c>
      <c r="BU338" s="1156">
        <f>SUM($AI332:BU332)</f>
        <v>0</v>
      </c>
      <c r="BV338" s="1156">
        <f>SUM($AI332:BV332)</f>
        <v>0</v>
      </c>
      <c r="BW338" s="1156">
        <f>SUM($AI332:BW332)</f>
        <v>0</v>
      </c>
      <c r="BX338" s="1462">
        <f>SUM($AI332:BX332)</f>
        <v>0</v>
      </c>
      <c r="BY338" s="1462">
        <f>SUM($AI332:BY332)</f>
        <v>0</v>
      </c>
      <c r="BZ338" s="1165">
        <f>SUM($AI332:BZ332)</f>
        <v>0</v>
      </c>
      <c r="CA338" s="1165">
        <f>SUM($AI332:CA332)</f>
        <v>0</v>
      </c>
      <c r="CB338" s="1165">
        <f>SUM($AI332:CB332)</f>
        <v>0</v>
      </c>
      <c r="CC338" s="1165">
        <f>SUM($AI332:CC332)</f>
        <v>0</v>
      </c>
      <c r="CD338" s="1165">
        <f>SUM($AI332:CD332)</f>
        <v>0</v>
      </c>
      <c r="CE338" s="1165">
        <f>SUM($AI332:CE332)</f>
        <v>0</v>
      </c>
      <c r="CF338" s="1165">
        <f>SUM($AI332:CF332)</f>
        <v>0</v>
      </c>
      <c r="CG338" s="1165">
        <f>SUM($AI332:CG332)</f>
        <v>0</v>
      </c>
      <c r="CH338" s="1165">
        <f>SUM($AI332:CH332)</f>
        <v>0</v>
      </c>
      <c r="CI338" s="1165">
        <f>SUM($AI332:CI332)</f>
        <v>0</v>
      </c>
      <c r="CJ338" s="1165">
        <f>SUM($AI332:CJ332)</f>
        <v>0</v>
      </c>
      <c r="CK338" s="1165">
        <f>SUM($AI332:CK332)</f>
        <v>0</v>
      </c>
      <c r="CL338" s="1165">
        <f>SUM($AI332:CL332)</f>
        <v>0</v>
      </c>
      <c r="CM338" s="1165">
        <f>SUM($AI332:CM332)</f>
        <v>0</v>
      </c>
      <c r="CN338" s="1165">
        <f>SUM($AI332:CN332)</f>
        <v>0</v>
      </c>
      <c r="CO338" s="1165">
        <f>SUM($AI332:CO332)</f>
        <v>0</v>
      </c>
      <c r="CP338" s="1165">
        <f>SUM($AI332:CP332)</f>
        <v>0</v>
      </c>
      <c r="CQ338" s="95">
        <f>SUM($AI332:CQ332)</f>
        <v>0</v>
      </c>
      <c r="CR338" s="95">
        <f>SUM($AI332:CR332)</f>
        <v>0</v>
      </c>
      <c r="CS338" s="95">
        <f>SUM($AI332:CS332)</f>
        <v>0</v>
      </c>
      <c r="CT338" s="95">
        <f>SUM($AI332:CT332)</f>
        <v>0</v>
      </c>
      <c r="CU338" s="95">
        <f>SUM($AI332:CU332)</f>
        <v>0</v>
      </c>
      <c r="CV338" s="95">
        <f>SUM($AI332:CV332)</f>
        <v>0</v>
      </c>
      <c r="CW338" s="95">
        <f>SUM($AI332:CW332)</f>
        <v>0</v>
      </c>
      <c r="CX338" s="95">
        <f>SUM($AI332:CX332)</f>
        <v>0</v>
      </c>
      <c r="CY338" s="95">
        <f>SUM($AI332:CY332)</f>
        <v>0</v>
      </c>
      <c r="CZ338" s="95">
        <f>SUM($AI332:CZ332)</f>
        <v>0</v>
      </c>
      <c r="DA338" s="95">
        <f>SUM($AI332:DA332)</f>
        <v>0</v>
      </c>
      <c r="DB338" s="95">
        <f>SUM($AI332:DB332)</f>
        <v>0</v>
      </c>
      <c r="DC338" s="95">
        <f>SUM($AI332:DC332)</f>
        <v>0</v>
      </c>
      <c r="DD338" s="95">
        <f>SUM($AI332:DD332)</f>
        <v>0</v>
      </c>
      <c r="DE338" s="95">
        <f>SUM($AI332:DE332)</f>
        <v>0</v>
      </c>
      <c r="DF338" s="95">
        <f>SUM($AI332:DF332)</f>
        <v>0</v>
      </c>
      <c r="DG338" s="95">
        <f>SUM($AI332:DG332)</f>
        <v>0</v>
      </c>
      <c r="DH338" s="95">
        <f>SUM($AI332:DH332)</f>
        <v>0</v>
      </c>
      <c r="DI338" s="95">
        <f>SUM($AI332:DI332)</f>
        <v>0</v>
      </c>
      <c r="DJ338" s="95">
        <f>SUM($AI332:DJ332)</f>
        <v>0</v>
      </c>
      <c r="DK338" s="95">
        <f>SUM($AI332:DK332)</f>
        <v>0</v>
      </c>
      <c r="DL338" s="95">
        <f>SUM($AI332:DL332)</f>
        <v>0</v>
      </c>
      <c r="DM338" s="95">
        <f>SUM($AI332:DM332)</f>
        <v>0</v>
      </c>
      <c r="DN338" s="95">
        <f>SUM($AI332:DN332)</f>
        <v>0</v>
      </c>
      <c r="DO338" s="95">
        <f>SUM($AI332:DO332)</f>
        <v>0</v>
      </c>
      <c r="DP338" s="95">
        <f>SUM($AI332:DP332)</f>
        <v>0</v>
      </c>
      <c r="DQ338" s="95">
        <f>SUM($AI332:DQ332)</f>
        <v>0</v>
      </c>
      <c r="DR338" s="95">
        <f>SUM($AI332:DR332)</f>
        <v>0</v>
      </c>
      <c r="DS338" s="95">
        <f>SUM($AI332:DS332)</f>
        <v>0</v>
      </c>
      <c r="DT338" s="95">
        <f>SUM($AI332:DT332)</f>
        <v>0</v>
      </c>
      <c r="DU338" s="95">
        <f>SUM($AI332:DU332)</f>
        <v>0</v>
      </c>
      <c r="DV338" s="95">
        <f>SUM($AI332:DV332)</f>
        <v>0</v>
      </c>
      <c r="DW338" s="95">
        <f>SUM($AI332:DW332)</f>
        <v>0</v>
      </c>
      <c r="DX338" s="95">
        <f>SUM($AI332:DX332)</f>
        <v>0</v>
      </c>
      <c r="DY338" s="95">
        <f>SUM($AI332:DY332)</f>
        <v>0</v>
      </c>
      <c r="DZ338" s="95">
        <f>SUM($AI332:DZ332)</f>
        <v>0</v>
      </c>
      <c r="EA338" s="95">
        <f>IF(Years="Five",SUM($AI332:EA332),0)</f>
        <v>0</v>
      </c>
      <c r="EB338" s="95">
        <f>IF(Years="Five",SUM($AI332:EB332),0)</f>
        <v>0</v>
      </c>
      <c r="EC338" s="95">
        <f>IF(Years="Five",SUM($AI332:EC332),0)</f>
        <v>0</v>
      </c>
      <c r="ED338" s="95">
        <f>IF(Years="Five",SUM($AI332:ED332),0)</f>
        <v>0</v>
      </c>
      <c r="EE338" s="95">
        <f>IF(Years="Five",SUM($AI332:EE332),0)</f>
        <v>0</v>
      </c>
      <c r="EF338" s="95">
        <f>IF(Years="Five",SUM($AI332:EF332),0)</f>
        <v>0</v>
      </c>
      <c r="EG338" s="95">
        <f>IF(Years="Five",SUM($AI332:EG332),0)</f>
        <v>0</v>
      </c>
      <c r="EH338" s="95">
        <f>IF(Years="Five",SUM($AI332:EH332),0)</f>
        <v>0</v>
      </c>
      <c r="EI338" s="95">
        <f>IF(Years="Five",SUM($AI332:EI332),0)</f>
        <v>0</v>
      </c>
      <c r="EJ338" s="95">
        <f>IF(Years="Five",SUM($AI332:EJ332),0)</f>
        <v>0</v>
      </c>
      <c r="EK338" s="95">
        <f>IF(Years="Five",SUM($AI332:EK332),0)</f>
        <v>0</v>
      </c>
      <c r="EL338" s="95">
        <f>IF(Years="Five",SUM($AI332:EL332),0)</f>
        <v>0</v>
      </c>
      <c r="EM338" s="95">
        <f>IF(Years="Five",SUM($AI332:EM332),0)</f>
        <v>0</v>
      </c>
      <c r="EN338" s="95">
        <f>IF(Years="Five",SUM($AI332:EN332),0)</f>
        <v>0</v>
      </c>
      <c r="EO338" s="39">
        <v>51</v>
      </c>
      <c r="EP338" s="39">
        <v>51</v>
      </c>
      <c r="EQ338" s="39">
        <v>51</v>
      </c>
      <c r="ER338" s="39">
        <v>51</v>
      </c>
      <c r="ES338" s="39">
        <v>51</v>
      </c>
      <c r="ET338" s="39">
        <v>51</v>
      </c>
      <c r="EU338" s="39">
        <v>51</v>
      </c>
      <c r="EV338" s="39">
        <v>51</v>
      </c>
      <c r="EW338" s="39">
        <v>51</v>
      </c>
      <c r="EX338" s="39">
        <v>51</v>
      </c>
    </row>
    <row r="339" spans="1:154" ht="12" customHeight="1" x14ac:dyDescent="0.35">
      <c r="A339" s="1287"/>
      <c r="B339" s="82"/>
      <c r="C339" s="82"/>
      <c r="D339" s="82"/>
      <c r="E339" s="82"/>
      <c r="F339" s="82"/>
      <c r="G339" s="1448"/>
      <c r="H339" s="1448"/>
      <c r="I339" s="1448"/>
      <c r="J339" s="1448"/>
      <c r="K339" s="1668"/>
      <c r="L339" s="1668"/>
      <c r="M339" s="1668"/>
      <c r="N339" s="1668"/>
      <c r="O339" s="1668"/>
      <c r="P339" s="1668"/>
      <c r="Q339" s="1671"/>
      <c r="R339" s="1671"/>
      <c r="S339" s="1671"/>
      <c r="T339" s="1668"/>
      <c r="U339" s="1672"/>
      <c r="V339" s="1672"/>
      <c r="W339" s="1672"/>
      <c r="X339" s="30" t="s">
        <v>338</v>
      </c>
      <c r="Y339" s="1676">
        <f t="shared" ref="Y339:AE339" si="158">Y334-Y338</f>
        <v>0</v>
      </c>
      <c r="Z339" s="1676">
        <f t="shared" si="158"/>
        <v>0</v>
      </c>
      <c r="AA339" s="1676">
        <f t="shared" si="158"/>
        <v>0</v>
      </c>
      <c r="AB339" s="1676">
        <f t="shared" si="158"/>
        <v>0</v>
      </c>
      <c r="AC339" s="1676">
        <f t="shared" si="158"/>
        <v>0</v>
      </c>
      <c r="AD339" s="1676">
        <f t="shared" si="158"/>
        <v>0</v>
      </c>
      <c r="AE339" s="1676">
        <f t="shared" si="158"/>
        <v>0</v>
      </c>
      <c r="AF339" s="1156">
        <f t="shared" ref="AF339:BD339" si="159">AF334-AF338</f>
        <v>0</v>
      </c>
      <c r="AG339" s="1156">
        <f t="shared" si="159"/>
        <v>0</v>
      </c>
      <c r="AH339" s="1156">
        <f t="shared" si="159"/>
        <v>0</v>
      </c>
      <c r="AI339" s="1156">
        <f t="shared" si="159"/>
        <v>0</v>
      </c>
      <c r="AJ339" s="1156">
        <f t="shared" si="159"/>
        <v>0</v>
      </c>
      <c r="AK339" s="1156">
        <f t="shared" si="159"/>
        <v>0</v>
      </c>
      <c r="AL339" s="1156">
        <f t="shared" si="159"/>
        <v>0</v>
      </c>
      <c r="AM339" s="1156">
        <f t="shared" si="159"/>
        <v>0</v>
      </c>
      <c r="AN339" s="1156">
        <f t="shared" si="159"/>
        <v>0</v>
      </c>
      <c r="AO339" s="1156">
        <f t="shared" si="159"/>
        <v>0</v>
      </c>
      <c r="AP339" s="1156">
        <f t="shared" si="159"/>
        <v>0</v>
      </c>
      <c r="AQ339" s="1156">
        <f t="shared" si="159"/>
        <v>0</v>
      </c>
      <c r="AR339" s="1156">
        <f t="shared" si="159"/>
        <v>0</v>
      </c>
      <c r="AS339" s="1156">
        <f t="shared" si="159"/>
        <v>0</v>
      </c>
      <c r="AT339" s="1156">
        <f t="shared" si="159"/>
        <v>0</v>
      </c>
      <c r="AU339" s="1156">
        <f t="shared" si="159"/>
        <v>0</v>
      </c>
      <c r="AV339" s="1156">
        <f t="shared" si="159"/>
        <v>0</v>
      </c>
      <c r="AW339" s="1156">
        <f t="shared" si="159"/>
        <v>0</v>
      </c>
      <c r="AX339" s="1156">
        <f t="shared" si="159"/>
        <v>0</v>
      </c>
      <c r="AY339" s="1156">
        <f t="shared" si="159"/>
        <v>0</v>
      </c>
      <c r="AZ339" s="1156">
        <f t="shared" si="159"/>
        <v>0</v>
      </c>
      <c r="BA339" s="1156">
        <f t="shared" si="159"/>
        <v>0</v>
      </c>
      <c r="BB339" s="1156">
        <f t="shared" si="159"/>
        <v>0</v>
      </c>
      <c r="BC339" s="1156">
        <f t="shared" si="159"/>
        <v>0</v>
      </c>
      <c r="BD339" s="1156">
        <f t="shared" si="159"/>
        <v>0</v>
      </c>
      <c r="BE339" s="1156">
        <f t="shared" ref="BE339:CJ339" si="160">BE334-BE338</f>
        <v>0</v>
      </c>
      <c r="BF339" s="1156">
        <f t="shared" si="160"/>
        <v>0</v>
      </c>
      <c r="BG339" s="1156">
        <f t="shared" si="160"/>
        <v>0</v>
      </c>
      <c r="BH339" s="1156">
        <f t="shared" si="160"/>
        <v>0</v>
      </c>
      <c r="BI339" s="1156">
        <f t="shared" si="160"/>
        <v>0</v>
      </c>
      <c r="BJ339" s="1156">
        <f t="shared" si="160"/>
        <v>0</v>
      </c>
      <c r="BK339" s="1156">
        <f t="shared" si="160"/>
        <v>0</v>
      </c>
      <c r="BL339" s="1156">
        <f t="shared" si="160"/>
        <v>0</v>
      </c>
      <c r="BM339" s="1156">
        <f t="shared" si="160"/>
        <v>0</v>
      </c>
      <c r="BN339" s="1156">
        <f t="shared" si="160"/>
        <v>0</v>
      </c>
      <c r="BO339" s="1156">
        <f t="shared" si="160"/>
        <v>0</v>
      </c>
      <c r="BP339" s="1156">
        <f t="shared" si="160"/>
        <v>0</v>
      </c>
      <c r="BQ339" s="1156">
        <f t="shared" si="160"/>
        <v>0</v>
      </c>
      <c r="BR339" s="1156">
        <f t="shared" si="160"/>
        <v>0</v>
      </c>
      <c r="BS339" s="1156">
        <f t="shared" si="160"/>
        <v>0</v>
      </c>
      <c r="BT339" s="1156">
        <f t="shared" si="160"/>
        <v>0</v>
      </c>
      <c r="BU339" s="1156">
        <f t="shared" si="160"/>
        <v>0</v>
      </c>
      <c r="BV339" s="1156">
        <f t="shared" si="160"/>
        <v>0</v>
      </c>
      <c r="BW339" s="1156">
        <f t="shared" si="160"/>
        <v>0</v>
      </c>
      <c r="BX339" s="1462">
        <f t="shared" si="160"/>
        <v>0</v>
      </c>
      <c r="BY339" s="1462">
        <f t="shared" si="160"/>
        <v>0</v>
      </c>
      <c r="BZ339" s="1165">
        <f t="shared" si="160"/>
        <v>0</v>
      </c>
      <c r="CA339" s="1165">
        <f t="shared" si="160"/>
        <v>0</v>
      </c>
      <c r="CB339" s="1165">
        <f t="shared" si="160"/>
        <v>0</v>
      </c>
      <c r="CC339" s="1165">
        <f t="shared" si="160"/>
        <v>0</v>
      </c>
      <c r="CD339" s="1165">
        <f t="shared" si="160"/>
        <v>0</v>
      </c>
      <c r="CE339" s="1165">
        <f t="shared" si="160"/>
        <v>0</v>
      </c>
      <c r="CF339" s="1165">
        <f t="shared" si="160"/>
        <v>0</v>
      </c>
      <c r="CG339" s="1165">
        <f t="shared" si="160"/>
        <v>0</v>
      </c>
      <c r="CH339" s="1165">
        <f t="shared" si="160"/>
        <v>0</v>
      </c>
      <c r="CI339" s="1165">
        <f t="shared" si="160"/>
        <v>0</v>
      </c>
      <c r="CJ339" s="1165">
        <f t="shared" si="160"/>
        <v>0</v>
      </c>
      <c r="CK339" s="1165">
        <f t="shared" ref="CK339:DP339" si="161">CK334-CK338</f>
        <v>0</v>
      </c>
      <c r="CL339" s="1165">
        <f t="shared" si="161"/>
        <v>0</v>
      </c>
      <c r="CM339" s="1165">
        <f t="shared" si="161"/>
        <v>0</v>
      </c>
      <c r="CN339" s="1165">
        <f t="shared" si="161"/>
        <v>0</v>
      </c>
      <c r="CO339" s="1165">
        <f t="shared" si="161"/>
        <v>0</v>
      </c>
      <c r="CP339" s="1165">
        <f t="shared" si="161"/>
        <v>0</v>
      </c>
      <c r="CQ339" s="95">
        <f t="shared" si="161"/>
        <v>0</v>
      </c>
      <c r="CR339" s="95">
        <f t="shared" si="161"/>
        <v>0</v>
      </c>
      <c r="CS339" s="95">
        <f t="shared" si="161"/>
        <v>0</v>
      </c>
      <c r="CT339" s="95">
        <f t="shared" si="161"/>
        <v>0</v>
      </c>
      <c r="CU339" s="95">
        <f t="shared" si="161"/>
        <v>0</v>
      </c>
      <c r="CV339" s="95">
        <f t="shared" si="161"/>
        <v>0</v>
      </c>
      <c r="CW339" s="95">
        <f t="shared" si="161"/>
        <v>0</v>
      </c>
      <c r="CX339" s="95">
        <f t="shared" si="161"/>
        <v>0</v>
      </c>
      <c r="CY339" s="95">
        <f t="shared" si="161"/>
        <v>0</v>
      </c>
      <c r="CZ339" s="95">
        <f t="shared" si="161"/>
        <v>0</v>
      </c>
      <c r="DA339" s="95">
        <f t="shared" si="161"/>
        <v>0</v>
      </c>
      <c r="DB339" s="95">
        <f t="shared" si="161"/>
        <v>0</v>
      </c>
      <c r="DC339" s="95">
        <f t="shared" si="161"/>
        <v>0</v>
      </c>
      <c r="DD339" s="95">
        <f t="shared" si="161"/>
        <v>0</v>
      </c>
      <c r="DE339" s="95">
        <f t="shared" si="161"/>
        <v>0</v>
      </c>
      <c r="DF339" s="95">
        <f t="shared" si="161"/>
        <v>0</v>
      </c>
      <c r="DG339" s="95">
        <f t="shared" si="161"/>
        <v>0</v>
      </c>
      <c r="DH339" s="95">
        <f t="shared" si="161"/>
        <v>0</v>
      </c>
      <c r="DI339" s="95">
        <f t="shared" si="161"/>
        <v>0</v>
      </c>
      <c r="DJ339" s="95">
        <f t="shared" si="161"/>
        <v>0</v>
      </c>
      <c r="DK339" s="95">
        <f t="shared" si="161"/>
        <v>0</v>
      </c>
      <c r="DL339" s="95">
        <f t="shared" si="161"/>
        <v>0</v>
      </c>
      <c r="DM339" s="95">
        <f t="shared" si="161"/>
        <v>0</v>
      </c>
      <c r="DN339" s="95">
        <f t="shared" si="161"/>
        <v>0</v>
      </c>
      <c r="DO339" s="95">
        <f t="shared" si="161"/>
        <v>0</v>
      </c>
      <c r="DP339" s="95">
        <f t="shared" si="161"/>
        <v>0</v>
      </c>
      <c r="DQ339" s="95">
        <f t="shared" ref="DQ339:EN339" si="162">DQ334-DQ338</f>
        <v>0</v>
      </c>
      <c r="DR339" s="57">
        <f t="shared" si="162"/>
        <v>0</v>
      </c>
      <c r="DS339" s="57">
        <f t="shared" si="162"/>
        <v>0</v>
      </c>
      <c r="DT339" s="57">
        <f t="shared" si="162"/>
        <v>0</v>
      </c>
      <c r="DU339" s="57">
        <f t="shared" si="162"/>
        <v>0</v>
      </c>
      <c r="DV339" s="57">
        <f t="shared" si="162"/>
        <v>0</v>
      </c>
      <c r="DW339" s="57">
        <f t="shared" si="162"/>
        <v>0</v>
      </c>
      <c r="DX339" s="57">
        <f t="shared" si="162"/>
        <v>0</v>
      </c>
      <c r="DY339" s="57">
        <f t="shared" si="162"/>
        <v>0</v>
      </c>
      <c r="DZ339" s="57">
        <f t="shared" si="162"/>
        <v>0</v>
      </c>
      <c r="EA339" s="57">
        <f t="shared" si="162"/>
        <v>0</v>
      </c>
      <c r="EB339" s="57">
        <f t="shared" si="162"/>
        <v>0</v>
      </c>
      <c r="EC339" s="57">
        <f t="shared" si="162"/>
        <v>0</v>
      </c>
      <c r="ED339" s="57">
        <f t="shared" si="162"/>
        <v>0</v>
      </c>
      <c r="EE339" s="57">
        <f t="shared" si="162"/>
        <v>0</v>
      </c>
      <c r="EF339" s="57">
        <f t="shared" si="162"/>
        <v>0</v>
      </c>
      <c r="EG339" s="57">
        <f t="shared" si="162"/>
        <v>0</v>
      </c>
      <c r="EH339" s="57">
        <f t="shared" si="162"/>
        <v>0</v>
      </c>
      <c r="EI339" s="57">
        <f t="shared" si="162"/>
        <v>0</v>
      </c>
      <c r="EJ339" s="57">
        <f t="shared" si="162"/>
        <v>0</v>
      </c>
      <c r="EK339" s="57">
        <f t="shared" si="162"/>
        <v>0</v>
      </c>
      <c r="EL339" s="57">
        <f t="shared" si="162"/>
        <v>0</v>
      </c>
      <c r="EM339" s="57">
        <f t="shared" si="162"/>
        <v>0</v>
      </c>
      <c r="EN339" s="57">
        <f t="shared" si="162"/>
        <v>0</v>
      </c>
      <c r="EO339" s="39">
        <v>51</v>
      </c>
      <c r="EP339" s="39">
        <v>51</v>
      </c>
      <c r="EQ339" s="39">
        <v>51</v>
      </c>
      <c r="ER339" s="39">
        <v>51</v>
      </c>
      <c r="ES339" s="39">
        <v>51</v>
      </c>
      <c r="ET339" s="39">
        <v>51</v>
      </c>
      <c r="EU339" s="39">
        <v>51</v>
      </c>
      <c r="EV339" s="39">
        <v>51</v>
      </c>
      <c r="EW339" s="39">
        <v>51</v>
      </c>
      <c r="EX339" s="39">
        <v>51</v>
      </c>
    </row>
    <row r="340" spans="1:154" ht="12" customHeight="1" x14ac:dyDescent="0.35">
      <c r="A340" s="1287"/>
      <c r="B340" s="82"/>
      <c r="C340" s="82"/>
      <c r="D340" s="82"/>
      <c r="E340" s="82"/>
      <c r="F340" s="82"/>
      <c r="G340" s="1448"/>
      <c r="H340" s="1448"/>
      <c r="I340" s="1448"/>
      <c r="J340" s="1448"/>
      <c r="K340" s="1668"/>
      <c r="L340" s="1668"/>
      <c r="M340" s="1668"/>
      <c r="N340" s="1668"/>
      <c r="O340" s="1668"/>
      <c r="P340" s="1668"/>
      <c r="Q340" s="1671"/>
      <c r="R340" s="1671"/>
      <c r="S340" s="1671"/>
      <c r="T340" s="1668"/>
      <c r="U340" s="1672"/>
      <c r="V340" s="1672"/>
      <c r="W340" s="1672"/>
      <c r="X340" s="381"/>
      <c r="Y340" s="1621"/>
      <c r="Z340" s="1621"/>
      <c r="AA340" s="1621"/>
      <c r="AB340" s="1621"/>
      <c r="AC340" s="1621"/>
      <c r="AD340" s="1621"/>
      <c r="AE340" s="1621"/>
      <c r="AF340" s="381"/>
      <c r="AG340" s="381"/>
      <c r="AH340" s="381"/>
      <c r="AI340" s="381"/>
      <c r="AJ340" s="381"/>
      <c r="AK340" s="381"/>
      <c r="AL340" s="381"/>
      <c r="AM340" s="381"/>
      <c r="AN340" s="381"/>
      <c r="AO340" s="381"/>
      <c r="AP340" s="381"/>
      <c r="AQ340" s="381"/>
      <c r="AR340" s="381"/>
      <c r="AS340" s="381"/>
      <c r="AT340" s="381"/>
      <c r="AU340" s="381"/>
      <c r="AV340" s="381"/>
      <c r="AW340" s="381"/>
      <c r="AX340" s="381"/>
      <c r="AY340" s="381"/>
      <c r="AZ340" s="381"/>
      <c r="BA340" s="381"/>
      <c r="BB340" s="381"/>
      <c r="BC340" s="381"/>
      <c r="BD340" s="381"/>
      <c r="BE340" s="381"/>
      <c r="BF340" s="381"/>
      <c r="BG340" s="381"/>
      <c r="BH340" s="381"/>
      <c r="BI340" s="381"/>
      <c r="BJ340" s="381"/>
      <c r="BK340" s="381"/>
      <c r="BL340" s="381"/>
      <c r="BM340" s="381"/>
      <c r="BN340" s="381"/>
      <c r="BO340" s="381"/>
      <c r="BP340" s="381"/>
      <c r="BQ340" s="381"/>
      <c r="BR340" s="381"/>
      <c r="BS340" s="381"/>
      <c r="BT340" s="381"/>
      <c r="BU340" s="381"/>
      <c r="BV340" s="381"/>
      <c r="BW340" s="381"/>
      <c r="BX340" s="1454"/>
      <c r="BY340" s="1454"/>
      <c r="BZ340" s="53"/>
      <c r="CA340" s="53"/>
      <c r="CB340" s="53"/>
      <c r="CC340" s="53"/>
      <c r="CD340" s="53"/>
      <c r="CE340" s="53"/>
      <c r="CF340" s="53"/>
      <c r="CG340" s="53"/>
      <c r="CH340" s="53"/>
      <c r="CI340" s="53"/>
      <c r="CJ340" s="53"/>
      <c r="CK340" s="53"/>
      <c r="CL340" s="53"/>
      <c r="CM340" s="53"/>
      <c r="CN340" s="53"/>
      <c r="CO340" s="53"/>
      <c r="CP340" s="53"/>
      <c r="CQ340" s="47"/>
      <c r="CR340" s="47"/>
      <c r="CS340" s="47"/>
      <c r="CT340" s="47"/>
      <c r="CU340" s="47"/>
      <c r="CV340" s="47"/>
      <c r="CW340" s="47"/>
      <c r="CX340" s="47"/>
      <c r="CY340" s="47"/>
      <c r="CZ340" s="47"/>
      <c r="DA340" s="47"/>
      <c r="DB340" s="47"/>
      <c r="DC340" s="47"/>
      <c r="DD340" s="47"/>
      <c r="DE340" s="47"/>
      <c r="DF340" s="47"/>
      <c r="DG340" s="47"/>
      <c r="DH340" s="47"/>
      <c r="DI340" s="47"/>
      <c r="DJ340" s="47"/>
      <c r="DK340" s="47"/>
      <c r="DL340" s="47"/>
      <c r="DM340" s="47"/>
      <c r="DN340" s="47"/>
      <c r="DO340" s="47"/>
      <c r="DP340" s="47"/>
      <c r="DQ340" s="47"/>
      <c r="DR340" s="46"/>
      <c r="DS340" s="46"/>
      <c r="DT340" s="46"/>
      <c r="DU340" s="46"/>
      <c r="DV340" s="46"/>
      <c r="DW340" s="46"/>
      <c r="DX340" s="46"/>
      <c r="DY340" s="46"/>
      <c r="DZ340" s="46"/>
      <c r="EA340" s="46"/>
      <c r="EB340" s="46"/>
      <c r="EC340" s="46"/>
      <c r="ED340" s="46"/>
      <c r="EE340" s="46"/>
      <c r="EF340" s="46"/>
      <c r="EG340" s="46"/>
      <c r="EH340" s="46"/>
      <c r="EI340" s="46"/>
      <c r="EJ340" s="46"/>
      <c r="EK340" s="46"/>
      <c r="EL340" s="46"/>
      <c r="EM340" s="46"/>
      <c r="EN340" s="46"/>
      <c r="EO340" s="39">
        <v>51</v>
      </c>
      <c r="EP340" s="39">
        <v>51</v>
      </c>
      <c r="EQ340" s="39">
        <v>51</v>
      </c>
      <c r="ER340" s="39">
        <v>51</v>
      </c>
      <c r="ES340" s="39">
        <v>51</v>
      </c>
      <c r="ET340" s="39">
        <v>51</v>
      </c>
      <c r="EU340" s="39">
        <v>51</v>
      </c>
      <c r="EV340" s="39">
        <v>51</v>
      </c>
      <c r="EW340" s="39">
        <v>51</v>
      </c>
      <c r="EX340" s="39">
        <v>51</v>
      </c>
    </row>
    <row r="341" spans="1:154" ht="12" customHeight="1" x14ac:dyDescent="0.35">
      <c r="A341" s="1287"/>
      <c r="B341" s="82"/>
      <c r="C341" s="82"/>
      <c r="D341" s="82"/>
      <c r="E341" s="82"/>
      <c r="F341" s="82"/>
      <c r="G341" s="1448"/>
      <c r="H341" s="1463"/>
      <c r="I341" s="1448"/>
      <c r="J341" s="1448"/>
      <c r="K341" s="1668"/>
      <c r="L341" s="1668"/>
      <c r="M341" s="1668"/>
      <c r="N341" s="1668"/>
      <c r="O341" s="1668"/>
      <c r="P341" s="1668"/>
      <c r="Q341" s="1671"/>
      <c r="R341" s="1671"/>
      <c r="S341" s="1671"/>
      <c r="T341" s="1668"/>
      <c r="U341" s="1672"/>
      <c r="V341" s="1672"/>
      <c r="W341" s="1672"/>
      <c r="X341" s="381"/>
      <c r="Y341" s="1621"/>
      <c r="Z341" s="1621"/>
      <c r="AA341" s="1621"/>
      <c r="AB341" s="1621"/>
      <c r="AC341" s="1621"/>
      <c r="AD341" s="1621"/>
      <c r="AE341" s="1621"/>
      <c r="AF341" s="381"/>
      <c r="AG341" s="381"/>
      <c r="AH341" s="381"/>
      <c r="AI341" s="381"/>
      <c r="AJ341" s="381"/>
      <c r="AK341" s="381"/>
      <c r="AL341" s="381"/>
      <c r="AM341" s="381"/>
      <c r="AN341" s="381"/>
      <c r="AO341" s="381"/>
      <c r="AP341" s="381"/>
      <c r="AQ341" s="381"/>
      <c r="AR341" s="381"/>
      <c r="AS341" s="381"/>
      <c r="AT341" s="381"/>
      <c r="AU341" s="381"/>
      <c r="AV341" s="381"/>
      <c r="AW341" s="381"/>
      <c r="AX341" s="381"/>
      <c r="AY341" s="381"/>
      <c r="AZ341" s="381"/>
      <c r="BA341" s="381"/>
      <c r="BB341" s="381"/>
      <c r="BC341" s="381"/>
      <c r="BD341" s="381"/>
      <c r="BE341" s="381"/>
      <c r="BF341" s="381"/>
      <c r="BG341" s="381"/>
      <c r="BH341" s="381"/>
      <c r="BI341" s="381"/>
      <c r="BJ341" s="381"/>
      <c r="BK341" s="381"/>
      <c r="BL341" s="381"/>
      <c r="BM341" s="381"/>
      <c r="BN341" s="381"/>
      <c r="BO341" s="381"/>
      <c r="BP341" s="381"/>
      <c r="BQ341" s="381"/>
      <c r="BR341" s="381"/>
      <c r="BS341" s="381"/>
      <c r="BT341" s="381"/>
      <c r="BU341" s="381"/>
      <c r="BV341" s="381"/>
      <c r="BW341" s="381"/>
      <c r="BX341" s="1454"/>
      <c r="BY341" s="1454"/>
      <c r="BZ341" s="53"/>
      <c r="CA341" s="53"/>
      <c r="CB341" s="53"/>
      <c r="CC341" s="53"/>
      <c r="CD341" s="53"/>
      <c r="CE341" s="53"/>
      <c r="CF341" s="53"/>
      <c r="CG341" s="53"/>
      <c r="CH341" s="53"/>
      <c r="CI341" s="53"/>
      <c r="CJ341" s="53"/>
      <c r="CK341" s="53"/>
      <c r="CL341" s="53"/>
      <c r="CM341" s="53"/>
      <c r="CN341" s="53"/>
      <c r="CO341" s="53"/>
      <c r="CP341" s="53"/>
      <c r="CQ341" s="47"/>
      <c r="CR341" s="47"/>
      <c r="CS341" s="47"/>
      <c r="CT341" s="47"/>
      <c r="CU341" s="47"/>
      <c r="CV341" s="47"/>
      <c r="CW341" s="47"/>
      <c r="CX341" s="47"/>
      <c r="CY341" s="47"/>
      <c r="CZ341" s="47"/>
      <c r="DA341" s="47"/>
      <c r="DB341" s="47"/>
      <c r="DC341" s="47"/>
      <c r="DD341" s="47"/>
      <c r="DE341" s="47"/>
      <c r="DF341" s="47"/>
      <c r="DG341" s="47"/>
      <c r="DH341" s="47"/>
      <c r="DI341" s="47"/>
      <c r="DJ341" s="47"/>
      <c r="DK341" s="47"/>
      <c r="DL341" s="47"/>
      <c r="DM341" s="47"/>
      <c r="DN341" s="47"/>
      <c r="DO341" s="47"/>
      <c r="DP341" s="47"/>
      <c r="DQ341" s="47"/>
      <c r="DR341" s="46"/>
      <c r="DS341" s="46"/>
      <c r="DT341" s="46"/>
      <c r="DU341" s="46"/>
      <c r="DV341" s="46"/>
      <c r="DW341" s="46"/>
      <c r="DX341" s="46"/>
      <c r="DY341" s="46"/>
      <c r="DZ341" s="46"/>
      <c r="EA341" s="46"/>
      <c r="EB341" s="46"/>
      <c r="EC341" s="46"/>
      <c r="ED341" s="46"/>
      <c r="EE341" s="46"/>
      <c r="EF341" s="46"/>
      <c r="EG341" s="46"/>
      <c r="EH341" s="46"/>
      <c r="EI341" s="46"/>
      <c r="EJ341" s="46"/>
      <c r="EK341" s="46"/>
      <c r="EL341" s="46"/>
      <c r="EM341" s="46"/>
      <c r="EN341" s="46"/>
      <c r="EO341" s="39">
        <v>51</v>
      </c>
      <c r="EP341" s="39">
        <v>51</v>
      </c>
      <c r="EQ341" s="39">
        <v>51</v>
      </c>
      <c r="ER341" s="39">
        <v>51</v>
      </c>
      <c r="ES341" s="39">
        <v>51</v>
      </c>
      <c r="ET341" s="39">
        <v>51</v>
      </c>
      <c r="EU341" s="39">
        <v>51</v>
      </c>
      <c r="EV341" s="39">
        <v>51</v>
      </c>
      <c r="EW341" s="39">
        <v>51</v>
      </c>
      <c r="EX341" s="39">
        <v>51</v>
      </c>
    </row>
    <row r="342" spans="1:154" ht="12" customHeight="1" x14ac:dyDescent="0.35">
      <c r="A342" s="1287"/>
      <c r="B342" s="82"/>
      <c r="C342" s="82"/>
      <c r="D342" s="82"/>
      <c r="E342" s="82"/>
      <c r="F342" s="82"/>
      <c r="G342" s="1448"/>
      <c r="H342" s="1463"/>
      <c r="I342" s="1448"/>
      <c r="J342" s="1448"/>
      <c r="K342" s="1668"/>
      <c r="L342" s="1668"/>
      <c r="M342" s="1668"/>
      <c r="N342" s="1668"/>
      <c r="O342" s="1668"/>
      <c r="P342" s="1668"/>
      <c r="Q342" s="1671"/>
      <c r="R342" s="1671"/>
      <c r="S342" s="1671"/>
      <c r="T342" s="1668"/>
      <c r="U342" s="1672"/>
      <c r="V342" s="1672"/>
      <c r="W342" s="1672"/>
      <c r="X342" s="32" t="s">
        <v>424</v>
      </c>
      <c r="Y342" s="29">
        <f>Y308</f>
        <v>1</v>
      </c>
      <c r="Z342" s="29">
        <f t="shared" ref="Z342:CK342" si="163">Z308</f>
        <v>2</v>
      </c>
      <c r="AA342" s="29">
        <f t="shared" si="163"/>
        <v>3</v>
      </c>
      <c r="AB342" s="29">
        <f t="shared" si="163"/>
        <v>4</v>
      </c>
      <c r="AC342" s="29">
        <f t="shared" si="163"/>
        <v>5</v>
      </c>
      <c r="AD342" s="29">
        <f t="shared" si="163"/>
        <v>6</v>
      </c>
      <c r="AE342" s="29">
        <f t="shared" si="163"/>
        <v>7</v>
      </c>
      <c r="AF342" s="29">
        <f t="shared" si="163"/>
        <v>8</v>
      </c>
      <c r="AG342" s="29">
        <f t="shared" si="163"/>
        <v>9</v>
      </c>
      <c r="AH342" s="29">
        <f t="shared" si="163"/>
        <v>10</v>
      </c>
      <c r="AI342" s="29">
        <f t="shared" si="163"/>
        <v>11</v>
      </c>
      <c r="AJ342" s="29">
        <f t="shared" si="163"/>
        <v>12</v>
      </c>
      <c r="AK342" s="29">
        <f t="shared" si="163"/>
        <v>13</v>
      </c>
      <c r="AL342" s="29">
        <f t="shared" si="163"/>
        <v>14</v>
      </c>
      <c r="AM342" s="29">
        <f t="shared" si="163"/>
        <v>15</v>
      </c>
      <c r="AN342" s="29">
        <f t="shared" si="163"/>
        <v>16</v>
      </c>
      <c r="AO342" s="29">
        <f t="shared" si="163"/>
        <v>17</v>
      </c>
      <c r="AP342" s="29">
        <f t="shared" si="163"/>
        <v>18</v>
      </c>
      <c r="AQ342" s="29">
        <f t="shared" si="163"/>
        <v>19</v>
      </c>
      <c r="AR342" s="29">
        <f t="shared" si="163"/>
        <v>20</v>
      </c>
      <c r="AS342" s="29">
        <f t="shared" si="163"/>
        <v>21</v>
      </c>
      <c r="AT342" s="29">
        <f t="shared" si="163"/>
        <v>22</v>
      </c>
      <c r="AU342" s="29">
        <f t="shared" si="163"/>
        <v>23</v>
      </c>
      <c r="AV342" s="29">
        <f t="shared" si="163"/>
        <v>24</v>
      </c>
      <c r="AW342" s="29">
        <f t="shared" si="163"/>
        <v>25</v>
      </c>
      <c r="AX342" s="29">
        <f t="shared" si="163"/>
        <v>26</v>
      </c>
      <c r="AY342" s="29">
        <f t="shared" si="163"/>
        <v>27</v>
      </c>
      <c r="AZ342" s="29">
        <f t="shared" si="163"/>
        <v>28</v>
      </c>
      <c r="BA342" s="29">
        <f t="shared" si="163"/>
        <v>29</v>
      </c>
      <c r="BB342" s="29">
        <f t="shared" si="163"/>
        <v>30</v>
      </c>
      <c r="BC342" s="29">
        <f t="shared" si="163"/>
        <v>31</v>
      </c>
      <c r="BD342" s="29">
        <f t="shared" si="163"/>
        <v>32</v>
      </c>
      <c r="BE342" s="29">
        <f t="shared" si="163"/>
        <v>33</v>
      </c>
      <c r="BF342" s="29">
        <f t="shared" si="163"/>
        <v>34</v>
      </c>
      <c r="BG342" s="29">
        <f t="shared" si="163"/>
        <v>35</v>
      </c>
      <c r="BH342" s="29">
        <f t="shared" si="163"/>
        <v>36</v>
      </c>
      <c r="BI342" s="29">
        <f t="shared" si="163"/>
        <v>37</v>
      </c>
      <c r="BJ342" s="29">
        <f t="shared" si="163"/>
        <v>38</v>
      </c>
      <c r="BK342" s="29">
        <f t="shared" si="163"/>
        <v>39</v>
      </c>
      <c r="BL342" s="29">
        <f t="shared" si="163"/>
        <v>40</v>
      </c>
      <c r="BM342" s="29">
        <f t="shared" si="163"/>
        <v>41</v>
      </c>
      <c r="BN342" s="29">
        <f t="shared" si="163"/>
        <v>42</v>
      </c>
      <c r="BO342" s="29">
        <f t="shared" si="163"/>
        <v>43</v>
      </c>
      <c r="BP342" s="29">
        <f t="shared" si="163"/>
        <v>44</v>
      </c>
      <c r="BQ342" s="29">
        <f t="shared" si="163"/>
        <v>45</v>
      </c>
      <c r="BR342" s="29">
        <f t="shared" si="163"/>
        <v>46</v>
      </c>
      <c r="BS342" s="29">
        <f t="shared" si="163"/>
        <v>47</v>
      </c>
      <c r="BT342" s="29">
        <f t="shared" si="163"/>
        <v>48</v>
      </c>
      <c r="BU342" s="29">
        <f t="shared" si="163"/>
        <v>49</v>
      </c>
      <c r="BV342" s="29">
        <f t="shared" si="163"/>
        <v>50</v>
      </c>
      <c r="BW342" s="29">
        <f t="shared" si="163"/>
        <v>51</v>
      </c>
      <c r="BX342" s="139">
        <f t="shared" si="163"/>
        <v>52</v>
      </c>
      <c r="BY342" s="139">
        <f t="shared" si="163"/>
        <v>53</v>
      </c>
      <c r="BZ342" s="29">
        <f t="shared" si="163"/>
        <v>54</v>
      </c>
      <c r="CA342" s="29">
        <f t="shared" si="163"/>
        <v>55</v>
      </c>
      <c r="CB342" s="29">
        <f t="shared" si="163"/>
        <v>56</v>
      </c>
      <c r="CC342" s="29">
        <f t="shared" si="163"/>
        <v>57</v>
      </c>
      <c r="CD342" s="29">
        <f t="shared" si="163"/>
        <v>58</v>
      </c>
      <c r="CE342" s="29">
        <f t="shared" si="163"/>
        <v>59</v>
      </c>
      <c r="CF342" s="29">
        <f t="shared" si="163"/>
        <v>60</v>
      </c>
      <c r="CG342" s="29">
        <f t="shared" si="163"/>
        <v>61</v>
      </c>
      <c r="CH342" s="29">
        <f t="shared" si="163"/>
        <v>62</v>
      </c>
      <c r="CI342" s="29">
        <f t="shared" si="163"/>
        <v>63</v>
      </c>
      <c r="CJ342" s="29">
        <f t="shared" si="163"/>
        <v>64</v>
      </c>
      <c r="CK342" s="29">
        <f t="shared" si="163"/>
        <v>65</v>
      </c>
      <c r="CL342" s="29">
        <f t="shared" ref="CL342:EN342" si="164">CL308</f>
        <v>66</v>
      </c>
      <c r="CM342" s="29">
        <f t="shared" si="164"/>
        <v>67</v>
      </c>
      <c r="CN342" s="29">
        <f t="shared" si="164"/>
        <v>68</v>
      </c>
      <c r="CO342" s="29">
        <f t="shared" si="164"/>
        <v>69</v>
      </c>
      <c r="CP342" s="29">
        <f t="shared" si="164"/>
        <v>70</v>
      </c>
      <c r="CQ342" s="29">
        <f t="shared" si="164"/>
        <v>71</v>
      </c>
      <c r="CR342" s="29">
        <f t="shared" si="164"/>
        <v>72</v>
      </c>
      <c r="CS342" s="29">
        <f t="shared" si="164"/>
        <v>73</v>
      </c>
      <c r="CT342" s="29">
        <f t="shared" si="164"/>
        <v>74</v>
      </c>
      <c r="CU342" s="29">
        <f t="shared" si="164"/>
        <v>75</v>
      </c>
      <c r="CV342" s="29">
        <f t="shared" si="164"/>
        <v>76</v>
      </c>
      <c r="CW342" s="29">
        <f t="shared" si="164"/>
        <v>77</v>
      </c>
      <c r="CX342" s="29">
        <f t="shared" si="164"/>
        <v>78</v>
      </c>
      <c r="CY342" s="29">
        <f t="shared" si="164"/>
        <v>79</v>
      </c>
      <c r="CZ342" s="29">
        <f t="shared" si="164"/>
        <v>80</v>
      </c>
      <c r="DA342" s="29">
        <f t="shared" si="164"/>
        <v>81</v>
      </c>
      <c r="DB342" s="29">
        <f t="shared" si="164"/>
        <v>82</v>
      </c>
      <c r="DC342" s="29">
        <f t="shared" si="164"/>
        <v>83</v>
      </c>
      <c r="DD342" s="29">
        <f t="shared" si="164"/>
        <v>84</v>
      </c>
      <c r="DE342" s="29">
        <f t="shared" si="164"/>
        <v>85</v>
      </c>
      <c r="DF342" s="29">
        <f t="shared" si="164"/>
        <v>86</v>
      </c>
      <c r="DG342" s="29">
        <f t="shared" si="164"/>
        <v>87</v>
      </c>
      <c r="DH342" s="29">
        <f t="shared" si="164"/>
        <v>88</v>
      </c>
      <c r="DI342" s="29">
        <f t="shared" si="164"/>
        <v>89</v>
      </c>
      <c r="DJ342" s="29">
        <f t="shared" si="164"/>
        <v>90</v>
      </c>
      <c r="DK342" s="29">
        <f t="shared" si="164"/>
        <v>91</v>
      </c>
      <c r="DL342" s="29">
        <f t="shared" si="164"/>
        <v>92</v>
      </c>
      <c r="DM342" s="29">
        <f t="shared" si="164"/>
        <v>93</v>
      </c>
      <c r="DN342" s="29">
        <f t="shared" si="164"/>
        <v>94</v>
      </c>
      <c r="DO342" s="29">
        <f t="shared" si="164"/>
        <v>95</v>
      </c>
      <c r="DP342" s="29">
        <f t="shared" si="164"/>
        <v>96</v>
      </c>
      <c r="DQ342" s="29">
        <f t="shared" si="164"/>
        <v>97</v>
      </c>
      <c r="DR342" s="29">
        <f t="shared" si="164"/>
        <v>98</v>
      </c>
      <c r="DS342" s="29">
        <f t="shared" si="164"/>
        <v>99</v>
      </c>
      <c r="DT342" s="29">
        <f t="shared" si="164"/>
        <v>100</v>
      </c>
      <c r="DU342" s="29">
        <f t="shared" si="164"/>
        <v>101</v>
      </c>
      <c r="DV342" s="29">
        <f t="shared" si="164"/>
        <v>102</v>
      </c>
      <c r="DW342" s="29">
        <f t="shared" si="164"/>
        <v>103</v>
      </c>
      <c r="DX342" s="29">
        <f t="shared" si="164"/>
        <v>104</v>
      </c>
      <c r="DY342" s="29">
        <f t="shared" si="164"/>
        <v>105</v>
      </c>
      <c r="DZ342" s="29">
        <f t="shared" si="164"/>
        <v>106</v>
      </c>
      <c r="EA342" s="29">
        <f t="shared" si="164"/>
        <v>107</v>
      </c>
      <c r="EB342" s="29">
        <f t="shared" si="164"/>
        <v>108</v>
      </c>
      <c r="EC342" s="29">
        <f t="shared" si="164"/>
        <v>109</v>
      </c>
      <c r="ED342" s="29">
        <f t="shared" si="164"/>
        <v>110</v>
      </c>
      <c r="EE342" s="29">
        <f t="shared" si="164"/>
        <v>111</v>
      </c>
      <c r="EF342" s="29">
        <f t="shared" si="164"/>
        <v>112</v>
      </c>
      <c r="EG342" s="29">
        <f t="shared" si="164"/>
        <v>113</v>
      </c>
      <c r="EH342" s="29">
        <f t="shared" si="164"/>
        <v>114</v>
      </c>
      <c r="EI342" s="29">
        <f t="shared" si="164"/>
        <v>115</v>
      </c>
      <c r="EJ342" s="29">
        <f t="shared" si="164"/>
        <v>116</v>
      </c>
      <c r="EK342" s="29">
        <f t="shared" si="164"/>
        <v>117</v>
      </c>
      <c r="EL342" s="29">
        <f t="shared" si="164"/>
        <v>118</v>
      </c>
      <c r="EM342" s="29">
        <f t="shared" si="164"/>
        <v>119</v>
      </c>
      <c r="EN342" s="29">
        <f t="shared" si="164"/>
        <v>120</v>
      </c>
      <c r="EO342" s="39">
        <v>51</v>
      </c>
      <c r="EP342" s="39">
        <v>51</v>
      </c>
      <c r="EQ342" s="39">
        <v>51</v>
      </c>
      <c r="ER342" s="39">
        <v>51</v>
      </c>
      <c r="ES342" s="39">
        <v>51</v>
      </c>
      <c r="ET342" s="39">
        <v>51</v>
      </c>
      <c r="EU342" s="39">
        <v>51</v>
      </c>
      <c r="EV342" s="39">
        <v>51</v>
      </c>
      <c r="EW342" s="39">
        <v>51</v>
      </c>
      <c r="EX342" s="39">
        <v>51</v>
      </c>
    </row>
    <row r="343" spans="1:154" ht="12" customHeight="1" x14ac:dyDescent="0.35">
      <c r="G343" s="1300"/>
      <c r="H343" s="1301"/>
      <c r="I343" s="1300"/>
      <c r="J343" s="1300"/>
      <c r="K343" s="1668"/>
      <c r="L343" s="1668"/>
      <c r="M343" s="1668"/>
      <c r="N343" s="1668"/>
      <c r="O343" s="1668"/>
      <c r="P343" s="1668"/>
      <c r="Q343" s="1671"/>
      <c r="R343" s="1671"/>
      <c r="S343" s="1671"/>
      <c r="T343" s="1668"/>
      <c r="U343" s="1672"/>
      <c r="V343" s="1672"/>
      <c r="W343" s="1672"/>
      <c r="X343" s="381"/>
      <c r="Y343" s="1167">
        <f>Y310</f>
        <v>0</v>
      </c>
      <c r="Z343" s="1167">
        <f t="shared" ref="Z343:CK343" si="165">Z310</f>
        <v>59</v>
      </c>
      <c r="AA343" s="1167">
        <f t="shared" si="165"/>
        <v>91</v>
      </c>
      <c r="AB343" s="1167">
        <f t="shared" si="165"/>
        <v>121</v>
      </c>
      <c r="AC343" s="1167">
        <f t="shared" si="165"/>
        <v>152</v>
      </c>
      <c r="AD343" s="1167">
        <f t="shared" si="165"/>
        <v>182</v>
      </c>
      <c r="AE343" s="1167">
        <f t="shared" si="165"/>
        <v>213</v>
      </c>
      <c r="AF343" s="1167">
        <f t="shared" si="165"/>
        <v>244</v>
      </c>
      <c r="AG343" s="1167">
        <f t="shared" si="165"/>
        <v>274</v>
      </c>
      <c r="AH343" s="1167">
        <f t="shared" si="165"/>
        <v>305</v>
      </c>
      <c r="AI343" s="1167">
        <f t="shared" si="165"/>
        <v>335</v>
      </c>
      <c r="AJ343" s="1167">
        <f t="shared" si="165"/>
        <v>366</v>
      </c>
      <c r="AK343" s="1167">
        <f t="shared" si="165"/>
        <v>397</v>
      </c>
      <c r="AL343" s="1167">
        <f t="shared" si="165"/>
        <v>425</v>
      </c>
      <c r="AM343" s="1167">
        <f t="shared" si="165"/>
        <v>456</v>
      </c>
      <c r="AN343" s="1167">
        <f t="shared" si="165"/>
        <v>486</v>
      </c>
      <c r="AO343" s="1167">
        <f t="shared" si="165"/>
        <v>517</v>
      </c>
      <c r="AP343" s="1167">
        <f t="shared" si="165"/>
        <v>547</v>
      </c>
      <c r="AQ343" s="1167">
        <f t="shared" si="165"/>
        <v>578</v>
      </c>
      <c r="AR343" s="1167">
        <f t="shared" si="165"/>
        <v>609</v>
      </c>
      <c r="AS343" s="1167">
        <f t="shared" si="165"/>
        <v>639</v>
      </c>
      <c r="AT343" s="1167">
        <f t="shared" si="165"/>
        <v>670</v>
      </c>
      <c r="AU343" s="1167">
        <f t="shared" si="165"/>
        <v>700</v>
      </c>
      <c r="AV343" s="1167">
        <f t="shared" si="165"/>
        <v>731</v>
      </c>
      <c r="AW343" s="1167">
        <f t="shared" si="165"/>
        <v>762</v>
      </c>
      <c r="AX343" s="1167">
        <f t="shared" si="165"/>
        <v>790</v>
      </c>
      <c r="AY343" s="1167">
        <f t="shared" si="165"/>
        <v>821</v>
      </c>
      <c r="AZ343" s="1167">
        <f t="shared" si="165"/>
        <v>851</v>
      </c>
      <c r="BA343" s="1167">
        <f t="shared" si="165"/>
        <v>882</v>
      </c>
      <c r="BB343" s="1167">
        <f t="shared" si="165"/>
        <v>912</v>
      </c>
      <c r="BC343" s="1167">
        <f t="shared" si="165"/>
        <v>943</v>
      </c>
      <c r="BD343" s="1167">
        <f t="shared" si="165"/>
        <v>974</v>
      </c>
      <c r="BE343" s="1167">
        <f t="shared" si="165"/>
        <v>1004</v>
      </c>
      <c r="BF343" s="1167">
        <f t="shared" si="165"/>
        <v>1035</v>
      </c>
      <c r="BG343" s="1167">
        <f t="shared" si="165"/>
        <v>1065</v>
      </c>
      <c r="BH343" s="1167">
        <f t="shared" si="165"/>
        <v>1096</v>
      </c>
      <c r="BI343" s="1167">
        <f t="shared" si="165"/>
        <v>1127</v>
      </c>
      <c r="BJ343" s="1167">
        <f t="shared" si="165"/>
        <v>1155</v>
      </c>
      <c r="BK343" s="1167">
        <f t="shared" si="165"/>
        <v>1186</v>
      </c>
      <c r="BL343" s="1167">
        <f t="shared" si="165"/>
        <v>1216</v>
      </c>
      <c r="BM343" s="1167">
        <f t="shared" si="165"/>
        <v>1247</v>
      </c>
      <c r="BN343" s="1167">
        <f t="shared" si="165"/>
        <v>1277</v>
      </c>
      <c r="BO343" s="1167">
        <f t="shared" si="165"/>
        <v>1308</v>
      </c>
      <c r="BP343" s="1167">
        <f t="shared" si="165"/>
        <v>1339</v>
      </c>
      <c r="BQ343" s="1167">
        <f t="shared" si="165"/>
        <v>1369</v>
      </c>
      <c r="BR343" s="1167">
        <f t="shared" si="165"/>
        <v>1400</v>
      </c>
      <c r="BS343" s="1167">
        <f t="shared" si="165"/>
        <v>1430</v>
      </c>
      <c r="BT343" s="1167">
        <f t="shared" si="165"/>
        <v>1461</v>
      </c>
      <c r="BU343" s="1167">
        <f t="shared" si="165"/>
        <v>1492</v>
      </c>
      <c r="BV343" s="1167">
        <f t="shared" si="165"/>
        <v>1521</v>
      </c>
      <c r="BW343" s="1167">
        <f t="shared" si="165"/>
        <v>1552</v>
      </c>
      <c r="BX343" s="1167">
        <f t="shared" si="165"/>
        <v>1582</v>
      </c>
      <c r="BY343" s="1167">
        <f t="shared" si="165"/>
        <v>1613</v>
      </c>
      <c r="BZ343" s="1167">
        <f t="shared" si="165"/>
        <v>1643</v>
      </c>
      <c r="CA343" s="1167">
        <f t="shared" si="165"/>
        <v>1674</v>
      </c>
      <c r="CB343" s="1167">
        <f t="shared" si="165"/>
        <v>1705</v>
      </c>
      <c r="CC343" s="1167">
        <f t="shared" si="165"/>
        <v>1735</v>
      </c>
      <c r="CD343" s="1167">
        <f t="shared" si="165"/>
        <v>1766</v>
      </c>
      <c r="CE343" s="1167">
        <f t="shared" si="165"/>
        <v>1796</v>
      </c>
      <c r="CF343" s="1167">
        <f t="shared" si="165"/>
        <v>1827</v>
      </c>
      <c r="CG343" s="1167">
        <f t="shared" si="165"/>
        <v>1858</v>
      </c>
      <c r="CH343" s="1167">
        <f t="shared" si="165"/>
        <v>1886</v>
      </c>
      <c r="CI343" s="1167">
        <f t="shared" si="165"/>
        <v>1917</v>
      </c>
      <c r="CJ343" s="1167">
        <f t="shared" si="165"/>
        <v>1947</v>
      </c>
      <c r="CK343" s="1167">
        <f t="shared" si="165"/>
        <v>1978</v>
      </c>
      <c r="CL343" s="1167">
        <f t="shared" ref="CL343:EN343" si="166">CL310</f>
        <v>2008</v>
      </c>
      <c r="CM343" s="1167">
        <f t="shared" si="166"/>
        <v>2039</v>
      </c>
      <c r="CN343" s="1167">
        <f t="shared" si="166"/>
        <v>2070</v>
      </c>
      <c r="CO343" s="1167">
        <f t="shared" si="166"/>
        <v>2100</v>
      </c>
      <c r="CP343" s="1167">
        <f t="shared" si="166"/>
        <v>2131</v>
      </c>
      <c r="CQ343" s="1167">
        <f t="shared" si="166"/>
        <v>2161</v>
      </c>
      <c r="CR343" s="1167">
        <f t="shared" si="166"/>
        <v>2192</v>
      </c>
      <c r="CS343" s="1167">
        <f t="shared" si="166"/>
        <v>2223</v>
      </c>
      <c r="CT343" s="1167">
        <f t="shared" si="166"/>
        <v>2251</v>
      </c>
      <c r="CU343" s="1167">
        <f t="shared" si="166"/>
        <v>2282</v>
      </c>
      <c r="CV343" s="1167">
        <f t="shared" si="166"/>
        <v>2312</v>
      </c>
      <c r="CW343" s="1167">
        <f t="shared" si="166"/>
        <v>2343</v>
      </c>
      <c r="CX343" s="1167">
        <f t="shared" si="166"/>
        <v>2373</v>
      </c>
      <c r="CY343" s="1167">
        <f t="shared" si="166"/>
        <v>2404</v>
      </c>
      <c r="CZ343" s="1167">
        <f t="shared" si="166"/>
        <v>2435</v>
      </c>
      <c r="DA343" s="1167">
        <f t="shared" si="166"/>
        <v>2465</v>
      </c>
      <c r="DB343" s="1167">
        <f t="shared" si="166"/>
        <v>2496</v>
      </c>
      <c r="DC343" s="1167">
        <f t="shared" si="166"/>
        <v>2526</v>
      </c>
      <c r="DD343" s="1167">
        <f t="shared" si="166"/>
        <v>2557</v>
      </c>
      <c r="DE343" s="1167">
        <f t="shared" si="166"/>
        <v>2588</v>
      </c>
      <c r="DF343" s="1167">
        <f t="shared" si="166"/>
        <v>2616</v>
      </c>
      <c r="DG343" s="1167">
        <f t="shared" si="166"/>
        <v>2647</v>
      </c>
      <c r="DH343" s="1167">
        <f t="shared" si="166"/>
        <v>2677</v>
      </c>
      <c r="DI343" s="1167">
        <f t="shared" si="166"/>
        <v>2708</v>
      </c>
      <c r="DJ343" s="1167">
        <f t="shared" si="166"/>
        <v>2738</v>
      </c>
      <c r="DK343" s="1167">
        <f t="shared" si="166"/>
        <v>2769</v>
      </c>
      <c r="DL343" s="1167">
        <f t="shared" si="166"/>
        <v>2800</v>
      </c>
      <c r="DM343" s="1167">
        <f t="shared" si="166"/>
        <v>2830</v>
      </c>
      <c r="DN343" s="1167">
        <f t="shared" si="166"/>
        <v>2861</v>
      </c>
      <c r="DO343" s="1167">
        <f t="shared" si="166"/>
        <v>2891</v>
      </c>
      <c r="DP343" s="1167">
        <f t="shared" si="166"/>
        <v>2922</v>
      </c>
      <c r="DQ343" s="1167">
        <f t="shared" si="166"/>
        <v>2953</v>
      </c>
      <c r="DR343" s="1167">
        <f t="shared" si="166"/>
        <v>2982</v>
      </c>
      <c r="DS343" s="1167">
        <f t="shared" si="166"/>
        <v>3013</v>
      </c>
      <c r="DT343" s="1167">
        <f t="shared" si="166"/>
        <v>3043</v>
      </c>
      <c r="DU343" s="1167">
        <f t="shared" si="166"/>
        <v>3074</v>
      </c>
      <c r="DV343" s="1167">
        <f t="shared" si="166"/>
        <v>3104</v>
      </c>
      <c r="DW343" s="1167">
        <f t="shared" si="166"/>
        <v>3135</v>
      </c>
      <c r="DX343" s="1167">
        <f t="shared" si="166"/>
        <v>3166</v>
      </c>
      <c r="DY343" s="1167">
        <f t="shared" si="166"/>
        <v>3196</v>
      </c>
      <c r="DZ343" s="1167">
        <f t="shared" si="166"/>
        <v>3227</v>
      </c>
      <c r="EA343" s="1167">
        <f t="shared" si="166"/>
        <v>3257</v>
      </c>
      <c r="EB343" s="1167">
        <f t="shared" si="166"/>
        <v>3288</v>
      </c>
      <c r="EC343" s="1167">
        <f t="shared" si="166"/>
        <v>3319</v>
      </c>
      <c r="ED343" s="1167">
        <f t="shared" si="166"/>
        <v>3347</v>
      </c>
      <c r="EE343" s="1167">
        <f t="shared" si="166"/>
        <v>3378</v>
      </c>
      <c r="EF343" s="1167">
        <f t="shared" si="166"/>
        <v>3408</v>
      </c>
      <c r="EG343" s="1167">
        <f t="shared" si="166"/>
        <v>3439</v>
      </c>
      <c r="EH343" s="1167">
        <f t="shared" si="166"/>
        <v>3469</v>
      </c>
      <c r="EI343" s="1167">
        <f t="shared" si="166"/>
        <v>3500</v>
      </c>
      <c r="EJ343" s="1167">
        <f t="shared" si="166"/>
        <v>3531</v>
      </c>
      <c r="EK343" s="1167">
        <f t="shared" si="166"/>
        <v>3561</v>
      </c>
      <c r="EL343" s="1167">
        <f t="shared" si="166"/>
        <v>3592</v>
      </c>
      <c r="EM343" s="1167">
        <f t="shared" si="166"/>
        <v>3622</v>
      </c>
      <c r="EN343" s="1167">
        <f t="shared" si="166"/>
        <v>3653</v>
      </c>
      <c r="EO343" s="39">
        <v>51</v>
      </c>
      <c r="EP343" s="39">
        <v>51</v>
      </c>
      <c r="EQ343" s="39">
        <v>51</v>
      </c>
      <c r="ER343" s="39">
        <v>51</v>
      </c>
      <c r="ES343" s="39">
        <v>51</v>
      </c>
      <c r="ET343" s="39">
        <v>51</v>
      </c>
      <c r="EU343" s="39">
        <v>51</v>
      </c>
      <c r="EV343" s="39">
        <v>51</v>
      </c>
      <c r="EW343" s="39">
        <v>51</v>
      </c>
      <c r="EX343" s="39">
        <v>51</v>
      </c>
    </row>
    <row r="344" spans="1:154" ht="12" customHeight="1" x14ac:dyDescent="0.35">
      <c r="G344" s="1300"/>
      <c r="H344" s="1301"/>
      <c r="I344" s="1300"/>
      <c r="J344" s="1300"/>
      <c r="K344" s="1668"/>
      <c r="L344" s="1668"/>
      <c r="M344" s="1668"/>
      <c r="N344" s="1668"/>
      <c r="O344" s="1668"/>
      <c r="P344" s="1668"/>
      <c r="Q344" s="1671"/>
      <c r="R344" s="1671"/>
      <c r="S344" s="1671"/>
      <c r="T344" s="1668"/>
      <c r="U344" s="1672"/>
      <c r="V344" s="1597"/>
      <c r="W344" s="1597"/>
      <c r="X344" s="381">
        <f t="shared" ref="X344:X363" si="167">IF(Q278&lt;&gt;"",Q278,P278)</f>
        <v>0</v>
      </c>
      <c r="Y344" s="1645">
        <f>IF(OR($R278=0,$S278=0),0,IF($S278=Y$343,$R278,0))</f>
        <v>0</v>
      </c>
      <c r="Z344" s="1646">
        <f t="shared" ref="Z344:CK345" si="168">IF(OR($R278=0,$S278=0),0,IF($S278=Z$343,$R278,0))</f>
        <v>0</v>
      </c>
      <c r="AA344" s="1646">
        <f t="shared" si="168"/>
        <v>0</v>
      </c>
      <c r="AB344" s="1646">
        <f t="shared" si="168"/>
        <v>0</v>
      </c>
      <c r="AC344" s="1646">
        <f t="shared" si="168"/>
        <v>0</v>
      </c>
      <c r="AD344" s="1646">
        <f t="shared" si="168"/>
        <v>0</v>
      </c>
      <c r="AE344" s="1646">
        <f t="shared" si="168"/>
        <v>0</v>
      </c>
      <c r="AF344" s="1155">
        <f t="shared" si="168"/>
        <v>0</v>
      </c>
      <c r="AG344" s="1155">
        <f t="shared" si="168"/>
        <v>0</v>
      </c>
      <c r="AH344" s="1155">
        <f t="shared" si="168"/>
        <v>0</v>
      </c>
      <c r="AI344" s="1155">
        <f t="shared" si="168"/>
        <v>0</v>
      </c>
      <c r="AJ344" s="1155">
        <f t="shared" si="168"/>
        <v>0</v>
      </c>
      <c r="AK344" s="1155">
        <f t="shared" si="168"/>
        <v>0</v>
      </c>
      <c r="AL344" s="1155">
        <f t="shared" si="168"/>
        <v>0</v>
      </c>
      <c r="AM344" s="1155">
        <f t="shared" si="168"/>
        <v>0</v>
      </c>
      <c r="AN344" s="1155">
        <f t="shared" si="168"/>
        <v>0</v>
      </c>
      <c r="AO344" s="1155">
        <f t="shared" si="168"/>
        <v>0</v>
      </c>
      <c r="AP344" s="1155">
        <f t="shared" si="168"/>
        <v>0</v>
      </c>
      <c r="AQ344" s="1155">
        <f t="shared" si="168"/>
        <v>0</v>
      </c>
      <c r="AR344" s="1155">
        <f t="shared" si="168"/>
        <v>0</v>
      </c>
      <c r="AS344" s="1155">
        <f t="shared" si="168"/>
        <v>0</v>
      </c>
      <c r="AT344" s="1155">
        <f t="shared" si="168"/>
        <v>0</v>
      </c>
      <c r="AU344" s="1155">
        <f t="shared" si="168"/>
        <v>0</v>
      </c>
      <c r="AV344" s="1155">
        <f t="shared" si="168"/>
        <v>0</v>
      </c>
      <c r="AW344" s="1155">
        <f t="shared" si="168"/>
        <v>0</v>
      </c>
      <c r="AX344" s="1155">
        <f t="shared" si="168"/>
        <v>0</v>
      </c>
      <c r="AY344" s="1155">
        <f t="shared" si="168"/>
        <v>0</v>
      </c>
      <c r="AZ344" s="1155">
        <f t="shared" si="168"/>
        <v>0</v>
      </c>
      <c r="BA344" s="1155">
        <f t="shared" si="168"/>
        <v>0</v>
      </c>
      <c r="BB344" s="1155">
        <f t="shared" si="168"/>
        <v>0</v>
      </c>
      <c r="BC344" s="1155">
        <f t="shared" si="168"/>
        <v>0</v>
      </c>
      <c r="BD344" s="1155">
        <f t="shared" si="168"/>
        <v>0</v>
      </c>
      <c r="BE344" s="1155">
        <f t="shared" si="168"/>
        <v>0</v>
      </c>
      <c r="BF344" s="1155">
        <f t="shared" si="168"/>
        <v>0</v>
      </c>
      <c r="BG344" s="1155">
        <f t="shared" si="168"/>
        <v>0</v>
      </c>
      <c r="BH344" s="1155">
        <f t="shared" si="168"/>
        <v>0</v>
      </c>
      <c r="BI344" s="1155">
        <f t="shared" si="168"/>
        <v>0</v>
      </c>
      <c r="BJ344" s="1155">
        <f t="shared" si="168"/>
        <v>0</v>
      </c>
      <c r="BK344" s="1155">
        <f t="shared" si="168"/>
        <v>0</v>
      </c>
      <c r="BL344" s="1155">
        <f t="shared" si="168"/>
        <v>0</v>
      </c>
      <c r="BM344" s="1155">
        <f t="shared" si="168"/>
        <v>0</v>
      </c>
      <c r="BN344" s="1155">
        <f t="shared" si="168"/>
        <v>0</v>
      </c>
      <c r="BO344" s="1155">
        <f t="shared" si="168"/>
        <v>0</v>
      </c>
      <c r="BP344" s="1155">
        <f t="shared" si="168"/>
        <v>0</v>
      </c>
      <c r="BQ344" s="1155">
        <f t="shared" si="168"/>
        <v>0</v>
      </c>
      <c r="BR344" s="1155">
        <f t="shared" si="168"/>
        <v>0</v>
      </c>
      <c r="BS344" s="1155">
        <f t="shared" si="168"/>
        <v>0</v>
      </c>
      <c r="BT344" s="1155">
        <f t="shared" si="168"/>
        <v>0</v>
      </c>
      <c r="BU344" s="1155">
        <f t="shared" si="168"/>
        <v>0</v>
      </c>
      <c r="BV344" s="1155">
        <f t="shared" si="168"/>
        <v>0</v>
      </c>
      <c r="BW344" s="1155">
        <f t="shared" si="168"/>
        <v>0</v>
      </c>
      <c r="BX344" s="1162">
        <f t="shared" si="168"/>
        <v>0</v>
      </c>
      <c r="BY344" s="1162">
        <f t="shared" si="168"/>
        <v>0</v>
      </c>
      <c r="BZ344" s="1162">
        <f t="shared" si="168"/>
        <v>0</v>
      </c>
      <c r="CA344" s="1162">
        <f t="shared" si="168"/>
        <v>0</v>
      </c>
      <c r="CB344" s="1162">
        <f t="shared" si="168"/>
        <v>0</v>
      </c>
      <c r="CC344" s="1162">
        <f t="shared" si="168"/>
        <v>0</v>
      </c>
      <c r="CD344" s="1162">
        <f t="shared" si="168"/>
        <v>0</v>
      </c>
      <c r="CE344" s="1162">
        <f t="shared" si="168"/>
        <v>0</v>
      </c>
      <c r="CF344" s="1162">
        <f t="shared" si="168"/>
        <v>0</v>
      </c>
      <c r="CG344" s="1162">
        <f t="shared" si="168"/>
        <v>0</v>
      </c>
      <c r="CH344" s="1162">
        <f t="shared" si="168"/>
        <v>0</v>
      </c>
      <c r="CI344" s="1162">
        <f t="shared" si="168"/>
        <v>0</v>
      </c>
      <c r="CJ344" s="1162">
        <f t="shared" si="168"/>
        <v>0</v>
      </c>
      <c r="CK344" s="1162">
        <f t="shared" si="168"/>
        <v>0</v>
      </c>
      <c r="CL344" s="1162">
        <f t="shared" ref="CL344:EN348" si="169">IF(OR($R278=0,$S278=0),0,IF($S278=CL$343,$R278,0))</f>
        <v>0</v>
      </c>
      <c r="CM344" s="1162">
        <f t="shared" si="169"/>
        <v>0</v>
      </c>
      <c r="CN344" s="1162">
        <f t="shared" si="169"/>
        <v>0</v>
      </c>
      <c r="CO344" s="1162">
        <f t="shared" si="169"/>
        <v>0</v>
      </c>
      <c r="CP344" s="1162">
        <f t="shared" si="169"/>
        <v>0</v>
      </c>
      <c r="CQ344" s="48">
        <f t="shared" si="169"/>
        <v>0</v>
      </c>
      <c r="CR344" s="48">
        <f t="shared" si="169"/>
        <v>0</v>
      </c>
      <c r="CS344" s="48">
        <f t="shared" si="169"/>
        <v>0</v>
      </c>
      <c r="CT344" s="48">
        <f t="shared" si="169"/>
        <v>0</v>
      </c>
      <c r="CU344" s="48">
        <f t="shared" si="169"/>
        <v>0</v>
      </c>
      <c r="CV344" s="48">
        <f t="shared" si="169"/>
        <v>0</v>
      </c>
      <c r="CW344" s="48">
        <f t="shared" si="169"/>
        <v>0</v>
      </c>
      <c r="CX344" s="48">
        <f t="shared" si="169"/>
        <v>0</v>
      </c>
      <c r="CY344" s="48">
        <f t="shared" si="169"/>
        <v>0</v>
      </c>
      <c r="CZ344" s="48">
        <f t="shared" si="169"/>
        <v>0</v>
      </c>
      <c r="DA344" s="48">
        <f t="shared" si="169"/>
        <v>0</v>
      </c>
      <c r="DB344" s="48">
        <f t="shared" si="169"/>
        <v>0</v>
      </c>
      <c r="DC344" s="48">
        <f t="shared" si="169"/>
        <v>0</v>
      </c>
      <c r="DD344" s="48">
        <f t="shared" si="169"/>
        <v>0</v>
      </c>
      <c r="DE344" s="48">
        <f t="shared" si="169"/>
        <v>0</v>
      </c>
      <c r="DF344" s="48">
        <f t="shared" si="169"/>
        <v>0</v>
      </c>
      <c r="DG344" s="48">
        <f t="shared" si="169"/>
        <v>0</v>
      </c>
      <c r="DH344" s="48">
        <f t="shared" si="169"/>
        <v>0</v>
      </c>
      <c r="DI344" s="48">
        <f t="shared" si="169"/>
        <v>0</v>
      </c>
      <c r="DJ344" s="48">
        <f t="shared" si="169"/>
        <v>0</v>
      </c>
      <c r="DK344" s="48">
        <f t="shared" si="169"/>
        <v>0</v>
      </c>
      <c r="DL344" s="48">
        <f t="shared" si="169"/>
        <v>0</v>
      </c>
      <c r="DM344" s="48">
        <f t="shared" si="169"/>
        <v>0</v>
      </c>
      <c r="DN344" s="48">
        <f t="shared" si="169"/>
        <v>0</v>
      </c>
      <c r="DO344" s="48">
        <f t="shared" si="169"/>
        <v>0</v>
      </c>
      <c r="DP344" s="48">
        <f t="shared" si="169"/>
        <v>0</v>
      </c>
      <c r="DQ344" s="48">
        <f t="shared" si="169"/>
        <v>0</v>
      </c>
      <c r="DR344" s="50">
        <f t="shared" si="169"/>
        <v>0</v>
      </c>
      <c r="DS344" s="50">
        <f t="shared" si="169"/>
        <v>0</v>
      </c>
      <c r="DT344" s="50">
        <f t="shared" si="169"/>
        <v>0</v>
      </c>
      <c r="DU344" s="50">
        <f t="shared" si="169"/>
        <v>0</v>
      </c>
      <c r="DV344" s="50">
        <f t="shared" si="169"/>
        <v>0</v>
      </c>
      <c r="DW344" s="50">
        <f t="shared" si="169"/>
        <v>0</v>
      </c>
      <c r="DX344" s="50">
        <f t="shared" si="169"/>
        <v>0</v>
      </c>
      <c r="DY344" s="50">
        <f t="shared" si="169"/>
        <v>0</v>
      </c>
      <c r="DZ344" s="50">
        <f t="shared" si="169"/>
        <v>0</v>
      </c>
      <c r="EA344" s="50">
        <f t="shared" si="169"/>
        <v>0</v>
      </c>
      <c r="EB344" s="50">
        <f t="shared" si="169"/>
        <v>0</v>
      </c>
      <c r="EC344" s="50">
        <f t="shared" si="169"/>
        <v>0</v>
      </c>
      <c r="ED344" s="50">
        <f t="shared" si="169"/>
        <v>0</v>
      </c>
      <c r="EE344" s="50">
        <f t="shared" si="169"/>
        <v>0</v>
      </c>
      <c r="EF344" s="50">
        <f t="shared" si="169"/>
        <v>0</v>
      </c>
      <c r="EG344" s="50">
        <f t="shared" si="169"/>
        <v>0</v>
      </c>
      <c r="EH344" s="50">
        <f t="shared" si="169"/>
        <v>0</v>
      </c>
      <c r="EI344" s="50">
        <f t="shared" si="169"/>
        <v>0</v>
      </c>
      <c r="EJ344" s="50">
        <f t="shared" si="169"/>
        <v>0</v>
      </c>
      <c r="EK344" s="50">
        <f t="shared" si="169"/>
        <v>0</v>
      </c>
      <c r="EL344" s="50">
        <f t="shared" si="169"/>
        <v>0</v>
      </c>
      <c r="EM344" s="50">
        <f t="shared" si="169"/>
        <v>0</v>
      </c>
      <c r="EN344" s="50">
        <f t="shared" si="169"/>
        <v>0</v>
      </c>
      <c r="EO344" s="39">
        <v>51</v>
      </c>
      <c r="EP344" s="39">
        <v>51</v>
      </c>
      <c r="EQ344" s="39">
        <v>51</v>
      </c>
      <c r="ER344" s="39">
        <v>51</v>
      </c>
      <c r="ES344" s="39">
        <v>51</v>
      </c>
      <c r="ET344" s="39">
        <v>51</v>
      </c>
      <c r="EU344" s="39">
        <v>51</v>
      </c>
      <c r="EV344" s="39">
        <v>51</v>
      </c>
      <c r="EW344" s="39">
        <v>51</v>
      </c>
      <c r="EX344" s="39">
        <v>51</v>
      </c>
    </row>
    <row r="345" spans="1:154" ht="12" customHeight="1" x14ac:dyDescent="0.35">
      <c r="G345" s="1300"/>
      <c r="H345" s="1301"/>
      <c r="I345" s="1300"/>
      <c r="J345" s="1300"/>
      <c r="K345" s="1668"/>
      <c r="L345" s="1668"/>
      <c r="M345" s="1668"/>
      <c r="N345" s="1668"/>
      <c r="O345" s="1668"/>
      <c r="P345" s="1668"/>
      <c r="Q345" s="1671"/>
      <c r="R345" s="1671"/>
      <c r="S345" s="1671"/>
      <c r="T345" s="1668"/>
      <c r="U345" s="1672"/>
      <c r="V345" s="1597"/>
      <c r="W345" s="1597"/>
      <c r="X345" s="381">
        <f t="shared" si="167"/>
        <v>0</v>
      </c>
      <c r="Y345" s="1645">
        <f t="shared" ref="Y345:AN363" si="170">IF(OR($R279=0,$S279=0),0,IF($S279=Y$343,$R279,0))</f>
        <v>0</v>
      </c>
      <c r="Z345" s="1646">
        <f t="shared" si="170"/>
        <v>0</v>
      </c>
      <c r="AA345" s="1646">
        <f t="shared" si="170"/>
        <v>0</v>
      </c>
      <c r="AB345" s="1646">
        <f t="shared" si="170"/>
        <v>0</v>
      </c>
      <c r="AC345" s="1646">
        <f t="shared" si="170"/>
        <v>0</v>
      </c>
      <c r="AD345" s="1646">
        <f t="shared" si="170"/>
        <v>0</v>
      </c>
      <c r="AE345" s="1646">
        <f t="shared" si="170"/>
        <v>0</v>
      </c>
      <c r="AF345" s="1155">
        <f t="shared" si="170"/>
        <v>0</v>
      </c>
      <c r="AG345" s="1155">
        <f t="shared" si="170"/>
        <v>0</v>
      </c>
      <c r="AH345" s="1155">
        <f t="shared" si="170"/>
        <v>0</v>
      </c>
      <c r="AI345" s="1155">
        <f t="shared" si="170"/>
        <v>0</v>
      </c>
      <c r="AJ345" s="1155">
        <f t="shared" si="170"/>
        <v>0</v>
      </c>
      <c r="AK345" s="1155">
        <f t="shared" si="170"/>
        <v>0</v>
      </c>
      <c r="AL345" s="1155">
        <f t="shared" si="170"/>
        <v>0</v>
      </c>
      <c r="AM345" s="1155">
        <f t="shared" si="170"/>
        <v>0</v>
      </c>
      <c r="AN345" s="1155">
        <f t="shared" si="170"/>
        <v>0</v>
      </c>
      <c r="AO345" s="1155">
        <f t="shared" si="168"/>
        <v>0</v>
      </c>
      <c r="AP345" s="1155">
        <f t="shared" si="168"/>
        <v>0</v>
      </c>
      <c r="AQ345" s="1155">
        <f t="shared" si="168"/>
        <v>0</v>
      </c>
      <c r="AR345" s="1155">
        <f t="shared" si="168"/>
        <v>0</v>
      </c>
      <c r="AS345" s="1155">
        <f t="shared" si="168"/>
        <v>0</v>
      </c>
      <c r="AT345" s="1155">
        <f t="shared" si="168"/>
        <v>0</v>
      </c>
      <c r="AU345" s="1155">
        <f t="shared" si="168"/>
        <v>0</v>
      </c>
      <c r="AV345" s="1155">
        <f t="shared" si="168"/>
        <v>0</v>
      </c>
      <c r="AW345" s="1155">
        <f t="shared" si="168"/>
        <v>0</v>
      </c>
      <c r="AX345" s="1155">
        <f t="shared" si="168"/>
        <v>0</v>
      </c>
      <c r="AY345" s="1155">
        <f t="shared" si="168"/>
        <v>0</v>
      </c>
      <c r="AZ345" s="1155">
        <f t="shared" si="168"/>
        <v>0</v>
      </c>
      <c r="BA345" s="1155">
        <f t="shared" si="168"/>
        <v>0</v>
      </c>
      <c r="BB345" s="1155">
        <f t="shared" si="168"/>
        <v>0</v>
      </c>
      <c r="BC345" s="1155">
        <f t="shared" si="168"/>
        <v>0</v>
      </c>
      <c r="BD345" s="1155">
        <f t="shared" si="168"/>
        <v>0</v>
      </c>
      <c r="BE345" s="1155">
        <f t="shared" si="168"/>
        <v>0</v>
      </c>
      <c r="BF345" s="1155">
        <f t="shared" si="168"/>
        <v>0</v>
      </c>
      <c r="BG345" s="1155">
        <f t="shared" si="168"/>
        <v>0</v>
      </c>
      <c r="BH345" s="1155">
        <f t="shared" si="168"/>
        <v>0</v>
      </c>
      <c r="BI345" s="1155">
        <f t="shared" si="168"/>
        <v>0</v>
      </c>
      <c r="BJ345" s="1155">
        <f t="shared" si="168"/>
        <v>0</v>
      </c>
      <c r="BK345" s="1155">
        <f t="shared" si="168"/>
        <v>0</v>
      </c>
      <c r="BL345" s="1155">
        <f t="shared" si="168"/>
        <v>0</v>
      </c>
      <c r="BM345" s="1155">
        <f t="shared" si="168"/>
        <v>0</v>
      </c>
      <c r="BN345" s="1155">
        <f t="shared" si="168"/>
        <v>0</v>
      </c>
      <c r="BO345" s="1155">
        <f t="shared" si="168"/>
        <v>0</v>
      </c>
      <c r="BP345" s="1155">
        <f t="shared" si="168"/>
        <v>0</v>
      </c>
      <c r="BQ345" s="1155">
        <f t="shared" si="168"/>
        <v>0</v>
      </c>
      <c r="BR345" s="1155">
        <f t="shared" si="168"/>
        <v>0</v>
      </c>
      <c r="BS345" s="1155">
        <f t="shared" si="168"/>
        <v>0</v>
      </c>
      <c r="BT345" s="1155">
        <f t="shared" si="168"/>
        <v>0</v>
      </c>
      <c r="BU345" s="1155">
        <f t="shared" si="168"/>
        <v>0</v>
      </c>
      <c r="BV345" s="1155">
        <f t="shared" si="168"/>
        <v>0</v>
      </c>
      <c r="BW345" s="1155">
        <f t="shared" si="168"/>
        <v>0</v>
      </c>
      <c r="BX345" s="1162">
        <f t="shared" si="168"/>
        <v>0</v>
      </c>
      <c r="BY345" s="1162">
        <f t="shared" si="168"/>
        <v>0</v>
      </c>
      <c r="BZ345" s="1162">
        <f t="shared" si="168"/>
        <v>0</v>
      </c>
      <c r="CA345" s="1162">
        <f t="shared" si="168"/>
        <v>0</v>
      </c>
      <c r="CB345" s="1162">
        <f t="shared" si="168"/>
        <v>0</v>
      </c>
      <c r="CC345" s="1162">
        <f t="shared" si="168"/>
        <v>0</v>
      </c>
      <c r="CD345" s="1162">
        <f t="shared" si="168"/>
        <v>0</v>
      </c>
      <c r="CE345" s="1162">
        <f t="shared" si="168"/>
        <v>0</v>
      </c>
      <c r="CF345" s="1162">
        <f t="shared" si="168"/>
        <v>0</v>
      </c>
      <c r="CG345" s="1162">
        <f t="shared" si="168"/>
        <v>0</v>
      </c>
      <c r="CH345" s="1162">
        <f t="shared" si="168"/>
        <v>0</v>
      </c>
      <c r="CI345" s="1162">
        <f t="shared" si="168"/>
        <v>0</v>
      </c>
      <c r="CJ345" s="1162">
        <f t="shared" si="168"/>
        <v>0</v>
      </c>
      <c r="CK345" s="1162">
        <f t="shared" si="168"/>
        <v>0</v>
      </c>
      <c r="CL345" s="1162">
        <f t="shared" si="169"/>
        <v>0</v>
      </c>
      <c r="CM345" s="1162">
        <f t="shared" si="169"/>
        <v>0</v>
      </c>
      <c r="CN345" s="1162">
        <f t="shared" si="169"/>
        <v>0</v>
      </c>
      <c r="CO345" s="1162">
        <f t="shared" si="169"/>
        <v>0</v>
      </c>
      <c r="CP345" s="1162">
        <f t="shared" si="169"/>
        <v>0</v>
      </c>
      <c r="CQ345" s="48">
        <f t="shared" si="169"/>
        <v>0</v>
      </c>
      <c r="CR345" s="48">
        <f t="shared" si="169"/>
        <v>0</v>
      </c>
      <c r="CS345" s="48">
        <f t="shared" si="169"/>
        <v>0</v>
      </c>
      <c r="CT345" s="48">
        <f t="shared" si="169"/>
        <v>0</v>
      </c>
      <c r="CU345" s="48">
        <f t="shared" si="169"/>
        <v>0</v>
      </c>
      <c r="CV345" s="48">
        <f t="shared" si="169"/>
        <v>0</v>
      </c>
      <c r="CW345" s="48">
        <f t="shared" si="169"/>
        <v>0</v>
      </c>
      <c r="CX345" s="48">
        <f t="shared" si="169"/>
        <v>0</v>
      </c>
      <c r="CY345" s="48">
        <f t="shared" si="169"/>
        <v>0</v>
      </c>
      <c r="CZ345" s="48">
        <f t="shared" si="169"/>
        <v>0</v>
      </c>
      <c r="DA345" s="48">
        <f t="shared" si="169"/>
        <v>0</v>
      </c>
      <c r="DB345" s="48">
        <f t="shared" si="169"/>
        <v>0</v>
      </c>
      <c r="DC345" s="48">
        <f t="shared" si="169"/>
        <v>0</v>
      </c>
      <c r="DD345" s="48">
        <f t="shared" si="169"/>
        <v>0</v>
      </c>
      <c r="DE345" s="48">
        <f t="shared" si="169"/>
        <v>0</v>
      </c>
      <c r="DF345" s="48">
        <f t="shared" si="169"/>
        <v>0</v>
      </c>
      <c r="DG345" s="48">
        <f t="shared" si="169"/>
        <v>0</v>
      </c>
      <c r="DH345" s="48">
        <f t="shared" si="169"/>
        <v>0</v>
      </c>
      <c r="DI345" s="48">
        <f t="shared" si="169"/>
        <v>0</v>
      </c>
      <c r="DJ345" s="48">
        <f t="shared" si="169"/>
        <v>0</v>
      </c>
      <c r="DK345" s="48">
        <f t="shared" si="169"/>
        <v>0</v>
      </c>
      <c r="DL345" s="48">
        <f t="shared" si="169"/>
        <v>0</v>
      </c>
      <c r="DM345" s="48">
        <f t="shared" si="169"/>
        <v>0</v>
      </c>
      <c r="DN345" s="48">
        <f t="shared" si="169"/>
        <v>0</v>
      </c>
      <c r="DO345" s="48">
        <f t="shared" si="169"/>
        <v>0</v>
      </c>
      <c r="DP345" s="48">
        <f t="shared" si="169"/>
        <v>0</v>
      </c>
      <c r="DQ345" s="48">
        <f t="shared" si="169"/>
        <v>0</v>
      </c>
      <c r="DR345" s="50">
        <f t="shared" si="169"/>
        <v>0</v>
      </c>
      <c r="DS345" s="50">
        <f t="shared" si="169"/>
        <v>0</v>
      </c>
      <c r="DT345" s="50">
        <f t="shared" si="169"/>
        <v>0</v>
      </c>
      <c r="DU345" s="50">
        <f t="shared" si="169"/>
        <v>0</v>
      </c>
      <c r="DV345" s="50">
        <f t="shared" si="169"/>
        <v>0</v>
      </c>
      <c r="DW345" s="50">
        <f t="shared" si="169"/>
        <v>0</v>
      </c>
      <c r="DX345" s="50">
        <f t="shared" si="169"/>
        <v>0</v>
      </c>
      <c r="DY345" s="50">
        <f t="shared" si="169"/>
        <v>0</v>
      </c>
      <c r="DZ345" s="50">
        <f t="shared" si="169"/>
        <v>0</v>
      </c>
      <c r="EA345" s="50">
        <f t="shared" si="169"/>
        <v>0</v>
      </c>
      <c r="EB345" s="50">
        <f t="shared" si="169"/>
        <v>0</v>
      </c>
      <c r="EC345" s="50">
        <f t="shared" si="169"/>
        <v>0</v>
      </c>
      <c r="ED345" s="50">
        <f t="shared" si="169"/>
        <v>0</v>
      </c>
      <c r="EE345" s="50">
        <f t="shared" si="169"/>
        <v>0</v>
      </c>
      <c r="EF345" s="50">
        <f t="shared" si="169"/>
        <v>0</v>
      </c>
      <c r="EG345" s="50">
        <f t="shared" si="169"/>
        <v>0</v>
      </c>
      <c r="EH345" s="50">
        <f t="shared" si="169"/>
        <v>0</v>
      </c>
      <c r="EI345" s="50">
        <f t="shared" si="169"/>
        <v>0</v>
      </c>
      <c r="EJ345" s="50">
        <f t="shared" si="169"/>
        <v>0</v>
      </c>
      <c r="EK345" s="50">
        <f t="shared" si="169"/>
        <v>0</v>
      </c>
      <c r="EL345" s="50">
        <f t="shared" si="169"/>
        <v>0</v>
      </c>
      <c r="EM345" s="50">
        <f t="shared" si="169"/>
        <v>0</v>
      </c>
      <c r="EN345" s="50">
        <f t="shared" si="169"/>
        <v>0</v>
      </c>
      <c r="EO345" s="39">
        <v>51</v>
      </c>
      <c r="EP345" s="39">
        <v>51</v>
      </c>
      <c r="EQ345" s="39">
        <v>51</v>
      </c>
      <c r="ER345" s="39">
        <v>51</v>
      </c>
      <c r="ES345" s="39">
        <v>51</v>
      </c>
      <c r="ET345" s="39">
        <v>51</v>
      </c>
      <c r="EU345" s="39">
        <v>51</v>
      </c>
      <c r="EV345" s="39">
        <v>51</v>
      </c>
      <c r="EW345" s="39">
        <v>51</v>
      </c>
      <c r="EX345" s="39">
        <v>51</v>
      </c>
    </row>
    <row r="346" spans="1:154" ht="12" customHeight="1" x14ac:dyDescent="0.35">
      <c r="G346" s="1300"/>
      <c r="H346" s="1301"/>
      <c r="I346" s="1300"/>
      <c r="J346" s="1300"/>
      <c r="K346" s="1668"/>
      <c r="L346" s="1668"/>
      <c r="M346" s="1668"/>
      <c r="N346" s="1668"/>
      <c r="O346" s="1668"/>
      <c r="P346" s="1668"/>
      <c r="Q346" s="1671"/>
      <c r="R346" s="1671"/>
      <c r="S346" s="1671"/>
      <c r="T346" s="1668"/>
      <c r="U346" s="1672"/>
      <c r="V346" s="1597"/>
      <c r="W346" s="1597"/>
      <c r="X346" s="381">
        <f t="shared" si="167"/>
        <v>0</v>
      </c>
      <c r="Y346" s="1645">
        <f t="shared" si="170"/>
        <v>0</v>
      </c>
      <c r="Z346" s="1646">
        <f t="shared" ref="Z346:CK349" si="171">IF(OR($R280=0,$S280=0),0,IF($S280=Z$343,$R280,0))</f>
        <v>0</v>
      </c>
      <c r="AA346" s="1646">
        <f t="shared" si="171"/>
        <v>0</v>
      </c>
      <c r="AB346" s="1646">
        <f t="shared" si="171"/>
        <v>0</v>
      </c>
      <c r="AC346" s="1646">
        <f t="shared" si="171"/>
        <v>0</v>
      </c>
      <c r="AD346" s="1646">
        <f t="shared" si="171"/>
        <v>0</v>
      </c>
      <c r="AE346" s="1646">
        <f t="shared" si="171"/>
        <v>0</v>
      </c>
      <c r="AF346" s="1155">
        <f t="shared" si="171"/>
        <v>0</v>
      </c>
      <c r="AG346" s="1155">
        <f t="shared" si="171"/>
        <v>0</v>
      </c>
      <c r="AH346" s="1155">
        <f t="shared" si="171"/>
        <v>0</v>
      </c>
      <c r="AI346" s="1155">
        <f t="shared" si="171"/>
        <v>0</v>
      </c>
      <c r="AJ346" s="1155">
        <f t="shared" si="171"/>
        <v>0</v>
      </c>
      <c r="AK346" s="1155">
        <f t="shared" si="171"/>
        <v>0</v>
      </c>
      <c r="AL346" s="1155">
        <f t="shared" si="171"/>
        <v>0</v>
      </c>
      <c r="AM346" s="1155">
        <f t="shared" si="171"/>
        <v>0</v>
      </c>
      <c r="AN346" s="1155">
        <f t="shared" si="171"/>
        <v>0</v>
      </c>
      <c r="AO346" s="1155">
        <f t="shared" si="171"/>
        <v>0</v>
      </c>
      <c r="AP346" s="1155">
        <f t="shared" si="171"/>
        <v>0</v>
      </c>
      <c r="AQ346" s="1155">
        <f t="shared" si="171"/>
        <v>0</v>
      </c>
      <c r="AR346" s="1155">
        <f t="shared" si="171"/>
        <v>0</v>
      </c>
      <c r="AS346" s="1155">
        <f t="shared" si="171"/>
        <v>0</v>
      </c>
      <c r="AT346" s="1155">
        <f t="shared" si="171"/>
        <v>0</v>
      </c>
      <c r="AU346" s="1155">
        <f t="shared" si="171"/>
        <v>0</v>
      </c>
      <c r="AV346" s="1155">
        <f t="shared" si="171"/>
        <v>0</v>
      </c>
      <c r="AW346" s="1155">
        <f t="shared" si="171"/>
        <v>0</v>
      </c>
      <c r="AX346" s="1155">
        <f t="shared" si="171"/>
        <v>0</v>
      </c>
      <c r="AY346" s="1155">
        <f t="shared" si="171"/>
        <v>0</v>
      </c>
      <c r="AZ346" s="1155">
        <f t="shared" si="171"/>
        <v>0</v>
      </c>
      <c r="BA346" s="1155">
        <f t="shared" si="171"/>
        <v>0</v>
      </c>
      <c r="BB346" s="1155">
        <f t="shared" si="171"/>
        <v>0</v>
      </c>
      <c r="BC346" s="1155">
        <f t="shared" si="171"/>
        <v>0</v>
      </c>
      <c r="BD346" s="1155">
        <f t="shared" si="171"/>
        <v>0</v>
      </c>
      <c r="BE346" s="1155">
        <f t="shared" si="171"/>
        <v>0</v>
      </c>
      <c r="BF346" s="1155">
        <f t="shared" si="171"/>
        <v>0</v>
      </c>
      <c r="BG346" s="1155">
        <f t="shared" si="171"/>
        <v>0</v>
      </c>
      <c r="BH346" s="1155">
        <f t="shared" si="171"/>
        <v>0</v>
      </c>
      <c r="BI346" s="1155">
        <f t="shared" si="171"/>
        <v>0</v>
      </c>
      <c r="BJ346" s="1155">
        <f t="shared" si="171"/>
        <v>0</v>
      </c>
      <c r="BK346" s="1155">
        <f t="shared" si="171"/>
        <v>0</v>
      </c>
      <c r="BL346" s="1155">
        <f t="shared" si="171"/>
        <v>0</v>
      </c>
      <c r="BM346" s="1155">
        <f t="shared" si="171"/>
        <v>0</v>
      </c>
      <c r="BN346" s="1155">
        <f t="shared" si="171"/>
        <v>0</v>
      </c>
      <c r="BO346" s="1155">
        <f t="shared" si="171"/>
        <v>0</v>
      </c>
      <c r="BP346" s="1155">
        <f t="shared" si="171"/>
        <v>0</v>
      </c>
      <c r="BQ346" s="1155">
        <f t="shared" si="171"/>
        <v>0</v>
      </c>
      <c r="BR346" s="1155">
        <f t="shared" si="171"/>
        <v>0</v>
      </c>
      <c r="BS346" s="1155">
        <f t="shared" si="171"/>
        <v>0</v>
      </c>
      <c r="BT346" s="1155">
        <f t="shared" si="171"/>
        <v>0</v>
      </c>
      <c r="BU346" s="1155">
        <f t="shared" si="171"/>
        <v>0</v>
      </c>
      <c r="BV346" s="1155">
        <f t="shared" si="171"/>
        <v>0</v>
      </c>
      <c r="BW346" s="1155">
        <f t="shared" si="171"/>
        <v>0</v>
      </c>
      <c r="BX346" s="1162">
        <f t="shared" si="171"/>
        <v>0</v>
      </c>
      <c r="BY346" s="1162">
        <f t="shared" si="171"/>
        <v>0</v>
      </c>
      <c r="BZ346" s="1162">
        <f t="shared" si="171"/>
        <v>0</v>
      </c>
      <c r="CA346" s="1162">
        <f t="shared" si="171"/>
        <v>0</v>
      </c>
      <c r="CB346" s="1162">
        <f t="shared" si="171"/>
        <v>0</v>
      </c>
      <c r="CC346" s="1162">
        <f t="shared" si="171"/>
        <v>0</v>
      </c>
      <c r="CD346" s="1162">
        <f t="shared" si="171"/>
        <v>0</v>
      </c>
      <c r="CE346" s="1162">
        <f t="shared" si="171"/>
        <v>0</v>
      </c>
      <c r="CF346" s="1162">
        <f t="shared" si="171"/>
        <v>0</v>
      </c>
      <c r="CG346" s="1162">
        <f t="shared" si="171"/>
        <v>0</v>
      </c>
      <c r="CH346" s="1162">
        <f t="shared" si="171"/>
        <v>0</v>
      </c>
      <c r="CI346" s="1162">
        <f t="shared" si="171"/>
        <v>0</v>
      </c>
      <c r="CJ346" s="1162">
        <f t="shared" si="171"/>
        <v>0</v>
      </c>
      <c r="CK346" s="1162">
        <f t="shared" si="171"/>
        <v>0</v>
      </c>
      <c r="CL346" s="1162">
        <f t="shared" si="169"/>
        <v>0</v>
      </c>
      <c r="CM346" s="1162">
        <f t="shared" si="169"/>
        <v>0</v>
      </c>
      <c r="CN346" s="1162">
        <f t="shared" si="169"/>
        <v>0</v>
      </c>
      <c r="CO346" s="1162">
        <f t="shared" si="169"/>
        <v>0</v>
      </c>
      <c r="CP346" s="1162">
        <f t="shared" si="169"/>
        <v>0</v>
      </c>
      <c r="CQ346" s="48">
        <f t="shared" si="169"/>
        <v>0</v>
      </c>
      <c r="CR346" s="48">
        <f t="shared" si="169"/>
        <v>0</v>
      </c>
      <c r="CS346" s="48">
        <f t="shared" si="169"/>
        <v>0</v>
      </c>
      <c r="CT346" s="48">
        <f t="shared" si="169"/>
        <v>0</v>
      </c>
      <c r="CU346" s="48">
        <f t="shared" si="169"/>
        <v>0</v>
      </c>
      <c r="CV346" s="48">
        <f t="shared" si="169"/>
        <v>0</v>
      </c>
      <c r="CW346" s="48">
        <f t="shared" si="169"/>
        <v>0</v>
      </c>
      <c r="CX346" s="48">
        <f t="shared" si="169"/>
        <v>0</v>
      </c>
      <c r="CY346" s="48">
        <f t="shared" si="169"/>
        <v>0</v>
      </c>
      <c r="CZ346" s="48">
        <f t="shared" si="169"/>
        <v>0</v>
      </c>
      <c r="DA346" s="48">
        <f t="shared" si="169"/>
        <v>0</v>
      </c>
      <c r="DB346" s="48">
        <f t="shared" si="169"/>
        <v>0</v>
      </c>
      <c r="DC346" s="48">
        <f t="shared" si="169"/>
        <v>0</v>
      </c>
      <c r="DD346" s="48">
        <f t="shared" si="169"/>
        <v>0</v>
      </c>
      <c r="DE346" s="48">
        <f t="shared" si="169"/>
        <v>0</v>
      </c>
      <c r="DF346" s="48">
        <f t="shared" si="169"/>
        <v>0</v>
      </c>
      <c r="DG346" s="48">
        <f t="shared" si="169"/>
        <v>0</v>
      </c>
      <c r="DH346" s="48">
        <f t="shared" si="169"/>
        <v>0</v>
      </c>
      <c r="DI346" s="48">
        <f t="shared" si="169"/>
        <v>0</v>
      </c>
      <c r="DJ346" s="48">
        <f t="shared" si="169"/>
        <v>0</v>
      </c>
      <c r="DK346" s="48">
        <f t="shared" si="169"/>
        <v>0</v>
      </c>
      <c r="DL346" s="48">
        <f t="shared" si="169"/>
        <v>0</v>
      </c>
      <c r="DM346" s="48">
        <f t="shared" si="169"/>
        <v>0</v>
      </c>
      <c r="DN346" s="48">
        <f t="shared" si="169"/>
        <v>0</v>
      </c>
      <c r="DO346" s="48">
        <f t="shared" si="169"/>
        <v>0</v>
      </c>
      <c r="DP346" s="48">
        <f t="shared" si="169"/>
        <v>0</v>
      </c>
      <c r="DQ346" s="48">
        <f t="shared" si="169"/>
        <v>0</v>
      </c>
      <c r="DR346" s="50">
        <f t="shared" si="169"/>
        <v>0</v>
      </c>
      <c r="DS346" s="50">
        <f t="shared" si="169"/>
        <v>0</v>
      </c>
      <c r="DT346" s="50">
        <f t="shared" si="169"/>
        <v>0</v>
      </c>
      <c r="DU346" s="50">
        <f t="shared" si="169"/>
        <v>0</v>
      </c>
      <c r="DV346" s="50">
        <f t="shared" si="169"/>
        <v>0</v>
      </c>
      <c r="DW346" s="50">
        <f t="shared" si="169"/>
        <v>0</v>
      </c>
      <c r="DX346" s="50">
        <f t="shared" si="169"/>
        <v>0</v>
      </c>
      <c r="DY346" s="50">
        <f t="shared" si="169"/>
        <v>0</v>
      </c>
      <c r="DZ346" s="50">
        <f t="shared" si="169"/>
        <v>0</v>
      </c>
      <c r="EA346" s="50">
        <f t="shared" si="169"/>
        <v>0</v>
      </c>
      <c r="EB346" s="50">
        <f t="shared" si="169"/>
        <v>0</v>
      </c>
      <c r="EC346" s="50">
        <f t="shared" si="169"/>
        <v>0</v>
      </c>
      <c r="ED346" s="50">
        <f t="shared" si="169"/>
        <v>0</v>
      </c>
      <c r="EE346" s="50">
        <f t="shared" si="169"/>
        <v>0</v>
      </c>
      <c r="EF346" s="50">
        <f t="shared" si="169"/>
        <v>0</v>
      </c>
      <c r="EG346" s="50">
        <f t="shared" si="169"/>
        <v>0</v>
      </c>
      <c r="EH346" s="50">
        <f t="shared" si="169"/>
        <v>0</v>
      </c>
      <c r="EI346" s="50">
        <f t="shared" si="169"/>
        <v>0</v>
      </c>
      <c r="EJ346" s="50">
        <f t="shared" si="169"/>
        <v>0</v>
      </c>
      <c r="EK346" s="50">
        <f t="shared" si="169"/>
        <v>0</v>
      </c>
      <c r="EL346" s="50">
        <f t="shared" si="169"/>
        <v>0</v>
      </c>
      <c r="EM346" s="50">
        <f t="shared" si="169"/>
        <v>0</v>
      </c>
      <c r="EN346" s="50">
        <f t="shared" si="169"/>
        <v>0</v>
      </c>
      <c r="EO346" s="39">
        <v>51</v>
      </c>
      <c r="EP346" s="39">
        <v>51</v>
      </c>
      <c r="EQ346" s="39">
        <v>51</v>
      </c>
      <c r="ER346" s="39">
        <v>51</v>
      </c>
      <c r="ES346" s="39">
        <v>51</v>
      </c>
      <c r="ET346" s="39">
        <v>51</v>
      </c>
      <c r="EU346" s="39">
        <v>51</v>
      </c>
      <c r="EV346" s="39">
        <v>51</v>
      </c>
      <c r="EW346" s="39">
        <v>51</v>
      </c>
      <c r="EX346" s="39">
        <v>51</v>
      </c>
    </row>
    <row r="347" spans="1:154" ht="12" customHeight="1" x14ac:dyDescent="0.35">
      <c r="G347" s="1300"/>
      <c r="H347" s="1301"/>
      <c r="I347" s="1300"/>
      <c r="J347" s="1300"/>
      <c r="K347" s="1668"/>
      <c r="L347" s="1668"/>
      <c r="M347" s="1668"/>
      <c r="N347" s="1668"/>
      <c r="O347" s="1668"/>
      <c r="P347" s="1668"/>
      <c r="Q347" s="1671"/>
      <c r="R347" s="1671"/>
      <c r="S347" s="1671"/>
      <c r="T347" s="1668"/>
      <c r="U347" s="1672"/>
      <c r="V347" s="1597"/>
      <c r="W347" s="1597"/>
      <c r="X347" s="381">
        <f t="shared" si="167"/>
        <v>0</v>
      </c>
      <c r="Y347" s="1645">
        <f t="shared" si="170"/>
        <v>0</v>
      </c>
      <c r="Z347" s="1646">
        <f t="shared" si="171"/>
        <v>0</v>
      </c>
      <c r="AA347" s="1646">
        <f t="shared" si="171"/>
        <v>0</v>
      </c>
      <c r="AB347" s="1646">
        <f t="shared" si="171"/>
        <v>0</v>
      </c>
      <c r="AC347" s="1646">
        <f t="shared" si="171"/>
        <v>0</v>
      </c>
      <c r="AD347" s="1646">
        <f t="shared" si="171"/>
        <v>0</v>
      </c>
      <c r="AE347" s="1646">
        <f t="shared" si="171"/>
        <v>0</v>
      </c>
      <c r="AF347" s="1155">
        <f t="shared" si="171"/>
        <v>0</v>
      </c>
      <c r="AG347" s="1155">
        <f t="shared" si="171"/>
        <v>0</v>
      </c>
      <c r="AH347" s="1155">
        <f t="shared" si="171"/>
        <v>0</v>
      </c>
      <c r="AI347" s="1155">
        <f t="shared" si="171"/>
        <v>0</v>
      </c>
      <c r="AJ347" s="1155">
        <f t="shared" si="171"/>
        <v>0</v>
      </c>
      <c r="AK347" s="1155">
        <f t="shared" si="171"/>
        <v>0</v>
      </c>
      <c r="AL347" s="1155">
        <f t="shared" si="171"/>
        <v>0</v>
      </c>
      <c r="AM347" s="1155">
        <f t="shared" si="171"/>
        <v>0</v>
      </c>
      <c r="AN347" s="1155">
        <f t="shared" si="171"/>
        <v>0</v>
      </c>
      <c r="AO347" s="1155">
        <f t="shared" si="171"/>
        <v>0</v>
      </c>
      <c r="AP347" s="1155">
        <f t="shared" si="171"/>
        <v>0</v>
      </c>
      <c r="AQ347" s="1155">
        <f t="shared" si="171"/>
        <v>0</v>
      </c>
      <c r="AR347" s="1155">
        <f t="shared" si="171"/>
        <v>0</v>
      </c>
      <c r="AS347" s="1155">
        <f t="shared" si="171"/>
        <v>0</v>
      </c>
      <c r="AT347" s="1155">
        <f t="shared" si="171"/>
        <v>0</v>
      </c>
      <c r="AU347" s="1155">
        <f t="shared" si="171"/>
        <v>0</v>
      </c>
      <c r="AV347" s="1155">
        <f t="shared" si="171"/>
        <v>0</v>
      </c>
      <c r="AW347" s="1155">
        <f t="shared" si="171"/>
        <v>0</v>
      </c>
      <c r="AX347" s="1155">
        <f t="shared" si="171"/>
        <v>0</v>
      </c>
      <c r="AY347" s="1155">
        <f t="shared" si="171"/>
        <v>0</v>
      </c>
      <c r="AZ347" s="1155">
        <f t="shared" si="171"/>
        <v>0</v>
      </c>
      <c r="BA347" s="1155">
        <f t="shared" si="171"/>
        <v>0</v>
      </c>
      <c r="BB347" s="1155">
        <f t="shared" si="171"/>
        <v>0</v>
      </c>
      <c r="BC347" s="1155">
        <f t="shared" si="171"/>
        <v>0</v>
      </c>
      <c r="BD347" s="1155">
        <f t="shared" si="171"/>
        <v>0</v>
      </c>
      <c r="BE347" s="1155">
        <f t="shared" si="171"/>
        <v>0</v>
      </c>
      <c r="BF347" s="1155">
        <f t="shared" si="171"/>
        <v>0</v>
      </c>
      <c r="BG347" s="1155">
        <f t="shared" si="171"/>
        <v>0</v>
      </c>
      <c r="BH347" s="1155">
        <f t="shared" si="171"/>
        <v>0</v>
      </c>
      <c r="BI347" s="1155">
        <f t="shared" si="171"/>
        <v>0</v>
      </c>
      <c r="BJ347" s="1155">
        <f t="shared" si="171"/>
        <v>0</v>
      </c>
      <c r="BK347" s="1155">
        <f t="shared" si="171"/>
        <v>0</v>
      </c>
      <c r="BL347" s="1155">
        <f t="shared" si="171"/>
        <v>0</v>
      </c>
      <c r="BM347" s="1155">
        <f t="shared" si="171"/>
        <v>0</v>
      </c>
      <c r="BN347" s="1155">
        <f t="shared" si="171"/>
        <v>0</v>
      </c>
      <c r="BO347" s="1155">
        <f t="shared" si="171"/>
        <v>0</v>
      </c>
      <c r="BP347" s="1155">
        <f t="shared" si="171"/>
        <v>0</v>
      </c>
      <c r="BQ347" s="1155">
        <f t="shared" si="171"/>
        <v>0</v>
      </c>
      <c r="BR347" s="1155">
        <f t="shared" si="171"/>
        <v>0</v>
      </c>
      <c r="BS347" s="1155">
        <f t="shared" si="171"/>
        <v>0</v>
      </c>
      <c r="BT347" s="1155">
        <f t="shared" si="171"/>
        <v>0</v>
      </c>
      <c r="BU347" s="1155">
        <f t="shared" si="171"/>
        <v>0</v>
      </c>
      <c r="BV347" s="1155">
        <f t="shared" si="171"/>
        <v>0</v>
      </c>
      <c r="BW347" s="1155">
        <f t="shared" si="171"/>
        <v>0</v>
      </c>
      <c r="BX347" s="1162">
        <f t="shared" si="171"/>
        <v>0</v>
      </c>
      <c r="BY347" s="1162">
        <f t="shared" si="171"/>
        <v>0</v>
      </c>
      <c r="BZ347" s="1162">
        <f t="shared" si="171"/>
        <v>0</v>
      </c>
      <c r="CA347" s="1162">
        <f t="shared" si="171"/>
        <v>0</v>
      </c>
      <c r="CB347" s="1162">
        <f t="shared" si="171"/>
        <v>0</v>
      </c>
      <c r="CC347" s="1162">
        <f t="shared" si="171"/>
        <v>0</v>
      </c>
      <c r="CD347" s="1162">
        <f t="shared" si="171"/>
        <v>0</v>
      </c>
      <c r="CE347" s="1162">
        <f t="shared" si="171"/>
        <v>0</v>
      </c>
      <c r="CF347" s="1162">
        <f t="shared" si="171"/>
        <v>0</v>
      </c>
      <c r="CG347" s="1162">
        <f t="shared" si="171"/>
        <v>0</v>
      </c>
      <c r="CH347" s="1162">
        <f t="shared" si="171"/>
        <v>0</v>
      </c>
      <c r="CI347" s="1162">
        <f t="shared" si="171"/>
        <v>0</v>
      </c>
      <c r="CJ347" s="1162">
        <f t="shared" si="171"/>
        <v>0</v>
      </c>
      <c r="CK347" s="1162">
        <f t="shared" si="171"/>
        <v>0</v>
      </c>
      <c r="CL347" s="1162">
        <f t="shared" si="169"/>
        <v>0</v>
      </c>
      <c r="CM347" s="1162">
        <f t="shared" si="169"/>
        <v>0</v>
      </c>
      <c r="CN347" s="1162">
        <f t="shared" si="169"/>
        <v>0</v>
      </c>
      <c r="CO347" s="1162">
        <f t="shared" si="169"/>
        <v>0</v>
      </c>
      <c r="CP347" s="1162">
        <f t="shared" si="169"/>
        <v>0</v>
      </c>
      <c r="CQ347" s="48">
        <f t="shared" si="169"/>
        <v>0</v>
      </c>
      <c r="CR347" s="48">
        <f t="shared" si="169"/>
        <v>0</v>
      </c>
      <c r="CS347" s="48">
        <f t="shared" si="169"/>
        <v>0</v>
      </c>
      <c r="CT347" s="48">
        <f t="shared" si="169"/>
        <v>0</v>
      </c>
      <c r="CU347" s="48">
        <f t="shared" si="169"/>
        <v>0</v>
      </c>
      <c r="CV347" s="48">
        <f t="shared" si="169"/>
        <v>0</v>
      </c>
      <c r="CW347" s="48">
        <f t="shared" si="169"/>
        <v>0</v>
      </c>
      <c r="CX347" s="48">
        <f t="shared" si="169"/>
        <v>0</v>
      </c>
      <c r="CY347" s="48">
        <f t="shared" si="169"/>
        <v>0</v>
      </c>
      <c r="CZ347" s="48">
        <f t="shared" si="169"/>
        <v>0</v>
      </c>
      <c r="DA347" s="48">
        <f t="shared" si="169"/>
        <v>0</v>
      </c>
      <c r="DB347" s="48">
        <f t="shared" si="169"/>
        <v>0</v>
      </c>
      <c r="DC347" s="48">
        <f t="shared" si="169"/>
        <v>0</v>
      </c>
      <c r="DD347" s="48">
        <f t="shared" si="169"/>
        <v>0</v>
      </c>
      <c r="DE347" s="48">
        <f t="shared" si="169"/>
        <v>0</v>
      </c>
      <c r="DF347" s="48">
        <f t="shared" si="169"/>
        <v>0</v>
      </c>
      <c r="DG347" s="48">
        <f t="shared" si="169"/>
        <v>0</v>
      </c>
      <c r="DH347" s="48">
        <f t="shared" si="169"/>
        <v>0</v>
      </c>
      <c r="DI347" s="48">
        <f t="shared" si="169"/>
        <v>0</v>
      </c>
      <c r="DJ347" s="48">
        <f t="shared" si="169"/>
        <v>0</v>
      </c>
      <c r="DK347" s="48">
        <f t="shared" si="169"/>
        <v>0</v>
      </c>
      <c r="DL347" s="48">
        <f t="shared" si="169"/>
        <v>0</v>
      </c>
      <c r="DM347" s="48">
        <f t="shared" si="169"/>
        <v>0</v>
      </c>
      <c r="DN347" s="48">
        <f t="shared" si="169"/>
        <v>0</v>
      </c>
      <c r="DO347" s="48">
        <f t="shared" si="169"/>
        <v>0</v>
      </c>
      <c r="DP347" s="48">
        <f t="shared" si="169"/>
        <v>0</v>
      </c>
      <c r="DQ347" s="48">
        <f t="shared" si="169"/>
        <v>0</v>
      </c>
      <c r="DR347" s="50">
        <f t="shared" si="169"/>
        <v>0</v>
      </c>
      <c r="DS347" s="50">
        <f t="shared" si="169"/>
        <v>0</v>
      </c>
      <c r="DT347" s="50">
        <f t="shared" si="169"/>
        <v>0</v>
      </c>
      <c r="DU347" s="50">
        <f t="shared" si="169"/>
        <v>0</v>
      </c>
      <c r="DV347" s="50">
        <f t="shared" si="169"/>
        <v>0</v>
      </c>
      <c r="DW347" s="50">
        <f t="shared" si="169"/>
        <v>0</v>
      </c>
      <c r="DX347" s="50">
        <f t="shared" si="169"/>
        <v>0</v>
      </c>
      <c r="DY347" s="50">
        <f t="shared" si="169"/>
        <v>0</v>
      </c>
      <c r="DZ347" s="50">
        <f t="shared" si="169"/>
        <v>0</v>
      </c>
      <c r="EA347" s="50">
        <f t="shared" si="169"/>
        <v>0</v>
      </c>
      <c r="EB347" s="50">
        <f t="shared" si="169"/>
        <v>0</v>
      </c>
      <c r="EC347" s="50">
        <f t="shared" si="169"/>
        <v>0</v>
      </c>
      <c r="ED347" s="50">
        <f t="shared" si="169"/>
        <v>0</v>
      </c>
      <c r="EE347" s="50">
        <f t="shared" si="169"/>
        <v>0</v>
      </c>
      <c r="EF347" s="50">
        <f t="shared" si="169"/>
        <v>0</v>
      </c>
      <c r="EG347" s="50">
        <f t="shared" si="169"/>
        <v>0</v>
      </c>
      <c r="EH347" s="50">
        <f t="shared" si="169"/>
        <v>0</v>
      </c>
      <c r="EI347" s="50">
        <f t="shared" si="169"/>
        <v>0</v>
      </c>
      <c r="EJ347" s="50">
        <f t="shared" si="169"/>
        <v>0</v>
      </c>
      <c r="EK347" s="50">
        <f t="shared" si="169"/>
        <v>0</v>
      </c>
      <c r="EL347" s="50">
        <f t="shared" si="169"/>
        <v>0</v>
      </c>
      <c r="EM347" s="50">
        <f t="shared" si="169"/>
        <v>0</v>
      </c>
      <c r="EN347" s="50">
        <f t="shared" si="169"/>
        <v>0</v>
      </c>
      <c r="EO347" s="39">
        <v>51</v>
      </c>
      <c r="EP347" s="39">
        <v>51</v>
      </c>
      <c r="EQ347" s="39">
        <v>51</v>
      </c>
      <c r="ER347" s="39">
        <v>51</v>
      </c>
      <c r="ES347" s="39">
        <v>51</v>
      </c>
      <c r="ET347" s="39">
        <v>51</v>
      </c>
      <c r="EU347" s="39">
        <v>51</v>
      </c>
      <c r="EV347" s="39">
        <v>51</v>
      </c>
      <c r="EW347" s="39">
        <v>51</v>
      </c>
      <c r="EX347" s="39">
        <v>51</v>
      </c>
    </row>
    <row r="348" spans="1:154" ht="12" customHeight="1" x14ac:dyDescent="0.35">
      <c r="G348" s="1300"/>
      <c r="H348" s="1301"/>
      <c r="I348" s="1300"/>
      <c r="J348" s="1300"/>
      <c r="K348" s="1668"/>
      <c r="L348" s="1668"/>
      <c r="M348" s="1668"/>
      <c r="N348" s="1668"/>
      <c r="O348" s="1668"/>
      <c r="P348" s="1668"/>
      <c r="Q348" s="1671"/>
      <c r="R348" s="1671"/>
      <c r="S348" s="1671"/>
      <c r="T348" s="1668"/>
      <c r="U348" s="1672"/>
      <c r="V348" s="1597"/>
      <c r="W348" s="1597"/>
      <c r="X348" s="381">
        <f t="shared" si="167"/>
        <v>0</v>
      </c>
      <c r="Y348" s="1645">
        <f t="shared" si="170"/>
        <v>0</v>
      </c>
      <c r="Z348" s="1646">
        <f t="shared" si="171"/>
        <v>0</v>
      </c>
      <c r="AA348" s="1646">
        <f t="shared" si="171"/>
        <v>0</v>
      </c>
      <c r="AB348" s="1646">
        <f t="shared" si="171"/>
        <v>0</v>
      </c>
      <c r="AC348" s="1646">
        <f t="shared" si="171"/>
        <v>0</v>
      </c>
      <c r="AD348" s="1646">
        <f t="shared" si="171"/>
        <v>0</v>
      </c>
      <c r="AE348" s="1646">
        <f t="shared" si="171"/>
        <v>0</v>
      </c>
      <c r="AF348" s="1155">
        <f t="shared" si="171"/>
        <v>0</v>
      </c>
      <c r="AG348" s="1155">
        <f t="shared" si="171"/>
        <v>0</v>
      </c>
      <c r="AH348" s="1155">
        <f t="shared" si="171"/>
        <v>0</v>
      </c>
      <c r="AI348" s="1155">
        <f t="shared" si="171"/>
        <v>0</v>
      </c>
      <c r="AJ348" s="1155">
        <f t="shared" si="171"/>
        <v>0</v>
      </c>
      <c r="AK348" s="1155">
        <f t="shared" si="171"/>
        <v>0</v>
      </c>
      <c r="AL348" s="1155">
        <f t="shared" si="171"/>
        <v>0</v>
      </c>
      <c r="AM348" s="1155">
        <f t="shared" si="171"/>
        <v>0</v>
      </c>
      <c r="AN348" s="1155">
        <f t="shared" si="171"/>
        <v>0</v>
      </c>
      <c r="AO348" s="1155">
        <f t="shared" si="171"/>
        <v>0</v>
      </c>
      <c r="AP348" s="1155">
        <f t="shared" si="171"/>
        <v>0</v>
      </c>
      <c r="AQ348" s="1155">
        <f t="shared" si="171"/>
        <v>0</v>
      </c>
      <c r="AR348" s="1155">
        <f t="shared" si="171"/>
        <v>0</v>
      </c>
      <c r="AS348" s="1155">
        <f t="shared" si="171"/>
        <v>0</v>
      </c>
      <c r="AT348" s="1155">
        <f t="shared" si="171"/>
        <v>0</v>
      </c>
      <c r="AU348" s="1155">
        <f t="shared" si="171"/>
        <v>0</v>
      </c>
      <c r="AV348" s="1155">
        <f t="shared" si="171"/>
        <v>0</v>
      </c>
      <c r="AW348" s="1155">
        <f t="shared" si="171"/>
        <v>0</v>
      </c>
      <c r="AX348" s="1155">
        <f t="shared" si="171"/>
        <v>0</v>
      </c>
      <c r="AY348" s="1155">
        <f t="shared" si="171"/>
        <v>0</v>
      </c>
      <c r="AZ348" s="1155">
        <f t="shared" si="171"/>
        <v>0</v>
      </c>
      <c r="BA348" s="1155">
        <f t="shared" si="171"/>
        <v>0</v>
      </c>
      <c r="BB348" s="1155">
        <f t="shared" si="171"/>
        <v>0</v>
      </c>
      <c r="BC348" s="1155">
        <f t="shared" si="171"/>
        <v>0</v>
      </c>
      <c r="BD348" s="1155">
        <f t="shared" si="171"/>
        <v>0</v>
      </c>
      <c r="BE348" s="1155">
        <f t="shared" si="171"/>
        <v>0</v>
      </c>
      <c r="BF348" s="1155">
        <f t="shared" si="171"/>
        <v>0</v>
      </c>
      <c r="BG348" s="1155">
        <f t="shared" si="171"/>
        <v>0</v>
      </c>
      <c r="BH348" s="1155">
        <f t="shared" si="171"/>
        <v>0</v>
      </c>
      <c r="BI348" s="1155">
        <f t="shared" si="171"/>
        <v>0</v>
      </c>
      <c r="BJ348" s="1155">
        <f t="shared" si="171"/>
        <v>0</v>
      </c>
      <c r="BK348" s="1155">
        <f t="shared" si="171"/>
        <v>0</v>
      </c>
      <c r="BL348" s="1155">
        <f t="shared" si="171"/>
        <v>0</v>
      </c>
      <c r="BM348" s="1155">
        <f t="shared" si="171"/>
        <v>0</v>
      </c>
      <c r="BN348" s="1155">
        <f t="shared" si="171"/>
        <v>0</v>
      </c>
      <c r="BO348" s="1155">
        <f t="shared" si="171"/>
        <v>0</v>
      </c>
      <c r="BP348" s="1155">
        <f t="shared" si="171"/>
        <v>0</v>
      </c>
      <c r="BQ348" s="1155">
        <f t="shared" si="171"/>
        <v>0</v>
      </c>
      <c r="BR348" s="1155">
        <f t="shared" si="171"/>
        <v>0</v>
      </c>
      <c r="BS348" s="1155">
        <f t="shared" si="171"/>
        <v>0</v>
      </c>
      <c r="BT348" s="1155">
        <f t="shared" si="171"/>
        <v>0</v>
      </c>
      <c r="BU348" s="1155">
        <f t="shared" si="171"/>
        <v>0</v>
      </c>
      <c r="BV348" s="1155">
        <f t="shared" si="171"/>
        <v>0</v>
      </c>
      <c r="BW348" s="1155">
        <f t="shared" si="171"/>
        <v>0</v>
      </c>
      <c r="BX348" s="1162">
        <f t="shared" si="171"/>
        <v>0</v>
      </c>
      <c r="BY348" s="1162">
        <f t="shared" si="171"/>
        <v>0</v>
      </c>
      <c r="BZ348" s="1162">
        <f t="shared" si="171"/>
        <v>0</v>
      </c>
      <c r="CA348" s="1162">
        <f t="shared" si="171"/>
        <v>0</v>
      </c>
      <c r="CB348" s="1162">
        <f t="shared" si="171"/>
        <v>0</v>
      </c>
      <c r="CC348" s="1162">
        <f t="shared" si="171"/>
        <v>0</v>
      </c>
      <c r="CD348" s="1162">
        <f t="shared" si="171"/>
        <v>0</v>
      </c>
      <c r="CE348" s="1162">
        <f t="shared" si="171"/>
        <v>0</v>
      </c>
      <c r="CF348" s="1162">
        <f t="shared" si="171"/>
        <v>0</v>
      </c>
      <c r="CG348" s="1162">
        <f t="shared" si="171"/>
        <v>0</v>
      </c>
      <c r="CH348" s="1162">
        <f t="shared" si="171"/>
        <v>0</v>
      </c>
      <c r="CI348" s="1162">
        <f t="shared" si="171"/>
        <v>0</v>
      </c>
      <c r="CJ348" s="1162">
        <f t="shared" si="171"/>
        <v>0</v>
      </c>
      <c r="CK348" s="1162">
        <f t="shared" si="171"/>
        <v>0</v>
      </c>
      <c r="CL348" s="1162">
        <f t="shared" si="169"/>
        <v>0</v>
      </c>
      <c r="CM348" s="1162">
        <f t="shared" si="169"/>
        <v>0</v>
      </c>
      <c r="CN348" s="1162">
        <f t="shared" si="169"/>
        <v>0</v>
      </c>
      <c r="CO348" s="1162">
        <f t="shared" si="169"/>
        <v>0</v>
      </c>
      <c r="CP348" s="1162">
        <f t="shared" si="169"/>
        <v>0</v>
      </c>
      <c r="CQ348" s="48">
        <f t="shared" si="169"/>
        <v>0</v>
      </c>
      <c r="CR348" s="48">
        <f t="shared" si="169"/>
        <v>0</v>
      </c>
      <c r="CS348" s="48">
        <f t="shared" si="169"/>
        <v>0</v>
      </c>
      <c r="CT348" s="48">
        <f t="shared" si="169"/>
        <v>0</v>
      </c>
      <c r="CU348" s="48">
        <f t="shared" si="169"/>
        <v>0</v>
      </c>
      <c r="CV348" s="48">
        <f t="shared" si="169"/>
        <v>0</v>
      </c>
      <c r="CW348" s="48">
        <f t="shared" si="169"/>
        <v>0</v>
      </c>
      <c r="CX348" s="48">
        <f t="shared" si="169"/>
        <v>0</v>
      </c>
      <c r="CY348" s="48">
        <f t="shared" si="169"/>
        <v>0</v>
      </c>
      <c r="CZ348" s="48">
        <f t="shared" si="169"/>
        <v>0</v>
      </c>
      <c r="DA348" s="48">
        <f t="shared" si="169"/>
        <v>0</v>
      </c>
      <c r="DB348" s="48">
        <f t="shared" si="169"/>
        <v>0</v>
      </c>
      <c r="DC348" s="48">
        <f t="shared" si="169"/>
        <v>0</v>
      </c>
      <c r="DD348" s="48">
        <f t="shared" si="169"/>
        <v>0</v>
      </c>
      <c r="DE348" s="48">
        <f t="shared" si="169"/>
        <v>0</v>
      </c>
      <c r="DF348" s="48">
        <f t="shared" si="169"/>
        <v>0</v>
      </c>
      <c r="DG348" s="48">
        <f t="shared" si="169"/>
        <v>0</v>
      </c>
      <c r="DH348" s="48">
        <f t="shared" si="169"/>
        <v>0</v>
      </c>
      <c r="DI348" s="48">
        <f t="shared" si="169"/>
        <v>0</v>
      </c>
      <c r="DJ348" s="48">
        <f t="shared" si="169"/>
        <v>0</v>
      </c>
      <c r="DK348" s="48">
        <f t="shared" si="169"/>
        <v>0</v>
      </c>
      <c r="DL348" s="48">
        <f t="shared" si="169"/>
        <v>0</v>
      </c>
      <c r="DM348" s="48">
        <f t="shared" si="169"/>
        <v>0</v>
      </c>
      <c r="DN348" s="48">
        <f t="shared" si="169"/>
        <v>0</v>
      </c>
      <c r="DO348" s="48">
        <f t="shared" si="169"/>
        <v>0</v>
      </c>
      <c r="DP348" s="48">
        <f t="shared" si="169"/>
        <v>0</v>
      </c>
      <c r="DQ348" s="48">
        <f t="shared" si="169"/>
        <v>0</v>
      </c>
      <c r="DR348" s="50">
        <f t="shared" si="169"/>
        <v>0</v>
      </c>
      <c r="DS348" s="50">
        <f t="shared" si="169"/>
        <v>0</v>
      </c>
      <c r="DT348" s="50">
        <f t="shared" si="169"/>
        <v>0</v>
      </c>
      <c r="DU348" s="50">
        <f t="shared" ref="DU348:EN348" si="172">IF(OR($R282=0,$S282=0),0,IF($S282=DU$343,$R282,0))</f>
        <v>0</v>
      </c>
      <c r="DV348" s="50">
        <f t="shared" si="172"/>
        <v>0</v>
      </c>
      <c r="DW348" s="50">
        <f t="shared" si="172"/>
        <v>0</v>
      </c>
      <c r="DX348" s="50">
        <f t="shared" si="172"/>
        <v>0</v>
      </c>
      <c r="DY348" s="50">
        <f t="shared" si="172"/>
        <v>0</v>
      </c>
      <c r="DZ348" s="50">
        <f t="shared" si="172"/>
        <v>0</v>
      </c>
      <c r="EA348" s="50">
        <f t="shared" si="172"/>
        <v>0</v>
      </c>
      <c r="EB348" s="50">
        <f t="shared" si="172"/>
        <v>0</v>
      </c>
      <c r="EC348" s="50">
        <f t="shared" si="172"/>
        <v>0</v>
      </c>
      <c r="ED348" s="50">
        <f t="shared" si="172"/>
        <v>0</v>
      </c>
      <c r="EE348" s="50">
        <f t="shared" si="172"/>
        <v>0</v>
      </c>
      <c r="EF348" s="50">
        <f t="shared" si="172"/>
        <v>0</v>
      </c>
      <c r="EG348" s="50">
        <f t="shared" si="172"/>
        <v>0</v>
      </c>
      <c r="EH348" s="50">
        <f t="shared" si="172"/>
        <v>0</v>
      </c>
      <c r="EI348" s="50">
        <f t="shared" si="172"/>
        <v>0</v>
      </c>
      <c r="EJ348" s="50">
        <f t="shared" si="172"/>
        <v>0</v>
      </c>
      <c r="EK348" s="50">
        <f t="shared" si="172"/>
        <v>0</v>
      </c>
      <c r="EL348" s="50">
        <f t="shared" si="172"/>
        <v>0</v>
      </c>
      <c r="EM348" s="50">
        <f t="shared" si="172"/>
        <v>0</v>
      </c>
      <c r="EN348" s="50">
        <f t="shared" si="172"/>
        <v>0</v>
      </c>
      <c r="EO348" s="39">
        <v>51</v>
      </c>
      <c r="EP348" s="39">
        <v>51</v>
      </c>
      <c r="EQ348" s="39">
        <v>51</v>
      </c>
      <c r="ER348" s="39">
        <v>51</v>
      </c>
      <c r="ES348" s="39">
        <v>51</v>
      </c>
      <c r="ET348" s="39">
        <v>51</v>
      </c>
      <c r="EU348" s="39">
        <v>51</v>
      </c>
      <c r="EV348" s="39">
        <v>51</v>
      </c>
      <c r="EW348" s="39">
        <v>51</v>
      </c>
      <c r="EX348" s="39">
        <v>51</v>
      </c>
    </row>
    <row r="349" spans="1:154" ht="12" customHeight="1" x14ac:dyDescent="0.35">
      <c r="G349" s="1300"/>
      <c r="H349" s="1301"/>
      <c r="I349" s="1300"/>
      <c r="J349" s="1300"/>
      <c r="K349" s="1668"/>
      <c r="L349" s="1668"/>
      <c r="M349" s="1668"/>
      <c r="N349" s="1668"/>
      <c r="O349" s="1668"/>
      <c r="P349" s="1668"/>
      <c r="Q349" s="1671"/>
      <c r="R349" s="1671"/>
      <c r="S349" s="1671"/>
      <c r="T349" s="1668"/>
      <c r="U349" s="1672"/>
      <c r="V349" s="1597"/>
      <c r="W349" s="1597"/>
      <c r="X349" s="381">
        <f t="shared" si="167"/>
        <v>0</v>
      </c>
      <c r="Y349" s="1645">
        <f t="shared" si="170"/>
        <v>0</v>
      </c>
      <c r="Z349" s="1646">
        <f t="shared" si="171"/>
        <v>0</v>
      </c>
      <c r="AA349" s="1646">
        <f t="shared" si="171"/>
        <v>0</v>
      </c>
      <c r="AB349" s="1646">
        <f t="shared" si="171"/>
        <v>0</v>
      </c>
      <c r="AC349" s="1646">
        <f t="shared" si="171"/>
        <v>0</v>
      </c>
      <c r="AD349" s="1646">
        <f t="shared" si="171"/>
        <v>0</v>
      </c>
      <c r="AE349" s="1646">
        <f t="shared" si="171"/>
        <v>0</v>
      </c>
      <c r="AF349" s="1155">
        <f t="shared" si="171"/>
        <v>0</v>
      </c>
      <c r="AG349" s="1155">
        <f t="shared" si="171"/>
        <v>0</v>
      </c>
      <c r="AH349" s="1155">
        <f t="shared" si="171"/>
        <v>0</v>
      </c>
      <c r="AI349" s="1155">
        <f t="shared" si="171"/>
        <v>0</v>
      </c>
      <c r="AJ349" s="1155">
        <f t="shared" si="171"/>
        <v>0</v>
      </c>
      <c r="AK349" s="1155">
        <f t="shared" si="171"/>
        <v>0</v>
      </c>
      <c r="AL349" s="1155">
        <f t="shared" si="171"/>
        <v>0</v>
      </c>
      <c r="AM349" s="1155">
        <f t="shared" si="171"/>
        <v>0</v>
      </c>
      <c r="AN349" s="1155">
        <f t="shared" si="171"/>
        <v>0</v>
      </c>
      <c r="AO349" s="1155">
        <f t="shared" si="171"/>
        <v>0</v>
      </c>
      <c r="AP349" s="1155">
        <f t="shared" si="171"/>
        <v>0</v>
      </c>
      <c r="AQ349" s="1155">
        <f t="shared" si="171"/>
        <v>0</v>
      </c>
      <c r="AR349" s="1155">
        <f t="shared" si="171"/>
        <v>0</v>
      </c>
      <c r="AS349" s="1155">
        <f t="shared" si="171"/>
        <v>0</v>
      </c>
      <c r="AT349" s="1155">
        <f t="shared" si="171"/>
        <v>0</v>
      </c>
      <c r="AU349" s="1155">
        <f t="shared" si="171"/>
        <v>0</v>
      </c>
      <c r="AV349" s="1155">
        <f t="shared" si="171"/>
        <v>0</v>
      </c>
      <c r="AW349" s="1155">
        <f t="shared" si="171"/>
        <v>0</v>
      </c>
      <c r="AX349" s="1155">
        <f t="shared" si="171"/>
        <v>0</v>
      </c>
      <c r="AY349" s="1155">
        <f t="shared" si="171"/>
        <v>0</v>
      </c>
      <c r="AZ349" s="1155">
        <f t="shared" si="171"/>
        <v>0</v>
      </c>
      <c r="BA349" s="1155">
        <f t="shared" si="171"/>
        <v>0</v>
      </c>
      <c r="BB349" s="1155">
        <f t="shared" si="171"/>
        <v>0</v>
      </c>
      <c r="BC349" s="1155">
        <f t="shared" si="171"/>
        <v>0</v>
      </c>
      <c r="BD349" s="1155">
        <f t="shared" si="171"/>
        <v>0</v>
      </c>
      <c r="BE349" s="1155">
        <f t="shared" si="171"/>
        <v>0</v>
      </c>
      <c r="BF349" s="1155">
        <f t="shared" si="171"/>
        <v>0</v>
      </c>
      <c r="BG349" s="1155">
        <f t="shared" si="171"/>
        <v>0</v>
      </c>
      <c r="BH349" s="1155">
        <f t="shared" si="171"/>
        <v>0</v>
      </c>
      <c r="BI349" s="1155">
        <f t="shared" si="171"/>
        <v>0</v>
      </c>
      <c r="BJ349" s="1155">
        <f t="shared" si="171"/>
        <v>0</v>
      </c>
      <c r="BK349" s="1155">
        <f t="shared" si="171"/>
        <v>0</v>
      </c>
      <c r="BL349" s="1155">
        <f t="shared" si="171"/>
        <v>0</v>
      </c>
      <c r="BM349" s="1155">
        <f t="shared" si="171"/>
        <v>0</v>
      </c>
      <c r="BN349" s="1155">
        <f t="shared" si="171"/>
        <v>0</v>
      </c>
      <c r="BO349" s="1155">
        <f t="shared" si="171"/>
        <v>0</v>
      </c>
      <c r="BP349" s="1155">
        <f t="shared" si="171"/>
        <v>0</v>
      </c>
      <c r="BQ349" s="1155">
        <f t="shared" si="171"/>
        <v>0</v>
      </c>
      <c r="BR349" s="1155">
        <f t="shared" si="171"/>
        <v>0</v>
      </c>
      <c r="BS349" s="1155">
        <f t="shared" si="171"/>
        <v>0</v>
      </c>
      <c r="BT349" s="1155">
        <f t="shared" si="171"/>
        <v>0</v>
      </c>
      <c r="BU349" s="1155">
        <f t="shared" si="171"/>
        <v>0</v>
      </c>
      <c r="BV349" s="1155">
        <f t="shared" si="171"/>
        <v>0</v>
      </c>
      <c r="BW349" s="1155">
        <f t="shared" si="171"/>
        <v>0</v>
      </c>
      <c r="BX349" s="1162">
        <f t="shared" si="171"/>
        <v>0</v>
      </c>
      <c r="BY349" s="1162">
        <f t="shared" si="171"/>
        <v>0</v>
      </c>
      <c r="BZ349" s="1162">
        <f t="shared" si="171"/>
        <v>0</v>
      </c>
      <c r="CA349" s="1162">
        <f t="shared" si="171"/>
        <v>0</v>
      </c>
      <c r="CB349" s="1162">
        <f t="shared" si="171"/>
        <v>0</v>
      </c>
      <c r="CC349" s="1162">
        <f t="shared" si="171"/>
        <v>0</v>
      </c>
      <c r="CD349" s="1162">
        <f t="shared" si="171"/>
        <v>0</v>
      </c>
      <c r="CE349" s="1162">
        <f t="shared" si="171"/>
        <v>0</v>
      </c>
      <c r="CF349" s="1162">
        <f t="shared" si="171"/>
        <v>0</v>
      </c>
      <c r="CG349" s="1162">
        <f t="shared" si="171"/>
        <v>0</v>
      </c>
      <c r="CH349" s="1162">
        <f t="shared" si="171"/>
        <v>0</v>
      </c>
      <c r="CI349" s="1162">
        <f t="shared" si="171"/>
        <v>0</v>
      </c>
      <c r="CJ349" s="1162">
        <f t="shared" si="171"/>
        <v>0</v>
      </c>
      <c r="CK349" s="1162">
        <f t="shared" ref="CK349:EN352" si="173">IF(OR($R283=0,$S283=0),0,IF($S283=CK$343,$R283,0))</f>
        <v>0</v>
      </c>
      <c r="CL349" s="1162">
        <f t="shared" si="173"/>
        <v>0</v>
      </c>
      <c r="CM349" s="1162">
        <f t="shared" si="173"/>
        <v>0</v>
      </c>
      <c r="CN349" s="1162">
        <f t="shared" si="173"/>
        <v>0</v>
      </c>
      <c r="CO349" s="1162">
        <f t="shared" si="173"/>
        <v>0</v>
      </c>
      <c r="CP349" s="1162">
        <f t="shared" si="173"/>
        <v>0</v>
      </c>
      <c r="CQ349" s="48">
        <f t="shared" si="173"/>
        <v>0</v>
      </c>
      <c r="CR349" s="48">
        <f t="shared" si="173"/>
        <v>0</v>
      </c>
      <c r="CS349" s="48">
        <f t="shared" si="173"/>
        <v>0</v>
      </c>
      <c r="CT349" s="48">
        <f t="shared" si="173"/>
        <v>0</v>
      </c>
      <c r="CU349" s="48">
        <f t="shared" si="173"/>
        <v>0</v>
      </c>
      <c r="CV349" s="48">
        <f t="shared" si="173"/>
        <v>0</v>
      </c>
      <c r="CW349" s="48">
        <f t="shared" si="173"/>
        <v>0</v>
      </c>
      <c r="CX349" s="48">
        <f t="shared" si="173"/>
        <v>0</v>
      </c>
      <c r="CY349" s="48">
        <f t="shared" si="173"/>
        <v>0</v>
      </c>
      <c r="CZ349" s="48">
        <f t="shared" si="173"/>
        <v>0</v>
      </c>
      <c r="DA349" s="48">
        <f t="shared" si="173"/>
        <v>0</v>
      </c>
      <c r="DB349" s="48">
        <f t="shared" si="173"/>
        <v>0</v>
      </c>
      <c r="DC349" s="48">
        <f t="shared" si="173"/>
        <v>0</v>
      </c>
      <c r="DD349" s="48">
        <f t="shared" si="173"/>
        <v>0</v>
      </c>
      <c r="DE349" s="48">
        <f t="shared" si="173"/>
        <v>0</v>
      </c>
      <c r="DF349" s="48">
        <f t="shared" si="173"/>
        <v>0</v>
      </c>
      <c r="DG349" s="48">
        <f t="shared" si="173"/>
        <v>0</v>
      </c>
      <c r="DH349" s="48">
        <f t="shared" si="173"/>
        <v>0</v>
      </c>
      <c r="DI349" s="48">
        <f t="shared" si="173"/>
        <v>0</v>
      </c>
      <c r="DJ349" s="48">
        <f t="shared" si="173"/>
        <v>0</v>
      </c>
      <c r="DK349" s="48">
        <f t="shared" si="173"/>
        <v>0</v>
      </c>
      <c r="DL349" s="48">
        <f t="shared" si="173"/>
        <v>0</v>
      </c>
      <c r="DM349" s="48">
        <f t="shared" si="173"/>
        <v>0</v>
      </c>
      <c r="DN349" s="48">
        <f t="shared" si="173"/>
        <v>0</v>
      </c>
      <c r="DO349" s="48">
        <f t="shared" si="173"/>
        <v>0</v>
      </c>
      <c r="DP349" s="48">
        <f t="shared" si="173"/>
        <v>0</v>
      </c>
      <c r="DQ349" s="48">
        <f t="shared" si="173"/>
        <v>0</v>
      </c>
      <c r="DR349" s="50">
        <f t="shared" si="173"/>
        <v>0</v>
      </c>
      <c r="DS349" s="50">
        <f t="shared" si="173"/>
        <v>0</v>
      </c>
      <c r="DT349" s="50">
        <f t="shared" si="173"/>
        <v>0</v>
      </c>
      <c r="DU349" s="50">
        <f t="shared" si="173"/>
        <v>0</v>
      </c>
      <c r="DV349" s="50">
        <f t="shared" si="173"/>
        <v>0</v>
      </c>
      <c r="DW349" s="50">
        <f t="shared" si="173"/>
        <v>0</v>
      </c>
      <c r="DX349" s="50">
        <f t="shared" si="173"/>
        <v>0</v>
      </c>
      <c r="DY349" s="50">
        <f t="shared" si="173"/>
        <v>0</v>
      </c>
      <c r="DZ349" s="50">
        <f t="shared" si="173"/>
        <v>0</v>
      </c>
      <c r="EA349" s="50">
        <f t="shared" si="173"/>
        <v>0</v>
      </c>
      <c r="EB349" s="50">
        <f t="shared" si="173"/>
        <v>0</v>
      </c>
      <c r="EC349" s="50">
        <f t="shared" si="173"/>
        <v>0</v>
      </c>
      <c r="ED349" s="50">
        <f t="shared" si="173"/>
        <v>0</v>
      </c>
      <c r="EE349" s="50">
        <f t="shared" si="173"/>
        <v>0</v>
      </c>
      <c r="EF349" s="50">
        <f t="shared" si="173"/>
        <v>0</v>
      </c>
      <c r="EG349" s="50">
        <f t="shared" si="173"/>
        <v>0</v>
      </c>
      <c r="EH349" s="50">
        <f t="shared" si="173"/>
        <v>0</v>
      </c>
      <c r="EI349" s="50">
        <f t="shared" si="173"/>
        <v>0</v>
      </c>
      <c r="EJ349" s="50">
        <f t="shared" si="173"/>
        <v>0</v>
      </c>
      <c r="EK349" s="50">
        <f t="shared" si="173"/>
        <v>0</v>
      </c>
      <c r="EL349" s="50">
        <f t="shared" si="173"/>
        <v>0</v>
      </c>
      <c r="EM349" s="50">
        <f t="shared" si="173"/>
        <v>0</v>
      </c>
      <c r="EN349" s="50">
        <f t="shared" si="173"/>
        <v>0</v>
      </c>
      <c r="EO349" s="39">
        <v>51</v>
      </c>
      <c r="EP349" s="39">
        <v>51</v>
      </c>
      <c r="EQ349" s="39">
        <v>51</v>
      </c>
      <c r="ER349" s="39">
        <v>51</v>
      </c>
      <c r="ES349" s="39">
        <v>51</v>
      </c>
      <c r="ET349" s="39">
        <v>51</v>
      </c>
      <c r="EU349" s="39">
        <v>51</v>
      </c>
      <c r="EV349" s="39">
        <v>51</v>
      </c>
      <c r="EW349" s="39">
        <v>51</v>
      </c>
      <c r="EX349" s="39">
        <v>51</v>
      </c>
    </row>
    <row r="350" spans="1:154" ht="12" customHeight="1" x14ac:dyDescent="0.35">
      <c r="G350" s="1300"/>
      <c r="H350" s="1301"/>
      <c r="I350" s="1300"/>
      <c r="J350" s="1300"/>
      <c r="K350" s="1668"/>
      <c r="L350" s="1668"/>
      <c r="M350" s="1668"/>
      <c r="N350" s="1668"/>
      <c r="O350" s="1668"/>
      <c r="P350" s="1668"/>
      <c r="Q350" s="1671"/>
      <c r="R350" s="1671"/>
      <c r="S350" s="1671"/>
      <c r="T350" s="1668"/>
      <c r="U350" s="1672"/>
      <c r="V350" s="1597"/>
      <c r="W350" s="1597"/>
      <c r="X350" s="381">
        <f t="shared" si="167"/>
        <v>0</v>
      </c>
      <c r="Y350" s="1645">
        <f t="shared" si="170"/>
        <v>0</v>
      </c>
      <c r="Z350" s="1646">
        <f t="shared" ref="Z350:CK353" si="174">IF(OR($R284=0,$S284=0),0,IF($S284=Z$343,$R284,0))</f>
        <v>0</v>
      </c>
      <c r="AA350" s="1646">
        <f t="shared" si="174"/>
        <v>0</v>
      </c>
      <c r="AB350" s="1646">
        <f t="shared" si="174"/>
        <v>0</v>
      </c>
      <c r="AC350" s="1646">
        <f t="shared" si="174"/>
        <v>0</v>
      </c>
      <c r="AD350" s="1646">
        <f t="shared" si="174"/>
        <v>0</v>
      </c>
      <c r="AE350" s="1646">
        <f t="shared" si="174"/>
        <v>0</v>
      </c>
      <c r="AF350" s="1155">
        <f t="shared" si="174"/>
        <v>0</v>
      </c>
      <c r="AG350" s="1155">
        <f t="shared" si="174"/>
        <v>0</v>
      </c>
      <c r="AH350" s="1155">
        <f t="shared" si="174"/>
        <v>0</v>
      </c>
      <c r="AI350" s="1155">
        <f t="shared" si="174"/>
        <v>0</v>
      </c>
      <c r="AJ350" s="1155">
        <f t="shared" si="174"/>
        <v>0</v>
      </c>
      <c r="AK350" s="1155">
        <f t="shared" si="174"/>
        <v>0</v>
      </c>
      <c r="AL350" s="1155">
        <f t="shared" si="174"/>
        <v>0</v>
      </c>
      <c r="AM350" s="1155">
        <f t="shared" si="174"/>
        <v>0</v>
      </c>
      <c r="AN350" s="1155">
        <f t="shared" si="174"/>
        <v>0</v>
      </c>
      <c r="AO350" s="1155">
        <f t="shared" si="174"/>
        <v>0</v>
      </c>
      <c r="AP350" s="1155">
        <f t="shared" si="174"/>
        <v>0</v>
      </c>
      <c r="AQ350" s="1155">
        <f t="shared" si="174"/>
        <v>0</v>
      </c>
      <c r="AR350" s="1155">
        <f t="shared" si="174"/>
        <v>0</v>
      </c>
      <c r="AS350" s="1155">
        <f t="shared" si="174"/>
        <v>0</v>
      </c>
      <c r="AT350" s="1155">
        <f t="shared" si="174"/>
        <v>0</v>
      </c>
      <c r="AU350" s="1155">
        <f t="shared" si="174"/>
        <v>0</v>
      </c>
      <c r="AV350" s="1155">
        <f t="shared" si="174"/>
        <v>0</v>
      </c>
      <c r="AW350" s="1155">
        <f t="shared" si="174"/>
        <v>0</v>
      </c>
      <c r="AX350" s="1155">
        <f t="shared" si="174"/>
        <v>0</v>
      </c>
      <c r="AY350" s="1155">
        <f t="shared" si="174"/>
        <v>0</v>
      </c>
      <c r="AZ350" s="1155">
        <f t="shared" si="174"/>
        <v>0</v>
      </c>
      <c r="BA350" s="1155">
        <f t="shared" si="174"/>
        <v>0</v>
      </c>
      <c r="BB350" s="1155">
        <f t="shared" si="174"/>
        <v>0</v>
      </c>
      <c r="BC350" s="1155">
        <f t="shared" si="174"/>
        <v>0</v>
      </c>
      <c r="BD350" s="1155">
        <f t="shared" si="174"/>
        <v>0</v>
      </c>
      <c r="BE350" s="1155">
        <f t="shared" si="174"/>
        <v>0</v>
      </c>
      <c r="BF350" s="1155">
        <f t="shared" si="174"/>
        <v>0</v>
      </c>
      <c r="BG350" s="1155">
        <f t="shared" si="174"/>
        <v>0</v>
      </c>
      <c r="BH350" s="1155">
        <f t="shared" si="174"/>
        <v>0</v>
      </c>
      <c r="BI350" s="1155">
        <f t="shared" si="174"/>
        <v>0</v>
      </c>
      <c r="BJ350" s="1155">
        <f t="shared" si="174"/>
        <v>0</v>
      </c>
      <c r="BK350" s="1155">
        <f t="shared" si="174"/>
        <v>0</v>
      </c>
      <c r="BL350" s="1155">
        <f t="shared" si="174"/>
        <v>0</v>
      </c>
      <c r="BM350" s="1155">
        <f t="shared" si="174"/>
        <v>0</v>
      </c>
      <c r="BN350" s="1155">
        <f t="shared" si="174"/>
        <v>0</v>
      </c>
      <c r="BO350" s="1155">
        <f t="shared" si="174"/>
        <v>0</v>
      </c>
      <c r="BP350" s="1155">
        <f t="shared" si="174"/>
        <v>0</v>
      </c>
      <c r="BQ350" s="1155">
        <f t="shared" si="174"/>
        <v>0</v>
      </c>
      <c r="BR350" s="1155">
        <f t="shared" si="174"/>
        <v>0</v>
      </c>
      <c r="BS350" s="1155">
        <f t="shared" si="174"/>
        <v>0</v>
      </c>
      <c r="BT350" s="1155">
        <f t="shared" si="174"/>
        <v>0</v>
      </c>
      <c r="BU350" s="1155">
        <f t="shared" si="174"/>
        <v>0</v>
      </c>
      <c r="BV350" s="1155">
        <f t="shared" si="174"/>
        <v>0</v>
      </c>
      <c r="BW350" s="1155">
        <f t="shared" si="174"/>
        <v>0</v>
      </c>
      <c r="BX350" s="1162">
        <f t="shared" si="174"/>
        <v>0</v>
      </c>
      <c r="BY350" s="1162">
        <f t="shared" si="174"/>
        <v>0</v>
      </c>
      <c r="BZ350" s="1162">
        <f t="shared" si="174"/>
        <v>0</v>
      </c>
      <c r="CA350" s="1162">
        <f t="shared" si="174"/>
        <v>0</v>
      </c>
      <c r="CB350" s="1162">
        <f t="shared" si="174"/>
        <v>0</v>
      </c>
      <c r="CC350" s="1162">
        <f t="shared" si="174"/>
        <v>0</v>
      </c>
      <c r="CD350" s="1162">
        <f t="shared" si="174"/>
        <v>0</v>
      </c>
      <c r="CE350" s="1162">
        <f t="shared" si="174"/>
        <v>0</v>
      </c>
      <c r="CF350" s="1162">
        <f t="shared" si="174"/>
        <v>0</v>
      </c>
      <c r="CG350" s="1162">
        <f t="shared" si="174"/>
        <v>0</v>
      </c>
      <c r="CH350" s="1162">
        <f t="shared" si="174"/>
        <v>0</v>
      </c>
      <c r="CI350" s="1162">
        <f t="shared" si="174"/>
        <v>0</v>
      </c>
      <c r="CJ350" s="1162">
        <f t="shared" si="174"/>
        <v>0</v>
      </c>
      <c r="CK350" s="1162">
        <f t="shared" si="174"/>
        <v>0</v>
      </c>
      <c r="CL350" s="1162">
        <f t="shared" si="173"/>
        <v>0</v>
      </c>
      <c r="CM350" s="1162">
        <f t="shared" si="173"/>
        <v>0</v>
      </c>
      <c r="CN350" s="1162">
        <f t="shared" si="173"/>
        <v>0</v>
      </c>
      <c r="CO350" s="1162">
        <f t="shared" si="173"/>
        <v>0</v>
      </c>
      <c r="CP350" s="1162">
        <f t="shared" si="173"/>
        <v>0</v>
      </c>
      <c r="CQ350" s="48">
        <f t="shared" si="173"/>
        <v>0</v>
      </c>
      <c r="CR350" s="48">
        <f t="shared" si="173"/>
        <v>0</v>
      </c>
      <c r="CS350" s="48">
        <f t="shared" si="173"/>
        <v>0</v>
      </c>
      <c r="CT350" s="48">
        <f t="shared" si="173"/>
        <v>0</v>
      </c>
      <c r="CU350" s="48">
        <f t="shared" si="173"/>
        <v>0</v>
      </c>
      <c r="CV350" s="48">
        <f t="shared" si="173"/>
        <v>0</v>
      </c>
      <c r="CW350" s="48">
        <f t="shared" si="173"/>
        <v>0</v>
      </c>
      <c r="CX350" s="48">
        <f t="shared" si="173"/>
        <v>0</v>
      </c>
      <c r="CY350" s="48">
        <f t="shared" si="173"/>
        <v>0</v>
      </c>
      <c r="CZ350" s="48">
        <f t="shared" si="173"/>
        <v>0</v>
      </c>
      <c r="DA350" s="48">
        <f t="shared" si="173"/>
        <v>0</v>
      </c>
      <c r="DB350" s="48">
        <f t="shared" si="173"/>
        <v>0</v>
      </c>
      <c r="DC350" s="48">
        <f t="shared" si="173"/>
        <v>0</v>
      </c>
      <c r="DD350" s="48">
        <f t="shared" si="173"/>
        <v>0</v>
      </c>
      <c r="DE350" s="48">
        <f t="shared" si="173"/>
        <v>0</v>
      </c>
      <c r="DF350" s="48">
        <f t="shared" si="173"/>
        <v>0</v>
      </c>
      <c r="DG350" s="48">
        <f t="shared" si="173"/>
        <v>0</v>
      </c>
      <c r="DH350" s="48">
        <f t="shared" si="173"/>
        <v>0</v>
      </c>
      <c r="DI350" s="48">
        <f t="shared" si="173"/>
        <v>0</v>
      </c>
      <c r="DJ350" s="48">
        <f t="shared" si="173"/>
        <v>0</v>
      </c>
      <c r="DK350" s="48">
        <f t="shared" si="173"/>
        <v>0</v>
      </c>
      <c r="DL350" s="48">
        <f t="shared" si="173"/>
        <v>0</v>
      </c>
      <c r="DM350" s="48">
        <f t="shared" si="173"/>
        <v>0</v>
      </c>
      <c r="DN350" s="48">
        <f t="shared" si="173"/>
        <v>0</v>
      </c>
      <c r="DO350" s="48">
        <f t="shared" si="173"/>
        <v>0</v>
      </c>
      <c r="DP350" s="48">
        <f t="shared" si="173"/>
        <v>0</v>
      </c>
      <c r="DQ350" s="48">
        <f t="shared" si="173"/>
        <v>0</v>
      </c>
      <c r="DR350" s="50">
        <f t="shared" si="173"/>
        <v>0</v>
      </c>
      <c r="DS350" s="50">
        <f t="shared" si="173"/>
        <v>0</v>
      </c>
      <c r="DT350" s="50">
        <f t="shared" si="173"/>
        <v>0</v>
      </c>
      <c r="DU350" s="50">
        <f t="shared" si="173"/>
        <v>0</v>
      </c>
      <c r="DV350" s="50">
        <f t="shared" si="173"/>
        <v>0</v>
      </c>
      <c r="DW350" s="50">
        <f t="shared" si="173"/>
        <v>0</v>
      </c>
      <c r="DX350" s="50">
        <f t="shared" si="173"/>
        <v>0</v>
      </c>
      <c r="DY350" s="50">
        <f t="shared" si="173"/>
        <v>0</v>
      </c>
      <c r="DZ350" s="50">
        <f t="shared" si="173"/>
        <v>0</v>
      </c>
      <c r="EA350" s="50">
        <f t="shared" si="173"/>
        <v>0</v>
      </c>
      <c r="EB350" s="50">
        <f t="shared" si="173"/>
        <v>0</v>
      </c>
      <c r="EC350" s="50">
        <f t="shared" si="173"/>
        <v>0</v>
      </c>
      <c r="ED350" s="50">
        <f t="shared" si="173"/>
        <v>0</v>
      </c>
      <c r="EE350" s="50">
        <f t="shared" si="173"/>
        <v>0</v>
      </c>
      <c r="EF350" s="50">
        <f t="shared" si="173"/>
        <v>0</v>
      </c>
      <c r="EG350" s="50">
        <f t="shared" si="173"/>
        <v>0</v>
      </c>
      <c r="EH350" s="50">
        <f t="shared" si="173"/>
        <v>0</v>
      </c>
      <c r="EI350" s="50">
        <f t="shared" si="173"/>
        <v>0</v>
      </c>
      <c r="EJ350" s="50">
        <f t="shared" si="173"/>
        <v>0</v>
      </c>
      <c r="EK350" s="50">
        <f t="shared" si="173"/>
        <v>0</v>
      </c>
      <c r="EL350" s="50">
        <f t="shared" si="173"/>
        <v>0</v>
      </c>
      <c r="EM350" s="50">
        <f t="shared" si="173"/>
        <v>0</v>
      </c>
      <c r="EN350" s="50">
        <f t="shared" si="173"/>
        <v>0</v>
      </c>
      <c r="EO350" s="39">
        <v>51</v>
      </c>
      <c r="EP350" s="39">
        <v>51</v>
      </c>
      <c r="EQ350" s="39">
        <v>51</v>
      </c>
      <c r="ER350" s="39">
        <v>51</v>
      </c>
      <c r="ES350" s="39">
        <v>51</v>
      </c>
      <c r="ET350" s="39">
        <v>51</v>
      </c>
      <c r="EU350" s="39">
        <v>51</v>
      </c>
      <c r="EV350" s="39">
        <v>51</v>
      </c>
      <c r="EW350" s="39">
        <v>51</v>
      </c>
      <c r="EX350" s="39">
        <v>51</v>
      </c>
    </row>
    <row r="351" spans="1:154" ht="12" customHeight="1" x14ac:dyDescent="0.35">
      <c r="G351" s="1300"/>
      <c r="H351" s="1301"/>
      <c r="I351" s="1300"/>
      <c r="J351" s="1300"/>
      <c r="K351" s="1668"/>
      <c r="L351" s="1668"/>
      <c r="M351" s="1668"/>
      <c r="N351" s="1668"/>
      <c r="O351" s="1668"/>
      <c r="P351" s="1668"/>
      <c r="Q351" s="1671"/>
      <c r="R351" s="1671"/>
      <c r="S351" s="1671"/>
      <c r="T351" s="1668"/>
      <c r="U351" s="1672"/>
      <c r="V351" s="1597"/>
      <c r="W351" s="1597"/>
      <c r="X351" s="381">
        <f t="shared" si="167"/>
        <v>0</v>
      </c>
      <c r="Y351" s="1645">
        <f t="shared" si="170"/>
        <v>0</v>
      </c>
      <c r="Z351" s="1646">
        <f t="shared" si="174"/>
        <v>0</v>
      </c>
      <c r="AA351" s="1646">
        <f t="shared" si="174"/>
        <v>0</v>
      </c>
      <c r="AB351" s="1646">
        <f t="shared" si="174"/>
        <v>0</v>
      </c>
      <c r="AC351" s="1646">
        <f t="shared" si="174"/>
        <v>0</v>
      </c>
      <c r="AD351" s="1646">
        <f t="shared" si="174"/>
        <v>0</v>
      </c>
      <c r="AE351" s="1646">
        <f t="shared" si="174"/>
        <v>0</v>
      </c>
      <c r="AF351" s="1155">
        <f t="shared" si="174"/>
        <v>0</v>
      </c>
      <c r="AG351" s="1155">
        <f t="shared" si="174"/>
        <v>0</v>
      </c>
      <c r="AH351" s="1155">
        <f t="shared" si="174"/>
        <v>0</v>
      </c>
      <c r="AI351" s="1155">
        <f t="shared" si="174"/>
        <v>0</v>
      </c>
      <c r="AJ351" s="1155">
        <f t="shared" si="174"/>
        <v>0</v>
      </c>
      <c r="AK351" s="1155">
        <f t="shared" si="174"/>
        <v>0</v>
      </c>
      <c r="AL351" s="1155">
        <f t="shared" si="174"/>
        <v>0</v>
      </c>
      <c r="AM351" s="1155">
        <f t="shared" si="174"/>
        <v>0</v>
      </c>
      <c r="AN351" s="1155">
        <f t="shared" si="174"/>
        <v>0</v>
      </c>
      <c r="AO351" s="1155">
        <f t="shared" si="174"/>
        <v>0</v>
      </c>
      <c r="AP351" s="1155">
        <f t="shared" si="174"/>
        <v>0</v>
      </c>
      <c r="AQ351" s="1155">
        <f t="shared" si="174"/>
        <v>0</v>
      </c>
      <c r="AR351" s="1155">
        <f t="shared" si="174"/>
        <v>0</v>
      </c>
      <c r="AS351" s="1155">
        <f t="shared" si="174"/>
        <v>0</v>
      </c>
      <c r="AT351" s="1155">
        <f t="shared" si="174"/>
        <v>0</v>
      </c>
      <c r="AU351" s="1155">
        <f t="shared" si="174"/>
        <v>0</v>
      </c>
      <c r="AV351" s="1155">
        <f t="shared" si="174"/>
        <v>0</v>
      </c>
      <c r="AW351" s="1155">
        <f t="shared" si="174"/>
        <v>0</v>
      </c>
      <c r="AX351" s="1155">
        <f t="shared" si="174"/>
        <v>0</v>
      </c>
      <c r="AY351" s="1155">
        <f t="shared" si="174"/>
        <v>0</v>
      </c>
      <c r="AZ351" s="1155">
        <f t="shared" si="174"/>
        <v>0</v>
      </c>
      <c r="BA351" s="1155">
        <f t="shared" si="174"/>
        <v>0</v>
      </c>
      <c r="BB351" s="1155">
        <f t="shared" si="174"/>
        <v>0</v>
      </c>
      <c r="BC351" s="1155">
        <f t="shared" si="174"/>
        <v>0</v>
      </c>
      <c r="BD351" s="1155">
        <f t="shared" si="174"/>
        <v>0</v>
      </c>
      <c r="BE351" s="1155">
        <f t="shared" si="174"/>
        <v>0</v>
      </c>
      <c r="BF351" s="1155">
        <f t="shared" si="174"/>
        <v>0</v>
      </c>
      <c r="BG351" s="1155">
        <f t="shared" si="174"/>
        <v>0</v>
      </c>
      <c r="BH351" s="1155">
        <f t="shared" si="174"/>
        <v>0</v>
      </c>
      <c r="BI351" s="1155">
        <f t="shared" si="174"/>
        <v>0</v>
      </c>
      <c r="BJ351" s="1155">
        <f t="shared" si="174"/>
        <v>0</v>
      </c>
      <c r="BK351" s="1155">
        <f t="shared" si="174"/>
        <v>0</v>
      </c>
      <c r="BL351" s="1155">
        <f t="shared" si="174"/>
        <v>0</v>
      </c>
      <c r="BM351" s="1155">
        <f t="shared" si="174"/>
        <v>0</v>
      </c>
      <c r="BN351" s="1155">
        <f t="shared" si="174"/>
        <v>0</v>
      </c>
      <c r="BO351" s="1155">
        <f t="shared" si="174"/>
        <v>0</v>
      </c>
      <c r="BP351" s="1155">
        <f t="shared" si="174"/>
        <v>0</v>
      </c>
      <c r="BQ351" s="1155">
        <f t="shared" si="174"/>
        <v>0</v>
      </c>
      <c r="BR351" s="1155">
        <f t="shared" si="174"/>
        <v>0</v>
      </c>
      <c r="BS351" s="1155">
        <f t="shared" si="174"/>
        <v>0</v>
      </c>
      <c r="BT351" s="1155">
        <f t="shared" si="174"/>
        <v>0</v>
      </c>
      <c r="BU351" s="1155">
        <f t="shared" si="174"/>
        <v>0</v>
      </c>
      <c r="BV351" s="1155">
        <f t="shared" si="174"/>
        <v>0</v>
      </c>
      <c r="BW351" s="1155">
        <f t="shared" si="174"/>
        <v>0</v>
      </c>
      <c r="BX351" s="1162">
        <f t="shared" si="174"/>
        <v>0</v>
      </c>
      <c r="BY351" s="1162">
        <f t="shared" si="174"/>
        <v>0</v>
      </c>
      <c r="BZ351" s="1162">
        <f t="shared" si="174"/>
        <v>0</v>
      </c>
      <c r="CA351" s="1162">
        <f t="shared" si="174"/>
        <v>0</v>
      </c>
      <c r="CB351" s="1162">
        <f t="shared" si="174"/>
        <v>0</v>
      </c>
      <c r="CC351" s="1162">
        <f t="shared" si="174"/>
        <v>0</v>
      </c>
      <c r="CD351" s="1162">
        <f t="shared" si="174"/>
        <v>0</v>
      </c>
      <c r="CE351" s="1162">
        <f t="shared" si="174"/>
        <v>0</v>
      </c>
      <c r="CF351" s="1162">
        <f t="shared" si="174"/>
        <v>0</v>
      </c>
      <c r="CG351" s="1162">
        <f t="shared" si="174"/>
        <v>0</v>
      </c>
      <c r="CH351" s="1162">
        <f t="shared" si="174"/>
        <v>0</v>
      </c>
      <c r="CI351" s="1162">
        <f t="shared" si="174"/>
        <v>0</v>
      </c>
      <c r="CJ351" s="1162">
        <f t="shared" si="174"/>
        <v>0</v>
      </c>
      <c r="CK351" s="1162">
        <f t="shared" si="174"/>
        <v>0</v>
      </c>
      <c r="CL351" s="1162">
        <f t="shared" si="173"/>
        <v>0</v>
      </c>
      <c r="CM351" s="1162">
        <f t="shared" si="173"/>
        <v>0</v>
      </c>
      <c r="CN351" s="1162">
        <f t="shared" si="173"/>
        <v>0</v>
      </c>
      <c r="CO351" s="1162">
        <f t="shared" si="173"/>
        <v>0</v>
      </c>
      <c r="CP351" s="1162">
        <f t="shared" si="173"/>
        <v>0</v>
      </c>
      <c r="CQ351" s="48">
        <f t="shared" si="173"/>
        <v>0</v>
      </c>
      <c r="CR351" s="48">
        <f t="shared" si="173"/>
        <v>0</v>
      </c>
      <c r="CS351" s="48">
        <f t="shared" si="173"/>
        <v>0</v>
      </c>
      <c r="CT351" s="48">
        <f t="shared" si="173"/>
        <v>0</v>
      </c>
      <c r="CU351" s="48">
        <f t="shared" si="173"/>
        <v>0</v>
      </c>
      <c r="CV351" s="48">
        <f t="shared" si="173"/>
        <v>0</v>
      </c>
      <c r="CW351" s="48">
        <f t="shared" si="173"/>
        <v>0</v>
      </c>
      <c r="CX351" s="48">
        <f t="shared" si="173"/>
        <v>0</v>
      </c>
      <c r="CY351" s="48">
        <f t="shared" si="173"/>
        <v>0</v>
      </c>
      <c r="CZ351" s="48">
        <f t="shared" si="173"/>
        <v>0</v>
      </c>
      <c r="DA351" s="48">
        <f t="shared" si="173"/>
        <v>0</v>
      </c>
      <c r="DB351" s="48">
        <f t="shared" si="173"/>
        <v>0</v>
      </c>
      <c r="DC351" s="48">
        <f t="shared" si="173"/>
        <v>0</v>
      </c>
      <c r="DD351" s="48">
        <f t="shared" si="173"/>
        <v>0</v>
      </c>
      <c r="DE351" s="48">
        <f t="shared" si="173"/>
        <v>0</v>
      </c>
      <c r="DF351" s="48">
        <f t="shared" si="173"/>
        <v>0</v>
      </c>
      <c r="DG351" s="48">
        <f t="shared" si="173"/>
        <v>0</v>
      </c>
      <c r="DH351" s="48">
        <f t="shared" si="173"/>
        <v>0</v>
      </c>
      <c r="DI351" s="48">
        <f t="shared" si="173"/>
        <v>0</v>
      </c>
      <c r="DJ351" s="48">
        <f t="shared" si="173"/>
        <v>0</v>
      </c>
      <c r="DK351" s="48">
        <f t="shared" si="173"/>
        <v>0</v>
      </c>
      <c r="DL351" s="48">
        <f t="shared" si="173"/>
        <v>0</v>
      </c>
      <c r="DM351" s="48">
        <f t="shared" si="173"/>
        <v>0</v>
      </c>
      <c r="DN351" s="48">
        <f t="shared" si="173"/>
        <v>0</v>
      </c>
      <c r="DO351" s="48">
        <f t="shared" si="173"/>
        <v>0</v>
      </c>
      <c r="DP351" s="48">
        <f t="shared" si="173"/>
        <v>0</v>
      </c>
      <c r="DQ351" s="48">
        <f t="shared" si="173"/>
        <v>0</v>
      </c>
      <c r="DR351" s="50">
        <f t="shared" si="173"/>
        <v>0</v>
      </c>
      <c r="DS351" s="50">
        <f t="shared" si="173"/>
        <v>0</v>
      </c>
      <c r="DT351" s="50">
        <f t="shared" si="173"/>
        <v>0</v>
      </c>
      <c r="DU351" s="50">
        <f t="shared" si="173"/>
        <v>0</v>
      </c>
      <c r="DV351" s="50">
        <f t="shared" si="173"/>
        <v>0</v>
      </c>
      <c r="DW351" s="50">
        <f t="shared" si="173"/>
        <v>0</v>
      </c>
      <c r="DX351" s="50">
        <f t="shared" si="173"/>
        <v>0</v>
      </c>
      <c r="DY351" s="50">
        <f t="shared" si="173"/>
        <v>0</v>
      </c>
      <c r="DZ351" s="50">
        <f t="shared" si="173"/>
        <v>0</v>
      </c>
      <c r="EA351" s="50">
        <f t="shared" si="173"/>
        <v>0</v>
      </c>
      <c r="EB351" s="50">
        <f t="shared" si="173"/>
        <v>0</v>
      </c>
      <c r="EC351" s="50">
        <f t="shared" si="173"/>
        <v>0</v>
      </c>
      <c r="ED351" s="50">
        <f t="shared" si="173"/>
        <v>0</v>
      </c>
      <c r="EE351" s="50">
        <f t="shared" si="173"/>
        <v>0</v>
      </c>
      <c r="EF351" s="50">
        <f t="shared" si="173"/>
        <v>0</v>
      </c>
      <c r="EG351" s="50">
        <f t="shared" si="173"/>
        <v>0</v>
      </c>
      <c r="EH351" s="50">
        <f t="shared" si="173"/>
        <v>0</v>
      </c>
      <c r="EI351" s="50">
        <f t="shared" si="173"/>
        <v>0</v>
      </c>
      <c r="EJ351" s="50">
        <f t="shared" si="173"/>
        <v>0</v>
      </c>
      <c r="EK351" s="50">
        <f t="shared" si="173"/>
        <v>0</v>
      </c>
      <c r="EL351" s="50">
        <f t="shared" si="173"/>
        <v>0</v>
      </c>
      <c r="EM351" s="50">
        <f t="shared" si="173"/>
        <v>0</v>
      </c>
      <c r="EN351" s="50">
        <f t="shared" si="173"/>
        <v>0</v>
      </c>
      <c r="EO351" s="39">
        <v>51</v>
      </c>
      <c r="EP351" s="39">
        <v>51</v>
      </c>
      <c r="EQ351" s="39">
        <v>51</v>
      </c>
      <c r="ER351" s="39">
        <v>51</v>
      </c>
      <c r="ES351" s="39">
        <v>51</v>
      </c>
      <c r="ET351" s="39">
        <v>51</v>
      </c>
      <c r="EU351" s="39">
        <v>51</v>
      </c>
      <c r="EV351" s="39">
        <v>51</v>
      </c>
      <c r="EW351" s="39">
        <v>51</v>
      </c>
      <c r="EX351" s="39">
        <v>51</v>
      </c>
    </row>
    <row r="352" spans="1:154" ht="12" customHeight="1" x14ac:dyDescent="0.35">
      <c r="G352" s="1300"/>
      <c r="H352" s="1301"/>
      <c r="I352" s="1300"/>
      <c r="J352" s="1300"/>
      <c r="K352" s="1668"/>
      <c r="L352" s="1668"/>
      <c r="M352" s="1668"/>
      <c r="N352" s="1668"/>
      <c r="O352" s="1668"/>
      <c r="P352" s="1668"/>
      <c r="Q352" s="1671"/>
      <c r="R352" s="1671"/>
      <c r="S352" s="1671"/>
      <c r="T352" s="1668"/>
      <c r="U352" s="1672"/>
      <c r="V352" s="1597"/>
      <c r="W352" s="1597"/>
      <c r="X352" s="381">
        <f t="shared" si="167"/>
        <v>0</v>
      </c>
      <c r="Y352" s="1645">
        <f t="shared" si="170"/>
        <v>0</v>
      </c>
      <c r="Z352" s="1646">
        <f t="shared" si="174"/>
        <v>0</v>
      </c>
      <c r="AA352" s="1646">
        <f t="shared" si="174"/>
        <v>0</v>
      </c>
      <c r="AB352" s="1646">
        <f t="shared" si="174"/>
        <v>0</v>
      </c>
      <c r="AC352" s="1646">
        <f t="shared" si="174"/>
        <v>0</v>
      </c>
      <c r="AD352" s="1646">
        <f t="shared" si="174"/>
        <v>0</v>
      </c>
      <c r="AE352" s="1646">
        <f t="shared" si="174"/>
        <v>0</v>
      </c>
      <c r="AF352" s="1155">
        <f t="shared" si="174"/>
        <v>0</v>
      </c>
      <c r="AG352" s="1155">
        <f t="shared" si="174"/>
        <v>0</v>
      </c>
      <c r="AH352" s="1155">
        <f t="shared" si="174"/>
        <v>0</v>
      </c>
      <c r="AI352" s="1155">
        <f t="shared" si="174"/>
        <v>0</v>
      </c>
      <c r="AJ352" s="1155">
        <f t="shared" si="174"/>
        <v>0</v>
      </c>
      <c r="AK352" s="1155">
        <f t="shared" si="174"/>
        <v>0</v>
      </c>
      <c r="AL352" s="1155">
        <f t="shared" si="174"/>
        <v>0</v>
      </c>
      <c r="AM352" s="1155">
        <f t="shared" si="174"/>
        <v>0</v>
      </c>
      <c r="AN352" s="1155">
        <f t="shared" si="174"/>
        <v>0</v>
      </c>
      <c r="AO352" s="1155">
        <f t="shared" si="174"/>
        <v>0</v>
      </c>
      <c r="AP352" s="1155">
        <f t="shared" si="174"/>
        <v>0</v>
      </c>
      <c r="AQ352" s="1155">
        <f t="shared" si="174"/>
        <v>0</v>
      </c>
      <c r="AR352" s="1155">
        <f t="shared" si="174"/>
        <v>0</v>
      </c>
      <c r="AS352" s="1155">
        <f t="shared" si="174"/>
        <v>0</v>
      </c>
      <c r="AT352" s="1155">
        <f t="shared" si="174"/>
        <v>0</v>
      </c>
      <c r="AU352" s="1155">
        <f t="shared" si="174"/>
        <v>0</v>
      </c>
      <c r="AV352" s="1155">
        <f t="shared" si="174"/>
        <v>0</v>
      </c>
      <c r="AW352" s="1155">
        <f t="shared" si="174"/>
        <v>0</v>
      </c>
      <c r="AX352" s="1155">
        <f t="shared" si="174"/>
        <v>0</v>
      </c>
      <c r="AY352" s="1155">
        <f t="shared" si="174"/>
        <v>0</v>
      </c>
      <c r="AZ352" s="1155">
        <f t="shared" si="174"/>
        <v>0</v>
      </c>
      <c r="BA352" s="1155">
        <f t="shared" si="174"/>
        <v>0</v>
      </c>
      <c r="BB352" s="1155">
        <f t="shared" si="174"/>
        <v>0</v>
      </c>
      <c r="BC352" s="1155">
        <f t="shared" si="174"/>
        <v>0</v>
      </c>
      <c r="BD352" s="1155">
        <f t="shared" si="174"/>
        <v>0</v>
      </c>
      <c r="BE352" s="1155">
        <f t="shared" si="174"/>
        <v>0</v>
      </c>
      <c r="BF352" s="1155">
        <f t="shared" si="174"/>
        <v>0</v>
      </c>
      <c r="BG352" s="1155">
        <f t="shared" si="174"/>
        <v>0</v>
      </c>
      <c r="BH352" s="1155">
        <f t="shared" si="174"/>
        <v>0</v>
      </c>
      <c r="BI352" s="1155">
        <f t="shared" si="174"/>
        <v>0</v>
      </c>
      <c r="BJ352" s="1155">
        <f t="shared" si="174"/>
        <v>0</v>
      </c>
      <c r="BK352" s="1155">
        <f t="shared" si="174"/>
        <v>0</v>
      </c>
      <c r="BL352" s="1155">
        <f t="shared" si="174"/>
        <v>0</v>
      </c>
      <c r="BM352" s="1155">
        <f t="shared" si="174"/>
        <v>0</v>
      </c>
      <c r="BN352" s="1155">
        <f t="shared" si="174"/>
        <v>0</v>
      </c>
      <c r="BO352" s="1155">
        <f t="shared" si="174"/>
        <v>0</v>
      </c>
      <c r="BP352" s="1155">
        <f t="shared" si="174"/>
        <v>0</v>
      </c>
      <c r="BQ352" s="1155">
        <f t="shared" si="174"/>
        <v>0</v>
      </c>
      <c r="BR352" s="1155">
        <f t="shared" si="174"/>
        <v>0</v>
      </c>
      <c r="BS352" s="1155">
        <f t="shared" si="174"/>
        <v>0</v>
      </c>
      <c r="BT352" s="1155">
        <f t="shared" si="174"/>
        <v>0</v>
      </c>
      <c r="BU352" s="1155">
        <f t="shared" si="174"/>
        <v>0</v>
      </c>
      <c r="BV352" s="1155">
        <f t="shared" si="174"/>
        <v>0</v>
      </c>
      <c r="BW352" s="1155">
        <f t="shared" si="174"/>
        <v>0</v>
      </c>
      <c r="BX352" s="1162">
        <f t="shared" si="174"/>
        <v>0</v>
      </c>
      <c r="BY352" s="1162">
        <f t="shared" si="174"/>
        <v>0</v>
      </c>
      <c r="BZ352" s="1162">
        <f t="shared" si="174"/>
        <v>0</v>
      </c>
      <c r="CA352" s="1162">
        <f t="shared" si="174"/>
        <v>0</v>
      </c>
      <c r="CB352" s="1162">
        <f t="shared" si="174"/>
        <v>0</v>
      </c>
      <c r="CC352" s="1162">
        <f t="shared" si="174"/>
        <v>0</v>
      </c>
      <c r="CD352" s="1162">
        <f t="shared" si="174"/>
        <v>0</v>
      </c>
      <c r="CE352" s="1162">
        <f t="shared" si="174"/>
        <v>0</v>
      </c>
      <c r="CF352" s="1162">
        <f t="shared" si="174"/>
        <v>0</v>
      </c>
      <c r="CG352" s="1162">
        <f t="shared" si="174"/>
        <v>0</v>
      </c>
      <c r="CH352" s="1162">
        <f t="shared" si="174"/>
        <v>0</v>
      </c>
      <c r="CI352" s="1162">
        <f t="shared" si="174"/>
        <v>0</v>
      </c>
      <c r="CJ352" s="1162">
        <f t="shared" si="174"/>
        <v>0</v>
      </c>
      <c r="CK352" s="1162">
        <f t="shared" si="174"/>
        <v>0</v>
      </c>
      <c r="CL352" s="1162">
        <f t="shared" si="173"/>
        <v>0</v>
      </c>
      <c r="CM352" s="1162">
        <f t="shared" si="173"/>
        <v>0</v>
      </c>
      <c r="CN352" s="1162">
        <f t="shared" si="173"/>
        <v>0</v>
      </c>
      <c r="CO352" s="1162">
        <f t="shared" si="173"/>
        <v>0</v>
      </c>
      <c r="CP352" s="1162">
        <f t="shared" si="173"/>
        <v>0</v>
      </c>
      <c r="CQ352" s="48">
        <f t="shared" si="173"/>
        <v>0</v>
      </c>
      <c r="CR352" s="48">
        <f t="shared" si="173"/>
        <v>0</v>
      </c>
      <c r="CS352" s="48">
        <f t="shared" si="173"/>
        <v>0</v>
      </c>
      <c r="CT352" s="48">
        <f t="shared" si="173"/>
        <v>0</v>
      </c>
      <c r="CU352" s="48">
        <f t="shared" si="173"/>
        <v>0</v>
      </c>
      <c r="CV352" s="48">
        <f t="shared" si="173"/>
        <v>0</v>
      </c>
      <c r="CW352" s="48">
        <f t="shared" si="173"/>
        <v>0</v>
      </c>
      <c r="CX352" s="48">
        <f t="shared" si="173"/>
        <v>0</v>
      </c>
      <c r="CY352" s="48">
        <f t="shared" si="173"/>
        <v>0</v>
      </c>
      <c r="CZ352" s="48">
        <f t="shared" si="173"/>
        <v>0</v>
      </c>
      <c r="DA352" s="48">
        <f t="shared" si="173"/>
        <v>0</v>
      </c>
      <c r="DB352" s="48">
        <f t="shared" si="173"/>
        <v>0</v>
      </c>
      <c r="DC352" s="48">
        <f t="shared" si="173"/>
        <v>0</v>
      </c>
      <c r="DD352" s="48">
        <f t="shared" si="173"/>
        <v>0</v>
      </c>
      <c r="DE352" s="48">
        <f t="shared" si="173"/>
        <v>0</v>
      </c>
      <c r="DF352" s="48">
        <f t="shared" si="173"/>
        <v>0</v>
      </c>
      <c r="DG352" s="48">
        <f t="shared" si="173"/>
        <v>0</v>
      </c>
      <c r="DH352" s="48">
        <f t="shared" si="173"/>
        <v>0</v>
      </c>
      <c r="DI352" s="48">
        <f t="shared" si="173"/>
        <v>0</v>
      </c>
      <c r="DJ352" s="48">
        <f t="shared" si="173"/>
        <v>0</v>
      </c>
      <c r="DK352" s="48">
        <f t="shared" si="173"/>
        <v>0</v>
      </c>
      <c r="DL352" s="48">
        <f t="shared" si="173"/>
        <v>0</v>
      </c>
      <c r="DM352" s="48">
        <f t="shared" si="173"/>
        <v>0</v>
      </c>
      <c r="DN352" s="48">
        <f t="shared" si="173"/>
        <v>0</v>
      </c>
      <c r="DO352" s="48">
        <f t="shared" si="173"/>
        <v>0</v>
      </c>
      <c r="DP352" s="48">
        <f t="shared" si="173"/>
        <v>0</v>
      </c>
      <c r="DQ352" s="48">
        <f t="shared" si="173"/>
        <v>0</v>
      </c>
      <c r="DR352" s="50">
        <f t="shared" si="173"/>
        <v>0</v>
      </c>
      <c r="DS352" s="50">
        <f t="shared" si="173"/>
        <v>0</v>
      </c>
      <c r="DT352" s="50">
        <f t="shared" si="173"/>
        <v>0</v>
      </c>
      <c r="DU352" s="50">
        <f t="shared" si="173"/>
        <v>0</v>
      </c>
      <c r="DV352" s="50">
        <f t="shared" si="173"/>
        <v>0</v>
      </c>
      <c r="DW352" s="50">
        <f t="shared" si="173"/>
        <v>0</v>
      </c>
      <c r="DX352" s="50">
        <f t="shared" si="173"/>
        <v>0</v>
      </c>
      <c r="DY352" s="50">
        <f t="shared" si="173"/>
        <v>0</v>
      </c>
      <c r="DZ352" s="50">
        <f t="shared" si="173"/>
        <v>0</v>
      </c>
      <c r="EA352" s="50">
        <f t="shared" si="173"/>
        <v>0</v>
      </c>
      <c r="EB352" s="50">
        <f t="shared" si="173"/>
        <v>0</v>
      </c>
      <c r="EC352" s="50">
        <f t="shared" si="173"/>
        <v>0</v>
      </c>
      <c r="ED352" s="50">
        <f t="shared" si="173"/>
        <v>0</v>
      </c>
      <c r="EE352" s="50">
        <f t="shared" si="173"/>
        <v>0</v>
      </c>
      <c r="EF352" s="50">
        <f t="shared" si="173"/>
        <v>0</v>
      </c>
      <c r="EG352" s="50">
        <f t="shared" si="173"/>
        <v>0</v>
      </c>
      <c r="EH352" s="50">
        <f t="shared" si="173"/>
        <v>0</v>
      </c>
      <c r="EI352" s="50">
        <f t="shared" si="173"/>
        <v>0</v>
      </c>
      <c r="EJ352" s="50">
        <f t="shared" si="173"/>
        <v>0</v>
      </c>
      <c r="EK352" s="50">
        <f t="shared" si="173"/>
        <v>0</v>
      </c>
      <c r="EL352" s="50">
        <f t="shared" si="173"/>
        <v>0</v>
      </c>
      <c r="EM352" s="50">
        <f t="shared" si="173"/>
        <v>0</v>
      </c>
      <c r="EN352" s="50">
        <f t="shared" si="173"/>
        <v>0</v>
      </c>
      <c r="EO352" s="39">
        <v>51</v>
      </c>
      <c r="EP352" s="39">
        <v>51</v>
      </c>
      <c r="EQ352" s="39">
        <v>51</v>
      </c>
      <c r="ER352" s="39">
        <v>51</v>
      </c>
      <c r="ES352" s="39">
        <v>51</v>
      </c>
      <c r="ET352" s="39">
        <v>51</v>
      </c>
      <c r="EU352" s="39">
        <v>51</v>
      </c>
      <c r="EV352" s="39">
        <v>51</v>
      </c>
      <c r="EW352" s="39">
        <v>51</v>
      </c>
      <c r="EX352" s="39">
        <v>51</v>
      </c>
    </row>
    <row r="353" spans="11:154" ht="12" customHeight="1" x14ac:dyDescent="0.35">
      <c r="K353" s="1668"/>
      <c r="L353" s="1668"/>
      <c r="M353" s="1668"/>
      <c r="N353" s="1668"/>
      <c r="O353" s="1668"/>
      <c r="P353" s="1668"/>
      <c r="Q353" s="1671"/>
      <c r="R353" s="1671"/>
      <c r="S353" s="1671"/>
      <c r="T353" s="1668"/>
      <c r="U353" s="1672"/>
      <c r="V353" s="1597"/>
      <c r="W353" s="1597"/>
      <c r="X353" s="381">
        <f t="shared" si="167"/>
        <v>0</v>
      </c>
      <c r="Y353" s="1645">
        <f t="shared" si="170"/>
        <v>0</v>
      </c>
      <c r="Z353" s="1646">
        <f t="shared" si="174"/>
        <v>0</v>
      </c>
      <c r="AA353" s="1646">
        <f t="shared" si="174"/>
        <v>0</v>
      </c>
      <c r="AB353" s="1646">
        <f t="shared" si="174"/>
        <v>0</v>
      </c>
      <c r="AC353" s="1646">
        <f t="shared" si="174"/>
        <v>0</v>
      </c>
      <c r="AD353" s="1646">
        <f t="shared" si="174"/>
        <v>0</v>
      </c>
      <c r="AE353" s="1646">
        <f t="shared" si="174"/>
        <v>0</v>
      </c>
      <c r="AF353" s="1155">
        <f t="shared" si="174"/>
        <v>0</v>
      </c>
      <c r="AG353" s="1155">
        <f t="shared" si="174"/>
        <v>0</v>
      </c>
      <c r="AH353" s="1155">
        <f t="shared" si="174"/>
        <v>0</v>
      </c>
      <c r="AI353" s="1155">
        <f t="shared" si="174"/>
        <v>0</v>
      </c>
      <c r="AJ353" s="1155">
        <f t="shared" si="174"/>
        <v>0</v>
      </c>
      <c r="AK353" s="1155">
        <f t="shared" si="174"/>
        <v>0</v>
      </c>
      <c r="AL353" s="1155">
        <f t="shared" si="174"/>
        <v>0</v>
      </c>
      <c r="AM353" s="1155">
        <f t="shared" si="174"/>
        <v>0</v>
      </c>
      <c r="AN353" s="1155">
        <f t="shared" si="174"/>
        <v>0</v>
      </c>
      <c r="AO353" s="1155">
        <f t="shared" si="174"/>
        <v>0</v>
      </c>
      <c r="AP353" s="1155">
        <f t="shared" si="174"/>
        <v>0</v>
      </c>
      <c r="AQ353" s="1155">
        <f t="shared" si="174"/>
        <v>0</v>
      </c>
      <c r="AR353" s="1155">
        <f t="shared" si="174"/>
        <v>0</v>
      </c>
      <c r="AS353" s="1155">
        <f t="shared" si="174"/>
        <v>0</v>
      </c>
      <c r="AT353" s="1155">
        <f t="shared" si="174"/>
        <v>0</v>
      </c>
      <c r="AU353" s="1155">
        <f t="shared" si="174"/>
        <v>0</v>
      </c>
      <c r="AV353" s="1155">
        <f t="shared" si="174"/>
        <v>0</v>
      </c>
      <c r="AW353" s="1155">
        <f t="shared" si="174"/>
        <v>0</v>
      </c>
      <c r="AX353" s="1155">
        <f t="shared" si="174"/>
        <v>0</v>
      </c>
      <c r="AY353" s="1155">
        <f t="shared" si="174"/>
        <v>0</v>
      </c>
      <c r="AZ353" s="1155">
        <f t="shared" si="174"/>
        <v>0</v>
      </c>
      <c r="BA353" s="1155">
        <f t="shared" si="174"/>
        <v>0</v>
      </c>
      <c r="BB353" s="1155">
        <f t="shared" si="174"/>
        <v>0</v>
      </c>
      <c r="BC353" s="1155">
        <f t="shared" si="174"/>
        <v>0</v>
      </c>
      <c r="BD353" s="1155">
        <f t="shared" si="174"/>
        <v>0</v>
      </c>
      <c r="BE353" s="1155">
        <f t="shared" si="174"/>
        <v>0</v>
      </c>
      <c r="BF353" s="1155">
        <f t="shared" si="174"/>
        <v>0</v>
      </c>
      <c r="BG353" s="1155">
        <f t="shared" si="174"/>
        <v>0</v>
      </c>
      <c r="BH353" s="1155">
        <f t="shared" si="174"/>
        <v>0</v>
      </c>
      <c r="BI353" s="1155">
        <f t="shared" si="174"/>
        <v>0</v>
      </c>
      <c r="BJ353" s="1155">
        <f t="shared" si="174"/>
        <v>0</v>
      </c>
      <c r="BK353" s="1155">
        <f t="shared" si="174"/>
        <v>0</v>
      </c>
      <c r="BL353" s="1155">
        <f t="shared" si="174"/>
        <v>0</v>
      </c>
      <c r="BM353" s="1155">
        <f t="shared" si="174"/>
        <v>0</v>
      </c>
      <c r="BN353" s="1155">
        <f t="shared" si="174"/>
        <v>0</v>
      </c>
      <c r="BO353" s="1155">
        <f t="shared" si="174"/>
        <v>0</v>
      </c>
      <c r="BP353" s="1155">
        <f t="shared" si="174"/>
        <v>0</v>
      </c>
      <c r="BQ353" s="1155">
        <f t="shared" si="174"/>
        <v>0</v>
      </c>
      <c r="BR353" s="1155">
        <f t="shared" si="174"/>
        <v>0</v>
      </c>
      <c r="BS353" s="1155">
        <f t="shared" si="174"/>
        <v>0</v>
      </c>
      <c r="BT353" s="1155">
        <f t="shared" si="174"/>
        <v>0</v>
      </c>
      <c r="BU353" s="1155">
        <f t="shared" si="174"/>
        <v>0</v>
      </c>
      <c r="BV353" s="1155">
        <f t="shared" si="174"/>
        <v>0</v>
      </c>
      <c r="BW353" s="1155">
        <f t="shared" si="174"/>
        <v>0</v>
      </c>
      <c r="BX353" s="1162">
        <f t="shared" si="174"/>
        <v>0</v>
      </c>
      <c r="BY353" s="1162">
        <f t="shared" si="174"/>
        <v>0</v>
      </c>
      <c r="BZ353" s="1162">
        <f t="shared" si="174"/>
        <v>0</v>
      </c>
      <c r="CA353" s="1162">
        <f t="shared" si="174"/>
        <v>0</v>
      </c>
      <c r="CB353" s="1162">
        <f t="shared" si="174"/>
        <v>0</v>
      </c>
      <c r="CC353" s="1162">
        <f t="shared" si="174"/>
        <v>0</v>
      </c>
      <c r="CD353" s="1162">
        <f t="shared" si="174"/>
        <v>0</v>
      </c>
      <c r="CE353" s="1162">
        <f t="shared" si="174"/>
        <v>0</v>
      </c>
      <c r="CF353" s="1162">
        <f t="shared" si="174"/>
        <v>0</v>
      </c>
      <c r="CG353" s="1162">
        <f t="shared" si="174"/>
        <v>0</v>
      </c>
      <c r="CH353" s="1162">
        <f t="shared" si="174"/>
        <v>0</v>
      </c>
      <c r="CI353" s="1162">
        <f t="shared" si="174"/>
        <v>0</v>
      </c>
      <c r="CJ353" s="1162">
        <f t="shared" si="174"/>
        <v>0</v>
      </c>
      <c r="CK353" s="1162">
        <f t="shared" ref="CK353:EN356" si="175">IF(OR($R287=0,$S287=0),0,IF($S287=CK$343,$R287,0))</f>
        <v>0</v>
      </c>
      <c r="CL353" s="1162">
        <f t="shared" si="175"/>
        <v>0</v>
      </c>
      <c r="CM353" s="1162">
        <f t="shared" si="175"/>
        <v>0</v>
      </c>
      <c r="CN353" s="1162">
        <f t="shared" si="175"/>
        <v>0</v>
      </c>
      <c r="CO353" s="1162">
        <f t="shared" si="175"/>
        <v>0</v>
      </c>
      <c r="CP353" s="1162">
        <f t="shared" si="175"/>
        <v>0</v>
      </c>
      <c r="CQ353" s="48">
        <f t="shared" si="175"/>
        <v>0</v>
      </c>
      <c r="CR353" s="48">
        <f t="shared" si="175"/>
        <v>0</v>
      </c>
      <c r="CS353" s="48">
        <f t="shared" si="175"/>
        <v>0</v>
      </c>
      <c r="CT353" s="48">
        <f t="shared" si="175"/>
        <v>0</v>
      </c>
      <c r="CU353" s="48">
        <f t="shared" si="175"/>
        <v>0</v>
      </c>
      <c r="CV353" s="48">
        <f t="shared" si="175"/>
        <v>0</v>
      </c>
      <c r="CW353" s="48">
        <f t="shared" si="175"/>
        <v>0</v>
      </c>
      <c r="CX353" s="48">
        <f t="shared" si="175"/>
        <v>0</v>
      </c>
      <c r="CY353" s="48">
        <f t="shared" si="175"/>
        <v>0</v>
      </c>
      <c r="CZ353" s="48">
        <f t="shared" si="175"/>
        <v>0</v>
      </c>
      <c r="DA353" s="48">
        <f t="shared" si="175"/>
        <v>0</v>
      </c>
      <c r="DB353" s="48">
        <f t="shared" si="175"/>
        <v>0</v>
      </c>
      <c r="DC353" s="48">
        <f t="shared" si="175"/>
        <v>0</v>
      </c>
      <c r="DD353" s="48">
        <f t="shared" si="175"/>
        <v>0</v>
      </c>
      <c r="DE353" s="48">
        <f t="shared" si="175"/>
        <v>0</v>
      </c>
      <c r="DF353" s="48">
        <f t="shared" si="175"/>
        <v>0</v>
      </c>
      <c r="DG353" s="48">
        <f t="shared" si="175"/>
        <v>0</v>
      </c>
      <c r="DH353" s="48">
        <f t="shared" si="175"/>
        <v>0</v>
      </c>
      <c r="DI353" s="48">
        <f t="shared" si="175"/>
        <v>0</v>
      </c>
      <c r="DJ353" s="48">
        <f t="shared" si="175"/>
        <v>0</v>
      </c>
      <c r="DK353" s="48">
        <f t="shared" si="175"/>
        <v>0</v>
      </c>
      <c r="DL353" s="48">
        <f t="shared" si="175"/>
        <v>0</v>
      </c>
      <c r="DM353" s="48">
        <f t="shared" si="175"/>
        <v>0</v>
      </c>
      <c r="DN353" s="48">
        <f t="shared" si="175"/>
        <v>0</v>
      </c>
      <c r="DO353" s="48">
        <f t="shared" si="175"/>
        <v>0</v>
      </c>
      <c r="DP353" s="48">
        <f t="shared" si="175"/>
        <v>0</v>
      </c>
      <c r="DQ353" s="48">
        <f t="shared" si="175"/>
        <v>0</v>
      </c>
      <c r="DR353" s="50">
        <f t="shared" si="175"/>
        <v>0</v>
      </c>
      <c r="DS353" s="50">
        <f t="shared" si="175"/>
        <v>0</v>
      </c>
      <c r="DT353" s="50">
        <f t="shared" si="175"/>
        <v>0</v>
      </c>
      <c r="DU353" s="50">
        <f t="shared" si="175"/>
        <v>0</v>
      </c>
      <c r="DV353" s="50">
        <f t="shared" si="175"/>
        <v>0</v>
      </c>
      <c r="DW353" s="50">
        <f t="shared" si="175"/>
        <v>0</v>
      </c>
      <c r="DX353" s="50">
        <f t="shared" si="175"/>
        <v>0</v>
      </c>
      <c r="DY353" s="50">
        <f t="shared" si="175"/>
        <v>0</v>
      </c>
      <c r="DZ353" s="50">
        <f t="shared" si="175"/>
        <v>0</v>
      </c>
      <c r="EA353" s="50">
        <f t="shared" si="175"/>
        <v>0</v>
      </c>
      <c r="EB353" s="50">
        <f t="shared" si="175"/>
        <v>0</v>
      </c>
      <c r="EC353" s="50">
        <f t="shared" si="175"/>
        <v>0</v>
      </c>
      <c r="ED353" s="50">
        <f t="shared" si="175"/>
        <v>0</v>
      </c>
      <c r="EE353" s="50">
        <f t="shared" si="175"/>
        <v>0</v>
      </c>
      <c r="EF353" s="50">
        <f t="shared" si="175"/>
        <v>0</v>
      </c>
      <c r="EG353" s="50">
        <f t="shared" si="175"/>
        <v>0</v>
      </c>
      <c r="EH353" s="50">
        <f t="shared" si="175"/>
        <v>0</v>
      </c>
      <c r="EI353" s="50">
        <f t="shared" si="175"/>
        <v>0</v>
      </c>
      <c r="EJ353" s="50">
        <f t="shared" si="175"/>
        <v>0</v>
      </c>
      <c r="EK353" s="50">
        <f t="shared" si="175"/>
        <v>0</v>
      </c>
      <c r="EL353" s="50">
        <f t="shared" si="175"/>
        <v>0</v>
      </c>
      <c r="EM353" s="50">
        <f t="shared" si="175"/>
        <v>0</v>
      </c>
      <c r="EN353" s="50">
        <f t="shared" si="175"/>
        <v>0</v>
      </c>
      <c r="EO353" s="39">
        <v>51</v>
      </c>
      <c r="EP353" s="39">
        <v>51</v>
      </c>
      <c r="EQ353" s="39">
        <v>51</v>
      </c>
      <c r="ER353" s="39">
        <v>51</v>
      </c>
      <c r="ES353" s="39">
        <v>51</v>
      </c>
      <c r="ET353" s="39">
        <v>51</v>
      </c>
      <c r="EU353" s="39">
        <v>51</v>
      </c>
      <c r="EV353" s="39">
        <v>51</v>
      </c>
      <c r="EW353" s="39">
        <v>51</v>
      </c>
      <c r="EX353" s="39">
        <v>51</v>
      </c>
    </row>
    <row r="354" spans="11:154" ht="12" customHeight="1" x14ac:dyDescent="0.35">
      <c r="K354" s="1668"/>
      <c r="L354" s="1668"/>
      <c r="M354" s="1668"/>
      <c r="N354" s="1668"/>
      <c r="O354" s="1668"/>
      <c r="P354" s="1668"/>
      <c r="Q354" s="1671"/>
      <c r="R354" s="1671"/>
      <c r="S354" s="1671"/>
      <c r="T354" s="1668"/>
      <c r="U354" s="1672"/>
      <c r="V354" s="1597"/>
      <c r="W354" s="1597"/>
      <c r="X354" s="381">
        <f t="shared" si="167"/>
        <v>11</v>
      </c>
      <c r="Y354" s="1645">
        <f t="shared" si="170"/>
        <v>0</v>
      </c>
      <c r="Z354" s="1646">
        <f t="shared" ref="Z354:CK357" si="176">IF(OR($R288=0,$S288=0),0,IF($S288=Z$343,$R288,0))</f>
        <v>0</v>
      </c>
      <c r="AA354" s="1646">
        <f t="shared" si="176"/>
        <v>0</v>
      </c>
      <c r="AB354" s="1646">
        <f t="shared" si="176"/>
        <v>0</v>
      </c>
      <c r="AC354" s="1646">
        <f t="shared" si="176"/>
        <v>0</v>
      </c>
      <c r="AD354" s="1646">
        <f t="shared" si="176"/>
        <v>0</v>
      </c>
      <c r="AE354" s="1646">
        <f t="shared" si="176"/>
        <v>0</v>
      </c>
      <c r="AF354" s="1155">
        <f t="shared" si="176"/>
        <v>0</v>
      </c>
      <c r="AG354" s="1155">
        <f t="shared" si="176"/>
        <v>0</v>
      </c>
      <c r="AH354" s="1155">
        <f t="shared" si="176"/>
        <v>0</v>
      </c>
      <c r="AI354" s="1155">
        <f t="shared" si="176"/>
        <v>0</v>
      </c>
      <c r="AJ354" s="1155">
        <f t="shared" si="176"/>
        <v>0</v>
      </c>
      <c r="AK354" s="1155">
        <f t="shared" si="176"/>
        <v>0</v>
      </c>
      <c r="AL354" s="1155">
        <f t="shared" si="176"/>
        <v>0</v>
      </c>
      <c r="AM354" s="1155">
        <f t="shared" si="176"/>
        <v>0</v>
      </c>
      <c r="AN354" s="1155">
        <f t="shared" si="176"/>
        <v>0</v>
      </c>
      <c r="AO354" s="1155">
        <f t="shared" si="176"/>
        <v>0</v>
      </c>
      <c r="AP354" s="1155">
        <f t="shared" si="176"/>
        <v>0</v>
      </c>
      <c r="AQ354" s="1155">
        <f t="shared" si="176"/>
        <v>0</v>
      </c>
      <c r="AR354" s="1155">
        <f t="shared" si="176"/>
        <v>0</v>
      </c>
      <c r="AS354" s="1155">
        <f t="shared" si="176"/>
        <v>0</v>
      </c>
      <c r="AT354" s="1155">
        <f t="shared" si="176"/>
        <v>0</v>
      </c>
      <c r="AU354" s="1155">
        <f t="shared" si="176"/>
        <v>0</v>
      </c>
      <c r="AV354" s="1155">
        <f t="shared" si="176"/>
        <v>0</v>
      </c>
      <c r="AW354" s="1155">
        <f t="shared" si="176"/>
        <v>0</v>
      </c>
      <c r="AX354" s="1155">
        <f t="shared" si="176"/>
        <v>0</v>
      </c>
      <c r="AY354" s="1155">
        <f t="shared" si="176"/>
        <v>0</v>
      </c>
      <c r="AZ354" s="1155">
        <f t="shared" si="176"/>
        <v>0</v>
      </c>
      <c r="BA354" s="1155">
        <f t="shared" si="176"/>
        <v>0</v>
      </c>
      <c r="BB354" s="1155">
        <f t="shared" si="176"/>
        <v>0</v>
      </c>
      <c r="BC354" s="1155">
        <f t="shared" si="176"/>
        <v>0</v>
      </c>
      <c r="BD354" s="1155">
        <f t="shared" si="176"/>
        <v>0</v>
      </c>
      <c r="BE354" s="1155">
        <f t="shared" si="176"/>
        <v>0</v>
      </c>
      <c r="BF354" s="1155">
        <f t="shared" si="176"/>
        <v>0</v>
      </c>
      <c r="BG354" s="1155">
        <f t="shared" si="176"/>
        <v>0</v>
      </c>
      <c r="BH354" s="1155">
        <f t="shared" si="176"/>
        <v>0</v>
      </c>
      <c r="BI354" s="1155">
        <f t="shared" si="176"/>
        <v>0</v>
      </c>
      <c r="BJ354" s="1155">
        <f t="shared" si="176"/>
        <v>0</v>
      </c>
      <c r="BK354" s="1155">
        <f t="shared" si="176"/>
        <v>0</v>
      </c>
      <c r="BL354" s="1155">
        <f t="shared" si="176"/>
        <v>0</v>
      </c>
      <c r="BM354" s="1155">
        <f t="shared" si="176"/>
        <v>0</v>
      </c>
      <c r="BN354" s="1155">
        <f t="shared" si="176"/>
        <v>0</v>
      </c>
      <c r="BO354" s="1155">
        <f t="shared" si="176"/>
        <v>0</v>
      </c>
      <c r="BP354" s="1155">
        <f t="shared" si="176"/>
        <v>0</v>
      </c>
      <c r="BQ354" s="1155">
        <f t="shared" si="176"/>
        <v>0</v>
      </c>
      <c r="BR354" s="1155">
        <f t="shared" si="176"/>
        <v>0</v>
      </c>
      <c r="BS354" s="1155">
        <f t="shared" si="176"/>
        <v>0</v>
      </c>
      <c r="BT354" s="1155">
        <f t="shared" si="176"/>
        <v>0</v>
      </c>
      <c r="BU354" s="1155">
        <f t="shared" si="176"/>
        <v>0</v>
      </c>
      <c r="BV354" s="1155">
        <f t="shared" si="176"/>
        <v>0</v>
      </c>
      <c r="BW354" s="1155">
        <f t="shared" si="176"/>
        <v>0</v>
      </c>
      <c r="BX354" s="1162">
        <f t="shared" si="176"/>
        <v>0</v>
      </c>
      <c r="BY354" s="1162">
        <f t="shared" si="176"/>
        <v>0</v>
      </c>
      <c r="BZ354" s="1162">
        <f t="shared" si="176"/>
        <v>0</v>
      </c>
      <c r="CA354" s="1162">
        <f t="shared" si="176"/>
        <v>0</v>
      </c>
      <c r="CB354" s="1162">
        <f t="shared" si="176"/>
        <v>0</v>
      </c>
      <c r="CC354" s="1162">
        <f t="shared" si="176"/>
        <v>0</v>
      </c>
      <c r="CD354" s="1162">
        <f t="shared" si="176"/>
        <v>0</v>
      </c>
      <c r="CE354" s="1162">
        <f t="shared" si="176"/>
        <v>0</v>
      </c>
      <c r="CF354" s="1162">
        <f t="shared" si="176"/>
        <v>0</v>
      </c>
      <c r="CG354" s="1162">
        <f t="shared" si="176"/>
        <v>0</v>
      </c>
      <c r="CH354" s="1162">
        <f t="shared" si="176"/>
        <v>0</v>
      </c>
      <c r="CI354" s="1162">
        <f t="shared" si="176"/>
        <v>0</v>
      </c>
      <c r="CJ354" s="1162">
        <f t="shared" si="176"/>
        <v>0</v>
      </c>
      <c r="CK354" s="1162">
        <f t="shared" si="176"/>
        <v>0</v>
      </c>
      <c r="CL354" s="1162">
        <f t="shared" si="175"/>
        <v>0</v>
      </c>
      <c r="CM354" s="1162">
        <f t="shared" si="175"/>
        <v>0</v>
      </c>
      <c r="CN354" s="1162">
        <f t="shared" si="175"/>
        <v>0</v>
      </c>
      <c r="CO354" s="1162">
        <f t="shared" si="175"/>
        <v>0</v>
      </c>
      <c r="CP354" s="1162">
        <f t="shared" si="175"/>
        <v>0</v>
      </c>
      <c r="CQ354" s="48">
        <f t="shared" si="175"/>
        <v>0</v>
      </c>
      <c r="CR354" s="48">
        <f t="shared" si="175"/>
        <v>0</v>
      </c>
      <c r="CS354" s="48">
        <f t="shared" si="175"/>
        <v>0</v>
      </c>
      <c r="CT354" s="48">
        <f t="shared" si="175"/>
        <v>0</v>
      </c>
      <c r="CU354" s="48">
        <f t="shared" si="175"/>
        <v>0</v>
      </c>
      <c r="CV354" s="48">
        <f t="shared" si="175"/>
        <v>0</v>
      </c>
      <c r="CW354" s="48">
        <f t="shared" si="175"/>
        <v>0</v>
      </c>
      <c r="CX354" s="48">
        <f t="shared" si="175"/>
        <v>0</v>
      </c>
      <c r="CY354" s="48">
        <f t="shared" si="175"/>
        <v>0</v>
      </c>
      <c r="CZ354" s="48">
        <f t="shared" si="175"/>
        <v>0</v>
      </c>
      <c r="DA354" s="48">
        <f t="shared" si="175"/>
        <v>0</v>
      </c>
      <c r="DB354" s="48">
        <f t="shared" si="175"/>
        <v>0</v>
      </c>
      <c r="DC354" s="48">
        <f t="shared" si="175"/>
        <v>0</v>
      </c>
      <c r="DD354" s="48">
        <f t="shared" si="175"/>
        <v>0</v>
      </c>
      <c r="DE354" s="48">
        <f t="shared" si="175"/>
        <v>0</v>
      </c>
      <c r="DF354" s="48">
        <f t="shared" si="175"/>
        <v>0</v>
      </c>
      <c r="DG354" s="48">
        <f t="shared" si="175"/>
        <v>0</v>
      </c>
      <c r="DH354" s="48">
        <f t="shared" si="175"/>
        <v>0</v>
      </c>
      <c r="DI354" s="48">
        <f t="shared" si="175"/>
        <v>0</v>
      </c>
      <c r="DJ354" s="48">
        <f t="shared" si="175"/>
        <v>0</v>
      </c>
      <c r="DK354" s="48">
        <f t="shared" si="175"/>
        <v>0</v>
      </c>
      <c r="DL354" s="48">
        <f t="shared" si="175"/>
        <v>0</v>
      </c>
      <c r="DM354" s="48">
        <f t="shared" si="175"/>
        <v>0</v>
      </c>
      <c r="DN354" s="48">
        <f t="shared" si="175"/>
        <v>0</v>
      </c>
      <c r="DO354" s="48">
        <f t="shared" si="175"/>
        <v>0</v>
      </c>
      <c r="DP354" s="48">
        <f t="shared" si="175"/>
        <v>0</v>
      </c>
      <c r="DQ354" s="48">
        <f t="shared" si="175"/>
        <v>0</v>
      </c>
      <c r="DR354" s="50">
        <f t="shared" si="175"/>
        <v>0</v>
      </c>
      <c r="DS354" s="50">
        <f t="shared" si="175"/>
        <v>0</v>
      </c>
      <c r="DT354" s="50">
        <f t="shared" si="175"/>
        <v>0</v>
      </c>
      <c r="DU354" s="50">
        <f t="shared" si="175"/>
        <v>0</v>
      </c>
      <c r="DV354" s="50">
        <f t="shared" si="175"/>
        <v>0</v>
      </c>
      <c r="DW354" s="50">
        <f t="shared" si="175"/>
        <v>0</v>
      </c>
      <c r="DX354" s="50">
        <f t="shared" si="175"/>
        <v>0</v>
      </c>
      <c r="DY354" s="50">
        <f t="shared" si="175"/>
        <v>0</v>
      </c>
      <c r="DZ354" s="50">
        <f t="shared" si="175"/>
        <v>0</v>
      </c>
      <c r="EA354" s="50">
        <f t="shared" si="175"/>
        <v>0</v>
      </c>
      <c r="EB354" s="50">
        <f t="shared" si="175"/>
        <v>0</v>
      </c>
      <c r="EC354" s="50">
        <f t="shared" si="175"/>
        <v>0</v>
      </c>
      <c r="ED354" s="50">
        <f t="shared" si="175"/>
        <v>0</v>
      </c>
      <c r="EE354" s="50">
        <f t="shared" si="175"/>
        <v>0</v>
      </c>
      <c r="EF354" s="50">
        <f t="shared" si="175"/>
        <v>0</v>
      </c>
      <c r="EG354" s="50">
        <f t="shared" si="175"/>
        <v>0</v>
      </c>
      <c r="EH354" s="50">
        <f t="shared" si="175"/>
        <v>0</v>
      </c>
      <c r="EI354" s="50">
        <f t="shared" si="175"/>
        <v>0</v>
      </c>
      <c r="EJ354" s="50">
        <f t="shared" si="175"/>
        <v>0</v>
      </c>
      <c r="EK354" s="50">
        <f t="shared" si="175"/>
        <v>0</v>
      </c>
      <c r="EL354" s="50">
        <f t="shared" si="175"/>
        <v>0</v>
      </c>
      <c r="EM354" s="50">
        <f t="shared" si="175"/>
        <v>0</v>
      </c>
      <c r="EN354" s="50">
        <f t="shared" si="175"/>
        <v>0</v>
      </c>
      <c r="EO354" s="39">
        <v>51</v>
      </c>
      <c r="EP354" s="39">
        <v>51</v>
      </c>
      <c r="EQ354" s="39">
        <v>51</v>
      </c>
      <c r="ER354" s="39">
        <v>51</v>
      </c>
      <c r="ES354" s="39">
        <v>51</v>
      </c>
      <c r="ET354" s="39">
        <v>51</v>
      </c>
      <c r="EU354" s="39">
        <v>51</v>
      </c>
      <c r="EV354" s="39">
        <v>51</v>
      </c>
      <c r="EW354" s="39">
        <v>51</v>
      </c>
      <c r="EX354" s="39">
        <v>51</v>
      </c>
    </row>
    <row r="355" spans="11:154" ht="12" customHeight="1" x14ac:dyDescent="0.35">
      <c r="K355" s="1668"/>
      <c r="L355" s="1668"/>
      <c r="M355" s="1668"/>
      <c r="N355" s="1668"/>
      <c r="O355" s="1668"/>
      <c r="P355" s="1668"/>
      <c r="Q355" s="1671"/>
      <c r="R355" s="1671"/>
      <c r="S355" s="1671"/>
      <c r="T355" s="1668"/>
      <c r="U355" s="1672"/>
      <c r="V355" s="1597"/>
      <c r="W355" s="1597"/>
      <c r="X355" s="381">
        <f t="shared" si="167"/>
        <v>12</v>
      </c>
      <c r="Y355" s="1645">
        <f t="shared" si="170"/>
        <v>0</v>
      </c>
      <c r="Z355" s="1646">
        <f t="shared" si="176"/>
        <v>0</v>
      </c>
      <c r="AA355" s="1646">
        <f t="shared" si="176"/>
        <v>0</v>
      </c>
      <c r="AB355" s="1646">
        <f t="shared" si="176"/>
        <v>0</v>
      </c>
      <c r="AC355" s="1646">
        <f t="shared" si="176"/>
        <v>0</v>
      </c>
      <c r="AD355" s="1646">
        <f t="shared" si="176"/>
        <v>0</v>
      </c>
      <c r="AE355" s="1646">
        <f t="shared" si="176"/>
        <v>0</v>
      </c>
      <c r="AF355" s="1155">
        <f t="shared" si="176"/>
        <v>0</v>
      </c>
      <c r="AG355" s="1155">
        <f t="shared" si="176"/>
        <v>0</v>
      </c>
      <c r="AH355" s="1155">
        <f t="shared" si="176"/>
        <v>0</v>
      </c>
      <c r="AI355" s="1155">
        <f t="shared" si="176"/>
        <v>0</v>
      </c>
      <c r="AJ355" s="1155">
        <f t="shared" si="176"/>
        <v>0</v>
      </c>
      <c r="AK355" s="1155">
        <f t="shared" si="176"/>
        <v>0</v>
      </c>
      <c r="AL355" s="1155">
        <f t="shared" si="176"/>
        <v>0</v>
      </c>
      <c r="AM355" s="1155">
        <f t="shared" si="176"/>
        <v>0</v>
      </c>
      <c r="AN355" s="1155">
        <f t="shared" si="176"/>
        <v>0</v>
      </c>
      <c r="AO355" s="1155">
        <f t="shared" si="176"/>
        <v>0</v>
      </c>
      <c r="AP355" s="1155">
        <f t="shared" si="176"/>
        <v>0</v>
      </c>
      <c r="AQ355" s="1155">
        <f t="shared" si="176"/>
        <v>0</v>
      </c>
      <c r="AR355" s="1155">
        <f t="shared" si="176"/>
        <v>0</v>
      </c>
      <c r="AS355" s="1155">
        <f t="shared" si="176"/>
        <v>0</v>
      </c>
      <c r="AT355" s="1155">
        <f t="shared" si="176"/>
        <v>0</v>
      </c>
      <c r="AU355" s="1155">
        <f t="shared" si="176"/>
        <v>0</v>
      </c>
      <c r="AV355" s="1155">
        <f t="shared" si="176"/>
        <v>0</v>
      </c>
      <c r="AW355" s="1155">
        <f t="shared" si="176"/>
        <v>0</v>
      </c>
      <c r="AX355" s="1155">
        <f t="shared" si="176"/>
        <v>0</v>
      </c>
      <c r="AY355" s="1155">
        <f t="shared" si="176"/>
        <v>0</v>
      </c>
      <c r="AZ355" s="1155">
        <f t="shared" si="176"/>
        <v>0</v>
      </c>
      <c r="BA355" s="1155">
        <f t="shared" si="176"/>
        <v>0</v>
      </c>
      <c r="BB355" s="1155">
        <f t="shared" si="176"/>
        <v>0</v>
      </c>
      <c r="BC355" s="1155">
        <f t="shared" si="176"/>
        <v>0</v>
      </c>
      <c r="BD355" s="1155">
        <f t="shared" si="176"/>
        <v>0</v>
      </c>
      <c r="BE355" s="1155">
        <f t="shared" si="176"/>
        <v>0</v>
      </c>
      <c r="BF355" s="1155">
        <f t="shared" si="176"/>
        <v>0</v>
      </c>
      <c r="BG355" s="1155">
        <f t="shared" si="176"/>
        <v>0</v>
      </c>
      <c r="BH355" s="1155">
        <f t="shared" si="176"/>
        <v>0</v>
      </c>
      <c r="BI355" s="1155">
        <f t="shared" si="176"/>
        <v>0</v>
      </c>
      <c r="BJ355" s="1155">
        <f t="shared" si="176"/>
        <v>0</v>
      </c>
      <c r="BK355" s="1155">
        <f t="shared" si="176"/>
        <v>0</v>
      </c>
      <c r="BL355" s="1155">
        <f t="shared" si="176"/>
        <v>0</v>
      </c>
      <c r="BM355" s="1155">
        <f t="shared" si="176"/>
        <v>0</v>
      </c>
      <c r="BN355" s="1155">
        <f t="shared" si="176"/>
        <v>0</v>
      </c>
      <c r="BO355" s="1155">
        <f t="shared" si="176"/>
        <v>0</v>
      </c>
      <c r="BP355" s="1155">
        <f t="shared" si="176"/>
        <v>0</v>
      </c>
      <c r="BQ355" s="1155">
        <f t="shared" si="176"/>
        <v>0</v>
      </c>
      <c r="BR355" s="1155">
        <f t="shared" si="176"/>
        <v>0</v>
      </c>
      <c r="BS355" s="1155">
        <f t="shared" si="176"/>
        <v>0</v>
      </c>
      <c r="BT355" s="1155">
        <f t="shared" si="176"/>
        <v>0</v>
      </c>
      <c r="BU355" s="1155">
        <f t="shared" si="176"/>
        <v>0</v>
      </c>
      <c r="BV355" s="1155">
        <f t="shared" si="176"/>
        <v>0</v>
      </c>
      <c r="BW355" s="1155">
        <f t="shared" si="176"/>
        <v>0</v>
      </c>
      <c r="BX355" s="1162">
        <f t="shared" si="176"/>
        <v>0</v>
      </c>
      <c r="BY355" s="1162">
        <f t="shared" si="176"/>
        <v>0</v>
      </c>
      <c r="BZ355" s="1162">
        <f t="shared" si="176"/>
        <v>0</v>
      </c>
      <c r="CA355" s="1162">
        <f t="shared" si="176"/>
        <v>0</v>
      </c>
      <c r="CB355" s="1162">
        <f t="shared" si="176"/>
        <v>0</v>
      </c>
      <c r="CC355" s="1162">
        <f t="shared" si="176"/>
        <v>0</v>
      </c>
      <c r="CD355" s="1162">
        <f t="shared" si="176"/>
        <v>0</v>
      </c>
      <c r="CE355" s="1162">
        <f t="shared" si="176"/>
        <v>0</v>
      </c>
      <c r="CF355" s="1162">
        <f t="shared" si="176"/>
        <v>0</v>
      </c>
      <c r="CG355" s="1162">
        <f t="shared" si="176"/>
        <v>0</v>
      </c>
      <c r="CH355" s="1162">
        <f t="shared" si="176"/>
        <v>0</v>
      </c>
      <c r="CI355" s="1162">
        <f t="shared" si="176"/>
        <v>0</v>
      </c>
      <c r="CJ355" s="1162">
        <f t="shared" si="176"/>
        <v>0</v>
      </c>
      <c r="CK355" s="1162">
        <f t="shared" si="176"/>
        <v>0</v>
      </c>
      <c r="CL355" s="1162">
        <f t="shared" si="175"/>
        <v>0</v>
      </c>
      <c r="CM355" s="1162">
        <f t="shared" si="175"/>
        <v>0</v>
      </c>
      <c r="CN355" s="1162">
        <f t="shared" si="175"/>
        <v>0</v>
      </c>
      <c r="CO355" s="1162">
        <f t="shared" si="175"/>
        <v>0</v>
      </c>
      <c r="CP355" s="1162">
        <f t="shared" si="175"/>
        <v>0</v>
      </c>
      <c r="CQ355" s="48">
        <f t="shared" si="175"/>
        <v>0</v>
      </c>
      <c r="CR355" s="48">
        <f t="shared" si="175"/>
        <v>0</v>
      </c>
      <c r="CS355" s="48">
        <f t="shared" si="175"/>
        <v>0</v>
      </c>
      <c r="CT355" s="48">
        <f t="shared" si="175"/>
        <v>0</v>
      </c>
      <c r="CU355" s="48">
        <f t="shared" si="175"/>
        <v>0</v>
      </c>
      <c r="CV355" s="48">
        <f t="shared" si="175"/>
        <v>0</v>
      </c>
      <c r="CW355" s="48">
        <f t="shared" si="175"/>
        <v>0</v>
      </c>
      <c r="CX355" s="48">
        <f t="shared" si="175"/>
        <v>0</v>
      </c>
      <c r="CY355" s="48">
        <f t="shared" si="175"/>
        <v>0</v>
      </c>
      <c r="CZ355" s="48">
        <f t="shared" si="175"/>
        <v>0</v>
      </c>
      <c r="DA355" s="48">
        <f t="shared" si="175"/>
        <v>0</v>
      </c>
      <c r="DB355" s="48">
        <f t="shared" si="175"/>
        <v>0</v>
      </c>
      <c r="DC355" s="48">
        <f t="shared" si="175"/>
        <v>0</v>
      </c>
      <c r="DD355" s="48">
        <f t="shared" si="175"/>
        <v>0</v>
      </c>
      <c r="DE355" s="48">
        <f t="shared" si="175"/>
        <v>0</v>
      </c>
      <c r="DF355" s="48">
        <f t="shared" si="175"/>
        <v>0</v>
      </c>
      <c r="DG355" s="48">
        <f t="shared" si="175"/>
        <v>0</v>
      </c>
      <c r="DH355" s="48">
        <f t="shared" si="175"/>
        <v>0</v>
      </c>
      <c r="DI355" s="48">
        <f t="shared" si="175"/>
        <v>0</v>
      </c>
      <c r="DJ355" s="48">
        <f t="shared" si="175"/>
        <v>0</v>
      </c>
      <c r="DK355" s="48">
        <f t="shared" si="175"/>
        <v>0</v>
      </c>
      <c r="DL355" s="48">
        <f t="shared" si="175"/>
        <v>0</v>
      </c>
      <c r="DM355" s="48">
        <f t="shared" si="175"/>
        <v>0</v>
      </c>
      <c r="DN355" s="48">
        <f t="shared" si="175"/>
        <v>0</v>
      </c>
      <c r="DO355" s="48">
        <f t="shared" si="175"/>
        <v>0</v>
      </c>
      <c r="DP355" s="48">
        <f t="shared" si="175"/>
        <v>0</v>
      </c>
      <c r="DQ355" s="48">
        <f t="shared" si="175"/>
        <v>0</v>
      </c>
      <c r="DR355" s="50">
        <f t="shared" si="175"/>
        <v>0</v>
      </c>
      <c r="DS355" s="50">
        <f t="shared" si="175"/>
        <v>0</v>
      </c>
      <c r="DT355" s="50">
        <f t="shared" si="175"/>
        <v>0</v>
      </c>
      <c r="DU355" s="50">
        <f t="shared" si="175"/>
        <v>0</v>
      </c>
      <c r="DV355" s="50">
        <f t="shared" si="175"/>
        <v>0</v>
      </c>
      <c r="DW355" s="50">
        <f t="shared" si="175"/>
        <v>0</v>
      </c>
      <c r="DX355" s="50">
        <f t="shared" si="175"/>
        <v>0</v>
      </c>
      <c r="DY355" s="50">
        <f t="shared" si="175"/>
        <v>0</v>
      </c>
      <c r="DZ355" s="50">
        <f t="shared" si="175"/>
        <v>0</v>
      </c>
      <c r="EA355" s="50">
        <f t="shared" si="175"/>
        <v>0</v>
      </c>
      <c r="EB355" s="50">
        <f t="shared" si="175"/>
        <v>0</v>
      </c>
      <c r="EC355" s="50">
        <f t="shared" si="175"/>
        <v>0</v>
      </c>
      <c r="ED355" s="50">
        <f t="shared" si="175"/>
        <v>0</v>
      </c>
      <c r="EE355" s="50">
        <f t="shared" si="175"/>
        <v>0</v>
      </c>
      <c r="EF355" s="50">
        <f t="shared" si="175"/>
        <v>0</v>
      </c>
      <c r="EG355" s="50">
        <f t="shared" si="175"/>
        <v>0</v>
      </c>
      <c r="EH355" s="50">
        <f t="shared" si="175"/>
        <v>0</v>
      </c>
      <c r="EI355" s="50">
        <f t="shared" si="175"/>
        <v>0</v>
      </c>
      <c r="EJ355" s="50">
        <f t="shared" si="175"/>
        <v>0</v>
      </c>
      <c r="EK355" s="50">
        <f t="shared" si="175"/>
        <v>0</v>
      </c>
      <c r="EL355" s="50">
        <f t="shared" si="175"/>
        <v>0</v>
      </c>
      <c r="EM355" s="50">
        <f t="shared" si="175"/>
        <v>0</v>
      </c>
      <c r="EN355" s="50">
        <f t="shared" si="175"/>
        <v>0</v>
      </c>
      <c r="EO355" s="39">
        <v>51</v>
      </c>
      <c r="EP355" s="39">
        <v>51</v>
      </c>
      <c r="EQ355" s="39">
        <v>51</v>
      </c>
      <c r="ER355" s="39">
        <v>51</v>
      </c>
      <c r="ES355" s="39">
        <v>51</v>
      </c>
      <c r="ET355" s="39">
        <v>51</v>
      </c>
      <c r="EU355" s="39">
        <v>51</v>
      </c>
      <c r="EV355" s="39">
        <v>51</v>
      </c>
      <c r="EW355" s="39">
        <v>51</v>
      </c>
      <c r="EX355" s="39">
        <v>51</v>
      </c>
    </row>
    <row r="356" spans="11:154" ht="12" customHeight="1" x14ac:dyDescent="0.35">
      <c r="K356" s="1668"/>
      <c r="L356" s="1668"/>
      <c r="M356" s="1668"/>
      <c r="N356" s="1668"/>
      <c r="O356" s="1668"/>
      <c r="P356" s="1668"/>
      <c r="Q356" s="1671"/>
      <c r="R356" s="1671"/>
      <c r="S356" s="1671"/>
      <c r="T356" s="1668"/>
      <c r="U356" s="1672"/>
      <c r="V356" s="1597"/>
      <c r="W356" s="1597"/>
      <c r="X356" s="381">
        <f t="shared" si="167"/>
        <v>13</v>
      </c>
      <c r="Y356" s="1645">
        <f t="shared" si="170"/>
        <v>0</v>
      </c>
      <c r="Z356" s="1646">
        <f t="shared" si="176"/>
        <v>0</v>
      </c>
      <c r="AA356" s="1646">
        <f t="shared" si="176"/>
        <v>0</v>
      </c>
      <c r="AB356" s="1646">
        <f t="shared" si="176"/>
        <v>0</v>
      </c>
      <c r="AC356" s="1646">
        <f t="shared" si="176"/>
        <v>0</v>
      </c>
      <c r="AD356" s="1646">
        <f t="shared" si="176"/>
        <v>0</v>
      </c>
      <c r="AE356" s="1646">
        <f t="shared" si="176"/>
        <v>0</v>
      </c>
      <c r="AF356" s="1155">
        <f t="shared" si="176"/>
        <v>0</v>
      </c>
      <c r="AG356" s="1155">
        <f t="shared" si="176"/>
        <v>0</v>
      </c>
      <c r="AH356" s="1155">
        <f t="shared" si="176"/>
        <v>0</v>
      </c>
      <c r="AI356" s="1155">
        <f t="shared" si="176"/>
        <v>0</v>
      </c>
      <c r="AJ356" s="1155">
        <f t="shared" si="176"/>
        <v>0</v>
      </c>
      <c r="AK356" s="1155">
        <f t="shared" si="176"/>
        <v>0</v>
      </c>
      <c r="AL356" s="1155">
        <f t="shared" si="176"/>
        <v>0</v>
      </c>
      <c r="AM356" s="1155">
        <f t="shared" si="176"/>
        <v>0</v>
      </c>
      <c r="AN356" s="1155">
        <f t="shared" si="176"/>
        <v>0</v>
      </c>
      <c r="AO356" s="1155">
        <f t="shared" si="176"/>
        <v>0</v>
      </c>
      <c r="AP356" s="1155">
        <f t="shared" si="176"/>
        <v>0</v>
      </c>
      <c r="AQ356" s="1155">
        <f t="shared" si="176"/>
        <v>0</v>
      </c>
      <c r="AR356" s="1155">
        <f t="shared" si="176"/>
        <v>0</v>
      </c>
      <c r="AS356" s="1155">
        <f t="shared" si="176"/>
        <v>0</v>
      </c>
      <c r="AT356" s="1155">
        <f t="shared" si="176"/>
        <v>0</v>
      </c>
      <c r="AU356" s="1155">
        <f t="shared" si="176"/>
        <v>0</v>
      </c>
      <c r="AV356" s="1155">
        <f t="shared" si="176"/>
        <v>0</v>
      </c>
      <c r="AW356" s="1155">
        <f t="shared" si="176"/>
        <v>0</v>
      </c>
      <c r="AX356" s="1155">
        <f t="shared" si="176"/>
        <v>0</v>
      </c>
      <c r="AY356" s="1155">
        <f t="shared" si="176"/>
        <v>0</v>
      </c>
      <c r="AZ356" s="1155">
        <f t="shared" si="176"/>
        <v>0</v>
      </c>
      <c r="BA356" s="1155">
        <f t="shared" si="176"/>
        <v>0</v>
      </c>
      <c r="BB356" s="1155">
        <f t="shared" si="176"/>
        <v>0</v>
      </c>
      <c r="BC356" s="1155">
        <f t="shared" si="176"/>
        <v>0</v>
      </c>
      <c r="BD356" s="1155">
        <f t="shared" si="176"/>
        <v>0</v>
      </c>
      <c r="BE356" s="1155">
        <f t="shared" si="176"/>
        <v>0</v>
      </c>
      <c r="BF356" s="1155">
        <f t="shared" si="176"/>
        <v>0</v>
      </c>
      <c r="BG356" s="1155">
        <f t="shared" si="176"/>
        <v>0</v>
      </c>
      <c r="BH356" s="1155">
        <f t="shared" si="176"/>
        <v>0</v>
      </c>
      <c r="BI356" s="1155">
        <f t="shared" si="176"/>
        <v>0</v>
      </c>
      <c r="BJ356" s="1155">
        <f t="shared" si="176"/>
        <v>0</v>
      </c>
      <c r="BK356" s="1155">
        <f t="shared" si="176"/>
        <v>0</v>
      </c>
      <c r="BL356" s="1155">
        <f t="shared" si="176"/>
        <v>0</v>
      </c>
      <c r="BM356" s="1155">
        <f t="shared" si="176"/>
        <v>0</v>
      </c>
      <c r="BN356" s="1155">
        <f t="shared" si="176"/>
        <v>0</v>
      </c>
      <c r="BO356" s="1155">
        <f t="shared" si="176"/>
        <v>0</v>
      </c>
      <c r="BP356" s="1155">
        <f t="shared" si="176"/>
        <v>0</v>
      </c>
      <c r="BQ356" s="1155">
        <f t="shared" si="176"/>
        <v>0</v>
      </c>
      <c r="BR356" s="1155">
        <f t="shared" si="176"/>
        <v>0</v>
      </c>
      <c r="BS356" s="1155">
        <f t="shared" si="176"/>
        <v>0</v>
      </c>
      <c r="BT356" s="1155">
        <f t="shared" si="176"/>
        <v>0</v>
      </c>
      <c r="BU356" s="1155">
        <f t="shared" si="176"/>
        <v>0</v>
      </c>
      <c r="BV356" s="1155">
        <f t="shared" si="176"/>
        <v>0</v>
      </c>
      <c r="BW356" s="1155">
        <f t="shared" si="176"/>
        <v>0</v>
      </c>
      <c r="BX356" s="1162">
        <f t="shared" si="176"/>
        <v>0</v>
      </c>
      <c r="BY356" s="1162">
        <f t="shared" si="176"/>
        <v>0</v>
      </c>
      <c r="BZ356" s="1162">
        <f t="shared" si="176"/>
        <v>0</v>
      </c>
      <c r="CA356" s="1162">
        <f t="shared" si="176"/>
        <v>0</v>
      </c>
      <c r="CB356" s="1162">
        <f t="shared" si="176"/>
        <v>0</v>
      </c>
      <c r="CC356" s="1162">
        <f t="shared" si="176"/>
        <v>0</v>
      </c>
      <c r="CD356" s="1162">
        <f t="shared" si="176"/>
        <v>0</v>
      </c>
      <c r="CE356" s="1162">
        <f t="shared" si="176"/>
        <v>0</v>
      </c>
      <c r="CF356" s="1162">
        <f t="shared" si="176"/>
        <v>0</v>
      </c>
      <c r="CG356" s="1162">
        <f t="shared" si="176"/>
        <v>0</v>
      </c>
      <c r="CH356" s="1162">
        <f t="shared" si="176"/>
        <v>0</v>
      </c>
      <c r="CI356" s="1162">
        <f t="shared" si="176"/>
        <v>0</v>
      </c>
      <c r="CJ356" s="1162">
        <f t="shared" si="176"/>
        <v>0</v>
      </c>
      <c r="CK356" s="1162">
        <f t="shared" si="176"/>
        <v>0</v>
      </c>
      <c r="CL356" s="1162">
        <f t="shared" si="175"/>
        <v>0</v>
      </c>
      <c r="CM356" s="1162">
        <f t="shared" si="175"/>
        <v>0</v>
      </c>
      <c r="CN356" s="1162">
        <f t="shared" si="175"/>
        <v>0</v>
      </c>
      <c r="CO356" s="1162">
        <f t="shared" si="175"/>
        <v>0</v>
      </c>
      <c r="CP356" s="1162">
        <f t="shared" si="175"/>
        <v>0</v>
      </c>
      <c r="CQ356" s="48">
        <f t="shared" si="175"/>
        <v>0</v>
      </c>
      <c r="CR356" s="48">
        <f t="shared" si="175"/>
        <v>0</v>
      </c>
      <c r="CS356" s="48">
        <f t="shared" si="175"/>
        <v>0</v>
      </c>
      <c r="CT356" s="48">
        <f t="shared" si="175"/>
        <v>0</v>
      </c>
      <c r="CU356" s="48">
        <f t="shared" si="175"/>
        <v>0</v>
      </c>
      <c r="CV356" s="48">
        <f t="shared" si="175"/>
        <v>0</v>
      </c>
      <c r="CW356" s="48">
        <f t="shared" si="175"/>
        <v>0</v>
      </c>
      <c r="CX356" s="48">
        <f t="shared" si="175"/>
        <v>0</v>
      </c>
      <c r="CY356" s="48">
        <f t="shared" si="175"/>
        <v>0</v>
      </c>
      <c r="CZ356" s="48">
        <f t="shared" si="175"/>
        <v>0</v>
      </c>
      <c r="DA356" s="48">
        <f t="shared" si="175"/>
        <v>0</v>
      </c>
      <c r="DB356" s="48">
        <f t="shared" si="175"/>
        <v>0</v>
      </c>
      <c r="DC356" s="48">
        <f t="shared" si="175"/>
        <v>0</v>
      </c>
      <c r="DD356" s="48">
        <f t="shared" si="175"/>
        <v>0</v>
      </c>
      <c r="DE356" s="48">
        <f t="shared" si="175"/>
        <v>0</v>
      </c>
      <c r="DF356" s="48">
        <f t="shared" si="175"/>
        <v>0</v>
      </c>
      <c r="DG356" s="48">
        <f t="shared" si="175"/>
        <v>0</v>
      </c>
      <c r="DH356" s="48">
        <f t="shared" si="175"/>
        <v>0</v>
      </c>
      <c r="DI356" s="48">
        <f t="shared" si="175"/>
        <v>0</v>
      </c>
      <c r="DJ356" s="48">
        <f t="shared" si="175"/>
        <v>0</v>
      </c>
      <c r="DK356" s="48">
        <f t="shared" si="175"/>
        <v>0</v>
      </c>
      <c r="DL356" s="48">
        <f t="shared" si="175"/>
        <v>0</v>
      </c>
      <c r="DM356" s="48">
        <f t="shared" si="175"/>
        <v>0</v>
      </c>
      <c r="DN356" s="48">
        <f t="shared" si="175"/>
        <v>0</v>
      </c>
      <c r="DO356" s="48">
        <f t="shared" si="175"/>
        <v>0</v>
      </c>
      <c r="DP356" s="48">
        <f t="shared" si="175"/>
        <v>0</v>
      </c>
      <c r="DQ356" s="48">
        <f t="shared" si="175"/>
        <v>0</v>
      </c>
      <c r="DR356" s="50">
        <f t="shared" si="175"/>
        <v>0</v>
      </c>
      <c r="DS356" s="50">
        <f t="shared" si="175"/>
        <v>0</v>
      </c>
      <c r="DT356" s="50">
        <f t="shared" si="175"/>
        <v>0</v>
      </c>
      <c r="DU356" s="50">
        <f t="shared" si="175"/>
        <v>0</v>
      </c>
      <c r="DV356" s="50">
        <f t="shared" si="175"/>
        <v>0</v>
      </c>
      <c r="DW356" s="50">
        <f t="shared" si="175"/>
        <v>0</v>
      </c>
      <c r="DX356" s="50">
        <f t="shared" si="175"/>
        <v>0</v>
      </c>
      <c r="DY356" s="50">
        <f t="shared" si="175"/>
        <v>0</v>
      </c>
      <c r="DZ356" s="50">
        <f t="shared" si="175"/>
        <v>0</v>
      </c>
      <c r="EA356" s="50">
        <f t="shared" si="175"/>
        <v>0</v>
      </c>
      <c r="EB356" s="50">
        <f t="shared" si="175"/>
        <v>0</v>
      </c>
      <c r="EC356" s="50">
        <f t="shared" si="175"/>
        <v>0</v>
      </c>
      <c r="ED356" s="50">
        <f t="shared" si="175"/>
        <v>0</v>
      </c>
      <c r="EE356" s="50">
        <f t="shared" si="175"/>
        <v>0</v>
      </c>
      <c r="EF356" s="50">
        <f t="shared" si="175"/>
        <v>0</v>
      </c>
      <c r="EG356" s="50">
        <f t="shared" si="175"/>
        <v>0</v>
      </c>
      <c r="EH356" s="50">
        <f t="shared" si="175"/>
        <v>0</v>
      </c>
      <c r="EI356" s="50">
        <f t="shared" si="175"/>
        <v>0</v>
      </c>
      <c r="EJ356" s="50">
        <f t="shared" si="175"/>
        <v>0</v>
      </c>
      <c r="EK356" s="50">
        <f t="shared" si="175"/>
        <v>0</v>
      </c>
      <c r="EL356" s="50">
        <f t="shared" si="175"/>
        <v>0</v>
      </c>
      <c r="EM356" s="50">
        <f t="shared" si="175"/>
        <v>0</v>
      </c>
      <c r="EN356" s="50">
        <f t="shared" si="175"/>
        <v>0</v>
      </c>
      <c r="EO356" s="39">
        <v>51</v>
      </c>
      <c r="EP356" s="39">
        <v>51</v>
      </c>
      <c r="EQ356" s="39">
        <v>51</v>
      </c>
      <c r="ER356" s="39">
        <v>51</v>
      </c>
      <c r="ES356" s="39">
        <v>51</v>
      </c>
      <c r="ET356" s="39">
        <v>51</v>
      </c>
      <c r="EU356" s="39">
        <v>51</v>
      </c>
      <c r="EV356" s="39">
        <v>51</v>
      </c>
      <c r="EW356" s="39">
        <v>51</v>
      </c>
      <c r="EX356" s="39">
        <v>51</v>
      </c>
    </row>
    <row r="357" spans="11:154" ht="12" customHeight="1" x14ac:dyDescent="0.35">
      <c r="K357" s="1668"/>
      <c r="L357" s="1668"/>
      <c r="M357" s="1668"/>
      <c r="N357" s="1668"/>
      <c r="O357" s="1668"/>
      <c r="P357" s="1668"/>
      <c r="Q357" s="1671"/>
      <c r="R357" s="1671"/>
      <c r="S357" s="1671"/>
      <c r="T357" s="1668"/>
      <c r="U357" s="1672"/>
      <c r="V357" s="1597"/>
      <c r="W357" s="1597"/>
      <c r="X357" s="381">
        <f t="shared" si="167"/>
        <v>14</v>
      </c>
      <c r="Y357" s="1645">
        <f t="shared" si="170"/>
        <v>0</v>
      </c>
      <c r="Z357" s="1646">
        <f t="shared" si="176"/>
        <v>0</v>
      </c>
      <c r="AA357" s="1646">
        <f t="shared" si="176"/>
        <v>0</v>
      </c>
      <c r="AB357" s="1646">
        <f t="shared" si="176"/>
        <v>0</v>
      </c>
      <c r="AC357" s="1646">
        <f t="shared" si="176"/>
        <v>0</v>
      </c>
      <c r="AD357" s="1646">
        <f t="shared" si="176"/>
        <v>0</v>
      </c>
      <c r="AE357" s="1646">
        <f t="shared" si="176"/>
        <v>0</v>
      </c>
      <c r="AF357" s="1155">
        <f t="shared" si="176"/>
        <v>0</v>
      </c>
      <c r="AG357" s="1155">
        <f t="shared" si="176"/>
        <v>0</v>
      </c>
      <c r="AH357" s="1155">
        <f t="shared" si="176"/>
        <v>0</v>
      </c>
      <c r="AI357" s="1155">
        <f t="shared" si="176"/>
        <v>0</v>
      </c>
      <c r="AJ357" s="1155">
        <f t="shared" si="176"/>
        <v>0</v>
      </c>
      <c r="AK357" s="1155">
        <f t="shared" si="176"/>
        <v>0</v>
      </c>
      <c r="AL357" s="1155">
        <f t="shared" si="176"/>
        <v>0</v>
      </c>
      <c r="AM357" s="1155">
        <f t="shared" si="176"/>
        <v>0</v>
      </c>
      <c r="AN357" s="1155">
        <f t="shared" si="176"/>
        <v>0</v>
      </c>
      <c r="AO357" s="1155">
        <f t="shared" si="176"/>
        <v>0</v>
      </c>
      <c r="AP357" s="1155">
        <f t="shared" si="176"/>
        <v>0</v>
      </c>
      <c r="AQ357" s="1155">
        <f t="shared" si="176"/>
        <v>0</v>
      </c>
      <c r="AR357" s="1155">
        <f t="shared" si="176"/>
        <v>0</v>
      </c>
      <c r="AS357" s="1155">
        <f t="shared" si="176"/>
        <v>0</v>
      </c>
      <c r="AT357" s="1155">
        <f t="shared" si="176"/>
        <v>0</v>
      </c>
      <c r="AU357" s="1155">
        <f t="shared" si="176"/>
        <v>0</v>
      </c>
      <c r="AV357" s="1155">
        <f t="shared" si="176"/>
        <v>0</v>
      </c>
      <c r="AW357" s="1155">
        <f t="shared" si="176"/>
        <v>0</v>
      </c>
      <c r="AX357" s="1155">
        <f t="shared" si="176"/>
        <v>0</v>
      </c>
      <c r="AY357" s="1155">
        <f t="shared" si="176"/>
        <v>0</v>
      </c>
      <c r="AZ357" s="1155">
        <f t="shared" si="176"/>
        <v>0</v>
      </c>
      <c r="BA357" s="1155">
        <f t="shared" si="176"/>
        <v>0</v>
      </c>
      <c r="BB357" s="1155">
        <f t="shared" si="176"/>
        <v>0</v>
      </c>
      <c r="BC357" s="1155">
        <f t="shared" si="176"/>
        <v>0</v>
      </c>
      <c r="BD357" s="1155">
        <f t="shared" si="176"/>
        <v>0</v>
      </c>
      <c r="BE357" s="1155">
        <f t="shared" si="176"/>
        <v>0</v>
      </c>
      <c r="BF357" s="1155">
        <f t="shared" si="176"/>
        <v>0</v>
      </c>
      <c r="BG357" s="1155">
        <f t="shared" si="176"/>
        <v>0</v>
      </c>
      <c r="BH357" s="1155">
        <f t="shared" si="176"/>
        <v>0</v>
      </c>
      <c r="BI357" s="1155">
        <f t="shared" si="176"/>
        <v>0</v>
      </c>
      <c r="BJ357" s="1155">
        <f t="shared" si="176"/>
        <v>0</v>
      </c>
      <c r="BK357" s="1155">
        <f t="shared" si="176"/>
        <v>0</v>
      </c>
      <c r="BL357" s="1155">
        <f t="shared" si="176"/>
        <v>0</v>
      </c>
      <c r="BM357" s="1155">
        <f t="shared" si="176"/>
        <v>0</v>
      </c>
      <c r="BN357" s="1155">
        <f t="shared" si="176"/>
        <v>0</v>
      </c>
      <c r="BO357" s="1155">
        <f t="shared" si="176"/>
        <v>0</v>
      </c>
      <c r="BP357" s="1155">
        <f t="shared" si="176"/>
        <v>0</v>
      </c>
      <c r="BQ357" s="1155">
        <f t="shared" si="176"/>
        <v>0</v>
      </c>
      <c r="BR357" s="1155">
        <f t="shared" si="176"/>
        <v>0</v>
      </c>
      <c r="BS357" s="1155">
        <f t="shared" si="176"/>
        <v>0</v>
      </c>
      <c r="BT357" s="1155">
        <f t="shared" si="176"/>
        <v>0</v>
      </c>
      <c r="BU357" s="1155">
        <f t="shared" si="176"/>
        <v>0</v>
      </c>
      <c r="BV357" s="1155">
        <f t="shared" si="176"/>
        <v>0</v>
      </c>
      <c r="BW357" s="1155">
        <f t="shared" si="176"/>
        <v>0</v>
      </c>
      <c r="BX357" s="1162">
        <f t="shared" si="176"/>
        <v>0</v>
      </c>
      <c r="BY357" s="1162">
        <f t="shared" si="176"/>
        <v>0</v>
      </c>
      <c r="BZ357" s="1162">
        <f t="shared" si="176"/>
        <v>0</v>
      </c>
      <c r="CA357" s="1162">
        <f t="shared" si="176"/>
        <v>0</v>
      </c>
      <c r="CB357" s="1162">
        <f t="shared" si="176"/>
        <v>0</v>
      </c>
      <c r="CC357" s="1162">
        <f t="shared" si="176"/>
        <v>0</v>
      </c>
      <c r="CD357" s="1162">
        <f t="shared" si="176"/>
        <v>0</v>
      </c>
      <c r="CE357" s="1162">
        <f t="shared" si="176"/>
        <v>0</v>
      </c>
      <c r="CF357" s="1162">
        <f t="shared" si="176"/>
        <v>0</v>
      </c>
      <c r="CG357" s="1162">
        <f t="shared" si="176"/>
        <v>0</v>
      </c>
      <c r="CH357" s="1162">
        <f t="shared" si="176"/>
        <v>0</v>
      </c>
      <c r="CI357" s="1162">
        <f t="shared" si="176"/>
        <v>0</v>
      </c>
      <c r="CJ357" s="1162">
        <f t="shared" si="176"/>
        <v>0</v>
      </c>
      <c r="CK357" s="1162">
        <f t="shared" ref="CK357:EN360" si="177">IF(OR($R291=0,$S291=0),0,IF($S291=CK$343,$R291,0))</f>
        <v>0</v>
      </c>
      <c r="CL357" s="1162">
        <f t="shared" si="177"/>
        <v>0</v>
      </c>
      <c r="CM357" s="1162">
        <f t="shared" si="177"/>
        <v>0</v>
      </c>
      <c r="CN357" s="1162">
        <f t="shared" si="177"/>
        <v>0</v>
      </c>
      <c r="CO357" s="1162">
        <f t="shared" si="177"/>
        <v>0</v>
      </c>
      <c r="CP357" s="1162">
        <f t="shared" si="177"/>
        <v>0</v>
      </c>
      <c r="CQ357" s="48">
        <f t="shared" si="177"/>
        <v>0</v>
      </c>
      <c r="CR357" s="48">
        <f t="shared" si="177"/>
        <v>0</v>
      </c>
      <c r="CS357" s="48">
        <f t="shared" si="177"/>
        <v>0</v>
      </c>
      <c r="CT357" s="48">
        <f t="shared" si="177"/>
        <v>0</v>
      </c>
      <c r="CU357" s="48">
        <f t="shared" si="177"/>
        <v>0</v>
      </c>
      <c r="CV357" s="48">
        <f t="shared" si="177"/>
        <v>0</v>
      </c>
      <c r="CW357" s="48">
        <f t="shared" si="177"/>
        <v>0</v>
      </c>
      <c r="CX357" s="48">
        <f t="shared" si="177"/>
        <v>0</v>
      </c>
      <c r="CY357" s="48">
        <f t="shared" si="177"/>
        <v>0</v>
      </c>
      <c r="CZ357" s="48">
        <f t="shared" si="177"/>
        <v>0</v>
      </c>
      <c r="DA357" s="48">
        <f t="shared" si="177"/>
        <v>0</v>
      </c>
      <c r="DB357" s="48">
        <f t="shared" si="177"/>
        <v>0</v>
      </c>
      <c r="DC357" s="48">
        <f t="shared" si="177"/>
        <v>0</v>
      </c>
      <c r="DD357" s="48">
        <f t="shared" si="177"/>
        <v>0</v>
      </c>
      <c r="DE357" s="48">
        <f t="shared" si="177"/>
        <v>0</v>
      </c>
      <c r="DF357" s="48">
        <f t="shared" si="177"/>
        <v>0</v>
      </c>
      <c r="DG357" s="48">
        <f t="shared" si="177"/>
        <v>0</v>
      </c>
      <c r="DH357" s="48">
        <f t="shared" si="177"/>
        <v>0</v>
      </c>
      <c r="DI357" s="48">
        <f t="shared" si="177"/>
        <v>0</v>
      </c>
      <c r="DJ357" s="48">
        <f t="shared" si="177"/>
        <v>0</v>
      </c>
      <c r="DK357" s="48">
        <f t="shared" si="177"/>
        <v>0</v>
      </c>
      <c r="DL357" s="48">
        <f t="shared" si="177"/>
        <v>0</v>
      </c>
      <c r="DM357" s="48">
        <f t="shared" si="177"/>
        <v>0</v>
      </c>
      <c r="DN357" s="48">
        <f t="shared" si="177"/>
        <v>0</v>
      </c>
      <c r="DO357" s="48">
        <f t="shared" si="177"/>
        <v>0</v>
      </c>
      <c r="DP357" s="48">
        <f t="shared" si="177"/>
        <v>0</v>
      </c>
      <c r="DQ357" s="48">
        <f t="shared" si="177"/>
        <v>0</v>
      </c>
      <c r="DR357" s="50">
        <f t="shared" si="177"/>
        <v>0</v>
      </c>
      <c r="DS357" s="50">
        <f t="shared" si="177"/>
        <v>0</v>
      </c>
      <c r="DT357" s="50">
        <f t="shared" si="177"/>
        <v>0</v>
      </c>
      <c r="DU357" s="50">
        <f t="shared" si="177"/>
        <v>0</v>
      </c>
      <c r="DV357" s="50">
        <f t="shared" si="177"/>
        <v>0</v>
      </c>
      <c r="DW357" s="50">
        <f t="shared" si="177"/>
        <v>0</v>
      </c>
      <c r="DX357" s="50">
        <f t="shared" si="177"/>
        <v>0</v>
      </c>
      <c r="DY357" s="50">
        <f t="shared" si="177"/>
        <v>0</v>
      </c>
      <c r="DZ357" s="50">
        <f t="shared" si="177"/>
        <v>0</v>
      </c>
      <c r="EA357" s="50">
        <f t="shared" si="177"/>
        <v>0</v>
      </c>
      <c r="EB357" s="50">
        <f t="shared" si="177"/>
        <v>0</v>
      </c>
      <c r="EC357" s="50">
        <f t="shared" si="177"/>
        <v>0</v>
      </c>
      <c r="ED357" s="50">
        <f t="shared" si="177"/>
        <v>0</v>
      </c>
      <c r="EE357" s="50">
        <f t="shared" si="177"/>
        <v>0</v>
      </c>
      <c r="EF357" s="50">
        <f t="shared" si="177"/>
        <v>0</v>
      </c>
      <c r="EG357" s="50">
        <f t="shared" si="177"/>
        <v>0</v>
      </c>
      <c r="EH357" s="50">
        <f t="shared" si="177"/>
        <v>0</v>
      </c>
      <c r="EI357" s="50">
        <f t="shared" si="177"/>
        <v>0</v>
      </c>
      <c r="EJ357" s="50">
        <f t="shared" si="177"/>
        <v>0</v>
      </c>
      <c r="EK357" s="50">
        <f t="shared" si="177"/>
        <v>0</v>
      </c>
      <c r="EL357" s="50">
        <f t="shared" si="177"/>
        <v>0</v>
      </c>
      <c r="EM357" s="50">
        <f t="shared" si="177"/>
        <v>0</v>
      </c>
      <c r="EN357" s="50">
        <f t="shared" si="177"/>
        <v>0</v>
      </c>
      <c r="EO357" s="39">
        <v>51</v>
      </c>
      <c r="EP357" s="39">
        <v>51</v>
      </c>
      <c r="EQ357" s="39">
        <v>51</v>
      </c>
      <c r="ER357" s="39">
        <v>51</v>
      </c>
      <c r="ES357" s="39">
        <v>51</v>
      </c>
      <c r="ET357" s="39">
        <v>51</v>
      </c>
      <c r="EU357" s="39">
        <v>51</v>
      </c>
      <c r="EV357" s="39">
        <v>51</v>
      </c>
      <c r="EW357" s="39">
        <v>51</v>
      </c>
      <c r="EX357" s="39">
        <v>51</v>
      </c>
    </row>
    <row r="358" spans="11:154" ht="12" customHeight="1" x14ac:dyDescent="0.35">
      <c r="K358" s="1668"/>
      <c r="L358" s="1668"/>
      <c r="M358" s="1668"/>
      <c r="N358" s="1668"/>
      <c r="O358" s="1668"/>
      <c r="P358" s="1668"/>
      <c r="Q358" s="1671"/>
      <c r="R358" s="1671"/>
      <c r="S358" s="1671"/>
      <c r="T358" s="1668"/>
      <c r="U358" s="1672"/>
      <c r="V358" s="1597"/>
      <c r="W358" s="1597"/>
      <c r="X358" s="381">
        <f t="shared" si="167"/>
        <v>15</v>
      </c>
      <c r="Y358" s="1645">
        <f t="shared" si="170"/>
        <v>0</v>
      </c>
      <c r="Z358" s="1646">
        <f t="shared" ref="Z358:CK361" si="178">IF(OR($R292=0,$S292=0),0,IF($S292=Z$343,$R292,0))</f>
        <v>0</v>
      </c>
      <c r="AA358" s="1646">
        <f t="shared" si="178"/>
        <v>0</v>
      </c>
      <c r="AB358" s="1646">
        <f t="shared" si="178"/>
        <v>0</v>
      </c>
      <c r="AC358" s="1646">
        <f t="shared" si="178"/>
        <v>0</v>
      </c>
      <c r="AD358" s="1646">
        <f t="shared" si="178"/>
        <v>0</v>
      </c>
      <c r="AE358" s="1646">
        <f t="shared" si="178"/>
        <v>0</v>
      </c>
      <c r="AF358" s="1155">
        <f t="shared" si="178"/>
        <v>0</v>
      </c>
      <c r="AG358" s="1155">
        <f t="shared" si="178"/>
        <v>0</v>
      </c>
      <c r="AH358" s="1155">
        <f t="shared" si="178"/>
        <v>0</v>
      </c>
      <c r="AI358" s="1155">
        <f t="shared" si="178"/>
        <v>0</v>
      </c>
      <c r="AJ358" s="1155">
        <f t="shared" si="178"/>
        <v>0</v>
      </c>
      <c r="AK358" s="1155">
        <f t="shared" si="178"/>
        <v>0</v>
      </c>
      <c r="AL358" s="1155">
        <f t="shared" si="178"/>
        <v>0</v>
      </c>
      <c r="AM358" s="1155">
        <f t="shared" si="178"/>
        <v>0</v>
      </c>
      <c r="AN358" s="1155">
        <f t="shared" si="178"/>
        <v>0</v>
      </c>
      <c r="AO358" s="1155">
        <f t="shared" si="178"/>
        <v>0</v>
      </c>
      <c r="AP358" s="1155">
        <f t="shared" si="178"/>
        <v>0</v>
      </c>
      <c r="AQ358" s="1155">
        <f t="shared" si="178"/>
        <v>0</v>
      </c>
      <c r="AR358" s="1155">
        <f t="shared" si="178"/>
        <v>0</v>
      </c>
      <c r="AS358" s="1155">
        <f t="shared" si="178"/>
        <v>0</v>
      </c>
      <c r="AT358" s="1155">
        <f t="shared" si="178"/>
        <v>0</v>
      </c>
      <c r="AU358" s="1155">
        <f t="shared" si="178"/>
        <v>0</v>
      </c>
      <c r="AV358" s="1155">
        <f t="shared" si="178"/>
        <v>0</v>
      </c>
      <c r="AW358" s="1155">
        <f t="shared" si="178"/>
        <v>0</v>
      </c>
      <c r="AX358" s="1155">
        <f t="shared" si="178"/>
        <v>0</v>
      </c>
      <c r="AY358" s="1155">
        <f t="shared" si="178"/>
        <v>0</v>
      </c>
      <c r="AZ358" s="1155">
        <f t="shared" si="178"/>
        <v>0</v>
      </c>
      <c r="BA358" s="1155">
        <f t="shared" si="178"/>
        <v>0</v>
      </c>
      <c r="BB358" s="1155">
        <f t="shared" si="178"/>
        <v>0</v>
      </c>
      <c r="BC358" s="1155">
        <f t="shared" si="178"/>
        <v>0</v>
      </c>
      <c r="BD358" s="1155">
        <f t="shared" si="178"/>
        <v>0</v>
      </c>
      <c r="BE358" s="1155">
        <f t="shared" si="178"/>
        <v>0</v>
      </c>
      <c r="BF358" s="1155">
        <f t="shared" si="178"/>
        <v>0</v>
      </c>
      <c r="BG358" s="1155">
        <f t="shared" si="178"/>
        <v>0</v>
      </c>
      <c r="BH358" s="1155">
        <f t="shared" si="178"/>
        <v>0</v>
      </c>
      <c r="BI358" s="1155">
        <f t="shared" si="178"/>
        <v>0</v>
      </c>
      <c r="BJ358" s="1155">
        <f t="shared" si="178"/>
        <v>0</v>
      </c>
      <c r="BK358" s="1155">
        <f t="shared" si="178"/>
        <v>0</v>
      </c>
      <c r="BL358" s="1155">
        <f t="shared" si="178"/>
        <v>0</v>
      </c>
      <c r="BM358" s="1155">
        <f t="shared" si="178"/>
        <v>0</v>
      </c>
      <c r="BN358" s="1155">
        <f t="shared" si="178"/>
        <v>0</v>
      </c>
      <c r="BO358" s="1155">
        <f t="shared" si="178"/>
        <v>0</v>
      </c>
      <c r="BP358" s="1155">
        <f t="shared" si="178"/>
        <v>0</v>
      </c>
      <c r="BQ358" s="1155">
        <f t="shared" si="178"/>
        <v>0</v>
      </c>
      <c r="BR358" s="1155">
        <f t="shared" si="178"/>
        <v>0</v>
      </c>
      <c r="BS358" s="1155">
        <f t="shared" si="178"/>
        <v>0</v>
      </c>
      <c r="BT358" s="1155">
        <f t="shared" si="178"/>
        <v>0</v>
      </c>
      <c r="BU358" s="1155">
        <f t="shared" si="178"/>
        <v>0</v>
      </c>
      <c r="BV358" s="1155">
        <f t="shared" si="178"/>
        <v>0</v>
      </c>
      <c r="BW358" s="1155">
        <f t="shared" si="178"/>
        <v>0</v>
      </c>
      <c r="BX358" s="1162">
        <f t="shared" si="178"/>
        <v>0</v>
      </c>
      <c r="BY358" s="1162">
        <f t="shared" si="178"/>
        <v>0</v>
      </c>
      <c r="BZ358" s="1162">
        <f t="shared" si="178"/>
        <v>0</v>
      </c>
      <c r="CA358" s="1162">
        <f t="shared" si="178"/>
        <v>0</v>
      </c>
      <c r="CB358" s="1162">
        <f t="shared" si="178"/>
        <v>0</v>
      </c>
      <c r="CC358" s="1162">
        <f t="shared" si="178"/>
        <v>0</v>
      </c>
      <c r="CD358" s="1162">
        <f t="shared" si="178"/>
        <v>0</v>
      </c>
      <c r="CE358" s="1162">
        <f t="shared" si="178"/>
        <v>0</v>
      </c>
      <c r="CF358" s="1162">
        <f t="shared" si="178"/>
        <v>0</v>
      </c>
      <c r="CG358" s="1162">
        <f t="shared" si="178"/>
        <v>0</v>
      </c>
      <c r="CH358" s="1162">
        <f t="shared" si="178"/>
        <v>0</v>
      </c>
      <c r="CI358" s="1162">
        <f t="shared" si="178"/>
        <v>0</v>
      </c>
      <c r="CJ358" s="1162">
        <f t="shared" si="178"/>
        <v>0</v>
      </c>
      <c r="CK358" s="1162">
        <f t="shared" si="178"/>
        <v>0</v>
      </c>
      <c r="CL358" s="1162">
        <f t="shared" si="177"/>
        <v>0</v>
      </c>
      <c r="CM358" s="1162">
        <f t="shared" si="177"/>
        <v>0</v>
      </c>
      <c r="CN358" s="1162">
        <f t="shared" si="177"/>
        <v>0</v>
      </c>
      <c r="CO358" s="1162">
        <f t="shared" si="177"/>
        <v>0</v>
      </c>
      <c r="CP358" s="1162">
        <f t="shared" si="177"/>
        <v>0</v>
      </c>
      <c r="CQ358" s="48">
        <f t="shared" si="177"/>
        <v>0</v>
      </c>
      <c r="CR358" s="48">
        <f t="shared" si="177"/>
        <v>0</v>
      </c>
      <c r="CS358" s="48">
        <f t="shared" si="177"/>
        <v>0</v>
      </c>
      <c r="CT358" s="48">
        <f t="shared" si="177"/>
        <v>0</v>
      </c>
      <c r="CU358" s="48">
        <f t="shared" si="177"/>
        <v>0</v>
      </c>
      <c r="CV358" s="48">
        <f t="shared" si="177"/>
        <v>0</v>
      </c>
      <c r="CW358" s="48">
        <f t="shared" si="177"/>
        <v>0</v>
      </c>
      <c r="CX358" s="48">
        <f t="shared" si="177"/>
        <v>0</v>
      </c>
      <c r="CY358" s="48">
        <f t="shared" si="177"/>
        <v>0</v>
      </c>
      <c r="CZ358" s="48">
        <f t="shared" si="177"/>
        <v>0</v>
      </c>
      <c r="DA358" s="48">
        <f t="shared" si="177"/>
        <v>0</v>
      </c>
      <c r="DB358" s="48">
        <f t="shared" si="177"/>
        <v>0</v>
      </c>
      <c r="DC358" s="48">
        <f t="shared" si="177"/>
        <v>0</v>
      </c>
      <c r="DD358" s="48">
        <f t="shared" si="177"/>
        <v>0</v>
      </c>
      <c r="DE358" s="48">
        <f t="shared" si="177"/>
        <v>0</v>
      </c>
      <c r="DF358" s="48">
        <f t="shared" si="177"/>
        <v>0</v>
      </c>
      <c r="DG358" s="48">
        <f t="shared" si="177"/>
        <v>0</v>
      </c>
      <c r="DH358" s="48">
        <f t="shared" si="177"/>
        <v>0</v>
      </c>
      <c r="DI358" s="48">
        <f t="shared" si="177"/>
        <v>0</v>
      </c>
      <c r="DJ358" s="48">
        <f t="shared" si="177"/>
        <v>0</v>
      </c>
      <c r="DK358" s="48">
        <f t="shared" si="177"/>
        <v>0</v>
      </c>
      <c r="DL358" s="48">
        <f t="shared" si="177"/>
        <v>0</v>
      </c>
      <c r="DM358" s="48">
        <f t="shared" si="177"/>
        <v>0</v>
      </c>
      <c r="DN358" s="48">
        <f t="shared" si="177"/>
        <v>0</v>
      </c>
      <c r="DO358" s="48">
        <f t="shared" si="177"/>
        <v>0</v>
      </c>
      <c r="DP358" s="48">
        <f t="shared" si="177"/>
        <v>0</v>
      </c>
      <c r="DQ358" s="48">
        <f t="shared" si="177"/>
        <v>0</v>
      </c>
      <c r="DR358" s="50">
        <f t="shared" si="177"/>
        <v>0</v>
      </c>
      <c r="DS358" s="50">
        <f t="shared" si="177"/>
        <v>0</v>
      </c>
      <c r="DT358" s="50">
        <f t="shared" si="177"/>
        <v>0</v>
      </c>
      <c r="DU358" s="50">
        <f t="shared" si="177"/>
        <v>0</v>
      </c>
      <c r="DV358" s="50">
        <f t="shared" si="177"/>
        <v>0</v>
      </c>
      <c r="DW358" s="50">
        <f t="shared" si="177"/>
        <v>0</v>
      </c>
      <c r="DX358" s="50">
        <f t="shared" si="177"/>
        <v>0</v>
      </c>
      <c r="DY358" s="50">
        <f t="shared" si="177"/>
        <v>0</v>
      </c>
      <c r="DZ358" s="50">
        <f t="shared" si="177"/>
        <v>0</v>
      </c>
      <c r="EA358" s="50">
        <f t="shared" si="177"/>
        <v>0</v>
      </c>
      <c r="EB358" s="50">
        <f t="shared" si="177"/>
        <v>0</v>
      </c>
      <c r="EC358" s="50">
        <f t="shared" si="177"/>
        <v>0</v>
      </c>
      <c r="ED358" s="50">
        <f t="shared" si="177"/>
        <v>0</v>
      </c>
      <c r="EE358" s="50">
        <f t="shared" si="177"/>
        <v>0</v>
      </c>
      <c r="EF358" s="50">
        <f t="shared" si="177"/>
        <v>0</v>
      </c>
      <c r="EG358" s="50">
        <f t="shared" si="177"/>
        <v>0</v>
      </c>
      <c r="EH358" s="50">
        <f t="shared" si="177"/>
        <v>0</v>
      </c>
      <c r="EI358" s="50">
        <f t="shared" si="177"/>
        <v>0</v>
      </c>
      <c r="EJ358" s="50">
        <f t="shared" si="177"/>
        <v>0</v>
      </c>
      <c r="EK358" s="50">
        <f t="shared" si="177"/>
        <v>0</v>
      </c>
      <c r="EL358" s="50">
        <f t="shared" si="177"/>
        <v>0</v>
      </c>
      <c r="EM358" s="50">
        <f t="shared" si="177"/>
        <v>0</v>
      </c>
      <c r="EN358" s="50">
        <f t="shared" si="177"/>
        <v>0</v>
      </c>
      <c r="EO358" s="39">
        <v>51</v>
      </c>
      <c r="EP358" s="39">
        <v>51</v>
      </c>
      <c r="EQ358" s="39">
        <v>51</v>
      </c>
      <c r="ER358" s="39">
        <v>51</v>
      </c>
      <c r="ES358" s="39">
        <v>51</v>
      </c>
      <c r="ET358" s="39">
        <v>51</v>
      </c>
      <c r="EU358" s="39">
        <v>51</v>
      </c>
      <c r="EV358" s="39">
        <v>51</v>
      </c>
      <c r="EW358" s="39">
        <v>51</v>
      </c>
      <c r="EX358" s="39">
        <v>51</v>
      </c>
    </row>
    <row r="359" spans="11:154" ht="12" customHeight="1" x14ac:dyDescent="0.35">
      <c r="K359" s="1668"/>
      <c r="L359" s="1668"/>
      <c r="M359" s="1668"/>
      <c r="N359" s="1668"/>
      <c r="O359" s="1668"/>
      <c r="P359" s="1668"/>
      <c r="Q359" s="1671"/>
      <c r="R359" s="1671"/>
      <c r="S359" s="1671"/>
      <c r="T359" s="1668"/>
      <c r="U359" s="1672"/>
      <c r="V359" s="1597"/>
      <c r="W359" s="1597"/>
      <c r="X359" s="381">
        <f t="shared" si="167"/>
        <v>16</v>
      </c>
      <c r="Y359" s="1645">
        <f t="shared" si="170"/>
        <v>0</v>
      </c>
      <c r="Z359" s="1646">
        <f t="shared" si="178"/>
        <v>0</v>
      </c>
      <c r="AA359" s="1646">
        <f t="shared" si="178"/>
        <v>0</v>
      </c>
      <c r="AB359" s="1646">
        <f t="shared" si="178"/>
        <v>0</v>
      </c>
      <c r="AC359" s="1646">
        <f t="shared" si="178"/>
        <v>0</v>
      </c>
      <c r="AD359" s="1646">
        <f t="shared" si="178"/>
        <v>0</v>
      </c>
      <c r="AE359" s="1646">
        <f t="shared" si="178"/>
        <v>0</v>
      </c>
      <c r="AF359" s="1155">
        <f t="shared" si="178"/>
        <v>0</v>
      </c>
      <c r="AG359" s="1155">
        <f t="shared" si="178"/>
        <v>0</v>
      </c>
      <c r="AH359" s="1155">
        <f t="shared" si="178"/>
        <v>0</v>
      </c>
      <c r="AI359" s="1155">
        <f t="shared" si="178"/>
        <v>0</v>
      </c>
      <c r="AJ359" s="1155">
        <f t="shared" si="178"/>
        <v>0</v>
      </c>
      <c r="AK359" s="1155">
        <f t="shared" si="178"/>
        <v>0</v>
      </c>
      <c r="AL359" s="1155">
        <f t="shared" si="178"/>
        <v>0</v>
      </c>
      <c r="AM359" s="1155">
        <f t="shared" si="178"/>
        <v>0</v>
      </c>
      <c r="AN359" s="1155">
        <f t="shared" si="178"/>
        <v>0</v>
      </c>
      <c r="AO359" s="1155">
        <f t="shared" si="178"/>
        <v>0</v>
      </c>
      <c r="AP359" s="1155">
        <f t="shared" si="178"/>
        <v>0</v>
      </c>
      <c r="AQ359" s="1155">
        <f t="shared" si="178"/>
        <v>0</v>
      </c>
      <c r="AR359" s="1155">
        <f t="shared" si="178"/>
        <v>0</v>
      </c>
      <c r="AS359" s="1155">
        <f t="shared" si="178"/>
        <v>0</v>
      </c>
      <c r="AT359" s="1155">
        <f t="shared" si="178"/>
        <v>0</v>
      </c>
      <c r="AU359" s="1155">
        <f t="shared" si="178"/>
        <v>0</v>
      </c>
      <c r="AV359" s="1155">
        <f t="shared" si="178"/>
        <v>0</v>
      </c>
      <c r="AW359" s="1155">
        <f t="shared" si="178"/>
        <v>0</v>
      </c>
      <c r="AX359" s="1155">
        <f t="shared" si="178"/>
        <v>0</v>
      </c>
      <c r="AY359" s="1155">
        <f t="shared" si="178"/>
        <v>0</v>
      </c>
      <c r="AZ359" s="1155">
        <f t="shared" si="178"/>
        <v>0</v>
      </c>
      <c r="BA359" s="1155">
        <f t="shared" si="178"/>
        <v>0</v>
      </c>
      <c r="BB359" s="1155">
        <f t="shared" si="178"/>
        <v>0</v>
      </c>
      <c r="BC359" s="1155">
        <f t="shared" si="178"/>
        <v>0</v>
      </c>
      <c r="BD359" s="1155">
        <f t="shared" si="178"/>
        <v>0</v>
      </c>
      <c r="BE359" s="1155">
        <f t="shared" si="178"/>
        <v>0</v>
      </c>
      <c r="BF359" s="1155">
        <f t="shared" si="178"/>
        <v>0</v>
      </c>
      <c r="BG359" s="1155">
        <f t="shared" si="178"/>
        <v>0</v>
      </c>
      <c r="BH359" s="1155">
        <f t="shared" si="178"/>
        <v>0</v>
      </c>
      <c r="BI359" s="1155">
        <f t="shared" si="178"/>
        <v>0</v>
      </c>
      <c r="BJ359" s="1155">
        <f t="shared" si="178"/>
        <v>0</v>
      </c>
      <c r="BK359" s="1155">
        <f t="shared" si="178"/>
        <v>0</v>
      </c>
      <c r="BL359" s="1155">
        <f t="shared" si="178"/>
        <v>0</v>
      </c>
      <c r="BM359" s="1155">
        <f t="shared" si="178"/>
        <v>0</v>
      </c>
      <c r="BN359" s="1155">
        <f t="shared" si="178"/>
        <v>0</v>
      </c>
      <c r="BO359" s="1155">
        <f t="shared" si="178"/>
        <v>0</v>
      </c>
      <c r="BP359" s="1155">
        <f t="shared" si="178"/>
        <v>0</v>
      </c>
      <c r="BQ359" s="1155">
        <f t="shared" si="178"/>
        <v>0</v>
      </c>
      <c r="BR359" s="1155">
        <f t="shared" si="178"/>
        <v>0</v>
      </c>
      <c r="BS359" s="1155">
        <f t="shared" si="178"/>
        <v>0</v>
      </c>
      <c r="BT359" s="1155">
        <f t="shared" si="178"/>
        <v>0</v>
      </c>
      <c r="BU359" s="1155">
        <f t="shared" si="178"/>
        <v>0</v>
      </c>
      <c r="BV359" s="1155">
        <f t="shared" si="178"/>
        <v>0</v>
      </c>
      <c r="BW359" s="1155">
        <f t="shared" si="178"/>
        <v>0</v>
      </c>
      <c r="BX359" s="1162">
        <f t="shared" si="178"/>
        <v>0</v>
      </c>
      <c r="BY359" s="1162">
        <f t="shared" si="178"/>
        <v>0</v>
      </c>
      <c r="BZ359" s="1162">
        <f t="shared" si="178"/>
        <v>0</v>
      </c>
      <c r="CA359" s="1162">
        <f t="shared" si="178"/>
        <v>0</v>
      </c>
      <c r="CB359" s="1162">
        <f t="shared" si="178"/>
        <v>0</v>
      </c>
      <c r="CC359" s="1162">
        <f t="shared" si="178"/>
        <v>0</v>
      </c>
      <c r="CD359" s="1162">
        <f t="shared" si="178"/>
        <v>0</v>
      </c>
      <c r="CE359" s="1162">
        <f t="shared" si="178"/>
        <v>0</v>
      </c>
      <c r="CF359" s="1162">
        <f t="shared" si="178"/>
        <v>0</v>
      </c>
      <c r="CG359" s="1162">
        <f t="shared" si="178"/>
        <v>0</v>
      </c>
      <c r="CH359" s="1162">
        <f t="shared" si="178"/>
        <v>0</v>
      </c>
      <c r="CI359" s="1162">
        <f t="shared" si="178"/>
        <v>0</v>
      </c>
      <c r="CJ359" s="1162">
        <f t="shared" si="178"/>
        <v>0</v>
      </c>
      <c r="CK359" s="1162">
        <f t="shared" si="178"/>
        <v>0</v>
      </c>
      <c r="CL359" s="1162">
        <f t="shared" si="177"/>
        <v>0</v>
      </c>
      <c r="CM359" s="1162">
        <f t="shared" si="177"/>
        <v>0</v>
      </c>
      <c r="CN359" s="1162">
        <f t="shared" si="177"/>
        <v>0</v>
      </c>
      <c r="CO359" s="1162">
        <f t="shared" si="177"/>
        <v>0</v>
      </c>
      <c r="CP359" s="1162">
        <f t="shared" si="177"/>
        <v>0</v>
      </c>
      <c r="CQ359" s="48">
        <f t="shared" si="177"/>
        <v>0</v>
      </c>
      <c r="CR359" s="48">
        <f t="shared" si="177"/>
        <v>0</v>
      </c>
      <c r="CS359" s="48">
        <f t="shared" si="177"/>
        <v>0</v>
      </c>
      <c r="CT359" s="48">
        <f t="shared" si="177"/>
        <v>0</v>
      </c>
      <c r="CU359" s="48">
        <f t="shared" si="177"/>
        <v>0</v>
      </c>
      <c r="CV359" s="48">
        <f t="shared" si="177"/>
        <v>0</v>
      </c>
      <c r="CW359" s="48">
        <f t="shared" si="177"/>
        <v>0</v>
      </c>
      <c r="CX359" s="48">
        <f t="shared" si="177"/>
        <v>0</v>
      </c>
      <c r="CY359" s="48">
        <f t="shared" si="177"/>
        <v>0</v>
      </c>
      <c r="CZ359" s="48">
        <f t="shared" si="177"/>
        <v>0</v>
      </c>
      <c r="DA359" s="48">
        <f t="shared" si="177"/>
        <v>0</v>
      </c>
      <c r="DB359" s="48">
        <f t="shared" si="177"/>
        <v>0</v>
      </c>
      <c r="DC359" s="48">
        <f t="shared" si="177"/>
        <v>0</v>
      </c>
      <c r="DD359" s="48">
        <f t="shared" si="177"/>
        <v>0</v>
      </c>
      <c r="DE359" s="48">
        <f t="shared" si="177"/>
        <v>0</v>
      </c>
      <c r="DF359" s="48">
        <f t="shared" si="177"/>
        <v>0</v>
      </c>
      <c r="DG359" s="48">
        <f t="shared" si="177"/>
        <v>0</v>
      </c>
      <c r="DH359" s="48">
        <f t="shared" si="177"/>
        <v>0</v>
      </c>
      <c r="DI359" s="48">
        <f t="shared" si="177"/>
        <v>0</v>
      </c>
      <c r="DJ359" s="48">
        <f t="shared" si="177"/>
        <v>0</v>
      </c>
      <c r="DK359" s="48">
        <f t="shared" si="177"/>
        <v>0</v>
      </c>
      <c r="DL359" s="48">
        <f t="shared" si="177"/>
        <v>0</v>
      </c>
      <c r="DM359" s="48">
        <f t="shared" si="177"/>
        <v>0</v>
      </c>
      <c r="DN359" s="48">
        <f t="shared" si="177"/>
        <v>0</v>
      </c>
      <c r="DO359" s="48">
        <f t="shared" si="177"/>
        <v>0</v>
      </c>
      <c r="DP359" s="48">
        <f t="shared" si="177"/>
        <v>0</v>
      </c>
      <c r="DQ359" s="48">
        <f t="shared" si="177"/>
        <v>0</v>
      </c>
      <c r="DR359" s="50">
        <f t="shared" si="177"/>
        <v>0</v>
      </c>
      <c r="DS359" s="50">
        <f t="shared" si="177"/>
        <v>0</v>
      </c>
      <c r="DT359" s="50">
        <f t="shared" si="177"/>
        <v>0</v>
      </c>
      <c r="DU359" s="50">
        <f t="shared" si="177"/>
        <v>0</v>
      </c>
      <c r="DV359" s="50">
        <f t="shared" si="177"/>
        <v>0</v>
      </c>
      <c r="DW359" s="50">
        <f t="shared" si="177"/>
        <v>0</v>
      </c>
      <c r="DX359" s="50">
        <f t="shared" si="177"/>
        <v>0</v>
      </c>
      <c r="DY359" s="50">
        <f t="shared" si="177"/>
        <v>0</v>
      </c>
      <c r="DZ359" s="50">
        <f t="shared" si="177"/>
        <v>0</v>
      </c>
      <c r="EA359" s="50">
        <f t="shared" si="177"/>
        <v>0</v>
      </c>
      <c r="EB359" s="50">
        <f t="shared" si="177"/>
        <v>0</v>
      </c>
      <c r="EC359" s="50">
        <f t="shared" si="177"/>
        <v>0</v>
      </c>
      <c r="ED359" s="50">
        <f t="shared" si="177"/>
        <v>0</v>
      </c>
      <c r="EE359" s="50">
        <f t="shared" si="177"/>
        <v>0</v>
      </c>
      <c r="EF359" s="50">
        <f t="shared" si="177"/>
        <v>0</v>
      </c>
      <c r="EG359" s="50">
        <f t="shared" si="177"/>
        <v>0</v>
      </c>
      <c r="EH359" s="50">
        <f t="shared" si="177"/>
        <v>0</v>
      </c>
      <c r="EI359" s="50">
        <f t="shared" si="177"/>
        <v>0</v>
      </c>
      <c r="EJ359" s="50">
        <f t="shared" si="177"/>
        <v>0</v>
      </c>
      <c r="EK359" s="50">
        <f t="shared" si="177"/>
        <v>0</v>
      </c>
      <c r="EL359" s="50">
        <f t="shared" si="177"/>
        <v>0</v>
      </c>
      <c r="EM359" s="50">
        <f t="shared" si="177"/>
        <v>0</v>
      </c>
      <c r="EN359" s="50">
        <f t="shared" si="177"/>
        <v>0</v>
      </c>
      <c r="EO359" s="39">
        <v>51</v>
      </c>
      <c r="EP359" s="39">
        <v>51</v>
      </c>
      <c r="EQ359" s="39">
        <v>51</v>
      </c>
      <c r="ER359" s="39">
        <v>51</v>
      </c>
      <c r="ES359" s="39">
        <v>51</v>
      </c>
      <c r="ET359" s="39">
        <v>51</v>
      </c>
      <c r="EU359" s="39">
        <v>51</v>
      </c>
      <c r="EV359" s="39">
        <v>51</v>
      </c>
      <c r="EW359" s="39">
        <v>51</v>
      </c>
      <c r="EX359" s="39">
        <v>51</v>
      </c>
    </row>
    <row r="360" spans="11:154" ht="12" customHeight="1" x14ac:dyDescent="0.35">
      <c r="K360" s="1668"/>
      <c r="L360" s="1668"/>
      <c r="M360" s="1668"/>
      <c r="N360" s="1668"/>
      <c r="O360" s="1668"/>
      <c r="P360" s="1668"/>
      <c r="Q360" s="1671"/>
      <c r="R360" s="1671"/>
      <c r="S360" s="1671"/>
      <c r="T360" s="1668"/>
      <c r="U360" s="1672"/>
      <c r="V360" s="1597"/>
      <c r="W360" s="1597"/>
      <c r="X360" s="381">
        <f t="shared" si="167"/>
        <v>17</v>
      </c>
      <c r="Y360" s="1645">
        <f t="shared" si="170"/>
        <v>0</v>
      </c>
      <c r="Z360" s="1646">
        <f t="shared" si="178"/>
        <v>0</v>
      </c>
      <c r="AA360" s="1646">
        <f t="shared" si="178"/>
        <v>0</v>
      </c>
      <c r="AB360" s="1646">
        <f t="shared" si="178"/>
        <v>0</v>
      </c>
      <c r="AC360" s="1646">
        <f t="shared" si="178"/>
        <v>0</v>
      </c>
      <c r="AD360" s="1646">
        <f t="shared" si="178"/>
        <v>0</v>
      </c>
      <c r="AE360" s="1646">
        <f t="shared" si="178"/>
        <v>0</v>
      </c>
      <c r="AF360" s="1155">
        <f t="shared" si="178"/>
        <v>0</v>
      </c>
      <c r="AG360" s="1155">
        <f t="shared" si="178"/>
        <v>0</v>
      </c>
      <c r="AH360" s="1155">
        <f t="shared" si="178"/>
        <v>0</v>
      </c>
      <c r="AI360" s="1155">
        <f t="shared" si="178"/>
        <v>0</v>
      </c>
      <c r="AJ360" s="1155">
        <f t="shared" si="178"/>
        <v>0</v>
      </c>
      <c r="AK360" s="1155">
        <f t="shared" si="178"/>
        <v>0</v>
      </c>
      <c r="AL360" s="1155">
        <f t="shared" si="178"/>
        <v>0</v>
      </c>
      <c r="AM360" s="1155">
        <f t="shared" si="178"/>
        <v>0</v>
      </c>
      <c r="AN360" s="1155">
        <f t="shared" si="178"/>
        <v>0</v>
      </c>
      <c r="AO360" s="1155">
        <f t="shared" si="178"/>
        <v>0</v>
      </c>
      <c r="AP360" s="1155">
        <f t="shared" si="178"/>
        <v>0</v>
      </c>
      <c r="AQ360" s="1155">
        <f t="shared" si="178"/>
        <v>0</v>
      </c>
      <c r="AR360" s="1155">
        <f t="shared" si="178"/>
        <v>0</v>
      </c>
      <c r="AS360" s="1155">
        <f t="shared" si="178"/>
        <v>0</v>
      </c>
      <c r="AT360" s="1155">
        <f t="shared" si="178"/>
        <v>0</v>
      </c>
      <c r="AU360" s="1155">
        <f t="shared" si="178"/>
        <v>0</v>
      </c>
      <c r="AV360" s="1155">
        <f t="shared" si="178"/>
        <v>0</v>
      </c>
      <c r="AW360" s="1155">
        <f t="shared" si="178"/>
        <v>0</v>
      </c>
      <c r="AX360" s="1155">
        <f t="shared" si="178"/>
        <v>0</v>
      </c>
      <c r="AY360" s="1155">
        <f t="shared" si="178"/>
        <v>0</v>
      </c>
      <c r="AZ360" s="1155">
        <f t="shared" si="178"/>
        <v>0</v>
      </c>
      <c r="BA360" s="1155">
        <f t="shared" si="178"/>
        <v>0</v>
      </c>
      <c r="BB360" s="1155">
        <f t="shared" si="178"/>
        <v>0</v>
      </c>
      <c r="BC360" s="1155">
        <f t="shared" si="178"/>
        <v>0</v>
      </c>
      <c r="BD360" s="1155">
        <f t="shared" si="178"/>
        <v>0</v>
      </c>
      <c r="BE360" s="1155">
        <f t="shared" si="178"/>
        <v>0</v>
      </c>
      <c r="BF360" s="1155">
        <f t="shared" si="178"/>
        <v>0</v>
      </c>
      <c r="BG360" s="1155">
        <f t="shared" si="178"/>
        <v>0</v>
      </c>
      <c r="BH360" s="1155">
        <f t="shared" si="178"/>
        <v>0</v>
      </c>
      <c r="BI360" s="1155">
        <f t="shared" si="178"/>
        <v>0</v>
      </c>
      <c r="BJ360" s="1155">
        <f t="shared" si="178"/>
        <v>0</v>
      </c>
      <c r="BK360" s="1155">
        <f t="shared" si="178"/>
        <v>0</v>
      </c>
      <c r="BL360" s="1155">
        <f t="shared" si="178"/>
        <v>0</v>
      </c>
      <c r="BM360" s="1155">
        <f t="shared" si="178"/>
        <v>0</v>
      </c>
      <c r="BN360" s="1155">
        <f t="shared" si="178"/>
        <v>0</v>
      </c>
      <c r="BO360" s="1155">
        <f t="shared" si="178"/>
        <v>0</v>
      </c>
      <c r="BP360" s="1155">
        <f t="shared" si="178"/>
        <v>0</v>
      </c>
      <c r="BQ360" s="1155">
        <f t="shared" si="178"/>
        <v>0</v>
      </c>
      <c r="BR360" s="1155">
        <f t="shared" si="178"/>
        <v>0</v>
      </c>
      <c r="BS360" s="1155">
        <f t="shared" si="178"/>
        <v>0</v>
      </c>
      <c r="BT360" s="1155">
        <f t="shared" si="178"/>
        <v>0</v>
      </c>
      <c r="BU360" s="1155">
        <f t="shared" si="178"/>
        <v>0</v>
      </c>
      <c r="BV360" s="1155">
        <f t="shared" si="178"/>
        <v>0</v>
      </c>
      <c r="BW360" s="1155">
        <f t="shared" si="178"/>
        <v>0</v>
      </c>
      <c r="BX360" s="1162">
        <f t="shared" si="178"/>
        <v>0</v>
      </c>
      <c r="BY360" s="1162">
        <f t="shared" si="178"/>
        <v>0</v>
      </c>
      <c r="BZ360" s="1162">
        <f t="shared" si="178"/>
        <v>0</v>
      </c>
      <c r="CA360" s="1162">
        <f t="shared" si="178"/>
        <v>0</v>
      </c>
      <c r="CB360" s="1162">
        <f t="shared" si="178"/>
        <v>0</v>
      </c>
      <c r="CC360" s="1162">
        <f t="shared" si="178"/>
        <v>0</v>
      </c>
      <c r="CD360" s="1162">
        <f t="shared" si="178"/>
        <v>0</v>
      </c>
      <c r="CE360" s="1162">
        <f t="shared" si="178"/>
        <v>0</v>
      </c>
      <c r="CF360" s="1162">
        <f t="shared" si="178"/>
        <v>0</v>
      </c>
      <c r="CG360" s="1162">
        <f t="shared" si="178"/>
        <v>0</v>
      </c>
      <c r="CH360" s="1162">
        <f t="shared" si="178"/>
        <v>0</v>
      </c>
      <c r="CI360" s="1162">
        <f t="shared" si="178"/>
        <v>0</v>
      </c>
      <c r="CJ360" s="1162">
        <f t="shared" si="178"/>
        <v>0</v>
      </c>
      <c r="CK360" s="1162">
        <f t="shared" si="178"/>
        <v>0</v>
      </c>
      <c r="CL360" s="1162">
        <f t="shared" si="177"/>
        <v>0</v>
      </c>
      <c r="CM360" s="1162">
        <f t="shared" si="177"/>
        <v>0</v>
      </c>
      <c r="CN360" s="1162">
        <f t="shared" si="177"/>
        <v>0</v>
      </c>
      <c r="CO360" s="1162">
        <f t="shared" si="177"/>
        <v>0</v>
      </c>
      <c r="CP360" s="1162">
        <f t="shared" si="177"/>
        <v>0</v>
      </c>
      <c r="CQ360" s="48">
        <f t="shared" si="177"/>
        <v>0</v>
      </c>
      <c r="CR360" s="48">
        <f t="shared" si="177"/>
        <v>0</v>
      </c>
      <c r="CS360" s="48">
        <f t="shared" si="177"/>
        <v>0</v>
      </c>
      <c r="CT360" s="48">
        <f t="shared" si="177"/>
        <v>0</v>
      </c>
      <c r="CU360" s="48">
        <f t="shared" si="177"/>
        <v>0</v>
      </c>
      <c r="CV360" s="48">
        <f t="shared" si="177"/>
        <v>0</v>
      </c>
      <c r="CW360" s="48">
        <f t="shared" si="177"/>
        <v>0</v>
      </c>
      <c r="CX360" s="48">
        <f t="shared" si="177"/>
        <v>0</v>
      </c>
      <c r="CY360" s="48">
        <f t="shared" si="177"/>
        <v>0</v>
      </c>
      <c r="CZ360" s="48">
        <f t="shared" si="177"/>
        <v>0</v>
      </c>
      <c r="DA360" s="48">
        <f t="shared" si="177"/>
        <v>0</v>
      </c>
      <c r="DB360" s="48">
        <f t="shared" si="177"/>
        <v>0</v>
      </c>
      <c r="DC360" s="48">
        <f t="shared" si="177"/>
        <v>0</v>
      </c>
      <c r="DD360" s="48">
        <f t="shared" si="177"/>
        <v>0</v>
      </c>
      <c r="DE360" s="48">
        <f t="shared" si="177"/>
        <v>0</v>
      </c>
      <c r="DF360" s="48">
        <f t="shared" si="177"/>
        <v>0</v>
      </c>
      <c r="DG360" s="48">
        <f t="shared" si="177"/>
        <v>0</v>
      </c>
      <c r="DH360" s="48">
        <f t="shared" si="177"/>
        <v>0</v>
      </c>
      <c r="DI360" s="48">
        <f t="shared" si="177"/>
        <v>0</v>
      </c>
      <c r="DJ360" s="48">
        <f t="shared" si="177"/>
        <v>0</v>
      </c>
      <c r="DK360" s="48">
        <f t="shared" si="177"/>
        <v>0</v>
      </c>
      <c r="DL360" s="48">
        <f t="shared" si="177"/>
        <v>0</v>
      </c>
      <c r="DM360" s="48">
        <f t="shared" si="177"/>
        <v>0</v>
      </c>
      <c r="DN360" s="48">
        <f t="shared" si="177"/>
        <v>0</v>
      </c>
      <c r="DO360" s="48">
        <f t="shared" si="177"/>
        <v>0</v>
      </c>
      <c r="DP360" s="48">
        <f t="shared" si="177"/>
        <v>0</v>
      </c>
      <c r="DQ360" s="48">
        <f t="shared" si="177"/>
        <v>0</v>
      </c>
      <c r="DR360" s="50">
        <f t="shared" si="177"/>
        <v>0</v>
      </c>
      <c r="DS360" s="50">
        <f t="shared" si="177"/>
        <v>0</v>
      </c>
      <c r="DT360" s="50">
        <f t="shared" si="177"/>
        <v>0</v>
      </c>
      <c r="DU360" s="50">
        <f t="shared" si="177"/>
        <v>0</v>
      </c>
      <c r="DV360" s="50">
        <f t="shared" si="177"/>
        <v>0</v>
      </c>
      <c r="DW360" s="50">
        <f t="shared" si="177"/>
        <v>0</v>
      </c>
      <c r="DX360" s="50">
        <f t="shared" si="177"/>
        <v>0</v>
      </c>
      <c r="DY360" s="50">
        <f t="shared" si="177"/>
        <v>0</v>
      </c>
      <c r="DZ360" s="50">
        <f t="shared" si="177"/>
        <v>0</v>
      </c>
      <c r="EA360" s="50">
        <f t="shared" si="177"/>
        <v>0</v>
      </c>
      <c r="EB360" s="50">
        <f t="shared" si="177"/>
        <v>0</v>
      </c>
      <c r="EC360" s="50">
        <f t="shared" si="177"/>
        <v>0</v>
      </c>
      <c r="ED360" s="50">
        <f t="shared" si="177"/>
        <v>0</v>
      </c>
      <c r="EE360" s="50">
        <f t="shared" si="177"/>
        <v>0</v>
      </c>
      <c r="EF360" s="50">
        <f t="shared" si="177"/>
        <v>0</v>
      </c>
      <c r="EG360" s="50">
        <f t="shared" si="177"/>
        <v>0</v>
      </c>
      <c r="EH360" s="50">
        <f t="shared" si="177"/>
        <v>0</v>
      </c>
      <c r="EI360" s="50">
        <f t="shared" si="177"/>
        <v>0</v>
      </c>
      <c r="EJ360" s="50">
        <f t="shared" si="177"/>
        <v>0</v>
      </c>
      <c r="EK360" s="50">
        <f t="shared" si="177"/>
        <v>0</v>
      </c>
      <c r="EL360" s="50">
        <f t="shared" si="177"/>
        <v>0</v>
      </c>
      <c r="EM360" s="50">
        <f t="shared" si="177"/>
        <v>0</v>
      </c>
      <c r="EN360" s="50">
        <f t="shared" si="177"/>
        <v>0</v>
      </c>
      <c r="EO360" s="39">
        <v>51</v>
      </c>
      <c r="EP360" s="39">
        <v>51</v>
      </c>
      <c r="EQ360" s="39">
        <v>51</v>
      </c>
      <c r="ER360" s="39">
        <v>51</v>
      </c>
      <c r="ES360" s="39">
        <v>51</v>
      </c>
      <c r="ET360" s="39">
        <v>51</v>
      </c>
      <c r="EU360" s="39">
        <v>51</v>
      </c>
      <c r="EV360" s="39">
        <v>51</v>
      </c>
      <c r="EW360" s="39">
        <v>51</v>
      </c>
      <c r="EX360" s="39">
        <v>51</v>
      </c>
    </row>
    <row r="361" spans="11:154" ht="12" customHeight="1" x14ac:dyDescent="0.35">
      <c r="K361" s="1668"/>
      <c r="L361" s="1668"/>
      <c r="M361" s="1668"/>
      <c r="N361" s="1668"/>
      <c r="O361" s="1668"/>
      <c r="P361" s="1668"/>
      <c r="Q361" s="1671"/>
      <c r="R361" s="1671"/>
      <c r="S361" s="1671"/>
      <c r="T361" s="1668"/>
      <c r="U361" s="1672"/>
      <c r="V361" s="1597"/>
      <c r="W361" s="1597"/>
      <c r="X361" s="381">
        <f t="shared" si="167"/>
        <v>18</v>
      </c>
      <c r="Y361" s="1645">
        <f t="shared" si="170"/>
        <v>0</v>
      </c>
      <c r="Z361" s="1646">
        <f t="shared" si="178"/>
        <v>0</v>
      </c>
      <c r="AA361" s="1646">
        <f t="shared" si="178"/>
        <v>0</v>
      </c>
      <c r="AB361" s="1646">
        <f t="shared" si="178"/>
        <v>0</v>
      </c>
      <c r="AC361" s="1646">
        <f t="shared" si="178"/>
        <v>0</v>
      </c>
      <c r="AD361" s="1646">
        <f t="shared" si="178"/>
        <v>0</v>
      </c>
      <c r="AE361" s="1646">
        <f t="shared" si="178"/>
        <v>0</v>
      </c>
      <c r="AF361" s="1155">
        <f t="shared" si="178"/>
        <v>0</v>
      </c>
      <c r="AG361" s="1155">
        <f t="shared" si="178"/>
        <v>0</v>
      </c>
      <c r="AH361" s="1155">
        <f t="shared" si="178"/>
        <v>0</v>
      </c>
      <c r="AI361" s="1155">
        <f t="shared" si="178"/>
        <v>0</v>
      </c>
      <c r="AJ361" s="1155">
        <f t="shared" si="178"/>
        <v>0</v>
      </c>
      <c r="AK361" s="1155">
        <f t="shared" si="178"/>
        <v>0</v>
      </c>
      <c r="AL361" s="1155">
        <f t="shared" si="178"/>
        <v>0</v>
      </c>
      <c r="AM361" s="1155">
        <f t="shared" si="178"/>
        <v>0</v>
      </c>
      <c r="AN361" s="1155">
        <f t="shared" si="178"/>
        <v>0</v>
      </c>
      <c r="AO361" s="1155">
        <f t="shared" si="178"/>
        <v>0</v>
      </c>
      <c r="AP361" s="1155">
        <f t="shared" si="178"/>
        <v>0</v>
      </c>
      <c r="AQ361" s="1155">
        <f t="shared" si="178"/>
        <v>0</v>
      </c>
      <c r="AR361" s="1155">
        <f t="shared" si="178"/>
        <v>0</v>
      </c>
      <c r="AS361" s="1155">
        <f t="shared" si="178"/>
        <v>0</v>
      </c>
      <c r="AT361" s="1155">
        <f t="shared" si="178"/>
        <v>0</v>
      </c>
      <c r="AU361" s="1155">
        <f t="shared" si="178"/>
        <v>0</v>
      </c>
      <c r="AV361" s="1155">
        <f t="shared" si="178"/>
        <v>0</v>
      </c>
      <c r="AW361" s="1155">
        <f t="shared" si="178"/>
        <v>0</v>
      </c>
      <c r="AX361" s="1155">
        <f t="shared" si="178"/>
        <v>0</v>
      </c>
      <c r="AY361" s="1155">
        <f t="shared" si="178"/>
        <v>0</v>
      </c>
      <c r="AZ361" s="1155">
        <f t="shared" si="178"/>
        <v>0</v>
      </c>
      <c r="BA361" s="1155">
        <f t="shared" si="178"/>
        <v>0</v>
      </c>
      <c r="BB361" s="1155">
        <f t="shared" si="178"/>
        <v>0</v>
      </c>
      <c r="BC361" s="1155">
        <f t="shared" si="178"/>
        <v>0</v>
      </c>
      <c r="BD361" s="1155">
        <f t="shared" si="178"/>
        <v>0</v>
      </c>
      <c r="BE361" s="1155">
        <f t="shared" si="178"/>
        <v>0</v>
      </c>
      <c r="BF361" s="1155">
        <f t="shared" si="178"/>
        <v>0</v>
      </c>
      <c r="BG361" s="1155">
        <f t="shared" si="178"/>
        <v>0</v>
      </c>
      <c r="BH361" s="1155">
        <f t="shared" si="178"/>
        <v>0</v>
      </c>
      <c r="BI361" s="1155">
        <f t="shared" si="178"/>
        <v>0</v>
      </c>
      <c r="BJ361" s="1155">
        <f t="shared" si="178"/>
        <v>0</v>
      </c>
      <c r="BK361" s="1155">
        <f t="shared" si="178"/>
        <v>0</v>
      </c>
      <c r="BL361" s="1155">
        <f t="shared" si="178"/>
        <v>0</v>
      </c>
      <c r="BM361" s="1155">
        <f t="shared" si="178"/>
        <v>0</v>
      </c>
      <c r="BN361" s="1155">
        <f t="shared" si="178"/>
        <v>0</v>
      </c>
      <c r="BO361" s="1155">
        <f t="shared" si="178"/>
        <v>0</v>
      </c>
      <c r="BP361" s="1155">
        <f t="shared" si="178"/>
        <v>0</v>
      </c>
      <c r="BQ361" s="1155">
        <f t="shared" si="178"/>
        <v>0</v>
      </c>
      <c r="BR361" s="1155">
        <f t="shared" si="178"/>
        <v>0</v>
      </c>
      <c r="BS361" s="1155">
        <f t="shared" si="178"/>
        <v>0</v>
      </c>
      <c r="BT361" s="1155">
        <f t="shared" si="178"/>
        <v>0</v>
      </c>
      <c r="BU361" s="1155">
        <f t="shared" si="178"/>
        <v>0</v>
      </c>
      <c r="BV361" s="1155">
        <f t="shared" si="178"/>
        <v>0</v>
      </c>
      <c r="BW361" s="1155">
        <f t="shared" si="178"/>
        <v>0</v>
      </c>
      <c r="BX361" s="1162">
        <f t="shared" si="178"/>
        <v>0</v>
      </c>
      <c r="BY361" s="1162">
        <f t="shared" si="178"/>
        <v>0</v>
      </c>
      <c r="BZ361" s="1162">
        <f t="shared" si="178"/>
        <v>0</v>
      </c>
      <c r="CA361" s="1162">
        <f t="shared" si="178"/>
        <v>0</v>
      </c>
      <c r="CB361" s="1162">
        <f t="shared" si="178"/>
        <v>0</v>
      </c>
      <c r="CC361" s="1162">
        <f t="shared" si="178"/>
        <v>0</v>
      </c>
      <c r="CD361" s="1162">
        <f t="shared" si="178"/>
        <v>0</v>
      </c>
      <c r="CE361" s="1162">
        <f t="shared" si="178"/>
        <v>0</v>
      </c>
      <c r="CF361" s="1162">
        <f t="shared" si="178"/>
        <v>0</v>
      </c>
      <c r="CG361" s="1162">
        <f t="shared" si="178"/>
        <v>0</v>
      </c>
      <c r="CH361" s="1162">
        <f t="shared" si="178"/>
        <v>0</v>
      </c>
      <c r="CI361" s="1162">
        <f t="shared" si="178"/>
        <v>0</v>
      </c>
      <c r="CJ361" s="1162">
        <f t="shared" si="178"/>
        <v>0</v>
      </c>
      <c r="CK361" s="1162">
        <f t="shared" ref="CK361:EN363" si="179">IF(OR($R295=0,$S295=0),0,IF($S295=CK$343,$R295,0))</f>
        <v>0</v>
      </c>
      <c r="CL361" s="1162">
        <f t="shared" si="179"/>
        <v>0</v>
      </c>
      <c r="CM361" s="1162">
        <f t="shared" si="179"/>
        <v>0</v>
      </c>
      <c r="CN361" s="1162">
        <f t="shared" si="179"/>
        <v>0</v>
      </c>
      <c r="CO361" s="1162">
        <f t="shared" si="179"/>
        <v>0</v>
      </c>
      <c r="CP361" s="1162">
        <f t="shared" si="179"/>
        <v>0</v>
      </c>
      <c r="CQ361" s="48">
        <f t="shared" si="179"/>
        <v>0</v>
      </c>
      <c r="CR361" s="48">
        <f t="shared" si="179"/>
        <v>0</v>
      </c>
      <c r="CS361" s="48">
        <f t="shared" si="179"/>
        <v>0</v>
      </c>
      <c r="CT361" s="48">
        <f t="shared" si="179"/>
        <v>0</v>
      </c>
      <c r="CU361" s="48">
        <f t="shared" si="179"/>
        <v>0</v>
      </c>
      <c r="CV361" s="48">
        <f t="shared" si="179"/>
        <v>0</v>
      </c>
      <c r="CW361" s="48">
        <f t="shared" si="179"/>
        <v>0</v>
      </c>
      <c r="CX361" s="48">
        <f t="shared" si="179"/>
        <v>0</v>
      </c>
      <c r="CY361" s="48">
        <f t="shared" si="179"/>
        <v>0</v>
      </c>
      <c r="CZ361" s="48">
        <f t="shared" si="179"/>
        <v>0</v>
      </c>
      <c r="DA361" s="48">
        <f t="shared" si="179"/>
        <v>0</v>
      </c>
      <c r="DB361" s="48">
        <f t="shared" si="179"/>
        <v>0</v>
      </c>
      <c r="DC361" s="48">
        <f t="shared" si="179"/>
        <v>0</v>
      </c>
      <c r="DD361" s="48">
        <f t="shared" si="179"/>
        <v>0</v>
      </c>
      <c r="DE361" s="48">
        <f t="shared" si="179"/>
        <v>0</v>
      </c>
      <c r="DF361" s="48">
        <f t="shared" si="179"/>
        <v>0</v>
      </c>
      <c r="DG361" s="48">
        <f t="shared" si="179"/>
        <v>0</v>
      </c>
      <c r="DH361" s="48">
        <f t="shared" si="179"/>
        <v>0</v>
      </c>
      <c r="DI361" s="48">
        <f t="shared" si="179"/>
        <v>0</v>
      </c>
      <c r="DJ361" s="48">
        <f t="shared" si="179"/>
        <v>0</v>
      </c>
      <c r="DK361" s="48">
        <f t="shared" si="179"/>
        <v>0</v>
      </c>
      <c r="DL361" s="48">
        <f t="shared" si="179"/>
        <v>0</v>
      </c>
      <c r="DM361" s="48">
        <f t="shared" si="179"/>
        <v>0</v>
      </c>
      <c r="DN361" s="48">
        <f t="shared" si="179"/>
        <v>0</v>
      </c>
      <c r="DO361" s="48">
        <f t="shared" si="179"/>
        <v>0</v>
      </c>
      <c r="DP361" s="48">
        <f t="shared" si="179"/>
        <v>0</v>
      </c>
      <c r="DQ361" s="48">
        <f t="shared" si="179"/>
        <v>0</v>
      </c>
      <c r="DR361" s="50">
        <f t="shared" si="179"/>
        <v>0</v>
      </c>
      <c r="DS361" s="50">
        <f t="shared" si="179"/>
        <v>0</v>
      </c>
      <c r="DT361" s="50">
        <f t="shared" si="179"/>
        <v>0</v>
      </c>
      <c r="DU361" s="50">
        <f t="shared" si="179"/>
        <v>0</v>
      </c>
      <c r="DV361" s="50">
        <f t="shared" si="179"/>
        <v>0</v>
      </c>
      <c r="DW361" s="50">
        <f t="shared" si="179"/>
        <v>0</v>
      </c>
      <c r="DX361" s="50">
        <f t="shared" si="179"/>
        <v>0</v>
      </c>
      <c r="DY361" s="50">
        <f t="shared" si="179"/>
        <v>0</v>
      </c>
      <c r="DZ361" s="50">
        <f t="shared" si="179"/>
        <v>0</v>
      </c>
      <c r="EA361" s="50">
        <f t="shared" si="179"/>
        <v>0</v>
      </c>
      <c r="EB361" s="50">
        <f t="shared" si="179"/>
        <v>0</v>
      </c>
      <c r="EC361" s="50">
        <f t="shared" si="179"/>
        <v>0</v>
      </c>
      <c r="ED361" s="50">
        <f t="shared" si="179"/>
        <v>0</v>
      </c>
      <c r="EE361" s="50">
        <f t="shared" si="179"/>
        <v>0</v>
      </c>
      <c r="EF361" s="50">
        <f t="shared" si="179"/>
        <v>0</v>
      </c>
      <c r="EG361" s="50">
        <f t="shared" si="179"/>
        <v>0</v>
      </c>
      <c r="EH361" s="50">
        <f t="shared" si="179"/>
        <v>0</v>
      </c>
      <c r="EI361" s="50">
        <f t="shared" si="179"/>
        <v>0</v>
      </c>
      <c r="EJ361" s="50">
        <f t="shared" si="179"/>
        <v>0</v>
      </c>
      <c r="EK361" s="50">
        <f t="shared" si="179"/>
        <v>0</v>
      </c>
      <c r="EL361" s="50">
        <f t="shared" si="179"/>
        <v>0</v>
      </c>
      <c r="EM361" s="50">
        <f t="shared" si="179"/>
        <v>0</v>
      </c>
      <c r="EN361" s="50">
        <f t="shared" si="179"/>
        <v>0</v>
      </c>
      <c r="EO361" s="39">
        <v>51</v>
      </c>
      <c r="EP361" s="39">
        <v>51</v>
      </c>
      <c r="EQ361" s="39">
        <v>51</v>
      </c>
      <c r="ER361" s="39">
        <v>51</v>
      </c>
      <c r="ES361" s="39">
        <v>51</v>
      </c>
      <c r="ET361" s="39">
        <v>51</v>
      </c>
      <c r="EU361" s="39">
        <v>51</v>
      </c>
      <c r="EV361" s="39">
        <v>51</v>
      </c>
      <c r="EW361" s="39">
        <v>51</v>
      </c>
      <c r="EX361" s="39">
        <v>51</v>
      </c>
    </row>
    <row r="362" spans="11:154" ht="12" customHeight="1" x14ac:dyDescent="0.35">
      <c r="K362" s="1668"/>
      <c r="L362" s="1668"/>
      <c r="M362" s="1668"/>
      <c r="N362" s="1668"/>
      <c r="O362" s="1668"/>
      <c r="P362" s="1668"/>
      <c r="Q362" s="1671"/>
      <c r="R362" s="1671"/>
      <c r="S362" s="1671"/>
      <c r="T362" s="1668"/>
      <c r="U362" s="1672"/>
      <c r="V362" s="1597"/>
      <c r="W362" s="1597"/>
      <c r="X362" s="381">
        <f t="shared" si="167"/>
        <v>19</v>
      </c>
      <c r="Y362" s="1645">
        <f t="shared" si="170"/>
        <v>0</v>
      </c>
      <c r="Z362" s="1646">
        <f t="shared" ref="Z362:CK363" si="180">IF(OR($R296=0,$S296=0),0,IF($S296=Z$343,$R296,0))</f>
        <v>0</v>
      </c>
      <c r="AA362" s="1646">
        <f t="shared" si="180"/>
        <v>0</v>
      </c>
      <c r="AB362" s="1646">
        <f t="shared" si="180"/>
        <v>0</v>
      </c>
      <c r="AC362" s="1646">
        <f t="shared" si="180"/>
        <v>0</v>
      </c>
      <c r="AD362" s="1646">
        <f t="shared" si="180"/>
        <v>0</v>
      </c>
      <c r="AE362" s="1646">
        <f t="shared" si="180"/>
        <v>0</v>
      </c>
      <c r="AF362" s="1155">
        <f t="shared" si="180"/>
        <v>0</v>
      </c>
      <c r="AG362" s="1155">
        <f t="shared" si="180"/>
        <v>0</v>
      </c>
      <c r="AH362" s="1155">
        <f t="shared" si="180"/>
        <v>0</v>
      </c>
      <c r="AI362" s="1155">
        <f t="shared" si="180"/>
        <v>0</v>
      </c>
      <c r="AJ362" s="1155">
        <f t="shared" si="180"/>
        <v>0</v>
      </c>
      <c r="AK362" s="1155">
        <f t="shared" si="180"/>
        <v>0</v>
      </c>
      <c r="AL362" s="1155">
        <f t="shared" si="180"/>
        <v>0</v>
      </c>
      <c r="AM362" s="1155">
        <f t="shared" si="180"/>
        <v>0</v>
      </c>
      <c r="AN362" s="1155">
        <f t="shared" si="180"/>
        <v>0</v>
      </c>
      <c r="AO362" s="1155">
        <f t="shared" si="180"/>
        <v>0</v>
      </c>
      <c r="AP362" s="1155">
        <f t="shared" si="180"/>
        <v>0</v>
      </c>
      <c r="AQ362" s="1155">
        <f t="shared" si="180"/>
        <v>0</v>
      </c>
      <c r="AR362" s="1155">
        <f t="shared" si="180"/>
        <v>0</v>
      </c>
      <c r="AS362" s="1155">
        <f t="shared" si="180"/>
        <v>0</v>
      </c>
      <c r="AT362" s="1155">
        <f t="shared" si="180"/>
        <v>0</v>
      </c>
      <c r="AU362" s="1155">
        <f t="shared" si="180"/>
        <v>0</v>
      </c>
      <c r="AV362" s="1155">
        <f t="shared" si="180"/>
        <v>0</v>
      </c>
      <c r="AW362" s="1155">
        <f t="shared" si="180"/>
        <v>0</v>
      </c>
      <c r="AX362" s="1155">
        <f t="shared" si="180"/>
        <v>0</v>
      </c>
      <c r="AY362" s="1155">
        <f t="shared" si="180"/>
        <v>0</v>
      </c>
      <c r="AZ362" s="1155">
        <f t="shared" si="180"/>
        <v>0</v>
      </c>
      <c r="BA362" s="1155">
        <f t="shared" si="180"/>
        <v>0</v>
      </c>
      <c r="BB362" s="1155">
        <f t="shared" si="180"/>
        <v>0</v>
      </c>
      <c r="BC362" s="1155">
        <f t="shared" si="180"/>
        <v>0</v>
      </c>
      <c r="BD362" s="1155">
        <f t="shared" si="180"/>
        <v>0</v>
      </c>
      <c r="BE362" s="1155">
        <f t="shared" si="180"/>
        <v>0</v>
      </c>
      <c r="BF362" s="1155">
        <f t="shared" si="180"/>
        <v>0</v>
      </c>
      <c r="BG362" s="1155">
        <f t="shared" si="180"/>
        <v>0</v>
      </c>
      <c r="BH362" s="1155">
        <f t="shared" si="180"/>
        <v>0</v>
      </c>
      <c r="BI362" s="1155">
        <f t="shared" si="180"/>
        <v>0</v>
      </c>
      <c r="BJ362" s="1155">
        <f t="shared" si="180"/>
        <v>0</v>
      </c>
      <c r="BK362" s="1155">
        <f t="shared" si="180"/>
        <v>0</v>
      </c>
      <c r="BL362" s="1155">
        <f t="shared" si="180"/>
        <v>0</v>
      </c>
      <c r="BM362" s="1155">
        <f t="shared" si="180"/>
        <v>0</v>
      </c>
      <c r="BN362" s="1155">
        <f t="shared" si="180"/>
        <v>0</v>
      </c>
      <c r="BO362" s="1155">
        <f t="shared" si="180"/>
        <v>0</v>
      </c>
      <c r="BP362" s="1155">
        <f t="shared" si="180"/>
        <v>0</v>
      </c>
      <c r="BQ362" s="1155">
        <f t="shared" si="180"/>
        <v>0</v>
      </c>
      <c r="BR362" s="1155">
        <f t="shared" si="180"/>
        <v>0</v>
      </c>
      <c r="BS362" s="1155">
        <f t="shared" si="180"/>
        <v>0</v>
      </c>
      <c r="BT362" s="1155">
        <f t="shared" si="180"/>
        <v>0</v>
      </c>
      <c r="BU362" s="1155">
        <f t="shared" si="180"/>
        <v>0</v>
      </c>
      <c r="BV362" s="1155">
        <f t="shared" si="180"/>
        <v>0</v>
      </c>
      <c r="BW362" s="1155">
        <f t="shared" si="180"/>
        <v>0</v>
      </c>
      <c r="BX362" s="1162">
        <f t="shared" si="180"/>
        <v>0</v>
      </c>
      <c r="BY362" s="1162">
        <f t="shared" si="180"/>
        <v>0</v>
      </c>
      <c r="BZ362" s="1162">
        <f t="shared" si="180"/>
        <v>0</v>
      </c>
      <c r="CA362" s="1162">
        <f t="shared" si="180"/>
        <v>0</v>
      </c>
      <c r="CB362" s="1162">
        <f t="shared" si="180"/>
        <v>0</v>
      </c>
      <c r="CC362" s="1162">
        <f t="shared" si="180"/>
        <v>0</v>
      </c>
      <c r="CD362" s="1162">
        <f t="shared" si="180"/>
        <v>0</v>
      </c>
      <c r="CE362" s="1162">
        <f t="shared" si="180"/>
        <v>0</v>
      </c>
      <c r="CF362" s="1162">
        <f t="shared" si="180"/>
        <v>0</v>
      </c>
      <c r="CG362" s="1162">
        <f t="shared" si="180"/>
        <v>0</v>
      </c>
      <c r="CH362" s="1162">
        <f t="shared" si="180"/>
        <v>0</v>
      </c>
      <c r="CI362" s="1162">
        <f t="shared" si="180"/>
        <v>0</v>
      </c>
      <c r="CJ362" s="1162">
        <f t="shared" si="180"/>
        <v>0</v>
      </c>
      <c r="CK362" s="1162">
        <f t="shared" si="180"/>
        <v>0</v>
      </c>
      <c r="CL362" s="1162">
        <f t="shared" si="179"/>
        <v>0</v>
      </c>
      <c r="CM362" s="1162">
        <f t="shared" si="179"/>
        <v>0</v>
      </c>
      <c r="CN362" s="1162">
        <f t="shared" si="179"/>
        <v>0</v>
      </c>
      <c r="CO362" s="1162">
        <f t="shared" si="179"/>
        <v>0</v>
      </c>
      <c r="CP362" s="1162">
        <f t="shared" si="179"/>
        <v>0</v>
      </c>
      <c r="CQ362" s="48">
        <f t="shared" si="179"/>
        <v>0</v>
      </c>
      <c r="CR362" s="48">
        <f t="shared" si="179"/>
        <v>0</v>
      </c>
      <c r="CS362" s="48">
        <f t="shared" si="179"/>
        <v>0</v>
      </c>
      <c r="CT362" s="48">
        <f t="shared" si="179"/>
        <v>0</v>
      </c>
      <c r="CU362" s="48">
        <f t="shared" si="179"/>
        <v>0</v>
      </c>
      <c r="CV362" s="48">
        <f t="shared" si="179"/>
        <v>0</v>
      </c>
      <c r="CW362" s="48">
        <f t="shared" si="179"/>
        <v>0</v>
      </c>
      <c r="CX362" s="48">
        <f t="shared" si="179"/>
        <v>0</v>
      </c>
      <c r="CY362" s="48">
        <f t="shared" si="179"/>
        <v>0</v>
      </c>
      <c r="CZ362" s="48">
        <f t="shared" si="179"/>
        <v>0</v>
      </c>
      <c r="DA362" s="48">
        <f t="shared" si="179"/>
        <v>0</v>
      </c>
      <c r="DB362" s="48">
        <f t="shared" si="179"/>
        <v>0</v>
      </c>
      <c r="DC362" s="48">
        <f t="shared" si="179"/>
        <v>0</v>
      </c>
      <c r="DD362" s="48">
        <f t="shared" si="179"/>
        <v>0</v>
      </c>
      <c r="DE362" s="48">
        <f t="shared" si="179"/>
        <v>0</v>
      </c>
      <c r="DF362" s="48">
        <f t="shared" si="179"/>
        <v>0</v>
      </c>
      <c r="DG362" s="48">
        <f t="shared" si="179"/>
        <v>0</v>
      </c>
      <c r="DH362" s="48">
        <f t="shared" si="179"/>
        <v>0</v>
      </c>
      <c r="DI362" s="48">
        <f t="shared" si="179"/>
        <v>0</v>
      </c>
      <c r="DJ362" s="48">
        <f t="shared" si="179"/>
        <v>0</v>
      </c>
      <c r="DK362" s="48">
        <f t="shared" si="179"/>
        <v>0</v>
      </c>
      <c r="DL362" s="48">
        <f t="shared" si="179"/>
        <v>0</v>
      </c>
      <c r="DM362" s="48">
        <f t="shared" si="179"/>
        <v>0</v>
      </c>
      <c r="DN362" s="48">
        <f t="shared" si="179"/>
        <v>0</v>
      </c>
      <c r="DO362" s="48">
        <f t="shared" si="179"/>
        <v>0</v>
      </c>
      <c r="DP362" s="48">
        <f t="shared" si="179"/>
        <v>0</v>
      </c>
      <c r="DQ362" s="48">
        <f t="shared" si="179"/>
        <v>0</v>
      </c>
      <c r="DR362" s="50">
        <f t="shared" si="179"/>
        <v>0</v>
      </c>
      <c r="DS362" s="50">
        <f t="shared" si="179"/>
        <v>0</v>
      </c>
      <c r="DT362" s="50">
        <f t="shared" si="179"/>
        <v>0</v>
      </c>
      <c r="DU362" s="50">
        <f t="shared" si="179"/>
        <v>0</v>
      </c>
      <c r="DV362" s="50">
        <f t="shared" si="179"/>
        <v>0</v>
      </c>
      <c r="DW362" s="50">
        <f t="shared" si="179"/>
        <v>0</v>
      </c>
      <c r="DX362" s="50">
        <f t="shared" si="179"/>
        <v>0</v>
      </c>
      <c r="DY362" s="50">
        <f t="shared" si="179"/>
        <v>0</v>
      </c>
      <c r="DZ362" s="50">
        <f t="shared" si="179"/>
        <v>0</v>
      </c>
      <c r="EA362" s="50">
        <f t="shared" si="179"/>
        <v>0</v>
      </c>
      <c r="EB362" s="50">
        <f t="shared" si="179"/>
        <v>0</v>
      </c>
      <c r="EC362" s="50">
        <f t="shared" si="179"/>
        <v>0</v>
      </c>
      <c r="ED362" s="50">
        <f t="shared" si="179"/>
        <v>0</v>
      </c>
      <c r="EE362" s="50">
        <f t="shared" si="179"/>
        <v>0</v>
      </c>
      <c r="EF362" s="50">
        <f t="shared" si="179"/>
        <v>0</v>
      </c>
      <c r="EG362" s="50">
        <f t="shared" si="179"/>
        <v>0</v>
      </c>
      <c r="EH362" s="50">
        <f t="shared" si="179"/>
        <v>0</v>
      </c>
      <c r="EI362" s="50">
        <f t="shared" si="179"/>
        <v>0</v>
      </c>
      <c r="EJ362" s="50">
        <f t="shared" si="179"/>
        <v>0</v>
      </c>
      <c r="EK362" s="50">
        <f t="shared" si="179"/>
        <v>0</v>
      </c>
      <c r="EL362" s="50">
        <f t="shared" si="179"/>
        <v>0</v>
      </c>
      <c r="EM362" s="50">
        <f t="shared" si="179"/>
        <v>0</v>
      </c>
      <c r="EN362" s="50">
        <f t="shared" si="179"/>
        <v>0</v>
      </c>
      <c r="EO362" s="39">
        <v>51</v>
      </c>
      <c r="EP362" s="39">
        <v>51</v>
      </c>
      <c r="EQ362" s="39">
        <v>51</v>
      </c>
      <c r="ER362" s="39">
        <v>51</v>
      </c>
      <c r="ES362" s="39">
        <v>51</v>
      </c>
      <c r="ET362" s="39">
        <v>51</v>
      </c>
      <c r="EU362" s="39">
        <v>51</v>
      </c>
      <c r="EV362" s="39">
        <v>51</v>
      </c>
      <c r="EW362" s="39">
        <v>51</v>
      </c>
      <c r="EX362" s="39">
        <v>51</v>
      </c>
    </row>
    <row r="363" spans="11:154" ht="12" customHeight="1" x14ac:dyDescent="0.35">
      <c r="K363" s="1668"/>
      <c r="L363" s="1668"/>
      <c r="M363" s="1668"/>
      <c r="N363" s="1668"/>
      <c r="O363" s="1668"/>
      <c r="P363" s="1668"/>
      <c r="Q363" s="1671"/>
      <c r="R363" s="1671"/>
      <c r="S363" s="1671"/>
      <c r="T363" s="1668"/>
      <c r="U363" s="1672"/>
      <c r="V363" s="1597"/>
      <c r="W363" s="1597"/>
      <c r="X363" s="381">
        <f t="shared" si="167"/>
        <v>20</v>
      </c>
      <c r="Y363" s="1645">
        <f t="shared" si="170"/>
        <v>0</v>
      </c>
      <c r="Z363" s="1646">
        <f t="shared" si="180"/>
        <v>0</v>
      </c>
      <c r="AA363" s="1646">
        <f t="shared" si="180"/>
        <v>0</v>
      </c>
      <c r="AB363" s="1646">
        <f t="shared" si="180"/>
        <v>0</v>
      </c>
      <c r="AC363" s="1646">
        <f t="shared" si="180"/>
        <v>0</v>
      </c>
      <c r="AD363" s="1646">
        <f t="shared" si="180"/>
        <v>0</v>
      </c>
      <c r="AE363" s="1646">
        <f t="shared" si="180"/>
        <v>0</v>
      </c>
      <c r="AF363" s="1155">
        <f t="shared" si="180"/>
        <v>0</v>
      </c>
      <c r="AG363" s="1155">
        <f t="shared" si="180"/>
        <v>0</v>
      </c>
      <c r="AH363" s="1155">
        <f t="shared" si="180"/>
        <v>0</v>
      </c>
      <c r="AI363" s="1155">
        <f t="shared" si="180"/>
        <v>0</v>
      </c>
      <c r="AJ363" s="1155">
        <f t="shared" si="180"/>
        <v>0</v>
      </c>
      <c r="AK363" s="1155">
        <f t="shared" si="180"/>
        <v>0</v>
      </c>
      <c r="AL363" s="1155">
        <f t="shared" si="180"/>
        <v>0</v>
      </c>
      <c r="AM363" s="1155">
        <f t="shared" si="180"/>
        <v>0</v>
      </c>
      <c r="AN363" s="1155">
        <f t="shared" si="180"/>
        <v>0</v>
      </c>
      <c r="AO363" s="1155">
        <f t="shared" si="180"/>
        <v>0</v>
      </c>
      <c r="AP363" s="1155">
        <f t="shared" si="180"/>
        <v>0</v>
      </c>
      <c r="AQ363" s="1155">
        <f t="shared" si="180"/>
        <v>0</v>
      </c>
      <c r="AR363" s="1155">
        <f t="shared" si="180"/>
        <v>0</v>
      </c>
      <c r="AS363" s="1155">
        <f t="shared" si="180"/>
        <v>0</v>
      </c>
      <c r="AT363" s="1155">
        <f t="shared" si="180"/>
        <v>0</v>
      </c>
      <c r="AU363" s="1155">
        <f t="shared" si="180"/>
        <v>0</v>
      </c>
      <c r="AV363" s="1155">
        <f t="shared" si="180"/>
        <v>0</v>
      </c>
      <c r="AW363" s="1155">
        <f t="shared" si="180"/>
        <v>0</v>
      </c>
      <c r="AX363" s="1155">
        <f t="shared" si="180"/>
        <v>0</v>
      </c>
      <c r="AY363" s="1155">
        <f t="shared" si="180"/>
        <v>0</v>
      </c>
      <c r="AZ363" s="1155">
        <f t="shared" si="180"/>
        <v>0</v>
      </c>
      <c r="BA363" s="1155">
        <f t="shared" si="180"/>
        <v>0</v>
      </c>
      <c r="BB363" s="1155">
        <f t="shared" si="180"/>
        <v>0</v>
      </c>
      <c r="BC363" s="1155">
        <f t="shared" si="180"/>
        <v>0</v>
      </c>
      <c r="BD363" s="1155">
        <f t="shared" si="180"/>
        <v>0</v>
      </c>
      <c r="BE363" s="1155">
        <f t="shared" si="180"/>
        <v>0</v>
      </c>
      <c r="BF363" s="1155">
        <f t="shared" si="180"/>
        <v>0</v>
      </c>
      <c r="BG363" s="1155">
        <f t="shared" si="180"/>
        <v>0</v>
      </c>
      <c r="BH363" s="1155">
        <f t="shared" si="180"/>
        <v>0</v>
      </c>
      <c r="BI363" s="1155">
        <f t="shared" si="180"/>
        <v>0</v>
      </c>
      <c r="BJ363" s="1155">
        <f t="shared" si="180"/>
        <v>0</v>
      </c>
      <c r="BK363" s="1155">
        <f t="shared" si="180"/>
        <v>0</v>
      </c>
      <c r="BL363" s="1155">
        <f t="shared" si="180"/>
        <v>0</v>
      </c>
      <c r="BM363" s="1155">
        <f t="shared" si="180"/>
        <v>0</v>
      </c>
      <c r="BN363" s="1155">
        <f t="shared" si="180"/>
        <v>0</v>
      </c>
      <c r="BO363" s="1155">
        <f t="shared" si="180"/>
        <v>0</v>
      </c>
      <c r="BP363" s="1155">
        <f t="shared" si="180"/>
        <v>0</v>
      </c>
      <c r="BQ363" s="1155">
        <f t="shared" si="180"/>
        <v>0</v>
      </c>
      <c r="BR363" s="1155">
        <f t="shared" si="180"/>
        <v>0</v>
      </c>
      <c r="BS363" s="1155">
        <f t="shared" si="180"/>
        <v>0</v>
      </c>
      <c r="BT363" s="1155">
        <f t="shared" si="180"/>
        <v>0</v>
      </c>
      <c r="BU363" s="1155">
        <f t="shared" si="180"/>
        <v>0</v>
      </c>
      <c r="BV363" s="1155">
        <f t="shared" si="180"/>
        <v>0</v>
      </c>
      <c r="BW363" s="1155">
        <f t="shared" si="180"/>
        <v>0</v>
      </c>
      <c r="BX363" s="1162">
        <f t="shared" si="180"/>
        <v>0</v>
      </c>
      <c r="BY363" s="1162">
        <f t="shared" si="180"/>
        <v>0</v>
      </c>
      <c r="BZ363" s="1162">
        <f t="shared" si="180"/>
        <v>0</v>
      </c>
      <c r="CA363" s="1162">
        <f t="shared" si="180"/>
        <v>0</v>
      </c>
      <c r="CB363" s="1162">
        <f t="shared" si="180"/>
        <v>0</v>
      </c>
      <c r="CC363" s="1162">
        <f t="shared" si="180"/>
        <v>0</v>
      </c>
      <c r="CD363" s="1162">
        <f t="shared" si="180"/>
        <v>0</v>
      </c>
      <c r="CE363" s="1162">
        <f t="shared" si="180"/>
        <v>0</v>
      </c>
      <c r="CF363" s="1162">
        <f t="shared" si="180"/>
        <v>0</v>
      </c>
      <c r="CG363" s="1162">
        <f t="shared" si="180"/>
        <v>0</v>
      </c>
      <c r="CH363" s="1162">
        <f t="shared" si="180"/>
        <v>0</v>
      </c>
      <c r="CI363" s="1162">
        <f t="shared" si="180"/>
        <v>0</v>
      </c>
      <c r="CJ363" s="1162">
        <f t="shared" si="180"/>
        <v>0</v>
      </c>
      <c r="CK363" s="1162">
        <f t="shared" si="180"/>
        <v>0</v>
      </c>
      <c r="CL363" s="1162">
        <f t="shared" si="179"/>
        <v>0</v>
      </c>
      <c r="CM363" s="1162">
        <f t="shared" si="179"/>
        <v>0</v>
      </c>
      <c r="CN363" s="1162">
        <f t="shared" si="179"/>
        <v>0</v>
      </c>
      <c r="CO363" s="1162">
        <f t="shared" si="179"/>
        <v>0</v>
      </c>
      <c r="CP363" s="1162">
        <f t="shared" si="179"/>
        <v>0</v>
      </c>
      <c r="CQ363" s="48">
        <f t="shared" si="179"/>
        <v>0</v>
      </c>
      <c r="CR363" s="48">
        <f t="shared" si="179"/>
        <v>0</v>
      </c>
      <c r="CS363" s="48">
        <f t="shared" si="179"/>
        <v>0</v>
      </c>
      <c r="CT363" s="48">
        <f t="shared" si="179"/>
        <v>0</v>
      </c>
      <c r="CU363" s="48">
        <f t="shared" si="179"/>
        <v>0</v>
      </c>
      <c r="CV363" s="48">
        <f t="shared" si="179"/>
        <v>0</v>
      </c>
      <c r="CW363" s="48">
        <f t="shared" si="179"/>
        <v>0</v>
      </c>
      <c r="CX363" s="48">
        <f t="shared" si="179"/>
        <v>0</v>
      </c>
      <c r="CY363" s="48">
        <f t="shared" si="179"/>
        <v>0</v>
      </c>
      <c r="CZ363" s="48">
        <f t="shared" si="179"/>
        <v>0</v>
      </c>
      <c r="DA363" s="48">
        <f t="shared" si="179"/>
        <v>0</v>
      </c>
      <c r="DB363" s="48">
        <f t="shared" si="179"/>
        <v>0</v>
      </c>
      <c r="DC363" s="48">
        <f t="shared" si="179"/>
        <v>0</v>
      </c>
      <c r="DD363" s="48">
        <f t="shared" si="179"/>
        <v>0</v>
      </c>
      <c r="DE363" s="48">
        <f t="shared" si="179"/>
        <v>0</v>
      </c>
      <c r="DF363" s="48">
        <f t="shared" si="179"/>
        <v>0</v>
      </c>
      <c r="DG363" s="48">
        <f t="shared" si="179"/>
        <v>0</v>
      </c>
      <c r="DH363" s="48">
        <f t="shared" si="179"/>
        <v>0</v>
      </c>
      <c r="DI363" s="48">
        <f t="shared" si="179"/>
        <v>0</v>
      </c>
      <c r="DJ363" s="48">
        <f t="shared" si="179"/>
        <v>0</v>
      </c>
      <c r="DK363" s="48">
        <f t="shared" si="179"/>
        <v>0</v>
      </c>
      <c r="DL363" s="48">
        <f t="shared" si="179"/>
        <v>0</v>
      </c>
      <c r="DM363" s="48">
        <f t="shared" si="179"/>
        <v>0</v>
      </c>
      <c r="DN363" s="48">
        <f t="shared" si="179"/>
        <v>0</v>
      </c>
      <c r="DO363" s="48">
        <f t="shared" si="179"/>
        <v>0</v>
      </c>
      <c r="DP363" s="48">
        <f t="shared" si="179"/>
        <v>0</v>
      </c>
      <c r="DQ363" s="48">
        <f t="shared" si="179"/>
        <v>0</v>
      </c>
      <c r="DR363" s="50">
        <f t="shared" si="179"/>
        <v>0</v>
      </c>
      <c r="DS363" s="50">
        <f t="shared" si="179"/>
        <v>0</v>
      </c>
      <c r="DT363" s="50">
        <f t="shared" si="179"/>
        <v>0</v>
      </c>
      <c r="DU363" s="50">
        <f t="shared" si="179"/>
        <v>0</v>
      </c>
      <c r="DV363" s="50">
        <f t="shared" si="179"/>
        <v>0</v>
      </c>
      <c r="DW363" s="50">
        <f t="shared" si="179"/>
        <v>0</v>
      </c>
      <c r="DX363" s="50">
        <f t="shared" si="179"/>
        <v>0</v>
      </c>
      <c r="DY363" s="50">
        <f t="shared" si="179"/>
        <v>0</v>
      </c>
      <c r="DZ363" s="50">
        <f t="shared" si="179"/>
        <v>0</v>
      </c>
      <c r="EA363" s="50">
        <f t="shared" si="179"/>
        <v>0</v>
      </c>
      <c r="EB363" s="50">
        <f t="shared" si="179"/>
        <v>0</v>
      </c>
      <c r="EC363" s="50">
        <f t="shared" si="179"/>
        <v>0</v>
      </c>
      <c r="ED363" s="50">
        <f t="shared" si="179"/>
        <v>0</v>
      </c>
      <c r="EE363" s="50">
        <f t="shared" si="179"/>
        <v>0</v>
      </c>
      <c r="EF363" s="50">
        <f t="shared" si="179"/>
        <v>0</v>
      </c>
      <c r="EG363" s="50">
        <f t="shared" si="179"/>
        <v>0</v>
      </c>
      <c r="EH363" s="50">
        <f t="shared" si="179"/>
        <v>0</v>
      </c>
      <c r="EI363" s="50">
        <f t="shared" si="179"/>
        <v>0</v>
      </c>
      <c r="EJ363" s="50">
        <f t="shared" si="179"/>
        <v>0</v>
      </c>
      <c r="EK363" s="50">
        <f t="shared" si="179"/>
        <v>0</v>
      </c>
      <c r="EL363" s="50">
        <f t="shared" si="179"/>
        <v>0</v>
      </c>
      <c r="EM363" s="50">
        <f t="shared" si="179"/>
        <v>0</v>
      </c>
      <c r="EN363" s="50">
        <f t="shared" si="179"/>
        <v>0</v>
      </c>
      <c r="EO363" s="39">
        <v>51</v>
      </c>
      <c r="EP363" s="39">
        <v>51</v>
      </c>
      <c r="EQ363" s="39">
        <v>51</v>
      </c>
      <c r="ER363" s="39">
        <v>51</v>
      </c>
      <c r="ES363" s="39">
        <v>51</v>
      </c>
      <c r="ET363" s="39">
        <v>51</v>
      </c>
      <c r="EU363" s="39">
        <v>51</v>
      </c>
      <c r="EV363" s="39">
        <v>51</v>
      </c>
      <c r="EW363" s="39">
        <v>51</v>
      </c>
      <c r="EX363" s="39">
        <v>51</v>
      </c>
    </row>
    <row r="364" spans="11:154" ht="12" customHeight="1" x14ac:dyDescent="0.35">
      <c r="K364" s="1667"/>
      <c r="L364" s="1667"/>
      <c r="M364" s="1667"/>
      <c r="N364" s="1667"/>
      <c r="O364" s="1667"/>
      <c r="P364" s="1667"/>
      <c r="Q364" s="1667"/>
      <c r="R364" s="1667"/>
      <c r="S364" s="1671"/>
      <c r="T364" s="1668"/>
      <c r="U364" s="1672"/>
      <c r="V364" s="1672"/>
      <c r="W364" s="1672"/>
      <c r="X364" s="381"/>
      <c r="Y364" s="1678">
        <f>SUM(Y344:Y363)</f>
        <v>0</v>
      </c>
      <c r="Z364" s="1678">
        <f t="shared" ref="Z364:AE364" si="181">SUM(Z344:Z363)</f>
        <v>0</v>
      </c>
      <c r="AA364" s="1678">
        <f t="shared" si="181"/>
        <v>0</v>
      </c>
      <c r="AB364" s="1678">
        <f t="shared" si="181"/>
        <v>0</v>
      </c>
      <c r="AC364" s="1678">
        <f t="shared" si="181"/>
        <v>0</v>
      </c>
      <c r="AD364" s="1678">
        <f t="shared" si="181"/>
        <v>0</v>
      </c>
      <c r="AE364" s="1678">
        <f t="shared" si="181"/>
        <v>0</v>
      </c>
      <c r="AF364" s="1678">
        <f t="shared" ref="AF364:BK364" si="182">SUM(AF344:AF363)</f>
        <v>0</v>
      </c>
      <c r="AG364" s="1678">
        <f t="shared" si="182"/>
        <v>0</v>
      </c>
      <c r="AH364" s="1678">
        <f t="shared" si="182"/>
        <v>0</v>
      </c>
      <c r="AI364" s="1678">
        <f t="shared" si="182"/>
        <v>0</v>
      </c>
      <c r="AJ364" s="1678">
        <f t="shared" si="182"/>
        <v>0</v>
      </c>
      <c r="AK364" s="1678">
        <f t="shared" si="182"/>
        <v>0</v>
      </c>
      <c r="AL364" s="1678">
        <f t="shared" si="182"/>
        <v>0</v>
      </c>
      <c r="AM364" s="1678">
        <f t="shared" si="182"/>
        <v>0</v>
      </c>
      <c r="AN364" s="1678">
        <f t="shared" si="182"/>
        <v>0</v>
      </c>
      <c r="AO364" s="1678">
        <f t="shared" si="182"/>
        <v>0</v>
      </c>
      <c r="AP364" s="1678">
        <f t="shared" si="182"/>
        <v>0</v>
      </c>
      <c r="AQ364" s="1678">
        <f t="shared" si="182"/>
        <v>0</v>
      </c>
      <c r="AR364" s="1678">
        <f t="shared" si="182"/>
        <v>0</v>
      </c>
      <c r="AS364" s="1678">
        <f t="shared" si="182"/>
        <v>0</v>
      </c>
      <c r="AT364" s="1678">
        <f t="shared" si="182"/>
        <v>0</v>
      </c>
      <c r="AU364" s="1678">
        <f t="shared" si="182"/>
        <v>0</v>
      </c>
      <c r="AV364" s="1678">
        <f t="shared" si="182"/>
        <v>0</v>
      </c>
      <c r="AW364" s="1678">
        <f t="shared" si="182"/>
        <v>0</v>
      </c>
      <c r="AX364" s="1678">
        <f t="shared" si="182"/>
        <v>0</v>
      </c>
      <c r="AY364" s="1678">
        <f t="shared" si="182"/>
        <v>0</v>
      </c>
      <c r="AZ364" s="1678">
        <f t="shared" si="182"/>
        <v>0</v>
      </c>
      <c r="BA364" s="1678">
        <f t="shared" si="182"/>
        <v>0</v>
      </c>
      <c r="BB364" s="1678">
        <f t="shared" si="182"/>
        <v>0</v>
      </c>
      <c r="BC364" s="1678">
        <f t="shared" si="182"/>
        <v>0</v>
      </c>
      <c r="BD364" s="1678">
        <f t="shared" si="182"/>
        <v>0</v>
      </c>
      <c r="BE364" s="1678">
        <f t="shared" si="182"/>
        <v>0</v>
      </c>
      <c r="BF364" s="1678">
        <f t="shared" si="182"/>
        <v>0</v>
      </c>
      <c r="BG364" s="1678">
        <f t="shared" si="182"/>
        <v>0</v>
      </c>
      <c r="BH364" s="1678">
        <f t="shared" si="182"/>
        <v>0</v>
      </c>
      <c r="BI364" s="1678">
        <f t="shared" si="182"/>
        <v>0</v>
      </c>
      <c r="BJ364" s="1678">
        <f t="shared" si="182"/>
        <v>0</v>
      </c>
      <c r="BK364" s="1678">
        <f t="shared" si="182"/>
        <v>0</v>
      </c>
      <c r="BL364" s="1678">
        <f t="shared" ref="BL364:CQ364" si="183">SUM(BL344:BL363)</f>
        <v>0</v>
      </c>
      <c r="BM364" s="1678">
        <f t="shared" si="183"/>
        <v>0</v>
      </c>
      <c r="BN364" s="1678">
        <f t="shared" si="183"/>
        <v>0</v>
      </c>
      <c r="BO364" s="1678">
        <f t="shared" si="183"/>
        <v>0</v>
      </c>
      <c r="BP364" s="1678">
        <f t="shared" si="183"/>
        <v>0</v>
      </c>
      <c r="BQ364" s="1678">
        <f t="shared" si="183"/>
        <v>0</v>
      </c>
      <c r="BR364" s="1678">
        <f t="shared" si="183"/>
        <v>0</v>
      </c>
      <c r="BS364" s="1678">
        <f t="shared" si="183"/>
        <v>0</v>
      </c>
      <c r="BT364" s="1678">
        <f t="shared" si="183"/>
        <v>0</v>
      </c>
      <c r="BU364" s="1678">
        <f t="shared" si="183"/>
        <v>0</v>
      </c>
      <c r="BV364" s="1678">
        <f t="shared" si="183"/>
        <v>0</v>
      </c>
      <c r="BW364" s="1678">
        <f t="shared" si="183"/>
        <v>0</v>
      </c>
      <c r="BX364" s="1262">
        <f t="shared" si="183"/>
        <v>0</v>
      </c>
      <c r="BY364" s="1262">
        <f t="shared" si="183"/>
        <v>0</v>
      </c>
      <c r="BZ364" s="1262">
        <f t="shared" si="183"/>
        <v>0</v>
      </c>
      <c r="CA364" s="1262">
        <f t="shared" si="183"/>
        <v>0</v>
      </c>
      <c r="CB364" s="1262">
        <f t="shared" si="183"/>
        <v>0</v>
      </c>
      <c r="CC364" s="1262">
        <f t="shared" si="183"/>
        <v>0</v>
      </c>
      <c r="CD364" s="1262">
        <f t="shared" si="183"/>
        <v>0</v>
      </c>
      <c r="CE364" s="1262">
        <f t="shared" si="183"/>
        <v>0</v>
      </c>
      <c r="CF364" s="1262">
        <f t="shared" si="183"/>
        <v>0</v>
      </c>
      <c r="CG364" s="1262">
        <f t="shared" si="183"/>
        <v>0</v>
      </c>
      <c r="CH364" s="1262">
        <f t="shared" si="183"/>
        <v>0</v>
      </c>
      <c r="CI364" s="1262">
        <f t="shared" si="183"/>
        <v>0</v>
      </c>
      <c r="CJ364" s="1262">
        <f t="shared" si="183"/>
        <v>0</v>
      </c>
      <c r="CK364" s="1262">
        <f t="shared" si="183"/>
        <v>0</v>
      </c>
      <c r="CL364" s="1262">
        <f t="shared" si="183"/>
        <v>0</v>
      </c>
      <c r="CM364" s="1262">
        <f t="shared" si="183"/>
        <v>0</v>
      </c>
      <c r="CN364" s="1262">
        <f t="shared" si="183"/>
        <v>0</v>
      </c>
      <c r="CO364" s="1262">
        <f t="shared" si="183"/>
        <v>0</v>
      </c>
      <c r="CP364" s="1262">
        <f t="shared" si="183"/>
        <v>0</v>
      </c>
      <c r="CQ364" s="1262">
        <f t="shared" si="183"/>
        <v>0</v>
      </c>
      <c r="CR364" s="1262">
        <f t="shared" ref="CR364:DW364" si="184">SUM(CR344:CR363)</f>
        <v>0</v>
      </c>
      <c r="CS364" s="1262">
        <f t="shared" si="184"/>
        <v>0</v>
      </c>
      <c r="CT364" s="1262">
        <f t="shared" si="184"/>
        <v>0</v>
      </c>
      <c r="CU364" s="1262">
        <f t="shared" si="184"/>
        <v>0</v>
      </c>
      <c r="CV364" s="1262">
        <f t="shared" si="184"/>
        <v>0</v>
      </c>
      <c r="CW364" s="1262">
        <f t="shared" si="184"/>
        <v>0</v>
      </c>
      <c r="CX364" s="1262">
        <f t="shared" si="184"/>
        <v>0</v>
      </c>
      <c r="CY364" s="1262">
        <f t="shared" si="184"/>
        <v>0</v>
      </c>
      <c r="CZ364" s="1262">
        <f t="shared" si="184"/>
        <v>0</v>
      </c>
      <c r="DA364" s="1262">
        <f t="shared" si="184"/>
        <v>0</v>
      </c>
      <c r="DB364" s="1262">
        <f t="shared" si="184"/>
        <v>0</v>
      </c>
      <c r="DC364" s="1262">
        <f t="shared" si="184"/>
        <v>0</v>
      </c>
      <c r="DD364" s="1262">
        <f t="shared" si="184"/>
        <v>0</v>
      </c>
      <c r="DE364" s="1262">
        <f t="shared" si="184"/>
        <v>0</v>
      </c>
      <c r="DF364" s="1262">
        <f t="shared" si="184"/>
        <v>0</v>
      </c>
      <c r="DG364" s="1262">
        <f t="shared" si="184"/>
        <v>0</v>
      </c>
      <c r="DH364" s="1262">
        <f t="shared" si="184"/>
        <v>0</v>
      </c>
      <c r="DI364" s="1262">
        <f t="shared" si="184"/>
        <v>0</v>
      </c>
      <c r="DJ364" s="1262">
        <f t="shared" si="184"/>
        <v>0</v>
      </c>
      <c r="DK364" s="1262">
        <f t="shared" si="184"/>
        <v>0</v>
      </c>
      <c r="DL364" s="1262">
        <f t="shared" si="184"/>
        <v>0</v>
      </c>
      <c r="DM364" s="1262">
        <f t="shared" si="184"/>
        <v>0</v>
      </c>
      <c r="DN364" s="1262">
        <f t="shared" si="184"/>
        <v>0</v>
      </c>
      <c r="DO364" s="1262">
        <f t="shared" si="184"/>
        <v>0</v>
      </c>
      <c r="DP364" s="1262">
        <f t="shared" si="184"/>
        <v>0</v>
      </c>
      <c r="DQ364" s="1262">
        <f t="shared" si="184"/>
        <v>0</v>
      </c>
      <c r="DR364" s="1262">
        <f t="shared" si="184"/>
        <v>0</v>
      </c>
      <c r="DS364" s="1262">
        <f t="shared" si="184"/>
        <v>0</v>
      </c>
      <c r="DT364" s="1262">
        <f t="shared" si="184"/>
        <v>0</v>
      </c>
      <c r="DU364" s="1262">
        <f t="shared" si="184"/>
        <v>0</v>
      </c>
      <c r="DV364" s="1262">
        <f t="shared" si="184"/>
        <v>0</v>
      </c>
      <c r="DW364" s="1262">
        <f t="shared" si="184"/>
        <v>0</v>
      </c>
      <c r="DX364" s="1262">
        <f t="shared" ref="DX364:EN364" si="185">SUM(DX344:DX363)</f>
        <v>0</v>
      </c>
      <c r="DY364" s="1262">
        <f t="shared" si="185"/>
        <v>0</v>
      </c>
      <c r="DZ364" s="1262">
        <f t="shared" si="185"/>
        <v>0</v>
      </c>
      <c r="EA364" s="1262">
        <f t="shared" si="185"/>
        <v>0</v>
      </c>
      <c r="EB364" s="1262">
        <f t="shared" si="185"/>
        <v>0</v>
      </c>
      <c r="EC364" s="1262">
        <f t="shared" si="185"/>
        <v>0</v>
      </c>
      <c r="ED364" s="1262">
        <f t="shared" si="185"/>
        <v>0</v>
      </c>
      <c r="EE364" s="1262">
        <f t="shared" si="185"/>
        <v>0</v>
      </c>
      <c r="EF364" s="1262">
        <f t="shared" si="185"/>
        <v>0</v>
      </c>
      <c r="EG364" s="1262">
        <f t="shared" si="185"/>
        <v>0</v>
      </c>
      <c r="EH364" s="1262">
        <f t="shared" si="185"/>
        <v>0</v>
      </c>
      <c r="EI364" s="1262">
        <f t="shared" si="185"/>
        <v>0</v>
      </c>
      <c r="EJ364" s="1262">
        <f t="shared" si="185"/>
        <v>0</v>
      </c>
      <c r="EK364" s="1262">
        <f t="shared" si="185"/>
        <v>0</v>
      </c>
      <c r="EL364" s="1262">
        <f t="shared" si="185"/>
        <v>0</v>
      </c>
      <c r="EM364" s="1262">
        <f t="shared" si="185"/>
        <v>0</v>
      </c>
      <c r="EN364" s="1262">
        <f t="shared" si="185"/>
        <v>0</v>
      </c>
      <c r="EO364" s="39">
        <v>51</v>
      </c>
      <c r="EP364" s="39">
        <v>51</v>
      </c>
      <c r="EQ364" s="39">
        <v>51</v>
      </c>
      <c r="ER364" s="39">
        <v>51</v>
      </c>
      <c r="ES364" s="39">
        <v>51</v>
      </c>
      <c r="ET364" s="39">
        <v>51</v>
      </c>
      <c r="EU364" s="39">
        <v>51</v>
      </c>
      <c r="EV364" s="39">
        <v>51</v>
      </c>
      <c r="EW364" s="39">
        <v>51</v>
      </c>
      <c r="EX364" s="39">
        <v>51</v>
      </c>
    </row>
    <row r="365" spans="11:154" ht="12" customHeight="1" x14ac:dyDescent="0.35">
      <c r="K365" s="1667"/>
      <c r="L365" s="1667"/>
      <c r="M365" s="1667"/>
      <c r="N365" s="1667"/>
      <c r="O365" s="1667"/>
      <c r="P365" s="1667"/>
      <c r="Q365" s="1667"/>
      <c r="R365" s="1667"/>
      <c r="S365" s="1671"/>
      <c r="T365" s="1668"/>
      <c r="U365" s="1672"/>
      <c r="V365" s="1672"/>
      <c r="W365" s="1672"/>
      <c r="X365" s="376"/>
      <c r="Y365" s="29"/>
      <c r="Z365" s="29"/>
      <c r="AA365" s="29"/>
      <c r="AB365" s="29"/>
      <c r="AC365" s="29"/>
      <c r="AD365" s="29"/>
      <c r="AE365" s="29"/>
      <c r="AF365" s="376"/>
      <c r="AG365" s="376"/>
      <c r="AH365" s="376"/>
      <c r="AI365" s="1156">
        <f>IFERROR(AI364,0)</f>
        <v>0</v>
      </c>
      <c r="AJ365" s="1156">
        <f t="shared" ref="AJ365:CU365" si="186">IFERROR(AJ364,0)</f>
        <v>0</v>
      </c>
      <c r="AK365" s="1156">
        <f t="shared" si="186"/>
        <v>0</v>
      </c>
      <c r="AL365" s="1156">
        <f t="shared" si="186"/>
        <v>0</v>
      </c>
      <c r="AM365" s="1156">
        <f t="shared" si="186"/>
        <v>0</v>
      </c>
      <c r="AN365" s="1156">
        <f t="shared" si="186"/>
        <v>0</v>
      </c>
      <c r="AO365" s="1156">
        <f t="shared" si="186"/>
        <v>0</v>
      </c>
      <c r="AP365" s="1156">
        <f t="shared" si="186"/>
        <v>0</v>
      </c>
      <c r="AQ365" s="1156">
        <f t="shared" si="186"/>
        <v>0</v>
      </c>
      <c r="AR365" s="1156">
        <f t="shared" si="186"/>
        <v>0</v>
      </c>
      <c r="AS365" s="1156">
        <f t="shared" si="186"/>
        <v>0</v>
      </c>
      <c r="AT365" s="1156">
        <f t="shared" si="186"/>
        <v>0</v>
      </c>
      <c r="AU365" s="1156">
        <f t="shared" si="186"/>
        <v>0</v>
      </c>
      <c r="AV365" s="1156">
        <f t="shared" si="186"/>
        <v>0</v>
      </c>
      <c r="AW365" s="1156">
        <f t="shared" si="186"/>
        <v>0</v>
      </c>
      <c r="AX365" s="1156">
        <f t="shared" si="186"/>
        <v>0</v>
      </c>
      <c r="AY365" s="1156">
        <f t="shared" si="186"/>
        <v>0</v>
      </c>
      <c r="AZ365" s="1156">
        <f t="shared" si="186"/>
        <v>0</v>
      </c>
      <c r="BA365" s="1156">
        <f t="shared" si="186"/>
        <v>0</v>
      </c>
      <c r="BB365" s="1156">
        <f t="shared" si="186"/>
        <v>0</v>
      </c>
      <c r="BC365" s="1156">
        <f t="shared" si="186"/>
        <v>0</v>
      </c>
      <c r="BD365" s="1156">
        <f t="shared" si="186"/>
        <v>0</v>
      </c>
      <c r="BE365" s="1156">
        <f t="shared" si="186"/>
        <v>0</v>
      </c>
      <c r="BF365" s="1156">
        <f t="shared" si="186"/>
        <v>0</v>
      </c>
      <c r="BG365" s="1156">
        <f t="shared" si="186"/>
        <v>0</v>
      </c>
      <c r="BH365" s="1156">
        <f t="shared" si="186"/>
        <v>0</v>
      </c>
      <c r="BI365" s="1156">
        <f t="shared" si="186"/>
        <v>0</v>
      </c>
      <c r="BJ365" s="1156">
        <f t="shared" si="186"/>
        <v>0</v>
      </c>
      <c r="BK365" s="1156">
        <f t="shared" si="186"/>
        <v>0</v>
      </c>
      <c r="BL365" s="1156">
        <f t="shared" si="186"/>
        <v>0</v>
      </c>
      <c r="BM365" s="1156">
        <f t="shared" si="186"/>
        <v>0</v>
      </c>
      <c r="BN365" s="1156">
        <f t="shared" si="186"/>
        <v>0</v>
      </c>
      <c r="BO365" s="1156">
        <f t="shared" si="186"/>
        <v>0</v>
      </c>
      <c r="BP365" s="1156">
        <f t="shared" si="186"/>
        <v>0</v>
      </c>
      <c r="BQ365" s="1156">
        <f t="shared" si="186"/>
        <v>0</v>
      </c>
      <c r="BR365" s="1156">
        <f t="shared" si="186"/>
        <v>0</v>
      </c>
      <c r="BS365" s="1156">
        <f t="shared" si="186"/>
        <v>0</v>
      </c>
      <c r="BT365" s="1156">
        <f t="shared" si="186"/>
        <v>0</v>
      </c>
      <c r="BU365" s="1156">
        <f t="shared" si="186"/>
        <v>0</v>
      </c>
      <c r="BV365" s="1156">
        <f t="shared" si="186"/>
        <v>0</v>
      </c>
      <c r="BW365" s="1156">
        <f t="shared" si="186"/>
        <v>0</v>
      </c>
      <c r="BX365" s="1166">
        <f t="shared" si="186"/>
        <v>0</v>
      </c>
      <c r="BY365" s="1166">
        <f t="shared" si="186"/>
        <v>0</v>
      </c>
      <c r="BZ365" s="1166">
        <f t="shared" si="186"/>
        <v>0</v>
      </c>
      <c r="CA365" s="1166">
        <f t="shared" si="186"/>
        <v>0</v>
      </c>
      <c r="CB365" s="1166">
        <f t="shared" si="186"/>
        <v>0</v>
      </c>
      <c r="CC365" s="1166">
        <f t="shared" si="186"/>
        <v>0</v>
      </c>
      <c r="CD365" s="1166">
        <f t="shared" si="186"/>
        <v>0</v>
      </c>
      <c r="CE365" s="1166">
        <f t="shared" si="186"/>
        <v>0</v>
      </c>
      <c r="CF365" s="1166">
        <f t="shared" si="186"/>
        <v>0</v>
      </c>
      <c r="CG365" s="1166">
        <f t="shared" si="186"/>
        <v>0</v>
      </c>
      <c r="CH365" s="1166">
        <f t="shared" si="186"/>
        <v>0</v>
      </c>
      <c r="CI365" s="1166">
        <f t="shared" si="186"/>
        <v>0</v>
      </c>
      <c r="CJ365" s="1166">
        <f t="shared" si="186"/>
        <v>0</v>
      </c>
      <c r="CK365" s="1166">
        <f t="shared" si="186"/>
        <v>0</v>
      </c>
      <c r="CL365" s="1166">
        <f t="shared" si="186"/>
        <v>0</v>
      </c>
      <c r="CM365" s="1166">
        <f t="shared" si="186"/>
        <v>0</v>
      </c>
      <c r="CN365" s="1166">
        <f t="shared" si="186"/>
        <v>0</v>
      </c>
      <c r="CO365" s="1166">
        <f t="shared" si="186"/>
        <v>0</v>
      </c>
      <c r="CP365" s="1166">
        <f t="shared" si="186"/>
        <v>0</v>
      </c>
      <c r="CQ365" s="1121">
        <f t="shared" si="186"/>
        <v>0</v>
      </c>
      <c r="CR365" s="1121">
        <f t="shared" si="186"/>
        <v>0</v>
      </c>
      <c r="CS365" s="1121">
        <f t="shared" si="186"/>
        <v>0</v>
      </c>
      <c r="CT365" s="1121">
        <f t="shared" si="186"/>
        <v>0</v>
      </c>
      <c r="CU365" s="1121">
        <f t="shared" si="186"/>
        <v>0</v>
      </c>
      <c r="CV365" s="1121">
        <f t="shared" ref="CV365:EN365" si="187">IFERROR(CV364,0)</f>
        <v>0</v>
      </c>
      <c r="CW365" s="1121">
        <f t="shared" si="187"/>
        <v>0</v>
      </c>
      <c r="CX365" s="1121">
        <f t="shared" si="187"/>
        <v>0</v>
      </c>
      <c r="CY365" s="1121">
        <f t="shared" si="187"/>
        <v>0</v>
      </c>
      <c r="CZ365" s="1121">
        <f t="shared" si="187"/>
        <v>0</v>
      </c>
      <c r="DA365" s="1121">
        <f t="shared" si="187"/>
        <v>0</v>
      </c>
      <c r="DB365" s="1121">
        <f t="shared" si="187"/>
        <v>0</v>
      </c>
      <c r="DC365" s="1121">
        <f t="shared" si="187"/>
        <v>0</v>
      </c>
      <c r="DD365" s="1121">
        <f t="shared" si="187"/>
        <v>0</v>
      </c>
      <c r="DE365" s="1121">
        <f t="shared" si="187"/>
        <v>0</v>
      </c>
      <c r="DF365" s="1121">
        <f t="shared" si="187"/>
        <v>0</v>
      </c>
      <c r="DG365" s="1121">
        <f t="shared" si="187"/>
        <v>0</v>
      </c>
      <c r="DH365" s="1121">
        <f t="shared" si="187"/>
        <v>0</v>
      </c>
      <c r="DI365" s="1121">
        <f t="shared" si="187"/>
        <v>0</v>
      </c>
      <c r="DJ365" s="1121">
        <f t="shared" si="187"/>
        <v>0</v>
      </c>
      <c r="DK365" s="1121">
        <f t="shared" si="187"/>
        <v>0</v>
      </c>
      <c r="DL365" s="1121">
        <f t="shared" si="187"/>
        <v>0</v>
      </c>
      <c r="DM365" s="1121">
        <f t="shared" si="187"/>
        <v>0</v>
      </c>
      <c r="DN365" s="1121">
        <f t="shared" si="187"/>
        <v>0</v>
      </c>
      <c r="DO365" s="1121">
        <f t="shared" si="187"/>
        <v>0</v>
      </c>
      <c r="DP365" s="1121">
        <f t="shared" si="187"/>
        <v>0</v>
      </c>
      <c r="DQ365" s="1121">
        <f t="shared" si="187"/>
        <v>0</v>
      </c>
      <c r="DR365" s="445">
        <f t="shared" si="187"/>
        <v>0</v>
      </c>
      <c r="DS365" s="445">
        <f t="shared" si="187"/>
        <v>0</v>
      </c>
      <c r="DT365" s="445">
        <f t="shared" si="187"/>
        <v>0</v>
      </c>
      <c r="DU365" s="445">
        <f t="shared" si="187"/>
        <v>0</v>
      </c>
      <c r="DV365" s="445">
        <f t="shared" si="187"/>
        <v>0</v>
      </c>
      <c r="DW365" s="445">
        <f t="shared" si="187"/>
        <v>0</v>
      </c>
      <c r="DX365" s="445">
        <f t="shared" si="187"/>
        <v>0</v>
      </c>
      <c r="DY365" s="445">
        <f t="shared" si="187"/>
        <v>0</v>
      </c>
      <c r="DZ365" s="445">
        <f t="shared" si="187"/>
        <v>0</v>
      </c>
      <c r="EA365" s="445">
        <f t="shared" si="187"/>
        <v>0</v>
      </c>
      <c r="EB365" s="445">
        <f t="shared" si="187"/>
        <v>0</v>
      </c>
      <c r="EC365" s="445">
        <f t="shared" si="187"/>
        <v>0</v>
      </c>
      <c r="ED365" s="445">
        <f t="shared" si="187"/>
        <v>0</v>
      </c>
      <c r="EE365" s="445">
        <f t="shared" si="187"/>
        <v>0</v>
      </c>
      <c r="EF365" s="445">
        <f t="shared" si="187"/>
        <v>0</v>
      </c>
      <c r="EG365" s="445">
        <f t="shared" si="187"/>
        <v>0</v>
      </c>
      <c r="EH365" s="445">
        <f t="shared" si="187"/>
        <v>0</v>
      </c>
      <c r="EI365" s="445">
        <f t="shared" si="187"/>
        <v>0</v>
      </c>
      <c r="EJ365" s="445">
        <f t="shared" si="187"/>
        <v>0</v>
      </c>
      <c r="EK365" s="445">
        <f t="shared" si="187"/>
        <v>0</v>
      </c>
      <c r="EL365" s="445">
        <f t="shared" si="187"/>
        <v>0</v>
      </c>
      <c r="EM365" s="445">
        <f t="shared" si="187"/>
        <v>0</v>
      </c>
      <c r="EN365" s="445">
        <f t="shared" si="187"/>
        <v>0</v>
      </c>
      <c r="EO365" s="39">
        <v>51</v>
      </c>
      <c r="EP365" s="39">
        <v>51</v>
      </c>
      <c r="EQ365" s="39">
        <v>51</v>
      </c>
      <c r="ER365" s="39">
        <v>51</v>
      </c>
      <c r="ES365" s="39">
        <v>51</v>
      </c>
      <c r="ET365" s="39">
        <v>51</v>
      </c>
      <c r="EU365" s="39">
        <v>51</v>
      </c>
      <c r="EV365" s="39">
        <v>51</v>
      </c>
      <c r="EW365" s="39">
        <v>51</v>
      </c>
      <c r="EX365" s="39">
        <v>51</v>
      </c>
    </row>
    <row r="366" spans="11:154" ht="12" customHeight="1" x14ac:dyDescent="0.35">
      <c r="K366" s="1667"/>
      <c r="L366" s="1667"/>
      <c r="M366" s="1667"/>
      <c r="N366" s="1667"/>
      <c r="O366" s="1667"/>
      <c r="P366" s="1667"/>
      <c r="Q366" s="1667"/>
      <c r="R366" s="1667"/>
      <c r="S366" s="1667"/>
      <c r="T366" s="1667"/>
      <c r="U366" s="1672"/>
      <c r="V366" s="1672"/>
      <c r="W366" s="1672"/>
      <c r="X366" s="32" t="s">
        <v>425</v>
      </c>
      <c r="Y366" s="29">
        <f>Y342</f>
        <v>1</v>
      </c>
      <c r="Z366" s="29">
        <f t="shared" ref="Z366:CK366" si="188">Z342</f>
        <v>2</v>
      </c>
      <c r="AA366" s="29">
        <f t="shared" si="188"/>
        <v>3</v>
      </c>
      <c r="AB366" s="29">
        <f t="shared" si="188"/>
        <v>4</v>
      </c>
      <c r="AC366" s="29">
        <f t="shared" si="188"/>
        <v>5</v>
      </c>
      <c r="AD366" s="29">
        <f t="shared" si="188"/>
        <v>6</v>
      </c>
      <c r="AE366" s="29">
        <f t="shared" si="188"/>
        <v>7</v>
      </c>
      <c r="AF366" s="29">
        <f t="shared" si="188"/>
        <v>8</v>
      </c>
      <c r="AG366" s="29">
        <f t="shared" si="188"/>
        <v>9</v>
      </c>
      <c r="AH366" s="29">
        <f t="shared" si="188"/>
        <v>10</v>
      </c>
      <c r="AI366" s="29">
        <f t="shared" si="188"/>
        <v>11</v>
      </c>
      <c r="AJ366" s="29">
        <f t="shared" si="188"/>
        <v>12</v>
      </c>
      <c r="AK366" s="29">
        <f t="shared" si="188"/>
        <v>13</v>
      </c>
      <c r="AL366" s="29">
        <f t="shared" si="188"/>
        <v>14</v>
      </c>
      <c r="AM366" s="29">
        <f t="shared" si="188"/>
        <v>15</v>
      </c>
      <c r="AN366" s="29">
        <f t="shared" si="188"/>
        <v>16</v>
      </c>
      <c r="AO366" s="29">
        <f t="shared" si="188"/>
        <v>17</v>
      </c>
      <c r="AP366" s="29">
        <f t="shared" si="188"/>
        <v>18</v>
      </c>
      <c r="AQ366" s="29">
        <f t="shared" si="188"/>
        <v>19</v>
      </c>
      <c r="AR366" s="29">
        <f t="shared" si="188"/>
        <v>20</v>
      </c>
      <c r="AS366" s="29">
        <f t="shared" si="188"/>
        <v>21</v>
      </c>
      <c r="AT366" s="29">
        <f t="shared" si="188"/>
        <v>22</v>
      </c>
      <c r="AU366" s="29">
        <f t="shared" si="188"/>
        <v>23</v>
      </c>
      <c r="AV366" s="29">
        <f t="shared" si="188"/>
        <v>24</v>
      </c>
      <c r="AW366" s="29">
        <f t="shared" si="188"/>
        <v>25</v>
      </c>
      <c r="AX366" s="29">
        <f t="shared" si="188"/>
        <v>26</v>
      </c>
      <c r="AY366" s="29">
        <f t="shared" si="188"/>
        <v>27</v>
      </c>
      <c r="AZ366" s="29">
        <f t="shared" si="188"/>
        <v>28</v>
      </c>
      <c r="BA366" s="29">
        <f t="shared" si="188"/>
        <v>29</v>
      </c>
      <c r="BB366" s="29">
        <f t="shared" si="188"/>
        <v>30</v>
      </c>
      <c r="BC366" s="29">
        <f t="shared" si="188"/>
        <v>31</v>
      </c>
      <c r="BD366" s="29">
        <f t="shared" si="188"/>
        <v>32</v>
      </c>
      <c r="BE366" s="29">
        <f t="shared" si="188"/>
        <v>33</v>
      </c>
      <c r="BF366" s="29">
        <f t="shared" si="188"/>
        <v>34</v>
      </c>
      <c r="BG366" s="29">
        <f t="shared" si="188"/>
        <v>35</v>
      </c>
      <c r="BH366" s="29">
        <f t="shared" si="188"/>
        <v>36</v>
      </c>
      <c r="BI366" s="29">
        <f t="shared" si="188"/>
        <v>37</v>
      </c>
      <c r="BJ366" s="29">
        <f t="shared" si="188"/>
        <v>38</v>
      </c>
      <c r="BK366" s="29">
        <f t="shared" si="188"/>
        <v>39</v>
      </c>
      <c r="BL366" s="29">
        <f t="shared" si="188"/>
        <v>40</v>
      </c>
      <c r="BM366" s="29">
        <f t="shared" si="188"/>
        <v>41</v>
      </c>
      <c r="BN366" s="29">
        <f t="shared" si="188"/>
        <v>42</v>
      </c>
      <c r="BO366" s="29">
        <f t="shared" si="188"/>
        <v>43</v>
      </c>
      <c r="BP366" s="29">
        <f t="shared" si="188"/>
        <v>44</v>
      </c>
      <c r="BQ366" s="29">
        <f t="shared" si="188"/>
        <v>45</v>
      </c>
      <c r="BR366" s="29">
        <f t="shared" si="188"/>
        <v>46</v>
      </c>
      <c r="BS366" s="29">
        <f t="shared" si="188"/>
        <v>47</v>
      </c>
      <c r="BT366" s="29">
        <f t="shared" si="188"/>
        <v>48</v>
      </c>
      <c r="BU366" s="29">
        <f t="shared" si="188"/>
        <v>49</v>
      </c>
      <c r="BV366" s="29">
        <f t="shared" si="188"/>
        <v>50</v>
      </c>
      <c r="BW366" s="29">
        <f t="shared" si="188"/>
        <v>51</v>
      </c>
      <c r="BX366" s="29">
        <f t="shared" si="188"/>
        <v>52</v>
      </c>
      <c r="BY366" s="29">
        <f t="shared" si="188"/>
        <v>53</v>
      </c>
      <c r="BZ366" s="29">
        <f t="shared" si="188"/>
        <v>54</v>
      </c>
      <c r="CA366" s="29">
        <f t="shared" si="188"/>
        <v>55</v>
      </c>
      <c r="CB366" s="29">
        <f t="shared" si="188"/>
        <v>56</v>
      </c>
      <c r="CC366" s="29">
        <f t="shared" si="188"/>
        <v>57</v>
      </c>
      <c r="CD366" s="29">
        <f t="shared" si="188"/>
        <v>58</v>
      </c>
      <c r="CE366" s="29">
        <f t="shared" si="188"/>
        <v>59</v>
      </c>
      <c r="CF366" s="29">
        <f t="shared" si="188"/>
        <v>60</v>
      </c>
      <c r="CG366" s="29">
        <f t="shared" si="188"/>
        <v>61</v>
      </c>
      <c r="CH366" s="29">
        <f t="shared" si="188"/>
        <v>62</v>
      </c>
      <c r="CI366" s="29">
        <f t="shared" si="188"/>
        <v>63</v>
      </c>
      <c r="CJ366" s="29">
        <f t="shared" si="188"/>
        <v>64</v>
      </c>
      <c r="CK366" s="29">
        <f t="shared" si="188"/>
        <v>65</v>
      </c>
      <c r="CL366" s="29">
        <f t="shared" ref="CL366:EN366" si="189">CL342</f>
        <v>66</v>
      </c>
      <c r="CM366" s="29">
        <f t="shared" si="189"/>
        <v>67</v>
      </c>
      <c r="CN366" s="29">
        <f t="shared" si="189"/>
        <v>68</v>
      </c>
      <c r="CO366" s="29">
        <f t="shared" si="189"/>
        <v>69</v>
      </c>
      <c r="CP366" s="29">
        <f t="shared" si="189"/>
        <v>70</v>
      </c>
      <c r="CQ366" s="29">
        <f t="shared" si="189"/>
        <v>71</v>
      </c>
      <c r="CR366" s="29">
        <f t="shared" si="189"/>
        <v>72</v>
      </c>
      <c r="CS366" s="29">
        <f t="shared" si="189"/>
        <v>73</v>
      </c>
      <c r="CT366" s="29">
        <f t="shared" si="189"/>
        <v>74</v>
      </c>
      <c r="CU366" s="29">
        <f t="shared" si="189"/>
        <v>75</v>
      </c>
      <c r="CV366" s="29">
        <f t="shared" si="189"/>
        <v>76</v>
      </c>
      <c r="CW366" s="29">
        <f t="shared" si="189"/>
        <v>77</v>
      </c>
      <c r="CX366" s="29">
        <f t="shared" si="189"/>
        <v>78</v>
      </c>
      <c r="CY366" s="29">
        <f t="shared" si="189"/>
        <v>79</v>
      </c>
      <c r="CZ366" s="29">
        <f t="shared" si="189"/>
        <v>80</v>
      </c>
      <c r="DA366" s="29">
        <f t="shared" si="189"/>
        <v>81</v>
      </c>
      <c r="DB366" s="29">
        <f t="shared" si="189"/>
        <v>82</v>
      </c>
      <c r="DC366" s="29">
        <f t="shared" si="189"/>
        <v>83</v>
      </c>
      <c r="DD366" s="29">
        <f t="shared" si="189"/>
        <v>84</v>
      </c>
      <c r="DE366" s="29">
        <f t="shared" si="189"/>
        <v>85</v>
      </c>
      <c r="DF366" s="29">
        <f t="shared" si="189"/>
        <v>86</v>
      </c>
      <c r="DG366" s="29">
        <f t="shared" si="189"/>
        <v>87</v>
      </c>
      <c r="DH366" s="29">
        <f t="shared" si="189"/>
        <v>88</v>
      </c>
      <c r="DI366" s="29">
        <f t="shared" si="189"/>
        <v>89</v>
      </c>
      <c r="DJ366" s="29">
        <f t="shared" si="189"/>
        <v>90</v>
      </c>
      <c r="DK366" s="29">
        <f t="shared" si="189"/>
        <v>91</v>
      </c>
      <c r="DL366" s="29">
        <f t="shared" si="189"/>
        <v>92</v>
      </c>
      <c r="DM366" s="29">
        <f t="shared" si="189"/>
        <v>93</v>
      </c>
      <c r="DN366" s="29">
        <f t="shared" si="189"/>
        <v>94</v>
      </c>
      <c r="DO366" s="29">
        <f t="shared" si="189"/>
        <v>95</v>
      </c>
      <c r="DP366" s="29">
        <f t="shared" si="189"/>
        <v>96</v>
      </c>
      <c r="DQ366" s="29">
        <f t="shared" si="189"/>
        <v>97</v>
      </c>
      <c r="DR366" s="29">
        <f t="shared" si="189"/>
        <v>98</v>
      </c>
      <c r="DS366" s="29">
        <f t="shared" si="189"/>
        <v>99</v>
      </c>
      <c r="DT366" s="29">
        <f t="shared" si="189"/>
        <v>100</v>
      </c>
      <c r="DU366" s="29">
        <f t="shared" si="189"/>
        <v>101</v>
      </c>
      <c r="DV366" s="29">
        <f t="shared" si="189"/>
        <v>102</v>
      </c>
      <c r="DW366" s="29">
        <f t="shared" si="189"/>
        <v>103</v>
      </c>
      <c r="DX366" s="29">
        <f t="shared" si="189"/>
        <v>104</v>
      </c>
      <c r="DY366" s="29">
        <f t="shared" si="189"/>
        <v>105</v>
      </c>
      <c r="DZ366" s="29">
        <f t="shared" si="189"/>
        <v>106</v>
      </c>
      <c r="EA366" s="29">
        <f t="shared" si="189"/>
        <v>107</v>
      </c>
      <c r="EB366" s="29">
        <f t="shared" si="189"/>
        <v>108</v>
      </c>
      <c r="EC366" s="29">
        <f t="shared" si="189"/>
        <v>109</v>
      </c>
      <c r="ED366" s="29">
        <f t="shared" si="189"/>
        <v>110</v>
      </c>
      <c r="EE366" s="29">
        <f t="shared" si="189"/>
        <v>111</v>
      </c>
      <c r="EF366" s="29">
        <f t="shared" si="189"/>
        <v>112</v>
      </c>
      <c r="EG366" s="29">
        <f t="shared" si="189"/>
        <v>113</v>
      </c>
      <c r="EH366" s="29">
        <f t="shared" si="189"/>
        <v>114</v>
      </c>
      <c r="EI366" s="29">
        <f t="shared" si="189"/>
        <v>115</v>
      </c>
      <c r="EJ366" s="29">
        <f t="shared" si="189"/>
        <v>116</v>
      </c>
      <c r="EK366" s="29">
        <f t="shared" si="189"/>
        <v>117</v>
      </c>
      <c r="EL366" s="29">
        <f t="shared" si="189"/>
        <v>118</v>
      </c>
      <c r="EM366" s="29">
        <f t="shared" si="189"/>
        <v>119</v>
      </c>
      <c r="EN366" s="29">
        <f t="shared" si="189"/>
        <v>120</v>
      </c>
      <c r="EO366" s="39">
        <v>51</v>
      </c>
      <c r="EP366" s="39">
        <v>51</v>
      </c>
      <c r="EQ366" s="39">
        <v>51</v>
      </c>
      <c r="ER366" s="39">
        <v>51</v>
      </c>
      <c r="ES366" s="39">
        <v>51</v>
      </c>
      <c r="ET366" s="39">
        <v>51</v>
      </c>
      <c r="EU366" s="39">
        <v>51</v>
      </c>
      <c r="EV366" s="39">
        <v>51</v>
      </c>
      <c r="EW366" s="39">
        <v>51</v>
      </c>
      <c r="EX366" s="39">
        <v>51</v>
      </c>
    </row>
    <row r="367" spans="11:154" ht="12" customHeight="1" x14ac:dyDescent="0.35">
      <c r="K367" s="1667"/>
      <c r="L367" s="1667"/>
      <c r="M367" s="1667"/>
      <c r="N367" s="1667"/>
      <c r="O367" s="1667"/>
      <c r="P367" s="1667"/>
      <c r="Q367" s="1667"/>
      <c r="R367" s="1667"/>
      <c r="S367" s="1667"/>
      <c r="T367" s="1667"/>
      <c r="U367" s="59"/>
      <c r="V367" s="59"/>
      <c r="W367" s="59"/>
      <c r="X367" s="381"/>
      <c r="Y367" s="1167">
        <f>Y343</f>
        <v>0</v>
      </c>
      <c r="Z367" s="1167">
        <f t="shared" ref="Z367:CK367" si="190">Z343</f>
        <v>59</v>
      </c>
      <c r="AA367" s="1167">
        <f t="shared" si="190"/>
        <v>91</v>
      </c>
      <c r="AB367" s="1167">
        <f t="shared" si="190"/>
        <v>121</v>
      </c>
      <c r="AC367" s="1167">
        <f t="shared" si="190"/>
        <v>152</v>
      </c>
      <c r="AD367" s="1167">
        <f t="shared" si="190"/>
        <v>182</v>
      </c>
      <c r="AE367" s="1167">
        <f t="shared" si="190"/>
        <v>213</v>
      </c>
      <c r="AF367" s="1167">
        <f t="shared" si="190"/>
        <v>244</v>
      </c>
      <c r="AG367" s="1167">
        <f t="shared" si="190"/>
        <v>274</v>
      </c>
      <c r="AH367" s="1167">
        <f t="shared" si="190"/>
        <v>305</v>
      </c>
      <c r="AI367" s="1167">
        <f t="shared" si="190"/>
        <v>335</v>
      </c>
      <c r="AJ367" s="1167">
        <f t="shared" si="190"/>
        <v>366</v>
      </c>
      <c r="AK367" s="1167">
        <f t="shared" si="190"/>
        <v>397</v>
      </c>
      <c r="AL367" s="1167">
        <f t="shared" si="190"/>
        <v>425</v>
      </c>
      <c r="AM367" s="1167">
        <f t="shared" si="190"/>
        <v>456</v>
      </c>
      <c r="AN367" s="1167">
        <f t="shared" si="190"/>
        <v>486</v>
      </c>
      <c r="AO367" s="1167">
        <f t="shared" si="190"/>
        <v>517</v>
      </c>
      <c r="AP367" s="1167">
        <f t="shared" si="190"/>
        <v>547</v>
      </c>
      <c r="AQ367" s="1167">
        <f t="shared" si="190"/>
        <v>578</v>
      </c>
      <c r="AR367" s="1167">
        <f t="shared" si="190"/>
        <v>609</v>
      </c>
      <c r="AS367" s="1167">
        <f t="shared" si="190"/>
        <v>639</v>
      </c>
      <c r="AT367" s="1167">
        <f t="shared" si="190"/>
        <v>670</v>
      </c>
      <c r="AU367" s="1167">
        <f t="shared" si="190"/>
        <v>700</v>
      </c>
      <c r="AV367" s="1167">
        <f t="shared" si="190"/>
        <v>731</v>
      </c>
      <c r="AW367" s="1167">
        <f t="shared" si="190"/>
        <v>762</v>
      </c>
      <c r="AX367" s="1167">
        <f t="shared" si="190"/>
        <v>790</v>
      </c>
      <c r="AY367" s="1167">
        <f t="shared" si="190"/>
        <v>821</v>
      </c>
      <c r="AZ367" s="1167">
        <f t="shared" si="190"/>
        <v>851</v>
      </c>
      <c r="BA367" s="1167">
        <f t="shared" si="190"/>
        <v>882</v>
      </c>
      <c r="BB367" s="1167">
        <f t="shared" si="190"/>
        <v>912</v>
      </c>
      <c r="BC367" s="1167">
        <f t="shared" si="190"/>
        <v>943</v>
      </c>
      <c r="BD367" s="1167">
        <f t="shared" si="190"/>
        <v>974</v>
      </c>
      <c r="BE367" s="1167">
        <f t="shared" si="190"/>
        <v>1004</v>
      </c>
      <c r="BF367" s="1167">
        <f t="shared" si="190"/>
        <v>1035</v>
      </c>
      <c r="BG367" s="1167">
        <f t="shared" si="190"/>
        <v>1065</v>
      </c>
      <c r="BH367" s="1167">
        <f t="shared" si="190"/>
        <v>1096</v>
      </c>
      <c r="BI367" s="1167">
        <f t="shared" si="190"/>
        <v>1127</v>
      </c>
      <c r="BJ367" s="1167">
        <f t="shared" si="190"/>
        <v>1155</v>
      </c>
      <c r="BK367" s="1167">
        <f t="shared" si="190"/>
        <v>1186</v>
      </c>
      <c r="BL367" s="1167">
        <f t="shared" si="190"/>
        <v>1216</v>
      </c>
      <c r="BM367" s="1167">
        <f t="shared" si="190"/>
        <v>1247</v>
      </c>
      <c r="BN367" s="1167">
        <f t="shared" si="190"/>
        <v>1277</v>
      </c>
      <c r="BO367" s="1167">
        <f t="shared" si="190"/>
        <v>1308</v>
      </c>
      <c r="BP367" s="1167">
        <f t="shared" si="190"/>
        <v>1339</v>
      </c>
      <c r="BQ367" s="1167">
        <f t="shared" si="190"/>
        <v>1369</v>
      </c>
      <c r="BR367" s="1167">
        <f t="shared" si="190"/>
        <v>1400</v>
      </c>
      <c r="BS367" s="1167">
        <f t="shared" si="190"/>
        <v>1430</v>
      </c>
      <c r="BT367" s="1167">
        <f t="shared" si="190"/>
        <v>1461</v>
      </c>
      <c r="BU367" s="1167">
        <f t="shared" si="190"/>
        <v>1492</v>
      </c>
      <c r="BV367" s="1167">
        <f t="shared" si="190"/>
        <v>1521</v>
      </c>
      <c r="BW367" s="1167">
        <f t="shared" si="190"/>
        <v>1552</v>
      </c>
      <c r="BX367" s="1167">
        <f t="shared" si="190"/>
        <v>1582</v>
      </c>
      <c r="BY367" s="1167">
        <f t="shared" si="190"/>
        <v>1613</v>
      </c>
      <c r="BZ367" s="1167">
        <f t="shared" si="190"/>
        <v>1643</v>
      </c>
      <c r="CA367" s="1167">
        <f t="shared" si="190"/>
        <v>1674</v>
      </c>
      <c r="CB367" s="1167">
        <f t="shared" si="190"/>
        <v>1705</v>
      </c>
      <c r="CC367" s="1167">
        <f t="shared" si="190"/>
        <v>1735</v>
      </c>
      <c r="CD367" s="1167">
        <f t="shared" si="190"/>
        <v>1766</v>
      </c>
      <c r="CE367" s="1167">
        <f t="shared" si="190"/>
        <v>1796</v>
      </c>
      <c r="CF367" s="1167">
        <f t="shared" si="190"/>
        <v>1827</v>
      </c>
      <c r="CG367" s="1167">
        <f t="shared" si="190"/>
        <v>1858</v>
      </c>
      <c r="CH367" s="1167">
        <f t="shared" si="190"/>
        <v>1886</v>
      </c>
      <c r="CI367" s="1167">
        <f t="shared" si="190"/>
        <v>1917</v>
      </c>
      <c r="CJ367" s="1167">
        <f t="shared" si="190"/>
        <v>1947</v>
      </c>
      <c r="CK367" s="1167">
        <f t="shared" si="190"/>
        <v>1978</v>
      </c>
      <c r="CL367" s="1167">
        <f t="shared" ref="CL367:EN367" si="191">CL343</f>
        <v>2008</v>
      </c>
      <c r="CM367" s="1167">
        <f t="shared" si="191"/>
        <v>2039</v>
      </c>
      <c r="CN367" s="1167">
        <f t="shared" si="191"/>
        <v>2070</v>
      </c>
      <c r="CO367" s="1167">
        <f t="shared" si="191"/>
        <v>2100</v>
      </c>
      <c r="CP367" s="1167">
        <f t="shared" si="191"/>
        <v>2131</v>
      </c>
      <c r="CQ367" s="1167">
        <f t="shared" si="191"/>
        <v>2161</v>
      </c>
      <c r="CR367" s="1167">
        <f t="shared" si="191"/>
        <v>2192</v>
      </c>
      <c r="CS367" s="1167">
        <f t="shared" si="191"/>
        <v>2223</v>
      </c>
      <c r="CT367" s="1167">
        <f t="shared" si="191"/>
        <v>2251</v>
      </c>
      <c r="CU367" s="1167">
        <f t="shared" si="191"/>
        <v>2282</v>
      </c>
      <c r="CV367" s="1167">
        <f t="shared" si="191"/>
        <v>2312</v>
      </c>
      <c r="CW367" s="1167">
        <f t="shared" si="191"/>
        <v>2343</v>
      </c>
      <c r="CX367" s="1167">
        <f t="shared" si="191"/>
        <v>2373</v>
      </c>
      <c r="CY367" s="1167">
        <f t="shared" si="191"/>
        <v>2404</v>
      </c>
      <c r="CZ367" s="1167">
        <f t="shared" si="191"/>
        <v>2435</v>
      </c>
      <c r="DA367" s="1167">
        <f t="shared" si="191"/>
        <v>2465</v>
      </c>
      <c r="DB367" s="1167">
        <f t="shared" si="191"/>
        <v>2496</v>
      </c>
      <c r="DC367" s="1167">
        <f t="shared" si="191"/>
        <v>2526</v>
      </c>
      <c r="DD367" s="1167">
        <f t="shared" si="191"/>
        <v>2557</v>
      </c>
      <c r="DE367" s="1167">
        <f t="shared" si="191"/>
        <v>2588</v>
      </c>
      <c r="DF367" s="1167">
        <f t="shared" si="191"/>
        <v>2616</v>
      </c>
      <c r="DG367" s="1167">
        <f t="shared" si="191"/>
        <v>2647</v>
      </c>
      <c r="DH367" s="1167">
        <f t="shared" si="191"/>
        <v>2677</v>
      </c>
      <c r="DI367" s="1167">
        <f t="shared" si="191"/>
        <v>2708</v>
      </c>
      <c r="DJ367" s="1167">
        <f t="shared" si="191"/>
        <v>2738</v>
      </c>
      <c r="DK367" s="1167">
        <f t="shared" si="191"/>
        <v>2769</v>
      </c>
      <c r="DL367" s="1167">
        <f t="shared" si="191"/>
        <v>2800</v>
      </c>
      <c r="DM367" s="1167">
        <f t="shared" si="191"/>
        <v>2830</v>
      </c>
      <c r="DN367" s="1167">
        <f t="shared" si="191"/>
        <v>2861</v>
      </c>
      <c r="DO367" s="1167">
        <f t="shared" si="191"/>
        <v>2891</v>
      </c>
      <c r="DP367" s="1167">
        <f t="shared" si="191"/>
        <v>2922</v>
      </c>
      <c r="DQ367" s="1167">
        <f t="shared" si="191"/>
        <v>2953</v>
      </c>
      <c r="DR367" s="1167">
        <f t="shared" si="191"/>
        <v>2982</v>
      </c>
      <c r="DS367" s="1167">
        <f t="shared" si="191"/>
        <v>3013</v>
      </c>
      <c r="DT367" s="1167">
        <f t="shared" si="191"/>
        <v>3043</v>
      </c>
      <c r="DU367" s="1167">
        <f t="shared" si="191"/>
        <v>3074</v>
      </c>
      <c r="DV367" s="1167">
        <f t="shared" si="191"/>
        <v>3104</v>
      </c>
      <c r="DW367" s="1167">
        <f t="shared" si="191"/>
        <v>3135</v>
      </c>
      <c r="DX367" s="1167">
        <f t="shared" si="191"/>
        <v>3166</v>
      </c>
      <c r="DY367" s="1167">
        <f t="shared" si="191"/>
        <v>3196</v>
      </c>
      <c r="DZ367" s="1167">
        <f t="shared" si="191"/>
        <v>3227</v>
      </c>
      <c r="EA367" s="1167">
        <f t="shared" si="191"/>
        <v>3257</v>
      </c>
      <c r="EB367" s="1167">
        <f t="shared" si="191"/>
        <v>3288</v>
      </c>
      <c r="EC367" s="1167">
        <f t="shared" si="191"/>
        <v>3319</v>
      </c>
      <c r="ED367" s="1167">
        <f t="shared" si="191"/>
        <v>3347</v>
      </c>
      <c r="EE367" s="1167">
        <f t="shared" si="191"/>
        <v>3378</v>
      </c>
      <c r="EF367" s="1167">
        <f t="shared" si="191"/>
        <v>3408</v>
      </c>
      <c r="EG367" s="1167">
        <f t="shared" si="191"/>
        <v>3439</v>
      </c>
      <c r="EH367" s="1167">
        <f t="shared" si="191"/>
        <v>3469</v>
      </c>
      <c r="EI367" s="1167">
        <f t="shared" si="191"/>
        <v>3500</v>
      </c>
      <c r="EJ367" s="1167">
        <f t="shared" si="191"/>
        <v>3531</v>
      </c>
      <c r="EK367" s="1167">
        <f t="shared" si="191"/>
        <v>3561</v>
      </c>
      <c r="EL367" s="1167">
        <f t="shared" si="191"/>
        <v>3592</v>
      </c>
      <c r="EM367" s="1167">
        <f t="shared" si="191"/>
        <v>3622</v>
      </c>
      <c r="EN367" s="1167">
        <f t="shared" si="191"/>
        <v>3653</v>
      </c>
      <c r="EO367" s="39">
        <v>51</v>
      </c>
      <c r="EP367" s="39">
        <v>51</v>
      </c>
      <c r="EQ367" s="39">
        <v>51</v>
      </c>
      <c r="ER367" s="39">
        <v>51</v>
      </c>
      <c r="ES367" s="39">
        <v>51</v>
      </c>
      <c r="ET367" s="39">
        <v>51</v>
      </c>
      <c r="EU367" s="39">
        <v>51</v>
      </c>
      <c r="EV367" s="39">
        <v>51</v>
      </c>
      <c r="EW367" s="39">
        <v>51</v>
      </c>
      <c r="EX367" s="39">
        <v>51</v>
      </c>
    </row>
    <row r="368" spans="11:154" ht="12" customHeight="1" x14ac:dyDescent="0.35">
      <c r="K368" s="1667"/>
      <c r="L368" s="1667"/>
      <c r="M368" s="1667"/>
      <c r="N368" s="1667"/>
      <c r="O368" s="1667"/>
      <c r="P368" s="1667"/>
      <c r="Q368" s="1667"/>
      <c r="R368" s="1667"/>
      <c r="S368" s="1667"/>
      <c r="T368" s="1667"/>
      <c r="U368" s="59"/>
      <c r="V368" s="1636">
        <f t="shared" ref="V368:V387" si="192">IFERROR(EOMONTH(S278,W368-1),0)</f>
        <v>0</v>
      </c>
      <c r="W368" s="102">
        <f t="shared" ref="W368:W387" si="193">T278*12</f>
        <v>0</v>
      </c>
      <c r="X368" s="381">
        <f t="shared" ref="X368:X387" si="194">X344</f>
        <v>0</v>
      </c>
      <c r="Y368" s="1645">
        <f>IF(OR($V368=0,$W368=0),0,IF(Y$367&gt;$V368,0,SUM($Y344:Y344)/$W368))</f>
        <v>0</v>
      </c>
      <c r="Z368" s="1638">
        <f>IF(OR($V368=0,$W368=0),0,IF(Z$367&gt;$V368,0,SUM($Y344:Z344)/$W368))</f>
        <v>0</v>
      </c>
      <c r="AA368" s="1638">
        <f>IF(OR($V368=0,$W368=0),0,IF(AA$367&gt;$V368,0,SUM($Y344:AA344)/$W368))</f>
        <v>0</v>
      </c>
      <c r="AB368" s="1638">
        <f>IF(OR($V368=0,$W368=0),0,IF(AB$367&gt;$V368,0,SUM($Y344:AB344)/$W368))</f>
        <v>0</v>
      </c>
      <c r="AC368" s="1638">
        <f>IF(OR($V368=0,$W368=0),0,IF(AC$367&gt;$V368,0,SUM($Y344:AC344)/$W368))</f>
        <v>0</v>
      </c>
      <c r="AD368" s="1638">
        <f>IF(OR($V368=0,$W368=0),0,IF(AD$367&gt;$V368,0,SUM($Y344:AD344)/$W368))</f>
        <v>0</v>
      </c>
      <c r="AE368" s="1638">
        <f>IF(OR($V368=0,$W368=0),0,IF(AE$367&gt;$V368,0,SUM($Y344:AE344)/$W368))</f>
        <v>0</v>
      </c>
      <c r="AF368" s="1639">
        <f>IF(OR($V368=0,$W368=0),0,IF(AF$367&gt;$V368,0,SUM($Y344:AF344)/$W368))</f>
        <v>0</v>
      </c>
      <c r="AG368" s="1639">
        <f>IF(OR($V368=0,$W368=0),0,IF(AG$367&gt;$V368,0,SUM($Y344:AG344)/$W368))</f>
        <v>0</v>
      </c>
      <c r="AH368" s="1639">
        <f>IF(OR($V368=0,$W368=0),0,IF(AH$367&gt;$V368,0,SUM($Y344:AH344)/$W368))</f>
        <v>0</v>
      </c>
      <c r="AI368" s="1155">
        <f>IF(OR($V368=0,$W368=0),0,IF(AI$367&gt;$V368,0,SUM($Y344:AI344)/$W368))</f>
        <v>0</v>
      </c>
      <c r="AJ368" s="1155">
        <f>IF(OR($V368=0,$W368=0),0,IF(AJ$367&gt;$V368,0,SUM($Y344:AJ344)/$W368))</f>
        <v>0</v>
      </c>
      <c r="AK368" s="1155">
        <f>IF(OR($V368=0,$W368=0),0,IF(AK$367&gt;$V368,0,SUM($Y344:AK344)/$W368))</f>
        <v>0</v>
      </c>
      <c r="AL368" s="1155">
        <f>IF(OR($V368=0,$W368=0),0,IF(AL$367&gt;$V368,0,SUM($Y344:AL344)/$W368))</f>
        <v>0</v>
      </c>
      <c r="AM368" s="1155">
        <f>IF(OR($V368=0,$W368=0),0,IF(AM$367&gt;$V368,0,SUM($Y344:AM344)/$W368))</f>
        <v>0</v>
      </c>
      <c r="AN368" s="1155">
        <f>IF(OR($V368=0,$W368=0),0,IF(AN$367&gt;$V368,0,SUM($Y344:AN344)/$W368))</f>
        <v>0</v>
      </c>
      <c r="AO368" s="1155">
        <f>IF(OR($V368=0,$W368=0),0,IF(AO$367&gt;$V368,0,SUM($Y344:AO344)/$W368))</f>
        <v>0</v>
      </c>
      <c r="AP368" s="1155">
        <f>IF(OR($V368=0,$W368=0),0,IF(AP$367&gt;$V368,0,SUM($Y344:AP344)/$W368))</f>
        <v>0</v>
      </c>
      <c r="AQ368" s="1155">
        <f>IF(OR($V368=0,$W368=0),0,IF(AQ$367&gt;$V368,0,SUM($Y344:AQ344)/$W368))</f>
        <v>0</v>
      </c>
      <c r="AR368" s="1155">
        <f>IF(OR($V368=0,$W368=0),0,IF(AR$367&gt;$V368,0,SUM($Y344:AR344)/$W368))</f>
        <v>0</v>
      </c>
      <c r="AS368" s="1155">
        <f>IF(OR($V368=0,$W368=0),0,IF(AS$367&gt;$V368,0,SUM($Y344:AS344)/$W368))</f>
        <v>0</v>
      </c>
      <c r="AT368" s="1155">
        <f>IF(OR($V368=0,$W368=0),0,IF(AT$367&gt;$V368,0,SUM($Y344:AT344)/$W368))</f>
        <v>0</v>
      </c>
      <c r="AU368" s="1155">
        <f>IF(OR($V368=0,$W368=0),0,IF(AU$367&gt;$V368,0,SUM($Y344:AU344)/$W368))</f>
        <v>0</v>
      </c>
      <c r="AV368" s="1155">
        <f>IF(OR($V368=0,$W368=0),0,IF(AV$367&gt;$V368,0,SUM($Y344:AV344)/$W368))</f>
        <v>0</v>
      </c>
      <c r="AW368" s="1155">
        <f>IF(OR($V368=0,$W368=0),0,IF(AW$367&gt;$V368,0,SUM($Y344:AW344)/$W368))</f>
        <v>0</v>
      </c>
      <c r="AX368" s="1155">
        <f>IF(OR($V368=0,$W368=0),0,IF(AX$367&gt;$V368,0,SUM($Y344:AX344)/$W368))</f>
        <v>0</v>
      </c>
      <c r="AY368" s="1155">
        <f>IF(OR($V368=0,$W368=0),0,IF(AY$367&gt;$V368,0,SUM($Y344:AY344)/$W368))</f>
        <v>0</v>
      </c>
      <c r="AZ368" s="1155">
        <f>IF(OR($V368=0,$W368=0),0,IF(AZ$367&gt;$V368,0,SUM($Y344:AZ344)/$W368))</f>
        <v>0</v>
      </c>
      <c r="BA368" s="1155">
        <f>IF(OR($V368=0,$W368=0),0,IF(BA$367&gt;$V368,0,SUM($Y344:BA344)/$W368))</f>
        <v>0</v>
      </c>
      <c r="BB368" s="1155">
        <f>IF(OR($V368=0,$W368=0),0,IF(BB$367&gt;$V368,0,SUM($Y344:BB344)/$W368))</f>
        <v>0</v>
      </c>
      <c r="BC368" s="1155">
        <f>IF(OR($V368=0,$W368=0),0,IF(BC$367&gt;$V368,0,SUM($Y344:BC344)/$W368))</f>
        <v>0</v>
      </c>
      <c r="BD368" s="1155">
        <f>IF(OR($V368=0,$W368=0),0,IF(BD$367&gt;$V368,0,SUM($Y344:BD344)/$W368))</f>
        <v>0</v>
      </c>
      <c r="BE368" s="1155">
        <f>IF(OR($V368=0,$W368=0),0,IF(BE$367&gt;$V368,0,SUM($Y344:BE344)/$W368))</f>
        <v>0</v>
      </c>
      <c r="BF368" s="1155">
        <f>IF(OR($V368=0,$W368=0),0,IF(BF$367&gt;$V368,0,SUM($Y344:BF344)/$W368))</f>
        <v>0</v>
      </c>
      <c r="BG368" s="1155">
        <f>IF(OR($V368=0,$W368=0),0,IF(BG$367&gt;$V368,0,SUM($Y344:BG344)/$W368))</f>
        <v>0</v>
      </c>
      <c r="BH368" s="1155">
        <f>IF(OR($V368=0,$W368=0),0,IF(BH$367&gt;$V368,0,SUM($Y344:BH344)/$W368))</f>
        <v>0</v>
      </c>
      <c r="BI368" s="1155">
        <f>IF(OR($V368=0,$W368=0),0,IF(BI$367&gt;$V368,0,SUM($Y344:BI344)/$W368))</f>
        <v>0</v>
      </c>
      <c r="BJ368" s="1155">
        <f>IF(OR($V368=0,$W368=0),0,IF(BJ$367&gt;$V368,0,SUM($Y344:BJ344)/$W368))</f>
        <v>0</v>
      </c>
      <c r="BK368" s="1155">
        <f>IF(OR($V368=0,$W368=0),0,IF(BK$367&gt;$V368,0,SUM($Y344:BK344)/$W368))</f>
        <v>0</v>
      </c>
      <c r="BL368" s="1155">
        <f>IF(OR($V368=0,$W368=0),0,IF(BL$367&gt;$V368,0,SUM($Y344:BL344)/$W368))</f>
        <v>0</v>
      </c>
      <c r="BM368" s="1155">
        <f>IF(OR($V368=0,$W368=0),0,IF(BM$367&gt;$V368,0,SUM($Y344:BM344)/$W368))</f>
        <v>0</v>
      </c>
      <c r="BN368" s="1155">
        <f>IF(OR($V368=0,$W368=0),0,IF(BN$367&gt;$V368,0,SUM($Y344:BN344)/$W368))</f>
        <v>0</v>
      </c>
      <c r="BO368" s="1155">
        <f>IF(OR($V368=0,$W368=0),0,IF(BO$367&gt;$V368,0,SUM($Y344:BO344)/$W368))</f>
        <v>0</v>
      </c>
      <c r="BP368" s="1155">
        <f>IF(OR($V368=0,$W368=0),0,IF(BP$367&gt;$V368,0,SUM($Y344:BP344)/$W368))</f>
        <v>0</v>
      </c>
      <c r="BQ368" s="1155">
        <f>IF(OR($V368=0,$W368=0),0,IF(BQ$367&gt;$V368,0,SUM($Y344:BQ344)/$W368))</f>
        <v>0</v>
      </c>
      <c r="BR368" s="1155">
        <f>IF(OR($V368=0,$W368=0),0,IF(BR$367&gt;$V368,0,SUM($Y344:BR344)/$W368))</f>
        <v>0</v>
      </c>
      <c r="BS368" s="1155">
        <f>IF(OR($V368=0,$W368=0),0,IF(BS$367&gt;$V368,0,SUM($Y344:BS344)/$W368))</f>
        <v>0</v>
      </c>
      <c r="BT368" s="1155">
        <f>IF(OR($V368=0,$W368=0),0,IF(BT$367&gt;$V368,0,SUM($Y344:BT344)/$W368))</f>
        <v>0</v>
      </c>
      <c r="BU368" s="1155">
        <f>IF(OR($V368=0,$W368=0),0,IF(BU$367&gt;$V368,0,SUM($Y344:BU344)/$W368))</f>
        <v>0</v>
      </c>
      <c r="BV368" s="1155">
        <f>IF(OR($V368=0,$W368=0),0,IF(BV$367&gt;$V368,0,SUM($Y344:BV344)/$W368))</f>
        <v>0</v>
      </c>
      <c r="BW368" s="1155">
        <f>IF(OR($V368=0,$W368=0),0,IF(BW$367&gt;$V368,0,SUM($Y344:BW344)/$W368))</f>
        <v>0</v>
      </c>
      <c r="BX368" s="1162">
        <f>IF(OR($V368=0,$W368=0),0,IF(BX$367&gt;$V368,0,SUM($Y344:BX344)/$W368))</f>
        <v>0</v>
      </c>
      <c r="BY368" s="1162">
        <f>IF(OR($V368=0,$W368=0),0,IF(BY$367&gt;$V368,0,SUM($Y344:BY344)/$W368))</f>
        <v>0</v>
      </c>
      <c r="BZ368" s="1162">
        <f>IF(OR($V368=0,$W368=0),0,IF(BZ$367&gt;$V368,0,SUM($Y344:BZ344)/$W368))</f>
        <v>0</v>
      </c>
      <c r="CA368" s="1162">
        <f>IF(OR($V368=0,$W368=0),0,IF(CA$367&gt;$V368,0,SUM($Y344:CA344)/$W368))</f>
        <v>0</v>
      </c>
      <c r="CB368" s="1162">
        <f>IF(OR($V368=0,$W368=0),0,IF(CB$367&gt;$V368,0,SUM($Y344:CB344)/$W368))</f>
        <v>0</v>
      </c>
      <c r="CC368" s="1162">
        <f>IF(OR($V368=0,$W368=0),0,IF(CC$367&gt;$V368,0,SUM($Y344:CC344)/$W368))</f>
        <v>0</v>
      </c>
      <c r="CD368" s="1162">
        <f>IF(OR($V368=0,$W368=0),0,IF(CD$367&gt;$V368,0,SUM($Y344:CD344)/$W368))</f>
        <v>0</v>
      </c>
      <c r="CE368" s="1162">
        <f>IF(OR($V368=0,$W368=0),0,IF(CE$367&gt;$V368,0,SUM($Y344:CE344)/$W368))</f>
        <v>0</v>
      </c>
      <c r="CF368" s="1162">
        <f>IF(OR($V368=0,$W368=0),0,IF(CF$367&gt;$V368,0,SUM($Y344:CF344)/$W368))</f>
        <v>0</v>
      </c>
      <c r="CG368" s="1162">
        <f>IF(OR($V368=0,$W368=0),0,IF(CG$367&gt;$V368,0,SUM($Y344:CG344)/$W368))</f>
        <v>0</v>
      </c>
      <c r="CH368" s="1162">
        <f>IF(OR($V368=0,$W368=0),0,IF(CH$367&gt;$V368,0,SUM($Y344:CH344)/$W368))</f>
        <v>0</v>
      </c>
      <c r="CI368" s="1162">
        <f>IF(OR($V368=0,$W368=0),0,IF(CI$367&gt;$V368,0,SUM($Y344:CI344)/$W368))</f>
        <v>0</v>
      </c>
      <c r="CJ368" s="1162">
        <f>IF(OR($V368=0,$W368=0),0,IF(CJ$367&gt;$V368,0,SUM($Y344:CJ344)/$W368))</f>
        <v>0</v>
      </c>
      <c r="CK368" s="1162">
        <f>IF(OR($V368=0,$W368=0),0,IF(CK$367&gt;$V368,0,SUM($Y344:CK344)/$W368))</f>
        <v>0</v>
      </c>
      <c r="CL368" s="1162">
        <f>IF(OR($V368=0,$W368=0),0,IF(CL$367&gt;$V368,0,SUM($Y344:CL344)/$W368))</f>
        <v>0</v>
      </c>
      <c r="CM368" s="1162">
        <f>IF(OR($V368=0,$W368=0),0,IF(CM$367&gt;$V368,0,SUM($Y344:CM344)/$W368))</f>
        <v>0</v>
      </c>
      <c r="CN368" s="1162">
        <f>IF(OR($V368=0,$W368=0),0,IF(CN$367&gt;$V368,0,SUM($Y344:CN344)/$W368))</f>
        <v>0</v>
      </c>
      <c r="CO368" s="1162">
        <f>IF(OR($V368=0,$W368=0),0,IF(CO$367&gt;$V368,0,SUM($Y344:CO344)/$W368))</f>
        <v>0</v>
      </c>
      <c r="CP368" s="1162">
        <f>IF(OR($V368=0,$W368=0),0,IF(CP$367&gt;$V368,0,SUM($Y344:CP344)/$W368))</f>
        <v>0</v>
      </c>
      <c r="CQ368" s="48">
        <f>IF(OR($V368=0,$W368=0),0,IF(CQ$367&gt;$V368,0,SUM($Y344:CQ344)/$W368))</f>
        <v>0</v>
      </c>
      <c r="CR368" s="48">
        <f>IF(OR($V368=0,$W368=0),0,IF(CR$367&gt;$V368,0,SUM($Y344:CR344)/$W368))</f>
        <v>0</v>
      </c>
      <c r="CS368" s="48">
        <f>IF(OR($V368=0,$W368=0),0,IF(CS$367&gt;$V368,0,SUM($Y344:CS344)/$W368))</f>
        <v>0</v>
      </c>
      <c r="CT368" s="48">
        <f>IF(OR($V368=0,$W368=0),0,IF(CT$367&gt;$V368,0,SUM($Y344:CT344)/$W368))</f>
        <v>0</v>
      </c>
      <c r="CU368" s="48">
        <f>IF(OR($V368=0,$W368=0),0,IF(CU$367&gt;$V368,0,SUM($Y344:CU344)/$W368))</f>
        <v>0</v>
      </c>
      <c r="CV368" s="48">
        <f>IF(OR($V368=0,$W368=0),0,IF(CV$367&gt;$V368,0,SUM($Y344:CV344)/$W368))</f>
        <v>0</v>
      </c>
      <c r="CW368" s="48">
        <f>IF(OR($V368=0,$W368=0),0,IF(CW$367&gt;$V368,0,SUM($Y344:CW344)/$W368))</f>
        <v>0</v>
      </c>
      <c r="CX368" s="48">
        <f>IF(OR($V368=0,$W368=0),0,IF(CX$367&gt;$V368,0,SUM($Y344:CX344)/$W368))</f>
        <v>0</v>
      </c>
      <c r="CY368" s="48">
        <f>IF(OR($V368=0,$W368=0),0,IF(CY$367&gt;$V368,0,SUM($Y344:CY344)/$W368))</f>
        <v>0</v>
      </c>
      <c r="CZ368" s="48">
        <f>IF(OR($V368=0,$W368=0),0,IF(CZ$367&gt;$V368,0,SUM($Y344:CZ344)/$W368))</f>
        <v>0</v>
      </c>
      <c r="DA368" s="48">
        <f>IF(OR($V368=0,$W368=0),0,IF(DA$367&gt;$V368,0,SUM($Y344:DA344)/$W368))</f>
        <v>0</v>
      </c>
      <c r="DB368" s="48">
        <f>IF(OR($V368=0,$W368=0),0,IF(DB$367&gt;$V368,0,SUM($Y344:DB344)/$W368))</f>
        <v>0</v>
      </c>
      <c r="DC368" s="48">
        <f>IF(OR($V368=0,$W368=0),0,IF(DC$367&gt;$V368,0,SUM($Y344:DC344)/$W368))</f>
        <v>0</v>
      </c>
      <c r="DD368" s="48">
        <f>IF(OR($V368=0,$W368=0),0,IF(DD$367&gt;$V368,0,SUM($Y344:DD344)/$W368))</f>
        <v>0</v>
      </c>
      <c r="DE368" s="48">
        <f>IF(OR($V368=0,$W368=0),0,IF(DE$367&gt;$V368,0,SUM($Y344:DE344)/$W368))</f>
        <v>0</v>
      </c>
      <c r="DF368" s="48">
        <f>IF(OR($V368=0,$W368=0),0,IF(DF$367&gt;$V368,0,SUM($Y344:DF344)/$W368))</f>
        <v>0</v>
      </c>
      <c r="DG368" s="48">
        <f>IF(OR($V368=0,$W368=0),0,IF(DG$367&gt;$V368,0,SUM($Y344:DG344)/$W368))</f>
        <v>0</v>
      </c>
      <c r="DH368" s="48">
        <f>IF(OR($V368=0,$W368=0),0,IF(DH$367&gt;$V368,0,SUM($Y344:DH344)/$W368))</f>
        <v>0</v>
      </c>
      <c r="DI368" s="48">
        <f>IF(OR($V368=0,$W368=0),0,IF(DI$367&gt;$V368,0,SUM($Y344:DI344)/$W368))</f>
        <v>0</v>
      </c>
      <c r="DJ368" s="48">
        <f>IF(OR($V368=0,$W368=0),0,IF(DJ$367&gt;$V368,0,SUM($Y344:DJ344)/$W368))</f>
        <v>0</v>
      </c>
      <c r="DK368" s="48">
        <f>IF(OR($V368=0,$W368=0),0,IF(DK$367&gt;$V368,0,SUM($Y344:DK344)/$W368))</f>
        <v>0</v>
      </c>
      <c r="DL368" s="48">
        <f>IF(OR($V368=0,$W368=0),0,IF(DL$367&gt;$V368,0,SUM($Y344:DL344)/$W368))</f>
        <v>0</v>
      </c>
      <c r="DM368" s="48">
        <f>IF(OR($V368=0,$W368=0),0,IF(DM$367&gt;$V368,0,SUM($Y344:DM344)/$W368))</f>
        <v>0</v>
      </c>
      <c r="DN368" s="48">
        <f>IF(OR($V368=0,$W368=0),0,IF(DN$367&gt;$V368,0,SUM($Y344:DN344)/$W368))</f>
        <v>0</v>
      </c>
      <c r="DO368" s="48">
        <f>IF(OR($V368=0,$W368=0),0,IF(DO$367&gt;$V368,0,SUM($Y344:DO344)/$W368))</f>
        <v>0</v>
      </c>
      <c r="DP368" s="48">
        <f>IF(OR($V368=0,$W368=0),0,IF(DP$367&gt;$V368,0,SUM($Y344:DP344)/$W368))</f>
        <v>0</v>
      </c>
      <c r="DQ368" s="48">
        <f>IF(OR($V368=0,$W368=0),0,IF(DQ$367&gt;$V368,0,SUM($Y344:DQ344)/$W368))</f>
        <v>0</v>
      </c>
      <c r="DR368" s="50">
        <f>IF(OR($V368=0,$W368=0),0,IF(DR$367&gt;$V368,0,SUM($Y344:DR344)/$W368))</f>
        <v>0</v>
      </c>
      <c r="DS368" s="50">
        <f>IF(OR($V368=0,$W368=0),0,IF(DS$367&gt;$V368,0,SUM($Y344:DS344)/$W368))</f>
        <v>0</v>
      </c>
      <c r="DT368" s="50">
        <f>IF(OR($V368=0,$W368=0),0,IF(DT$367&gt;$V368,0,SUM($Y344:DT344)/$W368))</f>
        <v>0</v>
      </c>
      <c r="DU368" s="50">
        <f>IF(OR($V368=0,$W368=0),0,IF(DU$367&gt;$V368,0,SUM($Y344:DU344)/$W368))</f>
        <v>0</v>
      </c>
      <c r="DV368" s="50">
        <f>IF(OR($V368=0,$W368=0),0,IF(DV$367&gt;$V368,0,SUM($Y344:DV344)/$W368))</f>
        <v>0</v>
      </c>
      <c r="DW368" s="50">
        <f>IF(OR($V368=0,$W368=0),0,IF(DW$367&gt;$V368,0,SUM($Y344:DW344)/$W368))</f>
        <v>0</v>
      </c>
      <c r="DX368" s="50">
        <f>IF(OR($V368=0,$W368=0),0,IF(DX$367&gt;$V368,0,SUM($Y344:DX344)/$W368))</f>
        <v>0</v>
      </c>
      <c r="DY368" s="50">
        <f>IF(OR($V368=0,$W368=0),0,IF(DY$367&gt;$V368,0,SUM($Y344:DY344)/$W368))</f>
        <v>0</v>
      </c>
      <c r="DZ368" s="50">
        <f>IF(OR($V368=0,$W368=0),0,IF(DZ$367&gt;$V368,0,SUM($Y344:DZ344)/$W368))</f>
        <v>0</v>
      </c>
      <c r="EA368" s="50">
        <f>IF(OR($V368=0,$W368=0),0,IF(EA$367&gt;$V368,0,SUM($Y344:EA344)/$W368))</f>
        <v>0</v>
      </c>
      <c r="EB368" s="50">
        <f>IF(OR($V368=0,$W368=0),0,IF(EB$367&gt;$V368,0,SUM($Y344:EB344)/$W368))</f>
        <v>0</v>
      </c>
      <c r="EC368" s="50">
        <f>IF(OR($V368=0,$W368=0),0,IF(EC$367&gt;$V368,0,SUM($Y344:EC344)/$W368))</f>
        <v>0</v>
      </c>
      <c r="ED368" s="50">
        <f>IF(OR($V368=0,$W368=0),0,IF(ED$367&gt;$V368,0,SUM($Y344:ED344)/$W368))</f>
        <v>0</v>
      </c>
      <c r="EE368" s="50">
        <f>IF(OR($V368=0,$W368=0),0,IF(EE$367&gt;$V368,0,SUM($Y344:EE344)/$W368))</f>
        <v>0</v>
      </c>
      <c r="EF368" s="50">
        <f>IF(OR($V368=0,$W368=0),0,IF(EF$367&gt;$V368,0,SUM($Y344:EF344)/$W368))</f>
        <v>0</v>
      </c>
      <c r="EG368" s="50">
        <f>IF(OR($V368=0,$W368=0),0,IF(EG$367&gt;$V368,0,SUM($Y344:EG344)/$W368))</f>
        <v>0</v>
      </c>
      <c r="EH368" s="50">
        <f>IF(OR($V368=0,$W368=0),0,IF(EH$367&gt;$V368,0,SUM($Y344:EH344)/$W368))</f>
        <v>0</v>
      </c>
      <c r="EI368" s="50">
        <f>IF(OR($V368=0,$W368=0),0,IF(EI$367&gt;$V368,0,SUM($Y344:EI344)/$W368))</f>
        <v>0</v>
      </c>
      <c r="EJ368" s="50">
        <f>IF(OR($V368=0,$W368=0),0,IF(EJ$367&gt;$V368,0,SUM($Y344:EJ344)/$W368))</f>
        <v>0</v>
      </c>
      <c r="EK368" s="50">
        <f>IF(OR($V368=0,$W368=0),0,IF(EK$367&gt;$V368,0,SUM($Y344:EK344)/$W368))</f>
        <v>0</v>
      </c>
      <c r="EL368" s="50">
        <f>IF(OR($V368=0,$W368=0),0,IF(EL$367&gt;$V368,0,SUM($Y344:EL344)/$W368))</f>
        <v>0</v>
      </c>
      <c r="EM368" s="50">
        <f>IF(OR($V368=0,$W368=0),0,IF(EM$367&gt;$V368,0,SUM($Y344:EM344)/$W368))</f>
        <v>0</v>
      </c>
      <c r="EN368" s="50">
        <f>IF(OR($V368=0,$W368=0),0,IF(EN$367&gt;$V368,0,SUM($Y344:EN344)/$W368))</f>
        <v>0</v>
      </c>
      <c r="EO368" s="39">
        <v>51</v>
      </c>
      <c r="EP368" s="39">
        <v>51</v>
      </c>
      <c r="EQ368" s="39">
        <v>51</v>
      </c>
      <c r="ER368" s="39">
        <v>51</v>
      </c>
      <c r="ES368" s="39">
        <v>51</v>
      </c>
      <c r="ET368" s="39">
        <v>51</v>
      </c>
      <c r="EU368" s="39">
        <v>51</v>
      </c>
      <c r="EV368" s="39">
        <v>51</v>
      </c>
      <c r="EW368" s="39">
        <v>51</v>
      </c>
      <c r="EX368" s="39">
        <v>51</v>
      </c>
    </row>
    <row r="369" spans="11:154" ht="12" customHeight="1" x14ac:dyDescent="0.35">
      <c r="K369" s="1667"/>
      <c r="L369" s="1667"/>
      <c r="M369" s="1667"/>
      <c r="N369" s="1667"/>
      <c r="O369" s="1667"/>
      <c r="P369" s="1667"/>
      <c r="Q369" s="1667"/>
      <c r="R369" s="1667"/>
      <c r="S369" s="1667"/>
      <c r="T369" s="1667"/>
      <c r="U369" s="59"/>
      <c r="V369" s="1636">
        <f t="shared" si="192"/>
        <v>0</v>
      </c>
      <c r="W369" s="102">
        <f t="shared" si="193"/>
        <v>0</v>
      </c>
      <c r="X369" s="381">
        <f t="shared" si="194"/>
        <v>0</v>
      </c>
      <c r="Y369" s="1645">
        <f>IF(OR($V369=0,$W369=0),0,IF(Y$367&gt;$V369,0,SUM($Y345:Y345)/$W369))</f>
        <v>0</v>
      </c>
      <c r="Z369" s="1646">
        <f>IF(OR($V369=0,$W369=0),0,IF(Z$367&gt;$V369,0,SUM($Y345:Z345)/$W369))</f>
        <v>0</v>
      </c>
      <c r="AA369" s="1646">
        <f>IF(OR($V369=0,$W369=0),0,IF(AA$367&gt;$V369,0,SUM($Y345:AA345)/$W369))</f>
        <v>0</v>
      </c>
      <c r="AB369" s="1646">
        <f>IF(OR($V369=0,$W369=0),0,IF(AB$367&gt;$V369,0,SUM($Y345:AB345)/$W369))</f>
        <v>0</v>
      </c>
      <c r="AC369" s="1646">
        <f>IF(OR($V369=0,$W369=0),0,IF(AC$367&gt;$V369,0,SUM($Y345:AC345)/$W369))</f>
        <v>0</v>
      </c>
      <c r="AD369" s="1646">
        <f>IF(OR($V369=0,$W369=0),0,IF(AD$367&gt;$V369,0,SUM($Y345:AD345)/$W369))</f>
        <v>0</v>
      </c>
      <c r="AE369" s="1646">
        <f>IF(OR($V369=0,$W369=0),0,IF(AE$367&gt;$V369,0,SUM($Y345:AE345)/$W369))</f>
        <v>0</v>
      </c>
      <c r="AF369" s="1155">
        <f>IF(OR($V369=0,$W369=0),0,IF(AF$367&gt;$V369,0,SUM($Y345:AF345)/$W369))</f>
        <v>0</v>
      </c>
      <c r="AG369" s="1155">
        <f>IF(OR($V369=0,$W369=0),0,IF(AG$367&gt;$V369,0,SUM($Y345:AG345)/$W369))</f>
        <v>0</v>
      </c>
      <c r="AH369" s="1155">
        <f>IF(OR($V369=0,$W369=0),0,IF(AH$367&gt;$V369,0,SUM($Y345:AH345)/$W369))</f>
        <v>0</v>
      </c>
      <c r="AI369" s="1155">
        <f>IF(OR($V369=0,$W369=0),0,IF(AI$367&gt;$V369,0,SUM($Y345:AI345)/$W369))</f>
        <v>0</v>
      </c>
      <c r="AJ369" s="1155">
        <f>IF(OR($V369=0,$W369=0),0,IF(AJ$367&gt;$V369,0,SUM($Y345:AJ345)/$W369))</f>
        <v>0</v>
      </c>
      <c r="AK369" s="1155">
        <f>IF(OR($V369=0,$W369=0),0,IF(AK$367&gt;$V369,0,SUM($Y345:AK345)/$W369))</f>
        <v>0</v>
      </c>
      <c r="AL369" s="1155">
        <f>IF(OR($V369=0,$W369=0),0,IF(AL$367&gt;$V369,0,SUM($Y345:AL345)/$W369))</f>
        <v>0</v>
      </c>
      <c r="AM369" s="1155">
        <f>IF(OR($V369=0,$W369=0),0,IF(AM$367&gt;$V369,0,SUM($Y345:AM345)/$W369))</f>
        <v>0</v>
      </c>
      <c r="AN369" s="1155">
        <f>IF(OR($V369=0,$W369=0),0,IF(AN$367&gt;$V369,0,SUM($Y345:AN345)/$W369))</f>
        <v>0</v>
      </c>
      <c r="AO369" s="1155">
        <f>IF(OR($V369=0,$W369=0),0,IF(AO$367&gt;$V369,0,SUM($Y345:AO345)/$W369))</f>
        <v>0</v>
      </c>
      <c r="AP369" s="1155">
        <f>IF(OR($V369=0,$W369=0),0,IF(AP$367&gt;$V369,0,SUM($Y345:AP345)/$W369))</f>
        <v>0</v>
      </c>
      <c r="AQ369" s="1155">
        <f>IF(OR($V369=0,$W369=0),0,IF(AQ$367&gt;$V369,0,SUM($Y345:AQ345)/$W369))</f>
        <v>0</v>
      </c>
      <c r="AR369" s="1155">
        <f>IF(OR($V369=0,$W369=0),0,IF(AR$367&gt;$V369,0,SUM($Y345:AR345)/$W369))</f>
        <v>0</v>
      </c>
      <c r="AS369" s="1155">
        <f>IF(OR($V369=0,$W369=0),0,IF(AS$367&gt;$V369,0,SUM($Y345:AS345)/$W369))</f>
        <v>0</v>
      </c>
      <c r="AT369" s="1155">
        <f>IF(OR($V369=0,$W369=0),0,IF(AT$367&gt;$V369,0,SUM($Y345:AT345)/$W369))</f>
        <v>0</v>
      </c>
      <c r="AU369" s="1155">
        <f>IF(OR($V369=0,$W369=0),0,IF(AU$367&gt;$V369,0,SUM($Y345:AU345)/$W369))</f>
        <v>0</v>
      </c>
      <c r="AV369" s="1155">
        <f>IF(OR($V369=0,$W369=0),0,IF(AV$367&gt;$V369,0,SUM($Y345:AV345)/$W369))</f>
        <v>0</v>
      </c>
      <c r="AW369" s="1155">
        <f>IF(OR($V369=0,$W369=0),0,IF(AW$367&gt;$V369,0,SUM($Y345:AW345)/$W369))</f>
        <v>0</v>
      </c>
      <c r="AX369" s="1155">
        <f>IF(OR($V369=0,$W369=0),0,IF(AX$367&gt;$V369,0,SUM($Y345:AX345)/$W369))</f>
        <v>0</v>
      </c>
      <c r="AY369" s="1155">
        <f>IF(OR($V369=0,$W369=0),0,IF(AY$367&gt;$V369,0,SUM($Y345:AY345)/$W369))</f>
        <v>0</v>
      </c>
      <c r="AZ369" s="1155">
        <f>IF(OR($V369=0,$W369=0),0,IF(AZ$367&gt;$V369,0,SUM($Y345:AZ345)/$W369))</f>
        <v>0</v>
      </c>
      <c r="BA369" s="1155">
        <f>IF(OR($V369=0,$W369=0),0,IF(BA$367&gt;$V369,0,SUM($Y345:BA345)/$W369))</f>
        <v>0</v>
      </c>
      <c r="BB369" s="1155">
        <f>IF(OR($V369=0,$W369=0),0,IF(BB$367&gt;$V369,0,SUM($Y345:BB345)/$W369))</f>
        <v>0</v>
      </c>
      <c r="BC369" s="1155">
        <f>IF(OR($V369=0,$W369=0),0,IF(BC$367&gt;$V369,0,SUM($Y345:BC345)/$W369))</f>
        <v>0</v>
      </c>
      <c r="BD369" s="1155">
        <f>IF(OR($V369=0,$W369=0),0,IF(BD$367&gt;$V369,0,SUM($Y345:BD345)/$W369))</f>
        <v>0</v>
      </c>
      <c r="BE369" s="1155">
        <f>IF(OR($V369=0,$W369=0),0,IF(BE$367&gt;$V369,0,SUM($Y345:BE345)/$W369))</f>
        <v>0</v>
      </c>
      <c r="BF369" s="1155">
        <f>IF(OR($V369=0,$W369=0),0,IF(BF$367&gt;$V369,0,SUM($Y345:BF345)/$W369))</f>
        <v>0</v>
      </c>
      <c r="BG369" s="1155">
        <f>IF(OR($V369=0,$W369=0),0,IF(BG$367&gt;$V369,0,SUM($Y345:BG345)/$W369))</f>
        <v>0</v>
      </c>
      <c r="BH369" s="1155">
        <f>IF(OR($V369=0,$W369=0),0,IF(BH$367&gt;$V369,0,SUM($Y345:BH345)/$W369))</f>
        <v>0</v>
      </c>
      <c r="BI369" s="1155">
        <f>IF(OR($V369=0,$W369=0),0,IF(BI$367&gt;$V369,0,SUM($Y345:BI345)/$W369))</f>
        <v>0</v>
      </c>
      <c r="BJ369" s="1155">
        <f>IF(OR($V369=0,$W369=0),0,IF(BJ$367&gt;$V369,0,SUM($Y345:BJ345)/$W369))</f>
        <v>0</v>
      </c>
      <c r="BK369" s="1155">
        <f>IF(OR($V369=0,$W369=0),0,IF(BK$367&gt;$V369,0,SUM($Y345:BK345)/$W369))</f>
        <v>0</v>
      </c>
      <c r="BL369" s="1155">
        <f>IF(OR($V369=0,$W369=0),0,IF(BL$367&gt;$V369,0,SUM($Y345:BL345)/$W369))</f>
        <v>0</v>
      </c>
      <c r="BM369" s="1155">
        <f>IF(OR($V369=0,$W369=0),0,IF(BM$367&gt;$V369,0,SUM($Y345:BM345)/$W369))</f>
        <v>0</v>
      </c>
      <c r="BN369" s="1155">
        <f>IF(OR($V369=0,$W369=0),0,IF(BN$367&gt;$V369,0,SUM($Y345:BN345)/$W369))</f>
        <v>0</v>
      </c>
      <c r="BO369" s="1155">
        <f>IF(OR($V369=0,$W369=0),0,IF(BO$367&gt;$V369,0,SUM($Y345:BO345)/$W369))</f>
        <v>0</v>
      </c>
      <c r="BP369" s="1155">
        <f>IF(OR($V369=0,$W369=0),0,IF(BP$367&gt;$V369,0,SUM($Y345:BP345)/$W369))</f>
        <v>0</v>
      </c>
      <c r="BQ369" s="1155">
        <f>IF(OR($V369=0,$W369=0),0,IF(BQ$367&gt;$V369,0,SUM($Y345:BQ345)/$W369))</f>
        <v>0</v>
      </c>
      <c r="BR369" s="1155">
        <f>IF(OR($V369=0,$W369=0),0,IF(BR$367&gt;$V369,0,SUM($Y345:BR345)/$W369))</f>
        <v>0</v>
      </c>
      <c r="BS369" s="1155">
        <f>IF(OR($V369=0,$W369=0),0,IF(BS$367&gt;$V369,0,SUM($Y345:BS345)/$W369))</f>
        <v>0</v>
      </c>
      <c r="BT369" s="1155">
        <f>IF(OR($V369=0,$W369=0),0,IF(BT$367&gt;$V369,0,SUM($Y345:BT345)/$W369))</f>
        <v>0</v>
      </c>
      <c r="BU369" s="1155">
        <f>IF(OR($V369=0,$W369=0),0,IF(BU$367&gt;$V369,0,SUM($Y345:BU345)/$W369))</f>
        <v>0</v>
      </c>
      <c r="BV369" s="1155">
        <f>IF(OR($V369=0,$W369=0),0,IF(BV$367&gt;$V369,0,SUM($Y345:BV345)/$W369))</f>
        <v>0</v>
      </c>
      <c r="BW369" s="1155">
        <f>IF(OR($V369=0,$W369=0),0,IF(BW$367&gt;$V369,0,SUM($Y345:BW345)/$W369))</f>
        <v>0</v>
      </c>
      <c r="BX369" s="1162">
        <f>IF(OR($V369=0,$W369=0),0,IF(BX$367&gt;$V369,0,SUM($Y345:BX345)/$W369))</f>
        <v>0</v>
      </c>
      <c r="BY369" s="1162">
        <f>IF(OR($V369=0,$W369=0),0,IF(BY$367&gt;$V369,0,SUM($Y345:BY345)/$W369))</f>
        <v>0</v>
      </c>
      <c r="BZ369" s="1162">
        <f>IF(OR($V369=0,$W369=0),0,IF(BZ$367&gt;$V369,0,SUM($Y345:BZ345)/$W369))</f>
        <v>0</v>
      </c>
      <c r="CA369" s="1162">
        <f>IF(OR($V369=0,$W369=0),0,IF(CA$367&gt;$V369,0,SUM($Y345:CA345)/$W369))</f>
        <v>0</v>
      </c>
      <c r="CB369" s="1162">
        <f>IF(OR($V369=0,$W369=0),0,IF(CB$367&gt;$V369,0,SUM($Y345:CB345)/$W369))</f>
        <v>0</v>
      </c>
      <c r="CC369" s="1162">
        <f>IF(OR($V369=0,$W369=0),0,IF(CC$367&gt;$V369,0,SUM($Y345:CC345)/$W369))</f>
        <v>0</v>
      </c>
      <c r="CD369" s="1162">
        <f>IF(OR($V369=0,$W369=0),0,IF(CD$367&gt;$V369,0,SUM($Y345:CD345)/$W369))</f>
        <v>0</v>
      </c>
      <c r="CE369" s="1162">
        <f>IF(OR($V369=0,$W369=0),0,IF(CE$367&gt;$V369,0,SUM($Y345:CE345)/$W369))</f>
        <v>0</v>
      </c>
      <c r="CF369" s="1162">
        <f>IF(OR($V369=0,$W369=0),0,IF(CF$367&gt;$V369,0,SUM($Y345:CF345)/$W369))</f>
        <v>0</v>
      </c>
      <c r="CG369" s="1162">
        <f>IF(OR($V369=0,$W369=0),0,IF(CG$367&gt;$V369,0,SUM($Y345:CG345)/$W369))</f>
        <v>0</v>
      </c>
      <c r="CH369" s="1162">
        <f>IF(OR($V369=0,$W369=0),0,IF(CH$367&gt;$V369,0,SUM($Y345:CH345)/$W369))</f>
        <v>0</v>
      </c>
      <c r="CI369" s="1162">
        <f>IF(OR($V369=0,$W369=0),0,IF(CI$367&gt;$V369,0,SUM($Y345:CI345)/$W369))</f>
        <v>0</v>
      </c>
      <c r="CJ369" s="1162">
        <f>IF(OR($V369=0,$W369=0),0,IF(CJ$367&gt;$V369,0,SUM($Y345:CJ345)/$W369))</f>
        <v>0</v>
      </c>
      <c r="CK369" s="1162">
        <f>IF(OR($V369=0,$W369=0),0,IF(CK$367&gt;$V369,0,SUM($Y345:CK345)/$W369))</f>
        <v>0</v>
      </c>
      <c r="CL369" s="1162">
        <f>IF(OR($V369=0,$W369=0),0,IF(CL$367&gt;$V369,0,SUM($Y345:CL345)/$W369))</f>
        <v>0</v>
      </c>
      <c r="CM369" s="1162">
        <f>IF(OR($V369=0,$W369=0),0,IF(CM$367&gt;$V369,0,SUM($Y345:CM345)/$W369))</f>
        <v>0</v>
      </c>
      <c r="CN369" s="1162">
        <f>IF(OR($V369=0,$W369=0),0,IF(CN$367&gt;$V369,0,SUM($Y345:CN345)/$W369))</f>
        <v>0</v>
      </c>
      <c r="CO369" s="1162">
        <f>IF(OR($V369=0,$W369=0),0,IF(CO$367&gt;$V369,0,SUM($Y345:CO345)/$W369))</f>
        <v>0</v>
      </c>
      <c r="CP369" s="1162">
        <f>IF(OR($V369=0,$W369=0),0,IF(CP$367&gt;$V369,0,SUM($Y345:CP345)/$W369))</f>
        <v>0</v>
      </c>
      <c r="CQ369" s="48">
        <f>IF(OR($V369=0,$W369=0),0,IF(CQ$367&gt;$V369,0,SUM($Y345:CQ345)/$W369))</f>
        <v>0</v>
      </c>
      <c r="CR369" s="48">
        <f>IF(OR($V369=0,$W369=0),0,IF(CR$367&gt;$V369,0,SUM($Y345:CR345)/$W369))</f>
        <v>0</v>
      </c>
      <c r="CS369" s="48">
        <f>IF(OR($V369=0,$W369=0),0,IF(CS$367&gt;$V369,0,SUM($Y345:CS345)/$W369))</f>
        <v>0</v>
      </c>
      <c r="CT369" s="48">
        <f>IF(OR($V369=0,$W369=0),0,IF(CT$367&gt;$V369,0,SUM($Y345:CT345)/$W369))</f>
        <v>0</v>
      </c>
      <c r="CU369" s="48">
        <f>IF(OR($V369=0,$W369=0),0,IF(CU$367&gt;$V369,0,SUM($Y345:CU345)/$W369))</f>
        <v>0</v>
      </c>
      <c r="CV369" s="48">
        <f>IF(OR($V369=0,$W369=0),0,IF(CV$367&gt;$V369,0,SUM($Y345:CV345)/$W369))</f>
        <v>0</v>
      </c>
      <c r="CW369" s="48">
        <f>IF(OR($V369=0,$W369=0),0,IF(CW$367&gt;$V369,0,SUM($Y345:CW345)/$W369))</f>
        <v>0</v>
      </c>
      <c r="CX369" s="48">
        <f>IF(OR($V369=0,$W369=0),0,IF(CX$367&gt;$V369,0,SUM($Y345:CX345)/$W369))</f>
        <v>0</v>
      </c>
      <c r="CY369" s="48">
        <f>IF(OR($V369=0,$W369=0),0,IF(CY$367&gt;$V369,0,SUM($Y345:CY345)/$W369))</f>
        <v>0</v>
      </c>
      <c r="CZ369" s="48">
        <f>IF(OR($V369=0,$W369=0),0,IF(CZ$367&gt;$V369,0,SUM($Y345:CZ345)/$W369))</f>
        <v>0</v>
      </c>
      <c r="DA369" s="48">
        <f>IF(OR($V369=0,$W369=0),0,IF(DA$367&gt;$V369,0,SUM($Y345:DA345)/$W369))</f>
        <v>0</v>
      </c>
      <c r="DB369" s="48">
        <f>IF(OR($V369=0,$W369=0),0,IF(DB$367&gt;$V369,0,SUM($Y345:DB345)/$W369))</f>
        <v>0</v>
      </c>
      <c r="DC369" s="48">
        <f>IF(OR($V369=0,$W369=0),0,IF(DC$367&gt;$V369,0,SUM($Y345:DC345)/$W369))</f>
        <v>0</v>
      </c>
      <c r="DD369" s="48">
        <f>IF(OR($V369=0,$W369=0),0,IF(DD$367&gt;$V369,0,SUM($Y345:DD345)/$W369))</f>
        <v>0</v>
      </c>
      <c r="DE369" s="48">
        <f>IF(OR($V369=0,$W369=0),0,IF(DE$367&gt;$V369,0,SUM($Y345:DE345)/$W369))</f>
        <v>0</v>
      </c>
      <c r="DF369" s="48">
        <f>IF(OR($V369=0,$W369=0),0,IF(DF$367&gt;$V369,0,SUM($Y345:DF345)/$W369))</f>
        <v>0</v>
      </c>
      <c r="DG369" s="48">
        <f>IF(OR($V369=0,$W369=0),0,IF(DG$367&gt;$V369,0,SUM($Y345:DG345)/$W369))</f>
        <v>0</v>
      </c>
      <c r="DH369" s="48">
        <f>IF(OR($V369=0,$W369=0),0,IF(DH$367&gt;$V369,0,SUM($Y345:DH345)/$W369))</f>
        <v>0</v>
      </c>
      <c r="DI369" s="48">
        <f>IF(OR($V369=0,$W369=0),0,IF(DI$367&gt;$V369,0,SUM($Y345:DI345)/$W369))</f>
        <v>0</v>
      </c>
      <c r="DJ369" s="48">
        <f>IF(OR($V369=0,$W369=0),0,IF(DJ$367&gt;$V369,0,SUM($Y345:DJ345)/$W369))</f>
        <v>0</v>
      </c>
      <c r="DK369" s="48">
        <f>IF(OR($V369=0,$W369=0),0,IF(DK$367&gt;$V369,0,SUM($Y345:DK345)/$W369))</f>
        <v>0</v>
      </c>
      <c r="DL369" s="48">
        <f>IF(OR($V369=0,$W369=0),0,IF(DL$367&gt;$V369,0,SUM($Y345:DL345)/$W369))</f>
        <v>0</v>
      </c>
      <c r="DM369" s="48">
        <f>IF(OR($V369=0,$W369=0),0,IF(DM$367&gt;$V369,0,SUM($Y345:DM345)/$W369))</f>
        <v>0</v>
      </c>
      <c r="DN369" s="48">
        <f>IF(OR($V369=0,$W369=0),0,IF(DN$367&gt;$V369,0,SUM($Y345:DN345)/$W369))</f>
        <v>0</v>
      </c>
      <c r="DO369" s="48">
        <f>IF(OR($V369=0,$W369=0),0,IF(DO$367&gt;$V369,0,SUM($Y345:DO345)/$W369))</f>
        <v>0</v>
      </c>
      <c r="DP369" s="48">
        <f>IF(OR($V369=0,$W369=0),0,IF(DP$367&gt;$V369,0,SUM($Y345:DP345)/$W369))</f>
        <v>0</v>
      </c>
      <c r="DQ369" s="48">
        <f>IF(OR($V369=0,$W369=0),0,IF(DQ$367&gt;$V369,0,SUM($Y345:DQ345)/$W369))</f>
        <v>0</v>
      </c>
      <c r="DR369" s="50">
        <f>IF(OR($V369=0,$W369=0),0,IF(DR$367&gt;$V369,0,SUM($Y345:DR345)/$W369))</f>
        <v>0</v>
      </c>
      <c r="DS369" s="50">
        <f>IF(OR($V369=0,$W369=0),0,IF(DS$367&gt;$V369,0,SUM($Y345:DS345)/$W369))</f>
        <v>0</v>
      </c>
      <c r="DT369" s="50">
        <f>IF(OR($V369=0,$W369=0),0,IF(DT$367&gt;$V369,0,SUM($Y345:DT345)/$W369))</f>
        <v>0</v>
      </c>
      <c r="DU369" s="50">
        <f>IF(OR($V369=0,$W369=0),0,IF(DU$367&gt;$V369,0,SUM($Y345:DU345)/$W369))</f>
        <v>0</v>
      </c>
      <c r="DV369" s="50">
        <f>IF(OR($V369=0,$W369=0),0,IF(DV$367&gt;$V369,0,SUM($Y345:DV345)/$W369))</f>
        <v>0</v>
      </c>
      <c r="DW369" s="50">
        <f>IF(OR($V369=0,$W369=0),0,IF(DW$367&gt;$V369,0,SUM($Y345:DW345)/$W369))</f>
        <v>0</v>
      </c>
      <c r="DX369" s="50">
        <f>IF(OR($V369=0,$W369=0),0,IF(DX$367&gt;$V369,0,SUM($Y345:DX345)/$W369))</f>
        <v>0</v>
      </c>
      <c r="DY369" s="50">
        <f>IF(OR($V369=0,$W369=0),0,IF(DY$367&gt;$V369,0,SUM($Y345:DY345)/$W369))</f>
        <v>0</v>
      </c>
      <c r="DZ369" s="50">
        <f>IF(OR($V369=0,$W369=0),0,IF(DZ$367&gt;$V369,0,SUM($Y345:DZ345)/$W369))</f>
        <v>0</v>
      </c>
      <c r="EA369" s="50">
        <f>IF(OR($V369=0,$W369=0),0,IF(EA$367&gt;$V369,0,SUM($Y345:EA345)/$W369))</f>
        <v>0</v>
      </c>
      <c r="EB369" s="50">
        <f>IF(OR($V369=0,$W369=0),0,IF(EB$367&gt;$V369,0,SUM($Y345:EB345)/$W369))</f>
        <v>0</v>
      </c>
      <c r="EC369" s="50">
        <f>IF(OR($V369=0,$W369=0),0,IF(EC$367&gt;$V369,0,SUM($Y345:EC345)/$W369))</f>
        <v>0</v>
      </c>
      <c r="ED369" s="50">
        <f>IF(OR($V369=0,$W369=0),0,IF(ED$367&gt;$V369,0,SUM($Y345:ED345)/$W369))</f>
        <v>0</v>
      </c>
      <c r="EE369" s="50">
        <f>IF(OR($V369=0,$W369=0),0,IF(EE$367&gt;$V369,0,SUM($Y345:EE345)/$W369))</f>
        <v>0</v>
      </c>
      <c r="EF369" s="50">
        <f>IF(OR($V369=0,$W369=0),0,IF(EF$367&gt;$V369,0,SUM($Y345:EF345)/$W369))</f>
        <v>0</v>
      </c>
      <c r="EG369" s="50">
        <f>IF(OR($V369=0,$W369=0),0,IF(EG$367&gt;$V369,0,SUM($Y345:EG345)/$W369))</f>
        <v>0</v>
      </c>
      <c r="EH369" s="50">
        <f>IF(OR($V369=0,$W369=0),0,IF(EH$367&gt;$V369,0,SUM($Y345:EH345)/$W369))</f>
        <v>0</v>
      </c>
      <c r="EI369" s="50">
        <f>IF(OR($V369=0,$W369=0),0,IF(EI$367&gt;$V369,0,SUM($Y345:EI345)/$W369))</f>
        <v>0</v>
      </c>
      <c r="EJ369" s="50">
        <f>IF(OR($V369=0,$W369=0),0,IF(EJ$367&gt;$V369,0,SUM($Y345:EJ345)/$W369))</f>
        <v>0</v>
      </c>
      <c r="EK369" s="50">
        <f>IF(OR($V369=0,$W369=0),0,IF(EK$367&gt;$V369,0,SUM($Y345:EK345)/$W369))</f>
        <v>0</v>
      </c>
      <c r="EL369" s="50">
        <f>IF(OR($V369=0,$W369=0),0,IF(EL$367&gt;$V369,0,SUM($Y345:EL345)/$W369))</f>
        <v>0</v>
      </c>
      <c r="EM369" s="50">
        <f>IF(OR($V369=0,$W369=0),0,IF(EM$367&gt;$V369,0,SUM($Y345:EM345)/$W369))</f>
        <v>0</v>
      </c>
      <c r="EN369" s="50">
        <f>IF(OR($V369=0,$W369=0),0,IF(EN$367&gt;$V369,0,SUM($Y345:EN345)/$W369))</f>
        <v>0</v>
      </c>
      <c r="EO369" s="39">
        <v>51</v>
      </c>
      <c r="EP369" s="39">
        <v>51</v>
      </c>
      <c r="EQ369" s="39">
        <v>51</v>
      </c>
      <c r="ER369" s="39">
        <v>51</v>
      </c>
      <c r="ES369" s="39">
        <v>51</v>
      </c>
      <c r="ET369" s="39">
        <v>51</v>
      </c>
      <c r="EU369" s="39">
        <v>51</v>
      </c>
      <c r="EV369" s="39">
        <v>51</v>
      </c>
      <c r="EW369" s="39">
        <v>51</v>
      </c>
      <c r="EX369" s="39">
        <v>51</v>
      </c>
    </row>
    <row r="370" spans="11:154" ht="12" customHeight="1" x14ac:dyDescent="0.35">
      <c r="K370" s="1667"/>
      <c r="L370" s="1667"/>
      <c r="M370" s="1667"/>
      <c r="N370" s="1667"/>
      <c r="O370" s="1667"/>
      <c r="P370" s="1667"/>
      <c r="Q370" s="1667"/>
      <c r="R370" s="1667"/>
      <c r="S370" s="1667"/>
      <c r="T370" s="1667"/>
      <c r="U370" s="59"/>
      <c r="V370" s="1636">
        <f t="shared" si="192"/>
        <v>0</v>
      </c>
      <c r="W370" s="102">
        <f t="shared" si="193"/>
        <v>0</v>
      </c>
      <c r="X370" s="381">
        <f t="shared" si="194"/>
        <v>0</v>
      </c>
      <c r="Y370" s="1645">
        <f>IF(OR($V370=0,$W370=0),0,IF(Y$367&gt;$V370,0,SUM($Y346:Y346)/$W370))</f>
        <v>0</v>
      </c>
      <c r="Z370" s="1646">
        <f>IF(OR($V370=0,$W370=0),0,IF(Z$367&gt;$V370,0,SUM($Y346:Z346)/$W370))</f>
        <v>0</v>
      </c>
      <c r="AA370" s="1646">
        <f>IF(OR($V370=0,$W370=0),0,IF(AA$367&gt;$V370,0,SUM($Y346:AA346)/$W370))</f>
        <v>0</v>
      </c>
      <c r="AB370" s="1646">
        <f>IF(OR($V370=0,$W370=0),0,IF(AB$367&gt;$V370,0,SUM($Y346:AB346)/$W370))</f>
        <v>0</v>
      </c>
      <c r="AC370" s="1646">
        <f>IF(OR($V370=0,$W370=0),0,IF(AC$367&gt;$V370,0,SUM($Y346:AC346)/$W370))</f>
        <v>0</v>
      </c>
      <c r="AD370" s="1646">
        <f>IF(OR($V370=0,$W370=0),0,IF(AD$367&gt;$V370,0,SUM($Y346:AD346)/$W370))</f>
        <v>0</v>
      </c>
      <c r="AE370" s="1646">
        <f>IF(OR($V370=0,$W370=0),0,IF(AE$367&gt;$V370,0,SUM($Y346:AE346)/$W370))</f>
        <v>0</v>
      </c>
      <c r="AF370" s="1155">
        <f>IF(OR($V370=0,$W370=0),0,IF(AF$367&gt;$V370,0,SUM($Y346:AF346)/$W370))</f>
        <v>0</v>
      </c>
      <c r="AG370" s="1155">
        <f>IF(OR($V370=0,$W370=0),0,IF(AG$367&gt;$V370,0,SUM($Y346:AG346)/$W370))</f>
        <v>0</v>
      </c>
      <c r="AH370" s="1155">
        <f>IF(OR($V370=0,$W370=0),0,IF(AH$367&gt;$V370,0,SUM($Y346:AH346)/$W370))</f>
        <v>0</v>
      </c>
      <c r="AI370" s="1155">
        <f>IF(OR($V370=0,$W370=0),0,IF(AI$367&gt;$V370,0,SUM($Y346:AI346)/$W370))</f>
        <v>0</v>
      </c>
      <c r="AJ370" s="1155">
        <f>IF(OR($V370=0,$W370=0),0,IF(AJ$367&gt;$V370,0,SUM($Y346:AJ346)/$W370))</f>
        <v>0</v>
      </c>
      <c r="AK370" s="1155">
        <f>IF(OR($V370=0,$W370=0),0,IF(AK$367&gt;$V370,0,SUM($Y346:AK346)/$W370))</f>
        <v>0</v>
      </c>
      <c r="AL370" s="1155">
        <f>IF(OR($V370=0,$W370=0),0,IF(AL$367&gt;$V370,0,SUM($Y346:AL346)/$W370))</f>
        <v>0</v>
      </c>
      <c r="AM370" s="1155">
        <f>IF(OR($V370=0,$W370=0),0,IF(AM$367&gt;$V370,0,SUM($Y346:AM346)/$W370))</f>
        <v>0</v>
      </c>
      <c r="AN370" s="1155">
        <f>IF(OR($V370=0,$W370=0),0,IF(AN$367&gt;$V370,0,SUM($Y346:AN346)/$W370))</f>
        <v>0</v>
      </c>
      <c r="AO370" s="1155">
        <f>IF(OR($V370=0,$W370=0),0,IF(AO$367&gt;$V370,0,SUM($Y346:AO346)/$W370))</f>
        <v>0</v>
      </c>
      <c r="AP370" s="1155">
        <f>IF(OR($V370=0,$W370=0),0,IF(AP$367&gt;$V370,0,SUM($Y346:AP346)/$W370))</f>
        <v>0</v>
      </c>
      <c r="AQ370" s="1155">
        <f>IF(OR($V370=0,$W370=0),0,IF(AQ$367&gt;$V370,0,SUM($Y346:AQ346)/$W370))</f>
        <v>0</v>
      </c>
      <c r="AR370" s="1155">
        <f>IF(OR($V370=0,$W370=0),0,IF(AR$367&gt;$V370,0,SUM($Y346:AR346)/$W370))</f>
        <v>0</v>
      </c>
      <c r="AS370" s="1155">
        <f>IF(OR($V370=0,$W370=0),0,IF(AS$367&gt;$V370,0,SUM($Y346:AS346)/$W370))</f>
        <v>0</v>
      </c>
      <c r="AT370" s="1155">
        <f>IF(OR($V370=0,$W370=0),0,IF(AT$367&gt;$V370,0,SUM($Y346:AT346)/$W370))</f>
        <v>0</v>
      </c>
      <c r="AU370" s="1155">
        <f>IF(OR($V370=0,$W370=0),0,IF(AU$367&gt;$V370,0,SUM($Y346:AU346)/$W370))</f>
        <v>0</v>
      </c>
      <c r="AV370" s="1155">
        <f>IF(OR($V370=0,$W370=0),0,IF(AV$367&gt;$V370,0,SUM($Y346:AV346)/$W370))</f>
        <v>0</v>
      </c>
      <c r="AW370" s="1155">
        <f>IF(OR($V370=0,$W370=0),0,IF(AW$367&gt;$V370,0,SUM($Y346:AW346)/$W370))</f>
        <v>0</v>
      </c>
      <c r="AX370" s="1155">
        <f>IF(OR($V370=0,$W370=0),0,IF(AX$367&gt;$V370,0,SUM($Y346:AX346)/$W370))</f>
        <v>0</v>
      </c>
      <c r="AY370" s="1155">
        <f>IF(OR($V370=0,$W370=0),0,IF(AY$367&gt;$V370,0,SUM($Y346:AY346)/$W370))</f>
        <v>0</v>
      </c>
      <c r="AZ370" s="1155">
        <f>IF(OR($V370=0,$W370=0),0,IF(AZ$367&gt;$V370,0,SUM($Y346:AZ346)/$W370))</f>
        <v>0</v>
      </c>
      <c r="BA370" s="1155">
        <f>IF(OR($V370=0,$W370=0),0,IF(BA$367&gt;$V370,0,SUM($Y346:BA346)/$W370))</f>
        <v>0</v>
      </c>
      <c r="BB370" s="1155">
        <f>IF(OR($V370=0,$W370=0),0,IF(BB$367&gt;$V370,0,SUM($Y346:BB346)/$W370))</f>
        <v>0</v>
      </c>
      <c r="BC370" s="1155">
        <f>IF(OR($V370=0,$W370=0),0,IF(BC$367&gt;$V370,0,SUM($Y346:BC346)/$W370))</f>
        <v>0</v>
      </c>
      <c r="BD370" s="1155">
        <f>IF(OR($V370=0,$W370=0),0,IF(BD$367&gt;$V370,0,SUM($Y346:BD346)/$W370))</f>
        <v>0</v>
      </c>
      <c r="BE370" s="1155">
        <f>IF(OR($V370=0,$W370=0),0,IF(BE$367&gt;$V370,0,SUM($Y346:BE346)/$W370))</f>
        <v>0</v>
      </c>
      <c r="BF370" s="1155">
        <f>IF(OR($V370=0,$W370=0),0,IF(BF$367&gt;$V370,0,SUM($Y346:BF346)/$W370))</f>
        <v>0</v>
      </c>
      <c r="BG370" s="1155">
        <f>IF(OR($V370=0,$W370=0),0,IF(BG$367&gt;$V370,0,SUM($Y346:BG346)/$W370))</f>
        <v>0</v>
      </c>
      <c r="BH370" s="1155">
        <f>IF(OR($V370=0,$W370=0),0,IF(BH$367&gt;$V370,0,SUM($Y346:BH346)/$W370))</f>
        <v>0</v>
      </c>
      <c r="BI370" s="1155">
        <f>IF(OR($V370=0,$W370=0),0,IF(BI$367&gt;$V370,0,SUM($Y346:BI346)/$W370))</f>
        <v>0</v>
      </c>
      <c r="BJ370" s="1155">
        <f>IF(OR($V370=0,$W370=0),0,IF(BJ$367&gt;$V370,0,SUM($Y346:BJ346)/$W370))</f>
        <v>0</v>
      </c>
      <c r="BK370" s="1155">
        <f>IF(OR($V370=0,$W370=0),0,IF(BK$367&gt;$V370,0,SUM($Y346:BK346)/$W370))</f>
        <v>0</v>
      </c>
      <c r="BL370" s="1155">
        <f>IF(OR($V370=0,$W370=0),0,IF(BL$367&gt;$V370,0,SUM($Y346:BL346)/$W370))</f>
        <v>0</v>
      </c>
      <c r="BM370" s="1155">
        <f>IF(OR($V370=0,$W370=0),0,IF(BM$367&gt;$V370,0,SUM($Y346:BM346)/$W370))</f>
        <v>0</v>
      </c>
      <c r="BN370" s="1155">
        <f>IF(OR($V370=0,$W370=0),0,IF(BN$367&gt;$V370,0,SUM($Y346:BN346)/$W370))</f>
        <v>0</v>
      </c>
      <c r="BO370" s="1155">
        <f>IF(OR($V370=0,$W370=0),0,IF(BO$367&gt;$V370,0,SUM($Y346:BO346)/$W370))</f>
        <v>0</v>
      </c>
      <c r="BP370" s="1155">
        <f>IF(OR($V370=0,$W370=0),0,IF(BP$367&gt;$V370,0,SUM($Y346:BP346)/$W370))</f>
        <v>0</v>
      </c>
      <c r="BQ370" s="1155">
        <f>IF(OR($V370=0,$W370=0),0,IF(BQ$367&gt;$V370,0,SUM($Y346:BQ346)/$W370))</f>
        <v>0</v>
      </c>
      <c r="BR370" s="1155">
        <f>IF(OR($V370=0,$W370=0),0,IF(BR$367&gt;$V370,0,SUM($Y346:BR346)/$W370))</f>
        <v>0</v>
      </c>
      <c r="BS370" s="1155">
        <f>IF(OR($V370=0,$W370=0),0,IF(BS$367&gt;$V370,0,SUM($Y346:BS346)/$W370))</f>
        <v>0</v>
      </c>
      <c r="BT370" s="1155">
        <f>IF(OR($V370=0,$W370=0),0,IF(BT$367&gt;$V370,0,SUM($Y346:BT346)/$W370))</f>
        <v>0</v>
      </c>
      <c r="BU370" s="1155">
        <f>IF(OR($V370=0,$W370=0),0,IF(BU$367&gt;$V370,0,SUM($Y346:BU346)/$W370))</f>
        <v>0</v>
      </c>
      <c r="BV370" s="1155">
        <f>IF(OR($V370=0,$W370=0),0,IF(BV$367&gt;$V370,0,SUM($Y346:BV346)/$W370))</f>
        <v>0</v>
      </c>
      <c r="BW370" s="1155">
        <f>IF(OR($V370=0,$W370=0),0,IF(BW$367&gt;$V370,0,SUM($Y346:BW346)/$W370))</f>
        <v>0</v>
      </c>
      <c r="BX370" s="1162">
        <f>IF(OR($V370=0,$W370=0),0,IF(BX$367&gt;$V370,0,SUM($Y346:BX346)/$W370))</f>
        <v>0</v>
      </c>
      <c r="BY370" s="1162">
        <f>IF(OR($V370=0,$W370=0),0,IF(BY$367&gt;$V370,0,SUM($Y346:BY346)/$W370))</f>
        <v>0</v>
      </c>
      <c r="BZ370" s="1162">
        <f>IF(OR($V370=0,$W370=0),0,IF(BZ$367&gt;$V370,0,SUM($Y346:BZ346)/$W370))</f>
        <v>0</v>
      </c>
      <c r="CA370" s="1162">
        <f>IF(OR($V370=0,$W370=0),0,IF(CA$367&gt;$V370,0,SUM($Y346:CA346)/$W370))</f>
        <v>0</v>
      </c>
      <c r="CB370" s="1162">
        <f>IF(OR($V370=0,$W370=0),0,IF(CB$367&gt;$V370,0,SUM($Y346:CB346)/$W370))</f>
        <v>0</v>
      </c>
      <c r="CC370" s="1162">
        <f>IF(OR($V370=0,$W370=0),0,IF(CC$367&gt;$V370,0,SUM($Y346:CC346)/$W370))</f>
        <v>0</v>
      </c>
      <c r="CD370" s="1162">
        <f>IF(OR($V370=0,$W370=0),0,IF(CD$367&gt;$V370,0,SUM($Y346:CD346)/$W370))</f>
        <v>0</v>
      </c>
      <c r="CE370" s="1162">
        <f>IF(OR($V370=0,$W370=0),0,IF(CE$367&gt;$V370,0,SUM($Y346:CE346)/$W370))</f>
        <v>0</v>
      </c>
      <c r="CF370" s="1162">
        <f>IF(OR($V370=0,$W370=0),0,IF(CF$367&gt;$V370,0,SUM($Y346:CF346)/$W370))</f>
        <v>0</v>
      </c>
      <c r="CG370" s="1162">
        <f>IF(OR($V370=0,$W370=0),0,IF(CG$367&gt;$V370,0,SUM($Y346:CG346)/$W370))</f>
        <v>0</v>
      </c>
      <c r="CH370" s="1162">
        <f>IF(OR($V370=0,$W370=0),0,IF(CH$367&gt;$V370,0,SUM($Y346:CH346)/$W370))</f>
        <v>0</v>
      </c>
      <c r="CI370" s="1162">
        <f>IF(OR($V370=0,$W370=0),0,IF(CI$367&gt;$V370,0,SUM($Y346:CI346)/$W370))</f>
        <v>0</v>
      </c>
      <c r="CJ370" s="1162">
        <f>IF(OR($V370=0,$W370=0),0,IF(CJ$367&gt;$V370,0,SUM($Y346:CJ346)/$W370))</f>
        <v>0</v>
      </c>
      <c r="CK370" s="1162">
        <f>IF(OR($V370=0,$W370=0),0,IF(CK$367&gt;$V370,0,SUM($Y346:CK346)/$W370))</f>
        <v>0</v>
      </c>
      <c r="CL370" s="1162">
        <f>IF(OR($V370=0,$W370=0),0,IF(CL$367&gt;$V370,0,SUM($Y346:CL346)/$W370))</f>
        <v>0</v>
      </c>
      <c r="CM370" s="1162">
        <f>IF(OR($V370=0,$W370=0),0,IF(CM$367&gt;$V370,0,SUM($Y346:CM346)/$W370))</f>
        <v>0</v>
      </c>
      <c r="CN370" s="1162">
        <f>IF(OR($V370=0,$W370=0),0,IF(CN$367&gt;$V370,0,SUM($Y346:CN346)/$W370))</f>
        <v>0</v>
      </c>
      <c r="CO370" s="1162">
        <f>IF(OR($V370=0,$W370=0),0,IF(CO$367&gt;$V370,0,SUM($Y346:CO346)/$W370))</f>
        <v>0</v>
      </c>
      <c r="CP370" s="1162">
        <f>IF(OR($V370=0,$W370=0),0,IF(CP$367&gt;$V370,0,SUM($Y346:CP346)/$W370))</f>
        <v>0</v>
      </c>
      <c r="CQ370" s="48">
        <f>IF(OR($V370=0,$W370=0),0,IF(CQ$367&gt;$V370,0,SUM($Y346:CQ346)/$W370))</f>
        <v>0</v>
      </c>
      <c r="CR370" s="48">
        <f>IF(OR($V370=0,$W370=0),0,IF(CR$367&gt;$V370,0,SUM($Y346:CR346)/$W370))</f>
        <v>0</v>
      </c>
      <c r="CS370" s="48">
        <f>IF(OR($V370=0,$W370=0),0,IF(CS$367&gt;$V370,0,SUM($Y346:CS346)/$W370))</f>
        <v>0</v>
      </c>
      <c r="CT370" s="48">
        <f>IF(OR($V370=0,$W370=0),0,IF(CT$367&gt;$V370,0,SUM($Y346:CT346)/$W370))</f>
        <v>0</v>
      </c>
      <c r="CU370" s="48">
        <f>IF(OR($V370=0,$W370=0),0,IF(CU$367&gt;$V370,0,SUM($Y346:CU346)/$W370))</f>
        <v>0</v>
      </c>
      <c r="CV370" s="48">
        <f>IF(OR($V370=0,$W370=0),0,IF(CV$367&gt;$V370,0,SUM($Y346:CV346)/$W370))</f>
        <v>0</v>
      </c>
      <c r="CW370" s="48">
        <f>IF(OR($V370=0,$W370=0),0,IF(CW$367&gt;$V370,0,SUM($Y346:CW346)/$W370))</f>
        <v>0</v>
      </c>
      <c r="CX370" s="48">
        <f>IF(OR($V370=0,$W370=0),0,IF(CX$367&gt;$V370,0,SUM($Y346:CX346)/$W370))</f>
        <v>0</v>
      </c>
      <c r="CY370" s="48">
        <f>IF(OR($V370=0,$W370=0),0,IF(CY$367&gt;$V370,0,SUM($Y346:CY346)/$W370))</f>
        <v>0</v>
      </c>
      <c r="CZ370" s="48">
        <f>IF(OR($V370=0,$W370=0),0,IF(CZ$367&gt;$V370,0,SUM($Y346:CZ346)/$W370))</f>
        <v>0</v>
      </c>
      <c r="DA370" s="48">
        <f>IF(OR($V370=0,$W370=0),0,IF(DA$367&gt;$V370,0,SUM($Y346:DA346)/$W370))</f>
        <v>0</v>
      </c>
      <c r="DB370" s="48">
        <f>IF(OR($V370=0,$W370=0),0,IF(DB$367&gt;$V370,0,SUM($Y346:DB346)/$W370))</f>
        <v>0</v>
      </c>
      <c r="DC370" s="48">
        <f>IF(OR($V370=0,$W370=0),0,IF(DC$367&gt;$V370,0,SUM($Y346:DC346)/$W370))</f>
        <v>0</v>
      </c>
      <c r="DD370" s="48">
        <f>IF(OR($V370=0,$W370=0),0,IF(DD$367&gt;$V370,0,SUM($Y346:DD346)/$W370))</f>
        <v>0</v>
      </c>
      <c r="DE370" s="48">
        <f>IF(OR($V370=0,$W370=0),0,IF(DE$367&gt;$V370,0,SUM($Y346:DE346)/$W370))</f>
        <v>0</v>
      </c>
      <c r="DF370" s="48">
        <f>IF(OR($V370=0,$W370=0),0,IF(DF$367&gt;$V370,0,SUM($Y346:DF346)/$W370))</f>
        <v>0</v>
      </c>
      <c r="DG370" s="48">
        <f>IF(OR($V370=0,$W370=0),0,IF(DG$367&gt;$V370,0,SUM($Y346:DG346)/$W370))</f>
        <v>0</v>
      </c>
      <c r="DH370" s="48">
        <f>IF(OR($V370=0,$W370=0),0,IF(DH$367&gt;$V370,0,SUM($Y346:DH346)/$W370))</f>
        <v>0</v>
      </c>
      <c r="DI370" s="48">
        <f>IF(OR($V370=0,$W370=0),0,IF(DI$367&gt;$V370,0,SUM($Y346:DI346)/$W370))</f>
        <v>0</v>
      </c>
      <c r="DJ370" s="48">
        <f>IF(OR($V370=0,$W370=0),0,IF(DJ$367&gt;$V370,0,SUM($Y346:DJ346)/$W370))</f>
        <v>0</v>
      </c>
      <c r="DK370" s="48">
        <f>IF(OR($V370=0,$W370=0),0,IF(DK$367&gt;$V370,0,SUM($Y346:DK346)/$W370))</f>
        <v>0</v>
      </c>
      <c r="DL370" s="48">
        <f>IF(OR($V370=0,$W370=0),0,IF(DL$367&gt;$V370,0,SUM($Y346:DL346)/$W370))</f>
        <v>0</v>
      </c>
      <c r="DM370" s="48">
        <f>IF(OR($V370=0,$W370=0),0,IF(DM$367&gt;$V370,0,SUM($Y346:DM346)/$W370))</f>
        <v>0</v>
      </c>
      <c r="DN370" s="48">
        <f>IF(OR($V370=0,$W370=0),0,IF(DN$367&gt;$V370,0,SUM($Y346:DN346)/$W370))</f>
        <v>0</v>
      </c>
      <c r="DO370" s="48">
        <f>IF(OR($V370=0,$W370=0),0,IF(DO$367&gt;$V370,0,SUM($Y346:DO346)/$W370))</f>
        <v>0</v>
      </c>
      <c r="DP370" s="48">
        <f>IF(OR($V370=0,$W370=0),0,IF(DP$367&gt;$V370,0,SUM($Y346:DP346)/$W370))</f>
        <v>0</v>
      </c>
      <c r="DQ370" s="48">
        <f>IF(OR($V370=0,$W370=0),0,IF(DQ$367&gt;$V370,0,SUM($Y346:DQ346)/$W370))</f>
        <v>0</v>
      </c>
      <c r="DR370" s="50">
        <f>IF(OR($V370=0,$W370=0),0,IF(DR$367&gt;$V370,0,SUM($Y346:DR346)/$W370))</f>
        <v>0</v>
      </c>
      <c r="DS370" s="50">
        <f>IF(OR($V370=0,$W370=0),0,IF(DS$367&gt;$V370,0,SUM($Y346:DS346)/$W370))</f>
        <v>0</v>
      </c>
      <c r="DT370" s="50">
        <f>IF(OR($V370=0,$W370=0),0,IF(DT$367&gt;$V370,0,SUM($Y346:DT346)/$W370))</f>
        <v>0</v>
      </c>
      <c r="DU370" s="50">
        <f>IF(OR($V370=0,$W370=0),0,IF(DU$367&gt;$V370,0,SUM($Y346:DU346)/$W370))</f>
        <v>0</v>
      </c>
      <c r="DV370" s="50">
        <f>IF(OR($V370=0,$W370=0),0,IF(DV$367&gt;$V370,0,SUM($Y346:DV346)/$W370))</f>
        <v>0</v>
      </c>
      <c r="DW370" s="50">
        <f>IF(OR($V370=0,$W370=0),0,IF(DW$367&gt;$V370,0,SUM($Y346:DW346)/$W370))</f>
        <v>0</v>
      </c>
      <c r="DX370" s="50">
        <f>IF(OR($V370=0,$W370=0),0,IF(DX$367&gt;$V370,0,SUM($Y346:DX346)/$W370))</f>
        <v>0</v>
      </c>
      <c r="DY370" s="50">
        <f>IF(OR($V370=0,$W370=0),0,IF(DY$367&gt;$V370,0,SUM($Y346:DY346)/$W370))</f>
        <v>0</v>
      </c>
      <c r="DZ370" s="50">
        <f>IF(OR($V370=0,$W370=0),0,IF(DZ$367&gt;$V370,0,SUM($Y346:DZ346)/$W370))</f>
        <v>0</v>
      </c>
      <c r="EA370" s="50">
        <f>IF(OR($V370=0,$W370=0),0,IF(EA$367&gt;$V370,0,SUM($Y346:EA346)/$W370))</f>
        <v>0</v>
      </c>
      <c r="EB370" s="50">
        <f>IF(OR($V370=0,$W370=0),0,IF(EB$367&gt;$V370,0,SUM($Y346:EB346)/$W370))</f>
        <v>0</v>
      </c>
      <c r="EC370" s="50">
        <f>IF(OR($V370=0,$W370=0),0,IF(EC$367&gt;$V370,0,SUM($Y346:EC346)/$W370))</f>
        <v>0</v>
      </c>
      <c r="ED370" s="50">
        <f>IF(OR($V370=0,$W370=0),0,IF(ED$367&gt;$V370,0,SUM($Y346:ED346)/$W370))</f>
        <v>0</v>
      </c>
      <c r="EE370" s="50">
        <f>IF(OR($V370=0,$W370=0),0,IF(EE$367&gt;$V370,0,SUM($Y346:EE346)/$W370))</f>
        <v>0</v>
      </c>
      <c r="EF370" s="50">
        <f>IF(OR($V370=0,$W370=0),0,IF(EF$367&gt;$V370,0,SUM($Y346:EF346)/$W370))</f>
        <v>0</v>
      </c>
      <c r="EG370" s="50">
        <f>IF(OR($V370=0,$W370=0),0,IF(EG$367&gt;$V370,0,SUM($Y346:EG346)/$W370))</f>
        <v>0</v>
      </c>
      <c r="EH370" s="50">
        <f>IF(OR($V370=0,$W370=0),0,IF(EH$367&gt;$V370,0,SUM($Y346:EH346)/$W370))</f>
        <v>0</v>
      </c>
      <c r="EI370" s="50">
        <f>IF(OR($V370=0,$W370=0),0,IF(EI$367&gt;$V370,0,SUM($Y346:EI346)/$W370))</f>
        <v>0</v>
      </c>
      <c r="EJ370" s="50">
        <f>IF(OR($V370=0,$W370=0),0,IF(EJ$367&gt;$V370,0,SUM($Y346:EJ346)/$W370))</f>
        <v>0</v>
      </c>
      <c r="EK370" s="50">
        <f>IF(OR($V370=0,$W370=0),0,IF(EK$367&gt;$V370,0,SUM($Y346:EK346)/$W370))</f>
        <v>0</v>
      </c>
      <c r="EL370" s="50">
        <f>IF(OR($V370=0,$W370=0),0,IF(EL$367&gt;$V370,0,SUM($Y346:EL346)/$W370))</f>
        <v>0</v>
      </c>
      <c r="EM370" s="50">
        <f>IF(OR($V370=0,$W370=0),0,IF(EM$367&gt;$V370,0,SUM($Y346:EM346)/$W370))</f>
        <v>0</v>
      </c>
      <c r="EN370" s="50">
        <f>IF(OR($V370=0,$W370=0),0,IF(EN$367&gt;$V370,0,SUM($Y346:EN346)/$W370))</f>
        <v>0</v>
      </c>
      <c r="EO370" s="39">
        <v>51</v>
      </c>
      <c r="EP370" s="39">
        <v>51</v>
      </c>
      <c r="EQ370" s="39">
        <v>51</v>
      </c>
      <c r="ER370" s="39">
        <v>51</v>
      </c>
      <c r="ES370" s="39">
        <v>51</v>
      </c>
      <c r="ET370" s="39">
        <v>51</v>
      </c>
      <c r="EU370" s="39">
        <v>51</v>
      </c>
      <c r="EV370" s="39">
        <v>51</v>
      </c>
      <c r="EW370" s="39">
        <v>51</v>
      </c>
      <c r="EX370" s="39">
        <v>51</v>
      </c>
    </row>
    <row r="371" spans="11:154" ht="12" customHeight="1" x14ac:dyDescent="0.35">
      <c r="K371" s="1667"/>
      <c r="L371" s="1667"/>
      <c r="M371" s="1667"/>
      <c r="N371" s="1667"/>
      <c r="O371" s="1667"/>
      <c r="P371" s="1667"/>
      <c r="Q371" s="1667"/>
      <c r="R371" s="1667"/>
      <c r="S371" s="1667"/>
      <c r="T371" s="1667"/>
      <c r="U371" s="59"/>
      <c r="V371" s="1636">
        <f t="shared" si="192"/>
        <v>0</v>
      </c>
      <c r="W371" s="102">
        <f t="shared" si="193"/>
        <v>0</v>
      </c>
      <c r="X371" s="381">
        <f t="shared" si="194"/>
        <v>0</v>
      </c>
      <c r="Y371" s="1645">
        <f>IF(OR($V371=0,$W371=0),0,IF(Y$367&gt;$V371,0,SUM($Y347:Y347)/$W371))</f>
        <v>0</v>
      </c>
      <c r="Z371" s="1646">
        <f>IF(OR($V371=0,$W371=0),0,IF(Z$367&gt;$V371,0,SUM($Y347:Z347)/$W371))</f>
        <v>0</v>
      </c>
      <c r="AA371" s="1646">
        <f>IF(OR($V371=0,$W371=0),0,IF(AA$367&gt;$V371,0,SUM($Y347:AA347)/$W371))</f>
        <v>0</v>
      </c>
      <c r="AB371" s="1646">
        <f>IF(OR($V371=0,$W371=0),0,IF(AB$367&gt;$V371,0,SUM($Y347:AB347)/$W371))</f>
        <v>0</v>
      </c>
      <c r="AC371" s="1646">
        <f>IF(OR($V371=0,$W371=0),0,IF(AC$367&gt;$V371,0,SUM($Y347:AC347)/$W371))</f>
        <v>0</v>
      </c>
      <c r="AD371" s="1646">
        <f>IF(OR($V371=0,$W371=0),0,IF(AD$367&gt;$V371,0,SUM($Y347:AD347)/$W371))</f>
        <v>0</v>
      </c>
      <c r="AE371" s="1646">
        <f>IF(OR($V371=0,$W371=0),0,IF(AE$367&gt;$V371,0,SUM($Y347:AE347)/$W371))</f>
        <v>0</v>
      </c>
      <c r="AF371" s="1155">
        <f>IF(OR($V371=0,$W371=0),0,IF(AF$367&gt;$V371,0,SUM($Y347:AF347)/$W371))</f>
        <v>0</v>
      </c>
      <c r="AG371" s="1155">
        <f>IF(OR($V371=0,$W371=0),0,IF(AG$367&gt;$V371,0,SUM($Y347:AG347)/$W371))</f>
        <v>0</v>
      </c>
      <c r="AH371" s="1155">
        <f>IF(OR($V371=0,$W371=0),0,IF(AH$367&gt;$V371,0,SUM($Y347:AH347)/$W371))</f>
        <v>0</v>
      </c>
      <c r="AI371" s="1155">
        <f>IF(OR($V371=0,$W371=0),0,IF(AI$367&gt;$V371,0,SUM($Y347:AI347)/$W371))</f>
        <v>0</v>
      </c>
      <c r="AJ371" s="1155">
        <f>IF(OR($V371=0,$W371=0),0,IF(AJ$367&gt;$V371,0,SUM($Y347:AJ347)/$W371))</f>
        <v>0</v>
      </c>
      <c r="AK371" s="1155">
        <f>IF(OR($V371=0,$W371=0),0,IF(AK$367&gt;$V371,0,SUM($Y347:AK347)/$W371))</f>
        <v>0</v>
      </c>
      <c r="AL371" s="1155">
        <f>IF(OR($V371=0,$W371=0),0,IF(AL$367&gt;$V371,0,SUM($Y347:AL347)/$W371))</f>
        <v>0</v>
      </c>
      <c r="AM371" s="1155">
        <f>IF(OR($V371=0,$W371=0),0,IF(AM$367&gt;$V371,0,SUM($Y347:AM347)/$W371))</f>
        <v>0</v>
      </c>
      <c r="AN371" s="1155">
        <f>IF(OR($V371=0,$W371=0),0,IF(AN$367&gt;$V371,0,SUM($Y347:AN347)/$W371))</f>
        <v>0</v>
      </c>
      <c r="AO371" s="1155">
        <f>IF(OR($V371=0,$W371=0),0,IF(AO$367&gt;$V371,0,SUM($Y347:AO347)/$W371))</f>
        <v>0</v>
      </c>
      <c r="AP371" s="1155">
        <f>IF(OR($V371=0,$W371=0),0,IF(AP$367&gt;$V371,0,SUM($Y347:AP347)/$W371))</f>
        <v>0</v>
      </c>
      <c r="AQ371" s="1155">
        <f>IF(OR($V371=0,$W371=0),0,IF(AQ$367&gt;$V371,0,SUM($Y347:AQ347)/$W371))</f>
        <v>0</v>
      </c>
      <c r="AR371" s="1155">
        <f>IF(OR($V371=0,$W371=0),0,IF(AR$367&gt;$V371,0,SUM($Y347:AR347)/$W371))</f>
        <v>0</v>
      </c>
      <c r="AS371" s="1155">
        <f>IF(OR($V371=0,$W371=0),0,IF(AS$367&gt;$V371,0,SUM($Y347:AS347)/$W371))</f>
        <v>0</v>
      </c>
      <c r="AT371" s="1155">
        <f>IF(OR($V371=0,$W371=0),0,IF(AT$367&gt;$V371,0,SUM($Y347:AT347)/$W371))</f>
        <v>0</v>
      </c>
      <c r="AU371" s="1155">
        <f>IF(OR($V371=0,$W371=0),0,IF(AU$367&gt;$V371,0,SUM($Y347:AU347)/$W371))</f>
        <v>0</v>
      </c>
      <c r="AV371" s="1155">
        <f>IF(OR($V371=0,$W371=0),0,IF(AV$367&gt;$V371,0,SUM($Y347:AV347)/$W371))</f>
        <v>0</v>
      </c>
      <c r="AW371" s="1155">
        <f>IF(OR($V371=0,$W371=0),0,IF(AW$367&gt;$V371,0,SUM($Y347:AW347)/$W371))</f>
        <v>0</v>
      </c>
      <c r="AX371" s="1155">
        <f>IF(OR($V371=0,$W371=0),0,IF(AX$367&gt;$V371,0,SUM($Y347:AX347)/$W371))</f>
        <v>0</v>
      </c>
      <c r="AY371" s="1155">
        <f>IF(OR($V371=0,$W371=0),0,IF(AY$367&gt;$V371,0,SUM($Y347:AY347)/$W371))</f>
        <v>0</v>
      </c>
      <c r="AZ371" s="1155">
        <f>IF(OR($V371=0,$W371=0),0,IF(AZ$367&gt;$V371,0,SUM($Y347:AZ347)/$W371))</f>
        <v>0</v>
      </c>
      <c r="BA371" s="1155">
        <f>IF(OR($V371=0,$W371=0),0,IF(BA$367&gt;$V371,0,SUM($Y347:BA347)/$W371))</f>
        <v>0</v>
      </c>
      <c r="BB371" s="1155">
        <f>IF(OR($V371=0,$W371=0),0,IF(BB$367&gt;$V371,0,SUM($Y347:BB347)/$W371))</f>
        <v>0</v>
      </c>
      <c r="BC371" s="1155">
        <f>IF(OR($V371=0,$W371=0),0,IF(BC$367&gt;$V371,0,SUM($Y347:BC347)/$W371))</f>
        <v>0</v>
      </c>
      <c r="BD371" s="1155">
        <f>IF(OR($V371=0,$W371=0),0,IF(BD$367&gt;$V371,0,SUM($Y347:BD347)/$W371))</f>
        <v>0</v>
      </c>
      <c r="BE371" s="1155">
        <f>IF(OR($V371=0,$W371=0),0,IF(BE$367&gt;$V371,0,SUM($Y347:BE347)/$W371))</f>
        <v>0</v>
      </c>
      <c r="BF371" s="1155">
        <f>IF(OR($V371=0,$W371=0),0,IF(BF$367&gt;$V371,0,SUM($Y347:BF347)/$W371))</f>
        <v>0</v>
      </c>
      <c r="BG371" s="1155">
        <f>IF(OR($V371=0,$W371=0),0,IF(BG$367&gt;$V371,0,SUM($Y347:BG347)/$W371))</f>
        <v>0</v>
      </c>
      <c r="BH371" s="1155">
        <f>IF(OR($V371=0,$W371=0),0,IF(BH$367&gt;$V371,0,SUM($Y347:BH347)/$W371))</f>
        <v>0</v>
      </c>
      <c r="BI371" s="1155">
        <f>IF(OR($V371=0,$W371=0),0,IF(BI$367&gt;$V371,0,SUM($Y347:BI347)/$W371))</f>
        <v>0</v>
      </c>
      <c r="BJ371" s="1155">
        <f>IF(OR($V371=0,$W371=0),0,IF(BJ$367&gt;$V371,0,SUM($Y347:BJ347)/$W371))</f>
        <v>0</v>
      </c>
      <c r="BK371" s="1155">
        <f>IF(OR($V371=0,$W371=0),0,IF(BK$367&gt;$V371,0,SUM($Y347:BK347)/$W371))</f>
        <v>0</v>
      </c>
      <c r="BL371" s="1155">
        <f>IF(OR($V371=0,$W371=0),0,IF(BL$367&gt;$V371,0,SUM($Y347:BL347)/$W371))</f>
        <v>0</v>
      </c>
      <c r="BM371" s="1155">
        <f>IF(OR($V371=0,$W371=0),0,IF(BM$367&gt;$V371,0,SUM($Y347:BM347)/$W371))</f>
        <v>0</v>
      </c>
      <c r="BN371" s="1155">
        <f>IF(OR($V371=0,$W371=0),0,IF(BN$367&gt;$V371,0,SUM($Y347:BN347)/$W371))</f>
        <v>0</v>
      </c>
      <c r="BO371" s="1155">
        <f>IF(OR($V371=0,$W371=0),0,IF(BO$367&gt;$V371,0,SUM($Y347:BO347)/$W371))</f>
        <v>0</v>
      </c>
      <c r="BP371" s="1155">
        <f>IF(OR($V371=0,$W371=0),0,IF(BP$367&gt;$V371,0,SUM($Y347:BP347)/$W371))</f>
        <v>0</v>
      </c>
      <c r="BQ371" s="1155">
        <f>IF(OR($V371=0,$W371=0),0,IF(BQ$367&gt;$V371,0,SUM($Y347:BQ347)/$W371))</f>
        <v>0</v>
      </c>
      <c r="BR371" s="1155">
        <f>IF(OR($V371=0,$W371=0),0,IF(BR$367&gt;$V371,0,SUM($Y347:BR347)/$W371))</f>
        <v>0</v>
      </c>
      <c r="BS371" s="1155">
        <f>IF(OR($V371=0,$W371=0),0,IF(BS$367&gt;$V371,0,SUM($Y347:BS347)/$W371))</f>
        <v>0</v>
      </c>
      <c r="BT371" s="1155">
        <f>IF(OR($V371=0,$W371=0),0,IF(BT$367&gt;$V371,0,SUM($Y347:BT347)/$W371))</f>
        <v>0</v>
      </c>
      <c r="BU371" s="1155">
        <f>IF(OR($V371=0,$W371=0),0,IF(BU$367&gt;$V371,0,SUM($Y347:BU347)/$W371))</f>
        <v>0</v>
      </c>
      <c r="BV371" s="1155">
        <f>IF(OR($V371=0,$W371=0),0,IF(BV$367&gt;$V371,0,SUM($Y347:BV347)/$W371))</f>
        <v>0</v>
      </c>
      <c r="BW371" s="1155">
        <f>IF(OR($V371=0,$W371=0),0,IF(BW$367&gt;$V371,0,SUM($Y347:BW347)/$W371))</f>
        <v>0</v>
      </c>
      <c r="BX371" s="1162">
        <f>IF(OR($V371=0,$W371=0),0,IF(BX$367&gt;$V371,0,SUM($Y347:BX347)/$W371))</f>
        <v>0</v>
      </c>
      <c r="BY371" s="1162">
        <f>IF(OR($V371=0,$W371=0),0,IF(BY$367&gt;$V371,0,SUM($Y347:BY347)/$W371))</f>
        <v>0</v>
      </c>
      <c r="BZ371" s="1162">
        <f>IF(OR($V371=0,$W371=0),0,IF(BZ$367&gt;$V371,0,SUM($Y347:BZ347)/$W371))</f>
        <v>0</v>
      </c>
      <c r="CA371" s="1162">
        <f>IF(OR($V371=0,$W371=0),0,IF(CA$367&gt;$V371,0,SUM($Y347:CA347)/$W371))</f>
        <v>0</v>
      </c>
      <c r="CB371" s="1162">
        <f>IF(OR($V371=0,$W371=0),0,IF(CB$367&gt;$V371,0,SUM($Y347:CB347)/$W371))</f>
        <v>0</v>
      </c>
      <c r="CC371" s="1162">
        <f>IF(OR($V371=0,$W371=0),0,IF(CC$367&gt;$V371,0,SUM($Y347:CC347)/$W371))</f>
        <v>0</v>
      </c>
      <c r="CD371" s="1162">
        <f>IF(OR($V371=0,$W371=0),0,IF(CD$367&gt;$V371,0,SUM($Y347:CD347)/$W371))</f>
        <v>0</v>
      </c>
      <c r="CE371" s="1162">
        <f>IF(OR($V371=0,$W371=0),0,IF(CE$367&gt;$V371,0,SUM($Y347:CE347)/$W371))</f>
        <v>0</v>
      </c>
      <c r="CF371" s="1162">
        <f>IF(OR($V371=0,$W371=0),0,IF(CF$367&gt;$V371,0,SUM($Y347:CF347)/$W371))</f>
        <v>0</v>
      </c>
      <c r="CG371" s="1162">
        <f>IF(OR($V371=0,$W371=0),0,IF(CG$367&gt;$V371,0,SUM($Y347:CG347)/$W371))</f>
        <v>0</v>
      </c>
      <c r="CH371" s="1162">
        <f>IF(OR($V371=0,$W371=0),0,IF(CH$367&gt;$V371,0,SUM($Y347:CH347)/$W371))</f>
        <v>0</v>
      </c>
      <c r="CI371" s="1162">
        <f>IF(OR($V371=0,$W371=0),0,IF(CI$367&gt;$V371,0,SUM($Y347:CI347)/$W371))</f>
        <v>0</v>
      </c>
      <c r="CJ371" s="1162">
        <f>IF(OR($V371=0,$W371=0),0,IF(CJ$367&gt;$V371,0,SUM($Y347:CJ347)/$W371))</f>
        <v>0</v>
      </c>
      <c r="CK371" s="1162">
        <f>IF(OR($V371=0,$W371=0),0,IF(CK$367&gt;$V371,0,SUM($Y347:CK347)/$W371))</f>
        <v>0</v>
      </c>
      <c r="CL371" s="1162">
        <f>IF(OR($V371=0,$W371=0),0,IF(CL$367&gt;$V371,0,SUM($Y347:CL347)/$W371))</f>
        <v>0</v>
      </c>
      <c r="CM371" s="1162">
        <f>IF(OR($V371=0,$W371=0),0,IF(CM$367&gt;$V371,0,SUM($Y347:CM347)/$W371))</f>
        <v>0</v>
      </c>
      <c r="CN371" s="1162">
        <f>IF(OR($V371=0,$W371=0),0,IF(CN$367&gt;$V371,0,SUM($Y347:CN347)/$W371))</f>
        <v>0</v>
      </c>
      <c r="CO371" s="1162">
        <f>IF(OR($V371=0,$W371=0),0,IF(CO$367&gt;$V371,0,SUM($Y347:CO347)/$W371))</f>
        <v>0</v>
      </c>
      <c r="CP371" s="1162">
        <f>IF(OR($V371=0,$W371=0),0,IF(CP$367&gt;$V371,0,SUM($Y347:CP347)/$W371))</f>
        <v>0</v>
      </c>
      <c r="CQ371" s="48">
        <f>IF(OR($V371=0,$W371=0),0,IF(CQ$367&gt;$V371,0,SUM($Y347:CQ347)/$W371))</f>
        <v>0</v>
      </c>
      <c r="CR371" s="48">
        <f>IF(OR($V371=0,$W371=0),0,IF(CR$367&gt;$V371,0,SUM($Y347:CR347)/$W371))</f>
        <v>0</v>
      </c>
      <c r="CS371" s="48">
        <f>IF(OR($V371=0,$W371=0),0,IF(CS$367&gt;$V371,0,SUM($Y347:CS347)/$W371))</f>
        <v>0</v>
      </c>
      <c r="CT371" s="48">
        <f>IF(OR($V371=0,$W371=0),0,IF(CT$367&gt;$V371,0,SUM($Y347:CT347)/$W371))</f>
        <v>0</v>
      </c>
      <c r="CU371" s="48">
        <f>IF(OR($V371=0,$W371=0),0,IF(CU$367&gt;$V371,0,SUM($Y347:CU347)/$W371))</f>
        <v>0</v>
      </c>
      <c r="CV371" s="48">
        <f>IF(OR($V371=0,$W371=0),0,IF(CV$367&gt;$V371,0,SUM($Y347:CV347)/$W371))</f>
        <v>0</v>
      </c>
      <c r="CW371" s="48">
        <f>IF(OR($V371=0,$W371=0),0,IF(CW$367&gt;$V371,0,SUM($Y347:CW347)/$W371))</f>
        <v>0</v>
      </c>
      <c r="CX371" s="48">
        <f>IF(OR($V371=0,$W371=0),0,IF(CX$367&gt;$V371,0,SUM($Y347:CX347)/$W371))</f>
        <v>0</v>
      </c>
      <c r="CY371" s="48">
        <f>IF(OR($V371=0,$W371=0),0,IF(CY$367&gt;$V371,0,SUM($Y347:CY347)/$W371))</f>
        <v>0</v>
      </c>
      <c r="CZ371" s="48">
        <f>IF(OR($V371=0,$W371=0),0,IF(CZ$367&gt;$V371,0,SUM($Y347:CZ347)/$W371))</f>
        <v>0</v>
      </c>
      <c r="DA371" s="48">
        <f>IF(OR($V371=0,$W371=0),0,IF(DA$367&gt;$V371,0,SUM($Y347:DA347)/$W371))</f>
        <v>0</v>
      </c>
      <c r="DB371" s="48">
        <f>IF(OR($V371=0,$W371=0),0,IF(DB$367&gt;$V371,0,SUM($Y347:DB347)/$W371))</f>
        <v>0</v>
      </c>
      <c r="DC371" s="48">
        <f>IF(OR($V371=0,$W371=0),0,IF(DC$367&gt;$V371,0,SUM($Y347:DC347)/$W371))</f>
        <v>0</v>
      </c>
      <c r="DD371" s="48">
        <f>IF(OR($V371=0,$W371=0),0,IF(DD$367&gt;$V371,0,SUM($Y347:DD347)/$W371))</f>
        <v>0</v>
      </c>
      <c r="DE371" s="48">
        <f>IF(OR($V371=0,$W371=0),0,IF(DE$367&gt;$V371,0,SUM($Y347:DE347)/$W371))</f>
        <v>0</v>
      </c>
      <c r="DF371" s="48">
        <f>IF(OR($V371=0,$W371=0),0,IF(DF$367&gt;$V371,0,SUM($Y347:DF347)/$W371))</f>
        <v>0</v>
      </c>
      <c r="DG371" s="48">
        <f>IF(OR($V371=0,$W371=0),0,IF(DG$367&gt;$V371,0,SUM($Y347:DG347)/$W371))</f>
        <v>0</v>
      </c>
      <c r="DH371" s="48">
        <f>IF(OR($V371=0,$W371=0),0,IF(DH$367&gt;$V371,0,SUM($Y347:DH347)/$W371))</f>
        <v>0</v>
      </c>
      <c r="DI371" s="48">
        <f>IF(OR($V371=0,$W371=0),0,IF(DI$367&gt;$V371,0,SUM($Y347:DI347)/$W371))</f>
        <v>0</v>
      </c>
      <c r="DJ371" s="48">
        <f>IF(OR($V371=0,$W371=0),0,IF(DJ$367&gt;$V371,0,SUM($Y347:DJ347)/$W371))</f>
        <v>0</v>
      </c>
      <c r="DK371" s="48">
        <f>IF(OR($V371=0,$W371=0),0,IF(DK$367&gt;$V371,0,SUM($Y347:DK347)/$W371))</f>
        <v>0</v>
      </c>
      <c r="DL371" s="48">
        <f>IF(OR($V371=0,$W371=0),0,IF(DL$367&gt;$V371,0,SUM($Y347:DL347)/$W371))</f>
        <v>0</v>
      </c>
      <c r="DM371" s="48">
        <f>IF(OR($V371=0,$W371=0),0,IF(DM$367&gt;$V371,0,SUM($Y347:DM347)/$W371))</f>
        <v>0</v>
      </c>
      <c r="DN371" s="48">
        <f>IF(OR($V371=0,$W371=0),0,IF(DN$367&gt;$V371,0,SUM($Y347:DN347)/$W371))</f>
        <v>0</v>
      </c>
      <c r="DO371" s="48">
        <f>IF(OR($V371=0,$W371=0),0,IF(DO$367&gt;$V371,0,SUM($Y347:DO347)/$W371))</f>
        <v>0</v>
      </c>
      <c r="DP371" s="48">
        <f>IF(OR($V371=0,$W371=0),0,IF(DP$367&gt;$V371,0,SUM($Y347:DP347)/$W371))</f>
        <v>0</v>
      </c>
      <c r="DQ371" s="48">
        <f>IF(OR($V371=0,$W371=0),0,IF(DQ$367&gt;$V371,0,SUM($Y347:DQ347)/$W371))</f>
        <v>0</v>
      </c>
      <c r="DR371" s="50">
        <f>IF(OR($V371=0,$W371=0),0,IF(DR$367&gt;$V371,0,SUM($Y347:DR347)/$W371))</f>
        <v>0</v>
      </c>
      <c r="DS371" s="50">
        <f>IF(OR($V371=0,$W371=0),0,IF(DS$367&gt;$V371,0,SUM($Y347:DS347)/$W371))</f>
        <v>0</v>
      </c>
      <c r="DT371" s="50">
        <f>IF(OR($V371=0,$W371=0),0,IF(DT$367&gt;$V371,0,SUM($Y347:DT347)/$W371))</f>
        <v>0</v>
      </c>
      <c r="DU371" s="50">
        <f>IF(OR($V371=0,$W371=0),0,IF(DU$367&gt;$V371,0,SUM($Y347:DU347)/$W371))</f>
        <v>0</v>
      </c>
      <c r="DV371" s="50">
        <f>IF(OR($V371=0,$W371=0),0,IF(DV$367&gt;$V371,0,SUM($Y347:DV347)/$W371))</f>
        <v>0</v>
      </c>
      <c r="DW371" s="50">
        <f>IF(OR($V371=0,$W371=0),0,IF(DW$367&gt;$V371,0,SUM($Y347:DW347)/$W371))</f>
        <v>0</v>
      </c>
      <c r="DX371" s="50">
        <f>IF(OR($V371=0,$W371=0),0,IF(DX$367&gt;$V371,0,SUM($Y347:DX347)/$W371))</f>
        <v>0</v>
      </c>
      <c r="DY371" s="50">
        <f>IF(OR($V371=0,$W371=0),0,IF(DY$367&gt;$V371,0,SUM($Y347:DY347)/$W371))</f>
        <v>0</v>
      </c>
      <c r="DZ371" s="50">
        <f>IF(OR($V371=0,$W371=0),0,IF(DZ$367&gt;$V371,0,SUM($Y347:DZ347)/$W371))</f>
        <v>0</v>
      </c>
      <c r="EA371" s="50">
        <f>IF(OR($V371=0,$W371=0),0,IF(EA$367&gt;$V371,0,SUM($Y347:EA347)/$W371))</f>
        <v>0</v>
      </c>
      <c r="EB371" s="50">
        <f>IF(OR($V371=0,$W371=0),0,IF(EB$367&gt;$V371,0,SUM($Y347:EB347)/$W371))</f>
        <v>0</v>
      </c>
      <c r="EC371" s="50">
        <f>IF(OR($V371=0,$W371=0),0,IF(EC$367&gt;$V371,0,SUM($Y347:EC347)/$W371))</f>
        <v>0</v>
      </c>
      <c r="ED371" s="50">
        <f>IF(OR($V371=0,$W371=0),0,IF(ED$367&gt;$V371,0,SUM($Y347:ED347)/$W371))</f>
        <v>0</v>
      </c>
      <c r="EE371" s="50">
        <f>IF(OR($V371=0,$W371=0),0,IF(EE$367&gt;$V371,0,SUM($Y347:EE347)/$W371))</f>
        <v>0</v>
      </c>
      <c r="EF371" s="50">
        <f>IF(OR($V371=0,$W371=0),0,IF(EF$367&gt;$V371,0,SUM($Y347:EF347)/$W371))</f>
        <v>0</v>
      </c>
      <c r="EG371" s="50">
        <f>IF(OR($V371=0,$W371=0),0,IF(EG$367&gt;$V371,0,SUM($Y347:EG347)/$W371))</f>
        <v>0</v>
      </c>
      <c r="EH371" s="50">
        <f>IF(OR($V371=0,$W371=0),0,IF(EH$367&gt;$V371,0,SUM($Y347:EH347)/$W371))</f>
        <v>0</v>
      </c>
      <c r="EI371" s="50">
        <f>IF(OR($V371=0,$W371=0),0,IF(EI$367&gt;$V371,0,SUM($Y347:EI347)/$W371))</f>
        <v>0</v>
      </c>
      <c r="EJ371" s="50">
        <f>IF(OR($V371=0,$W371=0),0,IF(EJ$367&gt;$V371,0,SUM($Y347:EJ347)/$W371))</f>
        <v>0</v>
      </c>
      <c r="EK371" s="50">
        <f>IF(OR($V371=0,$W371=0),0,IF(EK$367&gt;$V371,0,SUM($Y347:EK347)/$W371))</f>
        <v>0</v>
      </c>
      <c r="EL371" s="50">
        <f>IF(OR($V371=0,$W371=0),0,IF(EL$367&gt;$V371,0,SUM($Y347:EL347)/$W371))</f>
        <v>0</v>
      </c>
      <c r="EM371" s="50">
        <f>IF(OR($V371=0,$W371=0),0,IF(EM$367&gt;$V371,0,SUM($Y347:EM347)/$W371))</f>
        <v>0</v>
      </c>
      <c r="EN371" s="50">
        <f>IF(OR($V371=0,$W371=0),0,IF(EN$367&gt;$V371,0,SUM($Y347:EN347)/$W371))</f>
        <v>0</v>
      </c>
      <c r="EO371" s="39">
        <v>51</v>
      </c>
      <c r="EP371" s="39">
        <v>51</v>
      </c>
      <c r="EQ371" s="39">
        <v>51</v>
      </c>
      <c r="ER371" s="39">
        <v>51</v>
      </c>
      <c r="ES371" s="39">
        <v>51</v>
      </c>
      <c r="ET371" s="39">
        <v>51</v>
      </c>
      <c r="EU371" s="39">
        <v>51</v>
      </c>
      <c r="EV371" s="39">
        <v>51</v>
      </c>
      <c r="EW371" s="39">
        <v>51</v>
      </c>
      <c r="EX371" s="39">
        <v>51</v>
      </c>
    </row>
    <row r="372" spans="11:154" ht="12" customHeight="1" x14ac:dyDescent="0.35">
      <c r="K372" s="1667"/>
      <c r="L372" s="1667"/>
      <c r="M372" s="1667"/>
      <c r="N372" s="1667"/>
      <c r="O372" s="1667"/>
      <c r="P372" s="1667"/>
      <c r="Q372" s="1667"/>
      <c r="R372" s="1667"/>
      <c r="S372" s="1667"/>
      <c r="T372" s="1667"/>
      <c r="U372" s="59"/>
      <c r="V372" s="1636">
        <f t="shared" si="192"/>
        <v>0</v>
      </c>
      <c r="W372" s="102">
        <f t="shared" si="193"/>
        <v>0</v>
      </c>
      <c r="X372" s="381">
        <f t="shared" si="194"/>
        <v>0</v>
      </c>
      <c r="Y372" s="1645">
        <f>IF(OR($V372=0,$W372=0),0,IF(Y$367&gt;$V372,0,SUM($Y348:Y348)/$W372))</f>
        <v>0</v>
      </c>
      <c r="Z372" s="1646">
        <f>IF(OR($V372=0,$W372=0),0,IF(Z$367&gt;$V372,0,SUM($Y348:Z348)/$W372))</f>
        <v>0</v>
      </c>
      <c r="AA372" s="1646">
        <f>IF(OR($V372=0,$W372=0),0,IF(AA$367&gt;$V372,0,SUM($Y348:AA348)/$W372))</f>
        <v>0</v>
      </c>
      <c r="AB372" s="1646">
        <f>IF(OR($V372=0,$W372=0),0,IF(AB$367&gt;$V372,0,SUM($Y348:AB348)/$W372))</f>
        <v>0</v>
      </c>
      <c r="AC372" s="1646">
        <f>IF(OR($V372=0,$W372=0),0,IF(AC$367&gt;$V372,0,SUM($Y348:AC348)/$W372))</f>
        <v>0</v>
      </c>
      <c r="AD372" s="1646">
        <f>IF(OR($V372=0,$W372=0),0,IF(AD$367&gt;$V372,0,SUM($Y348:AD348)/$W372))</f>
        <v>0</v>
      </c>
      <c r="AE372" s="1646">
        <f>IF(OR($V372=0,$W372=0),0,IF(AE$367&gt;$V372,0,SUM($Y348:AE348)/$W372))</f>
        <v>0</v>
      </c>
      <c r="AF372" s="1155">
        <f>IF(OR($V372=0,$W372=0),0,IF(AF$367&gt;$V372,0,SUM($Y348:AF348)/$W372))</f>
        <v>0</v>
      </c>
      <c r="AG372" s="1155">
        <f>IF(OR($V372=0,$W372=0),0,IF(AG$367&gt;$V372,0,SUM($Y348:AG348)/$W372))</f>
        <v>0</v>
      </c>
      <c r="AH372" s="1155">
        <f>IF(OR($V372=0,$W372=0),0,IF(AH$367&gt;$V372,0,SUM($Y348:AH348)/$W372))</f>
        <v>0</v>
      </c>
      <c r="AI372" s="1155">
        <f>IF(OR($V372=0,$W372=0),0,IF(AI$367&gt;$V372,0,SUM($Y348:AI348)/$W372))</f>
        <v>0</v>
      </c>
      <c r="AJ372" s="1155">
        <f>IF(OR($V372=0,$W372=0),0,IF(AJ$367&gt;$V372,0,SUM($Y348:AJ348)/$W372))</f>
        <v>0</v>
      </c>
      <c r="AK372" s="1155">
        <f>IF(OR($V372=0,$W372=0),0,IF(AK$367&gt;$V372,0,SUM($Y348:AK348)/$W372))</f>
        <v>0</v>
      </c>
      <c r="AL372" s="1155">
        <f>IF(OR($V372=0,$W372=0),0,IF(AL$367&gt;$V372,0,SUM($Y348:AL348)/$W372))</f>
        <v>0</v>
      </c>
      <c r="AM372" s="1155">
        <f>IF(OR($V372=0,$W372=0),0,IF(AM$367&gt;$V372,0,SUM($Y348:AM348)/$W372))</f>
        <v>0</v>
      </c>
      <c r="AN372" s="1155">
        <f>IF(OR($V372=0,$W372=0),0,IF(AN$367&gt;$V372,0,SUM($Y348:AN348)/$W372))</f>
        <v>0</v>
      </c>
      <c r="AO372" s="1155">
        <f>IF(OR($V372=0,$W372=0),0,IF(AO$367&gt;$V372,0,SUM($Y348:AO348)/$W372))</f>
        <v>0</v>
      </c>
      <c r="AP372" s="1155">
        <f>IF(OR($V372=0,$W372=0),0,IF(AP$367&gt;$V372,0,SUM($Y348:AP348)/$W372))</f>
        <v>0</v>
      </c>
      <c r="AQ372" s="1155">
        <f>IF(OR($V372=0,$W372=0),0,IF(AQ$367&gt;$V372,0,SUM($Y348:AQ348)/$W372))</f>
        <v>0</v>
      </c>
      <c r="AR372" s="1155">
        <f>IF(OR($V372=0,$W372=0),0,IF(AR$367&gt;$V372,0,SUM($Y348:AR348)/$W372))</f>
        <v>0</v>
      </c>
      <c r="AS372" s="1155">
        <f>IF(OR($V372=0,$W372=0),0,IF(AS$367&gt;$V372,0,SUM($Y348:AS348)/$W372))</f>
        <v>0</v>
      </c>
      <c r="AT372" s="1155">
        <f>IF(OR($V372=0,$W372=0),0,IF(AT$367&gt;$V372,0,SUM($Y348:AT348)/$W372))</f>
        <v>0</v>
      </c>
      <c r="AU372" s="1155">
        <f>IF(OR($V372=0,$W372=0),0,IF(AU$367&gt;$V372,0,SUM($Y348:AU348)/$W372))</f>
        <v>0</v>
      </c>
      <c r="AV372" s="1155">
        <f>IF(OR($V372=0,$W372=0),0,IF(AV$367&gt;$V372,0,SUM($Y348:AV348)/$W372))</f>
        <v>0</v>
      </c>
      <c r="AW372" s="1155">
        <f>IF(OR($V372=0,$W372=0),0,IF(AW$367&gt;$V372,0,SUM($Y348:AW348)/$W372))</f>
        <v>0</v>
      </c>
      <c r="AX372" s="1155">
        <f>IF(OR($V372=0,$W372=0),0,IF(AX$367&gt;$V372,0,SUM($Y348:AX348)/$W372))</f>
        <v>0</v>
      </c>
      <c r="AY372" s="1155">
        <f>IF(OR($V372=0,$W372=0),0,IF(AY$367&gt;$V372,0,SUM($Y348:AY348)/$W372))</f>
        <v>0</v>
      </c>
      <c r="AZ372" s="1155">
        <f>IF(OR($V372=0,$W372=0),0,IF(AZ$367&gt;$V372,0,SUM($Y348:AZ348)/$W372))</f>
        <v>0</v>
      </c>
      <c r="BA372" s="1155">
        <f>IF(OR($V372=0,$W372=0),0,IF(BA$367&gt;$V372,0,SUM($Y348:BA348)/$W372))</f>
        <v>0</v>
      </c>
      <c r="BB372" s="1155">
        <f>IF(OR($V372=0,$W372=0),0,IF(BB$367&gt;$V372,0,SUM($Y348:BB348)/$W372))</f>
        <v>0</v>
      </c>
      <c r="BC372" s="1155">
        <f>IF(OR($V372=0,$W372=0),0,IF(BC$367&gt;$V372,0,SUM($Y348:BC348)/$W372))</f>
        <v>0</v>
      </c>
      <c r="BD372" s="1155">
        <f>IF(OR($V372=0,$W372=0),0,IF(BD$367&gt;$V372,0,SUM($Y348:BD348)/$W372))</f>
        <v>0</v>
      </c>
      <c r="BE372" s="1155">
        <f>IF(OR($V372=0,$W372=0),0,IF(BE$367&gt;$V372,0,SUM($Y348:BE348)/$W372))</f>
        <v>0</v>
      </c>
      <c r="BF372" s="1155">
        <f>IF(OR($V372=0,$W372=0),0,IF(BF$367&gt;$V372,0,SUM($Y348:BF348)/$W372))</f>
        <v>0</v>
      </c>
      <c r="BG372" s="1155">
        <f>IF(OR($V372=0,$W372=0),0,IF(BG$367&gt;$V372,0,SUM($Y348:BG348)/$W372))</f>
        <v>0</v>
      </c>
      <c r="BH372" s="1155">
        <f>IF(OR($V372=0,$W372=0),0,IF(BH$367&gt;$V372,0,SUM($Y348:BH348)/$W372))</f>
        <v>0</v>
      </c>
      <c r="BI372" s="1155">
        <f>IF(OR($V372=0,$W372=0),0,IF(BI$367&gt;$V372,0,SUM($Y348:BI348)/$W372))</f>
        <v>0</v>
      </c>
      <c r="BJ372" s="1155">
        <f>IF(OR($V372=0,$W372=0),0,IF(BJ$367&gt;$V372,0,SUM($Y348:BJ348)/$W372))</f>
        <v>0</v>
      </c>
      <c r="BK372" s="1155">
        <f>IF(OR($V372=0,$W372=0),0,IF(BK$367&gt;$V372,0,SUM($Y348:BK348)/$W372))</f>
        <v>0</v>
      </c>
      <c r="BL372" s="1155">
        <f>IF(OR($V372=0,$W372=0),0,IF(BL$367&gt;$V372,0,SUM($Y348:BL348)/$W372))</f>
        <v>0</v>
      </c>
      <c r="BM372" s="1155">
        <f>IF(OR($V372=0,$W372=0),0,IF(BM$367&gt;$V372,0,SUM($Y348:BM348)/$W372))</f>
        <v>0</v>
      </c>
      <c r="BN372" s="1155">
        <f>IF(OR($V372=0,$W372=0),0,IF(BN$367&gt;$V372,0,SUM($Y348:BN348)/$W372))</f>
        <v>0</v>
      </c>
      <c r="BO372" s="1155">
        <f>IF(OR($V372=0,$W372=0),0,IF(BO$367&gt;$V372,0,SUM($Y348:BO348)/$W372))</f>
        <v>0</v>
      </c>
      <c r="BP372" s="1155">
        <f>IF(OR($V372=0,$W372=0),0,IF(BP$367&gt;$V372,0,SUM($Y348:BP348)/$W372))</f>
        <v>0</v>
      </c>
      <c r="BQ372" s="1155">
        <f>IF(OR($V372=0,$W372=0),0,IF(BQ$367&gt;$V372,0,SUM($Y348:BQ348)/$W372))</f>
        <v>0</v>
      </c>
      <c r="BR372" s="1155">
        <f>IF(OR($V372=0,$W372=0),0,IF(BR$367&gt;$V372,0,SUM($Y348:BR348)/$W372))</f>
        <v>0</v>
      </c>
      <c r="BS372" s="1155">
        <f>IF(OR($V372=0,$W372=0),0,IF(BS$367&gt;$V372,0,SUM($Y348:BS348)/$W372))</f>
        <v>0</v>
      </c>
      <c r="BT372" s="1155">
        <f>IF(OR($V372=0,$W372=0),0,IF(BT$367&gt;$V372,0,SUM($Y348:BT348)/$W372))</f>
        <v>0</v>
      </c>
      <c r="BU372" s="1155">
        <f>IF(OR($V372=0,$W372=0),0,IF(BU$367&gt;$V372,0,SUM($Y348:BU348)/$W372))</f>
        <v>0</v>
      </c>
      <c r="BV372" s="1155">
        <f>IF(OR($V372=0,$W372=0),0,IF(BV$367&gt;$V372,0,SUM($Y348:BV348)/$W372))</f>
        <v>0</v>
      </c>
      <c r="BW372" s="1155">
        <f>IF(OR($V372=0,$W372=0),0,IF(BW$367&gt;$V372,0,SUM($Y348:BW348)/$W372))</f>
        <v>0</v>
      </c>
      <c r="BX372" s="1162">
        <f>IF(OR($V372=0,$W372=0),0,IF(BX$367&gt;$V372,0,SUM($Y348:BX348)/$W372))</f>
        <v>0</v>
      </c>
      <c r="BY372" s="1162">
        <f>IF(OR($V372=0,$W372=0),0,IF(BY$367&gt;$V372,0,SUM($Y348:BY348)/$W372))</f>
        <v>0</v>
      </c>
      <c r="BZ372" s="1162">
        <f>IF(OR($V372=0,$W372=0),0,IF(BZ$367&gt;$V372,0,SUM($Y348:BZ348)/$W372))</f>
        <v>0</v>
      </c>
      <c r="CA372" s="1162">
        <f>IF(OR($V372=0,$W372=0),0,IF(CA$367&gt;$V372,0,SUM($Y348:CA348)/$W372))</f>
        <v>0</v>
      </c>
      <c r="CB372" s="1162">
        <f>IF(OR($V372=0,$W372=0),0,IF(CB$367&gt;$V372,0,SUM($Y348:CB348)/$W372))</f>
        <v>0</v>
      </c>
      <c r="CC372" s="1162">
        <f>IF(OR($V372=0,$W372=0),0,IF(CC$367&gt;$V372,0,SUM($Y348:CC348)/$W372))</f>
        <v>0</v>
      </c>
      <c r="CD372" s="1162">
        <f>IF(OR($V372=0,$W372=0),0,IF(CD$367&gt;$V372,0,SUM($Y348:CD348)/$W372))</f>
        <v>0</v>
      </c>
      <c r="CE372" s="1162">
        <f>IF(OR($V372=0,$W372=0),0,IF(CE$367&gt;$V372,0,SUM($Y348:CE348)/$W372))</f>
        <v>0</v>
      </c>
      <c r="CF372" s="1162">
        <f>IF(OR($V372=0,$W372=0),0,IF(CF$367&gt;$V372,0,SUM($Y348:CF348)/$W372))</f>
        <v>0</v>
      </c>
      <c r="CG372" s="1162">
        <f>IF(OR($V372=0,$W372=0),0,IF(CG$367&gt;$V372,0,SUM($Y348:CG348)/$W372))</f>
        <v>0</v>
      </c>
      <c r="CH372" s="1162">
        <f>IF(OR($V372=0,$W372=0),0,IF(CH$367&gt;$V372,0,SUM($Y348:CH348)/$W372))</f>
        <v>0</v>
      </c>
      <c r="CI372" s="1162">
        <f>IF(OR($V372=0,$W372=0),0,IF(CI$367&gt;$V372,0,SUM($Y348:CI348)/$W372))</f>
        <v>0</v>
      </c>
      <c r="CJ372" s="1162">
        <f>IF(OR($V372=0,$W372=0),0,IF(CJ$367&gt;$V372,0,SUM($Y348:CJ348)/$W372))</f>
        <v>0</v>
      </c>
      <c r="CK372" s="1162">
        <f>IF(OR($V372=0,$W372=0),0,IF(CK$367&gt;$V372,0,SUM($Y348:CK348)/$W372))</f>
        <v>0</v>
      </c>
      <c r="CL372" s="1162">
        <f>IF(OR($V372=0,$W372=0),0,IF(CL$367&gt;$V372,0,SUM($Y348:CL348)/$W372))</f>
        <v>0</v>
      </c>
      <c r="CM372" s="1162">
        <f>IF(OR($V372=0,$W372=0),0,IF(CM$367&gt;$V372,0,SUM($Y348:CM348)/$W372))</f>
        <v>0</v>
      </c>
      <c r="CN372" s="1162">
        <f>IF(OR($V372=0,$W372=0),0,IF(CN$367&gt;$V372,0,SUM($Y348:CN348)/$W372))</f>
        <v>0</v>
      </c>
      <c r="CO372" s="1162">
        <f>IF(OR($V372=0,$W372=0),0,IF(CO$367&gt;$V372,0,SUM($Y348:CO348)/$W372))</f>
        <v>0</v>
      </c>
      <c r="CP372" s="1162">
        <f>IF(OR($V372=0,$W372=0),0,IF(CP$367&gt;$V372,0,SUM($Y348:CP348)/$W372))</f>
        <v>0</v>
      </c>
      <c r="CQ372" s="48">
        <f>IF(OR($V372=0,$W372=0),0,IF(CQ$367&gt;$V372,0,SUM($Y348:CQ348)/$W372))</f>
        <v>0</v>
      </c>
      <c r="CR372" s="48">
        <f>IF(OR($V372=0,$W372=0),0,IF(CR$367&gt;$V372,0,SUM($Y348:CR348)/$W372))</f>
        <v>0</v>
      </c>
      <c r="CS372" s="48">
        <f>IF(OR($V372=0,$W372=0),0,IF(CS$367&gt;$V372,0,SUM($Y348:CS348)/$W372))</f>
        <v>0</v>
      </c>
      <c r="CT372" s="48">
        <f>IF(OR($V372=0,$W372=0),0,IF(CT$367&gt;$V372,0,SUM($Y348:CT348)/$W372))</f>
        <v>0</v>
      </c>
      <c r="CU372" s="48">
        <f>IF(OR($V372=0,$W372=0),0,IF(CU$367&gt;$V372,0,SUM($Y348:CU348)/$W372))</f>
        <v>0</v>
      </c>
      <c r="CV372" s="48">
        <f>IF(OR($V372=0,$W372=0),0,IF(CV$367&gt;$V372,0,SUM($Y348:CV348)/$W372))</f>
        <v>0</v>
      </c>
      <c r="CW372" s="48">
        <f>IF(OR($V372=0,$W372=0),0,IF(CW$367&gt;$V372,0,SUM($Y348:CW348)/$W372))</f>
        <v>0</v>
      </c>
      <c r="CX372" s="48">
        <f>IF(OR($V372=0,$W372=0),0,IF(CX$367&gt;$V372,0,SUM($Y348:CX348)/$W372))</f>
        <v>0</v>
      </c>
      <c r="CY372" s="48">
        <f>IF(OR($V372=0,$W372=0),0,IF(CY$367&gt;$V372,0,SUM($Y348:CY348)/$W372))</f>
        <v>0</v>
      </c>
      <c r="CZ372" s="48">
        <f>IF(OR($V372=0,$W372=0),0,IF(CZ$367&gt;$V372,0,SUM($Y348:CZ348)/$W372))</f>
        <v>0</v>
      </c>
      <c r="DA372" s="48">
        <f>IF(OR($V372=0,$W372=0),0,IF(DA$367&gt;$V372,0,SUM($Y348:DA348)/$W372))</f>
        <v>0</v>
      </c>
      <c r="DB372" s="48">
        <f>IF(OR($V372=0,$W372=0),0,IF(DB$367&gt;$V372,0,SUM($Y348:DB348)/$W372))</f>
        <v>0</v>
      </c>
      <c r="DC372" s="48">
        <f>IF(OR($V372=0,$W372=0),0,IF(DC$367&gt;$V372,0,SUM($Y348:DC348)/$W372))</f>
        <v>0</v>
      </c>
      <c r="DD372" s="48">
        <f>IF(OR($V372=0,$W372=0),0,IF(DD$367&gt;$V372,0,SUM($Y348:DD348)/$W372))</f>
        <v>0</v>
      </c>
      <c r="DE372" s="48">
        <f>IF(OR($V372=0,$W372=0),0,IF(DE$367&gt;$V372,0,SUM($Y348:DE348)/$W372))</f>
        <v>0</v>
      </c>
      <c r="DF372" s="48">
        <f>IF(OR($V372=0,$W372=0),0,IF(DF$367&gt;$V372,0,SUM($Y348:DF348)/$W372))</f>
        <v>0</v>
      </c>
      <c r="DG372" s="48">
        <f>IF(OR($V372=0,$W372=0),0,IF(DG$367&gt;$V372,0,SUM($Y348:DG348)/$W372))</f>
        <v>0</v>
      </c>
      <c r="DH372" s="48">
        <f>IF(OR($V372=0,$W372=0),0,IF(DH$367&gt;$V372,0,SUM($Y348:DH348)/$W372))</f>
        <v>0</v>
      </c>
      <c r="DI372" s="48">
        <f>IF(OR($V372=0,$W372=0),0,IF(DI$367&gt;$V372,0,SUM($Y348:DI348)/$W372))</f>
        <v>0</v>
      </c>
      <c r="DJ372" s="48">
        <f>IF(OR($V372=0,$W372=0),0,IF(DJ$367&gt;$V372,0,SUM($Y348:DJ348)/$W372))</f>
        <v>0</v>
      </c>
      <c r="DK372" s="48">
        <f>IF(OR($V372=0,$W372=0),0,IF(DK$367&gt;$V372,0,SUM($Y348:DK348)/$W372))</f>
        <v>0</v>
      </c>
      <c r="DL372" s="48">
        <f>IF(OR($V372=0,$W372=0),0,IF(DL$367&gt;$V372,0,SUM($Y348:DL348)/$W372))</f>
        <v>0</v>
      </c>
      <c r="DM372" s="48">
        <f>IF(OR($V372=0,$W372=0),0,IF(DM$367&gt;$V372,0,SUM($Y348:DM348)/$W372))</f>
        <v>0</v>
      </c>
      <c r="DN372" s="48">
        <f>IF(OR($V372=0,$W372=0),0,IF(DN$367&gt;$V372,0,SUM($Y348:DN348)/$W372))</f>
        <v>0</v>
      </c>
      <c r="DO372" s="48">
        <f>IF(OR($V372=0,$W372=0),0,IF(DO$367&gt;$V372,0,SUM($Y348:DO348)/$W372))</f>
        <v>0</v>
      </c>
      <c r="DP372" s="48">
        <f>IF(OR($V372=0,$W372=0),0,IF(DP$367&gt;$V372,0,SUM($Y348:DP348)/$W372))</f>
        <v>0</v>
      </c>
      <c r="DQ372" s="48">
        <f>IF(OR($V372=0,$W372=0),0,IF(DQ$367&gt;$V372,0,SUM($Y348:DQ348)/$W372))</f>
        <v>0</v>
      </c>
      <c r="DR372" s="50">
        <f>IF(OR($V372=0,$W372=0),0,IF(DR$367&gt;$V372,0,SUM($Y348:DR348)/$W372))</f>
        <v>0</v>
      </c>
      <c r="DS372" s="50">
        <f>IF(OR($V372=0,$W372=0),0,IF(DS$367&gt;$V372,0,SUM($Y348:DS348)/$W372))</f>
        <v>0</v>
      </c>
      <c r="DT372" s="50">
        <f>IF(OR($V372=0,$W372=0),0,IF(DT$367&gt;$V372,0,SUM($Y348:DT348)/$W372))</f>
        <v>0</v>
      </c>
      <c r="DU372" s="50">
        <f>IF(OR($V372=0,$W372=0),0,IF(DU$367&gt;$V372,0,SUM($Y348:DU348)/$W372))</f>
        <v>0</v>
      </c>
      <c r="DV372" s="50">
        <f>IF(OR($V372=0,$W372=0),0,IF(DV$367&gt;$V372,0,SUM($Y348:DV348)/$W372))</f>
        <v>0</v>
      </c>
      <c r="DW372" s="50">
        <f>IF(OR($V372=0,$W372=0),0,IF(DW$367&gt;$V372,0,SUM($Y348:DW348)/$W372))</f>
        <v>0</v>
      </c>
      <c r="DX372" s="50">
        <f>IF(OR($V372=0,$W372=0),0,IF(DX$367&gt;$V372,0,SUM($Y348:DX348)/$W372))</f>
        <v>0</v>
      </c>
      <c r="DY372" s="50">
        <f>IF(OR($V372=0,$W372=0),0,IF(DY$367&gt;$V372,0,SUM($Y348:DY348)/$W372))</f>
        <v>0</v>
      </c>
      <c r="DZ372" s="50">
        <f>IF(OR($V372=0,$W372=0),0,IF(DZ$367&gt;$V372,0,SUM($Y348:DZ348)/$W372))</f>
        <v>0</v>
      </c>
      <c r="EA372" s="50">
        <f>IF(OR($V372=0,$W372=0),0,IF(EA$367&gt;$V372,0,SUM($Y348:EA348)/$W372))</f>
        <v>0</v>
      </c>
      <c r="EB372" s="50">
        <f>IF(OR($V372=0,$W372=0),0,IF(EB$367&gt;$V372,0,SUM($Y348:EB348)/$W372))</f>
        <v>0</v>
      </c>
      <c r="EC372" s="50">
        <f>IF(OR($V372=0,$W372=0),0,IF(EC$367&gt;$V372,0,SUM($Y348:EC348)/$W372))</f>
        <v>0</v>
      </c>
      <c r="ED372" s="50">
        <f>IF(OR($V372=0,$W372=0),0,IF(ED$367&gt;$V372,0,SUM($Y348:ED348)/$W372))</f>
        <v>0</v>
      </c>
      <c r="EE372" s="50">
        <f>IF(OR($V372=0,$W372=0),0,IF(EE$367&gt;$V372,0,SUM($Y348:EE348)/$W372))</f>
        <v>0</v>
      </c>
      <c r="EF372" s="50">
        <f>IF(OR($V372=0,$W372=0),0,IF(EF$367&gt;$V372,0,SUM($Y348:EF348)/$W372))</f>
        <v>0</v>
      </c>
      <c r="EG372" s="50">
        <f>IF(OR($V372=0,$W372=0),0,IF(EG$367&gt;$V372,0,SUM($Y348:EG348)/$W372))</f>
        <v>0</v>
      </c>
      <c r="EH372" s="50">
        <f>IF(OR($V372=0,$W372=0),0,IF(EH$367&gt;$V372,0,SUM($Y348:EH348)/$W372))</f>
        <v>0</v>
      </c>
      <c r="EI372" s="50">
        <f>IF(OR($V372=0,$W372=0),0,IF(EI$367&gt;$V372,0,SUM($Y348:EI348)/$W372))</f>
        <v>0</v>
      </c>
      <c r="EJ372" s="50">
        <f>IF(OR($V372=0,$W372=0),0,IF(EJ$367&gt;$V372,0,SUM($Y348:EJ348)/$W372))</f>
        <v>0</v>
      </c>
      <c r="EK372" s="50">
        <f>IF(OR($V372=0,$W372=0),0,IF(EK$367&gt;$V372,0,SUM($Y348:EK348)/$W372))</f>
        <v>0</v>
      </c>
      <c r="EL372" s="50">
        <f>IF(OR($V372=0,$W372=0),0,IF(EL$367&gt;$V372,0,SUM($Y348:EL348)/$W372))</f>
        <v>0</v>
      </c>
      <c r="EM372" s="50">
        <f>IF(OR($V372=0,$W372=0),0,IF(EM$367&gt;$V372,0,SUM($Y348:EM348)/$W372))</f>
        <v>0</v>
      </c>
      <c r="EN372" s="50">
        <f>IF(OR($V372=0,$W372=0),0,IF(EN$367&gt;$V372,0,SUM($Y348:EN348)/$W372))</f>
        <v>0</v>
      </c>
      <c r="EO372" s="39">
        <v>51</v>
      </c>
      <c r="EP372" s="39">
        <v>51</v>
      </c>
      <c r="EQ372" s="39">
        <v>51</v>
      </c>
      <c r="ER372" s="39">
        <v>51</v>
      </c>
      <c r="ES372" s="39">
        <v>51</v>
      </c>
      <c r="ET372" s="39">
        <v>51</v>
      </c>
      <c r="EU372" s="39">
        <v>51</v>
      </c>
      <c r="EV372" s="39">
        <v>51</v>
      </c>
      <c r="EW372" s="39">
        <v>51</v>
      </c>
      <c r="EX372" s="39">
        <v>51</v>
      </c>
    </row>
    <row r="373" spans="11:154" ht="12" customHeight="1" x14ac:dyDescent="0.35">
      <c r="K373" s="1667"/>
      <c r="L373" s="1667"/>
      <c r="M373" s="1667"/>
      <c r="N373" s="1667"/>
      <c r="O373" s="1667"/>
      <c r="P373" s="1667"/>
      <c r="Q373" s="1667"/>
      <c r="R373" s="1667"/>
      <c r="S373" s="1667"/>
      <c r="T373" s="1667"/>
      <c r="U373" s="59"/>
      <c r="V373" s="1636">
        <f t="shared" si="192"/>
        <v>0</v>
      </c>
      <c r="W373" s="102">
        <f t="shared" si="193"/>
        <v>0</v>
      </c>
      <c r="X373" s="381">
        <f t="shared" si="194"/>
        <v>0</v>
      </c>
      <c r="Y373" s="1645">
        <f>IF(OR($V373=0,$W373=0),0,IF(Y$367&gt;$V373,0,SUM($Y349:Y349)/$W373))</f>
        <v>0</v>
      </c>
      <c r="Z373" s="1646">
        <f>IF(OR($V373=0,$W373=0),0,IF(Z$367&gt;$V373,0,SUM($Y349:Z349)/$W373))</f>
        <v>0</v>
      </c>
      <c r="AA373" s="1646">
        <f>IF(OR($V373=0,$W373=0),0,IF(AA$367&gt;$V373,0,SUM($Y349:AA349)/$W373))</f>
        <v>0</v>
      </c>
      <c r="AB373" s="1646">
        <f>IF(OR($V373=0,$W373=0),0,IF(AB$367&gt;$V373,0,SUM($Y349:AB349)/$W373))</f>
        <v>0</v>
      </c>
      <c r="AC373" s="1646">
        <f>IF(OR($V373=0,$W373=0),0,IF(AC$367&gt;$V373,0,SUM($Y349:AC349)/$W373))</f>
        <v>0</v>
      </c>
      <c r="AD373" s="1646">
        <f>IF(OR($V373=0,$W373=0),0,IF(AD$367&gt;$V373,0,SUM($Y349:AD349)/$W373))</f>
        <v>0</v>
      </c>
      <c r="AE373" s="1646">
        <f>IF(OR($V373=0,$W373=0),0,IF(AE$367&gt;$V373,0,SUM($Y349:AE349)/$W373))</f>
        <v>0</v>
      </c>
      <c r="AF373" s="1155">
        <f>IF(OR($V373=0,$W373=0),0,IF(AF$367&gt;$V373,0,SUM($Y349:AF349)/$W373))</f>
        <v>0</v>
      </c>
      <c r="AG373" s="1155">
        <f>IF(OR($V373=0,$W373=0),0,IF(AG$367&gt;$V373,0,SUM($Y349:AG349)/$W373))</f>
        <v>0</v>
      </c>
      <c r="AH373" s="1155">
        <f>IF(OR($V373=0,$W373=0),0,IF(AH$367&gt;$V373,0,SUM($Y349:AH349)/$W373))</f>
        <v>0</v>
      </c>
      <c r="AI373" s="1155">
        <f>IF(OR($V373=0,$W373=0),0,IF(AI$367&gt;$V373,0,SUM($Y349:AI349)/$W373))</f>
        <v>0</v>
      </c>
      <c r="AJ373" s="1155">
        <f>IF(OR($V373=0,$W373=0),0,IF(AJ$367&gt;$V373,0,SUM($Y349:AJ349)/$W373))</f>
        <v>0</v>
      </c>
      <c r="AK373" s="1155">
        <f>IF(OR($V373=0,$W373=0),0,IF(AK$367&gt;$V373,0,SUM($Y349:AK349)/$W373))</f>
        <v>0</v>
      </c>
      <c r="AL373" s="1155">
        <f>IF(OR($V373=0,$W373=0),0,IF(AL$367&gt;$V373,0,SUM($Y349:AL349)/$W373))</f>
        <v>0</v>
      </c>
      <c r="AM373" s="1155">
        <f>IF(OR($V373=0,$W373=0),0,IF(AM$367&gt;$V373,0,SUM($Y349:AM349)/$W373))</f>
        <v>0</v>
      </c>
      <c r="AN373" s="1155">
        <f>IF(OR($V373=0,$W373=0),0,IF(AN$367&gt;$V373,0,SUM($Y349:AN349)/$W373))</f>
        <v>0</v>
      </c>
      <c r="AO373" s="1155">
        <f>IF(OR($V373=0,$W373=0),0,IF(AO$367&gt;$V373,0,SUM($Y349:AO349)/$W373))</f>
        <v>0</v>
      </c>
      <c r="AP373" s="1155">
        <f>IF(OR($V373=0,$W373=0),0,IF(AP$367&gt;$V373,0,SUM($Y349:AP349)/$W373))</f>
        <v>0</v>
      </c>
      <c r="AQ373" s="1155">
        <f>IF(OR($V373=0,$W373=0),0,IF(AQ$367&gt;$V373,0,SUM($Y349:AQ349)/$W373))</f>
        <v>0</v>
      </c>
      <c r="AR373" s="1155">
        <f>IF(OR($V373=0,$W373=0),0,IF(AR$367&gt;$V373,0,SUM($Y349:AR349)/$W373))</f>
        <v>0</v>
      </c>
      <c r="AS373" s="1155">
        <f>IF(OR($V373=0,$W373=0),0,IF(AS$367&gt;$V373,0,SUM($Y349:AS349)/$W373))</f>
        <v>0</v>
      </c>
      <c r="AT373" s="1155">
        <f>IF(OR($V373=0,$W373=0),0,IF(AT$367&gt;$V373,0,SUM($Y349:AT349)/$W373))</f>
        <v>0</v>
      </c>
      <c r="AU373" s="1155">
        <f>IF(OR($V373=0,$W373=0),0,IF(AU$367&gt;$V373,0,SUM($Y349:AU349)/$W373))</f>
        <v>0</v>
      </c>
      <c r="AV373" s="1155">
        <f>IF(OR($V373=0,$W373=0),0,IF(AV$367&gt;$V373,0,SUM($Y349:AV349)/$W373))</f>
        <v>0</v>
      </c>
      <c r="AW373" s="1155">
        <f>IF(OR($V373=0,$W373=0),0,IF(AW$367&gt;$V373,0,SUM($Y349:AW349)/$W373))</f>
        <v>0</v>
      </c>
      <c r="AX373" s="1155">
        <f>IF(OR($V373=0,$W373=0),0,IF(AX$367&gt;$V373,0,SUM($Y349:AX349)/$W373))</f>
        <v>0</v>
      </c>
      <c r="AY373" s="1155">
        <f>IF(OR($V373=0,$W373=0),0,IF(AY$367&gt;$V373,0,SUM($Y349:AY349)/$W373))</f>
        <v>0</v>
      </c>
      <c r="AZ373" s="1155">
        <f>IF(OR($V373=0,$W373=0),0,IF(AZ$367&gt;$V373,0,SUM($Y349:AZ349)/$W373))</f>
        <v>0</v>
      </c>
      <c r="BA373" s="1155">
        <f>IF(OR($V373=0,$W373=0),0,IF(BA$367&gt;$V373,0,SUM($Y349:BA349)/$W373))</f>
        <v>0</v>
      </c>
      <c r="BB373" s="1155">
        <f>IF(OR($V373=0,$W373=0),0,IF(BB$367&gt;$V373,0,SUM($Y349:BB349)/$W373))</f>
        <v>0</v>
      </c>
      <c r="BC373" s="1155">
        <f>IF(OR($V373=0,$W373=0),0,IF(BC$367&gt;$V373,0,SUM($Y349:BC349)/$W373))</f>
        <v>0</v>
      </c>
      <c r="BD373" s="1155">
        <f>IF(OR($V373=0,$W373=0),0,IF(BD$367&gt;$V373,0,SUM($Y349:BD349)/$W373))</f>
        <v>0</v>
      </c>
      <c r="BE373" s="1155">
        <f>IF(OR($V373=0,$W373=0),0,IF(BE$367&gt;$V373,0,SUM($Y349:BE349)/$W373))</f>
        <v>0</v>
      </c>
      <c r="BF373" s="1155">
        <f>IF(OR($V373=0,$W373=0),0,IF(BF$367&gt;$V373,0,SUM($Y349:BF349)/$W373))</f>
        <v>0</v>
      </c>
      <c r="BG373" s="1155">
        <f>IF(OR($V373=0,$W373=0),0,IF(BG$367&gt;$V373,0,SUM($Y349:BG349)/$W373))</f>
        <v>0</v>
      </c>
      <c r="BH373" s="1155">
        <f>IF(OR($V373=0,$W373=0),0,IF(BH$367&gt;$V373,0,SUM($Y349:BH349)/$W373))</f>
        <v>0</v>
      </c>
      <c r="BI373" s="1155">
        <f>IF(OR($V373=0,$W373=0),0,IF(BI$367&gt;$V373,0,SUM($Y349:BI349)/$W373))</f>
        <v>0</v>
      </c>
      <c r="BJ373" s="1155">
        <f>IF(OR($V373=0,$W373=0),0,IF(BJ$367&gt;$V373,0,SUM($Y349:BJ349)/$W373))</f>
        <v>0</v>
      </c>
      <c r="BK373" s="1155">
        <f>IF(OR($V373=0,$W373=0),0,IF(BK$367&gt;$V373,0,SUM($Y349:BK349)/$W373))</f>
        <v>0</v>
      </c>
      <c r="BL373" s="1155">
        <f>IF(OR($V373=0,$W373=0),0,IF(BL$367&gt;$V373,0,SUM($Y349:BL349)/$W373))</f>
        <v>0</v>
      </c>
      <c r="BM373" s="1155">
        <f>IF(OR($V373=0,$W373=0),0,IF(BM$367&gt;$V373,0,SUM($Y349:BM349)/$W373))</f>
        <v>0</v>
      </c>
      <c r="BN373" s="1155">
        <f>IF(OR($V373=0,$W373=0),0,IF(BN$367&gt;$V373,0,SUM($Y349:BN349)/$W373))</f>
        <v>0</v>
      </c>
      <c r="BO373" s="1155">
        <f>IF(OR($V373=0,$W373=0),0,IF(BO$367&gt;$V373,0,SUM($Y349:BO349)/$W373))</f>
        <v>0</v>
      </c>
      <c r="BP373" s="1155">
        <f>IF(OR($V373=0,$W373=0),0,IF(BP$367&gt;$V373,0,SUM($Y349:BP349)/$W373))</f>
        <v>0</v>
      </c>
      <c r="BQ373" s="1155">
        <f>IF(OR($V373=0,$W373=0),0,IF(BQ$367&gt;$V373,0,SUM($Y349:BQ349)/$W373))</f>
        <v>0</v>
      </c>
      <c r="BR373" s="1155">
        <f>IF(OR($V373=0,$W373=0),0,IF(BR$367&gt;$V373,0,SUM($Y349:BR349)/$W373))</f>
        <v>0</v>
      </c>
      <c r="BS373" s="1155">
        <f>IF(OR($V373=0,$W373=0),0,IF(BS$367&gt;$V373,0,SUM($Y349:BS349)/$W373))</f>
        <v>0</v>
      </c>
      <c r="BT373" s="1155">
        <f>IF(OR($V373=0,$W373=0),0,IF(BT$367&gt;$V373,0,SUM($Y349:BT349)/$W373))</f>
        <v>0</v>
      </c>
      <c r="BU373" s="1155">
        <f>IF(OR($V373=0,$W373=0),0,IF(BU$367&gt;$V373,0,SUM($Y349:BU349)/$W373))</f>
        <v>0</v>
      </c>
      <c r="BV373" s="1155">
        <f>IF(OR($V373=0,$W373=0),0,IF(BV$367&gt;$V373,0,SUM($Y349:BV349)/$W373))</f>
        <v>0</v>
      </c>
      <c r="BW373" s="1155">
        <f>IF(OR($V373=0,$W373=0),0,IF(BW$367&gt;$V373,0,SUM($Y349:BW349)/$W373))</f>
        <v>0</v>
      </c>
      <c r="BX373" s="1162">
        <f>IF(OR($V373=0,$W373=0),0,IF(BX$367&gt;$V373,0,SUM($Y349:BX349)/$W373))</f>
        <v>0</v>
      </c>
      <c r="BY373" s="1162">
        <f>IF(OR($V373=0,$W373=0),0,IF(BY$367&gt;$V373,0,SUM($Y349:BY349)/$W373))</f>
        <v>0</v>
      </c>
      <c r="BZ373" s="1162">
        <f>IF(OR($V373=0,$W373=0),0,IF(BZ$367&gt;$V373,0,SUM($Y349:BZ349)/$W373))</f>
        <v>0</v>
      </c>
      <c r="CA373" s="1162">
        <f>IF(OR($V373=0,$W373=0),0,IF(CA$367&gt;$V373,0,SUM($Y349:CA349)/$W373))</f>
        <v>0</v>
      </c>
      <c r="CB373" s="1162">
        <f>IF(OR($V373=0,$W373=0),0,IF(CB$367&gt;$V373,0,SUM($Y349:CB349)/$W373))</f>
        <v>0</v>
      </c>
      <c r="CC373" s="1162">
        <f>IF(OR($V373=0,$W373=0),0,IF(CC$367&gt;$V373,0,SUM($Y349:CC349)/$W373))</f>
        <v>0</v>
      </c>
      <c r="CD373" s="1162">
        <f>IF(OR($V373=0,$W373=0),0,IF(CD$367&gt;$V373,0,SUM($Y349:CD349)/$W373))</f>
        <v>0</v>
      </c>
      <c r="CE373" s="1162">
        <f>IF(OR($V373=0,$W373=0),0,IF(CE$367&gt;$V373,0,SUM($Y349:CE349)/$W373))</f>
        <v>0</v>
      </c>
      <c r="CF373" s="1162">
        <f>IF(OR($V373=0,$W373=0),0,IF(CF$367&gt;$V373,0,SUM($Y349:CF349)/$W373))</f>
        <v>0</v>
      </c>
      <c r="CG373" s="1162">
        <f>IF(OR($V373=0,$W373=0),0,IF(CG$367&gt;$V373,0,SUM($Y349:CG349)/$W373))</f>
        <v>0</v>
      </c>
      <c r="CH373" s="1162">
        <f>IF(OR($V373=0,$W373=0),0,IF(CH$367&gt;$V373,0,SUM($Y349:CH349)/$W373))</f>
        <v>0</v>
      </c>
      <c r="CI373" s="1162">
        <f>IF(OR($V373=0,$W373=0),0,IF(CI$367&gt;$V373,0,SUM($Y349:CI349)/$W373))</f>
        <v>0</v>
      </c>
      <c r="CJ373" s="1162">
        <f>IF(OR($V373=0,$W373=0),0,IF(CJ$367&gt;$V373,0,SUM($Y349:CJ349)/$W373))</f>
        <v>0</v>
      </c>
      <c r="CK373" s="1162">
        <f>IF(OR($V373=0,$W373=0),0,IF(CK$367&gt;$V373,0,SUM($Y349:CK349)/$W373))</f>
        <v>0</v>
      </c>
      <c r="CL373" s="1162">
        <f>IF(OR($V373=0,$W373=0),0,IF(CL$367&gt;$V373,0,SUM($Y349:CL349)/$W373))</f>
        <v>0</v>
      </c>
      <c r="CM373" s="1162">
        <f>IF(OR($V373=0,$W373=0),0,IF(CM$367&gt;$V373,0,SUM($Y349:CM349)/$W373))</f>
        <v>0</v>
      </c>
      <c r="CN373" s="1162">
        <f>IF(OR($V373=0,$W373=0),0,IF(CN$367&gt;$V373,0,SUM($Y349:CN349)/$W373))</f>
        <v>0</v>
      </c>
      <c r="CO373" s="1162">
        <f>IF(OR($V373=0,$W373=0),0,IF(CO$367&gt;$V373,0,SUM($Y349:CO349)/$W373))</f>
        <v>0</v>
      </c>
      <c r="CP373" s="1162">
        <f>IF(OR($V373=0,$W373=0),0,IF(CP$367&gt;$V373,0,SUM($Y349:CP349)/$W373))</f>
        <v>0</v>
      </c>
      <c r="CQ373" s="48">
        <f>IF(OR($V373=0,$W373=0),0,IF(CQ$367&gt;$V373,0,SUM($Y349:CQ349)/$W373))</f>
        <v>0</v>
      </c>
      <c r="CR373" s="48">
        <f>IF(OR($V373=0,$W373=0),0,IF(CR$367&gt;$V373,0,SUM($Y349:CR349)/$W373))</f>
        <v>0</v>
      </c>
      <c r="CS373" s="48">
        <f>IF(OR($V373=0,$W373=0),0,IF(CS$367&gt;$V373,0,SUM($Y349:CS349)/$W373))</f>
        <v>0</v>
      </c>
      <c r="CT373" s="48">
        <f>IF(OR($V373=0,$W373=0),0,IF(CT$367&gt;$V373,0,SUM($Y349:CT349)/$W373))</f>
        <v>0</v>
      </c>
      <c r="CU373" s="48">
        <f>IF(OR($V373=0,$W373=0),0,IF(CU$367&gt;$V373,0,SUM($Y349:CU349)/$W373))</f>
        <v>0</v>
      </c>
      <c r="CV373" s="48">
        <f>IF(OR($V373=0,$W373=0),0,IF(CV$367&gt;$V373,0,SUM($Y349:CV349)/$W373))</f>
        <v>0</v>
      </c>
      <c r="CW373" s="48">
        <f>IF(OR($V373=0,$W373=0),0,IF(CW$367&gt;$V373,0,SUM($Y349:CW349)/$W373))</f>
        <v>0</v>
      </c>
      <c r="CX373" s="48">
        <f>IF(OR($V373=0,$W373=0),0,IF(CX$367&gt;$V373,0,SUM($Y349:CX349)/$W373))</f>
        <v>0</v>
      </c>
      <c r="CY373" s="48">
        <f>IF(OR($V373=0,$W373=0),0,IF(CY$367&gt;$V373,0,SUM($Y349:CY349)/$W373))</f>
        <v>0</v>
      </c>
      <c r="CZ373" s="48">
        <f>IF(OR($V373=0,$W373=0),0,IF(CZ$367&gt;$V373,0,SUM($Y349:CZ349)/$W373))</f>
        <v>0</v>
      </c>
      <c r="DA373" s="48">
        <f>IF(OR($V373=0,$W373=0),0,IF(DA$367&gt;$V373,0,SUM($Y349:DA349)/$W373))</f>
        <v>0</v>
      </c>
      <c r="DB373" s="48">
        <f>IF(OR($V373=0,$W373=0),0,IF(DB$367&gt;$V373,0,SUM($Y349:DB349)/$W373))</f>
        <v>0</v>
      </c>
      <c r="DC373" s="48">
        <f>IF(OR($V373=0,$W373=0),0,IF(DC$367&gt;$V373,0,SUM($Y349:DC349)/$W373))</f>
        <v>0</v>
      </c>
      <c r="DD373" s="48">
        <f>IF(OR($V373=0,$W373=0),0,IF(DD$367&gt;$V373,0,SUM($Y349:DD349)/$W373))</f>
        <v>0</v>
      </c>
      <c r="DE373" s="48">
        <f>IF(OR($V373=0,$W373=0),0,IF(DE$367&gt;$V373,0,SUM($Y349:DE349)/$W373))</f>
        <v>0</v>
      </c>
      <c r="DF373" s="48">
        <f>IF(OR($V373=0,$W373=0),0,IF(DF$367&gt;$V373,0,SUM($Y349:DF349)/$W373))</f>
        <v>0</v>
      </c>
      <c r="DG373" s="48">
        <f>IF(OR($V373=0,$W373=0),0,IF(DG$367&gt;$V373,0,SUM($Y349:DG349)/$W373))</f>
        <v>0</v>
      </c>
      <c r="DH373" s="48">
        <f>IF(OR($V373=0,$W373=0),0,IF(DH$367&gt;$V373,0,SUM($Y349:DH349)/$W373))</f>
        <v>0</v>
      </c>
      <c r="DI373" s="48">
        <f>IF(OR($V373=0,$W373=0),0,IF(DI$367&gt;$V373,0,SUM($Y349:DI349)/$W373))</f>
        <v>0</v>
      </c>
      <c r="DJ373" s="48">
        <f>IF(OR($V373=0,$W373=0),0,IF(DJ$367&gt;$V373,0,SUM($Y349:DJ349)/$W373))</f>
        <v>0</v>
      </c>
      <c r="DK373" s="48">
        <f>IF(OR($V373=0,$W373=0),0,IF(DK$367&gt;$V373,0,SUM($Y349:DK349)/$W373))</f>
        <v>0</v>
      </c>
      <c r="DL373" s="48">
        <f>IF(OR($V373=0,$W373=0),0,IF(DL$367&gt;$V373,0,SUM($Y349:DL349)/$W373))</f>
        <v>0</v>
      </c>
      <c r="DM373" s="48">
        <f>IF(OR($V373=0,$W373=0),0,IF(DM$367&gt;$V373,0,SUM($Y349:DM349)/$W373))</f>
        <v>0</v>
      </c>
      <c r="DN373" s="48">
        <f>IF(OR($V373=0,$W373=0),0,IF(DN$367&gt;$V373,0,SUM($Y349:DN349)/$W373))</f>
        <v>0</v>
      </c>
      <c r="DO373" s="48">
        <f>IF(OR($V373=0,$W373=0),0,IF(DO$367&gt;$V373,0,SUM($Y349:DO349)/$W373))</f>
        <v>0</v>
      </c>
      <c r="DP373" s="48">
        <f>IF(OR($V373=0,$W373=0),0,IF(DP$367&gt;$V373,0,SUM($Y349:DP349)/$W373))</f>
        <v>0</v>
      </c>
      <c r="DQ373" s="48">
        <f>IF(OR($V373=0,$W373=0),0,IF(DQ$367&gt;$V373,0,SUM($Y349:DQ349)/$W373))</f>
        <v>0</v>
      </c>
      <c r="DR373" s="50">
        <f>IF(OR($V373=0,$W373=0),0,IF(DR$367&gt;$V373,0,SUM($Y349:DR349)/$W373))</f>
        <v>0</v>
      </c>
      <c r="DS373" s="50">
        <f>IF(OR($V373=0,$W373=0),0,IF(DS$367&gt;$V373,0,SUM($Y349:DS349)/$W373))</f>
        <v>0</v>
      </c>
      <c r="DT373" s="50">
        <f>IF(OR($V373=0,$W373=0),0,IF(DT$367&gt;$V373,0,SUM($Y349:DT349)/$W373))</f>
        <v>0</v>
      </c>
      <c r="DU373" s="50">
        <f>IF(OR($V373=0,$W373=0),0,IF(DU$367&gt;$V373,0,SUM($Y349:DU349)/$W373))</f>
        <v>0</v>
      </c>
      <c r="DV373" s="50">
        <f>IF(OR($V373=0,$W373=0),0,IF(DV$367&gt;$V373,0,SUM($Y349:DV349)/$W373))</f>
        <v>0</v>
      </c>
      <c r="DW373" s="50">
        <f>IF(OR($V373=0,$W373=0),0,IF(DW$367&gt;$V373,0,SUM($Y349:DW349)/$W373))</f>
        <v>0</v>
      </c>
      <c r="DX373" s="50">
        <f>IF(OR($V373=0,$W373=0),0,IF(DX$367&gt;$V373,0,SUM($Y349:DX349)/$W373))</f>
        <v>0</v>
      </c>
      <c r="DY373" s="50">
        <f>IF(OR($V373=0,$W373=0),0,IF(DY$367&gt;$V373,0,SUM($Y349:DY349)/$W373))</f>
        <v>0</v>
      </c>
      <c r="DZ373" s="50">
        <f>IF(OR($V373=0,$W373=0),0,IF(DZ$367&gt;$V373,0,SUM($Y349:DZ349)/$W373))</f>
        <v>0</v>
      </c>
      <c r="EA373" s="50">
        <f>IF(OR($V373=0,$W373=0),0,IF(EA$367&gt;$V373,0,SUM($Y349:EA349)/$W373))</f>
        <v>0</v>
      </c>
      <c r="EB373" s="50">
        <f>IF(OR($V373=0,$W373=0),0,IF(EB$367&gt;$V373,0,SUM($Y349:EB349)/$W373))</f>
        <v>0</v>
      </c>
      <c r="EC373" s="50">
        <f>IF(OR($V373=0,$W373=0),0,IF(EC$367&gt;$V373,0,SUM($Y349:EC349)/$W373))</f>
        <v>0</v>
      </c>
      <c r="ED373" s="50">
        <f>IF(OR($V373=0,$W373=0),0,IF(ED$367&gt;$V373,0,SUM($Y349:ED349)/$W373))</f>
        <v>0</v>
      </c>
      <c r="EE373" s="50">
        <f>IF(OR($V373=0,$W373=0),0,IF(EE$367&gt;$V373,0,SUM($Y349:EE349)/$W373))</f>
        <v>0</v>
      </c>
      <c r="EF373" s="50">
        <f>IF(OR($V373=0,$W373=0),0,IF(EF$367&gt;$V373,0,SUM($Y349:EF349)/$W373))</f>
        <v>0</v>
      </c>
      <c r="EG373" s="50">
        <f>IF(OR($V373=0,$W373=0),0,IF(EG$367&gt;$V373,0,SUM($Y349:EG349)/$W373))</f>
        <v>0</v>
      </c>
      <c r="EH373" s="50">
        <f>IF(OR($V373=0,$W373=0),0,IF(EH$367&gt;$V373,0,SUM($Y349:EH349)/$W373))</f>
        <v>0</v>
      </c>
      <c r="EI373" s="50">
        <f>IF(OR($V373=0,$W373=0),0,IF(EI$367&gt;$V373,0,SUM($Y349:EI349)/$W373))</f>
        <v>0</v>
      </c>
      <c r="EJ373" s="50">
        <f>IF(OR($V373=0,$W373=0),0,IF(EJ$367&gt;$V373,0,SUM($Y349:EJ349)/$W373))</f>
        <v>0</v>
      </c>
      <c r="EK373" s="50">
        <f>IF(OR($V373=0,$W373=0),0,IF(EK$367&gt;$V373,0,SUM($Y349:EK349)/$W373))</f>
        <v>0</v>
      </c>
      <c r="EL373" s="50">
        <f>IF(OR($V373=0,$W373=0),0,IF(EL$367&gt;$V373,0,SUM($Y349:EL349)/$W373))</f>
        <v>0</v>
      </c>
      <c r="EM373" s="50">
        <f>IF(OR($V373=0,$W373=0),0,IF(EM$367&gt;$V373,0,SUM($Y349:EM349)/$W373))</f>
        <v>0</v>
      </c>
      <c r="EN373" s="50">
        <f>IF(OR($V373=0,$W373=0),0,IF(EN$367&gt;$V373,0,SUM($Y349:EN349)/$W373))</f>
        <v>0</v>
      </c>
      <c r="EO373" s="39">
        <v>51</v>
      </c>
      <c r="EP373" s="39">
        <v>51</v>
      </c>
      <c r="EQ373" s="39">
        <v>51</v>
      </c>
      <c r="ER373" s="39">
        <v>51</v>
      </c>
      <c r="ES373" s="39">
        <v>51</v>
      </c>
      <c r="ET373" s="39">
        <v>51</v>
      </c>
      <c r="EU373" s="39">
        <v>51</v>
      </c>
      <c r="EV373" s="39">
        <v>51</v>
      </c>
      <c r="EW373" s="39">
        <v>51</v>
      </c>
      <c r="EX373" s="39">
        <v>51</v>
      </c>
    </row>
    <row r="374" spans="11:154" ht="12" customHeight="1" x14ac:dyDescent="0.35">
      <c r="K374" s="1667"/>
      <c r="L374" s="1667"/>
      <c r="M374" s="1667"/>
      <c r="N374" s="1667"/>
      <c r="O374" s="1667"/>
      <c r="P374" s="1667"/>
      <c r="Q374" s="1667"/>
      <c r="R374" s="1667"/>
      <c r="S374" s="1667"/>
      <c r="T374" s="1667"/>
      <c r="U374" s="59"/>
      <c r="V374" s="1636">
        <f t="shared" si="192"/>
        <v>0</v>
      </c>
      <c r="W374" s="102">
        <f t="shared" si="193"/>
        <v>0</v>
      </c>
      <c r="X374" s="381">
        <f t="shared" si="194"/>
        <v>0</v>
      </c>
      <c r="Y374" s="1645">
        <f>IF(OR($V374=0,$W374=0),0,IF(Y$367&gt;$V374,0,SUM($Y350:Y350)/$W374))</f>
        <v>0</v>
      </c>
      <c r="Z374" s="1646">
        <f>IF(OR($V374=0,$W374=0),0,IF(Z$367&gt;$V374,0,SUM($Y350:Z350)/$W374))</f>
        <v>0</v>
      </c>
      <c r="AA374" s="1646">
        <f>IF(OR($V374=0,$W374=0),0,IF(AA$367&gt;$V374,0,SUM($Y350:AA350)/$W374))</f>
        <v>0</v>
      </c>
      <c r="AB374" s="1646">
        <f>IF(OR($V374=0,$W374=0),0,IF(AB$367&gt;$V374,0,SUM($Y350:AB350)/$W374))</f>
        <v>0</v>
      </c>
      <c r="AC374" s="1646">
        <f>IF(OR($V374=0,$W374=0),0,IF(AC$367&gt;$V374,0,SUM($Y350:AC350)/$W374))</f>
        <v>0</v>
      </c>
      <c r="AD374" s="1646">
        <f>IF(OR($V374=0,$W374=0),0,IF(AD$367&gt;$V374,0,SUM($Y350:AD350)/$W374))</f>
        <v>0</v>
      </c>
      <c r="AE374" s="1646">
        <f>IF(OR($V374=0,$W374=0),0,IF(AE$367&gt;$V374,0,SUM($Y350:AE350)/$W374))</f>
        <v>0</v>
      </c>
      <c r="AF374" s="1155">
        <f>IF(OR($V374=0,$W374=0),0,IF(AF$367&gt;$V374,0,SUM($Y350:AF350)/$W374))</f>
        <v>0</v>
      </c>
      <c r="AG374" s="1155">
        <f>IF(OR($V374=0,$W374=0),0,IF(AG$367&gt;$V374,0,SUM($Y350:AG350)/$W374))</f>
        <v>0</v>
      </c>
      <c r="AH374" s="1155">
        <f>IF(OR($V374=0,$W374=0),0,IF(AH$367&gt;$V374,0,SUM($Y350:AH350)/$W374))</f>
        <v>0</v>
      </c>
      <c r="AI374" s="1155">
        <f>IF(OR($V374=0,$W374=0),0,IF(AI$367&gt;$V374,0,SUM($Y350:AI350)/$W374))</f>
        <v>0</v>
      </c>
      <c r="AJ374" s="1155">
        <f>IF(OR($V374=0,$W374=0),0,IF(AJ$367&gt;$V374,0,SUM($Y350:AJ350)/$W374))</f>
        <v>0</v>
      </c>
      <c r="AK374" s="1155">
        <f>IF(OR($V374=0,$W374=0),0,IF(AK$367&gt;$V374,0,SUM($Y350:AK350)/$W374))</f>
        <v>0</v>
      </c>
      <c r="AL374" s="1155">
        <f>IF(OR($V374=0,$W374=0),0,IF(AL$367&gt;$V374,0,SUM($Y350:AL350)/$W374))</f>
        <v>0</v>
      </c>
      <c r="AM374" s="1155">
        <f>IF(OR($V374=0,$W374=0),0,IF(AM$367&gt;$V374,0,SUM($Y350:AM350)/$W374))</f>
        <v>0</v>
      </c>
      <c r="AN374" s="1155">
        <f>IF(OR($V374=0,$W374=0),0,IF(AN$367&gt;$V374,0,SUM($Y350:AN350)/$W374))</f>
        <v>0</v>
      </c>
      <c r="AO374" s="1155">
        <f>IF(OR($V374=0,$W374=0),0,IF(AO$367&gt;$V374,0,SUM($Y350:AO350)/$W374))</f>
        <v>0</v>
      </c>
      <c r="AP374" s="1155">
        <f>IF(OR($V374=0,$W374=0),0,IF(AP$367&gt;$V374,0,SUM($Y350:AP350)/$W374))</f>
        <v>0</v>
      </c>
      <c r="AQ374" s="1155">
        <f>IF(OR($V374=0,$W374=0),0,IF(AQ$367&gt;$V374,0,SUM($Y350:AQ350)/$W374))</f>
        <v>0</v>
      </c>
      <c r="AR374" s="1155">
        <f>IF(OR($V374=0,$W374=0),0,IF(AR$367&gt;$V374,0,SUM($Y350:AR350)/$W374))</f>
        <v>0</v>
      </c>
      <c r="AS374" s="1155">
        <f>IF(OR($V374=0,$W374=0),0,IF(AS$367&gt;$V374,0,SUM($Y350:AS350)/$W374))</f>
        <v>0</v>
      </c>
      <c r="AT374" s="1155">
        <f>IF(OR($V374=0,$W374=0),0,IF(AT$367&gt;$V374,0,SUM($Y350:AT350)/$W374))</f>
        <v>0</v>
      </c>
      <c r="AU374" s="1155">
        <f>IF(OR($V374=0,$W374=0),0,IF(AU$367&gt;$V374,0,SUM($Y350:AU350)/$W374))</f>
        <v>0</v>
      </c>
      <c r="AV374" s="1155">
        <f>IF(OR($V374=0,$W374=0),0,IF(AV$367&gt;$V374,0,SUM($Y350:AV350)/$W374))</f>
        <v>0</v>
      </c>
      <c r="AW374" s="1155">
        <f>IF(OR($V374=0,$W374=0),0,IF(AW$367&gt;$V374,0,SUM($Y350:AW350)/$W374))</f>
        <v>0</v>
      </c>
      <c r="AX374" s="1155">
        <f>IF(OR($V374=0,$W374=0),0,IF(AX$367&gt;$V374,0,SUM($Y350:AX350)/$W374))</f>
        <v>0</v>
      </c>
      <c r="AY374" s="1155">
        <f>IF(OR($V374=0,$W374=0),0,IF(AY$367&gt;$V374,0,SUM($Y350:AY350)/$W374))</f>
        <v>0</v>
      </c>
      <c r="AZ374" s="1155">
        <f>IF(OR($V374=0,$W374=0),0,IF(AZ$367&gt;$V374,0,SUM($Y350:AZ350)/$W374))</f>
        <v>0</v>
      </c>
      <c r="BA374" s="1155">
        <f>IF(OR($V374=0,$W374=0),0,IF(BA$367&gt;$V374,0,SUM($Y350:BA350)/$W374))</f>
        <v>0</v>
      </c>
      <c r="BB374" s="1155">
        <f>IF(OR($V374=0,$W374=0),0,IF(BB$367&gt;$V374,0,SUM($Y350:BB350)/$W374))</f>
        <v>0</v>
      </c>
      <c r="BC374" s="1155">
        <f>IF(OR($V374=0,$W374=0),0,IF(BC$367&gt;$V374,0,SUM($Y350:BC350)/$W374))</f>
        <v>0</v>
      </c>
      <c r="BD374" s="1155">
        <f>IF(OR($V374=0,$W374=0),0,IF(BD$367&gt;$V374,0,SUM($Y350:BD350)/$W374))</f>
        <v>0</v>
      </c>
      <c r="BE374" s="1155">
        <f>IF(OR($V374=0,$W374=0),0,IF(BE$367&gt;$V374,0,SUM($Y350:BE350)/$W374))</f>
        <v>0</v>
      </c>
      <c r="BF374" s="1155">
        <f>IF(OR($V374=0,$W374=0),0,IF(BF$367&gt;$V374,0,SUM($Y350:BF350)/$W374))</f>
        <v>0</v>
      </c>
      <c r="BG374" s="1155">
        <f>IF(OR($V374=0,$W374=0),0,IF(BG$367&gt;$V374,0,SUM($Y350:BG350)/$W374))</f>
        <v>0</v>
      </c>
      <c r="BH374" s="1155">
        <f>IF(OR($V374=0,$W374=0),0,IF(BH$367&gt;$V374,0,SUM($Y350:BH350)/$W374))</f>
        <v>0</v>
      </c>
      <c r="BI374" s="1155">
        <f>IF(OR($V374=0,$W374=0),0,IF(BI$367&gt;$V374,0,SUM($Y350:BI350)/$W374))</f>
        <v>0</v>
      </c>
      <c r="BJ374" s="1155">
        <f>IF(OR($V374=0,$W374=0),0,IF(BJ$367&gt;$V374,0,SUM($Y350:BJ350)/$W374))</f>
        <v>0</v>
      </c>
      <c r="BK374" s="1155">
        <f>IF(OR($V374=0,$W374=0),0,IF(BK$367&gt;$V374,0,SUM($Y350:BK350)/$W374))</f>
        <v>0</v>
      </c>
      <c r="BL374" s="1155">
        <f>IF(OR($V374=0,$W374=0),0,IF(BL$367&gt;$V374,0,SUM($Y350:BL350)/$W374))</f>
        <v>0</v>
      </c>
      <c r="BM374" s="1155">
        <f>IF(OR($V374=0,$W374=0),0,IF(BM$367&gt;$V374,0,SUM($Y350:BM350)/$W374))</f>
        <v>0</v>
      </c>
      <c r="BN374" s="1155">
        <f>IF(OR($V374=0,$W374=0),0,IF(BN$367&gt;$V374,0,SUM($Y350:BN350)/$W374))</f>
        <v>0</v>
      </c>
      <c r="BO374" s="1155">
        <f>IF(OR($V374=0,$W374=0),0,IF(BO$367&gt;$V374,0,SUM($Y350:BO350)/$W374))</f>
        <v>0</v>
      </c>
      <c r="BP374" s="1155">
        <f>IF(OR($V374=0,$W374=0),0,IF(BP$367&gt;$V374,0,SUM($Y350:BP350)/$W374))</f>
        <v>0</v>
      </c>
      <c r="BQ374" s="1155">
        <f>IF(OR($V374=0,$W374=0),0,IF(BQ$367&gt;$V374,0,SUM($Y350:BQ350)/$W374))</f>
        <v>0</v>
      </c>
      <c r="BR374" s="1155">
        <f>IF(OR($V374=0,$W374=0),0,IF(BR$367&gt;$V374,0,SUM($Y350:BR350)/$W374))</f>
        <v>0</v>
      </c>
      <c r="BS374" s="1155">
        <f>IF(OR($V374=0,$W374=0),0,IF(BS$367&gt;$V374,0,SUM($Y350:BS350)/$W374))</f>
        <v>0</v>
      </c>
      <c r="BT374" s="1155">
        <f>IF(OR($V374=0,$W374=0),0,IF(BT$367&gt;$V374,0,SUM($Y350:BT350)/$W374))</f>
        <v>0</v>
      </c>
      <c r="BU374" s="1155">
        <f>IF(OR($V374=0,$W374=0),0,IF(BU$367&gt;$V374,0,SUM($Y350:BU350)/$W374))</f>
        <v>0</v>
      </c>
      <c r="BV374" s="1155">
        <f>IF(OR($V374=0,$W374=0),0,IF(BV$367&gt;$V374,0,SUM($Y350:BV350)/$W374))</f>
        <v>0</v>
      </c>
      <c r="BW374" s="1155">
        <f>IF(OR($V374=0,$W374=0),0,IF(BW$367&gt;$V374,0,SUM($Y350:BW350)/$W374))</f>
        <v>0</v>
      </c>
      <c r="BX374" s="1162">
        <f>IF(OR($V374=0,$W374=0),0,IF(BX$367&gt;$V374,0,SUM($Y350:BX350)/$W374))</f>
        <v>0</v>
      </c>
      <c r="BY374" s="1162">
        <f>IF(OR($V374=0,$W374=0),0,IF(BY$367&gt;$V374,0,SUM($Y350:BY350)/$W374))</f>
        <v>0</v>
      </c>
      <c r="BZ374" s="1162">
        <f>IF(OR($V374=0,$W374=0),0,IF(BZ$367&gt;$V374,0,SUM($Y350:BZ350)/$W374))</f>
        <v>0</v>
      </c>
      <c r="CA374" s="1162">
        <f>IF(OR($V374=0,$W374=0),0,IF(CA$367&gt;$V374,0,SUM($Y350:CA350)/$W374))</f>
        <v>0</v>
      </c>
      <c r="CB374" s="1162">
        <f>IF(OR($V374=0,$W374=0),0,IF(CB$367&gt;$V374,0,SUM($Y350:CB350)/$W374))</f>
        <v>0</v>
      </c>
      <c r="CC374" s="1162">
        <f>IF(OR($V374=0,$W374=0),0,IF(CC$367&gt;$V374,0,SUM($Y350:CC350)/$W374))</f>
        <v>0</v>
      </c>
      <c r="CD374" s="1162">
        <f>IF(OR($V374=0,$W374=0),0,IF(CD$367&gt;$V374,0,SUM($Y350:CD350)/$W374))</f>
        <v>0</v>
      </c>
      <c r="CE374" s="1162">
        <f>IF(OR($V374=0,$W374=0),0,IF(CE$367&gt;$V374,0,SUM($Y350:CE350)/$W374))</f>
        <v>0</v>
      </c>
      <c r="CF374" s="1162">
        <f>IF(OR($V374=0,$W374=0),0,IF(CF$367&gt;$V374,0,SUM($Y350:CF350)/$W374))</f>
        <v>0</v>
      </c>
      <c r="CG374" s="1162">
        <f>IF(OR($V374=0,$W374=0),0,IF(CG$367&gt;$V374,0,SUM($Y350:CG350)/$W374))</f>
        <v>0</v>
      </c>
      <c r="CH374" s="1162">
        <f>IF(OR($V374=0,$W374=0),0,IF(CH$367&gt;$V374,0,SUM($Y350:CH350)/$W374))</f>
        <v>0</v>
      </c>
      <c r="CI374" s="1162">
        <f>IF(OR($V374=0,$W374=0),0,IF(CI$367&gt;$V374,0,SUM($Y350:CI350)/$W374))</f>
        <v>0</v>
      </c>
      <c r="CJ374" s="1162">
        <f>IF(OR($V374=0,$W374=0),0,IF(CJ$367&gt;$V374,0,SUM($Y350:CJ350)/$W374))</f>
        <v>0</v>
      </c>
      <c r="CK374" s="1162">
        <f>IF(OR($V374=0,$W374=0),0,IF(CK$367&gt;$V374,0,SUM($Y350:CK350)/$W374))</f>
        <v>0</v>
      </c>
      <c r="CL374" s="1162">
        <f>IF(OR($V374=0,$W374=0),0,IF(CL$367&gt;$V374,0,SUM($Y350:CL350)/$W374))</f>
        <v>0</v>
      </c>
      <c r="CM374" s="1162">
        <f>IF(OR($V374=0,$W374=0),0,IF(CM$367&gt;$V374,0,SUM($Y350:CM350)/$W374))</f>
        <v>0</v>
      </c>
      <c r="CN374" s="1162">
        <f>IF(OR($V374=0,$W374=0),0,IF(CN$367&gt;$V374,0,SUM($Y350:CN350)/$W374))</f>
        <v>0</v>
      </c>
      <c r="CO374" s="1162">
        <f>IF(OR($V374=0,$W374=0),0,IF(CO$367&gt;$V374,0,SUM($Y350:CO350)/$W374))</f>
        <v>0</v>
      </c>
      <c r="CP374" s="1162">
        <f>IF(OR($V374=0,$W374=0),0,IF(CP$367&gt;$V374,0,SUM($Y350:CP350)/$W374))</f>
        <v>0</v>
      </c>
      <c r="CQ374" s="48">
        <f>IF(OR($V374=0,$W374=0),0,IF(CQ$367&gt;$V374,0,SUM($Y350:CQ350)/$W374))</f>
        <v>0</v>
      </c>
      <c r="CR374" s="48">
        <f>IF(OR($V374=0,$W374=0),0,IF(CR$367&gt;$V374,0,SUM($Y350:CR350)/$W374))</f>
        <v>0</v>
      </c>
      <c r="CS374" s="48">
        <f>IF(OR($V374=0,$W374=0),0,IF(CS$367&gt;$V374,0,SUM($Y350:CS350)/$W374))</f>
        <v>0</v>
      </c>
      <c r="CT374" s="48">
        <f>IF(OR($V374=0,$W374=0),0,IF(CT$367&gt;$V374,0,SUM($Y350:CT350)/$W374))</f>
        <v>0</v>
      </c>
      <c r="CU374" s="48">
        <f>IF(OR($V374=0,$W374=0),0,IF(CU$367&gt;$V374,0,SUM($Y350:CU350)/$W374))</f>
        <v>0</v>
      </c>
      <c r="CV374" s="48">
        <f>IF(OR($V374=0,$W374=0),0,IF(CV$367&gt;$V374,0,SUM($Y350:CV350)/$W374))</f>
        <v>0</v>
      </c>
      <c r="CW374" s="48">
        <f>IF(OR($V374=0,$W374=0),0,IF(CW$367&gt;$V374,0,SUM($Y350:CW350)/$W374))</f>
        <v>0</v>
      </c>
      <c r="CX374" s="48">
        <f>IF(OR($V374=0,$W374=0),0,IF(CX$367&gt;$V374,0,SUM($Y350:CX350)/$W374))</f>
        <v>0</v>
      </c>
      <c r="CY374" s="48">
        <f>IF(OR($V374=0,$W374=0),0,IF(CY$367&gt;$V374,0,SUM($Y350:CY350)/$W374))</f>
        <v>0</v>
      </c>
      <c r="CZ374" s="48">
        <f>IF(OR($V374=0,$W374=0),0,IF(CZ$367&gt;$V374,0,SUM($Y350:CZ350)/$W374))</f>
        <v>0</v>
      </c>
      <c r="DA374" s="48">
        <f>IF(OR($V374=0,$W374=0),0,IF(DA$367&gt;$V374,0,SUM($Y350:DA350)/$W374))</f>
        <v>0</v>
      </c>
      <c r="DB374" s="48">
        <f>IF(OR($V374=0,$W374=0),0,IF(DB$367&gt;$V374,0,SUM($Y350:DB350)/$W374))</f>
        <v>0</v>
      </c>
      <c r="DC374" s="48">
        <f>IF(OR($V374=0,$W374=0),0,IF(DC$367&gt;$V374,0,SUM($Y350:DC350)/$W374))</f>
        <v>0</v>
      </c>
      <c r="DD374" s="48">
        <f>IF(OR($V374=0,$W374=0),0,IF(DD$367&gt;$V374,0,SUM($Y350:DD350)/$W374))</f>
        <v>0</v>
      </c>
      <c r="DE374" s="48">
        <f>IF(OR($V374=0,$W374=0),0,IF(DE$367&gt;$V374,0,SUM($Y350:DE350)/$W374))</f>
        <v>0</v>
      </c>
      <c r="DF374" s="48">
        <f>IF(OR($V374=0,$W374=0),0,IF(DF$367&gt;$V374,0,SUM($Y350:DF350)/$W374))</f>
        <v>0</v>
      </c>
      <c r="DG374" s="48">
        <f>IF(OR($V374=0,$W374=0),0,IF(DG$367&gt;$V374,0,SUM($Y350:DG350)/$W374))</f>
        <v>0</v>
      </c>
      <c r="DH374" s="48">
        <f>IF(OR($V374=0,$W374=0),0,IF(DH$367&gt;$V374,0,SUM($Y350:DH350)/$W374))</f>
        <v>0</v>
      </c>
      <c r="DI374" s="48">
        <f>IF(OR($V374=0,$W374=0),0,IF(DI$367&gt;$V374,0,SUM($Y350:DI350)/$W374))</f>
        <v>0</v>
      </c>
      <c r="DJ374" s="48">
        <f>IF(OR($V374=0,$W374=0),0,IF(DJ$367&gt;$V374,0,SUM($Y350:DJ350)/$W374))</f>
        <v>0</v>
      </c>
      <c r="DK374" s="48">
        <f>IF(OR($V374=0,$W374=0),0,IF(DK$367&gt;$V374,0,SUM($Y350:DK350)/$W374))</f>
        <v>0</v>
      </c>
      <c r="DL374" s="48">
        <f>IF(OR($V374=0,$W374=0),0,IF(DL$367&gt;$V374,0,SUM($Y350:DL350)/$W374))</f>
        <v>0</v>
      </c>
      <c r="DM374" s="48">
        <f>IF(OR($V374=0,$W374=0),0,IF(DM$367&gt;$V374,0,SUM($Y350:DM350)/$W374))</f>
        <v>0</v>
      </c>
      <c r="DN374" s="48">
        <f>IF(OR($V374=0,$W374=0),0,IF(DN$367&gt;$V374,0,SUM($Y350:DN350)/$W374))</f>
        <v>0</v>
      </c>
      <c r="DO374" s="48">
        <f>IF(OR($V374=0,$W374=0),0,IF(DO$367&gt;$V374,0,SUM($Y350:DO350)/$W374))</f>
        <v>0</v>
      </c>
      <c r="DP374" s="48">
        <f>IF(OR($V374=0,$W374=0),0,IF(DP$367&gt;$V374,0,SUM($Y350:DP350)/$W374))</f>
        <v>0</v>
      </c>
      <c r="DQ374" s="48">
        <f>IF(OR($V374=0,$W374=0),0,IF(DQ$367&gt;$V374,0,SUM($Y350:DQ350)/$W374))</f>
        <v>0</v>
      </c>
      <c r="DR374" s="50">
        <f>IF(OR($V374=0,$W374=0),0,IF(DR$367&gt;$V374,0,SUM($Y350:DR350)/$W374))</f>
        <v>0</v>
      </c>
      <c r="DS374" s="50">
        <f>IF(OR($V374=0,$W374=0),0,IF(DS$367&gt;$V374,0,SUM($Y350:DS350)/$W374))</f>
        <v>0</v>
      </c>
      <c r="DT374" s="50">
        <f>IF(OR($V374=0,$W374=0),0,IF(DT$367&gt;$V374,0,SUM($Y350:DT350)/$W374))</f>
        <v>0</v>
      </c>
      <c r="DU374" s="50">
        <f>IF(OR($V374=0,$W374=0),0,IF(DU$367&gt;$V374,0,SUM($Y350:DU350)/$W374))</f>
        <v>0</v>
      </c>
      <c r="DV374" s="50">
        <f>IF(OR($V374=0,$W374=0),0,IF(DV$367&gt;$V374,0,SUM($Y350:DV350)/$W374))</f>
        <v>0</v>
      </c>
      <c r="DW374" s="50">
        <f>IF(OR($V374=0,$W374=0),0,IF(DW$367&gt;$V374,0,SUM($Y350:DW350)/$W374))</f>
        <v>0</v>
      </c>
      <c r="DX374" s="50">
        <f>IF(OR($V374=0,$W374=0),0,IF(DX$367&gt;$V374,0,SUM($Y350:DX350)/$W374))</f>
        <v>0</v>
      </c>
      <c r="DY374" s="50">
        <f>IF(OR($V374=0,$W374=0),0,IF(DY$367&gt;$V374,0,SUM($Y350:DY350)/$W374))</f>
        <v>0</v>
      </c>
      <c r="DZ374" s="50">
        <f>IF(OR($V374=0,$W374=0),0,IF(DZ$367&gt;$V374,0,SUM($Y350:DZ350)/$W374))</f>
        <v>0</v>
      </c>
      <c r="EA374" s="50">
        <f>IF(OR($V374=0,$W374=0),0,IF(EA$367&gt;$V374,0,SUM($Y350:EA350)/$W374))</f>
        <v>0</v>
      </c>
      <c r="EB374" s="50">
        <f>IF(OR($V374=0,$W374=0),0,IF(EB$367&gt;$V374,0,SUM($Y350:EB350)/$W374))</f>
        <v>0</v>
      </c>
      <c r="EC374" s="50">
        <f>IF(OR($V374=0,$W374=0),0,IF(EC$367&gt;$V374,0,SUM($Y350:EC350)/$W374))</f>
        <v>0</v>
      </c>
      <c r="ED374" s="50">
        <f>IF(OR($V374=0,$W374=0),0,IF(ED$367&gt;$V374,0,SUM($Y350:ED350)/$W374))</f>
        <v>0</v>
      </c>
      <c r="EE374" s="50">
        <f>IF(OR($V374=0,$W374=0),0,IF(EE$367&gt;$V374,0,SUM($Y350:EE350)/$W374))</f>
        <v>0</v>
      </c>
      <c r="EF374" s="50">
        <f>IF(OR($V374=0,$W374=0),0,IF(EF$367&gt;$V374,0,SUM($Y350:EF350)/$W374))</f>
        <v>0</v>
      </c>
      <c r="EG374" s="50">
        <f>IF(OR($V374=0,$W374=0),0,IF(EG$367&gt;$V374,0,SUM($Y350:EG350)/$W374))</f>
        <v>0</v>
      </c>
      <c r="EH374" s="50">
        <f>IF(OR($V374=0,$W374=0),0,IF(EH$367&gt;$V374,0,SUM($Y350:EH350)/$W374))</f>
        <v>0</v>
      </c>
      <c r="EI374" s="50">
        <f>IF(OR($V374=0,$W374=0),0,IF(EI$367&gt;$V374,0,SUM($Y350:EI350)/$W374))</f>
        <v>0</v>
      </c>
      <c r="EJ374" s="50">
        <f>IF(OR($V374=0,$W374=0),0,IF(EJ$367&gt;$V374,0,SUM($Y350:EJ350)/$W374))</f>
        <v>0</v>
      </c>
      <c r="EK374" s="50">
        <f>IF(OR($V374=0,$W374=0),0,IF(EK$367&gt;$V374,0,SUM($Y350:EK350)/$W374))</f>
        <v>0</v>
      </c>
      <c r="EL374" s="50">
        <f>IF(OR($V374=0,$W374=0),0,IF(EL$367&gt;$V374,0,SUM($Y350:EL350)/$W374))</f>
        <v>0</v>
      </c>
      <c r="EM374" s="50">
        <f>IF(OR($V374=0,$W374=0),0,IF(EM$367&gt;$V374,0,SUM($Y350:EM350)/$W374))</f>
        <v>0</v>
      </c>
      <c r="EN374" s="50">
        <f>IF(OR($V374=0,$W374=0),0,IF(EN$367&gt;$V374,0,SUM($Y350:EN350)/$W374))</f>
        <v>0</v>
      </c>
      <c r="EO374" s="39">
        <v>51</v>
      </c>
      <c r="EP374" s="39">
        <v>51</v>
      </c>
      <c r="EQ374" s="39">
        <v>51</v>
      </c>
      <c r="ER374" s="39">
        <v>51</v>
      </c>
      <c r="ES374" s="39">
        <v>51</v>
      </c>
      <c r="ET374" s="39">
        <v>51</v>
      </c>
      <c r="EU374" s="39">
        <v>51</v>
      </c>
      <c r="EV374" s="39">
        <v>51</v>
      </c>
      <c r="EW374" s="39">
        <v>51</v>
      </c>
      <c r="EX374" s="39">
        <v>51</v>
      </c>
    </row>
    <row r="375" spans="11:154" ht="12" customHeight="1" x14ac:dyDescent="0.35">
      <c r="K375" s="1667"/>
      <c r="L375" s="1667"/>
      <c r="M375" s="1667"/>
      <c r="N375" s="1667"/>
      <c r="O375" s="1667"/>
      <c r="P375" s="1667"/>
      <c r="Q375" s="1667"/>
      <c r="R375" s="1667"/>
      <c r="S375" s="1667"/>
      <c r="T375" s="1667"/>
      <c r="U375" s="59"/>
      <c r="V375" s="1636">
        <f t="shared" si="192"/>
        <v>0</v>
      </c>
      <c r="W375" s="102">
        <f t="shared" si="193"/>
        <v>0</v>
      </c>
      <c r="X375" s="381">
        <f t="shared" si="194"/>
        <v>0</v>
      </c>
      <c r="Y375" s="1645">
        <f>IF(OR($V375=0,$W375=0),0,IF(Y$367&gt;$V375,0,SUM($Y351:Y351)/$W375))</f>
        <v>0</v>
      </c>
      <c r="Z375" s="1646">
        <f>IF(OR($V375=0,$W375=0),0,IF(Z$367&gt;$V375,0,SUM($Y351:Z351)/$W375))</f>
        <v>0</v>
      </c>
      <c r="AA375" s="1646">
        <f>IF(OR($V375=0,$W375=0),0,IF(AA$367&gt;$V375,0,SUM($Y351:AA351)/$W375))</f>
        <v>0</v>
      </c>
      <c r="AB375" s="1646">
        <f>IF(OR($V375=0,$W375=0),0,IF(AB$367&gt;$V375,0,SUM($Y351:AB351)/$W375))</f>
        <v>0</v>
      </c>
      <c r="AC375" s="1646">
        <f>IF(OR($V375=0,$W375=0),0,IF(AC$367&gt;$V375,0,SUM($Y351:AC351)/$W375))</f>
        <v>0</v>
      </c>
      <c r="AD375" s="1646">
        <f>IF(OR($V375=0,$W375=0),0,IF(AD$367&gt;$V375,0,SUM($Y351:AD351)/$W375))</f>
        <v>0</v>
      </c>
      <c r="AE375" s="1646">
        <f>IF(OR($V375=0,$W375=0),0,IF(AE$367&gt;$V375,0,SUM($Y351:AE351)/$W375))</f>
        <v>0</v>
      </c>
      <c r="AF375" s="1155">
        <f>IF(OR($V375=0,$W375=0),0,IF(AF$367&gt;$V375,0,SUM($Y351:AF351)/$W375))</f>
        <v>0</v>
      </c>
      <c r="AG375" s="1155">
        <f>IF(OR($V375=0,$W375=0),0,IF(AG$367&gt;$V375,0,SUM($Y351:AG351)/$W375))</f>
        <v>0</v>
      </c>
      <c r="AH375" s="1155">
        <f>IF(OR($V375=0,$W375=0),0,IF(AH$367&gt;$V375,0,SUM($Y351:AH351)/$W375))</f>
        <v>0</v>
      </c>
      <c r="AI375" s="1155">
        <f>IF(OR($V375=0,$W375=0),0,IF(AI$367&gt;$V375,0,SUM($Y351:AI351)/$W375))</f>
        <v>0</v>
      </c>
      <c r="AJ375" s="1155">
        <f>IF(OR($V375=0,$W375=0),0,IF(AJ$367&gt;$V375,0,SUM($Y351:AJ351)/$W375))</f>
        <v>0</v>
      </c>
      <c r="AK375" s="1155">
        <f>IF(OR($V375=0,$W375=0),0,IF(AK$367&gt;$V375,0,SUM($Y351:AK351)/$W375))</f>
        <v>0</v>
      </c>
      <c r="AL375" s="1155">
        <f>IF(OR($V375=0,$W375=0),0,IF(AL$367&gt;$V375,0,SUM($Y351:AL351)/$W375))</f>
        <v>0</v>
      </c>
      <c r="AM375" s="1155">
        <f>IF(OR($V375=0,$W375=0),0,IF(AM$367&gt;$V375,0,SUM($Y351:AM351)/$W375))</f>
        <v>0</v>
      </c>
      <c r="AN375" s="1155">
        <f>IF(OR($V375=0,$W375=0),0,IF(AN$367&gt;$V375,0,SUM($Y351:AN351)/$W375))</f>
        <v>0</v>
      </c>
      <c r="AO375" s="1155">
        <f>IF(OR($V375=0,$W375=0),0,IF(AO$367&gt;$V375,0,SUM($Y351:AO351)/$W375))</f>
        <v>0</v>
      </c>
      <c r="AP375" s="1155">
        <f>IF(OR($V375=0,$W375=0),0,IF(AP$367&gt;$V375,0,SUM($Y351:AP351)/$W375))</f>
        <v>0</v>
      </c>
      <c r="AQ375" s="1155">
        <f>IF(OR($V375=0,$W375=0),0,IF(AQ$367&gt;$V375,0,SUM($Y351:AQ351)/$W375))</f>
        <v>0</v>
      </c>
      <c r="AR375" s="1155">
        <f>IF(OR($V375=0,$W375=0),0,IF(AR$367&gt;$V375,0,SUM($Y351:AR351)/$W375))</f>
        <v>0</v>
      </c>
      <c r="AS375" s="1155">
        <f>IF(OR($V375=0,$W375=0),0,IF(AS$367&gt;$V375,0,SUM($Y351:AS351)/$W375))</f>
        <v>0</v>
      </c>
      <c r="AT375" s="1155">
        <f>IF(OR($V375=0,$W375=0),0,IF(AT$367&gt;$V375,0,SUM($Y351:AT351)/$W375))</f>
        <v>0</v>
      </c>
      <c r="AU375" s="1155">
        <f>IF(OR($V375=0,$W375=0),0,IF(AU$367&gt;$V375,0,SUM($Y351:AU351)/$W375))</f>
        <v>0</v>
      </c>
      <c r="AV375" s="1155">
        <f>IF(OR($V375=0,$W375=0),0,IF(AV$367&gt;$V375,0,SUM($Y351:AV351)/$W375))</f>
        <v>0</v>
      </c>
      <c r="AW375" s="1155">
        <f>IF(OR($V375=0,$W375=0),0,IF(AW$367&gt;$V375,0,SUM($Y351:AW351)/$W375))</f>
        <v>0</v>
      </c>
      <c r="AX375" s="1155">
        <f>IF(OR($V375=0,$W375=0),0,IF(AX$367&gt;$V375,0,SUM($Y351:AX351)/$W375))</f>
        <v>0</v>
      </c>
      <c r="AY375" s="1155">
        <f>IF(OR($V375=0,$W375=0),0,IF(AY$367&gt;$V375,0,SUM($Y351:AY351)/$W375))</f>
        <v>0</v>
      </c>
      <c r="AZ375" s="1155">
        <f>IF(OR($V375=0,$W375=0),0,IF(AZ$367&gt;$V375,0,SUM($Y351:AZ351)/$W375))</f>
        <v>0</v>
      </c>
      <c r="BA375" s="1155">
        <f>IF(OR($V375=0,$W375=0),0,IF(BA$367&gt;$V375,0,SUM($Y351:BA351)/$W375))</f>
        <v>0</v>
      </c>
      <c r="BB375" s="1155">
        <f>IF(OR($V375=0,$W375=0),0,IF(BB$367&gt;$V375,0,SUM($Y351:BB351)/$W375))</f>
        <v>0</v>
      </c>
      <c r="BC375" s="1155">
        <f>IF(OR($V375=0,$W375=0),0,IF(BC$367&gt;$V375,0,SUM($Y351:BC351)/$W375))</f>
        <v>0</v>
      </c>
      <c r="BD375" s="1155">
        <f>IF(OR($V375=0,$W375=0),0,IF(BD$367&gt;$V375,0,SUM($Y351:BD351)/$W375))</f>
        <v>0</v>
      </c>
      <c r="BE375" s="1155">
        <f>IF(OR($V375=0,$W375=0),0,IF(BE$367&gt;$V375,0,SUM($Y351:BE351)/$W375))</f>
        <v>0</v>
      </c>
      <c r="BF375" s="1155">
        <f>IF(OR($V375=0,$W375=0),0,IF(BF$367&gt;$V375,0,SUM($Y351:BF351)/$W375))</f>
        <v>0</v>
      </c>
      <c r="BG375" s="1155">
        <f>IF(OR($V375=0,$W375=0),0,IF(BG$367&gt;$V375,0,SUM($Y351:BG351)/$W375))</f>
        <v>0</v>
      </c>
      <c r="BH375" s="1155">
        <f>IF(OR($V375=0,$W375=0),0,IF(BH$367&gt;$V375,0,SUM($Y351:BH351)/$W375))</f>
        <v>0</v>
      </c>
      <c r="BI375" s="1155">
        <f>IF(OR($V375=0,$W375=0),0,IF(BI$367&gt;$V375,0,SUM($Y351:BI351)/$W375))</f>
        <v>0</v>
      </c>
      <c r="BJ375" s="1155">
        <f>IF(OR($V375=0,$W375=0),0,IF(BJ$367&gt;$V375,0,SUM($Y351:BJ351)/$W375))</f>
        <v>0</v>
      </c>
      <c r="BK375" s="1155">
        <f>IF(OR($V375=0,$W375=0),0,IF(BK$367&gt;$V375,0,SUM($Y351:BK351)/$W375))</f>
        <v>0</v>
      </c>
      <c r="BL375" s="1155">
        <f>IF(OR($V375=0,$W375=0),0,IF(BL$367&gt;$V375,0,SUM($Y351:BL351)/$W375))</f>
        <v>0</v>
      </c>
      <c r="BM375" s="1155">
        <f>IF(OR($V375=0,$W375=0),0,IF(BM$367&gt;$V375,0,SUM($Y351:BM351)/$W375))</f>
        <v>0</v>
      </c>
      <c r="BN375" s="1155">
        <f>IF(OR($V375=0,$W375=0),0,IF(BN$367&gt;$V375,0,SUM($Y351:BN351)/$W375))</f>
        <v>0</v>
      </c>
      <c r="BO375" s="1155">
        <f>IF(OR($V375=0,$W375=0),0,IF(BO$367&gt;$V375,0,SUM($Y351:BO351)/$W375))</f>
        <v>0</v>
      </c>
      <c r="BP375" s="1155">
        <f>IF(OR($V375=0,$W375=0),0,IF(BP$367&gt;$V375,0,SUM($Y351:BP351)/$W375))</f>
        <v>0</v>
      </c>
      <c r="BQ375" s="1155">
        <f>IF(OR($V375=0,$W375=0),0,IF(BQ$367&gt;$V375,0,SUM($Y351:BQ351)/$W375))</f>
        <v>0</v>
      </c>
      <c r="BR375" s="1155">
        <f>IF(OR($V375=0,$W375=0),0,IF(BR$367&gt;$V375,0,SUM($Y351:BR351)/$W375))</f>
        <v>0</v>
      </c>
      <c r="BS375" s="1155">
        <f>IF(OR($V375=0,$W375=0),0,IF(BS$367&gt;$V375,0,SUM($Y351:BS351)/$W375))</f>
        <v>0</v>
      </c>
      <c r="BT375" s="1155">
        <f>IF(OR($V375=0,$W375=0),0,IF(BT$367&gt;$V375,0,SUM($Y351:BT351)/$W375))</f>
        <v>0</v>
      </c>
      <c r="BU375" s="1155">
        <f>IF(OR($V375=0,$W375=0),0,IF(BU$367&gt;$V375,0,SUM($Y351:BU351)/$W375))</f>
        <v>0</v>
      </c>
      <c r="BV375" s="1155">
        <f>IF(OR($V375=0,$W375=0),0,IF(BV$367&gt;$V375,0,SUM($Y351:BV351)/$W375))</f>
        <v>0</v>
      </c>
      <c r="BW375" s="1155">
        <f>IF(OR($V375=0,$W375=0),0,IF(BW$367&gt;$V375,0,SUM($Y351:BW351)/$W375))</f>
        <v>0</v>
      </c>
      <c r="BX375" s="1162">
        <f>IF(OR($V375=0,$W375=0),0,IF(BX$367&gt;$V375,0,SUM($Y351:BX351)/$W375))</f>
        <v>0</v>
      </c>
      <c r="BY375" s="1162">
        <f>IF(OR($V375=0,$W375=0),0,IF(BY$367&gt;$V375,0,SUM($Y351:BY351)/$W375))</f>
        <v>0</v>
      </c>
      <c r="BZ375" s="1162">
        <f>IF(OR($V375=0,$W375=0),0,IF(BZ$367&gt;$V375,0,SUM($Y351:BZ351)/$W375))</f>
        <v>0</v>
      </c>
      <c r="CA375" s="1162">
        <f>IF(OR($V375=0,$W375=0),0,IF(CA$367&gt;$V375,0,SUM($Y351:CA351)/$W375))</f>
        <v>0</v>
      </c>
      <c r="CB375" s="1162">
        <f>IF(OR($V375=0,$W375=0),0,IF(CB$367&gt;$V375,0,SUM($Y351:CB351)/$W375))</f>
        <v>0</v>
      </c>
      <c r="CC375" s="1162">
        <f>IF(OR($V375=0,$W375=0),0,IF(CC$367&gt;$V375,0,SUM($Y351:CC351)/$W375))</f>
        <v>0</v>
      </c>
      <c r="CD375" s="1162">
        <f>IF(OR($V375=0,$W375=0),0,IF(CD$367&gt;$V375,0,SUM($Y351:CD351)/$W375))</f>
        <v>0</v>
      </c>
      <c r="CE375" s="1162">
        <f>IF(OR($V375=0,$W375=0),0,IF(CE$367&gt;$V375,0,SUM($Y351:CE351)/$W375))</f>
        <v>0</v>
      </c>
      <c r="CF375" s="1162">
        <f>IF(OR($V375=0,$W375=0),0,IF(CF$367&gt;$V375,0,SUM($Y351:CF351)/$W375))</f>
        <v>0</v>
      </c>
      <c r="CG375" s="1162">
        <f>IF(OR($V375=0,$W375=0),0,IF(CG$367&gt;$V375,0,SUM($Y351:CG351)/$W375))</f>
        <v>0</v>
      </c>
      <c r="CH375" s="1162">
        <f>IF(OR($V375=0,$W375=0),0,IF(CH$367&gt;$V375,0,SUM($Y351:CH351)/$W375))</f>
        <v>0</v>
      </c>
      <c r="CI375" s="1162">
        <f>IF(OR($V375=0,$W375=0),0,IF(CI$367&gt;$V375,0,SUM($Y351:CI351)/$W375))</f>
        <v>0</v>
      </c>
      <c r="CJ375" s="1162">
        <f>IF(OR($V375=0,$W375=0),0,IF(CJ$367&gt;$V375,0,SUM($Y351:CJ351)/$W375))</f>
        <v>0</v>
      </c>
      <c r="CK375" s="1162">
        <f>IF(OR($V375=0,$W375=0),0,IF(CK$367&gt;$V375,0,SUM($Y351:CK351)/$W375))</f>
        <v>0</v>
      </c>
      <c r="CL375" s="1162">
        <f>IF(OR($V375=0,$W375=0),0,IF(CL$367&gt;$V375,0,SUM($Y351:CL351)/$W375))</f>
        <v>0</v>
      </c>
      <c r="CM375" s="1162">
        <f>IF(OR($V375=0,$W375=0),0,IF(CM$367&gt;$V375,0,SUM($Y351:CM351)/$W375))</f>
        <v>0</v>
      </c>
      <c r="CN375" s="1162">
        <f>IF(OR($V375=0,$W375=0),0,IF(CN$367&gt;$V375,0,SUM($Y351:CN351)/$W375))</f>
        <v>0</v>
      </c>
      <c r="CO375" s="1162">
        <f>IF(OR($V375=0,$W375=0),0,IF(CO$367&gt;$V375,0,SUM($Y351:CO351)/$W375))</f>
        <v>0</v>
      </c>
      <c r="CP375" s="1162">
        <f>IF(OR($V375=0,$W375=0),0,IF(CP$367&gt;$V375,0,SUM($Y351:CP351)/$W375))</f>
        <v>0</v>
      </c>
      <c r="CQ375" s="48">
        <f>IF(OR($V375=0,$W375=0),0,IF(CQ$367&gt;$V375,0,SUM($Y351:CQ351)/$W375))</f>
        <v>0</v>
      </c>
      <c r="CR375" s="48">
        <f>IF(OR($V375=0,$W375=0),0,IF(CR$367&gt;$V375,0,SUM($Y351:CR351)/$W375))</f>
        <v>0</v>
      </c>
      <c r="CS375" s="48">
        <f>IF(OR($V375=0,$W375=0),0,IF(CS$367&gt;$V375,0,SUM($Y351:CS351)/$W375))</f>
        <v>0</v>
      </c>
      <c r="CT375" s="48">
        <f>IF(OR($V375=0,$W375=0),0,IF(CT$367&gt;$V375,0,SUM($Y351:CT351)/$W375))</f>
        <v>0</v>
      </c>
      <c r="CU375" s="48">
        <f>IF(OR($V375=0,$W375=0),0,IF(CU$367&gt;$V375,0,SUM($Y351:CU351)/$W375))</f>
        <v>0</v>
      </c>
      <c r="CV375" s="48">
        <f>IF(OR($V375=0,$W375=0),0,IF(CV$367&gt;$V375,0,SUM($Y351:CV351)/$W375))</f>
        <v>0</v>
      </c>
      <c r="CW375" s="48">
        <f>IF(OR($V375=0,$W375=0),0,IF(CW$367&gt;$V375,0,SUM($Y351:CW351)/$W375))</f>
        <v>0</v>
      </c>
      <c r="CX375" s="48">
        <f>IF(OR($V375=0,$W375=0),0,IF(CX$367&gt;$V375,0,SUM($Y351:CX351)/$W375))</f>
        <v>0</v>
      </c>
      <c r="CY375" s="48">
        <f>IF(OR($V375=0,$W375=0),0,IF(CY$367&gt;$V375,0,SUM($Y351:CY351)/$W375))</f>
        <v>0</v>
      </c>
      <c r="CZ375" s="48">
        <f>IF(OR($V375=0,$W375=0),0,IF(CZ$367&gt;$V375,0,SUM($Y351:CZ351)/$W375))</f>
        <v>0</v>
      </c>
      <c r="DA375" s="48">
        <f>IF(OR($V375=0,$W375=0),0,IF(DA$367&gt;$V375,0,SUM($Y351:DA351)/$W375))</f>
        <v>0</v>
      </c>
      <c r="DB375" s="48">
        <f>IF(OR($V375=0,$W375=0),0,IF(DB$367&gt;$V375,0,SUM($Y351:DB351)/$W375))</f>
        <v>0</v>
      </c>
      <c r="DC375" s="48">
        <f>IF(OR($V375=0,$W375=0),0,IF(DC$367&gt;$V375,0,SUM($Y351:DC351)/$W375))</f>
        <v>0</v>
      </c>
      <c r="DD375" s="48">
        <f>IF(OR($V375=0,$W375=0),0,IF(DD$367&gt;$V375,0,SUM($Y351:DD351)/$W375))</f>
        <v>0</v>
      </c>
      <c r="DE375" s="48">
        <f>IF(OR($V375=0,$W375=0),0,IF(DE$367&gt;$V375,0,SUM($Y351:DE351)/$W375))</f>
        <v>0</v>
      </c>
      <c r="DF375" s="48">
        <f>IF(OR($V375=0,$W375=0),0,IF(DF$367&gt;$V375,0,SUM($Y351:DF351)/$W375))</f>
        <v>0</v>
      </c>
      <c r="DG375" s="48">
        <f>IF(OR($V375=0,$W375=0),0,IF(DG$367&gt;$V375,0,SUM($Y351:DG351)/$W375))</f>
        <v>0</v>
      </c>
      <c r="DH375" s="48">
        <f>IF(OR($V375=0,$W375=0),0,IF(DH$367&gt;$V375,0,SUM($Y351:DH351)/$W375))</f>
        <v>0</v>
      </c>
      <c r="DI375" s="48">
        <f>IF(OR($V375=0,$W375=0),0,IF(DI$367&gt;$V375,0,SUM($Y351:DI351)/$W375))</f>
        <v>0</v>
      </c>
      <c r="DJ375" s="48">
        <f>IF(OR($V375=0,$W375=0),0,IF(DJ$367&gt;$V375,0,SUM($Y351:DJ351)/$W375))</f>
        <v>0</v>
      </c>
      <c r="DK375" s="48">
        <f>IF(OR($V375=0,$W375=0),0,IF(DK$367&gt;$V375,0,SUM($Y351:DK351)/$W375))</f>
        <v>0</v>
      </c>
      <c r="DL375" s="48">
        <f>IF(OR($V375=0,$W375=0),0,IF(DL$367&gt;$V375,0,SUM($Y351:DL351)/$W375))</f>
        <v>0</v>
      </c>
      <c r="DM375" s="48">
        <f>IF(OR($V375=0,$W375=0),0,IF(DM$367&gt;$V375,0,SUM($Y351:DM351)/$W375))</f>
        <v>0</v>
      </c>
      <c r="DN375" s="48">
        <f>IF(OR($V375=0,$W375=0),0,IF(DN$367&gt;$V375,0,SUM($Y351:DN351)/$W375))</f>
        <v>0</v>
      </c>
      <c r="DO375" s="48">
        <f>IF(OR($V375=0,$W375=0),0,IF(DO$367&gt;$V375,0,SUM($Y351:DO351)/$W375))</f>
        <v>0</v>
      </c>
      <c r="DP375" s="48">
        <f>IF(OR($V375=0,$W375=0),0,IF(DP$367&gt;$V375,0,SUM($Y351:DP351)/$W375))</f>
        <v>0</v>
      </c>
      <c r="DQ375" s="48">
        <f>IF(OR($V375=0,$W375=0),0,IF(DQ$367&gt;$V375,0,SUM($Y351:DQ351)/$W375))</f>
        <v>0</v>
      </c>
      <c r="DR375" s="50">
        <f>IF(OR($V375=0,$W375=0),0,IF(DR$367&gt;$V375,0,SUM($Y351:DR351)/$W375))</f>
        <v>0</v>
      </c>
      <c r="DS375" s="50">
        <f>IF(OR($V375=0,$W375=0),0,IF(DS$367&gt;$V375,0,SUM($Y351:DS351)/$W375))</f>
        <v>0</v>
      </c>
      <c r="DT375" s="50">
        <f>IF(OR($V375=0,$W375=0),0,IF(DT$367&gt;$V375,0,SUM($Y351:DT351)/$W375))</f>
        <v>0</v>
      </c>
      <c r="DU375" s="50">
        <f>IF(OR($V375=0,$W375=0),0,IF(DU$367&gt;$V375,0,SUM($Y351:DU351)/$W375))</f>
        <v>0</v>
      </c>
      <c r="DV375" s="50">
        <f>IF(OR($V375=0,$W375=0),0,IF(DV$367&gt;$V375,0,SUM($Y351:DV351)/$W375))</f>
        <v>0</v>
      </c>
      <c r="DW375" s="50">
        <f>IF(OR($V375=0,$W375=0),0,IF(DW$367&gt;$V375,0,SUM($Y351:DW351)/$W375))</f>
        <v>0</v>
      </c>
      <c r="DX375" s="50">
        <f>IF(OR($V375=0,$W375=0),0,IF(DX$367&gt;$V375,0,SUM($Y351:DX351)/$W375))</f>
        <v>0</v>
      </c>
      <c r="DY375" s="50">
        <f>IF(OR($V375=0,$W375=0),0,IF(DY$367&gt;$V375,0,SUM($Y351:DY351)/$W375))</f>
        <v>0</v>
      </c>
      <c r="DZ375" s="50">
        <f>IF(OR($V375=0,$W375=0),0,IF(DZ$367&gt;$V375,0,SUM($Y351:DZ351)/$W375))</f>
        <v>0</v>
      </c>
      <c r="EA375" s="50">
        <f>IF(OR($V375=0,$W375=0),0,IF(EA$367&gt;$V375,0,SUM($Y351:EA351)/$W375))</f>
        <v>0</v>
      </c>
      <c r="EB375" s="50">
        <f>IF(OR($V375=0,$W375=0),0,IF(EB$367&gt;$V375,0,SUM($Y351:EB351)/$W375))</f>
        <v>0</v>
      </c>
      <c r="EC375" s="50">
        <f>IF(OR($V375=0,$W375=0),0,IF(EC$367&gt;$V375,0,SUM($Y351:EC351)/$W375))</f>
        <v>0</v>
      </c>
      <c r="ED375" s="50">
        <f>IF(OR($V375=0,$W375=0),0,IF(ED$367&gt;$V375,0,SUM($Y351:ED351)/$W375))</f>
        <v>0</v>
      </c>
      <c r="EE375" s="50">
        <f>IF(OR($V375=0,$W375=0),0,IF(EE$367&gt;$V375,0,SUM($Y351:EE351)/$W375))</f>
        <v>0</v>
      </c>
      <c r="EF375" s="50">
        <f>IF(OR($V375=0,$W375=0),0,IF(EF$367&gt;$V375,0,SUM($Y351:EF351)/$W375))</f>
        <v>0</v>
      </c>
      <c r="EG375" s="50">
        <f>IF(OR($V375=0,$W375=0),0,IF(EG$367&gt;$V375,0,SUM($Y351:EG351)/$W375))</f>
        <v>0</v>
      </c>
      <c r="EH375" s="50">
        <f>IF(OR($V375=0,$W375=0),0,IF(EH$367&gt;$V375,0,SUM($Y351:EH351)/$W375))</f>
        <v>0</v>
      </c>
      <c r="EI375" s="50">
        <f>IF(OR($V375=0,$W375=0),0,IF(EI$367&gt;$V375,0,SUM($Y351:EI351)/$W375))</f>
        <v>0</v>
      </c>
      <c r="EJ375" s="50">
        <f>IF(OR($V375=0,$W375=0),0,IF(EJ$367&gt;$V375,0,SUM($Y351:EJ351)/$W375))</f>
        <v>0</v>
      </c>
      <c r="EK375" s="50">
        <f>IF(OR($V375=0,$W375=0),0,IF(EK$367&gt;$V375,0,SUM($Y351:EK351)/$W375))</f>
        <v>0</v>
      </c>
      <c r="EL375" s="50">
        <f>IF(OR($V375=0,$W375=0),0,IF(EL$367&gt;$V375,0,SUM($Y351:EL351)/$W375))</f>
        <v>0</v>
      </c>
      <c r="EM375" s="50">
        <f>IF(OR($V375=0,$W375=0),0,IF(EM$367&gt;$V375,0,SUM($Y351:EM351)/$W375))</f>
        <v>0</v>
      </c>
      <c r="EN375" s="50">
        <f>IF(OR($V375=0,$W375=0),0,IF(EN$367&gt;$V375,0,SUM($Y351:EN351)/$W375))</f>
        <v>0</v>
      </c>
      <c r="EO375" s="39">
        <v>51</v>
      </c>
      <c r="EP375" s="39">
        <v>51</v>
      </c>
      <c r="EQ375" s="39">
        <v>51</v>
      </c>
      <c r="ER375" s="39">
        <v>51</v>
      </c>
      <c r="ES375" s="39">
        <v>51</v>
      </c>
      <c r="ET375" s="39">
        <v>51</v>
      </c>
      <c r="EU375" s="39">
        <v>51</v>
      </c>
      <c r="EV375" s="39">
        <v>51</v>
      </c>
      <c r="EW375" s="39">
        <v>51</v>
      </c>
      <c r="EX375" s="39">
        <v>51</v>
      </c>
    </row>
    <row r="376" spans="11:154" ht="12" customHeight="1" x14ac:dyDescent="0.35">
      <c r="K376" s="1667"/>
      <c r="L376" s="1667"/>
      <c r="M376" s="1667"/>
      <c r="N376" s="1667"/>
      <c r="O376" s="1667"/>
      <c r="P376" s="1667"/>
      <c r="Q376" s="1667"/>
      <c r="R376" s="1667"/>
      <c r="S376" s="1667"/>
      <c r="T376" s="1667"/>
      <c r="U376" s="59"/>
      <c r="V376" s="1636">
        <f t="shared" si="192"/>
        <v>0</v>
      </c>
      <c r="W376" s="102">
        <f t="shared" si="193"/>
        <v>0</v>
      </c>
      <c r="X376" s="381">
        <f t="shared" si="194"/>
        <v>0</v>
      </c>
      <c r="Y376" s="1645">
        <f>IF(OR($V376=0,$W376=0),0,IF(Y$367&gt;$V376,0,SUM($Y352:Y352)/$W376))</f>
        <v>0</v>
      </c>
      <c r="Z376" s="1646">
        <f>IF(OR($V376=0,$W376=0),0,IF(Z$367&gt;$V376,0,SUM($Y352:Z352)/$W376))</f>
        <v>0</v>
      </c>
      <c r="AA376" s="1646">
        <f>IF(OR($V376=0,$W376=0),0,IF(AA$367&gt;$V376,0,SUM($Y352:AA352)/$W376))</f>
        <v>0</v>
      </c>
      <c r="AB376" s="1646">
        <f>IF(OR($V376=0,$W376=0),0,IF(AB$367&gt;$V376,0,SUM($Y352:AB352)/$W376))</f>
        <v>0</v>
      </c>
      <c r="AC376" s="1646">
        <f>IF(OR($V376=0,$W376=0),0,IF(AC$367&gt;$V376,0,SUM($Y352:AC352)/$W376))</f>
        <v>0</v>
      </c>
      <c r="AD376" s="1646">
        <f>IF(OR($V376=0,$W376=0),0,IF(AD$367&gt;$V376,0,SUM($Y352:AD352)/$W376))</f>
        <v>0</v>
      </c>
      <c r="AE376" s="1646">
        <f>IF(OR($V376=0,$W376=0),0,IF(AE$367&gt;$V376,0,SUM($Y352:AE352)/$W376))</f>
        <v>0</v>
      </c>
      <c r="AF376" s="1155">
        <f>IF(OR($V376=0,$W376=0),0,IF(AF$367&gt;$V376,0,SUM($Y352:AF352)/$W376))</f>
        <v>0</v>
      </c>
      <c r="AG376" s="1155">
        <f>IF(OR($V376=0,$W376=0),0,IF(AG$367&gt;$V376,0,SUM($Y352:AG352)/$W376))</f>
        <v>0</v>
      </c>
      <c r="AH376" s="1155">
        <f>IF(OR($V376=0,$W376=0),0,IF(AH$367&gt;$V376,0,SUM($Y352:AH352)/$W376))</f>
        <v>0</v>
      </c>
      <c r="AI376" s="1155">
        <f>IF(OR($V376=0,$W376=0),0,IF(AI$367&gt;$V376,0,SUM($Y352:AI352)/$W376))</f>
        <v>0</v>
      </c>
      <c r="AJ376" s="1155">
        <f>IF(OR($V376=0,$W376=0),0,IF(AJ$367&gt;$V376,0,SUM($Y352:AJ352)/$W376))</f>
        <v>0</v>
      </c>
      <c r="AK376" s="1155">
        <f>IF(OR($V376=0,$W376=0),0,IF(AK$367&gt;$V376,0,SUM($Y352:AK352)/$W376))</f>
        <v>0</v>
      </c>
      <c r="AL376" s="1155">
        <f>IF(OR($V376=0,$W376=0),0,IF(AL$367&gt;$V376,0,SUM($Y352:AL352)/$W376))</f>
        <v>0</v>
      </c>
      <c r="AM376" s="1155">
        <f>IF(OR($V376=0,$W376=0),0,IF(AM$367&gt;$V376,0,SUM($Y352:AM352)/$W376))</f>
        <v>0</v>
      </c>
      <c r="AN376" s="1155">
        <f>IF(OR($V376=0,$W376=0),0,IF(AN$367&gt;$V376,0,SUM($Y352:AN352)/$W376))</f>
        <v>0</v>
      </c>
      <c r="AO376" s="1155">
        <f>IF(OR($V376=0,$W376=0),0,IF(AO$367&gt;$V376,0,SUM($Y352:AO352)/$W376))</f>
        <v>0</v>
      </c>
      <c r="AP376" s="1155">
        <f>IF(OR($V376=0,$W376=0),0,IF(AP$367&gt;$V376,0,SUM($Y352:AP352)/$W376))</f>
        <v>0</v>
      </c>
      <c r="AQ376" s="1155">
        <f>IF(OR($V376=0,$W376=0),0,IF(AQ$367&gt;$V376,0,SUM($Y352:AQ352)/$W376))</f>
        <v>0</v>
      </c>
      <c r="AR376" s="1155">
        <f>IF(OR($V376=0,$W376=0),0,IF(AR$367&gt;$V376,0,SUM($Y352:AR352)/$W376))</f>
        <v>0</v>
      </c>
      <c r="AS376" s="1155">
        <f>IF(OR($V376=0,$W376=0),0,IF(AS$367&gt;$V376,0,SUM($Y352:AS352)/$W376))</f>
        <v>0</v>
      </c>
      <c r="AT376" s="1155">
        <f>IF(OR($V376=0,$W376=0),0,IF(AT$367&gt;$V376,0,SUM($Y352:AT352)/$W376))</f>
        <v>0</v>
      </c>
      <c r="AU376" s="1155">
        <f>IF(OR($V376=0,$W376=0),0,IF(AU$367&gt;$V376,0,SUM($Y352:AU352)/$W376))</f>
        <v>0</v>
      </c>
      <c r="AV376" s="1155">
        <f>IF(OR($V376=0,$W376=0),0,IF(AV$367&gt;$V376,0,SUM($Y352:AV352)/$W376))</f>
        <v>0</v>
      </c>
      <c r="AW376" s="1155">
        <f>IF(OR($V376=0,$W376=0),0,IF(AW$367&gt;$V376,0,SUM($Y352:AW352)/$W376))</f>
        <v>0</v>
      </c>
      <c r="AX376" s="1155">
        <f>IF(OR($V376=0,$W376=0),0,IF(AX$367&gt;$V376,0,SUM($Y352:AX352)/$W376))</f>
        <v>0</v>
      </c>
      <c r="AY376" s="1155">
        <f>IF(OR($V376=0,$W376=0),0,IF(AY$367&gt;$V376,0,SUM($Y352:AY352)/$W376))</f>
        <v>0</v>
      </c>
      <c r="AZ376" s="1155">
        <f>IF(OR($V376=0,$W376=0),0,IF(AZ$367&gt;$V376,0,SUM($Y352:AZ352)/$W376))</f>
        <v>0</v>
      </c>
      <c r="BA376" s="1155">
        <f>IF(OR($V376=0,$W376=0),0,IF(BA$367&gt;$V376,0,SUM($Y352:BA352)/$W376))</f>
        <v>0</v>
      </c>
      <c r="BB376" s="1155">
        <f>IF(OR($V376=0,$W376=0),0,IF(BB$367&gt;$V376,0,SUM($Y352:BB352)/$W376))</f>
        <v>0</v>
      </c>
      <c r="BC376" s="1155">
        <f>IF(OR($V376=0,$W376=0),0,IF(BC$367&gt;$V376,0,SUM($Y352:BC352)/$W376))</f>
        <v>0</v>
      </c>
      <c r="BD376" s="1155">
        <f>IF(OR($V376=0,$W376=0),0,IF(BD$367&gt;$V376,0,SUM($Y352:BD352)/$W376))</f>
        <v>0</v>
      </c>
      <c r="BE376" s="1155">
        <f>IF(OR($V376=0,$W376=0),0,IF(BE$367&gt;$V376,0,SUM($Y352:BE352)/$W376))</f>
        <v>0</v>
      </c>
      <c r="BF376" s="1155">
        <f>IF(OR($V376=0,$W376=0),0,IF(BF$367&gt;$V376,0,SUM($Y352:BF352)/$W376))</f>
        <v>0</v>
      </c>
      <c r="BG376" s="1155">
        <f>IF(OR($V376=0,$W376=0),0,IF(BG$367&gt;$V376,0,SUM($Y352:BG352)/$W376))</f>
        <v>0</v>
      </c>
      <c r="BH376" s="1155">
        <f>IF(OR($V376=0,$W376=0),0,IF(BH$367&gt;$V376,0,SUM($Y352:BH352)/$W376))</f>
        <v>0</v>
      </c>
      <c r="BI376" s="1155">
        <f>IF(OR($V376=0,$W376=0),0,IF(BI$367&gt;$V376,0,SUM($Y352:BI352)/$W376))</f>
        <v>0</v>
      </c>
      <c r="BJ376" s="1155">
        <f>IF(OR($V376=0,$W376=0),0,IF(BJ$367&gt;$V376,0,SUM($Y352:BJ352)/$W376))</f>
        <v>0</v>
      </c>
      <c r="BK376" s="1155">
        <f>IF(OR($V376=0,$W376=0),0,IF(BK$367&gt;$V376,0,SUM($Y352:BK352)/$W376))</f>
        <v>0</v>
      </c>
      <c r="BL376" s="1155">
        <f>IF(OR($V376=0,$W376=0),0,IF(BL$367&gt;$V376,0,SUM($Y352:BL352)/$W376))</f>
        <v>0</v>
      </c>
      <c r="BM376" s="1155">
        <f>IF(OR($V376=0,$W376=0),0,IF(BM$367&gt;$V376,0,SUM($Y352:BM352)/$W376))</f>
        <v>0</v>
      </c>
      <c r="BN376" s="1155">
        <f>IF(OR($V376=0,$W376=0),0,IF(BN$367&gt;$V376,0,SUM($Y352:BN352)/$W376))</f>
        <v>0</v>
      </c>
      <c r="BO376" s="1155">
        <f>IF(OR($V376=0,$W376=0),0,IF(BO$367&gt;$V376,0,SUM($Y352:BO352)/$W376))</f>
        <v>0</v>
      </c>
      <c r="BP376" s="1155">
        <f>IF(OR($V376=0,$W376=0),0,IF(BP$367&gt;$V376,0,SUM($Y352:BP352)/$W376))</f>
        <v>0</v>
      </c>
      <c r="BQ376" s="1155">
        <f>IF(OR($V376=0,$W376=0),0,IF(BQ$367&gt;$V376,0,SUM($Y352:BQ352)/$W376))</f>
        <v>0</v>
      </c>
      <c r="BR376" s="1155">
        <f>IF(OR($V376=0,$W376=0),0,IF(BR$367&gt;$V376,0,SUM($Y352:BR352)/$W376))</f>
        <v>0</v>
      </c>
      <c r="BS376" s="1155">
        <f>IF(OR($V376=0,$W376=0),0,IF(BS$367&gt;$V376,0,SUM($Y352:BS352)/$W376))</f>
        <v>0</v>
      </c>
      <c r="BT376" s="1155">
        <f>IF(OR($V376=0,$W376=0),0,IF(BT$367&gt;$V376,0,SUM($Y352:BT352)/$W376))</f>
        <v>0</v>
      </c>
      <c r="BU376" s="1155">
        <f>IF(OR($V376=0,$W376=0),0,IF(BU$367&gt;$V376,0,SUM($Y352:BU352)/$W376))</f>
        <v>0</v>
      </c>
      <c r="BV376" s="1155">
        <f>IF(OR($V376=0,$W376=0),0,IF(BV$367&gt;$V376,0,SUM($Y352:BV352)/$W376))</f>
        <v>0</v>
      </c>
      <c r="BW376" s="1155">
        <f>IF(OR($V376=0,$W376=0),0,IF(BW$367&gt;$V376,0,SUM($Y352:BW352)/$W376))</f>
        <v>0</v>
      </c>
      <c r="BX376" s="1162">
        <f>IF(OR($V376=0,$W376=0),0,IF(BX$367&gt;$V376,0,SUM($Y352:BX352)/$W376))</f>
        <v>0</v>
      </c>
      <c r="BY376" s="1162">
        <f>IF(OR($V376=0,$W376=0),0,IF(BY$367&gt;$V376,0,SUM($Y352:BY352)/$W376))</f>
        <v>0</v>
      </c>
      <c r="BZ376" s="1162">
        <f>IF(OR($V376=0,$W376=0),0,IF(BZ$367&gt;$V376,0,SUM($Y352:BZ352)/$W376))</f>
        <v>0</v>
      </c>
      <c r="CA376" s="1162">
        <f>IF(OR($V376=0,$W376=0),0,IF(CA$367&gt;$V376,0,SUM($Y352:CA352)/$W376))</f>
        <v>0</v>
      </c>
      <c r="CB376" s="1162">
        <f>IF(OR($V376=0,$W376=0),0,IF(CB$367&gt;$V376,0,SUM($Y352:CB352)/$W376))</f>
        <v>0</v>
      </c>
      <c r="CC376" s="1162">
        <f>IF(OR($V376=0,$W376=0),0,IF(CC$367&gt;$V376,0,SUM($Y352:CC352)/$W376))</f>
        <v>0</v>
      </c>
      <c r="CD376" s="1162">
        <f>IF(OR($V376=0,$W376=0),0,IF(CD$367&gt;$V376,0,SUM($Y352:CD352)/$W376))</f>
        <v>0</v>
      </c>
      <c r="CE376" s="1162">
        <f>IF(OR($V376=0,$W376=0),0,IF(CE$367&gt;$V376,0,SUM($Y352:CE352)/$W376))</f>
        <v>0</v>
      </c>
      <c r="CF376" s="1162">
        <f>IF(OR($V376=0,$W376=0),0,IF(CF$367&gt;$V376,0,SUM($Y352:CF352)/$W376))</f>
        <v>0</v>
      </c>
      <c r="CG376" s="1162">
        <f>IF(OR($V376=0,$W376=0),0,IF(CG$367&gt;$V376,0,SUM($Y352:CG352)/$W376))</f>
        <v>0</v>
      </c>
      <c r="CH376" s="1162">
        <f>IF(OR($V376=0,$W376=0),0,IF(CH$367&gt;$V376,0,SUM($Y352:CH352)/$W376))</f>
        <v>0</v>
      </c>
      <c r="CI376" s="1162">
        <f>IF(OR($V376=0,$W376=0),0,IF(CI$367&gt;$V376,0,SUM($Y352:CI352)/$W376))</f>
        <v>0</v>
      </c>
      <c r="CJ376" s="1162">
        <f>IF(OR($V376=0,$W376=0),0,IF(CJ$367&gt;$V376,0,SUM($Y352:CJ352)/$W376))</f>
        <v>0</v>
      </c>
      <c r="CK376" s="1162">
        <f>IF(OR($V376=0,$W376=0),0,IF(CK$367&gt;$V376,0,SUM($Y352:CK352)/$W376))</f>
        <v>0</v>
      </c>
      <c r="CL376" s="1162">
        <f>IF(OR($V376=0,$W376=0),0,IF(CL$367&gt;$V376,0,SUM($Y352:CL352)/$W376))</f>
        <v>0</v>
      </c>
      <c r="CM376" s="1162">
        <f>IF(OR($V376=0,$W376=0),0,IF(CM$367&gt;$V376,0,SUM($Y352:CM352)/$W376))</f>
        <v>0</v>
      </c>
      <c r="CN376" s="1162">
        <f>IF(OR($V376=0,$W376=0),0,IF(CN$367&gt;$V376,0,SUM($Y352:CN352)/$W376))</f>
        <v>0</v>
      </c>
      <c r="CO376" s="1162">
        <f>IF(OR($V376=0,$W376=0),0,IF(CO$367&gt;$V376,0,SUM($Y352:CO352)/$W376))</f>
        <v>0</v>
      </c>
      <c r="CP376" s="1162">
        <f>IF(OR($V376=0,$W376=0),0,IF(CP$367&gt;$V376,0,SUM($Y352:CP352)/$W376))</f>
        <v>0</v>
      </c>
      <c r="CQ376" s="48">
        <f>IF(OR($V376=0,$W376=0),0,IF(CQ$367&gt;$V376,0,SUM($Y352:CQ352)/$W376))</f>
        <v>0</v>
      </c>
      <c r="CR376" s="48">
        <f>IF(OR($V376=0,$W376=0),0,IF(CR$367&gt;$V376,0,SUM($Y352:CR352)/$W376))</f>
        <v>0</v>
      </c>
      <c r="CS376" s="48">
        <f>IF(OR($V376=0,$W376=0),0,IF(CS$367&gt;$V376,0,SUM($Y352:CS352)/$W376))</f>
        <v>0</v>
      </c>
      <c r="CT376" s="48">
        <f>IF(OR($V376=0,$W376=0),0,IF(CT$367&gt;$V376,0,SUM($Y352:CT352)/$W376))</f>
        <v>0</v>
      </c>
      <c r="CU376" s="48">
        <f>IF(OR($V376=0,$W376=0),0,IF(CU$367&gt;$V376,0,SUM($Y352:CU352)/$W376))</f>
        <v>0</v>
      </c>
      <c r="CV376" s="48">
        <f>IF(OR($V376=0,$W376=0),0,IF(CV$367&gt;$V376,0,SUM($Y352:CV352)/$W376))</f>
        <v>0</v>
      </c>
      <c r="CW376" s="48">
        <f>IF(OR($V376=0,$W376=0),0,IF(CW$367&gt;$V376,0,SUM($Y352:CW352)/$W376))</f>
        <v>0</v>
      </c>
      <c r="CX376" s="48">
        <f>IF(OR($V376=0,$W376=0),0,IF(CX$367&gt;$V376,0,SUM($Y352:CX352)/$W376))</f>
        <v>0</v>
      </c>
      <c r="CY376" s="48">
        <f>IF(OR($V376=0,$W376=0),0,IF(CY$367&gt;$V376,0,SUM($Y352:CY352)/$W376))</f>
        <v>0</v>
      </c>
      <c r="CZ376" s="48">
        <f>IF(OR($V376=0,$W376=0),0,IF(CZ$367&gt;$V376,0,SUM($Y352:CZ352)/$W376))</f>
        <v>0</v>
      </c>
      <c r="DA376" s="48">
        <f>IF(OR($V376=0,$W376=0),0,IF(DA$367&gt;$V376,0,SUM($Y352:DA352)/$W376))</f>
        <v>0</v>
      </c>
      <c r="DB376" s="48">
        <f>IF(OR($V376=0,$W376=0),0,IF(DB$367&gt;$V376,0,SUM($Y352:DB352)/$W376))</f>
        <v>0</v>
      </c>
      <c r="DC376" s="48">
        <f>IF(OR($V376=0,$W376=0),0,IF(DC$367&gt;$V376,0,SUM($Y352:DC352)/$W376))</f>
        <v>0</v>
      </c>
      <c r="DD376" s="48">
        <f>IF(OR($V376=0,$W376=0),0,IF(DD$367&gt;$V376,0,SUM($Y352:DD352)/$W376))</f>
        <v>0</v>
      </c>
      <c r="DE376" s="48">
        <f>IF(OR($V376=0,$W376=0),0,IF(DE$367&gt;$V376,0,SUM($Y352:DE352)/$W376))</f>
        <v>0</v>
      </c>
      <c r="DF376" s="48">
        <f>IF(OR($V376=0,$W376=0),0,IF(DF$367&gt;$V376,0,SUM($Y352:DF352)/$W376))</f>
        <v>0</v>
      </c>
      <c r="DG376" s="48">
        <f>IF(OR($V376=0,$W376=0),0,IF(DG$367&gt;$V376,0,SUM($Y352:DG352)/$W376))</f>
        <v>0</v>
      </c>
      <c r="DH376" s="48">
        <f>IF(OR($V376=0,$W376=0),0,IF(DH$367&gt;$V376,0,SUM($Y352:DH352)/$W376))</f>
        <v>0</v>
      </c>
      <c r="DI376" s="48">
        <f>IF(OR($V376=0,$W376=0),0,IF(DI$367&gt;$V376,0,SUM($Y352:DI352)/$W376))</f>
        <v>0</v>
      </c>
      <c r="DJ376" s="48">
        <f>IF(OR($V376=0,$W376=0),0,IF(DJ$367&gt;$V376,0,SUM($Y352:DJ352)/$W376))</f>
        <v>0</v>
      </c>
      <c r="DK376" s="48">
        <f>IF(OR($V376=0,$W376=0),0,IF(DK$367&gt;$V376,0,SUM($Y352:DK352)/$W376))</f>
        <v>0</v>
      </c>
      <c r="DL376" s="48">
        <f>IF(OR($V376=0,$W376=0),0,IF(DL$367&gt;$V376,0,SUM($Y352:DL352)/$W376))</f>
        <v>0</v>
      </c>
      <c r="DM376" s="48">
        <f>IF(OR($V376=0,$W376=0),0,IF(DM$367&gt;$V376,0,SUM($Y352:DM352)/$W376))</f>
        <v>0</v>
      </c>
      <c r="DN376" s="48">
        <f>IF(OR($V376=0,$W376=0),0,IF(DN$367&gt;$V376,0,SUM($Y352:DN352)/$W376))</f>
        <v>0</v>
      </c>
      <c r="DO376" s="48">
        <f>IF(OR($V376=0,$W376=0),0,IF(DO$367&gt;$V376,0,SUM($Y352:DO352)/$W376))</f>
        <v>0</v>
      </c>
      <c r="DP376" s="48">
        <f>IF(OR($V376=0,$W376=0),0,IF(DP$367&gt;$V376,0,SUM($Y352:DP352)/$W376))</f>
        <v>0</v>
      </c>
      <c r="DQ376" s="48">
        <f>IF(OR($V376=0,$W376=0),0,IF(DQ$367&gt;$V376,0,SUM($Y352:DQ352)/$W376))</f>
        <v>0</v>
      </c>
      <c r="DR376" s="50">
        <f>IF(OR($V376=0,$W376=0),0,IF(DR$367&gt;$V376,0,SUM($Y352:DR352)/$W376))</f>
        <v>0</v>
      </c>
      <c r="DS376" s="50">
        <f>IF(OR($V376=0,$W376=0),0,IF(DS$367&gt;$V376,0,SUM($Y352:DS352)/$W376))</f>
        <v>0</v>
      </c>
      <c r="DT376" s="50">
        <f>IF(OR($V376=0,$W376=0),0,IF(DT$367&gt;$V376,0,SUM($Y352:DT352)/$W376))</f>
        <v>0</v>
      </c>
      <c r="DU376" s="50">
        <f>IF(OR($V376=0,$W376=0),0,IF(DU$367&gt;$V376,0,SUM($Y352:DU352)/$W376))</f>
        <v>0</v>
      </c>
      <c r="DV376" s="50">
        <f>IF(OR($V376=0,$W376=0),0,IF(DV$367&gt;$V376,0,SUM($Y352:DV352)/$W376))</f>
        <v>0</v>
      </c>
      <c r="DW376" s="50">
        <f>IF(OR($V376=0,$W376=0),0,IF(DW$367&gt;$V376,0,SUM($Y352:DW352)/$W376))</f>
        <v>0</v>
      </c>
      <c r="DX376" s="50">
        <f>IF(OR($V376=0,$W376=0),0,IF(DX$367&gt;$V376,0,SUM($Y352:DX352)/$W376))</f>
        <v>0</v>
      </c>
      <c r="DY376" s="50">
        <f>IF(OR($V376=0,$W376=0),0,IF(DY$367&gt;$V376,0,SUM($Y352:DY352)/$W376))</f>
        <v>0</v>
      </c>
      <c r="DZ376" s="50">
        <f>IF(OR($V376=0,$W376=0),0,IF(DZ$367&gt;$V376,0,SUM($Y352:DZ352)/$W376))</f>
        <v>0</v>
      </c>
      <c r="EA376" s="50">
        <f>IF(OR($V376=0,$W376=0),0,IF(EA$367&gt;$V376,0,SUM($Y352:EA352)/$W376))</f>
        <v>0</v>
      </c>
      <c r="EB376" s="50">
        <f>IF(OR($V376=0,$W376=0),0,IF(EB$367&gt;$V376,0,SUM($Y352:EB352)/$W376))</f>
        <v>0</v>
      </c>
      <c r="EC376" s="50">
        <f>IF(OR($V376=0,$W376=0),0,IF(EC$367&gt;$V376,0,SUM($Y352:EC352)/$W376))</f>
        <v>0</v>
      </c>
      <c r="ED376" s="50">
        <f>IF(OR($V376=0,$W376=0),0,IF(ED$367&gt;$V376,0,SUM($Y352:ED352)/$W376))</f>
        <v>0</v>
      </c>
      <c r="EE376" s="50">
        <f>IF(OR($V376=0,$W376=0),0,IF(EE$367&gt;$V376,0,SUM($Y352:EE352)/$W376))</f>
        <v>0</v>
      </c>
      <c r="EF376" s="50">
        <f>IF(OR($V376=0,$W376=0),0,IF(EF$367&gt;$V376,0,SUM($Y352:EF352)/$W376))</f>
        <v>0</v>
      </c>
      <c r="EG376" s="50">
        <f>IF(OR($V376=0,$W376=0),0,IF(EG$367&gt;$V376,0,SUM($Y352:EG352)/$W376))</f>
        <v>0</v>
      </c>
      <c r="EH376" s="50">
        <f>IF(OR($V376=0,$W376=0),0,IF(EH$367&gt;$V376,0,SUM($Y352:EH352)/$W376))</f>
        <v>0</v>
      </c>
      <c r="EI376" s="50">
        <f>IF(OR($V376=0,$W376=0),0,IF(EI$367&gt;$V376,0,SUM($Y352:EI352)/$W376))</f>
        <v>0</v>
      </c>
      <c r="EJ376" s="50">
        <f>IF(OR($V376=0,$W376=0),0,IF(EJ$367&gt;$V376,0,SUM($Y352:EJ352)/$W376))</f>
        <v>0</v>
      </c>
      <c r="EK376" s="50">
        <f>IF(OR($V376=0,$W376=0),0,IF(EK$367&gt;$V376,0,SUM($Y352:EK352)/$W376))</f>
        <v>0</v>
      </c>
      <c r="EL376" s="50">
        <f>IF(OR($V376=0,$W376=0),0,IF(EL$367&gt;$V376,0,SUM($Y352:EL352)/$W376))</f>
        <v>0</v>
      </c>
      <c r="EM376" s="50">
        <f>IF(OR($V376=0,$W376=0),0,IF(EM$367&gt;$V376,0,SUM($Y352:EM352)/$W376))</f>
        <v>0</v>
      </c>
      <c r="EN376" s="50">
        <f>IF(OR($V376=0,$W376=0),0,IF(EN$367&gt;$V376,0,SUM($Y352:EN352)/$W376))</f>
        <v>0</v>
      </c>
      <c r="EO376" s="39">
        <v>51</v>
      </c>
      <c r="EP376" s="39">
        <v>51</v>
      </c>
      <c r="EQ376" s="39">
        <v>51</v>
      </c>
      <c r="ER376" s="39">
        <v>51</v>
      </c>
      <c r="ES376" s="39">
        <v>51</v>
      </c>
      <c r="ET376" s="39">
        <v>51</v>
      </c>
      <c r="EU376" s="39">
        <v>51</v>
      </c>
      <c r="EV376" s="39">
        <v>51</v>
      </c>
      <c r="EW376" s="39">
        <v>51</v>
      </c>
      <c r="EX376" s="39">
        <v>51</v>
      </c>
    </row>
    <row r="377" spans="11:154" ht="12" customHeight="1" x14ac:dyDescent="0.35">
      <c r="K377" s="1667"/>
      <c r="L377" s="1667"/>
      <c r="M377" s="1667"/>
      <c r="N377" s="1667"/>
      <c r="O377" s="1667"/>
      <c r="P377" s="1667"/>
      <c r="Q377" s="1667"/>
      <c r="R377" s="1667"/>
      <c r="S377" s="1667"/>
      <c r="T377" s="1667"/>
      <c r="U377" s="59"/>
      <c r="V377" s="1636">
        <f t="shared" si="192"/>
        <v>0</v>
      </c>
      <c r="W377" s="102">
        <f t="shared" si="193"/>
        <v>0</v>
      </c>
      <c r="X377" s="381">
        <f t="shared" si="194"/>
        <v>0</v>
      </c>
      <c r="Y377" s="1645">
        <f>IF(OR($V377=0,$W377=0),0,IF(Y$367&gt;$V377,0,SUM($Y353:Y353)/$W377))</f>
        <v>0</v>
      </c>
      <c r="Z377" s="1646">
        <f>IF(OR($V377=0,$W377=0),0,IF(Z$367&gt;$V377,0,SUM($Y353:Z353)/$W377))</f>
        <v>0</v>
      </c>
      <c r="AA377" s="1646">
        <f>IF(OR($V377=0,$W377=0),0,IF(AA$367&gt;$V377,0,SUM($Y353:AA353)/$W377))</f>
        <v>0</v>
      </c>
      <c r="AB377" s="1646">
        <f>IF(OR($V377=0,$W377=0),0,IF(AB$367&gt;$V377,0,SUM($Y353:AB353)/$W377))</f>
        <v>0</v>
      </c>
      <c r="AC377" s="1646">
        <f>IF(OR($V377=0,$W377=0),0,IF(AC$367&gt;$V377,0,SUM($Y353:AC353)/$W377))</f>
        <v>0</v>
      </c>
      <c r="AD377" s="1646">
        <f>IF(OR($V377=0,$W377=0),0,IF(AD$367&gt;$V377,0,SUM($Y353:AD353)/$W377))</f>
        <v>0</v>
      </c>
      <c r="AE377" s="1646">
        <f>IF(OR($V377=0,$W377=0),0,IF(AE$367&gt;$V377,0,SUM($Y353:AE353)/$W377))</f>
        <v>0</v>
      </c>
      <c r="AF377" s="1155">
        <f>IF(OR($V377=0,$W377=0),0,IF(AF$367&gt;$V377,0,SUM($Y353:AF353)/$W377))</f>
        <v>0</v>
      </c>
      <c r="AG377" s="1155">
        <f>IF(OR($V377=0,$W377=0),0,IF(AG$367&gt;$V377,0,SUM($Y353:AG353)/$W377))</f>
        <v>0</v>
      </c>
      <c r="AH377" s="1155">
        <f>IF(OR($V377=0,$W377=0),0,IF(AH$367&gt;$V377,0,SUM($Y353:AH353)/$W377))</f>
        <v>0</v>
      </c>
      <c r="AI377" s="1155">
        <f>IF(OR($V377=0,$W377=0),0,IF(AI$367&gt;$V377,0,SUM($Y353:AI353)/$W377))</f>
        <v>0</v>
      </c>
      <c r="AJ377" s="1155">
        <f>IF(OR($V377=0,$W377=0),0,IF(AJ$367&gt;$V377,0,SUM($Y353:AJ353)/$W377))</f>
        <v>0</v>
      </c>
      <c r="AK377" s="1155">
        <f>IF(OR($V377=0,$W377=0),0,IF(AK$367&gt;$V377,0,SUM($Y353:AK353)/$W377))</f>
        <v>0</v>
      </c>
      <c r="AL377" s="1155">
        <f>IF(OR($V377=0,$W377=0),0,IF(AL$367&gt;$V377,0,SUM($Y353:AL353)/$W377))</f>
        <v>0</v>
      </c>
      <c r="AM377" s="1155">
        <f>IF(OR($V377=0,$W377=0),0,IF(AM$367&gt;$V377,0,SUM($Y353:AM353)/$W377))</f>
        <v>0</v>
      </c>
      <c r="AN377" s="1155">
        <f>IF(OR($V377=0,$W377=0),0,IF(AN$367&gt;$V377,0,SUM($Y353:AN353)/$W377))</f>
        <v>0</v>
      </c>
      <c r="AO377" s="1155">
        <f>IF(OR($V377=0,$W377=0),0,IF(AO$367&gt;$V377,0,SUM($Y353:AO353)/$W377))</f>
        <v>0</v>
      </c>
      <c r="AP377" s="1155">
        <f>IF(OR($V377=0,$W377=0),0,IF(AP$367&gt;$V377,0,SUM($Y353:AP353)/$W377))</f>
        <v>0</v>
      </c>
      <c r="AQ377" s="1155">
        <f>IF(OR($V377=0,$W377=0),0,IF(AQ$367&gt;$V377,0,SUM($Y353:AQ353)/$W377))</f>
        <v>0</v>
      </c>
      <c r="AR377" s="1155">
        <f>IF(OR($V377=0,$W377=0),0,IF(AR$367&gt;$V377,0,SUM($Y353:AR353)/$W377))</f>
        <v>0</v>
      </c>
      <c r="AS377" s="1155">
        <f>IF(OR($V377=0,$W377=0),0,IF(AS$367&gt;$V377,0,SUM($Y353:AS353)/$W377))</f>
        <v>0</v>
      </c>
      <c r="AT377" s="1155">
        <f>IF(OR($V377=0,$W377=0),0,IF(AT$367&gt;$V377,0,SUM($Y353:AT353)/$W377))</f>
        <v>0</v>
      </c>
      <c r="AU377" s="1155">
        <f>IF(OR($V377=0,$W377=0),0,IF(AU$367&gt;$V377,0,SUM($Y353:AU353)/$W377))</f>
        <v>0</v>
      </c>
      <c r="AV377" s="1155">
        <f>IF(OR($V377=0,$W377=0),0,IF(AV$367&gt;$V377,0,SUM($Y353:AV353)/$W377))</f>
        <v>0</v>
      </c>
      <c r="AW377" s="1155">
        <f>IF(OR($V377=0,$W377=0),0,IF(AW$367&gt;$V377,0,SUM($Y353:AW353)/$W377))</f>
        <v>0</v>
      </c>
      <c r="AX377" s="1155">
        <f>IF(OR($V377=0,$W377=0),0,IF(AX$367&gt;$V377,0,SUM($Y353:AX353)/$W377))</f>
        <v>0</v>
      </c>
      <c r="AY377" s="1155">
        <f>IF(OR($V377=0,$W377=0),0,IF(AY$367&gt;$V377,0,SUM($Y353:AY353)/$W377))</f>
        <v>0</v>
      </c>
      <c r="AZ377" s="1155">
        <f>IF(OR($V377=0,$W377=0),0,IF(AZ$367&gt;$V377,0,SUM($Y353:AZ353)/$W377))</f>
        <v>0</v>
      </c>
      <c r="BA377" s="1155">
        <f>IF(OR($V377=0,$W377=0),0,IF(BA$367&gt;$V377,0,SUM($Y353:BA353)/$W377))</f>
        <v>0</v>
      </c>
      <c r="BB377" s="1155">
        <f>IF(OR($V377=0,$W377=0),0,IF(BB$367&gt;$V377,0,SUM($Y353:BB353)/$W377))</f>
        <v>0</v>
      </c>
      <c r="BC377" s="1155">
        <f>IF(OR($V377=0,$W377=0),0,IF(BC$367&gt;$V377,0,SUM($Y353:BC353)/$W377))</f>
        <v>0</v>
      </c>
      <c r="BD377" s="1155">
        <f>IF(OR($V377=0,$W377=0),0,IF(BD$367&gt;$V377,0,SUM($Y353:BD353)/$W377))</f>
        <v>0</v>
      </c>
      <c r="BE377" s="1155">
        <f>IF(OR($V377=0,$W377=0),0,IF(BE$367&gt;$V377,0,SUM($Y353:BE353)/$W377))</f>
        <v>0</v>
      </c>
      <c r="BF377" s="1155">
        <f>IF(OR($V377=0,$W377=0),0,IF(BF$367&gt;$V377,0,SUM($Y353:BF353)/$W377))</f>
        <v>0</v>
      </c>
      <c r="BG377" s="1155">
        <f>IF(OR($V377=0,$W377=0),0,IF(BG$367&gt;$V377,0,SUM($Y353:BG353)/$W377))</f>
        <v>0</v>
      </c>
      <c r="BH377" s="1155">
        <f>IF(OR($V377=0,$W377=0),0,IF(BH$367&gt;$V377,0,SUM($Y353:BH353)/$W377))</f>
        <v>0</v>
      </c>
      <c r="BI377" s="1155">
        <f>IF(OR($V377=0,$W377=0),0,IF(BI$367&gt;$V377,0,SUM($Y353:BI353)/$W377))</f>
        <v>0</v>
      </c>
      <c r="BJ377" s="1155">
        <f>IF(OR($V377=0,$W377=0),0,IF(BJ$367&gt;$V377,0,SUM($Y353:BJ353)/$W377))</f>
        <v>0</v>
      </c>
      <c r="BK377" s="1155">
        <f>IF(OR($V377=0,$W377=0),0,IF(BK$367&gt;$V377,0,SUM($Y353:BK353)/$W377))</f>
        <v>0</v>
      </c>
      <c r="BL377" s="1155">
        <f>IF(OR($V377=0,$W377=0),0,IF(BL$367&gt;$V377,0,SUM($Y353:BL353)/$W377))</f>
        <v>0</v>
      </c>
      <c r="BM377" s="1155">
        <f>IF(OR($V377=0,$W377=0),0,IF(BM$367&gt;$V377,0,SUM($Y353:BM353)/$W377))</f>
        <v>0</v>
      </c>
      <c r="BN377" s="1155">
        <f>IF(OR($V377=0,$W377=0),0,IF(BN$367&gt;$V377,0,SUM($Y353:BN353)/$W377))</f>
        <v>0</v>
      </c>
      <c r="BO377" s="1155">
        <f>IF(OR($V377=0,$W377=0),0,IF(BO$367&gt;$V377,0,SUM($Y353:BO353)/$W377))</f>
        <v>0</v>
      </c>
      <c r="BP377" s="1155">
        <f>IF(OR($V377=0,$W377=0),0,IF(BP$367&gt;$V377,0,SUM($Y353:BP353)/$W377))</f>
        <v>0</v>
      </c>
      <c r="BQ377" s="1155">
        <f>IF(OR($V377=0,$W377=0),0,IF(BQ$367&gt;$V377,0,SUM($Y353:BQ353)/$W377))</f>
        <v>0</v>
      </c>
      <c r="BR377" s="1155">
        <f>IF(OR($V377=0,$W377=0),0,IF(BR$367&gt;$V377,0,SUM($Y353:BR353)/$W377))</f>
        <v>0</v>
      </c>
      <c r="BS377" s="1155">
        <f>IF(OR($V377=0,$W377=0),0,IF(BS$367&gt;$V377,0,SUM($Y353:BS353)/$W377))</f>
        <v>0</v>
      </c>
      <c r="BT377" s="1155">
        <f>IF(OR($V377=0,$W377=0),0,IF(BT$367&gt;$V377,0,SUM($Y353:BT353)/$W377))</f>
        <v>0</v>
      </c>
      <c r="BU377" s="1155">
        <f>IF(OR($V377=0,$W377=0),0,IF(BU$367&gt;$V377,0,SUM($Y353:BU353)/$W377))</f>
        <v>0</v>
      </c>
      <c r="BV377" s="1155">
        <f>IF(OR($V377=0,$W377=0),0,IF(BV$367&gt;$V377,0,SUM($Y353:BV353)/$W377))</f>
        <v>0</v>
      </c>
      <c r="BW377" s="1155">
        <f>IF(OR($V377=0,$W377=0),0,IF(BW$367&gt;$V377,0,SUM($Y353:BW353)/$W377))</f>
        <v>0</v>
      </c>
      <c r="BX377" s="1162">
        <f>IF(OR($V377=0,$W377=0),0,IF(BX$367&gt;$V377,0,SUM($Y353:BX353)/$W377))</f>
        <v>0</v>
      </c>
      <c r="BY377" s="1162">
        <f>IF(OR($V377=0,$W377=0),0,IF(BY$367&gt;$V377,0,SUM($Y353:BY353)/$W377))</f>
        <v>0</v>
      </c>
      <c r="BZ377" s="1162">
        <f>IF(OR($V377=0,$W377=0),0,IF(BZ$367&gt;$V377,0,SUM($Y353:BZ353)/$W377))</f>
        <v>0</v>
      </c>
      <c r="CA377" s="1162">
        <f>IF(OR($V377=0,$W377=0),0,IF(CA$367&gt;$V377,0,SUM($Y353:CA353)/$W377))</f>
        <v>0</v>
      </c>
      <c r="CB377" s="1162">
        <f>IF(OR($V377=0,$W377=0),0,IF(CB$367&gt;$V377,0,SUM($Y353:CB353)/$W377))</f>
        <v>0</v>
      </c>
      <c r="CC377" s="1162">
        <f>IF(OR($V377=0,$W377=0),0,IF(CC$367&gt;$V377,0,SUM($Y353:CC353)/$W377))</f>
        <v>0</v>
      </c>
      <c r="CD377" s="1162">
        <f>IF(OR($V377=0,$W377=0),0,IF(CD$367&gt;$V377,0,SUM($Y353:CD353)/$W377))</f>
        <v>0</v>
      </c>
      <c r="CE377" s="1162">
        <f>IF(OR($V377=0,$W377=0),0,IF(CE$367&gt;$V377,0,SUM($Y353:CE353)/$W377))</f>
        <v>0</v>
      </c>
      <c r="CF377" s="1162">
        <f>IF(OR($V377=0,$W377=0),0,IF(CF$367&gt;$V377,0,SUM($Y353:CF353)/$W377))</f>
        <v>0</v>
      </c>
      <c r="CG377" s="1162">
        <f>IF(OR($V377=0,$W377=0),0,IF(CG$367&gt;$V377,0,SUM($Y353:CG353)/$W377))</f>
        <v>0</v>
      </c>
      <c r="CH377" s="1162">
        <f>IF(OR($V377=0,$W377=0),0,IF(CH$367&gt;$V377,0,SUM($Y353:CH353)/$W377))</f>
        <v>0</v>
      </c>
      <c r="CI377" s="1162">
        <f>IF(OR($V377=0,$W377=0),0,IF(CI$367&gt;$V377,0,SUM($Y353:CI353)/$W377))</f>
        <v>0</v>
      </c>
      <c r="CJ377" s="1162">
        <f>IF(OR($V377=0,$W377=0),0,IF(CJ$367&gt;$V377,0,SUM($Y353:CJ353)/$W377))</f>
        <v>0</v>
      </c>
      <c r="CK377" s="1162">
        <f>IF(OR($V377=0,$W377=0),0,IF(CK$367&gt;$V377,0,SUM($Y353:CK353)/$W377))</f>
        <v>0</v>
      </c>
      <c r="CL377" s="1162">
        <f>IF(OR($V377=0,$W377=0),0,IF(CL$367&gt;$V377,0,SUM($Y353:CL353)/$W377))</f>
        <v>0</v>
      </c>
      <c r="CM377" s="1162">
        <f>IF(OR($V377=0,$W377=0),0,IF(CM$367&gt;$V377,0,SUM($Y353:CM353)/$W377))</f>
        <v>0</v>
      </c>
      <c r="CN377" s="1162">
        <f>IF(OR($V377=0,$W377=0),0,IF(CN$367&gt;$V377,0,SUM($Y353:CN353)/$W377))</f>
        <v>0</v>
      </c>
      <c r="CO377" s="1162">
        <f>IF(OR($V377=0,$W377=0),0,IF(CO$367&gt;$V377,0,SUM($Y353:CO353)/$W377))</f>
        <v>0</v>
      </c>
      <c r="CP377" s="1162">
        <f>IF(OR($V377=0,$W377=0),0,IF(CP$367&gt;$V377,0,SUM($Y353:CP353)/$W377))</f>
        <v>0</v>
      </c>
      <c r="CQ377" s="48">
        <f>IF(OR($V377=0,$W377=0),0,IF(CQ$367&gt;$V377,0,SUM($Y353:CQ353)/$W377))</f>
        <v>0</v>
      </c>
      <c r="CR377" s="48">
        <f>IF(OR($V377=0,$W377=0),0,IF(CR$367&gt;$V377,0,SUM($Y353:CR353)/$W377))</f>
        <v>0</v>
      </c>
      <c r="CS377" s="48">
        <f>IF(OR($V377=0,$W377=0),0,IF(CS$367&gt;$V377,0,SUM($Y353:CS353)/$W377))</f>
        <v>0</v>
      </c>
      <c r="CT377" s="48">
        <f>IF(OR($V377=0,$W377=0),0,IF(CT$367&gt;$V377,0,SUM($Y353:CT353)/$W377))</f>
        <v>0</v>
      </c>
      <c r="CU377" s="48">
        <f>IF(OR($V377=0,$W377=0),0,IF(CU$367&gt;$V377,0,SUM($Y353:CU353)/$W377))</f>
        <v>0</v>
      </c>
      <c r="CV377" s="48">
        <f>IF(OR($V377=0,$W377=0),0,IF(CV$367&gt;$V377,0,SUM($Y353:CV353)/$W377))</f>
        <v>0</v>
      </c>
      <c r="CW377" s="48">
        <f>IF(OR($V377=0,$W377=0),0,IF(CW$367&gt;$V377,0,SUM($Y353:CW353)/$W377))</f>
        <v>0</v>
      </c>
      <c r="CX377" s="48">
        <f>IF(OR($V377=0,$W377=0),0,IF(CX$367&gt;$V377,0,SUM($Y353:CX353)/$W377))</f>
        <v>0</v>
      </c>
      <c r="CY377" s="48">
        <f>IF(OR($V377=0,$W377=0),0,IF(CY$367&gt;$V377,0,SUM($Y353:CY353)/$W377))</f>
        <v>0</v>
      </c>
      <c r="CZ377" s="48">
        <f>IF(OR($V377=0,$W377=0),0,IF(CZ$367&gt;$V377,0,SUM($Y353:CZ353)/$W377))</f>
        <v>0</v>
      </c>
      <c r="DA377" s="48">
        <f>IF(OR($V377=0,$W377=0),0,IF(DA$367&gt;$V377,0,SUM($Y353:DA353)/$W377))</f>
        <v>0</v>
      </c>
      <c r="DB377" s="48">
        <f>IF(OR($V377=0,$W377=0),0,IF(DB$367&gt;$V377,0,SUM($Y353:DB353)/$W377))</f>
        <v>0</v>
      </c>
      <c r="DC377" s="48">
        <f>IF(OR($V377=0,$W377=0),0,IF(DC$367&gt;$V377,0,SUM($Y353:DC353)/$W377))</f>
        <v>0</v>
      </c>
      <c r="DD377" s="48">
        <f>IF(OR($V377=0,$W377=0),0,IF(DD$367&gt;$V377,0,SUM($Y353:DD353)/$W377))</f>
        <v>0</v>
      </c>
      <c r="DE377" s="48">
        <f>IF(OR($V377=0,$W377=0),0,IF(DE$367&gt;$V377,0,SUM($Y353:DE353)/$W377))</f>
        <v>0</v>
      </c>
      <c r="DF377" s="48">
        <f>IF(OR($V377=0,$W377=0),0,IF(DF$367&gt;$V377,0,SUM($Y353:DF353)/$W377))</f>
        <v>0</v>
      </c>
      <c r="DG377" s="48">
        <f>IF(OR($V377=0,$W377=0),0,IF(DG$367&gt;$V377,0,SUM($Y353:DG353)/$W377))</f>
        <v>0</v>
      </c>
      <c r="DH377" s="48">
        <f>IF(OR($V377=0,$W377=0),0,IF(DH$367&gt;$V377,0,SUM($Y353:DH353)/$W377))</f>
        <v>0</v>
      </c>
      <c r="DI377" s="48">
        <f>IF(OR($V377=0,$W377=0),0,IF(DI$367&gt;$V377,0,SUM($Y353:DI353)/$W377))</f>
        <v>0</v>
      </c>
      <c r="DJ377" s="48">
        <f>IF(OR($V377=0,$W377=0),0,IF(DJ$367&gt;$V377,0,SUM($Y353:DJ353)/$W377))</f>
        <v>0</v>
      </c>
      <c r="DK377" s="48">
        <f>IF(OR($V377=0,$W377=0),0,IF(DK$367&gt;$V377,0,SUM($Y353:DK353)/$W377))</f>
        <v>0</v>
      </c>
      <c r="DL377" s="48">
        <f>IF(OR($V377=0,$W377=0),0,IF(DL$367&gt;$V377,0,SUM($Y353:DL353)/$W377))</f>
        <v>0</v>
      </c>
      <c r="DM377" s="48">
        <f>IF(OR($V377=0,$W377=0),0,IF(DM$367&gt;$V377,0,SUM($Y353:DM353)/$W377))</f>
        <v>0</v>
      </c>
      <c r="DN377" s="48">
        <f>IF(OR($V377=0,$W377=0),0,IF(DN$367&gt;$V377,0,SUM($Y353:DN353)/$W377))</f>
        <v>0</v>
      </c>
      <c r="DO377" s="48">
        <f>IF(OR($V377=0,$W377=0),0,IF(DO$367&gt;$V377,0,SUM($Y353:DO353)/$W377))</f>
        <v>0</v>
      </c>
      <c r="DP377" s="48">
        <f>IF(OR($V377=0,$W377=0),0,IF(DP$367&gt;$V377,0,SUM($Y353:DP353)/$W377))</f>
        <v>0</v>
      </c>
      <c r="DQ377" s="48">
        <f>IF(OR($V377=0,$W377=0),0,IF(DQ$367&gt;$V377,0,SUM($Y353:DQ353)/$W377))</f>
        <v>0</v>
      </c>
      <c r="DR377" s="50">
        <f>IF(OR($V377=0,$W377=0),0,IF(DR$367&gt;$V377,0,SUM($Y353:DR353)/$W377))</f>
        <v>0</v>
      </c>
      <c r="DS377" s="50">
        <f>IF(OR($V377=0,$W377=0),0,IF(DS$367&gt;$V377,0,SUM($Y353:DS353)/$W377))</f>
        <v>0</v>
      </c>
      <c r="DT377" s="50">
        <f>IF(OR($V377=0,$W377=0),0,IF(DT$367&gt;$V377,0,SUM($Y353:DT353)/$W377))</f>
        <v>0</v>
      </c>
      <c r="DU377" s="50">
        <f>IF(OR($V377=0,$W377=0),0,IF(DU$367&gt;$V377,0,SUM($Y353:DU353)/$W377))</f>
        <v>0</v>
      </c>
      <c r="DV377" s="50">
        <f>IF(OR($V377=0,$W377=0),0,IF(DV$367&gt;$V377,0,SUM($Y353:DV353)/$W377))</f>
        <v>0</v>
      </c>
      <c r="DW377" s="50">
        <f>IF(OR($V377=0,$W377=0),0,IF(DW$367&gt;$V377,0,SUM($Y353:DW353)/$W377))</f>
        <v>0</v>
      </c>
      <c r="DX377" s="50">
        <f>IF(OR($V377=0,$W377=0),0,IF(DX$367&gt;$V377,0,SUM($Y353:DX353)/$W377))</f>
        <v>0</v>
      </c>
      <c r="DY377" s="50">
        <f>IF(OR($V377=0,$W377=0),0,IF(DY$367&gt;$V377,0,SUM($Y353:DY353)/$W377))</f>
        <v>0</v>
      </c>
      <c r="DZ377" s="50">
        <f>IF(OR($V377=0,$W377=0),0,IF(DZ$367&gt;$V377,0,SUM($Y353:DZ353)/$W377))</f>
        <v>0</v>
      </c>
      <c r="EA377" s="50">
        <f>IF(OR($V377=0,$W377=0),0,IF(EA$367&gt;$V377,0,SUM($Y353:EA353)/$W377))</f>
        <v>0</v>
      </c>
      <c r="EB377" s="50">
        <f>IF(OR($V377=0,$W377=0),0,IF(EB$367&gt;$V377,0,SUM($Y353:EB353)/$W377))</f>
        <v>0</v>
      </c>
      <c r="EC377" s="50">
        <f>IF(OR($V377=0,$W377=0),0,IF(EC$367&gt;$V377,0,SUM($Y353:EC353)/$W377))</f>
        <v>0</v>
      </c>
      <c r="ED377" s="50">
        <f>IF(OR($V377=0,$W377=0),0,IF(ED$367&gt;$V377,0,SUM($Y353:ED353)/$W377))</f>
        <v>0</v>
      </c>
      <c r="EE377" s="50">
        <f>IF(OR($V377=0,$W377=0),0,IF(EE$367&gt;$V377,0,SUM($Y353:EE353)/$W377))</f>
        <v>0</v>
      </c>
      <c r="EF377" s="50">
        <f>IF(OR($V377=0,$W377=0),0,IF(EF$367&gt;$V377,0,SUM($Y353:EF353)/$W377))</f>
        <v>0</v>
      </c>
      <c r="EG377" s="50">
        <f>IF(OR($V377=0,$W377=0),0,IF(EG$367&gt;$V377,0,SUM($Y353:EG353)/$W377))</f>
        <v>0</v>
      </c>
      <c r="EH377" s="50">
        <f>IF(OR($V377=0,$W377=0),0,IF(EH$367&gt;$V377,0,SUM($Y353:EH353)/$W377))</f>
        <v>0</v>
      </c>
      <c r="EI377" s="50">
        <f>IF(OR($V377=0,$W377=0),0,IF(EI$367&gt;$V377,0,SUM($Y353:EI353)/$W377))</f>
        <v>0</v>
      </c>
      <c r="EJ377" s="50">
        <f>IF(OR($V377=0,$W377=0),0,IF(EJ$367&gt;$V377,0,SUM($Y353:EJ353)/$W377))</f>
        <v>0</v>
      </c>
      <c r="EK377" s="50">
        <f>IF(OR($V377=0,$W377=0),0,IF(EK$367&gt;$V377,0,SUM($Y353:EK353)/$W377))</f>
        <v>0</v>
      </c>
      <c r="EL377" s="50">
        <f>IF(OR($V377=0,$W377=0),0,IF(EL$367&gt;$V377,0,SUM($Y353:EL353)/$W377))</f>
        <v>0</v>
      </c>
      <c r="EM377" s="50">
        <f>IF(OR($V377=0,$W377=0),0,IF(EM$367&gt;$V377,0,SUM($Y353:EM353)/$W377))</f>
        <v>0</v>
      </c>
      <c r="EN377" s="50">
        <f>IF(OR($V377=0,$W377=0),0,IF(EN$367&gt;$V377,0,SUM($Y353:EN353)/$W377))</f>
        <v>0</v>
      </c>
      <c r="EO377" s="39">
        <v>51</v>
      </c>
      <c r="EP377" s="39">
        <v>51</v>
      </c>
      <c r="EQ377" s="39">
        <v>51</v>
      </c>
      <c r="ER377" s="39">
        <v>51</v>
      </c>
      <c r="ES377" s="39">
        <v>51</v>
      </c>
      <c r="ET377" s="39">
        <v>51</v>
      </c>
      <c r="EU377" s="39">
        <v>51</v>
      </c>
      <c r="EV377" s="39">
        <v>51</v>
      </c>
      <c r="EW377" s="39">
        <v>51</v>
      </c>
      <c r="EX377" s="39">
        <v>51</v>
      </c>
    </row>
    <row r="378" spans="11:154" ht="12" customHeight="1" x14ac:dyDescent="0.35">
      <c r="K378" s="1667"/>
      <c r="L378" s="1667"/>
      <c r="M378" s="1667"/>
      <c r="N378" s="1667"/>
      <c r="O378" s="1667"/>
      <c r="P378" s="1667"/>
      <c r="Q378" s="1667"/>
      <c r="R378" s="1667"/>
      <c r="S378" s="1667"/>
      <c r="T378" s="1667"/>
      <c r="U378" s="59"/>
      <c r="V378" s="1636">
        <f t="shared" si="192"/>
        <v>0</v>
      </c>
      <c r="W378" s="102">
        <f t="shared" si="193"/>
        <v>0</v>
      </c>
      <c r="X378" s="381">
        <f t="shared" si="194"/>
        <v>11</v>
      </c>
      <c r="Y378" s="1645">
        <f>IF(OR($V378=0,$W378=0),0,IF(Y$367&gt;$V378,0,SUM($Y354:Y354)/$W378))</f>
        <v>0</v>
      </c>
      <c r="Z378" s="1646">
        <f>IF(OR($V378=0,$W378=0),0,IF(Z$367&gt;$V378,0,SUM($Y354:Z354)/$W378))</f>
        <v>0</v>
      </c>
      <c r="AA378" s="1646">
        <f>IF(OR($V378=0,$W378=0),0,IF(AA$367&gt;$V378,0,SUM($Y354:AA354)/$W378))</f>
        <v>0</v>
      </c>
      <c r="AB378" s="1646">
        <f>IF(OR($V378=0,$W378=0),0,IF(AB$367&gt;$V378,0,SUM($Y354:AB354)/$W378))</f>
        <v>0</v>
      </c>
      <c r="AC378" s="1646">
        <f>IF(OR($V378=0,$W378=0),0,IF(AC$367&gt;$V378,0,SUM($Y354:AC354)/$W378))</f>
        <v>0</v>
      </c>
      <c r="AD378" s="1646">
        <f>IF(OR($V378=0,$W378=0),0,IF(AD$367&gt;$V378,0,SUM($Y354:AD354)/$W378))</f>
        <v>0</v>
      </c>
      <c r="AE378" s="1646">
        <f>IF(OR($V378=0,$W378=0),0,IF(AE$367&gt;$V378,0,SUM($Y354:AE354)/$W378))</f>
        <v>0</v>
      </c>
      <c r="AF378" s="1155">
        <f>IF(OR($V378=0,$W378=0),0,IF(AF$367&gt;$V378,0,SUM($Y354:AF354)/$W378))</f>
        <v>0</v>
      </c>
      <c r="AG378" s="1155">
        <f>IF(OR($V378=0,$W378=0),0,IF(AG$367&gt;$V378,0,SUM($Y354:AG354)/$W378))</f>
        <v>0</v>
      </c>
      <c r="AH378" s="1155">
        <f>IF(OR($V378=0,$W378=0),0,IF(AH$367&gt;$V378,0,SUM($Y354:AH354)/$W378))</f>
        <v>0</v>
      </c>
      <c r="AI378" s="1155">
        <f>IF(OR($V378=0,$W378=0),0,IF(AI$367&gt;$V378,0,SUM($Y354:AI354)/$W378))</f>
        <v>0</v>
      </c>
      <c r="AJ378" s="1155">
        <f>IF(OR($V378=0,$W378=0),0,IF(AJ$367&gt;$V378,0,SUM($Y354:AJ354)/$W378))</f>
        <v>0</v>
      </c>
      <c r="AK378" s="1155">
        <f>IF(OR($V378=0,$W378=0),0,IF(AK$367&gt;$V378,0,SUM($Y354:AK354)/$W378))</f>
        <v>0</v>
      </c>
      <c r="AL378" s="1155">
        <f>IF(OR($V378=0,$W378=0),0,IF(AL$367&gt;$V378,0,SUM($Y354:AL354)/$W378))</f>
        <v>0</v>
      </c>
      <c r="AM378" s="1155">
        <f>IF(OR($V378=0,$W378=0),0,IF(AM$367&gt;$V378,0,SUM($Y354:AM354)/$W378))</f>
        <v>0</v>
      </c>
      <c r="AN378" s="1155">
        <f>IF(OR($V378=0,$W378=0),0,IF(AN$367&gt;$V378,0,SUM($Y354:AN354)/$W378))</f>
        <v>0</v>
      </c>
      <c r="AO378" s="1155">
        <f>IF(OR($V378=0,$W378=0),0,IF(AO$367&gt;$V378,0,SUM($Y354:AO354)/$W378))</f>
        <v>0</v>
      </c>
      <c r="AP378" s="1155">
        <f>IF(OR($V378=0,$W378=0),0,IF(AP$367&gt;$V378,0,SUM($Y354:AP354)/$W378))</f>
        <v>0</v>
      </c>
      <c r="AQ378" s="1155">
        <f>IF(OR($V378=0,$W378=0),0,IF(AQ$367&gt;$V378,0,SUM($Y354:AQ354)/$W378))</f>
        <v>0</v>
      </c>
      <c r="AR378" s="1155">
        <f>IF(OR($V378=0,$W378=0),0,IF(AR$367&gt;$V378,0,SUM($Y354:AR354)/$W378))</f>
        <v>0</v>
      </c>
      <c r="AS378" s="1155">
        <f>IF(OR($V378=0,$W378=0),0,IF(AS$367&gt;$V378,0,SUM($Y354:AS354)/$W378))</f>
        <v>0</v>
      </c>
      <c r="AT378" s="1155">
        <f>IF(OR($V378=0,$W378=0),0,IF(AT$367&gt;$V378,0,SUM($Y354:AT354)/$W378))</f>
        <v>0</v>
      </c>
      <c r="AU378" s="1155">
        <f>IF(OR($V378=0,$W378=0),0,IF(AU$367&gt;$V378,0,SUM($Y354:AU354)/$W378))</f>
        <v>0</v>
      </c>
      <c r="AV378" s="1155">
        <f>IF(OR($V378=0,$W378=0),0,IF(AV$367&gt;$V378,0,SUM($Y354:AV354)/$W378))</f>
        <v>0</v>
      </c>
      <c r="AW378" s="1155">
        <f>IF(OR($V378=0,$W378=0),0,IF(AW$367&gt;$V378,0,SUM($Y354:AW354)/$W378))</f>
        <v>0</v>
      </c>
      <c r="AX378" s="1155">
        <f>IF(OR($V378=0,$W378=0),0,IF(AX$367&gt;$V378,0,SUM($Y354:AX354)/$W378))</f>
        <v>0</v>
      </c>
      <c r="AY378" s="1155">
        <f>IF(OR($V378=0,$W378=0),0,IF(AY$367&gt;$V378,0,SUM($Y354:AY354)/$W378))</f>
        <v>0</v>
      </c>
      <c r="AZ378" s="1155">
        <f>IF(OR($V378=0,$W378=0),0,IF(AZ$367&gt;$V378,0,SUM($Y354:AZ354)/$W378))</f>
        <v>0</v>
      </c>
      <c r="BA378" s="1155">
        <f>IF(OR($V378=0,$W378=0),0,IF(BA$367&gt;$V378,0,SUM($Y354:BA354)/$W378))</f>
        <v>0</v>
      </c>
      <c r="BB378" s="1155">
        <f>IF(OR($V378=0,$W378=0),0,IF(BB$367&gt;$V378,0,SUM($Y354:BB354)/$W378))</f>
        <v>0</v>
      </c>
      <c r="BC378" s="1155">
        <f>IF(OR($V378=0,$W378=0),0,IF(BC$367&gt;$V378,0,SUM($Y354:BC354)/$W378))</f>
        <v>0</v>
      </c>
      <c r="BD378" s="1155">
        <f>IF(OR($V378=0,$W378=0),0,IF(BD$367&gt;$V378,0,SUM($Y354:BD354)/$W378))</f>
        <v>0</v>
      </c>
      <c r="BE378" s="1155">
        <f>IF(OR($V378=0,$W378=0),0,IF(BE$367&gt;$V378,0,SUM($Y354:BE354)/$W378))</f>
        <v>0</v>
      </c>
      <c r="BF378" s="1155">
        <f>IF(OR($V378=0,$W378=0),0,IF(BF$367&gt;$V378,0,SUM($Y354:BF354)/$W378))</f>
        <v>0</v>
      </c>
      <c r="BG378" s="1155">
        <f>IF(OR($V378=0,$W378=0),0,IF(BG$367&gt;$V378,0,SUM($Y354:BG354)/$W378))</f>
        <v>0</v>
      </c>
      <c r="BH378" s="1155">
        <f>IF(OR($V378=0,$W378=0),0,IF(BH$367&gt;$V378,0,SUM($Y354:BH354)/$W378))</f>
        <v>0</v>
      </c>
      <c r="BI378" s="1155">
        <f>IF(OR($V378=0,$W378=0),0,IF(BI$367&gt;$V378,0,SUM($Y354:BI354)/$W378))</f>
        <v>0</v>
      </c>
      <c r="BJ378" s="1155">
        <f>IF(OR($V378=0,$W378=0),0,IF(BJ$367&gt;$V378,0,SUM($Y354:BJ354)/$W378))</f>
        <v>0</v>
      </c>
      <c r="BK378" s="1155">
        <f>IF(OR($V378=0,$W378=0),0,IF(BK$367&gt;$V378,0,SUM($Y354:BK354)/$W378))</f>
        <v>0</v>
      </c>
      <c r="BL378" s="1155">
        <f>IF(OR($V378=0,$W378=0),0,IF(BL$367&gt;$V378,0,SUM($Y354:BL354)/$W378))</f>
        <v>0</v>
      </c>
      <c r="BM378" s="1155">
        <f>IF(OR($V378=0,$W378=0),0,IF(BM$367&gt;$V378,0,SUM($Y354:BM354)/$W378))</f>
        <v>0</v>
      </c>
      <c r="BN378" s="1155">
        <f>IF(OR($V378=0,$W378=0),0,IF(BN$367&gt;$V378,0,SUM($Y354:BN354)/$W378))</f>
        <v>0</v>
      </c>
      <c r="BO378" s="1155">
        <f>IF(OR($V378=0,$W378=0),0,IF(BO$367&gt;$V378,0,SUM($Y354:BO354)/$W378))</f>
        <v>0</v>
      </c>
      <c r="BP378" s="1155">
        <f>IF(OR($V378=0,$W378=0),0,IF(BP$367&gt;$V378,0,SUM($Y354:BP354)/$W378))</f>
        <v>0</v>
      </c>
      <c r="BQ378" s="1155">
        <f>IF(OR($V378=0,$W378=0),0,IF(BQ$367&gt;$V378,0,SUM($Y354:BQ354)/$W378))</f>
        <v>0</v>
      </c>
      <c r="BR378" s="1155">
        <f>IF(OR($V378=0,$W378=0),0,IF(BR$367&gt;$V378,0,SUM($Y354:BR354)/$W378))</f>
        <v>0</v>
      </c>
      <c r="BS378" s="1155">
        <f>IF(OR($V378=0,$W378=0),0,IF(BS$367&gt;$V378,0,SUM($Y354:BS354)/$W378))</f>
        <v>0</v>
      </c>
      <c r="BT378" s="1155">
        <f>IF(OR($V378=0,$W378=0),0,IF(BT$367&gt;$V378,0,SUM($Y354:BT354)/$W378))</f>
        <v>0</v>
      </c>
      <c r="BU378" s="1155">
        <f>IF(OR($V378=0,$W378=0),0,IF(BU$367&gt;$V378,0,SUM($Y354:BU354)/$W378))</f>
        <v>0</v>
      </c>
      <c r="BV378" s="1155">
        <f>IF(OR($V378=0,$W378=0),0,IF(BV$367&gt;$V378,0,SUM($Y354:BV354)/$W378))</f>
        <v>0</v>
      </c>
      <c r="BW378" s="1155">
        <f>IF(OR($V378=0,$W378=0),0,IF(BW$367&gt;$V378,0,SUM($Y354:BW354)/$W378))</f>
        <v>0</v>
      </c>
      <c r="BX378" s="1162">
        <f>IF(OR($V378=0,$W378=0),0,IF(BX$367&gt;$V378,0,SUM($Y354:BX354)/$W378))</f>
        <v>0</v>
      </c>
      <c r="BY378" s="1162">
        <f>IF(OR($V378=0,$W378=0),0,IF(BY$367&gt;$V378,0,SUM($Y354:BY354)/$W378))</f>
        <v>0</v>
      </c>
      <c r="BZ378" s="1162">
        <f>IF(OR($V378=0,$W378=0),0,IF(BZ$367&gt;$V378,0,SUM($Y354:BZ354)/$W378))</f>
        <v>0</v>
      </c>
      <c r="CA378" s="1162">
        <f>IF(OR($V378=0,$W378=0),0,IF(CA$367&gt;$V378,0,SUM($Y354:CA354)/$W378))</f>
        <v>0</v>
      </c>
      <c r="CB378" s="1162">
        <f>IF(OR($V378=0,$W378=0),0,IF(CB$367&gt;$V378,0,SUM($Y354:CB354)/$W378))</f>
        <v>0</v>
      </c>
      <c r="CC378" s="1162">
        <f>IF(OR($V378=0,$W378=0),0,IF(CC$367&gt;$V378,0,SUM($Y354:CC354)/$W378))</f>
        <v>0</v>
      </c>
      <c r="CD378" s="1162">
        <f>IF(OR($V378=0,$W378=0),0,IF(CD$367&gt;$V378,0,SUM($Y354:CD354)/$W378))</f>
        <v>0</v>
      </c>
      <c r="CE378" s="1162">
        <f>IF(OR($V378=0,$W378=0),0,IF(CE$367&gt;$V378,0,SUM($Y354:CE354)/$W378))</f>
        <v>0</v>
      </c>
      <c r="CF378" s="1162">
        <f>IF(OR($V378=0,$W378=0),0,IF(CF$367&gt;$V378,0,SUM($Y354:CF354)/$W378))</f>
        <v>0</v>
      </c>
      <c r="CG378" s="1162">
        <f>IF(OR($V378=0,$W378=0),0,IF(CG$367&gt;$V378,0,SUM($Y354:CG354)/$W378))</f>
        <v>0</v>
      </c>
      <c r="CH378" s="1162">
        <f>IF(OR($V378=0,$W378=0),0,IF(CH$367&gt;$V378,0,SUM($Y354:CH354)/$W378))</f>
        <v>0</v>
      </c>
      <c r="CI378" s="1162">
        <f>IF(OR($V378=0,$W378=0),0,IF(CI$367&gt;$V378,0,SUM($Y354:CI354)/$W378))</f>
        <v>0</v>
      </c>
      <c r="CJ378" s="1162">
        <f>IF(OR($V378=0,$W378=0),0,IF(CJ$367&gt;$V378,0,SUM($Y354:CJ354)/$W378))</f>
        <v>0</v>
      </c>
      <c r="CK378" s="1162">
        <f>IF(OR($V378=0,$W378=0),0,IF(CK$367&gt;$V378,0,SUM($Y354:CK354)/$W378))</f>
        <v>0</v>
      </c>
      <c r="CL378" s="1162">
        <f>IF(OR($V378=0,$W378=0),0,IF(CL$367&gt;$V378,0,SUM($Y354:CL354)/$W378))</f>
        <v>0</v>
      </c>
      <c r="CM378" s="1162">
        <f>IF(OR($V378=0,$W378=0),0,IF(CM$367&gt;$V378,0,SUM($Y354:CM354)/$W378))</f>
        <v>0</v>
      </c>
      <c r="CN378" s="1162">
        <f>IF(OR($V378=0,$W378=0),0,IF(CN$367&gt;$V378,0,SUM($Y354:CN354)/$W378))</f>
        <v>0</v>
      </c>
      <c r="CO378" s="1162">
        <f>IF(OR($V378=0,$W378=0),0,IF(CO$367&gt;$V378,0,SUM($Y354:CO354)/$W378))</f>
        <v>0</v>
      </c>
      <c r="CP378" s="1162">
        <f>IF(OR($V378=0,$W378=0),0,IF(CP$367&gt;$V378,0,SUM($Y354:CP354)/$W378))</f>
        <v>0</v>
      </c>
      <c r="CQ378" s="48">
        <f>IF(OR($V378=0,$W378=0),0,IF(CQ$367&gt;$V378,0,SUM($Y354:CQ354)/$W378))</f>
        <v>0</v>
      </c>
      <c r="CR378" s="48">
        <f>IF(OR($V378=0,$W378=0),0,IF(CR$367&gt;$V378,0,SUM($Y354:CR354)/$W378))</f>
        <v>0</v>
      </c>
      <c r="CS378" s="48">
        <f>IF(OR($V378=0,$W378=0),0,IF(CS$367&gt;$V378,0,SUM($Y354:CS354)/$W378))</f>
        <v>0</v>
      </c>
      <c r="CT378" s="48">
        <f>IF(OR($V378=0,$W378=0),0,IF(CT$367&gt;$V378,0,SUM($Y354:CT354)/$W378))</f>
        <v>0</v>
      </c>
      <c r="CU378" s="48">
        <f>IF(OR($V378=0,$W378=0),0,IF(CU$367&gt;$V378,0,SUM($Y354:CU354)/$W378))</f>
        <v>0</v>
      </c>
      <c r="CV378" s="48">
        <f>IF(OR($V378=0,$W378=0),0,IF(CV$367&gt;$V378,0,SUM($Y354:CV354)/$W378))</f>
        <v>0</v>
      </c>
      <c r="CW378" s="48">
        <f>IF(OR($V378=0,$W378=0),0,IF(CW$367&gt;$V378,0,SUM($Y354:CW354)/$W378))</f>
        <v>0</v>
      </c>
      <c r="CX378" s="48">
        <f>IF(OR($V378=0,$W378=0),0,IF(CX$367&gt;$V378,0,SUM($Y354:CX354)/$W378))</f>
        <v>0</v>
      </c>
      <c r="CY378" s="48">
        <f>IF(OR($V378=0,$W378=0),0,IF(CY$367&gt;$V378,0,SUM($Y354:CY354)/$W378))</f>
        <v>0</v>
      </c>
      <c r="CZ378" s="48">
        <f>IF(OR($V378=0,$W378=0),0,IF(CZ$367&gt;$V378,0,SUM($Y354:CZ354)/$W378))</f>
        <v>0</v>
      </c>
      <c r="DA378" s="48">
        <f>IF(OR($V378=0,$W378=0),0,IF(DA$367&gt;$V378,0,SUM($Y354:DA354)/$W378))</f>
        <v>0</v>
      </c>
      <c r="DB378" s="48">
        <f>IF(OR($V378=0,$W378=0),0,IF(DB$367&gt;$V378,0,SUM($Y354:DB354)/$W378))</f>
        <v>0</v>
      </c>
      <c r="DC378" s="48">
        <f>IF(OR($V378=0,$W378=0),0,IF(DC$367&gt;$V378,0,SUM($Y354:DC354)/$W378))</f>
        <v>0</v>
      </c>
      <c r="DD378" s="48">
        <f>IF(OR($V378=0,$W378=0),0,IF(DD$367&gt;$V378,0,SUM($Y354:DD354)/$W378))</f>
        <v>0</v>
      </c>
      <c r="DE378" s="48">
        <f>IF(OR($V378=0,$W378=0),0,IF(DE$367&gt;$V378,0,SUM($Y354:DE354)/$W378))</f>
        <v>0</v>
      </c>
      <c r="DF378" s="48">
        <f>IF(OR($V378=0,$W378=0),0,IF(DF$367&gt;$V378,0,SUM($Y354:DF354)/$W378))</f>
        <v>0</v>
      </c>
      <c r="DG378" s="48">
        <f>IF(OR($V378=0,$W378=0),0,IF(DG$367&gt;$V378,0,SUM($Y354:DG354)/$W378))</f>
        <v>0</v>
      </c>
      <c r="DH378" s="48">
        <f>IF(OR($V378=0,$W378=0),0,IF(DH$367&gt;$V378,0,SUM($Y354:DH354)/$W378))</f>
        <v>0</v>
      </c>
      <c r="DI378" s="48">
        <f>IF(OR($V378=0,$W378=0),0,IF(DI$367&gt;$V378,0,SUM($Y354:DI354)/$W378))</f>
        <v>0</v>
      </c>
      <c r="DJ378" s="48">
        <f>IF(OR($V378=0,$W378=0),0,IF(DJ$367&gt;$V378,0,SUM($Y354:DJ354)/$W378))</f>
        <v>0</v>
      </c>
      <c r="DK378" s="48">
        <f>IF(OR($V378=0,$W378=0),0,IF(DK$367&gt;$V378,0,SUM($Y354:DK354)/$W378))</f>
        <v>0</v>
      </c>
      <c r="DL378" s="48">
        <f>IF(OR($V378=0,$W378=0),0,IF(DL$367&gt;$V378,0,SUM($Y354:DL354)/$W378))</f>
        <v>0</v>
      </c>
      <c r="DM378" s="48">
        <f>IF(OR($V378=0,$W378=0),0,IF(DM$367&gt;$V378,0,SUM($Y354:DM354)/$W378))</f>
        <v>0</v>
      </c>
      <c r="DN378" s="48">
        <f>IF(OR($V378=0,$W378=0),0,IF(DN$367&gt;$V378,0,SUM($Y354:DN354)/$W378))</f>
        <v>0</v>
      </c>
      <c r="DO378" s="48">
        <f>IF(OR($V378=0,$W378=0),0,IF(DO$367&gt;$V378,0,SUM($Y354:DO354)/$W378))</f>
        <v>0</v>
      </c>
      <c r="DP378" s="48">
        <f>IF(OR($V378=0,$W378=0),0,IF(DP$367&gt;$V378,0,SUM($Y354:DP354)/$W378))</f>
        <v>0</v>
      </c>
      <c r="DQ378" s="48">
        <f>IF(OR($V378=0,$W378=0),0,IF(DQ$367&gt;$V378,0,SUM($Y354:DQ354)/$W378))</f>
        <v>0</v>
      </c>
      <c r="DR378" s="50">
        <f>IF(OR($V378=0,$W378=0),0,IF(DR$367&gt;$V378,0,SUM($Y354:DR354)/$W378))</f>
        <v>0</v>
      </c>
      <c r="DS378" s="50">
        <f>IF(OR($V378=0,$W378=0),0,IF(DS$367&gt;$V378,0,SUM($Y354:DS354)/$W378))</f>
        <v>0</v>
      </c>
      <c r="DT378" s="50">
        <f>IF(OR($V378=0,$W378=0),0,IF(DT$367&gt;$V378,0,SUM($Y354:DT354)/$W378))</f>
        <v>0</v>
      </c>
      <c r="DU378" s="50">
        <f>IF(OR($V378=0,$W378=0),0,IF(DU$367&gt;$V378,0,SUM($Y354:DU354)/$W378))</f>
        <v>0</v>
      </c>
      <c r="DV378" s="50">
        <f>IF(OR($V378=0,$W378=0),0,IF(DV$367&gt;$V378,0,SUM($Y354:DV354)/$W378))</f>
        <v>0</v>
      </c>
      <c r="DW378" s="50">
        <f>IF(OR($V378=0,$W378=0),0,IF(DW$367&gt;$V378,0,SUM($Y354:DW354)/$W378))</f>
        <v>0</v>
      </c>
      <c r="DX378" s="50">
        <f>IF(OR($V378=0,$W378=0),0,IF(DX$367&gt;$V378,0,SUM($Y354:DX354)/$W378))</f>
        <v>0</v>
      </c>
      <c r="DY378" s="50">
        <f>IF(OR($V378=0,$W378=0),0,IF(DY$367&gt;$V378,0,SUM($Y354:DY354)/$W378))</f>
        <v>0</v>
      </c>
      <c r="DZ378" s="50">
        <f>IF(OR($V378=0,$W378=0),0,IF(DZ$367&gt;$V378,0,SUM($Y354:DZ354)/$W378))</f>
        <v>0</v>
      </c>
      <c r="EA378" s="50">
        <f>IF(OR($V378=0,$W378=0),0,IF(EA$367&gt;$V378,0,SUM($Y354:EA354)/$W378))</f>
        <v>0</v>
      </c>
      <c r="EB378" s="50">
        <f>IF(OR($V378=0,$W378=0),0,IF(EB$367&gt;$V378,0,SUM($Y354:EB354)/$W378))</f>
        <v>0</v>
      </c>
      <c r="EC378" s="50">
        <f>IF(OR($V378=0,$W378=0),0,IF(EC$367&gt;$V378,0,SUM($Y354:EC354)/$W378))</f>
        <v>0</v>
      </c>
      <c r="ED378" s="50">
        <f>IF(OR($V378=0,$W378=0),0,IF(ED$367&gt;$V378,0,SUM($Y354:ED354)/$W378))</f>
        <v>0</v>
      </c>
      <c r="EE378" s="50">
        <f>IF(OR($V378=0,$W378=0),0,IF(EE$367&gt;$V378,0,SUM($Y354:EE354)/$W378))</f>
        <v>0</v>
      </c>
      <c r="EF378" s="50">
        <f>IF(OR($V378=0,$W378=0),0,IF(EF$367&gt;$V378,0,SUM($Y354:EF354)/$W378))</f>
        <v>0</v>
      </c>
      <c r="EG378" s="50">
        <f>IF(OR($V378=0,$W378=0),0,IF(EG$367&gt;$V378,0,SUM($Y354:EG354)/$W378))</f>
        <v>0</v>
      </c>
      <c r="EH378" s="50">
        <f>IF(OR($V378=0,$W378=0),0,IF(EH$367&gt;$V378,0,SUM($Y354:EH354)/$W378))</f>
        <v>0</v>
      </c>
      <c r="EI378" s="50">
        <f>IF(OR($V378=0,$W378=0),0,IF(EI$367&gt;$V378,0,SUM($Y354:EI354)/$W378))</f>
        <v>0</v>
      </c>
      <c r="EJ378" s="50">
        <f>IF(OR($V378=0,$W378=0),0,IF(EJ$367&gt;$V378,0,SUM($Y354:EJ354)/$W378))</f>
        <v>0</v>
      </c>
      <c r="EK378" s="50">
        <f>IF(OR($V378=0,$W378=0),0,IF(EK$367&gt;$V378,0,SUM($Y354:EK354)/$W378))</f>
        <v>0</v>
      </c>
      <c r="EL378" s="50">
        <f>IF(OR($V378=0,$W378=0),0,IF(EL$367&gt;$V378,0,SUM($Y354:EL354)/$W378))</f>
        <v>0</v>
      </c>
      <c r="EM378" s="50">
        <f>IF(OR($V378=0,$W378=0),0,IF(EM$367&gt;$V378,0,SUM($Y354:EM354)/$W378))</f>
        <v>0</v>
      </c>
      <c r="EN378" s="50">
        <f>IF(OR($V378=0,$W378=0),0,IF(EN$367&gt;$V378,0,SUM($Y354:EN354)/$W378))</f>
        <v>0</v>
      </c>
      <c r="EO378" s="39">
        <v>51</v>
      </c>
      <c r="EP378" s="39">
        <v>51</v>
      </c>
      <c r="EQ378" s="39">
        <v>51</v>
      </c>
      <c r="ER378" s="39">
        <v>51</v>
      </c>
      <c r="ES378" s="39">
        <v>51</v>
      </c>
      <c r="ET378" s="39">
        <v>51</v>
      </c>
      <c r="EU378" s="39">
        <v>51</v>
      </c>
      <c r="EV378" s="39">
        <v>51</v>
      </c>
      <c r="EW378" s="39">
        <v>51</v>
      </c>
      <c r="EX378" s="39">
        <v>51</v>
      </c>
    </row>
    <row r="379" spans="11:154" ht="12" customHeight="1" x14ac:dyDescent="0.35">
      <c r="K379" s="1667"/>
      <c r="L379" s="1667"/>
      <c r="M379" s="1667"/>
      <c r="N379" s="1667"/>
      <c r="O379" s="1667"/>
      <c r="P379" s="1667"/>
      <c r="Q379" s="1667"/>
      <c r="R379" s="1667"/>
      <c r="S379" s="1667"/>
      <c r="T379" s="1667"/>
      <c r="U379" s="59"/>
      <c r="V379" s="1636">
        <f t="shared" si="192"/>
        <v>0</v>
      </c>
      <c r="W379" s="102">
        <f t="shared" si="193"/>
        <v>0</v>
      </c>
      <c r="X379" s="381">
        <f t="shared" si="194"/>
        <v>12</v>
      </c>
      <c r="Y379" s="1645">
        <f>IF(OR($V379=0,$W379=0),0,IF(Y$367&gt;$V379,0,SUM($Y355:Y355)/$W379))</f>
        <v>0</v>
      </c>
      <c r="Z379" s="1646">
        <f>IF(OR($V379=0,$W379=0),0,IF(Z$367&gt;$V379,0,SUM($Y355:Z355)/$W379))</f>
        <v>0</v>
      </c>
      <c r="AA379" s="1646">
        <f>IF(OR($V379=0,$W379=0),0,IF(AA$367&gt;$V379,0,SUM($Y355:AA355)/$W379))</f>
        <v>0</v>
      </c>
      <c r="AB379" s="1646">
        <f>IF(OR($V379=0,$W379=0),0,IF(AB$367&gt;$V379,0,SUM($Y355:AB355)/$W379))</f>
        <v>0</v>
      </c>
      <c r="AC379" s="1646">
        <f>IF(OR($V379=0,$W379=0),0,IF(AC$367&gt;$V379,0,SUM($Y355:AC355)/$W379))</f>
        <v>0</v>
      </c>
      <c r="AD379" s="1646">
        <f>IF(OR($V379=0,$W379=0),0,IF(AD$367&gt;$V379,0,SUM($Y355:AD355)/$W379))</f>
        <v>0</v>
      </c>
      <c r="AE379" s="1646">
        <f>IF(OR($V379=0,$W379=0),0,IF(AE$367&gt;$V379,0,SUM($Y355:AE355)/$W379))</f>
        <v>0</v>
      </c>
      <c r="AF379" s="1155">
        <f>IF(OR($V379=0,$W379=0),0,IF(AF$367&gt;$V379,0,SUM($Y355:AF355)/$W379))</f>
        <v>0</v>
      </c>
      <c r="AG379" s="1155">
        <f>IF(OR($V379=0,$W379=0),0,IF(AG$367&gt;$V379,0,SUM($Y355:AG355)/$W379))</f>
        <v>0</v>
      </c>
      <c r="AH379" s="1155">
        <f>IF(OR($V379=0,$W379=0),0,IF(AH$367&gt;$V379,0,SUM($Y355:AH355)/$W379))</f>
        <v>0</v>
      </c>
      <c r="AI379" s="1155">
        <f>IF(OR($V379=0,$W379=0),0,IF(AI$367&gt;$V379,0,SUM($Y355:AI355)/$W379))</f>
        <v>0</v>
      </c>
      <c r="AJ379" s="1155">
        <f>IF(OR($V379=0,$W379=0),0,IF(AJ$367&gt;$V379,0,SUM($Y355:AJ355)/$W379))</f>
        <v>0</v>
      </c>
      <c r="AK379" s="1155">
        <f>IF(OR($V379=0,$W379=0),0,IF(AK$367&gt;$V379,0,SUM($Y355:AK355)/$W379))</f>
        <v>0</v>
      </c>
      <c r="AL379" s="1155">
        <f>IF(OR($V379=0,$W379=0),0,IF(AL$367&gt;$V379,0,SUM($Y355:AL355)/$W379))</f>
        <v>0</v>
      </c>
      <c r="AM379" s="1155">
        <f>IF(OR($V379=0,$W379=0),0,IF(AM$367&gt;$V379,0,SUM($Y355:AM355)/$W379))</f>
        <v>0</v>
      </c>
      <c r="AN379" s="1155">
        <f>IF(OR($V379=0,$W379=0),0,IF(AN$367&gt;$V379,0,SUM($Y355:AN355)/$W379))</f>
        <v>0</v>
      </c>
      <c r="AO379" s="1155">
        <f>IF(OR($V379=0,$W379=0),0,IF(AO$367&gt;$V379,0,SUM($Y355:AO355)/$W379))</f>
        <v>0</v>
      </c>
      <c r="AP379" s="1155">
        <f>IF(OR($V379=0,$W379=0),0,IF(AP$367&gt;$V379,0,SUM($Y355:AP355)/$W379))</f>
        <v>0</v>
      </c>
      <c r="AQ379" s="1155">
        <f>IF(OR($V379=0,$W379=0),0,IF(AQ$367&gt;$V379,0,SUM($Y355:AQ355)/$W379))</f>
        <v>0</v>
      </c>
      <c r="AR379" s="1155">
        <f>IF(OR($V379=0,$W379=0),0,IF(AR$367&gt;$V379,0,SUM($Y355:AR355)/$W379))</f>
        <v>0</v>
      </c>
      <c r="AS379" s="1155">
        <f>IF(OR($V379=0,$W379=0),0,IF(AS$367&gt;$V379,0,SUM($Y355:AS355)/$W379))</f>
        <v>0</v>
      </c>
      <c r="AT379" s="1155">
        <f>IF(OR($V379=0,$W379=0),0,IF(AT$367&gt;$V379,0,SUM($Y355:AT355)/$W379))</f>
        <v>0</v>
      </c>
      <c r="AU379" s="1155">
        <f>IF(OR($V379=0,$W379=0),0,IF(AU$367&gt;$V379,0,SUM($Y355:AU355)/$W379))</f>
        <v>0</v>
      </c>
      <c r="AV379" s="1155">
        <f>IF(OR($V379=0,$W379=0),0,IF(AV$367&gt;$V379,0,SUM($Y355:AV355)/$W379))</f>
        <v>0</v>
      </c>
      <c r="AW379" s="1155">
        <f>IF(OR($V379=0,$W379=0),0,IF(AW$367&gt;$V379,0,SUM($Y355:AW355)/$W379))</f>
        <v>0</v>
      </c>
      <c r="AX379" s="1155">
        <f>IF(OR($V379=0,$W379=0),0,IF(AX$367&gt;$V379,0,SUM($Y355:AX355)/$W379))</f>
        <v>0</v>
      </c>
      <c r="AY379" s="1155">
        <f>IF(OR($V379=0,$W379=0),0,IF(AY$367&gt;$V379,0,SUM($Y355:AY355)/$W379))</f>
        <v>0</v>
      </c>
      <c r="AZ379" s="1155">
        <f>IF(OR($V379=0,$W379=0),0,IF(AZ$367&gt;$V379,0,SUM($Y355:AZ355)/$W379))</f>
        <v>0</v>
      </c>
      <c r="BA379" s="1155">
        <f>IF(OR($V379=0,$W379=0),0,IF(BA$367&gt;$V379,0,SUM($Y355:BA355)/$W379))</f>
        <v>0</v>
      </c>
      <c r="BB379" s="1155">
        <f>IF(OR($V379=0,$W379=0),0,IF(BB$367&gt;$V379,0,SUM($Y355:BB355)/$W379))</f>
        <v>0</v>
      </c>
      <c r="BC379" s="1155">
        <f>IF(OR($V379=0,$W379=0),0,IF(BC$367&gt;$V379,0,SUM($Y355:BC355)/$W379))</f>
        <v>0</v>
      </c>
      <c r="BD379" s="1155">
        <f>IF(OR($V379=0,$W379=0),0,IF(BD$367&gt;$V379,0,SUM($Y355:BD355)/$W379))</f>
        <v>0</v>
      </c>
      <c r="BE379" s="1155">
        <f>IF(OR($V379=0,$W379=0),0,IF(BE$367&gt;$V379,0,SUM($Y355:BE355)/$W379))</f>
        <v>0</v>
      </c>
      <c r="BF379" s="1155">
        <f>IF(OR($V379=0,$W379=0),0,IF(BF$367&gt;$V379,0,SUM($Y355:BF355)/$W379))</f>
        <v>0</v>
      </c>
      <c r="BG379" s="1155">
        <f>IF(OR($V379=0,$W379=0),0,IF(BG$367&gt;$V379,0,SUM($Y355:BG355)/$W379))</f>
        <v>0</v>
      </c>
      <c r="BH379" s="1155">
        <f>IF(OR($V379=0,$W379=0),0,IF(BH$367&gt;$V379,0,SUM($Y355:BH355)/$W379))</f>
        <v>0</v>
      </c>
      <c r="BI379" s="1155">
        <f>IF(OR($V379=0,$W379=0),0,IF(BI$367&gt;$V379,0,SUM($Y355:BI355)/$W379))</f>
        <v>0</v>
      </c>
      <c r="BJ379" s="1155">
        <f>IF(OR($V379=0,$W379=0),0,IF(BJ$367&gt;$V379,0,SUM($Y355:BJ355)/$W379))</f>
        <v>0</v>
      </c>
      <c r="BK379" s="1155">
        <f>IF(OR($V379=0,$W379=0),0,IF(BK$367&gt;$V379,0,SUM($Y355:BK355)/$W379))</f>
        <v>0</v>
      </c>
      <c r="BL379" s="1155">
        <f>IF(OR($V379=0,$W379=0),0,IF(BL$367&gt;$V379,0,SUM($Y355:BL355)/$W379))</f>
        <v>0</v>
      </c>
      <c r="BM379" s="1155">
        <f>IF(OR($V379=0,$W379=0),0,IF(BM$367&gt;$V379,0,SUM($Y355:BM355)/$W379))</f>
        <v>0</v>
      </c>
      <c r="BN379" s="1155">
        <f>IF(OR($V379=0,$W379=0),0,IF(BN$367&gt;$V379,0,SUM($Y355:BN355)/$W379))</f>
        <v>0</v>
      </c>
      <c r="BO379" s="1155">
        <f>IF(OR($V379=0,$W379=0),0,IF(BO$367&gt;$V379,0,SUM($Y355:BO355)/$W379))</f>
        <v>0</v>
      </c>
      <c r="BP379" s="1155">
        <f>IF(OR($V379=0,$W379=0),0,IF(BP$367&gt;$V379,0,SUM($Y355:BP355)/$W379))</f>
        <v>0</v>
      </c>
      <c r="BQ379" s="1155">
        <f>IF(OR($V379=0,$W379=0),0,IF(BQ$367&gt;$V379,0,SUM($Y355:BQ355)/$W379))</f>
        <v>0</v>
      </c>
      <c r="BR379" s="1155">
        <f>IF(OR($V379=0,$W379=0),0,IF(BR$367&gt;$V379,0,SUM($Y355:BR355)/$W379))</f>
        <v>0</v>
      </c>
      <c r="BS379" s="1155">
        <f>IF(OR($V379=0,$W379=0),0,IF(BS$367&gt;$V379,0,SUM($Y355:BS355)/$W379))</f>
        <v>0</v>
      </c>
      <c r="BT379" s="1155">
        <f>IF(OR($V379=0,$W379=0),0,IF(BT$367&gt;$V379,0,SUM($Y355:BT355)/$W379))</f>
        <v>0</v>
      </c>
      <c r="BU379" s="1155">
        <f>IF(OR($V379=0,$W379=0),0,IF(BU$367&gt;$V379,0,SUM($Y355:BU355)/$W379))</f>
        <v>0</v>
      </c>
      <c r="BV379" s="1155">
        <f>IF(OR($V379=0,$W379=0),0,IF(BV$367&gt;$V379,0,SUM($Y355:BV355)/$W379))</f>
        <v>0</v>
      </c>
      <c r="BW379" s="1155">
        <f>IF(OR($V379=0,$W379=0),0,IF(BW$367&gt;$V379,0,SUM($Y355:BW355)/$W379))</f>
        <v>0</v>
      </c>
      <c r="BX379" s="1162">
        <f>IF(OR($V379=0,$W379=0),0,IF(BX$367&gt;$V379,0,SUM($Y355:BX355)/$W379))</f>
        <v>0</v>
      </c>
      <c r="BY379" s="1162">
        <f>IF(OR($V379=0,$W379=0),0,IF(BY$367&gt;$V379,0,SUM($Y355:BY355)/$W379))</f>
        <v>0</v>
      </c>
      <c r="BZ379" s="1162">
        <f>IF(OR($V379=0,$W379=0),0,IF(BZ$367&gt;$V379,0,SUM($Y355:BZ355)/$W379))</f>
        <v>0</v>
      </c>
      <c r="CA379" s="1162">
        <f>IF(OR($V379=0,$W379=0),0,IF(CA$367&gt;$V379,0,SUM($Y355:CA355)/$W379))</f>
        <v>0</v>
      </c>
      <c r="CB379" s="1162">
        <f>IF(OR($V379=0,$W379=0),0,IF(CB$367&gt;$V379,0,SUM($Y355:CB355)/$W379))</f>
        <v>0</v>
      </c>
      <c r="CC379" s="1162">
        <f>IF(OR($V379=0,$W379=0),0,IF(CC$367&gt;$V379,0,SUM($Y355:CC355)/$W379))</f>
        <v>0</v>
      </c>
      <c r="CD379" s="1162">
        <f>IF(OR($V379=0,$W379=0),0,IF(CD$367&gt;$V379,0,SUM($Y355:CD355)/$W379))</f>
        <v>0</v>
      </c>
      <c r="CE379" s="1162">
        <f>IF(OR($V379=0,$W379=0),0,IF(CE$367&gt;$V379,0,SUM($Y355:CE355)/$W379))</f>
        <v>0</v>
      </c>
      <c r="CF379" s="1162">
        <f>IF(OR($V379=0,$W379=0),0,IF(CF$367&gt;$V379,0,SUM($Y355:CF355)/$W379))</f>
        <v>0</v>
      </c>
      <c r="CG379" s="1162">
        <f>IF(OR($V379=0,$W379=0),0,IF(CG$367&gt;$V379,0,SUM($Y355:CG355)/$W379))</f>
        <v>0</v>
      </c>
      <c r="CH379" s="1162">
        <f>IF(OR($V379=0,$W379=0),0,IF(CH$367&gt;$V379,0,SUM($Y355:CH355)/$W379))</f>
        <v>0</v>
      </c>
      <c r="CI379" s="1162">
        <f>IF(OR($V379=0,$W379=0),0,IF(CI$367&gt;$V379,0,SUM($Y355:CI355)/$W379))</f>
        <v>0</v>
      </c>
      <c r="CJ379" s="1162">
        <f>IF(OR($V379=0,$W379=0),0,IF(CJ$367&gt;$V379,0,SUM($Y355:CJ355)/$W379))</f>
        <v>0</v>
      </c>
      <c r="CK379" s="1162">
        <f>IF(OR($V379=0,$W379=0),0,IF(CK$367&gt;$V379,0,SUM($Y355:CK355)/$W379))</f>
        <v>0</v>
      </c>
      <c r="CL379" s="1162">
        <f>IF(OR($V379=0,$W379=0),0,IF(CL$367&gt;$V379,0,SUM($Y355:CL355)/$W379))</f>
        <v>0</v>
      </c>
      <c r="CM379" s="1162">
        <f>IF(OR($V379=0,$W379=0),0,IF(CM$367&gt;$V379,0,SUM($Y355:CM355)/$W379))</f>
        <v>0</v>
      </c>
      <c r="CN379" s="1162">
        <f>IF(OR($V379=0,$W379=0),0,IF(CN$367&gt;$V379,0,SUM($Y355:CN355)/$W379))</f>
        <v>0</v>
      </c>
      <c r="CO379" s="1162">
        <f>IF(OR($V379=0,$W379=0),0,IF(CO$367&gt;$V379,0,SUM($Y355:CO355)/$W379))</f>
        <v>0</v>
      </c>
      <c r="CP379" s="1162">
        <f>IF(OR($V379=0,$W379=0),0,IF(CP$367&gt;$V379,0,SUM($Y355:CP355)/$W379))</f>
        <v>0</v>
      </c>
      <c r="CQ379" s="48">
        <f>IF(OR($V379=0,$W379=0),0,IF(CQ$367&gt;$V379,0,SUM($Y355:CQ355)/$W379))</f>
        <v>0</v>
      </c>
      <c r="CR379" s="48">
        <f>IF(OR($V379=0,$W379=0),0,IF(CR$367&gt;$V379,0,SUM($Y355:CR355)/$W379))</f>
        <v>0</v>
      </c>
      <c r="CS379" s="48">
        <f>IF(OR($V379=0,$W379=0),0,IF(CS$367&gt;$V379,0,SUM($Y355:CS355)/$W379))</f>
        <v>0</v>
      </c>
      <c r="CT379" s="48">
        <f>IF(OR($V379=0,$W379=0),0,IF(CT$367&gt;$V379,0,SUM($Y355:CT355)/$W379))</f>
        <v>0</v>
      </c>
      <c r="CU379" s="48">
        <f>IF(OR($V379=0,$W379=0),0,IF(CU$367&gt;$V379,0,SUM($Y355:CU355)/$W379))</f>
        <v>0</v>
      </c>
      <c r="CV379" s="48">
        <f>IF(OR($V379=0,$W379=0),0,IF(CV$367&gt;$V379,0,SUM($Y355:CV355)/$W379))</f>
        <v>0</v>
      </c>
      <c r="CW379" s="48">
        <f>IF(OR($V379=0,$W379=0),0,IF(CW$367&gt;$V379,0,SUM($Y355:CW355)/$W379))</f>
        <v>0</v>
      </c>
      <c r="CX379" s="48">
        <f>IF(OR($V379=0,$W379=0),0,IF(CX$367&gt;$V379,0,SUM($Y355:CX355)/$W379))</f>
        <v>0</v>
      </c>
      <c r="CY379" s="48">
        <f>IF(OR($V379=0,$W379=0),0,IF(CY$367&gt;$V379,0,SUM($Y355:CY355)/$W379))</f>
        <v>0</v>
      </c>
      <c r="CZ379" s="48">
        <f>IF(OR($V379=0,$W379=0),0,IF(CZ$367&gt;$V379,0,SUM($Y355:CZ355)/$W379))</f>
        <v>0</v>
      </c>
      <c r="DA379" s="48">
        <f>IF(OR($V379=0,$W379=0),0,IF(DA$367&gt;$V379,0,SUM($Y355:DA355)/$W379))</f>
        <v>0</v>
      </c>
      <c r="DB379" s="48">
        <f>IF(OR($V379=0,$W379=0),0,IF(DB$367&gt;$V379,0,SUM($Y355:DB355)/$W379))</f>
        <v>0</v>
      </c>
      <c r="DC379" s="48">
        <f>IF(OR($V379=0,$W379=0),0,IF(DC$367&gt;$V379,0,SUM($Y355:DC355)/$W379))</f>
        <v>0</v>
      </c>
      <c r="DD379" s="48">
        <f>IF(OR($V379=0,$W379=0),0,IF(DD$367&gt;$V379,0,SUM($Y355:DD355)/$W379))</f>
        <v>0</v>
      </c>
      <c r="DE379" s="48">
        <f>IF(OR($V379=0,$W379=0),0,IF(DE$367&gt;$V379,0,SUM($Y355:DE355)/$W379))</f>
        <v>0</v>
      </c>
      <c r="DF379" s="48">
        <f>IF(OR($V379=0,$W379=0),0,IF(DF$367&gt;$V379,0,SUM($Y355:DF355)/$W379))</f>
        <v>0</v>
      </c>
      <c r="DG379" s="48">
        <f>IF(OR($V379=0,$W379=0),0,IF(DG$367&gt;$V379,0,SUM($Y355:DG355)/$W379))</f>
        <v>0</v>
      </c>
      <c r="DH379" s="48">
        <f>IF(OR($V379=0,$W379=0),0,IF(DH$367&gt;$V379,0,SUM($Y355:DH355)/$W379))</f>
        <v>0</v>
      </c>
      <c r="DI379" s="48">
        <f>IF(OR($V379=0,$W379=0),0,IF(DI$367&gt;$V379,0,SUM($Y355:DI355)/$W379))</f>
        <v>0</v>
      </c>
      <c r="DJ379" s="48">
        <f>IF(OR($V379=0,$W379=0),0,IF(DJ$367&gt;$V379,0,SUM($Y355:DJ355)/$W379))</f>
        <v>0</v>
      </c>
      <c r="DK379" s="48">
        <f>IF(OR($V379=0,$W379=0),0,IF(DK$367&gt;$V379,0,SUM($Y355:DK355)/$W379))</f>
        <v>0</v>
      </c>
      <c r="DL379" s="48">
        <f>IF(OR($V379=0,$W379=0),0,IF(DL$367&gt;$V379,0,SUM($Y355:DL355)/$W379))</f>
        <v>0</v>
      </c>
      <c r="DM379" s="48">
        <f>IF(OR($V379=0,$W379=0),0,IF(DM$367&gt;$V379,0,SUM($Y355:DM355)/$W379))</f>
        <v>0</v>
      </c>
      <c r="DN379" s="48">
        <f>IF(OR($V379=0,$W379=0),0,IF(DN$367&gt;$V379,0,SUM($Y355:DN355)/$W379))</f>
        <v>0</v>
      </c>
      <c r="DO379" s="48">
        <f>IF(OR($V379=0,$W379=0),0,IF(DO$367&gt;$V379,0,SUM($Y355:DO355)/$W379))</f>
        <v>0</v>
      </c>
      <c r="DP379" s="48">
        <f>IF(OR($V379=0,$W379=0),0,IF(DP$367&gt;$V379,0,SUM($Y355:DP355)/$W379))</f>
        <v>0</v>
      </c>
      <c r="DQ379" s="48">
        <f>IF(OR($V379=0,$W379=0),0,IF(DQ$367&gt;$V379,0,SUM($Y355:DQ355)/$W379))</f>
        <v>0</v>
      </c>
      <c r="DR379" s="50">
        <f>IF(OR($V379=0,$W379=0),0,IF(DR$367&gt;$V379,0,SUM($Y355:DR355)/$W379))</f>
        <v>0</v>
      </c>
      <c r="DS379" s="50">
        <f>IF(OR($V379=0,$W379=0),0,IF(DS$367&gt;$V379,0,SUM($Y355:DS355)/$W379))</f>
        <v>0</v>
      </c>
      <c r="DT379" s="50">
        <f>IF(OR($V379=0,$W379=0),0,IF(DT$367&gt;$V379,0,SUM($Y355:DT355)/$W379))</f>
        <v>0</v>
      </c>
      <c r="DU379" s="50">
        <f>IF(OR($V379=0,$W379=0),0,IF(DU$367&gt;$V379,0,SUM($Y355:DU355)/$W379))</f>
        <v>0</v>
      </c>
      <c r="DV379" s="50">
        <f>IF(OR($V379=0,$W379=0),0,IF(DV$367&gt;$V379,0,SUM($Y355:DV355)/$W379))</f>
        <v>0</v>
      </c>
      <c r="DW379" s="50">
        <f>IF(OR($V379=0,$W379=0),0,IF(DW$367&gt;$V379,0,SUM($Y355:DW355)/$W379))</f>
        <v>0</v>
      </c>
      <c r="DX379" s="50">
        <f>IF(OR($V379=0,$W379=0),0,IF(DX$367&gt;$V379,0,SUM($Y355:DX355)/$W379))</f>
        <v>0</v>
      </c>
      <c r="DY379" s="50">
        <f>IF(OR($V379=0,$W379=0),0,IF(DY$367&gt;$V379,0,SUM($Y355:DY355)/$W379))</f>
        <v>0</v>
      </c>
      <c r="DZ379" s="50">
        <f>IF(OR($V379=0,$W379=0),0,IF(DZ$367&gt;$V379,0,SUM($Y355:DZ355)/$W379))</f>
        <v>0</v>
      </c>
      <c r="EA379" s="50">
        <f>IF(OR($V379=0,$W379=0),0,IF(EA$367&gt;$V379,0,SUM($Y355:EA355)/$W379))</f>
        <v>0</v>
      </c>
      <c r="EB379" s="50">
        <f>IF(OR($V379=0,$W379=0),0,IF(EB$367&gt;$V379,0,SUM($Y355:EB355)/$W379))</f>
        <v>0</v>
      </c>
      <c r="EC379" s="50">
        <f>IF(OR($V379=0,$W379=0),0,IF(EC$367&gt;$V379,0,SUM($Y355:EC355)/$W379))</f>
        <v>0</v>
      </c>
      <c r="ED379" s="50">
        <f>IF(OR($V379=0,$W379=0),0,IF(ED$367&gt;$V379,0,SUM($Y355:ED355)/$W379))</f>
        <v>0</v>
      </c>
      <c r="EE379" s="50">
        <f>IF(OR($V379=0,$W379=0),0,IF(EE$367&gt;$V379,0,SUM($Y355:EE355)/$W379))</f>
        <v>0</v>
      </c>
      <c r="EF379" s="50">
        <f>IF(OR($V379=0,$W379=0),0,IF(EF$367&gt;$V379,0,SUM($Y355:EF355)/$W379))</f>
        <v>0</v>
      </c>
      <c r="EG379" s="50">
        <f>IF(OR($V379=0,$W379=0),0,IF(EG$367&gt;$V379,0,SUM($Y355:EG355)/$W379))</f>
        <v>0</v>
      </c>
      <c r="EH379" s="50">
        <f>IF(OR($V379=0,$W379=0),0,IF(EH$367&gt;$V379,0,SUM($Y355:EH355)/$W379))</f>
        <v>0</v>
      </c>
      <c r="EI379" s="50">
        <f>IF(OR($V379=0,$W379=0),0,IF(EI$367&gt;$V379,0,SUM($Y355:EI355)/$W379))</f>
        <v>0</v>
      </c>
      <c r="EJ379" s="50">
        <f>IF(OR($V379=0,$W379=0),0,IF(EJ$367&gt;$V379,0,SUM($Y355:EJ355)/$W379))</f>
        <v>0</v>
      </c>
      <c r="EK379" s="50">
        <f>IF(OR($V379=0,$W379=0),0,IF(EK$367&gt;$V379,0,SUM($Y355:EK355)/$W379))</f>
        <v>0</v>
      </c>
      <c r="EL379" s="50">
        <f>IF(OR($V379=0,$W379=0),0,IF(EL$367&gt;$V379,0,SUM($Y355:EL355)/$W379))</f>
        <v>0</v>
      </c>
      <c r="EM379" s="50">
        <f>IF(OR($V379=0,$W379=0),0,IF(EM$367&gt;$V379,0,SUM($Y355:EM355)/$W379))</f>
        <v>0</v>
      </c>
      <c r="EN379" s="50">
        <f>IF(OR($V379=0,$W379=0),0,IF(EN$367&gt;$V379,0,SUM($Y355:EN355)/$W379))</f>
        <v>0</v>
      </c>
      <c r="EO379" s="39">
        <v>51</v>
      </c>
      <c r="EP379" s="39">
        <v>51</v>
      </c>
      <c r="EQ379" s="39">
        <v>51</v>
      </c>
      <c r="ER379" s="39">
        <v>51</v>
      </c>
      <c r="ES379" s="39">
        <v>51</v>
      </c>
      <c r="ET379" s="39">
        <v>51</v>
      </c>
      <c r="EU379" s="39">
        <v>51</v>
      </c>
      <c r="EV379" s="39">
        <v>51</v>
      </c>
      <c r="EW379" s="39">
        <v>51</v>
      </c>
      <c r="EX379" s="39">
        <v>51</v>
      </c>
    </row>
    <row r="380" spans="11:154" ht="12" customHeight="1" x14ac:dyDescent="0.35">
      <c r="K380" s="1667"/>
      <c r="L380" s="1667"/>
      <c r="M380" s="1667"/>
      <c r="N380" s="1667"/>
      <c r="O380" s="1667"/>
      <c r="P380" s="1667"/>
      <c r="Q380" s="1667"/>
      <c r="R380" s="1667"/>
      <c r="S380" s="1667"/>
      <c r="T380" s="1667"/>
      <c r="U380" s="59"/>
      <c r="V380" s="1636">
        <f t="shared" si="192"/>
        <v>0</v>
      </c>
      <c r="W380" s="102">
        <f t="shared" si="193"/>
        <v>0</v>
      </c>
      <c r="X380" s="381">
        <f t="shared" si="194"/>
        <v>13</v>
      </c>
      <c r="Y380" s="1645">
        <f>IF(OR($V380=0,$W380=0),0,IF(Y$367&gt;$V380,0,SUM($Y356:Y356)/$W380))</f>
        <v>0</v>
      </c>
      <c r="Z380" s="1646">
        <f>IF(OR($V380=0,$W380=0),0,IF(Z$367&gt;$V380,0,SUM($Y356:Z356)/$W380))</f>
        <v>0</v>
      </c>
      <c r="AA380" s="1646">
        <f>IF(OR($V380=0,$W380=0),0,IF(AA$367&gt;$V380,0,SUM($Y356:AA356)/$W380))</f>
        <v>0</v>
      </c>
      <c r="AB380" s="1646">
        <f>IF(OR($V380=0,$W380=0),0,IF(AB$367&gt;$V380,0,SUM($Y356:AB356)/$W380))</f>
        <v>0</v>
      </c>
      <c r="AC380" s="1646">
        <f>IF(OR($V380=0,$W380=0),0,IF(AC$367&gt;$V380,0,SUM($Y356:AC356)/$W380))</f>
        <v>0</v>
      </c>
      <c r="AD380" s="1646">
        <f>IF(OR($V380=0,$W380=0),0,IF(AD$367&gt;$V380,0,SUM($Y356:AD356)/$W380))</f>
        <v>0</v>
      </c>
      <c r="AE380" s="1646">
        <f>IF(OR($V380=0,$W380=0),0,IF(AE$367&gt;$V380,0,SUM($Y356:AE356)/$W380))</f>
        <v>0</v>
      </c>
      <c r="AF380" s="1155">
        <f>IF(OR($V380=0,$W380=0),0,IF(AF$367&gt;$V380,0,SUM($Y356:AF356)/$W380))</f>
        <v>0</v>
      </c>
      <c r="AG380" s="1155">
        <f>IF(OR($V380=0,$W380=0),0,IF(AG$367&gt;$V380,0,SUM($Y356:AG356)/$W380))</f>
        <v>0</v>
      </c>
      <c r="AH380" s="1155">
        <f>IF(OR($V380=0,$W380=0),0,IF(AH$367&gt;$V380,0,SUM($Y356:AH356)/$W380))</f>
        <v>0</v>
      </c>
      <c r="AI380" s="1155">
        <f>IF(OR($V380=0,$W380=0),0,IF(AI$367&gt;$V380,0,SUM($Y356:AI356)/$W380))</f>
        <v>0</v>
      </c>
      <c r="AJ380" s="1155">
        <f>IF(OR($V380=0,$W380=0),0,IF(AJ$367&gt;$V380,0,SUM($Y356:AJ356)/$W380))</f>
        <v>0</v>
      </c>
      <c r="AK380" s="1155">
        <f>IF(OR($V380=0,$W380=0),0,IF(AK$367&gt;$V380,0,SUM($Y356:AK356)/$W380))</f>
        <v>0</v>
      </c>
      <c r="AL380" s="1155">
        <f>IF(OR($V380=0,$W380=0),0,IF(AL$367&gt;$V380,0,SUM($Y356:AL356)/$W380))</f>
        <v>0</v>
      </c>
      <c r="AM380" s="1155">
        <f>IF(OR($V380=0,$W380=0),0,IF(AM$367&gt;$V380,0,SUM($Y356:AM356)/$W380))</f>
        <v>0</v>
      </c>
      <c r="AN380" s="1155">
        <f>IF(OR($V380=0,$W380=0),0,IF(AN$367&gt;$V380,0,SUM($Y356:AN356)/$W380))</f>
        <v>0</v>
      </c>
      <c r="AO380" s="1155">
        <f>IF(OR($V380=0,$W380=0),0,IF(AO$367&gt;$V380,0,SUM($Y356:AO356)/$W380))</f>
        <v>0</v>
      </c>
      <c r="AP380" s="1155">
        <f>IF(OR($V380=0,$W380=0),0,IF(AP$367&gt;$V380,0,SUM($Y356:AP356)/$W380))</f>
        <v>0</v>
      </c>
      <c r="AQ380" s="1155">
        <f>IF(OR($V380=0,$W380=0),0,IF(AQ$367&gt;$V380,0,SUM($Y356:AQ356)/$W380))</f>
        <v>0</v>
      </c>
      <c r="AR380" s="1155">
        <f>IF(OR($V380=0,$W380=0),0,IF(AR$367&gt;$V380,0,SUM($Y356:AR356)/$W380))</f>
        <v>0</v>
      </c>
      <c r="AS380" s="1155">
        <f>IF(OR($V380=0,$W380=0),0,IF(AS$367&gt;$V380,0,SUM($Y356:AS356)/$W380))</f>
        <v>0</v>
      </c>
      <c r="AT380" s="1155">
        <f>IF(OR($V380=0,$W380=0),0,IF(AT$367&gt;$V380,0,SUM($Y356:AT356)/$W380))</f>
        <v>0</v>
      </c>
      <c r="AU380" s="1155">
        <f>IF(OR($V380=0,$W380=0),0,IF(AU$367&gt;$V380,0,SUM($Y356:AU356)/$W380))</f>
        <v>0</v>
      </c>
      <c r="AV380" s="1155">
        <f>IF(OR($V380=0,$W380=0),0,IF(AV$367&gt;$V380,0,SUM($Y356:AV356)/$W380))</f>
        <v>0</v>
      </c>
      <c r="AW380" s="1155">
        <f>IF(OR($V380=0,$W380=0),0,IF(AW$367&gt;$V380,0,SUM($Y356:AW356)/$W380))</f>
        <v>0</v>
      </c>
      <c r="AX380" s="1155">
        <f>IF(OR($V380=0,$W380=0),0,IF(AX$367&gt;$V380,0,SUM($Y356:AX356)/$W380))</f>
        <v>0</v>
      </c>
      <c r="AY380" s="1155">
        <f>IF(OR($V380=0,$W380=0),0,IF(AY$367&gt;$V380,0,SUM($Y356:AY356)/$W380))</f>
        <v>0</v>
      </c>
      <c r="AZ380" s="1155">
        <f>IF(OR($V380=0,$W380=0),0,IF(AZ$367&gt;$V380,0,SUM($Y356:AZ356)/$W380))</f>
        <v>0</v>
      </c>
      <c r="BA380" s="1155">
        <f>IF(OR($V380=0,$W380=0),0,IF(BA$367&gt;$V380,0,SUM($Y356:BA356)/$W380))</f>
        <v>0</v>
      </c>
      <c r="BB380" s="1155">
        <f>IF(OR($V380=0,$W380=0),0,IF(BB$367&gt;$V380,0,SUM($Y356:BB356)/$W380))</f>
        <v>0</v>
      </c>
      <c r="BC380" s="1155">
        <f>IF(OR($V380=0,$W380=0),0,IF(BC$367&gt;$V380,0,SUM($Y356:BC356)/$W380))</f>
        <v>0</v>
      </c>
      <c r="BD380" s="1155">
        <f>IF(OR($V380=0,$W380=0),0,IF(BD$367&gt;$V380,0,SUM($Y356:BD356)/$W380))</f>
        <v>0</v>
      </c>
      <c r="BE380" s="1155">
        <f>IF(OR($V380=0,$W380=0),0,IF(BE$367&gt;$V380,0,SUM($Y356:BE356)/$W380))</f>
        <v>0</v>
      </c>
      <c r="BF380" s="1155">
        <f>IF(OR($V380=0,$W380=0),0,IF(BF$367&gt;$V380,0,SUM($Y356:BF356)/$W380))</f>
        <v>0</v>
      </c>
      <c r="BG380" s="1155">
        <f>IF(OR($V380=0,$W380=0),0,IF(BG$367&gt;$V380,0,SUM($Y356:BG356)/$W380))</f>
        <v>0</v>
      </c>
      <c r="BH380" s="1155">
        <f>IF(OR($V380=0,$W380=0),0,IF(BH$367&gt;$V380,0,SUM($Y356:BH356)/$W380))</f>
        <v>0</v>
      </c>
      <c r="BI380" s="1155">
        <f>IF(OR($V380=0,$W380=0),0,IF(BI$367&gt;$V380,0,SUM($Y356:BI356)/$W380))</f>
        <v>0</v>
      </c>
      <c r="BJ380" s="1155">
        <f>IF(OR($V380=0,$W380=0),0,IF(BJ$367&gt;$V380,0,SUM($Y356:BJ356)/$W380))</f>
        <v>0</v>
      </c>
      <c r="BK380" s="1155">
        <f>IF(OR($V380=0,$W380=0),0,IF(BK$367&gt;$V380,0,SUM($Y356:BK356)/$W380))</f>
        <v>0</v>
      </c>
      <c r="BL380" s="1155">
        <f>IF(OR($V380=0,$W380=0),0,IF(BL$367&gt;$V380,0,SUM($Y356:BL356)/$W380))</f>
        <v>0</v>
      </c>
      <c r="BM380" s="1155">
        <f>IF(OR($V380=0,$W380=0),0,IF(BM$367&gt;$V380,0,SUM($Y356:BM356)/$W380))</f>
        <v>0</v>
      </c>
      <c r="BN380" s="1155">
        <f>IF(OR($V380=0,$W380=0),0,IF(BN$367&gt;$V380,0,SUM($Y356:BN356)/$W380))</f>
        <v>0</v>
      </c>
      <c r="BO380" s="1155">
        <f>IF(OR($V380=0,$W380=0),0,IF(BO$367&gt;$V380,0,SUM($Y356:BO356)/$W380))</f>
        <v>0</v>
      </c>
      <c r="BP380" s="1155">
        <f>IF(OR($V380=0,$W380=0),0,IF(BP$367&gt;$V380,0,SUM($Y356:BP356)/$W380))</f>
        <v>0</v>
      </c>
      <c r="BQ380" s="1155">
        <f>IF(OR($V380=0,$W380=0),0,IF(BQ$367&gt;$V380,0,SUM($Y356:BQ356)/$W380))</f>
        <v>0</v>
      </c>
      <c r="BR380" s="1155">
        <f>IF(OR($V380=0,$W380=0),0,IF(BR$367&gt;$V380,0,SUM($Y356:BR356)/$W380))</f>
        <v>0</v>
      </c>
      <c r="BS380" s="1155">
        <f>IF(OR($V380=0,$W380=0),0,IF(BS$367&gt;$V380,0,SUM($Y356:BS356)/$W380))</f>
        <v>0</v>
      </c>
      <c r="BT380" s="1155">
        <f>IF(OR($V380=0,$W380=0),0,IF(BT$367&gt;$V380,0,SUM($Y356:BT356)/$W380))</f>
        <v>0</v>
      </c>
      <c r="BU380" s="1155">
        <f>IF(OR($V380=0,$W380=0),0,IF(BU$367&gt;$V380,0,SUM($Y356:BU356)/$W380))</f>
        <v>0</v>
      </c>
      <c r="BV380" s="1155">
        <f>IF(OR($V380=0,$W380=0),0,IF(BV$367&gt;$V380,0,SUM($Y356:BV356)/$W380))</f>
        <v>0</v>
      </c>
      <c r="BW380" s="1155">
        <f>IF(OR($V380=0,$W380=0),0,IF(BW$367&gt;$V380,0,SUM($Y356:BW356)/$W380))</f>
        <v>0</v>
      </c>
      <c r="BX380" s="1162">
        <f>IF(OR($V380=0,$W380=0),0,IF(BX$367&gt;$V380,0,SUM($Y356:BX356)/$W380))</f>
        <v>0</v>
      </c>
      <c r="BY380" s="1162">
        <f>IF(OR($V380=0,$W380=0),0,IF(BY$367&gt;$V380,0,SUM($Y356:BY356)/$W380))</f>
        <v>0</v>
      </c>
      <c r="BZ380" s="1162">
        <f>IF(OR($V380=0,$W380=0),0,IF(BZ$367&gt;$V380,0,SUM($Y356:BZ356)/$W380))</f>
        <v>0</v>
      </c>
      <c r="CA380" s="1162">
        <f>IF(OR($V380=0,$W380=0),0,IF(CA$367&gt;$V380,0,SUM($Y356:CA356)/$W380))</f>
        <v>0</v>
      </c>
      <c r="CB380" s="1162">
        <f>IF(OR($V380=0,$W380=0),0,IF(CB$367&gt;$V380,0,SUM($Y356:CB356)/$W380))</f>
        <v>0</v>
      </c>
      <c r="CC380" s="1162">
        <f>IF(OR($V380=0,$W380=0),0,IF(CC$367&gt;$V380,0,SUM($Y356:CC356)/$W380))</f>
        <v>0</v>
      </c>
      <c r="CD380" s="1162">
        <f>IF(OR($V380=0,$W380=0),0,IF(CD$367&gt;$V380,0,SUM($Y356:CD356)/$W380))</f>
        <v>0</v>
      </c>
      <c r="CE380" s="1162">
        <f>IF(OR($V380=0,$W380=0),0,IF(CE$367&gt;$V380,0,SUM($Y356:CE356)/$W380))</f>
        <v>0</v>
      </c>
      <c r="CF380" s="1162">
        <f>IF(OR($V380=0,$W380=0),0,IF(CF$367&gt;$V380,0,SUM($Y356:CF356)/$W380))</f>
        <v>0</v>
      </c>
      <c r="CG380" s="1162">
        <f>IF(OR($V380=0,$W380=0),0,IF(CG$367&gt;$V380,0,SUM($Y356:CG356)/$W380))</f>
        <v>0</v>
      </c>
      <c r="CH380" s="1162">
        <f>IF(OR($V380=0,$W380=0),0,IF(CH$367&gt;$V380,0,SUM($Y356:CH356)/$W380))</f>
        <v>0</v>
      </c>
      <c r="CI380" s="1162">
        <f>IF(OR($V380=0,$W380=0),0,IF(CI$367&gt;$V380,0,SUM($Y356:CI356)/$W380))</f>
        <v>0</v>
      </c>
      <c r="CJ380" s="1162">
        <f>IF(OR($V380=0,$W380=0),0,IF(CJ$367&gt;$V380,0,SUM($Y356:CJ356)/$W380))</f>
        <v>0</v>
      </c>
      <c r="CK380" s="1162">
        <f>IF(OR($V380=0,$W380=0),0,IF(CK$367&gt;$V380,0,SUM($Y356:CK356)/$W380))</f>
        <v>0</v>
      </c>
      <c r="CL380" s="1162">
        <f>IF(OR($V380=0,$W380=0),0,IF(CL$367&gt;$V380,0,SUM($Y356:CL356)/$W380))</f>
        <v>0</v>
      </c>
      <c r="CM380" s="1162">
        <f>IF(OR($V380=0,$W380=0),0,IF(CM$367&gt;$V380,0,SUM($Y356:CM356)/$W380))</f>
        <v>0</v>
      </c>
      <c r="CN380" s="1162">
        <f>IF(OR($V380=0,$W380=0),0,IF(CN$367&gt;$V380,0,SUM($Y356:CN356)/$W380))</f>
        <v>0</v>
      </c>
      <c r="CO380" s="1162">
        <f>IF(OR($V380=0,$W380=0),0,IF(CO$367&gt;$V380,0,SUM($Y356:CO356)/$W380))</f>
        <v>0</v>
      </c>
      <c r="CP380" s="1162">
        <f>IF(OR($V380=0,$W380=0),0,IF(CP$367&gt;$V380,0,SUM($Y356:CP356)/$W380))</f>
        <v>0</v>
      </c>
      <c r="CQ380" s="48">
        <f>IF(OR($V380=0,$W380=0),0,IF(CQ$367&gt;$V380,0,SUM($Y356:CQ356)/$W380))</f>
        <v>0</v>
      </c>
      <c r="CR380" s="48">
        <f>IF(OR($V380=0,$W380=0),0,IF(CR$367&gt;$V380,0,SUM($Y356:CR356)/$W380))</f>
        <v>0</v>
      </c>
      <c r="CS380" s="48">
        <f>IF(OR($V380=0,$W380=0),0,IF(CS$367&gt;$V380,0,SUM($Y356:CS356)/$W380))</f>
        <v>0</v>
      </c>
      <c r="CT380" s="48">
        <f>IF(OR($V380=0,$W380=0),0,IF(CT$367&gt;$V380,0,SUM($Y356:CT356)/$W380))</f>
        <v>0</v>
      </c>
      <c r="CU380" s="48">
        <f>IF(OR($V380=0,$W380=0),0,IF(CU$367&gt;$V380,0,SUM($Y356:CU356)/$W380))</f>
        <v>0</v>
      </c>
      <c r="CV380" s="48">
        <f>IF(OR($V380=0,$W380=0),0,IF(CV$367&gt;$V380,0,SUM($Y356:CV356)/$W380))</f>
        <v>0</v>
      </c>
      <c r="CW380" s="48">
        <f>IF(OR($V380=0,$W380=0),0,IF(CW$367&gt;$V380,0,SUM($Y356:CW356)/$W380))</f>
        <v>0</v>
      </c>
      <c r="CX380" s="48">
        <f>IF(OR($V380=0,$W380=0),0,IF(CX$367&gt;$V380,0,SUM($Y356:CX356)/$W380))</f>
        <v>0</v>
      </c>
      <c r="CY380" s="48">
        <f>IF(OR($V380=0,$W380=0),0,IF(CY$367&gt;$V380,0,SUM($Y356:CY356)/$W380))</f>
        <v>0</v>
      </c>
      <c r="CZ380" s="48">
        <f>IF(OR($V380=0,$W380=0),0,IF(CZ$367&gt;$V380,0,SUM($Y356:CZ356)/$W380))</f>
        <v>0</v>
      </c>
      <c r="DA380" s="48">
        <f>IF(OR($V380=0,$W380=0),0,IF(DA$367&gt;$V380,0,SUM($Y356:DA356)/$W380))</f>
        <v>0</v>
      </c>
      <c r="DB380" s="48">
        <f>IF(OR($V380=0,$W380=0),0,IF(DB$367&gt;$V380,0,SUM($Y356:DB356)/$W380))</f>
        <v>0</v>
      </c>
      <c r="DC380" s="48">
        <f>IF(OR($V380=0,$W380=0),0,IF(DC$367&gt;$V380,0,SUM($Y356:DC356)/$W380))</f>
        <v>0</v>
      </c>
      <c r="DD380" s="48">
        <f>IF(OR($V380=0,$W380=0),0,IF(DD$367&gt;$V380,0,SUM($Y356:DD356)/$W380))</f>
        <v>0</v>
      </c>
      <c r="DE380" s="48">
        <f>IF(OR($V380=0,$W380=0),0,IF(DE$367&gt;$V380,0,SUM($Y356:DE356)/$W380))</f>
        <v>0</v>
      </c>
      <c r="DF380" s="48">
        <f>IF(OR($V380=0,$W380=0),0,IF(DF$367&gt;$V380,0,SUM($Y356:DF356)/$W380))</f>
        <v>0</v>
      </c>
      <c r="DG380" s="48">
        <f>IF(OR($V380=0,$W380=0),0,IF(DG$367&gt;$V380,0,SUM($Y356:DG356)/$W380))</f>
        <v>0</v>
      </c>
      <c r="DH380" s="48">
        <f>IF(OR($V380=0,$W380=0),0,IF(DH$367&gt;$V380,0,SUM($Y356:DH356)/$W380))</f>
        <v>0</v>
      </c>
      <c r="DI380" s="48">
        <f>IF(OR($V380=0,$W380=0),0,IF(DI$367&gt;$V380,0,SUM($Y356:DI356)/$W380))</f>
        <v>0</v>
      </c>
      <c r="DJ380" s="48">
        <f>IF(OR($V380=0,$W380=0),0,IF(DJ$367&gt;$V380,0,SUM($Y356:DJ356)/$W380))</f>
        <v>0</v>
      </c>
      <c r="DK380" s="48">
        <f>IF(OR($V380=0,$W380=0),0,IF(DK$367&gt;$V380,0,SUM($Y356:DK356)/$W380))</f>
        <v>0</v>
      </c>
      <c r="DL380" s="48">
        <f>IF(OR($V380=0,$W380=0),0,IF(DL$367&gt;$V380,0,SUM($Y356:DL356)/$W380))</f>
        <v>0</v>
      </c>
      <c r="DM380" s="48">
        <f>IF(OR($V380=0,$W380=0),0,IF(DM$367&gt;$V380,0,SUM($Y356:DM356)/$W380))</f>
        <v>0</v>
      </c>
      <c r="DN380" s="48">
        <f>IF(OR($V380=0,$W380=0),0,IF(DN$367&gt;$V380,0,SUM($Y356:DN356)/$W380))</f>
        <v>0</v>
      </c>
      <c r="DO380" s="48">
        <f>IF(OR($V380=0,$W380=0),0,IF(DO$367&gt;$V380,0,SUM($Y356:DO356)/$W380))</f>
        <v>0</v>
      </c>
      <c r="DP380" s="48">
        <f>IF(OR($V380=0,$W380=0),0,IF(DP$367&gt;$V380,0,SUM($Y356:DP356)/$W380))</f>
        <v>0</v>
      </c>
      <c r="DQ380" s="48">
        <f>IF(OR($V380=0,$W380=0),0,IF(DQ$367&gt;$V380,0,SUM($Y356:DQ356)/$W380))</f>
        <v>0</v>
      </c>
      <c r="DR380" s="50">
        <f>IF(OR($V380=0,$W380=0),0,IF(DR$367&gt;$V380,0,SUM($Y356:DR356)/$W380))</f>
        <v>0</v>
      </c>
      <c r="DS380" s="50">
        <f>IF(OR($V380=0,$W380=0),0,IF(DS$367&gt;$V380,0,SUM($Y356:DS356)/$W380))</f>
        <v>0</v>
      </c>
      <c r="DT380" s="50">
        <f>IF(OR($V380=0,$W380=0),0,IF(DT$367&gt;$V380,0,SUM($Y356:DT356)/$W380))</f>
        <v>0</v>
      </c>
      <c r="DU380" s="50">
        <f>IF(OR($V380=0,$W380=0),0,IF(DU$367&gt;$V380,0,SUM($Y356:DU356)/$W380))</f>
        <v>0</v>
      </c>
      <c r="DV380" s="50">
        <f>IF(OR($V380=0,$W380=0),0,IF(DV$367&gt;$V380,0,SUM($Y356:DV356)/$W380))</f>
        <v>0</v>
      </c>
      <c r="DW380" s="50">
        <f>IF(OR($V380=0,$W380=0),0,IF(DW$367&gt;$V380,0,SUM($Y356:DW356)/$W380))</f>
        <v>0</v>
      </c>
      <c r="DX380" s="50">
        <f>IF(OR($V380=0,$W380=0),0,IF(DX$367&gt;$V380,0,SUM($Y356:DX356)/$W380))</f>
        <v>0</v>
      </c>
      <c r="DY380" s="50">
        <f>IF(OR($V380=0,$W380=0),0,IF(DY$367&gt;$V380,0,SUM($Y356:DY356)/$W380))</f>
        <v>0</v>
      </c>
      <c r="DZ380" s="50">
        <f>IF(OR($V380=0,$W380=0),0,IF(DZ$367&gt;$V380,0,SUM($Y356:DZ356)/$W380))</f>
        <v>0</v>
      </c>
      <c r="EA380" s="50">
        <f>IF(OR($V380=0,$W380=0),0,IF(EA$367&gt;$V380,0,SUM($Y356:EA356)/$W380))</f>
        <v>0</v>
      </c>
      <c r="EB380" s="50">
        <f>IF(OR($V380=0,$W380=0),0,IF(EB$367&gt;$V380,0,SUM($Y356:EB356)/$W380))</f>
        <v>0</v>
      </c>
      <c r="EC380" s="50">
        <f>IF(OR($V380=0,$W380=0),0,IF(EC$367&gt;$V380,0,SUM($Y356:EC356)/$W380))</f>
        <v>0</v>
      </c>
      <c r="ED380" s="50">
        <f>IF(OR($V380=0,$W380=0),0,IF(ED$367&gt;$V380,0,SUM($Y356:ED356)/$W380))</f>
        <v>0</v>
      </c>
      <c r="EE380" s="50">
        <f>IF(OR($V380=0,$W380=0),0,IF(EE$367&gt;$V380,0,SUM($Y356:EE356)/$W380))</f>
        <v>0</v>
      </c>
      <c r="EF380" s="50">
        <f>IF(OR($V380=0,$W380=0),0,IF(EF$367&gt;$V380,0,SUM($Y356:EF356)/$W380))</f>
        <v>0</v>
      </c>
      <c r="EG380" s="50">
        <f>IF(OR($V380=0,$W380=0),0,IF(EG$367&gt;$V380,0,SUM($Y356:EG356)/$W380))</f>
        <v>0</v>
      </c>
      <c r="EH380" s="50">
        <f>IF(OR($V380=0,$W380=0),0,IF(EH$367&gt;$V380,0,SUM($Y356:EH356)/$W380))</f>
        <v>0</v>
      </c>
      <c r="EI380" s="50">
        <f>IF(OR($V380=0,$W380=0),0,IF(EI$367&gt;$V380,0,SUM($Y356:EI356)/$W380))</f>
        <v>0</v>
      </c>
      <c r="EJ380" s="50">
        <f>IF(OR($V380=0,$W380=0),0,IF(EJ$367&gt;$V380,0,SUM($Y356:EJ356)/$W380))</f>
        <v>0</v>
      </c>
      <c r="EK380" s="50">
        <f>IF(OR($V380=0,$W380=0),0,IF(EK$367&gt;$V380,0,SUM($Y356:EK356)/$W380))</f>
        <v>0</v>
      </c>
      <c r="EL380" s="50">
        <f>IF(OR($V380=0,$W380=0),0,IF(EL$367&gt;$V380,0,SUM($Y356:EL356)/$W380))</f>
        <v>0</v>
      </c>
      <c r="EM380" s="50">
        <f>IF(OR($V380=0,$W380=0),0,IF(EM$367&gt;$V380,0,SUM($Y356:EM356)/$W380))</f>
        <v>0</v>
      </c>
      <c r="EN380" s="50">
        <f>IF(OR($V380=0,$W380=0),0,IF(EN$367&gt;$V380,0,SUM($Y356:EN356)/$W380))</f>
        <v>0</v>
      </c>
      <c r="EO380" s="39">
        <v>51</v>
      </c>
      <c r="EP380" s="39">
        <v>51</v>
      </c>
      <c r="EQ380" s="39">
        <v>51</v>
      </c>
      <c r="ER380" s="39">
        <v>51</v>
      </c>
      <c r="ES380" s="39">
        <v>51</v>
      </c>
      <c r="ET380" s="39">
        <v>51</v>
      </c>
      <c r="EU380" s="39">
        <v>51</v>
      </c>
      <c r="EV380" s="39">
        <v>51</v>
      </c>
      <c r="EW380" s="39">
        <v>51</v>
      </c>
      <c r="EX380" s="39">
        <v>51</v>
      </c>
    </row>
    <row r="381" spans="11:154" ht="12" customHeight="1" x14ac:dyDescent="0.35">
      <c r="K381" s="1667"/>
      <c r="L381" s="1667"/>
      <c r="M381" s="1667"/>
      <c r="N381" s="1667"/>
      <c r="O381" s="1667"/>
      <c r="P381" s="1667"/>
      <c r="Q381" s="1667"/>
      <c r="R381" s="1667"/>
      <c r="S381" s="1667"/>
      <c r="T381" s="1667"/>
      <c r="U381" s="59"/>
      <c r="V381" s="1636">
        <f t="shared" si="192"/>
        <v>0</v>
      </c>
      <c r="W381" s="102">
        <f t="shared" si="193"/>
        <v>0</v>
      </c>
      <c r="X381" s="381">
        <f t="shared" si="194"/>
        <v>14</v>
      </c>
      <c r="Y381" s="1645">
        <f>IF(OR($V381=0,$W381=0),0,IF(Y$367&gt;$V381,0,SUM($Y357:Y357)/$W381))</f>
        <v>0</v>
      </c>
      <c r="Z381" s="1646">
        <f>IF(OR($V381=0,$W381=0),0,IF(Z$367&gt;$V381,0,SUM($Y357:Z357)/$W381))</f>
        <v>0</v>
      </c>
      <c r="AA381" s="1646">
        <f>IF(OR($V381=0,$W381=0),0,IF(AA$367&gt;$V381,0,SUM($Y357:AA357)/$W381))</f>
        <v>0</v>
      </c>
      <c r="AB381" s="1646">
        <f>IF(OR($V381=0,$W381=0),0,IF(AB$367&gt;$V381,0,SUM($Y357:AB357)/$W381))</f>
        <v>0</v>
      </c>
      <c r="AC381" s="1646">
        <f>IF(OR($V381=0,$W381=0),0,IF(AC$367&gt;$V381,0,SUM($Y357:AC357)/$W381))</f>
        <v>0</v>
      </c>
      <c r="AD381" s="1646">
        <f>IF(OR($V381=0,$W381=0),0,IF(AD$367&gt;$V381,0,SUM($Y357:AD357)/$W381))</f>
        <v>0</v>
      </c>
      <c r="AE381" s="1646">
        <f>IF(OR($V381=0,$W381=0),0,IF(AE$367&gt;$V381,0,SUM($Y357:AE357)/$W381))</f>
        <v>0</v>
      </c>
      <c r="AF381" s="1155">
        <f>IF(OR($V381=0,$W381=0),0,IF(AF$367&gt;$V381,0,SUM($Y357:AF357)/$W381))</f>
        <v>0</v>
      </c>
      <c r="AG381" s="1155">
        <f>IF(OR($V381=0,$W381=0),0,IF(AG$367&gt;$V381,0,SUM($Y357:AG357)/$W381))</f>
        <v>0</v>
      </c>
      <c r="AH381" s="1155">
        <f>IF(OR($V381=0,$W381=0),0,IF(AH$367&gt;$V381,0,SUM($Y357:AH357)/$W381))</f>
        <v>0</v>
      </c>
      <c r="AI381" s="1155">
        <f>IF(OR($V381=0,$W381=0),0,IF(AI$367&gt;$V381,0,SUM($Y357:AI357)/$W381))</f>
        <v>0</v>
      </c>
      <c r="AJ381" s="1155">
        <f>IF(OR($V381=0,$W381=0),0,IF(AJ$367&gt;$V381,0,SUM($Y357:AJ357)/$W381))</f>
        <v>0</v>
      </c>
      <c r="AK381" s="1155">
        <f>IF(OR($V381=0,$W381=0),0,IF(AK$367&gt;$V381,0,SUM($Y357:AK357)/$W381))</f>
        <v>0</v>
      </c>
      <c r="AL381" s="1155">
        <f>IF(OR($V381=0,$W381=0),0,IF(AL$367&gt;$V381,0,SUM($Y357:AL357)/$W381))</f>
        <v>0</v>
      </c>
      <c r="AM381" s="1155">
        <f>IF(OR($V381=0,$W381=0),0,IF(AM$367&gt;$V381,0,SUM($Y357:AM357)/$W381))</f>
        <v>0</v>
      </c>
      <c r="AN381" s="1155">
        <f>IF(OR($V381=0,$W381=0),0,IF(AN$367&gt;$V381,0,SUM($Y357:AN357)/$W381))</f>
        <v>0</v>
      </c>
      <c r="AO381" s="1155">
        <f>IF(OR($V381=0,$W381=0),0,IF(AO$367&gt;$V381,0,SUM($Y357:AO357)/$W381))</f>
        <v>0</v>
      </c>
      <c r="AP381" s="1155">
        <f>IF(OR($V381=0,$W381=0),0,IF(AP$367&gt;$V381,0,SUM($Y357:AP357)/$W381))</f>
        <v>0</v>
      </c>
      <c r="AQ381" s="1155">
        <f>IF(OR($V381=0,$W381=0),0,IF(AQ$367&gt;$V381,0,SUM($Y357:AQ357)/$W381))</f>
        <v>0</v>
      </c>
      <c r="AR381" s="1155">
        <f>IF(OR($V381=0,$W381=0),0,IF(AR$367&gt;$V381,0,SUM($Y357:AR357)/$W381))</f>
        <v>0</v>
      </c>
      <c r="AS381" s="1155">
        <f>IF(OR($V381=0,$W381=0),0,IF(AS$367&gt;$V381,0,SUM($Y357:AS357)/$W381))</f>
        <v>0</v>
      </c>
      <c r="AT381" s="1155">
        <f>IF(OR($V381=0,$W381=0),0,IF(AT$367&gt;$V381,0,SUM($Y357:AT357)/$W381))</f>
        <v>0</v>
      </c>
      <c r="AU381" s="1155">
        <f>IF(OR($V381=0,$W381=0),0,IF(AU$367&gt;$V381,0,SUM($Y357:AU357)/$W381))</f>
        <v>0</v>
      </c>
      <c r="AV381" s="1155">
        <f>IF(OR($V381=0,$W381=0),0,IF(AV$367&gt;$V381,0,SUM($Y357:AV357)/$W381))</f>
        <v>0</v>
      </c>
      <c r="AW381" s="1155">
        <f>IF(OR($V381=0,$W381=0),0,IF(AW$367&gt;$V381,0,SUM($Y357:AW357)/$W381))</f>
        <v>0</v>
      </c>
      <c r="AX381" s="1155">
        <f>IF(OR($V381=0,$W381=0),0,IF(AX$367&gt;$V381,0,SUM($Y357:AX357)/$W381))</f>
        <v>0</v>
      </c>
      <c r="AY381" s="1155">
        <f>IF(OR($V381=0,$W381=0),0,IF(AY$367&gt;$V381,0,SUM($Y357:AY357)/$W381))</f>
        <v>0</v>
      </c>
      <c r="AZ381" s="1155">
        <f>IF(OR($V381=0,$W381=0),0,IF(AZ$367&gt;$V381,0,SUM($Y357:AZ357)/$W381))</f>
        <v>0</v>
      </c>
      <c r="BA381" s="1155">
        <f>IF(OR($V381=0,$W381=0),0,IF(BA$367&gt;$V381,0,SUM($Y357:BA357)/$W381))</f>
        <v>0</v>
      </c>
      <c r="BB381" s="1155">
        <f>IF(OR($V381=0,$W381=0),0,IF(BB$367&gt;$V381,0,SUM($Y357:BB357)/$W381))</f>
        <v>0</v>
      </c>
      <c r="BC381" s="1155">
        <f>IF(OR($V381=0,$W381=0),0,IF(BC$367&gt;$V381,0,SUM($Y357:BC357)/$W381))</f>
        <v>0</v>
      </c>
      <c r="BD381" s="1155">
        <f>IF(OR($V381=0,$W381=0),0,IF(BD$367&gt;$V381,0,SUM($Y357:BD357)/$W381))</f>
        <v>0</v>
      </c>
      <c r="BE381" s="1155">
        <f>IF(OR($V381=0,$W381=0),0,IF(BE$367&gt;$V381,0,SUM($Y357:BE357)/$W381))</f>
        <v>0</v>
      </c>
      <c r="BF381" s="1155">
        <f>IF(OR($V381=0,$W381=0),0,IF(BF$367&gt;$V381,0,SUM($Y357:BF357)/$W381))</f>
        <v>0</v>
      </c>
      <c r="BG381" s="1155">
        <f>IF(OR($V381=0,$W381=0),0,IF(BG$367&gt;$V381,0,SUM($Y357:BG357)/$W381))</f>
        <v>0</v>
      </c>
      <c r="BH381" s="1155">
        <f>IF(OR($V381=0,$W381=0),0,IF(BH$367&gt;$V381,0,SUM($Y357:BH357)/$W381))</f>
        <v>0</v>
      </c>
      <c r="BI381" s="1155">
        <f>IF(OR($V381=0,$W381=0),0,IF(BI$367&gt;$V381,0,SUM($Y357:BI357)/$W381))</f>
        <v>0</v>
      </c>
      <c r="BJ381" s="1155">
        <f>IF(OR($V381=0,$W381=0),0,IF(BJ$367&gt;$V381,0,SUM($Y357:BJ357)/$W381))</f>
        <v>0</v>
      </c>
      <c r="BK381" s="1155">
        <f>IF(OR($V381=0,$W381=0),0,IF(BK$367&gt;$V381,0,SUM($Y357:BK357)/$W381))</f>
        <v>0</v>
      </c>
      <c r="BL381" s="1155">
        <f>IF(OR($V381=0,$W381=0),0,IF(BL$367&gt;$V381,0,SUM($Y357:BL357)/$W381))</f>
        <v>0</v>
      </c>
      <c r="BM381" s="1155">
        <f>IF(OR($V381=0,$W381=0),0,IF(BM$367&gt;$V381,0,SUM($Y357:BM357)/$W381))</f>
        <v>0</v>
      </c>
      <c r="BN381" s="1155">
        <f>IF(OR($V381=0,$W381=0),0,IF(BN$367&gt;$V381,0,SUM($Y357:BN357)/$W381))</f>
        <v>0</v>
      </c>
      <c r="BO381" s="1155">
        <f>IF(OR($V381=0,$W381=0),0,IF(BO$367&gt;$V381,0,SUM($Y357:BO357)/$W381))</f>
        <v>0</v>
      </c>
      <c r="BP381" s="1155">
        <f>IF(OR($V381=0,$W381=0),0,IF(BP$367&gt;$V381,0,SUM($Y357:BP357)/$W381))</f>
        <v>0</v>
      </c>
      <c r="BQ381" s="1155">
        <f>IF(OR($V381=0,$W381=0),0,IF(BQ$367&gt;$V381,0,SUM($Y357:BQ357)/$W381))</f>
        <v>0</v>
      </c>
      <c r="BR381" s="1155">
        <f>IF(OR($V381=0,$W381=0),0,IF(BR$367&gt;$V381,0,SUM($Y357:BR357)/$W381))</f>
        <v>0</v>
      </c>
      <c r="BS381" s="1155">
        <f>IF(OR($V381=0,$W381=0),0,IF(BS$367&gt;$V381,0,SUM($Y357:BS357)/$W381))</f>
        <v>0</v>
      </c>
      <c r="BT381" s="1155">
        <f>IF(OR($V381=0,$W381=0),0,IF(BT$367&gt;$V381,0,SUM($Y357:BT357)/$W381))</f>
        <v>0</v>
      </c>
      <c r="BU381" s="1155">
        <f>IF(OR($V381=0,$W381=0),0,IF(BU$367&gt;$V381,0,SUM($Y357:BU357)/$W381))</f>
        <v>0</v>
      </c>
      <c r="BV381" s="1155">
        <f>IF(OR($V381=0,$W381=0),0,IF(BV$367&gt;$V381,0,SUM($Y357:BV357)/$W381))</f>
        <v>0</v>
      </c>
      <c r="BW381" s="1155">
        <f>IF(OR($V381=0,$W381=0),0,IF(BW$367&gt;$V381,0,SUM($Y357:BW357)/$W381))</f>
        <v>0</v>
      </c>
      <c r="BX381" s="1162">
        <f>IF(OR($V381=0,$W381=0),0,IF(BX$367&gt;$V381,0,SUM($Y357:BX357)/$W381))</f>
        <v>0</v>
      </c>
      <c r="BY381" s="1162">
        <f>IF(OR($V381=0,$W381=0),0,IF(BY$367&gt;$V381,0,SUM($Y357:BY357)/$W381))</f>
        <v>0</v>
      </c>
      <c r="BZ381" s="1162">
        <f>IF(OR($V381=0,$W381=0),0,IF(BZ$367&gt;$V381,0,SUM($Y357:BZ357)/$W381))</f>
        <v>0</v>
      </c>
      <c r="CA381" s="1162">
        <f>IF(OR($V381=0,$W381=0),0,IF(CA$367&gt;$V381,0,SUM($Y357:CA357)/$W381))</f>
        <v>0</v>
      </c>
      <c r="CB381" s="1162">
        <f>IF(OR($V381=0,$W381=0),0,IF(CB$367&gt;$V381,0,SUM($Y357:CB357)/$W381))</f>
        <v>0</v>
      </c>
      <c r="CC381" s="1162">
        <f>IF(OR($V381=0,$W381=0),0,IF(CC$367&gt;$V381,0,SUM($Y357:CC357)/$W381))</f>
        <v>0</v>
      </c>
      <c r="CD381" s="1162">
        <f>IF(OR($V381=0,$W381=0),0,IF(CD$367&gt;$V381,0,SUM($Y357:CD357)/$W381))</f>
        <v>0</v>
      </c>
      <c r="CE381" s="1162">
        <f>IF(OR($V381=0,$W381=0),0,IF(CE$367&gt;$V381,0,SUM($Y357:CE357)/$W381))</f>
        <v>0</v>
      </c>
      <c r="CF381" s="1162">
        <f>IF(OR($V381=0,$W381=0),0,IF(CF$367&gt;$V381,0,SUM($Y357:CF357)/$W381))</f>
        <v>0</v>
      </c>
      <c r="CG381" s="1162">
        <f>IF(OR($V381=0,$W381=0),0,IF(CG$367&gt;$V381,0,SUM($Y357:CG357)/$W381))</f>
        <v>0</v>
      </c>
      <c r="CH381" s="1162">
        <f>IF(OR($V381=0,$W381=0),0,IF(CH$367&gt;$V381,0,SUM($Y357:CH357)/$W381))</f>
        <v>0</v>
      </c>
      <c r="CI381" s="1162">
        <f>IF(OR($V381=0,$W381=0),0,IF(CI$367&gt;$V381,0,SUM($Y357:CI357)/$W381))</f>
        <v>0</v>
      </c>
      <c r="CJ381" s="1162">
        <f>IF(OR($V381=0,$W381=0),0,IF(CJ$367&gt;$V381,0,SUM($Y357:CJ357)/$W381))</f>
        <v>0</v>
      </c>
      <c r="CK381" s="1162">
        <f>IF(OR($V381=0,$W381=0),0,IF(CK$367&gt;$V381,0,SUM($Y357:CK357)/$W381))</f>
        <v>0</v>
      </c>
      <c r="CL381" s="1162">
        <f>IF(OR($V381=0,$W381=0),0,IF(CL$367&gt;$V381,0,SUM($Y357:CL357)/$W381))</f>
        <v>0</v>
      </c>
      <c r="CM381" s="1162">
        <f>IF(OR($V381=0,$W381=0),0,IF(CM$367&gt;$V381,0,SUM($Y357:CM357)/$W381))</f>
        <v>0</v>
      </c>
      <c r="CN381" s="1162">
        <f>IF(OR($V381=0,$W381=0),0,IF(CN$367&gt;$V381,0,SUM($Y357:CN357)/$W381))</f>
        <v>0</v>
      </c>
      <c r="CO381" s="1162">
        <f>IF(OR($V381=0,$W381=0),0,IF(CO$367&gt;$V381,0,SUM($Y357:CO357)/$W381))</f>
        <v>0</v>
      </c>
      <c r="CP381" s="1162">
        <f>IF(OR($V381=0,$W381=0),0,IF(CP$367&gt;$V381,0,SUM($Y357:CP357)/$W381))</f>
        <v>0</v>
      </c>
      <c r="CQ381" s="48">
        <f>IF(OR($V381=0,$W381=0),0,IF(CQ$367&gt;$V381,0,SUM($Y357:CQ357)/$W381))</f>
        <v>0</v>
      </c>
      <c r="CR381" s="48">
        <f>IF(OR($V381=0,$W381=0),0,IF(CR$367&gt;$V381,0,SUM($Y357:CR357)/$W381))</f>
        <v>0</v>
      </c>
      <c r="CS381" s="48">
        <f>IF(OR($V381=0,$W381=0),0,IF(CS$367&gt;$V381,0,SUM($Y357:CS357)/$W381))</f>
        <v>0</v>
      </c>
      <c r="CT381" s="48">
        <f>IF(OR($V381=0,$W381=0),0,IF(CT$367&gt;$V381,0,SUM($Y357:CT357)/$W381))</f>
        <v>0</v>
      </c>
      <c r="CU381" s="48">
        <f>IF(OR($V381=0,$W381=0),0,IF(CU$367&gt;$V381,0,SUM($Y357:CU357)/$W381))</f>
        <v>0</v>
      </c>
      <c r="CV381" s="48">
        <f>IF(OR($V381=0,$W381=0),0,IF(CV$367&gt;$V381,0,SUM($Y357:CV357)/$W381))</f>
        <v>0</v>
      </c>
      <c r="CW381" s="48">
        <f>IF(OR($V381=0,$W381=0),0,IF(CW$367&gt;$V381,0,SUM($Y357:CW357)/$W381))</f>
        <v>0</v>
      </c>
      <c r="CX381" s="48">
        <f>IF(OR($V381=0,$W381=0),0,IF(CX$367&gt;$V381,0,SUM($Y357:CX357)/$W381))</f>
        <v>0</v>
      </c>
      <c r="CY381" s="48">
        <f>IF(OR($V381=0,$W381=0),0,IF(CY$367&gt;$V381,0,SUM($Y357:CY357)/$W381))</f>
        <v>0</v>
      </c>
      <c r="CZ381" s="48">
        <f>IF(OR($V381=0,$W381=0),0,IF(CZ$367&gt;$V381,0,SUM($Y357:CZ357)/$W381))</f>
        <v>0</v>
      </c>
      <c r="DA381" s="48">
        <f>IF(OR($V381=0,$W381=0),0,IF(DA$367&gt;$V381,0,SUM($Y357:DA357)/$W381))</f>
        <v>0</v>
      </c>
      <c r="DB381" s="48">
        <f>IF(OR($V381=0,$W381=0),0,IF(DB$367&gt;$V381,0,SUM($Y357:DB357)/$W381))</f>
        <v>0</v>
      </c>
      <c r="DC381" s="48">
        <f>IF(OR($V381=0,$W381=0),0,IF(DC$367&gt;$V381,0,SUM($Y357:DC357)/$W381))</f>
        <v>0</v>
      </c>
      <c r="DD381" s="48">
        <f>IF(OR($V381=0,$W381=0),0,IF(DD$367&gt;$V381,0,SUM($Y357:DD357)/$W381))</f>
        <v>0</v>
      </c>
      <c r="DE381" s="48">
        <f>IF(OR($V381=0,$W381=0),0,IF(DE$367&gt;$V381,0,SUM($Y357:DE357)/$W381))</f>
        <v>0</v>
      </c>
      <c r="DF381" s="48">
        <f>IF(OR($V381=0,$W381=0),0,IF(DF$367&gt;$V381,0,SUM($Y357:DF357)/$W381))</f>
        <v>0</v>
      </c>
      <c r="DG381" s="48">
        <f>IF(OR($V381=0,$W381=0),0,IF(DG$367&gt;$V381,0,SUM($Y357:DG357)/$W381))</f>
        <v>0</v>
      </c>
      <c r="DH381" s="48">
        <f>IF(OR($V381=0,$W381=0),0,IF(DH$367&gt;$V381,0,SUM($Y357:DH357)/$W381))</f>
        <v>0</v>
      </c>
      <c r="DI381" s="48">
        <f>IF(OR($V381=0,$W381=0),0,IF(DI$367&gt;$V381,0,SUM($Y357:DI357)/$W381))</f>
        <v>0</v>
      </c>
      <c r="DJ381" s="48">
        <f>IF(OR($V381=0,$W381=0),0,IF(DJ$367&gt;$V381,0,SUM($Y357:DJ357)/$W381))</f>
        <v>0</v>
      </c>
      <c r="DK381" s="48">
        <f>IF(OR($V381=0,$W381=0),0,IF(DK$367&gt;$V381,0,SUM($Y357:DK357)/$W381))</f>
        <v>0</v>
      </c>
      <c r="DL381" s="48">
        <f>IF(OR($V381=0,$W381=0),0,IF(DL$367&gt;$V381,0,SUM($Y357:DL357)/$W381))</f>
        <v>0</v>
      </c>
      <c r="DM381" s="48">
        <f>IF(OR($V381=0,$W381=0),0,IF(DM$367&gt;$V381,0,SUM($Y357:DM357)/$W381))</f>
        <v>0</v>
      </c>
      <c r="DN381" s="48">
        <f>IF(OR($V381=0,$W381=0),0,IF(DN$367&gt;$V381,0,SUM($Y357:DN357)/$W381))</f>
        <v>0</v>
      </c>
      <c r="DO381" s="48">
        <f>IF(OR($V381=0,$W381=0),0,IF(DO$367&gt;$V381,0,SUM($Y357:DO357)/$W381))</f>
        <v>0</v>
      </c>
      <c r="DP381" s="48">
        <f>IF(OR($V381=0,$W381=0),0,IF(DP$367&gt;$V381,0,SUM($Y357:DP357)/$W381))</f>
        <v>0</v>
      </c>
      <c r="DQ381" s="48">
        <f>IF(OR($V381=0,$W381=0),0,IF(DQ$367&gt;$V381,0,SUM($Y357:DQ357)/$W381))</f>
        <v>0</v>
      </c>
      <c r="DR381" s="50">
        <f>IF(OR($V381=0,$W381=0),0,IF(DR$367&gt;$V381,0,SUM($Y357:DR357)/$W381))</f>
        <v>0</v>
      </c>
      <c r="DS381" s="50">
        <f>IF(OR($V381=0,$W381=0),0,IF(DS$367&gt;$V381,0,SUM($Y357:DS357)/$W381))</f>
        <v>0</v>
      </c>
      <c r="DT381" s="50">
        <f>IF(OR($V381=0,$W381=0),0,IF(DT$367&gt;$V381,0,SUM($Y357:DT357)/$W381))</f>
        <v>0</v>
      </c>
      <c r="DU381" s="50">
        <f>IF(OR($V381=0,$W381=0),0,IF(DU$367&gt;$V381,0,SUM($Y357:DU357)/$W381))</f>
        <v>0</v>
      </c>
      <c r="DV381" s="50">
        <f>IF(OR($V381=0,$W381=0),0,IF(DV$367&gt;$V381,0,SUM($Y357:DV357)/$W381))</f>
        <v>0</v>
      </c>
      <c r="DW381" s="50">
        <f>IF(OR($V381=0,$W381=0),0,IF(DW$367&gt;$V381,0,SUM($Y357:DW357)/$W381))</f>
        <v>0</v>
      </c>
      <c r="DX381" s="50">
        <f>IF(OR($V381=0,$W381=0),0,IF(DX$367&gt;$V381,0,SUM($Y357:DX357)/$W381))</f>
        <v>0</v>
      </c>
      <c r="DY381" s="50">
        <f>IF(OR($V381=0,$W381=0),0,IF(DY$367&gt;$V381,0,SUM($Y357:DY357)/$W381))</f>
        <v>0</v>
      </c>
      <c r="DZ381" s="50">
        <f>IF(OR($V381=0,$W381=0),0,IF(DZ$367&gt;$V381,0,SUM($Y357:DZ357)/$W381))</f>
        <v>0</v>
      </c>
      <c r="EA381" s="50">
        <f>IF(OR($V381=0,$W381=0),0,IF(EA$367&gt;$V381,0,SUM($Y357:EA357)/$W381))</f>
        <v>0</v>
      </c>
      <c r="EB381" s="50">
        <f>IF(OR($V381=0,$W381=0),0,IF(EB$367&gt;$V381,0,SUM($Y357:EB357)/$W381))</f>
        <v>0</v>
      </c>
      <c r="EC381" s="50">
        <f>IF(OR($V381=0,$W381=0),0,IF(EC$367&gt;$V381,0,SUM($Y357:EC357)/$W381))</f>
        <v>0</v>
      </c>
      <c r="ED381" s="50">
        <f>IF(OR($V381=0,$W381=0),0,IF(ED$367&gt;$V381,0,SUM($Y357:ED357)/$W381))</f>
        <v>0</v>
      </c>
      <c r="EE381" s="50">
        <f>IF(OR($V381=0,$W381=0),0,IF(EE$367&gt;$V381,0,SUM($Y357:EE357)/$W381))</f>
        <v>0</v>
      </c>
      <c r="EF381" s="50">
        <f>IF(OR($V381=0,$W381=0),0,IF(EF$367&gt;$V381,0,SUM($Y357:EF357)/$W381))</f>
        <v>0</v>
      </c>
      <c r="EG381" s="50">
        <f>IF(OR($V381=0,$W381=0),0,IF(EG$367&gt;$V381,0,SUM($Y357:EG357)/$W381))</f>
        <v>0</v>
      </c>
      <c r="EH381" s="50">
        <f>IF(OR($V381=0,$W381=0),0,IF(EH$367&gt;$V381,0,SUM($Y357:EH357)/$W381))</f>
        <v>0</v>
      </c>
      <c r="EI381" s="50">
        <f>IF(OR($V381=0,$W381=0),0,IF(EI$367&gt;$V381,0,SUM($Y357:EI357)/$W381))</f>
        <v>0</v>
      </c>
      <c r="EJ381" s="50">
        <f>IF(OR($V381=0,$W381=0),0,IF(EJ$367&gt;$V381,0,SUM($Y357:EJ357)/$W381))</f>
        <v>0</v>
      </c>
      <c r="EK381" s="50">
        <f>IF(OR($V381=0,$W381=0),0,IF(EK$367&gt;$V381,0,SUM($Y357:EK357)/$W381))</f>
        <v>0</v>
      </c>
      <c r="EL381" s="50">
        <f>IF(OR($V381=0,$W381=0),0,IF(EL$367&gt;$V381,0,SUM($Y357:EL357)/$W381))</f>
        <v>0</v>
      </c>
      <c r="EM381" s="50">
        <f>IF(OR($V381=0,$W381=0),0,IF(EM$367&gt;$V381,0,SUM($Y357:EM357)/$W381))</f>
        <v>0</v>
      </c>
      <c r="EN381" s="50">
        <f>IF(OR($V381=0,$W381=0),0,IF(EN$367&gt;$V381,0,SUM($Y357:EN357)/$W381))</f>
        <v>0</v>
      </c>
      <c r="EO381" s="39">
        <v>51</v>
      </c>
      <c r="EP381" s="39">
        <v>51</v>
      </c>
      <c r="EQ381" s="39">
        <v>51</v>
      </c>
      <c r="ER381" s="39">
        <v>51</v>
      </c>
      <c r="ES381" s="39">
        <v>51</v>
      </c>
      <c r="ET381" s="39">
        <v>51</v>
      </c>
      <c r="EU381" s="39">
        <v>51</v>
      </c>
      <c r="EV381" s="39">
        <v>51</v>
      </c>
      <c r="EW381" s="39">
        <v>51</v>
      </c>
      <c r="EX381" s="39">
        <v>51</v>
      </c>
    </row>
    <row r="382" spans="11:154" ht="12" customHeight="1" x14ac:dyDescent="0.35">
      <c r="K382" s="1667"/>
      <c r="L382" s="1667"/>
      <c r="M382" s="1667"/>
      <c r="N382" s="1667"/>
      <c r="O382" s="1667"/>
      <c r="P382" s="1667"/>
      <c r="Q382" s="1667"/>
      <c r="R382" s="1667"/>
      <c r="S382" s="1667"/>
      <c r="T382" s="1667"/>
      <c r="U382" s="59"/>
      <c r="V382" s="1636">
        <f t="shared" si="192"/>
        <v>0</v>
      </c>
      <c r="W382" s="102">
        <f t="shared" si="193"/>
        <v>0</v>
      </c>
      <c r="X382" s="381">
        <f t="shared" si="194"/>
        <v>15</v>
      </c>
      <c r="Y382" s="1645">
        <f>IF(OR($V382=0,$W382=0),0,IF(Y$367&gt;$V382,0,SUM($Y358:Y358)/$W382))</f>
        <v>0</v>
      </c>
      <c r="Z382" s="1646">
        <f>IF(OR($V382=0,$W382=0),0,IF(Z$367&gt;$V382,0,SUM($Y358:Z358)/$W382))</f>
        <v>0</v>
      </c>
      <c r="AA382" s="1646">
        <f>IF(OR($V382=0,$W382=0),0,IF(AA$367&gt;$V382,0,SUM($Y358:AA358)/$W382))</f>
        <v>0</v>
      </c>
      <c r="AB382" s="1646">
        <f>IF(OR($V382=0,$W382=0),0,IF(AB$367&gt;$V382,0,SUM($Y358:AB358)/$W382))</f>
        <v>0</v>
      </c>
      <c r="AC382" s="1646">
        <f>IF(OR($V382=0,$W382=0),0,IF(AC$367&gt;$V382,0,SUM($Y358:AC358)/$W382))</f>
        <v>0</v>
      </c>
      <c r="AD382" s="1646">
        <f>IF(OR($V382=0,$W382=0),0,IF(AD$367&gt;$V382,0,SUM($Y358:AD358)/$W382))</f>
        <v>0</v>
      </c>
      <c r="AE382" s="1646">
        <f>IF(OR($V382=0,$W382=0),0,IF(AE$367&gt;$V382,0,SUM($Y358:AE358)/$W382))</f>
        <v>0</v>
      </c>
      <c r="AF382" s="1155">
        <f>IF(OR($V382=0,$W382=0),0,IF(AF$367&gt;$V382,0,SUM($Y358:AF358)/$W382))</f>
        <v>0</v>
      </c>
      <c r="AG382" s="1155">
        <f>IF(OR($V382=0,$W382=0),0,IF(AG$367&gt;$V382,0,SUM($Y358:AG358)/$W382))</f>
        <v>0</v>
      </c>
      <c r="AH382" s="1155">
        <f>IF(OR($V382=0,$W382=0),0,IF(AH$367&gt;$V382,0,SUM($Y358:AH358)/$W382))</f>
        <v>0</v>
      </c>
      <c r="AI382" s="1155">
        <f>IF(OR($V382=0,$W382=0),0,IF(AI$367&gt;$V382,0,SUM($Y358:AI358)/$W382))</f>
        <v>0</v>
      </c>
      <c r="AJ382" s="1155">
        <f>IF(OR($V382=0,$W382=0),0,IF(AJ$367&gt;$V382,0,SUM($Y358:AJ358)/$W382))</f>
        <v>0</v>
      </c>
      <c r="AK382" s="1155">
        <f>IF(OR($V382=0,$W382=0),0,IF(AK$367&gt;$V382,0,SUM($Y358:AK358)/$W382))</f>
        <v>0</v>
      </c>
      <c r="AL382" s="1155">
        <f>IF(OR($V382=0,$W382=0),0,IF(AL$367&gt;$V382,0,SUM($Y358:AL358)/$W382))</f>
        <v>0</v>
      </c>
      <c r="AM382" s="1155">
        <f>IF(OR($V382=0,$W382=0),0,IF(AM$367&gt;$V382,0,SUM($Y358:AM358)/$W382))</f>
        <v>0</v>
      </c>
      <c r="AN382" s="1155">
        <f>IF(OR($V382=0,$W382=0),0,IF(AN$367&gt;$V382,0,SUM($Y358:AN358)/$W382))</f>
        <v>0</v>
      </c>
      <c r="AO382" s="1155">
        <f>IF(OR($V382=0,$W382=0),0,IF(AO$367&gt;$V382,0,SUM($Y358:AO358)/$W382))</f>
        <v>0</v>
      </c>
      <c r="AP382" s="1155">
        <f>IF(OR($V382=0,$W382=0),0,IF(AP$367&gt;$V382,0,SUM($Y358:AP358)/$W382))</f>
        <v>0</v>
      </c>
      <c r="AQ382" s="1155">
        <f>IF(OR($V382=0,$W382=0),0,IF(AQ$367&gt;$V382,0,SUM($Y358:AQ358)/$W382))</f>
        <v>0</v>
      </c>
      <c r="AR382" s="1155">
        <f>IF(OR($V382=0,$W382=0),0,IF(AR$367&gt;$V382,0,SUM($Y358:AR358)/$W382))</f>
        <v>0</v>
      </c>
      <c r="AS382" s="1155">
        <f>IF(OR($V382=0,$W382=0),0,IF(AS$367&gt;$V382,0,SUM($Y358:AS358)/$W382))</f>
        <v>0</v>
      </c>
      <c r="AT382" s="1155">
        <f>IF(OR($V382=0,$W382=0),0,IF(AT$367&gt;$V382,0,SUM($Y358:AT358)/$W382))</f>
        <v>0</v>
      </c>
      <c r="AU382" s="1155">
        <f>IF(OR($V382=0,$W382=0),0,IF(AU$367&gt;$V382,0,SUM($Y358:AU358)/$W382))</f>
        <v>0</v>
      </c>
      <c r="AV382" s="1155">
        <f>IF(OR($V382=0,$W382=0),0,IF(AV$367&gt;$V382,0,SUM($Y358:AV358)/$W382))</f>
        <v>0</v>
      </c>
      <c r="AW382" s="1155">
        <f>IF(OR($V382=0,$W382=0),0,IF(AW$367&gt;$V382,0,SUM($Y358:AW358)/$W382))</f>
        <v>0</v>
      </c>
      <c r="AX382" s="1155">
        <f>IF(OR($V382=0,$W382=0),0,IF(AX$367&gt;$V382,0,SUM($Y358:AX358)/$W382))</f>
        <v>0</v>
      </c>
      <c r="AY382" s="1155">
        <f>IF(OR($V382=0,$W382=0),0,IF(AY$367&gt;$V382,0,SUM($Y358:AY358)/$W382))</f>
        <v>0</v>
      </c>
      <c r="AZ382" s="1155">
        <f>IF(OR($V382=0,$W382=0),0,IF(AZ$367&gt;$V382,0,SUM($Y358:AZ358)/$W382))</f>
        <v>0</v>
      </c>
      <c r="BA382" s="1155">
        <f>IF(OR($V382=0,$W382=0),0,IF(BA$367&gt;$V382,0,SUM($Y358:BA358)/$W382))</f>
        <v>0</v>
      </c>
      <c r="BB382" s="1155">
        <f>IF(OR($V382=0,$W382=0),0,IF(BB$367&gt;$V382,0,SUM($Y358:BB358)/$W382))</f>
        <v>0</v>
      </c>
      <c r="BC382" s="1155">
        <f>IF(OR($V382=0,$W382=0),0,IF(BC$367&gt;$V382,0,SUM($Y358:BC358)/$W382))</f>
        <v>0</v>
      </c>
      <c r="BD382" s="1155">
        <f>IF(OR($V382=0,$W382=0),0,IF(BD$367&gt;$V382,0,SUM($Y358:BD358)/$W382))</f>
        <v>0</v>
      </c>
      <c r="BE382" s="1155">
        <f>IF(OR($V382=0,$W382=0),0,IF(BE$367&gt;$V382,0,SUM($Y358:BE358)/$W382))</f>
        <v>0</v>
      </c>
      <c r="BF382" s="1155">
        <f>IF(OR($V382=0,$W382=0),0,IF(BF$367&gt;$V382,0,SUM($Y358:BF358)/$W382))</f>
        <v>0</v>
      </c>
      <c r="BG382" s="1155">
        <f>IF(OR($V382=0,$W382=0),0,IF(BG$367&gt;$V382,0,SUM($Y358:BG358)/$W382))</f>
        <v>0</v>
      </c>
      <c r="BH382" s="1155">
        <f>IF(OR($V382=0,$W382=0),0,IF(BH$367&gt;$V382,0,SUM($Y358:BH358)/$W382))</f>
        <v>0</v>
      </c>
      <c r="BI382" s="1155">
        <f>IF(OR($V382=0,$W382=0),0,IF(BI$367&gt;$V382,0,SUM($Y358:BI358)/$W382))</f>
        <v>0</v>
      </c>
      <c r="BJ382" s="1155">
        <f>IF(OR($V382=0,$W382=0),0,IF(BJ$367&gt;$V382,0,SUM($Y358:BJ358)/$W382))</f>
        <v>0</v>
      </c>
      <c r="BK382" s="1155">
        <f>IF(OR($V382=0,$W382=0),0,IF(BK$367&gt;$V382,0,SUM($Y358:BK358)/$W382))</f>
        <v>0</v>
      </c>
      <c r="BL382" s="1155">
        <f>IF(OR($V382=0,$W382=0),0,IF(BL$367&gt;$V382,0,SUM($Y358:BL358)/$W382))</f>
        <v>0</v>
      </c>
      <c r="BM382" s="1155">
        <f>IF(OR($V382=0,$W382=0),0,IF(BM$367&gt;$V382,0,SUM($Y358:BM358)/$W382))</f>
        <v>0</v>
      </c>
      <c r="BN382" s="1155">
        <f>IF(OR($V382=0,$W382=0),0,IF(BN$367&gt;$V382,0,SUM($Y358:BN358)/$W382))</f>
        <v>0</v>
      </c>
      <c r="BO382" s="1155">
        <f>IF(OR($V382=0,$W382=0),0,IF(BO$367&gt;$V382,0,SUM($Y358:BO358)/$W382))</f>
        <v>0</v>
      </c>
      <c r="BP382" s="1155">
        <f>IF(OR($V382=0,$W382=0),0,IF(BP$367&gt;$V382,0,SUM($Y358:BP358)/$W382))</f>
        <v>0</v>
      </c>
      <c r="BQ382" s="1155">
        <f>IF(OR($V382=0,$W382=0),0,IF(BQ$367&gt;$V382,0,SUM($Y358:BQ358)/$W382))</f>
        <v>0</v>
      </c>
      <c r="BR382" s="1155">
        <f>IF(OR($V382=0,$W382=0),0,IF(BR$367&gt;$V382,0,SUM($Y358:BR358)/$W382))</f>
        <v>0</v>
      </c>
      <c r="BS382" s="1155">
        <f>IF(OR($V382=0,$W382=0),0,IF(BS$367&gt;$V382,0,SUM($Y358:BS358)/$W382))</f>
        <v>0</v>
      </c>
      <c r="BT382" s="1155">
        <f>IF(OR($V382=0,$W382=0),0,IF(BT$367&gt;$V382,0,SUM($Y358:BT358)/$W382))</f>
        <v>0</v>
      </c>
      <c r="BU382" s="1155">
        <f>IF(OR($V382=0,$W382=0),0,IF(BU$367&gt;$V382,0,SUM($Y358:BU358)/$W382))</f>
        <v>0</v>
      </c>
      <c r="BV382" s="1155">
        <f>IF(OR($V382=0,$W382=0),0,IF(BV$367&gt;$V382,0,SUM($Y358:BV358)/$W382))</f>
        <v>0</v>
      </c>
      <c r="BW382" s="1155">
        <f>IF(OR($V382=0,$W382=0),0,IF(BW$367&gt;$V382,0,SUM($Y358:BW358)/$W382))</f>
        <v>0</v>
      </c>
      <c r="BX382" s="1162">
        <f>IF(OR($V382=0,$W382=0),0,IF(BX$367&gt;$V382,0,SUM($Y358:BX358)/$W382))</f>
        <v>0</v>
      </c>
      <c r="BY382" s="1162">
        <f>IF(OR($V382=0,$W382=0),0,IF(BY$367&gt;$V382,0,SUM($Y358:BY358)/$W382))</f>
        <v>0</v>
      </c>
      <c r="BZ382" s="1162">
        <f>IF(OR($V382=0,$W382=0),0,IF(BZ$367&gt;$V382,0,SUM($Y358:BZ358)/$W382))</f>
        <v>0</v>
      </c>
      <c r="CA382" s="1162">
        <f>IF(OR($V382=0,$W382=0),0,IF(CA$367&gt;$V382,0,SUM($Y358:CA358)/$W382))</f>
        <v>0</v>
      </c>
      <c r="CB382" s="1162">
        <f>IF(OR($V382=0,$W382=0),0,IF(CB$367&gt;$V382,0,SUM($Y358:CB358)/$W382))</f>
        <v>0</v>
      </c>
      <c r="CC382" s="1162">
        <f>IF(OR($V382=0,$W382=0),0,IF(CC$367&gt;$V382,0,SUM($Y358:CC358)/$W382))</f>
        <v>0</v>
      </c>
      <c r="CD382" s="1162">
        <f>IF(OR($V382=0,$W382=0),0,IF(CD$367&gt;$V382,0,SUM($Y358:CD358)/$W382))</f>
        <v>0</v>
      </c>
      <c r="CE382" s="1162">
        <f>IF(OR($V382=0,$W382=0),0,IF(CE$367&gt;$V382,0,SUM($Y358:CE358)/$W382))</f>
        <v>0</v>
      </c>
      <c r="CF382" s="1162">
        <f>IF(OR($V382=0,$W382=0),0,IF(CF$367&gt;$V382,0,SUM($Y358:CF358)/$W382))</f>
        <v>0</v>
      </c>
      <c r="CG382" s="1162">
        <f>IF(OR($V382=0,$W382=0),0,IF(CG$367&gt;$V382,0,SUM($Y358:CG358)/$W382))</f>
        <v>0</v>
      </c>
      <c r="CH382" s="1162">
        <f>IF(OR($V382=0,$W382=0),0,IF(CH$367&gt;$V382,0,SUM($Y358:CH358)/$W382))</f>
        <v>0</v>
      </c>
      <c r="CI382" s="1162">
        <f>IF(OR($V382=0,$W382=0),0,IF(CI$367&gt;$V382,0,SUM($Y358:CI358)/$W382))</f>
        <v>0</v>
      </c>
      <c r="CJ382" s="1162">
        <f>IF(OR($V382=0,$W382=0),0,IF(CJ$367&gt;$V382,0,SUM($Y358:CJ358)/$W382))</f>
        <v>0</v>
      </c>
      <c r="CK382" s="1162">
        <f>IF(OR($V382=0,$W382=0),0,IF(CK$367&gt;$V382,0,SUM($Y358:CK358)/$W382))</f>
        <v>0</v>
      </c>
      <c r="CL382" s="1162">
        <f>IF(OR($V382=0,$W382=0),0,IF(CL$367&gt;$V382,0,SUM($Y358:CL358)/$W382))</f>
        <v>0</v>
      </c>
      <c r="CM382" s="1162">
        <f>IF(OR($V382=0,$W382=0),0,IF(CM$367&gt;$V382,0,SUM($Y358:CM358)/$W382))</f>
        <v>0</v>
      </c>
      <c r="CN382" s="1162">
        <f>IF(OR($V382=0,$W382=0),0,IF(CN$367&gt;$V382,0,SUM($Y358:CN358)/$W382))</f>
        <v>0</v>
      </c>
      <c r="CO382" s="1162">
        <f>IF(OR($V382=0,$W382=0),0,IF(CO$367&gt;$V382,0,SUM($Y358:CO358)/$W382))</f>
        <v>0</v>
      </c>
      <c r="CP382" s="1162">
        <f>IF(OR($V382=0,$W382=0),0,IF(CP$367&gt;$V382,0,SUM($Y358:CP358)/$W382))</f>
        <v>0</v>
      </c>
      <c r="CQ382" s="48">
        <f>IF(OR($V382=0,$W382=0),0,IF(CQ$367&gt;$V382,0,SUM($Y358:CQ358)/$W382))</f>
        <v>0</v>
      </c>
      <c r="CR382" s="48">
        <f>IF(OR($V382=0,$W382=0),0,IF(CR$367&gt;$V382,0,SUM($Y358:CR358)/$W382))</f>
        <v>0</v>
      </c>
      <c r="CS382" s="48">
        <f>IF(OR($V382=0,$W382=0),0,IF(CS$367&gt;$V382,0,SUM($Y358:CS358)/$W382))</f>
        <v>0</v>
      </c>
      <c r="CT382" s="48">
        <f>IF(OR($V382=0,$W382=0),0,IF(CT$367&gt;$V382,0,SUM($Y358:CT358)/$W382))</f>
        <v>0</v>
      </c>
      <c r="CU382" s="48">
        <f>IF(OR($V382=0,$W382=0),0,IF(CU$367&gt;$V382,0,SUM($Y358:CU358)/$W382))</f>
        <v>0</v>
      </c>
      <c r="CV382" s="48">
        <f>IF(OR($V382=0,$W382=0),0,IF(CV$367&gt;$V382,0,SUM($Y358:CV358)/$W382))</f>
        <v>0</v>
      </c>
      <c r="CW382" s="48">
        <f>IF(OR($V382=0,$W382=0),0,IF(CW$367&gt;$V382,0,SUM($Y358:CW358)/$W382))</f>
        <v>0</v>
      </c>
      <c r="CX382" s="48">
        <f>IF(OR($V382=0,$W382=0),0,IF(CX$367&gt;$V382,0,SUM($Y358:CX358)/$W382))</f>
        <v>0</v>
      </c>
      <c r="CY382" s="48">
        <f>IF(OR($V382=0,$W382=0),0,IF(CY$367&gt;$V382,0,SUM($Y358:CY358)/$W382))</f>
        <v>0</v>
      </c>
      <c r="CZ382" s="48">
        <f>IF(OR($V382=0,$W382=0),0,IF(CZ$367&gt;$V382,0,SUM($Y358:CZ358)/$W382))</f>
        <v>0</v>
      </c>
      <c r="DA382" s="48">
        <f>IF(OR($V382=0,$W382=0),0,IF(DA$367&gt;$V382,0,SUM($Y358:DA358)/$W382))</f>
        <v>0</v>
      </c>
      <c r="DB382" s="48">
        <f>IF(OR($V382=0,$W382=0),0,IF(DB$367&gt;$V382,0,SUM($Y358:DB358)/$W382))</f>
        <v>0</v>
      </c>
      <c r="DC382" s="48">
        <f>IF(OR($V382=0,$W382=0),0,IF(DC$367&gt;$V382,0,SUM($Y358:DC358)/$W382))</f>
        <v>0</v>
      </c>
      <c r="DD382" s="48">
        <f>IF(OR($V382=0,$W382=0),0,IF(DD$367&gt;$V382,0,SUM($Y358:DD358)/$W382))</f>
        <v>0</v>
      </c>
      <c r="DE382" s="48">
        <f>IF(OR($V382=0,$W382=0),0,IF(DE$367&gt;$V382,0,SUM($Y358:DE358)/$W382))</f>
        <v>0</v>
      </c>
      <c r="DF382" s="48">
        <f>IF(OR($V382=0,$W382=0),0,IF(DF$367&gt;$V382,0,SUM($Y358:DF358)/$W382))</f>
        <v>0</v>
      </c>
      <c r="DG382" s="48">
        <f>IF(OR($V382=0,$W382=0),0,IF(DG$367&gt;$V382,0,SUM($Y358:DG358)/$W382))</f>
        <v>0</v>
      </c>
      <c r="DH382" s="48">
        <f>IF(OR($V382=0,$W382=0),0,IF(DH$367&gt;$V382,0,SUM($Y358:DH358)/$W382))</f>
        <v>0</v>
      </c>
      <c r="DI382" s="48">
        <f>IF(OR($V382=0,$W382=0),0,IF(DI$367&gt;$V382,0,SUM($Y358:DI358)/$W382))</f>
        <v>0</v>
      </c>
      <c r="DJ382" s="48">
        <f>IF(OR($V382=0,$W382=0),0,IF(DJ$367&gt;$V382,0,SUM($Y358:DJ358)/$W382))</f>
        <v>0</v>
      </c>
      <c r="DK382" s="48">
        <f>IF(OR($V382=0,$W382=0),0,IF(DK$367&gt;$V382,0,SUM($Y358:DK358)/$W382))</f>
        <v>0</v>
      </c>
      <c r="DL382" s="48">
        <f>IF(OR($V382=0,$W382=0),0,IF(DL$367&gt;$V382,0,SUM($Y358:DL358)/$W382))</f>
        <v>0</v>
      </c>
      <c r="DM382" s="48">
        <f>IF(OR($V382=0,$W382=0),0,IF(DM$367&gt;$V382,0,SUM($Y358:DM358)/$W382))</f>
        <v>0</v>
      </c>
      <c r="DN382" s="48">
        <f>IF(OR($V382=0,$W382=0),0,IF(DN$367&gt;$V382,0,SUM($Y358:DN358)/$W382))</f>
        <v>0</v>
      </c>
      <c r="DO382" s="48">
        <f>IF(OR($V382=0,$W382=0),0,IF(DO$367&gt;$V382,0,SUM($Y358:DO358)/$W382))</f>
        <v>0</v>
      </c>
      <c r="DP382" s="48">
        <f>IF(OR($V382=0,$W382=0),0,IF(DP$367&gt;$V382,0,SUM($Y358:DP358)/$W382))</f>
        <v>0</v>
      </c>
      <c r="DQ382" s="48">
        <f>IF(OR($V382=0,$W382=0),0,IF(DQ$367&gt;$V382,0,SUM($Y358:DQ358)/$W382))</f>
        <v>0</v>
      </c>
      <c r="DR382" s="50">
        <f>IF(OR($V382=0,$W382=0),0,IF(DR$367&gt;$V382,0,SUM($Y358:DR358)/$W382))</f>
        <v>0</v>
      </c>
      <c r="DS382" s="50">
        <f>IF(OR($V382=0,$W382=0),0,IF(DS$367&gt;$V382,0,SUM($Y358:DS358)/$W382))</f>
        <v>0</v>
      </c>
      <c r="DT382" s="50">
        <f>IF(OR($V382=0,$W382=0),0,IF(DT$367&gt;$V382,0,SUM($Y358:DT358)/$W382))</f>
        <v>0</v>
      </c>
      <c r="DU382" s="50">
        <f>IF(OR($V382=0,$W382=0),0,IF(DU$367&gt;$V382,0,SUM($Y358:DU358)/$W382))</f>
        <v>0</v>
      </c>
      <c r="DV382" s="50">
        <f>IF(OR($V382=0,$W382=0),0,IF(DV$367&gt;$V382,0,SUM($Y358:DV358)/$W382))</f>
        <v>0</v>
      </c>
      <c r="DW382" s="50">
        <f>IF(OR($V382=0,$W382=0),0,IF(DW$367&gt;$V382,0,SUM($Y358:DW358)/$W382))</f>
        <v>0</v>
      </c>
      <c r="DX382" s="50">
        <f>IF(OR($V382=0,$W382=0),0,IF(DX$367&gt;$V382,0,SUM($Y358:DX358)/$W382))</f>
        <v>0</v>
      </c>
      <c r="DY382" s="50">
        <f>IF(OR($V382=0,$W382=0),0,IF(DY$367&gt;$V382,0,SUM($Y358:DY358)/$W382))</f>
        <v>0</v>
      </c>
      <c r="DZ382" s="50">
        <f>IF(OR($V382=0,$W382=0),0,IF(DZ$367&gt;$V382,0,SUM($Y358:DZ358)/$W382))</f>
        <v>0</v>
      </c>
      <c r="EA382" s="50">
        <f>IF(OR($V382=0,$W382=0),0,IF(EA$367&gt;$V382,0,SUM($Y358:EA358)/$W382))</f>
        <v>0</v>
      </c>
      <c r="EB382" s="50">
        <f>IF(OR($V382=0,$W382=0),0,IF(EB$367&gt;$V382,0,SUM($Y358:EB358)/$W382))</f>
        <v>0</v>
      </c>
      <c r="EC382" s="50">
        <f>IF(OR($V382=0,$W382=0),0,IF(EC$367&gt;$V382,0,SUM($Y358:EC358)/$W382))</f>
        <v>0</v>
      </c>
      <c r="ED382" s="50">
        <f>IF(OR($V382=0,$W382=0),0,IF(ED$367&gt;$V382,0,SUM($Y358:ED358)/$W382))</f>
        <v>0</v>
      </c>
      <c r="EE382" s="50">
        <f>IF(OR($V382=0,$W382=0),0,IF(EE$367&gt;$V382,0,SUM($Y358:EE358)/$W382))</f>
        <v>0</v>
      </c>
      <c r="EF382" s="50">
        <f>IF(OR($V382=0,$W382=0),0,IF(EF$367&gt;$V382,0,SUM($Y358:EF358)/$W382))</f>
        <v>0</v>
      </c>
      <c r="EG382" s="50">
        <f>IF(OR($V382=0,$W382=0),0,IF(EG$367&gt;$V382,0,SUM($Y358:EG358)/$W382))</f>
        <v>0</v>
      </c>
      <c r="EH382" s="50">
        <f>IF(OR($V382=0,$W382=0),0,IF(EH$367&gt;$V382,0,SUM($Y358:EH358)/$W382))</f>
        <v>0</v>
      </c>
      <c r="EI382" s="50">
        <f>IF(OR($V382=0,$W382=0),0,IF(EI$367&gt;$V382,0,SUM($Y358:EI358)/$W382))</f>
        <v>0</v>
      </c>
      <c r="EJ382" s="50">
        <f>IF(OR($V382=0,$W382=0),0,IF(EJ$367&gt;$V382,0,SUM($Y358:EJ358)/$W382))</f>
        <v>0</v>
      </c>
      <c r="EK382" s="50">
        <f>IF(OR($V382=0,$W382=0),0,IF(EK$367&gt;$V382,0,SUM($Y358:EK358)/$W382))</f>
        <v>0</v>
      </c>
      <c r="EL382" s="50">
        <f>IF(OR($V382=0,$W382=0),0,IF(EL$367&gt;$V382,0,SUM($Y358:EL358)/$W382))</f>
        <v>0</v>
      </c>
      <c r="EM382" s="50">
        <f>IF(OR($V382=0,$W382=0),0,IF(EM$367&gt;$V382,0,SUM($Y358:EM358)/$W382))</f>
        <v>0</v>
      </c>
      <c r="EN382" s="50">
        <f>IF(OR($V382=0,$W382=0),0,IF(EN$367&gt;$V382,0,SUM($Y358:EN358)/$W382))</f>
        <v>0</v>
      </c>
      <c r="EO382" s="39">
        <v>51</v>
      </c>
      <c r="EP382" s="39">
        <v>51</v>
      </c>
      <c r="EQ382" s="39">
        <v>51</v>
      </c>
      <c r="ER382" s="39">
        <v>51</v>
      </c>
      <c r="ES382" s="39">
        <v>51</v>
      </c>
      <c r="ET382" s="39">
        <v>51</v>
      </c>
      <c r="EU382" s="39">
        <v>51</v>
      </c>
      <c r="EV382" s="39">
        <v>51</v>
      </c>
      <c r="EW382" s="39">
        <v>51</v>
      </c>
      <c r="EX382" s="39">
        <v>51</v>
      </c>
    </row>
    <row r="383" spans="11:154" ht="12" customHeight="1" x14ac:dyDescent="0.35">
      <c r="K383" s="1667"/>
      <c r="L383" s="1667"/>
      <c r="M383" s="1667"/>
      <c r="N383" s="1667"/>
      <c r="O383" s="1667"/>
      <c r="P383" s="1667"/>
      <c r="Q383" s="1667"/>
      <c r="R383" s="1667"/>
      <c r="S383" s="1667"/>
      <c r="T383" s="1667"/>
      <c r="U383" s="59"/>
      <c r="V383" s="1636">
        <f t="shared" si="192"/>
        <v>0</v>
      </c>
      <c r="W383" s="102">
        <f t="shared" si="193"/>
        <v>0</v>
      </c>
      <c r="X383" s="381">
        <f t="shared" si="194"/>
        <v>16</v>
      </c>
      <c r="Y383" s="1645">
        <f>IF(OR($V383=0,$W383=0),0,IF(Y$367&gt;$V383,0,SUM($Y359:Y359)/$W383))</f>
        <v>0</v>
      </c>
      <c r="Z383" s="1646">
        <f>IF(OR($V383=0,$W383=0),0,IF(Z$367&gt;$V383,0,SUM($Y359:Z359)/$W383))</f>
        <v>0</v>
      </c>
      <c r="AA383" s="1646">
        <f>IF(OR($V383=0,$W383=0),0,IF(AA$367&gt;$V383,0,SUM($Y359:AA359)/$W383))</f>
        <v>0</v>
      </c>
      <c r="AB383" s="1646">
        <f>IF(OR($V383=0,$W383=0),0,IF(AB$367&gt;$V383,0,SUM($Y359:AB359)/$W383))</f>
        <v>0</v>
      </c>
      <c r="AC383" s="1646">
        <f>IF(OR($V383=0,$W383=0),0,IF(AC$367&gt;$V383,0,SUM($Y359:AC359)/$W383))</f>
        <v>0</v>
      </c>
      <c r="AD383" s="1646">
        <f>IF(OR($V383=0,$W383=0),0,IF(AD$367&gt;$V383,0,SUM($Y359:AD359)/$W383))</f>
        <v>0</v>
      </c>
      <c r="AE383" s="1646">
        <f>IF(OR($V383=0,$W383=0),0,IF(AE$367&gt;$V383,0,SUM($Y359:AE359)/$W383))</f>
        <v>0</v>
      </c>
      <c r="AF383" s="1155">
        <f>IF(OR($V383=0,$W383=0),0,IF(AF$367&gt;$V383,0,SUM($Y359:AF359)/$W383))</f>
        <v>0</v>
      </c>
      <c r="AG383" s="1155">
        <f>IF(OR($V383=0,$W383=0),0,IF(AG$367&gt;$V383,0,SUM($Y359:AG359)/$W383))</f>
        <v>0</v>
      </c>
      <c r="AH383" s="1155">
        <f>IF(OR($V383=0,$W383=0),0,IF(AH$367&gt;$V383,0,SUM($Y359:AH359)/$W383))</f>
        <v>0</v>
      </c>
      <c r="AI383" s="1155">
        <f>IF(OR($V383=0,$W383=0),0,IF(AI$367&gt;$V383,0,SUM($Y359:AI359)/$W383))</f>
        <v>0</v>
      </c>
      <c r="AJ383" s="1155">
        <f>IF(OR($V383=0,$W383=0),0,IF(AJ$367&gt;$V383,0,SUM($Y359:AJ359)/$W383))</f>
        <v>0</v>
      </c>
      <c r="AK383" s="1155">
        <f>IF(OR($V383=0,$W383=0),0,IF(AK$367&gt;$V383,0,SUM($Y359:AK359)/$W383))</f>
        <v>0</v>
      </c>
      <c r="AL383" s="1155">
        <f>IF(OR($V383=0,$W383=0),0,IF(AL$367&gt;$V383,0,SUM($Y359:AL359)/$W383))</f>
        <v>0</v>
      </c>
      <c r="AM383" s="1155">
        <f>IF(OR($V383=0,$W383=0),0,IF(AM$367&gt;$V383,0,SUM($Y359:AM359)/$W383))</f>
        <v>0</v>
      </c>
      <c r="AN383" s="1155">
        <f>IF(OR($V383=0,$W383=0),0,IF(AN$367&gt;$V383,0,SUM($Y359:AN359)/$W383))</f>
        <v>0</v>
      </c>
      <c r="AO383" s="1155">
        <f>IF(OR($V383=0,$W383=0),0,IF(AO$367&gt;$V383,0,SUM($Y359:AO359)/$W383))</f>
        <v>0</v>
      </c>
      <c r="AP383" s="1155">
        <f>IF(OR($V383=0,$W383=0),0,IF(AP$367&gt;$V383,0,SUM($Y359:AP359)/$W383))</f>
        <v>0</v>
      </c>
      <c r="AQ383" s="1155">
        <f>IF(OR($V383=0,$W383=0),0,IF(AQ$367&gt;$V383,0,SUM($Y359:AQ359)/$W383))</f>
        <v>0</v>
      </c>
      <c r="AR383" s="1155">
        <f>IF(OR($V383=0,$W383=0),0,IF(AR$367&gt;$V383,0,SUM($Y359:AR359)/$W383))</f>
        <v>0</v>
      </c>
      <c r="AS383" s="1155">
        <f>IF(OR($V383=0,$W383=0),0,IF(AS$367&gt;$V383,0,SUM($Y359:AS359)/$W383))</f>
        <v>0</v>
      </c>
      <c r="AT383" s="1155">
        <f>IF(OR($V383=0,$W383=0),0,IF(AT$367&gt;$V383,0,SUM($Y359:AT359)/$W383))</f>
        <v>0</v>
      </c>
      <c r="AU383" s="1155">
        <f>IF(OR($V383=0,$W383=0),0,IF(AU$367&gt;$V383,0,SUM($Y359:AU359)/$W383))</f>
        <v>0</v>
      </c>
      <c r="AV383" s="1155">
        <f>IF(OR($V383=0,$W383=0),0,IF(AV$367&gt;$V383,0,SUM($Y359:AV359)/$W383))</f>
        <v>0</v>
      </c>
      <c r="AW383" s="1155">
        <f>IF(OR($V383=0,$W383=0),0,IF(AW$367&gt;$V383,0,SUM($Y359:AW359)/$W383))</f>
        <v>0</v>
      </c>
      <c r="AX383" s="1155">
        <f>IF(OR($V383=0,$W383=0),0,IF(AX$367&gt;$V383,0,SUM($Y359:AX359)/$W383))</f>
        <v>0</v>
      </c>
      <c r="AY383" s="1155">
        <f>IF(OR($V383=0,$W383=0),0,IF(AY$367&gt;$V383,0,SUM($Y359:AY359)/$W383))</f>
        <v>0</v>
      </c>
      <c r="AZ383" s="1155">
        <f>IF(OR($V383=0,$W383=0),0,IF(AZ$367&gt;$V383,0,SUM($Y359:AZ359)/$W383))</f>
        <v>0</v>
      </c>
      <c r="BA383" s="1155">
        <f>IF(OR($V383=0,$W383=0),0,IF(BA$367&gt;$V383,0,SUM($Y359:BA359)/$W383))</f>
        <v>0</v>
      </c>
      <c r="BB383" s="1155">
        <f>IF(OR($V383=0,$W383=0),0,IF(BB$367&gt;$V383,0,SUM($Y359:BB359)/$W383))</f>
        <v>0</v>
      </c>
      <c r="BC383" s="1155">
        <f>IF(OR($V383=0,$W383=0),0,IF(BC$367&gt;$V383,0,SUM($Y359:BC359)/$W383))</f>
        <v>0</v>
      </c>
      <c r="BD383" s="1155">
        <f>IF(OR($V383=0,$W383=0),0,IF(BD$367&gt;$V383,0,SUM($Y359:BD359)/$W383))</f>
        <v>0</v>
      </c>
      <c r="BE383" s="1155">
        <f>IF(OR($V383=0,$W383=0),0,IF(BE$367&gt;$V383,0,SUM($Y359:BE359)/$W383))</f>
        <v>0</v>
      </c>
      <c r="BF383" s="1155">
        <f>IF(OR($V383=0,$W383=0),0,IF(BF$367&gt;$V383,0,SUM($Y359:BF359)/$W383))</f>
        <v>0</v>
      </c>
      <c r="BG383" s="1155">
        <f>IF(OR($V383=0,$W383=0),0,IF(BG$367&gt;$V383,0,SUM($Y359:BG359)/$W383))</f>
        <v>0</v>
      </c>
      <c r="BH383" s="1155">
        <f>IF(OR($V383=0,$W383=0),0,IF(BH$367&gt;$V383,0,SUM($Y359:BH359)/$W383))</f>
        <v>0</v>
      </c>
      <c r="BI383" s="1155">
        <f>IF(OR($V383=0,$W383=0),0,IF(BI$367&gt;$V383,0,SUM($Y359:BI359)/$W383))</f>
        <v>0</v>
      </c>
      <c r="BJ383" s="1155">
        <f>IF(OR($V383=0,$W383=0),0,IF(BJ$367&gt;$V383,0,SUM($Y359:BJ359)/$W383))</f>
        <v>0</v>
      </c>
      <c r="BK383" s="1155">
        <f>IF(OR($V383=0,$W383=0),0,IF(BK$367&gt;$V383,0,SUM($Y359:BK359)/$W383))</f>
        <v>0</v>
      </c>
      <c r="BL383" s="1155">
        <f>IF(OR($V383=0,$W383=0),0,IF(BL$367&gt;$V383,0,SUM($Y359:BL359)/$W383))</f>
        <v>0</v>
      </c>
      <c r="BM383" s="1155">
        <f>IF(OR($V383=0,$W383=0),0,IF(BM$367&gt;$V383,0,SUM($Y359:BM359)/$W383))</f>
        <v>0</v>
      </c>
      <c r="BN383" s="1155">
        <f>IF(OR($V383=0,$W383=0),0,IF(BN$367&gt;$V383,0,SUM($Y359:BN359)/$W383))</f>
        <v>0</v>
      </c>
      <c r="BO383" s="1155">
        <f>IF(OR($V383=0,$W383=0),0,IF(BO$367&gt;$V383,0,SUM($Y359:BO359)/$W383))</f>
        <v>0</v>
      </c>
      <c r="BP383" s="1155">
        <f>IF(OR($V383=0,$W383=0),0,IF(BP$367&gt;$V383,0,SUM($Y359:BP359)/$W383))</f>
        <v>0</v>
      </c>
      <c r="BQ383" s="1155">
        <f>IF(OR($V383=0,$W383=0),0,IF(BQ$367&gt;$V383,0,SUM($Y359:BQ359)/$W383))</f>
        <v>0</v>
      </c>
      <c r="BR383" s="1155">
        <f>IF(OR($V383=0,$W383=0),0,IF(BR$367&gt;$V383,0,SUM($Y359:BR359)/$W383))</f>
        <v>0</v>
      </c>
      <c r="BS383" s="1155">
        <f>IF(OR($V383=0,$W383=0),0,IF(BS$367&gt;$V383,0,SUM($Y359:BS359)/$W383))</f>
        <v>0</v>
      </c>
      <c r="BT383" s="1155">
        <f>IF(OR($V383=0,$W383=0),0,IF(BT$367&gt;$V383,0,SUM($Y359:BT359)/$W383))</f>
        <v>0</v>
      </c>
      <c r="BU383" s="1155">
        <f>IF(OR($V383=0,$W383=0),0,IF(BU$367&gt;$V383,0,SUM($Y359:BU359)/$W383))</f>
        <v>0</v>
      </c>
      <c r="BV383" s="1155">
        <f>IF(OR($V383=0,$W383=0),0,IF(BV$367&gt;$V383,0,SUM($Y359:BV359)/$W383))</f>
        <v>0</v>
      </c>
      <c r="BW383" s="1155">
        <f>IF(OR($V383=0,$W383=0),0,IF(BW$367&gt;$V383,0,SUM($Y359:BW359)/$W383))</f>
        <v>0</v>
      </c>
      <c r="BX383" s="1162">
        <f>IF(OR($V383=0,$W383=0),0,IF(BX$367&gt;$V383,0,SUM($Y359:BX359)/$W383))</f>
        <v>0</v>
      </c>
      <c r="BY383" s="1162">
        <f>IF(OR($V383=0,$W383=0),0,IF(BY$367&gt;$V383,0,SUM($Y359:BY359)/$W383))</f>
        <v>0</v>
      </c>
      <c r="BZ383" s="1162">
        <f>IF(OR($V383=0,$W383=0),0,IF(BZ$367&gt;$V383,0,SUM($Y359:BZ359)/$W383))</f>
        <v>0</v>
      </c>
      <c r="CA383" s="1162">
        <f>IF(OR($V383=0,$W383=0),0,IF(CA$367&gt;$V383,0,SUM($Y359:CA359)/$W383))</f>
        <v>0</v>
      </c>
      <c r="CB383" s="1162">
        <f>IF(OR($V383=0,$W383=0),0,IF(CB$367&gt;$V383,0,SUM($Y359:CB359)/$W383))</f>
        <v>0</v>
      </c>
      <c r="CC383" s="1162">
        <f>IF(OR($V383=0,$W383=0),0,IF(CC$367&gt;$V383,0,SUM($Y359:CC359)/$W383))</f>
        <v>0</v>
      </c>
      <c r="CD383" s="1162">
        <f>IF(OR($V383=0,$W383=0),0,IF(CD$367&gt;$V383,0,SUM($Y359:CD359)/$W383))</f>
        <v>0</v>
      </c>
      <c r="CE383" s="1162">
        <f>IF(OR($V383=0,$W383=0),0,IF(CE$367&gt;$V383,0,SUM($Y359:CE359)/$W383))</f>
        <v>0</v>
      </c>
      <c r="CF383" s="1162">
        <f>IF(OR($V383=0,$W383=0),0,IF(CF$367&gt;$V383,0,SUM($Y359:CF359)/$W383))</f>
        <v>0</v>
      </c>
      <c r="CG383" s="1162">
        <f>IF(OR($V383=0,$W383=0),0,IF(CG$367&gt;$V383,0,SUM($Y359:CG359)/$W383))</f>
        <v>0</v>
      </c>
      <c r="CH383" s="1162">
        <f>IF(OR($V383=0,$W383=0),0,IF(CH$367&gt;$V383,0,SUM($Y359:CH359)/$W383))</f>
        <v>0</v>
      </c>
      <c r="CI383" s="1162">
        <f>IF(OR($V383=0,$W383=0),0,IF(CI$367&gt;$V383,0,SUM($Y359:CI359)/$W383))</f>
        <v>0</v>
      </c>
      <c r="CJ383" s="1162">
        <f>IF(OR($V383=0,$W383=0),0,IF(CJ$367&gt;$V383,0,SUM($Y359:CJ359)/$W383))</f>
        <v>0</v>
      </c>
      <c r="CK383" s="1162">
        <f>IF(OR($V383=0,$W383=0),0,IF(CK$367&gt;$V383,0,SUM($Y359:CK359)/$W383))</f>
        <v>0</v>
      </c>
      <c r="CL383" s="1162">
        <f>IF(OR($V383=0,$W383=0),0,IF(CL$367&gt;$V383,0,SUM($Y359:CL359)/$W383))</f>
        <v>0</v>
      </c>
      <c r="CM383" s="1162">
        <f>IF(OR($V383=0,$W383=0),0,IF(CM$367&gt;$V383,0,SUM($Y359:CM359)/$W383))</f>
        <v>0</v>
      </c>
      <c r="CN383" s="1162">
        <f>IF(OR($V383=0,$W383=0),0,IF(CN$367&gt;$V383,0,SUM($Y359:CN359)/$W383))</f>
        <v>0</v>
      </c>
      <c r="CO383" s="1162">
        <f>IF(OR($V383=0,$W383=0),0,IF(CO$367&gt;$V383,0,SUM($Y359:CO359)/$W383))</f>
        <v>0</v>
      </c>
      <c r="CP383" s="1162">
        <f>IF(OR($V383=0,$W383=0),0,IF(CP$367&gt;$V383,0,SUM($Y359:CP359)/$W383))</f>
        <v>0</v>
      </c>
      <c r="CQ383" s="48">
        <f>IF(OR($V383=0,$W383=0),0,IF(CQ$367&gt;$V383,0,SUM($Y359:CQ359)/$W383))</f>
        <v>0</v>
      </c>
      <c r="CR383" s="48">
        <f>IF(OR($V383=0,$W383=0),0,IF(CR$367&gt;$V383,0,SUM($Y359:CR359)/$W383))</f>
        <v>0</v>
      </c>
      <c r="CS383" s="48">
        <f>IF(OR($V383=0,$W383=0),0,IF(CS$367&gt;$V383,0,SUM($Y359:CS359)/$W383))</f>
        <v>0</v>
      </c>
      <c r="CT383" s="48">
        <f>IF(OR($V383=0,$W383=0),0,IF(CT$367&gt;$V383,0,SUM($Y359:CT359)/$W383))</f>
        <v>0</v>
      </c>
      <c r="CU383" s="48">
        <f>IF(OR($V383=0,$W383=0),0,IF(CU$367&gt;$V383,0,SUM($Y359:CU359)/$W383))</f>
        <v>0</v>
      </c>
      <c r="CV383" s="48">
        <f>IF(OR($V383=0,$W383=0),0,IF(CV$367&gt;$V383,0,SUM($Y359:CV359)/$W383))</f>
        <v>0</v>
      </c>
      <c r="CW383" s="48">
        <f>IF(OR($V383=0,$W383=0),0,IF(CW$367&gt;$V383,0,SUM($Y359:CW359)/$W383))</f>
        <v>0</v>
      </c>
      <c r="CX383" s="48">
        <f>IF(OR($V383=0,$W383=0),0,IF(CX$367&gt;$V383,0,SUM($Y359:CX359)/$W383))</f>
        <v>0</v>
      </c>
      <c r="CY383" s="48">
        <f>IF(OR($V383=0,$W383=0),0,IF(CY$367&gt;$V383,0,SUM($Y359:CY359)/$W383))</f>
        <v>0</v>
      </c>
      <c r="CZ383" s="48">
        <f>IF(OR($V383=0,$W383=0),0,IF(CZ$367&gt;$V383,0,SUM($Y359:CZ359)/$W383))</f>
        <v>0</v>
      </c>
      <c r="DA383" s="48">
        <f>IF(OR($V383=0,$W383=0),0,IF(DA$367&gt;$V383,0,SUM($Y359:DA359)/$W383))</f>
        <v>0</v>
      </c>
      <c r="DB383" s="48">
        <f>IF(OR($V383=0,$W383=0),0,IF(DB$367&gt;$V383,0,SUM($Y359:DB359)/$W383))</f>
        <v>0</v>
      </c>
      <c r="DC383" s="48">
        <f>IF(OR($V383=0,$W383=0),0,IF(DC$367&gt;$V383,0,SUM($Y359:DC359)/$W383))</f>
        <v>0</v>
      </c>
      <c r="DD383" s="48">
        <f>IF(OR($V383=0,$W383=0),0,IF(DD$367&gt;$V383,0,SUM($Y359:DD359)/$W383))</f>
        <v>0</v>
      </c>
      <c r="DE383" s="48">
        <f>IF(OR($V383=0,$W383=0),0,IF(DE$367&gt;$V383,0,SUM($Y359:DE359)/$W383))</f>
        <v>0</v>
      </c>
      <c r="DF383" s="48">
        <f>IF(OR($V383=0,$W383=0),0,IF(DF$367&gt;$V383,0,SUM($Y359:DF359)/$W383))</f>
        <v>0</v>
      </c>
      <c r="DG383" s="48">
        <f>IF(OR($V383=0,$W383=0),0,IF(DG$367&gt;$V383,0,SUM($Y359:DG359)/$W383))</f>
        <v>0</v>
      </c>
      <c r="DH383" s="48">
        <f>IF(OR($V383=0,$W383=0),0,IF(DH$367&gt;$V383,0,SUM($Y359:DH359)/$W383))</f>
        <v>0</v>
      </c>
      <c r="DI383" s="48">
        <f>IF(OR($V383=0,$W383=0),0,IF(DI$367&gt;$V383,0,SUM($Y359:DI359)/$W383))</f>
        <v>0</v>
      </c>
      <c r="DJ383" s="48">
        <f>IF(OR($V383=0,$W383=0),0,IF(DJ$367&gt;$V383,0,SUM($Y359:DJ359)/$W383))</f>
        <v>0</v>
      </c>
      <c r="DK383" s="48">
        <f>IF(OR($V383=0,$W383=0),0,IF(DK$367&gt;$V383,0,SUM($Y359:DK359)/$W383))</f>
        <v>0</v>
      </c>
      <c r="DL383" s="48">
        <f>IF(OR($V383=0,$W383=0),0,IF(DL$367&gt;$V383,0,SUM($Y359:DL359)/$W383))</f>
        <v>0</v>
      </c>
      <c r="DM383" s="48">
        <f>IF(OR($V383=0,$W383=0),0,IF(DM$367&gt;$V383,0,SUM($Y359:DM359)/$W383))</f>
        <v>0</v>
      </c>
      <c r="DN383" s="48">
        <f>IF(OR($V383=0,$W383=0),0,IF(DN$367&gt;$V383,0,SUM($Y359:DN359)/$W383))</f>
        <v>0</v>
      </c>
      <c r="DO383" s="48">
        <f>IF(OR($V383=0,$W383=0),0,IF(DO$367&gt;$V383,0,SUM($Y359:DO359)/$W383))</f>
        <v>0</v>
      </c>
      <c r="DP383" s="48">
        <f>IF(OR($V383=0,$W383=0),0,IF(DP$367&gt;$V383,0,SUM($Y359:DP359)/$W383))</f>
        <v>0</v>
      </c>
      <c r="DQ383" s="48">
        <f>IF(OR($V383=0,$W383=0),0,IF(DQ$367&gt;$V383,0,SUM($Y359:DQ359)/$W383))</f>
        <v>0</v>
      </c>
      <c r="DR383" s="50">
        <f>IF(OR($V383=0,$W383=0),0,IF(DR$367&gt;$V383,0,SUM($Y359:DR359)/$W383))</f>
        <v>0</v>
      </c>
      <c r="DS383" s="50">
        <f>IF(OR($V383=0,$W383=0),0,IF(DS$367&gt;$V383,0,SUM($Y359:DS359)/$W383))</f>
        <v>0</v>
      </c>
      <c r="DT383" s="50">
        <f>IF(OR($V383=0,$W383=0),0,IF(DT$367&gt;$V383,0,SUM($Y359:DT359)/$W383))</f>
        <v>0</v>
      </c>
      <c r="DU383" s="50">
        <f>IF(OR($V383=0,$W383=0),0,IF(DU$367&gt;$V383,0,SUM($Y359:DU359)/$W383))</f>
        <v>0</v>
      </c>
      <c r="DV383" s="50">
        <f>IF(OR($V383=0,$W383=0),0,IF(DV$367&gt;$V383,0,SUM($Y359:DV359)/$W383))</f>
        <v>0</v>
      </c>
      <c r="DW383" s="50">
        <f>IF(OR($V383=0,$W383=0),0,IF(DW$367&gt;$V383,0,SUM($Y359:DW359)/$W383))</f>
        <v>0</v>
      </c>
      <c r="DX383" s="50">
        <f>IF(OR($V383=0,$W383=0),0,IF(DX$367&gt;$V383,0,SUM($Y359:DX359)/$W383))</f>
        <v>0</v>
      </c>
      <c r="DY383" s="50">
        <f>IF(OR($V383=0,$W383=0),0,IF(DY$367&gt;$V383,0,SUM($Y359:DY359)/$W383))</f>
        <v>0</v>
      </c>
      <c r="DZ383" s="50">
        <f>IF(OR($V383=0,$W383=0),0,IF(DZ$367&gt;$V383,0,SUM($Y359:DZ359)/$W383))</f>
        <v>0</v>
      </c>
      <c r="EA383" s="50">
        <f>IF(OR($V383=0,$W383=0),0,IF(EA$367&gt;$V383,0,SUM($Y359:EA359)/$W383))</f>
        <v>0</v>
      </c>
      <c r="EB383" s="50">
        <f>IF(OR($V383=0,$W383=0),0,IF(EB$367&gt;$V383,0,SUM($Y359:EB359)/$W383))</f>
        <v>0</v>
      </c>
      <c r="EC383" s="50">
        <f>IF(OR($V383=0,$W383=0),0,IF(EC$367&gt;$V383,0,SUM($Y359:EC359)/$W383))</f>
        <v>0</v>
      </c>
      <c r="ED383" s="50">
        <f>IF(OR($V383=0,$W383=0),0,IF(ED$367&gt;$V383,0,SUM($Y359:ED359)/$W383))</f>
        <v>0</v>
      </c>
      <c r="EE383" s="50">
        <f>IF(OR($V383=0,$W383=0),0,IF(EE$367&gt;$V383,0,SUM($Y359:EE359)/$W383))</f>
        <v>0</v>
      </c>
      <c r="EF383" s="50">
        <f>IF(OR($V383=0,$W383=0),0,IF(EF$367&gt;$V383,0,SUM($Y359:EF359)/$W383))</f>
        <v>0</v>
      </c>
      <c r="EG383" s="50">
        <f>IF(OR($V383=0,$W383=0),0,IF(EG$367&gt;$V383,0,SUM($Y359:EG359)/$W383))</f>
        <v>0</v>
      </c>
      <c r="EH383" s="50">
        <f>IF(OR($V383=0,$W383=0),0,IF(EH$367&gt;$V383,0,SUM($Y359:EH359)/$W383))</f>
        <v>0</v>
      </c>
      <c r="EI383" s="50">
        <f>IF(OR($V383=0,$W383=0),0,IF(EI$367&gt;$V383,0,SUM($Y359:EI359)/$W383))</f>
        <v>0</v>
      </c>
      <c r="EJ383" s="50">
        <f>IF(OR($V383=0,$W383=0),0,IF(EJ$367&gt;$V383,0,SUM($Y359:EJ359)/$W383))</f>
        <v>0</v>
      </c>
      <c r="EK383" s="50">
        <f>IF(OR($V383=0,$W383=0),0,IF(EK$367&gt;$V383,0,SUM($Y359:EK359)/$W383))</f>
        <v>0</v>
      </c>
      <c r="EL383" s="50">
        <f>IF(OR($V383=0,$W383=0),0,IF(EL$367&gt;$V383,0,SUM($Y359:EL359)/$W383))</f>
        <v>0</v>
      </c>
      <c r="EM383" s="50">
        <f>IF(OR($V383=0,$W383=0),0,IF(EM$367&gt;$V383,0,SUM($Y359:EM359)/$W383))</f>
        <v>0</v>
      </c>
      <c r="EN383" s="50">
        <f>IF(OR($V383=0,$W383=0),0,IF(EN$367&gt;$V383,0,SUM($Y359:EN359)/$W383))</f>
        <v>0</v>
      </c>
      <c r="EO383" s="39">
        <v>51</v>
      </c>
      <c r="EP383" s="39">
        <v>51</v>
      </c>
      <c r="EQ383" s="39">
        <v>51</v>
      </c>
      <c r="ER383" s="39">
        <v>51</v>
      </c>
      <c r="ES383" s="39">
        <v>51</v>
      </c>
      <c r="ET383" s="39">
        <v>51</v>
      </c>
      <c r="EU383" s="39">
        <v>51</v>
      </c>
      <c r="EV383" s="39">
        <v>51</v>
      </c>
      <c r="EW383" s="39">
        <v>51</v>
      </c>
      <c r="EX383" s="39">
        <v>51</v>
      </c>
    </row>
    <row r="384" spans="11:154" ht="12" customHeight="1" x14ac:dyDescent="0.35">
      <c r="K384" s="1667"/>
      <c r="L384" s="1667"/>
      <c r="M384" s="1667"/>
      <c r="N384" s="1667"/>
      <c r="O384" s="1667"/>
      <c r="P384" s="1667"/>
      <c r="Q384" s="1667"/>
      <c r="R384" s="1667"/>
      <c r="S384" s="1667"/>
      <c r="T384" s="1667"/>
      <c r="U384" s="59"/>
      <c r="V384" s="1636">
        <f t="shared" si="192"/>
        <v>0</v>
      </c>
      <c r="W384" s="102">
        <f t="shared" si="193"/>
        <v>0</v>
      </c>
      <c r="X384" s="381">
        <f t="shared" si="194"/>
        <v>17</v>
      </c>
      <c r="Y384" s="1645">
        <f>IF(OR($V384=0,$W384=0),0,IF(Y$367&gt;$V384,0,SUM($Y360:Y360)/$W384))</f>
        <v>0</v>
      </c>
      <c r="Z384" s="1646">
        <f>IF(OR($V384=0,$W384=0),0,IF(Z$367&gt;$V384,0,SUM($Y360:Z360)/$W384))</f>
        <v>0</v>
      </c>
      <c r="AA384" s="1646">
        <f>IF(OR($V384=0,$W384=0),0,IF(AA$367&gt;$V384,0,SUM($Y360:AA360)/$W384))</f>
        <v>0</v>
      </c>
      <c r="AB384" s="1646">
        <f>IF(OR($V384=0,$W384=0),0,IF(AB$367&gt;$V384,0,SUM($Y360:AB360)/$W384))</f>
        <v>0</v>
      </c>
      <c r="AC384" s="1646">
        <f>IF(OR($V384=0,$W384=0),0,IF(AC$367&gt;$V384,0,SUM($Y360:AC360)/$W384))</f>
        <v>0</v>
      </c>
      <c r="AD384" s="1646">
        <f>IF(OR($V384=0,$W384=0),0,IF(AD$367&gt;$V384,0,SUM($Y360:AD360)/$W384))</f>
        <v>0</v>
      </c>
      <c r="AE384" s="1646">
        <f>IF(OR($V384=0,$W384=0),0,IF(AE$367&gt;$V384,0,SUM($Y360:AE360)/$W384))</f>
        <v>0</v>
      </c>
      <c r="AF384" s="1155">
        <f>IF(OR($V384=0,$W384=0),0,IF(AF$367&gt;$V384,0,SUM($Y360:AF360)/$W384))</f>
        <v>0</v>
      </c>
      <c r="AG384" s="1155">
        <f>IF(OR($V384=0,$W384=0),0,IF(AG$367&gt;$V384,0,SUM($Y360:AG360)/$W384))</f>
        <v>0</v>
      </c>
      <c r="AH384" s="1155">
        <f>IF(OR($V384=0,$W384=0),0,IF(AH$367&gt;$V384,0,SUM($Y360:AH360)/$W384))</f>
        <v>0</v>
      </c>
      <c r="AI384" s="1155">
        <f>IF(OR($V384=0,$W384=0),0,IF(AI$367&gt;$V384,0,SUM($Y360:AI360)/$W384))</f>
        <v>0</v>
      </c>
      <c r="AJ384" s="1155">
        <f>IF(OR($V384=0,$W384=0),0,IF(AJ$367&gt;$V384,0,SUM($Y360:AJ360)/$W384))</f>
        <v>0</v>
      </c>
      <c r="AK384" s="1155">
        <f>IF(OR($V384=0,$W384=0),0,IF(AK$367&gt;$V384,0,SUM($Y360:AK360)/$W384))</f>
        <v>0</v>
      </c>
      <c r="AL384" s="1155">
        <f>IF(OR($V384=0,$W384=0),0,IF(AL$367&gt;$V384,0,SUM($Y360:AL360)/$W384))</f>
        <v>0</v>
      </c>
      <c r="AM384" s="1155">
        <f>IF(OR($V384=0,$W384=0),0,IF(AM$367&gt;$V384,0,SUM($Y360:AM360)/$W384))</f>
        <v>0</v>
      </c>
      <c r="AN384" s="1155">
        <f>IF(OR($V384=0,$W384=0),0,IF(AN$367&gt;$V384,0,SUM($Y360:AN360)/$W384))</f>
        <v>0</v>
      </c>
      <c r="AO384" s="1155">
        <f>IF(OR($V384=0,$W384=0),0,IF(AO$367&gt;$V384,0,SUM($Y360:AO360)/$W384))</f>
        <v>0</v>
      </c>
      <c r="AP384" s="1155">
        <f>IF(OR($V384=0,$W384=0),0,IF(AP$367&gt;$V384,0,SUM($Y360:AP360)/$W384))</f>
        <v>0</v>
      </c>
      <c r="AQ384" s="1155">
        <f>IF(OR($V384=0,$W384=0),0,IF(AQ$367&gt;$V384,0,SUM($Y360:AQ360)/$W384))</f>
        <v>0</v>
      </c>
      <c r="AR384" s="1155">
        <f>IF(OR($V384=0,$W384=0),0,IF(AR$367&gt;$V384,0,SUM($Y360:AR360)/$W384))</f>
        <v>0</v>
      </c>
      <c r="AS384" s="1155">
        <f>IF(OR($V384=0,$W384=0),0,IF(AS$367&gt;$V384,0,SUM($Y360:AS360)/$W384))</f>
        <v>0</v>
      </c>
      <c r="AT384" s="1155">
        <f>IF(OR($V384=0,$W384=0),0,IF(AT$367&gt;$V384,0,SUM($Y360:AT360)/$W384))</f>
        <v>0</v>
      </c>
      <c r="AU384" s="1155">
        <f>IF(OR($V384=0,$W384=0),0,IF(AU$367&gt;$V384,0,SUM($Y360:AU360)/$W384))</f>
        <v>0</v>
      </c>
      <c r="AV384" s="1155">
        <f>IF(OR($V384=0,$W384=0),0,IF(AV$367&gt;$V384,0,SUM($Y360:AV360)/$W384))</f>
        <v>0</v>
      </c>
      <c r="AW384" s="1155">
        <f>IF(OR($V384=0,$W384=0),0,IF(AW$367&gt;$V384,0,SUM($Y360:AW360)/$W384))</f>
        <v>0</v>
      </c>
      <c r="AX384" s="1155">
        <f>IF(OR($V384=0,$W384=0),0,IF(AX$367&gt;$V384,0,SUM($Y360:AX360)/$W384))</f>
        <v>0</v>
      </c>
      <c r="AY384" s="1155">
        <f>IF(OR($V384=0,$W384=0),0,IF(AY$367&gt;$V384,0,SUM($Y360:AY360)/$W384))</f>
        <v>0</v>
      </c>
      <c r="AZ384" s="1155">
        <f>IF(OR($V384=0,$W384=0),0,IF(AZ$367&gt;$V384,0,SUM($Y360:AZ360)/$W384))</f>
        <v>0</v>
      </c>
      <c r="BA384" s="1155">
        <f>IF(OR($V384=0,$W384=0),0,IF(BA$367&gt;$V384,0,SUM($Y360:BA360)/$W384))</f>
        <v>0</v>
      </c>
      <c r="BB384" s="1155">
        <f>IF(OR($V384=0,$W384=0),0,IF(BB$367&gt;$V384,0,SUM($Y360:BB360)/$W384))</f>
        <v>0</v>
      </c>
      <c r="BC384" s="1155">
        <f>IF(OR($V384=0,$W384=0),0,IF(BC$367&gt;$V384,0,SUM($Y360:BC360)/$W384))</f>
        <v>0</v>
      </c>
      <c r="BD384" s="1155">
        <f>IF(OR($V384=0,$W384=0),0,IF(BD$367&gt;$V384,0,SUM($Y360:BD360)/$W384))</f>
        <v>0</v>
      </c>
      <c r="BE384" s="1155">
        <f>IF(OR($V384=0,$W384=0),0,IF(BE$367&gt;$V384,0,SUM($Y360:BE360)/$W384))</f>
        <v>0</v>
      </c>
      <c r="BF384" s="1155">
        <f>IF(OR($V384=0,$W384=0),0,IF(BF$367&gt;$V384,0,SUM($Y360:BF360)/$W384))</f>
        <v>0</v>
      </c>
      <c r="BG384" s="1155">
        <f>IF(OR($V384=0,$W384=0),0,IF(BG$367&gt;$V384,0,SUM($Y360:BG360)/$W384))</f>
        <v>0</v>
      </c>
      <c r="BH384" s="1155">
        <f>IF(OR($V384=0,$W384=0),0,IF(BH$367&gt;$V384,0,SUM($Y360:BH360)/$W384))</f>
        <v>0</v>
      </c>
      <c r="BI384" s="1155">
        <f>IF(OR($V384=0,$W384=0),0,IF(BI$367&gt;$V384,0,SUM($Y360:BI360)/$W384))</f>
        <v>0</v>
      </c>
      <c r="BJ384" s="1155">
        <f>IF(OR($V384=0,$W384=0),0,IF(BJ$367&gt;$V384,0,SUM($Y360:BJ360)/$W384))</f>
        <v>0</v>
      </c>
      <c r="BK384" s="1155">
        <f>IF(OR($V384=0,$W384=0),0,IF(BK$367&gt;$V384,0,SUM($Y360:BK360)/$W384))</f>
        <v>0</v>
      </c>
      <c r="BL384" s="1155">
        <f>IF(OR($V384=0,$W384=0),0,IF(BL$367&gt;$V384,0,SUM($Y360:BL360)/$W384))</f>
        <v>0</v>
      </c>
      <c r="BM384" s="1155">
        <f>IF(OR($V384=0,$W384=0),0,IF(BM$367&gt;$V384,0,SUM($Y360:BM360)/$W384))</f>
        <v>0</v>
      </c>
      <c r="BN384" s="1155">
        <f>IF(OR($V384=0,$W384=0),0,IF(BN$367&gt;$V384,0,SUM($Y360:BN360)/$W384))</f>
        <v>0</v>
      </c>
      <c r="BO384" s="1155">
        <f>IF(OR($V384=0,$W384=0),0,IF(BO$367&gt;$V384,0,SUM($Y360:BO360)/$W384))</f>
        <v>0</v>
      </c>
      <c r="BP384" s="1155">
        <f>IF(OR($V384=0,$W384=0),0,IF(BP$367&gt;$V384,0,SUM($Y360:BP360)/$W384))</f>
        <v>0</v>
      </c>
      <c r="BQ384" s="1155">
        <f>IF(OR($V384=0,$W384=0),0,IF(BQ$367&gt;$V384,0,SUM($Y360:BQ360)/$W384))</f>
        <v>0</v>
      </c>
      <c r="BR384" s="1155">
        <f>IF(OR($V384=0,$W384=0),0,IF(BR$367&gt;$V384,0,SUM($Y360:BR360)/$W384))</f>
        <v>0</v>
      </c>
      <c r="BS384" s="1155">
        <f>IF(OR($V384=0,$W384=0),0,IF(BS$367&gt;$V384,0,SUM($Y360:BS360)/$W384))</f>
        <v>0</v>
      </c>
      <c r="BT384" s="1155">
        <f>IF(OR($V384=0,$W384=0),0,IF(BT$367&gt;$V384,0,SUM($Y360:BT360)/$W384))</f>
        <v>0</v>
      </c>
      <c r="BU384" s="1155">
        <f>IF(OR($V384=0,$W384=0),0,IF(BU$367&gt;$V384,0,SUM($Y360:BU360)/$W384))</f>
        <v>0</v>
      </c>
      <c r="BV384" s="1155">
        <f>IF(OR($V384=0,$W384=0),0,IF(BV$367&gt;$V384,0,SUM($Y360:BV360)/$W384))</f>
        <v>0</v>
      </c>
      <c r="BW384" s="1155">
        <f>IF(OR($V384=0,$W384=0),0,IF(BW$367&gt;$V384,0,SUM($Y360:BW360)/$W384))</f>
        <v>0</v>
      </c>
      <c r="BX384" s="1162">
        <f>IF(OR($V384=0,$W384=0),0,IF(BX$367&gt;$V384,0,SUM($Y360:BX360)/$W384))</f>
        <v>0</v>
      </c>
      <c r="BY384" s="1162">
        <f>IF(OR($V384=0,$W384=0),0,IF(BY$367&gt;$V384,0,SUM($Y360:BY360)/$W384))</f>
        <v>0</v>
      </c>
      <c r="BZ384" s="1162">
        <f>IF(OR($V384=0,$W384=0),0,IF(BZ$367&gt;$V384,0,SUM($Y360:BZ360)/$W384))</f>
        <v>0</v>
      </c>
      <c r="CA384" s="1162">
        <f>IF(OR($V384=0,$W384=0),0,IF(CA$367&gt;$V384,0,SUM($Y360:CA360)/$W384))</f>
        <v>0</v>
      </c>
      <c r="CB384" s="1162">
        <f>IF(OR($V384=0,$W384=0),0,IF(CB$367&gt;$V384,0,SUM($Y360:CB360)/$W384))</f>
        <v>0</v>
      </c>
      <c r="CC384" s="1162">
        <f>IF(OR($V384=0,$W384=0),0,IF(CC$367&gt;$V384,0,SUM($Y360:CC360)/$W384))</f>
        <v>0</v>
      </c>
      <c r="CD384" s="1162">
        <f>IF(OR($V384=0,$W384=0),0,IF(CD$367&gt;$V384,0,SUM($Y360:CD360)/$W384))</f>
        <v>0</v>
      </c>
      <c r="CE384" s="1162">
        <f>IF(OR($V384=0,$W384=0),0,IF(CE$367&gt;$V384,0,SUM($Y360:CE360)/$W384))</f>
        <v>0</v>
      </c>
      <c r="CF384" s="1162">
        <f>IF(OR($V384=0,$W384=0),0,IF(CF$367&gt;$V384,0,SUM($Y360:CF360)/$W384))</f>
        <v>0</v>
      </c>
      <c r="CG384" s="1162">
        <f>IF(OR($V384=0,$W384=0),0,IF(CG$367&gt;$V384,0,SUM($Y360:CG360)/$W384))</f>
        <v>0</v>
      </c>
      <c r="CH384" s="1162">
        <f>IF(OR($V384=0,$W384=0),0,IF(CH$367&gt;$V384,0,SUM($Y360:CH360)/$W384))</f>
        <v>0</v>
      </c>
      <c r="CI384" s="1162">
        <f>IF(OR($V384=0,$W384=0),0,IF(CI$367&gt;$V384,0,SUM($Y360:CI360)/$W384))</f>
        <v>0</v>
      </c>
      <c r="CJ384" s="1162">
        <f>IF(OR($V384=0,$W384=0),0,IF(CJ$367&gt;$V384,0,SUM($Y360:CJ360)/$W384))</f>
        <v>0</v>
      </c>
      <c r="CK384" s="1162">
        <f>IF(OR($V384=0,$W384=0),0,IF(CK$367&gt;$V384,0,SUM($Y360:CK360)/$W384))</f>
        <v>0</v>
      </c>
      <c r="CL384" s="1162">
        <f>IF(OR($V384=0,$W384=0),0,IF(CL$367&gt;$V384,0,SUM($Y360:CL360)/$W384))</f>
        <v>0</v>
      </c>
      <c r="CM384" s="1162">
        <f>IF(OR($V384=0,$W384=0),0,IF(CM$367&gt;$V384,0,SUM($Y360:CM360)/$W384))</f>
        <v>0</v>
      </c>
      <c r="CN384" s="1162">
        <f>IF(OR($V384=0,$W384=0),0,IF(CN$367&gt;$V384,0,SUM($Y360:CN360)/$W384))</f>
        <v>0</v>
      </c>
      <c r="CO384" s="1162">
        <f>IF(OR($V384=0,$W384=0),0,IF(CO$367&gt;$V384,0,SUM($Y360:CO360)/$W384))</f>
        <v>0</v>
      </c>
      <c r="CP384" s="1162">
        <f>IF(OR($V384=0,$W384=0),0,IF(CP$367&gt;$V384,0,SUM($Y360:CP360)/$W384))</f>
        <v>0</v>
      </c>
      <c r="CQ384" s="48">
        <f>IF(OR($V384=0,$W384=0),0,IF(CQ$367&gt;$V384,0,SUM($Y360:CQ360)/$W384))</f>
        <v>0</v>
      </c>
      <c r="CR384" s="48">
        <f>IF(OR($V384=0,$W384=0),0,IF(CR$367&gt;$V384,0,SUM($Y360:CR360)/$W384))</f>
        <v>0</v>
      </c>
      <c r="CS384" s="48">
        <f>IF(OR($V384=0,$W384=0),0,IF(CS$367&gt;$V384,0,SUM($Y360:CS360)/$W384))</f>
        <v>0</v>
      </c>
      <c r="CT384" s="48">
        <f>IF(OR($V384=0,$W384=0),0,IF(CT$367&gt;$V384,0,SUM($Y360:CT360)/$W384))</f>
        <v>0</v>
      </c>
      <c r="CU384" s="48">
        <f>IF(OR($V384=0,$W384=0),0,IF(CU$367&gt;$V384,0,SUM($Y360:CU360)/$W384))</f>
        <v>0</v>
      </c>
      <c r="CV384" s="48">
        <f>IF(OR($V384=0,$W384=0),0,IF(CV$367&gt;$V384,0,SUM($Y360:CV360)/$W384))</f>
        <v>0</v>
      </c>
      <c r="CW384" s="48">
        <f>IF(OR($V384=0,$W384=0),0,IF(CW$367&gt;$V384,0,SUM($Y360:CW360)/$W384))</f>
        <v>0</v>
      </c>
      <c r="CX384" s="48">
        <f>IF(OR($V384=0,$W384=0),0,IF(CX$367&gt;$V384,0,SUM($Y360:CX360)/$W384))</f>
        <v>0</v>
      </c>
      <c r="CY384" s="48">
        <f>IF(OR($V384=0,$W384=0),0,IF(CY$367&gt;$V384,0,SUM($Y360:CY360)/$W384))</f>
        <v>0</v>
      </c>
      <c r="CZ384" s="48">
        <f>IF(OR($V384=0,$W384=0),0,IF(CZ$367&gt;$V384,0,SUM($Y360:CZ360)/$W384))</f>
        <v>0</v>
      </c>
      <c r="DA384" s="48">
        <f>IF(OR($V384=0,$W384=0),0,IF(DA$367&gt;$V384,0,SUM($Y360:DA360)/$W384))</f>
        <v>0</v>
      </c>
      <c r="DB384" s="48">
        <f>IF(OR($V384=0,$W384=0),0,IF(DB$367&gt;$V384,0,SUM($Y360:DB360)/$W384))</f>
        <v>0</v>
      </c>
      <c r="DC384" s="48">
        <f>IF(OR($V384=0,$W384=0),0,IF(DC$367&gt;$V384,0,SUM($Y360:DC360)/$W384))</f>
        <v>0</v>
      </c>
      <c r="DD384" s="48">
        <f>IF(OR($V384=0,$W384=0),0,IF(DD$367&gt;$V384,0,SUM($Y360:DD360)/$W384))</f>
        <v>0</v>
      </c>
      <c r="DE384" s="48">
        <f>IF(OR($V384=0,$W384=0),0,IF(DE$367&gt;$V384,0,SUM($Y360:DE360)/$W384))</f>
        <v>0</v>
      </c>
      <c r="DF384" s="48">
        <f>IF(OR($V384=0,$W384=0),0,IF(DF$367&gt;$V384,0,SUM($Y360:DF360)/$W384))</f>
        <v>0</v>
      </c>
      <c r="DG384" s="48">
        <f>IF(OR($V384=0,$W384=0),0,IF(DG$367&gt;$V384,0,SUM($Y360:DG360)/$W384))</f>
        <v>0</v>
      </c>
      <c r="DH384" s="48">
        <f>IF(OR($V384=0,$W384=0),0,IF(DH$367&gt;$V384,0,SUM($Y360:DH360)/$W384))</f>
        <v>0</v>
      </c>
      <c r="DI384" s="48">
        <f>IF(OR($V384=0,$W384=0),0,IF(DI$367&gt;$V384,0,SUM($Y360:DI360)/$W384))</f>
        <v>0</v>
      </c>
      <c r="DJ384" s="48">
        <f>IF(OR($V384=0,$W384=0),0,IF(DJ$367&gt;$V384,0,SUM($Y360:DJ360)/$W384))</f>
        <v>0</v>
      </c>
      <c r="DK384" s="48">
        <f>IF(OR($V384=0,$W384=0),0,IF(DK$367&gt;$V384,0,SUM($Y360:DK360)/$W384))</f>
        <v>0</v>
      </c>
      <c r="DL384" s="48">
        <f>IF(OR($V384=0,$W384=0),0,IF(DL$367&gt;$V384,0,SUM($Y360:DL360)/$W384))</f>
        <v>0</v>
      </c>
      <c r="DM384" s="48">
        <f>IF(OR($V384=0,$W384=0),0,IF(DM$367&gt;$V384,0,SUM($Y360:DM360)/$W384))</f>
        <v>0</v>
      </c>
      <c r="DN384" s="48">
        <f>IF(OR($V384=0,$W384=0),0,IF(DN$367&gt;$V384,0,SUM($Y360:DN360)/$W384))</f>
        <v>0</v>
      </c>
      <c r="DO384" s="48">
        <f>IF(OR($V384=0,$W384=0),0,IF(DO$367&gt;$V384,0,SUM($Y360:DO360)/$W384))</f>
        <v>0</v>
      </c>
      <c r="DP384" s="48">
        <f>IF(OR($V384=0,$W384=0),0,IF(DP$367&gt;$V384,0,SUM($Y360:DP360)/$W384))</f>
        <v>0</v>
      </c>
      <c r="DQ384" s="48">
        <f>IF(OR($V384=0,$W384=0),0,IF(DQ$367&gt;$V384,0,SUM($Y360:DQ360)/$W384))</f>
        <v>0</v>
      </c>
      <c r="DR384" s="50">
        <f>IF(OR($V384=0,$W384=0),0,IF(DR$367&gt;$V384,0,SUM($Y360:DR360)/$W384))</f>
        <v>0</v>
      </c>
      <c r="DS384" s="50">
        <f>IF(OR($V384=0,$W384=0),0,IF(DS$367&gt;$V384,0,SUM($Y360:DS360)/$W384))</f>
        <v>0</v>
      </c>
      <c r="DT384" s="50">
        <f>IF(OR($V384=0,$W384=0),0,IF(DT$367&gt;$V384,0,SUM($Y360:DT360)/$W384))</f>
        <v>0</v>
      </c>
      <c r="DU384" s="50">
        <f>IF(OR($V384=0,$W384=0),0,IF(DU$367&gt;$V384,0,SUM($Y360:DU360)/$W384))</f>
        <v>0</v>
      </c>
      <c r="DV384" s="50">
        <f>IF(OR($V384=0,$W384=0),0,IF(DV$367&gt;$V384,0,SUM($Y360:DV360)/$W384))</f>
        <v>0</v>
      </c>
      <c r="DW384" s="50">
        <f>IF(OR($V384=0,$W384=0),0,IF(DW$367&gt;$V384,0,SUM($Y360:DW360)/$W384))</f>
        <v>0</v>
      </c>
      <c r="DX384" s="50">
        <f>IF(OR($V384=0,$W384=0),0,IF(DX$367&gt;$V384,0,SUM($Y360:DX360)/$W384))</f>
        <v>0</v>
      </c>
      <c r="DY384" s="50">
        <f>IF(OR($V384=0,$W384=0),0,IF(DY$367&gt;$V384,0,SUM($Y360:DY360)/$W384))</f>
        <v>0</v>
      </c>
      <c r="DZ384" s="50">
        <f>IF(OR($V384=0,$W384=0),0,IF(DZ$367&gt;$V384,0,SUM($Y360:DZ360)/$W384))</f>
        <v>0</v>
      </c>
      <c r="EA384" s="50">
        <f>IF(OR($V384=0,$W384=0),0,IF(EA$367&gt;$V384,0,SUM($Y360:EA360)/$W384))</f>
        <v>0</v>
      </c>
      <c r="EB384" s="50">
        <f>IF(OR($V384=0,$W384=0),0,IF(EB$367&gt;$V384,0,SUM($Y360:EB360)/$W384))</f>
        <v>0</v>
      </c>
      <c r="EC384" s="50">
        <f>IF(OR($V384=0,$W384=0),0,IF(EC$367&gt;$V384,0,SUM($Y360:EC360)/$W384))</f>
        <v>0</v>
      </c>
      <c r="ED384" s="50">
        <f>IF(OR($V384=0,$W384=0),0,IF(ED$367&gt;$V384,0,SUM($Y360:ED360)/$W384))</f>
        <v>0</v>
      </c>
      <c r="EE384" s="50">
        <f>IF(OR($V384=0,$W384=0),0,IF(EE$367&gt;$V384,0,SUM($Y360:EE360)/$W384))</f>
        <v>0</v>
      </c>
      <c r="EF384" s="50">
        <f>IF(OR($V384=0,$W384=0),0,IF(EF$367&gt;$V384,0,SUM($Y360:EF360)/$W384))</f>
        <v>0</v>
      </c>
      <c r="EG384" s="50">
        <f>IF(OR($V384=0,$W384=0),0,IF(EG$367&gt;$V384,0,SUM($Y360:EG360)/$W384))</f>
        <v>0</v>
      </c>
      <c r="EH384" s="50">
        <f>IF(OR($V384=0,$W384=0),0,IF(EH$367&gt;$V384,0,SUM($Y360:EH360)/$W384))</f>
        <v>0</v>
      </c>
      <c r="EI384" s="50">
        <f>IF(OR($V384=0,$W384=0),0,IF(EI$367&gt;$V384,0,SUM($Y360:EI360)/$W384))</f>
        <v>0</v>
      </c>
      <c r="EJ384" s="50">
        <f>IF(OR($V384=0,$W384=0),0,IF(EJ$367&gt;$V384,0,SUM($Y360:EJ360)/$W384))</f>
        <v>0</v>
      </c>
      <c r="EK384" s="50">
        <f>IF(OR($V384=0,$W384=0),0,IF(EK$367&gt;$V384,0,SUM($Y360:EK360)/$W384))</f>
        <v>0</v>
      </c>
      <c r="EL384" s="50">
        <f>IF(OR($V384=0,$W384=0),0,IF(EL$367&gt;$V384,0,SUM($Y360:EL360)/$W384))</f>
        <v>0</v>
      </c>
      <c r="EM384" s="50">
        <f>IF(OR($V384=0,$W384=0),0,IF(EM$367&gt;$V384,0,SUM($Y360:EM360)/$W384))</f>
        <v>0</v>
      </c>
      <c r="EN384" s="50">
        <f>IF(OR($V384=0,$W384=0),0,IF(EN$367&gt;$V384,0,SUM($Y360:EN360)/$W384))</f>
        <v>0</v>
      </c>
      <c r="EO384" s="39">
        <v>51</v>
      </c>
      <c r="EP384" s="39">
        <v>51</v>
      </c>
      <c r="EQ384" s="39">
        <v>51</v>
      </c>
      <c r="ER384" s="39">
        <v>51</v>
      </c>
      <c r="ES384" s="39">
        <v>51</v>
      </c>
      <c r="ET384" s="39">
        <v>51</v>
      </c>
      <c r="EU384" s="39">
        <v>51</v>
      </c>
      <c r="EV384" s="39">
        <v>51</v>
      </c>
      <c r="EW384" s="39">
        <v>51</v>
      </c>
      <c r="EX384" s="39">
        <v>51</v>
      </c>
    </row>
    <row r="385" spans="11:154" ht="12" customHeight="1" x14ac:dyDescent="0.35">
      <c r="K385" s="1667"/>
      <c r="L385" s="1667"/>
      <c r="M385" s="1667"/>
      <c r="N385" s="1667"/>
      <c r="O385" s="1667"/>
      <c r="P385" s="1667"/>
      <c r="Q385" s="1667"/>
      <c r="R385" s="1667"/>
      <c r="S385" s="1667"/>
      <c r="T385" s="1667"/>
      <c r="U385" s="59"/>
      <c r="V385" s="1636">
        <f t="shared" si="192"/>
        <v>0</v>
      </c>
      <c r="W385" s="102">
        <f t="shared" si="193"/>
        <v>0</v>
      </c>
      <c r="X385" s="381">
        <f t="shared" si="194"/>
        <v>18</v>
      </c>
      <c r="Y385" s="1645">
        <f>IF(OR($V385=0,$W385=0),0,IF(Y$367&gt;$V385,0,SUM($Y361:Y361)/$W385))</f>
        <v>0</v>
      </c>
      <c r="Z385" s="1646">
        <f>IF(OR($V385=0,$W385=0),0,IF(Z$367&gt;$V385,0,SUM($Y361:Z361)/$W385))</f>
        <v>0</v>
      </c>
      <c r="AA385" s="1646">
        <f>IF(OR($V385=0,$W385=0),0,IF(AA$367&gt;$V385,0,SUM($Y361:AA361)/$W385))</f>
        <v>0</v>
      </c>
      <c r="AB385" s="1646">
        <f>IF(OR($V385=0,$W385=0),0,IF(AB$367&gt;$V385,0,SUM($Y361:AB361)/$W385))</f>
        <v>0</v>
      </c>
      <c r="AC385" s="1646">
        <f>IF(OR($V385=0,$W385=0),0,IF(AC$367&gt;$V385,0,SUM($Y361:AC361)/$W385))</f>
        <v>0</v>
      </c>
      <c r="AD385" s="1646">
        <f>IF(OR($V385=0,$W385=0),0,IF(AD$367&gt;$V385,0,SUM($Y361:AD361)/$W385))</f>
        <v>0</v>
      </c>
      <c r="AE385" s="1646">
        <f>IF(OR($V385=0,$W385=0),0,IF(AE$367&gt;$V385,0,SUM($Y361:AE361)/$W385))</f>
        <v>0</v>
      </c>
      <c r="AF385" s="1155">
        <f>IF(OR($V385=0,$W385=0),0,IF(AF$367&gt;$V385,0,SUM($Y361:AF361)/$W385))</f>
        <v>0</v>
      </c>
      <c r="AG385" s="1155">
        <f>IF(OR($V385=0,$W385=0),0,IF(AG$367&gt;$V385,0,SUM($Y361:AG361)/$W385))</f>
        <v>0</v>
      </c>
      <c r="AH385" s="1155">
        <f>IF(OR($V385=0,$W385=0),0,IF(AH$367&gt;$V385,0,SUM($Y361:AH361)/$W385))</f>
        <v>0</v>
      </c>
      <c r="AI385" s="1155">
        <f>IF(OR($V385=0,$W385=0),0,IF(AI$367&gt;$V385,0,SUM($Y361:AI361)/$W385))</f>
        <v>0</v>
      </c>
      <c r="AJ385" s="1155">
        <f>IF(OR($V385=0,$W385=0),0,IF(AJ$367&gt;$V385,0,SUM($Y361:AJ361)/$W385))</f>
        <v>0</v>
      </c>
      <c r="AK385" s="1155">
        <f>IF(OR($V385=0,$W385=0),0,IF(AK$367&gt;$V385,0,SUM($Y361:AK361)/$W385))</f>
        <v>0</v>
      </c>
      <c r="AL385" s="1155">
        <f>IF(OR($V385=0,$W385=0),0,IF(AL$367&gt;$V385,0,SUM($Y361:AL361)/$W385))</f>
        <v>0</v>
      </c>
      <c r="AM385" s="1155">
        <f>IF(OR($V385=0,$W385=0),0,IF(AM$367&gt;$V385,0,SUM($Y361:AM361)/$W385))</f>
        <v>0</v>
      </c>
      <c r="AN385" s="1155">
        <f>IF(OR($V385=0,$W385=0),0,IF(AN$367&gt;$V385,0,SUM($Y361:AN361)/$W385))</f>
        <v>0</v>
      </c>
      <c r="AO385" s="1155">
        <f>IF(OR($V385=0,$W385=0),0,IF(AO$367&gt;$V385,0,SUM($Y361:AO361)/$W385))</f>
        <v>0</v>
      </c>
      <c r="AP385" s="1155">
        <f>IF(OR($V385=0,$W385=0),0,IF(AP$367&gt;$V385,0,SUM($Y361:AP361)/$W385))</f>
        <v>0</v>
      </c>
      <c r="AQ385" s="1155">
        <f>IF(OR($V385=0,$W385=0),0,IF(AQ$367&gt;$V385,0,SUM($Y361:AQ361)/$W385))</f>
        <v>0</v>
      </c>
      <c r="AR385" s="1155">
        <f>IF(OR($V385=0,$W385=0),0,IF(AR$367&gt;$V385,0,SUM($Y361:AR361)/$W385))</f>
        <v>0</v>
      </c>
      <c r="AS385" s="1155">
        <f>IF(OR($V385=0,$W385=0),0,IF(AS$367&gt;$V385,0,SUM($Y361:AS361)/$W385))</f>
        <v>0</v>
      </c>
      <c r="AT385" s="1155">
        <f>IF(OR($V385=0,$W385=0),0,IF(AT$367&gt;$V385,0,SUM($Y361:AT361)/$W385))</f>
        <v>0</v>
      </c>
      <c r="AU385" s="1155">
        <f>IF(OR($V385=0,$W385=0),0,IF(AU$367&gt;$V385,0,SUM($Y361:AU361)/$W385))</f>
        <v>0</v>
      </c>
      <c r="AV385" s="1155">
        <f>IF(OR($V385=0,$W385=0),0,IF(AV$367&gt;$V385,0,SUM($Y361:AV361)/$W385))</f>
        <v>0</v>
      </c>
      <c r="AW385" s="1155">
        <f>IF(OR($V385=0,$W385=0),0,IF(AW$367&gt;$V385,0,SUM($Y361:AW361)/$W385))</f>
        <v>0</v>
      </c>
      <c r="AX385" s="1155">
        <f>IF(OR($V385=0,$W385=0),0,IF(AX$367&gt;$V385,0,SUM($Y361:AX361)/$W385))</f>
        <v>0</v>
      </c>
      <c r="AY385" s="1155">
        <f>IF(OR($V385=0,$W385=0),0,IF(AY$367&gt;$V385,0,SUM($Y361:AY361)/$W385))</f>
        <v>0</v>
      </c>
      <c r="AZ385" s="1155">
        <f>IF(OR($V385=0,$W385=0),0,IF(AZ$367&gt;$V385,0,SUM($Y361:AZ361)/$W385))</f>
        <v>0</v>
      </c>
      <c r="BA385" s="1155">
        <f>IF(OR($V385=0,$W385=0),0,IF(BA$367&gt;$V385,0,SUM($Y361:BA361)/$W385))</f>
        <v>0</v>
      </c>
      <c r="BB385" s="1155">
        <f>IF(OR($V385=0,$W385=0),0,IF(BB$367&gt;$V385,0,SUM($Y361:BB361)/$W385))</f>
        <v>0</v>
      </c>
      <c r="BC385" s="1155">
        <f>IF(OR($V385=0,$W385=0),0,IF(BC$367&gt;$V385,0,SUM($Y361:BC361)/$W385))</f>
        <v>0</v>
      </c>
      <c r="BD385" s="1155">
        <f>IF(OR($V385=0,$W385=0),0,IF(BD$367&gt;$V385,0,SUM($Y361:BD361)/$W385))</f>
        <v>0</v>
      </c>
      <c r="BE385" s="1155">
        <f>IF(OR($V385=0,$W385=0),0,IF(BE$367&gt;$V385,0,SUM($Y361:BE361)/$W385))</f>
        <v>0</v>
      </c>
      <c r="BF385" s="1155">
        <f>IF(OR($V385=0,$W385=0),0,IF(BF$367&gt;$V385,0,SUM($Y361:BF361)/$W385))</f>
        <v>0</v>
      </c>
      <c r="BG385" s="1155">
        <f>IF(OR($V385=0,$W385=0),0,IF(BG$367&gt;$V385,0,SUM($Y361:BG361)/$W385))</f>
        <v>0</v>
      </c>
      <c r="BH385" s="1155">
        <f>IF(OR($V385=0,$W385=0),0,IF(BH$367&gt;$V385,0,SUM($Y361:BH361)/$W385))</f>
        <v>0</v>
      </c>
      <c r="BI385" s="1155">
        <f>IF(OR($V385=0,$W385=0),0,IF(BI$367&gt;$V385,0,SUM($Y361:BI361)/$W385))</f>
        <v>0</v>
      </c>
      <c r="BJ385" s="1155">
        <f>IF(OR($V385=0,$W385=0),0,IF(BJ$367&gt;$V385,0,SUM($Y361:BJ361)/$W385))</f>
        <v>0</v>
      </c>
      <c r="BK385" s="1155">
        <f>IF(OR($V385=0,$W385=0),0,IF(BK$367&gt;$V385,0,SUM($Y361:BK361)/$W385))</f>
        <v>0</v>
      </c>
      <c r="BL385" s="1155">
        <f>IF(OR($V385=0,$W385=0),0,IF(BL$367&gt;$V385,0,SUM($Y361:BL361)/$W385))</f>
        <v>0</v>
      </c>
      <c r="BM385" s="1155">
        <f>IF(OR($V385=0,$W385=0),0,IF(BM$367&gt;$V385,0,SUM($Y361:BM361)/$W385))</f>
        <v>0</v>
      </c>
      <c r="BN385" s="1155">
        <f>IF(OR($V385=0,$W385=0),0,IF(BN$367&gt;$V385,0,SUM($Y361:BN361)/$W385))</f>
        <v>0</v>
      </c>
      <c r="BO385" s="1155">
        <f>IF(OR($V385=0,$W385=0),0,IF(BO$367&gt;$V385,0,SUM($Y361:BO361)/$W385))</f>
        <v>0</v>
      </c>
      <c r="BP385" s="1155">
        <f>IF(OR($V385=0,$W385=0),0,IF(BP$367&gt;$V385,0,SUM($Y361:BP361)/$W385))</f>
        <v>0</v>
      </c>
      <c r="BQ385" s="1155">
        <f>IF(OR($V385=0,$W385=0),0,IF(BQ$367&gt;$V385,0,SUM($Y361:BQ361)/$W385))</f>
        <v>0</v>
      </c>
      <c r="BR385" s="1155">
        <f>IF(OR($V385=0,$W385=0),0,IF(BR$367&gt;$V385,0,SUM($Y361:BR361)/$W385))</f>
        <v>0</v>
      </c>
      <c r="BS385" s="1155">
        <f>IF(OR($V385=0,$W385=0),0,IF(BS$367&gt;$V385,0,SUM($Y361:BS361)/$W385))</f>
        <v>0</v>
      </c>
      <c r="BT385" s="1155">
        <f>IF(OR($V385=0,$W385=0),0,IF(BT$367&gt;$V385,0,SUM($Y361:BT361)/$W385))</f>
        <v>0</v>
      </c>
      <c r="BU385" s="1155">
        <f>IF(OR($V385=0,$W385=0),0,IF(BU$367&gt;$V385,0,SUM($Y361:BU361)/$W385))</f>
        <v>0</v>
      </c>
      <c r="BV385" s="1155">
        <f>IF(OR($V385=0,$W385=0),0,IF(BV$367&gt;$V385,0,SUM($Y361:BV361)/$W385))</f>
        <v>0</v>
      </c>
      <c r="BW385" s="1155">
        <f>IF(OR($V385=0,$W385=0),0,IF(BW$367&gt;$V385,0,SUM($Y361:BW361)/$W385))</f>
        <v>0</v>
      </c>
      <c r="BX385" s="1162">
        <f>IF(OR($V385=0,$W385=0),0,IF(BX$367&gt;$V385,0,SUM($Y361:BX361)/$W385))</f>
        <v>0</v>
      </c>
      <c r="BY385" s="1162">
        <f>IF(OR($V385=0,$W385=0),0,IF(BY$367&gt;$V385,0,SUM($Y361:BY361)/$W385))</f>
        <v>0</v>
      </c>
      <c r="BZ385" s="1162">
        <f>IF(OR($V385=0,$W385=0),0,IF(BZ$367&gt;$V385,0,SUM($Y361:BZ361)/$W385))</f>
        <v>0</v>
      </c>
      <c r="CA385" s="1162">
        <f>IF(OR($V385=0,$W385=0),0,IF(CA$367&gt;$V385,0,SUM($Y361:CA361)/$W385))</f>
        <v>0</v>
      </c>
      <c r="CB385" s="1162">
        <f>IF(OR($V385=0,$W385=0),0,IF(CB$367&gt;$V385,0,SUM($Y361:CB361)/$W385))</f>
        <v>0</v>
      </c>
      <c r="CC385" s="1162">
        <f>IF(OR($V385=0,$W385=0),0,IF(CC$367&gt;$V385,0,SUM($Y361:CC361)/$W385))</f>
        <v>0</v>
      </c>
      <c r="CD385" s="1162">
        <f>IF(OR($V385=0,$W385=0),0,IF(CD$367&gt;$V385,0,SUM($Y361:CD361)/$W385))</f>
        <v>0</v>
      </c>
      <c r="CE385" s="1162">
        <f>IF(OR($V385=0,$W385=0),0,IF(CE$367&gt;$V385,0,SUM($Y361:CE361)/$W385))</f>
        <v>0</v>
      </c>
      <c r="CF385" s="1162">
        <f>IF(OR($V385=0,$W385=0),0,IF(CF$367&gt;$V385,0,SUM($Y361:CF361)/$W385))</f>
        <v>0</v>
      </c>
      <c r="CG385" s="1162">
        <f>IF(OR($V385=0,$W385=0),0,IF(CG$367&gt;$V385,0,SUM($Y361:CG361)/$W385))</f>
        <v>0</v>
      </c>
      <c r="CH385" s="1162">
        <f>IF(OR($V385=0,$W385=0),0,IF(CH$367&gt;$V385,0,SUM($Y361:CH361)/$W385))</f>
        <v>0</v>
      </c>
      <c r="CI385" s="1162">
        <f>IF(OR($V385=0,$W385=0),0,IF(CI$367&gt;$V385,0,SUM($Y361:CI361)/$W385))</f>
        <v>0</v>
      </c>
      <c r="CJ385" s="1162">
        <f>IF(OR($V385=0,$W385=0),0,IF(CJ$367&gt;$V385,0,SUM($Y361:CJ361)/$W385))</f>
        <v>0</v>
      </c>
      <c r="CK385" s="1162">
        <f>IF(OR($V385=0,$W385=0),0,IF(CK$367&gt;$V385,0,SUM($Y361:CK361)/$W385))</f>
        <v>0</v>
      </c>
      <c r="CL385" s="1162">
        <f>IF(OR($V385=0,$W385=0),0,IF(CL$367&gt;$V385,0,SUM($Y361:CL361)/$W385))</f>
        <v>0</v>
      </c>
      <c r="CM385" s="1162">
        <f>IF(OR($V385=0,$W385=0),0,IF(CM$367&gt;$V385,0,SUM($Y361:CM361)/$W385))</f>
        <v>0</v>
      </c>
      <c r="CN385" s="1162">
        <f>IF(OR($V385=0,$W385=0),0,IF(CN$367&gt;$V385,0,SUM($Y361:CN361)/$W385))</f>
        <v>0</v>
      </c>
      <c r="CO385" s="1162">
        <f>IF(OR($V385=0,$W385=0),0,IF(CO$367&gt;$V385,0,SUM($Y361:CO361)/$W385))</f>
        <v>0</v>
      </c>
      <c r="CP385" s="1162">
        <f>IF(OR($V385=0,$W385=0),0,IF(CP$367&gt;$V385,0,SUM($Y361:CP361)/$W385))</f>
        <v>0</v>
      </c>
      <c r="CQ385" s="48">
        <f>IF(OR($V385=0,$W385=0),0,IF(CQ$367&gt;$V385,0,SUM($Y361:CQ361)/$W385))</f>
        <v>0</v>
      </c>
      <c r="CR385" s="48">
        <f>IF(OR($V385=0,$W385=0),0,IF(CR$367&gt;$V385,0,SUM($Y361:CR361)/$W385))</f>
        <v>0</v>
      </c>
      <c r="CS385" s="48">
        <f>IF(OR($V385=0,$W385=0),0,IF(CS$367&gt;$V385,0,SUM($Y361:CS361)/$W385))</f>
        <v>0</v>
      </c>
      <c r="CT385" s="48">
        <f>IF(OR($V385=0,$W385=0),0,IF(CT$367&gt;$V385,0,SUM($Y361:CT361)/$W385))</f>
        <v>0</v>
      </c>
      <c r="CU385" s="48">
        <f>IF(OR($V385=0,$W385=0),0,IF(CU$367&gt;$V385,0,SUM($Y361:CU361)/$W385))</f>
        <v>0</v>
      </c>
      <c r="CV385" s="48">
        <f>IF(OR($V385=0,$W385=0),0,IF(CV$367&gt;$V385,0,SUM($Y361:CV361)/$W385))</f>
        <v>0</v>
      </c>
      <c r="CW385" s="48">
        <f>IF(OR($V385=0,$W385=0),0,IF(CW$367&gt;$V385,0,SUM($Y361:CW361)/$W385))</f>
        <v>0</v>
      </c>
      <c r="CX385" s="48">
        <f>IF(OR($V385=0,$W385=0),0,IF(CX$367&gt;$V385,0,SUM($Y361:CX361)/$W385))</f>
        <v>0</v>
      </c>
      <c r="CY385" s="48">
        <f>IF(OR($V385=0,$W385=0),0,IF(CY$367&gt;$V385,0,SUM($Y361:CY361)/$W385))</f>
        <v>0</v>
      </c>
      <c r="CZ385" s="48">
        <f>IF(OR($V385=0,$W385=0),0,IF(CZ$367&gt;$V385,0,SUM($Y361:CZ361)/$W385))</f>
        <v>0</v>
      </c>
      <c r="DA385" s="48">
        <f>IF(OR($V385=0,$W385=0),0,IF(DA$367&gt;$V385,0,SUM($Y361:DA361)/$W385))</f>
        <v>0</v>
      </c>
      <c r="DB385" s="48">
        <f>IF(OR($V385=0,$W385=0),0,IF(DB$367&gt;$V385,0,SUM($Y361:DB361)/$W385))</f>
        <v>0</v>
      </c>
      <c r="DC385" s="48">
        <f>IF(OR($V385=0,$W385=0),0,IF(DC$367&gt;$V385,0,SUM($Y361:DC361)/$W385))</f>
        <v>0</v>
      </c>
      <c r="DD385" s="48">
        <f>IF(OR($V385=0,$W385=0),0,IF(DD$367&gt;$V385,0,SUM($Y361:DD361)/$W385))</f>
        <v>0</v>
      </c>
      <c r="DE385" s="48">
        <f>IF(OR($V385=0,$W385=0),0,IF(DE$367&gt;$V385,0,SUM($Y361:DE361)/$W385))</f>
        <v>0</v>
      </c>
      <c r="DF385" s="48">
        <f>IF(OR($V385=0,$W385=0),0,IF(DF$367&gt;$V385,0,SUM($Y361:DF361)/$W385))</f>
        <v>0</v>
      </c>
      <c r="DG385" s="48">
        <f>IF(OR($V385=0,$W385=0),0,IF(DG$367&gt;$V385,0,SUM($Y361:DG361)/$W385))</f>
        <v>0</v>
      </c>
      <c r="DH385" s="48">
        <f>IF(OR($V385=0,$W385=0),0,IF(DH$367&gt;$V385,0,SUM($Y361:DH361)/$W385))</f>
        <v>0</v>
      </c>
      <c r="DI385" s="48">
        <f>IF(OR($V385=0,$W385=0),0,IF(DI$367&gt;$V385,0,SUM($Y361:DI361)/$W385))</f>
        <v>0</v>
      </c>
      <c r="DJ385" s="48">
        <f>IF(OR($V385=0,$W385=0),0,IF(DJ$367&gt;$V385,0,SUM($Y361:DJ361)/$W385))</f>
        <v>0</v>
      </c>
      <c r="DK385" s="48">
        <f>IF(OR($V385=0,$W385=0),0,IF(DK$367&gt;$V385,0,SUM($Y361:DK361)/$W385))</f>
        <v>0</v>
      </c>
      <c r="DL385" s="48">
        <f>IF(OR($V385=0,$W385=0),0,IF(DL$367&gt;$V385,0,SUM($Y361:DL361)/$W385))</f>
        <v>0</v>
      </c>
      <c r="DM385" s="48">
        <f>IF(OR($V385=0,$W385=0),0,IF(DM$367&gt;$V385,0,SUM($Y361:DM361)/$W385))</f>
        <v>0</v>
      </c>
      <c r="DN385" s="48">
        <f>IF(OR($V385=0,$W385=0),0,IF(DN$367&gt;$V385,0,SUM($Y361:DN361)/$W385))</f>
        <v>0</v>
      </c>
      <c r="DO385" s="48">
        <f>IF(OR($V385=0,$W385=0),0,IF(DO$367&gt;$V385,0,SUM($Y361:DO361)/$W385))</f>
        <v>0</v>
      </c>
      <c r="DP385" s="48">
        <f>IF(OR($V385=0,$W385=0),0,IF(DP$367&gt;$V385,0,SUM($Y361:DP361)/$W385))</f>
        <v>0</v>
      </c>
      <c r="DQ385" s="48">
        <f>IF(OR($V385=0,$W385=0),0,IF(DQ$367&gt;$V385,0,SUM($Y361:DQ361)/$W385))</f>
        <v>0</v>
      </c>
      <c r="DR385" s="50">
        <f>IF(OR($V385=0,$W385=0),0,IF(DR$367&gt;$V385,0,SUM($Y361:DR361)/$W385))</f>
        <v>0</v>
      </c>
      <c r="DS385" s="50">
        <f>IF(OR($V385=0,$W385=0),0,IF(DS$367&gt;$V385,0,SUM($Y361:DS361)/$W385))</f>
        <v>0</v>
      </c>
      <c r="DT385" s="50">
        <f>IF(OR($V385=0,$W385=0),0,IF(DT$367&gt;$V385,0,SUM($Y361:DT361)/$W385))</f>
        <v>0</v>
      </c>
      <c r="DU385" s="50">
        <f>IF(OR($V385=0,$W385=0),0,IF(DU$367&gt;$V385,0,SUM($Y361:DU361)/$W385))</f>
        <v>0</v>
      </c>
      <c r="DV385" s="50">
        <f>IF(OR($V385=0,$W385=0),0,IF(DV$367&gt;$V385,0,SUM($Y361:DV361)/$W385))</f>
        <v>0</v>
      </c>
      <c r="DW385" s="50">
        <f>IF(OR($V385=0,$W385=0),0,IF(DW$367&gt;$V385,0,SUM($Y361:DW361)/$W385))</f>
        <v>0</v>
      </c>
      <c r="DX385" s="50">
        <f>IF(OR($V385=0,$W385=0),0,IF(DX$367&gt;$V385,0,SUM($Y361:DX361)/$W385))</f>
        <v>0</v>
      </c>
      <c r="DY385" s="50">
        <f>IF(OR($V385=0,$W385=0),0,IF(DY$367&gt;$V385,0,SUM($Y361:DY361)/$W385))</f>
        <v>0</v>
      </c>
      <c r="DZ385" s="50">
        <f>IF(OR($V385=0,$W385=0),0,IF(DZ$367&gt;$V385,0,SUM($Y361:DZ361)/$W385))</f>
        <v>0</v>
      </c>
      <c r="EA385" s="50">
        <f>IF(OR($V385=0,$W385=0),0,IF(EA$367&gt;$V385,0,SUM($Y361:EA361)/$W385))</f>
        <v>0</v>
      </c>
      <c r="EB385" s="50">
        <f>IF(OR($V385=0,$W385=0),0,IF(EB$367&gt;$V385,0,SUM($Y361:EB361)/$W385))</f>
        <v>0</v>
      </c>
      <c r="EC385" s="50">
        <f>IF(OR($V385=0,$W385=0),0,IF(EC$367&gt;$V385,0,SUM($Y361:EC361)/$W385))</f>
        <v>0</v>
      </c>
      <c r="ED385" s="50">
        <f>IF(OR($V385=0,$W385=0),0,IF(ED$367&gt;$V385,0,SUM($Y361:ED361)/$W385))</f>
        <v>0</v>
      </c>
      <c r="EE385" s="50">
        <f>IF(OR($V385=0,$W385=0),0,IF(EE$367&gt;$V385,0,SUM($Y361:EE361)/$W385))</f>
        <v>0</v>
      </c>
      <c r="EF385" s="50">
        <f>IF(OR($V385=0,$W385=0),0,IF(EF$367&gt;$V385,0,SUM($Y361:EF361)/$W385))</f>
        <v>0</v>
      </c>
      <c r="EG385" s="50">
        <f>IF(OR($V385=0,$W385=0),0,IF(EG$367&gt;$V385,0,SUM($Y361:EG361)/$W385))</f>
        <v>0</v>
      </c>
      <c r="EH385" s="50">
        <f>IF(OR($V385=0,$W385=0),0,IF(EH$367&gt;$V385,0,SUM($Y361:EH361)/$W385))</f>
        <v>0</v>
      </c>
      <c r="EI385" s="50">
        <f>IF(OR($V385=0,$W385=0),0,IF(EI$367&gt;$V385,0,SUM($Y361:EI361)/$W385))</f>
        <v>0</v>
      </c>
      <c r="EJ385" s="50">
        <f>IF(OR($V385=0,$W385=0),0,IF(EJ$367&gt;$V385,0,SUM($Y361:EJ361)/$W385))</f>
        <v>0</v>
      </c>
      <c r="EK385" s="50">
        <f>IF(OR($V385=0,$W385=0),0,IF(EK$367&gt;$V385,0,SUM($Y361:EK361)/$W385))</f>
        <v>0</v>
      </c>
      <c r="EL385" s="50">
        <f>IF(OR($V385=0,$W385=0),0,IF(EL$367&gt;$V385,0,SUM($Y361:EL361)/$W385))</f>
        <v>0</v>
      </c>
      <c r="EM385" s="50">
        <f>IF(OR($V385=0,$W385=0),0,IF(EM$367&gt;$V385,0,SUM($Y361:EM361)/$W385))</f>
        <v>0</v>
      </c>
      <c r="EN385" s="50">
        <f>IF(OR($V385=0,$W385=0),0,IF(EN$367&gt;$V385,0,SUM($Y361:EN361)/$W385))</f>
        <v>0</v>
      </c>
      <c r="EO385" s="39">
        <v>51</v>
      </c>
      <c r="EP385" s="39">
        <v>51</v>
      </c>
      <c r="EQ385" s="39">
        <v>51</v>
      </c>
      <c r="ER385" s="39">
        <v>51</v>
      </c>
      <c r="ES385" s="39">
        <v>51</v>
      </c>
      <c r="ET385" s="39">
        <v>51</v>
      </c>
      <c r="EU385" s="39">
        <v>51</v>
      </c>
      <c r="EV385" s="39">
        <v>51</v>
      </c>
      <c r="EW385" s="39">
        <v>51</v>
      </c>
      <c r="EX385" s="39">
        <v>51</v>
      </c>
    </row>
    <row r="386" spans="11:154" ht="12" customHeight="1" x14ac:dyDescent="0.35">
      <c r="K386" s="1667"/>
      <c r="L386" s="1667"/>
      <c r="M386" s="1667"/>
      <c r="N386" s="1667"/>
      <c r="O386" s="1667"/>
      <c r="P386" s="1667"/>
      <c r="Q386" s="1667"/>
      <c r="R386" s="1667"/>
      <c r="S386" s="1667"/>
      <c r="T386" s="1667"/>
      <c r="U386" s="59"/>
      <c r="V386" s="1636">
        <f t="shared" si="192"/>
        <v>0</v>
      </c>
      <c r="W386" s="102">
        <f t="shared" si="193"/>
        <v>0</v>
      </c>
      <c r="X386" s="381">
        <f t="shared" si="194"/>
        <v>19</v>
      </c>
      <c r="Y386" s="1645">
        <f>IF(OR($V386=0,$W386=0),0,IF(Y$367&gt;$V386,0,SUM($Y362:Y362)/$W386))</f>
        <v>0</v>
      </c>
      <c r="Z386" s="1646">
        <f>IF(OR($V386=0,$W386=0),0,IF(Z$367&gt;$V386,0,SUM($Y362:Z362)/$W386))</f>
        <v>0</v>
      </c>
      <c r="AA386" s="1646">
        <f>IF(OR($V386=0,$W386=0),0,IF(AA$367&gt;$V386,0,SUM($Y362:AA362)/$W386))</f>
        <v>0</v>
      </c>
      <c r="AB386" s="1646">
        <f>IF(OR($V386=0,$W386=0),0,IF(AB$367&gt;$V386,0,SUM($Y362:AB362)/$W386))</f>
        <v>0</v>
      </c>
      <c r="AC386" s="1646">
        <f>IF(OR($V386=0,$W386=0),0,IF(AC$367&gt;$V386,0,SUM($Y362:AC362)/$W386))</f>
        <v>0</v>
      </c>
      <c r="AD386" s="1646">
        <f>IF(OR($V386=0,$W386=0),0,IF(AD$367&gt;$V386,0,SUM($Y362:AD362)/$W386))</f>
        <v>0</v>
      </c>
      <c r="AE386" s="1646">
        <f>IF(OR($V386=0,$W386=0),0,IF(AE$367&gt;$V386,0,SUM($Y362:AE362)/$W386))</f>
        <v>0</v>
      </c>
      <c r="AF386" s="1155">
        <f>IF(OR($V386=0,$W386=0),0,IF(AF$367&gt;$V386,0,SUM($Y362:AF362)/$W386))</f>
        <v>0</v>
      </c>
      <c r="AG386" s="1155">
        <f>IF(OR($V386=0,$W386=0),0,IF(AG$367&gt;$V386,0,SUM($Y362:AG362)/$W386))</f>
        <v>0</v>
      </c>
      <c r="AH386" s="1155">
        <f>IF(OR($V386=0,$W386=0),0,IF(AH$367&gt;$V386,0,SUM($Y362:AH362)/$W386))</f>
        <v>0</v>
      </c>
      <c r="AI386" s="1155">
        <f>IF(OR($V386=0,$W386=0),0,IF(AI$367&gt;$V386,0,SUM($Y362:AI362)/$W386))</f>
        <v>0</v>
      </c>
      <c r="AJ386" s="1155">
        <f>IF(OR($V386=0,$W386=0),0,IF(AJ$367&gt;$V386,0,SUM($Y362:AJ362)/$W386))</f>
        <v>0</v>
      </c>
      <c r="AK386" s="1155">
        <f>IF(OR($V386=0,$W386=0),0,IF(AK$367&gt;$V386,0,SUM($Y362:AK362)/$W386))</f>
        <v>0</v>
      </c>
      <c r="AL386" s="1155">
        <f>IF(OR($V386=0,$W386=0),0,IF(AL$367&gt;$V386,0,SUM($Y362:AL362)/$W386))</f>
        <v>0</v>
      </c>
      <c r="AM386" s="1155">
        <f>IF(OR($V386=0,$W386=0),0,IF(AM$367&gt;$V386,0,SUM($Y362:AM362)/$W386))</f>
        <v>0</v>
      </c>
      <c r="AN386" s="1155">
        <f>IF(OR($V386=0,$W386=0),0,IF(AN$367&gt;$V386,0,SUM($Y362:AN362)/$W386))</f>
        <v>0</v>
      </c>
      <c r="AO386" s="1155">
        <f>IF(OR($V386=0,$W386=0),0,IF(AO$367&gt;$V386,0,SUM($Y362:AO362)/$W386))</f>
        <v>0</v>
      </c>
      <c r="AP386" s="1155">
        <f>IF(OR($V386=0,$W386=0),0,IF(AP$367&gt;$V386,0,SUM($Y362:AP362)/$W386))</f>
        <v>0</v>
      </c>
      <c r="AQ386" s="1155">
        <f>IF(OR($V386=0,$W386=0),0,IF(AQ$367&gt;$V386,0,SUM($Y362:AQ362)/$W386))</f>
        <v>0</v>
      </c>
      <c r="AR386" s="1155">
        <f>IF(OR($V386=0,$W386=0),0,IF(AR$367&gt;$V386,0,SUM($Y362:AR362)/$W386))</f>
        <v>0</v>
      </c>
      <c r="AS386" s="1155">
        <f>IF(OR($V386=0,$W386=0),0,IF(AS$367&gt;$V386,0,SUM($Y362:AS362)/$W386))</f>
        <v>0</v>
      </c>
      <c r="AT386" s="1155">
        <f>IF(OR($V386=0,$W386=0),0,IF(AT$367&gt;$V386,0,SUM($Y362:AT362)/$W386))</f>
        <v>0</v>
      </c>
      <c r="AU386" s="1155">
        <f>IF(OR($V386=0,$W386=0),0,IF(AU$367&gt;$V386,0,SUM($Y362:AU362)/$W386))</f>
        <v>0</v>
      </c>
      <c r="AV386" s="1155">
        <f>IF(OR($V386=0,$W386=0),0,IF(AV$367&gt;$V386,0,SUM($Y362:AV362)/$W386))</f>
        <v>0</v>
      </c>
      <c r="AW386" s="1155">
        <f>IF(OR($V386=0,$W386=0),0,IF(AW$367&gt;$V386,0,SUM($Y362:AW362)/$W386))</f>
        <v>0</v>
      </c>
      <c r="AX386" s="1155">
        <f>IF(OR($V386=0,$W386=0),0,IF(AX$367&gt;$V386,0,SUM($Y362:AX362)/$W386))</f>
        <v>0</v>
      </c>
      <c r="AY386" s="1155">
        <f>IF(OR($V386=0,$W386=0),0,IF(AY$367&gt;$V386,0,SUM($Y362:AY362)/$W386))</f>
        <v>0</v>
      </c>
      <c r="AZ386" s="1155">
        <f>IF(OR($V386=0,$W386=0),0,IF(AZ$367&gt;$V386,0,SUM($Y362:AZ362)/$W386))</f>
        <v>0</v>
      </c>
      <c r="BA386" s="1155">
        <f>IF(OR($V386=0,$W386=0),0,IF(BA$367&gt;$V386,0,SUM($Y362:BA362)/$W386))</f>
        <v>0</v>
      </c>
      <c r="BB386" s="1155">
        <f>IF(OR($V386=0,$W386=0),0,IF(BB$367&gt;$V386,0,SUM($Y362:BB362)/$W386))</f>
        <v>0</v>
      </c>
      <c r="BC386" s="1155">
        <f>IF(OR($V386=0,$W386=0),0,IF(BC$367&gt;$V386,0,SUM($Y362:BC362)/$W386))</f>
        <v>0</v>
      </c>
      <c r="BD386" s="1155">
        <f>IF(OR($V386=0,$W386=0),0,IF(BD$367&gt;$V386,0,SUM($Y362:BD362)/$W386))</f>
        <v>0</v>
      </c>
      <c r="BE386" s="1155">
        <f>IF(OR($V386=0,$W386=0),0,IF(BE$367&gt;$V386,0,SUM($Y362:BE362)/$W386))</f>
        <v>0</v>
      </c>
      <c r="BF386" s="1155">
        <f>IF(OR($V386=0,$W386=0),0,IF(BF$367&gt;$V386,0,SUM($Y362:BF362)/$W386))</f>
        <v>0</v>
      </c>
      <c r="BG386" s="1155">
        <f>IF(OR($V386=0,$W386=0),0,IF(BG$367&gt;$V386,0,SUM($Y362:BG362)/$W386))</f>
        <v>0</v>
      </c>
      <c r="BH386" s="1155">
        <f>IF(OR($V386=0,$W386=0),0,IF(BH$367&gt;$V386,0,SUM($Y362:BH362)/$W386))</f>
        <v>0</v>
      </c>
      <c r="BI386" s="1155">
        <f>IF(OR($V386=0,$W386=0),0,IF(BI$367&gt;$V386,0,SUM($Y362:BI362)/$W386))</f>
        <v>0</v>
      </c>
      <c r="BJ386" s="1155">
        <f>IF(OR($V386=0,$W386=0),0,IF(BJ$367&gt;$V386,0,SUM($Y362:BJ362)/$W386))</f>
        <v>0</v>
      </c>
      <c r="BK386" s="1155">
        <f>IF(OR($V386=0,$W386=0),0,IF(BK$367&gt;$V386,0,SUM($Y362:BK362)/$W386))</f>
        <v>0</v>
      </c>
      <c r="BL386" s="1155">
        <f>IF(OR($V386=0,$W386=0),0,IF(BL$367&gt;$V386,0,SUM($Y362:BL362)/$W386))</f>
        <v>0</v>
      </c>
      <c r="BM386" s="1155">
        <f>IF(OR($V386=0,$W386=0),0,IF(BM$367&gt;$V386,0,SUM($Y362:BM362)/$W386))</f>
        <v>0</v>
      </c>
      <c r="BN386" s="1155">
        <f>IF(OR($V386=0,$W386=0),0,IF(BN$367&gt;$V386,0,SUM($Y362:BN362)/$W386))</f>
        <v>0</v>
      </c>
      <c r="BO386" s="1155">
        <f>IF(OR($V386=0,$W386=0),0,IF(BO$367&gt;$V386,0,SUM($Y362:BO362)/$W386))</f>
        <v>0</v>
      </c>
      <c r="BP386" s="1155">
        <f>IF(OR($V386=0,$W386=0),0,IF(BP$367&gt;$V386,0,SUM($Y362:BP362)/$W386))</f>
        <v>0</v>
      </c>
      <c r="BQ386" s="1155">
        <f>IF(OR($V386=0,$W386=0),0,IF(BQ$367&gt;$V386,0,SUM($Y362:BQ362)/$W386))</f>
        <v>0</v>
      </c>
      <c r="BR386" s="1155">
        <f>IF(OR($V386=0,$W386=0),0,IF(BR$367&gt;$V386,0,SUM($Y362:BR362)/$W386))</f>
        <v>0</v>
      </c>
      <c r="BS386" s="1155">
        <f>IF(OR($V386=0,$W386=0),0,IF(BS$367&gt;$V386,0,SUM($Y362:BS362)/$W386))</f>
        <v>0</v>
      </c>
      <c r="BT386" s="1155">
        <f>IF(OR($V386=0,$W386=0),0,IF(BT$367&gt;$V386,0,SUM($Y362:BT362)/$W386))</f>
        <v>0</v>
      </c>
      <c r="BU386" s="1155">
        <f>IF(OR($V386=0,$W386=0),0,IF(BU$367&gt;$V386,0,SUM($Y362:BU362)/$W386))</f>
        <v>0</v>
      </c>
      <c r="BV386" s="1155">
        <f>IF(OR($V386=0,$W386=0),0,IF(BV$367&gt;$V386,0,SUM($Y362:BV362)/$W386))</f>
        <v>0</v>
      </c>
      <c r="BW386" s="1155">
        <f>IF(OR($V386=0,$W386=0),0,IF(BW$367&gt;$V386,0,SUM($Y362:BW362)/$W386))</f>
        <v>0</v>
      </c>
      <c r="BX386" s="1162">
        <f>IF(OR($V386=0,$W386=0),0,IF(BX$367&gt;$V386,0,SUM($Y362:BX362)/$W386))</f>
        <v>0</v>
      </c>
      <c r="BY386" s="1162">
        <f>IF(OR($V386=0,$W386=0),0,IF(BY$367&gt;$V386,0,SUM($Y362:BY362)/$W386))</f>
        <v>0</v>
      </c>
      <c r="BZ386" s="1162">
        <f>IF(OR($V386=0,$W386=0),0,IF(BZ$367&gt;$V386,0,SUM($Y362:BZ362)/$W386))</f>
        <v>0</v>
      </c>
      <c r="CA386" s="1162">
        <f>IF(OR($V386=0,$W386=0),0,IF(CA$367&gt;$V386,0,SUM($Y362:CA362)/$W386))</f>
        <v>0</v>
      </c>
      <c r="CB386" s="1162">
        <f>IF(OR($V386=0,$W386=0),0,IF(CB$367&gt;$V386,0,SUM($Y362:CB362)/$W386))</f>
        <v>0</v>
      </c>
      <c r="CC386" s="1162">
        <f>IF(OR($V386=0,$W386=0),0,IF(CC$367&gt;$V386,0,SUM($Y362:CC362)/$W386))</f>
        <v>0</v>
      </c>
      <c r="CD386" s="1162">
        <f>IF(OR($V386=0,$W386=0),0,IF(CD$367&gt;$V386,0,SUM($Y362:CD362)/$W386))</f>
        <v>0</v>
      </c>
      <c r="CE386" s="1162">
        <f>IF(OR($V386=0,$W386=0),0,IF(CE$367&gt;$V386,0,SUM($Y362:CE362)/$W386))</f>
        <v>0</v>
      </c>
      <c r="CF386" s="1162">
        <f>IF(OR($V386=0,$W386=0),0,IF(CF$367&gt;$V386,0,SUM($Y362:CF362)/$W386))</f>
        <v>0</v>
      </c>
      <c r="CG386" s="1162">
        <f>IF(OR($V386=0,$W386=0),0,IF(CG$367&gt;$V386,0,SUM($Y362:CG362)/$W386))</f>
        <v>0</v>
      </c>
      <c r="CH386" s="1162">
        <f>IF(OR($V386=0,$W386=0),0,IF(CH$367&gt;$V386,0,SUM($Y362:CH362)/$W386))</f>
        <v>0</v>
      </c>
      <c r="CI386" s="1162">
        <f>IF(OR($V386=0,$W386=0),0,IF(CI$367&gt;$V386,0,SUM($Y362:CI362)/$W386))</f>
        <v>0</v>
      </c>
      <c r="CJ386" s="1162">
        <f>IF(OR($V386=0,$W386=0),0,IF(CJ$367&gt;$V386,0,SUM($Y362:CJ362)/$W386))</f>
        <v>0</v>
      </c>
      <c r="CK386" s="1162">
        <f>IF(OR($V386=0,$W386=0),0,IF(CK$367&gt;$V386,0,SUM($Y362:CK362)/$W386))</f>
        <v>0</v>
      </c>
      <c r="CL386" s="1162">
        <f>IF(OR($V386=0,$W386=0),0,IF(CL$367&gt;$V386,0,SUM($Y362:CL362)/$W386))</f>
        <v>0</v>
      </c>
      <c r="CM386" s="1162">
        <f>IF(OR($V386=0,$W386=0),0,IF(CM$367&gt;$V386,0,SUM($Y362:CM362)/$W386))</f>
        <v>0</v>
      </c>
      <c r="CN386" s="1162">
        <f>IF(OR($V386=0,$W386=0),0,IF(CN$367&gt;$V386,0,SUM($Y362:CN362)/$W386))</f>
        <v>0</v>
      </c>
      <c r="CO386" s="1162">
        <f>IF(OR($V386=0,$W386=0),0,IF(CO$367&gt;$V386,0,SUM($Y362:CO362)/$W386))</f>
        <v>0</v>
      </c>
      <c r="CP386" s="1162">
        <f>IF(OR($V386=0,$W386=0),0,IF(CP$367&gt;$V386,0,SUM($Y362:CP362)/$W386))</f>
        <v>0</v>
      </c>
      <c r="CQ386" s="48">
        <f>IF(OR($V386=0,$W386=0),0,IF(CQ$367&gt;$V386,0,SUM($Y362:CQ362)/$W386))</f>
        <v>0</v>
      </c>
      <c r="CR386" s="48">
        <f>IF(OR($V386=0,$W386=0),0,IF(CR$367&gt;$V386,0,SUM($Y362:CR362)/$W386))</f>
        <v>0</v>
      </c>
      <c r="CS386" s="48">
        <f>IF(OR($V386=0,$W386=0),0,IF(CS$367&gt;$V386,0,SUM($Y362:CS362)/$W386))</f>
        <v>0</v>
      </c>
      <c r="CT386" s="48">
        <f>IF(OR($V386=0,$W386=0),0,IF(CT$367&gt;$V386,0,SUM($Y362:CT362)/$W386))</f>
        <v>0</v>
      </c>
      <c r="CU386" s="48">
        <f>IF(OR($V386=0,$W386=0),0,IF(CU$367&gt;$V386,0,SUM($Y362:CU362)/$W386))</f>
        <v>0</v>
      </c>
      <c r="CV386" s="48">
        <f>IF(OR($V386=0,$W386=0),0,IF(CV$367&gt;$V386,0,SUM($Y362:CV362)/$W386))</f>
        <v>0</v>
      </c>
      <c r="CW386" s="48">
        <f>IF(OR($V386=0,$W386=0),0,IF(CW$367&gt;$V386,0,SUM($Y362:CW362)/$W386))</f>
        <v>0</v>
      </c>
      <c r="CX386" s="48">
        <f>IF(OR($V386=0,$W386=0),0,IF(CX$367&gt;$V386,0,SUM($Y362:CX362)/$W386))</f>
        <v>0</v>
      </c>
      <c r="CY386" s="48">
        <f>IF(OR($V386=0,$W386=0),0,IF(CY$367&gt;$V386,0,SUM($Y362:CY362)/$W386))</f>
        <v>0</v>
      </c>
      <c r="CZ386" s="48">
        <f>IF(OR($V386=0,$W386=0),0,IF(CZ$367&gt;$V386,0,SUM($Y362:CZ362)/$W386))</f>
        <v>0</v>
      </c>
      <c r="DA386" s="48">
        <f>IF(OR($V386=0,$W386=0),0,IF(DA$367&gt;$V386,0,SUM($Y362:DA362)/$W386))</f>
        <v>0</v>
      </c>
      <c r="DB386" s="48">
        <f>IF(OR($V386=0,$W386=0),0,IF(DB$367&gt;$V386,0,SUM($Y362:DB362)/$W386))</f>
        <v>0</v>
      </c>
      <c r="DC386" s="48">
        <f>IF(OR($V386=0,$W386=0),0,IF(DC$367&gt;$V386,0,SUM($Y362:DC362)/$W386))</f>
        <v>0</v>
      </c>
      <c r="DD386" s="48">
        <f>IF(OR($V386=0,$W386=0),0,IF(DD$367&gt;$V386,0,SUM($Y362:DD362)/$W386))</f>
        <v>0</v>
      </c>
      <c r="DE386" s="48">
        <f>IF(OR($V386=0,$W386=0),0,IF(DE$367&gt;$V386,0,SUM($Y362:DE362)/$W386))</f>
        <v>0</v>
      </c>
      <c r="DF386" s="48">
        <f>IF(OR($V386=0,$W386=0),0,IF(DF$367&gt;$V386,0,SUM($Y362:DF362)/$W386))</f>
        <v>0</v>
      </c>
      <c r="DG386" s="48">
        <f>IF(OR($V386=0,$W386=0),0,IF(DG$367&gt;$V386,0,SUM($Y362:DG362)/$W386))</f>
        <v>0</v>
      </c>
      <c r="DH386" s="48">
        <f>IF(OR($V386=0,$W386=0),0,IF(DH$367&gt;$V386,0,SUM($Y362:DH362)/$W386))</f>
        <v>0</v>
      </c>
      <c r="DI386" s="48">
        <f>IF(OR($V386=0,$W386=0),0,IF(DI$367&gt;$V386,0,SUM($Y362:DI362)/$W386))</f>
        <v>0</v>
      </c>
      <c r="DJ386" s="48">
        <f>IF(OR($V386=0,$W386=0),0,IF(DJ$367&gt;$V386,0,SUM($Y362:DJ362)/$W386))</f>
        <v>0</v>
      </c>
      <c r="DK386" s="48">
        <f>IF(OR($V386=0,$W386=0),0,IF(DK$367&gt;$V386,0,SUM($Y362:DK362)/$W386))</f>
        <v>0</v>
      </c>
      <c r="DL386" s="48">
        <f>IF(OR($V386=0,$W386=0),0,IF(DL$367&gt;$V386,0,SUM($Y362:DL362)/$W386))</f>
        <v>0</v>
      </c>
      <c r="DM386" s="48">
        <f>IF(OR($V386=0,$W386=0),0,IF(DM$367&gt;$V386,0,SUM($Y362:DM362)/$W386))</f>
        <v>0</v>
      </c>
      <c r="DN386" s="48">
        <f>IF(OR($V386=0,$W386=0),0,IF(DN$367&gt;$V386,0,SUM($Y362:DN362)/$W386))</f>
        <v>0</v>
      </c>
      <c r="DO386" s="48">
        <f>IF(OR($V386=0,$W386=0),0,IF(DO$367&gt;$V386,0,SUM($Y362:DO362)/$W386))</f>
        <v>0</v>
      </c>
      <c r="DP386" s="48">
        <f>IF(OR($V386=0,$W386=0),0,IF(DP$367&gt;$V386,0,SUM($Y362:DP362)/$W386))</f>
        <v>0</v>
      </c>
      <c r="DQ386" s="48">
        <f>IF(OR($V386=0,$W386=0),0,IF(DQ$367&gt;$V386,0,SUM($Y362:DQ362)/$W386))</f>
        <v>0</v>
      </c>
      <c r="DR386" s="50">
        <f>IF(OR($V386=0,$W386=0),0,IF(DR$367&gt;$V386,0,SUM($Y362:DR362)/$W386))</f>
        <v>0</v>
      </c>
      <c r="DS386" s="50">
        <f>IF(OR($V386=0,$W386=0),0,IF(DS$367&gt;$V386,0,SUM($Y362:DS362)/$W386))</f>
        <v>0</v>
      </c>
      <c r="DT386" s="50">
        <f>IF(OR($V386=0,$W386=0),0,IF(DT$367&gt;$V386,0,SUM($Y362:DT362)/$W386))</f>
        <v>0</v>
      </c>
      <c r="DU386" s="50">
        <f>IF(OR($V386=0,$W386=0),0,IF(DU$367&gt;$V386,0,SUM($Y362:DU362)/$W386))</f>
        <v>0</v>
      </c>
      <c r="DV386" s="50">
        <f>IF(OR($V386=0,$W386=0),0,IF(DV$367&gt;$V386,0,SUM($Y362:DV362)/$W386))</f>
        <v>0</v>
      </c>
      <c r="DW386" s="50">
        <f>IF(OR($V386=0,$W386=0),0,IF(DW$367&gt;$V386,0,SUM($Y362:DW362)/$W386))</f>
        <v>0</v>
      </c>
      <c r="DX386" s="50">
        <f>IF(OR($V386=0,$W386=0),0,IF(DX$367&gt;$V386,0,SUM($Y362:DX362)/$W386))</f>
        <v>0</v>
      </c>
      <c r="DY386" s="50">
        <f>IF(OR($V386=0,$W386=0),0,IF(DY$367&gt;$V386,0,SUM($Y362:DY362)/$W386))</f>
        <v>0</v>
      </c>
      <c r="DZ386" s="50">
        <f>IF(OR($V386=0,$W386=0),0,IF(DZ$367&gt;$V386,0,SUM($Y362:DZ362)/$W386))</f>
        <v>0</v>
      </c>
      <c r="EA386" s="50">
        <f>IF(OR($V386=0,$W386=0),0,IF(EA$367&gt;$V386,0,SUM($Y362:EA362)/$W386))</f>
        <v>0</v>
      </c>
      <c r="EB386" s="50">
        <f>IF(OR($V386=0,$W386=0),0,IF(EB$367&gt;$V386,0,SUM($Y362:EB362)/$W386))</f>
        <v>0</v>
      </c>
      <c r="EC386" s="50">
        <f>IF(OR($V386=0,$W386=0),0,IF(EC$367&gt;$V386,0,SUM($Y362:EC362)/$W386))</f>
        <v>0</v>
      </c>
      <c r="ED386" s="50">
        <f>IF(OR($V386=0,$W386=0),0,IF(ED$367&gt;$V386,0,SUM($Y362:ED362)/$W386))</f>
        <v>0</v>
      </c>
      <c r="EE386" s="50">
        <f>IF(OR($V386=0,$W386=0),0,IF(EE$367&gt;$V386,0,SUM($Y362:EE362)/$W386))</f>
        <v>0</v>
      </c>
      <c r="EF386" s="50">
        <f>IF(OR($V386=0,$W386=0),0,IF(EF$367&gt;$V386,0,SUM($Y362:EF362)/$W386))</f>
        <v>0</v>
      </c>
      <c r="EG386" s="50">
        <f>IF(OR($V386=0,$W386=0),0,IF(EG$367&gt;$V386,0,SUM($Y362:EG362)/$W386))</f>
        <v>0</v>
      </c>
      <c r="EH386" s="50">
        <f>IF(OR($V386=0,$W386=0),0,IF(EH$367&gt;$V386,0,SUM($Y362:EH362)/$W386))</f>
        <v>0</v>
      </c>
      <c r="EI386" s="50">
        <f>IF(OR($V386=0,$W386=0),0,IF(EI$367&gt;$V386,0,SUM($Y362:EI362)/$W386))</f>
        <v>0</v>
      </c>
      <c r="EJ386" s="50">
        <f>IF(OR($V386=0,$W386=0),0,IF(EJ$367&gt;$V386,0,SUM($Y362:EJ362)/$W386))</f>
        <v>0</v>
      </c>
      <c r="EK386" s="50">
        <f>IF(OR($V386=0,$W386=0),0,IF(EK$367&gt;$V386,0,SUM($Y362:EK362)/$W386))</f>
        <v>0</v>
      </c>
      <c r="EL386" s="50">
        <f>IF(OR($V386=0,$W386=0),0,IF(EL$367&gt;$V386,0,SUM($Y362:EL362)/$W386))</f>
        <v>0</v>
      </c>
      <c r="EM386" s="50">
        <f>IF(OR($V386=0,$W386=0),0,IF(EM$367&gt;$V386,0,SUM($Y362:EM362)/$W386))</f>
        <v>0</v>
      </c>
      <c r="EN386" s="50">
        <f>IF(OR($V386=0,$W386=0),0,IF(EN$367&gt;$V386,0,SUM($Y362:EN362)/$W386))</f>
        <v>0</v>
      </c>
      <c r="EO386" s="39">
        <v>51</v>
      </c>
      <c r="EP386" s="39">
        <v>51</v>
      </c>
      <c r="EQ386" s="39">
        <v>51</v>
      </c>
      <c r="ER386" s="39">
        <v>51</v>
      </c>
      <c r="ES386" s="39">
        <v>51</v>
      </c>
      <c r="ET386" s="39">
        <v>51</v>
      </c>
      <c r="EU386" s="39">
        <v>51</v>
      </c>
      <c r="EV386" s="39">
        <v>51</v>
      </c>
      <c r="EW386" s="39">
        <v>51</v>
      </c>
      <c r="EX386" s="39">
        <v>51</v>
      </c>
    </row>
    <row r="387" spans="11:154" ht="12" customHeight="1" x14ac:dyDescent="0.35">
      <c r="K387" s="1667"/>
      <c r="L387" s="1667"/>
      <c r="M387" s="1667"/>
      <c r="N387" s="1667"/>
      <c r="O387" s="1667"/>
      <c r="P387" s="1667"/>
      <c r="Q387" s="1667"/>
      <c r="R387" s="1667"/>
      <c r="S387" s="1667"/>
      <c r="T387" s="1667"/>
      <c r="U387" s="59"/>
      <c r="V387" s="1636">
        <f t="shared" si="192"/>
        <v>0</v>
      </c>
      <c r="W387" s="102">
        <f t="shared" si="193"/>
        <v>0</v>
      </c>
      <c r="X387" s="381">
        <f t="shared" si="194"/>
        <v>20</v>
      </c>
      <c r="Y387" s="1645">
        <f>IF(OR($V387=0,$W387=0),0,IF(Y$367&gt;$V387,0,SUM($Y363:Y363)/$W387))</f>
        <v>0</v>
      </c>
      <c r="Z387" s="1646">
        <f>IF(OR($V387=0,$W387=0),0,IF(Z$367&gt;$V387,0,SUM($Y363:Z363)/$W387))</f>
        <v>0</v>
      </c>
      <c r="AA387" s="1646">
        <f>IF(OR($V387=0,$W387=0),0,IF(AA$367&gt;$V387,0,SUM($Y363:AA363)/$W387))</f>
        <v>0</v>
      </c>
      <c r="AB387" s="1646">
        <f>IF(OR($V387=0,$W387=0),0,IF(AB$367&gt;$V387,0,SUM($Y363:AB363)/$W387))</f>
        <v>0</v>
      </c>
      <c r="AC387" s="1646">
        <f>IF(OR($V387=0,$W387=0),0,IF(AC$367&gt;$V387,0,SUM($Y363:AC363)/$W387))</f>
        <v>0</v>
      </c>
      <c r="AD387" s="1646">
        <f>IF(OR($V387=0,$W387=0),0,IF(AD$367&gt;$V387,0,SUM($Y363:AD363)/$W387))</f>
        <v>0</v>
      </c>
      <c r="AE387" s="1646">
        <f>IF(OR($V387=0,$W387=0),0,IF(AE$367&gt;$V387,0,SUM($Y363:AE363)/$W387))</f>
        <v>0</v>
      </c>
      <c r="AF387" s="1155">
        <f>IF(OR($V387=0,$W387=0),0,IF(AF$367&gt;$V387,0,SUM($Y363:AF363)/$W387))</f>
        <v>0</v>
      </c>
      <c r="AG387" s="1155">
        <f>IF(OR($V387=0,$W387=0),0,IF(AG$367&gt;$V387,0,SUM($Y363:AG363)/$W387))</f>
        <v>0</v>
      </c>
      <c r="AH387" s="1155">
        <f>IF(OR($V387=0,$W387=0),0,IF(AH$367&gt;$V387,0,SUM($Y363:AH363)/$W387))</f>
        <v>0</v>
      </c>
      <c r="AI387" s="1155">
        <f>IF(OR($V387=0,$W387=0),0,IF(AI$367&gt;$V387,0,SUM($Y363:AI363)/$W387))</f>
        <v>0</v>
      </c>
      <c r="AJ387" s="1155">
        <f>IF(OR($V387=0,$W387=0),0,IF(AJ$367&gt;$V387,0,SUM($Y363:AJ363)/$W387))</f>
        <v>0</v>
      </c>
      <c r="AK387" s="1155">
        <f>IF(OR($V387=0,$W387=0),0,IF(AK$367&gt;$V387,0,SUM($Y363:AK363)/$W387))</f>
        <v>0</v>
      </c>
      <c r="AL387" s="1155">
        <f>IF(OR($V387=0,$W387=0),0,IF(AL$367&gt;$V387,0,SUM($Y363:AL363)/$W387))</f>
        <v>0</v>
      </c>
      <c r="AM387" s="1155">
        <f>IF(OR($V387=0,$W387=0),0,IF(AM$367&gt;$V387,0,SUM($Y363:AM363)/$W387))</f>
        <v>0</v>
      </c>
      <c r="AN387" s="1155">
        <f>IF(OR($V387=0,$W387=0),0,IF(AN$367&gt;$V387,0,SUM($Y363:AN363)/$W387))</f>
        <v>0</v>
      </c>
      <c r="AO387" s="1155">
        <f>IF(OR($V387=0,$W387=0),0,IF(AO$367&gt;$V387,0,SUM($Y363:AO363)/$W387))</f>
        <v>0</v>
      </c>
      <c r="AP387" s="1155">
        <f>IF(OR($V387=0,$W387=0),0,IF(AP$367&gt;$V387,0,SUM($Y363:AP363)/$W387))</f>
        <v>0</v>
      </c>
      <c r="AQ387" s="1155">
        <f>IF(OR($V387=0,$W387=0),0,IF(AQ$367&gt;$V387,0,SUM($Y363:AQ363)/$W387))</f>
        <v>0</v>
      </c>
      <c r="AR387" s="1155">
        <f>IF(OR($V387=0,$W387=0),0,IF(AR$367&gt;$V387,0,SUM($Y363:AR363)/$W387))</f>
        <v>0</v>
      </c>
      <c r="AS387" s="1155">
        <f>IF(OR($V387=0,$W387=0),0,IF(AS$367&gt;$V387,0,SUM($Y363:AS363)/$W387))</f>
        <v>0</v>
      </c>
      <c r="AT387" s="1155">
        <f>IF(OR($V387=0,$W387=0),0,IF(AT$367&gt;$V387,0,SUM($Y363:AT363)/$W387))</f>
        <v>0</v>
      </c>
      <c r="AU387" s="1155">
        <f>IF(OR($V387=0,$W387=0),0,IF(AU$367&gt;$V387,0,SUM($Y363:AU363)/$W387))</f>
        <v>0</v>
      </c>
      <c r="AV387" s="1155">
        <f>IF(OR($V387=0,$W387=0),0,IF(AV$367&gt;$V387,0,SUM($Y363:AV363)/$W387))</f>
        <v>0</v>
      </c>
      <c r="AW387" s="1155">
        <f>IF(OR($V387=0,$W387=0),0,IF(AW$367&gt;$V387,0,SUM($Y363:AW363)/$W387))</f>
        <v>0</v>
      </c>
      <c r="AX387" s="1155">
        <f>IF(OR($V387=0,$W387=0),0,IF(AX$367&gt;$V387,0,SUM($Y363:AX363)/$W387))</f>
        <v>0</v>
      </c>
      <c r="AY387" s="1155">
        <f>IF(OR($V387=0,$W387=0),0,IF(AY$367&gt;$V387,0,SUM($Y363:AY363)/$W387))</f>
        <v>0</v>
      </c>
      <c r="AZ387" s="1155">
        <f>IF(OR($V387=0,$W387=0),0,IF(AZ$367&gt;$V387,0,SUM($Y363:AZ363)/$W387))</f>
        <v>0</v>
      </c>
      <c r="BA387" s="1155">
        <f>IF(OR($V387=0,$W387=0),0,IF(BA$367&gt;$V387,0,SUM($Y363:BA363)/$W387))</f>
        <v>0</v>
      </c>
      <c r="BB387" s="1155">
        <f>IF(OR($V387=0,$W387=0),0,IF(BB$367&gt;$V387,0,SUM($Y363:BB363)/$W387))</f>
        <v>0</v>
      </c>
      <c r="BC387" s="1155">
        <f>IF(OR($V387=0,$W387=0),0,IF(BC$367&gt;$V387,0,SUM($Y363:BC363)/$W387))</f>
        <v>0</v>
      </c>
      <c r="BD387" s="1155">
        <f>IF(OR($V387=0,$W387=0),0,IF(BD$367&gt;$V387,0,SUM($Y363:BD363)/$W387))</f>
        <v>0</v>
      </c>
      <c r="BE387" s="1155">
        <f>IF(OR($V387=0,$W387=0),0,IF(BE$367&gt;$V387,0,SUM($Y363:BE363)/$W387))</f>
        <v>0</v>
      </c>
      <c r="BF387" s="1155">
        <f>IF(OR($V387=0,$W387=0),0,IF(BF$367&gt;$V387,0,SUM($Y363:BF363)/$W387))</f>
        <v>0</v>
      </c>
      <c r="BG387" s="1155">
        <f>IF(OR($V387=0,$W387=0),0,IF(BG$367&gt;$V387,0,SUM($Y363:BG363)/$W387))</f>
        <v>0</v>
      </c>
      <c r="BH387" s="1155">
        <f>IF(OR($V387=0,$W387=0),0,IF(BH$367&gt;$V387,0,SUM($Y363:BH363)/$W387))</f>
        <v>0</v>
      </c>
      <c r="BI387" s="1155">
        <f>IF(OR($V387=0,$W387=0),0,IF(BI$367&gt;$V387,0,SUM($Y363:BI363)/$W387))</f>
        <v>0</v>
      </c>
      <c r="BJ387" s="1155">
        <f>IF(OR($V387=0,$W387=0),0,IF(BJ$367&gt;$V387,0,SUM($Y363:BJ363)/$W387))</f>
        <v>0</v>
      </c>
      <c r="BK387" s="1155">
        <f>IF(OR($V387=0,$W387=0),0,IF(BK$367&gt;$V387,0,SUM($Y363:BK363)/$W387))</f>
        <v>0</v>
      </c>
      <c r="BL387" s="1155">
        <f>IF(OR($V387=0,$W387=0),0,IF(BL$367&gt;$V387,0,SUM($Y363:BL363)/$W387))</f>
        <v>0</v>
      </c>
      <c r="BM387" s="1155">
        <f>IF(OR($V387=0,$W387=0),0,IF(BM$367&gt;$V387,0,SUM($Y363:BM363)/$W387))</f>
        <v>0</v>
      </c>
      <c r="BN387" s="1155">
        <f>IF(OR($V387=0,$W387=0),0,IF(BN$367&gt;$V387,0,SUM($Y363:BN363)/$W387))</f>
        <v>0</v>
      </c>
      <c r="BO387" s="1155">
        <f>IF(OR($V387=0,$W387=0),0,IF(BO$367&gt;$V387,0,SUM($Y363:BO363)/$W387))</f>
        <v>0</v>
      </c>
      <c r="BP387" s="1155">
        <f>IF(OR($V387=0,$W387=0),0,IF(BP$367&gt;$V387,0,SUM($Y363:BP363)/$W387))</f>
        <v>0</v>
      </c>
      <c r="BQ387" s="1155">
        <f>IF(OR($V387=0,$W387=0),0,IF(BQ$367&gt;$V387,0,SUM($Y363:BQ363)/$W387))</f>
        <v>0</v>
      </c>
      <c r="BR387" s="1155">
        <f>IF(OR($V387=0,$W387=0),0,IF(BR$367&gt;$V387,0,SUM($Y363:BR363)/$W387))</f>
        <v>0</v>
      </c>
      <c r="BS387" s="1155">
        <f>IF(OR($V387=0,$W387=0),0,IF(BS$367&gt;$V387,0,SUM($Y363:BS363)/$W387))</f>
        <v>0</v>
      </c>
      <c r="BT387" s="1155">
        <f>IF(OR($V387=0,$W387=0),0,IF(BT$367&gt;$V387,0,SUM($Y363:BT363)/$W387))</f>
        <v>0</v>
      </c>
      <c r="BU387" s="1155">
        <f>IF(OR($V387=0,$W387=0),0,IF(BU$367&gt;$V387,0,SUM($Y363:BU363)/$W387))</f>
        <v>0</v>
      </c>
      <c r="BV387" s="1155">
        <f>IF(OR($V387=0,$W387=0),0,IF(BV$367&gt;$V387,0,SUM($Y363:BV363)/$W387))</f>
        <v>0</v>
      </c>
      <c r="BW387" s="1155">
        <f>IF(OR($V387=0,$W387=0),0,IF(BW$367&gt;$V387,0,SUM($Y363:BW363)/$W387))</f>
        <v>0</v>
      </c>
      <c r="BX387" s="1162">
        <f>IF(OR($V387=0,$W387=0),0,IF(BX$367&gt;$V387,0,SUM($Y363:BX363)/$W387))</f>
        <v>0</v>
      </c>
      <c r="BY387" s="1162">
        <f>IF(OR($V387=0,$W387=0),0,IF(BY$367&gt;$V387,0,SUM($Y363:BY363)/$W387))</f>
        <v>0</v>
      </c>
      <c r="BZ387" s="1162">
        <f>IF(OR($V387=0,$W387=0),0,IF(BZ$367&gt;$V387,0,SUM($Y363:BZ363)/$W387))</f>
        <v>0</v>
      </c>
      <c r="CA387" s="1162">
        <f>IF(OR($V387=0,$W387=0),0,IF(CA$367&gt;$V387,0,SUM($Y363:CA363)/$W387))</f>
        <v>0</v>
      </c>
      <c r="CB387" s="1162">
        <f>IF(OR($V387=0,$W387=0),0,IF(CB$367&gt;$V387,0,SUM($Y363:CB363)/$W387))</f>
        <v>0</v>
      </c>
      <c r="CC387" s="1162">
        <f>IF(OR($V387=0,$W387=0),0,IF(CC$367&gt;$V387,0,SUM($Y363:CC363)/$W387))</f>
        <v>0</v>
      </c>
      <c r="CD387" s="1162">
        <f>IF(OR($V387=0,$W387=0),0,IF(CD$367&gt;$V387,0,SUM($Y363:CD363)/$W387))</f>
        <v>0</v>
      </c>
      <c r="CE387" s="1162">
        <f>IF(OR($V387=0,$W387=0),0,IF(CE$367&gt;$V387,0,SUM($Y363:CE363)/$W387))</f>
        <v>0</v>
      </c>
      <c r="CF387" s="1162">
        <f>IF(OR($V387=0,$W387=0),0,IF(CF$367&gt;$V387,0,SUM($Y363:CF363)/$W387))</f>
        <v>0</v>
      </c>
      <c r="CG387" s="1162">
        <f>IF(OR($V387=0,$W387=0),0,IF(CG$367&gt;$V387,0,SUM($Y363:CG363)/$W387))</f>
        <v>0</v>
      </c>
      <c r="CH387" s="1162">
        <f>IF(OR($V387=0,$W387=0),0,IF(CH$367&gt;$V387,0,SUM($Y363:CH363)/$W387))</f>
        <v>0</v>
      </c>
      <c r="CI387" s="1162">
        <f>IF(OR($V387=0,$W387=0),0,IF(CI$367&gt;$V387,0,SUM($Y363:CI363)/$W387))</f>
        <v>0</v>
      </c>
      <c r="CJ387" s="1162">
        <f>IF(OR($V387=0,$W387=0),0,IF(CJ$367&gt;$V387,0,SUM($Y363:CJ363)/$W387))</f>
        <v>0</v>
      </c>
      <c r="CK387" s="1162">
        <f>IF(OR($V387=0,$W387=0),0,IF(CK$367&gt;$V387,0,SUM($Y363:CK363)/$W387))</f>
        <v>0</v>
      </c>
      <c r="CL387" s="1162">
        <f>IF(OR($V387=0,$W387=0),0,IF(CL$367&gt;$V387,0,SUM($Y363:CL363)/$W387))</f>
        <v>0</v>
      </c>
      <c r="CM387" s="1162">
        <f>IF(OR($V387=0,$W387=0),0,IF(CM$367&gt;$V387,0,SUM($Y363:CM363)/$W387))</f>
        <v>0</v>
      </c>
      <c r="CN387" s="1162">
        <f>IF(OR($V387=0,$W387=0),0,IF(CN$367&gt;$V387,0,SUM($Y363:CN363)/$W387))</f>
        <v>0</v>
      </c>
      <c r="CO387" s="1162">
        <f>IF(OR($V387=0,$W387=0),0,IF(CO$367&gt;$V387,0,SUM($Y363:CO363)/$W387))</f>
        <v>0</v>
      </c>
      <c r="CP387" s="1162">
        <f>IF(OR($V387=0,$W387=0),0,IF(CP$367&gt;$V387,0,SUM($Y363:CP363)/$W387))</f>
        <v>0</v>
      </c>
      <c r="CQ387" s="48">
        <f>IF(OR($V387=0,$W387=0),0,IF(CQ$367&gt;$V387,0,SUM($Y363:CQ363)/$W387))</f>
        <v>0</v>
      </c>
      <c r="CR387" s="48">
        <f>IF(OR($V387=0,$W387=0),0,IF(CR$367&gt;$V387,0,SUM($Y363:CR363)/$W387))</f>
        <v>0</v>
      </c>
      <c r="CS387" s="48">
        <f>IF(OR($V387=0,$W387=0),0,IF(CS$367&gt;$V387,0,SUM($Y363:CS363)/$W387))</f>
        <v>0</v>
      </c>
      <c r="CT387" s="48">
        <f>IF(OR($V387=0,$W387=0),0,IF(CT$367&gt;$V387,0,SUM($Y363:CT363)/$W387))</f>
        <v>0</v>
      </c>
      <c r="CU387" s="48">
        <f>IF(OR($V387=0,$W387=0),0,IF(CU$367&gt;$V387,0,SUM($Y363:CU363)/$W387))</f>
        <v>0</v>
      </c>
      <c r="CV387" s="48">
        <f>IF(OR($V387=0,$W387=0),0,IF(CV$367&gt;$V387,0,SUM($Y363:CV363)/$W387))</f>
        <v>0</v>
      </c>
      <c r="CW387" s="48">
        <f>IF(OR($V387=0,$W387=0),0,IF(CW$367&gt;$V387,0,SUM($Y363:CW363)/$W387))</f>
        <v>0</v>
      </c>
      <c r="CX387" s="48">
        <f>IF(OR($V387=0,$W387=0),0,IF(CX$367&gt;$V387,0,SUM($Y363:CX363)/$W387))</f>
        <v>0</v>
      </c>
      <c r="CY387" s="48">
        <f>IF(OR($V387=0,$W387=0),0,IF(CY$367&gt;$V387,0,SUM($Y363:CY363)/$W387))</f>
        <v>0</v>
      </c>
      <c r="CZ387" s="48">
        <f>IF(OR($V387=0,$W387=0),0,IF(CZ$367&gt;$V387,0,SUM($Y363:CZ363)/$W387))</f>
        <v>0</v>
      </c>
      <c r="DA387" s="48">
        <f>IF(OR($V387=0,$W387=0),0,IF(DA$367&gt;$V387,0,SUM($Y363:DA363)/$W387))</f>
        <v>0</v>
      </c>
      <c r="DB387" s="48">
        <f>IF(OR($V387=0,$W387=0),0,IF(DB$367&gt;$V387,0,SUM($Y363:DB363)/$W387))</f>
        <v>0</v>
      </c>
      <c r="DC387" s="48">
        <f>IF(OR($V387=0,$W387=0),0,IF(DC$367&gt;$V387,0,SUM($Y363:DC363)/$W387))</f>
        <v>0</v>
      </c>
      <c r="DD387" s="48">
        <f>IF(OR($V387=0,$W387=0),0,IF(DD$367&gt;$V387,0,SUM($Y363:DD363)/$W387))</f>
        <v>0</v>
      </c>
      <c r="DE387" s="48">
        <f>IF(OR($V387=0,$W387=0),0,IF(DE$367&gt;$V387,0,SUM($Y363:DE363)/$W387))</f>
        <v>0</v>
      </c>
      <c r="DF387" s="48">
        <f>IF(OR($V387=0,$W387=0),0,IF(DF$367&gt;$V387,0,SUM($Y363:DF363)/$W387))</f>
        <v>0</v>
      </c>
      <c r="DG387" s="48">
        <f>IF(OR($V387=0,$W387=0),0,IF(DG$367&gt;$V387,0,SUM($Y363:DG363)/$W387))</f>
        <v>0</v>
      </c>
      <c r="DH387" s="48">
        <f>IF(OR($V387=0,$W387=0),0,IF(DH$367&gt;$V387,0,SUM($Y363:DH363)/$W387))</f>
        <v>0</v>
      </c>
      <c r="DI387" s="48">
        <f>IF(OR($V387=0,$W387=0),0,IF(DI$367&gt;$V387,0,SUM($Y363:DI363)/$W387))</f>
        <v>0</v>
      </c>
      <c r="DJ387" s="48">
        <f>IF(OR($V387=0,$W387=0),0,IF(DJ$367&gt;$V387,0,SUM($Y363:DJ363)/$W387))</f>
        <v>0</v>
      </c>
      <c r="DK387" s="48">
        <f>IF(OR($V387=0,$W387=0),0,IF(DK$367&gt;$V387,0,SUM($Y363:DK363)/$W387))</f>
        <v>0</v>
      </c>
      <c r="DL387" s="48">
        <f>IF(OR($V387=0,$W387=0),0,IF(DL$367&gt;$V387,0,SUM($Y363:DL363)/$W387))</f>
        <v>0</v>
      </c>
      <c r="DM387" s="48">
        <f>IF(OR($V387=0,$W387=0),0,IF(DM$367&gt;$V387,0,SUM($Y363:DM363)/$W387))</f>
        <v>0</v>
      </c>
      <c r="DN387" s="48">
        <f>IF(OR($V387=0,$W387=0),0,IF(DN$367&gt;$V387,0,SUM($Y363:DN363)/$W387))</f>
        <v>0</v>
      </c>
      <c r="DO387" s="48">
        <f>IF(OR($V387=0,$W387=0),0,IF(DO$367&gt;$V387,0,SUM($Y363:DO363)/$W387))</f>
        <v>0</v>
      </c>
      <c r="DP387" s="48">
        <f>IF(OR($V387=0,$W387=0),0,IF(DP$367&gt;$V387,0,SUM($Y363:DP363)/$W387))</f>
        <v>0</v>
      </c>
      <c r="DQ387" s="48">
        <f>IF(OR($V387=0,$W387=0),0,IF(DQ$367&gt;$V387,0,SUM($Y363:DQ363)/$W387))</f>
        <v>0</v>
      </c>
      <c r="DR387" s="50">
        <f>IF(OR($V387=0,$W387=0),0,IF(DR$367&gt;$V387,0,SUM($Y363:DR363)/$W387))</f>
        <v>0</v>
      </c>
      <c r="DS387" s="50">
        <f>IF(OR($V387=0,$W387=0),0,IF(DS$367&gt;$V387,0,SUM($Y363:DS363)/$W387))</f>
        <v>0</v>
      </c>
      <c r="DT387" s="50">
        <f>IF(OR($V387=0,$W387=0),0,IF(DT$367&gt;$V387,0,SUM($Y363:DT363)/$W387))</f>
        <v>0</v>
      </c>
      <c r="DU387" s="50">
        <f>IF(OR($V387=0,$W387=0),0,IF(DU$367&gt;$V387,0,SUM($Y363:DU363)/$W387))</f>
        <v>0</v>
      </c>
      <c r="DV387" s="50">
        <f>IF(OR($V387=0,$W387=0),0,IF(DV$367&gt;$V387,0,SUM($Y363:DV363)/$W387))</f>
        <v>0</v>
      </c>
      <c r="DW387" s="50">
        <f>IF(OR($V387=0,$W387=0),0,IF(DW$367&gt;$V387,0,SUM($Y363:DW363)/$W387))</f>
        <v>0</v>
      </c>
      <c r="DX387" s="50">
        <f>IF(OR($V387=0,$W387=0),0,IF(DX$367&gt;$V387,0,SUM($Y363:DX363)/$W387))</f>
        <v>0</v>
      </c>
      <c r="DY387" s="50">
        <f>IF(OR($V387=0,$W387=0),0,IF(DY$367&gt;$V387,0,SUM($Y363:DY363)/$W387))</f>
        <v>0</v>
      </c>
      <c r="DZ387" s="50">
        <f>IF(OR($V387=0,$W387=0),0,IF(DZ$367&gt;$V387,0,SUM($Y363:DZ363)/$W387))</f>
        <v>0</v>
      </c>
      <c r="EA387" s="50">
        <f>IF(OR($V387=0,$W387=0),0,IF(EA$367&gt;$V387,0,SUM($Y363:EA363)/$W387))</f>
        <v>0</v>
      </c>
      <c r="EB387" s="50">
        <f>IF(OR($V387=0,$W387=0),0,IF(EB$367&gt;$V387,0,SUM($Y363:EB363)/$W387))</f>
        <v>0</v>
      </c>
      <c r="EC387" s="50">
        <f>IF(OR($V387=0,$W387=0),0,IF(EC$367&gt;$V387,0,SUM($Y363:EC363)/$W387))</f>
        <v>0</v>
      </c>
      <c r="ED387" s="50">
        <f>IF(OR($V387=0,$W387=0),0,IF(ED$367&gt;$V387,0,SUM($Y363:ED363)/$W387))</f>
        <v>0</v>
      </c>
      <c r="EE387" s="50">
        <f>IF(OR($V387=0,$W387=0),0,IF(EE$367&gt;$V387,0,SUM($Y363:EE363)/$W387))</f>
        <v>0</v>
      </c>
      <c r="EF387" s="50">
        <f>IF(OR($V387=0,$W387=0),0,IF(EF$367&gt;$V387,0,SUM($Y363:EF363)/$W387))</f>
        <v>0</v>
      </c>
      <c r="EG387" s="50">
        <f>IF(OR($V387=0,$W387=0),0,IF(EG$367&gt;$V387,0,SUM($Y363:EG363)/$W387))</f>
        <v>0</v>
      </c>
      <c r="EH387" s="50">
        <f>IF(OR($V387=0,$W387=0),0,IF(EH$367&gt;$V387,0,SUM($Y363:EH363)/$W387))</f>
        <v>0</v>
      </c>
      <c r="EI387" s="50">
        <f>IF(OR($V387=0,$W387=0),0,IF(EI$367&gt;$V387,0,SUM($Y363:EI363)/$W387))</f>
        <v>0</v>
      </c>
      <c r="EJ387" s="50">
        <f>IF(OR($V387=0,$W387=0),0,IF(EJ$367&gt;$V387,0,SUM($Y363:EJ363)/$W387))</f>
        <v>0</v>
      </c>
      <c r="EK387" s="50">
        <f>IF(OR($V387=0,$W387=0),0,IF(EK$367&gt;$V387,0,SUM($Y363:EK363)/$W387))</f>
        <v>0</v>
      </c>
      <c r="EL387" s="50">
        <f>IF(OR($V387=0,$W387=0),0,IF(EL$367&gt;$V387,0,SUM($Y363:EL363)/$W387))</f>
        <v>0</v>
      </c>
      <c r="EM387" s="50">
        <f>IF(OR($V387=0,$W387=0),0,IF(EM$367&gt;$V387,0,SUM($Y363:EM363)/$W387))</f>
        <v>0</v>
      </c>
      <c r="EN387" s="50">
        <f>IF(OR($V387=0,$W387=0),0,IF(EN$367&gt;$V387,0,SUM($Y363:EN363)/$W387))</f>
        <v>0</v>
      </c>
      <c r="EO387" s="39">
        <v>51</v>
      </c>
      <c r="EP387" s="39">
        <v>51</v>
      </c>
      <c r="EQ387" s="39">
        <v>51</v>
      </c>
      <c r="ER387" s="39">
        <v>51</v>
      </c>
      <c r="ES387" s="39">
        <v>51</v>
      </c>
      <c r="ET387" s="39">
        <v>51</v>
      </c>
      <c r="EU387" s="39">
        <v>51</v>
      </c>
      <c r="EV387" s="39">
        <v>51</v>
      </c>
      <c r="EW387" s="39">
        <v>51</v>
      </c>
      <c r="EX387" s="39">
        <v>51</v>
      </c>
    </row>
    <row r="388" spans="11:154" ht="12" customHeight="1" x14ac:dyDescent="0.35">
      <c r="K388" s="1667"/>
      <c r="L388" s="1667"/>
      <c r="M388" s="1667"/>
      <c r="N388" s="1667"/>
      <c r="O388" s="1667"/>
      <c r="P388" s="1667"/>
      <c r="Q388" s="1667"/>
      <c r="R388" s="1667"/>
      <c r="S388" s="1667"/>
      <c r="T388" s="1667"/>
      <c r="U388" s="59"/>
      <c r="V388" s="59"/>
      <c r="W388" s="59"/>
      <c r="X388" s="30" t="s">
        <v>426</v>
      </c>
      <c r="Y388" s="1665">
        <f t="shared" ref="Y388:AE388" si="195">SUM(Y368:Y387)</f>
        <v>0</v>
      </c>
      <c r="Z388" s="1665">
        <f t="shared" si="195"/>
        <v>0</v>
      </c>
      <c r="AA388" s="1665">
        <f t="shared" si="195"/>
        <v>0</v>
      </c>
      <c r="AB388" s="1665">
        <f t="shared" si="195"/>
        <v>0</v>
      </c>
      <c r="AC388" s="1665">
        <f t="shared" si="195"/>
        <v>0</v>
      </c>
      <c r="AD388" s="1665">
        <f t="shared" si="195"/>
        <v>0</v>
      </c>
      <c r="AE388" s="1665">
        <f t="shared" si="195"/>
        <v>0</v>
      </c>
      <c r="AF388" s="1666">
        <f>SUM(AF368:AF387)</f>
        <v>0</v>
      </c>
      <c r="AG388" s="1666">
        <f>SUM(AG368:AG387)</f>
        <v>0</v>
      </c>
      <c r="AH388" s="1666">
        <f>SUM(AH368:AH387)</f>
        <v>0</v>
      </c>
      <c r="AI388" s="1666">
        <f t="shared" ref="AI388:BN388" si="196">SUM(AI368:AI387)</f>
        <v>0</v>
      </c>
      <c r="AJ388" s="1666">
        <f t="shared" si="196"/>
        <v>0</v>
      </c>
      <c r="AK388" s="1666">
        <f t="shared" si="196"/>
        <v>0</v>
      </c>
      <c r="AL388" s="1666">
        <f t="shared" si="196"/>
        <v>0</v>
      </c>
      <c r="AM388" s="1666">
        <f t="shared" si="196"/>
        <v>0</v>
      </c>
      <c r="AN388" s="1666">
        <f t="shared" si="196"/>
        <v>0</v>
      </c>
      <c r="AO388" s="1666">
        <f t="shared" si="196"/>
        <v>0</v>
      </c>
      <c r="AP388" s="1666">
        <f t="shared" si="196"/>
        <v>0</v>
      </c>
      <c r="AQ388" s="1666">
        <f t="shared" si="196"/>
        <v>0</v>
      </c>
      <c r="AR388" s="1666">
        <f t="shared" si="196"/>
        <v>0</v>
      </c>
      <c r="AS388" s="1666">
        <f t="shared" si="196"/>
        <v>0</v>
      </c>
      <c r="AT388" s="1666">
        <f t="shared" si="196"/>
        <v>0</v>
      </c>
      <c r="AU388" s="1666">
        <f t="shared" si="196"/>
        <v>0</v>
      </c>
      <c r="AV388" s="1666">
        <f t="shared" si="196"/>
        <v>0</v>
      </c>
      <c r="AW388" s="1666">
        <f t="shared" si="196"/>
        <v>0</v>
      </c>
      <c r="AX388" s="1666">
        <f t="shared" si="196"/>
        <v>0</v>
      </c>
      <c r="AY388" s="1666">
        <f t="shared" si="196"/>
        <v>0</v>
      </c>
      <c r="AZ388" s="1666">
        <f t="shared" si="196"/>
        <v>0</v>
      </c>
      <c r="BA388" s="1666">
        <f t="shared" si="196"/>
        <v>0</v>
      </c>
      <c r="BB388" s="1666">
        <f t="shared" si="196"/>
        <v>0</v>
      </c>
      <c r="BC388" s="1666">
        <f t="shared" si="196"/>
        <v>0</v>
      </c>
      <c r="BD388" s="1666">
        <f t="shared" si="196"/>
        <v>0</v>
      </c>
      <c r="BE388" s="1666">
        <f t="shared" si="196"/>
        <v>0</v>
      </c>
      <c r="BF388" s="1666">
        <f t="shared" si="196"/>
        <v>0</v>
      </c>
      <c r="BG388" s="1666">
        <f t="shared" si="196"/>
        <v>0</v>
      </c>
      <c r="BH388" s="1666">
        <f t="shared" si="196"/>
        <v>0</v>
      </c>
      <c r="BI388" s="1666">
        <f t="shared" si="196"/>
        <v>0</v>
      </c>
      <c r="BJ388" s="1666">
        <f t="shared" si="196"/>
        <v>0</v>
      </c>
      <c r="BK388" s="1666">
        <f t="shared" si="196"/>
        <v>0</v>
      </c>
      <c r="BL388" s="1666">
        <f t="shared" si="196"/>
        <v>0</v>
      </c>
      <c r="BM388" s="1666">
        <f t="shared" si="196"/>
        <v>0</v>
      </c>
      <c r="BN388" s="1666">
        <f t="shared" si="196"/>
        <v>0</v>
      </c>
      <c r="BO388" s="1666">
        <f t="shared" ref="BO388:CT388" si="197">SUM(BO368:BO387)</f>
        <v>0</v>
      </c>
      <c r="BP388" s="1666">
        <f t="shared" si="197"/>
        <v>0</v>
      </c>
      <c r="BQ388" s="1666">
        <f t="shared" si="197"/>
        <v>0</v>
      </c>
      <c r="BR388" s="1666">
        <f t="shared" si="197"/>
        <v>0</v>
      </c>
      <c r="BS388" s="1666">
        <f t="shared" si="197"/>
        <v>0</v>
      </c>
      <c r="BT388" s="1666">
        <f t="shared" si="197"/>
        <v>0</v>
      </c>
      <c r="BU388" s="1666">
        <f t="shared" si="197"/>
        <v>0</v>
      </c>
      <c r="BV388" s="1666">
        <f t="shared" si="197"/>
        <v>0</v>
      </c>
      <c r="BW388" s="1666">
        <f t="shared" si="197"/>
        <v>0</v>
      </c>
      <c r="BX388" s="1163">
        <f t="shared" si="197"/>
        <v>0</v>
      </c>
      <c r="BY388" s="1163">
        <f t="shared" si="197"/>
        <v>0</v>
      </c>
      <c r="BZ388" s="1163">
        <f t="shared" si="197"/>
        <v>0</v>
      </c>
      <c r="CA388" s="1163">
        <f t="shared" si="197"/>
        <v>0</v>
      </c>
      <c r="CB388" s="1163">
        <f t="shared" si="197"/>
        <v>0</v>
      </c>
      <c r="CC388" s="1163">
        <f t="shared" si="197"/>
        <v>0</v>
      </c>
      <c r="CD388" s="1163">
        <f t="shared" si="197"/>
        <v>0</v>
      </c>
      <c r="CE388" s="1163">
        <f t="shared" si="197"/>
        <v>0</v>
      </c>
      <c r="CF388" s="1163">
        <f t="shared" si="197"/>
        <v>0</v>
      </c>
      <c r="CG388" s="1163">
        <f t="shared" si="197"/>
        <v>0</v>
      </c>
      <c r="CH388" s="1163">
        <f t="shared" si="197"/>
        <v>0</v>
      </c>
      <c r="CI388" s="1163">
        <f t="shared" si="197"/>
        <v>0</v>
      </c>
      <c r="CJ388" s="1163">
        <f t="shared" si="197"/>
        <v>0</v>
      </c>
      <c r="CK388" s="1163">
        <f t="shared" si="197"/>
        <v>0</v>
      </c>
      <c r="CL388" s="1163">
        <f t="shared" si="197"/>
        <v>0</v>
      </c>
      <c r="CM388" s="1163">
        <f t="shared" si="197"/>
        <v>0</v>
      </c>
      <c r="CN388" s="1163">
        <f t="shared" si="197"/>
        <v>0</v>
      </c>
      <c r="CO388" s="1163">
        <f t="shared" si="197"/>
        <v>0</v>
      </c>
      <c r="CP388" s="1163">
        <f t="shared" si="197"/>
        <v>0</v>
      </c>
      <c r="CQ388" s="1120">
        <f t="shared" si="197"/>
        <v>0</v>
      </c>
      <c r="CR388" s="1120">
        <f t="shared" si="197"/>
        <v>0</v>
      </c>
      <c r="CS388" s="1120">
        <f t="shared" si="197"/>
        <v>0</v>
      </c>
      <c r="CT388" s="1120">
        <f t="shared" si="197"/>
        <v>0</v>
      </c>
      <c r="CU388" s="1120">
        <f t="shared" ref="CU388:DZ388" si="198">SUM(CU368:CU387)</f>
        <v>0</v>
      </c>
      <c r="CV388" s="1120">
        <f t="shared" si="198"/>
        <v>0</v>
      </c>
      <c r="CW388" s="1120">
        <f t="shared" si="198"/>
        <v>0</v>
      </c>
      <c r="CX388" s="1120">
        <f t="shared" si="198"/>
        <v>0</v>
      </c>
      <c r="CY388" s="1120">
        <f t="shared" si="198"/>
        <v>0</v>
      </c>
      <c r="CZ388" s="1120">
        <f t="shared" si="198"/>
        <v>0</v>
      </c>
      <c r="DA388" s="1120">
        <f t="shared" si="198"/>
        <v>0</v>
      </c>
      <c r="DB388" s="1120">
        <f t="shared" si="198"/>
        <v>0</v>
      </c>
      <c r="DC388" s="1120">
        <f t="shared" si="198"/>
        <v>0</v>
      </c>
      <c r="DD388" s="1120">
        <f t="shared" si="198"/>
        <v>0</v>
      </c>
      <c r="DE388" s="1120">
        <f t="shared" si="198"/>
        <v>0</v>
      </c>
      <c r="DF388" s="1120">
        <f t="shared" si="198"/>
        <v>0</v>
      </c>
      <c r="DG388" s="1120">
        <f t="shared" si="198"/>
        <v>0</v>
      </c>
      <c r="DH388" s="1120">
        <f t="shared" si="198"/>
        <v>0</v>
      </c>
      <c r="DI388" s="1120">
        <f t="shared" si="198"/>
        <v>0</v>
      </c>
      <c r="DJ388" s="1120">
        <f t="shared" si="198"/>
        <v>0</v>
      </c>
      <c r="DK388" s="1120">
        <f t="shared" si="198"/>
        <v>0</v>
      </c>
      <c r="DL388" s="1120">
        <f t="shared" si="198"/>
        <v>0</v>
      </c>
      <c r="DM388" s="1120">
        <f t="shared" si="198"/>
        <v>0</v>
      </c>
      <c r="DN388" s="1120">
        <f t="shared" si="198"/>
        <v>0</v>
      </c>
      <c r="DO388" s="1120">
        <f t="shared" si="198"/>
        <v>0</v>
      </c>
      <c r="DP388" s="1120">
        <f t="shared" si="198"/>
        <v>0</v>
      </c>
      <c r="DQ388" s="1120">
        <f t="shared" si="198"/>
        <v>0</v>
      </c>
      <c r="DR388" s="58">
        <f t="shared" si="198"/>
        <v>0</v>
      </c>
      <c r="DS388" s="58">
        <f t="shared" si="198"/>
        <v>0</v>
      </c>
      <c r="DT388" s="58">
        <f t="shared" si="198"/>
        <v>0</v>
      </c>
      <c r="DU388" s="58">
        <f t="shared" si="198"/>
        <v>0</v>
      </c>
      <c r="DV388" s="58">
        <f t="shared" si="198"/>
        <v>0</v>
      </c>
      <c r="DW388" s="58">
        <f t="shared" si="198"/>
        <v>0</v>
      </c>
      <c r="DX388" s="58">
        <f t="shared" si="198"/>
        <v>0</v>
      </c>
      <c r="DY388" s="58">
        <f t="shared" si="198"/>
        <v>0</v>
      </c>
      <c r="DZ388" s="58">
        <f t="shared" si="198"/>
        <v>0</v>
      </c>
      <c r="EA388" s="58">
        <f t="shared" ref="EA388:EN388" si="199">SUM(EA368:EA387)</f>
        <v>0</v>
      </c>
      <c r="EB388" s="58">
        <f t="shared" si="199"/>
        <v>0</v>
      </c>
      <c r="EC388" s="58">
        <f t="shared" si="199"/>
        <v>0</v>
      </c>
      <c r="ED388" s="58">
        <f t="shared" si="199"/>
        <v>0</v>
      </c>
      <c r="EE388" s="58">
        <f t="shared" si="199"/>
        <v>0</v>
      </c>
      <c r="EF388" s="58">
        <f t="shared" si="199"/>
        <v>0</v>
      </c>
      <c r="EG388" s="58">
        <f t="shared" si="199"/>
        <v>0</v>
      </c>
      <c r="EH388" s="58">
        <f t="shared" si="199"/>
        <v>0</v>
      </c>
      <c r="EI388" s="58">
        <f t="shared" si="199"/>
        <v>0</v>
      </c>
      <c r="EJ388" s="58">
        <f t="shared" si="199"/>
        <v>0</v>
      </c>
      <c r="EK388" s="58">
        <f t="shared" si="199"/>
        <v>0</v>
      </c>
      <c r="EL388" s="58">
        <f t="shared" si="199"/>
        <v>0</v>
      </c>
      <c r="EM388" s="58">
        <f t="shared" si="199"/>
        <v>0</v>
      </c>
      <c r="EN388" s="58">
        <f t="shared" si="199"/>
        <v>0</v>
      </c>
      <c r="EO388" s="39">
        <v>51</v>
      </c>
      <c r="EP388" s="39">
        <v>51</v>
      </c>
      <c r="EQ388" s="39">
        <v>51</v>
      </c>
      <c r="ER388" s="39">
        <v>51</v>
      </c>
      <c r="ES388" s="39">
        <v>51</v>
      </c>
      <c r="ET388" s="39">
        <v>51</v>
      </c>
      <c r="EU388" s="39">
        <v>51</v>
      </c>
      <c r="EV388" s="39">
        <v>51</v>
      </c>
      <c r="EW388" s="39">
        <v>51</v>
      </c>
      <c r="EX388" s="39">
        <v>51</v>
      </c>
    </row>
    <row r="389" spans="11:154" ht="12" customHeight="1" x14ac:dyDescent="0.35">
      <c r="K389" s="1667"/>
      <c r="L389" s="1667"/>
      <c r="M389" s="1667"/>
      <c r="N389" s="1667"/>
      <c r="O389" s="1667"/>
      <c r="P389" s="1667"/>
      <c r="Q389" s="1667"/>
      <c r="R389" s="1667"/>
      <c r="S389" s="1667"/>
      <c r="T389" s="1667"/>
      <c r="U389" s="59"/>
      <c r="V389" s="59"/>
      <c r="W389" s="59"/>
      <c r="X389" s="376"/>
      <c r="Y389" s="29"/>
      <c r="Z389" s="29"/>
      <c r="AA389" s="29"/>
      <c r="AB389" s="29"/>
      <c r="AC389" s="29"/>
      <c r="AD389" s="29"/>
      <c r="AE389" s="29"/>
      <c r="AF389" s="376"/>
      <c r="AG389" s="376"/>
      <c r="AH389" s="376"/>
      <c r="AI389" s="1156">
        <f t="shared" ref="AI389:BN389" si="200">IFERROR(AI388,0)</f>
        <v>0</v>
      </c>
      <c r="AJ389" s="1156">
        <f t="shared" si="200"/>
        <v>0</v>
      </c>
      <c r="AK389" s="1156">
        <f t="shared" si="200"/>
        <v>0</v>
      </c>
      <c r="AL389" s="1156">
        <f t="shared" si="200"/>
        <v>0</v>
      </c>
      <c r="AM389" s="1156">
        <f t="shared" si="200"/>
        <v>0</v>
      </c>
      <c r="AN389" s="1156">
        <f t="shared" si="200"/>
        <v>0</v>
      </c>
      <c r="AO389" s="1156">
        <f t="shared" si="200"/>
        <v>0</v>
      </c>
      <c r="AP389" s="1156">
        <f t="shared" si="200"/>
        <v>0</v>
      </c>
      <c r="AQ389" s="1156">
        <f t="shared" si="200"/>
        <v>0</v>
      </c>
      <c r="AR389" s="1156">
        <f t="shared" si="200"/>
        <v>0</v>
      </c>
      <c r="AS389" s="1156">
        <f t="shared" si="200"/>
        <v>0</v>
      </c>
      <c r="AT389" s="1156">
        <f t="shared" si="200"/>
        <v>0</v>
      </c>
      <c r="AU389" s="1156">
        <f t="shared" si="200"/>
        <v>0</v>
      </c>
      <c r="AV389" s="1156">
        <f t="shared" si="200"/>
        <v>0</v>
      </c>
      <c r="AW389" s="1156">
        <f t="shared" si="200"/>
        <v>0</v>
      </c>
      <c r="AX389" s="1156">
        <f t="shared" si="200"/>
        <v>0</v>
      </c>
      <c r="AY389" s="1156">
        <f t="shared" si="200"/>
        <v>0</v>
      </c>
      <c r="AZ389" s="1156">
        <f t="shared" si="200"/>
        <v>0</v>
      </c>
      <c r="BA389" s="1156">
        <f t="shared" si="200"/>
        <v>0</v>
      </c>
      <c r="BB389" s="1156">
        <f t="shared" si="200"/>
        <v>0</v>
      </c>
      <c r="BC389" s="1156">
        <f t="shared" si="200"/>
        <v>0</v>
      </c>
      <c r="BD389" s="1156">
        <f t="shared" si="200"/>
        <v>0</v>
      </c>
      <c r="BE389" s="1156">
        <f t="shared" si="200"/>
        <v>0</v>
      </c>
      <c r="BF389" s="1156">
        <f t="shared" si="200"/>
        <v>0</v>
      </c>
      <c r="BG389" s="1156">
        <f t="shared" si="200"/>
        <v>0</v>
      </c>
      <c r="BH389" s="1156">
        <f t="shared" si="200"/>
        <v>0</v>
      </c>
      <c r="BI389" s="1156">
        <f t="shared" si="200"/>
        <v>0</v>
      </c>
      <c r="BJ389" s="1156">
        <f t="shared" si="200"/>
        <v>0</v>
      </c>
      <c r="BK389" s="1156">
        <f t="shared" si="200"/>
        <v>0</v>
      </c>
      <c r="BL389" s="1156">
        <f t="shared" si="200"/>
        <v>0</v>
      </c>
      <c r="BM389" s="1156">
        <f t="shared" si="200"/>
        <v>0</v>
      </c>
      <c r="BN389" s="1156">
        <f t="shared" si="200"/>
        <v>0</v>
      </c>
      <c r="BO389" s="1156">
        <f t="shared" ref="BO389:CT389" si="201">IFERROR(BO388,0)</f>
        <v>0</v>
      </c>
      <c r="BP389" s="1156">
        <f t="shared" si="201"/>
        <v>0</v>
      </c>
      <c r="BQ389" s="1156">
        <f t="shared" si="201"/>
        <v>0</v>
      </c>
      <c r="BR389" s="1156">
        <f t="shared" si="201"/>
        <v>0</v>
      </c>
      <c r="BS389" s="1156">
        <f t="shared" si="201"/>
        <v>0</v>
      </c>
      <c r="BT389" s="1156">
        <f t="shared" si="201"/>
        <v>0</v>
      </c>
      <c r="BU389" s="1156">
        <f t="shared" si="201"/>
        <v>0</v>
      </c>
      <c r="BV389" s="1156">
        <f t="shared" si="201"/>
        <v>0</v>
      </c>
      <c r="BW389" s="1156">
        <f t="shared" si="201"/>
        <v>0</v>
      </c>
      <c r="BX389" s="1166">
        <f t="shared" si="201"/>
        <v>0</v>
      </c>
      <c r="BY389" s="1166">
        <f t="shared" si="201"/>
        <v>0</v>
      </c>
      <c r="BZ389" s="1166">
        <f t="shared" si="201"/>
        <v>0</v>
      </c>
      <c r="CA389" s="1166">
        <f t="shared" si="201"/>
        <v>0</v>
      </c>
      <c r="CB389" s="1166">
        <f t="shared" si="201"/>
        <v>0</v>
      </c>
      <c r="CC389" s="1166">
        <f t="shared" si="201"/>
        <v>0</v>
      </c>
      <c r="CD389" s="1166">
        <f t="shared" si="201"/>
        <v>0</v>
      </c>
      <c r="CE389" s="1166">
        <f t="shared" si="201"/>
        <v>0</v>
      </c>
      <c r="CF389" s="1166">
        <f t="shared" si="201"/>
        <v>0</v>
      </c>
      <c r="CG389" s="1166">
        <f t="shared" si="201"/>
        <v>0</v>
      </c>
      <c r="CH389" s="1166">
        <f t="shared" si="201"/>
        <v>0</v>
      </c>
      <c r="CI389" s="1166">
        <f t="shared" si="201"/>
        <v>0</v>
      </c>
      <c r="CJ389" s="1166">
        <f t="shared" si="201"/>
        <v>0</v>
      </c>
      <c r="CK389" s="1166">
        <f t="shared" si="201"/>
        <v>0</v>
      </c>
      <c r="CL389" s="1166">
        <f t="shared" si="201"/>
        <v>0</v>
      </c>
      <c r="CM389" s="1166">
        <f t="shared" si="201"/>
        <v>0</v>
      </c>
      <c r="CN389" s="1166">
        <f t="shared" si="201"/>
        <v>0</v>
      </c>
      <c r="CO389" s="1166">
        <f t="shared" si="201"/>
        <v>0</v>
      </c>
      <c r="CP389" s="1166">
        <f t="shared" si="201"/>
        <v>0</v>
      </c>
      <c r="CQ389" s="1121">
        <f t="shared" si="201"/>
        <v>0</v>
      </c>
      <c r="CR389" s="1121">
        <f t="shared" si="201"/>
        <v>0</v>
      </c>
      <c r="CS389" s="1121">
        <f t="shared" si="201"/>
        <v>0</v>
      </c>
      <c r="CT389" s="1121">
        <f t="shared" si="201"/>
        <v>0</v>
      </c>
      <c r="CU389" s="1121">
        <f t="shared" ref="CU389:DZ389" si="202">IFERROR(CU388,0)</f>
        <v>0</v>
      </c>
      <c r="CV389" s="1121">
        <f t="shared" si="202"/>
        <v>0</v>
      </c>
      <c r="CW389" s="1121">
        <f t="shared" si="202"/>
        <v>0</v>
      </c>
      <c r="CX389" s="1121">
        <f t="shared" si="202"/>
        <v>0</v>
      </c>
      <c r="CY389" s="1121">
        <f t="shared" si="202"/>
        <v>0</v>
      </c>
      <c r="CZ389" s="1121">
        <f t="shared" si="202"/>
        <v>0</v>
      </c>
      <c r="DA389" s="1121">
        <f t="shared" si="202"/>
        <v>0</v>
      </c>
      <c r="DB389" s="1121">
        <f t="shared" si="202"/>
        <v>0</v>
      </c>
      <c r="DC389" s="1121">
        <f t="shared" si="202"/>
        <v>0</v>
      </c>
      <c r="DD389" s="1121">
        <f t="shared" si="202"/>
        <v>0</v>
      </c>
      <c r="DE389" s="1121">
        <f t="shared" si="202"/>
        <v>0</v>
      </c>
      <c r="DF389" s="1121">
        <f t="shared" si="202"/>
        <v>0</v>
      </c>
      <c r="DG389" s="1121">
        <f t="shared" si="202"/>
        <v>0</v>
      </c>
      <c r="DH389" s="1121">
        <f t="shared" si="202"/>
        <v>0</v>
      </c>
      <c r="DI389" s="1121">
        <f t="shared" si="202"/>
        <v>0</v>
      </c>
      <c r="DJ389" s="1121">
        <f t="shared" si="202"/>
        <v>0</v>
      </c>
      <c r="DK389" s="1121">
        <f t="shared" si="202"/>
        <v>0</v>
      </c>
      <c r="DL389" s="1121">
        <f t="shared" si="202"/>
        <v>0</v>
      </c>
      <c r="DM389" s="1121">
        <f t="shared" si="202"/>
        <v>0</v>
      </c>
      <c r="DN389" s="1121">
        <f t="shared" si="202"/>
        <v>0</v>
      </c>
      <c r="DO389" s="1121">
        <f t="shared" si="202"/>
        <v>0</v>
      </c>
      <c r="DP389" s="1121">
        <f t="shared" si="202"/>
        <v>0</v>
      </c>
      <c r="DQ389" s="1121">
        <f t="shared" si="202"/>
        <v>0</v>
      </c>
      <c r="DR389" s="445">
        <f t="shared" si="202"/>
        <v>0</v>
      </c>
      <c r="DS389" s="445">
        <f t="shared" si="202"/>
        <v>0</v>
      </c>
      <c r="DT389" s="445">
        <f t="shared" si="202"/>
        <v>0</v>
      </c>
      <c r="DU389" s="445">
        <f t="shared" si="202"/>
        <v>0</v>
      </c>
      <c r="DV389" s="445">
        <f t="shared" si="202"/>
        <v>0</v>
      </c>
      <c r="DW389" s="445">
        <f t="shared" si="202"/>
        <v>0</v>
      </c>
      <c r="DX389" s="445">
        <f t="shared" si="202"/>
        <v>0</v>
      </c>
      <c r="DY389" s="445">
        <f t="shared" si="202"/>
        <v>0</v>
      </c>
      <c r="DZ389" s="445">
        <f t="shared" si="202"/>
        <v>0</v>
      </c>
      <c r="EA389" s="445">
        <f t="shared" ref="EA389:EN389" si="203">IF(Years="Five",IFERROR(EA388,0),0)</f>
        <v>0</v>
      </c>
      <c r="EB389" s="445">
        <f t="shared" si="203"/>
        <v>0</v>
      </c>
      <c r="EC389" s="445">
        <f t="shared" si="203"/>
        <v>0</v>
      </c>
      <c r="ED389" s="445">
        <f t="shared" si="203"/>
        <v>0</v>
      </c>
      <c r="EE389" s="445">
        <f t="shared" si="203"/>
        <v>0</v>
      </c>
      <c r="EF389" s="445">
        <f t="shared" si="203"/>
        <v>0</v>
      </c>
      <c r="EG389" s="445">
        <f t="shared" si="203"/>
        <v>0</v>
      </c>
      <c r="EH389" s="445">
        <f t="shared" si="203"/>
        <v>0</v>
      </c>
      <c r="EI389" s="445">
        <f t="shared" si="203"/>
        <v>0</v>
      </c>
      <c r="EJ389" s="445">
        <f t="shared" si="203"/>
        <v>0</v>
      </c>
      <c r="EK389" s="445">
        <f t="shared" si="203"/>
        <v>0</v>
      </c>
      <c r="EL389" s="445">
        <f t="shared" si="203"/>
        <v>0</v>
      </c>
      <c r="EM389" s="445">
        <f t="shared" si="203"/>
        <v>0</v>
      </c>
      <c r="EN389" s="445">
        <f t="shared" si="203"/>
        <v>0</v>
      </c>
      <c r="EO389" s="39">
        <v>51</v>
      </c>
      <c r="EP389" s="39">
        <v>51</v>
      </c>
      <c r="EQ389" s="39">
        <v>51</v>
      </c>
      <c r="ER389" s="39">
        <v>51</v>
      </c>
      <c r="ES389" s="39">
        <v>51</v>
      </c>
      <c r="ET389" s="39">
        <v>51</v>
      </c>
      <c r="EU389" s="39">
        <v>51</v>
      </c>
      <c r="EV389" s="39">
        <v>51</v>
      </c>
      <c r="EW389" s="39">
        <v>51</v>
      </c>
      <c r="EX389" s="39">
        <v>51</v>
      </c>
    </row>
    <row r="390" spans="11:154" ht="12" customHeight="1" x14ac:dyDescent="0.35">
      <c r="K390" s="1679"/>
      <c r="L390" s="1679"/>
      <c r="M390" s="1679"/>
      <c r="N390" s="1679"/>
      <c r="O390" s="1679"/>
      <c r="P390" s="1679"/>
      <c r="Q390" s="1679"/>
      <c r="R390" s="1679"/>
      <c r="S390" s="1679"/>
      <c r="T390" s="1679"/>
      <c r="U390" s="1680"/>
      <c r="V390" s="1680"/>
      <c r="W390" s="1680"/>
      <c r="X390" s="30" t="s">
        <v>422</v>
      </c>
      <c r="Y390" s="379">
        <f>SUM($Y364:Y364)</f>
        <v>0</v>
      </c>
      <c r="Z390" s="379">
        <f>SUM($Y364:Z364)</f>
        <v>0</v>
      </c>
      <c r="AA390" s="379">
        <f>SUM($Y364:AA364)</f>
        <v>0</v>
      </c>
      <c r="AB390" s="379">
        <f>SUM($Y364:AB364)</f>
        <v>0</v>
      </c>
      <c r="AC390" s="379">
        <f>SUM($Y364:AC364)</f>
        <v>0</v>
      </c>
      <c r="AD390" s="379">
        <f>SUM($Y364:AD364)</f>
        <v>0</v>
      </c>
      <c r="AE390" s="379">
        <f>SUM($Y364:AE364)</f>
        <v>0</v>
      </c>
      <c r="AF390" s="380">
        <f>SUM($Y364:AF364)</f>
        <v>0</v>
      </c>
      <c r="AG390" s="380">
        <f>SUM($Y364:AG364)</f>
        <v>0</v>
      </c>
      <c r="AH390" s="380">
        <f>SUM($Y364:AH364)</f>
        <v>0</v>
      </c>
      <c r="AI390" s="380">
        <f>SUM($Y364:AI364)</f>
        <v>0</v>
      </c>
      <c r="AJ390" s="380">
        <f>SUM($Y364:AJ364)</f>
        <v>0</v>
      </c>
      <c r="AK390" s="380">
        <f>SUM($Y364:AK364)</f>
        <v>0</v>
      </c>
      <c r="AL390" s="380">
        <f>SUM($Y364:AL364)</f>
        <v>0</v>
      </c>
      <c r="AM390" s="380">
        <f>SUM($Y364:AM364)</f>
        <v>0</v>
      </c>
      <c r="AN390" s="380">
        <f>SUM($Y364:AN364)</f>
        <v>0</v>
      </c>
      <c r="AO390" s="380">
        <f>SUM($Y364:AO364)</f>
        <v>0</v>
      </c>
      <c r="AP390" s="380">
        <f>SUM($Y364:AP364)</f>
        <v>0</v>
      </c>
      <c r="AQ390" s="380">
        <f>SUM($Y364:AQ364)</f>
        <v>0</v>
      </c>
      <c r="AR390" s="380">
        <f>SUM($Y364:AR364)</f>
        <v>0</v>
      </c>
      <c r="AS390" s="380">
        <f>SUM($Y364:AS364)</f>
        <v>0</v>
      </c>
      <c r="AT390" s="380">
        <f>SUM($Y364:AT364)</f>
        <v>0</v>
      </c>
      <c r="AU390" s="380">
        <f>SUM($Y364:AU364)</f>
        <v>0</v>
      </c>
      <c r="AV390" s="380">
        <f>SUM($Y364:AV364)</f>
        <v>0</v>
      </c>
      <c r="AW390" s="380">
        <f>SUM($Y364:AW364)</f>
        <v>0</v>
      </c>
      <c r="AX390" s="380">
        <f>SUM($Y364:AX364)</f>
        <v>0</v>
      </c>
      <c r="AY390" s="380">
        <f>SUM($Y364:AY364)</f>
        <v>0</v>
      </c>
      <c r="AZ390" s="380">
        <f>SUM($Y364:AZ364)</f>
        <v>0</v>
      </c>
      <c r="BA390" s="380">
        <f>SUM($Y364:BA364)</f>
        <v>0</v>
      </c>
      <c r="BB390" s="380">
        <f>SUM($Y364:BB364)</f>
        <v>0</v>
      </c>
      <c r="BC390" s="380">
        <f>SUM($Y364:BC364)</f>
        <v>0</v>
      </c>
      <c r="BD390" s="380">
        <f>SUM($Y364:BD364)</f>
        <v>0</v>
      </c>
      <c r="BE390" s="380">
        <f>SUM($Y364:BE364)</f>
        <v>0</v>
      </c>
      <c r="BF390" s="380">
        <f>SUM($Y364:BF364)</f>
        <v>0</v>
      </c>
      <c r="BG390" s="380">
        <f>SUM($Y364:BG364)</f>
        <v>0</v>
      </c>
      <c r="BH390" s="380">
        <f>SUM($Y364:BH364)</f>
        <v>0</v>
      </c>
      <c r="BI390" s="380">
        <f>SUM($Y364:BI364)</f>
        <v>0</v>
      </c>
      <c r="BJ390" s="380">
        <f>SUM($Y364:BJ364)</f>
        <v>0</v>
      </c>
      <c r="BK390" s="380">
        <f>SUM($Y364:BK364)</f>
        <v>0</v>
      </c>
      <c r="BL390" s="380">
        <f>SUM($Y364:BL364)</f>
        <v>0</v>
      </c>
      <c r="BM390" s="380">
        <f>SUM($Y364:BM364)</f>
        <v>0</v>
      </c>
      <c r="BN390" s="380">
        <f>SUM($Y364:BN364)</f>
        <v>0</v>
      </c>
      <c r="BO390" s="380">
        <f>SUM($Y364:BO364)</f>
        <v>0</v>
      </c>
      <c r="BP390" s="380">
        <f>SUM($Y364:BP364)</f>
        <v>0</v>
      </c>
      <c r="BQ390" s="380">
        <f>SUM($Y364:BQ364)</f>
        <v>0</v>
      </c>
      <c r="BR390" s="380">
        <f>SUM($Y364:BR364)</f>
        <v>0</v>
      </c>
      <c r="BS390" s="380">
        <f>SUM($Y364:BS364)</f>
        <v>0</v>
      </c>
      <c r="BT390" s="380">
        <f>SUM($Y364:BT364)</f>
        <v>0</v>
      </c>
      <c r="BU390" s="380">
        <f>SUM($Y364:BU364)</f>
        <v>0</v>
      </c>
      <c r="BV390" s="380">
        <f>SUM($Y364:BV364)</f>
        <v>0</v>
      </c>
      <c r="BW390" s="380">
        <f>SUM($Y364:BW364)</f>
        <v>0</v>
      </c>
      <c r="BX390" s="1169">
        <f>SUM($Y364:BX364)</f>
        <v>0</v>
      </c>
      <c r="BY390" s="1169">
        <f>SUM($Y364:BY364)</f>
        <v>0</v>
      </c>
      <c r="BZ390" s="1169">
        <f>SUM($Y364:BZ364)</f>
        <v>0</v>
      </c>
      <c r="CA390" s="1169">
        <f>SUM($Y364:CA364)</f>
        <v>0</v>
      </c>
      <c r="CB390" s="1169">
        <f>SUM($Y364:CB364)</f>
        <v>0</v>
      </c>
      <c r="CC390" s="1169">
        <f>SUM($Y364:CC364)</f>
        <v>0</v>
      </c>
      <c r="CD390" s="1169">
        <f>SUM($Y364:CD364)</f>
        <v>0</v>
      </c>
      <c r="CE390" s="1169">
        <f>SUM($Y364:CE364)</f>
        <v>0</v>
      </c>
      <c r="CF390" s="1169">
        <f>SUM($Y364:CF364)</f>
        <v>0</v>
      </c>
      <c r="CG390" s="1169">
        <f>SUM($Y364:CG364)</f>
        <v>0</v>
      </c>
      <c r="CH390" s="1169">
        <f>SUM($Y364:CH364)</f>
        <v>0</v>
      </c>
      <c r="CI390" s="1169">
        <f>SUM($Y364:CI364)</f>
        <v>0</v>
      </c>
      <c r="CJ390" s="1169">
        <f>SUM($Y364:CJ364)</f>
        <v>0</v>
      </c>
      <c r="CK390" s="1169">
        <f>SUM($Y364:CK364)</f>
        <v>0</v>
      </c>
      <c r="CL390" s="1169">
        <f>SUM($Y364:CL364)</f>
        <v>0</v>
      </c>
      <c r="CM390" s="1169">
        <f>SUM($Y364:CM364)</f>
        <v>0</v>
      </c>
      <c r="CN390" s="1169">
        <f>SUM($Y364:CN364)</f>
        <v>0</v>
      </c>
      <c r="CO390" s="1169">
        <f>SUM($Y364:CO364)</f>
        <v>0</v>
      </c>
      <c r="CP390" s="1169">
        <f>SUM($Y364:CP364)</f>
        <v>0</v>
      </c>
      <c r="CQ390" s="1122">
        <f>SUM($Y364:CQ364)</f>
        <v>0</v>
      </c>
      <c r="CR390" s="1122">
        <f>SUM($Y364:CR364)</f>
        <v>0</v>
      </c>
      <c r="CS390" s="1122">
        <f>SUM($Y364:CS364)</f>
        <v>0</v>
      </c>
      <c r="CT390" s="1122">
        <f>SUM($Y364:CT364)</f>
        <v>0</v>
      </c>
      <c r="CU390" s="1122">
        <f>SUM($Y364:CU364)</f>
        <v>0</v>
      </c>
      <c r="CV390" s="1122">
        <f>SUM($Y364:CV364)</f>
        <v>0</v>
      </c>
      <c r="CW390" s="1122">
        <f>SUM($Y364:CW364)</f>
        <v>0</v>
      </c>
      <c r="CX390" s="1122">
        <f>SUM($Y364:CX364)</f>
        <v>0</v>
      </c>
      <c r="CY390" s="1122">
        <f>SUM($Y364:CY364)</f>
        <v>0</v>
      </c>
      <c r="CZ390" s="1122">
        <f>SUM($Y364:CZ364)</f>
        <v>0</v>
      </c>
      <c r="DA390" s="1122">
        <f>SUM($Y364:DA364)</f>
        <v>0</v>
      </c>
      <c r="DB390" s="1122">
        <f>SUM($Y364:DB364)</f>
        <v>0</v>
      </c>
      <c r="DC390" s="1122">
        <f>SUM($Y364:DC364)</f>
        <v>0</v>
      </c>
      <c r="DD390" s="1122">
        <f>SUM($Y364:DD364)</f>
        <v>0</v>
      </c>
      <c r="DE390" s="1122">
        <f>SUM($Y364:DE364)</f>
        <v>0</v>
      </c>
      <c r="DF390" s="1122">
        <f>SUM($Y364:DF364)</f>
        <v>0</v>
      </c>
      <c r="DG390" s="1122">
        <f>SUM($Y364:DG364)</f>
        <v>0</v>
      </c>
      <c r="DH390" s="1122">
        <f>SUM($Y364:DH364)</f>
        <v>0</v>
      </c>
      <c r="DI390" s="1122">
        <f>SUM($Y364:DI364)</f>
        <v>0</v>
      </c>
      <c r="DJ390" s="1122">
        <f>SUM($Y364:DJ364)</f>
        <v>0</v>
      </c>
      <c r="DK390" s="1122">
        <f>SUM($Y364:DK364)</f>
        <v>0</v>
      </c>
      <c r="DL390" s="1122">
        <f>SUM($Y364:DL364)</f>
        <v>0</v>
      </c>
      <c r="DM390" s="1122">
        <f>SUM($Y364:DM364)</f>
        <v>0</v>
      </c>
      <c r="DN390" s="1122">
        <f>SUM($Y364:DN364)</f>
        <v>0</v>
      </c>
      <c r="DO390" s="1122">
        <f>SUM($Y364:DO364)</f>
        <v>0</v>
      </c>
      <c r="DP390" s="1122">
        <f>SUM($Y364:DP364)</f>
        <v>0</v>
      </c>
      <c r="DQ390" s="1122">
        <f>SUM($Y364:DQ364)</f>
        <v>0</v>
      </c>
      <c r="DR390" s="37">
        <f>SUM($Y364:DR364)</f>
        <v>0</v>
      </c>
      <c r="DS390" s="37">
        <f>SUM($Y364:DS364)</f>
        <v>0</v>
      </c>
      <c r="DT390" s="37">
        <f>SUM($Y364:DT364)</f>
        <v>0</v>
      </c>
      <c r="DU390" s="37">
        <f>SUM($Y364:DU364)</f>
        <v>0</v>
      </c>
      <c r="DV390" s="37">
        <f>SUM($Y364:DV364)</f>
        <v>0</v>
      </c>
      <c r="DW390" s="37">
        <f>SUM($Y364:DW364)</f>
        <v>0</v>
      </c>
      <c r="DX390" s="37">
        <f>SUM($Y364:DX364)</f>
        <v>0</v>
      </c>
      <c r="DY390" s="37">
        <f>SUM($Y364:DY364)</f>
        <v>0</v>
      </c>
      <c r="DZ390" s="37">
        <f>SUM($Y364:DZ364)</f>
        <v>0</v>
      </c>
      <c r="EA390" s="37">
        <f>IF(Years="Five",SUM($Y364:EA364),0)</f>
        <v>0</v>
      </c>
      <c r="EB390" s="37">
        <f>IF(Years="Five",SUM($Y364:EB364),0)</f>
        <v>0</v>
      </c>
      <c r="EC390" s="37">
        <f>IF(Years="Five",SUM($Y364:EC364),0)</f>
        <v>0</v>
      </c>
      <c r="ED390" s="37">
        <f>IF(Years="Five",SUM($Y364:ED364),0)</f>
        <v>0</v>
      </c>
      <c r="EE390" s="37">
        <f>IF(Years="Five",SUM($Y364:EE364),0)</f>
        <v>0</v>
      </c>
      <c r="EF390" s="37">
        <f>IF(Years="Five",SUM($Y364:EF364),0)</f>
        <v>0</v>
      </c>
      <c r="EG390" s="37">
        <f>IF(Years="Five",SUM($Y364:EG364),0)</f>
        <v>0</v>
      </c>
      <c r="EH390" s="37">
        <f>IF(Years="Five",SUM($Y364:EH364),0)</f>
        <v>0</v>
      </c>
      <c r="EI390" s="37">
        <f>IF(Years="Five",SUM($Y364:EI364),0)</f>
        <v>0</v>
      </c>
      <c r="EJ390" s="37">
        <f>IF(Years="Five",SUM($Y364:EJ364),0)</f>
        <v>0</v>
      </c>
      <c r="EK390" s="37">
        <f>IF(Years="Five",SUM($Y364:EK364),0)</f>
        <v>0</v>
      </c>
      <c r="EL390" s="37">
        <f>IF(Years="Five",SUM($Y364:EL364),0)</f>
        <v>0</v>
      </c>
      <c r="EM390" s="37">
        <f>IF(Years="Five",SUM($Y364:EM364),0)</f>
        <v>0</v>
      </c>
      <c r="EN390" s="37">
        <f>IF(Years="Five",SUM($Y364:EN364),0)</f>
        <v>0</v>
      </c>
      <c r="EO390" s="39">
        <v>51</v>
      </c>
      <c r="EP390" s="39">
        <v>51</v>
      </c>
      <c r="EQ390" s="39">
        <v>51</v>
      </c>
      <c r="ER390" s="39">
        <v>51</v>
      </c>
      <c r="ES390" s="39">
        <v>51</v>
      </c>
      <c r="ET390" s="39">
        <v>51</v>
      </c>
      <c r="EU390" s="39">
        <v>51</v>
      </c>
      <c r="EV390" s="39">
        <v>51</v>
      </c>
      <c r="EW390" s="39">
        <v>51</v>
      </c>
      <c r="EX390" s="39">
        <v>51</v>
      </c>
    </row>
    <row r="391" spans="11:154" ht="12" customHeight="1" x14ac:dyDescent="0.35">
      <c r="K391" s="1679"/>
      <c r="L391" s="1679"/>
      <c r="M391" s="1679"/>
      <c r="N391" s="1679"/>
      <c r="O391" s="1679"/>
      <c r="P391" s="1679"/>
      <c r="Q391" s="1679"/>
      <c r="R391" s="1679"/>
      <c r="S391" s="1679"/>
      <c r="T391" s="1679"/>
      <c r="U391" s="1680"/>
      <c r="V391" s="1680"/>
      <c r="W391" s="1680"/>
      <c r="X391" s="30" t="s">
        <v>427</v>
      </c>
      <c r="Y391" s="379">
        <f>SUM($Y388:Y388)</f>
        <v>0</v>
      </c>
      <c r="Z391" s="379">
        <f>SUM($Y388:Z388)</f>
        <v>0</v>
      </c>
      <c r="AA391" s="379">
        <f>SUM($Y388:AA388)</f>
        <v>0</v>
      </c>
      <c r="AB391" s="379">
        <f>SUM($Y388:AB388)</f>
        <v>0</v>
      </c>
      <c r="AC391" s="379">
        <f>SUM($Y388:AC388)</f>
        <v>0</v>
      </c>
      <c r="AD391" s="379">
        <f>SUM($Y388:AD388)</f>
        <v>0</v>
      </c>
      <c r="AE391" s="379">
        <f>SUM($Y388:AE388)</f>
        <v>0</v>
      </c>
      <c r="AF391" s="379">
        <f>SUM($Y388:AF388)</f>
        <v>0</v>
      </c>
      <c r="AG391" s="379">
        <f>SUM($Y388:AG388)</f>
        <v>0</v>
      </c>
      <c r="AH391" s="379">
        <f>SUM($Y388:AH388)</f>
        <v>0</v>
      </c>
      <c r="AI391" s="379">
        <f>SUM($Y388:AI388)</f>
        <v>0</v>
      </c>
      <c r="AJ391" s="379">
        <f>SUM($Y388:AJ388)</f>
        <v>0</v>
      </c>
      <c r="AK391" s="379">
        <f>SUM($Y388:AK388)</f>
        <v>0</v>
      </c>
      <c r="AL391" s="379">
        <f>SUM($Y388:AL388)</f>
        <v>0</v>
      </c>
      <c r="AM391" s="379">
        <f>SUM($Y388:AM388)</f>
        <v>0</v>
      </c>
      <c r="AN391" s="379">
        <f>SUM($Y388:AN388)</f>
        <v>0</v>
      </c>
      <c r="AO391" s="379">
        <f>SUM($Y388:AO388)</f>
        <v>0</v>
      </c>
      <c r="AP391" s="379">
        <f>SUM($Y388:AP388)</f>
        <v>0</v>
      </c>
      <c r="AQ391" s="379">
        <f>SUM($Y388:AQ388)</f>
        <v>0</v>
      </c>
      <c r="AR391" s="379">
        <f>SUM($Y388:AR388)</f>
        <v>0</v>
      </c>
      <c r="AS391" s="379">
        <f>SUM($Y388:AS388)</f>
        <v>0</v>
      </c>
      <c r="AT391" s="379">
        <f>SUM($Y388:AT388)</f>
        <v>0</v>
      </c>
      <c r="AU391" s="379">
        <f>SUM($Y388:AU388)</f>
        <v>0</v>
      </c>
      <c r="AV391" s="379">
        <f>SUM($Y388:AV388)</f>
        <v>0</v>
      </c>
      <c r="AW391" s="379">
        <f>SUM($Y388:AW388)</f>
        <v>0</v>
      </c>
      <c r="AX391" s="379">
        <f>SUM($Y388:AX388)</f>
        <v>0</v>
      </c>
      <c r="AY391" s="379">
        <f>SUM($Y388:AY388)</f>
        <v>0</v>
      </c>
      <c r="AZ391" s="379">
        <f>SUM($Y388:AZ388)</f>
        <v>0</v>
      </c>
      <c r="BA391" s="379">
        <f>SUM($Y388:BA388)</f>
        <v>0</v>
      </c>
      <c r="BB391" s="379">
        <f>SUM($Y388:BB388)</f>
        <v>0</v>
      </c>
      <c r="BC391" s="379">
        <f>SUM($Y388:BC388)</f>
        <v>0</v>
      </c>
      <c r="BD391" s="379">
        <f>SUM($Y388:BD388)</f>
        <v>0</v>
      </c>
      <c r="BE391" s="379">
        <f>SUM($Y388:BE388)</f>
        <v>0</v>
      </c>
      <c r="BF391" s="379">
        <f>SUM($Y388:BF388)</f>
        <v>0</v>
      </c>
      <c r="BG391" s="379">
        <f>SUM($Y388:BG388)</f>
        <v>0</v>
      </c>
      <c r="BH391" s="379">
        <f>SUM($Y388:BH388)</f>
        <v>0</v>
      </c>
      <c r="BI391" s="379">
        <f>SUM($Y388:BI388)</f>
        <v>0</v>
      </c>
      <c r="BJ391" s="379">
        <f>SUM($Y388:BJ388)</f>
        <v>0</v>
      </c>
      <c r="BK391" s="379">
        <f>SUM($Y388:BK388)</f>
        <v>0</v>
      </c>
      <c r="BL391" s="379">
        <f>SUM($Y388:BL388)</f>
        <v>0</v>
      </c>
      <c r="BM391" s="379">
        <f>SUM($Y388:BM388)</f>
        <v>0</v>
      </c>
      <c r="BN391" s="379">
        <f>SUM($Y388:BN388)</f>
        <v>0</v>
      </c>
      <c r="BO391" s="379">
        <f>SUM($Y388:BO388)</f>
        <v>0</v>
      </c>
      <c r="BP391" s="379">
        <f>SUM($Y388:BP388)</f>
        <v>0</v>
      </c>
      <c r="BQ391" s="379">
        <f>SUM($Y388:BQ388)</f>
        <v>0</v>
      </c>
      <c r="BR391" s="379">
        <f>SUM($Y388:BR388)</f>
        <v>0</v>
      </c>
      <c r="BS391" s="379">
        <f>SUM($Y388:BS388)</f>
        <v>0</v>
      </c>
      <c r="BT391" s="379">
        <f>SUM($Y388:BT388)</f>
        <v>0</v>
      </c>
      <c r="BU391" s="379">
        <f>SUM($Y388:BU388)</f>
        <v>0</v>
      </c>
      <c r="BV391" s="379">
        <f>SUM($Y388:BV388)</f>
        <v>0</v>
      </c>
      <c r="BW391" s="379">
        <f>SUM($Y388:BW388)</f>
        <v>0</v>
      </c>
      <c r="BX391" s="1168">
        <f>SUM($Y388:BX388)</f>
        <v>0</v>
      </c>
      <c r="BY391" s="1168">
        <f>SUM($Y388:BY388)</f>
        <v>0</v>
      </c>
      <c r="BZ391" s="1168">
        <f>SUM($Y388:BZ388)</f>
        <v>0</v>
      </c>
      <c r="CA391" s="1168">
        <f>SUM($Y388:CA388)</f>
        <v>0</v>
      </c>
      <c r="CB391" s="1168">
        <f>SUM($Y388:CB388)</f>
        <v>0</v>
      </c>
      <c r="CC391" s="1168">
        <f>SUM($Y388:CC388)</f>
        <v>0</v>
      </c>
      <c r="CD391" s="1168">
        <f>SUM($Y388:CD388)</f>
        <v>0</v>
      </c>
      <c r="CE391" s="1168">
        <f>SUM($Y388:CE388)</f>
        <v>0</v>
      </c>
      <c r="CF391" s="1168">
        <f>SUM($Y388:CF388)</f>
        <v>0</v>
      </c>
      <c r="CG391" s="1168">
        <f>SUM($Y388:CG388)</f>
        <v>0</v>
      </c>
      <c r="CH391" s="1168">
        <f>SUM($Y388:CH388)</f>
        <v>0</v>
      </c>
      <c r="CI391" s="1168">
        <f>SUM($Y388:CI388)</f>
        <v>0</v>
      </c>
      <c r="CJ391" s="1168">
        <f>SUM($Y388:CJ388)</f>
        <v>0</v>
      </c>
      <c r="CK391" s="1168">
        <f>SUM($Y388:CK388)</f>
        <v>0</v>
      </c>
      <c r="CL391" s="1168">
        <f>SUM($Y388:CL388)</f>
        <v>0</v>
      </c>
      <c r="CM391" s="1168">
        <f>SUM($Y388:CM388)</f>
        <v>0</v>
      </c>
      <c r="CN391" s="1168">
        <f>SUM($Y388:CN388)</f>
        <v>0</v>
      </c>
      <c r="CO391" s="1168">
        <f>SUM($Y388:CO388)</f>
        <v>0</v>
      </c>
      <c r="CP391" s="1168">
        <f>SUM($Y388:CP388)</f>
        <v>0</v>
      </c>
      <c r="CQ391" s="1168">
        <f>SUM($Y388:CQ388)</f>
        <v>0</v>
      </c>
      <c r="CR391" s="1168">
        <f>SUM($Y388:CR388)</f>
        <v>0</v>
      </c>
      <c r="CS391" s="1168">
        <f>SUM($Y388:CS388)</f>
        <v>0</v>
      </c>
      <c r="CT391" s="1168">
        <f>SUM($Y388:CT388)</f>
        <v>0</v>
      </c>
      <c r="CU391" s="1168">
        <f>SUM($Y388:CU388)</f>
        <v>0</v>
      </c>
      <c r="CV391" s="1168">
        <f>SUM($Y388:CV388)</f>
        <v>0</v>
      </c>
      <c r="CW391" s="1168">
        <f>SUM($Y388:CW388)</f>
        <v>0</v>
      </c>
      <c r="CX391" s="1168">
        <f>SUM($Y388:CX388)</f>
        <v>0</v>
      </c>
      <c r="CY391" s="1168">
        <f>SUM($Y388:CY388)</f>
        <v>0</v>
      </c>
      <c r="CZ391" s="1168">
        <f>SUM($Y388:CZ388)</f>
        <v>0</v>
      </c>
      <c r="DA391" s="1168">
        <f>SUM($Y388:DA388)</f>
        <v>0</v>
      </c>
      <c r="DB391" s="1168">
        <f>SUM($Y388:DB388)</f>
        <v>0</v>
      </c>
      <c r="DC391" s="1168">
        <f>SUM($Y388:DC388)</f>
        <v>0</v>
      </c>
      <c r="DD391" s="1168">
        <f>SUM($Y388:DD388)</f>
        <v>0</v>
      </c>
      <c r="DE391" s="1168">
        <f>SUM($Y388:DE388)</f>
        <v>0</v>
      </c>
      <c r="DF391" s="1168">
        <f>SUM($Y388:DF388)</f>
        <v>0</v>
      </c>
      <c r="DG391" s="1168">
        <f>SUM($Y388:DG388)</f>
        <v>0</v>
      </c>
      <c r="DH391" s="1168">
        <f>SUM($Y388:DH388)</f>
        <v>0</v>
      </c>
      <c r="DI391" s="1168">
        <f>SUM($Y388:DI388)</f>
        <v>0</v>
      </c>
      <c r="DJ391" s="1168">
        <f>SUM($Y388:DJ388)</f>
        <v>0</v>
      </c>
      <c r="DK391" s="1168">
        <f>SUM($Y388:DK388)</f>
        <v>0</v>
      </c>
      <c r="DL391" s="1168">
        <f>SUM($Y388:DL388)</f>
        <v>0</v>
      </c>
      <c r="DM391" s="1168">
        <f>SUM($Y388:DM388)</f>
        <v>0</v>
      </c>
      <c r="DN391" s="1168">
        <f>SUM($Y388:DN388)</f>
        <v>0</v>
      </c>
      <c r="DO391" s="1168">
        <f>SUM($Y388:DO388)</f>
        <v>0</v>
      </c>
      <c r="DP391" s="1168">
        <f>SUM($Y388:DP388)</f>
        <v>0</v>
      </c>
      <c r="DQ391" s="1168">
        <f>SUM($Y388:DQ388)</f>
        <v>0</v>
      </c>
      <c r="DR391" s="1168">
        <f>SUM($Y388:DR388)</f>
        <v>0</v>
      </c>
      <c r="DS391" s="1168">
        <f>SUM($Y388:DS388)</f>
        <v>0</v>
      </c>
      <c r="DT391" s="1168">
        <f>SUM($Y388:DT388)</f>
        <v>0</v>
      </c>
      <c r="DU391" s="1168">
        <f>SUM($Y388:DU388)</f>
        <v>0</v>
      </c>
      <c r="DV391" s="1168">
        <f>SUM($Y388:DV388)</f>
        <v>0</v>
      </c>
      <c r="DW391" s="1168">
        <f>SUM($Y388:DW388)</f>
        <v>0</v>
      </c>
      <c r="DX391" s="1168">
        <f>SUM($Y388:DX388)</f>
        <v>0</v>
      </c>
      <c r="DY391" s="1168">
        <f>SUM($Y388:DY388)</f>
        <v>0</v>
      </c>
      <c r="DZ391" s="1168">
        <f>SUM($Y388:DZ388)</f>
        <v>0</v>
      </c>
      <c r="EA391" s="1168">
        <f>SUM($Y388:EA388)</f>
        <v>0</v>
      </c>
      <c r="EB391" s="1168">
        <f>SUM($Y388:EB388)</f>
        <v>0</v>
      </c>
      <c r="EC391" s="1168">
        <f>SUM($Y388:EC388)</f>
        <v>0</v>
      </c>
      <c r="ED391" s="1168">
        <f>SUM($Y388:ED388)</f>
        <v>0</v>
      </c>
      <c r="EE391" s="1168">
        <f>SUM($Y388:EE388)</f>
        <v>0</v>
      </c>
      <c r="EF391" s="1168">
        <f>SUM($Y388:EF388)</f>
        <v>0</v>
      </c>
      <c r="EG391" s="1168">
        <f>SUM($Y388:EG388)</f>
        <v>0</v>
      </c>
      <c r="EH391" s="1168">
        <f>SUM($Y388:EH388)</f>
        <v>0</v>
      </c>
      <c r="EI391" s="1168">
        <f>SUM($Y388:EI388)</f>
        <v>0</v>
      </c>
      <c r="EJ391" s="1168">
        <f>SUM($Y388:EJ388)</f>
        <v>0</v>
      </c>
      <c r="EK391" s="1168">
        <f>SUM($Y388:EK388)</f>
        <v>0</v>
      </c>
      <c r="EL391" s="1168">
        <f>SUM($Y388:EL388)</f>
        <v>0</v>
      </c>
      <c r="EM391" s="1168">
        <f>SUM($Y388:EM388)</f>
        <v>0</v>
      </c>
      <c r="EN391" s="1168">
        <f>SUM($Y388:EN388)</f>
        <v>0</v>
      </c>
      <c r="EO391" s="39">
        <v>51</v>
      </c>
      <c r="EP391" s="39">
        <v>51</v>
      </c>
      <c r="EQ391" s="39">
        <v>51</v>
      </c>
      <c r="ER391" s="39">
        <v>51</v>
      </c>
      <c r="ES391" s="39">
        <v>51</v>
      </c>
      <c r="ET391" s="39">
        <v>51</v>
      </c>
      <c r="EU391" s="39">
        <v>51</v>
      </c>
      <c r="EV391" s="39">
        <v>51</v>
      </c>
      <c r="EW391" s="39">
        <v>51</v>
      </c>
      <c r="EX391" s="39">
        <v>51</v>
      </c>
    </row>
    <row r="392" spans="11:154" ht="12" customHeight="1" x14ac:dyDescent="0.35">
      <c r="K392" s="1679"/>
      <c r="L392" s="1679"/>
      <c r="M392" s="1679"/>
      <c r="N392" s="1679"/>
      <c r="O392" s="1679"/>
      <c r="P392" s="1679"/>
      <c r="Q392" s="1679"/>
      <c r="R392" s="1679"/>
      <c r="S392" s="1679"/>
      <c r="T392" s="1679"/>
      <c r="U392" s="1680"/>
      <c r="V392" s="1680"/>
      <c r="W392" s="1680"/>
      <c r="X392" s="30" t="s">
        <v>333</v>
      </c>
      <c r="Y392" s="379">
        <f>Y390-Y391</f>
        <v>0</v>
      </c>
      <c r="Z392" s="379">
        <f>Z390-Z391</f>
        <v>0</v>
      </c>
      <c r="AA392" s="379">
        <f t="shared" ref="AA392:CL392" si="204">AA390-AA391</f>
        <v>0</v>
      </c>
      <c r="AB392" s="379">
        <f t="shared" si="204"/>
        <v>0</v>
      </c>
      <c r="AC392" s="379">
        <f t="shared" si="204"/>
        <v>0</v>
      </c>
      <c r="AD392" s="379">
        <f t="shared" si="204"/>
        <v>0</v>
      </c>
      <c r="AE392" s="379">
        <f t="shared" si="204"/>
        <v>0</v>
      </c>
      <c r="AF392" s="379">
        <f t="shared" si="204"/>
        <v>0</v>
      </c>
      <c r="AG392" s="379">
        <f t="shared" si="204"/>
        <v>0</v>
      </c>
      <c r="AH392" s="379">
        <f t="shared" si="204"/>
        <v>0</v>
      </c>
      <c r="AI392" s="379">
        <f t="shared" si="204"/>
        <v>0</v>
      </c>
      <c r="AJ392" s="379">
        <f t="shared" si="204"/>
        <v>0</v>
      </c>
      <c r="AK392" s="379">
        <f t="shared" si="204"/>
        <v>0</v>
      </c>
      <c r="AL392" s="379">
        <f t="shared" si="204"/>
        <v>0</v>
      </c>
      <c r="AM392" s="379">
        <f t="shared" si="204"/>
        <v>0</v>
      </c>
      <c r="AN392" s="379">
        <f t="shared" si="204"/>
        <v>0</v>
      </c>
      <c r="AO392" s="379">
        <f t="shared" si="204"/>
        <v>0</v>
      </c>
      <c r="AP392" s="379">
        <f t="shared" si="204"/>
        <v>0</v>
      </c>
      <c r="AQ392" s="379">
        <f t="shared" si="204"/>
        <v>0</v>
      </c>
      <c r="AR392" s="379">
        <f t="shared" si="204"/>
        <v>0</v>
      </c>
      <c r="AS392" s="379">
        <f t="shared" si="204"/>
        <v>0</v>
      </c>
      <c r="AT392" s="379">
        <f t="shared" si="204"/>
        <v>0</v>
      </c>
      <c r="AU392" s="379">
        <f t="shared" si="204"/>
        <v>0</v>
      </c>
      <c r="AV392" s="379">
        <f t="shared" si="204"/>
        <v>0</v>
      </c>
      <c r="AW392" s="379">
        <f t="shared" si="204"/>
        <v>0</v>
      </c>
      <c r="AX392" s="379">
        <f t="shared" si="204"/>
        <v>0</v>
      </c>
      <c r="AY392" s="379">
        <f t="shared" si="204"/>
        <v>0</v>
      </c>
      <c r="AZ392" s="379">
        <f t="shared" si="204"/>
        <v>0</v>
      </c>
      <c r="BA392" s="379">
        <f t="shared" si="204"/>
        <v>0</v>
      </c>
      <c r="BB392" s="379">
        <f t="shared" si="204"/>
        <v>0</v>
      </c>
      <c r="BC392" s="379">
        <f t="shared" si="204"/>
        <v>0</v>
      </c>
      <c r="BD392" s="379">
        <f t="shared" si="204"/>
        <v>0</v>
      </c>
      <c r="BE392" s="379">
        <f t="shared" si="204"/>
        <v>0</v>
      </c>
      <c r="BF392" s="379">
        <f t="shared" si="204"/>
        <v>0</v>
      </c>
      <c r="BG392" s="379">
        <f t="shared" si="204"/>
        <v>0</v>
      </c>
      <c r="BH392" s="379">
        <f t="shared" si="204"/>
        <v>0</v>
      </c>
      <c r="BI392" s="379">
        <f t="shared" si="204"/>
        <v>0</v>
      </c>
      <c r="BJ392" s="379">
        <f t="shared" si="204"/>
        <v>0</v>
      </c>
      <c r="BK392" s="379">
        <f t="shared" si="204"/>
        <v>0</v>
      </c>
      <c r="BL392" s="379">
        <f t="shared" si="204"/>
        <v>0</v>
      </c>
      <c r="BM392" s="379">
        <f t="shared" si="204"/>
        <v>0</v>
      </c>
      <c r="BN392" s="379">
        <f t="shared" si="204"/>
        <v>0</v>
      </c>
      <c r="BO392" s="379">
        <f t="shared" si="204"/>
        <v>0</v>
      </c>
      <c r="BP392" s="379">
        <f t="shared" si="204"/>
        <v>0</v>
      </c>
      <c r="BQ392" s="379">
        <f t="shared" si="204"/>
        <v>0</v>
      </c>
      <c r="BR392" s="379">
        <f t="shared" si="204"/>
        <v>0</v>
      </c>
      <c r="BS392" s="379">
        <f t="shared" si="204"/>
        <v>0</v>
      </c>
      <c r="BT392" s="379">
        <f t="shared" si="204"/>
        <v>0</v>
      </c>
      <c r="BU392" s="379">
        <f t="shared" si="204"/>
        <v>0</v>
      </c>
      <c r="BV392" s="379">
        <f t="shared" si="204"/>
        <v>0</v>
      </c>
      <c r="BW392" s="379">
        <f t="shared" si="204"/>
        <v>0</v>
      </c>
      <c r="BX392" s="1168">
        <f t="shared" si="204"/>
        <v>0</v>
      </c>
      <c r="BY392" s="1168">
        <f t="shared" si="204"/>
        <v>0</v>
      </c>
      <c r="BZ392" s="1168">
        <f t="shared" si="204"/>
        <v>0</v>
      </c>
      <c r="CA392" s="1168">
        <f t="shared" si="204"/>
        <v>0</v>
      </c>
      <c r="CB392" s="1168">
        <f t="shared" si="204"/>
        <v>0</v>
      </c>
      <c r="CC392" s="1168">
        <f t="shared" si="204"/>
        <v>0</v>
      </c>
      <c r="CD392" s="1168">
        <f t="shared" si="204"/>
        <v>0</v>
      </c>
      <c r="CE392" s="1168">
        <f t="shared" si="204"/>
        <v>0</v>
      </c>
      <c r="CF392" s="1168">
        <f t="shared" si="204"/>
        <v>0</v>
      </c>
      <c r="CG392" s="1168">
        <f t="shared" si="204"/>
        <v>0</v>
      </c>
      <c r="CH392" s="1168">
        <f t="shared" si="204"/>
        <v>0</v>
      </c>
      <c r="CI392" s="1168">
        <f t="shared" si="204"/>
        <v>0</v>
      </c>
      <c r="CJ392" s="1168">
        <f t="shared" si="204"/>
        <v>0</v>
      </c>
      <c r="CK392" s="1168">
        <f t="shared" si="204"/>
        <v>0</v>
      </c>
      <c r="CL392" s="1168">
        <f t="shared" si="204"/>
        <v>0</v>
      </c>
      <c r="CM392" s="1168">
        <f t="shared" ref="CM392:EN392" si="205">CM390-CM391</f>
        <v>0</v>
      </c>
      <c r="CN392" s="1168">
        <f t="shared" si="205"/>
        <v>0</v>
      </c>
      <c r="CO392" s="1168">
        <f t="shared" si="205"/>
        <v>0</v>
      </c>
      <c r="CP392" s="1168">
        <f t="shared" si="205"/>
        <v>0</v>
      </c>
      <c r="CQ392" s="1168">
        <f t="shared" si="205"/>
        <v>0</v>
      </c>
      <c r="CR392" s="1168">
        <f t="shared" si="205"/>
        <v>0</v>
      </c>
      <c r="CS392" s="1168">
        <f t="shared" si="205"/>
        <v>0</v>
      </c>
      <c r="CT392" s="1168">
        <f t="shared" si="205"/>
        <v>0</v>
      </c>
      <c r="CU392" s="1168">
        <f t="shared" si="205"/>
        <v>0</v>
      </c>
      <c r="CV392" s="1168">
        <f t="shared" si="205"/>
        <v>0</v>
      </c>
      <c r="CW392" s="1168">
        <f t="shared" si="205"/>
        <v>0</v>
      </c>
      <c r="CX392" s="1168">
        <f t="shared" si="205"/>
        <v>0</v>
      </c>
      <c r="CY392" s="1168">
        <f t="shared" si="205"/>
        <v>0</v>
      </c>
      <c r="CZ392" s="1168">
        <f t="shared" si="205"/>
        <v>0</v>
      </c>
      <c r="DA392" s="1168">
        <f t="shared" si="205"/>
        <v>0</v>
      </c>
      <c r="DB392" s="1168">
        <f t="shared" si="205"/>
        <v>0</v>
      </c>
      <c r="DC392" s="1168">
        <f t="shared" si="205"/>
        <v>0</v>
      </c>
      <c r="DD392" s="1168">
        <f t="shared" si="205"/>
        <v>0</v>
      </c>
      <c r="DE392" s="1168">
        <f t="shared" si="205"/>
        <v>0</v>
      </c>
      <c r="DF392" s="1168">
        <f t="shared" si="205"/>
        <v>0</v>
      </c>
      <c r="DG392" s="1168">
        <f t="shared" si="205"/>
        <v>0</v>
      </c>
      <c r="DH392" s="1168">
        <f t="shared" si="205"/>
        <v>0</v>
      </c>
      <c r="DI392" s="1168">
        <f t="shared" si="205"/>
        <v>0</v>
      </c>
      <c r="DJ392" s="1168">
        <f t="shared" si="205"/>
        <v>0</v>
      </c>
      <c r="DK392" s="1168">
        <f t="shared" si="205"/>
        <v>0</v>
      </c>
      <c r="DL392" s="1168">
        <f t="shared" si="205"/>
        <v>0</v>
      </c>
      <c r="DM392" s="1168">
        <f t="shared" si="205"/>
        <v>0</v>
      </c>
      <c r="DN392" s="1168">
        <f t="shared" si="205"/>
        <v>0</v>
      </c>
      <c r="DO392" s="1168">
        <f t="shared" si="205"/>
        <v>0</v>
      </c>
      <c r="DP392" s="1168">
        <f t="shared" si="205"/>
        <v>0</v>
      </c>
      <c r="DQ392" s="1168">
        <f t="shared" si="205"/>
        <v>0</v>
      </c>
      <c r="DR392" s="1168">
        <f t="shared" si="205"/>
        <v>0</v>
      </c>
      <c r="DS392" s="1168">
        <f t="shared" si="205"/>
        <v>0</v>
      </c>
      <c r="DT392" s="1168">
        <f t="shared" si="205"/>
        <v>0</v>
      </c>
      <c r="DU392" s="1168">
        <f t="shared" si="205"/>
        <v>0</v>
      </c>
      <c r="DV392" s="1168">
        <f t="shared" si="205"/>
        <v>0</v>
      </c>
      <c r="DW392" s="1168">
        <f t="shared" si="205"/>
        <v>0</v>
      </c>
      <c r="DX392" s="1168">
        <f t="shared" si="205"/>
        <v>0</v>
      </c>
      <c r="DY392" s="1168">
        <f t="shared" si="205"/>
        <v>0</v>
      </c>
      <c r="DZ392" s="1168">
        <f t="shared" si="205"/>
        <v>0</v>
      </c>
      <c r="EA392" s="1168">
        <f t="shared" si="205"/>
        <v>0</v>
      </c>
      <c r="EB392" s="1168">
        <f t="shared" si="205"/>
        <v>0</v>
      </c>
      <c r="EC392" s="1168">
        <f t="shared" si="205"/>
        <v>0</v>
      </c>
      <c r="ED392" s="1168">
        <f t="shared" si="205"/>
        <v>0</v>
      </c>
      <c r="EE392" s="1168">
        <f t="shared" si="205"/>
        <v>0</v>
      </c>
      <c r="EF392" s="1168">
        <f t="shared" si="205"/>
        <v>0</v>
      </c>
      <c r="EG392" s="1168">
        <f t="shared" si="205"/>
        <v>0</v>
      </c>
      <c r="EH392" s="1168">
        <f t="shared" si="205"/>
        <v>0</v>
      </c>
      <c r="EI392" s="1168">
        <f t="shared" si="205"/>
        <v>0</v>
      </c>
      <c r="EJ392" s="1168">
        <f t="shared" si="205"/>
        <v>0</v>
      </c>
      <c r="EK392" s="1168">
        <f t="shared" si="205"/>
        <v>0</v>
      </c>
      <c r="EL392" s="1168">
        <f t="shared" si="205"/>
        <v>0</v>
      </c>
      <c r="EM392" s="1168">
        <f t="shared" si="205"/>
        <v>0</v>
      </c>
      <c r="EN392" s="1168">
        <f t="shared" si="205"/>
        <v>0</v>
      </c>
      <c r="EO392" s="39">
        <v>51</v>
      </c>
      <c r="EP392" s="39">
        <v>51</v>
      </c>
      <c r="EQ392" s="39">
        <v>51</v>
      </c>
      <c r="ER392" s="39">
        <v>51</v>
      </c>
      <c r="ES392" s="39">
        <v>51</v>
      </c>
      <c r="ET392" s="39">
        <v>51</v>
      </c>
      <c r="EU392" s="39">
        <v>51</v>
      </c>
      <c r="EV392" s="39">
        <v>51</v>
      </c>
      <c r="EW392" s="39">
        <v>51</v>
      </c>
      <c r="EX392" s="39">
        <v>51</v>
      </c>
    </row>
    <row r="393" spans="11:154" ht="12" customHeight="1" x14ac:dyDescent="0.35">
      <c r="K393" s="1667"/>
      <c r="L393" s="1667"/>
      <c r="M393" s="1667"/>
      <c r="N393" s="1667"/>
      <c r="O393" s="1667"/>
      <c r="P393" s="1667"/>
      <c r="Q393" s="1667"/>
      <c r="R393" s="1667"/>
      <c r="S393" s="1667"/>
      <c r="T393" s="1667"/>
      <c r="U393" s="59"/>
      <c r="V393" s="59"/>
      <c r="W393" s="59"/>
      <c r="X393" s="376"/>
      <c r="Y393" s="29"/>
      <c r="Z393" s="29"/>
      <c r="AA393" s="29"/>
      <c r="AB393" s="29"/>
      <c r="AC393" s="29"/>
      <c r="AD393" s="29"/>
      <c r="AE393" s="29"/>
      <c r="AF393" s="376"/>
      <c r="AG393" s="376"/>
      <c r="AH393" s="376"/>
      <c r="AI393" s="376"/>
      <c r="AJ393" s="376"/>
      <c r="AK393" s="376"/>
      <c r="AL393" s="376"/>
      <c r="AM393" s="376"/>
      <c r="AN393" s="376"/>
      <c r="AO393" s="376"/>
      <c r="AP393" s="376"/>
      <c r="AQ393" s="376"/>
      <c r="AR393" s="376"/>
      <c r="AS393" s="376"/>
      <c r="AT393" s="376"/>
      <c r="AU393" s="376"/>
      <c r="AV393" s="376"/>
      <c r="AW393" s="376"/>
      <c r="AX393" s="376"/>
      <c r="AY393" s="376"/>
      <c r="AZ393" s="376"/>
      <c r="BA393" s="376"/>
      <c r="BB393" s="376"/>
      <c r="BC393" s="376"/>
      <c r="BD393" s="376"/>
      <c r="BE393" s="376"/>
      <c r="BF393" s="376"/>
      <c r="BG393" s="376"/>
      <c r="BH393" s="376"/>
      <c r="BI393" s="376"/>
      <c r="BJ393" s="376"/>
      <c r="BK393" s="376"/>
      <c r="BL393" s="376"/>
      <c r="BM393" s="376"/>
      <c r="BN393" s="376"/>
      <c r="BO393" s="376"/>
      <c r="BP393" s="376"/>
      <c r="BQ393" s="376"/>
      <c r="BR393" s="376"/>
      <c r="BS393" s="376"/>
      <c r="BT393" s="376"/>
      <c r="BU393" s="376"/>
      <c r="BV393" s="376"/>
      <c r="BW393" s="376"/>
      <c r="BX393" s="158"/>
      <c r="BY393" s="158"/>
      <c r="BZ393" s="158"/>
      <c r="CA393" s="158"/>
      <c r="CB393" s="158"/>
      <c r="CC393" s="158"/>
      <c r="CD393" s="158"/>
      <c r="CE393" s="158"/>
      <c r="CF393" s="158"/>
      <c r="CG393" s="158"/>
      <c r="CH393" s="158"/>
      <c r="CI393" s="158"/>
      <c r="CJ393" s="158"/>
      <c r="CK393" s="158"/>
      <c r="CL393" s="158"/>
      <c r="CM393" s="158"/>
      <c r="CN393" s="158"/>
      <c r="CO393" s="158"/>
      <c r="CP393" s="158"/>
      <c r="CQ393" s="54"/>
      <c r="CR393" s="54"/>
      <c r="CS393" s="54"/>
      <c r="CT393" s="54"/>
      <c r="CU393" s="54"/>
      <c r="CV393" s="54"/>
      <c r="CW393" s="54"/>
      <c r="CX393" s="54"/>
      <c r="CY393" s="54"/>
      <c r="CZ393" s="54"/>
      <c r="DA393" s="54"/>
      <c r="DB393" s="54"/>
      <c r="DC393" s="54"/>
      <c r="DD393" s="54"/>
      <c r="DE393" s="54"/>
      <c r="DF393" s="54"/>
      <c r="DG393" s="54"/>
      <c r="DH393" s="54"/>
      <c r="DI393" s="54"/>
      <c r="DJ393" s="54"/>
      <c r="DK393" s="54"/>
      <c r="DL393" s="54"/>
      <c r="DM393" s="54"/>
      <c r="DN393" s="54"/>
      <c r="DO393" s="54"/>
      <c r="DP393" s="54"/>
      <c r="DQ393" s="54"/>
      <c r="DR393" s="38"/>
      <c r="DS393" s="38"/>
      <c r="DT393" s="38"/>
      <c r="DU393" s="38"/>
      <c r="DV393" s="38"/>
      <c r="DW393" s="38"/>
      <c r="DX393" s="38"/>
      <c r="DY393" s="38"/>
      <c r="DZ393" s="38"/>
      <c r="EA393" s="38"/>
      <c r="EB393" s="38"/>
      <c r="EC393" s="38"/>
      <c r="ED393" s="38"/>
      <c r="EE393" s="38"/>
      <c r="EF393" s="38"/>
      <c r="EG393" s="38"/>
      <c r="EH393" s="38"/>
      <c r="EI393" s="38"/>
      <c r="EJ393" s="38"/>
      <c r="EK393" s="38"/>
      <c r="EL393" s="38"/>
      <c r="EM393" s="38"/>
      <c r="EN393" s="38"/>
      <c r="EO393" s="39">
        <v>51</v>
      </c>
      <c r="EP393" s="39">
        <v>51</v>
      </c>
      <c r="EQ393" s="39">
        <v>51</v>
      </c>
      <c r="ER393" s="39">
        <v>51</v>
      </c>
      <c r="ES393" s="39">
        <v>51</v>
      </c>
      <c r="ET393" s="39">
        <v>51</v>
      </c>
      <c r="EU393" s="39">
        <v>51</v>
      </c>
      <c r="EV393" s="39">
        <v>51</v>
      </c>
      <c r="EW393" s="39">
        <v>51</v>
      </c>
      <c r="EX393" s="39">
        <v>51</v>
      </c>
    </row>
    <row r="394" spans="11:154" ht="12" customHeight="1" x14ac:dyDescent="0.35">
      <c r="K394" s="1667"/>
      <c r="L394" s="1667"/>
      <c r="M394" s="1667"/>
      <c r="N394" s="1667"/>
      <c r="O394" s="1667"/>
      <c r="P394" s="1667"/>
      <c r="Q394" s="1667"/>
      <c r="R394" s="1667"/>
      <c r="S394" s="1667"/>
      <c r="T394" s="1667"/>
      <c r="U394" s="59"/>
      <c r="V394" s="59"/>
      <c r="W394" s="59"/>
      <c r="X394" s="376" t="s">
        <v>428</v>
      </c>
      <c r="Y394" s="1681">
        <f t="shared" ref="Y394:AE394" si="206">Y304+Y364</f>
        <v>0</v>
      </c>
      <c r="Z394" s="1681">
        <f t="shared" si="206"/>
        <v>0</v>
      </c>
      <c r="AA394" s="1681">
        <f t="shared" si="206"/>
        <v>0</v>
      </c>
      <c r="AB394" s="1681">
        <f t="shared" si="206"/>
        <v>0</v>
      </c>
      <c r="AC394" s="1681">
        <f t="shared" si="206"/>
        <v>0</v>
      </c>
      <c r="AD394" s="1681">
        <f t="shared" si="206"/>
        <v>0</v>
      </c>
      <c r="AE394" s="1681">
        <f t="shared" si="206"/>
        <v>0</v>
      </c>
      <c r="AF394" s="1682">
        <f>AF304+AF364</f>
        <v>0</v>
      </c>
      <c r="AG394" s="1682">
        <f>AG304+AG364</f>
        <v>0</v>
      </c>
      <c r="AH394" s="1682">
        <f>AH304+AH364</f>
        <v>0</v>
      </c>
      <c r="AI394" s="1683">
        <f>AI304+AI365</f>
        <v>0</v>
      </c>
      <c r="AJ394" s="1683">
        <f t="shared" ref="AJ394:CU394" si="207">AJ304+AJ365</f>
        <v>0</v>
      </c>
      <c r="AK394" s="1683">
        <f t="shared" si="207"/>
        <v>0</v>
      </c>
      <c r="AL394" s="1683">
        <f t="shared" si="207"/>
        <v>0</v>
      </c>
      <c r="AM394" s="1683">
        <f t="shared" si="207"/>
        <v>0</v>
      </c>
      <c r="AN394" s="1683">
        <f t="shared" si="207"/>
        <v>0</v>
      </c>
      <c r="AO394" s="1683">
        <f t="shared" si="207"/>
        <v>0</v>
      </c>
      <c r="AP394" s="1683">
        <f t="shared" si="207"/>
        <v>0</v>
      </c>
      <c r="AQ394" s="1683">
        <f t="shared" si="207"/>
        <v>0</v>
      </c>
      <c r="AR394" s="1683">
        <f t="shared" si="207"/>
        <v>0</v>
      </c>
      <c r="AS394" s="1683">
        <f t="shared" si="207"/>
        <v>0</v>
      </c>
      <c r="AT394" s="1683">
        <f t="shared" si="207"/>
        <v>0</v>
      </c>
      <c r="AU394" s="1683">
        <f t="shared" si="207"/>
        <v>0</v>
      </c>
      <c r="AV394" s="1683">
        <f t="shared" si="207"/>
        <v>0</v>
      </c>
      <c r="AW394" s="1683">
        <f t="shared" si="207"/>
        <v>0</v>
      </c>
      <c r="AX394" s="1683">
        <f t="shared" si="207"/>
        <v>0</v>
      </c>
      <c r="AY394" s="1683">
        <f t="shared" si="207"/>
        <v>0</v>
      </c>
      <c r="AZ394" s="1683">
        <f t="shared" si="207"/>
        <v>0</v>
      </c>
      <c r="BA394" s="1683">
        <f t="shared" si="207"/>
        <v>0</v>
      </c>
      <c r="BB394" s="1683">
        <f t="shared" si="207"/>
        <v>0</v>
      </c>
      <c r="BC394" s="1683">
        <f t="shared" si="207"/>
        <v>0</v>
      </c>
      <c r="BD394" s="1683">
        <f t="shared" si="207"/>
        <v>0</v>
      </c>
      <c r="BE394" s="1683">
        <f t="shared" si="207"/>
        <v>0</v>
      </c>
      <c r="BF394" s="1683">
        <f t="shared" si="207"/>
        <v>0</v>
      </c>
      <c r="BG394" s="1683">
        <f t="shared" si="207"/>
        <v>0</v>
      </c>
      <c r="BH394" s="1683">
        <f t="shared" si="207"/>
        <v>0</v>
      </c>
      <c r="BI394" s="1683">
        <f t="shared" si="207"/>
        <v>0</v>
      </c>
      <c r="BJ394" s="1683">
        <f t="shared" si="207"/>
        <v>0</v>
      </c>
      <c r="BK394" s="1683">
        <f t="shared" si="207"/>
        <v>0</v>
      </c>
      <c r="BL394" s="1683">
        <f t="shared" si="207"/>
        <v>0</v>
      </c>
      <c r="BM394" s="1683">
        <f t="shared" si="207"/>
        <v>0</v>
      </c>
      <c r="BN394" s="1683">
        <f t="shared" si="207"/>
        <v>0</v>
      </c>
      <c r="BO394" s="1683">
        <f t="shared" si="207"/>
        <v>0</v>
      </c>
      <c r="BP394" s="1683">
        <f t="shared" si="207"/>
        <v>0</v>
      </c>
      <c r="BQ394" s="1683">
        <f t="shared" si="207"/>
        <v>0</v>
      </c>
      <c r="BR394" s="1683">
        <f t="shared" si="207"/>
        <v>0</v>
      </c>
      <c r="BS394" s="1683">
        <f t="shared" si="207"/>
        <v>0</v>
      </c>
      <c r="BT394" s="1683">
        <f t="shared" si="207"/>
        <v>0</v>
      </c>
      <c r="BU394" s="1683">
        <f t="shared" si="207"/>
        <v>0</v>
      </c>
      <c r="BV394" s="1683">
        <f t="shared" si="207"/>
        <v>0</v>
      </c>
      <c r="BW394" s="1683">
        <f t="shared" si="207"/>
        <v>0</v>
      </c>
      <c r="BX394" s="1170">
        <f t="shared" si="207"/>
        <v>0</v>
      </c>
      <c r="BY394" s="1170">
        <f t="shared" si="207"/>
        <v>0</v>
      </c>
      <c r="BZ394" s="1170">
        <f t="shared" si="207"/>
        <v>0</v>
      </c>
      <c r="CA394" s="1170">
        <f t="shared" si="207"/>
        <v>0</v>
      </c>
      <c r="CB394" s="1170">
        <f t="shared" si="207"/>
        <v>0</v>
      </c>
      <c r="CC394" s="1170">
        <f t="shared" si="207"/>
        <v>0</v>
      </c>
      <c r="CD394" s="1170">
        <f t="shared" si="207"/>
        <v>0</v>
      </c>
      <c r="CE394" s="1170">
        <f t="shared" si="207"/>
        <v>0</v>
      </c>
      <c r="CF394" s="1170">
        <f t="shared" si="207"/>
        <v>0</v>
      </c>
      <c r="CG394" s="1170">
        <f t="shared" si="207"/>
        <v>0</v>
      </c>
      <c r="CH394" s="1170">
        <f t="shared" si="207"/>
        <v>0</v>
      </c>
      <c r="CI394" s="1170">
        <f t="shared" si="207"/>
        <v>0</v>
      </c>
      <c r="CJ394" s="1170">
        <f t="shared" si="207"/>
        <v>0</v>
      </c>
      <c r="CK394" s="1170">
        <f t="shared" si="207"/>
        <v>0</v>
      </c>
      <c r="CL394" s="1170">
        <f t="shared" si="207"/>
        <v>0</v>
      </c>
      <c r="CM394" s="1170">
        <f t="shared" si="207"/>
        <v>0</v>
      </c>
      <c r="CN394" s="1170">
        <f t="shared" si="207"/>
        <v>0</v>
      </c>
      <c r="CO394" s="1170">
        <f t="shared" si="207"/>
        <v>0</v>
      </c>
      <c r="CP394" s="1170">
        <f t="shared" si="207"/>
        <v>0</v>
      </c>
      <c r="CQ394" s="1123">
        <f t="shared" si="207"/>
        <v>0</v>
      </c>
      <c r="CR394" s="1123">
        <f t="shared" si="207"/>
        <v>0</v>
      </c>
      <c r="CS394" s="1123">
        <f t="shared" si="207"/>
        <v>0</v>
      </c>
      <c r="CT394" s="1123">
        <f t="shared" si="207"/>
        <v>0</v>
      </c>
      <c r="CU394" s="1123">
        <f t="shared" si="207"/>
        <v>0</v>
      </c>
      <c r="CV394" s="1123">
        <f t="shared" ref="CV394:EN394" si="208">CV304+CV365</f>
        <v>0</v>
      </c>
      <c r="CW394" s="1123">
        <f t="shared" si="208"/>
        <v>0</v>
      </c>
      <c r="CX394" s="1123">
        <f t="shared" si="208"/>
        <v>0</v>
      </c>
      <c r="CY394" s="1123">
        <f t="shared" si="208"/>
        <v>0</v>
      </c>
      <c r="CZ394" s="1123">
        <f t="shared" si="208"/>
        <v>0</v>
      </c>
      <c r="DA394" s="1123">
        <f t="shared" si="208"/>
        <v>0</v>
      </c>
      <c r="DB394" s="1123">
        <f t="shared" si="208"/>
        <v>0</v>
      </c>
      <c r="DC394" s="1123">
        <f t="shared" si="208"/>
        <v>0</v>
      </c>
      <c r="DD394" s="1123">
        <f t="shared" si="208"/>
        <v>0</v>
      </c>
      <c r="DE394" s="1123">
        <f t="shared" si="208"/>
        <v>0</v>
      </c>
      <c r="DF394" s="1123">
        <f t="shared" si="208"/>
        <v>0</v>
      </c>
      <c r="DG394" s="1123">
        <f t="shared" si="208"/>
        <v>0</v>
      </c>
      <c r="DH394" s="1123">
        <f t="shared" si="208"/>
        <v>0</v>
      </c>
      <c r="DI394" s="1123">
        <f t="shared" si="208"/>
        <v>0</v>
      </c>
      <c r="DJ394" s="1123">
        <f t="shared" si="208"/>
        <v>0</v>
      </c>
      <c r="DK394" s="1123">
        <f t="shared" si="208"/>
        <v>0</v>
      </c>
      <c r="DL394" s="1123">
        <f t="shared" si="208"/>
        <v>0</v>
      </c>
      <c r="DM394" s="1123">
        <f t="shared" si="208"/>
        <v>0</v>
      </c>
      <c r="DN394" s="1123">
        <f t="shared" si="208"/>
        <v>0</v>
      </c>
      <c r="DO394" s="1123">
        <f t="shared" si="208"/>
        <v>0</v>
      </c>
      <c r="DP394" s="1123">
        <f t="shared" si="208"/>
        <v>0</v>
      </c>
      <c r="DQ394" s="1123">
        <f t="shared" si="208"/>
        <v>0</v>
      </c>
      <c r="DR394" s="51">
        <f t="shared" si="208"/>
        <v>0</v>
      </c>
      <c r="DS394" s="51">
        <f t="shared" si="208"/>
        <v>0</v>
      </c>
      <c r="DT394" s="51">
        <f t="shared" si="208"/>
        <v>0</v>
      </c>
      <c r="DU394" s="51">
        <f t="shared" si="208"/>
        <v>0</v>
      </c>
      <c r="DV394" s="51">
        <f t="shared" si="208"/>
        <v>0</v>
      </c>
      <c r="DW394" s="51">
        <f t="shared" si="208"/>
        <v>0</v>
      </c>
      <c r="DX394" s="51">
        <f t="shared" si="208"/>
        <v>0</v>
      </c>
      <c r="DY394" s="51">
        <f t="shared" si="208"/>
        <v>0</v>
      </c>
      <c r="DZ394" s="51">
        <f t="shared" si="208"/>
        <v>0</v>
      </c>
      <c r="EA394" s="51">
        <f t="shared" si="208"/>
        <v>0</v>
      </c>
      <c r="EB394" s="51">
        <f t="shared" si="208"/>
        <v>0</v>
      </c>
      <c r="EC394" s="51">
        <f t="shared" si="208"/>
        <v>0</v>
      </c>
      <c r="ED394" s="51">
        <f t="shared" si="208"/>
        <v>0</v>
      </c>
      <c r="EE394" s="51">
        <f t="shared" si="208"/>
        <v>0</v>
      </c>
      <c r="EF394" s="51">
        <f t="shared" si="208"/>
        <v>0</v>
      </c>
      <c r="EG394" s="51">
        <f t="shared" si="208"/>
        <v>0</v>
      </c>
      <c r="EH394" s="51">
        <f t="shared" si="208"/>
        <v>0</v>
      </c>
      <c r="EI394" s="51">
        <f t="shared" si="208"/>
        <v>0</v>
      </c>
      <c r="EJ394" s="51">
        <f t="shared" si="208"/>
        <v>0</v>
      </c>
      <c r="EK394" s="51">
        <f t="shared" si="208"/>
        <v>0</v>
      </c>
      <c r="EL394" s="51">
        <f t="shared" si="208"/>
        <v>0</v>
      </c>
      <c r="EM394" s="51">
        <f t="shared" si="208"/>
        <v>0</v>
      </c>
      <c r="EN394" s="51">
        <f t="shared" si="208"/>
        <v>0</v>
      </c>
      <c r="EO394" s="39">
        <v>51</v>
      </c>
      <c r="EP394" s="39">
        <v>51</v>
      </c>
      <c r="EQ394" s="39">
        <v>51</v>
      </c>
      <c r="ER394" s="39">
        <v>51</v>
      </c>
      <c r="ES394" s="39">
        <v>51</v>
      </c>
      <c r="ET394" s="39">
        <v>51</v>
      </c>
      <c r="EU394" s="39">
        <v>51</v>
      </c>
      <c r="EV394" s="39">
        <v>51</v>
      </c>
      <c r="EW394" s="39">
        <v>51</v>
      </c>
      <c r="EX394" s="39">
        <v>51</v>
      </c>
    </row>
    <row r="395" spans="11:154" ht="12" customHeight="1" x14ac:dyDescent="0.35">
      <c r="K395" s="1610"/>
      <c r="L395" s="1610"/>
      <c r="M395" s="1610"/>
      <c r="N395" s="1610"/>
      <c r="O395" s="1610"/>
      <c r="P395" s="1610"/>
      <c r="Q395" s="1610"/>
      <c r="R395" s="1610"/>
      <c r="S395" s="1610"/>
      <c r="T395" s="1610"/>
      <c r="U395" s="1597"/>
      <c r="V395" s="1597"/>
      <c r="W395" s="1597"/>
      <c r="X395" s="1597"/>
      <c r="Y395" s="1597"/>
      <c r="Z395" s="1597"/>
      <c r="AA395" s="1597"/>
      <c r="AB395" s="1597"/>
      <c r="AC395" s="1597"/>
      <c r="AD395" s="1597"/>
      <c r="AE395" s="1597"/>
      <c r="AF395" s="1171"/>
      <c r="AG395" s="1171"/>
      <c r="AH395" s="1171"/>
      <c r="AI395" s="1171"/>
      <c r="AJ395" s="1171"/>
      <c r="AK395" s="1171"/>
      <c r="AL395" s="1171"/>
      <c r="AM395" s="1171"/>
      <c r="AN395" s="1171"/>
      <c r="AO395" s="1171"/>
      <c r="AP395" s="1171"/>
      <c r="AQ395" s="1171"/>
      <c r="AR395" s="1171"/>
      <c r="AS395" s="1171"/>
      <c r="AT395" s="1171"/>
      <c r="AU395" s="1171"/>
      <c r="AV395" s="1171"/>
      <c r="AW395" s="1171"/>
      <c r="AX395" s="1171"/>
      <c r="AY395" s="1171"/>
      <c r="AZ395" s="1171"/>
      <c r="BA395" s="1171"/>
      <c r="BB395" s="1171"/>
      <c r="BC395" s="1171"/>
      <c r="BD395" s="1171"/>
      <c r="BE395" s="1171"/>
      <c r="BF395" s="1171"/>
      <c r="BG395" s="1171"/>
      <c r="BH395" s="1171"/>
      <c r="BI395" s="1171"/>
      <c r="BJ395" s="1171"/>
      <c r="BK395" s="1171"/>
      <c r="BL395" s="1171"/>
      <c r="BM395" s="1171"/>
      <c r="BN395" s="1171"/>
      <c r="BO395" s="1171"/>
      <c r="BP395" s="1171"/>
      <c r="BQ395" s="1171"/>
      <c r="BR395" s="1171"/>
      <c r="BS395" s="1171"/>
      <c r="BT395" s="1171"/>
      <c r="BU395" s="1171"/>
      <c r="BV395" s="1171"/>
      <c r="BW395" s="1171"/>
      <c r="BX395" s="1183"/>
      <c r="BY395" s="1183"/>
      <c r="BZ395" s="1183"/>
      <c r="CA395" s="1183"/>
      <c r="CB395" s="1183"/>
      <c r="CC395" s="1183"/>
      <c r="CD395" s="1183"/>
      <c r="CE395" s="1183"/>
      <c r="CF395" s="1183"/>
      <c r="CG395" s="1183"/>
      <c r="CH395" s="1183"/>
      <c r="CI395" s="1183"/>
      <c r="CJ395" s="1183"/>
      <c r="CK395" s="1183"/>
      <c r="CL395" s="1183"/>
      <c r="CM395" s="1183"/>
      <c r="CN395" s="1183"/>
      <c r="CO395" s="1183"/>
      <c r="CP395" s="1183"/>
      <c r="CQ395" s="1301"/>
      <c r="CR395" s="1301"/>
      <c r="CS395" s="1301"/>
      <c r="CT395" s="1301"/>
      <c r="CU395" s="1301"/>
      <c r="CV395" s="1301"/>
      <c r="CW395" s="1301"/>
      <c r="CX395" s="1301"/>
      <c r="CY395" s="1301"/>
      <c r="CZ395" s="1301"/>
      <c r="DA395" s="1301"/>
      <c r="DB395" s="1301"/>
      <c r="DC395" s="1301"/>
      <c r="DD395" s="1301"/>
      <c r="DE395" s="1301"/>
      <c r="DF395" s="1301"/>
      <c r="DG395" s="1301"/>
      <c r="DH395" s="1301"/>
      <c r="DI395" s="1301"/>
      <c r="DJ395" s="1301"/>
      <c r="DK395" s="1301"/>
      <c r="DL395" s="1301"/>
      <c r="DM395" s="1301"/>
      <c r="DN395" s="1301"/>
      <c r="DO395" s="1301"/>
      <c r="DP395" s="1301"/>
      <c r="DQ395" s="1301"/>
      <c r="DR395" s="1300"/>
      <c r="DS395" s="1300"/>
      <c r="DT395" s="1300"/>
      <c r="DU395" s="1300"/>
      <c r="DV395" s="1300"/>
      <c r="DW395" s="1300"/>
      <c r="DX395" s="1300"/>
      <c r="DY395" s="1300"/>
      <c r="DZ395" s="1300"/>
      <c r="EA395" s="1300"/>
      <c r="EB395" s="1300"/>
      <c r="EC395" s="1300"/>
      <c r="ED395" s="1300"/>
      <c r="EE395" s="1300"/>
      <c r="EF395" s="1300"/>
      <c r="EG395" s="1300"/>
      <c r="EH395" s="1300"/>
      <c r="EI395" s="1300"/>
      <c r="EJ395" s="1300"/>
      <c r="EK395" s="1300"/>
      <c r="EL395" s="1300"/>
      <c r="EM395" s="1300"/>
      <c r="EN395" s="1300"/>
      <c r="EO395" s="39">
        <v>51</v>
      </c>
      <c r="EP395" s="39">
        <v>51</v>
      </c>
      <c r="EQ395" s="39">
        <v>51</v>
      </c>
      <c r="ER395" s="39">
        <v>51</v>
      </c>
      <c r="ES395" s="39">
        <v>51</v>
      </c>
      <c r="ET395" s="39">
        <v>51</v>
      </c>
      <c r="EU395" s="39">
        <v>51</v>
      </c>
      <c r="EV395" s="39">
        <v>51</v>
      </c>
      <c r="EW395" s="39">
        <v>51</v>
      </c>
      <c r="EX395" s="39">
        <v>51</v>
      </c>
    </row>
    <row r="396" spans="11:154" ht="12" customHeight="1" x14ac:dyDescent="0.35">
      <c r="K396" s="1610"/>
      <c r="L396" s="1610"/>
      <c r="M396" s="1610"/>
      <c r="N396" s="1610"/>
      <c r="O396" s="1610"/>
      <c r="P396" s="1610"/>
      <c r="Q396" s="1610"/>
      <c r="R396" s="1610"/>
      <c r="S396" s="1610"/>
      <c r="T396" s="1610"/>
      <c r="U396" s="1597"/>
      <c r="V396" s="1597"/>
      <c r="W396" s="1597"/>
      <c r="X396" s="1597"/>
      <c r="Y396" s="1597"/>
      <c r="Z396" s="1597"/>
      <c r="AA396" s="1597"/>
      <c r="AB396" s="1597"/>
      <c r="AC396" s="1597"/>
      <c r="AD396" s="1597"/>
      <c r="AE396" s="1597"/>
      <c r="AF396" s="1171"/>
      <c r="AG396" s="1171"/>
      <c r="AH396" s="1171"/>
      <c r="AI396" s="1171"/>
      <c r="AJ396" s="1171"/>
      <c r="AK396" s="1171"/>
      <c r="AL396" s="1171"/>
      <c r="AM396" s="1171"/>
      <c r="AN396" s="1171"/>
      <c r="AO396" s="1171"/>
      <c r="AP396" s="1171"/>
      <c r="AQ396" s="1171"/>
      <c r="AR396" s="1171"/>
      <c r="AS396" s="1171"/>
      <c r="AT396" s="1171"/>
      <c r="AU396" s="1171"/>
      <c r="AV396" s="1171"/>
      <c r="AW396" s="1171"/>
      <c r="AX396" s="1171"/>
      <c r="AY396" s="1171"/>
      <c r="AZ396" s="1171"/>
      <c r="BA396" s="1171"/>
      <c r="BB396" s="1171"/>
      <c r="BC396" s="1171"/>
      <c r="BD396" s="1171"/>
      <c r="BE396" s="1171"/>
      <c r="BF396" s="1171"/>
      <c r="BG396" s="1171"/>
      <c r="BH396" s="1171"/>
      <c r="BI396" s="1171"/>
      <c r="BJ396" s="1171"/>
      <c r="BK396" s="1171"/>
      <c r="BL396" s="1171"/>
      <c r="BM396" s="1171"/>
      <c r="BN396" s="1171"/>
      <c r="BO396" s="1171"/>
      <c r="BP396" s="1171"/>
      <c r="BQ396" s="1171"/>
      <c r="BR396" s="1171"/>
      <c r="BS396" s="1171"/>
      <c r="BT396" s="1171"/>
      <c r="BU396" s="1171"/>
      <c r="BV396" s="1171"/>
      <c r="BW396" s="1171"/>
      <c r="BX396" s="1183"/>
      <c r="BY396" s="1183"/>
      <c r="BZ396" s="1183"/>
      <c r="CA396" s="1183"/>
      <c r="CB396" s="1183"/>
      <c r="CC396" s="1183"/>
      <c r="CD396" s="1183"/>
      <c r="CE396" s="1183"/>
      <c r="CF396" s="1183"/>
      <c r="CG396" s="1183"/>
      <c r="CH396" s="1183"/>
      <c r="CI396" s="1183"/>
      <c r="CJ396" s="1183"/>
      <c r="CK396" s="1183"/>
      <c r="CL396" s="1183"/>
      <c r="CM396" s="1183"/>
      <c r="CN396" s="1183"/>
      <c r="CO396" s="1183"/>
      <c r="CP396" s="1183"/>
      <c r="CQ396" s="1301"/>
      <c r="CR396" s="1301"/>
      <c r="CS396" s="1301"/>
      <c r="CT396" s="1301"/>
      <c r="CU396" s="1301"/>
      <c r="CV396" s="1301"/>
      <c r="CW396" s="1301"/>
      <c r="CX396" s="1301"/>
      <c r="CY396" s="1301"/>
      <c r="CZ396" s="1301"/>
      <c r="DA396" s="1301"/>
      <c r="DB396" s="1301"/>
      <c r="DC396" s="1301"/>
      <c r="DD396" s="1301"/>
      <c r="DE396" s="1301"/>
      <c r="DF396" s="1301"/>
      <c r="DG396" s="1301"/>
      <c r="DH396" s="1301"/>
      <c r="DI396" s="1301"/>
      <c r="DJ396" s="1301"/>
      <c r="DK396" s="1301"/>
      <c r="DL396" s="1301"/>
      <c r="DM396" s="1301"/>
      <c r="DN396" s="1301"/>
      <c r="DO396" s="1301"/>
      <c r="DP396" s="1301"/>
      <c r="DQ396" s="1301"/>
      <c r="DR396" s="1300"/>
      <c r="DS396" s="1300"/>
      <c r="DT396" s="1300"/>
      <c r="DU396" s="1300"/>
      <c r="DV396" s="1300"/>
      <c r="DW396" s="1300"/>
      <c r="DX396" s="1300"/>
      <c r="DY396" s="1300"/>
      <c r="DZ396" s="1300"/>
      <c r="EA396" s="1300"/>
      <c r="EB396" s="1300"/>
      <c r="EC396" s="1300"/>
      <c r="ED396" s="1300"/>
      <c r="EE396" s="1300"/>
      <c r="EF396" s="1300"/>
      <c r="EG396" s="1300"/>
      <c r="EH396" s="1300"/>
      <c r="EI396" s="1300"/>
      <c r="EJ396" s="1300"/>
      <c r="EK396" s="1300"/>
      <c r="EL396" s="1300"/>
      <c r="EM396" s="1300"/>
      <c r="EN396" s="1300"/>
      <c r="EO396" s="39">
        <v>51</v>
      </c>
      <c r="EP396" s="39">
        <v>51</v>
      </c>
      <c r="EQ396" s="39">
        <v>51</v>
      </c>
      <c r="ER396" s="39">
        <v>51</v>
      </c>
      <c r="ES396" s="39">
        <v>51</v>
      </c>
      <c r="ET396" s="39">
        <v>51</v>
      </c>
      <c r="EU396" s="39">
        <v>51</v>
      </c>
      <c r="EV396" s="39">
        <v>51</v>
      </c>
      <c r="EW396" s="39">
        <v>51</v>
      </c>
      <c r="EX396" s="39">
        <v>51</v>
      </c>
    </row>
    <row r="397" spans="11:154" ht="12" customHeight="1" x14ac:dyDescent="0.35">
      <c r="K397" s="1610"/>
      <c r="L397" s="1610"/>
      <c r="M397" s="1610"/>
      <c r="N397" s="1610"/>
      <c r="O397" s="1610"/>
      <c r="P397" s="1610"/>
      <c r="Q397" s="1610"/>
      <c r="R397" s="1610"/>
      <c r="S397" s="1610"/>
      <c r="T397" s="1610"/>
      <c r="U397" s="1597"/>
      <c r="V397" s="1597"/>
      <c r="W397" s="1597"/>
      <c r="X397" s="1597"/>
      <c r="Y397" s="1597"/>
      <c r="Z397" s="1597"/>
      <c r="AA397" s="1597"/>
      <c r="AB397" s="1597"/>
      <c r="AC397" s="1597"/>
      <c r="AD397" s="1597"/>
      <c r="AE397" s="1597"/>
      <c r="AF397" s="1171"/>
      <c r="AG397" s="1171"/>
      <c r="AH397" s="1171"/>
      <c r="AI397" s="1171"/>
      <c r="AJ397" s="1171"/>
      <c r="AK397" s="1171"/>
      <c r="AL397" s="1171"/>
      <c r="AM397" s="1171"/>
      <c r="AN397" s="1171"/>
      <c r="AO397" s="1171"/>
      <c r="AP397" s="1171"/>
      <c r="AQ397" s="1171"/>
      <c r="AR397" s="1171"/>
      <c r="AS397" s="1171"/>
      <c r="AT397" s="1171"/>
      <c r="AU397" s="1171"/>
      <c r="AV397" s="1171"/>
      <c r="AW397" s="1171"/>
      <c r="AX397" s="1171"/>
      <c r="AY397" s="1171"/>
      <c r="AZ397" s="1171"/>
      <c r="BA397" s="1171"/>
      <c r="BB397" s="1171"/>
      <c r="BC397" s="1171"/>
      <c r="BD397" s="1171"/>
      <c r="BE397" s="1171"/>
      <c r="BF397" s="1171"/>
      <c r="BG397" s="1171"/>
      <c r="BH397" s="1171"/>
      <c r="BI397" s="1171"/>
      <c r="BJ397" s="1171"/>
      <c r="BK397" s="1171"/>
      <c r="BL397" s="1171"/>
      <c r="BM397" s="1171"/>
      <c r="BN397" s="1171"/>
      <c r="BO397" s="1171"/>
      <c r="BP397" s="1171"/>
      <c r="BQ397" s="1171"/>
      <c r="BR397" s="1171"/>
      <c r="BS397" s="1171"/>
      <c r="BT397" s="1171"/>
      <c r="BU397" s="1171"/>
      <c r="BV397" s="1171"/>
      <c r="BW397" s="1171"/>
      <c r="BX397" s="1183"/>
      <c r="BY397" s="1183"/>
      <c r="BZ397" s="1183"/>
      <c r="CA397" s="1183"/>
      <c r="CB397" s="1183"/>
      <c r="CC397" s="1183"/>
      <c r="CD397" s="1183"/>
      <c r="CE397" s="1183"/>
      <c r="CF397" s="1183"/>
      <c r="CG397" s="1183"/>
      <c r="CH397" s="1183"/>
      <c r="CI397" s="1183"/>
      <c r="CJ397" s="1183"/>
      <c r="CK397" s="1183"/>
      <c r="CL397" s="1183"/>
      <c r="CM397" s="1183"/>
      <c r="CN397" s="1183"/>
      <c r="CO397" s="1183"/>
      <c r="CP397" s="1183"/>
      <c r="CQ397" s="1301"/>
      <c r="CR397" s="1301"/>
      <c r="CS397" s="1301"/>
      <c r="CT397" s="1301"/>
      <c r="CU397" s="1301"/>
      <c r="CV397" s="1301"/>
      <c r="CW397" s="1301"/>
      <c r="CX397" s="1301"/>
      <c r="CY397" s="1301"/>
      <c r="CZ397" s="1301"/>
      <c r="DA397" s="1301"/>
      <c r="DB397" s="1301"/>
      <c r="DC397" s="1301"/>
      <c r="DD397" s="1301"/>
      <c r="DE397" s="1301"/>
      <c r="DF397" s="1301"/>
      <c r="DG397" s="1301"/>
      <c r="DH397" s="1301"/>
      <c r="DI397" s="1301"/>
      <c r="DJ397" s="1301"/>
      <c r="DK397" s="1301"/>
      <c r="DL397" s="1301"/>
      <c r="DM397" s="1301"/>
      <c r="DN397" s="1301"/>
      <c r="DO397" s="1301"/>
      <c r="DP397" s="1301"/>
      <c r="DQ397" s="1301"/>
      <c r="DR397" s="1300"/>
      <c r="DS397" s="1300"/>
      <c r="DT397" s="1300"/>
      <c r="DU397" s="1300"/>
      <c r="DV397" s="1300"/>
      <c r="DW397" s="1300"/>
      <c r="DX397" s="1300"/>
      <c r="DY397" s="1300"/>
      <c r="DZ397" s="1300"/>
      <c r="EA397" s="1300"/>
      <c r="EB397" s="1300"/>
      <c r="EC397" s="1300"/>
      <c r="ED397" s="1300"/>
      <c r="EE397" s="1300"/>
      <c r="EF397" s="1300"/>
      <c r="EG397" s="1300"/>
      <c r="EH397" s="1300"/>
      <c r="EI397" s="1300"/>
      <c r="EJ397" s="1300"/>
      <c r="EK397" s="1300"/>
      <c r="EL397" s="1300"/>
      <c r="EM397" s="1300"/>
      <c r="EN397" s="1300"/>
      <c r="EO397" s="39">
        <v>51</v>
      </c>
      <c r="EP397" s="39">
        <v>51</v>
      </c>
      <c r="EQ397" s="39">
        <v>51</v>
      </c>
      <c r="ER397" s="39">
        <v>51</v>
      </c>
      <c r="ES397" s="39">
        <v>51</v>
      </c>
      <c r="ET397" s="39">
        <v>51</v>
      </c>
      <c r="EU397" s="39">
        <v>51</v>
      </c>
      <c r="EV397" s="39">
        <v>51</v>
      </c>
      <c r="EW397" s="39">
        <v>51</v>
      </c>
      <c r="EX397" s="39">
        <v>51</v>
      </c>
    </row>
    <row r="398" spans="11:154" ht="12" customHeight="1" x14ac:dyDescent="0.35">
      <c r="K398" s="1610"/>
      <c r="L398" s="1892" t="s">
        <v>287</v>
      </c>
      <c r="M398" s="1892"/>
      <c r="N398" s="1892"/>
      <c r="O398" s="1610"/>
      <c r="P398" s="1610"/>
      <c r="Q398" s="1610"/>
      <c r="R398" s="1610"/>
      <c r="S398" s="1610"/>
      <c r="T398" s="1610"/>
      <c r="U398" s="1597"/>
      <c r="V398" s="1597"/>
      <c r="W398" s="1597"/>
      <c r="X398" s="1597"/>
      <c r="Y398" s="1597"/>
      <c r="Z398" s="1597"/>
      <c r="AA398" s="1597"/>
      <c r="AB398" s="1597"/>
      <c r="AC398" s="1597"/>
      <c r="AD398" s="1597"/>
      <c r="AE398" s="1597"/>
      <c r="AF398" s="1171"/>
      <c r="AG398" s="1171"/>
      <c r="AH398" s="1171"/>
      <c r="AI398" s="1171"/>
      <c r="AJ398" s="1171"/>
      <c r="AK398" s="1171"/>
      <c r="AL398" s="1171"/>
      <c r="AM398" s="1171"/>
      <c r="AN398" s="1171"/>
      <c r="AO398" s="1171"/>
      <c r="AP398" s="1171"/>
      <c r="AQ398" s="1171"/>
      <c r="AR398" s="1171"/>
      <c r="AS398" s="1171"/>
      <c r="AT398" s="1171"/>
      <c r="AU398" s="1171"/>
      <c r="AV398" s="1171"/>
      <c r="AW398" s="1171"/>
      <c r="AX398" s="1171"/>
      <c r="AY398" s="1171"/>
      <c r="AZ398" s="1171"/>
      <c r="BA398" s="1171"/>
      <c r="BB398" s="1171"/>
      <c r="BC398" s="1171"/>
      <c r="BD398" s="1171"/>
      <c r="BE398" s="1171"/>
      <c r="BF398" s="1171"/>
      <c r="BG398" s="1171"/>
      <c r="BH398" s="1171"/>
      <c r="BI398" s="1171"/>
      <c r="BJ398" s="1171"/>
      <c r="BK398" s="1171"/>
      <c r="BL398" s="1171"/>
      <c r="BM398" s="1171"/>
      <c r="BN398" s="1171"/>
      <c r="BO398" s="1171"/>
      <c r="BP398" s="1171"/>
      <c r="BQ398" s="1171"/>
      <c r="BR398" s="1171"/>
      <c r="BS398" s="1171"/>
      <c r="BT398" s="1171"/>
      <c r="BU398" s="1171"/>
      <c r="BV398" s="1171"/>
      <c r="BW398" s="1171"/>
      <c r="BX398" s="1183"/>
      <c r="BY398" s="1183"/>
      <c r="BZ398" s="1183"/>
      <c r="CA398" s="1183"/>
      <c r="CB398" s="1183"/>
      <c r="CC398" s="1183"/>
      <c r="CD398" s="1183"/>
      <c r="CE398" s="1183"/>
      <c r="CF398" s="1183"/>
      <c r="CG398" s="1183"/>
      <c r="CH398" s="1183"/>
      <c r="CI398" s="1183"/>
      <c r="CJ398" s="1183"/>
      <c r="CK398" s="1183"/>
      <c r="CL398" s="1183"/>
      <c r="CM398" s="1183"/>
      <c r="CN398" s="1183"/>
      <c r="CO398" s="1183"/>
      <c r="CP398" s="1183"/>
      <c r="CQ398" s="1301"/>
      <c r="CR398" s="1301"/>
      <c r="CS398" s="1301"/>
      <c r="CT398" s="1301"/>
      <c r="CU398" s="1301"/>
      <c r="CV398" s="1301"/>
      <c r="CW398" s="1301"/>
      <c r="CX398" s="1301"/>
      <c r="CY398" s="1301"/>
      <c r="CZ398" s="1301"/>
      <c r="DA398" s="1301"/>
      <c r="DB398" s="1301"/>
      <c r="DC398" s="1301"/>
      <c r="DD398" s="1301"/>
      <c r="DE398" s="1301"/>
      <c r="DF398" s="1301"/>
      <c r="DG398" s="1301"/>
      <c r="DH398" s="1301"/>
      <c r="DI398" s="1301"/>
      <c r="DJ398" s="1301"/>
      <c r="DK398" s="1301"/>
      <c r="DL398" s="1301"/>
      <c r="DM398" s="1301"/>
      <c r="DN398" s="1301"/>
      <c r="DO398" s="1301"/>
      <c r="DP398" s="1301"/>
      <c r="DQ398" s="1301"/>
      <c r="DR398" s="1300"/>
      <c r="DS398" s="1300"/>
      <c r="DT398" s="1300"/>
      <c r="DU398" s="1300"/>
      <c r="DV398" s="1300"/>
      <c r="DW398" s="1300"/>
      <c r="DX398" s="1300"/>
      <c r="DY398" s="1300"/>
      <c r="DZ398" s="1300"/>
      <c r="EA398" s="1300"/>
      <c r="EB398" s="1300"/>
      <c r="EC398" s="1300"/>
      <c r="ED398" s="1300"/>
      <c r="EE398" s="1300"/>
      <c r="EF398" s="1300"/>
      <c r="EG398" s="1300"/>
      <c r="EH398" s="1300"/>
      <c r="EI398" s="1300"/>
      <c r="EJ398" s="1300"/>
      <c r="EK398" s="1300"/>
      <c r="EL398" s="1300"/>
      <c r="EM398" s="1300"/>
      <c r="EN398" s="1300"/>
      <c r="EO398" s="39">
        <v>51</v>
      </c>
      <c r="EP398" s="39">
        <v>51</v>
      </c>
      <c r="EQ398" s="39">
        <v>51</v>
      </c>
      <c r="ER398" s="39">
        <v>51</v>
      </c>
      <c r="ES398" s="39">
        <v>51</v>
      </c>
      <c r="ET398" s="39">
        <v>51</v>
      </c>
      <c r="EU398" s="39">
        <v>51</v>
      </c>
      <c r="EV398" s="39">
        <v>51</v>
      </c>
      <c r="EW398" s="39">
        <v>51</v>
      </c>
      <c r="EX398" s="39">
        <v>51</v>
      </c>
    </row>
    <row r="399" spans="11:154" ht="12" customHeight="1" x14ac:dyDescent="0.35">
      <c r="K399" s="330"/>
      <c r="L399" s="1892"/>
      <c r="M399" s="1892"/>
      <c r="N399" s="1892"/>
      <c r="O399" s="330"/>
      <c r="P399" s="330"/>
      <c r="Q399" s="330"/>
      <c r="R399" s="330"/>
      <c r="S399" s="330"/>
      <c r="T399" s="330"/>
      <c r="U399" s="330"/>
      <c r="V399" s="330"/>
      <c r="W399" s="330"/>
      <c r="X399" s="330"/>
      <c r="Y399" s="330"/>
      <c r="Z399" s="330"/>
      <c r="AA399" s="330"/>
      <c r="AB399" s="330"/>
      <c r="AC399" s="330"/>
      <c r="AD399" s="330"/>
      <c r="AE399" s="330"/>
      <c r="AF399" s="1223"/>
      <c r="AG399" s="1223"/>
      <c r="AH399" s="1223"/>
      <c r="AI399" s="1223"/>
      <c r="AJ399" s="1223"/>
      <c r="AK399" s="1223"/>
      <c r="AL399" s="1223"/>
      <c r="AM399" s="1223"/>
      <c r="AN399" s="1223"/>
      <c r="AO399" s="1223"/>
      <c r="AP399" s="1223"/>
      <c r="AQ399" s="1223"/>
      <c r="AR399" s="1223"/>
      <c r="AS399" s="1223"/>
      <c r="AT399" s="1223"/>
      <c r="AU399" s="1223"/>
      <c r="AV399" s="1223"/>
      <c r="AW399" s="1223"/>
      <c r="AX399" s="1223"/>
      <c r="AY399" s="1223"/>
      <c r="AZ399" s="1223"/>
      <c r="BA399" s="1223"/>
      <c r="BB399" s="1223"/>
      <c r="BC399" s="1223"/>
      <c r="BD399" s="1223"/>
      <c r="BE399" s="1223"/>
      <c r="BF399" s="1223"/>
      <c r="BG399" s="1223"/>
      <c r="BH399" s="1223"/>
      <c r="BI399" s="1223"/>
      <c r="BJ399" s="1223"/>
      <c r="BK399" s="1223"/>
      <c r="BL399" s="1223"/>
      <c r="BM399" s="1223"/>
      <c r="BN399" s="1223"/>
      <c r="BO399" s="1223"/>
      <c r="BP399" s="1223"/>
      <c r="BQ399" s="1223"/>
      <c r="BR399" s="1223"/>
      <c r="BS399" s="1223"/>
      <c r="BT399" s="1223"/>
      <c r="BU399" s="1223"/>
      <c r="BV399" s="1223"/>
      <c r="BW399" s="1223"/>
      <c r="BX399" s="429"/>
      <c r="BY399" s="429"/>
      <c r="BZ399" s="429"/>
      <c r="CA399" s="429"/>
      <c r="CB399" s="429"/>
      <c r="CC399" s="429"/>
      <c r="CD399" s="429"/>
      <c r="CE399" s="429"/>
      <c r="CF399" s="1124">
        <v>1</v>
      </c>
      <c r="CG399" s="1124">
        <v>2</v>
      </c>
      <c r="CH399" s="1124">
        <v>3</v>
      </c>
      <c r="CI399" s="1124">
        <v>4</v>
      </c>
      <c r="CJ399" s="1124">
        <v>5</v>
      </c>
      <c r="CK399" s="1124">
        <v>6</v>
      </c>
      <c r="CL399" s="1124">
        <v>7</v>
      </c>
      <c r="CM399" s="1124">
        <v>8</v>
      </c>
      <c r="CN399" s="1124">
        <v>9</v>
      </c>
      <c r="CO399" s="1124">
        <v>10</v>
      </c>
      <c r="CP399" s="1124">
        <v>11</v>
      </c>
      <c r="CQ399" s="1124">
        <v>12</v>
      </c>
      <c r="CR399" s="1124">
        <v>13</v>
      </c>
      <c r="CS399" s="1124">
        <v>14</v>
      </c>
      <c r="CT399" s="1124">
        <v>15</v>
      </c>
      <c r="CU399" s="1124">
        <v>16</v>
      </c>
      <c r="CV399" s="1124">
        <v>17</v>
      </c>
      <c r="CW399" s="1124">
        <v>18</v>
      </c>
      <c r="CX399" s="1124">
        <v>19</v>
      </c>
      <c r="CY399" s="1124">
        <v>20</v>
      </c>
      <c r="CZ399" s="1124">
        <v>21</v>
      </c>
      <c r="DA399" s="1124">
        <v>22</v>
      </c>
      <c r="DB399" s="1124">
        <v>23</v>
      </c>
      <c r="DC399" s="1124">
        <v>24</v>
      </c>
      <c r="DD399" s="1124">
        <v>25</v>
      </c>
      <c r="DE399" s="1124">
        <v>26</v>
      </c>
      <c r="DF399" s="1124">
        <v>27</v>
      </c>
      <c r="DG399" s="1124">
        <v>28</v>
      </c>
      <c r="DH399" s="1124">
        <v>29</v>
      </c>
      <c r="DI399" s="1124">
        <v>30</v>
      </c>
      <c r="DJ399" s="1124">
        <v>31</v>
      </c>
      <c r="DK399" s="1124">
        <v>32</v>
      </c>
      <c r="DL399" s="1124">
        <v>33</v>
      </c>
      <c r="DM399" s="1124">
        <v>34</v>
      </c>
      <c r="DN399" s="1124">
        <v>35</v>
      </c>
      <c r="DO399" s="1124">
        <v>36</v>
      </c>
      <c r="DP399" s="1124">
        <v>37</v>
      </c>
      <c r="DQ399" s="1124">
        <v>38</v>
      </c>
      <c r="DR399" s="20">
        <v>39</v>
      </c>
      <c r="DS399" s="20">
        <v>40</v>
      </c>
      <c r="DT399" s="20">
        <v>41</v>
      </c>
      <c r="DU399" s="20">
        <v>42</v>
      </c>
      <c r="DV399" s="20">
        <v>43</v>
      </c>
      <c r="DW399" s="20">
        <v>44</v>
      </c>
      <c r="DX399" s="20">
        <v>45</v>
      </c>
      <c r="DY399" s="20">
        <v>46</v>
      </c>
      <c r="DZ399" s="20">
        <v>47</v>
      </c>
      <c r="EA399" s="20">
        <v>48</v>
      </c>
      <c r="EB399" s="20">
        <v>49</v>
      </c>
      <c r="EC399" s="20">
        <v>50</v>
      </c>
      <c r="ED399" s="20">
        <v>51</v>
      </c>
      <c r="EE399" s="20">
        <v>52</v>
      </c>
      <c r="EF399" s="20">
        <v>53</v>
      </c>
      <c r="EG399" s="20">
        <v>54</v>
      </c>
      <c r="EH399" s="20">
        <v>55</v>
      </c>
      <c r="EI399" s="20">
        <v>56</v>
      </c>
      <c r="EJ399" s="20">
        <v>57</v>
      </c>
      <c r="EK399" s="20">
        <v>58</v>
      </c>
      <c r="EL399" s="20">
        <v>59</v>
      </c>
      <c r="EM399" s="20">
        <v>60</v>
      </c>
      <c r="EN399" s="1300"/>
      <c r="EO399" s="39">
        <v>51</v>
      </c>
      <c r="EP399" s="39">
        <v>51</v>
      </c>
      <c r="EQ399" s="39">
        <v>51</v>
      </c>
      <c r="ER399" s="39">
        <v>51</v>
      </c>
      <c r="ES399" s="39">
        <v>51</v>
      </c>
      <c r="ET399" s="39">
        <v>51</v>
      </c>
      <c r="EU399" s="39">
        <v>51</v>
      </c>
      <c r="EV399" s="39">
        <v>51</v>
      </c>
      <c r="EW399" s="39">
        <v>51</v>
      </c>
      <c r="EX399" s="39">
        <v>51</v>
      </c>
    </row>
    <row r="400" spans="11:154" ht="12" customHeight="1" x14ac:dyDescent="0.35">
      <c r="K400" s="330"/>
      <c r="L400" s="1892" t="s">
        <v>429</v>
      </c>
      <c r="M400" s="1892"/>
      <c r="N400" s="330"/>
      <c r="O400" s="330"/>
      <c r="P400" s="330"/>
      <c r="Q400" s="330"/>
      <c r="R400" s="330"/>
      <c r="S400" s="330"/>
      <c r="T400" s="330"/>
      <c r="U400" s="330"/>
      <c r="V400" s="330"/>
      <c r="W400" s="1892" t="s">
        <v>156</v>
      </c>
      <c r="X400" s="1892"/>
      <c r="Y400" s="1892"/>
      <c r="Z400" s="1892"/>
      <c r="AA400" s="1892"/>
      <c r="AB400" s="330"/>
      <c r="AC400" s="330"/>
      <c r="AD400" s="330"/>
      <c r="AE400" s="330"/>
      <c r="AF400" s="1223"/>
      <c r="AG400" s="1223"/>
      <c r="AH400" s="1223"/>
      <c r="AI400" s="1223"/>
      <c r="AJ400" s="1223"/>
      <c r="AK400" s="1223"/>
      <c r="AL400" s="1223"/>
      <c r="AM400" s="1223"/>
      <c r="AN400" s="1223"/>
      <c r="AO400" s="1223"/>
      <c r="AP400" s="1223"/>
      <c r="AQ400" s="1223"/>
      <c r="AR400" s="1223"/>
      <c r="AS400" s="1223"/>
      <c r="AT400" s="1223"/>
      <c r="AU400" s="1223"/>
      <c r="AV400" s="1223"/>
      <c r="AW400" s="1223"/>
      <c r="AX400" s="1223"/>
      <c r="AY400" s="1223"/>
      <c r="AZ400" s="1223"/>
      <c r="BA400" s="1223"/>
      <c r="BB400" s="1223"/>
      <c r="BC400" s="1223"/>
      <c r="BD400" s="1223"/>
      <c r="BE400" s="1223"/>
      <c r="BF400" s="1223"/>
      <c r="BG400" s="1223"/>
      <c r="BH400" s="1223"/>
      <c r="BI400" s="1223"/>
      <c r="BJ400" s="1223"/>
      <c r="BK400" s="1223"/>
      <c r="BL400" s="1223"/>
      <c r="BM400" s="1223"/>
      <c r="BN400" s="1223"/>
      <c r="BO400" s="1223"/>
      <c r="BP400" s="1223"/>
      <c r="BQ400" s="1223"/>
      <c r="BR400" s="1223"/>
      <c r="BS400" s="1223"/>
      <c r="BT400" s="1223"/>
      <c r="BU400" s="1223"/>
      <c r="BV400" s="1223"/>
      <c r="BW400" s="1223"/>
      <c r="BX400" s="429"/>
      <c r="BY400" s="429"/>
      <c r="BZ400" s="429"/>
      <c r="CA400" s="429"/>
      <c r="CB400" s="429"/>
      <c r="CC400" s="429"/>
      <c r="CD400" s="429"/>
      <c r="CE400" s="429"/>
      <c r="CF400" s="429"/>
      <c r="CG400" s="429"/>
      <c r="CH400" s="429"/>
      <c r="CI400" s="429"/>
      <c r="CJ400" s="429"/>
      <c r="CK400" s="429"/>
      <c r="CL400" s="429"/>
      <c r="CM400" s="429"/>
      <c r="CN400" s="429"/>
      <c r="CO400" s="429"/>
      <c r="CP400" s="429"/>
      <c r="CQ400" s="429"/>
      <c r="CR400" s="429"/>
      <c r="CS400" s="429"/>
      <c r="CT400" s="429"/>
      <c r="CU400" s="429"/>
      <c r="CV400" s="429"/>
      <c r="CW400" s="429"/>
      <c r="CX400" s="429"/>
      <c r="CY400" s="429"/>
      <c r="CZ400" s="429"/>
      <c r="DA400" s="429"/>
      <c r="DB400" s="429"/>
      <c r="DC400" s="429"/>
      <c r="DD400" s="429"/>
      <c r="DE400" s="429"/>
      <c r="DF400" s="429"/>
      <c r="DG400" s="429"/>
      <c r="DH400" s="429"/>
      <c r="DI400" s="429"/>
      <c r="DJ400" s="429"/>
      <c r="DK400" s="429"/>
      <c r="DL400" s="429"/>
      <c r="DM400" s="429"/>
      <c r="DN400" s="429"/>
      <c r="DO400" s="429"/>
      <c r="DP400" s="429"/>
      <c r="DQ400" s="429"/>
      <c r="DR400" s="1"/>
      <c r="DS400" s="1"/>
      <c r="DT400" s="1"/>
      <c r="DU400" s="1"/>
      <c r="DV400" s="1"/>
      <c r="DW400" s="1"/>
      <c r="DX400" s="1"/>
      <c r="DY400" s="1"/>
      <c r="DZ400" s="1"/>
      <c r="EA400" s="1"/>
      <c r="EB400" s="1"/>
      <c r="EC400" s="1"/>
      <c r="ED400" s="1"/>
      <c r="EE400" s="1"/>
      <c r="EF400" s="1"/>
      <c r="EG400" s="1"/>
      <c r="EH400" s="1"/>
      <c r="EI400" s="1"/>
      <c r="EJ400" s="1"/>
      <c r="EK400" s="1"/>
      <c r="EL400" s="1"/>
      <c r="EM400" s="1"/>
      <c r="EN400" s="1300"/>
      <c r="EO400" s="39">
        <v>51</v>
      </c>
      <c r="EP400" s="39">
        <v>51</v>
      </c>
      <c r="EQ400" s="39">
        <v>51</v>
      </c>
      <c r="ER400" s="39">
        <v>51</v>
      </c>
      <c r="ES400" s="39">
        <v>51</v>
      </c>
      <c r="ET400" s="39">
        <v>51</v>
      </c>
      <c r="EU400" s="39">
        <v>51</v>
      </c>
      <c r="EV400" s="39">
        <v>51</v>
      </c>
      <c r="EW400" s="39">
        <v>51</v>
      </c>
      <c r="EX400" s="39">
        <v>51</v>
      </c>
    </row>
    <row r="401" spans="11:154" ht="12" customHeight="1" x14ac:dyDescent="0.35">
      <c r="K401" s="330"/>
      <c r="L401" s="1892"/>
      <c r="M401" s="1892"/>
      <c r="N401" s="330"/>
      <c r="O401" s="330"/>
      <c r="P401" s="330"/>
      <c r="Q401" s="330"/>
      <c r="R401" s="330"/>
      <c r="S401" s="330"/>
      <c r="T401" s="330"/>
      <c r="U401" s="330"/>
      <c r="V401" s="330"/>
      <c r="W401" s="1892"/>
      <c r="X401" s="1892"/>
      <c r="Y401" s="1892"/>
      <c r="Z401" s="1892"/>
      <c r="AA401" s="1892"/>
      <c r="AB401" s="330"/>
      <c r="AC401" s="330"/>
      <c r="AD401" s="330"/>
      <c r="AE401" s="330"/>
      <c r="AF401" s="1223"/>
      <c r="AG401" s="1223"/>
      <c r="AH401" s="1223"/>
      <c r="AI401" s="1223"/>
      <c r="AJ401" s="1223"/>
      <c r="AK401" s="1223"/>
      <c r="AL401" s="1223"/>
      <c r="AM401" s="1223"/>
      <c r="AN401" s="1223"/>
      <c r="AO401" s="1223"/>
      <c r="AP401" s="1223"/>
      <c r="AQ401" s="1223"/>
      <c r="AR401" s="1223"/>
      <c r="AS401" s="1223"/>
      <c r="AT401" s="1223"/>
      <c r="AU401" s="1223"/>
      <c r="AV401" s="1223"/>
      <c r="AW401" s="1223"/>
      <c r="AX401" s="1223"/>
      <c r="AY401" s="1223"/>
      <c r="AZ401" s="1223"/>
      <c r="BA401" s="1223"/>
      <c r="BB401" s="1223"/>
      <c r="BC401" s="1223"/>
      <c r="BD401" s="1223"/>
      <c r="BE401" s="1223"/>
      <c r="BF401" s="1223"/>
      <c r="BG401" s="1223"/>
      <c r="BH401" s="1223"/>
      <c r="BI401" s="1223"/>
      <c r="BJ401" s="1223"/>
      <c r="BK401" s="1223"/>
      <c r="BL401" s="1223"/>
      <c r="BM401" s="1223"/>
      <c r="BN401" s="1223"/>
      <c r="BO401" s="1223"/>
      <c r="BP401" s="1223"/>
      <c r="BQ401" s="1223"/>
      <c r="BR401" s="1223"/>
      <c r="BS401" s="1223"/>
      <c r="BT401" s="1223"/>
      <c r="BU401" s="1223"/>
      <c r="BV401" s="1223"/>
      <c r="BW401" s="1223"/>
      <c r="BX401" s="429"/>
      <c r="BY401" s="429"/>
      <c r="BZ401" s="429"/>
      <c r="CA401" s="429"/>
      <c r="CB401" s="429"/>
      <c r="CC401" s="429"/>
      <c r="CD401" s="429"/>
      <c r="CE401" s="429"/>
      <c r="CF401" s="1125" t="s">
        <v>289</v>
      </c>
      <c r="CG401" s="429"/>
      <c r="CH401" s="429"/>
      <c r="CI401" s="429"/>
      <c r="CJ401" s="429"/>
      <c r="CK401" s="429"/>
      <c r="CL401" s="429"/>
      <c r="CM401" s="429"/>
      <c r="CN401" s="429"/>
      <c r="CO401" s="429"/>
      <c r="CP401" s="429"/>
      <c r="CQ401" s="429"/>
      <c r="CR401" s="429"/>
      <c r="CS401" s="429"/>
      <c r="CT401" s="429"/>
      <c r="CU401" s="429"/>
      <c r="CV401" s="429"/>
      <c r="CW401" s="429"/>
      <c r="CX401" s="429"/>
      <c r="CY401" s="429"/>
      <c r="CZ401" s="429"/>
      <c r="DA401" s="429"/>
      <c r="DB401" s="429"/>
      <c r="DC401" s="429"/>
      <c r="DD401" s="429"/>
      <c r="DE401" s="429"/>
      <c r="DF401" s="429"/>
      <c r="DG401" s="429"/>
      <c r="DH401" s="429"/>
      <c r="DI401" s="429"/>
      <c r="DJ401" s="429"/>
      <c r="DK401" s="429"/>
      <c r="DL401" s="429"/>
      <c r="DM401" s="429"/>
      <c r="DN401" s="429"/>
      <c r="DO401" s="429"/>
      <c r="DP401" s="429"/>
      <c r="DQ401" s="429"/>
      <c r="DR401" s="1"/>
      <c r="DS401" s="1"/>
      <c r="DT401" s="1"/>
      <c r="DU401" s="1"/>
      <c r="DV401" s="1"/>
      <c r="DW401" s="1"/>
      <c r="DX401" s="1"/>
      <c r="DY401" s="1"/>
      <c r="DZ401" s="1"/>
      <c r="EA401" s="1"/>
      <c r="EB401" s="1"/>
      <c r="EC401" s="1"/>
      <c r="ED401" s="1"/>
      <c r="EE401" s="1"/>
      <c r="EF401" s="1"/>
      <c r="EG401" s="1"/>
      <c r="EH401" s="1"/>
      <c r="EI401" s="1"/>
      <c r="EJ401" s="1"/>
      <c r="EK401" s="1"/>
      <c r="EL401" s="1"/>
      <c r="EM401" s="1"/>
      <c r="EN401" s="1300"/>
      <c r="EO401" s="39">
        <v>51</v>
      </c>
      <c r="EP401" s="39">
        <v>51</v>
      </c>
      <c r="EQ401" s="39">
        <v>51</v>
      </c>
      <c r="ER401" s="39">
        <v>51</v>
      </c>
      <c r="ES401" s="39">
        <v>51</v>
      </c>
      <c r="ET401" s="39">
        <v>51</v>
      </c>
      <c r="EU401" s="39">
        <v>51</v>
      </c>
      <c r="EV401" s="39">
        <v>51</v>
      </c>
      <c r="EW401" s="39">
        <v>51</v>
      </c>
      <c r="EX401" s="39">
        <v>51</v>
      </c>
    </row>
    <row r="402" spans="11:154" ht="12" customHeight="1" x14ac:dyDescent="0.35">
      <c r="K402" s="1597"/>
      <c r="L402" s="1597"/>
      <c r="M402" s="1597"/>
      <c r="N402" s="1597"/>
      <c r="O402" s="1597"/>
      <c r="P402" s="1597"/>
      <c r="Q402" s="1597"/>
      <c r="R402" s="1597"/>
      <c r="S402" s="1597"/>
      <c r="T402" s="1597"/>
      <c r="U402" s="1597"/>
      <c r="V402" s="1597"/>
      <c r="W402" s="1597"/>
      <c r="X402" s="1597"/>
      <c r="Y402" s="1597"/>
      <c r="Z402" s="1597"/>
      <c r="AA402" s="1597"/>
      <c r="AB402" s="1597"/>
      <c r="AC402" s="1597"/>
      <c r="AD402" s="1597"/>
      <c r="AE402" s="1597"/>
      <c r="AF402" s="1171"/>
      <c r="AG402" s="1171"/>
      <c r="AH402" s="1171"/>
      <c r="AI402" s="1171"/>
      <c r="AJ402" s="1171"/>
      <c r="AK402" s="1171"/>
      <c r="AL402" s="1171"/>
      <c r="AM402" s="1171"/>
      <c r="AN402" s="1171"/>
      <c r="AO402" s="1171"/>
      <c r="AP402" s="1171"/>
      <c r="AQ402" s="1171"/>
      <c r="AR402" s="1171"/>
      <c r="AS402" s="1171"/>
      <c r="AT402" s="1171"/>
      <c r="AU402" s="1171"/>
      <c r="AV402" s="1171"/>
      <c r="AW402" s="1171"/>
      <c r="AX402" s="1171"/>
      <c r="AY402" s="1171"/>
      <c r="AZ402" s="1171"/>
      <c r="BA402" s="1171"/>
      <c r="BB402" s="1171"/>
      <c r="BC402" s="1171"/>
      <c r="BD402" s="1171"/>
      <c r="BE402" s="1171"/>
      <c r="BF402" s="1171"/>
      <c r="BG402" s="1171"/>
      <c r="BH402" s="1171"/>
      <c r="BI402" s="1171"/>
      <c r="BJ402" s="1171"/>
      <c r="BK402" s="1171"/>
      <c r="BL402" s="1171"/>
      <c r="BM402" s="1171"/>
      <c r="BN402" s="1171"/>
      <c r="BO402" s="1171"/>
      <c r="BP402" s="1171"/>
      <c r="BQ402" s="1171"/>
      <c r="BR402" s="1171"/>
      <c r="BS402" s="1171"/>
      <c r="BT402" s="1171"/>
      <c r="BU402" s="1171"/>
      <c r="BV402" s="1171"/>
      <c r="BW402" s="1171"/>
      <c r="BX402" s="1183"/>
      <c r="BY402" s="1183"/>
      <c r="BZ402" s="1183"/>
      <c r="CA402" s="1183"/>
      <c r="CB402" s="1183"/>
      <c r="CC402" s="1183"/>
      <c r="CD402" s="1183"/>
      <c r="CE402" s="1183"/>
      <c r="CF402" s="1183"/>
      <c r="CG402" s="1183"/>
      <c r="CH402" s="1183"/>
      <c r="CI402" s="1183"/>
      <c r="CJ402" s="1183"/>
      <c r="CK402" s="1183"/>
      <c r="CL402" s="1183"/>
      <c r="CM402" s="1183"/>
      <c r="CN402" s="1183"/>
      <c r="CO402" s="1183"/>
      <c r="CP402" s="1183"/>
      <c r="CQ402" s="1183"/>
      <c r="CR402" s="1183"/>
      <c r="CS402" s="1183"/>
      <c r="CT402" s="1183"/>
      <c r="CU402" s="1183"/>
      <c r="CV402" s="1183"/>
      <c r="CW402" s="1183"/>
      <c r="CX402" s="1183"/>
      <c r="CY402" s="1183"/>
      <c r="CZ402" s="1183"/>
      <c r="DA402" s="1183"/>
      <c r="DB402" s="1183"/>
      <c r="DC402" s="1183"/>
      <c r="DD402" s="1183"/>
      <c r="DE402" s="1183"/>
      <c r="DF402" s="1183"/>
      <c r="DG402" s="1183"/>
      <c r="DH402" s="1183"/>
      <c r="DI402" s="1183"/>
      <c r="DJ402" s="1183"/>
      <c r="DK402" s="1183"/>
      <c r="DL402" s="1183"/>
      <c r="DM402" s="1183"/>
      <c r="DN402" s="1183"/>
      <c r="DO402" s="1183"/>
      <c r="DP402" s="1183"/>
      <c r="DQ402" s="1183"/>
      <c r="DR402" s="1804"/>
      <c r="DS402" s="1804"/>
      <c r="DT402" s="1804"/>
      <c r="DU402" s="1804"/>
      <c r="DV402" s="1804"/>
      <c r="DW402" s="1804"/>
      <c r="DX402" s="1804"/>
      <c r="DY402" s="1804"/>
      <c r="DZ402" s="1804"/>
      <c r="EA402" s="1804"/>
      <c r="EB402" s="1804"/>
      <c r="EC402" s="1804"/>
      <c r="ED402" s="1804"/>
      <c r="EE402" s="1804"/>
      <c r="EF402" s="1804"/>
      <c r="EG402" s="1804"/>
      <c r="EH402" s="1804"/>
      <c r="EI402" s="1804"/>
      <c r="EJ402" s="1804"/>
      <c r="EK402" s="1804"/>
      <c r="EL402" s="1804"/>
      <c r="EM402" s="1804"/>
      <c r="EN402" s="1300"/>
      <c r="EO402" s="39">
        <v>51</v>
      </c>
      <c r="EP402" s="39">
        <v>51</v>
      </c>
      <c r="EQ402" s="39">
        <v>51</v>
      </c>
      <c r="ER402" s="39">
        <v>51</v>
      </c>
      <c r="ES402" s="39">
        <v>51</v>
      </c>
      <c r="ET402" s="39">
        <v>51</v>
      </c>
      <c r="EU402" s="39">
        <v>51</v>
      </c>
      <c r="EV402" s="39">
        <v>51</v>
      </c>
      <c r="EW402" s="39">
        <v>51</v>
      </c>
      <c r="EX402" s="39">
        <v>51</v>
      </c>
    </row>
    <row r="403" spans="11:154" ht="12" customHeight="1" thickBot="1" x14ac:dyDescent="0.4">
      <c r="K403" s="1597"/>
      <c r="L403" s="1293" t="str">
        <f>Input!D163</f>
        <v>Monthly Recurring Expenses</v>
      </c>
      <c r="M403" s="1684" t="str">
        <f>Input!H166</f>
        <v>Monthly Amount</v>
      </c>
      <c r="N403" s="1684" t="str">
        <f>Input!I166</f>
        <v>Start</v>
      </c>
      <c r="O403" s="1684" t="str">
        <f>Input!J166</f>
        <v>End</v>
      </c>
      <c r="P403" s="1684" t="str">
        <f>Input!K166</f>
        <v>Ann. %</v>
      </c>
      <c r="Q403" s="1684" t="s">
        <v>157</v>
      </c>
      <c r="R403" s="1610"/>
      <c r="S403" s="1597"/>
      <c r="T403" s="1597"/>
      <c r="U403" s="1597"/>
      <c r="V403" s="1597"/>
      <c r="W403" s="1685">
        <f>L127</f>
        <v>0</v>
      </c>
      <c r="X403" s="1685">
        <f>EOMONTH(W403,1)</f>
        <v>59</v>
      </c>
      <c r="Y403" s="1685">
        <f t="shared" ref="Y403:CD403" si="209">EOMONTH(X403,1)</f>
        <v>91</v>
      </c>
      <c r="Z403" s="1685">
        <f t="shared" si="209"/>
        <v>121</v>
      </c>
      <c r="AA403" s="1685">
        <f t="shared" si="209"/>
        <v>152</v>
      </c>
      <c r="AB403" s="1685">
        <f t="shared" si="209"/>
        <v>182</v>
      </c>
      <c r="AC403" s="1685">
        <f t="shared" si="209"/>
        <v>213</v>
      </c>
      <c r="AD403" s="1685">
        <f t="shared" si="209"/>
        <v>244</v>
      </c>
      <c r="AE403" s="1685">
        <f t="shared" si="209"/>
        <v>274</v>
      </c>
      <c r="AF403" s="1685">
        <f t="shared" si="209"/>
        <v>305</v>
      </c>
      <c r="AG403" s="1685">
        <f t="shared" si="209"/>
        <v>335</v>
      </c>
      <c r="AH403" s="1685">
        <f t="shared" si="209"/>
        <v>366</v>
      </c>
      <c r="AI403" s="1685">
        <f t="shared" si="209"/>
        <v>397</v>
      </c>
      <c r="AJ403" s="1685">
        <f t="shared" si="209"/>
        <v>425</v>
      </c>
      <c r="AK403" s="1685">
        <f t="shared" si="209"/>
        <v>456</v>
      </c>
      <c r="AL403" s="1685">
        <f t="shared" si="209"/>
        <v>486</v>
      </c>
      <c r="AM403" s="1685">
        <f t="shared" si="209"/>
        <v>517</v>
      </c>
      <c r="AN403" s="1685">
        <f t="shared" si="209"/>
        <v>547</v>
      </c>
      <c r="AO403" s="1685">
        <f t="shared" si="209"/>
        <v>578</v>
      </c>
      <c r="AP403" s="1685">
        <f t="shared" si="209"/>
        <v>609</v>
      </c>
      <c r="AQ403" s="1685">
        <f t="shared" si="209"/>
        <v>639</v>
      </c>
      <c r="AR403" s="1685">
        <f t="shared" si="209"/>
        <v>670</v>
      </c>
      <c r="AS403" s="1685">
        <f t="shared" si="209"/>
        <v>700</v>
      </c>
      <c r="AT403" s="1685">
        <f t="shared" si="209"/>
        <v>731</v>
      </c>
      <c r="AU403" s="1685">
        <f t="shared" si="209"/>
        <v>762</v>
      </c>
      <c r="AV403" s="1685">
        <f t="shared" si="209"/>
        <v>790</v>
      </c>
      <c r="AW403" s="1685">
        <f t="shared" si="209"/>
        <v>821</v>
      </c>
      <c r="AX403" s="1685">
        <f t="shared" si="209"/>
        <v>851</v>
      </c>
      <c r="AY403" s="1685">
        <f t="shared" si="209"/>
        <v>882</v>
      </c>
      <c r="AZ403" s="1685">
        <f t="shared" si="209"/>
        <v>912</v>
      </c>
      <c r="BA403" s="1685">
        <f t="shared" si="209"/>
        <v>943</v>
      </c>
      <c r="BB403" s="1685">
        <f t="shared" si="209"/>
        <v>974</v>
      </c>
      <c r="BC403" s="1685">
        <f t="shared" si="209"/>
        <v>1004</v>
      </c>
      <c r="BD403" s="1685">
        <f t="shared" si="209"/>
        <v>1035</v>
      </c>
      <c r="BE403" s="1685">
        <f t="shared" si="209"/>
        <v>1065</v>
      </c>
      <c r="BF403" s="1685">
        <f t="shared" si="209"/>
        <v>1096</v>
      </c>
      <c r="BG403" s="1685">
        <f t="shared" si="209"/>
        <v>1127</v>
      </c>
      <c r="BH403" s="1685">
        <f t="shared" si="209"/>
        <v>1155</v>
      </c>
      <c r="BI403" s="1685">
        <f t="shared" si="209"/>
        <v>1186</v>
      </c>
      <c r="BJ403" s="1685">
        <f t="shared" si="209"/>
        <v>1216</v>
      </c>
      <c r="BK403" s="1685">
        <f t="shared" si="209"/>
        <v>1247</v>
      </c>
      <c r="BL403" s="1685">
        <f t="shared" si="209"/>
        <v>1277</v>
      </c>
      <c r="BM403" s="1685">
        <f t="shared" si="209"/>
        <v>1308</v>
      </c>
      <c r="BN403" s="1685">
        <f t="shared" si="209"/>
        <v>1339</v>
      </c>
      <c r="BO403" s="1685">
        <f t="shared" si="209"/>
        <v>1369</v>
      </c>
      <c r="BP403" s="1685">
        <f t="shared" si="209"/>
        <v>1400</v>
      </c>
      <c r="BQ403" s="1685">
        <f t="shared" si="209"/>
        <v>1430</v>
      </c>
      <c r="BR403" s="1685">
        <f t="shared" si="209"/>
        <v>1461</v>
      </c>
      <c r="BS403" s="1685">
        <f t="shared" si="209"/>
        <v>1492</v>
      </c>
      <c r="BT403" s="1685">
        <f t="shared" si="209"/>
        <v>1521</v>
      </c>
      <c r="BU403" s="1685">
        <f t="shared" si="209"/>
        <v>1552</v>
      </c>
      <c r="BV403" s="1685">
        <f t="shared" si="209"/>
        <v>1582</v>
      </c>
      <c r="BW403" s="1685">
        <f t="shared" si="209"/>
        <v>1613</v>
      </c>
      <c r="BX403" s="200">
        <f t="shared" si="209"/>
        <v>1643</v>
      </c>
      <c r="BY403" s="200">
        <f t="shared" si="209"/>
        <v>1674</v>
      </c>
      <c r="BZ403" s="200">
        <f t="shared" si="209"/>
        <v>1705</v>
      </c>
      <c r="CA403" s="200">
        <f t="shared" si="209"/>
        <v>1735</v>
      </c>
      <c r="CB403" s="200">
        <f t="shared" si="209"/>
        <v>1766</v>
      </c>
      <c r="CC403" s="200">
        <f t="shared" si="209"/>
        <v>1796</v>
      </c>
      <c r="CD403" s="200">
        <f t="shared" si="209"/>
        <v>1827</v>
      </c>
      <c r="CE403" s="1126"/>
      <c r="CF403" s="1127">
        <f t="shared" ref="CF403:CN403" si="210">W403</f>
        <v>0</v>
      </c>
      <c r="CG403" s="1127">
        <f t="shared" si="210"/>
        <v>59</v>
      </c>
      <c r="CH403" s="1127">
        <f t="shared" si="210"/>
        <v>91</v>
      </c>
      <c r="CI403" s="1127">
        <f t="shared" si="210"/>
        <v>121</v>
      </c>
      <c r="CJ403" s="1127">
        <f t="shared" si="210"/>
        <v>152</v>
      </c>
      <c r="CK403" s="1127">
        <f t="shared" si="210"/>
        <v>182</v>
      </c>
      <c r="CL403" s="1127">
        <f t="shared" si="210"/>
        <v>213</v>
      </c>
      <c r="CM403" s="1127">
        <f t="shared" si="210"/>
        <v>244</v>
      </c>
      <c r="CN403" s="1127">
        <f t="shared" si="210"/>
        <v>274</v>
      </c>
      <c r="CO403" s="1127">
        <f t="shared" ref="CO403:DK403" si="211">AF403</f>
        <v>305</v>
      </c>
      <c r="CP403" s="1127">
        <f t="shared" si="211"/>
        <v>335</v>
      </c>
      <c r="CQ403" s="1127">
        <f t="shared" si="211"/>
        <v>366</v>
      </c>
      <c r="CR403" s="1127">
        <f t="shared" si="211"/>
        <v>397</v>
      </c>
      <c r="CS403" s="1127">
        <f t="shared" si="211"/>
        <v>425</v>
      </c>
      <c r="CT403" s="1127">
        <f t="shared" si="211"/>
        <v>456</v>
      </c>
      <c r="CU403" s="1127">
        <f t="shared" si="211"/>
        <v>486</v>
      </c>
      <c r="CV403" s="1127">
        <f t="shared" si="211"/>
        <v>517</v>
      </c>
      <c r="CW403" s="1127">
        <f t="shared" si="211"/>
        <v>547</v>
      </c>
      <c r="CX403" s="1127">
        <f t="shared" si="211"/>
        <v>578</v>
      </c>
      <c r="CY403" s="1127">
        <f t="shared" si="211"/>
        <v>609</v>
      </c>
      <c r="CZ403" s="1127">
        <f t="shared" si="211"/>
        <v>639</v>
      </c>
      <c r="DA403" s="1127">
        <f t="shared" si="211"/>
        <v>670</v>
      </c>
      <c r="DB403" s="1127">
        <f t="shared" si="211"/>
        <v>700</v>
      </c>
      <c r="DC403" s="1127">
        <f t="shared" si="211"/>
        <v>731</v>
      </c>
      <c r="DD403" s="1127">
        <f t="shared" si="211"/>
        <v>762</v>
      </c>
      <c r="DE403" s="1127">
        <f t="shared" si="211"/>
        <v>790</v>
      </c>
      <c r="DF403" s="1127">
        <f t="shared" si="211"/>
        <v>821</v>
      </c>
      <c r="DG403" s="1127">
        <f t="shared" si="211"/>
        <v>851</v>
      </c>
      <c r="DH403" s="1127">
        <f t="shared" si="211"/>
        <v>882</v>
      </c>
      <c r="DI403" s="1127">
        <f t="shared" si="211"/>
        <v>912</v>
      </c>
      <c r="DJ403" s="1127">
        <f t="shared" si="211"/>
        <v>943</v>
      </c>
      <c r="DK403" s="1127">
        <f t="shared" si="211"/>
        <v>974</v>
      </c>
      <c r="DL403" s="1127">
        <f t="shared" ref="DL403:EM403" si="212">BC403</f>
        <v>1004</v>
      </c>
      <c r="DM403" s="1127">
        <f t="shared" si="212"/>
        <v>1035</v>
      </c>
      <c r="DN403" s="1127">
        <f t="shared" si="212"/>
        <v>1065</v>
      </c>
      <c r="DO403" s="1127">
        <f t="shared" si="212"/>
        <v>1096</v>
      </c>
      <c r="DP403" s="1127">
        <f t="shared" si="212"/>
        <v>1127</v>
      </c>
      <c r="DQ403" s="1127">
        <f t="shared" si="212"/>
        <v>1155</v>
      </c>
      <c r="DR403" s="273">
        <f t="shared" si="212"/>
        <v>1186</v>
      </c>
      <c r="DS403" s="273">
        <f t="shared" si="212"/>
        <v>1216</v>
      </c>
      <c r="DT403" s="273">
        <f t="shared" si="212"/>
        <v>1247</v>
      </c>
      <c r="DU403" s="273">
        <f t="shared" si="212"/>
        <v>1277</v>
      </c>
      <c r="DV403" s="273">
        <f t="shared" si="212"/>
        <v>1308</v>
      </c>
      <c r="DW403" s="273">
        <f t="shared" si="212"/>
        <v>1339</v>
      </c>
      <c r="DX403" s="273">
        <f t="shared" si="212"/>
        <v>1369</v>
      </c>
      <c r="DY403" s="273">
        <f t="shared" si="212"/>
        <v>1400</v>
      </c>
      <c r="DZ403" s="273">
        <f t="shared" si="212"/>
        <v>1430</v>
      </c>
      <c r="EA403" s="273">
        <f t="shared" si="212"/>
        <v>1461</v>
      </c>
      <c r="EB403" s="273">
        <f t="shared" si="212"/>
        <v>1492</v>
      </c>
      <c r="EC403" s="273">
        <f t="shared" si="212"/>
        <v>1521</v>
      </c>
      <c r="ED403" s="273">
        <f t="shared" si="212"/>
        <v>1552</v>
      </c>
      <c r="EE403" s="273">
        <f t="shared" si="212"/>
        <v>1582</v>
      </c>
      <c r="EF403" s="273">
        <f t="shared" si="212"/>
        <v>1613</v>
      </c>
      <c r="EG403" s="273">
        <f t="shared" si="212"/>
        <v>1643</v>
      </c>
      <c r="EH403" s="273">
        <f t="shared" si="212"/>
        <v>1674</v>
      </c>
      <c r="EI403" s="273">
        <f t="shared" si="212"/>
        <v>1705</v>
      </c>
      <c r="EJ403" s="273">
        <f t="shared" si="212"/>
        <v>1735</v>
      </c>
      <c r="EK403" s="273">
        <f t="shared" si="212"/>
        <v>1766</v>
      </c>
      <c r="EL403" s="273">
        <f t="shared" si="212"/>
        <v>1796</v>
      </c>
      <c r="EM403" s="273">
        <f t="shared" si="212"/>
        <v>1827</v>
      </c>
      <c r="EN403" s="1300"/>
      <c r="EO403" s="39">
        <v>51</v>
      </c>
      <c r="EP403" s="39">
        <v>51</v>
      </c>
      <c r="EQ403" s="39">
        <v>51</v>
      </c>
      <c r="ER403" s="39">
        <v>51</v>
      </c>
      <c r="ES403" s="39">
        <v>51</v>
      </c>
      <c r="ET403" s="39">
        <v>51</v>
      </c>
      <c r="EU403" s="39">
        <v>51</v>
      </c>
      <c r="EV403" s="39">
        <v>51</v>
      </c>
      <c r="EW403" s="39">
        <v>51</v>
      </c>
      <c r="EX403" s="39">
        <v>51</v>
      </c>
    </row>
    <row r="404" spans="11:154" ht="12" customHeight="1" x14ac:dyDescent="0.35">
      <c r="K404" s="102">
        <v>1</v>
      </c>
      <c r="L404" s="126">
        <f>Input!D167</f>
        <v>0</v>
      </c>
      <c r="M404" s="127">
        <f>IF(Input!$F$166&gt;=$K404,Input!H167,0)</f>
        <v>0</v>
      </c>
      <c r="N404" s="195">
        <f>Input!I167</f>
        <v>0</v>
      </c>
      <c r="O404" s="195">
        <f>Input!J167</f>
        <v>0</v>
      </c>
      <c r="P404" s="128">
        <f>Input!K167</f>
        <v>0</v>
      </c>
      <c r="Q404" s="129">
        <f>Input!G167</f>
        <v>0</v>
      </c>
      <c r="R404" s="1610"/>
      <c r="S404" s="102"/>
      <c r="T404" s="1302">
        <f>IFERROR(VLOOKUP(N404,Infrastructure!$D$70:$F$129,3,FALSE),0)</f>
        <v>1</v>
      </c>
      <c r="U404" s="1302">
        <f>IFERROR(VLOOKUP(O404,Infrastructure!$D$70:$F$129,3,FALSE),0)</f>
        <v>1</v>
      </c>
      <c r="V404" s="102"/>
      <c r="W404" s="130">
        <f>IF(Input!$F$166&gt;=$K404,Input!M167,0)</f>
        <v>0</v>
      </c>
      <c r="X404" s="127">
        <f>IF(Input!$F$166&gt;=$K404,Input!N167,0)</f>
        <v>0</v>
      </c>
      <c r="Y404" s="127">
        <f>IF(Input!$F$166&gt;=$K404,Input!O167,0)</f>
        <v>0</v>
      </c>
      <c r="Z404" s="127">
        <f>IF(Input!$F$166&gt;=$K404,Input!P167,0)</f>
        <v>0</v>
      </c>
      <c r="AA404" s="127">
        <f>IF(Input!$F$166&gt;=$K404,Input!Q167,0)</f>
        <v>0</v>
      </c>
      <c r="AB404" s="127">
        <f>IF(Input!$F$166&gt;=$K404,Input!R167,0)</f>
        <v>0</v>
      </c>
      <c r="AC404" s="127">
        <f>IF(Input!$F$166&gt;=$K404,Input!S167,0)</f>
        <v>0</v>
      </c>
      <c r="AD404" s="127">
        <f>IF(Input!$F$166&gt;=$K404,Input!T167,0)</f>
        <v>0</v>
      </c>
      <c r="AE404" s="127">
        <f>IF(Input!$F$166&gt;=$K404,Input!U167,0)</f>
        <v>0</v>
      </c>
      <c r="AF404" s="1128">
        <f>IF(Input!$F$166&gt;=$K404,Input!V167,0)</f>
        <v>0</v>
      </c>
      <c r="AG404" s="1128">
        <f>IF(Input!$F$166&gt;=$K404,Input!W167,0)</f>
        <v>0</v>
      </c>
      <c r="AH404" s="1128">
        <f>IF(Input!$F$166&gt;=$K404,Input!X167,0)</f>
        <v>0</v>
      </c>
      <c r="AI404" s="1128">
        <f>IF(Input!$F$166&gt;=$K404,Input!Y167,0)</f>
        <v>0</v>
      </c>
      <c r="AJ404" s="1128">
        <f>IF(Input!$F$166&gt;=$K404,Input!Z167,0)</f>
        <v>0</v>
      </c>
      <c r="AK404" s="1128">
        <f>IF(Input!$F$166&gt;=$K404,Input!AA167,0)</f>
        <v>0</v>
      </c>
      <c r="AL404" s="1128">
        <f>IF(Input!$F$166&gt;=$K404,Input!AB167,0)</f>
        <v>0</v>
      </c>
      <c r="AM404" s="1128">
        <f>IF(Input!$F$166&gt;=$K404,Input!AC167,0)</f>
        <v>0</v>
      </c>
      <c r="AN404" s="1128">
        <f>IF(Input!$F$166&gt;=$K404,Input!AD167,0)</f>
        <v>0</v>
      </c>
      <c r="AO404" s="1128">
        <f>IF(Input!$F$166&gt;=$K404,Input!AE167,0)</f>
        <v>0</v>
      </c>
      <c r="AP404" s="1128">
        <f>IF(Input!$F$166&gt;=$K404,Input!AF167,0)</f>
        <v>0</v>
      </c>
      <c r="AQ404" s="1128">
        <f>IF(Input!$F$166&gt;=$K404,Input!AG167,0)</f>
        <v>0</v>
      </c>
      <c r="AR404" s="1128">
        <f>IF(Input!$F$166&gt;=$K404,Input!AH167,0)</f>
        <v>0</v>
      </c>
      <c r="AS404" s="1128">
        <f>IF(Input!$F$166&gt;=$K404,Input!AI167,0)</f>
        <v>0</v>
      </c>
      <c r="AT404" s="1128">
        <f>IF(Input!$F$166&gt;=$K404,Input!AJ167,0)</f>
        <v>0</v>
      </c>
      <c r="AU404" s="1128">
        <f>IF(Input!$F$166&gt;=$K404,Input!AK167,0)</f>
        <v>0</v>
      </c>
      <c r="AV404" s="1128">
        <f>IF(Input!$F$166&gt;=$K404,Input!AL167,0)</f>
        <v>0</v>
      </c>
      <c r="AW404" s="1128">
        <f>IF(Input!$F$166&gt;=$K404,Input!AM167,0)</f>
        <v>0</v>
      </c>
      <c r="AX404" s="1128">
        <f>IF(Input!$F$166&gt;=$K404,Input!AN167,0)</f>
        <v>0</v>
      </c>
      <c r="AY404" s="1128">
        <f>IF(Input!$F$166&gt;=$K404,Input!AO167,0)</f>
        <v>0</v>
      </c>
      <c r="AZ404" s="1128">
        <f>IF(Input!$F$166&gt;=$K404,Input!AP167,0)</f>
        <v>0</v>
      </c>
      <c r="BA404" s="1128">
        <f>IF(Input!$F$166&gt;=$K404,Input!AQ167,0)</f>
        <v>0</v>
      </c>
      <c r="BB404" s="1128">
        <f>IF(Input!$F$166&gt;=$K404,Input!AR167,0)</f>
        <v>0</v>
      </c>
      <c r="BC404" s="1128">
        <f>IF(Input!$F$166&gt;=$K404,Input!AS167,0)</f>
        <v>0</v>
      </c>
      <c r="BD404" s="1128">
        <f>IF(Input!$F$166&gt;=$K404,Input!AT167,0)</f>
        <v>0</v>
      </c>
      <c r="BE404" s="1128">
        <f>IF(Input!$F$166&gt;=$K404,Input!AU167,0)</f>
        <v>0</v>
      </c>
      <c r="BF404" s="1128">
        <f>IF(Input!$F$166&gt;=$K404,Input!AV167,0)</f>
        <v>0</v>
      </c>
      <c r="BG404" s="1128">
        <f>IF(Input!$F$166&gt;=$K404,Input!AW167,0)</f>
        <v>0</v>
      </c>
      <c r="BH404" s="1128">
        <f>IF(Input!$F$166&gt;=$K404,Input!AX167,0)</f>
        <v>0</v>
      </c>
      <c r="BI404" s="1128">
        <f>IF(Input!$F$166&gt;=$K404,Input!AY167,0)</f>
        <v>0</v>
      </c>
      <c r="BJ404" s="1128">
        <f>IF(Input!$F$166&gt;=$K404,Input!AZ167,0)</f>
        <v>0</v>
      </c>
      <c r="BK404" s="1128">
        <f>IF(Input!$F$166&gt;=$K404,Input!BA167,0)</f>
        <v>0</v>
      </c>
      <c r="BL404" s="1128">
        <f>IF(Input!$F$166&gt;=$K404,Input!BB167,0)</f>
        <v>0</v>
      </c>
      <c r="BM404" s="1128">
        <f>IF(Input!$F$166&gt;=$K404,Input!BC167,0)</f>
        <v>0</v>
      </c>
      <c r="BN404" s="1128">
        <f>IF(Input!$F$166&gt;=$K404,Input!BD167,0)</f>
        <v>0</v>
      </c>
      <c r="BO404" s="1128">
        <f>IF(Input!$F$166&gt;=$K404,Input!BE167,0)</f>
        <v>0</v>
      </c>
      <c r="BP404" s="1128">
        <f>IF(Input!$F$166&gt;=$K404,Input!BF167,0)</f>
        <v>0</v>
      </c>
      <c r="BQ404" s="1128">
        <f>IF(Input!$F$166&gt;=$K404,Input!BG167,0)</f>
        <v>0</v>
      </c>
      <c r="BR404" s="1128">
        <f>IF(Input!$F$166&gt;=$K404,Input!BH167,0)</f>
        <v>0</v>
      </c>
      <c r="BS404" s="1128">
        <f>IF(Input!$F$166&gt;=$K404,Input!BI167,0)</f>
        <v>0</v>
      </c>
      <c r="BT404" s="1128">
        <f>IF(Input!$F$166&gt;=$K404,Input!BJ167,0)</f>
        <v>0</v>
      </c>
      <c r="BU404" s="1128">
        <f>IF(Input!$F$166&gt;=$K404,Input!BK167,0)</f>
        <v>0</v>
      </c>
      <c r="BV404" s="1128">
        <f>IF(Input!$F$166&gt;=$K404,Input!BL167,0)</f>
        <v>0</v>
      </c>
      <c r="BW404" s="1128">
        <f>IF(Input!$F$166&gt;=$K404,Input!BM167,0)</f>
        <v>0</v>
      </c>
      <c r="BX404" s="1128">
        <f>IF(Input!$F$166&gt;=$K404,Input!BN167,0)</f>
        <v>0</v>
      </c>
      <c r="BY404" s="1128">
        <f>IF(Input!$F$166&gt;=$K404,Input!BO167,0)</f>
        <v>0</v>
      </c>
      <c r="BZ404" s="1128">
        <f>IF(Input!$F$166&gt;=$K404,Input!BP167,0)</f>
        <v>0</v>
      </c>
      <c r="CA404" s="1128">
        <f>IF(Input!$F$166&gt;=$K404,Input!BQ167,0)</f>
        <v>0</v>
      </c>
      <c r="CB404" s="1128">
        <f>IF(Input!$F$166&gt;=$K404,Input!BR167,0)</f>
        <v>0</v>
      </c>
      <c r="CC404" s="1128">
        <f>IF(Input!$F$166&gt;=$K404,Input!BS167,0)</f>
        <v>0</v>
      </c>
      <c r="CD404" s="1129">
        <f>IF(Input!$F$166&gt;=$K404,Input!BT167,0)</f>
        <v>0</v>
      </c>
      <c r="CE404" s="1805" t="str">
        <f>IF(Input!D167&lt;&gt;"",Input!D167,"")</f>
        <v/>
      </c>
      <c r="CF404" s="1806">
        <f>IFERROR(IF(OR($T404&gt;CF$399,CF$399&gt;$U404),0,(Input!$H167*((1+Input!$K167)^VLOOKUP(CF$399-$T404+1,$N$473:$P$477,3)))+(Input!$G167*W$415))+Input!M167,0)</f>
      </c>
      <c r="CG404" s="1806">
        <f>IFERROR(IF(OR($T404&gt;CG$399,CG$399&gt;$U404),0,(Input!$H167*((1+Input!$K167)^VLOOKUP(CG$399-$T404+1,$N$473:$P$477,3)))+(Input!$G167*X$415))+Input!N167,0)</f>
      </c>
      <c r="CH404" s="1806">
        <f>IFERROR(IF(OR($T404&gt;CH$399,CH$399&gt;$U404),0,(Input!$H167*((1+Input!$K167)^VLOOKUP(CH$399-$T404+1,$N$473:$P$477,3)))+(Input!$G167*Y$415))+Input!O167,0)</f>
      </c>
      <c r="CI404" s="1806">
        <f>IFERROR(IF(OR($T404&gt;CI$399,CI$399&gt;$U404),0,(Input!$H167*((1+Input!$K167)^VLOOKUP(CI$399-$T404+1,$N$473:$P$477,3)))+(Input!$G167*Z$415))+Input!P167,0)</f>
      </c>
      <c r="CJ404" s="1806">
        <f>IFERROR(IF(OR($T404&gt;CJ$399,CJ$399&gt;$U404),0,(Input!$H167*((1+Input!$K167)^VLOOKUP(CJ$399-$T404+1,$N$473:$P$477,3)))+(Input!$G167*AA$415))+Input!Q167,0)</f>
      </c>
      <c r="CK404" s="1806">
        <f>IFERROR(IF(OR($T404&gt;CK$399,CK$399&gt;$U404),0,(Input!$H167*((1+Input!$K167)^VLOOKUP(CK$399-$T404+1,$N$473:$P$477,3)))+(Input!$G167*AB$415))+Input!R167,0)</f>
      </c>
      <c r="CL404" s="1806">
        <f>IFERROR(IF(OR($T404&gt;CL$399,CL$399&gt;$U404),0,(Input!$H167*((1+Input!$K167)^VLOOKUP(CL$399-$T404+1,$N$473:$P$477,3)))+(Input!$G167*AC$415))+Input!S167,0)</f>
      </c>
      <c r="CM404" s="1806">
        <f>IFERROR(IF(OR($T404&gt;CM$399,CM$399&gt;$U404),0,(Input!$H167*((1+Input!$K167)^VLOOKUP(CM$399-$T404+1,$N$473:$P$477,3)))+(Input!$G167*AD$415))+Input!T167,0)</f>
      </c>
      <c r="CN404" s="1806">
        <f>IFERROR(IF(OR($T404&gt;CN$399,CN$399&gt;$U404),0,(Input!$H167*((1+Input!$K167)^VLOOKUP(CN$399-$T404+1,$N$473:$P$477,3)))+(Input!$G167*AE$415))+Input!U167,0)</f>
      </c>
      <c r="CO404" s="1806">
        <f>IFERROR(IF(OR($T404&gt;CO$399,CO$399&gt;$U404),0,(Input!$H167*((1+Input!$K167)^VLOOKUP(CO$399-$T404+1,$N$473:$P$477,3)))+(Input!$G167*AF$415))+Input!V167,0)</f>
      </c>
      <c r="CP404" s="1806">
        <f>IFERROR(IF(OR($T404&gt;CP$399,CP$399&gt;$U404),0,(Input!$H167*((1+Input!$K167)^VLOOKUP(CP$399-$T404+1,$N$473:$P$477,3)))+(Input!$G167*AG$415))+Input!W167,0)</f>
      </c>
      <c r="CQ404" s="1806">
        <f>IFERROR(IF(OR($T404&gt;CQ$399,CQ$399&gt;$U404),0,(Input!$H167*((1+Input!$K167)^VLOOKUP(CQ$399-$T404+1,$N$473:$P$477,3)))+(Input!$G167*AH$415))+Input!X167,0)</f>
      </c>
      <c r="CR404" s="1806">
        <f>IFERROR(IF(OR($T404&gt;CR$399,CR$399&gt;$U404),0,(Input!$H167*((1+Input!$K167)^VLOOKUP(CR$399-$T404+1,$N$473:$P$477,3)))+(Input!$G167*AI$415))+Input!Y167,0)</f>
      </c>
      <c r="CS404" s="1806">
        <f>IFERROR(IF(OR($T404&gt;CS$399,CS$399&gt;$U404),0,(Input!$H167*((1+Input!$K167)^VLOOKUP(CS$399-$T404+1,$N$473:$P$477,3)))+(Input!$G167*AJ$415))+Input!Z167,0)</f>
      </c>
      <c r="CT404" s="1806">
        <f>IFERROR(IF(OR($T404&gt;CT$399,CT$399&gt;$U404),0,(Input!$H167*((1+Input!$K167)^VLOOKUP(CT$399-$T404+1,$N$473:$P$477,3)))+(Input!$G167*AK$415))+Input!AA167,0)</f>
      </c>
      <c r="CU404" s="1806">
        <f>IFERROR(IF(OR($T404&gt;CU$399,CU$399&gt;$U404),0,(Input!$H167*((1+Input!$K167)^VLOOKUP(CU$399-$T404+1,$N$473:$P$477,3)))+(Input!$G167*AL$415))+Input!AB167,0)</f>
      </c>
      <c r="CV404" s="1806">
        <f>IFERROR(IF(OR($T404&gt;CV$399,CV$399&gt;$U404),0,(Input!$H167*((1+Input!$K167)^VLOOKUP(CV$399-$T404+1,$N$473:$P$477,3)))+(Input!$G167*AM$415))+Input!AC167,0)</f>
      </c>
      <c r="CW404" s="1806">
        <f>IFERROR(IF(OR($T404&gt;CW$399,CW$399&gt;$U404),0,(Input!$H167*((1+Input!$K167)^VLOOKUP(CW$399-$T404+1,$N$473:$P$477,3)))+(Input!$G167*AN$415))+Input!AD167,0)</f>
      </c>
      <c r="CX404" s="1806">
        <f>IFERROR(IF(OR($T404&gt;CX$399,CX$399&gt;$U404),0,(Input!$H167*((1+Input!$K167)^VLOOKUP(CX$399-$T404+1,$N$473:$P$477,3)))+(Input!$G167*AO$415))+Input!AE167,0)</f>
      </c>
      <c r="CY404" s="1806">
        <f>IFERROR(IF(OR($T404&gt;CY$399,CY$399&gt;$U404),0,(Input!$H167*((1+Input!$K167)^VLOOKUP(CY$399-$T404+1,$N$473:$P$477,3)))+(Input!$G167*AP$415))+Input!AF167,0)</f>
      </c>
      <c r="CZ404" s="1806">
        <f>IFERROR(IF(OR($T404&gt;CZ$399,CZ$399&gt;$U404),0,(Input!$H167*((1+Input!$K167)^VLOOKUP(CZ$399-$T404+1,$N$473:$P$477,3)))+(Input!$G167*AQ$415))+Input!AG167,0)</f>
      </c>
      <c r="DA404" s="1806">
        <f>IFERROR(IF(OR($T404&gt;DA$399,DA$399&gt;$U404),0,(Input!$H167*((1+Input!$K167)^VLOOKUP(DA$399-$T404+1,$N$473:$P$477,3)))+(Input!$G167*AR$415))+Input!AH167,0)</f>
      </c>
      <c r="DB404" s="1806">
        <f>IFERROR(IF(OR($T404&gt;DB$399,DB$399&gt;$U404),0,(Input!$H167*((1+Input!$K167)^VLOOKUP(DB$399-$T404+1,$N$473:$P$477,3)))+(Input!$G167*AS$415))+Input!AI167,0)</f>
      </c>
      <c r="DC404" s="1806">
        <f>IFERROR(IF(OR($T404&gt;DC$399,DC$399&gt;$U404),0,(Input!$H167*((1+Input!$K167)^VLOOKUP(DC$399-$T404+1,$N$473:$P$477,3)))+(Input!$G167*AT$415))+Input!AJ167,0)</f>
      </c>
      <c r="DD404" s="1806">
        <f>IFERROR(IF(OR($T404&gt;DD$399,DD$399&gt;$U404),0,(Input!$H167*((1+Input!$K167)^VLOOKUP(DD$399-$T404+1,$N$473:$P$477,3)))+(Input!$G167*AU$415))+Input!AK167,0)</f>
      </c>
      <c r="DE404" s="1806">
        <f>IFERROR(IF(OR($T404&gt;DE$399,DE$399&gt;$U404),0,(Input!$H167*((1+Input!$K167)^VLOOKUP(DE$399-$T404+1,$N$473:$P$477,3)))+(Input!$G167*AV$415))+Input!AL167,0)</f>
      </c>
      <c r="DF404" s="1806">
        <f>IFERROR(IF(OR($T404&gt;DF$399,DF$399&gt;$U404),0,(Input!$H167*((1+Input!$K167)^VLOOKUP(DF$399-$T404+1,$N$473:$P$477,3)))+(Input!$G167*AW$415))+Input!AM167,0)</f>
      </c>
      <c r="DG404" s="1806">
        <f>IFERROR(IF(OR($T404&gt;DG$399,DG$399&gt;$U404),0,(Input!$H167*((1+Input!$K167)^VLOOKUP(DG$399-$T404+1,$N$473:$P$477,3)))+(Input!$G167*AX$415))+Input!AN167,0)</f>
      </c>
      <c r="DH404" s="1806">
        <f>IFERROR(IF(OR($T404&gt;DH$399,DH$399&gt;$U404),0,(Input!$H167*((1+Input!$K167)^VLOOKUP(DH$399-$T404+1,$N$473:$P$477,3)))+(Input!$G167*AY$415))+Input!AO167,0)</f>
      </c>
      <c r="DI404" s="1806">
        <f>IFERROR(IF(OR($T404&gt;DI$399,DI$399&gt;$U404),0,(Input!$H167*((1+Input!$K167)^VLOOKUP(DI$399-$T404+1,$N$473:$P$477,3)))+(Input!$G167*AZ$415))+Input!AP167,0)</f>
      </c>
      <c r="DJ404" s="1806">
        <f>IFERROR(IF(OR($T404&gt;DJ$399,DJ$399&gt;$U404),0,(Input!$H167*((1+Input!$K167)^VLOOKUP(DJ$399-$T404+1,$N$473:$P$477,3)))+(Input!$G167*BA$415))+Input!AQ167,0)</f>
      </c>
      <c r="DK404" s="1806">
        <f>IFERROR(IF(OR($T404&gt;DK$399,DK$399&gt;$U404),0,(Input!$H167*((1+Input!$K167)^VLOOKUP(DK$399-$T404+1,$N$473:$P$477,3)))+(Input!$G167*BB$415))+Input!AR167,0)</f>
      </c>
      <c r="DL404" s="1806">
        <f>IFERROR(IF(OR($T404&gt;DL$399,DL$399&gt;$U404),0,(Input!$H167*((1+Input!$K167)^VLOOKUP(DL$399-$T404+1,$N$473:$P$477,3)))+(Input!$G167*BC$415))+Input!AS167,0)</f>
      </c>
      <c r="DM404" s="1806">
        <f>IFERROR(IF(OR($T404&gt;DM$399,DM$399&gt;$U404),0,(Input!$H167*((1+Input!$K167)^VLOOKUP(DM$399-$T404+1,$N$473:$P$477,3)))+(Input!$G167*BD$415))+Input!AT167,0)</f>
      </c>
      <c r="DN404" s="1806">
        <f>IFERROR(IF(OR($T404&gt;DN$399,DN$399&gt;$U404),0,(Input!$H167*((1+Input!$K167)^VLOOKUP(DN$399-$T404+1,$N$473:$P$477,3)))+(Input!$G167*BE$415))+Input!AU167,0)</f>
      </c>
      <c r="DO404" s="1806">
        <f>IFERROR(IF(OR($T404&gt;DO$399,DO$399&gt;$U404),0,(Input!$H167*((1+Input!$K167)^VLOOKUP(DO$399-$T404+1,$N$473:$P$477,3)))+(Input!$G167*BF$415))+Input!AV167,0)</f>
      </c>
      <c r="DP404" s="1806">
        <f>IF(Years="Five",IFERROR(IF(OR($T404&gt;DP$399,DP$399&gt;$U404),0,(Input!$H167*((1+Input!$K167)^VLOOKUP(DP$399-$T404+1,$N$473:$P$477,3)))+(Input!$G167*BG$415))+Input!AW167,0),0)</f>
      </c>
      <c r="DQ404" s="1806">
        <f>IF(Years="Five",IFERROR(IF(OR($T404&gt;DQ$399,DQ$399&gt;$U404),0,(Input!$H167*((1+Input!$K167)^VLOOKUP(DQ$399-$T404+1,$N$473:$P$477,3)))+(Input!$G167*BH$415))+Input!AX167,0),0)</f>
      </c>
      <c r="DR404" s="1807">
        <f>IF(Years="Five",IFERROR(IF(OR($T404&gt;DR$399,DR$399&gt;$U404),0,(Input!$H167*((1+Input!$K167)^VLOOKUP(DR$399-$T404+1,$N$473:$P$477,3)))+(Input!$G167*BI$415))+Input!AY167,0),0)</f>
      </c>
      <c r="DS404" s="1807">
        <f>IF(Years="Five",IFERROR(IF(OR($T404&gt;DS$399,DS$399&gt;$U404),0,(Input!$H167*((1+Input!$K167)^VLOOKUP(DS$399-$T404+1,$N$473:$P$477,3)))+(Input!$G167*BJ$415))+Input!AZ167,0),0)</f>
      </c>
      <c r="DT404" s="1807">
        <f>IF(Years="Five",IFERROR(IF(OR($T404&gt;DT$399,DT$399&gt;$U404),0,(Input!$H167*((1+Input!$K167)^VLOOKUP(DT$399-$T404+1,$N$473:$P$477,3)))+(Input!$G167*BK$415))+Input!BA167,0),0)</f>
      </c>
      <c r="DU404" s="1807">
        <f>IF(Years="Five",IFERROR(IF(OR($T404&gt;DU$399,DU$399&gt;$U404),0,(Input!$H167*((1+Input!$K167)^VLOOKUP(DU$399-$T404+1,$N$473:$P$477,3)))+(Input!$G167*BL$415))+Input!BB167,0),0)</f>
      </c>
      <c r="DV404" s="1807">
        <f>IF(Years="Five",IFERROR(IF(OR($T404&gt;DV$399,DV$399&gt;$U404),0,(Input!$H167*((1+Input!$K167)^VLOOKUP(DV$399-$T404+1,$N$473:$P$477,3)))+(Input!$G167*BM$415))+Input!BC167,0),0)</f>
      </c>
      <c r="DW404" s="1807">
        <f>IF(Years="Five",IFERROR(IF(OR($T404&gt;DW$399,DW$399&gt;$U404),0,(Input!$H167*((1+Input!$K167)^VLOOKUP(DW$399-$T404+1,$N$473:$P$477,3)))+(Input!$G167*BN$415))+Input!BD167,0),0)</f>
      </c>
      <c r="DX404" s="1807">
        <f>IF(Years="Five",IFERROR(IF(OR($T404&gt;DX$399,DX$399&gt;$U404),0,(Input!$H167*((1+Input!$K167)^VLOOKUP(DX$399-$T404+1,$N$473:$P$477,3)))+(Input!$G167*BO$415))+Input!BE167,0),0)</f>
      </c>
      <c r="DY404" s="1807">
        <f>IF(Years="Five",IFERROR(IF(OR($T404&gt;DY$399,DY$399&gt;$U404),0,(Input!$H167*((1+Input!$K167)^VLOOKUP(DY$399-$T404+1,$N$473:$P$477,3)))+(Input!$G167*BP$415))+Input!BF167,0),0)</f>
      </c>
      <c r="DZ404" s="1807">
        <f>IF(Years="Five",IFERROR(IF(OR($T404&gt;DZ$399,DZ$399&gt;$U404),0,(Input!$H167*((1+Input!$K167)^VLOOKUP(DZ$399-$T404+1,$N$473:$P$477,3)))+(Input!$G167*BQ$415))+Input!BG167,0),0)</f>
      </c>
      <c r="EA404" s="1807">
        <f>IF(Years="Five",IFERROR(IF(OR($T404&gt;EA$399,EA$399&gt;$U404),0,(Input!$H167*((1+Input!$K167)^VLOOKUP(EA$399-$T404+1,$N$473:$P$477,3)))+(Input!$G167*BR$415))+Input!BH167,0),0)</f>
      </c>
      <c r="EB404" s="1807">
        <f>IF(Years="Five",IFERROR(IF(OR($T404&gt;EB$399,EB$399&gt;$U404),0,(Input!$H167*((1+Input!$K167)^VLOOKUP(EB$399-$T404+1,$N$473:$P$477,3)))+(Input!$G167*BS$415))+Input!BI167,0),0)</f>
      </c>
      <c r="EC404" s="1807">
        <f>IF(Years="Five",IFERROR(IF(OR($T404&gt;EC$399,EC$399&gt;$U404),0,(Input!$H167*((1+Input!$K167)^VLOOKUP(EC$399-$T404+1,$N$473:$P$477,3)))+(Input!$G167*BT$415))+Input!BJ167,0),0)</f>
      </c>
      <c r="ED404" s="1807">
        <f>IF(Years="Five",IFERROR(IF(OR($T404&gt;ED$399,ED$399&gt;$U404),0,(Input!$H167*((1+Input!$K167)^VLOOKUP(ED$399-$T404+1,$N$473:$P$477,3)))+(Input!$G167*BU$415))+Input!BK167,0),0)</f>
      </c>
      <c r="EE404" s="1807">
        <f>IF(Years="Five",IFERROR(IF(OR($T404&gt;EE$399,EE$399&gt;$U404),0,(Input!$H167*((1+Input!$K167)^VLOOKUP(EE$399-$T404+1,$N$473:$P$477,3)))+(Input!$G167*BV$415))+Input!BL167,0),0)</f>
      </c>
      <c r="EF404" s="1807">
        <f>IF(Years="Five",IFERROR(IF(OR($T404&gt;EF$399,EF$399&gt;$U404),0,(Input!$H167*((1+Input!$K167)^VLOOKUP(EF$399-$T404+1,$N$473:$P$477,3)))+(Input!$G167*BW$415))+Input!BM167,0),0)</f>
      </c>
      <c r="EG404" s="1807">
        <f>IF(Years="Five",IFERROR(IF(OR($T404&gt;EG$399,EG$399&gt;$U404),0,(Input!$H167*((1+Input!$K167)^VLOOKUP(EG$399-$T404+1,$N$473:$P$477,3)))+(Input!$G167*BX$415))+Input!BN167,0),0)</f>
      </c>
      <c r="EH404" s="1807">
        <f>IF(Years="Five",IFERROR(IF(OR($T404&gt;EH$399,EH$399&gt;$U404),0,(Input!$H167*((1+Input!$K167)^VLOOKUP(EH$399-$T404+1,$N$473:$P$477,3)))+(Input!$G167*BY$415))+Input!BO167,0),0)</f>
      </c>
      <c r="EI404" s="1807">
        <f>IF(Years="Five",IFERROR(IF(OR($T404&gt;EI$399,EI$399&gt;$U404),0,(Input!$H167*((1+Input!$K167)^VLOOKUP(EI$399-$T404+1,$N$473:$P$477,3)))+(Input!$G167*BZ$415))+Input!BP167,0),0)</f>
      </c>
      <c r="EJ404" s="1807">
        <f>IF(Years="Five",IFERROR(IF(OR($T404&gt;EJ$399,EJ$399&gt;$U404),0,(Input!$H167*((1+Input!$K167)^VLOOKUP(EJ$399-$T404+1,$N$473:$P$477,3)))+(Input!$G167*CA$415))+Input!BQ167,0),0)</f>
      </c>
      <c r="EK404" s="1807">
        <f>IF(Years="Five",IFERROR(IF(OR($T404&gt;EK$399,EK$399&gt;$U404),0,(Input!$H167*((1+Input!$K167)^VLOOKUP(EK$399-$T404+1,$N$473:$P$477,3)))+(Input!$G167*CB$415))+Input!BR167,0),0)</f>
      </c>
      <c r="EL404" s="1807">
        <f>IF(Years="Five",IFERROR(IF(OR($T404&gt;EL$399,EL$399&gt;$U404),0,(Input!$H167*((1+Input!$K167)^VLOOKUP(EL$399-$T404+1,$N$473:$P$477,3)))+(Input!$G167*CC$415))+Input!BS167,0),0)</f>
      </c>
      <c r="EM404" s="1807">
        <f>IF(Years="Five",IFERROR(IF(OR($T404&gt;EM$399,EM$399&gt;$U404),0,(Input!$H167*((1+Input!$K167)^VLOOKUP(EM$399-$T404+1,$N$473:$P$477,3)))+(Input!$G167*CD$415))+Input!BT167,0),0)</f>
      </c>
      <c r="EN404" s="1300"/>
      <c r="EO404" s="1300"/>
      <c r="EP404" s="1300"/>
      <c r="EQ404" s="1300"/>
      <c r="ER404" s="1300"/>
      <c r="ES404" s="1300"/>
      <c r="ET404" s="1300"/>
      <c r="EU404" s="1300"/>
      <c r="EV404" s="1300"/>
      <c r="EW404" s="1300"/>
      <c r="EX404" s="1300"/>
    </row>
    <row r="405" spans="11:154" ht="12" customHeight="1" x14ac:dyDescent="0.35">
      <c r="K405" s="102">
        <v>2</v>
      </c>
      <c r="L405" s="121">
        <f>Input!D168</f>
        <v>0</v>
      </c>
      <c r="M405" s="122">
        <f>IF(Input!$F$166&gt;=$K405,Input!H168,0)</f>
        <v>0</v>
      </c>
      <c r="N405" s="196">
        <f>Input!I168</f>
        <v>0</v>
      </c>
      <c r="O405" s="196">
        <f>Input!J168</f>
        <v>0</v>
      </c>
      <c r="P405" s="125">
        <f>Input!K168</f>
        <v>0</v>
      </c>
      <c r="Q405" s="123">
        <f>Input!G168</f>
        <v>0</v>
      </c>
      <c r="R405" s="1610"/>
      <c r="S405" s="102"/>
      <c r="T405" s="1302">
        <f>IFERROR(VLOOKUP(N405,Infrastructure!$D$70:$F$129,3,FALSE),0)</f>
        <v>1</v>
      </c>
      <c r="U405" s="1302">
        <f>IFERROR(VLOOKUP(O405,Infrastructure!$D$70:$F$129,3,FALSE),0)</f>
        <v>1</v>
      </c>
      <c r="V405" s="102"/>
      <c r="W405" s="124">
        <f>IF(Input!$F$166&gt;=$K405,Input!M168,0)</f>
        <v>0</v>
      </c>
      <c r="X405" s="122">
        <f>IF(Input!$F$166&gt;=$K405,Input!N168,0)</f>
        <v>0</v>
      </c>
      <c r="Y405" s="122">
        <f>IF(Input!$F$166&gt;=$K405,Input!O168,0)</f>
        <v>0</v>
      </c>
      <c r="Z405" s="122">
        <f>IF(Input!$F$166&gt;=$K405,Input!P168,0)</f>
        <v>0</v>
      </c>
      <c r="AA405" s="122">
        <f>IF(Input!$F$166&gt;=$K405,Input!Q168,0)</f>
        <v>0</v>
      </c>
      <c r="AB405" s="122">
        <f>IF(Input!$F$166&gt;=$K405,Input!R168,0)</f>
        <v>0</v>
      </c>
      <c r="AC405" s="122">
        <f>IF(Input!$F$166&gt;=$K405,Input!S168,0)</f>
        <v>0</v>
      </c>
      <c r="AD405" s="122">
        <f>IF(Input!$F$166&gt;=$K405,Input!T168,0)</f>
        <v>0</v>
      </c>
      <c r="AE405" s="122">
        <f>IF(Input!$F$166&gt;=$K405,Input!U168,0)</f>
        <v>0</v>
      </c>
      <c r="AF405" s="1130">
        <f>IF(Input!$F$166&gt;=$K405,Input!V168,0)</f>
        <v>0</v>
      </c>
      <c r="AG405" s="1130">
        <f>IF(Input!$F$166&gt;=$K405,Input!W168,0)</f>
        <v>0</v>
      </c>
      <c r="AH405" s="1130">
        <f>IF(Input!$F$166&gt;=$K405,Input!X168,0)</f>
        <v>0</v>
      </c>
      <c r="AI405" s="1130">
        <f>IF(Input!$F$166&gt;=$K405,Input!Y168,0)</f>
        <v>0</v>
      </c>
      <c r="AJ405" s="1130">
        <f>IF(Input!$F$166&gt;=$K405,Input!Z168,0)</f>
        <v>0</v>
      </c>
      <c r="AK405" s="1130">
        <f>IF(Input!$F$166&gt;=$K405,Input!AA168,0)</f>
        <v>0</v>
      </c>
      <c r="AL405" s="1130">
        <f>IF(Input!$F$166&gt;=$K405,Input!AB168,0)</f>
        <v>0</v>
      </c>
      <c r="AM405" s="1130">
        <f>IF(Input!$F$166&gt;=$K405,Input!AC168,0)</f>
        <v>0</v>
      </c>
      <c r="AN405" s="1130">
        <f>IF(Input!$F$166&gt;=$K405,Input!AD168,0)</f>
        <v>0</v>
      </c>
      <c r="AO405" s="1130">
        <f>IF(Input!$F$166&gt;=$K405,Input!AE168,0)</f>
        <v>0</v>
      </c>
      <c r="AP405" s="1130">
        <f>IF(Input!$F$166&gt;=$K405,Input!AF168,0)</f>
        <v>0</v>
      </c>
      <c r="AQ405" s="1130">
        <f>IF(Input!$F$166&gt;=$K405,Input!AG168,0)</f>
        <v>0</v>
      </c>
      <c r="AR405" s="1130">
        <f>IF(Input!$F$166&gt;=$K405,Input!AH168,0)</f>
        <v>0</v>
      </c>
      <c r="AS405" s="1130">
        <f>IF(Input!$F$166&gt;=$K405,Input!AI168,0)</f>
        <v>0</v>
      </c>
      <c r="AT405" s="1130">
        <f>IF(Input!$F$166&gt;=$K405,Input!AJ168,0)</f>
        <v>0</v>
      </c>
      <c r="AU405" s="1130">
        <f>IF(Input!$F$166&gt;=$K405,Input!AK168,0)</f>
        <v>0</v>
      </c>
      <c r="AV405" s="1130">
        <f>IF(Input!$F$166&gt;=$K405,Input!AL168,0)</f>
        <v>0</v>
      </c>
      <c r="AW405" s="1130">
        <f>IF(Input!$F$166&gt;=$K405,Input!AM168,0)</f>
        <v>0</v>
      </c>
      <c r="AX405" s="1130">
        <f>IF(Input!$F$166&gt;=$K405,Input!AN168,0)</f>
        <v>0</v>
      </c>
      <c r="AY405" s="1130">
        <f>IF(Input!$F$166&gt;=$K405,Input!AO168,0)</f>
        <v>0</v>
      </c>
      <c r="AZ405" s="1130">
        <f>IF(Input!$F$166&gt;=$K405,Input!AP168,0)</f>
        <v>0</v>
      </c>
      <c r="BA405" s="1130">
        <f>IF(Input!$F$166&gt;=$K405,Input!AQ168,0)</f>
        <v>0</v>
      </c>
      <c r="BB405" s="1130">
        <f>IF(Input!$F$166&gt;=$K405,Input!AR168,0)</f>
        <v>0</v>
      </c>
      <c r="BC405" s="1130">
        <f>IF(Input!$F$166&gt;=$K405,Input!AS168,0)</f>
        <v>0</v>
      </c>
      <c r="BD405" s="1130">
        <f>IF(Input!$F$166&gt;=$K405,Input!AT168,0)</f>
        <v>0</v>
      </c>
      <c r="BE405" s="1130">
        <f>IF(Input!$F$166&gt;=$K405,Input!AU168,0)</f>
        <v>0</v>
      </c>
      <c r="BF405" s="1130">
        <f>IF(Input!$F$166&gt;=$K405,Input!AV168,0)</f>
        <v>0</v>
      </c>
      <c r="BG405" s="1130">
        <f>IF(Input!$F$166&gt;=$K405,Input!AW168,0)</f>
        <v>0</v>
      </c>
      <c r="BH405" s="1130">
        <f>IF(Input!$F$166&gt;=$K405,Input!AX168,0)</f>
        <v>0</v>
      </c>
      <c r="BI405" s="1130">
        <f>IF(Input!$F$166&gt;=$K405,Input!AY168,0)</f>
        <v>0</v>
      </c>
      <c r="BJ405" s="1130">
        <f>IF(Input!$F$166&gt;=$K405,Input!AZ168,0)</f>
        <v>0</v>
      </c>
      <c r="BK405" s="1130">
        <f>IF(Input!$F$166&gt;=$K405,Input!BA168,0)</f>
        <v>0</v>
      </c>
      <c r="BL405" s="1130">
        <f>IF(Input!$F$166&gt;=$K405,Input!BB168,0)</f>
        <v>0</v>
      </c>
      <c r="BM405" s="1130">
        <f>IF(Input!$F$166&gt;=$K405,Input!BC168,0)</f>
        <v>0</v>
      </c>
      <c r="BN405" s="1130">
        <f>IF(Input!$F$166&gt;=$K405,Input!BD168,0)</f>
        <v>0</v>
      </c>
      <c r="BO405" s="1130">
        <f>IF(Input!$F$166&gt;=$K405,Input!BE168,0)</f>
        <v>0</v>
      </c>
      <c r="BP405" s="1130">
        <f>IF(Input!$F$166&gt;=$K405,Input!BF168,0)</f>
        <v>0</v>
      </c>
      <c r="BQ405" s="1130">
        <f>IF(Input!$F$166&gt;=$K405,Input!BG168,0)</f>
        <v>0</v>
      </c>
      <c r="BR405" s="1130">
        <f>IF(Input!$F$166&gt;=$K405,Input!BH168,0)</f>
        <v>0</v>
      </c>
      <c r="BS405" s="1130">
        <f>IF(Input!$F$166&gt;=$K405,Input!BI168,0)</f>
        <v>0</v>
      </c>
      <c r="BT405" s="1130">
        <f>IF(Input!$F$166&gt;=$K405,Input!BJ168,0)</f>
        <v>0</v>
      </c>
      <c r="BU405" s="1130">
        <f>IF(Input!$F$166&gt;=$K405,Input!BK168,0)</f>
        <v>0</v>
      </c>
      <c r="BV405" s="1130">
        <f>IF(Input!$F$166&gt;=$K405,Input!BL168,0)</f>
        <v>0</v>
      </c>
      <c r="BW405" s="1130">
        <f>IF(Input!$F$166&gt;=$K405,Input!BM168,0)</f>
        <v>0</v>
      </c>
      <c r="BX405" s="1130">
        <f>IF(Input!$F$166&gt;=$K405,Input!BN168,0)</f>
        <v>0</v>
      </c>
      <c r="BY405" s="1130">
        <f>IF(Input!$F$166&gt;=$K405,Input!BO168,0)</f>
        <v>0</v>
      </c>
      <c r="BZ405" s="1130">
        <f>IF(Input!$F$166&gt;=$K405,Input!BP168,0)</f>
        <v>0</v>
      </c>
      <c r="CA405" s="1130">
        <f>IF(Input!$F$166&gt;=$K405,Input!BQ168,0)</f>
        <v>0</v>
      </c>
      <c r="CB405" s="1130">
        <f>IF(Input!$F$166&gt;=$K405,Input!BR168,0)</f>
        <v>0</v>
      </c>
      <c r="CC405" s="1130">
        <f>IF(Input!$F$166&gt;=$K405,Input!BS168,0)</f>
        <v>0</v>
      </c>
      <c r="CD405" s="1131">
        <f>IF(Input!$F$166&gt;=$K405,Input!BT168,0)</f>
        <v>0</v>
      </c>
      <c r="CE405" s="1805" t="str">
        <f>IF(Input!D168&lt;&gt;"",Input!D168,"")</f>
        <v/>
      </c>
      <c r="CF405" s="1806">
        <f>IFERROR(IF(OR($T405&gt;CF$399,CF$399&gt;$U405),0,(Input!$H168*((1+Input!$K168)^VLOOKUP(CF$399-$T405+1,$N$473:$P$477,3)))+(Input!$G168*W$415))+Input!M168,0)</f>
      </c>
      <c r="CG405" s="1806">
        <f>IFERROR(IF(OR($T405&gt;CG$399,CG$399&gt;$U405),0,(Input!$H168*((1+Input!$K168)^VLOOKUP(CG$399-$T405+1,$N$473:$P$477,3)))+(Input!$G168*X$415))+Input!N168,0)</f>
      </c>
      <c r="CH405" s="1806">
        <f>IFERROR(IF(OR($T405&gt;CH$399,CH$399&gt;$U405),0,(Input!$H168*((1+Input!$K168)^VLOOKUP(CH$399-$T405+1,$N$473:$P$477,3)))+(Input!$G168*Y$415))+Input!O168,0)</f>
      </c>
      <c r="CI405" s="1806">
        <f>IFERROR(IF(OR($T405&gt;CI$399,CI$399&gt;$U405),0,(Input!$H168*((1+Input!$K168)^VLOOKUP(CI$399-$T405+1,$N$473:$P$477,3)))+(Input!$G168*Z$415))+Input!P168,0)</f>
      </c>
      <c r="CJ405" s="1806">
        <f>IFERROR(IF(OR($T405&gt;CJ$399,CJ$399&gt;$U405),0,(Input!$H168*((1+Input!$K168)^VLOOKUP(CJ$399-$T405+1,$N$473:$P$477,3)))+(Input!$G168*AA$415))+Input!Q168,0)</f>
      </c>
      <c r="CK405" s="1806">
        <f>IFERROR(IF(OR($T405&gt;CK$399,CK$399&gt;$U405),0,(Input!$H168*((1+Input!$K168)^VLOOKUP(CK$399-$T405+1,$N$473:$P$477,3)))+(Input!$G168*AB$415))+Input!R168,0)</f>
      </c>
      <c r="CL405" s="1806">
        <f>IFERROR(IF(OR($T405&gt;CL$399,CL$399&gt;$U405),0,(Input!$H168*((1+Input!$K168)^VLOOKUP(CL$399-$T405+1,$N$473:$P$477,3)))+(Input!$G168*AC$415))+Input!S168,0)</f>
      </c>
      <c r="CM405" s="1806">
        <f>IFERROR(IF(OR($T405&gt;CM$399,CM$399&gt;$U405),0,(Input!$H168*((1+Input!$K168)^VLOOKUP(CM$399-$T405+1,$N$473:$P$477,3)))+(Input!$G168*AD$415))+Input!T168,0)</f>
      </c>
      <c r="CN405" s="1806">
        <f>IFERROR(IF(OR($T405&gt;CN$399,CN$399&gt;$U405),0,(Input!$H168*((1+Input!$K168)^VLOOKUP(CN$399-$T405+1,$N$473:$P$477,3)))+(Input!$G168*AE$415))+Input!U168,0)</f>
      </c>
      <c r="CO405" s="1806">
        <f>IFERROR(IF(OR($T405&gt;CO$399,CO$399&gt;$U405),0,(Input!$H168*((1+Input!$K168)^VLOOKUP(CO$399-$T405+1,$N$473:$P$477,3)))+(Input!$G168*AF$415))+Input!V168,0)</f>
      </c>
      <c r="CP405" s="1806">
        <f>IFERROR(IF(OR($T405&gt;CP$399,CP$399&gt;$U405),0,(Input!$H168*((1+Input!$K168)^VLOOKUP(CP$399-$T405+1,$N$473:$P$477,3)))+(Input!$G168*AG$415))+Input!W168,0)</f>
      </c>
      <c r="CQ405" s="1806">
        <f>IFERROR(IF(OR($T405&gt;CQ$399,CQ$399&gt;$U405),0,(Input!$H168*((1+Input!$K168)^VLOOKUP(CQ$399-$T405+1,$N$473:$P$477,3)))+(Input!$G168*AH$415))+Input!X168,0)</f>
      </c>
      <c r="CR405" s="1806">
        <f>IFERROR(IF(OR($T405&gt;CR$399,CR$399&gt;$U405),0,(Input!$H168*((1+Input!$K168)^VLOOKUP(CR$399-$T405+1,$N$473:$P$477,3)))+(Input!$G168*AI$415))+Input!Y168,0)</f>
      </c>
      <c r="CS405" s="1806">
        <f>IFERROR(IF(OR($T405&gt;CS$399,CS$399&gt;$U405),0,(Input!$H168*((1+Input!$K168)^VLOOKUP(CS$399-$T405+1,$N$473:$P$477,3)))+(Input!$G168*AJ$415))+Input!Z168,0)</f>
      </c>
      <c r="CT405" s="1806">
        <f>IFERROR(IF(OR($T405&gt;CT$399,CT$399&gt;$U405),0,(Input!$H168*((1+Input!$K168)^VLOOKUP(CT$399-$T405+1,$N$473:$P$477,3)))+(Input!$G168*AK$415))+Input!AA168,0)</f>
      </c>
      <c r="CU405" s="1806">
        <f>IFERROR(IF(OR($T405&gt;CU$399,CU$399&gt;$U405),0,(Input!$H168*((1+Input!$K168)^VLOOKUP(CU$399-$T405+1,$N$473:$P$477,3)))+(Input!$G168*AL$415))+Input!AB168,0)</f>
      </c>
      <c r="CV405" s="1806">
        <f>IFERROR(IF(OR($T405&gt;CV$399,CV$399&gt;$U405),0,(Input!$H168*((1+Input!$K168)^VLOOKUP(CV$399-$T405+1,$N$473:$P$477,3)))+(Input!$G168*AM$415))+Input!AC168,0)</f>
      </c>
      <c r="CW405" s="1806">
        <f>IFERROR(IF(OR($T405&gt;CW$399,CW$399&gt;$U405),0,(Input!$H168*((1+Input!$K168)^VLOOKUP(CW$399-$T405+1,$N$473:$P$477,3)))+(Input!$G168*AN$415))+Input!AD168,0)</f>
      </c>
      <c r="CX405" s="1806">
        <f>IFERROR(IF(OR($T405&gt;CX$399,CX$399&gt;$U405),0,(Input!$H168*((1+Input!$K168)^VLOOKUP(CX$399-$T405+1,$N$473:$P$477,3)))+(Input!$G168*AO$415))+Input!AE168,0)</f>
      </c>
      <c r="CY405" s="1806">
        <f>IFERROR(IF(OR($T405&gt;CY$399,CY$399&gt;$U405),0,(Input!$H168*((1+Input!$K168)^VLOOKUP(CY$399-$T405+1,$N$473:$P$477,3)))+(Input!$G168*AP$415))+Input!AF168,0)</f>
      </c>
      <c r="CZ405" s="1806">
        <f>IFERROR(IF(OR($T405&gt;CZ$399,CZ$399&gt;$U405),0,(Input!$H168*((1+Input!$K168)^VLOOKUP(CZ$399-$T405+1,$N$473:$P$477,3)))+(Input!$G168*AQ$415))+Input!AG168,0)</f>
      </c>
      <c r="DA405" s="1806">
        <f>IFERROR(IF(OR($T405&gt;DA$399,DA$399&gt;$U405),0,(Input!$H168*((1+Input!$K168)^VLOOKUP(DA$399-$T405+1,$N$473:$P$477,3)))+(Input!$G168*AR$415))+Input!AH168,0)</f>
      </c>
      <c r="DB405" s="1806">
        <f>IFERROR(IF(OR($T405&gt;DB$399,DB$399&gt;$U405),0,(Input!$H168*((1+Input!$K168)^VLOOKUP(DB$399-$T405+1,$N$473:$P$477,3)))+(Input!$G168*AS$415))+Input!AI168,0)</f>
      </c>
      <c r="DC405" s="1806">
        <f>IFERROR(IF(OR($T405&gt;DC$399,DC$399&gt;$U405),0,(Input!$H168*((1+Input!$K168)^VLOOKUP(DC$399-$T405+1,$N$473:$P$477,3)))+(Input!$G168*AT$415))+Input!AJ168,0)</f>
      </c>
      <c r="DD405" s="1806">
        <f>IFERROR(IF(OR($T405&gt;DD$399,DD$399&gt;$U405),0,(Input!$H168*((1+Input!$K168)^VLOOKUP(DD$399-$T405+1,$N$473:$P$477,3)))+(Input!$G168*AU$415))+Input!AK168,0)</f>
      </c>
      <c r="DE405" s="1806">
        <f>IFERROR(IF(OR($T405&gt;DE$399,DE$399&gt;$U405),0,(Input!$H168*((1+Input!$K168)^VLOOKUP(DE$399-$T405+1,$N$473:$P$477,3)))+(Input!$G168*AV$415))+Input!AL168,0)</f>
      </c>
      <c r="DF405" s="1806">
        <f>IFERROR(IF(OR($T405&gt;DF$399,DF$399&gt;$U405),0,(Input!$H168*((1+Input!$K168)^VLOOKUP(DF$399-$T405+1,$N$473:$P$477,3)))+(Input!$G168*AW$415))+Input!AM168,0)</f>
      </c>
      <c r="DG405" s="1806">
        <f>IFERROR(IF(OR($T405&gt;DG$399,DG$399&gt;$U405),0,(Input!$H168*((1+Input!$K168)^VLOOKUP(DG$399-$T405+1,$N$473:$P$477,3)))+(Input!$G168*AX$415))+Input!AN168,0)</f>
      </c>
      <c r="DH405" s="1806">
        <f>IFERROR(IF(OR($T405&gt;DH$399,DH$399&gt;$U405),0,(Input!$H168*((1+Input!$K168)^VLOOKUP(DH$399-$T405+1,$N$473:$P$477,3)))+(Input!$G168*AY$415))+Input!AO168,0)</f>
      </c>
      <c r="DI405" s="1806">
        <f>IFERROR(IF(OR($T405&gt;DI$399,DI$399&gt;$U405),0,(Input!$H168*((1+Input!$K168)^VLOOKUP(DI$399-$T405+1,$N$473:$P$477,3)))+(Input!$G168*AZ$415))+Input!AP168,0)</f>
      </c>
      <c r="DJ405" s="1806">
        <f>IFERROR(IF(OR($T405&gt;DJ$399,DJ$399&gt;$U405),0,(Input!$H168*((1+Input!$K168)^VLOOKUP(DJ$399-$T405+1,$N$473:$P$477,3)))+(Input!$G168*BA$415))+Input!AQ168,0)</f>
      </c>
      <c r="DK405" s="1806">
        <f>IFERROR(IF(OR($T405&gt;DK$399,DK$399&gt;$U405),0,(Input!$H168*((1+Input!$K168)^VLOOKUP(DK$399-$T405+1,$N$473:$P$477,3)))+(Input!$G168*BB$415))+Input!AR168,0)</f>
      </c>
      <c r="DL405" s="1806">
        <f>IFERROR(IF(OR($T405&gt;DL$399,DL$399&gt;$U405),0,(Input!$H168*((1+Input!$K168)^VLOOKUP(DL$399-$T405+1,$N$473:$P$477,3)))+(Input!$G168*BC$415))+Input!AS168,0)</f>
      </c>
      <c r="DM405" s="1806">
        <f>IFERROR(IF(OR($T405&gt;DM$399,DM$399&gt;$U405),0,(Input!$H168*((1+Input!$K168)^VLOOKUP(DM$399-$T405+1,$N$473:$P$477,3)))+(Input!$G168*BD$415))+Input!AT168,0)</f>
      </c>
      <c r="DN405" s="1806">
        <f>IFERROR(IF(OR($T405&gt;DN$399,DN$399&gt;$U405),0,(Input!$H168*((1+Input!$K168)^VLOOKUP(DN$399-$T405+1,$N$473:$P$477,3)))+(Input!$G168*BE$415))+Input!AU168,0)</f>
      </c>
      <c r="DO405" s="1806">
        <f>IFERROR(IF(OR($T405&gt;DO$399,DO$399&gt;$U405),0,(Input!$H168*((1+Input!$K168)^VLOOKUP(DO$399-$T405+1,$N$473:$P$477,3)))+(Input!$G168*BF$415))+Input!AV168,0)</f>
      </c>
      <c r="DP405" s="1806">
        <f>IF(Years="Five",IFERROR(IF(OR($T405&gt;DP$399,DP$399&gt;$U405),0,(Input!$H168*((1+Input!$K168)^VLOOKUP(DP$399-$T405+1,$N$473:$P$477,3)))+(Input!$G168*BG$415))+Input!AW168,0),0)</f>
      </c>
      <c r="DQ405" s="1806">
        <f>IF(Years="Five",IFERROR(IF(OR($T405&gt;DQ$399,DQ$399&gt;$U405),0,(Input!$H168*((1+Input!$K168)^VLOOKUP(DQ$399-$T405+1,$N$473:$P$477,3)))+(Input!$G168*BH$415))+Input!AX168,0),0)</f>
      </c>
      <c r="DR405" s="1807">
        <f>IF(Years="Five",IFERROR(IF(OR($T405&gt;DR$399,DR$399&gt;$U405),0,(Input!$H168*((1+Input!$K168)^VLOOKUP(DR$399-$T405+1,$N$473:$P$477,3)))+(Input!$G168*BI$415))+Input!AY168,0),0)</f>
      </c>
      <c r="DS405" s="1807">
        <f>IF(Years="Five",IFERROR(IF(OR($T405&gt;DS$399,DS$399&gt;$U405),0,(Input!$H168*((1+Input!$K168)^VLOOKUP(DS$399-$T405+1,$N$473:$P$477,3)))+(Input!$G168*BJ$415))+Input!AZ168,0),0)</f>
      </c>
      <c r="DT405" s="1807">
        <f>IF(Years="Five",IFERROR(IF(OR($T405&gt;DT$399,DT$399&gt;$U405),0,(Input!$H168*((1+Input!$K168)^VLOOKUP(DT$399-$T405+1,$N$473:$P$477,3)))+(Input!$G168*BK$415))+Input!BA168,0),0)</f>
      </c>
      <c r="DU405" s="1807">
        <f>IF(Years="Five",IFERROR(IF(OR($T405&gt;DU$399,DU$399&gt;$U405),0,(Input!$H168*((1+Input!$K168)^VLOOKUP(DU$399-$T405+1,$N$473:$P$477,3)))+(Input!$G168*BL$415))+Input!BB168,0),0)</f>
      </c>
      <c r="DV405" s="1807">
        <f>IF(Years="Five",IFERROR(IF(OR($T405&gt;DV$399,DV$399&gt;$U405),0,(Input!$H168*((1+Input!$K168)^VLOOKUP(DV$399-$T405+1,$N$473:$P$477,3)))+(Input!$G168*BM$415))+Input!BC168,0),0)</f>
      </c>
      <c r="DW405" s="1807">
        <f>IF(Years="Five",IFERROR(IF(OR($T405&gt;DW$399,DW$399&gt;$U405),0,(Input!$H168*((1+Input!$K168)^VLOOKUP(DW$399-$T405+1,$N$473:$P$477,3)))+(Input!$G168*BN$415))+Input!BD168,0),0)</f>
      </c>
      <c r="DX405" s="1807">
        <f>IF(Years="Five",IFERROR(IF(OR($T405&gt;DX$399,DX$399&gt;$U405),0,(Input!$H168*((1+Input!$K168)^VLOOKUP(DX$399-$T405+1,$N$473:$P$477,3)))+(Input!$G168*BO$415))+Input!BE168,0),0)</f>
      </c>
      <c r="DY405" s="1807">
        <f>IF(Years="Five",IFERROR(IF(OR($T405&gt;DY$399,DY$399&gt;$U405),0,(Input!$H168*((1+Input!$K168)^VLOOKUP(DY$399-$T405+1,$N$473:$P$477,3)))+(Input!$G168*BP$415))+Input!BF168,0),0)</f>
      </c>
      <c r="DZ405" s="1807">
        <f>IF(Years="Five",IFERROR(IF(OR($T405&gt;DZ$399,DZ$399&gt;$U405),0,(Input!$H168*((1+Input!$K168)^VLOOKUP(DZ$399-$T405+1,$N$473:$P$477,3)))+(Input!$G168*BQ$415))+Input!BG168,0),0)</f>
      </c>
      <c r="EA405" s="1807">
        <f>IF(Years="Five",IFERROR(IF(OR($T405&gt;EA$399,EA$399&gt;$U405),0,(Input!$H168*((1+Input!$K168)^VLOOKUP(EA$399-$T405+1,$N$473:$P$477,3)))+(Input!$G168*BR$415))+Input!BH168,0),0)</f>
      </c>
      <c r="EB405" s="1807">
        <f>IF(Years="Five",IFERROR(IF(OR($T405&gt;EB$399,EB$399&gt;$U405),0,(Input!$H168*((1+Input!$K168)^VLOOKUP(EB$399-$T405+1,$N$473:$P$477,3)))+(Input!$G168*BS$415))+Input!BI168,0),0)</f>
      </c>
      <c r="EC405" s="1807">
        <f>IF(Years="Five",IFERROR(IF(OR($T405&gt;EC$399,EC$399&gt;$U405),0,(Input!$H168*((1+Input!$K168)^VLOOKUP(EC$399-$T405+1,$N$473:$P$477,3)))+(Input!$G168*BT$415))+Input!BJ168,0),0)</f>
      </c>
      <c r="ED405" s="1807">
        <f>IF(Years="Five",IFERROR(IF(OR($T405&gt;ED$399,ED$399&gt;$U405),0,(Input!$H168*((1+Input!$K168)^VLOOKUP(ED$399-$T405+1,$N$473:$P$477,3)))+(Input!$G168*BU$415))+Input!BK168,0),0)</f>
      </c>
      <c r="EE405" s="1807">
        <f>IF(Years="Five",IFERROR(IF(OR($T405&gt;EE$399,EE$399&gt;$U405),0,(Input!$H168*((1+Input!$K168)^VLOOKUP(EE$399-$T405+1,$N$473:$P$477,3)))+(Input!$G168*BV$415))+Input!BL168,0),0)</f>
      </c>
      <c r="EF405" s="1807">
        <f>IF(Years="Five",IFERROR(IF(OR($T405&gt;EF$399,EF$399&gt;$U405),0,(Input!$H168*((1+Input!$K168)^VLOOKUP(EF$399-$T405+1,$N$473:$P$477,3)))+(Input!$G168*BW$415))+Input!BM168,0),0)</f>
      </c>
      <c r="EG405" s="1807">
        <f>IF(Years="Five",IFERROR(IF(OR($T405&gt;EG$399,EG$399&gt;$U405),0,(Input!$H168*((1+Input!$K168)^VLOOKUP(EG$399-$T405+1,$N$473:$P$477,3)))+(Input!$G168*BX$415))+Input!BN168,0),0)</f>
      </c>
      <c r="EH405" s="1807">
        <f>IF(Years="Five",IFERROR(IF(OR($T405&gt;EH$399,EH$399&gt;$U405),0,(Input!$H168*((1+Input!$K168)^VLOOKUP(EH$399-$T405+1,$N$473:$P$477,3)))+(Input!$G168*BY$415))+Input!BO168,0),0)</f>
      </c>
      <c r="EI405" s="1807">
        <f>IF(Years="Five",IFERROR(IF(OR($T405&gt;EI$399,EI$399&gt;$U405),0,(Input!$H168*((1+Input!$K168)^VLOOKUP(EI$399-$T405+1,$N$473:$P$477,3)))+(Input!$G168*BZ$415))+Input!BP168,0),0)</f>
      </c>
      <c r="EJ405" s="1807">
        <f>IF(Years="Five",IFERROR(IF(OR($T405&gt;EJ$399,EJ$399&gt;$U405),0,(Input!$H168*((1+Input!$K168)^VLOOKUP(EJ$399-$T405+1,$N$473:$P$477,3)))+(Input!$G168*CA$415))+Input!BQ168,0),0)</f>
      </c>
      <c r="EK405" s="1807">
        <f>IF(Years="Five",IFERROR(IF(OR($T405&gt;EK$399,EK$399&gt;$U405),0,(Input!$H168*((1+Input!$K168)^VLOOKUP(EK$399-$T405+1,$N$473:$P$477,3)))+(Input!$G168*CB$415))+Input!BR168,0),0)</f>
      </c>
      <c r="EL405" s="1807">
        <f>IF(Years="Five",IFERROR(IF(OR($T405&gt;EL$399,EL$399&gt;$U405),0,(Input!$H168*((1+Input!$K168)^VLOOKUP(EL$399-$T405+1,$N$473:$P$477,3)))+(Input!$G168*CC$415))+Input!BS168,0),0)</f>
      </c>
      <c r="EM405" s="1807">
        <f>IF(Years="Five",IFERROR(IF(OR($T405&gt;EM$399,EM$399&gt;$U405),0,(Input!$H168*((1+Input!$K168)^VLOOKUP(EM$399-$T405+1,$N$473:$P$477,3)))+(Input!$G168*CD$415))+Input!BT168,0),0)</f>
      </c>
      <c r="EN405" s="1300"/>
      <c r="EO405" s="1300"/>
      <c r="EP405" s="1300"/>
      <c r="EQ405" s="1300"/>
      <c r="ER405" s="1300"/>
      <c r="ES405" s="1300"/>
      <c r="ET405" s="1300"/>
      <c r="EU405" s="1300"/>
      <c r="EV405" s="1300"/>
      <c r="EW405" s="1300"/>
      <c r="EX405" s="1300"/>
    </row>
    <row r="406" spans="11:154" ht="12" customHeight="1" x14ac:dyDescent="0.35">
      <c r="K406" s="102">
        <v>3</v>
      </c>
      <c r="L406" s="121">
        <f>Input!D169</f>
        <v>0</v>
      </c>
      <c r="M406" s="122">
        <f>IF(Input!$F$166&gt;=$K406,Input!H169,0)</f>
        <v>0</v>
      </c>
      <c r="N406" s="196">
        <f>Input!I169</f>
        <v>0</v>
      </c>
      <c r="O406" s="196">
        <f>Input!J169</f>
        <v>0</v>
      </c>
      <c r="P406" s="125">
        <f>Input!K169</f>
        <v>0</v>
      </c>
      <c r="Q406" s="123">
        <f>Input!G169</f>
        <v>0</v>
      </c>
      <c r="R406" s="1610"/>
      <c r="S406" s="102"/>
      <c r="T406" s="1302">
        <f>IFERROR(VLOOKUP(N406,Infrastructure!$D$70:$F$129,3,FALSE),0)</f>
        <v>1</v>
      </c>
      <c r="U406" s="1302">
        <f>IFERROR(VLOOKUP(O406,Infrastructure!$D$70:$F$129,3,FALSE),0)</f>
        <v>1</v>
      </c>
      <c r="V406" s="102"/>
      <c r="W406" s="124">
        <f>IF(Input!$F$166&gt;=$K406,Input!M169,0)</f>
        <v>0</v>
      </c>
      <c r="X406" s="122">
        <f>IF(Input!$F$166&gt;=$K406,Input!N169,0)</f>
        <v>0</v>
      </c>
      <c r="Y406" s="122">
        <f>IF(Input!$F$166&gt;=$K406,Input!O169,0)</f>
        <v>0</v>
      </c>
      <c r="Z406" s="122">
        <f>IF(Input!$F$166&gt;=$K406,Input!P169,0)</f>
        <v>0</v>
      </c>
      <c r="AA406" s="122">
        <f>IF(Input!$F$166&gt;=$K406,Input!Q169,0)</f>
        <v>0</v>
      </c>
      <c r="AB406" s="122">
        <f>IF(Input!$F$166&gt;=$K406,Input!R169,0)</f>
        <v>0</v>
      </c>
      <c r="AC406" s="122">
        <f>IF(Input!$F$166&gt;=$K406,Input!S169,0)</f>
        <v>0</v>
      </c>
      <c r="AD406" s="122">
        <f>IF(Input!$F$166&gt;=$K406,Input!T169,0)</f>
        <v>0</v>
      </c>
      <c r="AE406" s="122">
        <f>IF(Input!$F$166&gt;=$K406,Input!U169,0)</f>
        <v>0</v>
      </c>
      <c r="AF406" s="1130">
        <f>IF(Input!$F$166&gt;=$K406,Input!V169,0)</f>
        <v>0</v>
      </c>
      <c r="AG406" s="1130">
        <f>IF(Input!$F$166&gt;=$K406,Input!W169,0)</f>
        <v>0</v>
      </c>
      <c r="AH406" s="1130">
        <f>IF(Input!$F$166&gt;=$K406,Input!X169,0)</f>
        <v>0</v>
      </c>
      <c r="AI406" s="1130">
        <f>IF(Input!$F$166&gt;=$K406,Input!Y169,0)</f>
        <v>0</v>
      </c>
      <c r="AJ406" s="1130">
        <f>IF(Input!$F$166&gt;=$K406,Input!Z169,0)</f>
        <v>0</v>
      </c>
      <c r="AK406" s="1130">
        <f>IF(Input!$F$166&gt;=$K406,Input!AA169,0)</f>
        <v>0</v>
      </c>
      <c r="AL406" s="1130">
        <f>IF(Input!$F$166&gt;=$K406,Input!AB169,0)</f>
        <v>0</v>
      </c>
      <c r="AM406" s="1130">
        <f>IF(Input!$F$166&gt;=$K406,Input!AC169,0)</f>
        <v>0</v>
      </c>
      <c r="AN406" s="1130">
        <f>IF(Input!$F$166&gt;=$K406,Input!AD169,0)</f>
        <v>0</v>
      </c>
      <c r="AO406" s="1130">
        <f>IF(Input!$F$166&gt;=$K406,Input!AE169,0)</f>
        <v>0</v>
      </c>
      <c r="AP406" s="1130">
        <f>IF(Input!$F$166&gt;=$K406,Input!AF169,0)</f>
        <v>0</v>
      </c>
      <c r="AQ406" s="1130">
        <f>IF(Input!$F$166&gt;=$K406,Input!AG169,0)</f>
        <v>0</v>
      </c>
      <c r="AR406" s="1130">
        <f>IF(Input!$F$166&gt;=$K406,Input!AH169,0)</f>
        <v>0</v>
      </c>
      <c r="AS406" s="1130">
        <f>IF(Input!$F$166&gt;=$K406,Input!AI169,0)</f>
        <v>0</v>
      </c>
      <c r="AT406" s="1130">
        <f>IF(Input!$F$166&gt;=$K406,Input!AJ169,0)</f>
        <v>0</v>
      </c>
      <c r="AU406" s="1130">
        <f>IF(Input!$F$166&gt;=$K406,Input!AK169,0)</f>
        <v>0</v>
      </c>
      <c r="AV406" s="1130">
        <f>IF(Input!$F$166&gt;=$K406,Input!AL169,0)</f>
        <v>0</v>
      </c>
      <c r="AW406" s="1130">
        <f>IF(Input!$F$166&gt;=$K406,Input!AM169,0)</f>
        <v>0</v>
      </c>
      <c r="AX406" s="1130">
        <f>IF(Input!$F$166&gt;=$K406,Input!AN169,0)</f>
        <v>0</v>
      </c>
      <c r="AY406" s="1130">
        <f>IF(Input!$F$166&gt;=$K406,Input!AO169,0)</f>
        <v>0</v>
      </c>
      <c r="AZ406" s="1130">
        <f>IF(Input!$F$166&gt;=$K406,Input!AP169,0)</f>
        <v>0</v>
      </c>
      <c r="BA406" s="1130">
        <f>IF(Input!$F$166&gt;=$K406,Input!AQ169,0)</f>
        <v>0</v>
      </c>
      <c r="BB406" s="1130">
        <f>IF(Input!$F$166&gt;=$K406,Input!AR169,0)</f>
        <v>0</v>
      </c>
      <c r="BC406" s="1130">
        <f>IF(Input!$F$166&gt;=$K406,Input!AS169,0)</f>
        <v>0</v>
      </c>
      <c r="BD406" s="1130">
        <f>IF(Input!$F$166&gt;=$K406,Input!AT169,0)</f>
        <v>0</v>
      </c>
      <c r="BE406" s="1130">
        <f>IF(Input!$F$166&gt;=$K406,Input!AU169,0)</f>
        <v>0</v>
      </c>
      <c r="BF406" s="1130">
        <f>IF(Input!$F$166&gt;=$K406,Input!AV169,0)</f>
        <v>0</v>
      </c>
      <c r="BG406" s="1130">
        <f>IF(Input!$F$166&gt;=$K406,Input!AW169,0)</f>
        <v>0</v>
      </c>
      <c r="BH406" s="1130">
        <f>IF(Input!$F$166&gt;=$K406,Input!AX169,0)</f>
        <v>0</v>
      </c>
      <c r="BI406" s="1130">
        <f>IF(Input!$F$166&gt;=$K406,Input!AY169,0)</f>
        <v>0</v>
      </c>
      <c r="BJ406" s="1130">
        <f>IF(Input!$F$166&gt;=$K406,Input!AZ169,0)</f>
        <v>0</v>
      </c>
      <c r="BK406" s="1130">
        <f>IF(Input!$F$166&gt;=$K406,Input!BA169,0)</f>
        <v>0</v>
      </c>
      <c r="BL406" s="1130">
        <f>IF(Input!$F$166&gt;=$K406,Input!BB169,0)</f>
        <v>0</v>
      </c>
      <c r="BM406" s="1130">
        <f>IF(Input!$F$166&gt;=$K406,Input!BC169,0)</f>
        <v>0</v>
      </c>
      <c r="BN406" s="1130">
        <f>IF(Input!$F$166&gt;=$K406,Input!BD169,0)</f>
        <v>0</v>
      </c>
      <c r="BO406" s="1130">
        <f>IF(Input!$F$166&gt;=$K406,Input!BE169,0)</f>
        <v>0</v>
      </c>
      <c r="BP406" s="1130">
        <f>IF(Input!$F$166&gt;=$K406,Input!BF169,0)</f>
        <v>0</v>
      </c>
      <c r="BQ406" s="1130">
        <f>IF(Input!$F$166&gt;=$K406,Input!BG169,0)</f>
        <v>0</v>
      </c>
      <c r="BR406" s="1130">
        <f>IF(Input!$F$166&gt;=$K406,Input!BH169,0)</f>
        <v>0</v>
      </c>
      <c r="BS406" s="1130">
        <f>IF(Input!$F$166&gt;=$K406,Input!BI169,0)</f>
        <v>0</v>
      </c>
      <c r="BT406" s="1130">
        <f>IF(Input!$F$166&gt;=$K406,Input!BJ169,0)</f>
        <v>0</v>
      </c>
      <c r="BU406" s="1130">
        <f>IF(Input!$F$166&gt;=$K406,Input!BK169,0)</f>
        <v>0</v>
      </c>
      <c r="BV406" s="1130">
        <f>IF(Input!$F$166&gt;=$K406,Input!BL169,0)</f>
        <v>0</v>
      </c>
      <c r="BW406" s="1130">
        <f>IF(Input!$F$166&gt;=$K406,Input!BM169,0)</f>
        <v>0</v>
      </c>
      <c r="BX406" s="1130">
        <f>IF(Input!$F$166&gt;=$K406,Input!BN169,0)</f>
        <v>0</v>
      </c>
      <c r="BY406" s="1130">
        <f>IF(Input!$F$166&gt;=$K406,Input!BO169,0)</f>
        <v>0</v>
      </c>
      <c r="BZ406" s="1130">
        <f>IF(Input!$F$166&gt;=$K406,Input!BP169,0)</f>
        <v>0</v>
      </c>
      <c r="CA406" s="1130">
        <f>IF(Input!$F$166&gt;=$K406,Input!BQ169,0)</f>
        <v>0</v>
      </c>
      <c r="CB406" s="1130">
        <f>IF(Input!$F$166&gt;=$K406,Input!BR169,0)</f>
        <v>0</v>
      </c>
      <c r="CC406" s="1130">
        <f>IF(Input!$F$166&gt;=$K406,Input!BS169,0)</f>
        <v>0</v>
      </c>
      <c r="CD406" s="1131">
        <f>IF(Input!$F$166&gt;=$K406,Input!BT169,0)</f>
        <v>0</v>
      </c>
      <c r="CE406" s="1805" t="str">
        <f>IF(Input!D169&lt;&gt;"",Input!D169,"")</f>
        <v/>
      </c>
      <c r="CF406" s="1806">
        <f>IFERROR(IF(OR($T406&gt;CF$399,CF$399&gt;$U406),0,(Input!$H169*((1+Input!$K169)^VLOOKUP(CF$399-$T406+1,$N$473:$P$477,3)))+(Input!$G169*W$415))+Input!M169,0)</f>
      </c>
      <c r="CG406" s="1806">
        <f>IFERROR(IF(OR($T406&gt;CG$399,CG$399&gt;$U406),0,(Input!$H169*((1+Input!$K169)^VLOOKUP(CG$399-$T406+1,$N$473:$P$477,3)))+(Input!$G169*X$415))+Input!N169,0)</f>
      </c>
      <c r="CH406" s="1806">
        <f>IFERROR(IF(OR($T406&gt;CH$399,CH$399&gt;$U406),0,(Input!$H169*((1+Input!$K169)^VLOOKUP(CH$399-$T406+1,$N$473:$P$477,3)))+(Input!$G169*Y$415))+Input!O169,0)</f>
      </c>
      <c r="CI406" s="1806">
        <f>IFERROR(IF(OR($T406&gt;CI$399,CI$399&gt;$U406),0,(Input!$H169*((1+Input!$K169)^VLOOKUP(CI$399-$T406+1,$N$473:$P$477,3)))+(Input!$G169*Z$415))+Input!P169,0)</f>
      </c>
      <c r="CJ406" s="1806">
        <f>IFERROR(IF(OR($T406&gt;CJ$399,CJ$399&gt;$U406),0,(Input!$H169*((1+Input!$K169)^VLOOKUP(CJ$399-$T406+1,$N$473:$P$477,3)))+(Input!$G169*AA$415))+Input!Q169,0)</f>
      </c>
      <c r="CK406" s="1806">
        <f>IFERROR(IF(OR($T406&gt;CK$399,CK$399&gt;$U406),0,(Input!$H169*((1+Input!$K169)^VLOOKUP(CK$399-$T406+1,$N$473:$P$477,3)))+(Input!$G169*AB$415))+Input!R169,0)</f>
      </c>
      <c r="CL406" s="1806">
        <f>IFERROR(IF(OR($T406&gt;CL$399,CL$399&gt;$U406),0,(Input!$H169*((1+Input!$K169)^VLOOKUP(CL$399-$T406+1,$N$473:$P$477,3)))+(Input!$G169*AC$415))+Input!S169,0)</f>
      </c>
      <c r="CM406" s="1806">
        <f>IFERROR(IF(OR($T406&gt;CM$399,CM$399&gt;$U406),0,(Input!$H169*((1+Input!$K169)^VLOOKUP(CM$399-$T406+1,$N$473:$P$477,3)))+(Input!$G169*AD$415))+Input!T169,0)</f>
      </c>
      <c r="CN406" s="1806">
        <f>IFERROR(IF(OR($T406&gt;CN$399,CN$399&gt;$U406),0,(Input!$H169*((1+Input!$K169)^VLOOKUP(CN$399-$T406+1,$N$473:$P$477,3)))+(Input!$G169*AE$415))+Input!U169,0)</f>
      </c>
      <c r="CO406" s="1806">
        <f>IFERROR(IF(OR($T406&gt;CO$399,CO$399&gt;$U406),0,(Input!$H169*((1+Input!$K169)^VLOOKUP(CO$399-$T406+1,$N$473:$P$477,3)))+(Input!$G169*AF$415))+Input!V169,0)</f>
      </c>
      <c r="CP406" s="1806">
        <f>IFERROR(IF(OR($T406&gt;CP$399,CP$399&gt;$U406),0,(Input!$H169*((1+Input!$K169)^VLOOKUP(CP$399-$T406+1,$N$473:$P$477,3)))+(Input!$G169*AG$415))+Input!W169,0)</f>
      </c>
      <c r="CQ406" s="1806">
        <f>IFERROR(IF(OR($T406&gt;CQ$399,CQ$399&gt;$U406),0,(Input!$H169*((1+Input!$K169)^VLOOKUP(CQ$399-$T406+1,$N$473:$P$477,3)))+(Input!$G169*AH$415))+Input!X169,0)</f>
      </c>
      <c r="CR406" s="1806">
        <f>IFERROR(IF(OR($T406&gt;CR$399,CR$399&gt;$U406),0,(Input!$H169*((1+Input!$K169)^VLOOKUP(CR$399-$T406+1,$N$473:$P$477,3)))+(Input!$G169*AI$415))+Input!Y169,0)</f>
      </c>
      <c r="CS406" s="1806">
        <f>IFERROR(IF(OR($T406&gt;CS$399,CS$399&gt;$U406),0,(Input!$H169*((1+Input!$K169)^VLOOKUP(CS$399-$T406+1,$N$473:$P$477,3)))+(Input!$G169*AJ$415))+Input!Z169,0)</f>
      </c>
      <c r="CT406" s="1806">
        <f>IFERROR(IF(OR($T406&gt;CT$399,CT$399&gt;$U406),0,(Input!$H169*((1+Input!$K169)^VLOOKUP(CT$399-$T406+1,$N$473:$P$477,3)))+(Input!$G169*AK$415))+Input!AA169,0)</f>
      </c>
      <c r="CU406" s="1806">
        <f>IFERROR(IF(OR($T406&gt;CU$399,CU$399&gt;$U406),0,(Input!$H169*((1+Input!$K169)^VLOOKUP(CU$399-$T406+1,$N$473:$P$477,3)))+(Input!$G169*AL$415))+Input!AB169,0)</f>
      </c>
      <c r="CV406" s="1806">
        <f>IFERROR(IF(OR($T406&gt;CV$399,CV$399&gt;$U406),0,(Input!$H169*((1+Input!$K169)^VLOOKUP(CV$399-$T406+1,$N$473:$P$477,3)))+(Input!$G169*AM$415))+Input!AC169,0)</f>
      </c>
      <c r="CW406" s="1806">
        <f>IFERROR(IF(OR($T406&gt;CW$399,CW$399&gt;$U406),0,(Input!$H169*((1+Input!$K169)^VLOOKUP(CW$399-$T406+1,$N$473:$P$477,3)))+(Input!$G169*AN$415))+Input!AD169,0)</f>
      </c>
      <c r="CX406" s="1806">
        <f>IFERROR(IF(OR($T406&gt;CX$399,CX$399&gt;$U406),0,(Input!$H169*((1+Input!$K169)^VLOOKUP(CX$399-$T406+1,$N$473:$P$477,3)))+(Input!$G169*AO$415))+Input!AE169,0)</f>
      </c>
      <c r="CY406" s="1806">
        <f>IFERROR(IF(OR($T406&gt;CY$399,CY$399&gt;$U406),0,(Input!$H169*((1+Input!$K169)^VLOOKUP(CY$399-$T406+1,$N$473:$P$477,3)))+(Input!$G169*AP$415))+Input!AF169,0)</f>
      </c>
      <c r="CZ406" s="1806">
        <f>IFERROR(IF(OR($T406&gt;CZ$399,CZ$399&gt;$U406),0,(Input!$H169*((1+Input!$K169)^VLOOKUP(CZ$399-$T406+1,$N$473:$P$477,3)))+(Input!$G169*AQ$415))+Input!AG169,0)</f>
      </c>
      <c r="DA406" s="1806">
        <f>IFERROR(IF(OR($T406&gt;DA$399,DA$399&gt;$U406),0,(Input!$H169*((1+Input!$K169)^VLOOKUP(DA$399-$T406+1,$N$473:$P$477,3)))+(Input!$G169*AR$415))+Input!AH169,0)</f>
      </c>
      <c r="DB406" s="1806">
        <f>IFERROR(IF(OR($T406&gt;DB$399,DB$399&gt;$U406),0,(Input!$H169*((1+Input!$K169)^VLOOKUP(DB$399-$T406+1,$N$473:$P$477,3)))+(Input!$G169*AS$415))+Input!AI169,0)</f>
      </c>
      <c r="DC406" s="1806">
        <f>IFERROR(IF(OR($T406&gt;DC$399,DC$399&gt;$U406),0,(Input!$H169*((1+Input!$K169)^VLOOKUP(DC$399-$T406+1,$N$473:$P$477,3)))+(Input!$G169*AT$415))+Input!AJ169,0)</f>
      </c>
      <c r="DD406" s="1806">
        <f>IFERROR(IF(OR($T406&gt;DD$399,DD$399&gt;$U406),0,(Input!$H169*((1+Input!$K169)^VLOOKUP(DD$399-$T406+1,$N$473:$P$477,3)))+(Input!$G169*AU$415))+Input!AK169,0)</f>
      </c>
      <c r="DE406" s="1806">
        <f>IFERROR(IF(OR($T406&gt;DE$399,DE$399&gt;$U406),0,(Input!$H169*((1+Input!$K169)^VLOOKUP(DE$399-$T406+1,$N$473:$P$477,3)))+(Input!$G169*AV$415))+Input!AL169,0)</f>
      </c>
      <c r="DF406" s="1806">
        <f>IFERROR(IF(OR($T406&gt;DF$399,DF$399&gt;$U406),0,(Input!$H169*((1+Input!$K169)^VLOOKUP(DF$399-$T406+1,$N$473:$P$477,3)))+(Input!$G169*AW$415))+Input!AM169,0)</f>
      </c>
      <c r="DG406" s="1806">
        <f>IFERROR(IF(OR($T406&gt;DG$399,DG$399&gt;$U406),0,(Input!$H169*((1+Input!$K169)^VLOOKUP(DG$399-$T406+1,$N$473:$P$477,3)))+(Input!$G169*AX$415))+Input!AN169,0)</f>
      </c>
      <c r="DH406" s="1806">
        <f>IFERROR(IF(OR($T406&gt;DH$399,DH$399&gt;$U406),0,(Input!$H169*((1+Input!$K169)^VLOOKUP(DH$399-$T406+1,$N$473:$P$477,3)))+(Input!$G169*AY$415))+Input!AO169,0)</f>
      </c>
      <c r="DI406" s="1806">
        <f>IFERROR(IF(OR($T406&gt;DI$399,DI$399&gt;$U406),0,(Input!$H169*((1+Input!$K169)^VLOOKUP(DI$399-$T406+1,$N$473:$P$477,3)))+(Input!$G169*AZ$415))+Input!AP169,0)</f>
      </c>
      <c r="DJ406" s="1806">
        <f>IFERROR(IF(OR($T406&gt;DJ$399,DJ$399&gt;$U406),0,(Input!$H169*((1+Input!$K169)^VLOOKUP(DJ$399-$T406+1,$N$473:$P$477,3)))+(Input!$G169*BA$415))+Input!AQ169,0)</f>
      </c>
      <c r="DK406" s="1806">
        <f>IFERROR(IF(OR($T406&gt;DK$399,DK$399&gt;$U406),0,(Input!$H169*((1+Input!$K169)^VLOOKUP(DK$399-$T406+1,$N$473:$P$477,3)))+(Input!$G169*BB$415))+Input!AR169,0)</f>
      </c>
      <c r="DL406" s="1806">
        <f>IFERROR(IF(OR($T406&gt;DL$399,DL$399&gt;$U406),0,(Input!$H169*((1+Input!$K169)^VLOOKUP(DL$399-$T406+1,$N$473:$P$477,3)))+(Input!$G169*BC$415))+Input!AS169,0)</f>
      </c>
      <c r="DM406" s="1806">
        <f>IFERROR(IF(OR($T406&gt;DM$399,DM$399&gt;$U406),0,(Input!$H169*((1+Input!$K169)^VLOOKUP(DM$399-$T406+1,$N$473:$P$477,3)))+(Input!$G169*BD$415))+Input!AT169,0)</f>
      </c>
      <c r="DN406" s="1806">
        <f>IFERROR(IF(OR($T406&gt;DN$399,DN$399&gt;$U406),0,(Input!$H169*((1+Input!$K169)^VLOOKUP(DN$399-$T406+1,$N$473:$P$477,3)))+(Input!$G169*BE$415))+Input!AU169,0)</f>
      </c>
      <c r="DO406" s="1806">
        <f>IFERROR(IF(OR($T406&gt;DO$399,DO$399&gt;$U406),0,(Input!$H169*((1+Input!$K169)^VLOOKUP(DO$399-$T406+1,$N$473:$P$477,3)))+(Input!$G169*BF$415))+Input!AV169,0)</f>
      </c>
      <c r="DP406" s="1806">
        <f>IF(Years="Five",IFERROR(IF(OR($T406&gt;DP$399,DP$399&gt;$U406),0,(Input!$H169*((1+Input!$K169)^VLOOKUP(DP$399-$T406+1,$N$473:$P$477,3)))+(Input!$G169*BG$415))+Input!AW169,0),0)</f>
      </c>
      <c r="DQ406" s="1806">
        <f>IF(Years="Five",IFERROR(IF(OR($T406&gt;DQ$399,DQ$399&gt;$U406),0,(Input!$H169*((1+Input!$K169)^VLOOKUP(DQ$399-$T406+1,$N$473:$P$477,3)))+(Input!$G169*BH$415))+Input!AX169,0),0)</f>
      </c>
      <c r="DR406" s="1807">
        <f>IF(Years="Five",IFERROR(IF(OR($T406&gt;DR$399,DR$399&gt;$U406),0,(Input!$H169*((1+Input!$K169)^VLOOKUP(DR$399-$T406+1,$N$473:$P$477,3)))+(Input!$G169*BI$415))+Input!AY169,0),0)</f>
      </c>
      <c r="DS406" s="1807">
        <f>IF(Years="Five",IFERROR(IF(OR($T406&gt;DS$399,DS$399&gt;$U406),0,(Input!$H169*((1+Input!$K169)^VLOOKUP(DS$399-$T406+1,$N$473:$P$477,3)))+(Input!$G169*BJ$415))+Input!AZ169,0),0)</f>
      </c>
      <c r="DT406" s="1807">
        <f>IF(Years="Five",IFERROR(IF(OR($T406&gt;DT$399,DT$399&gt;$U406),0,(Input!$H169*((1+Input!$K169)^VLOOKUP(DT$399-$T406+1,$N$473:$P$477,3)))+(Input!$G169*BK$415))+Input!BA169,0),0)</f>
      </c>
      <c r="DU406" s="1807">
        <f>IF(Years="Five",IFERROR(IF(OR($T406&gt;DU$399,DU$399&gt;$U406),0,(Input!$H169*((1+Input!$K169)^VLOOKUP(DU$399-$T406+1,$N$473:$P$477,3)))+(Input!$G169*BL$415))+Input!BB169,0),0)</f>
      </c>
      <c r="DV406" s="1807">
        <f>IF(Years="Five",IFERROR(IF(OR($T406&gt;DV$399,DV$399&gt;$U406),0,(Input!$H169*((1+Input!$K169)^VLOOKUP(DV$399-$T406+1,$N$473:$P$477,3)))+(Input!$G169*BM$415))+Input!BC169,0),0)</f>
      </c>
      <c r="DW406" s="1807">
        <f>IF(Years="Five",IFERROR(IF(OR($T406&gt;DW$399,DW$399&gt;$U406),0,(Input!$H169*((1+Input!$K169)^VLOOKUP(DW$399-$T406+1,$N$473:$P$477,3)))+(Input!$G169*BN$415))+Input!BD169,0),0)</f>
      </c>
      <c r="DX406" s="1807">
        <f>IF(Years="Five",IFERROR(IF(OR($T406&gt;DX$399,DX$399&gt;$U406),0,(Input!$H169*((1+Input!$K169)^VLOOKUP(DX$399-$T406+1,$N$473:$P$477,3)))+(Input!$G169*BO$415))+Input!BE169,0),0)</f>
      </c>
      <c r="DY406" s="1807">
        <f>IF(Years="Five",IFERROR(IF(OR($T406&gt;DY$399,DY$399&gt;$U406),0,(Input!$H169*((1+Input!$K169)^VLOOKUP(DY$399-$T406+1,$N$473:$P$477,3)))+(Input!$G169*BP$415))+Input!BF169,0),0)</f>
      </c>
      <c r="DZ406" s="1807">
        <f>IF(Years="Five",IFERROR(IF(OR($T406&gt;DZ$399,DZ$399&gt;$U406),0,(Input!$H169*((1+Input!$K169)^VLOOKUP(DZ$399-$T406+1,$N$473:$P$477,3)))+(Input!$G169*BQ$415))+Input!BG169,0),0)</f>
      </c>
      <c r="EA406" s="1807">
        <f>IF(Years="Five",IFERROR(IF(OR($T406&gt;EA$399,EA$399&gt;$U406),0,(Input!$H169*((1+Input!$K169)^VLOOKUP(EA$399-$T406+1,$N$473:$P$477,3)))+(Input!$G169*BR$415))+Input!BH169,0),0)</f>
      </c>
      <c r="EB406" s="1807">
        <f>IF(Years="Five",IFERROR(IF(OR($T406&gt;EB$399,EB$399&gt;$U406),0,(Input!$H169*((1+Input!$K169)^VLOOKUP(EB$399-$T406+1,$N$473:$P$477,3)))+(Input!$G169*BS$415))+Input!BI169,0),0)</f>
      </c>
      <c r="EC406" s="1807">
        <f>IF(Years="Five",IFERROR(IF(OR($T406&gt;EC$399,EC$399&gt;$U406),0,(Input!$H169*((1+Input!$K169)^VLOOKUP(EC$399-$T406+1,$N$473:$P$477,3)))+(Input!$G169*BT$415))+Input!BJ169,0),0)</f>
      </c>
      <c r="ED406" s="1807">
        <f>IF(Years="Five",IFERROR(IF(OR($T406&gt;ED$399,ED$399&gt;$U406),0,(Input!$H169*((1+Input!$K169)^VLOOKUP(ED$399-$T406+1,$N$473:$P$477,3)))+(Input!$G169*BU$415))+Input!BK169,0),0)</f>
      </c>
      <c r="EE406" s="1807">
        <f>IF(Years="Five",IFERROR(IF(OR($T406&gt;EE$399,EE$399&gt;$U406),0,(Input!$H169*((1+Input!$K169)^VLOOKUP(EE$399-$T406+1,$N$473:$P$477,3)))+(Input!$G169*BV$415))+Input!BL169,0),0)</f>
      </c>
      <c r="EF406" s="1807">
        <f>IF(Years="Five",IFERROR(IF(OR($T406&gt;EF$399,EF$399&gt;$U406),0,(Input!$H169*((1+Input!$K169)^VLOOKUP(EF$399-$T406+1,$N$473:$P$477,3)))+(Input!$G169*BW$415))+Input!BM169,0),0)</f>
      </c>
      <c r="EG406" s="1807">
        <f>IF(Years="Five",IFERROR(IF(OR($T406&gt;EG$399,EG$399&gt;$U406),0,(Input!$H169*((1+Input!$K169)^VLOOKUP(EG$399-$T406+1,$N$473:$P$477,3)))+(Input!$G169*BX$415))+Input!BN169,0),0)</f>
      </c>
      <c r="EH406" s="1807">
        <f>IF(Years="Five",IFERROR(IF(OR($T406&gt;EH$399,EH$399&gt;$U406),0,(Input!$H169*((1+Input!$K169)^VLOOKUP(EH$399-$T406+1,$N$473:$P$477,3)))+(Input!$G169*BY$415))+Input!BO169,0),0)</f>
      </c>
      <c r="EI406" s="1807">
        <f>IF(Years="Five",IFERROR(IF(OR($T406&gt;EI$399,EI$399&gt;$U406),0,(Input!$H169*((1+Input!$K169)^VLOOKUP(EI$399-$T406+1,$N$473:$P$477,3)))+(Input!$G169*BZ$415))+Input!BP169,0),0)</f>
      </c>
      <c r="EJ406" s="1807">
        <f>IF(Years="Five",IFERROR(IF(OR($T406&gt;EJ$399,EJ$399&gt;$U406),0,(Input!$H169*((1+Input!$K169)^VLOOKUP(EJ$399-$T406+1,$N$473:$P$477,3)))+(Input!$G169*CA$415))+Input!BQ169,0),0)</f>
      </c>
      <c r="EK406" s="1807">
        <f>IF(Years="Five",IFERROR(IF(OR($T406&gt;EK$399,EK$399&gt;$U406),0,(Input!$H169*((1+Input!$K169)^VLOOKUP(EK$399-$T406+1,$N$473:$P$477,3)))+(Input!$G169*CB$415))+Input!BR169,0),0)</f>
      </c>
      <c r="EL406" s="1807">
        <f>IF(Years="Five",IFERROR(IF(OR($T406&gt;EL$399,EL$399&gt;$U406),0,(Input!$H169*((1+Input!$K169)^VLOOKUP(EL$399-$T406+1,$N$473:$P$477,3)))+(Input!$G169*CC$415))+Input!BS169,0),0)</f>
      </c>
      <c r="EM406" s="1807">
        <f>IF(Years="Five",IFERROR(IF(OR($T406&gt;EM$399,EM$399&gt;$U406),0,(Input!$H169*((1+Input!$K169)^VLOOKUP(EM$399-$T406+1,$N$473:$P$477,3)))+(Input!$G169*CD$415))+Input!BT169,0),0)</f>
      </c>
      <c r="EN406" s="1300"/>
      <c r="EO406" s="1300"/>
      <c r="EP406" s="1300"/>
      <c r="EQ406" s="1300"/>
      <c r="ER406" s="1300"/>
      <c r="ES406" s="1300"/>
      <c r="ET406" s="1300"/>
      <c r="EU406" s="1300"/>
      <c r="EV406" s="1300"/>
      <c r="EW406" s="1300"/>
      <c r="EX406" s="1300"/>
    </row>
    <row r="407" spans="11:154" ht="12" customHeight="1" x14ac:dyDescent="0.35">
      <c r="K407" s="102">
        <v>4</v>
      </c>
      <c r="L407" s="121">
        <f>Input!D170</f>
        <v>0</v>
      </c>
      <c r="M407" s="122">
        <f>IF(Input!$F$166&gt;=$K407,Input!H170,0)</f>
        <v>0</v>
      </c>
      <c r="N407" s="196">
        <f>Input!I170</f>
        <v>0</v>
      </c>
      <c r="O407" s="196">
        <f>Input!J170</f>
        <v>0</v>
      </c>
      <c r="P407" s="125">
        <f>Input!K170</f>
        <v>0</v>
      </c>
      <c r="Q407" s="123">
        <f>Input!G170</f>
        <v>0</v>
      </c>
      <c r="R407" s="1610"/>
      <c r="S407" s="102"/>
      <c r="T407" s="1302">
        <f>IFERROR(VLOOKUP(N407,Infrastructure!$D$70:$F$129,3,FALSE),0)</f>
        <v>1</v>
      </c>
      <c r="U407" s="1302">
        <f>IFERROR(VLOOKUP(O407,Infrastructure!$D$70:$F$129,3,FALSE),0)</f>
        <v>1</v>
      </c>
      <c r="V407" s="102"/>
      <c r="W407" s="124">
        <f>IF(Input!$F$166&gt;=$K407,Input!M170,0)</f>
        <v>0</v>
      </c>
      <c r="X407" s="122">
        <f>IF(Input!$F$166&gt;=$K407,Input!N170,0)</f>
        <v>0</v>
      </c>
      <c r="Y407" s="122">
        <f>IF(Input!$F$166&gt;=$K407,Input!O170,0)</f>
        <v>0</v>
      </c>
      <c r="Z407" s="122">
        <f>IF(Input!$F$166&gt;=$K407,Input!P170,0)</f>
        <v>0</v>
      </c>
      <c r="AA407" s="122">
        <f>IF(Input!$F$166&gt;=$K407,Input!Q170,0)</f>
        <v>0</v>
      </c>
      <c r="AB407" s="122">
        <f>IF(Input!$F$166&gt;=$K407,Input!R170,0)</f>
        <v>0</v>
      </c>
      <c r="AC407" s="122">
        <f>IF(Input!$F$166&gt;=$K407,Input!S170,0)</f>
        <v>0</v>
      </c>
      <c r="AD407" s="122">
        <f>IF(Input!$F$166&gt;=$K407,Input!T170,0)</f>
        <v>0</v>
      </c>
      <c r="AE407" s="122">
        <f>IF(Input!$F$166&gt;=$K407,Input!U170,0)</f>
        <v>0</v>
      </c>
      <c r="AF407" s="1130">
        <f>IF(Input!$F$166&gt;=$K407,Input!V170,0)</f>
        <v>0</v>
      </c>
      <c r="AG407" s="1130">
        <f>IF(Input!$F$166&gt;=$K407,Input!W170,0)</f>
        <v>0</v>
      </c>
      <c r="AH407" s="1130">
        <f>IF(Input!$F$166&gt;=$K407,Input!X170,0)</f>
        <v>0</v>
      </c>
      <c r="AI407" s="1130">
        <f>IF(Input!$F$166&gt;=$K407,Input!Y170,0)</f>
        <v>0</v>
      </c>
      <c r="AJ407" s="1130">
        <f>IF(Input!$F$166&gt;=$K407,Input!Z170,0)</f>
        <v>0</v>
      </c>
      <c r="AK407" s="1130">
        <f>IF(Input!$F$166&gt;=$K407,Input!AA170,0)</f>
        <v>0</v>
      </c>
      <c r="AL407" s="1130">
        <f>IF(Input!$F$166&gt;=$K407,Input!AB170,0)</f>
        <v>0</v>
      </c>
      <c r="AM407" s="1130">
        <f>IF(Input!$F$166&gt;=$K407,Input!AC170,0)</f>
        <v>0</v>
      </c>
      <c r="AN407" s="1130">
        <f>IF(Input!$F$166&gt;=$K407,Input!AD170,0)</f>
        <v>0</v>
      </c>
      <c r="AO407" s="1130">
        <f>IF(Input!$F$166&gt;=$K407,Input!AE170,0)</f>
        <v>0</v>
      </c>
      <c r="AP407" s="1130">
        <f>IF(Input!$F$166&gt;=$K407,Input!AF170,0)</f>
        <v>0</v>
      </c>
      <c r="AQ407" s="1130">
        <f>IF(Input!$F$166&gt;=$K407,Input!AG170,0)</f>
        <v>0</v>
      </c>
      <c r="AR407" s="1130">
        <f>IF(Input!$F$166&gt;=$K407,Input!AH170,0)</f>
        <v>0</v>
      </c>
      <c r="AS407" s="1130">
        <f>IF(Input!$F$166&gt;=$K407,Input!AI170,0)</f>
        <v>0</v>
      </c>
      <c r="AT407" s="1130">
        <f>IF(Input!$F$166&gt;=$K407,Input!AJ170,0)</f>
        <v>0</v>
      </c>
      <c r="AU407" s="1130">
        <f>IF(Input!$F$166&gt;=$K407,Input!AK170,0)</f>
        <v>0</v>
      </c>
      <c r="AV407" s="1130">
        <f>IF(Input!$F$166&gt;=$K407,Input!AL170,0)</f>
        <v>0</v>
      </c>
      <c r="AW407" s="1130">
        <f>IF(Input!$F$166&gt;=$K407,Input!AM170,0)</f>
        <v>0</v>
      </c>
      <c r="AX407" s="1130">
        <f>IF(Input!$F$166&gt;=$K407,Input!AN170,0)</f>
        <v>0</v>
      </c>
      <c r="AY407" s="1130">
        <f>IF(Input!$F$166&gt;=$K407,Input!AO170,0)</f>
        <v>0</v>
      </c>
      <c r="AZ407" s="1130">
        <f>IF(Input!$F$166&gt;=$K407,Input!AP170,0)</f>
        <v>0</v>
      </c>
      <c r="BA407" s="1130">
        <f>IF(Input!$F$166&gt;=$K407,Input!AQ170,0)</f>
        <v>0</v>
      </c>
      <c r="BB407" s="1130">
        <f>IF(Input!$F$166&gt;=$K407,Input!AR170,0)</f>
        <v>0</v>
      </c>
      <c r="BC407" s="1130">
        <f>IF(Input!$F$166&gt;=$K407,Input!AS170,0)</f>
        <v>0</v>
      </c>
      <c r="BD407" s="1130">
        <f>IF(Input!$F$166&gt;=$K407,Input!AT170,0)</f>
        <v>0</v>
      </c>
      <c r="BE407" s="1130">
        <f>IF(Input!$F$166&gt;=$K407,Input!AU170,0)</f>
        <v>0</v>
      </c>
      <c r="BF407" s="1130">
        <f>IF(Input!$F$166&gt;=$K407,Input!AV170,0)</f>
        <v>0</v>
      </c>
      <c r="BG407" s="1130">
        <f>IF(Input!$F$166&gt;=$K407,Input!AW170,0)</f>
        <v>0</v>
      </c>
      <c r="BH407" s="1130">
        <f>IF(Input!$F$166&gt;=$K407,Input!AX170,0)</f>
        <v>0</v>
      </c>
      <c r="BI407" s="1130">
        <f>IF(Input!$F$166&gt;=$K407,Input!AY170,0)</f>
        <v>0</v>
      </c>
      <c r="BJ407" s="1130">
        <f>IF(Input!$F$166&gt;=$K407,Input!AZ170,0)</f>
        <v>0</v>
      </c>
      <c r="BK407" s="1130">
        <f>IF(Input!$F$166&gt;=$K407,Input!BA170,0)</f>
        <v>0</v>
      </c>
      <c r="BL407" s="1130">
        <f>IF(Input!$F$166&gt;=$K407,Input!BB170,0)</f>
        <v>0</v>
      </c>
      <c r="BM407" s="1130">
        <f>IF(Input!$F$166&gt;=$K407,Input!BC170,0)</f>
        <v>0</v>
      </c>
      <c r="BN407" s="1130">
        <f>IF(Input!$F$166&gt;=$K407,Input!BD170,0)</f>
        <v>0</v>
      </c>
      <c r="BO407" s="1130">
        <f>IF(Input!$F$166&gt;=$K407,Input!BE170,0)</f>
        <v>0</v>
      </c>
      <c r="BP407" s="1130">
        <f>IF(Input!$F$166&gt;=$K407,Input!BF170,0)</f>
        <v>0</v>
      </c>
      <c r="BQ407" s="1130">
        <f>IF(Input!$F$166&gt;=$K407,Input!BG170,0)</f>
        <v>0</v>
      </c>
      <c r="BR407" s="1130">
        <f>IF(Input!$F$166&gt;=$K407,Input!BH170,0)</f>
        <v>0</v>
      </c>
      <c r="BS407" s="1130">
        <f>IF(Input!$F$166&gt;=$K407,Input!BI170,0)</f>
        <v>0</v>
      </c>
      <c r="BT407" s="1130">
        <f>IF(Input!$F$166&gt;=$K407,Input!BJ170,0)</f>
        <v>0</v>
      </c>
      <c r="BU407" s="1130">
        <f>IF(Input!$F$166&gt;=$K407,Input!BK170,0)</f>
        <v>0</v>
      </c>
      <c r="BV407" s="1130">
        <f>IF(Input!$F$166&gt;=$K407,Input!BL170,0)</f>
        <v>0</v>
      </c>
      <c r="BW407" s="1130">
        <f>IF(Input!$F$166&gt;=$K407,Input!BM170,0)</f>
        <v>0</v>
      </c>
      <c r="BX407" s="1130">
        <f>IF(Input!$F$166&gt;=$K407,Input!BN170,0)</f>
        <v>0</v>
      </c>
      <c r="BY407" s="1130">
        <f>IF(Input!$F$166&gt;=$K407,Input!BO170,0)</f>
        <v>0</v>
      </c>
      <c r="BZ407" s="1130">
        <f>IF(Input!$F$166&gt;=$K407,Input!BP170,0)</f>
        <v>0</v>
      </c>
      <c r="CA407" s="1130">
        <f>IF(Input!$F$166&gt;=$K407,Input!BQ170,0)</f>
        <v>0</v>
      </c>
      <c r="CB407" s="1130">
        <f>IF(Input!$F$166&gt;=$K407,Input!BR170,0)</f>
        <v>0</v>
      </c>
      <c r="CC407" s="1130">
        <f>IF(Input!$F$166&gt;=$K407,Input!BS170,0)</f>
        <v>0</v>
      </c>
      <c r="CD407" s="1131">
        <f>IF(Input!$F$166&gt;=$K407,Input!BT170,0)</f>
        <v>0</v>
      </c>
      <c r="CE407" s="1805" t="str">
        <f>IF(Input!D170&lt;&gt;"",Input!D170,"")</f>
        <v/>
      </c>
      <c r="CF407" s="1806">
        <f>IFERROR(IF(OR($T407&gt;CF$399,CF$399&gt;$U407),0,(Input!$H170*((1+Input!$K170)^VLOOKUP(CF$399-$T407+1,$N$473:$P$477,3)))+(Input!$G170*W$415))+Input!M170,0)</f>
      </c>
      <c r="CG407" s="1806">
        <f>IFERROR(IF(OR($T407&gt;CG$399,CG$399&gt;$U407),0,(Input!$H170*((1+Input!$K170)^VLOOKUP(CG$399-$T407+1,$N$473:$P$477,3)))+(Input!$G170*X$415))+Input!N170,0)</f>
      </c>
      <c r="CH407" s="1806">
        <f>IFERROR(IF(OR($T407&gt;CH$399,CH$399&gt;$U407),0,(Input!$H170*((1+Input!$K170)^VLOOKUP(CH$399-$T407+1,$N$473:$P$477,3)))+(Input!$G170*Y$415))+Input!O170,0)</f>
      </c>
      <c r="CI407" s="1806">
        <f>IFERROR(IF(OR($T407&gt;CI$399,CI$399&gt;$U407),0,(Input!$H170*((1+Input!$K170)^VLOOKUP(CI$399-$T407+1,$N$473:$P$477,3)))+(Input!$G170*Z$415))+Input!P170,0)</f>
      </c>
      <c r="CJ407" s="1806">
        <f>IFERROR(IF(OR($T407&gt;CJ$399,CJ$399&gt;$U407),0,(Input!$H170*((1+Input!$K170)^VLOOKUP(CJ$399-$T407+1,$N$473:$P$477,3)))+(Input!$G170*AA$415))+Input!Q170,0)</f>
      </c>
      <c r="CK407" s="1806">
        <f>IFERROR(IF(OR($T407&gt;CK$399,CK$399&gt;$U407),0,(Input!$H170*((1+Input!$K170)^VLOOKUP(CK$399-$T407+1,$N$473:$P$477,3)))+(Input!$G170*AB$415))+Input!R170,0)</f>
      </c>
      <c r="CL407" s="1806">
        <f>IFERROR(IF(OR($T407&gt;CL$399,CL$399&gt;$U407),0,(Input!$H170*((1+Input!$K170)^VLOOKUP(CL$399-$T407+1,$N$473:$P$477,3)))+(Input!$G170*AC$415))+Input!S170,0)</f>
      </c>
      <c r="CM407" s="1806">
        <f>IFERROR(IF(OR($T407&gt;CM$399,CM$399&gt;$U407),0,(Input!$H170*((1+Input!$K170)^VLOOKUP(CM$399-$T407+1,$N$473:$P$477,3)))+(Input!$G170*AD$415))+Input!T170,0)</f>
      </c>
      <c r="CN407" s="1806">
        <f>IFERROR(IF(OR($T407&gt;CN$399,CN$399&gt;$U407),0,(Input!$H170*((1+Input!$K170)^VLOOKUP(CN$399-$T407+1,$N$473:$P$477,3)))+(Input!$G170*AE$415))+Input!U170,0)</f>
      </c>
      <c r="CO407" s="1806">
        <f>IFERROR(IF(OR($T407&gt;CO$399,CO$399&gt;$U407),0,(Input!$H170*((1+Input!$K170)^VLOOKUP(CO$399-$T407+1,$N$473:$P$477,3)))+(Input!$G170*AF$415))+Input!V170,0)</f>
      </c>
      <c r="CP407" s="1806">
        <f>IFERROR(IF(OR($T407&gt;CP$399,CP$399&gt;$U407),0,(Input!$H170*((1+Input!$K170)^VLOOKUP(CP$399-$T407+1,$N$473:$P$477,3)))+(Input!$G170*AG$415))+Input!W170,0)</f>
      </c>
      <c r="CQ407" s="1806">
        <f>IFERROR(IF(OR($T407&gt;CQ$399,CQ$399&gt;$U407),0,(Input!$H170*((1+Input!$K170)^VLOOKUP(CQ$399-$T407+1,$N$473:$P$477,3)))+(Input!$G170*AH$415))+Input!X170,0)</f>
      </c>
      <c r="CR407" s="1806">
        <f>IFERROR(IF(OR($T407&gt;CR$399,CR$399&gt;$U407),0,(Input!$H170*((1+Input!$K170)^VLOOKUP(CR$399-$T407+1,$N$473:$P$477,3)))+(Input!$G170*AI$415))+Input!Y170,0)</f>
      </c>
      <c r="CS407" s="1806">
        <f>IFERROR(IF(OR($T407&gt;CS$399,CS$399&gt;$U407),0,(Input!$H170*((1+Input!$K170)^VLOOKUP(CS$399-$T407+1,$N$473:$P$477,3)))+(Input!$G170*AJ$415))+Input!Z170,0)</f>
      </c>
      <c r="CT407" s="1806">
        <f>IFERROR(IF(OR($T407&gt;CT$399,CT$399&gt;$U407),0,(Input!$H170*((1+Input!$K170)^VLOOKUP(CT$399-$T407+1,$N$473:$P$477,3)))+(Input!$G170*AK$415))+Input!AA170,0)</f>
      </c>
      <c r="CU407" s="1806">
        <f>IFERROR(IF(OR($T407&gt;CU$399,CU$399&gt;$U407),0,(Input!$H170*((1+Input!$K170)^VLOOKUP(CU$399-$T407+1,$N$473:$P$477,3)))+(Input!$G170*AL$415))+Input!AB170,0)</f>
      </c>
      <c r="CV407" s="1806">
        <f>IFERROR(IF(OR($T407&gt;CV$399,CV$399&gt;$U407),0,(Input!$H170*((1+Input!$K170)^VLOOKUP(CV$399-$T407+1,$N$473:$P$477,3)))+(Input!$G170*AM$415))+Input!AC170,0)</f>
      </c>
      <c r="CW407" s="1806">
        <f>IFERROR(IF(OR($T407&gt;CW$399,CW$399&gt;$U407),0,(Input!$H170*((1+Input!$K170)^VLOOKUP(CW$399-$T407+1,$N$473:$P$477,3)))+(Input!$G170*AN$415))+Input!AD170,0)</f>
      </c>
      <c r="CX407" s="1806">
        <f>IFERROR(IF(OR($T407&gt;CX$399,CX$399&gt;$U407),0,(Input!$H170*((1+Input!$K170)^VLOOKUP(CX$399-$T407+1,$N$473:$P$477,3)))+(Input!$G170*AO$415))+Input!AE170,0)</f>
      </c>
      <c r="CY407" s="1806">
        <f>IFERROR(IF(OR($T407&gt;CY$399,CY$399&gt;$U407),0,(Input!$H170*((1+Input!$K170)^VLOOKUP(CY$399-$T407+1,$N$473:$P$477,3)))+(Input!$G170*AP$415))+Input!AF170,0)</f>
      </c>
      <c r="CZ407" s="1806">
        <f>IFERROR(IF(OR($T407&gt;CZ$399,CZ$399&gt;$U407),0,(Input!$H170*((1+Input!$K170)^VLOOKUP(CZ$399-$T407+1,$N$473:$P$477,3)))+(Input!$G170*AQ$415))+Input!AG170,0)</f>
      </c>
      <c r="DA407" s="1806">
        <f>IFERROR(IF(OR($T407&gt;DA$399,DA$399&gt;$U407),0,(Input!$H170*((1+Input!$K170)^VLOOKUP(DA$399-$T407+1,$N$473:$P$477,3)))+(Input!$G170*AR$415))+Input!AH170,0)</f>
      </c>
      <c r="DB407" s="1806">
        <f>IFERROR(IF(OR($T407&gt;DB$399,DB$399&gt;$U407),0,(Input!$H170*((1+Input!$K170)^VLOOKUP(DB$399-$T407+1,$N$473:$P$477,3)))+(Input!$G170*AS$415))+Input!AI170,0)</f>
      </c>
      <c r="DC407" s="1806">
        <f>IFERROR(IF(OR($T407&gt;DC$399,DC$399&gt;$U407),0,(Input!$H170*((1+Input!$K170)^VLOOKUP(DC$399-$T407+1,$N$473:$P$477,3)))+(Input!$G170*AT$415))+Input!AJ170,0)</f>
      </c>
      <c r="DD407" s="1806">
        <f>IFERROR(IF(OR($T407&gt;DD$399,DD$399&gt;$U407),0,(Input!$H170*((1+Input!$K170)^VLOOKUP(DD$399-$T407+1,$N$473:$P$477,3)))+(Input!$G170*AU$415))+Input!AK170,0)</f>
      </c>
      <c r="DE407" s="1806">
        <f>IFERROR(IF(OR($T407&gt;DE$399,DE$399&gt;$U407),0,(Input!$H170*((1+Input!$K170)^VLOOKUP(DE$399-$T407+1,$N$473:$P$477,3)))+(Input!$G170*AV$415))+Input!AL170,0)</f>
      </c>
      <c r="DF407" s="1806">
        <f>IFERROR(IF(OR($T407&gt;DF$399,DF$399&gt;$U407),0,(Input!$H170*((1+Input!$K170)^VLOOKUP(DF$399-$T407+1,$N$473:$P$477,3)))+(Input!$G170*AW$415))+Input!AM170,0)</f>
      </c>
      <c r="DG407" s="1806">
        <f>IFERROR(IF(OR($T407&gt;DG$399,DG$399&gt;$U407),0,(Input!$H170*((1+Input!$K170)^VLOOKUP(DG$399-$T407+1,$N$473:$P$477,3)))+(Input!$G170*AX$415))+Input!AN170,0)</f>
      </c>
      <c r="DH407" s="1806">
        <f>IFERROR(IF(OR($T407&gt;DH$399,DH$399&gt;$U407),0,(Input!$H170*((1+Input!$K170)^VLOOKUP(DH$399-$T407+1,$N$473:$P$477,3)))+(Input!$G170*AY$415))+Input!AO170,0)</f>
      </c>
      <c r="DI407" s="1806">
        <f>IFERROR(IF(OR($T407&gt;DI$399,DI$399&gt;$U407),0,(Input!$H170*((1+Input!$K170)^VLOOKUP(DI$399-$T407+1,$N$473:$P$477,3)))+(Input!$G170*AZ$415))+Input!AP170,0)</f>
      </c>
      <c r="DJ407" s="1806">
        <f>IFERROR(IF(OR($T407&gt;DJ$399,DJ$399&gt;$U407),0,(Input!$H170*((1+Input!$K170)^VLOOKUP(DJ$399-$T407+1,$N$473:$P$477,3)))+(Input!$G170*BA$415))+Input!AQ170,0)</f>
      </c>
      <c r="DK407" s="1806">
        <f>IFERROR(IF(OR($T407&gt;DK$399,DK$399&gt;$U407),0,(Input!$H170*((1+Input!$K170)^VLOOKUP(DK$399-$T407+1,$N$473:$P$477,3)))+(Input!$G170*BB$415))+Input!AR170,0)</f>
      </c>
      <c r="DL407" s="1806">
        <f>IFERROR(IF(OR($T407&gt;DL$399,DL$399&gt;$U407),0,(Input!$H170*((1+Input!$K170)^VLOOKUP(DL$399-$T407+1,$N$473:$P$477,3)))+(Input!$G170*BC$415))+Input!AS170,0)</f>
      </c>
      <c r="DM407" s="1806">
        <f>IFERROR(IF(OR($T407&gt;DM$399,DM$399&gt;$U407),0,(Input!$H170*((1+Input!$K170)^VLOOKUP(DM$399-$T407+1,$N$473:$P$477,3)))+(Input!$G170*BD$415))+Input!AT170,0)</f>
      </c>
      <c r="DN407" s="1806">
        <f>IFERROR(IF(OR($T407&gt;DN$399,DN$399&gt;$U407),0,(Input!$H170*((1+Input!$K170)^VLOOKUP(DN$399-$T407+1,$N$473:$P$477,3)))+(Input!$G170*BE$415))+Input!AU170,0)</f>
      </c>
      <c r="DO407" s="1806">
        <f>IFERROR(IF(OR($T407&gt;DO$399,DO$399&gt;$U407),0,(Input!$H170*((1+Input!$K170)^VLOOKUP(DO$399-$T407+1,$N$473:$P$477,3)))+(Input!$G170*BF$415))+Input!AV170,0)</f>
      </c>
      <c r="DP407" s="1806">
        <f>IF(Years="Five",IFERROR(IF(OR($T407&gt;DP$399,DP$399&gt;$U407),0,(Input!$H170*((1+Input!$K170)^VLOOKUP(DP$399-$T407+1,$N$473:$P$477,3)))+(Input!$G170*BG$415))+Input!AW170,0),0)</f>
      </c>
      <c r="DQ407" s="1806">
        <f>IF(Years="Five",IFERROR(IF(OR($T407&gt;DQ$399,DQ$399&gt;$U407),0,(Input!$H170*((1+Input!$K170)^VLOOKUP(DQ$399-$T407+1,$N$473:$P$477,3)))+(Input!$G170*BH$415))+Input!AX170,0),0)</f>
      </c>
      <c r="DR407" s="1807">
        <f>IF(Years="Five",IFERROR(IF(OR($T407&gt;DR$399,DR$399&gt;$U407),0,(Input!$H170*((1+Input!$K170)^VLOOKUP(DR$399-$T407+1,$N$473:$P$477,3)))+(Input!$G170*BI$415))+Input!AY170,0),0)</f>
      </c>
      <c r="DS407" s="1807">
        <f>IF(Years="Five",IFERROR(IF(OR($T407&gt;DS$399,DS$399&gt;$U407),0,(Input!$H170*((1+Input!$K170)^VLOOKUP(DS$399-$T407+1,$N$473:$P$477,3)))+(Input!$G170*BJ$415))+Input!AZ170,0),0)</f>
      </c>
      <c r="DT407" s="1807">
        <f>IF(Years="Five",IFERROR(IF(OR($T407&gt;DT$399,DT$399&gt;$U407),0,(Input!$H170*((1+Input!$K170)^VLOOKUP(DT$399-$T407+1,$N$473:$P$477,3)))+(Input!$G170*BK$415))+Input!BA170,0),0)</f>
      </c>
      <c r="DU407" s="1807">
        <f>IF(Years="Five",IFERROR(IF(OR($T407&gt;DU$399,DU$399&gt;$U407),0,(Input!$H170*((1+Input!$K170)^VLOOKUP(DU$399-$T407+1,$N$473:$P$477,3)))+(Input!$G170*BL$415))+Input!BB170,0),0)</f>
      </c>
      <c r="DV407" s="1807">
        <f>IF(Years="Five",IFERROR(IF(OR($T407&gt;DV$399,DV$399&gt;$U407),0,(Input!$H170*((1+Input!$K170)^VLOOKUP(DV$399-$T407+1,$N$473:$P$477,3)))+(Input!$G170*BM$415))+Input!BC170,0),0)</f>
      </c>
      <c r="DW407" s="1807">
        <f>IF(Years="Five",IFERROR(IF(OR($T407&gt;DW$399,DW$399&gt;$U407),0,(Input!$H170*((1+Input!$K170)^VLOOKUP(DW$399-$T407+1,$N$473:$P$477,3)))+(Input!$G170*BN$415))+Input!BD170,0),0)</f>
      </c>
      <c r="DX407" s="1807">
        <f>IF(Years="Five",IFERROR(IF(OR($T407&gt;DX$399,DX$399&gt;$U407),0,(Input!$H170*((1+Input!$K170)^VLOOKUP(DX$399-$T407+1,$N$473:$P$477,3)))+(Input!$G170*BO$415))+Input!BE170,0),0)</f>
      </c>
      <c r="DY407" s="1807">
        <f>IF(Years="Five",IFERROR(IF(OR($T407&gt;DY$399,DY$399&gt;$U407),0,(Input!$H170*((1+Input!$K170)^VLOOKUP(DY$399-$T407+1,$N$473:$P$477,3)))+(Input!$G170*BP$415))+Input!BF170,0),0)</f>
      </c>
      <c r="DZ407" s="1807">
        <f>IF(Years="Five",IFERROR(IF(OR($T407&gt;DZ$399,DZ$399&gt;$U407),0,(Input!$H170*((1+Input!$K170)^VLOOKUP(DZ$399-$T407+1,$N$473:$P$477,3)))+(Input!$G170*BQ$415))+Input!BG170,0),0)</f>
      </c>
      <c r="EA407" s="1807">
        <f>IF(Years="Five",IFERROR(IF(OR($T407&gt;EA$399,EA$399&gt;$U407),0,(Input!$H170*((1+Input!$K170)^VLOOKUP(EA$399-$T407+1,$N$473:$P$477,3)))+(Input!$G170*BR$415))+Input!BH170,0),0)</f>
      </c>
      <c r="EB407" s="1807">
        <f>IF(Years="Five",IFERROR(IF(OR($T407&gt;EB$399,EB$399&gt;$U407),0,(Input!$H170*((1+Input!$K170)^VLOOKUP(EB$399-$T407+1,$N$473:$P$477,3)))+(Input!$G170*BS$415))+Input!BI170,0),0)</f>
      </c>
      <c r="EC407" s="1807">
        <f>IF(Years="Five",IFERROR(IF(OR($T407&gt;EC$399,EC$399&gt;$U407),0,(Input!$H170*((1+Input!$K170)^VLOOKUP(EC$399-$T407+1,$N$473:$P$477,3)))+(Input!$G170*BT$415))+Input!BJ170,0),0)</f>
      </c>
      <c r="ED407" s="1807">
        <f>IF(Years="Five",IFERROR(IF(OR($T407&gt;ED$399,ED$399&gt;$U407),0,(Input!$H170*((1+Input!$K170)^VLOOKUP(ED$399-$T407+1,$N$473:$P$477,3)))+(Input!$G170*BU$415))+Input!BK170,0),0)</f>
      </c>
      <c r="EE407" s="1807">
        <f>IF(Years="Five",IFERROR(IF(OR($T407&gt;EE$399,EE$399&gt;$U407),0,(Input!$H170*((1+Input!$K170)^VLOOKUP(EE$399-$T407+1,$N$473:$P$477,3)))+(Input!$G170*BV$415))+Input!BL170,0),0)</f>
      </c>
      <c r="EF407" s="1807">
        <f>IF(Years="Five",IFERROR(IF(OR($T407&gt;EF$399,EF$399&gt;$U407),0,(Input!$H170*((1+Input!$K170)^VLOOKUP(EF$399-$T407+1,$N$473:$P$477,3)))+(Input!$G170*BW$415))+Input!BM170,0),0)</f>
      </c>
      <c r="EG407" s="1807">
        <f>IF(Years="Five",IFERROR(IF(OR($T407&gt;EG$399,EG$399&gt;$U407),0,(Input!$H170*((1+Input!$K170)^VLOOKUP(EG$399-$T407+1,$N$473:$P$477,3)))+(Input!$G170*BX$415))+Input!BN170,0),0)</f>
      </c>
      <c r="EH407" s="1807">
        <f>IF(Years="Five",IFERROR(IF(OR($T407&gt;EH$399,EH$399&gt;$U407),0,(Input!$H170*((1+Input!$K170)^VLOOKUP(EH$399-$T407+1,$N$473:$P$477,3)))+(Input!$G170*BY$415))+Input!BO170,0),0)</f>
      </c>
      <c r="EI407" s="1807">
        <f>IF(Years="Five",IFERROR(IF(OR($T407&gt;EI$399,EI$399&gt;$U407),0,(Input!$H170*((1+Input!$K170)^VLOOKUP(EI$399-$T407+1,$N$473:$P$477,3)))+(Input!$G170*BZ$415))+Input!BP170,0),0)</f>
      </c>
      <c r="EJ407" s="1807">
        <f>IF(Years="Five",IFERROR(IF(OR($T407&gt;EJ$399,EJ$399&gt;$U407),0,(Input!$H170*((1+Input!$K170)^VLOOKUP(EJ$399-$T407+1,$N$473:$P$477,3)))+(Input!$G170*CA$415))+Input!BQ170,0),0)</f>
      </c>
      <c r="EK407" s="1807">
        <f>IF(Years="Five",IFERROR(IF(OR($T407&gt;EK$399,EK$399&gt;$U407),0,(Input!$H170*((1+Input!$K170)^VLOOKUP(EK$399-$T407+1,$N$473:$P$477,3)))+(Input!$G170*CB$415))+Input!BR170,0),0)</f>
      </c>
      <c r="EL407" s="1807">
        <f>IF(Years="Five",IFERROR(IF(OR($T407&gt;EL$399,EL$399&gt;$U407),0,(Input!$H170*((1+Input!$K170)^VLOOKUP(EL$399-$T407+1,$N$473:$P$477,3)))+(Input!$G170*CC$415))+Input!BS170,0),0)</f>
      </c>
      <c r="EM407" s="1807">
        <f>IF(Years="Five",IFERROR(IF(OR($T407&gt;EM$399,EM$399&gt;$U407),0,(Input!$H170*((1+Input!$K170)^VLOOKUP(EM$399-$T407+1,$N$473:$P$477,3)))+(Input!$G170*CD$415))+Input!BT170,0),0)</f>
      </c>
      <c r="EN407" s="1300"/>
      <c r="EO407" s="1300"/>
      <c r="EP407" s="1300"/>
      <c r="EQ407" s="1300"/>
      <c r="ER407" s="1300"/>
      <c r="ES407" s="1300"/>
      <c r="ET407" s="1300"/>
      <c r="EU407" s="1300"/>
      <c r="EV407" s="1300"/>
      <c r="EW407" s="1300"/>
      <c r="EX407" s="1300"/>
    </row>
    <row r="408" spans="11:154" ht="12" customHeight="1" x14ac:dyDescent="0.35">
      <c r="K408" s="102">
        <v>5</v>
      </c>
      <c r="L408" s="121">
        <f>Input!D171</f>
        <v>0</v>
      </c>
      <c r="M408" s="122">
        <f>IF(Input!$F$166&gt;=$K408,Input!H171,0)</f>
        <v>0</v>
      </c>
      <c r="N408" s="196">
        <f>Input!I171</f>
        <v>0</v>
      </c>
      <c r="O408" s="196">
        <f>Input!J171</f>
        <v>0</v>
      </c>
      <c r="P408" s="125">
        <f>Input!K171</f>
        <v>0</v>
      </c>
      <c r="Q408" s="123">
        <f>Input!G171</f>
        <v>0</v>
      </c>
      <c r="R408" s="1610"/>
      <c r="S408" s="102"/>
      <c r="T408" s="1302">
        <f>IFERROR(VLOOKUP(N408,Infrastructure!$D$70:$F$129,3,FALSE),0)</f>
        <v>1</v>
      </c>
      <c r="U408" s="1302">
        <f>IFERROR(VLOOKUP(O408,Infrastructure!$D$70:$F$129,3,FALSE),0)</f>
        <v>1</v>
      </c>
      <c r="V408" s="102"/>
      <c r="W408" s="124">
        <f>IF(Input!$F$166&gt;=$K408,Input!M171,0)</f>
        <v>0</v>
      </c>
      <c r="X408" s="122">
        <f>IF(Input!$F$166&gt;=$K408,Input!N171,0)</f>
        <v>0</v>
      </c>
      <c r="Y408" s="122">
        <f>IF(Input!$F$166&gt;=$K408,Input!O171,0)</f>
        <v>0</v>
      </c>
      <c r="Z408" s="122">
        <f>IF(Input!$F$166&gt;=$K408,Input!P171,0)</f>
        <v>0</v>
      </c>
      <c r="AA408" s="122">
        <f>IF(Input!$F$166&gt;=$K408,Input!Q171,0)</f>
        <v>0</v>
      </c>
      <c r="AB408" s="122">
        <f>IF(Input!$F$166&gt;=$K408,Input!R171,0)</f>
        <v>0</v>
      </c>
      <c r="AC408" s="122">
        <f>IF(Input!$F$166&gt;=$K408,Input!S171,0)</f>
        <v>0</v>
      </c>
      <c r="AD408" s="122">
        <f>IF(Input!$F$166&gt;=$K408,Input!T171,0)</f>
        <v>0</v>
      </c>
      <c r="AE408" s="122">
        <f>IF(Input!$F$166&gt;=$K408,Input!U171,0)</f>
        <v>0</v>
      </c>
      <c r="AF408" s="1130">
        <f>IF(Input!$F$166&gt;=$K408,Input!V171,0)</f>
        <v>0</v>
      </c>
      <c r="AG408" s="1130">
        <f>IF(Input!$F$166&gt;=$K408,Input!W171,0)</f>
        <v>0</v>
      </c>
      <c r="AH408" s="1130">
        <f>IF(Input!$F$166&gt;=$K408,Input!X171,0)</f>
        <v>0</v>
      </c>
      <c r="AI408" s="1130">
        <f>IF(Input!$F$166&gt;=$K408,Input!Y171,0)</f>
        <v>0</v>
      </c>
      <c r="AJ408" s="1130">
        <f>IF(Input!$F$166&gt;=$K408,Input!Z171,0)</f>
        <v>0</v>
      </c>
      <c r="AK408" s="1130">
        <f>IF(Input!$F$166&gt;=$K408,Input!AA171,0)</f>
        <v>0</v>
      </c>
      <c r="AL408" s="1130">
        <f>IF(Input!$F$166&gt;=$K408,Input!AB171,0)</f>
        <v>0</v>
      </c>
      <c r="AM408" s="1130">
        <f>IF(Input!$F$166&gt;=$K408,Input!AC171,0)</f>
        <v>0</v>
      </c>
      <c r="AN408" s="1130">
        <f>IF(Input!$F$166&gt;=$K408,Input!AD171,0)</f>
        <v>0</v>
      </c>
      <c r="AO408" s="1130">
        <f>IF(Input!$F$166&gt;=$K408,Input!AE171,0)</f>
        <v>0</v>
      </c>
      <c r="AP408" s="1130">
        <f>IF(Input!$F$166&gt;=$K408,Input!AF171,0)</f>
        <v>0</v>
      </c>
      <c r="AQ408" s="1130">
        <f>IF(Input!$F$166&gt;=$K408,Input!AG171,0)</f>
        <v>0</v>
      </c>
      <c r="AR408" s="1130">
        <f>IF(Input!$F$166&gt;=$K408,Input!AH171,0)</f>
        <v>0</v>
      </c>
      <c r="AS408" s="1130">
        <f>IF(Input!$F$166&gt;=$K408,Input!AI171,0)</f>
        <v>0</v>
      </c>
      <c r="AT408" s="1130">
        <f>IF(Input!$F$166&gt;=$K408,Input!AJ171,0)</f>
        <v>0</v>
      </c>
      <c r="AU408" s="1130">
        <f>IF(Input!$F$166&gt;=$K408,Input!AK171,0)</f>
        <v>0</v>
      </c>
      <c r="AV408" s="1130">
        <f>IF(Input!$F$166&gt;=$K408,Input!AL171,0)</f>
        <v>0</v>
      </c>
      <c r="AW408" s="1130">
        <f>IF(Input!$F$166&gt;=$K408,Input!AM171,0)</f>
        <v>0</v>
      </c>
      <c r="AX408" s="1130">
        <f>IF(Input!$F$166&gt;=$K408,Input!AN171,0)</f>
        <v>0</v>
      </c>
      <c r="AY408" s="1130">
        <f>IF(Input!$F$166&gt;=$K408,Input!AO171,0)</f>
        <v>0</v>
      </c>
      <c r="AZ408" s="1130">
        <f>IF(Input!$F$166&gt;=$K408,Input!AP171,0)</f>
        <v>0</v>
      </c>
      <c r="BA408" s="1130">
        <f>IF(Input!$F$166&gt;=$K408,Input!AQ171,0)</f>
        <v>0</v>
      </c>
      <c r="BB408" s="1130">
        <f>IF(Input!$F$166&gt;=$K408,Input!AR171,0)</f>
        <v>0</v>
      </c>
      <c r="BC408" s="1130">
        <f>IF(Input!$F$166&gt;=$K408,Input!AS171,0)</f>
        <v>0</v>
      </c>
      <c r="BD408" s="1130">
        <f>IF(Input!$F$166&gt;=$K408,Input!AT171,0)</f>
        <v>0</v>
      </c>
      <c r="BE408" s="1130">
        <f>IF(Input!$F$166&gt;=$K408,Input!AU171,0)</f>
        <v>0</v>
      </c>
      <c r="BF408" s="1130">
        <f>IF(Input!$F$166&gt;=$K408,Input!AV171,0)</f>
        <v>0</v>
      </c>
      <c r="BG408" s="1130">
        <f>IF(Input!$F$166&gt;=$K408,Input!AW171,0)</f>
        <v>0</v>
      </c>
      <c r="BH408" s="1130">
        <f>IF(Input!$F$166&gt;=$K408,Input!AX171,0)</f>
        <v>0</v>
      </c>
      <c r="BI408" s="1130">
        <f>IF(Input!$F$166&gt;=$K408,Input!AY171,0)</f>
        <v>0</v>
      </c>
      <c r="BJ408" s="1130">
        <f>IF(Input!$F$166&gt;=$K408,Input!AZ171,0)</f>
        <v>0</v>
      </c>
      <c r="BK408" s="1130">
        <f>IF(Input!$F$166&gt;=$K408,Input!BA171,0)</f>
        <v>0</v>
      </c>
      <c r="BL408" s="1130">
        <f>IF(Input!$F$166&gt;=$K408,Input!BB171,0)</f>
        <v>0</v>
      </c>
      <c r="BM408" s="1130">
        <f>IF(Input!$F$166&gt;=$K408,Input!BC171,0)</f>
        <v>0</v>
      </c>
      <c r="BN408" s="1130">
        <f>IF(Input!$F$166&gt;=$K408,Input!BD171,0)</f>
        <v>0</v>
      </c>
      <c r="BO408" s="1130">
        <f>IF(Input!$F$166&gt;=$K408,Input!BE171,0)</f>
        <v>0</v>
      </c>
      <c r="BP408" s="1130">
        <f>IF(Input!$F$166&gt;=$K408,Input!BF171,0)</f>
        <v>0</v>
      </c>
      <c r="BQ408" s="1130">
        <f>IF(Input!$F$166&gt;=$K408,Input!BG171,0)</f>
        <v>0</v>
      </c>
      <c r="BR408" s="1130">
        <f>IF(Input!$F$166&gt;=$K408,Input!BH171,0)</f>
        <v>0</v>
      </c>
      <c r="BS408" s="1130">
        <f>IF(Input!$F$166&gt;=$K408,Input!BI171,0)</f>
        <v>0</v>
      </c>
      <c r="BT408" s="1130">
        <f>IF(Input!$F$166&gt;=$K408,Input!BJ171,0)</f>
        <v>0</v>
      </c>
      <c r="BU408" s="1130">
        <f>IF(Input!$F$166&gt;=$K408,Input!BK171,0)</f>
        <v>0</v>
      </c>
      <c r="BV408" s="1130">
        <f>IF(Input!$F$166&gt;=$K408,Input!BL171,0)</f>
        <v>0</v>
      </c>
      <c r="BW408" s="1130">
        <f>IF(Input!$F$166&gt;=$K408,Input!BM171,0)</f>
        <v>0</v>
      </c>
      <c r="BX408" s="1130">
        <f>IF(Input!$F$166&gt;=$K408,Input!BN171,0)</f>
        <v>0</v>
      </c>
      <c r="BY408" s="1130">
        <f>IF(Input!$F$166&gt;=$K408,Input!BO171,0)</f>
        <v>0</v>
      </c>
      <c r="BZ408" s="1130">
        <f>IF(Input!$F$166&gt;=$K408,Input!BP171,0)</f>
        <v>0</v>
      </c>
      <c r="CA408" s="1130">
        <f>IF(Input!$F$166&gt;=$K408,Input!BQ171,0)</f>
        <v>0</v>
      </c>
      <c r="CB408" s="1130">
        <f>IF(Input!$F$166&gt;=$K408,Input!BR171,0)</f>
        <v>0</v>
      </c>
      <c r="CC408" s="1130">
        <f>IF(Input!$F$166&gt;=$K408,Input!BS171,0)</f>
        <v>0</v>
      </c>
      <c r="CD408" s="1131">
        <f>IF(Input!$F$166&gt;=$K408,Input!BT171,0)</f>
        <v>0</v>
      </c>
      <c r="CE408" s="1805" t="str">
        <f>IF(Input!D171&lt;&gt;"",Input!D171,"")</f>
        <v/>
      </c>
      <c r="CF408" s="1806">
        <f>IFERROR(IF(OR($T408&gt;CF$399,CF$399&gt;$U408),0,(Input!$H171*((1+Input!$K171)^VLOOKUP(CF$399-$T408+1,$N$473:$P$477,3)))+(Input!$G171*W$415))+Input!M171,0)</f>
      </c>
      <c r="CG408" s="1806">
        <f>IFERROR(IF(OR($T408&gt;CG$399,CG$399&gt;$U408),0,(Input!$H171*((1+Input!$K171)^VLOOKUP(CG$399-$T408+1,$N$473:$P$477,3)))+(Input!$G171*X$415))+Input!N171,0)</f>
      </c>
      <c r="CH408" s="1806">
        <f>IFERROR(IF(OR($T408&gt;CH$399,CH$399&gt;$U408),0,(Input!$H171*((1+Input!$K171)^VLOOKUP(CH$399-$T408+1,$N$473:$P$477,3)))+(Input!$G171*Y$415))+Input!O171,0)</f>
      </c>
      <c r="CI408" s="1806">
        <f>IFERROR(IF(OR($T408&gt;CI$399,CI$399&gt;$U408),0,(Input!$H171*((1+Input!$K171)^VLOOKUP(CI$399-$T408+1,$N$473:$P$477,3)))+(Input!$G171*Z$415))+Input!P171,0)</f>
      </c>
      <c r="CJ408" s="1806">
        <f>IFERROR(IF(OR($T408&gt;CJ$399,CJ$399&gt;$U408),0,(Input!$H171*((1+Input!$K171)^VLOOKUP(CJ$399-$T408+1,$N$473:$P$477,3)))+(Input!$G171*AA$415))+Input!Q171,0)</f>
      </c>
      <c r="CK408" s="1806">
        <f>IFERROR(IF(OR($T408&gt;CK$399,CK$399&gt;$U408),0,(Input!$H171*((1+Input!$K171)^VLOOKUP(CK$399-$T408+1,$N$473:$P$477,3)))+(Input!$G171*AB$415))+Input!R171,0)</f>
      </c>
      <c r="CL408" s="1806">
        <f>IFERROR(IF(OR($T408&gt;CL$399,CL$399&gt;$U408),0,(Input!$H171*((1+Input!$K171)^VLOOKUP(CL$399-$T408+1,$N$473:$P$477,3)))+(Input!$G171*AC$415))+Input!S171,0)</f>
      </c>
      <c r="CM408" s="1806">
        <f>IFERROR(IF(OR($T408&gt;CM$399,CM$399&gt;$U408),0,(Input!$H171*((1+Input!$K171)^VLOOKUP(CM$399-$T408+1,$N$473:$P$477,3)))+(Input!$G171*AD$415))+Input!T171,0)</f>
      </c>
      <c r="CN408" s="1806">
        <f>IFERROR(IF(OR($T408&gt;CN$399,CN$399&gt;$U408),0,(Input!$H171*((1+Input!$K171)^VLOOKUP(CN$399-$T408+1,$N$473:$P$477,3)))+(Input!$G171*AE$415))+Input!U171,0)</f>
      </c>
      <c r="CO408" s="1806">
        <f>IFERROR(IF(OR($T408&gt;CO$399,CO$399&gt;$U408),0,(Input!$H171*((1+Input!$K171)^VLOOKUP(CO$399-$T408+1,$N$473:$P$477,3)))+(Input!$G171*AF$415))+Input!V171,0)</f>
      </c>
      <c r="CP408" s="1806">
        <f>IFERROR(IF(OR($T408&gt;CP$399,CP$399&gt;$U408),0,(Input!$H171*((1+Input!$K171)^VLOOKUP(CP$399-$T408+1,$N$473:$P$477,3)))+(Input!$G171*AG$415))+Input!W171,0)</f>
      </c>
      <c r="CQ408" s="1806">
        <f>IFERROR(IF(OR($T408&gt;CQ$399,CQ$399&gt;$U408),0,(Input!$H171*((1+Input!$K171)^VLOOKUP(CQ$399-$T408+1,$N$473:$P$477,3)))+(Input!$G171*AH$415))+Input!X171,0)</f>
      </c>
      <c r="CR408" s="1806">
        <f>IFERROR(IF(OR($T408&gt;CR$399,CR$399&gt;$U408),0,(Input!$H171*((1+Input!$K171)^VLOOKUP(CR$399-$T408+1,$N$473:$P$477,3)))+(Input!$G171*AI$415))+Input!Y171,0)</f>
      </c>
      <c r="CS408" s="1806">
        <f>IFERROR(IF(OR($T408&gt;CS$399,CS$399&gt;$U408),0,(Input!$H171*((1+Input!$K171)^VLOOKUP(CS$399-$T408+1,$N$473:$P$477,3)))+(Input!$G171*AJ$415))+Input!Z171,0)</f>
      </c>
      <c r="CT408" s="1806">
        <f>IFERROR(IF(OR($T408&gt;CT$399,CT$399&gt;$U408),0,(Input!$H171*((1+Input!$K171)^VLOOKUP(CT$399-$T408+1,$N$473:$P$477,3)))+(Input!$G171*AK$415))+Input!AA171,0)</f>
      </c>
      <c r="CU408" s="1806">
        <f>IFERROR(IF(OR($T408&gt;CU$399,CU$399&gt;$U408),0,(Input!$H171*((1+Input!$K171)^VLOOKUP(CU$399-$T408+1,$N$473:$P$477,3)))+(Input!$G171*AL$415))+Input!AB171,0)</f>
      </c>
      <c r="CV408" s="1806">
        <f>IFERROR(IF(OR($T408&gt;CV$399,CV$399&gt;$U408),0,(Input!$H171*((1+Input!$K171)^VLOOKUP(CV$399-$T408+1,$N$473:$P$477,3)))+(Input!$G171*AM$415))+Input!AC171,0)</f>
      </c>
      <c r="CW408" s="1806">
        <f>IFERROR(IF(OR($T408&gt;CW$399,CW$399&gt;$U408),0,(Input!$H171*((1+Input!$K171)^VLOOKUP(CW$399-$T408+1,$N$473:$P$477,3)))+(Input!$G171*AN$415))+Input!AD171,0)</f>
      </c>
      <c r="CX408" s="1806">
        <f>IFERROR(IF(OR($T408&gt;CX$399,CX$399&gt;$U408),0,(Input!$H171*((1+Input!$K171)^VLOOKUP(CX$399-$T408+1,$N$473:$P$477,3)))+(Input!$G171*AO$415))+Input!AE171,0)</f>
      </c>
      <c r="CY408" s="1806">
        <f>IFERROR(IF(OR($T408&gt;CY$399,CY$399&gt;$U408),0,(Input!$H171*((1+Input!$K171)^VLOOKUP(CY$399-$T408+1,$N$473:$P$477,3)))+(Input!$G171*AP$415))+Input!AF171,0)</f>
      </c>
      <c r="CZ408" s="1806">
        <f>IFERROR(IF(OR($T408&gt;CZ$399,CZ$399&gt;$U408),0,(Input!$H171*((1+Input!$K171)^VLOOKUP(CZ$399-$T408+1,$N$473:$P$477,3)))+(Input!$G171*AQ$415))+Input!AG171,0)</f>
      </c>
      <c r="DA408" s="1806">
        <f>IFERROR(IF(OR($T408&gt;DA$399,DA$399&gt;$U408),0,(Input!$H171*((1+Input!$K171)^VLOOKUP(DA$399-$T408+1,$N$473:$P$477,3)))+(Input!$G171*AR$415))+Input!AH171,0)</f>
      </c>
      <c r="DB408" s="1806">
        <f>IFERROR(IF(OR($T408&gt;DB$399,DB$399&gt;$U408),0,(Input!$H171*((1+Input!$K171)^VLOOKUP(DB$399-$T408+1,$N$473:$P$477,3)))+(Input!$G171*AS$415))+Input!AI171,0)</f>
      </c>
      <c r="DC408" s="1806">
        <f>IFERROR(IF(OR($T408&gt;DC$399,DC$399&gt;$U408),0,(Input!$H171*((1+Input!$K171)^VLOOKUP(DC$399-$T408+1,$N$473:$P$477,3)))+(Input!$G171*AT$415))+Input!AJ171,0)</f>
      </c>
      <c r="DD408" s="1806">
        <f>IFERROR(IF(OR($T408&gt;DD$399,DD$399&gt;$U408),0,(Input!$H171*((1+Input!$K171)^VLOOKUP(DD$399-$T408+1,$N$473:$P$477,3)))+(Input!$G171*AU$415))+Input!AK171,0)</f>
      </c>
      <c r="DE408" s="1806">
        <f>IFERROR(IF(OR($T408&gt;DE$399,DE$399&gt;$U408),0,(Input!$H171*((1+Input!$K171)^VLOOKUP(DE$399-$T408+1,$N$473:$P$477,3)))+(Input!$G171*AV$415))+Input!AL171,0)</f>
      </c>
      <c r="DF408" s="1806">
        <f>IFERROR(IF(OR($T408&gt;DF$399,DF$399&gt;$U408),0,(Input!$H171*((1+Input!$K171)^VLOOKUP(DF$399-$T408+1,$N$473:$P$477,3)))+(Input!$G171*AW$415))+Input!AM171,0)</f>
      </c>
      <c r="DG408" s="1806">
        <f>IFERROR(IF(OR($T408&gt;DG$399,DG$399&gt;$U408),0,(Input!$H171*((1+Input!$K171)^VLOOKUP(DG$399-$T408+1,$N$473:$P$477,3)))+(Input!$G171*AX$415))+Input!AN171,0)</f>
      </c>
      <c r="DH408" s="1806">
        <f>IFERROR(IF(OR($T408&gt;DH$399,DH$399&gt;$U408),0,(Input!$H171*((1+Input!$K171)^VLOOKUP(DH$399-$T408+1,$N$473:$P$477,3)))+(Input!$G171*AY$415))+Input!AO171,0)</f>
      </c>
      <c r="DI408" s="1806">
        <f>IFERROR(IF(OR($T408&gt;DI$399,DI$399&gt;$U408),0,(Input!$H171*((1+Input!$K171)^VLOOKUP(DI$399-$T408+1,$N$473:$P$477,3)))+(Input!$G171*AZ$415))+Input!AP171,0)</f>
      </c>
      <c r="DJ408" s="1806">
        <f>IFERROR(IF(OR($T408&gt;DJ$399,DJ$399&gt;$U408),0,(Input!$H171*((1+Input!$K171)^VLOOKUP(DJ$399-$T408+1,$N$473:$P$477,3)))+(Input!$G171*BA$415))+Input!AQ171,0)</f>
      </c>
      <c r="DK408" s="1806">
        <f>IFERROR(IF(OR($T408&gt;DK$399,DK$399&gt;$U408),0,(Input!$H171*((1+Input!$K171)^VLOOKUP(DK$399-$T408+1,$N$473:$P$477,3)))+(Input!$G171*BB$415))+Input!AR171,0)</f>
      </c>
      <c r="DL408" s="1806">
        <f>IFERROR(IF(OR($T408&gt;DL$399,DL$399&gt;$U408),0,(Input!$H171*((1+Input!$K171)^VLOOKUP(DL$399-$T408+1,$N$473:$P$477,3)))+(Input!$G171*BC$415))+Input!AS171,0)</f>
      </c>
      <c r="DM408" s="1806">
        <f>IFERROR(IF(OR($T408&gt;DM$399,DM$399&gt;$U408),0,(Input!$H171*((1+Input!$K171)^VLOOKUP(DM$399-$T408+1,$N$473:$P$477,3)))+(Input!$G171*BD$415))+Input!AT171,0)</f>
      </c>
      <c r="DN408" s="1806">
        <f>IFERROR(IF(OR($T408&gt;DN$399,DN$399&gt;$U408),0,(Input!$H171*((1+Input!$K171)^VLOOKUP(DN$399-$T408+1,$N$473:$P$477,3)))+(Input!$G171*BE$415))+Input!AU171,0)</f>
      </c>
      <c r="DO408" s="1806">
        <f>IFERROR(IF(OR($T408&gt;DO$399,DO$399&gt;$U408),0,(Input!$H171*((1+Input!$K171)^VLOOKUP(DO$399-$T408+1,$N$473:$P$477,3)))+(Input!$G171*BF$415))+Input!AV171,0)</f>
      </c>
      <c r="DP408" s="1806">
        <f>IF(Years="Five",IFERROR(IF(OR($T408&gt;DP$399,DP$399&gt;$U408),0,(Input!$H171*((1+Input!$K171)^VLOOKUP(DP$399-$T408+1,$N$473:$P$477,3)))+(Input!$G171*BG$415))+Input!AW171,0),0)</f>
      </c>
      <c r="DQ408" s="1806">
        <f>IF(Years="Five",IFERROR(IF(OR($T408&gt;DQ$399,DQ$399&gt;$U408),0,(Input!$H171*((1+Input!$K171)^VLOOKUP(DQ$399-$T408+1,$N$473:$P$477,3)))+(Input!$G171*BH$415))+Input!AX171,0),0)</f>
      </c>
      <c r="DR408" s="1807">
        <f>IF(Years="Five",IFERROR(IF(OR($T408&gt;DR$399,DR$399&gt;$U408),0,(Input!$H171*((1+Input!$K171)^VLOOKUP(DR$399-$T408+1,$N$473:$P$477,3)))+(Input!$G171*BI$415))+Input!AY171,0),0)</f>
      </c>
      <c r="DS408" s="1807">
        <f>IF(Years="Five",IFERROR(IF(OR($T408&gt;DS$399,DS$399&gt;$U408),0,(Input!$H171*((1+Input!$K171)^VLOOKUP(DS$399-$T408+1,$N$473:$P$477,3)))+(Input!$G171*BJ$415))+Input!AZ171,0),0)</f>
      </c>
      <c r="DT408" s="1807">
        <f>IF(Years="Five",IFERROR(IF(OR($T408&gt;DT$399,DT$399&gt;$U408),0,(Input!$H171*((1+Input!$K171)^VLOOKUP(DT$399-$T408+1,$N$473:$P$477,3)))+(Input!$G171*BK$415))+Input!BA171,0),0)</f>
      </c>
      <c r="DU408" s="1807">
        <f>IF(Years="Five",IFERROR(IF(OR($T408&gt;DU$399,DU$399&gt;$U408),0,(Input!$H171*((1+Input!$K171)^VLOOKUP(DU$399-$T408+1,$N$473:$P$477,3)))+(Input!$G171*BL$415))+Input!BB171,0),0)</f>
      </c>
      <c r="DV408" s="1807">
        <f>IF(Years="Five",IFERROR(IF(OR($T408&gt;DV$399,DV$399&gt;$U408),0,(Input!$H171*((1+Input!$K171)^VLOOKUP(DV$399-$T408+1,$N$473:$P$477,3)))+(Input!$G171*BM$415))+Input!BC171,0),0)</f>
      </c>
      <c r="DW408" s="1807">
        <f>IF(Years="Five",IFERROR(IF(OR($T408&gt;DW$399,DW$399&gt;$U408),0,(Input!$H171*((1+Input!$K171)^VLOOKUP(DW$399-$T408+1,$N$473:$P$477,3)))+(Input!$G171*BN$415))+Input!BD171,0),0)</f>
      </c>
      <c r="DX408" s="1807">
        <f>IF(Years="Five",IFERROR(IF(OR($T408&gt;DX$399,DX$399&gt;$U408),0,(Input!$H171*((1+Input!$K171)^VLOOKUP(DX$399-$T408+1,$N$473:$P$477,3)))+(Input!$G171*BO$415))+Input!BE171,0),0)</f>
      </c>
      <c r="DY408" s="1807">
        <f>IF(Years="Five",IFERROR(IF(OR($T408&gt;DY$399,DY$399&gt;$U408),0,(Input!$H171*((1+Input!$K171)^VLOOKUP(DY$399-$T408+1,$N$473:$P$477,3)))+(Input!$G171*BP$415))+Input!BF171,0),0)</f>
      </c>
      <c r="DZ408" s="1807">
        <f>IF(Years="Five",IFERROR(IF(OR($T408&gt;DZ$399,DZ$399&gt;$U408),0,(Input!$H171*((1+Input!$K171)^VLOOKUP(DZ$399-$T408+1,$N$473:$P$477,3)))+(Input!$G171*BQ$415))+Input!BG171,0),0)</f>
      </c>
      <c r="EA408" s="1807">
        <f>IF(Years="Five",IFERROR(IF(OR($T408&gt;EA$399,EA$399&gt;$U408),0,(Input!$H171*((1+Input!$K171)^VLOOKUP(EA$399-$T408+1,$N$473:$P$477,3)))+(Input!$G171*BR$415))+Input!BH171,0),0)</f>
      </c>
      <c r="EB408" s="1807">
        <f>IF(Years="Five",IFERROR(IF(OR($T408&gt;EB$399,EB$399&gt;$U408),0,(Input!$H171*((1+Input!$K171)^VLOOKUP(EB$399-$T408+1,$N$473:$P$477,3)))+(Input!$G171*BS$415))+Input!BI171,0),0)</f>
      </c>
      <c r="EC408" s="1807">
        <f>IF(Years="Five",IFERROR(IF(OR($T408&gt;EC$399,EC$399&gt;$U408),0,(Input!$H171*((1+Input!$K171)^VLOOKUP(EC$399-$T408+1,$N$473:$P$477,3)))+(Input!$G171*BT$415))+Input!BJ171,0),0)</f>
      </c>
      <c r="ED408" s="1807">
        <f>IF(Years="Five",IFERROR(IF(OR($T408&gt;ED$399,ED$399&gt;$U408),0,(Input!$H171*((1+Input!$K171)^VLOOKUP(ED$399-$T408+1,$N$473:$P$477,3)))+(Input!$G171*BU$415))+Input!BK171,0),0)</f>
      </c>
      <c r="EE408" s="1807">
        <f>IF(Years="Five",IFERROR(IF(OR($T408&gt;EE$399,EE$399&gt;$U408),0,(Input!$H171*((1+Input!$K171)^VLOOKUP(EE$399-$T408+1,$N$473:$P$477,3)))+(Input!$G171*BV$415))+Input!BL171,0),0)</f>
      </c>
      <c r="EF408" s="1807">
        <f>IF(Years="Five",IFERROR(IF(OR($T408&gt;EF$399,EF$399&gt;$U408),0,(Input!$H171*((1+Input!$K171)^VLOOKUP(EF$399-$T408+1,$N$473:$P$477,3)))+(Input!$G171*BW$415))+Input!BM171,0),0)</f>
      </c>
      <c r="EG408" s="1807">
        <f>IF(Years="Five",IFERROR(IF(OR($T408&gt;EG$399,EG$399&gt;$U408),0,(Input!$H171*((1+Input!$K171)^VLOOKUP(EG$399-$T408+1,$N$473:$P$477,3)))+(Input!$G171*BX$415))+Input!BN171,0),0)</f>
      </c>
      <c r="EH408" s="1807">
        <f>IF(Years="Five",IFERROR(IF(OR($T408&gt;EH$399,EH$399&gt;$U408),0,(Input!$H171*((1+Input!$K171)^VLOOKUP(EH$399-$T408+1,$N$473:$P$477,3)))+(Input!$G171*BY$415))+Input!BO171,0),0)</f>
      </c>
      <c r="EI408" s="1807">
        <f>IF(Years="Five",IFERROR(IF(OR($T408&gt;EI$399,EI$399&gt;$U408),0,(Input!$H171*((1+Input!$K171)^VLOOKUP(EI$399-$T408+1,$N$473:$P$477,3)))+(Input!$G171*BZ$415))+Input!BP171,0),0)</f>
      </c>
      <c r="EJ408" s="1807">
        <f>IF(Years="Five",IFERROR(IF(OR($T408&gt;EJ$399,EJ$399&gt;$U408),0,(Input!$H171*((1+Input!$K171)^VLOOKUP(EJ$399-$T408+1,$N$473:$P$477,3)))+(Input!$G171*CA$415))+Input!BQ171,0),0)</f>
      </c>
      <c r="EK408" s="1807">
        <f>IF(Years="Five",IFERROR(IF(OR($T408&gt;EK$399,EK$399&gt;$U408),0,(Input!$H171*((1+Input!$K171)^VLOOKUP(EK$399-$T408+1,$N$473:$P$477,3)))+(Input!$G171*CB$415))+Input!BR171,0),0)</f>
      </c>
      <c r="EL408" s="1807">
        <f>IF(Years="Five",IFERROR(IF(OR($T408&gt;EL$399,EL$399&gt;$U408),0,(Input!$H171*((1+Input!$K171)^VLOOKUP(EL$399-$T408+1,$N$473:$P$477,3)))+(Input!$G171*CC$415))+Input!BS171,0),0)</f>
      </c>
      <c r="EM408" s="1807">
        <f>IF(Years="Five",IFERROR(IF(OR($T408&gt;EM$399,EM$399&gt;$U408),0,(Input!$H171*((1+Input!$K171)^VLOOKUP(EM$399-$T408+1,$N$473:$P$477,3)))+(Input!$G171*CD$415))+Input!BT171,0),0)</f>
      </c>
      <c r="EN408" s="1300"/>
      <c r="EO408" s="1300"/>
      <c r="EP408" s="1300"/>
      <c r="EQ408" s="1300"/>
      <c r="ER408" s="1300"/>
      <c r="ES408" s="1300"/>
      <c r="ET408" s="1300"/>
      <c r="EU408" s="1300"/>
      <c r="EV408" s="1300"/>
      <c r="EW408" s="1300"/>
      <c r="EX408" s="1300"/>
    </row>
    <row r="409" spans="11:154" ht="12" customHeight="1" x14ac:dyDescent="0.35">
      <c r="K409" s="102">
        <v>6</v>
      </c>
      <c r="L409" s="121">
        <f>Input!D172</f>
        <v>0</v>
      </c>
      <c r="M409" s="122">
        <f>IF(Input!$F$166&gt;=$K409,Input!H172,0)</f>
        <v>0</v>
      </c>
      <c r="N409" s="196">
        <f>Input!I172</f>
        <v>0</v>
      </c>
      <c r="O409" s="196">
        <f>Input!J172</f>
        <v>0</v>
      </c>
      <c r="P409" s="125">
        <f>Input!K172</f>
        <v>0</v>
      </c>
      <c r="Q409" s="123">
        <f>Input!G172</f>
        <v>0</v>
      </c>
      <c r="R409" s="1610"/>
      <c r="S409" s="102"/>
      <c r="T409" s="1302">
        <f>IFERROR(VLOOKUP(N409,Infrastructure!$D$70:$F$129,3,FALSE),0)</f>
        <v>1</v>
      </c>
      <c r="U409" s="1302">
        <f>IFERROR(VLOOKUP(O409,Infrastructure!$D$70:$F$129,3,FALSE),0)</f>
        <v>1</v>
      </c>
      <c r="V409" s="102"/>
      <c r="W409" s="124">
        <f>IF(Input!$F$166&gt;=$K409,Input!M172,0)</f>
        <v>0</v>
      </c>
      <c r="X409" s="122">
        <f>IF(Input!$F$166&gt;=$K409,Input!N172,0)</f>
        <v>0</v>
      </c>
      <c r="Y409" s="122">
        <f>IF(Input!$F$166&gt;=$K409,Input!O172,0)</f>
        <v>0</v>
      </c>
      <c r="Z409" s="122">
        <f>IF(Input!$F$166&gt;=$K409,Input!P172,0)</f>
        <v>0</v>
      </c>
      <c r="AA409" s="122">
        <f>IF(Input!$F$166&gt;=$K409,Input!Q172,0)</f>
        <v>0</v>
      </c>
      <c r="AB409" s="122">
        <f>IF(Input!$F$166&gt;=$K409,Input!R172,0)</f>
        <v>0</v>
      </c>
      <c r="AC409" s="122">
        <f>IF(Input!$F$166&gt;=$K409,Input!S172,0)</f>
        <v>0</v>
      </c>
      <c r="AD409" s="122">
        <f>IF(Input!$F$166&gt;=$K409,Input!T172,0)</f>
        <v>0</v>
      </c>
      <c r="AE409" s="122">
        <f>IF(Input!$F$166&gt;=$K409,Input!U172,0)</f>
        <v>0</v>
      </c>
      <c r="AF409" s="1130">
        <f>IF(Input!$F$166&gt;=$K409,Input!V172,0)</f>
        <v>0</v>
      </c>
      <c r="AG409" s="1130">
        <f>IF(Input!$F$166&gt;=$K409,Input!W172,0)</f>
        <v>0</v>
      </c>
      <c r="AH409" s="1130">
        <f>IF(Input!$F$166&gt;=$K409,Input!X172,0)</f>
        <v>0</v>
      </c>
      <c r="AI409" s="1130">
        <f>IF(Input!$F$166&gt;=$K409,Input!Y172,0)</f>
        <v>0</v>
      </c>
      <c r="AJ409" s="1130">
        <f>IF(Input!$F$166&gt;=$K409,Input!Z172,0)</f>
        <v>0</v>
      </c>
      <c r="AK409" s="1130">
        <f>IF(Input!$F$166&gt;=$K409,Input!AA172,0)</f>
        <v>0</v>
      </c>
      <c r="AL409" s="1130">
        <f>IF(Input!$F$166&gt;=$K409,Input!AB172,0)</f>
        <v>0</v>
      </c>
      <c r="AM409" s="1130">
        <f>IF(Input!$F$166&gt;=$K409,Input!AC172,0)</f>
        <v>0</v>
      </c>
      <c r="AN409" s="1130">
        <f>IF(Input!$F$166&gt;=$K409,Input!AD172,0)</f>
        <v>0</v>
      </c>
      <c r="AO409" s="1130">
        <f>IF(Input!$F$166&gt;=$K409,Input!AE172,0)</f>
        <v>0</v>
      </c>
      <c r="AP409" s="1130">
        <f>IF(Input!$F$166&gt;=$K409,Input!AF172,0)</f>
        <v>0</v>
      </c>
      <c r="AQ409" s="1130">
        <f>IF(Input!$F$166&gt;=$K409,Input!AG172,0)</f>
        <v>0</v>
      </c>
      <c r="AR409" s="1130">
        <f>IF(Input!$F$166&gt;=$K409,Input!AH172,0)</f>
        <v>0</v>
      </c>
      <c r="AS409" s="1130">
        <f>IF(Input!$F$166&gt;=$K409,Input!AI172,0)</f>
        <v>0</v>
      </c>
      <c r="AT409" s="1130">
        <f>IF(Input!$F$166&gt;=$K409,Input!AJ172,0)</f>
        <v>0</v>
      </c>
      <c r="AU409" s="1130">
        <f>IF(Input!$F$166&gt;=$K409,Input!AK172,0)</f>
        <v>0</v>
      </c>
      <c r="AV409" s="1130">
        <f>IF(Input!$F$166&gt;=$K409,Input!AL172,0)</f>
        <v>0</v>
      </c>
      <c r="AW409" s="1130">
        <f>IF(Input!$F$166&gt;=$K409,Input!AM172,0)</f>
        <v>0</v>
      </c>
      <c r="AX409" s="1130">
        <f>IF(Input!$F$166&gt;=$K409,Input!AN172,0)</f>
        <v>0</v>
      </c>
      <c r="AY409" s="1130">
        <f>IF(Input!$F$166&gt;=$K409,Input!AO172,0)</f>
        <v>0</v>
      </c>
      <c r="AZ409" s="1130">
        <f>IF(Input!$F$166&gt;=$K409,Input!AP172,0)</f>
        <v>0</v>
      </c>
      <c r="BA409" s="1130">
        <f>IF(Input!$F$166&gt;=$K409,Input!AQ172,0)</f>
        <v>0</v>
      </c>
      <c r="BB409" s="1130">
        <f>IF(Input!$F$166&gt;=$K409,Input!AR172,0)</f>
        <v>0</v>
      </c>
      <c r="BC409" s="1130">
        <f>IF(Input!$F$166&gt;=$K409,Input!AS172,0)</f>
        <v>0</v>
      </c>
      <c r="BD409" s="1130">
        <f>IF(Input!$F$166&gt;=$K409,Input!AT172,0)</f>
        <v>0</v>
      </c>
      <c r="BE409" s="1130">
        <f>IF(Input!$F$166&gt;=$K409,Input!AU172,0)</f>
        <v>0</v>
      </c>
      <c r="BF409" s="1130">
        <f>IF(Input!$F$166&gt;=$K409,Input!AV172,0)</f>
        <v>0</v>
      </c>
      <c r="BG409" s="1130">
        <f>IF(Input!$F$166&gt;=$K409,Input!AW172,0)</f>
        <v>0</v>
      </c>
      <c r="BH409" s="1130">
        <f>IF(Input!$F$166&gt;=$K409,Input!AX172,0)</f>
        <v>0</v>
      </c>
      <c r="BI409" s="1130">
        <f>IF(Input!$F$166&gt;=$K409,Input!AY172,0)</f>
        <v>0</v>
      </c>
      <c r="BJ409" s="1130">
        <f>IF(Input!$F$166&gt;=$K409,Input!AZ172,0)</f>
        <v>0</v>
      </c>
      <c r="BK409" s="1130">
        <f>IF(Input!$F$166&gt;=$K409,Input!BA172,0)</f>
        <v>0</v>
      </c>
      <c r="BL409" s="1130">
        <f>IF(Input!$F$166&gt;=$K409,Input!BB172,0)</f>
        <v>0</v>
      </c>
      <c r="BM409" s="1130">
        <f>IF(Input!$F$166&gt;=$K409,Input!BC172,0)</f>
        <v>0</v>
      </c>
      <c r="BN409" s="1130">
        <f>IF(Input!$F$166&gt;=$K409,Input!BD172,0)</f>
        <v>0</v>
      </c>
      <c r="BO409" s="1130">
        <f>IF(Input!$F$166&gt;=$K409,Input!BE172,0)</f>
        <v>0</v>
      </c>
      <c r="BP409" s="1130">
        <f>IF(Input!$F$166&gt;=$K409,Input!BF172,0)</f>
        <v>0</v>
      </c>
      <c r="BQ409" s="1130">
        <f>IF(Input!$F$166&gt;=$K409,Input!BG172,0)</f>
        <v>0</v>
      </c>
      <c r="BR409" s="1130">
        <f>IF(Input!$F$166&gt;=$K409,Input!BH172,0)</f>
        <v>0</v>
      </c>
      <c r="BS409" s="1130">
        <f>IF(Input!$F$166&gt;=$K409,Input!BI172,0)</f>
        <v>0</v>
      </c>
      <c r="BT409" s="1130">
        <f>IF(Input!$F$166&gt;=$K409,Input!BJ172,0)</f>
        <v>0</v>
      </c>
      <c r="BU409" s="1130">
        <f>IF(Input!$F$166&gt;=$K409,Input!BK172,0)</f>
        <v>0</v>
      </c>
      <c r="BV409" s="1130">
        <f>IF(Input!$F$166&gt;=$K409,Input!BL172,0)</f>
        <v>0</v>
      </c>
      <c r="BW409" s="1130">
        <f>IF(Input!$F$166&gt;=$K409,Input!BM172,0)</f>
        <v>0</v>
      </c>
      <c r="BX409" s="1130">
        <f>IF(Input!$F$166&gt;=$K409,Input!BN172,0)</f>
        <v>0</v>
      </c>
      <c r="BY409" s="1130">
        <f>IF(Input!$F$166&gt;=$K409,Input!BO172,0)</f>
        <v>0</v>
      </c>
      <c r="BZ409" s="1130">
        <f>IF(Input!$F$166&gt;=$K409,Input!BP172,0)</f>
        <v>0</v>
      </c>
      <c r="CA409" s="1130">
        <f>IF(Input!$F$166&gt;=$K409,Input!BQ172,0)</f>
        <v>0</v>
      </c>
      <c r="CB409" s="1130">
        <f>IF(Input!$F$166&gt;=$K409,Input!BR172,0)</f>
        <v>0</v>
      </c>
      <c r="CC409" s="1130">
        <f>IF(Input!$F$166&gt;=$K409,Input!BS172,0)</f>
        <v>0</v>
      </c>
      <c r="CD409" s="1131">
        <f>IF(Input!$F$166&gt;=$K409,Input!BT172,0)</f>
        <v>0</v>
      </c>
      <c r="CE409" s="1805" t="str">
        <f>IF(Input!D172&lt;&gt;"",Input!D172,"")</f>
        <v/>
      </c>
      <c r="CF409" s="1806">
        <f>IFERROR(IF(OR($T409&gt;CF$399,CF$399&gt;$U409),0,(Input!$H172*((1+Input!$K172)^VLOOKUP(CF$399-$T409+1,$N$473:$P$477,3)))+(Input!$G172*W$415))+Input!M172,0)</f>
      </c>
      <c r="CG409" s="1806">
        <f>IFERROR(IF(OR($T409&gt;CG$399,CG$399&gt;$U409),0,(Input!$H172*((1+Input!$K172)^VLOOKUP(CG$399-$T409+1,$N$473:$P$477,3)))+(Input!$G172*X$415))+Input!N172,0)</f>
      </c>
      <c r="CH409" s="1806">
        <f>IFERROR(IF(OR($T409&gt;CH$399,CH$399&gt;$U409),0,(Input!$H172*((1+Input!$K172)^VLOOKUP(CH$399-$T409+1,$N$473:$P$477,3)))+(Input!$G172*Y$415))+Input!O172,0)</f>
      </c>
      <c r="CI409" s="1806">
        <f>IFERROR(IF(OR($T409&gt;CI$399,CI$399&gt;$U409),0,(Input!$H172*((1+Input!$K172)^VLOOKUP(CI$399-$T409+1,$N$473:$P$477,3)))+(Input!$G172*Z$415))+Input!P172,0)</f>
      </c>
      <c r="CJ409" s="1806">
        <f>IFERROR(IF(OR($T409&gt;CJ$399,CJ$399&gt;$U409),0,(Input!$H172*((1+Input!$K172)^VLOOKUP(CJ$399-$T409+1,$N$473:$P$477,3)))+(Input!$G172*AA$415))+Input!Q172,0)</f>
      </c>
      <c r="CK409" s="1806">
        <f>IFERROR(IF(OR($T409&gt;CK$399,CK$399&gt;$U409),0,(Input!$H172*((1+Input!$K172)^VLOOKUP(CK$399-$T409+1,$N$473:$P$477,3)))+(Input!$G172*AB$415))+Input!R172,0)</f>
      </c>
      <c r="CL409" s="1806">
        <f>IFERROR(IF(OR($T409&gt;CL$399,CL$399&gt;$U409),0,(Input!$H172*((1+Input!$K172)^VLOOKUP(CL$399-$T409+1,$N$473:$P$477,3)))+(Input!$G172*AC$415))+Input!S172,0)</f>
      </c>
      <c r="CM409" s="1806">
        <f>IFERROR(IF(OR($T409&gt;CM$399,CM$399&gt;$U409),0,(Input!$H172*((1+Input!$K172)^VLOOKUP(CM$399-$T409+1,$N$473:$P$477,3)))+(Input!$G172*AD$415))+Input!T172,0)</f>
      </c>
      <c r="CN409" s="1806">
        <f>IFERROR(IF(OR($T409&gt;CN$399,CN$399&gt;$U409),0,(Input!$H172*((1+Input!$K172)^VLOOKUP(CN$399-$T409+1,$N$473:$P$477,3)))+(Input!$G172*AE$415))+Input!U172,0)</f>
      </c>
      <c r="CO409" s="1806">
        <f>IFERROR(IF(OR($T409&gt;CO$399,CO$399&gt;$U409),0,(Input!$H172*((1+Input!$K172)^VLOOKUP(CO$399-$T409+1,$N$473:$P$477,3)))+(Input!$G172*AF$415))+Input!V172,0)</f>
      </c>
      <c r="CP409" s="1806">
        <f>IFERROR(IF(OR($T409&gt;CP$399,CP$399&gt;$U409),0,(Input!$H172*((1+Input!$K172)^VLOOKUP(CP$399-$T409+1,$N$473:$P$477,3)))+(Input!$G172*AG$415))+Input!W172,0)</f>
      </c>
      <c r="CQ409" s="1806">
        <f>IFERROR(IF(OR($T409&gt;CQ$399,CQ$399&gt;$U409),0,(Input!$H172*((1+Input!$K172)^VLOOKUP(CQ$399-$T409+1,$N$473:$P$477,3)))+(Input!$G172*AH$415))+Input!X172,0)</f>
      </c>
      <c r="CR409" s="1806">
        <f>IFERROR(IF(OR($T409&gt;CR$399,CR$399&gt;$U409),0,(Input!$H172*((1+Input!$K172)^VLOOKUP(CR$399-$T409+1,$N$473:$P$477,3)))+(Input!$G172*AI$415))+Input!Y172,0)</f>
      </c>
      <c r="CS409" s="1806">
        <f>IFERROR(IF(OR($T409&gt;CS$399,CS$399&gt;$U409),0,(Input!$H172*((1+Input!$K172)^VLOOKUP(CS$399-$T409+1,$N$473:$P$477,3)))+(Input!$G172*AJ$415))+Input!Z172,0)</f>
      </c>
      <c r="CT409" s="1806">
        <f>IFERROR(IF(OR($T409&gt;CT$399,CT$399&gt;$U409),0,(Input!$H172*((1+Input!$K172)^VLOOKUP(CT$399-$T409+1,$N$473:$P$477,3)))+(Input!$G172*AK$415))+Input!AA172,0)</f>
      </c>
      <c r="CU409" s="1806">
        <f>IFERROR(IF(OR($T409&gt;CU$399,CU$399&gt;$U409),0,(Input!$H172*((1+Input!$K172)^VLOOKUP(CU$399-$T409+1,$N$473:$P$477,3)))+(Input!$G172*AL$415))+Input!AB172,0)</f>
      </c>
      <c r="CV409" s="1806">
        <f>IFERROR(IF(OR($T409&gt;CV$399,CV$399&gt;$U409),0,(Input!$H172*((1+Input!$K172)^VLOOKUP(CV$399-$T409+1,$N$473:$P$477,3)))+(Input!$G172*AM$415))+Input!AC172,0)</f>
      </c>
      <c r="CW409" s="1806">
        <f>IFERROR(IF(OR($T409&gt;CW$399,CW$399&gt;$U409),0,(Input!$H172*((1+Input!$K172)^VLOOKUP(CW$399-$T409+1,$N$473:$P$477,3)))+(Input!$G172*AN$415))+Input!AD172,0)</f>
      </c>
      <c r="CX409" s="1806">
        <f>IFERROR(IF(OR($T409&gt;CX$399,CX$399&gt;$U409),0,(Input!$H172*((1+Input!$K172)^VLOOKUP(CX$399-$T409+1,$N$473:$P$477,3)))+(Input!$G172*AO$415))+Input!AE172,0)</f>
      </c>
      <c r="CY409" s="1806">
        <f>IFERROR(IF(OR($T409&gt;CY$399,CY$399&gt;$U409),0,(Input!$H172*((1+Input!$K172)^VLOOKUP(CY$399-$T409+1,$N$473:$P$477,3)))+(Input!$G172*AP$415))+Input!AF172,0)</f>
      </c>
      <c r="CZ409" s="1806">
        <f>IFERROR(IF(OR($T409&gt;CZ$399,CZ$399&gt;$U409),0,(Input!$H172*((1+Input!$K172)^VLOOKUP(CZ$399-$T409+1,$N$473:$P$477,3)))+(Input!$G172*AQ$415))+Input!AG172,0)</f>
      </c>
      <c r="DA409" s="1806">
        <f>IFERROR(IF(OR($T409&gt;DA$399,DA$399&gt;$U409),0,(Input!$H172*((1+Input!$K172)^VLOOKUP(DA$399-$T409+1,$N$473:$P$477,3)))+(Input!$G172*AR$415))+Input!AH172,0)</f>
      </c>
      <c r="DB409" s="1806">
        <f>IFERROR(IF(OR($T409&gt;DB$399,DB$399&gt;$U409),0,(Input!$H172*((1+Input!$K172)^VLOOKUP(DB$399-$T409+1,$N$473:$P$477,3)))+(Input!$G172*AS$415))+Input!AI172,0)</f>
      </c>
      <c r="DC409" s="1806">
        <f>IFERROR(IF(OR($T409&gt;DC$399,DC$399&gt;$U409),0,(Input!$H172*((1+Input!$K172)^VLOOKUP(DC$399-$T409+1,$N$473:$P$477,3)))+(Input!$G172*AT$415))+Input!AJ172,0)</f>
      </c>
      <c r="DD409" s="1806">
        <f>IFERROR(IF(OR($T409&gt;DD$399,DD$399&gt;$U409),0,(Input!$H172*((1+Input!$K172)^VLOOKUP(DD$399-$T409+1,$N$473:$P$477,3)))+(Input!$G172*AU$415))+Input!AK172,0)</f>
      </c>
      <c r="DE409" s="1806">
        <f>IFERROR(IF(OR($T409&gt;DE$399,DE$399&gt;$U409),0,(Input!$H172*((1+Input!$K172)^VLOOKUP(DE$399-$T409+1,$N$473:$P$477,3)))+(Input!$G172*AV$415))+Input!AL172,0)</f>
      </c>
      <c r="DF409" s="1806">
        <f>IFERROR(IF(OR($T409&gt;DF$399,DF$399&gt;$U409),0,(Input!$H172*((1+Input!$K172)^VLOOKUP(DF$399-$T409+1,$N$473:$P$477,3)))+(Input!$G172*AW$415))+Input!AM172,0)</f>
      </c>
      <c r="DG409" s="1806">
        <f>IFERROR(IF(OR($T409&gt;DG$399,DG$399&gt;$U409),0,(Input!$H172*((1+Input!$K172)^VLOOKUP(DG$399-$T409+1,$N$473:$P$477,3)))+(Input!$G172*AX$415))+Input!AN172,0)</f>
      </c>
      <c r="DH409" s="1806">
        <f>IFERROR(IF(OR($T409&gt;DH$399,DH$399&gt;$U409),0,(Input!$H172*((1+Input!$K172)^VLOOKUP(DH$399-$T409+1,$N$473:$P$477,3)))+(Input!$G172*AY$415))+Input!AO172,0)</f>
      </c>
      <c r="DI409" s="1806">
        <f>IFERROR(IF(OR($T409&gt;DI$399,DI$399&gt;$U409),0,(Input!$H172*((1+Input!$K172)^VLOOKUP(DI$399-$T409+1,$N$473:$P$477,3)))+(Input!$G172*AZ$415))+Input!AP172,0)</f>
      </c>
      <c r="DJ409" s="1806">
        <f>IFERROR(IF(OR($T409&gt;DJ$399,DJ$399&gt;$U409),0,(Input!$H172*((1+Input!$K172)^VLOOKUP(DJ$399-$T409+1,$N$473:$P$477,3)))+(Input!$G172*BA$415))+Input!AQ172,0)</f>
      </c>
      <c r="DK409" s="1806">
        <f>IFERROR(IF(OR($T409&gt;DK$399,DK$399&gt;$U409),0,(Input!$H172*((1+Input!$K172)^VLOOKUP(DK$399-$T409+1,$N$473:$P$477,3)))+(Input!$G172*BB$415))+Input!AR172,0)</f>
      </c>
      <c r="DL409" s="1806">
        <f>IFERROR(IF(OR($T409&gt;DL$399,DL$399&gt;$U409),0,(Input!$H172*((1+Input!$K172)^VLOOKUP(DL$399-$T409+1,$N$473:$P$477,3)))+(Input!$G172*BC$415))+Input!AS172,0)</f>
      </c>
      <c r="DM409" s="1806">
        <f>IFERROR(IF(OR($T409&gt;DM$399,DM$399&gt;$U409),0,(Input!$H172*((1+Input!$K172)^VLOOKUP(DM$399-$T409+1,$N$473:$P$477,3)))+(Input!$G172*BD$415))+Input!AT172,0)</f>
      </c>
      <c r="DN409" s="1806">
        <f>IFERROR(IF(OR($T409&gt;DN$399,DN$399&gt;$U409),0,(Input!$H172*((1+Input!$K172)^VLOOKUP(DN$399-$T409+1,$N$473:$P$477,3)))+(Input!$G172*BE$415))+Input!AU172,0)</f>
      </c>
      <c r="DO409" s="1806">
        <f>IFERROR(IF(OR($T409&gt;DO$399,DO$399&gt;$U409),0,(Input!$H172*((1+Input!$K172)^VLOOKUP(DO$399-$T409+1,$N$473:$P$477,3)))+(Input!$G172*BF$415))+Input!AV172,0)</f>
      </c>
      <c r="DP409" s="1806">
        <f>IF(Years="Five",IFERROR(IF(OR($T409&gt;DP$399,DP$399&gt;$U409),0,(Input!$H172*((1+Input!$K172)^VLOOKUP(DP$399-$T409+1,$N$473:$P$477,3)))+(Input!$G172*BG$415))+Input!AW172,0),0)</f>
      </c>
      <c r="DQ409" s="1806">
        <f>IF(Years="Five",IFERROR(IF(OR($T409&gt;DQ$399,DQ$399&gt;$U409),0,(Input!$H172*((1+Input!$K172)^VLOOKUP(DQ$399-$T409+1,$N$473:$P$477,3)))+(Input!$G172*BH$415))+Input!AX172,0),0)</f>
      </c>
      <c r="DR409" s="1807">
        <f>IF(Years="Five",IFERROR(IF(OR($T409&gt;DR$399,DR$399&gt;$U409),0,(Input!$H172*((1+Input!$K172)^VLOOKUP(DR$399-$T409+1,$N$473:$P$477,3)))+(Input!$G172*BI$415))+Input!AY172,0),0)</f>
      </c>
      <c r="DS409" s="1807">
        <f>IF(Years="Five",IFERROR(IF(OR($T409&gt;DS$399,DS$399&gt;$U409),0,(Input!$H172*((1+Input!$K172)^VLOOKUP(DS$399-$T409+1,$N$473:$P$477,3)))+(Input!$G172*BJ$415))+Input!AZ172,0),0)</f>
      </c>
      <c r="DT409" s="1807">
        <f>IF(Years="Five",IFERROR(IF(OR($T409&gt;DT$399,DT$399&gt;$U409),0,(Input!$H172*((1+Input!$K172)^VLOOKUP(DT$399-$T409+1,$N$473:$P$477,3)))+(Input!$G172*BK$415))+Input!BA172,0),0)</f>
      </c>
      <c r="DU409" s="1807">
        <f>IF(Years="Five",IFERROR(IF(OR($T409&gt;DU$399,DU$399&gt;$U409),0,(Input!$H172*((1+Input!$K172)^VLOOKUP(DU$399-$T409+1,$N$473:$P$477,3)))+(Input!$G172*BL$415))+Input!BB172,0),0)</f>
      </c>
      <c r="DV409" s="1807">
        <f>IF(Years="Five",IFERROR(IF(OR($T409&gt;DV$399,DV$399&gt;$U409),0,(Input!$H172*((1+Input!$K172)^VLOOKUP(DV$399-$T409+1,$N$473:$P$477,3)))+(Input!$G172*BM$415))+Input!BC172,0),0)</f>
      </c>
      <c r="DW409" s="1807">
        <f>IF(Years="Five",IFERROR(IF(OR($T409&gt;DW$399,DW$399&gt;$U409),0,(Input!$H172*((1+Input!$K172)^VLOOKUP(DW$399-$T409+1,$N$473:$P$477,3)))+(Input!$G172*BN$415))+Input!BD172,0),0)</f>
      </c>
      <c r="DX409" s="1807">
        <f>IF(Years="Five",IFERROR(IF(OR($T409&gt;DX$399,DX$399&gt;$U409),0,(Input!$H172*((1+Input!$K172)^VLOOKUP(DX$399-$T409+1,$N$473:$P$477,3)))+(Input!$G172*BO$415))+Input!BE172,0),0)</f>
      </c>
      <c r="DY409" s="1807">
        <f>IF(Years="Five",IFERROR(IF(OR($T409&gt;DY$399,DY$399&gt;$U409),0,(Input!$H172*((1+Input!$K172)^VLOOKUP(DY$399-$T409+1,$N$473:$P$477,3)))+(Input!$G172*BP$415))+Input!BF172,0),0)</f>
      </c>
      <c r="DZ409" s="1807">
        <f>IF(Years="Five",IFERROR(IF(OR($T409&gt;DZ$399,DZ$399&gt;$U409),0,(Input!$H172*((1+Input!$K172)^VLOOKUP(DZ$399-$T409+1,$N$473:$P$477,3)))+(Input!$G172*BQ$415))+Input!BG172,0),0)</f>
      </c>
      <c r="EA409" s="1807">
        <f>IF(Years="Five",IFERROR(IF(OR($T409&gt;EA$399,EA$399&gt;$U409),0,(Input!$H172*((1+Input!$K172)^VLOOKUP(EA$399-$T409+1,$N$473:$P$477,3)))+(Input!$G172*BR$415))+Input!BH172,0),0)</f>
      </c>
      <c r="EB409" s="1807">
        <f>IF(Years="Five",IFERROR(IF(OR($T409&gt;EB$399,EB$399&gt;$U409),0,(Input!$H172*((1+Input!$K172)^VLOOKUP(EB$399-$T409+1,$N$473:$P$477,3)))+(Input!$G172*BS$415))+Input!BI172,0),0)</f>
      </c>
      <c r="EC409" s="1807">
        <f>IF(Years="Five",IFERROR(IF(OR($T409&gt;EC$399,EC$399&gt;$U409),0,(Input!$H172*((1+Input!$K172)^VLOOKUP(EC$399-$T409+1,$N$473:$P$477,3)))+(Input!$G172*BT$415))+Input!BJ172,0),0)</f>
      </c>
      <c r="ED409" s="1807">
        <f>IF(Years="Five",IFERROR(IF(OR($T409&gt;ED$399,ED$399&gt;$U409),0,(Input!$H172*((1+Input!$K172)^VLOOKUP(ED$399-$T409+1,$N$473:$P$477,3)))+(Input!$G172*BU$415))+Input!BK172,0),0)</f>
      </c>
      <c r="EE409" s="1807">
        <f>IF(Years="Five",IFERROR(IF(OR($T409&gt;EE$399,EE$399&gt;$U409),0,(Input!$H172*((1+Input!$K172)^VLOOKUP(EE$399-$T409+1,$N$473:$P$477,3)))+(Input!$G172*BV$415))+Input!BL172,0),0)</f>
      </c>
      <c r="EF409" s="1807">
        <f>IF(Years="Five",IFERROR(IF(OR($T409&gt;EF$399,EF$399&gt;$U409),0,(Input!$H172*((1+Input!$K172)^VLOOKUP(EF$399-$T409+1,$N$473:$P$477,3)))+(Input!$G172*BW$415))+Input!BM172,0),0)</f>
      </c>
      <c r="EG409" s="1807">
        <f>IF(Years="Five",IFERROR(IF(OR($T409&gt;EG$399,EG$399&gt;$U409),0,(Input!$H172*((1+Input!$K172)^VLOOKUP(EG$399-$T409+1,$N$473:$P$477,3)))+(Input!$G172*BX$415))+Input!BN172,0),0)</f>
      </c>
      <c r="EH409" s="1807">
        <f>IF(Years="Five",IFERROR(IF(OR($T409&gt;EH$399,EH$399&gt;$U409),0,(Input!$H172*((1+Input!$K172)^VLOOKUP(EH$399-$T409+1,$N$473:$P$477,3)))+(Input!$G172*BY$415))+Input!BO172,0),0)</f>
      </c>
      <c r="EI409" s="1807">
        <f>IF(Years="Five",IFERROR(IF(OR($T409&gt;EI$399,EI$399&gt;$U409),0,(Input!$H172*((1+Input!$K172)^VLOOKUP(EI$399-$T409+1,$N$473:$P$477,3)))+(Input!$G172*BZ$415))+Input!BP172,0),0)</f>
      </c>
      <c r="EJ409" s="1807">
        <f>IF(Years="Five",IFERROR(IF(OR($T409&gt;EJ$399,EJ$399&gt;$U409),0,(Input!$H172*((1+Input!$K172)^VLOOKUP(EJ$399-$T409+1,$N$473:$P$477,3)))+(Input!$G172*CA$415))+Input!BQ172,0),0)</f>
      </c>
      <c r="EK409" s="1807">
        <f>IF(Years="Five",IFERROR(IF(OR($T409&gt;EK$399,EK$399&gt;$U409),0,(Input!$H172*((1+Input!$K172)^VLOOKUP(EK$399-$T409+1,$N$473:$P$477,3)))+(Input!$G172*CB$415))+Input!BR172,0),0)</f>
      </c>
      <c r="EL409" s="1807">
        <f>IF(Years="Five",IFERROR(IF(OR($T409&gt;EL$399,EL$399&gt;$U409),0,(Input!$H172*((1+Input!$K172)^VLOOKUP(EL$399-$T409+1,$N$473:$P$477,3)))+(Input!$G172*CC$415))+Input!BS172,0),0)</f>
      </c>
      <c r="EM409" s="1807">
        <f>IF(Years="Five",IFERROR(IF(OR($T409&gt;EM$399,EM$399&gt;$U409),0,(Input!$H172*((1+Input!$K172)^VLOOKUP(EM$399-$T409+1,$N$473:$P$477,3)))+(Input!$G172*CD$415))+Input!BT172,0),0)</f>
      </c>
      <c r="EN409" s="1300"/>
      <c r="EO409" s="1300"/>
      <c r="EP409" s="1300"/>
      <c r="EQ409" s="1300"/>
      <c r="ER409" s="1300"/>
      <c r="ES409" s="1300"/>
      <c r="ET409" s="1300"/>
      <c r="EU409" s="1300"/>
      <c r="EV409" s="1300"/>
      <c r="EW409" s="1300"/>
      <c r="EX409" s="1300"/>
    </row>
    <row r="410" spans="11:154" ht="12" customHeight="1" x14ac:dyDescent="0.35">
      <c r="K410" s="102">
        <v>7</v>
      </c>
      <c r="L410" s="121">
        <f>Input!D173</f>
        <v>0</v>
      </c>
      <c r="M410" s="122">
        <f>IF(Input!$F$166&gt;=$K410,Input!H173,0)</f>
        <v>0</v>
      </c>
      <c r="N410" s="196">
        <f>Input!I173</f>
        <v>0</v>
      </c>
      <c r="O410" s="196">
        <f>Input!J173</f>
        <v>0</v>
      </c>
      <c r="P410" s="125">
        <f>Input!K173</f>
        <v>0</v>
      </c>
      <c r="Q410" s="123">
        <f>Input!G173</f>
        <v>0</v>
      </c>
      <c r="R410" s="1610"/>
      <c r="S410" s="102"/>
      <c r="T410" s="1302">
        <f>IFERROR(VLOOKUP(N410,Infrastructure!$D$70:$F$129,3,FALSE),0)</f>
        <v>1</v>
      </c>
      <c r="U410" s="1302">
        <f>IFERROR(VLOOKUP(O410,Infrastructure!$D$70:$F$129,3,FALSE),0)</f>
        <v>1</v>
      </c>
      <c r="V410" s="102"/>
      <c r="W410" s="124">
        <f>IF(Input!$F$166&gt;=$K410,Input!M173,0)</f>
        <v>0</v>
      </c>
      <c r="X410" s="122">
        <f>IF(Input!$F$166&gt;=$K410,Input!N173,0)</f>
        <v>0</v>
      </c>
      <c r="Y410" s="122">
        <f>IF(Input!$F$166&gt;=$K410,Input!O173,0)</f>
        <v>0</v>
      </c>
      <c r="Z410" s="122">
        <f>IF(Input!$F$166&gt;=$K410,Input!P173,0)</f>
        <v>0</v>
      </c>
      <c r="AA410" s="122">
        <f>IF(Input!$F$166&gt;=$K410,Input!Q173,0)</f>
        <v>0</v>
      </c>
      <c r="AB410" s="122">
        <f>IF(Input!$F$166&gt;=$K410,Input!R173,0)</f>
        <v>0</v>
      </c>
      <c r="AC410" s="122">
        <f>IF(Input!$F$166&gt;=$K410,Input!S173,0)</f>
        <v>0</v>
      </c>
      <c r="AD410" s="122">
        <f>IF(Input!$F$166&gt;=$K410,Input!T173,0)</f>
        <v>0</v>
      </c>
      <c r="AE410" s="122">
        <f>IF(Input!$F$166&gt;=$K410,Input!U173,0)</f>
        <v>0</v>
      </c>
      <c r="AF410" s="1130">
        <f>IF(Input!$F$166&gt;=$K410,Input!V173,0)</f>
        <v>0</v>
      </c>
      <c r="AG410" s="1130">
        <f>IF(Input!$F$166&gt;=$K410,Input!W173,0)</f>
        <v>0</v>
      </c>
      <c r="AH410" s="1130">
        <f>IF(Input!$F$166&gt;=$K410,Input!X173,0)</f>
        <v>0</v>
      </c>
      <c r="AI410" s="1130">
        <f>IF(Input!$F$166&gt;=$K410,Input!Y173,0)</f>
        <v>0</v>
      </c>
      <c r="AJ410" s="1130">
        <f>IF(Input!$F$166&gt;=$K410,Input!Z173,0)</f>
        <v>0</v>
      </c>
      <c r="AK410" s="1130">
        <f>IF(Input!$F$166&gt;=$K410,Input!AA173,0)</f>
        <v>0</v>
      </c>
      <c r="AL410" s="1130">
        <f>IF(Input!$F$166&gt;=$K410,Input!AB173,0)</f>
        <v>0</v>
      </c>
      <c r="AM410" s="1130">
        <f>IF(Input!$F$166&gt;=$K410,Input!AC173,0)</f>
        <v>0</v>
      </c>
      <c r="AN410" s="1130">
        <f>IF(Input!$F$166&gt;=$K410,Input!AD173,0)</f>
        <v>0</v>
      </c>
      <c r="AO410" s="1130">
        <f>IF(Input!$F$166&gt;=$K410,Input!AE173,0)</f>
        <v>0</v>
      </c>
      <c r="AP410" s="1130">
        <f>IF(Input!$F$166&gt;=$K410,Input!AF173,0)</f>
        <v>0</v>
      </c>
      <c r="AQ410" s="1130">
        <f>IF(Input!$F$166&gt;=$K410,Input!AG173,0)</f>
        <v>0</v>
      </c>
      <c r="AR410" s="1130">
        <f>IF(Input!$F$166&gt;=$K410,Input!AH173,0)</f>
        <v>0</v>
      </c>
      <c r="AS410" s="1130">
        <f>IF(Input!$F$166&gt;=$K410,Input!AI173,0)</f>
        <v>0</v>
      </c>
      <c r="AT410" s="1130">
        <f>IF(Input!$F$166&gt;=$K410,Input!AJ173,0)</f>
        <v>0</v>
      </c>
      <c r="AU410" s="1130">
        <f>IF(Input!$F$166&gt;=$K410,Input!AK173,0)</f>
        <v>0</v>
      </c>
      <c r="AV410" s="1130">
        <f>IF(Input!$F$166&gt;=$K410,Input!AL173,0)</f>
        <v>0</v>
      </c>
      <c r="AW410" s="1130">
        <f>IF(Input!$F$166&gt;=$K410,Input!AM173,0)</f>
        <v>0</v>
      </c>
      <c r="AX410" s="1130">
        <f>IF(Input!$F$166&gt;=$K410,Input!AN173,0)</f>
        <v>0</v>
      </c>
      <c r="AY410" s="1130">
        <f>IF(Input!$F$166&gt;=$K410,Input!AO173,0)</f>
        <v>0</v>
      </c>
      <c r="AZ410" s="1130">
        <f>IF(Input!$F$166&gt;=$K410,Input!AP173,0)</f>
        <v>0</v>
      </c>
      <c r="BA410" s="1130">
        <f>IF(Input!$F$166&gt;=$K410,Input!AQ173,0)</f>
        <v>0</v>
      </c>
      <c r="BB410" s="1130">
        <f>IF(Input!$F$166&gt;=$K410,Input!AR173,0)</f>
        <v>0</v>
      </c>
      <c r="BC410" s="1130">
        <f>IF(Input!$F$166&gt;=$K410,Input!AS173,0)</f>
        <v>0</v>
      </c>
      <c r="BD410" s="1130">
        <f>IF(Input!$F$166&gt;=$K410,Input!AT173,0)</f>
        <v>0</v>
      </c>
      <c r="BE410" s="1130">
        <f>IF(Input!$F$166&gt;=$K410,Input!AU173,0)</f>
        <v>0</v>
      </c>
      <c r="BF410" s="1130">
        <f>IF(Input!$F$166&gt;=$K410,Input!AV173,0)</f>
        <v>0</v>
      </c>
      <c r="BG410" s="1130">
        <f>IF(Input!$F$166&gt;=$K410,Input!AW173,0)</f>
        <v>0</v>
      </c>
      <c r="BH410" s="1130">
        <f>IF(Input!$F$166&gt;=$K410,Input!AX173,0)</f>
        <v>0</v>
      </c>
      <c r="BI410" s="1130">
        <f>IF(Input!$F$166&gt;=$K410,Input!AY173,0)</f>
        <v>0</v>
      </c>
      <c r="BJ410" s="1130">
        <f>IF(Input!$F$166&gt;=$K410,Input!AZ173,0)</f>
        <v>0</v>
      </c>
      <c r="BK410" s="1130">
        <f>IF(Input!$F$166&gt;=$K410,Input!BA173,0)</f>
        <v>0</v>
      </c>
      <c r="BL410" s="1130">
        <f>IF(Input!$F$166&gt;=$K410,Input!BB173,0)</f>
        <v>0</v>
      </c>
      <c r="BM410" s="1130">
        <f>IF(Input!$F$166&gt;=$K410,Input!BC173,0)</f>
        <v>0</v>
      </c>
      <c r="BN410" s="1130">
        <f>IF(Input!$F$166&gt;=$K410,Input!BD173,0)</f>
        <v>0</v>
      </c>
      <c r="BO410" s="1130">
        <f>IF(Input!$F$166&gt;=$K410,Input!BE173,0)</f>
        <v>0</v>
      </c>
      <c r="BP410" s="1130">
        <f>IF(Input!$F$166&gt;=$K410,Input!BF173,0)</f>
        <v>0</v>
      </c>
      <c r="BQ410" s="1130">
        <f>IF(Input!$F$166&gt;=$K410,Input!BG173,0)</f>
        <v>0</v>
      </c>
      <c r="BR410" s="1130">
        <f>IF(Input!$F$166&gt;=$K410,Input!BH173,0)</f>
        <v>0</v>
      </c>
      <c r="BS410" s="1130">
        <f>IF(Input!$F$166&gt;=$K410,Input!BI173,0)</f>
        <v>0</v>
      </c>
      <c r="BT410" s="1130">
        <f>IF(Input!$F$166&gt;=$K410,Input!BJ173,0)</f>
        <v>0</v>
      </c>
      <c r="BU410" s="1130">
        <f>IF(Input!$F$166&gt;=$K410,Input!BK173,0)</f>
        <v>0</v>
      </c>
      <c r="BV410" s="1130">
        <f>IF(Input!$F$166&gt;=$K410,Input!BL173,0)</f>
        <v>0</v>
      </c>
      <c r="BW410" s="1130">
        <f>IF(Input!$F$166&gt;=$K410,Input!BM173,0)</f>
        <v>0</v>
      </c>
      <c r="BX410" s="1130">
        <f>IF(Input!$F$166&gt;=$K410,Input!BN173,0)</f>
        <v>0</v>
      </c>
      <c r="BY410" s="1130">
        <f>IF(Input!$F$166&gt;=$K410,Input!BO173,0)</f>
        <v>0</v>
      </c>
      <c r="BZ410" s="1130">
        <f>IF(Input!$F$166&gt;=$K410,Input!BP173,0)</f>
        <v>0</v>
      </c>
      <c r="CA410" s="1130">
        <f>IF(Input!$F$166&gt;=$K410,Input!BQ173,0)</f>
        <v>0</v>
      </c>
      <c r="CB410" s="1130">
        <f>IF(Input!$F$166&gt;=$K410,Input!BR173,0)</f>
        <v>0</v>
      </c>
      <c r="CC410" s="1130">
        <f>IF(Input!$F$166&gt;=$K410,Input!BS173,0)</f>
        <v>0</v>
      </c>
      <c r="CD410" s="1131">
        <f>IF(Input!$F$166&gt;=$K410,Input!BT173,0)</f>
        <v>0</v>
      </c>
      <c r="CE410" s="1805" t="str">
        <f>IF(Input!D173&lt;&gt;"",Input!D173,"")</f>
        <v/>
      </c>
      <c r="CF410" s="1806">
        <f>IFERROR(IF(OR($T410&gt;CF$399,CF$399&gt;$U410),0,(Input!$H173*((1+Input!$K173)^VLOOKUP(CF$399-$T410+1,$N$473:$P$477,3)))+(Input!$G173*W$415))+Input!M173,0)</f>
      </c>
      <c r="CG410" s="1806">
        <f>IFERROR(IF(OR($T410&gt;CG$399,CG$399&gt;$U410),0,(Input!$H173*((1+Input!$K173)^VLOOKUP(CG$399-$T410+1,$N$473:$P$477,3)))+(Input!$G173*X$415))+Input!N173,0)</f>
      </c>
      <c r="CH410" s="1806">
        <f>IFERROR(IF(OR($T410&gt;CH$399,CH$399&gt;$U410),0,(Input!$H173*((1+Input!$K173)^VLOOKUP(CH$399-$T410+1,$N$473:$P$477,3)))+(Input!$G173*Y$415))+Input!O173,0)</f>
      </c>
      <c r="CI410" s="1806">
        <f>IFERROR(IF(OR($T410&gt;CI$399,CI$399&gt;$U410),0,(Input!$H173*((1+Input!$K173)^VLOOKUP(CI$399-$T410+1,$N$473:$P$477,3)))+(Input!$G173*Z$415))+Input!P173,0)</f>
      </c>
      <c r="CJ410" s="1806">
        <f>IFERROR(IF(OR($T410&gt;CJ$399,CJ$399&gt;$U410),0,(Input!$H173*((1+Input!$K173)^VLOOKUP(CJ$399-$T410+1,$N$473:$P$477,3)))+(Input!$G173*AA$415))+Input!Q173,0)</f>
      </c>
      <c r="CK410" s="1806">
        <f>IFERROR(IF(OR($T410&gt;CK$399,CK$399&gt;$U410),0,(Input!$H173*((1+Input!$K173)^VLOOKUP(CK$399-$T410+1,$N$473:$P$477,3)))+(Input!$G173*AB$415))+Input!R173,0)</f>
      </c>
      <c r="CL410" s="1806">
        <f>IFERROR(IF(OR($T410&gt;CL$399,CL$399&gt;$U410),0,(Input!$H173*((1+Input!$K173)^VLOOKUP(CL$399-$T410+1,$N$473:$P$477,3)))+(Input!$G173*AC$415))+Input!S173,0)</f>
      </c>
      <c r="CM410" s="1806">
        <f>IFERROR(IF(OR($T410&gt;CM$399,CM$399&gt;$U410),0,(Input!$H173*((1+Input!$K173)^VLOOKUP(CM$399-$T410+1,$N$473:$P$477,3)))+(Input!$G173*AD$415))+Input!T173,0)</f>
      </c>
      <c r="CN410" s="1806">
        <f>IFERROR(IF(OR($T410&gt;CN$399,CN$399&gt;$U410),0,(Input!$H173*((1+Input!$K173)^VLOOKUP(CN$399-$T410+1,$N$473:$P$477,3)))+(Input!$G173*AE$415))+Input!U173,0)</f>
      </c>
      <c r="CO410" s="1806">
        <f>IFERROR(IF(OR($T410&gt;CO$399,CO$399&gt;$U410),0,(Input!$H173*((1+Input!$K173)^VLOOKUP(CO$399-$T410+1,$N$473:$P$477,3)))+(Input!$G173*AF$415))+Input!V173,0)</f>
      </c>
      <c r="CP410" s="1806">
        <f>IFERROR(IF(OR($T410&gt;CP$399,CP$399&gt;$U410),0,(Input!$H173*((1+Input!$K173)^VLOOKUP(CP$399-$T410+1,$N$473:$P$477,3)))+(Input!$G173*AG$415))+Input!W173,0)</f>
      </c>
      <c r="CQ410" s="1806">
        <f>IFERROR(IF(OR($T410&gt;CQ$399,CQ$399&gt;$U410),0,(Input!$H173*((1+Input!$K173)^VLOOKUP(CQ$399-$T410+1,$N$473:$P$477,3)))+(Input!$G173*AH$415))+Input!X173,0)</f>
      </c>
      <c r="CR410" s="1806">
        <f>IFERROR(IF(OR($T410&gt;CR$399,CR$399&gt;$U410),0,(Input!$H173*((1+Input!$K173)^VLOOKUP(CR$399-$T410+1,$N$473:$P$477,3)))+(Input!$G173*AI$415))+Input!Y173,0)</f>
      </c>
      <c r="CS410" s="1806">
        <f>IFERROR(IF(OR($T410&gt;CS$399,CS$399&gt;$U410),0,(Input!$H173*((1+Input!$K173)^VLOOKUP(CS$399-$T410+1,$N$473:$P$477,3)))+(Input!$G173*AJ$415))+Input!Z173,0)</f>
      </c>
      <c r="CT410" s="1806">
        <f>IFERROR(IF(OR($T410&gt;CT$399,CT$399&gt;$U410),0,(Input!$H173*((1+Input!$K173)^VLOOKUP(CT$399-$T410+1,$N$473:$P$477,3)))+(Input!$G173*AK$415))+Input!AA173,0)</f>
      </c>
      <c r="CU410" s="1806">
        <f>IFERROR(IF(OR($T410&gt;CU$399,CU$399&gt;$U410),0,(Input!$H173*((1+Input!$K173)^VLOOKUP(CU$399-$T410+1,$N$473:$P$477,3)))+(Input!$G173*AL$415))+Input!AB173,0)</f>
      </c>
      <c r="CV410" s="1806">
        <f>IFERROR(IF(OR($T410&gt;CV$399,CV$399&gt;$U410),0,(Input!$H173*((1+Input!$K173)^VLOOKUP(CV$399-$T410+1,$N$473:$P$477,3)))+(Input!$G173*AM$415))+Input!AC173,0)</f>
      </c>
      <c r="CW410" s="1806">
        <f>IFERROR(IF(OR($T410&gt;CW$399,CW$399&gt;$U410),0,(Input!$H173*((1+Input!$K173)^VLOOKUP(CW$399-$T410+1,$N$473:$P$477,3)))+(Input!$G173*AN$415))+Input!AD173,0)</f>
      </c>
      <c r="CX410" s="1806">
        <f>IFERROR(IF(OR($T410&gt;CX$399,CX$399&gt;$U410),0,(Input!$H173*((1+Input!$K173)^VLOOKUP(CX$399-$T410+1,$N$473:$P$477,3)))+(Input!$G173*AO$415))+Input!AE173,0)</f>
      </c>
      <c r="CY410" s="1806">
        <f>IFERROR(IF(OR($T410&gt;CY$399,CY$399&gt;$U410),0,(Input!$H173*((1+Input!$K173)^VLOOKUP(CY$399-$T410+1,$N$473:$P$477,3)))+(Input!$G173*AP$415))+Input!AF173,0)</f>
      </c>
      <c r="CZ410" s="1806">
        <f>IFERROR(IF(OR($T410&gt;CZ$399,CZ$399&gt;$U410),0,(Input!$H173*((1+Input!$K173)^VLOOKUP(CZ$399-$T410+1,$N$473:$P$477,3)))+(Input!$G173*AQ$415))+Input!AG173,0)</f>
      </c>
      <c r="DA410" s="1806">
        <f>IFERROR(IF(OR($T410&gt;DA$399,DA$399&gt;$U410),0,(Input!$H173*((1+Input!$K173)^VLOOKUP(DA$399-$T410+1,$N$473:$P$477,3)))+(Input!$G173*AR$415))+Input!AH173,0)</f>
      </c>
      <c r="DB410" s="1806">
        <f>IFERROR(IF(OR($T410&gt;DB$399,DB$399&gt;$U410),0,(Input!$H173*((1+Input!$K173)^VLOOKUP(DB$399-$T410+1,$N$473:$P$477,3)))+(Input!$G173*AS$415))+Input!AI173,0)</f>
      </c>
      <c r="DC410" s="1806">
        <f>IFERROR(IF(OR($T410&gt;DC$399,DC$399&gt;$U410),0,(Input!$H173*((1+Input!$K173)^VLOOKUP(DC$399-$T410+1,$N$473:$P$477,3)))+(Input!$G173*AT$415))+Input!AJ173,0)</f>
      </c>
      <c r="DD410" s="1806">
        <f>IFERROR(IF(OR($T410&gt;DD$399,DD$399&gt;$U410),0,(Input!$H173*((1+Input!$K173)^VLOOKUP(DD$399-$T410+1,$N$473:$P$477,3)))+(Input!$G173*AU$415))+Input!AK173,0)</f>
      </c>
      <c r="DE410" s="1806">
        <f>IFERROR(IF(OR($T410&gt;DE$399,DE$399&gt;$U410),0,(Input!$H173*((1+Input!$K173)^VLOOKUP(DE$399-$T410+1,$N$473:$P$477,3)))+(Input!$G173*AV$415))+Input!AL173,0)</f>
      </c>
      <c r="DF410" s="1806">
        <f>IFERROR(IF(OR($T410&gt;DF$399,DF$399&gt;$U410),0,(Input!$H173*((1+Input!$K173)^VLOOKUP(DF$399-$T410+1,$N$473:$P$477,3)))+(Input!$G173*AW$415))+Input!AM173,0)</f>
      </c>
      <c r="DG410" s="1806">
        <f>IFERROR(IF(OR($T410&gt;DG$399,DG$399&gt;$U410),0,(Input!$H173*((1+Input!$K173)^VLOOKUP(DG$399-$T410+1,$N$473:$P$477,3)))+(Input!$G173*AX$415))+Input!AN173,0)</f>
      </c>
      <c r="DH410" s="1806">
        <f>IFERROR(IF(OR($T410&gt;DH$399,DH$399&gt;$U410),0,(Input!$H173*((1+Input!$K173)^VLOOKUP(DH$399-$T410+1,$N$473:$P$477,3)))+(Input!$G173*AY$415))+Input!AO173,0)</f>
      </c>
      <c r="DI410" s="1806">
        <f>IFERROR(IF(OR($T410&gt;DI$399,DI$399&gt;$U410),0,(Input!$H173*((1+Input!$K173)^VLOOKUP(DI$399-$T410+1,$N$473:$P$477,3)))+(Input!$G173*AZ$415))+Input!AP173,0)</f>
      </c>
      <c r="DJ410" s="1806">
        <f>IFERROR(IF(OR($T410&gt;DJ$399,DJ$399&gt;$U410),0,(Input!$H173*((1+Input!$K173)^VLOOKUP(DJ$399-$T410+1,$N$473:$P$477,3)))+(Input!$G173*BA$415))+Input!AQ173,0)</f>
      </c>
      <c r="DK410" s="1806">
        <f>IFERROR(IF(OR($T410&gt;DK$399,DK$399&gt;$U410),0,(Input!$H173*((1+Input!$K173)^VLOOKUP(DK$399-$T410+1,$N$473:$P$477,3)))+(Input!$G173*BB$415))+Input!AR173,0)</f>
      </c>
      <c r="DL410" s="1806">
        <f>IFERROR(IF(OR($T410&gt;DL$399,DL$399&gt;$U410),0,(Input!$H173*((1+Input!$K173)^VLOOKUP(DL$399-$T410+1,$N$473:$P$477,3)))+(Input!$G173*BC$415))+Input!AS173,0)</f>
      </c>
      <c r="DM410" s="1806">
        <f>IFERROR(IF(OR($T410&gt;DM$399,DM$399&gt;$U410),0,(Input!$H173*((1+Input!$K173)^VLOOKUP(DM$399-$T410+1,$N$473:$P$477,3)))+(Input!$G173*BD$415))+Input!AT173,0)</f>
      </c>
      <c r="DN410" s="1806">
        <f>IFERROR(IF(OR($T410&gt;DN$399,DN$399&gt;$U410),0,(Input!$H173*((1+Input!$K173)^VLOOKUP(DN$399-$T410+1,$N$473:$P$477,3)))+(Input!$G173*BE$415))+Input!AU173,0)</f>
      </c>
      <c r="DO410" s="1806">
        <f>IFERROR(IF(OR($T410&gt;DO$399,DO$399&gt;$U410),0,(Input!$H173*((1+Input!$K173)^VLOOKUP(DO$399-$T410+1,$N$473:$P$477,3)))+(Input!$G173*BF$415))+Input!AV173,0)</f>
      </c>
      <c r="DP410" s="1806">
        <f>IF(Years="Five",IFERROR(IF(OR($T410&gt;DP$399,DP$399&gt;$U410),0,(Input!$H173*((1+Input!$K173)^VLOOKUP(DP$399-$T410+1,$N$473:$P$477,3)))+(Input!$G173*BG$415))+Input!AW173,0),0)</f>
      </c>
      <c r="DQ410" s="1806">
        <f>IF(Years="Five",IFERROR(IF(OR($T410&gt;DQ$399,DQ$399&gt;$U410),0,(Input!$H173*((1+Input!$K173)^VLOOKUP(DQ$399-$T410+1,$N$473:$P$477,3)))+(Input!$G173*BH$415))+Input!AX173,0),0)</f>
      </c>
      <c r="DR410" s="1807">
        <f>IF(Years="Five",IFERROR(IF(OR($T410&gt;DR$399,DR$399&gt;$U410),0,(Input!$H173*((1+Input!$K173)^VLOOKUP(DR$399-$T410+1,$N$473:$P$477,3)))+(Input!$G173*BI$415))+Input!AY173,0),0)</f>
      </c>
      <c r="DS410" s="1807">
        <f>IF(Years="Five",IFERROR(IF(OR($T410&gt;DS$399,DS$399&gt;$U410),0,(Input!$H173*((1+Input!$K173)^VLOOKUP(DS$399-$T410+1,$N$473:$P$477,3)))+(Input!$G173*BJ$415))+Input!AZ173,0),0)</f>
      </c>
      <c r="DT410" s="1807">
        <f>IF(Years="Five",IFERROR(IF(OR($T410&gt;DT$399,DT$399&gt;$U410),0,(Input!$H173*((1+Input!$K173)^VLOOKUP(DT$399-$T410+1,$N$473:$P$477,3)))+(Input!$G173*BK$415))+Input!BA173,0),0)</f>
      </c>
      <c r="DU410" s="1807">
        <f>IF(Years="Five",IFERROR(IF(OR($T410&gt;DU$399,DU$399&gt;$U410),0,(Input!$H173*((1+Input!$K173)^VLOOKUP(DU$399-$T410+1,$N$473:$P$477,3)))+(Input!$G173*BL$415))+Input!BB173,0),0)</f>
      </c>
      <c r="DV410" s="1807">
        <f>IF(Years="Five",IFERROR(IF(OR($T410&gt;DV$399,DV$399&gt;$U410),0,(Input!$H173*((1+Input!$K173)^VLOOKUP(DV$399-$T410+1,$N$473:$P$477,3)))+(Input!$G173*BM$415))+Input!BC173,0),0)</f>
      </c>
      <c r="DW410" s="1807">
        <f>IF(Years="Five",IFERROR(IF(OR($T410&gt;DW$399,DW$399&gt;$U410),0,(Input!$H173*((1+Input!$K173)^VLOOKUP(DW$399-$T410+1,$N$473:$P$477,3)))+(Input!$G173*BN$415))+Input!BD173,0),0)</f>
      </c>
      <c r="DX410" s="1807">
        <f>IF(Years="Five",IFERROR(IF(OR($T410&gt;DX$399,DX$399&gt;$U410),0,(Input!$H173*((1+Input!$K173)^VLOOKUP(DX$399-$T410+1,$N$473:$P$477,3)))+(Input!$G173*BO$415))+Input!BE173,0),0)</f>
      </c>
      <c r="DY410" s="1807">
        <f>IF(Years="Five",IFERROR(IF(OR($T410&gt;DY$399,DY$399&gt;$U410),0,(Input!$H173*((1+Input!$K173)^VLOOKUP(DY$399-$T410+1,$N$473:$P$477,3)))+(Input!$G173*BP$415))+Input!BF173,0),0)</f>
      </c>
      <c r="DZ410" s="1807">
        <f>IF(Years="Five",IFERROR(IF(OR($T410&gt;DZ$399,DZ$399&gt;$U410),0,(Input!$H173*((1+Input!$K173)^VLOOKUP(DZ$399-$T410+1,$N$473:$P$477,3)))+(Input!$G173*BQ$415))+Input!BG173,0),0)</f>
      </c>
      <c r="EA410" s="1807">
        <f>IF(Years="Five",IFERROR(IF(OR($T410&gt;EA$399,EA$399&gt;$U410),0,(Input!$H173*((1+Input!$K173)^VLOOKUP(EA$399-$T410+1,$N$473:$P$477,3)))+(Input!$G173*BR$415))+Input!BH173,0),0)</f>
      </c>
      <c r="EB410" s="1807">
        <f>IF(Years="Five",IFERROR(IF(OR($T410&gt;EB$399,EB$399&gt;$U410),0,(Input!$H173*((1+Input!$K173)^VLOOKUP(EB$399-$T410+1,$N$473:$P$477,3)))+(Input!$G173*BS$415))+Input!BI173,0),0)</f>
      </c>
      <c r="EC410" s="1807">
        <f>IF(Years="Five",IFERROR(IF(OR($T410&gt;EC$399,EC$399&gt;$U410),0,(Input!$H173*((1+Input!$K173)^VLOOKUP(EC$399-$T410+1,$N$473:$P$477,3)))+(Input!$G173*BT$415))+Input!BJ173,0),0)</f>
      </c>
      <c r="ED410" s="1807">
        <f>IF(Years="Five",IFERROR(IF(OR($T410&gt;ED$399,ED$399&gt;$U410),0,(Input!$H173*((1+Input!$K173)^VLOOKUP(ED$399-$T410+1,$N$473:$P$477,3)))+(Input!$G173*BU$415))+Input!BK173,0),0)</f>
      </c>
      <c r="EE410" s="1807">
        <f>IF(Years="Five",IFERROR(IF(OR($T410&gt;EE$399,EE$399&gt;$U410),0,(Input!$H173*((1+Input!$K173)^VLOOKUP(EE$399-$T410+1,$N$473:$P$477,3)))+(Input!$G173*BV$415))+Input!BL173,0),0)</f>
      </c>
      <c r="EF410" s="1807">
        <f>IF(Years="Five",IFERROR(IF(OR($T410&gt;EF$399,EF$399&gt;$U410),0,(Input!$H173*((1+Input!$K173)^VLOOKUP(EF$399-$T410+1,$N$473:$P$477,3)))+(Input!$G173*BW$415))+Input!BM173,0),0)</f>
      </c>
      <c r="EG410" s="1807">
        <f>IF(Years="Five",IFERROR(IF(OR($T410&gt;EG$399,EG$399&gt;$U410),0,(Input!$H173*((1+Input!$K173)^VLOOKUP(EG$399-$T410+1,$N$473:$P$477,3)))+(Input!$G173*BX$415))+Input!BN173,0),0)</f>
      </c>
      <c r="EH410" s="1807">
        <f>IF(Years="Five",IFERROR(IF(OR($T410&gt;EH$399,EH$399&gt;$U410),0,(Input!$H173*((1+Input!$K173)^VLOOKUP(EH$399-$T410+1,$N$473:$P$477,3)))+(Input!$G173*BY$415))+Input!BO173,0),0)</f>
      </c>
      <c r="EI410" s="1807">
        <f>IF(Years="Five",IFERROR(IF(OR($T410&gt;EI$399,EI$399&gt;$U410),0,(Input!$H173*((1+Input!$K173)^VLOOKUP(EI$399-$T410+1,$N$473:$P$477,3)))+(Input!$G173*BZ$415))+Input!BP173,0),0)</f>
      </c>
      <c r="EJ410" s="1807">
        <f>IF(Years="Five",IFERROR(IF(OR($T410&gt;EJ$399,EJ$399&gt;$U410),0,(Input!$H173*((1+Input!$K173)^VLOOKUP(EJ$399-$T410+1,$N$473:$P$477,3)))+(Input!$G173*CA$415))+Input!BQ173,0),0)</f>
      </c>
      <c r="EK410" s="1807">
        <f>IF(Years="Five",IFERROR(IF(OR($T410&gt;EK$399,EK$399&gt;$U410),0,(Input!$H173*((1+Input!$K173)^VLOOKUP(EK$399-$T410+1,$N$473:$P$477,3)))+(Input!$G173*CB$415))+Input!BR173,0),0)</f>
      </c>
      <c r="EL410" s="1807">
        <f>IF(Years="Five",IFERROR(IF(OR($T410&gt;EL$399,EL$399&gt;$U410),0,(Input!$H173*((1+Input!$K173)^VLOOKUP(EL$399-$T410+1,$N$473:$P$477,3)))+(Input!$G173*CC$415))+Input!BS173,0),0)</f>
      </c>
      <c r="EM410" s="1807">
        <f>IF(Years="Five",IFERROR(IF(OR($T410&gt;EM$399,EM$399&gt;$U410),0,(Input!$H173*((1+Input!$K173)^VLOOKUP(EM$399-$T410+1,$N$473:$P$477,3)))+(Input!$G173*CD$415))+Input!BT173,0),0)</f>
      </c>
      <c r="EN410" s="1300"/>
      <c r="EO410" s="1300"/>
      <c r="EP410" s="1300"/>
      <c r="EQ410" s="1300"/>
      <c r="ER410" s="1300"/>
      <c r="ES410" s="1300"/>
      <c r="ET410" s="1300"/>
      <c r="EU410" s="1300"/>
      <c r="EV410" s="1300"/>
      <c r="EW410" s="1300"/>
      <c r="EX410" s="1300"/>
    </row>
    <row r="411" spans="11:154" ht="12" customHeight="1" x14ac:dyDescent="0.35">
      <c r="K411" s="102">
        <v>8</v>
      </c>
      <c r="L411" s="121">
        <f>Input!D174</f>
        <v>0</v>
      </c>
      <c r="M411" s="122">
        <f>IF(Input!$F$166&gt;=$K411,Input!H174,0)</f>
        <v>0</v>
      </c>
      <c r="N411" s="196">
        <f>Input!I174</f>
        <v>0</v>
      </c>
      <c r="O411" s="196">
        <f>Input!J174</f>
        <v>0</v>
      </c>
      <c r="P411" s="125">
        <f>Input!K174</f>
        <v>0</v>
      </c>
      <c r="Q411" s="123">
        <f>Input!G174</f>
        <v>0</v>
      </c>
      <c r="R411" s="1610"/>
      <c r="S411" s="102"/>
      <c r="T411" s="1302">
        <f>IFERROR(VLOOKUP(N411,Infrastructure!$D$70:$F$129,3,FALSE),0)</f>
        <v>1</v>
      </c>
      <c r="U411" s="1302">
        <f>IFERROR(VLOOKUP(O411,Infrastructure!$D$70:$F$129,3,FALSE),0)</f>
        <v>1</v>
      </c>
      <c r="V411" s="102"/>
      <c r="W411" s="124">
        <f>IF(Input!$F$166&gt;=$K411,Input!M174,0)</f>
        <v>0</v>
      </c>
      <c r="X411" s="122">
        <f>IF(Input!$F$166&gt;=$K411,Input!N174,0)</f>
        <v>0</v>
      </c>
      <c r="Y411" s="122">
        <f>IF(Input!$F$166&gt;=$K411,Input!O174,0)</f>
        <v>0</v>
      </c>
      <c r="Z411" s="122">
        <f>IF(Input!$F$166&gt;=$K411,Input!P174,0)</f>
        <v>0</v>
      </c>
      <c r="AA411" s="122">
        <f>IF(Input!$F$166&gt;=$K411,Input!Q174,0)</f>
        <v>0</v>
      </c>
      <c r="AB411" s="122">
        <f>IF(Input!$F$166&gt;=$K411,Input!R174,0)</f>
        <v>0</v>
      </c>
      <c r="AC411" s="122">
        <f>IF(Input!$F$166&gt;=$K411,Input!S174,0)</f>
        <v>0</v>
      </c>
      <c r="AD411" s="122">
        <f>IF(Input!$F$166&gt;=$K411,Input!T174,0)</f>
        <v>0</v>
      </c>
      <c r="AE411" s="122">
        <f>IF(Input!$F$166&gt;=$K411,Input!U174,0)</f>
        <v>0</v>
      </c>
      <c r="AF411" s="1130">
        <f>IF(Input!$F$166&gt;=$K411,Input!V174,0)</f>
        <v>0</v>
      </c>
      <c r="AG411" s="1130">
        <f>IF(Input!$F$166&gt;=$K411,Input!W174,0)</f>
        <v>0</v>
      </c>
      <c r="AH411" s="1130">
        <f>IF(Input!$F$166&gt;=$K411,Input!X174,0)</f>
        <v>0</v>
      </c>
      <c r="AI411" s="1130">
        <f>IF(Input!$F$166&gt;=$K411,Input!Y174,0)</f>
        <v>0</v>
      </c>
      <c r="AJ411" s="1130">
        <f>IF(Input!$F$166&gt;=$K411,Input!Z174,0)</f>
        <v>0</v>
      </c>
      <c r="AK411" s="1130">
        <f>IF(Input!$F$166&gt;=$K411,Input!AA174,0)</f>
        <v>0</v>
      </c>
      <c r="AL411" s="1130">
        <f>IF(Input!$F$166&gt;=$K411,Input!AB174,0)</f>
        <v>0</v>
      </c>
      <c r="AM411" s="1130">
        <f>IF(Input!$F$166&gt;=$K411,Input!AC174,0)</f>
        <v>0</v>
      </c>
      <c r="AN411" s="1130">
        <f>IF(Input!$F$166&gt;=$K411,Input!AD174,0)</f>
        <v>0</v>
      </c>
      <c r="AO411" s="1130">
        <f>IF(Input!$F$166&gt;=$K411,Input!AE174,0)</f>
        <v>0</v>
      </c>
      <c r="AP411" s="1130">
        <f>IF(Input!$F$166&gt;=$K411,Input!AF174,0)</f>
        <v>0</v>
      </c>
      <c r="AQ411" s="1130">
        <f>IF(Input!$F$166&gt;=$K411,Input!AG174,0)</f>
        <v>0</v>
      </c>
      <c r="AR411" s="1130">
        <f>IF(Input!$F$166&gt;=$K411,Input!AH174,0)</f>
        <v>0</v>
      </c>
      <c r="AS411" s="1130">
        <f>IF(Input!$F$166&gt;=$K411,Input!AI174,0)</f>
        <v>0</v>
      </c>
      <c r="AT411" s="1130">
        <f>IF(Input!$F$166&gt;=$K411,Input!AJ174,0)</f>
        <v>0</v>
      </c>
      <c r="AU411" s="1130">
        <f>IF(Input!$F$166&gt;=$K411,Input!AK174,0)</f>
        <v>0</v>
      </c>
      <c r="AV411" s="1130">
        <f>IF(Input!$F$166&gt;=$K411,Input!AL174,0)</f>
        <v>0</v>
      </c>
      <c r="AW411" s="1130">
        <f>IF(Input!$F$166&gt;=$K411,Input!AM174,0)</f>
        <v>0</v>
      </c>
      <c r="AX411" s="1130">
        <f>IF(Input!$F$166&gt;=$K411,Input!AN174,0)</f>
        <v>0</v>
      </c>
      <c r="AY411" s="1130">
        <f>IF(Input!$F$166&gt;=$K411,Input!AO174,0)</f>
        <v>0</v>
      </c>
      <c r="AZ411" s="1130">
        <f>IF(Input!$F$166&gt;=$K411,Input!AP174,0)</f>
        <v>0</v>
      </c>
      <c r="BA411" s="1130">
        <f>IF(Input!$F$166&gt;=$K411,Input!AQ174,0)</f>
        <v>0</v>
      </c>
      <c r="BB411" s="1130">
        <f>IF(Input!$F$166&gt;=$K411,Input!AR174,0)</f>
        <v>0</v>
      </c>
      <c r="BC411" s="1130">
        <f>IF(Input!$F$166&gt;=$K411,Input!AS174,0)</f>
        <v>0</v>
      </c>
      <c r="BD411" s="1130">
        <f>IF(Input!$F$166&gt;=$K411,Input!AT174,0)</f>
        <v>0</v>
      </c>
      <c r="BE411" s="1130">
        <f>IF(Input!$F$166&gt;=$K411,Input!AU174,0)</f>
        <v>0</v>
      </c>
      <c r="BF411" s="1130">
        <f>IF(Input!$F$166&gt;=$K411,Input!AV174,0)</f>
        <v>0</v>
      </c>
      <c r="BG411" s="1130">
        <f>IF(Input!$F$166&gt;=$K411,Input!AW174,0)</f>
        <v>0</v>
      </c>
      <c r="BH411" s="1130">
        <f>IF(Input!$F$166&gt;=$K411,Input!AX174,0)</f>
        <v>0</v>
      </c>
      <c r="BI411" s="1130">
        <f>IF(Input!$F$166&gt;=$K411,Input!AY174,0)</f>
        <v>0</v>
      </c>
      <c r="BJ411" s="1130">
        <f>IF(Input!$F$166&gt;=$K411,Input!AZ174,0)</f>
        <v>0</v>
      </c>
      <c r="BK411" s="1130">
        <f>IF(Input!$F$166&gt;=$K411,Input!BA174,0)</f>
        <v>0</v>
      </c>
      <c r="BL411" s="1130">
        <f>IF(Input!$F$166&gt;=$K411,Input!BB174,0)</f>
        <v>0</v>
      </c>
      <c r="BM411" s="1130">
        <f>IF(Input!$F$166&gt;=$K411,Input!BC174,0)</f>
        <v>0</v>
      </c>
      <c r="BN411" s="1130">
        <f>IF(Input!$F$166&gt;=$K411,Input!BD174,0)</f>
        <v>0</v>
      </c>
      <c r="BO411" s="1130">
        <f>IF(Input!$F$166&gt;=$K411,Input!BE174,0)</f>
        <v>0</v>
      </c>
      <c r="BP411" s="1130">
        <f>IF(Input!$F$166&gt;=$K411,Input!BF174,0)</f>
        <v>0</v>
      </c>
      <c r="BQ411" s="1130">
        <f>IF(Input!$F$166&gt;=$K411,Input!BG174,0)</f>
        <v>0</v>
      </c>
      <c r="BR411" s="1130">
        <f>IF(Input!$F$166&gt;=$K411,Input!BH174,0)</f>
        <v>0</v>
      </c>
      <c r="BS411" s="1130">
        <f>IF(Input!$F$166&gt;=$K411,Input!BI174,0)</f>
        <v>0</v>
      </c>
      <c r="BT411" s="1130">
        <f>IF(Input!$F$166&gt;=$K411,Input!BJ174,0)</f>
        <v>0</v>
      </c>
      <c r="BU411" s="1130">
        <f>IF(Input!$F$166&gt;=$K411,Input!BK174,0)</f>
        <v>0</v>
      </c>
      <c r="BV411" s="1130">
        <f>IF(Input!$F$166&gt;=$K411,Input!BL174,0)</f>
        <v>0</v>
      </c>
      <c r="BW411" s="1130">
        <f>IF(Input!$F$166&gt;=$K411,Input!BM174,0)</f>
        <v>0</v>
      </c>
      <c r="BX411" s="1130">
        <f>IF(Input!$F$166&gt;=$K411,Input!BN174,0)</f>
        <v>0</v>
      </c>
      <c r="BY411" s="1130">
        <f>IF(Input!$F$166&gt;=$K411,Input!BO174,0)</f>
        <v>0</v>
      </c>
      <c r="BZ411" s="1130">
        <f>IF(Input!$F$166&gt;=$K411,Input!BP174,0)</f>
        <v>0</v>
      </c>
      <c r="CA411" s="1130">
        <f>IF(Input!$F$166&gt;=$K411,Input!BQ174,0)</f>
        <v>0</v>
      </c>
      <c r="CB411" s="1130">
        <f>IF(Input!$F$166&gt;=$K411,Input!BR174,0)</f>
        <v>0</v>
      </c>
      <c r="CC411" s="1130">
        <f>IF(Input!$F$166&gt;=$K411,Input!BS174,0)</f>
        <v>0</v>
      </c>
      <c r="CD411" s="1131">
        <f>IF(Input!$F$166&gt;=$K411,Input!BT174,0)</f>
        <v>0</v>
      </c>
      <c r="CE411" s="1805" t="str">
        <f>IF(Input!D174&lt;&gt;"",Input!D174,"")</f>
        <v/>
      </c>
      <c r="CF411" s="1806">
        <f>IFERROR(IF(OR($T411&gt;CF$399,CF$399&gt;$U411),0,(Input!$H174*((1+Input!$K174)^VLOOKUP(CF$399-$T411+1,$N$473:$P$477,3)))+(Input!$G174*W$415))+Input!M174,0)</f>
      </c>
      <c r="CG411" s="1806">
        <f>IFERROR(IF(OR($T411&gt;CG$399,CG$399&gt;$U411),0,(Input!$H174*((1+Input!$K174)^VLOOKUP(CG$399-$T411+1,$N$473:$P$477,3)))+(Input!$G174*X$415))+Input!N174,0)</f>
      </c>
      <c r="CH411" s="1806">
        <f>IFERROR(IF(OR($T411&gt;CH$399,CH$399&gt;$U411),0,(Input!$H174*((1+Input!$K174)^VLOOKUP(CH$399-$T411+1,$N$473:$P$477,3)))+(Input!$G174*Y$415))+Input!O174,0)</f>
      </c>
      <c r="CI411" s="1806">
        <f>IFERROR(IF(OR($T411&gt;CI$399,CI$399&gt;$U411),0,(Input!$H174*((1+Input!$K174)^VLOOKUP(CI$399-$T411+1,$N$473:$P$477,3)))+(Input!$G174*Z$415))+Input!P174,0)</f>
      </c>
      <c r="CJ411" s="1806">
        <f>IFERROR(IF(OR($T411&gt;CJ$399,CJ$399&gt;$U411),0,(Input!$H174*((1+Input!$K174)^VLOOKUP(CJ$399-$T411+1,$N$473:$P$477,3)))+(Input!$G174*AA$415))+Input!Q174,0)</f>
      </c>
      <c r="CK411" s="1806">
        <f>IFERROR(IF(OR($T411&gt;CK$399,CK$399&gt;$U411),0,(Input!$H174*((1+Input!$K174)^VLOOKUP(CK$399-$T411+1,$N$473:$P$477,3)))+(Input!$G174*AB$415))+Input!R174,0)</f>
      </c>
      <c r="CL411" s="1806">
        <f>IFERROR(IF(OR($T411&gt;CL$399,CL$399&gt;$U411),0,(Input!$H174*((1+Input!$K174)^VLOOKUP(CL$399-$T411+1,$N$473:$P$477,3)))+(Input!$G174*AC$415))+Input!S174,0)</f>
      </c>
      <c r="CM411" s="1806">
        <f>IFERROR(IF(OR($T411&gt;CM$399,CM$399&gt;$U411),0,(Input!$H174*((1+Input!$K174)^VLOOKUP(CM$399-$T411+1,$N$473:$P$477,3)))+(Input!$G174*AD$415))+Input!T174,0)</f>
      </c>
      <c r="CN411" s="1806">
        <f>IFERROR(IF(OR($T411&gt;CN$399,CN$399&gt;$U411),0,(Input!$H174*((1+Input!$K174)^VLOOKUP(CN$399-$T411+1,$N$473:$P$477,3)))+(Input!$G174*AE$415))+Input!U174,0)</f>
      </c>
      <c r="CO411" s="1806">
        <f>IFERROR(IF(OR($T411&gt;CO$399,CO$399&gt;$U411),0,(Input!$H174*((1+Input!$K174)^VLOOKUP(CO$399-$T411+1,$N$473:$P$477,3)))+(Input!$G174*AF$415))+Input!V174,0)</f>
      </c>
      <c r="CP411" s="1806">
        <f>IFERROR(IF(OR($T411&gt;CP$399,CP$399&gt;$U411),0,(Input!$H174*((1+Input!$K174)^VLOOKUP(CP$399-$T411+1,$N$473:$P$477,3)))+(Input!$G174*AG$415))+Input!W174,0)</f>
      </c>
      <c r="CQ411" s="1806">
        <f>IFERROR(IF(OR($T411&gt;CQ$399,CQ$399&gt;$U411),0,(Input!$H174*((1+Input!$K174)^VLOOKUP(CQ$399-$T411+1,$N$473:$P$477,3)))+(Input!$G174*AH$415))+Input!X174,0)</f>
      </c>
      <c r="CR411" s="1806">
        <f>IFERROR(IF(OR($T411&gt;CR$399,CR$399&gt;$U411),0,(Input!$H174*((1+Input!$K174)^VLOOKUP(CR$399-$T411+1,$N$473:$P$477,3)))+(Input!$G174*AI$415))+Input!Y174,0)</f>
      </c>
      <c r="CS411" s="1806">
        <f>IFERROR(IF(OR($T411&gt;CS$399,CS$399&gt;$U411),0,(Input!$H174*((1+Input!$K174)^VLOOKUP(CS$399-$T411+1,$N$473:$P$477,3)))+(Input!$G174*AJ$415))+Input!Z174,0)</f>
      </c>
      <c r="CT411" s="1806">
        <f>IFERROR(IF(OR($T411&gt;CT$399,CT$399&gt;$U411),0,(Input!$H174*((1+Input!$K174)^VLOOKUP(CT$399-$T411+1,$N$473:$P$477,3)))+(Input!$G174*AK$415))+Input!AA174,0)</f>
      </c>
      <c r="CU411" s="1806">
        <f>IFERROR(IF(OR($T411&gt;CU$399,CU$399&gt;$U411),0,(Input!$H174*((1+Input!$K174)^VLOOKUP(CU$399-$T411+1,$N$473:$P$477,3)))+(Input!$G174*AL$415))+Input!AB174,0)</f>
      </c>
      <c r="CV411" s="1806">
        <f>IFERROR(IF(OR($T411&gt;CV$399,CV$399&gt;$U411),0,(Input!$H174*((1+Input!$K174)^VLOOKUP(CV$399-$T411+1,$N$473:$P$477,3)))+(Input!$G174*AM$415))+Input!AC174,0)</f>
      </c>
      <c r="CW411" s="1806">
        <f>IFERROR(IF(OR($T411&gt;CW$399,CW$399&gt;$U411),0,(Input!$H174*((1+Input!$K174)^VLOOKUP(CW$399-$T411+1,$N$473:$P$477,3)))+(Input!$G174*AN$415))+Input!AD174,0)</f>
      </c>
      <c r="CX411" s="1806">
        <f>IFERROR(IF(OR($T411&gt;CX$399,CX$399&gt;$U411),0,(Input!$H174*((1+Input!$K174)^VLOOKUP(CX$399-$T411+1,$N$473:$P$477,3)))+(Input!$G174*AO$415))+Input!AE174,0)</f>
      </c>
      <c r="CY411" s="1806">
        <f>IFERROR(IF(OR($T411&gt;CY$399,CY$399&gt;$U411),0,(Input!$H174*((1+Input!$K174)^VLOOKUP(CY$399-$T411+1,$N$473:$P$477,3)))+(Input!$G174*AP$415))+Input!AF174,0)</f>
      </c>
      <c r="CZ411" s="1806">
        <f>IFERROR(IF(OR($T411&gt;CZ$399,CZ$399&gt;$U411),0,(Input!$H174*((1+Input!$K174)^VLOOKUP(CZ$399-$T411+1,$N$473:$P$477,3)))+(Input!$G174*AQ$415))+Input!AG174,0)</f>
      </c>
      <c r="DA411" s="1806">
        <f>IFERROR(IF(OR($T411&gt;DA$399,DA$399&gt;$U411),0,(Input!$H174*((1+Input!$K174)^VLOOKUP(DA$399-$T411+1,$N$473:$P$477,3)))+(Input!$G174*AR$415))+Input!AH174,0)</f>
      </c>
      <c r="DB411" s="1806">
        <f>IFERROR(IF(OR($T411&gt;DB$399,DB$399&gt;$U411),0,(Input!$H174*((1+Input!$K174)^VLOOKUP(DB$399-$T411+1,$N$473:$P$477,3)))+(Input!$G174*AS$415))+Input!AI174,0)</f>
      </c>
      <c r="DC411" s="1806">
        <f>IFERROR(IF(OR($T411&gt;DC$399,DC$399&gt;$U411),0,(Input!$H174*((1+Input!$K174)^VLOOKUP(DC$399-$T411+1,$N$473:$P$477,3)))+(Input!$G174*AT$415))+Input!AJ174,0)</f>
      </c>
      <c r="DD411" s="1806">
        <f>IFERROR(IF(OR($T411&gt;DD$399,DD$399&gt;$U411),0,(Input!$H174*((1+Input!$K174)^VLOOKUP(DD$399-$T411+1,$N$473:$P$477,3)))+(Input!$G174*AU$415))+Input!AK174,0)</f>
      </c>
      <c r="DE411" s="1806">
        <f>IFERROR(IF(OR($T411&gt;DE$399,DE$399&gt;$U411),0,(Input!$H174*((1+Input!$K174)^VLOOKUP(DE$399-$T411+1,$N$473:$P$477,3)))+(Input!$G174*AV$415))+Input!AL174,0)</f>
      </c>
      <c r="DF411" s="1806">
        <f>IFERROR(IF(OR($T411&gt;DF$399,DF$399&gt;$U411),0,(Input!$H174*((1+Input!$K174)^VLOOKUP(DF$399-$T411+1,$N$473:$P$477,3)))+(Input!$G174*AW$415))+Input!AM174,0)</f>
      </c>
      <c r="DG411" s="1806">
        <f>IFERROR(IF(OR($T411&gt;DG$399,DG$399&gt;$U411),0,(Input!$H174*((1+Input!$K174)^VLOOKUP(DG$399-$T411+1,$N$473:$P$477,3)))+(Input!$G174*AX$415))+Input!AN174,0)</f>
      </c>
      <c r="DH411" s="1806">
        <f>IFERROR(IF(OR($T411&gt;DH$399,DH$399&gt;$U411),0,(Input!$H174*((1+Input!$K174)^VLOOKUP(DH$399-$T411+1,$N$473:$P$477,3)))+(Input!$G174*AY$415))+Input!AO174,0)</f>
      </c>
      <c r="DI411" s="1806">
        <f>IFERROR(IF(OR($T411&gt;DI$399,DI$399&gt;$U411),0,(Input!$H174*((1+Input!$K174)^VLOOKUP(DI$399-$T411+1,$N$473:$P$477,3)))+(Input!$G174*AZ$415))+Input!AP174,0)</f>
      </c>
      <c r="DJ411" s="1806">
        <f>IFERROR(IF(OR($T411&gt;DJ$399,DJ$399&gt;$U411),0,(Input!$H174*((1+Input!$K174)^VLOOKUP(DJ$399-$T411+1,$N$473:$P$477,3)))+(Input!$G174*BA$415))+Input!AQ174,0)</f>
      </c>
      <c r="DK411" s="1806">
        <f>IFERROR(IF(OR($T411&gt;DK$399,DK$399&gt;$U411),0,(Input!$H174*((1+Input!$K174)^VLOOKUP(DK$399-$T411+1,$N$473:$P$477,3)))+(Input!$G174*BB$415))+Input!AR174,0)</f>
      </c>
      <c r="DL411" s="1806">
        <f>IFERROR(IF(OR($T411&gt;DL$399,DL$399&gt;$U411),0,(Input!$H174*((1+Input!$K174)^VLOOKUP(DL$399-$T411+1,$N$473:$P$477,3)))+(Input!$G174*BC$415))+Input!AS174,0)</f>
      </c>
      <c r="DM411" s="1806">
        <f>IFERROR(IF(OR($T411&gt;DM$399,DM$399&gt;$U411),0,(Input!$H174*((1+Input!$K174)^VLOOKUP(DM$399-$T411+1,$N$473:$P$477,3)))+(Input!$G174*BD$415))+Input!AT174,0)</f>
      </c>
      <c r="DN411" s="1806">
        <f>IFERROR(IF(OR($T411&gt;DN$399,DN$399&gt;$U411),0,(Input!$H174*((1+Input!$K174)^VLOOKUP(DN$399-$T411+1,$N$473:$P$477,3)))+(Input!$G174*BE$415))+Input!AU174,0)</f>
      </c>
      <c r="DO411" s="1806">
        <f>IFERROR(IF(OR($T411&gt;DO$399,DO$399&gt;$U411),0,(Input!$H174*((1+Input!$K174)^VLOOKUP(DO$399-$T411+1,$N$473:$P$477,3)))+(Input!$G174*BF$415))+Input!AV174,0)</f>
      </c>
      <c r="DP411" s="1806">
        <f>IF(Years="Five",IFERROR(IF(OR($T411&gt;DP$399,DP$399&gt;$U411),0,(Input!$H174*((1+Input!$K174)^VLOOKUP(DP$399-$T411+1,$N$473:$P$477,3)))+(Input!$G174*BG$415))+Input!AW174,0),0)</f>
      </c>
      <c r="DQ411" s="1806">
        <f>IF(Years="Five",IFERROR(IF(OR($T411&gt;DQ$399,DQ$399&gt;$U411),0,(Input!$H174*((1+Input!$K174)^VLOOKUP(DQ$399-$T411+1,$N$473:$P$477,3)))+(Input!$G174*BH$415))+Input!AX174,0),0)</f>
      </c>
      <c r="DR411" s="1807">
        <f>IF(Years="Five",IFERROR(IF(OR($T411&gt;DR$399,DR$399&gt;$U411),0,(Input!$H174*((1+Input!$K174)^VLOOKUP(DR$399-$T411+1,$N$473:$P$477,3)))+(Input!$G174*BI$415))+Input!AY174,0),0)</f>
      </c>
      <c r="DS411" s="1807">
        <f>IF(Years="Five",IFERROR(IF(OR($T411&gt;DS$399,DS$399&gt;$U411),0,(Input!$H174*((1+Input!$K174)^VLOOKUP(DS$399-$T411+1,$N$473:$P$477,3)))+(Input!$G174*BJ$415))+Input!AZ174,0),0)</f>
      </c>
      <c r="DT411" s="1807">
        <f>IF(Years="Five",IFERROR(IF(OR($T411&gt;DT$399,DT$399&gt;$U411),0,(Input!$H174*((1+Input!$K174)^VLOOKUP(DT$399-$T411+1,$N$473:$P$477,3)))+(Input!$G174*BK$415))+Input!BA174,0),0)</f>
      </c>
      <c r="DU411" s="1807">
        <f>IF(Years="Five",IFERROR(IF(OR($T411&gt;DU$399,DU$399&gt;$U411),0,(Input!$H174*((1+Input!$K174)^VLOOKUP(DU$399-$T411+1,$N$473:$P$477,3)))+(Input!$G174*BL$415))+Input!BB174,0),0)</f>
      </c>
      <c r="DV411" s="1807">
        <f>IF(Years="Five",IFERROR(IF(OR($T411&gt;DV$399,DV$399&gt;$U411),0,(Input!$H174*((1+Input!$K174)^VLOOKUP(DV$399-$T411+1,$N$473:$P$477,3)))+(Input!$G174*BM$415))+Input!BC174,0),0)</f>
      </c>
      <c r="DW411" s="1807">
        <f>IF(Years="Five",IFERROR(IF(OR($T411&gt;DW$399,DW$399&gt;$U411),0,(Input!$H174*((1+Input!$K174)^VLOOKUP(DW$399-$T411+1,$N$473:$P$477,3)))+(Input!$G174*BN$415))+Input!BD174,0),0)</f>
      </c>
      <c r="DX411" s="1807">
        <f>IF(Years="Five",IFERROR(IF(OR($T411&gt;DX$399,DX$399&gt;$U411),0,(Input!$H174*((1+Input!$K174)^VLOOKUP(DX$399-$T411+1,$N$473:$P$477,3)))+(Input!$G174*BO$415))+Input!BE174,0),0)</f>
      </c>
      <c r="DY411" s="1807">
        <f>IF(Years="Five",IFERROR(IF(OR($T411&gt;DY$399,DY$399&gt;$U411),0,(Input!$H174*((1+Input!$K174)^VLOOKUP(DY$399-$T411+1,$N$473:$P$477,3)))+(Input!$G174*BP$415))+Input!BF174,0),0)</f>
      </c>
      <c r="DZ411" s="1807">
        <f>IF(Years="Five",IFERROR(IF(OR($T411&gt;DZ$399,DZ$399&gt;$U411),0,(Input!$H174*((1+Input!$K174)^VLOOKUP(DZ$399-$T411+1,$N$473:$P$477,3)))+(Input!$G174*BQ$415))+Input!BG174,0),0)</f>
      </c>
      <c r="EA411" s="1807">
        <f>IF(Years="Five",IFERROR(IF(OR($T411&gt;EA$399,EA$399&gt;$U411),0,(Input!$H174*((1+Input!$K174)^VLOOKUP(EA$399-$T411+1,$N$473:$P$477,3)))+(Input!$G174*BR$415))+Input!BH174,0),0)</f>
      </c>
      <c r="EB411" s="1807">
        <f>IF(Years="Five",IFERROR(IF(OR($T411&gt;EB$399,EB$399&gt;$U411),0,(Input!$H174*((1+Input!$K174)^VLOOKUP(EB$399-$T411+1,$N$473:$P$477,3)))+(Input!$G174*BS$415))+Input!BI174,0),0)</f>
      </c>
      <c r="EC411" s="1807">
        <f>IF(Years="Five",IFERROR(IF(OR($T411&gt;EC$399,EC$399&gt;$U411),0,(Input!$H174*((1+Input!$K174)^VLOOKUP(EC$399-$T411+1,$N$473:$P$477,3)))+(Input!$G174*BT$415))+Input!BJ174,0),0)</f>
      </c>
      <c r="ED411" s="1807">
        <f>IF(Years="Five",IFERROR(IF(OR($T411&gt;ED$399,ED$399&gt;$U411),0,(Input!$H174*((1+Input!$K174)^VLOOKUP(ED$399-$T411+1,$N$473:$P$477,3)))+(Input!$G174*BU$415))+Input!BK174,0),0)</f>
      </c>
      <c r="EE411" s="1807">
        <f>IF(Years="Five",IFERROR(IF(OR($T411&gt;EE$399,EE$399&gt;$U411),0,(Input!$H174*((1+Input!$K174)^VLOOKUP(EE$399-$T411+1,$N$473:$P$477,3)))+(Input!$G174*BV$415))+Input!BL174,0),0)</f>
      </c>
      <c r="EF411" s="1807">
        <f>IF(Years="Five",IFERROR(IF(OR($T411&gt;EF$399,EF$399&gt;$U411),0,(Input!$H174*((1+Input!$K174)^VLOOKUP(EF$399-$T411+1,$N$473:$P$477,3)))+(Input!$G174*BW$415))+Input!BM174,0),0)</f>
      </c>
      <c r="EG411" s="1807">
        <f>IF(Years="Five",IFERROR(IF(OR($T411&gt;EG$399,EG$399&gt;$U411),0,(Input!$H174*((1+Input!$K174)^VLOOKUP(EG$399-$T411+1,$N$473:$P$477,3)))+(Input!$G174*BX$415))+Input!BN174,0),0)</f>
      </c>
      <c r="EH411" s="1807">
        <f>IF(Years="Five",IFERROR(IF(OR($T411&gt;EH$399,EH$399&gt;$U411),0,(Input!$H174*((1+Input!$K174)^VLOOKUP(EH$399-$T411+1,$N$473:$P$477,3)))+(Input!$G174*BY$415))+Input!BO174,0),0)</f>
      </c>
      <c r="EI411" s="1807">
        <f>IF(Years="Five",IFERROR(IF(OR($T411&gt;EI$399,EI$399&gt;$U411),0,(Input!$H174*((1+Input!$K174)^VLOOKUP(EI$399-$T411+1,$N$473:$P$477,3)))+(Input!$G174*BZ$415))+Input!BP174,0),0)</f>
      </c>
      <c r="EJ411" s="1807">
        <f>IF(Years="Five",IFERROR(IF(OR($T411&gt;EJ$399,EJ$399&gt;$U411),0,(Input!$H174*((1+Input!$K174)^VLOOKUP(EJ$399-$T411+1,$N$473:$P$477,3)))+(Input!$G174*CA$415))+Input!BQ174,0),0)</f>
      </c>
      <c r="EK411" s="1807">
        <f>IF(Years="Five",IFERROR(IF(OR($T411&gt;EK$399,EK$399&gt;$U411),0,(Input!$H174*((1+Input!$K174)^VLOOKUP(EK$399-$T411+1,$N$473:$P$477,3)))+(Input!$G174*CB$415))+Input!BR174,0),0)</f>
      </c>
      <c r="EL411" s="1807">
        <f>IF(Years="Five",IFERROR(IF(OR($T411&gt;EL$399,EL$399&gt;$U411),0,(Input!$H174*((1+Input!$K174)^VLOOKUP(EL$399-$T411+1,$N$473:$P$477,3)))+(Input!$G174*CC$415))+Input!BS174,0),0)</f>
      </c>
      <c r="EM411" s="1807">
        <f>IF(Years="Five",IFERROR(IF(OR($T411&gt;EM$399,EM$399&gt;$U411),0,(Input!$H174*((1+Input!$K174)^VLOOKUP(EM$399-$T411+1,$N$473:$P$477,3)))+(Input!$G174*CD$415))+Input!BT174,0),0)</f>
      </c>
      <c r="EN411" s="1300"/>
      <c r="EO411" s="1300"/>
      <c r="EP411" s="1300"/>
      <c r="EQ411" s="1300"/>
      <c r="ER411" s="1300"/>
      <c r="ES411" s="1300"/>
      <c r="ET411" s="1300"/>
      <c r="EU411" s="1300"/>
      <c r="EV411" s="1300"/>
      <c r="EW411" s="1300"/>
      <c r="EX411" s="1300"/>
    </row>
    <row r="412" spans="11:154" ht="12" customHeight="1" x14ac:dyDescent="0.35">
      <c r="K412" s="102">
        <v>9</v>
      </c>
      <c r="L412" s="121">
        <f>Input!D175</f>
        <v>0</v>
      </c>
      <c r="M412" s="122">
        <f>IF(Input!$F$166&gt;=$K412,Input!H175,0)</f>
        <v>0</v>
      </c>
      <c r="N412" s="196">
        <f>Input!I175</f>
        <v>0</v>
      </c>
      <c r="O412" s="196">
        <f>Input!J175</f>
        <v>0</v>
      </c>
      <c r="P412" s="125">
        <f>Input!K175</f>
        <v>0</v>
      </c>
      <c r="Q412" s="123">
        <f>Input!G175</f>
        <v>0</v>
      </c>
      <c r="R412" s="1610"/>
      <c r="S412" s="102"/>
      <c r="T412" s="1302">
        <f>IFERROR(VLOOKUP(N412,Infrastructure!$D$70:$F$129,3,FALSE),0)</f>
        <v>1</v>
      </c>
      <c r="U412" s="1302">
        <f>IFERROR(VLOOKUP(O412,Infrastructure!$D$70:$F$129,3,FALSE),0)</f>
        <v>1</v>
      </c>
      <c r="V412" s="102"/>
      <c r="W412" s="124">
        <f>IF(Input!$F$166&gt;=$K412,Input!M175,0)</f>
        <v>0</v>
      </c>
      <c r="X412" s="122">
        <f>IF(Input!$F$166&gt;=$K412,Input!N175,0)</f>
        <v>0</v>
      </c>
      <c r="Y412" s="122">
        <f>IF(Input!$F$166&gt;=$K412,Input!O175,0)</f>
        <v>0</v>
      </c>
      <c r="Z412" s="122">
        <f>IF(Input!$F$166&gt;=$K412,Input!P175,0)</f>
        <v>0</v>
      </c>
      <c r="AA412" s="122">
        <f>IF(Input!$F$166&gt;=$K412,Input!Q175,0)</f>
        <v>0</v>
      </c>
      <c r="AB412" s="122">
        <f>IF(Input!$F$166&gt;=$K412,Input!R175,0)</f>
        <v>0</v>
      </c>
      <c r="AC412" s="122">
        <f>IF(Input!$F$166&gt;=$K412,Input!S175,0)</f>
        <v>0</v>
      </c>
      <c r="AD412" s="122">
        <f>IF(Input!$F$166&gt;=$K412,Input!T175,0)</f>
        <v>0</v>
      </c>
      <c r="AE412" s="122">
        <f>IF(Input!$F$166&gt;=$K412,Input!U175,0)</f>
        <v>0</v>
      </c>
      <c r="AF412" s="1130">
        <f>IF(Input!$F$166&gt;=$K412,Input!V175,0)</f>
        <v>0</v>
      </c>
      <c r="AG412" s="1130">
        <f>IF(Input!$F$166&gt;=$K412,Input!W175,0)</f>
        <v>0</v>
      </c>
      <c r="AH412" s="1130">
        <f>IF(Input!$F$166&gt;=$K412,Input!X175,0)</f>
        <v>0</v>
      </c>
      <c r="AI412" s="1130">
        <f>IF(Input!$F$166&gt;=$K412,Input!Y175,0)</f>
        <v>0</v>
      </c>
      <c r="AJ412" s="1130">
        <f>IF(Input!$F$166&gt;=$K412,Input!Z175,0)</f>
        <v>0</v>
      </c>
      <c r="AK412" s="1130">
        <f>IF(Input!$F$166&gt;=$K412,Input!AA175,0)</f>
        <v>0</v>
      </c>
      <c r="AL412" s="1130">
        <f>IF(Input!$F$166&gt;=$K412,Input!AB175,0)</f>
        <v>0</v>
      </c>
      <c r="AM412" s="1130">
        <f>IF(Input!$F$166&gt;=$K412,Input!AC175,0)</f>
        <v>0</v>
      </c>
      <c r="AN412" s="1130">
        <f>IF(Input!$F$166&gt;=$K412,Input!AD175,0)</f>
        <v>0</v>
      </c>
      <c r="AO412" s="1130">
        <f>IF(Input!$F$166&gt;=$K412,Input!AE175,0)</f>
        <v>0</v>
      </c>
      <c r="AP412" s="1130">
        <f>IF(Input!$F$166&gt;=$K412,Input!AF175,0)</f>
        <v>0</v>
      </c>
      <c r="AQ412" s="1130">
        <f>IF(Input!$F$166&gt;=$K412,Input!AG175,0)</f>
        <v>0</v>
      </c>
      <c r="AR412" s="1130">
        <f>IF(Input!$F$166&gt;=$K412,Input!AH175,0)</f>
        <v>0</v>
      </c>
      <c r="AS412" s="1130">
        <f>IF(Input!$F$166&gt;=$K412,Input!AI175,0)</f>
        <v>0</v>
      </c>
      <c r="AT412" s="1130">
        <f>IF(Input!$F$166&gt;=$K412,Input!AJ175,0)</f>
        <v>0</v>
      </c>
      <c r="AU412" s="1130">
        <f>IF(Input!$F$166&gt;=$K412,Input!AK175,0)</f>
        <v>0</v>
      </c>
      <c r="AV412" s="1130">
        <f>IF(Input!$F$166&gt;=$K412,Input!AL175,0)</f>
        <v>0</v>
      </c>
      <c r="AW412" s="1130">
        <f>IF(Input!$F$166&gt;=$K412,Input!AM175,0)</f>
        <v>0</v>
      </c>
      <c r="AX412" s="1130">
        <f>IF(Input!$F$166&gt;=$K412,Input!AN175,0)</f>
        <v>0</v>
      </c>
      <c r="AY412" s="1130">
        <f>IF(Input!$F$166&gt;=$K412,Input!AO175,0)</f>
        <v>0</v>
      </c>
      <c r="AZ412" s="1130">
        <f>IF(Input!$F$166&gt;=$K412,Input!AP175,0)</f>
        <v>0</v>
      </c>
      <c r="BA412" s="1130">
        <f>IF(Input!$F$166&gt;=$K412,Input!AQ175,0)</f>
        <v>0</v>
      </c>
      <c r="BB412" s="1130">
        <f>IF(Input!$F$166&gt;=$K412,Input!AR175,0)</f>
        <v>0</v>
      </c>
      <c r="BC412" s="1130">
        <f>IF(Input!$F$166&gt;=$K412,Input!AS175,0)</f>
        <v>0</v>
      </c>
      <c r="BD412" s="1130">
        <f>IF(Input!$F$166&gt;=$K412,Input!AT175,0)</f>
        <v>0</v>
      </c>
      <c r="BE412" s="1130">
        <f>IF(Input!$F$166&gt;=$K412,Input!AU175,0)</f>
        <v>0</v>
      </c>
      <c r="BF412" s="1130">
        <f>IF(Input!$F$166&gt;=$K412,Input!AV175,0)</f>
        <v>0</v>
      </c>
      <c r="BG412" s="1130">
        <f>IF(Input!$F$166&gt;=$K412,Input!AW175,0)</f>
        <v>0</v>
      </c>
      <c r="BH412" s="1130">
        <f>IF(Input!$F$166&gt;=$K412,Input!AX175,0)</f>
        <v>0</v>
      </c>
      <c r="BI412" s="1130">
        <f>IF(Input!$F$166&gt;=$K412,Input!AY175,0)</f>
        <v>0</v>
      </c>
      <c r="BJ412" s="1130">
        <f>IF(Input!$F$166&gt;=$K412,Input!AZ175,0)</f>
        <v>0</v>
      </c>
      <c r="BK412" s="1130">
        <f>IF(Input!$F$166&gt;=$K412,Input!BA175,0)</f>
        <v>0</v>
      </c>
      <c r="BL412" s="1130">
        <f>IF(Input!$F$166&gt;=$K412,Input!BB175,0)</f>
        <v>0</v>
      </c>
      <c r="BM412" s="1130">
        <f>IF(Input!$F$166&gt;=$K412,Input!BC175,0)</f>
        <v>0</v>
      </c>
      <c r="BN412" s="1130">
        <f>IF(Input!$F$166&gt;=$K412,Input!BD175,0)</f>
        <v>0</v>
      </c>
      <c r="BO412" s="1130">
        <f>IF(Input!$F$166&gt;=$K412,Input!BE175,0)</f>
        <v>0</v>
      </c>
      <c r="BP412" s="1130">
        <f>IF(Input!$F$166&gt;=$K412,Input!BF175,0)</f>
        <v>0</v>
      </c>
      <c r="BQ412" s="1130">
        <f>IF(Input!$F$166&gt;=$K412,Input!BG175,0)</f>
        <v>0</v>
      </c>
      <c r="BR412" s="1130">
        <f>IF(Input!$F$166&gt;=$K412,Input!BH175,0)</f>
        <v>0</v>
      </c>
      <c r="BS412" s="1130">
        <f>IF(Input!$F$166&gt;=$K412,Input!BI175,0)</f>
        <v>0</v>
      </c>
      <c r="BT412" s="1130">
        <f>IF(Input!$F$166&gt;=$K412,Input!BJ175,0)</f>
        <v>0</v>
      </c>
      <c r="BU412" s="1130">
        <f>IF(Input!$F$166&gt;=$K412,Input!BK175,0)</f>
        <v>0</v>
      </c>
      <c r="BV412" s="1130">
        <f>IF(Input!$F$166&gt;=$K412,Input!BL175,0)</f>
        <v>0</v>
      </c>
      <c r="BW412" s="1130">
        <f>IF(Input!$F$166&gt;=$K412,Input!BM175,0)</f>
        <v>0</v>
      </c>
      <c r="BX412" s="1130">
        <f>IF(Input!$F$166&gt;=$K412,Input!BN175,0)</f>
        <v>0</v>
      </c>
      <c r="BY412" s="1130">
        <f>IF(Input!$F$166&gt;=$K412,Input!BO175,0)</f>
        <v>0</v>
      </c>
      <c r="BZ412" s="1130">
        <f>IF(Input!$F$166&gt;=$K412,Input!BP175,0)</f>
        <v>0</v>
      </c>
      <c r="CA412" s="1130">
        <f>IF(Input!$F$166&gt;=$K412,Input!BQ175,0)</f>
        <v>0</v>
      </c>
      <c r="CB412" s="1130">
        <f>IF(Input!$F$166&gt;=$K412,Input!BR175,0)</f>
        <v>0</v>
      </c>
      <c r="CC412" s="1130">
        <f>IF(Input!$F$166&gt;=$K412,Input!BS175,0)</f>
        <v>0</v>
      </c>
      <c r="CD412" s="1131">
        <f>IF(Input!$F$166&gt;=$K412,Input!BT175,0)</f>
        <v>0</v>
      </c>
      <c r="CE412" s="1805" t="str">
        <f>IF(Input!D175&lt;&gt;"",Input!D175,"")</f>
        <v/>
      </c>
      <c r="CF412" s="1806">
        <f>IFERROR(IF(OR($T412&gt;CF$399,CF$399&gt;$U412),0,(Input!$H175*((1+Input!$K175)^VLOOKUP(CF$399-$T412+1,$N$473:$P$477,3)))+(Input!$G175*W$415))+Input!M175,0)</f>
      </c>
      <c r="CG412" s="1806">
        <f>IFERROR(IF(OR($T412&gt;CG$399,CG$399&gt;$U412),0,(Input!$H175*((1+Input!$K175)^VLOOKUP(CG$399-$T412+1,$N$473:$P$477,3)))+(Input!$G175*X$415))+Input!N175,0)</f>
      </c>
      <c r="CH412" s="1806">
        <f>IFERROR(IF(OR($T412&gt;CH$399,CH$399&gt;$U412),0,(Input!$H175*((1+Input!$K175)^VLOOKUP(CH$399-$T412+1,$N$473:$P$477,3)))+(Input!$G175*Y$415))+Input!O175,0)</f>
      </c>
      <c r="CI412" s="1806">
        <f>IFERROR(IF(OR($T412&gt;CI$399,CI$399&gt;$U412),0,(Input!$H175*((1+Input!$K175)^VLOOKUP(CI$399-$T412+1,$N$473:$P$477,3)))+(Input!$G175*Z$415))+Input!P175,0)</f>
      </c>
      <c r="CJ412" s="1806">
        <f>IFERROR(IF(OR($T412&gt;CJ$399,CJ$399&gt;$U412),0,(Input!$H175*((1+Input!$K175)^VLOOKUP(CJ$399-$T412+1,$N$473:$P$477,3)))+(Input!$G175*AA$415))+Input!Q175,0)</f>
      </c>
      <c r="CK412" s="1806">
        <f>IFERROR(IF(OR($T412&gt;CK$399,CK$399&gt;$U412),0,(Input!$H175*((1+Input!$K175)^VLOOKUP(CK$399-$T412+1,$N$473:$P$477,3)))+(Input!$G175*AB$415))+Input!R175,0)</f>
      </c>
      <c r="CL412" s="1806">
        <f>IFERROR(IF(OR($T412&gt;CL$399,CL$399&gt;$U412),0,(Input!$H175*((1+Input!$K175)^VLOOKUP(CL$399-$T412+1,$N$473:$P$477,3)))+(Input!$G175*AC$415))+Input!S175,0)</f>
      </c>
      <c r="CM412" s="1806">
        <f>IFERROR(IF(OR($T412&gt;CM$399,CM$399&gt;$U412),0,(Input!$H175*((1+Input!$K175)^VLOOKUP(CM$399-$T412+1,$N$473:$P$477,3)))+(Input!$G175*AD$415))+Input!T175,0)</f>
      </c>
      <c r="CN412" s="1806">
        <f>IFERROR(IF(OR($T412&gt;CN$399,CN$399&gt;$U412),0,(Input!$H175*((1+Input!$K175)^VLOOKUP(CN$399-$T412+1,$N$473:$P$477,3)))+(Input!$G175*AE$415))+Input!U175,0)</f>
      </c>
      <c r="CO412" s="1806">
        <f>IFERROR(IF(OR($T412&gt;CO$399,CO$399&gt;$U412),0,(Input!$H175*((1+Input!$K175)^VLOOKUP(CO$399-$T412+1,$N$473:$P$477,3)))+(Input!$G175*AF$415))+Input!V175,0)</f>
      </c>
      <c r="CP412" s="1806">
        <f>IFERROR(IF(OR($T412&gt;CP$399,CP$399&gt;$U412),0,(Input!$H175*((1+Input!$K175)^VLOOKUP(CP$399-$T412+1,$N$473:$P$477,3)))+(Input!$G175*AG$415))+Input!W175,0)</f>
      </c>
      <c r="CQ412" s="1806">
        <f>IFERROR(IF(OR($T412&gt;CQ$399,CQ$399&gt;$U412),0,(Input!$H175*((1+Input!$K175)^VLOOKUP(CQ$399-$T412+1,$N$473:$P$477,3)))+(Input!$G175*AH$415))+Input!X175,0)</f>
      </c>
      <c r="CR412" s="1806">
        <f>IFERROR(IF(OR($T412&gt;CR$399,CR$399&gt;$U412),0,(Input!$H175*((1+Input!$K175)^VLOOKUP(CR$399-$T412+1,$N$473:$P$477,3)))+(Input!$G175*AI$415))+Input!Y175,0)</f>
      </c>
      <c r="CS412" s="1806">
        <f>IFERROR(IF(OR($T412&gt;CS$399,CS$399&gt;$U412),0,(Input!$H175*((1+Input!$K175)^VLOOKUP(CS$399-$T412+1,$N$473:$P$477,3)))+(Input!$G175*AJ$415))+Input!Z175,0)</f>
      </c>
      <c r="CT412" s="1806">
        <f>IFERROR(IF(OR($T412&gt;CT$399,CT$399&gt;$U412),0,(Input!$H175*((1+Input!$K175)^VLOOKUP(CT$399-$T412+1,$N$473:$P$477,3)))+(Input!$G175*AK$415))+Input!AA175,0)</f>
      </c>
      <c r="CU412" s="1806">
        <f>IFERROR(IF(OR($T412&gt;CU$399,CU$399&gt;$U412),0,(Input!$H175*((1+Input!$K175)^VLOOKUP(CU$399-$T412+1,$N$473:$P$477,3)))+(Input!$G175*AL$415))+Input!AB175,0)</f>
      </c>
      <c r="CV412" s="1806">
        <f>IFERROR(IF(OR($T412&gt;CV$399,CV$399&gt;$U412),0,(Input!$H175*((1+Input!$K175)^VLOOKUP(CV$399-$T412+1,$N$473:$P$477,3)))+(Input!$G175*AM$415))+Input!AC175,0)</f>
      </c>
      <c r="CW412" s="1806">
        <f>IFERROR(IF(OR($T412&gt;CW$399,CW$399&gt;$U412),0,(Input!$H175*((1+Input!$K175)^VLOOKUP(CW$399-$T412+1,$N$473:$P$477,3)))+(Input!$G175*AN$415))+Input!AD175,0)</f>
      </c>
      <c r="CX412" s="1806">
        <f>IFERROR(IF(OR($T412&gt;CX$399,CX$399&gt;$U412),0,(Input!$H175*((1+Input!$K175)^VLOOKUP(CX$399-$T412+1,$N$473:$P$477,3)))+(Input!$G175*AO$415))+Input!AE175,0)</f>
      </c>
      <c r="CY412" s="1806">
        <f>IFERROR(IF(OR($T412&gt;CY$399,CY$399&gt;$U412),0,(Input!$H175*((1+Input!$K175)^VLOOKUP(CY$399-$T412+1,$N$473:$P$477,3)))+(Input!$G175*AP$415))+Input!AF175,0)</f>
      </c>
      <c r="CZ412" s="1806">
        <f>IFERROR(IF(OR($T412&gt;CZ$399,CZ$399&gt;$U412),0,(Input!$H175*((1+Input!$K175)^VLOOKUP(CZ$399-$T412+1,$N$473:$P$477,3)))+(Input!$G175*AQ$415))+Input!AG175,0)</f>
      </c>
      <c r="DA412" s="1806">
        <f>IFERROR(IF(OR($T412&gt;DA$399,DA$399&gt;$U412),0,(Input!$H175*((1+Input!$K175)^VLOOKUP(DA$399-$T412+1,$N$473:$P$477,3)))+(Input!$G175*AR$415))+Input!AH175,0)</f>
      </c>
      <c r="DB412" s="1806">
        <f>IFERROR(IF(OR($T412&gt;DB$399,DB$399&gt;$U412),0,(Input!$H175*((1+Input!$K175)^VLOOKUP(DB$399-$T412+1,$N$473:$P$477,3)))+(Input!$G175*AS$415))+Input!AI175,0)</f>
      </c>
      <c r="DC412" s="1806">
        <f>IFERROR(IF(OR($T412&gt;DC$399,DC$399&gt;$U412),0,(Input!$H175*((1+Input!$K175)^VLOOKUP(DC$399-$T412+1,$N$473:$P$477,3)))+(Input!$G175*AT$415))+Input!AJ175,0)</f>
      </c>
      <c r="DD412" s="1806">
        <f>IFERROR(IF(OR($T412&gt;DD$399,DD$399&gt;$U412),0,(Input!$H175*((1+Input!$K175)^VLOOKUP(DD$399-$T412+1,$N$473:$P$477,3)))+(Input!$G175*AU$415))+Input!AK175,0)</f>
      </c>
      <c r="DE412" s="1806">
        <f>IFERROR(IF(OR($T412&gt;DE$399,DE$399&gt;$U412),0,(Input!$H175*((1+Input!$K175)^VLOOKUP(DE$399-$T412+1,$N$473:$P$477,3)))+(Input!$G175*AV$415))+Input!AL175,0)</f>
      </c>
      <c r="DF412" s="1806">
        <f>IFERROR(IF(OR($T412&gt;DF$399,DF$399&gt;$U412),0,(Input!$H175*((1+Input!$K175)^VLOOKUP(DF$399-$T412+1,$N$473:$P$477,3)))+(Input!$G175*AW$415))+Input!AM175,0)</f>
      </c>
      <c r="DG412" s="1806">
        <f>IFERROR(IF(OR($T412&gt;DG$399,DG$399&gt;$U412),0,(Input!$H175*((1+Input!$K175)^VLOOKUP(DG$399-$T412+1,$N$473:$P$477,3)))+(Input!$G175*AX$415))+Input!AN175,0)</f>
      </c>
      <c r="DH412" s="1806">
        <f>IFERROR(IF(OR($T412&gt;DH$399,DH$399&gt;$U412),0,(Input!$H175*((1+Input!$K175)^VLOOKUP(DH$399-$T412+1,$N$473:$P$477,3)))+(Input!$G175*AY$415))+Input!AO175,0)</f>
      </c>
      <c r="DI412" s="1806">
        <f>IFERROR(IF(OR($T412&gt;DI$399,DI$399&gt;$U412),0,(Input!$H175*((1+Input!$K175)^VLOOKUP(DI$399-$T412+1,$N$473:$P$477,3)))+(Input!$G175*AZ$415))+Input!AP175,0)</f>
      </c>
      <c r="DJ412" s="1806">
        <f>IFERROR(IF(OR($T412&gt;DJ$399,DJ$399&gt;$U412),0,(Input!$H175*((1+Input!$K175)^VLOOKUP(DJ$399-$T412+1,$N$473:$P$477,3)))+(Input!$G175*BA$415))+Input!AQ175,0)</f>
      </c>
      <c r="DK412" s="1806">
        <f>IFERROR(IF(OR($T412&gt;DK$399,DK$399&gt;$U412),0,(Input!$H175*((1+Input!$K175)^VLOOKUP(DK$399-$T412+1,$N$473:$P$477,3)))+(Input!$G175*BB$415))+Input!AR175,0)</f>
      </c>
      <c r="DL412" s="1806">
        <f>IFERROR(IF(OR($T412&gt;DL$399,DL$399&gt;$U412),0,(Input!$H175*((1+Input!$K175)^VLOOKUP(DL$399-$T412+1,$N$473:$P$477,3)))+(Input!$G175*BC$415))+Input!AS175,0)</f>
      </c>
      <c r="DM412" s="1806">
        <f>IFERROR(IF(OR($T412&gt;DM$399,DM$399&gt;$U412),0,(Input!$H175*((1+Input!$K175)^VLOOKUP(DM$399-$T412+1,$N$473:$P$477,3)))+(Input!$G175*BD$415))+Input!AT175,0)</f>
      </c>
      <c r="DN412" s="1806">
        <f>IFERROR(IF(OR($T412&gt;DN$399,DN$399&gt;$U412),0,(Input!$H175*((1+Input!$K175)^VLOOKUP(DN$399-$T412+1,$N$473:$P$477,3)))+(Input!$G175*BE$415))+Input!AU175,0)</f>
      </c>
      <c r="DO412" s="1806">
        <f>IFERROR(IF(OR($T412&gt;DO$399,DO$399&gt;$U412),0,(Input!$H175*((1+Input!$K175)^VLOOKUP(DO$399-$T412+1,$N$473:$P$477,3)))+(Input!$G175*BF$415))+Input!AV175,0)</f>
      </c>
      <c r="DP412" s="1806">
        <f>IF(Years="Five",IFERROR(IF(OR($T412&gt;DP$399,DP$399&gt;$U412),0,(Input!$H175*((1+Input!$K175)^VLOOKUP(DP$399-$T412+1,$N$473:$P$477,3)))+(Input!$G175*BG$415))+Input!AW175,0),0)</f>
      </c>
      <c r="DQ412" s="1806">
        <f>IF(Years="Five",IFERROR(IF(OR($T412&gt;DQ$399,DQ$399&gt;$U412),0,(Input!$H175*((1+Input!$K175)^VLOOKUP(DQ$399-$T412+1,$N$473:$P$477,3)))+(Input!$G175*BH$415))+Input!AX175,0),0)</f>
      </c>
      <c r="DR412" s="1807">
        <f>IF(Years="Five",IFERROR(IF(OR($T412&gt;DR$399,DR$399&gt;$U412),0,(Input!$H175*((1+Input!$K175)^VLOOKUP(DR$399-$T412+1,$N$473:$P$477,3)))+(Input!$G175*BI$415))+Input!AY175,0),0)</f>
      </c>
      <c r="DS412" s="1807">
        <f>IF(Years="Five",IFERROR(IF(OR($T412&gt;DS$399,DS$399&gt;$U412),0,(Input!$H175*((1+Input!$K175)^VLOOKUP(DS$399-$T412+1,$N$473:$P$477,3)))+(Input!$G175*BJ$415))+Input!AZ175,0),0)</f>
      </c>
      <c r="DT412" s="1807">
        <f>IF(Years="Five",IFERROR(IF(OR($T412&gt;DT$399,DT$399&gt;$U412),0,(Input!$H175*((1+Input!$K175)^VLOOKUP(DT$399-$T412+1,$N$473:$P$477,3)))+(Input!$G175*BK$415))+Input!BA175,0),0)</f>
      </c>
      <c r="DU412" s="1807">
        <f>IF(Years="Five",IFERROR(IF(OR($T412&gt;DU$399,DU$399&gt;$U412),0,(Input!$H175*((1+Input!$K175)^VLOOKUP(DU$399-$T412+1,$N$473:$P$477,3)))+(Input!$G175*BL$415))+Input!BB175,0),0)</f>
      </c>
      <c r="DV412" s="1807">
        <f>IF(Years="Five",IFERROR(IF(OR($T412&gt;DV$399,DV$399&gt;$U412),0,(Input!$H175*((1+Input!$K175)^VLOOKUP(DV$399-$T412+1,$N$473:$P$477,3)))+(Input!$G175*BM$415))+Input!BC175,0),0)</f>
      </c>
      <c r="DW412" s="1807">
        <f>IF(Years="Five",IFERROR(IF(OR($T412&gt;DW$399,DW$399&gt;$U412),0,(Input!$H175*((1+Input!$K175)^VLOOKUP(DW$399-$T412+1,$N$473:$P$477,3)))+(Input!$G175*BN$415))+Input!BD175,0),0)</f>
      </c>
      <c r="DX412" s="1807">
        <f>IF(Years="Five",IFERROR(IF(OR($T412&gt;DX$399,DX$399&gt;$U412),0,(Input!$H175*((1+Input!$K175)^VLOOKUP(DX$399-$T412+1,$N$473:$P$477,3)))+(Input!$G175*BO$415))+Input!BE175,0),0)</f>
      </c>
      <c r="DY412" s="1807">
        <f>IF(Years="Five",IFERROR(IF(OR($T412&gt;DY$399,DY$399&gt;$U412),0,(Input!$H175*((1+Input!$K175)^VLOOKUP(DY$399-$T412+1,$N$473:$P$477,3)))+(Input!$G175*BP$415))+Input!BF175,0),0)</f>
      </c>
      <c r="DZ412" s="1807">
        <f>IF(Years="Five",IFERROR(IF(OR($T412&gt;DZ$399,DZ$399&gt;$U412),0,(Input!$H175*((1+Input!$K175)^VLOOKUP(DZ$399-$T412+1,$N$473:$P$477,3)))+(Input!$G175*BQ$415))+Input!BG175,0),0)</f>
      </c>
      <c r="EA412" s="1807">
        <f>IF(Years="Five",IFERROR(IF(OR($T412&gt;EA$399,EA$399&gt;$U412),0,(Input!$H175*((1+Input!$K175)^VLOOKUP(EA$399-$T412+1,$N$473:$P$477,3)))+(Input!$G175*BR$415))+Input!BH175,0),0)</f>
      </c>
      <c r="EB412" s="1807">
        <f>IF(Years="Five",IFERROR(IF(OR($T412&gt;EB$399,EB$399&gt;$U412),0,(Input!$H175*((1+Input!$K175)^VLOOKUP(EB$399-$T412+1,$N$473:$P$477,3)))+(Input!$G175*BS$415))+Input!BI175,0),0)</f>
      </c>
      <c r="EC412" s="1807">
        <f>IF(Years="Five",IFERROR(IF(OR($T412&gt;EC$399,EC$399&gt;$U412),0,(Input!$H175*((1+Input!$K175)^VLOOKUP(EC$399-$T412+1,$N$473:$P$477,3)))+(Input!$G175*BT$415))+Input!BJ175,0),0)</f>
      </c>
      <c r="ED412" s="1807">
        <f>IF(Years="Five",IFERROR(IF(OR($T412&gt;ED$399,ED$399&gt;$U412),0,(Input!$H175*((1+Input!$K175)^VLOOKUP(ED$399-$T412+1,$N$473:$P$477,3)))+(Input!$G175*BU$415))+Input!BK175,0),0)</f>
      </c>
      <c r="EE412" s="1807">
        <f>IF(Years="Five",IFERROR(IF(OR($T412&gt;EE$399,EE$399&gt;$U412),0,(Input!$H175*((1+Input!$K175)^VLOOKUP(EE$399-$T412+1,$N$473:$P$477,3)))+(Input!$G175*BV$415))+Input!BL175,0),0)</f>
      </c>
      <c r="EF412" s="1807">
        <f>IF(Years="Five",IFERROR(IF(OR($T412&gt;EF$399,EF$399&gt;$U412),0,(Input!$H175*((1+Input!$K175)^VLOOKUP(EF$399-$T412+1,$N$473:$P$477,3)))+(Input!$G175*BW$415))+Input!BM175,0),0)</f>
      </c>
      <c r="EG412" s="1807">
        <f>IF(Years="Five",IFERROR(IF(OR($T412&gt;EG$399,EG$399&gt;$U412),0,(Input!$H175*((1+Input!$K175)^VLOOKUP(EG$399-$T412+1,$N$473:$P$477,3)))+(Input!$G175*BX$415))+Input!BN175,0),0)</f>
      </c>
      <c r="EH412" s="1807">
        <f>IF(Years="Five",IFERROR(IF(OR($T412&gt;EH$399,EH$399&gt;$U412),0,(Input!$H175*((1+Input!$K175)^VLOOKUP(EH$399-$T412+1,$N$473:$P$477,3)))+(Input!$G175*BY$415))+Input!BO175,0),0)</f>
      </c>
      <c r="EI412" s="1807">
        <f>IF(Years="Five",IFERROR(IF(OR($T412&gt;EI$399,EI$399&gt;$U412),0,(Input!$H175*((1+Input!$K175)^VLOOKUP(EI$399-$T412+1,$N$473:$P$477,3)))+(Input!$G175*BZ$415))+Input!BP175,0),0)</f>
      </c>
      <c r="EJ412" s="1807">
        <f>IF(Years="Five",IFERROR(IF(OR($T412&gt;EJ$399,EJ$399&gt;$U412),0,(Input!$H175*((1+Input!$K175)^VLOOKUP(EJ$399-$T412+1,$N$473:$P$477,3)))+(Input!$G175*CA$415))+Input!BQ175,0),0)</f>
      </c>
      <c r="EK412" s="1807">
        <f>IF(Years="Five",IFERROR(IF(OR($T412&gt;EK$399,EK$399&gt;$U412),0,(Input!$H175*((1+Input!$K175)^VLOOKUP(EK$399-$T412+1,$N$473:$P$477,3)))+(Input!$G175*CB$415))+Input!BR175,0),0)</f>
      </c>
      <c r="EL412" s="1807">
        <f>IF(Years="Five",IFERROR(IF(OR($T412&gt;EL$399,EL$399&gt;$U412),0,(Input!$H175*((1+Input!$K175)^VLOOKUP(EL$399-$T412+1,$N$473:$P$477,3)))+(Input!$G175*CC$415))+Input!BS175,0),0)</f>
      </c>
      <c r="EM412" s="1807">
        <f>IF(Years="Five",IFERROR(IF(OR($T412&gt;EM$399,EM$399&gt;$U412),0,(Input!$H175*((1+Input!$K175)^VLOOKUP(EM$399-$T412+1,$N$473:$P$477,3)))+(Input!$G175*CD$415))+Input!BT175,0),0)</f>
      </c>
      <c r="EN412" s="1300"/>
      <c r="EO412" s="1300"/>
      <c r="EP412" s="1300"/>
      <c r="EQ412" s="1300"/>
      <c r="ER412" s="1300"/>
      <c r="ES412" s="1300"/>
      <c r="ET412" s="1300"/>
      <c r="EU412" s="1300"/>
      <c r="EV412" s="1300"/>
      <c r="EW412" s="1300"/>
      <c r="EX412" s="1300"/>
    </row>
    <row r="413" spans="11:154" ht="12" customHeight="1" thickBot="1" x14ac:dyDescent="0.4">
      <c r="K413" s="102">
        <v>10</v>
      </c>
      <c r="L413" s="462">
        <f>Input!D176</f>
        <v>0</v>
      </c>
      <c r="M413" s="463">
        <f>IF(Input!$F$166&gt;=$K413,Input!H176,0)</f>
        <v>0</v>
      </c>
      <c r="N413" s="464">
        <f>Input!I176</f>
        <v>0</v>
      </c>
      <c r="O413" s="464">
        <f>Input!J176</f>
        <v>0</v>
      </c>
      <c r="P413" s="465">
        <f>Input!K176</f>
        <v>0</v>
      </c>
      <c r="Q413" s="466">
        <f>Input!G176</f>
        <v>0</v>
      </c>
      <c r="R413" s="1610"/>
      <c r="S413" s="102"/>
      <c r="T413" s="1302">
        <f>IFERROR(VLOOKUP(N413,Infrastructure!$D$70:$F$129,3,FALSE),0)</f>
        <v>1</v>
      </c>
      <c r="U413" s="1302">
        <f>IFERROR(VLOOKUP(O413,Infrastructure!$D$70:$F$129,3,FALSE),0)</f>
        <v>1</v>
      </c>
      <c r="V413" s="102"/>
      <c r="W413" s="467">
        <f>IF(Input!$F$166&gt;=$K413,Input!M176,0)</f>
        <v>0</v>
      </c>
      <c r="X413" s="463">
        <f>IF(Input!$F$166&gt;=$K413,Input!N176,0)</f>
        <v>0</v>
      </c>
      <c r="Y413" s="463">
        <f>IF(Input!$F$166&gt;=$K413,Input!O176,0)</f>
        <v>0</v>
      </c>
      <c r="Z413" s="463">
        <f>IF(Input!$F$166&gt;=$K413,Input!P176,0)</f>
        <v>0</v>
      </c>
      <c r="AA413" s="463">
        <f>IF(Input!$F$166&gt;=$K413,Input!Q176,0)</f>
        <v>0</v>
      </c>
      <c r="AB413" s="463">
        <f>IF(Input!$F$166&gt;=$K413,Input!R176,0)</f>
        <v>0</v>
      </c>
      <c r="AC413" s="463">
        <f>IF(Input!$F$166&gt;=$K413,Input!S176,0)</f>
        <v>0</v>
      </c>
      <c r="AD413" s="463">
        <f>IF(Input!$F$166&gt;=$K413,Input!T176,0)</f>
        <v>0</v>
      </c>
      <c r="AE413" s="463">
        <f>IF(Input!$F$166&gt;=$K413,Input!U176,0)</f>
        <v>0</v>
      </c>
      <c r="AF413" s="1132">
        <f>IF(Input!$F$166&gt;=$K413,Input!V176,0)</f>
        <v>0</v>
      </c>
      <c r="AG413" s="1132">
        <f>IF(Input!$F$166&gt;=$K413,Input!W176,0)</f>
        <v>0</v>
      </c>
      <c r="AH413" s="1132">
        <f>IF(Input!$F$166&gt;=$K413,Input!X176,0)</f>
        <v>0</v>
      </c>
      <c r="AI413" s="1132">
        <f>IF(Input!$F$166&gt;=$K413,Input!Y176,0)</f>
        <v>0</v>
      </c>
      <c r="AJ413" s="1132">
        <f>IF(Input!$F$166&gt;=$K413,Input!Z176,0)</f>
        <v>0</v>
      </c>
      <c r="AK413" s="1132">
        <f>IF(Input!$F$166&gt;=$K413,Input!AA176,0)</f>
        <v>0</v>
      </c>
      <c r="AL413" s="1132">
        <f>IF(Input!$F$166&gt;=$K413,Input!AB176,0)</f>
        <v>0</v>
      </c>
      <c r="AM413" s="1132">
        <f>IF(Input!$F$166&gt;=$K413,Input!AC176,0)</f>
        <v>0</v>
      </c>
      <c r="AN413" s="1132">
        <f>IF(Input!$F$166&gt;=$K413,Input!AD176,0)</f>
        <v>0</v>
      </c>
      <c r="AO413" s="1132">
        <f>IF(Input!$F$166&gt;=$K413,Input!AE176,0)</f>
        <v>0</v>
      </c>
      <c r="AP413" s="1132">
        <f>IF(Input!$F$166&gt;=$K413,Input!AF176,0)</f>
        <v>0</v>
      </c>
      <c r="AQ413" s="1132">
        <f>IF(Input!$F$166&gt;=$K413,Input!AG176,0)</f>
        <v>0</v>
      </c>
      <c r="AR413" s="1132">
        <f>IF(Input!$F$166&gt;=$K413,Input!AH176,0)</f>
        <v>0</v>
      </c>
      <c r="AS413" s="1132">
        <f>IF(Input!$F$166&gt;=$K413,Input!AI176,0)</f>
        <v>0</v>
      </c>
      <c r="AT413" s="1132">
        <f>IF(Input!$F$166&gt;=$K413,Input!AJ176,0)</f>
        <v>0</v>
      </c>
      <c r="AU413" s="1132">
        <f>IF(Input!$F$166&gt;=$K413,Input!AK176,0)</f>
        <v>0</v>
      </c>
      <c r="AV413" s="1132">
        <f>IF(Input!$F$166&gt;=$K413,Input!AL176,0)</f>
        <v>0</v>
      </c>
      <c r="AW413" s="1132">
        <f>IF(Input!$F$166&gt;=$K413,Input!AM176,0)</f>
        <v>0</v>
      </c>
      <c r="AX413" s="1132">
        <f>IF(Input!$F$166&gt;=$K413,Input!AN176,0)</f>
        <v>0</v>
      </c>
      <c r="AY413" s="1132">
        <f>IF(Input!$F$166&gt;=$K413,Input!AO176,0)</f>
        <v>0</v>
      </c>
      <c r="AZ413" s="1132">
        <f>IF(Input!$F$166&gt;=$K413,Input!AP176,0)</f>
        <v>0</v>
      </c>
      <c r="BA413" s="1132">
        <f>IF(Input!$F$166&gt;=$K413,Input!AQ176,0)</f>
        <v>0</v>
      </c>
      <c r="BB413" s="1132">
        <f>IF(Input!$F$166&gt;=$K413,Input!AR176,0)</f>
        <v>0</v>
      </c>
      <c r="BC413" s="1132">
        <f>IF(Input!$F$166&gt;=$K413,Input!AS176,0)</f>
        <v>0</v>
      </c>
      <c r="BD413" s="1132">
        <f>IF(Input!$F$166&gt;=$K413,Input!AT176,0)</f>
        <v>0</v>
      </c>
      <c r="BE413" s="1132">
        <f>IF(Input!$F$166&gt;=$K413,Input!AU176,0)</f>
        <v>0</v>
      </c>
      <c r="BF413" s="1132">
        <f>IF(Input!$F$166&gt;=$K413,Input!AV176,0)</f>
        <v>0</v>
      </c>
      <c r="BG413" s="1132">
        <f>IF(Input!$F$166&gt;=$K413,Input!AW176,0)</f>
        <v>0</v>
      </c>
      <c r="BH413" s="1132">
        <f>IF(Input!$F$166&gt;=$K413,Input!AX176,0)</f>
        <v>0</v>
      </c>
      <c r="BI413" s="1132">
        <f>IF(Input!$F$166&gt;=$K413,Input!AY176,0)</f>
        <v>0</v>
      </c>
      <c r="BJ413" s="1132">
        <f>IF(Input!$F$166&gt;=$K413,Input!AZ176,0)</f>
        <v>0</v>
      </c>
      <c r="BK413" s="1132">
        <f>IF(Input!$F$166&gt;=$K413,Input!BA176,0)</f>
        <v>0</v>
      </c>
      <c r="BL413" s="1132">
        <f>IF(Input!$F$166&gt;=$K413,Input!BB176,0)</f>
        <v>0</v>
      </c>
      <c r="BM413" s="1132">
        <f>IF(Input!$F$166&gt;=$K413,Input!BC176,0)</f>
        <v>0</v>
      </c>
      <c r="BN413" s="1132">
        <f>IF(Input!$F$166&gt;=$K413,Input!BD176,0)</f>
        <v>0</v>
      </c>
      <c r="BO413" s="1132">
        <f>IF(Input!$F$166&gt;=$K413,Input!BE176,0)</f>
        <v>0</v>
      </c>
      <c r="BP413" s="1132">
        <f>IF(Input!$F$166&gt;=$K413,Input!BF176,0)</f>
        <v>0</v>
      </c>
      <c r="BQ413" s="1132">
        <f>IF(Input!$F$166&gt;=$K413,Input!BG176,0)</f>
        <v>0</v>
      </c>
      <c r="BR413" s="1132">
        <f>IF(Input!$F$166&gt;=$K413,Input!BH176,0)</f>
        <v>0</v>
      </c>
      <c r="BS413" s="1132">
        <f>IF(Input!$F$166&gt;=$K413,Input!BI176,0)</f>
        <v>0</v>
      </c>
      <c r="BT413" s="1132">
        <f>IF(Input!$F$166&gt;=$K413,Input!BJ176,0)</f>
        <v>0</v>
      </c>
      <c r="BU413" s="1132">
        <f>IF(Input!$F$166&gt;=$K413,Input!BK176,0)</f>
        <v>0</v>
      </c>
      <c r="BV413" s="1132">
        <f>IF(Input!$F$166&gt;=$K413,Input!BL176,0)</f>
        <v>0</v>
      </c>
      <c r="BW413" s="1132">
        <f>IF(Input!$F$166&gt;=$K413,Input!BM176,0)</f>
        <v>0</v>
      </c>
      <c r="BX413" s="1132">
        <f>IF(Input!$F$166&gt;=$K413,Input!BN176,0)</f>
        <v>0</v>
      </c>
      <c r="BY413" s="1132">
        <f>IF(Input!$F$166&gt;=$K413,Input!BO176,0)</f>
        <v>0</v>
      </c>
      <c r="BZ413" s="1132">
        <f>IF(Input!$F$166&gt;=$K413,Input!BP176,0)</f>
        <v>0</v>
      </c>
      <c r="CA413" s="1132">
        <f>IF(Input!$F$166&gt;=$K413,Input!BQ176,0)</f>
        <v>0</v>
      </c>
      <c r="CB413" s="1132">
        <f>IF(Input!$F$166&gt;=$K413,Input!BR176,0)</f>
        <v>0</v>
      </c>
      <c r="CC413" s="1132">
        <f>IF(Input!$F$166&gt;=$K413,Input!BS176,0)</f>
        <v>0</v>
      </c>
      <c r="CD413" s="1133">
        <f>IF(Input!$F$166&gt;=$K413,Input!BT176,0)</f>
        <v>0</v>
      </c>
      <c r="CE413" s="1805" t="str">
        <f>IF(Input!D176&lt;&gt;"",Input!D176,"")</f>
        <v/>
      </c>
      <c r="CF413" s="1806">
        <f>IFERROR(IF(OR($T413&gt;CF$399,CF$399&gt;$U413),0,(Input!$H176*((1+Input!$K176)^VLOOKUP(CF$399-$T413+1,$N$473:$P$477,3)))+(Input!$G176*W$415))+Input!M176,0)</f>
      </c>
      <c r="CG413" s="1806">
        <f>IFERROR(IF(OR($T413&gt;CG$399,CG$399&gt;$U413),0,(Input!$H176*((1+Input!$K176)^VLOOKUP(CG$399-$T413+1,$N$473:$P$477,3)))+(Input!$G176*X$415))+Input!N176,0)</f>
      </c>
      <c r="CH413" s="1806">
        <f>IFERROR(IF(OR($T413&gt;CH$399,CH$399&gt;$U413),0,(Input!$H176*((1+Input!$K176)^VLOOKUP(CH$399-$T413+1,$N$473:$P$477,3)))+(Input!$G176*Y$415))+Input!O176,0)</f>
      </c>
      <c r="CI413" s="1806">
        <f>IFERROR(IF(OR($T413&gt;CI$399,CI$399&gt;$U413),0,(Input!$H176*((1+Input!$K176)^VLOOKUP(CI$399-$T413+1,$N$473:$P$477,3)))+(Input!$G176*Z$415))+Input!P176,0)</f>
      </c>
      <c r="CJ413" s="1806">
        <f>IFERROR(IF(OR($T413&gt;CJ$399,CJ$399&gt;$U413),0,(Input!$H176*((1+Input!$K176)^VLOOKUP(CJ$399-$T413+1,$N$473:$P$477,3)))+(Input!$G176*AA$415))+Input!Q176,0)</f>
      </c>
      <c r="CK413" s="1806">
        <f>IFERROR(IF(OR($T413&gt;CK$399,CK$399&gt;$U413),0,(Input!$H176*((1+Input!$K176)^VLOOKUP(CK$399-$T413+1,$N$473:$P$477,3)))+(Input!$G176*AB$415))+Input!R176,0)</f>
      </c>
      <c r="CL413" s="1806">
        <f>IFERROR(IF(OR($T413&gt;CL$399,CL$399&gt;$U413),0,(Input!$H176*((1+Input!$K176)^VLOOKUP(CL$399-$T413+1,$N$473:$P$477,3)))+(Input!$G176*AC$415))+Input!S176,0)</f>
      </c>
      <c r="CM413" s="1806">
        <f>IFERROR(IF(OR($T413&gt;CM$399,CM$399&gt;$U413),0,(Input!$H176*((1+Input!$K176)^VLOOKUP(CM$399-$T413+1,$N$473:$P$477,3)))+(Input!$G176*AD$415))+Input!T176,0)</f>
      </c>
      <c r="CN413" s="1806">
        <f>IFERROR(IF(OR($T413&gt;CN$399,CN$399&gt;$U413),0,(Input!$H176*((1+Input!$K176)^VLOOKUP(CN$399-$T413+1,$N$473:$P$477,3)))+(Input!$G176*AE$415))+Input!U176,0)</f>
      </c>
      <c r="CO413" s="1806">
        <f>IFERROR(IF(OR($T413&gt;CO$399,CO$399&gt;$U413),0,(Input!$H176*((1+Input!$K176)^VLOOKUP(CO$399-$T413+1,$N$473:$P$477,3)))+(Input!$G176*AF$415))+Input!V176,0)</f>
      </c>
      <c r="CP413" s="1806">
        <f>IFERROR(IF(OR($T413&gt;CP$399,CP$399&gt;$U413),0,(Input!$H176*((1+Input!$K176)^VLOOKUP(CP$399-$T413+1,$N$473:$P$477,3)))+(Input!$G176*AG$415))+Input!W176,0)</f>
      </c>
      <c r="CQ413" s="1806">
        <f>IFERROR(IF(OR($T413&gt;CQ$399,CQ$399&gt;$U413),0,(Input!$H176*((1+Input!$K176)^VLOOKUP(CQ$399-$T413+1,$N$473:$P$477,3)))+(Input!$G176*AH$415))+Input!X176,0)</f>
      </c>
      <c r="CR413" s="1806">
        <f>IFERROR(IF(OR($T413&gt;CR$399,CR$399&gt;$U413),0,(Input!$H176*((1+Input!$K176)^VLOOKUP(CR$399-$T413+1,$N$473:$P$477,3)))+(Input!$G176*AI$415))+Input!Y176,0)</f>
      </c>
      <c r="CS413" s="1806">
        <f>IFERROR(IF(OR($T413&gt;CS$399,CS$399&gt;$U413),0,(Input!$H176*((1+Input!$K176)^VLOOKUP(CS$399-$T413+1,$N$473:$P$477,3)))+(Input!$G176*AJ$415))+Input!Z176,0)</f>
      </c>
      <c r="CT413" s="1806">
        <f>IFERROR(IF(OR($T413&gt;CT$399,CT$399&gt;$U413),0,(Input!$H176*((1+Input!$K176)^VLOOKUP(CT$399-$T413+1,$N$473:$P$477,3)))+(Input!$G176*AK$415))+Input!AA176,0)</f>
      </c>
      <c r="CU413" s="1806">
        <f>IFERROR(IF(OR($T413&gt;CU$399,CU$399&gt;$U413),0,(Input!$H176*((1+Input!$K176)^VLOOKUP(CU$399-$T413+1,$N$473:$P$477,3)))+(Input!$G176*AL$415))+Input!AB176,0)</f>
      </c>
      <c r="CV413" s="1806">
        <f>IFERROR(IF(OR($T413&gt;CV$399,CV$399&gt;$U413),0,(Input!$H176*((1+Input!$K176)^VLOOKUP(CV$399-$T413+1,$N$473:$P$477,3)))+(Input!$G176*AM$415))+Input!AC176,0)</f>
      </c>
      <c r="CW413" s="1806">
        <f>IFERROR(IF(OR($T413&gt;CW$399,CW$399&gt;$U413),0,(Input!$H176*((1+Input!$K176)^VLOOKUP(CW$399-$T413+1,$N$473:$P$477,3)))+(Input!$G176*AN$415))+Input!AD176,0)</f>
      </c>
      <c r="CX413" s="1806">
        <f>IFERROR(IF(OR($T413&gt;CX$399,CX$399&gt;$U413),0,(Input!$H176*((1+Input!$K176)^VLOOKUP(CX$399-$T413+1,$N$473:$P$477,3)))+(Input!$G176*AO$415))+Input!AE176,0)</f>
      </c>
      <c r="CY413" s="1806">
        <f>IFERROR(IF(OR($T413&gt;CY$399,CY$399&gt;$U413),0,(Input!$H176*((1+Input!$K176)^VLOOKUP(CY$399-$T413+1,$N$473:$P$477,3)))+(Input!$G176*AP$415))+Input!AF176,0)</f>
      </c>
      <c r="CZ413" s="1806">
        <f>IFERROR(IF(OR($T413&gt;CZ$399,CZ$399&gt;$U413),0,(Input!$H176*((1+Input!$K176)^VLOOKUP(CZ$399-$T413+1,$N$473:$P$477,3)))+(Input!$G176*AQ$415))+Input!AG176,0)</f>
      </c>
      <c r="DA413" s="1806">
        <f>IFERROR(IF(OR($T413&gt;DA$399,DA$399&gt;$U413),0,(Input!$H176*((1+Input!$K176)^VLOOKUP(DA$399-$T413+1,$N$473:$P$477,3)))+(Input!$G176*AR$415))+Input!AH176,0)</f>
      </c>
      <c r="DB413" s="1806">
        <f>IFERROR(IF(OR($T413&gt;DB$399,DB$399&gt;$U413),0,(Input!$H176*((1+Input!$K176)^VLOOKUP(DB$399-$T413+1,$N$473:$P$477,3)))+(Input!$G176*AS$415))+Input!AI176,0)</f>
      </c>
      <c r="DC413" s="1806">
        <f>IFERROR(IF(OR($T413&gt;DC$399,DC$399&gt;$U413),0,(Input!$H176*((1+Input!$K176)^VLOOKUP(DC$399-$T413+1,$N$473:$P$477,3)))+(Input!$G176*AT$415))+Input!AJ176,0)</f>
      </c>
      <c r="DD413" s="1806">
        <f>IFERROR(IF(OR($T413&gt;DD$399,DD$399&gt;$U413),0,(Input!$H176*((1+Input!$K176)^VLOOKUP(DD$399-$T413+1,$N$473:$P$477,3)))+(Input!$G176*AU$415))+Input!AK176,0)</f>
      </c>
      <c r="DE413" s="1806">
        <f>IFERROR(IF(OR($T413&gt;DE$399,DE$399&gt;$U413),0,(Input!$H176*((1+Input!$K176)^VLOOKUP(DE$399-$T413+1,$N$473:$P$477,3)))+(Input!$G176*AV$415))+Input!AL176,0)</f>
      </c>
      <c r="DF413" s="1806">
        <f>IFERROR(IF(OR($T413&gt;DF$399,DF$399&gt;$U413),0,(Input!$H176*((1+Input!$K176)^VLOOKUP(DF$399-$T413+1,$N$473:$P$477,3)))+(Input!$G176*AW$415))+Input!AM176,0)</f>
      </c>
      <c r="DG413" s="1806">
        <f>IFERROR(IF(OR($T413&gt;DG$399,DG$399&gt;$U413),0,(Input!$H176*((1+Input!$K176)^VLOOKUP(DG$399-$T413+1,$N$473:$P$477,3)))+(Input!$G176*AX$415))+Input!AN176,0)</f>
      </c>
      <c r="DH413" s="1806">
        <f>IFERROR(IF(OR($T413&gt;DH$399,DH$399&gt;$U413),0,(Input!$H176*((1+Input!$K176)^VLOOKUP(DH$399-$T413+1,$N$473:$P$477,3)))+(Input!$G176*AY$415))+Input!AO176,0)</f>
      </c>
      <c r="DI413" s="1806">
        <f>IFERROR(IF(OR($T413&gt;DI$399,DI$399&gt;$U413),0,(Input!$H176*((1+Input!$K176)^VLOOKUP(DI$399-$T413+1,$N$473:$P$477,3)))+(Input!$G176*AZ$415))+Input!AP176,0)</f>
      </c>
      <c r="DJ413" s="1806">
        <f>IFERROR(IF(OR($T413&gt;DJ$399,DJ$399&gt;$U413),0,(Input!$H176*((1+Input!$K176)^VLOOKUP(DJ$399-$T413+1,$N$473:$P$477,3)))+(Input!$G176*BA$415))+Input!AQ176,0)</f>
      </c>
      <c r="DK413" s="1806">
        <f>IFERROR(IF(OR($T413&gt;DK$399,DK$399&gt;$U413),0,(Input!$H176*((1+Input!$K176)^VLOOKUP(DK$399-$T413+1,$N$473:$P$477,3)))+(Input!$G176*BB$415))+Input!AR176,0)</f>
      </c>
      <c r="DL413" s="1806">
        <f>IFERROR(IF(OR($T413&gt;DL$399,DL$399&gt;$U413),0,(Input!$H176*((1+Input!$K176)^VLOOKUP(DL$399-$T413+1,$N$473:$P$477,3)))+(Input!$G176*BC$415))+Input!AS176,0)</f>
      </c>
      <c r="DM413" s="1806">
        <f>IFERROR(IF(OR($T413&gt;DM$399,DM$399&gt;$U413),0,(Input!$H176*((1+Input!$K176)^VLOOKUP(DM$399-$T413+1,$N$473:$P$477,3)))+(Input!$G176*BD$415))+Input!AT176,0)</f>
      </c>
      <c r="DN413" s="1806">
        <f>IFERROR(IF(OR($T413&gt;DN$399,DN$399&gt;$U413),0,(Input!$H176*((1+Input!$K176)^VLOOKUP(DN$399-$T413+1,$N$473:$P$477,3)))+(Input!$G176*BE$415))+Input!AU176,0)</f>
      </c>
      <c r="DO413" s="1806">
        <f>IFERROR(IF(OR($T413&gt;DO$399,DO$399&gt;$U413),0,(Input!$H176*((1+Input!$K176)^VLOOKUP(DO$399-$T413+1,$N$473:$P$477,3)))+(Input!$G176*BF$415))+Input!AV176,0)</f>
      </c>
      <c r="DP413" s="1806">
        <f>IF(Years="Five",IFERROR(IF(OR($T413&gt;DP$399,DP$399&gt;$U413),0,(Input!$H176*((1+Input!$K176)^VLOOKUP(DP$399-$T413+1,$N$473:$P$477,3)))+(Input!$G176*BG$415))+Input!AW176,0),0)</f>
      </c>
      <c r="DQ413" s="1806">
        <f>IF(Years="Five",IFERROR(IF(OR($T413&gt;DQ$399,DQ$399&gt;$U413),0,(Input!$H176*((1+Input!$K176)^VLOOKUP(DQ$399-$T413+1,$N$473:$P$477,3)))+(Input!$G176*BH$415))+Input!AX176,0),0)</f>
      </c>
      <c r="DR413" s="1807">
        <f>IF(Years="Five",IFERROR(IF(OR($T413&gt;DR$399,DR$399&gt;$U413),0,(Input!$H176*((1+Input!$K176)^VLOOKUP(DR$399-$T413+1,$N$473:$P$477,3)))+(Input!$G176*BI$415))+Input!AY176,0),0)</f>
      </c>
      <c r="DS413" s="1807">
        <f>IF(Years="Five",IFERROR(IF(OR($T413&gt;DS$399,DS$399&gt;$U413),0,(Input!$H176*((1+Input!$K176)^VLOOKUP(DS$399-$T413+1,$N$473:$P$477,3)))+(Input!$G176*BJ$415))+Input!AZ176,0),0)</f>
      </c>
      <c r="DT413" s="1807">
        <f>IF(Years="Five",IFERROR(IF(OR($T413&gt;DT$399,DT$399&gt;$U413),0,(Input!$H176*((1+Input!$K176)^VLOOKUP(DT$399-$T413+1,$N$473:$P$477,3)))+(Input!$G176*BK$415))+Input!BA176,0),0)</f>
      </c>
      <c r="DU413" s="1807">
        <f>IF(Years="Five",IFERROR(IF(OR($T413&gt;DU$399,DU$399&gt;$U413),0,(Input!$H176*((1+Input!$K176)^VLOOKUP(DU$399-$T413+1,$N$473:$P$477,3)))+(Input!$G176*BL$415))+Input!BB176,0),0)</f>
      </c>
      <c r="DV413" s="1807">
        <f>IF(Years="Five",IFERROR(IF(OR($T413&gt;DV$399,DV$399&gt;$U413),0,(Input!$H176*((1+Input!$K176)^VLOOKUP(DV$399-$T413+1,$N$473:$P$477,3)))+(Input!$G176*BM$415))+Input!BC176,0),0)</f>
      </c>
      <c r="DW413" s="1807">
        <f>IF(Years="Five",IFERROR(IF(OR($T413&gt;DW$399,DW$399&gt;$U413),0,(Input!$H176*((1+Input!$K176)^VLOOKUP(DW$399-$T413+1,$N$473:$P$477,3)))+(Input!$G176*BN$415))+Input!BD176,0),0)</f>
      </c>
      <c r="DX413" s="1807">
        <f>IF(Years="Five",IFERROR(IF(OR($T413&gt;DX$399,DX$399&gt;$U413),0,(Input!$H176*((1+Input!$K176)^VLOOKUP(DX$399-$T413+1,$N$473:$P$477,3)))+(Input!$G176*BO$415))+Input!BE176,0),0)</f>
      </c>
      <c r="DY413" s="1807">
        <f>IF(Years="Five",IFERROR(IF(OR($T413&gt;DY$399,DY$399&gt;$U413),0,(Input!$H176*((1+Input!$K176)^VLOOKUP(DY$399-$T413+1,$N$473:$P$477,3)))+(Input!$G176*BP$415))+Input!BF176,0),0)</f>
      </c>
      <c r="DZ413" s="1807">
        <f>IF(Years="Five",IFERROR(IF(OR($T413&gt;DZ$399,DZ$399&gt;$U413),0,(Input!$H176*((1+Input!$K176)^VLOOKUP(DZ$399-$T413+1,$N$473:$P$477,3)))+(Input!$G176*BQ$415))+Input!BG176,0),0)</f>
      </c>
      <c r="EA413" s="1807">
        <f>IF(Years="Five",IFERROR(IF(OR($T413&gt;EA$399,EA$399&gt;$U413),0,(Input!$H176*((1+Input!$K176)^VLOOKUP(EA$399-$T413+1,$N$473:$P$477,3)))+(Input!$G176*BR$415))+Input!BH176,0),0)</f>
      </c>
      <c r="EB413" s="1807">
        <f>IF(Years="Five",IFERROR(IF(OR($T413&gt;EB$399,EB$399&gt;$U413),0,(Input!$H176*((1+Input!$K176)^VLOOKUP(EB$399-$T413+1,$N$473:$P$477,3)))+(Input!$G176*BS$415))+Input!BI176,0),0)</f>
      </c>
      <c r="EC413" s="1807">
        <f>IF(Years="Five",IFERROR(IF(OR($T413&gt;EC$399,EC$399&gt;$U413),0,(Input!$H176*((1+Input!$K176)^VLOOKUP(EC$399-$T413+1,$N$473:$P$477,3)))+(Input!$G176*BT$415))+Input!BJ176,0),0)</f>
      </c>
      <c r="ED413" s="1807">
        <f>IF(Years="Five",IFERROR(IF(OR($T413&gt;ED$399,ED$399&gt;$U413),0,(Input!$H176*((1+Input!$K176)^VLOOKUP(ED$399-$T413+1,$N$473:$P$477,3)))+(Input!$G176*BU$415))+Input!BK176,0),0)</f>
      </c>
      <c r="EE413" s="1807">
        <f>IF(Years="Five",IFERROR(IF(OR($T413&gt;EE$399,EE$399&gt;$U413),0,(Input!$H176*((1+Input!$K176)^VLOOKUP(EE$399-$T413+1,$N$473:$P$477,3)))+(Input!$G176*BV$415))+Input!BL176,0),0)</f>
      </c>
      <c r="EF413" s="1807">
        <f>IF(Years="Five",IFERROR(IF(OR($T413&gt;EF$399,EF$399&gt;$U413),0,(Input!$H176*((1+Input!$K176)^VLOOKUP(EF$399-$T413+1,$N$473:$P$477,3)))+(Input!$G176*BW$415))+Input!BM176,0),0)</f>
      </c>
      <c r="EG413" s="1807">
        <f>IF(Years="Five",IFERROR(IF(OR($T413&gt;EG$399,EG$399&gt;$U413),0,(Input!$H176*((1+Input!$K176)^VLOOKUP(EG$399-$T413+1,$N$473:$P$477,3)))+(Input!$G176*BX$415))+Input!BN176,0),0)</f>
      </c>
      <c r="EH413" s="1807">
        <f>IF(Years="Five",IFERROR(IF(OR($T413&gt;EH$399,EH$399&gt;$U413),0,(Input!$H176*((1+Input!$K176)^VLOOKUP(EH$399-$T413+1,$N$473:$P$477,3)))+(Input!$G176*BY$415))+Input!BO176,0),0)</f>
      </c>
      <c r="EI413" s="1807">
        <f>IF(Years="Five",IFERROR(IF(OR($T413&gt;EI$399,EI$399&gt;$U413),0,(Input!$H176*((1+Input!$K176)^VLOOKUP(EI$399-$T413+1,$N$473:$P$477,3)))+(Input!$G176*BZ$415))+Input!BP176,0),0)</f>
      </c>
      <c r="EJ413" s="1807">
        <f>IF(Years="Five",IFERROR(IF(OR($T413&gt;EJ$399,EJ$399&gt;$U413),0,(Input!$H176*((1+Input!$K176)^VLOOKUP(EJ$399-$T413+1,$N$473:$P$477,3)))+(Input!$G176*CA$415))+Input!BQ176,0),0)</f>
      </c>
      <c r="EK413" s="1807">
        <f>IF(Years="Five",IFERROR(IF(OR($T413&gt;EK$399,EK$399&gt;$U413),0,(Input!$H176*((1+Input!$K176)^VLOOKUP(EK$399-$T413+1,$N$473:$P$477,3)))+(Input!$G176*CB$415))+Input!BR176,0),0)</f>
      </c>
      <c r="EL413" s="1807">
        <f>IF(Years="Five",IFERROR(IF(OR($T413&gt;EL$399,EL$399&gt;$U413),0,(Input!$H176*((1+Input!$K176)^VLOOKUP(EL$399-$T413+1,$N$473:$P$477,3)))+(Input!$G176*CC$415))+Input!BS176,0),0)</f>
      </c>
      <c r="EM413" s="1807">
        <f>IF(Years="Five",IFERROR(IF(OR($T413&gt;EM$399,EM$399&gt;$U413),0,(Input!$H176*((1+Input!$K176)^VLOOKUP(EM$399-$T413+1,$N$473:$P$477,3)))+(Input!$G176*CD$415))+Input!BT176,0),0)</f>
      </c>
      <c r="EN413" s="1300"/>
      <c r="EO413" s="1300"/>
      <c r="EP413" s="1300"/>
      <c r="EQ413" s="1300"/>
      <c r="ER413" s="1300"/>
      <c r="ES413" s="1300"/>
      <c r="ET413" s="1300"/>
      <c r="EU413" s="1300"/>
      <c r="EV413" s="1300"/>
      <c r="EW413" s="1300"/>
      <c r="EX413" s="1300"/>
    </row>
    <row r="414" spans="11:154" ht="12" customHeight="1" x14ac:dyDescent="0.35">
      <c r="K414" s="1597"/>
      <c r="L414" s="1686"/>
      <c r="M414" s="1686"/>
      <c r="N414" s="1686"/>
      <c r="O414" s="1686"/>
      <c r="P414" s="1687"/>
      <c r="Q414" s="1688"/>
      <c r="R414" s="1610"/>
      <c r="S414" s="1597"/>
      <c r="T414" s="1597"/>
      <c r="U414" s="1597"/>
      <c r="V414" s="1597"/>
      <c r="W414" s="1686"/>
      <c r="X414" s="1686"/>
      <c r="Y414" s="1686"/>
      <c r="Z414" s="1686"/>
      <c r="AA414" s="1686"/>
      <c r="AB414" s="1686"/>
      <c r="AC414" s="1686"/>
      <c r="AD414" s="1686"/>
      <c r="AE414" s="1686"/>
      <c r="AF414" s="1689"/>
      <c r="AG414" s="1689"/>
      <c r="AH414" s="1689"/>
      <c r="AI414" s="1689"/>
      <c r="AJ414" s="1689"/>
      <c r="AK414" s="1689"/>
      <c r="AL414" s="1689"/>
      <c r="AM414" s="1689"/>
      <c r="AN414" s="1689"/>
      <c r="AO414" s="1689"/>
      <c r="AP414" s="1689"/>
      <c r="AQ414" s="1689"/>
      <c r="AR414" s="1689"/>
      <c r="AS414" s="1689"/>
      <c r="AT414" s="1689"/>
      <c r="AU414" s="1689"/>
      <c r="AV414" s="1689"/>
      <c r="AW414" s="1689"/>
      <c r="AX414" s="1689"/>
      <c r="AY414" s="1689"/>
      <c r="AZ414" s="1689"/>
      <c r="BA414" s="1689"/>
      <c r="BB414" s="1689"/>
      <c r="BC414" s="1689"/>
      <c r="BD414" s="1689"/>
      <c r="BE414" s="1689"/>
      <c r="BF414" s="1689"/>
      <c r="BG414" s="1689"/>
      <c r="BH414" s="1689"/>
      <c r="BI414" s="1689"/>
      <c r="BJ414" s="1689"/>
      <c r="BK414" s="1689"/>
      <c r="BL414" s="1689"/>
      <c r="BM414" s="1689"/>
      <c r="BN414" s="1689"/>
      <c r="BO414" s="1689"/>
      <c r="BP414" s="1689"/>
      <c r="BQ414" s="1689"/>
      <c r="BR414" s="1689"/>
      <c r="BS414" s="1689"/>
      <c r="BT414" s="1689"/>
      <c r="BU414" s="1689"/>
      <c r="BV414" s="1689"/>
      <c r="BW414" s="1689"/>
      <c r="BX414" s="1808"/>
      <c r="BY414" s="1808"/>
      <c r="BZ414" s="1808"/>
      <c r="CA414" s="1808"/>
      <c r="CB414" s="1808"/>
      <c r="CC414" s="1808"/>
      <c r="CD414" s="1808"/>
      <c r="CE414" s="1183"/>
      <c r="CF414" s="1134">
        <f t="shared" ref="CF414:DK414" si="213">SUM(CF404:CF413)</f>
        <v>0</v>
      </c>
      <c r="CG414" s="1134">
        <f t="shared" si="213"/>
        <v>0</v>
      </c>
      <c r="CH414" s="1134">
        <f t="shared" si="213"/>
        <v>0</v>
      </c>
      <c r="CI414" s="1134">
        <f t="shared" si="213"/>
        <v>0</v>
      </c>
      <c r="CJ414" s="1134">
        <f t="shared" si="213"/>
        <v>0</v>
      </c>
      <c r="CK414" s="1134">
        <f t="shared" si="213"/>
        <v>0</v>
      </c>
      <c r="CL414" s="1134">
        <f t="shared" si="213"/>
        <v>0</v>
      </c>
      <c r="CM414" s="1134">
        <f t="shared" si="213"/>
        <v>0</v>
      </c>
      <c r="CN414" s="1134">
        <f t="shared" si="213"/>
        <v>0</v>
      </c>
      <c r="CO414" s="1134">
        <f t="shared" si="213"/>
        <v>0</v>
      </c>
      <c r="CP414" s="1134">
        <f t="shared" si="213"/>
        <v>0</v>
      </c>
      <c r="CQ414" s="1134">
        <f t="shared" si="213"/>
        <v>0</v>
      </c>
      <c r="CR414" s="1134">
        <f t="shared" si="213"/>
        <v>0</v>
      </c>
      <c r="CS414" s="1134">
        <f t="shared" si="213"/>
        <v>0</v>
      </c>
      <c r="CT414" s="1134">
        <f t="shared" si="213"/>
        <v>0</v>
      </c>
      <c r="CU414" s="1134">
        <f t="shared" si="213"/>
        <v>0</v>
      </c>
      <c r="CV414" s="1134">
        <f t="shared" si="213"/>
        <v>0</v>
      </c>
      <c r="CW414" s="1134">
        <f t="shared" si="213"/>
        <v>0</v>
      </c>
      <c r="CX414" s="1134">
        <f t="shared" si="213"/>
        <v>0</v>
      </c>
      <c r="CY414" s="1134">
        <f t="shared" si="213"/>
        <v>0</v>
      </c>
      <c r="CZ414" s="1134">
        <f t="shared" si="213"/>
        <v>0</v>
      </c>
      <c r="DA414" s="1134">
        <f t="shared" si="213"/>
        <v>0</v>
      </c>
      <c r="DB414" s="1134">
        <f t="shared" si="213"/>
        <v>0</v>
      </c>
      <c r="DC414" s="1134">
        <f t="shared" si="213"/>
        <v>0</v>
      </c>
      <c r="DD414" s="1134">
        <f t="shared" si="213"/>
        <v>0</v>
      </c>
      <c r="DE414" s="1134">
        <f t="shared" si="213"/>
        <v>0</v>
      </c>
      <c r="DF414" s="1134">
        <f t="shared" si="213"/>
        <v>0</v>
      </c>
      <c r="DG414" s="1134">
        <f t="shared" si="213"/>
        <v>0</v>
      </c>
      <c r="DH414" s="1134">
        <f t="shared" si="213"/>
        <v>0</v>
      </c>
      <c r="DI414" s="1134">
        <f t="shared" si="213"/>
        <v>0</v>
      </c>
      <c r="DJ414" s="1134">
        <f t="shared" si="213"/>
        <v>0</v>
      </c>
      <c r="DK414" s="1134">
        <f t="shared" si="213"/>
        <v>0</v>
      </c>
      <c r="DL414" s="1134">
        <f t="shared" ref="DL414:EM414" si="214">SUM(DL404:DL413)</f>
        <v>0</v>
      </c>
      <c r="DM414" s="1134">
        <f t="shared" si="214"/>
        <v>0</v>
      </c>
      <c r="DN414" s="1134">
        <f t="shared" si="214"/>
        <v>0</v>
      </c>
      <c r="DO414" s="1134">
        <f t="shared" si="214"/>
        <v>0</v>
      </c>
      <c r="DP414" s="1134">
        <f t="shared" si="214"/>
        <v>0</v>
      </c>
      <c r="DQ414" s="1134">
        <f t="shared" si="214"/>
        <v>0</v>
      </c>
      <c r="DR414" s="675">
        <f t="shared" si="214"/>
        <v>0</v>
      </c>
      <c r="DS414" s="675">
        <f t="shared" si="214"/>
        <v>0</v>
      </c>
      <c r="DT414" s="675">
        <f t="shared" si="214"/>
        <v>0</v>
      </c>
      <c r="DU414" s="675">
        <f t="shared" si="214"/>
        <v>0</v>
      </c>
      <c r="DV414" s="675">
        <f t="shared" si="214"/>
        <v>0</v>
      </c>
      <c r="DW414" s="675">
        <f t="shared" si="214"/>
        <v>0</v>
      </c>
      <c r="DX414" s="675">
        <f t="shared" si="214"/>
        <v>0</v>
      </c>
      <c r="DY414" s="675">
        <f t="shared" si="214"/>
        <v>0</v>
      </c>
      <c r="DZ414" s="675">
        <f t="shared" si="214"/>
        <v>0</v>
      </c>
      <c r="EA414" s="675">
        <f t="shared" si="214"/>
        <v>0</v>
      </c>
      <c r="EB414" s="675">
        <f t="shared" si="214"/>
        <v>0</v>
      </c>
      <c r="EC414" s="675">
        <f t="shared" si="214"/>
        <v>0</v>
      </c>
      <c r="ED414" s="675">
        <f t="shared" si="214"/>
        <v>0</v>
      </c>
      <c r="EE414" s="675">
        <f t="shared" si="214"/>
        <v>0</v>
      </c>
      <c r="EF414" s="675">
        <f t="shared" si="214"/>
        <v>0</v>
      </c>
      <c r="EG414" s="675">
        <f t="shared" si="214"/>
        <v>0</v>
      </c>
      <c r="EH414" s="675">
        <f t="shared" si="214"/>
        <v>0</v>
      </c>
      <c r="EI414" s="675">
        <f t="shared" si="214"/>
        <v>0</v>
      </c>
      <c r="EJ414" s="675">
        <f t="shared" si="214"/>
        <v>0</v>
      </c>
      <c r="EK414" s="675">
        <f t="shared" si="214"/>
        <v>0</v>
      </c>
      <c r="EL414" s="675">
        <f t="shared" si="214"/>
        <v>0</v>
      </c>
      <c r="EM414" s="675">
        <f t="shared" si="214"/>
        <v>0</v>
      </c>
      <c r="EN414" s="1300"/>
      <c r="EO414" s="1300"/>
      <c r="EP414" s="1300"/>
      <c r="EQ414" s="1300"/>
      <c r="ER414" s="1300"/>
      <c r="ES414" s="1300"/>
      <c r="ET414" s="1300"/>
      <c r="EU414" s="1300"/>
      <c r="EV414" s="1300"/>
      <c r="EW414" s="1300"/>
      <c r="EX414" s="1300"/>
    </row>
    <row r="415" spans="11:154" ht="12" customHeight="1" x14ac:dyDescent="0.35">
      <c r="K415" s="1597"/>
      <c r="L415" s="1892" t="s">
        <v>19</v>
      </c>
      <c r="M415" s="1892"/>
      <c r="N415" s="1597"/>
      <c r="O415" s="1597"/>
      <c r="P415" s="1690"/>
      <c r="Q415" s="1691"/>
      <c r="R415" s="1691"/>
      <c r="S415" s="1171" t="s">
        <v>430</v>
      </c>
      <c r="T415" s="1171"/>
      <c r="U415" s="1171"/>
      <c r="V415" s="1171"/>
      <c r="W415" s="1692">
        <f>Financials!E33</f>
        <v>0</v>
      </c>
      <c r="X415" s="1692">
        <f>Financials!F33</f>
        <v>0</v>
      </c>
      <c r="Y415" s="1692">
        <f>Financials!G33</f>
        <v>0</v>
      </c>
      <c r="Z415" s="1692">
        <f>Financials!H33</f>
        <v>0</v>
      </c>
      <c r="AA415" s="1692">
        <f>Financials!I33</f>
        <v>0</v>
      </c>
      <c r="AB415" s="1692">
        <f>Financials!J33</f>
        <v>0</v>
      </c>
      <c r="AC415" s="1692">
        <f>Financials!K33</f>
        <v>0</v>
      </c>
      <c r="AD415" s="1692">
        <f>Financials!L33</f>
        <v>0</v>
      </c>
      <c r="AE415" s="1692">
        <f>Financials!M33</f>
        <v>0</v>
      </c>
      <c r="AF415" s="1693">
        <f>Financials!N33</f>
        <v>0</v>
      </c>
      <c r="AG415" s="1693">
        <f>Financials!O33</f>
        <v>0</v>
      </c>
      <c r="AH415" s="1693">
        <f>Financials!P33</f>
        <v>0</v>
      </c>
      <c r="AI415" s="1693">
        <f>Financials!R33</f>
        <v>0</v>
      </c>
      <c r="AJ415" s="1693">
        <f>Financials!S33</f>
        <v>0</v>
      </c>
      <c r="AK415" s="1693">
        <f>Financials!T33</f>
        <v>0</v>
      </c>
      <c r="AL415" s="1693">
        <f>Financials!U33</f>
        <v>0</v>
      </c>
      <c r="AM415" s="1693">
        <f>Financials!V33</f>
        <v>0</v>
      </c>
      <c r="AN415" s="1693">
        <f>Financials!W33</f>
        <v>0</v>
      </c>
      <c r="AO415" s="1693">
        <f>Financials!X33</f>
        <v>0</v>
      </c>
      <c r="AP415" s="1693">
        <f>Financials!Y33</f>
        <v>0</v>
      </c>
      <c r="AQ415" s="1693">
        <f>Financials!Z33</f>
        <v>0</v>
      </c>
      <c r="AR415" s="1693">
        <f>Financials!AA33</f>
        <v>0</v>
      </c>
      <c r="AS415" s="1693">
        <f>Financials!AB33</f>
        <v>0</v>
      </c>
      <c r="AT415" s="1693">
        <f>Financials!AC33</f>
        <v>0</v>
      </c>
      <c r="AU415" s="1693">
        <f>Financials!AE33</f>
        <v>0</v>
      </c>
      <c r="AV415" s="1693">
        <f>Financials!AF33</f>
        <v>0</v>
      </c>
      <c r="AW415" s="1693">
        <f>Financials!AG33</f>
        <v>0</v>
      </c>
      <c r="AX415" s="1693">
        <f>Financials!AH33</f>
        <v>0</v>
      </c>
      <c r="AY415" s="1693">
        <f>Financials!AI33</f>
        <v>0</v>
      </c>
      <c r="AZ415" s="1693">
        <f>Financials!AJ33</f>
        <v>0</v>
      </c>
      <c r="BA415" s="1693">
        <f>Financials!AK33</f>
        <v>0</v>
      </c>
      <c r="BB415" s="1693">
        <f>Financials!AL33</f>
        <v>0</v>
      </c>
      <c r="BC415" s="1693">
        <f>Financials!AM33</f>
        <v>0</v>
      </c>
      <c r="BD415" s="1693">
        <f>Financials!AN33</f>
        <v>0</v>
      </c>
      <c r="BE415" s="1693">
        <f>Financials!AO33</f>
        <v>0</v>
      </c>
      <c r="BF415" s="1693">
        <f>Financials!AP33</f>
        <v>0</v>
      </c>
      <c r="BG415" s="1693">
        <f>Financials!AR33</f>
        <v>0</v>
      </c>
      <c r="BH415" s="1693">
        <f>Financials!AS33</f>
        <v>0</v>
      </c>
      <c r="BI415" s="1693">
        <f>Financials!AT33</f>
        <v>0</v>
      </c>
      <c r="BJ415" s="1693">
        <f>Financials!AU33</f>
        <v>0</v>
      </c>
      <c r="BK415" s="1693">
        <f>Financials!AV33</f>
        <v>0</v>
      </c>
      <c r="BL415" s="1693">
        <f>Financials!AW33</f>
        <v>0</v>
      </c>
      <c r="BM415" s="1693">
        <f>Financials!AX33</f>
        <v>0</v>
      </c>
      <c r="BN415" s="1693">
        <f>Financials!AY33</f>
        <v>0</v>
      </c>
      <c r="BO415" s="1693">
        <f>Financials!AZ33</f>
        <v>0</v>
      </c>
      <c r="BP415" s="1693">
        <f>Financials!BA33</f>
        <v>0</v>
      </c>
      <c r="BQ415" s="1693">
        <f>Financials!BB33</f>
        <v>0</v>
      </c>
      <c r="BR415" s="1693">
        <f>Financials!BC33</f>
        <v>0</v>
      </c>
      <c r="BS415" s="1693">
        <f>Financials!BE33</f>
        <v>0</v>
      </c>
      <c r="BT415" s="1693">
        <f>Financials!BF33</f>
        <v>0</v>
      </c>
      <c r="BU415" s="1693">
        <f>Financials!BG33</f>
        <v>0</v>
      </c>
      <c r="BV415" s="1693">
        <f>Financials!BH33</f>
        <v>0</v>
      </c>
      <c r="BW415" s="1693">
        <f>Financials!BI33</f>
        <v>0</v>
      </c>
      <c r="BX415" s="1809">
        <f>Financials!BJ33</f>
        <v>0</v>
      </c>
      <c r="BY415" s="1809">
        <f>Financials!BK33</f>
        <v>0</v>
      </c>
      <c r="BZ415" s="1809">
        <f>Financials!BL33</f>
        <v>0</v>
      </c>
      <c r="CA415" s="1809">
        <f>Financials!BM33</f>
        <v>0</v>
      </c>
      <c r="CB415" s="1809">
        <f>Financials!BN33</f>
        <v>0</v>
      </c>
      <c r="CC415" s="1809">
        <f>Financials!BO33</f>
        <v>0</v>
      </c>
      <c r="CD415" s="1809">
        <f>Financials!BP33</f>
        <v>0</v>
      </c>
      <c r="CE415" s="1183"/>
      <c r="CF415" s="1183"/>
      <c r="CG415" s="1183"/>
      <c r="CH415" s="1183"/>
      <c r="CI415" s="1183"/>
      <c r="CJ415" s="1183"/>
      <c r="CK415" s="1183"/>
      <c r="CL415" s="1183"/>
      <c r="CM415" s="1183"/>
      <c r="CN415" s="1183"/>
      <c r="CO415" s="1183"/>
      <c r="CP415" s="1183"/>
      <c r="CQ415" s="1183"/>
      <c r="CR415" s="1183"/>
      <c r="CS415" s="1183"/>
      <c r="CT415" s="1183"/>
      <c r="CU415" s="1183"/>
      <c r="CV415" s="1183"/>
      <c r="CW415" s="1183"/>
      <c r="CX415" s="1183"/>
      <c r="CY415" s="1183"/>
      <c r="CZ415" s="1183"/>
      <c r="DA415" s="1183"/>
      <c r="DB415" s="1183"/>
      <c r="DC415" s="1183"/>
      <c r="DD415" s="1183"/>
      <c r="DE415" s="1183"/>
      <c r="DF415" s="1183"/>
      <c r="DG415" s="1183"/>
      <c r="DH415" s="1183"/>
      <c r="DI415" s="1183"/>
      <c r="DJ415" s="1183"/>
      <c r="DK415" s="1183"/>
      <c r="DL415" s="1183"/>
      <c r="DM415" s="1183"/>
      <c r="DN415" s="1183"/>
      <c r="DO415" s="1183"/>
      <c r="DP415" s="1183"/>
      <c r="DQ415" s="1183"/>
      <c r="DR415" s="1804"/>
      <c r="DS415" s="1804"/>
      <c r="DT415" s="1804"/>
      <c r="DU415" s="1804"/>
      <c r="DV415" s="1804"/>
      <c r="DW415" s="1804"/>
      <c r="DX415" s="1804"/>
      <c r="DY415" s="1804"/>
      <c r="DZ415" s="1804"/>
      <c r="EA415" s="1804"/>
      <c r="EB415" s="1804"/>
      <c r="EC415" s="1804"/>
      <c r="ED415" s="1804"/>
      <c r="EE415" s="1804"/>
      <c r="EF415" s="1804"/>
      <c r="EG415" s="1804"/>
      <c r="EH415" s="1804"/>
      <c r="EI415" s="1804"/>
      <c r="EJ415" s="1804"/>
      <c r="EK415" s="1804"/>
      <c r="EL415" s="1804"/>
      <c r="EM415" s="1804"/>
      <c r="EN415" s="1300"/>
      <c r="EO415" s="1300"/>
      <c r="EP415" s="1300"/>
      <c r="EQ415" s="1300"/>
      <c r="ER415" s="1300"/>
      <c r="ES415" s="1300"/>
      <c r="ET415" s="1300"/>
      <c r="EU415" s="1300"/>
      <c r="EV415" s="1300"/>
      <c r="EW415" s="1300"/>
      <c r="EX415" s="1300"/>
    </row>
    <row r="416" spans="11:154" ht="12" customHeight="1" x14ac:dyDescent="0.35">
      <c r="K416" s="330"/>
      <c r="L416" s="1892"/>
      <c r="M416" s="1892"/>
      <c r="N416" s="330"/>
      <c r="O416" s="330"/>
      <c r="P416" s="1694"/>
      <c r="Q416" s="330"/>
      <c r="R416" s="1695"/>
      <c r="S416" s="330"/>
      <c r="T416" s="330"/>
      <c r="U416" s="330"/>
      <c r="V416" s="330"/>
      <c r="W416" s="330"/>
      <c r="X416" s="330"/>
      <c r="Y416" s="330"/>
      <c r="Z416" s="330"/>
      <c r="AA416" s="330"/>
      <c r="AB416" s="330"/>
      <c r="AC416" s="330"/>
      <c r="AD416" s="330"/>
      <c r="AE416" s="330"/>
      <c r="AF416" s="1223"/>
      <c r="AG416" s="1223"/>
      <c r="AH416" s="1140">
        <f>COUNTIF(AH404:AH413,"&gt;0")</f>
        <v>0</v>
      </c>
      <c r="AI416" s="1223"/>
      <c r="AJ416" s="1223"/>
      <c r="AK416" s="1223"/>
      <c r="AL416" s="1223"/>
      <c r="AM416" s="1223"/>
      <c r="AN416" s="1223"/>
      <c r="AO416" s="1223"/>
      <c r="AP416" s="1223"/>
      <c r="AQ416" s="1223"/>
      <c r="AR416" s="1223"/>
      <c r="AS416" s="1223"/>
      <c r="AT416" s="1140">
        <f>COUNTIF(AT404:AT413,"&gt;0")</f>
        <v>0</v>
      </c>
      <c r="AU416" s="1223"/>
      <c r="AV416" s="1223"/>
      <c r="AW416" s="1223"/>
      <c r="AX416" s="1223"/>
      <c r="AY416" s="1223"/>
      <c r="AZ416" s="1223"/>
      <c r="BA416" s="1223"/>
      <c r="BB416" s="1223"/>
      <c r="BC416" s="1223"/>
      <c r="BD416" s="1223"/>
      <c r="BE416" s="1223"/>
      <c r="BF416" s="1140">
        <f>COUNTIF(BF404:BF413,"&gt;0")</f>
        <v>0</v>
      </c>
      <c r="BG416" s="1223"/>
      <c r="BH416" s="1223"/>
      <c r="BI416" s="1223"/>
      <c r="BJ416" s="1223"/>
      <c r="BK416" s="1223"/>
      <c r="BL416" s="1223"/>
      <c r="BM416" s="1223"/>
      <c r="BN416" s="1223"/>
      <c r="BO416" s="1223"/>
      <c r="BP416" s="1223"/>
      <c r="BQ416" s="1223"/>
      <c r="BR416" s="1140">
        <f>COUNTIF(BR404:BR413,"&gt;0")</f>
        <v>0</v>
      </c>
      <c r="BS416" s="1223"/>
      <c r="BT416" s="1223"/>
      <c r="BU416" s="1223"/>
      <c r="BV416" s="1223"/>
      <c r="BW416" s="1223"/>
      <c r="BX416" s="429"/>
      <c r="BY416" s="429"/>
      <c r="BZ416" s="429"/>
      <c r="CA416" s="429"/>
      <c r="CB416" s="429"/>
      <c r="CC416" s="429"/>
      <c r="CD416" s="84">
        <f>COUNTIF(CD404:CD413,"&gt;0")</f>
        <v>0</v>
      </c>
      <c r="CE416" s="429"/>
      <c r="CF416" s="1135">
        <f>$CF$414</f>
        <v>0</v>
      </c>
      <c r="CG416" s="1135">
        <f>$CG$414</f>
        <v>0</v>
      </c>
      <c r="CH416" s="1135">
        <f>$CH$414</f>
        <v>0</v>
      </c>
      <c r="CI416" s="1135">
        <f>$CI$414</f>
        <v>0</v>
      </c>
      <c r="CJ416" s="1135">
        <f>$CJ$414</f>
        <v>0</v>
      </c>
      <c r="CK416" s="1135">
        <f>$CK$414</f>
        <v>0</v>
      </c>
      <c r="CL416" s="1135">
        <f>$CL$414</f>
        <v>0</v>
      </c>
      <c r="CM416" s="1135">
        <f>$CM$414</f>
        <v>0</v>
      </c>
      <c r="CN416" s="1135">
        <f>$CN$414</f>
        <v>0</v>
      </c>
      <c r="CO416" s="1135">
        <f>$CO$414</f>
        <v>0</v>
      </c>
      <c r="CP416" s="1135">
        <f>$CP$414</f>
        <v>0</v>
      </c>
      <c r="CQ416" s="1135">
        <f>$CQ$414</f>
        <v>0</v>
      </c>
      <c r="CR416" s="1135">
        <f>$CR$414</f>
        <v>0</v>
      </c>
      <c r="CS416" s="1135">
        <f>$CS$414</f>
        <v>0</v>
      </c>
      <c r="CT416" s="1135">
        <f>$CT$414</f>
        <v>0</v>
      </c>
      <c r="CU416" s="1135">
        <f>$CU$414</f>
        <v>0</v>
      </c>
      <c r="CV416" s="1135">
        <f>$CV$414</f>
        <v>0</v>
      </c>
      <c r="CW416" s="1135">
        <f>$CW$414</f>
        <v>0</v>
      </c>
      <c r="CX416" s="1135">
        <f>$CX$414</f>
        <v>0</v>
      </c>
      <c r="CY416" s="1135">
        <f>$CY$414</f>
        <v>0</v>
      </c>
      <c r="CZ416" s="1135">
        <f>$CZ$414</f>
        <v>0</v>
      </c>
      <c r="DA416" s="1135">
        <f>$DA$414</f>
        <v>0</v>
      </c>
      <c r="DB416" s="1135">
        <f>$DB$414</f>
        <v>0</v>
      </c>
      <c r="DC416" s="1135">
        <f>$DC$414</f>
        <v>0</v>
      </c>
      <c r="DD416" s="1135">
        <f>$DD$414</f>
        <v>0</v>
      </c>
      <c r="DE416" s="1135">
        <f>$DE$414</f>
        <v>0</v>
      </c>
      <c r="DF416" s="1135">
        <f>$DF$414</f>
        <v>0</v>
      </c>
      <c r="DG416" s="1135">
        <f>$DG$414</f>
        <v>0</v>
      </c>
      <c r="DH416" s="1135">
        <f>$DH$414</f>
        <v>0</v>
      </c>
      <c r="DI416" s="1135">
        <f>$DI$414</f>
        <v>0</v>
      </c>
      <c r="DJ416" s="1135">
        <f>$DJ$414</f>
        <v>0</v>
      </c>
      <c r="DK416" s="1135">
        <f>$DK$414</f>
        <v>0</v>
      </c>
      <c r="DL416" s="1135">
        <f>$DL$414</f>
        <v>0</v>
      </c>
      <c r="DM416" s="1135">
        <f>$DM$414</f>
        <v>0</v>
      </c>
      <c r="DN416" s="1135">
        <f>$DN$414</f>
        <v>0</v>
      </c>
      <c r="DO416" s="1135">
        <f>$DO$414</f>
        <v>0</v>
      </c>
      <c r="DP416" s="1135">
        <f>$DP$414</f>
        <v>0</v>
      </c>
      <c r="DQ416" s="1135">
        <f>$DQ$414</f>
        <v>0</v>
      </c>
      <c r="DR416" s="401">
        <f>$DR$414</f>
        <v>0</v>
      </c>
      <c r="DS416" s="401">
        <f>$DS$414</f>
        <v>0</v>
      </c>
      <c r="DT416" s="401">
        <f>$DT$414</f>
        <v>0</v>
      </c>
      <c r="DU416" s="401">
        <f>$DU$414</f>
        <v>0</v>
      </c>
      <c r="DV416" s="401">
        <f>$DV$414</f>
        <v>0</v>
      </c>
      <c r="DW416" s="401">
        <f>$DW$414</f>
        <v>0</v>
      </c>
      <c r="DX416" s="401">
        <f>$DX$414</f>
        <v>0</v>
      </c>
      <c r="DY416" s="401">
        <f>$DY$414</f>
        <v>0</v>
      </c>
      <c r="DZ416" s="401">
        <f>$DZ$414</f>
        <v>0</v>
      </c>
      <c r="EA416" s="401">
        <f>$EA$414</f>
        <v>0</v>
      </c>
      <c r="EB416" s="401">
        <f>$EB$414</f>
        <v>0</v>
      </c>
      <c r="EC416" s="401">
        <f>$EC$414</f>
        <v>0</v>
      </c>
      <c r="ED416" s="401">
        <f>$ED$414</f>
        <v>0</v>
      </c>
      <c r="EE416" s="401">
        <f>$EE$414</f>
        <v>0</v>
      </c>
      <c r="EF416" s="401">
        <f>$EF$414</f>
        <v>0</v>
      </c>
      <c r="EG416" s="401">
        <f>$EG$414</f>
        <v>0</v>
      </c>
      <c r="EH416" s="401">
        <f>$EH$414</f>
        <v>0</v>
      </c>
      <c r="EI416" s="401">
        <f>$EI$414</f>
        <v>0</v>
      </c>
      <c r="EJ416" s="401">
        <f>$EJ$414</f>
        <v>0</v>
      </c>
      <c r="EK416" s="401">
        <f>$EK$414</f>
        <v>0</v>
      </c>
      <c r="EL416" s="401">
        <f>$EL$414</f>
        <v>0</v>
      </c>
      <c r="EM416" s="401">
        <f>$EM$414</f>
        <v>0</v>
      </c>
      <c r="EN416" s="1300"/>
      <c r="EO416" s="1300"/>
      <c r="EP416" s="1300">
        <f>$CF$414</f>
        <v>0</v>
      </c>
      <c r="EQ416" s="1300">
        <f>$CR$414</f>
        <v>0</v>
      </c>
      <c r="ER416" s="1300">
        <f>$DD$414</f>
        <v>0</v>
      </c>
      <c r="ES416" s="1810">
        <f>$DD$414</f>
        <v>0</v>
      </c>
      <c r="ET416" s="1810">
        <f>$DP$414</f>
        <v>0</v>
      </c>
      <c r="EU416" s="1300"/>
      <c r="EV416" s="1300"/>
      <c r="EW416" s="1300"/>
      <c r="EX416" s="1300"/>
    </row>
    <row r="417" spans="11:150" ht="12" customHeight="1" x14ac:dyDescent="0.35">
      <c r="K417" s="330"/>
      <c r="L417" s="1892" t="s">
        <v>429</v>
      </c>
      <c r="M417" s="1892"/>
      <c r="N417" s="330"/>
      <c r="O417" s="330"/>
      <c r="P417" s="1694"/>
      <c r="Q417" s="330"/>
      <c r="R417" s="1695"/>
      <c r="S417" s="1695"/>
      <c r="T417" s="1695"/>
      <c r="U417" s="1695"/>
      <c r="V417" s="1695"/>
      <c r="W417" s="1892" t="s">
        <v>160</v>
      </c>
      <c r="X417" s="1892"/>
      <c r="Y417" s="1892"/>
      <c r="Z417" s="1892"/>
      <c r="AA417" s="1695"/>
      <c r="AB417" s="1695"/>
      <c r="AC417" s="1695"/>
      <c r="AD417" s="1695"/>
      <c r="AE417" s="1695"/>
      <c r="AF417" s="1695"/>
      <c r="AG417" s="1695"/>
      <c r="AH417" s="1171"/>
      <c r="AI417" s="1171"/>
      <c r="AJ417" s="1171"/>
      <c r="AK417" s="1171"/>
      <c r="AL417" s="1171"/>
      <c r="AM417" s="1171"/>
      <c r="AN417" s="1171"/>
      <c r="AO417" s="1171"/>
      <c r="AP417" s="1171"/>
      <c r="AQ417" s="1171"/>
      <c r="AR417" s="1171"/>
      <c r="AS417" s="1171"/>
      <c r="AT417" s="1171"/>
      <c r="AU417" s="1171"/>
      <c r="AV417" s="1171"/>
      <c r="AW417" s="1171"/>
      <c r="AX417" s="1171"/>
      <c r="AY417" s="1171"/>
      <c r="AZ417" s="1171"/>
      <c r="BA417" s="1171"/>
      <c r="BB417" s="1171"/>
      <c r="BC417" s="1171"/>
      <c r="BD417" s="1171"/>
      <c r="BE417" s="1171"/>
      <c r="BF417" s="1171"/>
      <c r="BG417" s="1171"/>
      <c r="BH417" s="1171"/>
      <c r="BI417" s="1171"/>
      <c r="BJ417" s="1171"/>
      <c r="BK417" s="1171"/>
      <c r="BL417" s="1171"/>
      <c r="BM417" s="1171"/>
      <c r="BN417" s="1171"/>
      <c r="BO417" s="1171"/>
      <c r="BP417" s="1171"/>
      <c r="BQ417" s="1171"/>
      <c r="BR417" s="1171"/>
      <c r="BS417" s="1171"/>
      <c r="BT417" s="1171"/>
      <c r="BU417" s="1171"/>
      <c r="BV417" s="1171"/>
      <c r="BW417" s="1171"/>
      <c r="BX417" s="1183"/>
      <c r="BY417" s="1183"/>
      <c r="BZ417" s="1183"/>
      <c r="CA417" s="1183"/>
      <c r="CB417" s="1183"/>
      <c r="CC417" s="1183"/>
      <c r="CD417" s="1183"/>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c r="DA417" s="21"/>
      <c r="DB417" s="21"/>
      <c r="DC417" s="21"/>
      <c r="DD417" s="21"/>
      <c r="DE417" s="21"/>
      <c r="DF417" s="21"/>
      <c r="DG417" s="21"/>
      <c r="DH417" s="21"/>
      <c r="DI417" s="21"/>
      <c r="DJ417" s="21"/>
      <c r="DK417" s="21"/>
      <c r="DL417" s="21"/>
      <c r="DM417" s="21"/>
      <c r="DN417" s="21"/>
      <c r="DO417" s="21"/>
      <c r="DP417" s="21"/>
      <c r="DQ417" s="21"/>
      <c r="DR417" s="21"/>
      <c r="DS417" s="21"/>
      <c r="DT417" s="21"/>
      <c r="DU417" s="21"/>
      <c r="DV417" s="21"/>
      <c r="DW417" s="21"/>
      <c r="DX417" s="21"/>
      <c r="DY417" s="21"/>
      <c r="DZ417" s="21"/>
      <c r="EA417" s="21"/>
      <c r="EB417" s="21"/>
      <c r="EC417" s="21"/>
      <c r="ED417" s="21"/>
      <c r="EE417" s="21"/>
      <c r="EF417" s="21"/>
      <c r="EG417" s="21"/>
      <c r="EH417" s="21"/>
      <c r="EI417" s="21"/>
      <c r="EJ417" s="21"/>
      <c r="EK417" s="21"/>
      <c r="EL417" s="21"/>
      <c r="EM417" s="21"/>
      <c r="EN417" s="1300"/>
      <c r="EO417" s="1300"/>
      <c r="EP417" s="1300">
        <f>$CG$414</f>
        <v>0</v>
      </c>
      <c r="EQ417" s="1300">
        <f>$CS$414</f>
        <v>0</v>
      </c>
      <c r="ER417" s="1300">
        <f>$DE$414</f>
        <v>0</v>
      </c>
      <c r="ES417" s="1810">
        <f>$DE$414</f>
        <v>0</v>
      </c>
      <c r="ET417" s="1300">
        <f>$EC$414</f>
        <v>0</v>
      </c>
    </row>
    <row r="418" spans="11:150" ht="12" customHeight="1" x14ac:dyDescent="0.35">
      <c r="K418" s="330"/>
      <c r="L418" s="1892"/>
      <c r="M418" s="1892"/>
      <c r="N418" s="330"/>
      <c r="O418" s="330"/>
      <c r="P418" s="1694"/>
      <c r="Q418" s="330"/>
      <c r="R418" s="330"/>
      <c r="S418" s="330"/>
      <c r="T418" s="330"/>
      <c r="U418" s="330"/>
      <c r="V418" s="330"/>
      <c r="W418" s="1892"/>
      <c r="X418" s="1892"/>
      <c r="Y418" s="1892"/>
      <c r="Z418" s="1892"/>
      <c r="AA418" s="330"/>
      <c r="AB418" s="330"/>
      <c r="AC418" s="330"/>
      <c r="AD418" s="330"/>
      <c r="AE418" s="330"/>
      <c r="AF418" s="1223"/>
      <c r="AG418" s="1223"/>
      <c r="AH418" s="1140">
        <f>COUNTIF(AH421:AH470,"&gt;0")</f>
        <v>0</v>
      </c>
      <c r="AI418" s="1695"/>
      <c r="AJ418" s="1695"/>
      <c r="AK418" s="1695"/>
      <c r="AL418" s="1695"/>
      <c r="AM418" s="1695"/>
      <c r="AN418" s="1695"/>
      <c r="AO418" s="1695"/>
      <c r="AP418" s="1695"/>
      <c r="AQ418" s="1695"/>
      <c r="AR418" s="1695"/>
      <c r="AS418" s="1695"/>
      <c r="AT418" s="1140">
        <f>COUNTIF(AT421:AT470,"&gt;0")</f>
        <v>0</v>
      </c>
      <c r="AU418" s="1695"/>
      <c r="AV418" s="1695"/>
      <c r="AW418" s="1695"/>
      <c r="AX418" s="1695"/>
      <c r="AY418" s="1695"/>
      <c r="AZ418" s="1695"/>
      <c r="BA418" s="1695"/>
      <c r="BB418" s="1695"/>
      <c r="BC418" s="1695"/>
      <c r="BD418" s="1695"/>
      <c r="BE418" s="1695"/>
      <c r="BF418" s="1140">
        <f>COUNTIF(BF421:BF470,"&gt;0")</f>
        <v>0</v>
      </c>
      <c r="BG418" s="1695"/>
      <c r="BH418" s="1695"/>
      <c r="BI418" s="1695"/>
      <c r="BJ418" s="1695"/>
      <c r="BK418" s="1695"/>
      <c r="BL418" s="1695"/>
      <c r="BM418" s="1695"/>
      <c r="BN418" s="1695"/>
      <c r="BO418" s="1695"/>
      <c r="BP418" s="1695"/>
      <c r="BQ418" s="1695"/>
      <c r="BR418" s="1140">
        <f>COUNTIF(BR421:BR470,"&gt;0")</f>
        <v>0</v>
      </c>
      <c r="BS418" s="1695"/>
      <c r="BT418" s="1695"/>
      <c r="BU418" s="1695"/>
      <c r="BV418" s="1695"/>
      <c r="BW418" s="1695"/>
      <c r="BX418" s="21"/>
      <c r="BY418" s="21"/>
      <c r="BZ418" s="21"/>
      <c r="CA418" s="21"/>
      <c r="CB418" s="21"/>
      <c r="CC418" s="21"/>
      <c r="CD418" s="84">
        <f>COUNTIF(CD421:CD470,"&gt;0")</f>
        <v>0</v>
      </c>
      <c r="CE418" s="429"/>
      <c r="CF418" s="1125" t="s">
        <v>293</v>
      </c>
      <c r="CG418" s="429"/>
      <c r="CH418" s="429"/>
      <c r="CI418" s="429"/>
      <c r="CJ418" s="429"/>
      <c r="CK418" s="429"/>
      <c r="CL418" s="429"/>
      <c r="CM418" s="429"/>
      <c r="CN418" s="429"/>
      <c r="CO418" s="429"/>
      <c r="CP418" s="429"/>
      <c r="CQ418" s="429"/>
      <c r="CR418" s="429"/>
      <c r="CS418" s="429"/>
      <c r="CT418" s="429"/>
      <c r="CU418" s="429"/>
      <c r="CV418" s="429"/>
      <c r="CW418" s="429"/>
      <c r="CX418" s="429"/>
      <c r="CY418" s="429"/>
      <c r="CZ418" s="429"/>
      <c r="DA418" s="429"/>
      <c r="DB418" s="429"/>
      <c r="DC418" s="429"/>
      <c r="DD418" s="429"/>
      <c r="DE418" s="429"/>
      <c r="DF418" s="429"/>
      <c r="DG418" s="429"/>
      <c r="DH418" s="429"/>
      <c r="DI418" s="429"/>
      <c r="DJ418" s="429"/>
      <c r="DK418" s="429"/>
      <c r="DL418" s="429"/>
      <c r="DM418" s="429"/>
      <c r="DN418" s="429"/>
      <c r="DO418" s="429"/>
      <c r="DP418" s="429"/>
      <c r="DQ418" s="429"/>
      <c r="DR418" s="1"/>
      <c r="DS418" s="1"/>
      <c r="DT418" s="1"/>
      <c r="DU418" s="1"/>
      <c r="DV418" s="1"/>
      <c r="DW418" s="1"/>
      <c r="DX418" s="1"/>
      <c r="DY418" s="1"/>
      <c r="DZ418" s="1"/>
      <c r="EA418" s="1"/>
      <c r="EB418" s="1"/>
      <c r="EC418" s="1"/>
      <c r="ED418" s="1"/>
      <c r="EE418" s="1"/>
      <c r="EF418" s="1"/>
      <c r="EG418" s="1"/>
      <c r="EH418" s="1"/>
      <c r="EI418" s="1"/>
      <c r="EJ418" s="1"/>
      <c r="EK418" s="1"/>
      <c r="EL418" s="1"/>
      <c r="EM418" s="1"/>
      <c r="EN418" s="1300"/>
      <c r="EO418" s="1300"/>
      <c r="EP418" s="1300">
        <f>$CH$414</f>
        <v>0</v>
      </c>
      <c r="EQ418" s="1300">
        <f>$CT$414</f>
        <v>0</v>
      </c>
      <c r="ER418" s="1300">
        <f>$DF$414</f>
        <v>0</v>
      </c>
      <c r="ES418" s="1810">
        <f>$DF$414</f>
        <v>0</v>
      </c>
      <c r="ET418" s="1300">
        <f>$ED$414</f>
        <v>0</v>
      </c>
    </row>
    <row r="419" spans="11:150" ht="12" customHeight="1" x14ac:dyDescent="0.35">
      <c r="K419" s="1597"/>
      <c r="L419" s="1597"/>
      <c r="M419" s="1597"/>
      <c r="N419" s="1696" t="s">
        <v>137</v>
      </c>
      <c r="O419" s="1696" t="s">
        <v>138</v>
      </c>
      <c r="P419" s="1697"/>
      <c r="Q419" s="1597"/>
      <c r="R419" s="1597"/>
      <c r="S419" s="1597"/>
      <c r="T419" s="1597"/>
      <c r="U419" s="1597"/>
      <c r="V419" s="1597"/>
      <c r="W419" s="1597"/>
      <c r="X419" s="1597"/>
      <c r="Y419" s="1597"/>
      <c r="Z419" s="1597"/>
      <c r="AA419" s="1597"/>
      <c r="AB419" s="1597"/>
      <c r="AC419" s="1597"/>
      <c r="AD419" s="1597"/>
      <c r="AE419" s="1597"/>
      <c r="AF419" s="1171"/>
      <c r="AG419" s="1171"/>
      <c r="AH419" s="1171"/>
      <c r="AI419" s="1171"/>
      <c r="AJ419" s="1171"/>
      <c r="AK419" s="1171"/>
      <c r="AL419" s="1171"/>
      <c r="AM419" s="1171"/>
      <c r="AN419" s="1171"/>
      <c r="AO419" s="1171"/>
      <c r="AP419" s="1171"/>
      <c r="AQ419" s="1171"/>
      <c r="AR419" s="1171"/>
      <c r="AS419" s="1171"/>
      <c r="AT419" s="1171"/>
      <c r="AU419" s="1171"/>
      <c r="AV419" s="1171"/>
      <c r="AW419" s="1171"/>
      <c r="AX419" s="1171"/>
      <c r="AY419" s="1171"/>
      <c r="AZ419" s="1171"/>
      <c r="BA419" s="1171"/>
      <c r="BB419" s="1171"/>
      <c r="BC419" s="1171"/>
      <c r="BD419" s="1171"/>
      <c r="BE419" s="1171"/>
      <c r="BF419" s="1171"/>
      <c r="BG419" s="1171"/>
      <c r="BH419" s="1171"/>
      <c r="BI419" s="1171"/>
      <c r="BJ419" s="1171"/>
      <c r="BK419" s="1171"/>
      <c r="BL419" s="1171"/>
      <c r="BM419" s="1171"/>
      <c r="BN419" s="1171"/>
      <c r="BO419" s="1171"/>
      <c r="BP419" s="1171"/>
      <c r="BQ419" s="1171"/>
      <c r="BR419" s="1171"/>
      <c r="BS419" s="1171"/>
      <c r="BT419" s="1171"/>
      <c r="BU419" s="1171"/>
      <c r="BV419" s="1171"/>
      <c r="BW419" s="1171"/>
      <c r="BX419" s="1183"/>
      <c r="BY419" s="1183"/>
      <c r="BZ419" s="1183"/>
      <c r="CA419" s="1183"/>
      <c r="CB419" s="1183"/>
      <c r="CC419" s="1183"/>
      <c r="CD419" s="1183"/>
      <c r="CE419" s="1183"/>
      <c r="CF419" s="84">
        <v>1</v>
      </c>
      <c r="CG419" s="84">
        <v>2</v>
      </c>
      <c r="CH419" s="84">
        <v>3</v>
      </c>
      <c r="CI419" s="84">
        <v>4</v>
      </c>
      <c r="CJ419" s="84">
        <v>5</v>
      </c>
      <c r="CK419" s="84">
        <v>6</v>
      </c>
      <c r="CL419" s="84">
        <v>7</v>
      </c>
      <c r="CM419" s="84">
        <v>8</v>
      </c>
      <c r="CN419" s="84">
        <v>9</v>
      </c>
      <c r="CO419" s="84">
        <v>10</v>
      </c>
      <c r="CP419" s="84">
        <v>11</v>
      </c>
      <c r="CQ419" s="84">
        <v>12</v>
      </c>
      <c r="CR419" s="84">
        <v>13</v>
      </c>
      <c r="CS419" s="84">
        <v>14</v>
      </c>
      <c r="CT419" s="84">
        <v>15</v>
      </c>
      <c r="CU419" s="84">
        <v>16</v>
      </c>
      <c r="CV419" s="84">
        <v>17</v>
      </c>
      <c r="CW419" s="84">
        <v>18</v>
      </c>
      <c r="CX419" s="84">
        <v>19</v>
      </c>
      <c r="CY419" s="84">
        <v>20</v>
      </c>
      <c r="CZ419" s="84">
        <v>21</v>
      </c>
      <c r="DA419" s="84">
        <v>22</v>
      </c>
      <c r="DB419" s="84">
        <v>23</v>
      </c>
      <c r="DC419" s="84">
        <v>24</v>
      </c>
      <c r="DD419" s="84">
        <v>25</v>
      </c>
      <c r="DE419" s="84">
        <v>26</v>
      </c>
      <c r="DF419" s="84">
        <v>27</v>
      </c>
      <c r="DG419" s="84">
        <v>28</v>
      </c>
      <c r="DH419" s="84">
        <v>29</v>
      </c>
      <c r="DI419" s="84">
        <v>30</v>
      </c>
      <c r="DJ419" s="84">
        <v>31</v>
      </c>
      <c r="DK419" s="84">
        <v>32</v>
      </c>
      <c r="DL419" s="84">
        <v>33</v>
      </c>
      <c r="DM419" s="84">
        <v>34</v>
      </c>
      <c r="DN419" s="84">
        <v>35</v>
      </c>
      <c r="DO419" s="84">
        <v>36</v>
      </c>
      <c r="DP419" s="84">
        <v>37</v>
      </c>
      <c r="DQ419" s="84">
        <v>38</v>
      </c>
      <c r="DR419" s="84">
        <v>39</v>
      </c>
      <c r="DS419" s="84">
        <v>40</v>
      </c>
      <c r="DT419" s="84">
        <v>41</v>
      </c>
      <c r="DU419" s="84">
        <v>42</v>
      </c>
      <c r="DV419" s="84">
        <v>43</v>
      </c>
      <c r="DW419" s="84">
        <v>44</v>
      </c>
      <c r="DX419" s="84">
        <v>45</v>
      </c>
      <c r="DY419" s="84">
        <v>46</v>
      </c>
      <c r="DZ419" s="84">
        <v>47</v>
      </c>
      <c r="EA419" s="84">
        <v>48</v>
      </c>
      <c r="EB419" s="84">
        <v>49</v>
      </c>
      <c r="EC419" s="84">
        <v>50</v>
      </c>
      <c r="ED419" s="84">
        <v>51</v>
      </c>
      <c r="EE419" s="84">
        <v>52</v>
      </c>
      <c r="EF419" s="84">
        <v>53</v>
      </c>
      <c r="EG419" s="84">
        <v>54</v>
      </c>
      <c r="EH419" s="84">
        <v>55</v>
      </c>
      <c r="EI419" s="84">
        <v>56</v>
      </c>
      <c r="EJ419" s="84">
        <v>57</v>
      </c>
      <c r="EK419" s="84">
        <v>58</v>
      </c>
      <c r="EL419" s="84">
        <v>59</v>
      </c>
      <c r="EM419" s="84">
        <v>60</v>
      </c>
      <c r="EN419" s="1300"/>
      <c r="EO419" s="1300"/>
      <c r="EP419" s="1300">
        <f>$CI$414</f>
        <v>0</v>
      </c>
      <c r="EQ419" s="1300">
        <f>$CU$414</f>
        <v>0</v>
      </c>
      <c r="ER419" s="1300">
        <f>$DG$414</f>
        <v>0</v>
      </c>
      <c r="ES419" s="1810">
        <f>$DG$414</f>
        <v>0</v>
      </c>
      <c r="ET419" s="1300">
        <f>$EE$414</f>
        <v>0</v>
      </c>
    </row>
    <row r="420" spans="11:150" ht="12" customHeight="1" thickBot="1" x14ac:dyDescent="0.4">
      <c r="K420" s="102"/>
      <c r="L420" s="1293" t="s">
        <v>19</v>
      </c>
      <c r="M420" s="1684" t="s">
        <v>161</v>
      </c>
      <c r="N420" s="1684" t="s">
        <v>165</v>
      </c>
      <c r="O420" s="1684" t="s">
        <v>165</v>
      </c>
      <c r="P420" s="1698" t="s">
        <v>159</v>
      </c>
      <c r="Q420" s="102"/>
      <c r="R420" s="102"/>
      <c r="S420" s="102"/>
      <c r="T420" s="102"/>
      <c r="U420" s="102"/>
      <c r="V420" s="102"/>
      <c r="W420" s="1699">
        <f t="shared" ref="W420:AE420" si="215">W403</f>
        <v>0</v>
      </c>
      <c r="X420" s="1699">
        <f t="shared" si="215"/>
        <v>59</v>
      </c>
      <c r="Y420" s="1699">
        <f t="shared" si="215"/>
        <v>91</v>
      </c>
      <c r="Z420" s="1699">
        <f t="shared" si="215"/>
        <v>121</v>
      </c>
      <c r="AA420" s="1699">
        <f t="shared" si="215"/>
        <v>152</v>
      </c>
      <c r="AB420" s="1699">
        <f t="shared" si="215"/>
        <v>182</v>
      </c>
      <c r="AC420" s="1699">
        <f t="shared" si="215"/>
        <v>213</v>
      </c>
      <c r="AD420" s="1699">
        <f t="shared" si="215"/>
        <v>244</v>
      </c>
      <c r="AE420" s="1699">
        <f t="shared" si="215"/>
        <v>274</v>
      </c>
      <c r="AF420" s="1699">
        <f t="shared" ref="AF420:BB420" si="216">AF403</f>
        <v>305</v>
      </c>
      <c r="AG420" s="1699">
        <f t="shared" si="216"/>
        <v>335</v>
      </c>
      <c r="AH420" s="1699">
        <f t="shared" si="216"/>
        <v>366</v>
      </c>
      <c r="AI420" s="1699">
        <f t="shared" si="216"/>
        <v>397</v>
      </c>
      <c r="AJ420" s="1699">
        <f t="shared" si="216"/>
        <v>425</v>
      </c>
      <c r="AK420" s="1699">
        <f t="shared" si="216"/>
        <v>456</v>
      </c>
      <c r="AL420" s="1699">
        <f t="shared" si="216"/>
        <v>486</v>
      </c>
      <c r="AM420" s="1699">
        <f t="shared" si="216"/>
        <v>517</v>
      </c>
      <c r="AN420" s="1699">
        <f t="shared" si="216"/>
        <v>547</v>
      </c>
      <c r="AO420" s="1699">
        <f t="shared" si="216"/>
        <v>578</v>
      </c>
      <c r="AP420" s="1699">
        <f t="shared" si="216"/>
        <v>609</v>
      </c>
      <c r="AQ420" s="1699">
        <f t="shared" si="216"/>
        <v>639</v>
      </c>
      <c r="AR420" s="1699">
        <f t="shared" si="216"/>
        <v>670</v>
      </c>
      <c r="AS420" s="1699">
        <f t="shared" si="216"/>
        <v>700</v>
      </c>
      <c r="AT420" s="1699">
        <f t="shared" si="216"/>
        <v>731</v>
      </c>
      <c r="AU420" s="1699">
        <f t="shared" si="216"/>
        <v>762</v>
      </c>
      <c r="AV420" s="1699">
        <f t="shared" si="216"/>
        <v>790</v>
      </c>
      <c r="AW420" s="1699">
        <f t="shared" si="216"/>
        <v>821</v>
      </c>
      <c r="AX420" s="1699">
        <f t="shared" si="216"/>
        <v>851</v>
      </c>
      <c r="AY420" s="1699">
        <f t="shared" si="216"/>
        <v>882</v>
      </c>
      <c r="AZ420" s="1699">
        <f t="shared" si="216"/>
        <v>912</v>
      </c>
      <c r="BA420" s="1699">
        <f t="shared" si="216"/>
        <v>943</v>
      </c>
      <c r="BB420" s="1699">
        <f t="shared" si="216"/>
        <v>974</v>
      </c>
      <c r="BC420" s="1699">
        <f t="shared" ref="BC420:CD420" si="217">BC403</f>
        <v>1004</v>
      </c>
      <c r="BD420" s="1699">
        <f t="shared" si="217"/>
        <v>1035</v>
      </c>
      <c r="BE420" s="1699">
        <f t="shared" si="217"/>
        <v>1065</v>
      </c>
      <c r="BF420" s="1699">
        <f t="shared" si="217"/>
        <v>1096</v>
      </c>
      <c r="BG420" s="1699">
        <f t="shared" si="217"/>
        <v>1127</v>
      </c>
      <c r="BH420" s="1699">
        <f t="shared" si="217"/>
        <v>1155</v>
      </c>
      <c r="BI420" s="1699">
        <f t="shared" si="217"/>
        <v>1186</v>
      </c>
      <c r="BJ420" s="1699">
        <f t="shared" si="217"/>
        <v>1216</v>
      </c>
      <c r="BK420" s="1699">
        <f t="shared" si="217"/>
        <v>1247</v>
      </c>
      <c r="BL420" s="1699">
        <f t="shared" si="217"/>
        <v>1277</v>
      </c>
      <c r="BM420" s="1699">
        <f t="shared" si="217"/>
        <v>1308</v>
      </c>
      <c r="BN420" s="1699">
        <f t="shared" si="217"/>
        <v>1339</v>
      </c>
      <c r="BO420" s="1699">
        <f t="shared" si="217"/>
        <v>1369</v>
      </c>
      <c r="BP420" s="1699">
        <f t="shared" si="217"/>
        <v>1400</v>
      </c>
      <c r="BQ420" s="1699">
        <f t="shared" si="217"/>
        <v>1430</v>
      </c>
      <c r="BR420" s="1699">
        <f t="shared" si="217"/>
        <v>1461</v>
      </c>
      <c r="BS420" s="1699">
        <f t="shared" si="217"/>
        <v>1492</v>
      </c>
      <c r="BT420" s="1699">
        <f t="shared" si="217"/>
        <v>1521</v>
      </c>
      <c r="BU420" s="1699">
        <f t="shared" si="217"/>
        <v>1552</v>
      </c>
      <c r="BV420" s="1699">
        <f t="shared" si="217"/>
        <v>1582</v>
      </c>
      <c r="BW420" s="1699">
        <f t="shared" si="217"/>
        <v>1613</v>
      </c>
      <c r="BX420" s="201">
        <f t="shared" si="217"/>
        <v>1643</v>
      </c>
      <c r="BY420" s="201">
        <f t="shared" si="217"/>
        <v>1674</v>
      </c>
      <c r="BZ420" s="201">
        <f t="shared" si="217"/>
        <v>1705</v>
      </c>
      <c r="CA420" s="201">
        <f t="shared" si="217"/>
        <v>1735</v>
      </c>
      <c r="CB420" s="201">
        <f t="shared" si="217"/>
        <v>1766</v>
      </c>
      <c r="CC420" s="201">
        <f t="shared" si="217"/>
        <v>1796</v>
      </c>
      <c r="CD420" s="201">
        <f t="shared" si="217"/>
        <v>1827</v>
      </c>
      <c r="CE420" s="84"/>
      <c r="CF420" s="202">
        <f>W420</f>
        <v>0</v>
      </c>
      <c r="CG420" s="202">
        <f t="shared" ref="CG420:DL420" si="218">CG403</f>
        <v>59</v>
      </c>
      <c r="CH420" s="202">
        <f t="shared" si="218"/>
        <v>91</v>
      </c>
      <c r="CI420" s="202">
        <f t="shared" si="218"/>
        <v>121</v>
      </c>
      <c r="CJ420" s="202">
        <f t="shared" si="218"/>
        <v>152</v>
      </c>
      <c r="CK420" s="202">
        <f t="shared" si="218"/>
        <v>182</v>
      </c>
      <c r="CL420" s="202">
        <f t="shared" si="218"/>
        <v>213</v>
      </c>
      <c r="CM420" s="202">
        <f t="shared" si="218"/>
        <v>244</v>
      </c>
      <c r="CN420" s="202">
        <f t="shared" si="218"/>
        <v>274</v>
      </c>
      <c r="CO420" s="202">
        <f t="shared" si="218"/>
        <v>305</v>
      </c>
      <c r="CP420" s="202">
        <f t="shared" si="218"/>
        <v>335</v>
      </c>
      <c r="CQ420" s="202">
        <f t="shared" si="218"/>
        <v>366</v>
      </c>
      <c r="CR420" s="202">
        <f t="shared" si="218"/>
        <v>397</v>
      </c>
      <c r="CS420" s="202">
        <f t="shared" si="218"/>
        <v>425</v>
      </c>
      <c r="CT420" s="202">
        <f t="shared" si="218"/>
        <v>456</v>
      </c>
      <c r="CU420" s="202">
        <f t="shared" si="218"/>
        <v>486</v>
      </c>
      <c r="CV420" s="202">
        <f t="shared" si="218"/>
        <v>517</v>
      </c>
      <c r="CW420" s="202">
        <f t="shared" si="218"/>
        <v>547</v>
      </c>
      <c r="CX420" s="202">
        <f t="shared" si="218"/>
        <v>578</v>
      </c>
      <c r="CY420" s="202">
        <f t="shared" si="218"/>
        <v>609</v>
      </c>
      <c r="CZ420" s="202">
        <f t="shared" si="218"/>
        <v>639</v>
      </c>
      <c r="DA420" s="202">
        <f t="shared" si="218"/>
        <v>670</v>
      </c>
      <c r="DB420" s="202">
        <f t="shared" si="218"/>
        <v>700</v>
      </c>
      <c r="DC420" s="202">
        <f t="shared" si="218"/>
        <v>731</v>
      </c>
      <c r="DD420" s="202">
        <f t="shared" si="218"/>
        <v>762</v>
      </c>
      <c r="DE420" s="202">
        <f t="shared" si="218"/>
        <v>790</v>
      </c>
      <c r="DF420" s="202">
        <f t="shared" si="218"/>
        <v>821</v>
      </c>
      <c r="DG420" s="202">
        <f t="shared" si="218"/>
        <v>851</v>
      </c>
      <c r="DH420" s="202">
        <f t="shared" si="218"/>
        <v>882</v>
      </c>
      <c r="DI420" s="202">
        <f t="shared" si="218"/>
        <v>912</v>
      </c>
      <c r="DJ420" s="202">
        <f t="shared" si="218"/>
        <v>943</v>
      </c>
      <c r="DK420" s="202">
        <f t="shared" si="218"/>
        <v>974</v>
      </c>
      <c r="DL420" s="202">
        <f t="shared" si="218"/>
        <v>1004</v>
      </c>
      <c r="DM420" s="202">
        <f t="shared" ref="DM420:EM420" si="219">DM403</f>
        <v>1035</v>
      </c>
      <c r="DN420" s="202">
        <f t="shared" si="219"/>
        <v>1065</v>
      </c>
      <c r="DO420" s="202">
        <f t="shared" si="219"/>
        <v>1096</v>
      </c>
      <c r="DP420" s="202">
        <f t="shared" si="219"/>
        <v>1127</v>
      </c>
      <c r="DQ420" s="202">
        <f t="shared" si="219"/>
        <v>1155</v>
      </c>
      <c r="DR420" s="202">
        <f t="shared" si="219"/>
        <v>1186</v>
      </c>
      <c r="DS420" s="202">
        <f t="shared" si="219"/>
        <v>1216</v>
      </c>
      <c r="DT420" s="202">
        <f t="shared" si="219"/>
        <v>1247</v>
      </c>
      <c r="DU420" s="202">
        <f t="shared" si="219"/>
        <v>1277</v>
      </c>
      <c r="DV420" s="202">
        <f t="shared" si="219"/>
        <v>1308</v>
      </c>
      <c r="DW420" s="202">
        <f t="shared" si="219"/>
        <v>1339</v>
      </c>
      <c r="DX420" s="202">
        <f t="shared" si="219"/>
        <v>1369</v>
      </c>
      <c r="DY420" s="202">
        <f t="shared" si="219"/>
        <v>1400</v>
      </c>
      <c r="DZ420" s="202">
        <f t="shared" si="219"/>
        <v>1430</v>
      </c>
      <c r="EA420" s="202">
        <f t="shared" si="219"/>
        <v>1461</v>
      </c>
      <c r="EB420" s="202">
        <f t="shared" si="219"/>
        <v>1492</v>
      </c>
      <c r="EC420" s="202">
        <f t="shared" si="219"/>
        <v>1521</v>
      </c>
      <c r="ED420" s="202">
        <f t="shared" si="219"/>
        <v>1552</v>
      </c>
      <c r="EE420" s="202">
        <f t="shared" si="219"/>
        <v>1582</v>
      </c>
      <c r="EF420" s="202">
        <f t="shared" si="219"/>
        <v>1613</v>
      </c>
      <c r="EG420" s="202">
        <f t="shared" si="219"/>
        <v>1643</v>
      </c>
      <c r="EH420" s="202">
        <f t="shared" si="219"/>
        <v>1674</v>
      </c>
      <c r="EI420" s="202">
        <f t="shared" si="219"/>
        <v>1705</v>
      </c>
      <c r="EJ420" s="202">
        <f t="shared" si="219"/>
        <v>1735</v>
      </c>
      <c r="EK420" s="202">
        <f t="shared" si="219"/>
        <v>1766</v>
      </c>
      <c r="EL420" s="202">
        <f t="shared" si="219"/>
        <v>1796</v>
      </c>
      <c r="EM420" s="202">
        <f t="shared" si="219"/>
        <v>1827</v>
      </c>
      <c r="EN420" s="1300"/>
      <c r="EO420" s="1300"/>
      <c r="EP420" s="1300">
        <f>$CJ$414</f>
        <v>0</v>
      </c>
      <c r="EQ420" s="1300">
        <f>$CV$414</f>
        <v>0</v>
      </c>
      <c r="ER420" s="1300">
        <f>$DH$414</f>
        <v>0</v>
      </c>
      <c r="ES420" s="1810">
        <f>$DH$414</f>
        <v>0</v>
      </c>
      <c r="ET420" s="1300">
        <f>$EF$414</f>
        <v>0</v>
      </c>
    </row>
    <row r="421" spans="11:150" ht="12" customHeight="1" x14ac:dyDescent="0.35">
      <c r="K421" s="102">
        <v>1</v>
      </c>
      <c r="L421" s="410">
        <f>Input!D184</f>
        <v>0</v>
      </c>
      <c r="M421" s="411">
        <f>IF(Input!$F$183&gt;=$K421,Input!G184,0)</f>
        <v>0</v>
      </c>
      <c r="N421" s="1700">
        <f>Input!H184</f>
        <v>0</v>
      </c>
      <c r="O421" s="1700">
        <f>Input!I184</f>
        <v>0</v>
      </c>
      <c r="P421" s="1701">
        <f>Input!J184</f>
        <v>0</v>
      </c>
      <c r="Q421" s="102">
        <v>1</v>
      </c>
      <c r="R421" s="1702">
        <f t="shared" ref="R421:R452" si="220">N421</f>
        <v>0</v>
      </c>
      <c r="S421" s="1702">
        <f t="shared" ref="S421:S452" si="221">O421</f>
        <v>0</v>
      </c>
      <c r="T421" s="1302">
        <f>IFERROR(VLOOKUP(R421,Infrastructure!$D$70:$F$129,3,FALSE),0)</f>
        <v>1</v>
      </c>
      <c r="U421" s="1302">
        <f>IFERROR(VLOOKUP(S421,Infrastructure!$D$70:$F$129,3,FALSE),0)</f>
        <v>1</v>
      </c>
      <c r="V421" s="102"/>
      <c r="W421" s="1703">
        <f>IF(Input!$F$183&gt;=$K421,Input!M184,0)</f>
        <v>0</v>
      </c>
      <c r="X421" s="1704">
        <f>IF(Input!$F$183&gt;=$K421,Input!N184,0)</f>
        <v>0</v>
      </c>
      <c r="Y421" s="1704">
        <f>IF(Input!$F$183&gt;=$K421,Input!O184,0)</f>
        <v>0</v>
      </c>
      <c r="Z421" s="1704">
        <f>IF(Input!$F$183&gt;=$K421,Input!P184,0)</f>
        <v>0</v>
      </c>
      <c r="AA421" s="1704">
        <f>IF(Input!$F$183&gt;=$K421,Input!Q184,0)</f>
        <v>0</v>
      </c>
      <c r="AB421" s="1704">
        <f>IF(Input!$F$183&gt;=$K421,Input!R184,0)</f>
        <v>0</v>
      </c>
      <c r="AC421" s="1704">
        <f>IF(Input!$F$183&gt;=$K421,Input!S184,0)</f>
        <v>0</v>
      </c>
      <c r="AD421" s="1704">
        <f>IF(Input!$F$183&gt;=$K421,Input!T184,0)</f>
        <v>0</v>
      </c>
      <c r="AE421" s="1704">
        <f>IF(Input!$F$183&gt;=$K421,Input!U184,0)</f>
        <v>0</v>
      </c>
      <c r="AF421" s="1704">
        <f>IF(Input!$F$183&gt;=$K421,Input!V184,0)</f>
        <v>0</v>
      </c>
      <c r="AG421" s="1704">
        <f>IF(Input!$F$183&gt;=$K421,Input!W184,0)</f>
        <v>0</v>
      </c>
      <c r="AH421" s="1704">
        <f>IF(Input!$F$183&gt;=$K421,Input!X184,0)</f>
        <v>0</v>
      </c>
      <c r="AI421" s="1704">
        <f>IF(Input!$F$183&gt;=$K421,Input!Y184,0)</f>
        <v>0</v>
      </c>
      <c r="AJ421" s="1704">
        <f>IF(Input!$F$183&gt;=$K421,Input!Z184,0)</f>
        <v>0</v>
      </c>
      <c r="AK421" s="1704">
        <f>IF(Input!$F$183&gt;=$K421,Input!AA184,0)</f>
        <v>0</v>
      </c>
      <c r="AL421" s="1704">
        <f>IF(Input!$F$183&gt;=$K421,Input!AB184,0)</f>
        <v>0</v>
      </c>
      <c r="AM421" s="1704">
        <f>IF(Input!$F$183&gt;=$K421,Input!AC184,0)</f>
        <v>0</v>
      </c>
      <c r="AN421" s="1704">
        <f>IF(Input!$F$183&gt;=$K421,Input!AD184,0)</f>
        <v>0</v>
      </c>
      <c r="AO421" s="1704">
        <f>IF(Input!$F$183&gt;=$K421,Input!AE184,0)</f>
        <v>0</v>
      </c>
      <c r="AP421" s="1704">
        <f>IF(Input!$F$183&gt;=$K421,Input!AF184,0)</f>
        <v>0</v>
      </c>
      <c r="AQ421" s="1704">
        <f>IF(Input!$F$183&gt;=$K421,Input!AG184,0)</f>
        <v>0</v>
      </c>
      <c r="AR421" s="1704">
        <f>IF(Input!$F$183&gt;=$K421,Input!AH184,0)</f>
        <v>0</v>
      </c>
      <c r="AS421" s="1704">
        <f>IF(Input!$F$183&gt;=$K421,Input!AI184,0)</f>
        <v>0</v>
      </c>
      <c r="AT421" s="1704">
        <f>IF(Input!$F$183&gt;=$K421,Input!AJ184,0)</f>
        <v>0</v>
      </c>
      <c r="AU421" s="1704">
        <f>IF(Input!$F$183&gt;=$K421,Input!AK184,0)</f>
        <v>0</v>
      </c>
      <c r="AV421" s="1704">
        <f>IF(Input!$F$183&gt;=$K421,Input!AL184,0)</f>
        <v>0</v>
      </c>
      <c r="AW421" s="1704">
        <f>IF(Input!$F$183&gt;=$K421,Input!AM184,0)</f>
        <v>0</v>
      </c>
      <c r="AX421" s="1704">
        <f>IF(Input!$F$183&gt;=$K421,Input!AN184,0)</f>
        <v>0</v>
      </c>
      <c r="AY421" s="1704">
        <f>IF(Input!$F$183&gt;=$K421,Input!AO184,0)</f>
        <v>0</v>
      </c>
      <c r="AZ421" s="1704">
        <f>IF(Input!$F$183&gt;=$K421,Input!AP184,0)</f>
        <v>0</v>
      </c>
      <c r="BA421" s="1704">
        <f>IF(Input!$F$183&gt;=$K421,Input!AQ184,0)</f>
        <v>0</v>
      </c>
      <c r="BB421" s="1704">
        <f>IF(Input!$F$183&gt;=$K421,Input!AR184,0)</f>
        <v>0</v>
      </c>
      <c r="BC421" s="1704">
        <f>IF(Input!$F$183&gt;=$K421,Input!AS184,0)</f>
        <v>0</v>
      </c>
      <c r="BD421" s="1704">
        <f>IF(Input!$F$183&gt;=$K421,Input!AT184,0)</f>
        <v>0</v>
      </c>
      <c r="BE421" s="1704">
        <f>IF(Input!$F$183&gt;=$K421,Input!AU184,0)</f>
        <v>0</v>
      </c>
      <c r="BF421" s="1704">
        <f>IF(Input!$F$183&gt;=$K421,Input!AV184,0)</f>
        <v>0</v>
      </c>
      <c r="BG421" s="1704">
        <f>IF(Input!$F$183&gt;=$K421,Input!AW184,0)</f>
        <v>0</v>
      </c>
      <c r="BH421" s="1704">
        <f>IF(Input!$F$183&gt;=$K421,Input!AX184,0)</f>
        <v>0</v>
      </c>
      <c r="BI421" s="1704">
        <f>IF(Input!$F$183&gt;=$K421,Input!AY184,0)</f>
        <v>0</v>
      </c>
      <c r="BJ421" s="1704">
        <f>IF(Input!$F$183&gt;=$K421,Input!AZ184,0)</f>
        <v>0</v>
      </c>
      <c r="BK421" s="1704">
        <f>IF(Input!$F$183&gt;=$K421,Input!BA184,0)</f>
        <v>0</v>
      </c>
      <c r="BL421" s="1704">
        <f>IF(Input!$F$183&gt;=$K421,Input!BB184,0)</f>
        <v>0</v>
      </c>
      <c r="BM421" s="1704">
        <f>IF(Input!$F$183&gt;=$K421,Input!BC184,0)</f>
        <v>0</v>
      </c>
      <c r="BN421" s="1704">
        <f>IF(Input!$F$183&gt;=$K421,Input!BD184,0)</f>
        <v>0</v>
      </c>
      <c r="BO421" s="1704">
        <f>IF(Input!$F$183&gt;=$K421,Input!BE184,0)</f>
        <v>0</v>
      </c>
      <c r="BP421" s="1704">
        <f>IF(Input!$F$183&gt;=$K421,Input!BF184,0)</f>
        <v>0</v>
      </c>
      <c r="BQ421" s="1704">
        <f>IF(Input!$F$183&gt;=$K421,Input!BG184,0)</f>
        <v>0</v>
      </c>
      <c r="BR421" s="1704">
        <f>IF(Input!$F$183&gt;=$K421,Input!BH184,0)</f>
        <v>0</v>
      </c>
      <c r="BS421" s="1704">
        <f>IF(Input!$F$183&gt;=$K421,Input!BI184,0)</f>
        <v>0</v>
      </c>
      <c r="BT421" s="1704">
        <f>IF(Input!$F$183&gt;=$K421,Input!BJ184,0)</f>
        <v>0</v>
      </c>
      <c r="BU421" s="1704">
        <f>IF(Input!$F$183&gt;=$K421,Input!BK184,0)</f>
        <v>0</v>
      </c>
      <c r="BV421" s="1704">
        <f>IF(Input!$F$183&gt;=$K421,Input!BL184,0)</f>
        <v>0</v>
      </c>
      <c r="BW421" s="1704">
        <f>IF(Input!$F$183&gt;=$K421,Input!BM184,0)</f>
        <v>0</v>
      </c>
      <c r="BX421" s="89">
        <f>IF(Input!$F$183&gt;=$K421,Input!BN184,0)</f>
        <v>0</v>
      </c>
      <c r="BY421" s="89">
        <f>IF(Input!$F$183&gt;=$K421,Input!BO184,0)</f>
        <v>0</v>
      </c>
      <c r="BZ421" s="89">
        <f>IF(Input!$F$183&gt;=$K421,Input!BP184,0)</f>
        <v>0</v>
      </c>
      <c r="CA421" s="89">
        <f>IF(Input!$F$183&gt;=$K421,Input!BQ184,0)</f>
        <v>0</v>
      </c>
      <c r="CB421" s="89">
        <f>IF(Input!$F$183&gt;=$K421,Input!BR184,0)</f>
        <v>0</v>
      </c>
      <c r="CC421" s="89">
        <f>IF(Input!$F$183&gt;=$K421,Input!BS184,0)</f>
        <v>0</v>
      </c>
      <c r="CD421" s="274">
        <f>IF(Input!$F$183&gt;=$K421,Input!BT184,0)</f>
        <v>0</v>
      </c>
      <c r="CE421" s="69">
        <f t="shared" ref="CE421:CE452" si="222">IF(L421&lt;&gt;"",L421,"")</f>
        <v>0</v>
      </c>
      <c r="CF421" s="1136">
        <f t="shared" ref="CF421:CF452" si="223">IFERROR(IF(OR($T421&gt;CF$419,CF$419&gt;$U421),0,($M421*((1+$P421)^VLOOKUP(CF$419-$T421+1,$N$473:$P$477,3))))+W421,0)</f>
        <v>0</v>
      </c>
      <c r="CG421" s="1136">
        <f t="shared" ref="CG421:CG452" si="224">IFERROR(IF(OR($T421&gt;CG$419,CG$419&gt;$U421),0,($M421*((1+$P421)^VLOOKUP(CG$419-$T421+1,$N$473:$P$477,3))))+X421,0)</f>
        <v>0</v>
      </c>
      <c r="CH421" s="1136">
        <f t="shared" ref="CH421:CH452" si="225">IFERROR(IF(OR($T421&gt;CH$419,CH$419&gt;$U421),0,($M421*((1+$P421)^VLOOKUP(CH$419-$T421+1,$N$473:$P$477,3))))+Y421,0)</f>
        <v>0</v>
      </c>
      <c r="CI421" s="1136">
        <f t="shared" ref="CI421:CI452" si="226">IFERROR(IF(OR($T421&gt;CI$419,CI$419&gt;$U421),0,($M421*((1+$P421)^VLOOKUP(CI$419-$T421+1,$N$473:$P$477,3))))+Z421,0)</f>
        <v>0</v>
      </c>
      <c r="CJ421" s="1136">
        <f t="shared" ref="CJ421:CJ452" si="227">IFERROR(IF(OR($T421&gt;CJ$419,CJ$419&gt;$U421),0,($M421*((1+$P421)^VLOOKUP(CJ$419-$T421+1,$N$473:$P$477,3))))+AA421,0)</f>
        <v>0</v>
      </c>
      <c r="CK421" s="1136">
        <f t="shared" ref="CK421:CK452" si="228">IFERROR(IF(OR($T421&gt;CK$419,CK$419&gt;$U421),0,($M421*((1+$P421)^VLOOKUP(CK$419-$T421+1,$N$473:$P$477,3))))+AB421,0)</f>
        <v>0</v>
      </c>
      <c r="CL421" s="1136">
        <f t="shared" ref="CL421:CL452" si="229">IFERROR(IF(OR($T421&gt;CL$419,CL$419&gt;$U421),0,($M421*((1+$P421)^VLOOKUP(CL$419-$T421+1,$N$473:$P$477,3))))+AC421,0)</f>
        <v>0</v>
      </c>
      <c r="CM421" s="1136">
        <f t="shared" ref="CM421:CM452" si="230">IFERROR(IF(OR($T421&gt;CM$419,CM$419&gt;$U421),0,($M421*((1+$P421)^VLOOKUP(CM$419-$T421+1,$N$473:$P$477,3))))+AD421,0)</f>
        <v>0</v>
      </c>
      <c r="CN421" s="1136">
        <f t="shared" ref="CN421:CN452" si="231">IFERROR(IF(OR($T421&gt;CN$419,CN$419&gt;$U421),0,($M421*((1+$P421)^VLOOKUP(CN$419-$T421+1,$N$473:$P$477,3))))+AE421,0)</f>
        <v>0</v>
      </c>
      <c r="CO421" s="1136">
        <f t="shared" ref="CO421:CO452" si="232">IFERROR(IF(OR($T421&gt;CO$419,CO$419&gt;$U421),0,($M421*((1+$P421)^VLOOKUP(CO$419-$T421+1,$N$473:$P$477,3))))+AF421,0)</f>
        <v>0</v>
      </c>
      <c r="CP421" s="1136">
        <f t="shared" ref="CP421:CP452" si="233">IFERROR(IF(OR($T421&gt;CP$419,CP$419&gt;$U421),0,($M421*((1+$P421)^VLOOKUP(CP$419-$T421+1,$N$473:$P$477,3))))+AG421,0)</f>
        <v>0</v>
      </c>
      <c r="CQ421" s="1136">
        <f t="shared" ref="CQ421:CQ452" si="234">IFERROR(IF(OR($T421&gt;CQ$419,CQ$419&gt;$U421),0,($M421*((1+$P421)^VLOOKUP(CQ$419-$T421+1,$N$473:$P$477,3))))+AH421,0)</f>
        <v>0</v>
      </c>
      <c r="CR421" s="1136">
        <f t="shared" ref="CR421:CR452" si="235">IFERROR(IF(OR($T421&gt;CR$419,CR$419&gt;$U421),0,($M421*((1+$P421)^VLOOKUP(CR$419-$T421+1,$N$473:$P$477,3))))+AI421,0)</f>
        <v>0</v>
      </c>
      <c r="CS421" s="1136">
        <f t="shared" ref="CS421:CS452" si="236">IFERROR(IF(OR($T421&gt;CS$419,CS$419&gt;$U421),0,($M421*((1+$P421)^VLOOKUP(CS$419-$T421+1,$N$473:$P$477,3))))+AJ421,0)</f>
        <v>0</v>
      </c>
      <c r="CT421" s="1136">
        <f t="shared" ref="CT421:CT452" si="237">IFERROR(IF(OR($T421&gt;CT$419,CT$419&gt;$U421),0,($M421*((1+$P421)^VLOOKUP(CT$419-$T421+1,$N$473:$P$477,3))))+AK421,0)</f>
        <v>0</v>
      </c>
      <c r="CU421" s="1136">
        <f t="shared" ref="CU421:CU452" si="238">IFERROR(IF(OR($T421&gt;CU$419,CU$419&gt;$U421),0,($M421*((1+$P421)^VLOOKUP(CU$419-$T421+1,$N$473:$P$477,3))))+AL421,0)</f>
        <v>0</v>
      </c>
      <c r="CV421" s="1136">
        <f t="shared" ref="CV421:CV452" si="239">IFERROR(IF(OR($T421&gt;CV$419,CV$419&gt;$U421),0,($M421*((1+$P421)^VLOOKUP(CV$419-$T421+1,$N$473:$P$477,3))))+AM421,0)</f>
        <v>0</v>
      </c>
      <c r="CW421" s="1136">
        <f t="shared" ref="CW421:CW452" si="240">IFERROR(IF(OR($T421&gt;CW$419,CW$419&gt;$U421),0,($M421*((1+$P421)^VLOOKUP(CW$419-$T421+1,$N$473:$P$477,3))))+AN421,0)</f>
        <v>0</v>
      </c>
      <c r="CX421" s="1136">
        <f t="shared" ref="CX421:CX452" si="241">IFERROR(IF(OR($T421&gt;CX$419,CX$419&gt;$U421),0,($M421*((1+$P421)^VLOOKUP(CX$419-$T421+1,$N$473:$P$477,3))))+AO421,0)</f>
        <v>0</v>
      </c>
      <c r="CY421" s="1136">
        <f t="shared" ref="CY421:CY452" si="242">IFERROR(IF(OR($T421&gt;CY$419,CY$419&gt;$U421),0,($M421*((1+$P421)^VLOOKUP(CY$419-$T421+1,$N$473:$P$477,3))))+AP421,0)</f>
        <v>0</v>
      </c>
      <c r="CZ421" s="1136">
        <f t="shared" ref="CZ421:CZ452" si="243">IFERROR(IF(OR($T421&gt;CZ$419,CZ$419&gt;$U421),0,($M421*((1+$P421)^VLOOKUP(CZ$419-$T421+1,$N$473:$P$477,3))))+AQ421,0)</f>
        <v>0</v>
      </c>
      <c r="DA421" s="1136">
        <f t="shared" ref="DA421:DA452" si="244">IFERROR(IF(OR($T421&gt;DA$419,DA$419&gt;$U421),0,($M421*((1+$P421)^VLOOKUP(DA$419-$T421+1,$N$473:$P$477,3))))+AR421,0)</f>
        <v>0</v>
      </c>
      <c r="DB421" s="1136">
        <f t="shared" ref="DB421:DB452" si="245">IFERROR(IF(OR($T421&gt;DB$419,DB$419&gt;$U421),0,($M421*((1+$P421)^VLOOKUP(DB$419-$T421+1,$N$473:$P$477,3))))+AS421,0)</f>
        <v>0</v>
      </c>
      <c r="DC421" s="1136">
        <f t="shared" ref="DC421:DC452" si="246">IFERROR(IF(OR($T421&gt;DC$419,DC$419&gt;$U421),0,($M421*((1+$P421)^VLOOKUP(DC$419-$T421+1,$N$473:$P$477,3))))+AT421,0)</f>
        <v>0</v>
      </c>
      <c r="DD421" s="1136">
        <f t="shared" ref="DD421:DD452" si="247">IFERROR(IF(OR($T421&gt;DD$419,DD$419&gt;$U421),0,($M421*((1+$P421)^VLOOKUP(DD$419-$T421+1,$N$473:$P$477,3))))+AU421,0)</f>
        <v>0</v>
      </c>
      <c r="DE421" s="1136">
        <f t="shared" ref="DE421:DE452" si="248">IFERROR(IF(OR($T421&gt;DE$419,DE$419&gt;$U421),0,($M421*((1+$P421)^VLOOKUP(DE$419-$T421+1,$N$473:$P$477,3))))+AV421,0)</f>
        <v>0</v>
      </c>
      <c r="DF421" s="1136">
        <f t="shared" ref="DF421:DF452" si="249">IFERROR(IF(OR($T421&gt;DF$419,DF$419&gt;$U421),0,($M421*((1+$P421)^VLOOKUP(DF$419-$T421+1,$N$473:$P$477,3))))+AW421,0)</f>
        <v>0</v>
      </c>
      <c r="DG421" s="1136">
        <f t="shared" ref="DG421:DG452" si="250">IFERROR(IF(OR($T421&gt;DG$419,DG$419&gt;$U421),0,($M421*((1+$P421)^VLOOKUP(DG$419-$T421+1,$N$473:$P$477,3))))+AX421,0)</f>
        <v>0</v>
      </c>
      <c r="DH421" s="1136">
        <f t="shared" ref="DH421:DH452" si="251">IFERROR(IF(OR($T421&gt;DH$419,DH$419&gt;$U421),0,($M421*((1+$P421)^VLOOKUP(DH$419-$T421+1,$N$473:$P$477,3))))+AY421,0)</f>
        <v>0</v>
      </c>
      <c r="DI421" s="1136">
        <f t="shared" ref="DI421:DI452" si="252">IFERROR(IF(OR($T421&gt;DI$419,DI$419&gt;$U421),0,($M421*((1+$P421)^VLOOKUP(DI$419-$T421+1,$N$473:$P$477,3))))+AZ421,0)</f>
        <v>0</v>
      </c>
      <c r="DJ421" s="1136">
        <f t="shared" ref="DJ421:DJ452" si="253">IFERROR(IF(OR($T421&gt;DJ$419,DJ$419&gt;$U421),0,($M421*((1+$P421)^VLOOKUP(DJ$419-$T421+1,$N$473:$P$477,3))))+BA421,0)</f>
        <v>0</v>
      </c>
      <c r="DK421" s="1136">
        <f t="shared" ref="DK421:DK452" si="254">IFERROR(IF(OR($T421&gt;DK$419,DK$419&gt;$U421),0,($M421*((1+$P421)^VLOOKUP(DK$419-$T421+1,$N$473:$P$477,3))))+BB421,0)</f>
        <v>0</v>
      </c>
      <c r="DL421" s="1136">
        <f t="shared" ref="DL421:DL452" si="255">IFERROR(IF(OR($T421&gt;DL$419,DL$419&gt;$U421),0,($M421*((1+$P421)^VLOOKUP(DL$419-$T421+1,$N$473:$P$477,3))))+BC421,0)</f>
        <v>0</v>
      </c>
      <c r="DM421" s="1136">
        <f t="shared" ref="DM421:DM452" si="256">IFERROR(IF(OR($T421&gt;DM$419,DM$419&gt;$U421),0,($M421*((1+$P421)^VLOOKUP(DM$419-$T421+1,$N$473:$P$477,3))))+BD421,0)</f>
        <v>0</v>
      </c>
      <c r="DN421" s="1136">
        <f t="shared" ref="DN421:DN452" si="257">IFERROR(IF(OR($T421&gt;DN$419,DN$419&gt;$U421),0,($M421*((1+$P421)^VLOOKUP(DN$419-$T421+1,$N$473:$P$477,3))))+BE421,0)</f>
        <v>0</v>
      </c>
      <c r="DO421" s="1136">
        <f t="shared" ref="DO421:DO452" si="258">IFERROR(IF(OR($T421&gt;DO$419,DO$419&gt;$U421),0,($M421*((1+$P421)^VLOOKUP(DO$419-$T421+1,$N$473:$P$477,3))))+BF421,0)</f>
        <v>0</v>
      </c>
      <c r="DP421" s="1136">
        <f t="shared" ref="DP421:DP452" si="259">IFERROR(IF(OR($T421&gt;DP$419,DP$419&gt;$U421),0,($M421*((1+$P421)^VLOOKUP(DP$419-$T421+1,$N$473:$P$477,3))))+BG421,0)</f>
        <v>0</v>
      </c>
      <c r="DQ421" s="1136">
        <f t="shared" ref="DQ421:DQ452" si="260">IFERROR(IF(OR($T421&gt;DQ$419,DQ$419&gt;$U421),0,($M421*((1+$P421)^VLOOKUP(DQ$419-$T421+1,$N$473:$P$477,3))))+BH421,0)</f>
        <v>0</v>
      </c>
      <c r="DR421" s="1136">
        <f t="shared" ref="DR421:DR452" si="261">IFERROR(IF(OR($T421&gt;DR$419,DR$419&gt;$U421),0,($M421*((1+$P421)^VLOOKUP(DR$419-$T421+1,$N$473:$P$477,3))))+BI421,0)</f>
        <v>0</v>
      </c>
      <c r="DS421" s="1136">
        <f t="shared" ref="DS421:DS452" si="262">IFERROR(IF(OR($T421&gt;DS$419,DS$419&gt;$U421),0,($M421*((1+$P421)^VLOOKUP(DS$419-$T421+1,$N$473:$P$477,3))))+BJ421,0)</f>
        <v>0</v>
      </c>
      <c r="DT421" s="1136">
        <f t="shared" ref="DT421:DT452" si="263">IFERROR(IF(OR($T421&gt;DT$419,DT$419&gt;$U421),0,($M421*((1+$P421)^VLOOKUP(DT$419-$T421+1,$N$473:$P$477,3))))+BK421,0)</f>
        <v>0</v>
      </c>
      <c r="DU421" s="1136">
        <f t="shared" ref="DU421:DU452" si="264">IFERROR(IF(OR($T421&gt;DU$419,DU$419&gt;$U421),0,($M421*((1+$P421)^VLOOKUP(DU$419-$T421+1,$N$473:$P$477,3))))+BL421,0)</f>
        <v>0</v>
      </c>
      <c r="DV421" s="1136">
        <f t="shared" ref="DV421:DV452" si="265">IFERROR(IF(OR($T421&gt;DV$419,DV$419&gt;$U421),0,($M421*((1+$P421)^VLOOKUP(DV$419-$T421+1,$N$473:$P$477,3))))+BM421,0)</f>
        <v>0</v>
      </c>
      <c r="DW421" s="1136">
        <f t="shared" ref="DW421:DW452" si="266">IFERROR(IF(OR($T421&gt;DW$419,DW$419&gt;$U421),0,($M421*((1+$P421)^VLOOKUP(DW$419-$T421+1,$N$473:$P$477,3))))+BN421,0)</f>
        <v>0</v>
      </c>
      <c r="DX421" s="1136">
        <f t="shared" ref="DX421:DX452" si="267">IFERROR(IF(OR($T421&gt;DX$419,DX$419&gt;$U421),0,($M421*((1+$P421)^VLOOKUP(DX$419-$T421+1,$N$473:$P$477,3))))+BO421,0)</f>
        <v>0</v>
      </c>
      <c r="DY421" s="1136">
        <f t="shared" ref="DY421:DY452" si="268">IFERROR(IF(OR($T421&gt;DY$419,DY$419&gt;$U421),0,($M421*((1+$P421)^VLOOKUP(DY$419-$T421+1,$N$473:$P$477,3))))+BP421,0)</f>
        <v>0</v>
      </c>
      <c r="DZ421" s="1136">
        <f t="shared" ref="DZ421:DZ452" si="269">IFERROR(IF(OR($T421&gt;DZ$419,DZ$419&gt;$U421),0,($M421*((1+$P421)^VLOOKUP(DZ$419-$T421+1,$N$473:$P$477,3))))+BQ421,0)</f>
        <v>0</v>
      </c>
      <c r="EA421" s="1136">
        <f t="shared" ref="EA421:EA452" si="270">IFERROR(IF(OR($T421&gt;EA$419,EA$419&gt;$U421),0,($M421*((1+$P421)^VLOOKUP(EA$419-$T421+1,$N$473:$P$477,3))))+BR421,0)</f>
        <v>0</v>
      </c>
      <c r="EB421" s="1136">
        <f t="shared" ref="EB421:EB452" si="271">IFERROR(IF(OR($T421&gt;EB$419,EB$419&gt;$U421),0,($M421*((1+$P421)^VLOOKUP(EB$419-$T421+1,$N$473:$P$477,3))))+BS421,0)</f>
        <v>0</v>
      </c>
      <c r="EC421" s="1136">
        <f t="shared" ref="EC421:EC452" si="272">IFERROR(IF(OR($T421&gt;EC$419,EC$419&gt;$U421),0,($M421*((1+$P421)^VLOOKUP(EC$419-$T421+1,$N$473:$P$477,3))))+BT421,0)</f>
        <v>0</v>
      </c>
      <c r="ED421" s="1136">
        <f t="shared" ref="ED421:ED452" si="273">IFERROR(IF(OR($T421&gt;ED$419,ED$419&gt;$U421),0,($M421*((1+$P421)^VLOOKUP(ED$419-$T421+1,$N$473:$P$477,3))))+BU421,0)</f>
        <v>0</v>
      </c>
      <c r="EE421" s="1136">
        <f t="shared" ref="EE421:EE452" si="274">IFERROR(IF(OR($T421&gt;EE$419,EE$419&gt;$U421),0,($M421*((1+$P421)^VLOOKUP(EE$419-$T421+1,$N$473:$P$477,3))))+BV421,0)</f>
        <v>0</v>
      </c>
      <c r="EF421" s="1136">
        <f t="shared" ref="EF421:EF452" si="275">IFERROR(IF(OR($T421&gt;EF$419,EF$419&gt;$U421),0,($M421*((1+$P421)^VLOOKUP(EF$419-$T421+1,$N$473:$P$477,3))))+BW421,0)</f>
        <v>0</v>
      </c>
      <c r="EG421" s="1136">
        <f t="shared" ref="EG421:EG452" si="276">IFERROR(IF(OR($T421&gt;EG$419,EG$419&gt;$U421),0,($M421*((1+$P421)^VLOOKUP(EG$419-$T421+1,$N$473:$P$477,3))))+BX421,0)</f>
        <v>0</v>
      </c>
      <c r="EH421" s="1136">
        <f t="shared" ref="EH421:EH452" si="277">IFERROR(IF(OR($T421&gt;EH$419,EH$419&gt;$U421),0,($M421*((1+$P421)^VLOOKUP(EH$419-$T421+1,$N$473:$P$477,3))))+BY421,0)</f>
        <v>0</v>
      </c>
      <c r="EI421" s="1136">
        <f t="shared" ref="EI421:EI452" si="278">IFERROR(IF(OR($T421&gt;EI$419,EI$419&gt;$U421),0,($M421*((1+$P421)^VLOOKUP(EI$419-$T421+1,$N$473:$P$477,3))))+BZ421,0)</f>
        <v>0</v>
      </c>
      <c r="EJ421" s="1136">
        <f t="shared" ref="EJ421:EJ452" si="279">IFERROR(IF(OR($T421&gt;EJ$419,EJ$419&gt;$U421),0,($M421*((1+$P421)^VLOOKUP(EJ$419-$T421+1,$N$473:$P$477,3))))+CA421,0)</f>
        <v>0</v>
      </c>
      <c r="EK421" s="1136">
        <f t="shared" ref="EK421:EK452" si="280">IFERROR(IF(OR($T421&gt;EK$419,EK$419&gt;$U421),0,($M421*((1+$P421)^VLOOKUP(EK$419-$T421+1,$N$473:$P$477,3))))+CB421,0)</f>
        <v>0</v>
      </c>
      <c r="EL421" s="1136">
        <f t="shared" ref="EL421:EL452" si="281">IFERROR(IF(OR($T421&gt;EL$419,EL$419&gt;$U421),0,($M421*((1+$P421)^VLOOKUP(EL$419-$T421+1,$N$473:$P$477,3))))+CC421,0)</f>
        <v>0</v>
      </c>
      <c r="EM421" s="1136">
        <f t="shared" ref="EM421:EM452" si="282">IFERROR(IF(OR($T421&gt;EM$419,EM$419&gt;$U421),0,($M421*((1+$P421)^VLOOKUP(EM$419-$T421+1,$N$473:$P$477,3))))+CD421,0)</f>
        <v>0</v>
      </c>
      <c r="EN421" s="1300"/>
      <c r="EO421" s="1300"/>
      <c r="EP421" s="1300">
        <f>$CK$414</f>
        <v>0</v>
      </c>
      <c r="EQ421" s="1300">
        <f>$CW$414</f>
        <v>0</v>
      </c>
      <c r="ER421" s="1300">
        <f>$DI$414</f>
        <v>0</v>
      </c>
      <c r="ES421" s="1810">
        <f>$DI$414</f>
        <v>0</v>
      </c>
      <c r="ET421" s="1300">
        <f>$EG$414</f>
        <v>0</v>
      </c>
    </row>
    <row r="422" spans="11:150" ht="12" customHeight="1" x14ac:dyDescent="0.35">
      <c r="K422" s="102">
        <v>2</v>
      </c>
      <c r="L422" s="415">
        <f>Input!D185</f>
        <v>0</v>
      </c>
      <c r="M422" s="416">
        <f>IF(Input!$F$183&gt;=$K422,Input!G185,0)</f>
        <v>0</v>
      </c>
      <c r="N422" s="1705">
        <f>Input!H185</f>
        <v>0</v>
      </c>
      <c r="O422" s="1705">
        <f>Input!I185</f>
        <v>0</v>
      </c>
      <c r="P422" s="1706">
        <f>Input!J185</f>
        <v>0</v>
      </c>
      <c r="Q422" s="102">
        <v>2</v>
      </c>
      <c r="R422" s="1702">
        <f t="shared" si="220"/>
        <v>0</v>
      </c>
      <c r="S422" s="1702">
        <f t="shared" si="221"/>
        <v>0</v>
      </c>
      <c r="T422" s="1302">
        <f>IFERROR(VLOOKUP(R422,Infrastructure!$D$70:$F$129,3,FALSE),0)</f>
        <v>1</v>
      </c>
      <c r="U422" s="1302">
        <f>IFERROR(VLOOKUP(S422,Infrastructure!$D$70:$F$129,3,FALSE),0)</f>
        <v>1</v>
      </c>
      <c r="V422" s="102"/>
      <c r="W422" s="1707">
        <f>IF(Input!$F$183&gt;=$K422,Input!M185,0)</f>
        <v>0</v>
      </c>
      <c r="X422" s="1708">
        <f>IF(Input!$F$183&gt;=$K422,Input!N185,0)</f>
        <v>0</v>
      </c>
      <c r="Y422" s="1708">
        <f>IF(Input!$F$183&gt;=$K422,Input!O185,0)</f>
        <v>0</v>
      </c>
      <c r="Z422" s="1708">
        <f>IF(Input!$F$183&gt;=$K422,Input!P185,0)</f>
        <v>0</v>
      </c>
      <c r="AA422" s="1708">
        <f>IF(Input!$F$183&gt;=$K422,Input!Q185,0)</f>
        <v>0</v>
      </c>
      <c r="AB422" s="1708">
        <f>IF(Input!$F$183&gt;=$K422,Input!R185,0)</f>
        <v>0</v>
      </c>
      <c r="AC422" s="1708">
        <f>IF(Input!$F$183&gt;=$K422,Input!S185,0)</f>
        <v>0</v>
      </c>
      <c r="AD422" s="1708">
        <f>IF(Input!$F$183&gt;=$K422,Input!T185,0)</f>
        <v>0</v>
      </c>
      <c r="AE422" s="1708">
        <f>IF(Input!$F$183&gt;=$K422,Input!U185,0)</f>
        <v>0</v>
      </c>
      <c r="AF422" s="1708">
        <f>IF(Input!$F$183&gt;=$K422,Input!V185,0)</f>
        <v>0</v>
      </c>
      <c r="AG422" s="1708">
        <f>IF(Input!$F$183&gt;=$K422,Input!W185,0)</f>
        <v>0</v>
      </c>
      <c r="AH422" s="1708">
        <f>IF(Input!$F$183&gt;=$K422,Input!X185,0)</f>
        <v>0</v>
      </c>
      <c r="AI422" s="1708">
        <f>IF(Input!$F$183&gt;=$K422,Input!Y185,0)</f>
        <v>0</v>
      </c>
      <c r="AJ422" s="1708">
        <f>IF(Input!$F$183&gt;=$K422,Input!Z185,0)</f>
        <v>0</v>
      </c>
      <c r="AK422" s="1708">
        <f>IF(Input!$F$183&gt;=$K422,Input!AA185,0)</f>
        <v>0</v>
      </c>
      <c r="AL422" s="1708">
        <f>IF(Input!$F$183&gt;=$K422,Input!AB185,0)</f>
        <v>0</v>
      </c>
      <c r="AM422" s="1708">
        <f>IF(Input!$F$183&gt;=$K422,Input!AC185,0)</f>
        <v>0</v>
      </c>
      <c r="AN422" s="1708">
        <f>IF(Input!$F$183&gt;=$K422,Input!AD185,0)</f>
        <v>0</v>
      </c>
      <c r="AO422" s="1708">
        <f>IF(Input!$F$183&gt;=$K422,Input!AE185,0)</f>
        <v>0</v>
      </c>
      <c r="AP422" s="1708">
        <f>IF(Input!$F$183&gt;=$K422,Input!AF185,0)</f>
        <v>0</v>
      </c>
      <c r="AQ422" s="1708">
        <f>IF(Input!$F$183&gt;=$K422,Input!AG185,0)</f>
        <v>0</v>
      </c>
      <c r="AR422" s="1708">
        <f>IF(Input!$F$183&gt;=$K422,Input!AH185,0)</f>
        <v>0</v>
      </c>
      <c r="AS422" s="1708">
        <f>IF(Input!$F$183&gt;=$K422,Input!AI185,0)</f>
        <v>0</v>
      </c>
      <c r="AT422" s="1708">
        <f>IF(Input!$F$183&gt;=$K422,Input!AJ185,0)</f>
        <v>0</v>
      </c>
      <c r="AU422" s="1708">
        <f>IF(Input!$F$183&gt;=$K422,Input!AK185,0)</f>
        <v>0</v>
      </c>
      <c r="AV422" s="1708">
        <f>IF(Input!$F$183&gt;=$K422,Input!AL185,0)</f>
        <v>0</v>
      </c>
      <c r="AW422" s="1708">
        <f>IF(Input!$F$183&gt;=$K422,Input!AM185,0)</f>
        <v>0</v>
      </c>
      <c r="AX422" s="1708">
        <f>IF(Input!$F$183&gt;=$K422,Input!AN185,0)</f>
        <v>0</v>
      </c>
      <c r="AY422" s="1708">
        <f>IF(Input!$F$183&gt;=$K422,Input!AO185,0)</f>
        <v>0</v>
      </c>
      <c r="AZ422" s="1708">
        <f>IF(Input!$F$183&gt;=$K422,Input!AP185,0)</f>
        <v>0</v>
      </c>
      <c r="BA422" s="1708">
        <f>IF(Input!$F$183&gt;=$K422,Input!AQ185,0)</f>
        <v>0</v>
      </c>
      <c r="BB422" s="1708">
        <f>IF(Input!$F$183&gt;=$K422,Input!AR185,0)</f>
        <v>0</v>
      </c>
      <c r="BC422" s="1708">
        <f>IF(Input!$F$183&gt;=$K422,Input!AS185,0)</f>
        <v>0</v>
      </c>
      <c r="BD422" s="1708">
        <f>IF(Input!$F$183&gt;=$K422,Input!AT185,0)</f>
        <v>0</v>
      </c>
      <c r="BE422" s="1708">
        <f>IF(Input!$F$183&gt;=$K422,Input!AU185,0)</f>
        <v>0</v>
      </c>
      <c r="BF422" s="1708">
        <f>IF(Input!$F$183&gt;=$K422,Input!AV185,0)</f>
        <v>0</v>
      </c>
      <c r="BG422" s="1708">
        <f>IF(Input!$F$183&gt;=$K422,Input!AW185,0)</f>
        <v>0</v>
      </c>
      <c r="BH422" s="1708">
        <f>IF(Input!$F$183&gt;=$K422,Input!AX185,0)</f>
        <v>0</v>
      </c>
      <c r="BI422" s="1708">
        <f>IF(Input!$F$183&gt;=$K422,Input!AY185,0)</f>
        <v>0</v>
      </c>
      <c r="BJ422" s="1708">
        <f>IF(Input!$F$183&gt;=$K422,Input!AZ185,0)</f>
        <v>0</v>
      </c>
      <c r="BK422" s="1708">
        <f>IF(Input!$F$183&gt;=$K422,Input!BA185,0)</f>
        <v>0</v>
      </c>
      <c r="BL422" s="1708">
        <f>IF(Input!$F$183&gt;=$K422,Input!BB185,0)</f>
        <v>0</v>
      </c>
      <c r="BM422" s="1708">
        <f>IF(Input!$F$183&gt;=$K422,Input!BC185,0)</f>
        <v>0</v>
      </c>
      <c r="BN422" s="1708">
        <f>IF(Input!$F$183&gt;=$K422,Input!BD185,0)</f>
        <v>0</v>
      </c>
      <c r="BO422" s="1708">
        <f>IF(Input!$F$183&gt;=$K422,Input!BE185,0)</f>
        <v>0</v>
      </c>
      <c r="BP422" s="1708">
        <f>IF(Input!$F$183&gt;=$K422,Input!BF185,0)</f>
        <v>0</v>
      </c>
      <c r="BQ422" s="1708">
        <f>IF(Input!$F$183&gt;=$K422,Input!BG185,0)</f>
        <v>0</v>
      </c>
      <c r="BR422" s="1708">
        <f>IF(Input!$F$183&gt;=$K422,Input!BH185,0)</f>
        <v>0</v>
      </c>
      <c r="BS422" s="1708">
        <f>IF(Input!$F$183&gt;=$K422,Input!BI185,0)</f>
        <v>0</v>
      </c>
      <c r="BT422" s="1708">
        <f>IF(Input!$F$183&gt;=$K422,Input!BJ185,0)</f>
        <v>0</v>
      </c>
      <c r="BU422" s="1708">
        <f>IF(Input!$F$183&gt;=$K422,Input!BK185,0)</f>
        <v>0</v>
      </c>
      <c r="BV422" s="1708">
        <f>IF(Input!$F$183&gt;=$K422,Input!BL185,0)</f>
        <v>0</v>
      </c>
      <c r="BW422" s="1708">
        <f>IF(Input!$F$183&gt;=$K422,Input!BM185,0)</f>
        <v>0</v>
      </c>
      <c r="BX422" s="92">
        <f>IF(Input!$F$183&gt;=$K422,Input!BN185,0)</f>
        <v>0</v>
      </c>
      <c r="BY422" s="92">
        <f>IF(Input!$F$183&gt;=$K422,Input!BO185,0)</f>
        <v>0</v>
      </c>
      <c r="BZ422" s="92">
        <f>IF(Input!$F$183&gt;=$K422,Input!BP185,0)</f>
        <v>0</v>
      </c>
      <c r="CA422" s="92">
        <f>IF(Input!$F$183&gt;=$K422,Input!BQ185,0)</f>
        <v>0</v>
      </c>
      <c r="CB422" s="92">
        <f>IF(Input!$F$183&gt;=$K422,Input!BR185,0)</f>
        <v>0</v>
      </c>
      <c r="CC422" s="92">
        <f>IF(Input!$F$183&gt;=$K422,Input!BS185,0)</f>
        <v>0</v>
      </c>
      <c r="CD422" s="275">
        <f>IF(Input!$F$183&gt;=$K422,Input!BT185,0)</f>
        <v>0</v>
      </c>
      <c r="CE422" s="69">
        <f t="shared" si="222"/>
        <v>0</v>
      </c>
      <c r="CF422" s="1136">
        <f t="shared" si="223"/>
        <v>0</v>
      </c>
      <c r="CG422" s="1136">
        <f t="shared" si="224"/>
        <v>0</v>
      </c>
      <c r="CH422" s="1136">
        <f t="shared" si="225"/>
        <v>0</v>
      </c>
      <c r="CI422" s="1136">
        <f t="shared" si="226"/>
        <v>0</v>
      </c>
      <c r="CJ422" s="1136">
        <f t="shared" si="227"/>
        <v>0</v>
      </c>
      <c r="CK422" s="1136">
        <f t="shared" si="228"/>
        <v>0</v>
      </c>
      <c r="CL422" s="1136">
        <f t="shared" si="229"/>
        <v>0</v>
      </c>
      <c r="CM422" s="1136">
        <f t="shared" si="230"/>
        <v>0</v>
      </c>
      <c r="CN422" s="1136">
        <f t="shared" si="231"/>
        <v>0</v>
      </c>
      <c r="CO422" s="1136">
        <f t="shared" si="232"/>
        <v>0</v>
      </c>
      <c r="CP422" s="1136">
        <f t="shared" si="233"/>
        <v>0</v>
      </c>
      <c r="CQ422" s="1136">
        <f t="shared" si="234"/>
        <v>0</v>
      </c>
      <c r="CR422" s="1136">
        <f t="shared" si="235"/>
        <v>0</v>
      </c>
      <c r="CS422" s="1136">
        <f t="shared" si="236"/>
        <v>0</v>
      </c>
      <c r="CT422" s="1136">
        <f t="shared" si="237"/>
        <v>0</v>
      </c>
      <c r="CU422" s="1136">
        <f t="shared" si="238"/>
        <v>0</v>
      </c>
      <c r="CV422" s="1136">
        <f t="shared" si="239"/>
        <v>0</v>
      </c>
      <c r="CW422" s="1136">
        <f t="shared" si="240"/>
        <v>0</v>
      </c>
      <c r="CX422" s="1136">
        <f t="shared" si="241"/>
        <v>0</v>
      </c>
      <c r="CY422" s="1136">
        <f t="shared" si="242"/>
        <v>0</v>
      </c>
      <c r="CZ422" s="1136">
        <f t="shared" si="243"/>
        <v>0</v>
      </c>
      <c r="DA422" s="1136">
        <f t="shared" si="244"/>
        <v>0</v>
      </c>
      <c r="DB422" s="1136">
        <f t="shared" si="245"/>
        <v>0</v>
      </c>
      <c r="DC422" s="1136">
        <f t="shared" si="246"/>
        <v>0</v>
      </c>
      <c r="DD422" s="1136">
        <f t="shared" si="247"/>
        <v>0</v>
      </c>
      <c r="DE422" s="1136">
        <f t="shared" si="248"/>
        <v>0</v>
      </c>
      <c r="DF422" s="1136">
        <f t="shared" si="249"/>
        <v>0</v>
      </c>
      <c r="DG422" s="1136">
        <f t="shared" si="250"/>
        <v>0</v>
      </c>
      <c r="DH422" s="1136">
        <f t="shared" si="251"/>
        <v>0</v>
      </c>
      <c r="DI422" s="1136">
        <f t="shared" si="252"/>
        <v>0</v>
      </c>
      <c r="DJ422" s="1136">
        <f t="shared" si="253"/>
        <v>0</v>
      </c>
      <c r="DK422" s="1136">
        <f t="shared" si="254"/>
        <v>0</v>
      </c>
      <c r="DL422" s="1136">
        <f t="shared" si="255"/>
        <v>0</v>
      </c>
      <c r="DM422" s="1136">
        <f t="shared" si="256"/>
        <v>0</v>
      </c>
      <c r="DN422" s="1136">
        <f t="shared" si="257"/>
        <v>0</v>
      </c>
      <c r="DO422" s="1136">
        <f t="shared" si="258"/>
        <v>0</v>
      </c>
      <c r="DP422" s="1136">
        <f t="shared" si="259"/>
        <v>0</v>
      </c>
      <c r="DQ422" s="1136">
        <f t="shared" si="260"/>
        <v>0</v>
      </c>
      <c r="DR422" s="1136">
        <f t="shared" si="261"/>
        <v>0</v>
      </c>
      <c r="DS422" s="1136">
        <f t="shared" si="262"/>
        <v>0</v>
      </c>
      <c r="DT422" s="1136">
        <f t="shared" si="263"/>
        <v>0</v>
      </c>
      <c r="DU422" s="1136">
        <f t="shared" si="264"/>
        <v>0</v>
      </c>
      <c r="DV422" s="1136">
        <f t="shared" si="265"/>
        <v>0</v>
      </c>
      <c r="DW422" s="1136">
        <f t="shared" si="266"/>
        <v>0</v>
      </c>
      <c r="DX422" s="1136">
        <f t="shared" si="267"/>
        <v>0</v>
      </c>
      <c r="DY422" s="1136">
        <f t="shared" si="268"/>
        <v>0</v>
      </c>
      <c r="DZ422" s="1136">
        <f t="shared" si="269"/>
        <v>0</v>
      </c>
      <c r="EA422" s="1136">
        <f t="shared" si="270"/>
        <v>0</v>
      </c>
      <c r="EB422" s="1136">
        <f t="shared" si="271"/>
        <v>0</v>
      </c>
      <c r="EC422" s="1136">
        <f t="shared" si="272"/>
        <v>0</v>
      </c>
      <c r="ED422" s="1136">
        <f t="shared" si="273"/>
        <v>0</v>
      </c>
      <c r="EE422" s="1136">
        <f t="shared" si="274"/>
        <v>0</v>
      </c>
      <c r="EF422" s="1136">
        <f t="shared" si="275"/>
        <v>0</v>
      </c>
      <c r="EG422" s="1136">
        <f t="shared" si="276"/>
        <v>0</v>
      </c>
      <c r="EH422" s="1136">
        <f t="shared" si="277"/>
        <v>0</v>
      </c>
      <c r="EI422" s="1136">
        <f t="shared" si="278"/>
        <v>0</v>
      </c>
      <c r="EJ422" s="1136">
        <f t="shared" si="279"/>
        <v>0</v>
      </c>
      <c r="EK422" s="1136">
        <f t="shared" si="280"/>
        <v>0</v>
      </c>
      <c r="EL422" s="1136">
        <f t="shared" si="281"/>
        <v>0</v>
      </c>
      <c r="EM422" s="1136">
        <f t="shared" si="282"/>
        <v>0</v>
      </c>
      <c r="EN422" s="1300"/>
      <c r="EO422" s="1300"/>
      <c r="EP422" s="1300">
        <f>$CL$414</f>
        <v>0</v>
      </c>
      <c r="EQ422" s="1300">
        <f>$CX$414</f>
        <v>0</v>
      </c>
      <c r="ER422" s="1300">
        <f>$DJ$414</f>
        <v>0</v>
      </c>
      <c r="ES422" s="1810">
        <f>$DJ$414</f>
        <v>0</v>
      </c>
      <c r="ET422" s="1300">
        <f>$EH$414</f>
        <v>0</v>
      </c>
    </row>
    <row r="423" spans="11:150" ht="12" customHeight="1" x14ac:dyDescent="0.35">
      <c r="K423" s="102">
        <v>3</v>
      </c>
      <c r="L423" s="415">
        <f>Input!D186</f>
        <v>0</v>
      </c>
      <c r="M423" s="416">
        <f>IF(Input!$F$183&gt;=$K423,Input!G186,0)</f>
        <v>0</v>
      </c>
      <c r="N423" s="1705">
        <f>Input!H186</f>
        <v>0</v>
      </c>
      <c r="O423" s="1705">
        <f>Input!I186</f>
        <v>0</v>
      </c>
      <c r="P423" s="1706">
        <f>Input!J186</f>
        <v>0</v>
      </c>
      <c r="Q423" s="102">
        <v>3</v>
      </c>
      <c r="R423" s="1702">
        <f t="shared" si="220"/>
        <v>0</v>
      </c>
      <c r="S423" s="1702">
        <f t="shared" si="221"/>
        <v>0</v>
      </c>
      <c r="T423" s="1302">
        <f>IFERROR(VLOOKUP(R423,Infrastructure!$D$70:$F$129,3,FALSE),0)</f>
        <v>1</v>
      </c>
      <c r="U423" s="1302">
        <f>IFERROR(VLOOKUP(S423,Infrastructure!$D$70:$F$129,3,FALSE),0)</f>
        <v>1</v>
      </c>
      <c r="V423" s="102"/>
      <c r="W423" s="1707">
        <f>IF(Input!$F$183&gt;=$K423,Input!M186,0)</f>
        <v>0</v>
      </c>
      <c r="X423" s="1708">
        <f>IF(Input!$F$183&gt;=$K423,Input!N186,0)</f>
        <v>0</v>
      </c>
      <c r="Y423" s="1708">
        <f>IF(Input!$F$183&gt;=$K423,Input!O186,0)</f>
        <v>0</v>
      </c>
      <c r="Z423" s="1708">
        <f>IF(Input!$F$183&gt;=$K423,Input!P186,0)</f>
        <v>0</v>
      </c>
      <c r="AA423" s="1708">
        <f>IF(Input!$F$183&gt;=$K423,Input!Q186,0)</f>
        <v>0</v>
      </c>
      <c r="AB423" s="1708">
        <f>IF(Input!$F$183&gt;=$K423,Input!R186,0)</f>
        <v>0</v>
      </c>
      <c r="AC423" s="1708">
        <f>IF(Input!$F$183&gt;=$K423,Input!S186,0)</f>
        <v>0</v>
      </c>
      <c r="AD423" s="1708">
        <f>IF(Input!$F$183&gt;=$K423,Input!T186,0)</f>
        <v>0</v>
      </c>
      <c r="AE423" s="1708">
        <f>IF(Input!$F$183&gt;=$K423,Input!U186,0)</f>
        <v>0</v>
      </c>
      <c r="AF423" s="1708">
        <f>IF(Input!$F$183&gt;=$K423,Input!V186,0)</f>
        <v>0</v>
      </c>
      <c r="AG423" s="1708">
        <f>IF(Input!$F$183&gt;=$K423,Input!W186,0)</f>
        <v>0</v>
      </c>
      <c r="AH423" s="1708">
        <f>IF(Input!$F$183&gt;=$K423,Input!X186,0)</f>
        <v>0</v>
      </c>
      <c r="AI423" s="1708">
        <f>IF(Input!$F$183&gt;=$K423,Input!Y186,0)</f>
        <v>0</v>
      </c>
      <c r="AJ423" s="1708">
        <f>IF(Input!$F$183&gt;=$K423,Input!Z186,0)</f>
        <v>0</v>
      </c>
      <c r="AK423" s="1708">
        <f>IF(Input!$F$183&gt;=$K423,Input!AA186,0)</f>
        <v>0</v>
      </c>
      <c r="AL423" s="1708">
        <f>IF(Input!$F$183&gt;=$K423,Input!AB186,0)</f>
        <v>0</v>
      </c>
      <c r="AM423" s="1708">
        <f>IF(Input!$F$183&gt;=$K423,Input!AC186,0)</f>
        <v>0</v>
      </c>
      <c r="AN423" s="1708">
        <f>IF(Input!$F$183&gt;=$K423,Input!AD186,0)</f>
        <v>0</v>
      </c>
      <c r="AO423" s="1708">
        <f>IF(Input!$F$183&gt;=$K423,Input!AE186,0)</f>
        <v>0</v>
      </c>
      <c r="AP423" s="1708">
        <f>IF(Input!$F$183&gt;=$K423,Input!AF186,0)</f>
        <v>0</v>
      </c>
      <c r="AQ423" s="1708">
        <f>IF(Input!$F$183&gt;=$K423,Input!AG186,0)</f>
        <v>0</v>
      </c>
      <c r="AR423" s="1708">
        <f>IF(Input!$F$183&gt;=$K423,Input!AH186,0)</f>
        <v>0</v>
      </c>
      <c r="AS423" s="1708">
        <f>IF(Input!$F$183&gt;=$K423,Input!AI186,0)</f>
        <v>0</v>
      </c>
      <c r="AT423" s="1708">
        <f>IF(Input!$F$183&gt;=$K423,Input!AJ186,0)</f>
        <v>0</v>
      </c>
      <c r="AU423" s="1708">
        <f>IF(Input!$F$183&gt;=$K423,Input!AK186,0)</f>
        <v>0</v>
      </c>
      <c r="AV423" s="1708">
        <f>IF(Input!$F$183&gt;=$K423,Input!AL186,0)</f>
        <v>0</v>
      </c>
      <c r="AW423" s="1708">
        <f>IF(Input!$F$183&gt;=$K423,Input!AM186,0)</f>
        <v>0</v>
      </c>
      <c r="AX423" s="1708">
        <f>IF(Input!$F$183&gt;=$K423,Input!AN186,0)</f>
        <v>0</v>
      </c>
      <c r="AY423" s="1708">
        <f>IF(Input!$F$183&gt;=$K423,Input!AO186,0)</f>
        <v>0</v>
      </c>
      <c r="AZ423" s="1708">
        <f>IF(Input!$F$183&gt;=$K423,Input!AP186,0)</f>
        <v>0</v>
      </c>
      <c r="BA423" s="1708">
        <f>IF(Input!$F$183&gt;=$K423,Input!AQ186,0)</f>
        <v>0</v>
      </c>
      <c r="BB423" s="1708">
        <f>IF(Input!$F$183&gt;=$K423,Input!AR186,0)</f>
        <v>0</v>
      </c>
      <c r="BC423" s="1708">
        <f>IF(Input!$F$183&gt;=$K423,Input!AS186,0)</f>
        <v>0</v>
      </c>
      <c r="BD423" s="1708">
        <f>IF(Input!$F$183&gt;=$K423,Input!AT186,0)</f>
        <v>0</v>
      </c>
      <c r="BE423" s="1708">
        <f>IF(Input!$F$183&gt;=$K423,Input!AU186,0)</f>
        <v>0</v>
      </c>
      <c r="BF423" s="1708">
        <f>IF(Input!$F$183&gt;=$K423,Input!AV186,0)</f>
        <v>0</v>
      </c>
      <c r="BG423" s="1708">
        <f>IF(Input!$F$183&gt;=$K423,Input!AW186,0)</f>
        <v>0</v>
      </c>
      <c r="BH423" s="1708">
        <f>IF(Input!$F$183&gt;=$K423,Input!AX186,0)</f>
        <v>0</v>
      </c>
      <c r="BI423" s="1708">
        <f>IF(Input!$F$183&gt;=$K423,Input!AY186,0)</f>
        <v>0</v>
      </c>
      <c r="BJ423" s="1708">
        <f>IF(Input!$F$183&gt;=$K423,Input!AZ186,0)</f>
        <v>0</v>
      </c>
      <c r="BK423" s="1708">
        <f>IF(Input!$F$183&gt;=$K423,Input!BA186,0)</f>
        <v>0</v>
      </c>
      <c r="BL423" s="1708">
        <f>IF(Input!$F$183&gt;=$K423,Input!BB186,0)</f>
        <v>0</v>
      </c>
      <c r="BM423" s="1708">
        <f>IF(Input!$F$183&gt;=$K423,Input!BC186,0)</f>
        <v>0</v>
      </c>
      <c r="BN423" s="1708">
        <f>IF(Input!$F$183&gt;=$K423,Input!BD186,0)</f>
        <v>0</v>
      </c>
      <c r="BO423" s="1708">
        <f>IF(Input!$F$183&gt;=$K423,Input!BE186,0)</f>
        <v>0</v>
      </c>
      <c r="BP423" s="1708">
        <f>IF(Input!$F$183&gt;=$K423,Input!BF186,0)</f>
        <v>0</v>
      </c>
      <c r="BQ423" s="1708">
        <f>IF(Input!$F$183&gt;=$K423,Input!BG186,0)</f>
        <v>0</v>
      </c>
      <c r="BR423" s="1708">
        <f>IF(Input!$F$183&gt;=$K423,Input!BH186,0)</f>
        <v>0</v>
      </c>
      <c r="BS423" s="1708">
        <f>IF(Input!$F$183&gt;=$K423,Input!BI186,0)</f>
        <v>0</v>
      </c>
      <c r="BT423" s="1708">
        <f>IF(Input!$F$183&gt;=$K423,Input!BJ186,0)</f>
        <v>0</v>
      </c>
      <c r="BU423" s="1708">
        <f>IF(Input!$F$183&gt;=$K423,Input!BK186,0)</f>
        <v>0</v>
      </c>
      <c r="BV423" s="1708">
        <f>IF(Input!$F$183&gt;=$K423,Input!BL186,0)</f>
        <v>0</v>
      </c>
      <c r="BW423" s="1708">
        <f>IF(Input!$F$183&gt;=$K423,Input!BM186,0)</f>
        <v>0</v>
      </c>
      <c r="BX423" s="92">
        <f>IF(Input!$F$183&gt;=$K423,Input!BN186,0)</f>
        <v>0</v>
      </c>
      <c r="BY423" s="92">
        <f>IF(Input!$F$183&gt;=$K423,Input!BO186,0)</f>
        <v>0</v>
      </c>
      <c r="BZ423" s="92">
        <f>IF(Input!$F$183&gt;=$K423,Input!BP186,0)</f>
        <v>0</v>
      </c>
      <c r="CA423" s="92">
        <f>IF(Input!$F$183&gt;=$K423,Input!BQ186,0)</f>
        <v>0</v>
      </c>
      <c r="CB423" s="92">
        <f>IF(Input!$F$183&gt;=$K423,Input!BR186,0)</f>
        <v>0</v>
      </c>
      <c r="CC423" s="92">
        <f>IF(Input!$F$183&gt;=$K423,Input!BS186,0)</f>
        <v>0</v>
      </c>
      <c r="CD423" s="275">
        <f>IF(Input!$F$183&gt;=$K423,Input!BT186,0)</f>
        <v>0</v>
      </c>
      <c r="CE423" s="69">
        <f t="shared" si="222"/>
        <v>0</v>
      </c>
      <c r="CF423" s="1136">
        <f t="shared" si="223"/>
        <v>0</v>
      </c>
      <c r="CG423" s="1136">
        <f t="shared" si="224"/>
        <v>0</v>
      </c>
      <c r="CH423" s="1136">
        <f t="shared" si="225"/>
        <v>0</v>
      </c>
      <c r="CI423" s="1136">
        <f t="shared" si="226"/>
        <v>0</v>
      </c>
      <c r="CJ423" s="1136">
        <f t="shared" si="227"/>
        <v>0</v>
      </c>
      <c r="CK423" s="1136">
        <f t="shared" si="228"/>
        <v>0</v>
      </c>
      <c r="CL423" s="1136">
        <f t="shared" si="229"/>
        <v>0</v>
      </c>
      <c r="CM423" s="1136">
        <f t="shared" si="230"/>
        <v>0</v>
      </c>
      <c r="CN423" s="1136">
        <f t="shared" si="231"/>
        <v>0</v>
      </c>
      <c r="CO423" s="1136">
        <f t="shared" si="232"/>
        <v>0</v>
      </c>
      <c r="CP423" s="1136">
        <f t="shared" si="233"/>
        <v>0</v>
      </c>
      <c r="CQ423" s="1136">
        <f t="shared" si="234"/>
        <v>0</v>
      </c>
      <c r="CR423" s="1136">
        <f t="shared" si="235"/>
        <v>0</v>
      </c>
      <c r="CS423" s="1136">
        <f t="shared" si="236"/>
        <v>0</v>
      </c>
      <c r="CT423" s="1136">
        <f t="shared" si="237"/>
        <v>0</v>
      </c>
      <c r="CU423" s="1136">
        <f t="shared" si="238"/>
        <v>0</v>
      </c>
      <c r="CV423" s="1136">
        <f t="shared" si="239"/>
        <v>0</v>
      </c>
      <c r="CW423" s="1136">
        <f t="shared" si="240"/>
        <v>0</v>
      </c>
      <c r="CX423" s="1136">
        <f t="shared" si="241"/>
        <v>0</v>
      </c>
      <c r="CY423" s="1136">
        <f t="shared" si="242"/>
        <v>0</v>
      </c>
      <c r="CZ423" s="1136">
        <f t="shared" si="243"/>
        <v>0</v>
      </c>
      <c r="DA423" s="1136">
        <f t="shared" si="244"/>
        <v>0</v>
      </c>
      <c r="DB423" s="1136">
        <f t="shared" si="245"/>
        <v>0</v>
      </c>
      <c r="DC423" s="1136">
        <f t="shared" si="246"/>
        <v>0</v>
      </c>
      <c r="DD423" s="1136">
        <f t="shared" si="247"/>
        <v>0</v>
      </c>
      <c r="DE423" s="1136">
        <f t="shared" si="248"/>
        <v>0</v>
      </c>
      <c r="DF423" s="1136">
        <f t="shared" si="249"/>
        <v>0</v>
      </c>
      <c r="DG423" s="1136">
        <f t="shared" si="250"/>
        <v>0</v>
      </c>
      <c r="DH423" s="1136">
        <f t="shared" si="251"/>
        <v>0</v>
      </c>
      <c r="DI423" s="1136">
        <f t="shared" si="252"/>
        <v>0</v>
      </c>
      <c r="DJ423" s="1136">
        <f t="shared" si="253"/>
        <v>0</v>
      </c>
      <c r="DK423" s="1136">
        <f t="shared" si="254"/>
        <v>0</v>
      </c>
      <c r="DL423" s="1136">
        <f t="shared" si="255"/>
        <v>0</v>
      </c>
      <c r="DM423" s="1136">
        <f t="shared" si="256"/>
        <v>0</v>
      </c>
      <c r="DN423" s="1136">
        <f t="shared" si="257"/>
        <v>0</v>
      </c>
      <c r="DO423" s="1136">
        <f t="shared" si="258"/>
        <v>0</v>
      </c>
      <c r="DP423" s="1136">
        <f t="shared" si="259"/>
        <v>0</v>
      </c>
      <c r="DQ423" s="1136">
        <f t="shared" si="260"/>
        <v>0</v>
      </c>
      <c r="DR423" s="1136">
        <f t="shared" si="261"/>
        <v>0</v>
      </c>
      <c r="DS423" s="1136">
        <f t="shared" si="262"/>
        <v>0</v>
      </c>
      <c r="DT423" s="1136">
        <f t="shared" si="263"/>
        <v>0</v>
      </c>
      <c r="DU423" s="1136">
        <f t="shared" si="264"/>
        <v>0</v>
      </c>
      <c r="DV423" s="1136">
        <f t="shared" si="265"/>
        <v>0</v>
      </c>
      <c r="DW423" s="1136">
        <f t="shared" si="266"/>
        <v>0</v>
      </c>
      <c r="DX423" s="1136">
        <f t="shared" si="267"/>
        <v>0</v>
      </c>
      <c r="DY423" s="1136">
        <f t="shared" si="268"/>
        <v>0</v>
      </c>
      <c r="DZ423" s="1136">
        <f t="shared" si="269"/>
        <v>0</v>
      </c>
      <c r="EA423" s="1136">
        <f t="shared" si="270"/>
        <v>0</v>
      </c>
      <c r="EB423" s="1136">
        <f t="shared" si="271"/>
        <v>0</v>
      </c>
      <c r="EC423" s="1136">
        <f t="shared" si="272"/>
        <v>0</v>
      </c>
      <c r="ED423" s="1136">
        <f t="shared" si="273"/>
        <v>0</v>
      </c>
      <c r="EE423" s="1136">
        <f t="shared" si="274"/>
        <v>0</v>
      </c>
      <c r="EF423" s="1136">
        <f t="shared" si="275"/>
        <v>0</v>
      </c>
      <c r="EG423" s="1136">
        <f t="shared" si="276"/>
        <v>0</v>
      </c>
      <c r="EH423" s="1136">
        <f t="shared" si="277"/>
        <v>0</v>
      </c>
      <c r="EI423" s="1136">
        <f t="shared" si="278"/>
        <v>0</v>
      </c>
      <c r="EJ423" s="1136">
        <f t="shared" si="279"/>
        <v>0</v>
      </c>
      <c r="EK423" s="1136">
        <f t="shared" si="280"/>
        <v>0</v>
      </c>
      <c r="EL423" s="1136">
        <f t="shared" si="281"/>
        <v>0</v>
      </c>
      <c r="EM423" s="1136">
        <f t="shared" si="282"/>
        <v>0</v>
      </c>
      <c r="EN423" s="1300"/>
      <c r="EO423" s="1300"/>
      <c r="EP423" s="1300">
        <f>$CM$414</f>
        <v>0</v>
      </c>
      <c r="EQ423" s="1300">
        <f>$CY$414</f>
        <v>0</v>
      </c>
      <c r="ER423" s="1300">
        <f>$DK$414</f>
        <v>0</v>
      </c>
      <c r="ES423" s="1810">
        <f>$DK$414</f>
        <v>0</v>
      </c>
      <c r="ET423" s="1300">
        <f>$EI$414</f>
        <v>0</v>
      </c>
    </row>
    <row r="424" spans="11:150" ht="12" customHeight="1" x14ac:dyDescent="0.35">
      <c r="K424" s="102">
        <v>4</v>
      </c>
      <c r="L424" s="415">
        <f>Input!D187</f>
        <v>0</v>
      </c>
      <c r="M424" s="416">
        <f>IF(Input!$F$183&gt;=$K424,Input!G187,0)</f>
        <v>0</v>
      </c>
      <c r="N424" s="1705">
        <f>Input!H187</f>
        <v>0</v>
      </c>
      <c r="O424" s="1705">
        <f>Input!I187</f>
        <v>0</v>
      </c>
      <c r="P424" s="1706">
        <f>Input!J187</f>
        <v>0</v>
      </c>
      <c r="Q424" s="102">
        <v>4</v>
      </c>
      <c r="R424" s="1702">
        <f t="shared" si="220"/>
        <v>0</v>
      </c>
      <c r="S424" s="1702">
        <f t="shared" si="221"/>
        <v>0</v>
      </c>
      <c r="T424" s="1302">
        <f>IFERROR(VLOOKUP(R424,Infrastructure!$D$70:$F$129,3,FALSE),0)</f>
        <v>1</v>
      </c>
      <c r="U424" s="1302">
        <f>IFERROR(VLOOKUP(S424,Infrastructure!$D$70:$F$129,3,FALSE),0)</f>
        <v>1</v>
      </c>
      <c r="V424" s="102"/>
      <c r="W424" s="1707">
        <f>IF(Input!$F$183&gt;=$K424,Input!M187,0)</f>
        <v>0</v>
      </c>
      <c r="X424" s="1708">
        <f>IF(Input!$F$183&gt;=$K424,Input!N187,0)</f>
        <v>0</v>
      </c>
      <c r="Y424" s="1708">
        <f>IF(Input!$F$183&gt;=$K424,Input!O187,0)</f>
        <v>0</v>
      </c>
      <c r="Z424" s="1708">
        <f>IF(Input!$F$183&gt;=$K424,Input!P187,0)</f>
        <v>0</v>
      </c>
      <c r="AA424" s="1708">
        <f>IF(Input!$F$183&gt;=$K424,Input!Q187,0)</f>
        <v>0</v>
      </c>
      <c r="AB424" s="1708">
        <f>IF(Input!$F$183&gt;=$K424,Input!R187,0)</f>
        <v>0</v>
      </c>
      <c r="AC424" s="1708">
        <f>IF(Input!$F$183&gt;=$K424,Input!S187,0)</f>
        <v>0</v>
      </c>
      <c r="AD424" s="1708">
        <f>IF(Input!$F$183&gt;=$K424,Input!T187,0)</f>
        <v>0</v>
      </c>
      <c r="AE424" s="1708">
        <f>IF(Input!$F$183&gt;=$K424,Input!U187,0)</f>
        <v>0</v>
      </c>
      <c r="AF424" s="1708">
        <f>IF(Input!$F$183&gt;=$K424,Input!V187,0)</f>
        <v>0</v>
      </c>
      <c r="AG424" s="1708">
        <f>IF(Input!$F$183&gt;=$K424,Input!W187,0)</f>
        <v>0</v>
      </c>
      <c r="AH424" s="1708">
        <f>IF(Input!$F$183&gt;=$K424,Input!X187,0)</f>
        <v>0</v>
      </c>
      <c r="AI424" s="1708">
        <f>IF(Input!$F$183&gt;=$K424,Input!Y187,0)</f>
        <v>0</v>
      </c>
      <c r="AJ424" s="1708">
        <f>IF(Input!$F$183&gt;=$K424,Input!Z187,0)</f>
        <v>0</v>
      </c>
      <c r="AK424" s="1708">
        <f>IF(Input!$F$183&gt;=$K424,Input!AA187,0)</f>
        <v>0</v>
      </c>
      <c r="AL424" s="1708">
        <f>IF(Input!$F$183&gt;=$K424,Input!AB187,0)</f>
        <v>0</v>
      </c>
      <c r="AM424" s="1708">
        <f>IF(Input!$F$183&gt;=$K424,Input!AC187,0)</f>
        <v>0</v>
      </c>
      <c r="AN424" s="1708">
        <f>IF(Input!$F$183&gt;=$K424,Input!AD187,0)</f>
        <v>0</v>
      </c>
      <c r="AO424" s="1708">
        <f>IF(Input!$F$183&gt;=$K424,Input!AE187,0)</f>
        <v>0</v>
      </c>
      <c r="AP424" s="1708">
        <f>IF(Input!$F$183&gt;=$K424,Input!AF187,0)</f>
        <v>0</v>
      </c>
      <c r="AQ424" s="1708">
        <f>IF(Input!$F$183&gt;=$K424,Input!AG187,0)</f>
        <v>0</v>
      </c>
      <c r="AR424" s="1708">
        <f>IF(Input!$F$183&gt;=$K424,Input!AH187,0)</f>
        <v>0</v>
      </c>
      <c r="AS424" s="1708">
        <f>IF(Input!$F$183&gt;=$K424,Input!AI187,0)</f>
        <v>0</v>
      </c>
      <c r="AT424" s="1708">
        <f>IF(Input!$F$183&gt;=$K424,Input!AJ187,0)</f>
        <v>0</v>
      </c>
      <c r="AU424" s="1708">
        <f>IF(Input!$F$183&gt;=$K424,Input!AK187,0)</f>
        <v>0</v>
      </c>
      <c r="AV424" s="1708">
        <f>IF(Input!$F$183&gt;=$K424,Input!AL187,0)</f>
        <v>0</v>
      </c>
      <c r="AW424" s="1708">
        <f>IF(Input!$F$183&gt;=$K424,Input!AM187,0)</f>
        <v>0</v>
      </c>
      <c r="AX424" s="1708">
        <f>IF(Input!$F$183&gt;=$K424,Input!AN187,0)</f>
        <v>0</v>
      </c>
      <c r="AY424" s="1708">
        <f>IF(Input!$F$183&gt;=$K424,Input!AO187,0)</f>
        <v>0</v>
      </c>
      <c r="AZ424" s="1708">
        <f>IF(Input!$F$183&gt;=$K424,Input!AP187,0)</f>
        <v>0</v>
      </c>
      <c r="BA424" s="1708">
        <f>IF(Input!$F$183&gt;=$K424,Input!AQ187,0)</f>
        <v>0</v>
      </c>
      <c r="BB424" s="1708">
        <f>IF(Input!$F$183&gt;=$K424,Input!AR187,0)</f>
        <v>0</v>
      </c>
      <c r="BC424" s="1708">
        <f>IF(Input!$F$183&gt;=$K424,Input!AS187,0)</f>
        <v>0</v>
      </c>
      <c r="BD424" s="1708">
        <f>IF(Input!$F$183&gt;=$K424,Input!AT187,0)</f>
        <v>0</v>
      </c>
      <c r="BE424" s="1708">
        <f>IF(Input!$F$183&gt;=$K424,Input!AU187,0)</f>
        <v>0</v>
      </c>
      <c r="BF424" s="1708">
        <f>IF(Input!$F$183&gt;=$K424,Input!AV187,0)</f>
        <v>0</v>
      </c>
      <c r="BG424" s="1708">
        <f>IF(Input!$F$183&gt;=$K424,Input!AW187,0)</f>
        <v>0</v>
      </c>
      <c r="BH424" s="1708">
        <f>IF(Input!$F$183&gt;=$K424,Input!AX187,0)</f>
        <v>0</v>
      </c>
      <c r="BI424" s="1708">
        <f>IF(Input!$F$183&gt;=$K424,Input!AY187,0)</f>
        <v>0</v>
      </c>
      <c r="BJ424" s="1708">
        <f>IF(Input!$F$183&gt;=$K424,Input!AZ187,0)</f>
        <v>0</v>
      </c>
      <c r="BK424" s="1708">
        <f>IF(Input!$F$183&gt;=$K424,Input!BA187,0)</f>
        <v>0</v>
      </c>
      <c r="BL424" s="1708">
        <f>IF(Input!$F$183&gt;=$K424,Input!BB187,0)</f>
        <v>0</v>
      </c>
      <c r="BM424" s="1708">
        <f>IF(Input!$F$183&gt;=$K424,Input!BC187,0)</f>
        <v>0</v>
      </c>
      <c r="BN424" s="1708">
        <f>IF(Input!$F$183&gt;=$K424,Input!BD187,0)</f>
        <v>0</v>
      </c>
      <c r="BO424" s="1708">
        <f>IF(Input!$F$183&gt;=$K424,Input!BE187,0)</f>
        <v>0</v>
      </c>
      <c r="BP424" s="1708">
        <f>IF(Input!$F$183&gt;=$K424,Input!BF187,0)</f>
        <v>0</v>
      </c>
      <c r="BQ424" s="1708">
        <f>IF(Input!$F$183&gt;=$K424,Input!BG187,0)</f>
        <v>0</v>
      </c>
      <c r="BR424" s="1708">
        <f>IF(Input!$F$183&gt;=$K424,Input!BH187,0)</f>
        <v>0</v>
      </c>
      <c r="BS424" s="1708">
        <f>IF(Input!$F$183&gt;=$K424,Input!BI187,0)</f>
        <v>0</v>
      </c>
      <c r="BT424" s="1708">
        <f>IF(Input!$F$183&gt;=$K424,Input!BJ187,0)</f>
        <v>0</v>
      </c>
      <c r="BU424" s="1708">
        <f>IF(Input!$F$183&gt;=$K424,Input!BK187,0)</f>
        <v>0</v>
      </c>
      <c r="BV424" s="1708">
        <f>IF(Input!$F$183&gt;=$K424,Input!BL187,0)</f>
        <v>0</v>
      </c>
      <c r="BW424" s="1708">
        <f>IF(Input!$F$183&gt;=$K424,Input!BM187,0)</f>
        <v>0</v>
      </c>
      <c r="BX424" s="92">
        <f>IF(Input!$F$183&gt;=$K424,Input!BN187,0)</f>
        <v>0</v>
      </c>
      <c r="BY424" s="92">
        <f>IF(Input!$F$183&gt;=$K424,Input!BO187,0)</f>
        <v>0</v>
      </c>
      <c r="BZ424" s="92">
        <f>IF(Input!$F$183&gt;=$K424,Input!BP187,0)</f>
        <v>0</v>
      </c>
      <c r="CA424" s="92">
        <f>IF(Input!$F$183&gt;=$K424,Input!BQ187,0)</f>
        <v>0</v>
      </c>
      <c r="CB424" s="92">
        <f>IF(Input!$F$183&gt;=$K424,Input!BR187,0)</f>
        <v>0</v>
      </c>
      <c r="CC424" s="92">
        <f>IF(Input!$F$183&gt;=$K424,Input!BS187,0)</f>
        <v>0</v>
      </c>
      <c r="CD424" s="275">
        <f>IF(Input!$F$183&gt;=$K424,Input!BT187,0)</f>
        <v>0</v>
      </c>
      <c r="CE424" s="69">
        <f t="shared" si="222"/>
        <v>0</v>
      </c>
      <c r="CF424" s="1136">
        <f t="shared" si="223"/>
        <v>0</v>
      </c>
      <c r="CG424" s="1136">
        <f t="shared" si="224"/>
        <v>0</v>
      </c>
      <c r="CH424" s="1136">
        <f t="shared" si="225"/>
        <v>0</v>
      </c>
      <c r="CI424" s="1136">
        <f t="shared" si="226"/>
        <v>0</v>
      </c>
      <c r="CJ424" s="1136">
        <f t="shared" si="227"/>
        <v>0</v>
      </c>
      <c r="CK424" s="1136">
        <f t="shared" si="228"/>
        <v>0</v>
      </c>
      <c r="CL424" s="1136">
        <f t="shared" si="229"/>
        <v>0</v>
      </c>
      <c r="CM424" s="1136">
        <f t="shared" si="230"/>
        <v>0</v>
      </c>
      <c r="CN424" s="1136">
        <f t="shared" si="231"/>
        <v>0</v>
      </c>
      <c r="CO424" s="1136">
        <f t="shared" si="232"/>
        <v>0</v>
      </c>
      <c r="CP424" s="1136">
        <f t="shared" si="233"/>
        <v>0</v>
      </c>
      <c r="CQ424" s="1136">
        <f t="shared" si="234"/>
        <v>0</v>
      </c>
      <c r="CR424" s="1136">
        <f t="shared" si="235"/>
        <v>0</v>
      </c>
      <c r="CS424" s="1136">
        <f t="shared" si="236"/>
        <v>0</v>
      </c>
      <c r="CT424" s="1136">
        <f t="shared" si="237"/>
        <v>0</v>
      </c>
      <c r="CU424" s="1136">
        <f t="shared" si="238"/>
        <v>0</v>
      </c>
      <c r="CV424" s="1136">
        <f t="shared" si="239"/>
        <v>0</v>
      </c>
      <c r="CW424" s="1136">
        <f t="shared" si="240"/>
        <v>0</v>
      </c>
      <c r="CX424" s="1136">
        <f t="shared" si="241"/>
        <v>0</v>
      </c>
      <c r="CY424" s="1136">
        <f t="shared" si="242"/>
        <v>0</v>
      </c>
      <c r="CZ424" s="1136">
        <f t="shared" si="243"/>
        <v>0</v>
      </c>
      <c r="DA424" s="1136">
        <f t="shared" si="244"/>
        <v>0</v>
      </c>
      <c r="DB424" s="1136">
        <f t="shared" si="245"/>
        <v>0</v>
      </c>
      <c r="DC424" s="1136">
        <f t="shared" si="246"/>
        <v>0</v>
      </c>
      <c r="DD424" s="1136">
        <f t="shared" si="247"/>
        <v>0</v>
      </c>
      <c r="DE424" s="1136">
        <f t="shared" si="248"/>
        <v>0</v>
      </c>
      <c r="DF424" s="1136">
        <f t="shared" si="249"/>
        <v>0</v>
      </c>
      <c r="DG424" s="1136">
        <f t="shared" si="250"/>
        <v>0</v>
      </c>
      <c r="DH424" s="1136">
        <f t="shared" si="251"/>
        <v>0</v>
      </c>
      <c r="DI424" s="1136">
        <f t="shared" si="252"/>
        <v>0</v>
      </c>
      <c r="DJ424" s="1136">
        <f t="shared" si="253"/>
        <v>0</v>
      </c>
      <c r="DK424" s="1136">
        <f t="shared" si="254"/>
        <v>0</v>
      </c>
      <c r="DL424" s="1136">
        <f t="shared" si="255"/>
        <v>0</v>
      </c>
      <c r="DM424" s="1136">
        <f t="shared" si="256"/>
        <v>0</v>
      </c>
      <c r="DN424" s="1136">
        <f t="shared" si="257"/>
        <v>0</v>
      </c>
      <c r="DO424" s="1136">
        <f t="shared" si="258"/>
        <v>0</v>
      </c>
      <c r="DP424" s="1136">
        <f t="shared" si="259"/>
        <v>0</v>
      </c>
      <c r="DQ424" s="1136">
        <f t="shared" si="260"/>
        <v>0</v>
      </c>
      <c r="DR424" s="1136">
        <f t="shared" si="261"/>
        <v>0</v>
      </c>
      <c r="DS424" s="1136">
        <f t="shared" si="262"/>
        <v>0</v>
      </c>
      <c r="DT424" s="1136">
        <f t="shared" si="263"/>
        <v>0</v>
      </c>
      <c r="DU424" s="1136">
        <f t="shared" si="264"/>
        <v>0</v>
      </c>
      <c r="DV424" s="1136">
        <f t="shared" si="265"/>
        <v>0</v>
      </c>
      <c r="DW424" s="1136">
        <f t="shared" si="266"/>
        <v>0</v>
      </c>
      <c r="DX424" s="1136">
        <f t="shared" si="267"/>
        <v>0</v>
      </c>
      <c r="DY424" s="1136">
        <f t="shared" si="268"/>
        <v>0</v>
      </c>
      <c r="DZ424" s="1136">
        <f t="shared" si="269"/>
        <v>0</v>
      </c>
      <c r="EA424" s="1136">
        <f t="shared" si="270"/>
        <v>0</v>
      </c>
      <c r="EB424" s="1136">
        <f t="shared" si="271"/>
        <v>0</v>
      </c>
      <c r="EC424" s="1136">
        <f t="shared" si="272"/>
        <v>0</v>
      </c>
      <c r="ED424" s="1136">
        <f t="shared" si="273"/>
        <v>0</v>
      </c>
      <c r="EE424" s="1136">
        <f t="shared" si="274"/>
        <v>0</v>
      </c>
      <c r="EF424" s="1136">
        <f t="shared" si="275"/>
        <v>0</v>
      </c>
      <c r="EG424" s="1136">
        <f t="shared" si="276"/>
        <v>0</v>
      </c>
      <c r="EH424" s="1136">
        <f t="shared" si="277"/>
        <v>0</v>
      </c>
      <c r="EI424" s="1136">
        <f t="shared" si="278"/>
        <v>0</v>
      </c>
      <c r="EJ424" s="1136">
        <f t="shared" si="279"/>
        <v>0</v>
      </c>
      <c r="EK424" s="1136">
        <f t="shared" si="280"/>
        <v>0</v>
      </c>
      <c r="EL424" s="1136">
        <f t="shared" si="281"/>
        <v>0</v>
      </c>
      <c r="EM424" s="1136">
        <f t="shared" si="282"/>
        <v>0</v>
      </c>
      <c r="EN424" s="1300"/>
      <c r="EO424" s="1300"/>
      <c r="EP424" s="1300">
        <f>$CN$414</f>
        <v>0</v>
      </c>
      <c r="EQ424" s="1300">
        <f>$CZ$414</f>
        <v>0</v>
      </c>
      <c r="ER424" s="1300">
        <f>$DL$414</f>
        <v>0</v>
      </c>
      <c r="ES424" s="1810">
        <f>$DL$414</f>
        <v>0</v>
      </c>
      <c r="ET424" s="1300">
        <f>$EJ$414</f>
        <v>0</v>
      </c>
    </row>
    <row r="425" spans="11:150" ht="12" customHeight="1" x14ac:dyDescent="0.35">
      <c r="K425" s="102">
        <v>5</v>
      </c>
      <c r="L425" s="415">
        <f>Input!D188</f>
        <v>0</v>
      </c>
      <c r="M425" s="416">
        <f>IF(Input!$F$183&gt;=$K425,Input!G188,0)</f>
        <v>0</v>
      </c>
      <c r="N425" s="1705">
        <f>Input!H188</f>
        <v>0</v>
      </c>
      <c r="O425" s="1705">
        <f>Input!I188</f>
        <v>0</v>
      </c>
      <c r="P425" s="1706">
        <f>Input!J188</f>
        <v>0</v>
      </c>
      <c r="Q425" s="102">
        <v>5</v>
      </c>
      <c r="R425" s="1702">
        <f t="shared" si="220"/>
        <v>0</v>
      </c>
      <c r="S425" s="1702">
        <f t="shared" si="221"/>
        <v>0</v>
      </c>
      <c r="T425" s="1302">
        <f>IFERROR(VLOOKUP(R425,Infrastructure!$D$70:$F$129,3,FALSE),0)</f>
        <v>1</v>
      </c>
      <c r="U425" s="1302">
        <f>IFERROR(VLOOKUP(S425,Infrastructure!$D$70:$F$129,3,FALSE),0)</f>
        <v>1</v>
      </c>
      <c r="V425" s="102"/>
      <c r="W425" s="1707">
        <f>IF(Input!$F$183&gt;=$K425,Input!M188,0)</f>
        <v>0</v>
      </c>
      <c r="X425" s="1708">
        <f>IF(Input!$F$183&gt;=$K425,Input!N188,0)</f>
        <v>0</v>
      </c>
      <c r="Y425" s="1708">
        <f>IF(Input!$F$183&gt;=$K425,Input!O188,0)</f>
        <v>0</v>
      </c>
      <c r="Z425" s="1708">
        <f>IF(Input!$F$183&gt;=$K425,Input!P188,0)</f>
        <v>0</v>
      </c>
      <c r="AA425" s="1708">
        <f>IF(Input!$F$183&gt;=$K425,Input!Q188,0)</f>
        <v>0</v>
      </c>
      <c r="AB425" s="1708">
        <f>IF(Input!$F$183&gt;=$K425,Input!R188,0)</f>
        <v>0</v>
      </c>
      <c r="AC425" s="1708">
        <f>IF(Input!$F$183&gt;=$K425,Input!S188,0)</f>
        <v>0</v>
      </c>
      <c r="AD425" s="1708">
        <f>IF(Input!$F$183&gt;=$K425,Input!T188,0)</f>
        <v>0</v>
      </c>
      <c r="AE425" s="1708">
        <f>IF(Input!$F$183&gt;=$K425,Input!U188,0)</f>
        <v>0</v>
      </c>
      <c r="AF425" s="1708">
        <f>IF(Input!$F$183&gt;=$K425,Input!V188,0)</f>
        <v>0</v>
      </c>
      <c r="AG425" s="1708">
        <f>IF(Input!$F$183&gt;=$K425,Input!W188,0)</f>
        <v>0</v>
      </c>
      <c r="AH425" s="1708">
        <f>IF(Input!$F$183&gt;=$K425,Input!X188,0)</f>
        <v>0</v>
      </c>
      <c r="AI425" s="1708">
        <f>IF(Input!$F$183&gt;=$K425,Input!Y188,0)</f>
        <v>0</v>
      </c>
      <c r="AJ425" s="1708">
        <f>IF(Input!$F$183&gt;=$K425,Input!Z188,0)</f>
        <v>0</v>
      </c>
      <c r="AK425" s="1708">
        <f>IF(Input!$F$183&gt;=$K425,Input!AA188,0)</f>
        <v>0</v>
      </c>
      <c r="AL425" s="1708">
        <f>IF(Input!$F$183&gt;=$K425,Input!AB188,0)</f>
        <v>0</v>
      </c>
      <c r="AM425" s="1708">
        <f>IF(Input!$F$183&gt;=$K425,Input!AC188,0)</f>
        <v>0</v>
      </c>
      <c r="AN425" s="1708">
        <f>IF(Input!$F$183&gt;=$K425,Input!AD188,0)</f>
        <v>0</v>
      </c>
      <c r="AO425" s="1708">
        <f>IF(Input!$F$183&gt;=$K425,Input!AE188,0)</f>
        <v>0</v>
      </c>
      <c r="AP425" s="1708">
        <f>IF(Input!$F$183&gt;=$K425,Input!AF188,0)</f>
        <v>0</v>
      </c>
      <c r="AQ425" s="1708">
        <f>IF(Input!$F$183&gt;=$K425,Input!AG188,0)</f>
        <v>0</v>
      </c>
      <c r="AR425" s="1708">
        <f>IF(Input!$F$183&gt;=$K425,Input!AH188,0)</f>
        <v>0</v>
      </c>
      <c r="AS425" s="1708">
        <f>IF(Input!$F$183&gt;=$K425,Input!AI188,0)</f>
        <v>0</v>
      </c>
      <c r="AT425" s="1708">
        <f>IF(Input!$F$183&gt;=$K425,Input!AJ188,0)</f>
        <v>0</v>
      </c>
      <c r="AU425" s="1708">
        <f>IF(Input!$F$183&gt;=$K425,Input!AK188,0)</f>
        <v>0</v>
      </c>
      <c r="AV425" s="1708">
        <f>IF(Input!$F$183&gt;=$K425,Input!AL188,0)</f>
        <v>0</v>
      </c>
      <c r="AW425" s="1708">
        <f>IF(Input!$F$183&gt;=$K425,Input!AM188,0)</f>
        <v>0</v>
      </c>
      <c r="AX425" s="1708">
        <f>IF(Input!$F$183&gt;=$K425,Input!AN188,0)</f>
        <v>0</v>
      </c>
      <c r="AY425" s="1708">
        <f>IF(Input!$F$183&gt;=$K425,Input!AO188,0)</f>
        <v>0</v>
      </c>
      <c r="AZ425" s="1708">
        <f>IF(Input!$F$183&gt;=$K425,Input!AP188,0)</f>
        <v>0</v>
      </c>
      <c r="BA425" s="1708">
        <f>IF(Input!$F$183&gt;=$K425,Input!AQ188,0)</f>
        <v>0</v>
      </c>
      <c r="BB425" s="1708">
        <f>IF(Input!$F$183&gt;=$K425,Input!AR188,0)</f>
        <v>0</v>
      </c>
      <c r="BC425" s="1708">
        <f>IF(Input!$F$183&gt;=$K425,Input!AS188,0)</f>
        <v>0</v>
      </c>
      <c r="BD425" s="1708">
        <f>IF(Input!$F$183&gt;=$K425,Input!AT188,0)</f>
        <v>0</v>
      </c>
      <c r="BE425" s="1708">
        <f>IF(Input!$F$183&gt;=$K425,Input!AU188,0)</f>
        <v>0</v>
      </c>
      <c r="BF425" s="1708">
        <f>IF(Input!$F$183&gt;=$K425,Input!AV188,0)</f>
        <v>0</v>
      </c>
      <c r="BG425" s="1708">
        <f>IF(Input!$F$183&gt;=$K425,Input!AW188,0)</f>
        <v>0</v>
      </c>
      <c r="BH425" s="1708">
        <f>IF(Input!$F$183&gt;=$K425,Input!AX188,0)</f>
        <v>0</v>
      </c>
      <c r="BI425" s="1708">
        <f>IF(Input!$F$183&gt;=$K425,Input!AY188,0)</f>
        <v>0</v>
      </c>
      <c r="BJ425" s="1708">
        <f>IF(Input!$F$183&gt;=$K425,Input!AZ188,0)</f>
        <v>0</v>
      </c>
      <c r="BK425" s="1708">
        <f>IF(Input!$F$183&gt;=$K425,Input!BA188,0)</f>
        <v>0</v>
      </c>
      <c r="BL425" s="1708">
        <f>IF(Input!$F$183&gt;=$K425,Input!BB188,0)</f>
        <v>0</v>
      </c>
      <c r="BM425" s="1708">
        <f>IF(Input!$F$183&gt;=$K425,Input!BC188,0)</f>
        <v>0</v>
      </c>
      <c r="BN425" s="1708">
        <f>IF(Input!$F$183&gt;=$K425,Input!BD188,0)</f>
        <v>0</v>
      </c>
      <c r="BO425" s="1708">
        <f>IF(Input!$F$183&gt;=$K425,Input!BE188,0)</f>
        <v>0</v>
      </c>
      <c r="BP425" s="1708">
        <f>IF(Input!$F$183&gt;=$K425,Input!BF188,0)</f>
        <v>0</v>
      </c>
      <c r="BQ425" s="1708">
        <f>IF(Input!$F$183&gt;=$K425,Input!BG188,0)</f>
        <v>0</v>
      </c>
      <c r="BR425" s="1708">
        <f>IF(Input!$F$183&gt;=$K425,Input!BH188,0)</f>
        <v>0</v>
      </c>
      <c r="BS425" s="1708">
        <f>IF(Input!$F$183&gt;=$K425,Input!BI188,0)</f>
        <v>0</v>
      </c>
      <c r="BT425" s="1708">
        <f>IF(Input!$F$183&gt;=$K425,Input!BJ188,0)</f>
        <v>0</v>
      </c>
      <c r="BU425" s="1708">
        <f>IF(Input!$F$183&gt;=$K425,Input!BK188,0)</f>
        <v>0</v>
      </c>
      <c r="BV425" s="1708">
        <f>IF(Input!$F$183&gt;=$K425,Input!BL188,0)</f>
        <v>0</v>
      </c>
      <c r="BW425" s="1708">
        <f>IF(Input!$F$183&gt;=$K425,Input!BM188,0)</f>
        <v>0</v>
      </c>
      <c r="BX425" s="92">
        <f>IF(Input!$F$183&gt;=$K425,Input!BN188,0)</f>
        <v>0</v>
      </c>
      <c r="BY425" s="92">
        <f>IF(Input!$F$183&gt;=$K425,Input!BO188,0)</f>
        <v>0</v>
      </c>
      <c r="BZ425" s="92">
        <f>IF(Input!$F$183&gt;=$K425,Input!BP188,0)</f>
        <v>0</v>
      </c>
      <c r="CA425" s="92">
        <f>IF(Input!$F$183&gt;=$K425,Input!BQ188,0)</f>
        <v>0</v>
      </c>
      <c r="CB425" s="92">
        <f>IF(Input!$F$183&gt;=$K425,Input!BR188,0)</f>
        <v>0</v>
      </c>
      <c r="CC425" s="92">
        <f>IF(Input!$F$183&gt;=$K425,Input!BS188,0)</f>
        <v>0</v>
      </c>
      <c r="CD425" s="275">
        <f>IF(Input!$F$183&gt;=$K425,Input!BT188,0)</f>
        <v>0</v>
      </c>
      <c r="CE425" s="69">
        <f t="shared" si="222"/>
        <v>0</v>
      </c>
      <c r="CF425" s="1136">
        <f t="shared" si="223"/>
        <v>0</v>
      </c>
      <c r="CG425" s="1136">
        <f t="shared" si="224"/>
        <v>0</v>
      </c>
      <c r="CH425" s="1136">
        <f t="shared" si="225"/>
        <v>0</v>
      </c>
      <c r="CI425" s="1136">
        <f t="shared" si="226"/>
        <v>0</v>
      </c>
      <c r="CJ425" s="1136">
        <f t="shared" si="227"/>
        <v>0</v>
      </c>
      <c r="CK425" s="1136">
        <f t="shared" si="228"/>
        <v>0</v>
      </c>
      <c r="CL425" s="1136">
        <f t="shared" si="229"/>
        <v>0</v>
      </c>
      <c r="CM425" s="1136">
        <f t="shared" si="230"/>
        <v>0</v>
      </c>
      <c r="CN425" s="1136">
        <f t="shared" si="231"/>
        <v>0</v>
      </c>
      <c r="CO425" s="1136">
        <f t="shared" si="232"/>
        <v>0</v>
      </c>
      <c r="CP425" s="1136">
        <f t="shared" si="233"/>
        <v>0</v>
      </c>
      <c r="CQ425" s="1136">
        <f t="shared" si="234"/>
        <v>0</v>
      </c>
      <c r="CR425" s="1136">
        <f t="shared" si="235"/>
        <v>0</v>
      </c>
      <c r="CS425" s="1136">
        <f t="shared" si="236"/>
        <v>0</v>
      </c>
      <c r="CT425" s="1136">
        <f t="shared" si="237"/>
        <v>0</v>
      </c>
      <c r="CU425" s="1136">
        <f t="shared" si="238"/>
        <v>0</v>
      </c>
      <c r="CV425" s="1136">
        <f t="shared" si="239"/>
        <v>0</v>
      </c>
      <c r="CW425" s="1136">
        <f t="shared" si="240"/>
        <v>0</v>
      </c>
      <c r="CX425" s="1136">
        <f t="shared" si="241"/>
        <v>0</v>
      </c>
      <c r="CY425" s="1136">
        <f t="shared" si="242"/>
        <v>0</v>
      </c>
      <c r="CZ425" s="1136">
        <f t="shared" si="243"/>
        <v>0</v>
      </c>
      <c r="DA425" s="1136">
        <f t="shared" si="244"/>
        <v>0</v>
      </c>
      <c r="DB425" s="1136">
        <f t="shared" si="245"/>
        <v>0</v>
      </c>
      <c r="DC425" s="1136">
        <f t="shared" si="246"/>
        <v>0</v>
      </c>
      <c r="DD425" s="1136">
        <f t="shared" si="247"/>
        <v>0</v>
      </c>
      <c r="DE425" s="1136">
        <f t="shared" si="248"/>
        <v>0</v>
      </c>
      <c r="DF425" s="1136">
        <f t="shared" si="249"/>
        <v>0</v>
      </c>
      <c r="DG425" s="1136">
        <f t="shared" si="250"/>
        <v>0</v>
      </c>
      <c r="DH425" s="1136">
        <f t="shared" si="251"/>
        <v>0</v>
      </c>
      <c r="DI425" s="1136">
        <f t="shared" si="252"/>
        <v>0</v>
      </c>
      <c r="DJ425" s="1136">
        <f t="shared" si="253"/>
        <v>0</v>
      </c>
      <c r="DK425" s="1136">
        <f t="shared" si="254"/>
        <v>0</v>
      </c>
      <c r="DL425" s="1136">
        <f t="shared" si="255"/>
        <v>0</v>
      </c>
      <c r="DM425" s="1136">
        <f t="shared" si="256"/>
        <v>0</v>
      </c>
      <c r="DN425" s="1136">
        <f t="shared" si="257"/>
        <v>0</v>
      </c>
      <c r="DO425" s="1136">
        <f t="shared" si="258"/>
        <v>0</v>
      </c>
      <c r="DP425" s="1136">
        <f t="shared" si="259"/>
        <v>0</v>
      </c>
      <c r="DQ425" s="1136">
        <f t="shared" si="260"/>
        <v>0</v>
      </c>
      <c r="DR425" s="1136">
        <f t="shared" si="261"/>
        <v>0</v>
      </c>
      <c r="DS425" s="1136">
        <f t="shared" si="262"/>
        <v>0</v>
      </c>
      <c r="DT425" s="1136">
        <f t="shared" si="263"/>
        <v>0</v>
      </c>
      <c r="DU425" s="1136">
        <f t="shared" si="264"/>
        <v>0</v>
      </c>
      <c r="DV425" s="1136">
        <f t="shared" si="265"/>
        <v>0</v>
      </c>
      <c r="DW425" s="1136">
        <f t="shared" si="266"/>
        <v>0</v>
      </c>
      <c r="DX425" s="1136">
        <f t="shared" si="267"/>
        <v>0</v>
      </c>
      <c r="DY425" s="1136">
        <f t="shared" si="268"/>
        <v>0</v>
      </c>
      <c r="DZ425" s="1136">
        <f t="shared" si="269"/>
        <v>0</v>
      </c>
      <c r="EA425" s="1136">
        <f t="shared" si="270"/>
        <v>0</v>
      </c>
      <c r="EB425" s="1136">
        <f t="shared" si="271"/>
        <v>0</v>
      </c>
      <c r="EC425" s="1136">
        <f t="shared" si="272"/>
        <v>0</v>
      </c>
      <c r="ED425" s="1136">
        <f t="shared" si="273"/>
        <v>0</v>
      </c>
      <c r="EE425" s="1136">
        <f t="shared" si="274"/>
        <v>0</v>
      </c>
      <c r="EF425" s="1136">
        <f t="shared" si="275"/>
        <v>0</v>
      </c>
      <c r="EG425" s="1136">
        <f t="shared" si="276"/>
        <v>0</v>
      </c>
      <c r="EH425" s="1136">
        <f t="shared" si="277"/>
        <v>0</v>
      </c>
      <c r="EI425" s="1136">
        <f t="shared" si="278"/>
        <v>0</v>
      </c>
      <c r="EJ425" s="1136">
        <f t="shared" si="279"/>
        <v>0</v>
      </c>
      <c r="EK425" s="1136">
        <f t="shared" si="280"/>
        <v>0</v>
      </c>
      <c r="EL425" s="1136">
        <f t="shared" si="281"/>
        <v>0</v>
      </c>
      <c r="EM425" s="1136">
        <f t="shared" si="282"/>
        <v>0</v>
      </c>
      <c r="EN425" s="1300"/>
      <c r="EO425" s="1300"/>
      <c r="EP425" s="1300">
        <f>$CO$414</f>
        <v>0</v>
      </c>
      <c r="EQ425" s="1300">
        <f>$DA$414</f>
        <v>0</v>
      </c>
      <c r="ER425" s="1300">
        <f>$DM$414</f>
        <v>0</v>
      </c>
      <c r="ES425" s="1810">
        <f>$DM$414</f>
        <v>0</v>
      </c>
      <c r="ET425" s="1300">
        <f>$EK$414</f>
        <v>0</v>
      </c>
    </row>
    <row r="426" spans="11:150" ht="12" customHeight="1" x14ac:dyDescent="0.35">
      <c r="K426" s="102">
        <v>6</v>
      </c>
      <c r="L426" s="415">
        <f>Input!D189</f>
        <v>0</v>
      </c>
      <c r="M426" s="416">
        <f>IF(Input!$F$183&gt;=$K426,Input!G189,0)</f>
        <v>0</v>
      </c>
      <c r="N426" s="1705">
        <f>Input!H189</f>
        <v>0</v>
      </c>
      <c r="O426" s="1705">
        <f>Input!I189</f>
        <v>0</v>
      </c>
      <c r="P426" s="1706">
        <f>Input!J189</f>
        <v>0</v>
      </c>
      <c r="Q426" s="102">
        <v>6</v>
      </c>
      <c r="R426" s="1702">
        <f t="shared" si="220"/>
        <v>0</v>
      </c>
      <c r="S426" s="1702">
        <f t="shared" si="221"/>
        <v>0</v>
      </c>
      <c r="T426" s="1302">
        <f>IFERROR(VLOOKUP(R426,Infrastructure!$D$70:$F$129,3,FALSE),0)</f>
        <v>1</v>
      </c>
      <c r="U426" s="1302">
        <f>IFERROR(VLOOKUP(S426,Infrastructure!$D$70:$F$129,3,FALSE),0)</f>
        <v>1</v>
      </c>
      <c r="V426" s="102"/>
      <c r="W426" s="1707">
        <f>IF(Input!$F$183&gt;=$K426,Input!M189,0)</f>
        <v>0</v>
      </c>
      <c r="X426" s="1708">
        <f>IF(Input!$F$183&gt;=$K426,Input!N189,0)</f>
        <v>0</v>
      </c>
      <c r="Y426" s="1708">
        <f>IF(Input!$F$183&gt;=$K426,Input!O189,0)</f>
        <v>0</v>
      </c>
      <c r="Z426" s="1708">
        <f>IF(Input!$F$183&gt;=$K426,Input!P189,0)</f>
        <v>0</v>
      </c>
      <c r="AA426" s="1708">
        <f>IF(Input!$F$183&gt;=$K426,Input!Q189,0)</f>
        <v>0</v>
      </c>
      <c r="AB426" s="1708">
        <f>IF(Input!$F$183&gt;=$K426,Input!R189,0)</f>
        <v>0</v>
      </c>
      <c r="AC426" s="1708">
        <f>IF(Input!$F$183&gt;=$K426,Input!S189,0)</f>
        <v>0</v>
      </c>
      <c r="AD426" s="1708">
        <f>IF(Input!$F$183&gt;=$K426,Input!T189,0)</f>
        <v>0</v>
      </c>
      <c r="AE426" s="1708">
        <f>IF(Input!$F$183&gt;=$K426,Input!U189,0)</f>
        <v>0</v>
      </c>
      <c r="AF426" s="1708">
        <f>IF(Input!$F$183&gt;=$K426,Input!V189,0)</f>
        <v>0</v>
      </c>
      <c r="AG426" s="1708">
        <f>IF(Input!$F$183&gt;=$K426,Input!W189,0)</f>
        <v>0</v>
      </c>
      <c r="AH426" s="1708">
        <f>IF(Input!$F$183&gt;=$K426,Input!X189,0)</f>
        <v>0</v>
      </c>
      <c r="AI426" s="1708">
        <f>IF(Input!$F$183&gt;=$K426,Input!Y189,0)</f>
        <v>0</v>
      </c>
      <c r="AJ426" s="1708">
        <f>IF(Input!$F$183&gt;=$K426,Input!Z189,0)</f>
        <v>0</v>
      </c>
      <c r="AK426" s="1708">
        <f>IF(Input!$F$183&gt;=$K426,Input!AA189,0)</f>
        <v>0</v>
      </c>
      <c r="AL426" s="1708">
        <f>IF(Input!$F$183&gt;=$K426,Input!AB189,0)</f>
        <v>0</v>
      </c>
      <c r="AM426" s="1708">
        <f>IF(Input!$F$183&gt;=$K426,Input!AC189,0)</f>
        <v>0</v>
      </c>
      <c r="AN426" s="1708">
        <f>IF(Input!$F$183&gt;=$K426,Input!AD189,0)</f>
        <v>0</v>
      </c>
      <c r="AO426" s="1708">
        <f>IF(Input!$F$183&gt;=$K426,Input!AE189,0)</f>
        <v>0</v>
      </c>
      <c r="AP426" s="1708">
        <f>IF(Input!$F$183&gt;=$K426,Input!AF189,0)</f>
        <v>0</v>
      </c>
      <c r="AQ426" s="1708">
        <f>IF(Input!$F$183&gt;=$K426,Input!AG189,0)</f>
        <v>0</v>
      </c>
      <c r="AR426" s="1708">
        <f>IF(Input!$F$183&gt;=$K426,Input!AH189,0)</f>
        <v>0</v>
      </c>
      <c r="AS426" s="1708">
        <f>IF(Input!$F$183&gt;=$K426,Input!AI189,0)</f>
        <v>0</v>
      </c>
      <c r="AT426" s="1708">
        <f>IF(Input!$F$183&gt;=$K426,Input!AJ189,0)</f>
        <v>0</v>
      </c>
      <c r="AU426" s="1708">
        <f>IF(Input!$F$183&gt;=$K426,Input!AK189,0)</f>
        <v>0</v>
      </c>
      <c r="AV426" s="1708">
        <f>IF(Input!$F$183&gt;=$K426,Input!AL189,0)</f>
        <v>0</v>
      </c>
      <c r="AW426" s="1708">
        <f>IF(Input!$F$183&gt;=$K426,Input!AM189,0)</f>
        <v>0</v>
      </c>
      <c r="AX426" s="1708">
        <f>IF(Input!$F$183&gt;=$K426,Input!AN189,0)</f>
        <v>0</v>
      </c>
      <c r="AY426" s="1708">
        <f>IF(Input!$F$183&gt;=$K426,Input!AO189,0)</f>
        <v>0</v>
      </c>
      <c r="AZ426" s="1708">
        <f>IF(Input!$F$183&gt;=$K426,Input!AP189,0)</f>
        <v>0</v>
      </c>
      <c r="BA426" s="1708">
        <f>IF(Input!$F$183&gt;=$K426,Input!AQ189,0)</f>
        <v>0</v>
      </c>
      <c r="BB426" s="1708">
        <f>IF(Input!$F$183&gt;=$K426,Input!AR189,0)</f>
        <v>0</v>
      </c>
      <c r="BC426" s="1708">
        <f>IF(Input!$F$183&gt;=$K426,Input!AS189,0)</f>
        <v>0</v>
      </c>
      <c r="BD426" s="1708">
        <f>IF(Input!$F$183&gt;=$K426,Input!AT189,0)</f>
        <v>0</v>
      </c>
      <c r="BE426" s="1708">
        <f>IF(Input!$F$183&gt;=$K426,Input!AU189,0)</f>
        <v>0</v>
      </c>
      <c r="BF426" s="1708">
        <f>IF(Input!$F$183&gt;=$K426,Input!AV189,0)</f>
        <v>0</v>
      </c>
      <c r="BG426" s="1708">
        <f>IF(Input!$F$183&gt;=$K426,Input!AW189,0)</f>
        <v>0</v>
      </c>
      <c r="BH426" s="1708">
        <f>IF(Input!$F$183&gt;=$K426,Input!AX189,0)</f>
        <v>0</v>
      </c>
      <c r="BI426" s="1708">
        <f>IF(Input!$F$183&gt;=$K426,Input!AY189,0)</f>
        <v>0</v>
      </c>
      <c r="BJ426" s="1708">
        <f>IF(Input!$F$183&gt;=$K426,Input!AZ189,0)</f>
        <v>0</v>
      </c>
      <c r="BK426" s="1708">
        <f>IF(Input!$F$183&gt;=$K426,Input!BA189,0)</f>
        <v>0</v>
      </c>
      <c r="BL426" s="1708">
        <f>IF(Input!$F$183&gt;=$K426,Input!BB189,0)</f>
        <v>0</v>
      </c>
      <c r="BM426" s="1708">
        <f>IF(Input!$F$183&gt;=$K426,Input!BC189,0)</f>
        <v>0</v>
      </c>
      <c r="BN426" s="1708">
        <f>IF(Input!$F$183&gt;=$K426,Input!BD189,0)</f>
        <v>0</v>
      </c>
      <c r="BO426" s="1708">
        <f>IF(Input!$F$183&gt;=$K426,Input!BE189,0)</f>
        <v>0</v>
      </c>
      <c r="BP426" s="1708">
        <f>IF(Input!$F$183&gt;=$K426,Input!BF189,0)</f>
        <v>0</v>
      </c>
      <c r="BQ426" s="1708">
        <f>IF(Input!$F$183&gt;=$K426,Input!BG189,0)</f>
        <v>0</v>
      </c>
      <c r="BR426" s="1708">
        <f>IF(Input!$F$183&gt;=$K426,Input!BH189,0)</f>
        <v>0</v>
      </c>
      <c r="BS426" s="1708">
        <f>IF(Input!$F$183&gt;=$K426,Input!BI189,0)</f>
        <v>0</v>
      </c>
      <c r="BT426" s="1708">
        <f>IF(Input!$F$183&gt;=$K426,Input!BJ189,0)</f>
        <v>0</v>
      </c>
      <c r="BU426" s="1708">
        <f>IF(Input!$F$183&gt;=$K426,Input!BK189,0)</f>
        <v>0</v>
      </c>
      <c r="BV426" s="1708">
        <f>IF(Input!$F$183&gt;=$K426,Input!BL189,0)</f>
        <v>0</v>
      </c>
      <c r="BW426" s="1708">
        <f>IF(Input!$F$183&gt;=$K426,Input!BM189,0)</f>
        <v>0</v>
      </c>
      <c r="BX426" s="92">
        <f>IF(Input!$F$183&gt;=$K426,Input!BN189,0)</f>
        <v>0</v>
      </c>
      <c r="BY426" s="92">
        <f>IF(Input!$F$183&gt;=$K426,Input!BO189,0)</f>
        <v>0</v>
      </c>
      <c r="BZ426" s="92">
        <f>IF(Input!$F$183&gt;=$K426,Input!BP189,0)</f>
        <v>0</v>
      </c>
      <c r="CA426" s="92">
        <f>IF(Input!$F$183&gt;=$K426,Input!BQ189,0)</f>
        <v>0</v>
      </c>
      <c r="CB426" s="92">
        <f>IF(Input!$F$183&gt;=$K426,Input!BR189,0)</f>
        <v>0</v>
      </c>
      <c r="CC426" s="92">
        <f>IF(Input!$F$183&gt;=$K426,Input!BS189,0)</f>
        <v>0</v>
      </c>
      <c r="CD426" s="275">
        <f>IF(Input!$F$183&gt;=$K426,Input!BT189,0)</f>
        <v>0</v>
      </c>
      <c r="CE426" s="69">
        <f t="shared" si="222"/>
        <v>0</v>
      </c>
      <c r="CF426" s="1136">
        <f t="shared" si="223"/>
        <v>0</v>
      </c>
      <c r="CG426" s="1136">
        <f t="shared" si="224"/>
        <v>0</v>
      </c>
      <c r="CH426" s="1136">
        <f t="shared" si="225"/>
        <v>0</v>
      </c>
      <c r="CI426" s="1136">
        <f t="shared" si="226"/>
        <v>0</v>
      </c>
      <c r="CJ426" s="1136">
        <f t="shared" si="227"/>
        <v>0</v>
      </c>
      <c r="CK426" s="1136">
        <f t="shared" si="228"/>
        <v>0</v>
      </c>
      <c r="CL426" s="1136">
        <f t="shared" si="229"/>
        <v>0</v>
      </c>
      <c r="CM426" s="1136">
        <f t="shared" si="230"/>
        <v>0</v>
      </c>
      <c r="CN426" s="1136">
        <f t="shared" si="231"/>
        <v>0</v>
      </c>
      <c r="CO426" s="1136">
        <f t="shared" si="232"/>
        <v>0</v>
      </c>
      <c r="CP426" s="1136">
        <f t="shared" si="233"/>
        <v>0</v>
      </c>
      <c r="CQ426" s="1136">
        <f t="shared" si="234"/>
        <v>0</v>
      </c>
      <c r="CR426" s="1136">
        <f t="shared" si="235"/>
        <v>0</v>
      </c>
      <c r="CS426" s="1136">
        <f t="shared" si="236"/>
        <v>0</v>
      </c>
      <c r="CT426" s="1136">
        <f t="shared" si="237"/>
        <v>0</v>
      </c>
      <c r="CU426" s="1136">
        <f t="shared" si="238"/>
        <v>0</v>
      </c>
      <c r="CV426" s="1136">
        <f t="shared" si="239"/>
        <v>0</v>
      </c>
      <c r="CW426" s="1136">
        <f t="shared" si="240"/>
        <v>0</v>
      </c>
      <c r="CX426" s="1136">
        <f t="shared" si="241"/>
        <v>0</v>
      </c>
      <c r="CY426" s="1136">
        <f t="shared" si="242"/>
        <v>0</v>
      </c>
      <c r="CZ426" s="1136">
        <f t="shared" si="243"/>
        <v>0</v>
      </c>
      <c r="DA426" s="1136">
        <f t="shared" si="244"/>
        <v>0</v>
      </c>
      <c r="DB426" s="1136">
        <f t="shared" si="245"/>
        <v>0</v>
      </c>
      <c r="DC426" s="1136">
        <f t="shared" si="246"/>
        <v>0</v>
      </c>
      <c r="DD426" s="1136">
        <f t="shared" si="247"/>
        <v>0</v>
      </c>
      <c r="DE426" s="1136">
        <f t="shared" si="248"/>
        <v>0</v>
      </c>
      <c r="DF426" s="1136">
        <f t="shared" si="249"/>
        <v>0</v>
      </c>
      <c r="DG426" s="1136">
        <f t="shared" si="250"/>
        <v>0</v>
      </c>
      <c r="DH426" s="1136">
        <f t="shared" si="251"/>
        <v>0</v>
      </c>
      <c r="DI426" s="1136">
        <f t="shared" si="252"/>
        <v>0</v>
      </c>
      <c r="DJ426" s="1136">
        <f t="shared" si="253"/>
        <v>0</v>
      </c>
      <c r="DK426" s="1136">
        <f t="shared" si="254"/>
        <v>0</v>
      </c>
      <c r="DL426" s="1136">
        <f t="shared" si="255"/>
        <v>0</v>
      </c>
      <c r="DM426" s="1136">
        <f t="shared" si="256"/>
        <v>0</v>
      </c>
      <c r="DN426" s="1136">
        <f t="shared" si="257"/>
        <v>0</v>
      </c>
      <c r="DO426" s="1136">
        <f t="shared" si="258"/>
        <v>0</v>
      </c>
      <c r="DP426" s="1136">
        <f t="shared" si="259"/>
        <v>0</v>
      </c>
      <c r="DQ426" s="1136">
        <f t="shared" si="260"/>
        <v>0</v>
      </c>
      <c r="DR426" s="1136">
        <f t="shared" si="261"/>
        <v>0</v>
      </c>
      <c r="DS426" s="1136">
        <f t="shared" si="262"/>
        <v>0</v>
      </c>
      <c r="DT426" s="1136">
        <f t="shared" si="263"/>
        <v>0</v>
      </c>
      <c r="DU426" s="1136">
        <f t="shared" si="264"/>
        <v>0</v>
      </c>
      <c r="DV426" s="1136">
        <f t="shared" si="265"/>
        <v>0</v>
      </c>
      <c r="DW426" s="1136">
        <f t="shared" si="266"/>
        <v>0</v>
      </c>
      <c r="DX426" s="1136">
        <f t="shared" si="267"/>
        <v>0</v>
      </c>
      <c r="DY426" s="1136">
        <f t="shared" si="268"/>
        <v>0</v>
      </c>
      <c r="DZ426" s="1136">
        <f t="shared" si="269"/>
        <v>0</v>
      </c>
      <c r="EA426" s="1136">
        <f t="shared" si="270"/>
        <v>0</v>
      </c>
      <c r="EB426" s="1136">
        <f t="shared" si="271"/>
        <v>0</v>
      </c>
      <c r="EC426" s="1136">
        <f t="shared" si="272"/>
        <v>0</v>
      </c>
      <c r="ED426" s="1136">
        <f t="shared" si="273"/>
        <v>0</v>
      </c>
      <c r="EE426" s="1136">
        <f t="shared" si="274"/>
        <v>0</v>
      </c>
      <c r="EF426" s="1136">
        <f t="shared" si="275"/>
        <v>0</v>
      </c>
      <c r="EG426" s="1136">
        <f t="shared" si="276"/>
        <v>0</v>
      </c>
      <c r="EH426" s="1136">
        <f t="shared" si="277"/>
        <v>0</v>
      </c>
      <c r="EI426" s="1136">
        <f t="shared" si="278"/>
        <v>0</v>
      </c>
      <c r="EJ426" s="1136">
        <f t="shared" si="279"/>
        <v>0</v>
      </c>
      <c r="EK426" s="1136">
        <f t="shared" si="280"/>
        <v>0</v>
      </c>
      <c r="EL426" s="1136">
        <f t="shared" si="281"/>
        <v>0</v>
      </c>
      <c r="EM426" s="1136">
        <f t="shared" si="282"/>
        <v>0</v>
      </c>
      <c r="EN426" s="1300"/>
      <c r="EO426" s="1300"/>
      <c r="EP426" s="1300">
        <f>$CP$414</f>
        <v>0</v>
      </c>
      <c r="EQ426" s="1300">
        <f>$DB$414</f>
        <v>0</v>
      </c>
      <c r="ER426" s="1300">
        <f>$DN$414</f>
        <v>0</v>
      </c>
      <c r="ES426" s="1810">
        <f>$DN$414</f>
        <v>0</v>
      </c>
      <c r="ET426" s="1300">
        <f>$EL$414</f>
        <v>0</v>
      </c>
    </row>
    <row r="427" spans="11:150" ht="12" customHeight="1" x14ac:dyDescent="0.35">
      <c r="K427" s="102">
        <v>7</v>
      </c>
      <c r="L427" s="415">
        <f>Input!D190</f>
        <v>0</v>
      </c>
      <c r="M427" s="416">
        <f>IF(Input!$F$183&gt;=$K427,Input!G190,0)</f>
        <v>0</v>
      </c>
      <c r="N427" s="1705">
        <f>Input!H190</f>
        <v>0</v>
      </c>
      <c r="O427" s="1705">
        <f>Input!I190</f>
        <v>0</v>
      </c>
      <c r="P427" s="1706">
        <f>Input!J190</f>
        <v>0</v>
      </c>
      <c r="Q427" s="102">
        <v>7</v>
      </c>
      <c r="R427" s="1702">
        <f t="shared" si="220"/>
        <v>0</v>
      </c>
      <c r="S427" s="1702">
        <f t="shared" si="221"/>
        <v>0</v>
      </c>
      <c r="T427" s="1302">
        <f>IFERROR(VLOOKUP(R427,Infrastructure!$D$70:$F$129,3,FALSE),0)</f>
        <v>1</v>
      </c>
      <c r="U427" s="1302">
        <f>IFERROR(VLOOKUP(S427,Infrastructure!$D$70:$F$129,3,FALSE),0)</f>
        <v>1</v>
      </c>
      <c r="V427" s="102"/>
      <c r="W427" s="1707">
        <f>IF(Input!$F$183&gt;=$K427,Input!M190,0)</f>
        <v>0</v>
      </c>
      <c r="X427" s="1708">
        <f>IF(Input!$F$183&gt;=$K427,Input!N190,0)</f>
        <v>0</v>
      </c>
      <c r="Y427" s="1708">
        <f>IF(Input!$F$183&gt;=$K427,Input!O190,0)</f>
        <v>0</v>
      </c>
      <c r="Z427" s="1708">
        <f>IF(Input!$F$183&gt;=$K427,Input!P190,0)</f>
        <v>0</v>
      </c>
      <c r="AA427" s="1708">
        <f>IF(Input!$F$183&gt;=$K427,Input!Q190,0)</f>
        <v>0</v>
      </c>
      <c r="AB427" s="1708">
        <f>IF(Input!$F$183&gt;=$K427,Input!R190,0)</f>
        <v>0</v>
      </c>
      <c r="AC427" s="1708">
        <f>IF(Input!$F$183&gt;=$K427,Input!S190,0)</f>
        <v>0</v>
      </c>
      <c r="AD427" s="1708">
        <f>IF(Input!$F$183&gt;=$K427,Input!T190,0)</f>
        <v>0</v>
      </c>
      <c r="AE427" s="1708">
        <f>IF(Input!$F$183&gt;=$K427,Input!U190,0)</f>
        <v>0</v>
      </c>
      <c r="AF427" s="1708">
        <f>IF(Input!$F$183&gt;=$K427,Input!V190,0)</f>
        <v>0</v>
      </c>
      <c r="AG427" s="1708">
        <f>IF(Input!$F$183&gt;=$K427,Input!W190,0)</f>
        <v>0</v>
      </c>
      <c r="AH427" s="1708">
        <f>IF(Input!$F$183&gt;=$K427,Input!X190,0)</f>
        <v>0</v>
      </c>
      <c r="AI427" s="1708">
        <f>IF(Input!$F$183&gt;=$K427,Input!Y190,0)</f>
        <v>0</v>
      </c>
      <c r="AJ427" s="1708">
        <f>IF(Input!$F$183&gt;=$K427,Input!Z190,0)</f>
        <v>0</v>
      </c>
      <c r="AK427" s="1708">
        <f>IF(Input!$F$183&gt;=$K427,Input!AA190,0)</f>
        <v>0</v>
      </c>
      <c r="AL427" s="1708">
        <f>IF(Input!$F$183&gt;=$K427,Input!AB190,0)</f>
        <v>0</v>
      </c>
      <c r="AM427" s="1708">
        <f>IF(Input!$F$183&gt;=$K427,Input!AC190,0)</f>
        <v>0</v>
      </c>
      <c r="AN427" s="1708">
        <f>IF(Input!$F$183&gt;=$K427,Input!AD190,0)</f>
        <v>0</v>
      </c>
      <c r="AO427" s="1708">
        <f>IF(Input!$F$183&gt;=$K427,Input!AE190,0)</f>
        <v>0</v>
      </c>
      <c r="AP427" s="1708">
        <f>IF(Input!$F$183&gt;=$K427,Input!AF190,0)</f>
        <v>0</v>
      </c>
      <c r="AQ427" s="1708">
        <f>IF(Input!$F$183&gt;=$K427,Input!AG190,0)</f>
        <v>0</v>
      </c>
      <c r="AR427" s="1708">
        <f>IF(Input!$F$183&gt;=$K427,Input!AH190,0)</f>
        <v>0</v>
      </c>
      <c r="AS427" s="1708">
        <f>IF(Input!$F$183&gt;=$K427,Input!AI190,0)</f>
        <v>0</v>
      </c>
      <c r="AT427" s="1708">
        <f>IF(Input!$F$183&gt;=$K427,Input!AJ190,0)</f>
        <v>0</v>
      </c>
      <c r="AU427" s="1708">
        <f>IF(Input!$F$183&gt;=$K427,Input!AK190,0)</f>
        <v>0</v>
      </c>
      <c r="AV427" s="1708">
        <f>IF(Input!$F$183&gt;=$K427,Input!AL190,0)</f>
        <v>0</v>
      </c>
      <c r="AW427" s="1708">
        <f>IF(Input!$F$183&gt;=$K427,Input!AM190,0)</f>
        <v>0</v>
      </c>
      <c r="AX427" s="1708">
        <f>IF(Input!$F$183&gt;=$K427,Input!AN190,0)</f>
        <v>0</v>
      </c>
      <c r="AY427" s="1708">
        <f>IF(Input!$F$183&gt;=$K427,Input!AO190,0)</f>
        <v>0</v>
      </c>
      <c r="AZ427" s="1708">
        <f>IF(Input!$F$183&gt;=$K427,Input!AP190,0)</f>
        <v>0</v>
      </c>
      <c r="BA427" s="1708">
        <f>IF(Input!$F$183&gt;=$K427,Input!AQ190,0)</f>
        <v>0</v>
      </c>
      <c r="BB427" s="1708">
        <f>IF(Input!$F$183&gt;=$K427,Input!AR190,0)</f>
        <v>0</v>
      </c>
      <c r="BC427" s="1708">
        <f>IF(Input!$F$183&gt;=$K427,Input!AS190,0)</f>
        <v>0</v>
      </c>
      <c r="BD427" s="1708">
        <f>IF(Input!$F$183&gt;=$K427,Input!AT190,0)</f>
        <v>0</v>
      </c>
      <c r="BE427" s="1708">
        <f>IF(Input!$F$183&gt;=$K427,Input!AU190,0)</f>
        <v>0</v>
      </c>
      <c r="BF427" s="1708">
        <f>IF(Input!$F$183&gt;=$K427,Input!AV190,0)</f>
        <v>0</v>
      </c>
      <c r="BG427" s="1708">
        <f>IF(Input!$F$183&gt;=$K427,Input!AW190,0)</f>
        <v>0</v>
      </c>
      <c r="BH427" s="1708">
        <f>IF(Input!$F$183&gt;=$K427,Input!AX190,0)</f>
        <v>0</v>
      </c>
      <c r="BI427" s="1708">
        <f>IF(Input!$F$183&gt;=$K427,Input!AY190,0)</f>
        <v>0</v>
      </c>
      <c r="BJ427" s="1708">
        <f>IF(Input!$F$183&gt;=$K427,Input!AZ190,0)</f>
        <v>0</v>
      </c>
      <c r="BK427" s="1708">
        <f>IF(Input!$F$183&gt;=$K427,Input!BA190,0)</f>
        <v>0</v>
      </c>
      <c r="BL427" s="1708">
        <f>IF(Input!$F$183&gt;=$K427,Input!BB190,0)</f>
        <v>0</v>
      </c>
      <c r="BM427" s="1708">
        <f>IF(Input!$F$183&gt;=$K427,Input!BC190,0)</f>
        <v>0</v>
      </c>
      <c r="BN427" s="1708">
        <f>IF(Input!$F$183&gt;=$K427,Input!BD190,0)</f>
        <v>0</v>
      </c>
      <c r="BO427" s="1708">
        <f>IF(Input!$F$183&gt;=$K427,Input!BE190,0)</f>
        <v>0</v>
      </c>
      <c r="BP427" s="1708">
        <f>IF(Input!$F$183&gt;=$K427,Input!BF190,0)</f>
        <v>0</v>
      </c>
      <c r="BQ427" s="1708">
        <f>IF(Input!$F$183&gt;=$K427,Input!BG190,0)</f>
        <v>0</v>
      </c>
      <c r="BR427" s="1708">
        <f>IF(Input!$F$183&gt;=$K427,Input!BH190,0)</f>
        <v>0</v>
      </c>
      <c r="BS427" s="1708">
        <f>IF(Input!$F$183&gt;=$K427,Input!BI190,0)</f>
        <v>0</v>
      </c>
      <c r="BT427" s="1708">
        <f>IF(Input!$F$183&gt;=$K427,Input!BJ190,0)</f>
        <v>0</v>
      </c>
      <c r="BU427" s="1708">
        <f>IF(Input!$F$183&gt;=$K427,Input!BK190,0)</f>
        <v>0</v>
      </c>
      <c r="BV427" s="1708">
        <f>IF(Input!$F$183&gt;=$K427,Input!BL190,0)</f>
        <v>0</v>
      </c>
      <c r="BW427" s="1708">
        <f>IF(Input!$F$183&gt;=$K427,Input!BM190,0)</f>
        <v>0</v>
      </c>
      <c r="BX427" s="92">
        <f>IF(Input!$F$183&gt;=$K427,Input!BN190,0)</f>
        <v>0</v>
      </c>
      <c r="BY427" s="92">
        <f>IF(Input!$F$183&gt;=$K427,Input!BO190,0)</f>
        <v>0</v>
      </c>
      <c r="BZ427" s="92">
        <f>IF(Input!$F$183&gt;=$K427,Input!BP190,0)</f>
        <v>0</v>
      </c>
      <c r="CA427" s="92">
        <f>IF(Input!$F$183&gt;=$K427,Input!BQ190,0)</f>
        <v>0</v>
      </c>
      <c r="CB427" s="92">
        <f>IF(Input!$F$183&gt;=$K427,Input!BR190,0)</f>
        <v>0</v>
      </c>
      <c r="CC427" s="92">
        <f>IF(Input!$F$183&gt;=$K427,Input!BS190,0)</f>
        <v>0</v>
      </c>
      <c r="CD427" s="275">
        <f>IF(Input!$F$183&gt;=$K427,Input!BT190,0)</f>
        <v>0</v>
      </c>
      <c r="CE427" s="69">
        <f t="shared" si="222"/>
        <v>0</v>
      </c>
      <c r="CF427" s="1136">
        <f t="shared" si="223"/>
        <v>0</v>
      </c>
      <c r="CG427" s="1136">
        <f t="shared" si="224"/>
        <v>0</v>
      </c>
      <c r="CH427" s="1136">
        <f t="shared" si="225"/>
        <v>0</v>
      </c>
      <c r="CI427" s="1136">
        <f t="shared" si="226"/>
        <v>0</v>
      </c>
      <c r="CJ427" s="1136">
        <f t="shared" si="227"/>
        <v>0</v>
      </c>
      <c r="CK427" s="1136">
        <f t="shared" si="228"/>
        <v>0</v>
      </c>
      <c r="CL427" s="1136">
        <f t="shared" si="229"/>
        <v>0</v>
      </c>
      <c r="CM427" s="1136">
        <f t="shared" si="230"/>
        <v>0</v>
      </c>
      <c r="CN427" s="1136">
        <f t="shared" si="231"/>
        <v>0</v>
      </c>
      <c r="CO427" s="1136">
        <f t="shared" si="232"/>
        <v>0</v>
      </c>
      <c r="CP427" s="1136">
        <f t="shared" si="233"/>
        <v>0</v>
      </c>
      <c r="CQ427" s="1136">
        <f t="shared" si="234"/>
        <v>0</v>
      </c>
      <c r="CR427" s="1136">
        <f t="shared" si="235"/>
        <v>0</v>
      </c>
      <c r="CS427" s="1136">
        <f t="shared" si="236"/>
        <v>0</v>
      </c>
      <c r="CT427" s="1136">
        <f t="shared" si="237"/>
        <v>0</v>
      </c>
      <c r="CU427" s="1136">
        <f t="shared" si="238"/>
        <v>0</v>
      </c>
      <c r="CV427" s="1136">
        <f t="shared" si="239"/>
        <v>0</v>
      </c>
      <c r="CW427" s="1136">
        <f t="shared" si="240"/>
        <v>0</v>
      </c>
      <c r="CX427" s="1136">
        <f t="shared" si="241"/>
        <v>0</v>
      </c>
      <c r="CY427" s="1136">
        <f t="shared" si="242"/>
        <v>0</v>
      </c>
      <c r="CZ427" s="1136">
        <f t="shared" si="243"/>
        <v>0</v>
      </c>
      <c r="DA427" s="1136">
        <f t="shared" si="244"/>
        <v>0</v>
      </c>
      <c r="DB427" s="1136">
        <f t="shared" si="245"/>
        <v>0</v>
      </c>
      <c r="DC427" s="1136">
        <f t="shared" si="246"/>
        <v>0</v>
      </c>
      <c r="DD427" s="1136">
        <f t="shared" si="247"/>
        <v>0</v>
      </c>
      <c r="DE427" s="1136">
        <f t="shared" si="248"/>
        <v>0</v>
      </c>
      <c r="DF427" s="1136">
        <f t="shared" si="249"/>
        <v>0</v>
      </c>
      <c r="DG427" s="1136">
        <f t="shared" si="250"/>
        <v>0</v>
      </c>
      <c r="DH427" s="1136">
        <f t="shared" si="251"/>
        <v>0</v>
      </c>
      <c r="DI427" s="1136">
        <f t="shared" si="252"/>
        <v>0</v>
      </c>
      <c r="DJ427" s="1136">
        <f t="shared" si="253"/>
        <v>0</v>
      </c>
      <c r="DK427" s="1136">
        <f t="shared" si="254"/>
        <v>0</v>
      </c>
      <c r="DL427" s="1136">
        <f t="shared" si="255"/>
        <v>0</v>
      </c>
      <c r="DM427" s="1136">
        <f t="shared" si="256"/>
        <v>0</v>
      </c>
      <c r="DN427" s="1136">
        <f t="shared" si="257"/>
        <v>0</v>
      </c>
      <c r="DO427" s="1136">
        <f t="shared" si="258"/>
        <v>0</v>
      </c>
      <c r="DP427" s="1136">
        <f t="shared" si="259"/>
        <v>0</v>
      </c>
      <c r="DQ427" s="1136">
        <f t="shared" si="260"/>
        <v>0</v>
      </c>
      <c r="DR427" s="1136">
        <f t="shared" si="261"/>
        <v>0</v>
      </c>
      <c r="DS427" s="1136">
        <f t="shared" si="262"/>
        <v>0</v>
      </c>
      <c r="DT427" s="1136">
        <f t="shared" si="263"/>
        <v>0</v>
      </c>
      <c r="DU427" s="1136">
        <f t="shared" si="264"/>
        <v>0</v>
      </c>
      <c r="DV427" s="1136">
        <f t="shared" si="265"/>
        <v>0</v>
      </c>
      <c r="DW427" s="1136">
        <f t="shared" si="266"/>
        <v>0</v>
      </c>
      <c r="DX427" s="1136">
        <f t="shared" si="267"/>
        <v>0</v>
      </c>
      <c r="DY427" s="1136">
        <f t="shared" si="268"/>
        <v>0</v>
      </c>
      <c r="DZ427" s="1136">
        <f t="shared" si="269"/>
        <v>0</v>
      </c>
      <c r="EA427" s="1136">
        <f t="shared" si="270"/>
        <v>0</v>
      </c>
      <c r="EB427" s="1136">
        <f t="shared" si="271"/>
        <v>0</v>
      </c>
      <c r="EC427" s="1136">
        <f t="shared" si="272"/>
        <v>0</v>
      </c>
      <c r="ED427" s="1136">
        <f t="shared" si="273"/>
        <v>0</v>
      </c>
      <c r="EE427" s="1136">
        <f t="shared" si="274"/>
        <v>0</v>
      </c>
      <c r="EF427" s="1136">
        <f t="shared" si="275"/>
        <v>0</v>
      </c>
      <c r="EG427" s="1136">
        <f t="shared" si="276"/>
        <v>0</v>
      </c>
      <c r="EH427" s="1136">
        <f t="shared" si="277"/>
        <v>0</v>
      </c>
      <c r="EI427" s="1136">
        <f t="shared" si="278"/>
        <v>0</v>
      </c>
      <c r="EJ427" s="1136">
        <f t="shared" si="279"/>
        <v>0</v>
      </c>
      <c r="EK427" s="1136">
        <f t="shared" si="280"/>
        <v>0</v>
      </c>
      <c r="EL427" s="1136">
        <f t="shared" si="281"/>
        <v>0</v>
      </c>
      <c r="EM427" s="1136">
        <f t="shared" si="282"/>
        <v>0</v>
      </c>
      <c r="EN427" s="1300"/>
      <c r="EO427" s="1300"/>
      <c r="EP427" s="1300">
        <f>$CQ$414</f>
        <v>0</v>
      </c>
      <c r="EQ427" s="1300">
        <f>$DC$414</f>
        <v>0</v>
      </c>
      <c r="ER427" s="1300">
        <f>$DO$414</f>
        <v>0</v>
      </c>
      <c r="ES427" s="1810">
        <f>$DO$414</f>
        <v>0</v>
      </c>
      <c r="ET427" s="1300">
        <f>$EM$414</f>
        <v>0</v>
      </c>
    </row>
    <row r="428" spans="11:150" ht="12" customHeight="1" x14ac:dyDescent="0.35">
      <c r="K428" s="102">
        <v>8</v>
      </c>
      <c r="L428" s="415">
        <f>Input!D191</f>
        <v>0</v>
      </c>
      <c r="M428" s="416">
        <f>IF(Input!$F$183&gt;=$K428,Input!G191,0)</f>
        <v>0</v>
      </c>
      <c r="N428" s="1705">
        <f>Input!H191</f>
        <v>0</v>
      </c>
      <c r="O428" s="1705">
        <f>Input!I191</f>
        <v>0</v>
      </c>
      <c r="P428" s="1706">
        <f>Input!J191</f>
        <v>0</v>
      </c>
      <c r="Q428" s="102">
        <v>8</v>
      </c>
      <c r="R428" s="1702">
        <f t="shared" si="220"/>
        <v>0</v>
      </c>
      <c r="S428" s="1702">
        <f t="shared" si="221"/>
        <v>0</v>
      </c>
      <c r="T428" s="1302">
        <f>IFERROR(VLOOKUP(R428,Infrastructure!$D$70:$F$129,3,FALSE),0)</f>
        <v>1</v>
      </c>
      <c r="U428" s="1302">
        <f>IFERROR(VLOOKUP(S428,Infrastructure!$D$70:$F$129,3,FALSE),0)</f>
        <v>1</v>
      </c>
      <c r="V428" s="102"/>
      <c r="W428" s="1707">
        <f>IF(Input!$F$183&gt;=$K428,Input!M191,0)</f>
        <v>0</v>
      </c>
      <c r="X428" s="1708">
        <f>IF(Input!$F$183&gt;=$K428,Input!N191,0)</f>
        <v>0</v>
      </c>
      <c r="Y428" s="1708">
        <f>IF(Input!$F$183&gt;=$K428,Input!O191,0)</f>
        <v>0</v>
      </c>
      <c r="Z428" s="1708">
        <f>IF(Input!$F$183&gt;=$K428,Input!P191,0)</f>
        <v>0</v>
      </c>
      <c r="AA428" s="1708">
        <f>IF(Input!$F$183&gt;=$K428,Input!Q191,0)</f>
        <v>0</v>
      </c>
      <c r="AB428" s="1708">
        <f>IF(Input!$F$183&gt;=$K428,Input!R191,0)</f>
        <v>0</v>
      </c>
      <c r="AC428" s="1708">
        <f>IF(Input!$F$183&gt;=$K428,Input!S191,0)</f>
        <v>0</v>
      </c>
      <c r="AD428" s="1708">
        <f>IF(Input!$F$183&gt;=$K428,Input!T191,0)</f>
        <v>0</v>
      </c>
      <c r="AE428" s="1708">
        <f>IF(Input!$F$183&gt;=$K428,Input!U191,0)</f>
        <v>0</v>
      </c>
      <c r="AF428" s="1708">
        <f>IF(Input!$F$183&gt;=$K428,Input!V191,0)</f>
        <v>0</v>
      </c>
      <c r="AG428" s="1708">
        <f>IF(Input!$F$183&gt;=$K428,Input!W191,0)</f>
        <v>0</v>
      </c>
      <c r="AH428" s="1708">
        <f>IF(Input!$F$183&gt;=$K428,Input!X191,0)</f>
        <v>0</v>
      </c>
      <c r="AI428" s="1708">
        <f>IF(Input!$F$183&gt;=$K428,Input!Y191,0)</f>
        <v>0</v>
      </c>
      <c r="AJ428" s="1708">
        <f>IF(Input!$F$183&gt;=$K428,Input!Z191,0)</f>
        <v>0</v>
      </c>
      <c r="AK428" s="1708">
        <f>IF(Input!$F$183&gt;=$K428,Input!AA191,0)</f>
        <v>0</v>
      </c>
      <c r="AL428" s="1708">
        <f>IF(Input!$F$183&gt;=$K428,Input!AB191,0)</f>
        <v>0</v>
      </c>
      <c r="AM428" s="1708">
        <f>IF(Input!$F$183&gt;=$K428,Input!AC191,0)</f>
        <v>0</v>
      </c>
      <c r="AN428" s="1708">
        <f>IF(Input!$F$183&gt;=$K428,Input!AD191,0)</f>
        <v>0</v>
      </c>
      <c r="AO428" s="1708">
        <f>IF(Input!$F$183&gt;=$K428,Input!AE191,0)</f>
        <v>0</v>
      </c>
      <c r="AP428" s="1708">
        <f>IF(Input!$F$183&gt;=$K428,Input!AF191,0)</f>
        <v>0</v>
      </c>
      <c r="AQ428" s="1708">
        <f>IF(Input!$F$183&gt;=$K428,Input!AG191,0)</f>
        <v>0</v>
      </c>
      <c r="AR428" s="1708">
        <f>IF(Input!$F$183&gt;=$K428,Input!AH191,0)</f>
        <v>0</v>
      </c>
      <c r="AS428" s="1708">
        <f>IF(Input!$F$183&gt;=$K428,Input!AI191,0)</f>
        <v>0</v>
      </c>
      <c r="AT428" s="1708">
        <f>IF(Input!$F$183&gt;=$K428,Input!AJ191,0)</f>
        <v>0</v>
      </c>
      <c r="AU428" s="1708">
        <f>IF(Input!$F$183&gt;=$K428,Input!AK191,0)</f>
        <v>0</v>
      </c>
      <c r="AV428" s="1708">
        <f>IF(Input!$F$183&gt;=$K428,Input!AL191,0)</f>
        <v>0</v>
      </c>
      <c r="AW428" s="1708">
        <f>IF(Input!$F$183&gt;=$K428,Input!AM191,0)</f>
        <v>0</v>
      </c>
      <c r="AX428" s="1708">
        <f>IF(Input!$F$183&gt;=$K428,Input!AN191,0)</f>
        <v>0</v>
      </c>
      <c r="AY428" s="1708">
        <f>IF(Input!$F$183&gt;=$K428,Input!AO191,0)</f>
        <v>0</v>
      </c>
      <c r="AZ428" s="1708">
        <f>IF(Input!$F$183&gt;=$K428,Input!AP191,0)</f>
        <v>0</v>
      </c>
      <c r="BA428" s="1708">
        <f>IF(Input!$F$183&gt;=$K428,Input!AQ191,0)</f>
        <v>0</v>
      </c>
      <c r="BB428" s="1708">
        <f>IF(Input!$F$183&gt;=$K428,Input!AR191,0)</f>
        <v>0</v>
      </c>
      <c r="BC428" s="1708">
        <f>IF(Input!$F$183&gt;=$K428,Input!AS191,0)</f>
        <v>0</v>
      </c>
      <c r="BD428" s="1708">
        <f>IF(Input!$F$183&gt;=$K428,Input!AT191,0)</f>
        <v>0</v>
      </c>
      <c r="BE428" s="1708">
        <f>IF(Input!$F$183&gt;=$K428,Input!AU191,0)</f>
        <v>0</v>
      </c>
      <c r="BF428" s="1708">
        <f>IF(Input!$F$183&gt;=$K428,Input!AV191,0)</f>
        <v>0</v>
      </c>
      <c r="BG428" s="1708">
        <f>IF(Input!$F$183&gt;=$K428,Input!AW191,0)</f>
        <v>0</v>
      </c>
      <c r="BH428" s="1708">
        <f>IF(Input!$F$183&gt;=$K428,Input!AX191,0)</f>
        <v>0</v>
      </c>
      <c r="BI428" s="1708">
        <f>IF(Input!$F$183&gt;=$K428,Input!AY191,0)</f>
        <v>0</v>
      </c>
      <c r="BJ428" s="1708">
        <f>IF(Input!$F$183&gt;=$K428,Input!AZ191,0)</f>
        <v>0</v>
      </c>
      <c r="BK428" s="1708">
        <f>IF(Input!$F$183&gt;=$K428,Input!BA191,0)</f>
        <v>0</v>
      </c>
      <c r="BL428" s="1708">
        <f>IF(Input!$F$183&gt;=$K428,Input!BB191,0)</f>
        <v>0</v>
      </c>
      <c r="BM428" s="1708">
        <f>IF(Input!$F$183&gt;=$K428,Input!BC191,0)</f>
        <v>0</v>
      </c>
      <c r="BN428" s="1708">
        <f>IF(Input!$F$183&gt;=$K428,Input!BD191,0)</f>
        <v>0</v>
      </c>
      <c r="BO428" s="1708">
        <f>IF(Input!$F$183&gt;=$K428,Input!BE191,0)</f>
        <v>0</v>
      </c>
      <c r="BP428" s="1708">
        <f>IF(Input!$F$183&gt;=$K428,Input!BF191,0)</f>
        <v>0</v>
      </c>
      <c r="BQ428" s="1708">
        <f>IF(Input!$F$183&gt;=$K428,Input!BG191,0)</f>
        <v>0</v>
      </c>
      <c r="BR428" s="1708">
        <f>IF(Input!$F$183&gt;=$K428,Input!BH191,0)</f>
        <v>0</v>
      </c>
      <c r="BS428" s="1708">
        <f>IF(Input!$F$183&gt;=$K428,Input!BI191,0)</f>
        <v>0</v>
      </c>
      <c r="BT428" s="1708">
        <f>IF(Input!$F$183&gt;=$K428,Input!BJ191,0)</f>
        <v>0</v>
      </c>
      <c r="BU428" s="1708">
        <f>IF(Input!$F$183&gt;=$K428,Input!BK191,0)</f>
        <v>0</v>
      </c>
      <c r="BV428" s="1708">
        <f>IF(Input!$F$183&gt;=$K428,Input!BL191,0)</f>
        <v>0</v>
      </c>
      <c r="BW428" s="1708">
        <f>IF(Input!$F$183&gt;=$K428,Input!BM191,0)</f>
        <v>0</v>
      </c>
      <c r="BX428" s="92">
        <f>IF(Input!$F$183&gt;=$K428,Input!BN191,0)</f>
        <v>0</v>
      </c>
      <c r="BY428" s="92">
        <f>IF(Input!$F$183&gt;=$K428,Input!BO191,0)</f>
        <v>0</v>
      </c>
      <c r="BZ428" s="92">
        <f>IF(Input!$F$183&gt;=$K428,Input!BP191,0)</f>
        <v>0</v>
      </c>
      <c r="CA428" s="92">
        <f>IF(Input!$F$183&gt;=$K428,Input!BQ191,0)</f>
        <v>0</v>
      </c>
      <c r="CB428" s="92">
        <f>IF(Input!$F$183&gt;=$K428,Input!BR191,0)</f>
        <v>0</v>
      </c>
      <c r="CC428" s="92">
        <f>IF(Input!$F$183&gt;=$K428,Input!BS191,0)</f>
        <v>0</v>
      </c>
      <c r="CD428" s="275">
        <f>IF(Input!$F$183&gt;=$K428,Input!BT191,0)</f>
        <v>0</v>
      </c>
      <c r="CE428" s="69">
        <f t="shared" si="222"/>
        <v>0</v>
      </c>
      <c r="CF428" s="1136">
        <f t="shared" si="223"/>
        <v>0</v>
      </c>
      <c r="CG428" s="1136">
        <f t="shared" si="224"/>
        <v>0</v>
      </c>
      <c r="CH428" s="1136">
        <f t="shared" si="225"/>
        <v>0</v>
      </c>
      <c r="CI428" s="1136">
        <f t="shared" si="226"/>
        <v>0</v>
      </c>
      <c r="CJ428" s="1136">
        <f t="shared" si="227"/>
        <v>0</v>
      </c>
      <c r="CK428" s="1136">
        <f t="shared" si="228"/>
        <v>0</v>
      </c>
      <c r="CL428" s="1136">
        <f t="shared" si="229"/>
        <v>0</v>
      </c>
      <c r="CM428" s="1136">
        <f t="shared" si="230"/>
        <v>0</v>
      </c>
      <c r="CN428" s="1136">
        <f t="shared" si="231"/>
        <v>0</v>
      </c>
      <c r="CO428" s="1136">
        <f t="shared" si="232"/>
        <v>0</v>
      </c>
      <c r="CP428" s="1136">
        <f t="shared" si="233"/>
        <v>0</v>
      </c>
      <c r="CQ428" s="1136">
        <f t="shared" si="234"/>
        <v>0</v>
      </c>
      <c r="CR428" s="1136">
        <f t="shared" si="235"/>
        <v>0</v>
      </c>
      <c r="CS428" s="1136">
        <f t="shared" si="236"/>
        <v>0</v>
      </c>
      <c r="CT428" s="1136">
        <f t="shared" si="237"/>
        <v>0</v>
      </c>
      <c r="CU428" s="1136">
        <f t="shared" si="238"/>
        <v>0</v>
      </c>
      <c r="CV428" s="1136">
        <f t="shared" si="239"/>
        <v>0</v>
      </c>
      <c r="CW428" s="1136">
        <f t="shared" si="240"/>
        <v>0</v>
      </c>
      <c r="CX428" s="1136">
        <f t="shared" si="241"/>
        <v>0</v>
      </c>
      <c r="CY428" s="1136">
        <f t="shared" si="242"/>
        <v>0</v>
      </c>
      <c r="CZ428" s="1136">
        <f t="shared" si="243"/>
        <v>0</v>
      </c>
      <c r="DA428" s="1136">
        <f t="shared" si="244"/>
        <v>0</v>
      </c>
      <c r="DB428" s="1136">
        <f t="shared" si="245"/>
        <v>0</v>
      </c>
      <c r="DC428" s="1136">
        <f t="shared" si="246"/>
        <v>0</v>
      </c>
      <c r="DD428" s="1136">
        <f t="shared" si="247"/>
        <v>0</v>
      </c>
      <c r="DE428" s="1136">
        <f t="shared" si="248"/>
        <v>0</v>
      </c>
      <c r="DF428" s="1136">
        <f t="shared" si="249"/>
        <v>0</v>
      </c>
      <c r="DG428" s="1136">
        <f t="shared" si="250"/>
        <v>0</v>
      </c>
      <c r="DH428" s="1136">
        <f t="shared" si="251"/>
        <v>0</v>
      </c>
      <c r="DI428" s="1136">
        <f t="shared" si="252"/>
        <v>0</v>
      </c>
      <c r="DJ428" s="1136">
        <f t="shared" si="253"/>
        <v>0</v>
      </c>
      <c r="DK428" s="1136">
        <f t="shared" si="254"/>
        <v>0</v>
      </c>
      <c r="DL428" s="1136">
        <f t="shared" si="255"/>
        <v>0</v>
      </c>
      <c r="DM428" s="1136">
        <f t="shared" si="256"/>
        <v>0</v>
      </c>
      <c r="DN428" s="1136">
        <f t="shared" si="257"/>
        <v>0</v>
      </c>
      <c r="DO428" s="1136">
        <f t="shared" si="258"/>
        <v>0</v>
      </c>
      <c r="DP428" s="1136">
        <f t="shared" si="259"/>
        <v>0</v>
      </c>
      <c r="DQ428" s="1136">
        <f t="shared" si="260"/>
        <v>0</v>
      </c>
      <c r="DR428" s="1136">
        <f t="shared" si="261"/>
        <v>0</v>
      </c>
      <c r="DS428" s="1136">
        <f t="shared" si="262"/>
        <v>0</v>
      </c>
      <c r="DT428" s="1136">
        <f t="shared" si="263"/>
        <v>0</v>
      </c>
      <c r="DU428" s="1136">
        <f t="shared" si="264"/>
        <v>0</v>
      </c>
      <c r="DV428" s="1136">
        <f t="shared" si="265"/>
        <v>0</v>
      </c>
      <c r="DW428" s="1136">
        <f t="shared" si="266"/>
        <v>0</v>
      </c>
      <c r="DX428" s="1136">
        <f t="shared" si="267"/>
        <v>0</v>
      </c>
      <c r="DY428" s="1136">
        <f t="shared" si="268"/>
        <v>0</v>
      </c>
      <c r="DZ428" s="1136">
        <f t="shared" si="269"/>
        <v>0</v>
      </c>
      <c r="EA428" s="1136">
        <f t="shared" si="270"/>
        <v>0</v>
      </c>
      <c r="EB428" s="1136">
        <f t="shared" si="271"/>
        <v>0</v>
      </c>
      <c r="EC428" s="1136">
        <f t="shared" si="272"/>
        <v>0</v>
      </c>
      <c r="ED428" s="1136">
        <f t="shared" si="273"/>
        <v>0</v>
      </c>
      <c r="EE428" s="1136">
        <f t="shared" si="274"/>
        <v>0</v>
      </c>
      <c r="EF428" s="1136">
        <f t="shared" si="275"/>
        <v>0</v>
      </c>
      <c r="EG428" s="1136">
        <f t="shared" si="276"/>
        <v>0</v>
      </c>
      <c r="EH428" s="1136">
        <f t="shared" si="277"/>
        <v>0</v>
      </c>
      <c r="EI428" s="1136">
        <f t="shared" si="278"/>
        <v>0</v>
      </c>
      <c r="EJ428" s="1136">
        <f t="shared" si="279"/>
        <v>0</v>
      </c>
      <c r="EK428" s="1136">
        <f t="shared" si="280"/>
        <v>0</v>
      </c>
      <c r="EL428" s="1136">
        <f t="shared" si="281"/>
        <v>0</v>
      </c>
      <c r="EM428" s="1136">
        <f t="shared" si="282"/>
        <v>0</v>
      </c>
      <c r="EN428" s="1300"/>
      <c r="EO428" s="1300"/>
      <c r="EP428" s="1300"/>
      <c r="EQ428" s="1300"/>
      <c r="ER428" s="1300"/>
      <c r="ES428" s="1300"/>
      <c r="ET428" s="1300"/>
    </row>
    <row r="429" spans="11:150" ht="12" customHeight="1" x14ac:dyDescent="0.35">
      <c r="K429" s="102">
        <v>9</v>
      </c>
      <c r="L429" s="415">
        <f>Input!D192</f>
        <v>0</v>
      </c>
      <c r="M429" s="416">
        <f>IF(Input!$F$183&gt;=$K429,Input!G192,0)</f>
        <v>0</v>
      </c>
      <c r="N429" s="1705">
        <f>Input!H192</f>
        <v>0</v>
      </c>
      <c r="O429" s="1705">
        <f>Input!I192</f>
        <v>0</v>
      </c>
      <c r="P429" s="1706">
        <f>Input!J192</f>
        <v>0</v>
      </c>
      <c r="Q429" s="102">
        <v>9</v>
      </c>
      <c r="R429" s="1702">
        <f t="shared" si="220"/>
        <v>0</v>
      </c>
      <c r="S429" s="1702">
        <f t="shared" si="221"/>
        <v>0</v>
      </c>
      <c r="T429" s="1302">
        <f>IFERROR(VLOOKUP(R429,Infrastructure!$D$70:$F$129,3,FALSE),0)</f>
        <v>1</v>
      </c>
      <c r="U429" s="1302">
        <f>IFERROR(VLOOKUP(S429,Infrastructure!$D$70:$F$129,3,FALSE),0)</f>
        <v>1</v>
      </c>
      <c r="V429" s="102"/>
      <c r="W429" s="1707">
        <f>IF(Input!$F$183&gt;=$K429,Input!M192,0)</f>
        <v>0</v>
      </c>
      <c r="X429" s="1708">
        <f>IF(Input!$F$183&gt;=$K429,Input!N192,0)</f>
        <v>0</v>
      </c>
      <c r="Y429" s="1708">
        <f>IF(Input!$F$183&gt;=$K429,Input!O192,0)</f>
        <v>0</v>
      </c>
      <c r="Z429" s="1708">
        <f>IF(Input!$F$183&gt;=$K429,Input!P192,0)</f>
        <v>0</v>
      </c>
      <c r="AA429" s="1708">
        <f>IF(Input!$F$183&gt;=$K429,Input!Q192,0)</f>
        <v>0</v>
      </c>
      <c r="AB429" s="1708">
        <f>IF(Input!$F$183&gt;=$K429,Input!R192,0)</f>
        <v>0</v>
      </c>
      <c r="AC429" s="1708">
        <f>IF(Input!$F$183&gt;=$K429,Input!S192,0)</f>
        <v>0</v>
      </c>
      <c r="AD429" s="1708">
        <f>IF(Input!$F$183&gt;=$K429,Input!T192,0)</f>
        <v>0</v>
      </c>
      <c r="AE429" s="1708">
        <f>IF(Input!$F$183&gt;=$K429,Input!U192,0)</f>
        <v>0</v>
      </c>
      <c r="AF429" s="1708">
        <f>IF(Input!$F$183&gt;=$K429,Input!V192,0)</f>
        <v>0</v>
      </c>
      <c r="AG429" s="1708">
        <f>IF(Input!$F$183&gt;=$K429,Input!W192,0)</f>
        <v>0</v>
      </c>
      <c r="AH429" s="1708">
        <f>IF(Input!$F$183&gt;=$K429,Input!X192,0)</f>
        <v>0</v>
      </c>
      <c r="AI429" s="1708">
        <f>IF(Input!$F$183&gt;=$K429,Input!Y192,0)</f>
        <v>0</v>
      </c>
      <c r="AJ429" s="1708">
        <f>IF(Input!$F$183&gt;=$K429,Input!Z192,0)</f>
        <v>0</v>
      </c>
      <c r="AK429" s="1708">
        <f>IF(Input!$F$183&gt;=$K429,Input!AA192,0)</f>
        <v>0</v>
      </c>
      <c r="AL429" s="1708">
        <f>IF(Input!$F$183&gt;=$K429,Input!AB192,0)</f>
        <v>0</v>
      </c>
      <c r="AM429" s="1708">
        <f>IF(Input!$F$183&gt;=$K429,Input!AC192,0)</f>
        <v>0</v>
      </c>
      <c r="AN429" s="1708">
        <f>IF(Input!$F$183&gt;=$K429,Input!AD192,0)</f>
        <v>0</v>
      </c>
      <c r="AO429" s="1708">
        <f>IF(Input!$F$183&gt;=$K429,Input!AE192,0)</f>
        <v>0</v>
      </c>
      <c r="AP429" s="1708">
        <f>IF(Input!$F$183&gt;=$K429,Input!AF192,0)</f>
        <v>0</v>
      </c>
      <c r="AQ429" s="1708">
        <f>IF(Input!$F$183&gt;=$K429,Input!AG192,0)</f>
        <v>0</v>
      </c>
      <c r="AR429" s="1708">
        <f>IF(Input!$F$183&gt;=$K429,Input!AH192,0)</f>
        <v>0</v>
      </c>
      <c r="AS429" s="1708">
        <f>IF(Input!$F$183&gt;=$K429,Input!AI192,0)</f>
        <v>0</v>
      </c>
      <c r="AT429" s="1708">
        <f>IF(Input!$F$183&gt;=$K429,Input!AJ192,0)</f>
        <v>0</v>
      </c>
      <c r="AU429" s="1708">
        <f>IF(Input!$F$183&gt;=$K429,Input!AK192,0)</f>
        <v>0</v>
      </c>
      <c r="AV429" s="1708">
        <f>IF(Input!$F$183&gt;=$K429,Input!AL192,0)</f>
        <v>0</v>
      </c>
      <c r="AW429" s="1708">
        <f>IF(Input!$F$183&gt;=$K429,Input!AM192,0)</f>
        <v>0</v>
      </c>
      <c r="AX429" s="1708">
        <f>IF(Input!$F$183&gt;=$K429,Input!AN192,0)</f>
        <v>0</v>
      </c>
      <c r="AY429" s="1708">
        <f>IF(Input!$F$183&gt;=$K429,Input!AO192,0)</f>
        <v>0</v>
      </c>
      <c r="AZ429" s="1708">
        <f>IF(Input!$F$183&gt;=$K429,Input!AP192,0)</f>
        <v>0</v>
      </c>
      <c r="BA429" s="1708">
        <f>IF(Input!$F$183&gt;=$K429,Input!AQ192,0)</f>
        <v>0</v>
      </c>
      <c r="BB429" s="1708">
        <f>IF(Input!$F$183&gt;=$K429,Input!AR192,0)</f>
        <v>0</v>
      </c>
      <c r="BC429" s="1708">
        <f>IF(Input!$F$183&gt;=$K429,Input!AS192,0)</f>
        <v>0</v>
      </c>
      <c r="BD429" s="1708">
        <f>IF(Input!$F$183&gt;=$K429,Input!AT192,0)</f>
        <v>0</v>
      </c>
      <c r="BE429" s="1708">
        <f>IF(Input!$F$183&gt;=$K429,Input!AU192,0)</f>
        <v>0</v>
      </c>
      <c r="BF429" s="1708">
        <f>IF(Input!$F$183&gt;=$K429,Input!AV192,0)</f>
        <v>0</v>
      </c>
      <c r="BG429" s="1708">
        <f>IF(Input!$F$183&gt;=$K429,Input!AW192,0)</f>
        <v>0</v>
      </c>
      <c r="BH429" s="1708">
        <f>IF(Input!$F$183&gt;=$K429,Input!AX192,0)</f>
        <v>0</v>
      </c>
      <c r="BI429" s="1708">
        <f>IF(Input!$F$183&gt;=$K429,Input!AY192,0)</f>
        <v>0</v>
      </c>
      <c r="BJ429" s="1708">
        <f>IF(Input!$F$183&gt;=$K429,Input!AZ192,0)</f>
        <v>0</v>
      </c>
      <c r="BK429" s="1708">
        <f>IF(Input!$F$183&gt;=$K429,Input!BA192,0)</f>
        <v>0</v>
      </c>
      <c r="BL429" s="1708">
        <f>IF(Input!$F$183&gt;=$K429,Input!BB192,0)</f>
        <v>0</v>
      </c>
      <c r="BM429" s="1708">
        <f>IF(Input!$F$183&gt;=$K429,Input!BC192,0)</f>
        <v>0</v>
      </c>
      <c r="BN429" s="1708">
        <f>IF(Input!$F$183&gt;=$K429,Input!BD192,0)</f>
        <v>0</v>
      </c>
      <c r="BO429" s="1708">
        <f>IF(Input!$F$183&gt;=$K429,Input!BE192,0)</f>
        <v>0</v>
      </c>
      <c r="BP429" s="1708">
        <f>IF(Input!$F$183&gt;=$K429,Input!BF192,0)</f>
        <v>0</v>
      </c>
      <c r="BQ429" s="1708">
        <f>IF(Input!$F$183&gt;=$K429,Input!BG192,0)</f>
        <v>0</v>
      </c>
      <c r="BR429" s="1708">
        <f>IF(Input!$F$183&gt;=$K429,Input!BH192,0)</f>
        <v>0</v>
      </c>
      <c r="BS429" s="1708">
        <f>IF(Input!$F$183&gt;=$K429,Input!BI192,0)</f>
        <v>0</v>
      </c>
      <c r="BT429" s="1708">
        <f>IF(Input!$F$183&gt;=$K429,Input!BJ192,0)</f>
        <v>0</v>
      </c>
      <c r="BU429" s="1708">
        <f>IF(Input!$F$183&gt;=$K429,Input!BK192,0)</f>
        <v>0</v>
      </c>
      <c r="BV429" s="1708">
        <f>IF(Input!$F$183&gt;=$K429,Input!BL192,0)</f>
        <v>0</v>
      </c>
      <c r="BW429" s="1708">
        <f>IF(Input!$F$183&gt;=$K429,Input!BM192,0)</f>
        <v>0</v>
      </c>
      <c r="BX429" s="92">
        <f>IF(Input!$F$183&gt;=$K429,Input!BN192,0)</f>
        <v>0</v>
      </c>
      <c r="BY429" s="92">
        <f>IF(Input!$F$183&gt;=$K429,Input!BO192,0)</f>
        <v>0</v>
      </c>
      <c r="BZ429" s="92">
        <f>IF(Input!$F$183&gt;=$K429,Input!BP192,0)</f>
        <v>0</v>
      </c>
      <c r="CA429" s="92">
        <f>IF(Input!$F$183&gt;=$K429,Input!BQ192,0)</f>
        <v>0</v>
      </c>
      <c r="CB429" s="92">
        <f>IF(Input!$F$183&gt;=$K429,Input!BR192,0)</f>
        <v>0</v>
      </c>
      <c r="CC429" s="92">
        <f>IF(Input!$F$183&gt;=$K429,Input!BS192,0)</f>
        <v>0</v>
      </c>
      <c r="CD429" s="275">
        <f>IF(Input!$F$183&gt;=$K429,Input!BT192,0)</f>
        <v>0</v>
      </c>
      <c r="CE429" s="69">
        <f t="shared" si="222"/>
        <v>0</v>
      </c>
      <c r="CF429" s="1136">
        <f t="shared" si="223"/>
        <v>0</v>
      </c>
      <c r="CG429" s="1136">
        <f t="shared" si="224"/>
        <v>0</v>
      </c>
      <c r="CH429" s="1136">
        <f t="shared" si="225"/>
        <v>0</v>
      </c>
      <c r="CI429" s="1136">
        <f t="shared" si="226"/>
        <v>0</v>
      </c>
      <c r="CJ429" s="1136">
        <f t="shared" si="227"/>
        <v>0</v>
      </c>
      <c r="CK429" s="1136">
        <f t="shared" si="228"/>
        <v>0</v>
      </c>
      <c r="CL429" s="1136">
        <f t="shared" si="229"/>
        <v>0</v>
      </c>
      <c r="CM429" s="1136">
        <f t="shared" si="230"/>
        <v>0</v>
      </c>
      <c r="CN429" s="1136">
        <f t="shared" si="231"/>
        <v>0</v>
      </c>
      <c r="CO429" s="1136">
        <f t="shared" si="232"/>
        <v>0</v>
      </c>
      <c r="CP429" s="1136">
        <f t="shared" si="233"/>
        <v>0</v>
      </c>
      <c r="CQ429" s="1136">
        <f t="shared" si="234"/>
        <v>0</v>
      </c>
      <c r="CR429" s="1136">
        <f t="shared" si="235"/>
        <v>0</v>
      </c>
      <c r="CS429" s="1136">
        <f t="shared" si="236"/>
        <v>0</v>
      </c>
      <c r="CT429" s="1136">
        <f t="shared" si="237"/>
        <v>0</v>
      </c>
      <c r="CU429" s="1136">
        <f t="shared" si="238"/>
        <v>0</v>
      </c>
      <c r="CV429" s="1136">
        <f t="shared" si="239"/>
        <v>0</v>
      </c>
      <c r="CW429" s="1136">
        <f t="shared" si="240"/>
        <v>0</v>
      </c>
      <c r="CX429" s="1136">
        <f t="shared" si="241"/>
        <v>0</v>
      </c>
      <c r="CY429" s="1136">
        <f t="shared" si="242"/>
        <v>0</v>
      </c>
      <c r="CZ429" s="1136">
        <f t="shared" si="243"/>
        <v>0</v>
      </c>
      <c r="DA429" s="1136">
        <f t="shared" si="244"/>
        <v>0</v>
      </c>
      <c r="DB429" s="1136">
        <f t="shared" si="245"/>
        <v>0</v>
      </c>
      <c r="DC429" s="1136">
        <f t="shared" si="246"/>
        <v>0</v>
      </c>
      <c r="DD429" s="1136">
        <f t="shared" si="247"/>
        <v>0</v>
      </c>
      <c r="DE429" s="1136">
        <f t="shared" si="248"/>
        <v>0</v>
      </c>
      <c r="DF429" s="1136">
        <f t="shared" si="249"/>
        <v>0</v>
      </c>
      <c r="DG429" s="1136">
        <f t="shared" si="250"/>
        <v>0</v>
      </c>
      <c r="DH429" s="1136">
        <f t="shared" si="251"/>
        <v>0</v>
      </c>
      <c r="DI429" s="1136">
        <f t="shared" si="252"/>
        <v>0</v>
      </c>
      <c r="DJ429" s="1136">
        <f t="shared" si="253"/>
        <v>0</v>
      </c>
      <c r="DK429" s="1136">
        <f t="shared" si="254"/>
        <v>0</v>
      </c>
      <c r="DL429" s="1136">
        <f t="shared" si="255"/>
        <v>0</v>
      </c>
      <c r="DM429" s="1136">
        <f t="shared" si="256"/>
        <v>0</v>
      </c>
      <c r="DN429" s="1136">
        <f t="shared" si="257"/>
        <v>0</v>
      </c>
      <c r="DO429" s="1136">
        <f t="shared" si="258"/>
        <v>0</v>
      </c>
      <c r="DP429" s="1136">
        <f t="shared" si="259"/>
        <v>0</v>
      </c>
      <c r="DQ429" s="1136">
        <f t="shared" si="260"/>
        <v>0</v>
      </c>
      <c r="DR429" s="1136">
        <f t="shared" si="261"/>
        <v>0</v>
      </c>
      <c r="DS429" s="1136">
        <f t="shared" si="262"/>
        <v>0</v>
      </c>
      <c r="DT429" s="1136">
        <f t="shared" si="263"/>
        <v>0</v>
      </c>
      <c r="DU429" s="1136">
        <f t="shared" si="264"/>
        <v>0</v>
      </c>
      <c r="DV429" s="1136">
        <f t="shared" si="265"/>
        <v>0</v>
      </c>
      <c r="DW429" s="1136">
        <f t="shared" si="266"/>
        <v>0</v>
      </c>
      <c r="DX429" s="1136">
        <f t="shared" si="267"/>
        <v>0</v>
      </c>
      <c r="DY429" s="1136">
        <f t="shared" si="268"/>
        <v>0</v>
      </c>
      <c r="DZ429" s="1136">
        <f t="shared" si="269"/>
        <v>0</v>
      </c>
      <c r="EA429" s="1136">
        <f t="shared" si="270"/>
        <v>0</v>
      </c>
      <c r="EB429" s="1136">
        <f t="shared" si="271"/>
        <v>0</v>
      </c>
      <c r="EC429" s="1136">
        <f t="shared" si="272"/>
        <v>0</v>
      </c>
      <c r="ED429" s="1136">
        <f t="shared" si="273"/>
        <v>0</v>
      </c>
      <c r="EE429" s="1136">
        <f t="shared" si="274"/>
        <v>0</v>
      </c>
      <c r="EF429" s="1136">
        <f t="shared" si="275"/>
        <v>0</v>
      </c>
      <c r="EG429" s="1136">
        <f t="shared" si="276"/>
        <v>0</v>
      </c>
      <c r="EH429" s="1136">
        <f t="shared" si="277"/>
        <v>0</v>
      </c>
      <c r="EI429" s="1136">
        <f t="shared" si="278"/>
        <v>0</v>
      </c>
      <c r="EJ429" s="1136">
        <f t="shared" si="279"/>
        <v>0</v>
      </c>
      <c r="EK429" s="1136">
        <f t="shared" si="280"/>
        <v>0</v>
      </c>
      <c r="EL429" s="1136">
        <f t="shared" si="281"/>
        <v>0</v>
      </c>
      <c r="EM429" s="1136">
        <f t="shared" si="282"/>
        <v>0</v>
      </c>
      <c r="EN429" s="1300"/>
      <c r="EO429" s="1300"/>
      <c r="EP429" s="1300"/>
      <c r="EQ429" s="1300"/>
      <c r="ER429" s="1300"/>
      <c r="ES429" s="1300"/>
      <c r="ET429" s="1300"/>
    </row>
    <row r="430" spans="11:150" ht="12" customHeight="1" x14ac:dyDescent="0.35">
      <c r="K430" s="102">
        <v>10</v>
      </c>
      <c r="L430" s="415">
        <f>Input!D193</f>
        <v>0</v>
      </c>
      <c r="M430" s="416">
        <f>IF(Input!$F$183&gt;=$K430,Input!G193,0)</f>
        <v>0</v>
      </c>
      <c r="N430" s="1705">
        <f>Input!H193</f>
        <v>0</v>
      </c>
      <c r="O430" s="1705">
        <f>Input!I193</f>
        <v>0</v>
      </c>
      <c r="P430" s="1706">
        <f>Input!J193</f>
        <v>0</v>
      </c>
      <c r="Q430" s="102">
        <v>10</v>
      </c>
      <c r="R430" s="1702">
        <f t="shared" si="220"/>
        <v>0</v>
      </c>
      <c r="S430" s="1702">
        <f t="shared" si="221"/>
        <v>0</v>
      </c>
      <c r="T430" s="1302">
        <f>IFERROR(VLOOKUP(R430,Infrastructure!$D$70:$F$129,3,FALSE),0)</f>
        <v>1</v>
      </c>
      <c r="U430" s="1302">
        <f>IFERROR(VLOOKUP(S430,Infrastructure!$D$70:$F$129,3,FALSE),0)</f>
        <v>1</v>
      </c>
      <c r="V430" s="102"/>
      <c r="W430" s="1707">
        <f>IF(Input!$F$183&gt;=$K430,Input!M193,0)</f>
        <v>0</v>
      </c>
      <c r="X430" s="1708">
        <f>IF(Input!$F$183&gt;=$K430,Input!N193,0)</f>
        <v>0</v>
      </c>
      <c r="Y430" s="1708">
        <f>IF(Input!$F$183&gt;=$K430,Input!O193,0)</f>
        <v>0</v>
      </c>
      <c r="Z430" s="1708">
        <f>IF(Input!$F$183&gt;=$K430,Input!P193,0)</f>
        <v>0</v>
      </c>
      <c r="AA430" s="1708">
        <f>IF(Input!$F$183&gt;=$K430,Input!Q193,0)</f>
        <v>0</v>
      </c>
      <c r="AB430" s="1708">
        <f>IF(Input!$F$183&gt;=$K430,Input!R193,0)</f>
        <v>0</v>
      </c>
      <c r="AC430" s="1708">
        <f>IF(Input!$F$183&gt;=$K430,Input!S193,0)</f>
        <v>0</v>
      </c>
      <c r="AD430" s="1708">
        <f>IF(Input!$F$183&gt;=$K430,Input!T193,0)</f>
        <v>0</v>
      </c>
      <c r="AE430" s="1708">
        <f>IF(Input!$F$183&gt;=$K430,Input!U193,0)</f>
        <v>0</v>
      </c>
      <c r="AF430" s="1708">
        <f>IF(Input!$F$183&gt;=$K430,Input!V193,0)</f>
        <v>0</v>
      </c>
      <c r="AG430" s="1708">
        <f>IF(Input!$F$183&gt;=$K430,Input!W193,0)</f>
        <v>0</v>
      </c>
      <c r="AH430" s="1708">
        <f>IF(Input!$F$183&gt;=$K430,Input!X193,0)</f>
        <v>0</v>
      </c>
      <c r="AI430" s="1708">
        <f>IF(Input!$F$183&gt;=$K430,Input!Y193,0)</f>
        <v>0</v>
      </c>
      <c r="AJ430" s="1708">
        <f>IF(Input!$F$183&gt;=$K430,Input!Z193,0)</f>
        <v>0</v>
      </c>
      <c r="AK430" s="1708">
        <f>IF(Input!$F$183&gt;=$K430,Input!AA193,0)</f>
        <v>0</v>
      </c>
      <c r="AL430" s="1708">
        <f>IF(Input!$F$183&gt;=$K430,Input!AB193,0)</f>
        <v>0</v>
      </c>
      <c r="AM430" s="1708">
        <f>IF(Input!$F$183&gt;=$K430,Input!AC193,0)</f>
        <v>0</v>
      </c>
      <c r="AN430" s="1708">
        <f>IF(Input!$F$183&gt;=$K430,Input!AD193,0)</f>
        <v>0</v>
      </c>
      <c r="AO430" s="1708">
        <f>IF(Input!$F$183&gt;=$K430,Input!AE193,0)</f>
        <v>0</v>
      </c>
      <c r="AP430" s="1708">
        <f>IF(Input!$F$183&gt;=$K430,Input!AF193,0)</f>
        <v>0</v>
      </c>
      <c r="AQ430" s="1708">
        <f>IF(Input!$F$183&gt;=$K430,Input!AG193,0)</f>
        <v>0</v>
      </c>
      <c r="AR430" s="1708">
        <f>IF(Input!$F$183&gt;=$K430,Input!AH193,0)</f>
        <v>0</v>
      </c>
      <c r="AS430" s="1708">
        <f>IF(Input!$F$183&gt;=$K430,Input!AI193,0)</f>
        <v>0</v>
      </c>
      <c r="AT430" s="1708">
        <f>IF(Input!$F$183&gt;=$K430,Input!AJ193,0)</f>
        <v>0</v>
      </c>
      <c r="AU430" s="1708">
        <f>IF(Input!$F$183&gt;=$K430,Input!AK193,0)</f>
        <v>0</v>
      </c>
      <c r="AV430" s="1708">
        <f>IF(Input!$F$183&gt;=$K430,Input!AL193,0)</f>
        <v>0</v>
      </c>
      <c r="AW430" s="1708">
        <f>IF(Input!$F$183&gt;=$K430,Input!AM193,0)</f>
        <v>0</v>
      </c>
      <c r="AX430" s="1708">
        <f>IF(Input!$F$183&gt;=$K430,Input!AN193,0)</f>
        <v>0</v>
      </c>
      <c r="AY430" s="1708">
        <f>IF(Input!$F$183&gt;=$K430,Input!AO193,0)</f>
        <v>0</v>
      </c>
      <c r="AZ430" s="1708">
        <f>IF(Input!$F$183&gt;=$K430,Input!AP193,0)</f>
        <v>0</v>
      </c>
      <c r="BA430" s="1708">
        <f>IF(Input!$F$183&gt;=$K430,Input!AQ193,0)</f>
        <v>0</v>
      </c>
      <c r="BB430" s="1708">
        <f>IF(Input!$F$183&gt;=$K430,Input!AR193,0)</f>
        <v>0</v>
      </c>
      <c r="BC430" s="1708">
        <f>IF(Input!$F$183&gt;=$K430,Input!AS193,0)</f>
        <v>0</v>
      </c>
      <c r="BD430" s="1708">
        <f>IF(Input!$F$183&gt;=$K430,Input!AT193,0)</f>
        <v>0</v>
      </c>
      <c r="BE430" s="1708">
        <f>IF(Input!$F$183&gt;=$K430,Input!AU193,0)</f>
        <v>0</v>
      </c>
      <c r="BF430" s="1708">
        <f>IF(Input!$F$183&gt;=$K430,Input!AV193,0)</f>
        <v>0</v>
      </c>
      <c r="BG430" s="1708">
        <f>IF(Input!$F$183&gt;=$K430,Input!AW193,0)</f>
        <v>0</v>
      </c>
      <c r="BH430" s="1708">
        <f>IF(Input!$F$183&gt;=$K430,Input!AX193,0)</f>
        <v>0</v>
      </c>
      <c r="BI430" s="1708">
        <f>IF(Input!$F$183&gt;=$K430,Input!AY193,0)</f>
        <v>0</v>
      </c>
      <c r="BJ430" s="1708">
        <f>IF(Input!$F$183&gt;=$K430,Input!AZ193,0)</f>
        <v>0</v>
      </c>
      <c r="BK430" s="1708">
        <f>IF(Input!$F$183&gt;=$K430,Input!BA193,0)</f>
        <v>0</v>
      </c>
      <c r="BL430" s="1708">
        <f>IF(Input!$F$183&gt;=$K430,Input!BB193,0)</f>
        <v>0</v>
      </c>
      <c r="BM430" s="1708">
        <f>IF(Input!$F$183&gt;=$K430,Input!BC193,0)</f>
        <v>0</v>
      </c>
      <c r="BN430" s="1708">
        <f>IF(Input!$F$183&gt;=$K430,Input!BD193,0)</f>
        <v>0</v>
      </c>
      <c r="BO430" s="1708">
        <f>IF(Input!$F$183&gt;=$K430,Input!BE193,0)</f>
        <v>0</v>
      </c>
      <c r="BP430" s="1708">
        <f>IF(Input!$F$183&gt;=$K430,Input!BF193,0)</f>
        <v>0</v>
      </c>
      <c r="BQ430" s="1708">
        <f>IF(Input!$F$183&gt;=$K430,Input!BG193,0)</f>
        <v>0</v>
      </c>
      <c r="BR430" s="1708">
        <f>IF(Input!$F$183&gt;=$K430,Input!BH193,0)</f>
        <v>0</v>
      </c>
      <c r="BS430" s="1708">
        <f>IF(Input!$F$183&gt;=$K430,Input!BI193,0)</f>
        <v>0</v>
      </c>
      <c r="BT430" s="1708">
        <f>IF(Input!$F$183&gt;=$K430,Input!BJ193,0)</f>
        <v>0</v>
      </c>
      <c r="BU430" s="1708">
        <f>IF(Input!$F$183&gt;=$K430,Input!BK193,0)</f>
        <v>0</v>
      </c>
      <c r="BV430" s="1708">
        <f>IF(Input!$F$183&gt;=$K430,Input!BL193,0)</f>
        <v>0</v>
      </c>
      <c r="BW430" s="1708">
        <f>IF(Input!$F$183&gt;=$K430,Input!BM193,0)</f>
        <v>0</v>
      </c>
      <c r="BX430" s="92">
        <f>IF(Input!$F$183&gt;=$K430,Input!BN193,0)</f>
        <v>0</v>
      </c>
      <c r="BY430" s="92">
        <f>IF(Input!$F$183&gt;=$K430,Input!BO193,0)</f>
        <v>0</v>
      </c>
      <c r="BZ430" s="92">
        <f>IF(Input!$F$183&gt;=$K430,Input!BP193,0)</f>
        <v>0</v>
      </c>
      <c r="CA430" s="92">
        <f>IF(Input!$F$183&gt;=$K430,Input!BQ193,0)</f>
        <v>0</v>
      </c>
      <c r="CB430" s="92">
        <f>IF(Input!$F$183&gt;=$K430,Input!BR193,0)</f>
        <v>0</v>
      </c>
      <c r="CC430" s="92">
        <f>IF(Input!$F$183&gt;=$K430,Input!BS193,0)</f>
        <v>0</v>
      </c>
      <c r="CD430" s="275">
        <f>IF(Input!$F$183&gt;=$K430,Input!BT193,0)</f>
        <v>0</v>
      </c>
      <c r="CE430" s="69">
        <f t="shared" si="222"/>
        <v>0</v>
      </c>
      <c r="CF430" s="1136">
        <f t="shared" si="223"/>
        <v>0</v>
      </c>
      <c r="CG430" s="1136">
        <f t="shared" si="224"/>
        <v>0</v>
      </c>
      <c r="CH430" s="1136">
        <f t="shared" si="225"/>
        <v>0</v>
      </c>
      <c r="CI430" s="1136">
        <f t="shared" si="226"/>
        <v>0</v>
      </c>
      <c r="CJ430" s="1136">
        <f t="shared" si="227"/>
        <v>0</v>
      </c>
      <c r="CK430" s="1136">
        <f t="shared" si="228"/>
        <v>0</v>
      </c>
      <c r="CL430" s="1136">
        <f t="shared" si="229"/>
        <v>0</v>
      </c>
      <c r="CM430" s="1136">
        <f t="shared" si="230"/>
        <v>0</v>
      </c>
      <c r="CN430" s="1136">
        <f t="shared" si="231"/>
        <v>0</v>
      </c>
      <c r="CO430" s="1136">
        <f t="shared" si="232"/>
        <v>0</v>
      </c>
      <c r="CP430" s="1136">
        <f t="shared" si="233"/>
        <v>0</v>
      </c>
      <c r="CQ430" s="1136">
        <f t="shared" si="234"/>
        <v>0</v>
      </c>
      <c r="CR430" s="1136">
        <f t="shared" si="235"/>
        <v>0</v>
      </c>
      <c r="CS430" s="1136">
        <f t="shared" si="236"/>
        <v>0</v>
      </c>
      <c r="CT430" s="1136">
        <f t="shared" si="237"/>
        <v>0</v>
      </c>
      <c r="CU430" s="1136">
        <f t="shared" si="238"/>
        <v>0</v>
      </c>
      <c r="CV430" s="1136">
        <f t="shared" si="239"/>
        <v>0</v>
      </c>
      <c r="CW430" s="1136">
        <f t="shared" si="240"/>
        <v>0</v>
      </c>
      <c r="CX430" s="1136">
        <f t="shared" si="241"/>
        <v>0</v>
      </c>
      <c r="CY430" s="1136">
        <f t="shared" si="242"/>
        <v>0</v>
      </c>
      <c r="CZ430" s="1136">
        <f t="shared" si="243"/>
        <v>0</v>
      </c>
      <c r="DA430" s="1136">
        <f t="shared" si="244"/>
        <v>0</v>
      </c>
      <c r="DB430" s="1136">
        <f t="shared" si="245"/>
        <v>0</v>
      </c>
      <c r="DC430" s="1136">
        <f t="shared" si="246"/>
        <v>0</v>
      </c>
      <c r="DD430" s="1136">
        <f t="shared" si="247"/>
        <v>0</v>
      </c>
      <c r="DE430" s="1136">
        <f t="shared" si="248"/>
        <v>0</v>
      </c>
      <c r="DF430" s="1136">
        <f t="shared" si="249"/>
        <v>0</v>
      </c>
      <c r="DG430" s="1136">
        <f t="shared" si="250"/>
        <v>0</v>
      </c>
      <c r="DH430" s="1136">
        <f t="shared" si="251"/>
        <v>0</v>
      </c>
      <c r="DI430" s="1136">
        <f t="shared" si="252"/>
        <v>0</v>
      </c>
      <c r="DJ430" s="1136">
        <f t="shared" si="253"/>
        <v>0</v>
      </c>
      <c r="DK430" s="1136">
        <f t="shared" si="254"/>
        <v>0</v>
      </c>
      <c r="DL430" s="1136">
        <f t="shared" si="255"/>
        <v>0</v>
      </c>
      <c r="DM430" s="1136">
        <f t="shared" si="256"/>
        <v>0</v>
      </c>
      <c r="DN430" s="1136">
        <f t="shared" si="257"/>
        <v>0</v>
      </c>
      <c r="DO430" s="1136">
        <f t="shared" si="258"/>
        <v>0</v>
      </c>
      <c r="DP430" s="1136">
        <f t="shared" si="259"/>
        <v>0</v>
      </c>
      <c r="DQ430" s="1136">
        <f t="shared" si="260"/>
        <v>0</v>
      </c>
      <c r="DR430" s="1136">
        <f t="shared" si="261"/>
        <v>0</v>
      </c>
      <c r="DS430" s="1136">
        <f t="shared" si="262"/>
        <v>0</v>
      </c>
      <c r="DT430" s="1136">
        <f t="shared" si="263"/>
        <v>0</v>
      </c>
      <c r="DU430" s="1136">
        <f t="shared" si="264"/>
        <v>0</v>
      </c>
      <c r="DV430" s="1136">
        <f t="shared" si="265"/>
        <v>0</v>
      </c>
      <c r="DW430" s="1136">
        <f t="shared" si="266"/>
        <v>0</v>
      </c>
      <c r="DX430" s="1136">
        <f t="shared" si="267"/>
        <v>0</v>
      </c>
      <c r="DY430" s="1136">
        <f t="shared" si="268"/>
        <v>0</v>
      </c>
      <c r="DZ430" s="1136">
        <f t="shared" si="269"/>
        <v>0</v>
      </c>
      <c r="EA430" s="1136">
        <f t="shared" si="270"/>
        <v>0</v>
      </c>
      <c r="EB430" s="1136">
        <f t="shared" si="271"/>
        <v>0</v>
      </c>
      <c r="EC430" s="1136">
        <f t="shared" si="272"/>
        <v>0</v>
      </c>
      <c r="ED430" s="1136">
        <f t="shared" si="273"/>
        <v>0</v>
      </c>
      <c r="EE430" s="1136">
        <f t="shared" si="274"/>
        <v>0</v>
      </c>
      <c r="EF430" s="1136">
        <f t="shared" si="275"/>
        <v>0</v>
      </c>
      <c r="EG430" s="1136">
        <f t="shared" si="276"/>
        <v>0</v>
      </c>
      <c r="EH430" s="1136">
        <f t="shared" si="277"/>
        <v>0</v>
      </c>
      <c r="EI430" s="1136">
        <f t="shared" si="278"/>
        <v>0</v>
      </c>
      <c r="EJ430" s="1136">
        <f t="shared" si="279"/>
        <v>0</v>
      </c>
      <c r="EK430" s="1136">
        <f t="shared" si="280"/>
        <v>0</v>
      </c>
      <c r="EL430" s="1136">
        <f t="shared" si="281"/>
        <v>0</v>
      </c>
      <c r="EM430" s="1136">
        <f t="shared" si="282"/>
        <v>0</v>
      </c>
      <c r="EN430" s="1300"/>
      <c r="EO430" s="1300"/>
      <c r="EP430" s="1300"/>
      <c r="EQ430" s="1300"/>
      <c r="ER430" s="1300"/>
      <c r="ES430" s="1300"/>
      <c r="ET430" s="1300"/>
    </row>
    <row r="431" spans="11:150" ht="12" customHeight="1" x14ac:dyDescent="0.35">
      <c r="K431" s="102">
        <v>11</v>
      </c>
      <c r="L431" s="415">
        <f>Input!D194</f>
        <v>0</v>
      </c>
      <c r="M431" s="416">
        <f>IF(Input!$F$183&gt;=$K431,Input!G194,0)</f>
        <v>0</v>
      </c>
      <c r="N431" s="1705">
        <f>Input!H194</f>
        <v>0</v>
      </c>
      <c r="O431" s="1705">
        <f>Input!I194</f>
        <v>0</v>
      </c>
      <c r="P431" s="1706">
        <f>Input!J194</f>
        <v>0</v>
      </c>
      <c r="Q431" s="102">
        <v>11</v>
      </c>
      <c r="R431" s="1702">
        <f t="shared" si="220"/>
        <v>0</v>
      </c>
      <c r="S431" s="1702">
        <f t="shared" si="221"/>
        <v>0</v>
      </c>
      <c r="T431" s="1302">
        <f>IFERROR(VLOOKUP(R431,Infrastructure!$D$70:$F$129,3,FALSE),0)</f>
        <v>1</v>
      </c>
      <c r="U431" s="1302">
        <f>IFERROR(VLOOKUP(S431,Infrastructure!$D$70:$F$129,3,FALSE),0)</f>
        <v>1</v>
      </c>
      <c r="V431" s="102"/>
      <c r="W431" s="1707">
        <f>IF(Input!$F$183&gt;=$K431,Input!M194,0)</f>
        <v>0</v>
      </c>
      <c r="X431" s="1708">
        <f>IF(Input!$F$183&gt;=$K431,Input!N194,0)</f>
        <v>0</v>
      </c>
      <c r="Y431" s="1708">
        <f>IF(Input!$F$183&gt;=$K431,Input!O194,0)</f>
        <v>0</v>
      </c>
      <c r="Z431" s="1708">
        <f>IF(Input!$F$183&gt;=$K431,Input!P194,0)</f>
        <v>0</v>
      </c>
      <c r="AA431" s="1708">
        <f>IF(Input!$F$183&gt;=$K431,Input!Q194,0)</f>
        <v>0</v>
      </c>
      <c r="AB431" s="1708">
        <f>IF(Input!$F$183&gt;=$K431,Input!R194,0)</f>
        <v>0</v>
      </c>
      <c r="AC431" s="1708">
        <f>IF(Input!$F$183&gt;=$K431,Input!S194,0)</f>
        <v>0</v>
      </c>
      <c r="AD431" s="1708">
        <f>IF(Input!$F$183&gt;=$K431,Input!T194,0)</f>
        <v>0</v>
      </c>
      <c r="AE431" s="1708">
        <f>IF(Input!$F$183&gt;=$K431,Input!U194,0)</f>
        <v>0</v>
      </c>
      <c r="AF431" s="1708">
        <f>IF(Input!$F$183&gt;=$K431,Input!V194,0)</f>
        <v>0</v>
      </c>
      <c r="AG431" s="1708">
        <f>IF(Input!$F$183&gt;=$K431,Input!W194,0)</f>
        <v>0</v>
      </c>
      <c r="AH431" s="1708">
        <f>IF(Input!$F$183&gt;=$K431,Input!X194,0)</f>
        <v>0</v>
      </c>
      <c r="AI431" s="1708">
        <f>IF(Input!$F$183&gt;=$K431,Input!Y194,0)</f>
        <v>0</v>
      </c>
      <c r="AJ431" s="1708">
        <f>IF(Input!$F$183&gt;=$K431,Input!Z194,0)</f>
        <v>0</v>
      </c>
      <c r="AK431" s="1708">
        <f>IF(Input!$F$183&gt;=$K431,Input!AA194,0)</f>
        <v>0</v>
      </c>
      <c r="AL431" s="1708">
        <f>IF(Input!$F$183&gt;=$K431,Input!AB194,0)</f>
        <v>0</v>
      </c>
      <c r="AM431" s="1708">
        <f>IF(Input!$F$183&gt;=$K431,Input!AC194,0)</f>
        <v>0</v>
      </c>
      <c r="AN431" s="1708">
        <f>IF(Input!$F$183&gt;=$K431,Input!AD194,0)</f>
        <v>0</v>
      </c>
      <c r="AO431" s="1708">
        <f>IF(Input!$F$183&gt;=$K431,Input!AE194,0)</f>
        <v>0</v>
      </c>
      <c r="AP431" s="1708">
        <f>IF(Input!$F$183&gt;=$K431,Input!AF194,0)</f>
        <v>0</v>
      </c>
      <c r="AQ431" s="1708">
        <f>IF(Input!$F$183&gt;=$K431,Input!AG194,0)</f>
        <v>0</v>
      </c>
      <c r="AR431" s="1708">
        <f>IF(Input!$F$183&gt;=$K431,Input!AH194,0)</f>
        <v>0</v>
      </c>
      <c r="AS431" s="1708">
        <f>IF(Input!$F$183&gt;=$K431,Input!AI194,0)</f>
        <v>0</v>
      </c>
      <c r="AT431" s="1708">
        <f>IF(Input!$F$183&gt;=$K431,Input!AJ194,0)</f>
        <v>0</v>
      </c>
      <c r="AU431" s="1708">
        <f>IF(Input!$F$183&gt;=$K431,Input!AK194,0)</f>
        <v>0</v>
      </c>
      <c r="AV431" s="1708">
        <f>IF(Input!$F$183&gt;=$K431,Input!AL194,0)</f>
        <v>0</v>
      </c>
      <c r="AW431" s="1708">
        <f>IF(Input!$F$183&gt;=$K431,Input!AM194,0)</f>
        <v>0</v>
      </c>
      <c r="AX431" s="1708">
        <f>IF(Input!$F$183&gt;=$K431,Input!AN194,0)</f>
        <v>0</v>
      </c>
      <c r="AY431" s="1708">
        <f>IF(Input!$F$183&gt;=$K431,Input!AO194,0)</f>
        <v>0</v>
      </c>
      <c r="AZ431" s="1708">
        <f>IF(Input!$F$183&gt;=$K431,Input!AP194,0)</f>
        <v>0</v>
      </c>
      <c r="BA431" s="1708">
        <f>IF(Input!$F$183&gt;=$K431,Input!AQ194,0)</f>
        <v>0</v>
      </c>
      <c r="BB431" s="1708">
        <f>IF(Input!$F$183&gt;=$K431,Input!AR194,0)</f>
        <v>0</v>
      </c>
      <c r="BC431" s="1708">
        <f>IF(Input!$F$183&gt;=$K431,Input!AS194,0)</f>
        <v>0</v>
      </c>
      <c r="BD431" s="1708">
        <f>IF(Input!$F$183&gt;=$K431,Input!AT194,0)</f>
        <v>0</v>
      </c>
      <c r="BE431" s="1708">
        <f>IF(Input!$F$183&gt;=$K431,Input!AU194,0)</f>
        <v>0</v>
      </c>
      <c r="BF431" s="1708">
        <f>IF(Input!$F$183&gt;=$K431,Input!AV194,0)</f>
        <v>0</v>
      </c>
      <c r="BG431" s="1708">
        <f>IF(Input!$F$183&gt;=$K431,Input!AW194,0)</f>
        <v>0</v>
      </c>
      <c r="BH431" s="1708">
        <f>IF(Input!$F$183&gt;=$K431,Input!AX194,0)</f>
        <v>0</v>
      </c>
      <c r="BI431" s="1708">
        <f>IF(Input!$F$183&gt;=$K431,Input!AY194,0)</f>
        <v>0</v>
      </c>
      <c r="BJ431" s="1708">
        <f>IF(Input!$F$183&gt;=$K431,Input!AZ194,0)</f>
        <v>0</v>
      </c>
      <c r="BK431" s="1708">
        <f>IF(Input!$F$183&gt;=$K431,Input!BA194,0)</f>
        <v>0</v>
      </c>
      <c r="BL431" s="1708">
        <f>IF(Input!$F$183&gt;=$K431,Input!BB194,0)</f>
        <v>0</v>
      </c>
      <c r="BM431" s="1708">
        <f>IF(Input!$F$183&gt;=$K431,Input!BC194,0)</f>
        <v>0</v>
      </c>
      <c r="BN431" s="1708">
        <f>IF(Input!$F$183&gt;=$K431,Input!BD194,0)</f>
        <v>0</v>
      </c>
      <c r="BO431" s="1708">
        <f>IF(Input!$F$183&gt;=$K431,Input!BE194,0)</f>
        <v>0</v>
      </c>
      <c r="BP431" s="1708">
        <f>IF(Input!$F$183&gt;=$K431,Input!BF194,0)</f>
        <v>0</v>
      </c>
      <c r="BQ431" s="1708">
        <f>IF(Input!$F$183&gt;=$K431,Input!BG194,0)</f>
        <v>0</v>
      </c>
      <c r="BR431" s="1708">
        <f>IF(Input!$F$183&gt;=$K431,Input!BH194,0)</f>
        <v>0</v>
      </c>
      <c r="BS431" s="1708">
        <f>IF(Input!$F$183&gt;=$K431,Input!BI194,0)</f>
        <v>0</v>
      </c>
      <c r="BT431" s="1708">
        <f>IF(Input!$F$183&gt;=$K431,Input!BJ194,0)</f>
        <v>0</v>
      </c>
      <c r="BU431" s="1708">
        <f>IF(Input!$F$183&gt;=$K431,Input!BK194,0)</f>
        <v>0</v>
      </c>
      <c r="BV431" s="1708">
        <f>IF(Input!$F$183&gt;=$K431,Input!BL194,0)</f>
        <v>0</v>
      </c>
      <c r="BW431" s="1708">
        <f>IF(Input!$F$183&gt;=$K431,Input!BM194,0)</f>
        <v>0</v>
      </c>
      <c r="BX431" s="92">
        <f>IF(Input!$F$183&gt;=$K431,Input!BN194,0)</f>
        <v>0</v>
      </c>
      <c r="BY431" s="92">
        <f>IF(Input!$F$183&gt;=$K431,Input!BO194,0)</f>
        <v>0</v>
      </c>
      <c r="BZ431" s="92">
        <f>IF(Input!$F$183&gt;=$K431,Input!BP194,0)</f>
        <v>0</v>
      </c>
      <c r="CA431" s="92">
        <f>IF(Input!$F$183&gt;=$K431,Input!BQ194,0)</f>
        <v>0</v>
      </c>
      <c r="CB431" s="92">
        <f>IF(Input!$F$183&gt;=$K431,Input!BR194,0)</f>
        <v>0</v>
      </c>
      <c r="CC431" s="92">
        <f>IF(Input!$F$183&gt;=$K431,Input!BS194,0)</f>
        <v>0</v>
      </c>
      <c r="CD431" s="275">
        <f>IF(Input!$F$183&gt;=$K431,Input!BT194,0)</f>
        <v>0</v>
      </c>
      <c r="CE431" s="69">
        <f t="shared" si="222"/>
        <v>0</v>
      </c>
      <c r="CF431" s="1136">
        <f t="shared" si="223"/>
        <v>0</v>
      </c>
      <c r="CG431" s="1136">
        <f t="shared" si="224"/>
        <v>0</v>
      </c>
      <c r="CH431" s="1136">
        <f t="shared" si="225"/>
        <v>0</v>
      </c>
      <c r="CI431" s="1136">
        <f t="shared" si="226"/>
        <v>0</v>
      </c>
      <c r="CJ431" s="1136">
        <f t="shared" si="227"/>
        <v>0</v>
      </c>
      <c r="CK431" s="1136">
        <f t="shared" si="228"/>
        <v>0</v>
      </c>
      <c r="CL431" s="1136">
        <f t="shared" si="229"/>
        <v>0</v>
      </c>
      <c r="CM431" s="1136">
        <f t="shared" si="230"/>
        <v>0</v>
      </c>
      <c r="CN431" s="1136">
        <f t="shared" si="231"/>
        <v>0</v>
      </c>
      <c r="CO431" s="1136">
        <f t="shared" si="232"/>
        <v>0</v>
      </c>
      <c r="CP431" s="1136">
        <f t="shared" si="233"/>
        <v>0</v>
      </c>
      <c r="CQ431" s="1136">
        <f t="shared" si="234"/>
        <v>0</v>
      </c>
      <c r="CR431" s="1136">
        <f t="shared" si="235"/>
        <v>0</v>
      </c>
      <c r="CS431" s="1136">
        <f t="shared" si="236"/>
        <v>0</v>
      </c>
      <c r="CT431" s="1136">
        <f t="shared" si="237"/>
        <v>0</v>
      </c>
      <c r="CU431" s="1136">
        <f t="shared" si="238"/>
        <v>0</v>
      </c>
      <c r="CV431" s="1136">
        <f t="shared" si="239"/>
        <v>0</v>
      </c>
      <c r="CW431" s="1136">
        <f t="shared" si="240"/>
        <v>0</v>
      </c>
      <c r="CX431" s="1136">
        <f t="shared" si="241"/>
        <v>0</v>
      </c>
      <c r="CY431" s="1136">
        <f t="shared" si="242"/>
        <v>0</v>
      </c>
      <c r="CZ431" s="1136">
        <f t="shared" si="243"/>
        <v>0</v>
      </c>
      <c r="DA431" s="1136">
        <f t="shared" si="244"/>
        <v>0</v>
      </c>
      <c r="DB431" s="1136">
        <f t="shared" si="245"/>
        <v>0</v>
      </c>
      <c r="DC431" s="1136">
        <f t="shared" si="246"/>
        <v>0</v>
      </c>
      <c r="DD431" s="1136">
        <f t="shared" si="247"/>
        <v>0</v>
      </c>
      <c r="DE431" s="1136">
        <f t="shared" si="248"/>
        <v>0</v>
      </c>
      <c r="DF431" s="1136">
        <f t="shared" si="249"/>
        <v>0</v>
      </c>
      <c r="DG431" s="1136">
        <f t="shared" si="250"/>
        <v>0</v>
      </c>
      <c r="DH431" s="1136">
        <f t="shared" si="251"/>
        <v>0</v>
      </c>
      <c r="DI431" s="1136">
        <f t="shared" si="252"/>
        <v>0</v>
      </c>
      <c r="DJ431" s="1136">
        <f t="shared" si="253"/>
        <v>0</v>
      </c>
      <c r="DK431" s="1136">
        <f t="shared" si="254"/>
        <v>0</v>
      </c>
      <c r="DL431" s="1136">
        <f t="shared" si="255"/>
        <v>0</v>
      </c>
      <c r="DM431" s="1136">
        <f t="shared" si="256"/>
        <v>0</v>
      </c>
      <c r="DN431" s="1136">
        <f t="shared" si="257"/>
        <v>0</v>
      </c>
      <c r="DO431" s="1136">
        <f t="shared" si="258"/>
        <v>0</v>
      </c>
      <c r="DP431" s="1136">
        <f t="shared" si="259"/>
        <v>0</v>
      </c>
      <c r="DQ431" s="1136">
        <f t="shared" si="260"/>
        <v>0</v>
      </c>
      <c r="DR431" s="1136">
        <f t="shared" si="261"/>
        <v>0</v>
      </c>
      <c r="DS431" s="1136">
        <f t="shared" si="262"/>
        <v>0</v>
      </c>
      <c r="DT431" s="1136">
        <f t="shared" si="263"/>
        <v>0</v>
      </c>
      <c r="DU431" s="1136">
        <f t="shared" si="264"/>
        <v>0</v>
      </c>
      <c r="DV431" s="1136">
        <f t="shared" si="265"/>
        <v>0</v>
      </c>
      <c r="DW431" s="1136">
        <f t="shared" si="266"/>
        <v>0</v>
      </c>
      <c r="DX431" s="1136">
        <f t="shared" si="267"/>
        <v>0</v>
      </c>
      <c r="DY431" s="1136">
        <f t="shared" si="268"/>
        <v>0</v>
      </c>
      <c r="DZ431" s="1136">
        <f t="shared" si="269"/>
        <v>0</v>
      </c>
      <c r="EA431" s="1136">
        <f t="shared" si="270"/>
        <v>0</v>
      </c>
      <c r="EB431" s="1136">
        <f t="shared" si="271"/>
        <v>0</v>
      </c>
      <c r="EC431" s="1136">
        <f t="shared" si="272"/>
        <v>0</v>
      </c>
      <c r="ED431" s="1136">
        <f t="shared" si="273"/>
        <v>0</v>
      </c>
      <c r="EE431" s="1136">
        <f t="shared" si="274"/>
        <v>0</v>
      </c>
      <c r="EF431" s="1136">
        <f t="shared" si="275"/>
        <v>0</v>
      </c>
      <c r="EG431" s="1136">
        <f t="shared" si="276"/>
        <v>0</v>
      </c>
      <c r="EH431" s="1136">
        <f t="shared" si="277"/>
        <v>0</v>
      </c>
      <c r="EI431" s="1136">
        <f t="shared" si="278"/>
        <v>0</v>
      </c>
      <c r="EJ431" s="1136">
        <f t="shared" si="279"/>
        <v>0</v>
      </c>
      <c r="EK431" s="1136">
        <f t="shared" si="280"/>
        <v>0</v>
      </c>
      <c r="EL431" s="1136">
        <f t="shared" si="281"/>
        <v>0</v>
      </c>
      <c r="EM431" s="1136">
        <f t="shared" si="282"/>
        <v>0</v>
      </c>
      <c r="EN431" s="1300"/>
      <c r="EO431" s="1300"/>
      <c r="EP431" s="1300"/>
      <c r="EQ431" s="1300"/>
      <c r="ER431" s="1300"/>
      <c r="ES431" s="1300"/>
      <c r="ET431" s="1300"/>
    </row>
    <row r="432" spans="11:150" ht="12" customHeight="1" x14ac:dyDescent="0.35">
      <c r="K432" s="102">
        <v>12</v>
      </c>
      <c r="L432" s="415">
        <f>Input!D195</f>
        <v>0</v>
      </c>
      <c r="M432" s="416">
        <f>IF(Input!$F$183&gt;=$K432,Input!G195,0)</f>
        <v>0</v>
      </c>
      <c r="N432" s="1705">
        <f>Input!H195</f>
        <v>0</v>
      </c>
      <c r="O432" s="1705">
        <f>Input!I195</f>
        <v>0</v>
      </c>
      <c r="P432" s="1706">
        <f>Input!J195</f>
        <v>0</v>
      </c>
      <c r="Q432" s="102">
        <v>12</v>
      </c>
      <c r="R432" s="1702">
        <f t="shared" si="220"/>
        <v>0</v>
      </c>
      <c r="S432" s="1702">
        <f t="shared" si="221"/>
        <v>0</v>
      </c>
      <c r="T432" s="1302">
        <f>IFERROR(VLOOKUP(R432,Infrastructure!$D$70:$F$129,3,FALSE),0)</f>
        <v>1</v>
      </c>
      <c r="U432" s="1302">
        <f>IFERROR(VLOOKUP(S432,Infrastructure!$D$70:$F$129,3,FALSE),0)</f>
        <v>1</v>
      </c>
      <c r="V432" s="102"/>
      <c r="W432" s="1707">
        <f>IF(Input!$F$183&gt;=$K432,Input!M195,0)</f>
        <v>0</v>
      </c>
      <c r="X432" s="1708">
        <f>IF(Input!$F$183&gt;=$K432,Input!N195,0)</f>
        <v>0</v>
      </c>
      <c r="Y432" s="1708">
        <f>IF(Input!$F$183&gt;=$K432,Input!O195,0)</f>
        <v>0</v>
      </c>
      <c r="Z432" s="1708">
        <f>IF(Input!$F$183&gt;=$K432,Input!P195,0)</f>
        <v>0</v>
      </c>
      <c r="AA432" s="1708">
        <f>IF(Input!$F$183&gt;=$K432,Input!Q195,0)</f>
        <v>0</v>
      </c>
      <c r="AB432" s="1708">
        <f>IF(Input!$F$183&gt;=$K432,Input!R195,0)</f>
        <v>0</v>
      </c>
      <c r="AC432" s="1708">
        <f>IF(Input!$F$183&gt;=$K432,Input!S195,0)</f>
        <v>0</v>
      </c>
      <c r="AD432" s="1708">
        <f>IF(Input!$F$183&gt;=$K432,Input!T195,0)</f>
        <v>0</v>
      </c>
      <c r="AE432" s="1708">
        <f>IF(Input!$F$183&gt;=$K432,Input!U195,0)</f>
        <v>0</v>
      </c>
      <c r="AF432" s="1708">
        <f>IF(Input!$F$183&gt;=$K432,Input!V195,0)</f>
        <v>0</v>
      </c>
      <c r="AG432" s="1708">
        <f>IF(Input!$F$183&gt;=$K432,Input!W195,0)</f>
        <v>0</v>
      </c>
      <c r="AH432" s="1708">
        <f>IF(Input!$F$183&gt;=$K432,Input!X195,0)</f>
        <v>0</v>
      </c>
      <c r="AI432" s="1708">
        <f>IF(Input!$F$183&gt;=$K432,Input!Y195,0)</f>
        <v>0</v>
      </c>
      <c r="AJ432" s="1708">
        <f>IF(Input!$F$183&gt;=$K432,Input!Z195,0)</f>
        <v>0</v>
      </c>
      <c r="AK432" s="1708">
        <f>IF(Input!$F$183&gt;=$K432,Input!AA195,0)</f>
        <v>0</v>
      </c>
      <c r="AL432" s="1708">
        <f>IF(Input!$F$183&gt;=$K432,Input!AB195,0)</f>
        <v>0</v>
      </c>
      <c r="AM432" s="1708">
        <f>IF(Input!$F$183&gt;=$K432,Input!AC195,0)</f>
        <v>0</v>
      </c>
      <c r="AN432" s="1708">
        <f>IF(Input!$F$183&gt;=$K432,Input!AD195,0)</f>
        <v>0</v>
      </c>
      <c r="AO432" s="1708">
        <f>IF(Input!$F$183&gt;=$K432,Input!AE195,0)</f>
        <v>0</v>
      </c>
      <c r="AP432" s="1708">
        <f>IF(Input!$F$183&gt;=$K432,Input!AF195,0)</f>
        <v>0</v>
      </c>
      <c r="AQ432" s="1708">
        <f>IF(Input!$F$183&gt;=$K432,Input!AG195,0)</f>
        <v>0</v>
      </c>
      <c r="AR432" s="1708">
        <f>IF(Input!$F$183&gt;=$K432,Input!AH195,0)</f>
        <v>0</v>
      </c>
      <c r="AS432" s="1708">
        <f>IF(Input!$F$183&gt;=$K432,Input!AI195,0)</f>
        <v>0</v>
      </c>
      <c r="AT432" s="1708">
        <f>IF(Input!$F$183&gt;=$K432,Input!AJ195,0)</f>
        <v>0</v>
      </c>
      <c r="AU432" s="1708">
        <f>IF(Input!$F$183&gt;=$K432,Input!AK195,0)</f>
        <v>0</v>
      </c>
      <c r="AV432" s="1708">
        <f>IF(Input!$F$183&gt;=$K432,Input!AL195,0)</f>
        <v>0</v>
      </c>
      <c r="AW432" s="1708">
        <f>IF(Input!$F$183&gt;=$K432,Input!AM195,0)</f>
        <v>0</v>
      </c>
      <c r="AX432" s="1708">
        <f>IF(Input!$F$183&gt;=$K432,Input!AN195,0)</f>
        <v>0</v>
      </c>
      <c r="AY432" s="1708">
        <f>IF(Input!$F$183&gt;=$K432,Input!AO195,0)</f>
        <v>0</v>
      </c>
      <c r="AZ432" s="1708">
        <f>IF(Input!$F$183&gt;=$K432,Input!AP195,0)</f>
        <v>0</v>
      </c>
      <c r="BA432" s="1708">
        <f>IF(Input!$F$183&gt;=$K432,Input!AQ195,0)</f>
        <v>0</v>
      </c>
      <c r="BB432" s="1708">
        <f>IF(Input!$F$183&gt;=$K432,Input!AR195,0)</f>
        <v>0</v>
      </c>
      <c r="BC432" s="1708">
        <f>IF(Input!$F$183&gt;=$K432,Input!AS195,0)</f>
        <v>0</v>
      </c>
      <c r="BD432" s="1708">
        <f>IF(Input!$F$183&gt;=$K432,Input!AT195,0)</f>
        <v>0</v>
      </c>
      <c r="BE432" s="1708">
        <f>IF(Input!$F$183&gt;=$K432,Input!AU195,0)</f>
        <v>0</v>
      </c>
      <c r="BF432" s="1708">
        <f>IF(Input!$F$183&gt;=$K432,Input!AV195,0)</f>
        <v>0</v>
      </c>
      <c r="BG432" s="1708">
        <f>IF(Input!$F$183&gt;=$K432,Input!AW195,0)</f>
        <v>0</v>
      </c>
      <c r="BH432" s="1708">
        <f>IF(Input!$F$183&gt;=$K432,Input!AX195,0)</f>
        <v>0</v>
      </c>
      <c r="BI432" s="1708">
        <f>IF(Input!$F$183&gt;=$K432,Input!AY195,0)</f>
        <v>0</v>
      </c>
      <c r="BJ432" s="1708">
        <f>IF(Input!$F$183&gt;=$K432,Input!AZ195,0)</f>
        <v>0</v>
      </c>
      <c r="BK432" s="1708">
        <f>IF(Input!$F$183&gt;=$K432,Input!BA195,0)</f>
        <v>0</v>
      </c>
      <c r="BL432" s="1708">
        <f>IF(Input!$F$183&gt;=$K432,Input!BB195,0)</f>
        <v>0</v>
      </c>
      <c r="BM432" s="1708">
        <f>IF(Input!$F$183&gt;=$K432,Input!BC195,0)</f>
        <v>0</v>
      </c>
      <c r="BN432" s="1708">
        <f>IF(Input!$F$183&gt;=$K432,Input!BD195,0)</f>
        <v>0</v>
      </c>
      <c r="BO432" s="1708">
        <f>IF(Input!$F$183&gt;=$K432,Input!BE195,0)</f>
        <v>0</v>
      </c>
      <c r="BP432" s="1708">
        <f>IF(Input!$F$183&gt;=$K432,Input!BF195,0)</f>
        <v>0</v>
      </c>
      <c r="BQ432" s="1708">
        <f>IF(Input!$F$183&gt;=$K432,Input!BG195,0)</f>
        <v>0</v>
      </c>
      <c r="BR432" s="1708">
        <f>IF(Input!$F$183&gt;=$K432,Input!BH195,0)</f>
        <v>0</v>
      </c>
      <c r="BS432" s="1708">
        <f>IF(Input!$F$183&gt;=$K432,Input!BI195,0)</f>
        <v>0</v>
      </c>
      <c r="BT432" s="1708">
        <f>IF(Input!$F$183&gt;=$K432,Input!BJ195,0)</f>
        <v>0</v>
      </c>
      <c r="BU432" s="1708">
        <f>IF(Input!$F$183&gt;=$K432,Input!BK195,0)</f>
        <v>0</v>
      </c>
      <c r="BV432" s="1708">
        <f>IF(Input!$F$183&gt;=$K432,Input!BL195,0)</f>
        <v>0</v>
      </c>
      <c r="BW432" s="1708">
        <f>IF(Input!$F$183&gt;=$K432,Input!BM195,0)</f>
        <v>0</v>
      </c>
      <c r="BX432" s="92">
        <f>IF(Input!$F$183&gt;=$K432,Input!BN195,0)</f>
        <v>0</v>
      </c>
      <c r="BY432" s="92">
        <f>IF(Input!$F$183&gt;=$K432,Input!BO195,0)</f>
        <v>0</v>
      </c>
      <c r="BZ432" s="92">
        <f>IF(Input!$F$183&gt;=$K432,Input!BP195,0)</f>
        <v>0</v>
      </c>
      <c r="CA432" s="92">
        <f>IF(Input!$F$183&gt;=$K432,Input!BQ195,0)</f>
        <v>0</v>
      </c>
      <c r="CB432" s="92">
        <f>IF(Input!$F$183&gt;=$K432,Input!BR195,0)</f>
        <v>0</v>
      </c>
      <c r="CC432" s="92">
        <f>IF(Input!$F$183&gt;=$K432,Input!BS195,0)</f>
        <v>0</v>
      </c>
      <c r="CD432" s="275">
        <f>IF(Input!$F$183&gt;=$K432,Input!BT195,0)</f>
        <v>0</v>
      </c>
      <c r="CE432" s="69">
        <f t="shared" si="222"/>
        <v>0</v>
      </c>
      <c r="CF432" s="1136">
        <f t="shared" si="223"/>
        <v>0</v>
      </c>
      <c r="CG432" s="1136">
        <f t="shared" si="224"/>
        <v>0</v>
      </c>
      <c r="CH432" s="1136">
        <f t="shared" si="225"/>
        <v>0</v>
      </c>
      <c r="CI432" s="1136">
        <f t="shared" si="226"/>
        <v>0</v>
      </c>
      <c r="CJ432" s="1136">
        <f t="shared" si="227"/>
        <v>0</v>
      </c>
      <c r="CK432" s="1136">
        <f t="shared" si="228"/>
        <v>0</v>
      </c>
      <c r="CL432" s="1136">
        <f t="shared" si="229"/>
        <v>0</v>
      </c>
      <c r="CM432" s="1136">
        <f t="shared" si="230"/>
        <v>0</v>
      </c>
      <c r="CN432" s="1136">
        <f t="shared" si="231"/>
        <v>0</v>
      </c>
      <c r="CO432" s="1136">
        <f t="shared" si="232"/>
        <v>0</v>
      </c>
      <c r="CP432" s="1136">
        <f t="shared" si="233"/>
        <v>0</v>
      </c>
      <c r="CQ432" s="1136">
        <f t="shared" si="234"/>
        <v>0</v>
      </c>
      <c r="CR432" s="1136">
        <f t="shared" si="235"/>
        <v>0</v>
      </c>
      <c r="CS432" s="1136">
        <f t="shared" si="236"/>
        <v>0</v>
      </c>
      <c r="CT432" s="1136">
        <f t="shared" si="237"/>
        <v>0</v>
      </c>
      <c r="CU432" s="1136">
        <f t="shared" si="238"/>
        <v>0</v>
      </c>
      <c r="CV432" s="1136">
        <f t="shared" si="239"/>
        <v>0</v>
      </c>
      <c r="CW432" s="1136">
        <f t="shared" si="240"/>
        <v>0</v>
      </c>
      <c r="CX432" s="1136">
        <f t="shared" si="241"/>
        <v>0</v>
      </c>
      <c r="CY432" s="1136">
        <f t="shared" si="242"/>
        <v>0</v>
      </c>
      <c r="CZ432" s="1136">
        <f t="shared" si="243"/>
        <v>0</v>
      </c>
      <c r="DA432" s="1136">
        <f t="shared" si="244"/>
        <v>0</v>
      </c>
      <c r="DB432" s="1136">
        <f t="shared" si="245"/>
        <v>0</v>
      </c>
      <c r="DC432" s="1136">
        <f t="shared" si="246"/>
        <v>0</v>
      </c>
      <c r="DD432" s="1136">
        <f t="shared" si="247"/>
        <v>0</v>
      </c>
      <c r="DE432" s="1136">
        <f t="shared" si="248"/>
        <v>0</v>
      </c>
      <c r="DF432" s="1136">
        <f t="shared" si="249"/>
        <v>0</v>
      </c>
      <c r="DG432" s="1136">
        <f t="shared" si="250"/>
        <v>0</v>
      </c>
      <c r="DH432" s="1136">
        <f t="shared" si="251"/>
        <v>0</v>
      </c>
      <c r="DI432" s="1136">
        <f t="shared" si="252"/>
        <v>0</v>
      </c>
      <c r="DJ432" s="1136">
        <f t="shared" si="253"/>
        <v>0</v>
      </c>
      <c r="DK432" s="1136">
        <f t="shared" si="254"/>
        <v>0</v>
      </c>
      <c r="DL432" s="1136">
        <f t="shared" si="255"/>
        <v>0</v>
      </c>
      <c r="DM432" s="1136">
        <f t="shared" si="256"/>
        <v>0</v>
      </c>
      <c r="DN432" s="1136">
        <f t="shared" si="257"/>
        <v>0</v>
      </c>
      <c r="DO432" s="1136">
        <f t="shared" si="258"/>
        <v>0</v>
      </c>
      <c r="DP432" s="1136">
        <f t="shared" si="259"/>
        <v>0</v>
      </c>
      <c r="DQ432" s="1136">
        <f t="shared" si="260"/>
        <v>0</v>
      </c>
      <c r="DR432" s="1136">
        <f t="shared" si="261"/>
        <v>0</v>
      </c>
      <c r="DS432" s="1136">
        <f t="shared" si="262"/>
        <v>0</v>
      </c>
      <c r="DT432" s="1136">
        <f t="shared" si="263"/>
        <v>0</v>
      </c>
      <c r="DU432" s="1136">
        <f t="shared" si="264"/>
        <v>0</v>
      </c>
      <c r="DV432" s="1136">
        <f t="shared" si="265"/>
        <v>0</v>
      </c>
      <c r="DW432" s="1136">
        <f t="shared" si="266"/>
        <v>0</v>
      </c>
      <c r="DX432" s="1136">
        <f t="shared" si="267"/>
        <v>0</v>
      </c>
      <c r="DY432" s="1136">
        <f t="shared" si="268"/>
        <v>0</v>
      </c>
      <c r="DZ432" s="1136">
        <f t="shared" si="269"/>
        <v>0</v>
      </c>
      <c r="EA432" s="1136">
        <f t="shared" si="270"/>
        <v>0</v>
      </c>
      <c r="EB432" s="1136">
        <f t="shared" si="271"/>
        <v>0</v>
      </c>
      <c r="EC432" s="1136">
        <f t="shared" si="272"/>
        <v>0</v>
      </c>
      <c r="ED432" s="1136">
        <f t="shared" si="273"/>
        <v>0</v>
      </c>
      <c r="EE432" s="1136">
        <f t="shared" si="274"/>
        <v>0</v>
      </c>
      <c r="EF432" s="1136">
        <f t="shared" si="275"/>
        <v>0</v>
      </c>
      <c r="EG432" s="1136">
        <f t="shared" si="276"/>
        <v>0</v>
      </c>
      <c r="EH432" s="1136">
        <f t="shared" si="277"/>
        <v>0</v>
      </c>
      <c r="EI432" s="1136">
        <f t="shared" si="278"/>
        <v>0</v>
      </c>
      <c r="EJ432" s="1136">
        <f t="shared" si="279"/>
        <v>0</v>
      </c>
      <c r="EK432" s="1136">
        <f t="shared" si="280"/>
        <v>0</v>
      </c>
      <c r="EL432" s="1136">
        <f t="shared" si="281"/>
        <v>0</v>
      </c>
      <c r="EM432" s="1136">
        <f t="shared" si="282"/>
        <v>0</v>
      </c>
      <c r="EN432" s="1300"/>
      <c r="EO432" s="1300"/>
      <c r="EP432" s="1300"/>
      <c r="EQ432" s="1300"/>
      <c r="ER432" s="1300"/>
      <c r="ES432" s="1300"/>
      <c r="ET432" s="1300"/>
    </row>
    <row r="433" spans="11:143" ht="12" customHeight="1" x14ac:dyDescent="0.35">
      <c r="K433" s="102">
        <v>13</v>
      </c>
      <c r="L433" s="415">
        <f>Input!D196</f>
        <v>0</v>
      </c>
      <c r="M433" s="416">
        <f>IF(Input!$F$183&gt;=$K433,Input!G196,0)</f>
        <v>0</v>
      </c>
      <c r="N433" s="1705">
        <f>Input!H196</f>
        <v>0</v>
      </c>
      <c r="O433" s="1705">
        <f>Input!I196</f>
        <v>0</v>
      </c>
      <c r="P433" s="1706">
        <f>Input!J196</f>
        <v>0</v>
      </c>
      <c r="Q433" s="102">
        <v>13</v>
      </c>
      <c r="R433" s="1702">
        <f t="shared" si="220"/>
        <v>0</v>
      </c>
      <c r="S433" s="1702">
        <f t="shared" si="221"/>
        <v>0</v>
      </c>
      <c r="T433" s="1302">
        <f>IFERROR(VLOOKUP(R433,Infrastructure!$D$70:$F$129,3,FALSE),0)</f>
        <v>1</v>
      </c>
      <c r="U433" s="1302">
        <f>IFERROR(VLOOKUP(S433,Infrastructure!$D$70:$F$129,3,FALSE),0)</f>
        <v>1</v>
      </c>
      <c r="V433" s="102"/>
      <c r="W433" s="1707">
        <f>IF(Input!$F$183&gt;=$K433,Input!M196,0)</f>
        <v>0</v>
      </c>
      <c r="X433" s="1708">
        <f>IF(Input!$F$183&gt;=$K433,Input!N196,0)</f>
        <v>0</v>
      </c>
      <c r="Y433" s="1708">
        <f>IF(Input!$F$183&gt;=$K433,Input!O196,0)</f>
        <v>0</v>
      </c>
      <c r="Z433" s="1708">
        <f>IF(Input!$F$183&gt;=$K433,Input!P196,0)</f>
        <v>0</v>
      </c>
      <c r="AA433" s="1708">
        <f>IF(Input!$F$183&gt;=$K433,Input!Q196,0)</f>
        <v>0</v>
      </c>
      <c r="AB433" s="1708">
        <f>IF(Input!$F$183&gt;=$K433,Input!R196,0)</f>
        <v>0</v>
      </c>
      <c r="AC433" s="1708">
        <f>IF(Input!$F$183&gt;=$K433,Input!S196,0)</f>
        <v>0</v>
      </c>
      <c r="AD433" s="1708">
        <f>IF(Input!$F$183&gt;=$K433,Input!T196,0)</f>
        <v>0</v>
      </c>
      <c r="AE433" s="1708">
        <f>IF(Input!$F$183&gt;=$K433,Input!U196,0)</f>
        <v>0</v>
      </c>
      <c r="AF433" s="1708">
        <f>IF(Input!$F$183&gt;=$K433,Input!V196,0)</f>
        <v>0</v>
      </c>
      <c r="AG433" s="1708">
        <f>IF(Input!$F$183&gt;=$K433,Input!W196,0)</f>
        <v>0</v>
      </c>
      <c r="AH433" s="1708">
        <f>IF(Input!$F$183&gt;=$K433,Input!X196,0)</f>
        <v>0</v>
      </c>
      <c r="AI433" s="1708">
        <f>IF(Input!$F$183&gt;=$K433,Input!Y196,0)</f>
        <v>0</v>
      </c>
      <c r="AJ433" s="1708">
        <f>IF(Input!$F$183&gt;=$K433,Input!Z196,0)</f>
        <v>0</v>
      </c>
      <c r="AK433" s="1708">
        <f>IF(Input!$F$183&gt;=$K433,Input!AA196,0)</f>
        <v>0</v>
      </c>
      <c r="AL433" s="1708">
        <f>IF(Input!$F$183&gt;=$K433,Input!AB196,0)</f>
        <v>0</v>
      </c>
      <c r="AM433" s="1708">
        <f>IF(Input!$F$183&gt;=$K433,Input!AC196,0)</f>
        <v>0</v>
      </c>
      <c r="AN433" s="1708">
        <f>IF(Input!$F$183&gt;=$K433,Input!AD196,0)</f>
        <v>0</v>
      </c>
      <c r="AO433" s="1708">
        <f>IF(Input!$F$183&gt;=$K433,Input!AE196,0)</f>
        <v>0</v>
      </c>
      <c r="AP433" s="1708">
        <f>IF(Input!$F$183&gt;=$K433,Input!AF196,0)</f>
        <v>0</v>
      </c>
      <c r="AQ433" s="1708">
        <f>IF(Input!$F$183&gt;=$K433,Input!AG196,0)</f>
        <v>0</v>
      </c>
      <c r="AR433" s="1708">
        <f>IF(Input!$F$183&gt;=$K433,Input!AH196,0)</f>
        <v>0</v>
      </c>
      <c r="AS433" s="1708">
        <f>IF(Input!$F$183&gt;=$K433,Input!AI196,0)</f>
        <v>0</v>
      </c>
      <c r="AT433" s="1708">
        <f>IF(Input!$F$183&gt;=$K433,Input!AJ196,0)</f>
        <v>0</v>
      </c>
      <c r="AU433" s="1708">
        <f>IF(Input!$F$183&gt;=$K433,Input!AK196,0)</f>
        <v>0</v>
      </c>
      <c r="AV433" s="1708">
        <f>IF(Input!$F$183&gt;=$K433,Input!AL196,0)</f>
        <v>0</v>
      </c>
      <c r="AW433" s="1708">
        <f>IF(Input!$F$183&gt;=$K433,Input!AM196,0)</f>
        <v>0</v>
      </c>
      <c r="AX433" s="1708">
        <f>IF(Input!$F$183&gt;=$K433,Input!AN196,0)</f>
        <v>0</v>
      </c>
      <c r="AY433" s="1708">
        <f>IF(Input!$F$183&gt;=$K433,Input!AO196,0)</f>
        <v>0</v>
      </c>
      <c r="AZ433" s="1708">
        <f>IF(Input!$F$183&gt;=$K433,Input!AP196,0)</f>
        <v>0</v>
      </c>
      <c r="BA433" s="1708">
        <f>IF(Input!$F$183&gt;=$K433,Input!AQ196,0)</f>
        <v>0</v>
      </c>
      <c r="BB433" s="1708">
        <f>IF(Input!$F$183&gt;=$K433,Input!AR196,0)</f>
        <v>0</v>
      </c>
      <c r="BC433" s="1708">
        <f>IF(Input!$F$183&gt;=$K433,Input!AS196,0)</f>
        <v>0</v>
      </c>
      <c r="BD433" s="1708">
        <f>IF(Input!$F$183&gt;=$K433,Input!AT196,0)</f>
        <v>0</v>
      </c>
      <c r="BE433" s="1708">
        <f>IF(Input!$F$183&gt;=$K433,Input!AU196,0)</f>
        <v>0</v>
      </c>
      <c r="BF433" s="1708">
        <f>IF(Input!$F$183&gt;=$K433,Input!AV196,0)</f>
        <v>0</v>
      </c>
      <c r="BG433" s="1708">
        <f>IF(Input!$F$183&gt;=$K433,Input!AW196,0)</f>
        <v>0</v>
      </c>
      <c r="BH433" s="1708">
        <f>IF(Input!$F$183&gt;=$K433,Input!AX196,0)</f>
        <v>0</v>
      </c>
      <c r="BI433" s="1708">
        <f>IF(Input!$F$183&gt;=$K433,Input!AY196,0)</f>
        <v>0</v>
      </c>
      <c r="BJ433" s="1708">
        <f>IF(Input!$F$183&gt;=$K433,Input!AZ196,0)</f>
        <v>0</v>
      </c>
      <c r="BK433" s="1708">
        <f>IF(Input!$F$183&gt;=$K433,Input!BA196,0)</f>
        <v>0</v>
      </c>
      <c r="BL433" s="1708">
        <f>IF(Input!$F$183&gt;=$K433,Input!BB196,0)</f>
        <v>0</v>
      </c>
      <c r="BM433" s="1708">
        <f>IF(Input!$F$183&gt;=$K433,Input!BC196,0)</f>
        <v>0</v>
      </c>
      <c r="BN433" s="1708">
        <f>IF(Input!$F$183&gt;=$K433,Input!BD196,0)</f>
        <v>0</v>
      </c>
      <c r="BO433" s="1708">
        <f>IF(Input!$F$183&gt;=$K433,Input!BE196,0)</f>
        <v>0</v>
      </c>
      <c r="BP433" s="1708">
        <f>IF(Input!$F$183&gt;=$K433,Input!BF196,0)</f>
        <v>0</v>
      </c>
      <c r="BQ433" s="1708">
        <f>IF(Input!$F$183&gt;=$K433,Input!BG196,0)</f>
        <v>0</v>
      </c>
      <c r="BR433" s="1708">
        <f>IF(Input!$F$183&gt;=$K433,Input!BH196,0)</f>
        <v>0</v>
      </c>
      <c r="BS433" s="1708">
        <f>IF(Input!$F$183&gt;=$K433,Input!BI196,0)</f>
        <v>0</v>
      </c>
      <c r="BT433" s="1708">
        <f>IF(Input!$F$183&gt;=$K433,Input!BJ196,0)</f>
        <v>0</v>
      </c>
      <c r="BU433" s="1708">
        <f>IF(Input!$F$183&gt;=$K433,Input!BK196,0)</f>
        <v>0</v>
      </c>
      <c r="BV433" s="1708">
        <f>IF(Input!$F$183&gt;=$K433,Input!BL196,0)</f>
        <v>0</v>
      </c>
      <c r="BW433" s="1708">
        <f>IF(Input!$F$183&gt;=$K433,Input!BM196,0)</f>
        <v>0</v>
      </c>
      <c r="BX433" s="92">
        <f>IF(Input!$F$183&gt;=$K433,Input!BN196,0)</f>
        <v>0</v>
      </c>
      <c r="BY433" s="92">
        <f>IF(Input!$F$183&gt;=$K433,Input!BO196,0)</f>
        <v>0</v>
      </c>
      <c r="BZ433" s="92">
        <f>IF(Input!$F$183&gt;=$K433,Input!BP196,0)</f>
        <v>0</v>
      </c>
      <c r="CA433" s="92">
        <f>IF(Input!$F$183&gt;=$K433,Input!BQ196,0)</f>
        <v>0</v>
      </c>
      <c r="CB433" s="92">
        <f>IF(Input!$F$183&gt;=$K433,Input!BR196,0)</f>
        <v>0</v>
      </c>
      <c r="CC433" s="92">
        <f>IF(Input!$F$183&gt;=$K433,Input!BS196,0)</f>
        <v>0</v>
      </c>
      <c r="CD433" s="275">
        <f>IF(Input!$F$183&gt;=$K433,Input!BT196,0)</f>
        <v>0</v>
      </c>
      <c r="CE433" s="69">
        <f t="shared" si="222"/>
        <v>0</v>
      </c>
      <c r="CF433" s="1136">
        <f t="shared" si="223"/>
        <v>0</v>
      </c>
      <c r="CG433" s="1136">
        <f t="shared" si="224"/>
        <v>0</v>
      </c>
      <c r="CH433" s="1136">
        <f t="shared" si="225"/>
        <v>0</v>
      </c>
      <c r="CI433" s="1136">
        <f t="shared" si="226"/>
        <v>0</v>
      </c>
      <c r="CJ433" s="1136">
        <f t="shared" si="227"/>
        <v>0</v>
      </c>
      <c r="CK433" s="1136">
        <f t="shared" si="228"/>
        <v>0</v>
      </c>
      <c r="CL433" s="1136">
        <f t="shared" si="229"/>
        <v>0</v>
      </c>
      <c r="CM433" s="1136">
        <f t="shared" si="230"/>
        <v>0</v>
      </c>
      <c r="CN433" s="1136">
        <f t="shared" si="231"/>
        <v>0</v>
      </c>
      <c r="CO433" s="1136">
        <f t="shared" si="232"/>
        <v>0</v>
      </c>
      <c r="CP433" s="1136">
        <f t="shared" si="233"/>
        <v>0</v>
      </c>
      <c r="CQ433" s="1136">
        <f t="shared" si="234"/>
        <v>0</v>
      </c>
      <c r="CR433" s="1136">
        <f t="shared" si="235"/>
        <v>0</v>
      </c>
      <c r="CS433" s="1136">
        <f t="shared" si="236"/>
        <v>0</v>
      </c>
      <c r="CT433" s="1136">
        <f t="shared" si="237"/>
        <v>0</v>
      </c>
      <c r="CU433" s="1136">
        <f t="shared" si="238"/>
        <v>0</v>
      </c>
      <c r="CV433" s="1136">
        <f t="shared" si="239"/>
        <v>0</v>
      </c>
      <c r="CW433" s="1136">
        <f t="shared" si="240"/>
        <v>0</v>
      </c>
      <c r="CX433" s="1136">
        <f t="shared" si="241"/>
        <v>0</v>
      </c>
      <c r="CY433" s="1136">
        <f t="shared" si="242"/>
        <v>0</v>
      </c>
      <c r="CZ433" s="1136">
        <f t="shared" si="243"/>
        <v>0</v>
      </c>
      <c r="DA433" s="1136">
        <f t="shared" si="244"/>
        <v>0</v>
      </c>
      <c r="DB433" s="1136">
        <f t="shared" si="245"/>
        <v>0</v>
      </c>
      <c r="DC433" s="1136">
        <f t="shared" si="246"/>
        <v>0</v>
      </c>
      <c r="DD433" s="1136">
        <f t="shared" si="247"/>
        <v>0</v>
      </c>
      <c r="DE433" s="1136">
        <f t="shared" si="248"/>
        <v>0</v>
      </c>
      <c r="DF433" s="1136">
        <f t="shared" si="249"/>
        <v>0</v>
      </c>
      <c r="DG433" s="1136">
        <f t="shared" si="250"/>
        <v>0</v>
      </c>
      <c r="DH433" s="1136">
        <f t="shared" si="251"/>
        <v>0</v>
      </c>
      <c r="DI433" s="1136">
        <f t="shared" si="252"/>
        <v>0</v>
      </c>
      <c r="DJ433" s="1136">
        <f t="shared" si="253"/>
        <v>0</v>
      </c>
      <c r="DK433" s="1136">
        <f t="shared" si="254"/>
        <v>0</v>
      </c>
      <c r="DL433" s="1136">
        <f t="shared" si="255"/>
        <v>0</v>
      </c>
      <c r="DM433" s="1136">
        <f t="shared" si="256"/>
        <v>0</v>
      </c>
      <c r="DN433" s="1136">
        <f t="shared" si="257"/>
        <v>0</v>
      </c>
      <c r="DO433" s="1136">
        <f t="shared" si="258"/>
        <v>0</v>
      </c>
      <c r="DP433" s="1136">
        <f t="shared" si="259"/>
        <v>0</v>
      </c>
      <c r="DQ433" s="1136">
        <f t="shared" si="260"/>
        <v>0</v>
      </c>
      <c r="DR433" s="1136">
        <f t="shared" si="261"/>
        <v>0</v>
      </c>
      <c r="DS433" s="1136">
        <f t="shared" si="262"/>
        <v>0</v>
      </c>
      <c r="DT433" s="1136">
        <f t="shared" si="263"/>
        <v>0</v>
      </c>
      <c r="DU433" s="1136">
        <f t="shared" si="264"/>
        <v>0</v>
      </c>
      <c r="DV433" s="1136">
        <f t="shared" si="265"/>
        <v>0</v>
      </c>
      <c r="DW433" s="1136">
        <f t="shared" si="266"/>
        <v>0</v>
      </c>
      <c r="DX433" s="1136">
        <f t="shared" si="267"/>
        <v>0</v>
      </c>
      <c r="DY433" s="1136">
        <f t="shared" si="268"/>
        <v>0</v>
      </c>
      <c r="DZ433" s="1136">
        <f t="shared" si="269"/>
        <v>0</v>
      </c>
      <c r="EA433" s="1136">
        <f t="shared" si="270"/>
        <v>0</v>
      </c>
      <c r="EB433" s="1136">
        <f t="shared" si="271"/>
        <v>0</v>
      </c>
      <c r="EC433" s="1136">
        <f t="shared" si="272"/>
        <v>0</v>
      </c>
      <c r="ED433" s="1136">
        <f t="shared" si="273"/>
        <v>0</v>
      </c>
      <c r="EE433" s="1136">
        <f t="shared" si="274"/>
        <v>0</v>
      </c>
      <c r="EF433" s="1136">
        <f t="shared" si="275"/>
        <v>0</v>
      </c>
      <c r="EG433" s="1136">
        <f t="shared" si="276"/>
        <v>0</v>
      </c>
      <c r="EH433" s="1136">
        <f t="shared" si="277"/>
        <v>0</v>
      </c>
      <c r="EI433" s="1136">
        <f t="shared" si="278"/>
        <v>0</v>
      </c>
      <c r="EJ433" s="1136">
        <f t="shared" si="279"/>
        <v>0</v>
      </c>
      <c r="EK433" s="1136">
        <f t="shared" si="280"/>
        <v>0</v>
      </c>
      <c r="EL433" s="1136">
        <f t="shared" si="281"/>
        <v>0</v>
      </c>
      <c r="EM433" s="1136">
        <f t="shared" si="282"/>
        <v>0</v>
      </c>
    </row>
    <row r="434" spans="11:143" ht="12" customHeight="1" x14ac:dyDescent="0.35">
      <c r="K434" s="102">
        <v>14</v>
      </c>
      <c r="L434" s="415">
        <f>Input!D197</f>
        <v>0</v>
      </c>
      <c r="M434" s="416">
        <f>IF(Input!$F$183&gt;=$K434,Input!G197,0)</f>
        <v>0</v>
      </c>
      <c r="N434" s="1705">
        <f>Input!H197</f>
        <v>0</v>
      </c>
      <c r="O434" s="1705">
        <f>Input!I197</f>
        <v>0</v>
      </c>
      <c r="P434" s="1706">
        <f>Input!J197</f>
        <v>0</v>
      </c>
      <c r="Q434" s="102">
        <v>14</v>
      </c>
      <c r="R434" s="1702">
        <f t="shared" si="220"/>
        <v>0</v>
      </c>
      <c r="S434" s="1702">
        <f t="shared" si="221"/>
        <v>0</v>
      </c>
      <c r="T434" s="1302">
        <f>IFERROR(VLOOKUP(R434,Infrastructure!$D$70:$F$129,3,FALSE),0)</f>
        <v>1</v>
      </c>
      <c r="U434" s="1302">
        <f>IFERROR(VLOOKUP(S434,Infrastructure!$D$70:$F$129,3,FALSE),0)</f>
        <v>1</v>
      </c>
      <c r="V434" s="102"/>
      <c r="W434" s="1707">
        <f>IF(Input!$F$183&gt;=$K434,Input!M197,0)</f>
        <v>0</v>
      </c>
      <c r="X434" s="1708">
        <f>IF(Input!$F$183&gt;=$K434,Input!N197,0)</f>
        <v>0</v>
      </c>
      <c r="Y434" s="1708">
        <f>IF(Input!$F$183&gt;=$K434,Input!O197,0)</f>
        <v>0</v>
      </c>
      <c r="Z434" s="1708">
        <f>IF(Input!$F$183&gt;=$K434,Input!P197,0)</f>
        <v>0</v>
      </c>
      <c r="AA434" s="1708">
        <f>IF(Input!$F$183&gt;=$K434,Input!Q197,0)</f>
        <v>0</v>
      </c>
      <c r="AB434" s="1708">
        <f>IF(Input!$F$183&gt;=$K434,Input!R197,0)</f>
        <v>0</v>
      </c>
      <c r="AC434" s="1708">
        <f>IF(Input!$F$183&gt;=$K434,Input!S197,0)</f>
        <v>0</v>
      </c>
      <c r="AD434" s="1708">
        <f>IF(Input!$F$183&gt;=$K434,Input!T197,0)</f>
        <v>0</v>
      </c>
      <c r="AE434" s="1708">
        <f>IF(Input!$F$183&gt;=$K434,Input!U197,0)</f>
        <v>0</v>
      </c>
      <c r="AF434" s="1708">
        <f>IF(Input!$F$183&gt;=$K434,Input!V197,0)</f>
        <v>0</v>
      </c>
      <c r="AG434" s="1708">
        <f>IF(Input!$F$183&gt;=$K434,Input!W197,0)</f>
        <v>0</v>
      </c>
      <c r="AH434" s="1708">
        <f>IF(Input!$F$183&gt;=$K434,Input!X197,0)</f>
        <v>0</v>
      </c>
      <c r="AI434" s="1708">
        <f>IF(Input!$F$183&gt;=$K434,Input!Y197,0)</f>
        <v>0</v>
      </c>
      <c r="AJ434" s="1708">
        <f>IF(Input!$F$183&gt;=$K434,Input!Z197,0)</f>
        <v>0</v>
      </c>
      <c r="AK434" s="1708">
        <f>IF(Input!$F$183&gt;=$K434,Input!AA197,0)</f>
        <v>0</v>
      </c>
      <c r="AL434" s="1708">
        <f>IF(Input!$F$183&gt;=$K434,Input!AB197,0)</f>
        <v>0</v>
      </c>
      <c r="AM434" s="1708">
        <f>IF(Input!$F$183&gt;=$K434,Input!AC197,0)</f>
        <v>0</v>
      </c>
      <c r="AN434" s="1708">
        <f>IF(Input!$F$183&gt;=$K434,Input!AD197,0)</f>
        <v>0</v>
      </c>
      <c r="AO434" s="1708">
        <f>IF(Input!$F$183&gt;=$K434,Input!AE197,0)</f>
        <v>0</v>
      </c>
      <c r="AP434" s="1708">
        <f>IF(Input!$F$183&gt;=$K434,Input!AF197,0)</f>
        <v>0</v>
      </c>
      <c r="AQ434" s="1708">
        <f>IF(Input!$F$183&gt;=$K434,Input!AG197,0)</f>
        <v>0</v>
      </c>
      <c r="AR434" s="1708">
        <f>IF(Input!$F$183&gt;=$K434,Input!AH197,0)</f>
        <v>0</v>
      </c>
      <c r="AS434" s="1708">
        <f>IF(Input!$F$183&gt;=$K434,Input!AI197,0)</f>
        <v>0</v>
      </c>
      <c r="AT434" s="1708">
        <f>IF(Input!$F$183&gt;=$K434,Input!AJ197,0)</f>
        <v>0</v>
      </c>
      <c r="AU434" s="1708">
        <f>IF(Input!$F$183&gt;=$K434,Input!AK197,0)</f>
        <v>0</v>
      </c>
      <c r="AV434" s="1708">
        <f>IF(Input!$F$183&gt;=$K434,Input!AL197,0)</f>
        <v>0</v>
      </c>
      <c r="AW434" s="1708">
        <f>IF(Input!$F$183&gt;=$K434,Input!AM197,0)</f>
        <v>0</v>
      </c>
      <c r="AX434" s="1708">
        <f>IF(Input!$F$183&gt;=$K434,Input!AN197,0)</f>
        <v>0</v>
      </c>
      <c r="AY434" s="1708">
        <f>IF(Input!$F$183&gt;=$K434,Input!AO197,0)</f>
        <v>0</v>
      </c>
      <c r="AZ434" s="1708">
        <f>IF(Input!$F$183&gt;=$K434,Input!AP197,0)</f>
        <v>0</v>
      </c>
      <c r="BA434" s="1708">
        <f>IF(Input!$F$183&gt;=$K434,Input!AQ197,0)</f>
        <v>0</v>
      </c>
      <c r="BB434" s="1708">
        <f>IF(Input!$F$183&gt;=$K434,Input!AR197,0)</f>
        <v>0</v>
      </c>
      <c r="BC434" s="1708">
        <f>IF(Input!$F$183&gt;=$K434,Input!AS197,0)</f>
        <v>0</v>
      </c>
      <c r="BD434" s="1708">
        <f>IF(Input!$F$183&gt;=$K434,Input!AT197,0)</f>
        <v>0</v>
      </c>
      <c r="BE434" s="1708">
        <f>IF(Input!$F$183&gt;=$K434,Input!AU197,0)</f>
        <v>0</v>
      </c>
      <c r="BF434" s="1708">
        <f>IF(Input!$F$183&gt;=$K434,Input!AV197,0)</f>
        <v>0</v>
      </c>
      <c r="BG434" s="1708">
        <f>IF(Input!$F$183&gt;=$K434,Input!AW197,0)</f>
        <v>0</v>
      </c>
      <c r="BH434" s="1708">
        <f>IF(Input!$F$183&gt;=$K434,Input!AX197,0)</f>
        <v>0</v>
      </c>
      <c r="BI434" s="1708">
        <f>IF(Input!$F$183&gt;=$K434,Input!AY197,0)</f>
        <v>0</v>
      </c>
      <c r="BJ434" s="1708">
        <f>IF(Input!$F$183&gt;=$K434,Input!AZ197,0)</f>
        <v>0</v>
      </c>
      <c r="BK434" s="1708">
        <f>IF(Input!$F$183&gt;=$K434,Input!BA197,0)</f>
        <v>0</v>
      </c>
      <c r="BL434" s="1708">
        <f>IF(Input!$F$183&gt;=$K434,Input!BB197,0)</f>
        <v>0</v>
      </c>
      <c r="BM434" s="1708">
        <f>IF(Input!$F$183&gt;=$K434,Input!BC197,0)</f>
        <v>0</v>
      </c>
      <c r="BN434" s="1708">
        <f>IF(Input!$F$183&gt;=$K434,Input!BD197,0)</f>
        <v>0</v>
      </c>
      <c r="BO434" s="1708">
        <f>IF(Input!$F$183&gt;=$K434,Input!BE197,0)</f>
        <v>0</v>
      </c>
      <c r="BP434" s="1708">
        <f>IF(Input!$F$183&gt;=$K434,Input!BF197,0)</f>
        <v>0</v>
      </c>
      <c r="BQ434" s="1708">
        <f>IF(Input!$F$183&gt;=$K434,Input!BG197,0)</f>
        <v>0</v>
      </c>
      <c r="BR434" s="1708">
        <f>IF(Input!$F$183&gt;=$K434,Input!BH197,0)</f>
        <v>0</v>
      </c>
      <c r="BS434" s="1708">
        <f>IF(Input!$F$183&gt;=$K434,Input!BI197,0)</f>
        <v>0</v>
      </c>
      <c r="BT434" s="1708">
        <f>IF(Input!$F$183&gt;=$K434,Input!BJ197,0)</f>
        <v>0</v>
      </c>
      <c r="BU434" s="1708">
        <f>IF(Input!$F$183&gt;=$K434,Input!BK197,0)</f>
        <v>0</v>
      </c>
      <c r="BV434" s="1708">
        <f>IF(Input!$F$183&gt;=$K434,Input!BL197,0)</f>
        <v>0</v>
      </c>
      <c r="BW434" s="1708">
        <f>IF(Input!$F$183&gt;=$K434,Input!BM197,0)</f>
        <v>0</v>
      </c>
      <c r="BX434" s="92">
        <f>IF(Input!$F$183&gt;=$K434,Input!BN197,0)</f>
        <v>0</v>
      </c>
      <c r="BY434" s="92">
        <f>IF(Input!$F$183&gt;=$K434,Input!BO197,0)</f>
        <v>0</v>
      </c>
      <c r="BZ434" s="92">
        <f>IF(Input!$F$183&gt;=$K434,Input!BP197,0)</f>
        <v>0</v>
      </c>
      <c r="CA434" s="92">
        <f>IF(Input!$F$183&gt;=$K434,Input!BQ197,0)</f>
        <v>0</v>
      </c>
      <c r="CB434" s="92">
        <f>IF(Input!$F$183&gt;=$K434,Input!BR197,0)</f>
        <v>0</v>
      </c>
      <c r="CC434" s="92">
        <f>IF(Input!$F$183&gt;=$K434,Input!BS197,0)</f>
        <v>0</v>
      </c>
      <c r="CD434" s="275">
        <f>IF(Input!$F$183&gt;=$K434,Input!BT197,0)</f>
        <v>0</v>
      </c>
      <c r="CE434" s="69">
        <f t="shared" si="222"/>
        <v>0</v>
      </c>
      <c r="CF434" s="1136">
        <f t="shared" si="223"/>
        <v>0</v>
      </c>
      <c r="CG434" s="1136">
        <f t="shared" si="224"/>
        <v>0</v>
      </c>
      <c r="CH434" s="1136">
        <f t="shared" si="225"/>
        <v>0</v>
      </c>
      <c r="CI434" s="1136">
        <f t="shared" si="226"/>
        <v>0</v>
      </c>
      <c r="CJ434" s="1136">
        <f t="shared" si="227"/>
        <v>0</v>
      </c>
      <c r="CK434" s="1136">
        <f t="shared" si="228"/>
        <v>0</v>
      </c>
      <c r="CL434" s="1136">
        <f t="shared" si="229"/>
        <v>0</v>
      </c>
      <c r="CM434" s="1136">
        <f t="shared" si="230"/>
        <v>0</v>
      </c>
      <c r="CN434" s="1136">
        <f t="shared" si="231"/>
        <v>0</v>
      </c>
      <c r="CO434" s="1136">
        <f t="shared" si="232"/>
        <v>0</v>
      </c>
      <c r="CP434" s="1136">
        <f t="shared" si="233"/>
        <v>0</v>
      </c>
      <c r="CQ434" s="1136">
        <f t="shared" si="234"/>
        <v>0</v>
      </c>
      <c r="CR434" s="1136">
        <f t="shared" si="235"/>
        <v>0</v>
      </c>
      <c r="CS434" s="1136">
        <f t="shared" si="236"/>
        <v>0</v>
      </c>
      <c r="CT434" s="1136">
        <f t="shared" si="237"/>
        <v>0</v>
      </c>
      <c r="CU434" s="1136">
        <f t="shared" si="238"/>
        <v>0</v>
      </c>
      <c r="CV434" s="1136">
        <f t="shared" si="239"/>
        <v>0</v>
      </c>
      <c r="CW434" s="1136">
        <f t="shared" si="240"/>
        <v>0</v>
      </c>
      <c r="CX434" s="1136">
        <f t="shared" si="241"/>
        <v>0</v>
      </c>
      <c r="CY434" s="1136">
        <f t="shared" si="242"/>
        <v>0</v>
      </c>
      <c r="CZ434" s="1136">
        <f t="shared" si="243"/>
        <v>0</v>
      </c>
      <c r="DA434" s="1136">
        <f t="shared" si="244"/>
        <v>0</v>
      </c>
      <c r="DB434" s="1136">
        <f t="shared" si="245"/>
        <v>0</v>
      </c>
      <c r="DC434" s="1136">
        <f t="shared" si="246"/>
        <v>0</v>
      </c>
      <c r="DD434" s="1136">
        <f t="shared" si="247"/>
        <v>0</v>
      </c>
      <c r="DE434" s="1136">
        <f t="shared" si="248"/>
        <v>0</v>
      </c>
      <c r="DF434" s="1136">
        <f t="shared" si="249"/>
        <v>0</v>
      </c>
      <c r="DG434" s="1136">
        <f t="shared" si="250"/>
        <v>0</v>
      </c>
      <c r="DH434" s="1136">
        <f t="shared" si="251"/>
        <v>0</v>
      </c>
      <c r="DI434" s="1136">
        <f t="shared" si="252"/>
        <v>0</v>
      </c>
      <c r="DJ434" s="1136">
        <f t="shared" si="253"/>
        <v>0</v>
      </c>
      <c r="DK434" s="1136">
        <f t="shared" si="254"/>
        <v>0</v>
      </c>
      <c r="DL434" s="1136">
        <f t="shared" si="255"/>
        <v>0</v>
      </c>
      <c r="DM434" s="1136">
        <f t="shared" si="256"/>
        <v>0</v>
      </c>
      <c r="DN434" s="1136">
        <f t="shared" si="257"/>
        <v>0</v>
      </c>
      <c r="DO434" s="1136">
        <f t="shared" si="258"/>
        <v>0</v>
      </c>
      <c r="DP434" s="1136">
        <f t="shared" si="259"/>
        <v>0</v>
      </c>
      <c r="DQ434" s="1136">
        <f t="shared" si="260"/>
        <v>0</v>
      </c>
      <c r="DR434" s="1136">
        <f t="shared" si="261"/>
        <v>0</v>
      </c>
      <c r="DS434" s="1136">
        <f t="shared" si="262"/>
        <v>0</v>
      </c>
      <c r="DT434" s="1136">
        <f t="shared" si="263"/>
        <v>0</v>
      </c>
      <c r="DU434" s="1136">
        <f t="shared" si="264"/>
        <v>0</v>
      </c>
      <c r="DV434" s="1136">
        <f t="shared" si="265"/>
        <v>0</v>
      </c>
      <c r="DW434" s="1136">
        <f t="shared" si="266"/>
        <v>0</v>
      </c>
      <c r="DX434" s="1136">
        <f t="shared" si="267"/>
        <v>0</v>
      </c>
      <c r="DY434" s="1136">
        <f t="shared" si="268"/>
        <v>0</v>
      </c>
      <c r="DZ434" s="1136">
        <f t="shared" si="269"/>
        <v>0</v>
      </c>
      <c r="EA434" s="1136">
        <f t="shared" si="270"/>
        <v>0</v>
      </c>
      <c r="EB434" s="1136">
        <f t="shared" si="271"/>
        <v>0</v>
      </c>
      <c r="EC434" s="1136">
        <f t="shared" si="272"/>
        <v>0</v>
      </c>
      <c r="ED434" s="1136">
        <f t="shared" si="273"/>
        <v>0</v>
      </c>
      <c r="EE434" s="1136">
        <f t="shared" si="274"/>
        <v>0</v>
      </c>
      <c r="EF434" s="1136">
        <f t="shared" si="275"/>
        <v>0</v>
      </c>
      <c r="EG434" s="1136">
        <f t="shared" si="276"/>
        <v>0</v>
      </c>
      <c r="EH434" s="1136">
        <f t="shared" si="277"/>
        <v>0</v>
      </c>
      <c r="EI434" s="1136">
        <f t="shared" si="278"/>
        <v>0</v>
      </c>
      <c r="EJ434" s="1136">
        <f t="shared" si="279"/>
        <v>0</v>
      </c>
      <c r="EK434" s="1136">
        <f t="shared" si="280"/>
        <v>0</v>
      </c>
      <c r="EL434" s="1136">
        <f t="shared" si="281"/>
        <v>0</v>
      </c>
      <c r="EM434" s="1136">
        <f t="shared" si="282"/>
        <v>0</v>
      </c>
    </row>
    <row r="435" spans="11:143" ht="12" customHeight="1" x14ac:dyDescent="0.35">
      <c r="K435" s="102">
        <v>15</v>
      </c>
      <c r="L435" s="415">
        <f>Input!D198</f>
        <v>0</v>
      </c>
      <c r="M435" s="416">
        <f>IF(Input!$F$183&gt;=$K435,Input!G198,0)</f>
        <v>0</v>
      </c>
      <c r="N435" s="1705">
        <f>Input!H198</f>
        <v>0</v>
      </c>
      <c r="O435" s="1705">
        <f>Input!I198</f>
        <v>0</v>
      </c>
      <c r="P435" s="1706">
        <f>Input!J198</f>
        <v>0</v>
      </c>
      <c r="Q435" s="102">
        <v>15</v>
      </c>
      <c r="R435" s="1702">
        <f t="shared" si="220"/>
        <v>0</v>
      </c>
      <c r="S435" s="1702">
        <f t="shared" si="221"/>
        <v>0</v>
      </c>
      <c r="T435" s="1302">
        <f>IFERROR(VLOOKUP(R435,Infrastructure!$D$70:$F$129,3,FALSE),0)</f>
        <v>1</v>
      </c>
      <c r="U435" s="1302">
        <f>IFERROR(VLOOKUP(S435,Infrastructure!$D$70:$F$129,3,FALSE),0)</f>
        <v>1</v>
      </c>
      <c r="V435" s="102"/>
      <c r="W435" s="1707">
        <f>IF(Input!$F$183&gt;=$K435,Input!M198,0)</f>
        <v>0</v>
      </c>
      <c r="X435" s="1708">
        <f>IF(Input!$F$183&gt;=$K435,Input!N198,0)</f>
        <v>0</v>
      </c>
      <c r="Y435" s="1708">
        <f>IF(Input!$F$183&gt;=$K435,Input!O198,0)</f>
        <v>0</v>
      </c>
      <c r="Z435" s="1708">
        <f>IF(Input!$F$183&gt;=$K435,Input!P198,0)</f>
        <v>0</v>
      </c>
      <c r="AA435" s="1708">
        <f>IF(Input!$F$183&gt;=$K435,Input!Q198,0)</f>
        <v>0</v>
      </c>
      <c r="AB435" s="1708">
        <f>IF(Input!$F$183&gt;=$K435,Input!R198,0)</f>
        <v>0</v>
      </c>
      <c r="AC435" s="1708">
        <f>IF(Input!$F$183&gt;=$K435,Input!S198,0)</f>
        <v>0</v>
      </c>
      <c r="AD435" s="1708">
        <f>IF(Input!$F$183&gt;=$K435,Input!T198,0)</f>
        <v>0</v>
      </c>
      <c r="AE435" s="1708">
        <f>IF(Input!$F$183&gt;=$K435,Input!U198,0)</f>
        <v>0</v>
      </c>
      <c r="AF435" s="1708">
        <f>IF(Input!$F$183&gt;=$K435,Input!V198,0)</f>
        <v>0</v>
      </c>
      <c r="AG435" s="1708">
        <f>IF(Input!$F$183&gt;=$K435,Input!W198,0)</f>
        <v>0</v>
      </c>
      <c r="AH435" s="1708">
        <f>IF(Input!$F$183&gt;=$K435,Input!X198,0)</f>
        <v>0</v>
      </c>
      <c r="AI435" s="1708">
        <f>IF(Input!$F$183&gt;=$K435,Input!Y198,0)</f>
        <v>0</v>
      </c>
      <c r="AJ435" s="1708">
        <f>IF(Input!$F$183&gt;=$K435,Input!Z198,0)</f>
        <v>0</v>
      </c>
      <c r="AK435" s="1708">
        <f>IF(Input!$F$183&gt;=$K435,Input!AA198,0)</f>
        <v>0</v>
      </c>
      <c r="AL435" s="1708">
        <f>IF(Input!$F$183&gt;=$K435,Input!AB198,0)</f>
        <v>0</v>
      </c>
      <c r="AM435" s="1708">
        <f>IF(Input!$F$183&gt;=$K435,Input!AC198,0)</f>
        <v>0</v>
      </c>
      <c r="AN435" s="1708">
        <f>IF(Input!$F$183&gt;=$K435,Input!AD198,0)</f>
        <v>0</v>
      </c>
      <c r="AO435" s="1708">
        <f>IF(Input!$F$183&gt;=$K435,Input!AE198,0)</f>
        <v>0</v>
      </c>
      <c r="AP435" s="1708">
        <f>IF(Input!$F$183&gt;=$K435,Input!AF198,0)</f>
        <v>0</v>
      </c>
      <c r="AQ435" s="1708">
        <f>IF(Input!$F$183&gt;=$K435,Input!AG198,0)</f>
        <v>0</v>
      </c>
      <c r="AR435" s="1708">
        <f>IF(Input!$F$183&gt;=$K435,Input!AH198,0)</f>
        <v>0</v>
      </c>
      <c r="AS435" s="1708">
        <f>IF(Input!$F$183&gt;=$K435,Input!AI198,0)</f>
        <v>0</v>
      </c>
      <c r="AT435" s="1708">
        <f>IF(Input!$F$183&gt;=$K435,Input!AJ198,0)</f>
        <v>0</v>
      </c>
      <c r="AU435" s="1708">
        <f>IF(Input!$F$183&gt;=$K435,Input!AK198,0)</f>
        <v>0</v>
      </c>
      <c r="AV435" s="1708">
        <f>IF(Input!$F$183&gt;=$K435,Input!AL198,0)</f>
        <v>0</v>
      </c>
      <c r="AW435" s="1708">
        <f>IF(Input!$F$183&gt;=$K435,Input!AM198,0)</f>
        <v>0</v>
      </c>
      <c r="AX435" s="1708">
        <f>IF(Input!$F$183&gt;=$K435,Input!AN198,0)</f>
        <v>0</v>
      </c>
      <c r="AY435" s="1708">
        <f>IF(Input!$F$183&gt;=$K435,Input!AO198,0)</f>
        <v>0</v>
      </c>
      <c r="AZ435" s="1708">
        <f>IF(Input!$F$183&gt;=$K435,Input!AP198,0)</f>
        <v>0</v>
      </c>
      <c r="BA435" s="1708">
        <f>IF(Input!$F$183&gt;=$K435,Input!AQ198,0)</f>
        <v>0</v>
      </c>
      <c r="BB435" s="1708">
        <f>IF(Input!$F$183&gt;=$K435,Input!AR198,0)</f>
        <v>0</v>
      </c>
      <c r="BC435" s="1708">
        <f>IF(Input!$F$183&gt;=$K435,Input!AS198,0)</f>
        <v>0</v>
      </c>
      <c r="BD435" s="1708">
        <f>IF(Input!$F$183&gt;=$K435,Input!AT198,0)</f>
        <v>0</v>
      </c>
      <c r="BE435" s="1708">
        <f>IF(Input!$F$183&gt;=$K435,Input!AU198,0)</f>
        <v>0</v>
      </c>
      <c r="BF435" s="1708">
        <f>IF(Input!$F$183&gt;=$K435,Input!AV198,0)</f>
        <v>0</v>
      </c>
      <c r="BG435" s="1708">
        <f>IF(Input!$F$183&gt;=$K435,Input!AW198,0)</f>
        <v>0</v>
      </c>
      <c r="BH435" s="1708">
        <f>IF(Input!$F$183&gt;=$K435,Input!AX198,0)</f>
        <v>0</v>
      </c>
      <c r="BI435" s="1708">
        <f>IF(Input!$F$183&gt;=$K435,Input!AY198,0)</f>
        <v>0</v>
      </c>
      <c r="BJ435" s="1708">
        <f>IF(Input!$F$183&gt;=$K435,Input!AZ198,0)</f>
        <v>0</v>
      </c>
      <c r="BK435" s="1708">
        <f>IF(Input!$F$183&gt;=$K435,Input!BA198,0)</f>
        <v>0</v>
      </c>
      <c r="BL435" s="1708">
        <f>IF(Input!$F$183&gt;=$K435,Input!BB198,0)</f>
        <v>0</v>
      </c>
      <c r="BM435" s="1708">
        <f>IF(Input!$F$183&gt;=$K435,Input!BC198,0)</f>
        <v>0</v>
      </c>
      <c r="BN435" s="1708">
        <f>IF(Input!$F$183&gt;=$K435,Input!BD198,0)</f>
        <v>0</v>
      </c>
      <c r="BO435" s="1708">
        <f>IF(Input!$F$183&gt;=$K435,Input!BE198,0)</f>
        <v>0</v>
      </c>
      <c r="BP435" s="1708">
        <f>IF(Input!$F$183&gt;=$K435,Input!BF198,0)</f>
        <v>0</v>
      </c>
      <c r="BQ435" s="1708">
        <f>IF(Input!$F$183&gt;=$K435,Input!BG198,0)</f>
        <v>0</v>
      </c>
      <c r="BR435" s="1708">
        <f>IF(Input!$F$183&gt;=$K435,Input!BH198,0)</f>
        <v>0</v>
      </c>
      <c r="BS435" s="1708">
        <f>IF(Input!$F$183&gt;=$K435,Input!BI198,0)</f>
        <v>0</v>
      </c>
      <c r="BT435" s="1708">
        <f>IF(Input!$F$183&gt;=$K435,Input!BJ198,0)</f>
        <v>0</v>
      </c>
      <c r="BU435" s="1708">
        <f>IF(Input!$F$183&gt;=$K435,Input!BK198,0)</f>
        <v>0</v>
      </c>
      <c r="BV435" s="1708">
        <f>IF(Input!$F$183&gt;=$K435,Input!BL198,0)</f>
        <v>0</v>
      </c>
      <c r="BW435" s="1708">
        <f>IF(Input!$F$183&gt;=$K435,Input!BM198,0)</f>
        <v>0</v>
      </c>
      <c r="BX435" s="92">
        <f>IF(Input!$F$183&gt;=$K435,Input!BN198,0)</f>
        <v>0</v>
      </c>
      <c r="BY435" s="92">
        <f>IF(Input!$F$183&gt;=$K435,Input!BO198,0)</f>
        <v>0</v>
      </c>
      <c r="BZ435" s="92">
        <f>IF(Input!$F$183&gt;=$K435,Input!BP198,0)</f>
        <v>0</v>
      </c>
      <c r="CA435" s="92">
        <f>IF(Input!$F$183&gt;=$K435,Input!BQ198,0)</f>
        <v>0</v>
      </c>
      <c r="CB435" s="92">
        <f>IF(Input!$F$183&gt;=$K435,Input!BR198,0)</f>
        <v>0</v>
      </c>
      <c r="CC435" s="92">
        <f>IF(Input!$F$183&gt;=$K435,Input!BS198,0)</f>
        <v>0</v>
      </c>
      <c r="CD435" s="275">
        <f>IF(Input!$F$183&gt;=$K435,Input!BT198,0)</f>
        <v>0</v>
      </c>
      <c r="CE435" s="69">
        <f t="shared" si="222"/>
        <v>0</v>
      </c>
      <c r="CF435" s="1136">
        <f t="shared" si="223"/>
        <v>0</v>
      </c>
      <c r="CG435" s="1136">
        <f t="shared" si="224"/>
        <v>0</v>
      </c>
      <c r="CH435" s="1136">
        <f t="shared" si="225"/>
        <v>0</v>
      </c>
      <c r="CI435" s="1136">
        <f t="shared" si="226"/>
        <v>0</v>
      </c>
      <c r="CJ435" s="1136">
        <f t="shared" si="227"/>
        <v>0</v>
      </c>
      <c r="CK435" s="1136">
        <f t="shared" si="228"/>
        <v>0</v>
      </c>
      <c r="CL435" s="1136">
        <f t="shared" si="229"/>
        <v>0</v>
      </c>
      <c r="CM435" s="1136">
        <f t="shared" si="230"/>
        <v>0</v>
      </c>
      <c r="CN435" s="1136">
        <f t="shared" si="231"/>
        <v>0</v>
      </c>
      <c r="CO435" s="1136">
        <f t="shared" si="232"/>
        <v>0</v>
      </c>
      <c r="CP435" s="1136">
        <f t="shared" si="233"/>
        <v>0</v>
      </c>
      <c r="CQ435" s="1136">
        <f t="shared" si="234"/>
        <v>0</v>
      </c>
      <c r="CR435" s="1136">
        <f t="shared" si="235"/>
        <v>0</v>
      </c>
      <c r="CS435" s="1136">
        <f t="shared" si="236"/>
        <v>0</v>
      </c>
      <c r="CT435" s="1136">
        <f t="shared" si="237"/>
        <v>0</v>
      </c>
      <c r="CU435" s="1136">
        <f t="shared" si="238"/>
        <v>0</v>
      </c>
      <c r="CV435" s="1136">
        <f t="shared" si="239"/>
        <v>0</v>
      </c>
      <c r="CW435" s="1136">
        <f t="shared" si="240"/>
        <v>0</v>
      </c>
      <c r="CX435" s="1136">
        <f t="shared" si="241"/>
        <v>0</v>
      </c>
      <c r="CY435" s="1136">
        <f t="shared" si="242"/>
        <v>0</v>
      </c>
      <c r="CZ435" s="1136">
        <f t="shared" si="243"/>
        <v>0</v>
      </c>
      <c r="DA435" s="1136">
        <f t="shared" si="244"/>
        <v>0</v>
      </c>
      <c r="DB435" s="1136">
        <f t="shared" si="245"/>
        <v>0</v>
      </c>
      <c r="DC435" s="1136">
        <f t="shared" si="246"/>
        <v>0</v>
      </c>
      <c r="DD435" s="1136">
        <f t="shared" si="247"/>
        <v>0</v>
      </c>
      <c r="DE435" s="1136">
        <f t="shared" si="248"/>
        <v>0</v>
      </c>
      <c r="DF435" s="1136">
        <f t="shared" si="249"/>
        <v>0</v>
      </c>
      <c r="DG435" s="1136">
        <f t="shared" si="250"/>
        <v>0</v>
      </c>
      <c r="DH435" s="1136">
        <f t="shared" si="251"/>
        <v>0</v>
      </c>
      <c r="DI435" s="1136">
        <f t="shared" si="252"/>
        <v>0</v>
      </c>
      <c r="DJ435" s="1136">
        <f t="shared" si="253"/>
        <v>0</v>
      </c>
      <c r="DK435" s="1136">
        <f t="shared" si="254"/>
        <v>0</v>
      </c>
      <c r="DL435" s="1136">
        <f t="shared" si="255"/>
        <v>0</v>
      </c>
      <c r="DM435" s="1136">
        <f t="shared" si="256"/>
        <v>0</v>
      </c>
      <c r="DN435" s="1136">
        <f t="shared" si="257"/>
        <v>0</v>
      </c>
      <c r="DO435" s="1136">
        <f t="shared" si="258"/>
        <v>0</v>
      </c>
      <c r="DP435" s="1136">
        <f t="shared" si="259"/>
        <v>0</v>
      </c>
      <c r="DQ435" s="1136">
        <f t="shared" si="260"/>
        <v>0</v>
      </c>
      <c r="DR435" s="1136">
        <f t="shared" si="261"/>
        <v>0</v>
      </c>
      <c r="DS435" s="1136">
        <f t="shared" si="262"/>
        <v>0</v>
      </c>
      <c r="DT435" s="1136">
        <f t="shared" si="263"/>
        <v>0</v>
      </c>
      <c r="DU435" s="1136">
        <f t="shared" si="264"/>
        <v>0</v>
      </c>
      <c r="DV435" s="1136">
        <f t="shared" si="265"/>
        <v>0</v>
      </c>
      <c r="DW435" s="1136">
        <f t="shared" si="266"/>
        <v>0</v>
      </c>
      <c r="DX435" s="1136">
        <f t="shared" si="267"/>
        <v>0</v>
      </c>
      <c r="DY435" s="1136">
        <f t="shared" si="268"/>
        <v>0</v>
      </c>
      <c r="DZ435" s="1136">
        <f t="shared" si="269"/>
        <v>0</v>
      </c>
      <c r="EA435" s="1136">
        <f t="shared" si="270"/>
        <v>0</v>
      </c>
      <c r="EB435" s="1136">
        <f t="shared" si="271"/>
        <v>0</v>
      </c>
      <c r="EC435" s="1136">
        <f t="shared" si="272"/>
        <v>0</v>
      </c>
      <c r="ED435" s="1136">
        <f t="shared" si="273"/>
        <v>0</v>
      </c>
      <c r="EE435" s="1136">
        <f t="shared" si="274"/>
        <v>0</v>
      </c>
      <c r="EF435" s="1136">
        <f t="shared" si="275"/>
        <v>0</v>
      </c>
      <c r="EG435" s="1136">
        <f t="shared" si="276"/>
        <v>0</v>
      </c>
      <c r="EH435" s="1136">
        <f t="shared" si="277"/>
        <v>0</v>
      </c>
      <c r="EI435" s="1136">
        <f t="shared" si="278"/>
        <v>0</v>
      </c>
      <c r="EJ435" s="1136">
        <f t="shared" si="279"/>
        <v>0</v>
      </c>
      <c r="EK435" s="1136">
        <f t="shared" si="280"/>
        <v>0</v>
      </c>
      <c r="EL435" s="1136">
        <f t="shared" si="281"/>
        <v>0</v>
      </c>
      <c r="EM435" s="1136">
        <f t="shared" si="282"/>
        <v>0</v>
      </c>
    </row>
    <row r="436" spans="11:143" ht="12" customHeight="1" x14ac:dyDescent="0.35">
      <c r="K436" s="102">
        <v>16</v>
      </c>
      <c r="L436" s="415">
        <f>Input!D199</f>
        <v>0</v>
      </c>
      <c r="M436" s="416">
        <f>IF(Input!$F$183&gt;=$K436,Input!G199,0)</f>
        <v>0</v>
      </c>
      <c r="N436" s="1705">
        <f>Input!H199</f>
        <v>0</v>
      </c>
      <c r="O436" s="1705">
        <f>Input!I199</f>
        <v>0</v>
      </c>
      <c r="P436" s="1706">
        <f>Input!J199</f>
        <v>0</v>
      </c>
      <c r="Q436" s="102">
        <v>16</v>
      </c>
      <c r="R436" s="1702">
        <f t="shared" si="220"/>
        <v>0</v>
      </c>
      <c r="S436" s="1702">
        <f t="shared" si="221"/>
        <v>0</v>
      </c>
      <c r="T436" s="1302">
        <f>IFERROR(VLOOKUP(R436,Infrastructure!$D$70:$F$129,3,FALSE),0)</f>
        <v>1</v>
      </c>
      <c r="U436" s="1302">
        <f>IFERROR(VLOOKUP(S436,Infrastructure!$D$70:$F$129,3,FALSE),0)</f>
        <v>1</v>
      </c>
      <c r="V436" s="102"/>
      <c r="W436" s="1707">
        <f>IF(Input!$F$183&gt;=$K436,Input!M199,0)</f>
        <v>0</v>
      </c>
      <c r="X436" s="1708">
        <f>IF(Input!$F$183&gt;=$K436,Input!N199,0)</f>
        <v>0</v>
      </c>
      <c r="Y436" s="1708">
        <f>IF(Input!$F$183&gt;=$K436,Input!O199,0)</f>
        <v>0</v>
      </c>
      <c r="Z436" s="1708">
        <f>IF(Input!$F$183&gt;=$K436,Input!P199,0)</f>
        <v>0</v>
      </c>
      <c r="AA436" s="1708">
        <f>IF(Input!$F$183&gt;=$K436,Input!Q199,0)</f>
        <v>0</v>
      </c>
      <c r="AB436" s="1708">
        <f>IF(Input!$F$183&gt;=$K436,Input!R199,0)</f>
        <v>0</v>
      </c>
      <c r="AC436" s="1708">
        <f>IF(Input!$F$183&gt;=$K436,Input!S199,0)</f>
        <v>0</v>
      </c>
      <c r="AD436" s="1708">
        <f>IF(Input!$F$183&gt;=$K436,Input!T199,0)</f>
        <v>0</v>
      </c>
      <c r="AE436" s="1708">
        <f>IF(Input!$F$183&gt;=$K436,Input!U199,0)</f>
        <v>0</v>
      </c>
      <c r="AF436" s="1708">
        <f>IF(Input!$F$183&gt;=$K436,Input!V199,0)</f>
        <v>0</v>
      </c>
      <c r="AG436" s="1708">
        <f>IF(Input!$F$183&gt;=$K436,Input!W199,0)</f>
        <v>0</v>
      </c>
      <c r="AH436" s="1708">
        <f>IF(Input!$F$183&gt;=$K436,Input!X199,0)</f>
        <v>0</v>
      </c>
      <c r="AI436" s="1708">
        <f>IF(Input!$F$183&gt;=$K436,Input!Y199,0)</f>
        <v>0</v>
      </c>
      <c r="AJ436" s="1708">
        <f>IF(Input!$F$183&gt;=$K436,Input!Z199,0)</f>
        <v>0</v>
      </c>
      <c r="AK436" s="1708">
        <f>IF(Input!$F$183&gt;=$K436,Input!AA199,0)</f>
        <v>0</v>
      </c>
      <c r="AL436" s="1708">
        <f>IF(Input!$F$183&gt;=$K436,Input!AB199,0)</f>
        <v>0</v>
      </c>
      <c r="AM436" s="1708">
        <f>IF(Input!$F$183&gt;=$K436,Input!AC199,0)</f>
        <v>0</v>
      </c>
      <c r="AN436" s="1708">
        <f>IF(Input!$F$183&gt;=$K436,Input!AD199,0)</f>
        <v>0</v>
      </c>
      <c r="AO436" s="1708">
        <f>IF(Input!$F$183&gt;=$K436,Input!AE199,0)</f>
        <v>0</v>
      </c>
      <c r="AP436" s="1708">
        <f>IF(Input!$F$183&gt;=$K436,Input!AF199,0)</f>
        <v>0</v>
      </c>
      <c r="AQ436" s="1708">
        <f>IF(Input!$F$183&gt;=$K436,Input!AG199,0)</f>
        <v>0</v>
      </c>
      <c r="AR436" s="1708">
        <f>IF(Input!$F$183&gt;=$K436,Input!AH199,0)</f>
        <v>0</v>
      </c>
      <c r="AS436" s="1708">
        <f>IF(Input!$F$183&gt;=$K436,Input!AI199,0)</f>
        <v>0</v>
      </c>
      <c r="AT436" s="1708">
        <f>IF(Input!$F$183&gt;=$K436,Input!AJ199,0)</f>
        <v>0</v>
      </c>
      <c r="AU436" s="1708">
        <f>IF(Input!$F$183&gt;=$K436,Input!AK199,0)</f>
        <v>0</v>
      </c>
      <c r="AV436" s="1708">
        <f>IF(Input!$F$183&gt;=$K436,Input!AL199,0)</f>
        <v>0</v>
      </c>
      <c r="AW436" s="1708">
        <f>IF(Input!$F$183&gt;=$K436,Input!AM199,0)</f>
        <v>0</v>
      </c>
      <c r="AX436" s="1708">
        <f>IF(Input!$F$183&gt;=$K436,Input!AN199,0)</f>
        <v>0</v>
      </c>
      <c r="AY436" s="1708">
        <f>IF(Input!$F$183&gt;=$K436,Input!AO199,0)</f>
        <v>0</v>
      </c>
      <c r="AZ436" s="1708">
        <f>IF(Input!$F$183&gt;=$K436,Input!AP199,0)</f>
        <v>0</v>
      </c>
      <c r="BA436" s="1708">
        <f>IF(Input!$F$183&gt;=$K436,Input!AQ199,0)</f>
        <v>0</v>
      </c>
      <c r="BB436" s="1708">
        <f>IF(Input!$F$183&gt;=$K436,Input!AR199,0)</f>
        <v>0</v>
      </c>
      <c r="BC436" s="1708">
        <f>IF(Input!$F$183&gt;=$K436,Input!AS199,0)</f>
        <v>0</v>
      </c>
      <c r="BD436" s="1708">
        <f>IF(Input!$F$183&gt;=$K436,Input!AT199,0)</f>
        <v>0</v>
      </c>
      <c r="BE436" s="1708">
        <f>IF(Input!$F$183&gt;=$K436,Input!AU199,0)</f>
        <v>0</v>
      </c>
      <c r="BF436" s="1708">
        <f>IF(Input!$F$183&gt;=$K436,Input!AV199,0)</f>
        <v>0</v>
      </c>
      <c r="BG436" s="1708">
        <f>IF(Input!$F$183&gt;=$K436,Input!AW199,0)</f>
        <v>0</v>
      </c>
      <c r="BH436" s="1708">
        <f>IF(Input!$F$183&gt;=$K436,Input!AX199,0)</f>
        <v>0</v>
      </c>
      <c r="BI436" s="1708">
        <f>IF(Input!$F$183&gt;=$K436,Input!AY199,0)</f>
        <v>0</v>
      </c>
      <c r="BJ436" s="1708">
        <f>IF(Input!$F$183&gt;=$K436,Input!AZ199,0)</f>
        <v>0</v>
      </c>
      <c r="BK436" s="1708">
        <f>IF(Input!$F$183&gt;=$K436,Input!BA199,0)</f>
        <v>0</v>
      </c>
      <c r="BL436" s="1708">
        <f>IF(Input!$F$183&gt;=$K436,Input!BB199,0)</f>
        <v>0</v>
      </c>
      <c r="BM436" s="1708">
        <f>IF(Input!$F$183&gt;=$K436,Input!BC199,0)</f>
        <v>0</v>
      </c>
      <c r="BN436" s="1708">
        <f>IF(Input!$F$183&gt;=$K436,Input!BD199,0)</f>
        <v>0</v>
      </c>
      <c r="BO436" s="1708">
        <f>IF(Input!$F$183&gt;=$K436,Input!BE199,0)</f>
        <v>0</v>
      </c>
      <c r="BP436" s="1708">
        <f>IF(Input!$F$183&gt;=$K436,Input!BF199,0)</f>
        <v>0</v>
      </c>
      <c r="BQ436" s="1708">
        <f>IF(Input!$F$183&gt;=$K436,Input!BG199,0)</f>
        <v>0</v>
      </c>
      <c r="BR436" s="1708">
        <f>IF(Input!$F$183&gt;=$K436,Input!BH199,0)</f>
        <v>0</v>
      </c>
      <c r="BS436" s="1708">
        <f>IF(Input!$F$183&gt;=$K436,Input!BI199,0)</f>
        <v>0</v>
      </c>
      <c r="BT436" s="1708">
        <f>IF(Input!$F$183&gt;=$K436,Input!BJ199,0)</f>
        <v>0</v>
      </c>
      <c r="BU436" s="1708">
        <f>IF(Input!$F$183&gt;=$K436,Input!BK199,0)</f>
        <v>0</v>
      </c>
      <c r="BV436" s="1708">
        <f>IF(Input!$F$183&gt;=$K436,Input!BL199,0)</f>
        <v>0</v>
      </c>
      <c r="BW436" s="1708">
        <f>IF(Input!$F$183&gt;=$K436,Input!BM199,0)</f>
        <v>0</v>
      </c>
      <c r="BX436" s="92">
        <f>IF(Input!$F$183&gt;=$K436,Input!BN199,0)</f>
        <v>0</v>
      </c>
      <c r="BY436" s="92">
        <f>IF(Input!$F$183&gt;=$K436,Input!BO199,0)</f>
        <v>0</v>
      </c>
      <c r="BZ436" s="92">
        <f>IF(Input!$F$183&gt;=$K436,Input!BP199,0)</f>
        <v>0</v>
      </c>
      <c r="CA436" s="92">
        <f>IF(Input!$F$183&gt;=$K436,Input!BQ199,0)</f>
        <v>0</v>
      </c>
      <c r="CB436" s="92">
        <f>IF(Input!$F$183&gt;=$K436,Input!BR199,0)</f>
        <v>0</v>
      </c>
      <c r="CC436" s="92">
        <f>IF(Input!$F$183&gt;=$K436,Input!BS199,0)</f>
        <v>0</v>
      </c>
      <c r="CD436" s="275">
        <f>IF(Input!$F$183&gt;=$K436,Input!BT199,0)</f>
        <v>0</v>
      </c>
      <c r="CE436" s="69">
        <f t="shared" si="222"/>
        <v>0</v>
      </c>
      <c r="CF436" s="1136">
        <f t="shared" si="223"/>
        <v>0</v>
      </c>
      <c r="CG436" s="1136">
        <f t="shared" si="224"/>
        <v>0</v>
      </c>
      <c r="CH436" s="1136">
        <f t="shared" si="225"/>
        <v>0</v>
      </c>
      <c r="CI436" s="1136">
        <f t="shared" si="226"/>
        <v>0</v>
      </c>
      <c r="CJ436" s="1136">
        <f t="shared" si="227"/>
        <v>0</v>
      </c>
      <c r="CK436" s="1136">
        <f t="shared" si="228"/>
        <v>0</v>
      </c>
      <c r="CL436" s="1136">
        <f t="shared" si="229"/>
        <v>0</v>
      </c>
      <c r="CM436" s="1136">
        <f t="shared" si="230"/>
        <v>0</v>
      </c>
      <c r="CN436" s="1136">
        <f t="shared" si="231"/>
        <v>0</v>
      </c>
      <c r="CO436" s="1136">
        <f t="shared" si="232"/>
        <v>0</v>
      </c>
      <c r="CP436" s="1136">
        <f t="shared" si="233"/>
        <v>0</v>
      </c>
      <c r="CQ436" s="1136">
        <f t="shared" si="234"/>
        <v>0</v>
      </c>
      <c r="CR436" s="1136">
        <f t="shared" si="235"/>
        <v>0</v>
      </c>
      <c r="CS436" s="1136">
        <f t="shared" si="236"/>
        <v>0</v>
      </c>
      <c r="CT436" s="1136">
        <f t="shared" si="237"/>
        <v>0</v>
      </c>
      <c r="CU436" s="1136">
        <f t="shared" si="238"/>
        <v>0</v>
      </c>
      <c r="CV436" s="1136">
        <f t="shared" si="239"/>
        <v>0</v>
      </c>
      <c r="CW436" s="1136">
        <f t="shared" si="240"/>
        <v>0</v>
      </c>
      <c r="CX436" s="1136">
        <f t="shared" si="241"/>
        <v>0</v>
      </c>
      <c r="CY436" s="1136">
        <f t="shared" si="242"/>
        <v>0</v>
      </c>
      <c r="CZ436" s="1136">
        <f t="shared" si="243"/>
        <v>0</v>
      </c>
      <c r="DA436" s="1136">
        <f t="shared" si="244"/>
        <v>0</v>
      </c>
      <c r="DB436" s="1136">
        <f t="shared" si="245"/>
        <v>0</v>
      </c>
      <c r="DC436" s="1136">
        <f t="shared" si="246"/>
        <v>0</v>
      </c>
      <c r="DD436" s="1136">
        <f t="shared" si="247"/>
        <v>0</v>
      </c>
      <c r="DE436" s="1136">
        <f t="shared" si="248"/>
        <v>0</v>
      </c>
      <c r="DF436" s="1136">
        <f t="shared" si="249"/>
        <v>0</v>
      </c>
      <c r="DG436" s="1136">
        <f t="shared" si="250"/>
        <v>0</v>
      </c>
      <c r="DH436" s="1136">
        <f t="shared" si="251"/>
        <v>0</v>
      </c>
      <c r="DI436" s="1136">
        <f t="shared" si="252"/>
        <v>0</v>
      </c>
      <c r="DJ436" s="1136">
        <f t="shared" si="253"/>
        <v>0</v>
      </c>
      <c r="DK436" s="1136">
        <f t="shared" si="254"/>
        <v>0</v>
      </c>
      <c r="DL436" s="1136">
        <f t="shared" si="255"/>
        <v>0</v>
      </c>
      <c r="DM436" s="1136">
        <f t="shared" si="256"/>
        <v>0</v>
      </c>
      <c r="DN436" s="1136">
        <f t="shared" si="257"/>
        <v>0</v>
      </c>
      <c r="DO436" s="1136">
        <f t="shared" si="258"/>
        <v>0</v>
      </c>
      <c r="DP436" s="1136">
        <f t="shared" si="259"/>
        <v>0</v>
      </c>
      <c r="DQ436" s="1136">
        <f t="shared" si="260"/>
        <v>0</v>
      </c>
      <c r="DR436" s="1136">
        <f t="shared" si="261"/>
        <v>0</v>
      </c>
      <c r="DS436" s="1136">
        <f t="shared" si="262"/>
        <v>0</v>
      </c>
      <c r="DT436" s="1136">
        <f t="shared" si="263"/>
        <v>0</v>
      </c>
      <c r="DU436" s="1136">
        <f t="shared" si="264"/>
        <v>0</v>
      </c>
      <c r="DV436" s="1136">
        <f t="shared" si="265"/>
        <v>0</v>
      </c>
      <c r="DW436" s="1136">
        <f t="shared" si="266"/>
        <v>0</v>
      </c>
      <c r="DX436" s="1136">
        <f t="shared" si="267"/>
        <v>0</v>
      </c>
      <c r="DY436" s="1136">
        <f t="shared" si="268"/>
        <v>0</v>
      </c>
      <c r="DZ436" s="1136">
        <f t="shared" si="269"/>
        <v>0</v>
      </c>
      <c r="EA436" s="1136">
        <f t="shared" si="270"/>
        <v>0</v>
      </c>
      <c r="EB436" s="1136">
        <f t="shared" si="271"/>
        <v>0</v>
      </c>
      <c r="EC436" s="1136">
        <f t="shared" si="272"/>
        <v>0</v>
      </c>
      <c r="ED436" s="1136">
        <f t="shared" si="273"/>
        <v>0</v>
      </c>
      <c r="EE436" s="1136">
        <f t="shared" si="274"/>
        <v>0</v>
      </c>
      <c r="EF436" s="1136">
        <f t="shared" si="275"/>
        <v>0</v>
      </c>
      <c r="EG436" s="1136">
        <f t="shared" si="276"/>
        <v>0</v>
      </c>
      <c r="EH436" s="1136">
        <f t="shared" si="277"/>
        <v>0</v>
      </c>
      <c r="EI436" s="1136">
        <f t="shared" si="278"/>
        <v>0</v>
      </c>
      <c r="EJ436" s="1136">
        <f t="shared" si="279"/>
        <v>0</v>
      </c>
      <c r="EK436" s="1136">
        <f t="shared" si="280"/>
        <v>0</v>
      </c>
      <c r="EL436" s="1136">
        <f t="shared" si="281"/>
        <v>0</v>
      </c>
      <c r="EM436" s="1136">
        <f t="shared" si="282"/>
        <v>0</v>
      </c>
    </row>
    <row r="437" spans="11:143" ht="12" customHeight="1" x14ac:dyDescent="0.35">
      <c r="K437" s="102">
        <v>17</v>
      </c>
      <c r="L437" s="415">
        <f>Input!D200</f>
        <v>0</v>
      </c>
      <c r="M437" s="416">
        <f>IF(Input!$F$183&gt;=$K437,Input!G200,0)</f>
        <v>0</v>
      </c>
      <c r="N437" s="1705">
        <f>Input!H200</f>
        <v>0</v>
      </c>
      <c r="O437" s="1705">
        <f>Input!I200</f>
        <v>0</v>
      </c>
      <c r="P437" s="1706">
        <f>Input!J200</f>
        <v>0</v>
      </c>
      <c r="Q437" s="102">
        <v>17</v>
      </c>
      <c r="R437" s="1702">
        <f t="shared" si="220"/>
        <v>0</v>
      </c>
      <c r="S437" s="1702">
        <f t="shared" si="221"/>
        <v>0</v>
      </c>
      <c r="T437" s="1302">
        <f>IFERROR(VLOOKUP(R437,Infrastructure!$D$70:$F$129,3,FALSE),0)</f>
        <v>1</v>
      </c>
      <c r="U437" s="1302">
        <f>IFERROR(VLOOKUP(S437,Infrastructure!$D$70:$F$129,3,FALSE),0)</f>
        <v>1</v>
      </c>
      <c r="V437" s="102"/>
      <c r="W437" s="1707">
        <f>IF(Input!$F$183&gt;=$K437,Input!M200,0)</f>
        <v>0</v>
      </c>
      <c r="X437" s="1708">
        <f>IF(Input!$F$183&gt;=$K437,Input!N200,0)</f>
        <v>0</v>
      </c>
      <c r="Y437" s="1708">
        <f>IF(Input!$F$183&gt;=$K437,Input!O200,0)</f>
        <v>0</v>
      </c>
      <c r="Z437" s="1708">
        <f>IF(Input!$F$183&gt;=$K437,Input!P200,0)</f>
        <v>0</v>
      </c>
      <c r="AA437" s="1708">
        <f>IF(Input!$F$183&gt;=$K437,Input!Q200,0)</f>
        <v>0</v>
      </c>
      <c r="AB437" s="1708">
        <f>IF(Input!$F$183&gt;=$K437,Input!R200,0)</f>
        <v>0</v>
      </c>
      <c r="AC437" s="1708">
        <f>IF(Input!$F$183&gt;=$K437,Input!S200,0)</f>
        <v>0</v>
      </c>
      <c r="AD437" s="1708">
        <f>IF(Input!$F$183&gt;=$K437,Input!T200,0)</f>
        <v>0</v>
      </c>
      <c r="AE437" s="1708">
        <f>IF(Input!$F$183&gt;=$K437,Input!U200,0)</f>
        <v>0</v>
      </c>
      <c r="AF437" s="1708">
        <f>IF(Input!$F$183&gt;=$K437,Input!V200,0)</f>
        <v>0</v>
      </c>
      <c r="AG437" s="1708">
        <f>IF(Input!$F$183&gt;=$K437,Input!W200,0)</f>
        <v>0</v>
      </c>
      <c r="AH437" s="1708">
        <f>IF(Input!$F$183&gt;=$K437,Input!X200,0)</f>
        <v>0</v>
      </c>
      <c r="AI437" s="1708">
        <f>IF(Input!$F$183&gt;=$K437,Input!Y200,0)</f>
        <v>0</v>
      </c>
      <c r="AJ437" s="1708">
        <f>IF(Input!$F$183&gt;=$K437,Input!Z200,0)</f>
        <v>0</v>
      </c>
      <c r="AK437" s="1708">
        <f>IF(Input!$F$183&gt;=$K437,Input!AA200,0)</f>
        <v>0</v>
      </c>
      <c r="AL437" s="1708">
        <f>IF(Input!$F$183&gt;=$K437,Input!AB200,0)</f>
        <v>0</v>
      </c>
      <c r="AM437" s="1708">
        <f>IF(Input!$F$183&gt;=$K437,Input!AC200,0)</f>
        <v>0</v>
      </c>
      <c r="AN437" s="1708">
        <f>IF(Input!$F$183&gt;=$K437,Input!AD200,0)</f>
        <v>0</v>
      </c>
      <c r="AO437" s="1708">
        <f>IF(Input!$F$183&gt;=$K437,Input!AE200,0)</f>
        <v>0</v>
      </c>
      <c r="AP437" s="1708">
        <f>IF(Input!$F$183&gt;=$K437,Input!AF200,0)</f>
        <v>0</v>
      </c>
      <c r="AQ437" s="1708">
        <f>IF(Input!$F$183&gt;=$K437,Input!AG200,0)</f>
        <v>0</v>
      </c>
      <c r="AR437" s="1708">
        <f>IF(Input!$F$183&gt;=$K437,Input!AH200,0)</f>
        <v>0</v>
      </c>
      <c r="AS437" s="1708">
        <f>IF(Input!$F$183&gt;=$K437,Input!AI200,0)</f>
        <v>0</v>
      </c>
      <c r="AT437" s="1708">
        <f>IF(Input!$F$183&gt;=$K437,Input!AJ200,0)</f>
        <v>0</v>
      </c>
      <c r="AU437" s="1708">
        <f>IF(Input!$F$183&gt;=$K437,Input!AK200,0)</f>
        <v>0</v>
      </c>
      <c r="AV437" s="1708">
        <f>IF(Input!$F$183&gt;=$K437,Input!AL200,0)</f>
        <v>0</v>
      </c>
      <c r="AW437" s="1708">
        <f>IF(Input!$F$183&gt;=$K437,Input!AM200,0)</f>
        <v>0</v>
      </c>
      <c r="AX437" s="1708">
        <f>IF(Input!$F$183&gt;=$K437,Input!AN200,0)</f>
        <v>0</v>
      </c>
      <c r="AY437" s="1708">
        <f>IF(Input!$F$183&gt;=$K437,Input!AO200,0)</f>
        <v>0</v>
      </c>
      <c r="AZ437" s="1708">
        <f>IF(Input!$F$183&gt;=$K437,Input!AP200,0)</f>
        <v>0</v>
      </c>
      <c r="BA437" s="1708">
        <f>IF(Input!$F$183&gt;=$K437,Input!AQ200,0)</f>
        <v>0</v>
      </c>
      <c r="BB437" s="1708">
        <f>IF(Input!$F$183&gt;=$K437,Input!AR200,0)</f>
        <v>0</v>
      </c>
      <c r="BC437" s="1708">
        <f>IF(Input!$F$183&gt;=$K437,Input!AS200,0)</f>
        <v>0</v>
      </c>
      <c r="BD437" s="1708">
        <f>IF(Input!$F$183&gt;=$K437,Input!AT200,0)</f>
        <v>0</v>
      </c>
      <c r="BE437" s="1708">
        <f>IF(Input!$F$183&gt;=$K437,Input!AU200,0)</f>
        <v>0</v>
      </c>
      <c r="BF437" s="1708">
        <f>IF(Input!$F$183&gt;=$K437,Input!AV200,0)</f>
        <v>0</v>
      </c>
      <c r="BG437" s="1708">
        <f>IF(Input!$F$183&gt;=$K437,Input!AW200,0)</f>
        <v>0</v>
      </c>
      <c r="BH437" s="1708">
        <f>IF(Input!$F$183&gt;=$K437,Input!AX200,0)</f>
        <v>0</v>
      </c>
      <c r="BI437" s="1708">
        <f>IF(Input!$F$183&gt;=$K437,Input!AY200,0)</f>
        <v>0</v>
      </c>
      <c r="BJ437" s="1708">
        <f>IF(Input!$F$183&gt;=$K437,Input!AZ200,0)</f>
        <v>0</v>
      </c>
      <c r="BK437" s="1708">
        <f>IF(Input!$F$183&gt;=$K437,Input!BA200,0)</f>
        <v>0</v>
      </c>
      <c r="BL437" s="1708">
        <f>IF(Input!$F$183&gt;=$K437,Input!BB200,0)</f>
        <v>0</v>
      </c>
      <c r="BM437" s="1708">
        <f>IF(Input!$F$183&gt;=$K437,Input!BC200,0)</f>
        <v>0</v>
      </c>
      <c r="BN437" s="1708">
        <f>IF(Input!$F$183&gt;=$K437,Input!BD200,0)</f>
        <v>0</v>
      </c>
      <c r="BO437" s="1708">
        <f>IF(Input!$F$183&gt;=$K437,Input!BE200,0)</f>
        <v>0</v>
      </c>
      <c r="BP437" s="1708">
        <f>IF(Input!$F$183&gt;=$K437,Input!BF200,0)</f>
        <v>0</v>
      </c>
      <c r="BQ437" s="1708">
        <f>IF(Input!$F$183&gt;=$K437,Input!BG200,0)</f>
        <v>0</v>
      </c>
      <c r="BR437" s="1708">
        <f>IF(Input!$F$183&gt;=$K437,Input!BH200,0)</f>
        <v>0</v>
      </c>
      <c r="BS437" s="1708">
        <f>IF(Input!$F$183&gt;=$K437,Input!BI200,0)</f>
        <v>0</v>
      </c>
      <c r="BT437" s="1708">
        <f>IF(Input!$F$183&gt;=$K437,Input!BJ200,0)</f>
        <v>0</v>
      </c>
      <c r="BU437" s="1708">
        <f>IF(Input!$F$183&gt;=$K437,Input!BK200,0)</f>
        <v>0</v>
      </c>
      <c r="BV437" s="1708">
        <f>IF(Input!$F$183&gt;=$K437,Input!BL200,0)</f>
        <v>0</v>
      </c>
      <c r="BW437" s="1708">
        <f>IF(Input!$F$183&gt;=$K437,Input!BM200,0)</f>
        <v>0</v>
      </c>
      <c r="BX437" s="92">
        <f>IF(Input!$F$183&gt;=$K437,Input!BN200,0)</f>
        <v>0</v>
      </c>
      <c r="BY437" s="92">
        <f>IF(Input!$F$183&gt;=$K437,Input!BO200,0)</f>
        <v>0</v>
      </c>
      <c r="BZ437" s="92">
        <f>IF(Input!$F$183&gt;=$K437,Input!BP200,0)</f>
        <v>0</v>
      </c>
      <c r="CA437" s="92">
        <f>IF(Input!$F$183&gt;=$K437,Input!BQ200,0)</f>
        <v>0</v>
      </c>
      <c r="CB437" s="92">
        <f>IF(Input!$F$183&gt;=$K437,Input!BR200,0)</f>
        <v>0</v>
      </c>
      <c r="CC437" s="92">
        <f>IF(Input!$F$183&gt;=$K437,Input!BS200,0)</f>
        <v>0</v>
      </c>
      <c r="CD437" s="275">
        <f>IF(Input!$F$183&gt;=$K437,Input!BT200,0)</f>
        <v>0</v>
      </c>
      <c r="CE437" s="69">
        <f t="shared" si="222"/>
        <v>0</v>
      </c>
      <c r="CF437" s="1136">
        <f t="shared" si="223"/>
        <v>0</v>
      </c>
      <c r="CG437" s="1136">
        <f t="shared" si="224"/>
        <v>0</v>
      </c>
      <c r="CH437" s="1136">
        <f t="shared" si="225"/>
        <v>0</v>
      </c>
      <c r="CI437" s="1136">
        <f t="shared" si="226"/>
        <v>0</v>
      </c>
      <c r="CJ437" s="1136">
        <f t="shared" si="227"/>
        <v>0</v>
      </c>
      <c r="CK437" s="1136">
        <f t="shared" si="228"/>
        <v>0</v>
      </c>
      <c r="CL437" s="1136">
        <f t="shared" si="229"/>
        <v>0</v>
      </c>
      <c r="CM437" s="1136">
        <f t="shared" si="230"/>
        <v>0</v>
      </c>
      <c r="CN437" s="1136">
        <f t="shared" si="231"/>
        <v>0</v>
      </c>
      <c r="CO437" s="1136">
        <f t="shared" si="232"/>
        <v>0</v>
      </c>
      <c r="CP437" s="1136">
        <f t="shared" si="233"/>
        <v>0</v>
      </c>
      <c r="CQ437" s="1136">
        <f t="shared" si="234"/>
        <v>0</v>
      </c>
      <c r="CR437" s="1136">
        <f t="shared" si="235"/>
        <v>0</v>
      </c>
      <c r="CS437" s="1136">
        <f t="shared" si="236"/>
        <v>0</v>
      </c>
      <c r="CT437" s="1136">
        <f t="shared" si="237"/>
        <v>0</v>
      </c>
      <c r="CU437" s="1136">
        <f t="shared" si="238"/>
        <v>0</v>
      </c>
      <c r="CV437" s="1136">
        <f t="shared" si="239"/>
        <v>0</v>
      </c>
      <c r="CW437" s="1136">
        <f t="shared" si="240"/>
        <v>0</v>
      </c>
      <c r="CX437" s="1136">
        <f t="shared" si="241"/>
        <v>0</v>
      </c>
      <c r="CY437" s="1136">
        <f t="shared" si="242"/>
        <v>0</v>
      </c>
      <c r="CZ437" s="1136">
        <f t="shared" si="243"/>
        <v>0</v>
      </c>
      <c r="DA437" s="1136">
        <f t="shared" si="244"/>
        <v>0</v>
      </c>
      <c r="DB437" s="1136">
        <f t="shared" si="245"/>
        <v>0</v>
      </c>
      <c r="DC437" s="1136">
        <f t="shared" si="246"/>
        <v>0</v>
      </c>
      <c r="DD437" s="1136">
        <f t="shared" si="247"/>
        <v>0</v>
      </c>
      <c r="DE437" s="1136">
        <f t="shared" si="248"/>
        <v>0</v>
      </c>
      <c r="DF437" s="1136">
        <f t="shared" si="249"/>
        <v>0</v>
      </c>
      <c r="DG437" s="1136">
        <f t="shared" si="250"/>
        <v>0</v>
      </c>
      <c r="DH437" s="1136">
        <f t="shared" si="251"/>
        <v>0</v>
      </c>
      <c r="DI437" s="1136">
        <f t="shared" si="252"/>
        <v>0</v>
      </c>
      <c r="DJ437" s="1136">
        <f t="shared" si="253"/>
        <v>0</v>
      </c>
      <c r="DK437" s="1136">
        <f t="shared" si="254"/>
        <v>0</v>
      </c>
      <c r="DL437" s="1136">
        <f t="shared" si="255"/>
        <v>0</v>
      </c>
      <c r="DM437" s="1136">
        <f t="shared" si="256"/>
        <v>0</v>
      </c>
      <c r="DN437" s="1136">
        <f t="shared" si="257"/>
        <v>0</v>
      </c>
      <c r="DO437" s="1136">
        <f t="shared" si="258"/>
        <v>0</v>
      </c>
      <c r="DP437" s="1136">
        <f t="shared" si="259"/>
        <v>0</v>
      </c>
      <c r="DQ437" s="1136">
        <f t="shared" si="260"/>
        <v>0</v>
      </c>
      <c r="DR437" s="1136">
        <f t="shared" si="261"/>
        <v>0</v>
      </c>
      <c r="DS437" s="1136">
        <f t="shared" si="262"/>
        <v>0</v>
      </c>
      <c r="DT437" s="1136">
        <f t="shared" si="263"/>
        <v>0</v>
      </c>
      <c r="DU437" s="1136">
        <f t="shared" si="264"/>
        <v>0</v>
      </c>
      <c r="DV437" s="1136">
        <f t="shared" si="265"/>
        <v>0</v>
      </c>
      <c r="DW437" s="1136">
        <f t="shared" si="266"/>
        <v>0</v>
      </c>
      <c r="DX437" s="1136">
        <f t="shared" si="267"/>
        <v>0</v>
      </c>
      <c r="DY437" s="1136">
        <f t="shared" si="268"/>
        <v>0</v>
      </c>
      <c r="DZ437" s="1136">
        <f t="shared" si="269"/>
        <v>0</v>
      </c>
      <c r="EA437" s="1136">
        <f t="shared" si="270"/>
        <v>0</v>
      </c>
      <c r="EB437" s="1136">
        <f t="shared" si="271"/>
        <v>0</v>
      </c>
      <c r="EC437" s="1136">
        <f t="shared" si="272"/>
        <v>0</v>
      </c>
      <c r="ED437" s="1136">
        <f t="shared" si="273"/>
        <v>0</v>
      </c>
      <c r="EE437" s="1136">
        <f t="shared" si="274"/>
        <v>0</v>
      </c>
      <c r="EF437" s="1136">
        <f t="shared" si="275"/>
        <v>0</v>
      </c>
      <c r="EG437" s="1136">
        <f t="shared" si="276"/>
        <v>0</v>
      </c>
      <c r="EH437" s="1136">
        <f t="shared" si="277"/>
        <v>0</v>
      </c>
      <c r="EI437" s="1136">
        <f t="shared" si="278"/>
        <v>0</v>
      </c>
      <c r="EJ437" s="1136">
        <f t="shared" si="279"/>
        <v>0</v>
      </c>
      <c r="EK437" s="1136">
        <f t="shared" si="280"/>
        <v>0</v>
      </c>
      <c r="EL437" s="1136">
        <f t="shared" si="281"/>
        <v>0</v>
      </c>
      <c r="EM437" s="1136">
        <f t="shared" si="282"/>
        <v>0</v>
      </c>
    </row>
    <row r="438" spans="11:143" ht="12" customHeight="1" x14ac:dyDescent="0.35">
      <c r="K438" s="13">
        <v>18</v>
      </c>
      <c r="L438" s="87">
        <f>Input!D201</f>
        <v>0</v>
      </c>
      <c r="M438" s="88">
        <f>IF(Input!$F$183&gt;=$K438,Input!G201,0)</f>
        <v>0</v>
      </c>
      <c r="N438" s="197">
        <f>Input!H201</f>
        <v>0</v>
      </c>
      <c r="O438" s="197">
        <f>Input!I201</f>
        <v>0</v>
      </c>
      <c r="P438" s="90">
        <f>Input!J201</f>
        <v>0</v>
      </c>
      <c r="Q438" s="13">
        <v>18</v>
      </c>
      <c r="R438" s="207">
        <f t="shared" si="220"/>
        <v>0</v>
      </c>
      <c r="S438" s="207">
        <f t="shared" si="221"/>
        <v>0</v>
      </c>
      <c r="T438" s="40">
        <f>IFERROR(VLOOKUP(R438,Infrastructure!$D$70:$F$129,3,FALSE),0)</f>
        <v>1</v>
      </c>
      <c r="U438" s="40">
        <f>IFERROR(VLOOKUP(S438,Infrastructure!$D$70:$F$129,3,FALSE),0)</f>
        <v>1</v>
      </c>
      <c r="V438" s="13"/>
      <c r="W438" s="91">
        <f>IF(Input!$F$183&gt;=$K438,Input!M201,0)</f>
        <v>0</v>
      </c>
      <c r="X438" s="92">
        <f>IF(Input!$F$183&gt;=$K438,Input!N201,0)</f>
        <v>0</v>
      </c>
      <c r="Y438" s="92">
        <f>IF(Input!$F$183&gt;=$K438,Input!O201,0)</f>
        <v>0</v>
      </c>
      <c r="Z438" s="92">
        <f>IF(Input!$F$183&gt;=$K438,Input!P201,0)</f>
        <v>0</v>
      </c>
      <c r="AA438" s="92">
        <f>IF(Input!$F$183&gt;=$K438,Input!Q201,0)</f>
        <v>0</v>
      </c>
      <c r="AB438" s="92">
        <f>IF(Input!$F$183&gt;=$K438,Input!R201,0)</f>
        <v>0</v>
      </c>
      <c r="AC438" s="92">
        <f>IF(Input!$F$183&gt;=$K438,Input!S201,0)</f>
        <v>0</v>
      </c>
      <c r="AD438" s="92">
        <f>IF(Input!$F$183&gt;=$K438,Input!T201,0)</f>
        <v>0</v>
      </c>
      <c r="AE438" s="92">
        <f>IF(Input!$F$183&gt;=$K438,Input!U201,0)</f>
        <v>0</v>
      </c>
      <c r="AF438" s="92">
        <f>IF(Input!$F$183&gt;=$K438,Input!V201,0)</f>
        <v>0</v>
      </c>
      <c r="AG438" s="92">
        <f>IF(Input!$F$183&gt;=$K438,Input!W201,0)</f>
        <v>0</v>
      </c>
      <c r="AH438" s="92">
        <f>IF(Input!$F$183&gt;=$K438,Input!X201,0)</f>
        <v>0</v>
      </c>
      <c r="AI438" s="92">
        <f>IF(Input!$F$183&gt;=$K438,Input!Y201,0)</f>
        <v>0</v>
      </c>
      <c r="AJ438" s="92">
        <f>IF(Input!$F$183&gt;=$K438,Input!Z201,0)</f>
        <v>0</v>
      </c>
      <c r="AK438" s="92">
        <f>IF(Input!$F$183&gt;=$K438,Input!AA201,0)</f>
        <v>0</v>
      </c>
      <c r="AL438" s="92">
        <f>IF(Input!$F$183&gt;=$K438,Input!AB201,0)</f>
        <v>0</v>
      </c>
      <c r="AM438" s="92">
        <f>IF(Input!$F$183&gt;=$K438,Input!AC201,0)</f>
        <v>0</v>
      </c>
      <c r="AN438" s="92">
        <f>IF(Input!$F$183&gt;=$K438,Input!AD201,0)</f>
        <v>0</v>
      </c>
      <c r="AO438" s="92">
        <f>IF(Input!$F$183&gt;=$K438,Input!AE201,0)</f>
        <v>0</v>
      </c>
      <c r="AP438" s="92">
        <f>IF(Input!$F$183&gt;=$K438,Input!AF201,0)</f>
        <v>0</v>
      </c>
      <c r="AQ438" s="92">
        <f>IF(Input!$F$183&gt;=$K438,Input!AG201,0)</f>
        <v>0</v>
      </c>
      <c r="AR438" s="92">
        <f>IF(Input!$F$183&gt;=$K438,Input!AH201,0)</f>
        <v>0</v>
      </c>
      <c r="AS438" s="92">
        <f>IF(Input!$F$183&gt;=$K438,Input!AI201,0)</f>
        <v>0</v>
      </c>
      <c r="AT438" s="92">
        <f>IF(Input!$F$183&gt;=$K438,Input!AJ201,0)</f>
        <v>0</v>
      </c>
      <c r="AU438" s="92">
        <f>IF(Input!$F$183&gt;=$K438,Input!AK201,0)</f>
        <v>0</v>
      </c>
      <c r="AV438" s="92">
        <f>IF(Input!$F$183&gt;=$K438,Input!AL201,0)</f>
        <v>0</v>
      </c>
      <c r="AW438" s="92">
        <f>IF(Input!$F$183&gt;=$K438,Input!AM201,0)</f>
        <v>0</v>
      </c>
      <c r="AX438" s="92">
        <f>IF(Input!$F$183&gt;=$K438,Input!AN201,0)</f>
        <v>0</v>
      </c>
      <c r="AY438" s="92">
        <f>IF(Input!$F$183&gt;=$K438,Input!AO201,0)</f>
        <v>0</v>
      </c>
      <c r="AZ438" s="92">
        <f>IF(Input!$F$183&gt;=$K438,Input!AP201,0)</f>
        <v>0</v>
      </c>
      <c r="BA438" s="92">
        <f>IF(Input!$F$183&gt;=$K438,Input!AQ201,0)</f>
        <v>0</v>
      </c>
      <c r="BB438" s="92">
        <f>IF(Input!$F$183&gt;=$K438,Input!AR201,0)</f>
        <v>0</v>
      </c>
      <c r="BC438" s="92">
        <f>IF(Input!$F$183&gt;=$K438,Input!AS201,0)</f>
        <v>0</v>
      </c>
      <c r="BD438" s="92">
        <f>IF(Input!$F$183&gt;=$K438,Input!AT201,0)</f>
        <v>0</v>
      </c>
      <c r="BE438" s="92">
        <f>IF(Input!$F$183&gt;=$K438,Input!AU201,0)</f>
        <v>0</v>
      </c>
      <c r="BF438" s="92">
        <f>IF(Input!$F$183&gt;=$K438,Input!AV201,0)</f>
        <v>0</v>
      </c>
      <c r="BG438" s="92">
        <f>IF(Input!$F$183&gt;=$K438,Input!AW201,0)</f>
        <v>0</v>
      </c>
      <c r="BH438" s="92">
        <f>IF(Input!$F$183&gt;=$K438,Input!AX201,0)</f>
        <v>0</v>
      </c>
      <c r="BI438" s="92">
        <f>IF(Input!$F$183&gt;=$K438,Input!AY201,0)</f>
        <v>0</v>
      </c>
      <c r="BJ438" s="92">
        <f>IF(Input!$F$183&gt;=$K438,Input!AZ201,0)</f>
        <v>0</v>
      </c>
      <c r="BK438" s="92">
        <f>IF(Input!$F$183&gt;=$K438,Input!BA201,0)</f>
        <v>0</v>
      </c>
      <c r="BL438" s="92">
        <f>IF(Input!$F$183&gt;=$K438,Input!BB201,0)</f>
        <v>0</v>
      </c>
      <c r="BM438" s="92">
        <f>IF(Input!$F$183&gt;=$K438,Input!BC201,0)</f>
        <v>0</v>
      </c>
      <c r="BN438" s="92">
        <f>IF(Input!$F$183&gt;=$K438,Input!BD201,0)</f>
        <v>0</v>
      </c>
      <c r="BO438" s="92">
        <f>IF(Input!$F$183&gt;=$K438,Input!BE201,0)</f>
        <v>0</v>
      </c>
      <c r="BP438" s="92">
        <f>IF(Input!$F$183&gt;=$K438,Input!BF201,0)</f>
        <v>0</v>
      </c>
      <c r="BQ438" s="92">
        <f>IF(Input!$F$183&gt;=$K438,Input!BG201,0)</f>
        <v>0</v>
      </c>
      <c r="BR438" s="92">
        <f>IF(Input!$F$183&gt;=$K438,Input!BH201,0)</f>
        <v>0</v>
      </c>
      <c r="BS438" s="92">
        <f>IF(Input!$F$183&gt;=$K438,Input!BI201,0)</f>
        <v>0</v>
      </c>
      <c r="BT438" s="92">
        <f>IF(Input!$F$183&gt;=$K438,Input!BJ201,0)</f>
        <v>0</v>
      </c>
      <c r="BU438" s="92">
        <f>IF(Input!$F$183&gt;=$K438,Input!BK201,0)</f>
        <v>0</v>
      </c>
      <c r="BV438" s="92">
        <f>IF(Input!$F$183&gt;=$K438,Input!BL201,0)</f>
        <v>0</v>
      </c>
      <c r="BW438" s="92">
        <f>IF(Input!$F$183&gt;=$K438,Input!BM201,0)</f>
        <v>0</v>
      </c>
      <c r="BX438" s="92">
        <f>IF(Input!$F$183&gt;=$K438,Input!BN201,0)</f>
        <v>0</v>
      </c>
      <c r="BY438" s="92">
        <f>IF(Input!$F$183&gt;=$K438,Input!BO201,0)</f>
        <v>0</v>
      </c>
      <c r="BZ438" s="92">
        <f>IF(Input!$F$183&gt;=$K438,Input!BP201,0)</f>
        <v>0</v>
      </c>
      <c r="CA438" s="92">
        <f>IF(Input!$F$183&gt;=$K438,Input!BQ201,0)</f>
        <v>0</v>
      </c>
      <c r="CB438" s="92">
        <f>IF(Input!$F$183&gt;=$K438,Input!BR201,0)</f>
        <v>0</v>
      </c>
      <c r="CC438" s="92">
        <f>IF(Input!$F$183&gt;=$K438,Input!BS201,0)</f>
        <v>0</v>
      </c>
      <c r="CD438" s="275">
        <f>IF(Input!$F$183&gt;=$K438,Input!BT201,0)</f>
        <v>0</v>
      </c>
      <c r="CE438" s="69">
        <f t="shared" si="222"/>
        <v>0</v>
      </c>
      <c r="CF438" s="1136">
        <f t="shared" si="223"/>
        <v>0</v>
      </c>
      <c r="CG438" s="1136">
        <f t="shared" si="224"/>
        <v>0</v>
      </c>
      <c r="CH438" s="1136">
        <f t="shared" si="225"/>
        <v>0</v>
      </c>
      <c r="CI438" s="1136">
        <f t="shared" si="226"/>
        <v>0</v>
      </c>
      <c r="CJ438" s="1136">
        <f t="shared" si="227"/>
        <v>0</v>
      </c>
      <c r="CK438" s="1136">
        <f t="shared" si="228"/>
        <v>0</v>
      </c>
      <c r="CL438" s="1136">
        <f t="shared" si="229"/>
        <v>0</v>
      </c>
      <c r="CM438" s="1136">
        <f t="shared" si="230"/>
        <v>0</v>
      </c>
      <c r="CN438" s="1136">
        <f t="shared" si="231"/>
        <v>0</v>
      </c>
      <c r="CO438" s="1136">
        <f t="shared" si="232"/>
        <v>0</v>
      </c>
      <c r="CP438" s="1136">
        <f t="shared" si="233"/>
        <v>0</v>
      </c>
      <c r="CQ438" s="1136">
        <f t="shared" si="234"/>
        <v>0</v>
      </c>
      <c r="CR438" s="1136">
        <f t="shared" si="235"/>
        <v>0</v>
      </c>
      <c r="CS438" s="1136">
        <f t="shared" si="236"/>
        <v>0</v>
      </c>
      <c r="CT438" s="1136">
        <f t="shared" si="237"/>
        <v>0</v>
      </c>
      <c r="CU438" s="1136">
        <f t="shared" si="238"/>
        <v>0</v>
      </c>
      <c r="CV438" s="1136">
        <f t="shared" si="239"/>
        <v>0</v>
      </c>
      <c r="CW438" s="1136">
        <f t="shared" si="240"/>
        <v>0</v>
      </c>
      <c r="CX438" s="1136">
        <f t="shared" si="241"/>
        <v>0</v>
      </c>
      <c r="CY438" s="1136">
        <f t="shared" si="242"/>
        <v>0</v>
      </c>
      <c r="CZ438" s="1136">
        <f t="shared" si="243"/>
        <v>0</v>
      </c>
      <c r="DA438" s="1136">
        <f t="shared" si="244"/>
        <v>0</v>
      </c>
      <c r="DB438" s="1136">
        <f t="shared" si="245"/>
        <v>0</v>
      </c>
      <c r="DC438" s="1136">
        <f t="shared" si="246"/>
        <v>0</v>
      </c>
      <c r="DD438" s="1136">
        <f t="shared" si="247"/>
        <v>0</v>
      </c>
      <c r="DE438" s="1136">
        <f t="shared" si="248"/>
        <v>0</v>
      </c>
      <c r="DF438" s="1136">
        <f t="shared" si="249"/>
        <v>0</v>
      </c>
      <c r="DG438" s="1136">
        <f t="shared" si="250"/>
        <v>0</v>
      </c>
      <c r="DH438" s="1136">
        <f t="shared" si="251"/>
        <v>0</v>
      </c>
      <c r="DI438" s="1136">
        <f t="shared" si="252"/>
        <v>0</v>
      </c>
      <c r="DJ438" s="1136">
        <f t="shared" si="253"/>
        <v>0</v>
      </c>
      <c r="DK438" s="1136">
        <f t="shared" si="254"/>
        <v>0</v>
      </c>
      <c r="DL438" s="1136">
        <f t="shared" si="255"/>
        <v>0</v>
      </c>
      <c r="DM438" s="1136">
        <f t="shared" si="256"/>
        <v>0</v>
      </c>
      <c r="DN438" s="1136">
        <f t="shared" si="257"/>
        <v>0</v>
      </c>
      <c r="DO438" s="1136">
        <f t="shared" si="258"/>
        <v>0</v>
      </c>
      <c r="DP438" s="1136">
        <f t="shared" si="259"/>
        <v>0</v>
      </c>
      <c r="DQ438" s="1136">
        <f t="shared" si="260"/>
        <v>0</v>
      </c>
      <c r="DR438" s="1136">
        <f t="shared" si="261"/>
        <v>0</v>
      </c>
      <c r="DS438" s="1136">
        <f t="shared" si="262"/>
        <v>0</v>
      </c>
      <c r="DT438" s="1136">
        <f t="shared" si="263"/>
        <v>0</v>
      </c>
      <c r="DU438" s="1136">
        <f t="shared" si="264"/>
        <v>0</v>
      </c>
      <c r="DV438" s="1136">
        <f t="shared" si="265"/>
        <v>0</v>
      </c>
      <c r="DW438" s="1136">
        <f t="shared" si="266"/>
        <v>0</v>
      </c>
      <c r="DX438" s="1136">
        <f t="shared" si="267"/>
        <v>0</v>
      </c>
      <c r="DY438" s="1136">
        <f t="shared" si="268"/>
        <v>0</v>
      </c>
      <c r="DZ438" s="1136">
        <f t="shared" si="269"/>
        <v>0</v>
      </c>
      <c r="EA438" s="1136">
        <f t="shared" si="270"/>
        <v>0</v>
      </c>
      <c r="EB438" s="1136">
        <f t="shared" si="271"/>
        <v>0</v>
      </c>
      <c r="EC438" s="1136">
        <f t="shared" si="272"/>
        <v>0</v>
      </c>
      <c r="ED438" s="1136">
        <f t="shared" si="273"/>
        <v>0</v>
      </c>
      <c r="EE438" s="1136">
        <f t="shared" si="274"/>
        <v>0</v>
      </c>
      <c r="EF438" s="1136">
        <f t="shared" si="275"/>
        <v>0</v>
      </c>
      <c r="EG438" s="1136">
        <f t="shared" si="276"/>
        <v>0</v>
      </c>
      <c r="EH438" s="1136">
        <f t="shared" si="277"/>
        <v>0</v>
      </c>
      <c r="EI438" s="1136">
        <f t="shared" si="278"/>
        <v>0</v>
      </c>
      <c r="EJ438" s="1136">
        <f t="shared" si="279"/>
        <v>0</v>
      </c>
      <c r="EK438" s="1136">
        <f t="shared" si="280"/>
        <v>0</v>
      </c>
      <c r="EL438" s="1136">
        <f t="shared" si="281"/>
        <v>0</v>
      </c>
      <c r="EM438" s="1136">
        <f t="shared" si="282"/>
        <v>0</v>
      </c>
    </row>
    <row r="439" spans="11:143" ht="12" customHeight="1" x14ac:dyDescent="0.35">
      <c r="K439" s="13">
        <v>19</v>
      </c>
      <c r="L439" s="87">
        <f>Input!D202</f>
        <v>0</v>
      </c>
      <c r="M439" s="88">
        <f>IF(Input!$F$183&gt;=$K439,Input!G202,0)</f>
        <v>0</v>
      </c>
      <c r="N439" s="197">
        <f>Input!H202</f>
        <v>0</v>
      </c>
      <c r="O439" s="197">
        <f>Input!I202</f>
        <v>0</v>
      </c>
      <c r="P439" s="90">
        <f>Input!J202</f>
        <v>0</v>
      </c>
      <c r="Q439" s="13">
        <v>19</v>
      </c>
      <c r="R439" s="207">
        <f t="shared" si="220"/>
        <v>0</v>
      </c>
      <c r="S439" s="207">
        <f t="shared" si="221"/>
        <v>0</v>
      </c>
      <c r="T439" s="40">
        <f>IFERROR(VLOOKUP(R439,Infrastructure!$D$70:$F$129,3,FALSE),0)</f>
        <v>1</v>
      </c>
      <c r="U439" s="40">
        <f>IFERROR(VLOOKUP(S439,Infrastructure!$D$70:$F$129,3,FALSE),0)</f>
        <v>1</v>
      </c>
      <c r="V439" s="13"/>
      <c r="W439" s="91">
        <f>IF(Input!$F$183&gt;=$K439,Input!M202,0)</f>
        <v>0</v>
      </c>
      <c r="X439" s="92">
        <f>IF(Input!$F$183&gt;=$K439,Input!N202,0)</f>
        <v>0</v>
      </c>
      <c r="Y439" s="92">
        <f>IF(Input!$F$183&gt;=$K439,Input!O202,0)</f>
        <v>0</v>
      </c>
      <c r="Z439" s="92">
        <f>IF(Input!$F$183&gt;=$K439,Input!P202,0)</f>
        <v>0</v>
      </c>
      <c r="AA439" s="92">
        <f>IF(Input!$F$183&gt;=$K439,Input!Q202,0)</f>
        <v>0</v>
      </c>
      <c r="AB439" s="92">
        <f>IF(Input!$F$183&gt;=$K439,Input!R202,0)</f>
        <v>0</v>
      </c>
      <c r="AC439" s="92">
        <f>IF(Input!$F$183&gt;=$K439,Input!S202,0)</f>
        <v>0</v>
      </c>
      <c r="AD439" s="92">
        <f>IF(Input!$F$183&gt;=$K439,Input!T202,0)</f>
        <v>0</v>
      </c>
      <c r="AE439" s="92">
        <f>IF(Input!$F$183&gt;=$K439,Input!U202,0)</f>
        <v>0</v>
      </c>
      <c r="AF439" s="92">
        <f>IF(Input!$F$183&gt;=$K439,Input!V202,0)</f>
        <v>0</v>
      </c>
      <c r="AG439" s="92">
        <f>IF(Input!$F$183&gt;=$K439,Input!W202,0)</f>
        <v>0</v>
      </c>
      <c r="AH439" s="92">
        <f>IF(Input!$F$183&gt;=$K439,Input!X202,0)</f>
        <v>0</v>
      </c>
      <c r="AI439" s="92">
        <f>IF(Input!$F$183&gt;=$K439,Input!Y202,0)</f>
        <v>0</v>
      </c>
      <c r="AJ439" s="92">
        <f>IF(Input!$F$183&gt;=$K439,Input!Z202,0)</f>
        <v>0</v>
      </c>
      <c r="AK439" s="92">
        <f>IF(Input!$F$183&gt;=$K439,Input!AA202,0)</f>
        <v>0</v>
      </c>
      <c r="AL439" s="92">
        <f>IF(Input!$F$183&gt;=$K439,Input!AB202,0)</f>
        <v>0</v>
      </c>
      <c r="AM439" s="92">
        <f>IF(Input!$F$183&gt;=$K439,Input!AC202,0)</f>
        <v>0</v>
      </c>
      <c r="AN439" s="92">
        <f>IF(Input!$F$183&gt;=$K439,Input!AD202,0)</f>
        <v>0</v>
      </c>
      <c r="AO439" s="92">
        <f>IF(Input!$F$183&gt;=$K439,Input!AE202,0)</f>
        <v>0</v>
      </c>
      <c r="AP439" s="92">
        <f>IF(Input!$F$183&gt;=$K439,Input!AF202,0)</f>
        <v>0</v>
      </c>
      <c r="AQ439" s="92">
        <f>IF(Input!$F$183&gt;=$K439,Input!AG202,0)</f>
        <v>0</v>
      </c>
      <c r="AR439" s="92">
        <f>IF(Input!$F$183&gt;=$K439,Input!AH202,0)</f>
        <v>0</v>
      </c>
      <c r="AS439" s="92">
        <f>IF(Input!$F$183&gt;=$K439,Input!AI202,0)</f>
        <v>0</v>
      </c>
      <c r="AT439" s="92">
        <f>IF(Input!$F$183&gt;=$K439,Input!AJ202,0)</f>
        <v>0</v>
      </c>
      <c r="AU439" s="92">
        <f>IF(Input!$F$183&gt;=$K439,Input!AK202,0)</f>
        <v>0</v>
      </c>
      <c r="AV439" s="92">
        <f>IF(Input!$F$183&gt;=$K439,Input!AL202,0)</f>
        <v>0</v>
      </c>
      <c r="AW439" s="92">
        <f>IF(Input!$F$183&gt;=$K439,Input!AM202,0)</f>
        <v>0</v>
      </c>
      <c r="AX439" s="92">
        <f>IF(Input!$F$183&gt;=$K439,Input!AN202,0)</f>
        <v>0</v>
      </c>
      <c r="AY439" s="92">
        <f>IF(Input!$F$183&gt;=$K439,Input!AO202,0)</f>
        <v>0</v>
      </c>
      <c r="AZ439" s="92">
        <f>IF(Input!$F$183&gt;=$K439,Input!AP202,0)</f>
        <v>0</v>
      </c>
      <c r="BA439" s="92">
        <f>IF(Input!$F$183&gt;=$K439,Input!AQ202,0)</f>
        <v>0</v>
      </c>
      <c r="BB439" s="92">
        <f>IF(Input!$F$183&gt;=$K439,Input!AR202,0)</f>
        <v>0</v>
      </c>
      <c r="BC439" s="92">
        <f>IF(Input!$F$183&gt;=$K439,Input!AS202,0)</f>
        <v>0</v>
      </c>
      <c r="BD439" s="92">
        <f>IF(Input!$F$183&gt;=$K439,Input!AT202,0)</f>
        <v>0</v>
      </c>
      <c r="BE439" s="92">
        <f>IF(Input!$F$183&gt;=$K439,Input!AU202,0)</f>
        <v>0</v>
      </c>
      <c r="BF439" s="92">
        <f>IF(Input!$F$183&gt;=$K439,Input!AV202,0)</f>
        <v>0</v>
      </c>
      <c r="BG439" s="92">
        <f>IF(Input!$F$183&gt;=$K439,Input!AW202,0)</f>
        <v>0</v>
      </c>
      <c r="BH439" s="92">
        <f>IF(Input!$F$183&gt;=$K439,Input!AX202,0)</f>
        <v>0</v>
      </c>
      <c r="BI439" s="92">
        <f>IF(Input!$F$183&gt;=$K439,Input!AY202,0)</f>
        <v>0</v>
      </c>
      <c r="BJ439" s="92">
        <f>IF(Input!$F$183&gt;=$K439,Input!AZ202,0)</f>
        <v>0</v>
      </c>
      <c r="BK439" s="92">
        <f>IF(Input!$F$183&gt;=$K439,Input!BA202,0)</f>
        <v>0</v>
      </c>
      <c r="BL439" s="92">
        <f>IF(Input!$F$183&gt;=$K439,Input!BB202,0)</f>
        <v>0</v>
      </c>
      <c r="BM439" s="92">
        <f>IF(Input!$F$183&gt;=$K439,Input!BC202,0)</f>
        <v>0</v>
      </c>
      <c r="BN439" s="92">
        <f>IF(Input!$F$183&gt;=$K439,Input!BD202,0)</f>
        <v>0</v>
      </c>
      <c r="BO439" s="92">
        <f>IF(Input!$F$183&gt;=$K439,Input!BE202,0)</f>
        <v>0</v>
      </c>
      <c r="BP439" s="92">
        <f>IF(Input!$F$183&gt;=$K439,Input!BF202,0)</f>
        <v>0</v>
      </c>
      <c r="BQ439" s="92">
        <f>IF(Input!$F$183&gt;=$K439,Input!BG202,0)</f>
        <v>0</v>
      </c>
      <c r="BR439" s="92">
        <f>IF(Input!$F$183&gt;=$K439,Input!BH202,0)</f>
        <v>0</v>
      </c>
      <c r="BS439" s="92">
        <f>IF(Input!$F$183&gt;=$K439,Input!BI202,0)</f>
        <v>0</v>
      </c>
      <c r="BT439" s="92">
        <f>IF(Input!$F$183&gt;=$K439,Input!BJ202,0)</f>
        <v>0</v>
      </c>
      <c r="BU439" s="92">
        <f>IF(Input!$F$183&gt;=$K439,Input!BK202,0)</f>
        <v>0</v>
      </c>
      <c r="BV439" s="92">
        <f>IF(Input!$F$183&gt;=$K439,Input!BL202,0)</f>
        <v>0</v>
      </c>
      <c r="BW439" s="92">
        <f>IF(Input!$F$183&gt;=$K439,Input!BM202,0)</f>
        <v>0</v>
      </c>
      <c r="BX439" s="92">
        <f>IF(Input!$F$183&gt;=$K439,Input!BN202,0)</f>
        <v>0</v>
      </c>
      <c r="BY439" s="92">
        <f>IF(Input!$F$183&gt;=$K439,Input!BO202,0)</f>
        <v>0</v>
      </c>
      <c r="BZ439" s="92">
        <f>IF(Input!$F$183&gt;=$K439,Input!BP202,0)</f>
        <v>0</v>
      </c>
      <c r="CA439" s="92">
        <f>IF(Input!$F$183&gt;=$K439,Input!BQ202,0)</f>
        <v>0</v>
      </c>
      <c r="CB439" s="92">
        <f>IF(Input!$F$183&gt;=$K439,Input!BR202,0)</f>
        <v>0</v>
      </c>
      <c r="CC439" s="92">
        <f>IF(Input!$F$183&gt;=$K439,Input!BS202,0)</f>
        <v>0</v>
      </c>
      <c r="CD439" s="275">
        <f>IF(Input!$F$183&gt;=$K439,Input!BT202,0)</f>
        <v>0</v>
      </c>
      <c r="CE439" s="69">
        <f t="shared" si="222"/>
        <v>0</v>
      </c>
      <c r="CF439" s="1136">
        <f t="shared" si="223"/>
        <v>0</v>
      </c>
      <c r="CG439" s="1136">
        <f t="shared" si="224"/>
        <v>0</v>
      </c>
      <c r="CH439" s="1136">
        <f t="shared" si="225"/>
        <v>0</v>
      </c>
      <c r="CI439" s="1136">
        <f t="shared" si="226"/>
        <v>0</v>
      </c>
      <c r="CJ439" s="1136">
        <f t="shared" si="227"/>
        <v>0</v>
      </c>
      <c r="CK439" s="1136">
        <f t="shared" si="228"/>
        <v>0</v>
      </c>
      <c r="CL439" s="1136">
        <f t="shared" si="229"/>
        <v>0</v>
      </c>
      <c r="CM439" s="1136">
        <f t="shared" si="230"/>
        <v>0</v>
      </c>
      <c r="CN439" s="1136">
        <f t="shared" si="231"/>
        <v>0</v>
      </c>
      <c r="CO439" s="1136">
        <f t="shared" si="232"/>
        <v>0</v>
      </c>
      <c r="CP439" s="1136">
        <f t="shared" si="233"/>
        <v>0</v>
      </c>
      <c r="CQ439" s="1136">
        <f t="shared" si="234"/>
        <v>0</v>
      </c>
      <c r="CR439" s="1136">
        <f t="shared" si="235"/>
        <v>0</v>
      </c>
      <c r="CS439" s="1136">
        <f t="shared" si="236"/>
        <v>0</v>
      </c>
      <c r="CT439" s="1136">
        <f t="shared" si="237"/>
        <v>0</v>
      </c>
      <c r="CU439" s="1136">
        <f t="shared" si="238"/>
        <v>0</v>
      </c>
      <c r="CV439" s="1136">
        <f t="shared" si="239"/>
        <v>0</v>
      </c>
      <c r="CW439" s="1136">
        <f t="shared" si="240"/>
        <v>0</v>
      </c>
      <c r="CX439" s="1136">
        <f t="shared" si="241"/>
        <v>0</v>
      </c>
      <c r="CY439" s="1136">
        <f t="shared" si="242"/>
        <v>0</v>
      </c>
      <c r="CZ439" s="1136">
        <f t="shared" si="243"/>
        <v>0</v>
      </c>
      <c r="DA439" s="1136">
        <f t="shared" si="244"/>
        <v>0</v>
      </c>
      <c r="DB439" s="1136">
        <f t="shared" si="245"/>
        <v>0</v>
      </c>
      <c r="DC439" s="1136">
        <f t="shared" si="246"/>
        <v>0</v>
      </c>
      <c r="DD439" s="1136">
        <f t="shared" si="247"/>
        <v>0</v>
      </c>
      <c r="DE439" s="1136">
        <f t="shared" si="248"/>
        <v>0</v>
      </c>
      <c r="DF439" s="1136">
        <f t="shared" si="249"/>
        <v>0</v>
      </c>
      <c r="DG439" s="1136">
        <f t="shared" si="250"/>
        <v>0</v>
      </c>
      <c r="DH439" s="1136">
        <f t="shared" si="251"/>
        <v>0</v>
      </c>
      <c r="DI439" s="1136">
        <f t="shared" si="252"/>
        <v>0</v>
      </c>
      <c r="DJ439" s="1136">
        <f t="shared" si="253"/>
        <v>0</v>
      </c>
      <c r="DK439" s="1136">
        <f t="shared" si="254"/>
        <v>0</v>
      </c>
      <c r="DL439" s="1136">
        <f t="shared" si="255"/>
        <v>0</v>
      </c>
      <c r="DM439" s="1136">
        <f t="shared" si="256"/>
        <v>0</v>
      </c>
      <c r="DN439" s="1136">
        <f t="shared" si="257"/>
        <v>0</v>
      </c>
      <c r="DO439" s="1136">
        <f t="shared" si="258"/>
        <v>0</v>
      </c>
      <c r="DP439" s="1136">
        <f t="shared" si="259"/>
        <v>0</v>
      </c>
      <c r="DQ439" s="1136">
        <f t="shared" si="260"/>
        <v>0</v>
      </c>
      <c r="DR439" s="1136">
        <f t="shared" si="261"/>
        <v>0</v>
      </c>
      <c r="DS439" s="1136">
        <f t="shared" si="262"/>
        <v>0</v>
      </c>
      <c r="DT439" s="1136">
        <f t="shared" si="263"/>
        <v>0</v>
      </c>
      <c r="DU439" s="1136">
        <f t="shared" si="264"/>
        <v>0</v>
      </c>
      <c r="DV439" s="1136">
        <f t="shared" si="265"/>
        <v>0</v>
      </c>
      <c r="DW439" s="1136">
        <f t="shared" si="266"/>
        <v>0</v>
      </c>
      <c r="DX439" s="1136">
        <f t="shared" si="267"/>
        <v>0</v>
      </c>
      <c r="DY439" s="1136">
        <f t="shared" si="268"/>
        <v>0</v>
      </c>
      <c r="DZ439" s="1136">
        <f t="shared" si="269"/>
        <v>0</v>
      </c>
      <c r="EA439" s="1136">
        <f t="shared" si="270"/>
        <v>0</v>
      </c>
      <c r="EB439" s="1136">
        <f t="shared" si="271"/>
        <v>0</v>
      </c>
      <c r="EC439" s="1136">
        <f t="shared" si="272"/>
        <v>0</v>
      </c>
      <c r="ED439" s="1136">
        <f t="shared" si="273"/>
        <v>0</v>
      </c>
      <c r="EE439" s="1136">
        <f t="shared" si="274"/>
        <v>0</v>
      </c>
      <c r="EF439" s="1136">
        <f t="shared" si="275"/>
        <v>0</v>
      </c>
      <c r="EG439" s="1136">
        <f t="shared" si="276"/>
        <v>0</v>
      </c>
      <c r="EH439" s="1136">
        <f t="shared" si="277"/>
        <v>0</v>
      </c>
      <c r="EI439" s="1136">
        <f t="shared" si="278"/>
        <v>0</v>
      </c>
      <c r="EJ439" s="1136">
        <f t="shared" si="279"/>
        <v>0</v>
      </c>
      <c r="EK439" s="1136">
        <f t="shared" si="280"/>
        <v>0</v>
      </c>
      <c r="EL439" s="1136">
        <f t="shared" si="281"/>
        <v>0</v>
      </c>
      <c r="EM439" s="1136">
        <f t="shared" si="282"/>
        <v>0</v>
      </c>
    </row>
    <row r="440" spans="11:143" ht="12" customHeight="1" x14ac:dyDescent="0.35">
      <c r="K440" s="13">
        <v>20</v>
      </c>
      <c r="L440" s="87">
        <f>Input!D203</f>
        <v>0</v>
      </c>
      <c r="M440" s="88">
        <f>IF(Input!$F$183&gt;=$K440,Input!G203,0)</f>
        <v>0</v>
      </c>
      <c r="N440" s="197">
        <f>Input!H203</f>
        <v>0</v>
      </c>
      <c r="O440" s="197">
        <f>Input!I203</f>
        <v>0</v>
      </c>
      <c r="P440" s="90">
        <f>Input!J203</f>
        <v>0</v>
      </c>
      <c r="Q440" s="13">
        <v>20</v>
      </c>
      <c r="R440" s="207">
        <f t="shared" si="220"/>
        <v>0</v>
      </c>
      <c r="S440" s="207">
        <f t="shared" si="221"/>
        <v>0</v>
      </c>
      <c r="T440" s="40">
        <f>IFERROR(VLOOKUP(R440,Infrastructure!$D$70:$F$129,3,FALSE),0)</f>
        <v>1</v>
      </c>
      <c r="U440" s="40">
        <f>IFERROR(VLOOKUP(S440,Infrastructure!$D$70:$F$129,3,FALSE),0)</f>
        <v>1</v>
      </c>
      <c r="V440" s="13"/>
      <c r="W440" s="91">
        <f>IF(Input!$F$183&gt;=$K440,Input!M203,0)</f>
        <v>0</v>
      </c>
      <c r="X440" s="92">
        <f>IF(Input!$F$183&gt;=$K440,Input!N203,0)</f>
        <v>0</v>
      </c>
      <c r="Y440" s="92">
        <f>IF(Input!$F$183&gt;=$K440,Input!O203,0)</f>
        <v>0</v>
      </c>
      <c r="Z440" s="92">
        <f>IF(Input!$F$183&gt;=$K440,Input!P203,0)</f>
        <v>0</v>
      </c>
      <c r="AA440" s="92">
        <f>IF(Input!$F$183&gt;=$K440,Input!Q203,0)</f>
        <v>0</v>
      </c>
      <c r="AB440" s="92">
        <f>IF(Input!$F$183&gt;=$K440,Input!R203,0)</f>
        <v>0</v>
      </c>
      <c r="AC440" s="92">
        <f>IF(Input!$F$183&gt;=$K440,Input!S203,0)</f>
        <v>0</v>
      </c>
      <c r="AD440" s="92">
        <f>IF(Input!$F$183&gt;=$K440,Input!T203,0)</f>
        <v>0</v>
      </c>
      <c r="AE440" s="92">
        <f>IF(Input!$F$183&gt;=$K440,Input!U203,0)</f>
        <v>0</v>
      </c>
      <c r="AF440" s="92">
        <f>IF(Input!$F$183&gt;=$K440,Input!V203,0)</f>
        <v>0</v>
      </c>
      <c r="AG440" s="92">
        <f>IF(Input!$F$183&gt;=$K440,Input!W203,0)</f>
        <v>0</v>
      </c>
      <c r="AH440" s="92">
        <f>IF(Input!$F$183&gt;=$K440,Input!X203,0)</f>
        <v>0</v>
      </c>
      <c r="AI440" s="92">
        <f>IF(Input!$F$183&gt;=$K440,Input!Y203,0)</f>
        <v>0</v>
      </c>
      <c r="AJ440" s="92">
        <f>IF(Input!$F$183&gt;=$K440,Input!Z203,0)</f>
        <v>0</v>
      </c>
      <c r="AK440" s="92">
        <f>IF(Input!$F$183&gt;=$K440,Input!AA203,0)</f>
        <v>0</v>
      </c>
      <c r="AL440" s="92">
        <f>IF(Input!$F$183&gt;=$K440,Input!AB203,0)</f>
        <v>0</v>
      </c>
      <c r="AM440" s="92">
        <f>IF(Input!$F$183&gt;=$K440,Input!AC203,0)</f>
        <v>0</v>
      </c>
      <c r="AN440" s="92">
        <f>IF(Input!$F$183&gt;=$K440,Input!AD203,0)</f>
        <v>0</v>
      </c>
      <c r="AO440" s="92">
        <f>IF(Input!$F$183&gt;=$K440,Input!AE203,0)</f>
        <v>0</v>
      </c>
      <c r="AP440" s="92">
        <f>IF(Input!$F$183&gt;=$K440,Input!AF203,0)</f>
        <v>0</v>
      </c>
      <c r="AQ440" s="92">
        <f>IF(Input!$F$183&gt;=$K440,Input!AG203,0)</f>
        <v>0</v>
      </c>
      <c r="AR440" s="92">
        <f>IF(Input!$F$183&gt;=$K440,Input!AH203,0)</f>
        <v>0</v>
      </c>
      <c r="AS440" s="92">
        <f>IF(Input!$F$183&gt;=$K440,Input!AI203,0)</f>
        <v>0</v>
      </c>
      <c r="AT440" s="92">
        <f>IF(Input!$F$183&gt;=$K440,Input!AJ203,0)</f>
        <v>0</v>
      </c>
      <c r="AU440" s="92">
        <f>IF(Input!$F$183&gt;=$K440,Input!AK203,0)</f>
        <v>0</v>
      </c>
      <c r="AV440" s="92">
        <f>IF(Input!$F$183&gt;=$K440,Input!AL203,0)</f>
        <v>0</v>
      </c>
      <c r="AW440" s="92">
        <f>IF(Input!$F$183&gt;=$K440,Input!AM203,0)</f>
        <v>0</v>
      </c>
      <c r="AX440" s="92">
        <f>IF(Input!$F$183&gt;=$K440,Input!AN203,0)</f>
        <v>0</v>
      </c>
      <c r="AY440" s="92">
        <f>IF(Input!$F$183&gt;=$K440,Input!AO203,0)</f>
        <v>0</v>
      </c>
      <c r="AZ440" s="92">
        <f>IF(Input!$F$183&gt;=$K440,Input!AP203,0)</f>
        <v>0</v>
      </c>
      <c r="BA440" s="92">
        <f>IF(Input!$F$183&gt;=$K440,Input!AQ203,0)</f>
        <v>0</v>
      </c>
      <c r="BB440" s="92">
        <f>IF(Input!$F$183&gt;=$K440,Input!AR203,0)</f>
        <v>0</v>
      </c>
      <c r="BC440" s="92">
        <f>IF(Input!$F$183&gt;=$K440,Input!AS203,0)</f>
        <v>0</v>
      </c>
      <c r="BD440" s="92">
        <f>IF(Input!$F$183&gt;=$K440,Input!AT203,0)</f>
        <v>0</v>
      </c>
      <c r="BE440" s="92">
        <f>IF(Input!$F$183&gt;=$K440,Input!AU203,0)</f>
        <v>0</v>
      </c>
      <c r="BF440" s="92">
        <f>IF(Input!$F$183&gt;=$K440,Input!AV203,0)</f>
        <v>0</v>
      </c>
      <c r="BG440" s="92">
        <f>IF(Input!$F$183&gt;=$K440,Input!AW203,0)</f>
        <v>0</v>
      </c>
      <c r="BH440" s="92">
        <f>IF(Input!$F$183&gt;=$K440,Input!AX203,0)</f>
        <v>0</v>
      </c>
      <c r="BI440" s="92">
        <f>IF(Input!$F$183&gt;=$K440,Input!AY203,0)</f>
        <v>0</v>
      </c>
      <c r="BJ440" s="92">
        <f>IF(Input!$F$183&gt;=$K440,Input!AZ203,0)</f>
        <v>0</v>
      </c>
      <c r="BK440" s="92">
        <f>IF(Input!$F$183&gt;=$K440,Input!BA203,0)</f>
        <v>0</v>
      </c>
      <c r="BL440" s="92">
        <f>IF(Input!$F$183&gt;=$K440,Input!BB203,0)</f>
        <v>0</v>
      </c>
      <c r="BM440" s="92">
        <f>IF(Input!$F$183&gt;=$K440,Input!BC203,0)</f>
        <v>0</v>
      </c>
      <c r="BN440" s="92">
        <f>IF(Input!$F$183&gt;=$K440,Input!BD203,0)</f>
        <v>0</v>
      </c>
      <c r="BO440" s="92">
        <f>IF(Input!$F$183&gt;=$K440,Input!BE203,0)</f>
        <v>0</v>
      </c>
      <c r="BP440" s="92">
        <f>IF(Input!$F$183&gt;=$K440,Input!BF203,0)</f>
        <v>0</v>
      </c>
      <c r="BQ440" s="92">
        <f>IF(Input!$F$183&gt;=$K440,Input!BG203,0)</f>
        <v>0</v>
      </c>
      <c r="BR440" s="92">
        <f>IF(Input!$F$183&gt;=$K440,Input!BH203,0)</f>
        <v>0</v>
      </c>
      <c r="BS440" s="92">
        <f>IF(Input!$F$183&gt;=$K440,Input!BI203,0)</f>
        <v>0</v>
      </c>
      <c r="BT440" s="92">
        <f>IF(Input!$F$183&gt;=$K440,Input!BJ203,0)</f>
        <v>0</v>
      </c>
      <c r="BU440" s="92">
        <f>IF(Input!$F$183&gt;=$K440,Input!BK203,0)</f>
        <v>0</v>
      </c>
      <c r="BV440" s="92">
        <f>IF(Input!$F$183&gt;=$K440,Input!BL203,0)</f>
        <v>0</v>
      </c>
      <c r="BW440" s="92">
        <f>IF(Input!$F$183&gt;=$K440,Input!BM203,0)</f>
        <v>0</v>
      </c>
      <c r="BX440" s="92">
        <f>IF(Input!$F$183&gt;=$K440,Input!BN203,0)</f>
        <v>0</v>
      </c>
      <c r="BY440" s="92">
        <f>IF(Input!$F$183&gt;=$K440,Input!BO203,0)</f>
        <v>0</v>
      </c>
      <c r="BZ440" s="92">
        <f>IF(Input!$F$183&gt;=$K440,Input!BP203,0)</f>
        <v>0</v>
      </c>
      <c r="CA440" s="92">
        <f>IF(Input!$F$183&gt;=$K440,Input!BQ203,0)</f>
        <v>0</v>
      </c>
      <c r="CB440" s="92">
        <f>IF(Input!$F$183&gt;=$K440,Input!BR203,0)</f>
        <v>0</v>
      </c>
      <c r="CC440" s="92">
        <f>IF(Input!$F$183&gt;=$K440,Input!BS203,0)</f>
        <v>0</v>
      </c>
      <c r="CD440" s="275">
        <f>IF(Input!$F$183&gt;=$K440,Input!BT203,0)</f>
        <v>0</v>
      </c>
      <c r="CE440" s="69">
        <f t="shared" si="222"/>
        <v>0</v>
      </c>
      <c r="CF440" s="1136">
        <f t="shared" si="223"/>
        <v>0</v>
      </c>
      <c r="CG440" s="1136">
        <f t="shared" si="224"/>
        <v>0</v>
      </c>
      <c r="CH440" s="1136">
        <f t="shared" si="225"/>
        <v>0</v>
      </c>
      <c r="CI440" s="1136">
        <f t="shared" si="226"/>
        <v>0</v>
      </c>
      <c r="CJ440" s="1136">
        <f t="shared" si="227"/>
        <v>0</v>
      </c>
      <c r="CK440" s="1136">
        <f t="shared" si="228"/>
        <v>0</v>
      </c>
      <c r="CL440" s="1136">
        <f t="shared" si="229"/>
        <v>0</v>
      </c>
      <c r="CM440" s="1136">
        <f t="shared" si="230"/>
        <v>0</v>
      </c>
      <c r="CN440" s="1136">
        <f t="shared" si="231"/>
        <v>0</v>
      </c>
      <c r="CO440" s="1136">
        <f t="shared" si="232"/>
        <v>0</v>
      </c>
      <c r="CP440" s="1136">
        <f t="shared" si="233"/>
        <v>0</v>
      </c>
      <c r="CQ440" s="1136">
        <f t="shared" si="234"/>
        <v>0</v>
      </c>
      <c r="CR440" s="1136">
        <f t="shared" si="235"/>
        <v>0</v>
      </c>
      <c r="CS440" s="1136">
        <f t="shared" si="236"/>
        <v>0</v>
      </c>
      <c r="CT440" s="1136">
        <f t="shared" si="237"/>
        <v>0</v>
      </c>
      <c r="CU440" s="1136">
        <f t="shared" si="238"/>
        <v>0</v>
      </c>
      <c r="CV440" s="1136">
        <f t="shared" si="239"/>
        <v>0</v>
      </c>
      <c r="CW440" s="1136">
        <f t="shared" si="240"/>
        <v>0</v>
      </c>
      <c r="CX440" s="1136">
        <f t="shared" si="241"/>
        <v>0</v>
      </c>
      <c r="CY440" s="1136">
        <f t="shared" si="242"/>
        <v>0</v>
      </c>
      <c r="CZ440" s="1136">
        <f t="shared" si="243"/>
        <v>0</v>
      </c>
      <c r="DA440" s="1136">
        <f t="shared" si="244"/>
        <v>0</v>
      </c>
      <c r="DB440" s="1136">
        <f t="shared" si="245"/>
        <v>0</v>
      </c>
      <c r="DC440" s="1136">
        <f t="shared" si="246"/>
        <v>0</v>
      </c>
      <c r="DD440" s="1136">
        <f t="shared" si="247"/>
        <v>0</v>
      </c>
      <c r="DE440" s="1136">
        <f t="shared" si="248"/>
        <v>0</v>
      </c>
      <c r="DF440" s="1136">
        <f t="shared" si="249"/>
        <v>0</v>
      </c>
      <c r="DG440" s="1136">
        <f t="shared" si="250"/>
        <v>0</v>
      </c>
      <c r="DH440" s="1136">
        <f t="shared" si="251"/>
        <v>0</v>
      </c>
      <c r="DI440" s="1136">
        <f t="shared" si="252"/>
        <v>0</v>
      </c>
      <c r="DJ440" s="1136">
        <f t="shared" si="253"/>
        <v>0</v>
      </c>
      <c r="DK440" s="1136">
        <f t="shared" si="254"/>
        <v>0</v>
      </c>
      <c r="DL440" s="1136">
        <f t="shared" si="255"/>
        <v>0</v>
      </c>
      <c r="DM440" s="1136">
        <f t="shared" si="256"/>
        <v>0</v>
      </c>
      <c r="DN440" s="1136">
        <f t="shared" si="257"/>
        <v>0</v>
      </c>
      <c r="DO440" s="1136">
        <f t="shared" si="258"/>
        <v>0</v>
      </c>
      <c r="DP440" s="1136">
        <f t="shared" si="259"/>
        <v>0</v>
      </c>
      <c r="DQ440" s="1136">
        <f t="shared" si="260"/>
        <v>0</v>
      </c>
      <c r="DR440" s="1136">
        <f t="shared" si="261"/>
        <v>0</v>
      </c>
      <c r="DS440" s="1136">
        <f t="shared" si="262"/>
        <v>0</v>
      </c>
      <c r="DT440" s="1136">
        <f t="shared" si="263"/>
        <v>0</v>
      </c>
      <c r="DU440" s="1136">
        <f t="shared" si="264"/>
        <v>0</v>
      </c>
      <c r="DV440" s="1136">
        <f t="shared" si="265"/>
        <v>0</v>
      </c>
      <c r="DW440" s="1136">
        <f t="shared" si="266"/>
        <v>0</v>
      </c>
      <c r="DX440" s="1136">
        <f t="shared" si="267"/>
        <v>0</v>
      </c>
      <c r="DY440" s="1136">
        <f t="shared" si="268"/>
        <v>0</v>
      </c>
      <c r="DZ440" s="1136">
        <f t="shared" si="269"/>
        <v>0</v>
      </c>
      <c r="EA440" s="1136">
        <f t="shared" si="270"/>
        <v>0</v>
      </c>
      <c r="EB440" s="1136">
        <f t="shared" si="271"/>
        <v>0</v>
      </c>
      <c r="EC440" s="1136">
        <f t="shared" si="272"/>
        <v>0</v>
      </c>
      <c r="ED440" s="1136">
        <f t="shared" si="273"/>
        <v>0</v>
      </c>
      <c r="EE440" s="1136">
        <f t="shared" si="274"/>
        <v>0</v>
      </c>
      <c r="EF440" s="1136">
        <f t="shared" si="275"/>
        <v>0</v>
      </c>
      <c r="EG440" s="1136">
        <f t="shared" si="276"/>
        <v>0</v>
      </c>
      <c r="EH440" s="1136">
        <f t="shared" si="277"/>
        <v>0</v>
      </c>
      <c r="EI440" s="1136">
        <f t="shared" si="278"/>
        <v>0</v>
      </c>
      <c r="EJ440" s="1136">
        <f t="shared" si="279"/>
        <v>0</v>
      </c>
      <c r="EK440" s="1136">
        <f t="shared" si="280"/>
        <v>0</v>
      </c>
      <c r="EL440" s="1136">
        <f t="shared" si="281"/>
        <v>0</v>
      </c>
      <c r="EM440" s="1136">
        <f t="shared" si="282"/>
        <v>0</v>
      </c>
    </row>
    <row r="441" spans="11:143" ht="12" customHeight="1" x14ac:dyDescent="0.35">
      <c r="K441" s="13">
        <v>21</v>
      </c>
      <c r="L441" s="87">
        <f>Input!D204</f>
        <v>0</v>
      </c>
      <c r="M441" s="88">
        <f>IF(Input!$F$183&gt;=$K441,Input!G204,0)</f>
        <v>0</v>
      </c>
      <c r="N441" s="197">
        <f>Input!H204</f>
        <v>0</v>
      </c>
      <c r="O441" s="197">
        <f>Input!I204</f>
        <v>0</v>
      </c>
      <c r="P441" s="90">
        <f>Input!J204</f>
        <v>0</v>
      </c>
      <c r="Q441" s="13">
        <v>21</v>
      </c>
      <c r="R441" s="207">
        <f t="shared" si="220"/>
        <v>0</v>
      </c>
      <c r="S441" s="207">
        <f t="shared" si="221"/>
        <v>0</v>
      </c>
      <c r="T441" s="40">
        <f>IFERROR(VLOOKUP(R441,Infrastructure!$D$70:$F$129,3,FALSE),0)</f>
        <v>1</v>
      </c>
      <c r="U441" s="40">
        <f>IFERROR(VLOOKUP(S441,Infrastructure!$D$70:$F$129,3,FALSE),0)</f>
        <v>1</v>
      </c>
      <c r="V441" s="13"/>
      <c r="W441" s="91">
        <f>IF(Input!$F$183&gt;=$K441,Input!M204,0)</f>
        <v>0</v>
      </c>
      <c r="X441" s="92">
        <f>IF(Input!$F$183&gt;=$K441,Input!N204,0)</f>
        <v>0</v>
      </c>
      <c r="Y441" s="92">
        <f>IF(Input!$F$183&gt;=$K441,Input!O204,0)</f>
        <v>0</v>
      </c>
      <c r="Z441" s="92">
        <f>IF(Input!$F$183&gt;=$K441,Input!P204,0)</f>
        <v>0</v>
      </c>
      <c r="AA441" s="92">
        <f>IF(Input!$F$183&gt;=$K441,Input!Q204,0)</f>
        <v>0</v>
      </c>
      <c r="AB441" s="92">
        <f>IF(Input!$F$183&gt;=$K441,Input!R204,0)</f>
        <v>0</v>
      </c>
      <c r="AC441" s="92">
        <f>IF(Input!$F$183&gt;=$K441,Input!S204,0)</f>
        <v>0</v>
      </c>
      <c r="AD441" s="92">
        <f>IF(Input!$F$183&gt;=$K441,Input!T204,0)</f>
        <v>0</v>
      </c>
      <c r="AE441" s="92">
        <f>IF(Input!$F$183&gt;=$K441,Input!U204,0)</f>
        <v>0</v>
      </c>
      <c r="AF441" s="92">
        <f>IF(Input!$F$183&gt;=$K441,Input!V204,0)</f>
        <v>0</v>
      </c>
      <c r="AG441" s="92">
        <f>IF(Input!$F$183&gt;=$K441,Input!W204,0)</f>
        <v>0</v>
      </c>
      <c r="AH441" s="92">
        <f>IF(Input!$F$183&gt;=$K441,Input!X204,0)</f>
        <v>0</v>
      </c>
      <c r="AI441" s="92">
        <f>IF(Input!$F$183&gt;=$K441,Input!Y204,0)</f>
        <v>0</v>
      </c>
      <c r="AJ441" s="92">
        <f>IF(Input!$F$183&gt;=$K441,Input!Z204,0)</f>
        <v>0</v>
      </c>
      <c r="AK441" s="92">
        <f>IF(Input!$F$183&gt;=$K441,Input!AA204,0)</f>
        <v>0</v>
      </c>
      <c r="AL441" s="92">
        <f>IF(Input!$F$183&gt;=$K441,Input!AB204,0)</f>
        <v>0</v>
      </c>
      <c r="AM441" s="92">
        <f>IF(Input!$F$183&gt;=$K441,Input!AC204,0)</f>
        <v>0</v>
      </c>
      <c r="AN441" s="92">
        <f>IF(Input!$F$183&gt;=$K441,Input!AD204,0)</f>
        <v>0</v>
      </c>
      <c r="AO441" s="92">
        <f>IF(Input!$F$183&gt;=$K441,Input!AE204,0)</f>
        <v>0</v>
      </c>
      <c r="AP441" s="92">
        <f>IF(Input!$F$183&gt;=$K441,Input!AF204,0)</f>
        <v>0</v>
      </c>
      <c r="AQ441" s="92">
        <f>IF(Input!$F$183&gt;=$K441,Input!AG204,0)</f>
        <v>0</v>
      </c>
      <c r="AR441" s="92">
        <f>IF(Input!$F$183&gt;=$K441,Input!AH204,0)</f>
        <v>0</v>
      </c>
      <c r="AS441" s="92">
        <f>IF(Input!$F$183&gt;=$K441,Input!AI204,0)</f>
        <v>0</v>
      </c>
      <c r="AT441" s="92">
        <f>IF(Input!$F$183&gt;=$K441,Input!AJ204,0)</f>
        <v>0</v>
      </c>
      <c r="AU441" s="92">
        <f>IF(Input!$F$183&gt;=$K441,Input!AK204,0)</f>
        <v>0</v>
      </c>
      <c r="AV441" s="92">
        <f>IF(Input!$F$183&gt;=$K441,Input!AL204,0)</f>
        <v>0</v>
      </c>
      <c r="AW441" s="92">
        <f>IF(Input!$F$183&gt;=$K441,Input!AM204,0)</f>
        <v>0</v>
      </c>
      <c r="AX441" s="92">
        <f>IF(Input!$F$183&gt;=$K441,Input!AN204,0)</f>
        <v>0</v>
      </c>
      <c r="AY441" s="92">
        <f>IF(Input!$F$183&gt;=$K441,Input!AO204,0)</f>
        <v>0</v>
      </c>
      <c r="AZ441" s="92">
        <f>IF(Input!$F$183&gt;=$K441,Input!AP204,0)</f>
        <v>0</v>
      </c>
      <c r="BA441" s="92">
        <f>IF(Input!$F$183&gt;=$K441,Input!AQ204,0)</f>
        <v>0</v>
      </c>
      <c r="BB441" s="92">
        <f>IF(Input!$F$183&gt;=$K441,Input!AR204,0)</f>
        <v>0</v>
      </c>
      <c r="BC441" s="92">
        <f>IF(Input!$F$183&gt;=$K441,Input!AS204,0)</f>
        <v>0</v>
      </c>
      <c r="BD441" s="92">
        <f>IF(Input!$F$183&gt;=$K441,Input!AT204,0)</f>
        <v>0</v>
      </c>
      <c r="BE441" s="92">
        <f>IF(Input!$F$183&gt;=$K441,Input!AU204,0)</f>
        <v>0</v>
      </c>
      <c r="BF441" s="92">
        <f>IF(Input!$F$183&gt;=$K441,Input!AV204,0)</f>
        <v>0</v>
      </c>
      <c r="BG441" s="92">
        <f>IF(Input!$F$183&gt;=$K441,Input!AW204,0)</f>
        <v>0</v>
      </c>
      <c r="BH441" s="92">
        <f>IF(Input!$F$183&gt;=$K441,Input!AX204,0)</f>
        <v>0</v>
      </c>
      <c r="BI441" s="92">
        <f>IF(Input!$F$183&gt;=$K441,Input!AY204,0)</f>
        <v>0</v>
      </c>
      <c r="BJ441" s="92">
        <f>IF(Input!$F$183&gt;=$K441,Input!AZ204,0)</f>
        <v>0</v>
      </c>
      <c r="BK441" s="92">
        <f>IF(Input!$F$183&gt;=$K441,Input!BA204,0)</f>
        <v>0</v>
      </c>
      <c r="BL441" s="92">
        <f>IF(Input!$F$183&gt;=$K441,Input!BB204,0)</f>
        <v>0</v>
      </c>
      <c r="BM441" s="92">
        <f>IF(Input!$F$183&gt;=$K441,Input!BC204,0)</f>
        <v>0</v>
      </c>
      <c r="BN441" s="92">
        <f>IF(Input!$F$183&gt;=$K441,Input!BD204,0)</f>
        <v>0</v>
      </c>
      <c r="BO441" s="92">
        <f>IF(Input!$F$183&gt;=$K441,Input!BE204,0)</f>
        <v>0</v>
      </c>
      <c r="BP441" s="92">
        <f>IF(Input!$F$183&gt;=$K441,Input!BF204,0)</f>
        <v>0</v>
      </c>
      <c r="BQ441" s="92">
        <f>IF(Input!$F$183&gt;=$K441,Input!BG204,0)</f>
        <v>0</v>
      </c>
      <c r="BR441" s="92">
        <f>IF(Input!$F$183&gt;=$K441,Input!BH204,0)</f>
        <v>0</v>
      </c>
      <c r="BS441" s="92">
        <f>IF(Input!$F$183&gt;=$K441,Input!BI204,0)</f>
        <v>0</v>
      </c>
      <c r="BT441" s="92">
        <f>IF(Input!$F$183&gt;=$K441,Input!BJ204,0)</f>
        <v>0</v>
      </c>
      <c r="BU441" s="92">
        <f>IF(Input!$F$183&gt;=$K441,Input!BK204,0)</f>
        <v>0</v>
      </c>
      <c r="BV441" s="92">
        <f>IF(Input!$F$183&gt;=$K441,Input!BL204,0)</f>
        <v>0</v>
      </c>
      <c r="BW441" s="92">
        <f>IF(Input!$F$183&gt;=$K441,Input!BM204,0)</f>
        <v>0</v>
      </c>
      <c r="BX441" s="92">
        <f>IF(Input!$F$183&gt;=$K441,Input!BN204,0)</f>
        <v>0</v>
      </c>
      <c r="BY441" s="92">
        <f>IF(Input!$F$183&gt;=$K441,Input!BO204,0)</f>
        <v>0</v>
      </c>
      <c r="BZ441" s="92">
        <f>IF(Input!$F$183&gt;=$K441,Input!BP204,0)</f>
        <v>0</v>
      </c>
      <c r="CA441" s="92">
        <f>IF(Input!$F$183&gt;=$K441,Input!BQ204,0)</f>
        <v>0</v>
      </c>
      <c r="CB441" s="92">
        <f>IF(Input!$F$183&gt;=$K441,Input!BR204,0)</f>
        <v>0</v>
      </c>
      <c r="CC441" s="92">
        <f>IF(Input!$F$183&gt;=$K441,Input!BS204,0)</f>
        <v>0</v>
      </c>
      <c r="CD441" s="275">
        <f>IF(Input!$F$183&gt;=$K441,Input!BT204,0)</f>
        <v>0</v>
      </c>
      <c r="CE441" s="69">
        <f t="shared" si="222"/>
        <v>0</v>
      </c>
      <c r="CF441" s="1136">
        <f t="shared" si="223"/>
        <v>0</v>
      </c>
      <c r="CG441" s="1136">
        <f t="shared" si="224"/>
        <v>0</v>
      </c>
      <c r="CH441" s="1136">
        <f t="shared" si="225"/>
        <v>0</v>
      </c>
      <c r="CI441" s="1136">
        <f t="shared" si="226"/>
        <v>0</v>
      </c>
      <c r="CJ441" s="1136">
        <f t="shared" si="227"/>
        <v>0</v>
      </c>
      <c r="CK441" s="1136">
        <f t="shared" si="228"/>
        <v>0</v>
      </c>
      <c r="CL441" s="1136">
        <f t="shared" si="229"/>
        <v>0</v>
      </c>
      <c r="CM441" s="1136">
        <f t="shared" si="230"/>
        <v>0</v>
      </c>
      <c r="CN441" s="1136">
        <f t="shared" si="231"/>
        <v>0</v>
      </c>
      <c r="CO441" s="1136">
        <f t="shared" si="232"/>
        <v>0</v>
      </c>
      <c r="CP441" s="1136">
        <f t="shared" si="233"/>
        <v>0</v>
      </c>
      <c r="CQ441" s="1136">
        <f t="shared" si="234"/>
        <v>0</v>
      </c>
      <c r="CR441" s="1136">
        <f t="shared" si="235"/>
        <v>0</v>
      </c>
      <c r="CS441" s="1136">
        <f t="shared" si="236"/>
        <v>0</v>
      </c>
      <c r="CT441" s="1136">
        <f t="shared" si="237"/>
        <v>0</v>
      </c>
      <c r="CU441" s="1136">
        <f t="shared" si="238"/>
        <v>0</v>
      </c>
      <c r="CV441" s="1136">
        <f t="shared" si="239"/>
        <v>0</v>
      </c>
      <c r="CW441" s="1136">
        <f t="shared" si="240"/>
        <v>0</v>
      </c>
      <c r="CX441" s="1136">
        <f t="shared" si="241"/>
        <v>0</v>
      </c>
      <c r="CY441" s="1136">
        <f t="shared" si="242"/>
        <v>0</v>
      </c>
      <c r="CZ441" s="1136">
        <f t="shared" si="243"/>
        <v>0</v>
      </c>
      <c r="DA441" s="1136">
        <f t="shared" si="244"/>
        <v>0</v>
      </c>
      <c r="DB441" s="1136">
        <f t="shared" si="245"/>
        <v>0</v>
      </c>
      <c r="DC441" s="1136">
        <f t="shared" si="246"/>
        <v>0</v>
      </c>
      <c r="DD441" s="1136">
        <f t="shared" si="247"/>
        <v>0</v>
      </c>
      <c r="DE441" s="1136">
        <f t="shared" si="248"/>
        <v>0</v>
      </c>
      <c r="DF441" s="1136">
        <f t="shared" si="249"/>
        <v>0</v>
      </c>
      <c r="DG441" s="1136">
        <f t="shared" si="250"/>
        <v>0</v>
      </c>
      <c r="DH441" s="1136">
        <f t="shared" si="251"/>
        <v>0</v>
      </c>
      <c r="DI441" s="1136">
        <f t="shared" si="252"/>
        <v>0</v>
      </c>
      <c r="DJ441" s="1136">
        <f t="shared" si="253"/>
        <v>0</v>
      </c>
      <c r="DK441" s="1136">
        <f t="shared" si="254"/>
        <v>0</v>
      </c>
      <c r="DL441" s="1136">
        <f t="shared" si="255"/>
        <v>0</v>
      </c>
      <c r="DM441" s="1136">
        <f t="shared" si="256"/>
        <v>0</v>
      </c>
      <c r="DN441" s="1136">
        <f t="shared" si="257"/>
        <v>0</v>
      </c>
      <c r="DO441" s="1136">
        <f t="shared" si="258"/>
        <v>0</v>
      </c>
      <c r="DP441" s="1136">
        <f t="shared" si="259"/>
        <v>0</v>
      </c>
      <c r="DQ441" s="1136">
        <f t="shared" si="260"/>
        <v>0</v>
      </c>
      <c r="DR441" s="1136">
        <f t="shared" si="261"/>
        <v>0</v>
      </c>
      <c r="DS441" s="1136">
        <f t="shared" si="262"/>
        <v>0</v>
      </c>
      <c r="DT441" s="1136">
        <f t="shared" si="263"/>
        <v>0</v>
      </c>
      <c r="DU441" s="1136">
        <f t="shared" si="264"/>
        <v>0</v>
      </c>
      <c r="DV441" s="1136">
        <f t="shared" si="265"/>
        <v>0</v>
      </c>
      <c r="DW441" s="1136">
        <f t="shared" si="266"/>
        <v>0</v>
      </c>
      <c r="DX441" s="1136">
        <f t="shared" si="267"/>
        <v>0</v>
      </c>
      <c r="DY441" s="1136">
        <f t="shared" si="268"/>
        <v>0</v>
      </c>
      <c r="DZ441" s="1136">
        <f t="shared" si="269"/>
        <v>0</v>
      </c>
      <c r="EA441" s="1136">
        <f t="shared" si="270"/>
        <v>0</v>
      </c>
      <c r="EB441" s="1136">
        <f t="shared" si="271"/>
        <v>0</v>
      </c>
      <c r="EC441" s="1136">
        <f t="shared" si="272"/>
        <v>0</v>
      </c>
      <c r="ED441" s="1136">
        <f t="shared" si="273"/>
        <v>0</v>
      </c>
      <c r="EE441" s="1136">
        <f t="shared" si="274"/>
        <v>0</v>
      </c>
      <c r="EF441" s="1136">
        <f t="shared" si="275"/>
        <v>0</v>
      </c>
      <c r="EG441" s="1136">
        <f t="shared" si="276"/>
        <v>0</v>
      </c>
      <c r="EH441" s="1136">
        <f t="shared" si="277"/>
        <v>0</v>
      </c>
      <c r="EI441" s="1136">
        <f t="shared" si="278"/>
        <v>0</v>
      </c>
      <c r="EJ441" s="1136">
        <f t="shared" si="279"/>
        <v>0</v>
      </c>
      <c r="EK441" s="1136">
        <f t="shared" si="280"/>
        <v>0</v>
      </c>
      <c r="EL441" s="1136">
        <f t="shared" si="281"/>
        <v>0</v>
      </c>
      <c r="EM441" s="1136">
        <f t="shared" si="282"/>
        <v>0</v>
      </c>
    </row>
    <row r="442" spans="11:143" ht="12" customHeight="1" x14ac:dyDescent="0.35">
      <c r="K442" s="13">
        <v>22</v>
      </c>
      <c r="L442" s="87">
        <f>Input!D205</f>
        <v>0</v>
      </c>
      <c r="M442" s="88">
        <f>IF(Input!$F$183&gt;=$K442,Input!G205,0)</f>
        <v>0</v>
      </c>
      <c r="N442" s="197">
        <f>Input!H205</f>
        <v>0</v>
      </c>
      <c r="O442" s="197">
        <f>Input!I205</f>
        <v>0</v>
      </c>
      <c r="P442" s="90">
        <f>Input!J205</f>
        <v>0</v>
      </c>
      <c r="Q442" s="13">
        <v>22</v>
      </c>
      <c r="R442" s="207">
        <f t="shared" si="220"/>
        <v>0</v>
      </c>
      <c r="S442" s="207">
        <f t="shared" si="221"/>
        <v>0</v>
      </c>
      <c r="T442" s="40">
        <f>IFERROR(VLOOKUP(R442,Infrastructure!$D$70:$F$129,3,FALSE),0)</f>
        <v>1</v>
      </c>
      <c r="U442" s="40">
        <f>IFERROR(VLOOKUP(S442,Infrastructure!$D$70:$F$129,3,FALSE),0)</f>
        <v>1</v>
      </c>
      <c r="V442" s="13"/>
      <c r="W442" s="91">
        <f>IF(Input!$F$183&gt;=$K442,Input!M205,0)</f>
        <v>0</v>
      </c>
      <c r="X442" s="92">
        <f>IF(Input!$F$183&gt;=$K442,Input!N205,0)</f>
        <v>0</v>
      </c>
      <c r="Y442" s="92">
        <f>IF(Input!$F$183&gt;=$K442,Input!O205,0)</f>
        <v>0</v>
      </c>
      <c r="Z442" s="92">
        <f>IF(Input!$F$183&gt;=$K442,Input!P205,0)</f>
        <v>0</v>
      </c>
      <c r="AA442" s="92">
        <f>IF(Input!$F$183&gt;=$K442,Input!Q205,0)</f>
        <v>0</v>
      </c>
      <c r="AB442" s="92">
        <f>IF(Input!$F$183&gt;=$K442,Input!R205,0)</f>
        <v>0</v>
      </c>
      <c r="AC442" s="92">
        <f>IF(Input!$F$183&gt;=$K442,Input!S205,0)</f>
        <v>0</v>
      </c>
      <c r="AD442" s="92">
        <f>IF(Input!$F$183&gt;=$K442,Input!T205,0)</f>
        <v>0</v>
      </c>
      <c r="AE442" s="92">
        <f>IF(Input!$F$183&gt;=$K442,Input!U205,0)</f>
        <v>0</v>
      </c>
      <c r="AF442" s="92">
        <f>IF(Input!$F$183&gt;=$K442,Input!V205,0)</f>
        <v>0</v>
      </c>
      <c r="AG442" s="92">
        <f>IF(Input!$F$183&gt;=$K442,Input!W205,0)</f>
        <v>0</v>
      </c>
      <c r="AH442" s="92">
        <f>IF(Input!$F$183&gt;=$K442,Input!X205,0)</f>
        <v>0</v>
      </c>
      <c r="AI442" s="92">
        <f>IF(Input!$F$183&gt;=$K442,Input!Y205,0)</f>
        <v>0</v>
      </c>
      <c r="AJ442" s="92">
        <f>IF(Input!$F$183&gt;=$K442,Input!Z205,0)</f>
        <v>0</v>
      </c>
      <c r="AK442" s="92">
        <f>IF(Input!$F$183&gt;=$K442,Input!AA205,0)</f>
        <v>0</v>
      </c>
      <c r="AL442" s="92">
        <f>IF(Input!$F$183&gt;=$K442,Input!AB205,0)</f>
        <v>0</v>
      </c>
      <c r="AM442" s="92">
        <f>IF(Input!$F$183&gt;=$K442,Input!AC205,0)</f>
        <v>0</v>
      </c>
      <c r="AN442" s="92">
        <f>IF(Input!$F$183&gt;=$K442,Input!AD205,0)</f>
        <v>0</v>
      </c>
      <c r="AO442" s="92">
        <f>IF(Input!$F$183&gt;=$K442,Input!AE205,0)</f>
        <v>0</v>
      </c>
      <c r="AP442" s="92">
        <f>IF(Input!$F$183&gt;=$K442,Input!AF205,0)</f>
        <v>0</v>
      </c>
      <c r="AQ442" s="92">
        <f>IF(Input!$F$183&gt;=$K442,Input!AG205,0)</f>
        <v>0</v>
      </c>
      <c r="AR442" s="92">
        <f>IF(Input!$F$183&gt;=$K442,Input!AH205,0)</f>
        <v>0</v>
      </c>
      <c r="AS442" s="92">
        <f>IF(Input!$F$183&gt;=$K442,Input!AI205,0)</f>
        <v>0</v>
      </c>
      <c r="AT442" s="92">
        <f>IF(Input!$F$183&gt;=$K442,Input!AJ205,0)</f>
        <v>0</v>
      </c>
      <c r="AU442" s="92">
        <f>IF(Input!$F$183&gt;=$K442,Input!AK205,0)</f>
        <v>0</v>
      </c>
      <c r="AV442" s="92">
        <f>IF(Input!$F$183&gt;=$K442,Input!AL205,0)</f>
        <v>0</v>
      </c>
      <c r="AW442" s="92">
        <f>IF(Input!$F$183&gt;=$K442,Input!AM205,0)</f>
        <v>0</v>
      </c>
      <c r="AX442" s="92">
        <f>IF(Input!$F$183&gt;=$K442,Input!AN205,0)</f>
        <v>0</v>
      </c>
      <c r="AY442" s="92">
        <f>IF(Input!$F$183&gt;=$K442,Input!AO205,0)</f>
        <v>0</v>
      </c>
      <c r="AZ442" s="92">
        <f>IF(Input!$F$183&gt;=$K442,Input!AP205,0)</f>
        <v>0</v>
      </c>
      <c r="BA442" s="92">
        <f>IF(Input!$F$183&gt;=$K442,Input!AQ205,0)</f>
        <v>0</v>
      </c>
      <c r="BB442" s="92">
        <f>IF(Input!$F$183&gt;=$K442,Input!AR205,0)</f>
        <v>0</v>
      </c>
      <c r="BC442" s="92">
        <f>IF(Input!$F$183&gt;=$K442,Input!AS205,0)</f>
        <v>0</v>
      </c>
      <c r="BD442" s="92">
        <f>IF(Input!$F$183&gt;=$K442,Input!AT205,0)</f>
        <v>0</v>
      </c>
      <c r="BE442" s="92">
        <f>IF(Input!$F$183&gt;=$K442,Input!AU205,0)</f>
        <v>0</v>
      </c>
      <c r="BF442" s="92">
        <f>IF(Input!$F$183&gt;=$K442,Input!AV205,0)</f>
        <v>0</v>
      </c>
      <c r="BG442" s="92">
        <f>IF(Input!$F$183&gt;=$K442,Input!AW205,0)</f>
        <v>0</v>
      </c>
      <c r="BH442" s="92">
        <f>IF(Input!$F$183&gt;=$K442,Input!AX205,0)</f>
        <v>0</v>
      </c>
      <c r="BI442" s="92">
        <f>IF(Input!$F$183&gt;=$K442,Input!AY205,0)</f>
        <v>0</v>
      </c>
      <c r="BJ442" s="92">
        <f>IF(Input!$F$183&gt;=$K442,Input!AZ205,0)</f>
        <v>0</v>
      </c>
      <c r="BK442" s="92">
        <f>IF(Input!$F$183&gt;=$K442,Input!BA205,0)</f>
        <v>0</v>
      </c>
      <c r="BL442" s="92">
        <f>IF(Input!$F$183&gt;=$K442,Input!BB205,0)</f>
        <v>0</v>
      </c>
      <c r="BM442" s="92">
        <f>IF(Input!$F$183&gt;=$K442,Input!BC205,0)</f>
        <v>0</v>
      </c>
      <c r="BN442" s="92">
        <f>IF(Input!$F$183&gt;=$K442,Input!BD205,0)</f>
        <v>0</v>
      </c>
      <c r="BO442" s="92">
        <f>IF(Input!$F$183&gt;=$K442,Input!BE205,0)</f>
        <v>0</v>
      </c>
      <c r="BP442" s="92">
        <f>IF(Input!$F$183&gt;=$K442,Input!BF205,0)</f>
        <v>0</v>
      </c>
      <c r="BQ442" s="92">
        <f>IF(Input!$F$183&gt;=$K442,Input!BG205,0)</f>
        <v>0</v>
      </c>
      <c r="BR442" s="92">
        <f>IF(Input!$F$183&gt;=$K442,Input!BH205,0)</f>
        <v>0</v>
      </c>
      <c r="BS442" s="92">
        <f>IF(Input!$F$183&gt;=$K442,Input!BI205,0)</f>
        <v>0</v>
      </c>
      <c r="BT442" s="92">
        <f>IF(Input!$F$183&gt;=$K442,Input!BJ205,0)</f>
        <v>0</v>
      </c>
      <c r="BU442" s="92">
        <f>IF(Input!$F$183&gt;=$K442,Input!BK205,0)</f>
        <v>0</v>
      </c>
      <c r="BV442" s="92">
        <f>IF(Input!$F$183&gt;=$K442,Input!BL205,0)</f>
        <v>0</v>
      </c>
      <c r="BW442" s="92">
        <f>IF(Input!$F$183&gt;=$K442,Input!BM205,0)</f>
        <v>0</v>
      </c>
      <c r="BX442" s="92">
        <f>IF(Input!$F$183&gt;=$K442,Input!BN205,0)</f>
        <v>0</v>
      </c>
      <c r="BY442" s="92">
        <f>IF(Input!$F$183&gt;=$K442,Input!BO205,0)</f>
        <v>0</v>
      </c>
      <c r="BZ442" s="92">
        <f>IF(Input!$F$183&gt;=$K442,Input!BP205,0)</f>
        <v>0</v>
      </c>
      <c r="CA442" s="92">
        <f>IF(Input!$F$183&gt;=$K442,Input!BQ205,0)</f>
        <v>0</v>
      </c>
      <c r="CB442" s="92">
        <f>IF(Input!$F$183&gt;=$K442,Input!BR205,0)</f>
        <v>0</v>
      </c>
      <c r="CC442" s="92">
        <f>IF(Input!$F$183&gt;=$K442,Input!BS205,0)</f>
        <v>0</v>
      </c>
      <c r="CD442" s="275">
        <f>IF(Input!$F$183&gt;=$K442,Input!BT205,0)</f>
        <v>0</v>
      </c>
      <c r="CE442" s="69">
        <f t="shared" si="222"/>
        <v>0</v>
      </c>
      <c r="CF442" s="1136">
        <f t="shared" si="223"/>
        <v>0</v>
      </c>
      <c r="CG442" s="1136">
        <f t="shared" si="224"/>
        <v>0</v>
      </c>
      <c r="CH442" s="1136">
        <f t="shared" si="225"/>
        <v>0</v>
      </c>
      <c r="CI442" s="1136">
        <f t="shared" si="226"/>
        <v>0</v>
      </c>
      <c r="CJ442" s="1136">
        <f t="shared" si="227"/>
        <v>0</v>
      </c>
      <c r="CK442" s="1136">
        <f t="shared" si="228"/>
        <v>0</v>
      </c>
      <c r="CL442" s="1136">
        <f t="shared" si="229"/>
        <v>0</v>
      </c>
      <c r="CM442" s="1136">
        <f t="shared" si="230"/>
        <v>0</v>
      </c>
      <c r="CN442" s="1136">
        <f t="shared" si="231"/>
        <v>0</v>
      </c>
      <c r="CO442" s="1136">
        <f t="shared" si="232"/>
        <v>0</v>
      </c>
      <c r="CP442" s="1136">
        <f t="shared" si="233"/>
        <v>0</v>
      </c>
      <c r="CQ442" s="1136">
        <f t="shared" si="234"/>
        <v>0</v>
      </c>
      <c r="CR442" s="1136">
        <f t="shared" si="235"/>
        <v>0</v>
      </c>
      <c r="CS442" s="1136">
        <f t="shared" si="236"/>
        <v>0</v>
      </c>
      <c r="CT442" s="1136">
        <f t="shared" si="237"/>
        <v>0</v>
      </c>
      <c r="CU442" s="1136">
        <f t="shared" si="238"/>
        <v>0</v>
      </c>
      <c r="CV442" s="1136">
        <f t="shared" si="239"/>
        <v>0</v>
      </c>
      <c r="CW442" s="1136">
        <f t="shared" si="240"/>
        <v>0</v>
      </c>
      <c r="CX442" s="1136">
        <f t="shared" si="241"/>
        <v>0</v>
      </c>
      <c r="CY442" s="1136">
        <f t="shared" si="242"/>
        <v>0</v>
      </c>
      <c r="CZ442" s="1136">
        <f t="shared" si="243"/>
        <v>0</v>
      </c>
      <c r="DA442" s="1136">
        <f t="shared" si="244"/>
        <v>0</v>
      </c>
      <c r="DB442" s="1136">
        <f t="shared" si="245"/>
        <v>0</v>
      </c>
      <c r="DC442" s="1136">
        <f t="shared" si="246"/>
        <v>0</v>
      </c>
      <c r="DD442" s="1136">
        <f t="shared" si="247"/>
        <v>0</v>
      </c>
      <c r="DE442" s="1136">
        <f t="shared" si="248"/>
        <v>0</v>
      </c>
      <c r="DF442" s="1136">
        <f t="shared" si="249"/>
        <v>0</v>
      </c>
      <c r="DG442" s="1136">
        <f t="shared" si="250"/>
        <v>0</v>
      </c>
      <c r="DH442" s="1136">
        <f t="shared" si="251"/>
        <v>0</v>
      </c>
      <c r="DI442" s="1136">
        <f t="shared" si="252"/>
        <v>0</v>
      </c>
      <c r="DJ442" s="1136">
        <f t="shared" si="253"/>
        <v>0</v>
      </c>
      <c r="DK442" s="1136">
        <f t="shared" si="254"/>
        <v>0</v>
      </c>
      <c r="DL442" s="1136">
        <f t="shared" si="255"/>
        <v>0</v>
      </c>
      <c r="DM442" s="1136">
        <f t="shared" si="256"/>
        <v>0</v>
      </c>
      <c r="DN442" s="1136">
        <f t="shared" si="257"/>
        <v>0</v>
      </c>
      <c r="DO442" s="1136">
        <f t="shared" si="258"/>
        <v>0</v>
      </c>
      <c r="DP442" s="1136">
        <f t="shared" si="259"/>
        <v>0</v>
      </c>
      <c r="DQ442" s="1136">
        <f t="shared" si="260"/>
        <v>0</v>
      </c>
      <c r="DR442" s="1136">
        <f t="shared" si="261"/>
        <v>0</v>
      </c>
      <c r="DS442" s="1136">
        <f t="shared" si="262"/>
        <v>0</v>
      </c>
      <c r="DT442" s="1136">
        <f t="shared" si="263"/>
        <v>0</v>
      </c>
      <c r="DU442" s="1136">
        <f t="shared" si="264"/>
        <v>0</v>
      </c>
      <c r="DV442" s="1136">
        <f t="shared" si="265"/>
        <v>0</v>
      </c>
      <c r="DW442" s="1136">
        <f t="shared" si="266"/>
        <v>0</v>
      </c>
      <c r="DX442" s="1136">
        <f t="shared" si="267"/>
        <v>0</v>
      </c>
      <c r="DY442" s="1136">
        <f t="shared" si="268"/>
        <v>0</v>
      </c>
      <c r="DZ442" s="1136">
        <f t="shared" si="269"/>
        <v>0</v>
      </c>
      <c r="EA442" s="1136">
        <f t="shared" si="270"/>
        <v>0</v>
      </c>
      <c r="EB442" s="1136">
        <f t="shared" si="271"/>
        <v>0</v>
      </c>
      <c r="EC442" s="1136">
        <f t="shared" si="272"/>
        <v>0</v>
      </c>
      <c r="ED442" s="1136">
        <f t="shared" si="273"/>
        <v>0</v>
      </c>
      <c r="EE442" s="1136">
        <f t="shared" si="274"/>
        <v>0</v>
      </c>
      <c r="EF442" s="1136">
        <f t="shared" si="275"/>
        <v>0</v>
      </c>
      <c r="EG442" s="1136">
        <f t="shared" si="276"/>
        <v>0</v>
      </c>
      <c r="EH442" s="1136">
        <f t="shared" si="277"/>
        <v>0</v>
      </c>
      <c r="EI442" s="1136">
        <f t="shared" si="278"/>
        <v>0</v>
      </c>
      <c r="EJ442" s="1136">
        <f t="shared" si="279"/>
        <v>0</v>
      </c>
      <c r="EK442" s="1136">
        <f t="shared" si="280"/>
        <v>0</v>
      </c>
      <c r="EL442" s="1136">
        <f t="shared" si="281"/>
        <v>0</v>
      </c>
      <c r="EM442" s="1136">
        <f t="shared" si="282"/>
        <v>0</v>
      </c>
    </row>
    <row r="443" spans="11:143" ht="12" customHeight="1" x14ac:dyDescent="0.35">
      <c r="K443" s="13">
        <v>23</v>
      </c>
      <c r="L443" s="87">
        <f>Input!D206</f>
        <v>0</v>
      </c>
      <c r="M443" s="88">
        <f>IF(Input!$F$183&gt;=$K443,Input!G206,0)</f>
        <v>0</v>
      </c>
      <c r="N443" s="197">
        <f>Input!H206</f>
        <v>0</v>
      </c>
      <c r="O443" s="197">
        <f>Input!I206</f>
        <v>0</v>
      </c>
      <c r="P443" s="90">
        <f>Input!J206</f>
        <v>0</v>
      </c>
      <c r="Q443" s="13">
        <v>23</v>
      </c>
      <c r="R443" s="207">
        <f t="shared" si="220"/>
        <v>0</v>
      </c>
      <c r="S443" s="207">
        <f t="shared" si="221"/>
        <v>0</v>
      </c>
      <c r="T443" s="40">
        <f>IFERROR(VLOOKUP(R443,Infrastructure!$D$70:$F$129,3,FALSE),0)</f>
        <v>1</v>
      </c>
      <c r="U443" s="40">
        <f>IFERROR(VLOOKUP(S443,Infrastructure!$D$70:$F$129,3,FALSE),0)</f>
        <v>1</v>
      </c>
      <c r="V443" s="13"/>
      <c r="W443" s="91">
        <f>IF(Input!$F$183&gt;=$K443,Input!M206,0)</f>
        <v>0</v>
      </c>
      <c r="X443" s="92">
        <f>IF(Input!$F$183&gt;=$K443,Input!N206,0)</f>
        <v>0</v>
      </c>
      <c r="Y443" s="92">
        <f>IF(Input!$F$183&gt;=$K443,Input!O206,0)</f>
        <v>0</v>
      </c>
      <c r="Z443" s="92">
        <f>IF(Input!$F$183&gt;=$K443,Input!P206,0)</f>
        <v>0</v>
      </c>
      <c r="AA443" s="92">
        <f>IF(Input!$F$183&gt;=$K443,Input!Q206,0)</f>
        <v>0</v>
      </c>
      <c r="AB443" s="92">
        <f>IF(Input!$F$183&gt;=$K443,Input!R206,0)</f>
        <v>0</v>
      </c>
      <c r="AC443" s="92">
        <f>IF(Input!$F$183&gt;=$K443,Input!S206,0)</f>
        <v>0</v>
      </c>
      <c r="AD443" s="92">
        <f>IF(Input!$F$183&gt;=$K443,Input!T206,0)</f>
        <v>0</v>
      </c>
      <c r="AE443" s="92">
        <f>IF(Input!$F$183&gt;=$K443,Input!U206,0)</f>
        <v>0</v>
      </c>
      <c r="AF443" s="92">
        <f>IF(Input!$F$183&gt;=$K443,Input!V206,0)</f>
        <v>0</v>
      </c>
      <c r="AG443" s="92">
        <f>IF(Input!$F$183&gt;=$K443,Input!W206,0)</f>
        <v>0</v>
      </c>
      <c r="AH443" s="92">
        <f>IF(Input!$F$183&gt;=$K443,Input!X206,0)</f>
        <v>0</v>
      </c>
      <c r="AI443" s="92">
        <f>IF(Input!$F$183&gt;=$K443,Input!Y206,0)</f>
        <v>0</v>
      </c>
      <c r="AJ443" s="92">
        <f>IF(Input!$F$183&gt;=$K443,Input!Z206,0)</f>
        <v>0</v>
      </c>
      <c r="AK443" s="92">
        <f>IF(Input!$F$183&gt;=$K443,Input!AA206,0)</f>
        <v>0</v>
      </c>
      <c r="AL443" s="92">
        <f>IF(Input!$F$183&gt;=$K443,Input!AB206,0)</f>
        <v>0</v>
      </c>
      <c r="AM443" s="92">
        <f>IF(Input!$F$183&gt;=$K443,Input!AC206,0)</f>
        <v>0</v>
      </c>
      <c r="AN443" s="92">
        <f>IF(Input!$F$183&gt;=$K443,Input!AD206,0)</f>
        <v>0</v>
      </c>
      <c r="AO443" s="92">
        <f>IF(Input!$F$183&gt;=$K443,Input!AE206,0)</f>
        <v>0</v>
      </c>
      <c r="AP443" s="92">
        <f>IF(Input!$F$183&gt;=$K443,Input!AF206,0)</f>
        <v>0</v>
      </c>
      <c r="AQ443" s="92">
        <f>IF(Input!$F$183&gt;=$K443,Input!AG206,0)</f>
        <v>0</v>
      </c>
      <c r="AR443" s="92">
        <f>IF(Input!$F$183&gt;=$K443,Input!AH206,0)</f>
        <v>0</v>
      </c>
      <c r="AS443" s="92">
        <f>IF(Input!$F$183&gt;=$K443,Input!AI206,0)</f>
        <v>0</v>
      </c>
      <c r="AT443" s="92">
        <f>IF(Input!$F$183&gt;=$K443,Input!AJ206,0)</f>
        <v>0</v>
      </c>
      <c r="AU443" s="92">
        <f>IF(Input!$F$183&gt;=$K443,Input!AK206,0)</f>
        <v>0</v>
      </c>
      <c r="AV443" s="92">
        <f>IF(Input!$F$183&gt;=$K443,Input!AL206,0)</f>
        <v>0</v>
      </c>
      <c r="AW443" s="92">
        <f>IF(Input!$F$183&gt;=$K443,Input!AM206,0)</f>
        <v>0</v>
      </c>
      <c r="AX443" s="92">
        <f>IF(Input!$F$183&gt;=$K443,Input!AN206,0)</f>
        <v>0</v>
      </c>
      <c r="AY443" s="92">
        <f>IF(Input!$F$183&gt;=$K443,Input!AO206,0)</f>
        <v>0</v>
      </c>
      <c r="AZ443" s="92">
        <f>IF(Input!$F$183&gt;=$K443,Input!AP206,0)</f>
        <v>0</v>
      </c>
      <c r="BA443" s="92">
        <f>IF(Input!$F$183&gt;=$K443,Input!AQ206,0)</f>
        <v>0</v>
      </c>
      <c r="BB443" s="92">
        <f>IF(Input!$F$183&gt;=$K443,Input!AR206,0)</f>
        <v>0</v>
      </c>
      <c r="BC443" s="92">
        <f>IF(Input!$F$183&gt;=$K443,Input!AS206,0)</f>
        <v>0</v>
      </c>
      <c r="BD443" s="92">
        <f>IF(Input!$F$183&gt;=$K443,Input!AT206,0)</f>
        <v>0</v>
      </c>
      <c r="BE443" s="92">
        <f>IF(Input!$F$183&gt;=$K443,Input!AU206,0)</f>
        <v>0</v>
      </c>
      <c r="BF443" s="92">
        <f>IF(Input!$F$183&gt;=$K443,Input!AV206,0)</f>
        <v>0</v>
      </c>
      <c r="BG443" s="92">
        <f>IF(Input!$F$183&gt;=$K443,Input!AW206,0)</f>
        <v>0</v>
      </c>
      <c r="BH443" s="92">
        <f>IF(Input!$F$183&gt;=$K443,Input!AX206,0)</f>
        <v>0</v>
      </c>
      <c r="BI443" s="92">
        <f>IF(Input!$F$183&gt;=$K443,Input!AY206,0)</f>
        <v>0</v>
      </c>
      <c r="BJ443" s="92">
        <f>IF(Input!$F$183&gt;=$K443,Input!AZ206,0)</f>
        <v>0</v>
      </c>
      <c r="BK443" s="92">
        <f>IF(Input!$F$183&gt;=$K443,Input!BA206,0)</f>
        <v>0</v>
      </c>
      <c r="BL443" s="92">
        <f>IF(Input!$F$183&gt;=$K443,Input!BB206,0)</f>
        <v>0</v>
      </c>
      <c r="BM443" s="92">
        <f>IF(Input!$F$183&gt;=$K443,Input!BC206,0)</f>
        <v>0</v>
      </c>
      <c r="BN443" s="92">
        <f>IF(Input!$F$183&gt;=$K443,Input!BD206,0)</f>
        <v>0</v>
      </c>
      <c r="BO443" s="92">
        <f>IF(Input!$F$183&gt;=$K443,Input!BE206,0)</f>
        <v>0</v>
      </c>
      <c r="BP443" s="92">
        <f>IF(Input!$F$183&gt;=$K443,Input!BF206,0)</f>
        <v>0</v>
      </c>
      <c r="BQ443" s="92">
        <f>IF(Input!$F$183&gt;=$K443,Input!BG206,0)</f>
        <v>0</v>
      </c>
      <c r="BR443" s="92">
        <f>IF(Input!$F$183&gt;=$K443,Input!BH206,0)</f>
        <v>0</v>
      </c>
      <c r="BS443" s="92">
        <f>IF(Input!$F$183&gt;=$K443,Input!BI206,0)</f>
        <v>0</v>
      </c>
      <c r="BT443" s="92">
        <f>IF(Input!$F$183&gt;=$K443,Input!BJ206,0)</f>
        <v>0</v>
      </c>
      <c r="BU443" s="92">
        <f>IF(Input!$F$183&gt;=$K443,Input!BK206,0)</f>
        <v>0</v>
      </c>
      <c r="BV443" s="92">
        <f>IF(Input!$F$183&gt;=$K443,Input!BL206,0)</f>
        <v>0</v>
      </c>
      <c r="BW443" s="92">
        <f>IF(Input!$F$183&gt;=$K443,Input!BM206,0)</f>
        <v>0</v>
      </c>
      <c r="BX443" s="92">
        <f>IF(Input!$F$183&gt;=$K443,Input!BN206,0)</f>
        <v>0</v>
      </c>
      <c r="BY443" s="92">
        <f>IF(Input!$F$183&gt;=$K443,Input!BO206,0)</f>
        <v>0</v>
      </c>
      <c r="BZ443" s="92">
        <f>IF(Input!$F$183&gt;=$K443,Input!BP206,0)</f>
        <v>0</v>
      </c>
      <c r="CA443" s="92">
        <f>IF(Input!$F$183&gt;=$K443,Input!BQ206,0)</f>
        <v>0</v>
      </c>
      <c r="CB443" s="92">
        <f>IF(Input!$F$183&gt;=$K443,Input!BR206,0)</f>
        <v>0</v>
      </c>
      <c r="CC443" s="92">
        <f>IF(Input!$F$183&gt;=$K443,Input!BS206,0)</f>
        <v>0</v>
      </c>
      <c r="CD443" s="275">
        <f>IF(Input!$F$183&gt;=$K443,Input!BT206,0)</f>
        <v>0</v>
      </c>
      <c r="CE443" s="69">
        <f t="shared" si="222"/>
        <v>0</v>
      </c>
      <c r="CF443" s="1136">
        <f t="shared" si="223"/>
        <v>0</v>
      </c>
      <c r="CG443" s="1136">
        <f t="shared" si="224"/>
        <v>0</v>
      </c>
      <c r="CH443" s="1136">
        <f t="shared" si="225"/>
        <v>0</v>
      </c>
      <c r="CI443" s="1136">
        <f t="shared" si="226"/>
        <v>0</v>
      </c>
      <c r="CJ443" s="1136">
        <f t="shared" si="227"/>
        <v>0</v>
      </c>
      <c r="CK443" s="1136">
        <f t="shared" si="228"/>
        <v>0</v>
      </c>
      <c r="CL443" s="1136">
        <f t="shared" si="229"/>
        <v>0</v>
      </c>
      <c r="CM443" s="1136">
        <f t="shared" si="230"/>
        <v>0</v>
      </c>
      <c r="CN443" s="1136">
        <f t="shared" si="231"/>
        <v>0</v>
      </c>
      <c r="CO443" s="1136">
        <f t="shared" si="232"/>
        <v>0</v>
      </c>
      <c r="CP443" s="1136">
        <f t="shared" si="233"/>
        <v>0</v>
      </c>
      <c r="CQ443" s="1136">
        <f t="shared" si="234"/>
        <v>0</v>
      </c>
      <c r="CR443" s="1136">
        <f t="shared" si="235"/>
        <v>0</v>
      </c>
      <c r="CS443" s="1136">
        <f t="shared" si="236"/>
        <v>0</v>
      </c>
      <c r="CT443" s="1136">
        <f t="shared" si="237"/>
        <v>0</v>
      </c>
      <c r="CU443" s="1136">
        <f t="shared" si="238"/>
        <v>0</v>
      </c>
      <c r="CV443" s="1136">
        <f t="shared" si="239"/>
        <v>0</v>
      </c>
      <c r="CW443" s="1136">
        <f t="shared" si="240"/>
        <v>0</v>
      </c>
      <c r="CX443" s="1136">
        <f t="shared" si="241"/>
        <v>0</v>
      </c>
      <c r="CY443" s="1136">
        <f t="shared" si="242"/>
        <v>0</v>
      </c>
      <c r="CZ443" s="1136">
        <f t="shared" si="243"/>
        <v>0</v>
      </c>
      <c r="DA443" s="1136">
        <f t="shared" si="244"/>
        <v>0</v>
      </c>
      <c r="DB443" s="1136">
        <f t="shared" si="245"/>
        <v>0</v>
      </c>
      <c r="DC443" s="1136">
        <f t="shared" si="246"/>
        <v>0</v>
      </c>
      <c r="DD443" s="1136">
        <f t="shared" si="247"/>
        <v>0</v>
      </c>
      <c r="DE443" s="1136">
        <f t="shared" si="248"/>
        <v>0</v>
      </c>
      <c r="DF443" s="1136">
        <f t="shared" si="249"/>
        <v>0</v>
      </c>
      <c r="DG443" s="1136">
        <f t="shared" si="250"/>
        <v>0</v>
      </c>
      <c r="DH443" s="1136">
        <f t="shared" si="251"/>
        <v>0</v>
      </c>
      <c r="DI443" s="1136">
        <f t="shared" si="252"/>
        <v>0</v>
      </c>
      <c r="DJ443" s="1136">
        <f t="shared" si="253"/>
        <v>0</v>
      </c>
      <c r="DK443" s="1136">
        <f t="shared" si="254"/>
        <v>0</v>
      </c>
      <c r="DL443" s="1136">
        <f t="shared" si="255"/>
        <v>0</v>
      </c>
      <c r="DM443" s="1136">
        <f t="shared" si="256"/>
        <v>0</v>
      </c>
      <c r="DN443" s="1136">
        <f t="shared" si="257"/>
        <v>0</v>
      </c>
      <c r="DO443" s="1136">
        <f t="shared" si="258"/>
        <v>0</v>
      </c>
      <c r="DP443" s="1136">
        <f t="shared" si="259"/>
        <v>0</v>
      </c>
      <c r="DQ443" s="1136">
        <f t="shared" si="260"/>
        <v>0</v>
      </c>
      <c r="DR443" s="1136">
        <f t="shared" si="261"/>
        <v>0</v>
      </c>
      <c r="DS443" s="1136">
        <f t="shared" si="262"/>
        <v>0</v>
      </c>
      <c r="DT443" s="1136">
        <f t="shared" si="263"/>
        <v>0</v>
      </c>
      <c r="DU443" s="1136">
        <f t="shared" si="264"/>
        <v>0</v>
      </c>
      <c r="DV443" s="1136">
        <f t="shared" si="265"/>
        <v>0</v>
      </c>
      <c r="DW443" s="1136">
        <f t="shared" si="266"/>
        <v>0</v>
      </c>
      <c r="DX443" s="1136">
        <f t="shared" si="267"/>
        <v>0</v>
      </c>
      <c r="DY443" s="1136">
        <f t="shared" si="268"/>
        <v>0</v>
      </c>
      <c r="DZ443" s="1136">
        <f t="shared" si="269"/>
        <v>0</v>
      </c>
      <c r="EA443" s="1136">
        <f t="shared" si="270"/>
        <v>0</v>
      </c>
      <c r="EB443" s="1136">
        <f t="shared" si="271"/>
        <v>0</v>
      </c>
      <c r="EC443" s="1136">
        <f t="shared" si="272"/>
        <v>0</v>
      </c>
      <c r="ED443" s="1136">
        <f t="shared" si="273"/>
        <v>0</v>
      </c>
      <c r="EE443" s="1136">
        <f t="shared" si="274"/>
        <v>0</v>
      </c>
      <c r="EF443" s="1136">
        <f t="shared" si="275"/>
        <v>0</v>
      </c>
      <c r="EG443" s="1136">
        <f t="shared" si="276"/>
        <v>0</v>
      </c>
      <c r="EH443" s="1136">
        <f t="shared" si="277"/>
        <v>0</v>
      </c>
      <c r="EI443" s="1136">
        <f t="shared" si="278"/>
        <v>0</v>
      </c>
      <c r="EJ443" s="1136">
        <f t="shared" si="279"/>
        <v>0</v>
      </c>
      <c r="EK443" s="1136">
        <f t="shared" si="280"/>
        <v>0</v>
      </c>
      <c r="EL443" s="1136">
        <f t="shared" si="281"/>
        <v>0</v>
      </c>
      <c r="EM443" s="1136">
        <f t="shared" si="282"/>
        <v>0</v>
      </c>
    </row>
    <row r="444" spans="11:143" ht="12" customHeight="1" x14ac:dyDescent="0.35">
      <c r="K444" s="13">
        <v>24</v>
      </c>
      <c r="L444" s="87">
        <f>Input!D207</f>
        <v>0</v>
      </c>
      <c r="M444" s="88">
        <f>IF(Input!$F$183&gt;=$K444,Input!G207,0)</f>
        <v>0</v>
      </c>
      <c r="N444" s="197">
        <f>Input!H207</f>
        <v>0</v>
      </c>
      <c r="O444" s="197">
        <f>Input!I207</f>
        <v>0</v>
      </c>
      <c r="P444" s="90">
        <f>Input!J207</f>
        <v>0</v>
      </c>
      <c r="Q444" s="13">
        <v>24</v>
      </c>
      <c r="R444" s="207">
        <f t="shared" si="220"/>
        <v>0</v>
      </c>
      <c r="S444" s="207">
        <f t="shared" si="221"/>
        <v>0</v>
      </c>
      <c r="T444" s="40">
        <f>IFERROR(VLOOKUP(R444,Infrastructure!$D$70:$F$129,3,FALSE),0)</f>
        <v>1</v>
      </c>
      <c r="U444" s="40">
        <f>IFERROR(VLOOKUP(S444,Infrastructure!$D$70:$F$129,3,FALSE),0)</f>
        <v>1</v>
      </c>
      <c r="V444" s="13"/>
      <c r="W444" s="91">
        <f>IF(Input!$F$183&gt;=$K444,Input!M207,0)</f>
        <v>0</v>
      </c>
      <c r="X444" s="92">
        <f>IF(Input!$F$183&gt;=$K444,Input!N207,0)</f>
        <v>0</v>
      </c>
      <c r="Y444" s="92">
        <f>IF(Input!$F$183&gt;=$K444,Input!O207,0)</f>
        <v>0</v>
      </c>
      <c r="Z444" s="92">
        <f>IF(Input!$F$183&gt;=$K444,Input!P207,0)</f>
        <v>0</v>
      </c>
      <c r="AA444" s="92">
        <f>IF(Input!$F$183&gt;=$K444,Input!Q207,0)</f>
        <v>0</v>
      </c>
      <c r="AB444" s="92">
        <f>IF(Input!$F$183&gt;=$K444,Input!R207,0)</f>
        <v>0</v>
      </c>
      <c r="AC444" s="92">
        <f>IF(Input!$F$183&gt;=$K444,Input!S207,0)</f>
        <v>0</v>
      </c>
      <c r="AD444" s="92">
        <f>IF(Input!$F$183&gt;=$K444,Input!T207,0)</f>
        <v>0</v>
      </c>
      <c r="AE444" s="92">
        <f>IF(Input!$F$183&gt;=$K444,Input!U207,0)</f>
        <v>0</v>
      </c>
      <c r="AF444" s="92">
        <f>IF(Input!$F$183&gt;=$K444,Input!V207,0)</f>
        <v>0</v>
      </c>
      <c r="AG444" s="92">
        <f>IF(Input!$F$183&gt;=$K444,Input!W207,0)</f>
        <v>0</v>
      </c>
      <c r="AH444" s="92">
        <f>IF(Input!$F$183&gt;=$K444,Input!X207,0)</f>
        <v>0</v>
      </c>
      <c r="AI444" s="92">
        <f>IF(Input!$F$183&gt;=$K444,Input!Y207,0)</f>
        <v>0</v>
      </c>
      <c r="AJ444" s="92">
        <f>IF(Input!$F$183&gt;=$K444,Input!Z207,0)</f>
        <v>0</v>
      </c>
      <c r="AK444" s="92">
        <f>IF(Input!$F$183&gt;=$K444,Input!AA207,0)</f>
        <v>0</v>
      </c>
      <c r="AL444" s="92">
        <f>IF(Input!$F$183&gt;=$K444,Input!AB207,0)</f>
        <v>0</v>
      </c>
      <c r="AM444" s="92">
        <f>IF(Input!$F$183&gt;=$K444,Input!AC207,0)</f>
        <v>0</v>
      </c>
      <c r="AN444" s="92">
        <f>IF(Input!$F$183&gt;=$K444,Input!AD207,0)</f>
        <v>0</v>
      </c>
      <c r="AO444" s="92">
        <f>IF(Input!$F$183&gt;=$K444,Input!AE207,0)</f>
        <v>0</v>
      </c>
      <c r="AP444" s="92">
        <f>IF(Input!$F$183&gt;=$K444,Input!AF207,0)</f>
        <v>0</v>
      </c>
      <c r="AQ444" s="92">
        <f>IF(Input!$F$183&gt;=$K444,Input!AG207,0)</f>
        <v>0</v>
      </c>
      <c r="AR444" s="92">
        <f>IF(Input!$F$183&gt;=$K444,Input!AH207,0)</f>
        <v>0</v>
      </c>
      <c r="AS444" s="92">
        <f>IF(Input!$F$183&gt;=$K444,Input!AI207,0)</f>
        <v>0</v>
      </c>
      <c r="AT444" s="92">
        <f>IF(Input!$F$183&gt;=$K444,Input!AJ207,0)</f>
        <v>0</v>
      </c>
      <c r="AU444" s="92">
        <f>IF(Input!$F$183&gt;=$K444,Input!AK207,0)</f>
        <v>0</v>
      </c>
      <c r="AV444" s="92">
        <f>IF(Input!$F$183&gt;=$K444,Input!AL207,0)</f>
        <v>0</v>
      </c>
      <c r="AW444" s="92">
        <f>IF(Input!$F$183&gt;=$K444,Input!AM207,0)</f>
        <v>0</v>
      </c>
      <c r="AX444" s="92">
        <f>IF(Input!$F$183&gt;=$K444,Input!AN207,0)</f>
        <v>0</v>
      </c>
      <c r="AY444" s="92">
        <f>IF(Input!$F$183&gt;=$K444,Input!AO207,0)</f>
        <v>0</v>
      </c>
      <c r="AZ444" s="92">
        <f>IF(Input!$F$183&gt;=$K444,Input!AP207,0)</f>
        <v>0</v>
      </c>
      <c r="BA444" s="92">
        <f>IF(Input!$F$183&gt;=$K444,Input!AQ207,0)</f>
        <v>0</v>
      </c>
      <c r="BB444" s="92">
        <f>IF(Input!$F$183&gt;=$K444,Input!AR207,0)</f>
        <v>0</v>
      </c>
      <c r="BC444" s="92">
        <f>IF(Input!$F$183&gt;=$K444,Input!AS207,0)</f>
        <v>0</v>
      </c>
      <c r="BD444" s="92">
        <f>IF(Input!$F$183&gt;=$K444,Input!AT207,0)</f>
        <v>0</v>
      </c>
      <c r="BE444" s="92">
        <f>IF(Input!$F$183&gt;=$K444,Input!AU207,0)</f>
        <v>0</v>
      </c>
      <c r="BF444" s="92">
        <f>IF(Input!$F$183&gt;=$K444,Input!AV207,0)</f>
        <v>0</v>
      </c>
      <c r="BG444" s="92">
        <f>IF(Input!$F$183&gt;=$K444,Input!AW207,0)</f>
        <v>0</v>
      </c>
      <c r="BH444" s="92">
        <f>IF(Input!$F$183&gt;=$K444,Input!AX207,0)</f>
        <v>0</v>
      </c>
      <c r="BI444" s="92">
        <f>IF(Input!$F$183&gt;=$K444,Input!AY207,0)</f>
        <v>0</v>
      </c>
      <c r="BJ444" s="92">
        <f>IF(Input!$F$183&gt;=$K444,Input!AZ207,0)</f>
        <v>0</v>
      </c>
      <c r="BK444" s="92">
        <f>IF(Input!$F$183&gt;=$K444,Input!BA207,0)</f>
        <v>0</v>
      </c>
      <c r="BL444" s="92">
        <f>IF(Input!$F$183&gt;=$K444,Input!BB207,0)</f>
        <v>0</v>
      </c>
      <c r="BM444" s="92">
        <f>IF(Input!$F$183&gt;=$K444,Input!BC207,0)</f>
        <v>0</v>
      </c>
      <c r="BN444" s="92">
        <f>IF(Input!$F$183&gt;=$K444,Input!BD207,0)</f>
        <v>0</v>
      </c>
      <c r="BO444" s="92">
        <f>IF(Input!$F$183&gt;=$K444,Input!BE207,0)</f>
        <v>0</v>
      </c>
      <c r="BP444" s="92">
        <f>IF(Input!$F$183&gt;=$K444,Input!BF207,0)</f>
        <v>0</v>
      </c>
      <c r="BQ444" s="92">
        <f>IF(Input!$F$183&gt;=$K444,Input!BG207,0)</f>
        <v>0</v>
      </c>
      <c r="BR444" s="92">
        <f>IF(Input!$F$183&gt;=$K444,Input!BH207,0)</f>
        <v>0</v>
      </c>
      <c r="BS444" s="92">
        <f>IF(Input!$F$183&gt;=$K444,Input!BI207,0)</f>
        <v>0</v>
      </c>
      <c r="BT444" s="92">
        <f>IF(Input!$F$183&gt;=$K444,Input!BJ207,0)</f>
        <v>0</v>
      </c>
      <c r="BU444" s="92">
        <f>IF(Input!$F$183&gt;=$K444,Input!BK207,0)</f>
        <v>0</v>
      </c>
      <c r="BV444" s="92">
        <f>IF(Input!$F$183&gt;=$K444,Input!BL207,0)</f>
        <v>0</v>
      </c>
      <c r="BW444" s="92">
        <f>IF(Input!$F$183&gt;=$K444,Input!BM207,0)</f>
        <v>0</v>
      </c>
      <c r="BX444" s="92">
        <f>IF(Input!$F$183&gt;=$K444,Input!BN207,0)</f>
        <v>0</v>
      </c>
      <c r="BY444" s="92">
        <f>IF(Input!$F$183&gt;=$K444,Input!BO207,0)</f>
        <v>0</v>
      </c>
      <c r="BZ444" s="92">
        <f>IF(Input!$F$183&gt;=$K444,Input!BP207,0)</f>
        <v>0</v>
      </c>
      <c r="CA444" s="92">
        <f>IF(Input!$F$183&gt;=$K444,Input!BQ207,0)</f>
        <v>0</v>
      </c>
      <c r="CB444" s="92">
        <f>IF(Input!$F$183&gt;=$K444,Input!BR207,0)</f>
        <v>0</v>
      </c>
      <c r="CC444" s="92">
        <f>IF(Input!$F$183&gt;=$K444,Input!BS207,0)</f>
        <v>0</v>
      </c>
      <c r="CD444" s="275">
        <f>IF(Input!$F$183&gt;=$K444,Input!BT207,0)</f>
        <v>0</v>
      </c>
      <c r="CE444" s="69">
        <f t="shared" si="222"/>
        <v>0</v>
      </c>
      <c r="CF444" s="1136">
        <f t="shared" si="223"/>
        <v>0</v>
      </c>
      <c r="CG444" s="1136">
        <f t="shared" si="224"/>
        <v>0</v>
      </c>
      <c r="CH444" s="1136">
        <f t="shared" si="225"/>
        <v>0</v>
      </c>
      <c r="CI444" s="1136">
        <f t="shared" si="226"/>
        <v>0</v>
      </c>
      <c r="CJ444" s="1136">
        <f t="shared" si="227"/>
        <v>0</v>
      </c>
      <c r="CK444" s="1136">
        <f t="shared" si="228"/>
        <v>0</v>
      </c>
      <c r="CL444" s="1136">
        <f t="shared" si="229"/>
        <v>0</v>
      </c>
      <c r="CM444" s="1136">
        <f t="shared" si="230"/>
        <v>0</v>
      </c>
      <c r="CN444" s="1136">
        <f t="shared" si="231"/>
        <v>0</v>
      </c>
      <c r="CO444" s="1136">
        <f t="shared" si="232"/>
        <v>0</v>
      </c>
      <c r="CP444" s="1136">
        <f t="shared" si="233"/>
        <v>0</v>
      </c>
      <c r="CQ444" s="1136">
        <f t="shared" si="234"/>
        <v>0</v>
      </c>
      <c r="CR444" s="1136">
        <f t="shared" si="235"/>
        <v>0</v>
      </c>
      <c r="CS444" s="1136">
        <f t="shared" si="236"/>
        <v>0</v>
      </c>
      <c r="CT444" s="1136">
        <f t="shared" si="237"/>
        <v>0</v>
      </c>
      <c r="CU444" s="1136">
        <f t="shared" si="238"/>
        <v>0</v>
      </c>
      <c r="CV444" s="1136">
        <f t="shared" si="239"/>
        <v>0</v>
      </c>
      <c r="CW444" s="1136">
        <f t="shared" si="240"/>
        <v>0</v>
      </c>
      <c r="CX444" s="1136">
        <f t="shared" si="241"/>
        <v>0</v>
      </c>
      <c r="CY444" s="1136">
        <f t="shared" si="242"/>
        <v>0</v>
      </c>
      <c r="CZ444" s="1136">
        <f t="shared" si="243"/>
        <v>0</v>
      </c>
      <c r="DA444" s="1136">
        <f t="shared" si="244"/>
        <v>0</v>
      </c>
      <c r="DB444" s="1136">
        <f t="shared" si="245"/>
        <v>0</v>
      </c>
      <c r="DC444" s="1136">
        <f t="shared" si="246"/>
        <v>0</v>
      </c>
      <c r="DD444" s="1136">
        <f t="shared" si="247"/>
        <v>0</v>
      </c>
      <c r="DE444" s="1136">
        <f t="shared" si="248"/>
        <v>0</v>
      </c>
      <c r="DF444" s="1136">
        <f t="shared" si="249"/>
        <v>0</v>
      </c>
      <c r="DG444" s="1136">
        <f t="shared" si="250"/>
        <v>0</v>
      </c>
      <c r="DH444" s="1136">
        <f t="shared" si="251"/>
        <v>0</v>
      </c>
      <c r="DI444" s="1136">
        <f t="shared" si="252"/>
        <v>0</v>
      </c>
      <c r="DJ444" s="1136">
        <f t="shared" si="253"/>
        <v>0</v>
      </c>
      <c r="DK444" s="1136">
        <f t="shared" si="254"/>
        <v>0</v>
      </c>
      <c r="DL444" s="1136">
        <f t="shared" si="255"/>
        <v>0</v>
      </c>
      <c r="DM444" s="1136">
        <f t="shared" si="256"/>
        <v>0</v>
      </c>
      <c r="DN444" s="1136">
        <f t="shared" si="257"/>
        <v>0</v>
      </c>
      <c r="DO444" s="1136">
        <f t="shared" si="258"/>
        <v>0</v>
      </c>
      <c r="DP444" s="1136">
        <f t="shared" si="259"/>
        <v>0</v>
      </c>
      <c r="DQ444" s="1136">
        <f t="shared" si="260"/>
        <v>0</v>
      </c>
      <c r="DR444" s="1136">
        <f t="shared" si="261"/>
        <v>0</v>
      </c>
      <c r="DS444" s="1136">
        <f t="shared" si="262"/>
        <v>0</v>
      </c>
      <c r="DT444" s="1136">
        <f t="shared" si="263"/>
        <v>0</v>
      </c>
      <c r="DU444" s="1136">
        <f t="shared" si="264"/>
        <v>0</v>
      </c>
      <c r="DV444" s="1136">
        <f t="shared" si="265"/>
        <v>0</v>
      </c>
      <c r="DW444" s="1136">
        <f t="shared" si="266"/>
        <v>0</v>
      </c>
      <c r="DX444" s="1136">
        <f t="shared" si="267"/>
        <v>0</v>
      </c>
      <c r="DY444" s="1136">
        <f t="shared" si="268"/>
        <v>0</v>
      </c>
      <c r="DZ444" s="1136">
        <f t="shared" si="269"/>
        <v>0</v>
      </c>
      <c r="EA444" s="1136">
        <f t="shared" si="270"/>
        <v>0</v>
      </c>
      <c r="EB444" s="1136">
        <f t="shared" si="271"/>
        <v>0</v>
      </c>
      <c r="EC444" s="1136">
        <f t="shared" si="272"/>
        <v>0</v>
      </c>
      <c r="ED444" s="1136">
        <f t="shared" si="273"/>
        <v>0</v>
      </c>
      <c r="EE444" s="1136">
        <f t="shared" si="274"/>
        <v>0</v>
      </c>
      <c r="EF444" s="1136">
        <f t="shared" si="275"/>
        <v>0</v>
      </c>
      <c r="EG444" s="1136">
        <f t="shared" si="276"/>
        <v>0</v>
      </c>
      <c r="EH444" s="1136">
        <f t="shared" si="277"/>
        <v>0</v>
      </c>
      <c r="EI444" s="1136">
        <f t="shared" si="278"/>
        <v>0</v>
      </c>
      <c r="EJ444" s="1136">
        <f t="shared" si="279"/>
        <v>0</v>
      </c>
      <c r="EK444" s="1136">
        <f t="shared" si="280"/>
        <v>0</v>
      </c>
      <c r="EL444" s="1136">
        <f t="shared" si="281"/>
        <v>0</v>
      </c>
      <c r="EM444" s="1136">
        <f t="shared" si="282"/>
        <v>0</v>
      </c>
    </row>
    <row r="445" spans="11:143" ht="12" customHeight="1" x14ac:dyDescent="0.35">
      <c r="K445" s="13">
        <v>25</v>
      </c>
      <c r="L445" s="87">
        <f>Input!D208</f>
        <v>0</v>
      </c>
      <c r="M445" s="88">
        <f>IF(Input!$F$183&gt;=$K445,Input!G208,0)</f>
        <v>0</v>
      </c>
      <c r="N445" s="197">
        <f>Input!H208</f>
        <v>0</v>
      </c>
      <c r="O445" s="197">
        <f>Input!I208</f>
        <v>0</v>
      </c>
      <c r="P445" s="90">
        <f>Input!J208</f>
        <v>0</v>
      </c>
      <c r="Q445" s="13">
        <v>25</v>
      </c>
      <c r="R445" s="207">
        <f t="shared" si="220"/>
        <v>0</v>
      </c>
      <c r="S445" s="207">
        <f t="shared" si="221"/>
        <v>0</v>
      </c>
      <c r="T445" s="40">
        <f>IFERROR(VLOOKUP(R445,Infrastructure!$D$70:$F$129,3,FALSE),0)</f>
        <v>1</v>
      </c>
      <c r="U445" s="40">
        <f>IFERROR(VLOOKUP(S445,Infrastructure!$D$70:$F$129,3,FALSE),0)</f>
        <v>1</v>
      </c>
      <c r="V445" s="13"/>
      <c r="W445" s="91">
        <f>IF(Input!$F$183&gt;=$K445,Input!M208,0)</f>
        <v>0</v>
      </c>
      <c r="X445" s="92">
        <f>IF(Input!$F$183&gt;=$K445,Input!N208,0)</f>
        <v>0</v>
      </c>
      <c r="Y445" s="92">
        <f>IF(Input!$F$183&gt;=$K445,Input!O208,0)</f>
        <v>0</v>
      </c>
      <c r="Z445" s="92">
        <f>IF(Input!$F$183&gt;=$K445,Input!P208,0)</f>
        <v>0</v>
      </c>
      <c r="AA445" s="92">
        <f>IF(Input!$F$183&gt;=$K445,Input!Q208,0)</f>
        <v>0</v>
      </c>
      <c r="AB445" s="92">
        <f>IF(Input!$F$183&gt;=$K445,Input!R208,0)</f>
        <v>0</v>
      </c>
      <c r="AC445" s="92">
        <f>IF(Input!$F$183&gt;=$K445,Input!S208,0)</f>
        <v>0</v>
      </c>
      <c r="AD445" s="92">
        <f>IF(Input!$F$183&gt;=$K445,Input!T208,0)</f>
        <v>0</v>
      </c>
      <c r="AE445" s="92">
        <f>IF(Input!$F$183&gt;=$K445,Input!U208,0)</f>
        <v>0</v>
      </c>
      <c r="AF445" s="92">
        <f>IF(Input!$F$183&gt;=$K445,Input!V208,0)</f>
        <v>0</v>
      </c>
      <c r="AG445" s="92">
        <f>IF(Input!$F$183&gt;=$K445,Input!W208,0)</f>
        <v>0</v>
      </c>
      <c r="AH445" s="92">
        <f>IF(Input!$F$183&gt;=$K445,Input!X208,0)</f>
        <v>0</v>
      </c>
      <c r="AI445" s="92">
        <f>IF(Input!$F$183&gt;=$K445,Input!Y208,0)</f>
        <v>0</v>
      </c>
      <c r="AJ445" s="92">
        <f>IF(Input!$F$183&gt;=$K445,Input!Z208,0)</f>
        <v>0</v>
      </c>
      <c r="AK445" s="92">
        <f>IF(Input!$F$183&gt;=$K445,Input!AA208,0)</f>
        <v>0</v>
      </c>
      <c r="AL445" s="92">
        <f>IF(Input!$F$183&gt;=$K445,Input!AB208,0)</f>
        <v>0</v>
      </c>
      <c r="AM445" s="92">
        <f>IF(Input!$F$183&gt;=$K445,Input!AC208,0)</f>
        <v>0</v>
      </c>
      <c r="AN445" s="92">
        <f>IF(Input!$F$183&gt;=$K445,Input!AD208,0)</f>
        <v>0</v>
      </c>
      <c r="AO445" s="92">
        <f>IF(Input!$F$183&gt;=$K445,Input!AE208,0)</f>
        <v>0</v>
      </c>
      <c r="AP445" s="92">
        <f>IF(Input!$F$183&gt;=$K445,Input!AF208,0)</f>
        <v>0</v>
      </c>
      <c r="AQ445" s="92">
        <f>IF(Input!$F$183&gt;=$K445,Input!AG208,0)</f>
        <v>0</v>
      </c>
      <c r="AR445" s="92">
        <f>IF(Input!$F$183&gt;=$K445,Input!AH208,0)</f>
        <v>0</v>
      </c>
      <c r="AS445" s="92">
        <f>IF(Input!$F$183&gt;=$K445,Input!AI208,0)</f>
        <v>0</v>
      </c>
      <c r="AT445" s="92">
        <f>IF(Input!$F$183&gt;=$K445,Input!AJ208,0)</f>
        <v>0</v>
      </c>
      <c r="AU445" s="92">
        <f>IF(Input!$F$183&gt;=$K445,Input!AK208,0)</f>
        <v>0</v>
      </c>
      <c r="AV445" s="92">
        <f>IF(Input!$F$183&gt;=$K445,Input!AL208,0)</f>
        <v>0</v>
      </c>
      <c r="AW445" s="92">
        <f>IF(Input!$F$183&gt;=$K445,Input!AM208,0)</f>
        <v>0</v>
      </c>
      <c r="AX445" s="92">
        <f>IF(Input!$F$183&gt;=$K445,Input!AN208,0)</f>
        <v>0</v>
      </c>
      <c r="AY445" s="92">
        <f>IF(Input!$F$183&gt;=$K445,Input!AO208,0)</f>
        <v>0</v>
      </c>
      <c r="AZ445" s="92">
        <f>IF(Input!$F$183&gt;=$K445,Input!AP208,0)</f>
        <v>0</v>
      </c>
      <c r="BA445" s="92">
        <f>IF(Input!$F$183&gt;=$K445,Input!AQ208,0)</f>
        <v>0</v>
      </c>
      <c r="BB445" s="92">
        <f>IF(Input!$F$183&gt;=$K445,Input!AR208,0)</f>
        <v>0</v>
      </c>
      <c r="BC445" s="92">
        <f>IF(Input!$F$183&gt;=$K445,Input!AS208,0)</f>
        <v>0</v>
      </c>
      <c r="BD445" s="92">
        <f>IF(Input!$F$183&gt;=$K445,Input!AT208,0)</f>
        <v>0</v>
      </c>
      <c r="BE445" s="92">
        <f>IF(Input!$F$183&gt;=$K445,Input!AU208,0)</f>
        <v>0</v>
      </c>
      <c r="BF445" s="92">
        <f>IF(Input!$F$183&gt;=$K445,Input!AV208,0)</f>
        <v>0</v>
      </c>
      <c r="BG445" s="92">
        <f>IF(Input!$F$183&gt;=$K445,Input!AW208,0)</f>
        <v>0</v>
      </c>
      <c r="BH445" s="92">
        <f>IF(Input!$F$183&gt;=$K445,Input!AX208,0)</f>
        <v>0</v>
      </c>
      <c r="BI445" s="92">
        <f>IF(Input!$F$183&gt;=$K445,Input!AY208,0)</f>
        <v>0</v>
      </c>
      <c r="BJ445" s="92">
        <f>IF(Input!$F$183&gt;=$K445,Input!AZ208,0)</f>
        <v>0</v>
      </c>
      <c r="BK445" s="92">
        <f>IF(Input!$F$183&gt;=$K445,Input!BA208,0)</f>
        <v>0</v>
      </c>
      <c r="BL445" s="92">
        <f>IF(Input!$F$183&gt;=$K445,Input!BB208,0)</f>
        <v>0</v>
      </c>
      <c r="BM445" s="92">
        <f>IF(Input!$F$183&gt;=$K445,Input!BC208,0)</f>
        <v>0</v>
      </c>
      <c r="BN445" s="92">
        <f>IF(Input!$F$183&gt;=$K445,Input!BD208,0)</f>
        <v>0</v>
      </c>
      <c r="BO445" s="92">
        <f>IF(Input!$F$183&gt;=$K445,Input!BE208,0)</f>
        <v>0</v>
      </c>
      <c r="BP445" s="92">
        <f>IF(Input!$F$183&gt;=$K445,Input!BF208,0)</f>
        <v>0</v>
      </c>
      <c r="BQ445" s="92">
        <f>IF(Input!$F$183&gt;=$K445,Input!BG208,0)</f>
        <v>0</v>
      </c>
      <c r="BR445" s="92">
        <f>IF(Input!$F$183&gt;=$K445,Input!BH208,0)</f>
        <v>0</v>
      </c>
      <c r="BS445" s="92">
        <f>IF(Input!$F$183&gt;=$K445,Input!BI208,0)</f>
        <v>0</v>
      </c>
      <c r="BT445" s="92">
        <f>IF(Input!$F$183&gt;=$K445,Input!BJ208,0)</f>
        <v>0</v>
      </c>
      <c r="BU445" s="92">
        <f>IF(Input!$F$183&gt;=$K445,Input!BK208,0)</f>
        <v>0</v>
      </c>
      <c r="BV445" s="92">
        <f>IF(Input!$F$183&gt;=$K445,Input!BL208,0)</f>
        <v>0</v>
      </c>
      <c r="BW445" s="92">
        <f>IF(Input!$F$183&gt;=$K445,Input!BM208,0)</f>
        <v>0</v>
      </c>
      <c r="BX445" s="92">
        <f>IF(Input!$F$183&gt;=$K445,Input!BN208,0)</f>
        <v>0</v>
      </c>
      <c r="BY445" s="92">
        <f>IF(Input!$F$183&gt;=$K445,Input!BO208,0)</f>
        <v>0</v>
      </c>
      <c r="BZ445" s="92">
        <f>IF(Input!$F$183&gt;=$K445,Input!BP208,0)</f>
        <v>0</v>
      </c>
      <c r="CA445" s="92">
        <f>IF(Input!$F$183&gt;=$K445,Input!BQ208,0)</f>
        <v>0</v>
      </c>
      <c r="CB445" s="92">
        <f>IF(Input!$F$183&gt;=$K445,Input!BR208,0)</f>
        <v>0</v>
      </c>
      <c r="CC445" s="92">
        <f>IF(Input!$F$183&gt;=$K445,Input!BS208,0)</f>
        <v>0</v>
      </c>
      <c r="CD445" s="275">
        <f>IF(Input!$F$183&gt;=$K445,Input!BT208,0)</f>
        <v>0</v>
      </c>
      <c r="CE445" s="69">
        <f t="shared" si="222"/>
        <v>0</v>
      </c>
      <c r="CF445" s="1136">
        <f t="shared" si="223"/>
        <v>0</v>
      </c>
      <c r="CG445" s="1136">
        <f t="shared" si="224"/>
        <v>0</v>
      </c>
      <c r="CH445" s="1136">
        <f t="shared" si="225"/>
        <v>0</v>
      </c>
      <c r="CI445" s="1136">
        <f t="shared" si="226"/>
        <v>0</v>
      </c>
      <c r="CJ445" s="1136">
        <f t="shared" si="227"/>
        <v>0</v>
      </c>
      <c r="CK445" s="1136">
        <f t="shared" si="228"/>
        <v>0</v>
      </c>
      <c r="CL445" s="1136">
        <f t="shared" si="229"/>
        <v>0</v>
      </c>
      <c r="CM445" s="1136">
        <f t="shared" si="230"/>
        <v>0</v>
      </c>
      <c r="CN445" s="1136">
        <f t="shared" si="231"/>
        <v>0</v>
      </c>
      <c r="CO445" s="1136">
        <f t="shared" si="232"/>
        <v>0</v>
      </c>
      <c r="CP445" s="1136">
        <f t="shared" si="233"/>
        <v>0</v>
      </c>
      <c r="CQ445" s="1136">
        <f t="shared" si="234"/>
        <v>0</v>
      </c>
      <c r="CR445" s="1136">
        <f t="shared" si="235"/>
        <v>0</v>
      </c>
      <c r="CS445" s="1136">
        <f t="shared" si="236"/>
        <v>0</v>
      </c>
      <c r="CT445" s="1136">
        <f t="shared" si="237"/>
        <v>0</v>
      </c>
      <c r="CU445" s="1136">
        <f t="shared" si="238"/>
        <v>0</v>
      </c>
      <c r="CV445" s="1136">
        <f t="shared" si="239"/>
        <v>0</v>
      </c>
      <c r="CW445" s="1136">
        <f t="shared" si="240"/>
        <v>0</v>
      </c>
      <c r="CX445" s="1136">
        <f t="shared" si="241"/>
        <v>0</v>
      </c>
      <c r="CY445" s="1136">
        <f t="shared" si="242"/>
        <v>0</v>
      </c>
      <c r="CZ445" s="1136">
        <f t="shared" si="243"/>
        <v>0</v>
      </c>
      <c r="DA445" s="1136">
        <f t="shared" si="244"/>
        <v>0</v>
      </c>
      <c r="DB445" s="1136">
        <f t="shared" si="245"/>
        <v>0</v>
      </c>
      <c r="DC445" s="1136">
        <f t="shared" si="246"/>
        <v>0</v>
      </c>
      <c r="DD445" s="1136">
        <f t="shared" si="247"/>
        <v>0</v>
      </c>
      <c r="DE445" s="1136">
        <f t="shared" si="248"/>
        <v>0</v>
      </c>
      <c r="DF445" s="1136">
        <f t="shared" si="249"/>
        <v>0</v>
      </c>
      <c r="DG445" s="1136">
        <f t="shared" si="250"/>
        <v>0</v>
      </c>
      <c r="DH445" s="1136">
        <f t="shared" si="251"/>
        <v>0</v>
      </c>
      <c r="DI445" s="1136">
        <f t="shared" si="252"/>
        <v>0</v>
      </c>
      <c r="DJ445" s="1136">
        <f t="shared" si="253"/>
        <v>0</v>
      </c>
      <c r="DK445" s="1136">
        <f t="shared" si="254"/>
        <v>0</v>
      </c>
      <c r="DL445" s="1136">
        <f t="shared" si="255"/>
        <v>0</v>
      </c>
      <c r="DM445" s="1136">
        <f t="shared" si="256"/>
        <v>0</v>
      </c>
      <c r="DN445" s="1136">
        <f t="shared" si="257"/>
        <v>0</v>
      </c>
      <c r="DO445" s="1136">
        <f t="shared" si="258"/>
        <v>0</v>
      </c>
      <c r="DP445" s="1136">
        <f t="shared" si="259"/>
        <v>0</v>
      </c>
      <c r="DQ445" s="1136">
        <f t="shared" si="260"/>
        <v>0</v>
      </c>
      <c r="DR445" s="1136">
        <f t="shared" si="261"/>
        <v>0</v>
      </c>
      <c r="DS445" s="1136">
        <f t="shared" si="262"/>
        <v>0</v>
      </c>
      <c r="DT445" s="1136">
        <f t="shared" si="263"/>
        <v>0</v>
      </c>
      <c r="DU445" s="1136">
        <f t="shared" si="264"/>
        <v>0</v>
      </c>
      <c r="DV445" s="1136">
        <f t="shared" si="265"/>
        <v>0</v>
      </c>
      <c r="DW445" s="1136">
        <f t="shared" si="266"/>
        <v>0</v>
      </c>
      <c r="DX445" s="1136">
        <f t="shared" si="267"/>
        <v>0</v>
      </c>
      <c r="DY445" s="1136">
        <f t="shared" si="268"/>
        <v>0</v>
      </c>
      <c r="DZ445" s="1136">
        <f t="shared" si="269"/>
        <v>0</v>
      </c>
      <c r="EA445" s="1136">
        <f t="shared" si="270"/>
        <v>0</v>
      </c>
      <c r="EB445" s="1136">
        <f t="shared" si="271"/>
        <v>0</v>
      </c>
      <c r="EC445" s="1136">
        <f t="shared" si="272"/>
        <v>0</v>
      </c>
      <c r="ED445" s="1136">
        <f t="shared" si="273"/>
        <v>0</v>
      </c>
      <c r="EE445" s="1136">
        <f t="shared" si="274"/>
        <v>0</v>
      </c>
      <c r="EF445" s="1136">
        <f t="shared" si="275"/>
        <v>0</v>
      </c>
      <c r="EG445" s="1136">
        <f t="shared" si="276"/>
        <v>0</v>
      </c>
      <c r="EH445" s="1136">
        <f t="shared" si="277"/>
        <v>0</v>
      </c>
      <c r="EI445" s="1136">
        <f t="shared" si="278"/>
        <v>0</v>
      </c>
      <c r="EJ445" s="1136">
        <f t="shared" si="279"/>
        <v>0</v>
      </c>
      <c r="EK445" s="1136">
        <f t="shared" si="280"/>
        <v>0</v>
      </c>
      <c r="EL445" s="1136">
        <f t="shared" si="281"/>
        <v>0</v>
      </c>
      <c r="EM445" s="1136">
        <f t="shared" si="282"/>
        <v>0</v>
      </c>
    </row>
    <row r="446" spans="11:143" ht="12" customHeight="1" x14ac:dyDescent="0.35">
      <c r="K446" s="13">
        <v>26</v>
      </c>
      <c r="L446" s="87">
        <f>Input!D209</f>
        <v>0</v>
      </c>
      <c r="M446" s="88">
        <f>IF(Input!$F$183&gt;=$K446,Input!G209,0)</f>
        <v>0</v>
      </c>
      <c r="N446" s="197">
        <f>Input!H209</f>
        <v>0</v>
      </c>
      <c r="O446" s="197">
        <f>Input!I209</f>
        <v>0</v>
      </c>
      <c r="P446" s="90">
        <f>Input!J209</f>
        <v>0</v>
      </c>
      <c r="Q446" s="13">
        <v>26</v>
      </c>
      <c r="R446" s="207">
        <f t="shared" si="220"/>
        <v>0</v>
      </c>
      <c r="S446" s="207">
        <f t="shared" si="221"/>
        <v>0</v>
      </c>
      <c r="T446" s="40">
        <f>IFERROR(VLOOKUP(R446,Infrastructure!$D$70:$F$129,3,FALSE),0)</f>
        <v>1</v>
      </c>
      <c r="U446" s="40">
        <f>IFERROR(VLOOKUP(S446,Infrastructure!$D$70:$F$129,3,FALSE),0)</f>
        <v>1</v>
      </c>
      <c r="V446" s="13"/>
      <c r="W446" s="91">
        <f>IF(Input!$F$183&gt;=$K446,Input!M209,0)</f>
        <v>0</v>
      </c>
      <c r="X446" s="92">
        <f>IF(Input!$F$183&gt;=$K446,Input!N209,0)</f>
        <v>0</v>
      </c>
      <c r="Y446" s="92">
        <f>IF(Input!$F$183&gt;=$K446,Input!O209,0)</f>
        <v>0</v>
      </c>
      <c r="Z446" s="92">
        <f>IF(Input!$F$183&gt;=$K446,Input!P209,0)</f>
        <v>0</v>
      </c>
      <c r="AA446" s="92">
        <f>IF(Input!$F$183&gt;=$K446,Input!Q209,0)</f>
        <v>0</v>
      </c>
      <c r="AB446" s="92">
        <f>IF(Input!$F$183&gt;=$K446,Input!R209,0)</f>
        <v>0</v>
      </c>
      <c r="AC446" s="92">
        <f>IF(Input!$F$183&gt;=$K446,Input!S209,0)</f>
        <v>0</v>
      </c>
      <c r="AD446" s="92">
        <f>IF(Input!$F$183&gt;=$K446,Input!T209,0)</f>
        <v>0</v>
      </c>
      <c r="AE446" s="92">
        <f>IF(Input!$F$183&gt;=$K446,Input!U209,0)</f>
        <v>0</v>
      </c>
      <c r="AF446" s="92">
        <f>IF(Input!$F$183&gt;=$K446,Input!V209,0)</f>
        <v>0</v>
      </c>
      <c r="AG446" s="92">
        <f>IF(Input!$F$183&gt;=$K446,Input!W209,0)</f>
        <v>0</v>
      </c>
      <c r="AH446" s="92">
        <f>IF(Input!$F$183&gt;=$K446,Input!X209,0)</f>
        <v>0</v>
      </c>
      <c r="AI446" s="92">
        <f>IF(Input!$F$183&gt;=$K446,Input!Y209,0)</f>
        <v>0</v>
      </c>
      <c r="AJ446" s="92">
        <f>IF(Input!$F$183&gt;=$K446,Input!Z209,0)</f>
        <v>0</v>
      </c>
      <c r="AK446" s="92">
        <f>IF(Input!$F$183&gt;=$K446,Input!AA209,0)</f>
        <v>0</v>
      </c>
      <c r="AL446" s="92">
        <f>IF(Input!$F$183&gt;=$K446,Input!AB209,0)</f>
        <v>0</v>
      </c>
      <c r="AM446" s="92">
        <f>IF(Input!$F$183&gt;=$K446,Input!AC209,0)</f>
        <v>0</v>
      </c>
      <c r="AN446" s="92">
        <f>IF(Input!$F$183&gt;=$K446,Input!AD209,0)</f>
        <v>0</v>
      </c>
      <c r="AO446" s="92">
        <f>IF(Input!$F$183&gt;=$K446,Input!AE209,0)</f>
        <v>0</v>
      </c>
      <c r="AP446" s="92">
        <f>IF(Input!$F$183&gt;=$K446,Input!AF209,0)</f>
        <v>0</v>
      </c>
      <c r="AQ446" s="92">
        <f>IF(Input!$F$183&gt;=$K446,Input!AG209,0)</f>
        <v>0</v>
      </c>
      <c r="AR446" s="92">
        <f>IF(Input!$F$183&gt;=$K446,Input!AH209,0)</f>
        <v>0</v>
      </c>
      <c r="AS446" s="92">
        <f>IF(Input!$F$183&gt;=$K446,Input!AI209,0)</f>
        <v>0</v>
      </c>
      <c r="AT446" s="92">
        <f>IF(Input!$F$183&gt;=$K446,Input!AJ209,0)</f>
        <v>0</v>
      </c>
      <c r="AU446" s="92">
        <f>IF(Input!$F$183&gt;=$K446,Input!AK209,0)</f>
        <v>0</v>
      </c>
      <c r="AV446" s="92">
        <f>IF(Input!$F$183&gt;=$K446,Input!AL209,0)</f>
        <v>0</v>
      </c>
      <c r="AW446" s="92">
        <f>IF(Input!$F$183&gt;=$K446,Input!AM209,0)</f>
        <v>0</v>
      </c>
      <c r="AX446" s="92">
        <f>IF(Input!$F$183&gt;=$K446,Input!AN209,0)</f>
        <v>0</v>
      </c>
      <c r="AY446" s="92">
        <f>IF(Input!$F$183&gt;=$K446,Input!AO209,0)</f>
        <v>0</v>
      </c>
      <c r="AZ446" s="92">
        <f>IF(Input!$F$183&gt;=$K446,Input!AP209,0)</f>
        <v>0</v>
      </c>
      <c r="BA446" s="92">
        <f>IF(Input!$F$183&gt;=$K446,Input!AQ209,0)</f>
        <v>0</v>
      </c>
      <c r="BB446" s="92">
        <f>IF(Input!$F$183&gt;=$K446,Input!AR209,0)</f>
        <v>0</v>
      </c>
      <c r="BC446" s="92">
        <f>IF(Input!$F$183&gt;=$K446,Input!AS209,0)</f>
        <v>0</v>
      </c>
      <c r="BD446" s="92">
        <f>IF(Input!$F$183&gt;=$K446,Input!AT209,0)</f>
        <v>0</v>
      </c>
      <c r="BE446" s="92">
        <f>IF(Input!$F$183&gt;=$K446,Input!AU209,0)</f>
        <v>0</v>
      </c>
      <c r="BF446" s="92">
        <f>IF(Input!$F$183&gt;=$K446,Input!AV209,0)</f>
        <v>0</v>
      </c>
      <c r="BG446" s="92">
        <f>IF(Input!$F$183&gt;=$K446,Input!AW209,0)</f>
        <v>0</v>
      </c>
      <c r="BH446" s="92">
        <f>IF(Input!$F$183&gt;=$K446,Input!AX209,0)</f>
        <v>0</v>
      </c>
      <c r="BI446" s="92">
        <f>IF(Input!$F$183&gt;=$K446,Input!AY209,0)</f>
        <v>0</v>
      </c>
      <c r="BJ446" s="92">
        <f>IF(Input!$F$183&gt;=$K446,Input!AZ209,0)</f>
        <v>0</v>
      </c>
      <c r="BK446" s="92">
        <f>IF(Input!$F$183&gt;=$K446,Input!BA209,0)</f>
        <v>0</v>
      </c>
      <c r="BL446" s="92">
        <f>IF(Input!$F$183&gt;=$K446,Input!BB209,0)</f>
        <v>0</v>
      </c>
      <c r="BM446" s="92">
        <f>IF(Input!$F$183&gt;=$K446,Input!BC209,0)</f>
        <v>0</v>
      </c>
      <c r="BN446" s="92">
        <f>IF(Input!$F$183&gt;=$K446,Input!BD209,0)</f>
        <v>0</v>
      </c>
      <c r="BO446" s="92">
        <f>IF(Input!$F$183&gt;=$K446,Input!BE209,0)</f>
        <v>0</v>
      </c>
      <c r="BP446" s="92">
        <f>IF(Input!$F$183&gt;=$K446,Input!BF209,0)</f>
        <v>0</v>
      </c>
      <c r="BQ446" s="92">
        <f>IF(Input!$F$183&gt;=$K446,Input!BG209,0)</f>
        <v>0</v>
      </c>
      <c r="BR446" s="92">
        <f>IF(Input!$F$183&gt;=$K446,Input!BH209,0)</f>
        <v>0</v>
      </c>
      <c r="BS446" s="92">
        <f>IF(Input!$F$183&gt;=$K446,Input!BI209,0)</f>
        <v>0</v>
      </c>
      <c r="BT446" s="92">
        <f>IF(Input!$F$183&gt;=$K446,Input!BJ209,0)</f>
        <v>0</v>
      </c>
      <c r="BU446" s="92">
        <f>IF(Input!$F$183&gt;=$K446,Input!BK209,0)</f>
        <v>0</v>
      </c>
      <c r="BV446" s="92">
        <f>IF(Input!$F$183&gt;=$K446,Input!BL209,0)</f>
        <v>0</v>
      </c>
      <c r="BW446" s="92">
        <f>IF(Input!$F$183&gt;=$K446,Input!BM209,0)</f>
        <v>0</v>
      </c>
      <c r="BX446" s="92">
        <f>IF(Input!$F$183&gt;=$K446,Input!BN209,0)</f>
        <v>0</v>
      </c>
      <c r="BY446" s="92">
        <f>IF(Input!$F$183&gt;=$K446,Input!BO209,0)</f>
        <v>0</v>
      </c>
      <c r="BZ446" s="92">
        <f>IF(Input!$F$183&gt;=$K446,Input!BP209,0)</f>
        <v>0</v>
      </c>
      <c r="CA446" s="92">
        <f>IF(Input!$F$183&gt;=$K446,Input!BQ209,0)</f>
        <v>0</v>
      </c>
      <c r="CB446" s="92">
        <f>IF(Input!$F$183&gt;=$K446,Input!BR209,0)</f>
        <v>0</v>
      </c>
      <c r="CC446" s="92">
        <f>IF(Input!$F$183&gt;=$K446,Input!BS209,0)</f>
        <v>0</v>
      </c>
      <c r="CD446" s="275">
        <f>IF(Input!$F$183&gt;=$K446,Input!BT209,0)</f>
        <v>0</v>
      </c>
      <c r="CE446" s="69">
        <f t="shared" si="222"/>
        <v>0</v>
      </c>
      <c r="CF446" s="1136">
        <f t="shared" si="223"/>
        <v>0</v>
      </c>
      <c r="CG446" s="1136">
        <f t="shared" si="224"/>
        <v>0</v>
      </c>
      <c r="CH446" s="1136">
        <f t="shared" si="225"/>
        <v>0</v>
      </c>
      <c r="CI446" s="1136">
        <f t="shared" si="226"/>
        <v>0</v>
      </c>
      <c r="CJ446" s="1136">
        <f t="shared" si="227"/>
        <v>0</v>
      </c>
      <c r="CK446" s="1136">
        <f t="shared" si="228"/>
        <v>0</v>
      </c>
      <c r="CL446" s="1136">
        <f t="shared" si="229"/>
        <v>0</v>
      </c>
      <c r="CM446" s="1136">
        <f t="shared" si="230"/>
        <v>0</v>
      </c>
      <c r="CN446" s="1136">
        <f t="shared" si="231"/>
        <v>0</v>
      </c>
      <c r="CO446" s="1136">
        <f t="shared" si="232"/>
        <v>0</v>
      </c>
      <c r="CP446" s="1136">
        <f t="shared" si="233"/>
        <v>0</v>
      </c>
      <c r="CQ446" s="1136">
        <f t="shared" si="234"/>
        <v>0</v>
      </c>
      <c r="CR446" s="1136">
        <f t="shared" si="235"/>
        <v>0</v>
      </c>
      <c r="CS446" s="1136">
        <f t="shared" si="236"/>
        <v>0</v>
      </c>
      <c r="CT446" s="1136">
        <f t="shared" si="237"/>
        <v>0</v>
      </c>
      <c r="CU446" s="1136">
        <f t="shared" si="238"/>
        <v>0</v>
      </c>
      <c r="CV446" s="1136">
        <f t="shared" si="239"/>
        <v>0</v>
      </c>
      <c r="CW446" s="1136">
        <f t="shared" si="240"/>
        <v>0</v>
      </c>
      <c r="CX446" s="1136">
        <f t="shared" si="241"/>
        <v>0</v>
      </c>
      <c r="CY446" s="1136">
        <f t="shared" si="242"/>
        <v>0</v>
      </c>
      <c r="CZ446" s="1136">
        <f t="shared" si="243"/>
        <v>0</v>
      </c>
      <c r="DA446" s="1136">
        <f t="shared" si="244"/>
        <v>0</v>
      </c>
      <c r="DB446" s="1136">
        <f t="shared" si="245"/>
        <v>0</v>
      </c>
      <c r="DC446" s="1136">
        <f t="shared" si="246"/>
        <v>0</v>
      </c>
      <c r="DD446" s="1136">
        <f t="shared" si="247"/>
        <v>0</v>
      </c>
      <c r="DE446" s="1136">
        <f t="shared" si="248"/>
        <v>0</v>
      </c>
      <c r="DF446" s="1136">
        <f t="shared" si="249"/>
        <v>0</v>
      </c>
      <c r="DG446" s="1136">
        <f t="shared" si="250"/>
        <v>0</v>
      </c>
      <c r="DH446" s="1136">
        <f t="shared" si="251"/>
        <v>0</v>
      </c>
      <c r="DI446" s="1136">
        <f t="shared" si="252"/>
        <v>0</v>
      </c>
      <c r="DJ446" s="1136">
        <f t="shared" si="253"/>
        <v>0</v>
      </c>
      <c r="DK446" s="1136">
        <f t="shared" si="254"/>
        <v>0</v>
      </c>
      <c r="DL446" s="1136">
        <f t="shared" si="255"/>
        <v>0</v>
      </c>
      <c r="DM446" s="1136">
        <f t="shared" si="256"/>
        <v>0</v>
      </c>
      <c r="DN446" s="1136">
        <f t="shared" si="257"/>
        <v>0</v>
      </c>
      <c r="DO446" s="1136">
        <f t="shared" si="258"/>
        <v>0</v>
      </c>
      <c r="DP446" s="1136">
        <f t="shared" si="259"/>
        <v>0</v>
      </c>
      <c r="DQ446" s="1136">
        <f t="shared" si="260"/>
        <v>0</v>
      </c>
      <c r="DR446" s="1136">
        <f t="shared" si="261"/>
        <v>0</v>
      </c>
      <c r="DS446" s="1136">
        <f t="shared" si="262"/>
        <v>0</v>
      </c>
      <c r="DT446" s="1136">
        <f t="shared" si="263"/>
        <v>0</v>
      </c>
      <c r="DU446" s="1136">
        <f t="shared" si="264"/>
        <v>0</v>
      </c>
      <c r="DV446" s="1136">
        <f t="shared" si="265"/>
        <v>0</v>
      </c>
      <c r="DW446" s="1136">
        <f t="shared" si="266"/>
        <v>0</v>
      </c>
      <c r="DX446" s="1136">
        <f t="shared" si="267"/>
        <v>0</v>
      </c>
      <c r="DY446" s="1136">
        <f t="shared" si="268"/>
        <v>0</v>
      </c>
      <c r="DZ446" s="1136">
        <f t="shared" si="269"/>
        <v>0</v>
      </c>
      <c r="EA446" s="1136">
        <f t="shared" si="270"/>
        <v>0</v>
      </c>
      <c r="EB446" s="1136">
        <f t="shared" si="271"/>
        <v>0</v>
      </c>
      <c r="EC446" s="1136">
        <f t="shared" si="272"/>
        <v>0</v>
      </c>
      <c r="ED446" s="1136">
        <f t="shared" si="273"/>
        <v>0</v>
      </c>
      <c r="EE446" s="1136">
        <f t="shared" si="274"/>
        <v>0</v>
      </c>
      <c r="EF446" s="1136">
        <f t="shared" si="275"/>
        <v>0</v>
      </c>
      <c r="EG446" s="1136">
        <f t="shared" si="276"/>
        <v>0</v>
      </c>
      <c r="EH446" s="1136">
        <f t="shared" si="277"/>
        <v>0</v>
      </c>
      <c r="EI446" s="1136">
        <f t="shared" si="278"/>
        <v>0</v>
      </c>
      <c r="EJ446" s="1136">
        <f t="shared" si="279"/>
        <v>0</v>
      </c>
      <c r="EK446" s="1136">
        <f t="shared" si="280"/>
        <v>0</v>
      </c>
      <c r="EL446" s="1136">
        <f t="shared" si="281"/>
        <v>0</v>
      </c>
      <c r="EM446" s="1136">
        <f t="shared" si="282"/>
        <v>0</v>
      </c>
    </row>
    <row r="447" spans="11:143" ht="12" customHeight="1" x14ac:dyDescent="0.35">
      <c r="K447" s="13">
        <v>27</v>
      </c>
      <c r="L447" s="87">
        <f>Input!D210</f>
        <v>0</v>
      </c>
      <c r="M447" s="88">
        <f>IF(Input!$F$183&gt;=$K447,Input!G210,0)</f>
        <v>0</v>
      </c>
      <c r="N447" s="197">
        <f>Input!H210</f>
        <v>0</v>
      </c>
      <c r="O447" s="197">
        <f>Input!I210</f>
        <v>0</v>
      </c>
      <c r="P447" s="90">
        <f>Input!J210</f>
        <v>0</v>
      </c>
      <c r="Q447" s="13">
        <v>27</v>
      </c>
      <c r="R447" s="207">
        <f t="shared" si="220"/>
        <v>0</v>
      </c>
      <c r="S447" s="207">
        <f t="shared" si="221"/>
        <v>0</v>
      </c>
      <c r="T447" s="40">
        <f>IFERROR(VLOOKUP(R447,Infrastructure!$D$70:$F$129,3,FALSE),0)</f>
        <v>1</v>
      </c>
      <c r="U447" s="40">
        <f>IFERROR(VLOOKUP(S447,Infrastructure!$D$70:$F$129,3,FALSE),0)</f>
        <v>1</v>
      </c>
      <c r="V447" s="13"/>
      <c r="W447" s="91">
        <f>IF(Input!$F$183&gt;=$K447,Input!M210,0)</f>
        <v>0</v>
      </c>
      <c r="X447" s="92">
        <f>IF(Input!$F$183&gt;=$K447,Input!N210,0)</f>
        <v>0</v>
      </c>
      <c r="Y447" s="92">
        <f>IF(Input!$F$183&gt;=$K447,Input!O210,0)</f>
        <v>0</v>
      </c>
      <c r="Z447" s="92">
        <f>IF(Input!$F$183&gt;=$K447,Input!P210,0)</f>
        <v>0</v>
      </c>
      <c r="AA447" s="92">
        <f>IF(Input!$F$183&gt;=$K447,Input!Q210,0)</f>
        <v>0</v>
      </c>
      <c r="AB447" s="92">
        <f>IF(Input!$F$183&gt;=$K447,Input!R210,0)</f>
        <v>0</v>
      </c>
      <c r="AC447" s="92">
        <f>IF(Input!$F$183&gt;=$K447,Input!S210,0)</f>
        <v>0</v>
      </c>
      <c r="AD447" s="92">
        <f>IF(Input!$F$183&gt;=$K447,Input!T210,0)</f>
        <v>0</v>
      </c>
      <c r="AE447" s="92">
        <f>IF(Input!$F$183&gt;=$K447,Input!U210,0)</f>
        <v>0</v>
      </c>
      <c r="AF447" s="92">
        <f>IF(Input!$F$183&gt;=$K447,Input!V210,0)</f>
        <v>0</v>
      </c>
      <c r="AG447" s="92">
        <f>IF(Input!$F$183&gt;=$K447,Input!W210,0)</f>
        <v>0</v>
      </c>
      <c r="AH447" s="92">
        <f>IF(Input!$F$183&gt;=$K447,Input!X210,0)</f>
        <v>0</v>
      </c>
      <c r="AI447" s="92">
        <f>IF(Input!$F$183&gt;=$K447,Input!Y210,0)</f>
        <v>0</v>
      </c>
      <c r="AJ447" s="92">
        <f>IF(Input!$F$183&gt;=$K447,Input!Z210,0)</f>
        <v>0</v>
      </c>
      <c r="AK447" s="92">
        <f>IF(Input!$F$183&gt;=$K447,Input!AA210,0)</f>
        <v>0</v>
      </c>
      <c r="AL447" s="92">
        <f>IF(Input!$F$183&gt;=$K447,Input!AB210,0)</f>
        <v>0</v>
      </c>
      <c r="AM447" s="92">
        <f>IF(Input!$F$183&gt;=$K447,Input!AC210,0)</f>
        <v>0</v>
      </c>
      <c r="AN447" s="92">
        <f>IF(Input!$F$183&gt;=$K447,Input!AD210,0)</f>
        <v>0</v>
      </c>
      <c r="AO447" s="92">
        <f>IF(Input!$F$183&gt;=$K447,Input!AE210,0)</f>
        <v>0</v>
      </c>
      <c r="AP447" s="92">
        <f>IF(Input!$F$183&gt;=$K447,Input!AF210,0)</f>
        <v>0</v>
      </c>
      <c r="AQ447" s="92">
        <f>IF(Input!$F$183&gt;=$K447,Input!AG210,0)</f>
        <v>0</v>
      </c>
      <c r="AR447" s="92">
        <f>IF(Input!$F$183&gt;=$K447,Input!AH210,0)</f>
        <v>0</v>
      </c>
      <c r="AS447" s="92">
        <f>IF(Input!$F$183&gt;=$K447,Input!AI210,0)</f>
        <v>0</v>
      </c>
      <c r="AT447" s="92">
        <f>IF(Input!$F$183&gt;=$K447,Input!AJ210,0)</f>
        <v>0</v>
      </c>
      <c r="AU447" s="92">
        <f>IF(Input!$F$183&gt;=$K447,Input!AK210,0)</f>
        <v>0</v>
      </c>
      <c r="AV447" s="92">
        <f>IF(Input!$F$183&gt;=$K447,Input!AL210,0)</f>
        <v>0</v>
      </c>
      <c r="AW447" s="92">
        <f>IF(Input!$F$183&gt;=$K447,Input!AM210,0)</f>
        <v>0</v>
      </c>
      <c r="AX447" s="92">
        <f>IF(Input!$F$183&gt;=$K447,Input!AN210,0)</f>
        <v>0</v>
      </c>
      <c r="AY447" s="92">
        <f>IF(Input!$F$183&gt;=$K447,Input!AO210,0)</f>
        <v>0</v>
      </c>
      <c r="AZ447" s="92">
        <f>IF(Input!$F$183&gt;=$K447,Input!AP210,0)</f>
        <v>0</v>
      </c>
      <c r="BA447" s="92">
        <f>IF(Input!$F$183&gt;=$K447,Input!AQ210,0)</f>
        <v>0</v>
      </c>
      <c r="BB447" s="92">
        <f>IF(Input!$F$183&gt;=$K447,Input!AR210,0)</f>
        <v>0</v>
      </c>
      <c r="BC447" s="92">
        <f>IF(Input!$F$183&gt;=$K447,Input!AS210,0)</f>
        <v>0</v>
      </c>
      <c r="BD447" s="92">
        <f>IF(Input!$F$183&gt;=$K447,Input!AT210,0)</f>
        <v>0</v>
      </c>
      <c r="BE447" s="92">
        <f>IF(Input!$F$183&gt;=$K447,Input!AU210,0)</f>
        <v>0</v>
      </c>
      <c r="BF447" s="92">
        <f>IF(Input!$F$183&gt;=$K447,Input!AV210,0)</f>
        <v>0</v>
      </c>
      <c r="BG447" s="92">
        <f>IF(Input!$F$183&gt;=$K447,Input!AW210,0)</f>
        <v>0</v>
      </c>
      <c r="BH447" s="92">
        <f>IF(Input!$F$183&gt;=$K447,Input!AX210,0)</f>
        <v>0</v>
      </c>
      <c r="BI447" s="92">
        <f>IF(Input!$F$183&gt;=$K447,Input!AY210,0)</f>
        <v>0</v>
      </c>
      <c r="BJ447" s="92">
        <f>IF(Input!$F$183&gt;=$K447,Input!AZ210,0)</f>
        <v>0</v>
      </c>
      <c r="BK447" s="92">
        <f>IF(Input!$F$183&gt;=$K447,Input!BA210,0)</f>
        <v>0</v>
      </c>
      <c r="BL447" s="92">
        <f>IF(Input!$F$183&gt;=$K447,Input!BB210,0)</f>
        <v>0</v>
      </c>
      <c r="BM447" s="92">
        <f>IF(Input!$F$183&gt;=$K447,Input!BC210,0)</f>
        <v>0</v>
      </c>
      <c r="BN447" s="92">
        <f>IF(Input!$F$183&gt;=$K447,Input!BD210,0)</f>
        <v>0</v>
      </c>
      <c r="BO447" s="92">
        <f>IF(Input!$F$183&gt;=$K447,Input!BE210,0)</f>
        <v>0</v>
      </c>
      <c r="BP447" s="92">
        <f>IF(Input!$F$183&gt;=$K447,Input!BF210,0)</f>
        <v>0</v>
      </c>
      <c r="BQ447" s="92">
        <f>IF(Input!$F$183&gt;=$K447,Input!BG210,0)</f>
        <v>0</v>
      </c>
      <c r="BR447" s="92">
        <f>IF(Input!$F$183&gt;=$K447,Input!BH210,0)</f>
        <v>0</v>
      </c>
      <c r="BS447" s="92">
        <f>IF(Input!$F$183&gt;=$K447,Input!BI210,0)</f>
        <v>0</v>
      </c>
      <c r="BT447" s="92">
        <f>IF(Input!$F$183&gt;=$K447,Input!BJ210,0)</f>
        <v>0</v>
      </c>
      <c r="BU447" s="92">
        <f>IF(Input!$F$183&gt;=$K447,Input!BK210,0)</f>
        <v>0</v>
      </c>
      <c r="BV447" s="92">
        <f>IF(Input!$F$183&gt;=$K447,Input!BL210,0)</f>
        <v>0</v>
      </c>
      <c r="BW447" s="92">
        <f>IF(Input!$F$183&gt;=$K447,Input!BM210,0)</f>
        <v>0</v>
      </c>
      <c r="BX447" s="92">
        <f>IF(Input!$F$183&gt;=$K447,Input!BN210,0)</f>
        <v>0</v>
      </c>
      <c r="BY447" s="92">
        <f>IF(Input!$F$183&gt;=$K447,Input!BO210,0)</f>
        <v>0</v>
      </c>
      <c r="BZ447" s="92">
        <f>IF(Input!$F$183&gt;=$K447,Input!BP210,0)</f>
        <v>0</v>
      </c>
      <c r="CA447" s="92">
        <f>IF(Input!$F$183&gt;=$K447,Input!BQ210,0)</f>
        <v>0</v>
      </c>
      <c r="CB447" s="92">
        <f>IF(Input!$F$183&gt;=$K447,Input!BR210,0)</f>
        <v>0</v>
      </c>
      <c r="CC447" s="92">
        <f>IF(Input!$F$183&gt;=$K447,Input!BS210,0)</f>
        <v>0</v>
      </c>
      <c r="CD447" s="275">
        <f>IF(Input!$F$183&gt;=$K447,Input!BT210,0)</f>
        <v>0</v>
      </c>
      <c r="CE447" s="69">
        <f t="shared" si="222"/>
        <v>0</v>
      </c>
      <c r="CF447" s="1136">
        <f t="shared" si="223"/>
        <v>0</v>
      </c>
      <c r="CG447" s="1136">
        <f t="shared" si="224"/>
        <v>0</v>
      </c>
      <c r="CH447" s="1136">
        <f t="shared" si="225"/>
        <v>0</v>
      </c>
      <c r="CI447" s="1136">
        <f t="shared" si="226"/>
        <v>0</v>
      </c>
      <c r="CJ447" s="1136">
        <f t="shared" si="227"/>
        <v>0</v>
      </c>
      <c r="CK447" s="1136">
        <f t="shared" si="228"/>
        <v>0</v>
      </c>
      <c r="CL447" s="1136">
        <f t="shared" si="229"/>
        <v>0</v>
      </c>
      <c r="CM447" s="1136">
        <f t="shared" si="230"/>
        <v>0</v>
      </c>
      <c r="CN447" s="1136">
        <f t="shared" si="231"/>
        <v>0</v>
      </c>
      <c r="CO447" s="1136">
        <f t="shared" si="232"/>
        <v>0</v>
      </c>
      <c r="CP447" s="1136">
        <f t="shared" si="233"/>
        <v>0</v>
      </c>
      <c r="CQ447" s="1136">
        <f t="shared" si="234"/>
        <v>0</v>
      </c>
      <c r="CR447" s="1136">
        <f t="shared" si="235"/>
        <v>0</v>
      </c>
      <c r="CS447" s="1136">
        <f t="shared" si="236"/>
        <v>0</v>
      </c>
      <c r="CT447" s="1136">
        <f t="shared" si="237"/>
        <v>0</v>
      </c>
      <c r="CU447" s="1136">
        <f t="shared" si="238"/>
        <v>0</v>
      </c>
      <c r="CV447" s="1136">
        <f t="shared" si="239"/>
        <v>0</v>
      </c>
      <c r="CW447" s="1136">
        <f t="shared" si="240"/>
        <v>0</v>
      </c>
      <c r="CX447" s="1136">
        <f t="shared" si="241"/>
        <v>0</v>
      </c>
      <c r="CY447" s="1136">
        <f t="shared" si="242"/>
        <v>0</v>
      </c>
      <c r="CZ447" s="1136">
        <f t="shared" si="243"/>
        <v>0</v>
      </c>
      <c r="DA447" s="1136">
        <f t="shared" si="244"/>
        <v>0</v>
      </c>
      <c r="DB447" s="1136">
        <f t="shared" si="245"/>
        <v>0</v>
      </c>
      <c r="DC447" s="1136">
        <f t="shared" si="246"/>
        <v>0</v>
      </c>
      <c r="DD447" s="1136">
        <f t="shared" si="247"/>
        <v>0</v>
      </c>
      <c r="DE447" s="1136">
        <f t="shared" si="248"/>
        <v>0</v>
      </c>
      <c r="DF447" s="1136">
        <f t="shared" si="249"/>
        <v>0</v>
      </c>
      <c r="DG447" s="1136">
        <f t="shared" si="250"/>
        <v>0</v>
      </c>
      <c r="DH447" s="1136">
        <f t="shared" si="251"/>
        <v>0</v>
      </c>
      <c r="DI447" s="1136">
        <f t="shared" si="252"/>
        <v>0</v>
      </c>
      <c r="DJ447" s="1136">
        <f t="shared" si="253"/>
        <v>0</v>
      </c>
      <c r="DK447" s="1136">
        <f t="shared" si="254"/>
        <v>0</v>
      </c>
      <c r="DL447" s="1136">
        <f t="shared" si="255"/>
        <v>0</v>
      </c>
      <c r="DM447" s="1136">
        <f t="shared" si="256"/>
        <v>0</v>
      </c>
      <c r="DN447" s="1136">
        <f t="shared" si="257"/>
        <v>0</v>
      </c>
      <c r="DO447" s="1136">
        <f t="shared" si="258"/>
        <v>0</v>
      </c>
      <c r="DP447" s="1136">
        <f t="shared" si="259"/>
        <v>0</v>
      </c>
      <c r="DQ447" s="1136">
        <f t="shared" si="260"/>
        <v>0</v>
      </c>
      <c r="DR447" s="1136">
        <f t="shared" si="261"/>
        <v>0</v>
      </c>
      <c r="DS447" s="1136">
        <f t="shared" si="262"/>
        <v>0</v>
      </c>
      <c r="DT447" s="1136">
        <f t="shared" si="263"/>
        <v>0</v>
      </c>
      <c r="DU447" s="1136">
        <f t="shared" si="264"/>
        <v>0</v>
      </c>
      <c r="DV447" s="1136">
        <f t="shared" si="265"/>
        <v>0</v>
      </c>
      <c r="DW447" s="1136">
        <f t="shared" si="266"/>
        <v>0</v>
      </c>
      <c r="DX447" s="1136">
        <f t="shared" si="267"/>
        <v>0</v>
      </c>
      <c r="DY447" s="1136">
        <f t="shared" si="268"/>
        <v>0</v>
      </c>
      <c r="DZ447" s="1136">
        <f t="shared" si="269"/>
        <v>0</v>
      </c>
      <c r="EA447" s="1136">
        <f t="shared" si="270"/>
        <v>0</v>
      </c>
      <c r="EB447" s="1136">
        <f t="shared" si="271"/>
        <v>0</v>
      </c>
      <c r="EC447" s="1136">
        <f t="shared" si="272"/>
        <v>0</v>
      </c>
      <c r="ED447" s="1136">
        <f t="shared" si="273"/>
        <v>0</v>
      </c>
      <c r="EE447" s="1136">
        <f t="shared" si="274"/>
        <v>0</v>
      </c>
      <c r="EF447" s="1136">
        <f t="shared" si="275"/>
        <v>0</v>
      </c>
      <c r="EG447" s="1136">
        <f t="shared" si="276"/>
        <v>0</v>
      </c>
      <c r="EH447" s="1136">
        <f t="shared" si="277"/>
        <v>0</v>
      </c>
      <c r="EI447" s="1136">
        <f t="shared" si="278"/>
        <v>0</v>
      </c>
      <c r="EJ447" s="1136">
        <f t="shared" si="279"/>
        <v>0</v>
      </c>
      <c r="EK447" s="1136">
        <f t="shared" si="280"/>
        <v>0</v>
      </c>
      <c r="EL447" s="1136">
        <f t="shared" si="281"/>
        <v>0</v>
      </c>
      <c r="EM447" s="1136">
        <f t="shared" si="282"/>
        <v>0</v>
      </c>
    </row>
    <row r="448" spans="11:143" ht="12" customHeight="1" x14ac:dyDescent="0.35">
      <c r="K448" s="13">
        <v>28</v>
      </c>
      <c r="L448" s="87">
        <f>Input!D211</f>
        <v>0</v>
      </c>
      <c r="M448" s="88">
        <f>IF(Input!$F$183&gt;=$K448,Input!G211,0)</f>
        <v>0</v>
      </c>
      <c r="N448" s="197">
        <f>Input!H211</f>
        <v>0</v>
      </c>
      <c r="O448" s="197">
        <f>Input!I211</f>
        <v>0</v>
      </c>
      <c r="P448" s="90">
        <f>Input!J211</f>
        <v>0</v>
      </c>
      <c r="Q448" s="13">
        <v>28</v>
      </c>
      <c r="R448" s="207">
        <f t="shared" si="220"/>
        <v>0</v>
      </c>
      <c r="S448" s="207">
        <f t="shared" si="221"/>
        <v>0</v>
      </c>
      <c r="T448" s="40">
        <f>IFERROR(VLOOKUP(R448,Infrastructure!$D$70:$F$129,3,FALSE),0)</f>
        <v>1</v>
      </c>
      <c r="U448" s="40">
        <f>IFERROR(VLOOKUP(S448,Infrastructure!$D$70:$F$129,3,FALSE),0)</f>
        <v>1</v>
      </c>
      <c r="V448" s="13"/>
      <c r="W448" s="91">
        <f>IF(Input!$F$183&gt;=$K448,Input!M211,0)</f>
        <v>0</v>
      </c>
      <c r="X448" s="92">
        <f>IF(Input!$F$183&gt;=$K448,Input!N211,0)</f>
        <v>0</v>
      </c>
      <c r="Y448" s="92">
        <f>IF(Input!$F$183&gt;=$K448,Input!O211,0)</f>
        <v>0</v>
      </c>
      <c r="Z448" s="92">
        <f>IF(Input!$F$183&gt;=$K448,Input!P211,0)</f>
        <v>0</v>
      </c>
      <c r="AA448" s="92">
        <f>IF(Input!$F$183&gt;=$K448,Input!Q211,0)</f>
        <v>0</v>
      </c>
      <c r="AB448" s="92">
        <f>IF(Input!$F$183&gt;=$K448,Input!R211,0)</f>
        <v>0</v>
      </c>
      <c r="AC448" s="92">
        <f>IF(Input!$F$183&gt;=$K448,Input!S211,0)</f>
        <v>0</v>
      </c>
      <c r="AD448" s="92">
        <f>IF(Input!$F$183&gt;=$K448,Input!T211,0)</f>
        <v>0</v>
      </c>
      <c r="AE448" s="92">
        <f>IF(Input!$F$183&gt;=$K448,Input!U211,0)</f>
        <v>0</v>
      </c>
      <c r="AF448" s="92">
        <f>IF(Input!$F$183&gt;=$K448,Input!V211,0)</f>
        <v>0</v>
      </c>
      <c r="AG448" s="92">
        <f>IF(Input!$F$183&gt;=$K448,Input!W211,0)</f>
        <v>0</v>
      </c>
      <c r="AH448" s="92">
        <f>IF(Input!$F$183&gt;=$K448,Input!X211,0)</f>
        <v>0</v>
      </c>
      <c r="AI448" s="92">
        <f>IF(Input!$F$183&gt;=$K448,Input!Y211,0)</f>
        <v>0</v>
      </c>
      <c r="AJ448" s="92">
        <f>IF(Input!$F$183&gt;=$K448,Input!Z211,0)</f>
        <v>0</v>
      </c>
      <c r="AK448" s="92">
        <f>IF(Input!$F$183&gt;=$K448,Input!AA211,0)</f>
        <v>0</v>
      </c>
      <c r="AL448" s="92">
        <f>IF(Input!$F$183&gt;=$K448,Input!AB211,0)</f>
        <v>0</v>
      </c>
      <c r="AM448" s="92">
        <f>IF(Input!$F$183&gt;=$K448,Input!AC211,0)</f>
        <v>0</v>
      </c>
      <c r="AN448" s="92">
        <f>IF(Input!$F$183&gt;=$K448,Input!AD211,0)</f>
        <v>0</v>
      </c>
      <c r="AO448" s="92">
        <f>IF(Input!$F$183&gt;=$K448,Input!AE211,0)</f>
        <v>0</v>
      </c>
      <c r="AP448" s="92">
        <f>IF(Input!$F$183&gt;=$K448,Input!AF211,0)</f>
        <v>0</v>
      </c>
      <c r="AQ448" s="92">
        <f>IF(Input!$F$183&gt;=$K448,Input!AG211,0)</f>
        <v>0</v>
      </c>
      <c r="AR448" s="92">
        <f>IF(Input!$F$183&gt;=$K448,Input!AH211,0)</f>
        <v>0</v>
      </c>
      <c r="AS448" s="92">
        <f>IF(Input!$F$183&gt;=$K448,Input!AI211,0)</f>
        <v>0</v>
      </c>
      <c r="AT448" s="92">
        <f>IF(Input!$F$183&gt;=$K448,Input!AJ211,0)</f>
        <v>0</v>
      </c>
      <c r="AU448" s="92">
        <f>IF(Input!$F$183&gt;=$K448,Input!AK211,0)</f>
        <v>0</v>
      </c>
      <c r="AV448" s="92">
        <f>IF(Input!$F$183&gt;=$K448,Input!AL211,0)</f>
        <v>0</v>
      </c>
      <c r="AW448" s="92">
        <f>IF(Input!$F$183&gt;=$K448,Input!AM211,0)</f>
        <v>0</v>
      </c>
      <c r="AX448" s="92">
        <f>IF(Input!$F$183&gt;=$K448,Input!AN211,0)</f>
        <v>0</v>
      </c>
      <c r="AY448" s="92">
        <f>IF(Input!$F$183&gt;=$K448,Input!AO211,0)</f>
        <v>0</v>
      </c>
      <c r="AZ448" s="92">
        <f>IF(Input!$F$183&gt;=$K448,Input!AP211,0)</f>
        <v>0</v>
      </c>
      <c r="BA448" s="92">
        <f>IF(Input!$F$183&gt;=$K448,Input!AQ211,0)</f>
        <v>0</v>
      </c>
      <c r="BB448" s="92">
        <f>IF(Input!$F$183&gt;=$K448,Input!AR211,0)</f>
        <v>0</v>
      </c>
      <c r="BC448" s="92">
        <f>IF(Input!$F$183&gt;=$K448,Input!AS211,0)</f>
        <v>0</v>
      </c>
      <c r="BD448" s="92">
        <f>IF(Input!$F$183&gt;=$K448,Input!AT211,0)</f>
        <v>0</v>
      </c>
      <c r="BE448" s="92">
        <f>IF(Input!$F$183&gt;=$K448,Input!AU211,0)</f>
        <v>0</v>
      </c>
      <c r="BF448" s="92">
        <f>IF(Input!$F$183&gt;=$K448,Input!AV211,0)</f>
        <v>0</v>
      </c>
      <c r="BG448" s="92">
        <f>IF(Input!$F$183&gt;=$K448,Input!AW211,0)</f>
        <v>0</v>
      </c>
      <c r="BH448" s="92">
        <f>IF(Input!$F$183&gt;=$K448,Input!AX211,0)</f>
        <v>0</v>
      </c>
      <c r="BI448" s="92">
        <f>IF(Input!$F$183&gt;=$K448,Input!AY211,0)</f>
        <v>0</v>
      </c>
      <c r="BJ448" s="92">
        <f>IF(Input!$F$183&gt;=$K448,Input!AZ211,0)</f>
        <v>0</v>
      </c>
      <c r="BK448" s="92">
        <f>IF(Input!$F$183&gt;=$K448,Input!BA211,0)</f>
        <v>0</v>
      </c>
      <c r="BL448" s="92">
        <f>IF(Input!$F$183&gt;=$K448,Input!BB211,0)</f>
        <v>0</v>
      </c>
      <c r="BM448" s="92">
        <f>IF(Input!$F$183&gt;=$K448,Input!BC211,0)</f>
        <v>0</v>
      </c>
      <c r="BN448" s="92">
        <f>IF(Input!$F$183&gt;=$K448,Input!BD211,0)</f>
        <v>0</v>
      </c>
      <c r="BO448" s="92">
        <f>IF(Input!$F$183&gt;=$K448,Input!BE211,0)</f>
        <v>0</v>
      </c>
      <c r="BP448" s="92">
        <f>IF(Input!$F$183&gt;=$K448,Input!BF211,0)</f>
        <v>0</v>
      </c>
      <c r="BQ448" s="92">
        <f>IF(Input!$F$183&gt;=$K448,Input!BG211,0)</f>
        <v>0</v>
      </c>
      <c r="BR448" s="92">
        <f>IF(Input!$F$183&gt;=$K448,Input!BH211,0)</f>
        <v>0</v>
      </c>
      <c r="BS448" s="92">
        <f>IF(Input!$F$183&gt;=$K448,Input!BI211,0)</f>
        <v>0</v>
      </c>
      <c r="BT448" s="92">
        <f>IF(Input!$F$183&gt;=$K448,Input!BJ211,0)</f>
        <v>0</v>
      </c>
      <c r="BU448" s="92">
        <f>IF(Input!$F$183&gt;=$K448,Input!BK211,0)</f>
        <v>0</v>
      </c>
      <c r="BV448" s="92">
        <f>IF(Input!$F$183&gt;=$K448,Input!BL211,0)</f>
        <v>0</v>
      </c>
      <c r="BW448" s="92">
        <f>IF(Input!$F$183&gt;=$K448,Input!BM211,0)</f>
        <v>0</v>
      </c>
      <c r="BX448" s="92">
        <f>IF(Input!$F$183&gt;=$K448,Input!BN211,0)</f>
        <v>0</v>
      </c>
      <c r="BY448" s="92">
        <f>IF(Input!$F$183&gt;=$K448,Input!BO211,0)</f>
        <v>0</v>
      </c>
      <c r="BZ448" s="92">
        <f>IF(Input!$F$183&gt;=$K448,Input!BP211,0)</f>
        <v>0</v>
      </c>
      <c r="CA448" s="92">
        <f>IF(Input!$F$183&gt;=$K448,Input!BQ211,0)</f>
        <v>0</v>
      </c>
      <c r="CB448" s="92">
        <f>IF(Input!$F$183&gt;=$K448,Input!BR211,0)</f>
        <v>0</v>
      </c>
      <c r="CC448" s="92">
        <f>IF(Input!$F$183&gt;=$K448,Input!BS211,0)</f>
        <v>0</v>
      </c>
      <c r="CD448" s="275">
        <f>IF(Input!$F$183&gt;=$K448,Input!BT211,0)</f>
        <v>0</v>
      </c>
      <c r="CE448" s="69">
        <f t="shared" si="222"/>
        <v>0</v>
      </c>
      <c r="CF448" s="1136">
        <f t="shared" si="223"/>
        <v>0</v>
      </c>
      <c r="CG448" s="1136">
        <f t="shared" si="224"/>
        <v>0</v>
      </c>
      <c r="CH448" s="1136">
        <f t="shared" si="225"/>
        <v>0</v>
      </c>
      <c r="CI448" s="1136">
        <f t="shared" si="226"/>
        <v>0</v>
      </c>
      <c r="CJ448" s="1136">
        <f t="shared" si="227"/>
        <v>0</v>
      </c>
      <c r="CK448" s="1136">
        <f t="shared" si="228"/>
        <v>0</v>
      </c>
      <c r="CL448" s="1136">
        <f t="shared" si="229"/>
        <v>0</v>
      </c>
      <c r="CM448" s="1136">
        <f t="shared" si="230"/>
        <v>0</v>
      </c>
      <c r="CN448" s="1136">
        <f t="shared" si="231"/>
        <v>0</v>
      </c>
      <c r="CO448" s="1136">
        <f t="shared" si="232"/>
        <v>0</v>
      </c>
      <c r="CP448" s="1136">
        <f t="shared" si="233"/>
        <v>0</v>
      </c>
      <c r="CQ448" s="1136">
        <f t="shared" si="234"/>
        <v>0</v>
      </c>
      <c r="CR448" s="1136">
        <f t="shared" si="235"/>
        <v>0</v>
      </c>
      <c r="CS448" s="1136">
        <f t="shared" si="236"/>
        <v>0</v>
      </c>
      <c r="CT448" s="1136">
        <f t="shared" si="237"/>
        <v>0</v>
      </c>
      <c r="CU448" s="1136">
        <f t="shared" si="238"/>
        <v>0</v>
      </c>
      <c r="CV448" s="1136">
        <f t="shared" si="239"/>
        <v>0</v>
      </c>
      <c r="CW448" s="1136">
        <f t="shared" si="240"/>
        <v>0</v>
      </c>
      <c r="CX448" s="1136">
        <f t="shared" si="241"/>
        <v>0</v>
      </c>
      <c r="CY448" s="1136">
        <f t="shared" si="242"/>
        <v>0</v>
      </c>
      <c r="CZ448" s="1136">
        <f t="shared" si="243"/>
        <v>0</v>
      </c>
      <c r="DA448" s="1136">
        <f t="shared" si="244"/>
        <v>0</v>
      </c>
      <c r="DB448" s="1136">
        <f t="shared" si="245"/>
        <v>0</v>
      </c>
      <c r="DC448" s="1136">
        <f t="shared" si="246"/>
        <v>0</v>
      </c>
      <c r="DD448" s="1136">
        <f t="shared" si="247"/>
        <v>0</v>
      </c>
      <c r="DE448" s="1136">
        <f t="shared" si="248"/>
        <v>0</v>
      </c>
      <c r="DF448" s="1136">
        <f t="shared" si="249"/>
        <v>0</v>
      </c>
      <c r="DG448" s="1136">
        <f t="shared" si="250"/>
        <v>0</v>
      </c>
      <c r="DH448" s="1136">
        <f t="shared" si="251"/>
        <v>0</v>
      </c>
      <c r="DI448" s="1136">
        <f t="shared" si="252"/>
        <v>0</v>
      </c>
      <c r="DJ448" s="1136">
        <f t="shared" si="253"/>
        <v>0</v>
      </c>
      <c r="DK448" s="1136">
        <f t="shared" si="254"/>
        <v>0</v>
      </c>
      <c r="DL448" s="1136">
        <f t="shared" si="255"/>
        <v>0</v>
      </c>
      <c r="DM448" s="1136">
        <f t="shared" si="256"/>
        <v>0</v>
      </c>
      <c r="DN448" s="1136">
        <f t="shared" si="257"/>
        <v>0</v>
      </c>
      <c r="DO448" s="1136">
        <f t="shared" si="258"/>
        <v>0</v>
      </c>
      <c r="DP448" s="1136">
        <f t="shared" si="259"/>
        <v>0</v>
      </c>
      <c r="DQ448" s="1136">
        <f t="shared" si="260"/>
        <v>0</v>
      </c>
      <c r="DR448" s="1136">
        <f t="shared" si="261"/>
        <v>0</v>
      </c>
      <c r="DS448" s="1136">
        <f t="shared" si="262"/>
        <v>0</v>
      </c>
      <c r="DT448" s="1136">
        <f t="shared" si="263"/>
        <v>0</v>
      </c>
      <c r="DU448" s="1136">
        <f t="shared" si="264"/>
        <v>0</v>
      </c>
      <c r="DV448" s="1136">
        <f t="shared" si="265"/>
        <v>0</v>
      </c>
      <c r="DW448" s="1136">
        <f t="shared" si="266"/>
        <v>0</v>
      </c>
      <c r="DX448" s="1136">
        <f t="shared" si="267"/>
        <v>0</v>
      </c>
      <c r="DY448" s="1136">
        <f t="shared" si="268"/>
        <v>0</v>
      </c>
      <c r="DZ448" s="1136">
        <f t="shared" si="269"/>
        <v>0</v>
      </c>
      <c r="EA448" s="1136">
        <f t="shared" si="270"/>
        <v>0</v>
      </c>
      <c r="EB448" s="1136">
        <f t="shared" si="271"/>
        <v>0</v>
      </c>
      <c r="EC448" s="1136">
        <f t="shared" si="272"/>
        <v>0</v>
      </c>
      <c r="ED448" s="1136">
        <f t="shared" si="273"/>
        <v>0</v>
      </c>
      <c r="EE448" s="1136">
        <f t="shared" si="274"/>
        <v>0</v>
      </c>
      <c r="EF448" s="1136">
        <f t="shared" si="275"/>
        <v>0</v>
      </c>
      <c r="EG448" s="1136">
        <f t="shared" si="276"/>
        <v>0</v>
      </c>
      <c r="EH448" s="1136">
        <f t="shared" si="277"/>
        <v>0</v>
      </c>
      <c r="EI448" s="1136">
        <f t="shared" si="278"/>
        <v>0</v>
      </c>
      <c r="EJ448" s="1136">
        <f t="shared" si="279"/>
        <v>0</v>
      </c>
      <c r="EK448" s="1136">
        <f t="shared" si="280"/>
        <v>0</v>
      </c>
      <c r="EL448" s="1136">
        <f t="shared" si="281"/>
        <v>0</v>
      </c>
      <c r="EM448" s="1136">
        <f t="shared" si="282"/>
        <v>0</v>
      </c>
    </row>
    <row r="449" spans="11:143" ht="12" customHeight="1" x14ac:dyDescent="0.35">
      <c r="K449" s="13">
        <v>29</v>
      </c>
      <c r="L449" s="87">
        <f>Input!D212</f>
        <v>0</v>
      </c>
      <c r="M449" s="88">
        <f>IF(Input!$F$183&gt;=$K449,Input!G212,0)</f>
        <v>0</v>
      </c>
      <c r="N449" s="197">
        <f>Input!H212</f>
        <v>0</v>
      </c>
      <c r="O449" s="197">
        <f>Input!I212</f>
        <v>0</v>
      </c>
      <c r="P449" s="90">
        <f>Input!J212</f>
        <v>0</v>
      </c>
      <c r="Q449" s="13">
        <v>29</v>
      </c>
      <c r="R449" s="207">
        <f t="shared" si="220"/>
        <v>0</v>
      </c>
      <c r="S449" s="207">
        <f t="shared" si="221"/>
        <v>0</v>
      </c>
      <c r="T449" s="40">
        <f>IFERROR(VLOOKUP(R449,Infrastructure!$D$70:$F$129,3,FALSE),0)</f>
        <v>1</v>
      </c>
      <c r="U449" s="40">
        <f>IFERROR(VLOOKUP(S449,Infrastructure!$D$70:$F$129,3,FALSE),0)</f>
        <v>1</v>
      </c>
      <c r="V449" s="13"/>
      <c r="W449" s="91">
        <f>IF(Input!$F$183&gt;=$K449,Input!M212,0)</f>
        <v>0</v>
      </c>
      <c r="X449" s="92">
        <f>IF(Input!$F$183&gt;=$K449,Input!N212,0)</f>
        <v>0</v>
      </c>
      <c r="Y449" s="92">
        <f>IF(Input!$F$183&gt;=$K449,Input!O212,0)</f>
        <v>0</v>
      </c>
      <c r="Z449" s="92">
        <f>IF(Input!$F$183&gt;=$K449,Input!P212,0)</f>
        <v>0</v>
      </c>
      <c r="AA449" s="92">
        <f>IF(Input!$F$183&gt;=$K449,Input!Q212,0)</f>
        <v>0</v>
      </c>
      <c r="AB449" s="92">
        <f>IF(Input!$F$183&gt;=$K449,Input!R212,0)</f>
        <v>0</v>
      </c>
      <c r="AC449" s="92">
        <f>IF(Input!$F$183&gt;=$K449,Input!S212,0)</f>
        <v>0</v>
      </c>
      <c r="AD449" s="92">
        <f>IF(Input!$F$183&gt;=$K449,Input!T212,0)</f>
        <v>0</v>
      </c>
      <c r="AE449" s="92">
        <f>IF(Input!$F$183&gt;=$K449,Input!U212,0)</f>
        <v>0</v>
      </c>
      <c r="AF449" s="92">
        <f>IF(Input!$F$183&gt;=$K449,Input!V212,0)</f>
        <v>0</v>
      </c>
      <c r="AG449" s="92">
        <f>IF(Input!$F$183&gt;=$K449,Input!W212,0)</f>
        <v>0</v>
      </c>
      <c r="AH449" s="92">
        <f>IF(Input!$F$183&gt;=$K449,Input!X212,0)</f>
        <v>0</v>
      </c>
      <c r="AI449" s="92">
        <f>IF(Input!$F$183&gt;=$K449,Input!Y212,0)</f>
        <v>0</v>
      </c>
      <c r="AJ449" s="92">
        <f>IF(Input!$F$183&gt;=$K449,Input!Z212,0)</f>
        <v>0</v>
      </c>
      <c r="AK449" s="92">
        <f>IF(Input!$F$183&gt;=$K449,Input!AA212,0)</f>
        <v>0</v>
      </c>
      <c r="AL449" s="92">
        <f>IF(Input!$F$183&gt;=$K449,Input!AB212,0)</f>
        <v>0</v>
      </c>
      <c r="AM449" s="92">
        <f>IF(Input!$F$183&gt;=$K449,Input!AC212,0)</f>
        <v>0</v>
      </c>
      <c r="AN449" s="92">
        <f>IF(Input!$F$183&gt;=$K449,Input!AD212,0)</f>
        <v>0</v>
      </c>
      <c r="AO449" s="92">
        <f>IF(Input!$F$183&gt;=$K449,Input!AE212,0)</f>
        <v>0</v>
      </c>
      <c r="AP449" s="92">
        <f>IF(Input!$F$183&gt;=$K449,Input!AF212,0)</f>
        <v>0</v>
      </c>
      <c r="AQ449" s="92">
        <f>IF(Input!$F$183&gt;=$K449,Input!AG212,0)</f>
        <v>0</v>
      </c>
      <c r="AR449" s="92">
        <f>IF(Input!$F$183&gt;=$K449,Input!AH212,0)</f>
        <v>0</v>
      </c>
      <c r="AS449" s="92">
        <f>IF(Input!$F$183&gt;=$K449,Input!AI212,0)</f>
        <v>0</v>
      </c>
      <c r="AT449" s="92">
        <f>IF(Input!$F$183&gt;=$K449,Input!AJ212,0)</f>
        <v>0</v>
      </c>
      <c r="AU449" s="92">
        <f>IF(Input!$F$183&gt;=$K449,Input!AK212,0)</f>
        <v>0</v>
      </c>
      <c r="AV449" s="92">
        <f>IF(Input!$F$183&gt;=$K449,Input!AL212,0)</f>
        <v>0</v>
      </c>
      <c r="AW449" s="92">
        <f>IF(Input!$F$183&gt;=$K449,Input!AM212,0)</f>
        <v>0</v>
      </c>
      <c r="AX449" s="92">
        <f>IF(Input!$F$183&gt;=$K449,Input!AN212,0)</f>
        <v>0</v>
      </c>
      <c r="AY449" s="92">
        <f>IF(Input!$F$183&gt;=$K449,Input!AO212,0)</f>
        <v>0</v>
      </c>
      <c r="AZ449" s="92">
        <f>IF(Input!$F$183&gt;=$K449,Input!AP212,0)</f>
        <v>0</v>
      </c>
      <c r="BA449" s="92">
        <f>IF(Input!$F$183&gt;=$K449,Input!AQ212,0)</f>
        <v>0</v>
      </c>
      <c r="BB449" s="92">
        <f>IF(Input!$F$183&gt;=$K449,Input!AR212,0)</f>
        <v>0</v>
      </c>
      <c r="BC449" s="92">
        <f>IF(Input!$F$183&gt;=$K449,Input!AS212,0)</f>
        <v>0</v>
      </c>
      <c r="BD449" s="92">
        <f>IF(Input!$F$183&gt;=$K449,Input!AT212,0)</f>
        <v>0</v>
      </c>
      <c r="BE449" s="92">
        <f>IF(Input!$F$183&gt;=$K449,Input!AU212,0)</f>
        <v>0</v>
      </c>
      <c r="BF449" s="92">
        <f>IF(Input!$F$183&gt;=$K449,Input!AV212,0)</f>
        <v>0</v>
      </c>
      <c r="BG449" s="92">
        <f>IF(Input!$F$183&gt;=$K449,Input!AW212,0)</f>
        <v>0</v>
      </c>
      <c r="BH449" s="92">
        <f>IF(Input!$F$183&gt;=$K449,Input!AX212,0)</f>
        <v>0</v>
      </c>
      <c r="BI449" s="92">
        <f>IF(Input!$F$183&gt;=$K449,Input!AY212,0)</f>
        <v>0</v>
      </c>
      <c r="BJ449" s="92">
        <f>IF(Input!$F$183&gt;=$K449,Input!AZ212,0)</f>
        <v>0</v>
      </c>
      <c r="BK449" s="92">
        <f>IF(Input!$F$183&gt;=$K449,Input!BA212,0)</f>
        <v>0</v>
      </c>
      <c r="BL449" s="92">
        <f>IF(Input!$F$183&gt;=$K449,Input!BB212,0)</f>
        <v>0</v>
      </c>
      <c r="BM449" s="92">
        <f>IF(Input!$F$183&gt;=$K449,Input!BC212,0)</f>
        <v>0</v>
      </c>
      <c r="BN449" s="92">
        <f>IF(Input!$F$183&gt;=$K449,Input!BD212,0)</f>
        <v>0</v>
      </c>
      <c r="BO449" s="92">
        <f>IF(Input!$F$183&gt;=$K449,Input!BE212,0)</f>
        <v>0</v>
      </c>
      <c r="BP449" s="92">
        <f>IF(Input!$F$183&gt;=$K449,Input!BF212,0)</f>
        <v>0</v>
      </c>
      <c r="BQ449" s="92">
        <f>IF(Input!$F$183&gt;=$K449,Input!BG212,0)</f>
        <v>0</v>
      </c>
      <c r="BR449" s="92">
        <f>IF(Input!$F$183&gt;=$K449,Input!BH212,0)</f>
        <v>0</v>
      </c>
      <c r="BS449" s="92">
        <f>IF(Input!$F$183&gt;=$K449,Input!BI212,0)</f>
        <v>0</v>
      </c>
      <c r="BT449" s="92">
        <f>IF(Input!$F$183&gt;=$K449,Input!BJ212,0)</f>
        <v>0</v>
      </c>
      <c r="BU449" s="92">
        <f>IF(Input!$F$183&gt;=$K449,Input!BK212,0)</f>
        <v>0</v>
      </c>
      <c r="BV449" s="92">
        <f>IF(Input!$F$183&gt;=$K449,Input!BL212,0)</f>
        <v>0</v>
      </c>
      <c r="BW449" s="92">
        <f>IF(Input!$F$183&gt;=$K449,Input!BM212,0)</f>
        <v>0</v>
      </c>
      <c r="BX449" s="92">
        <f>IF(Input!$F$183&gt;=$K449,Input!BN212,0)</f>
        <v>0</v>
      </c>
      <c r="BY449" s="92">
        <f>IF(Input!$F$183&gt;=$K449,Input!BO212,0)</f>
        <v>0</v>
      </c>
      <c r="BZ449" s="92">
        <f>IF(Input!$F$183&gt;=$K449,Input!BP212,0)</f>
        <v>0</v>
      </c>
      <c r="CA449" s="92">
        <f>IF(Input!$F$183&gt;=$K449,Input!BQ212,0)</f>
        <v>0</v>
      </c>
      <c r="CB449" s="92">
        <f>IF(Input!$F$183&gt;=$K449,Input!BR212,0)</f>
        <v>0</v>
      </c>
      <c r="CC449" s="92">
        <f>IF(Input!$F$183&gt;=$K449,Input!BS212,0)</f>
        <v>0</v>
      </c>
      <c r="CD449" s="275">
        <f>IF(Input!$F$183&gt;=$K449,Input!BT212,0)</f>
        <v>0</v>
      </c>
      <c r="CE449" s="69">
        <f t="shared" si="222"/>
        <v>0</v>
      </c>
      <c r="CF449" s="1136">
        <f t="shared" si="223"/>
        <v>0</v>
      </c>
      <c r="CG449" s="1136">
        <f t="shared" si="224"/>
        <v>0</v>
      </c>
      <c r="CH449" s="1136">
        <f t="shared" si="225"/>
        <v>0</v>
      </c>
      <c r="CI449" s="1136">
        <f t="shared" si="226"/>
        <v>0</v>
      </c>
      <c r="CJ449" s="1136">
        <f t="shared" si="227"/>
        <v>0</v>
      </c>
      <c r="CK449" s="1136">
        <f t="shared" si="228"/>
        <v>0</v>
      </c>
      <c r="CL449" s="1136">
        <f t="shared" si="229"/>
        <v>0</v>
      </c>
      <c r="CM449" s="1136">
        <f t="shared" si="230"/>
        <v>0</v>
      </c>
      <c r="CN449" s="1136">
        <f t="shared" si="231"/>
        <v>0</v>
      </c>
      <c r="CO449" s="1136">
        <f t="shared" si="232"/>
        <v>0</v>
      </c>
      <c r="CP449" s="1136">
        <f t="shared" si="233"/>
        <v>0</v>
      </c>
      <c r="CQ449" s="1136">
        <f t="shared" si="234"/>
        <v>0</v>
      </c>
      <c r="CR449" s="1136">
        <f t="shared" si="235"/>
        <v>0</v>
      </c>
      <c r="CS449" s="1136">
        <f t="shared" si="236"/>
        <v>0</v>
      </c>
      <c r="CT449" s="1136">
        <f t="shared" si="237"/>
        <v>0</v>
      </c>
      <c r="CU449" s="1136">
        <f t="shared" si="238"/>
        <v>0</v>
      </c>
      <c r="CV449" s="1136">
        <f t="shared" si="239"/>
        <v>0</v>
      </c>
      <c r="CW449" s="1136">
        <f t="shared" si="240"/>
        <v>0</v>
      </c>
      <c r="CX449" s="1136">
        <f t="shared" si="241"/>
        <v>0</v>
      </c>
      <c r="CY449" s="1136">
        <f t="shared" si="242"/>
        <v>0</v>
      </c>
      <c r="CZ449" s="1136">
        <f t="shared" si="243"/>
        <v>0</v>
      </c>
      <c r="DA449" s="1136">
        <f t="shared" si="244"/>
        <v>0</v>
      </c>
      <c r="DB449" s="1136">
        <f t="shared" si="245"/>
        <v>0</v>
      </c>
      <c r="DC449" s="1136">
        <f t="shared" si="246"/>
        <v>0</v>
      </c>
      <c r="DD449" s="1136">
        <f t="shared" si="247"/>
        <v>0</v>
      </c>
      <c r="DE449" s="1136">
        <f t="shared" si="248"/>
        <v>0</v>
      </c>
      <c r="DF449" s="1136">
        <f t="shared" si="249"/>
        <v>0</v>
      </c>
      <c r="DG449" s="1136">
        <f t="shared" si="250"/>
        <v>0</v>
      </c>
      <c r="DH449" s="1136">
        <f t="shared" si="251"/>
        <v>0</v>
      </c>
      <c r="DI449" s="1136">
        <f t="shared" si="252"/>
        <v>0</v>
      </c>
      <c r="DJ449" s="1136">
        <f t="shared" si="253"/>
        <v>0</v>
      </c>
      <c r="DK449" s="1136">
        <f t="shared" si="254"/>
        <v>0</v>
      </c>
      <c r="DL449" s="1136">
        <f t="shared" si="255"/>
        <v>0</v>
      </c>
      <c r="DM449" s="1136">
        <f t="shared" si="256"/>
        <v>0</v>
      </c>
      <c r="DN449" s="1136">
        <f t="shared" si="257"/>
        <v>0</v>
      </c>
      <c r="DO449" s="1136">
        <f t="shared" si="258"/>
        <v>0</v>
      </c>
      <c r="DP449" s="1136">
        <f t="shared" si="259"/>
        <v>0</v>
      </c>
      <c r="DQ449" s="1136">
        <f t="shared" si="260"/>
        <v>0</v>
      </c>
      <c r="DR449" s="1136">
        <f t="shared" si="261"/>
        <v>0</v>
      </c>
      <c r="DS449" s="1136">
        <f t="shared" si="262"/>
        <v>0</v>
      </c>
      <c r="DT449" s="1136">
        <f t="shared" si="263"/>
        <v>0</v>
      </c>
      <c r="DU449" s="1136">
        <f t="shared" si="264"/>
        <v>0</v>
      </c>
      <c r="DV449" s="1136">
        <f t="shared" si="265"/>
        <v>0</v>
      </c>
      <c r="DW449" s="1136">
        <f t="shared" si="266"/>
        <v>0</v>
      </c>
      <c r="DX449" s="1136">
        <f t="shared" si="267"/>
        <v>0</v>
      </c>
      <c r="DY449" s="1136">
        <f t="shared" si="268"/>
        <v>0</v>
      </c>
      <c r="DZ449" s="1136">
        <f t="shared" si="269"/>
        <v>0</v>
      </c>
      <c r="EA449" s="1136">
        <f t="shared" si="270"/>
        <v>0</v>
      </c>
      <c r="EB449" s="1136">
        <f t="shared" si="271"/>
        <v>0</v>
      </c>
      <c r="EC449" s="1136">
        <f t="shared" si="272"/>
        <v>0</v>
      </c>
      <c r="ED449" s="1136">
        <f t="shared" si="273"/>
        <v>0</v>
      </c>
      <c r="EE449" s="1136">
        <f t="shared" si="274"/>
        <v>0</v>
      </c>
      <c r="EF449" s="1136">
        <f t="shared" si="275"/>
        <v>0</v>
      </c>
      <c r="EG449" s="1136">
        <f t="shared" si="276"/>
        <v>0</v>
      </c>
      <c r="EH449" s="1136">
        <f t="shared" si="277"/>
        <v>0</v>
      </c>
      <c r="EI449" s="1136">
        <f t="shared" si="278"/>
        <v>0</v>
      </c>
      <c r="EJ449" s="1136">
        <f t="shared" si="279"/>
        <v>0</v>
      </c>
      <c r="EK449" s="1136">
        <f t="shared" si="280"/>
        <v>0</v>
      </c>
      <c r="EL449" s="1136">
        <f t="shared" si="281"/>
        <v>0</v>
      </c>
      <c r="EM449" s="1136">
        <f t="shared" si="282"/>
        <v>0</v>
      </c>
    </row>
    <row r="450" spans="11:143" ht="12" customHeight="1" x14ac:dyDescent="0.35">
      <c r="K450" s="13">
        <v>30</v>
      </c>
      <c r="L450" s="87">
        <f>Input!D213</f>
        <v>0</v>
      </c>
      <c r="M450" s="88">
        <f>IF(Input!$F$183&gt;=$K450,Input!G213,0)</f>
        <v>0</v>
      </c>
      <c r="N450" s="197">
        <f>Input!H213</f>
        <v>0</v>
      </c>
      <c r="O450" s="197">
        <f>Input!I213</f>
        <v>0</v>
      </c>
      <c r="P450" s="90">
        <f>Input!J213</f>
        <v>0</v>
      </c>
      <c r="Q450" s="13">
        <v>30</v>
      </c>
      <c r="R450" s="207">
        <f t="shared" si="220"/>
        <v>0</v>
      </c>
      <c r="S450" s="207">
        <f t="shared" si="221"/>
        <v>0</v>
      </c>
      <c r="T450" s="40">
        <f>IFERROR(VLOOKUP(R450,Infrastructure!$D$70:$F$129,3,FALSE),0)</f>
        <v>1</v>
      </c>
      <c r="U450" s="40">
        <f>IFERROR(VLOOKUP(S450,Infrastructure!$D$70:$F$129,3,FALSE),0)</f>
        <v>1</v>
      </c>
      <c r="V450" s="13"/>
      <c r="W450" s="91">
        <f>IF(Input!$F$183&gt;=$K450,Input!M213,0)</f>
        <v>0</v>
      </c>
      <c r="X450" s="92">
        <f>IF(Input!$F$183&gt;=$K450,Input!N213,0)</f>
        <v>0</v>
      </c>
      <c r="Y450" s="92">
        <f>IF(Input!$F$183&gt;=$K450,Input!O213,0)</f>
        <v>0</v>
      </c>
      <c r="Z450" s="92">
        <f>IF(Input!$F$183&gt;=$K450,Input!P213,0)</f>
        <v>0</v>
      </c>
      <c r="AA450" s="92">
        <f>IF(Input!$F$183&gt;=$K450,Input!Q213,0)</f>
        <v>0</v>
      </c>
      <c r="AB450" s="92">
        <f>IF(Input!$F$183&gt;=$K450,Input!R213,0)</f>
        <v>0</v>
      </c>
      <c r="AC450" s="92">
        <f>IF(Input!$F$183&gt;=$K450,Input!S213,0)</f>
        <v>0</v>
      </c>
      <c r="AD450" s="92">
        <f>IF(Input!$F$183&gt;=$K450,Input!T213,0)</f>
        <v>0</v>
      </c>
      <c r="AE450" s="92">
        <f>IF(Input!$F$183&gt;=$K450,Input!U213,0)</f>
        <v>0</v>
      </c>
      <c r="AF450" s="92">
        <f>IF(Input!$F$183&gt;=$K450,Input!V213,0)</f>
        <v>0</v>
      </c>
      <c r="AG450" s="92">
        <f>IF(Input!$F$183&gt;=$K450,Input!W213,0)</f>
        <v>0</v>
      </c>
      <c r="AH450" s="92">
        <f>IF(Input!$F$183&gt;=$K450,Input!X213,0)</f>
        <v>0</v>
      </c>
      <c r="AI450" s="92">
        <f>IF(Input!$F$183&gt;=$K450,Input!Y213,0)</f>
        <v>0</v>
      </c>
      <c r="AJ450" s="92">
        <f>IF(Input!$F$183&gt;=$K450,Input!Z213,0)</f>
        <v>0</v>
      </c>
      <c r="AK450" s="92">
        <f>IF(Input!$F$183&gt;=$K450,Input!AA213,0)</f>
        <v>0</v>
      </c>
      <c r="AL450" s="92">
        <f>IF(Input!$F$183&gt;=$K450,Input!AB213,0)</f>
        <v>0</v>
      </c>
      <c r="AM450" s="92">
        <f>IF(Input!$F$183&gt;=$K450,Input!AC213,0)</f>
        <v>0</v>
      </c>
      <c r="AN450" s="92">
        <f>IF(Input!$F$183&gt;=$K450,Input!AD213,0)</f>
        <v>0</v>
      </c>
      <c r="AO450" s="92">
        <f>IF(Input!$F$183&gt;=$K450,Input!AE213,0)</f>
        <v>0</v>
      </c>
      <c r="AP450" s="92">
        <f>IF(Input!$F$183&gt;=$K450,Input!AF213,0)</f>
        <v>0</v>
      </c>
      <c r="AQ450" s="92">
        <f>IF(Input!$F$183&gt;=$K450,Input!AG213,0)</f>
        <v>0</v>
      </c>
      <c r="AR450" s="92">
        <f>IF(Input!$F$183&gt;=$K450,Input!AH213,0)</f>
        <v>0</v>
      </c>
      <c r="AS450" s="92">
        <f>IF(Input!$F$183&gt;=$K450,Input!AI213,0)</f>
        <v>0</v>
      </c>
      <c r="AT450" s="92">
        <f>IF(Input!$F$183&gt;=$K450,Input!AJ213,0)</f>
        <v>0</v>
      </c>
      <c r="AU450" s="92">
        <f>IF(Input!$F$183&gt;=$K450,Input!AK213,0)</f>
        <v>0</v>
      </c>
      <c r="AV450" s="92">
        <f>IF(Input!$F$183&gt;=$K450,Input!AL213,0)</f>
        <v>0</v>
      </c>
      <c r="AW450" s="92">
        <f>IF(Input!$F$183&gt;=$K450,Input!AM213,0)</f>
        <v>0</v>
      </c>
      <c r="AX450" s="92">
        <f>IF(Input!$F$183&gt;=$K450,Input!AN213,0)</f>
        <v>0</v>
      </c>
      <c r="AY450" s="92">
        <f>IF(Input!$F$183&gt;=$K450,Input!AO213,0)</f>
        <v>0</v>
      </c>
      <c r="AZ450" s="92">
        <f>IF(Input!$F$183&gt;=$K450,Input!AP213,0)</f>
        <v>0</v>
      </c>
      <c r="BA450" s="92">
        <f>IF(Input!$F$183&gt;=$K450,Input!AQ213,0)</f>
        <v>0</v>
      </c>
      <c r="BB450" s="92">
        <f>IF(Input!$F$183&gt;=$K450,Input!AR213,0)</f>
        <v>0</v>
      </c>
      <c r="BC450" s="92">
        <f>IF(Input!$F$183&gt;=$K450,Input!AS213,0)</f>
        <v>0</v>
      </c>
      <c r="BD450" s="92">
        <f>IF(Input!$F$183&gt;=$K450,Input!AT213,0)</f>
        <v>0</v>
      </c>
      <c r="BE450" s="92">
        <f>IF(Input!$F$183&gt;=$K450,Input!AU213,0)</f>
        <v>0</v>
      </c>
      <c r="BF450" s="92">
        <f>IF(Input!$F$183&gt;=$K450,Input!AV213,0)</f>
        <v>0</v>
      </c>
      <c r="BG450" s="92">
        <f>IF(Input!$F$183&gt;=$K450,Input!AW213,0)</f>
        <v>0</v>
      </c>
      <c r="BH450" s="92">
        <f>IF(Input!$F$183&gt;=$K450,Input!AX213,0)</f>
        <v>0</v>
      </c>
      <c r="BI450" s="92">
        <f>IF(Input!$F$183&gt;=$K450,Input!AY213,0)</f>
        <v>0</v>
      </c>
      <c r="BJ450" s="92">
        <f>IF(Input!$F$183&gt;=$K450,Input!AZ213,0)</f>
        <v>0</v>
      </c>
      <c r="BK450" s="92">
        <f>IF(Input!$F$183&gt;=$K450,Input!BA213,0)</f>
        <v>0</v>
      </c>
      <c r="BL450" s="92">
        <f>IF(Input!$F$183&gt;=$K450,Input!BB213,0)</f>
        <v>0</v>
      </c>
      <c r="BM450" s="92">
        <f>IF(Input!$F$183&gt;=$K450,Input!BC213,0)</f>
        <v>0</v>
      </c>
      <c r="BN450" s="92">
        <f>IF(Input!$F$183&gt;=$K450,Input!BD213,0)</f>
        <v>0</v>
      </c>
      <c r="BO450" s="92">
        <f>IF(Input!$F$183&gt;=$K450,Input!BE213,0)</f>
        <v>0</v>
      </c>
      <c r="BP450" s="92">
        <f>IF(Input!$F$183&gt;=$K450,Input!BF213,0)</f>
        <v>0</v>
      </c>
      <c r="BQ450" s="92">
        <f>IF(Input!$F$183&gt;=$K450,Input!BG213,0)</f>
        <v>0</v>
      </c>
      <c r="BR450" s="92">
        <f>IF(Input!$F$183&gt;=$K450,Input!BH213,0)</f>
        <v>0</v>
      </c>
      <c r="BS450" s="92">
        <f>IF(Input!$F$183&gt;=$K450,Input!BI213,0)</f>
        <v>0</v>
      </c>
      <c r="BT450" s="92">
        <f>IF(Input!$F$183&gt;=$K450,Input!BJ213,0)</f>
        <v>0</v>
      </c>
      <c r="BU450" s="92">
        <f>IF(Input!$F$183&gt;=$K450,Input!BK213,0)</f>
        <v>0</v>
      </c>
      <c r="BV450" s="92">
        <f>IF(Input!$F$183&gt;=$K450,Input!BL213,0)</f>
        <v>0</v>
      </c>
      <c r="BW450" s="92">
        <f>IF(Input!$F$183&gt;=$K450,Input!BM213,0)</f>
        <v>0</v>
      </c>
      <c r="BX450" s="92">
        <f>IF(Input!$F$183&gt;=$K450,Input!BN213,0)</f>
        <v>0</v>
      </c>
      <c r="BY450" s="92">
        <f>IF(Input!$F$183&gt;=$K450,Input!BO213,0)</f>
        <v>0</v>
      </c>
      <c r="BZ450" s="92">
        <f>IF(Input!$F$183&gt;=$K450,Input!BP213,0)</f>
        <v>0</v>
      </c>
      <c r="CA450" s="92">
        <f>IF(Input!$F$183&gt;=$K450,Input!BQ213,0)</f>
        <v>0</v>
      </c>
      <c r="CB450" s="92">
        <f>IF(Input!$F$183&gt;=$K450,Input!BR213,0)</f>
        <v>0</v>
      </c>
      <c r="CC450" s="92">
        <f>IF(Input!$F$183&gt;=$K450,Input!BS213,0)</f>
        <v>0</v>
      </c>
      <c r="CD450" s="275">
        <f>IF(Input!$F$183&gt;=$K450,Input!BT213,0)</f>
        <v>0</v>
      </c>
      <c r="CE450" s="69">
        <f t="shared" si="222"/>
        <v>0</v>
      </c>
      <c r="CF450" s="1136">
        <f t="shared" si="223"/>
        <v>0</v>
      </c>
      <c r="CG450" s="1136">
        <f t="shared" si="224"/>
        <v>0</v>
      </c>
      <c r="CH450" s="1136">
        <f t="shared" si="225"/>
        <v>0</v>
      </c>
      <c r="CI450" s="1136">
        <f t="shared" si="226"/>
        <v>0</v>
      </c>
      <c r="CJ450" s="1136">
        <f t="shared" si="227"/>
        <v>0</v>
      </c>
      <c r="CK450" s="1136">
        <f t="shared" si="228"/>
        <v>0</v>
      </c>
      <c r="CL450" s="1136">
        <f t="shared" si="229"/>
        <v>0</v>
      </c>
      <c r="CM450" s="1136">
        <f t="shared" si="230"/>
        <v>0</v>
      </c>
      <c r="CN450" s="1136">
        <f t="shared" si="231"/>
        <v>0</v>
      </c>
      <c r="CO450" s="1136">
        <f t="shared" si="232"/>
        <v>0</v>
      </c>
      <c r="CP450" s="1136">
        <f t="shared" si="233"/>
        <v>0</v>
      </c>
      <c r="CQ450" s="1136">
        <f t="shared" si="234"/>
        <v>0</v>
      </c>
      <c r="CR450" s="1136">
        <f t="shared" si="235"/>
        <v>0</v>
      </c>
      <c r="CS450" s="1136">
        <f t="shared" si="236"/>
        <v>0</v>
      </c>
      <c r="CT450" s="1136">
        <f t="shared" si="237"/>
        <v>0</v>
      </c>
      <c r="CU450" s="1136">
        <f t="shared" si="238"/>
        <v>0</v>
      </c>
      <c r="CV450" s="1136">
        <f t="shared" si="239"/>
        <v>0</v>
      </c>
      <c r="CW450" s="1136">
        <f t="shared" si="240"/>
        <v>0</v>
      </c>
      <c r="CX450" s="1136">
        <f t="shared" si="241"/>
        <v>0</v>
      </c>
      <c r="CY450" s="1136">
        <f t="shared" si="242"/>
        <v>0</v>
      </c>
      <c r="CZ450" s="1136">
        <f t="shared" si="243"/>
        <v>0</v>
      </c>
      <c r="DA450" s="1136">
        <f t="shared" si="244"/>
        <v>0</v>
      </c>
      <c r="DB450" s="1136">
        <f t="shared" si="245"/>
        <v>0</v>
      </c>
      <c r="DC450" s="1136">
        <f t="shared" si="246"/>
        <v>0</v>
      </c>
      <c r="DD450" s="1136">
        <f t="shared" si="247"/>
        <v>0</v>
      </c>
      <c r="DE450" s="1136">
        <f t="shared" si="248"/>
        <v>0</v>
      </c>
      <c r="DF450" s="1136">
        <f t="shared" si="249"/>
        <v>0</v>
      </c>
      <c r="DG450" s="1136">
        <f t="shared" si="250"/>
        <v>0</v>
      </c>
      <c r="DH450" s="1136">
        <f t="shared" si="251"/>
        <v>0</v>
      </c>
      <c r="DI450" s="1136">
        <f t="shared" si="252"/>
        <v>0</v>
      </c>
      <c r="DJ450" s="1136">
        <f t="shared" si="253"/>
        <v>0</v>
      </c>
      <c r="DK450" s="1136">
        <f t="shared" si="254"/>
        <v>0</v>
      </c>
      <c r="DL450" s="1136">
        <f t="shared" si="255"/>
        <v>0</v>
      </c>
      <c r="DM450" s="1136">
        <f t="shared" si="256"/>
        <v>0</v>
      </c>
      <c r="DN450" s="1136">
        <f t="shared" si="257"/>
        <v>0</v>
      </c>
      <c r="DO450" s="1136">
        <f t="shared" si="258"/>
        <v>0</v>
      </c>
      <c r="DP450" s="1136">
        <f t="shared" si="259"/>
        <v>0</v>
      </c>
      <c r="DQ450" s="1136">
        <f t="shared" si="260"/>
        <v>0</v>
      </c>
      <c r="DR450" s="1136">
        <f t="shared" si="261"/>
        <v>0</v>
      </c>
      <c r="DS450" s="1136">
        <f t="shared" si="262"/>
        <v>0</v>
      </c>
      <c r="DT450" s="1136">
        <f t="shared" si="263"/>
        <v>0</v>
      </c>
      <c r="DU450" s="1136">
        <f t="shared" si="264"/>
        <v>0</v>
      </c>
      <c r="DV450" s="1136">
        <f t="shared" si="265"/>
        <v>0</v>
      </c>
      <c r="DW450" s="1136">
        <f t="shared" si="266"/>
        <v>0</v>
      </c>
      <c r="DX450" s="1136">
        <f t="shared" si="267"/>
        <v>0</v>
      </c>
      <c r="DY450" s="1136">
        <f t="shared" si="268"/>
        <v>0</v>
      </c>
      <c r="DZ450" s="1136">
        <f t="shared" si="269"/>
        <v>0</v>
      </c>
      <c r="EA450" s="1136">
        <f t="shared" si="270"/>
        <v>0</v>
      </c>
      <c r="EB450" s="1136">
        <f t="shared" si="271"/>
        <v>0</v>
      </c>
      <c r="EC450" s="1136">
        <f t="shared" si="272"/>
        <v>0</v>
      </c>
      <c r="ED450" s="1136">
        <f t="shared" si="273"/>
        <v>0</v>
      </c>
      <c r="EE450" s="1136">
        <f t="shared" si="274"/>
        <v>0</v>
      </c>
      <c r="EF450" s="1136">
        <f t="shared" si="275"/>
        <v>0</v>
      </c>
      <c r="EG450" s="1136">
        <f t="shared" si="276"/>
        <v>0</v>
      </c>
      <c r="EH450" s="1136">
        <f t="shared" si="277"/>
        <v>0</v>
      </c>
      <c r="EI450" s="1136">
        <f t="shared" si="278"/>
        <v>0</v>
      </c>
      <c r="EJ450" s="1136">
        <f t="shared" si="279"/>
        <v>0</v>
      </c>
      <c r="EK450" s="1136">
        <f t="shared" si="280"/>
        <v>0</v>
      </c>
      <c r="EL450" s="1136">
        <f t="shared" si="281"/>
        <v>0</v>
      </c>
      <c r="EM450" s="1136">
        <f t="shared" si="282"/>
        <v>0</v>
      </c>
    </row>
    <row r="451" spans="11:143" ht="12" customHeight="1" x14ac:dyDescent="0.35">
      <c r="K451" s="13">
        <v>31</v>
      </c>
      <c r="L451" s="87">
        <f>Input!D214</f>
        <v>0</v>
      </c>
      <c r="M451" s="88">
        <f>IF(Input!$F$183&gt;=$K451,Input!G214,0)</f>
        <v>0</v>
      </c>
      <c r="N451" s="197">
        <f>Input!H214</f>
        <v>0</v>
      </c>
      <c r="O451" s="197">
        <f>Input!I214</f>
        <v>0</v>
      </c>
      <c r="P451" s="90">
        <f>Input!J214</f>
        <v>0</v>
      </c>
      <c r="Q451" s="13">
        <v>31</v>
      </c>
      <c r="R451" s="207">
        <f t="shared" si="220"/>
        <v>0</v>
      </c>
      <c r="S451" s="207">
        <f t="shared" si="221"/>
        <v>0</v>
      </c>
      <c r="T451" s="40">
        <f>IFERROR(VLOOKUP(R451,Infrastructure!$D$70:$F$129,3,FALSE),0)</f>
        <v>1</v>
      </c>
      <c r="U451" s="40">
        <f>IFERROR(VLOOKUP(S451,Infrastructure!$D$70:$F$129,3,FALSE),0)</f>
        <v>1</v>
      </c>
      <c r="V451" s="13"/>
      <c r="W451" s="91">
        <f>IF(Input!$F$183&gt;=$K451,Input!M214,0)</f>
        <v>0</v>
      </c>
      <c r="X451" s="92">
        <f>IF(Input!$F$183&gt;=$K451,Input!N214,0)</f>
        <v>0</v>
      </c>
      <c r="Y451" s="92">
        <f>IF(Input!$F$183&gt;=$K451,Input!O214,0)</f>
        <v>0</v>
      </c>
      <c r="Z451" s="92">
        <f>IF(Input!$F$183&gt;=$K451,Input!P214,0)</f>
        <v>0</v>
      </c>
      <c r="AA451" s="92">
        <f>IF(Input!$F$183&gt;=$K451,Input!Q214,0)</f>
        <v>0</v>
      </c>
      <c r="AB451" s="92">
        <f>IF(Input!$F$183&gt;=$K451,Input!R214,0)</f>
        <v>0</v>
      </c>
      <c r="AC451" s="92">
        <f>IF(Input!$F$183&gt;=$K451,Input!S214,0)</f>
        <v>0</v>
      </c>
      <c r="AD451" s="92">
        <f>IF(Input!$F$183&gt;=$K451,Input!T214,0)</f>
        <v>0</v>
      </c>
      <c r="AE451" s="92">
        <f>IF(Input!$F$183&gt;=$K451,Input!U214,0)</f>
        <v>0</v>
      </c>
      <c r="AF451" s="92">
        <f>IF(Input!$F$183&gt;=$K451,Input!V214,0)</f>
        <v>0</v>
      </c>
      <c r="AG451" s="92">
        <f>IF(Input!$F$183&gt;=$K451,Input!W214,0)</f>
        <v>0</v>
      </c>
      <c r="AH451" s="92">
        <f>IF(Input!$F$183&gt;=$K451,Input!X214,0)</f>
        <v>0</v>
      </c>
      <c r="AI451" s="92">
        <f>IF(Input!$F$183&gt;=$K451,Input!Y214,0)</f>
        <v>0</v>
      </c>
      <c r="AJ451" s="92">
        <f>IF(Input!$F$183&gt;=$K451,Input!Z214,0)</f>
        <v>0</v>
      </c>
      <c r="AK451" s="92">
        <f>IF(Input!$F$183&gt;=$K451,Input!AA214,0)</f>
        <v>0</v>
      </c>
      <c r="AL451" s="92">
        <f>IF(Input!$F$183&gt;=$K451,Input!AB214,0)</f>
        <v>0</v>
      </c>
      <c r="AM451" s="92">
        <f>IF(Input!$F$183&gt;=$K451,Input!AC214,0)</f>
        <v>0</v>
      </c>
      <c r="AN451" s="92">
        <f>IF(Input!$F$183&gt;=$K451,Input!AD214,0)</f>
        <v>0</v>
      </c>
      <c r="AO451" s="92">
        <f>IF(Input!$F$183&gt;=$K451,Input!AE214,0)</f>
        <v>0</v>
      </c>
      <c r="AP451" s="92">
        <f>IF(Input!$F$183&gt;=$K451,Input!AF214,0)</f>
        <v>0</v>
      </c>
      <c r="AQ451" s="92">
        <f>IF(Input!$F$183&gt;=$K451,Input!AG214,0)</f>
        <v>0</v>
      </c>
      <c r="AR451" s="92">
        <f>IF(Input!$F$183&gt;=$K451,Input!AH214,0)</f>
        <v>0</v>
      </c>
      <c r="AS451" s="92">
        <f>IF(Input!$F$183&gt;=$K451,Input!AI214,0)</f>
        <v>0</v>
      </c>
      <c r="AT451" s="92">
        <f>IF(Input!$F$183&gt;=$K451,Input!AJ214,0)</f>
        <v>0</v>
      </c>
      <c r="AU451" s="92">
        <f>IF(Input!$F$183&gt;=$K451,Input!AK214,0)</f>
        <v>0</v>
      </c>
      <c r="AV451" s="92">
        <f>IF(Input!$F$183&gt;=$K451,Input!AL214,0)</f>
        <v>0</v>
      </c>
      <c r="AW451" s="92">
        <f>IF(Input!$F$183&gt;=$K451,Input!AM214,0)</f>
        <v>0</v>
      </c>
      <c r="AX451" s="92">
        <f>IF(Input!$F$183&gt;=$K451,Input!AN214,0)</f>
        <v>0</v>
      </c>
      <c r="AY451" s="92">
        <f>IF(Input!$F$183&gt;=$K451,Input!AO214,0)</f>
        <v>0</v>
      </c>
      <c r="AZ451" s="92">
        <f>IF(Input!$F$183&gt;=$K451,Input!AP214,0)</f>
        <v>0</v>
      </c>
      <c r="BA451" s="92">
        <f>IF(Input!$F$183&gt;=$K451,Input!AQ214,0)</f>
        <v>0</v>
      </c>
      <c r="BB451" s="92">
        <f>IF(Input!$F$183&gt;=$K451,Input!AR214,0)</f>
        <v>0</v>
      </c>
      <c r="BC451" s="92">
        <f>IF(Input!$F$183&gt;=$K451,Input!AS214,0)</f>
        <v>0</v>
      </c>
      <c r="BD451" s="92">
        <f>IF(Input!$F$183&gt;=$K451,Input!AT214,0)</f>
        <v>0</v>
      </c>
      <c r="BE451" s="92">
        <f>IF(Input!$F$183&gt;=$K451,Input!AU214,0)</f>
        <v>0</v>
      </c>
      <c r="BF451" s="92">
        <f>IF(Input!$F$183&gt;=$K451,Input!AV214,0)</f>
        <v>0</v>
      </c>
      <c r="BG451" s="92">
        <f>IF(Input!$F$183&gt;=$K451,Input!AW214,0)</f>
        <v>0</v>
      </c>
      <c r="BH451" s="92">
        <f>IF(Input!$F$183&gt;=$K451,Input!AX214,0)</f>
        <v>0</v>
      </c>
      <c r="BI451" s="92">
        <f>IF(Input!$F$183&gt;=$K451,Input!AY214,0)</f>
        <v>0</v>
      </c>
      <c r="BJ451" s="92">
        <f>IF(Input!$F$183&gt;=$K451,Input!AZ214,0)</f>
        <v>0</v>
      </c>
      <c r="BK451" s="92">
        <f>IF(Input!$F$183&gt;=$K451,Input!BA214,0)</f>
        <v>0</v>
      </c>
      <c r="BL451" s="92">
        <f>IF(Input!$F$183&gt;=$K451,Input!BB214,0)</f>
        <v>0</v>
      </c>
      <c r="BM451" s="92">
        <f>IF(Input!$F$183&gt;=$K451,Input!BC214,0)</f>
        <v>0</v>
      </c>
      <c r="BN451" s="92">
        <f>IF(Input!$F$183&gt;=$K451,Input!BD214,0)</f>
        <v>0</v>
      </c>
      <c r="BO451" s="92">
        <f>IF(Input!$F$183&gt;=$K451,Input!BE214,0)</f>
        <v>0</v>
      </c>
      <c r="BP451" s="92">
        <f>IF(Input!$F$183&gt;=$K451,Input!BF214,0)</f>
        <v>0</v>
      </c>
      <c r="BQ451" s="92">
        <f>IF(Input!$F$183&gt;=$K451,Input!BG214,0)</f>
        <v>0</v>
      </c>
      <c r="BR451" s="92">
        <f>IF(Input!$F$183&gt;=$K451,Input!BH214,0)</f>
        <v>0</v>
      </c>
      <c r="BS451" s="92">
        <f>IF(Input!$F$183&gt;=$K451,Input!BI214,0)</f>
        <v>0</v>
      </c>
      <c r="BT451" s="92">
        <f>IF(Input!$F$183&gt;=$K451,Input!BJ214,0)</f>
        <v>0</v>
      </c>
      <c r="BU451" s="92">
        <f>IF(Input!$F$183&gt;=$K451,Input!BK214,0)</f>
        <v>0</v>
      </c>
      <c r="BV451" s="92">
        <f>IF(Input!$F$183&gt;=$K451,Input!BL214,0)</f>
        <v>0</v>
      </c>
      <c r="BW451" s="92">
        <f>IF(Input!$F$183&gt;=$K451,Input!BM214,0)</f>
        <v>0</v>
      </c>
      <c r="BX451" s="92">
        <f>IF(Input!$F$183&gt;=$K451,Input!BN214,0)</f>
        <v>0</v>
      </c>
      <c r="BY451" s="92">
        <f>IF(Input!$F$183&gt;=$K451,Input!BO214,0)</f>
        <v>0</v>
      </c>
      <c r="BZ451" s="92">
        <f>IF(Input!$F$183&gt;=$K451,Input!BP214,0)</f>
        <v>0</v>
      </c>
      <c r="CA451" s="92">
        <f>IF(Input!$F$183&gt;=$K451,Input!BQ214,0)</f>
        <v>0</v>
      </c>
      <c r="CB451" s="92">
        <f>IF(Input!$F$183&gt;=$K451,Input!BR214,0)</f>
        <v>0</v>
      </c>
      <c r="CC451" s="92">
        <f>IF(Input!$F$183&gt;=$K451,Input!BS214,0)</f>
        <v>0</v>
      </c>
      <c r="CD451" s="275">
        <f>IF(Input!$F$183&gt;=$K451,Input!BT214,0)</f>
        <v>0</v>
      </c>
      <c r="CE451" s="69">
        <f t="shared" si="222"/>
        <v>0</v>
      </c>
      <c r="CF451" s="1136">
        <f t="shared" si="223"/>
        <v>0</v>
      </c>
      <c r="CG451" s="1136">
        <f t="shared" si="224"/>
        <v>0</v>
      </c>
      <c r="CH451" s="1136">
        <f t="shared" si="225"/>
        <v>0</v>
      </c>
      <c r="CI451" s="1136">
        <f t="shared" si="226"/>
        <v>0</v>
      </c>
      <c r="CJ451" s="1136">
        <f t="shared" si="227"/>
        <v>0</v>
      </c>
      <c r="CK451" s="1136">
        <f t="shared" si="228"/>
        <v>0</v>
      </c>
      <c r="CL451" s="1136">
        <f t="shared" si="229"/>
        <v>0</v>
      </c>
      <c r="CM451" s="1136">
        <f t="shared" si="230"/>
        <v>0</v>
      </c>
      <c r="CN451" s="1136">
        <f t="shared" si="231"/>
        <v>0</v>
      </c>
      <c r="CO451" s="1136">
        <f t="shared" si="232"/>
        <v>0</v>
      </c>
      <c r="CP451" s="1136">
        <f t="shared" si="233"/>
        <v>0</v>
      </c>
      <c r="CQ451" s="1136">
        <f t="shared" si="234"/>
        <v>0</v>
      </c>
      <c r="CR451" s="1136">
        <f t="shared" si="235"/>
        <v>0</v>
      </c>
      <c r="CS451" s="1136">
        <f t="shared" si="236"/>
        <v>0</v>
      </c>
      <c r="CT451" s="1136">
        <f t="shared" si="237"/>
        <v>0</v>
      </c>
      <c r="CU451" s="1136">
        <f t="shared" si="238"/>
        <v>0</v>
      </c>
      <c r="CV451" s="1136">
        <f t="shared" si="239"/>
        <v>0</v>
      </c>
      <c r="CW451" s="1136">
        <f t="shared" si="240"/>
        <v>0</v>
      </c>
      <c r="CX451" s="1136">
        <f t="shared" si="241"/>
        <v>0</v>
      </c>
      <c r="CY451" s="1136">
        <f t="shared" si="242"/>
        <v>0</v>
      </c>
      <c r="CZ451" s="1136">
        <f t="shared" si="243"/>
        <v>0</v>
      </c>
      <c r="DA451" s="1136">
        <f t="shared" si="244"/>
        <v>0</v>
      </c>
      <c r="DB451" s="1136">
        <f t="shared" si="245"/>
        <v>0</v>
      </c>
      <c r="DC451" s="1136">
        <f t="shared" si="246"/>
        <v>0</v>
      </c>
      <c r="DD451" s="1136">
        <f t="shared" si="247"/>
        <v>0</v>
      </c>
      <c r="DE451" s="1136">
        <f t="shared" si="248"/>
        <v>0</v>
      </c>
      <c r="DF451" s="1136">
        <f t="shared" si="249"/>
        <v>0</v>
      </c>
      <c r="DG451" s="1136">
        <f t="shared" si="250"/>
        <v>0</v>
      </c>
      <c r="DH451" s="1136">
        <f t="shared" si="251"/>
        <v>0</v>
      </c>
      <c r="DI451" s="1136">
        <f t="shared" si="252"/>
        <v>0</v>
      </c>
      <c r="DJ451" s="1136">
        <f t="shared" si="253"/>
        <v>0</v>
      </c>
      <c r="DK451" s="1136">
        <f t="shared" si="254"/>
        <v>0</v>
      </c>
      <c r="DL451" s="1136">
        <f t="shared" si="255"/>
        <v>0</v>
      </c>
      <c r="DM451" s="1136">
        <f t="shared" si="256"/>
        <v>0</v>
      </c>
      <c r="DN451" s="1136">
        <f t="shared" si="257"/>
        <v>0</v>
      </c>
      <c r="DO451" s="1136">
        <f t="shared" si="258"/>
        <v>0</v>
      </c>
      <c r="DP451" s="1136">
        <f t="shared" si="259"/>
        <v>0</v>
      </c>
      <c r="DQ451" s="1136">
        <f t="shared" si="260"/>
        <v>0</v>
      </c>
      <c r="DR451" s="1136">
        <f t="shared" si="261"/>
        <v>0</v>
      </c>
      <c r="DS451" s="1136">
        <f t="shared" si="262"/>
        <v>0</v>
      </c>
      <c r="DT451" s="1136">
        <f t="shared" si="263"/>
        <v>0</v>
      </c>
      <c r="DU451" s="1136">
        <f t="shared" si="264"/>
        <v>0</v>
      </c>
      <c r="DV451" s="1136">
        <f t="shared" si="265"/>
        <v>0</v>
      </c>
      <c r="DW451" s="1136">
        <f t="shared" si="266"/>
        <v>0</v>
      </c>
      <c r="DX451" s="1136">
        <f t="shared" si="267"/>
        <v>0</v>
      </c>
      <c r="DY451" s="1136">
        <f t="shared" si="268"/>
        <v>0</v>
      </c>
      <c r="DZ451" s="1136">
        <f t="shared" si="269"/>
        <v>0</v>
      </c>
      <c r="EA451" s="1136">
        <f t="shared" si="270"/>
        <v>0</v>
      </c>
      <c r="EB451" s="1136">
        <f t="shared" si="271"/>
        <v>0</v>
      </c>
      <c r="EC451" s="1136">
        <f t="shared" si="272"/>
        <v>0</v>
      </c>
      <c r="ED451" s="1136">
        <f t="shared" si="273"/>
        <v>0</v>
      </c>
      <c r="EE451" s="1136">
        <f t="shared" si="274"/>
        <v>0</v>
      </c>
      <c r="EF451" s="1136">
        <f t="shared" si="275"/>
        <v>0</v>
      </c>
      <c r="EG451" s="1136">
        <f t="shared" si="276"/>
        <v>0</v>
      </c>
      <c r="EH451" s="1136">
        <f t="shared" si="277"/>
        <v>0</v>
      </c>
      <c r="EI451" s="1136">
        <f t="shared" si="278"/>
        <v>0</v>
      </c>
      <c r="EJ451" s="1136">
        <f t="shared" si="279"/>
        <v>0</v>
      </c>
      <c r="EK451" s="1136">
        <f t="shared" si="280"/>
        <v>0</v>
      </c>
      <c r="EL451" s="1136">
        <f t="shared" si="281"/>
        <v>0</v>
      </c>
      <c r="EM451" s="1136">
        <f t="shared" si="282"/>
        <v>0</v>
      </c>
    </row>
    <row r="452" spans="11:143" ht="12" customHeight="1" x14ac:dyDescent="0.35">
      <c r="K452" s="13">
        <v>32</v>
      </c>
      <c r="L452" s="87">
        <f>Input!D215</f>
        <v>0</v>
      </c>
      <c r="M452" s="88">
        <f>IF(Input!$F$183&gt;=$K452,Input!G215,0)</f>
        <v>0</v>
      </c>
      <c r="N452" s="197">
        <f>Input!H215</f>
        <v>0</v>
      </c>
      <c r="O452" s="197">
        <f>Input!I215</f>
        <v>0</v>
      </c>
      <c r="P452" s="90">
        <f>Input!J215</f>
        <v>0</v>
      </c>
      <c r="Q452" s="13">
        <v>32</v>
      </c>
      <c r="R452" s="207">
        <f t="shared" si="220"/>
        <v>0</v>
      </c>
      <c r="S452" s="207">
        <f t="shared" si="221"/>
        <v>0</v>
      </c>
      <c r="T452" s="40">
        <f>IFERROR(VLOOKUP(R452,Infrastructure!$D$70:$F$129,3,FALSE),0)</f>
        <v>1</v>
      </c>
      <c r="U452" s="40">
        <f>IFERROR(VLOOKUP(S452,Infrastructure!$D$70:$F$129,3,FALSE),0)</f>
        <v>1</v>
      </c>
      <c r="V452" s="13"/>
      <c r="W452" s="91">
        <f>IF(Input!$F$183&gt;=$K452,Input!M215,0)</f>
        <v>0</v>
      </c>
      <c r="X452" s="92">
        <f>IF(Input!$F$183&gt;=$K452,Input!N215,0)</f>
        <v>0</v>
      </c>
      <c r="Y452" s="92">
        <f>IF(Input!$F$183&gt;=$K452,Input!O215,0)</f>
        <v>0</v>
      </c>
      <c r="Z452" s="92">
        <f>IF(Input!$F$183&gt;=$K452,Input!P215,0)</f>
        <v>0</v>
      </c>
      <c r="AA452" s="92">
        <f>IF(Input!$F$183&gt;=$K452,Input!Q215,0)</f>
        <v>0</v>
      </c>
      <c r="AB452" s="92">
        <f>IF(Input!$F$183&gt;=$K452,Input!R215,0)</f>
        <v>0</v>
      </c>
      <c r="AC452" s="92">
        <f>IF(Input!$F$183&gt;=$K452,Input!S215,0)</f>
        <v>0</v>
      </c>
      <c r="AD452" s="92">
        <f>IF(Input!$F$183&gt;=$K452,Input!T215,0)</f>
        <v>0</v>
      </c>
      <c r="AE452" s="92">
        <f>IF(Input!$F$183&gt;=$K452,Input!U215,0)</f>
        <v>0</v>
      </c>
      <c r="AF452" s="92">
        <f>IF(Input!$F$183&gt;=$K452,Input!V215,0)</f>
        <v>0</v>
      </c>
      <c r="AG452" s="92">
        <f>IF(Input!$F$183&gt;=$K452,Input!W215,0)</f>
        <v>0</v>
      </c>
      <c r="AH452" s="92">
        <f>IF(Input!$F$183&gt;=$K452,Input!X215,0)</f>
        <v>0</v>
      </c>
      <c r="AI452" s="92">
        <f>IF(Input!$F$183&gt;=$K452,Input!Y215,0)</f>
        <v>0</v>
      </c>
      <c r="AJ452" s="92">
        <f>IF(Input!$F$183&gt;=$K452,Input!Z215,0)</f>
        <v>0</v>
      </c>
      <c r="AK452" s="92">
        <f>IF(Input!$F$183&gt;=$K452,Input!AA215,0)</f>
        <v>0</v>
      </c>
      <c r="AL452" s="92">
        <f>IF(Input!$F$183&gt;=$K452,Input!AB215,0)</f>
        <v>0</v>
      </c>
      <c r="AM452" s="92">
        <f>IF(Input!$F$183&gt;=$K452,Input!AC215,0)</f>
        <v>0</v>
      </c>
      <c r="AN452" s="92">
        <f>IF(Input!$F$183&gt;=$K452,Input!AD215,0)</f>
        <v>0</v>
      </c>
      <c r="AO452" s="92">
        <f>IF(Input!$F$183&gt;=$K452,Input!AE215,0)</f>
        <v>0</v>
      </c>
      <c r="AP452" s="92">
        <f>IF(Input!$F$183&gt;=$K452,Input!AF215,0)</f>
        <v>0</v>
      </c>
      <c r="AQ452" s="92">
        <f>IF(Input!$F$183&gt;=$K452,Input!AG215,0)</f>
        <v>0</v>
      </c>
      <c r="AR452" s="92">
        <f>IF(Input!$F$183&gt;=$K452,Input!AH215,0)</f>
        <v>0</v>
      </c>
      <c r="AS452" s="92">
        <f>IF(Input!$F$183&gt;=$K452,Input!AI215,0)</f>
        <v>0</v>
      </c>
      <c r="AT452" s="92">
        <f>IF(Input!$F$183&gt;=$K452,Input!AJ215,0)</f>
        <v>0</v>
      </c>
      <c r="AU452" s="92">
        <f>IF(Input!$F$183&gt;=$K452,Input!AK215,0)</f>
        <v>0</v>
      </c>
      <c r="AV452" s="92">
        <f>IF(Input!$F$183&gt;=$K452,Input!AL215,0)</f>
        <v>0</v>
      </c>
      <c r="AW452" s="92">
        <f>IF(Input!$F$183&gt;=$K452,Input!AM215,0)</f>
        <v>0</v>
      </c>
      <c r="AX452" s="92">
        <f>IF(Input!$F$183&gt;=$K452,Input!AN215,0)</f>
        <v>0</v>
      </c>
      <c r="AY452" s="92">
        <f>IF(Input!$F$183&gt;=$K452,Input!AO215,0)</f>
        <v>0</v>
      </c>
      <c r="AZ452" s="92">
        <f>IF(Input!$F$183&gt;=$K452,Input!AP215,0)</f>
        <v>0</v>
      </c>
      <c r="BA452" s="92">
        <f>IF(Input!$F$183&gt;=$K452,Input!AQ215,0)</f>
        <v>0</v>
      </c>
      <c r="BB452" s="92">
        <f>IF(Input!$F$183&gt;=$K452,Input!AR215,0)</f>
        <v>0</v>
      </c>
      <c r="BC452" s="92">
        <f>IF(Input!$F$183&gt;=$K452,Input!AS215,0)</f>
        <v>0</v>
      </c>
      <c r="BD452" s="92">
        <f>IF(Input!$F$183&gt;=$K452,Input!AT215,0)</f>
        <v>0</v>
      </c>
      <c r="BE452" s="92">
        <f>IF(Input!$F$183&gt;=$K452,Input!AU215,0)</f>
        <v>0</v>
      </c>
      <c r="BF452" s="92">
        <f>IF(Input!$F$183&gt;=$K452,Input!AV215,0)</f>
        <v>0</v>
      </c>
      <c r="BG452" s="92">
        <f>IF(Input!$F$183&gt;=$K452,Input!AW215,0)</f>
        <v>0</v>
      </c>
      <c r="BH452" s="92">
        <f>IF(Input!$F$183&gt;=$K452,Input!AX215,0)</f>
        <v>0</v>
      </c>
      <c r="BI452" s="92">
        <f>IF(Input!$F$183&gt;=$K452,Input!AY215,0)</f>
        <v>0</v>
      </c>
      <c r="BJ452" s="92">
        <f>IF(Input!$F$183&gt;=$K452,Input!AZ215,0)</f>
        <v>0</v>
      </c>
      <c r="BK452" s="92">
        <f>IF(Input!$F$183&gt;=$K452,Input!BA215,0)</f>
        <v>0</v>
      </c>
      <c r="BL452" s="92">
        <f>IF(Input!$F$183&gt;=$K452,Input!BB215,0)</f>
        <v>0</v>
      </c>
      <c r="BM452" s="92">
        <f>IF(Input!$F$183&gt;=$K452,Input!BC215,0)</f>
        <v>0</v>
      </c>
      <c r="BN452" s="92">
        <f>IF(Input!$F$183&gt;=$K452,Input!BD215,0)</f>
        <v>0</v>
      </c>
      <c r="BO452" s="92">
        <f>IF(Input!$F$183&gt;=$K452,Input!BE215,0)</f>
        <v>0</v>
      </c>
      <c r="BP452" s="92">
        <f>IF(Input!$F$183&gt;=$K452,Input!BF215,0)</f>
        <v>0</v>
      </c>
      <c r="BQ452" s="92">
        <f>IF(Input!$F$183&gt;=$K452,Input!BG215,0)</f>
        <v>0</v>
      </c>
      <c r="BR452" s="92">
        <f>IF(Input!$F$183&gt;=$K452,Input!BH215,0)</f>
        <v>0</v>
      </c>
      <c r="BS452" s="92">
        <f>IF(Input!$F$183&gt;=$K452,Input!BI215,0)</f>
        <v>0</v>
      </c>
      <c r="BT452" s="92">
        <f>IF(Input!$F$183&gt;=$K452,Input!BJ215,0)</f>
        <v>0</v>
      </c>
      <c r="BU452" s="92">
        <f>IF(Input!$F$183&gt;=$K452,Input!BK215,0)</f>
        <v>0</v>
      </c>
      <c r="BV452" s="92">
        <f>IF(Input!$F$183&gt;=$K452,Input!BL215,0)</f>
        <v>0</v>
      </c>
      <c r="BW452" s="92">
        <f>IF(Input!$F$183&gt;=$K452,Input!BM215,0)</f>
        <v>0</v>
      </c>
      <c r="BX452" s="92">
        <f>IF(Input!$F$183&gt;=$K452,Input!BN215,0)</f>
        <v>0</v>
      </c>
      <c r="BY452" s="92">
        <f>IF(Input!$F$183&gt;=$K452,Input!BO215,0)</f>
        <v>0</v>
      </c>
      <c r="BZ452" s="92">
        <f>IF(Input!$F$183&gt;=$K452,Input!BP215,0)</f>
        <v>0</v>
      </c>
      <c r="CA452" s="92">
        <f>IF(Input!$F$183&gt;=$K452,Input!BQ215,0)</f>
        <v>0</v>
      </c>
      <c r="CB452" s="92">
        <f>IF(Input!$F$183&gt;=$K452,Input!BR215,0)</f>
        <v>0</v>
      </c>
      <c r="CC452" s="92">
        <f>IF(Input!$F$183&gt;=$K452,Input!BS215,0)</f>
        <v>0</v>
      </c>
      <c r="CD452" s="275">
        <f>IF(Input!$F$183&gt;=$K452,Input!BT215,0)</f>
        <v>0</v>
      </c>
      <c r="CE452" s="69">
        <f t="shared" si="222"/>
        <v>0</v>
      </c>
      <c r="CF452" s="1136">
        <f t="shared" si="223"/>
        <v>0</v>
      </c>
      <c r="CG452" s="1136">
        <f t="shared" si="224"/>
        <v>0</v>
      </c>
      <c r="CH452" s="1136">
        <f t="shared" si="225"/>
        <v>0</v>
      </c>
      <c r="CI452" s="1136">
        <f t="shared" si="226"/>
        <v>0</v>
      </c>
      <c r="CJ452" s="1136">
        <f t="shared" si="227"/>
        <v>0</v>
      </c>
      <c r="CK452" s="1136">
        <f t="shared" si="228"/>
        <v>0</v>
      </c>
      <c r="CL452" s="1136">
        <f t="shared" si="229"/>
        <v>0</v>
      </c>
      <c r="CM452" s="1136">
        <f t="shared" si="230"/>
        <v>0</v>
      </c>
      <c r="CN452" s="1136">
        <f t="shared" si="231"/>
        <v>0</v>
      </c>
      <c r="CO452" s="1136">
        <f t="shared" si="232"/>
        <v>0</v>
      </c>
      <c r="CP452" s="1136">
        <f t="shared" si="233"/>
        <v>0</v>
      </c>
      <c r="CQ452" s="1136">
        <f t="shared" si="234"/>
        <v>0</v>
      </c>
      <c r="CR452" s="1136">
        <f t="shared" si="235"/>
        <v>0</v>
      </c>
      <c r="CS452" s="1136">
        <f t="shared" si="236"/>
        <v>0</v>
      </c>
      <c r="CT452" s="1136">
        <f t="shared" si="237"/>
        <v>0</v>
      </c>
      <c r="CU452" s="1136">
        <f t="shared" si="238"/>
        <v>0</v>
      </c>
      <c r="CV452" s="1136">
        <f t="shared" si="239"/>
        <v>0</v>
      </c>
      <c r="CW452" s="1136">
        <f t="shared" si="240"/>
        <v>0</v>
      </c>
      <c r="CX452" s="1136">
        <f t="shared" si="241"/>
        <v>0</v>
      </c>
      <c r="CY452" s="1136">
        <f t="shared" si="242"/>
        <v>0</v>
      </c>
      <c r="CZ452" s="1136">
        <f t="shared" si="243"/>
        <v>0</v>
      </c>
      <c r="DA452" s="1136">
        <f t="shared" si="244"/>
        <v>0</v>
      </c>
      <c r="DB452" s="1136">
        <f t="shared" si="245"/>
        <v>0</v>
      </c>
      <c r="DC452" s="1136">
        <f t="shared" si="246"/>
        <v>0</v>
      </c>
      <c r="DD452" s="1136">
        <f t="shared" si="247"/>
        <v>0</v>
      </c>
      <c r="DE452" s="1136">
        <f t="shared" si="248"/>
        <v>0</v>
      </c>
      <c r="DF452" s="1136">
        <f t="shared" si="249"/>
        <v>0</v>
      </c>
      <c r="DG452" s="1136">
        <f t="shared" si="250"/>
        <v>0</v>
      </c>
      <c r="DH452" s="1136">
        <f t="shared" si="251"/>
        <v>0</v>
      </c>
      <c r="DI452" s="1136">
        <f t="shared" si="252"/>
        <v>0</v>
      </c>
      <c r="DJ452" s="1136">
        <f t="shared" si="253"/>
        <v>0</v>
      </c>
      <c r="DK452" s="1136">
        <f t="shared" si="254"/>
        <v>0</v>
      </c>
      <c r="DL452" s="1136">
        <f t="shared" si="255"/>
        <v>0</v>
      </c>
      <c r="DM452" s="1136">
        <f t="shared" si="256"/>
        <v>0</v>
      </c>
      <c r="DN452" s="1136">
        <f t="shared" si="257"/>
        <v>0</v>
      </c>
      <c r="DO452" s="1136">
        <f t="shared" si="258"/>
        <v>0</v>
      </c>
      <c r="DP452" s="1136">
        <f t="shared" si="259"/>
        <v>0</v>
      </c>
      <c r="DQ452" s="1136">
        <f t="shared" si="260"/>
        <v>0</v>
      </c>
      <c r="DR452" s="1136">
        <f t="shared" si="261"/>
        <v>0</v>
      </c>
      <c r="DS452" s="1136">
        <f t="shared" si="262"/>
        <v>0</v>
      </c>
      <c r="DT452" s="1136">
        <f t="shared" si="263"/>
        <v>0</v>
      </c>
      <c r="DU452" s="1136">
        <f t="shared" si="264"/>
        <v>0</v>
      </c>
      <c r="DV452" s="1136">
        <f t="shared" si="265"/>
        <v>0</v>
      </c>
      <c r="DW452" s="1136">
        <f t="shared" si="266"/>
        <v>0</v>
      </c>
      <c r="DX452" s="1136">
        <f t="shared" si="267"/>
        <v>0</v>
      </c>
      <c r="DY452" s="1136">
        <f t="shared" si="268"/>
        <v>0</v>
      </c>
      <c r="DZ452" s="1136">
        <f t="shared" si="269"/>
        <v>0</v>
      </c>
      <c r="EA452" s="1136">
        <f t="shared" si="270"/>
        <v>0</v>
      </c>
      <c r="EB452" s="1136">
        <f t="shared" si="271"/>
        <v>0</v>
      </c>
      <c r="EC452" s="1136">
        <f t="shared" si="272"/>
        <v>0</v>
      </c>
      <c r="ED452" s="1136">
        <f t="shared" si="273"/>
        <v>0</v>
      </c>
      <c r="EE452" s="1136">
        <f t="shared" si="274"/>
        <v>0</v>
      </c>
      <c r="EF452" s="1136">
        <f t="shared" si="275"/>
        <v>0</v>
      </c>
      <c r="EG452" s="1136">
        <f t="shared" si="276"/>
        <v>0</v>
      </c>
      <c r="EH452" s="1136">
        <f t="shared" si="277"/>
        <v>0</v>
      </c>
      <c r="EI452" s="1136">
        <f t="shared" si="278"/>
        <v>0</v>
      </c>
      <c r="EJ452" s="1136">
        <f t="shared" si="279"/>
        <v>0</v>
      </c>
      <c r="EK452" s="1136">
        <f t="shared" si="280"/>
        <v>0</v>
      </c>
      <c r="EL452" s="1136">
        <f t="shared" si="281"/>
        <v>0</v>
      </c>
      <c r="EM452" s="1136">
        <f t="shared" si="282"/>
        <v>0</v>
      </c>
    </row>
    <row r="453" spans="11:143" ht="12" customHeight="1" x14ac:dyDescent="0.35">
      <c r="K453" s="13">
        <v>33</v>
      </c>
      <c r="L453" s="87">
        <f>Input!D216</f>
        <v>0</v>
      </c>
      <c r="M453" s="88">
        <f>IF(Input!$F$183&gt;=$K453,Input!G216,0)</f>
        <v>0</v>
      </c>
      <c r="N453" s="197">
        <f>Input!H216</f>
        <v>0</v>
      </c>
      <c r="O453" s="197">
        <f>Input!I216</f>
        <v>0</v>
      </c>
      <c r="P453" s="90">
        <f>Input!J216</f>
        <v>0</v>
      </c>
      <c r="Q453" s="13">
        <v>33</v>
      </c>
      <c r="R453" s="207">
        <f t="shared" ref="R453:R470" si="283">N453</f>
        <v>0</v>
      </c>
      <c r="S453" s="207">
        <f t="shared" ref="S453:S470" si="284">O453</f>
        <v>0</v>
      </c>
      <c r="T453" s="40">
        <f>IFERROR(VLOOKUP(R453,Infrastructure!$D$70:$F$129,3,FALSE),0)</f>
        <v>1</v>
      </c>
      <c r="U453" s="40">
        <f>IFERROR(VLOOKUP(S453,Infrastructure!$D$70:$F$129,3,FALSE),0)</f>
        <v>1</v>
      </c>
      <c r="V453" s="13"/>
      <c r="W453" s="91">
        <f>IF(Input!$F$183&gt;=$K453,Input!M216,0)</f>
        <v>0</v>
      </c>
      <c r="X453" s="92">
        <f>IF(Input!$F$183&gt;=$K453,Input!N216,0)</f>
        <v>0</v>
      </c>
      <c r="Y453" s="92">
        <f>IF(Input!$F$183&gt;=$K453,Input!O216,0)</f>
        <v>0</v>
      </c>
      <c r="Z453" s="92">
        <f>IF(Input!$F$183&gt;=$K453,Input!P216,0)</f>
        <v>0</v>
      </c>
      <c r="AA453" s="92">
        <f>IF(Input!$F$183&gt;=$K453,Input!Q216,0)</f>
        <v>0</v>
      </c>
      <c r="AB453" s="92">
        <f>IF(Input!$F$183&gt;=$K453,Input!R216,0)</f>
        <v>0</v>
      </c>
      <c r="AC453" s="92">
        <f>IF(Input!$F$183&gt;=$K453,Input!S216,0)</f>
        <v>0</v>
      </c>
      <c r="AD453" s="92">
        <f>IF(Input!$F$183&gt;=$K453,Input!T216,0)</f>
        <v>0</v>
      </c>
      <c r="AE453" s="92">
        <f>IF(Input!$F$183&gt;=$K453,Input!U216,0)</f>
        <v>0</v>
      </c>
      <c r="AF453" s="92">
        <f>IF(Input!$F$183&gt;=$K453,Input!V216,0)</f>
        <v>0</v>
      </c>
      <c r="AG453" s="92">
        <f>IF(Input!$F$183&gt;=$K453,Input!W216,0)</f>
        <v>0</v>
      </c>
      <c r="AH453" s="92">
        <f>IF(Input!$F$183&gt;=$K453,Input!X216,0)</f>
        <v>0</v>
      </c>
      <c r="AI453" s="92">
        <f>IF(Input!$F$183&gt;=$K453,Input!Y216,0)</f>
        <v>0</v>
      </c>
      <c r="AJ453" s="92">
        <f>IF(Input!$F$183&gt;=$K453,Input!Z216,0)</f>
        <v>0</v>
      </c>
      <c r="AK453" s="92">
        <f>IF(Input!$F$183&gt;=$K453,Input!AA216,0)</f>
        <v>0</v>
      </c>
      <c r="AL453" s="92">
        <f>IF(Input!$F$183&gt;=$K453,Input!AB216,0)</f>
        <v>0</v>
      </c>
      <c r="AM453" s="92">
        <f>IF(Input!$F$183&gt;=$K453,Input!AC216,0)</f>
        <v>0</v>
      </c>
      <c r="AN453" s="92">
        <f>IF(Input!$F$183&gt;=$K453,Input!AD216,0)</f>
        <v>0</v>
      </c>
      <c r="AO453" s="92">
        <f>IF(Input!$F$183&gt;=$K453,Input!AE216,0)</f>
        <v>0</v>
      </c>
      <c r="AP453" s="92">
        <f>IF(Input!$F$183&gt;=$K453,Input!AF216,0)</f>
        <v>0</v>
      </c>
      <c r="AQ453" s="92">
        <f>IF(Input!$F$183&gt;=$K453,Input!AG216,0)</f>
        <v>0</v>
      </c>
      <c r="AR453" s="92">
        <f>IF(Input!$F$183&gt;=$K453,Input!AH216,0)</f>
        <v>0</v>
      </c>
      <c r="AS453" s="92">
        <f>IF(Input!$F$183&gt;=$K453,Input!AI216,0)</f>
        <v>0</v>
      </c>
      <c r="AT453" s="92">
        <f>IF(Input!$F$183&gt;=$K453,Input!AJ216,0)</f>
        <v>0</v>
      </c>
      <c r="AU453" s="92">
        <f>IF(Input!$F$183&gt;=$K453,Input!AK216,0)</f>
        <v>0</v>
      </c>
      <c r="AV453" s="92">
        <f>IF(Input!$F$183&gt;=$K453,Input!AL216,0)</f>
        <v>0</v>
      </c>
      <c r="AW453" s="92">
        <f>IF(Input!$F$183&gt;=$K453,Input!AM216,0)</f>
        <v>0</v>
      </c>
      <c r="AX453" s="92">
        <f>IF(Input!$F$183&gt;=$K453,Input!AN216,0)</f>
        <v>0</v>
      </c>
      <c r="AY453" s="92">
        <f>IF(Input!$F$183&gt;=$K453,Input!AO216,0)</f>
        <v>0</v>
      </c>
      <c r="AZ453" s="92">
        <f>IF(Input!$F$183&gt;=$K453,Input!AP216,0)</f>
        <v>0</v>
      </c>
      <c r="BA453" s="92">
        <f>IF(Input!$F$183&gt;=$K453,Input!AQ216,0)</f>
        <v>0</v>
      </c>
      <c r="BB453" s="92">
        <f>IF(Input!$F$183&gt;=$K453,Input!AR216,0)</f>
        <v>0</v>
      </c>
      <c r="BC453" s="92">
        <f>IF(Input!$F$183&gt;=$K453,Input!AS216,0)</f>
        <v>0</v>
      </c>
      <c r="BD453" s="92">
        <f>IF(Input!$F$183&gt;=$K453,Input!AT216,0)</f>
        <v>0</v>
      </c>
      <c r="BE453" s="92">
        <f>IF(Input!$F$183&gt;=$K453,Input!AU216,0)</f>
        <v>0</v>
      </c>
      <c r="BF453" s="92">
        <f>IF(Input!$F$183&gt;=$K453,Input!AV216,0)</f>
        <v>0</v>
      </c>
      <c r="BG453" s="92">
        <f>IF(Input!$F$183&gt;=$K453,Input!AW216,0)</f>
        <v>0</v>
      </c>
      <c r="BH453" s="92">
        <f>IF(Input!$F$183&gt;=$K453,Input!AX216,0)</f>
        <v>0</v>
      </c>
      <c r="BI453" s="92">
        <f>IF(Input!$F$183&gt;=$K453,Input!AY216,0)</f>
        <v>0</v>
      </c>
      <c r="BJ453" s="92">
        <f>IF(Input!$F$183&gt;=$K453,Input!AZ216,0)</f>
        <v>0</v>
      </c>
      <c r="BK453" s="92">
        <f>IF(Input!$F$183&gt;=$K453,Input!BA216,0)</f>
        <v>0</v>
      </c>
      <c r="BL453" s="92">
        <f>IF(Input!$F$183&gt;=$K453,Input!BB216,0)</f>
        <v>0</v>
      </c>
      <c r="BM453" s="92">
        <f>IF(Input!$F$183&gt;=$K453,Input!BC216,0)</f>
        <v>0</v>
      </c>
      <c r="BN453" s="92">
        <f>IF(Input!$F$183&gt;=$K453,Input!BD216,0)</f>
        <v>0</v>
      </c>
      <c r="BO453" s="92">
        <f>IF(Input!$F$183&gt;=$K453,Input!BE216,0)</f>
        <v>0</v>
      </c>
      <c r="BP453" s="92">
        <f>IF(Input!$F$183&gt;=$K453,Input!BF216,0)</f>
        <v>0</v>
      </c>
      <c r="BQ453" s="92">
        <f>IF(Input!$F$183&gt;=$K453,Input!BG216,0)</f>
        <v>0</v>
      </c>
      <c r="BR453" s="92">
        <f>IF(Input!$F$183&gt;=$K453,Input!BH216,0)</f>
        <v>0</v>
      </c>
      <c r="BS453" s="92">
        <f>IF(Input!$F$183&gt;=$K453,Input!BI216,0)</f>
        <v>0</v>
      </c>
      <c r="BT453" s="92">
        <f>IF(Input!$F$183&gt;=$K453,Input!BJ216,0)</f>
        <v>0</v>
      </c>
      <c r="BU453" s="92">
        <f>IF(Input!$F$183&gt;=$K453,Input!BK216,0)</f>
        <v>0</v>
      </c>
      <c r="BV453" s="92">
        <f>IF(Input!$F$183&gt;=$K453,Input!BL216,0)</f>
        <v>0</v>
      </c>
      <c r="BW453" s="92">
        <f>IF(Input!$F$183&gt;=$K453,Input!BM216,0)</f>
        <v>0</v>
      </c>
      <c r="BX453" s="92">
        <f>IF(Input!$F$183&gt;=$K453,Input!BN216,0)</f>
        <v>0</v>
      </c>
      <c r="BY453" s="92">
        <f>IF(Input!$F$183&gt;=$K453,Input!BO216,0)</f>
        <v>0</v>
      </c>
      <c r="BZ453" s="92">
        <f>IF(Input!$F$183&gt;=$K453,Input!BP216,0)</f>
        <v>0</v>
      </c>
      <c r="CA453" s="92">
        <f>IF(Input!$F$183&gt;=$K453,Input!BQ216,0)</f>
        <v>0</v>
      </c>
      <c r="CB453" s="92">
        <f>IF(Input!$F$183&gt;=$K453,Input!BR216,0)</f>
        <v>0</v>
      </c>
      <c r="CC453" s="92">
        <f>IF(Input!$F$183&gt;=$K453,Input!BS216,0)</f>
        <v>0</v>
      </c>
      <c r="CD453" s="275">
        <f>IF(Input!$F$183&gt;=$K453,Input!BT216,0)</f>
        <v>0</v>
      </c>
      <c r="CE453" s="69">
        <f t="shared" ref="CE453:CE470" si="285">IF(L453&lt;&gt;"",L453,"")</f>
        <v>0</v>
      </c>
      <c r="CF453" s="1136">
        <f t="shared" ref="CF453:CF470" si="286">IFERROR(IF(OR($T453&gt;CF$419,CF$419&gt;$U453),0,($M453*((1+$P453)^VLOOKUP(CF$419-$T453+1,$N$473:$P$477,3))))+W453,0)</f>
        <v>0</v>
      </c>
      <c r="CG453" s="1136">
        <f t="shared" ref="CG453:CG470" si="287">IFERROR(IF(OR($T453&gt;CG$419,CG$419&gt;$U453),0,($M453*((1+$P453)^VLOOKUP(CG$419-$T453+1,$N$473:$P$477,3))))+X453,0)</f>
        <v>0</v>
      </c>
      <c r="CH453" s="1136">
        <f t="shared" ref="CH453:CH470" si="288">IFERROR(IF(OR($T453&gt;CH$419,CH$419&gt;$U453),0,($M453*((1+$P453)^VLOOKUP(CH$419-$T453+1,$N$473:$P$477,3))))+Y453,0)</f>
        <v>0</v>
      </c>
      <c r="CI453" s="1136">
        <f t="shared" ref="CI453:CI470" si="289">IFERROR(IF(OR($T453&gt;CI$419,CI$419&gt;$U453),0,($M453*((1+$P453)^VLOOKUP(CI$419-$T453+1,$N$473:$P$477,3))))+Z453,0)</f>
        <v>0</v>
      </c>
      <c r="CJ453" s="1136">
        <f t="shared" ref="CJ453:CJ470" si="290">IFERROR(IF(OR($T453&gt;CJ$419,CJ$419&gt;$U453),0,($M453*((1+$P453)^VLOOKUP(CJ$419-$T453+1,$N$473:$P$477,3))))+AA453,0)</f>
        <v>0</v>
      </c>
      <c r="CK453" s="1136">
        <f t="shared" ref="CK453:CK470" si="291">IFERROR(IF(OR($T453&gt;CK$419,CK$419&gt;$U453),0,($M453*((1+$P453)^VLOOKUP(CK$419-$T453+1,$N$473:$P$477,3))))+AB453,0)</f>
        <v>0</v>
      </c>
      <c r="CL453" s="1136">
        <f t="shared" ref="CL453:CL470" si="292">IFERROR(IF(OR($T453&gt;CL$419,CL$419&gt;$U453),0,($M453*((1+$P453)^VLOOKUP(CL$419-$T453+1,$N$473:$P$477,3))))+AC453,0)</f>
        <v>0</v>
      </c>
      <c r="CM453" s="1136">
        <f t="shared" ref="CM453:CM470" si="293">IFERROR(IF(OR($T453&gt;CM$419,CM$419&gt;$U453),0,($M453*((1+$P453)^VLOOKUP(CM$419-$T453+1,$N$473:$P$477,3))))+AD453,0)</f>
        <v>0</v>
      </c>
      <c r="CN453" s="1136">
        <f t="shared" ref="CN453:CN470" si="294">IFERROR(IF(OR($T453&gt;CN$419,CN$419&gt;$U453),0,($M453*((1+$P453)^VLOOKUP(CN$419-$T453+1,$N$473:$P$477,3))))+AE453,0)</f>
        <v>0</v>
      </c>
      <c r="CO453" s="1136">
        <f t="shared" ref="CO453:CO470" si="295">IFERROR(IF(OR($T453&gt;CO$419,CO$419&gt;$U453),0,($M453*((1+$P453)^VLOOKUP(CO$419-$T453+1,$N$473:$P$477,3))))+AF453,0)</f>
        <v>0</v>
      </c>
      <c r="CP453" s="1136">
        <f t="shared" ref="CP453:CP470" si="296">IFERROR(IF(OR($T453&gt;CP$419,CP$419&gt;$U453),0,($M453*((1+$P453)^VLOOKUP(CP$419-$T453+1,$N$473:$P$477,3))))+AG453,0)</f>
        <v>0</v>
      </c>
      <c r="CQ453" s="1136">
        <f t="shared" ref="CQ453:CQ470" si="297">IFERROR(IF(OR($T453&gt;CQ$419,CQ$419&gt;$U453),0,($M453*((1+$P453)^VLOOKUP(CQ$419-$T453+1,$N$473:$P$477,3))))+AH453,0)</f>
        <v>0</v>
      </c>
      <c r="CR453" s="1136">
        <f t="shared" ref="CR453:CR470" si="298">IFERROR(IF(OR($T453&gt;CR$419,CR$419&gt;$U453),0,($M453*((1+$P453)^VLOOKUP(CR$419-$T453+1,$N$473:$P$477,3))))+AI453,0)</f>
        <v>0</v>
      </c>
      <c r="CS453" s="1136">
        <f t="shared" ref="CS453:CS470" si="299">IFERROR(IF(OR($T453&gt;CS$419,CS$419&gt;$U453),0,($M453*((1+$P453)^VLOOKUP(CS$419-$T453+1,$N$473:$P$477,3))))+AJ453,0)</f>
        <v>0</v>
      </c>
      <c r="CT453" s="1136">
        <f t="shared" ref="CT453:CT470" si="300">IFERROR(IF(OR($T453&gt;CT$419,CT$419&gt;$U453),0,($M453*((1+$P453)^VLOOKUP(CT$419-$T453+1,$N$473:$P$477,3))))+AK453,0)</f>
        <v>0</v>
      </c>
      <c r="CU453" s="1136">
        <f t="shared" ref="CU453:CU470" si="301">IFERROR(IF(OR($T453&gt;CU$419,CU$419&gt;$U453),0,($M453*((1+$P453)^VLOOKUP(CU$419-$T453+1,$N$473:$P$477,3))))+AL453,0)</f>
        <v>0</v>
      </c>
      <c r="CV453" s="1136">
        <f t="shared" ref="CV453:CV470" si="302">IFERROR(IF(OR($T453&gt;CV$419,CV$419&gt;$U453),0,($M453*((1+$P453)^VLOOKUP(CV$419-$T453+1,$N$473:$P$477,3))))+AM453,0)</f>
        <v>0</v>
      </c>
      <c r="CW453" s="1136">
        <f t="shared" ref="CW453:CW470" si="303">IFERROR(IF(OR($T453&gt;CW$419,CW$419&gt;$U453),0,($M453*((1+$P453)^VLOOKUP(CW$419-$T453+1,$N$473:$P$477,3))))+AN453,0)</f>
        <v>0</v>
      </c>
      <c r="CX453" s="1136">
        <f t="shared" ref="CX453:CX470" si="304">IFERROR(IF(OR($T453&gt;CX$419,CX$419&gt;$U453),0,($M453*((1+$P453)^VLOOKUP(CX$419-$T453+1,$N$473:$P$477,3))))+AO453,0)</f>
        <v>0</v>
      </c>
      <c r="CY453" s="1136">
        <f t="shared" ref="CY453:CY470" si="305">IFERROR(IF(OR($T453&gt;CY$419,CY$419&gt;$U453),0,($M453*((1+$P453)^VLOOKUP(CY$419-$T453+1,$N$473:$P$477,3))))+AP453,0)</f>
        <v>0</v>
      </c>
      <c r="CZ453" s="1136">
        <f t="shared" ref="CZ453:CZ470" si="306">IFERROR(IF(OR($T453&gt;CZ$419,CZ$419&gt;$U453),0,($M453*((1+$P453)^VLOOKUP(CZ$419-$T453+1,$N$473:$P$477,3))))+AQ453,0)</f>
        <v>0</v>
      </c>
      <c r="DA453" s="1136">
        <f t="shared" ref="DA453:DA470" si="307">IFERROR(IF(OR($T453&gt;DA$419,DA$419&gt;$U453),0,($M453*((1+$P453)^VLOOKUP(DA$419-$T453+1,$N$473:$P$477,3))))+AR453,0)</f>
        <v>0</v>
      </c>
      <c r="DB453" s="1136">
        <f t="shared" ref="DB453:DB470" si="308">IFERROR(IF(OR($T453&gt;DB$419,DB$419&gt;$U453),0,($M453*((1+$P453)^VLOOKUP(DB$419-$T453+1,$N$473:$P$477,3))))+AS453,0)</f>
        <v>0</v>
      </c>
      <c r="DC453" s="1136">
        <f t="shared" ref="DC453:DC470" si="309">IFERROR(IF(OR($T453&gt;DC$419,DC$419&gt;$U453),0,($M453*((1+$P453)^VLOOKUP(DC$419-$T453+1,$N$473:$P$477,3))))+AT453,0)</f>
        <v>0</v>
      </c>
      <c r="DD453" s="1136">
        <f t="shared" ref="DD453:DD470" si="310">IFERROR(IF(OR($T453&gt;DD$419,DD$419&gt;$U453),0,($M453*((1+$P453)^VLOOKUP(DD$419-$T453+1,$N$473:$P$477,3))))+AU453,0)</f>
        <v>0</v>
      </c>
      <c r="DE453" s="1136">
        <f t="shared" ref="DE453:DE470" si="311">IFERROR(IF(OR($T453&gt;DE$419,DE$419&gt;$U453),0,($M453*((1+$P453)^VLOOKUP(DE$419-$T453+1,$N$473:$P$477,3))))+AV453,0)</f>
        <v>0</v>
      </c>
      <c r="DF453" s="1136">
        <f t="shared" ref="DF453:DF470" si="312">IFERROR(IF(OR($T453&gt;DF$419,DF$419&gt;$U453),0,($M453*((1+$P453)^VLOOKUP(DF$419-$T453+1,$N$473:$P$477,3))))+AW453,0)</f>
        <v>0</v>
      </c>
      <c r="DG453" s="1136">
        <f t="shared" ref="DG453:DG470" si="313">IFERROR(IF(OR($T453&gt;DG$419,DG$419&gt;$U453),0,($M453*((1+$P453)^VLOOKUP(DG$419-$T453+1,$N$473:$P$477,3))))+AX453,0)</f>
        <v>0</v>
      </c>
      <c r="DH453" s="1136">
        <f t="shared" ref="DH453:DH470" si="314">IFERROR(IF(OR($T453&gt;DH$419,DH$419&gt;$U453),0,($M453*((1+$P453)^VLOOKUP(DH$419-$T453+1,$N$473:$P$477,3))))+AY453,0)</f>
        <v>0</v>
      </c>
      <c r="DI453" s="1136">
        <f t="shared" ref="DI453:DI470" si="315">IFERROR(IF(OR($T453&gt;DI$419,DI$419&gt;$U453),0,($M453*((1+$P453)^VLOOKUP(DI$419-$T453+1,$N$473:$P$477,3))))+AZ453,0)</f>
        <v>0</v>
      </c>
      <c r="DJ453" s="1136">
        <f t="shared" ref="DJ453:DJ470" si="316">IFERROR(IF(OR($T453&gt;DJ$419,DJ$419&gt;$U453),0,($M453*((1+$P453)^VLOOKUP(DJ$419-$T453+1,$N$473:$P$477,3))))+BA453,0)</f>
        <v>0</v>
      </c>
      <c r="DK453" s="1136">
        <f t="shared" ref="DK453:DK470" si="317">IFERROR(IF(OR($T453&gt;DK$419,DK$419&gt;$U453),0,($M453*((1+$P453)^VLOOKUP(DK$419-$T453+1,$N$473:$P$477,3))))+BB453,0)</f>
        <v>0</v>
      </c>
      <c r="DL453" s="1136">
        <f t="shared" ref="DL453:DL470" si="318">IFERROR(IF(OR($T453&gt;DL$419,DL$419&gt;$U453),0,($M453*((1+$P453)^VLOOKUP(DL$419-$T453+1,$N$473:$P$477,3))))+BC453,0)</f>
        <v>0</v>
      </c>
      <c r="DM453" s="1136">
        <f t="shared" ref="DM453:DM470" si="319">IFERROR(IF(OR($T453&gt;DM$419,DM$419&gt;$U453),0,($M453*((1+$P453)^VLOOKUP(DM$419-$T453+1,$N$473:$P$477,3))))+BD453,0)</f>
        <v>0</v>
      </c>
      <c r="DN453" s="1136">
        <f t="shared" ref="DN453:DN470" si="320">IFERROR(IF(OR($T453&gt;DN$419,DN$419&gt;$U453),0,($M453*((1+$P453)^VLOOKUP(DN$419-$T453+1,$N$473:$P$477,3))))+BE453,0)</f>
        <v>0</v>
      </c>
      <c r="DO453" s="1136">
        <f t="shared" ref="DO453:DO470" si="321">IFERROR(IF(OR($T453&gt;DO$419,DO$419&gt;$U453),0,($M453*((1+$P453)^VLOOKUP(DO$419-$T453+1,$N$473:$P$477,3))))+BF453,0)</f>
        <v>0</v>
      </c>
      <c r="DP453" s="1136">
        <f t="shared" ref="DP453:DP470" si="322">IFERROR(IF(OR($T453&gt;DP$419,DP$419&gt;$U453),0,($M453*((1+$P453)^VLOOKUP(DP$419-$T453+1,$N$473:$P$477,3))))+BG453,0)</f>
        <v>0</v>
      </c>
      <c r="DQ453" s="1136">
        <f t="shared" ref="DQ453:DQ470" si="323">IFERROR(IF(OR($T453&gt;DQ$419,DQ$419&gt;$U453),0,($M453*((1+$P453)^VLOOKUP(DQ$419-$T453+1,$N$473:$P$477,3))))+BH453,0)</f>
        <v>0</v>
      </c>
      <c r="DR453" s="1136">
        <f t="shared" ref="DR453:DR470" si="324">IFERROR(IF(OR($T453&gt;DR$419,DR$419&gt;$U453),0,($M453*((1+$P453)^VLOOKUP(DR$419-$T453+1,$N$473:$P$477,3))))+BI453,0)</f>
        <v>0</v>
      </c>
      <c r="DS453" s="1136">
        <f t="shared" ref="DS453:DS470" si="325">IFERROR(IF(OR($T453&gt;DS$419,DS$419&gt;$U453),0,($M453*((1+$P453)^VLOOKUP(DS$419-$T453+1,$N$473:$P$477,3))))+BJ453,0)</f>
        <v>0</v>
      </c>
      <c r="DT453" s="1136">
        <f t="shared" ref="DT453:DT470" si="326">IFERROR(IF(OR($T453&gt;DT$419,DT$419&gt;$U453),0,($M453*((1+$P453)^VLOOKUP(DT$419-$T453+1,$N$473:$P$477,3))))+BK453,0)</f>
        <v>0</v>
      </c>
      <c r="DU453" s="1136">
        <f t="shared" ref="DU453:DU470" si="327">IFERROR(IF(OR($T453&gt;DU$419,DU$419&gt;$U453),0,($M453*((1+$P453)^VLOOKUP(DU$419-$T453+1,$N$473:$P$477,3))))+BL453,0)</f>
        <v>0</v>
      </c>
      <c r="DV453" s="1136">
        <f t="shared" ref="DV453:DV470" si="328">IFERROR(IF(OR($T453&gt;DV$419,DV$419&gt;$U453),0,($M453*((1+$P453)^VLOOKUP(DV$419-$T453+1,$N$473:$P$477,3))))+BM453,0)</f>
        <v>0</v>
      </c>
      <c r="DW453" s="1136">
        <f t="shared" ref="DW453:DW470" si="329">IFERROR(IF(OR($T453&gt;DW$419,DW$419&gt;$U453),0,($M453*((1+$P453)^VLOOKUP(DW$419-$T453+1,$N$473:$P$477,3))))+BN453,0)</f>
        <v>0</v>
      </c>
      <c r="DX453" s="1136">
        <f t="shared" ref="DX453:DX470" si="330">IFERROR(IF(OR($T453&gt;DX$419,DX$419&gt;$U453),0,($M453*((1+$P453)^VLOOKUP(DX$419-$T453+1,$N$473:$P$477,3))))+BO453,0)</f>
        <v>0</v>
      </c>
      <c r="DY453" s="1136">
        <f t="shared" ref="DY453:DY470" si="331">IFERROR(IF(OR($T453&gt;DY$419,DY$419&gt;$U453),0,($M453*((1+$P453)^VLOOKUP(DY$419-$T453+1,$N$473:$P$477,3))))+BP453,0)</f>
        <v>0</v>
      </c>
      <c r="DZ453" s="1136">
        <f t="shared" ref="DZ453:DZ470" si="332">IFERROR(IF(OR($T453&gt;DZ$419,DZ$419&gt;$U453),0,($M453*((1+$P453)^VLOOKUP(DZ$419-$T453+1,$N$473:$P$477,3))))+BQ453,0)</f>
        <v>0</v>
      </c>
      <c r="EA453" s="1136">
        <f t="shared" ref="EA453:EA470" si="333">IFERROR(IF(OR($T453&gt;EA$419,EA$419&gt;$U453),0,($M453*((1+$P453)^VLOOKUP(EA$419-$T453+1,$N$473:$P$477,3))))+BR453,0)</f>
        <v>0</v>
      </c>
      <c r="EB453" s="1136">
        <f t="shared" ref="EB453:EB470" si="334">IFERROR(IF(OR($T453&gt;EB$419,EB$419&gt;$U453),0,($M453*((1+$P453)^VLOOKUP(EB$419-$T453+1,$N$473:$P$477,3))))+BS453,0)</f>
        <v>0</v>
      </c>
      <c r="EC453" s="1136">
        <f t="shared" ref="EC453:EC470" si="335">IFERROR(IF(OR($T453&gt;EC$419,EC$419&gt;$U453),0,($M453*((1+$P453)^VLOOKUP(EC$419-$T453+1,$N$473:$P$477,3))))+BT453,0)</f>
        <v>0</v>
      </c>
      <c r="ED453" s="1136">
        <f t="shared" ref="ED453:ED470" si="336">IFERROR(IF(OR($T453&gt;ED$419,ED$419&gt;$U453),0,($M453*((1+$P453)^VLOOKUP(ED$419-$T453+1,$N$473:$P$477,3))))+BU453,0)</f>
        <v>0</v>
      </c>
      <c r="EE453" s="1136">
        <f t="shared" ref="EE453:EE470" si="337">IFERROR(IF(OR($T453&gt;EE$419,EE$419&gt;$U453),0,($M453*((1+$P453)^VLOOKUP(EE$419-$T453+1,$N$473:$P$477,3))))+BV453,0)</f>
        <v>0</v>
      </c>
      <c r="EF453" s="1136">
        <f t="shared" ref="EF453:EF470" si="338">IFERROR(IF(OR($T453&gt;EF$419,EF$419&gt;$U453),0,($M453*((1+$P453)^VLOOKUP(EF$419-$T453+1,$N$473:$P$477,3))))+BW453,0)</f>
        <v>0</v>
      </c>
      <c r="EG453" s="1136">
        <f t="shared" ref="EG453:EG470" si="339">IFERROR(IF(OR($T453&gt;EG$419,EG$419&gt;$U453),0,($M453*((1+$P453)^VLOOKUP(EG$419-$T453+1,$N$473:$P$477,3))))+BX453,0)</f>
        <v>0</v>
      </c>
      <c r="EH453" s="1136">
        <f t="shared" ref="EH453:EH470" si="340">IFERROR(IF(OR($T453&gt;EH$419,EH$419&gt;$U453),0,($M453*((1+$P453)^VLOOKUP(EH$419-$T453+1,$N$473:$P$477,3))))+BY453,0)</f>
        <v>0</v>
      </c>
      <c r="EI453" s="1136">
        <f t="shared" ref="EI453:EI470" si="341">IFERROR(IF(OR($T453&gt;EI$419,EI$419&gt;$U453),0,($M453*((1+$P453)^VLOOKUP(EI$419-$T453+1,$N$473:$P$477,3))))+BZ453,0)</f>
        <v>0</v>
      </c>
      <c r="EJ453" s="1136">
        <f t="shared" ref="EJ453:EJ470" si="342">IFERROR(IF(OR($T453&gt;EJ$419,EJ$419&gt;$U453),0,($M453*((1+$P453)^VLOOKUP(EJ$419-$T453+1,$N$473:$P$477,3))))+CA453,0)</f>
        <v>0</v>
      </c>
      <c r="EK453" s="1136">
        <f t="shared" ref="EK453:EK470" si="343">IFERROR(IF(OR($T453&gt;EK$419,EK$419&gt;$U453),0,($M453*((1+$P453)^VLOOKUP(EK$419-$T453+1,$N$473:$P$477,3))))+CB453,0)</f>
        <v>0</v>
      </c>
      <c r="EL453" s="1136">
        <f t="shared" ref="EL453:EL470" si="344">IFERROR(IF(OR($T453&gt;EL$419,EL$419&gt;$U453),0,($M453*((1+$P453)^VLOOKUP(EL$419-$T453+1,$N$473:$P$477,3))))+CC453,0)</f>
        <v>0</v>
      </c>
      <c r="EM453" s="1136">
        <f t="shared" ref="EM453:EM470" si="345">IFERROR(IF(OR($T453&gt;EM$419,EM$419&gt;$U453),0,($M453*((1+$P453)^VLOOKUP(EM$419-$T453+1,$N$473:$P$477,3))))+CD453,0)</f>
        <v>0</v>
      </c>
    </row>
    <row r="454" spans="11:143" ht="12" customHeight="1" x14ac:dyDescent="0.35">
      <c r="K454" s="13">
        <v>34</v>
      </c>
      <c r="L454" s="87">
        <f>Input!D217</f>
        <v>0</v>
      </c>
      <c r="M454" s="88">
        <f>IF(Input!$F$183&gt;=$K454,Input!G217,0)</f>
        <v>0</v>
      </c>
      <c r="N454" s="197">
        <f>Input!H217</f>
        <v>0</v>
      </c>
      <c r="O454" s="197">
        <f>Input!I217</f>
        <v>0</v>
      </c>
      <c r="P454" s="90">
        <f>Input!J217</f>
        <v>0</v>
      </c>
      <c r="Q454" s="13">
        <v>34</v>
      </c>
      <c r="R454" s="207">
        <f t="shared" si="283"/>
        <v>0</v>
      </c>
      <c r="S454" s="207">
        <f t="shared" si="284"/>
        <v>0</v>
      </c>
      <c r="T454" s="40">
        <f>IFERROR(VLOOKUP(R454,Infrastructure!$D$70:$F$129,3,FALSE),0)</f>
        <v>1</v>
      </c>
      <c r="U454" s="40">
        <f>IFERROR(VLOOKUP(S454,Infrastructure!$D$70:$F$129,3,FALSE),0)</f>
        <v>1</v>
      </c>
      <c r="V454" s="13"/>
      <c r="W454" s="91">
        <f>IF(Input!$F$183&gt;=$K454,Input!M217,0)</f>
        <v>0</v>
      </c>
      <c r="X454" s="92">
        <f>IF(Input!$F$183&gt;=$K454,Input!N217,0)</f>
        <v>0</v>
      </c>
      <c r="Y454" s="92">
        <f>IF(Input!$F$183&gt;=$K454,Input!O217,0)</f>
        <v>0</v>
      </c>
      <c r="Z454" s="92">
        <f>IF(Input!$F$183&gt;=$K454,Input!P217,0)</f>
        <v>0</v>
      </c>
      <c r="AA454" s="92">
        <f>IF(Input!$F$183&gt;=$K454,Input!Q217,0)</f>
        <v>0</v>
      </c>
      <c r="AB454" s="92">
        <f>IF(Input!$F$183&gt;=$K454,Input!R217,0)</f>
        <v>0</v>
      </c>
      <c r="AC454" s="92">
        <f>IF(Input!$F$183&gt;=$K454,Input!S217,0)</f>
        <v>0</v>
      </c>
      <c r="AD454" s="92">
        <f>IF(Input!$F$183&gt;=$K454,Input!T217,0)</f>
        <v>0</v>
      </c>
      <c r="AE454" s="92">
        <f>IF(Input!$F$183&gt;=$K454,Input!U217,0)</f>
        <v>0</v>
      </c>
      <c r="AF454" s="92">
        <f>IF(Input!$F$183&gt;=$K454,Input!V217,0)</f>
        <v>0</v>
      </c>
      <c r="AG454" s="92">
        <f>IF(Input!$F$183&gt;=$K454,Input!W217,0)</f>
        <v>0</v>
      </c>
      <c r="AH454" s="92">
        <f>IF(Input!$F$183&gt;=$K454,Input!X217,0)</f>
        <v>0</v>
      </c>
      <c r="AI454" s="92">
        <f>IF(Input!$F$183&gt;=$K454,Input!Y217,0)</f>
        <v>0</v>
      </c>
      <c r="AJ454" s="92">
        <f>IF(Input!$F$183&gt;=$K454,Input!Z217,0)</f>
        <v>0</v>
      </c>
      <c r="AK454" s="92">
        <f>IF(Input!$F$183&gt;=$K454,Input!AA217,0)</f>
        <v>0</v>
      </c>
      <c r="AL454" s="92">
        <f>IF(Input!$F$183&gt;=$K454,Input!AB217,0)</f>
        <v>0</v>
      </c>
      <c r="AM454" s="92">
        <f>IF(Input!$F$183&gt;=$K454,Input!AC217,0)</f>
        <v>0</v>
      </c>
      <c r="AN454" s="92">
        <f>IF(Input!$F$183&gt;=$K454,Input!AD217,0)</f>
        <v>0</v>
      </c>
      <c r="AO454" s="92">
        <f>IF(Input!$F$183&gt;=$K454,Input!AE217,0)</f>
        <v>0</v>
      </c>
      <c r="AP454" s="92">
        <f>IF(Input!$F$183&gt;=$K454,Input!AF217,0)</f>
        <v>0</v>
      </c>
      <c r="AQ454" s="92">
        <f>IF(Input!$F$183&gt;=$K454,Input!AG217,0)</f>
        <v>0</v>
      </c>
      <c r="AR454" s="92">
        <f>IF(Input!$F$183&gt;=$K454,Input!AH217,0)</f>
        <v>0</v>
      </c>
      <c r="AS454" s="92">
        <f>IF(Input!$F$183&gt;=$K454,Input!AI217,0)</f>
        <v>0</v>
      </c>
      <c r="AT454" s="92">
        <f>IF(Input!$F$183&gt;=$K454,Input!AJ217,0)</f>
        <v>0</v>
      </c>
      <c r="AU454" s="92">
        <f>IF(Input!$F$183&gt;=$K454,Input!AK217,0)</f>
        <v>0</v>
      </c>
      <c r="AV454" s="92">
        <f>IF(Input!$F$183&gt;=$K454,Input!AL217,0)</f>
        <v>0</v>
      </c>
      <c r="AW454" s="92">
        <f>IF(Input!$F$183&gt;=$K454,Input!AM217,0)</f>
        <v>0</v>
      </c>
      <c r="AX454" s="92">
        <f>IF(Input!$F$183&gt;=$K454,Input!AN217,0)</f>
        <v>0</v>
      </c>
      <c r="AY454" s="92">
        <f>IF(Input!$F$183&gt;=$K454,Input!AO217,0)</f>
        <v>0</v>
      </c>
      <c r="AZ454" s="92">
        <f>IF(Input!$F$183&gt;=$K454,Input!AP217,0)</f>
        <v>0</v>
      </c>
      <c r="BA454" s="92">
        <f>IF(Input!$F$183&gt;=$K454,Input!AQ217,0)</f>
        <v>0</v>
      </c>
      <c r="BB454" s="92">
        <f>IF(Input!$F$183&gt;=$K454,Input!AR217,0)</f>
        <v>0</v>
      </c>
      <c r="BC454" s="92">
        <f>IF(Input!$F$183&gt;=$K454,Input!AS217,0)</f>
        <v>0</v>
      </c>
      <c r="BD454" s="92">
        <f>IF(Input!$F$183&gt;=$K454,Input!AT217,0)</f>
        <v>0</v>
      </c>
      <c r="BE454" s="92">
        <f>IF(Input!$F$183&gt;=$K454,Input!AU217,0)</f>
        <v>0</v>
      </c>
      <c r="BF454" s="92">
        <f>IF(Input!$F$183&gt;=$K454,Input!AV217,0)</f>
        <v>0</v>
      </c>
      <c r="BG454" s="92">
        <f>IF(Input!$F$183&gt;=$K454,Input!AW217,0)</f>
        <v>0</v>
      </c>
      <c r="BH454" s="92">
        <f>IF(Input!$F$183&gt;=$K454,Input!AX217,0)</f>
        <v>0</v>
      </c>
      <c r="BI454" s="92">
        <f>IF(Input!$F$183&gt;=$K454,Input!AY217,0)</f>
        <v>0</v>
      </c>
      <c r="BJ454" s="92">
        <f>IF(Input!$F$183&gt;=$K454,Input!AZ217,0)</f>
        <v>0</v>
      </c>
      <c r="BK454" s="92">
        <f>IF(Input!$F$183&gt;=$K454,Input!BA217,0)</f>
        <v>0</v>
      </c>
      <c r="BL454" s="92">
        <f>IF(Input!$F$183&gt;=$K454,Input!BB217,0)</f>
        <v>0</v>
      </c>
      <c r="BM454" s="92">
        <f>IF(Input!$F$183&gt;=$K454,Input!BC217,0)</f>
        <v>0</v>
      </c>
      <c r="BN454" s="92">
        <f>IF(Input!$F$183&gt;=$K454,Input!BD217,0)</f>
        <v>0</v>
      </c>
      <c r="BO454" s="92">
        <f>IF(Input!$F$183&gt;=$K454,Input!BE217,0)</f>
        <v>0</v>
      </c>
      <c r="BP454" s="92">
        <f>IF(Input!$F$183&gt;=$K454,Input!BF217,0)</f>
        <v>0</v>
      </c>
      <c r="BQ454" s="92">
        <f>IF(Input!$F$183&gt;=$K454,Input!BG217,0)</f>
        <v>0</v>
      </c>
      <c r="BR454" s="92">
        <f>IF(Input!$F$183&gt;=$K454,Input!BH217,0)</f>
        <v>0</v>
      </c>
      <c r="BS454" s="92">
        <f>IF(Input!$F$183&gt;=$K454,Input!BI217,0)</f>
        <v>0</v>
      </c>
      <c r="BT454" s="92">
        <f>IF(Input!$F$183&gt;=$K454,Input!BJ217,0)</f>
        <v>0</v>
      </c>
      <c r="BU454" s="92">
        <f>IF(Input!$F$183&gt;=$K454,Input!BK217,0)</f>
        <v>0</v>
      </c>
      <c r="BV454" s="92">
        <f>IF(Input!$F$183&gt;=$K454,Input!BL217,0)</f>
        <v>0</v>
      </c>
      <c r="BW454" s="92">
        <f>IF(Input!$F$183&gt;=$K454,Input!BM217,0)</f>
        <v>0</v>
      </c>
      <c r="BX454" s="92">
        <f>IF(Input!$F$183&gt;=$K454,Input!BN217,0)</f>
        <v>0</v>
      </c>
      <c r="BY454" s="92">
        <f>IF(Input!$F$183&gt;=$K454,Input!BO217,0)</f>
        <v>0</v>
      </c>
      <c r="BZ454" s="92">
        <f>IF(Input!$F$183&gt;=$K454,Input!BP217,0)</f>
        <v>0</v>
      </c>
      <c r="CA454" s="92">
        <f>IF(Input!$F$183&gt;=$K454,Input!BQ217,0)</f>
        <v>0</v>
      </c>
      <c r="CB454" s="92">
        <f>IF(Input!$F$183&gt;=$K454,Input!BR217,0)</f>
        <v>0</v>
      </c>
      <c r="CC454" s="92">
        <f>IF(Input!$F$183&gt;=$K454,Input!BS217,0)</f>
        <v>0</v>
      </c>
      <c r="CD454" s="275">
        <f>IF(Input!$F$183&gt;=$K454,Input!BT217,0)</f>
        <v>0</v>
      </c>
      <c r="CE454" s="69">
        <f t="shared" si="285"/>
        <v>0</v>
      </c>
      <c r="CF454" s="1136">
        <f t="shared" si="286"/>
        <v>0</v>
      </c>
      <c r="CG454" s="1136">
        <f t="shared" si="287"/>
        <v>0</v>
      </c>
      <c r="CH454" s="1136">
        <f t="shared" si="288"/>
        <v>0</v>
      </c>
      <c r="CI454" s="1136">
        <f t="shared" si="289"/>
        <v>0</v>
      </c>
      <c r="CJ454" s="1136">
        <f t="shared" si="290"/>
        <v>0</v>
      </c>
      <c r="CK454" s="1136">
        <f t="shared" si="291"/>
        <v>0</v>
      </c>
      <c r="CL454" s="1136">
        <f t="shared" si="292"/>
        <v>0</v>
      </c>
      <c r="CM454" s="1136">
        <f t="shared" si="293"/>
        <v>0</v>
      </c>
      <c r="CN454" s="1136">
        <f t="shared" si="294"/>
        <v>0</v>
      </c>
      <c r="CO454" s="1136">
        <f t="shared" si="295"/>
        <v>0</v>
      </c>
      <c r="CP454" s="1136">
        <f t="shared" si="296"/>
        <v>0</v>
      </c>
      <c r="CQ454" s="1136">
        <f t="shared" si="297"/>
        <v>0</v>
      </c>
      <c r="CR454" s="1136">
        <f t="shared" si="298"/>
        <v>0</v>
      </c>
      <c r="CS454" s="1136">
        <f t="shared" si="299"/>
        <v>0</v>
      </c>
      <c r="CT454" s="1136">
        <f t="shared" si="300"/>
        <v>0</v>
      </c>
      <c r="CU454" s="1136">
        <f t="shared" si="301"/>
        <v>0</v>
      </c>
      <c r="CV454" s="1136">
        <f t="shared" si="302"/>
        <v>0</v>
      </c>
      <c r="CW454" s="1136">
        <f t="shared" si="303"/>
        <v>0</v>
      </c>
      <c r="CX454" s="1136">
        <f t="shared" si="304"/>
        <v>0</v>
      </c>
      <c r="CY454" s="1136">
        <f t="shared" si="305"/>
        <v>0</v>
      </c>
      <c r="CZ454" s="1136">
        <f t="shared" si="306"/>
        <v>0</v>
      </c>
      <c r="DA454" s="1136">
        <f t="shared" si="307"/>
        <v>0</v>
      </c>
      <c r="DB454" s="1136">
        <f t="shared" si="308"/>
        <v>0</v>
      </c>
      <c r="DC454" s="1136">
        <f t="shared" si="309"/>
        <v>0</v>
      </c>
      <c r="DD454" s="1136">
        <f t="shared" si="310"/>
        <v>0</v>
      </c>
      <c r="DE454" s="1136">
        <f t="shared" si="311"/>
        <v>0</v>
      </c>
      <c r="DF454" s="1136">
        <f t="shared" si="312"/>
        <v>0</v>
      </c>
      <c r="DG454" s="1136">
        <f t="shared" si="313"/>
        <v>0</v>
      </c>
      <c r="DH454" s="1136">
        <f t="shared" si="314"/>
        <v>0</v>
      </c>
      <c r="DI454" s="1136">
        <f t="shared" si="315"/>
        <v>0</v>
      </c>
      <c r="DJ454" s="1136">
        <f t="shared" si="316"/>
        <v>0</v>
      </c>
      <c r="DK454" s="1136">
        <f t="shared" si="317"/>
        <v>0</v>
      </c>
      <c r="DL454" s="1136">
        <f t="shared" si="318"/>
        <v>0</v>
      </c>
      <c r="DM454" s="1136">
        <f t="shared" si="319"/>
        <v>0</v>
      </c>
      <c r="DN454" s="1136">
        <f t="shared" si="320"/>
        <v>0</v>
      </c>
      <c r="DO454" s="1136">
        <f t="shared" si="321"/>
        <v>0</v>
      </c>
      <c r="DP454" s="1136">
        <f t="shared" si="322"/>
        <v>0</v>
      </c>
      <c r="DQ454" s="1136">
        <f t="shared" si="323"/>
        <v>0</v>
      </c>
      <c r="DR454" s="1136">
        <f t="shared" si="324"/>
        <v>0</v>
      </c>
      <c r="DS454" s="1136">
        <f t="shared" si="325"/>
        <v>0</v>
      </c>
      <c r="DT454" s="1136">
        <f t="shared" si="326"/>
        <v>0</v>
      </c>
      <c r="DU454" s="1136">
        <f t="shared" si="327"/>
        <v>0</v>
      </c>
      <c r="DV454" s="1136">
        <f t="shared" si="328"/>
        <v>0</v>
      </c>
      <c r="DW454" s="1136">
        <f t="shared" si="329"/>
        <v>0</v>
      </c>
      <c r="DX454" s="1136">
        <f t="shared" si="330"/>
        <v>0</v>
      </c>
      <c r="DY454" s="1136">
        <f t="shared" si="331"/>
        <v>0</v>
      </c>
      <c r="DZ454" s="1136">
        <f t="shared" si="332"/>
        <v>0</v>
      </c>
      <c r="EA454" s="1136">
        <f t="shared" si="333"/>
        <v>0</v>
      </c>
      <c r="EB454" s="1136">
        <f t="shared" si="334"/>
        <v>0</v>
      </c>
      <c r="EC454" s="1136">
        <f t="shared" si="335"/>
        <v>0</v>
      </c>
      <c r="ED454" s="1136">
        <f t="shared" si="336"/>
        <v>0</v>
      </c>
      <c r="EE454" s="1136">
        <f t="shared" si="337"/>
        <v>0</v>
      </c>
      <c r="EF454" s="1136">
        <f t="shared" si="338"/>
        <v>0</v>
      </c>
      <c r="EG454" s="1136">
        <f t="shared" si="339"/>
        <v>0</v>
      </c>
      <c r="EH454" s="1136">
        <f t="shared" si="340"/>
        <v>0</v>
      </c>
      <c r="EI454" s="1136">
        <f t="shared" si="341"/>
        <v>0</v>
      </c>
      <c r="EJ454" s="1136">
        <f t="shared" si="342"/>
        <v>0</v>
      </c>
      <c r="EK454" s="1136">
        <f t="shared" si="343"/>
        <v>0</v>
      </c>
      <c r="EL454" s="1136">
        <f t="shared" si="344"/>
        <v>0</v>
      </c>
      <c r="EM454" s="1136">
        <f t="shared" si="345"/>
        <v>0</v>
      </c>
    </row>
    <row r="455" spans="11:143" ht="12" customHeight="1" x14ac:dyDescent="0.35">
      <c r="K455" s="13">
        <v>35</v>
      </c>
      <c r="L455" s="87">
        <f>Input!D218</f>
        <v>0</v>
      </c>
      <c r="M455" s="88">
        <f>IF(Input!$F$183&gt;=$K455,Input!G218,0)</f>
        <v>0</v>
      </c>
      <c r="N455" s="197">
        <f>Input!H218</f>
        <v>0</v>
      </c>
      <c r="O455" s="197">
        <f>Input!I218</f>
        <v>0</v>
      </c>
      <c r="P455" s="90">
        <f>Input!J218</f>
        <v>0</v>
      </c>
      <c r="Q455" s="13">
        <v>35</v>
      </c>
      <c r="R455" s="207">
        <f t="shared" si="283"/>
        <v>0</v>
      </c>
      <c r="S455" s="207">
        <f t="shared" si="284"/>
        <v>0</v>
      </c>
      <c r="T455" s="40">
        <f>IFERROR(VLOOKUP(R455,Infrastructure!$D$70:$F$129,3,FALSE),0)</f>
        <v>1</v>
      </c>
      <c r="U455" s="40">
        <f>IFERROR(VLOOKUP(S455,Infrastructure!$D$70:$F$129,3,FALSE),0)</f>
        <v>1</v>
      </c>
      <c r="V455" s="13"/>
      <c r="W455" s="91">
        <f>IF(Input!$F$183&gt;=$K455,Input!M218,0)</f>
        <v>0</v>
      </c>
      <c r="X455" s="92">
        <f>IF(Input!$F$183&gt;=$K455,Input!N218,0)</f>
        <v>0</v>
      </c>
      <c r="Y455" s="92">
        <f>IF(Input!$F$183&gt;=$K455,Input!O218,0)</f>
        <v>0</v>
      </c>
      <c r="Z455" s="92">
        <f>IF(Input!$F$183&gt;=$K455,Input!P218,0)</f>
        <v>0</v>
      </c>
      <c r="AA455" s="92">
        <f>IF(Input!$F$183&gt;=$K455,Input!Q218,0)</f>
        <v>0</v>
      </c>
      <c r="AB455" s="92">
        <f>IF(Input!$F$183&gt;=$K455,Input!R218,0)</f>
        <v>0</v>
      </c>
      <c r="AC455" s="92">
        <f>IF(Input!$F$183&gt;=$K455,Input!S218,0)</f>
        <v>0</v>
      </c>
      <c r="AD455" s="92">
        <f>IF(Input!$F$183&gt;=$K455,Input!T218,0)</f>
        <v>0</v>
      </c>
      <c r="AE455" s="92">
        <f>IF(Input!$F$183&gt;=$K455,Input!U218,0)</f>
        <v>0</v>
      </c>
      <c r="AF455" s="92">
        <f>IF(Input!$F$183&gt;=$K455,Input!V218,0)</f>
        <v>0</v>
      </c>
      <c r="AG455" s="92">
        <f>IF(Input!$F$183&gt;=$K455,Input!W218,0)</f>
        <v>0</v>
      </c>
      <c r="AH455" s="92">
        <f>IF(Input!$F$183&gt;=$K455,Input!X218,0)</f>
        <v>0</v>
      </c>
      <c r="AI455" s="92">
        <f>IF(Input!$F$183&gt;=$K455,Input!Y218,0)</f>
        <v>0</v>
      </c>
      <c r="AJ455" s="92">
        <f>IF(Input!$F$183&gt;=$K455,Input!Z218,0)</f>
        <v>0</v>
      </c>
      <c r="AK455" s="92">
        <f>IF(Input!$F$183&gt;=$K455,Input!AA218,0)</f>
        <v>0</v>
      </c>
      <c r="AL455" s="92">
        <f>IF(Input!$F$183&gt;=$K455,Input!AB218,0)</f>
        <v>0</v>
      </c>
      <c r="AM455" s="92">
        <f>IF(Input!$F$183&gt;=$K455,Input!AC218,0)</f>
        <v>0</v>
      </c>
      <c r="AN455" s="92">
        <f>IF(Input!$F$183&gt;=$K455,Input!AD218,0)</f>
        <v>0</v>
      </c>
      <c r="AO455" s="92">
        <f>IF(Input!$F$183&gt;=$K455,Input!AE218,0)</f>
        <v>0</v>
      </c>
      <c r="AP455" s="92">
        <f>IF(Input!$F$183&gt;=$K455,Input!AF218,0)</f>
        <v>0</v>
      </c>
      <c r="AQ455" s="92">
        <f>IF(Input!$F$183&gt;=$K455,Input!AG218,0)</f>
        <v>0</v>
      </c>
      <c r="AR455" s="92">
        <f>IF(Input!$F$183&gt;=$K455,Input!AH218,0)</f>
        <v>0</v>
      </c>
      <c r="AS455" s="92">
        <f>IF(Input!$F$183&gt;=$K455,Input!AI218,0)</f>
        <v>0</v>
      </c>
      <c r="AT455" s="92">
        <f>IF(Input!$F$183&gt;=$K455,Input!AJ218,0)</f>
        <v>0</v>
      </c>
      <c r="AU455" s="92">
        <f>IF(Input!$F$183&gt;=$K455,Input!AK218,0)</f>
        <v>0</v>
      </c>
      <c r="AV455" s="92">
        <f>IF(Input!$F$183&gt;=$K455,Input!AL218,0)</f>
        <v>0</v>
      </c>
      <c r="AW455" s="92">
        <f>IF(Input!$F$183&gt;=$K455,Input!AM218,0)</f>
        <v>0</v>
      </c>
      <c r="AX455" s="92">
        <f>IF(Input!$F$183&gt;=$K455,Input!AN218,0)</f>
        <v>0</v>
      </c>
      <c r="AY455" s="92">
        <f>IF(Input!$F$183&gt;=$K455,Input!AO218,0)</f>
        <v>0</v>
      </c>
      <c r="AZ455" s="92">
        <f>IF(Input!$F$183&gt;=$K455,Input!AP218,0)</f>
        <v>0</v>
      </c>
      <c r="BA455" s="92">
        <f>IF(Input!$F$183&gt;=$K455,Input!AQ218,0)</f>
        <v>0</v>
      </c>
      <c r="BB455" s="92">
        <f>IF(Input!$F$183&gt;=$K455,Input!AR218,0)</f>
        <v>0</v>
      </c>
      <c r="BC455" s="92">
        <f>IF(Input!$F$183&gt;=$K455,Input!AS218,0)</f>
        <v>0</v>
      </c>
      <c r="BD455" s="92">
        <f>IF(Input!$F$183&gt;=$K455,Input!AT218,0)</f>
        <v>0</v>
      </c>
      <c r="BE455" s="92">
        <f>IF(Input!$F$183&gt;=$K455,Input!AU218,0)</f>
        <v>0</v>
      </c>
      <c r="BF455" s="92">
        <f>IF(Input!$F$183&gt;=$K455,Input!AV218,0)</f>
        <v>0</v>
      </c>
      <c r="BG455" s="92">
        <f>IF(Input!$F$183&gt;=$K455,Input!AW218,0)</f>
        <v>0</v>
      </c>
      <c r="BH455" s="92">
        <f>IF(Input!$F$183&gt;=$K455,Input!AX218,0)</f>
        <v>0</v>
      </c>
      <c r="BI455" s="92">
        <f>IF(Input!$F$183&gt;=$K455,Input!AY218,0)</f>
        <v>0</v>
      </c>
      <c r="BJ455" s="92">
        <f>IF(Input!$F$183&gt;=$K455,Input!AZ218,0)</f>
        <v>0</v>
      </c>
      <c r="BK455" s="92">
        <f>IF(Input!$F$183&gt;=$K455,Input!BA218,0)</f>
        <v>0</v>
      </c>
      <c r="BL455" s="92">
        <f>IF(Input!$F$183&gt;=$K455,Input!BB218,0)</f>
        <v>0</v>
      </c>
      <c r="BM455" s="92">
        <f>IF(Input!$F$183&gt;=$K455,Input!BC218,0)</f>
        <v>0</v>
      </c>
      <c r="BN455" s="92">
        <f>IF(Input!$F$183&gt;=$K455,Input!BD218,0)</f>
        <v>0</v>
      </c>
      <c r="BO455" s="92">
        <f>IF(Input!$F$183&gt;=$K455,Input!BE218,0)</f>
        <v>0</v>
      </c>
      <c r="BP455" s="92">
        <f>IF(Input!$F$183&gt;=$K455,Input!BF218,0)</f>
        <v>0</v>
      </c>
      <c r="BQ455" s="92">
        <f>IF(Input!$F$183&gt;=$K455,Input!BG218,0)</f>
        <v>0</v>
      </c>
      <c r="BR455" s="92">
        <f>IF(Input!$F$183&gt;=$K455,Input!BH218,0)</f>
        <v>0</v>
      </c>
      <c r="BS455" s="92">
        <f>IF(Input!$F$183&gt;=$K455,Input!BI218,0)</f>
        <v>0</v>
      </c>
      <c r="BT455" s="92">
        <f>IF(Input!$F$183&gt;=$K455,Input!BJ218,0)</f>
        <v>0</v>
      </c>
      <c r="BU455" s="92">
        <f>IF(Input!$F$183&gt;=$K455,Input!BK218,0)</f>
        <v>0</v>
      </c>
      <c r="BV455" s="92">
        <f>IF(Input!$F$183&gt;=$K455,Input!BL218,0)</f>
        <v>0</v>
      </c>
      <c r="BW455" s="92">
        <f>IF(Input!$F$183&gt;=$K455,Input!BM218,0)</f>
        <v>0</v>
      </c>
      <c r="BX455" s="92">
        <f>IF(Input!$F$183&gt;=$K455,Input!BN218,0)</f>
        <v>0</v>
      </c>
      <c r="BY455" s="92">
        <f>IF(Input!$F$183&gt;=$K455,Input!BO218,0)</f>
        <v>0</v>
      </c>
      <c r="BZ455" s="92">
        <f>IF(Input!$F$183&gt;=$K455,Input!BP218,0)</f>
        <v>0</v>
      </c>
      <c r="CA455" s="92">
        <f>IF(Input!$F$183&gt;=$K455,Input!BQ218,0)</f>
        <v>0</v>
      </c>
      <c r="CB455" s="92">
        <f>IF(Input!$F$183&gt;=$K455,Input!BR218,0)</f>
        <v>0</v>
      </c>
      <c r="CC455" s="92">
        <f>IF(Input!$F$183&gt;=$K455,Input!BS218,0)</f>
        <v>0</v>
      </c>
      <c r="CD455" s="275">
        <f>IF(Input!$F$183&gt;=$K455,Input!BT218,0)</f>
        <v>0</v>
      </c>
      <c r="CE455" s="69">
        <f t="shared" si="285"/>
        <v>0</v>
      </c>
      <c r="CF455" s="1136">
        <f t="shared" si="286"/>
        <v>0</v>
      </c>
      <c r="CG455" s="1136">
        <f t="shared" si="287"/>
        <v>0</v>
      </c>
      <c r="CH455" s="1136">
        <f t="shared" si="288"/>
        <v>0</v>
      </c>
      <c r="CI455" s="1136">
        <f t="shared" si="289"/>
        <v>0</v>
      </c>
      <c r="CJ455" s="1136">
        <f t="shared" si="290"/>
        <v>0</v>
      </c>
      <c r="CK455" s="1136">
        <f t="shared" si="291"/>
        <v>0</v>
      </c>
      <c r="CL455" s="1136">
        <f t="shared" si="292"/>
        <v>0</v>
      </c>
      <c r="CM455" s="1136">
        <f t="shared" si="293"/>
        <v>0</v>
      </c>
      <c r="CN455" s="1136">
        <f t="shared" si="294"/>
        <v>0</v>
      </c>
      <c r="CO455" s="1136">
        <f t="shared" si="295"/>
        <v>0</v>
      </c>
      <c r="CP455" s="1136">
        <f t="shared" si="296"/>
        <v>0</v>
      </c>
      <c r="CQ455" s="1136">
        <f t="shared" si="297"/>
        <v>0</v>
      </c>
      <c r="CR455" s="1136">
        <f t="shared" si="298"/>
        <v>0</v>
      </c>
      <c r="CS455" s="1136">
        <f t="shared" si="299"/>
        <v>0</v>
      </c>
      <c r="CT455" s="1136">
        <f t="shared" si="300"/>
        <v>0</v>
      </c>
      <c r="CU455" s="1136">
        <f t="shared" si="301"/>
        <v>0</v>
      </c>
      <c r="CV455" s="1136">
        <f t="shared" si="302"/>
        <v>0</v>
      </c>
      <c r="CW455" s="1136">
        <f t="shared" si="303"/>
        <v>0</v>
      </c>
      <c r="CX455" s="1136">
        <f t="shared" si="304"/>
        <v>0</v>
      </c>
      <c r="CY455" s="1136">
        <f t="shared" si="305"/>
        <v>0</v>
      </c>
      <c r="CZ455" s="1136">
        <f t="shared" si="306"/>
        <v>0</v>
      </c>
      <c r="DA455" s="1136">
        <f t="shared" si="307"/>
        <v>0</v>
      </c>
      <c r="DB455" s="1136">
        <f t="shared" si="308"/>
        <v>0</v>
      </c>
      <c r="DC455" s="1136">
        <f t="shared" si="309"/>
        <v>0</v>
      </c>
      <c r="DD455" s="1136">
        <f t="shared" si="310"/>
        <v>0</v>
      </c>
      <c r="DE455" s="1136">
        <f t="shared" si="311"/>
        <v>0</v>
      </c>
      <c r="DF455" s="1136">
        <f t="shared" si="312"/>
        <v>0</v>
      </c>
      <c r="DG455" s="1136">
        <f t="shared" si="313"/>
        <v>0</v>
      </c>
      <c r="DH455" s="1136">
        <f t="shared" si="314"/>
        <v>0</v>
      </c>
      <c r="DI455" s="1136">
        <f t="shared" si="315"/>
        <v>0</v>
      </c>
      <c r="DJ455" s="1136">
        <f t="shared" si="316"/>
        <v>0</v>
      </c>
      <c r="DK455" s="1136">
        <f t="shared" si="317"/>
        <v>0</v>
      </c>
      <c r="DL455" s="1136">
        <f t="shared" si="318"/>
        <v>0</v>
      </c>
      <c r="DM455" s="1136">
        <f t="shared" si="319"/>
        <v>0</v>
      </c>
      <c r="DN455" s="1136">
        <f t="shared" si="320"/>
        <v>0</v>
      </c>
      <c r="DO455" s="1136">
        <f t="shared" si="321"/>
        <v>0</v>
      </c>
      <c r="DP455" s="1136">
        <f t="shared" si="322"/>
        <v>0</v>
      </c>
      <c r="DQ455" s="1136">
        <f t="shared" si="323"/>
        <v>0</v>
      </c>
      <c r="DR455" s="1136">
        <f t="shared" si="324"/>
        <v>0</v>
      </c>
      <c r="DS455" s="1136">
        <f t="shared" si="325"/>
        <v>0</v>
      </c>
      <c r="DT455" s="1136">
        <f t="shared" si="326"/>
        <v>0</v>
      </c>
      <c r="DU455" s="1136">
        <f t="shared" si="327"/>
        <v>0</v>
      </c>
      <c r="DV455" s="1136">
        <f t="shared" si="328"/>
        <v>0</v>
      </c>
      <c r="DW455" s="1136">
        <f t="shared" si="329"/>
        <v>0</v>
      </c>
      <c r="DX455" s="1136">
        <f t="shared" si="330"/>
        <v>0</v>
      </c>
      <c r="DY455" s="1136">
        <f t="shared" si="331"/>
        <v>0</v>
      </c>
      <c r="DZ455" s="1136">
        <f t="shared" si="332"/>
        <v>0</v>
      </c>
      <c r="EA455" s="1136">
        <f t="shared" si="333"/>
        <v>0</v>
      </c>
      <c r="EB455" s="1136">
        <f t="shared" si="334"/>
        <v>0</v>
      </c>
      <c r="EC455" s="1136">
        <f t="shared" si="335"/>
        <v>0</v>
      </c>
      <c r="ED455" s="1136">
        <f t="shared" si="336"/>
        <v>0</v>
      </c>
      <c r="EE455" s="1136">
        <f t="shared" si="337"/>
        <v>0</v>
      </c>
      <c r="EF455" s="1136">
        <f t="shared" si="338"/>
        <v>0</v>
      </c>
      <c r="EG455" s="1136">
        <f t="shared" si="339"/>
        <v>0</v>
      </c>
      <c r="EH455" s="1136">
        <f t="shared" si="340"/>
        <v>0</v>
      </c>
      <c r="EI455" s="1136">
        <f t="shared" si="341"/>
        <v>0</v>
      </c>
      <c r="EJ455" s="1136">
        <f t="shared" si="342"/>
        <v>0</v>
      </c>
      <c r="EK455" s="1136">
        <f t="shared" si="343"/>
        <v>0</v>
      </c>
      <c r="EL455" s="1136">
        <f t="shared" si="344"/>
        <v>0</v>
      </c>
      <c r="EM455" s="1136">
        <f t="shared" si="345"/>
        <v>0</v>
      </c>
    </row>
    <row r="456" spans="11:143" ht="12" customHeight="1" x14ac:dyDescent="0.35">
      <c r="K456" s="13">
        <v>36</v>
      </c>
      <c r="L456" s="87">
        <f>Input!D219</f>
        <v>0</v>
      </c>
      <c r="M456" s="88">
        <f>IF(Input!$F$183&gt;=$K456,Input!G219,0)</f>
        <v>0</v>
      </c>
      <c r="N456" s="197">
        <f>Input!H219</f>
        <v>0</v>
      </c>
      <c r="O456" s="197">
        <f>Input!I219</f>
        <v>0</v>
      </c>
      <c r="P456" s="90">
        <f>Input!J219</f>
        <v>0</v>
      </c>
      <c r="Q456" s="13">
        <v>36</v>
      </c>
      <c r="R456" s="207">
        <f t="shared" si="283"/>
        <v>0</v>
      </c>
      <c r="S456" s="207">
        <f t="shared" si="284"/>
        <v>0</v>
      </c>
      <c r="T456" s="40">
        <f>IFERROR(VLOOKUP(R456,Infrastructure!$D$70:$F$129,3,FALSE),0)</f>
        <v>1</v>
      </c>
      <c r="U456" s="40">
        <f>IFERROR(VLOOKUP(S456,Infrastructure!$D$70:$F$129,3,FALSE),0)</f>
        <v>1</v>
      </c>
      <c r="V456" s="13"/>
      <c r="W456" s="91">
        <f>IF(Input!$F$183&gt;=$K456,Input!M219,0)</f>
        <v>0</v>
      </c>
      <c r="X456" s="92">
        <f>IF(Input!$F$183&gt;=$K456,Input!N219,0)</f>
        <v>0</v>
      </c>
      <c r="Y456" s="92">
        <f>IF(Input!$F$183&gt;=$K456,Input!O219,0)</f>
        <v>0</v>
      </c>
      <c r="Z456" s="92">
        <f>IF(Input!$F$183&gt;=$K456,Input!P219,0)</f>
        <v>0</v>
      </c>
      <c r="AA456" s="92">
        <f>IF(Input!$F$183&gt;=$K456,Input!Q219,0)</f>
        <v>0</v>
      </c>
      <c r="AB456" s="92">
        <f>IF(Input!$F$183&gt;=$K456,Input!R219,0)</f>
        <v>0</v>
      </c>
      <c r="AC456" s="92">
        <f>IF(Input!$F$183&gt;=$K456,Input!S219,0)</f>
        <v>0</v>
      </c>
      <c r="AD456" s="92">
        <f>IF(Input!$F$183&gt;=$K456,Input!T219,0)</f>
        <v>0</v>
      </c>
      <c r="AE456" s="92">
        <f>IF(Input!$F$183&gt;=$K456,Input!U219,0)</f>
        <v>0</v>
      </c>
      <c r="AF456" s="92">
        <f>IF(Input!$F$183&gt;=$K456,Input!V219,0)</f>
        <v>0</v>
      </c>
      <c r="AG456" s="92">
        <f>IF(Input!$F$183&gt;=$K456,Input!W219,0)</f>
        <v>0</v>
      </c>
      <c r="AH456" s="92">
        <f>IF(Input!$F$183&gt;=$K456,Input!X219,0)</f>
        <v>0</v>
      </c>
      <c r="AI456" s="92">
        <f>IF(Input!$F$183&gt;=$K456,Input!Y219,0)</f>
        <v>0</v>
      </c>
      <c r="AJ456" s="92">
        <f>IF(Input!$F$183&gt;=$K456,Input!Z219,0)</f>
        <v>0</v>
      </c>
      <c r="AK456" s="92">
        <f>IF(Input!$F$183&gt;=$K456,Input!AA219,0)</f>
        <v>0</v>
      </c>
      <c r="AL456" s="92">
        <f>IF(Input!$F$183&gt;=$K456,Input!AB219,0)</f>
        <v>0</v>
      </c>
      <c r="AM456" s="92">
        <f>IF(Input!$F$183&gt;=$K456,Input!AC219,0)</f>
        <v>0</v>
      </c>
      <c r="AN456" s="92">
        <f>IF(Input!$F$183&gt;=$K456,Input!AD219,0)</f>
        <v>0</v>
      </c>
      <c r="AO456" s="92">
        <f>IF(Input!$F$183&gt;=$K456,Input!AE219,0)</f>
        <v>0</v>
      </c>
      <c r="AP456" s="92">
        <f>IF(Input!$F$183&gt;=$K456,Input!AF219,0)</f>
        <v>0</v>
      </c>
      <c r="AQ456" s="92">
        <f>IF(Input!$F$183&gt;=$K456,Input!AG219,0)</f>
        <v>0</v>
      </c>
      <c r="AR456" s="92">
        <f>IF(Input!$F$183&gt;=$K456,Input!AH219,0)</f>
        <v>0</v>
      </c>
      <c r="AS456" s="92">
        <f>IF(Input!$F$183&gt;=$K456,Input!AI219,0)</f>
        <v>0</v>
      </c>
      <c r="AT456" s="92">
        <f>IF(Input!$F$183&gt;=$K456,Input!AJ219,0)</f>
        <v>0</v>
      </c>
      <c r="AU456" s="92">
        <f>IF(Input!$F$183&gt;=$K456,Input!AK219,0)</f>
        <v>0</v>
      </c>
      <c r="AV456" s="92">
        <f>IF(Input!$F$183&gt;=$K456,Input!AL219,0)</f>
        <v>0</v>
      </c>
      <c r="AW456" s="92">
        <f>IF(Input!$F$183&gt;=$K456,Input!AM219,0)</f>
        <v>0</v>
      </c>
      <c r="AX456" s="92">
        <f>IF(Input!$F$183&gt;=$K456,Input!AN219,0)</f>
        <v>0</v>
      </c>
      <c r="AY456" s="92">
        <f>IF(Input!$F$183&gt;=$K456,Input!AO219,0)</f>
        <v>0</v>
      </c>
      <c r="AZ456" s="92">
        <f>IF(Input!$F$183&gt;=$K456,Input!AP219,0)</f>
        <v>0</v>
      </c>
      <c r="BA456" s="92">
        <f>IF(Input!$F$183&gt;=$K456,Input!AQ219,0)</f>
        <v>0</v>
      </c>
      <c r="BB456" s="92">
        <f>IF(Input!$F$183&gt;=$K456,Input!AR219,0)</f>
        <v>0</v>
      </c>
      <c r="BC456" s="92">
        <f>IF(Input!$F$183&gt;=$K456,Input!AS219,0)</f>
        <v>0</v>
      </c>
      <c r="BD456" s="92">
        <f>IF(Input!$F$183&gt;=$K456,Input!AT219,0)</f>
        <v>0</v>
      </c>
      <c r="BE456" s="92">
        <f>IF(Input!$F$183&gt;=$K456,Input!AU219,0)</f>
        <v>0</v>
      </c>
      <c r="BF456" s="92">
        <f>IF(Input!$F$183&gt;=$K456,Input!AV219,0)</f>
        <v>0</v>
      </c>
      <c r="BG456" s="92">
        <f>IF(Input!$F$183&gt;=$K456,Input!AW219,0)</f>
        <v>0</v>
      </c>
      <c r="BH456" s="92">
        <f>IF(Input!$F$183&gt;=$K456,Input!AX219,0)</f>
        <v>0</v>
      </c>
      <c r="BI456" s="92">
        <f>IF(Input!$F$183&gt;=$K456,Input!AY219,0)</f>
        <v>0</v>
      </c>
      <c r="BJ456" s="92">
        <f>IF(Input!$F$183&gt;=$K456,Input!AZ219,0)</f>
        <v>0</v>
      </c>
      <c r="BK456" s="92">
        <f>IF(Input!$F$183&gt;=$K456,Input!BA219,0)</f>
        <v>0</v>
      </c>
      <c r="BL456" s="92">
        <f>IF(Input!$F$183&gt;=$K456,Input!BB219,0)</f>
        <v>0</v>
      </c>
      <c r="BM456" s="92">
        <f>IF(Input!$F$183&gt;=$K456,Input!BC219,0)</f>
        <v>0</v>
      </c>
      <c r="BN456" s="92">
        <f>IF(Input!$F$183&gt;=$K456,Input!BD219,0)</f>
        <v>0</v>
      </c>
      <c r="BO456" s="92">
        <f>IF(Input!$F$183&gt;=$K456,Input!BE219,0)</f>
        <v>0</v>
      </c>
      <c r="BP456" s="92">
        <f>IF(Input!$F$183&gt;=$K456,Input!BF219,0)</f>
        <v>0</v>
      </c>
      <c r="BQ456" s="92">
        <f>IF(Input!$F$183&gt;=$K456,Input!BG219,0)</f>
        <v>0</v>
      </c>
      <c r="BR456" s="92">
        <f>IF(Input!$F$183&gt;=$K456,Input!BH219,0)</f>
        <v>0</v>
      </c>
      <c r="BS456" s="92">
        <f>IF(Input!$F$183&gt;=$K456,Input!BI219,0)</f>
        <v>0</v>
      </c>
      <c r="BT456" s="92">
        <f>IF(Input!$F$183&gt;=$K456,Input!BJ219,0)</f>
        <v>0</v>
      </c>
      <c r="BU456" s="92">
        <f>IF(Input!$F$183&gt;=$K456,Input!BK219,0)</f>
        <v>0</v>
      </c>
      <c r="BV456" s="92">
        <f>IF(Input!$F$183&gt;=$K456,Input!BL219,0)</f>
        <v>0</v>
      </c>
      <c r="BW456" s="92">
        <f>IF(Input!$F$183&gt;=$K456,Input!BM219,0)</f>
        <v>0</v>
      </c>
      <c r="BX456" s="92">
        <f>IF(Input!$F$183&gt;=$K456,Input!BN219,0)</f>
        <v>0</v>
      </c>
      <c r="BY456" s="92">
        <f>IF(Input!$F$183&gt;=$K456,Input!BO219,0)</f>
        <v>0</v>
      </c>
      <c r="BZ456" s="92">
        <f>IF(Input!$F$183&gt;=$K456,Input!BP219,0)</f>
        <v>0</v>
      </c>
      <c r="CA456" s="92">
        <f>IF(Input!$F$183&gt;=$K456,Input!BQ219,0)</f>
        <v>0</v>
      </c>
      <c r="CB456" s="92">
        <f>IF(Input!$F$183&gt;=$K456,Input!BR219,0)</f>
        <v>0</v>
      </c>
      <c r="CC456" s="92">
        <f>IF(Input!$F$183&gt;=$K456,Input!BS219,0)</f>
        <v>0</v>
      </c>
      <c r="CD456" s="275">
        <f>IF(Input!$F$183&gt;=$K456,Input!BT219,0)</f>
        <v>0</v>
      </c>
      <c r="CE456" s="69">
        <f t="shared" si="285"/>
        <v>0</v>
      </c>
      <c r="CF456" s="1136">
        <f t="shared" si="286"/>
        <v>0</v>
      </c>
      <c r="CG456" s="1136">
        <f t="shared" si="287"/>
        <v>0</v>
      </c>
      <c r="CH456" s="1136">
        <f t="shared" si="288"/>
        <v>0</v>
      </c>
      <c r="CI456" s="1136">
        <f t="shared" si="289"/>
        <v>0</v>
      </c>
      <c r="CJ456" s="1136">
        <f t="shared" si="290"/>
        <v>0</v>
      </c>
      <c r="CK456" s="1136">
        <f t="shared" si="291"/>
        <v>0</v>
      </c>
      <c r="CL456" s="1136">
        <f t="shared" si="292"/>
        <v>0</v>
      </c>
      <c r="CM456" s="1136">
        <f t="shared" si="293"/>
        <v>0</v>
      </c>
      <c r="CN456" s="1136">
        <f t="shared" si="294"/>
        <v>0</v>
      </c>
      <c r="CO456" s="1136">
        <f t="shared" si="295"/>
        <v>0</v>
      </c>
      <c r="CP456" s="1136">
        <f t="shared" si="296"/>
        <v>0</v>
      </c>
      <c r="CQ456" s="1136">
        <f t="shared" si="297"/>
        <v>0</v>
      </c>
      <c r="CR456" s="1136">
        <f t="shared" si="298"/>
        <v>0</v>
      </c>
      <c r="CS456" s="1136">
        <f t="shared" si="299"/>
        <v>0</v>
      </c>
      <c r="CT456" s="1136">
        <f t="shared" si="300"/>
        <v>0</v>
      </c>
      <c r="CU456" s="1136">
        <f t="shared" si="301"/>
        <v>0</v>
      </c>
      <c r="CV456" s="1136">
        <f t="shared" si="302"/>
        <v>0</v>
      </c>
      <c r="CW456" s="1136">
        <f t="shared" si="303"/>
        <v>0</v>
      </c>
      <c r="CX456" s="1136">
        <f t="shared" si="304"/>
        <v>0</v>
      </c>
      <c r="CY456" s="1136">
        <f t="shared" si="305"/>
        <v>0</v>
      </c>
      <c r="CZ456" s="1136">
        <f t="shared" si="306"/>
        <v>0</v>
      </c>
      <c r="DA456" s="1136">
        <f t="shared" si="307"/>
        <v>0</v>
      </c>
      <c r="DB456" s="1136">
        <f t="shared" si="308"/>
        <v>0</v>
      </c>
      <c r="DC456" s="1136">
        <f t="shared" si="309"/>
        <v>0</v>
      </c>
      <c r="DD456" s="1136">
        <f t="shared" si="310"/>
        <v>0</v>
      </c>
      <c r="DE456" s="1136">
        <f t="shared" si="311"/>
        <v>0</v>
      </c>
      <c r="DF456" s="1136">
        <f t="shared" si="312"/>
        <v>0</v>
      </c>
      <c r="DG456" s="1136">
        <f t="shared" si="313"/>
        <v>0</v>
      </c>
      <c r="DH456" s="1136">
        <f t="shared" si="314"/>
        <v>0</v>
      </c>
      <c r="DI456" s="1136">
        <f t="shared" si="315"/>
        <v>0</v>
      </c>
      <c r="DJ456" s="1136">
        <f t="shared" si="316"/>
        <v>0</v>
      </c>
      <c r="DK456" s="1136">
        <f t="shared" si="317"/>
        <v>0</v>
      </c>
      <c r="DL456" s="1136">
        <f t="shared" si="318"/>
        <v>0</v>
      </c>
      <c r="DM456" s="1136">
        <f t="shared" si="319"/>
        <v>0</v>
      </c>
      <c r="DN456" s="1136">
        <f t="shared" si="320"/>
        <v>0</v>
      </c>
      <c r="DO456" s="1136">
        <f t="shared" si="321"/>
        <v>0</v>
      </c>
      <c r="DP456" s="1136">
        <f t="shared" si="322"/>
        <v>0</v>
      </c>
      <c r="DQ456" s="1136">
        <f t="shared" si="323"/>
        <v>0</v>
      </c>
      <c r="DR456" s="1136">
        <f t="shared" si="324"/>
        <v>0</v>
      </c>
      <c r="DS456" s="1136">
        <f t="shared" si="325"/>
        <v>0</v>
      </c>
      <c r="DT456" s="1136">
        <f t="shared" si="326"/>
        <v>0</v>
      </c>
      <c r="DU456" s="1136">
        <f t="shared" si="327"/>
        <v>0</v>
      </c>
      <c r="DV456" s="1136">
        <f t="shared" si="328"/>
        <v>0</v>
      </c>
      <c r="DW456" s="1136">
        <f t="shared" si="329"/>
        <v>0</v>
      </c>
      <c r="DX456" s="1136">
        <f t="shared" si="330"/>
        <v>0</v>
      </c>
      <c r="DY456" s="1136">
        <f t="shared" si="331"/>
        <v>0</v>
      </c>
      <c r="DZ456" s="1136">
        <f t="shared" si="332"/>
        <v>0</v>
      </c>
      <c r="EA456" s="1136">
        <f t="shared" si="333"/>
        <v>0</v>
      </c>
      <c r="EB456" s="1136">
        <f t="shared" si="334"/>
        <v>0</v>
      </c>
      <c r="EC456" s="1136">
        <f t="shared" si="335"/>
        <v>0</v>
      </c>
      <c r="ED456" s="1136">
        <f t="shared" si="336"/>
        <v>0</v>
      </c>
      <c r="EE456" s="1136">
        <f t="shared" si="337"/>
        <v>0</v>
      </c>
      <c r="EF456" s="1136">
        <f t="shared" si="338"/>
        <v>0</v>
      </c>
      <c r="EG456" s="1136">
        <f t="shared" si="339"/>
        <v>0</v>
      </c>
      <c r="EH456" s="1136">
        <f t="shared" si="340"/>
        <v>0</v>
      </c>
      <c r="EI456" s="1136">
        <f t="shared" si="341"/>
        <v>0</v>
      </c>
      <c r="EJ456" s="1136">
        <f t="shared" si="342"/>
        <v>0</v>
      </c>
      <c r="EK456" s="1136">
        <f t="shared" si="343"/>
        <v>0</v>
      </c>
      <c r="EL456" s="1136">
        <f t="shared" si="344"/>
        <v>0</v>
      </c>
      <c r="EM456" s="1136">
        <f t="shared" si="345"/>
        <v>0</v>
      </c>
    </row>
    <row r="457" spans="11:143" ht="12" customHeight="1" x14ac:dyDescent="0.35">
      <c r="K457" s="13">
        <v>37</v>
      </c>
      <c r="L457" s="87">
        <f>Input!D220</f>
        <v>0</v>
      </c>
      <c r="M457" s="88">
        <f>IF(Input!$F$183&gt;=$K457,Input!G220,0)</f>
        <v>0</v>
      </c>
      <c r="N457" s="197">
        <f>Input!H220</f>
        <v>0</v>
      </c>
      <c r="O457" s="197">
        <f>Input!I220</f>
        <v>0</v>
      </c>
      <c r="P457" s="90">
        <f>Input!J220</f>
        <v>0</v>
      </c>
      <c r="Q457" s="13">
        <v>37</v>
      </c>
      <c r="R457" s="207">
        <f t="shared" si="283"/>
        <v>0</v>
      </c>
      <c r="S457" s="207">
        <f t="shared" si="284"/>
        <v>0</v>
      </c>
      <c r="T457" s="40">
        <f>IFERROR(VLOOKUP(R457,Infrastructure!$D$70:$F$129,3,FALSE),0)</f>
        <v>1</v>
      </c>
      <c r="U457" s="40">
        <f>IFERROR(VLOOKUP(S457,Infrastructure!$D$70:$F$129,3,FALSE),0)</f>
        <v>1</v>
      </c>
      <c r="V457" s="13"/>
      <c r="W457" s="91">
        <f>IF(Input!$F$183&gt;=$K457,Input!M220,0)</f>
        <v>0</v>
      </c>
      <c r="X457" s="92">
        <f>IF(Input!$F$183&gt;=$K457,Input!N220,0)</f>
        <v>0</v>
      </c>
      <c r="Y457" s="92">
        <f>IF(Input!$F$183&gt;=$K457,Input!O220,0)</f>
        <v>0</v>
      </c>
      <c r="Z457" s="92">
        <f>IF(Input!$F$183&gt;=$K457,Input!P220,0)</f>
        <v>0</v>
      </c>
      <c r="AA457" s="92">
        <f>IF(Input!$F$183&gt;=$K457,Input!Q220,0)</f>
        <v>0</v>
      </c>
      <c r="AB457" s="92">
        <f>IF(Input!$F$183&gt;=$K457,Input!R220,0)</f>
        <v>0</v>
      </c>
      <c r="AC457" s="92">
        <f>IF(Input!$F$183&gt;=$K457,Input!S220,0)</f>
        <v>0</v>
      </c>
      <c r="AD457" s="92">
        <f>IF(Input!$F$183&gt;=$K457,Input!T220,0)</f>
        <v>0</v>
      </c>
      <c r="AE457" s="92">
        <f>IF(Input!$F$183&gt;=$K457,Input!U220,0)</f>
        <v>0</v>
      </c>
      <c r="AF457" s="92">
        <f>IF(Input!$F$183&gt;=$K457,Input!V220,0)</f>
        <v>0</v>
      </c>
      <c r="AG457" s="92">
        <f>IF(Input!$F$183&gt;=$K457,Input!W220,0)</f>
        <v>0</v>
      </c>
      <c r="AH457" s="92">
        <f>IF(Input!$F$183&gt;=$K457,Input!X220,0)</f>
        <v>0</v>
      </c>
      <c r="AI457" s="92">
        <f>IF(Input!$F$183&gt;=$K457,Input!Y220,0)</f>
        <v>0</v>
      </c>
      <c r="AJ457" s="92">
        <f>IF(Input!$F$183&gt;=$K457,Input!Z220,0)</f>
        <v>0</v>
      </c>
      <c r="AK457" s="92">
        <f>IF(Input!$F$183&gt;=$K457,Input!AA220,0)</f>
        <v>0</v>
      </c>
      <c r="AL457" s="92">
        <f>IF(Input!$F$183&gt;=$K457,Input!AB220,0)</f>
        <v>0</v>
      </c>
      <c r="AM457" s="92">
        <f>IF(Input!$F$183&gt;=$K457,Input!AC220,0)</f>
        <v>0</v>
      </c>
      <c r="AN457" s="92">
        <f>IF(Input!$F$183&gt;=$K457,Input!AD220,0)</f>
        <v>0</v>
      </c>
      <c r="AO457" s="92">
        <f>IF(Input!$F$183&gt;=$K457,Input!AE220,0)</f>
        <v>0</v>
      </c>
      <c r="AP457" s="92">
        <f>IF(Input!$F$183&gt;=$K457,Input!AF220,0)</f>
        <v>0</v>
      </c>
      <c r="AQ457" s="92">
        <f>IF(Input!$F$183&gt;=$K457,Input!AG220,0)</f>
        <v>0</v>
      </c>
      <c r="AR457" s="92">
        <f>IF(Input!$F$183&gt;=$K457,Input!AH220,0)</f>
        <v>0</v>
      </c>
      <c r="AS457" s="92">
        <f>IF(Input!$F$183&gt;=$K457,Input!AI220,0)</f>
        <v>0</v>
      </c>
      <c r="AT457" s="92">
        <f>IF(Input!$F$183&gt;=$K457,Input!AJ220,0)</f>
        <v>0</v>
      </c>
      <c r="AU457" s="92">
        <f>IF(Input!$F$183&gt;=$K457,Input!AK220,0)</f>
        <v>0</v>
      </c>
      <c r="AV457" s="92">
        <f>IF(Input!$F$183&gt;=$K457,Input!AL220,0)</f>
        <v>0</v>
      </c>
      <c r="AW457" s="92">
        <f>IF(Input!$F$183&gt;=$K457,Input!AM220,0)</f>
        <v>0</v>
      </c>
      <c r="AX457" s="92">
        <f>IF(Input!$F$183&gt;=$K457,Input!AN220,0)</f>
        <v>0</v>
      </c>
      <c r="AY457" s="92">
        <f>IF(Input!$F$183&gt;=$K457,Input!AO220,0)</f>
        <v>0</v>
      </c>
      <c r="AZ457" s="92">
        <f>IF(Input!$F$183&gt;=$K457,Input!AP220,0)</f>
        <v>0</v>
      </c>
      <c r="BA457" s="92">
        <f>IF(Input!$F$183&gt;=$K457,Input!AQ220,0)</f>
        <v>0</v>
      </c>
      <c r="BB457" s="92">
        <f>IF(Input!$F$183&gt;=$K457,Input!AR220,0)</f>
        <v>0</v>
      </c>
      <c r="BC457" s="92">
        <f>IF(Input!$F$183&gt;=$K457,Input!AS220,0)</f>
        <v>0</v>
      </c>
      <c r="BD457" s="92">
        <f>IF(Input!$F$183&gt;=$K457,Input!AT220,0)</f>
        <v>0</v>
      </c>
      <c r="BE457" s="92">
        <f>IF(Input!$F$183&gt;=$K457,Input!AU220,0)</f>
        <v>0</v>
      </c>
      <c r="BF457" s="92">
        <f>IF(Input!$F$183&gt;=$K457,Input!AV220,0)</f>
        <v>0</v>
      </c>
      <c r="BG457" s="92">
        <f>IF(Input!$F$183&gt;=$K457,Input!AW220,0)</f>
        <v>0</v>
      </c>
      <c r="BH457" s="92">
        <f>IF(Input!$F$183&gt;=$K457,Input!AX220,0)</f>
        <v>0</v>
      </c>
      <c r="BI457" s="92">
        <f>IF(Input!$F$183&gt;=$K457,Input!AY220,0)</f>
        <v>0</v>
      </c>
      <c r="BJ457" s="92">
        <f>IF(Input!$F$183&gt;=$K457,Input!AZ220,0)</f>
        <v>0</v>
      </c>
      <c r="BK457" s="92">
        <f>IF(Input!$F$183&gt;=$K457,Input!BA220,0)</f>
        <v>0</v>
      </c>
      <c r="BL457" s="92">
        <f>IF(Input!$F$183&gt;=$K457,Input!BB220,0)</f>
        <v>0</v>
      </c>
      <c r="BM457" s="92">
        <f>IF(Input!$F$183&gt;=$K457,Input!BC220,0)</f>
        <v>0</v>
      </c>
      <c r="BN457" s="92">
        <f>IF(Input!$F$183&gt;=$K457,Input!BD220,0)</f>
        <v>0</v>
      </c>
      <c r="BO457" s="92">
        <f>IF(Input!$F$183&gt;=$K457,Input!BE220,0)</f>
        <v>0</v>
      </c>
      <c r="BP457" s="92">
        <f>IF(Input!$F$183&gt;=$K457,Input!BF220,0)</f>
        <v>0</v>
      </c>
      <c r="BQ457" s="92">
        <f>IF(Input!$F$183&gt;=$K457,Input!BG220,0)</f>
        <v>0</v>
      </c>
      <c r="BR457" s="92">
        <f>IF(Input!$F$183&gt;=$K457,Input!BH220,0)</f>
        <v>0</v>
      </c>
      <c r="BS457" s="92">
        <f>IF(Input!$F$183&gt;=$K457,Input!BI220,0)</f>
        <v>0</v>
      </c>
      <c r="BT457" s="92">
        <f>IF(Input!$F$183&gt;=$K457,Input!BJ220,0)</f>
        <v>0</v>
      </c>
      <c r="BU457" s="92">
        <f>IF(Input!$F$183&gt;=$K457,Input!BK220,0)</f>
        <v>0</v>
      </c>
      <c r="BV457" s="92">
        <f>IF(Input!$F$183&gt;=$K457,Input!BL220,0)</f>
        <v>0</v>
      </c>
      <c r="BW457" s="92">
        <f>IF(Input!$F$183&gt;=$K457,Input!BM220,0)</f>
        <v>0</v>
      </c>
      <c r="BX457" s="92">
        <f>IF(Input!$F$183&gt;=$K457,Input!BN220,0)</f>
        <v>0</v>
      </c>
      <c r="BY457" s="92">
        <f>IF(Input!$F$183&gt;=$K457,Input!BO220,0)</f>
        <v>0</v>
      </c>
      <c r="BZ457" s="92">
        <f>IF(Input!$F$183&gt;=$K457,Input!BP220,0)</f>
        <v>0</v>
      </c>
      <c r="CA457" s="92">
        <f>IF(Input!$F$183&gt;=$K457,Input!BQ220,0)</f>
        <v>0</v>
      </c>
      <c r="CB457" s="92">
        <f>IF(Input!$F$183&gt;=$K457,Input!BR220,0)</f>
        <v>0</v>
      </c>
      <c r="CC457" s="92">
        <f>IF(Input!$F$183&gt;=$K457,Input!BS220,0)</f>
        <v>0</v>
      </c>
      <c r="CD457" s="275">
        <f>IF(Input!$F$183&gt;=$K457,Input!BT220,0)</f>
        <v>0</v>
      </c>
      <c r="CE457" s="69">
        <f t="shared" si="285"/>
        <v>0</v>
      </c>
      <c r="CF457" s="1136">
        <f t="shared" si="286"/>
        <v>0</v>
      </c>
      <c r="CG457" s="1136">
        <f t="shared" si="287"/>
        <v>0</v>
      </c>
      <c r="CH457" s="1136">
        <f t="shared" si="288"/>
        <v>0</v>
      </c>
      <c r="CI457" s="1136">
        <f t="shared" si="289"/>
        <v>0</v>
      </c>
      <c r="CJ457" s="1136">
        <f t="shared" si="290"/>
        <v>0</v>
      </c>
      <c r="CK457" s="1136">
        <f t="shared" si="291"/>
        <v>0</v>
      </c>
      <c r="CL457" s="1136">
        <f t="shared" si="292"/>
        <v>0</v>
      </c>
      <c r="CM457" s="1136">
        <f t="shared" si="293"/>
        <v>0</v>
      </c>
      <c r="CN457" s="1136">
        <f t="shared" si="294"/>
        <v>0</v>
      </c>
      <c r="CO457" s="1136">
        <f t="shared" si="295"/>
        <v>0</v>
      </c>
      <c r="CP457" s="1136">
        <f t="shared" si="296"/>
        <v>0</v>
      </c>
      <c r="CQ457" s="1136">
        <f t="shared" si="297"/>
        <v>0</v>
      </c>
      <c r="CR457" s="1136">
        <f t="shared" si="298"/>
        <v>0</v>
      </c>
      <c r="CS457" s="1136">
        <f t="shared" si="299"/>
        <v>0</v>
      </c>
      <c r="CT457" s="1136">
        <f t="shared" si="300"/>
        <v>0</v>
      </c>
      <c r="CU457" s="1136">
        <f t="shared" si="301"/>
        <v>0</v>
      </c>
      <c r="CV457" s="1136">
        <f t="shared" si="302"/>
        <v>0</v>
      </c>
      <c r="CW457" s="1136">
        <f t="shared" si="303"/>
        <v>0</v>
      </c>
      <c r="CX457" s="1136">
        <f t="shared" si="304"/>
        <v>0</v>
      </c>
      <c r="CY457" s="1136">
        <f t="shared" si="305"/>
        <v>0</v>
      </c>
      <c r="CZ457" s="1136">
        <f t="shared" si="306"/>
        <v>0</v>
      </c>
      <c r="DA457" s="1136">
        <f t="shared" si="307"/>
        <v>0</v>
      </c>
      <c r="DB457" s="1136">
        <f t="shared" si="308"/>
        <v>0</v>
      </c>
      <c r="DC457" s="1136">
        <f t="shared" si="309"/>
        <v>0</v>
      </c>
      <c r="DD457" s="1136">
        <f t="shared" si="310"/>
        <v>0</v>
      </c>
      <c r="DE457" s="1136">
        <f t="shared" si="311"/>
        <v>0</v>
      </c>
      <c r="DF457" s="1136">
        <f t="shared" si="312"/>
        <v>0</v>
      </c>
      <c r="DG457" s="1136">
        <f t="shared" si="313"/>
        <v>0</v>
      </c>
      <c r="DH457" s="1136">
        <f t="shared" si="314"/>
        <v>0</v>
      </c>
      <c r="DI457" s="1136">
        <f t="shared" si="315"/>
        <v>0</v>
      </c>
      <c r="DJ457" s="1136">
        <f t="shared" si="316"/>
        <v>0</v>
      </c>
      <c r="DK457" s="1136">
        <f t="shared" si="317"/>
        <v>0</v>
      </c>
      <c r="DL457" s="1136">
        <f t="shared" si="318"/>
        <v>0</v>
      </c>
      <c r="DM457" s="1136">
        <f t="shared" si="319"/>
        <v>0</v>
      </c>
      <c r="DN457" s="1136">
        <f t="shared" si="320"/>
        <v>0</v>
      </c>
      <c r="DO457" s="1136">
        <f t="shared" si="321"/>
        <v>0</v>
      </c>
      <c r="DP457" s="1136">
        <f t="shared" si="322"/>
        <v>0</v>
      </c>
      <c r="DQ457" s="1136">
        <f t="shared" si="323"/>
        <v>0</v>
      </c>
      <c r="DR457" s="1136">
        <f t="shared" si="324"/>
        <v>0</v>
      </c>
      <c r="DS457" s="1136">
        <f t="shared" si="325"/>
        <v>0</v>
      </c>
      <c r="DT457" s="1136">
        <f t="shared" si="326"/>
        <v>0</v>
      </c>
      <c r="DU457" s="1136">
        <f t="shared" si="327"/>
        <v>0</v>
      </c>
      <c r="DV457" s="1136">
        <f t="shared" si="328"/>
        <v>0</v>
      </c>
      <c r="DW457" s="1136">
        <f t="shared" si="329"/>
        <v>0</v>
      </c>
      <c r="DX457" s="1136">
        <f t="shared" si="330"/>
        <v>0</v>
      </c>
      <c r="DY457" s="1136">
        <f t="shared" si="331"/>
        <v>0</v>
      </c>
      <c r="DZ457" s="1136">
        <f t="shared" si="332"/>
        <v>0</v>
      </c>
      <c r="EA457" s="1136">
        <f t="shared" si="333"/>
        <v>0</v>
      </c>
      <c r="EB457" s="1136">
        <f t="shared" si="334"/>
        <v>0</v>
      </c>
      <c r="EC457" s="1136">
        <f t="shared" si="335"/>
        <v>0</v>
      </c>
      <c r="ED457" s="1136">
        <f t="shared" si="336"/>
        <v>0</v>
      </c>
      <c r="EE457" s="1136">
        <f t="shared" si="337"/>
        <v>0</v>
      </c>
      <c r="EF457" s="1136">
        <f t="shared" si="338"/>
        <v>0</v>
      </c>
      <c r="EG457" s="1136">
        <f t="shared" si="339"/>
        <v>0</v>
      </c>
      <c r="EH457" s="1136">
        <f t="shared" si="340"/>
        <v>0</v>
      </c>
      <c r="EI457" s="1136">
        <f t="shared" si="341"/>
        <v>0</v>
      </c>
      <c r="EJ457" s="1136">
        <f t="shared" si="342"/>
        <v>0</v>
      </c>
      <c r="EK457" s="1136">
        <f t="shared" si="343"/>
        <v>0</v>
      </c>
      <c r="EL457" s="1136">
        <f t="shared" si="344"/>
        <v>0</v>
      </c>
      <c r="EM457" s="1136">
        <f t="shared" si="345"/>
        <v>0</v>
      </c>
    </row>
    <row r="458" spans="11:143" ht="12" customHeight="1" x14ac:dyDescent="0.35">
      <c r="K458" s="13">
        <v>38</v>
      </c>
      <c r="L458" s="87">
        <f>Input!D221</f>
        <v>0</v>
      </c>
      <c r="M458" s="88">
        <f>IF(Input!$F$183&gt;=$K458,Input!G221,0)</f>
        <v>0</v>
      </c>
      <c r="N458" s="197">
        <f>Input!H221</f>
        <v>0</v>
      </c>
      <c r="O458" s="197">
        <f>Input!I221</f>
        <v>0</v>
      </c>
      <c r="P458" s="90">
        <f>Input!J221</f>
        <v>0</v>
      </c>
      <c r="Q458" s="13">
        <v>38</v>
      </c>
      <c r="R458" s="207">
        <f t="shared" si="283"/>
        <v>0</v>
      </c>
      <c r="S458" s="207">
        <f t="shared" si="284"/>
        <v>0</v>
      </c>
      <c r="T458" s="40">
        <f>IFERROR(VLOOKUP(R458,Infrastructure!$D$70:$F$129,3,FALSE),0)</f>
        <v>1</v>
      </c>
      <c r="U458" s="40">
        <f>IFERROR(VLOOKUP(S458,Infrastructure!$D$70:$F$129,3,FALSE),0)</f>
        <v>1</v>
      </c>
      <c r="V458" s="13"/>
      <c r="W458" s="91">
        <f>IF(Input!$F$183&gt;=$K458,Input!M221,0)</f>
        <v>0</v>
      </c>
      <c r="X458" s="92">
        <f>IF(Input!$F$183&gt;=$K458,Input!N221,0)</f>
        <v>0</v>
      </c>
      <c r="Y458" s="92">
        <f>IF(Input!$F$183&gt;=$K458,Input!O221,0)</f>
        <v>0</v>
      </c>
      <c r="Z458" s="92">
        <f>IF(Input!$F$183&gt;=$K458,Input!P221,0)</f>
        <v>0</v>
      </c>
      <c r="AA458" s="92">
        <f>IF(Input!$F$183&gt;=$K458,Input!Q221,0)</f>
        <v>0</v>
      </c>
      <c r="AB458" s="92">
        <f>IF(Input!$F$183&gt;=$K458,Input!R221,0)</f>
        <v>0</v>
      </c>
      <c r="AC458" s="92">
        <f>IF(Input!$F$183&gt;=$K458,Input!S221,0)</f>
        <v>0</v>
      </c>
      <c r="AD458" s="92">
        <f>IF(Input!$F$183&gt;=$K458,Input!T221,0)</f>
        <v>0</v>
      </c>
      <c r="AE458" s="92">
        <f>IF(Input!$F$183&gt;=$K458,Input!U221,0)</f>
        <v>0</v>
      </c>
      <c r="AF458" s="92">
        <f>IF(Input!$F$183&gt;=$K458,Input!V221,0)</f>
        <v>0</v>
      </c>
      <c r="AG458" s="92">
        <f>IF(Input!$F$183&gt;=$K458,Input!W221,0)</f>
        <v>0</v>
      </c>
      <c r="AH458" s="92">
        <f>IF(Input!$F$183&gt;=$K458,Input!X221,0)</f>
        <v>0</v>
      </c>
      <c r="AI458" s="92">
        <f>IF(Input!$F$183&gt;=$K458,Input!Y221,0)</f>
        <v>0</v>
      </c>
      <c r="AJ458" s="92">
        <f>IF(Input!$F$183&gt;=$K458,Input!Z221,0)</f>
        <v>0</v>
      </c>
      <c r="AK458" s="92">
        <f>IF(Input!$F$183&gt;=$K458,Input!AA221,0)</f>
        <v>0</v>
      </c>
      <c r="AL458" s="92">
        <f>IF(Input!$F$183&gt;=$K458,Input!AB221,0)</f>
        <v>0</v>
      </c>
      <c r="AM458" s="92">
        <f>IF(Input!$F$183&gt;=$K458,Input!AC221,0)</f>
        <v>0</v>
      </c>
      <c r="AN458" s="92">
        <f>IF(Input!$F$183&gt;=$K458,Input!AD221,0)</f>
        <v>0</v>
      </c>
      <c r="AO458" s="92">
        <f>IF(Input!$F$183&gt;=$K458,Input!AE221,0)</f>
        <v>0</v>
      </c>
      <c r="AP458" s="92">
        <f>IF(Input!$F$183&gt;=$K458,Input!AF221,0)</f>
        <v>0</v>
      </c>
      <c r="AQ458" s="92">
        <f>IF(Input!$F$183&gt;=$K458,Input!AG221,0)</f>
        <v>0</v>
      </c>
      <c r="AR458" s="92">
        <f>IF(Input!$F$183&gt;=$K458,Input!AH221,0)</f>
        <v>0</v>
      </c>
      <c r="AS458" s="92">
        <f>IF(Input!$F$183&gt;=$K458,Input!AI221,0)</f>
        <v>0</v>
      </c>
      <c r="AT458" s="92">
        <f>IF(Input!$F$183&gt;=$K458,Input!AJ221,0)</f>
        <v>0</v>
      </c>
      <c r="AU458" s="92">
        <f>IF(Input!$F$183&gt;=$K458,Input!AK221,0)</f>
        <v>0</v>
      </c>
      <c r="AV458" s="92">
        <f>IF(Input!$F$183&gt;=$K458,Input!AL221,0)</f>
        <v>0</v>
      </c>
      <c r="AW458" s="92">
        <f>IF(Input!$F$183&gt;=$K458,Input!AM221,0)</f>
        <v>0</v>
      </c>
      <c r="AX458" s="92">
        <f>IF(Input!$F$183&gt;=$K458,Input!AN221,0)</f>
        <v>0</v>
      </c>
      <c r="AY458" s="92">
        <f>IF(Input!$F$183&gt;=$K458,Input!AO221,0)</f>
        <v>0</v>
      </c>
      <c r="AZ458" s="92">
        <f>IF(Input!$F$183&gt;=$K458,Input!AP221,0)</f>
        <v>0</v>
      </c>
      <c r="BA458" s="92">
        <f>IF(Input!$F$183&gt;=$K458,Input!AQ221,0)</f>
        <v>0</v>
      </c>
      <c r="BB458" s="92">
        <f>IF(Input!$F$183&gt;=$K458,Input!AR221,0)</f>
        <v>0</v>
      </c>
      <c r="BC458" s="92">
        <f>IF(Input!$F$183&gt;=$K458,Input!AS221,0)</f>
        <v>0</v>
      </c>
      <c r="BD458" s="92">
        <f>IF(Input!$F$183&gt;=$K458,Input!AT221,0)</f>
        <v>0</v>
      </c>
      <c r="BE458" s="92">
        <f>IF(Input!$F$183&gt;=$K458,Input!AU221,0)</f>
        <v>0</v>
      </c>
      <c r="BF458" s="92">
        <f>IF(Input!$F$183&gt;=$K458,Input!AV221,0)</f>
        <v>0</v>
      </c>
      <c r="BG458" s="92">
        <f>IF(Input!$F$183&gt;=$K458,Input!AW221,0)</f>
        <v>0</v>
      </c>
      <c r="BH458" s="92">
        <f>IF(Input!$F$183&gt;=$K458,Input!AX221,0)</f>
        <v>0</v>
      </c>
      <c r="BI458" s="92">
        <f>IF(Input!$F$183&gt;=$K458,Input!AY221,0)</f>
        <v>0</v>
      </c>
      <c r="BJ458" s="92">
        <f>IF(Input!$F$183&gt;=$K458,Input!AZ221,0)</f>
        <v>0</v>
      </c>
      <c r="BK458" s="92">
        <f>IF(Input!$F$183&gt;=$K458,Input!BA221,0)</f>
        <v>0</v>
      </c>
      <c r="BL458" s="92">
        <f>IF(Input!$F$183&gt;=$K458,Input!BB221,0)</f>
        <v>0</v>
      </c>
      <c r="BM458" s="92">
        <f>IF(Input!$F$183&gt;=$K458,Input!BC221,0)</f>
        <v>0</v>
      </c>
      <c r="BN458" s="92">
        <f>IF(Input!$F$183&gt;=$K458,Input!BD221,0)</f>
        <v>0</v>
      </c>
      <c r="BO458" s="92">
        <f>IF(Input!$F$183&gt;=$K458,Input!BE221,0)</f>
        <v>0</v>
      </c>
      <c r="BP458" s="92">
        <f>IF(Input!$F$183&gt;=$K458,Input!BF221,0)</f>
        <v>0</v>
      </c>
      <c r="BQ458" s="92">
        <f>IF(Input!$F$183&gt;=$K458,Input!BG221,0)</f>
        <v>0</v>
      </c>
      <c r="BR458" s="92">
        <f>IF(Input!$F$183&gt;=$K458,Input!BH221,0)</f>
        <v>0</v>
      </c>
      <c r="BS458" s="92">
        <f>IF(Input!$F$183&gt;=$K458,Input!BI221,0)</f>
        <v>0</v>
      </c>
      <c r="BT458" s="92">
        <f>IF(Input!$F$183&gt;=$K458,Input!BJ221,0)</f>
        <v>0</v>
      </c>
      <c r="BU458" s="92">
        <f>IF(Input!$F$183&gt;=$K458,Input!BK221,0)</f>
        <v>0</v>
      </c>
      <c r="BV458" s="92">
        <f>IF(Input!$F$183&gt;=$K458,Input!BL221,0)</f>
        <v>0</v>
      </c>
      <c r="BW458" s="92">
        <f>IF(Input!$F$183&gt;=$K458,Input!BM221,0)</f>
        <v>0</v>
      </c>
      <c r="BX458" s="92">
        <f>IF(Input!$F$183&gt;=$K458,Input!BN221,0)</f>
        <v>0</v>
      </c>
      <c r="BY458" s="92">
        <f>IF(Input!$F$183&gt;=$K458,Input!BO221,0)</f>
        <v>0</v>
      </c>
      <c r="BZ458" s="92">
        <f>IF(Input!$F$183&gt;=$K458,Input!BP221,0)</f>
        <v>0</v>
      </c>
      <c r="CA458" s="92">
        <f>IF(Input!$F$183&gt;=$K458,Input!BQ221,0)</f>
        <v>0</v>
      </c>
      <c r="CB458" s="92">
        <f>IF(Input!$F$183&gt;=$K458,Input!BR221,0)</f>
        <v>0</v>
      </c>
      <c r="CC458" s="92">
        <f>IF(Input!$F$183&gt;=$K458,Input!BS221,0)</f>
        <v>0</v>
      </c>
      <c r="CD458" s="275">
        <f>IF(Input!$F$183&gt;=$K458,Input!BT221,0)</f>
        <v>0</v>
      </c>
      <c r="CE458" s="69">
        <f t="shared" si="285"/>
        <v>0</v>
      </c>
      <c r="CF458" s="1136">
        <f t="shared" si="286"/>
        <v>0</v>
      </c>
      <c r="CG458" s="1136">
        <f t="shared" si="287"/>
        <v>0</v>
      </c>
      <c r="CH458" s="1136">
        <f t="shared" si="288"/>
        <v>0</v>
      </c>
      <c r="CI458" s="1136">
        <f t="shared" si="289"/>
        <v>0</v>
      </c>
      <c r="CJ458" s="1136">
        <f t="shared" si="290"/>
        <v>0</v>
      </c>
      <c r="CK458" s="1136">
        <f t="shared" si="291"/>
        <v>0</v>
      </c>
      <c r="CL458" s="1136">
        <f t="shared" si="292"/>
        <v>0</v>
      </c>
      <c r="CM458" s="1136">
        <f t="shared" si="293"/>
        <v>0</v>
      </c>
      <c r="CN458" s="1136">
        <f t="shared" si="294"/>
        <v>0</v>
      </c>
      <c r="CO458" s="1136">
        <f t="shared" si="295"/>
        <v>0</v>
      </c>
      <c r="CP458" s="1136">
        <f t="shared" si="296"/>
        <v>0</v>
      </c>
      <c r="CQ458" s="1136">
        <f t="shared" si="297"/>
        <v>0</v>
      </c>
      <c r="CR458" s="1136">
        <f t="shared" si="298"/>
        <v>0</v>
      </c>
      <c r="CS458" s="1136">
        <f t="shared" si="299"/>
        <v>0</v>
      </c>
      <c r="CT458" s="1136">
        <f t="shared" si="300"/>
        <v>0</v>
      </c>
      <c r="CU458" s="1136">
        <f t="shared" si="301"/>
        <v>0</v>
      </c>
      <c r="CV458" s="1136">
        <f t="shared" si="302"/>
        <v>0</v>
      </c>
      <c r="CW458" s="1136">
        <f t="shared" si="303"/>
        <v>0</v>
      </c>
      <c r="CX458" s="1136">
        <f t="shared" si="304"/>
        <v>0</v>
      </c>
      <c r="CY458" s="1136">
        <f t="shared" si="305"/>
        <v>0</v>
      </c>
      <c r="CZ458" s="1136">
        <f t="shared" si="306"/>
        <v>0</v>
      </c>
      <c r="DA458" s="1136">
        <f t="shared" si="307"/>
        <v>0</v>
      </c>
      <c r="DB458" s="1136">
        <f t="shared" si="308"/>
        <v>0</v>
      </c>
      <c r="DC458" s="1136">
        <f t="shared" si="309"/>
        <v>0</v>
      </c>
      <c r="DD458" s="1136">
        <f t="shared" si="310"/>
        <v>0</v>
      </c>
      <c r="DE458" s="1136">
        <f t="shared" si="311"/>
        <v>0</v>
      </c>
      <c r="DF458" s="1136">
        <f t="shared" si="312"/>
        <v>0</v>
      </c>
      <c r="DG458" s="1136">
        <f t="shared" si="313"/>
        <v>0</v>
      </c>
      <c r="DH458" s="1136">
        <f t="shared" si="314"/>
        <v>0</v>
      </c>
      <c r="DI458" s="1136">
        <f t="shared" si="315"/>
        <v>0</v>
      </c>
      <c r="DJ458" s="1136">
        <f t="shared" si="316"/>
        <v>0</v>
      </c>
      <c r="DK458" s="1136">
        <f t="shared" si="317"/>
        <v>0</v>
      </c>
      <c r="DL458" s="1136">
        <f t="shared" si="318"/>
        <v>0</v>
      </c>
      <c r="DM458" s="1136">
        <f t="shared" si="319"/>
        <v>0</v>
      </c>
      <c r="DN458" s="1136">
        <f t="shared" si="320"/>
        <v>0</v>
      </c>
      <c r="DO458" s="1136">
        <f t="shared" si="321"/>
        <v>0</v>
      </c>
      <c r="DP458" s="1136">
        <f t="shared" si="322"/>
        <v>0</v>
      </c>
      <c r="DQ458" s="1136">
        <f t="shared" si="323"/>
        <v>0</v>
      </c>
      <c r="DR458" s="1136">
        <f t="shared" si="324"/>
        <v>0</v>
      </c>
      <c r="DS458" s="1136">
        <f t="shared" si="325"/>
        <v>0</v>
      </c>
      <c r="DT458" s="1136">
        <f t="shared" si="326"/>
        <v>0</v>
      </c>
      <c r="DU458" s="1136">
        <f t="shared" si="327"/>
        <v>0</v>
      </c>
      <c r="DV458" s="1136">
        <f t="shared" si="328"/>
        <v>0</v>
      </c>
      <c r="DW458" s="1136">
        <f t="shared" si="329"/>
        <v>0</v>
      </c>
      <c r="DX458" s="1136">
        <f t="shared" si="330"/>
        <v>0</v>
      </c>
      <c r="DY458" s="1136">
        <f t="shared" si="331"/>
        <v>0</v>
      </c>
      <c r="DZ458" s="1136">
        <f t="shared" si="332"/>
        <v>0</v>
      </c>
      <c r="EA458" s="1136">
        <f t="shared" si="333"/>
        <v>0</v>
      </c>
      <c r="EB458" s="1136">
        <f t="shared" si="334"/>
        <v>0</v>
      </c>
      <c r="EC458" s="1136">
        <f t="shared" si="335"/>
        <v>0</v>
      </c>
      <c r="ED458" s="1136">
        <f t="shared" si="336"/>
        <v>0</v>
      </c>
      <c r="EE458" s="1136">
        <f t="shared" si="337"/>
        <v>0</v>
      </c>
      <c r="EF458" s="1136">
        <f t="shared" si="338"/>
        <v>0</v>
      </c>
      <c r="EG458" s="1136">
        <f t="shared" si="339"/>
        <v>0</v>
      </c>
      <c r="EH458" s="1136">
        <f t="shared" si="340"/>
        <v>0</v>
      </c>
      <c r="EI458" s="1136">
        <f t="shared" si="341"/>
        <v>0</v>
      </c>
      <c r="EJ458" s="1136">
        <f t="shared" si="342"/>
        <v>0</v>
      </c>
      <c r="EK458" s="1136">
        <f t="shared" si="343"/>
        <v>0</v>
      </c>
      <c r="EL458" s="1136">
        <f t="shared" si="344"/>
        <v>0</v>
      </c>
      <c r="EM458" s="1136">
        <f t="shared" si="345"/>
        <v>0</v>
      </c>
    </row>
    <row r="459" spans="11:143" ht="12" customHeight="1" x14ac:dyDescent="0.35">
      <c r="K459" s="13">
        <v>39</v>
      </c>
      <c r="L459" s="87">
        <f>Input!D222</f>
        <v>0</v>
      </c>
      <c r="M459" s="88">
        <f>IF(Input!$F$183&gt;=$K459,Input!G222,0)</f>
        <v>0</v>
      </c>
      <c r="N459" s="197">
        <f>Input!H222</f>
        <v>0</v>
      </c>
      <c r="O459" s="197">
        <f>Input!I222</f>
        <v>0</v>
      </c>
      <c r="P459" s="90">
        <f>Input!J222</f>
        <v>0</v>
      </c>
      <c r="Q459" s="13">
        <v>39</v>
      </c>
      <c r="R459" s="207">
        <f t="shared" si="283"/>
        <v>0</v>
      </c>
      <c r="S459" s="207">
        <f t="shared" si="284"/>
        <v>0</v>
      </c>
      <c r="T459" s="40">
        <f>IFERROR(VLOOKUP(R459,Infrastructure!$D$70:$F$129,3,FALSE),0)</f>
        <v>1</v>
      </c>
      <c r="U459" s="40">
        <f>IFERROR(VLOOKUP(S459,Infrastructure!$D$70:$F$129,3,FALSE),0)</f>
        <v>1</v>
      </c>
      <c r="V459" s="13"/>
      <c r="W459" s="91">
        <f>IF(Input!$F$183&gt;=$K459,Input!M222,0)</f>
        <v>0</v>
      </c>
      <c r="X459" s="92">
        <f>IF(Input!$F$183&gt;=$K459,Input!N222,0)</f>
        <v>0</v>
      </c>
      <c r="Y459" s="92">
        <f>IF(Input!$F$183&gt;=$K459,Input!O222,0)</f>
        <v>0</v>
      </c>
      <c r="Z459" s="92">
        <f>IF(Input!$F$183&gt;=$K459,Input!P222,0)</f>
        <v>0</v>
      </c>
      <c r="AA459" s="92">
        <f>IF(Input!$F$183&gt;=$K459,Input!Q222,0)</f>
        <v>0</v>
      </c>
      <c r="AB459" s="92">
        <f>IF(Input!$F$183&gt;=$K459,Input!R222,0)</f>
        <v>0</v>
      </c>
      <c r="AC459" s="92">
        <f>IF(Input!$F$183&gt;=$K459,Input!S222,0)</f>
        <v>0</v>
      </c>
      <c r="AD459" s="92">
        <f>IF(Input!$F$183&gt;=$K459,Input!T222,0)</f>
        <v>0</v>
      </c>
      <c r="AE459" s="92">
        <f>IF(Input!$F$183&gt;=$K459,Input!U222,0)</f>
        <v>0</v>
      </c>
      <c r="AF459" s="92">
        <f>IF(Input!$F$183&gt;=$K459,Input!V222,0)</f>
        <v>0</v>
      </c>
      <c r="AG459" s="92">
        <f>IF(Input!$F$183&gt;=$K459,Input!W222,0)</f>
        <v>0</v>
      </c>
      <c r="AH459" s="92">
        <f>IF(Input!$F$183&gt;=$K459,Input!X222,0)</f>
        <v>0</v>
      </c>
      <c r="AI459" s="92">
        <f>IF(Input!$F$183&gt;=$K459,Input!Y222,0)</f>
        <v>0</v>
      </c>
      <c r="AJ459" s="92">
        <f>IF(Input!$F$183&gt;=$K459,Input!Z222,0)</f>
        <v>0</v>
      </c>
      <c r="AK459" s="92">
        <f>IF(Input!$F$183&gt;=$K459,Input!AA222,0)</f>
        <v>0</v>
      </c>
      <c r="AL459" s="92">
        <f>IF(Input!$F$183&gt;=$K459,Input!AB222,0)</f>
        <v>0</v>
      </c>
      <c r="AM459" s="92">
        <f>IF(Input!$F$183&gt;=$K459,Input!AC222,0)</f>
        <v>0</v>
      </c>
      <c r="AN459" s="92">
        <f>IF(Input!$F$183&gt;=$K459,Input!AD222,0)</f>
        <v>0</v>
      </c>
      <c r="AO459" s="92">
        <f>IF(Input!$F$183&gt;=$K459,Input!AE222,0)</f>
        <v>0</v>
      </c>
      <c r="AP459" s="92">
        <f>IF(Input!$F$183&gt;=$K459,Input!AF222,0)</f>
        <v>0</v>
      </c>
      <c r="AQ459" s="92">
        <f>IF(Input!$F$183&gt;=$K459,Input!AG222,0)</f>
        <v>0</v>
      </c>
      <c r="AR459" s="92">
        <f>IF(Input!$F$183&gt;=$K459,Input!AH222,0)</f>
        <v>0</v>
      </c>
      <c r="AS459" s="92">
        <f>IF(Input!$F$183&gt;=$K459,Input!AI222,0)</f>
        <v>0</v>
      </c>
      <c r="AT459" s="92">
        <f>IF(Input!$F$183&gt;=$K459,Input!AJ222,0)</f>
        <v>0</v>
      </c>
      <c r="AU459" s="92">
        <f>IF(Input!$F$183&gt;=$K459,Input!AK222,0)</f>
        <v>0</v>
      </c>
      <c r="AV459" s="92">
        <f>IF(Input!$F$183&gt;=$K459,Input!AL222,0)</f>
        <v>0</v>
      </c>
      <c r="AW459" s="92">
        <f>IF(Input!$F$183&gt;=$K459,Input!AM222,0)</f>
        <v>0</v>
      </c>
      <c r="AX459" s="92">
        <f>IF(Input!$F$183&gt;=$K459,Input!AN222,0)</f>
        <v>0</v>
      </c>
      <c r="AY459" s="92">
        <f>IF(Input!$F$183&gt;=$K459,Input!AO222,0)</f>
        <v>0</v>
      </c>
      <c r="AZ459" s="92">
        <f>IF(Input!$F$183&gt;=$K459,Input!AP222,0)</f>
        <v>0</v>
      </c>
      <c r="BA459" s="92">
        <f>IF(Input!$F$183&gt;=$K459,Input!AQ222,0)</f>
        <v>0</v>
      </c>
      <c r="BB459" s="92">
        <f>IF(Input!$F$183&gt;=$K459,Input!AR222,0)</f>
        <v>0</v>
      </c>
      <c r="BC459" s="92">
        <f>IF(Input!$F$183&gt;=$K459,Input!AS222,0)</f>
        <v>0</v>
      </c>
      <c r="BD459" s="92">
        <f>IF(Input!$F$183&gt;=$K459,Input!AT222,0)</f>
        <v>0</v>
      </c>
      <c r="BE459" s="92">
        <f>IF(Input!$F$183&gt;=$K459,Input!AU222,0)</f>
        <v>0</v>
      </c>
      <c r="BF459" s="92">
        <f>IF(Input!$F$183&gt;=$K459,Input!AV222,0)</f>
        <v>0</v>
      </c>
      <c r="BG459" s="92">
        <f>IF(Input!$F$183&gt;=$K459,Input!AW222,0)</f>
        <v>0</v>
      </c>
      <c r="BH459" s="92">
        <f>IF(Input!$F$183&gt;=$K459,Input!AX222,0)</f>
        <v>0</v>
      </c>
      <c r="BI459" s="92">
        <f>IF(Input!$F$183&gt;=$K459,Input!AY222,0)</f>
        <v>0</v>
      </c>
      <c r="BJ459" s="92">
        <f>IF(Input!$F$183&gt;=$K459,Input!AZ222,0)</f>
        <v>0</v>
      </c>
      <c r="BK459" s="92">
        <f>IF(Input!$F$183&gt;=$K459,Input!BA222,0)</f>
        <v>0</v>
      </c>
      <c r="BL459" s="92">
        <f>IF(Input!$F$183&gt;=$K459,Input!BB222,0)</f>
        <v>0</v>
      </c>
      <c r="BM459" s="92">
        <f>IF(Input!$F$183&gt;=$K459,Input!BC222,0)</f>
        <v>0</v>
      </c>
      <c r="BN459" s="92">
        <f>IF(Input!$F$183&gt;=$K459,Input!BD222,0)</f>
        <v>0</v>
      </c>
      <c r="BO459" s="92">
        <f>IF(Input!$F$183&gt;=$K459,Input!BE222,0)</f>
        <v>0</v>
      </c>
      <c r="BP459" s="92">
        <f>IF(Input!$F$183&gt;=$K459,Input!BF222,0)</f>
        <v>0</v>
      </c>
      <c r="BQ459" s="92">
        <f>IF(Input!$F$183&gt;=$K459,Input!BG222,0)</f>
        <v>0</v>
      </c>
      <c r="BR459" s="92">
        <f>IF(Input!$F$183&gt;=$K459,Input!BH222,0)</f>
        <v>0</v>
      </c>
      <c r="BS459" s="92">
        <f>IF(Input!$F$183&gt;=$K459,Input!BI222,0)</f>
        <v>0</v>
      </c>
      <c r="BT459" s="92">
        <f>IF(Input!$F$183&gt;=$K459,Input!BJ222,0)</f>
        <v>0</v>
      </c>
      <c r="BU459" s="92">
        <f>IF(Input!$F$183&gt;=$K459,Input!BK222,0)</f>
        <v>0</v>
      </c>
      <c r="BV459" s="92">
        <f>IF(Input!$F$183&gt;=$K459,Input!BL222,0)</f>
        <v>0</v>
      </c>
      <c r="BW459" s="92">
        <f>IF(Input!$F$183&gt;=$K459,Input!BM222,0)</f>
        <v>0</v>
      </c>
      <c r="BX459" s="92">
        <f>IF(Input!$F$183&gt;=$K459,Input!BN222,0)</f>
        <v>0</v>
      </c>
      <c r="BY459" s="92">
        <f>IF(Input!$F$183&gt;=$K459,Input!BO222,0)</f>
        <v>0</v>
      </c>
      <c r="BZ459" s="92">
        <f>IF(Input!$F$183&gt;=$K459,Input!BP222,0)</f>
        <v>0</v>
      </c>
      <c r="CA459" s="92">
        <f>IF(Input!$F$183&gt;=$K459,Input!BQ222,0)</f>
        <v>0</v>
      </c>
      <c r="CB459" s="92">
        <f>IF(Input!$F$183&gt;=$K459,Input!BR222,0)</f>
        <v>0</v>
      </c>
      <c r="CC459" s="92">
        <f>IF(Input!$F$183&gt;=$K459,Input!BS222,0)</f>
        <v>0</v>
      </c>
      <c r="CD459" s="275">
        <f>IF(Input!$F$183&gt;=$K459,Input!BT222,0)</f>
        <v>0</v>
      </c>
      <c r="CE459" s="69">
        <f t="shared" si="285"/>
        <v>0</v>
      </c>
      <c r="CF459" s="1136">
        <f t="shared" si="286"/>
        <v>0</v>
      </c>
      <c r="CG459" s="1136">
        <f t="shared" si="287"/>
        <v>0</v>
      </c>
      <c r="CH459" s="1136">
        <f t="shared" si="288"/>
        <v>0</v>
      </c>
      <c r="CI459" s="1136">
        <f t="shared" si="289"/>
        <v>0</v>
      </c>
      <c r="CJ459" s="1136">
        <f t="shared" si="290"/>
        <v>0</v>
      </c>
      <c r="CK459" s="1136">
        <f t="shared" si="291"/>
        <v>0</v>
      </c>
      <c r="CL459" s="1136">
        <f t="shared" si="292"/>
        <v>0</v>
      </c>
      <c r="CM459" s="1136">
        <f t="shared" si="293"/>
        <v>0</v>
      </c>
      <c r="CN459" s="1136">
        <f t="shared" si="294"/>
        <v>0</v>
      </c>
      <c r="CO459" s="1136">
        <f t="shared" si="295"/>
        <v>0</v>
      </c>
      <c r="CP459" s="1136">
        <f t="shared" si="296"/>
        <v>0</v>
      </c>
      <c r="CQ459" s="1136">
        <f t="shared" si="297"/>
        <v>0</v>
      </c>
      <c r="CR459" s="1136">
        <f t="shared" si="298"/>
        <v>0</v>
      </c>
      <c r="CS459" s="1136">
        <f t="shared" si="299"/>
        <v>0</v>
      </c>
      <c r="CT459" s="1136">
        <f t="shared" si="300"/>
        <v>0</v>
      </c>
      <c r="CU459" s="1136">
        <f t="shared" si="301"/>
        <v>0</v>
      </c>
      <c r="CV459" s="1136">
        <f t="shared" si="302"/>
        <v>0</v>
      </c>
      <c r="CW459" s="1136">
        <f t="shared" si="303"/>
        <v>0</v>
      </c>
      <c r="CX459" s="1136">
        <f t="shared" si="304"/>
        <v>0</v>
      </c>
      <c r="CY459" s="1136">
        <f t="shared" si="305"/>
        <v>0</v>
      </c>
      <c r="CZ459" s="1136">
        <f t="shared" si="306"/>
        <v>0</v>
      </c>
      <c r="DA459" s="1136">
        <f t="shared" si="307"/>
        <v>0</v>
      </c>
      <c r="DB459" s="1136">
        <f t="shared" si="308"/>
        <v>0</v>
      </c>
      <c r="DC459" s="1136">
        <f t="shared" si="309"/>
        <v>0</v>
      </c>
      <c r="DD459" s="1136">
        <f t="shared" si="310"/>
        <v>0</v>
      </c>
      <c r="DE459" s="1136">
        <f t="shared" si="311"/>
        <v>0</v>
      </c>
      <c r="DF459" s="1136">
        <f t="shared" si="312"/>
        <v>0</v>
      </c>
      <c r="DG459" s="1136">
        <f t="shared" si="313"/>
        <v>0</v>
      </c>
      <c r="DH459" s="1136">
        <f t="shared" si="314"/>
        <v>0</v>
      </c>
      <c r="DI459" s="1136">
        <f t="shared" si="315"/>
        <v>0</v>
      </c>
      <c r="DJ459" s="1136">
        <f t="shared" si="316"/>
        <v>0</v>
      </c>
      <c r="DK459" s="1136">
        <f t="shared" si="317"/>
        <v>0</v>
      </c>
      <c r="DL459" s="1136">
        <f t="shared" si="318"/>
        <v>0</v>
      </c>
      <c r="DM459" s="1136">
        <f t="shared" si="319"/>
        <v>0</v>
      </c>
      <c r="DN459" s="1136">
        <f t="shared" si="320"/>
        <v>0</v>
      </c>
      <c r="DO459" s="1136">
        <f t="shared" si="321"/>
        <v>0</v>
      </c>
      <c r="DP459" s="1136">
        <f t="shared" si="322"/>
        <v>0</v>
      </c>
      <c r="DQ459" s="1136">
        <f t="shared" si="323"/>
        <v>0</v>
      </c>
      <c r="DR459" s="1136">
        <f t="shared" si="324"/>
        <v>0</v>
      </c>
      <c r="DS459" s="1136">
        <f t="shared" si="325"/>
        <v>0</v>
      </c>
      <c r="DT459" s="1136">
        <f t="shared" si="326"/>
        <v>0</v>
      </c>
      <c r="DU459" s="1136">
        <f t="shared" si="327"/>
        <v>0</v>
      </c>
      <c r="DV459" s="1136">
        <f t="shared" si="328"/>
        <v>0</v>
      </c>
      <c r="DW459" s="1136">
        <f t="shared" si="329"/>
        <v>0</v>
      </c>
      <c r="DX459" s="1136">
        <f t="shared" si="330"/>
        <v>0</v>
      </c>
      <c r="DY459" s="1136">
        <f t="shared" si="331"/>
        <v>0</v>
      </c>
      <c r="DZ459" s="1136">
        <f t="shared" si="332"/>
        <v>0</v>
      </c>
      <c r="EA459" s="1136">
        <f t="shared" si="333"/>
        <v>0</v>
      </c>
      <c r="EB459" s="1136">
        <f t="shared" si="334"/>
        <v>0</v>
      </c>
      <c r="EC459" s="1136">
        <f t="shared" si="335"/>
        <v>0</v>
      </c>
      <c r="ED459" s="1136">
        <f t="shared" si="336"/>
        <v>0</v>
      </c>
      <c r="EE459" s="1136">
        <f t="shared" si="337"/>
        <v>0</v>
      </c>
      <c r="EF459" s="1136">
        <f t="shared" si="338"/>
        <v>0</v>
      </c>
      <c r="EG459" s="1136">
        <f t="shared" si="339"/>
        <v>0</v>
      </c>
      <c r="EH459" s="1136">
        <f t="shared" si="340"/>
        <v>0</v>
      </c>
      <c r="EI459" s="1136">
        <f t="shared" si="341"/>
        <v>0</v>
      </c>
      <c r="EJ459" s="1136">
        <f t="shared" si="342"/>
        <v>0</v>
      </c>
      <c r="EK459" s="1136">
        <f t="shared" si="343"/>
        <v>0</v>
      </c>
      <c r="EL459" s="1136">
        <f t="shared" si="344"/>
        <v>0</v>
      </c>
      <c r="EM459" s="1136">
        <f t="shared" si="345"/>
        <v>0</v>
      </c>
    </row>
    <row r="460" spans="11:143" ht="12" customHeight="1" x14ac:dyDescent="0.35">
      <c r="K460" s="13">
        <v>40</v>
      </c>
      <c r="L460" s="87">
        <f>Input!D223</f>
        <v>0</v>
      </c>
      <c r="M460" s="88">
        <f>IF(Input!$F$183&gt;=$K460,Input!G223,0)</f>
        <v>0</v>
      </c>
      <c r="N460" s="197">
        <f>Input!H223</f>
        <v>0</v>
      </c>
      <c r="O460" s="197">
        <f>Input!I223</f>
        <v>0</v>
      </c>
      <c r="P460" s="90">
        <f>Input!J223</f>
        <v>0</v>
      </c>
      <c r="Q460" s="13">
        <v>40</v>
      </c>
      <c r="R460" s="207">
        <f t="shared" si="283"/>
        <v>0</v>
      </c>
      <c r="S460" s="207">
        <f t="shared" si="284"/>
        <v>0</v>
      </c>
      <c r="T460" s="40">
        <f>IFERROR(VLOOKUP(R460,Infrastructure!$D$70:$F$129,3,FALSE),0)</f>
        <v>1</v>
      </c>
      <c r="U460" s="40">
        <f>IFERROR(VLOOKUP(S460,Infrastructure!$D$70:$F$129,3,FALSE),0)</f>
        <v>1</v>
      </c>
      <c r="V460" s="13"/>
      <c r="W460" s="91">
        <f>IF(Input!$F$183&gt;=$K460,Input!M223,0)</f>
        <v>0</v>
      </c>
      <c r="X460" s="92">
        <f>IF(Input!$F$183&gt;=$K460,Input!N223,0)</f>
        <v>0</v>
      </c>
      <c r="Y460" s="92">
        <f>IF(Input!$F$183&gt;=$K460,Input!O223,0)</f>
        <v>0</v>
      </c>
      <c r="Z460" s="92">
        <f>IF(Input!$F$183&gt;=$K460,Input!P223,0)</f>
        <v>0</v>
      </c>
      <c r="AA460" s="92">
        <f>IF(Input!$F$183&gt;=$K460,Input!Q223,0)</f>
        <v>0</v>
      </c>
      <c r="AB460" s="92">
        <f>IF(Input!$F$183&gt;=$K460,Input!R223,0)</f>
        <v>0</v>
      </c>
      <c r="AC460" s="92">
        <f>IF(Input!$F$183&gt;=$K460,Input!S223,0)</f>
        <v>0</v>
      </c>
      <c r="AD460" s="92">
        <f>IF(Input!$F$183&gt;=$K460,Input!T223,0)</f>
        <v>0</v>
      </c>
      <c r="AE460" s="92">
        <f>IF(Input!$F$183&gt;=$K460,Input!U223,0)</f>
        <v>0</v>
      </c>
      <c r="AF460" s="92">
        <f>IF(Input!$F$183&gt;=$K460,Input!V223,0)</f>
        <v>0</v>
      </c>
      <c r="AG460" s="92">
        <f>IF(Input!$F$183&gt;=$K460,Input!W223,0)</f>
        <v>0</v>
      </c>
      <c r="AH460" s="92">
        <f>IF(Input!$F$183&gt;=$K460,Input!X223,0)</f>
        <v>0</v>
      </c>
      <c r="AI460" s="92">
        <f>IF(Input!$F$183&gt;=$K460,Input!Y223,0)</f>
        <v>0</v>
      </c>
      <c r="AJ460" s="92">
        <f>IF(Input!$F$183&gt;=$K460,Input!Z223,0)</f>
        <v>0</v>
      </c>
      <c r="AK460" s="92">
        <f>IF(Input!$F$183&gt;=$K460,Input!AA223,0)</f>
        <v>0</v>
      </c>
      <c r="AL460" s="92">
        <f>IF(Input!$F$183&gt;=$K460,Input!AB223,0)</f>
        <v>0</v>
      </c>
      <c r="AM460" s="92">
        <f>IF(Input!$F$183&gt;=$K460,Input!AC223,0)</f>
        <v>0</v>
      </c>
      <c r="AN460" s="92">
        <f>IF(Input!$F$183&gt;=$K460,Input!AD223,0)</f>
        <v>0</v>
      </c>
      <c r="AO460" s="92">
        <f>IF(Input!$F$183&gt;=$K460,Input!AE223,0)</f>
        <v>0</v>
      </c>
      <c r="AP460" s="92">
        <f>IF(Input!$F$183&gt;=$K460,Input!AF223,0)</f>
        <v>0</v>
      </c>
      <c r="AQ460" s="92">
        <f>IF(Input!$F$183&gt;=$K460,Input!AG223,0)</f>
        <v>0</v>
      </c>
      <c r="AR460" s="92">
        <f>IF(Input!$F$183&gt;=$K460,Input!AH223,0)</f>
        <v>0</v>
      </c>
      <c r="AS460" s="92">
        <f>IF(Input!$F$183&gt;=$K460,Input!AI223,0)</f>
        <v>0</v>
      </c>
      <c r="AT460" s="92">
        <f>IF(Input!$F$183&gt;=$K460,Input!AJ223,0)</f>
        <v>0</v>
      </c>
      <c r="AU460" s="92">
        <f>IF(Input!$F$183&gt;=$K460,Input!AK223,0)</f>
        <v>0</v>
      </c>
      <c r="AV460" s="92">
        <f>IF(Input!$F$183&gt;=$K460,Input!AL223,0)</f>
        <v>0</v>
      </c>
      <c r="AW460" s="92">
        <f>IF(Input!$F$183&gt;=$K460,Input!AM223,0)</f>
        <v>0</v>
      </c>
      <c r="AX460" s="92">
        <f>IF(Input!$F$183&gt;=$K460,Input!AN223,0)</f>
        <v>0</v>
      </c>
      <c r="AY460" s="92">
        <f>IF(Input!$F$183&gt;=$K460,Input!AO223,0)</f>
        <v>0</v>
      </c>
      <c r="AZ460" s="92">
        <f>IF(Input!$F$183&gt;=$K460,Input!AP223,0)</f>
        <v>0</v>
      </c>
      <c r="BA460" s="92">
        <f>IF(Input!$F$183&gt;=$K460,Input!AQ223,0)</f>
        <v>0</v>
      </c>
      <c r="BB460" s="92">
        <f>IF(Input!$F$183&gt;=$K460,Input!AR223,0)</f>
        <v>0</v>
      </c>
      <c r="BC460" s="92">
        <f>IF(Input!$F$183&gt;=$K460,Input!AS223,0)</f>
        <v>0</v>
      </c>
      <c r="BD460" s="92">
        <f>IF(Input!$F$183&gt;=$K460,Input!AT223,0)</f>
        <v>0</v>
      </c>
      <c r="BE460" s="92">
        <f>IF(Input!$F$183&gt;=$K460,Input!AU223,0)</f>
        <v>0</v>
      </c>
      <c r="BF460" s="92">
        <f>IF(Input!$F$183&gt;=$K460,Input!AV223,0)</f>
        <v>0</v>
      </c>
      <c r="BG460" s="92">
        <f>IF(Input!$F$183&gt;=$K460,Input!AW223,0)</f>
        <v>0</v>
      </c>
      <c r="BH460" s="92">
        <f>IF(Input!$F$183&gt;=$K460,Input!AX223,0)</f>
        <v>0</v>
      </c>
      <c r="BI460" s="92">
        <f>IF(Input!$F$183&gt;=$K460,Input!AY223,0)</f>
        <v>0</v>
      </c>
      <c r="BJ460" s="92">
        <f>IF(Input!$F$183&gt;=$K460,Input!AZ223,0)</f>
        <v>0</v>
      </c>
      <c r="BK460" s="92">
        <f>IF(Input!$F$183&gt;=$K460,Input!BA223,0)</f>
        <v>0</v>
      </c>
      <c r="BL460" s="92">
        <f>IF(Input!$F$183&gt;=$K460,Input!BB223,0)</f>
        <v>0</v>
      </c>
      <c r="BM460" s="92">
        <f>IF(Input!$F$183&gt;=$K460,Input!BC223,0)</f>
        <v>0</v>
      </c>
      <c r="BN460" s="92">
        <f>IF(Input!$F$183&gt;=$K460,Input!BD223,0)</f>
        <v>0</v>
      </c>
      <c r="BO460" s="92">
        <f>IF(Input!$F$183&gt;=$K460,Input!BE223,0)</f>
        <v>0</v>
      </c>
      <c r="BP460" s="92">
        <f>IF(Input!$F$183&gt;=$K460,Input!BF223,0)</f>
        <v>0</v>
      </c>
      <c r="BQ460" s="92">
        <f>IF(Input!$F$183&gt;=$K460,Input!BG223,0)</f>
        <v>0</v>
      </c>
      <c r="BR460" s="92">
        <f>IF(Input!$F$183&gt;=$K460,Input!BH223,0)</f>
        <v>0</v>
      </c>
      <c r="BS460" s="92">
        <f>IF(Input!$F$183&gt;=$K460,Input!BI223,0)</f>
        <v>0</v>
      </c>
      <c r="BT460" s="92">
        <f>IF(Input!$F$183&gt;=$K460,Input!BJ223,0)</f>
        <v>0</v>
      </c>
      <c r="BU460" s="92">
        <f>IF(Input!$F$183&gt;=$K460,Input!BK223,0)</f>
        <v>0</v>
      </c>
      <c r="BV460" s="92">
        <f>IF(Input!$F$183&gt;=$K460,Input!BL223,0)</f>
        <v>0</v>
      </c>
      <c r="BW460" s="92">
        <f>IF(Input!$F$183&gt;=$K460,Input!BM223,0)</f>
        <v>0</v>
      </c>
      <c r="BX460" s="92">
        <f>IF(Input!$F$183&gt;=$K460,Input!BN223,0)</f>
        <v>0</v>
      </c>
      <c r="BY460" s="92">
        <f>IF(Input!$F$183&gt;=$K460,Input!BO223,0)</f>
        <v>0</v>
      </c>
      <c r="BZ460" s="92">
        <f>IF(Input!$F$183&gt;=$K460,Input!BP223,0)</f>
        <v>0</v>
      </c>
      <c r="CA460" s="92">
        <f>IF(Input!$F$183&gt;=$K460,Input!BQ223,0)</f>
        <v>0</v>
      </c>
      <c r="CB460" s="92">
        <f>IF(Input!$F$183&gt;=$K460,Input!BR223,0)</f>
        <v>0</v>
      </c>
      <c r="CC460" s="92">
        <f>IF(Input!$F$183&gt;=$K460,Input!BS223,0)</f>
        <v>0</v>
      </c>
      <c r="CD460" s="275">
        <f>IF(Input!$F$183&gt;=$K460,Input!BT223,0)</f>
        <v>0</v>
      </c>
      <c r="CE460" s="69">
        <f t="shared" si="285"/>
        <v>0</v>
      </c>
      <c r="CF460" s="1136">
        <f t="shared" si="286"/>
        <v>0</v>
      </c>
      <c r="CG460" s="1136">
        <f t="shared" si="287"/>
        <v>0</v>
      </c>
      <c r="CH460" s="1136">
        <f t="shared" si="288"/>
        <v>0</v>
      </c>
      <c r="CI460" s="1136">
        <f t="shared" si="289"/>
        <v>0</v>
      </c>
      <c r="CJ460" s="1136">
        <f t="shared" si="290"/>
        <v>0</v>
      </c>
      <c r="CK460" s="1136">
        <f t="shared" si="291"/>
        <v>0</v>
      </c>
      <c r="CL460" s="1136">
        <f t="shared" si="292"/>
        <v>0</v>
      </c>
      <c r="CM460" s="1136">
        <f t="shared" si="293"/>
        <v>0</v>
      </c>
      <c r="CN460" s="1136">
        <f t="shared" si="294"/>
        <v>0</v>
      </c>
      <c r="CO460" s="1136">
        <f t="shared" si="295"/>
        <v>0</v>
      </c>
      <c r="CP460" s="1136">
        <f t="shared" si="296"/>
        <v>0</v>
      </c>
      <c r="CQ460" s="1136">
        <f t="shared" si="297"/>
        <v>0</v>
      </c>
      <c r="CR460" s="1136">
        <f t="shared" si="298"/>
        <v>0</v>
      </c>
      <c r="CS460" s="1136">
        <f t="shared" si="299"/>
        <v>0</v>
      </c>
      <c r="CT460" s="1136">
        <f t="shared" si="300"/>
        <v>0</v>
      </c>
      <c r="CU460" s="1136">
        <f t="shared" si="301"/>
        <v>0</v>
      </c>
      <c r="CV460" s="1136">
        <f t="shared" si="302"/>
        <v>0</v>
      </c>
      <c r="CW460" s="1136">
        <f t="shared" si="303"/>
        <v>0</v>
      </c>
      <c r="CX460" s="1136">
        <f t="shared" si="304"/>
        <v>0</v>
      </c>
      <c r="CY460" s="1136">
        <f t="shared" si="305"/>
        <v>0</v>
      </c>
      <c r="CZ460" s="1136">
        <f t="shared" si="306"/>
        <v>0</v>
      </c>
      <c r="DA460" s="1136">
        <f t="shared" si="307"/>
        <v>0</v>
      </c>
      <c r="DB460" s="1136">
        <f t="shared" si="308"/>
        <v>0</v>
      </c>
      <c r="DC460" s="1136">
        <f t="shared" si="309"/>
        <v>0</v>
      </c>
      <c r="DD460" s="1136">
        <f t="shared" si="310"/>
        <v>0</v>
      </c>
      <c r="DE460" s="1136">
        <f t="shared" si="311"/>
        <v>0</v>
      </c>
      <c r="DF460" s="1136">
        <f t="shared" si="312"/>
        <v>0</v>
      </c>
      <c r="DG460" s="1136">
        <f t="shared" si="313"/>
        <v>0</v>
      </c>
      <c r="DH460" s="1136">
        <f t="shared" si="314"/>
        <v>0</v>
      </c>
      <c r="DI460" s="1136">
        <f t="shared" si="315"/>
        <v>0</v>
      </c>
      <c r="DJ460" s="1136">
        <f t="shared" si="316"/>
        <v>0</v>
      </c>
      <c r="DK460" s="1136">
        <f t="shared" si="317"/>
        <v>0</v>
      </c>
      <c r="DL460" s="1136">
        <f t="shared" si="318"/>
        <v>0</v>
      </c>
      <c r="DM460" s="1136">
        <f t="shared" si="319"/>
        <v>0</v>
      </c>
      <c r="DN460" s="1136">
        <f t="shared" si="320"/>
        <v>0</v>
      </c>
      <c r="DO460" s="1136">
        <f t="shared" si="321"/>
        <v>0</v>
      </c>
      <c r="DP460" s="1136">
        <f t="shared" si="322"/>
        <v>0</v>
      </c>
      <c r="DQ460" s="1136">
        <f t="shared" si="323"/>
        <v>0</v>
      </c>
      <c r="DR460" s="1136">
        <f t="shared" si="324"/>
        <v>0</v>
      </c>
      <c r="DS460" s="1136">
        <f t="shared" si="325"/>
        <v>0</v>
      </c>
      <c r="DT460" s="1136">
        <f t="shared" si="326"/>
        <v>0</v>
      </c>
      <c r="DU460" s="1136">
        <f t="shared" si="327"/>
        <v>0</v>
      </c>
      <c r="DV460" s="1136">
        <f t="shared" si="328"/>
        <v>0</v>
      </c>
      <c r="DW460" s="1136">
        <f t="shared" si="329"/>
        <v>0</v>
      </c>
      <c r="DX460" s="1136">
        <f t="shared" si="330"/>
        <v>0</v>
      </c>
      <c r="DY460" s="1136">
        <f t="shared" si="331"/>
        <v>0</v>
      </c>
      <c r="DZ460" s="1136">
        <f t="shared" si="332"/>
        <v>0</v>
      </c>
      <c r="EA460" s="1136">
        <f t="shared" si="333"/>
        <v>0</v>
      </c>
      <c r="EB460" s="1136">
        <f t="shared" si="334"/>
        <v>0</v>
      </c>
      <c r="EC460" s="1136">
        <f t="shared" si="335"/>
        <v>0</v>
      </c>
      <c r="ED460" s="1136">
        <f t="shared" si="336"/>
        <v>0</v>
      </c>
      <c r="EE460" s="1136">
        <f t="shared" si="337"/>
        <v>0</v>
      </c>
      <c r="EF460" s="1136">
        <f t="shared" si="338"/>
        <v>0</v>
      </c>
      <c r="EG460" s="1136">
        <f t="shared" si="339"/>
        <v>0</v>
      </c>
      <c r="EH460" s="1136">
        <f t="shared" si="340"/>
        <v>0</v>
      </c>
      <c r="EI460" s="1136">
        <f t="shared" si="341"/>
        <v>0</v>
      </c>
      <c r="EJ460" s="1136">
        <f t="shared" si="342"/>
        <v>0</v>
      </c>
      <c r="EK460" s="1136">
        <f t="shared" si="343"/>
        <v>0</v>
      </c>
      <c r="EL460" s="1136">
        <f t="shared" si="344"/>
        <v>0</v>
      </c>
      <c r="EM460" s="1136">
        <f t="shared" si="345"/>
        <v>0</v>
      </c>
    </row>
    <row r="461" spans="11:143" ht="12" customHeight="1" x14ac:dyDescent="0.35">
      <c r="K461" s="13">
        <v>41</v>
      </c>
      <c r="L461" s="87">
        <f>Input!D224</f>
        <v>0</v>
      </c>
      <c r="M461" s="88">
        <f>IF(Input!$F$183&gt;=$K461,Input!G224,0)</f>
        <v>0</v>
      </c>
      <c r="N461" s="197">
        <f>Input!H224</f>
        <v>0</v>
      </c>
      <c r="O461" s="197">
        <f>Input!I224</f>
        <v>0</v>
      </c>
      <c r="P461" s="90">
        <f>Input!J224</f>
        <v>0</v>
      </c>
      <c r="Q461" s="13">
        <v>41</v>
      </c>
      <c r="R461" s="207">
        <f t="shared" si="283"/>
        <v>0</v>
      </c>
      <c r="S461" s="207">
        <f t="shared" si="284"/>
        <v>0</v>
      </c>
      <c r="T461" s="40">
        <f>IFERROR(VLOOKUP(R461,Infrastructure!$D$70:$F$129,3,FALSE),0)</f>
        <v>1</v>
      </c>
      <c r="U461" s="40">
        <f>IFERROR(VLOOKUP(S461,Infrastructure!$D$70:$F$129,3,FALSE),0)</f>
        <v>1</v>
      </c>
      <c r="V461" s="13"/>
      <c r="W461" s="91">
        <f>IF(Input!$F$183&gt;=$K461,Input!M224,0)</f>
        <v>0</v>
      </c>
      <c r="X461" s="92">
        <f>IF(Input!$F$183&gt;=$K461,Input!N224,0)</f>
        <v>0</v>
      </c>
      <c r="Y461" s="92">
        <f>IF(Input!$F$183&gt;=$K461,Input!O224,0)</f>
        <v>0</v>
      </c>
      <c r="Z461" s="92">
        <f>IF(Input!$F$183&gt;=$K461,Input!P224,0)</f>
        <v>0</v>
      </c>
      <c r="AA461" s="92">
        <f>IF(Input!$F$183&gt;=$K461,Input!Q224,0)</f>
        <v>0</v>
      </c>
      <c r="AB461" s="92">
        <f>IF(Input!$F$183&gt;=$K461,Input!R224,0)</f>
        <v>0</v>
      </c>
      <c r="AC461" s="92">
        <f>IF(Input!$F$183&gt;=$K461,Input!S224,0)</f>
        <v>0</v>
      </c>
      <c r="AD461" s="92">
        <f>IF(Input!$F$183&gt;=$K461,Input!T224,0)</f>
        <v>0</v>
      </c>
      <c r="AE461" s="92">
        <f>IF(Input!$F$183&gt;=$K461,Input!U224,0)</f>
        <v>0</v>
      </c>
      <c r="AF461" s="92">
        <f>IF(Input!$F$183&gt;=$K461,Input!V224,0)</f>
        <v>0</v>
      </c>
      <c r="AG461" s="92">
        <f>IF(Input!$F$183&gt;=$K461,Input!W224,0)</f>
        <v>0</v>
      </c>
      <c r="AH461" s="92">
        <f>IF(Input!$F$183&gt;=$K461,Input!X224,0)</f>
        <v>0</v>
      </c>
      <c r="AI461" s="92">
        <f>IF(Input!$F$183&gt;=$K461,Input!Y224,0)</f>
        <v>0</v>
      </c>
      <c r="AJ461" s="92">
        <f>IF(Input!$F$183&gt;=$K461,Input!Z224,0)</f>
        <v>0</v>
      </c>
      <c r="AK461" s="92">
        <f>IF(Input!$F$183&gt;=$K461,Input!AA224,0)</f>
        <v>0</v>
      </c>
      <c r="AL461" s="92">
        <f>IF(Input!$F$183&gt;=$K461,Input!AB224,0)</f>
        <v>0</v>
      </c>
      <c r="AM461" s="92">
        <f>IF(Input!$F$183&gt;=$K461,Input!AC224,0)</f>
        <v>0</v>
      </c>
      <c r="AN461" s="92">
        <f>IF(Input!$F$183&gt;=$K461,Input!AD224,0)</f>
        <v>0</v>
      </c>
      <c r="AO461" s="92">
        <f>IF(Input!$F$183&gt;=$K461,Input!AE224,0)</f>
        <v>0</v>
      </c>
      <c r="AP461" s="92">
        <f>IF(Input!$F$183&gt;=$K461,Input!AF224,0)</f>
        <v>0</v>
      </c>
      <c r="AQ461" s="92">
        <f>IF(Input!$F$183&gt;=$K461,Input!AG224,0)</f>
        <v>0</v>
      </c>
      <c r="AR461" s="92">
        <f>IF(Input!$F$183&gt;=$K461,Input!AH224,0)</f>
        <v>0</v>
      </c>
      <c r="AS461" s="92">
        <f>IF(Input!$F$183&gt;=$K461,Input!AI224,0)</f>
        <v>0</v>
      </c>
      <c r="AT461" s="92">
        <f>IF(Input!$F$183&gt;=$K461,Input!AJ224,0)</f>
        <v>0</v>
      </c>
      <c r="AU461" s="92">
        <f>IF(Input!$F$183&gt;=$K461,Input!AK224,0)</f>
        <v>0</v>
      </c>
      <c r="AV461" s="92">
        <f>IF(Input!$F$183&gt;=$K461,Input!AL224,0)</f>
        <v>0</v>
      </c>
      <c r="AW461" s="92">
        <f>IF(Input!$F$183&gt;=$K461,Input!AM224,0)</f>
        <v>0</v>
      </c>
      <c r="AX461" s="92">
        <f>IF(Input!$F$183&gt;=$K461,Input!AN224,0)</f>
        <v>0</v>
      </c>
      <c r="AY461" s="92">
        <f>IF(Input!$F$183&gt;=$K461,Input!AO224,0)</f>
        <v>0</v>
      </c>
      <c r="AZ461" s="92">
        <f>IF(Input!$F$183&gt;=$K461,Input!AP224,0)</f>
        <v>0</v>
      </c>
      <c r="BA461" s="92">
        <f>IF(Input!$F$183&gt;=$K461,Input!AQ224,0)</f>
        <v>0</v>
      </c>
      <c r="BB461" s="92">
        <f>IF(Input!$F$183&gt;=$K461,Input!AR224,0)</f>
        <v>0</v>
      </c>
      <c r="BC461" s="92">
        <f>IF(Input!$F$183&gt;=$K461,Input!AS224,0)</f>
        <v>0</v>
      </c>
      <c r="BD461" s="92">
        <f>IF(Input!$F$183&gt;=$K461,Input!AT224,0)</f>
        <v>0</v>
      </c>
      <c r="BE461" s="92">
        <f>IF(Input!$F$183&gt;=$K461,Input!AU224,0)</f>
        <v>0</v>
      </c>
      <c r="BF461" s="92">
        <f>IF(Input!$F$183&gt;=$K461,Input!AV224,0)</f>
        <v>0</v>
      </c>
      <c r="BG461" s="92">
        <f>IF(Input!$F$183&gt;=$K461,Input!AW224,0)</f>
        <v>0</v>
      </c>
      <c r="BH461" s="92">
        <f>IF(Input!$F$183&gt;=$K461,Input!AX224,0)</f>
        <v>0</v>
      </c>
      <c r="BI461" s="92">
        <f>IF(Input!$F$183&gt;=$K461,Input!AY224,0)</f>
        <v>0</v>
      </c>
      <c r="BJ461" s="92">
        <f>IF(Input!$F$183&gt;=$K461,Input!AZ224,0)</f>
        <v>0</v>
      </c>
      <c r="BK461" s="92">
        <f>IF(Input!$F$183&gt;=$K461,Input!BA224,0)</f>
        <v>0</v>
      </c>
      <c r="BL461" s="92">
        <f>IF(Input!$F$183&gt;=$K461,Input!BB224,0)</f>
        <v>0</v>
      </c>
      <c r="BM461" s="92">
        <f>IF(Input!$F$183&gt;=$K461,Input!BC224,0)</f>
        <v>0</v>
      </c>
      <c r="BN461" s="92">
        <f>IF(Input!$F$183&gt;=$K461,Input!BD224,0)</f>
        <v>0</v>
      </c>
      <c r="BO461" s="92">
        <f>IF(Input!$F$183&gt;=$K461,Input!BE224,0)</f>
        <v>0</v>
      </c>
      <c r="BP461" s="92">
        <f>IF(Input!$F$183&gt;=$K461,Input!BF224,0)</f>
        <v>0</v>
      </c>
      <c r="BQ461" s="92">
        <f>IF(Input!$F$183&gt;=$K461,Input!BG224,0)</f>
        <v>0</v>
      </c>
      <c r="BR461" s="92">
        <f>IF(Input!$F$183&gt;=$K461,Input!BH224,0)</f>
        <v>0</v>
      </c>
      <c r="BS461" s="92">
        <f>IF(Input!$F$183&gt;=$K461,Input!BI224,0)</f>
        <v>0</v>
      </c>
      <c r="BT461" s="92">
        <f>IF(Input!$F$183&gt;=$K461,Input!BJ224,0)</f>
        <v>0</v>
      </c>
      <c r="BU461" s="92">
        <f>IF(Input!$F$183&gt;=$K461,Input!BK224,0)</f>
        <v>0</v>
      </c>
      <c r="BV461" s="92">
        <f>IF(Input!$F$183&gt;=$K461,Input!BL224,0)</f>
        <v>0</v>
      </c>
      <c r="BW461" s="92">
        <f>IF(Input!$F$183&gt;=$K461,Input!BM224,0)</f>
        <v>0</v>
      </c>
      <c r="BX461" s="92">
        <f>IF(Input!$F$183&gt;=$K461,Input!BN224,0)</f>
        <v>0</v>
      </c>
      <c r="BY461" s="92">
        <f>IF(Input!$F$183&gt;=$K461,Input!BO224,0)</f>
        <v>0</v>
      </c>
      <c r="BZ461" s="92">
        <f>IF(Input!$F$183&gt;=$K461,Input!BP224,0)</f>
        <v>0</v>
      </c>
      <c r="CA461" s="92">
        <f>IF(Input!$F$183&gt;=$K461,Input!BQ224,0)</f>
        <v>0</v>
      </c>
      <c r="CB461" s="92">
        <f>IF(Input!$F$183&gt;=$K461,Input!BR224,0)</f>
        <v>0</v>
      </c>
      <c r="CC461" s="92">
        <f>IF(Input!$F$183&gt;=$K461,Input!BS224,0)</f>
        <v>0</v>
      </c>
      <c r="CD461" s="275">
        <f>IF(Input!$F$183&gt;=$K461,Input!BT224,0)</f>
        <v>0</v>
      </c>
      <c r="CE461" s="69">
        <f t="shared" si="285"/>
        <v>0</v>
      </c>
      <c r="CF461" s="1136">
        <f t="shared" si="286"/>
        <v>0</v>
      </c>
      <c r="CG461" s="1136">
        <f t="shared" si="287"/>
        <v>0</v>
      </c>
      <c r="CH461" s="1136">
        <f t="shared" si="288"/>
        <v>0</v>
      </c>
      <c r="CI461" s="1136">
        <f t="shared" si="289"/>
        <v>0</v>
      </c>
      <c r="CJ461" s="1136">
        <f t="shared" si="290"/>
        <v>0</v>
      </c>
      <c r="CK461" s="1136">
        <f t="shared" si="291"/>
        <v>0</v>
      </c>
      <c r="CL461" s="1136">
        <f t="shared" si="292"/>
        <v>0</v>
      </c>
      <c r="CM461" s="1136">
        <f t="shared" si="293"/>
        <v>0</v>
      </c>
      <c r="CN461" s="1136">
        <f t="shared" si="294"/>
        <v>0</v>
      </c>
      <c r="CO461" s="1136">
        <f t="shared" si="295"/>
        <v>0</v>
      </c>
      <c r="CP461" s="1136">
        <f t="shared" si="296"/>
        <v>0</v>
      </c>
      <c r="CQ461" s="1136">
        <f t="shared" si="297"/>
        <v>0</v>
      </c>
      <c r="CR461" s="1136">
        <f t="shared" si="298"/>
        <v>0</v>
      </c>
      <c r="CS461" s="1136">
        <f t="shared" si="299"/>
        <v>0</v>
      </c>
      <c r="CT461" s="1136">
        <f t="shared" si="300"/>
        <v>0</v>
      </c>
      <c r="CU461" s="1136">
        <f t="shared" si="301"/>
        <v>0</v>
      </c>
      <c r="CV461" s="1136">
        <f t="shared" si="302"/>
        <v>0</v>
      </c>
      <c r="CW461" s="1136">
        <f t="shared" si="303"/>
        <v>0</v>
      </c>
      <c r="CX461" s="1136">
        <f t="shared" si="304"/>
        <v>0</v>
      </c>
      <c r="CY461" s="1136">
        <f t="shared" si="305"/>
        <v>0</v>
      </c>
      <c r="CZ461" s="1136">
        <f t="shared" si="306"/>
        <v>0</v>
      </c>
      <c r="DA461" s="1136">
        <f t="shared" si="307"/>
        <v>0</v>
      </c>
      <c r="DB461" s="1136">
        <f t="shared" si="308"/>
        <v>0</v>
      </c>
      <c r="DC461" s="1136">
        <f t="shared" si="309"/>
        <v>0</v>
      </c>
      <c r="DD461" s="1136">
        <f t="shared" si="310"/>
        <v>0</v>
      </c>
      <c r="DE461" s="1136">
        <f t="shared" si="311"/>
        <v>0</v>
      </c>
      <c r="DF461" s="1136">
        <f t="shared" si="312"/>
        <v>0</v>
      </c>
      <c r="DG461" s="1136">
        <f t="shared" si="313"/>
        <v>0</v>
      </c>
      <c r="DH461" s="1136">
        <f t="shared" si="314"/>
        <v>0</v>
      </c>
      <c r="DI461" s="1136">
        <f t="shared" si="315"/>
        <v>0</v>
      </c>
      <c r="DJ461" s="1136">
        <f t="shared" si="316"/>
        <v>0</v>
      </c>
      <c r="DK461" s="1136">
        <f t="shared" si="317"/>
        <v>0</v>
      </c>
      <c r="DL461" s="1136">
        <f t="shared" si="318"/>
        <v>0</v>
      </c>
      <c r="DM461" s="1136">
        <f t="shared" si="319"/>
        <v>0</v>
      </c>
      <c r="DN461" s="1136">
        <f t="shared" si="320"/>
        <v>0</v>
      </c>
      <c r="DO461" s="1136">
        <f t="shared" si="321"/>
        <v>0</v>
      </c>
      <c r="DP461" s="1136">
        <f t="shared" si="322"/>
        <v>0</v>
      </c>
      <c r="DQ461" s="1136">
        <f t="shared" si="323"/>
        <v>0</v>
      </c>
      <c r="DR461" s="1136">
        <f t="shared" si="324"/>
        <v>0</v>
      </c>
      <c r="DS461" s="1136">
        <f t="shared" si="325"/>
        <v>0</v>
      </c>
      <c r="DT461" s="1136">
        <f t="shared" si="326"/>
        <v>0</v>
      </c>
      <c r="DU461" s="1136">
        <f t="shared" si="327"/>
        <v>0</v>
      </c>
      <c r="DV461" s="1136">
        <f t="shared" si="328"/>
        <v>0</v>
      </c>
      <c r="DW461" s="1136">
        <f t="shared" si="329"/>
        <v>0</v>
      </c>
      <c r="DX461" s="1136">
        <f t="shared" si="330"/>
        <v>0</v>
      </c>
      <c r="DY461" s="1136">
        <f t="shared" si="331"/>
        <v>0</v>
      </c>
      <c r="DZ461" s="1136">
        <f t="shared" si="332"/>
        <v>0</v>
      </c>
      <c r="EA461" s="1136">
        <f t="shared" si="333"/>
        <v>0</v>
      </c>
      <c r="EB461" s="1136">
        <f t="shared" si="334"/>
        <v>0</v>
      </c>
      <c r="EC461" s="1136">
        <f t="shared" si="335"/>
        <v>0</v>
      </c>
      <c r="ED461" s="1136">
        <f t="shared" si="336"/>
        <v>0</v>
      </c>
      <c r="EE461" s="1136">
        <f t="shared" si="337"/>
        <v>0</v>
      </c>
      <c r="EF461" s="1136">
        <f t="shared" si="338"/>
        <v>0</v>
      </c>
      <c r="EG461" s="1136">
        <f t="shared" si="339"/>
        <v>0</v>
      </c>
      <c r="EH461" s="1136">
        <f t="shared" si="340"/>
        <v>0</v>
      </c>
      <c r="EI461" s="1136">
        <f t="shared" si="341"/>
        <v>0</v>
      </c>
      <c r="EJ461" s="1136">
        <f t="shared" si="342"/>
        <v>0</v>
      </c>
      <c r="EK461" s="1136">
        <f t="shared" si="343"/>
        <v>0</v>
      </c>
      <c r="EL461" s="1136">
        <f t="shared" si="344"/>
        <v>0</v>
      </c>
      <c r="EM461" s="1136">
        <f t="shared" si="345"/>
        <v>0</v>
      </c>
    </row>
    <row r="462" spans="11:143" ht="12" customHeight="1" x14ac:dyDescent="0.35">
      <c r="K462" s="13">
        <v>42</v>
      </c>
      <c r="L462" s="87">
        <f>Input!D225</f>
        <v>0</v>
      </c>
      <c r="M462" s="88">
        <f>IF(Input!$F$183&gt;=$K462,Input!G225,0)</f>
        <v>0</v>
      </c>
      <c r="N462" s="197">
        <f>Input!H225</f>
        <v>0</v>
      </c>
      <c r="O462" s="197">
        <f>Input!I225</f>
        <v>0</v>
      </c>
      <c r="P462" s="90">
        <f>Input!J225</f>
        <v>0</v>
      </c>
      <c r="Q462" s="13">
        <v>42</v>
      </c>
      <c r="R462" s="207">
        <f t="shared" si="283"/>
        <v>0</v>
      </c>
      <c r="S462" s="207">
        <f t="shared" si="284"/>
        <v>0</v>
      </c>
      <c r="T462" s="40">
        <f>IFERROR(VLOOKUP(R462,Infrastructure!$D$70:$F$129,3,FALSE),0)</f>
        <v>1</v>
      </c>
      <c r="U462" s="40">
        <f>IFERROR(VLOOKUP(S462,Infrastructure!$D$70:$F$129,3,FALSE),0)</f>
        <v>1</v>
      </c>
      <c r="V462" s="13"/>
      <c r="W462" s="91">
        <f>IF(Input!$F$183&gt;=$K462,Input!M225,0)</f>
        <v>0</v>
      </c>
      <c r="X462" s="92">
        <f>IF(Input!$F$183&gt;=$K462,Input!N225,0)</f>
        <v>0</v>
      </c>
      <c r="Y462" s="92">
        <f>IF(Input!$F$183&gt;=$K462,Input!O225,0)</f>
        <v>0</v>
      </c>
      <c r="Z462" s="92">
        <f>IF(Input!$F$183&gt;=$K462,Input!P225,0)</f>
        <v>0</v>
      </c>
      <c r="AA462" s="92">
        <f>IF(Input!$F$183&gt;=$K462,Input!Q225,0)</f>
        <v>0</v>
      </c>
      <c r="AB462" s="92">
        <f>IF(Input!$F$183&gt;=$K462,Input!R225,0)</f>
        <v>0</v>
      </c>
      <c r="AC462" s="92">
        <f>IF(Input!$F$183&gt;=$K462,Input!S225,0)</f>
        <v>0</v>
      </c>
      <c r="AD462" s="92">
        <f>IF(Input!$F$183&gt;=$K462,Input!T225,0)</f>
        <v>0</v>
      </c>
      <c r="AE462" s="92">
        <f>IF(Input!$F$183&gt;=$K462,Input!U225,0)</f>
        <v>0</v>
      </c>
      <c r="AF462" s="92">
        <f>IF(Input!$F$183&gt;=$K462,Input!V225,0)</f>
        <v>0</v>
      </c>
      <c r="AG462" s="92">
        <f>IF(Input!$F$183&gt;=$K462,Input!W225,0)</f>
        <v>0</v>
      </c>
      <c r="AH462" s="92">
        <f>IF(Input!$F$183&gt;=$K462,Input!X225,0)</f>
        <v>0</v>
      </c>
      <c r="AI462" s="92">
        <f>IF(Input!$F$183&gt;=$K462,Input!Y225,0)</f>
        <v>0</v>
      </c>
      <c r="AJ462" s="92">
        <f>IF(Input!$F$183&gt;=$K462,Input!Z225,0)</f>
        <v>0</v>
      </c>
      <c r="AK462" s="92">
        <f>IF(Input!$F$183&gt;=$K462,Input!AA225,0)</f>
        <v>0</v>
      </c>
      <c r="AL462" s="92">
        <f>IF(Input!$F$183&gt;=$K462,Input!AB225,0)</f>
        <v>0</v>
      </c>
      <c r="AM462" s="92">
        <f>IF(Input!$F$183&gt;=$K462,Input!AC225,0)</f>
        <v>0</v>
      </c>
      <c r="AN462" s="92">
        <f>IF(Input!$F$183&gt;=$K462,Input!AD225,0)</f>
        <v>0</v>
      </c>
      <c r="AO462" s="92">
        <f>IF(Input!$F$183&gt;=$K462,Input!AE225,0)</f>
        <v>0</v>
      </c>
      <c r="AP462" s="92">
        <f>IF(Input!$F$183&gt;=$K462,Input!AF225,0)</f>
        <v>0</v>
      </c>
      <c r="AQ462" s="92">
        <f>IF(Input!$F$183&gt;=$K462,Input!AG225,0)</f>
        <v>0</v>
      </c>
      <c r="AR462" s="92">
        <f>IF(Input!$F$183&gt;=$K462,Input!AH225,0)</f>
        <v>0</v>
      </c>
      <c r="AS462" s="92">
        <f>IF(Input!$F$183&gt;=$K462,Input!AI225,0)</f>
        <v>0</v>
      </c>
      <c r="AT462" s="92">
        <f>IF(Input!$F$183&gt;=$K462,Input!AJ225,0)</f>
        <v>0</v>
      </c>
      <c r="AU462" s="92">
        <f>IF(Input!$F$183&gt;=$K462,Input!AK225,0)</f>
        <v>0</v>
      </c>
      <c r="AV462" s="92">
        <f>IF(Input!$F$183&gt;=$K462,Input!AL225,0)</f>
        <v>0</v>
      </c>
      <c r="AW462" s="92">
        <f>IF(Input!$F$183&gt;=$K462,Input!AM225,0)</f>
        <v>0</v>
      </c>
      <c r="AX462" s="92">
        <f>IF(Input!$F$183&gt;=$K462,Input!AN225,0)</f>
        <v>0</v>
      </c>
      <c r="AY462" s="92">
        <f>IF(Input!$F$183&gt;=$K462,Input!AO225,0)</f>
        <v>0</v>
      </c>
      <c r="AZ462" s="92">
        <f>IF(Input!$F$183&gt;=$K462,Input!AP225,0)</f>
        <v>0</v>
      </c>
      <c r="BA462" s="92">
        <f>IF(Input!$F$183&gt;=$K462,Input!AQ225,0)</f>
        <v>0</v>
      </c>
      <c r="BB462" s="92">
        <f>IF(Input!$F$183&gt;=$K462,Input!AR225,0)</f>
        <v>0</v>
      </c>
      <c r="BC462" s="92">
        <f>IF(Input!$F$183&gt;=$K462,Input!AS225,0)</f>
        <v>0</v>
      </c>
      <c r="BD462" s="92">
        <f>IF(Input!$F$183&gt;=$K462,Input!AT225,0)</f>
        <v>0</v>
      </c>
      <c r="BE462" s="92">
        <f>IF(Input!$F$183&gt;=$K462,Input!AU225,0)</f>
        <v>0</v>
      </c>
      <c r="BF462" s="92">
        <f>IF(Input!$F$183&gt;=$K462,Input!AV225,0)</f>
        <v>0</v>
      </c>
      <c r="BG462" s="92">
        <f>IF(Input!$F$183&gt;=$K462,Input!AW225,0)</f>
        <v>0</v>
      </c>
      <c r="BH462" s="92">
        <f>IF(Input!$F$183&gt;=$K462,Input!AX225,0)</f>
        <v>0</v>
      </c>
      <c r="BI462" s="92">
        <f>IF(Input!$F$183&gt;=$K462,Input!AY225,0)</f>
        <v>0</v>
      </c>
      <c r="BJ462" s="92">
        <f>IF(Input!$F$183&gt;=$K462,Input!AZ225,0)</f>
        <v>0</v>
      </c>
      <c r="BK462" s="92">
        <f>IF(Input!$F$183&gt;=$K462,Input!BA225,0)</f>
        <v>0</v>
      </c>
      <c r="BL462" s="92">
        <f>IF(Input!$F$183&gt;=$K462,Input!BB225,0)</f>
        <v>0</v>
      </c>
      <c r="BM462" s="92">
        <f>IF(Input!$F$183&gt;=$K462,Input!BC225,0)</f>
        <v>0</v>
      </c>
      <c r="BN462" s="92">
        <f>IF(Input!$F$183&gt;=$K462,Input!BD225,0)</f>
        <v>0</v>
      </c>
      <c r="BO462" s="92">
        <f>IF(Input!$F$183&gt;=$K462,Input!BE225,0)</f>
        <v>0</v>
      </c>
      <c r="BP462" s="92">
        <f>IF(Input!$F$183&gt;=$K462,Input!BF225,0)</f>
        <v>0</v>
      </c>
      <c r="BQ462" s="92">
        <f>IF(Input!$F$183&gt;=$K462,Input!BG225,0)</f>
        <v>0</v>
      </c>
      <c r="BR462" s="92">
        <f>IF(Input!$F$183&gt;=$K462,Input!BH225,0)</f>
        <v>0</v>
      </c>
      <c r="BS462" s="92">
        <f>IF(Input!$F$183&gt;=$K462,Input!BI225,0)</f>
        <v>0</v>
      </c>
      <c r="BT462" s="92">
        <f>IF(Input!$F$183&gt;=$K462,Input!BJ225,0)</f>
        <v>0</v>
      </c>
      <c r="BU462" s="92">
        <f>IF(Input!$F$183&gt;=$K462,Input!BK225,0)</f>
        <v>0</v>
      </c>
      <c r="BV462" s="92">
        <f>IF(Input!$F$183&gt;=$K462,Input!BL225,0)</f>
        <v>0</v>
      </c>
      <c r="BW462" s="92">
        <f>IF(Input!$F$183&gt;=$K462,Input!BM225,0)</f>
        <v>0</v>
      </c>
      <c r="BX462" s="92">
        <f>IF(Input!$F$183&gt;=$K462,Input!BN225,0)</f>
        <v>0</v>
      </c>
      <c r="BY462" s="92">
        <f>IF(Input!$F$183&gt;=$K462,Input!BO225,0)</f>
        <v>0</v>
      </c>
      <c r="BZ462" s="92">
        <f>IF(Input!$F$183&gt;=$K462,Input!BP225,0)</f>
        <v>0</v>
      </c>
      <c r="CA462" s="92">
        <f>IF(Input!$F$183&gt;=$K462,Input!BQ225,0)</f>
        <v>0</v>
      </c>
      <c r="CB462" s="92">
        <f>IF(Input!$F$183&gt;=$K462,Input!BR225,0)</f>
        <v>0</v>
      </c>
      <c r="CC462" s="92">
        <f>IF(Input!$F$183&gt;=$K462,Input!BS225,0)</f>
        <v>0</v>
      </c>
      <c r="CD462" s="275">
        <f>IF(Input!$F$183&gt;=$K462,Input!BT225,0)</f>
        <v>0</v>
      </c>
      <c r="CE462" s="69">
        <f t="shared" si="285"/>
        <v>0</v>
      </c>
      <c r="CF462" s="1136">
        <f t="shared" si="286"/>
        <v>0</v>
      </c>
      <c r="CG462" s="1136">
        <f t="shared" si="287"/>
        <v>0</v>
      </c>
      <c r="CH462" s="1136">
        <f t="shared" si="288"/>
        <v>0</v>
      </c>
      <c r="CI462" s="1136">
        <f t="shared" si="289"/>
        <v>0</v>
      </c>
      <c r="CJ462" s="1136">
        <f t="shared" si="290"/>
        <v>0</v>
      </c>
      <c r="CK462" s="1136">
        <f t="shared" si="291"/>
        <v>0</v>
      </c>
      <c r="CL462" s="1136">
        <f t="shared" si="292"/>
        <v>0</v>
      </c>
      <c r="CM462" s="1136">
        <f t="shared" si="293"/>
        <v>0</v>
      </c>
      <c r="CN462" s="1136">
        <f t="shared" si="294"/>
        <v>0</v>
      </c>
      <c r="CO462" s="1136">
        <f t="shared" si="295"/>
        <v>0</v>
      </c>
      <c r="CP462" s="1136">
        <f t="shared" si="296"/>
        <v>0</v>
      </c>
      <c r="CQ462" s="1136">
        <f t="shared" si="297"/>
        <v>0</v>
      </c>
      <c r="CR462" s="1136">
        <f t="shared" si="298"/>
        <v>0</v>
      </c>
      <c r="CS462" s="1136">
        <f t="shared" si="299"/>
        <v>0</v>
      </c>
      <c r="CT462" s="1136">
        <f t="shared" si="300"/>
        <v>0</v>
      </c>
      <c r="CU462" s="1136">
        <f t="shared" si="301"/>
        <v>0</v>
      </c>
      <c r="CV462" s="1136">
        <f t="shared" si="302"/>
        <v>0</v>
      </c>
      <c r="CW462" s="1136">
        <f t="shared" si="303"/>
        <v>0</v>
      </c>
      <c r="CX462" s="1136">
        <f t="shared" si="304"/>
        <v>0</v>
      </c>
      <c r="CY462" s="1136">
        <f t="shared" si="305"/>
        <v>0</v>
      </c>
      <c r="CZ462" s="1136">
        <f t="shared" si="306"/>
        <v>0</v>
      </c>
      <c r="DA462" s="1136">
        <f t="shared" si="307"/>
        <v>0</v>
      </c>
      <c r="DB462" s="1136">
        <f t="shared" si="308"/>
        <v>0</v>
      </c>
      <c r="DC462" s="1136">
        <f t="shared" si="309"/>
        <v>0</v>
      </c>
      <c r="DD462" s="1136">
        <f t="shared" si="310"/>
        <v>0</v>
      </c>
      <c r="DE462" s="1136">
        <f t="shared" si="311"/>
        <v>0</v>
      </c>
      <c r="DF462" s="1136">
        <f t="shared" si="312"/>
        <v>0</v>
      </c>
      <c r="DG462" s="1136">
        <f t="shared" si="313"/>
        <v>0</v>
      </c>
      <c r="DH462" s="1136">
        <f t="shared" si="314"/>
        <v>0</v>
      </c>
      <c r="DI462" s="1136">
        <f t="shared" si="315"/>
        <v>0</v>
      </c>
      <c r="DJ462" s="1136">
        <f t="shared" si="316"/>
        <v>0</v>
      </c>
      <c r="DK462" s="1136">
        <f t="shared" si="317"/>
        <v>0</v>
      </c>
      <c r="DL462" s="1136">
        <f t="shared" si="318"/>
        <v>0</v>
      </c>
      <c r="DM462" s="1136">
        <f t="shared" si="319"/>
        <v>0</v>
      </c>
      <c r="DN462" s="1136">
        <f t="shared" si="320"/>
        <v>0</v>
      </c>
      <c r="DO462" s="1136">
        <f t="shared" si="321"/>
        <v>0</v>
      </c>
      <c r="DP462" s="1136">
        <f t="shared" si="322"/>
        <v>0</v>
      </c>
      <c r="DQ462" s="1136">
        <f t="shared" si="323"/>
        <v>0</v>
      </c>
      <c r="DR462" s="1136">
        <f t="shared" si="324"/>
        <v>0</v>
      </c>
      <c r="DS462" s="1136">
        <f t="shared" si="325"/>
        <v>0</v>
      </c>
      <c r="DT462" s="1136">
        <f t="shared" si="326"/>
        <v>0</v>
      </c>
      <c r="DU462" s="1136">
        <f t="shared" si="327"/>
        <v>0</v>
      </c>
      <c r="DV462" s="1136">
        <f t="shared" si="328"/>
        <v>0</v>
      </c>
      <c r="DW462" s="1136">
        <f t="shared" si="329"/>
        <v>0</v>
      </c>
      <c r="DX462" s="1136">
        <f t="shared" si="330"/>
        <v>0</v>
      </c>
      <c r="DY462" s="1136">
        <f t="shared" si="331"/>
        <v>0</v>
      </c>
      <c r="DZ462" s="1136">
        <f t="shared" si="332"/>
        <v>0</v>
      </c>
      <c r="EA462" s="1136">
        <f t="shared" si="333"/>
        <v>0</v>
      </c>
      <c r="EB462" s="1136">
        <f t="shared" si="334"/>
        <v>0</v>
      </c>
      <c r="EC462" s="1136">
        <f t="shared" si="335"/>
        <v>0</v>
      </c>
      <c r="ED462" s="1136">
        <f t="shared" si="336"/>
        <v>0</v>
      </c>
      <c r="EE462" s="1136">
        <f t="shared" si="337"/>
        <v>0</v>
      </c>
      <c r="EF462" s="1136">
        <f t="shared" si="338"/>
        <v>0</v>
      </c>
      <c r="EG462" s="1136">
        <f t="shared" si="339"/>
        <v>0</v>
      </c>
      <c r="EH462" s="1136">
        <f t="shared" si="340"/>
        <v>0</v>
      </c>
      <c r="EI462" s="1136">
        <f t="shared" si="341"/>
        <v>0</v>
      </c>
      <c r="EJ462" s="1136">
        <f t="shared" si="342"/>
        <v>0</v>
      </c>
      <c r="EK462" s="1136">
        <f t="shared" si="343"/>
        <v>0</v>
      </c>
      <c r="EL462" s="1136">
        <f t="shared" si="344"/>
        <v>0</v>
      </c>
      <c r="EM462" s="1136">
        <f t="shared" si="345"/>
        <v>0</v>
      </c>
    </row>
    <row r="463" spans="11:143" ht="12" customHeight="1" x14ac:dyDescent="0.35">
      <c r="K463" s="13">
        <v>43</v>
      </c>
      <c r="L463" s="87">
        <f>Input!D226</f>
        <v>0</v>
      </c>
      <c r="M463" s="88">
        <f>IF(Input!$F$183&gt;=$K463,Input!G226,0)</f>
        <v>0</v>
      </c>
      <c r="N463" s="197">
        <f>Input!H226</f>
        <v>0</v>
      </c>
      <c r="O463" s="197">
        <f>Input!I226</f>
        <v>0</v>
      </c>
      <c r="P463" s="90">
        <f>Input!J226</f>
        <v>0</v>
      </c>
      <c r="Q463" s="13">
        <v>43</v>
      </c>
      <c r="R463" s="207">
        <f t="shared" si="283"/>
        <v>0</v>
      </c>
      <c r="S463" s="207">
        <f t="shared" si="284"/>
        <v>0</v>
      </c>
      <c r="T463" s="40">
        <f>IFERROR(VLOOKUP(R463,Infrastructure!$D$70:$F$129,3,FALSE),0)</f>
        <v>1</v>
      </c>
      <c r="U463" s="40">
        <f>IFERROR(VLOOKUP(S463,Infrastructure!$D$70:$F$129,3,FALSE),0)</f>
        <v>1</v>
      </c>
      <c r="V463" s="13"/>
      <c r="W463" s="91">
        <f>IF(Input!$F$183&gt;=$K463,Input!M226,0)</f>
        <v>0</v>
      </c>
      <c r="X463" s="92">
        <f>IF(Input!$F$183&gt;=$K463,Input!N226,0)</f>
        <v>0</v>
      </c>
      <c r="Y463" s="92">
        <f>IF(Input!$F$183&gt;=$K463,Input!O226,0)</f>
        <v>0</v>
      </c>
      <c r="Z463" s="92">
        <f>IF(Input!$F$183&gt;=$K463,Input!P226,0)</f>
        <v>0</v>
      </c>
      <c r="AA463" s="92">
        <f>IF(Input!$F$183&gt;=$K463,Input!Q226,0)</f>
        <v>0</v>
      </c>
      <c r="AB463" s="92">
        <f>IF(Input!$F$183&gt;=$K463,Input!R226,0)</f>
        <v>0</v>
      </c>
      <c r="AC463" s="92">
        <f>IF(Input!$F$183&gt;=$K463,Input!S226,0)</f>
        <v>0</v>
      </c>
      <c r="AD463" s="92">
        <f>IF(Input!$F$183&gt;=$K463,Input!T226,0)</f>
        <v>0</v>
      </c>
      <c r="AE463" s="92">
        <f>IF(Input!$F$183&gt;=$K463,Input!U226,0)</f>
        <v>0</v>
      </c>
      <c r="AF463" s="92">
        <f>IF(Input!$F$183&gt;=$K463,Input!V226,0)</f>
        <v>0</v>
      </c>
      <c r="AG463" s="92">
        <f>IF(Input!$F$183&gt;=$K463,Input!W226,0)</f>
        <v>0</v>
      </c>
      <c r="AH463" s="92">
        <f>IF(Input!$F$183&gt;=$K463,Input!X226,0)</f>
        <v>0</v>
      </c>
      <c r="AI463" s="92">
        <f>IF(Input!$F$183&gt;=$K463,Input!Y226,0)</f>
        <v>0</v>
      </c>
      <c r="AJ463" s="92">
        <f>IF(Input!$F$183&gt;=$K463,Input!Z226,0)</f>
        <v>0</v>
      </c>
      <c r="AK463" s="92">
        <f>IF(Input!$F$183&gt;=$K463,Input!AA226,0)</f>
        <v>0</v>
      </c>
      <c r="AL463" s="92">
        <f>IF(Input!$F$183&gt;=$K463,Input!AB226,0)</f>
        <v>0</v>
      </c>
      <c r="AM463" s="92">
        <f>IF(Input!$F$183&gt;=$K463,Input!AC226,0)</f>
        <v>0</v>
      </c>
      <c r="AN463" s="92">
        <f>IF(Input!$F$183&gt;=$K463,Input!AD226,0)</f>
        <v>0</v>
      </c>
      <c r="AO463" s="92">
        <f>IF(Input!$F$183&gt;=$K463,Input!AE226,0)</f>
        <v>0</v>
      </c>
      <c r="AP463" s="92">
        <f>IF(Input!$F$183&gt;=$K463,Input!AF226,0)</f>
        <v>0</v>
      </c>
      <c r="AQ463" s="92">
        <f>IF(Input!$F$183&gt;=$K463,Input!AG226,0)</f>
        <v>0</v>
      </c>
      <c r="AR463" s="92">
        <f>IF(Input!$F$183&gt;=$K463,Input!AH226,0)</f>
        <v>0</v>
      </c>
      <c r="AS463" s="92">
        <f>IF(Input!$F$183&gt;=$K463,Input!AI226,0)</f>
        <v>0</v>
      </c>
      <c r="AT463" s="92">
        <f>IF(Input!$F$183&gt;=$K463,Input!AJ226,0)</f>
        <v>0</v>
      </c>
      <c r="AU463" s="92">
        <f>IF(Input!$F$183&gt;=$K463,Input!AK226,0)</f>
        <v>0</v>
      </c>
      <c r="AV463" s="92">
        <f>IF(Input!$F$183&gt;=$K463,Input!AL226,0)</f>
        <v>0</v>
      </c>
      <c r="AW463" s="92">
        <f>IF(Input!$F$183&gt;=$K463,Input!AM226,0)</f>
        <v>0</v>
      </c>
      <c r="AX463" s="92">
        <f>IF(Input!$F$183&gt;=$K463,Input!AN226,0)</f>
        <v>0</v>
      </c>
      <c r="AY463" s="92">
        <f>IF(Input!$F$183&gt;=$K463,Input!AO226,0)</f>
        <v>0</v>
      </c>
      <c r="AZ463" s="92">
        <f>IF(Input!$F$183&gt;=$K463,Input!AP226,0)</f>
        <v>0</v>
      </c>
      <c r="BA463" s="92">
        <f>IF(Input!$F$183&gt;=$K463,Input!AQ226,0)</f>
        <v>0</v>
      </c>
      <c r="BB463" s="92">
        <f>IF(Input!$F$183&gt;=$K463,Input!AR226,0)</f>
        <v>0</v>
      </c>
      <c r="BC463" s="92">
        <f>IF(Input!$F$183&gt;=$K463,Input!AS226,0)</f>
        <v>0</v>
      </c>
      <c r="BD463" s="92">
        <f>IF(Input!$F$183&gt;=$K463,Input!AT226,0)</f>
        <v>0</v>
      </c>
      <c r="BE463" s="92">
        <f>IF(Input!$F$183&gt;=$K463,Input!AU226,0)</f>
        <v>0</v>
      </c>
      <c r="BF463" s="92">
        <f>IF(Input!$F$183&gt;=$K463,Input!AV226,0)</f>
        <v>0</v>
      </c>
      <c r="BG463" s="92">
        <f>IF(Input!$F$183&gt;=$K463,Input!AW226,0)</f>
        <v>0</v>
      </c>
      <c r="BH463" s="92">
        <f>IF(Input!$F$183&gt;=$K463,Input!AX226,0)</f>
        <v>0</v>
      </c>
      <c r="BI463" s="92">
        <f>IF(Input!$F$183&gt;=$K463,Input!AY226,0)</f>
        <v>0</v>
      </c>
      <c r="BJ463" s="92">
        <f>IF(Input!$F$183&gt;=$K463,Input!AZ226,0)</f>
        <v>0</v>
      </c>
      <c r="BK463" s="92">
        <f>IF(Input!$F$183&gt;=$K463,Input!BA226,0)</f>
        <v>0</v>
      </c>
      <c r="BL463" s="92">
        <f>IF(Input!$F$183&gt;=$K463,Input!BB226,0)</f>
        <v>0</v>
      </c>
      <c r="BM463" s="92">
        <f>IF(Input!$F$183&gt;=$K463,Input!BC226,0)</f>
        <v>0</v>
      </c>
      <c r="BN463" s="92">
        <f>IF(Input!$F$183&gt;=$K463,Input!BD226,0)</f>
        <v>0</v>
      </c>
      <c r="BO463" s="92">
        <f>IF(Input!$F$183&gt;=$K463,Input!BE226,0)</f>
        <v>0</v>
      </c>
      <c r="BP463" s="92">
        <f>IF(Input!$F$183&gt;=$K463,Input!BF226,0)</f>
        <v>0</v>
      </c>
      <c r="BQ463" s="92">
        <f>IF(Input!$F$183&gt;=$K463,Input!BG226,0)</f>
        <v>0</v>
      </c>
      <c r="BR463" s="92">
        <f>IF(Input!$F$183&gt;=$K463,Input!BH226,0)</f>
        <v>0</v>
      </c>
      <c r="BS463" s="92">
        <f>IF(Input!$F$183&gt;=$K463,Input!BI226,0)</f>
        <v>0</v>
      </c>
      <c r="BT463" s="92">
        <f>IF(Input!$F$183&gt;=$K463,Input!BJ226,0)</f>
        <v>0</v>
      </c>
      <c r="BU463" s="92">
        <f>IF(Input!$F$183&gt;=$K463,Input!BK226,0)</f>
        <v>0</v>
      </c>
      <c r="BV463" s="92">
        <f>IF(Input!$F$183&gt;=$K463,Input!BL226,0)</f>
        <v>0</v>
      </c>
      <c r="BW463" s="92">
        <f>IF(Input!$F$183&gt;=$K463,Input!BM226,0)</f>
        <v>0</v>
      </c>
      <c r="BX463" s="92">
        <f>IF(Input!$F$183&gt;=$K463,Input!BN226,0)</f>
        <v>0</v>
      </c>
      <c r="BY463" s="92">
        <f>IF(Input!$F$183&gt;=$K463,Input!BO226,0)</f>
        <v>0</v>
      </c>
      <c r="BZ463" s="92">
        <f>IF(Input!$F$183&gt;=$K463,Input!BP226,0)</f>
        <v>0</v>
      </c>
      <c r="CA463" s="92">
        <f>IF(Input!$F$183&gt;=$K463,Input!BQ226,0)</f>
        <v>0</v>
      </c>
      <c r="CB463" s="92">
        <f>IF(Input!$F$183&gt;=$K463,Input!BR226,0)</f>
        <v>0</v>
      </c>
      <c r="CC463" s="92">
        <f>IF(Input!$F$183&gt;=$K463,Input!BS226,0)</f>
        <v>0</v>
      </c>
      <c r="CD463" s="275">
        <f>IF(Input!$F$183&gt;=$K463,Input!BT226,0)</f>
        <v>0</v>
      </c>
      <c r="CE463" s="69">
        <f t="shared" si="285"/>
        <v>0</v>
      </c>
      <c r="CF463" s="1136">
        <f t="shared" si="286"/>
        <v>0</v>
      </c>
      <c r="CG463" s="1136">
        <f t="shared" si="287"/>
        <v>0</v>
      </c>
      <c r="CH463" s="1136">
        <f t="shared" si="288"/>
        <v>0</v>
      </c>
      <c r="CI463" s="1136">
        <f t="shared" si="289"/>
        <v>0</v>
      </c>
      <c r="CJ463" s="1136">
        <f t="shared" si="290"/>
        <v>0</v>
      </c>
      <c r="CK463" s="1136">
        <f t="shared" si="291"/>
        <v>0</v>
      </c>
      <c r="CL463" s="1136">
        <f t="shared" si="292"/>
        <v>0</v>
      </c>
      <c r="CM463" s="1136">
        <f t="shared" si="293"/>
        <v>0</v>
      </c>
      <c r="CN463" s="1136">
        <f t="shared" si="294"/>
        <v>0</v>
      </c>
      <c r="CO463" s="1136">
        <f t="shared" si="295"/>
        <v>0</v>
      </c>
      <c r="CP463" s="1136">
        <f t="shared" si="296"/>
        <v>0</v>
      </c>
      <c r="CQ463" s="1136">
        <f t="shared" si="297"/>
        <v>0</v>
      </c>
      <c r="CR463" s="1136">
        <f t="shared" si="298"/>
        <v>0</v>
      </c>
      <c r="CS463" s="1136">
        <f t="shared" si="299"/>
        <v>0</v>
      </c>
      <c r="CT463" s="1136">
        <f t="shared" si="300"/>
        <v>0</v>
      </c>
      <c r="CU463" s="1136">
        <f t="shared" si="301"/>
        <v>0</v>
      </c>
      <c r="CV463" s="1136">
        <f t="shared" si="302"/>
        <v>0</v>
      </c>
      <c r="CW463" s="1136">
        <f t="shared" si="303"/>
        <v>0</v>
      </c>
      <c r="CX463" s="1136">
        <f t="shared" si="304"/>
        <v>0</v>
      </c>
      <c r="CY463" s="1136">
        <f t="shared" si="305"/>
        <v>0</v>
      </c>
      <c r="CZ463" s="1136">
        <f t="shared" si="306"/>
        <v>0</v>
      </c>
      <c r="DA463" s="1136">
        <f t="shared" si="307"/>
        <v>0</v>
      </c>
      <c r="DB463" s="1136">
        <f t="shared" si="308"/>
        <v>0</v>
      </c>
      <c r="DC463" s="1136">
        <f t="shared" si="309"/>
        <v>0</v>
      </c>
      <c r="DD463" s="1136">
        <f t="shared" si="310"/>
        <v>0</v>
      </c>
      <c r="DE463" s="1136">
        <f t="shared" si="311"/>
        <v>0</v>
      </c>
      <c r="DF463" s="1136">
        <f t="shared" si="312"/>
        <v>0</v>
      </c>
      <c r="DG463" s="1136">
        <f t="shared" si="313"/>
        <v>0</v>
      </c>
      <c r="DH463" s="1136">
        <f t="shared" si="314"/>
        <v>0</v>
      </c>
      <c r="DI463" s="1136">
        <f t="shared" si="315"/>
        <v>0</v>
      </c>
      <c r="DJ463" s="1136">
        <f t="shared" si="316"/>
        <v>0</v>
      </c>
      <c r="DK463" s="1136">
        <f t="shared" si="317"/>
        <v>0</v>
      </c>
      <c r="DL463" s="1136">
        <f t="shared" si="318"/>
        <v>0</v>
      </c>
      <c r="DM463" s="1136">
        <f t="shared" si="319"/>
        <v>0</v>
      </c>
      <c r="DN463" s="1136">
        <f t="shared" si="320"/>
        <v>0</v>
      </c>
      <c r="DO463" s="1136">
        <f t="shared" si="321"/>
        <v>0</v>
      </c>
      <c r="DP463" s="1136">
        <f t="shared" si="322"/>
        <v>0</v>
      </c>
      <c r="DQ463" s="1136">
        <f t="shared" si="323"/>
        <v>0</v>
      </c>
      <c r="DR463" s="1136">
        <f t="shared" si="324"/>
        <v>0</v>
      </c>
      <c r="DS463" s="1136">
        <f t="shared" si="325"/>
        <v>0</v>
      </c>
      <c r="DT463" s="1136">
        <f t="shared" si="326"/>
        <v>0</v>
      </c>
      <c r="DU463" s="1136">
        <f t="shared" si="327"/>
        <v>0</v>
      </c>
      <c r="DV463" s="1136">
        <f t="shared" si="328"/>
        <v>0</v>
      </c>
      <c r="DW463" s="1136">
        <f t="shared" si="329"/>
        <v>0</v>
      </c>
      <c r="DX463" s="1136">
        <f t="shared" si="330"/>
        <v>0</v>
      </c>
      <c r="DY463" s="1136">
        <f t="shared" si="331"/>
        <v>0</v>
      </c>
      <c r="DZ463" s="1136">
        <f t="shared" si="332"/>
        <v>0</v>
      </c>
      <c r="EA463" s="1136">
        <f t="shared" si="333"/>
        <v>0</v>
      </c>
      <c r="EB463" s="1136">
        <f t="shared" si="334"/>
        <v>0</v>
      </c>
      <c r="EC463" s="1136">
        <f t="shared" si="335"/>
        <v>0</v>
      </c>
      <c r="ED463" s="1136">
        <f t="shared" si="336"/>
        <v>0</v>
      </c>
      <c r="EE463" s="1136">
        <f t="shared" si="337"/>
        <v>0</v>
      </c>
      <c r="EF463" s="1136">
        <f t="shared" si="338"/>
        <v>0</v>
      </c>
      <c r="EG463" s="1136">
        <f t="shared" si="339"/>
        <v>0</v>
      </c>
      <c r="EH463" s="1136">
        <f t="shared" si="340"/>
        <v>0</v>
      </c>
      <c r="EI463" s="1136">
        <f t="shared" si="341"/>
        <v>0</v>
      </c>
      <c r="EJ463" s="1136">
        <f t="shared" si="342"/>
        <v>0</v>
      </c>
      <c r="EK463" s="1136">
        <f t="shared" si="343"/>
        <v>0</v>
      </c>
      <c r="EL463" s="1136">
        <f t="shared" si="344"/>
        <v>0</v>
      </c>
      <c r="EM463" s="1136">
        <f t="shared" si="345"/>
        <v>0</v>
      </c>
    </row>
    <row r="464" spans="11:143" ht="12" customHeight="1" x14ac:dyDescent="0.35">
      <c r="K464" s="13">
        <v>44</v>
      </c>
      <c r="L464" s="87">
        <f>Input!D227</f>
        <v>0</v>
      </c>
      <c r="M464" s="88">
        <f>IF(Input!$F$183&gt;=$K464,Input!G227,0)</f>
        <v>0</v>
      </c>
      <c r="N464" s="197">
        <f>Input!H227</f>
        <v>0</v>
      </c>
      <c r="O464" s="197">
        <f>Input!I227</f>
        <v>0</v>
      </c>
      <c r="P464" s="90">
        <f>Input!J227</f>
        <v>0</v>
      </c>
      <c r="Q464" s="13">
        <v>44</v>
      </c>
      <c r="R464" s="207">
        <f t="shared" si="283"/>
        <v>0</v>
      </c>
      <c r="S464" s="207">
        <f t="shared" si="284"/>
        <v>0</v>
      </c>
      <c r="T464" s="40">
        <f>IFERROR(VLOOKUP(R464,Infrastructure!$D$70:$F$129,3,FALSE),0)</f>
        <v>1</v>
      </c>
      <c r="U464" s="40">
        <f>IFERROR(VLOOKUP(S464,Infrastructure!$D$70:$F$129,3,FALSE),0)</f>
        <v>1</v>
      </c>
      <c r="V464" s="13"/>
      <c r="W464" s="91">
        <f>IF(Input!$F$183&gt;=$K464,Input!M227,0)</f>
        <v>0</v>
      </c>
      <c r="X464" s="92">
        <f>IF(Input!$F$183&gt;=$K464,Input!N227,0)</f>
        <v>0</v>
      </c>
      <c r="Y464" s="92">
        <f>IF(Input!$F$183&gt;=$K464,Input!O227,0)</f>
        <v>0</v>
      </c>
      <c r="Z464" s="92">
        <f>IF(Input!$F$183&gt;=$K464,Input!P227,0)</f>
        <v>0</v>
      </c>
      <c r="AA464" s="92">
        <f>IF(Input!$F$183&gt;=$K464,Input!Q227,0)</f>
        <v>0</v>
      </c>
      <c r="AB464" s="92">
        <f>IF(Input!$F$183&gt;=$K464,Input!R227,0)</f>
        <v>0</v>
      </c>
      <c r="AC464" s="92">
        <f>IF(Input!$F$183&gt;=$K464,Input!S227,0)</f>
        <v>0</v>
      </c>
      <c r="AD464" s="92">
        <f>IF(Input!$F$183&gt;=$K464,Input!T227,0)</f>
        <v>0</v>
      </c>
      <c r="AE464" s="92">
        <f>IF(Input!$F$183&gt;=$K464,Input!U227,0)</f>
        <v>0</v>
      </c>
      <c r="AF464" s="92">
        <f>IF(Input!$F$183&gt;=$K464,Input!V227,0)</f>
        <v>0</v>
      </c>
      <c r="AG464" s="92">
        <f>IF(Input!$F$183&gt;=$K464,Input!W227,0)</f>
        <v>0</v>
      </c>
      <c r="AH464" s="92">
        <f>IF(Input!$F$183&gt;=$K464,Input!X227,0)</f>
        <v>0</v>
      </c>
      <c r="AI464" s="92">
        <f>IF(Input!$F$183&gt;=$K464,Input!Y227,0)</f>
        <v>0</v>
      </c>
      <c r="AJ464" s="92">
        <f>IF(Input!$F$183&gt;=$K464,Input!Z227,0)</f>
        <v>0</v>
      </c>
      <c r="AK464" s="92">
        <f>IF(Input!$F$183&gt;=$K464,Input!AA227,0)</f>
        <v>0</v>
      </c>
      <c r="AL464" s="92">
        <f>IF(Input!$F$183&gt;=$K464,Input!AB227,0)</f>
        <v>0</v>
      </c>
      <c r="AM464" s="92">
        <f>IF(Input!$F$183&gt;=$K464,Input!AC227,0)</f>
        <v>0</v>
      </c>
      <c r="AN464" s="92">
        <f>IF(Input!$F$183&gt;=$K464,Input!AD227,0)</f>
        <v>0</v>
      </c>
      <c r="AO464" s="92">
        <f>IF(Input!$F$183&gt;=$K464,Input!AE227,0)</f>
        <v>0</v>
      </c>
      <c r="AP464" s="92">
        <f>IF(Input!$F$183&gt;=$K464,Input!AF227,0)</f>
        <v>0</v>
      </c>
      <c r="AQ464" s="92">
        <f>IF(Input!$F$183&gt;=$K464,Input!AG227,0)</f>
        <v>0</v>
      </c>
      <c r="AR464" s="92">
        <f>IF(Input!$F$183&gt;=$K464,Input!AH227,0)</f>
        <v>0</v>
      </c>
      <c r="AS464" s="92">
        <f>IF(Input!$F$183&gt;=$K464,Input!AI227,0)</f>
        <v>0</v>
      </c>
      <c r="AT464" s="92">
        <f>IF(Input!$F$183&gt;=$K464,Input!AJ227,0)</f>
        <v>0</v>
      </c>
      <c r="AU464" s="92">
        <f>IF(Input!$F$183&gt;=$K464,Input!AK227,0)</f>
        <v>0</v>
      </c>
      <c r="AV464" s="92">
        <f>IF(Input!$F$183&gt;=$K464,Input!AL227,0)</f>
        <v>0</v>
      </c>
      <c r="AW464" s="92">
        <f>IF(Input!$F$183&gt;=$K464,Input!AM227,0)</f>
        <v>0</v>
      </c>
      <c r="AX464" s="92">
        <f>IF(Input!$F$183&gt;=$K464,Input!AN227,0)</f>
        <v>0</v>
      </c>
      <c r="AY464" s="92">
        <f>IF(Input!$F$183&gt;=$K464,Input!AO227,0)</f>
        <v>0</v>
      </c>
      <c r="AZ464" s="92">
        <f>IF(Input!$F$183&gt;=$K464,Input!AP227,0)</f>
        <v>0</v>
      </c>
      <c r="BA464" s="92">
        <f>IF(Input!$F$183&gt;=$K464,Input!AQ227,0)</f>
        <v>0</v>
      </c>
      <c r="BB464" s="92">
        <f>IF(Input!$F$183&gt;=$K464,Input!AR227,0)</f>
        <v>0</v>
      </c>
      <c r="BC464" s="92">
        <f>IF(Input!$F$183&gt;=$K464,Input!AS227,0)</f>
        <v>0</v>
      </c>
      <c r="BD464" s="92">
        <f>IF(Input!$F$183&gt;=$K464,Input!AT227,0)</f>
        <v>0</v>
      </c>
      <c r="BE464" s="92">
        <f>IF(Input!$F$183&gt;=$K464,Input!AU227,0)</f>
        <v>0</v>
      </c>
      <c r="BF464" s="92">
        <f>IF(Input!$F$183&gt;=$K464,Input!AV227,0)</f>
        <v>0</v>
      </c>
      <c r="BG464" s="92">
        <f>IF(Input!$F$183&gt;=$K464,Input!AW227,0)</f>
        <v>0</v>
      </c>
      <c r="BH464" s="92">
        <f>IF(Input!$F$183&gt;=$K464,Input!AX227,0)</f>
        <v>0</v>
      </c>
      <c r="BI464" s="92">
        <f>IF(Input!$F$183&gt;=$K464,Input!AY227,0)</f>
        <v>0</v>
      </c>
      <c r="BJ464" s="92">
        <f>IF(Input!$F$183&gt;=$K464,Input!AZ227,0)</f>
        <v>0</v>
      </c>
      <c r="BK464" s="92">
        <f>IF(Input!$F$183&gt;=$K464,Input!BA227,0)</f>
        <v>0</v>
      </c>
      <c r="BL464" s="92">
        <f>IF(Input!$F$183&gt;=$K464,Input!BB227,0)</f>
        <v>0</v>
      </c>
      <c r="BM464" s="92">
        <f>IF(Input!$F$183&gt;=$K464,Input!BC227,0)</f>
        <v>0</v>
      </c>
      <c r="BN464" s="92">
        <f>IF(Input!$F$183&gt;=$K464,Input!BD227,0)</f>
        <v>0</v>
      </c>
      <c r="BO464" s="92">
        <f>IF(Input!$F$183&gt;=$K464,Input!BE227,0)</f>
        <v>0</v>
      </c>
      <c r="BP464" s="92">
        <f>IF(Input!$F$183&gt;=$K464,Input!BF227,0)</f>
        <v>0</v>
      </c>
      <c r="BQ464" s="92">
        <f>IF(Input!$F$183&gt;=$K464,Input!BG227,0)</f>
        <v>0</v>
      </c>
      <c r="BR464" s="92">
        <f>IF(Input!$F$183&gt;=$K464,Input!BH227,0)</f>
        <v>0</v>
      </c>
      <c r="BS464" s="92">
        <f>IF(Input!$F$183&gt;=$K464,Input!BI227,0)</f>
        <v>0</v>
      </c>
      <c r="BT464" s="92">
        <f>IF(Input!$F$183&gt;=$K464,Input!BJ227,0)</f>
        <v>0</v>
      </c>
      <c r="BU464" s="92">
        <f>IF(Input!$F$183&gt;=$K464,Input!BK227,0)</f>
        <v>0</v>
      </c>
      <c r="BV464" s="92">
        <f>IF(Input!$F$183&gt;=$K464,Input!BL227,0)</f>
        <v>0</v>
      </c>
      <c r="BW464" s="92">
        <f>IF(Input!$F$183&gt;=$K464,Input!BM227,0)</f>
        <v>0</v>
      </c>
      <c r="BX464" s="92">
        <f>IF(Input!$F$183&gt;=$K464,Input!BN227,0)</f>
        <v>0</v>
      </c>
      <c r="BY464" s="92">
        <f>IF(Input!$F$183&gt;=$K464,Input!BO227,0)</f>
        <v>0</v>
      </c>
      <c r="BZ464" s="92">
        <f>IF(Input!$F$183&gt;=$K464,Input!BP227,0)</f>
        <v>0</v>
      </c>
      <c r="CA464" s="92">
        <f>IF(Input!$F$183&gt;=$K464,Input!BQ227,0)</f>
        <v>0</v>
      </c>
      <c r="CB464" s="92">
        <f>IF(Input!$F$183&gt;=$K464,Input!BR227,0)</f>
        <v>0</v>
      </c>
      <c r="CC464" s="92">
        <f>IF(Input!$F$183&gt;=$K464,Input!BS227,0)</f>
        <v>0</v>
      </c>
      <c r="CD464" s="275">
        <f>IF(Input!$F$183&gt;=$K464,Input!BT227,0)</f>
        <v>0</v>
      </c>
      <c r="CE464" s="69">
        <f t="shared" si="285"/>
        <v>0</v>
      </c>
      <c r="CF464" s="1136">
        <f t="shared" si="286"/>
        <v>0</v>
      </c>
      <c r="CG464" s="1136">
        <f t="shared" si="287"/>
        <v>0</v>
      </c>
      <c r="CH464" s="1136">
        <f t="shared" si="288"/>
        <v>0</v>
      </c>
      <c r="CI464" s="1136">
        <f t="shared" si="289"/>
        <v>0</v>
      </c>
      <c r="CJ464" s="1136">
        <f t="shared" si="290"/>
        <v>0</v>
      </c>
      <c r="CK464" s="1136">
        <f t="shared" si="291"/>
        <v>0</v>
      </c>
      <c r="CL464" s="1136">
        <f t="shared" si="292"/>
        <v>0</v>
      </c>
      <c r="CM464" s="1136">
        <f t="shared" si="293"/>
        <v>0</v>
      </c>
      <c r="CN464" s="1136">
        <f t="shared" si="294"/>
        <v>0</v>
      </c>
      <c r="CO464" s="1136">
        <f t="shared" si="295"/>
        <v>0</v>
      </c>
      <c r="CP464" s="1136">
        <f t="shared" si="296"/>
        <v>0</v>
      </c>
      <c r="CQ464" s="1136">
        <f t="shared" si="297"/>
        <v>0</v>
      </c>
      <c r="CR464" s="1136">
        <f t="shared" si="298"/>
        <v>0</v>
      </c>
      <c r="CS464" s="1136">
        <f t="shared" si="299"/>
        <v>0</v>
      </c>
      <c r="CT464" s="1136">
        <f t="shared" si="300"/>
        <v>0</v>
      </c>
      <c r="CU464" s="1136">
        <f t="shared" si="301"/>
        <v>0</v>
      </c>
      <c r="CV464" s="1136">
        <f t="shared" si="302"/>
        <v>0</v>
      </c>
      <c r="CW464" s="1136">
        <f t="shared" si="303"/>
        <v>0</v>
      </c>
      <c r="CX464" s="1136">
        <f t="shared" si="304"/>
        <v>0</v>
      </c>
      <c r="CY464" s="1136">
        <f t="shared" si="305"/>
        <v>0</v>
      </c>
      <c r="CZ464" s="1136">
        <f t="shared" si="306"/>
        <v>0</v>
      </c>
      <c r="DA464" s="1136">
        <f t="shared" si="307"/>
        <v>0</v>
      </c>
      <c r="DB464" s="1136">
        <f t="shared" si="308"/>
        <v>0</v>
      </c>
      <c r="DC464" s="1136">
        <f t="shared" si="309"/>
        <v>0</v>
      </c>
      <c r="DD464" s="1136">
        <f t="shared" si="310"/>
        <v>0</v>
      </c>
      <c r="DE464" s="1136">
        <f t="shared" si="311"/>
        <v>0</v>
      </c>
      <c r="DF464" s="1136">
        <f t="shared" si="312"/>
        <v>0</v>
      </c>
      <c r="DG464" s="1136">
        <f t="shared" si="313"/>
        <v>0</v>
      </c>
      <c r="DH464" s="1136">
        <f t="shared" si="314"/>
        <v>0</v>
      </c>
      <c r="DI464" s="1136">
        <f t="shared" si="315"/>
        <v>0</v>
      </c>
      <c r="DJ464" s="1136">
        <f t="shared" si="316"/>
        <v>0</v>
      </c>
      <c r="DK464" s="1136">
        <f t="shared" si="317"/>
        <v>0</v>
      </c>
      <c r="DL464" s="1136">
        <f t="shared" si="318"/>
        <v>0</v>
      </c>
      <c r="DM464" s="1136">
        <f t="shared" si="319"/>
        <v>0</v>
      </c>
      <c r="DN464" s="1136">
        <f t="shared" si="320"/>
        <v>0</v>
      </c>
      <c r="DO464" s="1136">
        <f t="shared" si="321"/>
        <v>0</v>
      </c>
      <c r="DP464" s="1136">
        <f t="shared" si="322"/>
        <v>0</v>
      </c>
      <c r="DQ464" s="1136">
        <f t="shared" si="323"/>
        <v>0</v>
      </c>
      <c r="DR464" s="1136">
        <f t="shared" si="324"/>
        <v>0</v>
      </c>
      <c r="DS464" s="1136">
        <f t="shared" si="325"/>
        <v>0</v>
      </c>
      <c r="DT464" s="1136">
        <f t="shared" si="326"/>
        <v>0</v>
      </c>
      <c r="DU464" s="1136">
        <f t="shared" si="327"/>
        <v>0</v>
      </c>
      <c r="DV464" s="1136">
        <f t="shared" si="328"/>
        <v>0</v>
      </c>
      <c r="DW464" s="1136">
        <f t="shared" si="329"/>
        <v>0</v>
      </c>
      <c r="DX464" s="1136">
        <f t="shared" si="330"/>
        <v>0</v>
      </c>
      <c r="DY464" s="1136">
        <f t="shared" si="331"/>
        <v>0</v>
      </c>
      <c r="DZ464" s="1136">
        <f t="shared" si="332"/>
        <v>0</v>
      </c>
      <c r="EA464" s="1136">
        <f t="shared" si="333"/>
        <v>0</v>
      </c>
      <c r="EB464" s="1136">
        <f t="shared" si="334"/>
        <v>0</v>
      </c>
      <c r="EC464" s="1136">
        <f t="shared" si="335"/>
        <v>0</v>
      </c>
      <c r="ED464" s="1136">
        <f t="shared" si="336"/>
        <v>0</v>
      </c>
      <c r="EE464" s="1136">
        <f t="shared" si="337"/>
        <v>0</v>
      </c>
      <c r="EF464" s="1136">
        <f t="shared" si="338"/>
        <v>0</v>
      </c>
      <c r="EG464" s="1136">
        <f t="shared" si="339"/>
        <v>0</v>
      </c>
      <c r="EH464" s="1136">
        <f t="shared" si="340"/>
        <v>0</v>
      </c>
      <c r="EI464" s="1136">
        <f t="shared" si="341"/>
        <v>0</v>
      </c>
      <c r="EJ464" s="1136">
        <f t="shared" si="342"/>
        <v>0</v>
      </c>
      <c r="EK464" s="1136">
        <f t="shared" si="343"/>
        <v>0</v>
      </c>
      <c r="EL464" s="1136">
        <f t="shared" si="344"/>
        <v>0</v>
      </c>
      <c r="EM464" s="1136">
        <f t="shared" si="345"/>
        <v>0</v>
      </c>
    </row>
    <row r="465" spans="11:143" ht="12" customHeight="1" x14ac:dyDescent="0.35">
      <c r="K465" s="13">
        <v>45</v>
      </c>
      <c r="L465" s="87">
        <f>Input!D228</f>
        <v>0</v>
      </c>
      <c r="M465" s="88">
        <f>IF(Input!$F$183&gt;=$K465,Input!G228,0)</f>
        <v>0</v>
      </c>
      <c r="N465" s="197">
        <f>Input!H228</f>
        <v>0</v>
      </c>
      <c r="O465" s="197">
        <f>Input!I228</f>
        <v>0</v>
      </c>
      <c r="P465" s="90">
        <f>Input!J228</f>
        <v>0</v>
      </c>
      <c r="Q465" s="13">
        <v>45</v>
      </c>
      <c r="R465" s="207">
        <f t="shared" si="283"/>
        <v>0</v>
      </c>
      <c r="S465" s="207">
        <f t="shared" si="284"/>
        <v>0</v>
      </c>
      <c r="T465" s="40">
        <f>IFERROR(VLOOKUP(R465,Infrastructure!$D$70:$F$129,3,FALSE),0)</f>
        <v>1</v>
      </c>
      <c r="U465" s="40">
        <f>IFERROR(VLOOKUP(S465,Infrastructure!$D$70:$F$129,3,FALSE),0)</f>
        <v>1</v>
      </c>
      <c r="V465" s="13"/>
      <c r="W465" s="91">
        <f>IF(Input!$F$183&gt;=$K465,Input!M228,0)</f>
        <v>0</v>
      </c>
      <c r="X465" s="92">
        <f>IF(Input!$F$183&gt;=$K465,Input!N228,0)</f>
        <v>0</v>
      </c>
      <c r="Y465" s="92">
        <f>IF(Input!$F$183&gt;=$K465,Input!O228,0)</f>
        <v>0</v>
      </c>
      <c r="Z465" s="92">
        <f>IF(Input!$F$183&gt;=$K465,Input!P228,0)</f>
        <v>0</v>
      </c>
      <c r="AA465" s="92">
        <f>IF(Input!$F$183&gt;=$K465,Input!Q228,0)</f>
        <v>0</v>
      </c>
      <c r="AB465" s="92">
        <f>IF(Input!$F$183&gt;=$K465,Input!R228,0)</f>
        <v>0</v>
      </c>
      <c r="AC465" s="92">
        <f>IF(Input!$F$183&gt;=$K465,Input!S228,0)</f>
        <v>0</v>
      </c>
      <c r="AD465" s="92">
        <f>IF(Input!$F$183&gt;=$K465,Input!T228,0)</f>
        <v>0</v>
      </c>
      <c r="AE465" s="92">
        <f>IF(Input!$F$183&gt;=$K465,Input!U228,0)</f>
        <v>0</v>
      </c>
      <c r="AF465" s="92">
        <f>IF(Input!$F$183&gt;=$K465,Input!V228,0)</f>
        <v>0</v>
      </c>
      <c r="AG465" s="92">
        <f>IF(Input!$F$183&gt;=$K465,Input!W228,0)</f>
        <v>0</v>
      </c>
      <c r="AH465" s="92">
        <f>IF(Input!$F$183&gt;=$K465,Input!X228,0)</f>
        <v>0</v>
      </c>
      <c r="AI465" s="92">
        <f>IF(Input!$F$183&gt;=$K465,Input!Y228,0)</f>
        <v>0</v>
      </c>
      <c r="AJ465" s="92">
        <f>IF(Input!$F$183&gt;=$K465,Input!Z228,0)</f>
        <v>0</v>
      </c>
      <c r="AK465" s="92">
        <f>IF(Input!$F$183&gt;=$K465,Input!AA228,0)</f>
        <v>0</v>
      </c>
      <c r="AL465" s="92">
        <f>IF(Input!$F$183&gt;=$K465,Input!AB228,0)</f>
        <v>0</v>
      </c>
      <c r="AM465" s="92">
        <f>IF(Input!$F$183&gt;=$K465,Input!AC228,0)</f>
        <v>0</v>
      </c>
      <c r="AN465" s="92">
        <f>IF(Input!$F$183&gt;=$K465,Input!AD228,0)</f>
        <v>0</v>
      </c>
      <c r="AO465" s="92">
        <f>IF(Input!$F$183&gt;=$K465,Input!AE228,0)</f>
        <v>0</v>
      </c>
      <c r="AP465" s="92">
        <f>IF(Input!$F$183&gt;=$K465,Input!AF228,0)</f>
        <v>0</v>
      </c>
      <c r="AQ465" s="92">
        <f>IF(Input!$F$183&gt;=$K465,Input!AG228,0)</f>
        <v>0</v>
      </c>
      <c r="AR465" s="92">
        <f>IF(Input!$F$183&gt;=$K465,Input!AH228,0)</f>
        <v>0</v>
      </c>
      <c r="AS465" s="92">
        <f>IF(Input!$F$183&gt;=$K465,Input!AI228,0)</f>
        <v>0</v>
      </c>
      <c r="AT465" s="92">
        <f>IF(Input!$F$183&gt;=$K465,Input!AJ228,0)</f>
        <v>0</v>
      </c>
      <c r="AU465" s="92">
        <f>IF(Input!$F$183&gt;=$K465,Input!AK228,0)</f>
        <v>0</v>
      </c>
      <c r="AV465" s="92">
        <f>IF(Input!$F$183&gt;=$K465,Input!AL228,0)</f>
        <v>0</v>
      </c>
      <c r="AW465" s="92">
        <f>IF(Input!$F$183&gt;=$K465,Input!AM228,0)</f>
        <v>0</v>
      </c>
      <c r="AX465" s="92">
        <f>IF(Input!$F$183&gt;=$K465,Input!AN228,0)</f>
        <v>0</v>
      </c>
      <c r="AY465" s="92">
        <f>IF(Input!$F$183&gt;=$K465,Input!AO228,0)</f>
        <v>0</v>
      </c>
      <c r="AZ465" s="92">
        <f>IF(Input!$F$183&gt;=$K465,Input!AP228,0)</f>
        <v>0</v>
      </c>
      <c r="BA465" s="92">
        <f>IF(Input!$F$183&gt;=$K465,Input!AQ228,0)</f>
        <v>0</v>
      </c>
      <c r="BB465" s="92">
        <f>IF(Input!$F$183&gt;=$K465,Input!AR228,0)</f>
        <v>0</v>
      </c>
      <c r="BC465" s="92">
        <f>IF(Input!$F$183&gt;=$K465,Input!AS228,0)</f>
        <v>0</v>
      </c>
      <c r="BD465" s="92">
        <f>IF(Input!$F$183&gt;=$K465,Input!AT228,0)</f>
        <v>0</v>
      </c>
      <c r="BE465" s="92">
        <f>IF(Input!$F$183&gt;=$K465,Input!AU228,0)</f>
        <v>0</v>
      </c>
      <c r="BF465" s="92">
        <f>IF(Input!$F$183&gt;=$K465,Input!AV228,0)</f>
        <v>0</v>
      </c>
      <c r="BG465" s="92">
        <f>IF(Input!$F$183&gt;=$K465,Input!AW228,0)</f>
        <v>0</v>
      </c>
      <c r="BH465" s="92">
        <f>IF(Input!$F$183&gt;=$K465,Input!AX228,0)</f>
        <v>0</v>
      </c>
      <c r="BI465" s="92">
        <f>IF(Input!$F$183&gt;=$K465,Input!AY228,0)</f>
        <v>0</v>
      </c>
      <c r="BJ465" s="92">
        <f>IF(Input!$F$183&gt;=$K465,Input!AZ228,0)</f>
        <v>0</v>
      </c>
      <c r="BK465" s="92">
        <f>IF(Input!$F$183&gt;=$K465,Input!BA228,0)</f>
        <v>0</v>
      </c>
      <c r="BL465" s="92">
        <f>IF(Input!$F$183&gt;=$K465,Input!BB228,0)</f>
        <v>0</v>
      </c>
      <c r="BM465" s="92">
        <f>IF(Input!$F$183&gt;=$K465,Input!BC228,0)</f>
        <v>0</v>
      </c>
      <c r="BN465" s="92">
        <f>IF(Input!$F$183&gt;=$K465,Input!BD228,0)</f>
        <v>0</v>
      </c>
      <c r="BO465" s="92">
        <f>IF(Input!$F$183&gt;=$K465,Input!BE228,0)</f>
        <v>0</v>
      </c>
      <c r="BP465" s="92">
        <f>IF(Input!$F$183&gt;=$K465,Input!BF228,0)</f>
        <v>0</v>
      </c>
      <c r="BQ465" s="92">
        <f>IF(Input!$F$183&gt;=$K465,Input!BG228,0)</f>
        <v>0</v>
      </c>
      <c r="BR465" s="92">
        <f>IF(Input!$F$183&gt;=$K465,Input!BH228,0)</f>
        <v>0</v>
      </c>
      <c r="BS465" s="92">
        <f>IF(Input!$F$183&gt;=$K465,Input!BI228,0)</f>
        <v>0</v>
      </c>
      <c r="BT465" s="92">
        <f>IF(Input!$F$183&gt;=$K465,Input!BJ228,0)</f>
        <v>0</v>
      </c>
      <c r="BU465" s="92">
        <f>IF(Input!$F$183&gt;=$K465,Input!BK228,0)</f>
        <v>0</v>
      </c>
      <c r="BV465" s="92">
        <f>IF(Input!$F$183&gt;=$K465,Input!BL228,0)</f>
        <v>0</v>
      </c>
      <c r="BW465" s="92">
        <f>IF(Input!$F$183&gt;=$K465,Input!BM228,0)</f>
        <v>0</v>
      </c>
      <c r="BX465" s="92">
        <f>IF(Input!$F$183&gt;=$K465,Input!BN228,0)</f>
        <v>0</v>
      </c>
      <c r="BY465" s="92">
        <f>IF(Input!$F$183&gt;=$K465,Input!BO228,0)</f>
        <v>0</v>
      </c>
      <c r="BZ465" s="92">
        <f>IF(Input!$F$183&gt;=$K465,Input!BP228,0)</f>
        <v>0</v>
      </c>
      <c r="CA465" s="92">
        <f>IF(Input!$F$183&gt;=$K465,Input!BQ228,0)</f>
        <v>0</v>
      </c>
      <c r="CB465" s="92">
        <f>IF(Input!$F$183&gt;=$K465,Input!BR228,0)</f>
        <v>0</v>
      </c>
      <c r="CC465" s="92">
        <f>IF(Input!$F$183&gt;=$K465,Input!BS228,0)</f>
        <v>0</v>
      </c>
      <c r="CD465" s="275">
        <f>IF(Input!$F$183&gt;=$K465,Input!BT228,0)</f>
        <v>0</v>
      </c>
      <c r="CE465" s="69">
        <f t="shared" si="285"/>
        <v>0</v>
      </c>
      <c r="CF465" s="1136">
        <f t="shared" si="286"/>
        <v>0</v>
      </c>
      <c r="CG465" s="1136">
        <f t="shared" si="287"/>
        <v>0</v>
      </c>
      <c r="CH465" s="1136">
        <f t="shared" si="288"/>
        <v>0</v>
      </c>
      <c r="CI465" s="1136">
        <f t="shared" si="289"/>
        <v>0</v>
      </c>
      <c r="CJ465" s="1136">
        <f t="shared" si="290"/>
        <v>0</v>
      </c>
      <c r="CK465" s="1136">
        <f t="shared" si="291"/>
        <v>0</v>
      </c>
      <c r="CL465" s="1136">
        <f t="shared" si="292"/>
        <v>0</v>
      </c>
      <c r="CM465" s="1136">
        <f t="shared" si="293"/>
        <v>0</v>
      </c>
      <c r="CN465" s="1136">
        <f t="shared" si="294"/>
        <v>0</v>
      </c>
      <c r="CO465" s="1136">
        <f t="shared" si="295"/>
        <v>0</v>
      </c>
      <c r="CP465" s="1136">
        <f t="shared" si="296"/>
        <v>0</v>
      </c>
      <c r="CQ465" s="1136">
        <f t="shared" si="297"/>
        <v>0</v>
      </c>
      <c r="CR465" s="1136">
        <f t="shared" si="298"/>
        <v>0</v>
      </c>
      <c r="CS465" s="1136">
        <f t="shared" si="299"/>
        <v>0</v>
      </c>
      <c r="CT465" s="1136">
        <f t="shared" si="300"/>
        <v>0</v>
      </c>
      <c r="CU465" s="1136">
        <f t="shared" si="301"/>
        <v>0</v>
      </c>
      <c r="CV465" s="1136">
        <f t="shared" si="302"/>
        <v>0</v>
      </c>
      <c r="CW465" s="1136">
        <f t="shared" si="303"/>
        <v>0</v>
      </c>
      <c r="CX465" s="1136">
        <f t="shared" si="304"/>
        <v>0</v>
      </c>
      <c r="CY465" s="1136">
        <f t="shared" si="305"/>
        <v>0</v>
      </c>
      <c r="CZ465" s="1136">
        <f t="shared" si="306"/>
        <v>0</v>
      </c>
      <c r="DA465" s="1136">
        <f t="shared" si="307"/>
        <v>0</v>
      </c>
      <c r="DB465" s="1136">
        <f t="shared" si="308"/>
        <v>0</v>
      </c>
      <c r="DC465" s="1136">
        <f t="shared" si="309"/>
        <v>0</v>
      </c>
      <c r="DD465" s="1136">
        <f t="shared" si="310"/>
        <v>0</v>
      </c>
      <c r="DE465" s="1136">
        <f t="shared" si="311"/>
        <v>0</v>
      </c>
      <c r="DF465" s="1136">
        <f t="shared" si="312"/>
        <v>0</v>
      </c>
      <c r="DG465" s="1136">
        <f t="shared" si="313"/>
        <v>0</v>
      </c>
      <c r="DH465" s="1136">
        <f t="shared" si="314"/>
        <v>0</v>
      </c>
      <c r="DI465" s="1136">
        <f t="shared" si="315"/>
        <v>0</v>
      </c>
      <c r="DJ465" s="1136">
        <f t="shared" si="316"/>
        <v>0</v>
      </c>
      <c r="DK465" s="1136">
        <f t="shared" si="317"/>
        <v>0</v>
      </c>
      <c r="DL465" s="1136">
        <f t="shared" si="318"/>
        <v>0</v>
      </c>
      <c r="DM465" s="1136">
        <f t="shared" si="319"/>
        <v>0</v>
      </c>
      <c r="DN465" s="1136">
        <f t="shared" si="320"/>
        <v>0</v>
      </c>
      <c r="DO465" s="1136">
        <f t="shared" si="321"/>
        <v>0</v>
      </c>
      <c r="DP465" s="1136">
        <f t="shared" si="322"/>
        <v>0</v>
      </c>
      <c r="DQ465" s="1136">
        <f t="shared" si="323"/>
        <v>0</v>
      </c>
      <c r="DR465" s="1136">
        <f t="shared" si="324"/>
        <v>0</v>
      </c>
      <c r="DS465" s="1136">
        <f t="shared" si="325"/>
        <v>0</v>
      </c>
      <c r="DT465" s="1136">
        <f t="shared" si="326"/>
        <v>0</v>
      </c>
      <c r="DU465" s="1136">
        <f t="shared" si="327"/>
        <v>0</v>
      </c>
      <c r="DV465" s="1136">
        <f t="shared" si="328"/>
        <v>0</v>
      </c>
      <c r="DW465" s="1136">
        <f t="shared" si="329"/>
        <v>0</v>
      </c>
      <c r="DX465" s="1136">
        <f t="shared" si="330"/>
        <v>0</v>
      </c>
      <c r="DY465" s="1136">
        <f t="shared" si="331"/>
        <v>0</v>
      </c>
      <c r="DZ465" s="1136">
        <f t="shared" si="332"/>
        <v>0</v>
      </c>
      <c r="EA465" s="1136">
        <f t="shared" si="333"/>
        <v>0</v>
      </c>
      <c r="EB465" s="1136">
        <f t="shared" si="334"/>
        <v>0</v>
      </c>
      <c r="EC465" s="1136">
        <f t="shared" si="335"/>
        <v>0</v>
      </c>
      <c r="ED465" s="1136">
        <f t="shared" si="336"/>
        <v>0</v>
      </c>
      <c r="EE465" s="1136">
        <f t="shared" si="337"/>
        <v>0</v>
      </c>
      <c r="EF465" s="1136">
        <f t="shared" si="338"/>
        <v>0</v>
      </c>
      <c r="EG465" s="1136">
        <f t="shared" si="339"/>
        <v>0</v>
      </c>
      <c r="EH465" s="1136">
        <f t="shared" si="340"/>
        <v>0</v>
      </c>
      <c r="EI465" s="1136">
        <f t="shared" si="341"/>
        <v>0</v>
      </c>
      <c r="EJ465" s="1136">
        <f t="shared" si="342"/>
        <v>0</v>
      </c>
      <c r="EK465" s="1136">
        <f t="shared" si="343"/>
        <v>0</v>
      </c>
      <c r="EL465" s="1136">
        <f t="shared" si="344"/>
        <v>0</v>
      </c>
      <c r="EM465" s="1136">
        <f t="shared" si="345"/>
        <v>0</v>
      </c>
    </row>
    <row r="466" spans="11:143" ht="12" customHeight="1" x14ac:dyDescent="0.35">
      <c r="K466" s="13">
        <v>46</v>
      </c>
      <c r="L466" s="87">
        <f>Input!D229</f>
        <v>0</v>
      </c>
      <c r="M466" s="88">
        <f>IF(Input!$F$183&gt;=$K466,Input!G229,0)</f>
        <v>0</v>
      </c>
      <c r="N466" s="197">
        <f>Input!H229</f>
        <v>0</v>
      </c>
      <c r="O466" s="197">
        <f>Input!I229</f>
        <v>0</v>
      </c>
      <c r="P466" s="90">
        <f>Input!J229</f>
        <v>0</v>
      </c>
      <c r="Q466" s="13">
        <v>46</v>
      </c>
      <c r="R466" s="207">
        <f t="shared" si="283"/>
        <v>0</v>
      </c>
      <c r="S466" s="207">
        <f t="shared" si="284"/>
        <v>0</v>
      </c>
      <c r="T466" s="40">
        <f>IFERROR(VLOOKUP(R466,Infrastructure!$D$70:$F$129,3,FALSE),0)</f>
        <v>1</v>
      </c>
      <c r="U466" s="40">
        <f>IFERROR(VLOOKUP(S466,Infrastructure!$D$70:$F$129,3,FALSE),0)</f>
        <v>1</v>
      </c>
      <c r="V466" s="13"/>
      <c r="W466" s="91">
        <f>IF(Input!$F$183&gt;=$K466,Input!M229,0)</f>
        <v>0</v>
      </c>
      <c r="X466" s="92">
        <f>IF(Input!$F$183&gt;=$K466,Input!N229,0)</f>
        <v>0</v>
      </c>
      <c r="Y466" s="92">
        <f>IF(Input!$F$183&gt;=$K466,Input!O229,0)</f>
        <v>0</v>
      </c>
      <c r="Z466" s="92">
        <f>IF(Input!$F$183&gt;=$K466,Input!P229,0)</f>
        <v>0</v>
      </c>
      <c r="AA466" s="92">
        <f>IF(Input!$F$183&gt;=$K466,Input!Q229,0)</f>
        <v>0</v>
      </c>
      <c r="AB466" s="92">
        <f>IF(Input!$F$183&gt;=$K466,Input!R229,0)</f>
        <v>0</v>
      </c>
      <c r="AC466" s="92">
        <f>IF(Input!$F$183&gt;=$K466,Input!S229,0)</f>
        <v>0</v>
      </c>
      <c r="AD466" s="92">
        <f>IF(Input!$F$183&gt;=$K466,Input!T229,0)</f>
        <v>0</v>
      </c>
      <c r="AE466" s="92">
        <f>IF(Input!$F$183&gt;=$K466,Input!U229,0)</f>
        <v>0</v>
      </c>
      <c r="AF466" s="92">
        <f>IF(Input!$F$183&gt;=$K466,Input!V229,0)</f>
        <v>0</v>
      </c>
      <c r="AG466" s="92">
        <f>IF(Input!$F$183&gt;=$K466,Input!W229,0)</f>
        <v>0</v>
      </c>
      <c r="AH466" s="92">
        <f>IF(Input!$F$183&gt;=$K466,Input!X229,0)</f>
        <v>0</v>
      </c>
      <c r="AI466" s="92">
        <f>IF(Input!$F$183&gt;=$K466,Input!Y229,0)</f>
        <v>0</v>
      </c>
      <c r="AJ466" s="92">
        <f>IF(Input!$F$183&gt;=$K466,Input!Z229,0)</f>
        <v>0</v>
      </c>
      <c r="AK466" s="92">
        <f>IF(Input!$F$183&gt;=$K466,Input!AA229,0)</f>
        <v>0</v>
      </c>
      <c r="AL466" s="92">
        <f>IF(Input!$F$183&gt;=$K466,Input!AB229,0)</f>
        <v>0</v>
      </c>
      <c r="AM466" s="92">
        <f>IF(Input!$F$183&gt;=$K466,Input!AC229,0)</f>
        <v>0</v>
      </c>
      <c r="AN466" s="92">
        <f>IF(Input!$F$183&gt;=$K466,Input!AD229,0)</f>
        <v>0</v>
      </c>
      <c r="AO466" s="92">
        <f>IF(Input!$F$183&gt;=$K466,Input!AE229,0)</f>
        <v>0</v>
      </c>
      <c r="AP466" s="92">
        <f>IF(Input!$F$183&gt;=$K466,Input!AF229,0)</f>
        <v>0</v>
      </c>
      <c r="AQ466" s="92">
        <f>IF(Input!$F$183&gt;=$K466,Input!AG229,0)</f>
        <v>0</v>
      </c>
      <c r="AR466" s="92">
        <f>IF(Input!$F$183&gt;=$K466,Input!AH229,0)</f>
        <v>0</v>
      </c>
      <c r="AS466" s="92">
        <f>IF(Input!$F$183&gt;=$K466,Input!AI229,0)</f>
        <v>0</v>
      </c>
      <c r="AT466" s="92">
        <f>IF(Input!$F$183&gt;=$K466,Input!AJ229,0)</f>
        <v>0</v>
      </c>
      <c r="AU466" s="92">
        <f>IF(Input!$F$183&gt;=$K466,Input!AK229,0)</f>
        <v>0</v>
      </c>
      <c r="AV466" s="92">
        <f>IF(Input!$F$183&gt;=$K466,Input!AL229,0)</f>
        <v>0</v>
      </c>
      <c r="AW466" s="92">
        <f>IF(Input!$F$183&gt;=$K466,Input!AM229,0)</f>
        <v>0</v>
      </c>
      <c r="AX466" s="92">
        <f>IF(Input!$F$183&gt;=$K466,Input!AN229,0)</f>
        <v>0</v>
      </c>
      <c r="AY466" s="92">
        <f>IF(Input!$F$183&gt;=$K466,Input!AO229,0)</f>
        <v>0</v>
      </c>
      <c r="AZ466" s="92">
        <f>IF(Input!$F$183&gt;=$K466,Input!AP229,0)</f>
        <v>0</v>
      </c>
      <c r="BA466" s="92">
        <f>IF(Input!$F$183&gt;=$K466,Input!AQ229,0)</f>
        <v>0</v>
      </c>
      <c r="BB466" s="92">
        <f>IF(Input!$F$183&gt;=$K466,Input!AR229,0)</f>
        <v>0</v>
      </c>
      <c r="BC466" s="92">
        <f>IF(Input!$F$183&gt;=$K466,Input!AS229,0)</f>
        <v>0</v>
      </c>
      <c r="BD466" s="92">
        <f>IF(Input!$F$183&gt;=$K466,Input!AT229,0)</f>
        <v>0</v>
      </c>
      <c r="BE466" s="92">
        <f>IF(Input!$F$183&gt;=$K466,Input!AU229,0)</f>
        <v>0</v>
      </c>
      <c r="BF466" s="92">
        <f>IF(Input!$F$183&gt;=$K466,Input!AV229,0)</f>
        <v>0</v>
      </c>
      <c r="BG466" s="92">
        <f>IF(Input!$F$183&gt;=$K466,Input!AW229,0)</f>
        <v>0</v>
      </c>
      <c r="BH466" s="92">
        <f>IF(Input!$F$183&gt;=$K466,Input!AX229,0)</f>
        <v>0</v>
      </c>
      <c r="BI466" s="92">
        <f>IF(Input!$F$183&gt;=$K466,Input!AY229,0)</f>
        <v>0</v>
      </c>
      <c r="BJ466" s="92">
        <f>IF(Input!$F$183&gt;=$K466,Input!AZ229,0)</f>
        <v>0</v>
      </c>
      <c r="BK466" s="92">
        <f>IF(Input!$F$183&gt;=$K466,Input!BA229,0)</f>
        <v>0</v>
      </c>
      <c r="BL466" s="92">
        <f>IF(Input!$F$183&gt;=$K466,Input!BB229,0)</f>
        <v>0</v>
      </c>
      <c r="BM466" s="92">
        <f>IF(Input!$F$183&gt;=$K466,Input!BC229,0)</f>
        <v>0</v>
      </c>
      <c r="BN466" s="92">
        <f>IF(Input!$F$183&gt;=$K466,Input!BD229,0)</f>
        <v>0</v>
      </c>
      <c r="BO466" s="92">
        <f>IF(Input!$F$183&gt;=$K466,Input!BE229,0)</f>
        <v>0</v>
      </c>
      <c r="BP466" s="92">
        <f>IF(Input!$F$183&gt;=$K466,Input!BF229,0)</f>
        <v>0</v>
      </c>
      <c r="BQ466" s="92">
        <f>IF(Input!$F$183&gt;=$K466,Input!BG229,0)</f>
        <v>0</v>
      </c>
      <c r="BR466" s="92">
        <f>IF(Input!$F$183&gt;=$K466,Input!BH229,0)</f>
        <v>0</v>
      </c>
      <c r="BS466" s="92">
        <f>IF(Input!$F$183&gt;=$K466,Input!BI229,0)</f>
        <v>0</v>
      </c>
      <c r="BT466" s="92">
        <f>IF(Input!$F$183&gt;=$K466,Input!BJ229,0)</f>
        <v>0</v>
      </c>
      <c r="BU466" s="92">
        <f>IF(Input!$F$183&gt;=$K466,Input!BK229,0)</f>
        <v>0</v>
      </c>
      <c r="BV466" s="92">
        <f>IF(Input!$F$183&gt;=$K466,Input!BL229,0)</f>
        <v>0</v>
      </c>
      <c r="BW466" s="92">
        <f>IF(Input!$F$183&gt;=$K466,Input!BM229,0)</f>
        <v>0</v>
      </c>
      <c r="BX466" s="92">
        <f>IF(Input!$F$183&gt;=$K466,Input!BN229,0)</f>
        <v>0</v>
      </c>
      <c r="BY466" s="92">
        <f>IF(Input!$F$183&gt;=$K466,Input!BO229,0)</f>
        <v>0</v>
      </c>
      <c r="BZ466" s="92">
        <f>IF(Input!$F$183&gt;=$K466,Input!BP229,0)</f>
        <v>0</v>
      </c>
      <c r="CA466" s="92">
        <f>IF(Input!$F$183&gt;=$K466,Input!BQ229,0)</f>
        <v>0</v>
      </c>
      <c r="CB466" s="92">
        <f>IF(Input!$F$183&gt;=$K466,Input!BR229,0)</f>
        <v>0</v>
      </c>
      <c r="CC466" s="92">
        <f>IF(Input!$F$183&gt;=$K466,Input!BS229,0)</f>
        <v>0</v>
      </c>
      <c r="CD466" s="275">
        <f>IF(Input!$F$183&gt;=$K466,Input!BT229,0)</f>
        <v>0</v>
      </c>
      <c r="CE466" s="69">
        <f t="shared" si="285"/>
        <v>0</v>
      </c>
      <c r="CF466" s="1136">
        <f t="shared" si="286"/>
        <v>0</v>
      </c>
      <c r="CG466" s="1136">
        <f t="shared" si="287"/>
        <v>0</v>
      </c>
      <c r="CH466" s="1136">
        <f t="shared" si="288"/>
        <v>0</v>
      </c>
      <c r="CI466" s="1136">
        <f t="shared" si="289"/>
        <v>0</v>
      </c>
      <c r="CJ466" s="1136">
        <f t="shared" si="290"/>
        <v>0</v>
      </c>
      <c r="CK466" s="1136">
        <f t="shared" si="291"/>
        <v>0</v>
      </c>
      <c r="CL466" s="1136">
        <f t="shared" si="292"/>
        <v>0</v>
      </c>
      <c r="CM466" s="1136">
        <f t="shared" si="293"/>
        <v>0</v>
      </c>
      <c r="CN466" s="1136">
        <f t="shared" si="294"/>
        <v>0</v>
      </c>
      <c r="CO466" s="1136">
        <f t="shared" si="295"/>
        <v>0</v>
      </c>
      <c r="CP466" s="1136">
        <f t="shared" si="296"/>
        <v>0</v>
      </c>
      <c r="CQ466" s="1136">
        <f t="shared" si="297"/>
        <v>0</v>
      </c>
      <c r="CR466" s="1136">
        <f t="shared" si="298"/>
        <v>0</v>
      </c>
      <c r="CS466" s="1136">
        <f t="shared" si="299"/>
        <v>0</v>
      </c>
      <c r="CT466" s="1136">
        <f t="shared" si="300"/>
        <v>0</v>
      </c>
      <c r="CU466" s="1136">
        <f t="shared" si="301"/>
        <v>0</v>
      </c>
      <c r="CV466" s="1136">
        <f t="shared" si="302"/>
        <v>0</v>
      </c>
      <c r="CW466" s="1136">
        <f t="shared" si="303"/>
        <v>0</v>
      </c>
      <c r="CX466" s="1136">
        <f t="shared" si="304"/>
        <v>0</v>
      </c>
      <c r="CY466" s="1136">
        <f t="shared" si="305"/>
        <v>0</v>
      </c>
      <c r="CZ466" s="1136">
        <f t="shared" si="306"/>
        <v>0</v>
      </c>
      <c r="DA466" s="1136">
        <f t="shared" si="307"/>
        <v>0</v>
      </c>
      <c r="DB466" s="1136">
        <f t="shared" si="308"/>
        <v>0</v>
      </c>
      <c r="DC466" s="1136">
        <f t="shared" si="309"/>
        <v>0</v>
      </c>
      <c r="DD466" s="1136">
        <f t="shared" si="310"/>
        <v>0</v>
      </c>
      <c r="DE466" s="1136">
        <f t="shared" si="311"/>
        <v>0</v>
      </c>
      <c r="DF466" s="1136">
        <f t="shared" si="312"/>
        <v>0</v>
      </c>
      <c r="DG466" s="1136">
        <f t="shared" si="313"/>
        <v>0</v>
      </c>
      <c r="DH466" s="1136">
        <f t="shared" si="314"/>
        <v>0</v>
      </c>
      <c r="DI466" s="1136">
        <f t="shared" si="315"/>
        <v>0</v>
      </c>
      <c r="DJ466" s="1136">
        <f t="shared" si="316"/>
        <v>0</v>
      </c>
      <c r="DK466" s="1136">
        <f t="shared" si="317"/>
        <v>0</v>
      </c>
      <c r="DL466" s="1136">
        <f t="shared" si="318"/>
        <v>0</v>
      </c>
      <c r="DM466" s="1136">
        <f t="shared" si="319"/>
        <v>0</v>
      </c>
      <c r="DN466" s="1136">
        <f t="shared" si="320"/>
        <v>0</v>
      </c>
      <c r="DO466" s="1136">
        <f t="shared" si="321"/>
        <v>0</v>
      </c>
      <c r="DP466" s="1136">
        <f t="shared" si="322"/>
        <v>0</v>
      </c>
      <c r="DQ466" s="1136">
        <f t="shared" si="323"/>
        <v>0</v>
      </c>
      <c r="DR466" s="1136">
        <f t="shared" si="324"/>
        <v>0</v>
      </c>
      <c r="DS466" s="1136">
        <f t="shared" si="325"/>
        <v>0</v>
      </c>
      <c r="DT466" s="1136">
        <f t="shared" si="326"/>
        <v>0</v>
      </c>
      <c r="DU466" s="1136">
        <f t="shared" si="327"/>
        <v>0</v>
      </c>
      <c r="DV466" s="1136">
        <f t="shared" si="328"/>
        <v>0</v>
      </c>
      <c r="DW466" s="1136">
        <f t="shared" si="329"/>
        <v>0</v>
      </c>
      <c r="DX466" s="1136">
        <f t="shared" si="330"/>
        <v>0</v>
      </c>
      <c r="DY466" s="1136">
        <f t="shared" si="331"/>
        <v>0</v>
      </c>
      <c r="DZ466" s="1136">
        <f t="shared" si="332"/>
        <v>0</v>
      </c>
      <c r="EA466" s="1136">
        <f t="shared" si="333"/>
        <v>0</v>
      </c>
      <c r="EB466" s="1136">
        <f t="shared" si="334"/>
        <v>0</v>
      </c>
      <c r="EC466" s="1136">
        <f t="shared" si="335"/>
        <v>0</v>
      </c>
      <c r="ED466" s="1136">
        <f t="shared" si="336"/>
        <v>0</v>
      </c>
      <c r="EE466" s="1136">
        <f t="shared" si="337"/>
        <v>0</v>
      </c>
      <c r="EF466" s="1136">
        <f t="shared" si="338"/>
        <v>0</v>
      </c>
      <c r="EG466" s="1136">
        <f t="shared" si="339"/>
        <v>0</v>
      </c>
      <c r="EH466" s="1136">
        <f t="shared" si="340"/>
        <v>0</v>
      </c>
      <c r="EI466" s="1136">
        <f t="shared" si="341"/>
        <v>0</v>
      </c>
      <c r="EJ466" s="1136">
        <f t="shared" si="342"/>
        <v>0</v>
      </c>
      <c r="EK466" s="1136">
        <f t="shared" si="343"/>
        <v>0</v>
      </c>
      <c r="EL466" s="1136">
        <f t="shared" si="344"/>
        <v>0</v>
      </c>
      <c r="EM466" s="1136">
        <f t="shared" si="345"/>
        <v>0</v>
      </c>
    </row>
    <row r="467" spans="11:143" ht="12" customHeight="1" x14ac:dyDescent="0.35">
      <c r="K467" s="13">
        <v>47</v>
      </c>
      <c r="L467" s="87">
        <f>Input!D230</f>
        <v>0</v>
      </c>
      <c r="M467" s="88">
        <f>IF(Input!$F$183&gt;=$K467,Input!G230,0)</f>
        <v>0</v>
      </c>
      <c r="N467" s="197">
        <f>Input!H230</f>
        <v>0</v>
      </c>
      <c r="O467" s="197">
        <f>Input!I230</f>
        <v>0</v>
      </c>
      <c r="P467" s="90">
        <f>Input!J230</f>
        <v>0</v>
      </c>
      <c r="Q467" s="13">
        <v>47</v>
      </c>
      <c r="R467" s="207">
        <f t="shared" si="283"/>
        <v>0</v>
      </c>
      <c r="S467" s="207">
        <f t="shared" si="284"/>
        <v>0</v>
      </c>
      <c r="T467" s="40">
        <f>IFERROR(VLOOKUP(R467,Infrastructure!$D$70:$F$129,3,FALSE),0)</f>
        <v>1</v>
      </c>
      <c r="U467" s="40">
        <f>IFERROR(VLOOKUP(S467,Infrastructure!$D$70:$F$129,3,FALSE),0)</f>
        <v>1</v>
      </c>
      <c r="V467" s="13"/>
      <c r="W467" s="91">
        <f>IF(Input!$F$183&gt;=$K467,Input!M230,0)</f>
        <v>0</v>
      </c>
      <c r="X467" s="92">
        <f>IF(Input!$F$183&gt;=$K467,Input!N230,0)</f>
        <v>0</v>
      </c>
      <c r="Y467" s="92">
        <f>IF(Input!$F$183&gt;=$K467,Input!O230,0)</f>
        <v>0</v>
      </c>
      <c r="Z467" s="92">
        <f>IF(Input!$F$183&gt;=$K467,Input!P230,0)</f>
        <v>0</v>
      </c>
      <c r="AA467" s="92">
        <f>IF(Input!$F$183&gt;=$K467,Input!Q230,0)</f>
        <v>0</v>
      </c>
      <c r="AB467" s="92">
        <f>IF(Input!$F$183&gt;=$K467,Input!R230,0)</f>
        <v>0</v>
      </c>
      <c r="AC467" s="92">
        <f>IF(Input!$F$183&gt;=$K467,Input!S230,0)</f>
        <v>0</v>
      </c>
      <c r="AD467" s="92">
        <f>IF(Input!$F$183&gt;=$K467,Input!T230,0)</f>
        <v>0</v>
      </c>
      <c r="AE467" s="92">
        <f>IF(Input!$F$183&gt;=$K467,Input!U230,0)</f>
        <v>0</v>
      </c>
      <c r="AF467" s="92">
        <f>IF(Input!$F$183&gt;=$K467,Input!V230,0)</f>
        <v>0</v>
      </c>
      <c r="AG467" s="92">
        <f>IF(Input!$F$183&gt;=$K467,Input!W230,0)</f>
        <v>0</v>
      </c>
      <c r="AH467" s="92">
        <f>IF(Input!$F$183&gt;=$K467,Input!X230,0)</f>
        <v>0</v>
      </c>
      <c r="AI467" s="92">
        <f>IF(Input!$F$183&gt;=$K467,Input!Y230,0)</f>
        <v>0</v>
      </c>
      <c r="AJ467" s="92">
        <f>IF(Input!$F$183&gt;=$K467,Input!Z230,0)</f>
        <v>0</v>
      </c>
      <c r="AK467" s="92">
        <f>IF(Input!$F$183&gt;=$K467,Input!AA230,0)</f>
        <v>0</v>
      </c>
      <c r="AL467" s="92">
        <f>IF(Input!$F$183&gt;=$K467,Input!AB230,0)</f>
        <v>0</v>
      </c>
      <c r="AM467" s="92">
        <f>IF(Input!$F$183&gt;=$K467,Input!AC230,0)</f>
        <v>0</v>
      </c>
      <c r="AN467" s="92">
        <f>IF(Input!$F$183&gt;=$K467,Input!AD230,0)</f>
        <v>0</v>
      </c>
      <c r="AO467" s="92">
        <f>IF(Input!$F$183&gt;=$K467,Input!AE230,0)</f>
        <v>0</v>
      </c>
      <c r="AP467" s="92">
        <f>IF(Input!$F$183&gt;=$K467,Input!AF230,0)</f>
        <v>0</v>
      </c>
      <c r="AQ467" s="92">
        <f>IF(Input!$F$183&gt;=$K467,Input!AG230,0)</f>
        <v>0</v>
      </c>
      <c r="AR467" s="92">
        <f>IF(Input!$F$183&gt;=$K467,Input!AH230,0)</f>
        <v>0</v>
      </c>
      <c r="AS467" s="92">
        <f>IF(Input!$F$183&gt;=$K467,Input!AI230,0)</f>
        <v>0</v>
      </c>
      <c r="AT467" s="92">
        <f>IF(Input!$F$183&gt;=$K467,Input!AJ230,0)</f>
        <v>0</v>
      </c>
      <c r="AU467" s="92">
        <f>IF(Input!$F$183&gt;=$K467,Input!AK230,0)</f>
        <v>0</v>
      </c>
      <c r="AV467" s="92">
        <f>IF(Input!$F$183&gt;=$K467,Input!AL230,0)</f>
        <v>0</v>
      </c>
      <c r="AW467" s="92">
        <f>IF(Input!$F$183&gt;=$K467,Input!AM230,0)</f>
        <v>0</v>
      </c>
      <c r="AX467" s="92">
        <f>IF(Input!$F$183&gt;=$K467,Input!AN230,0)</f>
        <v>0</v>
      </c>
      <c r="AY467" s="92">
        <f>IF(Input!$F$183&gt;=$K467,Input!AO230,0)</f>
        <v>0</v>
      </c>
      <c r="AZ467" s="92">
        <f>IF(Input!$F$183&gt;=$K467,Input!AP230,0)</f>
        <v>0</v>
      </c>
      <c r="BA467" s="92">
        <f>IF(Input!$F$183&gt;=$K467,Input!AQ230,0)</f>
        <v>0</v>
      </c>
      <c r="BB467" s="92">
        <f>IF(Input!$F$183&gt;=$K467,Input!AR230,0)</f>
        <v>0</v>
      </c>
      <c r="BC467" s="92">
        <f>IF(Input!$F$183&gt;=$K467,Input!AS230,0)</f>
        <v>0</v>
      </c>
      <c r="BD467" s="92">
        <f>IF(Input!$F$183&gt;=$K467,Input!AT230,0)</f>
        <v>0</v>
      </c>
      <c r="BE467" s="92">
        <f>IF(Input!$F$183&gt;=$K467,Input!AU230,0)</f>
        <v>0</v>
      </c>
      <c r="BF467" s="92">
        <f>IF(Input!$F$183&gt;=$K467,Input!AV230,0)</f>
        <v>0</v>
      </c>
      <c r="BG467" s="92">
        <f>IF(Input!$F$183&gt;=$K467,Input!AW230,0)</f>
        <v>0</v>
      </c>
      <c r="BH467" s="92">
        <f>IF(Input!$F$183&gt;=$K467,Input!AX230,0)</f>
        <v>0</v>
      </c>
      <c r="BI467" s="92">
        <f>IF(Input!$F$183&gt;=$K467,Input!AY230,0)</f>
        <v>0</v>
      </c>
      <c r="BJ467" s="92">
        <f>IF(Input!$F$183&gt;=$K467,Input!AZ230,0)</f>
        <v>0</v>
      </c>
      <c r="BK467" s="92">
        <f>IF(Input!$F$183&gt;=$K467,Input!BA230,0)</f>
        <v>0</v>
      </c>
      <c r="BL467" s="92">
        <f>IF(Input!$F$183&gt;=$K467,Input!BB230,0)</f>
        <v>0</v>
      </c>
      <c r="BM467" s="92">
        <f>IF(Input!$F$183&gt;=$K467,Input!BC230,0)</f>
        <v>0</v>
      </c>
      <c r="BN467" s="92">
        <f>IF(Input!$F$183&gt;=$K467,Input!BD230,0)</f>
        <v>0</v>
      </c>
      <c r="BO467" s="92">
        <f>IF(Input!$F$183&gt;=$K467,Input!BE230,0)</f>
        <v>0</v>
      </c>
      <c r="BP467" s="92">
        <f>IF(Input!$F$183&gt;=$K467,Input!BF230,0)</f>
        <v>0</v>
      </c>
      <c r="BQ467" s="92">
        <f>IF(Input!$F$183&gt;=$K467,Input!BG230,0)</f>
        <v>0</v>
      </c>
      <c r="BR467" s="92">
        <f>IF(Input!$F$183&gt;=$K467,Input!BH230,0)</f>
        <v>0</v>
      </c>
      <c r="BS467" s="92">
        <f>IF(Input!$F$183&gt;=$K467,Input!BI230,0)</f>
        <v>0</v>
      </c>
      <c r="BT467" s="92">
        <f>IF(Input!$F$183&gt;=$K467,Input!BJ230,0)</f>
        <v>0</v>
      </c>
      <c r="BU467" s="92">
        <f>IF(Input!$F$183&gt;=$K467,Input!BK230,0)</f>
        <v>0</v>
      </c>
      <c r="BV467" s="92">
        <f>IF(Input!$F$183&gt;=$K467,Input!BL230,0)</f>
        <v>0</v>
      </c>
      <c r="BW467" s="92">
        <f>IF(Input!$F$183&gt;=$K467,Input!BM230,0)</f>
        <v>0</v>
      </c>
      <c r="BX467" s="92">
        <f>IF(Input!$F$183&gt;=$K467,Input!BN230,0)</f>
        <v>0</v>
      </c>
      <c r="BY467" s="92">
        <f>IF(Input!$F$183&gt;=$K467,Input!BO230,0)</f>
        <v>0</v>
      </c>
      <c r="BZ467" s="92">
        <f>IF(Input!$F$183&gt;=$K467,Input!BP230,0)</f>
        <v>0</v>
      </c>
      <c r="CA467" s="92">
        <f>IF(Input!$F$183&gt;=$K467,Input!BQ230,0)</f>
        <v>0</v>
      </c>
      <c r="CB467" s="92">
        <f>IF(Input!$F$183&gt;=$K467,Input!BR230,0)</f>
        <v>0</v>
      </c>
      <c r="CC467" s="92">
        <f>IF(Input!$F$183&gt;=$K467,Input!BS230,0)</f>
        <v>0</v>
      </c>
      <c r="CD467" s="275">
        <f>IF(Input!$F$183&gt;=$K467,Input!BT230,0)</f>
        <v>0</v>
      </c>
      <c r="CE467" s="69">
        <f t="shared" si="285"/>
        <v>0</v>
      </c>
      <c r="CF467" s="1136">
        <f t="shared" si="286"/>
        <v>0</v>
      </c>
      <c r="CG467" s="1136">
        <f t="shared" si="287"/>
        <v>0</v>
      </c>
      <c r="CH467" s="1136">
        <f t="shared" si="288"/>
        <v>0</v>
      </c>
      <c r="CI467" s="1136">
        <f t="shared" si="289"/>
        <v>0</v>
      </c>
      <c r="CJ467" s="1136">
        <f t="shared" si="290"/>
        <v>0</v>
      </c>
      <c r="CK467" s="1136">
        <f t="shared" si="291"/>
        <v>0</v>
      </c>
      <c r="CL467" s="1136">
        <f t="shared" si="292"/>
        <v>0</v>
      </c>
      <c r="CM467" s="1136">
        <f t="shared" si="293"/>
        <v>0</v>
      </c>
      <c r="CN467" s="1136">
        <f t="shared" si="294"/>
        <v>0</v>
      </c>
      <c r="CO467" s="1136">
        <f t="shared" si="295"/>
        <v>0</v>
      </c>
      <c r="CP467" s="1136">
        <f t="shared" si="296"/>
        <v>0</v>
      </c>
      <c r="CQ467" s="1136">
        <f t="shared" si="297"/>
        <v>0</v>
      </c>
      <c r="CR467" s="1136">
        <f t="shared" si="298"/>
        <v>0</v>
      </c>
      <c r="CS467" s="1136">
        <f t="shared" si="299"/>
        <v>0</v>
      </c>
      <c r="CT467" s="1136">
        <f t="shared" si="300"/>
        <v>0</v>
      </c>
      <c r="CU467" s="1136">
        <f t="shared" si="301"/>
        <v>0</v>
      </c>
      <c r="CV467" s="1136">
        <f t="shared" si="302"/>
        <v>0</v>
      </c>
      <c r="CW467" s="1136">
        <f t="shared" si="303"/>
        <v>0</v>
      </c>
      <c r="CX467" s="1136">
        <f t="shared" si="304"/>
        <v>0</v>
      </c>
      <c r="CY467" s="1136">
        <f t="shared" si="305"/>
        <v>0</v>
      </c>
      <c r="CZ467" s="1136">
        <f t="shared" si="306"/>
        <v>0</v>
      </c>
      <c r="DA467" s="1136">
        <f t="shared" si="307"/>
        <v>0</v>
      </c>
      <c r="DB467" s="1136">
        <f t="shared" si="308"/>
        <v>0</v>
      </c>
      <c r="DC467" s="1136">
        <f t="shared" si="309"/>
        <v>0</v>
      </c>
      <c r="DD467" s="1136">
        <f t="shared" si="310"/>
        <v>0</v>
      </c>
      <c r="DE467" s="1136">
        <f t="shared" si="311"/>
        <v>0</v>
      </c>
      <c r="DF467" s="1136">
        <f t="shared" si="312"/>
        <v>0</v>
      </c>
      <c r="DG467" s="1136">
        <f t="shared" si="313"/>
        <v>0</v>
      </c>
      <c r="DH467" s="1136">
        <f t="shared" si="314"/>
        <v>0</v>
      </c>
      <c r="DI467" s="1136">
        <f t="shared" si="315"/>
        <v>0</v>
      </c>
      <c r="DJ467" s="1136">
        <f t="shared" si="316"/>
        <v>0</v>
      </c>
      <c r="DK467" s="1136">
        <f t="shared" si="317"/>
        <v>0</v>
      </c>
      <c r="DL467" s="1136">
        <f t="shared" si="318"/>
        <v>0</v>
      </c>
      <c r="DM467" s="1136">
        <f t="shared" si="319"/>
        <v>0</v>
      </c>
      <c r="DN467" s="1136">
        <f t="shared" si="320"/>
        <v>0</v>
      </c>
      <c r="DO467" s="1136">
        <f t="shared" si="321"/>
        <v>0</v>
      </c>
      <c r="DP467" s="1136">
        <f t="shared" si="322"/>
        <v>0</v>
      </c>
      <c r="DQ467" s="1136">
        <f t="shared" si="323"/>
        <v>0</v>
      </c>
      <c r="DR467" s="1136">
        <f t="shared" si="324"/>
        <v>0</v>
      </c>
      <c r="DS467" s="1136">
        <f t="shared" si="325"/>
        <v>0</v>
      </c>
      <c r="DT467" s="1136">
        <f t="shared" si="326"/>
        <v>0</v>
      </c>
      <c r="DU467" s="1136">
        <f t="shared" si="327"/>
        <v>0</v>
      </c>
      <c r="DV467" s="1136">
        <f t="shared" si="328"/>
        <v>0</v>
      </c>
      <c r="DW467" s="1136">
        <f t="shared" si="329"/>
        <v>0</v>
      </c>
      <c r="DX467" s="1136">
        <f t="shared" si="330"/>
        <v>0</v>
      </c>
      <c r="DY467" s="1136">
        <f t="shared" si="331"/>
        <v>0</v>
      </c>
      <c r="DZ467" s="1136">
        <f t="shared" si="332"/>
        <v>0</v>
      </c>
      <c r="EA467" s="1136">
        <f t="shared" si="333"/>
        <v>0</v>
      </c>
      <c r="EB467" s="1136">
        <f t="shared" si="334"/>
        <v>0</v>
      </c>
      <c r="EC467" s="1136">
        <f t="shared" si="335"/>
        <v>0</v>
      </c>
      <c r="ED467" s="1136">
        <f t="shared" si="336"/>
        <v>0</v>
      </c>
      <c r="EE467" s="1136">
        <f t="shared" si="337"/>
        <v>0</v>
      </c>
      <c r="EF467" s="1136">
        <f t="shared" si="338"/>
        <v>0</v>
      </c>
      <c r="EG467" s="1136">
        <f t="shared" si="339"/>
        <v>0</v>
      </c>
      <c r="EH467" s="1136">
        <f t="shared" si="340"/>
        <v>0</v>
      </c>
      <c r="EI467" s="1136">
        <f t="shared" si="341"/>
        <v>0</v>
      </c>
      <c r="EJ467" s="1136">
        <f t="shared" si="342"/>
        <v>0</v>
      </c>
      <c r="EK467" s="1136">
        <f t="shared" si="343"/>
        <v>0</v>
      </c>
      <c r="EL467" s="1136">
        <f t="shared" si="344"/>
        <v>0</v>
      </c>
      <c r="EM467" s="1136">
        <f t="shared" si="345"/>
        <v>0</v>
      </c>
    </row>
    <row r="468" spans="11:143" ht="12" customHeight="1" x14ac:dyDescent="0.35">
      <c r="K468" s="13">
        <v>48</v>
      </c>
      <c r="L468" s="87">
        <f>Input!D231</f>
        <v>0</v>
      </c>
      <c r="M468" s="88">
        <f>IF(Input!$F$183&gt;=$K468,Input!G231,0)</f>
      </c>
      <c r="N468" s="197">
        <f>Input!H231</f>
        <v>0</v>
      </c>
      <c r="O468" s="197">
        <f>Input!I231</f>
        <v>0</v>
      </c>
      <c r="P468" s="90">
        <f>Input!J231</f>
        <v>0</v>
      </c>
      <c r="Q468" s="13">
        <v>48</v>
      </c>
      <c r="R468" s="207">
        <f t="shared" si="283"/>
        <v>0</v>
      </c>
      <c r="S468" s="207">
        <f t="shared" si="284"/>
        <v>0</v>
      </c>
      <c r="T468" s="40">
        <f>IFERROR(VLOOKUP(R468,Infrastructure!$D$70:$F$129,3,FALSE),0)</f>
        <v>1</v>
      </c>
      <c r="U468" s="40">
        <f>IFERROR(VLOOKUP(S468,Infrastructure!$D$70:$F$129,3,FALSE),0)</f>
        <v>1</v>
      </c>
      <c r="V468" s="13"/>
      <c r="W468" s="91">
        <f>IF(Input!$F$183&gt;=$K468,Input!M231,0)</f>
        <v>0</v>
      </c>
      <c r="X468" s="92">
        <f>IF(Input!$F$183&gt;=$K468,Input!N231,0)</f>
        <v>0</v>
      </c>
      <c r="Y468" s="92">
        <f>IF(Input!$F$183&gt;=$K468,Input!O231,0)</f>
        <v>0</v>
      </c>
      <c r="Z468" s="92">
        <f>IF(Input!$F$183&gt;=$K468,Input!P231,0)</f>
        <v>0</v>
      </c>
      <c r="AA468" s="92">
        <f>IF(Input!$F$183&gt;=$K468,Input!Q231,0)</f>
        <v>0</v>
      </c>
      <c r="AB468" s="92">
        <f>IF(Input!$F$183&gt;=$K468,Input!R231,0)</f>
        <v>0</v>
      </c>
      <c r="AC468" s="92">
        <f>IF(Input!$F$183&gt;=$K468,Input!S231,0)</f>
        <v>0</v>
      </c>
      <c r="AD468" s="92">
        <f>IF(Input!$F$183&gt;=$K468,Input!T231,0)</f>
        <v>0</v>
      </c>
      <c r="AE468" s="92">
        <f>IF(Input!$F$183&gt;=$K468,Input!U231,0)</f>
        <v>0</v>
      </c>
      <c r="AF468" s="92">
        <f>IF(Input!$F$183&gt;=$K468,Input!V231,0)</f>
        <v>0</v>
      </c>
      <c r="AG468" s="92">
        <f>IF(Input!$F$183&gt;=$K468,Input!W231,0)</f>
        <v>0</v>
      </c>
      <c r="AH468" s="92">
        <f>IF(Input!$F$183&gt;=$K468,Input!X231,0)</f>
        <v>0</v>
      </c>
      <c r="AI468" s="92">
        <f>IF(Input!$F$183&gt;=$K468,Input!Y231,0)</f>
        <v>0</v>
      </c>
      <c r="AJ468" s="92">
        <f>IF(Input!$F$183&gt;=$K468,Input!Z231,0)</f>
        <v>0</v>
      </c>
      <c r="AK468" s="92">
        <f>IF(Input!$F$183&gt;=$K468,Input!AA231,0)</f>
        <v>0</v>
      </c>
      <c r="AL468" s="92">
        <f>IF(Input!$F$183&gt;=$K468,Input!AB231,0)</f>
        <v>0</v>
      </c>
      <c r="AM468" s="92">
        <f>IF(Input!$F$183&gt;=$K468,Input!AC231,0)</f>
        <v>0</v>
      </c>
      <c r="AN468" s="92">
        <f>IF(Input!$F$183&gt;=$K468,Input!AD231,0)</f>
        <v>0</v>
      </c>
      <c r="AO468" s="92">
        <f>IF(Input!$F$183&gt;=$K468,Input!AE231,0)</f>
        <v>0</v>
      </c>
      <c r="AP468" s="92">
        <f>IF(Input!$F$183&gt;=$K468,Input!AF231,0)</f>
        <v>0</v>
      </c>
      <c r="AQ468" s="92">
        <f>IF(Input!$F$183&gt;=$K468,Input!AG231,0)</f>
        <v>0</v>
      </c>
      <c r="AR468" s="92">
        <f>IF(Input!$F$183&gt;=$K468,Input!AH231,0)</f>
        <v>0</v>
      </c>
      <c r="AS468" s="92">
        <f>IF(Input!$F$183&gt;=$K468,Input!AI231,0)</f>
        <v>0</v>
      </c>
      <c r="AT468" s="92">
        <f>IF(Input!$F$183&gt;=$K468,Input!AJ231,0)</f>
        <v>0</v>
      </c>
      <c r="AU468" s="92">
        <f>IF(Input!$F$183&gt;=$K468,Input!AK231,0)</f>
        <v>0</v>
      </c>
      <c r="AV468" s="92">
        <f>IF(Input!$F$183&gt;=$K468,Input!AL231,0)</f>
        <v>0</v>
      </c>
      <c r="AW468" s="92">
        <f>IF(Input!$F$183&gt;=$K468,Input!AM231,0)</f>
        <v>0</v>
      </c>
      <c r="AX468" s="92">
        <f>IF(Input!$F$183&gt;=$K468,Input!AN231,0)</f>
        <v>0</v>
      </c>
      <c r="AY468" s="92">
        <f>IF(Input!$F$183&gt;=$K468,Input!AO231,0)</f>
        <v>0</v>
      </c>
      <c r="AZ468" s="92">
        <f>IF(Input!$F$183&gt;=$K468,Input!AP231,0)</f>
        <v>0</v>
      </c>
      <c r="BA468" s="92">
        <f>IF(Input!$F$183&gt;=$K468,Input!AQ231,0)</f>
        <v>0</v>
      </c>
      <c r="BB468" s="92">
        <f>IF(Input!$F$183&gt;=$K468,Input!AR231,0)</f>
        <v>0</v>
      </c>
      <c r="BC468" s="92">
        <f>IF(Input!$F$183&gt;=$K468,Input!AS231,0)</f>
        <v>0</v>
      </c>
      <c r="BD468" s="92">
        <f>IF(Input!$F$183&gt;=$K468,Input!AT231,0)</f>
        <v>0</v>
      </c>
      <c r="BE468" s="92">
        <f>IF(Input!$F$183&gt;=$K468,Input!AU231,0)</f>
        <v>0</v>
      </c>
      <c r="BF468" s="92">
        <f>IF(Input!$F$183&gt;=$K468,Input!AV231,0)</f>
        <v>0</v>
      </c>
      <c r="BG468" s="92">
        <f>IF(Input!$F$183&gt;=$K468,Input!AW231,0)</f>
        <v>0</v>
      </c>
      <c r="BH468" s="92">
        <f>IF(Input!$F$183&gt;=$K468,Input!AX231,0)</f>
        <v>0</v>
      </c>
      <c r="BI468" s="92">
        <f>IF(Input!$F$183&gt;=$K468,Input!AY231,0)</f>
        <v>0</v>
      </c>
      <c r="BJ468" s="92">
        <f>IF(Input!$F$183&gt;=$K468,Input!AZ231,0)</f>
        <v>0</v>
      </c>
      <c r="BK468" s="92">
        <f>IF(Input!$F$183&gt;=$K468,Input!BA231,0)</f>
        <v>0</v>
      </c>
      <c r="BL468" s="92">
        <f>IF(Input!$F$183&gt;=$K468,Input!BB231,0)</f>
        <v>0</v>
      </c>
      <c r="BM468" s="92">
        <f>IF(Input!$F$183&gt;=$K468,Input!BC231,0)</f>
        <v>0</v>
      </c>
      <c r="BN468" s="92">
        <f>IF(Input!$F$183&gt;=$K468,Input!BD231,0)</f>
        <v>0</v>
      </c>
      <c r="BO468" s="92">
        <f>IF(Input!$F$183&gt;=$K468,Input!BE231,0)</f>
        <v>0</v>
      </c>
      <c r="BP468" s="92">
        <f>IF(Input!$F$183&gt;=$K468,Input!BF231,0)</f>
        <v>0</v>
      </c>
      <c r="BQ468" s="92">
        <f>IF(Input!$F$183&gt;=$K468,Input!BG231,0)</f>
        <v>0</v>
      </c>
      <c r="BR468" s="92">
        <f>IF(Input!$F$183&gt;=$K468,Input!BH231,0)</f>
        <v>0</v>
      </c>
      <c r="BS468" s="92">
        <f>IF(Input!$F$183&gt;=$K468,Input!BI231,0)</f>
        <v>0</v>
      </c>
      <c r="BT468" s="92">
        <f>IF(Input!$F$183&gt;=$K468,Input!BJ231,0)</f>
        <v>0</v>
      </c>
      <c r="BU468" s="92">
        <f>IF(Input!$F$183&gt;=$K468,Input!BK231,0)</f>
        <v>0</v>
      </c>
      <c r="BV468" s="92">
        <f>IF(Input!$F$183&gt;=$K468,Input!BL231,0)</f>
        <v>0</v>
      </c>
      <c r="BW468" s="92">
        <f>IF(Input!$F$183&gt;=$K468,Input!BM231,0)</f>
        <v>0</v>
      </c>
      <c r="BX468" s="92">
        <f>IF(Input!$F$183&gt;=$K468,Input!BN231,0)</f>
        <v>0</v>
      </c>
      <c r="BY468" s="92">
        <f>IF(Input!$F$183&gt;=$K468,Input!BO231,0)</f>
        <v>0</v>
      </c>
      <c r="BZ468" s="92">
        <f>IF(Input!$F$183&gt;=$K468,Input!BP231,0)</f>
        <v>0</v>
      </c>
      <c r="CA468" s="92">
        <f>IF(Input!$F$183&gt;=$K468,Input!BQ231,0)</f>
        <v>0</v>
      </c>
      <c r="CB468" s="92">
        <f>IF(Input!$F$183&gt;=$K468,Input!BR231,0)</f>
        <v>0</v>
      </c>
      <c r="CC468" s="92">
        <f>IF(Input!$F$183&gt;=$K468,Input!BS231,0)</f>
        <v>0</v>
      </c>
      <c r="CD468" s="275">
        <f>IF(Input!$F$183&gt;=$K468,Input!BT231,0)</f>
        <v>0</v>
      </c>
      <c r="CE468" s="69">
        <f t="shared" si="285"/>
        <v>0</v>
      </c>
      <c r="CF468" s="1136">
        <f t="shared" si="286"/>
        <v>0</v>
      </c>
      <c r="CG468" s="1136">
        <f t="shared" si="287"/>
        <v>0</v>
      </c>
      <c r="CH468" s="1136">
        <f t="shared" si="288"/>
        <v>0</v>
      </c>
      <c r="CI468" s="1136">
        <f t="shared" si="289"/>
        <v>0</v>
      </c>
      <c r="CJ468" s="1136">
        <f t="shared" si="290"/>
        <v>0</v>
      </c>
      <c r="CK468" s="1136">
        <f t="shared" si="291"/>
        <v>0</v>
      </c>
      <c r="CL468" s="1136">
        <f t="shared" si="292"/>
        <v>0</v>
      </c>
      <c r="CM468" s="1136">
        <f t="shared" si="293"/>
        <v>0</v>
      </c>
      <c r="CN468" s="1136">
        <f t="shared" si="294"/>
        <v>0</v>
      </c>
      <c r="CO468" s="1136">
        <f t="shared" si="295"/>
        <v>0</v>
      </c>
      <c r="CP468" s="1136">
        <f t="shared" si="296"/>
        <v>0</v>
      </c>
      <c r="CQ468" s="1136">
        <f t="shared" si="297"/>
        <v>0</v>
      </c>
      <c r="CR468" s="1136">
        <f t="shared" si="298"/>
        <v>0</v>
      </c>
      <c r="CS468" s="1136">
        <f t="shared" si="299"/>
        <v>0</v>
      </c>
      <c r="CT468" s="1136">
        <f t="shared" si="300"/>
        <v>0</v>
      </c>
      <c r="CU468" s="1136">
        <f t="shared" si="301"/>
        <v>0</v>
      </c>
      <c r="CV468" s="1136">
        <f t="shared" si="302"/>
        <v>0</v>
      </c>
      <c r="CW468" s="1136">
        <f t="shared" si="303"/>
        <v>0</v>
      </c>
      <c r="CX468" s="1136">
        <f t="shared" si="304"/>
        <v>0</v>
      </c>
      <c r="CY468" s="1136">
        <f t="shared" si="305"/>
        <v>0</v>
      </c>
      <c r="CZ468" s="1136">
        <f t="shared" si="306"/>
        <v>0</v>
      </c>
      <c r="DA468" s="1136">
        <f t="shared" si="307"/>
        <v>0</v>
      </c>
      <c r="DB468" s="1136">
        <f t="shared" si="308"/>
        <v>0</v>
      </c>
      <c r="DC468" s="1136">
        <f t="shared" si="309"/>
        <v>0</v>
      </c>
      <c r="DD468" s="1136">
        <f t="shared" si="310"/>
        <v>0</v>
      </c>
      <c r="DE468" s="1136">
        <f t="shared" si="311"/>
        <v>0</v>
      </c>
      <c r="DF468" s="1136">
        <f t="shared" si="312"/>
        <v>0</v>
      </c>
      <c r="DG468" s="1136">
        <f t="shared" si="313"/>
        <v>0</v>
      </c>
      <c r="DH468" s="1136">
        <f t="shared" si="314"/>
        <v>0</v>
      </c>
      <c r="DI468" s="1136">
        <f t="shared" si="315"/>
        <v>0</v>
      </c>
      <c r="DJ468" s="1136">
        <f t="shared" si="316"/>
        <v>0</v>
      </c>
      <c r="DK468" s="1136">
        <f t="shared" si="317"/>
        <v>0</v>
      </c>
      <c r="DL468" s="1136">
        <f t="shared" si="318"/>
        <v>0</v>
      </c>
      <c r="DM468" s="1136">
        <f t="shared" si="319"/>
        <v>0</v>
      </c>
      <c r="DN468" s="1136">
        <f t="shared" si="320"/>
        <v>0</v>
      </c>
      <c r="DO468" s="1136">
        <f t="shared" si="321"/>
        <v>0</v>
      </c>
      <c r="DP468" s="1136">
        <f t="shared" si="322"/>
        <v>0</v>
      </c>
      <c r="DQ468" s="1136">
        <f t="shared" si="323"/>
        <v>0</v>
      </c>
      <c r="DR468" s="1136">
        <f t="shared" si="324"/>
        <v>0</v>
      </c>
      <c r="DS468" s="1136">
        <f t="shared" si="325"/>
        <v>0</v>
      </c>
      <c r="DT468" s="1136">
        <f t="shared" si="326"/>
        <v>0</v>
      </c>
      <c r="DU468" s="1136">
        <f t="shared" si="327"/>
        <v>0</v>
      </c>
      <c r="DV468" s="1136">
        <f t="shared" si="328"/>
        <v>0</v>
      </c>
      <c r="DW468" s="1136">
        <f t="shared" si="329"/>
        <v>0</v>
      </c>
      <c r="DX468" s="1136">
        <f t="shared" si="330"/>
        <v>0</v>
      </c>
      <c r="DY468" s="1136">
        <f t="shared" si="331"/>
        <v>0</v>
      </c>
      <c r="DZ468" s="1136">
        <f t="shared" si="332"/>
        <v>0</v>
      </c>
      <c r="EA468" s="1136">
        <f t="shared" si="333"/>
        <v>0</v>
      </c>
      <c r="EB468" s="1136">
        <f t="shared" si="334"/>
        <v>0</v>
      </c>
      <c r="EC468" s="1136">
        <f t="shared" si="335"/>
        <v>0</v>
      </c>
      <c r="ED468" s="1136">
        <f t="shared" si="336"/>
        <v>0</v>
      </c>
      <c r="EE468" s="1136">
        <f t="shared" si="337"/>
        <v>0</v>
      </c>
      <c r="EF468" s="1136">
        <f t="shared" si="338"/>
        <v>0</v>
      </c>
      <c r="EG468" s="1136">
        <f t="shared" si="339"/>
        <v>0</v>
      </c>
      <c r="EH468" s="1136">
        <f t="shared" si="340"/>
        <v>0</v>
      </c>
      <c r="EI468" s="1136">
        <f t="shared" si="341"/>
        <v>0</v>
      </c>
      <c r="EJ468" s="1136">
        <f t="shared" si="342"/>
        <v>0</v>
      </c>
      <c r="EK468" s="1136">
        <f t="shared" si="343"/>
        <v>0</v>
      </c>
      <c r="EL468" s="1136">
        <f t="shared" si="344"/>
        <v>0</v>
      </c>
      <c r="EM468" s="1136">
        <f t="shared" si="345"/>
        <v>0</v>
      </c>
    </row>
    <row r="469" spans="11:143" ht="12" customHeight="1" x14ac:dyDescent="0.35">
      <c r="K469" s="13">
        <v>49</v>
      </c>
      <c r="L469" s="87">
        <f>Input!D232</f>
        <v>0</v>
      </c>
      <c r="M469" s="88">
        <f>IF(Input!$F$183&gt;=$K469,Input!G232,0)</f>
      </c>
      <c r="N469" s="197">
        <f>Input!H232</f>
        <v>0</v>
      </c>
      <c r="O469" s="197">
        <f>Input!I232</f>
        <v>0</v>
      </c>
      <c r="P469" s="90">
        <f>Input!J232</f>
        <v>0</v>
      </c>
      <c r="Q469" s="13">
        <v>49</v>
      </c>
      <c r="R469" s="207">
        <f t="shared" si="283"/>
        <v>0</v>
      </c>
      <c r="S469" s="207">
        <f t="shared" si="284"/>
        <v>0</v>
      </c>
      <c r="T469" s="40">
        <f>IFERROR(VLOOKUP(R469,Infrastructure!$D$70:$F$129,3,FALSE),0)</f>
        <v>1</v>
      </c>
      <c r="U469" s="40">
        <f>IFERROR(VLOOKUP(S469,Infrastructure!$D$70:$F$129,3,FALSE),0)</f>
        <v>1</v>
      </c>
      <c r="V469" s="13"/>
      <c r="W469" s="91">
        <f>IF(Input!$F$183&gt;=$K469,Input!M232,0)</f>
        <v>0</v>
      </c>
      <c r="X469" s="92">
        <f>IF(Input!$F$183&gt;=$K469,Input!N232,0)</f>
        <v>0</v>
      </c>
      <c r="Y469" s="92">
        <f>IF(Input!$F$183&gt;=$K469,Input!O232,0)</f>
        <v>0</v>
      </c>
      <c r="Z469" s="92">
        <f>IF(Input!$F$183&gt;=$K469,Input!P232,0)</f>
        <v>0</v>
      </c>
      <c r="AA469" s="92">
        <f>IF(Input!$F$183&gt;=$K469,Input!Q232,0)</f>
        <v>0</v>
      </c>
      <c r="AB469" s="92">
        <f>IF(Input!$F$183&gt;=$K469,Input!R232,0)</f>
        <v>0</v>
      </c>
      <c r="AC469" s="92">
        <f>IF(Input!$F$183&gt;=$K469,Input!S232,0)</f>
        <v>0</v>
      </c>
      <c r="AD469" s="92">
        <f>IF(Input!$F$183&gt;=$K469,Input!T232,0)</f>
        <v>0</v>
      </c>
      <c r="AE469" s="92">
        <f>IF(Input!$F$183&gt;=$K469,Input!U232,0)</f>
        <v>0</v>
      </c>
      <c r="AF469" s="92">
        <f>IF(Input!$F$183&gt;=$K469,Input!V232,0)</f>
        <v>0</v>
      </c>
      <c r="AG469" s="92">
        <f>IF(Input!$F$183&gt;=$K469,Input!W232,0)</f>
        <v>0</v>
      </c>
      <c r="AH469" s="92">
        <f>IF(Input!$F$183&gt;=$K469,Input!X232,0)</f>
        <v>0</v>
      </c>
      <c r="AI469" s="92">
        <f>IF(Input!$F$183&gt;=$K469,Input!Y232,0)</f>
        <v>0</v>
      </c>
      <c r="AJ469" s="92">
        <f>IF(Input!$F$183&gt;=$K469,Input!Z232,0)</f>
        <v>0</v>
      </c>
      <c r="AK469" s="92">
        <f>IF(Input!$F$183&gt;=$K469,Input!AA232,0)</f>
        <v>0</v>
      </c>
      <c r="AL469" s="92">
        <f>IF(Input!$F$183&gt;=$K469,Input!AB232,0)</f>
        <v>0</v>
      </c>
      <c r="AM469" s="92">
        <f>IF(Input!$F$183&gt;=$K469,Input!AC232,0)</f>
        <v>0</v>
      </c>
      <c r="AN469" s="92">
        <f>IF(Input!$F$183&gt;=$K469,Input!AD232,0)</f>
        <v>0</v>
      </c>
      <c r="AO469" s="92">
        <f>IF(Input!$F$183&gt;=$K469,Input!AE232,0)</f>
        <v>0</v>
      </c>
      <c r="AP469" s="92">
        <f>IF(Input!$F$183&gt;=$K469,Input!AF232,0)</f>
        <v>0</v>
      </c>
      <c r="AQ469" s="92">
        <f>IF(Input!$F$183&gt;=$K469,Input!AG232,0)</f>
        <v>0</v>
      </c>
      <c r="AR469" s="92">
        <f>IF(Input!$F$183&gt;=$K469,Input!AH232,0)</f>
        <v>0</v>
      </c>
      <c r="AS469" s="92">
        <f>IF(Input!$F$183&gt;=$K469,Input!AI232,0)</f>
        <v>0</v>
      </c>
      <c r="AT469" s="92">
        <f>IF(Input!$F$183&gt;=$K469,Input!AJ232,0)</f>
        <v>0</v>
      </c>
      <c r="AU469" s="92">
        <f>IF(Input!$F$183&gt;=$K469,Input!AK232,0)</f>
        <v>0</v>
      </c>
      <c r="AV469" s="92">
        <f>IF(Input!$F$183&gt;=$K469,Input!AL232,0)</f>
        <v>0</v>
      </c>
      <c r="AW469" s="92">
        <f>IF(Input!$F$183&gt;=$K469,Input!AM232,0)</f>
        <v>0</v>
      </c>
      <c r="AX469" s="92">
        <f>IF(Input!$F$183&gt;=$K469,Input!AN232,0)</f>
        <v>0</v>
      </c>
      <c r="AY469" s="92">
        <f>IF(Input!$F$183&gt;=$K469,Input!AO232,0)</f>
        <v>0</v>
      </c>
      <c r="AZ469" s="92">
        <f>IF(Input!$F$183&gt;=$K469,Input!AP232,0)</f>
        <v>0</v>
      </c>
      <c r="BA469" s="92">
        <f>IF(Input!$F$183&gt;=$K469,Input!AQ232,0)</f>
        <v>0</v>
      </c>
      <c r="BB469" s="92">
        <f>IF(Input!$F$183&gt;=$K469,Input!AR232,0)</f>
        <v>0</v>
      </c>
      <c r="BC469" s="92">
        <f>IF(Input!$F$183&gt;=$K469,Input!AS232,0)</f>
        <v>0</v>
      </c>
      <c r="BD469" s="92">
        <f>IF(Input!$F$183&gt;=$K469,Input!AT232,0)</f>
        <v>0</v>
      </c>
      <c r="BE469" s="92">
        <f>IF(Input!$F$183&gt;=$K469,Input!AU232,0)</f>
        <v>0</v>
      </c>
      <c r="BF469" s="92">
        <f>IF(Input!$F$183&gt;=$K469,Input!AV232,0)</f>
        <v>0</v>
      </c>
      <c r="BG469" s="92">
        <f>IF(Input!$F$183&gt;=$K469,Input!AW232,0)</f>
        <v>0</v>
      </c>
      <c r="BH469" s="92">
        <f>IF(Input!$F$183&gt;=$K469,Input!AX232,0)</f>
        <v>0</v>
      </c>
      <c r="BI469" s="92">
        <f>IF(Input!$F$183&gt;=$K469,Input!AY232,0)</f>
        <v>0</v>
      </c>
      <c r="BJ469" s="92">
        <f>IF(Input!$F$183&gt;=$K469,Input!AZ232,0)</f>
        <v>0</v>
      </c>
      <c r="BK469" s="92">
        <f>IF(Input!$F$183&gt;=$K469,Input!BA232,0)</f>
        <v>0</v>
      </c>
      <c r="BL469" s="92">
        <f>IF(Input!$F$183&gt;=$K469,Input!BB232,0)</f>
        <v>0</v>
      </c>
      <c r="BM469" s="92">
        <f>IF(Input!$F$183&gt;=$K469,Input!BC232,0)</f>
        <v>0</v>
      </c>
      <c r="BN469" s="92">
        <f>IF(Input!$F$183&gt;=$K469,Input!BD232,0)</f>
        <v>0</v>
      </c>
      <c r="BO469" s="92">
        <f>IF(Input!$F$183&gt;=$K469,Input!BE232,0)</f>
        <v>0</v>
      </c>
      <c r="BP469" s="92">
        <f>IF(Input!$F$183&gt;=$K469,Input!BF232,0)</f>
        <v>0</v>
      </c>
      <c r="BQ469" s="92">
        <f>IF(Input!$F$183&gt;=$K469,Input!BG232,0)</f>
        <v>0</v>
      </c>
      <c r="BR469" s="92">
        <f>IF(Input!$F$183&gt;=$K469,Input!BH232,0)</f>
        <v>0</v>
      </c>
      <c r="BS469" s="92">
        <f>IF(Input!$F$183&gt;=$K469,Input!BI232,0)</f>
        <v>0</v>
      </c>
      <c r="BT469" s="92">
        <f>IF(Input!$F$183&gt;=$K469,Input!BJ232,0)</f>
        <v>0</v>
      </c>
      <c r="BU469" s="92">
        <f>IF(Input!$F$183&gt;=$K469,Input!BK232,0)</f>
        <v>0</v>
      </c>
      <c r="BV469" s="92">
        <f>IF(Input!$F$183&gt;=$K469,Input!BL232,0)</f>
        <v>0</v>
      </c>
      <c r="BW469" s="92">
        <f>IF(Input!$F$183&gt;=$K469,Input!BM232,0)</f>
        <v>0</v>
      </c>
      <c r="BX469" s="92">
        <f>IF(Input!$F$183&gt;=$K469,Input!BN232,0)</f>
        <v>0</v>
      </c>
      <c r="BY469" s="92">
        <f>IF(Input!$F$183&gt;=$K469,Input!BO232,0)</f>
        <v>0</v>
      </c>
      <c r="BZ469" s="92">
        <f>IF(Input!$F$183&gt;=$K469,Input!BP232,0)</f>
        <v>0</v>
      </c>
      <c r="CA469" s="92">
        <f>IF(Input!$F$183&gt;=$K469,Input!BQ232,0)</f>
        <v>0</v>
      </c>
      <c r="CB469" s="92">
        <f>IF(Input!$F$183&gt;=$K469,Input!BR232,0)</f>
        <v>0</v>
      </c>
      <c r="CC469" s="92">
        <f>IF(Input!$F$183&gt;=$K469,Input!BS232,0)</f>
        <v>0</v>
      </c>
      <c r="CD469" s="275">
        <f>IF(Input!$F$183&gt;=$K469,Input!BT232,0)</f>
        <v>0</v>
      </c>
      <c r="CE469" s="69">
        <f t="shared" si="285"/>
        <v>0</v>
      </c>
      <c r="CF469" s="1136">
        <f t="shared" si="286"/>
        <v>0</v>
      </c>
      <c r="CG469" s="1136">
        <f t="shared" si="287"/>
        <v>0</v>
      </c>
      <c r="CH469" s="1136">
        <f t="shared" si="288"/>
        <v>0</v>
      </c>
      <c r="CI469" s="1136">
        <f t="shared" si="289"/>
        <v>0</v>
      </c>
      <c r="CJ469" s="1136">
        <f t="shared" si="290"/>
        <v>0</v>
      </c>
      <c r="CK469" s="1136">
        <f t="shared" si="291"/>
        <v>0</v>
      </c>
      <c r="CL469" s="1136">
        <f t="shared" si="292"/>
        <v>0</v>
      </c>
      <c r="CM469" s="1136">
        <f t="shared" si="293"/>
        <v>0</v>
      </c>
      <c r="CN469" s="1136">
        <f t="shared" si="294"/>
        <v>0</v>
      </c>
      <c r="CO469" s="1136">
        <f t="shared" si="295"/>
        <v>0</v>
      </c>
      <c r="CP469" s="1136">
        <f t="shared" si="296"/>
        <v>0</v>
      </c>
      <c r="CQ469" s="1136">
        <f t="shared" si="297"/>
        <v>0</v>
      </c>
      <c r="CR469" s="1136">
        <f t="shared" si="298"/>
        <v>0</v>
      </c>
      <c r="CS469" s="1136">
        <f t="shared" si="299"/>
        <v>0</v>
      </c>
      <c r="CT469" s="1136">
        <f t="shared" si="300"/>
        <v>0</v>
      </c>
      <c r="CU469" s="1136">
        <f t="shared" si="301"/>
        <v>0</v>
      </c>
      <c r="CV469" s="1136">
        <f t="shared" si="302"/>
        <v>0</v>
      </c>
      <c r="CW469" s="1136">
        <f t="shared" si="303"/>
        <v>0</v>
      </c>
      <c r="CX469" s="1136">
        <f t="shared" si="304"/>
        <v>0</v>
      </c>
      <c r="CY469" s="1136">
        <f t="shared" si="305"/>
        <v>0</v>
      </c>
      <c r="CZ469" s="1136">
        <f t="shared" si="306"/>
        <v>0</v>
      </c>
      <c r="DA469" s="1136">
        <f t="shared" si="307"/>
        <v>0</v>
      </c>
      <c r="DB469" s="1136">
        <f t="shared" si="308"/>
        <v>0</v>
      </c>
      <c r="DC469" s="1136">
        <f t="shared" si="309"/>
        <v>0</v>
      </c>
      <c r="DD469" s="1136">
        <f t="shared" si="310"/>
        <v>0</v>
      </c>
      <c r="DE469" s="1136">
        <f t="shared" si="311"/>
        <v>0</v>
      </c>
      <c r="DF469" s="1136">
        <f t="shared" si="312"/>
        <v>0</v>
      </c>
      <c r="DG469" s="1136">
        <f t="shared" si="313"/>
        <v>0</v>
      </c>
      <c r="DH469" s="1136">
        <f t="shared" si="314"/>
        <v>0</v>
      </c>
      <c r="DI469" s="1136">
        <f t="shared" si="315"/>
        <v>0</v>
      </c>
      <c r="DJ469" s="1136">
        <f t="shared" si="316"/>
        <v>0</v>
      </c>
      <c r="DK469" s="1136">
        <f t="shared" si="317"/>
        <v>0</v>
      </c>
      <c r="DL469" s="1136">
        <f t="shared" si="318"/>
        <v>0</v>
      </c>
      <c r="DM469" s="1136">
        <f t="shared" si="319"/>
        <v>0</v>
      </c>
      <c r="DN469" s="1136">
        <f t="shared" si="320"/>
        <v>0</v>
      </c>
      <c r="DO469" s="1136">
        <f t="shared" si="321"/>
        <v>0</v>
      </c>
      <c r="DP469" s="1136">
        <f t="shared" si="322"/>
        <v>0</v>
      </c>
      <c r="DQ469" s="1136">
        <f t="shared" si="323"/>
        <v>0</v>
      </c>
      <c r="DR469" s="1136">
        <f t="shared" si="324"/>
        <v>0</v>
      </c>
      <c r="DS469" s="1136">
        <f t="shared" si="325"/>
        <v>0</v>
      </c>
      <c r="DT469" s="1136">
        <f t="shared" si="326"/>
        <v>0</v>
      </c>
      <c r="DU469" s="1136">
        <f t="shared" si="327"/>
        <v>0</v>
      </c>
      <c r="DV469" s="1136">
        <f t="shared" si="328"/>
        <v>0</v>
      </c>
      <c r="DW469" s="1136">
        <f t="shared" si="329"/>
        <v>0</v>
      </c>
      <c r="DX469" s="1136">
        <f t="shared" si="330"/>
        <v>0</v>
      </c>
      <c r="DY469" s="1136">
        <f t="shared" si="331"/>
        <v>0</v>
      </c>
      <c r="DZ469" s="1136">
        <f t="shared" si="332"/>
        <v>0</v>
      </c>
      <c r="EA469" s="1136">
        <f t="shared" si="333"/>
        <v>0</v>
      </c>
      <c r="EB469" s="1136">
        <f t="shared" si="334"/>
        <v>0</v>
      </c>
      <c r="EC469" s="1136">
        <f t="shared" si="335"/>
        <v>0</v>
      </c>
      <c r="ED469" s="1136">
        <f t="shared" si="336"/>
        <v>0</v>
      </c>
      <c r="EE469" s="1136">
        <f t="shared" si="337"/>
        <v>0</v>
      </c>
      <c r="EF469" s="1136">
        <f t="shared" si="338"/>
        <v>0</v>
      </c>
      <c r="EG469" s="1136">
        <f t="shared" si="339"/>
        <v>0</v>
      </c>
      <c r="EH469" s="1136">
        <f t="shared" si="340"/>
        <v>0</v>
      </c>
      <c r="EI469" s="1136">
        <f t="shared" si="341"/>
        <v>0</v>
      </c>
      <c r="EJ469" s="1136">
        <f t="shared" si="342"/>
        <v>0</v>
      </c>
      <c r="EK469" s="1136">
        <f t="shared" si="343"/>
        <v>0</v>
      </c>
      <c r="EL469" s="1136">
        <f t="shared" si="344"/>
        <v>0</v>
      </c>
      <c r="EM469" s="1136">
        <f t="shared" si="345"/>
        <v>0</v>
      </c>
    </row>
    <row r="470" spans="11:143" ht="12" customHeight="1" thickBot="1" x14ac:dyDescent="0.4">
      <c r="K470" s="13">
        <v>50</v>
      </c>
      <c r="L470" s="458">
        <f>Input!D233</f>
        <v>0</v>
      </c>
      <c r="M470" s="459">
        <f>IF(Input!$F$183&gt;=$K470,Input!G233,0)</f>
        <v>0</v>
      </c>
      <c r="N470" s="460">
        <f>Input!H233</f>
        <v>0</v>
      </c>
      <c r="O470" s="460">
        <f>Input!I233</f>
        <v>0</v>
      </c>
      <c r="P470" s="468">
        <f>Input!J233</f>
        <v>0</v>
      </c>
      <c r="Q470" s="13">
        <v>50</v>
      </c>
      <c r="R470" s="207">
        <f t="shared" si="283"/>
        <v>0</v>
      </c>
      <c r="S470" s="207">
        <f t="shared" si="284"/>
        <v>0</v>
      </c>
      <c r="T470" s="40">
        <f>IFERROR(VLOOKUP(R470,Infrastructure!$D$70:$F$129,3,FALSE),0)</f>
        <v>1</v>
      </c>
      <c r="U470" s="40">
        <f>IFERROR(VLOOKUP(S470,Infrastructure!$D$70:$F$129,3,FALSE),0)</f>
        <v>1</v>
      </c>
      <c r="V470" s="13"/>
      <c r="W470" s="469">
        <f>IF(Input!$F$183&gt;=$K470,Input!M233,0)</f>
        <v>0</v>
      </c>
      <c r="X470" s="470">
        <f>IF(Input!$F$183&gt;=$K470,Input!N233,0)</f>
        <v>0</v>
      </c>
      <c r="Y470" s="470">
        <f>IF(Input!$F$183&gt;=$K470,Input!O233,0)</f>
        <v>0</v>
      </c>
      <c r="Z470" s="470">
        <f>IF(Input!$F$183&gt;=$K470,Input!P233,0)</f>
        <v>0</v>
      </c>
      <c r="AA470" s="470">
        <f>IF(Input!$F$183&gt;=$K470,Input!Q233,0)</f>
        <v>0</v>
      </c>
      <c r="AB470" s="470">
        <f>IF(Input!$F$183&gt;=$K470,Input!R233,0)</f>
        <v>0</v>
      </c>
      <c r="AC470" s="470">
        <f>IF(Input!$F$183&gt;=$K470,Input!S233,0)</f>
        <v>0</v>
      </c>
      <c r="AD470" s="470">
        <f>IF(Input!$F$183&gt;=$K470,Input!T233,0)</f>
        <v>0</v>
      </c>
      <c r="AE470" s="470">
        <f>IF(Input!$F$183&gt;=$K470,Input!U233,0)</f>
        <v>0</v>
      </c>
      <c r="AF470" s="470">
        <f>IF(Input!$F$183&gt;=$K470,Input!V233,0)</f>
        <v>0</v>
      </c>
      <c r="AG470" s="470">
        <f>IF(Input!$F$183&gt;=$K470,Input!W233,0)</f>
        <v>0</v>
      </c>
      <c r="AH470" s="470">
        <f>IF(Input!$F$183&gt;=$K470,Input!X233,0)</f>
        <v>0</v>
      </c>
      <c r="AI470" s="470">
        <f>IF(Input!$F$183&gt;=$K470,Input!Y233,0)</f>
        <v>0</v>
      </c>
      <c r="AJ470" s="470">
        <f>IF(Input!$F$183&gt;=$K470,Input!Z233,0)</f>
        <v>0</v>
      </c>
      <c r="AK470" s="470">
        <f>IF(Input!$F$183&gt;=$K470,Input!AA233,0)</f>
        <v>0</v>
      </c>
      <c r="AL470" s="470">
        <f>IF(Input!$F$183&gt;=$K470,Input!AB233,0)</f>
        <v>0</v>
      </c>
      <c r="AM470" s="470">
        <f>IF(Input!$F$183&gt;=$K470,Input!AC233,0)</f>
        <v>0</v>
      </c>
      <c r="AN470" s="470">
        <f>IF(Input!$F$183&gt;=$K470,Input!AD233,0)</f>
        <v>0</v>
      </c>
      <c r="AO470" s="470">
        <f>IF(Input!$F$183&gt;=$K470,Input!AE233,0)</f>
        <v>0</v>
      </c>
      <c r="AP470" s="470">
        <f>IF(Input!$F$183&gt;=$K470,Input!AF233,0)</f>
        <v>0</v>
      </c>
      <c r="AQ470" s="470">
        <f>IF(Input!$F$183&gt;=$K470,Input!AG233,0)</f>
        <v>0</v>
      </c>
      <c r="AR470" s="470">
        <f>IF(Input!$F$183&gt;=$K470,Input!AH233,0)</f>
        <v>0</v>
      </c>
      <c r="AS470" s="470">
        <f>IF(Input!$F$183&gt;=$K470,Input!AI233,0)</f>
        <v>0</v>
      </c>
      <c r="AT470" s="470">
        <f>IF(Input!$F$183&gt;=$K470,Input!AJ233,0)</f>
        <v>0</v>
      </c>
      <c r="AU470" s="470">
        <f>IF(Input!$F$183&gt;=$K470,Input!AK233,0)</f>
        <v>0</v>
      </c>
      <c r="AV470" s="470">
        <f>IF(Input!$F$183&gt;=$K470,Input!AL233,0)</f>
        <v>0</v>
      </c>
      <c r="AW470" s="470">
        <f>IF(Input!$F$183&gt;=$K470,Input!AM233,0)</f>
        <v>0</v>
      </c>
      <c r="AX470" s="470">
        <f>IF(Input!$F$183&gt;=$K470,Input!AN233,0)</f>
        <v>0</v>
      </c>
      <c r="AY470" s="470">
        <f>IF(Input!$F$183&gt;=$K470,Input!AO233,0)</f>
        <v>0</v>
      </c>
      <c r="AZ470" s="470">
        <f>IF(Input!$F$183&gt;=$K470,Input!AP233,0)</f>
        <v>0</v>
      </c>
      <c r="BA470" s="470">
        <f>IF(Input!$F$183&gt;=$K470,Input!AQ233,0)</f>
        <v>0</v>
      </c>
      <c r="BB470" s="470">
        <f>IF(Input!$F$183&gt;=$K470,Input!AR233,0)</f>
        <v>0</v>
      </c>
      <c r="BC470" s="470">
        <f>IF(Input!$F$183&gt;=$K470,Input!AS233,0)</f>
        <v>0</v>
      </c>
      <c r="BD470" s="470">
        <f>IF(Input!$F$183&gt;=$K470,Input!AT233,0)</f>
        <v>0</v>
      </c>
      <c r="BE470" s="470">
        <f>IF(Input!$F$183&gt;=$K470,Input!AU233,0)</f>
        <v>0</v>
      </c>
      <c r="BF470" s="470">
        <f>IF(Input!$F$183&gt;=$K470,Input!AV233,0)</f>
        <v>0</v>
      </c>
      <c r="BG470" s="470">
        <f>IF(Input!$F$183&gt;=$K470,Input!AW233,0)</f>
        <v>0</v>
      </c>
      <c r="BH470" s="470">
        <f>IF(Input!$F$183&gt;=$K470,Input!AX233,0)</f>
        <v>0</v>
      </c>
      <c r="BI470" s="470">
        <f>IF(Input!$F$183&gt;=$K470,Input!AY233,0)</f>
        <v>0</v>
      </c>
      <c r="BJ470" s="470">
        <f>IF(Input!$F$183&gt;=$K470,Input!AZ233,0)</f>
        <v>0</v>
      </c>
      <c r="BK470" s="470">
        <f>IF(Input!$F$183&gt;=$K470,Input!BA233,0)</f>
        <v>0</v>
      </c>
      <c r="BL470" s="470">
        <f>IF(Input!$F$183&gt;=$K470,Input!BB233,0)</f>
        <v>0</v>
      </c>
      <c r="BM470" s="470">
        <f>IF(Input!$F$183&gt;=$K470,Input!BC233,0)</f>
        <v>0</v>
      </c>
      <c r="BN470" s="470">
        <f>IF(Input!$F$183&gt;=$K470,Input!BD233,0)</f>
        <v>0</v>
      </c>
      <c r="BO470" s="470">
        <f>IF(Input!$F$183&gt;=$K470,Input!BE233,0)</f>
        <v>0</v>
      </c>
      <c r="BP470" s="470">
        <f>IF(Input!$F$183&gt;=$K470,Input!BF233,0)</f>
        <v>0</v>
      </c>
      <c r="BQ470" s="470">
        <f>IF(Input!$F$183&gt;=$K470,Input!BG233,0)</f>
        <v>0</v>
      </c>
      <c r="BR470" s="470">
        <f>IF(Input!$F$183&gt;=$K470,Input!BH233,0)</f>
        <v>0</v>
      </c>
      <c r="BS470" s="470">
        <f>IF(Input!$F$183&gt;=$K470,Input!BI233,0)</f>
        <v>0</v>
      </c>
      <c r="BT470" s="470">
        <f>IF(Input!$F$183&gt;=$K470,Input!BJ233,0)</f>
        <v>0</v>
      </c>
      <c r="BU470" s="470">
        <f>IF(Input!$F$183&gt;=$K470,Input!BK233,0)</f>
        <v>0</v>
      </c>
      <c r="BV470" s="470">
        <f>IF(Input!$F$183&gt;=$K470,Input!BL233,0)</f>
        <v>0</v>
      </c>
      <c r="BW470" s="470">
        <f>IF(Input!$F$183&gt;=$K470,Input!BM233,0)</f>
        <v>0</v>
      </c>
      <c r="BX470" s="470">
        <f>IF(Input!$F$183&gt;=$K470,Input!BN233,0)</f>
        <v>0</v>
      </c>
      <c r="BY470" s="470">
        <f>IF(Input!$F$183&gt;=$K470,Input!BO233,0)</f>
        <v>0</v>
      </c>
      <c r="BZ470" s="470">
        <f>IF(Input!$F$183&gt;=$K470,Input!BP233,0)</f>
        <v>0</v>
      </c>
      <c r="CA470" s="470">
        <f>IF(Input!$F$183&gt;=$K470,Input!BQ233,0)</f>
        <v>0</v>
      </c>
      <c r="CB470" s="470">
        <f>IF(Input!$F$183&gt;=$K470,Input!BR233,0)</f>
        <v>0</v>
      </c>
      <c r="CC470" s="470">
        <f>IF(Input!$F$183&gt;=$K470,Input!BS233,0)</f>
        <v>0</v>
      </c>
      <c r="CD470" s="471">
        <f>IF(Input!$F$183&gt;=$K470,Input!BT233,0)</f>
        <v>0</v>
      </c>
      <c r="CE470" s="69">
        <f t="shared" si="285"/>
        <v>0</v>
      </c>
      <c r="CF470" s="1136">
        <f t="shared" si="286"/>
        <v>0</v>
      </c>
      <c r="CG470" s="1136">
        <f t="shared" si="287"/>
        <v>0</v>
      </c>
      <c r="CH470" s="1136">
        <f t="shared" si="288"/>
        <v>0</v>
      </c>
      <c r="CI470" s="1136">
        <f t="shared" si="289"/>
        <v>0</v>
      </c>
      <c r="CJ470" s="1136">
        <f t="shared" si="290"/>
        <v>0</v>
      </c>
      <c r="CK470" s="1136">
        <f t="shared" si="291"/>
        <v>0</v>
      </c>
      <c r="CL470" s="1136">
        <f t="shared" si="292"/>
        <v>0</v>
      </c>
      <c r="CM470" s="1136">
        <f t="shared" si="293"/>
        <v>0</v>
      </c>
      <c r="CN470" s="1136">
        <f t="shared" si="294"/>
        <v>0</v>
      </c>
      <c r="CO470" s="1136">
        <f t="shared" si="295"/>
        <v>0</v>
      </c>
      <c r="CP470" s="1136">
        <f t="shared" si="296"/>
        <v>0</v>
      </c>
      <c r="CQ470" s="1136">
        <f t="shared" si="297"/>
        <v>0</v>
      </c>
      <c r="CR470" s="1136">
        <f t="shared" si="298"/>
        <v>0</v>
      </c>
      <c r="CS470" s="1136">
        <f t="shared" si="299"/>
        <v>0</v>
      </c>
      <c r="CT470" s="1136">
        <f t="shared" si="300"/>
        <v>0</v>
      </c>
      <c r="CU470" s="1136">
        <f t="shared" si="301"/>
        <v>0</v>
      </c>
      <c r="CV470" s="1136">
        <f t="shared" si="302"/>
        <v>0</v>
      </c>
      <c r="CW470" s="1136">
        <f t="shared" si="303"/>
        <v>0</v>
      </c>
      <c r="CX470" s="1136">
        <f t="shared" si="304"/>
        <v>0</v>
      </c>
      <c r="CY470" s="1136">
        <f t="shared" si="305"/>
        <v>0</v>
      </c>
      <c r="CZ470" s="1136">
        <f t="shared" si="306"/>
        <v>0</v>
      </c>
      <c r="DA470" s="1136">
        <f t="shared" si="307"/>
        <v>0</v>
      </c>
      <c r="DB470" s="1136">
        <f t="shared" si="308"/>
        <v>0</v>
      </c>
      <c r="DC470" s="1136">
        <f t="shared" si="309"/>
        <v>0</v>
      </c>
      <c r="DD470" s="1136">
        <f t="shared" si="310"/>
        <v>0</v>
      </c>
      <c r="DE470" s="1136">
        <f t="shared" si="311"/>
        <v>0</v>
      </c>
      <c r="DF470" s="1136">
        <f t="shared" si="312"/>
        <v>0</v>
      </c>
      <c r="DG470" s="1136">
        <f t="shared" si="313"/>
        <v>0</v>
      </c>
      <c r="DH470" s="1136">
        <f t="shared" si="314"/>
        <v>0</v>
      </c>
      <c r="DI470" s="1136">
        <f t="shared" si="315"/>
        <v>0</v>
      </c>
      <c r="DJ470" s="1136">
        <f t="shared" si="316"/>
        <v>0</v>
      </c>
      <c r="DK470" s="1136">
        <f t="shared" si="317"/>
        <v>0</v>
      </c>
      <c r="DL470" s="1136">
        <f t="shared" si="318"/>
        <v>0</v>
      </c>
      <c r="DM470" s="1136">
        <f t="shared" si="319"/>
        <v>0</v>
      </c>
      <c r="DN470" s="1136">
        <f t="shared" si="320"/>
        <v>0</v>
      </c>
      <c r="DO470" s="1136">
        <f t="shared" si="321"/>
        <v>0</v>
      </c>
      <c r="DP470" s="1136">
        <f t="shared" si="322"/>
        <v>0</v>
      </c>
      <c r="DQ470" s="1136">
        <f t="shared" si="323"/>
        <v>0</v>
      </c>
      <c r="DR470" s="1136">
        <f t="shared" si="324"/>
        <v>0</v>
      </c>
      <c r="DS470" s="1136">
        <f t="shared" si="325"/>
        <v>0</v>
      </c>
      <c r="DT470" s="1136">
        <f t="shared" si="326"/>
        <v>0</v>
      </c>
      <c r="DU470" s="1136">
        <f t="shared" si="327"/>
        <v>0</v>
      </c>
      <c r="DV470" s="1136">
        <f t="shared" si="328"/>
        <v>0</v>
      </c>
      <c r="DW470" s="1136">
        <f t="shared" si="329"/>
        <v>0</v>
      </c>
      <c r="DX470" s="1136">
        <f t="shared" si="330"/>
        <v>0</v>
      </c>
      <c r="DY470" s="1136">
        <f t="shared" si="331"/>
        <v>0</v>
      </c>
      <c r="DZ470" s="1136">
        <f t="shared" si="332"/>
        <v>0</v>
      </c>
      <c r="EA470" s="1136">
        <f t="shared" si="333"/>
        <v>0</v>
      </c>
      <c r="EB470" s="1136">
        <f t="shared" si="334"/>
        <v>0</v>
      </c>
      <c r="EC470" s="1136">
        <f t="shared" si="335"/>
        <v>0</v>
      </c>
      <c r="ED470" s="1136">
        <f t="shared" si="336"/>
        <v>0</v>
      </c>
      <c r="EE470" s="1136">
        <f t="shared" si="337"/>
        <v>0</v>
      </c>
      <c r="EF470" s="1136">
        <f t="shared" si="338"/>
        <v>0</v>
      </c>
      <c r="EG470" s="1136">
        <f t="shared" si="339"/>
        <v>0</v>
      </c>
      <c r="EH470" s="1136">
        <f t="shared" si="340"/>
        <v>0</v>
      </c>
      <c r="EI470" s="1136">
        <f t="shared" si="341"/>
        <v>0</v>
      </c>
      <c r="EJ470" s="1136">
        <f t="shared" si="342"/>
        <v>0</v>
      </c>
      <c r="EK470" s="1136">
        <f t="shared" si="343"/>
        <v>0</v>
      </c>
      <c r="EL470" s="1136">
        <f t="shared" si="344"/>
        <v>0</v>
      </c>
      <c r="EM470" s="1136">
        <f t="shared" si="345"/>
        <v>0</v>
      </c>
    </row>
    <row r="471" spans="11:143" ht="12" customHeight="1" x14ac:dyDescent="0.35">
      <c r="K471" s="13"/>
      <c r="L471" s="461"/>
      <c r="M471" s="726"/>
      <c r="N471" s="726"/>
      <c r="O471" s="726"/>
      <c r="P471" s="726"/>
      <c r="Q471" s="93"/>
      <c r="R471" s="13"/>
      <c r="S471" s="13"/>
      <c r="T471" s="13"/>
      <c r="U471" s="13"/>
      <c r="V471" s="13"/>
      <c r="W471" s="472">
        <f t="shared" ref="W471:AE471" si="346">SUM(W421:W470)</f>
        <v>0</v>
      </c>
      <c r="X471" s="472">
        <f t="shared" si="346"/>
        <v>0</v>
      </c>
      <c r="Y471" s="472">
        <f t="shared" si="346"/>
        <v>0</v>
      </c>
      <c r="Z471" s="472">
        <f t="shared" si="346"/>
        <v>0</v>
      </c>
      <c r="AA471" s="472">
        <f t="shared" si="346"/>
        <v>0</v>
      </c>
      <c r="AB471" s="472">
        <f t="shared" si="346"/>
        <v>0</v>
      </c>
      <c r="AC471" s="472">
        <f t="shared" si="346"/>
        <v>0</v>
      </c>
      <c r="AD471" s="472">
        <f t="shared" si="346"/>
        <v>0</v>
      </c>
      <c r="AE471" s="472">
        <f t="shared" si="346"/>
        <v>0</v>
      </c>
      <c r="AF471" s="1137">
        <f t="shared" ref="AF471:BB471" si="347">SUM(AF421:AF470)</f>
        <v>0</v>
      </c>
      <c r="AG471" s="1137">
        <f t="shared" si="347"/>
        <v>0</v>
      </c>
      <c r="AH471" s="1137">
        <f t="shared" si="347"/>
        <v>0</v>
      </c>
      <c r="AI471" s="1137">
        <f t="shared" si="347"/>
        <v>0</v>
      </c>
      <c r="AJ471" s="1137">
        <f t="shared" si="347"/>
        <v>0</v>
      </c>
      <c r="AK471" s="1137">
        <f t="shared" si="347"/>
        <v>0</v>
      </c>
      <c r="AL471" s="1137">
        <f t="shared" si="347"/>
        <v>0</v>
      </c>
      <c r="AM471" s="1137">
        <f t="shared" si="347"/>
        <v>0</v>
      </c>
      <c r="AN471" s="1137">
        <f t="shared" si="347"/>
        <v>0</v>
      </c>
      <c r="AO471" s="1137">
        <f t="shared" si="347"/>
        <v>0</v>
      </c>
      <c r="AP471" s="1137">
        <f t="shared" si="347"/>
        <v>0</v>
      </c>
      <c r="AQ471" s="1137">
        <f t="shared" si="347"/>
        <v>0</v>
      </c>
      <c r="AR471" s="1137">
        <f t="shared" si="347"/>
        <v>0</v>
      </c>
      <c r="AS471" s="1137">
        <f t="shared" si="347"/>
        <v>0</v>
      </c>
      <c r="AT471" s="1137">
        <f t="shared" si="347"/>
        <v>0</v>
      </c>
      <c r="AU471" s="1137">
        <f t="shared" si="347"/>
        <v>0</v>
      </c>
      <c r="AV471" s="1137">
        <f t="shared" si="347"/>
        <v>0</v>
      </c>
      <c r="AW471" s="1137">
        <f t="shared" si="347"/>
        <v>0</v>
      </c>
      <c r="AX471" s="1137">
        <f t="shared" si="347"/>
        <v>0</v>
      </c>
      <c r="AY471" s="1137">
        <f t="shared" si="347"/>
        <v>0</v>
      </c>
      <c r="AZ471" s="1137">
        <f t="shared" si="347"/>
        <v>0</v>
      </c>
      <c r="BA471" s="1137">
        <f t="shared" si="347"/>
        <v>0</v>
      </c>
      <c r="BB471" s="1137">
        <f t="shared" si="347"/>
        <v>0</v>
      </c>
      <c r="BC471" s="1137">
        <f t="shared" ref="BC471:CD471" si="348">SUM(BC421:BC470)</f>
        <v>0</v>
      </c>
      <c r="BD471" s="1137">
        <f t="shared" si="348"/>
        <v>0</v>
      </c>
      <c r="BE471" s="1137">
        <f t="shared" si="348"/>
        <v>0</v>
      </c>
      <c r="BF471" s="1137">
        <f t="shared" si="348"/>
        <v>0</v>
      </c>
      <c r="BG471" s="1137">
        <f t="shared" si="348"/>
        <v>0</v>
      </c>
      <c r="BH471" s="1137">
        <f t="shared" si="348"/>
        <v>0</v>
      </c>
      <c r="BI471" s="1137">
        <f t="shared" si="348"/>
        <v>0</v>
      </c>
      <c r="BJ471" s="1137">
        <f t="shared" si="348"/>
        <v>0</v>
      </c>
      <c r="BK471" s="1137">
        <f t="shared" si="348"/>
        <v>0</v>
      </c>
      <c r="BL471" s="1137">
        <f t="shared" si="348"/>
        <v>0</v>
      </c>
      <c r="BM471" s="1137">
        <f t="shared" si="348"/>
        <v>0</v>
      </c>
      <c r="BN471" s="1137">
        <f t="shared" si="348"/>
        <v>0</v>
      </c>
      <c r="BO471" s="1137">
        <f t="shared" si="348"/>
        <v>0</v>
      </c>
      <c r="BP471" s="1137">
        <f t="shared" si="348"/>
        <v>0</v>
      </c>
      <c r="BQ471" s="1137">
        <f t="shared" si="348"/>
        <v>0</v>
      </c>
      <c r="BR471" s="1137">
        <f t="shared" si="348"/>
        <v>0</v>
      </c>
      <c r="BS471" s="1137">
        <f t="shared" si="348"/>
        <v>0</v>
      </c>
      <c r="BT471" s="1137">
        <f t="shared" si="348"/>
        <v>0</v>
      </c>
      <c r="BU471" s="1137">
        <f t="shared" si="348"/>
        <v>0</v>
      </c>
      <c r="BV471" s="1137">
        <f t="shared" si="348"/>
        <v>0</v>
      </c>
      <c r="BW471" s="1137">
        <f t="shared" si="348"/>
        <v>0</v>
      </c>
      <c r="BX471" s="1137">
        <f t="shared" si="348"/>
        <v>0</v>
      </c>
      <c r="BY471" s="1137">
        <f t="shared" si="348"/>
        <v>0</v>
      </c>
      <c r="BZ471" s="1137">
        <f t="shared" si="348"/>
        <v>0</v>
      </c>
      <c r="CA471" s="1137">
        <f t="shared" si="348"/>
        <v>0</v>
      </c>
      <c r="CB471" s="1137">
        <f t="shared" si="348"/>
        <v>0</v>
      </c>
      <c r="CC471" s="1137">
        <f t="shared" si="348"/>
        <v>0</v>
      </c>
      <c r="CD471" s="1137">
        <f t="shared" si="348"/>
        <v>0</v>
      </c>
      <c r="CE471" s="84"/>
      <c r="CF471" s="1138">
        <f t="shared" ref="CF471:DK471" si="349">SUM(CF421:CF470)</f>
        <v>0</v>
      </c>
      <c r="CG471" s="1138">
        <f t="shared" si="349"/>
        <v>0</v>
      </c>
      <c r="CH471" s="1138">
        <f t="shared" si="349"/>
        <v>0</v>
      </c>
      <c r="CI471" s="1138">
        <f t="shared" si="349"/>
        <v>0</v>
      </c>
      <c r="CJ471" s="1138">
        <f t="shared" si="349"/>
        <v>0</v>
      </c>
      <c r="CK471" s="1138">
        <f t="shared" si="349"/>
        <v>0</v>
      </c>
      <c r="CL471" s="1138">
        <f t="shared" si="349"/>
        <v>0</v>
      </c>
      <c r="CM471" s="1138">
        <f t="shared" si="349"/>
        <v>0</v>
      </c>
      <c r="CN471" s="1138">
        <f t="shared" si="349"/>
        <v>0</v>
      </c>
      <c r="CO471" s="1138">
        <f t="shared" si="349"/>
        <v>0</v>
      </c>
      <c r="CP471" s="1138">
        <f t="shared" si="349"/>
        <v>0</v>
      </c>
      <c r="CQ471" s="1138">
        <f t="shared" si="349"/>
        <v>0</v>
      </c>
      <c r="CR471" s="1138">
        <f t="shared" si="349"/>
        <v>0</v>
      </c>
      <c r="CS471" s="1138">
        <f t="shared" si="349"/>
        <v>0</v>
      </c>
      <c r="CT471" s="1138">
        <f t="shared" si="349"/>
        <v>0</v>
      </c>
      <c r="CU471" s="1138">
        <f t="shared" si="349"/>
        <v>0</v>
      </c>
      <c r="CV471" s="1138">
        <f t="shared" si="349"/>
        <v>0</v>
      </c>
      <c r="CW471" s="1138">
        <f t="shared" si="349"/>
        <v>0</v>
      </c>
      <c r="CX471" s="1138">
        <f t="shared" si="349"/>
        <v>0</v>
      </c>
      <c r="CY471" s="1138">
        <f t="shared" si="349"/>
        <v>0</v>
      </c>
      <c r="CZ471" s="1138">
        <f t="shared" si="349"/>
        <v>0</v>
      </c>
      <c r="DA471" s="1138">
        <f t="shared" si="349"/>
        <v>0</v>
      </c>
      <c r="DB471" s="1138">
        <f t="shared" si="349"/>
        <v>0</v>
      </c>
      <c r="DC471" s="1138">
        <f t="shared" si="349"/>
        <v>0</v>
      </c>
      <c r="DD471" s="1138">
        <f t="shared" si="349"/>
        <v>0</v>
      </c>
      <c r="DE471" s="1138">
        <f t="shared" si="349"/>
        <v>0</v>
      </c>
      <c r="DF471" s="1138">
        <f t="shared" si="349"/>
        <v>0</v>
      </c>
      <c r="DG471" s="1138">
        <f t="shared" si="349"/>
        <v>0</v>
      </c>
      <c r="DH471" s="1138">
        <f t="shared" si="349"/>
        <v>0</v>
      </c>
      <c r="DI471" s="1138">
        <f t="shared" si="349"/>
        <v>0</v>
      </c>
      <c r="DJ471" s="1138">
        <f t="shared" si="349"/>
        <v>0</v>
      </c>
      <c r="DK471" s="1138">
        <f t="shared" si="349"/>
        <v>0</v>
      </c>
      <c r="DL471" s="1138">
        <f t="shared" ref="DL471:EM471" si="350">SUM(DL421:DL470)</f>
        <v>0</v>
      </c>
      <c r="DM471" s="1138">
        <f t="shared" si="350"/>
        <v>0</v>
      </c>
      <c r="DN471" s="1138">
        <f t="shared" si="350"/>
        <v>0</v>
      </c>
      <c r="DO471" s="1138">
        <f t="shared" si="350"/>
        <v>0</v>
      </c>
      <c r="DP471" s="1138">
        <f t="shared" si="350"/>
        <v>0</v>
      </c>
      <c r="DQ471" s="1138">
        <f t="shared" si="350"/>
        <v>0</v>
      </c>
      <c r="DR471" s="83">
        <f t="shared" si="350"/>
        <v>0</v>
      </c>
      <c r="DS471" s="83">
        <f t="shared" si="350"/>
        <v>0</v>
      </c>
      <c r="DT471" s="83">
        <f t="shared" si="350"/>
        <v>0</v>
      </c>
      <c r="DU471" s="83">
        <f t="shared" si="350"/>
        <v>0</v>
      </c>
      <c r="DV471" s="83">
        <f t="shared" si="350"/>
        <v>0</v>
      </c>
      <c r="DW471" s="83">
        <f t="shared" si="350"/>
        <v>0</v>
      </c>
      <c r="DX471" s="83">
        <f t="shared" si="350"/>
        <v>0</v>
      </c>
      <c r="DY471" s="83">
        <f t="shared" si="350"/>
        <v>0</v>
      </c>
      <c r="DZ471" s="83">
        <f t="shared" si="350"/>
        <v>0</v>
      </c>
      <c r="EA471" s="83">
        <f t="shared" si="350"/>
        <v>0</v>
      </c>
      <c r="EB471" s="83">
        <f t="shared" si="350"/>
        <v>0</v>
      </c>
      <c r="EC471" s="83">
        <f t="shared" si="350"/>
        <v>0</v>
      </c>
      <c r="ED471" s="83">
        <f t="shared" si="350"/>
        <v>0</v>
      </c>
      <c r="EE471" s="83">
        <f t="shared" si="350"/>
        <v>0</v>
      </c>
      <c r="EF471" s="83">
        <f t="shared" si="350"/>
        <v>0</v>
      </c>
      <c r="EG471" s="83">
        <f t="shared" si="350"/>
        <v>0</v>
      </c>
      <c r="EH471" s="83">
        <f t="shared" si="350"/>
        <v>0</v>
      </c>
      <c r="EI471" s="83">
        <f t="shared" si="350"/>
        <v>0</v>
      </c>
      <c r="EJ471" s="83">
        <f t="shared" si="350"/>
        <v>0</v>
      </c>
      <c r="EK471" s="83">
        <f t="shared" si="350"/>
        <v>0</v>
      </c>
      <c r="EL471" s="83">
        <f t="shared" si="350"/>
        <v>0</v>
      </c>
      <c r="EM471" s="83">
        <f t="shared" si="350"/>
        <v>0</v>
      </c>
    </row>
    <row r="472" spans="11:143" ht="12" customHeight="1" x14ac:dyDescent="0.35">
      <c r="K472" s="13"/>
      <c r="L472" s="13"/>
      <c r="M472" s="93"/>
      <c r="N472" s="93"/>
      <c r="O472" s="93"/>
      <c r="P472" s="93"/>
      <c r="Q472" s="93"/>
      <c r="R472" s="13"/>
      <c r="S472" s="13"/>
      <c r="T472" s="13"/>
      <c r="U472" s="13"/>
      <c r="V472" s="13"/>
      <c r="W472" s="13"/>
      <c r="X472" s="13"/>
      <c r="Y472" s="13"/>
      <c r="Z472" s="13"/>
      <c r="AA472" s="13"/>
      <c r="AB472" s="13"/>
      <c r="AC472" s="13"/>
      <c r="AD472" s="13"/>
      <c r="AE472" s="13"/>
      <c r="AF472" s="84"/>
      <c r="AG472" s="84"/>
      <c r="AH472" s="84"/>
      <c r="AI472" s="84"/>
      <c r="AJ472" s="84"/>
      <c r="AK472" s="84"/>
      <c r="AL472" s="84"/>
      <c r="AM472" s="84"/>
      <c r="AN472" s="84"/>
      <c r="AO472" s="84"/>
      <c r="AP472" s="84"/>
      <c r="AQ472" s="84"/>
      <c r="AR472" s="84"/>
      <c r="AS472" s="84"/>
      <c r="AT472" s="84"/>
      <c r="AU472" s="84"/>
      <c r="AV472" s="84"/>
      <c r="AW472" s="84"/>
      <c r="AX472" s="84"/>
      <c r="AY472" s="84"/>
      <c r="AZ472" s="84"/>
      <c r="BA472" s="84"/>
      <c r="BB472" s="84"/>
      <c r="BC472" s="84"/>
      <c r="BD472" s="84"/>
      <c r="BE472" s="84"/>
      <c r="BF472" s="84"/>
      <c r="BG472" s="84"/>
      <c r="BH472" s="84"/>
      <c r="BI472" s="84"/>
      <c r="BJ472" s="84"/>
      <c r="BK472" s="84"/>
      <c r="BL472" s="84"/>
      <c r="BM472" s="84"/>
      <c r="BN472" s="84"/>
      <c r="BO472" s="84"/>
      <c r="BP472" s="84"/>
      <c r="BQ472" s="84"/>
      <c r="BR472" s="84"/>
      <c r="BS472" s="84"/>
      <c r="BT472" s="84"/>
      <c r="BU472" s="84"/>
      <c r="BV472" s="84"/>
      <c r="BW472" s="84"/>
      <c r="BX472" s="84"/>
      <c r="BY472" s="84"/>
      <c r="BZ472" s="84"/>
      <c r="CA472" s="84"/>
      <c r="CB472" s="84"/>
      <c r="CC472" s="84"/>
      <c r="CD472" s="84"/>
      <c r="CE472" s="84"/>
      <c r="CF472" s="84"/>
      <c r="CG472" s="84"/>
      <c r="CH472" s="84"/>
      <c r="CI472" s="84"/>
      <c r="CJ472" s="84"/>
      <c r="CK472" s="84"/>
      <c r="CL472" s="84"/>
      <c r="CM472" s="84"/>
      <c r="CN472" s="84"/>
      <c r="CO472" s="84"/>
      <c r="CP472" s="84"/>
      <c r="CQ472" s="84"/>
      <c r="CR472" s="84"/>
      <c r="CS472" s="84"/>
      <c r="CT472" s="84"/>
      <c r="CU472" s="84"/>
      <c r="CV472" s="84"/>
      <c r="CW472" s="84"/>
      <c r="CX472" s="84"/>
      <c r="CY472" s="84"/>
      <c r="CZ472" s="84"/>
      <c r="DA472" s="84"/>
      <c r="DB472" s="84"/>
      <c r="DC472" s="84"/>
      <c r="DD472" s="84"/>
      <c r="DE472" s="84"/>
      <c r="DF472" s="84"/>
      <c r="DG472" s="84"/>
      <c r="DH472" s="84"/>
      <c r="DI472" s="84"/>
      <c r="DJ472" s="84"/>
      <c r="DK472" s="84"/>
      <c r="DL472" s="84"/>
      <c r="DM472" s="84"/>
      <c r="DN472" s="84"/>
      <c r="DO472" s="84"/>
      <c r="DP472" s="84"/>
      <c r="DQ472" s="84"/>
      <c r="DR472" s="13"/>
      <c r="DS472" s="13"/>
      <c r="DT472" s="13"/>
      <c r="DU472" s="13"/>
      <c r="DV472" s="13"/>
      <c r="DW472" s="13"/>
      <c r="DX472" s="13"/>
      <c r="DY472" s="13"/>
      <c r="DZ472" s="13"/>
      <c r="EA472" s="13"/>
      <c r="EB472" s="13"/>
      <c r="EC472" s="13"/>
      <c r="ED472" s="13"/>
      <c r="EE472" s="13"/>
      <c r="EF472" s="13"/>
      <c r="EG472" s="13"/>
      <c r="EH472" s="13"/>
      <c r="EI472" s="13"/>
      <c r="EJ472" s="13"/>
      <c r="EK472" s="13"/>
      <c r="EL472" s="13"/>
      <c r="EM472" s="13"/>
    </row>
    <row r="473" spans="11:143" ht="12" customHeight="1" x14ac:dyDescent="0.35">
      <c r="K473" s="13"/>
      <c r="L473" s="13"/>
      <c r="M473" s="93"/>
      <c r="N473" s="306">
        <v>1</v>
      </c>
      <c r="O473" s="306">
        <v>12</v>
      </c>
      <c r="P473" s="306">
        <v>0</v>
      </c>
      <c r="Q473" s="93"/>
      <c r="R473" s="93"/>
      <c r="S473" s="13"/>
      <c r="T473" s="13"/>
      <c r="U473" s="13"/>
      <c r="V473" s="13"/>
      <c r="W473" s="13"/>
      <c r="X473" s="13"/>
      <c r="Y473" s="13"/>
      <c r="Z473" s="13"/>
      <c r="AA473" s="13"/>
      <c r="AB473" s="13"/>
      <c r="AC473" s="13"/>
      <c r="AD473" s="13"/>
      <c r="AE473" s="13"/>
      <c r="AF473" s="84"/>
      <c r="AG473" s="84"/>
      <c r="AH473" s="84"/>
      <c r="AI473" s="84"/>
      <c r="AJ473" s="84"/>
      <c r="AK473" s="84"/>
      <c r="AL473" s="84"/>
      <c r="AM473" s="84"/>
      <c r="AN473" s="84"/>
      <c r="AO473" s="84"/>
      <c r="AP473" s="84"/>
      <c r="AQ473" s="84"/>
      <c r="AR473" s="84"/>
      <c r="AS473" s="84"/>
      <c r="AT473" s="84"/>
      <c r="AU473" s="84"/>
      <c r="AV473" s="84"/>
      <c r="AW473" s="84"/>
      <c r="AX473" s="84"/>
      <c r="AY473" s="84"/>
      <c r="AZ473" s="84"/>
      <c r="BA473" s="84"/>
      <c r="BB473" s="84"/>
      <c r="BC473" s="84"/>
      <c r="BD473" s="84"/>
      <c r="BE473" s="84"/>
      <c r="BF473" s="84"/>
      <c r="BG473" s="84"/>
      <c r="BH473" s="84"/>
      <c r="BI473" s="84"/>
      <c r="BJ473" s="84"/>
      <c r="BK473" s="84"/>
      <c r="BL473" s="84"/>
      <c r="BM473" s="84"/>
      <c r="BN473" s="84"/>
      <c r="BO473" s="84"/>
      <c r="BP473" s="84"/>
      <c r="BQ473" s="84"/>
      <c r="BR473" s="84"/>
      <c r="BS473" s="84"/>
      <c r="BT473" s="84"/>
      <c r="BU473" s="84"/>
      <c r="BV473" s="84"/>
      <c r="BW473" s="84"/>
      <c r="BX473" s="84"/>
      <c r="BY473" s="84"/>
      <c r="BZ473" s="84"/>
      <c r="CA473" s="84"/>
      <c r="CB473" s="84"/>
      <c r="CC473" s="84"/>
      <c r="CD473" s="84"/>
      <c r="CE473" s="84"/>
      <c r="CF473" s="84"/>
      <c r="CG473" s="84"/>
      <c r="CH473" s="84"/>
      <c r="CI473" s="84"/>
      <c r="CJ473" s="84"/>
      <c r="CK473" s="84"/>
      <c r="CL473" s="84"/>
      <c r="CM473" s="84"/>
      <c r="CN473" s="84"/>
      <c r="CO473" s="84"/>
      <c r="CP473" s="84"/>
      <c r="CQ473" s="84"/>
      <c r="CR473" s="84"/>
      <c r="CS473" s="84"/>
      <c r="CT473" s="84"/>
      <c r="CU473" s="84"/>
      <c r="CV473" s="84"/>
      <c r="CW473" s="84"/>
      <c r="CX473" s="84"/>
      <c r="CY473" s="84"/>
      <c r="CZ473" s="84"/>
      <c r="DA473" s="84"/>
      <c r="DB473" s="84"/>
      <c r="DC473" s="84"/>
      <c r="DD473" s="84"/>
      <c r="DE473" s="84"/>
      <c r="DF473" s="84"/>
      <c r="DG473" s="84"/>
      <c r="DH473" s="84"/>
      <c r="DI473" s="84"/>
      <c r="DJ473" s="84"/>
      <c r="DK473" s="84"/>
      <c r="DL473" s="84"/>
      <c r="DM473" s="84"/>
      <c r="DN473" s="84"/>
      <c r="DO473" s="84"/>
      <c r="DP473" s="84"/>
      <c r="DQ473" s="84"/>
      <c r="DR473" s="13"/>
      <c r="DS473" s="13"/>
      <c r="DT473" s="13"/>
      <c r="DU473" s="13"/>
      <c r="DV473" s="13"/>
      <c r="DW473" s="13"/>
      <c r="DX473" s="13"/>
      <c r="DY473" s="13"/>
      <c r="DZ473" s="13"/>
      <c r="EA473" s="13"/>
      <c r="EB473" s="13"/>
      <c r="EC473" s="13"/>
      <c r="ED473" s="13"/>
      <c r="EE473" s="13"/>
      <c r="EF473" s="13"/>
      <c r="EG473" s="13"/>
      <c r="EH473" s="13"/>
      <c r="EI473" s="13"/>
      <c r="EJ473" s="13"/>
      <c r="EK473" s="13"/>
      <c r="EL473" s="13"/>
      <c r="EM473" s="13"/>
    </row>
    <row r="474" spans="11:143" ht="12" customHeight="1" x14ac:dyDescent="0.35">
      <c r="K474" s="13"/>
      <c r="L474" s="13"/>
      <c r="M474" s="93"/>
      <c r="N474" s="306">
        <v>13</v>
      </c>
      <c r="O474" s="306">
        <v>24</v>
      </c>
      <c r="P474" s="306">
        <v>1</v>
      </c>
      <c r="Q474" s="93"/>
      <c r="R474" s="13">
        <f>150</f>
        <v>150</v>
      </c>
      <c r="S474" s="13"/>
      <c r="T474" s="13"/>
      <c r="U474" s="13" t="s">
        <v>431</v>
      </c>
      <c r="V474" s="1804"/>
      <c r="W474" s="62">
        <f>SUMIF(Input!$K184:$K233,"=Yes",CF421:CF470)</f>
        <v>0</v>
      </c>
      <c r="X474" s="62">
        <f>SUMIF(Input!$K184:$K233,"=Yes",CG421:CG470)</f>
        <v>0</v>
      </c>
      <c r="Y474" s="62">
        <f>SUMIF(Input!$K184:$K233,"=Yes",CH421:CH470)</f>
        <v>0</v>
      </c>
      <c r="Z474" s="62">
        <f>SUMIF(Input!$K184:$K233,"=Yes",CI421:CI470)</f>
        <v>0</v>
      </c>
      <c r="AA474" s="62">
        <f>SUMIF(Input!$K184:$K233,"=Yes",CJ421:CJ470)</f>
        <v>0</v>
      </c>
      <c r="AB474" s="62">
        <f>SUMIF(Input!$K184:$K233,"=Yes",CK421:CK470)</f>
        <v>0</v>
      </c>
      <c r="AC474" s="62">
        <f>SUMIF(Input!$K184:$K233,"=Yes",CL421:CL470)</f>
        <v>0</v>
      </c>
      <c r="AD474" s="62">
        <f>SUMIF(Input!$K184:$K233,"=Yes",CM421:CM470)</f>
        <v>0</v>
      </c>
      <c r="AE474" s="62">
        <f>SUMIF(Input!$K184:$K233,"=Yes",CN421:CN470)</f>
        <v>0</v>
      </c>
      <c r="AF474" s="484">
        <f>SUMIF(Input!$K184:$K233,"=Yes",CO421:CO470)</f>
        <v>0</v>
      </c>
      <c r="AG474" s="484">
        <f>SUMIF(Input!$K184:$K233,"=Yes",CP421:CP470)</f>
        <v>0</v>
      </c>
      <c r="AH474" s="484">
        <f>SUMIF(Input!$K184:$K233,"=Yes",CQ421:CQ470)</f>
        <v>0</v>
      </c>
      <c r="AI474" s="484">
        <f>SUMIF(Input!$K184:$K233,"=Yes",CR421:CR470)</f>
        <v>0</v>
      </c>
      <c r="AJ474" s="484">
        <f>SUMIF(Input!$K184:$K233,"=Yes",CS421:CS470)</f>
        <v>0</v>
      </c>
      <c r="AK474" s="484">
        <f>SUMIF(Input!$K184:$K233,"=Yes",CT421:CT470)</f>
        <v>0</v>
      </c>
      <c r="AL474" s="484">
        <f>SUMIF(Input!$K184:$K233,"=Yes",CU421:CU470)</f>
        <v>0</v>
      </c>
      <c r="AM474" s="484">
        <f>SUMIF(Input!$K184:$K233,"=Yes",CV421:CV470)</f>
        <v>0</v>
      </c>
      <c r="AN474" s="484">
        <f>SUMIF(Input!$K184:$K233,"=Yes",CW421:CW470)</f>
        <v>0</v>
      </c>
      <c r="AO474" s="484">
        <f>SUMIF(Input!$K184:$K233,"=Yes",CX421:CX470)</f>
        <v>0</v>
      </c>
      <c r="AP474" s="484">
        <f>SUMIF(Input!$K184:$K233,"=Yes",CY421:CY470)</f>
        <v>0</v>
      </c>
      <c r="AQ474" s="484">
        <f>SUMIF(Input!$K184:$K233,"=Yes",CZ421:CZ470)</f>
        <v>0</v>
      </c>
      <c r="AR474" s="484">
        <f>SUMIF(Input!$K184:$K233,"=Yes",DA421:DA470)</f>
        <v>0</v>
      </c>
      <c r="AS474" s="484">
        <f>SUMIF(Input!$K184:$K233,"=Yes",DB421:DB470)</f>
        <v>0</v>
      </c>
      <c r="AT474" s="484">
        <f>SUMIF(Input!$K184:$K233,"=Yes",DC421:DC470)</f>
        <v>0</v>
      </c>
      <c r="AU474" s="484">
        <f>SUMIF(Input!$K184:$K233,"=Yes",DD421:DD470)</f>
        <v>0</v>
      </c>
      <c r="AV474" s="484">
        <f>SUMIF(Input!$K184:$K233,"=Yes",DE421:DE470)</f>
        <v>0</v>
      </c>
      <c r="AW474" s="484">
        <f>SUMIF(Input!$K184:$K233,"=Yes",DF421:DF470)</f>
        <v>0</v>
      </c>
      <c r="AX474" s="484">
        <f>SUMIF(Input!$K184:$K233,"=Yes",DG421:DG470)</f>
        <v>0</v>
      </c>
      <c r="AY474" s="484">
        <f>SUMIF(Input!$K184:$K233,"=Yes",DH421:DH470)</f>
        <v>0</v>
      </c>
      <c r="AZ474" s="484">
        <f>SUMIF(Input!$K184:$K233,"=Yes",DI421:DI470)</f>
        <v>0</v>
      </c>
      <c r="BA474" s="484">
        <f>SUMIF(Input!$K184:$K233,"=Yes",DJ421:DJ470)</f>
        <v>0</v>
      </c>
      <c r="BB474" s="484">
        <f>SUMIF(Input!$K184:$K233,"=Yes",DK421:DK470)</f>
        <v>0</v>
      </c>
      <c r="BC474" s="484">
        <f>SUMIF(Input!$K184:$K233,"=Yes",DL421:DL470)</f>
        <v>0</v>
      </c>
      <c r="BD474" s="484">
        <f>SUMIF(Input!$K184:$K233,"=Yes",DM421:DM470)</f>
        <v>0</v>
      </c>
      <c r="BE474" s="484">
        <f>SUMIF(Input!$K184:$K233,"=Yes",DN421:DN470)</f>
        <v>0</v>
      </c>
      <c r="BF474" s="484">
        <f>SUMIF(Input!$K184:$K233,"=Yes",DO421:DO470)</f>
        <v>0</v>
      </c>
      <c r="BG474" s="484">
        <f>SUMIF(Input!$K184:$K233,"=Yes",DP421:DP470)</f>
        <v>0</v>
      </c>
      <c r="BH474" s="484">
        <f>SUMIF(Input!$K184:$K233,"=Yes",DQ421:DQ470)</f>
        <v>0</v>
      </c>
      <c r="BI474" s="484">
        <f>SUMIF(Input!$K184:$K233,"=Yes",DR421:DR470)</f>
        <v>0</v>
      </c>
      <c r="BJ474" s="484">
        <f>SUMIF(Input!$K184:$K233,"=Yes",DS421:DS470)</f>
        <v>0</v>
      </c>
      <c r="BK474" s="484">
        <f>SUMIF(Input!$K184:$K233,"=Yes",DT421:DT470)</f>
        <v>0</v>
      </c>
      <c r="BL474" s="484">
        <f>SUMIF(Input!$K184:$K233,"=Yes",DU421:DU470)</f>
        <v>0</v>
      </c>
      <c r="BM474" s="484">
        <f>SUMIF(Input!$K184:$K233,"=Yes",DV421:DV470)</f>
        <v>0</v>
      </c>
      <c r="BN474" s="484">
        <f>SUMIF(Input!$K184:$K233,"=Yes",DW421:DW470)</f>
        <v>0</v>
      </c>
      <c r="BO474" s="484">
        <f>SUMIF(Input!$K184:$K233,"=Yes",DX421:DX470)</f>
        <v>0</v>
      </c>
      <c r="BP474" s="484">
        <f>SUMIF(Input!$K184:$K233,"=Yes",DY421:DY470)</f>
        <v>0</v>
      </c>
      <c r="BQ474" s="484">
        <f>SUMIF(Input!$K184:$K233,"=Yes",DZ421:DZ470)</f>
        <v>0</v>
      </c>
      <c r="BR474" s="484">
        <f>SUMIF(Input!$K184:$K233,"=Yes",EA421:EA470)</f>
        <v>0</v>
      </c>
      <c r="BS474" s="484">
        <f>SUMIF(Input!$K184:$K233,"=Yes",EB421:EB470)</f>
        <v>0</v>
      </c>
      <c r="BT474" s="484">
        <f>SUMIF(Input!$K184:$K233,"=Yes",EC421:EC470)</f>
        <v>0</v>
      </c>
      <c r="BU474" s="484">
        <f>SUMIF(Input!$K184:$K233,"=Yes",ED421:ED470)</f>
        <v>0</v>
      </c>
      <c r="BV474" s="484">
        <f>SUMIF(Input!$K184:$K233,"=Yes",EE421:EE470)</f>
        <v>0</v>
      </c>
      <c r="BW474" s="484">
        <f>SUMIF(Input!$K184:$K233,"=Yes",EF421:EF470)</f>
        <v>0</v>
      </c>
      <c r="BX474" s="484">
        <f>SUMIF(Input!$K184:$K233,"=Yes",EG421:EG470)</f>
        <v>0</v>
      </c>
      <c r="BY474" s="484">
        <f>SUMIF(Input!$K184:$K233,"=Yes",EH421:EH470)</f>
        <v>0</v>
      </c>
      <c r="BZ474" s="484">
        <f>SUMIF(Input!$K184:$K233,"=Yes",EI421:EI470)</f>
        <v>0</v>
      </c>
      <c r="CA474" s="484">
        <f>SUMIF(Input!$K184:$K233,"=Yes",EJ421:EJ470)</f>
        <v>0</v>
      </c>
      <c r="CB474" s="484">
        <f>SUMIF(Input!$K184:$K233,"=Yes",EK421:EK470)</f>
        <v>0</v>
      </c>
      <c r="CC474" s="484">
        <f>SUMIF(Input!$K184:$K233,"=Yes",EL421:EL470)</f>
        <v>0</v>
      </c>
      <c r="CD474" s="484">
        <f>SUMIF(Input!$K184:$K233,"=Yes",EM421:EM470)</f>
        <v>0</v>
      </c>
      <c r="CE474" s="84"/>
      <c r="CF474" s="84"/>
      <c r="CG474" s="84"/>
      <c r="CH474" s="84"/>
      <c r="CI474" s="84"/>
      <c r="CJ474" s="84"/>
      <c r="CK474" s="84"/>
      <c r="CL474" s="84"/>
      <c r="CM474" s="84"/>
      <c r="CN474" s="84"/>
      <c r="CO474" s="84"/>
      <c r="CP474" s="84"/>
      <c r="CQ474" s="84"/>
      <c r="CR474" s="84"/>
      <c r="CS474" s="84"/>
      <c r="CT474" s="84"/>
      <c r="CU474" s="84"/>
      <c r="CV474" s="84"/>
      <c r="CW474" s="84"/>
      <c r="CX474" s="84"/>
      <c r="CY474" s="84"/>
      <c r="CZ474" s="84"/>
      <c r="DA474" s="84"/>
      <c r="DB474" s="84"/>
      <c r="DC474" s="84"/>
      <c r="DD474" s="84"/>
      <c r="DE474" s="84"/>
      <c r="DF474" s="84"/>
      <c r="DG474" s="84"/>
      <c r="DH474" s="84"/>
      <c r="DI474" s="84"/>
      <c r="DJ474" s="84"/>
      <c r="DK474" s="84"/>
      <c r="DL474" s="84"/>
      <c r="DM474" s="84"/>
      <c r="DN474" s="84"/>
      <c r="DO474" s="84"/>
      <c r="DP474" s="84"/>
      <c r="DQ474" s="84"/>
      <c r="DR474" s="13"/>
      <c r="DS474" s="13"/>
      <c r="DT474" s="13"/>
      <c r="DU474" s="13"/>
      <c r="DV474" s="13"/>
      <c r="DW474" s="13"/>
      <c r="DX474" s="13"/>
      <c r="DY474" s="13"/>
      <c r="DZ474" s="13"/>
      <c r="EA474" s="13"/>
      <c r="EB474" s="13"/>
      <c r="EC474" s="13"/>
      <c r="ED474" s="13"/>
      <c r="EE474" s="13"/>
      <c r="EF474" s="13"/>
      <c r="EG474" s="13"/>
      <c r="EH474" s="13"/>
      <c r="EI474" s="13"/>
      <c r="EJ474" s="13"/>
      <c r="EK474" s="13"/>
      <c r="EL474" s="13"/>
      <c r="EM474" s="13"/>
    </row>
    <row r="475" spans="11:143" ht="12" customHeight="1" x14ac:dyDescent="0.35">
      <c r="K475" s="13"/>
      <c r="L475" s="13"/>
      <c r="M475" s="93"/>
      <c r="N475" s="306">
        <v>25</v>
      </c>
      <c r="O475" s="306">
        <v>36</v>
      </c>
      <c r="P475" s="306">
        <v>2</v>
      </c>
      <c r="Q475" s="93"/>
      <c r="R475" s="13">
        <f>14*15</f>
        <v>210</v>
      </c>
      <c r="S475" s="13"/>
      <c r="T475" s="13"/>
      <c r="U475" s="13"/>
      <c r="V475" s="13"/>
      <c r="W475" s="13"/>
      <c r="X475" s="13"/>
      <c r="Y475" s="13"/>
      <c r="Z475" s="13"/>
      <c r="AA475" s="13"/>
      <c r="AB475" s="13"/>
      <c r="AC475" s="13"/>
      <c r="AD475" s="13"/>
      <c r="AE475" s="13"/>
      <c r="AF475" s="84"/>
      <c r="AG475" s="84"/>
      <c r="AH475" s="84"/>
      <c r="AI475" s="84"/>
      <c r="AJ475" s="84"/>
      <c r="AK475" s="84"/>
      <c r="AL475" s="84"/>
      <c r="AM475" s="84"/>
      <c r="AN475" s="84"/>
      <c r="AO475" s="84"/>
      <c r="AP475" s="84"/>
      <c r="AQ475" s="84"/>
      <c r="AR475" s="84"/>
      <c r="AS475" s="84"/>
      <c r="AT475" s="84"/>
      <c r="AU475" s="84"/>
      <c r="AV475" s="84"/>
      <c r="AW475" s="84"/>
      <c r="AX475" s="84"/>
      <c r="AY475" s="84"/>
      <c r="AZ475" s="84"/>
      <c r="BA475" s="84"/>
      <c r="BB475" s="84"/>
      <c r="BC475" s="84"/>
      <c r="BD475" s="84"/>
      <c r="BE475" s="84"/>
      <c r="BF475" s="84"/>
      <c r="BG475" s="84"/>
      <c r="BH475" s="84"/>
      <c r="BI475" s="84"/>
      <c r="BJ475" s="84"/>
      <c r="BK475" s="84"/>
      <c r="BL475" s="84"/>
      <c r="BM475" s="84"/>
      <c r="BN475" s="84"/>
      <c r="BO475" s="84"/>
      <c r="BP475" s="84"/>
      <c r="BQ475" s="84"/>
      <c r="BR475" s="84"/>
      <c r="BS475" s="84"/>
      <c r="BT475" s="84"/>
      <c r="BU475" s="84"/>
      <c r="BV475" s="84"/>
      <c r="BW475" s="84"/>
      <c r="BX475" s="84"/>
      <c r="BY475" s="84"/>
      <c r="BZ475" s="84"/>
      <c r="CA475" s="84"/>
      <c r="CB475" s="84"/>
      <c r="CC475" s="84"/>
      <c r="CD475" s="84"/>
      <c r="CE475" s="84"/>
      <c r="CF475" s="84"/>
      <c r="CG475" s="84"/>
      <c r="CH475" s="84"/>
      <c r="CI475" s="84"/>
      <c r="CJ475" s="84"/>
      <c r="CK475" s="84"/>
      <c r="CL475" s="84"/>
      <c r="CM475" s="84"/>
      <c r="CN475" s="84"/>
      <c r="CO475" s="84"/>
      <c r="CP475" s="84"/>
      <c r="CQ475" s="84"/>
      <c r="CR475" s="84"/>
      <c r="CS475" s="84"/>
      <c r="CT475" s="84"/>
      <c r="CU475" s="84"/>
      <c r="CV475" s="84"/>
      <c r="CW475" s="84"/>
      <c r="CX475" s="84"/>
      <c r="CY475" s="84"/>
      <c r="CZ475" s="84"/>
      <c r="DA475" s="84"/>
      <c r="DB475" s="84"/>
      <c r="DC475" s="84"/>
      <c r="DD475" s="84"/>
      <c r="DE475" s="84"/>
      <c r="DF475" s="84"/>
      <c r="DG475" s="84"/>
      <c r="DH475" s="84"/>
      <c r="DI475" s="84"/>
      <c r="DJ475" s="84"/>
      <c r="DK475" s="84"/>
      <c r="DL475" s="84"/>
      <c r="DM475" s="84"/>
      <c r="DN475" s="84"/>
      <c r="DO475" s="84"/>
      <c r="DP475" s="84"/>
      <c r="DQ475" s="84"/>
      <c r="DR475" s="13"/>
      <c r="DS475" s="13"/>
      <c r="DT475" s="13"/>
      <c r="DU475" s="13"/>
      <c r="DV475" s="13"/>
      <c r="DW475" s="13"/>
      <c r="DX475" s="13"/>
      <c r="DY475" s="13"/>
      <c r="DZ475" s="13"/>
      <c r="EA475" s="13"/>
      <c r="EB475" s="13"/>
      <c r="EC475" s="13"/>
      <c r="ED475" s="13"/>
      <c r="EE475" s="13"/>
      <c r="EF475" s="13"/>
      <c r="EG475" s="13"/>
      <c r="EH475" s="13"/>
      <c r="EI475" s="13"/>
      <c r="EJ475" s="13"/>
      <c r="EK475" s="13"/>
      <c r="EL475" s="13"/>
      <c r="EM475" s="13"/>
    </row>
    <row r="476" spans="11:143" ht="12" customHeight="1" x14ac:dyDescent="0.35">
      <c r="K476" s="13"/>
      <c r="L476" s="1889" t="s">
        <v>58</v>
      </c>
      <c r="M476" s="1889"/>
      <c r="N476" s="306">
        <v>37</v>
      </c>
      <c r="O476" s="306">
        <v>48</v>
      </c>
      <c r="P476" s="306">
        <v>3</v>
      </c>
      <c r="Q476" s="93"/>
      <c r="R476" s="13">
        <f>8*15</f>
        <v>120</v>
      </c>
      <c r="S476" s="13"/>
      <c r="T476" s="13"/>
      <c r="U476" s="13"/>
      <c r="V476" s="13"/>
      <c r="W476" s="13"/>
      <c r="X476" s="13"/>
      <c r="Y476" s="13"/>
      <c r="Z476" s="13"/>
      <c r="AA476" s="13"/>
      <c r="AB476" s="13"/>
      <c r="AC476" s="13"/>
      <c r="AD476" s="13"/>
      <c r="AE476" s="13"/>
      <c r="AF476" s="84"/>
      <c r="AG476" s="84"/>
      <c r="AH476" s="84"/>
      <c r="AI476" s="84"/>
      <c r="AJ476" s="84"/>
      <c r="AK476" s="84"/>
      <c r="AL476" s="84"/>
      <c r="AM476" s="84"/>
      <c r="AN476" s="84"/>
      <c r="AO476" s="84"/>
      <c r="AP476" s="84"/>
      <c r="AQ476" s="84"/>
      <c r="AR476" s="84"/>
      <c r="AS476" s="84"/>
      <c r="AT476" s="84"/>
      <c r="AU476" s="84"/>
      <c r="AV476" s="84"/>
      <c r="AW476" s="84"/>
      <c r="AX476" s="84"/>
      <c r="AY476" s="84"/>
      <c r="AZ476" s="84"/>
      <c r="BA476" s="84"/>
      <c r="BB476" s="84"/>
      <c r="BC476" s="84"/>
      <c r="BD476" s="84"/>
      <c r="BE476" s="84"/>
      <c r="BF476" s="84"/>
      <c r="BG476" s="84"/>
      <c r="BH476" s="84"/>
      <c r="BI476" s="84"/>
      <c r="BJ476" s="84"/>
      <c r="BK476" s="84"/>
      <c r="BL476" s="84"/>
      <c r="BM476" s="84"/>
      <c r="BN476" s="84"/>
      <c r="BO476" s="84"/>
      <c r="BP476" s="84"/>
      <c r="BQ476" s="84"/>
      <c r="BR476" s="84"/>
      <c r="BS476" s="84"/>
      <c r="BT476" s="84"/>
      <c r="BU476" s="84"/>
      <c r="BV476" s="84"/>
      <c r="BW476" s="84"/>
      <c r="BX476" s="84"/>
      <c r="BY476" s="84"/>
      <c r="BZ476" s="84"/>
      <c r="CA476" s="84"/>
      <c r="CB476" s="84"/>
      <c r="CC476" s="84"/>
      <c r="CD476" s="84"/>
      <c r="CE476" s="84"/>
      <c r="CF476" s="84"/>
      <c r="CG476" s="84"/>
      <c r="CH476" s="84"/>
      <c r="CI476" s="84"/>
      <c r="CJ476" s="84"/>
      <c r="CK476" s="84"/>
      <c r="CL476" s="84"/>
      <c r="CM476" s="84"/>
      <c r="CN476" s="84"/>
      <c r="CO476" s="84"/>
      <c r="CP476" s="84"/>
      <c r="CQ476" s="84"/>
      <c r="CR476" s="84"/>
      <c r="CS476" s="84"/>
      <c r="CT476" s="84"/>
      <c r="CU476" s="84"/>
      <c r="CV476" s="84"/>
      <c r="CW476" s="84"/>
      <c r="CX476" s="84"/>
      <c r="CY476" s="84"/>
      <c r="CZ476" s="84"/>
      <c r="DA476" s="84"/>
      <c r="DB476" s="84"/>
      <c r="DC476" s="84"/>
      <c r="DD476" s="84"/>
      <c r="DE476" s="84"/>
      <c r="DF476" s="84"/>
      <c r="DG476" s="84"/>
      <c r="DH476" s="84"/>
      <c r="DI476" s="84"/>
      <c r="DJ476" s="84"/>
      <c r="DK476" s="84"/>
      <c r="DL476" s="84"/>
      <c r="DM476" s="84"/>
      <c r="DN476" s="84"/>
      <c r="DO476" s="84"/>
      <c r="DP476" s="84"/>
      <c r="DQ476" s="84"/>
      <c r="DR476" s="13"/>
      <c r="DS476" s="13"/>
      <c r="DT476" s="13"/>
      <c r="DU476" s="13"/>
      <c r="DV476" s="13"/>
      <c r="DW476" s="13"/>
      <c r="DX476" s="13"/>
      <c r="DY476" s="13"/>
      <c r="DZ476" s="13"/>
      <c r="EA476" s="13"/>
      <c r="EB476" s="13"/>
      <c r="EC476" s="13"/>
      <c r="ED476" s="13"/>
      <c r="EE476" s="13"/>
      <c r="EF476" s="13"/>
      <c r="EG476" s="13"/>
      <c r="EH476" s="13"/>
      <c r="EI476" s="13"/>
      <c r="EJ476" s="13"/>
      <c r="EK476" s="13"/>
      <c r="EL476" s="13"/>
      <c r="EM476" s="13"/>
    </row>
    <row r="477" spans="11:143" ht="12" customHeight="1" x14ac:dyDescent="0.35">
      <c r="K477" s="1"/>
      <c r="L477" s="1889"/>
      <c r="M477" s="1889"/>
      <c r="N477" s="306">
        <v>49</v>
      </c>
      <c r="O477" s="306">
        <v>60</v>
      </c>
      <c r="P477" s="306">
        <v>4</v>
      </c>
      <c r="Q477" s="93"/>
      <c r="R477" s="1"/>
      <c r="S477" s="1"/>
      <c r="T477" s="1"/>
      <c r="U477" s="1"/>
      <c r="V477" s="1"/>
      <c r="W477" s="20">
        <v>1</v>
      </c>
      <c r="X477" s="20">
        <v>2</v>
      </c>
      <c r="Y477" s="20">
        <v>3</v>
      </c>
      <c r="Z477" s="20">
        <v>4</v>
      </c>
      <c r="AA477" s="20">
        <v>5</v>
      </c>
      <c r="AB477" s="20">
        <v>6</v>
      </c>
      <c r="AC477" s="20">
        <v>7</v>
      </c>
      <c r="AD477" s="20">
        <v>8</v>
      </c>
      <c r="AE477" s="20">
        <v>9</v>
      </c>
      <c r="AF477" s="1124">
        <v>10</v>
      </c>
      <c r="AG477" s="1124">
        <v>11</v>
      </c>
      <c r="AH477" s="1124">
        <v>12</v>
      </c>
      <c r="AI477" s="1124">
        <v>13</v>
      </c>
      <c r="AJ477" s="1124">
        <v>14</v>
      </c>
      <c r="AK477" s="1124">
        <v>15</v>
      </c>
      <c r="AL477" s="1124">
        <v>16</v>
      </c>
      <c r="AM477" s="1124">
        <v>17</v>
      </c>
      <c r="AN477" s="1124">
        <v>18</v>
      </c>
      <c r="AO477" s="1124">
        <v>19</v>
      </c>
      <c r="AP477" s="1124">
        <v>20</v>
      </c>
      <c r="AQ477" s="1124">
        <v>21</v>
      </c>
      <c r="AR477" s="1124">
        <v>22</v>
      </c>
      <c r="AS477" s="1124">
        <v>23</v>
      </c>
      <c r="AT477" s="1124">
        <v>24</v>
      </c>
      <c r="AU477" s="1124">
        <v>25</v>
      </c>
      <c r="AV477" s="1124">
        <v>26</v>
      </c>
      <c r="AW477" s="1124">
        <v>27</v>
      </c>
      <c r="AX477" s="1124">
        <v>28</v>
      </c>
      <c r="AY477" s="1124">
        <v>29</v>
      </c>
      <c r="AZ477" s="1124">
        <v>30</v>
      </c>
      <c r="BA477" s="1124">
        <v>31</v>
      </c>
      <c r="BB477" s="1124">
        <v>32</v>
      </c>
      <c r="BC477" s="1124">
        <v>33</v>
      </c>
      <c r="BD477" s="1124">
        <v>34</v>
      </c>
      <c r="BE477" s="1124">
        <v>35</v>
      </c>
      <c r="BF477" s="1124">
        <v>36</v>
      </c>
      <c r="BG477" s="1124">
        <v>37</v>
      </c>
      <c r="BH477" s="1124">
        <v>38</v>
      </c>
      <c r="BI477" s="1124">
        <v>39</v>
      </c>
      <c r="BJ477" s="1124">
        <v>40</v>
      </c>
      <c r="BK477" s="1124">
        <v>41</v>
      </c>
      <c r="BL477" s="1124">
        <v>42</v>
      </c>
      <c r="BM477" s="1124">
        <v>43</v>
      </c>
      <c r="BN477" s="1124">
        <v>44</v>
      </c>
      <c r="BO477" s="1124">
        <v>45</v>
      </c>
      <c r="BP477" s="1124">
        <v>46</v>
      </c>
      <c r="BQ477" s="1124">
        <v>47</v>
      </c>
      <c r="BR477" s="1124">
        <v>48</v>
      </c>
      <c r="BS477" s="1124">
        <v>49</v>
      </c>
      <c r="BT477" s="1124">
        <v>50</v>
      </c>
      <c r="BU477" s="1124">
        <v>51</v>
      </c>
      <c r="BV477" s="1124">
        <v>52</v>
      </c>
      <c r="BW477" s="1124">
        <v>53</v>
      </c>
      <c r="BX477" s="1124">
        <v>54</v>
      </c>
      <c r="BY477" s="1124">
        <v>55</v>
      </c>
      <c r="BZ477" s="1124">
        <v>56</v>
      </c>
      <c r="CA477" s="1124">
        <v>57</v>
      </c>
      <c r="CB477" s="1124">
        <v>58</v>
      </c>
      <c r="CC477" s="1124">
        <v>59</v>
      </c>
      <c r="CD477" s="1124">
        <v>60</v>
      </c>
      <c r="CE477" s="84"/>
      <c r="CF477" s="84"/>
      <c r="CG477" s="84"/>
      <c r="CH477" s="84"/>
      <c r="CI477" s="84"/>
      <c r="CJ477" s="84"/>
      <c r="CK477" s="84"/>
      <c r="CL477" s="84"/>
      <c r="CM477" s="84"/>
      <c r="CN477" s="84"/>
      <c r="CO477" s="84"/>
      <c r="CP477" s="84"/>
      <c r="CQ477" s="84"/>
      <c r="CR477" s="84"/>
      <c r="CS477" s="84"/>
      <c r="CT477" s="84"/>
      <c r="CU477" s="84"/>
      <c r="CV477" s="84"/>
      <c r="CW477" s="84"/>
      <c r="CX477" s="84"/>
      <c r="CY477" s="84"/>
      <c r="CZ477" s="84"/>
      <c r="DA477" s="84"/>
      <c r="DB477" s="84"/>
      <c r="DC477" s="84"/>
      <c r="DD477" s="84"/>
      <c r="DE477" s="84"/>
      <c r="DF477" s="84"/>
      <c r="DG477" s="84"/>
      <c r="DH477" s="84"/>
      <c r="DI477" s="84"/>
      <c r="DJ477" s="84"/>
      <c r="DK477" s="84"/>
      <c r="DL477" s="84"/>
      <c r="DM477" s="84"/>
      <c r="DN477" s="84"/>
      <c r="DO477" s="84"/>
      <c r="DP477" s="84"/>
      <c r="DQ477" s="84"/>
      <c r="DR477" s="13"/>
      <c r="DS477" s="13"/>
      <c r="DT477" s="13"/>
      <c r="DU477" s="13"/>
      <c r="DV477" s="13"/>
      <c r="DW477" s="13"/>
      <c r="DX477" s="13"/>
      <c r="DY477" s="13"/>
      <c r="DZ477" s="13"/>
      <c r="EA477" s="13"/>
      <c r="EB477" s="13"/>
      <c r="EC477" s="13"/>
      <c r="ED477" s="13"/>
      <c r="EE477" s="13"/>
      <c r="EF477" s="13"/>
      <c r="EG477" s="13"/>
      <c r="EH477" s="13"/>
      <c r="EI477" s="13"/>
      <c r="EJ477" s="13"/>
      <c r="EK477" s="13"/>
      <c r="EL477" s="13"/>
      <c r="EM477" s="13"/>
    </row>
    <row r="478" spans="11:143" ht="12" customHeight="1" x14ac:dyDescent="0.35">
      <c r="K478" s="1"/>
      <c r="L478" s="1"/>
      <c r="M478" s="1"/>
      <c r="N478" s="1"/>
      <c r="O478" s="1"/>
      <c r="P478" s="1"/>
      <c r="Q478" s="93"/>
      <c r="R478" s="1"/>
      <c r="S478" s="1"/>
      <c r="T478" s="1"/>
      <c r="U478" s="1"/>
      <c r="V478" s="1"/>
      <c r="W478" s="1"/>
      <c r="X478" s="1"/>
      <c r="Y478" s="1"/>
      <c r="Z478" s="1"/>
      <c r="AA478" s="1"/>
      <c r="AB478" s="1"/>
      <c r="AC478" s="1"/>
      <c r="AD478" s="1"/>
      <c r="AE478" s="1"/>
      <c r="AF478" s="429"/>
      <c r="AG478" s="429"/>
      <c r="AH478" s="429"/>
      <c r="AI478" s="429"/>
      <c r="AJ478" s="429"/>
      <c r="AK478" s="429"/>
      <c r="AL478" s="429"/>
      <c r="AM478" s="429"/>
      <c r="AN478" s="429"/>
      <c r="AO478" s="429"/>
      <c r="AP478" s="429"/>
      <c r="AQ478" s="429"/>
      <c r="AR478" s="429"/>
      <c r="AS478" s="429"/>
      <c r="AT478" s="429"/>
      <c r="AU478" s="429"/>
      <c r="AV478" s="429"/>
      <c r="AW478" s="429"/>
      <c r="AX478" s="429"/>
      <c r="AY478" s="429"/>
      <c r="AZ478" s="429"/>
      <c r="BA478" s="429"/>
      <c r="BB478" s="429"/>
      <c r="BC478" s="429"/>
      <c r="BD478" s="429"/>
      <c r="BE478" s="429"/>
      <c r="BF478" s="429"/>
      <c r="BG478" s="429"/>
      <c r="BH478" s="429"/>
      <c r="BI478" s="429"/>
      <c r="BJ478" s="429"/>
      <c r="BK478" s="429"/>
      <c r="BL478" s="429"/>
      <c r="BM478" s="429"/>
      <c r="BN478" s="429"/>
      <c r="BO478" s="429"/>
      <c r="BP478" s="429"/>
      <c r="BQ478" s="429"/>
      <c r="BR478" s="429"/>
      <c r="BS478" s="429"/>
      <c r="BT478" s="429"/>
      <c r="BU478" s="429"/>
      <c r="BV478" s="429"/>
      <c r="BW478" s="429"/>
      <c r="BX478" s="429"/>
      <c r="BY478" s="429"/>
      <c r="BZ478" s="429"/>
      <c r="CA478" s="429"/>
      <c r="CB478" s="429"/>
      <c r="CC478" s="429"/>
      <c r="CD478" s="429"/>
      <c r="CE478" s="84"/>
      <c r="CF478" s="84"/>
      <c r="CG478" s="84"/>
      <c r="CH478" s="84"/>
      <c r="CI478" s="84"/>
      <c r="CJ478" s="84"/>
      <c r="CK478" s="84"/>
      <c r="CL478" s="84"/>
      <c r="CM478" s="84"/>
      <c r="CN478" s="84"/>
      <c r="CO478" s="84"/>
      <c r="CP478" s="84"/>
      <c r="CQ478" s="84"/>
      <c r="CR478" s="84"/>
      <c r="CS478" s="84"/>
      <c r="CT478" s="84"/>
      <c r="CU478" s="84"/>
      <c r="CV478" s="84"/>
      <c r="CW478" s="84"/>
      <c r="CX478" s="84"/>
      <c r="CY478" s="84"/>
      <c r="CZ478" s="84"/>
      <c r="DA478" s="84"/>
      <c r="DB478" s="84"/>
      <c r="DC478" s="84"/>
      <c r="DD478" s="84"/>
      <c r="DE478" s="84"/>
      <c r="DF478" s="84"/>
      <c r="DG478" s="84"/>
      <c r="DH478" s="84"/>
      <c r="DI478" s="84"/>
      <c r="DJ478" s="84"/>
      <c r="DK478" s="84"/>
      <c r="DL478" s="84"/>
      <c r="DM478" s="84"/>
      <c r="DN478" s="84"/>
      <c r="DO478" s="84"/>
      <c r="DP478" s="84"/>
      <c r="DQ478" s="84"/>
      <c r="DR478" s="13"/>
      <c r="DS478" s="13"/>
      <c r="DT478" s="13"/>
      <c r="DU478" s="13"/>
      <c r="DV478" s="13"/>
      <c r="DW478" s="13"/>
      <c r="DX478" s="13"/>
      <c r="DY478" s="13"/>
      <c r="DZ478" s="13"/>
      <c r="EA478" s="13"/>
      <c r="EB478" s="13"/>
      <c r="EC478" s="13"/>
      <c r="ED478" s="13"/>
      <c r="EE478" s="13"/>
      <c r="EF478" s="13"/>
      <c r="EG478" s="13"/>
      <c r="EH478" s="13"/>
      <c r="EI478" s="13"/>
      <c r="EJ478" s="13"/>
      <c r="EK478" s="13"/>
      <c r="EL478" s="13"/>
      <c r="EM478" s="13"/>
    </row>
    <row r="479" spans="11:143" ht="12" customHeight="1" thickBot="1" x14ac:dyDescent="0.4">
      <c r="K479" s="13"/>
      <c r="L479" s="42" t="s">
        <v>432</v>
      </c>
      <c r="M479" s="61" t="s">
        <v>227</v>
      </c>
      <c r="N479" s="61" t="s">
        <v>137</v>
      </c>
      <c r="O479" s="61" t="s">
        <v>138</v>
      </c>
      <c r="P479" s="61"/>
      <c r="Q479" s="61"/>
      <c r="R479" s="61"/>
      <c r="S479" s="61"/>
      <c r="T479" s="13"/>
      <c r="U479" s="13"/>
      <c r="V479" s="13"/>
      <c r="W479" s="202">
        <f>W420</f>
        <v>0</v>
      </c>
      <c r="X479" s="202">
        <f t="shared" ref="X479:CD479" si="351">X420</f>
        <v>59</v>
      </c>
      <c r="Y479" s="202">
        <f t="shared" si="351"/>
        <v>91</v>
      </c>
      <c r="Z479" s="202">
        <f t="shared" si="351"/>
        <v>121</v>
      </c>
      <c r="AA479" s="202">
        <f t="shared" si="351"/>
        <v>152</v>
      </c>
      <c r="AB479" s="202">
        <f t="shared" si="351"/>
        <v>182</v>
      </c>
      <c r="AC479" s="202">
        <f t="shared" si="351"/>
        <v>213</v>
      </c>
      <c r="AD479" s="202">
        <f t="shared" si="351"/>
        <v>244</v>
      </c>
      <c r="AE479" s="202">
        <f t="shared" si="351"/>
        <v>274</v>
      </c>
      <c r="AF479" s="202">
        <f t="shared" si="351"/>
        <v>305</v>
      </c>
      <c r="AG479" s="202">
        <f t="shared" si="351"/>
        <v>335</v>
      </c>
      <c r="AH479" s="202">
        <f t="shared" si="351"/>
        <v>366</v>
      </c>
      <c r="AI479" s="202">
        <f t="shared" si="351"/>
        <v>397</v>
      </c>
      <c r="AJ479" s="202">
        <f t="shared" si="351"/>
        <v>425</v>
      </c>
      <c r="AK479" s="202">
        <f t="shared" si="351"/>
        <v>456</v>
      </c>
      <c r="AL479" s="202">
        <f t="shared" si="351"/>
        <v>486</v>
      </c>
      <c r="AM479" s="202">
        <f t="shared" si="351"/>
        <v>517</v>
      </c>
      <c r="AN479" s="202">
        <f t="shared" si="351"/>
        <v>547</v>
      </c>
      <c r="AO479" s="202">
        <f t="shared" si="351"/>
        <v>578</v>
      </c>
      <c r="AP479" s="202">
        <f t="shared" si="351"/>
        <v>609</v>
      </c>
      <c r="AQ479" s="202">
        <f t="shared" si="351"/>
        <v>639</v>
      </c>
      <c r="AR479" s="202">
        <f t="shared" si="351"/>
        <v>670</v>
      </c>
      <c r="AS479" s="202">
        <f t="shared" si="351"/>
        <v>700</v>
      </c>
      <c r="AT479" s="202">
        <f t="shared" si="351"/>
        <v>731</v>
      </c>
      <c r="AU479" s="202">
        <f t="shared" si="351"/>
        <v>762</v>
      </c>
      <c r="AV479" s="202">
        <f t="shared" si="351"/>
        <v>790</v>
      </c>
      <c r="AW479" s="202">
        <f t="shared" si="351"/>
        <v>821</v>
      </c>
      <c r="AX479" s="202">
        <f t="shared" si="351"/>
        <v>851</v>
      </c>
      <c r="AY479" s="202">
        <f t="shared" si="351"/>
        <v>882</v>
      </c>
      <c r="AZ479" s="202">
        <f t="shared" si="351"/>
        <v>912</v>
      </c>
      <c r="BA479" s="202">
        <f t="shared" si="351"/>
        <v>943</v>
      </c>
      <c r="BB479" s="202">
        <f t="shared" si="351"/>
        <v>974</v>
      </c>
      <c r="BC479" s="202">
        <f t="shared" si="351"/>
        <v>1004</v>
      </c>
      <c r="BD479" s="202">
        <f t="shared" si="351"/>
        <v>1035</v>
      </c>
      <c r="BE479" s="202">
        <f t="shared" si="351"/>
        <v>1065</v>
      </c>
      <c r="BF479" s="202">
        <f t="shared" si="351"/>
        <v>1096</v>
      </c>
      <c r="BG479" s="202">
        <f t="shared" si="351"/>
        <v>1127</v>
      </c>
      <c r="BH479" s="202">
        <f t="shared" si="351"/>
        <v>1155</v>
      </c>
      <c r="BI479" s="202">
        <f t="shared" si="351"/>
        <v>1186</v>
      </c>
      <c r="BJ479" s="202">
        <f t="shared" si="351"/>
        <v>1216</v>
      </c>
      <c r="BK479" s="202">
        <f t="shared" si="351"/>
        <v>1247</v>
      </c>
      <c r="BL479" s="202">
        <f t="shared" si="351"/>
        <v>1277</v>
      </c>
      <c r="BM479" s="202">
        <f t="shared" si="351"/>
        <v>1308</v>
      </c>
      <c r="BN479" s="202">
        <f t="shared" si="351"/>
        <v>1339</v>
      </c>
      <c r="BO479" s="202">
        <f t="shared" si="351"/>
        <v>1369</v>
      </c>
      <c r="BP479" s="202">
        <f t="shared" si="351"/>
        <v>1400</v>
      </c>
      <c r="BQ479" s="202">
        <f t="shared" si="351"/>
        <v>1430</v>
      </c>
      <c r="BR479" s="202">
        <f t="shared" si="351"/>
        <v>1461</v>
      </c>
      <c r="BS479" s="202">
        <f t="shared" si="351"/>
        <v>1492</v>
      </c>
      <c r="BT479" s="202">
        <f t="shared" si="351"/>
        <v>1521</v>
      </c>
      <c r="BU479" s="202">
        <f t="shared" si="351"/>
        <v>1552</v>
      </c>
      <c r="BV479" s="202">
        <f t="shared" si="351"/>
        <v>1582</v>
      </c>
      <c r="BW479" s="202">
        <f t="shared" si="351"/>
        <v>1613</v>
      </c>
      <c r="BX479" s="202">
        <f t="shared" si="351"/>
        <v>1643</v>
      </c>
      <c r="BY479" s="202">
        <f t="shared" si="351"/>
        <v>1674</v>
      </c>
      <c r="BZ479" s="202">
        <f t="shared" si="351"/>
        <v>1705</v>
      </c>
      <c r="CA479" s="202">
        <f t="shared" si="351"/>
        <v>1735</v>
      </c>
      <c r="CB479" s="202">
        <f t="shared" si="351"/>
        <v>1766</v>
      </c>
      <c r="CC479" s="202">
        <f t="shared" si="351"/>
        <v>1796</v>
      </c>
      <c r="CD479" s="202">
        <f t="shared" si="351"/>
        <v>1827</v>
      </c>
      <c r="CE479" s="84"/>
      <c r="CF479" s="84"/>
      <c r="CG479" s="84"/>
      <c r="CH479" s="84"/>
      <c r="CI479" s="84"/>
      <c r="CJ479" s="84"/>
      <c r="CK479" s="84"/>
      <c r="CL479" s="84"/>
      <c r="CM479" s="84"/>
      <c r="CN479" s="84"/>
      <c r="CO479" s="84"/>
      <c r="CP479" s="84"/>
      <c r="CQ479" s="84"/>
      <c r="CR479" s="84"/>
      <c r="CS479" s="84"/>
      <c r="CT479" s="84"/>
      <c r="CU479" s="84"/>
      <c r="CV479" s="84"/>
      <c r="CW479" s="84"/>
      <c r="CX479" s="84"/>
      <c r="CY479" s="84"/>
      <c r="CZ479" s="84"/>
      <c r="DA479" s="84"/>
      <c r="DB479" s="84"/>
      <c r="DC479" s="84"/>
      <c r="DD479" s="84"/>
      <c r="DE479" s="84"/>
      <c r="DF479" s="84"/>
      <c r="DG479" s="84"/>
      <c r="DH479" s="84"/>
      <c r="DI479" s="84"/>
      <c r="DJ479" s="84"/>
      <c r="DK479" s="84"/>
      <c r="DL479" s="84"/>
      <c r="DM479" s="84"/>
      <c r="DN479" s="84"/>
      <c r="DO479" s="84"/>
      <c r="DP479" s="84"/>
      <c r="DQ479" s="84"/>
      <c r="DR479" s="13"/>
      <c r="DS479" s="13"/>
      <c r="DT479" s="13"/>
      <c r="DU479" s="13"/>
      <c r="DV479" s="13"/>
      <c r="DW479" s="13"/>
      <c r="DX479" s="13"/>
      <c r="DY479" s="13"/>
      <c r="DZ479" s="13"/>
      <c r="EA479" s="13"/>
      <c r="EB479" s="13"/>
      <c r="EC479" s="13"/>
      <c r="ED479" s="13"/>
      <c r="EE479" s="13"/>
      <c r="EF479" s="13"/>
      <c r="EG479" s="13"/>
      <c r="EH479" s="13"/>
      <c r="EI479" s="13"/>
      <c r="EJ479" s="13"/>
      <c r="EK479" s="13"/>
      <c r="EL479" s="13"/>
      <c r="EM479" s="13"/>
    </row>
    <row r="480" spans="11:143" ht="12" customHeight="1" x14ac:dyDescent="0.35">
      <c r="K480" s="13">
        <v>1</v>
      </c>
      <c r="L480" s="85">
        <f>Input!D89</f>
        <v>0</v>
      </c>
      <c r="M480" s="86">
        <f>IF(Input!$F$88&gt;=K480,Input!G89,0)</f>
        <v>0</v>
      </c>
      <c r="N480" s="1061">
        <f>Input!H89</f>
        <v>0</v>
      </c>
      <c r="O480" s="1062">
        <f>Input!I89</f>
        <v>0</v>
      </c>
      <c r="P480" s="61"/>
      <c r="Q480" s="40">
        <f>IFERROR(VLOOKUP(N480,Infrastructure!$D$70:$F$129,3,FALSE),0)</f>
        <v>1</v>
      </c>
      <c r="R480" s="40">
        <f>IFERROR(VLOOKUP(O480,Infrastructure!$D$70:$F$129,3,FALSE),0)</f>
        <v>1</v>
      </c>
      <c r="S480" s="61"/>
      <c r="T480" s="13"/>
      <c r="U480" s="13"/>
      <c r="V480" s="13"/>
      <c r="W480" s="62">
        <f t="shared" ref="W480:W489" si="352">IFERROR(IF(AND(W$477&gt;=$Q480,$R480&gt;=W$477),$M480,0),0)</f>
        <v>0</v>
      </c>
      <c r="X480" s="62">
        <f t="shared" ref="X480:AE484" si="353">IFERROR(IF(AND(X$477&gt;=$Q480,$R480&gt;=X$477),$M480,0),0)</f>
        <v>0</v>
      </c>
      <c r="Y480" s="62">
        <f t="shared" si="353"/>
        <v>0</v>
      </c>
      <c r="Z480" s="62">
        <f t="shared" si="353"/>
        <v>0</v>
      </c>
      <c r="AA480" s="62">
        <f t="shared" si="353"/>
        <v>0</v>
      </c>
      <c r="AB480" s="62">
        <f t="shared" si="353"/>
        <v>0</v>
      </c>
      <c r="AC480" s="62">
        <f t="shared" si="353"/>
        <v>0</v>
      </c>
      <c r="AD480" s="62">
        <f t="shared" si="353"/>
        <v>0</v>
      </c>
      <c r="AE480" s="62">
        <f t="shared" si="353"/>
        <v>0</v>
      </c>
      <c r="AF480" s="484">
        <f t="shared" ref="AF480:AO489" si="354">IFERROR(IF(AND(AF$477&gt;=$Q480,$R480&gt;=AF$477),$M480,0),0)</f>
        <v>0</v>
      </c>
      <c r="AG480" s="484">
        <f t="shared" si="354"/>
        <v>0</v>
      </c>
      <c r="AH480" s="484">
        <f t="shared" si="354"/>
        <v>0</v>
      </c>
      <c r="AI480" s="484">
        <f t="shared" si="354"/>
        <v>0</v>
      </c>
      <c r="AJ480" s="484">
        <f t="shared" si="354"/>
        <v>0</v>
      </c>
      <c r="AK480" s="484">
        <f t="shared" si="354"/>
        <v>0</v>
      </c>
      <c r="AL480" s="484">
        <f t="shared" si="354"/>
        <v>0</v>
      </c>
      <c r="AM480" s="484">
        <f t="shared" si="354"/>
        <v>0</v>
      </c>
      <c r="AN480" s="484">
        <f t="shared" si="354"/>
        <v>0</v>
      </c>
      <c r="AO480" s="484">
        <f t="shared" si="354"/>
        <v>0</v>
      </c>
      <c r="AP480" s="484">
        <f t="shared" ref="AP480:AY489" si="355">IFERROR(IF(AND(AP$477&gt;=$Q480,$R480&gt;=AP$477),$M480,0),0)</f>
        <v>0</v>
      </c>
      <c r="AQ480" s="484">
        <f t="shared" si="355"/>
        <v>0</v>
      </c>
      <c r="AR480" s="484">
        <f t="shared" si="355"/>
        <v>0</v>
      </c>
      <c r="AS480" s="484">
        <f t="shared" si="355"/>
        <v>0</v>
      </c>
      <c r="AT480" s="484">
        <f t="shared" si="355"/>
        <v>0</v>
      </c>
      <c r="AU480" s="484">
        <f t="shared" si="355"/>
        <v>0</v>
      </c>
      <c r="AV480" s="484">
        <f t="shared" si="355"/>
        <v>0</v>
      </c>
      <c r="AW480" s="484">
        <f t="shared" si="355"/>
        <v>0</v>
      </c>
      <c r="AX480" s="484">
        <f t="shared" si="355"/>
        <v>0</v>
      </c>
      <c r="AY480" s="484">
        <f t="shared" si="355"/>
        <v>0</v>
      </c>
      <c r="AZ480" s="484">
        <f t="shared" ref="AZ480:BI489" si="356">IFERROR(IF(AND(AZ$477&gt;=$Q480,$R480&gt;=AZ$477),$M480,0),0)</f>
        <v>0</v>
      </c>
      <c r="BA480" s="484">
        <f t="shared" si="356"/>
        <v>0</v>
      </c>
      <c r="BB480" s="484">
        <f t="shared" si="356"/>
        <v>0</v>
      </c>
      <c r="BC480" s="484">
        <f t="shared" si="356"/>
        <v>0</v>
      </c>
      <c r="BD480" s="484">
        <f t="shared" si="356"/>
        <v>0</v>
      </c>
      <c r="BE480" s="484">
        <f t="shared" si="356"/>
        <v>0</v>
      </c>
      <c r="BF480" s="484">
        <f t="shared" si="356"/>
        <v>0</v>
      </c>
      <c r="BG480" s="484">
        <f t="shared" si="356"/>
        <v>0</v>
      </c>
      <c r="BH480" s="484">
        <f t="shared" si="356"/>
        <v>0</v>
      </c>
      <c r="BI480" s="484">
        <f t="shared" si="356"/>
        <v>0</v>
      </c>
      <c r="BJ480" s="484">
        <f t="shared" ref="BJ480:BS489" si="357">IFERROR(IF(AND(BJ$477&gt;=$Q480,$R480&gt;=BJ$477),$M480,0),0)</f>
        <v>0</v>
      </c>
      <c r="BK480" s="484">
        <f t="shared" si="357"/>
        <v>0</v>
      </c>
      <c r="BL480" s="484">
        <f t="shared" si="357"/>
        <v>0</v>
      </c>
      <c r="BM480" s="484">
        <f t="shared" si="357"/>
        <v>0</v>
      </c>
      <c r="BN480" s="484">
        <f t="shared" si="357"/>
        <v>0</v>
      </c>
      <c r="BO480" s="484">
        <f t="shared" si="357"/>
        <v>0</v>
      </c>
      <c r="BP480" s="484">
        <f t="shared" si="357"/>
        <v>0</v>
      </c>
      <c r="BQ480" s="484">
        <f t="shared" si="357"/>
        <v>0</v>
      </c>
      <c r="BR480" s="484">
        <f t="shared" si="357"/>
        <v>0</v>
      </c>
      <c r="BS480" s="484">
        <f t="shared" si="357"/>
        <v>0</v>
      </c>
      <c r="BT480" s="484">
        <f t="shared" ref="BT480:CD489" si="358">IFERROR(IF(AND(BT$477&gt;=$Q480,$R480&gt;=BT$477),$M480,0),0)</f>
        <v>0</v>
      </c>
      <c r="BU480" s="484">
        <f t="shared" si="358"/>
        <v>0</v>
      </c>
      <c r="BV480" s="484">
        <f t="shared" si="358"/>
        <v>0</v>
      </c>
      <c r="BW480" s="484">
        <f t="shared" si="358"/>
        <v>0</v>
      </c>
      <c r="BX480" s="484">
        <f t="shared" si="358"/>
        <v>0</v>
      </c>
      <c r="BY480" s="484">
        <f t="shared" si="358"/>
        <v>0</v>
      </c>
      <c r="BZ480" s="484">
        <f t="shared" si="358"/>
        <v>0</v>
      </c>
      <c r="CA480" s="484">
        <f t="shared" si="358"/>
        <v>0</v>
      </c>
      <c r="CB480" s="484">
        <f t="shared" si="358"/>
        <v>0</v>
      </c>
      <c r="CC480" s="484">
        <f t="shared" si="358"/>
        <v>0</v>
      </c>
      <c r="CD480" s="484">
        <f t="shared" si="358"/>
        <v>0</v>
      </c>
      <c r="CE480" s="84"/>
      <c r="CF480" s="84"/>
      <c r="CG480" s="84"/>
      <c r="CH480" s="84"/>
      <c r="CI480" s="84"/>
      <c r="CJ480" s="84"/>
      <c r="CK480" s="84"/>
      <c r="CL480" s="84"/>
      <c r="CM480" s="84"/>
      <c r="CN480" s="84"/>
      <c r="CO480" s="84"/>
      <c r="CP480" s="84"/>
      <c r="CQ480" s="84"/>
      <c r="CR480" s="84"/>
      <c r="CS480" s="84"/>
      <c r="CT480" s="84"/>
      <c r="CU480" s="84"/>
      <c r="CV480" s="84"/>
      <c r="CW480" s="84"/>
      <c r="CX480" s="84"/>
      <c r="CY480" s="84"/>
      <c r="CZ480" s="84"/>
      <c r="DA480" s="84"/>
      <c r="DB480" s="84"/>
      <c r="DC480" s="84"/>
      <c r="DD480" s="84"/>
      <c r="DE480" s="84"/>
      <c r="DF480" s="84"/>
      <c r="DG480" s="84"/>
      <c r="DH480" s="84"/>
      <c r="DI480" s="84"/>
      <c r="DJ480" s="84"/>
      <c r="DK480" s="84"/>
      <c r="DL480" s="84"/>
      <c r="DM480" s="84"/>
      <c r="DN480" s="84"/>
      <c r="DO480" s="84"/>
      <c r="DP480" s="84"/>
      <c r="DQ480" s="84"/>
      <c r="DR480" s="13"/>
      <c r="DS480" s="13"/>
      <c r="DT480" s="13"/>
      <c r="DU480" s="13"/>
      <c r="DV480" s="13"/>
      <c r="DW480" s="13"/>
      <c r="DX480" s="13"/>
      <c r="DY480" s="13"/>
      <c r="DZ480" s="13"/>
      <c r="EA480" s="13"/>
      <c r="EB480" s="13"/>
      <c r="EC480" s="13"/>
      <c r="ED480" s="13"/>
      <c r="EE480" s="13"/>
      <c r="EF480" s="13"/>
      <c r="EG480" s="13"/>
      <c r="EH480" s="13"/>
      <c r="EI480" s="13"/>
      <c r="EJ480" s="13"/>
      <c r="EK480" s="13"/>
      <c r="EL480" s="13"/>
      <c r="EM480" s="13"/>
    </row>
    <row r="481" spans="11:143" ht="12" customHeight="1" x14ac:dyDescent="0.35">
      <c r="K481" s="13">
        <v>2</v>
      </c>
      <c r="L481" s="87">
        <f>Input!D90</f>
        <v>0</v>
      </c>
      <c r="M481" s="88">
        <f>IF(Input!$F$88&gt;=K481,Input!G90,0)</f>
        <v>0</v>
      </c>
      <c r="N481" s="1063">
        <f>Input!H90</f>
        <v>0</v>
      </c>
      <c r="O481" s="1064">
        <f>Input!I90</f>
        <v>0</v>
      </c>
      <c r="P481" s="61"/>
      <c r="Q481" s="40">
        <f>IFERROR(VLOOKUP(N481,Infrastructure!$D$70:$F$129,3,FALSE),0)</f>
        <v>1</v>
      </c>
      <c r="R481" s="40">
        <f>IFERROR(VLOOKUP(O481,Infrastructure!$D$70:$F$129,3,FALSE),0)</f>
        <v>1</v>
      </c>
      <c r="S481" s="61"/>
      <c r="T481" s="13"/>
      <c r="U481" s="13"/>
      <c r="V481" s="13"/>
      <c r="W481" s="62">
        <f t="shared" si="352"/>
        <v>0</v>
      </c>
      <c r="X481" s="62">
        <f t="shared" si="353"/>
        <v>0</v>
      </c>
      <c r="Y481" s="62">
        <f t="shared" si="353"/>
        <v>0</v>
      </c>
      <c r="Z481" s="62">
        <f t="shared" si="353"/>
        <v>0</v>
      </c>
      <c r="AA481" s="62">
        <f t="shared" si="353"/>
        <v>0</v>
      </c>
      <c r="AB481" s="62">
        <f t="shared" si="353"/>
        <v>0</v>
      </c>
      <c r="AC481" s="62">
        <f t="shared" si="353"/>
        <v>0</v>
      </c>
      <c r="AD481" s="62">
        <f t="shared" si="353"/>
        <v>0</v>
      </c>
      <c r="AE481" s="62">
        <f t="shared" si="353"/>
        <v>0</v>
      </c>
      <c r="AF481" s="484">
        <f t="shared" si="354"/>
        <v>0</v>
      </c>
      <c r="AG481" s="484">
        <f t="shared" si="354"/>
        <v>0</v>
      </c>
      <c r="AH481" s="484">
        <f t="shared" si="354"/>
        <v>0</v>
      </c>
      <c r="AI481" s="484">
        <f t="shared" si="354"/>
        <v>0</v>
      </c>
      <c r="AJ481" s="484">
        <f t="shared" si="354"/>
        <v>0</v>
      </c>
      <c r="AK481" s="484">
        <f t="shared" si="354"/>
        <v>0</v>
      </c>
      <c r="AL481" s="484">
        <f t="shared" si="354"/>
        <v>0</v>
      </c>
      <c r="AM481" s="484">
        <f t="shared" si="354"/>
        <v>0</v>
      </c>
      <c r="AN481" s="484">
        <f t="shared" si="354"/>
        <v>0</v>
      </c>
      <c r="AO481" s="484">
        <f t="shared" si="354"/>
        <v>0</v>
      </c>
      <c r="AP481" s="484">
        <f t="shared" si="355"/>
        <v>0</v>
      </c>
      <c r="AQ481" s="484">
        <f t="shared" si="355"/>
        <v>0</v>
      </c>
      <c r="AR481" s="484">
        <f t="shared" si="355"/>
        <v>0</v>
      </c>
      <c r="AS481" s="484">
        <f t="shared" si="355"/>
        <v>0</v>
      </c>
      <c r="AT481" s="484">
        <f t="shared" si="355"/>
        <v>0</v>
      </c>
      <c r="AU481" s="484">
        <f t="shared" si="355"/>
        <v>0</v>
      </c>
      <c r="AV481" s="484">
        <f t="shared" si="355"/>
        <v>0</v>
      </c>
      <c r="AW481" s="484">
        <f t="shared" si="355"/>
        <v>0</v>
      </c>
      <c r="AX481" s="484">
        <f t="shared" si="355"/>
        <v>0</v>
      </c>
      <c r="AY481" s="484">
        <f t="shared" si="355"/>
        <v>0</v>
      </c>
      <c r="AZ481" s="484">
        <f t="shared" si="356"/>
        <v>0</v>
      </c>
      <c r="BA481" s="484">
        <f t="shared" si="356"/>
        <v>0</v>
      </c>
      <c r="BB481" s="484">
        <f t="shared" si="356"/>
        <v>0</v>
      </c>
      <c r="BC481" s="484">
        <f t="shared" si="356"/>
        <v>0</v>
      </c>
      <c r="BD481" s="484">
        <f t="shared" si="356"/>
        <v>0</v>
      </c>
      <c r="BE481" s="484">
        <f t="shared" si="356"/>
        <v>0</v>
      </c>
      <c r="BF481" s="484">
        <f t="shared" si="356"/>
        <v>0</v>
      </c>
      <c r="BG481" s="484">
        <f t="shared" si="356"/>
        <v>0</v>
      </c>
      <c r="BH481" s="484">
        <f t="shared" si="356"/>
        <v>0</v>
      </c>
      <c r="BI481" s="484">
        <f t="shared" si="356"/>
        <v>0</v>
      </c>
      <c r="BJ481" s="484">
        <f t="shared" si="357"/>
        <v>0</v>
      </c>
      <c r="BK481" s="484">
        <f t="shared" si="357"/>
        <v>0</v>
      </c>
      <c r="BL481" s="484">
        <f t="shared" si="357"/>
        <v>0</v>
      </c>
      <c r="BM481" s="484">
        <f t="shared" si="357"/>
        <v>0</v>
      </c>
      <c r="BN481" s="484">
        <f t="shared" si="357"/>
        <v>0</v>
      </c>
      <c r="BO481" s="484">
        <f t="shared" si="357"/>
        <v>0</v>
      </c>
      <c r="BP481" s="484">
        <f t="shared" si="357"/>
        <v>0</v>
      </c>
      <c r="BQ481" s="484">
        <f t="shared" si="357"/>
        <v>0</v>
      </c>
      <c r="BR481" s="484">
        <f t="shared" si="357"/>
        <v>0</v>
      </c>
      <c r="BS481" s="484">
        <f t="shared" si="357"/>
        <v>0</v>
      </c>
      <c r="BT481" s="484">
        <f t="shared" si="358"/>
        <v>0</v>
      </c>
      <c r="BU481" s="484">
        <f t="shared" si="358"/>
        <v>0</v>
      </c>
      <c r="BV481" s="484">
        <f t="shared" si="358"/>
        <v>0</v>
      </c>
      <c r="BW481" s="484">
        <f t="shared" si="358"/>
        <v>0</v>
      </c>
      <c r="BX481" s="484">
        <f t="shared" si="358"/>
        <v>0</v>
      </c>
      <c r="BY481" s="484">
        <f t="shared" si="358"/>
        <v>0</v>
      </c>
      <c r="BZ481" s="484">
        <f t="shared" si="358"/>
        <v>0</v>
      </c>
      <c r="CA481" s="484">
        <f t="shared" si="358"/>
        <v>0</v>
      </c>
      <c r="CB481" s="484">
        <f t="shared" si="358"/>
        <v>0</v>
      </c>
      <c r="CC481" s="484">
        <f t="shared" si="358"/>
        <v>0</v>
      </c>
      <c r="CD481" s="484">
        <f t="shared" si="358"/>
        <v>0</v>
      </c>
      <c r="CE481" s="84"/>
      <c r="CF481" s="84"/>
      <c r="CG481" s="84"/>
      <c r="CH481" s="84"/>
      <c r="CI481" s="84"/>
      <c r="CJ481" s="84"/>
      <c r="CK481" s="84"/>
      <c r="CL481" s="84"/>
      <c r="CM481" s="84"/>
      <c r="CN481" s="84"/>
      <c r="CO481" s="84"/>
      <c r="CP481" s="84"/>
      <c r="CQ481" s="84"/>
      <c r="CR481" s="84"/>
      <c r="CS481" s="84"/>
      <c r="CT481" s="84"/>
      <c r="CU481" s="84"/>
      <c r="CV481" s="84"/>
      <c r="CW481" s="84"/>
      <c r="CX481" s="84"/>
      <c r="CY481" s="84"/>
      <c r="CZ481" s="84"/>
      <c r="DA481" s="84"/>
      <c r="DB481" s="84"/>
      <c r="DC481" s="84"/>
      <c r="DD481" s="84"/>
      <c r="DE481" s="84"/>
      <c r="DF481" s="84"/>
      <c r="DG481" s="84"/>
      <c r="DH481" s="84"/>
      <c r="DI481" s="84"/>
      <c r="DJ481" s="84"/>
      <c r="DK481" s="84"/>
      <c r="DL481" s="84"/>
      <c r="DM481" s="84"/>
      <c r="DN481" s="84"/>
      <c r="DO481" s="84"/>
      <c r="DP481" s="84"/>
      <c r="DQ481" s="84"/>
      <c r="DR481" s="13"/>
      <c r="DS481" s="13"/>
      <c r="DT481" s="13"/>
      <c r="DU481" s="13"/>
      <c r="DV481" s="13"/>
      <c r="DW481" s="13"/>
      <c r="DX481" s="13"/>
      <c r="DY481" s="13"/>
      <c r="DZ481" s="13"/>
      <c r="EA481" s="13"/>
      <c r="EB481" s="13"/>
      <c r="EC481" s="13"/>
      <c r="ED481" s="13"/>
      <c r="EE481" s="13"/>
      <c r="EF481" s="13"/>
      <c r="EG481" s="13"/>
      <c r="EH481" s="13"/>
      <c r="EI481" s="13"/>
      <c r="EJ481" s="13"/>
      <c r="EK481" s="13"/>
      <c r="EL481" s="13"/>
      <c r="EM481" s="13"/>
    </row>
    <row r="482" spans="11:143" ht="12" customHeight="1" x14ac:dyDescent="0.35">
      <c r="K482" s="13">
        <v>3</v>
      </c>
      <c r="L482" s="87">
        <f>Input!D91</f>
        <v>0</v>
      </c>
      <c r="M482" s="88">
        <f>IF(Input!$F$88&gt;=K482,Input!G91,0)</f>
        <v>0</v>
      </c>
      <c r="N482" s="1063">
        <f>Input!H91</f>
        <v>0</v>
      </c>
      <c r="O482" s="1064">
        <f>Input!I91</f>
        <v>0</v>
      </c>
      <c r="P482" s="61"/>
      <c r="Q482" s="40">
        <f>IFERROR(VLOOKUP(N482,Infrastructure!$D$70:$F$129,3,FALSE),0)</f>
        <v>1</v>
      </c>
      <c r="R482" s="40">
        <f>IFERROR(VLOOKUP(O482,Infrastructure!$D$70:$F$129,3,FALSE),0)</f>
        <v>1</v>
      </c>
      <c r="S482" s="61"/>
      <c r="T482" s="13"/>
      <c r="U482" s="13"/>
      <c r="V482" s="13"/>
      <c r="W482" s="62">
        <f t="shared" si="352"/>
        <v>0</v>
      </c>
      <c r="X482" s="62">
        <f t="shared" ref="X482:AE482" si="359">IFERROR(IF(AND(X$477&gt;=$Q482,$R482&gt;=X$477),$M482,0),0)</f>
        <v>0</v>
      </c>
      <c r="Y482" s="62">
        <f t="shared" si="359"/>
        <v>0</v>
      </c>
      <c r="Z482" s="62">
        <f t="shared" si="359"/>
        <v>0</v>
      </c>
      <c r="AA482" s="62">
        <f t="shared" si="359"/>
        <v>0</v>
      </c>
      <c r="AB482" s="62">
        <f t="shared" si="359"/>
        <v>0</v>
      </c>
      <c r="AC482" s="62">
        <f t="shared" si="359"/>
        <v>0</v>
      </c>
      <c r="AD482" s="62">
        <f t="shared" si="359"/>
        <v>0</v>
      </c>
      <c r="AE482" s="62">
        <f t="shared" si="359"/>
        <v>0</v>
      </c>
      <c r="AF482" s="484">
        <f t="shared" si="354"/>
        <v>0</v>
      </c>
      <c r="AG482" s="484">
        <f t="shared" si="354"/>
        <v>0</v>
      </c>
      <c r="AH482" s="484">
        <f t="shared" si="354"/>
        <v>0</v>
      </c>
      <c r="AI482" s="484">
        <f t="shared" si="354"/>
        <v>0</v>
      </c>
      <c r="AJ482" s="484">
        <f t="shared" si="354"/>
        <v>0</v>
      </c>
      <c r="AK482" s="484">
        <f t="shared" si="354"/>
        <v>0</v>
      </c>
      <c r="AL482" s="484">
        <f t="shared" si="354"/>
        <v>0</v>
      </c>
      <c r="AM482" s="484">
        <f t="shared" si="354"/>
        <v>0</v>
      </c>
      <c r="AN482" s="484">
        <f t="shared" si="354"/>
        <v>0</v>
      </c>
      <c r="AO482" s="484">
        <f t="shared" si="354"/>
        <v>0</v>
      </c>
      <c r="AP482" s="484">
        <f t="shared" si="355"/>
        <v>0</v>
      </c>
      <c r="AQ482" s="484">
        <f t="shared" si="355"/>
        <v>0</v>
      </c>
      <c r="AR482" s="484">
        <f t="shared" si="355"/>
        <v>0</v>
      </c>
      <c r="AS482" s="484">
        <f t="shared" si="355"/>
        <v>0</v>
      </c>
      <c r="AT482" s="484">
        <f t="shared" si="355"/>
        <v>0</v>
      </c>
      <c r="AU482" s="484">
        <f t="shared" si="355"/>
        <v>0</v>
      </c>
      <c r="AV482" s="484">
        <f t="shared" si="355"/>
        <v>0</v>
      </c>
      <c r="AW482" s="484">
        <f t="shared" si="355"/>
        <v>0</v>
      </c>
      <c r="AX482" s="484">
        <f t="shared" si="355"/>
        <v>0</v>
      </c>
      <c r="AY482" s="484">
        <f t="shared" si="355"/>
        <v>0</v>
      </c>
      <c r="AZ482" s="484">
        <f t="shared" si="356"/>
        <v>0</v>
      </c>
      <c r="BA482" s="484">
        <f t="shared" si="356"/>
        <v>0</v>
      </c>
      <c r="BB482" s="484">
        <f t="shared" si="356"/>
        <v>0</v>
      </c>
      <c r="BC482" s="484">
        <f t="shared" si="356"/>
        <v>0</v>
      </c>
      <c r="BD482" s="484">
        <f t="shared" si="356"/>
        <v>0</v>
      </c>
      <c r="BE482" s="484">
        <f t="shared" si="356"/>
        <v>0</v>
      </c>
      <c r="BF482" s="484">
        <f t="shared" si="356"/>
        <v>0</v>
      </c>
      <c r="BG482" s="484">
        <f t="shared" si="356"/>
        <v>0</v>
      </c>
      <c r="BH482" s="484">
        <f t="shared" si="356"/>
        <v>0</v>
      </c>
      <c r="BI482" s="484">
        <f t="shared" si="356"/>
        <v>0</v>
      </c>
      <c r="BJ482" s="484">
        <f t="shared" si="357"/>
        <v>0</v>
      </c>
      <c r="BK482" s="484">
        <f t="shared" si="357"/>
        <v>0</v>
      </c>
      <c r="BL482" s="484">
        <f t="shared" si="357"/>
        <v>0</v>
      </c>
      <c r="BM482" s="484">
        <f t="shared" si="357"/>
        <v>0</v>
      </c>
      <c r="BN482" s="484">
        <f t="shared" si="357"/>
        <v>0</v>
      </c>
      <c r="BO482" s="484">
        <f t="shared" si="357"/>
        <v>0</v>
      </c>
      <c r="BP482" s="484">
        <f t="shared" si="357"/>
        <v>0</v>
      </c>
      <c r="BQ482" s="484">
        <f t="shared" si="357"/>
        <v>0</v>
      </c>
      <c r="BR482" s="484">
        <f t="shared" si="357"/>
        <v>0</v>
      </c>
      <c r="BS482" s="484">
        <f t="shared" si="357"/>
        <v>0</v>
      </c>
      <c r="BT482" s="484">
        <f t="shared" si="358"/>
        <v>0</v>
      </c>
      <c r="BU482" s="484">
        <f t="shared" si="358"/>
        <v>0</v>
      </c>
      <c r="BV482" s="484">
        <f t="shared" si="358"/>
        <v>0</v>
      </c>
      <c r="BW482" s="484">
        <f t="shared" si="358"/>
        <v>0</v>
      </c>
      <c r="BX482" s="484">
        <f t="shared" si="358"/>
        <v>0</v>
      </c>
      <c r="BY482" s="484">
        <f t="shared" si="358"/>
        <v>0</v>
      </c>
      <c r="BZ482" s="484">
        <f t="shared" si="358"/>
        <v>0</v>
      </c>
      <c r="CA482" s="484">
        <f t="shared" si="358"/>
        <v>0</v>
      </c>
      <c r="CB482" s="484">
        <f t="shared" si="358"/>
        <v>0</v>
      </c>
      <c r="CC482" s="484">
        <f t="shared" si="358"/>
        <v>0</v>
      </c>
      <c r="CD482" s="484">
        <f t="shared" si="358"/>
        <v>0</v>
      </c>
      <c r="CE482" s="84"/>
      <c r="CF482" s="84"/>
      <c r="CG482" s="84"/>
      <c r="CH482" s="84"/>
      <c r="CI482" s="84"/>
      <c r="CJ482" s="84"/>
      <c r="CK482" s="84"/>
      <c r="CL482" s="84"/>
      <c r="CM482" s="84"/>
      <c r="CN482" s="84"/>
      <c r="CO482" s="84"/>
      <c r="CP482" s="84"/>
      <c r="CQ482" s="84"/>
      <c r="CR482" s="84"/>
      <c r="CS482" s="84"/>
      <c r="CT482" s="84"/>
      <c r="CU482" s="84"/>
      <c r="CV482" s="84"/>
      <c r="CW482" s="84"/>
      <c r="CX482" s="84"/>
      <c r="CY482" s="84"/>
      <c r="CZ482" s="84"/>
      <c r="DA482" s="84"/>
      <c r="DB482" s="84"/>
      <c r="DC482" s="84"/>
      <c r="DD482" s="84"/>
      <c r="DE482" s="84"/>
      <c r="DF482" s="84"/>
      <c r="DG482" s="84"/>
      <c r="DH482" s="84"/>
      <c r="DI482" s="84"/>
      <c r="DJ482" s="84"/>
      <c r="DK482" s="84"/>
      <c r="DL482" s="84"/>
      <c r="DM482" s="84"/>
      <c r="DN482" s="84"/>
      <c r="DO482" s="84"/>
      <c r="DP482" s="84"/>
      <c r="DQ482" s="84"/>
      <c r="DR482" s="13"/>
      <c r="DS482" s="13"/>
      <c r="DT482" s="13"/>
      <c r="DU482" s="13"/>
      <c r="DV482" s="13"/>
      <c r="DW482" s="13"/>
      <c r="DX482" s="13"/>
      <c r="DY482" s="13"/>
      <c r="DZ482" s="13"/>
      <c r="EA482" s="13"/>
      <c r="EB482" s="13"/>
      <c r="EC482" s="13"/>
      <c r="ED482" s="13"/>
      <c r="EE482" s="13"/>
      <c r="EF482" s="13"/>
      <c r="EG482" s="13"/>
      <c r="EH482" s="13"/>
      <c r="EI482" s="13"/>
      <c r="EJ482" s="13"/>
      <c r="EK482" s="13"/>
      <c r="EL482" s="13"/>
      <c r="EM482" s="13"/>
    </row>
    <row r="483" spans="11:143" ht="12" customHeight="1" x14ac:dyDescent="0.35">
      <c r="K483" s="13">
        <v>4</v>
      </c>
      <c r="L483" s="87">
        <f>Input!D92</f>
        <v>0</v>
      </c>
      <c r="M483" s="88">
        <f>IF(Input!$F$88&gt;=K483,Input!G92,0)</f>
        <v>0</v>
      </c>
      <c r="N483" s="1063">
        <f>Input!H92</f>
        <v>0</v>
      </c>
      <c r="O483" s="1064">
        <f>Input!I92</f>
        <v>0</v>
      </c>
      <c r="P483" s="61"/>
      <c r="Q483" s="40">
        <f>IFERROR(VLOOKUP(N483,Infrastructure!$D$70:$F$129,3,FALSE),0)</f>
        <v>1</v>
      </c>
      <c r="R483" s="40">
        <f>IFERROR(VLOOKUP(O483,Infrastructure!$D$70:$F$129,3,FALSE),0)</f>
        <v>1</v>
      </c>
      <c r="S483" s="61"/>
      <c r="T483" s="13"/>
      <c r="U483" s="13"/>
      <c r="V483" s="13"/>
      <c r="W483" s="62">
        <f t="shared" si="352"/>
        <v>0</v>
      </c>
      <c r="X483" s="62">
        <f t="shared" si="353"/>
        <v>0</v>
      </c>
      <c r="Y483" s="62">
        <f t="shared" si="353"/>
        <v>0</v>
      </c>
      <c r="Z483" s="62">
        <f t="shared" si="353"/>
        <v>0</v>
      </c>
      <c r="AA483" s="62">
        <f t="shared" si="353"/>
        <v>0</v>
      </c>
      <c r="AB483" s="62">
        <f t="shared" si="353"/>
        <v>0</v>
      </c>
      <c r="AC483" s="62">
        <f t="shared" si="353"/>
        <v>0</v>
      </c>
      <c r="AD483" s="62">
        <f t="shared" si="353"/>
        <v>0</v>
      </c>
      <c r="AE483" s="62">
        <f t="shared" si="353"/>
        <v>0</v>
      </c>
      <c r="AF483" s="484">
        <f t="shared" si="354"/>
        <v>0</v>
      </c>
      <c r="AG483" s="484">
        <f t="shared" si="354"/>
        <v>0</v>
      </c>
      <c r="AH483" s="484">
        <f t="shared" si="354"/>
        <v>0</v>
      </c>
      <c r="AI483" s="484">
        <f t="shared" si="354"/>
        <v>0</v>
      </c>
      <c r="AJ483" s="484">
        <f t="shared" si="354"/>
        <v>0</v>
      </c>
      <c r="AK483" s="484">
        <f t="shared" si="354"/>
        <v>0</v>
      </c>
      <c r="AL483" s="484">
        <f t="shared" si="354"/>
        <v>0</v>
      </c>
      <c r="AM483" s="484">
        <f t="shared" si="354"/>
        <v>0</v>
      </c>
      <c r="AN483" s="484">
        <f t="shared" si="354"/>
        <v>0</v>
      </c>
      <c r="AO483" s="484">
        <f t="shared" si="354"/>
        <v>0</v>
      </c>
      <c r="AP483" s="484">
        <f t="shared" si="355"/>
        <v>0</v>
      </c>
      <c r="AQ483" s="484">
        <f t="shared" si="355"/>
        <v>0</v>
      </c>
      <c r="AR483" s="484">
        <f t="shared" si="355"/>
        <v>0</v>
      </c>
      <c r="AS483" s="484">
        <f t="shared" si="355"/>
        <v>0</v>
      </c>
      <c r="AT483" s="484">
        <f t="shared" si="355"/>
        <v>0</v>
      </c>
      <c r="AU483" s="484">
        <f t="shared" si="355"/>
        <v>0</v>
      </c>
      <c r="AV483" s="484">
        <f t="shared" si="355"/>
        <v>0</v>
      </c>
      <c r="AW483" s="484">
        <f t="shared" si="355"/>
        <v>0</v>
      </c>
      <c r="AX483" s="484">
        <f t="shared" si="355"/>
        <v>0</v>
      </c>
      <c r="AY483" s="484">
        <f t="shared" si="355"/>
        <v>0</v>
      </c>
      <c r="AZ483" s="484">
        <f t="shared" si="356"/>
        <v>0</v>
      </c>
      <c r="BA483" s="484">
        <f t="shared" si="356"/>
        <v>0</v>
      </c>
      <c r="BB483" s="484">
        <f t="shared" si="356"/>
        <v>0</v>
      </c>
      <c r="BC483" s="484">
        <f t="shared" si="356"/>
        <v>0</v>
      </c>
      <c r="BD483" s="484">
        <f t="shared" si="356"/>
        <v>0</v>
      </c>
      <c r="BE483" s="484">
        <f t="shared" si="356"/>
        <v>0</v>
      </c>
      <c r="BF483" s="484">
        <f t="shared" si="356"/>
        <v>0</v>
      </c>
      <c r="BG483" s="484">
        <f t="shared" si="356"/>
        <v>0</v>
      </c>
      <c r="BH483" s="484">
        <f t="shared" si="356"/>
        <v>0</v>
      </c>
      <c r="BI483" s="484">
        <f t="shared" si="356"/>
        <v>0</v>
      </c>
      <c r="BJ483" s="484">
        <f t="shared" si="357"/>
        <v>0</v>
      </c>
      <c r="BK483" s="484">
        <f t="shared" si="357"/>
        <v>0</v>
      </c>
      <c r="BL483" s="484">
        <f t="shared" si="357"/>
        <v>0</v>
      </c>
      <c r="BM483" s="484">
        <f t="shared" si="357"/>
        <v>0</v>
      </c>
      <c r="BN483" s="484">
        <f t="shared" si="357"/>
        <v>0</v>
      </c>
      <c r="BO483" s="484">
        <f t="shared" si="357"/>
        <v>0</v>
      </c>
      <c r="BP483" s="484">
        <f t="shared" si="357"/>
        <v>0</v>
      </c>
      <c r="BQ483" s="484">
        <f t="shared" si="357"/>
        <v>0</v>
      </c>
      <c r="BR483" s="484">
        <f t="shared" si="357"/>
        <v>0</v>
      </c>
      <c r="BS483" s="484">
        <f t="shared" si="357"/>
        <v>0</v>
      </c>
      <c r="BT483" s="484">
        <f t="shared" si="358"/>
        <v>0</v>
      </c>
      <c r="BU483" s="484">
        <f t="shared" si="358"/>
        <v>0</v>
      </c>
      <c r="BV483" s="484">
        <f t="shared" si="358"/>
        <v>0</v>
      </c>
      <c r="BW483" s="484">
        <f t="shared" si="358"/>
        <v>0</v>
      </c>
      <c r="BX483" s="484">
        <f t="shared" si="358"/>
        <v>0</v>
      </c>
      <c r="BY483" s="484">
        <f t="shared" si="358"/>
        <v>0</v>
      </c>
      <c r="BZ483" s="484">
        <f t="shared" si="358"/>
        <v>0</v>
      </c>
      <c r="CA483" s="484">
        <f t="shared" si="358"/>
        <v>0</v>
      </c>
      <c r="CB483" s="484">
        <f t="shared" si="358"/>
        <v>0</v>
      </c>
      <c r="CC483" s="484">
        <f t="shared" si="358"/>
        <v>0</v>
      </c>
      <c r="CD483" s="484">
        <f t="shared" si="358"/>
        <v>0</v>
      </c>
      <c r="CE483" s="84"/>
      <c r="CF483" s="84"/>
      <c r="CG483" s="84"/>
      <c r="CH483" s="84"/>
      <c r="CI483" s="84"/>
      <c r="CJ483" s="84"/>
      <c r="CK483" s="84"/>
      <c r="CL483" s="84"/>
      <c r="CM483" s="84"/>
      <c r="CN483" s="84"/>
      <c r="CO483" s="84"/>
      <c r="CP483" s="84"/>
      <c r="CQ483" s="84"/>
      <c r="CR483" s="84"/>
      <c r="CS483" s="84"/>
      <c r="CT483" s="84"/>
      <c r="CU483" s="84"/>
      <c r="CV483" s="84"/>
      <c r="CW483" s="84"/>
      <c r="CX483" s="84"/>
      <c r="CY483" s="84"/>
      <c r="CZ483" s="84"/>
      <c r="DA483" s="84"/>
      <c r="DB483" s="84"/>
      <c r="DC483" s="84"/>
      <c r="DD483" s="84"/>
      <c r="DE483" s="84"/>
      <c r="DF483" s="84"/>
      <c r="DG483" s="84"/>
      <c r="DH483" s="84"/>
      <c r="DI483" s="84"/>
      <c r="DJ483" s="84"/>
      <c r="DK483" s="84"/>
      <c r="DL483" s="84"/>
      <c r="DM483" s="84"/>
      <c r="DN483" s="84"/>
      <c r="DO483" s="84"/>
      <c r="DP483" s="84"/>
      <c r="DQ483" s="84"/>
      <c r="DR483" s="13"/>
      <c r="DS483" s="13"/>
      <c r="DT483" s="13"/>
      <c r="DU483" s="13"/>
      <c r="DV483" s="13"/>
      <c r="DW483" s="13"/>
      <c r="DX483" s="13"/>
      <c r="DY483" s="13"/>
      <c r="DZ483" s="13"/>
      <c r="EA483" s="13"/>
      <c r="EB483" s="13"/>
      <c r="EC483" s="13"/>
      <c r="ED483" s="13"/>
      <c r="EE483" s="13"/>
      <c r="EF483" s="13"/>
      <c r="EG483" s="13"/>
      <c r="EH483" s="13"/>
      <c r="EI483" s="13"/>
      <c r="EJ483" s="13"/>
      <c r="EK483" s="13"/>
      <c r="EL483" s="13"/>
      <c r="EM483" s="13"/>
    </row>
    <row r="484" spans="11:143" ht="12" customHeight="1" x14ac:dyDescent="0.35">
      <c r="K484" s="13">
        <v>5</v>
      </c>
      <c r="L484" s="87">
        <f>Input!D93</f>
        <v>0</v>
      </c>
      <c r="M484" s="88">
        <f>IF(Input!$F$88&gt;=K484,Input!G93,0)</f>
        <v>0</v>
      </c>
      <c r="N484" s="1063">
        <f>Input!H93</f>
        <v>0</v>
      </c>
      <c r="O484" s="1064">
        <f>Input!I93</f>
        <v>0</v>
      </c>
      <c r="P484" s="61"/>
      <c r="Q484" s="40">
        <f>IFERROR(VLOOKUP(N484,Infrastructure!$D$70:$F$129,3,FALSE),0)</f>
        <v>1</v>
      </c>
      <c r="R484" s="40">
        <f>IFERROR(VLOOKUP(O484,Infrastructure!$D$70:$F$129,3,FALSE),0)</f>
        <v>1</v>
      </c>
      <c r="S484" s="61"/>
      <c r="T484" s="13"/>
      <c r="U484" s="13"/>
      <c r="V484" s="13"/>
      <c r="W484" s="62">
        <f t="shared" si="352"/>
        <v>0</v>
      </c>
      <c r="X484" s="62">
        <f t="shared" si="353"/>
        <v>0</v>
      </c>
      <c r="Y484" s="62">
        <f t="shared" si="353"/>
        <v>0</v>
      </c>
      <c r="Z484" s="62">
        <f t="shared" si="353"/>
        <v>0</v>
      </c>
      <c r="AA484" s="62">
        <f t="shared" si="353"/>
        <v>0</v>
      </c>
      <c r="AB484" s="62">
        <f t="shared" si="353"/>
        <v>0</v>
      </c>
      <c r="AC484" s="62">
        <f t="shared" si="353"/>
        <v>0</v>
      </c>
      <c r="AD484" s="62">
        <f t="shared" si="353"/>
        <v>0</v>
      </c>
      <c r="AE484" s="62">
        <f t="shared" si="353"/>
        <v>0</v>
      </c>
      <c r="AF484" s="484">
        <f t="shared" si="354"/>
        <v>0</v>
      </c>
      <c r="AG484" s="484">
        <f t="shared" si="354"/>
        <v>0</v>
      </c>
      <c r="AH484" s="484">
        <f t="shared" si="354"/>
        <v>0</v>
      </c>
      <c r="AI484" s="484">
        <f t="shared" si="354"/>
        <v>0</v>
      </c>
      <c r="AJ484" s="484">
        <f t="shared" si="354"/>
        <v>0</v>
      </c>
      <c r="AK484" s="484">
        <f t="shared" si="354"/>
        <v>0</v>
      </c>
      <c r="AL484" s="484">
        <f t="shared" si="354"/>
        <v>0</v>
      </c>
      <c r="AM484" s="484">
        <f t="shared" si="354"/>
        <v>0</v>
      </c>
      <c r="AN484" s="484">
        <f t="shared" si="354"/>
        <v>0</v>
      </c>
      <c r="AO484" s="484">
        <f t="shared" si="354"/>
        <v>0</v>
      </c>
      <c r="AP484" s="484">
        <f t="shared" si="355"/>
        <v>0</v>
      </c>
      <c r="AQ484" s="484">
        <f t="shared" si="355"/>
        <v>0</v>
      </c>
      <c r="AR484" s="484">
        <f t="shared" si="355"/>
        <v>0</v>
      </c>
      <c r="AS484" s="484">
        <f t="shared" si="355"/>
        <v>0</v>
      </c>
      <c r="AT484" s="484">
        <f t="shared" si="355"/>
        <v>0</v>
      </c>
      <c r="AU484" s="484">
        <f t="shared" si="355"/>
        <v>0</v>
      </c>
      <c r="AV484" s="484">
        <f t="shared" si="355"/>
        <v>0</v>
      </c>
      <c r="AW484" s="484">
        <f t="shared" si="355"/>
        <v>0</v>
      </c>
      <c r="AX484" s="484">
        <f t="shared" si="355"/>
        <v>0</v>
      </c>
      <c r="AY484" s="484">
        <f t="shared" si="355"/>
        <v>0</v>
      </c>
      <c r="AZ484" s="484">
        <f t="shared" si="356"/>
        <v>0</v>
      </c>
      <c r="BA484" s="484">
        <f t="shared" si="356"/>
        <v>0</v>
      </c>
      <c r="BB484" s="484">
        <f t="shared" si="356"/>
        <v>0</v>
      </c>
      <c r="BC484" s="484">
        <f t="shared" si="356"/>
        <v>0</v>
      </c>
      <c r="BD484" s="484">
        <f t="shared" si="356"/>
        <v>0</v>
      </c>
      <c r="BE484" s="484">
        <f t="shared" si="356"/>
        <v>0</v>
      </c>
      <c r="BF484" s="484">
        <f t="shared" si="356"/>
        <v>0</v>
      </c>
      <c r="BG484" s="484">
        <f t="shared" si="356"/>
        <v>0</v>
      </c>
      <c r="BH484" s="484">
        <f t="shared" si="356"/>
        <v>0</v>
      </c>
      <c r="BI484" s="484">
        <f t="shared" si="356"/>
        <v>0</v>
      </c>
      <c r="BJ484" s="484">
        <f t="shared" si="357"/>
        <v>0</v>
      </c>
      <c r="BK484" s="484">
        <f t="shared" si="357"/>
        <v>0</v>
      </c>
      <c r="BL484" s="484">
        <f t="shared" si="357"/>
        <v>0</v>
      </c>
      <c r="BM484" s="484">
        <f t="shared" si="357"/>
        <v>0</v>
      </c>
      <c r="BN484" s="484">
        <f t="shared" si="357"/>
        <v>0</v>
      </c>
      <c r="BO484" s="484">
        <f t="shared" si="357"/>
        <v>0</v>
      </c>
      <c r="BP484" s="484">
        <f t="shared" si="357"/>
        <v>0</v>
      </c>
      <c r="BQ484" s="484">
        <f t="shared" si="357"/>
        <v>0</v>
      </c>
      <c r="BR484" s="484">
        <f t="shared" si="357"/>
        <v>0</v>
      </c>
      <c r="BS484" s="484">
        <f t="shared" si="357"/>
        <v>0</v>
      </c>
      <c r="BT484" s="484">
        <f t="shared" si="358"/>
        <v>0</v>
      </c>
      <c r="BU484" s="484">
        <f t="shared" si="358"/>
        <v>0</v>
      </c>
      <c r="BV484" s="484">
        <f t="shared" si="358"/>
        <v>0</v>
      </c>
      <c r="BW484" s="484">
        <f t="shared" si="358"/>
        <v>0</v>
      </c>
      <c r="BX484" s="484">
        <f t="shared" si="358"/>
        <v>0</v>
      </c>
      <c r="BY484" s="484">
        <f t="shared" si="358"/>
        <v>0</v>
      </c>
      <c r="BZ484" s="484">
        <f t="shared" si="358"/>
        <v>0</v>
      </c>
      <c r="CA484" s="484">
        <f t="shared" si="358"/>
        <v>0</v>
      </c>
      <c r="CB484" s="484">
        <f t="shared" si="358"/>
        <v>0</v>
      </c>
      <c r="CC484" s="484">
        <f t="shared" si="358"/>
        <v>0</v>
      </c>
      <c r="CD484" s="484">
        <f t="shared" si="358"/>
        <v>0</v>
      </c>
      <c r="CE484" s="84"/>
      <c r="CF484" s="84"/>
      <c r="CG484" s="84"/>
      <c r="CH484" s="84"/>
      <c r="CI484" s="84"/>
      <c r="CJ484" s="84"/>
      <c r="CK484" s="84"/>
      <c r="CL484" s="84"/>
      <c r="CM484" s="84"/>
      <c r="CN484" s="84"/>
      <c r="CO484" s="84"/>
      <c r="CP484" s="84"/>
      <c r="CQ484" s="84"/>
      <c r="CR484" s="84"/>
      <c r="CS484" s="84"/>
      <c r="CT484" s="84"/>
      <c r="CU484" s="84"/>
      <c r="CV484" s="84"/>
      <c r="CW484" s="84"/>
      <c r="CX484" s="84"/>
      <c r="CY484" s="84"/>
      <c r="CZ484" s="84"/>
      <c r="DA484" s="84"/>
      <c r="DB484" s="84"/>
      <c r="DC484" s="84"/>
      <c r="DD484" s="84"/>
      <c r="DE484" s="84"/>
      <c r="DF484" s="84"/>
      <c r="DG484" s="84"/>
      <c r="DH484" s="84"/>
      <c r="DI484" s="84"/>
      <c r="DJ484" s="84"/>
      <c r="DK484" s="84"/>
      <c r="DL484" s="84"/>
      <c r="DM484" s="84"/>
      <c r="DN484" s="84"/>
      <c r="DO484" s="84"/>
      <c r="DP484" s="84"/>
      <c r="DQ484" s="84"/>
      <c r="DR484" s="13"/>
      <c r="DS484" s="13"/>
      <c r="DT484" s="13"/>
      <c r="DU484" s="13"/>
      <c r="DV484" s="13"/>
      <c r="DW484" s="13"/>
      <c r="DX484" s="13"/>
      <c r="DY484" s="13"/>
      <c r="DZ484" s="13"/>
      <c r="EA484" s="13"/>
      <c r="EB484" s="13"/>
      <c r="EC484" s="13"/>
      <c r="ED484" s="13"/>
      <c r="EE484" s="13"/>
      <c r="EF484" s="13"/>
      <c r="EG484" s="13"/>
      <c r="EH484" s="13"/>
      <c r="EI484" s="13"/>
      <c r="EJ484" s="13"/>
      <c r="EK484" s="13"/>
      <c r="EL484" s="13"/>
      <c r="EM484" s="13"/>
    </row>
    <row r="485" spans="11:143" ht="12" customHeight="1" x14ac:dyDescent="0.35">
      <c r="K485" s="13">
        <v>6</v>
      </c>
      <c r="L485" s="87">
        <f>Input!D94</f>
        <v>0</v>
      </c>
      <c r="M485" s="88">
        <f>IF(Input!$F$88&gt;=K485,Input!G94,0)</f>
        <v>0</v>
      </c>
      <c r="N485" s="1063">
        <f>Input!H94</f>
        <v>0</v>
      </c>
      <c r="O485" s="1064">
        <f>Input!I94</f>
        <v>0</v>
      </c>
      <c r="P485" s="61"/>
      <c r="Q485" s="40">
        <f>IFERROR(VLOOKUP(N485,Infrastructure!$D$70:$F$129,3,FALSE),0)</f>
        <v>1</v>
      </c>
      <c r="R485" s="40">
        <f>IFERROR(VLOOKUP(O485,Infrastructure!$D$70:$F$129,3,FALSE),0)</f>
        <v>1</v>
      </c>
      <c r="S485" s="61"/>
      <c r="T485" s="13"/>
      <c r="U485" s="13"/>
      <c r="V485" s="13"/>
      <c r="W485" s="62">
        <f t="shared" si="352"/>
        <v>0</v>
      </c>
      <c r="X485" s="62">
        <f t="shared" ref="X485:AE488" si="360">IFERROR(IF(AND(X$477&gt;=$Q485,$R485&gt;=X$477),$M485,0),0)</f>
        <v>0</v>
      </c>
      <c r="Y485" s="62">
        <f t="shared" si="360"/>
        <v>0</v>
      </c>
      <c r="Z485" s="62">
        <f t="shared" si="360"/>
        <v>0</v>
      </c>
      <c r="AA485" s="62">
        <f t="shared" si="360"/>
        <v>0</v>
      </c>
      <c r="AB485" s="62">
        <f t="shared" si="360"/>
        <v>0</v>
      </c>
      <c r="AC485" s="62">
        <f t="shared" si="360"/>
        <v>0</v>
      </c>
      <c r="AD485" s="62">
        <f t="shared" si="360"/>
        <v>0</v>
      </c>
      <c r="AE485" s="62">
        <f t="shared" si="360"/>
        <v>0</v>
      </c>
      <c r="AF485" s="484">
        <f t="shared" si="354"/>
        <v>0</v>
      </c>
      <c r="AG485" s="484">
        <f t="shared" si="354"/>
        <v>0</v>
      </c>
      <c r="AH485" s="484">
        <f t="shared" si="354"/>
        <v>0</v>
      </c>
      <c r="AI485" s="484">
        <f t="shared" si="354"/>
        <v>0</v>
      </c>
      <c r="AJ485" s="484">
        <f t="shared" si="354"/>
        <v>0</v>
      </c>
      <c r="AK485" s="484">
        <f t="shared" si="354"/>
        <v>0</v>
      </c>
      <c r="AL485" s="484">
        <f t="shared" si="354"/>
        <v>0</v>
      </c>
      <c r="AM485" s="484">
        <f t="shared" si="354"/>
        <v>0</v>
      </c>
      <c r="AN485" s="484">
        <f t="shared" si="354"/>
        <v>0</v>
      </c>
      <c r="AO485" s="484">
        <f t="shared" si="354"/>
        <v>0</v>
      </c>
      <c r="AP485" s="484">
        <f t="shared" si="355"/>
        <v>0</v>
      </c>
      <c r="AQ485" s="484">
        <f t="shared" si="355"/>
        <v>0</v>
      </c>
      <c r="AR485" s="484">
        <f t="shared" si="355"/>
        <v>0</v>
      </c>
      <c r="AS485" s="484">
        <f t="shared" si="355"/>
        <v>0</v>
      </c>
      <c r="AT485" s="484">
        <f t="shared" si="355"/>
        <v>0</v>
      </c>
      <c r="AU485" s="484">
        <f t="shared" si="355"/>
        <v>0</v>
      </c>
      <c r="AV485" s="484">
        <f t="shared" si="355"/>
        <v>0</v>
      </c>
      <c r="AW485" s="484">
        <f t="shared" si="355"/>
        <v>0</v>
      </c>
      <c r="AX485" s="484">
        <f t="shared" si="355"/>
        <v>0</v>
      </c>
      <c r="AY485" s="484">
        <f t="shared" si="355"/>
        <v>0</v>
      </c>
      <c r="AZ485" s="484">
        <f t="shared" si="356"/>
        <v>0</v>
      </c>
      <c r="BA485" s="484">
        <f t="shared" si="356"/>
        <v>0</v>
      </c>
      <c r="BB485" s="484">
        <f t="shared" si="356"/>
        <v>0</v>
      </c>
      <c r="BC485" s="484">
        <f t="shared" si="356"/>
        <v>0</v>
      </c>
      <c r="BD485" s="484">
        <f t="shared" si="356"/>
        <v>0</v>
      </c>
      <c r="BE485" s="484">
        <f t="shared" si="356"/>
        <v>0</v>
      </c>
      <c r="BF485" s="484">
        <f t="shared" si="356"/>
        <v>0</v>
      </c>
      <c r="BG485" s="484">
        <f t="shared" si="356"/>
        <v>0</v>
      </c>
      <c r="BH485" s="484">
        <f t="shared" si="356"/>
        <v>0</v>
      </c>
      <c r="BI485" s="484">
        <f t="shared" si="356"/>
        <v>0</v>
      </c>
      <c r="BJ485" s="484">
        <f t="shared" si="357"/>
        <v>0</v>
      </c>
      <c r="BK485" s="484">
        <f t="shared" si="357"/>
        <v>0</v>
      </c>
      <c r="BL485" s="484">
        <f t="shared" si="357"/>
        <v>0</v>
      </c>
      <c r="BM485" s="484">
        <f t="shared" si="357"/>
        <v>0</v>
      </c>
      <c r="BN485" s="484">
        <f t="shared" si="357"/>
        <v>0</v>
      </c>
      <c r="BO485" s="484">
        <f t="shared" si="357"/>
        <v>0</v>
      </c>
      <c r="BP485" s="484">
        <f t="shared" si="357"/>
        <v>0</v>
      </c>
      <c r="BQ485" s="484">
        <f t="shared" si="357"/>
        <v>0</v>
      </c>
      <c r="BR485" s="484">
        <f t="shared" si="357"/>
        <v>0</v>
      </c>
      <c r="BS485" s="484">
        <f t="shared" si="357"/>
        <v>0</v>
      </c>
      <c r="BT485" s="484">
        <f t="shared" si="358"/>
        <v>0</v>
      </c>
      <c r="BU485" s="484">
        <f t="shared" si="358"/>
        <v>0</v>
      </c>
      <c r="BV485" s="484">
        <f t="shared" si="358"/>
        <v>0</v>
      </c>
      <c r="BW485" s="484">
        <f t="shared" si="358"/>
        <v>0</v>
      </c>
      <c r="BX485" s="484">
        <f t="shared" si="358"/>
        <v>0</v>
      </c>
      <c r="BY485" s="484">
        <f t="shared" si="358"/>
        <v>0</v>
      </c>
      <c r="BZ485" s="484">
        <f t="shared" si="358"/>
        <v>0</v>
      </c>
      <c r="CA485" s="484">
        <f t="shared" si="358"/>
        <v>0</v>
      </c>
      <c r="CB485" s="484">
        <f t="shared" si="358"/>
        <v>0</v>
      </c>
      <c r="CC485" s="484">
        <f t="shared" si="358"/>
        <v>0</v>
      </c>
      <c r="CD485" s="484">
        <f t="shared" si="358"/>
        <v>0</v>
      </c>
      <c r="CE485" s="84"/>
      <c r="CF485" s="84"/>
      <c r="CG485" s="84"/>
      <c r="CH485" s="84"/>
      <c r="CI485" s="84"/>
      <c r="CJ485" s="84"/>
      <c r="CK485" s="84"/>
      <c r="CL485" s="84"/>
      <c r="CM485" s="84"/>
      <c r="CN485" s="84"/>
      <c r="CO485" s="84"/>
      <c r="CP485" s="84"/>
      <c r="CQ485" s="84"/>
      <c r="CR485" s="84"/>
      <c r="CS485" s="84"/>
      <c r="CT485" s="84"/>
      <c r="CU485" s="84"/>
      <c r="CV485" s="84"/>
      <c r="CW485" s="84"/>
      <c r="CX485" s="84"/>
      <c r="CY485" s="84"/>
      <c r="CZ485" s="84"/>
      <c r="DA485" s="84"/>
      <c r="DB485" s="84"/>
      <c r="DC485" s="84"/>
      <c r="DD485" s="84"/>
      <c r="DE485" s="84"/>
      <c r="DF485" s="84"/>
      <c r="DG485" s="84"/>
      <c r="DH485" s="84"/>
      <c r="DI485" s="84"/>
      <c r="DJ485" s="84"/>
      <c r="DK485" s="84"/>
      <c r="DL485" s="84"/>
      <c r="DM485" s="84"/>
      <c r="DN485" s="84"/>
      <c r="DO485" s="84"/>
      <c r="DP485" s="84"/>
      <c r="DQ485" s="84"/>
      <c r="DR485" s="13"/>
      <c r="DS485" s="13"/>
      <c r="DT485" s="13"/>
      <c r="DU485" s="13"/>
      <c r="DV485" s="13"/>
      <c r="DW485" s="13"/>
      <c r="DX485" s="13"/>
      <c r="DY485" s="13"/>
      <c r="DZ485" s="13"/>
      <c r="EA485" s="13"/>
      <c r="EB485" s="13"/>
      <c r="EC485" s="13"/>
      <c r="ED485" s="13"/>
      <c r="EE485" s="13"/>
      <c r="EF485" s="13"/>
      <c r="EG485" s="13"/>
      <c r="EH485" s="13"/>
      <c r="EI485" s="13"/>
      <c r="EJ485" s="13"/>
      <c r="EK485" s="13"/>
      <c r="EL485" s="13"/>
      <c r="EM485" s="13"/>
    </row>
    <row r="486" spans="11:143" ht="12" customHeight="1" x14ac:dyDescent="0.35">
      <c r="K486" s="13">
        <v>7</v>
      </c>
      <c r="L486" s="87">
        <f>Input!D95</f>
        <v>0</v>
      </c>
      <c r="M486" s="88">
        <f>IF(Input!$F$88&gt;=K486,Input!G95,0)</f>
        <v>0</v>
      </c>
      <c r="N486" s="1063">
        <f>Input!H95</f>
        <v>0</v>
      </c>
      <c r="O486" s="1064">
        <f>Input!I95</f>
        <v>0</v>
      </c>
      <c r="P486" s="61"/>
      <c r="Q486" s="40">
        <f>IFERROR(VLOOKUP(N486,Infrastructure!$D$70:$F$129,3,FALSE),0)</f>
        <v>1</v>
      </c>
      <c r="R486" s="40">
        <f>IFERROR(VLOOKUP(O486,Infrastructure!$D$70:$F$129,3,FALSE),0)</f>
        <v>1</v>
      </c>
      <c r="S486" s="61"/>
      <c r="T486" s="13"/>
      <c r="U486" s="13"/>
      <c r="V486" s="13"/>
      <c r="W486" s="62">
        <f t="shared" si="352"/>
        <v>0</v>
      </c>
      <c r="X486" s="62">
        <f t="shared" si="360"/>
        <v>0</v>
      </c>
      <c r="Y486" s="62">
        <f t="shared" si="360"/>
        <v>0</v>
      </c>
      <c r="Z486" s="62">
        <f t="shared" si="360"/>
        <v>0</v>
      </c>
      <c r="AA486" s="62">
        <f t="shared" si="360"/>
        <v>0</v>
      </c>
      <c r="AB486" s="62">
        <f t="shared" si="360"/>
        <v>0</v>
      </c>
      <c r="AC486" s="62">
        <f t="shared" si="360"/>
        <v>0</v>
      </c>
      <c r="AD486" s="62">
        <f t="shared" si="360"/>
        <v>0</v>
      </c>
      <c r="AE486" s="62">
        <f t="shared" si="360"/>
        <v>0</v>
      </c>
      <c r="AF486" s="484">
        <f t="shared" si="354"/>
        <v>0</v>
      </c>
      <c r="AG486" s="484">
        <f t="shared" si="354"/>
        <v>0</v>
      </c>
      <c r="AH486" s="484">
        <f t="shared" si="354"/>
        <v>0</v>
      </c>
      <c r="AI486" s="484">
        <f t="shared" si="354"/>
        <v>0</v>
      </c>
      <c r="AJ486" s="484">
        <f t="shared" si="354"/>
        <v>0</v>
      </c>
      <c r="AK486" s="484">
        <f t="shared" si="354"/>
        <v>0</v>
      </c>
      <c r="AL486" s="484">
        <f t="shared" si="354"/>
        <v>0</v>
      </c>
      <c r="AM486" s="484">
        <f t="shared" si="354"/>
        <v>0</v>
      </c>
      <c r="AN486" s="484">
        <f t="shared" si="354"/>
        <v>0</v>
      </c>
      <c r="AO486" s="484">
        <f t="shared" si="354"/>
        <v>0</v>
      </c>
      <c r="AP486" s="484">
        <f t="shared" si="355"/>
        <v>0</v>
      </c>
      <c r="AQ486" s="484">
        <f t="shared" si="355"/>
        <v>0</v>
      </c>
      <c r="AR486" s="484">
        <f t="shared" si="355"/>
        <v>0</v>
      </c>
      <c r="AS486" s="484">
        <f t="shared" si="355"/>
        <v>0</v>
      </c>
      <c r="AT486" s="484">
        <f t="shared" si="355"/>
        <v>0</v>
      </c>
      <c r="AU486" s="484">
        <f t="shared" si="355"/>
        <v>0</v>
      </c>
      <c r="AV486" s="484">
        <f t="shared" si="355"/>
        <v>0</v>
      </c>
      <c r="AW486" s="484">
        <f t="shared" si="355"/>
        <v>0</v>
      </c>
      <c r="AX486" s="484">
        <f t="shared" si="355"/>
        <v>0</v>
      </c>
      <c r="AY486" s="484">
        <f t="shared" si="355"/>
        <v>0</v>
      </c>
      <c r="AZ486" s="484">
        <f t="shared" si="356"/>
        <v>0</v>
      </c>
      <c r="BA486" s="484">
        <f t="shared" si="356"/>
        <v>0</v>
      </c>
      <c r="BB486" s="484">
        <f t="shared" si="356"/>
        <v>0</v>
      </c>
      <c r="BC486" s="484">
        <f t="shared" si="356"/>
        <v>0</v>
      </c>
      <c r="BD486" s="484">
        <f t="shared" si="356"/>
        <v>0</v>
      </c>
      <c r="BE486" s="484">
        <f t="shared" si="356"/>
        <v>0</v>
      </c>
      <c r="BF486" s="484">
        <f t="shared" si="356"/>
        <v>0</v>
      </c>
      <c r="BG486" s="484">
        <f t="shared" si="356"/>
        <v>0</v>
      </c>
      <c r="BH486" s="484">
        <f t="shared" si="356"/>
        <v>0</v>
      </c>
      <c r="BI486" s="484">
        <f t="shared" si="356"/>
        <v>0</v>
      </c>
      <c r="BJ486" s="484">
        <f t="shared" si="357"/>
        <v>0</v>
      </c>
      <c r="BK486" s="484">
        <f t="shared" si="357"/>
        <v>0</v>
      </c>
      <c r="BL486" s="484">
        <f t="shared" si="357"/>
        <v>0</v>
      </c>
      <c r="BM486" s="484">
        <f t="shared" si="357"/>
        <v>0</v>
      </c>
      <c r="BN486" s="484">
        <f t="shared" si="357"/>
        <v>0</v>
      </c>
      <c r="BO486" s="484">
        <f t="shared" si="357"/>
        <v>0</v>
      </c>
      <c r="BP486" s="484">
        <f t="shared" si="357"/>
        <v>0</v>
      </c>
      <c r="BQ486" s="484">
        <f t="shared" si="357"/>
        <v>0</v>
      </c>
      <c r="BR486" s="484">
        <f t="shared" si="357"/>
        <v>0</v>
      </c>
      <c r="BS486" s="484">
        <f t="shared" si="357"/>
        <v>0</v>
      </c>
      <c r="BT486" s="484">
        <f t="shared" si="358"/>
        <v>0</v>
      </c>
      <c r="BU486" s="484">
        <f t="shared" si="358"/>
        <v>0</v>
      </c>
      <c r="BV486" s="484">
        <f t="shared" si="358"/>
        <v>0</v>
      </c>
      <c r="BW486" s="484">
        <f t="shared" si="358"/>
        <v>0</v>
      </c>
      <c r="BX486" s="484">
        <f t="shared" si="358"/>
        <v>0</v>
      </c>
      <c r="BY486" s="484">
        <f t="shared" si="358"/>
        <v>0</v>
      </c>
      <c r="BZ486" s="484">
        <f t="shared" si="358"/>
        <v>0</v>
      </c>
      <c r="CA486" s="484">
        <f t="shared" si="358"/>
        <v>0</v>
      </c>
      <c r="CB486" s="484">
        <f t="shared" si="358"/>
        <v>0</v>
      </c>
      <c r="CC486" s="484">
        <f t="shared" si="358"/>
        <v>0</v>
      </c>
      <c r="CD486" s="484">
        <f t="shared" si="358"/>
        <v>0</v>
      </c>
      <c r="CE486" s="84"/>
      <c r="CF486" s="84"/>
      <c r="CG486" s="84"/>
      <c r="CH486" s="84"/>
      <c r="CI486" s="84"/>
      <c r="CJ486" s="84"/>
      <c r="CK486" s="84"/>
      <c r="CL486" s="84"/>
      <c r="CM486" s="84"/>
      <c r="CN486" s="84"/>
      <c r="CO486" s="84"/>
      <c r="CP486" s="84"/>
      <c r="CQ486" s="84"/>
      <c r="CR486" s="84"/>
      <c r="CS486" s="84"/>
      <c r="CT486" s="84"/>
      <c r="CU486" s="84"/>
      <c r="CV486" s="84"/>
      <c r="CW486" s="84"/>
      <c r="CX486" s="84"/>
      <c r="CY486" s="84"/>
      <c r="CZ486" s="84"/>
      <c r="DA486" s="84"/>
      <c r="DB486" s="84"/>
      <c r="DC486" s="84"/>
      <c r="DD486" s="84"/>
      <c r="DE486" s="84"/>
      <c r="DF486" s="84"/>
      <c r="DG486" s="84"/>
      <c r="DH486" s="84"/>
      <c r="DI486" s="84"/>
      <c r="DJ486" s="84"/>
      <c r="DK486" s="84"/>
      <c r="DL486" s="84"/>
      <c r="DM486" s="84"/>
      <c r="DN486" s="84"/>
      <c r="DO486" s="84"/>
      <c r="DP486" s="84"/>
      <c r="DQ486" s="84"/>
      <c r="DR486" s="13"/>
      <c r="DS486" s="13"/>
      <c r="DT486" s="13"/>
      <c r="DU486" s="13"/>
      <c r="DV486" s="13"/>
      <c r="DW486" s="13"/>
      <c r="DX486" s="13"/>
      <c r="DY486" s="13"/>
      <c r="DZ486" s="13"/>
      <c r="EA486" s="13"/>
      <c r="EB486" s="13"/>
      <c r="EC486" s="13"/>
      <c r="ED486" s="13"/>
      <c r="EE486" s="13"/>
      <c r="EF486" s="13"/>
      <c r="EG486" s="13"/>
      <c r="EH486" s="13"/>
      <c r="EI486" s="13"/>
      <c r="EJ486" s="13"/>
      <c r="EK486" s="13"/>
      <c r="EL486" s="13"/>
      <c r="EM486" s="13"/>
    </row>
    <row r="487" spans="11:143" ht="12" customHeight="1" x14ac:dyDescent="0.35">
      <c r="K487" s="13">
        <v>8</v>
      </c>
      <c r="L487" s="87">
        <f>Input!D96</f>
        <v>0</v>
      </c>
      <c r="M487" s="88">
        <f>IF(Input!$F$88&gt;=K487,Input!G96,0)</f>
        <v>0</v>
      </c>
      <c r="N487" s="1063">
        <f>Input!H96</f>
        <v>0</v>
      </c>
      <c r="O487" s="1064">
        <f>Input!I96</f>
        <v>0</v>
      </c>
      <c r="P487" s="61"/>
      <c r="Q487" s="40">
        <f>IFERROR(VLOOKUP(N487,Infrastructure!$D$70:$F$129,3,FALSE),0)</f>
        <v>1</v>
      </c>
      <c r="R487" s="40">
        <f>IFERROR(VLOOKUP(O487,Infrastructure!$D$70:$F$129,3,FALSE),0)</f>
        <v>1</v>
      </c>
      <c r="S487" s="61"/>
      <c r="T487" s="13"/>
      <c r="U487" s="13"/>
      <c r="V487" s="13"/>
      <c r="W487" s="62">
        <f t="shared" si="352"/>
        <v>0</v>
      </c>
      <c r="X487" s="62">
        <f t="shared" si="360"/>
        <v>0</v>
      </c>
      <c r="Y487" s="62">
        <f t="shared" si="360"/>
        <v>0</v>
      </c>
      <c r="Z487" s="62">
        <f t="shared" si="360"/>
        <v>0</v>
      </c>
      <c r="AA487" s="62">
        <f t="shared" si="360"/>
        <v>0</v>
      </c>
      <c r="AB487" s="62">
        <f t="shared" si="360"/>
        <v>0</v>
      </c>
      <c r="AC487" s="62">
        <f t="shared" si="360"/>
        <v>0</v>
      </c>
      <c r="AD487" s="62">
        <f t="shared" si="360"/>
        <v>0</v>
      </c>
      <c r="AE487" s="62">
        <f t="shared" si="360"/>
        <v>0</v>
      </c>
      <c r="AF487" s="484">
        <f t="shared" si="354"/>
        <v>0</v>
      </c>
      <c r="AG487" s="484">
        <f t="shared" si="354"/>
        <v>0</v>
      </c>
      <c r="AH487" s="484">
        <f t="shared" si="354"/>
        <v>0</v>
      </c>
      <c r="AI487" s="484">
        <f t="shared" si="354"/>
        <v>0</v>
      </c>
      <c r="AJ487" s="484">
        <f t="shared" si="354"/>
        <v>0</v>
      </c>
      <c r="AK487" s="484">
        <f t="shared" si="354"/>
        <v>0</v>
      </c>
      <c r="AL487" s="484">
        <f t="shared" si="354"/>
        <v>0</v>
      </c>
      <c r="AM487" s="484">
        <f t="shared" si="354"/>
        <v>0</v>
      </c>
      <c r="AN487" s="484">
        <f t="shared" si="354"/>
        <v>0</v>
      </c>
      <c r="AO487" s="484">
        <f t="shared" si="354"/>
        <v>0</v>
      </c>
      <c r="AP487" s="484">
        <f t="shared" si="355"/>
        <v>0</v>
      </c>
      <c r="AQ487" s="484">
        <f t="shared" si="355"/>
        <v>0</v>
      </c>
      <c r="AR487" s="484">
        <f t="shared" si="355"/>
        <v>0</v>
      </c>
      <c r="AS487" s="484">
        <f t="shared" si="355"/>
        <v>0</v>
      </c>
      <c r="AT487" s="484">
        <f t="shared" si="355"/>
        <v>0</v>
      </c>
      <c r="AU487" s="484">
        <f t="shared" si="355"/>
        <v>0</v>
      </c>
      <c r="AV487" s="484">
        <f t="shared" si="355"/>
        <v>0</v>
      </c>
      <c r="AW487" s="484">
        <f t="shared" si="355"/>
        <v>0</v>
      </c>
      <c r="AX487" s="484">
        <f t="shared" si="355"/>
        <v>0</v>
      </c>
      <c r="AY487" s="484">
        <f t="shared" si="355"/>
        <v>0</v>
      </c>
      <c r="AZ487" s="484">
        <f t="shared" si="356"/>
        <v>0</v>
      </c>
      <c r="BA487" s="484">
        <f t="shared" si="356"/>
        <v>0</v>
      </c>
      <c r="BB487" s="484">
        <f t="shared" si="356"/>
        <v>0</v>
      </c>
      <c r="BC487" s="484">
        <f t="shared" si="356"/>
        <v>0</v>
      </c>
      <c r="BD487" s="484">
        <f t="shared" si="356"/>
        <v>0</v>
      </c>
      <c r="BE487" s="484">
        <f t="shared" si="356"/>
        <v>0</v>
      </c>
      <c r="BF487" s="484">
        <f t="shared" si="356"/>
        <v>0</v>
      </c>
      <c r="BG487" s="484">
        <f t="shared" si="356"/>
        <v>0</v>
      </c>
      <c r="BH487" s="484">
        <f t="shared" si="356"/>
        <v>0</v>
      </c>
      <c r="BI487" s="484">
        <f t="shared" si="356"/>
        <v>0</v>
      </c>
      <c r="BJ487" s="484">
        <f t="shared" si="357"/>
        <v>0</v>
      </c>
      <c r="BK487" s="484">
        <f t="shared" si="357"/>
        <v>0</v>
      </c>
      <c r="BL487" s="484">
        <f t="shared" si="357"/>
        <v>0</v>
      </c>
      <c r="BM487" s="484">
        <f t="shared" si="357"/>
        <v>0</v>
      </c>
      <c r="BN487" s="484">
        <f t="shared" si="357"/>
        <v>0</v>
      </c>
      <c r="BO487" s="484">
        <f t="shared" si="357"/>
        <v>0</v>
      </c>
      <c r="BP487" s="484">
        <f t="shared" si="357"/>
        <v>0</v>
      </c>
      <c r="BQ487" s="484">
        <f t="shared" si="357"/>
        <v>0</v>
      </c>
      <c r="BR487" s="484">
        <f t="shared" si="357"/>
        <v>0</v>
      </c>
      <c r="BS487" s="484">
        <f t="shared" si="357"/>
        <v>0</v>
      </c>
      <c r="BT487" s="484">
        <f t="shared" si="358"/>
        <v>0</v>
      </c>
      <c r="BU487" s="484">
        <f t="shared" si="358"/>
        <v>0</v>
      </c>
      <c r="BV487" s="484">
        <f t="shared" si="358"/>
        <v>0</v>
      </c>
      <c r="BW487" s="484">
        <f t="shared" si="358"/>
        <v>0</v>
      </c>
      <c r="BX487" s="484">
        <f t="shared" si="358"/>
        <v>0</v>
      </c>
      <c r="BY487" s="484">
        <f t="shared" si="358"/>
        <v>0</v>
      </c>
      <c r="BZ487" s="484">
        <f t="shared" si="358"/>
        <v>0</v>
      </c>
      <c r="CA487" s="484">
        <f t="shared" si="358"/>
        <v>0</v>
      </c>
      <c r="CB487" s="484">
        <f t="shared" si="358"/>
        <v>0</v>
      </c>
      <c r="CC487" s="484">
        <f t="shared" si="358"/>
        <v>0</v>
      </c>
      <c r="CD487" s="484">
        <f t="shared" si="358"/>
        <v>0</v>
      </c>
      <c r="CE487" s="84"/>
      <c r="CF487" s="84"/>
      <c r="CG487" s="84"/>
      <c r="CH487" s="84"/>
      <c r="CI487" s="84"/>
      <c r="CJ487" s="84"/>
      <c r="CK487" s="84"/>
      <c r="CL487" s="84"/>
      <c r="CM487" s="84"/>
      <c r="CN487" s="84"/>
      <c r="CO487" s="84"/>
      <c r="CP487" s="84"/>
      <c r="CQ487" s="84"/>
      <c r="CR487" s="84"/>
      <c r="CS487" s="84"/>
      <c r="CT487" s="84"/>
      <c r="CU487" s="84"/>
      <c r="CV487" s="84"/>
      <c r="CW487" s="84"/>
      <c r="CX487" s="84"/>
      <c r="CY487" s="84"/>
      <c r="CZ487" s="84"/>
      <c r="DA487" s="84"/>
      <c r="DB487" s="84"/>
      <c r="DC487" s="84"/>
      <c r="DD487" s="84"/>
      <c r="DE487" s="84"/>
      <c r="DF487" s="84"/>
      <c r="DG487" s="84"/>
      <c r="DH487" s="84"/>
      <c r="DI487" s="84"/>
      <c r="DJ487" s="84"/>
      <c r="DK487" s="84"/>
      <c r="DL487" s="84"/>
      <c r="DM487" s="84"/>
      <c r="DN487" s="84"/>
      <c r="DO487" s="84"/>
      <c r="DP487" s="84"/>
      <c r="DQ487" s="84"/>
      <c r="DR487" s="13"/>
      <c r="DS487" s="13"/>
      <c r="DT487" s="13"/>
      <c r="DU487" s="13"/>
      <c r="DV487" s="13"/>
      <c r="DW487" s="13"/>
      <c r="DX487" s="13"/>
      <c r="DY487" s="13"/>
      <c r="DZ487" s="13"/>
      <c r="EA487" s="13"/>
      <c r="EB487" s="13"/>
      <c r="EC487" s="13"/>
      <c r="ED487" s="13"/>
      <c r="EE487" s="13"/>
      <c r="EF487" s="13"/>
      <c r="EG487" s="13"/>
      <c r="EH487" s="13"/>
      <c r="EI487" s="13"/>
      <c r="EJ487" s="13"/>
      <c r="EK487" s="13"/>
      <c r="EL487" s="13"/>
      <c r="EM487" s="13"/>
    </row>
    <row r="488" spans="11:143" ht="12" customHeight="1" x14ac:dyDescent="0.35">
      <c r="K488" s="13">
        <v>9</v>
      </c>
      <c r="L488" s="87">
        <f>Input!D97</f>
        <v>0</v>
      </c>
      <c r="M488" s="88">
        <f>IF(Input!$F$88&gt;=K488,Input!G97,0)</f>
        <v>0</v>
      </c>
      <c r="N488" s="1063">
        <f>Input!H97</f>
        <v>0</v>
      </c>
      <c r="O488" s="1064">
        <f>Input!I97</f>
        <v>0</v>
      </c>
      <c r="P488" s="61"/>
      <c r="Q488" s="40">
        <f>IFERROR(VLOOKUP(N488,Infrastructure!$D$70:$F$129,3,FALSE),0)</f>
        <v>1</v>
      </c>
      <c r="R488" s="40">
        <f>IFERROR(VLOOKUP(O488,Infrastructure!$D$70:$F$129,3,FALSE),0)</f>
        <v>1</v>
      </c>
      <c r="S488" s="61"/>
      <c r="T488" s="13"/>
      <c r="U488" s="13"/>
      <c r="V488" s="13"/>
      <c r="W488" s="62">
        <f t="shared" si="352"/>
        <v>0</v>
      </c>
      <c r="X488" s="62">
        <f t="shared" si="360"/>
        <v>0</v>
      </c>
      <c r="Y488" s="62">
        <f t="shared" si="360"/>
        <v>0</v>
      </c>
      <c r="Z488" s="62">
        <f t="shared" si="360"/>
        <v>0</v>
      </c>
      <c r="AA488" s="62">
        <f t="shared" si="360"/>
        <v>0</v>
      </c>
      <c r="AB488" s="62">
        <f t="shared" si="360"/>
        <v>0</v>
      </c>
      <c r="AC488" s="62">
        <f t="shared" si="360"/>
        <v>0</v>
      </c>
      <c r="AD488" s="62">
        <f t="shared" si="360"/>
        <v>0</v>
      </c>
      <c r="AE488" s="62">
        <f t="shared" si="360"/>
        <v>0</v>
      </c>
      <c r="AF488" s="484">
        <f t="shared" si="354"/>
        <v>0</v>
      </c>
      <c r="AG488" s="484">
        <f t="shared" si="354"/>
        <v>0</v>
      </c>
      <c r="AH488" s="484">
        <f t="shared" si="354"/>
        <v>0</v>
      </c>
      <c r="AI488" s="484">
        <f t="shared" si="354"/>
        <v>0</v>
      </c>
      <c r="AJ488" s="484">
        <f t="shared" si="354"/>
        <v>0</v>
      </c>
      <c r="AK488" s="484">
        <f t="shared" si="354"/>
        <v>0</v>
      </c>
      <c r="AL488" s="484">
        <f t="shared" si="354"/>
        <v>0</v>
      </c>
      <c r="AM488" s="484">
        <f t="shared" si="354"/>
        <v>0</v>
      </c>
      <c r="AN488" s="484">
        <f t="shared" si="354"/>
        <v>0</v>
      </c>
      <c r="AO488" s="484">
        <f t="shared" si="354"/>
        <v>0</v>
      </c>
      <c r="AP488" s="484">
        <f t="shared" si="355"/>
        <v>0</v>
      </c>
      <c r="AQ488" s="484">
        <f t="shared" si="355"/>
        <v>0</v>
      </c>
      <c r="AR488" s="484">
        <f t="shared" si="355"/>
        <v>0</v>
      </c>
      <c r="AS488" s="484">
        <f t="shared" si="355"/>
        <v>0</v>
      </c>
      <c r="AT488" s="484">
        <f t="shared" si="355"/>
        <v>0</v>
      </c>
      <c r="AU488" s="484">
        <f t="shared" si="355"/>
        <v>0</v>
      </c>
      <c r="AV488" s="484">
        <f t="shared" si="355"/>
        <v>0</v>
      </c>
      <c r="AW488" s="484">
        <f t="shared" si="355"/>
        <v>0</v>
      </c>
      <c r="AX488" s="484">
        <f t="shared" si="355"/>
        <v>0</v>
      </c>
      <c r="AY488" s="484">
        <f t="shared" si="355"/>
        <v>0</v>
      </c>
      <c r="AZ488" s="484">
        <f t="shared" si="356"/>
        <v>0</v>
      </c>
      <c r="BA488" s="484">
        <f t="shared" si="356"/>
        <v>0</v>
      </c>
      <c r="BB488" s="484">
        <f t="shared" si="356"/>
        <v>0</v>
      </c>
      <c r="BC488" s="484">
        <f t="shared" si="356"/>
        <v>0</v>
      </c>
      <c r="BD488" s="484">
        <f t="shared" si="356"/>
        <v>0</v>
      </c>
      <c r="BE488" s="484">
        <f t="shared" si="356"/>
        <v>0</v>
      </c>
      <c r="BF488" s="484">
        <f t="shared" si="356"/>
        <v>0</v>
      </c>
      <c r="BG488" s="484">
        <f t="shared" si="356"/>
        <v>0</v>
      </c>
      <c r="BH488" s="484">
        <f t="shared" si="356"/>
        <v>0</v>
      </c>
      <c r="BI488" s="484">
        <f t="shared" si="356"/>
        <v>0</v>
      </c>
      <c r="BJ488" s="484">
        <f t="shared" si="357"/>
        <v>0</v>
      </c>
      <c r="BK488" s="484">
        <f t="shared" si="357"/>
        <v>0</v>
      </c>
      <c r="BL488" s="484">
        <f t="shared" si="357"/>
        <v>0</v>
      </c>
      <c r="BM488" s="484">
        <f t="shared" si="357"/>
        <v>0</v>
      </c>
      <c r="BN488" s="484">
        <f t="shared" si="357"/>
        <v>0</v>
      </c>
      <c r="BO488" s="484">
        <f t="shared" si="357"/>
        <v>0</v>
      </c>
      <c r="BP488" s="484">
        <f t="shared" si="357"/>
        <v>0</v>
      </c>
      <c r="BQ488" s="484">
        <f t="shared" si="357"/>
        <v>0</v>
      </c>
      <c r="BR488" s="484">
        <f t="shared" si="357"/>
        <v>0</v>
      </c>
      <c r="BS488" s="484">
        <f t="shared" si="357"/>
        <v>0</v>
      </c>
      <c r="BT488" s="484">
        <f t="shared" si="358"/>
        <v>0</v>
      </c>
      <c r="BU488" s="484">
        <f t="shared" si="358"/>
        <v>0</v>
      </c>
      <c r="BV488" s="484">
        <f t="shared" si="358"/>
        <v>0</v>
      </c>
      <c r="BW488" s="484">
        <f t="shared" si="358"/>
        <v>0</v>
      </c>
      <c r="BX488" s="484">
        <f t="shared" si="358"/>
        <v>0</v>
      </c>
      <c r="BY488" s="484">
        <f t="shared" si="358"/>
        <v>0</v>
      </c>
      <c r="BZ488" s="484">
        <f t="shared" si="358"/>
        <v>0</v>
      </c>
      <c r="CA488" s="484">
        <f t="shared" si="358"/>
        <v>0</v>
      </c>
      <c r="CB488" s="484">
        <f t="shared" si="358"/>
        <v>0</v>
      </c>
      <c r="CC488" s="484">
        <f t="shared" si="358"/>
        <v>0</v>
      </c>
      <c r="CD488" s="484">
        <f t="shared" si="358"/>
        <v>0</v>
      </c>
      <c r="CE488" s="84"/>
      <c r="CF488" s="84"/>
      <c r="CG488" s="84"/>
      <c r="CH488" s="84"/>
      <c r="CI488" s="84"/>
      <c r="CJ488" s="84"/>
      <c r="CK488" s="84"/>
      <c r="CL488" s="84"/>
      <c r="CM488" s="84"/>
      <c r="CN488" s="84"/>
      <c r="CO488" s="84"/>
      <c r="CP488" s="84"/>
      <c r="CQ488" s="84"/>
      <c r="CR488" s="84"/>
      <c r="CS488" s="84"/>
      <c r="CT488" s="84"/>
      <c r="CU488" s="84"/>
      <c r="CV488" s="84"/>
      <c r="CW488" s="84"/>
      <c r="CX488" s="84"/>
      <c r="CY488" s="84"/>
      <c r="CZ488" s="84"/>
      <c r="DA488" s="84"/>
      <c r="DB488" s="84"/>
      <c r="DC488" s="84"/>
      <c r="DD488" s="84"/>
      <c r="DE488" s="84"/>
      <c r="DF488" s="84"/>
      <c r="DG488" s="84"/>
      <c r="DH488" s="84"/>
      <c r="DI488" s="84"/>
      <c r="DJ488" s="84"/>
      <c r="DK488" s="84"/>
      <c r="DL488" s="84"/>
      <c r="DM488" s="84"/>
      <c r="DN488" s="84"/>
      <c r="DO488" s="84"/>
      <c r="DP488" s="84"/>
      <c r="DQ488" s="84"/>
      <c r="DR488" s="13"/>
      <c r="DS488" s="13"/>
      <c r="DT488" s="13"/>
      <c r="DU488" s="13"/>
      <c r="DV488" s="13"/>
      <c r="DW488" s="13"/>
      <c r="DX488" s="13"/>
      <c r="DY488" s="13"/>
      <c r="DZ488" s="13"/>
      <c r="EA488" s="13"/>
      <c r="EB488" s="13"/>
      <c r="EC488" s="13"/>
      <c r="ED488" s="13"/>
      <c r="EE488" s="13"/>
      <c r="EF488" s="13"/>
      <c r="EG488" s="13"/>
      <c r="EH488" s="13"/>
      <c r="EI488" s="13"/>
      <c r="EJ488" s="13"/>
      <c r="EK488" s="13"/>
      <c r="EL488" s="13"/>
      <c r="EM488" s="13"/>
    </row>
    <row r="489" spans="11:143" ht="12" customHeight="1" thickBot="1" x14ac:dyDescent="0.4">
      <c r="K489" s="13">
        <v>10</v>
      </c>
      <c r="L489" s="458">
        <f>Input!D98</f>
        <v>0</v>
      </c>
      <c r="M489" s="459">
        <f>IF(Input!$F$88&gt;=K489,Input!G98,0)</f>
        <v>0</v>
      </c>
      <c r="N489" s="1065">
        <f>Input!H98</f>
        <v>0</v>
      </c>
      <c r="O489" s="1066">
        <f>Input!I98</f>
        <v>0</v>
      </c>
      <c r="P489" s="61"/>
      <c r="Q489" s="40">
        <f>IFERROR(VLOOKUP(N489,Infrastructure!$D$70:$F$129,3,FALSE),0)</f>
        <v>1</v>
      </c>
      <c r="R489" s="40">
        <f>IFERROR(VLOOKUP(O489,Infrastructure!$D$70:$F$129,3,FALSE),0)</f>
        <v>1</v>
      </c>
      <c r="S489" s="61"/>
      <c r="T489" s="13"/>
      <c r="U489" s="13"/>
      <c r="V489" s="13"/>
      <c r="W489" s="62">
        <f t="shared" si="352"/>
        <v>0</v>
      </c>
      <c r="X489" s="62">
        <f t="shared" ref="X489:AE489" si="361">IFERROR(IF(AND(X$477&gt;=$Q489,$R489&gt;=X$477),$M489,0),0)</f>
        <v>0</v>
      </c>
      <c r="Y489" s="62">
        <f t="shared" si="361"/>
        <v>0</v>
      </c>
      <c r="Z489" s="62">
        <f t="shared" si="361"/>
        <v>0</v>
      </c>
      <c r="AA489" s="62">
        <f t="shared" si="361"/>
        <v>0</v>
      </c>
      <c r="AB489" s="62">
        <f t="shared" si="361"/>
        <v>0</v>
      </c>
      <c r="AC489" s="62">
        <f t="shared" si="361"/>
        <v>0</v>
      </c>
      <c r="AD489" s="62">
        <f t="shared" si="361"/>
        <v>0</v>
      </c>
      <c r="AE489" s="62">
        <f t="shared" si="361"/>
        <v>0</v>
      </c>
      <c r="AF489" s="484">
        <f t="shared" si="354"/>
        <v>0</v>
      </c>
      <c r="AG489" s="484">
        <f t="shared" si="354"/>
        <v>0</v>
      </c>
      <c r="AH489" s="484">
        <f t="shared" si="354"/>
        <v>0</v>
      </c>
      <c r="AI489" s="484">
        <f t="shared" si="354"/>
        <v>0</v>
      </c>
      <c r="AJ489" s="484">
        <f t="shared" si="354"/>
        <v>0</v>
      </c>
      <c r="AK489" s="484">
        <f t="shared" si="354"/>
        <v>0</v>
      </c>
      <c r="AL489" s="484">
        <f t="shared" si="354"/>
        <v>0</v>
      </c>
      <c r="AM489" s="484">
        <f t="shared" si="354"/>
        <v>0</v>
      </c>
      <c r="AN489" s="484">
        <f t="shared" si="354"/>
        <v>0</v>
      </c>
      <c r="AO489" s="484">
        <f t="shared" si="354"/>
        <v>0</v>
      </c>
      <c r="AP489" s="484">
        <f t="shared" si="355"/>
        <v>0</v>
      </c>
      <c r="AQ489" s="484">
        <f t="shared" si="355"/>
        <v>0</v>
      </c>
      <c r="AR489" s="484">
        <f t="shared" si="355"/>
        <v>0</v>
      </c>
      <c r="AS489" s="484">
        <f t="shared" si="355"/>
        <v>0</v>
      </c>
      <c r="AT489" s="484">
        <f t="shared" si="355"/>
        <v>0</v>
      </c>
      <c r="AU489" s="484">
        <f t="shared" si="355"/>
        <v>0</v>
      </c>
      <c r="AV489" s="484">
        <f t="shared" si="355"/>
        <v>0</v>
      </c>
      <c r="AW489" s="484">
        <f t="shared" si="355"/>
        <v>0</v>
      </c>
      <c r="AX489" s="484">
        <f t="shared" si="355"/>
        <v>0</v>
      </c>
      <c r="AY489" s="484">
        <f t="shared" si="355"/>
        <v>0</v>
      </c>
      <c r="AZ489" s="484">
        <f t="shared" si="356"/>
        <v>0</v>
      </c>
      <c r="BA489" s="484">
        <f t="shared" si="356"/>
        <v>0</v>
      </c>
      <c r="BB489" s="484">
        <f t="shared" si="356"/>
        <v>0</v>
      </c>
      <c r="BC489" s="484">
        <f t="shared" si="356"/>
        <v>0</v>
      </c>
      <c r="BD489" s="484">
        <f t="shared" si="356"/>
        <v>0</v>
      </c>
      <c r="BE489" s="484">
        <f t="shared" si="356"/>
        <v>0</v>
      </c>
      <c r="BF489" s="484">
        <f t="shared" si="356"/>
        <v>0</v>
      </c>
      <c r="BG489" s="484">
        <f t="shared" si="356"/>
        <v>0</v>
      </c>
      <c r="BH489" s="484">
        <f t="shared" si="356"/>
        <v>0</v>
      </c>
      <c r="BI489" s="484">
        <f t="shared" si="356"/>
        <v>0</v>
      </c>
      <c r="BJ489" s="484">
        <f t="shared" si="357"/>
        <v>0</v>
      </c>
      <c r="BK489" s="484">
        <f t="shared" si="357"/>
        <v>0</v>
      </c>
      <c r="BL489" s="484">
        <f t="shared" si="357"/>
        <v>0</v>
      </c>
      <c r="BM489" s="484">
        <f t="shared" si="357"/>
        <v>0</v>
      </c>
      <c r="BN489" s="484">
        <f t="shared" si="357"/>
        <v>0</v>
      </c>
      <c r="BO489" s="484">
        <f t="shared" si="357"/>
        <v>0</v>
      </c>
      <c r="BP489" s="484">
        <f t="shared" si="357"/>
        <v>0</v>
      </c>
      <c r="BQ489" s="484">
        <f t="shared" si="357"/>
        <v>0</v>
      </c>
      <c r="BR489" s="484">
        <f t="shared" si="357"/>
        <v>0</v>
      </c>
      <c r="BS489" s="484">
        <f t="shared" si="357"/>
        <v>0</v>
      </c>
      <c r="BT489" s="484">
        <f t="shared" si="358"/>
        <v>0</v>
      </c>
      <c r="BU489" s="484">
        <f t="shared" si="358"/>
        <v>0</v>
      </c>
      <c r="BV489" s="484">
        <f t="shared" si="358"/>
        <v>0</v>
      </c>
      <c r="BW489" s="484">
        <f t="shared" si="358"/>
        <v>0</v>
      </c>
      <c r="BX489" s="484">
        <f t="shared" si="358"/>
        <v>0</v>
      </c>
      <c r="BY489" s="484">
        <f t="shared" si="358"/>
        <v>0</v>
      </c>
      <c r="BZ489" s="484">
        <f t="shared" si="358"/>
        <v>0</v>
      </c>
      <c r="CA489" s="484">
        <f t="shared" si="358"/>
        <v>0</v>
      </c>
      <c r="CB489" s="484">
        <f t="shared" si="358"/>
        <v>0</v>
      </c>
      <c r="CC489" s="484">
        <f t="shared" si="358"/>
        <v>0</v>
      </c>
      <c r="CD489" s="484">
        <f t="shared" si="358"/>
        <v>0</v>
      </c>
      <c r="CE489" s="84"/>
      <c r="CF489" s="84"/>
      <c r="CG489" s="84"/>
      <c r="CH489" s="84"/>
      <c r="CI489" s="84"/>
      <c r="CJ489" s="84"/>
      <c r="CK489" s="84"/>
      <c r="CL489" s="84"/>
      <c r="CM489" s="84"/>
      <c r="CN489" s="84"/>
      <c r="CO489" s="84"/>
      <c r="CP489" s="84"/>
      <c r="CQ489" s="84"/>
      <c r="CR489" s="84"/>
      <c r="CS489" s="84"/>
      <c r="CT489" s="84"/>
      <c r="CU489" s="84"/>
      <c r="CV489" s="84"/>
      <c r="CW489" s="84"/>
      <c r="CX489" s="84"/>
      <c r="CY489" s="84"/>
      <c r="CZ489" s="84"/>
      <c r="DA489" s="84"/>
      <c r="DB489" s="84"/>
      <c r="DC489" s="84"/>
      <c r="DD489" s="84"/>
      <c r="DE489" s="84"/>
      <c r="DF489" s="84"/>
      <c r="DG489" s="84"/>
      <c r="DH489" s="84"/>
      <c r="DI489" s="84"/>
      <c r="DJ489" s="84"/>
      <c r="DK489" s="84"/>
      <c r="DL489" s="84"/>
      <c r="DM489" s="84"/>
      <c r="DN489" s="84"/>
      <c r="DO489" s="84"/>
      <c r="DP489" s="84"/>
      <c r="DQ489" s="84"/>
      <c r="DR489" s="13"/>
      <c r="DS489" s="13"/>
      <c r="DT489" s="13"/>
      <c r="DU489" s="13"/>
      <c r="DV489" s="13"/>
      <c r="DW489" s="13"/>
      <c r="DX489" s="13"/>
      <c r="DY489" s="13"/>
      <c r="DZ489" s="13"/>
      <c r="EA489" s="13"/>
      <c r="EB489" s="13"/>
      <c r="EC489" s="13"/>
      <c r="ED489" s="13"/>
      <c r="EE489" s="13"/>
      <c r="EF489" s="13"/>
      <c r="EG489" s="13"/>
      <c r="EH489" s="13"/>
      <c r="EI489" s="13"/>
      <c r="EJ489" s="13"/>
      <c r="EK489" s="13"/>
      <c r="EL489" s="13"/>
      <c r="EM489" s="13"/>
    </row>
    <row r="490" spans="11:143" ht="12" customHeight="1" x14ac:dyDescent="0.35">
      <c r="K490" s="13"/>
      <c r="L490" s="461"/>
      <c r="M490" s="461"/>
      <c r="N490" s="461"/>
      <c r="O490" s="461"/>
      <c r="P490" s="61"/>
      <c r="Q490" s="61"/>
      <c r="R490" s="61"/>
      <c r="S490" s="61"/>
      <c r="T490" s="13"/>
      <c r="U490" s="13"/>
      <c r="V490" s="13"/>
      <c r="W490" s="63">
        <f t="shared" ref="W490:AE490" si="362">SUM(W480:W489)</f>
        <v>0</v>
      </c>
      <c r="X490" s="63">
        <f t="shared" si="362"/>
        <v>0</v>
      </c>
      <c r="Y490" s="63">
        <f t="shared" si="362"/>
        <v>0</v>
      </c>
      <c r="Z490" s="63">
        <f t="shared" si="362"/>
        <v>0</v>
      </c>
      <c r="AA490" s="63">
        <f t="shared" si="362"/>
        <v>0</v>
      </c>
      <c r="AB490" s="63">
        <f t="shared" si="362"/>
        <v>0</v>
      </c>
      <c r="AC490" s="63">
        <f t="shared" si="362"/>
        <v>0</v>
      </c>
      <c r="AD490" s="63">
        <f t="shared" si="362"/>
        <v>0</v>
      </c>
      <c r="AE490" s="63">
        <f t="shared" si="362"/>
        <v>0</v>
      </c>
      <c r="AF490" s="1139">
        <f t="shared" ref="AF490:BB490" si="363">SUM(AF480:AF489)</f>
        <v>0</v>
      </c>
      <c r="AG490" s="1139">
        <f t="shared" si="363"/>
        <v>0</v>
      </c>
      <c r="AH490" s="1139">
        <f t="shared" si="363"/>
        <v>0</v>
      </c>
      <c r="AI490" s="1139">
        <f t="shared" si="363"/>
        <v>0</v>
      </c>
      <c r="AJ490" s="1139">
        <f t="shared" si="363"/>
        <v>0</v>
      </c>
      <c r="AK490" s="1139">
        <f t="shared" si="363"/>
        <v>0</v>
      </c>
      <c r="AL490" s="1139">
        <f t="shared" si="363"/>
        <v>0</v>
      </c>
      <c r="AM490" s="1139">
        <f t="shared" si="363"/>
        <v>0</v>
      </c>
      <c r="AN490" s="1139">
        <f t="shared" si="363"/>
        <v>0</v>
      </c>
      <c r="AO490" s="1139">
        <f t="shared" si="363"/>
        <v>0</v>
      </c>
      <c r="AP490" s="1139">
        <f t="shared" si="363"/>
        <v>0</v>
      </c>
      <c r="AQ490" s="1139">
        <f t="shared" si="363"/>
        <v>0</v>
      </c>
      <c r="AR490" s="1139">
        <f t="shared" si="363"/>
        <v>0</v>
      </c>
      <c r="AS490" s="1139">
        <f t="shared" si="363"/>
        <v>0</v>
      </c>
      <c r="AT490" s="1139">
        <f t="shared" si="363"/>
        <v>0</v>
      </c>
      <c r="AU490" s="1139">
        <f t="shared" si="363"/>
        <v>0</v>
      </c>
      <c r="AV490" s="1139">
        <f t="shared" si="363"/>
        <v>0</v>
      </c>
      <c r="AW490" s="1139">
        <f t="shared" si="363"/>
        <v>0</v>
      </c>
      <c r="AX490" s="1139">
        <f t="shared" si="363"/>
        <v>0</v>
      </c>
      <c r="AY490" s="1139">
        <f t="shared" si="363"/>
        <v>0</v>
      </c>
      <c r="AZ490" s="1139">
        <f t="shared" si="363"/>
        <v>0</v>
      </c>
      <c r="BA490" s="1139">
        <f t="shared" si="363"/>
        <v>0</v>
      </c>
      <c r="BB490" s="1139">
        <f t="shared" si="363"/>
        <v>0</v>
      </c>
      <c r="BC490" s="1139">
        <f>SUM(BC480:BC489)</f>
        <v>0</v>
      </c>
      <c r="BD490" s="1139">
        <f>SUM(BD480:BD489)</f>
        <v>0</v>
      </c>
      <c r="BE490" s="1139">
        <f>SUM(BE480:BE489)</f>
        <v>0</v>
      </c>
      <c r="BF490" s="1139">
        <f>SUM(BF480:BF489)</f>
        <v>0</v>
      </c>
      <c r="BG490" s="1139">
        <f t="shared" ref="BG490:CD490" si="364">IF(Years="Five",SUM(BG480:BG489),0)</f>
        <v>0</v>
      </c>
      <c r="BH490" s="1139">
        <f t="shared" si="364"/>
        <v>0</v>
      </c>
      <c r="BI490" s="1139">
        <f t="shared" si="364"/>
        <v>0</v>
      </c>
      <c r="BJ490" s="1139">
        <f t="shared" si="364"/>
        <v>0</v>
      </c>
      <c r="BK490" s="1139">
        <f t="shared" si="364"/>
        <v>0</v>
      </c>
      <c r="BL490" s="1139">
        <f t="shared" si="364"/>
        <v>0</v>
      </c>
      <c r="BM490" s="1139">
        <f t="shared" si="364"/>
        <v>0</v>
      </c>
      <c r="BN490" s="1139">
        <f t="shared" si="364"/>
        <v>0</v>
      </c>
      <c r="BO490" s="1139">
        <f t="shared" si="364"/>
        <v>0</v>
      </c>
      <c r="BP490" s="1139">
        <f t="shared" si="364"/>
        <v>0</v>
      </c>
      <c r="BQ490" s="1139">
        <f t="shared" si="364"/>
        <v>0</v>
      </c>
      <c r="BR490" s="1139">
        <f t="shared" si="364"/>
        <v>0</v>
      </c>
      <c r="BS490" s="1139">
        <f t="shared" si="364"/>
        <v>0</v>
      </c>
      <c r="BT490" s="1139">
        <f t="shared" si="364"/>
        <v>0</v>
      </c>
      <c r="BU490" s="1139">
        <f t="shared" si="364"/>
        <v>0</v>
      </c>
      <c r="BV490" s="1139">
        <f t="shared" si="364"/>
        <v>0</v>
      </c>
      <c r="BW490" s="1139">
        <f t="shared" si="364"/>
        <v>0</v>
      </c>
      <c r="BX490" s="1139">
        <f t="shared" si="364"/>
        <v>0</v>
      </c>
      <c r="BY490" s="1139">
        <f t="shared" si="364"/>
        <v>0</v>
      </c>
      <c r="BZ490" s="1139">
        <f t="shared" si="364"/>
        <v>0</v>
      </c>
      <c r="CA490" s="1139">
        <f t="shared" si="364"/>
        <v>0</v>
      </c>
      <c r="CB490" s="1139">
        <f t="shared" si="364"/>
        <v>0</v>
      </c>
      <c r="CC490" s="1139">
        <f t="shared" si="364"/>
        <v>0</v>
      </c>
      <c r="CD490" s="1139">
        <f t="shared" si="364"/>
        <v>0</v>
      </c>
      <c r="CE490" s="84"/>
      <c r="CF490" s="84"/>
      <c r="CG490" s="84"/>
      <c r="CH490" s="84"/>
      <c r="CI490" s="84"/>
      <c r="CJ490" s="84"/>
      <c r="CK490" s="84"/>
      <c r="CL490" s="84"/>
      <c r="CM490" s="84"/>
      <c r="CN490" s="84"/>
      <c r="CO490" s="84"/>
      <c r="CP490" s="84"/>
      <c r="CQ490" s="84"/>
      <c r="CR490" s="84"/>
      <c r="CS490" s="84"/>
      <c r="CT490" s="84"/>
      <c r="CU490" s="84"/>
      <c r="CV490" s="84"/>
      <c r="CW490" s="84"/>
      <c r="CX490" s="84"/>
      <c r="CY490" s="84"/>
      <c r="CZ490" s="84"/>
      <c r="DA490" s="84"/>
      <c r="DB490" s="84"/>
      <c r="DC490" s="84"/>
      <c r="DD490" s="84"/>
      <c r="DE490" s="84"/>
      <c r="DF490" s="84"/>
      <c r="DG490" s="84"/>
      <c r="DH490" s="84"/>
      <c r="DI490" s="84"/>
      <c r="DJ490" s="84"/>
      <c r="DK490" s="84"/>
      <c r="DL490" s="84"/>
      <c r="DM490" s="84"/>
      <c r="DN490" s="84"/>
      <c r="DO490" s="84"/>
      <c r="DP490" s="84"/>
      <c r="DQ490" s="84"/>
      <c r="DR490" s="13"/>
      <c r="DS490" s="13"/>
      <c r="DT490" s="13"/>
      <c r="DU490" s="13"/>
      <c r="DV490" s="13"/>
      <c r="DW490" s="13"/>
      <c r="DX490" s="13"/>
      <c r="DY490" s="13"/>
      <c r="DZ490" s="13"/>
      <c r="EA490" s="13"/>
      <c r="EB490" s="13"/>
      <c r="EC490" s="13"/>
      <c r="ED490" s="13"/>
      <c r="EE490" s="13"/>
      <c r="EF490" s="13"/>
      <c r="EG490" s="13"/>
      <c r="EH490" s="13"/>
      <c r="EI490" s="13"/>
      <c r="EJ490" s="13"/>
      <c r="EK490" s="13"/>
      <c r="EL490" s="13"/>
      <c r="EM490" s="13"/>
    </row>
    <row r="491" spans="11:143" ht="12" customHeight="1" x14ac:dyDescent="0.35">
      <c r="K491" s="13"/>
      <c r="L491" s="13"/>
      <c r="M491" s="13"/>
      <c r="N491" s="13"/>
      <c r="O491" s="13"/>
      <c r="P491" s="61"/>
      <c r="Q491" s="61"/>
      <c r="R491" s="61"/>
      <c r="S491" s="61"/>
      <c r="T491" s="13"/>
      <c r="U491" s="13"/>
      <c r="V491" s="13"/>
      <c r="W491" s="13"/>
      <c r="X491" s="13"/>
      <c r="Y491" s="13"/>
      <c r="Z491" s="13"/>
      <c r="AA491" s="13"/>
      <c r="AB491" s="13"/>
      <c r="AC491" s="13"/>
      <c r="AD491" s="13"/>
      <c r="AE491" s="13"/>
      <c r="AF491" s="84"/>
      <c r="AG491" s="84"/>
      <c r="AH491" s="84"/>
      <c r="AI491" s="84"/>
      <c r="AJ491" s="84"/>
      <c r="AK491" s="84"/>
      <c r="AL491" s="84"/>
      <c r="AM491" s="84"/>
      <c r="AN491" s="84"/>
      <c r="AO491" s="84"/>
      <c r="AP491" s="84"/>
      <c r="AQ491" s="84"/>
      <c r="AR491" s="84"/>
      <c r="AS491" s="84"/>
      <c r="AT491" s="84"/>
      <c r="AU491" s="84"/>
      <c r="AV491" s="84"/>
      <c r="AW491" s="84"/>
      <c r="AX491" s="84"/>
      <c r="AY491" s="84"/>
      <c r="AZ491" s="84"/>
      <c r="BA491" s="84"/>
      <c r="BB491" s="84"/>
      <c r="BC491" s="84"/>
      <c r="BD491" s="84"/>
      <c r="BE491" s="84"/>
      <c r="BF491" s="84"/>
      <c r="BG491" s="84"/>
      <c r="BH491" s="84"/>
      <c r="BI491" s="84"/>
      <c r="BJ491" s="84"/>
      <c r="BK491" s="84"/>
      <c r="BL491" s="84"/>
      <c r="BM491" s="84"/>
      <c r="BN491" s="84"/>
      <c r="BO491" s="84"/>
      <c r="BP491" s="84"/>
      <c r="BQ491" s="84"/>
      <c r="BR491" s="84"/>
      <c r="BS491" s="84"/>
      <c r="BT491" s="84"/>
      <c r="BU491" s="84"/>
      <c r="BV491" s="84"/>
      <c r="BW491" s="84"/>
      <c r="BX491" s="84"/>
      <c r="BY491" s="84"/>
      <c r="BZ491" s="84"/>
      <c r="CA491" s="84"/>
      <c r="CB491" s="84"/>
      <c r="CC491" s="84"/>
      <c r="CD491" s="84"/>
      <c r="CE491" s="84"/>
      <c r="CF491" s="84"/>
      <c r="CG491" s="84"/>
      <c r="CH491" s="84"/>
      <c r="CI491" s="84"/>
      <c r="CJ491" s="84"/>
      <c r="CK491" s="84"/>
      <c r="CL491" s="84"/>
      <c r="CM491" s="84"/>
      <c r="CN491" s="84"/>
      <c r="CO491" s="84"/>
      <c r="CP491" s="84"/>
      <c r="CQ491" s="84"/>
      <c r="CR491" s="84"/>
      <c r="CS491" s="84"/>
      <c r="CT491" s="84"/>
      <c r="CU491" s="84"/>
      <c r="CV491" s="84"/>
      <c r="CW491" s="84"/>
      <c r="CX491" s="84"/>
      <c r="CY491" s="84"/>
      <c r="CZ491" s="84"/>
      <c r="DA491" s="84"/>
      <c r="DB491" s="84"/>
      <c r="DC491" s="84"/>
      <c r="DD491" s="84"/>
      <c r="DE491" s="84"/>
      <c r="DF491" s="84"/>
      <c r="DG491" s="84"/>
      <c r="DH491" s="84"/>
      <c r="DI491" s="84"/>
      <c r="DJ491" s="84"/>
      <c r="DK491" s="84"/>
      <c r="DL491" s="84"/>
      <c r="DM491" s="84"/>
      <c r="DN491" s="84"/>
      <c r="DO491" s="84"/>
      <c r="DP491" s="84"/>
      <c r="DQ491" s="84"/>
      <c r="DR491" s="13"/>
      <c r="DS491" s="13"/>
      <c r="DT491" s="13"/>
      <c r="DU491" s="13"/>
      <c r="DV491" s="13"/>
      <c r="DW491" s="13"/>
      <c r="DX491" s="13"/>
      <c r="DY491" s="13"/>
      <c r="DZ491" s="13"/>
      <c r="EA491" s="13"/>
      <c r="EB491" s="13"/>
      <c r="EC491" s="13"/>
      <c r="ED491" s="13"/>
      <c r="EE491" s="13"/>
      <c r="EF491" s="13"/>
      <c r="EG491" s="13"/>
      <c r="EH491" s="13"/>
      <c r="EI491" s="13"/>
      <c r="EJ491" s="13"/>
      <c r="EK491" s="13"/>
      <c r="EL491" s="13"/>
      <c r="EM491" s="13"/>
    </row>
    <row r="492" spans="11:143" ht="12" customHeight="1" thickBot="1" x14ac:dyDescent="0.4">
      <c r="K492" s="13"/>
      <c r="L492" s="13"/>
      <c r="M492" s="13"/>
      <c r="N492" s="13"/>
      <c r="O492" s="13"/>
      <c r="P492" s="13"/>
      <c r="Q492" s="13"/>
      <c r="R492" s="61"/>
      <c r="S492" s="13"/>
      <c r="T492" s="61" t="s">
        <v>433</v>
      </c>
      <c r="U492" s="61"/>
      <c r="V492" s="61"/>
      <c r="W492" s="42">
        <f t="shared" ref="W492:AE492" si="365">COUNTIF(W480:W489,"&gt;0")</f>
        <v>0</v>
      </c>
      <c r="X492" s="42">
        <f t="shared" si="365"/>
        <v>0</v>
      </c>
      <c r="Y492" s="42">
        <f t="shared" si="365"/>
        <v>0</v>
      </c>
      <c r="Z492" s="42">
        <f t="shared" si="365"/>
        <v>0</v>
      </c>
      <c r="AA492" s="42">
        <f t="shared" si="365"/>
        <v>0</v>
      </c>
      <c r="AB492" s="42">
        <f t="shared" si="365"/>
        <v>0</v>
      </c>
      <c r="AC492" s="42">
        <f t="shared" si="365"/>
        <v>0</v>
      </c>
      <c r="AD492" s="42">
        <f t="shared" si="365"/>
        <v>0</v>
      </c>
      <c r="AE492" s="42">
        <f t="shared" si="365"/>
        <v>0</v>
      </c>
      <c r="AF492" s="61">
        <f t="shared" ref="AF492:BB492" si="366">COUNTIF(AF480:AF489,"&gt;0")</f>
        <v>0</v>
      </c>
      <c r="AG492" s="61">
        <f t="shared" si="366"/>
        <v>0</v>
      </c>
      <c r="AH492" s="61">
        <f t="shared" si="366"/>
        <v>0</v>
      </c>
      <c r="AI492" s="61">
        <f t="shared" si="366"/>
        <v>0</v>
      </c>
      <c r="AJ492" s="61">
        <f t="shared" si="366"/>
        <v>0</v>
      </c>
      <c r="AK492" s="61">
        <f t="shared" si="366"/>
        <v>0</v>
      </c>
      <c r="AL492" s="61">
        <f t="shared" si="366"/>
        <v>0</v>
      </c>
      <c r="AM492" s="61">
        <f t="shared" si="366"/>
        <v>0</v>
      </c>
      <c r="AN492" s="61">
        <f t="shared" si="366"/>
        <v>0</v>
      </c>
      <c r="AO492" s="61">
        <f t="shared" si="366"/>
        <v>0</v>
      </c>
      <c r="AP492" s="61">
        <f t="shared" si="366"/>
        <v>0</v>
      </c>
      <c r="AQ492" s="61">
        <f t="shared" si="366"/>
        <v>0</v>
      </c>
      <c r="AR492" s="61">
        <f t="shared" si="366"/>
        <v>0</v>
      </c>
      <c r="AS492" s="61">
        <f t="shared" si="366"/>
        <v>0</v>
      </c>
      <c r="AT492" s="61">
        <f t="shared" si="366"/>
        <v>0</v>
      </c>
      <c r="AU492" s="61">
        <f t="shared" si="366"/>
        <v>0</v>
      </c>
      <c r="AV492" s="61">
        <f t="shared" si="366"/>
        <v>0</v>
      </c>
      <c r="AW492" s="61">
        <f t="shared" si="366"/>
        <v>0</v>
      </c>
      <c r="AX492" s="61">
        <f t="shared" si="366"/>
        <v>0</v>
      </c>
      <c r="AY492" s="61">
        <f t="shared" si="366"/>
        <v>0</v>
      </c>
      <c r="AZ492" s="61">
        <f t="shared" si="366"/>
        <v>0</v>
      </c>
      <c r="BA492" s="61">
        <f t="shared" si="366"/>
        <v>0</v>
      </c>
      <c r="BB492" s="61">
        <f t="shared" si="366"/>
        <v>0</v>
      </c>
      <c r="BC492" s="61">
        <f t="shared" ref="BC492:CD492" si="367">COUNTIF(BC480:BC489,"&gt;0")</f>
        <v>0</v>
      </c>
      <c r="BD492" s="61">
        <f t="shared" si="367"/>
        <v>0</v>
      </c>
      <c r="BE492" s="61">
        <f t="shared" si="367"/>
        <v>0</v>
      </c>
      <c r="BF492" s="61">
        <f t="shared" si="367"/>
        <v>0</v>
      </c>
      <c r="BG492" s="61">
        <f t="shared" si="367"/>
        <v>0</v>
      </c>
      <c r="BH492" s="61">
        <f t="shared" si="367"/>
        <v>0</v>
      </c>
      <c r="BI492" s="61">
        <f t="shared" si="367"/>
        <v>0</v>
      </c>
      <c r="BJ492" s="61">
        <f t="shared" si="367"/>
        <v>0</v>
      </c>
      <c r="BK492" s="61">
        <f t="shared" si="367"/>
        <v>0</v>
      </c>
      <c r="BL492" s="61">
        <f t="shared" si="367"/>
        <v>0</v>
      </c>
      <c r="BM492" s="61">
        <f t="shared" si="367"/>
        <v>0</v>
      </c>
      <c r="BN492" s="61">
        <f t="shared" si="367"/>
        <v>0</v>
      </c>
      <c r="BO492" s="61">
        <f t="shared" si="367"/>
        <v>0</v>
      </c>
      <c r="BP492" s="61">
        <f t="shared" si="367"/>
        <v>0</v>
      </c>
      <c r="BQ492" s="61">
        <f t="shared" si="367"/>
        <v>0</v>
      </c>
      <c r="BR492" s="61">
        <f t="shared" si="367"/>
        <v>0</v>
      </c>
      <c r="BS492" s="61">
        <f t="shared" si="367"/>
        <v>0</v>
      </c>
      <c r="BT492" s="61">
        <f t="shared" si="367"/>
        <v>0</v>
      </c>
      <c r="BU492" s="61">
        <f t="shared" si="367"/>
        <v>0</v>
      </c>
      <c r="BV492" s="61">
        <f t="shared" si="367"/>
        <v>0</v>
      </c>
      <c r="BW492" s="61">
        <f t="shared" si="367"/>
        <v>0</v>
      </c>
      <c r="BX492" s="61">
        <f t="shared" si="367"/>
        <v>0</v>
      </c>
      <c r="BY492" s="61">
        <f t="shared" si="367"/>
        <v>0</v>
      </c>
      <c r="BZ492" s="61">
        <f t="shared" si="367"/>
        <v>0</v>
      </c>
      <c r="CA492" s="61">
        <f t="shared" si="367"/>
        <v>0</v>
      </c>
      <c r="CB492" s="61">
        <f t="shared" si="367"/>
        <v>0</v>
      </c>
      <c r="CC492" s="61">
        <f t="shared" si="367"/>
        <v>0</v>
      </c>
      <c r="CD492" s="61">
        <f t="shared" si="367"/>
        <v>0</v>
      </c>
      <c r="CE492" s="84"/>
      <c r="CF492" s="84"/>
      <c r="CG492" s="84"/>
      <c r="CH492" s="84"/>
      <c r="CI492" s="84"/>
      <c r="CJ492" s="84"/>
      <c r="CK492" s="84"/>
      <c r="CL492" s="84"/>
      <c r="CM492" s="84"/>
      <c r="CN492" s="84"/>
      <c r="CO492" s="84"/>
      <c r="CP492" s="84"/>
      <c r="CQ492" s="84"/>
      <c r="CR492" s="84"/>
      <c r="CS492" s="84"/>
      <c r="CT492" s="84"/>
      <c r="CU492" s="84"/>
      <c r="CV492" s="84"/>
      <c r="CW492" s="84"/>
      <c r="CX492" s="84"/>
      <c r="CY492" s="84"/>
      <c r="CZ492" s="84"/>
      <c r="DA492" s="84"/>
      <c r="DB492" s="84"/>
      <c r="DC492" s="84"/>
      <c r="DD492" s="84"/>
      <c r="DE492" s="84"/>
      <c r="DF492" s="84"/>
      <c r="DG492" s="84"/>
      <c r="DH492" s="84"/>
      <c r="DI492" s="84"/>
      <c r="DJ492" s="84"/>
      <c r="DK492" s="84"/>
      <c r="DL492" s="84"/>
      <c r="DM492" s="84"/>
      <c r="DN492" s="84"/>
      <c r="DO492" s="84"/>
      <c r="DP492" s="84"/>
      <c r="DQ492" s="84"/>
      <c r="DR492" s="13"/>
      <c r="DS492" s="13"/>
      <c r="DT492" s="13"/>
      <c r="DU492" s="13"/>
      <c r="DV492" s="13"/>
      <c r="DW492" s="13"/>
      <c r="DX492" s="13"/>
      <c r="DY492" s="13"/>
      <c r="DZ492" s="13"/>
      <c r="EA492" s="13"/>
      <c r="EB492" s="13"/>
      <c r="EC492" s="13"/>
      <c r="ED492" s="13"/>
      <c r="EE492" s="13"/>
      <c r="EF492" s="13"/>
      <c r="EG492" s="13"/>
      <c r="EH492" s="13"/>
      <c r="EI492" s="13"/>
      <c r="EJ492" s="13"/>
      <c r="EK492" s="13"/>
      <c r="EL492" s="13"/>
      <c r="EM492" s="13"/>
    </row>
    <row r="493" spans="11:143" ht="12" customHeight="1" x14ac:dyDescent="0.35">
      <c r="K493" s="13"/>
      <c r="L493" s="84" t="s">
        <v>434</v>
      </c>
      <c r="M493" s="106">
        <v>0.2</v>
      </c>
      <c r="N493" s="13"/>
      <c r="O493" s="13"/>
      <c r="P493" s="13"/>
      <c r="Q493" s="13"/>
      <c r="R493" s="61"/>
      <c r="S493" s="13"/>
      <c r="T493" s="61" t="s">
        <v>431</v>
      </c>
      <c r="U493" s="84"/>
      <c r="V493" s="84"/>
      <c r="W493" s="63">
        <f>SUMIF(Input!$J89:$J98,"=Yes",W480:W489)</f>
        <v>0</v>
      </c>
      <c r="X493" s="63">
        <f>SUMIF(Input!$J89:$J98,"=Yes",X480:X489)</f>
        <v>0</v>
      </c>
      <c r="Y493" s="63">
        <f>SUMIF(Input!$J89:$J98,"=Yes",Y480:Y489)</f>
        <v>0</v>
      </c>
      <c r="Z493" s="63">
        <f>SUMIF(Input!$J89:$J98,"=Yes",Z480:Z489)</f>
        <v>0</v>
      </c>
      <c r="AA493" s="63">
        <f>SUMIF(Input!$J89:$J98,"=Yes",AA480:AA489)</f>
        <v>0</v>
      </c>
      <c r="AB493" s="63">
        <f>SUMIF(Input!$J89:$J98,"=Yes",AB480:AB489)</f>
        <v>0</v>
      </c>
      <c r="AC493" s="63">
        <f>SUMIF(Input!$J89:$J98,"=Yes",AC480:AC489)</f>
        <v>0</v>
      </c>
      <c r="AD493" s="63">
        <f>SUMIF(Input!$J89:$J98,"=Yes",AD480:AD489)</f>
        <v>0</v>
      </c>
      <c r="AE493" s="63">
        <f>SUMIF(Input!$J89:$J98,"=Yes",AE480:AE489)</f>
        <v>0</v>
      </c>
      <c r="AF493" s="1139">
        <f>SUMIF(Input!$J89:$J98,"=Yes",AF480:AF489)</f>
        <v>0</v>
      </c>
      <c r="AG493" s="1139">
        <f>SUMIF(Input!$J89:$J98,"=Yes",AG480:AG489)</f>
        <v>0</v>
      </c>
      <c r="AH493" s="1139">
        <f>SUMIF(Input!$J89:$J98,"=Yes",AH480:AH489)</f>
        <v>0</v>
      </c>
      <c r="AI493" s="1139">
        <f>SUMIF(Input!$J89:$J98,"=Yes",AI480:AI489)</f>
        <v>0</v>
      </c>
      <c r="AJ493" s="1139">
        <f>SUMIF(Input!$J89:$J98,"=Yes",AJ480:AJ489)</f>
        <v>0</v>
      </c>
      <c r="AK493" s="1139">
        <f>SUMIF(Input!$J89:$J98,"=Yes",AK480:AK489)</f>
        <v>0</v>
      </c>
      <c r="AL493" s="1139">
        <f>SUMIF(Input!$J89:$J98,"=Yes",AL480:AL489)</f>
        <v>0</v>
      </c>
      <c r="AM493" s="1139">
        <f>SUMIF(Input!$J89:$J98,"=Yes",AM480:AM489)</f>
        <v>0</v>
      </c>
      <c r="AN493" s="1139">
        <f>SUMIF(Input!$J89:$J98,"=Yes",AN480:AN489)</f>
        <v>0</v>
      </c>
      <c r="AO493" s="1139">
        <f>SUMIF(Input!$J89:$J98,"=Yes",AO480:AO489)</f>
        <v>0</v>
      </c>
      <c r="AP493" s="1139">
        <f>SUMIF(Input!$J89:$J98,"=Yes",AP480:AP489)</f>
        <v>0</v>
      </c>
      <c r="AQ493" s="1139">
        <f>SUMIF(Input!$J89:$J98,"=Yes",AQ480:AQ489)</f>
        <v>0</v>
      </c>
      <c r="AR493" s="1139">
        <f>SUMIF(Input!$J89:$J98,"=Yes",AR480:AR489)</f>
        <v>0</v>
      </c>
      <c r="AS493" s="1139">
        <f>SUMIF(Input!$J89:$J98,"=Yes",AS480:AS489)</f>
        <v>0</v>
      </c>
      <c r="AT493" s="1139">
        <f>SUMIF(Input!$J89:$J98,"=Yes",AT480:AT489)</f>
        <v>0</v>
      </c>
      <c r="AU493" s="1139">
        <f>SUMIF(Input!$J89:$J98,"=Yes",AU480:AU489)</f>
        <v>0</v>
      </c>
      <c r="AV493" s="1139">
        <f>SUMIF(Input!$J89:$J98,"=Yes",AV480:AV489)</f>
        <v>0</v>
      </c>
      <c r="AW493" s="1139">
        <f>SUMIF(Input!$J89:$J98,"=Yes",AW480:AW489)</f>
        <v>0</v>
      </c>
      <c r="AX493" s="1139">
        <f>SUMIF(Input!$J89:$J98,"=Yes",AX480:AX489)</f>
        <v>0</v>
      </c>
      <c r="AY493" s="1139">
        <f>SUMIF(Input!$J89:$J98,"=Yes",AY480:AY489)</f>
        <v>0</v>
      </c>
      <c r="AZ493" s="1139">
        <f>SUMIF(Input!$J89:$J98,"=Yes",AZ480:AZ489)</f>
        <v>0</v>
      </c>
      <c r="BA493" s="1139">
        <f>SUMIF(Input!$J89:$J98,"=Yes",BA480:BA489)</f>
        <v>0</v>
      </c>
      <c r="BB493" s="1139">
        <f>SUMIF(Input!$J89:$J98,"=Yes",BB480:BB489)</f>
        <v>0</v>
      </c>
      <c r="BC493" s="1139">
        <f>SUMIF(Input!$J89:$J98,"=Yes",BC480:BC489)</f>
        <v>0</v>
      </c>
      <c r="BD493" s="1139">
        <f>SUMIF(Input!$J89:$J98,"=Yes",BD480:BD489)</f>
        <v>0</v>
      </c>
      <c r="BE493" s="1139">
        <f>SUMIF(Input!$J89:$J98,"=Yes",BE480:BE489)</f>
        <v>0</v>
      </c>
      <c r="BF493" s="1139">
        <f>SUMIF(Input!$J89:$J98,"=Yes",BF480:BF489)</f>
        <v>0</v>
      </c>
      <c r="BG493" s="1139">
        <f>SUMIF(Input!$J89:$J98,"=Yes",BG480:BG489)</f>
        <v>0</v>
      </c>
      <c r="BH493" s="1139">
        <f>SUMIF(Input!$J89:$J98,"=Yes",BH480:BH489)</f>
        <v>0</v>
      </c>
      <c r="BI493" s="1139">
        <f>SUMIF(Input!$J89:$J98,"=Yes",BI480:BI489)</f>
        <v>0</v>
      </c>
      <c r="BJ493" s="1139">
        <f>SUMIF(Input!$J89:$J98,"=Yes",BJ480:BJ489)</f>
        <v>0</v>
      </c>
      <c r="BK493" s="1139">
        <f>SUMIF(Input!$J89:$J98,"=Yes",BK480:BK489)</f>
        <v>0</v>
      </c>
      <c r="BL493" s="1139">
        <f>SUMIF(Input!$J89:$J98,"=Yes",BL480:BL489)</f>
        <v>0</v>
      </c>
      <c r="BM493" s="1139">
        <f>SUMIF(Input!$J89:$J98,"=Yes",BM480:BM489)</f>
        <v>0</v>
      </c>
      <c r="BN493" s="1139">
        <f>SUMIF(Input!$J89:$J98,"=Yes",BN480:BN489)</f>
        <v>0</v>
      </c>
      <c r="BO493" s="1139">
        <f>SUMIF(Input!$J89:$J98,"=Yes",BO480:BO489)</f>
        <v>0</v>
      </c>
      <c r="BP493" s="1139">
        <f>SUMIF(Input!$J89:$J98,"=Yes",BP480:BP489)</f>
        <v>0</v>
      </c>
      <c r="BQ493" s="1139">
        <f>SUMIF(Input!$J89:$J98,"=Yes",BQ480:BQ489)</f>
        <v>0</v>
      </c>
      <c r="BR493" s="1139">
        <f>SUMIF(Input!$J89:$J98,"=Yes",BR480:BR489)</f>
        <v>0</v>
      </c>
      <c r="BS493" s="1139">
        <f>SUMIF(Input!$J89:$J98,"=Yes",BS480:BS489)</f>
        <v>0</v>
      </c>
      <c r="BT493" s="1139">
        <f>SUMIF(Input!$J89:$J98,"=Yes",BT480:BT489)</f>
        <v>0</v>
      </c>
      <c r="BU493" s="1139">
        <f>SUMIF(Input!$J89:$J98,"=Yes",BU480:BU489)</f>
        <v>0</v>
      </c>
      <c r="BV493" s="1139">
        <f>SUMIF(Input!$J89:$J98,"=Yes",BV480:BV489)</f>
        <v>0</v>
      </c>
      <c r="BW493" s="1139">
        <f>SUMIF(Input!$J89:$J98,"=Yes",BW480:BW489)</f>
        <v>0</v>
      </c>
      <c r="BX493" s="1139">
        <f>SUMIF(Input!$J89:$J98,"=Yes",BX480:BX489)</f>
        <v>0</v>
      </c>
      <c r="BY493" s="1139">
        <f>SUMIF(Input!$J89:$J98,"=Yes",BY480:BY489)</f>
        <v>0</v>
      </c>
      <c r="BZ493" s="1139">
        <f>SUMIF(Input!$J89:$J98,"=Yes",BZ480:BZ489)</f>
        <v>0</v>
      </c>
      <c r="CA493" s="1139">
        <f>SUMIF(Input!$J89:$J98,"=Yes",CA480:CA489)</f>
        <v>0</v>
      </c>
      <c r="CB493" s="1139">
        <f>SUMIF(Input!$J89:$J98,"=Yes",CB480:CB489)</f>
        <v>0</v>
      </c>
      <c r="CC493" s="1139">
        <f>SUMIF(Input!$J89:$J98,"=Yes",CC480:CC489)</f>
        <v>0</v>
      </c>
      <c r="CD493" s="1139">
        <f>SUMIF(Input!$J89:$J98,"=Yes",CD480:CD489)</f>
        <v>0</v>
      </c>
      <c r="CE493" s="84"/>
      <c r="CF493" s="84"/>
      <c r="CG493" s="84"/>
      <c r="CH493" s="84"/>
      <c r="CI493" s="84"/>
      <c r="CJ493" s="84"/>
      <c r="CK493" s="84"/>
      <c r="CL493" s="84"/>
      <c r="CM493" s="84"/>
      <c r="CN493" s="84"/>
      <c r="CO493" s="84"/>
      <c r="CP493" s="84"/>
      <c r="CQ493" s="84"/>
      <c r="CR493" s="84"/>
      <c r="CS493" s="84"/>
      <c r="CT493" s="84"/>
      <c r="CU493" s="84"/>
      <c r="CV493" s="84"/>
      <c r="CW493" s="84"/>
      <c r="CX493" s="84"/>
      <c r="CY493" s="84"/>
      <c r="CZ493" s="84"/>
      <c r="DA493" s="84"/>
      <c r="DB493" s="84"/>
      <c r="DC493" s="84"/>
      <c r="DD493" s="84"/>
      <c r="DE493" s="84"/>
      <c r="DF493" s="84"/>
      <c r="DG493" s="84"/>
      <c r="DH493" s="84"/>
      <c r="DI493" s="84"/>
      <c r="DJ493" s="84"/>
      <c r="DK493" s="84"/>
      <c r="DL493" s="84"/>
      <c r="DM493" s="84"/>
      <c r="DN493" s="84"/>
      <c r="DO493" s="84"/>
      <c r="DP493" s="84"/>
      <c r="DQ493" s="84"/>
      <c r="DR493" s="13"/>
      <c r="DS493" s="13"/>
      <c r="DT493" s="13"/>
      <c r="DU493" s="13"/>
      <c r="DV493" s="13"/>
      <c r="DW493" s="13"/>
      <c r="DX493" s="13"/>
      <c r="DY493" s="13"/>
      <c r="DZ493" s="13"/>
      <c r="EA493" s="13"/>
      <c r="EB493" s="13"/>
      <c r="EC493" s="13"/>
      <c r="ED493" s="13"/>
      <c r="EE493" s="13"/>
      <c r="EF493" s="13"/>
      <c r="EG493" s="13"/>
      <c r="EH493" s="13"/>
      <c r="EI493" s="13"/>
      <c r="EJ493" s="13"/>
      <c r="EK493" s="13"/>
      <c r="EL493" s="13"/>
      <c r="EM493" s="13"/>
    </row>
    <row r="494" spans="11:143" ht="12" customHeight="1" thickBot="1" x14ac:dyDescent="0.4">
      <c r="K494" s="13"/>
      <c r="L494" s="84" t="s">
        <v>435</v>
      </c>
      <c r="M494" s="105">
        <v>4500</v>
      </c>
      <c r="N494" s="13"/>
      <c r="O494" s="13"/>
      <c r="P494" s="13"/>
      <c r="Q494" s="13"/>
      <c r="R494" s="61"/>
      <c r="S494" s="13"/>
      <c r="T494" s="13"/>
      <c r="U494" s="13"/>
      <c r="V494" s="13"/>
      <c r="W494" s="13"/>
      <c r="X494" s="102"/>
      <c r="Y494" s="102"/>
      <c r="Z494" s="102"/>
      <c r="AA494" s="102"/>
      <c r="AB494" s="102"/>
      <c r="AC494" s="102"/>
      <c r="AD494" s="102"/>
      <c r="AE494" s="102"/>
      <c r="AF494" s="1140"/>
      <c r="AG494" s="1140"/>
      <c r="AH494" s="1140"/>
      <c r="AI494" s="1140"/>
      <c r="AJ494" s="1140"/>
      <c r="AK494" s="1140"/>
      <c r="AL494" s="1140"/>
      <c r="AM494" s="1140"/>
      <c r="AN494" s="1140"/>
      <c r="AO494" s="1140"/>
      <c r="AP494" s="1140"/>
      <c r="AQ494" s="1140"/>
      <c r="AR494" s="1140"/>
      <c r="AS494" s="1140"/>
      <c r="AT494" s="1140"/>
      <c r="AU494" s="1140"/>
      <c r="AV494" s="1140"/>
      <c r="AW494" s="1140"/>
      <c r="AX494" s="1140"/>
      <c r="AY494" s="1140"/>
      <c r="AZ494" s="1140"/>
      <c r="BA494" s="1140"/>
      <c r="BB494" s="1140"/>
      <c r="BC494" s="1140"/>
      <c r="BD494" s="1140"/>
      <c r="BE494" s="1140"/>
      <c r="BF494" s="1140"/>
      <c r="BG494" s="1140"/>
      <c r="BH494" s="1140"/>
      <c r="BI494" s="1140"/>
      <c r="BJ494" s="1140"/>
      <c r="BK494" s="1140"/>
      <c r="BL494" s="1140"/>
      <c r="BM494" s="1140"/>
      <c r="BN494" s="1140"/>
      <c r="BO494" s="1140"/>
      <c r="BP494" s="1140"/>
      <c r="BQ494" s="1140"/>
      <c r="BR494" s="1140"/>
      <c r="BS494" s="1140"/>
      <c r="BT494" s="1140"/>
      <c r="BU494" s="1140"/>
      <c r="BV494" s="1140"/>
      <c r="BW494" s="1140"/>
      <c r="BX494" s="1140"/>
      <c r="BY494" s="1140"/>
      <c r="BZ494" s="1140"/>
      <c r="CA494" s="1140"/>
      <c r="CB494" s="1140"/>
      <c r="CC494" s="1140"/>
      <c r="CD494" s="1140"/>
      <c r="CE494" s="1140"/>
      <c r="CF494" s="1140"/>
      <c r="CG494" s="1140"/>
      <c r="CH494" s="1140"/>
      <c r="CI494" s="1140"/>
      <c r="CJ494" s="84"/>
      <c r="CK494" s="84"/>
      <c r="CL494" s="84"/>
      <c r="CM494" s="84"/>
      <c r="CN494" s="84"/>
      <c r="CO494" s="84"/>
      <c r="CP494" s="84"/>
      <c r="CQ494" s="84"/>
      <c r="CR494" s="84"/>
      <c r="CS494" s="84"/>
      <c r="CT494" s="84"/>
      <c r="CU494" s="84"/>
      <c r="CV494" s="84"/>
      <c r="CW494" s="84"/>
      <c r="CX494" s="84"/>
      <c r="CY494" s="84"/>
      <c r="CZ494" s="84"/>
      <c r="DA494" s="84"/>
      <c r="DB494" s="84"/>
      <c r="DC494" s="84"/>
      <c r="DD494" s="84"/>
      <c r="DE494" s="84"/>
      <c r="DF494" s="84"/>
      <c r="DG494" s="84"/>
      <c r="DH494" s="84"/>
      <c r="DI494" s="84"/>
      <c r="DJ494" s="84"/>
      <c r="DK494" s="84"/>
      <c r="DL494" s="84"/>
      <c r="DM494" s="84"/>
      <c r="DN494" s="84"/>
      <c r="DO494" s="84"/>
      <c r="DP494" s="84"/>
      <c r="DQ494" s="84"/>
      <c r="DR494" s="13"/>
      <c r="DS494" s="13"/>
      <c r="DT494" s="13"/>
      <c r="DU494" s="13"/>
      <c r="DV494" s="13"/>
      <c r="DW494" s="13"/>
      <c r="DX494" s="13"/>
      <c r="DY494" s="13"/>
      <c r="DZ494" s="13"/>
      <c r="EA494" s="13"/>
      <c r="EB494" s="13"/>
      <c r="EC494" s="13"/>
      <c r="ED494" s="13"/>
      <c r="EE494" s="13"/>
      <c r="EF494" s="13"/>
      <c r="EG494" s="13"/>
      <c r="EH494" s="13"/>
      <c r="EI494" s="13"/>
      <c r="EJ494" s="13"/>
      <c r="EK494" s="13"/>
      <c r="EL494" s="13"/>
      <c r="EM494" s="13"/>
    </row>
    <row r="495" spans="11:143" ht="12" customHeight="1" thickBot="1" x14ac:dyDescent="0.4">
      <c r="K495" s="13"/>
      <c r="L495" s="13"/>
      <c r="M495" s="13"/>
      <c r="N495" s="13"/>
      <c r="O495" s="13"/>
      <c r="P495" s="13"/>
      <c r="Q495" s="13"/>
      <c r="R495" s="61"/>
      <c r="S495" s="13"/>
      <c r="T495" s="13"/>
      <c r="U495" s="13"/>
      <c r="V495" s="13"/>
      <c r="W495" s="13"/>
      <c r="X495" s="102"/>
      <c r="Y495" s="102"/>
      <c r="Z495" s="102"/>
      <c r="AA495" s="102"/>
      <c r="AB495" s="102"/>
      <c r="AC495" s="102"/>
      <c r="AD495" s="102"/>
      <c r="AE495" s="102"/>
      <c r="AF495" s="1140"/>
      <c r="AG495" s="1140"/>
      <c r="AH495" s="1140"/>
      <c r="AI495" s="1140"/>
      <c r="AJ495" s="1140"/>
      <c r="AK495" s="1140"/>
      <c r="AL495" s="1140"/>
      <c r="AM495" s="1140"/>
      <c r="AN495" s="1140"/>
      <c r="AO495" s="1140"/>
      <c r="AP495" s="1140"/>
      <c r="AQ495" s="1140"/>
      <c r="AR495" s="1140"/>
      <c r="AS495" s="1140"/>
      <c r="AT495" s="1140"/>
      <c r="AU495" s="1140"/>
      <c r="AV495" s="1140"/>
      <c r="AW495" s="1140"/>
      <c r="AX495" s="1140"/>
      <c r="AY495" s="1140"/>
      <c r="AZ495" s="1140"/>
      <c r="BA495" s="1140"/>
      <c r="BB495" s="1140"/>
      <c r="BC495" s="1140"/>
      <c r="BD495" s="1140"/>
      <c r="BE495" s="1140"/>
      <c r="BF495" s="1140"/>
      <c r="BG495" s="1140"/>
      <c r="BH495" s="1140"/>
      <c r="BI495" s="1140"/>
      <c r="BJ495" s="1140"/>
      <c r="BK495" s="1140"/>
      <c r="BL495" s="1140"/>
      <c r="BM495" s="1140"/>
      <c r="BN495" s="1140"/>
      <c r="BO495" s="1140"/>
      <c r="BP495" s="1140"/>
      <c r="BQ495" s="1140"/>
      <c r="BR495" s="1140"/>
      <c r="BS495" s="1140"/>
      <c r="BT495" s="1140"/>
      <c r="BU495" s="1140"/>
      <c r="BV495" s="1140"/>
      <c r="BW495" s="1140"/>
      <c r="BX495" s="1140"/>
      <c r="BY495" s="1140"/>
      <c r="BZ495" s="1140"/>
      <c r="CA495" s="1140"/>
      <c r="CB495" s="1140"/>
      <c r="CC495" s="1140"/>
      <c r="CD495" s="1140"/>
      <c r="CE495" s="1171"/>
      <c r="CF495" s="1171"/>
      <c r="CG495" s="1171"/>
      <c r="CH495" s="1171"/>
      <c r="CI495" s="1171"/>
      <c r="CJ495" s="1183"/>
      <c r="CK495" s="1183"/>
      <c r="CL495" s="1183"/>
      <c r="CM495" s="1183"/>
      <c r="CN495" s="1183"/>
      <c r="CO495" s="1183"/>
      <c r="CP495" s="1183"/>
      <c r="CQ495" s="1301"/>
      <c r="CR495" s="1301"/>
      <c r="CS495" s="1301"/>
      <c r="CT495" s="1301"/>
      <c r="CU495" s="1301"/>
      <c r="CV495" s="1301"/>
      <c r="CW495" s="1301"/>
      <c r="CX495" s="1301"/>
      <c r="CY495" s="1301"/>
      <c r="CZ495" s="1301"/>
      <c r="DA495" s="1301"/>
      <c r="DB495" s="1301"/>
      <c r="DC495" s="1301"/>
      <c r="DD495" s="1301"/>
      <c r="DE495" s="1301"/>
      <c r="DF495" s="1301"/>
      <c r="DG495" s="1301"/>
      <c r="DH495" s="1301"/>
      <c r="DI495" s="1301"/>
      <c r="DJ495" s="1301"/>
      <c r="DK495" s="1301"/>
      <c r="DL495" s="1301"/>
      <c r="DM495" s="1301"/>
      <c r="DN495" s="1301"/>
      <c r="DO495" s="1301"/>
      <c r="DP495" s="1301"/>
      <c r="DQ495" s="1301"/>
      <c r="DR495" s="1300"/>
      <c r="DS495" s="1300"/>
      <c r="DT495" s="1300"/>
      <c r="DU495" s="1300"/>
      <c r="DV495" s="1300"/>
      <c r="DW495" s="1300"/>
      <c r="DX495" s="1300"/>
      <c r="DY495" s="1300"/>
      <c r="DZ495" s="1300"/>
      <c r="EA495" s="1300"/>
      <c r="EB495" s="1300"/>
      <c r="EC495" s="1300"/>
      <c r="ED495" s="1300"/>
      <c r="EE495" s="1300"/>
      <c r="EF495" s="1300"/>
      <c r="EG495" s="1300"/>
      <c r="EH495" s="1300"/>
      <c r="EI495" s="1300"/>
      <c r="EJ495" s="1300"/>
      <c r="EK495" s="1300"/>
      <c r="EL495" s="1300"/>
      <c r="EM495" s="1300"/>
    </row>
    <row r="496" spans="11:143" ht="12" customHeight="1" thickBot="1" x14ac:dyDescent="0.4">
      <c r="K496" s="13"/>
      <c r="L496" s="42" t="s">
        <v>150</v>
      </c>
      <c r="M496" s="13"/>
      <c r="N496" s="13"/>
      <c r="O496" s="13"/>
      <c r="P496" s="13"/>
      <c r="Q496" s="64">
        <v>4.4999999999999998E-2</v>
      </c>
      <c r="R496" s="65">
        <f>O569</f>
        <v>0.08</v>
      </c>
      <c r="S496" s="66">
        <v>0.05</v>
      </c>
      <c r="T496" s="13"/>
      <c r="U496" s="13"/>
      <c r="V496" s="13"/>
      <c r="W496" s="102">
        <v>1</v>
      </c>
      <c r="X496" s="102">
        <v>2</v>
      </c>
      <c r="Y496" s="102">
        <v>3</v>
      </c>
      <c r="Z496" s="102">
        <v>4</v>
      </c>
      <c r="AA496" s="102">
        <v>5</v>
      </c>
      <c r="AB496" s="102">
        <v>6</v>
      </c>
      <c r="AC496" s="102">
        <v>7</v>
      </c>
      <c r="AD496" s="102">
        <v>8</v>
      </c>
      <c r="AE496" s="102">
        <v>9</v>
      </c>
      <c r="AF496" s="1140">
        <v>10</v>
      </c>
      <c r="AG496" s="1140">
        <v>11</v>
      </c>
      <c r="AH496" s="1140">
        <v>12</v>
      </c>
      <c r="AI496" s="1140">
        <v>13</v>
      </c>
      <c r="AJ496" s="1140">
        <v>14</v>
      </c>
      <c r="AK496" s="1140">
        <v>15</v>
      </c>
      <c r="AL496" s="1140">
        <v>16</v>
      </c>
      <c r="AM496" s="1140">
        <v>17</v>
      </c>
      <c r="AN496" s="1140">
        <v>18</v>
      </c>
      <c r="AO496" s="1140">
        <v>19</v>
      </c>
      <c r="AP496" s="1140">
        <v>20</v>
      </c>
      <c r="AQ496" s="1140">
        <v>21</v>
      </c>
      <c r="AR496" s="1140">
        <v>22</v>
      </c>
      <c r="AS496" s="1140">
        <v>23</v>
      </c>
      <c r="AT496" s="1140">
        <v>24</v>
      </c>
      <c r="AU496" s="1140">
        <v>25</v>
      </c>
      <c r="AV496" s="1140">
        <v>26</v>
      </c>
      <c r="AW496" s="1140">
        <v>27</v>
      </c>
      <c r="AX496" s="1140">
        <v>28</v>
      </c>
      <c r="AY496" s="1140">
        <v>29</v>
      </c>
      <c r="AZ496" s="1140">
        <v>30</v>
      </c>
      <c r="BA496" s="1140">
        <v>31</v>
      </c>
      <c r="BB496" s="1140">
        <v>32</v>
      </c>
      <c r="BC496" s="1140">
        <v>33</v>
      </c>
      <c r="BD496" s="1140">
        <v>34</v>
      </c>
      <c r="BE496" s="1140">
        <v>35</v>
      </c>
      <c r="BF496" s="1140">
        <v>36</v>
      </c>
      <c r="BG496" s="1140">
        <v>37</v>
      </c>
      <c r="BH496" s="1140">
        <v>38</v>
      </c>
      <c r="BI496" s="1140">
        <v>39</v>
      </c>
      <c r="BJ496" s="1140">
        <v>40</v>
      </c>
      <c r="BK496" s="1140">
        <v>41</v>
      </c>
      <c r="BL496" s="1140">
        <v>42</v>
      </c>
      <c r="BM496" s="1140">
        <v>43</v>
      </c>
      <c r="BN496" s="1140">
        <v>44</v>
      </c>
      <c r="BO496" s="1140">
        <v>45</v>
      </c>
      <c r="BP496" s="1140">
        <v>46</v>
      </c>
      <c r="BQ496" s="1140">
        <v>47</v>
      </c>
      <c r="BR496" s="1140">
        <v>48</v>
      </c>
      <c r="BS496" s="1140">
        <v>49</v>
      </c>
      <c r="BT496" s="1140">
        <v>50</v>
      </c>
      <c r="BU496" s="1140">
        <v>51</v>
      </c>
      <c r="BV496" s="1140">
        <v>52</v>
      </c>
      <c r="BW496" s="1140">
        <v>53</v>
      </c>
      <c r="BX496" s="1140">
        <v>54</v>
      </c>
      <c r="BY496" s="1140">
        <v>55</v>
      </c>
      <c r="BZ496" s="1140">
        <v>56</v>
      </c>
      <c r="CA496" s="1140">
        <v>57</v>
      </c>
      <c r="CB496" s="1140">
        <v>58</v>
      </c>
      <c r="CC496" s="1140">
        <v>59</v>
      </c>
      <c r="CD496" s="1140">
        <v>60</v>
      </c>
      <c r="CE496" s="1171"/>
      <c r="CF496" s="1171"/>
      <c r="CG496" s="1171"/>
      <c r="CH496" s="1171"/>
      <c r="CI496" s="1171"/>
      <c r="CJ496" s="1183"/>
      <c r="CK496" s="1183"/>
      <c r="CL496" s="1183"/>
      <c r="CM496" s="1183"/>
      <c r="CN496" s="1183"/>
      <c r="CO496" s="1183"/>
      <c r="CP496" s="1183"/>
      <c r="CQ496" s="1301"/>
      <c r="CR496" s="1301"/>
      <c r="CS496" s="1301"/>
      <c r="CT496" s="1301"/>
      <c r="CU496" s="1301"/>
      <c r="CV496" s="1301"/>
      <c r="CW496" s="1301"/>
      <c r="CX496" s="1301"/>
      <c r="CY496" s="1301"/>
      <c r="CZ496" s="1301"/>
      <c r="DA496" s="1301"/>
      <c r="DB496" s="1301"/>
      <c r="DC496" s="1301"/>
      <c r="DD496" s="1301"/>
      <c r="DE496" s="1301"/>
      <c r="DF496" s="1301"/>
      <c r="DG496" s="1301"/>
      <c r="DH496" s="1301"/>
      <c r="DI496" s="1301"/>
      <c r="DJ496" s="1301"/>
      <c r="DK496" s="1301"/>
      <c r="DL496" s="1301"/>
      <c r="DM496" s="1301"/>
      <c r="DN496" s="1301"/>
      <c r="DO496" s="1301"/>
      <c r="DP496" s="1301"/>
      <c r="DQ496" s="1301"/>
      <c r="DR496" s="1300"/>
      <c r="DS496" s="1300"/>
      <c r="DT496" s="1300"/>
      <c r="DU496" s="1300"/>
      <c r="DV496" s="1300"/>
      <c r="DW496" s="1300"/>
      <c r="DX496" s="1300"/>
      <c r="DY496" s="1300"/>
      <c r="DZ496" s="1300"/>
      <c r="EA496" s="1300"/>
      <c r="EB496" s="1300"/>
      <c r="EC496" s="1300"/>
      <c r="ED496" s="1300"/>
      <c r="EE496" s="1300"/>
      <c r="EF496" s="1300"/>
      <c r="EG496" s="1300"/>
      <c r="EH496" s="1300"/>
      <c r="EI496" s="1300"/>
      <c r="EJ496" s="1300"/>
      <c r="EK496" s="1300"/>
      <c r="EL496" s="1300"/>
      <c r="EM496" s="1300"/>
    </row>
    <row r="497" spans="11:87" ht="12" customHeight="1" x14ac:dyDescent="0.35">
      <c r="K497" s="13"/>
      <c r="L497" s="13"/>
      <c r="M497" s="13"/>
      <c r="N497" s="68" t="s">
        <v>137</v>
      </c>
      <c r="O497" s="68" t="s">
        <v>138</v>
      </c>
      <c r="P497" s="13"/>
      <c r="Q497" s="13"/>
      <c r="R497" s="13"/>
      <c r="S497" s="13"/>
      <c r="T497" s="13"/>
      <c r="U497" s="13"/>
      <c r="V497" s="13"/>
      <c r="W497" s="13"/>
      <c r="X497" s="102"/>
      <c r="Y497" s="102"/>
      <c r="Z497" s="102"/>
      <c r="AA497" s="102"/>
      <c r="AB497" s="102"/>
      <c r="AC497" s="102"/>
      <c r="AD497" s="102"/>
      <c r="AE497" s="102"/>
      <c r="AF497" s="1140"/>
      <c r="AG497" s="1140"/>
      <c r="AH497" s="1140"/>
      <c r="AI497" s="1140"/>
      <c r="AJ497" s="1140"/>
      <c r="AK497" s="1140"/>
      <c r="AL497" s="1140"/>
      <c r="AM497" s="1140"/>
      <c r="AN497" s="1140"/>
      <c r="AO497" s="1140"/>
      <c r="AP497" s="1140"/>
      <c r="AQ497" s="1140"/>
      <c r="AR497" s="1140"/>
      <c r="AS497" s="1140"/>
      <c r="AT497" s="1140"/>
      <c r="AU497" s="1140"/>
      <c r="AV497" s="1140"/>
      <c r="AW497" s="1140"/>
      <c r="AX497" s="1140"/>
      <c r="AY497" s="1140"/>
      <c r="AZ497" s="1140"/>
      <c r="BA497" s="1140"/>
      <c r="BB497" s="1140"/>
      <c r="BC497" s="1140"/>
      <c r="BD497" s="1140"/>
      <c r="BE497" s="1140"/>
      <c r="BF497" s="1140"/>
      <c r="BG497" s="1140"/>
      <c r="BH497" s="1140"/>
      <c r="BI497" s="1140"/>
      <c r="BJ497" s="1140"/>
      <c r="BK497" s="1140"/>
      <c r="BL497" s="1140"/>
      <c r="BM497" s="1140"/>
      <c r="BN497" s="1140"/>
      <c r="BO497" s="1140"/>
      <c r="BP497" s="1140"/>
      <c r="BQ497" s="1140"/>
      <c r="BR497" s="1140"/>
      <c r="BS497" s="1140"/>
      <c r="BT497" s="1140"/>
      <c r="BU497" s="1140"/>
      <c r="BV497" s="1140"/>
      <c r="BW497" s="1140"/>
      <c r="BX497" s="1140"/>
      <c r="BY497" s="1140"/>
      <c r="BZ497" s="1140"/>
      <c r="CA497" s="1140"/>
      <c r="CB497" s="1140"/>
      <c r="CC497" s="1140"/>
      <c r="CD497" s="1140"/>
      <c r="CE497" s="1171"/>
      <c r="CF497" s="1171"/>
      <c r="CG497" s="1171"/>
      <c r="CH497" s="1171"/>
      <c r="CI497" s="1171"/>
    </row>
    <row r="498" spans="11:87" ht="12" customHeight="1" thickBot="1" x14ac:dyDescent="0.4">
      <c r="K498" s="13"/>
      <c r="L498" s="42" t="s">
        <v>432</v>
      </c>
      <c r="M498" s="61" t="s">
        <v>227</v>
      </c>
      <c r="N498" s="61" t="s">
        <v>165</v>
      </c>
      <c r="O498" s="61" t="s">
        <v>165</v>
      </c>
      <c r="P498" s="61" t="s">
        <v>436</v>
      </c>
      <c r="Q498" s="61" t="s">
        <v>146</v>
      </c>
      <c r="R498" s="61" t="s">
        <v>437</v>
      </c>
      <c r="S498" s="61" t="s">
        <v>152</v>
      </c>
      <c r="T498" s="13"/>
      <c r="U498" s="13"/>
      <c r="V498" s="13"/>
      <c r="W498" s="13"/>
      <c r="X498" s="102"/>
      <c r="Y498" s="102"/>
      <c r="Z498" s="102"/>
      <c r="AA498" s="102"/>
      <c r="AB498" s="102"/>
      <c r="AC498" s="102"/>
      <c r="AD498" s="102"/>
      <c r="AE498" s="102"/>
      <c r="AF498" s="1140"/>
      <c r="AG498" s="1140"/>
      <c r="AH498" s="1140"/>
      <c r="AI498" s="1140"/>
      <c r="AJ498" s="1140"/>
      <c r="AK498" s="1140"/>
      <c r="AL498" s="1140"/>
      <c r="AM498" s="1140"/>
      <c r="AN498" s="1140"/>
      <c r="AO498" s="1140"/>
      <c r="AP498" s="1140"/>
      <c r="AQ498" s="1140"/>
      <c r="AR498" s="1140"/>
      <c r="AS498" s="1140"/>
      <c r="AT498" s="1140"/>
      <c r="AU498" s="1140"/>
      <c r="AV498" s="1140"/>
      <c r="AW498" s="1140"/>
      <c r="AX498" s="1140"/>
      <c r="AY498" s="1140"/>
      <c r="AZ498" s="1140"/>
      <c r="BA498" s="1140"/>
      <c r="BB498" s="1140"/>
      <c r="BC498" s="1140"/>
      <c r="BD498" s="1140"/>
      <c r="BE498" s="1140"/>
      <c r="BF498" s="1140"/>
      <c r="BG498" s="1140"/>
      <c r="BH498" s="1140"/>
      <c r="BI498" s="1140"/>
      <c r="BJ498" s="1140"/>
      <c r="BK498" s="1140"/>
      <c r="BL498" s="1140"/>
      <c r="BM498" s="1140"/>
      <c r="BN498" s="1140"/>
      <c r="BO498" s="1140"/>
      <c r="BP498" s="1140"/>
      <c r="BQ498" s="1140"/>
      <c r="BR498" s="1140"/>
      <c r="BS498" s="1140"/>
      <c r="BT498" s="1140"/>
      <c r="BU498" s="1140"/>
      <c r="BV498" s="1140"/>
      <c r="BW498" s="1140"/>
      <c r="BX498" s="1140"/>
      <c r="BY498" s="1140"/>
      <c r="BZ498" s="1140"/>
      <c r="CA498" s="1140"/>
      <c r="CB498" s="1140"/>
      <c r="CC498" s="1140"/>
      <c r="CD498" s="1140"/>
      <c r="CE498" s="1171"/>
      <c r="CF498" s="1171"/>
      <c r="CG498" s="1171"/>
      <c r="CH498" s="1171"/>
      <c r="CI498" s="1171"/>
    </row>
    <row r="499" spans="11:87" ht="12" customHeight="1" x14ac:dyDescent="0.35">
      <c r="K499" s="13">
        <v>1</v>
      </c>
      <c r="L499" s="410">
        <f>Input!D108</f>
        <v>0</v>
      </c>
      <c r="M499" s="411">
        <f>IF(Input!$F$107&gt;=K499,Input!G108,0)</f>
        <v>0</v>
      </c>
      <c r="N499" s="1057">
        <f>Input!H108</f>
        <v>0</v>
      </c>
      <c r="O499" s="1057">
        <f>Input!I108</f>
        <v>0</v>
      </c>
      <c r="P499" s="412">
        <f>Input!J108</f>
        <v>0</v>
      </c>
      <c r="Q499" s="413">
        <f>Input!L108</f>
        <v>0</v>
      </c>
      <c r="R499" s="413">
        <f>Input!K108</f>
        <v>0</v>
      </c>
      <c r="S499" s="414">
        <f>Input!M108</f>
        <v>0</v>
      </c>
      <c r="T499" s="13"/>
      <c r="U499" s="13">
        <f>IFERROR(IF(N499&lt;&gt;0,VLOOKUP(N499,Calcs!$B$278:$C$337,2,FALSE),0),0)</f>
        <v>0</v>
      </c>
      <c r="V499" s="13">
        <f>IFERROR(IF(O499&lt;&gt;0,VLOOKUP(O499,Calcs!$B$278:$C$337,2,FALSE),0),0)</f>
        <v>0</v>
      </c>
      <c r="W499" s="13">
        <f>Input!P108</f>
        <v>0</v>
      </c>
      <c r="X499" s="13">
        <f>Input!Q108</f>
        <v>0</v>
      </c>
      <c r="Y499" s="13">
        <f>Input!R108</f>
        <v>0</v>
      </c>
      <c r="Z499" s="13">
        <f>Input!S108</f>
        <v>0</v>
      </c>
      <c r="AA499" s="13">
        <f>Input!T108</f>
        <v>0</v>
      </c>
      <c r="AB499" s="13">
        <f>Input!U108</f>
        <v>0</v>
      </c>
      <c r="AC499" s="13">
        <f>Input!V108</f>
        <v>0</v>
      </c>
      <c r="AD499" s="13">
        <f>Input!W108</f>
        <v>0</v>
      </c>
      <c r="AE499" s="13">
        <f>Input!X108</f>
        <v>0</v>
      </c>
      <c r="AF499" s="84">
        <f>Input!Y108</f>
        <v>0</v>
      </c>
      <c r="AG499" s="84">
        <f>Input!Z108</f>
        <v>0</v>
      </c>
      <c r="AH499" s="84">
        <f>Input!AA108</f>
        <v>0</v>
      </c>
      <c r="AI499" s="84">
        <f>Input!AB108</f>
        <v>0</v>
      </c>
      <c r="AJ499" s="84">
        <f>Input!AC108</f>
        <v>0</v>
      </c>
      <c r="AK499" s="84">
        <f>Input!AD108</f>
        <v>0</v>
      </c>
      <c r="AL499" s="84">
        <f>Input!AE108</f>
        <v>0</v>
      </c>
      <c r="AM499" s="84">
        <f>Input!AF108</f>
        <v>0</v>
      </c>
      <c r="AN499" s="84">
        <f>Input!AG108</f>
        <v>0</v>
      </c>
      <c r="AO499" s="84">
        <f>Input!AH108</f>
        <v>0</v>
      </c>
      <c r="AP499" s="84">
        <f>Input!AI108</f>
        <v>0</v>
      </c>
      <c r="AQ499" s="84">
        <f>Input!AJ108</f>
        <v>0</v>
      </c>
      <c r="AR499" s="84">
        <f>Input!AK108</f>
        <v>0</v>
      </c>
      <c r="AS499" s="84">
        <f>Input!AL108</f>
        <v>0</v>
      </c>
      <c r="AT499" s="84">
        <f>Input!AM108</f>
        <v>0</v>
      </c>
      <c r="AU499" s="84">
        <f>Input!AN108</f>
        <v>0</v>
      </c>
      <c r="AV499" s="84">
        <f>Input!AO108</f>
        <v>0</v>
      </c>
      <c r="AW499" s="84">
        <f>Input!AP108</f>
        <v>0</v>
      </c>
      <c r="AX499" s="84">
        <f>Input!AQ108</f>
        <v>0</v>
      </c>
      <c r="AY499" s="84">
        <f>Input!AR108</f>
        <v>0</v>
      </c>
      <c r="AZ499" s="84">
        <f>Input!AS108</f>
        <v>0</v>
      </c>
      <c r="BA499" s="84">
        <f>Input!AT108</f>
        <v>0</v>
      </c>
      <c r="BB499" s="84">
        <f>Input!AU108</f>
        <v>0</v>
      </c>
      <c r="BC499" s="84">
        <f>Input!AV108</f>
        <v>0</v>
      </c>
      <c r="BD499" s="84">
        <f>Input!AW108</f>
        <v>0</v>
      </c>
      <c r="BE499" s="84">
        <f>Input!AX108</f>
        <v>0</v>
      </c>
      <c r="BF499" s="84">
        <f>Input!AY108</f>
        <v>0</v>
      </c>
      <c r="BG499" s="84">
        <f>Input!AZ108</f>
        <v>0</v>
      </c>
      <c r="BH499" s="84">
        <f>Input!BA108</f>
        <v>0</v>
      </c>
      <c r="BI499" s="84">
        <f>Input!BB108</f>
        <v>0</v>
      </c>
      <c r="BJ499" s="84">
        <f>Input!BC108</f>
        <v>0</v>
      </c>
      <c r="BK499" s="84">
        <f>Input!BD108</f>
        <v>0</v>
      </c>
      <c r="BL499" s="84">
        <f>Input!BE108</f>
        <v>0</v>
      </c>
      <c r="BM499" s="84">
        <f>Input!BF108</f>
        <v>0</v>
      </c>
      <c r="BN499" s="84">
        <f>Input!BG108</f>
        <v>0</v>
      </c>
      <c r="BO499" s="84">
        <f>Input!BH108</f>
        <v>0</v>
      </c>
      <c r="BP499" s="84">
        <f>Input!BI108</f>
        <v>0</v>
      </c>
      <c r="BQ499" s="84">
        <f>Input!BJ108</f>
        <v>0</v>
      </c>
      <c r="BR499" s="84">
        <f>Input!BK108</f>
        <v>0</v>
      </c>
      <c r="BS499" s="84">
        <f>Input!BL108</f>
        <v>0</v>
      </c>
      <c r="BT499" s="84">
        <f>Input!BM108</f>
        <v>0</v>
      </c>
      <c r="BU499" s="84">
        <f>Input!BN108</f>
        <v>0</v>
      </c>
      <c r="BV499" s="84">
        <f>Input!BO108</f>
        <v>0</v>
      </c>
      <c r="BW499" s="84">
        <f>Input!BP108</f>
        <v>0</v>
      </c>
      <c r="BX499" s="84">
        <f>Input!BQ108</f>
        <v>0</v>
      </c>
      <c r="BY499" s="84">
        <f>Input!BR108</f>
        <v>0</v>
      </c>
      <c r="BZ499" s="84">
        <f>Input!BS108</f>
        <v>0</v>
      </c>
      <c r="CA499" s="84">
        <f>Input!BT108</f>
        <v>0</v>
      </c>
      <c r="CB499" s="84">
        <f>Input!BU108</f>
        <v>0</v>
      </c>
      <c r="CC499" s="84">
        <f>Input!BV108</f>
        <v>0</v>
      </c>
      <c r="CD499" s="84">
        <f>Input!BW108</f>
        <v>0</v>
      </c>
      <c r="CE499" s="1171"/>
      <c r="CF499" s="1171"/>
      <c r="CG499" s="1171"/>
      <c r="CH499" s="1171"/>
      <c r="CI499" s="1171"/>
    </row>
    <row r="500" spans="11:87" ht="12" customHeight="1" x14ac:dyDescent="0.35">
      <c r="K500" s="13">
        <v>2</v>
      </c>
      <c r="L500" s="415">
        <f>Input!D109</f>
        <v>0</v>
      </c>
      <c r="M500" s="416">
        <f>IF(Input!$F$107&gt;=K500,Input!G109,0)</f>
        <v>0</v>
      </c>
      <c r="N500" s="1058">
        <f>Input!H109</f>
        <v>0</v>
      </c>
      <c r="O500" s="1058">
        <f>Input!I109</f>
        <v>0</v>
      </c>
      <c r="P500" s="417">
        <f>Input!J109</f>
        <v>0</v>
      </c>
      <c r="Q500" s="418">
        <f>Input!L109</f>
        <v>0</v>
      </c>
      <c r="R500" s="418">
        <f>Input!K109</f>
        <v>0</v>
      </c>
      <c r="S500" s="419">
        <f>Input!M109</f>
        <v>0</v>
      </c>
      <c r="T500" s="13"/>
      <c r="U500" s="13">
        <f>IFERROR(IF(N500&lt;&gt;0,VLOOKUP(N500,Calcs!$B$278:$C$337,2,FALSE),0),0)</f>
        <v>0</v>
      </c>
      <c r="V500" s="13">
        <f>IFERROR(IF(O500&lt;&gt;0,VLOOKUP(O500,Calcs!$B$278:$C$337,2,FALSE),0),0)</f>
        <v>0</v>
      </c>
      <c r="W500" s="13">
        <f>Input!P109</f>
        <v>0</v>
      </c>
      <c r="X500" s="13">
        <f>Input!Q109</f>
        <v>0</v>
      </c>
      <c r="Y500" s="13">
        <f>Input!R109</f>
        <v>0</v>
      </c>
      <c r="Z500" s="13">
        <f>Input!S109</f>
        <v>0</v>
      </c>
      <c r="AA500" s="13">
        <f>Input!T109</f>
        <v>0</v>
      </c>
      <c r="AB500" s="13">
        <f>Input!U109</f>
        <v>0</v>
      </c>
      <c r="AC500" s="13">
        <f>Input!V109</f>
        <v>0</v>
      </c>
      <c r="AD500" s="13">
        <f>Input!W109</f>
        <v>0</v>
      </c>
      <c r="AE500" s="13">
        <f>Input!X109</f>
        <v>0</v>
      </c>
      <c r="AF500" s="84">
        <f>Input!Y109</f>
        <v>0</v>
      </c>
      <c r="AG500" s="84">
        <f>Input!Z109</f>
        <v>0</v>
      </c>
      <c r="AH500" s="84">
        <f>Input!AA109</f>
        <v>0</v>
      </c>
      <c r="AI500" s="84">
        <f>Input!AB109</f>
        <v>0</v>
      </c>
      <c r="AJ500" s="84">
        <f>Input!AC109</f>
        <v>0</v>
      </c>
      <c r="AK500" s="84">
        <f>Input!AD109</f>
        <v>0</v>
      </c>
      <c r="AL500" s="84">
        <f>Input!AE109</f>
        <v>0</v>
      </c>
      <c r="AM500" s="84">
        <f>Input!AF109</f>
        <v>0</v>
      </c>
      <c r="AN500" s="84">
        <f>Input!AG109</f>
        <v>0</v>
      </c>
      <c r="AO500" s="84">
        <f>Input!AH109</f>
        <v>0</v>
      </c>
      <c r="AP500" s="84">
        <f>Input!AI109</f>
        <v>0</v>
      </c>
      <c r="AQ500" s="84">
        <f>Input!AJ109</f>
        <v>0</v>
      </c>
      <c r="AR500" s="84">
        <f>Input!AK109</f>
        <v>0</v>
      </c>
      <c r="AS500" s="84">
        <f>Input!AL109</f>
        <v>0</v>
      </c>
      <c r="AT500" s="84">
        <f>Input!AM109</f>
        <v>0</v>
      </c>
      <c r="AU500" s="84">
        <f>Input!AN109</f>
        <v>0</v>
      </c>
      <c r="AV500" s="84">
        <f>Input!AO109</f>
        <v>0</v>
      </c>
      <c r="AW500" s="84">
        <f>Input!AP109</f>
        <v>0</v>
      </c>
      <c r="AX500" s="84">
        <f>Input!AQ109</f>
        <v>0</v>
      </c>
      <c r="AY500" s="84">
        <f>Input!AR109</f>
        <v>0</v>
      </c>
      <c r="AZ500" s="84">
        <f>Input!AS109</f>
        <v>0</v>
      </c>
      <c r="BA500" s="84">
        <f>Input!AT109</f>
        <v>0</v>
      </c>
      <c r="BB500" s="84">
        <f>Input!AU109</f>
        <v>0</v>
      </c>
      <c r="BC500" s="84">
        <f>Input!AV109</f>
        <v>0</v>
      </c>
      <c r="BD500" s="84">
        <f>Input!AW109</f>
        <v>0</v>
      </c>
      <c r="BE500" s="84">
        <f>Input!AX109</f>
        <v>0</v>
      </c>
      <c r="BF500" s="84">
        <f>Input!AY109</f>
        <v>0</v>
      </c>
      <c r="BG500" s="84">
        <f>Input!AZ109</f>
        <v>0</v>
      </c>
      <c r="BH500" s="84">
        <f>Input!BA109</f>
        <v>0</v>
      </c>
      <c r="BI500" s="84">
        <f>Input!BB109</f>
        <v>0</v>
      </c>
      <c r="BJ500" s="84">
        <f>Input!BC109</f>
        <v>0</v>
      </c>
      <c r="BK500" s="84">
        <f>Input!BD109</f>
        <v>0</v>
      </c>
      <c r="BL500" s="84">
        <f>Input!BE109</f>
        <v>0</v>
      </c>
      <c r="BM500" s="84">
        <f>Input!BF109</f>
        <v>0</v>
      </c>
      <c r="BN500" s="84">
        <f>Input!BG109</f>
        <v>0</v>
      </c>
      <c r="BO500" s="84">
        <f>Input!BH109</f>
        <v>0</v>
      </c>
      <c r="BP500" s="84">
        <f>Input!BI109</f>
        <v>0</v>
      </c>
      <c r="BQ500" s="84">
        <f>Input!BJ109</f>
        <v>0</v>
      </c>
      <c r="BR500" s="84">
        <f>Input!BK109</f>
        <v>0</v>
      </c>
      <c r="BS500" s="84">
        <f>Input!BL109</f>
        <v>0</v>
      </c>
      <c r="BT500" s="84">
        <f>Input!BM109</f>
        <v>0</v>
      </c>
      <c r="BU500" s="84">
        <f>Input!BN109</f>
        <v>0</v>
      </c>
      <c r="BV500" s="84">
        <f>Input!BO109</f>
        <v>0</v>
      </c>
      <c r="BW500" s="84">
        <f>Input!BP109</f>
        <v>0</v>
      </c>
      <c r="BX500" s="84">
        <f>Input!BQ109</f>
        <v>0</v>
      </c>
      <c r="BY500" s="84">
        <f>Input!BR109</f>
        <v>0</v>
      </c>
      <c r="BZ500" s="84">
        <f>Input!BS109</f>
        <v>0</v>
      </c>
      <c r="CA500" s="84">
        <f>Input!BT109</f>
        <v>0</v>
      </c>
      <c r="CB500" s="84">
        <f>Input!BU109</f>
        <v>0</v>
      </c>
      <c r="CC500" s="84">
        <f>Input!BV109</f>
        <v>0</v>
      </c>
      <c r="CD500" s="84">
        <f>Input!BW109</f>
        <v>0</v>
      </c>
      <c r="CE500" s="1171"/>
      <c r="CF500" s="1171"/>
      <c r="CG500" s="1171"/>
      <c r="CH500" s="1171"/>
      <c r="CI500" s="1171"/>
    </row>
    <row r="501" spans="11:87" ht="12" customHeight="1" x14ac:dyDescent="0.35">
      <c r="K501" s="13">
        <v>3</v>
      </c>
      <c r="L501" s="415">
        <f>Input!D110</f>
        <v>0</v>
      </c>
      <c r="M501" s="416">
        <f>IF(Input!$F$107&gt;=K501,Input!G110,0)</f>
        <v>0</v>
      </c>
      <c r="N501" s="1058">
        <f>Input!H110</f>
        <v>0</v>
      </c>
      <c r="O501" s="1058">
        <f>Input!I110</f>
        <v>0</v>
      </c>
      <c r="P501" s="417">
        <f>Input!J110</f>
        <v>2</v>
      </c>
      <c r="Q501" s="418">
        <f>Input!L110</f>
        <v>0</v>
      </c>
      <c r="R501" s="418">
        <f>Input!K110</f>
        <v>0</v>
      </c>
      <c r="S501" s="419">
        <f>Input!M110</f>
        <v>0</v>
      </c>
      <c r="T501" s="13"/>
      <c r="U501" s="13">
        <f>IFERROR(IF(N501&lt;&gt;0,VLOOKUP(N501,Calcs!$B$278:$C$337,2,FALSE),0),0)</f>
        <v>0</v>
      </c>
      <c r="V501" s="13">
        <f>IFERROR(IF(O501&lt;&gt;0,VLOOKUP(O501,Calcs!$B$278:$C$337,2,FALSE),0),0)</f>
        <v>0</v>
      </c>
      <c r="W501" s="13">
        <f>Input!P110</f>
        <v>0</v>
      </c>
      <c r="X501" s="13">
        <f>Input!Q110</f>
        <v>0</v>
      </c>
      <c r="Y501" s="13">
        <f>Input!R110</f>
        <v>0</v>
      </c>
      <c r="Z501" s="13">
        <f>Input!S110</f>
        <v>0</v>
      </c>
      <c r="AA501" s="13">
        <f>Input!T110</f>
        <v>0</v>
      </c>
      <c r="AB501" s="13">
        <f>Input!U110</f>
        <v>0</v>
      </c>
      <c r="AC501" s="13">
        <f>Input!V110</f>
        <v>0</v>
      </c>
      <c r="AD501" s="13">
        <f>Input!W110</f>
        <v>0</v>
      </c>
      <c r="AE501" s="13">
        <f>Input!X110</f>
        <v>0</v>
      </c>
      <c r="AF501" s="84">
        <f>Input!Y110</f>
        <v>0</v>
      </c>
      <c r="AG501" s="84">
        <f>Input!Z110</f>
        <v>0</v>
      </c>
      <c r="AH501" s="84">
        <f>Input!AA110</f>
        <v>0</v>
      </c>
      <c r="AI501" s="84">
        <f>Input!AB110</f>
        <v>0</v>
      </c>
      <c r="AJ501" s="84">
        <f>Input!AC110</f>
        <v>0</v>
      </c>
      <c r="AK501" s="84">
        <f>Input!AD110</f>
        <v>0</v>
      </c>
      <c r="AL501" s="84">
        <f>Input!AE110</f>
        <v>0</v>
      </c>
      <c r="AM501" s="84">
        <f>Input!AF110</f>
        <v>0</v>
      </c>
      <c r="AN501" s="84">
        <f>Input!AG110</f>
        <v>0</v>
      </c>
      <c r="AO501" s="84">
        <f>Input!AH110</f>
        <v>0</v>
      </c>
      <c r="AP501" s="84">
        <f>Input!AI110</f>
        <v>0</v>
      </c>
      <c r="AQ501" s="84">
        <f>Input!AJ110</f>
        <v>0</v>
      </c>
      <c r="AR501" s="84">
        <f>Input!AK110</f>
        <v>0</v>
      </c>
      <c r="AS501" s="84">
        <f>Input!AL110</f>
        <v>0</v>
      </c>
      <c r="AT501" s="84">
        <f>Input!AM110</f>
        <v>0</v>
      </c>
      <c r="AU501" s="84">
        <f>Input!AN110</f>
        <v>0</v>
      </c>
      <c r="AV501" s="84">
        <f>Input!AO110</f>
        <v>0</v>
      </c>
      <c r="AW501" s="84">
        <f>Input!AP110</f>
        <v>0</v>
      </c>
      <c r="AX501" s="84">
        <f>Input!AQ110</f>
        <v>0</v>
      </c>
      <c r="AY501" s="84">
        <f>Input!AR110</f>
        <v>0</v>
      </c>
      <c r="AZ501" s="84">
        <f>Input!AS110</f>
        <v>0</v>
      </c>
      <c r="BA501" s="84">
        <f>Input!AT110</f>
        <v>0</v>
      </c>
      <c r="BB501" s="84">
        <f>Input!AU110</f>
        <v>0</v>
      </c>
      <c r="BC501" s="84">
        <f>Input!AV110</f>
        <v>0</v>
      </c>
      <c r="BD501" s="84">
        <f>Input!AW110</f>
        <v>0</v>
      </c>
      <c r="BE501" s="84">
        <f>Input!AX110</f>
        <v>0</v>
      </c>
      <c r="BF501" s="84">
        <f>Input!AY110</f>
        <v>0</v>
      </c>
      <c r="BG501" s="84">
        <f>Input!AZ110</f>
        <v>0</v>
      </c>
      <c r="BH501" s="84">
        <f>Input!BA110</f>
        <v>0</v>
      </c>
      <c r="BI501" s="84">
        <f>Input!BB110</f>
        <v>0</v>
      </c>
      <c r="BJ501" s="84">
        <f>Input!BC110</f>
        <v>0</v>
      </c>
      <c r="BK501" s="84">
        <f>Input!BD110</f>
        <v>0</v>
      </c>
      <c r="BL501" s="84">
        <f>Input!BE110</f>
        <v>0</v>
      </c>
      <c r="BM501" s="84">
        <f>Input!BF110</f>
        <v>0</v>
      </c>
      <c r="BN501" s="84">
        <f>Input!BG110</f>
        <v>0</v>
      </c>
      <c r="BO501" s="84">
        <f>Input!BH110</f>
        <v>0</v>
      </c>
      <c r="BP501" s="84">
        <f>Input!BI110</f>
        <v>0</v>
      </c>
      <c r="BQ501" s="84">
        <f>Input!BJ110</f>
        <v>0</v>
      </c>
      <c r="BR501" s="84">
        <f>Input!BK110</f>
        <v>0</v>
      </c>
      <c r="BS501" s="84">
        <f>Input!BL110</f>
        <v>0</v>
      </c>
      <c r="BT501" s="84">
        <f>Input!BM110</f>
        <v>0</v>
      </c>
      <c r="BU501" s="84">
        <f>Input!BN110</f>
        <v>0</v>
      </c>
      <c r="BV501" s="84">
        <f>Input!BO110</f>
        <v>0</v>
      </c>
      <c r="BW501" s="84">
        <f>Input!BP110</f>
        <v>0</v>
      </c>
      <c r="BX501" s="84">
        <f>Input!BQ110</f>
        <v>0</v>
      </c>
      <c r="BY501" s="84">
        <f>Input!BR110</f>
        <v>0</v>
      </c>
      <c r="BZ501" s="84">
        <f>Input!BS110</f>
        <v>0</v>
      </c>
      <c r="CA501" s="84">
        <f>Input!BT110</f>
        <v>0</v>
      </c>
      <c r="CB501" s="84">
        <f>Input!BU110</f>
        <v>0</v>
      </c>
      <c r="CC501" s="84">
        <f>Input!BV110</f>
        <v>0</v>
      </c>
      <c r="CD501" s="84">
        <f>Input!BW110</f>
        <v>0</v>
      </c>
      <c r="CE501" s="1171"/>
      <c r="CF501" s="1171"/>
      <c r="CG501" s="1171"/>
      <c r="CH501" s="1171"/>
      <c r="CI501" s="1171"/>
    </row>
    <row r="502" spans="11:87" ht="12" customHeight="1" x14ac:dyDescent="0.35">
      <c r="K502" s="13">
        <v>4</v>
      </c>
      <c r="L502" s="415">
        <f>Input!D111</f>
        <v>0</v>
      </c>
      <c r="M502" s="416">
        <f>IF(Input!$F$107&gt;=K502,Input!G111,0)</f>
        <v>0</v>
      </c>
      <c r="N502" s="1058">
        <f>Input!H111</f>
        <v>0</v>
      </c>
      <c r="O502" s="1058">
        <f>Input!I111</f>
        <v>0</v>
      </c>
      <c r="P502" s="417">
        <f>Input!J111</f>
        <v>3</v>
      </c>
      <c r="Q502" s="418">
        <f>Input!L111</f>
        <v>0</v>
      </c>
      <c r="R502" s="418">
        <f>Input!K111</f>
        <v>0</v>
      </c>
      <c r="S502" s="419">
        <f>Input!M111</f>
        <v>0</v>
      </c>
      <c r="T502" s="13"/>
      <c r="U502" s="13">
        <f>IFERROR(IF(N502&lt;&gt;0,VLOOKUP(N502,Calcs!$B$278:$C$337,2,FALSE),0),0)</f>
        <v>0</v>
      </c>
      <c r="V502" s="13">
        <f>IFERROR(IF(O502&lt;&gt;0,VLOOKUP(O502,Calcs!$B$278:$C$337,2,FALSE),0),0)</f>
        <v>0</v>
      </c>
      <c r="W502" s="13">
        <f>Input!P111</f>
        <v>0</v>
      </c>
      <c r="X502" s="13">
        <f>Input!Q111</f>
        <v>0</v>
      </c>
      <c r="Y502" s="13">
        <f>Input!R111</f>
        <v>0</v>
      </c>
      <c r="Z502" s="13">
        <f>Input!S111</f>
        <v>0</v>
      </c>
      <c r="AA502" s="13">
        <f>Input!T111</f>
        <v>0</v>
      </c>
      <c r="AB502" s="13">
        <f>Input!U111</f>
        <v>0</v>
      </c>
      <c r="AC502" s="13">
        <f>Input!V111</f>
        <v>0</v>
      </c>
      <c r="AD502" s="13">
        <f>Input!W111</f>
        <v>0</v>
      </c>
      <c r="AE502" s="13">
        <f>Input!X111</f>
        <v>0</v>
      </c>
      <c r="AF502" s="84">
        <f>Input!Y111</f>
        <v>0</v>
      </c>
      <c r="AG502" s="84">
        <f>Input!Z111</f>
        <v>0</v>
      </c>
      <c r="AH502" s="84">
        <f>Input!AA111</f>
        <v>0</v>
      </c>
      <c r="AI502" s="84">
        <f>Input!AB111</f>
        <v>0</v>
      </c>
      <c r="AJ502" s="84">
        <f>Input!AC111</f>
        <v>0</v>
      </c>
      <c r="AK502" s="84">
        <f>Input!AD111</f>
        <v>0</v>
      </c>
      <c r="AL502" s="84">
        <f>Input!AE111</f>
        <v>0</v>
      </c>
      <c r="AM502" s="84">
        <f>Input!AF111</f>
        <v>0</v>
      </c>
      <c r="AN502" s="84">
        <f>Input!AG111</f>
        <v>0</v>
      </c>
      <c r="AO502" s="84">
        <f>Input!AH111</f>
        <v>0</v>
      </c>
      <c r="AP502" s="84">
        <f>Input!AI111</f>
        <v>0</v>
      </c>
      <c r="AQ502" s="84">
        <f>Input!AJ111</f>
        <v>0</v>
      </c>
      <c r="AR502" s="84">
        <f>Input!AK111</f>
        <v>0</v>
      </c>
      <c r="AS502" s="84">
        <f>Input!AL111</f>
        <v>0</v>
      </c>
      <c r="AT502" s="84">
        <f>Input!AM111</f>
        <v>0</v>
      </c>
      <c r="AU502" s="84">
        <f>Input!AN111</f>
        <v>0</v>
      </c>
      <c r="AV502" s="84">
        <f>Input!AO111</f>
        <v>0</v>
      </c>
      <c r="AW502" s="84">
        <f>Input!AP111</f>
        <v>0</v>
      </c>
      <c r="AX502" s="84">
        <f>Input!AQ111</f>
        <v>0</v>
      </c>
      <c r="AY502" s="84">
        <f>Input!AR111</f>
        <v>0</v>
      </c>
      <c r="AZ502" s="84">
        <f>Input!AS111</f>
        <v>0</v>
      </c>
      <c r="BA502" s="84">
        <f>Input!AT111</f>
        <v>0</v>
      </c>
      <c r="BB502" s="84">
        <f>Input!AU111</f>
        <v>0</v>
      </c>
      <c r="BC502" s="84">
        <f>Input!AV111</f>
        <v>0</v>
      </c>
      <c r="BD502" s="84">
        <f>Input!AW111</f>
        <v>0</v>
      </c>
      <c r="BE502" s="84">
        <f>Input!AX111</f>
        <v>0</v>
      </c>
      <c r="BF502" s="84">
        <f>Input!AY111</f>
        <v>0</v>
      </c>
      <c r="BG502" s="84">
        <f>Input!AZ111</f>
        <v>0</v>
      </c>
      <c r="BH502" s="84">
        <f>Input!BA111</f>
        <v>0</v>
      </c>
      <c r="BI502" s="84">
        <f>Input!BB111</f>
        <v>0</v>
      </c>
      <c r="BJ502" s="84">
        <f>Input!BC111</f>
        <v>0</v>
      </c>
      <c r="BK502" s="84">
        <f>Input!BD111</f>
        <v>0</v>
      </c>
      <c r="BL502" s="84">
        <f>Input!BE111</f>
        <v>0</v>
      </c>
      <c r="BM502" s="84">
        <f>Input!BF111</f>
        <v>0</v>
      </c>
      <c r="BN502" s="84">
        <f>Input!BG111</f>
        <v>0</v>
      </c>
      <c r="BO502" s="84">
        <f>Input!BH111</f>
        <v>0</v>
      </c>
      <c r="BP502" s="84">
        <f>Input!BI111</f>
        <v>0</v>
      </c>
      <c r="BQ502" s="84">
        <f>Input!BJ111</f>
        <v>0</v>
      </c>
      <c r="BR502" s="84">
        <f>Input!BK111</f>
        <v>0</v>
      </c>
      <c r="BS502" s="84">
        <f>Input!BL111</f>
        <v>0</v>
      </c>
      <c r="BT502" s="84">
        <f>Input!BM111</f>
        <v>0</v>
      </c>
      <c r="BU502" s="84">
        <f>Input!BN111</f>
        <v>0</v>
      </c>
      <c r="BV502" s="84">
        <f>Input!BO111</f>
        <v>0</v>
      </c>
      <c r="BW502" s="84">
        <f>Input!BP111</f>
        <v>0</v>
      </c>
      <c r="BX502" s="84">
        <f>Input!BQ111</f>
        <v>0</v>
      </c>
      <c r="BY502" s="84">
        <f>Input!BR111</f>
        <v>0</v>
      </c>
      <c r="BZ502" s="84">
        <f>Input!BS111</f>
        <v>0</v>
      </c>
      <c r="CA502" s="84">
        <f>Input!BT111</f>
        <v>0</v>
      </c>
      <c r="CB502" s="84">
        <f>Input!BU111</f>
        <v>0</v>
      </c>
      <c r="CC502" s="84">
        <f>Input!BV111</f>
        <v>0</v>
      </c>
      <c r="CD502" s="84">
        <f>Input!BW111</f>
        <v>0</v>
      </c>
      <c r="CE502" s="1171"/>
      <c r="CF502" s="1171"/>
      <c r="CG502" s="1171"/>
      <c r="CH502" s="1171"/>
      <c r="CI502" s="1171"/>
    </row>
    <row r="503" spans="11:87" ht="12" customHeight="1" x14ac:dyDescent="0.35">
      <c r="K503" s="13">
        <v>5</v>
      </c>
      <c r="L503" s="415">
        <f>Input!D112</f>
        <v>0</v>
      </c>
      <c r="M503" s="416">
        <f>IF(Input!$F$107&gt;=K503,Input!G112,0)</f>
        <v>0</v>
      </c>
      <c r="N503" s="1058">
        <f>Input!H112</f>
        <v>0</v>
      </c>
      <c r="O503" s="1058">
        <f>Input!I112</f>
        <v>0</v>
      </c>
      <c r="P503" s="417">
        <f>Input!J112</f>
        <v>2</v>
      </c>
      <c r="Q503" s="418">
        <f>Input!L112</f>
        <v>0</v>
      </c>
      <c r="R503" s="418">
        <f>Input!K112</f>
        <v>0</v>
      </c>
      <c r="S503" s="419">
        <f>Input!M112</f>
        <v>0</v>
      </c>
      <c r="T503" s="13"/>
      <c r="U503" s="13">
        <f>IFERROR(IF(N503&lt;&gt;0,VLOOKUP(N503,Calcs!$B$278:$C$337,2,FALSE),0),0)</f>
        <v>0</v>
      </c>
      <c r="V503" s="13">
        <f>IFERROR(IF(O503&lt;&gt;0,VLOOKUP(O503,Calcs!$B$278:$C$337,2,FALSE),0),0)</f>
        <v>0</v>
      </c>
      <c r="W503" s="13">
        <f>Input!P112</f>
        <v>0</v>
      </c>
      <c r="X503" s="13">
        <f>Input!Q112</f>
        <v>0</v>
      </c>
      <c r="Y503" s="13">
        <f>Input!R112</f>
        <v>0</v>
      </c>
      <c r="Z503" s="13">
        <f>Input!S112</f>
        <v>0</v>
      </c>
      <c r="AA503" s="13">
        <f>Input!T112</f>
        <v>0</v>
      </c>
      <c r="AB503" s="13">
        <f>Input!U112</f>
        <v>0</v>
      </c>
      <c r="AC503" s="13">
        <f>Input!V112</f>
        <v>0</v>
      </c>
      <c r="AD503" s="13">
        <f>Input!W112</f>
        <v>0</v>
      </c>
      <c r="AE503" s="13">
        <f>Input!X112</f>
        <v>0</v>
      </c>
      <c r="AF503" s="84">
        <f>Input!Y112</f>
        <v>0</v>
      </c>
      <c r="AG503" s="84">
        <f>Input!Z112</f>
        <v>0</v>
      </c>
      <c r="AH503" s="84">
        <f>Input!AA112</f>
        <v>0</v>
      </c>
      <c r="AI503" s="84">
        <f>Input!AB112</f>
        <v>0</v>
      </c>
      <c r="AJ503" s="84">
        <f>Input!AC112</f>
        <v>0</v>
      </c>
      <c r="AK503" s="84">
        <f>Input!AD112</f>
        <v>0</v>
      </c>
      <c r="AL503" s="84">
        <f>Input!AE112</f>
        <v>0</v>
      </c>
      <c r="AM503" s="84">
        <f>Input!AF112</f>
        <v>0</v>
      </c>
      <c r="AN503" s="84">
        <f>Input!AG112</f>
        <v>0</v>
      </c>
      <c r="AO503" s="84">
        <f>Input!AH112</f>
        <v>0</v>
      </c>
      <c r="AP503" s="84">
        <f>Input!AI112</f>
        <v>0</v>
      </c>
      <c r="AQ503" s="84">
        <f>Input!AJ112</f>
        <v>0</v>
      </c>
      <c r="AR503" s="84">
        <f>Input!AK112</f>
        <v>0</v>
      </c>
      <c r="AS503" s="84">
        <f>Input!AL112</f>
        <v>0</v>
      </c>
      <c r="AT503" s="84">
        <f>Input!AM112</f>
        <v>0</v>
      </c>
      <c r="AU503" s="84">
        <f>Input!AN112</f>
        <v>0</v>
      </c>
      <c r="AV503" s="84">
        <f>Input!AO112</f>
        <v>0</v>
      </c>
      <c r="AW503" s="84">
        <f>Input!AP112</f>
        <v>0</v>
      </c>
      <c r="AX503" s="84">
        <f>Input!AQ112</f>
        <v>0</v>
      </c>
      <c r="AY503" s="84">
        <f>Input!AR112</f>
        <v>0</v>
      </c>
      <c r="AZ503" s="84">
        <f>Input!AS112</f>
        <v>0</v>
      </c>
      <c r="BA503" s="84">
        <f>Input!AT112</f>
        <v>0</v>
      </c>
      <c r="BB503" s="84">
        <f>Input!AU112</f>
        <v>0</v>
      </c>
      <c r="BC503" s="84">
        <f>Input!AV112</f>
        <v>0</v>
      </c>
      <c r="BD503" s="84">
        <f>Input!AW112</f>
        <v>0</v>
      </c>
      <c r="BE503" s="84">
        <f>Input!AX112</f>
        <v>0</v>
      </c>
      <c r="BF503" s="84">
        <f>Input!AY112</f>
        <v>0</v>
      </c>
      <c r="BG503" s="84">
        <f>Input!AZ112</f>
        <v>0</v>
      </c>
      <c r="BH503" s="84">
        <f>Input!BA112</f>
        <v>0</v>
      </c>
      <c r="BI503" s="84">
        <f>Input!BB112</f>
        <v>0</v>
      </c>
      <c r="BJ503" s="84">
        <f>Input!BC112</f>
        <v>0</v>
      </c>
      <c r="BK503" s="84">
        <f>Input!BD112</f>
        <v>0</v>
      </c>
      <c r="BL503" s="84">
        <f>Input!BE112</f>
        <v>0</v>
      </c>
      <c r="BM503" s="84">
        <f>Input!BF112</f>
        <v>0</v>
      </c>
      <c r="BN503" s="84">
        <f>Input!BG112</f>
        <v>0</v>
      </c>
      <c r="BO503" s="84">
        <f>Input!BH112</f>
        <v>0</v>
      </c>
      <c r="BP503" s="84">
        <f>Input!BI112</f>
        <v>0</v>
      </c>
      <c r="BQ503" s="84">
        <f>Input!BJ112</f>
        <v>0</v>
      </c>
      <c r="BR503" s="84">
        <f>Input!BK112</f>
        <v>0</v>
      </c>
      <c r="BS503" s="84">
        <f>Input!BL112</f>
        <v>0</v>
      </c>
      <c r="BT503" s="84">
        <f>Input!BM112</f>
        <v>0</v>
      </c>
      <c r="BU503" s="84">
        <f>Input!BN112</f>
        <v>0</v>
      </c>
      <c r="BV503" s="84">
        <f>Input!BO112</f>
        <v>0</v>
      </c>
      <c r="BW503" s="84">
        <f>Input!BP112</f>
        <v>0</v>
      </c>
      <c r="BX503" s="84">
        <f>Input!BQ112</f>
        <v>0</v>
      </c>
      <c r="BY503" s="84">
        <f>Input!BR112</f>
        <v>0</v>
      </c>
      <c r="BZ503" s="84">
        <f>Input!BS112</f>
        <v>0</v>
      </c>
      <c r="CA503" s="84">
        <f>Input!BT112</f>
        <v>0</v>
      </c>
      <c r="CB503" s="84">
        <f>Input!BU112</f>
        <v>0</v>
      </c>
      <c r="CC503" s="84">
        <f>Input!BV112</f>
        <v>0</v>
      </c>
      <c r="CD503" s="84">
        <f>Input!BW112</f>
        <v>0</v>
      </c>
      <c r="CE503" s="1171"/>
      <c r="CF503" s="1171"/>
      <c r="CG503" s="1171"/>
      <c r="CH503" s="1171"/>
      <c r="CI503" s="1171"/>
    </row>
    <row r="504" spans="11:87" ht="12" customHeight="1" x14ac:dyDescent="0.35">
      <c r="K504" s="13">
        <v>6</v>
      </c>
      <c r="L504" s="415">
        <f>Input!D113</f>
        <v>0</v>
      </c>
      <c r="M504" s="416">
        <f>IF(Input!$F$107&gt;=K504,Input!G113,0)</f>
        <v>0</v>
      </c>
      <c r="N504" s="1058">
        <f>Input!H113</f>
        <v>0</v>
      </c>
      <c r="O504" s="1058">
        <f>Input!I113</f>
        <v>0</v>
      </c>
      <c r="P504" s="417">
        <f>Input!J113</f>
        <v>2</v>
      </c>
      <c r="Q504" s="418">
        <f>Input!L113</f>
        <v>0</v>
      </c>
      <c r="R504" s="418">
        <f>Input!K113</f>
        <v>0</v>
      </c>
      <c r="S504" s="419">
        <f>Input!M113</f>
        <v>0</v>
      </c>
      <c r="T504" s="13"/>
      <c r="U504" s="13">
        <f>IFERROR(IF(N504&lt;&gt;0,VLOOKUP(N504,Calcs!$B$278:$C$337,2,FALSE),0),0)</f>
        <v>0</v>
      </c>
      <c r="V504" s="13">
        <f>IFERROR(IF(O504&lt;&gt;0,VLOOKUP(O504,Calcs!$B$278:$C$337,2,FALSE),0),0)</f>
        <v>0</v>
      </c>
      <c r="W504" s="13">
        <f>Input!P113</f>
        <v>0</v>
      </c>
      <c r="X504" s="13">
        <f>Input!Q113</f>
        <v>0</v>
      </c>
      <c r="Y504" s="13">
        <f>Input!R113</f>
        <v>0</v>
      </c>
      <c r="Z504" s="13">
        <f>Input!S113</f>
        <v>0</v>
      </c>
      <c r="AA504" s="13">
        <f>Input!T113</f>
        <v>0</v>
      </c>
      <c r="AB504" s="13">
        <f>Input!U113</f>
        <v>0</v>
      </c>
      <c r="AC504" s="13">
        <f>Input!V113</f>
        <v>0</v>
      </c>
      <c r="AD504" s="13">
        <f>Input!W113</f>
        <v>0</v>
      </c>
      <c r="AE504" s="13">
        <f>Input!X113</f>
        <v>0</v>
      </c>
      <c r="AF504" s="84">
        <f>Input!Y113</f>
        <v>0</v>
      </c>
      <c r="AG504" s="84">
        <f>Input!Z113</f>
        <v>0</v>
      </c>
      <c r="AH504" s="84">
        <f>Input!AA113</f>
        <v>0</v>
      </c>
      <c r="AI504" s="84">
        <f>Input!AB113</f>
        <v>0</v>
      </c>
      <c r="AJ504" s="84">
        <f>Input!AC113</f>
        <v>0</v>
      </c>
      <c r="AK504" s="84">
        <f>Input!AD113</f>
        <v>0</v>
      </c>
      <c r="AL504" s="84">
        <f>Input!AE113</f>
        <v>0</v>
      </c>
      <c r="AM504" s="84">
        <f>Input!AF113</f>
        <v>0</v>
      </c>
      <c r="AN504" s="84">
        <f>Input!AG113</f>
        <v>0</v>
      </c>
      <c r="AO504" s="84">
        <f>Input!AH113</f>
        <v>0</v>
      </c>
      <c r="AP504" s="84">
        <f>Input!AI113</f>
        <v>0</v>
      </c>
      <c r="AQ504" s="84">
        <f>Input!AJ113</f>
        <v>0</v>
      </c>
      <c r="AR504" s="84">
        <f>Input!AK113</f>
        <v>0</v>
      </c>
      <c r="AS504" s="84">
        <f>Input!AL113</f>
        <v>0</v>
      </c>
      <c r="AT504" s="84">
        <f>Input!AM113</f>
        <v>0</v>
      </c>
      <c r="AU504" s="84">
        <f>Input!AN113</f>
        <v>0</v>
      </c>
      <c r="AV504" s="84">
        <f>Input!AO113</f>
        <v>0</v>
      </c>
      <c r="AW504" s="84">
        <f>Input!AP113</f>
        <v>0</v>
      </c>
      <c r="AX504" s="84">
        <f>Input!AQ113</f>
        <v>0</v>
      </c>
      <c r="AY504" s="84">
        <f>Input!AR113</f>
        <v>0</v>
      </c>
      <c r="AZ504" s="84">
        <f>Input!AS113</f>
        <v>0</v>
      </c>
      <c r="BA504" s="84">
        <f>Input!AT113</f>
        <v>0</v>
      </c>
      <c r="BB504" s="84">
        <f>Input!AU113</f>
        <v>0</v>
      </c>
      <c r="BC504" s="84">
        <f>Input!AV113</f>
        <v>0</v>
      </c>
      <c r="BD504" s="84">
        <f>Input!AW113</f>
        <v>0</v>
      </c>
      <c r="BE504" s="84">
        <f>Input!AX113</f>
        <v>0</v>
      </c>
      <c r="BF504" s="84">
        <f>Input!AY113</f>
        <v>0</v>
      </c>
      <c r="BG504" s="84">
        <f>Input!AZ113</f>
        <v>0</v>
      </c>
      <c r="BH504" s="84">
        <f>Input!BA113</f>
        <v>0</v>
      </c>
      <c r="BI504" s="84">
        <f>Input!BB113</f>
        <v>0</v>
      </c>
      <c r="BJ504" s="84">
        <f>Input!BC113</f>
        <v>0</v>
      </c>
      <c r="BK504" s="84">
        <f>Input!BD113</f>
        <v>0</v>
      </c>
      <c r="BL504" s="84">
        <f>Input!BE113</f>
        <v>0</v>
      </c>
      <c r="BM504" s="84">
        <f>Input!BF113</f>
        <v>0</v>
      </c>
      <c r="BN504" s="84">
        <f>Input!BG113</f>
        <v>0</v>
      </c>
      <c r="BO504" s="84">
        <f>Input!BH113</f>
        <v>0</v>
      </c>
      <c r="BP504" s="84">
        <f>Input!BI113</f>
        <v>0</v>
      </c>
      <c r="BQ504" s="84">
        <f>Input!BJ113</f>
        <v>0</v>
      </c>
      <c r="BR504" s="84">
        <f>Input!BK113</f>
        <v>0</v>
      </c>
      <c r="BS504" s="84">
        <f>Input!BL113</f>
        <v>0</v>
      </c>
      <c r="BT504" s="84">
        <f>Input!BM113</f>
        <v>0</v>
      </c>
      <c r="BU504" s="84">
        <f>Input!BN113</f>
        <v>0</v>
      </c>
      <c r="BV504" s="84">
        <f>Input!BO113</f>
        <v>0</v>
      </c>
      <c r="BW504" s="84">
        <f>Input!BP113</f>
        <v>0</v>
      </c>
      <c r="BX504" s="84">
        <f>Input!BQ113</f>
        <v>0</v>
      </c>
      <c r="BY504" s="84">
        <f>Input!BR113</f>
        <v>0</v>
      </c>
      <c r="BZ504" s="84">
        <f>Input!BS113</f>
        <v>0</v>
      </c>
      <c r="CA504" s="84">
        <f>Input!BT113</f>
        <v>0</v>
      </c>
      <c r="CB504" s="84">
        <f>Input!BU113</f>
        <v>0</v>
      </c>
      <c r="CC504" s="84">
        <f>Input!BV113</f>
        <v>0</v>
      </c>
      <c r="CD504" s="84">
        <f>Input!BW113</f>
        <v>0</v>
      </c>
      <c r="CE504" s="1171"/>
      <c r="CF504" s="1171"/>
      <c r="CG504" s="1171"/>
      <c r="CH504" s="1171"/>
      <c r="CI504" s="1171"/>
    </row>
    <row r="505" spans="11:87" ht="12" customHeight="1" x14ac:dyDescent="0.35">
      <c r="K505" s="13">
        <v>7</v>
      </c>
      <c r="L505" s="415">
        <f>Input!D114</f>
        <v>0</v>
      </c>
      <c r="M505" s="416">
        <f>IF(Input!$F$107&gt;=K505,Input!G114,0)</f>
        <v>0</v>
      </c>
      <c r="N505" s="1058">
        <f>Input!H114</f>
        <v>0</v>
      </c>
      <c r="O505" s="1058">
        <f>Input!I114</f>
        <v>0</v>
      </c>
      <c r="P505" s="417">
        <f>Input!J114</f>
        <v>3</v>
      </c>
      <c r="Q505" s="418">
        <f>Input!L114</f>
        <v>0</v>
      </c>
      <c r="R505" s="418">
        <f>Input!K114</f>
        <v>0</v>
      </c>
      <c r="S505" s="419">
        <f>Input!M114</f>
        <v>0</v>
      </c>
      <c r="T505" s="13"/>
      <c r="U505" s="13">
        <f>IFERROR(IF(N505&lt;&gt;0,VLOOKUP(N505,Calcs!$B$278:$C$337,2,FALSE),0),0)</f>
        <v>0</v>
      </c>
      <c r="V505" s="13">
        <f>IFERROR(IF(O505&lt;&gt;0,VLOOKUP(O505,Calcs!$B$278:$C$337,2,FALSE),0),0)</f>
        <v>0</v>
      </c>
      <c r="W505" s="13">
        <f>Input!P114</f>
        <v>0</v>
      </c>
      <c r="X505" s="13">
        <f>Input!Q114</f>
        <v>0</v>
      </c>
      <c r="Y505" s="13">
        <f>Input!R114</f>
        <v>0</v>
      </c>
      <c r="Z505" s="13">
        <f>Input!S114</f>
        <v>0</v>
      </c>
      <c r="AA505" s="13">
        <f>Input!T114</f>
        <v>0</v>
      </c>
      <c r="AB505" s="13">
        <f>Input!U114</f>
        <v>0</v>
      </c>
      <c r="AC505" s="13">
        <f>Input!V114</f>
        <v>0</v>
      </c>
      <c r="AD505" s="13">
        <f>Input!W114</f>
        <v>0</v>
      </c>
      <c r="AE505" s="13">
        <f>Input!X114</f>
        <v>0</v>
      </c>
      <c r="AF505" s="84">
        <f>Input!Y114</f>
        <v>0</v>
      </c>
      <c r="AG505" s="84">
        <f>Input!Z114</f>
        <v>0</v>
      </c>
      <c r="AH505" s="84">
        <f>Input!AA114</f>
        <v>0</v>
      </c>
      <c r="AI505" s="84">
        <f>Input!AB114</f>
        <v>0</v>
      </c>
      <c r="AJ505" s="84">
        <f>Input!AC114</f>
        <v>0</v>
      </c>
      <c r="AK505" s="84">
        <f>Input!AD114</f>
        <v>0</v>
      </c>
      <c r="AL505" s="84">
        <f>Input!AE114</f>
        <v>0</v>
      </c>
      <c r="AM505" s="84">
        <f>Input!AF114</f>
        <v>0</v>
      </c>
      <c r="AN505" s="84">
        <f>Input!AG114</f>
        <v>0</v>
      </c>
      <c r="AO505" s="84">
        <f>Input!AH114</f>
        <v>0</v>
      </c>
      <c r="AP505" s="84">
        <f>Input!AI114</f>
        <v>0</v>
      </c>
      <c r="AQ505" s="84">
        <f>Input!AJ114</f>
        <v>0</v>
      </c>
      <c r="AR505" s="84">
        <f>Input!AK114</f>
        <v>0</v>
      </c>
      <c r="AS505" s="84">
        <f>Input!AL114</f>
        <v>0</v>
      </c>
      <c r="AT505" s="84">
        <f>Input!AM114</f>
        <v>0</v>
      </c>
      <c r="AU505" s="84">
        <f>Input!AN114</f>
        <v>0</v>
      </c>
      <c r="AV505" s="84">
        <f>Input!AO114</f>
        <v>0</v>
      </c>
      <c r="AW505" s="84">
        <f>Input!AP114</f>
        <v>0</v>
      </c>
      <c r="AX505" s="84">
        <f>Input!AQ114</f>
        <v>0</v>
      </c>
      <c r="AY505" s="84">
        <f>Input!AR114</f>
        <v>0</v>
      </c>
      <c r="AZ505" s="84">
        <f>Input!AS114</f>
        <v>0</v>
      </c>
      <c r="BA505" s="84">
        <f>Input!AT114</f>
        <v>0</v>
      </c>
      <c r="BB505" s="84">
        <f>Input!AU114</f>
        <v>0</v>
      </c>
      <c r="BC505" s="84">
        <f>Input!AV114</f>
        <v>0</v>
      </c>
      <c r="BD505" s="84">
        <f>Input!AW114</f>
        <v>0</v>
      </c>
      <c r="BE505" s="84">
        <f>Input!AX114</f>
        <v>0</v>
      </c>
      <c r="BF505" s="84">
        <f>Input!AY114</f>
        <v>0</v>
      </c>
      <c r="BG505" s="84">
        <f>Input!AZ114</f>
        <v>0</v>
      </c>
      <c r="BH505" s="84">
        <f>Input!BA114</f>
        <v>0</v>
      </c>
      <c r="BI505" s="84">
        <f>Input!BB114</f>
        <v>0</v>
      </c>
      <c r="BJ505" s="84">
        <f>Input!BC114</f>
        <v>0</v>
      </c>
      <c r="BK505" s="84">
        <f>Input!BD114</f>
        <v>0</v>
      </c>
      <c r="BL505" s="84">
        <f>Input!BE114</f>
        <v>0</v>
      </c>
      <c r="BM505" s="84">
        <f>Input!BF114</f>
        <v>0</v>
      </c>
      <c r="BN505" s="84">
        <f>Input!BG114</f>
        <v>0</v>
      </c>
      <c r="BO505" s="84">
        <f>Input!BH114</f>
        <v>0</v>
      </c>
      <c r="BP505" s="84">
        <f>Input!BI114</f>
        <v>0</v>
      </c>
      <c r="BQ505" s="84">
        <f>Input!BJ114</f>
        <v>0</v>
      </c>
      <c r="BR505" s="84">
        <f>Input!BK114</f>
        <v>0</v>
      </c>
      <c r="BS505" s="84">
        <f>Input!BL114</f>
        <v>0</v>
      </c>
      <c r="BT505" s="84">
        <f>Input!BM114</f>
        <v>0</v>
      </c>
      <c r="BU505" s="84">
        <f>Input!BN114</f>
        <v>0</v>
      </c>
      <c r="BV505" s="84">
        <f>Input!BO114</f>
        <v>0</v>
      </c>
      <c r="BW505" s="84">
        <f>Input!BP114</f>
        <v>0</v>
      </c>
      <c r="BX505" s="84">
        <f>Input!BQ114</f>
        <v>0</v>
      </c>
      <c r="BY505" s="84">
        <f>Input!BR114</f>
        <v>0</v>
      </c>
      <c r="BZ505" s="84">
        <f>Input!BS114</f>
        <v>0</v>
      </c>
      <c r="CA505" s="84">
        <f>Input!BT114</f>
        <v>0</v>
      </c>
      <c r="CB505" s="84">
        <f>Input!BU114</f>
        <v>0</v>
      </c>
      <c r="CC505" s="84">
        <f>Input!BV114</f>
        <v>0</v>
      </c>
      <c r="CD505" s="84">
        <f>Input!BW114</f>
        <v>0</v>
      </c>
      <c r="CE505" s="1171"/>
      <c r="CF505" s="1171"/>
      <c r="CG505" s="1171"/>
      <c r="CH505" s="1171"/>
      <c r="CI505" s="1171"/>
    </row>
    <row r="506" spans="11:87" ht="12" customHeight="1" x14ac:dyDescent="0.35">
      <c r="K506" s="13">
        <v>8</v>
      </c>
      <c r="L506" s="415">
        <f>Input!D115</f>
        <v>0</v>
      </c>
      <c r="M506" s="416">
        <f>IF(Input!$F$107&gt;=K506,Input!G115,0)</f>
        <v>0</v>
      </c>
      <c r="N506" s="1058">
        <f>Input!H115</f>
        <v>0</v>
      </c>
      <c r="O506" s="1058">
        <f>Input!I115</f>
        <v>0</v>
      </c>
      <c r="P506" s="417">
        <f>Input!J115</f>
        <v>2</v>
      </c>
      <c r="Q506" s="418">
        <f>Input!L115</f>
        <v>0</v>
      </c>
      <c r="R506" s="418">
        <f>Input!K115</f>
        <v>0</v>
      </c>
      <c r="S506" s="419">
        <f>Input!M115</f>
        <v>0</v>
      </c>
      <c r="T506" s="13"/>
      <c r="U506" s="13">
        <f>IFERROR(IF(N506&lt;&gt;0,VLOOKUP(N506,Calcs!$B$278:$C$337,2,FALSE),0),0)</f>
        <v>0</v>
      </c>
      <c r="V506" s="13">
        <f>IFERROR(IF(O506&lt;&gt;0,VLOOKUP(O506,Calcs!$B$278:$C$337,2,FALSE),0),0)</f>
        <v>0</v>
      </c>
      <c r="W506" s="13">
        <f>Input!P115</f>
        <v>0</v>
      </c>
      <c r="X506" s="13">
        <f>Input!Q115</f>
        <v>0</v>
      </c>
      <c r="Y506" s="13">
        <f>Input!R115</f>
        <v>0</v>
      </c>
      <c r="Z506" s="13">
        <f>Input!S115</f>
        <v>0</v>
      </c>
      <c r="AA506" s="13">
        <f>Input!T115</f>
        <v>0</v>
      </c>
      <c r="AB506" s="13">
        <f>Input!U115</f>
        <v>0</v>
      </c>
      <c r="AC506" s="13">
        <f>Input!V115</f>
        <v>0</v>
      </c>
      <c r="AD506" s="13">
        <f>Input!W115</f>
        <v>0</v>
      </c>
      <c r="AE506" s="13">
        <f>Input!X115</f>
        <v>0</v>
      </c>
      <c r="AF506" s="84">
        <f>Input!Y115</f>
        <v>0</v>
      </c>
      <c r="AG506" s="84">
        <f>Input!Z115</f>
        <v>0</v>
      </c>
      <c r="AH506" s="84">
        <f>Input!AA115</f>
        <v>0</v>
      </c>
      <c r="AI506" s="84">
        <f>Input!AB115</f>
        <v>0</v>
      </c>
      <c r="AJ506" s="84">
        <f>Input!AC115</f>
        <v>0</v>
      </c>
      <c r="AK506" s="84">
        <f>Input!AD115</f>
        <v>0</v>
      </c>
      <c r="AL506" s="84">
        <f>Input!AE115</f>
        <v>0</v>
      </c>
      <c r="AM506" s="84">
        <f>Input!AF115</f>
        <v>0</v>
      </c>
      <c r="AN506" s="84">
        <f>Input!AG115</f>
        <v>0</v>
      </c>
      <c r="AO506" s="84">
        <f>Input!AH115</f>
        <v>0</v>
      </c>
      <c r="AP506" s="84">
        <f>Input!AI115</f>
        <v>0</v>
      </c>
      <c r="AQ506" s="84">
        <f>Input!AJ115</f>
        <v>0</v>
      </c>
      <c r="AR506" s="84">
        <f>Input!AK115</f>
        <v>0</v>
      </c>
      <c r="AS506" s="84">
        <f>Input!AL115</f>
        <v>0</v>
      </c>
      <c r="AT506" s="84">
        <f>Input!AM115</f>
        <v>0</v>
      </c>
      <c r="AU506" s="84">
        <f>Input!AN115</f>
        <v>0</v>
      </c>
      <c r="AV506" s="84">
        <f>Input!AO115</f>
        <v>0</v>
      </c>
      <c r="AW506" s="84">
        <f>Input!AP115</f>
        <v>0</v>
      </c>
      <c r="AX506" s="84">
        <f>Input!AQ115</f>
        <v>0</v>
      </c>
      <c r="AY506" s="84">
        <f>Input!AR115</f>
        <v>0</v>
      </c>
      <c r="AZ506" s="84">
        <f>Input!AS115</f>
        <v>0</v>
      </c>
      <c r="BA506" s="84">
        <f>Input!AT115</f>
        <v>0</v>
      </c>
      <c r="BB506" s="84">
        <f>Input!AU115</f>
        <v>0</v>
      </c>
      <c r="BC506" s="84">
        <f>Input!AV115</f>
        <v>0</v>
      </c>
      <c r="BD506" s="84">
        <f>Input!AW115</f>
        <v>0</v>
      </c>
      <c r="BE506" s="84">
        <f>Input!AX115</f>
        <v>0</v>
      </c>
      <c r="BF506" s="84">
        <f>Input!AY115</f>
        <v>0</v>
      </c>
      <c r="BG506" s="84">
        <f>Input!AZ115</f>
        <v>0</v>
      </c>
      <c r="BH506" s="84">
        <f>Input!BA115</f>
        <v>0</v>
      </c>
      <c r="BI506" s="84">
        <f>Input!BB115</f>
        <v>0</v>
      </c>
      <c r="BJ506" s="84">
        <f>Input!BC115</f>
        <v>0</v>
      </c>
      <c r="BK506" s="84">
        <f>Input!BD115</f>
        <v>0</v>
      </c>
      <c r="BL506" s="84">
        <f>Input!BE115</f>
        <v>0</v>
      </c>
      <c r="BM506" s="84">
        <f>Input!BF115</f>
        <v>0</v>
      </c>
      <c r="BN506" s="84">
        <f>Input!BG115</f>
        <v>0</v>
      </c>
      <c r="BO506" s="84">
        <f>Input!BH115</f>
        <v>0</v>
      </c>
      <c r="BP506" s="84">
        <f>Input!BI115</f>
        <v>0</v>
      </c>
      <c r="BQ506" s="84">
        <f>Input!BJ115</f>
        <v>0</v>
      </c>
      <c r="BR506" s="84">
        <f>Input!BK115</f>
        <v>0</v>
      </c>
      <c r="BS506" s="84">
        <f>Input!BL115</f>
        <v>0</v>
      </c>
      <c r="BT506" s="84">
        <f>Input!BM115</f>
        <v>0</v>
      </c>
      <c r="BU506" s="84">
        <f>Input!BN115</f>
        <v>0</v>
      </c>
      <c r="BV506" s="84">
        <f>Input!BO115</f>
        <v>0</v>
      </c>
      <c r="BW506" s="84">
        <f>Input!BP115</f>
        <v>0</v>
      </c>
      <c r="BX506" s="84">
        <f>Input!BQ115</f>
        <v>0</v>
      </c>
      <c r="BY506" s="84">
        <f>Input!BR115</f>
        <v>0</v>
      </c>
      <c r="BZ506" s="84">
        <f>Input!BS115</f>
        <v>0</v>
      </c>
      <c r="CA506" s="84">
        <f>Input!BT115</f>
        <v>0</v>
      </c>
      <c r="CB506" s="84">
        <f>Input!BU115</f>
        <v>0</v>
      </c>
      <c r="CC506" s="84">
        <f>Input!BV115</f>
        <v>0</v>
      </c>
      <c r="CD506" s="84">
        <f>Input!BW115</f>
        <v>0</v>
      </c>
      <c r="CE506" s="1171"/>
      <c r="CF506" s="1171"/>
      <c r="CG506" s="1171"/>
      <c r="CH506" s="1171"/>
      <c r="CI506" s="1171"/>
    </row>
    <row r="507" spans="11:87" ht="12" customHeight="1" x14ac:dyDescent="0.35">
      <c r="K507" s="13">
        <v>9</v>
      </c>
      <c r="L507" s="415">
        <f>Input!D116</f>
        <v>0</v>
      </c>
      <c r="M507" s="416">
        <f>IF(Input!$F$107&gt;=K507,Input!G116,0)</f>
        <v>0</v>
      </c>
      <c r="N507" s="1058">
        <f>Input!H116</f>
        <v>0</v>
      </c>
      <c r="O507" s="1058">
        <f>Input!I116</f>
        <v>0</v>
      </c>
      <c r="P507" s="417">
        <f>Input!J116</f>
        <v>0</v>
      </c>
      <c r="Q507" s="418">
        <f>Input!L116</f>
        <v>0</v>
      </c>
      <c r="R507" s="418">
        <f>Input!K116</f>
        <v>0</v>
      </c>
      <c r="S507" s="419">
        <f>Input!M116</f>
        <v>0</v>
      </c>
      <c r="T507" s="13"/>
      <c r="U507" s="13">
        <f>IFERROR(IF(N507&lt;&gt;0,VLOOKUP(N507,Calcs!$B$278:$C$337,2,FALSE),0),0)</f>
        <v>0</v>
      </c>
      <c r="V507" s="13">
        <f>IFERROR(IF(O507&lt;&gt;0,VLOOKUP(O507,Calcs!$B$278:$C$337,2,FALSE),0),0)</f>
        <v>0</v>
      </c>
      <c r="W507" s="13">
        <f>Input!P116</f>
        <v>0</v>
      </c>
      <c r="X507" s="13">
        <f>Input!Q116</f>
        <v>0</v>
      </c>
      <c r="Y507" s="13">
        <f>Input!R116</f>
        <v>0</v>
      </c>
      <c r="Z507" s="13">
        <f>Input!S116</f>
        <v>0</v>
      </c>
      <c r="AA507" s="13">
        <f>Input!T116</f>
        <v>0</v>
      </c>
      <c r="AB507" s="13">
        <f>Input!U116</f>
        <v>0</v>
      </c>
      <c r="AC507" s="13">
        <f>Input!V116</f>
        <v>0</v>
      </c>
      <c r="AD507" s="13">
        <f>Input!W116</f>
        <v>0</v>
      </c>
      <c r="AE507" s="13">
        <f>Input!X116</f>
        <v>0</v>
      </c>
      <c r="AF507" s="84">
        <f>Input!Y116</f>
        <v>0</v>
      </c>
      <c r="AG507" s="84">
        <f>Input!Z116</f>
        <v>0</v>
      </c>
      <c r="AH507" s="84">
        <f>Input!AA116</f>
        <v>0</v>
      </c>
      <c r="AI507" s="84">
        <f>Input!AB116</f>
        <v>0</v>
      </c>
      <c r="AJ507" s="84">
        <f>Input!AC116</f>
        <v>0</v>
      </c>
      <c r="AK507" s="84">
        <f>Input!AD116</f>
        <v>0</v>
      </c>
      <c r="AL507" s="84">
        <f>Input!AE116</f>
        <v>0</v>
      </c>
      <c r="AM507" s="84">
        <f>Input!AF116</f>
        <v>0</v>
      </c>
      <c r="AN507" s="84">
        <f>Input!AG116</f>
        <v>0</v>
      </c>
      <c r="AO507" s="84">
        <f>Input!AH116</f>
        <v>0</v>
      </c>
      <c r="AP507" s="84">
        <f>Input!AI116</f>
        <v>0</v>
      </c>
      <c r="AQ507" s="84">
        <f>Input!AJ116</f>
        <v>0</v>
      </c>
      <c r="AR507" s="84">
        <f>Input!AK116</f>
        <v>0</v>
      </c>
      <c r="AS507" s="84">
        <f>Input!AL116</f>
        <v>0</v>
      </c>
      <c r="AT507" s="84">
        <f>Input!AM116</f>
        <v>0</v>
      </c>
      <c r="AU507" s="84">
        <f>Input!AN116</f>
        <v>0</v>
      </c>
      <c r="AV507" s="84">
        <f>Input!AO116</f>
        <v>0</v>
      </c>
      <c r="AW507" s="84">
        <f>Input!AP116</f>
        <v>0</v>
      </c>
      <c r="AX507" s="84">
        <f>Input!AQ116</f>
        <v>0</v>
      </c>
      <c r="AY507" s="84">
        <f>Input!AR116</f>
        <v>0</v>
      </c>
      <c r="AZ507" s="84">
        <f>Input!AS116</f>
        <v>0</v>
      </c>
      <c r="BA507" s="84">
        <f>Input!AT116</f>
        <v>0</v>
      </c>
      <c r="BB507" s="84">
        <f>Input!AU116</f>
        <v>0</v>
      </c>
      <c r="BC507" s="84">
        <f>Input!AV116</f>
        <v>0</v>
      </c>
      <c r="BD507" s="84">
        <f>Input!AW116</f>
        <v>0</v>
      </c>
      <c r="BE507" s="84">
        <f>Input!AX116</f>
        <v>0</v>
      </c>
      <c r="BF507" s="84">
        <f>Input!AY116</f>
        <v>0</v>
      </c>
      <c r="BG507" s="84">
        <f>Input!AZ116</f>
        <v>0</v>
      </c>
      <c r="BH507" s="84">
        <f>Input!BA116</f>
        <v>0</v>
      </c>
      <c r="BI507" s="84">
        <f>Input!BB116</f>
        <v>0</v>
      </c>
      <c r="BJ507" s="84">
        <f>Input!BC116</f>
        <v>0</v>
      </c>
      <c r="BK507" s="84">
        <f>Input!BD116</f>
        <v>0</v>
      </c>
      <c r="BL507" s="84">
        <f>Input!BE116</f>
        <v>0</v>
      </c>
      <c r="BM507" s="84">
        <f>Input!BF116</f>
        <v>0</v>
      </c>
      <c r="BN507" s="84">
        <f>Input!BG116</f>
        <v>0</v>
      </c>
      <c r="BO507" s="84">
        <f>Input!BH116</f>
        <v>0</v>
      </c>
      <c r="BP507" s="84">
        <f>Input!BI116</f>
        <v>0</v>
      </c>
      <c r="BQ507" s="84">
        <f>Input!BJ116</f>
        <v>0</v>
      </c>
      <c r="BR507" s="84">
        <f>Input!BK116</f>
        <v>0</v>
      </c>
      <c r="BS507" s="84">
        <f>Input!BL116</f>
        <v>0</v>
      </c>
      <c r="BT507" s="84">
        <f>Input!BM116</f>
        <v>0</v>
      </c>
      <c r="BU507" s="84">
        <f>Input!BN116</f>
        <v>0</v>
      </c>
      <c r="BV507" s="84">
        <f>Input!BO116</f>
        <v>0</v>
      </c>
      <c r="BW507" s="84">
        <f>Input!BP116</f>
        <v>0</v>
      </c>
      <c r="BX507" s="84">
        <f>Input!BQ116</f>
        <v>0</v>
      </c>
      <c r="BY507" s="84">
        <f>Input!BR116</f>
        <v>0</v>
      </c>
      <c r="BZ507" s="84">
        <f>Input!BS116</f>
        <v>0</v>
      </c>
      <c r="CA507" s="84">
        <f>Input!BT116</f>
        <v>0</v>
      </c>
      <c r="CB507" s="84">
        <f>Input!BU116</f>
        <v>0</v>
      </c>
      <c r="CC507" s="84">
        <f>Input!BV116</f>
        <v>0</v>
      </c>
      <c r="CD507" s="84">
        <f>Input!BW116</f>
        <v>0</v>
      </c>
      <c r="CE507" s="1171"/>
      <c r="CF507" s="1171"/>
      <c r="CG507" s="1171"/>
      <c r="CH507" s="1171"/>
      <c r="CI507" s="1171"/>
    </row>
    <row r="508" spans="11:87" ht="12" customHeight="1" x14ac:dyDescent="0.35">
      <c r="K508" s="13">
        <v>10</v>
      </c>
      <c r="L508" s="415">
        <f>Input!D117</f>
        <v>0</v>
      </c>
      <c r="M508" s="416">
        <f>IF(Input!$F$107&gt;=K508,Input!G117,0)</f>
        <v>0</v>
      </c>
      <c r="N508" s="1058">
        <f>Input!H117</f>
        <v>0</v>
      </c>
      <c r="O508" s="1058">
        <f>Input!I117</f>
        <v>0</v>
      </c>
      <c r="P508" s="417">
        <f>Input!J117</f>
        <v>0</v>
      </c>
      <c r="Q508" s="418">
        <f>Input!L117</f>
        <v>0</v>
      </c>
      <c r="R508" s="418">
        <f>Input!K117</f>
        <v>0</v>
      </c>
      <c r="S508" s="419">
        <f>Input!M117</f>
        <v>0</v>
      </c>
      <c r="T508" s="13"/>
      <c r="U508" s="13">
        <f>IFERROR(IF(N508&lt;&gt;0,VLOOKUP(N508,Calcs!$B$278:$C$337,2,FALSE),0),0)</f>
        <v>0</v>
      </c>
      <c r="V508" s="13">
        <f>IFERROR(IF(O508&lt;&gt;0,VLOOKUP(O508,Calcs!$B$278:$C$337,2,FALSE),0),0)</f>
        <v>0</v>
      </c>
      <c r="W508" s="13">
        <f>Input!P117</f>
        <v>0</v>
      </c>
      <c r="X508" s="13">
        <f>Input!Q117</f>
        <v>0</v>
      </c>
      <c r="Y508" s="13">
        <f>Input!R117</f>
        <v>0</v>
      </c>
      <c r="Z508" s="13">
        <f>Input!S117</f>
        <v>0</v>
      </c>
      <c r="AA508" s="13">
        <f>Input!T117</f>
        <v>0</v>
      </c>
      <c r="AB508" s="13">
        <f>Input!U117</f>
        <v>0</v>
      </c>
      <c r="AC508" s="13">
        <f>Input!V117</f>
        <v>0</v>
      </c>
      <c r="AD508" s="13">
        <f>Input!W117</f>
        <v>0</v>
      </c>
      <c r="AE508" s="13">
        <f>Input!X117</f>
        <v>0</v>
      </c>
      <c r="AF508" s="84">
        <f>Input!Y117</f>
        <v>0</v>
      </c>
      <c r="AG508" s="84">
        <f>Input!Z117</f>
        <v>0</v>
      </c>
      <c r="AH508" s="84">
        <f>Input!AA117</f>
        <v>0</v>
      </c>
      <c r="AI508" s="84">
        <f>Input!AB117</f>
        <v>0</v>
      </c>
      <c r="AJ508" s="84">
        <f>Input!AC117</f>
        <v>0</v>
      </c>
      <c r="AK508" s="84">
        <f>Input!AD117</f>
        <v>0</v>
      </c>
      <c r="AL508" s="84">
        <f>Input!AE117</f>
        <v>0</v>
      </c>
      <c r="AM508" s="84">
        <f>Input!AF117</f>
        <v>0</v>
      </c>
      <c r="AN508" s="84">
        <f>Input!AG117</f>
        <v>0</v>
      </c>
      <c r="AO508" s="84">
        <f>Input!AH117</f>
        <v>0</v>
      </c>
      <c r="AP508" s="84">
        <f>Input!AI117</f>
        <v>0</v>
      </c>
      <c r="AQ508" s="84">
        <f>Input!AJ117</f>
        <v>0</v>
      </c>
      <c r="AR508" s="84">
        <f>Input!AK117</f>
        <v>0</v>
      </c>
      <c r="AS508" s="84">
        <f>Input!AL117</f>
        <v>0</v>
      </c>
      <c r="AT508" s="84">
        <f>Input!AM117</f>
        <v>0</v>
      </c>
      <c r="AU508" s="84">
        <f>Input!AN117</f>
        <v>0</v>
      </c>
      <c r="AV508" s="84">
        <f>Input!AO117</f>
        <v>0</v>
      </c>
      <c r="AW508" s="84">
        <f>Input!AP117</f>
        <v>0</v>
      </c>
      <c r="AX508" s="84">
        <f>Input!AQ117</f>
        <v>0</v>
      </c>
      <c r="AY508" s="84">
        <f>Input!AR117</f>
        <v>0</v>
      </c>
      <c r="AZ508" s="84">
        <f>Input!AS117</f>
        <v>0</v>
      </c>
      <c r="BA508" s="84">
        <f>Input!AT117</f>
        <v>0</v>
      </c>
      <c r="BB508" s="84">
        <f>Input!AU117</f>
        <v>0</v>
      </c>
      <c r="BC508" s="84">
        <f>Input!AV117</f>
        <v>0</v>
      </c>
      <c r="BD508" s="84">
        <f>Input!AW117</f>
        <v>0</v>
      </c>
      <c r="BE508" s="84">
        <f>Input!AX117</f>
        <v>0</v>
      </c>
      <c r="BF508" s="84">
        <f>Input!AY117</f>
        <v>0</v>
      </c>
      <c r="BG508" s="84">
        <f>Input!AZ117</f>
        <v>0</v>
      </c>
      <c r="BH508" s="84">
        <f>Input!BA117</f>
        <v>0</v>
      </c>
      <c r="BI508" s="84">
        <f>Input!BB117</f>
        <v>0</v>
      </c>
      <c r="BJ508" s="84">
        <f>Input!BC117</f>
        <v>0</v>
      </c>
      <c r="BK508" s="84">
        <f>Input!BD117</f>
        <v>0</v>
      </c>
      <c r="BL508" s="84">
        <f>Input!BE117</f>
        <v>0</v>
      </c>
      <c r="BM508" s="84">
        <f>Input!BF117</f>
        <v>0</v>
      </c>
      <c r="BN508" s="84">
        <f>Input!BG117</f>
        <v>0</v>
      </c>
      <c r="BO508" s="84">
        <f>Input!BH117</f>
        <v>0</v>
      </c>
      <c r="BP508" s="84">
        <f>Input!BI117</f>
        <v>0</v>
      </c>
      <c r="BQ508" s="84">
        <f>Input!BJ117</f>
        <v>0</v>
      </c>
      <c r="BR508" s="84">
        <f>Input!BK117</f>
        <v>0</v>
      </c>
      <c r="BS508" s="84">
        <f>Input!BL117</f>
        <v>0</v>
      </c>
      <c r="BT508" s="84">
        <f>Input!BM117</f>
        <v>0</v>
      </c>
      <c r="BU508" s="84">
        <f>Input!BN117</f>
        <v>0</v>
      </c>
      <c r="BV508" s="84">
        <f>Input!BO117</f>
        <v>0</v>
      </c>
      <c r="BW508" s="84">
        <f>Input!BP117</f>
        <v>0</v>
      </c>
      <c r="BX508" s="84">
        <f>Input!BQ117</f>
        <v>0</v>
      </c>
      <c r="BY508" s="84">
        <f>Input!BR117</f>
        <v>0</v>
      </c>
      <c r="BZ508" s="84">
        <f>Input!BS117</f>
        <v>0</v>
      </c>
      <c r="CA508" s="84">
        <f>Input!BT117</f>
        <v>0</v>
      </c>
      <c r="CB508" s="84">
        <f>Input!BU117</f>
        <v>0</v>
      </c>
      <c r="CC508" s="84">
        <f>Input!BV117</f>
        <v>0</v>
      </c>
      <c r="CD508" s="84">
        <f>Input!BW117</f>
        <v>0</v>
      </c>
      <c r="CE508" s="1171"/>
      <c r="CF508" s="1171"/>
      <c r="CG508" s="1171"/>
      <c r="CH508" s="1171"/>
      <c r="CI508" s="1171"/>
    </row>
    <row r="509" spans="11:87" ht="12" customHeight="1" x14ac:dyDescent="0.35">
      <c r="K509" s="13">
        <v>11</v>
      </c>
      <c r="L509" s="415">
        <f>Input!D118</f>
        <v>0</v>
      </c>
      <c r="M509" s="416">
        <f>IF(Input!$F$107&gt;=K509,Input!G118,0)</f>
        <v>0</v>
      </c>
      <c r="N509" s="1058">
        <f>Input!H118</f>
        <v>0</v>
      </c>
      <c r="O509" s="1058">
        <f>Input!I118</f>
        <v>0</v>
      </c>
      <c r="P509" s="417">
        <f>Input!J118</f>
        <v>0</v>
      </c>
      <c r="Q509" s="418">
        <f>Input!L118</f>
        <v>0</v>
      </c>
      <c r="R509" s="418">
        <f>Input!K118</f>
        <v>0</v>
      </c>
      <c r="S509" s="419">
        <f>Input!M118</f>
        <v>0</v>
      </c>
      <c r="T509" s="13"/>
      <c r="U509" s="13">
        <f>IFERROR(IF(N509&lt;&gt;0,VLOOKUP(N509,Calcs!$B$278:$C$337,2,FALSE),0),0)</f>
        <v>0</v>
      </c>
      <c r="V509" s="13">
        <f>IFERROR(IF(O509&lt;&gt;0,VLOOKUP(O509,Calcs!$B$278:$C$337,2,FALSE),0),0)</f>
        <v>0</v>
      </c>
      <c r="W509" s="13">
        <f>Input!P118</f>
        <v>0</v>
      </c>
      <c r="X509" s="13">
        <f>Input!Q118</f>
        <v>0</v>
      </c>
      <c r="Y509" s="13">
        <f>Input!R118</f>
        <v>0</v>
      </c>
      <c r="Z509" s="13">
        <f>Input!S118</f>
        <v>0</v>
      </c>
      <c r="AA509" s="13">
        <f>Input!T118</f>
        <v>0</v>
      </c>
      <c r="AB509" s="13">
        <f>Input!U118</f>
        <v>0</v>
      </c>
      <c r="AC509" s="13">
        <f>Input!V118</f>
        <v>0</v>
      </c>
      <c r="AD509" s="13">
        <f>Input!W118</f>
        <v>0</v>
      </c>
      <c r="AE509" s="13">
        <f>Input!X118</f>
        <v>0</v>
      </c>
      <c r="AF509" s="84">
        <f>Input!Y118</f>
        <v>0</v>
      </c>
      <c r="AG509" s="84">
        <f>Input!Z118</f>
        <v>0</v>
      </c>
      <c r="AH509" s="84">
        <f>Input!AA118</f>
        <v>0</v>
      </c>
      <c r="AI509" s="84">
        <f>Input!AB118</f>
        <v>0</v>
      </c>
      <c r="AJ509" s="84">
        <f>Input!AC118</f>
        <v>0</v>
      </c>
      <c r="AK509" s="84">
        <f>Input!AD118</f>
        <v>0</v>
      </c>
      <c r="AL509" s="84">
        <f>Input!AE118</f>
        <v>0</v>
      </c>
      <c r="AM509" s="84">
        <f>Input!AF118</f>
        <v>0</v>
      </c>
      <c r="AN509" s="84">
        <f>Input!AG118</f>
        <v>0</v>
      </c>
      <c r="AO509" s="84">
        <f>Input!AH118</f>
        <v>0</v>
      </c>
      <c r="AP509" s="84">
        <f>Input!AI118</f>
        <v>0</v>
      </c>
      <c r="AQ509" s="84">
        <f>Input!AJ118</f>
        <v>0</v>
      </c>
      <c r="AR509" s="84">
        <f>Input!AK118</f>
        <v>0</v>
      </c>
      <c r="AS509" s="84">
        <f>Input!AL118</f>
        <v>0</v>
      </c>
      <c r="AT509" s="84">
        <f>Input!AM118</f>
        <v>0</v>
      </c>
      <c r="AU509" s="84">
        <f>Input!AN118</f>
        <v>0</v>
      </c>
      <c r="AV509" s="84">
        <f>Input!AO118</f>
        <v>0</v>
      </c>
      <c r="AW509" s="84">
        <f>Input!AP118</f>
        <v>0</v>
      </c>
      <c r="AX509" s="84">
        <f>Input!AQ118</f>
        <v>0</v>
      </c>
      <c r="AY509" s="84">
        <f>Input!AR118</f>
        <v>0</v>
      </c>
      <c r="AZ509" s="84">
        <f>Input!AS118</f>
        <v>0</v>
      </c>
      <c r="BA509" s="84">
        <f>Input!AT118</f>
        <v>0</v>
      </c>
      <c r="BB509" s="84">
        <f>Input!AU118</f>
        <v>0</v>
      </c>
      <c r="BC509" s="84">
        <f>Input!AV118</f>
        <v>0</v>
      </c>
      <c r="BD509" s="84">
        <f>Input!AW118</f>
        <v>0</v>
      </c>
      <c r="BE509" s="84">
        <f>Input!AX118</f>
        <v>0</v>
      </c>
      <c r="BF509" s="84">
        <f>Input!AY118</f>
        <v>0</v>
      </c>
      <c r="BG509" s="84">
        <f>Input!AZ118</f>
        <v>0</v>
      </c>
      <c r="BH509" s="84">
        <f>Input!BA118</f>
        <v>0</v>
      </c>
      <c r="BI509" s="84">
        <f>Input!BB118</f>
        <v>0</v>
      </c>
      <c r="BJ509" s="84">
        <f>Input!BC118</f>
        <v>0</v>
      </c>
      <c r="BK509" s="84">
        <f>Input!BD118</f>
        <v>0</v>
      </c>
      <c r="BL509" s="84">
        <f>Input!BE118</f>
        <v>0</v>
      </c>
      <c r="BM509" s="84">
        <f>Input!BF118</f>
        <v>0</v>
      </c>
      <c r="BN509" s="84">
        <f>Input!BG118</f>
        <v>0</v>
      </c>
      <c r="BO509" s="84">
        <f>Input!BH118</f>
        <v>0</v>
      </c>
      <c r="BP509" s="84">
        <f>Input!BI118</f>
        <v>0</v>
      </c>
      <c r="BQ509" s="84">
        <f>Input!BJ118</f>
        <v>0</v>
      </c>
      <c r="BR509" s="84">
        <f>Input!BK118</f>
        <v>0</v>
      </c>
      <c r="BS509" s="84">
        <f>Input!BL118</f>
        <v>0</v>
      </c>
      <c r="BT509" s="84">
        <f>Input!BM118</f>
        <v>0</v>
      </c>
      <c r="BU509" s="84">
        <f>Input!BN118</f>
        <v>0</v>
      </c>
      <c r="BV509" s="84">
        <f>Input!BO118</f>
        <v>0</v>
      </c>
      <c r="BW509" s="84">
        <f>Input!BP118</f>
        <v>0</v>
      </c>
      <c r="BX509" s="84">
        <f>Input!BQ118</f>
        <v>0</v>
      </c>
      <c r="BY509" s="84">
        <f>Input!BR118</f>
        <v>0</v>
      </c>
      <c r="BZ509" s="84">
        <f>Input!BS118</f>
        <v>0</v>
      </c>
      <c r="CA509" s="84">
        <f>Input!BT118</f>
        <v>0</v>
      </c>
      <c r="CB509" s="84">
        <f>Input!BU118</f>
        <v>0</v>
      </c>
      <c r="CC509" s="84">
        <f>Input!BV118</f>
        <v>0</v>
      </c>
      <c r="CD509" s="84">
        <f>Input!BW118</f>
        <v>0</v>
      </c>
      <c r="CE509" s="1171"/>
      <c r="CF509" s="1171"/>
      <c r="CG509" s="1171"/>
      <c r="CH509" s="1171"/>
      <c r="CI509" s="1171"/>
    </row>
    <row r="510" spans="11:87" ht="12" customHeight="1" x14ac:dyDescent="0.35">
      <c r="K510" s="13">
        <v>12</v>
      </c>
      <c r="L510" s="415">
        <f>Input!D119</f>
        <v>0</v>
      </c>
      <c r="M510" s="416">
        <f>IF(Input!$F$107&gt;=K510,Input!G119,0)</f>
        <v>0</v>
      </c>
      <c r="N510" s="1058">
        <f>Input!H119</f>
        <v>0</v>
      </c>
      <c r="O510" s="1058">
        <f>Input!I119</f>
        <v>0</v>
      </c>
      <c r="P510" s="417">
        <f>Input!J119</f>
        <v>0</v>
      </c>
      <c r="Q510" s="418">
        <f>Input!L119</f>
        <v>0</v>
      </c>
      <c r="R510" s="418">
        <f>Input!K119</f>
        <v>0</v>
      </c>
      <c r="S510" s="419">
        <f>Input!M119</f>
        <v>0</v>
      </c>
      <c r="T510" s="13"/>
      <c r="U510" s="13">
        <f>IFERROR(IF(N510&lt;&gt;0,VLOOKUP(N510,Calcs!$B$278:$C$337,2,FALSE),0),0)</f>
        <v>0</v>
      </c>
      <c r="V510" s="13">
        <f>IFERROR(IF(O510&lt;&gt;0,VLOOKUP(O510,Calcs!$B$278:$C$337,2,FALSE),0),0)</f>
        <v>0</v>
      </c>
      <c r="W510" s="13">
        <f>Input!P119</f>
        <v>0</v>
      </c>
      <c r="X510" s="13">
        <f>Input!Q119</f>
        <v>0</v>
      </c>
      <c r="Y510" s="13">
        <f>Input!R119</f>
        <v>0</v>
      </c>
      <c r="Z510" s="13">
        <f>Input!S119</f>
        <v>0</v>
      </c>
      <c r="AA510" s="13">
        <f>Input!T119</f>
        <v>0</v>
      </c>
      <c r="AB510" s="13">
        <f>Input!U119</f>
        <v>0</v>
      </c>
      <c r="AC510" s="13">
        <f>Input!V119</f>
        <v>0</v>
      </c>
      <c r="AD510" s="13">
        <f>Input!W119</f>
        <v>0</v>
      </c>
      <c r="AE510" s="13">
        <f>Input!X119</f>
        <v>0</v>
      </c>
      <c r="AF510" s="84">
        <f>Input!Y119</f>
        <v>0</v>
      </c>
      <c r="AG510" s="84">
        <f>Input!Z119</f>
        <v>0</v>
      </c>
      <c r="AH510" s="84">
        <f>Input!AA119</f>
        <v>0</v>
      </c>
      <c r="AI510" s="84">
        <f>Input!AB119</f>
        <v>0</v>
      </c>
      <c r="AJ510" s="84">
        <f>Input!AC119</f>
        <v>0</v>
      </c>
      <c r="AK510" s="84">
        <f>Input!AD119</f>
        <v>0</v>
      </c>
      <c r="AL510" s="84">
        <f>Input!AE119</f>
        <v>0</v>
      </c>
      <c r="AM510" s="84">
        <f>Input!AF119</f>
        <v>0</v>
      </c>
      <c r="AN510" s="84">
        <f>Input!AG119</f>
        <v>0</v>
      </c>
      <c r="AO510" s="84">
        <f>Input!AH119</f>
        <v>0</v>
      </c>
      <c r="AP510" s="84">
        <f>Input!AI119</f>
        <v>0</v>
      </c>
      <c r="AQ510" s="84">
        <f>Input!AJ119</f>
        <v>0</v>
      </c>
      <c r="AR510" s="84">
        <f>Input!AK119</f>
        <v>0</v>
      </c>
      <c r="AS510" s="84">
        <f>Input!AL119</f>
        <v>0</v>
      </c>
      <c r="AT510" s="84">
        <f>Input!AM119</f>
        <v>0</v>
      </c>
      <c r="AU510" s="84">
        <f>Input!AN119</f>
        <v>0</v>
      </c>
      <c r="AV510" s="84">
        <f>Input!AO119</f>
        <v>0</v>
      </c>
      <c r="AW510" s="84">
        <f>Input!AP119</f>
        <v>0</v>
      </c>
      <c r="AX510" s="84">
        <f>Input!AQ119</f>
        <v>0</v>
      </c>
      <c r="AY510" s="84">
        <f>Input!AR119</f>
        <v>0</v>
      </c>
      <c r="AZ510" s="84">
        <f>Input!AS119</f>
        <v>0</v>
      </c>
      <c r="BA510" s="84">
        <f>Input!AT119</f>
        <v>0</v>
      </c>
      <c r="BB510" s="84">
        <f>Input!AU119</f>
        <v>0</v>
      </c>
      <c r="BC510" s="84">
        <f>Input!AV119</f>
        <v>0</v>
      </c>
      <c r="BD510" s="84">
        <f>Input!AW119</f>
        <v>0</v>
      </c>
      <c r="BE510" s="84">
        <f>Input!AX119</f>
        <v>0</v>
      </c>
      <c r="BF510" s="84">
        <f>Input!AY119</f>
        <v>0</v>
      </c>
      <c r="BG510" s="84">
        <f>Input!AZ119</f>
        <v>0</v>
      </c>
      <c r="BH510" s="84">
        <f>Input!BA119</f>
        <v>0</v>
      </c>
      <c r="BI510" s="84">
        <f>Input!BB119</f>
        <v>0</v>
      </c>
      <c r="BJ510" s="84">
        <f>Input!BC119</f>
        <v>0</v>
      </c>
      <c r="BK510" s="84">
        <f>Input!BD119</f>
        <v>0</v>
      </c>
      <c r="BL510" s="84">
        <f>Input!BE119</f>
        <v>0</v>
      </c>
      <c r="BM510" s="84">
        <f>Input!BF119</f>
        <v>0</v>
      </c>
      <c r="BN510" s="84">
        <f>Input!BG119</f>
        <v>0</v>
      </c>
      <c r="BO510" s="84">
        <f>Input!BH119</f>
        <v>0</v>
      </c>
      <c r="BP510" s="84">
        <f>Input!BI119</f>
        <v>0</v>
      </c>
      <c r="BQ510" s="84">
        <f>Input!BJ119</f>
        <v>0</v>
      </c>
      <c r="BR510" s="84">
        <f>Input!BK119</f>
        <v>0</v>
      </c>
      <c r="BS510" s="84">
        <f>Input!BL119</f>
        <v>0</v>
      </c>
      <c r="BT510" s="84">
        <f>Input!BM119</f>
        <v>0</v>
      </c>
      <c r="BU510" s="84">
        <f>Input!BN119</f>
        <v>0</v>
      </c>
      <c r="BV510" s="84">
        <f>Input!BO119</f>
        <v>0</v>
      </c>
      <c r="BW510" s="84">
        <f>Input!BP119</f>
        <v>0</v>
      </c>
      <c r="BX510" s="84">
        <f>Input!BQ119</f>
        <v>0</v>
      </c>
      <c r="BY510" s="84">
        <f>Input!BR119</f>
        <v>0</v>
      </c>
      <c r="BZ510" s="84">
        <f>Input!BS119</f>
        <v>0</v>
      </c>
      <c r="CA510" s="84">
        <f>Input!BT119</f>
        <v>0</v>
      </c>
      <c r="CB510" s="84">
        <f>Input!BU119</f>
        <v>0</v>
      </c>
      <c r="CC510" s="84">
        <f>Input!BV119</f>
        <v>0</v>
      </c>
      <c r="CD510" s="84">
        <f>Input!BW119</f>
        <v>0</v>
      </c>
      <c r="CE510" s="1171"/>
      <c r="CF510" s="1171"/>
      <c r="CG510" s="1171"/>
      <c r="CH510" s="1171"/>
      <c r="CI510" s="1171"/>
    </row>
    <row r="511" spans="11:87" ht="12" customHeight="1" x14ac:dyDescent="0.35">
      <c r="K511" s="13">
        <v>13</v>
      </c>
      <c r="L511" s="415">
        <f>Input!D120</f>
        <v>0</v>
      </c>
      <c r="M511" s="416">
        <f>IF(Input!$F$107&gt;=K511,Input!G120,0)</f>
        <v>0</v>
      </c>
      <c r="N511" s="1058">
        <f>Input!H120</f>
        <v>0</v>
      </c>
      <c r="O511" s="1058">
        <f>Input!I120</f>
        <v>0</v>
      </c>
      <c r="P511" s="417">
        <f>Input!J120</f>
        <v>0</v>
      </c>
      <c r="Q511" s="418">
        <f>Input!L120</f>
        <v>0</v>
      </c>
      <c r="R511" s="418">
        <f>Input!K120</f>
        <v>0</v>
      </c>
      <c r="S511" s="419">
        <f>Input!M120</f>
        <v>0</v>
      </c>
      <c r="T511" s="13"/>
      <c r="U511" s="13">
        <f>IFERROR(IF(N511&lt;&gt;0,VLOOKUP(N511,Calcs!$B$278:$C$337,2,FALSE),0),0)</f>
        <v>0</v>
      </c>
      <c r="V511" s="13">
        <f>IFERROR(IF(O511&lt;&gt;0,VLOOKUP(O511,Calcs!$B$278:$C$337,2,FALSE),0),0)</f>
        <v>0</v>
      </c>
      <c r="W511" s="13">
        <f>Input!P120</f>
        <v>0</v>
      </c>
      <c r="X511" s="13">
        <f>Input!Q120</f>
        <v>0</v>
      </c>
      <c r="Y511" s="13">
        <f>Input!R120</f>
        <v>0</v>
      </c>
      <c r="Z511" s="13">
        <f>Input!S120</f>
        <v>0</v>
      </c>
      <c r="AA511" s="13">
        <f>Input!T120</f>
        <v>0</v>
      </c>
      <c r="AB511" s="13">
        <f>Input!U120</f>
        <v>0</v>
      </c>
      <c r="AC511" s="13">
        <f>Input!V120</f>
        <v>0</v>
      </c>
      <c r="AD511" s="13">
        <f>Input!W120</f>
        <v>0</v>
      </c>
      <c r="AE511" s="13">
        <f>Input!X120</f>
        <v>0</v>
      </c>
      <c r="AF511" s="84">
        <f>Input!Y120</f>
        <v>0</v>
      </c>
      <c r="AG511" s="84">
        <f>Input!Z120</f>
        <v>0</v>
      </c>
      <c r="AH511" s="84">
        <f>Input!AA120</f>
        <v>0</v>
      </c>
      <c r="AI511" s="84">
        <f>Input!AB120</f>
        <v>0</v>
      </c>
      <c r="AJ511" s="84">
        <f>Input!AC120</f>
        <v>0</v>
      </c>
      <c r="AK511" s="84">
        <f>Input!AD120</f>
        <v>0</v>
      </c>
      <c r="AL511" s="84">
        <f>Input!AE120</f>
        <v>0</v>
      </c>
      <c r="AM511" s="84">
        <f>Input!AF120</f>
        <v>0</v>
      </c>
      <c r="AN511" s="84">
        <f>Input!AG120</f>
        <v>0</v>
      </c>
      <c r="AO511" s="84">
        <f>Input!AH120</f>
        <v>0</v>
      </c>
      <c r="AP511" s="84">
        <f>Input!AI120</f>
        <v>0</v>
      </c>
      <c r="AQ511" s="84">
        <f>Input!AJ120</f>
        <v>0</v>
      </c>
      <c r="AR511" s="84">
        <f>Input!AK120</f>
        <v>0</v>
      </c>
      <c r="AS511" s="84">
        <f>Input!AL120</f>
        <v>0</v>
      </c>
      <c r="AT511" s="84">
        <f>Input!AM120</f>
        <v>0</v>
      </c>
      <c r="AU511" s="84">
        <f>Input!AN120</f>
        <v>0</v>
      </c>
      <c r="AV511" s="84">
        <f>Input!AO120</f>
        <v>0</v>
      </c>
      <c r="AW511" s="84">
        <f>Input!AP120</f>
        <v>0</v>
      </c>
      <c r="AX511" s="84">
        <f>Input!AQ120</f>
        <v>0</v>
      </c>
      <c r="AY511" s="84">
        <f>Input!AR120</f>
        <v>0</v>
      </c>
      <c r="AZ511" s="84">
        <f>Input!AS120</f>
        <v>0</v>
      </c>
      <c r="BA511" s="84">
        <f>Input!AT120</f>
        <v>0</v>
      </c>
      <c r="BB511" s="84">
        <f>Input!AU120</f>
        <v>0</v>
      </c>
      <c r="BC511" s="84">
        <f>Input!AV120</f>
        <v>0</v>
      </c>
      <c r="BD511" s="84">
        <f>Input!AW120</f>
        <v>0</v>
      </c>
      <c r="BE511" s="84">
        <f>Input!AX120</f>
        <v>0</v>
      </c>
      <c r="BF511" s="84">
        <f>Input!AY120</f>
        <v>0</v>
      </c>
      <c r="BG511" s="84">
        <f>Input!AZ120</f>
        <v>0</v>
      </c>
      <c r="BH511" s="84">
        <f>Input!BA120</f>
        <v>0</v>
      </c>
      <c r="BI511" s="84">
        <f>Input!BB120</f>
        <v>0</v>
      </c>
      <c r="BJ511" s="84">
        <f>Input!BC120</f>
        <v>0</v>
      </c>
      <c r="BK511" s="84">
        <f>Input!BD120</f>
        <v>0</v>
      </c>
      <c r="BL511" s="84">
        <f>Input!BE120</f>
        <v>0</v>
      </c>
      <c r="BM511" s="84">
        <f>Input!BF120</f>
        <v>0</v>
      </c>
      <c r="BN511" s="84">
        <f>Input!BG120</f>
        <v>0</v>
      </c>
      <c r="BO511" s="84">
        <f>Input!BH120</f>
        <v>0</v>
      </c>
      <c r="BP511" s="84">
        <f>Input!BI120</f>
        <v>0</v>
      </c>
      <c r="BQ511" s="84">
        <f>Input!BJ120</f>
        <v>0</v>
      </c>
      <c r="BR511" s="84">
        <f>Input!BK120</f>
        <v>0</v>
      </c>
      <c r="BS511" s="84">
        <f>Input!BL120</f>
        <v>0</v>
      </c>
      <c r="BT511" s="84">
        <f>Input!BM120</f>
        <v>0</v>
      </c>
      <c r="BU511" s="84">
        <f>Input!BN120</f>
        <v>0</v>
      </c>
      <c r="BV511" s="84">
        <f>Input!BO120</f>
        <v>0</v>
      </c>
      <c r="BW511" s="84">
        <f>Input!BP120</f>
        <v>0</v>
      </c>
      <c r="BX511" s="84">
        <f>Input!BQ120</f>
        <v>0</v>
      </c>
      <c r="BY511" s="84">
        <f>Input!BR120</f>
        <v>0</v>
      </c>
      <c r="BZ511" s="84">
        <f>Input!BS120</f>
        <v>0</v>
      </c>
      <c r="CA511" s="84">
        <f>Input!BT120</f>
        <v>0</v>
      </c>
      <c r="CB511" s="84">
        <f>Input!BU120</f>
        <v>0</v>
      </c>
      <c r="CC511" s="84">
        <f>Input!BV120</f>
        <v>0</v>
      </c>
      <c r="CD511" s="84">
        <f>Input!BW120</f>
        <v>0</v>
      </c>
      <c r="CE511" s="1171"/>
      <c r="CF511" s="1171"/>
      <c r="CG511" s="1171"/>
      <c r="CH511" s="1171"/>
      <c r="CI511" s="1171"/>
    </row>
    <row r="512" spans="11:87" ht="12" customHeight="1" x14ac:dyDescent="0.35">
      <c r="K512" s="13">
        <v>14</v>
      </c>
      <c r="L512" s="415">
        <f>Input!D121</f>
        <v>0</v>
      </c>
      <c r="M512" s="416">
        <f>IF(Input!$F$107&gt;=K512,Input!G121,0)</f>
        <v>0</v>
      </c>
      <c r="N512" s="1058">
        <f>Input!H121</f>
        <v>0</v>
      </c>
      <c r="O512" s="1058">
        <f>Input!I121</f>
        <v>0</v>
      </c>
      <c r="P512" s="417">
        <f>Input!J121</f>
        <v>0</v>
      </c>
      <c r="Q512" s="418">
        <f>Input!L121</f>
        <v>0</v>
      </c>
      <c r="R512" s="418">
        <f>Input!K121</f>
        <v>0</v>
      </c>
      <c r="S512" s="419">
        <f>Input!M121</f>
        <v>0</v>
      </c>
      <c r="T512" s="13"/>
      <c r="U512" s="13">
        <f>IFERROR(IF(N512&lt;&gt;0,VLOOKUP(N512,Calcs!$B$278:$C$337,2,FALSE),0),0)</f>
        <v>0</v>
      </c>
      <c r="V512" s="13">
        <f>IFERROR(IF(O512&lt;&gt;0,VLOOKUP(O512,Calcs!$B$278:$C$337,2,FALSE),0),0)</f>
        <v>0</v>
      </c>
      <c r="W512" s="13">
        <f>Input!P121</f>
        <v>0</v>
      </c>
      <c r="X512" s="13">
        <f>Input!Q121</f>
        <v>0</v>
      </c>
      <c r="Y512" s="13">
        <f>Input!R121</f>
        <v>0</v>
      </c>
      <c r="Z512" s="13">
        <f>Input!S121</f>
        <v>0</v>
      </c>
      <c r="AA512" s="13">
        <f>Input!T121</f>
        <v>0</v>
      </c>
      <c r="AB512" s="13">
        <f>Input!U121</f>
        <v>0</v>
      </c>
      <c r="AC512" s="13">
        <f>Input!V121</f>
        <v>0</v>
      </c>
      <c r="AD512" s="13">
        <f>Input!W121</f>
        <v>0</v>
      </c>
      <c r="AE512" s="13">
        <f>Input!X121</f>
        <v>0</v>
      </c>
      <c r="AF512" s="84">
        <f>Input!Y121</f>
        <v>0</v>
      </c>
      <c r="AG512" s="84">
        <f>Input!Z121</f>
        <v>0</v>
      </c>
      <c r="AH512" s="84">
        <f>Input!AA121</f>
        <v>0</v>
      </c>
      <c r="AI512" s="84">
        <f>Input!AB121</f>
        <v>0</v>
      </c>
      <c r="AJ512" s="84">
        <f>Input!AC121</f>
        <v>0</v>
      </c>
      <c r="AK512" s="84">
        <f>Input!AD121</f>
        <v>0</v>
      </c>
      <c r="AL512" s="84">
        <f>Input!AE121</f>
        <v>0</v>
      </c>
      <c r="AM512" s="84">
        <f>Input!AF121</f>
        <v>0</v>
      </c>
      <c r="AN512" s="84">
        <f>Input!AG121</f>
        <v>0</v>
      </c>
      <c r="AO512" s="84">
        <f>Input!AH121</f>
        <v>0</v>
      </c>
      <c r="AP512" s="84">
        <f>Input!AI121</f>
        <v>0</v>
      </c>
      <c r="AQ512" s="84">
        <f>Input!AJ121</f>
        <v>0</v>
      </c>
      <c r="AR512" s="84">
        <f>Input!AK121</f>
        <v>0</v>
      </c>
      <c r="AS512" s="84">
        <f>Input!AL121</f>
        <v>0</v>
      </c>
      <c r="AT512" s="84">
        <f>Input!AM121</f>
        <v>0</v>
      </c>
      <c r="AU512" s="84">
        <f>Input!AN121</f>
        <v>0</v>
      </c>
      <c r="AV512" s="84">
        <f>Input!AO121</f>
        <v>0</v>
      </c>
      <c r="AW512" s="84">
        <f>Input!AP121</f>
        <v>0</v>
      </c>
      <c r="AX512" s="84">
        <f>Input!AQ121</f>
        <v>0</v>
      </c>
      <c r="AY512" s="84">
        <f>Input!AR121</f>
        <v>0</v>
      </c>
      <c r="AZ512" s="84">
        <f>Input!AS121</f>
        <v>0</v>
      </c>
      <c r="BA512" s="84">
        <f>Input!AT121</f>
        <v>0</v>
      </c>
      <c r="BB512" s="84">
        <f>Input!AU121</f>
        <v>0</v>
      </c>
      <c r="BC512" s="84">
        <f>Input!AV121</f>
        <v>0</v>
      </c>
      <c r="BD512" s="84">
        <f>Input!AW121</f>
        <v>0</v>
      </c>
      <c r="BE512" s="84">
        <f>Input!AX121</f>
        <v>0</v>
      </c>
      <c r="BF512" s="84">
        <f>Input!AY121</f>
        <v>0</v>
      </c>
      <c r="BG512" s="84">
        <f>Input!AZ121</f>
        <v>0</v>
      </c>
      <c r="BH512" s="84">
        <f>Input!BA121</f>
        <v>0</v>
      </c>
      <c r="BI512" s="84">
        <f>Input!BB121</f>
        <v>0</v>
      </c>
      <c r="BJ512" s="84">
        <f>Input!BC121</f>
        <v>0</v>
      </c>
      <c r="BK512" s="84">
        <f>Input!BD121</f>
        <v>0</v>
      </c>
      <c r="BL512" s="84">
        <f>Input!BE121</f>
        <v>0</v>
      </c>
      <c r="BM512" s="84">
        <f>Input!BF121</f>
        <v>0</v>
      </c>
      <c r="BN512" s="84">
        <f>Input!BG121</f>
        <v>0</v>
      </c>
      <c r="BO512" s="84">
        <f>Input!BH121</f>
        <v>0</v>
      </c>
      <c r="BP512" s="84">
        <f>Input!BI121</f>
        <v>0</v>
      </c>
      <c r="BQ512" s="84">
        <f>Input!BJ121</f>
        <v>0</v>
      </c>
      <c r="BR512" s="84">
        <f>Input!BK121</f>
        <v>0</v>
      </c>
      <c r="BS512" s="84">
        <f>Input!BL121</f>
        <v>0</v>
      </c>
      <c r="BT512" s="84">
        <f>Input!BM121</f>
        <v>0</v>
      </c>
      <c r="BU512" s="84">
        <f>Input!BN121</f>
        <v>0</v>
      </c>
      <c r="BV512" s="84">
        <f>Input!BO121</f>
        <v>0</v>
      </c>
      <c r="BW512" s="84">
        <f>Input!BP121</f>
        <v>0</v>
      </c>
      <c r="BX512" s="84">
        <f>Input!BQ121</f>
        <v>0</v>
      </c>
      <c r="BY512" s="84">
        <f>Input!BR121</f>
        <v>0</v>
      </c>
      <c r="BZ512" s="84">
        <f>Input!BS121</f>
        <v>0</v>
      </c>
      <c r="CA512" s="84">
        <f>Input!BT121</f>
        <v>0</v>
      </c>
      <c r="CB512" s="84">
        <f>Input!BU121</f>
        <v>0</v>
      </c>
      <c r="CC512" s="84">
        <f>Input!BV121</f>
        <v>0</v>
      </c>
      <c r="CD512" s="84">
        <f>Input!BW121</f>
        <v>0</v>
      </c>
      <c r="CE512" s="1171"/>
      <c r="CF512" s="1171"/>
      <c r="CG512" s="1171"/>
      <c r="CH512" s="1171"/>
      <c r="CI512" s="1171"/>
    </row>
    <row r="513" spans="11:87" ht="12" customHeight="1" x14ac:dyDescent="0.35">
      <c r="K513" s="13">
        <v>15</v>
      </c>
      <c r="L513" s="415">
        <f>Input!D122</f>
        <v>0</v>
      </c>
      <c r="M513" s="416">
        <f>IF(Input!$F$107&gt;=K513,Input!G122,0)</f>
        <v>0</v>
      </c>
      <c r="N513" s="1058">
        <f>Input!H122</f>
        <v>0</v>
      </c>
      <c r="O513" s="1058">
        <f>Input!I122</f>
        <v>0</v>
      </c>
      <c r="P513" s="417">
        <f>Input!J122</f>
        <v>0</v>
      </c>
      <c r="Q513" s="418">
        <f>Input!L122</f>
        <v>0</v>
      </c>
      <c r="R513" s="418">
        <f>Input!K122</f>
        <v>0</v>
      </c>
      <c r="S513" s="419">
        <f>Input!M122</f>
        <v>0</v>
      </c>
      <c r="T513" s="13"/>
      <c r="U513" s="13">
        <f>IFERROR(IF(N513&lt;&gt;0,VLOOKUP(N513,Calcs!$B$278:$C$337,2,FALSE),0),0)</f>
        <v>0</v>
      </c>
      <c r="V513" s="13">
        <f>IFERROR(IF(O513&lt;&gt;0,VLOOKUP(O513,Calcs!$B$278:$C$337,2,FALSE),0),0)</f>
        <v>0</v>
      </c>
      <c r="W513" s="13">
        <f>Input!P122</f>
        <v>0</v>
      </c>
      <c r="X513" s="13">
        <f>Input!Q122</f>
        <v>0</v>
      </c>
      <c r="Y513" s="13">
        <f>Input!R122</f>
        <v>0</v>
      </c>
      <c r="Z513" s="13">
        <f>Input!S122</f>
        <v>0</v>
      </c>
      <c r="AA513" s="13">
        <f>Input!T122</f>
        <v>0</v>
      </c>
      <c r="AB513" s="13">
        <f>Input!U122</f>
        <v>0</v>
      </c>
      <c r="AC513" s="13">
        <f>Input!V122</f>
        <v>0</v>
      </c>
      <c r="AD513" s="13">
        <f>Input!W122</f>
        <v>0</v>
      </c>
      <c r="AE513" s="13">
        <f>Input!X122</f>
        <v>0</v>
      </c>
      <c r="AF513" s="84">
        <f>Input!Y122</f>
        <v>0</v>
      </c>
      <c r="AG513" s="84">
        <f>Input!Z122</f>
        <v>0</v>
      </c>
      <c r="AH513" s="84">
        <f>Input!AA122</f>
        <v>0</v>
      </c>
      <c r="AI513" s="84">
        <f>Input!AB122</f>
        <v>0</v>
      </c>
      <c r="AJ513" s="84">
        <f>Input!AC122</f>
        <v>0</v>
      </c>
      <c r="AK513" s="84">
        <f>Input!AD122</f>
        <v>0</v>
      </c>
      <c r="AL513" s="84">
        <f>Input!AE122</f>
        <v>0</v>
      </c>
      <c r="AM513" s="84">
        <f>Input!AF122</f>
        <v>0</v>
      </c>
      <c r="AN513" s="84">
        <f>Input!AG122</f>
        <v>0</v>
      </c>
      <c r="AO513" s="84">
        <f>Input!AH122</f>
        <v>0</v>
      </c>
      <c r="AP513" s="84">
        <f>Input!AI122</f>
        <v>0</v>
      </c>
      <c r="AQ513" s="84">
        <f>Input!AJ122</f>
        <v>0</v>
      </c>
      <c r="AR513" s="84">
        <f>Input!AK122</f>
        <v>0</v>
      </c>
      <c r="AS513" s="84">
        <f>Input!AL122</f>
        <v>0</v>
      </c>
      <c r="AT513" s="84">
        <f>Input!AM122</f>
        <v>0</v>
      </c>
      <c r="AU513" s="84">
        <f>Input!AN122</f>
        <v>0</v>
      </c>
      <c r="AV513" s="84">
        <f>Input!AO122</f>
        <v>0</v>
      </c>
      <c r="AW513" s="84">
        <f>Input!AP122</f>
        <v>0</v>
      </c>
      <c r="AX513" s="84">
        <f>Input!AQ122</f>
        <v>0</v>
      </c>
      <c r="AY513" s="84">
        <f>Input!AR122</f>
        <v>0</v>
      </c>
      <c r="AZ513" s="84">
        <f>Input!AS122</f>
        <v>0</v>
      </c>
      <c r="BA513" s="84">
        <f>Input!AT122</f>
        <v>0</v>
      </c>
      <c r="BB513" s="84">
        <f>Input!AU122</f>
        <v>0</v>
      </c>
      <c r="BC513" s="84">
        <f>Input!AV122</f>
        <v>0</v>
      </c>
      <c r="BD513" s="84">
        <f>Input!AW122</f>
        <v>0</v>
      </c>
      <c r="BE513" s="84">
        <f>Input!AX122</f>
        <v>0</v>
      </c>
      <c r="BF513" s="84">
        <f>Input!AY122</f>
        <v>0</v>
      </c>
      <c r="BG513" s="84">
        <f>Input!AZ122</f>
        <v>0</v>
      </c>
      <c r="BH513" s="84">
        <f>Input!BA122</f>
        <v>0</v>
      </c>
      <c r="BI513" s="84">
        <f>Input!BB122</f>
        <v>0</v>
      </c>
      <c r="BJ513" s="84">
        <f>Input!BC122</f>
        <v>0</v>
      </c>
      <c r="BK513" s="84">
        <f>Input!BD122</f>
        <v>0</v>
      </c>
      <c r="BL513" s="84">
        <f>Input!BE122</f>
        <v>0</v>
      </c>
      <c r="BM513" s="84">
        <f>Input!BF122</f>
        <v>0</v>
      </c>
      <c r="BN513" s="84">
        <f>Input!BG122</f>
        <v>0</v>
      </c>
      <c r="BO513" s="84">
        <f>Input!BH122</f>
        <v>0</v>
      </c>
      <c r="BP513" s="84">
        <f>Input!BI122</f>
        <v>0</v>
      </c>
      <c r="BQ513" s="84">
        <f>Input!BJ122</f>
        <v>0</v>
      </c>
      <c r="BR513" s="84">
        <f>Input!BK122</f>
        <v>0</v>
      </c>
      <c r="BS513" s="84">
        <f>Input!BL122</f>
        <v>0</v>
      </c>
      <c r="BT513" s="84">
        <f>Input!BM122</f>
        <v>0</v>
      </c>
      <c r="BU513" s="84">
        <f>Input!BN122</f>
        <v>0</v>
      </c>
      <c r="BV513" s="84">
        <f>Input!BO122</f>
        <v>0</v>
      </c>
      <c r="BW513" s="84">
        <f>Input!BP122</f>
        <v>0</v>
      </c>
      <c r="BX513" s="84">
        <f>Input!BQ122</f>
        <v>0</v>
      </c>
      <c r="BY513" s="84">
        <f>Input!BR122</f>
        <v>0</v>
      </c>
      <c r="BZ513" s="84">
        <f>Input!BS122</f>
        <v>0</v>
      </c>
      <c r="CA513" s="84">
        <f>Input!BT122</f>
        <v>0</v>
      </c>
      <c r="CB513" s="84">
        <f>Input!BU122</f>
        <v>0</v>
      </c>
      <c r="CC513" s="84">
        <f>Input!BV122</f>
        <v>0</v>
      </c>
      <c r="CD513" s="84">
        <f>Input!BW122</f>
        <v>0</v>
      </c>
      <c r="CE513" s="1171"/>
      <c r="CF513" s="1171"/>
      <c r="CG513" s="1171"/>
      <c r="CH513" s="1171"/>
      <c r="CI513" s="1171"/>
    </row>
    <row r="514" spans="11:87" ht="12" customHeight="1" x14ac:dyDescent="0.35">
      <c r="K514" s="13">
        <v>16</v>
      </c>
      <c r="L514" s="415">
        <f>Input!D123</f>
        <v>0</v>
      </c>
      <c r="M514" s="416">
        <f>IF(Input!$F$107&gt;=K514,Input!G123,0)</f>
        <v>0</v>
      </c>
      <c r="N514" s="1058">
        <f>Input!H123</f>
        <v>0</v>
      </c>
      <c r="O514" s="1058">
        <f>Input!I123</f>
        <v>0</v>
      </c>
      <c r="P514" s="417">
        <f>Input!J123</f>
        <v>0</v>
      </c>
      <c r="Q514" s="418">
        <f>Input!L123</f>
        <v>0</v>
      </c>
      <c r="R514" s="418">
        <f>Input!K123</f>
        <v>0</v>
      </c>
      <c r="S514" s="419">
        <f>Input!M123</f>
        <v>0</v>
      </c>
      <c r="T514" s="13"/>
      <c r="U514" s="13">
        <f>IFERROR(IF(N514&lt;&gt;0,VLOOKUP(N514,Calcs!$B$278:$C$337,2,FALSE),0),0)</f>
        <v>0</v>
      </c>
      <c r="V514" s="13">
        <f>IFERROR(IF(O514&lt;&gt;0,VLOOKUP(O514,Calcs!$B$278:$C$337,2,FALSE),0),0)</f>
        <v>0</v>
      </c>
      <c r="W514" s="13">
        <f>Input!P123</f>
        <v>0</v>
      </c>
      <c r="X514" s="13">
        <f>Input!Q123</f>
        <v>0</v>
      </c>
      <c r="Y514" s="13">
        <f>Input!R123</f>
        <v>0</v>
      </c>
      <c r="Z514" s="13">
        <f>Input!S123</f>
        <v>0</v>
      </c>
      <c r="AA514" s="13">
        <f>Input!T123</f>
        <v>0</v>
      </c>
      <c r="AB514" s="13">
        <f>Input!U123</f>
        <v>0</v>
      </c>
      <c r="AC514" s="13">
        <f>Input!V123</f>
        <v>0</v>
      </c>
      <c r="AD514" s="13">
        <f>Input!W123</f>
        <v>0</v>
      </c>
      <c r="AE514" s="13">
        <f>Input!X123</f>
        <v>0</v>
      </c>
      <c r="AF514" s="84">
        <f>Input!Y123</f>
        <v>0</v>
      </c>
      <c r="AG514" s="84">
        <f>Input!Z123</f>
        <v>0</v>
      </c>
      <c r="AH514" s="84">
        <f>Input!AA123</f>
        <v>0</v>
      </c>
      <c r="AI514" s="84">
        <f>Input!AB123</f>
        <v>0</v>
      </c>
      <c r="AJ514" s="84">
        <f>Input!AC123</f>
        <v>0</v>
      </c>
      <c r="AK514" s="84">
        <f>Input!AD123</f>
        <v>0</v>
      </c>
      <c r="AL514" s="84">
        <f>Input!AE123</f>
        <v>0</v>
      </c>
      <c r="AM514" s="84">
        <f>Input!AF123</f>
        <v>0</v>
      </c>
      <c r="AN514" s="84">
        <f>Input!AG123</f>
        <v>0</v>
      </c>
      <c r="AO514" s="84">
        <f>Input!AH123</f>
        <v>0</v>
      </c>
      <c r="AP514" s="84">
        <f>Input!AI123</f>
        <v>0</v>
      </c>
      <c r="AQ514" s="84">
        <f>Input!AJ123</f>
        <v>0</v>
      </c>
      <c r="AR514" s="84">
        <f>Input!AK123</f>
        <v>0</v>
      </c>
      <c r="AS514" s="84">
        <f>Input!AL123</f>
        <v>0</v>
      </c>
      <c r="AT514" s="84">
        <f>Input!AM123</f>
        <v>0</v>
      </c>
      <c r="AU514" s="84">
        <f>Input!AN123</f>
        <v>0</v>
      </c>
      <c r="AV514" s="84">
        <f>Input!AO123</f>
        <v>0</v>
      </c>
      <c r="AW514" s="84">
        <f>Input!AP123</f>
        <v>0</v>
      </c>
      <c r="AX514" s="84">
        <f>Input!AQ123</f>
        <v>0</v>
      </c>
      <c r="AY514" s="84">
        <f>Input!AR123</f>
        <v>0</v>
      </c>
      <c r="AZ514" s="84">
        <f>Input!AS123</f>
        <v>0</v>
      </c>
      <c r="BA514" s="84">
        <f>Input!AT123</f>
        <v>0</v>
      </c>
      <c r="BB514" s="84">
        <f>Input!AU123</f>
        <v>0</v>
      </c>
      <c r="BC514" s="84">
        <f>Input!AV123</f>
        <v>0</v>
      </c>
      <c r="BD514" s="84">
        <f>Input!AW123</f>
        <v>0</v>
      </c>
      <c r="BE514" s="84">
        <f>Input!AX123</f>
        <v>0</v>
      </c>
      <c r="BF514" s="84">
        <f>Input!AY123</f>
        <v>0</v>
      </c>
      <c r="BG514" s="84">
        <f>Input!AZ123</f>
        <v>0</v>
      </c>
      <c r="BH514" s="84">
        <f>Input!BA123</f>
        <v>0</v>
      </c>
      <c r="BI514" s="84">
        <f>Input!BB123</f>
        <v>0</v>
      </c>
      <c r="BJ514" s="84">
        <f>Input!BC123</f>
        <v>0</v>
      </c>
      <c r="BK514" s="84">
        <f>Input!BD123</f>
        <v>0</v>
      </c>
      <c r="BL514" s="84">
        <f>Input!BE123</f>
        <v>0</v>
      </c>
      <c r="BM514" s="84">
        <f>Input!BF123</f>
        <v>0</v>
      </c>
      <c r="BN514" s="84">
        <f>Input!BG123</f>
        <v>0</v>
      </c>
      <c r="BO514" s="84">
        <f>Input!BH123</f>
        <v>0</v>
      </c>
      <c r="BP514" s="84">
        <f>Input!BI123</f>
        <v>0</v>
      </c>
      <c r="BQ514" s="84">
        <f>Input!BJ123</f>
        <v>0</v>
      </c>
      <c r="BR514" s="84">
        <f>Input!BK123</f>
        <v>0</v>
      </c>
      <c r="BS514" s="84">
        <f>Input!BL123</f>
        <v>0</v>
      </c>
      <c r="BT514" s="84">
        <f>Input!BM123</f>
        <v>0</v>
      </c>
      <c r="BU514" s="84">
        <f>Input!BN123</f>
        <v>0</v>
      </c>
      <c r="BV514" s="84">
        <f>Input!BO123</f>
        <v>0</v>
      </c>
      <c r="BW514" s="84">
        <f>Input!BP123</f>
        <v>0</v>
      </c>
      <c r="BX514" s="84">
        <f>Input!BQ123</f>
        <v>0</v>
      </c>
      <c r="BY514" s="84">
        <f>Input!BR123</f>
        <v>0</v>
      </c>
      <c r="BZ514" s="84">
        <f>Input!BS123</f>
        <v>0</v>
      </c>
      <c r="CA514" s="84">
        <f>Input!BT123</f>
        <v>0</v>
      </c>
      <c r="CB514" s="84">
        <f>Input!BU123</f>
        <v>0</v>
      </c>
      <c r="CC514" s="84">
        <f>Input!BV123</f>
        <v>0</v>
      </c>
      <c r="CD514" s="84">
        <f>Input!BW123</f>
        <v>0</v>
      </c>
      <c r="CE514" s="1171"/>
      <c r="CF514" s="1171"/>
      <c r="CG514" s="1171"/>
      <c r="CH514" s="1171"/>
      <c r="CI514" s="1171"/>
    </row>
    <row r="515" spans="11:87" ht="12" customHeight="1" x14ac:dyDescent="0.35">
      <c r="K515" s="13">
        <v>17</v>
      </c>
      <c r="L515" s="415">
        <f>Input!D124</f>
        <v>0</v>
      </c>
      <c r="M515" s="416">
        <f>IF(Input!$F$107&gt;=K515,Input!G124,0)</f>
        <v>0</v>
      </c>
      <c r="N515" s="1058">
        <f>Input!H124</f>
        <v>0</v>
      </c>
      <c r="O515" s="1058">
        <f>Input!I124</f>
        <v>0</v>
      </c>
      <c r="P515" s="417">
        <f>Input!J124</f>
        <v>0</v>
      </c>
      <c r="Q515" s="418">
        <f>Input!L124</f>
        <v>0</v>
      </c>
      <c r="R515" s="418">
        <f>Input!K124</f>
        <v>0</v>
      </c>
      <c r="S515" s="419">
        <f>Input!M124</f>
        <v>0</v>
      </c>
      <c r="T515" s="13"/>
      <c r="U515" s="13">
        <f>IFERROR(IF(N515&lt;&gt;0,VLOOKUP(N515,Calcs!$B$278:$C$337,2,FALSE),0),0)</f>
        <v>0</v>
      </c>
      <c r="V515" s="13">
        <f>IFERROR(IF(O515&lt;&gt;0,VLOOKUP(O515,Calcs!$B$278:$C$337,2,FALSE),0),0)</f>
        <v>0</v>
      </c>
      <c r="W515" s="13">
        <f>Input!P124</f>
        <v>0</v>
      </c>
      <c r="X515" s="13">
        <f>Input!Q124</f>
        <v>0</v>
      </c>
      <c r="Y515" s="13">
        <f>Input!R124</f>
        <v>0</v>
      </c>
      <c r="Z515" s="13">
        <f>Input!S124</f>
        <v>0</v>
      </c>
      <c r="AA515" s="13">
        <f>Input!T124</f>
        <v>0</v>
      </c>
      <c r="AB515" s="13">
        <f>Input!U124</f>
        <v>0</v>
      </c>
      <c r="AC515" s="13">
        <f>Input!V124</f>
        <v>0</v>
      </c>
      <c r="AD515" s="13">
        <f>Input!W124</f>
        <v>0</v>
      </c>
      <c r="AE515" s="13">
        <f>Input!X124</f>
        <v>0</v>
      </c>
      <c r="AF515" s="84">
        <f>Input!Y124</f>
        <v>0</v>
      </c>
      <c r="AG515" s="84">
        <f>Input!Z124</f>
        <v>0</v>
      </c>
      <c r="AH515" s="84">
        <f>Input!AA124</f>
        <v>0</v>
      </c>
      <c r="AI515" s="84">
        <f>Input!AB124</f>
        <v>0</v>
      </c>
      <c r="AJ515" s="84">
        <f>Input!AC124</f>
        <v>0</v>
      </c>
      <c r="AK515" s="84">
        <f>Input!AD124</f>
        <v>0</v>
      </c>
      <c r="AL515" s="84">
        <f>Input!AE124</f>
        <v>0</v>
      </c>
      <c r="AM515" s="84">
        <f>Input!AF124</f>
        <v>0</v>
      </c>
      <c r="AN515" s="84">
        <f>Input!AG124</f>
        <v>0</v>
      </c>
      <c r="AO515" s="84">
        <f>Input!AH124</f>
        <v>0</v>
      </c>
      <c r="AP515" s="84">
        <f>Input!AI124</f>
        <v>0</v>
      </c>
      <c r="AQ515" s="84">
        <f>Input!AJ124</f>
        <v>0</v>
      </c>
      <c r="AR515" s="84">
        <f>Input!AK124</f>
        <v>0</v>
      </c>
      <c r="AS515" s="84">
        <f>Input!AL124</f>
        <v>0</v>
      </c>
      <c r="AT515" s="84">
        <f>Input!AM124</f>
        <v>0</v>
      </c>
      <c r="AU515" s="84">
        <f>Input!AN124</f>
        <v>0</v>
      </c>
      <c r="AV515" s="84">
        <f>Input!AO124</f>
        <v>0</v>
      </c>
      <c r="AW515" s="84">
        <f>Input!AP124</f>
        <v>0</v>
      </c>
      <c r="AX515" s="84">
        <f>Input!AQ124</f>
        <v>0</v>
      </c>
      <c r="AY515" s="84">
        <f>Input!AR124</f>
        <v>0</v>
      </c>
      <c r="AZ515" s="84">
        <f>Input!AS124</f>
        <v>0</v>
      </c>
      <c r="BA515" s="84">
        <f>Input!AT124</f>
        <v>0</v>
      </c>
      <c r="BB515" s="84">
        <f>Input!AU124</f>
        <v>0</v>
      </c>
      <c r="BC515" s="84">
        <f>Input!AV124</f>
        <v>0</v>
      </c>
      <c r="BD515" s="84">
        <f>Input!AW124</f>
        <v>0</v>
      </c>
      <c r="BE515" s="84">
        <f>Input!AX124</f>
        <v>0</v>
      </c>
      <c r="BF515" s="84">
        <f>Input!AY124</f>
        <v>0</v>
      </c>
      <c r="BG515" s="84">
        <f>Input!AZ124</f>
        <v>0</v>
      </c>
      <c r="BH515" s="84">
        <f>Input!BA124</f>
        <v>0</v>
      </c>
      <c r="BI515" s="84">
        <f>Input!BB124</f>
        <v>0</v>
      </c>
      <c r="BJ515" s="84">
        <f>Input!BC124</f>
        <v>0</v>
      </c>
      <c r="BK515" s="84">
        <f>Input!BD124</f>
        <v>0</v>
      </c>
      <c r="BL515" s="84">
        <f>Input!BE124</f>
        <v>0</v>
      </c>
      <c r="BM515" s="84">
        <f>Input!BF124</f>
        <v>0</v>
      </c>
      <c r="BN515" s="84">
        <f>Input!BG124</f>
        <v>0</v>
      </c>
      <c r="BO515" s="84">
        <f>Input!BH124</f>
        <v>0</v>
      </c>
      <c r="BP515" s="84">
        <f>Input!BI124</f>
        <v>0</v>
      </c>
      <c r="BQ515" s="84">
        <f>Input!BJ124</f>
        <v>0</v>
      </c>
      <c r="BR515" s="84">
        <f>Input!BK124</f>
        <v>0</v>
      </c>
      <c r="BS515" s="84">
        <f>Input!BL124</f>
        <v>0</v>
      </c>
      <c r="BT515" s="84">
        <f>Input!BM124</f>
        <v>0</v>
      </c>
      <c r="BU515" s="84">
        <f>Input!BN124</f>
        <v>0</v>
      </c>
      <c r="BV515" s="84">
        <f>Input!BO124</f>
        <v>0</v>
      </c>
      <c r="BW515" s="84">
        <f>Input!BP124</f>
        <v>0</v>
      </c>
      <c r="BX515" s="84">
        <f>Input!BQ124</f>
        <v>0</v>
      </c>
      <c r="BY515" s="84">
        <f>Input!BR124</f>
        <v>0</v>
      </c>
      <c r="BZ515" s="84">
        <f>Input!BS124</f>
        <v>0</v>
      </c>
      <c r="CA515" s="84">
        <f>Input!BT124</f>
        <v>0</v>
      </c>
      <c r="CB515" s="84">
        <f>Input!BU124</f>
        <v>0</v>
      </c>
      <c r="CC515" s="84">
        <f>Input!BV124</f>
        <v>0</v>
      </c>
      <c r="CD515" s="84">
        <f>Input!BW124</f>
        <v>0</v>
      </c>
      <c r="CE515" s="1171"/>
      <c r="CF515" s="1171"/>
      <c r="CG515" s="1171"/>
      <c r="CH515" s="1171"/>
      <c r="CI515" s="1171"/>
    </row>
    <row r="516" spans="11:87" ht="12" customHeight="1" x14ac:dyDescent="0.35">
      <c r="K516" s="13">
        <v>18</v>
      </c>
      <c r="L516" s="415">
        <f>Input!D125</f>
        <v>0</v>
      </c>
      <c r="M516" s="416">
        <f>IF(Input!$F$107&gt;=K516,Input!G125,0)</f>
        <v>0</v>
      </c>
      <c r="N516" s="1058">
        <f>Input!H125</f>
        <v>0</v>
      </c>
      <c r="O516" s="1058">
        <f>Input!I125</f>
        <v>0</v>
      </c>
      <c r="P516" s="417">
        <f>Input!J125</f>
        <v>0</v>
      </c>
      <c r="Q516" s="418">
        <f>Input!L125</f>
        <v>0</v>
      </c>
      <c r="R516" s="418">
        <f>Input!K125</f>
        <v>0</v>
      </c>
      <c r="S516" s="419">
        <f>Input!M125</f>
        <v>0</v>
      </c>
      <c r="T516" s="13"/>
      <c r="U516" s="13">
        <f>IFERROR(IF(N516&lt;&gt;0,VLOOKUP(N516,Calcs!$B$278:$C$337,2,FALSE),0),0)</f>
        <v>0</v>
      </c>
      <c r="V516" s="13">
        <f>IFERROR(IF(O516&lt;&gt;0,VLOOKUP(O516,Calcs!$B$278:$C$337,2,FALSE),0),0)</f>
        <v>0</v>
      </c>
      <c r="W516" s="13">
        <f>Input!P125</f>
        <v>0</v>
      </c>
      <c r="X516" s="13">
        <f>Input!Q125</f>
        <v>0</v>
      </c>
      <c r="Y516" s="13">
        <f>Input!R125</f>
        <v>0</v>
      </c>
      <c r="Z516" s="13">
        <f>Input!S125</f>
        <v>0</v>
      </c>
      <c r="AA516" s="13">
        <f>Input!T125</f>
        <v>0</v>
      </c>
      <c r="AB516" s="13">
        <f>Input!U125</f>
        <v>0</v>
      </c>
      <c r="AC516" s="13">
        <f>Input!V125</f>
        <v>0</v>
      </c>
      <c r="AD516" s="13">
        <f>Input!W125</f>
        <v>0</v>
      </c>
      <c r="AE516" s="13">
        <f>Input!X125</f>
        <v>0</v>
      </c>
      <c r="AF516" s="84">
        <f>Input!Y125</f>
        <v>0</v>
      </c>
      <c r="AG516" s="84">
        <f>Input!Z125</f>
        <v>0</v>
      </c>
      <c r="AH516" s="84">
        <f>Input!AA125</f>
        <v>0</v>
      </c>
      <c r="AI516" s="84">
        <f>Input!AB125</f>
        <v>0</v>
      </c>
      <c r="AJ516" s="84">
        <f>Input!AC125</f>
        <v>0</v>
      </c>
      <c r="AK516" s="84">
        <f>Input!AD125</f>
        <v>0</v>
      </c>
      <c r="AL516" s="84">
        <f>Input!AE125</f>
        <v>0</v>
      </c>
      <c r="AM516" s="84">
        <f>Input!AF125</f>
        <v>0</v>
      </c>
      <c r="AN516" s="84">
        <f>Input!AG125</f>
        <v>0</v>
      </c>
      <c r="AO516" s="84">
        <f>Input!AH125</f>
        <v>0</v>
      </c>
      <c r="AP516" s="84">
        <f>Input!AI125</f>
        <v>0</v>
      </c>
      <c r="AQ516" s="84">
        <f>Input!AJ125</f>
        <v>0</v>
      </c>
      <c r="AR516" s="84">
        <f>Input!AK125</f>
        <v>0</v>
      </c>
      <c r="AS516" s="84">
        <f>Input!AL125</f>
        <v>0</v>
      </c>
      <c r="AT516" s="84">
        <f>Input!AM125</f>
        <v>0</v>
      </c>
      <c r="AU516" s="84">
        <f>Input!AN125</f>
        <v>0</v>
      </c>
      <c r="AV516" s="84">
        <f>Input!AO125</f>
        <v>0</v>
      </c>
      <c r="AW516" s="84">
        <f>Input!AP125</f>
        <v>0</v>
      </c>
      <c r="AX516" s="84">
        <f>Input!AQ125</f>
        <v>0</v>
      </c>
      <c r="AY516" s="84">
        <f>Input!AR125</f>
        <v>0</v>
      </c>
      <c r="AZ516" s="84">
        <f>Input!AS125</f>
        <v>0</v>
      </c>
      <c r="BA516" s="84">
        <f>Input!AT125</f>
        <v>0</v>
      </c>
      <c r="BB516" s="84">
        <f>Input!AU125</f>
        <v>0</v>
      </c>
      <c r="BC516" s="84">
        <f>Input!AV125</f>
        <v>0</v>
      </c>
      <c r="BD516" s="84">
        <f>Input!AW125</f>
        <v>0</v>
      </c>
      <c r="BE516" s="84">
        <f>Input!AX125</f>
        <v>0</v>
      </c>
      <c r="BF516" s="84">
        <f>Input!AY125</f>
        <v>0</v>
      </c>
      <c r="BG516" s="84">
        <f>Input!AZ125</f>
        <v>0</v>
      </c>
      <c r="BH516" s="84">
        <f>Input!BA125</f>
        <v>0</v>
      </c>
      <c r="BI516" s="84">
        <f>Input!BB125</f>
        <v>0</v>
      </c>
      <c r="BJ516" s="84">
        <f>Input!BC125</f>
        <v>0</v>
      </c>
      <c r="BK516" s="84">
        <f>Input!BD125</f>
        <v>0</v>
      </c>
      <c r="BL516" s="84">
        <f>Input!BE125</f>
        <v>0</v>
      </c>
      <c r="BM516" s="84">
        <f>Input!BF125</f>
        <v>0</v>
      </c>
      <c r="BN516" s="84">
        <f>Input!BG125</f>
        <v>0</v>
      </c>
      <c r="BO516" s="84">
        <f>Input!BH125</f>
        <v>0</v>
      </c>
      <c r="BP516" s="84">
        <f>Input!BI125</f>
        <v>0</v>
      </c>
      <c r="BQ516" s="84">
        <f>Input!BJ125</f>
        <v>0</v>
      </c>
      <c r="BR516" s="84">
        <f>Input!BK125</f>
        <v>0</v>
      </c>
      <c r="BS516" s="84">
        <f>Input!BL125</f>
        <v>0</v>
      </c>
      <c r="BT516" s="84">
        <f>Input!BM125</f>
        <v>0</v>
      </c>
      <c r="BU516" s="84">
        <f>Input!BN125</f>
        <v>0</v>
      </c>
      <c r="BV516" s="84">
        <f>Input!BO125</f>
        <v>0</v>
      </c>
      <c r="BW516" s="84">
        <f>Input!BP125</f>
        <v>0</v>
      </c>
      <c r="BX516" s="84">
        <f>Input!BQ125</f>
        <v>0</v>
      </c>
      <c r="BY516" s="84">
        <f>Input!BR125</f>
        <v>0</v>
      </c>
      <c r="BZ516" s="84">
        <f>Input!BS125</f>
        <v>0</v>
      </c>
      <c r="CA516" s="84">
        <f>Input!BT125</f>
        <v>0</v>
      </c>
      <c r="CB516" s="84">
        <f>Input!BU125</f>
        <v>0</v>
      </c>
      <c r="CC516" s="84">
        <f>Input!BV125</f>
        <v>0</v>
      </c>
      <c r="CD516" s="84">
        <f>Input!BW125</f>
        <v>0</v>
      </c>
      <c r="CE516" s="1171"/>
      <c r="CF516" s="1171"/>
      <c r="CG516" s="1171"/>
      <c r="CH516" s="1171"/>
      <c r="CI516" s="1171"/>
    </row>
    <row r="517" spans="11:87" ht="12" customHeight="1" x14ac:dyDescent="0.35">
      <c r="K517" s="13">
        <v>19</v>
      </c>
      <c r="L517" s="415">
        <f>Input!D126</f>
        <v>0</v>
      </c>
      <c r="M517" s="416">
        <f>IF(Input!$F$107&gt;=K517,Input!G126,0)</f>
        <v>0</v>
      </c>
      <c r="N517" s="1058">
        <f>Input!H126</f>
        <v>0</v>
      </c>
      <c r="O517" s="1058">
        <f>Input!I126</f>
        <v>0</v>
      </c>
      <c r="P517" s="417">
        <f>Input!J126</f>
        <v>0</v>
      </c>
      <c r="Q517" s="418">
        <f>Input!L126</f>
        <v>0</v>
      </c>
      <c r="R517" s="418">
        <f>Input!K126</f>
        <v>0</v>
      </c>
      <c r="S517" s="419">
        <f>Input!M126</f>
        <v>0</v>
      </c>
      <c r="T517" s="13"/>
      <c r="U517" s="13">
        <f>IFERROR(IF(N517&lt;&gt;0,VLOOKUP(N517,Calcs!$B$278:$C$337,2,FALSE),0),0)</f>
        <v>0</v>
      </c>
      <c r="V517" s="13">
        <f>IFERROR(IF(O517&lt;&gt;0,VLOOKUP(O517,Calcs!$B$278:$C$337,2,FALSE),0),0)</f>
        <v>0</v>
      </c>
      <c r="W517" s="13">
        <f>Input!P126</f>
        <v>0</v>
      </c>
      <c r="X517" s="13">
        <f>Input!Q126</f>
        <v>0</v>
      </c>
      <c r="Y517" s="13">
        <f>Input!R126</f>
        <v>0</v>
      </c>
      <c r="Z517" s="13">
        <f>Input!S126</f>
        <v>0</v>
      </c>
      <c r="AA517" s="13">
        <f>Input!T126</f>
        <v>0</v>
      </c>
      <c r="AB517" s="13">
        <f>Input!U126</f>
        <v>0</v>
      </c>
      <c r="AC517" s="13">
        <f>Input!V126</f>
        <v>0</v>
      </c>
      <c r="AD517" s="13">
        <f>Input!W126</f>
        <v>0</v>
      </c>
      <c r="AE517" s="13">
        <f>Input!X126</f>
        <v>0</v>
      </c>
      <c r="AF517" s="84">
        <f>Input!Y126</f>
        <v>0</v>
      </c>
      <c r="AG517" s="84">
        <f>Input!Z126</f>
        <v>0</v>
      </c>
      <c r="AH517" s="84">
        <f>Input!AA126</f>
        <v>0</v>
      </c>
      <c r="AI517" s="84">
        <f>Input!AB126</f>
        <v>0</v>
      </c>
      <c r="AJ517" s="84">
        <f>Input!AC126</f>
        <v>0</v>
      </c>
      <c r="AK517" s="84">
        <f>Input!AD126</f>
        <v>0</v>
      </c>
      <c r="AL517" s="84">
        <f>Input!AE126</f>
        <v>0</v>
      </c>
      <c r="AM517" s="84">
        <f>Input!AF126</f>
        <v>0</v>
      </c>
      <c r="AN517" s="84">
        <f>Input!AG126</f>
        <v>0</v>
      </c>
      <c r="AO517" s="84">
        <f>Input!AH126</f>
        <v>0</v>
      </c>
      <c r="AP517" s="84">
        <f>Input!AI126</f>
        <v>0</v>
      </c>
      <c r="AQ517" s="84">
        <f>Input!AJ126</f>
        <v>0</v>
      </c>
      <c r="AR517" s="84">
        <f>Input!AK126</f>
        <v>0</v>
      </c>
      <c r="AS517" s="84">
        <f>Input!AL126</f>
        <v>0</v>
      </c>
      <c r="AT517" s="84">
        <f>Input!AM126</f>
        <v>0</v>
      </c>
      <c r="AU517" s="84">
        <f>Input!AN126</f>
        <v>0</v>
      </c>
      <c r="AV517" s="84">
        <f>Input!AO126</f>
        <v>0</v>
      </c>
      <c r="AW517" s="84">
        <f>Input!AP126</f>
        <v>0</v>
      </c>
      <c r="AX517" s="84">
        <f>Input!AQ126</f>
        <v>0</v>
      </c>
      <c r="AY517" s="84">
        <f>Input!AR126</f>
        <v>0</v>
      </c>
      <c r="AZ517" s="84">
        <f>Input!AS126</f>
        <v>0</v>
      </c>
      <c r="BA517" s="84">
        <f>Input!AT126</f>
        <v>0</v>
      </c>
      <c r="BB517" s="84">
        <f>Input!AU126</f>
        <v>0</v>
      </c>
      <c r="BC517" s="84">
        <f>Input!AV126</f>
        <v>0</v>
      </c>
      <c r="BD517" s="84">
        <f>Input!AW126</f>
        <v>0</v>
      </c>
      <c r="BE517" s="84">
        <f>Input!AX126</f>
        <v>0</v>
      </c>
      <c r="BF517" s="84">
        <f>Input!AY126</f>
        <v>0</v>
      </c>
      <c r="BG517" s="84">
        <f>Input!AZ126</f>
        <v>0</v>
      </c>
      <c r="BH517" s="84">
        <f>Input!BA126</f>
        <v>0</v>
      </c>
      <c r="BI517" s="84">
        <f>Input!BB126</f>
        <v>0</v>
      </c>
      <c r="BJ517" s="84">
        <f>Input!BC126</f>
        <v>0</v>
      </c>
      <c r="BK517" s="84">
        <f>Input!BD126</f>
        <v>0</v>
      </c>
      <c r="BL517" s="84">
        <f>Input!BE126</f>
        <v>0</v>
      </c>
      <c r="BM517" s="84">
        <f>Input!BF126</f>
        <v>0</v>
      </c>
      <c r="BN517" s="84">
        <f>Input!BG126</f>
        <v>0</v>
      </c>
      <c r="BO517" s="84">
        <f>Input!BH126</f>
        <v>0</v>
      </c>
      <c r="BP517" s="84">
        <f>Input!BI126</f>
        <v>0</v>
      </c>
      <c r="BQ517" s="84">
        <f>Input!BJ126</f>
        <v>0</v>
      </c>
      <c r="BR517" s="84">
        <f>Input!BK126</f>
        <v>0</v>
      </c>
      <c r="BS517" s="84">
        <f>Input!BL126</f>
        <v>0</v>
      </c>
      <c r="BT517" s="84">
        <f>Input!BM126</f>
        <v>0</v>
      </c>
      <c r="BU517" s="84">
        <f>Input!BN126</f>
        <v>0</v>
      </c>
      <c r="BV517" s="84">
        <f>Input!BO126</f>
        <v>0</v>
      </c>
      <c r="BW517" s="84">
        <f>Input!BP126</f>
        <v>0</v>
      </c>
      <c r="BX517" s="84">
        <f>Input!BQ126</f>
        <v>0</v>
      </c>
      <c r="BY517" s="84">
        <f>Input!BR126</f>
        <v>0</v>
      </c>
      <c r="BZ517" s="84">
        <f>Input!BS126</f>
        <v>0</v>
      </c>
      <c r="CA517" s="84">
        <f>Input!BT126</f>
        <v>0</v>
      </c>
      <c r="CB517" s="84">
        <f>Input!BU126</f>
        <v>0</v>
      </c>
      <c r="CC517" s="84">
        <f>Input!BV126</f>
        <v>0</v>
      </c>
      <c r="CD517" s="84">
        <f>Input!BW126</f>
        <v>0</v>
      </c>
      <c r="CE517" s="1171"/>
      <c r="CF517" s="1171"/>
      <c r="CG517" s="1171"/>
      <c r="CH517" s="1171"/>
      <c r="CI517" s="1171"/>
    </row>
    <row r="518" spans="11:87" ht="12" customHeight="1" x14ac:dyDescent="0.35">
      <c r="K518" s="13">
        <v>20</v>
      </c>
      <c r="L518" s="415">
        <f>Input!D127</f>
        <v>0</v>
      </c>
      <c r="M518" s="416">
        <f>IF(Input!$F$107&gt;=K518,Input!G127,0)</f>
        <v>0</v>
      </c>
      <c r="N518" s="1058">
        <f>Input!H127</f>
        <v>0</v>
      </c>
      <c r="O518" s="1058">
        <f>Input!I127</f>
        <v>0</v>
      </c>
      <c r="P518" s="417">
        <f>Input!J127</f>
        <v>0</v>
      </c>
      <c r="Q518" s="418">
        <f>Input!L127</f>
        <v>0</v>
      </c>
      <c r="R518" s="418">
        <f>Input!K127</f>
        <v>0</v>
      </c>
      <c r="S518" s="419">
        <f>Input!M127</f>
        <v>0</v>
      </c>
      <c r="T518" s="13"/>
      <c r="U518" s="13">
        <f>IFERROR(IF(N518&lt;&gt;0,VLOOKUP(N518,Calcs!$B$278:$C$337,2,FALSE),0),0)</f>
        <v>0</v>
      </c>
      <c r="V518" s="13">
        <f>IFERROR(IF(O518&lt;&gt;0,VLOOKUP(O518,Calcs!$B$278:$C$337,2,FALSE),0),0)</f>
        <v>0</v>
      </c>
      <c r="W518" s="13">
        <f>Input!P127</f>
        <v>0</v>
      </c>
      <c r="X518" s="13">
        <f>Input!Q127</f>
        <v>0</v>
      </c>
      <c r="Y518" s="13">
        <f>Input!R127</f>
        <v>0</v>
      </c>
      <c r="Z518" s="13">
        <f>Input!S127</f>
        <v>0</v>
      </c>
      <c r="AA518" s="13">
        <f>Input!T127</f>
        <v>0</v>
      </c>
      <c r="AB518" s="13">
        <f>Input!U127</f>
        <v>0</v>
      </c>
      <c r="AC518" s="13">
        <f>Input!V127</f>
        <v>0</v>
      </c>
      <c r="AD518" s="13">
        <f>Input!W127</f>
        <v>0</v>
      </c>
      <c r="AE518" s="13">
        <f>Input!X127</f>
        <v>0</v>
      </c>
      <c r="AF518" s="84">
        <f>Input!Y127</f>
        <v>0</v>
      </c>
      <c r="AG518" s="84">
        <f>Input!Z127</f>
        <v>0</v>
      </c>
      <c r="AH518" s="84">
        <f>Input!AA127</f>
        <v>0</v>
      </c>
      <c r="AI518" s="84">
        <f>Input!AB127</f>
        <v>0</v>
      </c>
      <c r="AJ518" s="84">
        <f>Input!AC127</f>
        <v>0</v>
      </c>
      <c r="AK518" s="84">
        <f>Input!AD127</f>
        <v>0</v>
      </c>
      <c r="AL518" s="84">
        <f>Input!AE127</f>
        <v>0</v>
      </c>
      <c r="AM518" s="84">
        <f>Input!AF127</f>
        <v>0</v>
      </c>
      <c r="AN518" s="84">
        <f>Input!AG127</f>
        <v>0</v>
      </c>
      <c r="AO518" s="84">
        <f>Input!AH127</f>
        <v>0</v>
      </c>
      <c r="AP518" s="84">
        <f>Input!AI127</f>
        <v>0</v>
      </c>
      <c r="AQ518" s="84">
        <f>Input!AJ127</f>
        <v>0</v>
      </c>
      <c r="AR518" s="84">
        <f>Input!AK127</f>
        <v>0</v>
      </c>
      <c r="AS518" s="84">
        <f>Input!AL127</f>
        <v>0</v>
      </c>
      <c r="AT518" s="84">
        <f>Input!AM127</f>
        <v>0</v>
      </c>
      <c r="AU518" s="84">
        <f>Input!AN127</f>
        <v>0</v>
      </c>
      <c r="AV518" s="84">
        <f>Input!AO127</f>
        <v>0</v>
      </c>
      <c r="AW518" s="84">
        <f>Input!AP127</f>
        <v>0</v>
      </c>
      <c r="AX518" s="84">
        <f>Input!AQ127</f>
        <v>0</v>
      </c>
      <c r="AY518" s="84">
        <f>Input!AR127</f>
        <v>0</v>
      </c>
      <c r="AZ518" s="84">
        <f>Input!AS127</f>
        <v>0</v>
      </c>
      <c r="BA518" s="84">
        <f>Input!AT127</f>
        <v>0</v>
      </c>
      <c r="BB518" s="84">
        <f>Input!AU127</f>
        <v>0</v>
      </c>
      <c r="BC518" s="84">
        <f>Input!AV127</f>
        <v>0</v>
      </c>
      <c r="BD518" s="84">
        <f>Input!AW127</f>
        <v>0</v>
      </c>
      <c r="BE518" s="84">
        <f>Input!AX127</f>
        <v>0</v>
      </c>
      <c r="BF518" s="84">
        <f>Input!AY127</f>
        <v>0</v>
      </c>
      <c r="BG518" s="84">
        <f>Input!AZ127</f>
        <v>0</v>
      </c>
      <c r="BH518" s="84">
        <f>Input!BA127</f>
        <v>0</v>
      </c>
      <c r="BI518" s="84">
        <f>Input!BB127</f>
        <v>0</v>
      </c>
      <c r="BJ518" s="84">
        <f>Input!BC127</f>
        <v>0</v>
      </c>
      <c r="BK518" s="84">
        <f>Input!BD127</f>
        <v>0</v>
      </c>
      <c r="BL518" s="84">
        <f>Input!BE127</f>
        <v>0</v>
      </c>
      <c r="BM518" s="84">
        <f>Input!BF127</f>
        <v>0</v>
      </c>
      <c r="BN518" s="84">
        <f>Input!BG127</f>
        <v>0</v>
      </c>
      <c r="BO518" s="84">
        <f>Input!BH127</f>
        <v>0</v>
      </c>
      <c r="BP518" s="84">
        <f>Input!BI127</f>
        <v>0</v>
      </c>
      <c r="BQ518" s="84">
        <f>Input!BJ127</f>
        <v>0</v>
      </c>
      <c r="BR518" s="84">
        <f>Input!BK127</f>
        <v>0</v>
      </c>
      <c r="BS518" s="84">
        <f>Input!BL127</f>
        <v>0</v>
      </c>
      <c r="BT518" s="84">
        <f>Input!BM127</f>
        <v>0</v>
      </c>
      <c r="BU518" s="84">
        <f>Input!BN127</f>
        <v>0</v>
      </c>
      <c r="BV518" s="84">
        <f>Input!BO127</f>
        <v>0</v>
      </c>
      <c r="BW518" s="84">
        <f>Input!BP127</f>
        <v>0</v>
      </c>
      <c r="BX518" s="84">
        <f>Input!BQ127</f>
        <v>0</v>
      </c>
      <c r="BY518" s="84">
        <f>Input!BR127</f>
        <v>0</v>
      </c>
      <c r="BZ518" s="84">
        <f>Input!BS127</f>
        <v>0</v>
      </c>
      <c r="CA518" s="84">
        <f>Input!BT127</f>
        <v>0</v>
      </c>
      <c r="CB518" s="84">
        <f>Input!BU127</f>
        <v>0</v>
      </c>
      <c r="CC518" s="84">
        <f>Input!BV127</f>
        <v>0</v>
      </c>
      <c r="CD518" s="84">
        <f>Input!BW127</f>
        <v>0</v>
      </c>
      <c r="CE518" s="1171"/>
      <c r="CF518" s="1171"/>
      <c r="CG518" s="1171"/>
      <c r="CH518" s="1171"/>
      <c r="CI518" s="1171"/>
    </row>
    <row r="519" spans="11:87" ht="12" customHeight="1" x14ac:dyDescent="0.35">
      <c r="K519" s="13">
        <v>21</v>
      </c>
      <c r="L519" s="415">
        <f>Input!D128</f>
        <v>0</v>
      </c>
      <c r="M519" s="416">
        <f>IF(Input!$F$107&gt;=K519,Input!G128,0)</f>
        <v>0</v>
      </c>
      <c r="N519" s="1058">
        <f>Input!H128</f>
        <v>0</v>
      </c>
      <c r="O519" s="1058">
        <f>Input!I128</f>
        <v>0</v>
      </c>
      <c r="P519" s="417">
        <f>Input!J128</f>
        <v>0</v>
      </c>
      <c r="Q519" s="418">
        <f>Input!L128</f>
        <v>0</v>
      </c>
      <c r="R519" s="418">
        <f>Input!K128</f>
        <v>0</v>
      </c>
      <c r="S519" s="419">
        <f>Input!M128</f>
        <v>0</v>
      </c>
      <c r="T519" s="13"/>
      <c r="U519" s="13">
        <f>IFERROR(IF(N519&lt;&gt;0,VLOOKUP(N519,Calcs!$B$278:$C$337,2,FALSE),0),0)</f>
        <v>0</v>
      </c>
      <c r="V519" s="13">
        <f>IFERROR(IF(O519&lt;&gt;0,VLOOKUP(O519,Calcs!$B$278:$C$337,2,FALSE),0),0)</f>
        <v>0</v>
      </c>
      <c r="W519" s="13">
        <f>Input!P128</f>
        <v>0</v>
      </c>
      <c r="X519" s="13">
        <f>Input!Q128</f>
        <v>0</v>
      </c>
      <c r="Y519" s="13">
        <f>Input!R128</f>
        <v>0</v>
      </c>
      <c r="Z519" s="13">
        <f>Input!S128</f>
        <v>0</v>
      </c>
      <c r="AA519" s="13">
        <f>Input!T128</f>
        <v>0</v>
      </c>
      <c r="AB519" s="13">
        <f>Input!U128</f>
        <v>0</v>
      </c>
      <c r="AC519" s="13">
        <f>Input!V128</f>
        <v>0</v>
      </c>
      <c r="AD519" s="13">
        <f>Input!W128</f>
        <v>0</v>
      </c>
      <c r="AE519" s="13">
        <f>Input!X128</f>
        <v>0</v>
      </c>
      <c r="AF519" s="84">
        <f>Input!Y128</f>
        <v>0</v>
      </c>
      <c r="AG519" s="84">
        <f>Input!Z128</f>
        <v>0</v>
      </c>
      <c r="AH519" s="84">
        <f>Input!AA128</f>
        <v>0</v>
      </c>
      <c r="AI519" s="84">
        <f>Input!AB128</f>
        <v>0</v>
      </c>
      <c r="AJ519" s="84">
        <f>Input!AC128</f>
        <v>0</v>
      </c>
      <c r="AK519" s="84">
        <f>Input!AD128</f>
        <v>0</v>
      </c>
      <c r="AL519" s="84">
        <f>Input!AE128</f>
        <v>0</v>
      </c>
      <c r="AM519" s="84">
        <f>Input!AF128</f>
        <v>0</v>
      </c>
      <c r="AN519" s="84">
        <f>Input!AG128</f>
        <v>0</v>
      </c>
      <c r="AO519" s="84">
        <f>Input!AH128</f>
        <v>0</v>
      </c>
      <c r="AP519" s="84">
        <f>Input!AI128</f>
        <v>0</v>
      </c>
      <c r="AQ519" s="84">
        <f>Input!AJ128</f>
        <v>0</v>
      </c>
      <c r="AR519" s="84">
        <f>Input!AK128</f>
        <v>0</v>
      </c>
      <c r="AS519" s="84">
        <f>Input!AL128</f>
        <v>0</v>
      </c>
      <c r="AT519" s="84">
        <f>Input!AM128</f>
        <v>0</v>
      </c>
      <c r="AU519" s="84">
        <f>Input!AN128</f>
        <v>0</v>
      </c>
      <c r="AV519" s="84">
        <f>Input!AO128</f>
        <v>0</v>
      </c>
      <c r="AW519" s="84">
        <f>Input!AP128</f>
        <v>0</v>
      </c>
      <c r="AX519" s="84">
        <f>Input!AQ128</f>
        <v>0</v>
      </c>
      <c r="AY519" s="84">
        <f>Input!AR128</f>
        <v>0</v>
      </c>
      <c r="AZ519" s="84">
        <f>Input!AS128</f>
        <v>0</v>
      </c>
      <c r="BA519" s="84">
        <f>Input!AT128</f>
        <v>0</v>
      </c>
      <c r="BB519" s="84">
        <f>Input!AU128</f>
        <v>0</v>
      </c>
      <c r="BC519" s="84">
        <f>Input!AV128</f>
        <v>0</v>
      </c>
      <c r="BD519" s="84">
        <f>Input!AW128</f>
        <v>0</v>
      </c>
      <c r="BE519" s="84">
        <f>Input!AX128</f>
        <v>0</v>
      </c>
      <c r="BF519" s="84">
        <f>Input!AY128</f>
        <v>0</v>
      </c>
      <c r="BG519" s="84">
        <f>Input!AZ128</f>
        <v>0</v>
      </c>
      <c r="BH519" s="84">
        <f>Input!BA128</f>
        <v>0</v>
      </c>
      <c r="BI519" s="84">
        <f>Input!BB128</f>
        <v>0</v>
      </c>
      <c r="BJ519" s="84">
        <f>Input!BC128</f>
        <v>0</v>
      </c>
      <c r="BK519" s="84">
        <f>Input!BD128</f>
        <v>0</v>
      </c>
      <c r="BL519" s="84">
        <f>Input!BE128</f>
        <v>0</v>
      </c>
      <c r="BM519" s="84">
        <f>Input!BF128</f>
        <v>0</v>
      </c>
      <c r="BN519" s="84">
        <f>Input!BG128</f>
        <v>0</v>
      </c>
      <c r="BO519" s="84">
        <f>Input!BH128</f>
        <v>0</v>
      </c>
      <c r="BP519" s="84">
        <f>Input!BI128</f>
        <v>0</v>
      </c>
      <c r="BQ519" s="84">
        <f>Input!BJ128</f>
        <v>0</v>
      </c>
      <c r="BR519" s="84">
        <f>Input!BK128</f>
        <v>0</v>
      </c>
      <c r="BS519" s="84">
        <f>Input!BL128</f>
        <v>0</v>
      </c>
      <c r="BT519" s="84">
        <f>Input!BM128</f>
        <v>0</v>
      </c>
      <c r="BU519" s="84">
        <f>Input!BN128</f>
        <v>0</v>
      </c>
      <c r="BV519" s="84">
        <f>Input!BO128</f>
        <v>0</v>
      </c>
      <c r="BW519" s="84">
        <f>Input!BP128</f>
        <v>0</v>
      </c>
      <c r="BX519" s="84">
        <f>Input!BQ128</f>
        <v>0</v>
      </c>
      <c r="BY519" s="84">
        <f>Input!BR128</f>
        <v>0</v>
      </c>
      <c r="BZ519" s="84">
        <f>Input!BS128</f>
        <v>0</v>
      </c>
      <c r="CA519" s="84">
        <f>Input!BT128</f>
        <v>0</v>
      </c>
      <c r="CB519" s="84">
        <f>Input!BU128</f>
        <v>0</v>
      </c>
      <c r="CC519" s="84">
        <f>Input!BV128</f>
        <v>0</v>
      </c>
      <c r="CD519" s="84">
        <f>Input!BW128</f>
        <v>0</v>
      </c>
      <c r="CE519" s="1171"/>
      <c r="CF519" s="1171"/>
      <c r="CG519" s="1171"/>
      <c r="CH519" s="1171"/>
      <c r="CI519" s="1171"/>
    </row>
    <row r="520" spans="11:87" ht="12" customHeight="1" x14ac:dyDescent="0.35">
      <c r="K520" s="13">
        <v>22</v>
      </c>
      <c r="L520" s="415">
        <f>Input!D129</f>
        <v>0</v>
      </c>
      <c r="M520" s="416">
        <f>IF(Input!$F$107&gt;=K520,Input!G129,0)</f>
        <v>0</v>
      </c>
      <c r="N520" s="1058">
        <f>Input!H129</f>
        <v>0</v>
      </c>
      <c r="O520" s="1058">
        <f>Input!I129</f>
        <v>0</v>
      </c>
      <c r="P520" s="417">
        <f>Input!J129</f>
        <v>0</v>
      </c>
      <c r="Q520" s="418">
        <f>Input!L129</f>
        <v>0</v>
      </c>
      <c r="R520" s="418">
        <f>Input!K129</f>
        <v>0</v>
      </c>
      <c r="S520" s="419">
        <f>Input!M129</f>
        <v>0</v>
      </c>
      <c r="T520" s="13"/>
      <c r="U520" s="13">
        <f>IFERROR(IF(N520&lt;&gt;0,VLOOKUP(N520,Calcs!$B$278:$C$337,2,FALSE),0),0)</f>
        <v>0</v>
      </c>
      <c r="V520" s="13">
        <f>IFERROR(IF(O520&lt;&gt;0,VLOOKUP(O520,Calcs!$B$278:$C$337,2,FALSE),0),0)</f>
        <v>0</v>
      </c>
      <c r="W520" s="13">
        <f>Input!P129</f>
        <v>0</v>
      </c>
      <c r="X520" s="13">
        <f>Input!Q129</f>
        <v>0</v>
      </c>
      <c r="Y520" s="13">
        <f>Input!R129</f>
        <v>0</v>
      </c>
      <c r="Z520" s="13">
        <f>Input!S129</f>
        <v>0</v>
      </c>
      <c r="AA520" s="13">
        <f>Input!T129</f>
        <v>0</v>
      </c>
      <c r="AB520" s="13">
        <f>Input!U129</f>
        <v>0</v>
      </c>
      <c r="AC520" s="13">
        <f>Input!V129</f>
        <v>0</v>
      </c>
      <c r="AD520" s="13">
        <f>Input!W129</f>
        <v>0</v>
      </c>
      <c r="AE520" s="13">
        <f>Input!X129</f>
        <v>0</v>
      </c>
      <c r="AF520" s="84">
        <f>Input!Y129</f>
        <v>0</v>
      </c>
      <c r="AG520" s="84">
        <f>Input!Z129</f>
        <v>0</v>
      </c>
      <c r="AH520" s="84">
        <f>Input!AA129</f>
        <v>0</v>
      </c>
      <c r="AI520" s="84">
        <f>Input!AB129</f>
        <v>0</v>
      </c>
      <c r="AJ520" s="84">
        <f>Input!AC129</f>
        <v>0</v>
      </c>
      <c r="AK520" s="84">
        <f>Input!AD129</f>
        <v>0</v>
      </c>
      <c r="AL520" s="84">
        <f>Input!AE129</f>
        <v>0</v>
      </c>
      <c r="AM520" s="84">
        <f>Input!AF129</f>
        <v>0</v>
      </c>
      <c r="AN520" s="84">
        <f>Input!AG129</f>
        <v>0</v>
      </c>
      <c r="AO520" s="84">
        <f>Input!AH129</f>
        <v>0</v>
      </c>
      <c r="AP520" s="84">
        <f>Input!AI129</f>
        <v>0</v>
      </c>
      <c r="AQ520" s="84">
        <f>Input!AJ129</f>
        <v>0</v>
      </c>
      <c r="AR520" s="84">
        <f>Input!AK129</f>
        <v>0</v>
      </c>
      <c r="AS520" s="84">
        <f>Input!AL129</f>
        <v>0</v>
      </c>
      <c r="AT520" s="84">
        <f>Input!AM129</f>
        <v>0</v>
      </c>
      <c r="AU520" s="84">
        <f>Input!AN129</f>
        <v>0</v>
      </c>
      <c r="AV520" s="84">
        <f>Input!AO129</f>
        <v>0</v>
      </c>
      <c r="AW520" s="84">
        <f>Input!AP129</f>
        <v>0</v>
      </c>
      <c r="AX520" s="84">
        <f>Input!AQ129</f>
        <v>0</v>
      </c>
      <c r="AY520" s="84">
        <f>Input!AR129</f>
        <v>0</v>
      </c>
      <c r="AZ520" s="84">
        <f>Input!AS129</f>
        <v>0</v>
      </c>
      <c r="BA520" s="84">
        <f>Input!AT129</f>
        <v>0</v>
      </c>
      <c r="BB520" s="84">
        <f>Input!AU129</f>
        <v>0</v>
      </c>
      <c r="BC520" s="84">
        <f>Input!AV129</f>
        <v>0</v>
      </c>
      <c r="BD520" s="84">
        <f>Input!AW129</f>
        <v>0</v>
      </c>
      <c r="BE520" s="84">
        <f>Input!AX129</f>
        <v>0</v>
      </c>
      <c r="BF520" s="84">
        <f>Input!AY129</f>
        <v>0</v>
      </c>
      <c r="BG520" s="84">
        <f>Input!AZ129</f>
        <v>0</v>
      </c>
      <c r="BH520" s="84">
        <f>Input!BA129</f>
        <v>0</v>
      </c>
      <c r="BI520" s="84">
        <f>Input!BB129</f>
        <v>0</v>
      </c>
      <c r="BJ520" s="84">
        <f>Input!BC129</f>
        <v>0</v>
      </c>
      <c r="BK520" s="84">
        <f>Input!BD129</f>
        <v>0</v>
      </c>
      <c r="BL520" s="84">
        <f>Input!BE129</f>
        <v>0</v>
      </c>
      <c r="BM520" s="84">
        <f>Input!BF129</f>
        <v>0</v>
      </c>
      <c r="BN520" s="84">
        <f>Input!BG129</f>
        <v>0</v>
      </c>
      <c r="BO520" s="84">
        <f>Input!BH129</f>
        <v>0</v>
      </c>
      <c r="BP520" s="84">
        <f>Input!BI129</f>
        <v>0</v>
      </c>
      <c r="BQ520" s="84">
        <f>Input!BJ129</f>
        <v>0</v>
      </c>
      <c r="BR520" s="84">
        <f>Input!BK129</f>
        <v>0</v>
      </c>
      <c r="BS520" s="84">
        <f>Input!BL129</f>
        <v>0</v>
      </c>
      <c r="BT520" s="84">
        <f>Input!BM129</f>
        <v>0</v>
      </c>
      <c r="BU520" s="84">
        <f>Input!BN129</f>
        <v>0</v>
      </c>
      <c r="BV520" s="84">
        <f>Input!BO129</f>
        <v>0</v>
      </c>
      <c r="BW520" s="84">
        <f>Input!BP129</f>
        <v>0</v>
      </c>
      <c r="BX520" s="84">
        <f>Input!BQ129</f>
        <v>0</v>
      </c>
      <c r="BY520" s="84">
        <f>Input!BR129</f>
        <v>0</v>
      </c>
      <c r="BZ520" s="84">
        <f>Input!BS129</f>
        <v>0</v>
      </c>
      <c r="CA520" s="84">
        <f>Input!BT129</f>
        <v>0</v>
      </c>
      <c r="CB520" s="84">
        <f>Input!BU129</f>
        <v>0</v>
      </c>
      <c r="CC520" s="84">
        <f>Input!BV129</f>
        <v>0</v>
      </c>
      <c r="CD520" s="84">
        <f>Input!BW129</f>
        <v>0</v>
      </c>
      <c r="CE520" s="1171"/>
      <c r="CF520" s="1171"/>
      <c r="CG520" s="1171"/>
      <c r="CH520" s="1171"/>
      <c r="CI520" s="1171"/>
    </row>
    <row r="521" spans="11:87" ht="12" customHeight="1" x14ac:dyDescent="0.35">
      <c r="K521" s="13">
        <v>23</v>
      </c>
      <c r="L521" s="415">
        <f>Input!D130</f>
        <v>0</v>
      </c>
      <c r="M521" s="416">
        <f>IF(Input!$F$107&gt;=K521,Input!G130,0)</f>
        <v>0</v>
      </c>
      <c r="N521" s="1058">
        <f>Input!H130</f>
        <v>0</v>
      </c>
      <c r="O521" s="1058">
        <f>Input!I130</f>
        <v>0</v>
      </c>
      <c r="P521" s="417">
        <f>Input!J130</f>
        <v>0</v>
      </c>
      <c r="Q521" s="418">
        <f>Input!L130</f>
        <v>0</v>
      </c>
      <c r="R521" s="418">
        <f>Input!K130</f>
        <v>0</v>
      </c>
      <c r="S521" s="419">
        <f>Input!M130</f>
        <v>0</v>
      </c>
      <c r="T521" s="13"/>
      <c r="U521" s="13">
        <f>IFERROR(IF(N521&lt;&gt;0,VLOOKUP(N521,Calcs!$B$278:$C$337,2,FALSE),0),0)</f>
        <v>0</v>
      </c>
      <c r="V521" s="13">
        <f>IFERROR(IF(O521&lt;&gt;0,VLOOKUP(O521,Calcs!$B$278:$C$337,2,FALSE),0),0)</f>
        <v>0</v>
      </c>
      <c r="W521" s="13">
        <f>Input!P130</f>
        <v>0</v>
      </c>
      <c r="X521" s="13">
        <f>Input!Q130</f>
        <v>0</v>
      </c>
      <c r="Y521" s="13">
        <f>Input!R130</f>
        <v>0</v>
      </c>
      <c r="Z521" s="13">
        <f>Input!S130</f>
        <v>0</v>
      </c>
      <c r="AA521" s="13">
        <f>Input!T130</f>
        <v>0</v>
      </c>
      <c r="AB521" s="13">
        <f>Input!U130</f>
        <v>0</v>
      </c>
      <c r="AC521" s="13">
        <f>Input!V130</f>
        <v>0</v>
      </c>
      <c r="AD521" s="13">
        <f>Input!W130</f>
        <v>0</v>
      </c>
      <c r="AE521" s="13">
        <f>Input!X130</f>
        <v>0</v>
      </c>
      <c r="AF521" s="84">
        <f>Input!Y130</f>
        <v>0</v>
      </c>
      <c r="AG521" s="84">
        <f>Input!Z130</f>
        <v>0</v>
      </c>
      <c r="AH521" s="84">
        <f>Input!AA130</f>
        <v>0</v>
      </c>
      <c r="AI521" s="84">
        <f>Input!AB130</f>
        <v>0</v>
      </c>
      <c r="AJ521" s="84">
        <f>Input!AC130</f>
        <v>0</v>
      </c>
      <c r="AK521" s="84">
        <f>Input!AD130</f>
        <v>0</v>
      </c>
      <c r="AL521" s="84">
        <f>Input!AE130</f>
        <v>0</v>
      </c>
      <c r="AM521" s="84">
        <f>Input!AF130</f>
        <v>0</v>
      </c>
      <c r="AN521" s="84">
        <f>Input!AG130</f>
        <v>0</v>
      </c>
      <c r="AO521" s="84">
        <f>Input!AH130</f>
        <v>0</v>
      </c>
      <c r="AP521" s="84">
        <f>Input!AI130</f>
        <v>0</v>
      </c>
      <c r="AQ521" s="84">
        <f>Input!AJ130</f>
        <v>0</v>
      </c>
      <c r="AR521" s="84">
        <f>Input!AK130</f>
        <v>0</v>
      </c>
      <c r="AS521" s="84">
        <f>Input!AL130</f>
        <v>0</v>
      </c>
      <c r="AT521" s="84">
        <f>Input!AM130</f>
        <v>0</v>
      </c>
      <c r="AU521" s="84">
        <f>Input!AN130</f>
        <v>0</v>
      </c>
      <c r="AV521" s="84">
        <f>Input!AO130</f>
        <v>0</v>
      </c>
      <c r="AW521" s="84">
        <f>Input!AP130</f>
        <v>0</v>
      </c>
      <c r="AX521" s="84">
        <f>Input!AQ130</f>
        <v>0</v>
      </c>
      <c r="AY521" s="84">
        <f>Input!AR130</f>
        <v>0</v>
      </c>
      <c r="AZ521" s="84">
        <f>Input!AS130</f>
        <v>0</v>
      </c>
      <c r="BA521" s="84">
        <f>Input!AT130</f>
        <v>0</v>
      </c>
      <c r="BB521" s="84">
        <f>Input!AU130</f>
        <v>0</v>
      </c>
      <c r="BC521" s="84">
        <f>Input!AV130</f>
        <v>0</v>
      </c>
      <c r="BD521" s="84">
        <f>Input!AW130</f>
        <v>0</v>
      </c>
      <c r="BE521" s="84">
        <f>Input!AX130</f>
        <v>0</v>
      </c>
      <c r="BF521" s="84">
        <f>Input!AY130</f>
        <v>0</v>
      </c>
      <c r="BG521" s="84">
        <f>Input!AZ130</f>
        <v>0</v>
      </c>
      <c r="BH521" s="84">
        <f>Input!BA130</f>
        <v>0</v>
      </c>
      <c r="BI521" s="84">
        <f>Input!BB130</f>
        <v>0</v>
      </c>
      <c r="BJ521" s="84">
        <f>Input!BC130</f>
        <v>0</v>
      </c>
      <c r="BK521" s="84">
        <f>Input!BD130</f>
        <v>0</v>
      </c>
      <c r="BL521" s="84">
        <f>Input!BE130</f>
        <v>0</v>
      </c>
      <c r="BM521" s="84">
        <f>Input!BF130</f>
        <v>0</v>
      </c>
      <c r="BN521" s="84">
        <f>Input!BG130</f>
        <v>0</v>
      </c>
      <c r="BO521" s="84">
        <f>Input!BH130</f>
        <v>0</v>
      </c>
      <c r="BP521" s="84">
        <f>Input!BI130</f>
        <v>0</v>
      </c>
      <c r="BQ521" s="84">
        <f>Input!BJ130</f>
        <v>0</v>
      </c>
      <c r="BR521" s="84">
        <f>Input!BK130</f>
        <v>0</v>
      </c>
      <c r="BS521" s="84">
        <f>Input!BL130</f>
        <v>0</v>
      </c>
      <c r="BT521" s="84">
        <f>Input!BM130</f>
        <v>0</v>
      </c>
      <c r="BU521" s="84">
        <f>Input!BN130</f>
        <v>0</v>
      </c>
      <c r="BV521" s="84">
        <f>Input!BO130</f>
        <v>0</v>
      </c>
      <c r="BW521" s="84">
        <f>Input!BP130</f>
        <v>0</v>
      </c>
      <c r="BX521" s="84">
        <f>Input!BQ130</f>
        <v>0</v>
      </c>
      <c r="BY521" s="84">
        <f>Input!BR130</f>
        <v>0</v>
      </c>
      <c r="BZ521" s="84">
        <f>Input!BS130</f>
        <v>0</v>
      </c>
      <c r="CA521" s="84">
        <f>Input!BT130</f>
        <v>0</v>
      </c>
      <c r="CB521" s="84">
        <f>Input!BU130</f>
        <v>0</v>
      </c>
      <c r="CC521" s="84">
        <f>Input!BV130</f>
        <v>0</v>
      </c>
      <c r="CD521" s="84">
        <f>Input!BW130</f>
        <v>0</v>
      </c>
      <c r="CE521" s="1171"/>
      <c r="CF521" s="1171"/>
      <c r="CG521" s="1171"/>
      <c r="CH521" s="1171"/>
      <c r="CI521" s="1171"/>
    </row>
    <row r="522" spans="11:87" ht="12" customHeight="1" x14ac:dyDescent="0.35">
      <c r="K522" s="13">
        <v>24</v>
      </c>
      <c r="L522" s="415">
        <f>Input!D131</f>
        <v>0</v>
      </c>
      <c r="M522" s="416">
        <f>IF(Input!$F$107&gt;=K522,Input!G131,0)</f>
        <v>0</v>
      </c>
      <c r="N522" s="1058">
        <f>Input!H131</f>
        <v>0</v>
      </c>
      <c r="O522" s="1058">
        <f>Input!I131</f>
        <v>0</v>
      </c>
      <c r="P522" s="417">
        <f>Input!J131</f>
        <v>0</v>
      </c>
      <c r="Q522" s="418">
        <f>Input!L131</f>
        <v>0</v>
      </c>
      <c r="R522" s="418">
        <f>Input!K131</f>
        <v>0</v>
      </c>
      <c r="S522" s="419">
        <f>Input!M131</f>
        <v>0</v>
      </c>
      <c r="T522" s="13"/>
      <c r="U522" s="13">
        <f>IFERROR(IF(N522&lt;&gt;0,VLOOKUP(N522,Calcs!$B$278:$C$337,2,FALSE),0),0)</f>
        <v>0</v>
      </c>
      <c r="V522" s="13">
        <f>IFERROR(IF(O522&lt;&gt;0,VLOOKUP(O522,Calcs!$B$278:$C$337,2,FALSE),0),0)</f>
        <v>0</v>
      </c>
      <c r="W522" s="13">
        <f>Input!P131</f>
        <v>0</v>
      </c>
      <c r="X522" s="13">
        <f>Input!Q131</f>
        <v>0</v>
      </c>
      <c r="Y522" s="13">
        <f>Input!R131</f>
        <v>0</v>
      </c>
      <c r="Z522" s="13">
        <f>Input!S131</f>
        <v>0</v>
      </c>
      <c r="AA522" s="13">
        <f>Input!T131</f>
        <v>0</v>
      </c>
      <c r="AB522" s="13">
        <f>Input!U131</f>
        <v>0</v>
      </c>
      <c r="AC522" s="13">
        <f>Input!V131</f>
        <v>0</v>
      </c>
      <c r="AD522" s="13">
        <f>Input!W131</f>
        <v>0</v>
      </c>
      <c r="AE522" s="13">
        <f>Input!X131</f>
        <v>0</v>
      </c>
      <c r="AF522" s="84">
        <f>Input!Y131</f>
        <v>0</v>
      </c>
      <c r="AG522" s="84">
        <f>Input!Z131</f>
        <v>0</v>
      </c>
      <c r="AH522" s="84">
        <f>Input!AA131</f>
        <v>0</v>
      </c>
      <c r="AI522" s="84">
        <f>Input!AB131</f>
        <v>0</v>
      </c>
      <c r="AJ522" s="84">
        <f>Input!AC131</f>
        <v>0</v>
      </c>
      <c r="AK522" s="84">
        <f>Input!AD131</f>
        <v>0</v>
      </c>
      <c r="AL522" s="84">
        <f>Input!AE131</f>
        <v>0</v>
      </c>
      <c r="AM522" s="84">
        <f>Input!AF131</f>
        <v>0</v>
      </c>
      <c r="AN522" s="84">
        <f>Input!AG131</f>
        <v>0</v>
      </c>
      <c r="AO522" s="84">
        <f>Input!AH131</f>
        <v>0</v>
      </c>
      <c r="AP522" s="84">
        <f>Input!AI131</f>
        <v>0</v>
      </c>
      <c r="AQ522" s="84">
        <f>Input!AJ131</f>
        <v>0</v>
      </c>
      <c r="AR522" s="84">
        <f>Input!AK131</f>
        <v>0</v>
      </c>
      <c r="AS522" s="84">
        <f>Input!AL131</f>
        <v>0</v>
      </c>
      <c r="AT522" s="84">
        <f>Input!AM131</f>
        <v>0</v>
      </c>
      <c r="AU522" s="84">
        <f>Input!AN131</f>
        <v>0</v>
      </c>
      <c r="AV522" s="84">
        <f>Input!AO131</f>
        <v>0</v>
      </c>
      <c r="AW522" s="84">
        <f>Input!AP131</f>
        <v>0</v>
      </c>
      <c r="AX522" s="84">
        <f>Input!AQ131</f>
        <v>0</v>
      </c>
      <c r="AY522" s="84">
        <f>Input!AR131</f>
        <v>0</v>
      </c>
      <c r="AZ522" s="84">
        <f>Input!AS131</f>
        <v>0</v>
      </c>
      <c r="BA522" s="84">
        <f>Input!AT131</f>
        <v>0</v>
      </c>
      <c r="BB522" s="84">
        <f>Input!AU131</f>
        <v>0</v>
      </c>
      <c r="BC522" s="84">
        <f>Input!AV131</f>
        <v>0</v>
      </c>
      <c r="BD522" s="84">
        <f>Input!AW131</f>
        <v>0</v>
      </c>
      <c r="BE522" s="84">
        <f>Input!AX131</f>
        <v>0</v>
      </c>
      <c r="BF522" s="84">
        <f>Input!AY131</f>
        <v>0</v>
      </c>
      <c r="BG522" s="84">
        <f>Input!AZ131</f>
        <v>0</v>
      </c>
      <c r="BH522" s="84">
        <f>Input!BA131</f>
        <v>0</v>
      </c>
      <c r="BI522" s="84">
        <f>Input!BB131</f>
        <v>0</v>
      </c>
      <c r="BJ522" s="84">
        <f>Input!BC131</f>
        <v>0</v>
      </c>
      <c r="BK522" s="84">
        <f>Input!BD131</f>
        <v>0</v>
      </c>
      <c r="BL522" s="84">
        <f>Input!BE131</f>
        <v>0</v>
      </c>
      <c r="BM522" s="84">
        <f>Input!BF131</f>
        <v>0</v>
      </c>
      <c r="BN522" s="84">
        <f>Input!BG131</f>
        <v>0</v>
      </c>
      <c r="BO522" s="84">
        <f>Input!BH131</f>
        <v>0</v>
      </c>
      <c r="BP522" s="84">
        <f>Input!BI131</f>
        <v>0</v>
      </c>
      <c r="BQ522" s="84">
        <f>Input!BJ131</f>
        <v>0</v>
      </c>
      <c r="BR522" s="84">
        <f>Input!BK131</f>
        <v>0</v>
      </c>
      <c r="BS522" s="84">
        <f>Input!BL131</f>
        <v>0</v>
      </c>
      <c r="BT522" s="84">
        <f>Input!BM131</f>
        <v>0</v>
      </c>
      <c r="BU522" s="84">
        <f>Input!BN131</f>
        <v>0</v>
      </c>
      <c r="BV522" s="84">
        <f>Input!BO131</f>
        <v>0</v>
      </c>
      <c r="BW522" s="84">
        <f>Input!BP131</f>
        <v>0</v>
      </c>
      <c r="BX522" s="84">
        <f>Input!BQ131</f>
        <v>0</v>
      </c>
      <c r="BY522" s="84">
        <f>Input!BR131</f>
        <v>0</v>
      </c>
      <c r="BZ522" s="84">
        <f>Input!BS131</f>
        <v>0</v>
      </c>
      <c r="CA522" s="84">
        <f>Input!BT131</f>
        <v>0</v>
      </c>
      <c r="CB522" s="84">
        <f>Input!BU131</f>
        <v>0</v>
      </c>
      <c r="CC522" s="84">
        <f>Input!BV131</f>
        <v>0</v>
      </c>
      <c r="CD522" s="84">
        <f>Input!BW131</f>
        <v>0</v>
      </c>
      <c r="CE522" s="1171"/>
      <c r="CF522" s="1171"/>
      <c r="CG522" s="1171"/>
      <c r="CH522" s="1171"/>
      <c r="CI522" s="1171"/>
    </row>
    <row r="523" spans="11:87" ht="12" customHeight="1" x14ac:dyDescent="0.35">
      <c r="K523" s="13">
        <v>25</v>
      </c>
      <c r="L523" s="415">
        <f>Input!D132</f>
        <v>0</v>
      </c>
      <c r="M523" s="416">
        <f>IF(Input!$F$107&gt;=K523,Input!G132,0)</f>
        <v>0</v>
      </c>
      <c r="N523" s="1058">
        <f>Input!H132</f>
        <v>0</v>
      </c>
      <c r="O523" s="1058">
        <f>Input!I132</f>
        <v>0</v>
      </c>
      <c r="P523" s="417">
        <f>Input!J132</f>
        <v>0</v>
      </c>
      <c r="Q523" s="418">
        <f>Input!L132</f>
        <v>0</v>
      </c>
      <c r="R523" s="418">
        <f>Input!K132</f>
        <v>0</v>
      </c>
      <c r="S523" s="419">
        <f>Input!M132</f>
        <v>0</v>
      </c>
      <c r="T523" s="13"/>
      <c r="U523" s="13">
        <f>IFERROR(IF(N523&lt;&gt;0,VLOOKUP(N523,Calcs!$B$278:$C$337,2,FALSE),0),0)</f>
        <v>0</v>
      </c>
      <c r="V523" s="13">
        <f>IFERROR(IF(O523&lt;&gt;0,VLOOKUP(O523,Calcs!$B$278:$C$337,2,FALSE),0),0)</f>
        <v>0</v>
      </c>
      <c r="W523" s="13">
        <f>Input!P132</f>
        <v>0</v>
      </c>
      <c r="X523" s="13">
        <f>Input!Q132</f>
        <v>0</v>
      </c>
      <c r="Y523" s="13">
        <f>Input!R132</f>
        <v>0</v>
      </c>
      <c r="Z523" s="13">
        <f>Input!S132</f>
        <v>0</v>
      </c>
      <c r="AA523" s="13">
        <f>Input!T132</f>
        <v>0</v>
      </c>
      <c r="AB523" s="13">
        <f>Input!U132</f>
        <v>0</v>
      </c>
      <c r="AC523" s="13">
        <f>Input!V132</f>
        <v>0</v>
      </c>
      <c r="AD523" s="13">
        <f>Input!W132</f>
        <v>0</v>
      </c>
      <c r="AE523" s="13">
        <f>Input!X132</f>
        <v>0</v>
      </c>
      <c r="AF523" s="84">
        <f>Input!Y132</f>
        <v>0</v>
      </c>
      <c r="AG523" s="84">
        <f>Input!Z132</f>
        <v>0</v>
      </c>
      <c r="AH523" s="84">
        <f>Input!AA132</f>
        <v>0</v>
      </c>
      <c r="AI523" s="84">
        <f>Input!AB132</f>
        <v>0</v>
      </c>
      <c r="AJ523" s="84">
        <f>Input!AC132</f>
        <v>0</v>
      </c>
      <c r="AK523" s="84">
        <f>Input!AD132</f>
        <v>0</v>
      </c>
      <c r="AL523" s="84">
        <f>Input!AE132</f>
        <v>0</v>
      </c>
      <c r="AM523" s="84">
        <f>Input!AF132</f>
        <v>0</v>
      </c>
      <c r="AN523" s="84">
        <f>Input!AG132</f>
        <v>0</v>
      </c>
      <c r="AO523" s="84">
        <f>Input!AH132</f>
        <v>0</v>
      </c>
      <c r="AP523" s="84">
        <f>Input!AI132</f>
        <v>0</v>
      </c>
      <c r="AQ523" s="84">
        <f>Input!AJ132</f>
        <v>0</v>
      </c>
      <c r="AR523" s="84">
        <f>Input!AK132</f>
        <v>0</v>
      </c>
      <c r="AS523" s="84">
        <f>Input!AL132</f>
        <v>0</v>
      </c>
      <c r="AT523" s="84">
        <f>Input!AM132</f>
        <v>0</v>
      </c>
      <c r="AU523" s="84">
        <f>Input!AN132</f>
        <v>0</v>
      </c>
      <c r="AV523" s="84">
        <f>Input!AO132</f>
        <v>0</v>
      </c>
      <c r="AW523" s="84">
        <f>Input!AP132</f>
        <v>0</v>
      </c>
      <c r="AX523" s="84">
        <f>Input!AQ132</f>
        <v>0</v>
      </c>
      <c r="AY523" s="84">
        <f>Input!AR132</f>
        <v>0</v>
      </c>
      <c r="AZ523" s="84">
        <f>Input!AS132</f>
        <v>0</v>
      </c>
      <c r="BA523" s="84">
        <f>Input!AT132</f>
        <v>0</v>
      </c>
      <c r="BB523" s="84">
        <f>Input!AU132</f>
        <v>0</v>
      </c>
      <c r="BC523" s="84">
        <f>Input!AV132</f>
        <v>0</v>
      </c>
      <c r="BD523" s="84">
        <f>Input!AW132</f>
        <v>0</v>
      </c>
      <c r="BE523" s="84">
        <f>Input!AX132</f>
        <v>0</v>
      </c>
      <c r="BF523" s="84">
        <f>Input!AY132</f>
        <v>0</v>
      </c>
      <c r="BG523" s="84">
        <f>Input!AZ132</f>
        <v>0</v>
      </c>
      <c r="BH523" s="84">
        <f>Input!BA132</f>
        <v>0</v>
      </c>
      <c r="BI523" s="84">
        <f>Input!BB132</f>
        <v>0</v>
      </c>
      <c r="BJ523" s="84">
        <f>Input!BC132</f>
        <v>0</v>
      </c>
      <c r="BK523" s="84">
        <f>Input!BD132</f>
        <v>0</v>
      </c>
      <c r="BL523" s="84">
        <f>Input!BE132</f>
        <v>0</v>
      </c>
      <c r="BM523" s="84">
        <f>Input!BF132</f>
        <v>0</v>
      </c>
      <c r="BN523" s="84">
        <f>Input!BG132</f>
        <v>0</v>
      </c>
      <c r="BO523" s="84">
        <f>Input!BH132</f>
        <v>0</v>
      </c>
      <c r="BP523" s="84">
        <f>Input!BI132</f>
        <v>0</v>
      </c>
      <c r="BQ523" s="84">
        <f>Input!BJ132</f>
        <v>0</v>
      </c>
      <c r="BR523" s="84">
        <f>Input!BK132</f>
        <v>0</v>
      </c>
      <c r="BS523" s="84">
        <f>Input!BL132</f>
        <v>0</v>
      </c>
      <c r="BT523" s="84">
        <f>Input!BM132</f>
        <v>0</v>
      </c>
      <c r="BU523" s="84">
        <f>Input!BN132</f>
        <v>0</v>
      </c>
      <c r="BV523" s="84">
        <f>Input!BO132</f>
        <v>0</v>
      </c>
      <c r="BW523" s="84">
        <f>Input!BP132</f>
        <v>0</v>
      </c>
      <c r="BX523" s="84">
        <f>Input!BQ132</f>
        <v>0</v>
      </c>
      <c r="BY523" s="84">
        <f>Input!BR132</f>
        <v>0</v>
      </c>
      <c r="BZ523" s="84">
        <f>Input!BS132</f>
        <v>0</v>
      </c>
      <c r="CA523" s="84">
        <f>Input!BT132</f>
        <v>0</v>
      </c>
      <c r="CB523" s="84">
        <f>Input!BU132</f>
        <v>0</v>
      </c>
      <c r="CC523" s="84">
        <f>Input!BV132</f>
        <v>0</v>
      </c>
      <c r="CD523" s="84">
        <f>Input!BW132</f>
        <v>0</v>
      </c>
      <c r="CE523" s="1171"/>
      <c r="CF523" s="1171"/>
      <c r="CG523" s="1171"/>
      <c r="CH523" s="1171"/>
      <c r="CI523" s="1171"/>
    </row>
    <row r="524" spans="11:87" ht="12" customHeight="1" x14ac:dyDescent="0.35">
      <c r="K524" s="13">
        <v>26</v>
      </c>
      <c r="L524" s="415">
        <f>Input!D133</f>
        <v>0</v>
      </c>
      <c r="M524" s="416">
        <f>IF(Input!$F$107&gt;=K524,Input!G133,0)</f>
        <v>0</v>
      </c>
      <c r="N524" s="1058">
        <f>Input!H133</f>
        <v>0</v>
      </c>
      <c r="O524" s="1058">
        <f>Input!I133</f>
        <v>0</v>
      </c>
      <c r="P524" s="417">
        <f>Input!J133</f>
        <v>0</v>
      </c>
      <c r="Q524" s="418">
        <f>Input!L133</f>
        <v>0</v>
      </c>
      <c r="R524" s="418">
        <f>Input!K133</f>
        <v>0</v>
      </c>
      <c r="S524" s="419">
        <f>Input!M133</f>
        <v>0</v>
      </c>
      <c r="T524" s="13"/>
      <c r="U524" s="13">
        <f>IFERROR(IF(N524&lt;&gt;0,VLOOKUP(N524,Calcs!$B$278:$C$337,2,FALSE),0),0)</f>
        <v>0</v>
      </c>
      <c r="V524" s="13">
        <f>IFERROR(IF(O524&lt;&gt;0,VLOOKUP(O524,Calcs!$B$278:$C$337,2,FALSE),0),0)</f>
        <v>0</v>
      </c>
      <c r="W524" s="13">
        <f>Input!P133</f>
        <v>0</v>
      </c>
      <c r="X524" s="13">
        <f>Input!Q133</f>
        <v>0</v>
      </c>
      <c r="Y524" s="13">
        <f>Input!R133</f>
        <v>0</v>
      </c>
      <c r="Z524" s="13">
        <f>Input!S133</f>
        <v>0</v>
      </c>
      <c r="AA524" s="13">
        <f>Input!T133</f>
        <v>0</v>
      </c>
      <c r="AB524" s="13">
        <f>Input!U133</f>
        <v>0</v>
      </c>
      <c r="AC524" s="13">
        <f>Input!V133</f>
        <v>0</v>
      </c>
      <c r="AD524" s="13">
        <f>Input!W133</f>
        <v>0</v>
      </c>
      <c r="AE524" s="13">
        <f>Input!X133</f>
        <v>0</v>
      </c>
      <c r="AF524" s="84">
        <f>Input!Y133</f>
        <v>0</v>
      </c>
      <c r="AG524" s="84">
        <f>Input!Z133</f>
        <v>0</v>
      </c>
      <c r="AH524" s="84">
        <f>Input!AA133</f>
        <v>0</v>
      </c>
      <c r="AI524" s="84">
        <f>Input!AB133</f>
        <v>0</v>
      </c>
      <c r="AJ524" s="84">
        <f>Input!AC133</f>
        <v>0</v>
      </c>
      <c r="AK524" s="84">
        <f>Input!AD133</f>
        <v>0</v>
      </c>
      <c r="AL524" s="84">
        <f>Input!AE133</f>
        <v>0</v>
      </c>
      <c r="AM524" s="84">
        <f>Input!AF133</f>
        <v>0</v>
      </c>
      <c r="AN524" s="84">
        <f>Input!AG133</f>
        <v>0</v>
      </c>
      <c r="AO524" s="84">
        <f>Input!AH133</f>
        <v>0</v>
      </c>
      <c r="AP524" s="84">
        <f>Input!AI133</f>
        <v>0</v>
      </c>
      <c r="AQ524" s="84">
        <f>Input!AJ133</f>
        <v>0</v>
      </c>
      <c r="AR524" s="84">
        <f>Input!AK133</f>
        <v>0</v>
      </c>
      <c r="AS524" s="84">
        <f>Input!AL133</f>
        <v>0</v>
      </c>
      <c r="AT524" s="84">
        <f>Input!AM133</f>
        <v>0</v>
      </c>
      <c r="AU524" s="84">
        <f>Input!AN133</f>
        <v>0</v>
      </c>
      <c r="AV524" s="84">
        <f>Input!AO133</f>
        <v>0</v>
      </c>
      <c r="AW524" s="84">
        <f>Input!AP133</f>
        <v>0</v>
      </c>
      <c r="AX524" s="84">
        <f>Input!AQ133</f>
        <v>0</v>
      </c>
      <c r="AY524" s="84">
        <f>Input!AR133</f>
        <v>0</v>
      </c>
      <c r="AZ524" s="84">
        <f>Input!AS133</f>
        <v>0</v>
      </c>
      <c r="BA524" s="84">
        <f>Input!AT133</f>
        <v>0</v>
      </c>
      <c r="BB524" s="84">
        <f>Input!AU133</f>
        <v>0</v>
      </c>
      <c r="BC524" s="84">
        <f>Input!AV133</f>
        <v>0</v>
      </c>
      <c r="BD524" s="84">
        <f>Input!AW133</f>
        <v>0</v>
      </c>
      <c r="BE524" s="84">
        <f>Input!AX133</f>
        <v>0</v>
      </c>
      <c r="BF524" s="84">
        <f>Input!AY133</f>
        <v>0</v>
      </c>
      <c r="BG524" s="84">
        <f>Input!AZ133</f>
        <v>0</v>
      </c>
      <c r="BH524" s="84">
        <f>Input!BA133</f>
        <v>0</v>
      </c>
      <c r="BI524" s="84">
        <f>Input!BB133</f>
        <v>0</v>
      </c>
      <c r="BJ524" s="84">
        <f>Input!BC133</f>
        <v>0</v>
      </c>
      <c r="BK524" s="84">
        <f>Input!BD133</f>
        <v>0</v>
      </c>
      <c r="BL524" s="84">
        <f>Input!BE133</f>
        <v>0</v>
      </c>
      <c r="BM524" s="84">
        <f>Input!BF133</f>
        <v>0</v>
      </c>
      <c r="BN524" s="84">
        <f>Input!BG133</f>
        <v>0</v>
      </c>
      <c r="BO524" s="84">
        <f>Input!BH133</f>
        <v>0</v>
      </c>
      <c r="BP524" s="84">
        <f>Input!BI133</f>
        <v>0</v>
      </c>
      <c r="BQ524" s="84">
        <f>Input!BJ133</f>
        <v>0</v>
      </c>
      <c r="BR524" s="84">
        <f>Input!BK133</f>
        <v>0</v>
      </c>
      <c r="BS524" s="84">
        <f>Input!BL133</f>
        <v>0</v>
      </c>
      <c r="BT524" s="84">
        <f>Input!BM133</f>
        <v>0</v>
      </c>
      <c r="BU524" s="84">
        <f>Input!BN133</f>
        <v>0</v>
      </c>
      <c r="BV524" s="84">
        <f>Input!BO133</f>
        <v>0</v>
      </c>
      <c r="BW524" s="84">
        <f>Input!BP133</f>
        <v>0</v>
      </c>
      <c r="BX524" s="84">
        <f>Input!BQ133</f>
        <v>0</v>
      </c>
      <c r="BY524" s="84">
        <f>Input!BR133</f>
        <v>0</v>
      </c>
      <c r="BZ524" s="84">
        <f>Input!BS133</f>
        <v>0</v>
      </c>
      <c r="CA524" s="84">
        <f>Input!BT133</f>
        <v>0</v>
      </c>
      <c r="CB524" s="84">
        <f>Input!BU133</f>
        <v>0</v>
      </c>
      <c r="CC524" s="84">
        <f>Input!BV133</f>
        <v>0</v>
      </c>
      <c r="CD524" s="84">
        <f>Input!BW133</f>
        <v>0</v>
      </c>
      <c r="CE524" s="1171"/>
      <c r="CF524" s="1171"/>
      <c r="CG524" s="1171"/>
      <c r="CH524" s="1171"/>
      <c r="CI524" s="1171"/>
    </row>
    <row r="525" spans="11:87" ht="12" customHeight="1" x14ac:dyDescent="0.35">
      <c r="K525" s="13">
        <v>27</v>
      </c>
      <c r="L525" s="415">
        <f>Input!D134</f>
        <v>0</v>
      </c>
      <c r="M525" s="416">
        <f>IF(Input!$F$107&gt;=K525,Input!G134,0)</f>
        <v>0</v>
      </c>
      <c r="N525" s="1058">
        <f>Input!H134</f>
        <v>0</v>
      </c>
      <c r="O525" s="1058">
        <f>Input!I134</f>
        <v>0</v>
      </c>
      <c r="P525" s="417">
        <f>Input!J134</f>
        <v>0</v>
      </c>
      <c r="Q525" s="418">
        <f>Input!L134</f>
        <v>0</v>
      </c>
      <c r="R525" s="418">
        <f>Input!K134</f>
        <v>0</v>
      </c>
      <c r="S525" s="419">
        <f>Input!M134</f>
        <v>0</v>
      </c>
      <c r="T525" s="13"/>
      <c r="U525" s="13">
        <f>IFERROR(IF(N525&lt;&gt;0,VLOOKUP(N525,Calcs!$B$278:$C$337,2,FALSE),0),0)</f>
        <v>0</v>
      </c>
      <c r="V525" s="13">
        <f>IFERROR(IF(O525&lt;&gt;0,VLOOKUP(O525,Calcs!$B$278:$C$337,2,FALSE),0),0)</f>
        <v>0</v>
      </c>
      <c r="W525" s="13">
        <f>Input!P134</f>
        <v>0</v>
      </c>
      <c r="X525" s="13">
        <f>Input!Q134</f>
        <v>0</v>
      </c>
      <c r="Y525" s="13">
        <f>Input!R134</f>
        <v>0</v>
      </c>
      <c r="Z525" s="13">
        <f>Input!S134</f>
        <v>0</v>
      </c>
      <c r="AA525" s="13">
        <f>Input!T134</f>
        <v>0</v>
      </c>
      <c r="AB525" s="13">
        <f>Input!U134</f>
        <v>0</v>
      </c>
      <c r="AC525" s="13">
        <f>Input!V134</f>
        <v>0</v>
      </c>
      <c r="AD525" s="13">
        <f>Input!W134</f>
        <v>0</v>
      </c>
      <c r="AE525" s="13">
        <f>Input!X134</f>
        <v>0</v>
      </c>
      <c r="AF525" s="84">
        <f>Input!Y134</f>
        <v>0</v>
      </c>
      <c r="AG525" s="84">
        <f>Input!Z134</f>
        <v>0</v>
      </c>
      <c r="AH525" s="84">
        <f>Input!AA134</f>
        <v>0</v>
      </c>
      <c r="AI525" s="84">
        <f>Input!AB134</f>
        <v>0</v>
      </c>
      <c r="AJ525" s="84">
        <f>Input!AC134</f>
        <v>0</v>
      </c>
      <c r="AK525" s="84">
        <f>Input!AD134</f>
        <v>0</v>
      </c>
      <c r="AL525" s="84">
        <f>Input!AE134</f>
        <v>0</v>
      </c>
      <c r="AM525" s="84">
        <f>Input!AF134</f>
        <v>0</v>
      </c>
      <c r="AN525" s="84">
        <f>Input!AG134</f>
        <v>0</v>
      </c>
      <c r="AO525" s="84">
        <f>Input!AH134</f>
        <v>0</v>
      </c>
      <c r="AP525" s="84">
        <f>Input!AI134</f>
        <v>0</v>
      </c>
      <c r="AQ525" s="84">
        <f>Input!AJ134</f>
        <v>0</v>
      </c>
      <c r="AR525" s="84">
        <f>Input!AK134</f>
        <v>0</v>
      </c>
      <c r="AS525" s="84">
        <f>Input!AL134</f>
        <v>0</v>
      </c>
      <c r="AT525" s="84">
        <f>Input!AM134</f>
        <v>0</v>
      </c>
      <c r="AU525" s="84">
        <f>Input!AN134</f>
        <v>0</v>
      </c>
      <c r="AV525" s="84">
        <f>Input!AO134</f>
        <v>0</v>
      </c>
      <c r="AW525" s="84">
        <f>Input!AP134</f>
        <v>0</v>
      </c>
      <c r="AX525" s="84">
        <f>Input!AQ134</f>
        <v>0</v>
      </c>
      <c r="AY525" s="84">
        <f>Input!AR134</f>
        <v>0</v>
      </c>
      <c r="AZ525" s="84">
        <f>Input!AS134</f>
        <v>0</v>
      </c>
      <c r="BA525" s="84">
        <f>Input!AT134</f>
        <v>0</v>
      </c>
      <c r="BB525" s="84">
        <f>Input!AU134</f>
        <v>0</v>
      </c>
      <c r="BC525" s="84">
        <f>Input!AV134</f>
        <v>0</v>
      </c>
      <c r="BD525" s="84">
        <f>Input!AW134</f>
        <v>0</v>
      </c>
      <c r="BE525" s="84">
        <f>Input!AX134</f>
        <v>0</v>
      </c>
      <c r="BF525" s="84">
        <f>Input!AY134</f>
        <v>0</v>
      </c>
      <c r="BG525" s="84">
        <f>Input!AZ134</f>
        <v>0</v>
      </c>
      <c r="BH525" s="84">
        <f>Input!BA134</f>
        <v>0</v>
      </c>
      <c r="BI525" s="84">
        <f>Input!BB134</f>
        <v>0</v>
      </c>
      <c r="BJ525" s="84">
        <f>Input!BC134</f>
        <v>0</v>
      </c>
      <c r="BK525" s="84">
        <f>Input!BD134</f>
        <v>0</v>
      </c>
      <c r="BL525" s="84">
        <f>Input!BE134</f>
        <v>0</v>
      </c>
      <c r="BM525" s="84">
        <f>Input!BF134</f>
        <v>0</v>
      </c>
      <c r="BN525" s="84">
        <f>Input!BG134</f>
        <v>0</v>
      </c>
      <c r="BO525" s="84">
        <f>Input!BH134</f>
        <v>0</v>
      </c>
      <c r="BP525" s="84">
        <f>Input!BI134</f>
        <v>0</v>
      </c>
      <c r="BQ525" s="84">
        <f>Input!BJ134</f>
        <v>0</v>
      </c>
      <c r="BR525" s="84">
        <f>Input!BK134</f>
        <v>0</v>
      </c>
      <c r="BS525" s="84">
        <f>Input!BL134</f>
        <v>0</v>
      </c>
      <c r="BT525" s="84">
        <f>Input!BM134</f>
        <v>0</v>
      </c>
      <c r="BU525" s="84">
        <f>Input!BN134</f>
        <v>0</v>
      </c>
      <c r="BV525" s="84">
        <f>Input!BO134</f>
        <v>0</v>
      </c>
      <c r="BW525" s="84">
        <f>Input!BP134</f>
        <v>0</v>
      </c>
      <c r="BX525" s="84">
        <f>Input!BQ134</f>
        <v>0</v>
      </c>
      <c r="BY525" s="84">
        <f>Input!BR134</f>
        <v>0</v>
      </c>
      <c r="BZ525" s="84">
        <f>Input!BS134</f>
        <v>0</v>
      </c>
      <c r="CA525" s="84">
        <f>Input!BT134</f>
        <v>0</v>
      </c>
      <c r="CB525" s="84">
        <f>Input!BU134</f>
        <v>0</v>
      </c>
      <c r="CC525" s="84">
        <f>Input!BV134</f>
        <v>0</v>
      </c>
      <c r="CD525" s="84">
        <f>Input!BW134</f>
        <v>0</v>
      </c>
      <c r="CE525" s="1171"/>
      <c r="CF525" s="1171"/>
      <c r="CG525" s="1171"/>
      <c r="CH525" s="1171"/>
      <c r="CI525" s="1171"/>
    </row>
    <row r="526" spans="11:87" ht="12" customHeight="1" x14ac:dyDescent="0.35">
      <c r="K526" s="13">
        <v>28</v>
      </c>
      <c r="L526" s="415">
        <f>Input!D135</f>
        <v>0</v>
      </c>
      <c r="M526" s="416">
        <f>IF(Input!$F$107&gt;=K526,Input!G135,0)</f>
        <v>0</v>
      </c>
      <c r="N526" s="1058">
        <f>Input!H135</f>
        <v>0</v>
      </c>
      <c r="O526" s="1058">
        <f>Input!I135</f>
        <v>0</v>
      </c>
      <c r="P526" s="417">
        <f>Input!J135</f>
        <v>0</v>
      </c>
      <c r="Q526" s="418">
        <f>Input!L135</f>
        <v>0</v>
      </c>
      <c r="R526" s="418">
        <f>Input!K135</f>
        <v>0</v>
      </c>
      <c r="S526" s="419">
        <f>Input!M135</f>
        <v>0</v>
      </c>
      <c r="T526" s="13"/>
      <c r="U526" s="13">
        <f>IFERROR(IF(N526&lt;&gt;0,VLOOKUP(N526,Calcs!$B$278:$C$337,2,FALSE),0),0)</f>
        <v>0</v>
      </c>
      <c r="V526" s="13">
        <f>IFERROR(IF(O526&lt;&gt;0,VLOOKUP(O526,Calcs!$B$278:$C$337,2,FALSE),0),0)</f>
        <v>0</v>
      </c>
      <c r="W526" s="13">
        <f>Input!P135</f>
        <v>0</v>
      </c>
      <c r="X526" s="13">
        <f>Input!Q135</f>
        <v>0</v>
      </c>
      <c r="Y526" s="13">
        <f>Input!R135</f>
        <v>0</v>
      </c>
      <c r="Z526" s="13">
        <f>Input!S135</f>
        <v>0</v>
      </c>
      <c r="AA526" s="13">
        <f>Input!T135</f>
        <v>0</v>
      </c>
      <c r="AB526" s="13">
        <f>Input!U135</f>
        <v>0</v>
      </c>
      <c r="AC526" s="13">
        <f>Input!V135</f>
        <v>0</v>
      </c>
      <c r="AD526" s="13">
        <f>Input!W135</f>
        <v>0</v>
      </c>
      <c r="AE526" s="13">
        <f>Input!X135</f>
        <v>0</v>
      </c>
      <c r="AF526" s="84">
        <f>Input!Y135</f>
        <v>0</v>
      </c>
      <c r="AG526" s="84">
        <f>Input!Z135</f>
        <v>0</v>
      </c>
      <c r="AH526" s="84">
        <f>Input!AA135</f>
        <v>0</v>
      </c>
      <c r="AI526" s="84">
        <f>Input!AB135</f>
        <v>0</v>
      </c>
      <c r="AJ526" s="84">
        <f>Input!AC135</f>
        <v>0</v>
      </c>
      <c r="AK526" s="84">
        <f>Input!AD135</f>
        <v>0</v>
      </c>
      <c r="AL526" s="84">
        <f>Input!AE135</f>
        <v>0</v>
      </c>
      <c r="AM526" s="84">
        <f>Input!AF135</f>
        <v>0</v>
      </c>
      <c r="AN526" s="84">
        <f>Input!AG135</f>
        <v>0</v>
      </c>
      <c r="AO526" s="84">
        <f>Input!AH135</f>
        <v>0</v>
      </c>
      <c r="AP526" s="84">
        <f>Input!AI135</f>
        <v>0</v>
      </c>
      <c r="AQ526" s="84">
        <f>Input!AJ135</f>
        <v>0</v>
      </c>
      <c r="AR526" s="84">
        <f>Input!AK135</f>
        <v>0</v>
      </c>
      <c r="AS526" s="84">
        <f>Input!AL135</f>
        <v>0</v>
      </c>
      <c r="AT526" s="84">
        <f>Input!AM135</f>
        <v>0</v>
      </c>
      <c r="AU526" s="84">
        <f>Input!AN135</f>
        <v>0</v>
      </c>
      <c r="AV526" s="84">
        <f>Input!AO135</f>
        <v>0</v>
      </c>
      <c r="AW526" s="84">
        <f>Input!AP135</f>
        <v>0</v>
      </c>
      <c r="AX526" s="84">
        <f>Input!AQ135</f>
        <v>0</v>
      </c>
      <c r="AY526" s="84">
        <f>Input!AR135</f>
        <v>0</v>
      </c>
      <c r="AZ526" s="84">
        <f>Input!AS135</f>
        <v>0</v>
      </c>
      <c r="BA526" s="84">
        <f>Input!AT135</f>
        <v>0</v>
      </c>
      <c r="BB526" s="84">
        <f>Input!AU135</f>
        <v>0</v>
      </c>
      <c r="BC526" s="84">
        <f>Input!AV135</f>
        <v>0</v>
      </c>
      <c r="BD526" s="84">
        <f>Input!AW135</f>
        <v>0</v>
      </c>
      <c r="BE526" s="84">
        <f>Input!AX135</f>
        <v>0</v>
      </c>
      <c r="BF526" s="84">
        <f>Input!AY135</f>
        <v>0</v>
      </c>
      <c r="BG526" s="84">
        <f>Input!AZ135</f>
        <v>0</v>
      </c>
      <c r="BH526" s="84">
        <f>Input!BA135</f>
        <v>0</v>
      </c>
      <c r="BI526" s="84">
        <f>Input!BB135</f>
        <v>0</v>
      </c>
      <c r="BJ526" s="84">
        <f>Input!BC135</f>
        <v>0</v>
      </c>
      <c r="BK526" s="84">
        <f>Input!BD135</f>
        <v>0</v>
      </c>
      <c r="BL526" s="84">
        <f>Input!BE135</f>
        <v>0</v>
      </c>
      <c r="BM526" s="84">
        <f>Input!BF135</f>
        <v>0</v>
      </c>
      <c r="BN526" s="84">
        <f>Input!BG135</f>
        <v>0</v>
      </c>
      <c r="BO526" s="84">
        <f>Input!BH135</f>
        <v>0</v>
      </c>
      <c r="BP526" s="84">
        <f>Input!BI135</f>
        <v>0</v>
      </c>
      <c r="BQ526" s="84">
        <f>Input!BJ135</f>
        <v>0</v>
      </c>
      <c r="BR526" s="84">
        <f>Input!BK135</f>
        <v>0</v>
      </c>
      <c r="BS526" s="84">
        <f>Input!BL135</f>
        <v>0</v>
      </c>
      <c r="BT526" s="84">
        <f>Input!BM135</f>
        <v>0</v>
      </c>
      <c r="BU526" s="84">
        <f>Input!BN135</f>
        <v>0</v>
      </c>
      <c r="BV526" s="84">
        <f>Input!BO135</f>
        <v>0</v>
      </c>
      <c r="BW526" s="84">
        <f>Input!BP135</f>
        <v>0</v>
      </c>
      <c r="BX526" s="84">
        <f>Input!BQ135</f>
        <v>0</v>
      </c>
      <c r="BY526" s="84">
        <f>Input!BR135</f>
        <v>0</v>
      </c>
      <c r="BZ526" s="84">
        <f>Input!BS135</f>
        <v>0</v>
      </c>
      <c r="CA526" s="84">
        <f>Input!BT135</f>
        <v>0</v>
      </c>
      <c r="CB526" s="84">
        <f>Input!BU135</f>
        <v>0</v>
      </c>
      <c r="CC526" s="84">
        <f>Input!BV135</f>
        <v>0</v>
      </c>
      <c r="CD526" s="84">
        <f>Input!BW135</f>
        <v>0</v>
      </c>
      <c r="CE526" s="1171"/>
      <c r="CF526" s="1171"/>
      <c r="CG526" s="1171"/>
      <c r="CH526" s="1171"/>
      <c r="CI526" s="1171"/>
    </row>
    <row r="527" spans="11:87" ht="12" customHeight="1" x14ac:dyDescent="0.35">
      <c r="K527" s="13">
        <v>29</v>
      </c>
      <c r="L527" s="415">
        <f>Input!D136</f>
        <v>0</v>
      </c>
      <c r="M527" s="416">
        <f>IF(Input!$F$107&gt;=K527,Input!G136,0)</f>
        <v>0</v>
      </c>
      <c r="N527" s="1058">
        <f>Input!H136</f>
        <v>0</v>
      </c>
      <c r="O527" s="1058">
        <f>Input!I136</f>
        <v>0</v>
      </c>
      <c r="P527" s="417">
        <f>Input!J136</f>
        <v>0</v>
      </c>
      <c r="Q527" s="418">
        <f>Input!L136</f>
        <v>0</v>
      </c>
      <c r="R527" s="418">
        <f>Input!K136</f>
        <v>0</v>
      </c>
      <c r="S527" s="419">
        <f>Input!M136</f>
        <v>0</v>
      </c>
      <c r="T527" s="13"/>
      <c r="U527" s="13">
        <f>IFERROR(IF(N527&lt;&gt;0,VLOOKUP(N527,Calcs!$B$278:$C$337,2,FALSE),0),0)</f>
        <v>0</v>
      </c>
      <c r="V527" s="13">
        <f>IFERROR(IF(O527&lt;&gt;0,VLOOKUP(O527,Calcs!$B$278:$C$337,2,FALSE),0),0)</f>
        <v>0</v>
      </c>
      <c r="W527" s="13">
        <f>Input!P136</f>
        <v>0</v>
      </c>
      <c r="X527" s="13">
        <f>Input!Q136</f>
        <v>0</v>
      </c>
      <c r="Y527" s="13">
        <f>Input!R136</f>
        <v>0</v>
      </c>
      <c r="Z527" s="13">
        <f>Input!S136</f>
        <v>0</v>
      </c>
      <c r="AA527" s="13">
        <f>Input!T136</f>
        <v>0</v>
      </c>
      <c r="AB527" s="13">
        <f>Input!U136</f>
        <v>0</v>
      </c>
      <c r="AC527" s="13">
        <f>Input!V136</f>
        <v>0</v>
      </c>
      <c r="AD527" s="13">
        <f>Input!W136</f>
        <v>0</v>
      </c>
      <c r="AE527" s="13">
        <f>Input!X136</f>
        <v>0</v>
      </c>
      <c r="AF527" s="84">
        <f>Input!Y136</f>
        <v>0</v>
      </c>
      <c r="AG527" s="84">
        <f>Input!Z136</f>
        <v>0</v>
      </c>
      <c r="AH527" s="84">
        <f>Input!AA136</f>
        <v>0</v>
      </c>
      <c r="AI527" s="84">
        <f>Input!AB136</f>
        <v>0</v>
      </c>
      <c r="AJ527" s="84">
        <f>Input!AC136</f>
        <v>0</v>
      </c>
      <c r="AK527" s="84">
        <f>Input!AD136</f>
        <v>0</v>
      </c>
      <c r="AL527" s="84">
        <f>Input!AE136</f>
        <v>0</v>
      </c>
      <c r="AM527" s="84">
        <f>Input!AF136</f>
        <v>0</v>
      </c>
      <c r="AN527" s="84">
        <f>Input!AG136</f>
        <v>0</v>
      </c>
      <c r="AO527" s="84">
        <f>Input!AH136</f>
        <v>0</v>
      </c>
      <c r="AP527" s="84">
        <f>Input!AI136</f>
        <v>0</v>
      </c>
      <c r="AQ527" s="84">
        <f>Input!AJ136</f>
        <v>0</v>
      </c>
      <c r="AR527" s="84">
        <f>Input!AK136</f>
        <v>0</v>
      </c>
      <c r="AS527" s="84">
        <f>Input!AL136</f>
        <v>0</v>
      </c>
      <c r="AT527" s="84">
        <f>Input!AM136</f>
        <v>0</v>
      </c>
      <c r="AU527" s="84">
        <f>Input!AN136</f>
        <v>0</v>
      </c>
      <c r="AV527" s="84">
        <f>Input!AO136</f>
        <v>0</v>
      </c>
      <c r="AW527" s="84">
        <f>Input!AP136</f>
        <v>0</v>
      </c>
      <c r="AX527" s="84">
        <f>Input!AQ136</f>
        <v>0</v>
      </c>
      <c r="AY527" s="84">
        <f>Input!AR136</f>
        <v>0</v>
      </c>
      <c r="AZ527" s="84">
        <f>Input!AS136</f>
        <v>0</v>
      </c>
      <c r="BA527" s="84">
        <f>Input!AT136</f>
        <v>0</v>
      </c>
      <c r="BB527" s="84">
        <f>Input!AU136</f>
        <v>0</v>
      </c>
      <c r="BC527" s="84">
        <f>Input!AV136</f>
        <v>0</v>
      </c>
      <c r="BD527" s="84">
        <f>Input!AW136</f>
        <v>0</v>
      </c>
      <c r="BE527" s="84">
        <f>Input!AX136</f>
        <v>0</v>
      </c>
      <c r="BF527" s="84">
        <f>Input!AY136</f>
        <v>0</v>
      </c>
      <c r="BG527" s="84">
        <f>Input!AZ136</f>
        <v>0</v>
      </c>
      <c r="BH527" s="84">
        <f>Input!BA136</f>
        <v>0</v>
      </c>
      <c r="BI527" s="84">
        <f>Input!BB136</f>
        <v>0</v>
      </c>
      <c r="BJ527" s="84">
        <f>Input!BC136</f>
        <v>0</v>
      </c>
      <c r="BK527" s="84">
        <f>Input!BD136</f>
        <v>0</v>
      </c>
      <c r="BL527" s="84">
        <f>Input!BE136</f>
        <v>0</v>
      </c>
      <c r="BM527" s="84">
        <f>Input!BF136</f>
        <v>0</v>
      </c>
      <c r="BN527" s="84">
        <f>Input!BG136</f>
        <v>0</v>
      </c>
      <c r="BO527" s="84">
        <f>Input!BH136</f>
        <v>0</v>
      </c>
      <c r="BP527" s="84">
        <f>Input!BI136</f>
        <v>0</v>
      </c>
      <c r="BQ527" s="84">
        <f>Input!BJ136</f>
        <v>0</v>
      </c>
      <c r="BR527" s="84">
        <f>Input!BK136</f>
        <v>0</v>
      </c>
      <c r="BS527" s="84">
        <f>Input!BL136</f>
        <v>0</v>
      </c>
      <c r="BT527" s="84">
        <f>Input!BM136</f>
        <v>0</v>
      </c>
      <c r="BU527" s="84">
        <f>Input!BN136</f>
        <v>0</v>
      </c>
      <c r="BV527" s="84">
        <f>Input!BO136</f>
        <v>0</v>
      </c>
      <c r="BW527" s="84">
        <f>Input!BP136</f>
        <v>0</v>
      </c>
      <c r="BX527" s="84">
        <f>Input!BQ136</f>
        <v>0</v>
      </c>
      <c r="BY527" s="84">
        <f>Input!BR136</f>
        <v>0</v>
      </c>
      <c r="BZ527" s="84">
        <f>Input!BS136</f>
        <v>0</v>
      </c>
      <c r="CA527" s="84">
        <f>Input!BT136</f>
        <v>0</v>
      </c>
      <c r="CB527" s="84">
        <f>Input!BU136</f>
        <v>0</v>
      </c>
      <c r="CC527" s="84">
        <f>Input!BV136</f>
        <v>0</v>
      </c>
      <c r="CD527" s="84">
        <f>Input!BW136</f>
        <v>0</v>
      </c>
      <c r="CE527" s="1171"/>
      <c r="CF527" s="1171"/>
      <c r="CG527" s="1171"/>
      <c r="CH527" s="1171"/>
      <c r="CI527" s="1171"/>
    </row>
    <row r="528" spans="11:87" ht="12" customHeight="1" x14ac:dyDescent="0.35">
      <c r="K528" s="13">
        <v>30</v>
      </c>
      <c r="L528" s="415">
        <f>Input!D137</f>
        <v>0</v>
      </c>
      <c r="M528" s="416">
        <f>IF(Input!$F$107&gt;=K528,Input!G137,0)</f>
        <v>0</v>
      </c>
      <c r="N528" s="1058">
        <f>Input!H137</f>
        <v>0</v>
      </c>
      <c r="O528" s="1058">
        <f>Input!I137</f>
        <v>0</v>
      </c>
      <c r="P528" s="417">
        <f>Input!J137</f>
        <v>0</v>
      </c>
      <c r="Q528" s="418">
        <f>Input!L137</f>
        <v>0</v>
      </c>
      <c r="R528" s="418">
        <f>Input!K137</f>
        <v>0</v>
      </c>
      <c r="S528" s="419">
        <f>Input!M137</f>
        <v>0</v>
      </c>
      <c r="T528" s="13"/>
      <c r="U528" s="13">
        <f>IFERROR(IF(N528&lt;&gt;0,VLOOKUP(N528,Calcs!$B$278:$C$337,2,FALSE),0),0)</f>
        <v>0</v>
      </c>
      <c r="V528" s="13">
        <f>IFERROR(IF(O528&lt;&gt;0,VLOOKUP(O528,Calcs!$B$278:$C$337,2,FALSE),0),0)</f>
        <v>0</v>
      </c>
      <c r="W528" s="13">
        <f>Input!P137</f>
        <v>0</v>
      </c>
      <c r="X528" s="13">
        <f>Input!Q137</f>
        <v>0</v>
      </c>
      <c r="Y528" s="13">
        <f>Input!R137</f>
        <v>0</v>
      </c>
      <c r="Z528" s="13">
        <f>Input!S137</f>
        <v>0</v>
      </c>
      <c r="AA528" s="13">
        <f>Input!T137</f>
        <v>0</v>
      </c>
      <c r="AB528" s="13">
        <f>Input!U137</f>
        <v>0</v>
      </c>
      <c r="AC528" s="13">
        <f>Input!V137</f>
        <v>0</v>
      </c>
      <c r="AD528" s="13">
        <f>Input!W137</f>
        <v>0</v>
      </c>
      <c r="AE528" s="13">
        <f>Input!X137</f>
        <v>0</v>
      </c>
      <c r="AF528" s="84">
        <f>Input!Y137</f>
        <v>0</v>
      </c>
      <c r="AG528" s="84">
        <f>Input!Z137</f>
        <v>0</v>
      </c>
      <c r="AH528" s="84">
        <f>Input!AA137</f>
        <v>0</v>
      </c>
      <c r="AI528" s="84">
        <f>Input!AB137</f>
        <v>0</v>
      </c>
      <c r="AJ528" s="84">
        <f>Input!AC137</f>
        <v>0</v>
      </c>
      <c r="AK528" s="84">
        <f>Input!AD137</f>
        <v>0</v>
      </c>
      <c r="AL528" s="84">
        <f>Input!AE137</f>
        <v>0</v>
      </c>
      <c r="AM528" s="84">
        <f>Input!AF137</f>
        <v>0</v>
      </c>
      <c r="AN528" s="84">
        <f>Input!AG137</f>
        <v>0</v>
      </c>
      <c r="AO528" s="84">
        <f>Input!AH137</f>
        <v>0</v>
      </c>
      <c r="AP528" s="84">
        <f>Input!AI137</f>
        <v>0</v>
      </c>
      <c r="AQ528" s="84">
        <f>Input!AJ137</f>
        <v>0</v>
      </c>
      <c r="AR528" s="84">
        <f>Input!AK137</f>
        <v>0</v>
      </c>
      <c r="AS528" s="84">
        <f>Input!AL137</f>
        <v>0</v>
      </c>
      <c r="AT528" s="84">
        <f>Input!AM137</f>
        <v>0</v>
      </c>
      <c r="AU528" s="84">
        <f>Input!AN137</f>
        <v>0</v>
      </c>
      <c r="AV528" s="84">
        <f>Input!AO137</f>
        <v>0</v>
      </c>
      <c r="AW528" s="84">
        <f>Input!AP137</f>
        <v>0</v>
      </c>
      <c r="AX528" s="84">
        <f>Input!AQ137</f>
        <v>0</v>
      </c>
      <c r="AY528" s="84">
        <f>Input!AR137</f>
        <v>0</v>
      </c>
      <c r="AZ528" s="84">
        <f>Input!AS137</f>
        <v>0</v>
      </c>
      <c r="BA528" s="84">
        <f>Input!AT137</f>
        <v>0</v>
      </c>
      <c r="BB528" s="84">
        <f>Input!AU137</f>
        <v>0</v>
      </c>
      <c r="BC528" s="84">
        <f>Input!AV137</f>
        <v>0</v>
      </c>
      <c r="BD528" s="84">
        <f>Input!AW137</f>
        <v>0</v>
      </c>
      <c r="BE528" s="84">
        <f>Input!AX137</f>
        <v>0</v>
      </c>
      <c r="BF528" s="84">
        <f>Input!AY137</f>
        <v>0</v>
      </c>
      <c r="BG528" s="84">
        <f>Input!AZ137</f>
        <v>0</v>
      </c>
      <c r="BH528" s="84">
        <f>Input!BA137</f>
        <v>0</v>
      </c>
      <c r="BI528" s="84">
        <f>Input!BB137</f>
        <v>0</v>
      </c>
      <c r="BJ528" s="84">
        <f>Input!BC137</f>
        <v>0</v>
      </c>
      <c r="BK528" s="84">
        <f>Input!BD137</f>
        <v>0</v>
      </c>
      <c r="BL528" s="84">
        <f>Input!BE137</f>
        <v>0</v>
      </c>
      <c r="BM528" s="84">
        <f>Input!BF137</f>
        <v>0</v>
      </c>
      <c r="BN528" s="84">
        <f>Input!BG137</f>
        <v>0</v>
      </c>
      <c r="BO528" s="84">
        <f>Input!BH137</f>
        <v>0</v>
      </c>
      <c r="BP528" s="84">
        <f>Input!BI137</f>
        <v>0</v>
      </c>
      <c r="BQ528" s="84">
        <f>Input!BJ137</f>
        <v>0</v>
      </c>
      <c r="BR528" s="84">
        <f>Input!BK137</f>
        <v>0</v>
      </c>
      <c r="BS528" s="84">
        <f>Input!BL137</f>
        <v>0</v>
      </c>
      <c r="BT528" s="84">
        <f>Input!BM137</f>
        <v>0</v>
      </c>
      <c r="BU528" s="84">
        <f>Input!BN137</f>
        <v>0</v>
      </c>
      <c r="BV528" s="84">
        <f>Input!BO137</f>
        <v>0</v>
      </c>
      <c r="BW528" s="84">
        <f>Input!BP137</f>
        <v>0</v>
      </c>
      <c r="BX528" s="84">
        <f>Input!BQ137</f>
        <v>0</v>
      </c>
      <c r="BY528" s="84">
        <f>Input!BR137</f>
        <v>0</v>
      </c>
      <c r="BZ528" s="84">
        <f>Input!BS137</f>
        <v>0</v>
      </c>
      <c r="CA528" s="84">
        <f>Input!BT137</f>
        <v>0</v>
      </c>
      <c r="CB528" s="84">
        <f>Input!BU137</f>
        <v>0</v>
      </c>
      <c r="CC528" s="84">
        <f>Input!BV137</f>
        <v>0</v>
      </c>
      <c r="CD528" s="84">
        <f>Input!BW137</f>
        <v>0</v>
      </c>
      <c r="CE528" s="1171"/>
      <c r="CF528" s="1171"/>
      <c r="CG528" s="1171"/>
      <c r="CH528" s="1171"/>
      <c r="CI528" s="1171"/>
    </row>
    <row r="529" spans="11:87" ht="12" customHeight="1" x14ac:dyDescent="0.35">
      <c r="K529" s="13">
        <v>31</v>
      </c>
      <c r="L529" s="415">
        <f>Input!D138</f>
        <v>0</v>
      </c>
      <c r="M529" s="416">
        <f>IF(Input!$F$107&gt;=K529,Input!G138,0)</f>
        <v>0</v>
      </c>
      <c r="N529" s="1058">
        <f>Input!H138</f>
        <v>0</v>
      </c>
      <c r="O529" s="1058">
        <f>Input!I138</f>
        <v>0</v>
      </c>
      <c r="P529" s="417">
        <f>Input!J138</f>
        <v>0</v>
      </c>
      <c r="Q529" s="418">
        <f>Input!L138</f>
        <v>0</v>
      </c>
      <c r="R529" s="418">
        <f>Input!K138</f>
        <v>0</v>
      </c>
      <c r="S529" s="419">
        <f>Input!M138</f>
        <v>0</v>
      </c>
      <c r="T529" s="13"/>
      <c r="U529" s="13">
        <f>IFERROR(IF(N529&lt;&gt;0,VLOOKUP(N529,Calcs!$B$278:$C$337,2,FALSE),0),0)</f>
        <v>0</v>
      </c>
      <c r="V529" s="13">
        <f>IFERROR(IF(O529&lt;&gt;0,VLOOKUP(O529,Calcs!$B$278:$C$337,2,FALSE),0),0)</f>
        <v>0</v>
      </c>
      <c r="W529" s="13">
        <f>Input!P138</f>
        <v>0</v>
      </c>
      <c r="X529" s="13">
        <f>Input!Q138</f>
        <v>0</v>
      </c>
      <c r="Y529" s="13">
        <f>Input!R138</f>
        <v>0</v>
      </c>
      <c r="Z529" s="13">
        <f>Input!S138</f>
        <v>0</v>
      </c>
      <c r="AA529" s="13">
        <f>Input!T138</f>
        <v>0</v>
      </c>
      <c r="AB529" s="13">
        <f>Input!U138</f>
        <v>0</v>
      </c>
      <c r="AC529" s="13">
        <f>Input!V138</f>
        <v>0</v>
      </c>
      <c r="AD529" s="13">
        <f>Input!W138</f>
        <v>0</v>
      </c>
      <c r="AE529" s="13">
        <f>Input!X138</f>
        <v>0</v>
      </c>
      <c r="AF529" s="84">
        <f>Input!Y138</f>
        <v>0</v>
      </c>
      <c r="AG529" s="84">
        <f>Input!Z138</f>
        <v>0</v>
      </c>
      <c r="AH529" s="84">
        <f>Input!AA138</f>
        <v>0</v>
      </c>
      <c r="AI529" s="84">
        <f>Input!AB138</f>
        <v>0</v>
      </c>
      <c r="AJ529" s="84">
        <f>Input!AC138</f>
        <v>0</v>
      </c>
      <c r="AK529" s="84">
        <f>Input!AD138</f>
        <v>0</v>
      </c>
      <c r="AL529" s="84">
        <f>Input!AE138</f>
        <v>0</v>
      </c>
      <c r="AM529" s="84">
        <f>Input!AF138</f>
        <v>0</v>
      </c>
      <c r="AN529" s="84">
        <f>Input!AG138</f>
        <v>0</v>
      </c>
      <c r="AO529" s="84">
        <f>Input!AH138</f>
        <v>0</v>
      </c>
      <c r="AP529" s="84">
        <f>Input!AI138</f>
        <v>0</v>
      </c>
      <c r="AQ529" s="84">
        <f>Input!AJ138</f>
        <v>0</v>
      </c>
      <c r="AR529" s="84">
        <f>Input!AK138</f>
        <v>0</v>
      </c>
      <c r="AS529" s="84">
        <f>Input!AL138</f>
        <v>0</v>
      </c>
      <c r="AT529" s="84">
        <f>Input!AM138</f>
        <v>0</v>
      </c>
      <c r="AU529" s="84">
        <f>Input!AN138</f>
        <v>0</v>
      </c>
      <c r="AV529" s="84">
        <f>Input!AO138</f>
        <v>0</v>
      </c>
      <c r="AW529" s="84">
        <f>Input!AP138</f>
        <v>0</v>
      </c>
      <c r="AX529" s="84">
        <f>Input!AQ138</f>
        <v>0</v>
      </c>
      <c r="AY529" s="84">
        <f>Input!AR138</f>
        <v>0</v>
      </c>
      <c r="AZ529" s="84">
        <f>Input!AS138</f>
        <v>0</v>
      </c>
      <c r="BA529" s="84">
        <f>Input!AT138</f>
        <v>0</v>
      </c>
      <c r="BB529" s="84">
        <f>Input!AU138</f>
        <v>0</v>
      </c>
      <c r="BC529" s="84">
        <f>Input!AV138</f>
        <v>0</v>
      </c>
      <c r="BD529" s="84">
        <f>Input!AW138</f>
        <v>0</v>
      </c>
      <c r="BE529" s="84">
        <f>Input!AX138</f>
        <v>0</v>
      </c>
      <c r="BF529" s="84">
        <f>Input!AY138</f>
        <v>0</v>
      </c>
      <c r="BG529" s="84">
        <f>Input!AZ138</f>
        <v>0</v>
      </c>
      <c r="BH529" s="84">
        <f>Input!BA138</f>
        <v>0</v>
      </c>
      <c r="BI529" s="84">
        <f>Input!BB138</f>
        <v>0</v>
      </c>
      <c r="BJ529" s="84">
        <f>Input!BC138</f>
        <v>0</v>
      </c>
      <c r="BK529" s="84">
        <f>Input!BD138</f>
        <v>0</v>
      </c>
      <c r="BL529" s="84">
        <f>Input!BE138</f>
        <v>0</v>
      </c>
      <c r="BM529" s="84">
        <f>Input!BF138</f>
        <v>0</v>
      </c>
      <c r="BN529" s="84">
        <f>Input!BG138</f>
        <v>0</v>
      </c>
      <c r="BO529" s="84">
        <f>Input!BH138</f>
        <v>0</v>
      </c>
      <c r="BP529" s="84">
        <f>Input!BI138</f>
        <v>0</v>
      </c>
      <c r="BQ529" s="84">
        <f>Input!BJ138</f>
        <v>0</v>
      </c>
      <c r="BR529" s="84">
        <f>Input!BK138</f>
        <v>0</v>
      </c>
      <c r="BS529" s="84">
        <f>Input!BL138</f>
        <v>0</v>
      </c>
      <c r="BT529" s="84">
        <f>Input!BM138</f>
        <v>0</v>
      </c>
      <c r="BU529" s="84">
        <f>Input!BN138</f>
        <v>0</v>
      </c>
      <c r="BV529" s="84">
        <f>Input!BO138</f>
        <v>0</v>
      </c>
      <c r="BW529" s="84">
        <f>Input!BP138</f>
        <v>0</v>
      </c>
      <c r="BX529" s="84">
        <f>Input!BQ138</f>
        <v>0</v>
      </c>
      <c r="BY529" s="84">
        <f>Input!BR138</f>
        <v>0</v>
      </c>
      <c r="BZ529" s="84">
        <f>Input!BS138</f>
        <v>0</v>
      </c>
      <c r="CA529" s="84">
        <f>Input!BT138</f>
        <v>0</v>
      </c>
      <c r="CB529" s="84">
        <f>Input!BU138</f>
        <v>0</v>
      </c>
      <c r="CC529" s="84">
        <f>Input!BV138</f>
        <v>0</v>
      </c>
      <c r="CD529" s="84">
        <f>Input!BW138</f>
        <v>0</v>
      </c>
      <c r="CE529" s="1171"/>
      <c r="CF529" s="1171"/>
      <c r="CG529" s="1171"/>
      <c r="CH529" s="1171"/>
      <c r="CI529" s="1171"/>
    </row>
    <row r="530" spans="11:87" ht="12" customHeight="1" x14ac:dyDescent="0.35">
      <c r="K530" s="13">
        <v>32</v>
      </c>
      <c r="L530" s="415">
        <f>Input!D139</f>
        <v>0</v>
      </c>
      <c r="M530" s="416">
        <f>IF(Input!$F$107&gt;=K530,Input!G139,0)</f>
        <v>0</v>
      </c>
      <c r="N530" s="1058">
        <f>Input!H139</f>
        <v>0</v>
      </c>
      <c r="O530" s="1058">
        <f>Input!I139</f>
        <v>0</v>
      </c>
      <c r="P530" s="417">
        <f>Input!J139</f>
        <v>0</v>
      </c>
      <c r="Q530" s="418">
        <f>Input!L139</f>
        <v>0</v>
      </c>
      <c r="R530" s="418">
        <f>Input!K139</f>
        <v>0</v>
      </c>
      <c r="S530" s="419">
        <f>Input!M139</f>
        <v>0</v>
      </c>
      <c r="T530" s="13"/>
      <c r="U530" s="13">
        <f>IFERROR(IF(N530&lt;&gt;0,VLOOKUP(N530,Calcs!$B$278:$C$337,2,FALSE),0),0)</f>
        <v>0</v>
      </c>
      <c r="V530" s="13">
        <f>IFERROR(IF(O530&lt;&gt;0,VLOOKUP(O530,Calcs!$B$278:$C$337,2,FALSE),0),0)</f>
        <v>0</v>
      </c>
      <c r="W530" s="13">
        <f>Input!P139</f>
        <v>0</v>
      </c>
      <c r="X530" s="13">
        <f>Input!Q139</f>
        <v>0</v>
      </c>
      <c r="Y530" s="13">
        <f>Input!R139</f>
        <v>0</v>
      </c>
      <c r="Z530" s="13">
        <f>Input!S139</f>
        <v>0</v>
      </c>
      <c r="AA530" s="13">
        <f>Input!T139</f>
        <v>0</v>
      </c>
      <c r="AB530" s="13">
        <f>Input!U139</f>
        <v>0</v>
      </c>
      <c r="AC530" s="13">
        <f>Input!V139</f>
        <v>0</v>
      </c>
      <c r="AD530" s="13">
        <f>Input!W139</f>
        <v>0</v>
      </c>
      <c r="AE530" s="13">
        <f>Input!X139</f>
        <v>0</v>
      </c>
      <c r="AF530" s="84">
        <f>Input!Y139</f>
        <v>0</v>
      </c>
      <c r="AG530" s="84">
        <f>Input!Z139</f>
        <v>0</v>
      </c>
      <c r="AH530" s="84">
        <f>Input!AA139</f>
        <v>0</v>
      </c>
      <c r="AI530" s="84">
        <f>Input!AB139</f>
        <v>0</v>
      </c>
      <c r="AJ530" s="84">
        <f>Input!AC139</f>
        <v>0</v>
      </c>
      <c r="AK530" s="84">
        <f>Input!AD139</f>
        <v>0</v>
      </c>
      <c r="AL530" s="84">
        <f>Input!AE139</f>
        <v>0</v>
      </c>
      <c r="AM530" s="84">
        <f>Input!AF139</f>
        <v>0</v>
      </c>
      <c r="AN530" s="84">
        <f>Input!AG139</f>
        <v>0</v>
      </c>
      <c r="AO530" s="84">
        <f>Input!AH139</f>
        <v>0</v>
      </c>
      <c r="AP530" s="84">
        <f>Input!AI139</f>
        <v>0</v>
      </c>
      <c r="AQ530" s="84">
        <f>Input!AJ139</f>
        <v>0</v>
      </c>
      <c r="AR530" s="84">
        <f>Input!AK139</f>
        <v>0</v>
      </c>
      <c r="AS530" s="84">
        <f>Input!AL139</f>
        <v>0</v>
      </c>
      <c r="AT530" s="84">
        <f>Input!AM139</f>
        <v>0</v>
      </c>
      <c r="AU530" s="84">
        <f>Input!AN139</f>
        <v>0</v>
      </c>
      <c r="AV530" s="84">
        <f>Input!AO139</f>
        <v>0</v>
      </c>
      <c r="AW530" s="84">
        <f>Input!AP139</f>
        <v>0</v>
      </c>
      <c r="AX530" s="84">
        <f>Input!AQ139</f>
        <v>0</v>
      </c>
      <c r="AY530" s="84">
        <f>Input!AR139</f>
        <v>0</v>
      </c>
      <c r="AZ530" s="84">
        <f>Input!AS139</f>
        <v>0</v>
      </c>
      <c r="BA530" s="84">
        <f>Input!AT139</f>
        <v>0</v>
      </c>
      <c r="BB530" s="84">
        <f>Input!AU139</f>
        <v>0</v>
      </c>
      <c r="BC530" s="84">
        <f>Input!AV139</f>
        <v>0</v>
      </c>
      <c r="BD530" s="84">
        <f>Input!AW139</f>
        <v>0</v>
      </c>
      <c r="BE530" s="84">
        <f>Input!AX139</f>
        <v>0</v>
      </c>
      <c r="BF530" s="84">
        <f>Input!AY139</f>
        <v>0</v>
      </c>
      <c r="BG530" s="84">
        <f>Input!AZ139</f>
        <v>0</v>
      </c>
      <c r="BH530" s="84">
        <f>Input!BA139</f>
        <v>0</v>
      </c>
      <c r="BI530" s="84">
        <f>Input!BB139</f>
        <v>0</v>
      </c>
      <c r="BJ530" s="84">
        <f>Input!BC139</f>
        <v>0</v>
      </c>
      <c r="BK530" s="84">
        <f>Input!BD139</f>
        <v>0</v>
      </c>
      <c r="BL530" s="84">
        <f>Input!BE139</f>
        <v>0</v>
      </c>
      <c r="BM530" s="84">
        <f>Input!BF139</f>
        <v>0</v>
      </c>
      <c r="BN530" s="84">
        <f>Input!BG139</f>
        <v>0</v>
      </c>
      <c r="BO530" s="84">
        <f>Input!BH139</f>
        <v>0</v>
      </c>
      <c r="BP530" s="84">
        <f>Input!BI139</f>
        <v>0</v>
      </c>
      <c r="BQ530" s="84">
        <f>Input!BJ139</f>
        <v>0</v>
      </c>
      <c r="BR530" s="84">
        <f>Input!BK139</f>
        <v>0</v>
      </c>
      <c r="BS530" s="84">
        <f>Input!BL139</f>
        <v>0</v>
      </c>
      <c r="BT530" s="84">
        <f>Input!BM139</f>
        <v>0</v>
      </c>
      <c r="BU530" s="84">
        <f>Input!BN139</f>
        <v>0</v>
      </c>
      <c r="BV530" s="84">
        <f>Input!BO139</f>
        <v>0</v>
      </c>
      <c r="BW530" s="84">
        <f>Input!BP139</f>
        <v>0</v>
      </c>
      <c r="BX530" s="84">
        <f>Input!BQ139</f>
        <v>0</v>
      </c>
      <c r="BY530" s="84">
        <f>Input!BR139</f>
        <v>0</v>
      </c>
      <c r="BZ530" s="84">
        <f>Input!BS139</f>
        <v>0</v>
      </c>
      <c r="CA530" s="84">
        <f>Input!BT139</f>
        <v>0</v>
      </c>
      <c r="CB530" s="84">
        <f>Input!BU139</f>
        <v>0</v>
      </c>
      <c r="CC530" s="84">
        <f>Input!BV139</f>
        <v>0</v>
      </c>
      <c r="CD530" s="84">
        <f>Input!BW139</f>
        <v>0</v>
      </c>
      <c r="CE530" s="1171"/>
      <c r="CF530" s="1171"/>
      <c r="CG530" s="1171"/>
      <c r="CH530" s="1171"/>
      <c r="CI530" s="1171"/>
    </row>
    <row r="531" spans="11:87" ht="12" customHeight="1" x14ac:dyDescent="0.35">
      <c r="K531" s="13">
        <v>33</v>
      </c>
      <c r="L531" s="415">
        <f>Input!D140</f>
        <v>0</v>
      </c>
      <c r="M531" s="416">
        <f>IF(Input!$F$107&gt;=K531,Input!G140,0)</f>
        <v>0</v>
      </c>
      <c r="N531" s="1058">
        <f>Input!H140</f>
        <v>0</v>
      </c>
      <c r="O531" s="1058">
        <f>Input!I140</f>
        <v>0</v>
      </c>
      <c r="P531" s="417">
        <f>Input!J140</f>
        <v>0</v>
      </c>
      <c r="Q531" s="418">
        <f>Input!L140</f>
        <v>0</v>
      </c>
      <c r="R531" s="418">
        <f>Input!K140</f>
        <v>0</v>
      </c>
      <c r="S531" s="419">
        <f>Input!M140</f>
        <v>0</v>
      </c>
      <c r="T531" s="13"/>
      <c r="U531" s="13">
        <f>IFERROR(IF(N531&lt;&gt;0,VLOOKUP(N531,Calcs!$B$278:$C$337,2,FALSE),0),0)</f>
        <v>0</v>
      </c>
      <c r="V531" s="13">
        <f>IFERROR(IF(O531&lt;&gt;0,VLOOKUP(O531,Calcs!$B$278:$C$337,2,FALSE),0),0)</f>
        <v>0</v>
      </c>
      <c r="W531" s="13">
        <f>Input!P140</f>
        <v>0</v>
      </c>
      <c r="X531" s="13">
        <f>Input!Q140</f>
        <v>0</v>
      </c>
      <c r="Y531" s="13">
        <f>Input!R140</f>
        <v>0</v>
      </c>
      <c r="Z531" s="13">
        <f>Input!S140</f>
        <v>0</v>
      </c>
      <c r="AA531" s="13">
        <f>Input!T140</f>
        <v>0</v>
      </c>
      <c r="AB531" s="13">
        <f>Input!U140</f>
        <v>0</v>
      </c>
      <c r="AC531" s="13">
        <f>Input!V140</f>
        <v>0</v>
      </c>
      <c r="AD531" s="13">
        <f>Input!W140</f>
        <v>0</v>
      </c>
      <c r="AE531" s="13">
        <f>Input!X140</f>
        <v>0</v>
      </c>
      <c r="AF531" s="84">
        <f>Input!Y140</f>
        <v>0</v>
      </c>
      <c r="AG531" s="84">
        <f>Input!Z140</f>
        <v>0</v>
      </c>
      <c r="AH531" s="84">
        <f>Input!AA140</f>
        <v>0</v>
      </c>
      <c r="AI531" s="84">
        <f>Input!AB140</f>
        <v>0</v>
      </c>
      <c r="AJ531" s="84">
        <f>Input!AC140</f>
        <v>0</v>
      </c>
      <c r="AK531" s="84">
        <f>Input!AD140</f>
        <v>0</v>
      </c>
      <c r="AL531" s="84">
        <f>Input!AE140</f>
        <v>0</v>
      </c>
      <c r="AM531" s="84">
        <f>Input!AF140</f>
        <v>0</v>
      </c>
      <c r="AN531" s="84">
        <f>Input!AG140</f>
        <v>0</v>
      </c>
      <c r="AO531" s="84">
        <f>Input!AH140</f>
        <v>0</v>
      </c>
      <c r="AP531" s="84">
        <f>Input!AI140</f>
        <v>0</v>
      </c>
      <c r="AQ531" s="84">
        <f>Input!AJ140</f>
        <v>0</v>
      </c>
      <c r="AR531" s="84">
        <f>Input!AK140</f>
        <v>0</v>
      </c>
      <c r="AS531" s="84">
        <f>Input!AL140</f>
        <v>0</v>
      </c>
      <c r="AT531" s="84">
        <f>Input!AM140</f>
        <v>0</v>
      </c>
      <c r="AU531" s="84">
        <f>Input!AN140</f>
        <v>0</v>
      </c>
      <c r="AV531" s="84">
        <f>Input!AO140</f>
        <v>0</v>
      </c>
      <c r="AW531" s="84">
        <f>Input!AP140</f>
        <v>0</v>
      </c>
      <c r="AX531" s="84">
        <f>Input!AQ140</f>
        <v>0</v>
      </c>
      <c r="AY531" s="84">
        <f>Input!AR140</f>
        <v>0</v>
      </c>
      <c r="AZ531" s="84">
        <f>Input!AS140</f>
        <v>0</v>
      </c>
      <c r="BA531" s="84">
        <f>Input!AT140</f>
        <v>0</v>
      </c>
      <c r="BB531" s="84">
        <f>Input!AU140</f>
        <v>0</v>
      </c>
      <c r="BC531" s="84">
        <f>Input!AV140</f>
        <v>0</v>
      </c>
      <c r="BD531" s="84">
        <f>Input!AW140</f>
        <v>0</v>
      </c>
      <c r="BE531" s="84">
        <f>Input!AX140</f>
        <v>0</v>
      </c>
      <c r="BF531" s="84">
        <f>Input!AY140</f>
        <v>0</v>
      </c>
      <c r="BG531" s="84">
        <f>Input!AZ140</f>
        <v>0</v>
      </c>
      <c r="BH531" s="84">
        <f>Input!BA140</f>
        <v>0</v>
      </c>
      <c r="BI531" s="84">
        <f>Input!BB140</f>
        <v>0</v>
      </c>
      <c r="BJ531" s="84">
        <f>Input!BC140</f>
        <v>0</v>
      </c>
      <c r="BK531" s="84">
        <f>Input!BD140</f>
        <v>0</v>
      </c>
      <c r="BL531" s="84">
        <f>Input!BE140</f>
        <v>0</v>
      </c>
      <c r="BM531" s="84">
        <f>Input!BF140</f>
        <v>0</v>
      </c>
      <c r="BN531" s="84">
        <f>Input!BG140</f>
        <v>0</v>
      </c>
      <c r="BO531" s="84">
        <f>Input!BH140</f>
        <v>0</v>
      </c>
      <c r="BP531" s="84">
        <f>Input!BI140</f>
        <v>0</v>
      </c>
      <c r="BQ531" s="84">
        <f>Input!BJ140</f>
        <v>0</v>
      </c>
      <c r="BR531" s="84">
        <f>Input!BK140</f>
        <v>0</v>
      </c>
      <c r="BS531" s="84">
        <f>Input!BL140</f>
        <v>0</v>
      </c>
      <c r="BT531" s="84">
        <f>Input!BM140</f>
        <v>0</v>
      </c>
      <c r="BU531" s="84">
        <f>Input!BN140</f>
        <v>0</v>
      </c>
      <c r="BV531" s="84">
        <f>Input!BO140</f>
        <v>0</v>
      </c>
      <c r="BW531" s="84">
        <f>Input!BP140</f>
        <v>0</v>
      </c>
      <c r="BX531" s="84">
        <f>Input!BQ140</f>
        <v>0</v>
      </c>
      <c r="BY531" s="84">
        <f>Input!BR140</f>
        <v>0</v>
      </c>
      <c r="BZ531" s="84">
        <f>Input!BS140</f>
        <v>0</v>
      </c>
      <c r="CA531" s="84">
        <f>Input!BT140</f>
        <v>0</v>
      </c>
      <c r="CB531" s="84">
        <f>Input!BU140</f>
        <v>0</v>
      </c>
      <c r="CC531" s="84">
        <f>Input!BV140</f>
        <v>0</v>
      </c>
      <c r="CD531" s="84">
        <f>Input!BW140</f>
        <v>0</v>
      </c>
      <c r="CE531" s="1171"/>
      <c r="CF531" s="1171"/>
      <c r="CG531" s="1171"/>
      <c r="CH531" s="1171"/>
      <c r="CI531" s="1171"/>
    </row>
    <row r="532" spans="11:87" ht="12" customHeight="1" x14ac:dyDescent="0.35">
      <c r="K532" s="13">
        <v>34</v>
      </c>
      <c r="L532" s="415">
        <f>Input!D141</f>
        <v>0</v>
      </c>
      <c r="M532" s="416">
        <f>IF(Input!$F$107&gt;=K532,Input!G141,0)</f>
        <v>0</v>
      </c>
      <c r="N532" s="1058">
        <f>Input!H141</f>
        <v>0</v>
      </c>
      <c r="O532" s="1058">
        <f>Input!I141</f>
        <v>0</v>
      </c>
      <c r="P532" s="417">
        <f>Input!J141</f>
        <v>0</v>
      </c>
      <c r="Q532" s="418">
        <f>Input!L141</f>
        <v>0</v>
      </c>
      <c r="R532" s="418">
        <f>Input!K141</f>
        <v>0</v>
      </c>
      <c r="S532" s="419">
        <f>Input!M141</f>
        <v>0</v>
      </c>
      <c r="T532" s="13"/>
      <c r="U532" s="13">
        <f>IFERROR(IF(N532&lt;&gt;0,VLOOKUP(N532,Calcs!$B$278:$C$337,2,FALSE),0),0)</f>
        <v>0</v>
      </c>
      <c r="V532" s="13">
        <f>IFERROR(IF(O532&lt;&gt;0,VLOOKUP(O532,Calcs!$B$278:$C$337,2,FALSE),0),0)</f>
        <v>0</v>
      </c>
      <c r="W532" s="13">
        <f>Input!P141</f>
        <v>0</v>
      </c>
      <c r="X532" s="13">
        <f>Input!Q141</f>
        <v>0</v>
      </c>
      <c r="Y532" s="13">
        <f>Input!R141</f>
        <v>0</v>
      </c>
      <c r="Z532" s="13">
        <f>Input!S141</f>
        <v>0</v>
      </c>
      <c r="AA532" s="13">
        <f>Input!T141</f>
        <v>0</v>
      </c>
      <c r="AB532" s="13">
        <f>Input!U141</f>
        <v>0</v>
      </c>
      <c r="AC532" s="13">
        <f>Input!V141</f>
        <v>0</v>
      </c>
      <c r="AD532" s="13">
        <f>Input!W141</f>
        <v>0</v>
      </c>
      <c r="AE532" s="13">
        <f>Input!X141</f>
        <v>0</v>
      </c>
      <c r="AF532" s="84">
        <f>Input!Y141</f>
        <v>0</v>
      </c>
      <c r="AG532" s="84">
        <f>Input!Z141</f>
        <v>0</v>
      </c>
      <c r="AH532" s="84">
        <f>Input!AA141</f>
        <v>0</v>
      </c>
      <c r="AI532" s="84">
        <f>Input!AB141</f>
        <v>0</v>
      </c>
      <c r="AJ532" s="84">
        <f>Input!AC141</f>
        <v>0</v>
      </c>
      <c r="AK532" s="84">
        <f>Input!AD141</f>
        <v>0</v>
      </c>
      <c r="AL532" s="84">
        <f>Input!AE141</f>
        <v>0</v>
      </c>
      <c r="AM532" s="84">
        <f>Input!AF141</f>
        <v>0</v>
      </c>
      <c r="AN532" s="84">
        <f>Input!AG141</f>
        <v>0</v>
      </c>
      <c r="AO532" s="84">
        <f>Input!AH141</f>
        <v>0</v>
      </c>
      <c r="AP532" s="84">
        <f>Input!AI141</f>
        <v>0</v>
      </c>
      <c r="AQ532" s="84">
        <f>Input!AJ141</f>
        <v>0</v>
      </c>
      <c r="AR532" s="84">
        <f>Input!AK141</f>
        <v>0</v>
      </c>
      <c r="AS532" s="84">
        <f>Input!AL141</f>
        <v>0</v>
      </c>
      <c r="AT532" s="84">
        <f>Input!AM141</f>
        <v>0</v>
      </c>
      <c r="AU532" s="84">
        <f>Input!AN141</f>
        <v>0</v>
      </c>
      <c r="AV532" s="84">
        <f>Input!AO141</f>
        <v>0</v>
      </c>
      <c r="AW532" s="84">
        <f>Input!AP141</f>
        <v>0</v>
      </c>
      <c r="AX532" s="84">
        <f>Input!AQ141</f>
        <v>0</v>
      </c>
      <c r="AY532" s="84">
        <f>Input!AR141</f>
        <v>0</v>
      </c>
      <c r="AZ532" s="84">
        <f>Input!AS141</f>
        <v>0</v>
      </c>
      <c r="BA532" s="84">
        <f>Input!AT141</f>
        <v>0</v>
      </c>
      <c r="BB532" s="84">
        <f>Input!AU141</f>
        <v>0</v>
      </c>
      <c r="BC532" s="84">
        <f>Input!AV141</f>
        <v>0</v>
      </c>
      <c r="BD532" s="84">
        <f>Input!AW141</f>
        <v>0</v>
      </c>
      <c r="BE532" s="84">
        <f>Input!AX141</f>
        <v>0</v>
      </c>
      <c r="BF532" s="84">
        <f>Input!AY141</f>
        <v>0</v>
      </c>
      <c r="BG532" s="84">
        <f>Input!AZ141</f>
        <v>0</v>
      </c>
      <c r="BH532" s="84">
        <f>Input!BA141</f>
        <v>0</v>
      </c>
      <c r="BI532" s="84">
        <f>Input!BB141</f>
        <v>0</v>
      </c>
      <c r="BJ532" s="84">
        <f>Input!BC141</f>
        <v>0</v>
      </c>
      <c r="BK532" s="84">
        <f>Input!BD141</f>
        <v>0</v>
      </c>
      <c r="BL532" s="84">
        <f>Input!BE141</f>
        <v>0</v>
      </c>
      <c r="BM532" s="84">
        <f>Input!BF141</f>
        <v>0</v>
      </c>
      <c r="BN532" s="84">
        <f>Input!BG141</f>
        <v>0</v>
      </c>
      <c r="BO532" s="84">
        <f>Input!BH141</f>
        <v>0</v>
      </c>
      <c r="BP532" s="84">
        <f>Input!BI141</f>
        <v>0</v>
      </c>
      <c r="BQ532" s="84">
        <f>Input!BJ141</f>
        <v>0</v>
      </c>
      <c r="BR532" s="84">
        <f>Input!BK141</f>
        <v>0</v>
      </c>
      <c r="BS532" s="84">
        <f>Input!BL141</f>
        <v>0</v>
      </c>
      <c r="BT532" s="84">
        <f>Input!BM141</f>
        <v>0</v>
      </c>
      <c r="BU532" s="84">
        <f>Input!BN141</f>
        <v>0</v>
      </c>
      <c r="BV532" s="84">
        <f>Input!BO141</f>
        <v>0</v>
      </c>
      <c r="BW532" s="84">
        <f>Input!BP141</f>
        <v>0</v>
      </c>
      <c r="BX532" s="84">
        <f>Input!BQ141</f>
        <v>0</v>
      </c>
      <c r="BY532" s="84">
        <f>Input!BR141</f>
        <v>0</v>
      </c>
      <c r="BZ532" s="84">
        <f>Input!BS141</f>
        <v>0</v>
      </c>
      <c r="CA532" s="84">
        <f>Input!BT141</f>
        <v>0</v>
      </c>
      <c r="CB532" s="84">
        <f>Input!BU141</f>
        <v>0</v>
      </c>
      <c r="CC532" s="84">
        <f>Input!BV141</f>
        <v>0</v>
      </c>
      <c r="CD532" s="84">
        <f>Input!BW141</f>
        <v>0</v>
      </c>
      <c r="CE532" s="1171"/>
      <c r="CF532" s="1171"/>
      <c r="CG532" s="1171"/>
      <c r="CH532" s="1171"/>
      <c r="CI532" s="1171"/>
    </row>
    <row r="533" spans="11:87" ht="12" customHeight="1" x14ac:dyDescent="0.35">
      <c r="K533" s="13">
        <v>35</v>
      </c>
      <c r="L533" s="415">
        <f>Input!D142</f>
        <v>0</v>
      </c>
      <c r="M533" s="416">
        <f>IF(Input!$F$107&gt;=K533,Input!G142,0)</f>
        <v>0</v>
      </c>
      <c r="N533" s="1058">
        <f>Input!H142</f>
        <v>0</v>
      </c>
      <c r="O533" s="1058">
        <f>Input!I142</f>
        <v>0</v>
      </c>
      <c r="P533" s="417">
        <f>Input!J142</f>
        <v>0</v>
      </c>
      <c r="Q533" s="418">
        <f>Input!L142</f>
        <v>0</v>
      </c>
      <c r="R533" s="418">
        <f>Input!K142</f>
        <v>0</v>
      </c>
      <c r="S533" s="419">
        <f>Input!M142</f>
        <v>0</v>
      </c>
      <c r="T533" s="13"/>
      <c r="U533" s="13">
        <f>IFERROR(IF(N533&lt;&gt;0,VLOOKUP(N533,Calcs!$B$278:$C$337,2,FALSE),0),0)</f>
        <v>0</v>
      </c>
      <c r="V533" s="13">
        <f>IFERROR(IF(O533&lt;&gt;0,VLOOKUP(O533,Calcs!$B$278:$C$337,2,FALSE),0),0)</f>
        <v>0</v>
      </c>
      <c r="W533" s="13">
        <f>Input!P142</f>
        <v>0</v>
      </c>
      <c r="X533" s="13">
        <f>Input!Q142</f>
        <v>0</v>
      </c>
      <c r="Y533" s="13">
        <f>Input!R142</f>
        <v>0</v>
      </c>
      <c r="Z533" s="13">
        <f>Input!S142</f>
        <v>0</v>
      </c>
      <c r="AA533" s="13">
        <f>Input!T142</f>
        <v>0</v>
      </c>
      <c r="AB533" s="13">
        <f>Input!U142</f>
        <v>0</v>
      </c>
      <c r="AC533" s="13">
        <f>Input!V142</f>
        <v>0</v>
      </c>
      <c r="AD533" s="13">
        <f>Input!W142</f>
        <v>0</v>
      </c>
      <c r="AE533" s="13">
        <f>Input!X142</f>
        <v>0</v>
      </c>
      <c r="AF533" s="84">
        <f>Input!Y142</f>
        <v>0</v>
      </c>
      <c r="AG533" s="84">
        <f>Input!Z142</f>
        <v>0</v>
      </c>
      <c r="AH533" s="84">
        <f>Input!AA142</f>
        <v>0</v>
      </c>
      <c r="AI533" s="84">
        <f>Input!AB142</f>
        <v>0</v>
      </c>
      <c r="AJ533" s="84">
        <f>Input!AC142</f>
        <v>0</v>
      </c>
      <c r="AK533" s="84">
        <f>Input!AD142</f>
        <v>0</v>
      </c>
      <c r="AL533" s="84">
        <f>Input!AE142</f>
        <v>0</v>
      </c>
      <c r="AM533" s="84">
        <f>Input!AF142</f>
        <v>0</v>
      </c>
      <c r="AN533" s="84">
        <f>Input!AG142</f>
        <v>0</v>
      </c>
      <c r="AO533" s="84">
        <f>Input!AH142</f>
        <v>0</v>
      </c>
      <c r="AP533" s="84">
        <f>Input!AI142</f>
        <v>0</v>
      </c>
      <c r="AQ533" s="84">
        <f>Input!AJ142</f>
        <v>0</v>
      </c>
      <c r="AR533" s="84">
        <f>Input!AK142</f>
        <v>0</v>
      </c>
      <c r="AS533" s="84">
        <f>Input!AL142</f>
        <v>0</v>
      </c>
      <c r="AT533" s="84">
        <f>Input!AM142</f>
        <v>0</v>
      </c>
      <c r="AU533" s="84">
        <f>Input!AN142</f>
        <v>0</v>
      </c>
      <c r="AV533" s="84">
        <f>Input!AO142</f>
        <v>0</v>
      </c>
      <c r="AW533" s="84">
        <f>Input!AP142</f>
        <v>0</v>
      </c>
      <c r="AX533" s="84">
        <f>Input!AQ142</f>
        <v>0</v>
      </c>
      <c r="AY533" s="84">
        <f>Input!AR142</f>
        <v>0</v>
      </c>
      <c r="AZ533" s="84">
        <f>Input!AS142</f>
        <v>0</v>
      </c>
      <c r="BA533" s="84">
        <f>Input!AT142</f>
        <v>0</v>
      </c>
      <c r="BB533" s="84">
        <f>Input!AU142</f>
        <v>0</v>
      </c>
      <c r="BC533" s="84">
        <f>Input!AV142</f>
        <v>0</v>
      </c>
      <c r="BD533" s="84">
        <f>Input!AW142</f>
        <v>0</v>
      </c>
      <c r="BE533" s="84">
        <f>Input!AX142</f>
        <v>0</v>
      </c>
      <c r="BF533" s="84">
        <f>Input!AY142</f>
        <v>0</v>
      </c>
      <c r="BG533" s="84">
        <f>Input!AZ142</f>
        <v>0</v>
      </c>
      <c r="BH533" s="84">
        <f>Input!BA142</f>
        <v>0</v>
      </c>
      <c r="BI533" s="84">
        <f>Input!BB142</f>
        <v>0</v>
      </c>
      <c r="BJ533" s="84">
        <f>Input!BC142</f>
        <v>0</v>
      </c>
      <c r="BK533" s="84">
        <f>Input!BD142</f>
        <v>0</v>
      </c>
      <c r="BL533" s="84">
        <f>Input!BE142</f>
        <v>0</v>
      </c>
      <c r="BM533" s="84">
        <f>Input!BF142</f>
        <v>0</v>
      </c>
      <c r="BN533" s="84">
        <f>Input!BG142</f>
        <v>0</v>
      </c>
      <c r="BO533" s="84">
        <f>Input!BH142</f>
        <v>0</v>
      </c>
      <c r="BP533" s="84">
        <f>Input!BI142</f>
        <v>0</v>
      </c>
      <c r="BQ533" s="84">
        <f>Input!BJ142</f>
        <v>0</v>
      </c>
      <c r="BR533" s="84">
        <f>Input!BK142</f>
        <v>0</v>
      </c>
      <c r="BS533" s="84">
        <f>Input!BL142</f>
        <v>0</v>
      </c>
      <c r="BT533" s="84">
        <f>Input!BM142</f>
        <v>0</v>
      </c>
      <c r="BU533" s="84">
        <f>Input!BN142</f>
        <v>0</v>
      </c>
      <c r="BV533" s="84">
        <f>Input!BO142</f>
        <v>0</v>
      </c>
      <c r="BW533" s="84">
        <f>Input!BP142</f>
        <v>0</v>
      </c>
      <c r="BX533" s="84">
        <f>Input!BQ142</f>
        <v>0</v>
      </c>
      <c r="BY533" s="84">
        <f>Input!BR142</f>
        <v>0</v>
      </c>
      <c r="BZ533" s="84">
        <f>Input!BS142</f>
        <v>0</v>
      </c>
      <c r="CA533" s="84">
        <f>Input!BT142</f>
        <v>0</v>
      </c>
      <c r="CB533" s="84">
        <f>Input!BU142</f>
        <v>0</v>
      </c>
      <c r="CC533" s="84">
        <f>Input!BV142</f>
        <v>0</v>
      </c>
      <c r="CD533" s="84">
        <f>Input!BW142</f>
        <v>0</v>
      </c>
      <c r="CE533" s="1171"/>
      <c r="CF533" s="1171"/>
      <c r="CG533" s="1171"/>
      <c r="CH533" s="1171"/>
      <c r="CI533" s="1171"/>
    </row>
    <row r="534" spans="11:87" ht="12" customHeight="1" x14ac:dyDescent="0.35">
      <c r="K534" s="13">
        <v>36</v>
      </c>
      <c r="L534" s="415">
        <f>Input!D143</f>
        <v>0</v>
      </c>
      <c r="M534" s="416">
        <f>IF(Input!$F$107&gt;=K534,Input!G143,0)</f>
        <v>0</v>
      </c>
      <c r="N534" s="1058">
        <f>Input!H143</f>
        <v>0</v>
      </c>
      <c r="O534" s="1058">
        <f>Input!I143</f>
        <v>0</v>
      </c>
      <c r="P534" s="417">
        <f>Input!J143</f>
        <v>0</v>
      </c>
      <c r="Q534" s="418">
        <f>Input!L143</f>
        <v>0</v>
      </c>
      <c r="R534" s="418">
        <f>Input!K143</f>
        <v>0</v>
      </c>
      <c r="S534" s="419">
        <f>Input!M143</f>
        <v>0</v>
      </c>
      <c r="T534" s="13"/>
      <c r="U534" s="13">
        <f>IFERROR(IF(N534&lt;&gt;0,VLOOKUP(N534,Calcs!$B$278:$C$337,2,FALSE),0),0)</f>
        <v>0</v>
      </c>
      <c r="V534" s="13">
        <f>IFERROR(IF(O534&lt;&gt;0,VLOOKUP(O534,Calcs!$B$278:$C$337,2,FALSE),0),0)</f>
        <v>0</v>
      </c>
      <c r="W534" s="13">
        <f>Input!P143</f>
        <v>0</v>
      </c>
      <c r="X534" s="13">
        <f>Input!Q143</f>
        <v>0</v>
      </c>
      <c r="Y534" s="13">
        <f>Input!R143</f>
        <v>0</v>
      </c>
      <c r="Z534" s="13">
        <f>Input!S143</f>
        <v>0</v>
      </c>
      <c r="AA534" s="13">
        <f>Input!T143</f>
        <v>0</v>
      </c>
      <c r="AB534" s="13">
        <f>Input!U143</f>
        <v>0</v>
      </c>
      <c r="AC534" s="13">
        <f>Input!V143</f>
        <v>0</v>
      </c>
      <c r="AD534" s="13">
        <f>Input!W143</f>
        <v>0</v>
      </c>
      <c r="AE534" s="13">
        <f>Input!X143</f>
        <v>0</v>
      </c>
      <c r="AF534" s="84">
        <f>Input!Y143</f>
        <v>0</v>
      </c>
      <c r="AG534" s="84">
        <f>Input!Z143</f>
        <v>0</v>
      </c>
      <c r="AH534" s="84">
        <f>Input!AA143</f>
        <v>0</v>
      </c>
      <c r="AI534" s="84">
        <f>Input!AB143</f>
        <v>0</v>
      </c>
      <c r="AJ534" s="84">
        <f>Input!AC143</f>
        <v>0</v>
      </c>
      <c r="AK534" s="84">
        <f>Input!AD143</f>
        <v>0</v>
      </c>
      <c r="AL534" s="84">
        <f>Input!AE143</f>
        <v>0</v>
      </c>
      <c r="AM534" s="84">
        <f>Input!AF143</f>
        <v>0</v>
      </c>
      <c r="AN534" s="84">
        <f>Input!AG143</f>
        <v>0</v>
      </c>
      <c r="AO534" s="84">
        <f>Input!AH143</f>
        <v>0</v>
      </c>
      <c r="AP534" s="84">
        <f>Input!AI143</f>
        <v>0</v>
      </c>
      <c r="AQ534" s="84">
        <f>Input!AJ143</f>
        <v>0</v>
      </c>
      <c r="AR534" s="84">
        <f>Input!AK143</f>
        <v>0</v>
      </c>
      <c r="AS534" s="84">
        <f>Input!AL143</f>
        <v>0</v>
      </c>
      <c r="AT534" s="84">
        <f>Input!AM143</f>
        <v>0</v>
      </c>
      <c r="AU534" s="84">
        <f>Input!AN143</f>
        <v>0</v>
      </c>
      <c r="AV534" s="84">
        <f>Input!AO143</f>
        <v>0</v>
      </c>
      <c r="AW534" s="84">
        <f>Input!AP143</f>
        <v>0</v>
      </c>
      <c r="AX534" s="84">
        <f>Input!AQ143</f>
        <v>0</v>
      </c>
      <c r="AY534" s="84">
        <f>Input!AR143</f>
        <v>0</v>
      </c>
      <c r="AZ534" s="84">
        <f>Input!AS143</f>
        <v>0</v>
      </c>
      <c r="BA534" s="84">
        <f>Input!AT143</f>
        <v>0</v>
      </c>
      <c r="BB534" s="84">
        <f>Input!AU143</f>
        <v>0</v>
      </c>
      <c r="BC534" s="84">
        <f>Input!AV143</f>
        <v>0</v>
      </c>
      <c r="BD534" s="84">
        <f>Input!AW143</f>
        <v>0</v>
      </c>
      <c r="BE534" s="84">
        <f>Input!AX143</f>
        <v>0</v>
      </c>
      <c r="BF534" s="84">
        <f>Input!AY143</f>
        <v>0</v>
      </c>
      <c r="BG534" s="84">
        <f>Input!AZ143</f>
        <v>0</v>
      </c>
      <c r="BH534" s="84">
        <f>Input!BA143</f>
        <v>0</v>
      </c>
      <c r="BI534" s="84">
        <f>Input!BB143</f>
        <v>0</v>
      </c>
      <c r="BJ534" s="84">
        <f>Input!BC143</f>
        <v>0</v>
      </c>
      <c r="BK534" s="84">
        <f>Input!BD143</f>
        <v>0</v>
      </c>
      <c r="BL534" s="84">
        <f>Input!BE143</f>
        <v>0</v>
      </c>
      <c r="BM534" s="84">
        <f>Input!BF143</f>
        <v>0</v>
      </c>
      <c r="BN534" s="84">
        <f>Input!BG143</f>
        <v>0</v>
      </c>
      <c r="BO534" s="84">
        <f>Input!BH143</f>
        <v>0</v>
      </c>
      <c r="BP534" s="84">
        <f>Input!BI143</f>
        <v>0</v>
      </c>
      <c r="BQ534" s="84">
        <f>Input!BJ143</f>
        <v>0</v>
      </c>
      <c r="BR534" s="84">
        <f>Input!BK143</f>
        <v>0</v>
      </c>
      <c r="BS534" s="84">
        <f>Input!BL143</f>
        <v>0</v>
      </c>
      <c r="BT534" s="84">
        <f>Input!BM143</f>
        <v>0</v>
      </c>
      <c r="BU534" s="84">
        <f>Input!BN143</f>
        <v>0</v>
      </c>
      <c r="BV534" s="84">
        <f>Input!BO143</f>
        <v>0</v>
      </c>
      <c r="BW534" s="84">
        <f>Input!BP143</f>
        <v>0</v>
      </c>
      <c r="BX534" s="84">
        <f>Input!BQ143</f>
        <v>0</v>
      </c>
      <c r="BY534" s="84">
        <f>Input!BR143</f>
        <v>0</v>
      </c>
      <c r="BZ534" s="84">
        <f>Input!BS143</f>
        <v>0</v>
      </c>
      <c r="CA534" s="84">
        <f>Input!BT143</f>
        <v>0</v>
      </c>
      <c r="CB534" s="84">
        <f>Input!BU143</f>
        <v>0</v>
      </c>
      <c r="CC534" s="84">
        <f>Input!BV143</f>
        <v>0</v>
      </c>
      <c r="CD534" s="84">
        <f>Input!BW143</f>
        <v>0</v>
      </c>
      <c r="CE534" s="1171"/>
      <c r="CF534" s="1171"/>
      <c r="CG534" s="1171"/>
      <c r="CH534" s="1171"/>
      <c r="CI534" s="1171"/>
    </row>
    <row r="535" spans="11:87" ht="12" customHeight="1" x14ac:dyDescent="0.35">
      <c r="K535" s="13">
        <v>37</v>
      </c>
      <c r="L535" s="415">
        <f>Input!D144</f>
        <v>0</v>
      </c>
      <c r="M535" s="416">
        <f>IF(Input!$F$107&gt;=K535,Input!G144,0)</f>
        <v>0</v>
      </c>
      <c r="N535" s="1058">
        <f>Input!H144</f>
        <v>0</v>
      </c>
      <c r="O535" s="1058">
        <f>Input!I144</f>
        <v>0</v>
      </c>
      <c r="P535" s="417">
        <f>Input!J144</f>
        <v>0</v>
      </c>
      <c r="Q535" s="418">
        <f>Input!L144</f>
        <v>0</v>
      </c>
      <c r="R535" s="418">
        <f>Input!K144</f>
        <v>0</v>
      </c>
      <c r="S535" s="419">
        <f>Input!M144</f>
        <v>0</v>
      </c>
      <c r="T535" s="13"/>
      <c r="U535" s="13">
        <f>IFERROR(IF(N535&lt;&gt;0,VLOOKUP(N535,Calcs!$B$278:$C$337,2,FALSE),0),0)</f>
        <v>0</v>
      </c>
      <c r="V535" s="13">
        <f>IFERROR(IF(O535&lt;&gt;0,VLOOKUP(O535,Calcs!$B$278:$C$337,2,FALSE),0),0)</f>
        <v>0</v>
      </c>
      <c r="W535" s="13">
        <f>Input!P144</f>
        <v>0</v>
      </c>
      <c r="X535" s="13">
        <f>Input!Q144</f>
        <v>0</v>
      </c>
      <c r="Y535" s="13">
        <f>Input!R144</f>
        <v>0</v>
      </c>
      <c r="Z535" s="13">
        <f>Input!S144</f>
        <v>0</v>
      </c>
      <c r="AA535" s="13">
        <f>Input!T144</f>
        <v>0</v>
      </c>
      <c r="AB535" s="13">
        <f>Input!U144</f>
        <v>0</v>
      </c>
      <c r="AC535" s="13">
        <f>Input!V144</f>
        <v>0</v>
      </c>
      <c r="AD535" s="13">
        <f>Input!W144</f>
        <v>0</v>
      </c>
      <c r="AE535" s="13">
        <f>Input!X144</f>
        <v>0</v>
      </c>
      <c r="AF535" s="84">
        <f>Input!Y144</f>
        <v>0</v>
      </c>
      <c r="AG535" s="84">
        <f>Input!Z144</f>
        <v>0</v>
      </c>
      <c r="AH535" s="84">
        <f>Input!AA144</f>
        <v>0</v>
      </c>
      <c r="AI535" s="84">
        <f>Input!AB144</f>
        <v>0</v>
      </c>
      <c r="AJ535" s="84">
        <f>Input!AC144</f>
        <v>0</v>
      </c>
      <c r="AK535" s="84">
        <f>Input!AD144</f>
        <v>0</v>
      </c>
      <c r="AL535" s="84">
        <f>Input!AE144</f>
        <v>0</v>
      </c>
      <c r="AM535" s="84">
        <f>Input!AF144</f>
        <v>0</v>
      </c>
      <c r="AN535" s="84">
        <f>Input!AG144</f>
        <v>0</v>
      </c>
      <c r="AO535" s="84">
        <f>Input!AH144</f>
        <v>0</v>
      </c>
      <c r="AP535" s="84">
        <f>Input!AI144</f>
        <v>0</v>
      </c>
      <c r="AQ535" s="84">
        <f>Input!AJ144</f>
        <v>0</v>
      </c>
      <c r="AR535" s="84">
        <f>Input!AK144</f>
        <v>0</v>
      </c>
      <c r="AS535" s="84">
        <f>Input!AL144</f>
        <v>0</v>
      </c>
      <c r="AT535" s="84">
        <f>Input!AM144</f>
        <v>0</v>
      </c>
      <c r="AU535" s="84">
        <f>Input!AN144</f>
        <v>0</v>
      </c>
      <c r="AV535" s="84">
        <f>Input!AO144</f>
        <v>0</v>
      </c>
      <c r="AW535" s="84">
        <f>Input!AP144</f>
        <v>0</v>
      </c>
      <c r="AX535" s="84">
        <f>Input!AQ144</f>
        <v>0</v>
      </c>
      <c r="AY535" s="84">
        <f>Input!AR144</f>
        <v>0</v>
      </c>
      <c r="AZ535" s="84">
        <f>Input!AS144</f>
        <v>0</v>
      </c>
      <c r="BA535" s="84">
        <f>Input!AT144</f>
        <v>0</v>
      </c>
      <c r="BB535" s="84">
        <f>Input!AU144</f>
        <v>0</v>
      </c>
      <c r="BC535" s="84">
        <f>Input!AV144</f>
        <v>0</v>
      </c>
      <c r="BD535" s="84">
        <f>Input!AW144</f>
        <v>0</v>
      </c>
      <c r="BE535" s="84">
        <f>Input!AX144</f>
        <v>0</v>
      </c>
      <c r="BF535" s="84">
        <f>Input!AY144</f>
        <v>0</v>
      </c>
      <c r="BG535" s="84">
        <f>Input!AZ144</f>
        <v>0</v>
      </c>
      <c r="BH535" s="84">
        <f>Input!BA144</f>
        <v>0</v>
      </c>
      <c r="BI535" s="84">
        <f>Input!BB144</f>
        <v>0</v>
      </c>
      <c r="BJ535" s="84">
        <f>Input!BC144</f>
        <v>0</v>
      </c>
      <c r="BK535" s="84">
        <f>Input!BD144</f>
        <v>0</v>
      </c>
      <c r="BL535" s="84">
        <f>Input!BE144</f>
        <v>0</v>
      </c>
      <c r="BM535" s="84">
        <f>Input!BF144</f>
        <v>0</v>
      </c>
      <c r="BN535" s="84">
        <f>Input!BG144</f>
        <v>0</v>
      </c>
      <c r="BO535" s="84">
        <f>Input!BH144</f>
        <v>0</v>
      </c>
      <c r="BP535" s="84">
        <f>Input!BI144</f>
        <v>0</v>
      </c>
      <c r="BQ535" s="84">
        <f>Input!BJ144</f>
        <v>0</v>
      </c>
      <c r="BR535" s="84">
        <f>Input!BK144</f>
        <v>0</v>
      </c>
      <c r="BS535" s="84">
        <f>Input!BL144</f>
        <v>0</v>
      </c>
      <c r="BT535" s="84">
        <f>Input!BM144</f>
        <v>0</v>
      </c>
      <c r="BU535" s="84">
        <f>Input!BN144</f>
        <v>0</v>
      </c>
      <c r="BV535" s="84">
        <f>Input!BO144</f>
        <v>0</v>
      </c>
      <c r="BW535" s="84">
        <f>Input!BP144</f>
        <v>0</v>
      </c>
      <c r="BX535" s="84">
        <f>Input!BQ144</f>
        <v>0</v>
      </c>
      <c r="BY535" s="84">
        <f>Input!BR144</f>
        <v>0</v>
      </c>
      <c r="BZ535" s="84">
        <f>Input!BS144</f>
        <v>0</v>
      </c>
      <c r="CA535" s="84">
        <f>Input!BT144</f>
        <v>0</v>
      </c>
      <c r="CB535" s="84">
        <f>Input!BU144</f>
        <v>0</v>
      </c>
      <c r="CC535" s="84">
        <f>Input!BV144</f>
        <v>0</v>
      </c>
      <c r="CD535" s="84">
        <f>Input!BW144</f>
        <v>0</v>
      </c>
      <c r="CE535" s="1171"/>
      <c r="CF535" s="1171"/>
      <c r="CG535" s="1171"/>
      <c r="CH535" s="1171"/>
      <c r="CI535" s="1171"/>
    </row>
    <row r="536" spans="11:87" ht="12" customHeight="1" x14ac:dyDescent="0.35">
      <c r="K536" s="13">
        <v>38</v>
      </c>
      <c r="L536" s="415">
        <f>Input!D145</f>
        <v>0</v>
      </c>
      <c r="M536" s="416">
        <f>IF(Input!$F$107&gt;=K536,Input!G145,0)</f>
        <v>0</v>
      </c>
      <c r="N536" s="1058">
        <f>Input!H145</f>
        <v>0</v>
      </c>
      <c r="O536" s="1058">
        <f>Input!I145</f>
        <v>0</v>
      </c>
      <c r="P536" s="417">
        <f>Input!J145</f>
        <v>0</v>
      </c>
      <c r="Q536" s="418">
        <f>Input!L145</f>
        <v>0</v>
      </c>
      <c r="R536" s="418">
        <f>Input!K145</f>
        <v>0</v>
      </c>
      <c r="S536" s="419">
        <f>Input!M145</f>
        <v>0</v>
      </c>
      <c r="T536" s="13"/>
      <c r="U536" s="13">
        <f>IFERROR(IF(N536&lt;&gt;0,VLOOKUP(N536,Calcs!$B$278:$C$337,2,FALSE),0),0)</f>
        <v>0</v>
      </c>
      <c r="V536" s="13">
        <f>IFERROR(IF(O536&lt;&gt;0,VLOOKUP(O536,Calcs!$B$278:$C$337,2,FALSE),0),0)</f>
        <v>0</v>
      </c>
      <c r="W536" s="13">
        <f>Input!P145</f>
        <v>0</v>
      </c>
      <c r="X536" s="13">
        <f>Input!Q145</f>
        <v>0</v>
      </c>
      <c r="Y536" s="13">
        <f>Input!R145</f>
        <v>0</v>
      </c>
      <c r="Z536" s="13">
        <f>Input!S145</f>
        <v>0</v>
      </c>
      <c r="AA536" s="13">
        <f>Input!T145</f>
        <v>0</v>
      </c>
      <c r="AB536" s="13">
        <f>Input!U145</f>
        <v>0</v>
      </c>
      <c r="AC536" s="13">
        <f>Input!V145</f>
        <v>0</v>
      </c>
      <c r="AD536" s="13">
        <f>Input!W145</f>
        <v>0</v>
      </c>
      <c r="AE536" s="13">
        <f>Input!X145</f>
        <v>0</v>
      </c>
      <c r="AF536" s="84">
        <f>Input!Y145</f>
        <v>0</v>
      </c>
      <c r="AG536" s="84">
        <f>Input!Z145</f>
        <v>0</v>
      </c>
      <c r="AH536" s="84">
        <f>Input!AA145</f>
        <v>0</v>
      </c>
      <c r="AI536" s="84">
        <f>Input!AB145</f>
        <v>0</v>
      </c>
      <c r="AJ536" s="84">
        <f>Input!AC145</f>
        <v>0</v>
      </c>
      <c r="AK536" s="84">
        <f>Input!AD145</f>
        <v>0</v>
      </c>
      <c r="AL536" s="84">
        <f>Input!AE145</f>
        <v>0</v>
      </c>
      <c r="AM536" s="84">
        <f>Input!AF145</f>
        <v>0</v>
      </c>
      <c r="AN536" s="84">
        <f>Input!AG145</f>
        <v>0</v>
      </c>
      <c r="AO536" s="84">
        <f>Input!AH145</f>
        <v>0</v>
      </c>
      <c r="AP536" s="84">
        <f>Input!AI145</f>
        <v>0</v>
      </c>
      <c r="AQ536" s="84">
        <f>Input!AJ145</f>
        <v>0</v>
      </c>
      <c r="AR536" s="84">
        <f>Input!AK145</f>
        <v>0</v>
      </c>
      <c r="AS536" s="84">
        <f>Input!AL145</f>
        <v>0</v>
      </c>
      <c r="AT536" s="84">
        <f>Input!AM145</f>
        <v>0</v>
      </c>
      <c r="AU536" s="84">
        <f>Input!AN145</f>
        <v>0</v>
      </c>
      <c r="AV536" s="84">
        <f>Input!AO145</f>
        <v>0</v>
      </c>
      <c r="AW536" s="84">
        <f>Input!AP145</f>
        <v>0</v>
      </c>
      <c r="AX536" s="84">
        <f>Input!AQ145</f>
        <v>0</v>
      </c>
      <c r="AY536" s="84">
        <f>Input!AR145</f>
        <v>0</v>
      </c>
      <c r="AZ536" s="84">
        <f>Input!AS145</f>
        <v>0</v>
      </c>
      <c r="BA536" s="84">
        <f>Input!AT145</f>
        <v>0</v>
      </c>
      <c r="BB536" s="84">
        <f>Input!AU145</f>
        <v>0</v>
      </c>
      <c r="BC536" s="84">
        <f>Input!AV145</f>
        <v>0</v>
      </c>
      <c r="BD536" s="84">
        <f>Input!AW145</f>
        <v>0</v>
      </c>
      <c r="BE536" s="84">
        <f>Input!AX145</f>
        <v>0</v>
      </c>
      <c r="BF536" s="84">
        <f>Input!AY145</f>
        <v>0</v>
      </c>
      <c r="BG536" s="84">
        <f>Input!AZ145</f>
        <v>0</v>
      </c>
      <c r="BH536" s="84">
        <f>Input!BA145</f>
        <v>0</v>
      </c>
      <c r="BI536" s="84">
        <f>Input!BB145</f>
        <v>0</v>
      </c>
      <c r="BJ536" s="84">
        <f>Input!BC145</f>
        <v>0</v>
      </c>
      <c r="BK536" s="84">
        <f>Input!BD145</f>
        <v>0</v>
      </c>
      <c r="BL536" s="84">
        <f>Input!BE145</f>
        <v>0</v>
      </c>
      <c r="BM536" s="84">
        <f>Input!BF145</f>
        <v>0</v>
      </c>
      <c r="BN536" s="84">
        <f>Input!BG145</f>
        <v>0</v>
      </c>
      <c r="BO536" s="84">
        <f>Input!BH145</f>
        <v>0</v>
      </c>
      <c r="BP536" s="84">
        <f>Input!BI145</f>
        <v>0</v>
      </c>
      <c r="BQ536" s="84">
        <f>Input!BJ145</f>
        <v>0</v>
      </c>
      <c r="BR536" s="84">
        <f>Input!BK145</f>
        <v>0</v>
      </c>
      <c r="BS536" s="84">
        <f>Input!BL145</f>
        <v>0</v>
      </c>
      <c r="BT536" s="84">
        <f>Input!BM145</f>
        <v>0</v>
      </c>
      <c r="BU536" s="84">
        <f>Input!BN145</f>
        <v>0</v>
      </c>
      <c r="BV536" s="84">
        <f>Input!BO145</f>
        <v>0</v>
      </c>
      <c r="BW536" s="84">
        <f>Input!BP145</f>
        <v>0</v>
      </c>
      <c r="BX536" s="84">
        <f>Input!BQ145</f>
        <v>0</v>
      </c>
      <c r="BY536" s="84">
        <f>Input!BR145</f>
        <v>0</v>
      </c>
      <c r="BZ536" s="84">
        <f>Input!BS145</f>
        <v>0</v>
      </c>
      <c r="CA536" s="84">
        <f>Input!BT145</f>
        <v>0</v>
      </c>
      <c r="CB536" s="84">
        <f>Input!BU145</f>
        <v>0</v>
      </c>
      <c r="CC536" s="84">
        <f>Input!BV145</f>
        <v>0</v>
      </c>
      <c r="CD536" s="84">
        <f>Input!BW145</f>
        <v>0</v>
      </c>
      <c r="CE536" s="1171"/>
      <c r="CF536" s="1171"/>
      <c r="CG536" s="1171"/>
      <c r="CH536" s="1171"/>
      <c r="CI536" s="1171"/>
    </row>
    <row r="537" spans="11:87" ht="12" customHeight="1" x14ac:dyDescent="0.35">
      <c r="K537" s="13">
        <v>39</v>
      </c>
      <c r="L537" s="415">
        <f>Input!D146</f>
        <v>0</v>
      </c>
      <c r="M537" s="416">
        <f>IF(Input!$F$107&gt;=K537,Input!G146,0)</f>
        <v>0</v>
      </c>
      <c r="N537" s="1058">
        <f>Input!H146</f>
        <v>0</v>
      </c>
      <c r="O537" s="1058">
        <f>Input!I146</f>
        <v>0</v>
      </c>
      <c r="P537" s="417">
        <f>Input!J146</f>
        <v>0</v>
      </c>
      <c r="Q537" s="418">
        <f>Input!L146</f>
        <v>0</v>
      </c>
      <c r="R537" s="418">
        <f>Input!K146</f>
        <v>0</v>
      </c>
      <c r="S537" s="419">
        <f>Input!M146</f>
        <v>0</v>
      </c>
      <c r="T537" s="13"/>
      <c r="U537" s="13">
        <f>IFERROR(IF(N537&lt;&gt;0,VLOOKUP(N537,Calcs!$B$278:$C$337,2,FALSE),0),0)</f>
        <v>0</v>
      </c>
      <c r="V537" s="13">
        <f>IFERROR(IF(O537&lt;&gt;0,VLOOKUP(O537,Calcs!$B$278:$C$337,2,FALSE),0),0)</f>
        <v>0</v>
      </c>
      <c r="W537" s="13">
        <f>Input!P146</f>
        <v>0</v>
      </c>
      <c r="X537" s="13">
        <f>Input!Q146</f>
        <v>0</v>
      </c>
      <c r="Y537" s="13">
        <f>Input!R146</f>
        <v>0</v>
      </c>
      <c r="Z537" s="13">
        <f>Input!S146</f>
        <v>0</v>
      </c>
      <c r="AA537" s="13">
        <f>Input!T146</f>
        <v>0</v>
      </c>
      <c r="AB537" s="13">
        <f>Input!U146</f>
        <v>0</v>
      </c>
      <c r="AC537" s="13">
        <f>Input!V146</f>
        <v>0</v>
      </c>
      <c r="AD537" s="13">
        <f>Input!W146</f>
        <v>0</v>
      </c>
      <c r="AE537" s="13">
        <f>Input!X146</f>
        <v>0</v>
      </c>
      <c r="AF537" s="84">
        <f>Input!Y146</f>
        <v>0</v>
      </c>
      <c r="AG537" s="84">
        <f>Input!Z146</f>
        <v>0</v>
      </c>
      <c r="AH537" s="84">
        <f>Input!AA146</f>
        <v>0</v>
      </c>
      <c r="AI537" s="84">
        <f>Input!AB146</f>
        <v>0</v>
      </c>
      <c r="AJ537" s="84">
        <f>Input!AC146</f>
        <v>0</v>
      </c>
      <c r="AK537" s="84">
        <f>Input!AD146</f>
        <v>0</v>
      </c>
      <c r="AL537" s="84">
        <f>Input!AE146</f>
        <v>0</v>
      </c>
      <c r="AM537" s="84">
        <f>Input!AF146</f>
        <v>0</v>
      </c>
      <c r="AN537" s="84">
        <f>Input!AG146</f>
        <v>0</v>
      </c>
      <c r="AO537" s="84">
        <f>Input!AH146</f>
        <v>0</v>
      </c>
      <c r="AP537" s="84">
        <f>Input!AI146</f>
        <v>0</v>
      </c>
      <c r="AQ537" s="84">
        <f>Input!AJ146</f>
        <v>0</v>
      </c>
      <c r="AR537" s="84">
        <f>Input!AK146</f>
        <v>0</v>
      </c>
      <c r="AS537" s="84">
        <f>Input!AL146</f>
        <v>0</v>
      </c>
      <c r="AT537" s="84">
        <f>Input!AM146</f>
        <v>0</v>
      </c>
      <c r="AU537" s="84">
        <f>Input!AN146</f>
        <v>0</v>
      </c>
      <c r="AV537" s="84">
        <f>Input!AO146</f>
        <v>0</v>
      </c>
      <c r="AW537" s="84">
        <f>Input!AP146</f>
        <v>0</v>
      </c>
      <c r="AX537" s="84">
        <f>Input!AQ146</f>
        <v>0</v>
      </c>
      <c r="AY537" s="84">
        <f>Input!AR146</f>
        <v>0</v>
      </c>
      <c r="AZ537" s="84">
        <f>Input!AS146</f>
        <v>0</v>
      </c>
      <c r="BA537" s="84">
        <f>Input!AT146</f>
        <v>0</v>
      </c>
      <c r="BB537" s="84">
        <f>Input!AU146</f>
        <v>0</v>
      </c>
      <c r="BC537" s="84">
        <f>Input!AV146</f>
        <v>0</v>
      </c>
      <c r="BD537" s="84">
        <f>Input!AW146</f>
        <v>0</v>
      </c>
      <c r="BE537" s="84">
        <f>Input!AX146</f>
        <v>0</v>
      </c>
      <c r="BF537" s="84">
        <f>Input!AY146</f>
        <v>0</v>
      </c>
      <c r="BG537" s="84">
        <f>Input!AZ146</f>
        <v>0</v>
      </c>
      <c r="BH537" s="84">
        <f>Input!BA146</f>
        <v>0</v>
      </c>
      <c r="BI537" s="84">
        <f>Input!BB146</f>
        <v>0</v>
      </c>
      <c r="BJ537" s="84">
        <f>Input!BC146</f>
        <v>0</v>
      </c>
      <c r="BK537" s="84">
        <f>Input!BD146</f>
        <v>0</v>
      </c>
      <c r="BL537" s="84">
        <f>Input!BE146</f>
        <v>0</v>
      </c>
      <c r="BM537" s="84">
        <f>Input!BF146</f>
        <v>0</v>
      </c>
      <c r="BN537" s="84">
        <f>Input!BG146</f>
        <v>0</v>
      </c>
      <c r="BO537" s="84">
        <f>Input!BH146</f>
        <v>0</v>
      </c>
      <c r="BP537" s="84">
        <f>Input!BI146</f>
        <v>0</v>
      </c>
      <c r="BQ537" s="84">
        <f>Input!BJ146</f>
        <v>0</v>
      </c>
      <c r="BR537" s="84">
        <f>Input!BK146</f>
        <v>0</v>
      </c>
      <c r="BS537" s="84">
        <f>Input!BL146</f>
        <v>0</v>
      </c>
      <c r="BT537" s="84">
        <f>Input!BM146</f>
        <v>0</v>
      </c>
      <c r="BU537" s="84">
        <f>Input!BN146</f>
        <v>0</v>
      </c>
      <c r="BV537" s="84">
        <f>Input!BO146</f>
        <v>0</v>
      </c>
      <c r="BW537" s="84">
        <f>Input!BP146</f>
        <v>0</v>
      </c>
      <c r="BX537" s="84">
        <f>Input!BQ146</f>
        <v>0</v>
      </c>
      <c r="BY537" s="84">
        <f>Input!BR146</f>
        <v>0</v>
      </c>
      <c r="BZ537" s="84">
        <f>Input!BS146</f>
        <v>0</v>
      </c>
      <c r="CA537" s="84">
        <f>Input!BT146</f>
        <v>0</v>
      </c>
      <c r="CB537" s="84">
        <f>Input!BU146</f>
        <v>0</v>
      </c>
      <c r="CC537" s="84">
        <f>Input!BV146</f>
        <v>0</v>
      </c>
      <c r="CD537" s="84">
        <f>Input!BW146</f>
        <v>0</v>
      </c>
      <c r="CE537" s="1171"/>
      <c r="CF537" s="1171"/>
      <c r="CG537" s="1171"/>
      <c r="CH537" s="1171"/>
      <c r="CI537" s="1171"/>
    </row>
    <row r="538" spans="11:87" ht="12" customHeight="1" x14ac:dyDescent="0.35">
      <c r="K538" s="13">
        <v>40</v>
      </c>
      <c r="L538" s="415">
        <f>Input!D147</f>
        <v>0</v>
      </c>
      <c r="M538" s="416">
        <f>IF(Input!$F$107&gt;=K538,Input!G147,0)</f>
        <v>0</v>
      </c>
      <c r="N538" s="1058">
        <f>Input!H147</f>
        <v>0</v>
      </c>
      <c r="O538" s="1058">
        <f>Input!I147</f>
        <v>0</v>
      </c>
      <c r="P538" s="417">
        <f>Input!J147</f>
        <v>0</v>
      </c>
      <c r="Q538" s="418">
        <f>Input!L147</f>
        <v>0</v>
      </c>
      <c r="R538" s="418">
        <f>Input!K147</f>
        <v>0</v>
      </c>
      <c r="S538" s="419">
        <f>Input!M147</f>
        <v>0</v>
      </c>
      <c r="T538" s="13"/>
      <c r="U538" s="13">
        <f>IFERROR(IF(N538&lt;&gt;0,VLOOKUP(N538,Calcs!$B$278:$C$337,2,FALSE),0),0)</f>
        <v>0</v>
      </c>
      <c r="V538" s="13">
        <f>IFERROR(IF(O538&lt;&gt;0,VLOOKUP(O538,Calcs!$B$278:$C$337,2,FALSE),0),0)</f>
        <v>0</v>
      </c>
      <c r="W538" s="13">
        <f>Input!P147</f>
        <v>0</v>
      </c>
      <c r="X538" s="13">
        <f>Input!Q147</f>
        <v>0</v>
      </c>
      <c r="Y538" s="13">
        <f>Input!R147</f>
        <v>0</v>
      </c>
      <c r="Z538" s="13">
        <f>Input!S147</f>
        <v>0</v>
      </c>
      <c r="AA538" s="13">
        <f>Input!T147</f>
        <v>0</v>
      </c>
      <c r="AB538" s="13">
        <f>Input!U147</f>
        <v>0</v>
      </c>
      <c r="AC538" s="13">
        <f>Input!V147</f>
        <v>0</v>
      </c>
      <c r="AD538" s="13">
        <f>Input!W147</f>
        <v>0</v>
      </c>
      <c r="AE538" s="13">
        <f>Input!X147</f>
        <v>0</v>
      </c>
      <c r="AF538" s="84">
        <f>Input!Y147</f>
        <v>0</v>
      </c>
      <c r="AG538" s="84">
        <f>Input!Z147</f>
        <v>0</v>
      </c>
      <c r="AH538" s="84">
        <f>Input!AA147</f>
        <v>0</v>
      </c>
      <c r="AI538" s="84">
        <f>Input!AB147</f>
        <v>0</v>
      </c>
      <c r="AJ538" s="84">
        <f>Input!AC147</f>
        <v>0</v>
      </c>
      <c r="AK538" s="84">
        <f>Input!AD147</f>
        <v>0</v>
      </c>
      <c r="AL538" s="84">
        <f>Input!AE147</f>
        <v>0</v>
      </c>
      <c r="AM538" s="84">
        <f>Input!AF147</f>
        <v>0</v>
      </c>
      <c r="AN538" s="84">
        <f>Input!AG147</f>
        <v>0</v>
      </c>
      <c r="AO538" s="84">
        <f>Input!AH147</f>
        <v>0</v>
      </c>
      <c r="AP538" s="84">
        <f>Input!AI147</f>
        <v>0</v>
      </c>
      <c r="AQ538" s="84">
        <f>Input!AJ147</f>
        <v>0</v>
      </c>
      <c r="AR538" s="84">
        <f>Input!AK147</f>
        <v>0</v>
      </c>
      <c r="AS538" s="84">
        <f>Input!AL147</f>
        <v>0</v>
      </c>
      <c r="AT538" s="84">
        <f>Input!AM147</f>
        <v>0</v>
      </c>
      <c r="AU538" s="84">
        <f>Input!AN147</f>
        <v>0</v>
      </c>
      <c r="AV538" s="84">
        <f>Input!AO147</f>
        <v>0</v>
      </c>
      <c r="AW538" s="84">
        <f>Input!AP147</f>
        <v>0</v>
      </c>
      <c r="AX538" s="84">
        <f>Input!AQ147</f>
        <v>0</v>
      </c>
      <c r="AY538" s="84">
        <f>Input!AR147</f>
        <v>0</v>
      </c>
      <c r="AZ538" s="84">
        <f>Input!AS147</f>
        <v>0</v>
      </c>
      <c r="BA538" s="84">
        <f>Input!AT147</f>
        <v>0</v>
      </c>
      <c r="BB538" s="84">
        <f>Input!AU147</f>
        <v>0</v>
      </c>
      <c r="BC538" s="84">
        <f>Input!AV147</f>
        <v>0</v>
      </c>
      <c r="BD538" s="84">
        <f>Input!AW147</f>
        <v>0</v>
      </c>
      <c r="BE538" s="84">
        <f>Input!AX147</f>
        <v>0</v>
      </c>
      <c r="BF538" s="84">
        <f>Input!AY147</f>
        <v>0</v>
      </c>
      <c r="BG538" s="84">
        <f>Input!AZ147</f>
        <v>0</v>
      </c>
      <c r="BH538" s="84">
        <f>Input!BA147</f>
        <v>0</v>
      </c>
      <c r="BI538" s="84">
        <f>Input!BB147</f>
        <v>0</v>
      </c>
      <c r="BJ538" s="84">
        <f>Input!BC147</f>
        <v>0</v>
      </c>
      <c r="BK538" s="84">
        <f>Input!BD147</f>
        <v>0</v>
      </c>
      <c r="BL538" s="84">
        <f>Input!BE147</f>
        <v>0</v>
      </c>
      <c r="BM538" s="84">
        <f>Input!BF147</f>
        <v>0</v>
      </c>
      <c r="BN538" s="84">
        <f>Input!BG147</f>
        <v>0</v>
      </c>
      <c r="BO538" s="84">
        <f>Input!BH147</f>
        <v>0</v>
      </c>
      <c r="BP538" s="84">
        <f>Input!BI147</f>
        <v>0</v>
      </c>
      <c r="BQ538" s="84">
        <f>Input!BJ147</f>
        <v>0</v>
      </c>
      <c r="BR538" s="84">
        <f>Input!BK147</f>
        <v>0</v>
      </c>
      <c r="BS538" s="84">
        <f>Input!BL147</f>
        <v>0</v>
      </c>
      <c r="BT538" s="84">
        <f>Input!BM147</f>
        <v>0</v>
      </c>
      <c r="BU538" s="84">
        <f>Input!BN147</f>
        <v>0</v>
      </c>
      <c r="BV538" s="84">
        <f>Input!BO147</f>
        <v>0</v>
      </c>
      <c r="BW538" s="84">
        <f>Input!BP147</f>
        <v>0</v>
      </c>
      <c r="BX538" s="84">
        <f>Input!BQ147</f>
        <v>0</v>
      </c>
      <c r="BY538" s="84">
        <f>Input!BR147</f>
        <v>0</v>
      </c>
      <c r="BZ538" s="84">
        <f>Input!BS147</f>
        <v>0</v>
      </c>
      <c r="CA538" s="84">
        <f>Input!BT147</f>
        <v>0</v>
      </c>
      <c r="CB538" s="84">
        <f>Input!BU147</f>
        <v>0</v>
      </c>
      <c r="CC538" s="84">
        <f>Input!BV147</f>
        <v>0</v>
      </c>
      <c r="CD538" s="84">
        <f>Input!BW147</f>
        <v>0</v>
      </c>
      <c r="CE538" s="1171"/>
      <c r="CF538" s="1171"/>
      <c r="CG538" s="1171"/>
      <c r="CH538" s="1171"/>
      <c r="CI538" s="1171"/>
    </row>
    <row r="539" spans="11:87" ht="12" customHeight="1" x14ac:dyDescent="0.35">
      <c r="K539" s="13">
        <v>41</v>
      </c>
      <c r="L539" s="415">
        <f>Input!D148</f>
        <v>0</v>
      </c>
      <c r="M539" s="416">
        <f>IF(Input!$F$107&gt;=K539,Input!G148,0)</f>
        <v>0</v>
      </c>
      <c r="N539" s="1058">
        <f>Input!H148</f>
        <v>0</v>
      </c>
      <c r="O539" s="1058">
        <f>Input!I148</f>
        <v>0</v>
      </c>
      <c r="P539" s="417">
        <f>Input!J148</f>
        <v>0</v>
      </c>
      <c r="Q539" s="418">
        <f>Input!L148</f>
        <v>0</v>
      </c>
      <c r="R539" s="418">
        <f>Input!K148</f>
        <v>0</v>
      </c>
      <c r="S539" s="419">
        <f>Input!M148</f>
        <v>0</v>
      </c>
      <c r="T539" s="13"/>
      <c r="U539" s="13">
        <f>IFERROR(IF(N539&lt;&gt;0,VLOOKUP(N539,Calcs!$B$278:$C$337,2,FALSE),0),0)</f>
        <v>0</v>
      </c>
      <c r="V539" s="13">
        <f>IFERROR(IF(O539&lt;&gt;0,VLOOKUP(O539,Calcs!$B$278:$C$337,2,FALSE),0),0)</f>
        <v>0</v>
      </c>
      <c r="W539" s="13">
        <f>Input!P148</f>
        <v>0</v>
      </c>
      <c r="X539" s="13">
        <f>Input!Q148</f>
        <v>0</v>
      </c>
      <c r="Y539" s="13">
        <f>Input!R148</f>
        <v>0</v>
      </c>
      <c r="Z539" s="13">
        <f>Input!S148</f>
        <v>0</v>
      </c>
      <c r="AA539" s="13">
        <f>Input!T148</f>
        <v>0</v>
      </c>
      <c r="AB539" s="13">
        <f>Input!U148</f>
        <v>0</v>
      </c>
      <c r="AC539" s="13">
        <f>Input!V148</f>
        <v>0</v>
      </c>
      <c r="AD539" s="13">
        <f>Input!W148</f>
        <v>0</v>
      </c>
      <c r="AE539" s="13">
        <f>Input!X148</f>
        <v>0</v>
      </c>
      <c r="AF539" s="84">
        <f>Input!Y148</f>
        <v>0</v>
      </c>
      <c r="AG539" s="84">
        <f>Input!Z148</f>
        <v>0</v>
      </c>
      <c r="AH539" s="84">
        <f>Input!AA148</f>
        <v>0</v>
      </c>
      <c r="AI539" s="84">
        <f>Input!AB148</f>
        <v>0</v>
      </c>
      <c r="AJ539" s="84">
        <f>Input!AC148</f>
        <v>0</v>
      </c>
      <c r="AK539" s="84">
        <f>Input!AD148</f>
        <v>0</v>
      </c>
      <c r="AL539" s="84">
        <f>Input!AE148</f>
        <v>0</v>
      </c>
      <c r="AM539" s="84">
        <f>Input!AF148</f>
        <v>0</v>
      </c>
      <c r="AN539" s="84">
        <f>Input!AG148</f>
        <v>0</v>
      </c>
      <c r="AO539" s="84">
        <f>Input!AH148</f>
        <v>0</v>
      </c>
      <c r="AP539" s="84">
        <f>Input!AI148</f>
        <v>0</v>
      </c>
      <c r="AQ539" s="84">
        <f>Input!AJ148</f>
        <v>0</v>
      </c>
      <c r="AR539" s="84">
        <f>Input!AK148</f>
        <v>0</v>
      </c>
      <c r="AS539" s="84">
        <f>Input!AL148</f>
        <v>0</v>
      </c>
      <c r="AT539" s="84">
        <f>Input!AM148</f>
        <v>0</v>
      </c>
      <c r="AU539" s="84">
        <f>Input!AN148</f>
        <v>0</v>
      </c>
      <c r="AV539" s="84">
        <f>Input!AO148</f>
        <v>0</v>
      </c>
      <c r="AW539" s="84">
        <f>Input!AP148</f>
        <v>0</v>
      </c>
      <c r="AX539" s="84">
        <f>Input!AQ148</f>
        <v>0</v>
      </c>
      <c r="AY539" s="84">
        <f>Input!AR148</f>
        <v>0</v>
      </c>
      <c r="AZ539" s="84">
        <f>Input!AS148</f>
        <v>0</v>
      </c>
      <c r="BA539" s="84">
        <f>Input!AT148</f>
        <v>0</v>
      </c>
      <c r="BB539" s="84">
        <f>Input!AU148</f>
        <v>0</v>
      </c>
      <c r="BC539" s="84">
        <f>Input!AV148</f>
        <v>0</v>
      </c>
      <c r="BD539" s="84">
        <f>Input!AW148</f>
        <v>0</v>
      </c>
      <c r="BE539" s="84">
        <f>Input!AX148</f>
        <v>0</v>
      </c>
      <c r="BF539" s="84">
        <f>Input!AY148</f>
        <v>0</v>
      </c>
      <c r="BG539" s="84">
        <f>Input!AZ148</f>
        <v>0</v>
      </c>
      <c r="BH539" s="84">
        <f>Input!BA148</f>
        <v>0</v>
      </c>
      <c r="BI539" s="84">
        <f>Input!BB148</f>
        <v>0</v>
      </c>
      <c r="BJ539" s="84">
        <f>Input!BC148</f>
        <v>0</v>
      </c>
      <c r="BK539" s="84">
        <f>Input!BD148</f>
        <v>0</v>
      </c>
      <c r="BL539" s="84">
        <f>Input!BE148</f>
        <v>0</v>
      </c>
      <c r="BM539" s="84">
        <f>Input!BF148</f>
        <v>0</v>
      </c>
      <c r="BN539" s="84">
        <f>Input!BG148</f>
        <v>0</v>
      </c>
      <c r="BO539" s="84">
        <f>Input!BH148</f>
        <v>0</v>
      </c>
      <c r="BP539" s="84">
        <f>Input!BI148</f>
        <v>0</v>
      </c>
      <c r="BQ539" s="84">
        <f>Input!BJ148</f>
        <v>0</v>
      </c>
      <c r="BR539" s="84">
        <f>Input!BK148</f>
        <v>0</v>
      </c>
      <c r="BS539" s="84">
        <f>Input!BL148</f>
        <v>0</v>
      </c>
      <c r="BT539" s="84">
        <f>Input!BM148</f>
        <v>0</v>
      </c>
      <c r="BU539" s="84">
        <f>Input!BN148</f>
        <v>0</v>
      </c>
      <c r="BV539" s="84">
        <f>Input!BO148</f>
        <v>0</v>
      </c>
      <c r="BW539" s="84">
        <f>Input!BP148</f>
        <v>0</v>
      </c>
      <c r="BX539" s="84">
        <f>Input!BQ148</f>
        <v>0</v>
      </c>
      <c r="BY539" s="84">
        <f>Input!BR148</f>
        <v>0</v>
      </c>
      <c r="BZ539" s="84">
        <f>Input!BS148</f>
        <v>0</v>
      </c>
      <c r="CA539" s="84">
        <f>Input!BT148</f>
        <v>0</v>
      </c>
      <c r="CB539" s="84">
        <f>Input!BU148</f>
        <v>0</v>
      </c>
      <c r="CC539" s="84">
        <f>Input!BV148</f>
        <v>0</v>
      </c>
      <c r="CD539" s="84">
        <f>Input!BW148</f>
        <v>0</v>
      </c>
      <c r="CE539" s="1171"/>
      <c r="CF539" s="1171"/>
      <c r="CG539" s="1171"/>
      <c r="CH539" s="1171"/>
      <c r="CI539" s="1171"/>
    </row>
    <row r="540" spans="11:87" ht="12" customHeight="1" x14ac:dyDescent="0.35">
      <c r="K540" s="13">
        <v>42</v>
      </c>
      <c r="L540" s="415">
        <f>Input!D149</f>
        <v>0</v>
      </c>
      <c r="M540" s="416">
        <f>IF(Input!$F$107&gt;=K540,Input!G149,0)</f>
        <v>0</v>
      </c>
      <c r="N540" s="1058">
        <f>Input!H149</f>
        <v>0</v>
      </c>
      <c r="O540" s="1058">
        <f>Input!I149</f>
        <v>0</v>
      </c>
      <c r="P540" s="417">
        <f>Input!J149</f>
        <v>0</v>
      </c>
      <c r="Q540" s="418">
        <f>Input!L149</f>
        <v>0</v>
      </c>
      <c r="R540" s="418">
        <f>Input!K149</f>
        <v>0</v>
      </c>
      <c r="S540" s="419">
        <f>Input!M149</f>
        <v>0</v>
      </c>
      <c r="T540" s="13"/>
      <c r="U540" s="13">
        <f>IFERROR(IF(N540&lt;&gt;0,VLOOKUP(N540,Calcs!$B$278:$C$337,2,FALSE),0),0)</f>
        <v>0</v>
      </c>
      <c r="V540" s="13">
        <f>IFERROR(IF(O540&lt;&gt;0,VLOOKUP(O540,Calcs!$B$278:$C$337,2,FALSE),0),0)</f>
        <v>0</v>
      </c>
      <c r="W540" s="13">
        <f>Input!P149</f>
        <v>0</v>
      </c>
      <c r="X540" s="13">
        <f>Input!Q149</f>
        <v>0</v>
      </c>
      <c r="Y540" s="13">
        <f>Input!R149</f>
        <v>0</v>
      </c>
      <c r="Z540" s="13">
        <f>Input!S149</f>
        <v>0</v>
      </c>
      <c r="AA540" s="13">
        <f>Input!T149</f>
        <v>0</v>
      </c>
      <c r="AB540" s="13">
        <f>Input!U149</f>
        <v>0</v>
      </c>
      <c r="AC540" s="13">
        <f>Input!V149</f>
        <v>0</v>
      </c>
      <c r="AD540" s="13">
        <f>Input!W149</f>
        <v>0</v>
      </c>
      <c r="AE540" s="13">
        <f>Input!X149</f>
        <v>0</v>
      </c>
      <c r="AF540" s="84">
        <f>Input!Y149</f>
        <v>0</v>
      </c>
      <c r="AG540" s="84">
        <f>Input!Z149</f>
        <v>0</v>
      </c>
      <c r="AH540" s="84">
        <f>Input!AA149</f>
        <v>0</v>
      </c>
      <c r="AI540" s="84">
        <f>Input!AB149</f>
        <v>0</v>
      </c>
      <c r="AJ540" s="84">
        <f>Input!AC149</f>
        <v>0</v>
      </c>
      <c r="AK540" s="84">
        <f>Input!AD149</f>
        <v>0</v>
      </c>
      <c r="AL540" s="84">
        <f>Input!AE149</f>
        <v>0</v>
      </c>
      <c r="AM540" s="84">
        <f>Input!AF149</f>
        <v>0</v>
      </c>
      <c r="AN540" s="84">
        <f>Input!AG149</f>
        <v>0</v>
      </c>
      <c r="AO540" s="84">
        <f>Input!AH149</f>
        <v>0</v>
      </c>
      <c r="AP540" s="84">
        <f>Input!AI149</f>
        <v>0</v>
      </c>
      <c r="AQ540" s="84">
        <f>Input!AJ149</f>
        <v>0</v>
      </c>
      <c r="AR540" s="84">
        <f>Input!AK149</f>
        <v>0</v>
      </c>
      <c r="AS540" s="84">
        <f>Input!AL149</f>
        <v>0</v>
      </c>
      <c r="AT540" s="84">
        <f>Input!AM149</f>
        <v>0</v>
      </c>
      <c r="AU540" s="84">
        <f>Input!AN149</f>
        <v>0</v>
      </c>
      <c r="AV540" s="84">
        <f>Input!AO149</f>
        <v>0</v>
      </c>
      <c r="AW540" s="84">
        <f>Input!AP149</f>
        <v>0</v>
      </c>
      <c r="AX540" s="84">
        <f>Input!AQ149</f>
        <v>0</v>
      </c>
      <c r="AY540" s="84">
        <f>Input!AR149</f>
        <v>0</v>
      </c>
      <c r="AZ540" s="84">
        <f>Input!AS149</f>
        <v>0</v>
      </c>
      <c r="BA540" s="84">
        <f>Input!AT149</f>
        <v>0</v>
      </c>
      <c r="BB540" s="84">
        <f>Input!AU149</f>
        <v>0</v>
      </c>
      <c r="BC540" s="84">
        <f>Input!AV149</f>
        <v>0</v>
      </c>
      <c r="BD540" s="84">
        <f>Input!AW149</f>
        <v>0</v>
      </c>
      <c r="BE540" s="84">
        <f>Input!AX149</f>
        <v>0</v>
      </c>
      <c r="BF540" s="84">
        <f>Input!AY149</f>
        <v>0</v>
      </c>
      <c r="BG540" s="84">
        <f>Input!AZ149</f>
        <v>0</v>
      </c>
      <c r="BH540" s="84">
        <f>Input!BA149</f>
        <v>0</v>
      </c>
      <c r="BI540" s="84">
        <f>Input!BB149</f>
        <v>0</v>
      </c>
      <c r="BJ540" s="84">
        <f>Input!BC149</f>
        <v>0</v>
      </c>
      <c r="BK540" s="84">
        <f>Input!BD149</f>
        <v>0</v>
      </c>
      <c r="BL540" s="84">
        <f>Input!BE149</f>
        <v>0</v>
      </c>
      <c r="BM540" s="84">
        <f>Input!BF149</f>
        <v>0</v>
      </c>
      <c r="BN540" s="84">
        <f>Input!BG149</f>
        <v>0</v>
      </c>
      <c r="BO540" s="84">
        <f>Input!BH149</f>
        <v>0</v>
      </c>
      <c r="BP540" s="84">
        <f>Input!BI149</f>
        <v>0</v>
      </c>
      <c r="BQ540" s="84">
        <f>Input!BJ149</f>
        <v>0</v>
      </c>
      <c r="BR540" s="84">
        <f>Input!BK149</f>
        <v>0</v>
      </c>
      <c r="BS540" s="84">
        <f>Input!BL149</f>
        <v>0</v>
      </c>
      <c r="BT540" s="84">
        <f>Input!BM149</f>
        <v>0</v>
      </c>
      <c r="BU540" s="84">
        <f>Input!BN149</f>
        <v>0</v>
      </c>
      <c r="BV540" s="84">
        <f>Input!BO149</f>
        <v>0</v>
      </c>
      <c r="BW540" s="84">
        <f>Input!BP149</f>
        <v>0</v>
      </c>
      <c r="BX540" s="84">
        <f>Input!BQ149</f>
        <v>0</v>
      </c>
      <c r="BY540" s="84">
        <f>Input!BR149</f>
        <v>0</v>
      </c>
      <c r="BZ540" s="84">
        <f>Input!BS149</f>
        <v>0</v>
      </c>
      <c r="CA540" s="84">
        <f>Input!BT149</f>
        <v>0</v>
      </c>
      <c r="CB540" s="84">
        <f>Input!BU149</f>
        <v>0</v>
      </c>
      <c r="CC540" s="84">
        <f>Input!BV149</f>
        <v>0</v>
      </c>
      <c r="CD540" s="84">
        <f>Input!BW149</f>
        <v>0</v>
      </c>
      <c r="CE540" s="1171"/>
      <c r="CF540" s="1171"/>
      <c r="CG540" s="1171"/>
      <c r="CH540" s="1171"/>
      <c r="CI540" s="1171"/>
    </row>
    <row r="541" spans="11:87" ht="12" customHeight="1" x14ac:dyDescent="0.35">
      <c r="K541" s="13">
        <v>43</v>
      </c>
      <c r="L541" s="415">
        <f>Input!D150</f>
        <v>0</v>
      </c>
      <c r="M541" s="416">
        <f>IF(Input!$F$107&gt;=K541,Input!G150,0)</f>
        <v>0</v>
      </c>
      <c r="N541" s="1058">
        <f>Input!H150</f>
        <v>0</v>
      </c>
      <c r="O541" s="1058">
        <f>Input!I150</f>
        <v>0</v>
      </c>
      <c r="P541" s="417">
        <f>Input!J150</f>
        <v>0</v>
      </c>
      <c r="Q541" s="418">
        <f>Input!L150</f>
        <v>0</v>
      </c>
      <c r="R541" s="418">
        <f>Input!K150</f>
        <v>0</v>
      </c>
      <c r="S541" s="419">
        <f>Input!M150</f>
        <v>0</v>
      </c>
      <c r="T541" s="13"/>
      <c r="U541" s="13">
        <f>IFERROR(IF(N541&lt;&gt;0,VLOOKUP(N541,Calcs!$B$278:$C$337,2,FALSE),0),0)</f>
        <v>0</v>
      </c>
      <c r="V541" s="13">
        <f>IFERROR(IF(O541&lt;&gt;0,VLOOKUP(O541,Calcs!$B$278:$C$337,2,FALSE),0),0)</f>
        <v>0</v>
      </c>
      <c r="W541" s="13">
        <f>Input!P150</f>
        <v>0</v>
      </c>
      <c r="X541" s="13">
        <f>Input!Q150</f>
        <v>0</v>
      </c>
      <c r="Y541" s="13">
        <f>Input!R150</f>
        <v>0</v>
      </c>
      <c r="Z541" s="13">
        <f>Input!S150</f>
        <v>0</v>
      </c>
      <c r="AA541" s="13">
        <f>Input!T150</f>
        <v>0</v>
      </c>
      <c r="AB541" s="13">
        <f>Input!U150</f>
        <v>0</v>
      </c>
      <c r="AC541" s="13">
        <f>Input!V150</f>
        <v>0</v>
      </c>
      <c r="AD541" s="13">
        <f>Input!W150</f>
        <v>0</v>
      </c>
      <c r="AE541" s="13">
        <f>Input!X150</f>
        <v>0</v>
      </c>
      <c r="AF541" s="84">
        <f>Input!Y150</f>
        <v>0</v>
      </c>
      <c r="AG541" s="84">
        <f>Input!Z150</f>
        <v>0</v>
      </c>
      <c r="AH541" s="84">
        <f>Input!AA150</f>
        <v>0</v>
      </c>
      <c r="AI541" s="84">
        <f>Input!AB150</f>
        <v>0</v>
      </c>
      <c r="AJ541" s="84">
        <f>Input!AC150</f>
        <v>0</v>
      </c>
      <c r="AK541" s="84">
        <f>Input!AD150</f>
        <v>0</v>
      </c>
      <c r="AL541" s="84">
        <f>Input!AE150</f>
        <v>0</v>
      </c>
      <c r="AM541" s="84">
        <f>Input!AF150</f>
        <v>0</v>
      </c>
      <c r="AN541" s="84">
        <f>Input!AG150</f>
        <v>0</v>
      </c>
      <c r="AO541" s="84">
        <f>Input!AH150</f>
        <v>0</v>
      </c>
      <c r="AP541" s="84">
        <f>Input!AI150</f>
        <v>0</v>
      </c>
      <c r="AQ541" s="84">
        <f>Input!AJ150</f>
        <v>0</v>
      </c>
      <c r="AR541" s="84">
        <f>Input!AK150</f>
        <v>0</v>
      </c>
      <c r="AS541" s="84">
        <f>Input!AL150</f>
        <v>0</v>
      </c>
      <c r="AT541" s="84">
        <f>Input!AM150</f>
        <v>0</v>
      </c>
      <c r="AU541" s="84">
        <f>Input!AN150</f>
        <v>0</v>
      </c>
      <c r="AV541" s="84">
        <f>Input!AO150</f>
        <v>0</v>
      </c>
      <c r="AW541" s="84">
        <f>Input!AP150</f>
        <v>0</v>
      </c>
      <c r="AX541" s="84">
        <f>Input!AQ150</f>
        <v>0</v>
      </c>
      <c r="AY541" s="84">
        <f>Input!AR150</f>
        <v>0</v>
      </c>
      <c r="AZ541" s="84">
        <f>Input!AS150</f>
        <v>0</v>
      </c>
      <c r="BA541" s="84">
        <f>Input!AT150</f>
        <v>0</v>
      </c>
      <c r="BB541" s="84">
        <f>Input!AU150</f>
        <v>0</v>
      </c>
      <c r="BC541" s="84">
        <f>Input!AV150</f>
        <v>0</v>
      </c>
      <c r="BD541" s="84">
        <f>Input!AW150</f>
        <v>0</v>
      </c>
      <c r="BE541" s="84">
        <f>Input!AX150</f>
        <v>0</v>
      </c>
      <c r="BF541" s="84">
        <f>Input!AY150</f>
        <v>0</v>
      </c>
      <c r="BG541" s="84">
        <f>Input!AZ150</f>
        <v>0</v>
      </c>
      <c r="BH541" s="84">
        <f>Input!BA150</f>
        <v>0</v>
      </c>
      <c r="BI541" s="84">
        <f>Input!BB150</f>
        <v>0</v>
      </c>
      <c r="BJ541" s="84">
        <f>Input!BC150</f>
        <v>0</v>
      </c>
      <c r="BK541" s="84">
        <f>Input!BD150</f>
        <v>0</v>
      </c>
      <c r="BL541" s="84">
        <f>Input!BE150</f>
        <v>0</v>
      </c>
      <c r="BM541" s="84">
        <f>Input!BF150</f>
        <v>0</v>
      </c>
      <c r="BN541" s="84">
        <f>Input!BG150</f>
        <v>0</v>
      </c>
      <c r="BO541" s="84">
        <f>Input!BH150</f>
        <v>0</v>
      </c>
      <c r="BP541" s="84">
        <f>Input!BI150</f>
        <v>0</v>
      </c>
      <c r="BQ541" s="84">
        <f>Input!BJ150</f>
        <v>0</v>
      </c>
      <c r="BR541" s="84">
        <f>Input!BK150</f>
        <v>0</v>
      </c>
      <c r="BS541" s="84">
        <f>Input!BL150</f>
        <v>0</v>
      </c>
      <c r="BT541" s="84">
        <f>Input!BM150</f>
        <v>0</v>
      </c>
      <c r="BU541" s="84">
        <f>Input!BN150</f>
        <v>0</v>
      </c>
      <c r="BV541" s="84">
        <f>Input!BO150</f>
        <v>0</v>
      </c>
      <c r="BW541" s="84">
        <f>Input!BP150</f>
        <v>0</v>
      </c>
      <c r="BX541" s="84">
        <f>Input!BQ150</f>
        <v>0</v>
      </c>
      <c r="BY541" s="84">
        <f>Input!BR150</f>
        <v>0</v>
      </c>
      <c r="BZ541" s="84">
        <f>Input!BS150</f>
        <v>0</v>
      </c>
      <c r="CA541" s="84">
        <f>Input!BT150</f>
        <v>0</v>
      </c>
      <c r="CB541" s="84">
        <f>Input!BU150</f>
        <v>0</v>
      </c>
      <c r="CC541" s="84">
        <f>Input!BV150</f>
        <v>0</v>
      </c>
      <c r="CD541" s="84">
        <f>Input!BW150</f>
        <v>0</v>
      </c>
      <c r="CE541" s="1171"/>
      <c r="CF541" s="1171"/>
      <c r="CG541" s="1171"/>
      <c r="CH541" s="1171"/>
      <c r="CI541" s="1171"/>
    </row>
    <row r="542" spans="11:87" ht="12" customHeight="1" x14ac:dyDescent="0.35">
      <c r="K542" s="13">
        <v>44</v>
      </c>
      <c r="L542" s="415">
        <f>Input!D151</f>
        <v>0</v>
      </c>
      <c r="M542" s="416">
        <f>IF(Input!$F$107&gt;=K542,Input!G151,0)</f>
        <v>0</v>
      </c>
      <c r="N542" s="1058">
        <f>Input!H151</f>
        <v>0</v>
      </c>
      <c r="O542" s="1058">
        <f>Input!I151</f>
        <v>0</v>
      </c>
      <c r="P542" s="417">
        <f>Input!J151</f>
        <v>0</v>
      </c>
      <c r="Q542" s="418">
        <f>Input!L151</f>
        <v>0</v>
      </c>
      <c r="R542" s="418">
        <f>Input!K151</f>
        <v>0</v>
      </c>
      <c r="S542" s="419">
        <f>Input!M151</f>
        <v>0</v>
      </c>
      <c r="T542" s="13"/>
      <c r="U542" s="13">
        <f>IFERROR(IF(N542&lt;&gt;0,VLOOKUP(N542,Calcs!$B$278:$C$337,2,FALSE),0),0)</f>
        <v>0</v>
      </c>
      <c r="V542" s="13">
        <f>IFERROR(IF(O542&lt;&gt;0,VLOOKUP(O542,Calcs!$B$278:$C$337,2,FALSE),0),0)</f>
        <v>0</v>
      </c>
      <c r="W542" s="13">
        <f>Input!P151</f>
        <v>0</v>
      </c>
      <c r="X542" s="13">
        <f>Input!Q151</f>
        <v>0</v>
      </c>
      <c r="Y542" s="13">
        <f>Input!R151</f>
        <v>0</v>
      </c>
      <c r="Z542" s="13">
        <f>Input!S151</f>
        <v>0</v>
      </c>
      <c r="AA542" s="13">
        <f>Input!T151</f>
        <v>0</v>
      </c>
      <c r="AB542" s="13">
        <f>Input!U151</f>
        <v>0</v>
      </c>
      <c r="AC542" s="13">
        <f>Input!V151</f>
        <v>0</v>
      </c>
      <c r="AD542" s="13">
        <f>Input!W151</f>
        <v>0</v>
      </c>
      <c r="AE542" s="13">
        <f>Input!X151</f>
        <v>0</v>
      </c>
      <c r="AF542" s="84">
        <f>Input!Y151</f>
        <v>0</v>
      </c>
      <c r="AG542" s="84">
        <f>Input!Z151</f>
        <v>0</v>
      </c>
      <c r="AH542" s="84">
        <f>Input!AA151</f>
        <v>0</v>
      </c>
      <c r="AI542" s="84">
        <f>Input!AB151</f>
        <v>0</v>
      </c>
      <c r="AJ542" s="84">
        <f>Input!AC151</f>
        <v>0</v>
      </c>
      <c r="AK542" s="84">
        <f>Input!AD151</f>
        <v>0</v>
      </c>
      <c r="AL542" s="84">
        <f>Input!AE151</f>
        <v>0</v>
      </c>
      <c r="AM542" s="84">
        <f>Input!AF151</f>
        <v>0</v>
      </c>
      <c r="AN542" s="84">
        <f>Input!AG151</f>
        <v>0</v>
      </c>
      <c r="AO542" s="84">
        <f>Input!AH151</f>
        <v>0</v>
      </c>
      <c r="AP542" s="84">
        <f>Input!AI151</f>
        <v>0</v>
      </c>
      <c r="AQ542" s="84">
        <f>Input!AJ151</f>
        <v>0</v>
      </c>
      <c r="AR542" s="84">
        <f>Input!AK151</f>
        <v>0</v>
      </c>
      <c r="AS542" s="84">
        <f>Input!AL151</f>
        <v>0</v>
      </c>
      <c r="AT542" s="84">
        <f>Input!AM151</f>
        <v>0</v>
      </c>
      <c r="AU542" s="84">
        <f>Input!AN151</f>
        <v>0</v>
      </c>
      <c r="AV542" s="84">
        <f>Input!AO151</f>
        <v>0</v>
      </c>
      <c r="AW542" s="84">
        <f>Input!AP151</f>
        <v>0</v>
      </c>
      <c r="AX542" s="84">
        <f>Input!AQ151</f>
        <v>0</v>
      </c>
      <c r="AY542" s="84">
        <f>Input!AR151</f>
        <v>0</v>
      </c>
      <c r="AZ542" s="84">
        <f>Input!AS151</f>
        <v>0</v>
      </c>
      <c r="BA542" s="84">
        <f>Input!AT151</f>
        <v>0</v>
      </c>
      <c r="BB542" s="84">
        <f>Input!AU151</f>
        <v>0</v>
      </c>
      <c r="BC542" s="84">
        <f>Input!AV151</f>
        <v>0</v>
      </c>
      <c r="BD542" s="84">
        <f>Input!AW151</f>
        <v>0</v>
      </c>
      <c r="BE542" s="84">
        <f>Input!AX151</f>
        <v>0</v>
      </c>
      <c r="BF542" s="84">
        <f>Input!AY151</f>
        <v>0</v>
      </c>
      <c r="BG542" s="84">
        <f>Input!AZ151</f>
        <v>0</v>
      </c>
      <c r="BH542" s="84">
        <f>Input!BA151</f>
        <v>0</v>
      </c>
      <c r="BI542" s="84">
        <f>Input!BB151</f>
        <v>0</v>
      </c>
      <c r="BJ542" s="84">
        <f>Input!BC151</f>
        <v>0</v>
      </c>
      <c r="BK542" s="84">
        <f>Input!BD151</f>
        <v>0</v>
      </c>
      <c r="BL542" s="84">
        <f>Input!BE151</f>
        <v>0</v>
      </c>
      <c r="BM542" s="84">
        <f>Input!BF151</f>
        <v>0</v>
      </c>
      <c r="BN542" s="84">
        <f>Input!BG151</f>
        <v>0</v>
      </c>
      <c r="BO542" s="84">
        <f>Input!BH151</f>
        <v>0</v>
      </c>
      <c r="BP542" s="84">
        <f>Input!BI151</f>
        <v>0</v>
      </c>
      <c r="BQ542" s="84">
        <f>Input!BJ151</f>
        <v>0</v>
      </c>
      <c r="BR542" s="84">
        <f>Input!BK151</f>
        <v>0</v>
      </c>
      <c r="BS542" s="84">
        <f>Input!BL151</f>
        <v>0</v>
      </c>
      <c r="BT542" s="84">
        <f>Input!BM151</f>
        <v>0</v>
      </c>
      <c r="BU542" s="84">
        <f>Input!BN151</f>
        <v>0</v>
      </c>
      <c r="BV542" s="84">
        <f>Input!BO151</f>
        <v>0</v>
      </c>
      <c r="BW542" s="84">
        <f>Input!BP151</f>
        <v>0</v>
      </c>
      <c r="BX542" s="84">
        <f>Input!BQ151</f>
        <v>0</v>
      </c>
      <c r="BY542" s="84">
        <f>Input!BR151</f>
        <v>0</v>
      </c>
      <c r="BZ542" s="84">
        <f>Input!BS151</f>
        <v>0</v>
      </c>
      <c r="CA542" s="84">
        <f>Input!BT151</f>
        <v>0</v>
      </c>
      <c r="CB542" s="84">
        <f>Input!BU151</f>
        <v>0</v>
      </c>
      <c r="CC542" s="84">
        <f>Input!BV151</f>
        <v>0</v>
      </c>
      <c r="CD542" s="84">
        <f>Input!BW151</f>
        <v>0</v>
      </c>
      <c r="CE542" s="1171"/>
      <c r="CF542" s="1171"/>
      <c r="CG542" s="1171"/>
      <c r="CH542" s="1171"/>
      <c r="CI542" s="1171"/>
    </row>
    <row r="543" spans="11:87" ht="12" customHeight="1" x14ac:dyDescent="0.35">
      <c r="K543" s="13">
        <v>45</v>
      </c>
      <c r="L543" s="415">
        <f>Input!D152</f>
        <v>0</v>
      </c>
      <c r="M543" s="416">
        <f>IF(Input!$F$107&gt;=K543,Input!G152,0)</f>
        <v>0</v>
      </c>
      <c r="N543" s="1058">
        <f>Input!H152</f>
        <v>0</v>
      </c>
      <c r="O543" s="1058">
        <f>Input!I152</f>
        <v>0</v>
      </c>
      <c r="P543" s="417">
        <f>Input!J152</f>
        <v>0</v>
      </c>
      <c r="Q543" s="418">
        <f>Input!L152</f>
        <v>0</v>
      </c>
      <c r="R543" s="418">
        <f>Input!K152</f>
        <v>0</v>
      </c>
      <c r="S543" s="419">
        <f>Input!M152</f>
        <v>0</v>
      </c>
      <c r="T543" s="13"/>
      <c r="U543" s="13">
        <f>IFERROR(IF(N543&lt;&gt;0,VLOOKUP(N543,Calcs!$B$278:$C$337,2,FALSE),0),0)</f>
        <v>0</v>
      </c>
      <c r="V543" s="13">
        <f>IFERROR(IF(O543&lt;&gt;0,VLOOKUP(O543,Calcs!$B$278:$C$337,2,FALSE),0),0)</f>
        <v>0</v>
      </c>
      <c r="W543" s="13">
        <f>Input!P152</f>
        <v>0</v>
      </c>
      <c r="X543" s="13">
        <f>Input!Q152</f>
        <v>0</v>
      </c>
      <c r="Y543" s="13">
        <f>Input!R152</f>
        <v>0</v>
      </c>
      <c r="Z543" s="13">
        <f>Input!S152</f>
        <v>0</v>
      </c>
      <c r="AA543" s="13">
        <f>Input!T152</f>
        <v>0</v>
      </c>
      <c r="AB543" s="13">
        <f>Input!U152</f>
        <v>0</v>
      </c>
      <c r="AC543" s="13">
        <f>Input!V152</f>
        <v>0</v>
      </c>
      <c r="AD543" s="13">
        <f>Input!W152</f>
        <v>0</v>
      </c>
      <c r="AE543" s="13">
        <f>Input!X152</f>
        <v>0</v>
      </c>
      <c r="AF543" s="84">
        <f>Input!Y152</f>
        <v>0</v>
      </c>
      <c r="AG543" s="84">
        <f>Input!Z152</f>
        <v>0</v>
      </c>
      <c r="AH543" s="84">
        <f>Input!AA152</f>
        <v>0</v>
      </c>
      <c r="AI543" s="84">
        <f>Input!AB152</f>
        <v>0</v>
      </c>
      <c r="AJ543" s="84">
        <f>Input!AC152</f>
        <v>0</v>
      </c>
      <c r="AK543" s="84">
        <f>Input!AD152</f>
        <v>0</v>
      </c>
      <c r="AL543" s="84">
        <f>Input!AE152</f>
        <v>0</v>
      </c>
      <c r="AM543" s="84">
        <f>Input!AF152</f>
        <v>0</v>
      </c>
      <c r="AN543" s="84">
        <f>Input!AG152</f>
        <v>0</v>
      </c>
      <c r="AO543" s="84">
        <f>Input!AH152</f>
        <v>0</v>
      </c>
      <c r="AP543" s="84">
        <f>Input!AI152</f>
        <v>0</v>
      </c>
      <c r="AQ543" s="84">
        <f>Input!AJ152</f>
        <v>0</v>
      </c>
      <c r="AR543" s="84">
        <f>Input!AK152</f>
        <v>0</v>
      </c>
      <c r="AS543" s="84">
        <f>Input!AL152</f>
        <v>0</v>
      </c>
      <c r="AT543" s="84">
        <f>Input!AM152</f>
        <v>0</v>
      </c>
      <c r="AU543" s="84">
        <f>Input!AN152</f>
        <v>0</v>
      </c>
      <c r="AV543" s="84">
        <f>Input!AO152</f>
        <v>0</v>
      </c>
      <c r="AW543" s="84">
        <f>Input!AP152</f>
        <v>0</v>
      </c>
      <c r="AX543" s="84">
        <f>Input!AQ152</f>
        <v>0</v>
      </c>
      <c r="AY543" s="84">
        <f>Input!AR152</f>
        <v>0</v>
      </c>
      <c r="AZ543" s="84">
        <f>Input!AS152</f>
        <v>0</v>
      </c>
      <c r="BA543" s="84">
        <f>Input!AT152</f>
        <v>0</v>
      </c>
      <c r="BB543" s="84">
        <f>Input!AU152</f>
        <v>0</v>
      </c>
      <c r="BC543" s="84">
        <f>Input!AV152</f>
        <v>0</v>
      </c>
      <c r="BD543" s="84">
        <f>Input!AW152</f>
        <v>0</v>
      </c>
      <c r="BE543" s="84">
        <f>Input!AX152</f>
        <v>0</v>
      </c>
      <c r="BF543" s="84">
        <f>Input!AY152</f>
        <v>0</v>
      </c>
      <c r="BG543" s="84">
        <f>Input!AZ152</f>
        <v>0</v>
      </c>
      <c r="BH543" s="84">
        <f>Input!BA152</f>
        <v>0</v>
      </c>
      <c r="BI543" s="84">
        <f>Input!BB152</f>
        <v>0</v>
      </c>
      <c r="BJ543" s="84">
        <f>Input!BC152</f>
        <v>0</v>
      </c>
      <c r="BK543" s="84">
        <f>Input!BD152</f>
        <v>0</v>
      </c>
      <c r="BL543" s="84">
        <f>Input!BE152</f>
        <v>0</v>
      </c>
      <c r="BM543" s="84">
        <f>Input!BF152</f>
        <v>0</v>
      </c>
      <c r="BN543" s="84">
        <f>Input!BG152</f>
        <v>0</v>
      </c>
      <c r="BO543" s="84">
        <f>Input!BH152</f>
        <v>0</v>
      </c>
      <c r="BP543" s="84">
        <f>Input!BI152</f>
        <v>0</v>
      </c>
      <c r="BQ543" s="84">
        <f>Input!BJ152</f>
        <v>0</v>
      </c>
      <c r="BR543" s="84">
        <f>Input!BK152</f>
        <v>0</v>
      </c>
      <c r="BS543" s="84">
        <f>Input!BL152</f>
        <v>0</v>
      </c>
      <c r="BT543" s="84">
        <f>Input!BM152</f>
        <v>0</v>
      </c>
      <c r="BU543" s="84">
        <f>Input!BN152</f>
        <v>0</v>
      </c>
      <c r="BV543" s="84">
        <f>Input!BO152</f>
        <v>0</v>
      </c>
      <c r="BW543" s="84">
        <f>Input!BP152</f>
        <v>0</v>
      </c>
      <c r="BX543" s="84">
        <f>Input!BQ152</f>
        <v>0</v>
      </c>
      <c r="BY543" s="84">
        <f>Input!BR152</f>
        <v>0</v>
      </c>
      <c r="BZ543" s="84">
        <f>Input!BS152</f>
        <v>0</v>
      </c>
      <c r="CA543" s="84">
        <f>Input!BT152</f>
        <v>0</v>
      </c>
      <c r="CB543" s="84">
        <f>Input!BU152</f>
        <v>0</v>
      </c>
      <c r="CC543" s="84">
        <f>Input!BV152</f>
        <v>0</v>
      </c>
      <c r="CD543" s="84">
        <f>Input!BW152</f>
        <v>0</v>
      </c>
      <c r="CE543" s="1171"/>
      <c r="CF543" s="1171"/>
      <c r="CG543" s="1171"/>
      <c r="CH543" s="1171"/>
      <c r="CI543" s="1171"/>
    </row>
    <row r="544" spans="11:87" ht="12" customHeight="1" x14ac:dyDescent="0.35">
      <c r="K544" s="13">
        <v>46</v>
      </c>
      <c r="L544" s="415">
        <f>Input!D153</f>
        <v>0</v>
      </c>
      <c r="M544" s="416">
        <f>IF(Input!$F$107&gt;=K544,Input!G153,0)</f>
        <v>0</v>
      </c>
      <c r="N544" s="1058">
        <f>Input!H153</f>
        <v>0</v>
      </c>
      <c r="O544" s="1058">
        <f>Input!I153</f>
        <v>0</v>
      </c>
      <c r="P544" s="417">
        <f>Input!J153</f>
        <v>0</v>
      </c>
      <c r="Q544" s="418">
        <f>Input!L153</f>
        <v>0</v>
      </c>
      <c r="R544" s="418">
        <f>Input!K153</f>
        <v>0</v>
      </c>
      <c r="S544" s="419">
        <f>Input!M153</f>
        <v>0</v>
      </c>
      <c r="T544" s="13"/>
      <c r="U544" s="13">
        <f>IFERROR(IF(N544&lt;&gt;0,VLOOKUP(N544,Calcs!$B$278:$C$337,2,FALSE),0),0)</f>
        <v>0</v>
      </c>
      <c r="V544" s="13">
        <f>IFERROR(IF(O544&lt;&gt;0,VLOOKUP(O544,Calcs!$B$278:$C$337,2,FALSE),0),0)</f>
        <v>0</v>
      </c>
      <c r="W544" s="13">
        <f>Input!P153</f>
        <v>0</v>
      </c>
      <c r="X544" s="13">
        <f>Input!Q153</f>
        <v>0</v>
      </c>
      <c r="Y544" s="13">
        <f>Input!R153</f>
        <v>0</v>
      </c>
      <c r="Z544" s="13">
        <f>Input!S153</f>
        <v>0</v>
      </c>
      <c r="AA544" s="13">
        <f>Input!T153</f>
        <v>0</v>
      </c>
      <c r="AB544" s="13">
        <f>Input!U153</f>
        <v>0</v>
      </c>
      <c r="AC544" s="13">
        <f>Input!V153</f>
        <v>0</v>
      </c>
      <c r="AD544" s="13">
        <f>Input!W153</f>
        <v>0</v>
      </c>
      <c r="AE544" s="13">
        <f>Input!X153</f>
        <v>0</v>
      </c>
      <c r="AF544" s="84">
        <f>Input!Y153</f>
        <v>0</v>
      </c>
      <c r="AG544" s="84">
        <f>Input!Z153</f>
        <v>0</v>
      </c>
      <c r="AH544" s="84">
        <f>Input!AA153</f>
        <v>0</v>
      </c>
      <c r="AI544" s="84">
        <f>Input!AB153</f>
        <v>0</v>
      </c>
      <c r="AJ544" s="84">
        <f>Input!AC153</f>
        <v>0</v>
      </c>
      <c r="AK544" s="84">
        <f>Input!AD153</f>
        <v>0</v>
      </c>
      <c r="AL544" s="84">
        <f>Input!AE153</f>
        <v>0</v>
      </c>
      <c r="AM544" s="84">
        <f>Input!AF153</f>
        <v>0</v>
      </c>
      <c r="AN544" s="84">
        <f>Input!AG153</f>
        <v>0</v>
      </c>
      <c r="AO544" s="84">
        <f>Input!AH153</f>
        <v>0</v>
      </c>
      <c r="AP544" s="84">
        <f>Input!AI153</f>
        <v>0</v>
      </c>
      <c r="AQ544" s="84">
        <f>Input!AJ153</f>
        <v>0</v>
      </c>
      <c r="AR544" s="84">
        <f>Input!AK153</f>
        <v>0</v>
      </c>
      <c r="AS544" s="84">
        <f>Input!AL153</f>
        <v>0</v>
      </c>
      <c r="AT544" s="84">
        <f>Input!AM153</f>
        <v>0</v>
      </c>
      <c r="AU544" s="84">
        <f>Input!AN153</f>
        <v>0</v>
      </c>
      <c r="AV544" s="84">
        <f>Input!AO153</f>
        <v>0</v>
      </c>
      <c r="AW544" s="84">
        <f>Input!AP153</f>
        <v>0</v>
      </c>
      <c r="AX544" s="84">
        <f>Input!AQ153</f>
        <v>0</v>
      </c>
      <c r="AY544" s="84">
        <f>Input!AR153</f>
        <v>0</v>
      </c>
      <c r="AZ544" s="84">
        <f>Input!AS153</f>
        <v>0</v>
      </c>
      <c r="BA544" s="84">
        <f>Input!AT153</f>
        <v>0</v>
      </c>
      <c r="BB544" s="84">
        <f>Input!AU153</f>
        <v>0</v>
      </c>
      <c r="BC544" s="84">
        <f>Input!AV153</f>
        <v>0</v>
      </c>
      <c r="BD544" s="84">
        <f>Input!AW153</f>
        <v>0</v>
      </c>
      <c r="BE544" s="84">
        <f>Input!AX153</f>
        <v>0</v>
      </c>
      <c r="BF544" s="84">
        <f>Input!AY153</f>
        <v>0</v>
      </c>
      <c r="BG544" s="84">
        <f>Input!AZ153</f>
        <v>0</v>
      </c>
      <c r="BH544" s="84">
        <f>Input!BA153</f>
        <v>0</v>
      </c>
      <c r="BI544" s="84">
        <f>Input!BB153</f>
        <v>0</v>
      </c>
      <c r="BJ544" s="84">
        <f>Input!BC153</f>
        <v>0</v>
      </c>
      <c r="BK544" s="84">
        <f>Input!BD153</f>
        <v>0</v>
      </c>
      <c r="BL544" s="84">
        <f>Input!BE153</f>
        <v>0</v>
      </c>
      <c r="BM544" s="84">
        <f>Input!BF153</f>
        <v>0</v>
      </c>
      <c r="BN544" s="84">
        <f>Input!BG153</f>
        <v>0</v>
      </c>
      <c r="BO544" s="84">
        <f>Input!BH153</f>
        <v>0</v>
      </c>
      <c r="BP544" s="84">
        <f>Input!BI153</f>
        <v>0</v>
      </c>
      <c r="BQ544" s="84">
        <f>Input!BJ153</f>
        <v>0</v>
      </c>
      <c r="BR544" s="84">
        <f>Input!BK153</f>
        <v>0</v>
      </c>
      <c r="BS544" s="84">
        <f>Input!BL153</f>
        <v>0</v>
      </c>
      <c r="BT544" s="84">
        <f>Input!BM153</f>
        <v>0</v>
      </c>
      <c r="BU544" s="84">
        <f>Input!BN153</f>
        <v>0</v>
      </c>
      <c r="BV544" s="84">
        <f>Input!BO153</f>
        <v>0</v>
      </c>
      <c r="BW544" s="84">
        <f>Input!BP153</f>
        <v>0</v>
      </c>
      <c r="BX544" s="84">
        <f>Input!BQ153</f>
        <v>0</v>
      </c>
      <c r="BY544" s="84">
        <f>Input!BR153</f>
        <v>0</v>
      </c>
      <c r="BZ544" s="84">
        <f>Input!BS153</f>
        <v>0</v>
      </c>
      <c r="CA544" s="84">
        <f>Input!BT153</f>
        <v>0</v>
      </c>
      <c r="CB544" s="84">
        <f>Input!BU153</f>
        <v>0</v>
      </c>
      <c r="CC544" s="84">
        <f>Input!BV153</f>
        <v>0</v>
      </c>
      <c r="CD544" s="84">
        <f>Input!BW153</f>
        <v>0</v>
      </c>
      <c r="CE544" s="1171"/>
      <c r="CF544" s="1171"/>
      <c r="CG544" s="1171"/>
      <c r="CH544" s="1171"/>
      <c r="CI544" s="1171"/>
    </row>
    <row r="545" spans="11:87" ht="12" customHeight="1" x14ac:dyDescent="0.35">
      <c r="K545" s="13">
        <v>47</v>
      </c>
      <c r="L545" s="415">
        <f>Input!D154</f>
        <v>0</v>
      </c>
      <c r="M545" s="416">
        <f>IF(Input!$F$107&gt;=K545,Input!G154,0)</f>
        <v>0</v>
      </c>
      <c r="N545" s="1058">
        <f>Input!H154</f>
        <v>0</v>
      </c>
      <c r="O545" s="1058">
        <f>Input!I154</f>
        <v>0</v>
      </c>
      <c r="P545" s="417">
        <f>Input!J154</f>
        <v>0</v>
      </c>
      <c r="Q545" s="418">
        <f>Input!L154</f>
        <v>0</v>
      </c>
      <c r="R545" s="418">
        <f>Input!K154</f>
        <v>0</v>
      </c>
      <c r="S545" s="419">
        <f>Input!M154</f>
        <v>0</v>
      </c>
      <c r="T545" s="13"/>
      <c r="U545" s="13">
        <f>IFERROR(IF(N545&lt;&gt;0,VLOOKUP(N545,Calcs!$B$278:$C$337,2,FALSE),0),0)</f>
        <v>0</v>
      </c>
      <c r="V545" s="13">
        <f>IFERROR(IF(O545&lt;&gt;0,VLOOKUP(O545,Calcs!$B$278:$C$337,2,FALSE),0),0)</f>
        <v>0</v>
      </c>
      <c r="W545" s="13">
        <f>Input!P154</f>
        <v>0</v>
      </c>
      <c r="X545" s="13">
        <f>Input!Q154</f>
        <v>0</v>
      </c>
      <c r="Y545" s="13">
        <f>Input!R154</f>
        <v>0</v>
      </c>
      <c r="Z545" s="13">
        <f>Input!S154</f>
        <v>0</v>
      </c>
      <c r="AA545" s="13">
        <f>Input!T154</f>
        <v>0</v>
      </c>
      <c r="AB545" s="13">
        <f>Input!U154</f>
        <v>0</v>
      </c>
      <c r="AC545" s="13">
        <f>Input!V154</f>
        <v>0</v>
      </c>
      <c r="AD545" s="13">
        <f>Input!W154</f>
        <v>0</v>
      </c>
      <c r="AE545" s="13">
        <f>Input!X154</f>
        <v>0</v>
      </c>
      <c r="AF545" s="84">
        <f>Input!Y154</f>
        <v>0</v>
      </c>
      <c r="AG545" s="84">
        <f>Input!Z154</f>
        <v>0</v>
      </c>
      <c r="AH545" s="84">
        <f>Input!AA154</f>
        <v>0</v>
      </c>
      <c r="AI545" s="84">
        <f>Input!AB154</f>
        <v>0</v>
      </c>
      <c r="AJ545" s="84">
        <f>Input!AC154</f>
        <v>0</v>
      </c>
      <c r="AK545" s="84">
        <f>Input!AD154</f>
        <v>0</v>
      </c>
      <c r="AL545" s="84">
        <f>Input!AE154</f>
        <v>0</v>
      </c>
      <c r="AM545" s="84">
        <f>Input!AF154</f>
        <v>0</v>
      </c>
      <c r="AN545" s="84">
        <f>Input!AG154</f>
        <v>0</v>
      </c>
      <c r="AO545" s="84">
        <f>Input!AH154</f>
        <v>0</v>
      </c>
      <c r="AP545" s="84">
        <f>Input!AI154</f>
        <v>0</v>
      </c>
      <c r="AQ545" s="84">
        <f>Input!AJ154</f>
        <v>0</v>
      </c>
      <c r="AR545" s="84">
        <f>Input!AK154</f>
        <v>0</v>
      </c>
      <c r="AS545" s="84">
        <f>Input!AL154</f>
        <v>0</v>
      </c>
      <c r="AT545" s="84">
        <f>Input!AM154</f>
        <v>0</v>
      </c>
      <c r="AU545" s="84">
        <f>Input!AN154</f>
        <v>0</v>
      </c>
      <c r="AV545" s="84">
        <f>Input!AO154</f>
        <v>0</v>
      </c>
      <c r="AW545" s="84">
        <f>Input!AP154</f>
        <v>0</v>
      </c>
      <c r="AX545" s="84">
        <f>Input!AQ154</f>
        <v>0</v>
      </c>
      <c r="AY545" s="84">
        <f>Input!AR154</f>
        <v>0</v>
      </c>
      <c r="AZ545" s="84">
        <f>Input!AS154</f>
        <v>0</v>
      </c>
      <c r="BA545" s="84">
        <f>Input!AT154</f>
        <v>0</v>
      </c>
      <c r="BB545" s="84">
        <f>Input!AU154</f>
        <v>0</v>
      </c>
      <c r="BC545" s="84">
        <f>Input!AV154</f>
        <v>0</v>
      </c>
      <c r="BD545" s="84">
        <f>Input!AW154</f>
        <v>0</v>
      </c>
      <c r="BE545" s="84">
        <f>Input!AX154</f>
        <v>0</v>
      </c>
      <c r="BF545" s="84">
        <f>Input!AY154</f>
        <v>0</v>
      </c>
      <c r="BG545" s="84">
        <f>Input!AZ154</f>
        <v>0</v>
      </c>
      <c r="BH545" s="84">
        <f>Input!BA154</f>
        <v>0</v>
      </c>
      <c r="BI545" s="84">
        <f>Input!BB154</f>
        <v>0</v>
      </c>
      <c r="BJ545" s="84">
        <f>Input!BC154</f>
        <v>0</v>
      </c>
      <c r="BK545" s="84">
        <f>Input!BD154</f>
        <v>0</v>
      </c>
      <c r="BL545" s="84">
        <f>Input!BE154</f>
        <v>0</v>
      </c>
      <c r="BM545" s="84">
        <f>Input!BF154</f>
        <v>0</v>
      </c>
      <c r="BN545" s="84">
        <f>Input!BG154</f>
        <v>0</v>
      </c>
      <c r="BO545" s="84">
        <f>Input!BH154</f>
        <v>0</v>
      </c>
      <c r="BP545" s="84">
        <f>Input!BI154</f>
        <v>0</v>
      </c>
      <c r="BQ545" s="84">
        <f>Input!BJ154</f>
        <v>0</v>
      </c>
      <c r="BR545" s="84">
        <f>Input!BK154</f>
        <v>0</v>
      </c>
      <c r="BS545" s="84">
        <f>Input!BL154</f>
        <v>0</v>
      </c>
      <c r="BT545" s="84">
        <f>Input!BM154</f>
        <v>0</v>
      </c>
      <c r="BU545" s="84">
        <f>Input!BN154</f>
        <v>0</v>
      </c>
      <c r="BV545" s="84">
        <f>Input!BO154</f>
        <v>0</v>
      </c>
      <c r="BW545" s="84">
        <f>Input!BP154</f>
        <v>0</v>
      </c>
      <c r="BX545" s="84">
        <f>Input!BQ154</f>
        <v>0</v>
      </c>
      <c r="BY545" s="84">
        <f>Input!BR154</f>
        <v>0</v>
      </c>
      <c r="BZ545" s="84">
        <f>Input!BS154</f>
        <v>0</v>
      </c>
      <c r="CA545" s="84">
        <f>Input!BT154</f>
        <v>0</v>
      </c>
      <c r="CB545" s="84">
        <f>Input!BU154</f>
        <v>0</v>
      </c>
      <c r="CC545" s="84">
        <f>Input!BV154</f>
        <v>0</v>
      </c>
      <c r="CD545" s="84">
        <f>Input!BW154</f>
        <v>0</v>
      </c>
      <c r="CE545" s="1171"/>
      <c r="CF545" s="1171"/>
      <c r="CG545" s="1171"/>
      <c r="CH545" s="1171"/>
      <c r="CI545" s="1171"/>
    </row>
    <row r="546" spans="11:87" ht="12" customHeight="1" x14ac:dyDescent="0.35">
      <c r="K546" s="13">
        <v>48</v>
      </c>
      <c r="L546" s="415">
        <f>Input!D155</f>
        <v>0</v>
      </c>
      <c r="M546" s="416">
        <f>IF(Input!$F$107&gt;=K546,Input!G155,0)</f>
        <v>0</v>
      </c>
      <c r="N546" s="1058">
        <f>Input!H155</f>
        <v>0</v>
      </c>
      <c r="O546" s="1058">
        <f>Input!I155</f>
        <v>0</v>
      </c>
      <c r="P546" s="417">
        <f>Input!J155</f>
        <v>0</v>
      </c>
      <c r="Q546" s="418">
        <f>Input!L155</f>
        <v>0</v>
      </c>
      <c r="R546" s="418">
        <f>Input!K155</f>
        <v>0</v>
      </c>
      <c r="S546" s="419">
        <f>Input!M155</f>
        <v>0</v>
      </c>
      <c r="T546" s="13"/>
      <c r="U546" s="13">
        <f>IFERROR(IF(N546&lt;&gt;0,VLOOKUP(N546,Calcs!$B$278:$C$337,2,FALSE),0),0)</f>
        <v>0</v>
      </c>
      <c r="V546" s="13">
        <f>IFERROR(IF(O546&lt;&gt;0,VLOOKUP(O546,Calcs!$B$278:$C$337,2,FALSE),0),0)</f>
        <v>0</v>
      </c>
      <c r="W546" s="13">
        <f>Input!P155</f>
        <v>0</v>
      </c>
      <c r="X546" s="13">
        <f>Input!Q155</f>
        <v>0</v>
      </c>
      <c r="Y546" s="13">
        <f>Input!R155</f>
        <v>0</v>
      </c>
      <c r="Z546" s="13">
        <f>Input!S155</f>
        <v>0</v>
      </c>
      <c r="AA546" s="13">
        <f>Input!T155</f>
        <v>0</v>
      </c>
      <c r="AB546" s="13">
        <f>Input!U155</f>
        <v>0</v>
      </c>
      <c r="AC546" s="13">
        <f>Input!V155</f>
        <v>0</v>
      </c>
      <c r="AD546" s="13">
        <f>Input!W155</f>
        <v>0</v>
      </c>
      <c r="AE546" s="13">
        <f>Input!X155</f>
        <v>0</v>
      </c>
      <c r="AF546" s="84">
        <f>Input!Y155</f>
        <v>0</v>
      </c>
      <c r="AG546" s="84">
        <f>Input!Z155</f>
        <v>0</v>
      </c>
      <c r="AH546" s="84">
        <f>Input!AA155</f>
        <v>0</v>
      </c>
      <c r="AI546" s="84">
        <f>Input!AB155</f>
        <v>0</v>
      </c>
      <c r="AJ546" s="84">
        <f>Input!AC155</f>
        <v>0</v>
      </c>
      <c r="AK546" s="84">
        <f>Input!AD155</f>
        <v>0</v>
      </c>
      <c r="AL546" s="84">
        <f>Input!AE155</f>
        <v>0</v>
      </c>
      <c r="AM546" s="84">
        <f>Input!AF155</f>
        <v>0</v>
      </c>
      <c r="AN546" s="84">
        <f>Input!AG155</f>
        <v>0</v>
      </c>
      <c r="AO546" s="84">
        <f>Input!AH155</f>
        <v>0</v>
      </c>
      <c r="AP546" s="84">
        <f>Input!AI155</f>
        <v>0</v>
      </c>
      <c r="AQ546" s="84">
        <f>Input!AJ155</f>
        <v>0</v>
      </c>
      <c r="AR546" s="84">
        <f>Input!AK155</f>
        <v>0</v>
      </c>
      <c r="AS546" s="84">
        <f>Input!AL155</f>
        <v>0</v>
      </c>
      <c r="AT546" s="84">
        <f>Input!AM155</f>
        <v>0</v>
      </c>
      <c r="AU546" s="84">
        <f>Input!AN155</f>
        <v>0</v>
      </c>
      <c r="AV546" s="84">
        <f>Input!AO155</f>
        <v>0</v>
      </c>
      <c r="AW546" s="84">
        <f>Input!AP155</f>
        <v>0</v>
      </c>
      <c r="AX546" s="84">
        <f>Input!AQ155</f>
        <v>0</v>
      </c>
      <c r="AY546" s="84">
        <f>Input!AR155</f>
        <v>0</v>
      </c>
      <c r="AZ546" s="84">
        <f>Input!AS155</f>
        <v>0</v>
      </c>
      <c r="BA546" s="84">
        <f>Input!AT155</f>
        <v>0</v>
      </c>
      <c r="BB546" s="84">
        <f>Input!AU155</f>
        <v>0</v>
      </c>
      <c r="BC546" s="84">
        <f>Input!AV155</f>
        <v>0</v>
      </c>
      <c r="BD546" s="84">
        <f>Input!AW155</f>
        <v>0</v>
      </c>
      <c r="BE546" s="84">
        <f>Input!AX155</f>
        <v>0</v>
      </c>
      <c r="BF546" s="84">
        <f>Input!AY155</f>
        <v>0</v>
      </c>
      <c r="BG546" s="84">
        <f>Input!AZ155</f>
        <v>0</v>
      </c>
      <c r="BH546" s="84">
        <f>Input!BA155</f>
        <v>0</v>
      </c>
      <c r="BI546" s="84">
        <f>Input!BB155</f>
        <v>0</v>
      </c>
      <c r="BJ546" s="84">
        <f>Input!BC155</f>
        <v>0</v>
      </c>
      <c r="BK546" s="84">
        <f>Input!BD155</f>
        <v>0</v>
      </c>
      <c r="BL546" s="84">
        <f>Input!BE155</f>
        <v>0</v>
      </c>
      <c r="BM546" s="84">
        <f>Input!BF155</f>
        <v>0</v>
      </c>
      <c r="BN546" s="84">
        <f>Input!BG155</f>
        <v>0</v>
      </c>
      <c r="BO546" s="84">
        <f>Input!BH155</f>
        <v>0</v>
      </c>
      <c r="BP546" s="84">
        <f>Input!BI155</f>
        <v>0</v>
      </c>
      <c r="BQ546" s="84">
        <f>Input!BJ155</f>
        <v>0</v>
      </c>
      <c r="BR546" s="84">
        <f>Input!BK155</f>
        <v>0</v>
      </c>
      <c r="BS546" s="84">
        <f>Input!BL155</f>
        <v>0</v>
      </c>
      <c r="BT546" s="84">
        <f>Input!BM155</f>
        <v>0</v>
      </c>
      <c r="BU546" s="84">
        <f>Input!BN155</f>
        <v>0</v>
      </c>
      <c r="BV546" s="84">
        <f>Input!BO155</f>
        <v>0</v>
      </c>
      <c r="BW546" s="84">
        <f>Input!BP155</f>
        <v>0</v>
      </c>
      <c r="BX546" s="84">
        <f>Input!BQ155</f>
        <v>0</v>
      </c>
      <c r="BY546" s="84">
        <f>Input!BR155</f>
        <v>0</v>
      </c>
      <c r="BZ546" s="84">
        <f>Input!BS155</f>
        <v>0</v>
      </c>
      <c r="CA546" s="84">
        <f>Input!BT155</f>
        <v>0</v>
      </c>
      <c r="CB546" s="84">
        <f>Input!BU155</f>
        <v>0</v>
      </c>
      <c r="CC546" s="84">
        <f>Input!BV155</f>
        <v>0</v>
      </c>
      <c r="CD546" s="84">
        <f>Input!BW155</f>
        <v>0</v>
      </c>
      <c r="CE546" s="1171"/>
      <c r="CF546" s="1171"/>
      <c r="CG546" s="1171"/>
      <c r="CH546" s="1171"/>
      <c r="CI546" s="1171"/>
    </row>
    <row r="547" spans="11:87" ht="12" customHeight="1" x14ac:dyDescent="0.35">
      <c r="K547" s="13">
        <v>49</v>
      </c>
      <c r="L547" s="415">
        <f>Input!D156</f>
        <v>0</v>
      </c>
      <c r="M547" s="416">
        <f>IF(Input!$F$107&gt;=K547,Input!G156,0)</f>
        <v>0</v>
      </c>
      <c r="N547" s="1058">
        <f>Input!H156</f>
        <v>0</v>
      </c>
      <c r="O547" s="1058">
        <f>Input!I156</f>
        <v>0</v>
      </c>
      <c r="P547" s="417">
        <f>Input!J156</f>
        <v>0</v>
      </c>
      <c r="Q547" s="418">
        <f>Input!L156</f>
        <v>0</v>
      </c>
      <c r="R547" s="418">
        <f>Input!K156</f>
        <v>0</v>
      </c>
      <c r="S547" s="419">
        <f>Input!M156</f>
        <v>0</v>
      </c>
      <c r="T547" s="13"/>
      <c r="U547" s="13">
        <f>IFERROR(IF(N547&lt;&gt;0,VLOOKUP(N547,Calcs!$B$278:$C$337,2,FALSE),0),0)</f>
        <v>0</v>
      </c>
      <c r="V547" s="13">
        <f>IFERROR(IF(O547&lt;&gt;0,VLOOKUP(O547,Calcs!$B$278:$C$337,2,FALSE),0),0)</f>
        <v>0</v>
      </c>
      <c r="W547" s="13">
        <f>Input!P156</f>
        <v>0</v>
      </c>
      <c r="X547" s="13">
        <f>Input!Q156</f>
        <v>0</v>
      </c>
      <c r="Y547" s="13">
        <f>Input!R156</f>
        <v>0</v>
      </c>
      <c r="Z547" s="13">
        <f>Input!S156</f>
        <v>0</v>
      </c>
      <c r="AA547" s="13">
        <f>Input!T156</f>
        <v>0</v>
      </c>
      <c r="AB547" s="13">
        <f>Input!U156</f>
        <v>0</v>
      </c>
      <c r="AC547" s="13">
        <f>Input!V156</f>
        <v>0</v>
      </c>
      <c r="AD547" s="13">
        <f>Input!W156</f>
        <v>0</v>
      </c>
      <c r="AE547" s="13">
        <f>Input!X156</f>
        <v>0</v>
      </c>
      <c r="AF547" s="84">
        <f>Input!Y156</f>
        <v>0</v>
      </c>
      <c r="AG547" s="84">
        <f>Input!Z156</f>
        <v>0</v>
      </c>
      <c r="AH547" s="84">
        <f>Input!AA156</f>
        <v>0</v>
      </c>
      <c r="AI547" s="84">
        <f>Input!AB156</f>
        <v>0</v>
      </c>
      <c r="AJ547" s="84">
        <f>Input!AC156</f>
        <v>0</v>
      </c>
      <c r="AK547" s="84">
        <f>Input!AD156</f>
        <v>0</v>
      </c>
      <c r="AL547" s="84">
        <f>Input!AE156</f>
        <v>0</v>
      </c>
      <c r="AM547" s="84">
        <f>Input!AF156</f>
        <v>0</v>
      </c>
      <c r="AN547" s="84">
        <f>Input!AG156</f>
        <v>0</v>
      </c>
      <c r="AO547" s="84">
        <f>Input!AH156</f>
        <v>0</v>
      </c>
      <c r="AP547" s="84">
        <f>Input!AI156</f>
        <v>0</v>
      </c>
      <c r="AQ547" s="84">
        <f>Input!AJ156</f>
        <v>0</v>
      </c>
      <c r="AR547" s="84">
        <f>Input!AK156</f>
        <v>0</v>
      </c>
      <c r="AS547" s="84">
        <f>Input!AL156</f>
        <v>0</v>
      </c>
      <c r="AT547" s="84">
        <f>Input!AM156</f>
        <v>0</v>
      </c>
      <c r="AU547" s="84">
        <f>Input!AN156</f>
        <v>0</v>
      </c>
      <c r="AV547" s="84">
        <f>Input!AO156</f>
        <v>0</v>
      </c>
      <c r="AW547" s="84">
        <f>Input!AP156</f>
        <v>0</v>
      </c>
      <c r="AX547" s="84">
        <f>Input!AQ156</f>
        <v>0</v>
      </c>
      <c r="AY547" s="84">
        <f>Input!AR156</f>
        <v>0</v>
      </c>
      <c r="AZ547" s="84">
        <f>Input!AS156</f>
        <v>0</v>
      </c>
      <c r="BA547" s="84">
        <f>Input!AT156</f>
        <v>0</v>
      </c>
      <c r="BB547" s="84">
        <f>Input!AU156</f>
        <v>0</v>
      </c>
      <c r="BC547" s="84">
        <f>Input!AV156</f>
        <v>0</v>
      </c>
      <c r="BD547" s="84">
        <f>Input!AW156</f>
        <v>0</v>
      </c>
      <c r="BE547" s="84">
        <f>Input!AX156</f>
        <v>0</v>
      </c>
      <c r="BF547" s="84">
        <f>Input!AY156</f>
        <v>0</v>
      </c>
      <c r="BG547" s="84">
        <f>Input!AZ156</f>
        <v>0</v>
      </c>
      <c r="BH547" s="84">
        <f>Input!BA156</f>
        <v>0</v>
      </c>
      <c r="BI547" s="84">
        <f>Input!BB156</f>
        <v>0</v>
      </c>
      <c r="BJ547" s="84">
        <f>Input!BC156</f>
        <v>0</v>
      </c>
      <c r="BK547" s="84">
        <f>Input!BD156</f>
        <v>0</v>
      </c>
      <c r="BL547" s="84">
        <f>Input!BE156</f>
        <v>0</v>
      </c>
      <c r="BM547" s="84">
        <f>Input!BF156</f>
        <v>0</v>
      </c>
      <c r="BN547" s="84">
        <f>Input!BG156</f>
        <v>0</v>
      </c>
      <c r="BO547" s="84">
        <f>Input!BH156</f>
        <v>0</v>
      </c>
      <c r="BP547" s="84">
        <f>Input!BI156</f>
        <v>0</v>
      </c>
      <c r="BQ547" s="84">
        <f>Input!BJ156</f>
        <v>0</v>
      </c>
      <c r="BR547" s="84">
        <f>Input!BK156</f>
        <v>0</v>
      </c>
      <c r="BS547" s="84">
        <f>Input!BL156</f>
        <v>0</v>
      </c>
      <c r="BT547" s="84">
        <f>Input!BM156</f>
        <v>0</v>
      </c>
      <c r="BU547" s="84">
        <f>Input!BN156</f>
        <v>0</v>
      </c>
      <c r="BV547" s="84">
        <f>Input!BO156</f>
        <v>0</v>
      </c>
      <c r="BW547" s="84">
        <f>Input!BP156</f>
        <v>0</v>
      </c>
      <c r="BX547" s="84">
        <f>Input!BQ156</f>
        <v>0</v>
      </c>
      <c r="BY547" s="84">
        <f>Input!BR156</f>
        <v>0</v>
      </c>
      <c r="BZ547" s="84">
        <f>Input!BS156</f>
        <v>0</v>
      </c>
      <c r="CA547" s="84">
        <f>Input!BT156</f>
        <v>0</v>
      </c>
      <c r="CB547" s="84">
        <f>Input!BU156</f>
        <v>0</v>
      </c>
      <c r="CC547" s="84">
        <f>Input!BV156</f>
        <v>0</v>
      </c>
      <c r="CD547" s="84">
        <f>Input!BW156</f>
        <v>0</v>
      </c>
      <c r="CE547" s="1171"/>
      <c r="CF547" s="1171"/>
      <c r="CG547" s="1171"/>
      <c r="CH547" s="1171"/>
      <c r="CI547" s="1171"/>
    </row>
    <row r="548" spans="11:87" ht="12" customHeight="1" thickBot="1" x14ac:dyDescent="0.4">
      <c r="K548" s="13">
        <v>50</v>
      </c>
      <c r="L548" s="420">
        <f>Input!D157</f>
        <v>0</v>
      </c>
      <c r="M548" s="421">
        <f>IF(Input!$F$107&gt;=K548,Input!G157,0)</f>
        <v>0</v>
      </c>
      <c r="N548" s="1059">
        <f>Input!H157</f>
        <v>0</v>
      </c>
      <c r="O548" s="1059">
        <f>Input!I157</f>
        <v>0</v>
      </c>
      <c r="P548" s="422">
        <f>Input!J157</f>
        <v>0</v>
      </c>
      <c r="Q548" s="423">
        <f>Input!L157</f>
        <v>0</v>
      </c>
      <c r="R548" s="423">
        <f>Input!K157</f>
        <v>0</v>
      </c>
      <c r="S548" s="424">
        <f>Input!M157</f>
        <v>0</v>
      </c>
      <c r="T548" s="13"/>
      <c r="U548" s="13">
        <f>IFERROR(IF(N548&lt;&gt;0,VLOOKUP(N548,Calcs!$B$278:$C$337,2,FALSE),0),0)</f>
        <v>0</v>
      </c>
      <c r="V548" s="13">
        <f>IFERROR(IF(O548&lt;&gt;0,VLOOKUP(O548,Calcs!$B$278:$C$337,2,FALSE),0),0)</f>
        <v>0</v>
      </c>
      <c r="W548" s="13">
        <f>Input!P157</f>
        <v>0</v>
      </c>
      <c r="X548" s="13">
        <f>Input!Q157</f>
        <v>0</v>
      </c>
      <c r="Y548" s="13">
        <f>Input!R157</f>
        <v>0</v>
      </c>
      <c r="Z548" s="13">
        <f>Input!S157</f>
        <v>0</v>
      </c>
      <c r="AA548" s="13">
        <f>Input!T157</f>
        <v>0</v>
      </c>
      <c r="AB548" s="13">
        <f>Input!U157</f>
        <v>0</v>
      </c>
      <c r="AC548" s="13">
        <f>Input!V157</f>
        <v>0</v>
      </c>
      <c r="AD548" s="13">
        <f>Input!W157</f>
        <v>0</v>
      </c>
      <c r="AE548" s="13">
        <f>Input!X157</f>
        <v>0</v>
      </c>
      <c r="AF548" s="84">
        <f>Input!Y157</f>
        <v>0</v>
      </c>
      <c r="AG548" s="84">
        <f>Input!Z157</f>
        <v>0</v>
      </c>
      <c r="AH548" s="84">
        <f>Input!AA157</f>
        <v>0</v>
      </c>
      <c r="AI548" s="84">
        <f>Input!AB157</f>
        <v>0</v>
      </c>
      <c r="AJ548" s="84">
        <f>Input!AC157</f>
        <v>0</v>
      </c>
      <c r="AK548" s="84">
        <f>Input!AD157</f>
        <v>0</v>
      </c>
      <c r="AL548" s="84">
        <f>Input!AE157</f>
        <v>0</v>
      </c>
      <c r="AM548" s="84">
        <f>Input!AF157</f>
        <v>0</v>
      </c>
      <c r="AN548" s="84">
        <f>Input!AG157</f>
        <v>0</v>
      </c>
      <c r="AO548" s="84">
        <f>Input!AH157</f>
        <v>0</v>
      </c>
      <c r="AP548" s="84">
        <f>Input!AI157</f>
        <v>0</v>
      </c>
      <c r="AQ548" s="84">
        <f>Input!AJ157</f>
        <v>0</v>
      </c>
      <c r="AR548" s="84">
        <f>Input!AK157</f>
        <v>0</v>
      </c>
      <c r="AS548" s="84">
        <f>Input!AL157</f>
        <v>0</v>
      </c>
      <c r="AT548" s="84">
        <f>Input!AM157</f>
        <v>0</v>
      </c>
      <c r="AU548" s="84">
        <f>Input!AN157</f>
        <v>0</v>
      </c>
      <c r="AV548" s="84">
        <f>Input!AO157</f>
        <v>0</v>
      </c>
      <c r="AW548" s="84">
        <f>Input!AP157</f>
        <v>0</v>
      </c>
      <c r="AX548" s="84">
        <f>Input!AQ157</f>
        <v>0</v>
      </c>
      <c r="AY548" s="84">
        <f>Input!AR157</f>
        <v>0</v>
      </c>
      <c r="AZ548" s="84">
        <f>Input!AS157</f>
        <v>0</v>
      </c>
      <c r="BA548" s="84">
        <f>Input!AT157</f>
        <v>0</v>
      </c>
      <c r="BB548" s="84">
        <f>Input!AU157</f>
        <v>0</v>
      </c>
      <c r="BC548" s="84">
        <f>Input!AV157</f>
        <v>0</v>
      </c>
      <c r="BD548" s="84">
        <f>Input!AW157</f>
        <v>0</v>
      </c>
      <c r="BE548" s="84">
        <f>Input!AX157</f>
        <v>0</v>
      </c>
      <c r="BF548" s="84">
        <f>Input!AY157</f>
        <v>0</v>
      </c>
      <c r="BG548" s="84">
        <f>Input!AZ157</f>
        <v>0</v>
      </c>
      <c r="BH548" s="84">
        <f>Input!BA157</f>
        <v>0</v>
      </c>
      <c r="BI548" s="84">
        <f>Input!BB157</f>
        <v>0</v>
      </c>
      <c r="BJ548" s="84">
        <f>Input!BC157</f>
        <v>0</v>
      </c>
      <c r="BK548" s="84">
        <f>Input!BD157</f>
        <v>0</v>
      </c>
      <c r="BL548" s="84">
        <f>Input!BE157</f>
        <v>0</v>
      </c>
      <c r="BM548" s="84">
        <f>Input!BF157</f>
        <v>0</v>
      </c>
      <c r="BN548" s="84">
        <f>Input!BG157</f>
        <v>0</v>
      </c>
      <c r="BO548" s="84">
        <f>Input!BH157</f>
        <v>0</v>
      </c>
      <c r="BP548" s="84">
        <f>Input!BI157</f>
        <v>0</v>
      </c>
      <c r="BQ548" s="84">
        <f>Input!BJ157</f>
        <v>0</v>
      </c>
      <c r="BR548" s="84">
        <f>Input!BK157</f>
        <v>0</v>
      </c>
      <c r="BS548" s="84">
        <f>Input!BL157</f>
        <v>0</v>
      </c>
      <c r="BT548" s="84">
        <f>Input!BM157</f>
        <v>0</v>
      </c>
      <c r="BU548" s="84">
        <f>Input!BN157</f>
        <v>0</v>
      </c>
      <c r="BV548" s="84">
        <f>Input!BO157</f>
        <v>0</v>
      </c>
      <c r="BW548" s="84">
        <f>Input!BP157</f>
        <v>0</v>
      </c>
      <c r="BX548" s="84">
        <f>Input!BQ157</f>
        <v>0</v>
      </c>
      <c r="BY548" s="84">
        <f>Input!BR157</f>
        <v>0</v>
      </c>
      <c r="BZ548" s="84">
        <f>Input!BS157</f>
        <v>0</v>
      </c>
      <c r="CA548" s="84">
        <f>Input!BT157</f>
        <v>0</v>
      </c>
      <c r="CB548" s="84">
        <f>Input!BU157</f>
        <v>0</v>
      </c>
      <c r="CC548" s="84">
        <f>Input!BV157</f>
        <v>0</v>
      </c>
      <c r="CD548" s="84">
        <f>Input!BW157</f>
        <v>0</v>
      </c>
      <c r="CE548" s="1171"/>
      <c r="CF548" s="1171"/>
      <c r="CG548" s="1171"/>
      <c r="CH548" s="1171"/>
      <c r="CI548" s="1171"/>
    </row>
    <row r="549" spans="11:87" ht="12" customHeight="1" x14ac:dyDescent="0.35">
      <c r="K549" s="13"/>
      <c r="L549" s="13"/>
      <c r="M549" s="13"/>
      <c r="N549" s="13"/>
      <c r="O549" s="13"/>
      <c r="P549" s="13"/>
      <c r="Q549" s="13"/>
      <c r="R549" s="13"/>
      <c r="S549" s="13"/>
      <c r="T549" s="13"/>
      <c r="U549" s="13"/>
      <c r="V549" s="13"/>
      <c r="W549" s="13"/>
      <c r="X549" s="102"/>
      <c r="Y549" s="102"/>
      <c r="Z549" s="102"/>
      <c r="AA549" s="102"/>
      <c r="AB549" s="102"/>
      <c r="AC549" s="102"/>
      <c r="AD549" s="102"/>
      <c r="AE549" s="102"/>
      <c r="AF549" s="1140"/>
      <c r="AG549" s="1140"/>
      <c r="AH549" s="1140"/>
      <c r="AI549" s="1140"/>
      <c r="AJ549" s="1140"/>
      <c r="AK549" s="1140"/>
      <c r="AL549" s="1140"/>
      <c r="AM549" s="1140"/>
      <c r="AN549" s="1140"/>
      <c r="AO549" s="1140"/>
      <c r="AP549" s="1140"/>
      <c r="AQ549" s="1140"/>
      <c r="AR549" s="1140"/>
      <c r="AS549" s="1140"/>
      <c r="AT549" s="1140"/>
      <c r="AU549" s="1140"/>
      <c r="AV549" s="1140"/>
      <c r="AW549" s="1140"/>
      <c r="AX549" s="1140"/>
      <c r="AY549" s="1140"/>
      <c r="AZ549" s="1140"/>
      <c r="BA549" s="1140"/>
      <c r="BB549" s="1140"/>
      <c r="BC549" s="1140"/>
      <c r="BD549" s="1140"/>
      <c r="BE549" s="1140"/>
      <c r="BF549" s="1140"/>
      <c r="BG549" s="1140"/>
      <c r="BH549" s="1140"/>
      <c r="BI549" s="1140"/>
      <c r="BJ549" s="1140"/>
      <c r="BK549" s="1140"/>
      <c r="BL549" s="1140"/>
      <c r="BM549" s="1140"/>
      <c r="BN549" s="1140"/>
      <c r="BO549" s="1140"/>
      <c r="BP549" s="1140"/>
      <c r="BQ549" s="1140"/>
      <c r="BR549" s="1140"/>
      <c r="BS549" s="1140"/>
      <c r="BT549" s="1140"/>
      <c r="BU549" s="1140"/>
      <c r="BV549" s="1140"/>
      <c r="BW549" s="1140"/>
      <c r="BX549" s="1140"/>
      <c r="BY549" s="1140"/>
      <c r="BZ549" s="1140"/>
      <c r="CA549" s="1140"/>
      <c r="CB549" s="1140"/>
      <c r="CC549" s="1140"/>
      <c r="CD549" s="1140"/>
      <c r="CE549" s="1171"/>
      <c r="CF549" s="1171"/>
      <c r="CG549" s="1171"/>
      <c r="CH549" s="1171"/>
      <c r="CI549" s="1171"/>
    </row>
    <row r="550" spans="11:87" ht="12" customHeight="1" x14ac:dyDescent="0.35">
      <c r="K550" s="13"/>
      <c r="L550" s="13"/>
      <c r="M550" s="13"/>
      <c r="N550" s="13"/>
      <c r="O550" s="13"/>
      <c r="P550" s="13"/>
      <c r="Q550" s="13"/>
      <c r="R550" s="13"/>
      <c r="S550" s="13"/>
      <c r="T550" s="13"/>
      <c r="U550" s="13"/>
      <c r="V550" s="13"/>
      <c r="W550" s="61" t="s">
        <v>438</v>
      </c>
      <c r="X550" s="102"/>
      <c r="Y550" s="102"/>
      <c r="Z550" s="102"/>
      <c r="AA550" s="102"/>
      <c r="AB550" s="102"/>
      <c r="AC550" s="102"/>
      <c r="AD550" s="102"/>
      <c r="AE550" s="102"/>
      <c r="AF550" s="1140"/>
      <c r="AG550" s="1140"/>
      <c r="AH550" s="1140"/>
      <c r="AI550" s="1140"/>
      <c r="AJ550" s="1140"/>
      <c r="AK550" s="1140"/>
      <c r="AL550" s="1140"/>
      <c r="AM550" s="1140"/>
      <c r="AN550" s="1140"/>
      <c r="AO550" s="1140"/>
      <c r="AP550" s="1140"/>
      <c r="AQ550" s="1140"/>
      <c r="AR550" s="1140"/>
      <c r="AS550" s="1140"/>
      <c r="AT550" s="1140"/>
      <c r="AU550" s="1140"/>
      <c r="AV550" s="1140"/>
      <c r="AW550" s="1140"/>
      <c r="AX550" s="1140"/>
      <c r="AY550" s="1140"/>
      <c r="AZ550" s="1140"/>
      <c r="BA550" s="1140"/>
      <c r="BB550" s="1140"/>
      <c r="BC550" s="1140"/>
      <c r="BD550" s="1140"/>
      <c r="BE550" s="1140"/>
      <c r="BF550" s="1140"/>
      <c r="BG550" s="1140"/>
      <c r="BH550" s="1140"/>
      <c r="BI550" s="1140"/>
      <c r="BJ550" s="1140"/>
      <c r="BK550" s="1140"/>
      <c r="BL550" s="1140"/>
      <c r="BM550" s="1140"/>
      <c r="BN550" s="1140"/>
      <c r="BO550" s="1140"/>
      <c r="BP550" s="1140"/>
      <c r="BQ550" s="1140"/>
      <c r="BR550" s="1140"/>
      <c r="BS550" s="1140"/>
      <c r="BT550" s="1140"/>
      <c r="BU550" s="1140"/>
      <c r="BV550" s="1140"/>
      <c r="BW550" s="1140"/>
      <c r="BX550" s="1140"/>
      <c r="BY550" s="1140"/>
      <c r="BZ550" s="1140"/>
      <c r="CA550" s="1140"/>
      <c r="CB550" s="1140"/>
      <c r="CC550" s="1140"/>
      <c r="CD550" s="1140"/>
      <c r="CE550" s="1171"/>
      <c r="CF550" s="1171"/>
      <c r="CG550" s="1171"/>
      <c r="CH550" s="1171"/>
      <c r="CI550" s="1171"/>
    </row>
    <row r="551" spans="11:87" ht="12" customHeight="1" thickBot="1" x14ac:dyDescent="0.4">
      <c r="K551" s="13"/>
      <c r="L551" s="13"/>
      <c r="M551" s="13"/>
      <c r="N551" s="13"/>
      <c r="O551" s="13"/>
      <c r="P551" s="13"/>
      <c r="Q551" s="13"/>
      <c r="R551" s="13"/>
      <c r="S551" s="13"/>
      <c r="T551" s="13"/>
      <c r="U551" s="13"/>
      <c r="V551" s="13"/>
      <c r="W551" s="202">
        <f>Input!P107</f>
        <v>0</v>
      </c>
      <c r="X551" s="409">
        <f>Input!Q107</f>
        <v>59</v>
      </c>
      <c r="Y551" s="409">
        <f>Input!R107</f>
        <v>91</v>
      </c>
      <c r="Z551" s="409">
        <f>Input!S107</f>
        <v>121</v>
      </c>
      <c r="AA551" s="409">
        <f>Input!T107</f>
        <v>152</v>
      </c>
      <c r="AB551" s="409">
        <f>Input!U107</f>
        <v>182</v>
      </c>
      <c r="AC551" s="409">
        <f>Input!V107</f>
        <v>213</v>
      </c>
      <c r="AD551" s="409">
        <f>Input!W107</f>
        <v>244</v>
      </c>
      <c r="AE551" s="409">
        <f>Input!X107</f>
        <v>274</v>
      </c>
      <c r="AF551" s="409">
        <f>Input!Y107</f>
        <v>305</v>
      </c>
      <c r="AG551" s="409">
        <f>Input!Z107</f>
        <v>335</v>
      </c>
      <c r="AH551" s="409">
        <f>Input!AA107</f>
        <v>366</v>
      </c>
      <c r="AI551" s="409">
        <f>Input!AB107</f>
        <v>397</v>
      </c>
      <c r="AJ551" s="409">
        <f>Input!AC107</f>
        <v>425</v>
      </c>
      <c r="AK551" s="409">
        <f>Input!AD107</f>
        <v>456</v>
      </c>
      <c r="AL551" s="409">
        <f>Input!AE107</f>
        <v>486</v>
      </c>
      <c r="AM551" s="409">
        <f>Input!AF107</f>
        <v>517</v>
      </c>
      <c r="AN551" s="409">
        <f>Input!AG107</f>
        <v>547</v>
      </c>
      <c r="AO551" s="409">
        <f>Input!AH107</f>
        <v>578</v>
      </c>
      <c r="AP551" s="409">
        <f>Input!AI107</f>
        <v>609</v>
      </c>
      <c r="AQ551" s="409">
        <f>Input!AJ107</f>
        <v>639</v>
      </c>
      <c r="AR551" s="409">
        <f>Input!AK107</f>
        <v>670</v>
      </c>
      <c r="AS551" s="409">
        <f>Input!AL107</f>
        <v>700</v>
      </c>
      <c r="AT551" s="409">
        <f>Input!AM107</f>
        <v>731</v>
      </c>
      <c r="AU551" s="409">
        <f>Input!AN107</f>
        <v>762</v>
      </c>
      <c r="AV551" s="409">
        <f>Input!AO107</f>
        <v>790</v>
      </c>
      <c r="AW551" s="409">
        <f>Input!AP107</f>
        <v>821</v>
      </c>
      <c r="AX551" s="409">
        <f>Input!AQ107</f>
        <v>851</v>
      </c>
      <c r="AY551" s="409">
        <f>Input!AR107</f>
        <v>882</v>
      </c>
      <c r="AZ551" s="409">
        <f>Input!AS107</f>
        <v>912</v>
      </c>
      <c r="BA551" s="409">
        <f>Input!AT107</f>
        <v>943</v>
      </c>
      <c r="BB551" s="409">
        <f>Input!AU107</f>
        <v>974</v>
      </c>
      <c r="BC551" s="409">
        <f>Input!AV107</f>
        <v>1004</v>
      </c>
      <c r="BD551" s="409">
        <f>Input!AW107</f>
        <v>1035</v>
      </c>
      <c r="BE551" s="409">
        <f>Input!AX107</f>
        <v>1065</v>
      </c>
      <c r="BF551" s="409">
        <f>Input!AY107</f>
        <v>1096</v>
      </c>
      <c r="BG551" s="409">
        <f>Input!AZ107</f>
        <v>1127</v>
      </c>
      <c r="BH551" s="409">
        <f>Input!BA107</f>
        <v>1155</v>
      </c>
      <c r="BI551" s="409">
        <f>Input!BB107</f>
        <v>1186</v>
      </c>
      <c r="BJ551" s="409">
        <f>Input!BC107</f>
        <v>1216</v>
      </c>
      <c r="BK551" s="409">
        <f>Input!BD107</f>
        <v>1247</v>
      </c>
      <c r="BL551" s="409">
        <f>Input!BE107</f>
        <v>1277</v>
      </c>
      <c r="BM551" s="409">
        <f>Input!BF107</f>
        <v>1308</v>
      </c>
      <c r="BN551" s="409">
        <f>Input!BG107</f>
        <v>1339</v>
      </c>
      <c r="BO551" s="409">
        <f>Input!BH107</f>
        <v>1369</v>
      </c>
      <c r="BP551" s="409">
        <f>Input!BI107</f>
        <v>1400</v>
      </c>
      <c r="BQ551" s="409">
        <f>Input!BJ107</f>
        <v>1430</v>
      </c>
      <c r="BR551" s="409">
        <f>Input!BK107</f>
        <v>1461</v>
      </c>
      <c r="BS551" s="409">
        <f>Input!BL107</f>
        <v>1492</v>
      </c>
      <c r="BT551" s="409">
        <f>Input!BM107</f>
        <v>1521</v>
      </c>
      <c r="BU551" s="409">
        <f>Input!BN107</f>
        <v>1552</v>
      </c>
      <c r="BV551" s="409">
        <f>Input!BO107</f>
        <v>1582</v>
      </c>
      <c r="BW551" s="409">
        <f>Input!BP107</f>
        <v>1613</v>
      </c>
      <c r="BX551" s="409">
        <f>Input!BQ107</f>
        <v>1643</v>
      </c>
      <c r="BY551" s="409">
        <f>Input!BR107</f>
        <v>1674</v>
      </c>
      <c r="BZ551" s="409">
        <f>Input!BS107</f>
        <v>1705</v>
      </c>
      <c r="CA551" s="409">
        <f>Input!BT107</f>
        <v>1735</v>
      </c>
      <c r="CB551" s="409">
        <f>Input!BU107</f>
        <v>1766</v>
      </c>
      <c r="CC551" s="409">
        <f>Input!BV107</f>
        <v>1796</v>
      </c>
      <c r="CD551" s="409">
        <f>Input!BW107</f>
        <v>1827</v>
      </c>
      <c r="CE551" s="1171"/>
      <c r="CF551" s="1171"/>
      <c r="CG551" s="1171"/>
      <c r="CH551" s="1171"/>
      <c r="CI551" s="1171"/>
    </row>
    <row r="552" spans="11:87" ht="12" customHeight="1" x14ac:dyDescent="0.35">
      <c r="K552" s="13"/>
      <c r="L552" s="13"/>
      <c r="M552" s="13"/>
      <c r="N552" s="13"/>
      <c r="O552" s="13"/>
      <c r="P552" s="13"/>
      <c r="Q552" s="13"/>
      <c r="R552" s="13">
        <v>1</v>
      </c>
      <c r="S552" s="13">
        <f>IF(Input!H108&lt;&gt;"",VLOOKUP(Input!$H108,Infrastructure!$D$70:$F$129,3,FALSE),0)</f>
        <v>0</v>
      </c>
      <c r="T552" s="69">
        <f t="shared" ref="T552:T583" si="368">IF(L499&lt;&gt;"",L499,K499)</f>
        <v>0</v>
      </c>
      <c r="U552" s="725">
        <f>1+Input!L108+Input!K108</f>
        <v>1</v>
      </c>
      <c r="V552" s="84"/>
      <c r="W552" s="62">
        <f>IFERROR(IF(Input!P108=0,0,(Input!P108*$M499*((1+$S499)^VLOOKUP(W$496-$S552+1,$N$576:$P$585,3)))),0)</f>
        <v>0</v>
      </c>
      <c r="X552" s="62">
        <f>IFERROR(IF(Input!Q108=0,0,(Input!Q108*$M499*((1+$S499)^VLOOKUP(X$496-$S552+1,$N$576:$P$585,3)))),0)</f>
        <v>0</v>
      </c>
      <c r="Y552" s="62">
        <f>IFERROR(IF(Input!R108=0,0,(Input!R108*$M499*((1+$S499)^VLOOKUP(Y$496-$S552+1,$N$576:$P$585,3)))),0)</f>
        <v>0</v>
      </c>
      <c r="Z552" s="62">
        <f>IFERROR(IF(Input!S108=0,0,(Input!S108*$M499*((1+$S499)^VLOOKUP(Z$496-$S552+1,$N$576:$P$585,3)))),0)</f>
        <v>0</v>
      </c>
      <c r="AA552" s="62">
        <f>IFERROR(IF(Input!T108=0,0,(Input!T108*$M499*((1+$S499)^VLOOKUP(AA$496-$S552+1,$N$576:$P$585,3)))),0)</f>
        <v>0</v>
      </c>
      <c r="AB552" s="62">
        <f>IFERROR(IF(Input!U108=0,0,(Input!U108*$M499*((1+$S499)^VLOOKUP(AB$496-$S552+1,$N$576:$P$585,3)))),0)</f>
        <v>0</v>
      </c>
      <c r="AC552" s="62">
        <f>IFERROR(IF(Input!V108=0,0,(Input!V108*$M499*((1+$S499)^VLOOKUP(AC$496-$S552+1,$N$576:$P$585,3)))),0)</f>
        <v>0</v>
      </c>
      <c r="AD552" s="62">
        <f>IFERROR(IF(Input!W108=0,0,(Input!W108*$M499*((1+$S499)^VLOOKUP(AD$496-$S552+1,$N$576:$P$585,3)))),0)</f>
        <v>0</v>
      </c>
      <c r="AE552" s="62">
        <f>IFERROR(IF(Input!X108=0,0,(Input!X108*$M499*((1+$S499)^VLOOKUP(AE$496-$S552+1,$N$576:$P$585,3)))),0)</f>
        <v>0</v>
      </c>
      <c r="AF552" s="484">
        <f>IFERROR(IF(Input!Y108=0,0,(Input!Y108*$M499*((1+$S499)^VLOOKUP(AF$496-$S552+1,$N$576:$P$585,3)))),0)</f>
        <v>0</v>
      </c>
      <c r="AG552" s="484">
        <f>IFERROR(IF(Input!Z108=0,0,(Input!Z108*$M499*((1+$S499)^VLOOKUP(AG$496-$S552+1,$N$576:$P$585,3)))),0)</f>
        <v>0</v>
      </c>
      <c r="AH552" s="484">
        <f>IFERROR(IF(Input!AA108=0,0,(Input!AA108*$M499*((1+$S499)^VLOOKUP(AH$496-$S552+1,$N$576:$P$585,3)))),0)</f>
        <v>0</v>
      </c>
      <c r="AI552" s="484">
        <f>IFERROR(IF(Input!AB108=0,0,(Input!AB108*$M499*((1+$S499)^VLOOKUP(AI$496-$S552+1,$N$576:$P$585,3)))),0)</f>
        <v>0</v>
      </c>
      <c r="AJ552" s="484">
        <f>IFERROR(IF(Input!AC108=0,0,(Input!AC108*$M499*((1+$S499)^VLOOKUP(AJ$496-$S552+1,$N$576:$P$585,3)))),0)</f>
        <v>0</v>
      </c>
      <c r="AK552" s="484">
        <f>IFERROR(IF(Input!AD108=0,0,(Input!AD108*$M499*((1+$S499)^VLOOKUP(AK$496-$S552+1,$N$576:$P$585,3)))),0)</f>
        <v>0</v>
      </c>
      <c r="AL552" s="484">
        <f>IFERROR(IF(Input!AE108=0,0,(Input!AE108*$M499*((1+$S499)^VLOOKUP(AL$496-$S552+1,$N$576:$P$585,3)))),0)</f>
        <v>0</v>
      </c>
      <c r="AM552" s="484">
        <f>IFERROR(IF(Input!AF108=0,0,(Input!AF108*$M499*((1+$S499)^VLOOKUP(AM$496-$S552+1,$N$576:$P$585,3)))),0)</f>
        <v>0</v>
      </c>
      <c r="AN552" s="484">
        <f>IFERROR(IF(Input!AG108=0,0,(Input!AG108*$M499*((1+$S499)^VLOOKUP(AN$496-$S552+1,$N$576:$P$585,3)))),0)</f>
        <v>0</v>
      </c>
      <c r="AO552" s="484">
        <f>IFERROR(IF(Input!AH108=0,0,(Input!AH108*$M499*((1+$S499)^VLOOKUP(AO$496-$S552+1,$N$576:$P$585,3)))),0)</f>
        <v>0</v>
      </c>
      <c r="AP552" s="484">
        <f>IFERROR(IF(Input!AI108=0,0,(Input!AI108*$M499*((1+$S499)^VLOOKUP(AP$496-$S552+1,$N$576:$P$585,3)))),0)</f>
        <v>0</v>
      </c>
      <c r="AQ552" s="484">
        <f>IFERROR(IF(Input!AJ108=0,0,(Input!AJ108*$M499*((1+$S499)^VLOOKUP(AQ$496-$S552+1,$N$576:$P$585,3)))),0)</f>
        <v>0</v>
      </c>
      <c r="AR552" s="484">
        <f>IFERROR(IF(Input!AK108=0,0,(Input!AK108*$M499*((1+$S499)^VLOOKUP(AR$496-$S552+1,$N$576:$P$585,3)))),0)</f>
        <v>0</v>
      </c>
      <c r="AS552" s="484">
        <f>IFERROR(IF(Input!AL108=0,0,(Input!AL108*$M499*((1+$S499)^VLOOKUP(AS$496-$S552+1,$N$576:$P$585,3)))),0)</f>
        <v>0</v>
      </c>
      <c r="AT552" s="484">
        <f>IFERROR(IF(Input!AM108=0,0,(Input!AM108*$M499*((1+$S499)^VLOOKUP(AT$496-$S552+1,$N$576:$P$585,3)))),0)</f>
        <v>0</v>
      </c>
      <c r="AU552" s="484">
        <f>IFERROR(IF(Input!AN108=0,0,(Input!AN108*$M499*((1+$S499)^VLOOKUP(AU$496-$S552+1,$N$576:$P$585,3)))),0)</f>
        <v>0</v>
      </c>
      <c r="AV552" s="484">
        <f>IFERROR(IF(Input!AO108=0,0,(Input!AO108*$M499*((1+$S499)^VLOOKUP(AV$496-$S552+1,$N$576:$P$585,3)))),0)</f>
        <v>0</v>
      </c>
      <c r="AW552" s="484">
        <f>IFERROR(IF(Input!AP108=0,0,(Input!AP108*$M499*((1+$S499)^VLOOKUP(AW$496-$S552+1,$N$576:$P$585,3)))),0)</f>
        <v>0</v>
      </c>
      <c r="AX552" s="484">
        <f>IFERROR(IF(Input!AQ108=0,0,(Input!AQ108*$M499*((1+$S499)^VLOOKUP(AX$496-$S552+1,$N$576:$P$585,3)))),0)</f>
        <v>0</v>
      </c>
      <c r="AY552" s="484">
        <f>IFERROR(IF(Input!AR108=0,0,(Input!AR108*$M499*((1+$S499)^VLOOKUP(AY$496-$S552+1,$N$576:$P$585,3)))),0)</f>
        <v>0</v>
      </c>
      <c r="AZ552" s="484">
        <f>IFERROR(IF(Input!AS108=0,0,(Input!AS108*$M499*((1+$S499)^VLOOKUP(AZ$496-$S552+1,$N$576:$P$585,3)))),0)</f>
        <v>0</v>
      </c>
      <c r="BA552" s="484">
        <f>IFERROR(IF(Input!AT108=0,0,(Input!AT108*$M499*((1+$S499)^VLOOKUP(BA$496-$S552+1,$N$576:$P$585,3)))),0)</f>
        <v>0</v>
      </c>
      <c r="BB552" s="484">
        <f>IFERROR(IF(Input!AU108=0,0,(Input!AU108*$M499*((1+$S499)^VLOOKUP(BB$496-$S552+1,$N$576:$P$585,3)))),0)</f>
        <v>0</v>
      </c>
      <c r="BC552" s="484">
        <f>IFERROR(IF(Input!AV108=0,0,(Input!AV108*$M499*((1+$S499)^VLOOKUP(BC$496-$S552+1,$N$576:$P$585,3)))),0)</f>
        <v>0</v>
      </c>
      <c r="BD552" s="484">
        <f>IFERROR(IF(Input!AW108=0,0,(Input!AW108*$M499*((1+$S499)^VLOOKUP(BD$496-$S552+1,$N$576:$P$585,3)))),0)</f>
        <v>0</v>
      </c>
      <c r="BE552" s="484">
        <f>IFERROR(IF(Input!AX108=0,0,(Input!AX108*$M499*((1+$S499)^VLOOKUP(BE$496-$S552+1,$N$576:$P$585,3)))),0)</f>
        <v>0</v>
      </c>
      <c r="BF552" s="484">
        <f>IFERROR(IF(Input!AY108=0,0,(Input!AY108*$M499*((1+$S499)^VLOOKUP(BF$496-$S552+1,$N$576:$P$585,3)))),0)</f>
        <v>0</v>
      </c>
      <c r="BG552" s="484">
        <f>IFERROR(IF(Input!AZ108=0,0,(Input!AZ108*$M499*((1+$S499)^VLOOKUP(BG$496-$S552+1,$N$576:$P$585,3)))),0)</f>
        <v>0</v>
      </c>
      <c r="BH552" s="484">
        <f>IFERROR(IF(Input!BA108=0,0,(Input!BA108*$M499*((1+$S499)^VLOOKUP(BH$496-$S552+1,$N$576:$P$585,3)))),0)</f>
        <v>0</v>
      </c>
      <c r="BI552" s="484">
        <f>IFERROR(IF(Input!BB108=0,0,(Input!BB108*$M499*((1+$S499)^VLOOKUP(BI$496-$S552+1,$N$576:$P$585,3)))),0)</f>
        <v>0</v>
      </c>
      <c r="BJ552" s="484">
        <f>IFERROR(IF(Input!BC108=0,0,(Input!BC108*$M499*((1+$S499)^VLOOKUP(BJ$496-$S552+1,$N$576:$P$585,3)))),0)</f>
        <v>0</v>
      </c>
      <c r="BK552" s="484">
        <f>IFERROR(IF(Input!BD108=0,0,(Input!BD108*$M499*((1+$S499)^VLOOKUP(BK$496-$S552+1,$N$576:$P$585,3)))),0)</f>
        <v>0</v>
      </c>
      <c r="BL552" s="484">
        <f>IFERROR(IF(Input!BE108=0,0,(Input!BE108*$M499*((1+$S499)^VLOOKUP(BL$496-$S552+1,$N$576:$P$585,3)))),0)</f>
        <v>0</v>
      </c>
      <c r="BM552" s="484">
        <f>IFERROR(IF(Input!BF108=0,0,(Input!BF108*$M499*((1+$S499)^VLOOKUP(BM$496-$S552+1,$N$576:$P$585,3)))),0)</f>
        <v>0</v>
      </c>
      <c r="BN552" s="484">
        <f>IFERROR(IF(Input!BG108=0,0,(Input!BG108*$M499*((1+$S499)^VLOOKUP(BN$496-$S552+1,$N$576:$P$585,3)))),0)</f>
        <v>0</v>
      </c>
      <c r="BO552" s="484">
        <f>IFERROR(IF(Input!BH108=0,0,(Input!BH108*$M499*((1+$S499)^VLOOKUP(BO$496-$S552+1,$N$576:$P$585,3)))),0)</f>
        <v>0</v>
      </c>
      <c r="BP552" s="484">
        <f>IFERROR(IF(Input!BI108=0,0,(Input!BI108*$M499*((1+$S499)^VLOOKUP(BP$496-$S552+1,$N$576:$P$585,3)))),0)</f>
        <v>0</v>
      </c>
      <c r="BQ552" s="484">
        <f>IFERROR(IF(Input!BJ108=0,0,(Input!BJ108*$M499*((1+$S499)^VLOOKUP(BQ$496-$S552+1,$N$576:$P$585,3)))),0)</f>
        <v>0</v>
      </c>
      <c r="BR552" s="484">
        <f>IFERROR(IF(Input!BK108=0,0,(Input!BK108*$M499*((1+$S499)^VLOOKUP(BR$496-$S552+1,$N$576:$P$585,3)))),0)</f>
        <v>0</v>
      </c>
      <c r="BS552" s="484">
        <f>IFERROR(IF(Input!BL108=0,0,(Input!BL108*$M499*((1+$S499)^VLOOKUP(BS$496-$S552+1,$N$576:$P$585,3)))),0)</f>
        <v>0</v>
      </c>
      <c r="BT552" s="484">
        <f>IFERROR(IF(Input!BM108=0,0,(Input!BM108*$M499*((1+$S499)^VLOOKUP(BT$496-$S552+1,$N$576:$P$585,3)))),0)</f>
        <v>0</v>
      </c>
      <c r="BU552" s="484">
        <f>IFERROR(IF(Input!BN108=0,0,(Input!BN108*$M499*((1+$S499)^VLOOKUP(BU$496-$S552+1,$N$576:$P$585,3)))),0)</f>
        <v>0</v>
      </c>
      <c r="BV552" s="484">
        <f>IFERROR(IF(Input!BO108=0,0,(Input!BO108*$M499*((1+$S499)^VLOOKUP(BV$496-$S552+1,$N$576:$P$585,3)))),0)</f>
        <v>0</v>
      </c>
      <c r="BW552" s="484">
        <f>IFERROR(IF(Input!BP108=0,0,(Input!BP108*$M499*((1+$S499)^VLOOKUP(BW$496-$S552+1,$N$576:$P$585,3)))),0)</f>
        <v>0</v>
      </c>
      <c r="BX552" s="484">
        <f>IFERROR(IF(Input!BQ108=0,0,(Input!BQ108*$M499*((1+$S499)^VLOOKUP(BX$496-$S552+1,$N$576:$P$585,3)))),0)</f>
        <v>0</v>
      </c>
      <c r="BY552" s="484">
        <f>IFERROR(IF(Input!BR108=0,0,(Input!BR108*$M499*((1+$S499)^VLOOKUP(BY$496-$S552+1,$N$576:$P$585,3)))),0)</f>
        <v>0</v>
      </c>
      <c r="BZ552" s="484">
        <f>IFERROR(IF(Input!BS108=0,0,(Input!BS108*$M499*((1+$S499)^VLOOKUP(BZ$496-$S552+1,$N$576:$P$585,3)))),0)</f>
        <v>0</v>
      </c>
      <c r="CA552" s="484">
        <f>IFERROR(IF(Input!BT108=0,0,(Input!BT108*$M499*((1+$S499)^VLOOKUP(CA$496-$S552+1,$N$576:$P$585,3)))),0)</f>
        <v>0</v>
      </c>
      <c r="CB552" s="484">
        <f>IFERROR(IF(Input!BU108=0,0,(Input!BU108*$M499*((1+$S499)^VLOOKUP(CB$496-$S552+1,$N$576:$P$585,3)))),0)</f>
        <v>0</v>
      </c>
      <c r="CC552" s="484">
        <f>IFERROR(IF(Input!BV108=0,0,(Input!BV108*$M499*((1+$S499)^VLOOKUP(CC$496-$S552+1,$N$576:$P$585,3)))),0)</f>
        <v>0</v>
      </c>
      <c r="CD552" s="484">
        <f>IFERROR(IF(Input!BW108=0,0,(Input!BW108*$M499*((1+$S499)^VLOOKUP(CD$496-$S552+1,$N$576:$P$585,3)))),0)</f>
        <v>0</v>
      </c>
      <c r="CE552" s="1171"/>
      <c r="CF552" s="1171"/>
      <c r="CG552" s="1171"/>
      <c r="CH552" s="1171"/>
      <c r="CI552" s="1171"/>
    </row>
    <row r="553" spans="11:87" ht="12" customHeight="1" x14ac:dyDescent="0.35">
      <c r="K553" s="13"/>
      <c r="L553" s="13"/>
      <c r="M553" s="13"/>
      <c r="N553" s="13"/>
      <c r="O553" s="13"/>
      <c r="P553" s="13"/>
      <c r="Q553" s="13"/>
      <c r="R553" s="13">
        <v>2</v>
      </c>
      <c r="S553" s="13">
        <f>IF(Input!H109&lt;&gt;"",VLOOKUP(Input!$H109,Infrastructure!$D$70:$F$129,3,FALSE),0)</f>
        <v>0</v>
      </c>
      <c r="T553" s="69">
        <f t="shared" si="368"/>
        <v>0</v>
      </c>
      <c r="U553" s="725">
        <f>1+Input!L109+Input!K109</f>
        <v>1</v>
      </c>
      <c r="V553" s="84"/>
      <c r="W553" s="62">
        <f>IFERROR(IF(Input!P109=0,0,(Input!P109*$M500*((1+$S500)^VLOOKUP(W$496-$S553+1,$N$576:$P$585,3)))),0)</f>
        <v>0</v>
      </c>
      <c r="X553" s="62">
        <f>IFERROR(IF(Input!Q109=0,0,(Input!Q109*$M500*((1+$S500)^VLOOKUP(X$496-$S553+1,$N$576:$P$585,3)))),0)</f>
        <v>0</v>
      </c>
      <c r="Y553" s="62">
        <f>IFERROR(IF(Input!R109=0,0,(Input!R109*$M500*((1+$S500)^VLOOKUP(Y$496-$S553+1,$N$576:$P$585,3)))),0)</f>
        <v>0</v>
      </c>
      <c r="Z553" s="62">
        <f>IFERROR(IF(Input!S109=0,0,(Input!S109*$M500*((1+$S500)^VLOOKUP(Z$496-$S553+1,$N$576:$P$585,3)))),0)</f>
        <v>0</v>
      </c>
      <c r="AA553" s="62">
        <f>IFERROR(IF(Input!T109=0,0,(Input!T109*$M500*((1+$S500)^VLOOKUP(AA$496-$S553+1,$N$576:$P$585,3)))),0)</f>
        <v>0</v>
      </c>
      <c r="AB553" s="62">
        <f>IFERROR(IF(Input!U109=0,0,(Input!U109*$M500*((1+$S500)^VLOOKUP(AB$496-$S553+1,$N$576:$P$585,3)))),0)</f>
        <v>0</v>
      </c>
      <c r="AC553" s="62">
        <f>IFERROR(IF(Input!V109=0,0,(Input!V109*$M500*((1+$S500)^VLOOKUP(AC$496-$S553+1,$N$576:$P$585,3)))),0)</f>
        <v>0</v>
      </c>
      <c r="AD553" s="62">
        <f>IFERROR(IF(Input!W109=0,0,(Input!W109*$M500*((1+$S500)^VLOOKUP(AD$496-$S553+1,$N$576:$P$585,3)))),0)</f>
        <v>0</v>
      </c>
      <c r="AE553" s="62">
        <f>IFERROR(IF(Input!X109=0,0,(Input!X109*$M500*((1+$S500)^VLOOKUP(AE$496-$S553+1,$N$576:$P$585,3)))),0)</f>
        <v>0</v>
      </c>
      <c r="AF553" s="484">
        <f>IFERROR(IF(Input!Y109=0,0,(Input!Y109*$M500*((1+$S500)^VLOOKUP(AF$496-$S553+1,$N$576:$P$585,3)))),0)</f>
        <v>0</v>
      </c>
      <c r="AG553" s="484">
        <f>IFERROR(IF(Input!Z109=0,0,(Input!Z109*$M500*((1+$S500)^VLOOKUP(AG$496-$S553+1,$N$576:$P$585,3)))),0)</f>
        <v>0</v>
      </c>
      <c r="AH553" s="484">
        <f>IFERROR(IF(Input!AA109=0,0,(Input!AA109*$M500*((1+$S500)^VLOOKUP(AH$496-$S553+1,$N$576:$P$585,3)))),0)</f>
        <v>0</v>
      </c>
      <c r="AI553" s="484">
        <f>IFERROR(IF(Input!AB109=0,0,(Input!AB109*$M500*((1+$S500)^VLOOKUP(AI$496-$S553+1,$N$576:$P$585,3)))),0)</f>
        <v>0</v>
      </c>
      <c r="AJ553" s="484">
        <f>IFERROR(IF(Input!AC109=0,0,(Input!AC109*$M500*((1+$S500)^VLOOKUP(AJ$496-$S553+1,$N$576:$P$585,3)))),0)</f>
        <v>0</v>
      </c>
      <c r="AK553" s="484">
        <f>IFERROR(IF(Input!AD109=0,0,(Input!AD109*$M500*((1+$S500)^VLOOKUP(AK$496-$S553+1,$N$576:$P$585,3)))),0)</f>
        <v>0</v>
      </c>
      <c r="AL553" s="484">
        <f>IFERROR(IF(Input!AE109=0,0,(Input!AE109*$M500*((1+$S500)^VLOOKUP(AL$496-$S553+1,$N$576:$P$585,3)))),0)</f>
        <v>0</v>
      </c>
      <c r="AM553" s="484">
        <f>IFERROR(IF(Input!AF109=0,0,(Input!AF109*$M500*((1+$S500)^VLOOKUP(AM$496-$S553+1,$N$576:$P$585,3)))),0)</f>
        <v>0</v>
      </c>
      <c r="AN553" s="484">
        <f>IFERROR(IF(Input!AG109=0,0,(Input!AG109*$M500*((1+$S500)^VLOOKUP(AN$496-$S553+1,$N$576:$P$585,3)))),0)</f>
        <v>0</v>
      </c>
      <c r="AO553" s="484">
        <f>IFERROR(IF(Input!AH109=0,0,(Input!AH109*$M500*((1+$S500)^VLOOKUP(AO$496-$S553+1,$N$576:$P$585,3)))),0)</f>
        <v>0</v>
      </c>
      <c r="AP553" s="484">
        <f>IFERROR(IF(Input!AI109=0,0,(Input!AI109*$M500*((1+$S500)^VLOOKUP(AP$496-$S553+1,$N$576:$P$585,3)))),0)</f>
        <v>0</v>
      </c>
      <c r="AQ553" s="484">
        <f>IFERROR(IF(Input!AJ109=0,0,(Input!AJ109*$M500*((1+$S500)^VLOOKUP(AQ$496-$S553+1,$N$576:$P$585,3)))),0)</f>
        <v>0</v>
      </c>
      <c r="AR553" s="484">
        <f>IFERROR(IF(Input!AK109=0,0,(Input!AK109*$M500*((1+$S500)^VLOOKUP(AR$496-$S553+1,$N$576:$P$585,3)))),0)</f>
        <v>0</v>
      </c>
      <c r="AS553" s="484">
        <f>IFERROR(IF(Input!AL109=0,0,(Input!AL109*$M500*((1+$S500)^VLOOKUP(AS$496-$S553+1,$N$576:$P$585,3)))),0)</f>
        <v>0</v>
      </c>
      <c r="AT553" s="484">
        <f>IFERROR(IF(Input!AM109=0,0,(Input!AM109*$M500*((1+$S500)^VLOOKUP(AT$496-$S553+1,$N$576:$P$585,3)))),0)</f>
        <v>0</v>
      </c>
      <c r="AU553" s="484">
        <f>IFERROR(IF(Input!AN109=0,0,(Input!AN109*$M500*((1+$S500)^VLOOKUP(AU$496-$S553+1,$N$576:$P$585,3)))),0)</f>
        <v>0</v>
      </c>
      <c r="AV553" s="484">
        <f>IFERROR(IF(Input!AO109=0,0,(Input!AO109*$M500*((1+$S500)^VLOOKUP(AV$496-$S553+1,$N$576:$P$585,3)))),0)</f>
        <v>0</v>
      </c>
      <c r="AW553" s="484">
        <f>IFERROR(IF(Input!AP109=0,0,(Input!AP109*$M500*((1+$S500)^VLOOKUP(AW$496-$S553+1,$N$576:$P$585,3)))),0)</f>
        <v>0</v>
      </c>
      <c r="AX553" s="484">
        <f>IFERROR(IF(Input!AQ109=0,0,(Input!AQ109*$M500*((1+$S500)^VLOOKUP(AX$496-$S553+1,$N$576:$P$585,3)))),0)</f>
        <v>0</v>
      </c>
      <c r="AY553" s="484">
        <f>IFERROR(IF(Input!AR109=0,0,(Input!AR109*$M500*((1+$S500)^VLOOKUP(AY$496-$S553+1,$N$576:$P$585,3)))),0)</f>
        <v>0</v>
      </c>
      <c r="AZ553" s="484">
        <f>IFERROR(IF(Input!AS109=0,0,(Input!AS109*$M500*((1+$S500)^VLOOKUP(AZ$496-$S553+1,$N$576:$P$585,3)))),0)</f>
        <v>0</v>
      </c>
      <c r="BA553" s="484">
        <f>IFERROR(IF(Input!AT109=0,0,(Input!AT109*$M500*((1+$S500)^VLOOKUP(BA$496-$S553+1,$N$576:$P$585,3)))),0)</f>
        <v>0</v>
      </c>
      <c r="BB553" s="484">
        <f>IFERROR(IF(Input!AU109=0,0,(Input!AU109*$M500*((1+$S500)^VLOOKUP(BB$496-$S553+1,$N$576:$P$585,3)))),0)</f>
        <v>0</v>
      </c>
      <c r="BC553" s="484">
        <f>IFERROR(IF(Input!AV109=0,0,(Input!AV109*$M500*((1+$S500)^VLOOKUP(BC$496-$S553+1,$N$576:$P$585,3)))),0)</f>
        <v>0</v>
      </c>
      <c r="BD553" s="484">
        <f>IFERROR(IF(Input!AW109=0,0,(Input!AW109*$M500*((1+$S500)^VLOOKUP(BD$496-$S553+1,$N$576:$P$585,3)))),0)</f>
        <v>0</v>
      </c>
      <c r="BE553" s="484">
        <f>IFERROR(IF(Input!AX109=0,0,(Input!AX109*$M500*((1+$S500)^VLOOKUP(BE$496-$S553+1,$N$576:$P$585,3)))),0)</f>
        <v>0</v>
      </c>
      <c r="BF553" s="484">
        <f>IFERROR(IF(Input!AY109=0,0,(Input!AY109*$M500*((1+$S500)^VLOOKUP(BF$496-$S553+1,$N$576:$P$585,3)))),0)</f>
        <v>0</v>
      </c>
      <c r="BG553" s="484">
        <f>IFERROR(IF(Input!AZ109=0,0,(Input!AZ109*$M500*((1+$S500)^VLOOKUP(BG$496-$S553+1,$N$576:$P$585,3)))),0)</f>
        <v>0</v>
      </c>
      <c r="BH553" s="484">
        <f>IFERROR(IF(Input!BA109=0,0,(Input!BA109*$M500*((1+$S500)^VLOOKUP(BH$496-$S553+1,$N$576:$P$585,3)))),0)</f>
        <v>0</v>
      </c>
      <c r="BI553" s="484">
        <f>IFERROR(IF(Input!BB109=0,0,(Input!BB109*$M500*((1+$S500)^VLOOKUP(BI$496-$S553+1,$N$576:$P$585,3)))),0)</f>
        <v>0</v>
      </c>
      <c r="BJ553" s="484">
        <f>IFERROR(IF(Input!BC109=0,0,(Input!BC109*$M500*((1+$S500)^VLOOKUP(BJ$496-$S553+1,$N$576:$P$585,3)))),0)</f>
        <v>0</v>
      </c>
      <c r="BK553" s="484">
        <f>IFERROR(IF(Input!BD109=0,0,(Input!BD109*$M500*((1+$S500)^VLOOKUP(BK$496-$S553+1,$N$576:$P$585,3)))),0)</f>
        <v>0</v>
      </c>
      <c r="BL553" s="484">
        <f>IFERROR(IF(Input!BE109=0,0,(Input!BE109*$M500*((1+$S500)^VLOOKUP(BL$496-$S553+1,$N$576:$P$585,3)))),0)</f>
        <v>0</v>
      </c>
      <c r="BM553" s="484">
        <f>IFERROR(IF(Input!BF109=0,0,(Input!BF109*$M500*((1+$S500)^VLOOKUP(BM$496-$S553+1,$N$576:$P$585,3)))),0)</f>
        <v>0</v>
      </c>
      <c r="BN553" s="484">
        <f>IFERROR(IF(Input!BG109=0,0,(Input!BG109*$M500*((1+$S500)^VLOOKUP(BN$496-$S553+1,$N$576:$P$585,3)))),0)</f>
        <v>0</v>
      </c>
      <c r="BO553" s="484">
        <f>IFERROR(IF(Input!BH109=0,0,(Input!BH109*$M500*((1+$S500)^VLOOKUP(BO$496-$S553+1,$N$576:$P$585,3)))),0)</f>
        <v>0</v>
      </c>
      <c r="BP553" s="484">
        <f>IFERROR(IF(Input!BI109=0,0,(Input!BI109*$M500*((1+$S500)^VLOOKUP(BP$496-$S553+1,$N$576:$P$585,3)))),0)</f>
        <v>0</v>
      </c>
      <c r="BQ553" s="484">
        <f>IFERROR(IF(Input!BJ109=0,0,(Input!BJ109*$M500*((1+$S500)^VLOOKUP(BQ$496-$S553+1,$N$576:$P$585,3)))),0)</f>
        <v>0</v>
      </c>
      <c r="BR553" s="484">
        <f>IFERROR(IF(Input!BK109=0,0,(Input!BK109*$M500*((1+$S500)^VLOOKUP(BR$496-$S553+1,$N$576:$P$585,3)))),0)</f>
        <v>0</v>
      </c>
      <c r="BS553" s="484">
        <f>IFERROR(IF(Input!BL109=0,0,(Input!BL109*$M500*((1+$S500)^VLOOKUP(BS$496-$S553+1,$N$576:$P$585,3)))),0)</f>
        <v>0</v>
      </c>
      <c r="BT553" s="484">
        <f>IFERROR(IF(Input!BM109=0,0,(Input!BM109*$M500*((1+$S500)^VLOOKUP(BT$496-$S553+1,$N$576:$P$585,3)))),0)</f>
        <v>0</v>
      </c>
      <c r="BU553" s="484">
        <f>IFERROR(IF(Input!BN109=0,0,(Input!BN109*$M500*((1+$S500)^VLOOKUP(BU$496-$S553+1,$N$576:$P$585,3)))),0)</f>
        <v>0</v>
      </c>
      <c r="BV553" s="484">
        <f>IFERROR(IF(Input!BO109=0,0,(Input!BO109*$M500*((1+$S500)^VLOOKUP(BV$496-$S553+1,$N$576:$P$585,3)))),0)</f>
        <v>0</v>
      </c>
      <c r="BW553" s="484">
        <f>IFERROR(IF(Input!BP109=0,0,(Input!BP109*$M500*((1+$S500)^VLOOKUP(BW$496-$S553+1,$N$576:$P$585,3)))),0)</f>
        <v>0</v>
      </c>
      <c r="BX553" s="484">
        <f>IFERROR(IF(Input!BQ109=0,0,(Input!BQ109*$M500*((1+$S500)^VLOOKUP(BX$496-$S553+1,$N$576:$P$585,3)))),0)</f>
        <v>0</v>
      </c>
      <c r="BY553" s="484">
        <f>IFERROR(IF(Input!BR109=0,0,(Input!BR109*$M500*((1+$S500)^VLOOKUP(BY$496-$S553+1,$N$576:$P$585,3)))),0)</f>
        <v>0</v>
      </c>
      <c r="BZ553" s="484">
        <f>IFERROR(IF(Input!BS109=0,0,(Input!BS109*$M500*((1+$S500)^VLOOKUP(BZ$496-$S553+1,$N$576:$P$585,3)))),0)</f>
        <v>0</v>
      </c>
      <c r="CA553" s="484">
        <f>IFERROR(IF(Input!BT109=0,0,(Input!BT109*$M500*((1+$S500)^VLOOKUP(CA$496-$S553+1,$N$576:$P$585,3)))),0)</f>
        <v>0</v>
      </c>
      <c r="CB553" s="484">
        <f>IFERROR(IF(Input!BU109=0,0,(Input!BU109*$M500*((1+$S500)^VLOOKUP(CB$496-$S553+1,$N$576:$P$585,3)))),0)</f>
        <v>0</v>
      </c>
      <c r="CC553" s="484">
        <f>IFERROR(IF(Input!BV109=0,0,(Input!BV109*$M500*((1+$S500)^VLOOKUP(CC$496-$S553+1,$N$576:$P$585,3)))),0)</f>
        <v>0</v>
      </c>
      <c r="CD553" s="484">
        <f>IFERROR(IF(Input!BW109=0,0,(Input!BW109*$M500*((1+$S500)^VLOOKUP(CD$496-$S553+1,$N$576:$P$585,3)))),0)</f>
        <v>0</v>
      </c>
      <c r="CE553" s="1171"/>
      <c r="CF553" s="1171"/>
      <c r="CG553" s="1171"/>
      <c r="CH553" s="1171"/>
      <c r="CI553" s="1171"/>
    </row>
    <row r="554" spans="11:87" ht="12" customHeight="1" x14ac:dyDescent="0.35">
      <c r="K554" s="13"/>
      <c r="L554" s="40"/>
      <c r="M554" s="40"/>
      <c r="N554" s="40"/>
      <c r="O554" s="40"/>
      <c r="P554" s="40"/>
      <c r="Q554" s="40"/>
      <c r="R554" s="40">
        <v>3</v>
      </c>
      <c r="S554" s="13">
        <f>IF(Input!H110&lt;&gt;"",VLOOKUP(Input!$H110,Infrastructure!$D$70:$F$129,3,FALSE),0)</f>
        <v>0</v>
      </c>
      <c r="T554" s="69">
        <f t="shared" si="368"/>
        <v>0</v>
      </c>
      <c r="U554" s="725">
        <f>1+Input!L110+Input!K110</f>
        <v>1</v>
      </c>
      <c r="V554" s="84"/>
      <c r="W554" s="62">
        <f>IFERROR(IF(Input!P110=0,0,(Input!P110*$M501*((1+$S501)^VLOOKUP(W$496-$S554+1,$N$576:$P$585,3)))),0)</f>
        <v>0</v>
      </c>
      <c r="X554" s="62">
        <f>IFERROR(IF(Input!Q110=0,0,(Input!Q110*$M501*((1+$S501)^VLOOKUP(X$496-$S554+1,$N$576:$P$585,3)))),0)</f>
        <v>0</v>
      </c>
      <c r="Y554" s="62">
        <f>IFERROR(IF(Input!R110=0,0,(Input!R110*$M501*((1+$S501)^VLOOKUP(Y$496-$S554+1,$N$576:$P$585,3)))),0)</f>
        <v>0</v>
      </c>
      <c r="Z554" s="62">
        <f>IFERROR(IF(Input!S110=0,0,(Input!S110*$M501*((1+$S501)^VLOOKUP(Z$496-$S554+1,$N$576:$P$585,3)))),0)</f>
        <v>0</v>
      </c>
      <c r="AA554" s="62">
        <f>IFERROR(IF(Input!T110=0,0,(Input!T110*$M501*((1+$S501)^VLOOKUP(AA$496-$S554+1,$N$576:$P$585,3)))),0)</f>
        <v>0</v>
      </c>
      <c r="AB554" s="62">
        <f>IFERROR(IF(Input!U110=0,0,(Input!U110*$M501*((1+$S501)^VLOOKUP(AB$496-$S554+1,$N$576:$P$585,3)))),0)</f>
        <v>0</v>
      </c>
      <c r="AC554" s="62">
        <f>IFERROR(IF(Input!V110=0,0,(Input!V110*$M501*((1+$S501)^VLOOKUP(AC$496-$S554+1,$N$576:$P$585,3)))),0)</f>
        <v>0</v>
      </c>
      <c r="AD554" s="62">
        <f>IFERROR(IF(Input!W110=0,0,(Input!W110*$M501*((1+$S501)^VLOOKUP(AD$496-$S554+1,$N$576:$P$585,3)))),0)</f>
        <v>0</v>
      </c>
      <c r="AE554" s="62">
        <f>IFERROR(IF(Input!X110=0,0,(Input!X110*$M501*((1+$S501)^VLOOKUP(AE$496-$S554+1,$N$576:$P$585,3)))),0)</f>
        <v>0</v>
      </c>
      <c r="AF554" s="484">
        <f>IFERROR(IF(Input!Y110=0,0,(Input!Y110*$M501*((1+$S501)^VLOOKUP(AF$496-$S554+1,$N$576:$P$585,3)))),0)</f>
        <v>0</v>
      </c>
      <c r="AG554" s="484">
        <f>IFERROR(IF(Input!Z110=0,0,(Input!Z110*$M501*((1+$S501)^VLOOKUP(AG$496-$S554+1,$N$576:$P$585,3)))),0)</f>
        <v>0</v>
      </c>
      <c r="AH554" s="484">
        <f>IFERROR(IF(Input!AA110=0,0,(Input!AA110*$M501*((1+$S501)^VLOOKUP(AH$496-$S554+1,$N$576:$P$585,3)))),0)</f>
        <v>0</v>
      </c>
      <c r="AI554" s="484">
        <f>IFERROR(IF(Input!AB110=0,0,(Input!AB110*$M501*((1+$S501)^VLOOKUP(AI$496-$S554+1,$N$576:$P$585,3)))),0)</f>
        <v>0</v>
      </c>
      <c r="AJ554" s="484">
        <f>IFERROR(IF(Input!AC110=0,0,(Input!AC110*$M501*((1+$S501)^VLOOKUP(AJ$496-$S554+1,$N$576:$P$585,3)))),0)</f>
        <v>0</v>
      </c>
      <c r="AK554" s="484">
        <f>IFERROR(IF(Input!AD110=0,0,(Input!AD110*$M501*((1+$S501)^VLOOKUP(AK$496-$S554+1,$N$576:$P$585,3)))),0)</f>
        <v>0</v>
      </c>
      <c r="AL554" s="484">
        <f>IFERROR(IF(Input!AE110=0,0,(Input!AE110*$M501*((1+$S501)^VLOOKUP(AL$496-$S554+1,$N$576:$P$585,3)))),0)</f>
        <v>0</v>
      </c>
      <c r="AM554" s="484">
        <f>IFERROR(IF(Input!AF110=0,0,(Input!AF110*$M501*((1+$S501)^VLOOKUP(AM$496-$S554+1,$N$576:$P$585,3)))),0)</f>
        <v>0</v>
      </c>
      <c r="AN554" s="484">
        <f>IFERROR(IF(Input!AG110=0,0,(Input!AG110*$M501*((1+$S501)^VLOOKUP(AN$496-$S554+1,$N$576:$P$585,3)))),0)</f>
        <v>0</v>
      </c>
      <c r="AO554" s="484">
        <f>IFERROR(IF(Input!AH110=0,0,(Input!AH110*$M501*((1+$S501)^VLOOKUP(AO$496-$S554+1,$N$576:$P$585,3)))),0)</f>
        <v>0</v>
      </c>
      <c r="AP554" s="484">
        <f>IFERROR(IF(Input!AI110=0,0,(Input!AI110*$M501*((1+$S501)^VLOOKUP(AP$496-$S554+1,$N$576:$P$585,3)))),0)</f>
        <v>0</v>
      </c>
      <c r="AQ554" s="484">
        <f>IFERROR(IF(Input!AJ110=0,0,(Input!AJ110*$M501*((1+$S501)^VLOOKUP(AQ$496-$S554+1,$N$576:$P$585,3)))),0)</f>
        <v>0</v>
      </c>
      <c r="AR554" s="484">
        <f>IFERROR(IF(Input!AK110=0,0,(Input!AK110*$M501*((1+$S501)^VLOOKUP(AR$496-$S554+1,$N$576:$P$585,3)))),0)</f>
        <v>0</v>
      </c>
      <c r="AS554" s="484">
        <f>IFERROR(IF(Input!AL110=0,0,(Input!AL110*$M501*((1+$S501)^VLOOKUP(AS$496-$S554+1,$N$576:$P$585,3)))),0)</f>
        <v>0</v>
      </c>
      <c r="AT554" s="484">
        <f>IFERROR(IF(Input!AM110=0,0,(Input!AM110*$M501*((1+$S501)^VLOOKUP(AT$496-$S554+1,$N$576:$P$585,3)))),0)</f>
        <v>0</v>
      </c>
      <c r="AU554" s="484">
        <f>IFERROR(IF(Input!AN110=0,0,(Input!AN110*$M501*((1+$S501)^VLOOKUP(AU$496-$S554+1,$N$576:$P$585,3)))),0)</f>
        <v>0</v>
      </c>
      <c r="AV554" s="484">
        <f>IFERROR(IF(Input!AO110=0,0,(Input!AO110*$M501*((1+$S501)^VLOOKUP(AV$496-$S554+1,$N$576:$P$585,3)))),0)</f>
        <v>0</v>
      </c>
      <c r="AW554" s="484">
        <f>IFERROR(IF(Input!AP110=0,0,(Input!AP110*$M501*((1+$S501)^VLOOKUP(AW$496-$S554+1,$N$576:$P$585,3)))),0)</f>
        <v>0</v>
      </c>
      <c r="AX554" s="484">
        <f>IFERROR(IF(Input!AQ110=0,0,(Input!AQ110*$M501*((1+$S501)^VLOOKUP(AX$496-$S554+1,$N$576:$P$585,3)))),0)</f>
        <v>0</v>
      </c>
      <c r="AY554" s="484">
        <f>IFERROR(IF(Input!AR110=0,0,(Input!AR110*$M501*((1+$S501)^VLOOKUP(AY$496-$S554+1,$N$576:$P$585,3)))),0)</f>
        <v>0</v>
      </c>
      <c r="AZ554" s="484">
        <f>IFERROR(IF(Input!AS110=0,0,(Input!AS110*$M501*((1+$S501)^VLOOKUP(AZ$496-$S554+1,$N$576:$P$585,3)))),0)</f>
        <v>0</v>
      </c>
      <c r="BA554" s="484">
        <f>IFERROR(IF(Input!AT110=0,0,(Input!AT110*$M501*((1+$S501)^VLOOKUP(BA$496-$S554+1,$N$576:$P$585,3)))),0)</f>
        <v>0</v>
      </c>
      <c r="BB554" s="484">
        <f>IFERROR(IF(Input!AU110=0,0,(Input!AU110*$M501*((1+$S501)^VLOOKUP(BB$496-$S554+1,$N$576:$P$585,3)))),0)</f>
        <v>0</v>
      </c>
      <c r="BC554" s="484">
        <f>IFERROR(IF(Input!AV110=0,0,(Input!AV110*$M501*((1+$S501)^VLOOKUP(BC$496-$S554+1,$N$576:$P$585,3)))),0)</f>
        <v>0</v>
      </c>
      <c r="BD554" s="484">
        <f>IFERROR(IF(Input!AW110=0,0,(Input!AW110*$M501*((1+$S501)^VLOOKUP(BD$496-$S554+1,$N$576:$P$585,3)))),0)</f>
        <v>0</v>
      </c>
      <c r="BE554" s="484">
        <f>IFERROR(IF(Input!AX110=0,0,(Input!AX110*$M501*((1+$S501)^VLOOKUP(BE$496-$S554+1,$N$576:$P$585,3)))),0)</f>
        <v>0</v>
      </c>
      <c r="BF554" s="484">
        <f>IFERROR(IF(Input!AY110=0,0,(Input!AY110*$M501*((1+$S501)^VLOOKUP(BF$496-$S554+1,$N$576:$P$585,3)))),0)</f>
        <v>0</v>
      </c>
      <c r="BG554" s="484">
        <f>IFERROR(IF(Input!AZ110=0,0,(Input!AZ110*$M501*((1+$S501)^VLOOKUP(BG$496-$S554+1,$N$576:$P$585,3)))),0)</f>
        <v>0</v>
      </c>
      <c r="BH554" s="484">
        <f>IFERROR(IF(Input!BA110=0,0,(Input!BA110*$M501*((1+$S501)^VLOOKUP(BH$496-$S554+1,$N$576:$P$585,3)))),0)</f>
        <v>0</v>
      </c>
      <c r="BI554" s="484">
        <f>IFERROR(IF(Input!BB110=0,0,(Input!BB110*$M501*((1+$S501)^VLOOKUP(BI$496-$S554+1,$N$576:$P$585,3)))),0)</f>
        <v>0</v>
      </c>
      <c r="BJ554" s="484">
        <f>IFERROR(IF(Input!BC110=0,0,(Input!BC110*$M501*((1+$S501)^VLOOKUP(BJ$496-$S554+1,$N$576:$P$585,3)))),0)</f>
        <v>0</v>
      </c>
      <c r="BK554" s="484">
        <f>IFERROR(IF(Input!BD110=0,0,(Input!BD110*$M501*((1+$S501)^VLOOKUP(BK$496-$S554+1,$N$576:$P$585,3)))),0)</f>
        <v>0</v>
      </c>
      <c r="BL554" s="484">
        <f>IFERROR(IF(Input!BE110=0,0,(Input!BE110*$M501*((1+$S501)^VLOOKUP(BL$496-$S554+1,$N$576:$P$585,3)))),0)</f>
        <v>0</v>
      </c>
      <c r="BM554" s="484">
        <f>IFERROR(IF(Input!BF110=0,0,(Input!BF110*$M501*((1+$S501)^VLOOKUP(BM$496-$S554+1,$N$576:$P$585,3)))),0)</f>
        <v>0</v>
      </c>
      <c r="BN554" s="484">
        <f>IFERROR(IF(Input!BG110=0,0,(Input!BG110*$M501*((1+$S501)^VLOOKUP(BN$496-$S554+1,$N$576:$P$585,3)))),0)</f>
        <v>0</v>
      </c>
      <c r="BO554" s="484">
        <f>IFERROR(IF(Input!BH110=0,0,(Input!BH110*$M501*((1+$S501)^VLOOKUP(BO$496-$S554+1,$N$576:$P$585,3)))),0)</f>
        <v>0</v>
      </c>
      <c r="BP554" s="484">
        <f>IFERROR(IF(Input!BI110=0,0,(Input!BI110*$M501*((1+$S501)^VLOOKUP(BP$496-$S554+1,$N$576:$P$585,3)))),0)</f>
        <v>0</v>
      </c>
      <c r="BQ554" s="484">
        <f>IFERROR(IF(Input!BJ110=0,0,(Input!BJ110*$M501*((1+$S501)^VLOOKUP(BQ$496-$S554+1,$N$576:$P$585,3)))),0)</f>
        <v>0</v>
      </c>
      <c r="BR554" s="484">
        <f>IFERROR(IF(Input!BK110=0,0,(Input!BK110*$M501*((1+$S501)^VLOOKUP(BR$496-$S554+1,$N$576:$P$585,3)))),0)</f>
        <v>0</v>
      </c>
      <c r="BS554" s="484">
        <f>IFERROR(IF(Input!BL110=0,0,(Input!BL110*$M501*((1+$S501)^VLOOKUP(BS$496-$S554+1,$N$576:$P$585,3)))),0)</f>
        <v>0</v>
      </c>
      <c r="BT554" s="484">
        <f>IFERROR(IF(Input!BM110=0,0,(Input!BM110*$M501*((1+$S501)^VLOOKUP(BT$496-$S554+1,$N$576:$P$585,3)))),0)</f>
        <v>0</v>
      </c>
      <c r="BU554" s="484">
        <f>IFERROR(IF(Input!BN110=0,0,(Input!BN110*$M501*((1+$S501)^VLOOKUP(BU$496-$S554+1,$N$576:$P$585,3)))),0)</f>
        <v>0</v>
      </c>
      <c r="BV554" s="484">
        <f>IFERROR(IF(Input!BO110=0,0,(Input!BO110*$M501*((1+$S501)^VLOOKUP(BV$496-$S554+1,$N$576:$P$585,3)))),0)</f>
        <v>0</v>
      </c>
      <c r="BW554" s="484">
        <f>IFERROR(IF(Input!BP110=0,0,(Input!BP110*$M501*((1+$S501)^VLOOKUP(BW$496-$S554+1,$N$576:$P$585,3)))),0)</f>
        <v>0</v>
      </c>
      <c r="BX554" s="484">
        <f>IFERROR(IF(Input!BQ110=0,0,(Input!BQ110*$M501*((1+$S501)^VLOOKUP(BX$496-$S554+1,$N$576:$P$585,3)))),0)</f>
        <v>0</v>
      </c>
      <c r="BY554" s="484">
        <f>IFERROR(IF(Input!BR110=0,0,(Input!BR110*$M501*((1+$S501)^VLOOKUP(BY$496-$S554+1,$N$576:$P$585,3)))),0)</f>
        <v>0</v>
      </c>
      <c r="BZ554" s="484">
        <f>IFERROR(IF(Input!BS110=0,0,(Input!BS110*$M501*((1+$S501)^VLOOKUP(BZ$496-$S554+1,$N$576:$P$585,3)))),0)</f>
        <v>0</v>
      </c>
      <c r="CA554" s="484">
        <f>IFERROR(IF(Input!BT110=0,0,(Input!BT110*$M501*((1+$S501)^VLOOKUP(CA$496-$S554+1,$N$576:$P$585,3)))),0)</f>
        <v>0</v>
      </c>
      <c r="CB554" s="484">
        <f>IFERROR(IF(Input!BU110=0,0,(Input!BU110*$M501*((1+$S501)^VLOOKUP(CB$496-$S554+1,$N$576:$P$585,3)))),0)</f>
        <v>0</v>
      </c>
      <c r="CC554" s="484">
        <f>IFERROR(IF(Input!BV110=0,0,(Input!BV110*$M501*((1+$S501)^VLOOKUP(CC$496-$S554+1,$N$576:$P$585,3)))),0)</f>
        <v>0</v>
      </c>
      <c r="CD554" s="484">
        <f>IFERROR(IF(Input!BW110=0,0,(Input!BW110*$M501*((1+$S501)^VLOOKUP(CD$496-$S554+1,$N$576:$P$585,3)))),0)</f>
        <v>0</v>
      </c>
      <c r="CE554" s="1171"/>
      <c r="CF554" s="1171"/>
      <c r="CG554" s="1171"/>
      <c r="CH554" s="1171"/>
      <c r="CI554" s="1171"/>
    </row>
    <row r="555" spans="11:87" ht="12" customHeight="1" x14ac:dyDescent="0.35">
      <c r="K555" s="13"/>
      <c r="L555" s="40"/>
      <c r="M555" s="40"/>
      <c r="N555" s="40"/>
      <c r="O555" s="40"/>
      <c r="P555" s="40"/>
      <c r="Q555" s="40"/>
      <c r="R555" s="13">
        <v>4</v>
      </c>
      <c r="S555" s="13">
        <f>IF(Input!H111&lt;&gt;"",VLOOKUP(Input!$H111,Infrastructure!$D$70:$F$129,3,FALSE),0)</f>
        <v>0</v>
      </c>
      <c r="T555" s="69">
        <f t="shared" si="368"/>
        <v>0</v>
      </c>
      <c r="U555" s="725">
        <f>1+Input!L111+Input!K111</f>
        <v>1</v>
      </c>
      <c r="V555" s="84"/>
      <c r="W555" s="62">
        <f>IFERROR(IF(Input!P111=0,0,(Input!P111*$M502*((1+$S502)^VLOOKUP(W$496-$S555+1,$N$576:$P$585,3)))),0)</f>
        <v>0</v>
      </c>
      <c r="X555" s="62">
        <f>IFERROR(IF(Input!Q111=0,0,(Input!Q111*$M502*((1+$S502)^VLOOKUP(X$496-$S555+1,$N$576:$P$585,3)))),0)</f>
        <v>0</v>
      </c>
      <c r="Y555" s="62">
        <f>IFERROR(IF(Input!R111=0,0,(Input!R111*$M502*((1+$S502)^VLOOKUP(Y$496-$S555+1,$N$576:$P$585,3)))),0)</f>
        <v>0</v>
      </c>
      <c r="Z555" s="62">
        <f>IFERROR(IF(Input!S111=0,0,(Input!S111*$M502*((1+$S502)^VLOOKUP(Z$496-$S555+1,$N$576:$P$585,3)))),0)</f>
        <v>0</v>
      </c>
      <c r="AA555" s="62">
        <f>IFERROR(IF(Input!T111=0,0,(Input!T111*$M502*((1+$S502)^VLOOKUP(AA$496-$S555+1,$N$576:$P$585,3)))),0)</f>
        <v>0</v>
      </c>
      <c r="AB555" s="62">
        <f>IFERROR(IF(Input!U111=0,0,(Input!U111*$M502*((1+$S502)^VLOOKUP(AB$496-$S555+1,$N$576:$P$585,3)))),0)</f>
        <v>0</v>
      </c>
      <c r="AC555" s="62">
        <f>IFERROR(IF(Input!V111=0,0,(Input!V111*$M502*((1+$S502)^VLOOKUP(AC$496-$S555+1,$N$576:$P$585,3)))),0)</f>
        <v>0</v>
      </c>
      <c r="AD555" s="62">
        <f>IFERROR(IF(Input!W111=0,0,(Input!W111*$M502*((1+$S502)^VLOOKUP(AD$496-$S555+1,$N$576:$P$585,3)))),0)</f>
        <v>0</v>
      </c>
      <c r="AE555" s="62">
        <f>IFERROR(IF(Input!X111=0,0,(Input!X111*$M502*((1+$S502)^VLOOKUP(AE$496-$S555+1,$N$576:$P$585,3)))),0)</f>
        <v>0</v>
      </c>
      <c r="AF555" s="484">
        <f>IFERROR(IF(Input!Y111=0,0,(Input!Y111*$M502*((1+$S502)^VLOOKUP(AF$496-$S555+1,$N$576:$P$585,3)))),0)</f>
        <v>0</v>
      </c>
      <c r="AG555" s="484">
        <f>IFERROR(IF(Input!Z111=0,0,(Input!Z111*$M502*((1+$S502)^VLOOKUP(AG$496-$S555+1,$N$576:$P$585,3)))),0)</f>
        <v>0</v>
      </c>
      <c r="AH555" s="484">
        <f>IFERROR(IF(Input!AA111=0,0,(Input!AA111*$M502*((1+$S502)^VLOOKUP(AH$496-$S555+1,$N$576:$P$585,3)))),0)</f>
        <v>0</v>
      </c>
      <c r="AI555" s="484">
        <f>IFERROR(IF(Input!AB111=0,0,(Input!AB111*$M502*((1+$S502)^VLOOKUP(AI$496-$S555+1,$N$576:$P$585,3)))),0)</f>
        <v>0</v>
      </c>
      <c r="AJ555" s="484">
        <f>IFERROR(IF(Input!AC111=0,0,(Input!AC111*$M502*((1+$S502)^VLOOKUP(AJ$496-$S555+1,$N$576:$P$585,3)))),0)</f>
        <v>0</v>
      </c>
      <c r="AK555" s="484">
        <f>IFERROR(IF(Input!AD111=0,0,(Input!AD111*$M502*((1+$S502)^VLOOKUP(AK$496-$S555+1,$N$576:$P$585,3)))),0)</f>
        <v>0</v>
      </c>
      <c r="AL555" s="484">
        <f>IFERROR(IF(Input!AE111=0,0,(Input!AE111*$M502*((1+$S502)^VLOOKUP(AL$496-$S555+1,$N$576:$P$585,3)))),0)</f>
        <v>0</v>
      </c>
      <c r="AM555" s="484">
        <f>IFERROR(IF(Input!AF111=0,0,(Input!AF111*$M502*((1+$S502)^VLOOKUP(AM$496-$S555+1,$N$576:$P$585,3)))),0)</f>
        <v>0</v>
      </c>
      <c r="AN555" s="484">
        <f>IFERROR(IF(Input!AG111=0,0,(Input!AG111*$M502*((1+$S502)^VLOOKUP(AN$496-$S555+1,$N$576:$P$585,3)))),0)</f>
        <v>0</v>
      </c>
      <c r="AO555" s="484">
        <f>IFERROR(IF(Input!AH111=0,0,(Input!AH111*$M502*((1+$S502)^VLOOKUP(AO$496-$S555+1,$N$576:$P$585,3)))),0)</f>
        <v>0</v>
      </c>
      <c r="AP555" s="484">
        <f>IFERROR(IF(Input!AI111=0,0,(Input!AI111*$M502*((1+$S502)^VLOOKUP(AP$496-$S555+1,$N$576:$P$585,3)))),0)</f>
        <v>0</v>
      </c>
      <c r="AQ555" s="484">
        <f>IFERROR(IF(Input!AJ111=0,0,(Input!AJ111*$M502*((1+$S502)^VLOOKUP(AQ$496-$S555+1,$N$576:$P$585,3)))),0)</f>
        <v>0</v>
      </c>
      <c r="AR555" s="484">
        <f>IFERROR(IF(Input!AK111=0,0,(Input!AK111*$M502*((1+$S502)^VLOOKUP(AR$496-$S555+1,$N$576:$P$585,3)))),0)</f>
        <v>0</v>
      </c>
      <c r="AS555" s="484">
        <f>IFERROR(IF(Input!AL111=0,0,(Input!AL111*$M502*((1+$S502)^VLOOKUP(AS$496-$S555+1,$N$576:$P$585,3)))),0)</f>
        <v>0</v>
      </c>
      <c r="AT555" s="484">
        <f>IFERROR(IF(Input!AM111=0,0,(Input!AM111*$M502*((1+$S502)^VLOOKUP(AT$496-$S555+1,$N$576:$P$585,3)))),0)</f>
        <v>0</v>
      </c>
      <c r="AU555" s="484">
        <f>IFERROR(IF(Input!AN111=0,0,(Input!AN111*$M502*((1+$S502)^VLOOKUP(AU$496-$S555+1,$N$576:$P$585,3)))),0)</f>
        <v>0</v>
      </c>
      <c r="AV555" s="484">
        <f>IFERROR(IF(Input!AO111=0,0,(Input!AO111*$M502*((1+$S502)^VLOOKUP(AV$496-$S555+1,$N$576:$P$585,3)))),0)</f>
        <v>0</v>
      </c>
      <c r="AW555" s="484">
        <f>IFERROR(IF(Input!AP111=0,0,(Input!AP111*$M502*((1+$S502)^VLOOKUP(AW$496-$S555+1,$N$576:$P$585,3)))),0)</f>
        <v>0</v>
      </c>
      <c r="AX555" s="484">
        <f>IFERROR(IF(Input!AQ111=0,0,(Input!AQ111*$M502*((1+$S502)^VLOOKUP(AX$496-$S555+1,$N$576:$P$585,3)))),0)</f>
        <v>0</v>
      </c>
      <c r="AY555" s="484">
        <f>IFERROR(IF(Input!AR111=0,0,(Input!AR111*$M502*((1+$S502)^VLOOKUP(AY$496-$S555+1,$N$576:$P$585,3)))),0)</f>
        <v>0</v>
      </c>
      <c r="AZ555" s="484">
        <f>IFERROR(IF(Input!AS111=0,0,(Input!AS111*$M502*((1+$S502)^VLOOKUP(AZ$496-$S555+1,$N$576:$P$585,3)))),0)</f>
        <v>0</v>
      </c>
      <c r="BA555" s="484">
        <f>IFERROR(IF(Input!AT111=0,0,(Input!AT111*$M502*((1+$S502)^VLOOKUP(BA$496-$S555+1,$N$576:$P$585,3)))),0)</f>
        <v>0</v>
      </c>
      <c r="BB555" s="484">
        <f>IFERROR(IF(Input!AU111=0,0,(Input!AU111*$M502*((1+$S502)^VLOOKUP(BB$496-$S555+1,$N$576:$P$585,3)))),0)</f>
        <v>0</v>
      </c>
      <c r="BC555" s="484">
        <f>IFERROR(IF(Input!AV111=0,0,(Input!AV111*$M502*((1+$S502)^VLOOKUP(BC$496-$S555+1,$N$576:$P$585,3)))),0)</f>
        <v>0</v>
      </c>
      <c r="BD555" s="484">
        <f>IFERROR(IF(Input!AW111=0,0,(Input!AW111*$M502*((1+$S502)^VLOOKUP(BD$496-$S555+1,$N$576:$P$585,3)))),0)</f>
        <v>0</v>
      </c>
      <c r="BE555" s="484">
        <f>IFERROR(IF(Input!AX111=0,0,(Input!AX111*$M502*((1+$S502)^VLOOKUP(BE$496-$S555+1,$N$576:$P$585,3)))),0)</f>
        <v>0</v>
      </c>
      <c r="BF555" s="484">
        <f>IFERROR(IF(Input!AY111=0,0,(Input!AY111*$M502*((1+$S502)^VLOOKUP(BF$496-$S555+1,$N$576:$P$585,3)))),0)</f>
        <v>0</v>
      </c>
      <c r="BG555" s="484">
        <f>IFERROR(IF(Input!AZ111=0,0,(Input!AZ111*$M502*((1+$S502)^VLOOKUP(BG$496-$S555+1,$N$576:$P$585,3)))),0)</f>
        <v>0</v>
      </c>
      <c r="BH555" s="484">
        <f>IFERROR(IF(Input!BA111=0,0,(Input!BA111*$M502*((1+$S502)^VLOOKUP(BH$496-$S555+1,$N$576:$P$585,3)))),0)</f>
        <v>0</v>
      </c>
      <c r="BI555" s="484">
        <f>IFERROR(IF(Input!BB111=0,0,(Input!BB111*$M502*((1+$S502)^VLOOKUP(BI$496-$S555+1,$N$576:$P$585,3)))),0)</f>
        <v>0</v>
      </c>
      <c r="BJ555" s="484">
        <f>IFERROR(IF(Input!BC111=0,0,(Input!BC111*$M502*((1+$S502)^VLOOKUP(BJ$496-$S555+1,$N$576:$P$585,3)))),0)</f>
        <v>0</v>
      </c>
      <c r="BK555" s="484">
        <f>IFERROR(IF(Input!BD111=0,0,(Input!BD111*$M502*((1+$S502)^VLOOKUP(BK$496-$S555+1,$N$576:$P$585,3)))),0)</f>
        <v>0</v>
      </c>
      <c r="BL555" s="484">
        <f>IFERROR(IF(Input!BE111=0,0,(Input!BE111*$M502*((1+$S502)^VLOOKUP(BL$496-$S555+1,$N$576:$P$585,3)))),0)</f>
        <v>0</v>
      </c>
      <c r="BM555" s="484">
        <f>IFERROR(IF(Input!BF111=0,0,(Input!BF111*$M502*((1+$S502)^VLOOKUP(BM$496-$S555+1,$N$576:$P$585,3)))),0)</f>
        <v>0</v>
      </c>
      <c r="BN555" s="484">
        <f>IFERROR(IF(Input!BG111=0,0,(Input!BG111*$M502*((1+$S502)^VLOOKUP(BN$496-$S555+1,$N$576:$P$585,3)))),0)</f>
        <v>0</v>
      </c>
      <c r="BO555" s="484">
        <f>IFERROR(IF(Input!BH111=0,0,(Input!BH111*$M502*((1+$S502)^VLOOKUP(BO$496-$S555+1,$N$576:$P$585,3)))),0)</f>
        <v>0</v>
      </c>
      <c r="BP555" s="484">
        <f>IFERROR(IF(Input!BI111=0,0,(Input!BI111*$M502*((1+$S502)^VLOOKUP(BP$496-$S555+1,$N$576:$P$585,3)))),0)</f>
        <v>0</v>
      </c>
      <c r="BQ555" s="484">
        <f>IFERROR(IF(Input!BJ111=0,0,(Input!BJ111*$M502*((1+$S502)^VLOOKUP(BQ$496-$S555+1,$N$576:$P$585,3)))),0)</f>
        <v>0</v>
      </c>
      <c r="BR555" s="484">
        <f>IFERROR(IF(Input!BK111=0,0,(Input!BK111*$M502*((1+$S502)^VLOOKUP(BR$496-$S555+1,$N$576:$P$585,3)))),0)</f>
        <v>0</v>
      </c>
      <c r="BS555" s="484">
        <f>IFERROR(IF(Input!BL111=0,0,(Input!BL111*$M502*((1+$S502)^VLOOKUP(BS$496-$S555+1,$N$576:$P$585,3)))),0)</f>
        <v>0</v>
      </c>
      <c r="BT555" s="484">
        <f>IFERROR(IF(Input!BM111=0,0,(Input!BM111*$M502*((1+$S502)^VLOOKUP(BT$496-$S555+1,$N$576:$P$585,3)))),0)</f>
        <v>0</v>
      </c>
      <c r="BU555" s="484">
        <f>IFERROR(IF(Input!BN111=0,0,(Input!BN111*$M502*((1+$S502)^VLOOKUP(BU$496-$S555+1,$N$576:$P$585,3)))),0)</f>
        <v>0</v>
      </c>
      <c r="BV555" s="484">
        <f>IFERROR(IF(Input!BO111=0,0,(Input!BO111*$M502*((1+$S502)^VLOOKUP(BV$496-$S555+1,$N$576:$P$585,3)))),0)</f>
        <v>0</v>
      </c>
      <c r="BW555" s="484">
        <f>IFERROR(IF(Input!BP111=0,0,(Input!BP111*$M502*((1+$S502)^VLOOKUP(BW$496-$S555+1,$N$576:$P$585,3)))),0)</f>
        <v>0</v>
      </c>
      <c r="BX555" s="484">
        <f>IFERROR(IF(Input!BQ111=0,0,(Input!BQ111*$M502*((1+$S502)^VLOOKUP(BX$496-$S555+1,$N$576:$P$585,3)))),0)</f>
        <v>0</v>
      </c>
      <c r="BY555" s="484">
        <f>IFERROR(IF(Input!BR111=0,0,(Input!BR111*$M502*((1+$S502)^VLOOKUP(BY$496-$S555+1,$N$576:$P$585,3)))),0)</f>
        <v>0</v>
      </c>
      <c r="BZ555" s="484">
        <f>IFERROR(IF(Input!BS111=0,0,(Input!BS111*$M502*((1+$S502)^VLOOKUP(BZ$496-$S555+1,$N$576:$P$585,3)))),0)</f>
        <v>0</v>
      </c>
      <c r="CA555" s="484">
        <f>IFERROR(IF(Input!BT111=0,0,(Input!BT111*$M502*((1+$S502)^VLOOKUP(CA$496-$S555+1,$N$576:$P$585,3)))),0)</f>
        <v>0</v>
      </c>
      <c r="CB555" s="484">
        <f>IFERROR(IF(Input!BU111=0,0,(Input!BU111*$M502*((1+$S502)^VLOOKUP(CB$496-$S555+1,$N$576:$P$585,3)))),0)</f>
        <v>0</v>
      </c>
      <c r="CC555" s="484">
        <f>IFERROR(IF(Input!BV111=0,0,(Input!BV111*$M502*((1+$S502)^VLOOKUP(CC$496-$S555+1,$N$576:$P$585,3)))),0)</f>
        <v>0</v>
      </c>
      <c r="CD555" s="484">
        <f>IFERROR(IF(Input!BW111=0,0,(Input!BW111*$M502*((1+$S502)^VLOOKUP(CD$496-$S555+1,$N$576:$P$585,3)))),0)</f>
        <v>0</v>
      </c>
      <c r="CE555" s="1171"/>
      <c r="CF555" s="1171"/>
      <c r="CG555" s="1171"/>
      <c r="CH555" s="1171"/>
      <c r="CI555" s="1171"/>
    </row>
    <row r="556" spans="11:87" ht="12" customHeight="1" thickBot="1" x14ac:dyDescent="0.4">
      <c r="K556" s="13"/>
      <c r="L556" s="40"/>
      <c r="M556" s="40"/>
      <c r="N556" s="40"/>
      <c r="O556" s="40"/>
      <c r="P556" s="40"/>
      <c r="Q556" s="40"/>
      <c r="R556" s="13">
        <v>5</v>
      </c>
      <c r="S556" s="13">
        <f>IF(Input!H112&lt;&gt;"",VLOOKUP(Input!$H112,Infrastructure!$D$70:$F$129,3,FALSE),0)</f>
        <v>0</v>
      </c>
      <c r="T556" s="69">
        <f t="shared" si="368"/>
        <v>0</v>
      </c>
      <c r="U556" s="725">
        <f>1+Input!L112+Input!K112</f>
        <v>1</v>
      </c>
      <c r="V556" s="84"/>
      <c r="W556" s="62">
        <f>IFERROR(IF(Input!P112=0,0,(Input!P112*$M503*((1+$S503)^VLOOKUP(W$496-$S556+1,$N$576:$P$585,3)))),0)</f>
        <v>0</v>
      </c>
      <c r="X556" s="62">
        <f>IFERROR(IF(Input!Q112=0,0,(Input!Q112*$M503*((1+$S503)^VLOOKUP(X$496-$S556+1,$N$576:$P$585,3)))),0)</f>
        <v>0</v>
      </c>
      <c r="Y556" s="62">
        <f>IFERROR(IF(Input!R112=0,0,(Input!R112*$M503*((1+$S503)^VLOOKUP(Y$496-$S556+1,$N$576:$P$585,3)))),0)</f>
        <v>0</v>
      </c>
      <c r="Z556" s="62">
        <f>IFERROR(IF(Input!S112=0,0,(Input!S112*$M503*((1+$S503)^VLOOKUP(Z$496-$S556+1,$N$576:$P$585,3)))),0)</f>
        <v>0</v>
      </c>
      <c r="AA556" s="62">
        <f>IFERROR(IF(Input!T112=0,0,(Input!T112*$M503*((1+$S503)^VLOOKUP(AA$496-$S556+1,$N$576:$P$585,3)))),0)</f>
        <v>0</v>
      </c>
      <c r="AB556" s="62">
        <f>IFERROR(IF(Input!U112=0,0,(Input!U112*$M503*((1+$S503)^VLOOKUP(AB$496-$S556+1,$N$576:$P$585,3)))),0)</f>
        <v>0</v>
      </c>
      <c r="AC556" s="62">
        <f>IFERROR(IF(Input!V112=0,0,(Input!V112*$M503*((1+$S503)^VLOOKUP(AC$496-$S556+1,$N$576:$P$585,3)))),0)</f>
        <v>0</v>
      </c>
      <c r="AD556" s="62">
        <f>IFERROR(IF(Input!W112=0,0,(Input!W112*$M503*((1+$S503)^VLOOKUP(AD$496-$S556+1,$N$576:$P$585,3)))),0)</f>
        <v>0</v>
      </c>
      <c r="AE556" s="62">
        <f>IFERROR(IF(Input!X112=0,0,(Input!X112*$M503*((1+$S503)^VLOOKUP(AE$496-$S556+1,$N$576:$P$585,3)))),0)</f>
        <v>0</v>
      </c>
      <c r="AF556" s="484">
        <f>IFERROR(IF(Input!Y112=0,0,(Input!Y112*$M503*((1+$S503)^VLOOKUP(AF$496-$S556+1,$N$576:$P$585,3)))),0)</f>
        <v>0</v>
      </c>
      <c r="AG556" s="484">
        <f>IFERROR(IF(Input!Z112=0,0,(Input!Z112*$M503*((1+$S503)^VLOOKUP(AG$496-$S556+1,$N$576:$P$585,3)))),0)</f>
        <v>0</v>
      </c>
      <c r="AH556" s="484">
        <f>IFERROR(IF(Input!AA112=0,0,(Input!AA112*$M503*((1+$S503)^VLOOKUP(AH$496-$S556+1,$N$576:$P$585,3)))),0)</f>
        <v>0</v>
      </c>
      <c r="AI556" s="484">
        <f>IFERROR(IF(Input!AB112=0,0,(Input!AB112*$M503*((1+$S503)^VLOOKUP(AI$496-$S556+1,$N$576:$P$585,3)))),0)</f>
        <v>0</v>
      </c>
      <c r="AJ556" s="484">
        <f>IFERROR(IF(Input!AC112=0,0,(Input!AC112*$M503*((1+$S503)^VLOOKUP(AJ$496-$S556+1,$N$576:$P$585,3)))),0)</f>
        <v>0</v>
      </c>
      <c r="AK556" s="484">
        <f>IFERROR(IF(Input!AD112=0,0,(Input!AD112*$M503*((1+$S503)^VLOOKUP(AK$496-$S556+1,$N$576:$P$585,3)))),0)</f>
        <v>0</v>
      </c>
      <c r="AL556" s="484">
        <f>IFERROR(IF(Input!AE112=0,0,(Input!AE112*$M503*((1+$S503)^VLOOKUP(AL$496-$S556+1,$N$576:$P$585,3)))),0)</f>
        <v>0</v>
      </c>
      <c r="AM556" s="484">
        <f>IFERROR(IF(Input!AF112=0,0,(Input!AF112*$M503*((1+$S503)^VLOOKUP(AM$496-$S556+1,$N$576:$P$585,3)))),0)</f>
        <v>0</v>
      </c>
      <c r="AN556" s="484">
        <f>IFERROR(IF(Input!AG112=0,0,(Input!AG112*$M503*((1+$S503)^VLOOKUP(AN$496-$S556+1,$N$576:$P$585,3)))),0)</f>
        <v>0</v>
      </c>
      <c r="AO556" s="484">
        <f>IFERROR(IF(Input!AH112=0,0,(Input!AH112*$M503*((1+$S503)^VLOOKUP(AO$496-$S556+1,$N$576:$P$585,3)))),0)</f>
        <v>0</v>
      </c>
      <c r="AP556" s="484">
        <f>IFERROR(IF(Input!AI112=0,0,(Input!AI112*$M503*((1+$S503)^VLOOKUP(AP$496-$S556+1,$N$576:$P$585,3)))),0)</f>
        <v>0</v>
      </c>
      <c r="AQ556" s="484">
        <f>IFERROR(IF(Input!AJ112=0,0,(Input!AJ112*$M503*((1+$S503)^VLOOKUP(AQ$496-$S556+1,$N$576:$P$585,3)))),0)</f>
        <v>0</v>
      </c>
      <c r="AR556" s="484">
        <f>IFERROR(IF(Input!AK112=0,0,(Input!AK112*$M503*((1+$S503)^VLOOKUP(AR$496-$S556+1,$N$576:$P$585,3)))),0)</f>
        <v>0</v>
      </c>
      <c r="AS556" s="484">
        <f>IFERROR(IF(Input!AL112=0,0,(Input!AL112*$M503*((1+$S503)^VLOOKUP(AS$496-$S556+1,$N$576:$P$585,3)))),0)</f>
        <v>0</v>
      </c>
      <c r="AT556" s="484">
        <f>IFERROR(IF(Input!AM112=0,0,(Input!AM112*$M503*((1+$S503)^VLOOKUP(AT$496-$S556+1,$N$576:$P$585,3)))),0)</f>
        <v>0</v>
      </c>
      <c r="AU556" s="484">
        <f>IFERROR(IF(Input!AN112=0,0,(Input!AN112*$M503*((1+$S503)^VLOOKUP(AU$496-$S556+1,$N$576:$P$585,3)))),0)</f>
        <v>0</v>
      </c>
      <c r="AV556" s="484">
        <f>IFERROR(IF(Input!AO112=0,0,(Input!AO112*$M503*((1+$S503)^VLOOKUP(AV$496-$S556+1,$N$576:$P$585,3)))),0)</f>
        <v>0</v>
      </c>
      <c r="AW556" s="484">
        <f>IFERROR(IF(Input!AP112=0,0,(Input!AP112*$M503*((1+$S503)^VLOOKUP(AW$496-$S556+1,$N$576:$P$585,3)))),0)</f>
        <v>0</v>
      </c>
      <c r="AX556" s="484">
        <f>IFERROR(IF(Input!AQ112=0,0,(Input!AQ112*$M503*((1+$S503)^VLOOKUP(AX$496-$S556+1,$N$576:$P$585,3)))),0)</f>
        <v>0</v>
      </c>
      <c r="AY556" s="484">
        <f>IFERROR(IF(Input!AR112=0,0,(Input!AR112*$M503*((1+$S503)^VLOOKUP(AY$496-$S556+1,$N$576:$P$585,3)))),0)</f>
        <v>0</v>
      </c>
      <c r="AZ556" s="484">
        <f>IFERROR(IF(Input!AS112=0,0,(Input!AS112*$M503*((1+$S503)^VLOOKUP(AZ$496-$S556+1,$N$576:$P$585,3)))),0)</f>
        <v>0</v>
      </c>
      <c r="BA556" s="484">
        <f>IFERROR(IF(Input!AT112=0,0,(Input!AT112*$M503*((1+$S503)^VLOOKUP(BA$496-$S556+1,$N$576:$P$585,3)))),0)</f>
        <v>0</v>
      </c>
      <c r="BB556" s="484">
        <f>IFERROR(IF(Input!AU112=0,0,(Input!AU112*$M503*((1+$S503)^VLOOKUP(BB$496-$S556+1,$N$576:$P$585,3)))),0)</f>
        <v>0</v>
      </c>
      <c r="BC556" s="484">
        <f>IFERROR(IF(Input!AV112=0,0,(Input!AV112*$M503*((1+$S503)^VLOOKUP(BC$496-$S556+1,$N$576:$P$585,3)))),0)</f>
        <v>0</v>
      </c>
      <c r="BD556" s="484">
        <f>IFERROR(IF(Input!AW112=0,0,(Input!AW112*$M503*((1+$S503)^VLOOKUP(BD$496-$S556+1,$N$576:$P$585,3)))),0)</f>
        <v>0</v>
      </c>
      <c r="BE556" s="484">
        <f>IFERROR(IF(Input!AX112=0,0,(Input!AX112*$M503*((1+$S503)^VLOOKUP(BE$496-$S556+1,$N$576:$P$585,3)))),0)</f>
        <v>0</v>
      </c>
      <c r="BF556" s="484">
        <f>IFERROR(IF(Input!AY112=0,0,(Input!AY112*$M503*((1+$S503)^VLOOKUP(BF$496-$S556+1,$N$576:$P$585,3)))),0)</f>
        <v>0</v>
      </c>
      <c r="BG556" s="484">
        <f>IFERROR(IF(Input!AZ112=0,0,(Input!AZ112*$M503*((1+$S503)^VLOOKUP(BG$496-$S556+1,$N$576:$P$585,3)))),0)</f>
        <v>0</v>
      </c>
      <c r="BH556" s="484">
        <f>IFERROR(IF(Input!BA112=0,0,(Input!BA112*$M503*((1+$S503)^VLOOKUP(BH$496-$S556+1,$N$576:$P$585,3)))),0)</f>
        <v>0</v>
      </c>
      <c r="BI556" s="484">
        <f>IFERROR(IF(Input!BB112=0,0,(Input!BB112*$M503*((1+$S503)^VLOOKUP(BI$496-$S556+1,$N$576:$P$585,3)))),0)</f>
        <v>0</v>
      </c>
      <c r="BJ556" s="484">
        <f>IFERROR(IF(Input!BC112=0,0,(Input!BC112*$M503*((1+$S503)^VLOOKUP(BJ$496-$S556+1,$N$576:$P$585,3)))),0)</f>
        <v>0</v>
      </c>
      <c r="BK556" s="484">
        <f>IFERROR(IF(Input!BD112=0,0,(Input!BD112*$M503*((1+$S503)^VLOOKUP(BK$496-$S556+1,$N$576:$P$585,3)))),0)</f>
        <v>0</v>
      </c>
      <c r="BL556" s="484">
        <f>IFERROR(IF(Input!BE112=0,0,(Input!BE112*$M503*((1+$S503)^VLOOKUP(BL$496-$S556+1,$N$576:$P$585,3)))),0)</f>
        <v>0</v>
      </c>
      <c r="BM556" s="484">
        <f>IFERROR(IF(Input!BF112=0,0,(Input!BF112*$M503*((1+$S503)^VLOOKUP(BM$496-$S556+1,$N$576:$P$585,3)))),0)</f>
        <v>0</v>
      </c>
      <c r="BN556" s="484">
        <f>IFERROR(IF(Input!BG112=0,0,(Input!BG112*$M503*((1+$S503)^VLOOKUP(BN$496-$S556+1,$N$576:$P$585,3)))),0)</f>
        <v>0</v>
      </c>
      <c r="BO556" s="484">
        <f>IFERROR(IF(Input!BH112=0,0,(Input!BH112*$M503*((1+$S503)^VLOOKUP(BO$496-$S556+1,$N$576:$P$585,3)))),0)</f>
        <v>0</v>
      </c>
      <c r="BP556" s="484">
        <f>IFERROR(IF(Input!BI112=0,0,(Input!BI112*$M503*((1+$S503)^VLOOKUP(BP$496-$S556+1,$N$576:$P$585,3)))),0)</f>
        <v>0</v>
      </c>
      <c r="BQ556" s="484">
        <f>IFERROR(IF(Input!BJ112=0,0,(Input!BJ112*$M503*((1+$S503)^VLOOKUP(BQ$496-$S556+1,$N$576:$P$585,3)))),0)</f>
        <v>0</v>
      </c>
      <c r="BR556" s="484">
        <f>IFERROR(IF(Input!BK112=0,0,(Input!BK112*$M503*((1+$S503)^VLOOKUP(BR$496-$S556+1,$N$576:$P$585,3)))),0)</f>
        <v>0</v>
      </c>
      <c r="BS556" s="484">
        <f>IFERROR(IF(Input!BL112=0,0,(Input!BL112*$M503*((1+$S503)^VLOOKUP(BS$496-$S556+1,$N$576:$P$585,3)))),0)</f>
        <v>0</v>
      </c>
      <c r="BT556" s="484">
        <f>IFERROR(IF(Input!BM112=0,0,(Input!BM112*$M503*((1+$S503)^VLOOKUP(BT$496-$S556+1,$N$576:$P$585,3)))),0)</f>
        <v>0</v>
      </c>
      <c r="BU556" s="484">
        <f>IFERROR(IF(Input!BN112=0,0,(Input!BN112*$M503*((1+$S503)^VLOOKUP(BU$496-$S556+1,$N$576:$P$585,3)))),0)</f>
        <v>0</v>
      </c>
      <c r="BV556" s="484">
        <f>IFERROR(IF(Input!BO112=0,0,(Input!BO112*$M503*((1+$S503)^VLOOKUP(BV$496-$S556+1,$N$576:$P$585,3)))),0)</f>
        <v>0</v>
      </c>
      <c r="BW556" s="484">
        <f>IFERROR(IF(Input!BP112=0,0,(Input!BP112*$M503*((1+$S503)^VLOOKUP(BW$496-$S556+1,$N$576:$P$585,3)))),0)</f>
        <v>0</v>
      </c>
      <c r="BX556" s="484">
        <f>IFERROR(IF(Input!BQ112=0,0,(Input!BQ112*$M503*((1+$S503)^VLOOKUP(BX$496-$S556+1,$N$576:$P$585,3)))),0)</f>
        <v>0</v>
      </c>
      <c r="BY556" s="484">
        <f>IFERROR(IF(Input!BR112=0,0,(Input!BR112*$M503*((1+$S503)^VLOOKUP(BY$496-$S556+1,$N$576:$P$585,3)))),0)</f>
        <v>0</v>
      </c>
      <c r="BZ556" s="484">
        <f>IFERROR(IF(Input!BS112=0,0,(Input!BS112*$M503*((1+$S503)^VLOOKUP(BZ$496-$S556+1,$N$576:$P$585,3)))),0)</f>
        <v>0</v>
      </c>
      <c r="CA556" s="484">
        <f>IFERROR(IF(Input!BT112=0,0,(Input!BT112*$M503*((1+$S503)^VLOOKUP(CA$496-$S556+1,$N$576:$P$585,3)))),0)</f>
        <v>0</v>
      </c>
      <c r="CB556" s="484">
        <f>IFERROR(IF(Input!BU112=0,0,(Input!BU112*$M503*((1+$S503)^VLOOKUP(CB$496-$S556+1,$N$576:$P$585,3)))),0)</f>
        <v>0</v>
      </c>
      <c r="CC556" s="484">
        <f>IFERROR(IF(Input!BV112=0,0,(Input!BV112*$M503*((1+$S503)^VLOOKUP(CC$496-$S556+1,$N$576:$P$585,3)))),0)</f>
        <v>0</v>
      </c>
      <c r="CD556" s="484">
        <f>IFERROR(IF(Input!BW112=0,0,(Input!BW112*$M503*((1+$S503)^VLOOKUP(CD$496-$S556+1,$N$576:$P$585,3)))),0)</f>
        <v>0</v>
      </c>
      <c r="CE556" s="1171"/>
      <c r="CF556" s="1171"/>
      <c r="CG556" s="1171"/>
      <c r="CH556" s="1171"/>
      <c r="CI556" s="1171"/>
    </row>
    <row r="557" spans="11:87" ht="12" customHeight="1" x14ac:dyDescent="0.35">
      <c r="K557" s="13"/>
      <c r="L557" s="70"/>
      <c r="M557" s="71"/>
      <c r="N557" s="72" t="s">
        <v>439</v>
      </c>
      <c r="O557" s="73">
        <v>6.2E-2</v>
      </c>
      <c r="P557" s="40"/>
      <c r="Q557" s="40"/>
      <c r="R557" s="40">
        <v>6</v>
      </c>
      <c r="S557" s="13">
        <f>IF(Input!H113&lt;&gt;"",VLOOKUP(Input!$H113,Infrastructure!$D$70:$F$129,3,FALSE),0)</f>
        <v>0</v>
      </c>
      <c r="T557" s="69">
        <f t="shared" si="368"/>
        <v>0</v>
      </c>
      <c r="U557" s="725">
        <f>1+Input!L113+Input!K113</f>
        <v>1</v>
      </c>
      <c r="V557" s="84"/>
      <c r="W557" s="62">
        <f>IFERROR(IF(Input!P113=0,0,(Input!P113*$M504*((1+$S504)^VLOOKUP(W$496-$S557+1,$N$576:$P$585,3)))),0)</f>
        <v>0</v>
      </c>
      <c r="X557" s="62">
        <f>IFERROR(IF(Input!Q113=0,0,(Input!Q113*$M504*((1+$S504)^VLOOKUP(X$496-$S557+1,$N$576:$P$585,3)))),0)</f>
        <v>0</v>
      </c>
      <c r="Y557" s="62">
        <f>IFERROR(IF(Input!R113=0,0,(Input!R113*$M504*((1+$S504)^VLOOKUP(Y$496-$S557+1,$N$576:$P$585,3)))),0)</f>
        <v>0</v>
      </c>
      <c r="Z557" s="62">
        <f>IFERROR(IF(Input!S113=0,0,(Input!S113*$M504*((1+$S504)^VLOOKUP(Z$496-$S557+1,$N$576:$P$585,3)))),0)</f>
        <v>0</v>
      </c>
      <c r="AA557" s="62">
        <f>IFERROR(IF(Input!T113=0,0,(Input!T113*$M504*((1+$S504)^VLOOKUP(AA$496-$S557+1,$N$576:$P$585,3)))),0)</f>
        <v>0</v>
      </c>
      <c r="AB557" s="62">
        <f>IFERROR(IF(Input!U113=0,0,(Input!U113*$M504*((1+$S504)^VLOOKUP(AB$496-$S557+1,$N$576:$P$585,3)))),0)</f>
        <v>0</v>
      </c>
      <c r="AC557" s="62">
        <f>IFERROR(IF(Input!V113=0,0,(Input!V113*$M504*((1+$S504)^VLOOKUP(AC$496-$S557+1,$N$576:$P$585,3)))),0)</f>
        <v>0</v>
      </c>
      <c r="AD557" s="62">
        <f>IFERROR(IF(Input!W113=0,0,(Input!W113*$M504*((1+$S504)^VLOOKUP(AD$496-$S557+1,$N$576:$P$585,3)))),0)</f>
        <v>0</v>
      </c>
      <c r="AE557" s="62">
        <f>IFERROR(IF(Input!X113=0,0,(Input!X113*$M504*((1+$S504)^VLOOKUP(AE$496-$S557+1,$N$576:$P$585,3)))),0)</f>
        <v>0</v>
      </c>
      <c r="AF557" s="484">
        <f>IFERROR(IF(Input!Y113=0,0,(Input!Y113*$M504*((1+$S504)^VLOOKUP(AF$496-$S557+1,$N$576:$P$585,3)))),0)</f>
        <v>0</v>
      </c>
      <c r="AG557" s="484">
        <f>IFERROR(IF(Input!Z113=0,0,(Input!Z113*$M504*((1+$S504)^VLOOKUP(AG$496-$S557+1,$N$576:$P$585,3)))),0)</f>
        <v>0</v>
      </c>
      <c r="AH557" s="484">
        <f>IFERROR(IF(Input!AA113=0,0,(Input!AA113*$M504*((1+$S504)^VLOOKUP(AH$496-$S557+1,$N$576:$P$585,3)))),0)</f>
        <v>0</v>
      </c>
      <c r="AI557" s="484">
        <f>IFERROR(IF(Input!AB113=0,0,(Input!AB113*$M504*((1+$S504)^VLOOKUP(AI$496-$S557+1,$N$576:$P$585,3)))),0)</f>
        <v>0</v>
      </c>
      <c r="AJ557" s="484">
        <f>IFERROR(IF(Input!AC113=0,0,(Input!AC113*$M504*((1+$S504)^VLOOKUP(AJ$496-$S557+1,$N$576:$P$585,3)))),0)</f>
        <v>0</v>
      </c>
      <c r="AK557" s="484">
        <f>IFERROR(IF(Input!AD113=0,0,(Input!AD113*$M504*((1+$S504)^VLOOKUP(AK$496-$S557+1,$N$576:$P$585,3)))),0)</f>
        <v>0</v>
      </c>
      <c r="AL557" s="484">
        <f>IFERROR(IF(Input!AE113=0,0,(Input!AE113*$M504*((1+$S504)^VLOOKUP(AL$496-$S557+1,$N$576:$P$585,3)))),0)</f>
        <v>0</v>
      </c>
      <c r="AM557" s="484">
        <f>IFERROR(IF(Input!AF113=0,0,(Input!AF113*$M504*((1+$S504)^VLOOKUP(AM$496-$S557+1,$N$576:$P$585,3)))),0)</f>
        <v>0</v>
      </c>
      <c r="AN557" s="484">
        <f>IFERROR(IF(Input!AG113=0,0,(Input!AG113*$M504*((1+$S504)^VLOOKUP(AN$496-$S557+1,$N$576:$P$585,3)))),0)</f>
        <v>0</v>
      </c>
      <c r="AO557" s="484">
        <f>IFERROR(IF(Input!AH113=0,0,(Input!AH113*$M504*((1+$S504)^VLOOKUP(AO$496-$S557+1,$N$576:$P$585,3)))),0)</f>
        <v>0</v>
      </c>
      <c r="AP557" s="484">
        <f>IFERROR(IF(Input!AI113=0,0,(Input!AI113*$M504*((1+$S504)^VLOOKUP(AP$496-$S557+1,$N$576:$P$585,3)))),0)</f>
        <v>0</v>
      </c>
      <c r="AQ557" s="484">
        <f>IFERROR(IF(Input!AJ113=0,0,(Input!AJ113*$M504*((1+$S504)^VLOOKUP(AQ$496-$S557+1,$N$576:$P$585,3)))),0)</f>
        <v>0</v>
      </c>
      <c r="AR557" s="484">
        <f>IFERROR(IF(Input!AK113=0,0,(Input!AK113*$M504*((1+$S504)^VLOOKUP(AR$496-$S557+1,$N$576:$P$585,3)))),0)</f>
        <v>0</v>
      </c>
      <c r="AS557" s="484">
        <f>IFERROR(IF(Input!AL113=0,0,(Input!AL113*$M504*((1+$S504)^VLOOKUP(AS$496-$S557+1,$N$576:$P$585,3)))),0)</f>
        <v>0</v>
      </c>
      <c r="AT557" s="484">
        <f>IFERROR(IF(Input!AM113=0,0,(Input!AM113*$M504*((1+$S504)^VLOOKUP(AT$496-$S557+1,$N$576:$P$585,3)))),0)</f>
        <v>0</v>
      </c>
      <c r="AU557" s="484">
        <f>IFERROR(IF(Input!AN113=0,0,(Input!AN113*$M504*((1+$S504)^VLOOKUP(AU$496-$S557+1,$N$576:$P$585,3)))),0)</f>
        <v>0</v>
      </c>
      <c r="AV557" s="484">
        <f>IFERROR(IF(Input!AO113=0,0,(Input!AO113*$M504*((1+$S504)^VLOOKUP(AV$496-$S557+1,$N$576:$P$585,3)))),0)</f>
        <v>0</v>
      </c>
      <c r="AW557" s="484">
        <f>IFERROR(IF(Input!AP113=0,0,(Input!AP113*$M504*((1+$S504)^VLOOKUP(AW$496-$S557+1,$N$576:$P$585,3)))),0)</f>
        <v>0</v>
      </c>
      <c r="AX557" s="484">
        <f>IFERROR(IF(Input!AQ113=0,0,(Input!AQ113*$M504*((1+$S504)^VLOOKUP(AX$496-$S557+1,$N$576:$P$585,3)))),0)</f>
        <v>0</v>
      </c>
      <c r="AY557" s="484">
        <f>IFERROR(IF(Input!AR113=0,0,(Input!AR113*$M504*((1+$S504)^VLOOKUP(AY$496-$S557+1,$N$576:$P$585,3)))),0)</f>
        <v>0</v>
      </c>
      <c r="AZ557" s="484">
        <f>IFERROR(IF(Input!AS113=0,0,(Input!AS113*$M504*((1+$S504)^VLOOKUP(AZ$496-$S557+1,$N$576:$P$585,3)))),0)</f>
        <v>0</v>
      </c>
      <c r="BA557" s="484">
        <f>IFERROR(IF(Input!AT113=0,0,(Input!AT113*$M504*((1+$S504)^VLOOKUP(BA$496-$S557+1,$N$576:$P$585,3)))),0)</f>
        <v>0</v>
      </c>
      <c r="BB557" s="484">
        <f>IFERROR(IF(Input!AU113=0,0,(Input!AU113*$M504*((1+$S504)^VLOOKUP(BB$496-$S557+1,$N$576:$P$585,3)))),0)</f>
        <v>0</v>
      </c>
      <c r="BC557" s="484">
        <f>IFERROR(IF(Input!AV113=0,0,(Input!AV113*$M504*((1+$S504)^VLOOKUP(BC$496-$S557+1,$N$576:$P$585,3)))),0)</f>
        <v>0</v>
      </c>
      <c r="BD557" s="484">
        <f>IFERROR(IF(Input!AW113=0,0,(Input!AW113*$M504*((1+$S504)^VLOOKUP(BD$496-$S557+1,$N$576:$P$585,3)))),0)</f>
        <v>0</v>
      </c>
      <c r="BE557" s="484">
        <f>IFERROR(IF(Input!AX113=0,0,(Input!AX113*$M504*((1+$S504)^VLOOKUP(BE$496-$S557+1,$N$576:$P$585,3)))),0)</f>
        <v>0</v>
      </c>
      <c r="BF557" s="484">
        <f>IFERROR(IF(Input!AY113=0,0,(Input!AY113*$M504*((1+$S504)^VLOOKUP(BF$496-$S557+1,$N$576:$P$585,3)))),0)</f>
        <v>0</v>
      </c>
      <c r="BG557" s="484">
        <f>IFERROR(IF(Input!AZ113=0,0,(Input!AZ113*$M504*((1+$S504)^VLOOKUP(BG$496-$S557+1,$N$576:$P$585,3)))),0)</f>
        <v>0</v>
      </c>
      <c r="BH557" s="484">
        <f>IFERROR(IF(Input!BA113=0,0,(Input!BA113*$M504*((1+$S504)^VLOOKUP(BH$496-$S557+1,$N$576:$P$585,3)))),0)</f>
        <v>0</v>
      </c>
      <c r="BI557" s="484">
        <f>IFERROR(IF(Input!BB113=0,0,(Input!BB113*$M504*((1+$S504)^VLOOKUP(BI$496-$S557+1,$N$576:$P$585,3)))),0)</f>
        <v>0</v>
      </c>
      <c r="BJ557" s="484">
        <f>IFERROR(IF(Input!BC113=0,0,(Input!BC113*$M504*((1+$S504)^VLOOKUP(BJ$496-$S557+1,$N$576:$P$585,3)))),0)</f>
        <v>0</v>
      </c>
      <c r="BK557" s="484">
        <f>IFERROR(IF(Input!BD113=0,0,(Input!BD113*$M504*((1+$S504)^VLOOKUP(BK$496-$S557+1,$N$576:$P$585,3)))),0)</f>
        <v>0</v>
      </c>
      <c r="BL557" s="484">
        <f>IFERROR(IF(Input!BE113=0,0,(Input!BE113*$M504*((1+$S504)^VLOOKUP(BL$496-$S557+1,$N$576:$P$585,3)))),0)</f>
        <v>0</v>
      </c>
      <c r="BM557" s="484">
        <f>IFERROR(IF(Input!BF113=0,0,(Input!BF113*$M504*((1+$S504)^VLOOKUP(BM$496-$S557+1,$N$576:$P$585,3)))),0)</f>
        <v>0</v>
      </c>
      <c r="BN557" s="484">
        <f>IFERROR(IF(Input!BG113=0,0,(Input!BG113*$M504*((1+$S504)^VLOOKUP(BN$496-$S557+1,$N$576:$P$585,3)))),0)</f>
        <v>0</v>
      </c>
      <c r="BO557" s="484">
        <f>IFERROR(IF(Input!BH113=0,0,(Input!BH113*$M504*((1+$S504)^VLOOKUP(BO$496-$S557+1,$N$576:$P$585,3)))),0)</f>
        <v>0</v>
      </c>
      <c r="BP557" s="484">
        <f>IFERROR(IF(Input!BI113=0,0,(Input!BI113*$M504*((1+$S504)^VLOOKUP(BP$496-$S557+1,$N$576:$P$585,3)))),0)</f>
        <v>0</v>
      </c>
      <c r="BQ557" s="484">
        <f>IFERROR(IF(Input!BJ113=0,0,(Input!BJ113*$M504*((1+$S504)^VLOOKUP(BQ$496-$S557+1,$N$576:$P$585,3)))),0)</f>
        <v>0</v>
      </c>
      <c r="BR557" s="484">
        <f>IFERROR(IF(Input!BK113=0,0,(Input!BK113*$M504*((1+$S504)^VLOOKUP(BR$496-$S557+1,$N$576:$P$585,3)))),0)</f>
        <v>0</v>
      </c>
      <c r="BS557" s="484">
        <f>IFERROR(IF(Input!BL113=0,0,(Input!BL113*$M504*((1+$S504)^VLOOKUP(BS$496-$S557+1,$N$576:$P$585,3)))),0)</f>
        <v>0</v>
      </c>
      <c r="BT557" s="484">
        <f>IFERROR(IF(Input!BM113=0,0,(Input!BM113*$M504*((1+$S504)^VLOOKUP(BT$496-$S557+1,$N$576:$P$585,3)))),0)</f>
        <v>0</v>
      </c>
      <c r="BU557" s="484">
        <f>IFERROR(IF(Input!BN113=0,0,(Input!BN113*$M504*((1+$S504)^VLOOKUP(BU$496-$S557+1,$N$576:$P$585,3)))),0)</f>
        <v>0</v>
      </c>
      <c r="BV557" s="484">
        <f>IFERROR(IF(Input!BO113=0,0,(Input!BO113*$M504*((1+$S504)^VLOOKUP(BV$496-$S557+1,$N$576:$P$585,3)))),0)</f>
        <v>0</v>
      </c>
      <c r="BW557" s="484">
        <f>IFERROR(IF(Input!BP113=0,0,(Input!BP113*$M504*((1+$S504)^VLOOKUP(BW$496-$S557+1,$N$576:$P$585,3)))),0)</f>
        <v>0</v>
      </c>
      <c r="BX557" s="484">
        <f>IFERROR(IF(Input!BQ113=0,0,(Input!BQ113*$M504*((1+$S504)^VLOOKUP(BX$496-$S557+1,$N$576:$P$585,3)))),0)</f>
        <v>0</v>
      </c>
      <c r="BY557" s="484">
        <f>IFERROR(IF(Input!BR113=0,0,(Input!BR113*$M504*((1+$S504)^VLOOKUP(BY$496-$S557+1,$N$576:$P$585,3)))),0)</f>
        <v>0</v>
      </c>
      <c r="BZ557" s="484">
        <f>IFERROR(IF(Input!BS113=0,0,(Input!BS113*$M504*((1+$S504)^VLOOKUP(BZ$496-$S557+1,$N$576:$P$585,3)))),0)</f>
        <v>0</v>
      </c>
      <c r="CA557" s="484">
        <f>IFERROR(IF(Input!BT113=0,0,(Input!BT113*$M504*((1+$S504)^VLOOKUP(CA$496-$S557+1,$N$576:$P$585,3)))),0)</f>
        <v>0</v>
      </c>
      <c r="CB557" s="484">
        <f>IFERROR(IF(Input!BU113=0,0,(Input!BU113*$M504*((1+$S504)^VLOOKUP(CB$496-$S557+1,$N$576:$P$585,3)))),0)</f>
        <v>0</v>
      </c>
      <c r="CC557" s="484">
        <f>IFERROR(IF(Input!BV113=0,0,(Input!BV113*$M504*((1+$S504)^VLOOKUP(CC$496-$S557+1,$N$576:$P$585,3)))),0)</f>
        <v>0</v>
      </c>
      <c r="CD557" s="484">
        <f>IFERROR(IF(Input!BW113=0,0,(Input!BW113*$M504*((1+$S504)^VLOOKUP(CD$496-$S557+1,$N$576:$P$585,3)))),0)</f>
        <v>0</v>
      </c>
      <c r="CE557" s="1171"/>
      <c r="CF557" s="1171"/>
      <c r="CG557" s="1171"/>
      <c r="CH557" s="1171"/>
      <c r="CI557" s="1171"/>
    </row>
    <row r="558" spans="11:87" ht="12" customHeight="1" x14ac:dyDescent="0.35">
      <c r="K558" s="13"/>
      <c r="L558" s="70"/>
      <c r="M558" s="71"/>
      <c r="N558" s="74" t="s">
        <v>440</v>
      </c>
      <c r="O558" s="75">
        <v>1.4500000000000001E-2</v>
      </c>
      <c r="P558" s="40"/>
      <c r="Q558" s="40"/>
      <c r="R558" s="13">
        <v>7</v>
      </c>
      <c r="S558" s="13">
        <f>IF(Input!H114&lt;&gt;"",VLOOKUP(Input!$H114,Infrastructure!$D$70:$F$129,3,FALSE),0)</f>
        <v>0</v>
      </c>
      <c r="T558" s="69">
        <f t="shared" si="368"/>
        <v>0</v>
      </c>
      <c r="U558" s="725">
        <f>1+Input!L114+Input!K114</f>
        <v>1</v>
      </c>
      <c r="V558" s="84"/>
      <c r="W558" s="62">
        <f>IFERROR(IF(Input!P114=0,0,(Input!P114*$M505*((1+$S505)^VLOOKUP(W$496-$S558+1,$N$576:$P$585,3)))),0)</f>
        <v>0</v>
      </c>
      <c r="X558" s="62">
        <f>IFERROR(IF(Input!Q114=0,0,(Input!Q114*$M505*((1+$S505)^VLOOKUP(X$496-$S558+1,$N$576:$P$585,3)))),0)</f>
        <v>0</v>
      </c>
      <c r="Y558" s="62">
        <f>IFERROR(IF(Input!R114=0,0,(Input!R114*$M505*((1+$S505)^VLOOKUP(Y$496-$S558+1,$N$576:$P$585,3)))),0)</f>
        <v>0</v>
      </c>
      <c r="Z558" s="62">
        <f>IFERROR(IF(Input!S114=0,0,(Input!S114*$M505*((1+$S505)^VLOOKUP(Z$496-$S558+1,$N$576:$P$585,3)))),0)</f>
        <v>0</v>
      </c>
      <c r="AA558" s="62">
        <f>IFERROR(IF(Input!T114=0,0,(Input!T114*$M505*((1+$S505)^VLOOKUP(AA$496-$S558+1,$N$576:$P$585,3)))),0)</f>
        <v>0</v>
      </c>
      <c r="AB558" s="62">
        <f>IFERROR(IF(Input!U114=0,0,(Input!U114*$M505*((1+$S505)^VLOOKUP(AB$496-$S558+1,$N$576:$P$585,3)))),0)</f>
        <v>0</v>
      </c>
      <c r="AC558" s="62">
        <f>IFERROR(IF(Input!V114=0,0,(Input!V114*$M505*((1+$S505)^VLOOKUP(AC$496-$S558+1,$N$576:$P$585,3)))),0)</f>
        <v>0</v>
      </c>
      <c r="AD558" s="62">
        <f>IFERROR(IF(Input!W114=0,0,(Input!W114*$M505*((1+$S505)^VLOOKUP(AD$496-$S558+1,$N$576:$P$585,3)))),0)</f>
        <v>0</v>
      </c>
      <c r="AE558" s="62">
        <f>IFERROR(IF(Input!X114=0,0,(Input!X114*$M505*((1+$S505)^VLOOKUP(AE$496-$S558+1,$N$576:$P$585,3)))),0)</f>
        <v>0</v>
      </c>
      <c r="AF558" s="484">
        <f>IFERROR(IF(Input!Y114=0,0,(Input!Y114*$M505*((1+$S505)^VLOOKUP(AF$496-$S558+1,$N$576:$P$585,3)))),0)</f>
        <v>0</v>
      </c>
      <c r="AG558" s="484">
        <f>IFERROR(IF(Input!Z114=0,0,(Input!Z114*$M505*((1+$S505)^VLOOKUP(AG$496-$S558+1,$N$576:$P$585,3)))),0)</f>
        <v>0</v>
      </c>
      <c r="AH558" s="484">
        <f>IFERROR(IF(Input!AA114=0,0,(Input!AA114*$M505*((1+$S505)^VLOOKUP(AH$496-$S558+1,$N$576:$P$585,3)))),0)</f>
        <v>0</v>
      </c>
      <c r="AI558" s="484">
        <f>IFERROR(IF(Input!AB114=0,0,(Input!AB114*$M505*((1+$S505)^VLOOKUP(AI$496-$S558+1,$N$576:$P$585,3)))),0)</f>
        <v>0</v>
      </c>
      <c r="AJ558" s="484">
        <f>IFERROR(IF(Input!AC114=0,0,(Input!AC114*$M505*((1+$S505)^VLOOKUP(AJ$496-$S558+1,$N$576:$P$585,3)))),0)</f>
        <v>0</v>
      </c>
      <c r="AK558" s="484">
        <f>IFERROR(IF(Input!AD114=0,0,(Input!AD114*$M505*((1+$S505)^VLOOKUP(AK$496-$S558+1,$N$576:$P$585,3)))),0)</f>
        <v>0</v>
      </c>
      <c r="AL558" s="484">
        <f>IFERROR(IF(Input!AE114=0,0,(Input!AE114*$M505*((1+$S505)^VLOOKUP(AL$496-$S558+1,$N$576:$P$585,3)))),0)</f>
        <v>0</v>
      </c>
      <c r="AM558" s="484">
        <f>IFERROR(IF(Input!AF114=0,0,(Input!AF114*$M505*((1+$S505)^VLOOKUP(AM$496-$S558+1,$N$576:$P$585,3)))),0)</f>
        <v>0</v>
      </c>
      <c r="AN558" s="484">
        <f>IFERROR(IF(Input!AG114=0,0,(Input!AG114*$M505*((1+$S505)^VLOOKUP(AN$496-$S558+1,$N$576:$P$585,3)))),0)</f>
        <v>0</v>
      </c>
      <c r="AO558" s="484">
        <f>IFERROR(IF(Input!AH114=0,0,(Input!AH114*$M505*((1+$S505)^VLOOKUP(AO$496-$S558+1,$N$576:$P$585,3)))),0)</f>
        <v>0</v>
      </c>
      <c r="AP558" s="484">
        <f>IFERROR(IF(Input!AI114=0,0,(Input!AI114*$M505*((1+$S505)^VLOOKUP(AP$496-$S558+1,$N$576:$P$585,3)))),0)</f>
        <v>0</v>
      </c>
      <c r="AQ558" s="484">
        <f>IFERROR(IF(Input!AJ114=0,0,(Input!AJ114*$M505*((1+$S505)^VLOOKUP(AQ$496-$S558+1,$N$576:$P$585,3)))),0)</f>
        <v>0</v>
      </c>
      <c r="AR558" s="484">
        <f>IFERROR(IF(Input!AK114=0,0,(Input!AK114*$M505*((1+$S505)^VLOOKUP(AR$496-$S558+1,$N$576:$P$585,3)))),0)</f>
        <v>0</v>
      </c>
      <c r="AS558" s="484">
        <f>IFERROR(IF(Input!AL114=0,0,(Input!AL114*$M505*((1+$S505)^VLOOKUP(AS$496-$S558+1,$N$576:$P$585,3)))),0)</f>
        <v>0</v>
      </c>
      <c r="AT558" s="484">
        <f>IFERROR(IF(Input!AM114=0,0,(Input!AM114*$M505*((1+$S505)^VLOOKUP(AT$496-$S558+1,$N$576:$P$585,3)))),0)</f>
        <v>0</v>
      </c>
      <c r="AU558" s="484">
        <f>IFERROR(IF(Input!AN114=0,0,(Input!AN114*$M505*((1+$S505)^VLOOKUP(AU$496-$S558+1,$N$576:$P$585,3)))),0)</f>
        <v>0</v>
      </c>
      <c r="AV558" s="484">
        <f>IFERROR(IF(Input!AO114=0,0,(Input!AO114*$M505*((1+$S505)^VLOOKUP(AV$496-$S558+1,$N$576:$P$585,3)))),0)</f>
        <v>0</v>
      </c>
      <c r="AW558" s="484">
        <f>IFERROR(IF(Input!AP114=0,0,(Input!AP114*$M505*((1+$S505)^VLOOKUP(AW$496-$S558+1,$N$576:$P$585,3)))),0)</f>
        <v>0</v>
      </c>
      <c r="AX558" s="484">
        <f>IFERROR(IF(Input!AQ114=0,0,(Input!AQ114*$M505*((1+$S505)^VLOOKUP(AX$496-$S558+1,$N$576:$P$585,3)))),0)</f>
        <v>0</v>
      </c>
      <c r="AY558" s="484">
        <f>IFERROR(IF(Input!AR114=0,0,(Input!AR114*$M505*((1+$S505)^VLOOKUP(AY$496-$S558+1,$N$576:$P$585,3)))),0)</f>
        <v>0</v>
      </c>
      <c r="AZ558" s="484">
        <f>IFERROR(IF(Input!AS114=0,0,(Input!AS114*$M505*((1+$S505)^VLOOKUP(AZ$496-$S558+1,$N$576:$P$585,3)))),0)</f>
        <v>0</v>
      </c>
      <c r="BA558" s="484">
        <f>IFERROR(IF(Input!AT114=0,0,(Input!AT114*$M505*((1+$S505)^VLOOKUP(BA$496-$S558+1,$N$576:$P$585,3)))),0)</f>
        <v>0</v>
      </c>
      <c r="BB558" s="484">
        <f>IFERROR(IF(Input!AU114=0,0,(Input!AU114*$M505*((1+$S505)^VLOOKUP(BB$496-$S558+1,$N$576:$P$585,3)))),0)</f>
        <v>0</v>
      </c>
      <c r="BC558" s="484">
        <f>IFERROR(IF(Input!AV114=0,0,(Input!AV114*$M505*((1+$S505)^VLOOKUP(BC$496-$S558+1,$N$576:$P$585,3)))),0)</f>
        <v>0</v>
      </c>
      <c r="BD558" s="484">
        <f>IFERROR(IF(Input!AW114=0,0,(Input!AW114*$M505*((1+$S505)^VLOOKUP(BD$496-$S558+1,$N$576:$P$585,3)))),0)</f>
        <v>0</v>
      </c>
      <c r="BE558" s="484">
        <f>IFERROR(IF(Input!AX114=0,0,(Input!AX114*$M505*((1+$S505)^VLOOKUP(BE$496-$S558+1,$N$576:$P$585,3)))),0)</f>
        <v>0</v>
      </c>
      <c r="BF558" s="484">
        <f>IFERROR(IF(Input!AY114=0,0,(Input!AY114*$M505*((1+$S505)^VLOOKUP(BF$496-$S558+1,$N$576:$P$585,3)))),0)</f>
        <v>0</v>
      </c>
      <c r="BG558" s="484">
        <f>IFERROR(IF(Input!AZ114=0,0,(Input!AZ114*$M505*((1+$S505)^VLOOKUP(BG$496-$S558+1,$N$576:$P$585,3)))),0)</f>
        <v>0</v>
      </c>
      <c r="BH558" s="484">
        <f>IFERROR(IF(Input!BA114=0,0,(Input!BA114*$M505*((1+$S505)^VLOOKUP(BH$496-$S558+1,$N$576:$P$585,3)))),0)</f>
        <v>0</v>
      </c>
      <c r="BI558" s="484">
        <f>IFERROR(IF(Input!BB114=0,0,(Input!BB114*$M505*((1+$S505)^VLOOKUP(BI$496-$S558+1,$N$576:$P$585,3)))),0)</f>
        <v>0</v>
      </c>
      <c r="BJ558" s="484">
        <f>IFERROR(IF(Input!BC114=0,0,(Input!BC114*$M505*((1+$S505)^VLOOKUP(BJ$496-$S558+1,$N$576:$P$585,3)))),0)</f>
        <v>0</v>
      </c>
      <c r="BK558" s="484">
        <f>IFERROR(IF(Input!BD114=0,0,(Input!BD114*$M505*((1+$S505)^VLOOKUP(BK$496-$S558+1,$N$576:$P$585,3)))),0)</f>
        <v>0</v>
      </c>
      <c r="BL558" s="484">
        <f>IFERROR(IF(Input!BE114=0,0,(Input!BE114*$M505*((1+$S505)^VLOOKUP(BL$496-$S558+1,$N$576:$P$585,3)))),0)</f>
        <v>0</v>
      </c>
      <c r="BM558" s="484">
        <f>IFERROR(IF(Input!BF114=0,0,(Input!BF114*$M505*((1+$S505)^VLOOKUP(BM$496-$S558+1,$N$576:$P$585,3)))),0)</f>
        <v>0</v>
      </c>
      <c r="BN558" s="484">
        <f>IFERROR(IF(Input!BG114=0,0,(Input!BG114*$M505*((1+$S505)^VLOOKUP(BN$496-$S558+1,$N$576:$P$585,3)))),0)</f>
        <v>0</v>
      </c>
      <c r="BO558" s="484">
        <f>IFERROR(IF(Input!BH114=0,0,(Input!BH114*$M505*((1+$S505)^VLOOKUP(BO$496-$S558+1,$N$576:$P$585,3)))),0)</f>
        <v>0</v>
      </c>
      <c r="BP558" s="484">
        <f>IFERROR(IF(Input!BI114=0,0,(Input!BI114*$M505*((1+$S505)^VLOOKUP(BP$496-$S558+1,$N$576:$P$585,3)))),0)</f>
        <v>0</v>
      </c>
      <c r="BQ558" s="484">
        <f>IFERROR(IF(Input!BJ114=0,0,(Input!BJ114*$M505*((1+$S505)^VLOOKUP(BQ$496-$S558+1,$N$576:$P$585,3)))),0)</f>
        <v>0</v>
      </c>
      <c r="BR558" s="484">
        <f>IFERROR(IF(Input!BK114=0,0,(Input!BK114*$M505*((1+$S505)^VLOOKUP(BR$496-$S558+1,$N$576:$P$585,3)))),0)</f>
        <v>0</v>
      </c>
      <c r="BS558" s="484">
        <f>IFERROR(IF(Input!BL114=0,0,(Input!BL114*$M505*((1+$S505)^VLOOKUP(BS$496-$S558+1,$N$576:$P$585,3)))),0)</f>
        <v>0</v>
      </c>
      <c r="BT558" s="484">
        <f>IFERROR(IF(Input!BM114=0,0,(Input!BM114*$M505*((1+$S505)^VLOOKUP(BT$496-$S558+1,$N$576:$P$585,3)))),0)</f>
        <v>0</v>
      </c>
      <c r="BU558" s="484">
        <f>IFERROR(IF(Input!BN114=0,0,(Input!BN114*$M505*((1+$S505)^VLOOKUP(BU$496-$S558+1,$N$576:$P$585,3)))),0)</f>
        <v>0</v>
      </c>
      <c r="BV558" s="484">
        <f>IFERROR(IF(Input!BO114=0,0,(Input!BO114*$M505*((1+$S505)^VLOOKUP(BV$496-$S558+1,$N$576:$P$585,3)))),0)</f>
        <v>0</v>
      </c>
      <c r="BW558" s="484">
        <f>IFERROR(IF(Input!BP114=0,0,(Input!BP114*$M505*((1+$S505)^VLOOKUP(BW$496-$S558+1,$N$576:$P$585,3)))),0)</f>
        <v>0</v>
      </c>
      <c r="BX558" s="484">
        <f>IFERROR(IF(Input!BQ114=0,0,(Input!BQ114*$M505*((1+$S505)^VLOOKUP(BX$496-$S558+1,$N$576:$P$585,3)))),0)</f>
        <v>0</v>
      </c>
      <c r="BY558" s="484">
        <f>IFERROR(IF(Input!BR114=0,0,(Input!BR114*$M505*((1+$S505)^VLOOKUP(BY$496-$S558+1,$N$576:$P$585,3)))),0)</f>
        <v>0</v>
      </c>
      <c r="BZ558" s="484">
        <f>IFERROR(IF(Input!BS114=0,0,(Input!BS114*$M505*((1+$S505)^VLOOKUP(BZ$496-$S558+1,$N$576:$P$585,3)))),0)</f>
        <v>0</v>
      </c>
      <c r="CA558" s="484">
        <f>IFERROR(IF(Input!BT114=0,0,(Input!BT114*$M505*((1+$S505)^VLOOKUP(CA$496-$S558+1,$N$576:$P$585,3)))),0)</f>
        <v>0</v>
      </c>
      <c r="CB558" s="484">
        <f>IFERROR(IF(Input!BU114=0,0,(Input!BU114*$M505*((1+$S505)^VLOOKUP(CB$496-$S558+1,$N$576:$P$585,3)))),0)</f>
        <v>0</v>
      </c>
      <c r="CC558" s="484">
        <f>IFERROR(IF(Input!BV114=0,0,(Input!BV114*$M505*((1+$S505)^VLOOKUP(CC$496-$S558+1,$N$576:$P$585,3)))),0)</f>
        <v>0</v>
      </c>
      <c r="CD558" s="484">
        <f>IFERROR(IF(Input!BW114=0,0,(Input!BW114*$M505*((1+$S505)^VLOOKUP(CD$496-$S558+1,$N$576:$P$585,3)))),0)</f>
        <v>0</v>
      </c>
      <c r="CE558" s="1171"/>
      <c r="CF558" s="1171"/>
      <c r="CG558" s="1171"/>
      <c r="CH558" s="1171"/>
      <c r="CI558" s="1171"/>
    </row>
    <row r="559" spans="11:87" ht="12" customHeight="1" x14ac:dyDescent="0.35">
      <c r="K559" s="13"/>
      <c r="L559" s="70"/>
      <c r="M559" s="71"/>
      <c r="N559" s="72" t="s">
        <v>441</v>
      </c>
      <c r="O559" s="75">
        <v>0.06</v>
      </c>
      <c r="P559" s="40"/>
      <c r="Q559" s="40"/>
      <c r="R559" s="13">
        <v>8</v>
      </c>
      <c r="S559" s="13">
        <f>IF(Input!H115&lt;&gt;"",VLOOKUP(Input!$H115,Infrastructure!$D$70:$F$129,3,FALSE),0)</f>
        <v>0</v>
      </c>
      <c r="T559" s="69">
        <f t="shared" si="368"/>
        <v>0</v>
      </c>
      <c r="U559" s="725">
        <f>1+Input!L115+Input!K115</f>
        <v>1</v>
      </c>
      <c r="V559" s="84"/>
      <c r="W559" s="62">
        <f>IFERROR(IF(Input!P115=0,0,(Input!P115*$M506*((1+$S506)^VLOOKUP(W$496-$S559+1,$N$576:$P$585,3)))),0)</f>
        <v>0</v>
      </c>
      <c r="X559" s="62">
        <f>IFERROR(IF(Input!Q115=0,0,(Input!Q115*$M506*((1+$S506)^VLOOKUP(X$496-$S559+1,$N$576:$P$585,3)))),0)</f>
        <v>0</v>
      </c>
      <c r="Y559" s="62">
        <f>IFERROR(IF(Input!R115=0,0,(Input!R115*$M506*((1+$S506)^VLOOKUP(Y$496-$S559+1,$N$576:$P$585,3)))),0)</f>
        <v>0</v>
      </c>
      <c r="Z559" s="62">
        <f>IFERROR(IF(Input!S115=0,0,(Input!S115*$M506*((1+$S506)^VLOOKUP(Z$496-$S559+1,$N$576:$P$585,3)))),0)</f>
        <v>0</v>
      </c>
      <c r="AA559" s="62">
        <f>IFERROR(IF(Input!T115=0,0,(Input!T115*$M506*((1+$S506)^VLOOKUP(AA$496-$S559+1,$N$576:$P$585,3)))),0)</f>
        <v>0</v>
      </c>
      <c r="AB559" s="62">
        <f>IFERROR(IF(Input!U115=0,0,(Input!U115*$M506*((1+$S506)^VLOOKUP(AB$496-$S559+1,$N$576:$P$585,3)))),0)</f>
        <v>0</v>
      </c>
      <c r="AC559" s="62">
        <f>IFERROR(IF(Input!V115=0,0,(Input!V115*$M506*((1+$S506)^VLOOKUP(AC$496-$S559+1,$N$576:$P$585,3)))),0)</f>
        <v>0</v>
      </c>
      <c r="AD559" s="62">
        <f>IFERROR(IF(Input!W115=0,0,(Input!W115*$M506*((1+$S506)^VLOOKUP(AD$496-$S559+1,$N$576:$P$585,3)))),0)</f>
        <v>0</v>
      </c>
      <c r="AE559" s="62">
        <f>IFERROR(IF(Input!X115=0,0,(Input!X115*$M506*((1+$S506)^VLOOKUP(AE$496-$S559+1,$N$576:$P$585,3)))),0)</f>
        <v>0</v>
      </c>
      <c r="AF559" s="484">
        <f>IFERROR(IF(Input!Y115=0,0,(Input!Y115*$M506*((1+$S506)^VLOOKUP(AF$496-$S559+1,$N$576:$P$585,3)))),0)</f>
        <v>0</v>
      </c>
      <c r="AG559" s="484">
        <f>IFERROR(IF(Input!Z115=0,0,(Input!Z115*$M506*((1+$S506)^VLOOKUP(AG$496-$S559+1,$N$576:$P$585,3)))),0)</f>
        <v>0</v>
      </c>
      <c r="AH559" s="484">
        <f>IFERROR(IF(Input!AA115=0,0,(Input!AA115*$M506*((1+$S506)^VLOOKUP(AH$496-$S559+1,$N$576:$P$585,3)))),0)</f>
        <v>0</v>
      </c>
      <c r="AI559" s="484">
        <f>IFERROR(IF(Input!AB115=0,0,(Input!AB115*$M506*((1+$S506)^VLOOKUP(AI$496-$S559+1,$N$576:$P$585,3)))),0)</f>
        <v>0</v>
      </c>
      <c r="AJ559" s="484">
        <f>IFERROR(IF(Input!AC115=0,0,(Input!AC115*$M506*((1+$S506)^VLOOKUP(AJ$496-$S559+1,$N$576:$P$585,3)))),0)</f>
        <v>0</v>
      </c>
      <c r="AK559" s="484">
        <f>IFERROR(IF(Input!AD115=0,0,(Input!AD115*$M506*((1+$S506)^VLOOKUP(AK$496-$S559+1,$N$576:$P$585,3)))),0)</f>
        <v>0</v>
      </c>
      <c r="AL559" s="484">
        <f>IFERROR(IF(Input!AE115=0,0,(Input!AE115*$M506*((1+$S506)^VLOOKUP(AL$496-$S559+1,$N$576:$P$585,3)))),0)</f>
        <v>0</v>
      </c>
      <c r="AM559" s="484">
        <f>IFERROR(IF(Input!AF115=0,0,(Input!AF115*$M506*((1+$S506)^VLOOKUP(AM$496-$S559+1,$N$576:$P$585,3)))),0)</f>
        <v>0</v>
      </c>
      <c r="AN559" s="484">
        <f>IFERROR(IF(Input!AG115=0,0,(Input!AG115*$M506*((1+$S506)^VLOOKUP(AN$496-$S559+1,$N$576:$P$585,3)))),0)</f>
        <v>0</v>
      </c>
      <c r="AO559" s="484">
        <f>IFERROR(IF(Input!AH115=0,0,(Input!AH115*$M506*((1+$S506)^VLOOKUP(AO$496-$S559+1,$N$576:$P$585,3)))),0)</f>
        <v>0</v>
      </c>
      <c r="AP559" s="484">
        <f>IFERROR(IF(Input!AI115=0,0,(Input!AI115*$M506*((1+$S506)^VLOOKUP(AP$496-$S559+1,$N$576:$P$585,3)))),0)</f>
        <v>0</v>
      </c>
      <c r="AQ559" s="484">
        <f>IFERROR(IF(Input!AJ115=0,0,(Input!AJ115*$M506*((1+$S506)^VLOOKUP(AQ$496-$S559+1,$N$576:$P$585,3)))),0)</f>
        <v>0</v>
      </c>
      <c r="AR559" s="484">
        <f>IFERROR(IF(Input!AK115=0,0,(Input!AK115*$M506*((1+$S506)^VLOOKUP(AR$496-$S559+1,$N$576:$P$585,3)))),0)</f>
        <v>0</v>
      </c>
      <c r="AS559" s="484">
        <f>IFERROR(IF(Input!AL115=0,0,(Input!AL115*$M506*((1+$S506)^VLOOKUP(AS$496-$S559+1,$N$576:$P$585,3)))),0)</f>
        <v>0</v>
      </c>
      <c r="AT559" s="484">
        <f>IFERROR(IF(Input!AM115=0,0,(Input!AM115*$M506*((1+$S506)^VLOOKUP(AT$496-$S559+1,$N$576:$P$585,3)))),0)</f>
        <v>0</v>
      </c>
      <c r="AU559" s="484">
        <f>IFERROR(IF(Input!AN115=0,0,(Input!AN115*$M506*((1+$S506)^VLOOKUP(AU$496-$S559+1,$N$576:$P$585,3)))),0)</f>
        <v>0</v>
      </c>
      <c r="AV559" s="484">
        <f>IFERROR(IF(Input!AO115=0,0,(Input!AO115*$M506*((1+$S506)^VLOOKUP(AV$496-$S559+1,$N$576:$P$585,3)))),0)</f>
        <v>0</v>
      </c>
      <c r="AW559" s="484">
        <f>IFERROR(IF(Input!AP115=0,0,(Input!AP115*$M506*((1+$S506)^VLOOKUP(AW$496-$S559+1,$N$576:$P$585,3)))),0)</f>
        <v>0</v>
      </c>
      <c r="AX559" s="484">
        <f>IFERROR(IF(Input!AQ115=0,0,(Input!AQ115*$M506*((1+$S506)^VLOOKUP(AX$496-$S559+1,$N$576:$P$585,3)))),0)</f>
        <v>0</v>
      </c>
      <c r="AY559" s="484">
        <f>IFERROR(IF(Input!AR115=0,0,(Input!AR115*$M506*((1+$S506)^VLOOKUP(AY$496-$S559+1,$N$576:$P$585,3)))),0)</f>
        <v>0</v>
      </c>
      <c r="AZ559" s="484">
        <f>IFERROR(IF(Input!AS115=0,0,(Input!AS115*$M506*((1+$S506)^VLOOKUP(AZ$496-$S559+1,$N$576:$P$585,3)))),0)</f>
        <v>0</v>
      </c>
      <c r="BA559" s="484">
        <f>IFERROR(IF(Input!AT115=0,0,(Input!AT115*$M506*((1+$S506)^VLOOKUP(BA$496-$S559+1,$N$576:$P$585,3)))),0)</f>
        <v>0</v>
      </c>
      <c r="BB559" s="484">
        <f>IFERROR(IF(Input!AU115=0,0,(Input!AU115*$M506*((1+$S506)^VLOOKUP(BB$496-$S559+1,$N$576:$P$585,3)))),0)</f>
        <v>0</v>
      </c>
      <c r="BC559" s="484">
        <f>IFERROR(IF(Input!AV115=0,0,(Input!AV115*$M506*((1+$S506)^VLOOKUP(BC$496-$S559+1,$N$576:$P$585,3)))),0)</f>
        <v>0</v>
      </c>
      <c r="BD559" s="484">
        <f>IFERROR(IF(Input!AW115=0,0,(Input!AW115*$M506*((1+$S506)^VLOOKUP(BD$496-$S559+1,$N$576:$P$585,3)))),0)</f>
        <v>0</v>
      </c>
      <c r="BE559" s="484">
        <f>IFERROR(IF(Input!AX115=0,0,(Input!AX115*$M506*((1+$S506)^VLOOKUP(BE$496-$S559+1,$N$576:$P$585,3)))),0)</f>
        <v>0</v>
      </c>
      <c r="BF559" s="484">
        <f>IFERROR(IF(Input!AY115=0,0,(Input!AY115*$M506*((1+$S506)^VLOOKUP(BF$496-$S559+1,$N$576:$P$585,3)))),0)</f>
        <v>0</v>
      </c>
      <c r="BG559" s="484">
        <f>IFERROR(IF(Input!AZ115=0,0,(Input!AZ115*$M506*((1+$S506)^VLOOKUP(BG$496-$S559+1,$N$576:$P$585,3)))),0)</f>
        <v>0</v>
      </c>
      <c r="BH559" s="484">
        <f>IFERROR(IF(Input!BA115=0,0,(Input!BA115*$M506*((1+$S506)^VLOOKUP(BH$496-$S559+1,$N$576:$P$585,3)))),0)</f>
        <v>0</v>
      </c>
      <c r="BI559" s="484">
        <f>IFERROR(IF(Input!BB115=0,0,(Input!BB115*$M506*((1+$S506)^VLOOKUP(BI$496-$S559+1,$N$576:$P$585,3)))),0)</f>
        <v>0</v>
      </c>
      <c r="BJ559" s="484">
        <f>IFERROR(IF(Input!BC115=0,0,(Input!BC115*$M506*((1+$S506)^VLOOKUP(BJ$496-$S559+1,$N$576:$P$585,3)))),0)</f>
        <v>0</v>
      </c>
      <c r="BK559" s="484">
        <f>IFERROR(IF(Input!BD115=0,0,(Input!BD115*$M506*((1+$S506)^VLOOKUP(BK$496-$S559+1,$N$576:$P$585,3)))),0)</f>
        <v>0</v>
      </c>
      <c r="BL559" s="484">
        <f>IFERROR(IF(Input!BE115=0,0,(Input!BE115*$M506*((1+$S506)^VLOOKUP(BL$496-$S559+1,$N$576:$P$585,3)))),0)</f>
        <v>0</v>
      </c>
      <c r="BM559" s="484">
        <f>IFERROR(IF(Input!BF115=0,0,(Input!BF115*$M506*((1+$S506)^VLOOKUP(BM$496-$S559+1,$N$576:$P$585,3)))),0)</f>
        <v>0</v>
      </c>
      <c r="BN559" s="484">
        <f>IFERROR(IF(Input!BG115=0,0,(Input!BG115*$M506*((1+$S506)^VLOOKUP(BN$496-$S559+1,$N$576:$P$585,3)))),0)</f>
        <v>0</v>
      </c>
      <c r="BO559" s="484">
        <f>IFERROR(IF(Input!BH115=0,0,(Input!BH115*$M506*((1+$S506)^VLOOKUP(BO$496-$S559+1,$N$576:$P$585,3)))),0)</f>
        <v>0</v>
      </c>
      <c r="BP559" s="484">
        <f>IFERROR(IF(Input!BI115=0,0,(Input!BI115*$M506*((1+$S506)^VLOOKUP(BP$496-$S559+1,$N$576:$P$585,3)))),0)</f>
        <v>0</v>
      </c>
      <c r="BQ559" s="484">
        <f>IFERROR(IF(Input!BJ115=0,0,(Input!BJ115*$M506*((1+$S506)^VLOOKUP(BQ$496-$S559+1,$N$576:$P$585,3)))),0)</f>
        <v>0</v>
      </c>
      <c r="BR559" s="484">
        <f>IFERROR(IF(Input!BK115=0,0,(Input!BK115*$M506*((1+$S506)^VLOOKUP(BR$496-$S559+1,$N$576:$P$585,3)))),0)</f>
        <v>0</v>
      </c>
      <c r="BS559" s="484">
        <f>IFERROR(IF(Input!BL115=0,0,(Input!BL115*$M506*((1+$S506)^VLOOKUP(BS$496-$S559+1,$N$576:$P$585,3)))),0)</f>
        <v>0</v>
      </c>
      <c r="BT559" s="484">
        <f>IFERROR(IF(Input!BM115=0,0,(Input!BM115*$M506*((1+$S506)^VLOOKUP(BT$496-$S559+1,$N$576:$P$585,3)))),0)</f>
        <v>0</v>
      </c>
      <c r="BU559" s="484">
        <f>IFERROR(IF(Input!BN115=0,0,(Input!BN115*$M506*((1+$S506)^VLOOKUP(BU$496-$S559+1,$N$576:$P$585,3)))),0)</f>
        <v>0</v>
      </c>
      <c r="BV559" s="484">
        <f>IFERROR(IF(Input!BO115=0,0,(Input!BO115*$M506*((1+$S506)^VLOOKUP(BV$496-$S559+1,$N$576:$P$585,3)))),0)</f>
        <v>0</v>
      </c>
      <c r="BW559" s="484">
        <f>IFERROR(IF(Input!BP115=0,0,(Input!BP115*$M506*((1+$S506)^VLOOKUP(BW$496-$S559+1,$N$576:$P$585,3)))),0)</f>
        <v>0</v>
      </c>
      <c r="BX559" s="484">
        <f>IFERROR(IF(Input!BQ115=0,0,(Input!BQ115*$M506*((1+$S506)^VLOOKUP(BX$496-$S559+1,$N$576:$P$585,3)))),0)</f>
        <v>0</v>
      </c>
      <c r="BY559" s="484">
        <f>IFERROR(IF(Input!BR115=0,0,(Input!BR115*$M506*((1+$S506)^VLOOKUP(BY$496-$S559+1,$N$576:$P$585,3)))),0)</f>
        <v>0</v>
      </c>
      <c r="BZ559" s="484">
        <f>IFERROR(IF(Input!BS115=0,0,(Input!BS115*$M506*((1+$S506)^VLOOKUP(BZ$496-$S559+1,$N$576:$P$585,3)))),0)</f>
        <v>0</v>
      </c>
      <c r="CA559" s="484">
        <f>IFERROR(IF(Input!BT115=0,0,(Input!BT115*$M506*((1+$S506)^VLOOKUP(CA$496-$S559+1,$N$576:$P$585,3)))),0)</f>
        <v>0</v>
      </c>
      <c r="CB559" s="484">
        <f>IFERROR(IF(Input!BU115=0,0,(Input!BU115*$M506*((1+$S506)^VLOOKUP(CB$496-$S559+1,$N$576:$P$585,3)))),0)</f>
        <v>0</v>
      </c>
      <c r="CC559" s="484">
        <f>IFERROR(IF(Input!BV115=0,0,(Input!BV115*$M506*((1+$S506)^VLOOKUP(CC$496-$S559+1,$N$576:$P$585,3)))),0)</f>
        <v>0</v>
      </c>
      <c r="CD559" s="484">
        <f>IFERROR(IF(Input!BW115=0,0,(Input!BW115*$M506*((1+$S506)^VLOOKUP(CD$496-$S559+1,$N$576:$P$585,3)))),0)</f>
        <v>0</v>
      </c>
      <c r="CE559" s="1171"/>
      <c r="CF559" s="1171"/>
      <c r="CG559" s="1171"/>
      <c r="CH559" s="1171"/>
      <c r="CI559" s="1171"/>
    </row>
    <row r="560" spans="11:87" ht="12" customHeight="1" x14ac:dyDescent="0.35">
      <c r="K560" s="13"/>
      <c r="L560" s="70"/>
      <c r="M560" s="71"/>
      <c r="N560" s="72" t="s">
        <v>142</v>
      </c>
      <c r="O560" s="75">
        <v>1.4999999999999999E-2</v>
      </c>
      <c r="P560" s="40"/>
      <c r="Q560" s="40"/>
      <c r="R560" s="40">
        <v>9</v>
      </c>
      <c r="S560" s="13">
        <f>IF(Input!H116&lt;&gt;"",VLOOKUP(Input!$H116,Infrastructure!$D$70:$F$129,3,FALSE),0)</f>
        <v>0</v>
      </c>
      <c r="T560" s="69">
        <f t="shared" si="368"/>
        <v>0</v>
      </c>
      <c r="U560" s="725">
        <f>1+Input!L116+Input!K116</f>
        <v>1</v>
      </c>
      <c r="V560" s="84"/>
      <c r="W560" s="62">
        <f>IFERROR(IF(Input!P116=0,0,(Input!P116*$M507*((1+$S507)^VLOOKUP(W$496-$S560+1,$N$576:$P$585,3)))),0)</f>
        <v>0</v>
      </c>
      <c r="X560" s="62">
        <f>IFERROR(IF(Input!Q116=0,0,(Input!Q116*$M507*((1+$S507)^VLOOKUP(X$496-$S560+1,$N$576:$P$585,3)))),0)</f>
        <v>0</v>
      </c>
      <c r="Y560" s="62">
        <f>IFERROR(IF(Input!R116=0,0,(Input!R116*$M507*((1+$S507)^VLOOKUP(Y$496-$S560+1,$N$576:$P$585,3)))),0)</f>
        <v>0</v>
      </c>
      <c r="Z560" s="62">
        <f>IFERROR(IF(Input!S116=0,0,(Input!S116*$M507*((1+$S507)^VLOOKUP(Z$496-$S560+1,$N$576:$P$585,3)))),0)</f>
        <v>0</v>
      </c>
      <c r="AA560" s="62">
        <f>IFERROR(IF(Input!T116=0,0,(Input!T116*$M507*((1+$S507)^VLOOKUP(AA$496-$S560+1,$N$576:$P$585,3)))),0)</f>
        <v>0</v>
      </c>
      <c r="AB560" s="62">
        <f>IFERROR(IF(Input!U116=0,0,(Input!U116*$M507*((1+$S507)^VLOOKUP(AB$496-$S560+1,$N$576:$P$585,3)))),0)</f>
        <v>0</v>
      </c>
      <c r="AC560" s="62">
        <f>IFERROR(IF(Input!V116=0,0,(Input!V116*$M507*((1+$S507)^VLOOKUP(AC$496-$S560+1,$N$576:$P$585,3)))),0)</f>
        <v>0</v>
      </c>
      <c r="AD560" s="62">
        <f>IFERROR(IF(Input!W116=0,0,(Input!W116*$M507*((1+$S507)^VLOOKUP(AD$496-$S560+1,$N$576:$P$585,3)))),0)</f>
        <v>0</v>
      </c>
      <c r="AE560" s="62">
        <f>IFERROR(IF(Input!X116=0,0,(Input!X116*$M507*((1+$S507)^VLOOKUP(AE$496-$S560+1,$N$576:$P$585,3)))),0)</f>
        <v>0</v>
      </c>
      <c r="AF560" s="484">
        <f>IFERROR(IF(Input!Y116=0,0,(Input!Y116*$M507*((1+$S507)^VLOOKUP(AF$496-$S560+1,$N$576:$P$585,3)))),0)</f>
        <v>0</v>
      </c>
      <c r="AG560" s="484">
        <f>IFERROR(IF(Input!Z116=0,0,(Input!Z116*$M507*((1+$S507)^VLOOKUP(AG$496-$S560+1,$N$576:$P$585,3)))),0)</f>
        <v>0</v>
      </c>
      <c r="AH560" s="484">
        <f>IFERROR(IF(Input!AA116=0,0,(Input!AA116*$M507*((1+$S507)^VLOOKUP(AH$496-$S560+1,$N$576:$P$585,3)))),0)</f>
        <v>0</v>
      </c>
      <c r="AI560" s="484">
        <f>IFERROR(IF(Input!AB116=0,0,(Input!AB116*$M507*((1+$S507)^VLOOKUP(AI$496-$S560+1,$N$576:$P$585,3)))),0)</f>
        <v>0</v>
      </c>
      <c r="AJ560" s="484">
        <f>IFERROR(IF(Input!AC116=0,0,(Input!AC116*$M507*((1+$S507)^VLOOKUP(AJ$496-$S560+1,$N$576:$P$585,3)))),0)</f>
        <v>0</v>
      </c>
      <c r="AK560" s="484">
        <f>IFERROR(IF(Input!AD116=0,0,(Input!AD116*$M507*((1+$S507)^VLOOKUP(AK$496-$S560+1,$N$576:$P$585,3)))),0)</f>
        <v>0</v>
      </c>
      <c r="AL560" s="484">
        <f>IFERROR(IF(Input!AE116=0,0,(Input!AE116*$M507*((1+$S507)^VLOOKUP(AL$496-$S560+1,$N$576:$P$585,3)))),0)</f>
        <v>0</v>
      </c>
      <c r="AM560" s="484">
        <f>IFERROR(IF(Input!AF116=0,0,(Input!AF116*$M507*((1+$S507)^VLOOKUP(AM$496-$S560+1,$N$576:$P$585,3)))),0)</f>
        <v>0</v>
      </c>
      <c r="AN560" s="484">
        <f>IFERROR(IF(Input!AG116=0,0,(Input!AG116*$M507*((1+$S507)^VLOOKUP(AN$496-$S560+1,$N$576:$P$585,3)))),0)</f>
        <v>0</v>
      </c>
      <c r="AO560" s="484">
        <f>IFERROR(IF(Input!AH116=0,0,(Input!AH116*$M507*((1+$S507)^VLOOKUP(AO$496-$S560+1,$N$576:$P$585,3)))),0)</f>
        <v>0</v>
      </c>
      <c r="AP560" s="484">
        <f>IFERROR(IF(Input!AI116=0,0,(Input!AI116*$M507*((1+$S507)^VLOOKUP(AP$496-$S560+1,$N$576:$P$585,3)))),0)</f>
        <v>0</v>
      </c>
      <c r="AQ560" s="484">
        <f>IFERROR(IF(Input!AJ116=0,0,(Input!AJ116*$M507*((1+$S507)^VLOOKUP(AQ$496-$S560+1,$N$576:$P$585,3)))),0)</f>
        <v>0</v>
      </c>
      <c r="AR560" s="484">
        <f>IFERROR(IF(Input!AK116=0,0,(Input!AK116*$M507*((1+$S507)^VLOOKUP(AR$496-$S560+1,$N$576:$P$585,3)))),0)</f>
        <v>0</v>
      </c>
      <c r="AS560" s="484">
        <f>IFERROR(IF(Input!AL116=0,0,(Input!AL116*$M507*((1+$S507)^VLOOKUP(AS$496-$S560+1,$N$576:$P$585,3)))),0)</f>
        <v>0</v>
      </c>
      <c r="AT560" s="484">
        <f>IFERROR(IF(Input!AM116=0,0,(Input!AM116*$M507*((1+$S507)^VLOOKUP(AT$496-$S560+1,$N$576:$P$585,3)))),0)</f>
        <v>0</v>
      </c>
      <c r="AU560" s="484">
        <f>IFERROR(IF(Input!AN116=0,0,(Input!AN116*$M507*((1+$S507)^VLOOKUP(AU$496-$S560+1,$N$576:$P$585,3)))),0)</f>
        <v>0</v>
      </c>
      <c r="AV560" s="484">
        <f>IFERROR(IF(Input!AO116=0,0,(Input!AO116*$M507*((1+$S507)^VLOOKUP(AV$496-$S560+1,$N$576:$P$585,3)))),0)</f>
        <v>0</v>
      </c>
      <c r="AW560" s="484">
        <f>IFERROR(IF(Input!AP116=0,0,(Input!AP116*$M507*((1+$S507)^VLOOKUP(AW$496-$S560+1,$N$576:$P$585,3)))),0)</f>
        <v>0</v>
      </c>
      <c r="AX560" s="484">
        <f>IFERROR(IF(Input!AQ116=0,0,(Input!AQ116*$M507*((1+$S507)^VLOOKUP(AX$496-$S560+1,$N$576:$P$585,3)))),0)</f>
        <v>0</v>
      </c>
      <c r="AY560" s="484">
        <f>IFERROR(IF(Input!AR116=0,0,(Input!AR116*$M507*((1+$S507)^VLOOKUP(AY$496-$S560+1,$N$576:$P$585,3)))),0)</f>
        <v>0</v>
      </c>
      <c r="AZ560" s="484">
        <f>IFERROR(IF(Input!AS116=0,0,(Input!AS116*$M507*((1+$S507)^VLOOKUP(AZ$496-$S560+1,$N$576:$P$585,3)))),0)</f>
        <v>0</v>
      </c>
      <c r="BA560" s="484">
        <f>IFERROR(IF(Input!AT116=0,0,(Input!AT116*$M507*((1+$S507)^VLOOKUP(BA$496-$S560+1,$N$576:$P$585,3)))),0)</f>
        <v>0</v>
      </c>
      <c r="BB560" s="484">
        <f>IFERROR(IF(Input!AU116=0,0,(Input!AU116*$M507*((1+$S507)^VLOOKUP(BB$496-$S560+1,$N$576:$P$585,3)))),0)</f>
        <v>0</v>
      </c>
      <c r="BC560" s="484">
        <f>IFERROR(IF(Input!AV116=0,0,(Input!AV116*$M507*((1+$S507)^VLOOKUP(BC$496-$S560+1,$N$576:$P$585,3)))),0)</f>
        <v>0</v>
      </c>
      <c r="BD560" s="484">
        <f>IFERROR(IF(Input!AW116=0,0,(Input!AW116*$M507*((1+$S507)^VLOOKUP(BD$496-$S560+1,$N$576:$P$585,3)))),0)</f>
        <v>0</v>
      </c>
      <c r="BE560" s="484">
        <f>IFERROR(IF(Input!AX116=0,0,(Input!AX116*$M507*((1+$S507)^VLOOKUP(BE$496-$S560+1,$N$576:$P$585,3)))),0)</f>
        <v>0</v>
      </c>
      <c r="BF560" s="484">
        <f>IFERROR(IF(Input!AY116=0,0,(Input!AY116*$M507*((1+$S507)^VLOOKUP(BF$496-$S560+1,$N$576:$P$585,3)))),0)</f>
        <v>0</v>
      </c>
      <c r="BG560" s="484">
        <f>IFERROR(IF(Input!AZ116=0,0,(Input!AZ116*$M507*((1+$S507)^VLOOKUP(BG$496-$S560+1,$N$576:$P$585,3)))),0)</f>
        <v>0</v>
      </c>
      <c r="BH560" s="484">
        <f>IFERROR(IF(Input!BA116=0,0,(Input!BA116*$M507*((1+$S507)^VLOOKUP(BH$496-$S560+1,$N$576:$P$585,3)))),0)</f>
        <v>0</v>
      </c>
      <c r="BI560" s="484">
        <f>IFERROR(IF(Input!BB116=0,0,(Input!BB116*$M507*((1+$S507)^VLOOKUP(BI$496-$S560+1,$N$576:$P$585,3)))),0)</f>
        <v>0</v>
      </c>
      <c r="BJ560" s="484">
        <f>IFERROR(IF(Input!BC116=0,0,(Input!BC116*$M507*((1+$S507)^VLOOKUP(BJ$496-$S560+1,$N$576:$P$585,3)))),0)</f>
        <v>0</v>
      </c>
      <c r="BK560" s="484">
        <f>IFERROR(IF(Input!BD116=0,0,(Input!BD116*$M507*((1+$S507)^VLOOKUP(BK$496-$S560+1,$N$576:$P$585,3)))),0)</f>
        <v>0</v>
      </c>
      <c r="BL560" s="484">
        <f>IFERROR(IF(Input!BE116=0,0,(Input!BE116*$M507*((1+$S507)^VLOOKUP(BL$496-$S560+1,$N$576:$P$585,3)))),0)</f>
        <v>0</v>
      </c>
      <c r="BM560" s="484">
        <f>IFERROR(IF(Input!BF116=0,0,(Input!BF116*$M507*((1+$S507)^VLOOKUP(BM$496-$S560+1,$N$576:$P$585,3)))),0)</f>
        <v>0</v>
      </c>
      <c r="BN560" s="484">
        <f>IFERROR(IF(Input!BG116=0,0,(Input!BG116*$M507*((1+$S507)^VLOOKUP(BN$496-$S560+1,$N$576:$P$585,3)))),0)</f>
        <v>0</v>
      </c>
      <c r="BO560" s="484">
        <f>IFERROR(IF(Input!BH116=0,0,(Input!BH116*$M507*((1+$S507)^VLOOKUP(BO$496-$S560+1,$N$576:$P$585,3)))),0)</f>
        <v>0</v>
      </c>
      <c r="BP560" s="484">
        <f>IFERROR(IF(Input!BI116=0,0,(Input!BI116*$M507*((1+$S507)^VLOOKUP(BP$496-$S560+1,$N$576:$P$585,3)))),0)</f>
        <v>0</v>
      </c>
      <c r="BQ560" s="484">
        <f>IFERROR(IF(Input!BJ116=0,0,(Input!BJ116*$M507*((1+$S507)^VLOOKUP(BQ$496-$S560+1,$N$576:$P$585,3)))),0)</f>
        <v>0</v>
      </c>
      <c r="BR560" s="484">
        <f>IFERROR(IF(Input!BK116=0,0,(Input!BK116*$M507*((1+$S507)^VLOOKUP(BR$496-$S560+1,$N$576:$P$585,3)))),0)</f>
        <v>0</v>
      </c>
      <c r="BS560" s="484">
        <f>IFERROR(IF(Input!BL116=0,0,(Input!BL116*$M507*((1+$S507)^VLOOKUP(BS$496-$S560+1,$N$576:$P$585,3)))),0)</f>
        <v>0</v>
      </c>
      <c r="BT560" s="484">
        <f>IFERROR(IF(Input!BM116=0,0,(Input!BM116*$M507*((1+$S507)^VLOOKUP(BT$496-$S560+1,$N$576:$P$585,3)))),0)</f>
        <v>0</v>
      </c>
      <c r="BU560" s="484">
        <f>IFERROR(IF(Input!BN116=0,0,(Input!BN116*$M507*((1+$S507)^VLOOKUP(BU$496-$S560+1,$N$576:$P$585,3)))),0)</f>
        <v>0</v>
      </c>
      <c r="BV560" s="484">
        <f>IFERROR(IF(Input!BO116=0,0,(Input!BO116*$M507*((1+$S507)^VLOOKUP(BV$496-$S560+1,$N$576:$P$585,3)))),0)</f>
        <v>0</v>
      </c>
      <c r="BW560" s="484">
        <f>IFERROR(IF(Input!BP116=0,0,(Input!BP116*$M507*((1+$S507)^VLOOKUP(BW$496-$S560+1,$N$576:$P$585,3)))),0)</f>
        <v>0</v>
      </c>
      <c r="BX560" s="484">
        <f>IFERROR(IF(Input!BQ116=0,0,(Input!BQ116*$M507*((1+$S507)^VLOOKUP(BX$496-$S560+1,$N$576:$P$585,3)))),0)</f>
        <v>0</v>
      </c>
      <c r="BY560" s="484">
        <f>IFERROR(IF(Input!BR116=0,0,(Input!BR116*$M507*((1+$S507)^VLOOKUP(BY$496-$S560+1,$N$576:$P$585,3)))),0)</f>
        <v>0</v>
      </c>
      <c r="BZ560" s="484">
        <f>IFERROR(IF(Input!BS116=0,0,(Input!BS116*$M507*((1+$S507)^VLOOKUP(BZ$496-$S560+1,$N$576:$P$585,3)))),0)</f>
        <v>0</v>
      </c>
      <c r="CA560" s="484">
        <f>IFERROR(IF(Input!BT116=0,0,(Input!BT116*$M507*((1+$S507)^VLOOKUP(CA$496-$S560+1,$N$576:$P$585,3)))),0)</f>
        <v>0</v>
      </c>
      <c r="CB560" s="484">
        <f>IFERROR(IF(Input!BU116=0,0,(Input!BU116*$M507*((1+$S507)^VLOOKUP(CB$496-$S560+1,$N$576:$P$585,3)))),0)</f>
        <v>0</v>
      </c>
      <c r="CC560" s="484">
        <f>IFERROR(IF(Input!BV116=0,0,(Input!BV116*$M507*((1+$S507)^VLOOKUP(CC$496-$S560+1,$N$576:$P$585,3)))),0)</f>
        <v>0</v>
      </c>
      <c r="CD560" s="484">
        <f>IFERROR(IF(Input!BW116=0,0,(Input!BW116*$M507*((1+$S507)^VLOOKUP(CD$496-$S560+1,$N$576:$P$585,3)))),0)</f>
        <v>0</v>
      </c>
      <c r="CE560" s="1171"/>
      <c r="CF560" s="1171"/>
      <c r="CG560" s="1171"/>
      <c r="CH560" s="1171"/>
      <c r="CI560" s="1171"/>
    </row>
    <row r="561" spans="11:87" ht="12" customHeight="1" thickBot="1" x14ac:dyDescent="0.4">
      <c r="K561" s="13"/>
      <c r="L561" s="70"/>
      <c r="M561" s="71"/>
      <c r="N561" s="72" t="s">
        <v>143</v>
      </c>
      <c r="O561" s="76">
        <v>0</v>
      </c>
      <c r="P561" s="70"/>
      <c r="Q561" s="70"/>
      <c r="R561" s="13">
        <v>10</v>
      </c>
      <c r="S561" s="13">
        <f>IF(Input!H117&lt;&gt;"",VLOOKUP(Input!$H117,Infrastructure!$D$70:$F$129,3,FALSE),0)</f>
        <v>0</v>
      </c>
      <c r="T561" s="69">
        <f t="shared" si="368"/>
        <v>0</v>
      </c>
      <c r="U561" s="725">
        <f>1+Input!L117+Input!K117</f>
        <v>1</v>
      </c>
      <c r="V561" s="84"/>
      <c r="W561" s="62">
        <f>IFERROR(IF(Input!P117=0,0,(Input!P117*$M508*((1+$S508)^VLOOKUP(W$496-$S561+1,$N$576:$P$585,3)))),0)</f>
        <v>0</v>
      </c>
      <c r="X561" s="62">
        <f>IFERROR(IF(Input!Q117=0,0,(Input!Q117*$M508*((1+$S508)^VLOOKUP(X$496-$S561+1,$N$576:$P$585,3)))),0)</f>
        <v>0</v>
      </c>
      <c r="Y561" s="62">
        <f>IFERROR(IF(Input!R117=0,0,(Input!R117*$M508*((1+$S508)^VLOOKUP(Y$496-$S561+1,$N$576:$P$585,3)))),0)</f>
        <v>0</v>
      </c>
      <c r="Z561" s="62">
        <f>IFERROR(IF(Input!S117=0,0,(Input!S117*$M508*((1+$S508)^VLOOKUP(Z$496-$S561+1,$N$576:$P$585,3)))),0)</f>
        <v>0</v>
      </c>
      <c r="AA561" s="62">
        <f>IFERROR(IF(Input!T117=0,0,(Input!T117*$M508*((1+$S508)^VLOOKUP(AA$496-$S561+1,$N$576:$P$585,3)))),0)</f>
        <v>0</v>
      </c>
      <c r="AB561" s="62">
        <f>IFERROR(IF(Input!U117=0,0,(Input!U117*$M508*((1+$S508)^VLOOKUP(AB$496-$S561+1,$N$576:$P$585,3)))),0)</f>
        <v>0</v>
      </c>
      <c r="AC561" s="62">
        <f>IFERROR(IF(Input!V117=0,0,(Input!V117*$M508*((1+$S508)^VLOOKUP(AC$496-$S561+1,$N$576:$P$585,3)))),0)</f>
        <v>0</v>
      </c>
      <c r="AD561" s="62">
        <f>IFERROR(IF(Input!W117=0,0,(Input!W117*$M508*((1+$S508)^VLOOKUP(AD$496-$S561+1,$N$576:$P$585,3)))),0)</f>
        <v>0</v>
      </c>
      <c r="AE561" s="62">
        <f>IFERROR(IF(Input!X117=0,0,(Input!X117*$M508*((1+$S508)^VLOOKUP(AE$496-$S561+1,$N$576:$P$585,3)))),0)</f>
        <v>0</v>
      </c>
      <c r="AF561" s="484">
        <f>IFERROR(IF(Input!Y117=0,0,(Input!Y117*$M508*((1+$S508)^VLOOKUP(AF$496-$S561+1,$N$576:$P$585,3)))),0)</f>
        <v>0</v>
      </c>
      <c r="AG561" s="484">
        <f>IFERROR(IF(Input!Z117=0,0,(Input!Z117*$M508*((1+$S508)^VLOOKUP(AG$496-$S561+1,$N$576:$P$585,3)))),0)</f>
        <v>0</v>
      </c>
      <c r="AH561" s="484">
        <f>IFERROR(IF(Input!AA117=0,0,(Input!AA117*$M508*((1+$S508)^VLOOKUP(AH$496-$S561+1,$N$576:$P$585,3)))),0)</f>
        <v>0</v>
      </c>
      <c r="AI561" s="484">
        <f>IFERROR(IF(Input!AB117=0,0,(Input!AB117*$M508*((1+$S508)^VLOOKUP(AI$496-$S561+1,$N$576:$P$585,3)))),0)</f>
        <v>0</v>
      </c>
      <c r="AJ561" s="484">
        <f>IFERROR(IF(Input!AC117=0,0,(Input!AC117*$M508*((1+$S508)^VLOOKUP(AJ$496-$S561+1,$N$576:$P$585,3)))),0)</f>
        <v>0</v>
      </c>
      <c r="AK561" s="484">
        <f>IFERROR(IF(Input!AD117=0,0,(Input!AD117*$M508*((1+$S508)^VLOOKUP(AK$496-$S561+1,$N$576:$P$585,3)))),0)</f>
        <v>0</v>
      </c>
      <c r="AL561" s="484">
        <f>IFERROR(IF(Input!AE117=0,0,(Input!AE117*$M508*((1+$S508)^VLOOKUP(AL$496-$S561+1,$N$576:$P$585,3)))),0)</f>
        <v>0</v>
      </c>
      <c r="AM561" s="484">
        <f>IFERROR(IF(Input!AF117=0,0,(Input!AF117*$M508*((1+$S508)^VLOOKUP(AM$496-$S561+1,$N$576:$P$585,3)))),0)</f>
        <v>0</v>
      </c>
      <c r="AN561" s="484">
        <f>IFERROR(IF(Input!AG117=0,0,(Input!AG117*$M508*((1+$S508)^VLOOKUP(AN$496-$S561+1,$N$576:$P$585,3)))),0)</f>
        <v>0</v>
      </c>
      <c r="AO561" s="484">
        <f>IFERROR(IF(Input!AH117=0,0,(Input!AH117*$M508*((1+$S508)^VLOOKUP(AO$496-$S561+1,$N$576:$P$585,3)))),0)</f>
        <v>0</v>
      </c>
      <c r="AP561" s="484">
        <f>IFERROR(IF(Input!AI117=0,0,(Input!AI117*$M508*((1+$S508)^VLOOKUP(AP$496-$S561+1,$N$576:$P$585,3)))),0)</f>
        <v>0</v>
      </c>
      <c r="AQ561" s="484">
        <f>IFERROR(IF(Input!AJ117=0,0,(Input!AJ117*$M508*((1+$S508)^VLOOKUP(AQ$496-$S561+1,$N$576:$P$585,3)))),0)</f>
        <v>0</v>
      </c>
      <c r="AR561" s="484">
        <f>IFERROR(IF(Input!AK117=0,0,(Input!AK117*$M508*((1+$S508)^VLOOKUP(AR$496-$S561+1,$N$576:$P$585,3)))),0)</f>
        <v>0</v>
      </c>
      <c r="AS561" s="484">
        <f>IFERROR(IF(Input!AL117=0,0,(Input!AL117*$M508*((1+$S508)^VLOOKUP(AS$496-$S561+1,$N$576:$P$585,3)))),0)</f>
        <v>0</v>
      </c>
      <c r="AT561" s="484">
        <f>IFERROR(IF(Input!AM117=0,0,(Input!AM117*$M508*((1+$S508)^VLOOKUP(AT$496-$S561+1,$N$576:$P$585,3)))),0)</f>
        <v>0</v>
      </c>
      <c r="AU561" s="484">
        <f>IFERROR(IF(Input!AN117=0,0,(Input!AN117*$M508*((1+$S508)^VLOOKUP(AU$496-$S561+1,$N$576:$P$585,3)))),0)</f>
        <v>0</v>
      </c>
      <c r="AV561" s="484">
        <f>IFERROR(IF(Input!AO117=0,0,(Input!AO117*$M508*((1+$S508)^VLOOKUP(AV$496-$S561+1,$N$576:$P$585,3)))),0)</f>
        <v>0</v>
      </c>
      <c r="AW561" s="484">
        <f>IFERROR(IF(Input!AP117=0,0,(Input!AP117*$M508*((1+$S508)^VLOOKUP(AW$496-$S561+1,$N$576:$P$585,3)))),0)</f>
        <v>0</v>
      </c>
      <c r="AX561" s="484">
        <f>IFERROR(IF(Input!AQ117=0,0,(Input!AQ117*$M508*((1+$S508)^VLOOKUP(AX$496-$S561+1,$N$576:$P$585,3)))),0)</f>
        <v>0</v>
      </c>
      <c r="AY561" s="484">
        <f>IFERROR(IF(Input!AR117=0,0,(Input!AR117*$M508*((1+$S508)^VLOOKUP(AY$496-$S561+1,$N$576:$P$585,3)))),0)</f>
        <v>0</v>
      </c>
      <c r="AZ561" s="484">
        <f>IFERROR(IF(Input!AS117=0,0,(Input!AS117*$M508*((1+$S508)^VLOOKUP(AZ$496-$S561+1,$N$576:$P$585,3)))),0)</f>
        <v>0</v>
      </c>
      <c r="BA561" s="484">
        <f>IFERROR(IF(Input!AT117=0,0,(Input!AT117*$M508*((1+$S508)^VLOOKUP(BA$496-$S561+1,$N$576:$P$585,3)))),0)</f>
        <v>0</v>
      </c>
      <c r="BB561" s="484">
        <f>IFERROR(IF(Input!AU117=0,0,(Input!AU117*$M508*((1+$S508)^VLOOKUP(BB$496-$S561+1,$N$576:$P$585,3)))),0)</f>
        <v>0</v>
      </c>
      <c r="BC561" s="484">
        <f>IFERROR(IF(Input!AV117=0,0,(Input!AV117*$M508*((1+$S508)^VLOOKUP(BC$496-$S561+1,$N$576:$P$585,3)))),0)</f>
        <v>0</v>
      </c>
      <c r="BD561" s="484">
        <f>IFERROR(IF(Input!AW117=0,0,(Input!AW117*$M508*((1+$S508)^VLOOKUP(BD$496-$S561+1,$N$576:$P$585,3)))),0)</f>
        <v>0</v>
      </c>
      <c r="BE561" s="484">
        <f>IFERROR(IF(Input!AX117=0,0,(Input!AX117*$M508*((1+$S508)^VLOOKUP(BE$496-$S561+1,$N$576:$P$585,3)))),0)</f>
        <v>0</v>
      </c>
      <c r="BF561" s="484">
        <f>IFERROR(IF(Input!AY117=0,0,(Input!AY117*$M508*((1+$S508)^VLOOKUP(BF$496-$S561+1,$N$576:$P$585,3)))),0)</f>
        <v>0</v>
      </c>
      <c r="BG561" s="484">
        <f>IFERROR(IF(Input!AZ117=0,0,(Input!AZ117*$M508*((1+$S508)^VLOOKUP(BG$496-$S561+1,$N$576:$P$585,3)))),0)</f>
        <v>0</v>
      </c>
      <c r="BH561" s="484">
        <f>IFERROR(IF(Input!BA117=0,0,(Input!BA117*$M508*((1+$S508)^VLOOKUP(BH$496-$S561+1,$N$576:$P$585,3)))),0)</f>
        <v>0</v>
      </c>
      <c r="BI561" s="484">
        <f>IFERROR(IF(Input!BB117=0,0,(Input!BB117*$M508*((1+$S508)^VLOOKUP(BI$496-$S561+1,$N$576:$P$585,3)))),0)</f>
        <v>0</v>
      </c>
      <c r="BJ561" s="484">
        <f>IFERROR(IF(Input!BC117=0,0,(Input!BC117*$M508*((1+$S508)^VLOOKUP(BJ$496-$S561+1,$N$576:$P$585,3)))),0)</f>
        <v>0</v>
      </c>
      <c r="BK561" s="484">
        <f>IFERROR(IF(Input!BD117=0,0,(Input!BD117*$M508*((1+$S508)^VLOOKUP(BK$496-$S561+1,$N$576:$P$585,3)))),0)</f>
        <v>0</v>
      </c>
      <c r="BL561" s="484">
        <f>IFERROR(IF(Input!BE117=0,0,(Input!BE117*$M508*((1+$S508)^VLOOKUP(BL$496-$S561+1,$N$576:$P$585,3)))),0)</f>
        <v>0</v>
      </c>
      <c r="BM561" s="484">
        <f>IFERROR(IF(Input!BF117=0,0,(Input!BF117*$M508*((1+$S508)^VLOOKUP(BM$496-$S561+1,$N$576:$P$585,3)))),0)</f>
        <v>0</v>
      </c>
      <c r="BN561" s="484">
        <f>IFERROR(IF(Input!BG117=0,0,(Input!BG117*$M508*((1+$S508)^VLOOKUP(BN$496-$S561+1,$N$576:$P$585,3)))),0)</f>
        <v>0</v>
      </c>
      <c r="BO561" s="484">
        <f>IFERROR(IF(Input!BH117=0,0,(Input!BH117*$M508*((1+$S508)^VLOOKUP(BO$496-$S561+1,$N$576:$P$585,3)))),0)</f>
        <v>0</v>
      </c>
      <c r="BP561" s="484">
        <f>IFERROR(IF(Input!BI117=0,0,(Input!BI117*$M508*((1+$S508)^VLOOKUP(BP$496-$S561+1,$N$576:$P$585,3)))),0)</f>
        <v>0</v>
      </c>
      <c r="BQ561" s="484">
        <f>IFERROR(IF(Input!BJ117=0,0,(Input!BJ117*$M508*((1+$S508)^VLOOKUP(BQ$496-$S561+1,$N$576:$P$585,3)))),0)</f>
        <v>0</v>
      </c>
      <c r="BR561" s="484">
        <f>IFERROR(IF(Input!BK117=0,0,(Input!BK117*$M508*((1+$S508)^VLOOKUP(BR$496-$S561+1,$N$576:$P$585,3)))),0)</f>
        <v>0</v>
      </c>
      <c r="BS561" s="484">
        <f>IFERROR(IF(Input!BL117=0,0,(Input!BL117*$M508*((1+$S508)^VLOOKUP(BS$496-$S561+1,$N$576:$P$585,3)))),0)</f>
        <v>0</v>
      </c>
      <c r="BT561" s="484">
        <f>IFERROR(IF(Input!BM117=0,0,(Input!BM117*$M508*((1+$S508)^VLOOKUP(BT$496-$S561+1,$N$576:$P$585,3)))),0)</f>
        <v>0</v>
      </c>
      <c r="BU561" s="484">
        <f>IFERROR(IF(Input!BN117=0,0,(Input!BN117*$M508*((1+$S508)^VLOOKUP(BU$496-$S561+1,$N$576:$P$585,3)))),0)</f>
        <v>0</v>
      </c>
      <c r="BV561" s="484">
        <f>IFERROR(IF(Input!BO117=0,0,(Input!BO117*$M508*((1+$S508)^VLOOKUP(BV$496-$S561+1,$N$576:$P$585,3)))),0)</f>
        <v>0</v>
      </c>
      <c r="BW561" s="484">
        <f>IFERROR(IF(Input!BP117=0,0,(Input!BP117*$M508*((1+$S508)^VLOOKUP(BW$496-$S561+1,$N$576:$P$585,3)))),0)</f>
        <v>0</v>
      </c>
      <c r="BX561" s="484">
        <f>IFERROR(IF(Input!BQ117=0,0,(Input!BQ117*$M508*((1+$S508)^VLOOKUP(BX$496-$S561+1,$N$576:$P$585,3)))),0)</f>
        <v>0</v>
      </c>
      <c r="BY561" s="484">
        <f>IFERROR(IF(Input!BR117=0,0,(Input!BR117*$M508*((1+$S508)^VLOOKUP(BY$496-$S561+1,$N$576:$P$585,3)))),0)</f>
        <v>0</v>
      </c>
      <c r="BZ561" s="484">
        <f>IFERROR(IF(Input!BS117=0,0,(Input!BS117*$M508*((1+$S508)^VLOOKUP(BZ$496-$S561+1,$N$576:$P$585,3)))),0)</f>
        <v>0</v>
      </c>
      <c r="CA561" s="484">
        <f>IFERROR(IF(Input!BT117=0,0,(Input!BT117*$M508*((1+$S508)^VLOOKUP(CA$496-$S561+1,$N$576:$P$585,3)))),0)</f>
        <v>0</v>
      </c>
      <c r="CB561" s="484">
        <f>IFERROR(IF(Input!BU117=0,0,(Input!BU117*$M508*((1+$S508)^VLOOKUP(CB$496-$S561+1,$N$576:$P$585,3)))),0)</f>
        <v>0</v>
      </c>
      <c r="CC561" s="484">
        <f>IFERROR(IF(Input!BV117=0,0,(Input!BV117*$M508*((1+$S508)^VLOOKUP(CC$496-$S561+1,$N$576:$P$585,3)))),0)</f>
        <v>0</v>
      </c>
      <c r="CD561" s="484">
        <f>IFERROR(IF(Input!BW117=0,0,(Input!BW117*$M508*((1+$S508)^VLOOKUP(CD$496-$S561+1,$N$576:$P$585,3)))),0)</f>
        <v>0</v>
      </c>
      <c r="CE561" s="1171"/>
      <c r="CF561" s="1171"/>
      <c r="CG561" s="1171"/>
      <c r="CH561" s="1171"/>
      <c r="CI561" s="1171"/>
    </row>
    <row r="562" spans="11:87" ht="12" customHeight="1" x14ac:dyDescent="0.35">
      <c r="K562" s="13"/>
      <c r="L562" s="70"/>
      <c r="M562" s="71"/>
      <c r="N562" s="77" t="s">
        <v>442</v>
      </c>
      <c r="O562" s="78">
        <v>0.15150000000000002</v>
      </c>
      <c r="P562" s="70"/>
      <c r="Q562" s="70"/>
      <c r="R562" s="13">
        <v>11</v>
      </c>
      <c r="S562" s="13">
        <f>IF(Input!H118&lt;&gt;"",VLOOKUP(Input!$H118,Infrastructure!$D$70:$F$129,3,FALSE),0)</f>
        <v>0</v>
      </c>
      <c r="T562" s="69">
        <f t="shared" si="368"/>
        <v>0</v>
      </c>
      <c r="U562" s="725">
        <f>1+Input!L118+Input!K118</f>
        <v>1</v>
      </c>
      <c r="V562" s="84"/>
      <c r="W562" s="62">
        <f>IFERROR(IF(Input!P118=0,0,(Input!P118*$M509*((1+$S509)^VLOOKUP(W$496-$S562+1,$N$576:$P$585,3)))),0)</f>
        <v>0</v>
      </c>
      <c r="X562" s="62">
        <f>IFERROR(IF(Input!Q118=0,0,(Input!Q118*$M509*((1+$S509)^VLOOKUP(X$496-$S562+1,$N$576:$P$585,3)))),0)</f>
        <v>0</v>
      </c>
      <c r="Y562" s="62">
        <f>IFERROR(IF(Input!R118=0,0,(Input!R118*$M509*((1+$S509)^VLOOKUP(Y$496-$S562+1,$N$576:$P$585,3)))),0)</f>
        <v>0</v>
      </c>
      <c r="Z562" s="62">
        <f>IFERROR(IF(Input!S118=0,0,(Input!S118*$M509*((1+$S509)^VLOOKUP(Z$496-$S562+1,$N$576:$P$585,3)))),0)</f>
        <v>0</v>
      </c>
      <c r="AA562" s="62">
        <f>IFERROR(IF(Input!T118=0,0,(Input!T118*$M509*((1+$S509)^VLOOKUP(AA$496-$S562+1,$N$576:$P$585,3)))),0)</f>
        <v>0</v>
      </c>
      <c r="AB562" s="62">
        <f>IFERROR(IF(Input!U118=0,0,(Input!U118*$M509*((1+$S509)^VLOOKUP(AB$496-$S562+1,$N$576:$P$585,3)))),0)</f>
        <v>0</v>
      </c>
      <c r="AC562" s="62">
        <f>IFERROR(IF(Input!V118=0,0,(Input!V118*$M509*((1+$S509)^VLOOKUP(AC$496-$S562+1,$N$576:$P$585,3)))),0)</f>
        <v>0</v>
      </c>
      <c r="AD562" s="62">
        <f>IFERROR(IF(Input!W118=0,0,(Input!W118*$M509*((1+$S509)^VLOOKUP(AD$496-$S562+1,$N$576:$P$585,3)))),0)</f>
        <v>0</v>
      </c>
      <c r="AE562" s="62">
        <f>IFERROR(IF(Input!X118=0,0,(Input!X118*$M509*((1+$S509)^VLOOKUP(AE$496-$S562+1,$N$576:$P$585,3)))),0)</f>
        <v>0</v>
      </c>
      <c r="AF562" s="484">
        <f>IFERROR(IF(Input!Y118=0,0,(Input!Y118*$M509*((1+$S509)^VLOOKUP(AF$496-$S562+1,$N$576:$P$585,3)))),0)</f>
        <v>0</v>
      </c>
      <c r="AG562" s="484">
        <f>IFERROR(IF(Input!Z118=0,0,(Input!Z118*$M509*((1+$S509)^VLOOKUP(AG$496-$S562+1,$N$576:$P$585,3)))),0)</f>
        <v>0</v>
      </c>
      <c r="AH562" s="484">
        <f>IFERROR(IF(Input!AA118=0,0,(Input!AA118*$M509*((1+$S509)^VLOOKUP(AH$496-$S562+1,$N$576:$P$585,3)))),0)</f>
        <v>0</v>
      </c>
      <c r="AI562" s="484">
        <f>IFERROR(IF(Input!AB118=0,0,(Input!AB118*$M509*((1+$S509)^VLOOKUP(AI$496-$S562+1,$N$576:$P$585,3)))),0)</f>
        <v>0</v>
      </c>
      <c r="AJ562" s="484">
        <f>IFERROR(IF(Input!AC118=0,0,(Input!AC118*$M509*((1+$S509)^VLOOKUP(AJ$496-$S562+1,$N$576:$P$585,3)))),0)</f>
        <v>0</v>
      </c>
      <c r="AK562" s="484">
        <f>IFERROR(IF(Input!AD118=0,0,(Input!AD118*$M509*((1+$S509)^VLOOKUP(AK$496-$S562+1,$N$576:$P$585,3)))),0)</f>
        <v>0</v>
      </c>
      <c r="AL562" s="484">
        <f>IFERROR(IF(Input!AE118=0,0,(Input!AE118*$M509*((1+$S509)^VLOOKUP(AL$496-$S562+1,$N$576:$P$585,3)))),0)</f>
        <v>0</v>
      </c>
      <c r="AM562" s="484">
        <f>IFERROR(IF(Input!AF118=0,0,(Input!AF118*$M509*((1+$S509)^VLOOKUP(AM$496-$S562+1,$N$576:$P$585,3)))),0)</f>
        <v>0</v>
      </c>
      <c r="AN562" s="484">
        <f>IFERROR(IF(Input!AG118=0,0,(Input!AG118*$M509*((1+$S509)^VLOOKUP(AN$496-$S562+1,$N$576:$P$585,3)))),0)</f>
        <v>0</v>
      </c>
      <c r="AO562" s="484">
        <f>IFERROR(IF(Input!AH118=0,0,(Input!AH118*$M509*((1+$S509)^VLOOKUP(AO$496-$S562+1,$N$576:$P$585,3)))),0)</f>
        <v>0</v>
      </c>
      <c r="AP562" s="484">
        <f>IFERROR(IF(Input!AI118=0,0,(Input!AI118*$M509*((1+$S509)^VLOOKUP(AP$496-$S562+1,$N$576:$P$585,3)))),0)</f>
        <v>0</v>
      </c>
      <c r="AQ562" s="484">
        <f>IFERROR(IF(Input!AJ118=0,0,(Input!AJ118*$M509*((1+$S509)^VLOOKUP(AQ$496-$S562+1,$N$576:$P$585,3)))),0)</f>
        <v>0</v>
      </c>
      <c r="AR562" s="484">
        <f>IFERROR(IF(Input!AK118=0,0,(Input!AK118*$M509*((1+$S509)^VLOOKUP(AR$496-$S562+1,$N$576:$P$585,3)))),0)</f>
        <v>0</v>
      </c>
      <c r="AS562" s="484">
        <f>IFERROR(IF(Input!AL118=0,0,(Input!AL118*$M509*((1+$S509)^VLOOKUP(AS$496-$S562+1,$N$576:$P$585,3)))),0)</f>
        <v>0</v>
      </c>
      <c r="AT562" s="484">
        <f>IFERROR(IF(Input!AM118=0,0,(Input!AM118*$M509*((1+$S509)^VLOOKUP(AT$496-$S562+1,$N$576:$P$585,3)))),0)</f>
        <v>0</v>
      </c>
      <c r="AU562" s="484">
        <f>IFERROR(IF(Input!AN118=0,0,(Input!AN118*$M509*((1+$S509)^VLOOKUP(AU$496-$S562+1,$N$576:$P$585,3)))),0)</f>
        <v>0</v>
      </c>
      <c r="AV562" s="484">
        <f>IFERROR(IF(Input!AO118=0,0,(Input!AO118*$M509*((1+$S509)^VLOOKUP(AV$496-$S562+1,$N$576:$P$585,3)))),0)</f>
        <v>0</v>
      </c>
      <c r="AW562" s="484">
        <f>IFERROR(IF(Input!AP118=0,0,(Input!AP118*$M509*((1+$S509)^VLOOKUP(AW$496-$S562+1,$N$576:$P$585,3)))),0)</f>
        <v>0</v>
      </c>
      <c r="AX562" s="484">
        <f>IFERROR(IF(Input!AQ118=0,0,(Input!AQ118*$M509*((1+$S509)^VLOOKUP(AX$496-$S562+1,$N$576:$P$585,3)))),0)</f>
        <v>0</v>
      </c>
      <c r="AY562" s="484">
        <f>IFERROR(IF(Input!AR118=0,0,(Input!AR118*$M509*((1+$S509)^VLOOKUP(AY$496-$S562+1,$N$576:$P$585,3)))),0)</f>
        <v>0</v>
      </c>
      <c r="AZ562" s="484">
        <f>IFERROR(IF(Input!AS118=0,0,(Input!AS118*$M509*((1+$S509)^VLOOKUP(AZ$496-$S562+1,$N$576:$P$585,3)))),0)</f>
        <v>0</v>
      </c>
      <c r="BA562" s="484">
        <f>IFERROR(IF(Input!AT118=0,0,(Input!AT118*$M509*((1+$S509)^VLOOKUP(BA$496-$S562+1,$N$576:$P$585,3)))),0)</f>
        <v>0</v>
      </c>
      <c r="BB562" s="484">
        <f>IFERROR(IF(Input!AU118=0,0,(Input!AU118*$M509*((1+$S509)^VLOOKUP(BB$496-$S562+1,$N$576:$P$585,3)))),0)</f>
        <v>0</v>
      </c>
      <c r="BC562" s="484">
        <f>IFERROR(IF(Input!AV118=0,0,(Input!AV118*$M509*((1+$S509)^VLOOKUP(BC$496-$S562+1,$N$576:$P$585,3)))),0)</f>
        <v>0</v>
      </c>
      <c r="BD562" s="484">
        <f>IFERROR(IF(Input!AW118=0,0,(Input!AW118*$M509*((1+$S509)^VLOOKUP(BD$496-$S562+1,$N$576:$P$585,3)))),0)</f>
        <v>0</v>
      </c>
      <c r="BE562" s="484">
        <f>IFERROR(IF(Input!AX118=0,0,(Input!AX118*$M509*((1+$S509)^VLOOKUP(BE$496-$S562+1,$N$576:$P$585,3)))),0)</f>
        <v>0</v>
      </c>
      <c r="BF562" s="484">
        <f>IFERROR(IF(Input!AY118=0,0,(Input!AY118*$M509*((1+$S509)^VLOOKUP(BF$496-$S562+1,$N$576:$P$585,3)))),0)</f>
        <v>0</v>
      </c>
      <c r="BG562" s="484">
        <f>IFERROR(IF(Input!AZ118=0,0,(Input!AZ118*$M509*((1+$S509)^VLOOKUP(BG$496-$S562+1,$N$576:$P$585,3)))),0)</f>
        <v>0</v>
      </c>
      <c r="BH562" s="484">
        <f>IFERROR(IF(Input!BA118=0,0,(Input!BA118*$M509*((1+$S509)^VLOOKUP(BH$496-$S562+1,$N$576:$P$585,3)))),0)</f>
        <v>0</v>
      </c>
      <c r="BI562" s="484">
        <f>IFERROR(IF(Input!BB118=0,0,(Input!BB118*$M509*((1+$S509)^VLOOKUP(BI$496-$S562+1,$N$576:$P$585,3)))),0)</f>
        <v>0</v>
      </c>
      <c r="BJ562" s="484">
        <f>IFERROR(IF(Input!BC118=0,0,(Input!BC118*$M509*((1+$S509)^VLOOKUP(BJ$496-$S562+1,$N$576:$P$585,3)))),0)</f>
        <v>0</v>
      </c>
      <c r="BK562" s="484">
        <f>IFERROR(IF(Input!BD118=0,0,(Input!BD118*$M509*((1+$S509)^VLOOKUP(BK$496-$S562+1,$N$576:$P$585,3)))),0)</f>
        <v>0</v>
      </c>
      <c r="BL562" s="484">
        <f>IFERROR(IF(Input!BE118=0,0,(Input!BE118*$M509*((1+$S509)^VLOOKUP(BL$496-$S562+1,$N$576:$P$585,3)))),0)</f>
        <v>0</v>
      </c>
      <c r="BM562" s="484">
        <f>IFERROR(IF(Input!BF118=0,0,(Input!BF118*$M509*((1+$S509)^VLOOKUP(BM$496-$S562+1,$N$576:$P$585,3)))),0)</f>
        <v>0</v>
      </c>
      <c r="BN562" s="484">
        <f>IFERROR(IF(Input!BG118=0,0,(Input!BG118*$M509*((1+$S509)^VLOOKUP(BN$496-$S562+1,$N$576:$P$585,3)))),0)</f>
        <v>0</v>
      </c>
      <c r="BO562" s="484">
        <f>IFERROR(IF(Input!BH118=0,0,(Input!BH118*$M509*((1+$S509)^VLOOKUP(BO$496-$S562+1,$N$576:$P$585,3)))),0)</f>
        <v>0</v>
      </c>
      <c r="BP562" s="484">
        <f>IFERROR(IF(Input!BI118=0,0,(Input!BI118*$M509*((1+$S509)^VLOOKUP(BP$496-$S562+1,$N$576:$P$585,3)))),0)</f>
        <v>0</v>
      </c>
      <c r="BQ562" s="484">
        <f>IFERROR(IF(Input!BJ118=0,0,(Input!BJ118*$M509*((1+$S509)^VLOOKUP(BQ$496-$S562+1,$N$576:$P$585,3)))),0)</f>
        <v>0</v>
      </c>
      <c r="BR562" s="484">
        <f>IFERROR(IF(Input!BK118=0,0,(Input!BK118*$M509*((1+$S509)^VLOOKUP(BR$496-$S562+1,$N$576:$P$585,3)))),0)</f>
        <v>0</v>
      </c>
      <c r="BS562" s="484">
        <f>IFERROR(IF(Input!BL118=0,0,(Input!BL118*$M509*((1+$S509)^VLOOKUP(BS$496-$S562+1,$N$576:$P$585,3)))),0)</f>
        <v>0</v>
      </c>
      <c r="BT562" s="484">
        <f>IFERROR(IF(Input!BM118=0,0,(Input!BM118*$M509*((1+$S509)^VLOOKUP(BT$496-$S562+1,$N$576:$P$585,3)))),0)</f>
        <v>0</v>
      </c>
      <c r="BU562" s="484">
        <f>IFERROR(IF(Input!BN118=0,0,(Input!BN118*$M509*((1+$S509)^VLOOKUP(BU$496-$S562+1,$N$576:$P$585,3)))),0)</f>
        <v>0</v>
      </c>
      <c r="BV562" s="484">
        <f>IFERROR(IF(Input!BO118=0,0,(Input!BO118*$M509*((1+$S509)^VLOOKUP(BV$496-$S562+1,$N$576:$P$585,3)))),0)</f>
        <v>0</v>
      </c>
      <c r="BW562" s="484">
        <f>IFERROR(IF(Input!BP118=0,0,(Input!BP118*$M509*((1+$S509)^VLOOKUP(BW$496-$S562+1,$N$576:$P$585,3)))),0)</f>
        <v>0</v>
      </c>
      <c r="BX562" s="484">
        <f>IFERROR(IF(Input!BQ118=0,0,(Input!BQ118*$M509*((1+$S509)^VLOOKUP(BX$496-$S562+1,$N$576:$P$585,3)))),0)</f>
        <v>0</v>
      </c>
      <c r="BY562" s="484">
        <f>IFERROR(IF(Input!BR118=0,0,(Input!BR118*$M509*((1+$S509)^VLOOKUP(BY$496-$S562+1,$N$576:$P$585,3)))),0)</f>
        <v>0</v>
      </c>
      <c r="BZ562" s="484">
        <f>IFERROR(IF(Input!BS118=0,0,(Input!BS118*$M509*((1+$S509)^VLOOKUP(BZ$496-$S562+1,$N$576:$P$585,3)))),0)</f>
        <v>0</v>
      </c>
      <c r="CA562" s="484">
        <f>IFERROR(IF(Input!BT118=0,0,(Input!BT118*$M509*((1+$S509)^VLOOKUP(CA$496-$S562+1,$N$576:$P$585,3)))),0)</f>
        <v>0</v>
      </c>
      <c r="CB562" s="484">
        <f>IFERROR(IF(Input!BU118=0,0,(Input!BU118*$M509*((1+$S509)^VLOOKUP(CB$496-$S562+1,$N$576:$P$585,3)))),0)</f>
        <v>0</v>
      </c>
      <c r="CC562" s="484">
        <f>IFERROR(IF(Input!BV118=0,0,(Input!BV118*$M509*((1+$S509)^VLOOKUP(CC$496-$S562+1,$N$576:$P$585,3)))),0)</f>
        <v>0</v>
      </c>
      <c r="CD562" s="484">
        <f>IFERROR(IF(Input!BW118=0,0,(Input!BW118*$M509*((1+$S509)^VLOOKUP(CD$496-$S562+1,$N$576:$P$585,3)))),0)</f>
        <v>0</v>
      </c>
      <c r="CE562" s="1171"/>
      <c r="CF562" s="1171"/>
      <c r="CG562" s="1171"/>
      <c r="CH562" s="1171"/>
      <c r="CI562" s="1171"/>
    </row>
    <row r="563" spans="11:87" ht="12" customHeight="1" thickBot="1" x14ac:dyDescent="0.4">
      <c r="K563" s="13"/>
      <c r="L563" s="70"/>
      <c r="M563" s="70"/>
      <c r="N563" s="70"/>
      <c r="O563" s="70"/>
      <c r="P563" s="70"/>
      <c r="Q563" s="70"/>
      <c r="R563" s="40">
        <v>12</v>
      </c>
      <c r="S563" s="13">
        <f>IF(Input!H119&lt;&gt;"",VLOOKUP(Input!$H119,Infrastructure!$D$70:$F$129,3,FALSE),0)</f>
        <v>0</v>
      </c>
      <c r="T563" s="69">
        <f t="shared" si="368"/>
        <v>0</v>
      </c>
      <c r="U563" s="725">
        <f>1+Input!L119+Input!K119</f>
        <v>1</v>
      </c>
      <c r="V563" s="84"/>
      <c r="W563" s="62">
        <f>IFERROR(IF(Input!P119=0,0,(Input!P119*$M510*((1+$S510)^VLOOKUP(W$496-$S563+1,$N$576:$P$585,3)))),0)</f>
        <v>0</v>
      </c>
      <c r="X563" s="62">
        <f>IFERROR(IF(Input!Q119=0,0,(Input!Q119*$M510*((1+$S510)^VLOOKUP(X$496-$S563+1,$N$576:$P$585,3)))),0)</f>
        <v>0</v>
      </c>
      <c r="Y563" s="62">
        <f>IFERROR(IF(Input!R119=0,0,(Input!R119*$M510*((1+$S510)^VLOOKUP(Y$496-$S563+1,$N$576:$P$585,3)))),0)</f>
        <v>0</v>
      </c>
      <c r="Z563" s="62">
        <f>IFERROR(IF(Input!S119=0,0,(Input!S119*$M510*((1+$S510)^VLOOKUP(Z$496-$S563+1,$N$576:$P$585,3)))),0)</f>
        <v>0</v>
      </c>
      <c r="AA563" s="62">
        <f>IFERROR(IF(Input!T119=0,0,(Input!T119*$M510*((1+$S510)^VLOOKUP(AA$496-$S563+1,$N$576:$P$585,3)))),0)</f>
        <v>0</v>
      </c>
      <c r="AB563" s="62">
        <f>IFERROR(IF(Input!U119=0,0,(Input!U119*$M510*((1+$S510)^VLOOKUP(AB$496-$S563+1,$N$576:$P$585,3)))),0)</f>
        <v>0</v>
      </c>
      <c r="AC563" s="62">
        <f>IFERROR(IF(Input!V119=0,0,(Input!V119*$M510*((1+$S510)^VLOOKUP(AC$496-$S563+1,$N$576:$P$585,3)))),0)</f>
        <v>0</v>
      </c>
      <c r="AD563" s="62">
        <f>IFERROR(IF(Input!W119=0,0,(Input!W119*$M510*((1+$S510)^VLOOKUP(AD$496-$S563+1,$N$576:$P$585,3)))),0)</f>
        <v>0</v>
      </c>
      <c r="AE563" s="62">
        <f>IFERROR(IF(Input!X119=0,0,(Input!X119*$M510*((1+$S510)^VLOOKUP(AE$496-$S563+1,$N$576:$P$585,3)))),0)</f>
        <v>0</v>
      </c>
      <c r="AF563" s="484">
        <f>IFERROR(IF(Input!Y119=0,0,(Input!Y119*$M510*((1+$S510)^VLOOKUP(AF$496-$S563+1,$N$576:$P$585,3)))),0)</f>
        <v>0</v>
      </c>
      <c r="AG563" s="484">
        <f>IFERROR(IF(Input!Z119=0,0,(Input!Z119*$M510*((1+$S510)^VLOOKUP(AG$496-$S563+1,$N$576:$P$585,3)))),0)</f>
        <v>0</v>
      </c>
      <c r="AH563" s="484">
        <f>IFERROR(IF(Input!AA119=0,0,(Input!AA119*$M510*((1+$S510)^VLOOKUP(AH$496-$S563+1,$N$576:$P$585,3)))),0)</f>
        <v>0</v>
      </c>
      <c r="AI563" s="484">
        <f>IFERROR(IF(Input!AB119=0,0,(Input!AB119*$M510*((1+$S510)^VLOOKUP(AI$496-$S563+1,$N$576:$P$585,3)))),0)</f>
        <v>0</v>
      </c>
      <c r="AJ563" s="484">
        <f>IFERROR(IF(Input!AC119=0,0,(Input!AC119*$M510*((1+$S510)^VLOOKUP(AJ$496-$S563+1,$N$576:$P$585,3)))),0)</f>
        <v>0</v>
      </c>
      <c r="AK563" s="484">
        <f>IFERROR(IF(Input!AD119=0,0,(Input!AD119*$M510*((1+$S510)^VLOOKUP(AK$496-$S563+1,$N$576:$P$585,3)))),0)</f>
        <v>0</v>
      </c>
      <c r="AL563" s="484">
        <f>IFERROR(IF(Input!AE119=0,0,(Input!AE119*$M510*((1+$S510)^VLOOKUP(AL$496-$S563+1,$N$576:$P$585,3)))),0)</f>
        <v>0</v>
      </c>
      <c r="AM563" s="484">
        <f>IFERROR(IF(Input!AF119=0,0,(Input!AF119*$M510*((1+$S510)^VLOOKUP(AM$496-$S563+1,$N$576:$P$585,3)))),0)</f>
        <v>0</v>
      </c>
      <c r="AN563" s="484">
        <f>IFERROR(IF(Input!AG119=0,0,(Input!AG119*$M510*((1+$S510)^VLOOKUP(AN$496-$S563+1,$N$576:$P$585,3)))),0)</f>
        <v>0</v>
      </c>
      <c r="AO563" s="484">
        <f>IFERROR(IF(Input!AH119=0,0,(Input!AH119*$M510*((1+$S510)^VLOOKUP(AO$496-$S563+1,$N$576:$P$585,3)))),0)</f>
        <v>0</v>
      </c>
      <c r="AP563" s="484">
        <f>IFERROR(IF(Input!AI119=0,0,(Input!AI119*$M510*((1+$S510)^VLOOKUP(AP$496-$S563+1,$N$576:$P$585,3)))),0)</f>
        <v>0</v>
      </c>
      <c r="AQ563" s="484">
        <f>IFERROR(IF(Input!AJ119=0,0,(Input!AJ119*$M510*((1+$S510)^VLOOKUP(AQ$496-$S563+1,$N$576:$P$585,3)))),0)</f>
        <v>0</v>
      </c>
      <c r="AR563" s="484">
        <f>IFERROR(IF(Input!AK119=0,0,(Input!AK119*$M510*((1+$S510)^VLOOKUP(AR$496-$S563+1,$N$576:$P$585,3)))),0)</f>
        <v>0</v>
      </c>
      <c r="AS563" s="484">
        <f>IFERROR(IF(Input!AL119=0,0,(Input!AL119*$M510*((1+$S510)^VLOOKUP(AS$496-$S563+1,$N$576:$P$585,3)))),0)</f>
        <v>0</v>
      </c>
      <c r="AT563" s="484">
        <f>IFERROR(IF(Input!AM119=0,0,(Input!AM119*$M510*((1+$S510)^VLOOKUP(AT$496-$S563+1,$N$576:$P$585,3)))),0)</f>
        <v>0</v>
      </c>
      <c r="AU563" s="484">
        <f>IFERROR(IF(Input!AN119=0,0,(Input!AN119*$M510*((1+$S510)^VLOOKUP(AU$496-$S563+1,$N$576:$P$585,3)))),0)</f>
        <v>0</v>
      </c>
      <c r="AV563" s="484">
        <f>IFERROR(IF(Input!AO119=0,0,(Input!AO119*$M510*((1+$S510)^VLOOKUP(AV$496-$S563+1,$N$576:$P$585,3)))),0)</f>
        <v>0</v>
      </c>
      <c r="AW563" s="484">
        <f>IFERROR(IF(Input!AP119=0,0,(Input!AP119*$M510*((1+$S510)^VLOOKUP(AW$496-$S563+1,$N$576:$P$585,3)))),0)</f>
        <v>0</v>
      </c>
      <c r="AX563" s="484">
        <f>IFERROR(IF(Input!AQ119=0,0,(Input!AQ119*$M510*((1+$S510)^VLOOKUP(AX$496-$S563+1,$N$576:$P$585,3)))),0)</f>
        <v>0</v>
      </c>
      <c r="AY563" s="484">
        <f>IFERROR(IF(Input!AR119=0,0,(Input!AR119*$M510*((1+$S510)^VLOOKUP(AY$496-$S563+1,$N$576:$P$585,3)))),0)</f>
        <v>0</v>
      </c>
      <c r="AZ563" s="484">
        <f>IFERROR(IF(Input!AS119=0,0,(Input!AS119*$M510*((1+$S510)^VLOOKUP(AZ$496-$S563+1,$N$576:$P$585,3)))),0)</f>
        <v>0</v>
      </c>
      <c r="BA563" s="484">
        <f>IFERROR(IF(Input!AT119=0,0,(Input!AT119*$M510*((1+$S510)^VLOOKUP(BA$496-$S563+1,$N$576:$P$585,3)))),0)</f>
        <v>0</v>
      </c>
      <c r="BB563" s="484">
        <f>IFERROR(IF(Input!AU119=0,0,(Input!AU119*$M510*((1+$S510)^VLOOKUP(BB$496-$S563+1,$N$576:$P$585,3)))),0)</f>
        <v>0</v>
      </c>
      <c r="BC563" s="484">
        <f>IFERROR(IF(Input!AV119=0,0,(Input!AV119*$M510*((1+$S510)^VLOOKUP(BC$496-$S563+1,$N$576:$P$585,3)))),0)</f>
        <v>0</v>
      </c>
      <c r="BD563" s="484">
        <f>IFERROR(IF(Input!AW119=0,0,(Input!AW119*$M510*((1+$S510)^VLOOKUP(BD$496-$S563+1,$N$576:$P$585,3)))),0)</f>
        <v>0</v>
      </c>
      <c r="BE563" s="484">
        <f>IFERROR(IF(Input!AX119=0,0,(Input!AX119*$M510*((1+$S510)^VLOOKUP(BE$496-$S563+1,$N$576:$P$585,3)))),0)</f>
        <v>0</v>
      </c>
      <c r="BF563" s="484">
        <f>IFERROR(IF(Input!AY119=0,0,(Input!AY119*$M510*((1+$S510)^VLOOKUP(BF$496-$S563+1,$N$576:$P$585,3)))),0)</f>
        <v>0</v>
      </c>
      <c r="BG563" s="484">
        <f>IFERROR(IF(Input!AZ119=0,0,(Input!AZ119*$M510*((1+$S510)^VLOOKUP(BG$496-$S563+1,$N$576:$P$585,3)))),0)</f>
        <v>0</v>
      </c>
      <c r="BH563" s="484">
        <f>IFERROR(IF(Input!BA119=0,0,(Input!BA119*$M510*((1+$S510)^VLOOKUP(BH$496-$S563+1,$N$576:$P$585,3)))),0)</f>
        <v>0</v>
      </c>
      <c r="BI563" s="484">
        <f>IFERROR(IF(Input!BB119=0,0,(Input!BB119*$M510*((1+$S510)^VLOOKUP(BI$496-$S563+1,$N$576:$P$585,3)))),0)</f>
        <v>0</v>
      </c>
      <c r="BJ563" s="484">
        <f>IFERROR(IF(Input!BC119=0,0,(Input!BC119*$M510*((1+$S510)^VLOOKUP(BJ$496-$S563+1,$N$576:$P$585,3)))),0)</f>
        <v>0</v>
      </c>
      <c r="BK563" s="484">
        <f>IFERROR(IF(Input!BD119=0,0,(Input!BD119*$M510*((1+$S510)^VLOOKUP(BK$496-$S563+1,$N$576:$P$585,3)))),0)</f>
        <v>0</v>
      </c>
      <c r="BL563" s="484">
        <f>IFERROR(IF(Input!BE119=0,0,(Input!BE119*$M510*((1+$S510)^VLOOKUP(BL$496-$S563+1,$N$576:$P$585,3)))),0)</f>
        <v>0</v>
      </c>
      <c r="BM563" s="484">
        <f>IFERROR(IF(Input!BF119=0,0,(Input!BF119*$M510*((1+$S510)^VLOOKUP(BM$496-$S563+1,$N$576:$P$585,3)))),0)</f>
        <v>0</v>
      </c>
      <c r="BN563" s="484">
        <f>IFERROR(IF(Input!BG119=0,0,(Input!BG119*$M510*((1+$S510)^VLOOKUP(BN$496-$S563+1,$N$576:$P$585,3)))),0)</f>
        <v>0</v>
      </c>
      <c r="BO563" s="484">
        <f>IFERROR(IF(Input!BH119=0,0,(Input!BH119*$M510*((1+$S510)^VLOOKUP(BO$496-$S563+1,$N$576:$P$585,3)))),0)</f>
        <v>0</v>
      </c>
      <c r="BP563" s="484">
        <f>IFERROR(IF(Input!BI119=0,0,(Input!BI119*$M510*((1+$S510)^VLOOKUP(BP$496-$S563+1,$N$576:$P$585,3)))),0)</f>
        <v>0</v>
      </c>
      <c r="BQ563" s="484">
        <f>IFERROR(IF(Input!BJ119=0,0,(Input!BJ119*$M510*((1+$S510)^VLOOKUP(BQ$496-$S563+1,$N$576:$P$585,3)))),0)</f>
        <v>0</v>
      </c>
      <c r="BR563" s="484">
        <f>IFERROR(IF(Input!BK119=0,0,(Input!BK119*$M510*((1+$S510)^VLOOKUP(BR$496-$S563+1,$N$576:$P$585,3)))),0)</f>
        <v>0</v>
      </c>
      <c r="BS563" s="484">
        <f>IFERROR(IF(Input!BL119=0,0,(Input!BL119*$M510*((1+$S510)^VLOOKUP(BS$496-$S563+1,$N$576:$P$585,3)))),0)</f>
        <v>0</v>
      </c>
      <c r="BT563" s="484">
        <f>IFERROR(IF(Input!BM119=0,0,(Input!BM119*$M510*((1+$S510)^VLOOKUP(BT$496-$S563+1,$N$576:$P$585,3)))),0)</f>
        <v>0</v>
      </c>
      <c r="BU563" s="484">
        <f>IFERROR(IF(Input!BN119=0,0,(Input!BN119*$M510*((1+$S510)^VLOOKUP(BU$496-$S563+1,$N$576:$P$585,3)))),0)</f>
        <v>0</v>
      </c>
      <c r="BV563" s="484">
        <f>IFERROR(IF(Input!BO119=0,0,(Input!BO119*$M510*((1+$S510)^VLOOKUP(BV$496-$S563+1,$N$576:$P$585,3)))),0)</f>
        <v>0</v>
      </c>
      <c r="BW563" s="484">
        <f>IFERROR(IF(Input!BP119=0,0,(Input!BP119*$M510*((1+$S510)^VLOOKUP(BW$496-$S563+1,$N$576:$P$585,3)))),0)</f>
        <v>0</v>
      </c>
      <c r="BX563" s="484">
        <f>IFERROR(IF(Input!BQ119=0,0,(Input!BQ119*$M510*((1+$S510)^VLOOKUP(BX$496-$S563+1,$N$576:$P$585,3)))),0)</f>
        <v>0</v>
      </c>
      <c r="BY563" s="484">
        <f>IFERROR(IF(Input!BR119=0,0,(Input!BR119*$M510*((1+$S510)^VLOOKUP(BY$496-$S563+1,$N$576:$P$585,3)))),0)</f>
        <v>0</v>
      </c>
      <c r="BZ563" s="484">
        <f>IFERROR(IF(Input!BS119=0,0,(Input!BS119*$M510*((1+$S510)^VLOOKUP(BZ$496-$S563+1,$N$576:$P$585,3)))),0)</f>
        <v>0</v>
      </c>
      <c r="CA563" s="484">
        <f>IFERROR(IF(Input!BT119=0,0,(Input!BT119*$M510*((1+$S510)^VLOOKUP(CA$496-$S563+1,$N$576:$P$585,3)))),0)</f>
        <v>0</v>
      </c>
      <c r="CB563" s="484">
        <f>IFERROR(IF(Input!BU119=0,0,(Input!BU119*$M510*((1+$S510)^VLOOKUP(CB$496-$S563+1,$N$576:$P$585,3)))),0)</f>
        <v>0</v>
      </c>
      <c r="CC563" s="484">
        <f>IFERROR(IF(Input!BV119=0,0,(Input!BV119*$M510*((1+$S510)^VLOOKUP(CC$496-$S563+1,$N$576:$P$585,3)))),0)</f>
        <v>0</v>
      </c>
      <c r="CD563" s="484">
        <f>IFERROR(IF(Input!BW119=0,0,(Input!BW119*$M510*((1+$S510)^VLOOKUP(CD$496-$S563+1,$N$576:$P$585,3)))),0)</f>
        <v>0</v>
      </c>
      <c r="CE563" s="1171"/>
      <c r="CF563" s="1171"/>
      <c r="CG563" s="1171"/>
      <c r="CH563" s="1171"/>
      <c r="CI563" s="1171"/>
    </row>
    <row r="564" spans="11:87" ht="12" customHeight="1" x14ac:dyDescent="0.35">
      <c r="K564" s="13"/>
      <c r="L564" s="70"/>
      <c r="M564" s="70"/>
      <c r="N564" s="72" t="s">
        <v>443</v>
      </c>
      <c r="O564" s="73">
        <v>0.05</v>
      </c>
      <c r="P564" s="70"/>
      <c r="Q564" s="70"/>
      <c r="R564" s="13">
        <v>13</v>
      </c>
      <c r="S564" s="13">
        <f>IF(Input!H120&lt;&gt;"",VLOOKUP(Input!$H120,Infrastructure!$D$70:$F$129,3,FALSE),0)</f>
        <v>0</v>
      </c>
      <c r="T564" s="69">
        <f t="shared" si="368"/>
        <v>0</v>
      </c>
      <c r="U564" s="725">
        <f>1+Input!L120+Input!K120</f>
        <v>1</v>
      </c>
      <c r="V564" s="84"/>
      <c r="W564" s="62">
        <f>IFERROR(IF(Input!P120=0,0,(Input!P120*$M511*((1+$S511)^VLOOKUP(W$496-$S564+1,$N$576:$P$585,3)))),0)</f>
        <v>0</v>
      </c>
      <c r="X564" s="62">
        <f>IFERROR(IF(Input!Q120=0,0,(Input!Q120*$M511*((1+$S511)^VLOOKUP(X$496-$S564+1,$N$576:$P$585,3)))),0)</f>
        <v>0</v>
      </c>
      <c r="Y564" s="62">
        <f>IFERROR(IF(Input!R120=0,0,(Input!R120*$M511*((1+$S511)^VLOOKUP(Y$496-$S564+1,$N$576:$P$585,3)))),0)</f>
        <v>0</v>
      </c>
      <c r="Z564" s="62">
        <f>IFERROR(IF(Input!S120=0,0,(Input!S120*$M511*((1+$S511)^VLOOKUP(Z$496-$S564+1,$N$576:$P$585,3)))),0)</f>
        <v>0</v>
      </c>
      <c r="AA564" s="62">
        <f>IFERROR(IF(Input!T120=0,0,(Input!T120*$M511*((1+$S511)^VLOOKUP(AA$496-$S564+1,$N$576:$P$585,3)))),0)</f>
        <v>0</v>
      </c>
      <c r="AB564" s="62">
        <f>IFERROR(IF(Input!U120=0,0,(Input!U120*$M511*((1+$S511)^VLOOKUP(AB$496-$S564+1,$N$576:$P$585,3)))),0)</f>
        <v>0</v>
      </c>
      <c r="AC564" s="62">
        <f>IFERROR(IF(Input!V120=0,0,(Input!V120*$M511*((1+$S511)^VLOOKUP(AC$496-$S564+1,$N$576:$P$585,3)))),0)</f>
        <v>0</v>
      </c>
      <c r="AD564" s="62">
        <f>IFERROR(IF(Input!W120=0,0,(Input!W120*$M511*((1+$S511)^VLOOKUP(AD$496-$S564+1,$N$576:$P$585,3)))),0)</f>
        <v>0</v>
      </c>
      <c r="AE564" s="62">
        <f>IFERROR(IF(Input!X120=0,0,(Input!X120*$M511*((1+$S511)^VLOOKUP(AE$496-$S564+1,$N$576:$P$585,3)))),0)</f>
        <v>0</v>
      </c>
      <c r="AF564" s="484">
        <f>IFERROR(IF(Input!Y120=0,0,(Input!Y120*$M511*((1+$S511)^VLOOKUP(AF$496-$S564+1,$N$576:$P$585,3)))),0)</f>
        <v>0</v>
      </c>
      <c r="AG564" s="484">
        <f>IFERROR(IF(Input!Z120=0,0,(Input!Z120*$M511*((1+$S511)^VLOOKUP(AG$496-$S564+1,$N$576:$P$585,3)))),0)</f>
        <v>0</v>
      </c>
      <c r="AH564" s="484">
        <f>IFERROR(IF(Input!AA120=0,0,(Input!AA120*$M511*((1+$S511)^VLOOKUP(AH$496-$S564+1,$N$576:$P$585,3)))),0)</f>
        <v>0</v>
      </c>
      <c r="AI564" s="484">
        <f>IFERROR(IF(Input!AB120=0,0,(Input!AB120*$M511*((1+$S511)^VLOOKUP(AI$496-$S564+1,$N$576:$P$585,3)))),0)</f>
        <v>0</v>
      </c>
      <c r="AJ564" s="484">
        <f>IFERROR(IF(Input!AC120=0,0,(Input!AC120*$M511*((1+$S511)^VLOOKUP(AJ$496-$S564+1,$N$576:$P$585,3)))),0)</f>
        <v>0</v>
      </c>
      <c r="AK564" s="484">
        <f>IFERROR(IF(Input!AD120=0,0,(Input!AD120*$M511*((1+$S511)^VLOOKUP(AK$496-$S564+1,$N$576:$P$585,3)))),0)</f>
        <v>0</v>
      </c>
      <c r="AL564" s="484">
        <f>IFERROR(IF(Input!AE120=0,0,(Input!AE120*$M511*((1+$S511)^VLOOKUP(AL$496-$S564+1,$N$576:$P$585,3)))),0)</f>
        <v>0</v>
      </c>
      <c r="AM564" s="484">
        <f>IFERROR(IF(Input!AF120=0,0,(Input!AF120*$M511*((1+$S511)^VLOOKUP(AM$496-$S564+1,$N$576:$P$585,3)))),0)</f>
        <v>0</v>
      </c>
      <c r="AN564" s="484">
        <f>IFERROR(IF(Input!AG120=0,0,(Input!AG120*$M511*((1+$S511)^VLOOKUP(AN$496-$S564+1,$N$576:$P$585,3)))),0)</f>
        <v>0</v>
      </c>
      <c r="AO564" s="484">
        <f>IFERROR(IF(Input!AH120=0,0,(Input!AH120*$M511*((1+$S511)^VLOOKUP(AO$496-$S564+1,$N$576:$P$585,3)))),0)</f>
        <v>0</v>
      </c>
      <c r="AP564" s="484">
        <f>IFERROR(IF(Input!AI120=0,0,(Input!AI120*$M511*((1+$S511)^VLOOKUP(AP$496-$S564+1,$N$576:$P$585,3)))),0)</f>
        <v>0</v>
      </c>
      <c r="AQ564" s="484">
        <f>IFERROR(IF(Input!AJ120=0,0,(Input!AJ120*$M511*((1+$S511)^VLOOKUP(AQ$496-$S564+1,$N$576:$P$585,3)))),0)</f>
        <v>0</v>
      </c>
      <c r="AR564" s="484">
        <f>IFERROR(IF(Input!AK120=0,0,(Input!AK120*$M511*((1+$S511)^VLOOKUP(AR$496-$S564+1,$N$576:$P$585,3)))),0)</f>
        <v>0</v>
      </c>
      <c r="AS564" s="484">
        <f>IFERROR(IF(Input!AL120=0,0,(Input!AL120*$M511*((1+$S511)^VLOOKUP(AS$496-$S564+1,$N$576:$P$585,3)))),0)</f>
        <v>0</v>
      </c>
      <c r="AT564" s="484">
        <f>IFERROR(IF(Input!AM120=0,0,(Input!AM120*$M511*((1+$S511)^VLOOKUP(AT$496-$S564+1,$N$576:$P$585,3)))),0)</f>
        <v>0</v>
      </c>
      <c r="AU564" s="484">
        <f>IFERROR(IF(Input!AN120=0,0,(Input!AN120*$M511*((1+$S511)^VLOOKUP(AU$496-$S564+1,$N$576:$P$585,3)))),0)</f>
        <v>0</v>
      </c>
      <c r="AV564" s="484">
        <f>IFERROR(IF(Input!AO120=0,0,(Input!AO120*$M511*((1+$S511)^VLOOKUP(AV$496-$S564+1,$N$576:$P$585,3)))),0)</f>
        <v>0</v>
      </c>
      <c r="AW564" s="484">
        <f>IFERROR(IF(Input!AP120=0,0,(Input!AP120*$M511*((1+$S511)^VLOOKUP(AW$496-$S564+1,$N$576:$P$585,3)))),0)</f>
        <v>0</v>
      </c>
      <c r="AX564" s="484">
        <f>IFERROR(IF(Input!AQ120=0,0,(Input!AQ120*$M511*((1+$S511)^VLOOKUP(AX$496-$S564+1,$N$576:$P$585,3)))),0)</f>
        <v>0</v>
      </c>
      <c r="AY564" s="484">
        <f>IFERROR(IF(Input!AR120=0,0,(Input!AR120*$M511*((1+$S511)^VLOOKUP(AY$496-$S564+1,$N$576:$P$585,3)))),0)</f>
        <v>0</v>
      </c>
      <c r="AZ564" s="484">
        <f>IFERROR(IF(Input!AS120=0,0,(Input!AS120*$M511*((1+$S511)^VLOOKUP(AZ$496-$S564+1,$N$576:$P$585,3)))),0)</f>
        <v>0</v>
      </c>
      <c r="BA564" s="484">
        <f>IFERROR(IF(Input!AT120=0,0,(Input!AT120*$M511*((1+$S511)^VLOOKUP(BA$496-$S564+1,$N$576:$P$585,3)))),0)</f>
        <v>0</v>
      </c>
      <c r="BB564" s="484">
        <f>IFERROR(IF(Input!AU120=0,0,(Input!AU120*$M511*((1+$S511)^VLOOKUP(BB$496-$S564+1,$N$576:$P$585,3)))),0)</f>
        <v>0</v>
      </c>
      <c r="BC564" s="484">
        <f>IFERROR(IF(Input!AV120=0,0,(Input!AV120*$M511*((1+$S511)^VLOOKUP(BC$496-$S564+1,$N$576:$P$585,3)))),0)</f>
        <v>0</v>
      </c>
      <c r="BD564" s="484">
        <f>IFERROR(IF(Input!AW120=0,0,(Input!AW120*$M511*((1+$S511)^VLOOKUP(BD$496-$S564+1,$N$576:$P$585,3)))),0)</f>
        <v>0</v>
      </c>
      <c r="BE564" s="484">
        <f>IFERROR(IF(Input!AX120=0,0,(Input!AX120*$M511*((1+$S511)^VLOOKUP(BE$496-$S564+1,$N$576:$P$585,3)))),0)</f>
        <v>0</v>
      </c>
      <c r="BF564" s="484">
        <f>IFERROR(IF(Input!AY120=0,0,(Input!AY120*$M511*((1+$S511)^VLOOKUP(BF$496-$S564+1,$N$576:$P$585,3)))),0)</f>
        <v>0</v>
      </c>
      <c r="BG564" s="484">
        <f>IFERROR(IF(Input!AZ120=0,0,(Input!AZ120*$M511*((1+$S511)^VLOOKUP(BG$496-$S564+1,$N$576:$P$585,3)))),0)</f>
        <v>0</v>
      </c>
      <c r="BH564" s="484">
        <f>IFERROR(IF(Input!BA120=0,0,(Input!BA120*$M511*((1+$S511)^VLOOKUP(BH$496-$S564+1,$N$576:$P$585,3)))),0)</f>
        <v>0</v>
      </c>
      <c r="BI564" s="484">
        <f>IFERROR(IF(Input!BB120=0,0,(Input!BB120*$M511*((1+$S511)^VLOOKUP(BI$496-$S564+1,$N$576:$P$585,3)))),0)</f>
        <v>0</v>
      </c>
      <c r="BJ564" s="484">
        <f>IFERROR(IF(Input!BC120=0,0,(Input!BC120*$M511*((1+$S511)^VLOOKUP(BJ$496-$S564+1,$N$576:$P$585,3)))),0)</f>
        <v>0</v>
      </c>
      <c r="BK564" s="484">
        <f>IFERROR(IF(Input!BD120=0,0,(Input!BD120*$M511*((1+$S511)^VLOOKUP(BK$496-$S564+1,$N$576:$P$585,3)))),0)</f>
        <v>0</v>
      </c>
      <c r="BL564" s="484">
        <f>IFERROR(IF(Input!BE120=0,0,(Input!BE120*$M511*((1+$S511)^VLOOKUP(BL$496-$S564+1,$N$576:$P$585,3)))),0)</f>
        <v>0</v>
      </c>
      <c r="BM564" s="484">
        <f>IFERROR(IF(Input!BF120=0,0,(Input!BF120*$M511*((1+$S511)^VLOOKUP(BM$496-$S564+1,$N$576:$P$585,3)))),0)</f>
        <v>0</v>
      </c>
      <c r="BN564" s="484">
        <f>IFERROR(IF(Input!BG120=0,0,(Input!BG120*$M511*((1+$S511)^VLOOKUP(BN$496-$S564+1,$N$576:$P$585,3)))),0)</f>
        <v>0</v>
      </c>
      <c r="BO564" s="484">
        <f>IFERROR(IF(Input!BH120=0,0,(Input!BH120*$M511*((1+$S511)^VLOOKUP(BO$496-$S564+1,$N$576:$P$585,3)))),0)</f>
        <v>0</v>
      </c>
      <c r="BP564" s="484">
        <f>IFERROR(IF(Input!BI120=0,0,(Input!BI120*$M511*((1+$S511)^VLOOKUP(BP$496-$S564+1,$N$576:$P$585,3)))),0)</f>
        <v>0</v>
      </c>
      <c r="BQ564" s="484">
        <f>IFERROR(IF(Input!BJ120=0,0,(Input!BJ120*$M511*((1+$S511)^VLOOKUP(BQ$496-$S564+1,$N$576:$P$585,3)))),0)</f>
        <v>0</v>
      </c>
      <c r="BR564" s="484">
        <f>IFERROR(IF(Input!BK120=0,0,(Input!BK120*$M511*((1+$S511)^VLOOKUP(BR$496-$S564+1,$N$576:$P$585,3)))),0)</f>
        <v>0</v>
      </c>
      <c r="BS564" s="484">
        <f>IFERROR(IF(Input!BL120=0,0,(Input!BL120*$M511*((1+$S511)^VLOOKUP(BS$496-$S564+1,$N$576:$P$585,3)))),0)</f>
        <v>0</v>
      </c>
      <c r="BT564" s="484">
        <f>IFERROR(IF(Input!BM120=0,0,(Input!BM120*$M511*((1+$S511)^VLOOKUP(BT$496-$S564+1,$N$576:$P$585,3)))),0)</f>
        <v>0</v>
      </c>
      <c r="BU564" s="484">
        <f>IFERROR(IF(Input!BN120=0,0,(Input!BN120*$M511*((1+$S511)^VLOOKUP(BU$496-$S564+1,$N$576:$P$585,3)))),0)</f>
        <v>0</v>
      </c>
      <c r="BV564" s="484">
        <f>IFERROR(IF(Input!BO120=0,0,(Input!BO120*$M511*((1+$S511)^VLOOKUP(BV$496-$S564+1,$N$576:$P$585,3)))),0)</f>
        <v>0</v>
      </c>
      <c r="BW564" s="484">
        <f>IFERROR(IF(Input!BP120=0,0,(Input!BP120*$M511*((1+$S511)^VLOOKUP(BW$496-$S564+1,$N$576:$P$585,3)))),0)</f>
        <v>0</v>
      </c>
      <c r="BX564" s="484">
        <f>IFERROR(IF(Input!BQ120=0,0,(Input!BQ120*$M511*((1+$S511)^VLOOKUP(BX$496-$S564+1,$N$576:$P$585,3)))),0)</f>
        <v>0</v>
      </c>
      <c r="BY564" s="484">
        <f>IFERROR(IF(Input!BR120=0,0,(Input!BR120*$M511*((1+$S511)^VLOOKUP(BY$496-$S564+1,$N$576:$P$585,3)))),0)</f>
        <v>0</v>
      </c>
      <c r="BZ564" s="484">
        <f>IFERROR(IF(Input!BS120=0,0,(Input!BS120*$M511*((1+$S511)^VLOOKUP(BZ$496-$S564+1,$N$576:$P$585,3)))),0)</f>
        <v>0</v>
      </c>
      <c r="CA564" s="484">
        <f>IFERROR(IF(Input!BT120=0,0,(Input!BT120*$M511*((1+$S511)^VLOOKUP(CA$496-$S564+1,$N$576:$P$585,3)))),0)</f>
        <v>0</v>
      </c>
      <c r="CB564" s="484">
        <f>IFERROR(IF(Input!BU120=0,0,(Input!BU120*$M511*((1+$S511)^VLOOKUP(CB$496-$S564+1,$N$576:$P$585,3)))),0)</f>
        <v>0</v>
      </c>
      <c r="CC564" s="484">
        <f>IFERROR(IF(Input!BV120=0,0,(Input!BV120*$M511*((1+$S511)^VLOOKUP(CC$496-$S564+1,$N$576:$P$585,3)))),0)</f>
        <v>0</v>
      </c>
      <c r="CD564" s="484">
        <f>IFERROR(IF(Input!BW120=0,0,(Input!BW120*$M511*((1+$S511)^VLOOKUP(CD$496-$S564+1,$N$576:$P$585,3)))),0)</f>
        <v>0</v>
      </c>
      <c r="CE564" s="1171"/>
      <c r="CF564" s="1171"/>
      <c r="CG564" s="1171"/>
      <c r="CH564" s="1171"/>
      <c r="CI564" s="1171"/>
    </row>
    <row r="565" spans="11:87" ht="12" customHeight="1" x14ac:dyDescent="0.35">
      <c r="K565" s="13"/>
      <c r="L565" s="70"/>
      <c r="M565" s="70"/>
      <c r="N565" s="72" t="s">
        <v>444</v>
      </c>
      <c r="O565" s="75">
        <v>0.02</v>
      </c>
      <c r="P565" s="70"/>
      <c r="Q565" s="70"/>
      <c r="R565" s="13">
        <v>14</v>
      </c>
      <c r="S565" s="13">
        <f>IF(Input!H121&lt;&gt;"",VLOOKUP(Input!$H121,Infrastructure!$D$70:$F$129,3,FALSE),0)</f>
        <v>0</v>
      </c>
      <c r="T565" s="69">
        <f t="shared" si="368"/>
        <v>0</v>
      </c>
      <c r="U565" s="725">
        <f>1+Input!L121+Input!K121</f>
        <v>1</v>
      </c>
      <c r="V565" s="84"/>
      <c r="W565" s="62">
        <f>IFERROR(IF(Input!P121=0,0,(Input!P121*$M512*((1+$S512)^VLOOKUP(W$496-$S565+1,$N$576:$P$585,3)))),0)</f>
        <v>0</v>
      </c>
      <c r="X565" s="62">
        <f>IFERROR(IF(Input!Q121=0,0,(Input!Q121*$M512*((1+$S512)^VLOOKUP(X$496-$S565+1,$N$576:$P$585,3)))),0)</f>
        <v>0</v>
      </c>
      <c r="Y565" s="62">
        <f>IFERROR(IF(Input!R121=0,0,(Input!R121*$M512*((1+$S512)^VLOOKUP(Y$496-$S565+1,$N$576:$P$585,3)))),0)</f>
        <v>0</v>
      </c>
      <c r="Z565" s="62">
        <f>IFERROR(IF(Input!S121=0,0,(Input!S121*$M512*((1+$S512)^VLOOKUP(Z$496-$S565+1,$N$576:$P$585,3)))),0)</f>
        <v>0</v>
      </c>
      <c r="AA565" s="62">
        <f>IFERROR(IF(Input!T121=0,0,(Input!T121*$M512*((1+$S512)^VLOOKUP(AA$496-$S565+1,$N$576:$P$585,3)))),0)</f>
        <v>0</v>
      </c>
      <c r="AB565" s="62">
        <f>IFERROR(IF(Input!U121=0,0,(Input!U121*$M512*((1+$S512)^VLOOKUP(AB$496-$S565+1,$N$576:$P$585,3)))),0)</f>
        <v>0</v>
      </c>
      <c r="AC565" s="62">
        <f>IFERROR(IF(Input!V121=0,0,(Input!V121*$M512*((1+$S512)^VLOOKUP(AC$496-$S565+1,$N$576:$P$585,3)))),0)</f>
        <v>0</v>
      </c>
      <c r="AD565" s="62">
        <f>IFERROR(IF(Input!W121=0,0,(Input!W121*$M512*((1+$S512)^VLOOKUP(AD$496-$S565+1,$N$576:$P$585,3)))),0)</f>
        <v>0</v>
      </c>
      <c r="AE565" s="62">
        <f>IFERROR(IF(Input!X121=0,0,(Input!X121*$M512*((1+$S512)^VLOOKUP(AE$496-$S565+1,$N$576:$P$585,3)))),0)</f>
        <v>0</v>
      </c>
      <c r="AF565" s="484">
        <f>IFERROR(IF(Input!Y121=0,0,(Input!Y121*$M512*((1+$S512)^VLOOKUP(AF$496-$S565+1,$N$576:$P$585,3)))),0)</f>
        <v>0</v>
      </c>
      <c r="AG565" s="484">
        <f>IFERROR(IF(Input!Z121=0,0,(Input!Z121*$M512*((1+$S512)^VLOOKUP(AG$496-$S565+1,$N$576:$P$585,3)))),0)</f>
        <v>0</v>
      </c>
      <c r="AH565" s="484">
        <f>IFERROR(IF(Input!AA121=0,0,(Input!AA121*$M512*((1+$S512)^VLOOKUP(AH$496-$S565+1,$N$576:$P$585,3)))),0)</f>
        <v>0</v>
      </c>
      <c r="AI565" s="484">
        <f>IFERROR(IF(Input!AB121=0,0,(Input!AB121*$M512*((1+$S512)^VLOOKUP(AI$496-$S565+1,$N$576:$P$585,3)))),0)</f>
        <v>0</v>
      </c>
      <c r="AJ565" s="484">
        <f>IFERROR(IF(Input!AC121=0,0,(Input!AC121*$M512*((1+$S512)^VLOOKUP(AJ$496-$S565+1,$N$576:$P$585,3)))),0)</f>
        <v>0</v>
      </c>
      <c r="AK565" s="484">
        <f>IFERROR(IF(Input!AD121=0,0,(Input!AD121*$M512*((1+$S512)^VLOOKUP(AK$496-$S565+1,$N$576:$P$585,3)))),0)</f>
        <v>0</v>
      </c>
      <c r="AL565" s="484">
        <f>IFERROR(IF(Input!AE121=0,0,(Input!AE121*$M512*((1+$S512)^VLOOKUP(AL$496-$S565+1,$N$576:$P$585,3)))),0)</f>
        <v>0</v>
      </c>
      <c r="AM565" s="484">
        <f>IFERROR(IF(Input!AF121=0,0,(Input!AF121*$M512*((1+$S512)^VLOOKUP(AM$496-$S565+1,$N$576:$P$585,3)))),0)</f>
        <v>0</v>
      </c>
      <c r="AN565" s="484">
        <f>IFERROR(IF(Input!AG121=0,0,(Input!AG121*$M512*((1+$S512)^VLOOKUP(AN$496-$S565+1,$N$576:$P$585,3)))),0)</f>
        <v>0</v>
      </c>
      <c r="AO565" s="484">
        <f>IFERROR(IF(Input!AH121=0,0,(Input!AH121*$M512*((1+$S512)^VLOOKUP(AO$496-$S565+1,$N$576:$P$585,3)))),0)</f>
        <v>0</v>
      </c>
      <c r="AP565" s="484">
        <f>IFERROR(IF(Input!AI121=0,0,(Input!AI121*$M512*((1+$S512)^VLOOKUP(AP$496-$S565+1,$N$576:$P$585,3)))),0)</f>
        <v>0</v>
      </c>
      <c r="AQ565" s="484">
        <f>IFERROR(IF(Input!AJ121=0,0,(Input!AJ121*$M512*((1+$S512)^VLOOKUP(AQ$496-$S565+1,$N$576:$P$585,3)))),0)</f>
        <v>0</v>
      </c>
      <c r="AR565" s="484">
        <f>IFERROR(IF(Input!AK121=0,0,(Input!AK121*$M512*((1+$S512)^VLOOKUP(AR$496-$S565+1,$N$576:$P$585,3)))),0)</f>
        <v>0</v>
      </c>
      <c r="AS565" s="484">
        <f>IFERROR(IF(Input!AL121=0,0,(Input!AL121*$M512*((1+$S512)^VLOOKUP(AS$496-$S565+1,$N$576:$P$585,3)))),0)</f>
        <v>0</v>
      </c>
      <c r="AT565" s="484">
        <f>IFERROR(IF(Input!AM121=0,0,(Input!AM121*$M512*((1+$S512)^VLOOKUP(AT$496-$S565+1,$N$576:$P$585,3)))),0)</f>
        <v>0</v>
      </c>
      <c r="AU565" s="484">
        <f>IFERROR(IF(Input!AN121=0,0,(Input!AN121*$M512*((1+$S512)^VLOOKUP(AU$496-$S565+1,$N$576:$P$585,3)))),0)</f>
        <v>0</v>
      </c>
      <c r="AV565" s="484">
        <f>IFERROR(IF(Input!AO121=0,0,(Input!AO121*$M512*((1+$S512)^VLOOKUP(AV$496-$S565+1,$N$576:$P$585,3)))),0)</f>
        <v>0</v>
      </c>
      <c r="AW565" s="484">
        <f>IFERROR(IF(Input!AP121=0,0,(Input!AP121*$M512*((1+$S512)^VLOOKUP(AW$496-$S565+1,$N$576:$P$585,3)))),0)</f>
        <v>0</v>
      </c>
      <c r="AX565" s="484">
        <f>IFERROR(IF(Input!AQ121=0,0,(Input!AQ121*$M512*((1+$S512)^VLOOKUP(AX$496-$S565+1,$N$576:$P$585,3)))),0)</f>
        <v>0</v>
      </c>
      <c r="AY565" s="484">
        <f>IFERROR(IF(Input!AR121=0,0,(Input!AR121*$M512*((1+$S512)^VLOOKUP(AY$496-$S565+1,$N$576:$P$585,3)))),0)</f>
        <v>0</v>
      </c>
      <c r="AZ565" s="484">
        <f>IFERROR(IF(Input!AS121=0,0,(Input!AS121*$M512*((1+$S512)^VLOOKUP(AZ$496-$S565+1,$N$576:$P$585,3)))),0)</f>
        <v>0</v>
      </c>
      <c r="BA565" s="484">
        <f>IFERROR(IF(Input!AT121=0,0,(Input!AT121*$M512*((1+$S512)^VLOOKUP(BA$496-$S565+1,$N$576:$P$585,3)))),0)</f>
        <v>0</v>
      </c>
      <c r="BB565" s="484">
        <f>IFERROR(IF(Input!AU121=0,0,(Input!AU121*$M512*((1+$S512)^VLOOKUP(BB$496-$S565+1,$N$576:$P$585,3)))),0)</f>
        <v>0</v>
      </c>
      <c r="BC565" s="484">
        <f>IFERROR(IF(Input!AV121=0,0,(Input!AV121*$M512*((1+$S512)^VLOOKUP(BC$496-$S565+1,$N$576:$P$585,3)))),0)</f>
        <v>0</v>
      </c>
      <c r="BD565" s="484">
        <f>IFERROR(IF(Input!AW121=0,0,(Input!AW121*$M512*((1+$S512)^VLOOKUP(BD$496-$S565+1,$N$576:$P$585,3)))),0)</f>
        <v>0</v>
      </c>
      <c r="BE565" s="484">
        <f>IFERROR(IF(Input!AX121=0,0,(Input!AX121*$M512*((1+$S512)^VLOOKUP(BE$496-$S565+1,$N$576:$P$585,3)))),0)</f>
        <v>0</v>
      </c>
      <c r="BF565" s="484">
        <f>IFERROR(IF(Input!AY121=0,0,(Input!AY121*$M512*((1+$S512)^VLOOKUP(BF$496-$S565+1,$N$576:$P$585,3)))),0)</f>
        <v>0</v>
      </c>
      <c r="BG565" s="484">
        <f>IFERROR(IF(Input!AZ121=0,0,(Input!AZ121*$M512*((1+$S512)^VLOOKUP(BG$496-$S565+1,$N$576:$P$585,3)))),0)</f>
        <v>0</v>
      </c>
      <c r="BH565" s="484">
        <f>IFERROR(IF(Input!BA121=0,0,(Input!BA121*$M512*((1+$S512)^VLOOKUP(BH$496-$S565+1,$N$576:$P$585,3)))),0)</f>
        <v>0</v>
      </c>
      <c r="BI565" s="484">
        <f>IFERROR(IF(Input!BB121=0,0,(Input!BB121*$M512*((1+$S512)^VLOOKUP(BI$496-$S565+1,$N$576:$P$585,3)))),0)</f>
        <v>0</v>
      </c>
      <c r="BJ565" s="484">
        <f>IFERROR(IF(Input!BC121=0,0,(Input!BC121*$M512*((1+$S512)^VLOOKUP(BJ$496-$S565+1,$N$576:$P$585,3)))),0)</f>
        <v>0</v>
      </c>
      <c r="BK565" s="484">
        <f>IFERROR(IF(Input!BD121=0,0,(Input!BD121*$M512*((1+$S512)^VLOOKUP(BK$496-$S565+1,$N$576:$P$585,3)))),0)</f>
        <v>0</v>
      </c>
      <c r="BL565" s="484">
        <f>IFERROR(IF(Input!BE121=0,0,(Input!BE121*$M512*((1+$S512)^VLOOKUP(BL$496-$S565+1,$N$576:$P$585,3)))),0)</f>
        <v>0</v>
      </c>
      <c r="BM565" s="484">
        <f>IFERROR(IF(Input!BF121=0,0,(Input!BF121*$M512*((1+$S512)^VLOOKUP(BM$496-$S565+1,$N$576:$P$585,3)))),0)</f>
        <v>0</v>
      </c>
      <c r="BN565" s="484">
        <f>IFERROR(IF(Input!BG121=0,0,(Input!BG121*$M512*((1+$S512)^VLOOKUP(BN$496-$S565+1,$N$576:$P$585,3)))),0)</f>
        <v>0</v>
      </c>
      <c r="BO565" s="484">
        <f>IFERROR(IF(Input!BH121=0,0,(Input!BH121*$M512*((1+$S512)^VLOOKUP(BO$496-$S565+1,$N$576:$P$585,3)))),0)</f>
        <v>0</v>
      </c>
      <c r="BP565" s="484">
        <f>IFERROR(IF(Input!BI121=0,0,(Input!BI121*$M512*((1+$S512)^VLOOKUP(BP$496-$S565+1,$N$576:$P$585,3)))),0)</f>
        <v>0</v>
      </c>
      <c r="BQ565" s="484">
        <f>IFERROR(IF(Input!BJ121=0,0,(Input!BJ121*$M512*((1+$S512)^VLOOKUP(BQ$496-$S565+1,$N$576:$P$585,3)))),0)</f>
        <v>0</v>
      </c>
      <c r="BR565" s="484">
        <f>IFERROR(IF(Input!BK121=0,0,(Input!BK121*$M512*((1+$S512)^VLOOKUP(BR$496-$S565+1,$N$576:$P$585,3)))),0)</f>
        <v>0</v>
      </c>
      <c r="BS565" s="484">
        <f>IFERROR(IF(Input!BL121=0,0,(Input!BL121*$M512*((1+$S512)^VLOOKUP(BS$496-$S565+1,$N$576:$P$585,3)))),0)</f>
        <v>0</v>
      </c>
      <c r="BT565" s="484">
        <f>IFERROR(IF(Input!BM121=0,0,(Input!BM121*$M512*((1+$S512)^VLOOKUP(BT$496-$S565+1,$N$576:$P$585,3)))),0)</f>
        <v>0</v>
      </c>
      <c r="BU565" s="484">
        <f>IFERROR(IF(Input!BN121=0,0,(Input!BN121*$M512*((1+$S512)^VLOOKUP(BU$496-$S565+1,$N$576:$P$585,3)))),0)</f>
        <v>0</v>
      </c>
      <c r="BV565" s="484">
        <f>IFERROR(IF(Input!BO121=0,0,(Input!BO121*$M512*((1+$S512)^VLOOKUP(BV$496-$S565+1,$N$576:$P$585,3)))),0)</f>
        <v>0</v>
      </c>
      <c r="BW565" s="484">
        <f>IFERROR(IF(Input!BP121=0,0,(Input!BP121*$M512*((1+$S512)^VLOOKUP(BW$496-$S565+1,$N$576:$P$585,3)))),0)</f>
        <v>0</v>
      </c>
      <c r="BX565" s="484">
        <f>IFERROR(IF(Input!BQ121=0,0,(Input!BQ121*$M512*((1+$S512)^VLOOKUP(BX$496-$S565+1,$N$576:$P$585,3)))),0)</f>
        <v>0</v>
      </c>
      <c r="BY565" s="484">
        <f>IFERROR(IF(Input!BR121=0,0,(Input!BR121*$M512*((1+$S512)^VLOOKUP(BY$496-$S565+1,$N$576:$P$585,3)))),0)</f>
        <v>0</v>
      </c>
      <c r="BZ565" s="484">
        <f>IFERROR(IF(Input!BS121=0,0,(Input!BS121*$M512*((1+$S512)^VLOOKUP(BZ$496-$S565+1,$N$576:$P$585,3)))),0)</f>
        <v>0</v>
      </c>
      <c r="CA565" s="484">
        <f>IFERROR(IF(Input!BT121=0,0,(Input!BT121*$M512*((1+$S512)^VLOOKUP(CA$496-$S565+1,$N$576:$P$585,3)))),0)</f>
        <v>0</v>
      </c>
      <c r="CB565" s="484">
        <f>IFERROR(IF(Input!BU121=0,0,(Input!BU121*$M512*((1+$S512)^VLOOKUP(CB$496-$S565+1,$N$576:$P$585,3)))),0)</f>
        <v>0</v>
      </c>
      <c r="CC565" s="484">
        <f>IFERROR(IF(Input!BV121=0,0,(Input!BV121*$M512*((1+$S512)^VLOOKUP(CC$496-$S565+1,$N$576:$P$585,3)))),0)</f>
        <v>0</v>
      </c>
      <c r="CD565" s="484">
        <f>IFERROR(IF(Input!BW121=0,0,(Input!BW121*$M512*((1+$S512)^VLOOKUP(CD$496-$S565+1,$N$576:$P$585,3)))),0)</f>
        <v>0</v>
      </c>
      <c r="CE565" s="1171"/>
      <c r="CF565" s="1171"/>
      <c r="CG565" s="1171"/>
      <c r="CH565" s="1171"/>
      <c r="CI565" s="1171"/>
    </row>
    <row r="566" spans="11:87" ht="12" customHeight="1" thickBot="1" x14ac:dyDescent="0.4">
      <c r="K566" s="13"/>
      <c r="L566" s="70"/>
      <c r="M566" s="70"/>
      <c r="N566" s="72" t="s">
        <v>143</v>
      </c>
      <c r="O566" s="79">
        <v>0</v>
      </c>
      <c r="P566" s="70"/>
      <c r="Q566" s="70"/>
      <c r="R566" s="40">
        <v>15</v>
      </c>
      <c r="S566" s="13">
        <f>IF(Input!H122&lt;&gt;"",VLOOKUP(Input!$H122,Infrastructure!$D$70:$F$129,3,FALSE),0)</f>
        <v>0</v>
      </c>
      <c r="T566" s="69">
        <f t="shared" si="368"/>
        <v>0</v>
      </c>
      <c r="U566" s="725">
        <f>1+Input!L122+Input!K122</f>
        <v>1</v>
      </c>
      <c r="V566" s="84"/>
      <c r="W566" s="62">
        <f>IFERROR(IF(Input!P122=0,0,(Input!P122*$M513*((1+$S513)^VLOOKUP(W$496-$S566+1,$N$576:$P$585,3)))),0)</f>
        <v>0</v>
      </c>
      <c r="X566" s="62">
        <f>IFERROR(IF(Input!Q122=0,0,(Input!Q122*$M513*((1+$S513)^VLOOKUP(X$496-$S566+1,$N$576:$P$585,3)))),0)</f>
        <v>0</v>
      </c>
      <c r="Y566" s="62">
        <f>IFERROR(IF(Input!R122=0,0,(Input!R122*$M513*((1+$S513)^VLOOKUP(Y$496-$S566+1,$N$576:$P$585,3)))),0)</f>
        <v>0</v>
      </c>
      <c r="Z566" s="62">
        <f>IFERROR(IF(Input!S122=0,0,(Input!S122*$M513*((1+$S513)^VLOOKUP(Z$496-$S566+1,$N$576:$P$585,3)))),0)</f>
        <v>0</v>
      </c>
      <c r="AA566" s="62">
        <f>IFERROR(IF(Input!T122=0,0,(Input!T122*$M513*((1+$S513)^VLOOKUP(AA$496-$S566+1,$N$576:$P$585,3)))),0)</f>
        <v>0</v>
      </c>
      <c r="AB566" s="62">
        <f>IFERROR(IF(Input!U122=0,0,(Input!U122*$M513*((1+$S513)^VLOOKUP(AB$496-$S566+1,$N$576:$P$585,3)))),0)</f>
        <v>0</v>
      </c>
      <c r="AC566" s="62">
        <f>IFERROR(IF(Input!V122=0,0,(Input!V122*$M513*((1+$S513)^VLOOKUP(AC$496-$S566+1,$N$576:$P$585,3)))),0)</f>
        <v>0</v>
      </c>
      <c r="AD566" s="62">
        <f>IFERROR(IF(Input!W122=0,0,(Input!W122*$M513*((1+$S513)^VLOOKUP(AD$496-$S566+1,$N$576:$P$585,3)))),0)</f>
        <v>0</v>
      </c>
      <c r="AE566" s="62">
        <f>IFERROR(IF(Input!X122=0,0,(Input!X122*$M513*((1+$S513)^VLOOKUP(AE$496-$S566+1,$N$576:$P$585,3)))),0)</f>
        <v>0</v>
      </c>
      <c r="AF566" s="484">
        <f>IFERROR(IF(Input!Y122=0,0,(Input!Y122*$M513*((1+$S513)^VLOOKUP(AF$496-$S566+1,$N$576:$P$585,3)))),0)</f>
        <v>0</v>
      </c>
      <c r="AG566" s="484">
        <f>IFERROR(IF(Input!Z122=0,0,(Input!Z122*$M513*((1+$S513)^VLOOKUP(AG$496-$S566+1,$N$576:$P$585,3)))),0)</f>
        <v>0</v>
      </c>
      <c r="AH566" s="484">
        <f>IFERROR(IF(Input!AA122=0,0,(Input!AA122*$M513*((1+$S513)^VLOOKUP(AH$496-$S566+1,$N$576:$P$585,3)))),0)</f>
        <v>0</v>
      </c>
      <c r="AI566" s="484">
        <f>IFERROR(IF(Input!AB122=0,0,(Input!AB122*$M513*((1+$S513)^VLOOKUP(AI$496-$S566+1,$N$576:$P$585,3)))),0)</f>
        <v>0</v>
      </c>
      <c r="AJ566" s="484">
        <f>IFERROR(IF(Input!AC122=0,0,(Input!AC122*$M513*((1+$S513)^VLOOKUP(AJ$496-$S566+1,$N$576:$P$585,3)))),0)</f>
        <v>0</v>
      </c>
      <c r="AK566" s="484">
        <f>IFERROR(IF(Input!AD122=0,0,(Input!AD122*$M513*((1+$S513)^VLOOKUP(AK$496-$S566+1,$N$576:$P$585,3)))),0)</f>
        <v>0</v>
      </c>
      <c r="AL566" s="484">
        <f>IFERROR(IF(Input!AE122=0,0,(Input!AE122*$M513*((1+$S513)^VLOOKUP(AL$496-$S566+1,$N$576:$P$585,3)))),0)</f>
        <v>0</v>
      </c>
      <c r="AM566" s="484">
        <f>IFERROR(IF(Input!AF122=0,0,(Input!AF122*$M513*((1+$S513)^VLOOKUP(AM$496-$S566+1,$N$576:$P$585,3)))),0)</f>
        <v>0</v>
      </c>
      <c r="AN566" s="484">
        <f>IFERROR(IF(Input!AG122=0,0,(Input!AG122*$M513*((1+$S513)^VLOOKUP(AN$496-$S566+1,$N$576:$P$585,3)))),0)</f>
        <v>0</v>
      </c>
      <c r="AO566" s="484">
        <f>IFERROR(IF(Input!AH122=0,0,(Input!AH122*$M513*((1+$S513)^VLOOKUP(AO$496-$S566+1,$N$576:$P$585,3)))),0)</f>
        <v>0</v>
      </c>
      <c r="AP566" s="484">
        <f>IFERROR(IF(Input!AI122=0,0,(Input!AI122*$M513*((1+$S513)^VLOOKUP(AP$496-$S566+1,$N$576:$P$585,3)))),0)</f>
        <v>0</v>
      </c>
      <c r="AQ566" s="484">
        <f>IFERROR(IF(Input!AJ122=0,0,(Input!AJ122*$M513*((1+$S513)^VLOOKUP(AQ$496-$S566+1,$N$576:$P$585,3)))),0)</f>
        <v>0</v>
      </c>
      <c r="AR566" s="484">
        <f>IFERROR(IF(Input!AK122=0,0,(Input!AK122*$M513*((1+$S513)^VLOOKUP(AR$496-$S566+1,$N$576:$P$585,3)))),0)</f>
        <v>0</v>
      </c>
      <c r="AS566" s="484">
        <f>IFERROR(IF(Input!AL122=0,0,(Input!AL122*$M513*((1+$S513)^VLOOKUP(AS$496-$S566+1,$N$576:$P$585,3)))),0)</f>
        <v>0</v>
      </c>
      <c r="AT566" s="484">
        <f>IFERROR(IF(Input!AM122=0,0,(Input!AM122*$M513*((1+$S513)^VLOOKUP(AT$496-$S566+1,$N$576:$P$585,3)))),0)</f>
        <v>0</v>
      </c>
      <c r="AU566" s="484">
        <f>IFERROR(IF(Input!AN122=0,0,(Input!AN122*$M513*((1+$S513)^VLOOKUP(AU$496-$S566+1,$N$576:$P$585,3)))),0)</f>
        <v>0</v>
      </c>
      <c r="AV566" s="484">
        <f>IFERROR(IF(Input!AO122=0,0,(Input!AO122*$M513*((1+$S513)^VLOOKUP(AV$496-$S566+1,$N$576:$P$585,3)))),0)</f>
        <v>0</v>
      </c>
      <c r="AW566" s="484">
        <f>IFERROR(IF(Input!AP122=0,0,(Input!AP122*$M513*((1+$S513)^VLOOKUP(AW$496-$S566+1,$N$576:$P$585,3)))),0)</f>
        <v>0</v>
      </c>
      <c r="AX566" s="484">
        <f>IFERROR(IF(Input!AQ122=0,0,(Input!AQ122*$M513*((1+$S513)^VLOOKUP(AX$496-$S566+1,$N$576:$P$585,3)))),0)</f>
        <v>0</v>
      </c>
      <c r="AY566" s="484">
        <f>IFERROR(IF(Input!AR122=0,0,(Input!AR122*$M513*((1+$S513)^VLOOKUP(AY$496-$S566+1,$N$576:$P$585,3)))),0)</f>
        <v>0</v>
      </c>
      <c r="AZ566" s="484">
        <f>IFERROR(IF(Input!AS122=0,0,(Input!AS122*$M513*((1+$S513)^VLOOKUP(AZ$496-$S566+1,$N$576:$P$585,3)))),0)</f>
        <v>0</v>
      </c>
      <c r="BA566" s="484">
        <f>IFERROR(IF(Input!AT122=0,0,(Input!AT122*$M513*((1+$S513)^VLOOKUP(BA$496-$S566+1,$N$576:$P$585,3)))),0)</f>
        <v>0</v>
      </c>
      <c r="BB566" s="484">
        <f>IFERROR(IF(Input!AU122=0,0,(Input!AU122*$M513*((1+$S513)^VLOOKUP(BB$496-$S566+1,$N$576:$P$585,3)))),0)</f>
        <v>0</v>
      </c>
      <c r="BC566" s="484">
        <f>IFERROR(IF(Input!AV122=0,0,(Input!AV122*$M513*((1+$S513)^VLOOKUP(BC$496-$S566+1,$N$576:$P$585,3)))),0)</f>
        <v>0</v>
      </c>
      <c r="BD566" s="484">
        <f>IFERROR(IF(Input!AW122=0,0,(Input!AW122*$M513*((1+$S513)^VLOOKUP(BD$496-$S566+1,$N$576:$P$585,3)))),0)</f>
        <v>0</v>
      </c>
      <c r="BE566" s="484">
        <f>IFERROR(IF(Input!AX122=0,0,(Input!AX122*$M513*((1+$S513)^VLOOKUP(BE$496-$S566+1,$N$576:$P$585,3)))),0)</f>
        <v>0</v>
      </c>
      <c r="BF566" s="484">
        <f>IFERROR(IF(Input!AY122=0,0,(Input!AY122*$M513*((1+$S513)^VLOOKUP(BF$496-$S566+1,$N$576:$P$585,3)))),0)</f>
        <v>0</v>
      </c>
      <c r="BG566" s="484">
        <f>IFERROR(IF(Input!AZ122=0,0,(Input!AZ122*$M513*((1+$S513)^VLOOKUP(BG$496-$S566+1,$N$576:$P$585,3)))),0)</f>
        <v>0</v>
      </c>
      <c r="BH566" s="484">
        <f>IFERROR(IF(Input!BA122=0,0,(Input!BA122*$M513*((1+$S513)^VLOOKUP(BH$496-$S566+1,$N$576:$P$585,3)))),0)</f>
        <v>0</v>
      </c>
      <c r="BI566" s="484">
        <f>IFERROR(IF(Input!BB122=0,0,(Input!BB122*$M513*((1+$S513)^VLOOKUP(BI$496-$S566+1,$N$576:$P$585,3)))),0)</f>
        <v>0</v>
      </c>
      <c r="BJ566" s="484">
        <f>IFERROR(IF(Input!BC122=0,0,(Input!BC122*$M513*((1+$S513)^VLOOKUP(BJ$496-$S566+1,$N$576:$P$585,3)))),0)</f>
        <v>0</v>
      </c>
      <c r="BK566" s="484">
        <f>IFERROR(IF(Input!BD122=0,0,(Input!BD122*$M513*((1+$S513)^VLOOKUP(BK$496-$S566+1,$N$576:$P$585,3)))),0)</f>
        <v>0</v>
      </c>
      <c r="BL566" s="484">
        <f>IFERROR(IF(Input!BE122=0,0,(Input!BE122*$M513*((1+$S513)^VLOOKUP(BL$496-$S566+1,$N$576:$P$585,3)))),0)</f>
        <v>0</v>
      </c>
      <c r="BM566" s="484">
        <f>IFERROR(IF(Input!BF122=0,0,(Input!BF122*$M513*((1+$S513)^VLOOKUP(BM$496-$S566+1,$N$576:$P$585,3)))),0)</f>
        <v>0</v>
      </c>
      <c r="BN566" s="484">
        <f>IFERROR(IF(Input!BG122=0,0,(Input!BG122*$M513*((1+$S513)^VLOOKUP(BN$496-$S566+1,$N$576:$P$585,3)))),0)</f>
        <v>0</v>
      </c>
      <c r="BO566" s="484">
        <f>IFERROR(IF(Input!BH122=0,0,(Input!BH122*$M513*((1+$S513)^VLOOKUP(BO$496-$S566+1,$N$576:$P$585,3)))),0)</f>
        <v>0</v>
      </c>
      <c r="BP566" s="484">
        <f>IFERROR(IF(Input!BI122=0,0,(Input!BI122*$M513*((1+$S513)^VLOOKUP(BP$496-$S566+1,$N$576:$P$585,3)))),0)</f>
        <v>0</v>
      </c>
      <c r="BQ566" s="484">
        <f>IFERROR(IF(Input!BJ122=0,0,(Input!BJ122*$M513*((1+$S513)^VLOOKUP(BQ$496-$S566+1,$N$576:$P$585,3)))),0)</f>
        <v>0</v>
      </c>
      <c r="BR566" s="484">
        <f>IFERROR(IF(Input!BK122=0,0,(Input!BK122*$M513*((1+$S513)^VLOOKUP(BR$496-$S566+1,$N$576:$P$585,3)))),0)</f>
        <v>0</v>
      </c>
      <c r="BS566" s="484">
        <f>IFERROR(IF(Input!BL122=0,0,(Input!BL122*$M513*((1+$S513)^VLOOKUP(BS$496-$S566+1,$N$576:$P$585,3)))),0)</f>
        <v>0</v>
      </c>
      <c r="BT566" s="484">
        <f>IFERROR(IF(Input!BM122=0,0,(Input!BM122*$M513*((1+$S513)^VLOOKUP(BT$496-$S566+1,$N$576:$P$585,3)))),0)</f>
        <v>0</v>
      </c>
      <c r="BU566" s="484">
        <f>IFERROR(IF(Input!BN122=0,0,(Input!BN122*$M513*((1+$S513)^VLOOKUP(BU$496-$S566+1,$N$576:$P$585,3)))),0)</f>
        <v>0</v>
      </c>
      <c r="BV566" s="484">
        <f>IFERROR(IF(Input!BO122=0,0,(Input!BO122*$M513*((1+$S513)^VLOOKUP(BV$496-$S566+1,$N$576:$P$585,3)))),0)</f>
        <v>0</v>
      </c>
      <c r="BW566" s="484">
        <f>IFERROR(IF(Input!BP122=0,0,(Input!BP122*$M513*((1+$S513)^VLOOKUP(BW$496-$S566+1,$N$576:$P$585,3)))),0)</f>
        <v>0</v>
      </c>
      <c r="BX566" s="484">
        <f>IFERROR(IF(Input!BQ122=0,0,(Input!BQ122*$M513*((1+$S513)^VLOOKUP(BX$496-$S566+1,$N$576:$P$585,3)))),0)</f>
        <v>0</v>
      </c>
      <c r="BY566" s="484">
        <f>IFERROR(IF(Input!BR122=0,0,(Input!BR122*$M513*((1+$S513)^VLOOKUP(BY$496-$S566+1,$N$576:$P$585,3)))),0)</f>
        <v>0</v>
      </c>
      <c r="BZ566" s="484">
        <f>IFERROR(IF(Input!BS122=0,0,(Input!BS122*$M513*((1+$S513)^VLOOKUP(BZ$496-$S566+1,$N$576:$P$585,3)))),0)</f>
        <v>0</v>
      </c>
      <c r="CA566" s="484">
        <f>IFERROR(IF(Input!BT122=0,0,(Input!BT122*$M513*((1+$S513)^VLOOKUP(CA$496-$S566+1,$N$576:$P$585,3)))),0)</f>
        <v>0</v>
      </c>
      <c r="CB566" s="484">
        <f>IFERROR(IF(Input!BU122=0,0,(Input!BU122*$M513*((1+$S513)^VLOOKUP(CB$496-$S566+1,$N$576:$P$585,3)))),0)</f>
        <v>0</v>
      </c>
      <c r="CC566" s="484">
        <f>IFERROR(IF(Input!BV122=0,0,(Input!BV122*$M513*((1+$S513)^VLOOKUP(CC$496-$S566+1,$N$576:$P$585,3)))),0)</f>
        <v>0</v>
      </c>
      <c r="CD566" s="484">
        <f>IFERROR(IF(Input!BW122=0,0,(Input!BW122*$M513*((1+$S513)^VLOOKUP(CD$496-$S566+1,$N$576:$P$585,3)))),0)</f>
        <v>0</v>
      </c>
      <c r="CE566" s="1171"/>
      <c r="CF566" s="1171"/>
      <c r="CG566" s="1171"/>
      <c r="CH566" s="1171"/>
      <c r="CI566" s="1171"/>
    </row>
    <row r="567" spans="11:87" ht="12" customHeight="1" x14ac:dyDescent="0.35">
      <c r="K567" s="13"/>
      <c r="L567" s="70"/>
      <c r="M567" s="70"/>
      <c r="N567" s="80" t="s">
        <v>445</v>
      </c>
      <c r="O567" s="78">
        <v>7.0000000000000007E-2</v>
      </c>
      <c r="P567" s="70"/>
      <c r="Q567" s="70"/>
      <c r="R567" s="13">
        <v>16</v>
      </c>
      <c r="S567" s="13">
        <f>IF(Input!H123&lt;&gt;"",VLOOKUP(Input!$H123,Infrastructure!$D$70:$F$129,3,FALSE),0)</f>
        <v>0</v>
      </c>
      <c r="T567" s="69">
        <f t="shared" si="368"/>
        <v>0</v>
      </c>
      <c r="U567" s="725">
        <f>1+Input!L123+Input!K123</f>
        <v>1</v>
      </c>
      <c r="V567" s="84"/>
      <c r="W567" s="62">
        <f>IFERROR(IF(Input!P123=0,0,(Input!P123*$M514*((1+$S514)^VLOOKUP(W$496-$S567+1,$N$576:$P$585,3)))),0)</f>
        <v>0</v>
      </c>
      <c r="X567" s="62">
        <f>IFERROR(IF(Input!Q123=0,0,(Input!Q123*$M514*((1+$S514)^VLOOKUP(X$496-$S567+1,$N$576:$P$585,3)))),0)</f>
        <v>0</v>
      </c>
      <c r="Y567" s="62">
        <f>IFERROR(IF(Input!R123=0,0,(Input!R123*$M514*((1+$S514)^VLOOKUP(Y$496-$S567+1,$N$576:$P$585,3)))),0)</f>
        <v>0</v>
      </c>
      <c r="Z567" s="62">
        <f>IFERROR(IF(Input!S123=0,0,(Input!S123*$M514*((1+$S514)^VLOOKUP(Z$496-$S567+1,$N$576:$P$585,3)))),0)</f>
        <v>0</v>
      </c>
      <c r="AA567" s="62">
        <f>IFERROR(IF(Input!T123=0,0,(Input!T123*$M514*((1+$S514)^VLOOKUP(AA$496-$S567+1,$N$576:$P$585,3)))),0)</f>
        <v>0</v>
      </c>
      <c r="AB567" s="62">
        <f>IFERROR(IF(Input!U123=0,0,(Input!U123*$M514*((1+$S514)^VLOOKUP(AB$496-$S567+1,$N$576:$P$585,3)))),0)</f>
        <v>0</v>
      </c>
      <c r="AC567" s="62">
        <f>IFERROR(IF(Input!V123=0,0,(Input!V123*$M514*((1+$S514)^VLOOKUP(AC$496-$S567+1,$N$576:$P$585,3)))),0)</f>
        <v>0</v>
      </c>
      <c r="AD567" s="62">
        <f>IFERROR(IF(Input!W123=0,0,(Input!W123*$M514*((1+$S514)^VLOOKUP(AD$496-$S567+1,$N$576:$P$585,3)))),0)</f>
        <v>0</v>
      </c>
      <c r="AE567" s="62">
        <f>IFERROR(IF(Input!X123=0,0,(Input!X123*$M514*((1+$S514)^VLOOKUP(AE$496-$S567+1,$N$576:$P$585,3)))),0)</f>
        <v>0</v>
      </c>
      <c r="AF567" s="484">
        <f>IFERROR(IF(Input!Y123=0,0,(Input!Y123*$M514*((1+$S514)^VLOOKUP(AF$496-$S567+1,$N$576:$P$585,3)))),0)</f>
        <v>0</v>
      </c>
      <c r="AG567" s="484">
        <f>IFERROR(IF(Input!Z123=0,0,(Input!Z123*$M514*((1+$S514)^VLOOKUP(AG$496-$S567+1,$N$576:$P$585,3)))),0)</f>
        <v>0</v>
      </c>
      <c r="AH567" s="484">
        <f>IFERROR(IF(Input!AA123=0,0,(Input!AA123*$M514*((1+$S514)^VLOOKUP(AH$496-$S567+1,$N$576:$P$585,3)))),0)</f>
        <v>0</v>
      </c>
      <c r="AI567" s="484">
        <f>IFERROR(IF(Input!AB123=0,0,(Input!AB123*$M514*((1+$S514)^VLOOKUP(AI$496-$S567+1,$N$576:$P$585,3)))),0)</f>
        <v>0</v>
      </c>
      <c r="AJ567" s="484">
        <f>IFERROR(IF(Input!AC123=0,0,(Input!AC123*$M514*((1+$S514)^VLOOKUP(AJ$496-$S567+1,$N$576:$P$585,3)))),0)</f>
        <v>0</v>
      </c>
      <c r="AK567" s="484">
        <f>IFERROR(IF(Input!AD123=0,0,(Input!AD123*$M514*((1+$S514)^VLOOKUP(AK$496-$S567+1,$N$576:$P$585,3)))),0)</f>
        <v>0</v>
      </c>
      <c r="AL567" s="484">
        <f>IFERROR(IF(Input!AE123=0,0,(Input!AE123*$M514*((1+$S514)^VLOOKUP(AL$496-$S567+1,$N$576:$P$585,3)))),0)</f>
        <v>0</v>
      </c>
      <c r="AM567" s="484">
        <f>IFERROR(IF(Input!AF123=0,0,(Input!AF123*$M514*((1+$S514)^VLOOKUP(AM$496-$S567+1,$N$576:$P$585,3)))),0)</f>
        <v>0</v>
      </c>
      <c r="AN567" s="484">
        <f>IFERROR(IF(Input!AG123=0,0,(Input!AG123*$M514*((1+$S514)^VLOOKUP(AN$496-$S567+1,$N$576:$P$585,3)))),0)</f>
        <v>0</v>
      </c>
      <c r="AO567" s="484">
        <f>IFERROR(IF(Input!AH123=0,0,(Input!AH123*$M514*((1+$S514)^VLOOKUP(AO$496-$S567+1,$N$576:$P$585,3)))),0)</f>
        <v>0</v>
      </c>
      <c r="AP567" s="484">
        <f>IFERROR(IF(Input!AI123=0,0,(Input!AI123*$M514*((1+$S514)^VLOOKUP(AP$496-$S567+1,$N$576:$P$585,3)))),0)</f>
        <v>0</v>
      </c>
      <c r="AQ567" s="484">
        <f>IFERROR(IF(Input!AJ123=0,0,(Input!AJ123*$M514*((1+$S514)^VLOOKUP(AQ$496-$S567+1,$N$576:$P$585,3)))),0)</f>
        <v>0</v>
      </c>
      <c r="AR567" s="484">
        <f>IFERROR(IF(Input!AK123=0,0,(Input!AK123*$M514*((1+$S514)^VLOOKUP(AR$496-$S567+1,$N$576:$P$585,3)))),0)</f>
        <v>0</v>
      </c>
      <c r="AS567" s="484">
        <f>IFERROR(IF(Input!AL123=0,0,(Input!AL123*$M514*((1+$S514)^VLOOKUP(AS$496-$S567+1,$N$576:$P$585,3)))),0)</f>
        <v>0</v>
      </c>
      <c r="AT567" s="484">
        <f>IFERROR(IF(Input!AM123=0,0,(Input!AM123*$M514*((1+$S514)^VLOOKUP(AT$496-$S567+1,$N$576:$P$585,3)))),0)</f>
        <v>0</v>
      </c>
      <c r="AU567" s="484">
        <f>IFERROR(IF(Input!AN123=0,0,(Input!AN123*$M514*((1+$S514)^VLOOKUP(AU$496-$S567+1,$N$576:$P$585,3)))),0)</f>
        <v>0</v>
      </c>
      <c r="AV567" s="484">
        <f>IFERROR(IF(Input!AO123=0,0,(Input!AO123*$M514*((1+$S514)^VLOOKUP(AV$496-$S567+1,$N$576:$P$585,3)))),0)</f>
        <v>0</v>
      </c>
      <c r="AW567" s="484">
        <f>IFERROR(IF(Input!AP123=0,0,(Input!AP123*$M514*((1+$S514)^VLOOKUP(AW$496-$S567+1,$N$576:$P$585,3)))),0)</f>
        <v>0</v>
      </c>
      <c r="AX567" s="484">
        <f>IFERROR(IF(Input!AQ123=0,0,(Input!AQ123*$M514*((1+$S514)^VLOOKUP(AX$496-$S567+1,$N$576:$P$585,3)))),0)</f>
        <v>0</v>
      </c>
      <c r="AY567" s="484">
        <f>IFERROR(IF(Input!AR123=0,0,(Input!AR123*$M514*((1+$S514)^VLOOKUP(AY$496-$S567+1,$N$576:$P$585,3)))),0)</f>
        <v>0</v>
      </c>
      <c r="AZ567" s="484">
        <f>IFERROR(IF(Input!AS123=0,0,(Input!AS123*$M514*((1+$S514)^VLOOKUP(AZ$496-$S567+1,$N$576:$P$585,3)))),0)</f>
        <v>0</v>
      </c>
      <c r="BA567" s="484">
        <f>IFERROR(IF(Input!AT123=0,0,(Input!AT123*$M514*((1+$S514)^VLOOKUP(BA$496-$S567+1,$N$576:$P$585,3)))),0)</f>
        <v>0</v>
      </c>
      <c r="BB567" s="484">
        <f>IFERROR(IF(Input!AU123=0,0,(Input!AU123*$M514*((1+$S514)^VLOOKUP(BB$496-$S567+1,$N$576:$P$585,3)))),0)</f>
        <v>0</v>
      </c>
      <c r="BC567" s="484">
        <f>IFERROR(IF(Input!AV123=0,0,(Input!AV123*$M514*((1+$S514)^VLOOKUP(BC$496-$S567+1,$N$576:$P$585,3)))),0)</f>
        <v>0</v>
      </c>
      <c r="BD567" s="484">
        <f>IFERROR(IF(Input!AW123=0,0,(Input!AW123*$M514*((1+$S514)^VLOOKUP(BD$496-$S567+1,$N$576:$P$585,3)))),0)</f>
        <v>0</v>
      </c>
      <c r="BE567" s="484">
        <f>IFERROR(IF(Input!AX123=0,0,(Input!AX123*$M514*((1+$S514)^VLOOKUP(BE$496-$S567+1,$N$576:$P$585,3)))),0)</f>
        <v>0</v>
      </c>
      <c r="BF567" s="484">
        <f>IFERROR(IF(Input!AY123=0,0,(Input!AY123*$M514*((1+$S514)^VLOOKUP(BF$496-$S567+1,$N$576:$P$585,3)))),0)</f>
        <v>0</v>
      </c>
      <c r="BG567" s="484">
        <f>IFERROR(IF(Input!AZ123=0,0,(Input!AZ123*$M514*((1+$S514)^VLOOKUP(BG$496-$S567+1,$N$576:$P$585,3)))),0)</f>
        <v>0</v>
      </c>
      <c r="BH567" s="484">
        <f>IFERROR(IF(Input!BA123=0,0,(Input!BA123*$M514*((1+$S514)^VLOOKUP(BH$496-$S567+1,$N$576:$P$585,3)))),0)</f>
        <v>0</v>
      </c>
      <c r="BI567" s="484">
        <f>IFERROR(IF(Input!BB123=0,0,(Input!BB123*$M514*((1+$S514)^VLOOKUP(BI$496-$S567+1,$N$576:$P$585,3)))),0)</f>
        <v>0</v>
      </c>
      <c r="BJ567" s="484">
        <f>IFERROR(IF(Input!BC123=0,0,(Input!BC123*$M514*((1+$S514)^VLOOKUP(BJ$496-$S567+1,$N$576:$P$585,3)))),0)</f>
        <v>0</v>
      </c>
      <c r="BK567" s="484">
        <f>IFERROR(IF(Input!BD123=0,0,(Input!BD123*$M514*((1+$S514)^VLOOKUP(BK$496-$S567+1,$N$576:$P$585,3)))),0)</f>
        <v>0</v>
      </c>
      <c r="BL567" s="484">
        <f>IFERROR(IF(Input!BE123=0,0,(Input!BE123*$M514*((1+$S514)^VLOOKUP(BL$496-$S567+1,$N$576:$P$585,3)))),0)</f>
        <v>0</v>
      </c>
      <c r="BM567" s="484">
        <f>IFERROR(IF(Input!BF123=0,0,(Input!BF123*$M514*((1+$S514)^VLOOKUP(BM$496-$S567+1,$N$576:$P$585,3)))),0)</f>
        <v>0</v>
      </c>
      <c r="BN567" s="484">
        <f>IFERROR(IF(Input!BG123=0,0,(Input!BG123*$M514*((1+$S514)^VLOOKUP(BN$496-$S567+1,$N$576:$P$585,3)))),0)</f>
        <v>0</v>
      </c>
      <c r="BO567" s="484">
        <f>IFERROR(IF(Input!BH123=0,0,(Input!BH123*$M514*((1+$S514)^VLOOKUP(BO$496-$S567+1,$N$576:$P$585,3)))),0)</f>
        <v>0</v>
      </c>
      <c r="BP567" s="484">
        <f>IFERROR(IF(Input!BI123=0,0,(Input!BI123*$M514*((1+$S514)^VLOOKUP(BP$496-$S567+1,$N$576:$P$585,3)))),0)</f>
        <v>0</v>
      </c>
      <c r="BQ567" s="484">
        <f>IFERROR(IF(Input!BJ123=0,0,(Input!BJ123*$M514*((1+$S514)^VLOOKUP(BQ$496-$S567+1,$N$576:$P$585,3)))),0)</f>
        <v>0</v>
      </c>
      <c r="BR567" s="484">
        <f>IFERROR(IF(Input!BK123=0,0,(Input!BK123*$M514*((1+$S514)^VLOOKUP(BR$496-$S567+1,$N$576:$P$585,3)))),0)</f>
        <v>0</v>
      </c>
      <c r="BS567" s="484">
        <f>IFERROR(IF(Input!BL123=0,0,(Input!BL123*$M514*((1+$S514)^VLOOKUP(BS$496-$S567+1,$N$576:$P$585,3)))),0)</f>
        <v>0</v>
      </c>
      <c r="BT567" s="484">
        <f>IFERROR(IF(Input!BM123=0,0,(Input!BM123*$M514*((1+$S514)^VLOOKUP(BT$496-$S567+1,$N$576:$P$585,3)))),0)</f>
        <v>0</v>
      </c>
      <c r="BU567" s="484">
        <f>IFERROR(IF(Input!BN123=0,0,(Input!BN123*$M514*((1+$S514)^VLOOKUP(BU$496-$S567+1,$N$576:$P$585,3)))),0)</f>
        <v>0</v>
      </c>
      <c r="BV567" s="484">
        <f>IFERROR(IF(Input!BO123=0,0,(Input!BO123*$M514*((1+$S514)^VLOOKUP(BV$496-$S567+1,$N$576:$P$585,3)))),0)</f>
        <v>0</v>
      </c>
      <c r="BW567" s="484">
        <f>IFERROR(IF(Input!BP123=0,0,(Input!BP123*$M514*((1+$S514)^VLOOKUP(BW$496-$S567+1,$N$576:$P$585,3)))),0)</f>
        <v>0</v>
      </c>
      <c r="BX567" s="484">
        <f>IFERROR(IF(Input!BQ123=0,0,(Input!BQ123*$M514*((1+$S514)^VLOOKUP(BX$496-$S567+1,$N$576:$P$585,3)))),0)</f>
        <v>0</v>
      </c>
      <c r="BY567" s="484">
        <f>IFERROR(IF(Input!BR123=0,0,(Input!BR123*$M514*((1+$S514)^VLOOKUP(BY$496-$S567+1,$N$576:$P$585,3)))),0)</f>
        <v>0</v>
      </c>
      <c r="BZ567" s="484">
        <f>IFERROR(IF(Input!BS123=0,0,(Input!BS123*$M514*((1+$S514)^VLOOKUP(BZ$496-$S567+1,$N$576:$P$585,3)))),0)</f>
        <v>0</v>
      </c>
      <c r="CA567" s="484">
        <f>IFERROR(IF(Input!BT123=0,0,(Input!BT123*$M514*((1+$S514)^VLOOKUP(CA$496-$S567+1,$N$576:$P$585,3)))),0)</f>
        <v>0</v>
      </c>
      <c r="CB567" s="484">
        <f>IFERROR(IF(Input!BU123=0,0,(Input!BU123*$M514*((1+$S514)^VLOOKUP(CB$496-$S567+1,$N$576:$P$585,3)))),0)</f>
        <v>0</v>
      </c>
      <c r="CC567" s="484">
        <f>IFERROR(IF(Input!BV123=0,0,(Input!BV123*$M514*((1+$S514)^VLOOKUP(CC$496-$S567+1,$N$576:$P$585,3)))),0)</f>
        <v>0</v>
      </c>
      <c r="CD567" s="484">
        <f>IFERROR(IF(Input!BW123=0,0,(Input!BW123*$M514*((1+$S514)^VLOOKUP(CD$496-$S567+1,$N$576:$P$585,3)))),0)</f>
        <v>0</v>
      </c>
      <c r="CE567" s="1171"/>
      <c r="CF567" s="1171"/>
      <c r="CG567" s="1171"/>
      <c r="CH567" s="1171"/>
      <c r="CI567" s="1171"/>
    </row>
    <row r="568" spans="11:87" ht="12" customHeight="1" x14ac:dyDescent="0.35">
      <c r="K568" s="13"/>
      <c r="L568" s="70"/>
      <c r="M568" s="70"/>
      <c r="N568" s="70"/>
      <c r="O568" s="70"/>
      <c r="P568" s="70"/>
      <c r="Q568" s="70"/>
      <c r="R568" s="13">
        <v>17</v>
      </c>
      <c r="S568" s="13">
        <f>IF(Input!H124&lt;&gt;"",VLOOKUP(Input!$H124,Infrastructure!$D$70:$F$129,3,FALSE),0)</f>
        <v>0</v>
      </c>
      <c r="T568" s="69">
        <f t="shared" si="368"/>
        <v>0</v>
      </c>
      <c r="U568" s="725">
        <f>1+Input!L124+Input!K124</f>
        <v>1</v>
      </c>
      <c r="V568" s="84"/>
      <c r="W568" s="62">
        <f>IFERROR(IF(Input!P124=0,0,(Input!P124*$M515*((1+$S515)^VLOOKUP(W$496-$S568+1,$N$576:$P$585,3)))),0)</f>
        <v>0</v>
      </c>
      <c r="X568" s="62">
        <f>IFERROR(IF(Input!Q124=0,0,(Input!Q124*$M515*((1+$S515)^VLOOKUP(X$496-$S568+1,$N$576:$P$585,3)))),0)</f>
        <v>0</v>
      </c>
      <c r="Y568" s="62">
        <f>IFERROR(IF(Input!R124=0,0,(Input!R124*$M515*((1+$S515)^VLOOKUP(Y$496-$S568+1,$N$576:$P$585,3)))),0)</f>
        <v>0</v>
      </c>
      <c r="Z568" s="62">
        <f>IFERROR(IF(Input!S124=0,0,(Input!S124*$M515*((1+$S515)^VLOOKUP(Z$496-$S568+1,$N$576:$P$585,3)))),0)</f>
        <v>0</v>
      </c>
      <c r="AA568" s="62">
        <f>IFERROR(IF(Input!T124=0,0,(Input!T124*$M515*((1+$S515)^VLOOKUP(AA$496-$S568+1,$N$576:$P$585,3)))),0)</f>
        <v>0</v>
      </c>
      <c r="AB568" s="62">
        <f>IFERROR(IF(Input!U124=0,0,(Input!U124*$M515*((1+$S515)^VLOOKUP(AB$496-$S568+1,$N$576:$P$585,3)))),0)</f>
        <v>0</v>
      </c>
      <c r="AC568" s="62">
        <f>IFERROR(IF(Input!V124=0,0,(Input!V124*$M515*((1+$S515)^VLOOKUP(AC$496-$S568+1,$N$576:$P$585,3)))),0)</f>
        <v>0</v>
      </c>
      <c r="AD568" s="62">
        <f>IFERROR(IF(Input!W124=0,0,(Input!W124*$M515*((1+$S515)^VLOOKUP(AD$496-$S568+1,$N$576:$P$585,3)))),0)</f>
        <v>0</v>
      </c>
      <c r="AE568" s="62">
        <f>IFERROR(IF(Input!X124=0,0,(Input!X124*$M515*((1+$S515)^VLOOKUP(AE$496-$S568+1,$N$576:$P$585,3)))),0)</f>
        <v>0</v>
      </c>
      <c r="AF568" s="484">
        <f>IFERROR(IF(Input!Y124=0,0,(Input!Y124*$M515*((1+$S515)^VLOOKUP(AF$496-$S568+1,$N$576:$P$585,3)))),0)</f>
        <v>0</v>
      </c>
      <c r="AG568" s="484">
        <f>IFERROR(IF(Input!Z124=0,0,(Input!Z124*$M515*((1+$S515)^VLOOKUP(AG$496-$S568+1,$N$576:$P$585,3)))),0)</f>
        <v>0</v>
      </c>
      <c r="AH568" s="484">
        <f>IFERROR(IF(Input!AA124=0,0,(Input!AA124*$M515*((1+$S515)^VLOOKUP(AH$496-$S568+1,$N$576:$P$585,3)))),0)</f>
        <v>0</v>
      </c>
      <c r="AI568" s="484">
        <f>IFERROR(IF(Input!AB124=0,0,(Input!AB124*$M515*((1+$S515)^VLOOKUP(AI$496-$S568+1,$N$576:$P$585,3)))),0)</f>
        <v>0</v>
      </c>
      <c r="AJ568" s="484">
        <f>IFERROR(IF(Input!AC124=0,0,(Input!AC124*$M515*((1+$S515)^VLOOKUP(AJ$496-$S568+1,$N$576:$P$585,3)))),0)</f>
        <v>0</v>
      </c>
      <c r="AK568" s="484">
        <f>IFERROR(IF(Input!AD124=0,0,(Input!AD124*$M515*((1+$S515)^VLOOKUP(AK$496-$S568+1,$N$576:$P$585,3)))),0)</f>
        <v>0</v>
      </c>
      <c r="AL568" s="484">
        <f>IFERROR(IF(Input!AE124=0,0,(Input!AE124*$M515*((1+$S515)^VLOOKUP(AL$496-$S568+1,$N$576:$P$585,3)))),0)</f>
        <v>0</v>
      </c>
      <c r="AM568" s="484">
        <f>IFERROR(IF(Input!AF124=0,0,(Input!AF124*$M515*((1+$S515)^VLOOKUP(AM$496-$S568+1,$N$576:$P$585,3)))),0)</f>
        <v>0</v>
      </c>
      <c r="AN568" s="484">
        <f>IFERROR(IF(Input!AG124=0,0,(Input!AG124*$M515*((1+$S515)^VLOOKUP(AN$496-$S568+1,$N$576:$P$585,3)))),0)</f>
        <v>0</v>
      </c>
      <c r="AO568" s="484">
        <f>IFERROR(IF(Input!AH124=0,0,(Input!AH124*$M515*((1+$S515)^VLOOKUP(AO$496-$S568+1,$N$576:$P$585,3)))),0)</f>
        <v>0</v>
      </c>
      <c r="AP568" s="484">
        <f>IFERROR(IF(Input!AI124=0,0,(Input!AI124*$M515*((1+$S515)^VLOOKUP(AP$496-$S568+1,$N$576:$P$585,3)))),0)</f>
        <v>0</v>
      </c>
      <c r="AQ568" s="484">
        <f>IFERROR(IF(Input!AJ124=0,0,(Input!AJ124*$M515*((1+$S515)^VLOOKUP(AQ$496-$S568+1,$N$576:$P$585,3)))),0)</f>
        <v>0</v>
      </c>
      <c r="AR568" s="484">
        <f>IFERROR(IF(Input!AK124=0,0,(Input!AK124*$M515*((1+$S515)^VLOOKUP(AR$496-$S568+1,$N$576:$P$585,3)))),0)</f>
        <v>0</v>
      </c>
      <c r="AS568" s="484">
        <f>IFERROR(IF(Input!AL124=0,0,(Input!AL124*$M515*((1+$S515)^VLOOKUP(AS$496-$S568+1,$N$576:$P$585,3)))),0)</f>
        <v>0</v>
      </c>
      <c r="AT568" s="484">
        <f>IFERROR(IF(Input!AM124=0,0,(Input!AM124*$M515*((1+$S515)^VLOOKUP(AT$496-$S568+1,$N$576:$P$585,3)))),0)</f>
        <v>0</v>
      </c>
      <c r="AU568" s="484">
        <f>IFERROR(IF(Input!AN124=0,0,(Input!AN124*$M515*((1+$S515)^VLOOKUP(AU$496-$S568+1,$N$576:$P$585,3)))),0)</f>
        <v>0</v>
      </c>
      <c r="AV568" s="484">
        <f>IFERROR(IF(Input!AO124=0,0,(Input!AO124*$M515*((1+$S515)^VLOOKUP(AV$496-$S568+1,$N$576:$P$585,3)))),0)</f>
        <v>0</v>
      </c>
      <c r="AW568" s="484">
        <f>IFERROR(IF(Input!AP124=0,0,(Input!AP124*$M515*((1+$S515)^VLOOKUP(AW$496-$S568+1,$N$576:$P$585,3)))),0)</f>
        <v>0</v>
      </c>
      <c r="AX568" s="484">
        <f>IFERROR(IF(Input!AQ124=0,0,(Input!AQ124*$M515*((1+$S515)^VLOOKUP(AX$496-$S568+1,$N$576:$P$585,3)))),0)</f>
        <v>0</v>
      </c>
      <c r="AY568" s="484">
        <f>IFERROR(IF(Input!AR124=0,0,(Input!AR124*$M515*((1+$S515)^VLOOKUP(AY$496-$S568+1,$N$576:$P$585,3)))),0)</f>
        <v>0</v>
      </c>
      <c r="AZ568" s="484">
        <f>IFERROR(IF(Input!AS124=0,0,(Input!AS124*$M515*((1+$S515)^VLOOKUP(AZ$496-$S568+1,$N$576:$P$585,3)))),0)</f>
        <v>0</v>
      </c>
      <c r="BA568" s="484">
        <f>IFERROR(IF(Input!AT124=0,0,(Input!AT124*$M515*((1+$S515)^VLOOKUP(BA$496-$S568+1,$N$576:$P$585,3)))),0)</f>
        <v>0</v>
      </c>
      <c r="BB568" s="484">
        <f>IFERROR(IF(Input!AU124=0,0,(Input!AU124*$M515*((1+$S515)^VLOOKUP(BB$496-$S568+1,$N$576:$P$585,3)))),0)</f>
        <v>0</v>
      </c>
      <c r="BC568" s="484">
        <f>IFERROR(IF(Input!AV124=0,0,(Input!AV124*$M515*((1+$S515)^VLOOKUP(BC$496-$S568+1,$N$576:$P$585,3)))),0)</f>
        <v>0</v>
      </c>
      <c r="BD568" s="484">
        <f>IFERROR(IF(Input!AW124=0,0,(Input!AW124*$M515*((1+$S515)^VLOOKUP(BD$496-$S568+1,$N$576:$P$585,3)))),0)</f>
        <v>0</v>
      </c>
      <c r="BE568" s="484">
        <f>IFERROR(IF(Input!AX124=0,0,(Input!AX124*$M515*((1+$S515)^VLOOKUP(BE$496-$S568+1,$N$576:$P$585,3)))),0)</f>
        <v>0</v>
      </c>
      <c r="BF568" s="484">
        <f>IFERROR(IF(Input!AY124=0,0,(Input!AY124*$M515*((1+$S515)^VLOOKUP(BF$496-$S568+1,$N$576:$P$585,3)))),0)</f>
        <v>0</v>
      </c>
      <c r="BG568" s="484">
        <f>IFERROR(IF(Input!AZ124=0,0,(Input!AZ124*$M515*((1+$S515)^VLOOKUP(BG$496-$S568+1,$N$576:$P$585,3)))),0)</f>
        <v>0</v>
      </c>
      <c r="BH568" s="484">
        <f>IFERROR(IF(Input!BA124=0,0,(Input!BA124*$M515*((1+$S515)^VLOOKUP(BH$496-$S568+1,$N$576:$P$585,3)))),0)</f>
        <v>0</v>
      </c>
      <c r="BI568" s="484">
        <f>IFERROR(IF(Input!BB124=0,0,(Input!BB124*$M515*((1+$S515)^VLOOKUP(BI$496-$S568+1,$N$576:$P$585,3)))),0)</f>
        <v>0</v>
      </c>
      <c r="BJ568" s="484">
        <f>IFERROR(IF(Input!BC124=0,0,(Input!BC124*$M515*((1+$S515)^VLOOKUP(BJ$496-$S568+1,$N$576:$P$585,3)))),0)</f>
        <v>0</v>
      </c>
      <c r="BK568" s="484">
        <f>IFERROR(IF(Input!BD124=0,0,(Input!BD124*$M515*((1+$S515)^VLOOKUP(BK$496-$S568+1,$N$576:$P$585,3)))),0)</f>
        <v>0</v>
      </c>
      <c r="BL568" s="484">
        <f>IFERROR(IF(Input!BE124=0,0,(Input!BE124*$M515*((1+$S515)^VLOOKUP(BL$496-$S568+1,$N$576:$P$585,3)))),0)</f>
        <v>0</v>
      </c>
      <c r="BM568" s="484">
        <f>IFERROR(IF(Input!BF124=0,0,(Input!BF124*$M515*((1+$S515)^VLOOKUP(BM$496-$S568+1,$N$576:$P$585,3)))),0)</f>
        <v>0</v>
      </c>
      <c r="BN568" s="484">
        <f>IFERROR(IF(Input!BG124=0,0,(Input!BG124*$M515*((1+$S515)^VLOOKUP(BN$496-$S568+1,$N$576:$P$585,3)))),0)</f>
        <v>0</v>
      </c>
      <c r="BO568" s="484">
        <f>IFERROR(IF(Input!BH124=0,0,(Input!BH124*$M515*((1+$S515)^VLOOKUP(BO$496-$S568+1,$N$576:$P$585,3)))),0)</f>
        <v>0</v>
      </c>
      <c r="BP568" s="484">
        <f>IFERROR(IF(Input!BI124=0,0,(Input!BI124*$M515*((1+$S515)^VLOOKUP(BP$496-$S568+1,$N$576:$P$585,3)))),0)</f>
        <v>0</v>
      </c>
      <c r="BQ568" s="484">
        <f>IFERROR(IF(Input!BJ124=0,0,(Input!BJ124*$M515*((1+$S515)^VLOOKUP(BQ$496-$S568+1,$N$576:$P$585,3)))),0)</f>
        <v>0</v>
      </c>
      <c r="BR568" s="484">
        <f>IFERROR(IF(Input!BK124=0,0,(Input!BK124*$M515*((1+$S515)^VLOOKUP(BR$496-$S568+1,$N$576:$P$585,3)))),0)</f>
        <v>0</v>
      </c>
      <c r="BS568" s="484">
        <f>IFERROR(IF(Input!BL124=0,0,(Input!BL124*$M515*((1+$S515)^VLOOKUP(BS$496-$S568+1,$N$576:$P$585,3)))),0)</f>
        <v>0</v>
      </c>
      <c r="BT568" s="484">
        <f>IFERROR(IF(Input!BM124=0,0,(Input!BM124*$M515*((1+$S515)^VLOOKUP(BT$496-$S568+1,$N$576:$P$585,3)))),0)</f>
        <v>0</v>
      </c>
      <c r="BU568" s="484">
        <f>IFERROR(IF(Input!BN124=0,0,(Input!BN124*$M515*((1+$S515)^VLOOKUP(BU$496-$S568+1,$N$576:$P$585,3)))),0)</f>
        <v>0</v>
      </c>
      <c r="BV568" s="484">
        <f>IFERROR(IF(Input!BO124=0,0,(Input!BO124*$M515*((1+$S515)^VLOOKUP(BV$496-$S568+1,$N$576:$P$585,3)))),0)</f>
        <v>0</v>
      </c>
      <c r="BW568" s="484">
        <f>IFERROR(IF(Input!BP124=0,0,(Input!BP124*$M515*((1+$S515)^VLOOKUP(BW$496-$S568+1,$N$576:$P$585,3)))),0)</f>
        <v>0</v>
      </c>
      <c r="BX568" s="484">
        <f>IFERROR(IF(Input!BQ124=0,0,(Input!BQ124*$M515*((1+$S515)^VLOOKUP(BX$496-$S568+1,$N$576:$P$585,3)))),0)</f>
        <v>0</v>
      </c>
      <c r="BY568" s="484">
        <f>IFERROR(IF(Input!BR124=0,0,(Input!BR124*$M515*((1+$S515)^VLOOKUP(BY$496-$S568+1,$N$576:$P$585,3)))),0)</f>
        <v>0</v>
      </c>
      <c r="BZ568" s="484">
        <f>IFERROR(IF(Input!BS124=0,0,(Input!BS124*$M515*((1+$S515)^VLOOKUP(BZ$496-$S568+1,$N$576:$P$585,3)))),0)</f>
        <v>0</v>
      </c>
      <c r="CA568" s="484">
        <f>IFERROR(IF(Input!BT124=0,0,(Input!BT124*$M515*((1+$S515)^VLOOKUP(CA$496-$S568+1,$N$576:$P$585,3)))),0)</f>
        <v>0</v>
      </c>
      <c r="CB568" s="484">
        <f>IFERROR(IF(Input!BU124=0,0,(Input!BU124*$M515*((1+$S515)^VLOOKUP(CB$496-$S568+1,$N$576:$P$585,3)))),0)</f>
        <v>0</v>
      </c>
      <c r="CC568" s="484">
        <f>IFERROR(IF(Input!BV124=0,0,(Input!BV124*$M515*((1+$S515)^VLOOKUP(CC$496-$S568+1,$N$576:$P$585,3)))),0)</f>
        <v>0</v>
      </c>
      <c r="CD568" s="484">
        <f>IFERROR(IF(Input!BW124=0,0,(Input!BW124*$M515*((1+$S515)^VLOOKUP(CD$496-$S568+1,$N$576:$P$585,3)))),0)</f>
        <v>0</v>
      </c>
      <c r="CE568" s="1171"/>
      <c r="CF568" s="1171"/>
      <c r="CG568" s="1171"/>
      <c r="CH568" s="1171"/>
      <c r="CI568" s="1171"/>
    </row>
    <row r="569" spans="11:87" ht="12" customHeight="1" x14ac:dyDescent="0.35">
      <c r="K569" s="13"/>
      <c r="L569" s="70"/>
      <c r="M569" s="70"/>
      <c r="N569" s="80" t="s">
        <v>410</v>
      </c>
      <c r="O569" s="81">
        <v>0.08</v>
      </c>
      <c r="P569" s="70"/>
      <c r="Q569" s="70"/>
      <c r="R569" s="40">
        <v>18</v>
      </c>
      <c r="S569" s="13">
        <f>IF(Input!H125&lt;&gt;"",VLOOKUP(Input!$H125,Infrastructure!$D$70:$F$129,3,FALSE),0)</f>
        <v>0</v>
      </c>
      <c r="T569" s="69">
        <f t="shared" si="368"/>
        <v>0</v>
      </c>
      <c r="U569" s="725">
        <f>1+Input!L125+Input!K125</f>
        <v>1</v>
      </c>
      <c r="V569" s="84"/>
      <c r="W569" s="62">
        <f>IFERROR(IF(Input!P125=0,0,(Input!P125*$M516*((1+$S516)^VLOOKUP(W$496-$S569+1,$N$576:$P$585,3)))),0)</f>
        <v>0</v>
      </c>
      <c r="X569" s="62">
        <f>IFERROR(IF(Input!Q125=0,0,(Input!Q125*$M516*((1+$S516)^VLOOKUP(X$496-$S569+1,$N$576:$P$585,3)))),0)</f>
        <v>0</v>
      </c>
      <c r="Y569" s="62">
        <f>IFERROR(IF(Input!R125=0,0,(Input!R125*$M516*((1+$S516)^VLOOKUP(Y$496-$S569+1,$N$576:$P$585,3)))),0)</f>
        <v>0</v>
      </c>
      <c r="Z569" s="62">
        <f>IFERROR(IF(Input!S125=0,0,(Input!S125*$M516*((1+$S516)^VLOOKUP(Z$496-$S569+1,$N$576:$P$585,3)))),0)</f>
        <v>0</v>
      </c>
      <c r="AA569" s="62">
        <f>IFERROR(IF(Input!T125=0,0,(Input!T125*$M516*((1+$S516)^VLOOKUP(AA$496-$S569+1,$N$576:$P$585,3)))),0)</f>
        <v>0</v>
      </c>
      <c r="AB569" s="62">
        <f>IFERROR(IF(Input!U125=0,0,(Input!U125*$M516*((1+$S516)^VLOOKUP(AB$496-$S569+1,$N$576:$P$585,3)))),0)</f>
        <v>0</v>
      </c>
      <c r="AC569" s="62">
        <f>IFERROR(IF(Input!V125=0,0,(Input!V125*$M516*((1+$S516)^VLOOKUP(AC$496-$S569+1,$N$576:$P$585,3)))),0)</f>
        <v>0</v>
      </c>
      <c r="AD569" s="62">
        <f>IFERROR(IF(Input!W125=0,0,(Input!W125*$M516*((1+$S516)^VLOOKUP(AD$496-$S569+1,$N$576:$P$585,3)))),0)</f>
        <v>0</v>
      </c>
      <c r="AE569" s="62">
        <f>IFERROR(IF(Input!X125=0,0,(Input!X125*$M516*((1+$S516)^VLOOKUP(AE$496-$S569+1,$N$576:$P$585,3)))),0)</f>
        <v>0</v>
      </c>
      <c r="AF569" s="484">
        <f>IFERROR(IF(Input!Y125=0,0,(Input!Y125*$M516*((1+$S516)^VLOOKUP(AF$496-$S569+1,$N$576:$P$585,3)))),0)</f>
        <v>0</v>
      </c>
      <c r="AG569" s="484">
        <f>IFERROR(IF(Input!Z125=0,0,(Input!Z125*$M516*((1+$S516)^VLOOKUP(AG$496-$S569+1,$N$576:$P$585,3)))),0)</f>
        <v>0</v>
      </c>
      <c r="AH569" s="484">
        <f>IFERROR(IF(Input!AA125=0,0,(Input!AA125*$M516*((1+$S516)^VLOOKUP(AH$496-$S569+1,$N$576:$P$585,3)))),0)</f>
        <v>0</v>
      </c>
      <c r="AI569" s="484">
        <f>IFERROR(IF(Input!AB125=0,0,(Input!AB125*$M516*((1+$S516)^VLOOKUP(AI$496-$S569+1,$N$576:$P$585,3)))),0)</f>
        <v>0</v>
      </c>
      <c r="AJ569" s="484">
        <f>IFERROR(IF(Input!AC125=0,0,(Input!AC125*$M516*((1+$S516)^VLOOKUP(AJ$496-$S569+1,$N$576:$P$585,3)))),0)</f>
        <v>0</v>
      </c>
      <c r="AK569" s="484">
        <f>IFERROR(IF(Input!AD125=0,0,(Input!AD125*$M516*((1+$S516)^VLOOKUP(AK$496-$S569+1,$N$576:$P$585,3)))),0)</f>
        <v>0</v>
      </c>
      <c r="AL569" s="484">
        <f>IFERROR(IF(Input!AE125=0,0,(Input!AE125*$M516*((1+$S516)^VLOOKUP(AL$496-$S569+1,$N$576:$P$585,3)))),0)</f>
        <v>0</v>
      </c>
      <c r="AM569" s="484">
        <f>IFERROR(IF(Input!AF125=0,0,(Input!AF125*$M516*((1+$S516)^VLOOKUP(AM$496-$S569+1,$N$576:$P$585,3)))),0)</f>
        <v>0</v>
      </c>
      <c r="AN569" s="484">
        <f>IFERROR(IF(Input!AG125=0,0,(Input!AG125*$M516*((1+$S516)^VLOOKUP(AN$496-$S569+1,$N$576:$P$585,3)))),0)</f>
        <v>0</v>
      </c>
      <c r="AO569" s="484">
        <f>IFERROR(IF(Input!AH125=0,0,(Input!AH125*$M516*((1+$S516)^VLOOKUP(AO$496-$S569+1,$N$576:$P$585,3)))),0)</f>
        <v>0</v>
      </c>
      <c r="AP569" s="484">
        <f>IFERROR(IF(Input!AI125=0,0,(Input!AI125*$M516*((1+$S516)^VLOOKUP(AP$496-$S569+1,$N$576:$P$585,3)))),0)</f>
        <v>0</v>
      </c>
      <c r="AQ569" s="484">
        <f>IFERROR(IF(Input!AJ125=0,0,(Input!AJ125*$M516*((1+$S516)^VLOOKUP(AQ$496-$S569+1,$N$576:$P$585,3)))),0)</f>
        <v>0</v>
      </c>
      <c r="AR569" s="484">
        <f>IFERROR(IF(Input!AK125=0,0,(Input!AK125*$M516*((1+$S516)^VLOOKUP(AR$496-$S569+1,$N$576:$P$585,3)))),0)</f>
        <v>0</v>
      </c>
      <c r="AS569" s="484">
        <f>IFERROR(IF(Input!AL125=0,0,(Input!AL125*$M516*((1+$S516)^VLOOKUP(AS$496-$S569+1,$N$576:$P$585,3)))),0)</f>
        <v>0</v>
      </c>
      <c r="AT569" s="484">
        <f>IFERROR(IF(Input!AM125=0,0,(Input!AM125*$M516*((1+$S516)^VLOOKUP(AT$496-$S569+1,$N$576:$P$585,3)))),0)</f>
        <v>0</v>
      </c>
      <c r="AU569" s="484">
        <f>IFERROR(IF(Input!AN125=0,0,(Input!AN125*$M516*((1+$S516)^VLOOKUP(AU$496-$S569+1,$N$576:$P$585,3)))),0)</f>
        <v>0</v>
      </c>
      <c r="AV569" s="484">
        <f>IFERROR(IF(Input!AO125=0,0,(Input!AO125*$M516*((1+$S516)^VLOOKUP(AV$496-$S569+1,$N$576:$P$585,3)))),0)</f>
        <v>0</v>
      </c>
      <c r="AW569" s="484">
        <f>IFERROR(IF(Input!AP125=0,0,(Input!AP125*$M516*((1+$S516)^VLOOKUP(AW$496-$S569+1,$N$576:$P$585,3)))),0)</f>
        <v>0</v>
      </c>
      <c r="AX569" s="484">
        <f>IFERROR(IF(Input!AQ125=0,0,(Input!AQ125*$M516*((1+$S516)^VLOOKUP(AX$496-$S569+1,$N$576:$P$585,3)))),0)</f>
        <v>0</v>
      </c>
      <c r="AY569" s="484">
        <f>IFERROR(IF(Input!AR125=0,0,(Input!AR125*$M516*((1+$S516)^VLOOKUP(AY$496-$S569+1,$N$576:$P$585,3)))),0)</f>
        <v>0</v>
      </c>
      <c r="AZ569" s="484">
        <f>IFERROR(IF(Input!AS125=0,0,(Input!AS125*$M516*((1+$S516)^VLOOKUP(AZ$496-$S569+1,$N$576:$P$585,3)))),0)</f>
        <v>0</v>
      </c>
      <c r="BA569" s="484">
        <f>IFERROR(IF(Input!AT125=0,0,(Input!AT125*$M516*((1+$S516)^VLOOKUP(BA$496-$S569+1,$N$576:$P$585,3)))),0)</f>
        <v>0</v>
      </c>
      <c r="BB569" s="484">
        <f>IFERROR(IF(Input!AU125=0,0,(Input!AU125*$M516*((1+$S516)^VLOOKUP(BB$496-$S569+1,$N$576:$P$585,3)))),0)</f>
        <v>0</v>
      </c>
      <c r="BC569" s="484">
        <f>IFERROR(IF(Input!AV125=0,0,(Input!AV125*$M516*((1+$S516)^VLOOKUP(BC$496-$S569+1,$N$576:$P$585,3)))),0)</f>
        <v>0</v>
      </c>
      <c r="BD569" s="484">
        <f>IFERROR(IF(Input!AW125=0,0,(Input!AW125*$M516*((1+$S516)^VLOOKUP(BD$496-$S569+1,$N$576:$P$585,3)))),0)</f>
        <v>0</v>
      </c>
      <c r="BE569" s="484">
        <f>IFERROR(IF(Input!AX125=0,0,(Input!AX125*$M516*((1+$S516)^VLOOKUP(BE$496-$S569+1,$N$576:$P$585,3)))),0)</f>
        <v>0</v>
      </c>
      <c r="BF569" s="484">
        <f>IFERROR(IF(Input!AY125=0,0,(Input!AY125*$M516*((1+$S516)^VLOOKUP(BF$496-$S569+1,$N$576:$P$585,3)))),0)</f>
        <v>0</v>
      </c>
      <c r="BG569" s="484">
        <f>IFERROR(IF(Input!AZ125=0,0,(Input!AZ125*$M516*((1+$S516)^VLOOKUP(BG$496-$S569+1,$N$576:$P$585,3)))),0)</f>
        <v>0</v>
      </c>
      <c r="BH569" s="484">
        <f>IFERROR(IF(Input!BA125=0,0,(Input!BA125*$M516*((1+$S516)^VLOOKUP(BH$496-$S569+1,$N$576:$P$585,3)))),0)</f>
        <v>0</v>
      </c>
      <c r="BI569" s="484">
        <f>IFERROR(IF(Input!BB125=0,0,(Input!BB125*$M516*((1+$S516)^VLOOKUP(BI$496-$S569+1,$N$576:$P$585,3)))),0)</f>
        <v>0</v>
      </c>
      <c r="BJ569" s="484">
        <f>IFERROR(IF(Input!BC125=0,0,(Input!BC125*$M516*((1+$S516)^VLOOKUP(BJ$496-$S569+1,$N$576:$P$585,3)))),0)</f>
        <v>0</v>
      </c>
      <c r="BK569" s="484">
        <f>IFERROR(IF(Input!BD125=0,0,(Input!BD125*$M516*((1+$S516)^VLOOKUP(BK$496-$S569+1,$N$576:$P$585,3)))),0)</f>
        <v>0</v>
      </c>
      <c r="BL569" s="484">
        <f>IFERROR(IF(Input!BE125=0,0,(Input!BE125*$M516*((1+$S516)^VLOOKUP(BL$496-$S569+1,$N$576:$P$585,3)))),0)</f>
        <v>0</v>
      </c>
      <c r="BM569" s="484">
        <f>IFERROR(IF(Input!BF125=0,0,(Input!BF125*$M516*((1+$S516)^VLOOKUP(BM$496-$S569+1,$N$576:$P$585,3)))),0)</f>
        <v>0</v>
      </c>
      <c r="BN569" s="484">
        <f>IFERROR(IF(Input!BG125=0,0,(Input!BG125*$M516*((1+$S516)^VLOOKUP(BN$496-$S569+1,$N$576:$P$585,3)))),0)</f>
        <v>0</v>
      </c>
      <c r="BO569" s="484">
        <f>IFERROR(IF(Input!BH125=0,0,(Input!BH125*$M516*((1+$S516)^VLOOKUP(BO$496-$S569+1,$N$576:$P$585,3)))),0)</f>
        <v>0</v>
      </c>
      <c r="BP569" s="484">
        <f>IFERROR(IF(Input!BI125=0,0,(Input!BI125*$M516*((1+$S516)^VLOOKUP(BP$496-$S569+1,$N$576:$P$585,3)))),0)</f>
        <v>0</v>
      </c>
      <c r="BQ569" s="484">
        <f>IFERROR(IF(Input!BJ125=0,0,(Input!BJ125*$M516*((1+$S516)^VLOOKUP(BQ$496-$S569+1,$N$576:$P$585,3)))),0)</f>
        <v>0</v>
      </c>
      <c r="BR569" s="484">
        <f>IFERROR(IF(Input!BK125=0,0,(Input!BK125*$M516*((1+$S516)^VLOOKUP(BR$496-$S569+1,$N$576:$P$585,3)))),0)</f>
        <v>0</v>
      </c>
      <c r="BS569" s="484">
        <f>IFERROR(IF(Input!BL125=0,0,(Input!BL125*$M516*((1+$S516)^VLOOKUP(BS$496-$S569+1,$N$576:$P$585,3)))),0)</f>
        <v>0</v>
      </c>
      <c r="BT569" s="484">
        <f>IFERROR(IF(Input!BM125=0,0,(Input!BM125*$M516*((1+$S516)^VLOOKUP(BT$496-$S569+1,$N$576:$P$585,3)))),0)</f>
        <v>0</v>
      </c>
      <c r="BU569" s="484">
        <f>IFERROR(IF(Input!BN125=0,0,(Input!BN125*$M516*((1+$S516)^VLOOKUP(BU$496-$S569+1,$N$576:$P$585,3)))),0)</f>
        <v>0</v>
      </c>
      <c r="BV569" s="484">
        <f>IFERROR(IF(Input!BO125=0,0,(Input!BO125*$M516*((1+$S516)^VLOOKUP(BV$496-$S569+1,$N$576:$P$585,3)))),0)</f>
        <v>0</v>
      </c>
      <c r="BW569" s="484">
        <f>IFERROR(IF(Input!BP125=0,0,(Input!BP125*$M516*((1+$S516)^VLOOKUP(BW$496-$S569+1,$N$576:$P$585,3)))),0)</f>
        <v>0</v>
      </c>
      <c r="BX569" s="484">
        <f>IFERROR(IF(Input!BQ125=0,0,(Input!BQ125*$M516*((1+$S516)^VLOOKUP(BX$496-$S569+1,$N$576:$P$585,3)))),0)</f>
        <v>0</v>
      </c>
      <c r="BY569" s="484">
        <f>IFERROR(IF(Input!BR125=0,0,(Input!BR125*$M516*((1+$S516)^VLOOKUP(BY$496-$S569+1,$N$576:$P$585,3)))),0)</f>
        <v>0</v>
      </c>
      <c r="BZ569" s="484">
        <f>IFERROR(IF(Input!BS125=0,0,(Input!BS125*$M516*((1+$S516)^VLOOKUP(BZ$496-$S569+1,$N$576:$P$585,3)))),0)</f>
        <v>0</v>
      </c>
      <c r="CA569" s="484">
        <f>IFERROR(IF(Input!BT125=0,0,(Input!BT125*$M516*((1+$S516)^VLOOKUP(CA$496-$S569+1,$N$576:$P$585,3)))),0)</f>
        <v>0</v>
      </c>
      <c r="CB569" s="484">
        <f>IFERROR(IF(Input!BU125=0,0,(Input!BU125*$M516*((1+$S516)^VLOOKUP(CB$496-$S569+1,$N$576:$P$585,3)))),0)</f>
        <v>0</v>
      </c>
      <c r="CC569" s="484">
        <f>IFERROR(IF(Input!BV125=0,0,(Input!BV125*$M516*((1+$S516)^VLOOKUP(CC$496-$S569+1,$N$576:$P$585,3)))),0)</f>
        <v>0</v>
      </c>
      <c r="CD569" s="484">
        <f>IFERROR(IF(Input!BW125=0,0,(Input!BW125*$M516*((1+$S516)^VLOOKUP(CD$496-$S569+1,$N$576:$P$585,3)))),0)</f>
        <v>0</v>
      </c>
      <c r="CE569" s="1171"/>
      <c r="CF569" s="1171"/>
      <c r="CG569" s="1171"/>
      <c r="CH569" s="1171"/>
      <c r="CI569" s="1171"/>
    </row>
    <row r="570" spans="11:87" ht="12" customHeight="1" x14ac:dyDescent="0.35">
      <c r="K570" s="13"/>
      <c r="L570" s="70"/>
      <c r="M570" s="70"/>
      <c r="N570" s="70"/>
      <c r="O570" s="70"/>
      <c r="P570" s="70"/>
      <c r="Q570" s="70"/>
      <c r="R570" s="13">
        <v>19</v>
      </c>
      <c r="S570" s="13">
        <f>IF(Input!H126&lt;&gt;"",VLOOKUP(Input!$H126,Infrastructure!$D$70:$F$129,3,FALSE),0)</f>
        <v>0</v>
      </c>
      <c r="T570" s="69">
        <f t="shared" si="368"/>
        <v>0</v>
      </c>
      <c r="U570" s="725">
        <f>1+Input!L126+Input!K126</f>
        <v>1</v>
      </c>
      <c r="V570" s="84"/>
      <c r="W570" s="62">
        <f>IFERROR(IF(Input!P126=0,0,(Input!P126*$M517*((1+$S517)^VLOOKUP(W$496-$S570+1,$N$576:$P$585,3)))),0)</f>
        <v>0</v>
      </c>
      <c r="X570" s="62">
        <f>IFERROR(IF(Input!Q126=0,0,(Input!Q126*$M517*((1+$S517)^VLOOKUP(X$496-$S570+1,$N$576:$P$585,3)))),0)</f>
        <v>0</v>
      </c>
      <c r="Y570" s="62">
        <f>IFERROR(IF(Input!R126=0,0,(Input!R126*$M517*((1+$S517)^VLOOKUP(Y$496-$S570+1,$N$576:$P$585,3)))),0)</f>
        <v>0</v>
      </c>
      <c r="Z570" s="62">
        <f>IFERROR(IF(Input!S126=0,0,(Input!S126*$M517*((1+$S517)^VLOOKUP(Z$496-$S570+1,$N$576:$P$585,3)))),0)</f>
        <v>0</v>
      </c>
      <c r="AA570" s="62">
        <f>IFERROR(IF(Input!T126=0,0,(Input!T126*$M517*((1+$S517)^VLOOKUP(AA$496-$S570+1,$N$576:$P$585,3)))),0)</f>
        <v>0</v>
      </c>
      <c r="AB570" s="62">
        <f>IFERROR(IF(Input!U126=0,0,(Input!U126*$M517*((1+$S517)^VLOOKUP(AB$496-$S570+1,$N$576:$P$585,3)))),0)</f>
        <v>0</v>
      </c>
      <c r="AC570" s="62">
        <f>IFERROR(IF(Input!V126=0,0,(Input!V126*$M517*((1+$S517)^VLOOKUP(AC$496-$S570+1,$N$576:$P$585,3)))),0)</f>
        <v>0</v>
      </c>
      <c r="AD570" s="62">
        <f>IFERROR(IF(Input!W126=0,0,(Input!W126*$M517*((1+$S517)^VLOOKUP(AD$496-$S570+1,$N$576:$P$585,3)))),0)</f>
        <v>0</v>
      </c>
      <c r="AE570" s="62">
        <f>IFERROR(IF(Input!X126=0,0,(Input!X126*$M517*((1+$S517)^VLOOKUP(AE$496-$S570+1,$N$576:$P$585,3)))),0)</f>
        <v>0</v>
      </c>
      <c r="AF570" s="484">
        <f>IFERROR(IF(Input!Y126=0,0,(Input!Y126*$M517*((1+$S517)^VLOOKUP(AF$496-$S570+1,$N$576:$P$585,3)))),0)</f>
        <v>0</v>
      </c>
      <c r="AG570" s="484">
        <f>IFERROR(IF(Input!Z126=0,0,(Input!Z126*$M517*((1+$S517)^VLOOKUP(AG$496-$S570+1,$N$576:$P$585,3)))),0)</f>
        <v>0</v>
      </c>
      <c r="AH570" s="484">
        <f>IFERROR(IF(Input!AA126=0,0,(Input!AA126*$M517*((1+$S517)^VLOOKUP(AH$496-$S570+1,$N$576:$P$585,3)))),0)</f>
        <v>0</v>
      </c>
      <c r="AI570" s="484">
        <f>IFERROR(IF(Input!AB126=0,0,(Input!AB126*$M517*((1+$S517)^VLOOKUP(AI$496-$S570+1,$N$576:$P$585,3)))),0)</f>
        <v>0</v>
      </c>
      <c r="AJ570" s="484">
        <f>IFERROR(IF(Input!AC126=0,0,(Input!AC126*$M517*((1+$S517)^VLOOKUP(AJ$496-$S570+1,$N$576:$P$585,3)))),0)</f>
        <v>0</v>
      </c>
      <c r="AK570" s="484">
        <f>IFERROR(IF(Input!AD126=0,0,(Input!AD126*$M517*((1+$S517)^VLOOKUP(AK$496-$S570+1,$N$576:$P$585,3)))),0)</f>
        <v>0</v>
      </c>
      <c r="AL570" s="484">
        <f>IFERROR(IF(Input!AE126=0,0,(Input!AE126*$M517*((1+$S517)^VLOOKUP(AL$496-$S570+1,$N$576:$P$585,3)))),0)</f>
        <v>0</v>
      </c>
      <c r="AM570" s="484">
        <f>IFERROR(IF(Input!AF126=0,0,(Input!AF126*$M517*((1+$S517)^VLOOKUP(AM$496-$S570+1,$N$576:$P$585,3)))),0)</f>
        <v>0</v>
      </c>
      <c r="AN570" s="484">
        <f>IFERROR(IF(Input!AG126=0,0,(Input!AG126*$M517*((1+$S517)^VLOOKUP(AN$496-$S570+1,$N$576:$P$585,3)))),0)</f>
        <v>0</v>
      </c>
      <c r="AO570" s="484">
        <f>IFERROR(IF(Input!AH126=0,0,(Input!AH126*$M517*((1+$S517)^VLOOKUP(AO$496-$S570+1,$N$576:$P$585,3)))),0)</f>
        <v>0</v>
      </c>
      <c r="AP570" s="484">
        <f>IFERROR(IF(Input!AI126=0,0,(Input!AI126*$M517*((1+$S517)^VLOOKUP(AP$496-$S570+1,$N$576:$P$585,3)))),0)</f>
        <v>0</v>
      </c>
      <c r="AQ570" s="484">
        <f>IFERROR(IF(Input!AJ126=0,0,(Input!AJ126*$M517*((1+$S517)^VLOOKUP(AQ$496-$S570+1,$N$576:$P$585,3)))),0)</f>
        <v>0</v>
      </c>
      <c r="AR570" s="484">
        <f>IFERROR(IF(Input!AK126=0,0,(Input!AK126*$M517*((1+$S517)^VLOOKUP(AR$496-$S570+1,$N$576:$P$585,3)))),0)</f>
        <v>0</v>
      </c>
      <c r="AS570" s="484">
        <f>IFERROR(IF(Input!AL126=0,0,(Input!AL126*$M517*((1+$S517)^VLOOKUP(AS$496-$S570+1,$N$576:$P$585,3)))),0)</f>
        <v>0</v>
      </c>
      <c r="AT570" s="484">
        <f>IFERROR(IF(Input!AM126=0,0,(Input!AM126*$M517*((1+$S517)^VLOOKUP(AT$496-$S570+1,$N$576:$P$585,3)))),0)</f>
        <v>0</v>
      </c>
      <c r="AU570" s="484">
        <f>IFERROR(IF(Input!AN126=0,0,(Input!AN126*$M517*((1+$S517)^VLOOKUP(AU$496-$S570+1,$N$576:$P$585,3)))),0)</f>
        <v>0</v>
      </c>
      <c r="AV570" s="484">
        <f>IFERROR(IF(Input!AO126=0,0,(Input!AO126*$M517*((1+$S517)^VLOOKUP(AV$496-$S570+1,$N$576:$P$585,3)))),0)</f>
        <v>0</v>
      </c>
      <c r="AW570" s="484">
        <f>IFERROR(IF(Input!AP126=0,0,(Input!AP126*$M517*((1+$S517)^VLOOKUP(AW$496-$S570+1,$N$576:$P$585,3)))),0)</f>
        <v>0</v>
      </c>
      <c r="AX570" s="484">
        <f>IFERROR(IF(Input!AQ126=0,0,(Input!AQ126*$M517*((1+$S517)^VLOOKUP(AX$496-$S570+1,$N$576:$P$585,3)))),0)</f>
        <v>0</v>
      </c>
      <c r="AY570" s="484">
        <f>IFERROR(IF(Input!AR126=0,0,(Input!AR126*$M517*((1+$S517)^VLOOKUP(AY$496-$S570+1,$N$576:$P$585,3)))),0)</f>
        <v>0</v>
      </c>
      <c r="AZ570" s="484">
        <f>IFERROR(IF(Input!AS126=0,0,(Input!AS126*$M517*((1+$S517)^VLOOKUP(AZ$496-$S570+1,$N$576:$P$585,3)))),0)</f>
        <v>0</v>
      </c>
      <c r="BA570" s="484">
        <f>IFERROR(IF(Input!AT126=0,0,(Input!AT126*$M517*((1+$S517)^VLOOKUP(BA$496-$S570+1,$N$576:$P$585,3)))),0)</f>
        <v>0</v>
      </c>
      <c r="BB570" s="484">
        <f>IFERROR(IF(Input!AU126=0,0,(Input!AU126*$M517*((1+$S517)^VLOOKUP(BB$496-$S570+1,$N$576:$P$585,3)))),0)</f>
        <v>0</v>
      </c>
      <c r="BC570" s="484">
        <f>IFERROR(IF(Input!AV126=0,0,(Input!AV126*$M517*((1+$S517)^VLOOKUP(BC$496-$S570+1,$N$576:$P$585,3)))),0)</f>
        <v>0</v>
      </c>
      <c r="BD570" s="484">
        <f>IFERROR(IF(Input!AW126=0,0,(Input!AW126*$M517*((1+$S517)^VLOOKUP(BD$496-$S570+1,$N$576:$P$585,3)))),0)</f>
        <v>0</v>
      </c>
      <c r="BE570" s="484">
        <f>IFERROR(IF(Input!AX126=0,0,(Input!AX126*$M517*((1+$S517)^VLOOKUP(BE$496-$S570+1,$N$576:$P$585,3)))),0)</f>
        <v>0</v>
      </c>
      <c r="BF570" s="484">
        <f>IFERROR(IF(Input!AY126=0,0,(Input!AY126*$M517*((1+$S517)^VLOOKUP(BF$496-$S570+1,$N$576:$P$585,3)))),0)</f>
        <v>0</v>
      </c>
      <c r="BG570" s="484">
        <f>IFERROR(IF(Input!AZ126=0,0,(Input!AZ126*$M517*((1+$S517)^VLOOKUP(BG$496-$S570+1,$N$576:$P$585,3)))),0)</f>
        <v>0</v>
      </c>
      <c r="BH570" s="484">
        <f>IFERROR(IF(Input!BA126=0,0,(Input!BA126*$M517*((1+$S517)^VLOOKUP(BH$496-$S570+1,$N$576:$P$585,3)))),0)</f>
        <v>0</v>
      </c>
      <c r="BI570" s="484">
        <f>IFERROR(IF(Input!BB126=0,0,(Input!BB126*$M517*((1+$S517)^VLOOKUP(BI$496-$S570+1,$N$576:$P$585,3)))),0)</f>
        <v>0</v>
      </c>
      <c r="BJ570" s="484">
        <f>IFERROR(IF(Input!BC126=0,0,(Input!BC126*$M517*((1+$S517)^VLOOKUP(BJ$496-$S570+1,$N$576:$P$585,3)))),0)</f>
        <v>0</v>
      </c>
      <c r="BK570" s="484">
        <f>IFERROR(IF(Input!BD126=0,0,(Input!BD126*$M517*((1+$S517)^VLOOKUP(BK$496-$S570+1,$N$576:$P$585,3)))),0)</f>
        <v>0</v>
      </c>
      <c r="BL570" s="484">
        <f>IFERROR(IF(Input!BE126=0,0,(Input!BE126*$M517*((1+$S517)^VLOOKUP(BL$496-$S570+1,$N$576:$P$585,3)))),0)</f>
        <v>0</v>
      </c>
      <c r="BM570" s="484">
        <f>IFERROR(IF(Input!BF126=0,0,(Input!BF126*$M517*((1+$S517)^VLOOKUP(BM$496-$S570+1,$N$576:$P$585,3)))),0)</f>
        <v>0</v>
      </c>
      <c r="BN570" s="484">
        <f>IFERROR(IF(Input!BG126=0,0,(Input!BG126*$M517*((1+$S517)^VLOOKUP(BN$496-$S570+1,$N$576:$P$585,3)))),0)</f>
        <v>0</v>
      </c>
      <c r="BO570" s="484">
        <f>IFERROR(IF(Input!BH126=0,0,(Input!BH126*$M517*((1+$S517)^VLOOKUP(BO$496-$S570+1,$N$576:$P$585,3)))),0)</f>
        <v>0</v>
      </c>
      <c r="BP570" s="484">
        <f>IFERROR(IF(Input!BI126=0,0,(Input!BI126*$M517*((1+$S517)^VLOOKUP(BP$496-$S570+1,$N$576:$P$585,3)))),0)</f>
        <v>0</v>
      </c>
      <c r="BQ570" s="484">
        <f>IFERROR(IF(Input!BJ126=0,0,(Input!BJ126*$M517*((1+$S517)^VLOOKUP(BQ$496-$S570+1,$N$576:$P$585,3)))),0)</f>
        <v>0</v>
      </c>
      <c r="BR570" s="484">
        <f>IFERROR(IF(Input!BK126=0,0,(Input!BK126*$M517*((1+$S517)^VLOOKUP(BR$496-$S570+1,$N$576:$P$585,3)))),0)</f>
        <v>0</v>
      </c>
      <c r="BS570" s="484">
        <f>IFERROR(IF(Input!BL126=0,0,(Input!BL126*$M517*((1+$S517)^VLOOKUP(BS$496-$S570+1,$N$576:$P$585,3)))),0)</f>
        <v>0</v>
      </c>
      <c r="BT570" s="484">
        <f>IFERROR(IF(Input!BM126=0,0,(Input!BM126*$M517*((1+$S517)^VLOOKUP(BT$496-$S570+1,$N$576:$P$585,3)))),0)</f>
        <v>0</v>
      </c>
      <c r="BU570" s="484">
        <f>IFERROR(IF(Input!BN126=0,0,(Input!BN126*$M517*((1+$S517)^VLOOKUP(BU$496-$S570+1,$N$576:$P$585,3)))),0)</f>
        <v>0</v>
      </c>
      <c r="BV570" s="484">
        <f>IFERROR(IF(Input!BO126=0,0,(Input!BO126*$M517*((1+$S517)^VLOOKUP(BV$496-$S570+1,$N$576:$P$585,3)))),0)</f>
        <v>0</v>
      </c>
      <c r="BW570" s="484">
        <f>IFERROR(IF(Input!BP126=0,0,(Input!BP126*$M517*((1+$S517)^VLOOKUP(BW$496-$S570+1,$N$576:$P$585,3)))),0)</f>
        <v>0</v>
      </c>
      <c r="BX570" s="484">
        <f>IFERROR(IF(Input!BQ126=0,0,(Input!BQ126*$M517*((1+$S517)^VLOOKUP(BX$496-$S570+1,$N$576:$P$585,3)))),0)</f>
        <v>0</v>
      </c>
      <c r="BY570" s="484">
        <f>IFERROR(IF(Input!BR126=0,0,(Input!BR126*$M517*((1+$S517)^VLOOKUP(BY$496-$S570+1,$N$576:$P$585,3)))),0)</f>
        <v>0</v>
      </c>
      <c r="BZ570" s="484">
        <f>IFERROR(IF(Input!BS126=0,0,(Input!BS126*$M517*((1+$S517)^VLOOKUP(BZ$496-$S570+1,$N$576:$P$585,3)))),0)</f>
        <v>0</v>
      </c>
      <c r="CA570" s="484">
        <f>IFERROR(IF(Input!BT126=0,0,(Input!BT126*$M517*((1+$S517)^VLOOKUP(CA$496-$S570+1,$N$576:$P$585,3)))),0)</f>
        <v>0</v>
      </c>
      <c r="CB570" s="484">
        <f>IFERROR(IF(Input!BU126=0,0,(Input!BU126*$M517*((1+$S517)^VLOOKUP(CB$496-$S570+1,$N$576:$P$585,3)))),0)</f>
        <v>0</v>
      </c>
      <c r="CC570" s="484">
        <f>IFERROR(IF(Input!BV126=0,0,(Input!BV126*$M517*((1+$S517)^VLOOKUP(CC$496-$S570+1,$N$576:$P$585,3)))),0)</f>
        <v>0</v>
      </c>
      <c r="CD570" s="484">
        <f>IFERROR(IF(Input!BW126=0,0,(Input!BW126*$M517*((1+$S517)^VLOOKUP(CD$496-$S570+1,$N$576:$P$585,3)))),0)</f>
        <v>0</v>
      </c>
      <c r="CE570" s="1171"/>
      <c r="CF570" s="1171"/>
      <c r="CG570" s="1171"/>
      <c r="CH570" s="1171"/>
      <c r="CI570" s="1171"/>
    </row>
    <row r="571" spans="11:87" ht="12" customHeight="1" x14ac:dyDescent="0.35">
      <c r="K571" s="13"/>
      <c r="L571" s="70"/>
      <c r="M571" s="70"/>
      <c r="N571" s="443"/>
      <c r="O571" s="443"/>
      <c r="P571" s="70"/>
      <c r="Q571" s="70"/>
      <c r="R571" s="13">
        <v>20</v>
      </c>
      <c r="S571" s="13">
        <f>IF(Input!H127&lt;&gt;"",VLOOKUP(Input!$H127,Infrastructure!$D$70:$F$129,3,FALSE),0)</f>
        <v>0</v>
      </c>
      <c r="T571" s="69">
        <f t="shared" si="368"/>
        <v>0</v>
      </c>
      <c r="U571" s="725">
        <f>1+Input!L127+Input!K127</f>
        <v>1</v>
      </c>
      <c r="V571" s="84"/>
      <c r="W571" s="62">
        <f>IFERROR(IF(Input!P127=0,0,(Input!P127*$M518*((1+$S518)^VLOOKUP(W$496-$S571+1,$N$576:$P$585,3)))),0)</f>
        <v>0</v>
      </c>
      <c r="X571" s="62">
        <f>IFERROR(IF(Input!Q127=0,0,(Input!Q127*$M518*((1+$S518)^VLOOKUP(X$496-$S571+1,$N$576:$P$585,3)))),0)</f>
        <v>0</v>
      </c>
      <c r="Y571" s="62">
        <f>IFERROR(IF(Input!R127=0,0,(Input!R127*$M518*((1+$S518)^VLOOKUP(Y$496-$S571+1,$N$576:$P$585,3)))),0)</f>
        <v>0</v>
      </c>
      <c r="Z571" s="62">
        <f>IFERROR(IF(Input!S127=0,0,(Input!S127*$M518*((1+$S518)^VLOOKUP(Z$496-$S571+1,$N$576:$P$585,3)))),0)</f>
        <v>0</v>
      </c>
      <c r="AA571" s="62">
        <f>IFERROR(IF(Input!T127=0,0,(Input!T127*$M518*((1+$S518)^VLOOKUP(AA$496-$S571+1,$N$576:$P$585,3)))),0)</f>
        <v>0</v>
      </c>
      <c r="AB571" s="62">
        <f>IFERROR(IF(Input!U127=0,0,(Input!U127*$M518*((1+$S518)^VLOOKUP(AB$496-$S571+1,$N$576:$P$585,3)))),0)</f>
        <v>0</v>
      </c>
      <c r="AC571" s="62">
        <f>IFERROR(IF(Input!V127=0,0,(Input!V127*$M518*((1+$S518)^VLOOKUP(AC$496-$S571+1,$N$576:$P$585,3)))),0)</f>
        <v>0</v>
      </c>
      <c r="AD571" s="62">
        <f>IFERROR(IF(Input!W127=0,0,(Input!W127*$M518*((1+$S518)^VLOOKUP(AD$496-$S571+1,$N$576:$P$585,3)))),0)</f>
        <v>0</v>
      </c>
      <c r="AE571" s="62">
        <f>IFERROR(IF(Input!X127=0,0,(Input!X127*$M518*((1+$S518)^VLOOKUP(AE$496-$S571+1,$N$576:$P$585,3)))),0)</f>
        <v>0</v>
      </c>
      <c r="AF571" s="484">
        <f>IFERROR(IF(Input!Y127=0,0,(Input!Y127*$M518*((1+$S518)^VLOOKUP(AF$496-$S571+1,$N$576:$P$585,3)))),0)</f>
        <v>0</v>
      </c>
      <c r="AG571" s="484">
        <f>IFERROR(IF(Input!Z127=0,0,(Input!Z127*$M518*((1+$S518)^VLOOKUP(AG$496-$S571+1,$N$576:$P$585,3)))),0)</f>
        <v>0</v>
      </c>
      <c r="AH571" s="484">
        <f>IFERROR(IF(Input!AA127=0,0,(Input!AA127*$M518*((1+$S518)^VLOOKUP(AH$496-$S571+1,$N$576:$P$585,3)))),0)</f>
        <v>0</v>
      </c>
      <c r="AI571" s="484">
        <f>IFERROR(IF(Input!AB127=0,0,(Input!AB127*$M518*((1+$S518)^VLOOKUP(AI$496-$S571+1,$N$576:$P$585,3)))),0)</f>
        <v>0</v>
      </c>
      <c r="AJ571" s="484">
        <f>IFERROR(IF(Input!AC127=0,0,(Input!AC127*$M518*((1+$S518)^VLOOKUP(AJ$496-$S571+1,$N$576:$P$585,3)))),0)</f>
        <v>0</v>
      </c>
      <c r="AK571" s="484">
        <f>IFERROR(IF(Input!AD127=0,0,(Input!AD127*$M518*((1+$S518)^VLOOKUP(AK$496-$S571+1,$N$576:$P$585,3)))),0)</f>
        <v>0</v>
      </c>
      <c r="AL571" s="484">
        <f>IFERROR(IF(Input!AE127=0,0,(Input!AE127*$M518*((1+$S518)^VLOOKUP(AL$496-$S571+1,$N$576:$P$585,3)))),0)</f>
        <v>0</v>
      </c>
      <c r="AM571" s="484">
        <f>IFERROR(IF(Input!AF127=0,0,(Input!AF127*$M518*((1+$S518)^VLOOKUP(AM$496-$S571+1,$N$576:$P$585,3)))),0)</f>
        <v>0</v>
      </c>
      <c r="AN571" s="484">
        <f>IFERROR(IF(Input!AG127=0,0,(Input!AG127*$M518*((1+$S518)^VLOOKUP(AN$496-$S571+1,$N$576:$P$585,3)))),0)</f>
        <v>0</v>
      </c>
      <c r="AO571" s="484">
        <f>IFERROR(IF(Input!AH127=0,0,(Input!AH127*$M518*((1+$S518)^VLOOKUP(AO$496-$S571+1,$N$576:$P$585,3)))),0)</f>
        <v>0</v>
      </c>
      <c r="AP571" s="484">
        <f>IFERROR(IF(Input!AI127=0,0,(Input!AI127*$M518*((1+$S518)^VLOOKUP(AP$496-$S571+1,$N$576:$P$585,3)))),0)</f>
        <v>0</v>
      </c>
      <c r="AQ571" s="484">
        <f>IFERROR(IF(Input!AJ127=0,0,(Input!AJ127*$M518*((1+$S518)^VLOOKUP(AQ$496-$S571+1,$N$576:$P$585,3)))),0)</f>
        <v>0</v>
      </c>
      <c r="AR571" s="484">
        <f>IFERROR(IF(Input!AK127=0,0,(Input!AK127*$M518*((1+$S518)^VLOOKUP(AR$496-$S571+1,$N$576:$P$585,3)))),0)</f>
        <v>0</v>
      </c>
      <c r="AS571" s="484">
        <f>IFERROR(IF(Input!AL127=0,0,(Input!AL127*$M518*((1+$S518)^VLOOKUP(AS$496-$S571+1,$N$576:$P$585,3)))),0)</f>
        <v>0</v>
      </c>
      <c r="AT571" s="484">
        <f>IFERROR(IF(Input!AM127=0,0,(Input!AM127*$M518*((1+$S518)^VLOOKUP(AT$496-$S571+1,$N$576:$P$585,3)))),0)</f>
        <v>0</v>
      </c>
      <c r="AU571" s="484">
        <f>IFERROR(IF(Input!AN127=0,0,(Input!AN127*$M518*((1+$S518)^VLOOKUP(AU$496-$S571+1,$N$576:$P$585,3)))),0)</f>
        <v>0</v>
      </c>
      <c r="AV571" s="484">
        <f>IFERROR(IF(Input!AO127=0,0,(Input!AO127*$M518*((1+$S518)^VLOOKUP(AV$496-$S571+1,$N$576:$P$585,3)))),0)</f>
        <v>0</v>
      </c>
      <c r="AW571" s="484">
        <f>IFERROR(IF(Input!AP127=0,0,(Input!AP127*$M518*((1+$S518)^VLOOKUP(AW$496-$S571+1,$N$576:$P$585,3)))),0)</f>
        <v>0</v>
      </c>
      <c r="AX571" s="484">
        <f>IFERROR(IF(Input!AQ127=0,0,(Input!AQ127*$M518*((1+$S518)^VLOOKUP(AX$496-$S571+1,$N$576:$P$585,3)))),0)</f>
        <v>0</v>
      </c>
      <c r="AY571" s="484">
        <f>IFERROR(IF(Input!AR127=0,0,(Input!AR127*$M518*((1+$S518)^VLOOKUP(AY$496-$S571+1,$N$576:$P$585,3)))),0)</f>
        <v>0</v>
      </c>
      <c r="AZ571" s="484">
        <f>IFERROR(IF(Input!AS127=0,0,(Input!AS127*$M518*((1+$S518)^VLOOKUP(AZ$496-$S571+1,$N$576:$P$585,3)))),0)</f>
        <v>0</v>
      </c>
      <c r="BA571" s="484">
        <f>IFERROR(IF(Input!AT127=0,0,(Input!AT127*$M518*((1+$S518)^VLOOKUP(BA$496-$S571+1,$N$576:$P$585,3)))),0)</f>
        <v>0</v>
      </c>
      <c r="BB571" s="484">
        <f>IFERROR(IF(Input!AU127=0,0,(Input!AU127*$M518*((1+$S518)^VLOOKUP(BB$496-$S571+1,$N$576:$P$585,3)))),0)</f>
        <v>0</v>
      </c>
      <c r="BC571" s="484">
        <f>IFERROR(IF(Input!AV127=0,0,(Input!AV127*$M518*((1+$S518)^VLOOKUP(BC$496-$S571+1,$N$576:$P$585,3)))),0)</f>
        <v>0</v>
      </c>
      <c r="BD571" s="484">
        <f>IFERROR(IF(Input!AW127=0,0,(Input!AW127*$M518*((1+$S518)^VLOOKUP(BD$496-$S571+1,$N$576:$P$585,3)))),0)</f>
        <v>0</v>
      </c>
      <c r="BE571" s="484">
        <f>IFERROR(IF(Input!AX127=0,0,(Input!AX127*$M518*((1+$S518)^VLOOKUP(BE$496-$S571+1,$N$576:$P$585,3)))),0)</f>
        <v>0</v>
      </c>
      <c r="BF571" s="484">
        <f>IFERROR(IF(Input!AY127=0,0,(Input!AY127*$M518*((1+$S518)^VLOOKUP(BF$496-$S571+1,$N$576:$P$585,3)))),0)</f>
        <v>0</v>
      </c>
      <c r="BG571" s="484">
        <f>IFERROR(IF(Input!AZ127=0,0,(Input!AZ127*$M518*((1+$S518)^VLOOKUP(BG$496-$S571+1,$N$576:$P$585,3)))),0)</f>
        <v>0</v>
      </c>
      <c r="BH571" s="484">
        <f>IFERROR(IF(Input!BA127=0,0,(Input!BA127*$M518*((1+$S518)^VLOOKUP(BH$496-$S571+1,$N$576:$P$585,3)))),0)</f>
        <v>0</v>
      </c>
      <c r="BI571" s="484">
        <f>IFERROR(IF(Input!BB127=0,0,(Input!BB127*$M518*((1+$S518)^VLOOKUP(BI$496-$S571+1,$N$576:$P$585,3)))),0)</f>
        <v>0</v>
      </c>
      <c r="BJ571" s="484">
        <f>IFERROR(IF(Input!BC127=0,0,(Input!BC127*$M518*((1+$S518)^VLOOKUP(BJ$496-$S571+1,$N$576:$P$585,3)))),0)</f>
        <v>0</v>
      </c>
      <c r="BK571" s="484">
        <f>IFERROR(IF(Input!BD127=0,0,(Input!BD127*$M518*((1+$S518)^VLOOKUP(BK$496-$S571+1,$N$576:$P$585,3)))),0)</f>
        <v>0</v>
      </c>
      <c r="BL571" s="484">
        <f>IFERROR(IF(Input!BE127=0,0,(Input!BE127*$M518*((1+$S518)^VLOOKUP(BL$496-$S571+1,$N$576:$P$585,3)))),0)</f>
        <v>0</v>
      </c>
      <c r="BM571" s="484">
        <f>IFERROR(IF(Input!BF127=0,0,(Input!BF127*$M518*((1+$S518)^VLOOKUP(BM$496-$S571+1,$N$576:$P$585,3)))),0)</f>
        <v>0</v>
      </c>
      <c r="BN571" s="484">
        <f>IFERROR(IF(Input!BG127=0,0,(Input!BG127*$M518*((1+$S518)^VLOOKUP(BN$496-$S571+1,$N$576:$P$585,3)))),0)</f>
        <v>0</v>
      </c>
      <c r="BO571" s="484">
        <f>IFERROR(IF(Input!BH127=0,0,(Input!BH127*$M518*((1+$S518)^VLOOKUP(BO$496-$S571+1,$N$576:$P$585,3)))),0)</f>
        <v>0</v>
      </c>
      <c r="BP571" s="484">
        <f>IFERROR(IF(Input!BI127=0,0,(Input!BI127*$M518*((1+$S518)^VLOOKUP(BP$496-$S571+1,$N$576:$P$585,3)))),0)</f>
        <v>0</v>
      </c>
      <c r="BQ571" s="484">
        <f>IFERROR(IF(Input!BJ127=0,0,(Input!BJ127*$M518*((1+$S518)^VLOOKUP(BQ$496-$S571+1,$N$576:$P$585,3)))),0)</f>
        <v>0</v>
      </c>
      <c r="BR571" s="484">
        <f>IFERROR(IF(Input!BK127=0,0,(Input!BK127*$M518*((1+$S518)^VLOOKUP(BR$496-$S571+1,$N$576:$P$585,3)))),0)</f>
        <v>0</v>
      </c>
      <c r="BS571" s="484">
        <f>IFERROR(IF(Input!BL127=0,0,(Input!BL127*$M518*((1+$S518)^VLOOKUP(BS$496-$S571+1,$N$576:$P$585,3)))),0)</f>
        <v>0</v>
      </c>
      <c r="BT571" s="484">
        <f>IFERROR(IF(Input!BM127=0,0,(Input!BM127*$M518*((1+$S518)^VLOOKUP(BT$496-$S571+1,$N$576:$P$585,3)))),0)</f>
        <v>0</v>
      </c>
      <c r="BU571" s="484">
        <f>IFERROR(IF(Input!BN127=0,0,(Input!BN127*$M518*((1+$S518)^VLOOKUP(BU$496-$S571+1,$N$576:$P$585,3)))),0)</f>
        <v>0</v>
      </c>
      <c r="BV571" s="484">
        <f>IFERROR(IF(Input!BO127=0,0,(Input!BO127*$M518*((1+$S518)^VLOOKUP(BV$496-$S571+1,$N$576:$P$585,3)))),0)</f>
        <v>0</v>
      </c>
      <c r="BW571" s="484">
        <f>IFERROR(IF(Input!BP127=0,0,(Input!BP127*$M518*((1+$S518)^VLOOKUP(BW$496-$S571+1,$N$576:$P$585,3)))),0)</f>
        <v>0</v>
      </c>
      <c r="BX571" s="484">
        <f>IFERROR(IF(Input!BQ127=0,0,(Input!BQ127*$M518*((1+$S518)^VLOOKUP(BX$496-$S571+1,$N$576:$P$585,3)))),0)</f>
        <v>0</v>
      </c>
      <c r="BY571" s="484">
        <f>IFERROR(IF(Input!BR127=0,0,(Input!BR127*$M518*((1+$S518)^VLOOKUP(BY$496-$S571+1,$N$576:$P$585,3)))),0)</f>
        <v>0</v>
      </c>
      <c r="BZ571" s="484">
        <f>IFERROR(IF(Input!BS127=0,0,(Input!BS127*$M518*((1+$S518)^VLOOKUP(BZ$496-$S571+1,$N$576:$P$585,3)))),0)</f>
        <v>0</v>
      </c>
      <c r="CA571" s="484">
        <f>IFERROR(IF(Input!BT127=0,0,(Input!BT127*$M518*((1+$S518)^VLOOKUP(CA$496-$S571+1,$N$576:$P$585,3)))),0)</f>
        <v>0</v>
      </c>
      <c r="CB571" s="484">
        <f>IFERROR(IF(Input!BU127=0,0,(Input!BU127*$M518*((1+$S518)^VLOOKUP(CB$496-$S571+1,$N$576:$P$585,3)))),0)</f>
        <v>0</v>
      </c>
      <c r="CC571" s="484">
        <f>IFERROR(IF(Input!BV127=0,0,(Input!BV127*$M518*((1+$S518)^VLOOKUP(CC$496-$S571+1,$N$576:$P$585,3)))),0)</f>
        <v>0</v>
      </c>
      <c r="CD571" s="484">
        <f>IFERROR(IF(Input!BW127=0,0,(Input!BW127*$M518*((1+$S518)^VLOOKUP(CD$496-$S571+1,$N$576:$P$585,3)))),0)</f>
        <v>0</v>
      </c>
      <c r="CE571" s="1171"/>
      <c r="CF571" s="1171"/>
      <c r="CG571" s="1171"/>
      <c r="CH571" s="1171"/>
      <c r="CI571" s="1171"/>
    </row>
    <row r="572" spans="11:87" ht="12" customHeight="1" x14ac:dyDescent="0.35">
      <c r="K572" s="13"/>
      <c r="L572" s="70"/>
      <c r="M572" s="40"/>
      <c r="N572" s="443"/>
      <c r="O572" s="443"/>
      <c r="P572" s="40"/>
      <c r="Q572" s="40"/>
      <c r="R572" s="40">
        <v>21</v>
      </c>
      <c r="S572" s="13">
        <f>IF(Input!H128&lt;&gt;"",VLOOKUP(Input!$H128,Infrastructure!$D$70:$F$129,3,FALSE),0)</f>
        <v>0</v>
      </c>
      <c r="T572" s="69">
        <f t="shared" si="368"/>
        <v>0</v>
      </c>
      <c r="U572" s="725">
        <f>1+Input!L128+Input!K128</f>
        <v>1</v>
      </c>
      <c r="V572" s="84"/>
      <c r="W572" s="62">
        <f>IFERROR(IF(Input!P128=0,0,(Input!P128*$M519*((1+$S519)^VLOOKUP(W$496-$S572+1,$N$576:$P$585,3)))),0)</f>
        <v>0</v>
      </c>
      <c r="X572" s="62">
        <f>IFERROR(IF(Input!Q128=0,0,(Input!Q128*$M519*((1+$S519)^VLOOKUP(X$496-$S572+1,$N$576:$P$585,3)))),0)</f>
        <v>0</v>
      </c>
      <c r="Y572" s="62">
        <f>IFERROR(IF(Input!R128=0,0,(Input!R128*$M519*((1+$S519)^VLOOKUP(Y$496-$S572+1,$N$576:$P$585,3)))),0)</f>
        <v>0</v>
      </c>
      <c r="Z572" s="62">
        <f>IFERROR(IF(Input!S128=0,0,(Input!S128*$M519*((1+$S519)^VLOOKUP(Z$496-$S572+1,$N$576:$P$585,3)))),0)</f>
        <v>0</v>
      </c>
      <c r="AA572" s="62">
        <f>IFERROR(IF(Input!T128=0,0,(Input!T128*$M519*((1+$S519)^VLOOKUP(AA$496-$S572+1,$N$576:$P$585,3)))),0)</f>
        <v>0</v>
      </c>
      <c r="AB572" s="62">
        <f>IFERROR(IF(Input!U128=0,0,(Input!U128*$M519*((1+$S519)^VLOOKUP(AB$496-$S572+1,$N$576:$P$585,3)))),0)</f>
        <v>0</v>
      </c>
      <c r="AC572" s="62">
        <f>IFERROR(IF(Input!V128=0,0,(Input!V128*$M519*((1+$S519)^VLOOKUP(AC$496-$S572+1,$N$576:$P$585,3)))),0)</f>
        <v>0</v>
      </c>
      <c r="AD572" s="62">
        <f>IFERROR(IF(Input!W128=0,0,(Input!W128*$M519*((1+$S519)^VLOOKUP(AD$496-$S572+1,$N$576:$P$585,3)))),0)</f>
        <v>0</v>
      </c>
      <c r="AE572" s="62">
        <f>IFERROR(IF(Input!X128=0,0,(Input!X128*$M519*((1+$S519)^VLOOKUP(AE$496-$S572+1,$N$576:$P$585,3)))),0)</f>
        <v>0</v>
      </c>
      <c r="AF572" s="484">
        <f>IFERROR(IF(Input!Y128=0,0,(Input!Y128*$M519*((1+$S519)^VLOOKUP(AF$496-$S572+1,$N$576:$P$585,3)))),0)</f>
        <v>0</v>
      </c>
      <c r="AG572" s="484">
        <f>IFERROR(IF(Input!Z128=0,0,(Input!Z128*$M519*((1+$S519)^VLOOKUP(AG$496-$S572+1,$N$576:$P$585,3)))),0)</f>
        <v>0</v>
      </c>
      <c r="AH572" s="484">
        <f>IFERROR(IF(Input!AA128=0,0,(Input!AA128*$M519*((1+$S519)^VLOOKUP(AH$496-$S572+1,$N$576:$P$585,3)))),0)</f>
        <v>0</v>
      </c>
      <c r="AI572" s="484">
        <f>IFERROR(IF(Input!AB128=0,0,(Input!AB128*$M519*((1+$S519)^VLOOKUP(AI$496-$S572+1,$N$576:$P$585,3)))),0)</f>
        <v>0</v>
      </c>
      <c r="AJ572" s="484">
        <f>IFERROR(IF(Input!AC128=0,0,(Input!AC128*$M519*((1+$S519)^VLOOKUP(AJ$496-$S572+1,$N$576:$P$585,3)))),0)</f>
        <v>0</v>
      </c>
      <c r="AK572" s="484">
        <f>IFERROR(IF(Input!AD128=0,0,(Input!AD128*$M519*((1+$S519)^VLOOKUP(AK$496-$S572+1,$N$576:$P$585,3)))),0)</f>
        <v>0</v>
      </c>
      <c r="AL572" s="484">
        <f>IFERROR(IF(Input!AE128=0,0,(Input!AE128*$M519*((1+$S519)^VLOOKUP(AL$496-$S572+1,$N$576:$P$585,3)))),0)</f>
        <v>0</v>
      </c>
      <c r="AM572" s="484">
        <f>IFERROR(IF(Input!AF128=0,0,(Input!AF128*$M519*((1+$S519)^VLOOKUP(AM$496-$S572+1,$N$576:$P$585,3)))),0)</f>
        <v>0</v>
      </c>
      <c r="AN572" s="484">
        <f>IFERROR(IF(Input!AG128=0,0,(Input!AG128*$M519*((1+$S519)^VLOOKUP(AN$496-$S572+1,$N$576:$P$585,3)))),0)</f>
        <v>0</v>
      </c>
      <c r="AO572" s="484">
        <f>IFERROR(IF(Input!AH128=0,0,(Input!AH128*$M519*((1+$S519)^VLOOKUP(AO$496-$S572+1,$N$576:$P$585,3)))),0)</f>
        <v>0</v>
      </c>
      <c r="AP572" s="484">
        <f>IFERROR(IF(Input!AI128=0,0,(Input!AI128*$M519*((1+$S519)^VLOOKUP(AP$496-$S572+1,$N$576:$P$585,3)))),0)</f>
        <v>0</v>
      </c>
      <c r="AQ572" s="484">
        <f>IFERROR(IF(Input!AJ128=0,0,(Input!AJ128*$M519*((1+$S519)^VLOOKUP(AQ$496-$S572+1,$N$576:$P$585,3)))),0)</f>
        <v>0</v>
      </c>
      <c r="AR572" s="484">
        <f>IFERROR(IF(Input!AK128=0,0,(Input!AK128*$M519*((1+$S519)^VLOOKUP(AR$496-$S572+1,$N$576:$P$585,3)))),0)</f>
        <v>0</v>
      </c>
      <c r="AS572" s="484">
        <f>IFERROR(IF(Input!AL128=0,0,(Input!AL128*$M519*((1+$S519)^VLOOKUP(AS$496-$S572+1,$N$576:$P$585,3)))),0)</f>
        <v>0</v>
      </c>
      <c r="AT572" s="484">
        <f>IFERROR(IF(Input!AM128=0,0,(Input!AM128*$M519*((1+$S519)^VLOOKUP(AT$496-$S572+1,$N$576:$P$585,3)))),0)</f>
        <v>0</v>
      </c>
      <c r="AU572" s="484">
        <f>IFERROR(IF(Input!AN128=0,0,(Input!AN128*$M519*((1+$S519)^VLOOKUP(AU$496-$S572+1,$N$576:$P$585,3)))),0)</f>
        <v>0</v>
      </c>
      <c r="AV572" s="484">
        <f>IFERROR(IF(Input!AO128=0,0,(Input!AO128*$M519*((1+$S519)^VLOOKUP(AV$496-$S572+1,$N$576:$P$585,3)))),0)</f>
        <v>0</v>
      </c>
      <c r="AW572" s="484">
        <f>IFERROR(IF(Input!AP128=0,0,(Input!AP128*$M519*((1+$S519)^VLOOKUP(AW$496-$S572+1,$N$576:$P$585,3)))),0)</f>
        <v>0</v>
      </c>
      <c r="AX572" s="484">
        <f>IFERROR(IF(Input!AQ128=0,0,(Input!AQ128*$M519*((1+$S519)^VLOOKUP(AX$496-$S572+1,$N$576:$P$585,3)))),0)</f>
        <v>0</v>
      </c>
      <c r="AY572" s="484">
        <f>IFERROR(IF(Input!AR128=0,0,(Input!AR128*$M519*((1+$S519)^VLOOKUP(AY$496-$S572+1,$N$576:$P$585,3)))),0)</f>
        <v>0</v>
      </c>
      <c r="AZ572" s="484">
        <f>IFERROR(IF(Input!AS128=0,0,(Input!AS128*$M519*((1+$S519)^VLOOKUP(AZ$496-$S572+1,$N$576:$P$585,3)))),0)</f>
        <v>0</v>
      </c>
      <c r="BA572" s="484">
        <f>IFERROR(IF(Input!AT128=0,0,(Input!AT128*$M519*((1+$S519)^VLOOKUP(BA$496-$S572+1,$N$576:$P$585,3)))),0)</f>
        <v>0</v>
      </c>
      <c r="BB572" s="484">
        <f>IFERROR(IF(Input!AU128=0,0,(Input!AU128*$M519*((1+$S519)^VLOOKUP(BB$496-$S572+1,$N$576:$P$585,3)))),0)</f>
        <v>0</v>
      </c>
      <c r="BC572" s="484">
        <f>IFERROR(IF(Input!AV128=0,0,(Input!AV128*$M519*((1+$S519)^VLOOKUP(BC$496-$S572+1,$N$576:$P$585,3)))),0)</f>
        <v>0</v>
      </c>
      <c r="BD572" s="484">
        <f>IFERROR(IF(Input!AW128=0,0,(Input!AW128*$M519*((1+$S519)^VLOOKUP(BD$496-$S572+1,$N$576:$P$585,3)))),0)</f>
        <v>0</v>
      </c>
      <c r="BE572" s="484">
        <f>IFERROR(IF(Input!AX128=0,0,(Input!AX128*$M519*((1+$S519)^VLOOKUP(BE$496-$S572+1,$N$576:$P$585,3)))),0)</f>
        <v>0</v>
      </c>
      <c r="BF572" s="484">
        <f>IFERROR(IF(Input!AY128=0,0,(Input!AY128*$M519*((1+$S519)^VLOOKUP(BF$496-$S572+1,$N$576:$P$585,3)))),0)</f>
        <v>0</v>
      </c>
      <c r="BG572" s="484">
        <f>IFERROR(IF(Input!AZ128=0,0,(Input!AZ128*$M519*((1+$S519)^VLOOKUP(BG$496-$S572+1,$N$576:$P$585,3)))),0)</f>
        <v>0</v>
      </c>
      <c r="BH572" s="484">
        <f>IFERROR(IF(Input!BA128=0,0,(Input!BA128*$M519*((1+$S519)^VLOOKUP(BH$496-$S572+1,$N$576:$P$585,3)))),0)</f>
        <v>0</v>
      </c>
      <c r="BI572" s="484">
        <f>IFERROR(IF(Input!BB128=0,0,(Input!BB128*$M519*((1+$S519)^VLOOKUP(BI$496-$S572+1,$N$576:$P$585,3)))),0)</f>
        <v>0</v>
      </c>
      <c r="BJ572" s="484">
        <f>IFERROR(IF(Input!BC128=0,0,(Input!BC128*$M519*((1+$S519)^VLOOKUP(BJ$496-$S572+1,$N$576:$P$585,3)))),0)</f>
        <v>0</v>
      </c>
      <c r="BK572" s="484">
        <f>IFERROR(IF(Input!BD128=0,0,(Input!BD128*$M519*((1+$S519)^VLOOKUP(BK$496-$S572+1,$N$576:$P$585,3)))),0)</f>
        <v>0</v>
      </c>
      <c r="BL572" s="484">
        <f>IFERROR(IF(Input!BE128=0,0,(Input!BE128*$M519*((1+$S519)^VLOOKUP(BL$496-$S572+1,$N$576:$P$585,3)))),0)</f>
        <v>0</v>
      </c>
      <c r="BM572" s="484">
        <f>IFERROR(IF(Input!BF128=0,0,(Input!BF128*$M519*((1+$S519)^VLOOKUP(BM$496-$S572+1,$N$576:$P$585,3)))),0)</f>
        <v>0</v>
      </c>
      <c r="BN572" s="484">
        <f>IFERROR(IF(Input!BG128=0,0,(Input!BG128*$M519*((1+$S519)^VLOOKUP(BN$496-$S572+1,$N$576:$P$585,3)))),0)</f>
        <v>0</v>
      </c>
      <c r="BO572" s="484">
        <f>IFERROR(IF(Input!BH128=0,0,(Input!BH128*$M519*((1+$S519)^VLOOKUP(BO$496-$S572+1,$N$576:$P$585,3)))),0)</f>
        <v>0</v>
      </c>
      <c r="BP572" s="484">
        <f>IFERROR(IF(Input!BI128=0,0,(Input!BI128*$M519*((1+$S519)^VLOOKUP(BP$496-$S572+1,$N$576:$P$585,3)))),0)</f>
        <v>0</v>
      </c>
      <c r="BQ572" s="484">
        <f>IFERROR(IF(Input!BJ128=0,0,(Input!BJ128*$M519*((1+$S519)^VLOOKUP(BQ$496-$S572+1,$N$576:$P$585,3)))),0)</f>
        <v>0</v>
      </c>
      <c r="BR572" s="484">
        <f>IFERROR(IF(Input!BK128=0,0,(Input!BK128*$M519*((1+$S519)^VLOOKUP(BR$496-$S572+1,$N$576:$P$585,3)))),0)</f>
        <v>0</v>
      </c>
      <c r="BS572" s="484">
        <f>IFERROR(IF(Input!BL128=0,0,(Input!BL128*$M519*((1+$S519)^VLOOKUP(BS$496-$S572+1,$N$576:$P$585,3)))),0)</f>
        <v>0</v>
      </c>
      <c r="BT572" s="484">
        <f>IFERROR(IF(Input!BM128=0,0,(Input!BM128*$M519*((1+$S519)^VLOOKUP(BT$496-$S572+1,$N$576:$P$585,3)))),0)</f>
        <v>0</v>
      </c>
      <c r="BU572" s="484">
        <f>IFERROR(IF(Input!BN128=0,0,(Input!BN128*$M519*((1+$S519)^VLOOKUP(BU$496-$S572+1,$N$576:$P$585,3)))),0)</f>
        <v>0</v>
      </c>
      <c r="BV572" s="484">
        <f>IFERROR(IF(Input!BO128=0,0,(Input!BO128*$M519*((1+$S519)^VLOOKUP(BV$496-$S572+1,$N$576:$P$585,3)))),0)</f>
        <v>0</v>
      </c>
      <c r="BW572" s="484">
        <f>IFERROR(IF(Input!BP128=0,0,(Input!BP128*$M519*((1+$S519)^VLOOKUP(BW$496-$S572+1,$N$576:$P$585,3)))),0)</f>
        <v>0</v>
      </c>
      <c r="BX572" s="484">
        <f>IFERROR(IF(Input!BQ128=0,0,(Input!BQ128*$M519*((1+$S519)^VLOOKUP(BX$496-$S572+1,$N$576:$P$585,3)))),0)</f>
        <v>0</v>
      </c>
      <c r="BY572" s="484">
        <f>IFERROR(IF(Input!BR128=0,0,(Input!BR128*$M519*((1+$S519)^VLOOKUP(BY$496-$S572+1,$N$576:$P$585,3)))),0)</f>
        <v>0</v>
      </c>
      <c r="BZ572" s="484">
        <f>IFERROR(IF(Input!BS128=0,0,(Input!BS128*$M519*((1+$S519)^VLOOKUP(BZ$496-$S572+1,$N$576:$P$585,3)))),0)</f>
        <v>0</v>
      </c>
      <c r="CA572" s="484">
        <f>IFERROR(IF(Input!BT128=0,0,(Input!BT128*$M519*((1+$S519)^VLOOKUP(CA$496-$S572+1,$N$576:$P$585,3)))),0)</f>
        <v>0</v>
      </c>
      <c r="CB572" s="484">
        <f>IFERROR(IF(Input!BU128=0,0,(Input!BU128*$M519*((1+$S519)^VLOOKUP(CB$496-$S572+1,$N$576:$P$585,3)))),0)</f>
        <v>0</v>
      </c>
      <c r="CC572" s="484">
        <f>IFERROR(IF(Input!BV128=0,0,(Input!BV128*$M519*((1+$S519)^VLOOKUP(CC$496-$S572+1,$N$576:$P$585,3)))),0)</f>
        <v>0</v>
      </c>
      <c r="CD572" s="484">
        <f>IFERROR(IF(Input!BW128=0,0,(Input!BW128*$M519*((1+$S519)^VLOOKUP(CD$496-$S572+1,$N$576:$P$585,3)))),0)</f>
        <v>0</v>
      </c>
      <c r="CE572" s="1171"/>
      <c r="CF572" s="1171"/>
      <c r="CG572" s="1171"/>
      <c r="CH572" s="1171"/>
      <c r="CI572" s="1171"/>
    </row>
    <row r="573" spans="11:87" ht="12" customHeight="1" x14ac:dyDescent="0.35">
      <c r="K573" s="13"/>
      <c r="L573" s="70"/>
      <c r="M573" s="40"/>
      <c r="N573" s="443"/>
      <c r="O573" s="443"/>
      <c r="P573" s="40"/>
      <c r="Q573" s="40"/>
      <c r="R573" s="13">
        <v>22</v>
      </c>
      <c r="S573" s="13">
        <f>IF(Input!H129&lt;&gt;"",VLOOKUP(Input!$H129,Infrastructure!$D$70:$F$129,3,FALSE),0)</f>
        <v>0</v>
      </c>
      <c r="T573" s="69">
        <f t="shared" si="368"/>
        <v>0</v>
      </c>
      <c r="U573" s="725">
        <f>1+Input!L129+Input!K129</f>
        <v>1</v>
      </c>
      <c r="V573" s="84"/>
      <c r="W573" s="62">
        <f>IFERROR(IF(Input!P129=0,0,(Input!P129*$M520*((1+$S520)^VLOOKUP(W$496-$S573+1,$N$576:$P$585,3)))),0)</f>
        <v>0</v>
      </c>
      <c r="X573" s="62">
        <f>IFERROR(IF(Input!Q129=0,0,(Input!Q129*$M520*((1+$S520)^VLOOKUP(X$496-$S573+1,$N$576:$P$585,3)))),0)</f>
        <v>0</v>
      </c>
      <c r="Y573" s="62">
        <f>IFERROR(IF(Input!R129=0,0,(Input!R129*$M520*((1+$S520)^VLOOKUP(Y$496-$S573+1,$N$576:$P$585,3)))),0)</f>
        <v>0</v>
      </c>
      <c r="Z573" s="62">
        <f>IFERROR(IF(Input!S129=0,0,(Input!S129*$M520*((1+$S520)^VLOOKUP(Z$496-$S573+1,$N$576:$P$585,3)))),0)</f>
        <v>0</v>
      </c>
      <c r="AA573" s="62">
        <f>IFERROR(IF(Input!T129=0,0,(Input!T129*$M520*((1+$S520)^VLOOKUP(AA$496-$S573+1,$N$576:$P$585,3)))),0)</f>
        <v>0</v>
      </c>
      <c r="AB573" s="62">
        <f>IFERROR(IF(Input!U129=0,0,(Input!U129*$M520*((1+$S520)^VLOOKUP(AB$496-$S573+1,$N$576:$P$585,3)))),0)</f>
        <v>0</v>
      </c>
      <c r="AC573" s="62">
        <f>IFERROR(IF(Input!V129=0,0,(Input!V129*$M520*((1+$S520)^VLOOKUP(AC$496-$S573+1,$N$576:$P$585,3)))),0)</f>
        <v>0</v>
      </c>
      <c r="AD573" s="62">
        <f>IFERROR(IF(Input!W129=0,0,(Input!W129*$M520*((1+$S520)^VLOOKUP(AD$496-$S573+1,$N$576:$P$585,3)))),0)</f>
        <v>0</v>
      </c>
      <c r="AE573" s="62">
        <f>IFERROR(IF(Input!X129=0,0,(Input!X129*$M520*((1+$S520)^VLOOKUP(AE$496-$S573+1,$N$576:$P$585,3)))),0)</f>
        <v>0</v>
      </c>
      <c r="AF573" s="484">
        <f>IFERROR(IF(Input!Y129=0,0,(Input!Y129*$M520*((1+$S520)^VLOOKUP(AF$496-$S573+1,$N$576:$P$585,3)))),0)</f>
        <v>0</v>
      </c>
      <c r="AG573" s="484">
        <f>IFERROR(IF(Input!Z129=0,0,(Input!Z129*$M520*((1+$S520)^VLOOKUP(AG$496-$S573+1,$N$576:$P$585,3)))),0)</f>
        <v>0</v>
      </c>
      <c r="AH573" s="484">
        <f>IFERROR(IF(Input!AA129=0,0,(Input!AA129*$M520*((1+$S520)^VLOOKUP(AH$496-$S573+1,$N$576:$P$585,3)))),0)</f>
        <v>0</v>
      </c>
      <c r="AI573" s="484">
        <f>IFERROR(IF(Input!AB129=0,0,(Input!AB129*$M520*((1+$S520)^VLOOKUP(AI$496-$S573+1,$N$576:$P$585,3)))),0)</f>
        <v>0</v>
      </c>
      <c r="AJ573" s="484">
        <f>IFERROR(IF(Input!AC129=0,0,(Input!AC129*$M520*((1+$S520)^VLOOKUP(AJ$496-$S573+1,$N$576:$P$585,3)))),0)</f>
        <v>0</v>
      </c>
      <c r="AK573" s="484">
        <f>IFERROR(IF(Input!AD129=0,0,(Input!AD129*$M520*((1+$S520)^VLOOKUP(AK$496-$S573+1,$N$576:$P$585,3)))),0)</f>
        <v>0</v>
      </c>
      <c r="AL573" s="484">
        <f>IFERROR(IF(Input!AE129=0,0,(Input!AE129*$M520*((1+$S520)^VLOOKUP(AL$496-$S573+1,$N$576:$P$585,3)))),0)</f>
        <v>0</v>
      </c>
      <c r="AM573" s="484">
        <f>IFERROR(IF(Input!AF129=0,0,(Input!AF129*$M520*((1+$S520)^VLOOKUP(AM$496-$S573+1,$N$576:$P$585,3)))),0)</f>
        <v>0</v>
      </c>
      <c r="AN573" s="484">
        <f>IFERROR(IF(Input!AG129=0,0,(Input!AG129*$M520*((1+$S520)^VLOOKUP(AN$496-$S573+1,$N$576:$P$585,3)))),0)</f>
        <v>0</v>
      </c>
      <c r="AO573" s="484">
        <f>IFERROR(IF(Input!AH129=0,0,(Input!AH129*$M520*((1+$S520)^VLOOKUP(AO$496-$S573+1,$N$576:$P$585,3)))),0)</f>
        <v>0</v>
      </c>
      <c r="AP573" s="484">
        <f>IFERROR(IF(Input!AI129=0,0,(Input!AI129*$M520*((1+$S520)^VLOOKUP(AP$496-$S573+1,$N$576:$P$585,3)))),0)</f>
        <v>0</v>
      </c>
      <c r="AQ573" s="484">
        <f>IFERROR(IF(Input!AJ129=0,0,(Input!AJ129*$M520*((1+$S520)^VLOOKUP(AQ$496-$S573+1,$N$576:$P$585,3)))),0)</f>
        <v>0</v>
      </c>
      <c r="AR573" s="484">
        <f>IFERROR(IF(Input!AK129=0,0,(Input!AK129*$M520*((1+$S520)^VLOOKUP(AR$496-$S573+1,$N$576:$P$585,3)))),0)</f>
        <v>0</v>
      </c>
      <c r="AS573" s="484">
        <f>IFERROR(IF(Input!AL129=0,0,(Input!AL129*$M520*((1+$S520)^VLOOKUP(AS$496-$S573+1,$N$576:$P$585,3)))),0)</f>
        <v>0</v>
      </c>
      <c r="AT573" s="484">
        <f>IFERROR(IF(Input!AM129=0,0,(Input!AM129*$M520*((1+$S520)^VLOOKUP(AT$496-$S573+1,$N$576:$P$585,3)))),0)</f>
        <v>0</v>
      </c>
      <c r="AU573" s="484">
        <f>IFERROR(IF(Input!AN129=0,0,(Input!AN129*$M520*((1+$S520)^VLOOKUP(AU$496-$S573+1,$N$576:$P$585,3)))),0)</f>
        <v>0</v>
      </c>
      <c r="AV573" s="484">
        <f>IFERROR(IF(Input!AO129=0,0,(Input!AO129*$M520*((1+$S520)^VLOOKUP(AV$496-$S573+1,$N$576:$P$585,3)))),0)</f>
        <v>0</v>
      </c>
      <c r="AW573" s="484">
        <f>IFERROR(IF(Input!AP129=0,0,(Input!AP129*$M520*((1+$S520)^VLOOKUP(AW$496-$S573+1,$N$576:$P$585,3)))),0)</f>
        <v>0</v>
      </c>
      <c r="AX573" s="484">
        <f>IFERROR(IF(Input!AQ129=0,0,(Input!AQ129*$M520*((1+$S520)^VLOOKUP(AX$496-$S573+1,$N$576:$P$585,3)))),0)</f>
        <v>0</v>
      </c>
      <c r="AY573" s="484">
        <f>IFERROR(IF(Input!AR129=0,0,(Input!AR129*$M520*((1+$S520)^VLOOKUP(AY$496-$S573+1,$N$576:$P$585,3)))),0)</f>
        <v>0</v>
      </c>
      <c r="AZ573" s="484">
        <f>IFERROR(IF(Input!AS129=0,0,(Input!AS129*$M520*((1+$S520)^VLOOKUP(AZ$496-$S573+1,$N$576:$P$585,3)))),0)</f>
        <v>0</v>
      </c>
      <c r="BA573" s="484">
        <f>IFERROR(IF(Input!AT129=0,0,(Input!AT129*$M520*((1+$S520)^VLOOKUP(BA$496-$S573+1,$N$576:$P$585,3)))),0)</f>
        <v>0</v>
      </c>
      <c r="BB573" s="484">
        <f>IFERROR(IF(Input!AU129=0,0,(Input!AU129*$M520*((1+$S520)^VLOOKUP(BB$496-$S573+1,$N$576:$P$585,3)))),0)</f>
        <v>0</v>
      </c>
      <c r="BC573" s="484">
        <f>IFERROR(IF(Input!AV129=0,0,(Input!AV129*$M520*((1+$S520)^VLOOKUP(BC$496-$S573+1,$N$576:$P$585,3)))),0)</f>
        <v>0</v>
      </c>
      <c r="BD573" s="484">
        <f>IFERROR(IF(Input!AW129=0,0,(Input!AW129*$M520*((1+$S520)^VLOOKUP(BD$496-$S573+1,$N$576:$P$585,3)))),0)</f>
        <v>0</v>
      </c>
      <c r="BE573" s="484">
        <f>IFERROR(IF(Input!AX129=0,0,(Input!AX129*$M520*((1+$S520)^VLOOKUP(BE$496-$S573+1,$N$576:$P$585,3)))),0)</f>
        <v>0</v>
      </c>
      <c r="BF573" s="484">
        <f>IFERROR(IF(Input!AY129=0,0,(Input!AY129*$M520*((1+$S520)^VLOOKUP(BF$496-$S573+1,$N$576:$P$585,3)))),0)</f>
        <v>0</v>
      </c>
      <c r="BG573" s="484">
        <f>IFERROR(IF(Input!AZ129=0,0,(Input!AZ129*$M520*((1+$S520)^VLOOKUP(BG$496-$S573+1,$N$576:$P$585,3)))),0)</f>
        <v>0</v>
      </c>
      <c r="BH573" s="484">
        <f>IFERROR(IF(Input!BA129=0,0,(Input!BA129*$M520*((1+$S520)^VLOOKUP(BH$496-$S573+1,$N$576:$P$585,3)))),0)</f>
        <v>0</v>
      </c>
      <c r="BI573" s="484">
        <f>IFERROR(IF(Input!BB129=0,0,(Input!BB129*$M520*((1+$S520)^VLOOKUP(BI$496-$S573+1,$N$576:$P$585,3)))),0)</f>
        <v>0</v>
      </c>
      <c r="BJ573" s="484">
        <f>IFERROR(IF(Input!BC129=0,0,(Input!BC129*$M520*((1+$S520)^VLOOKUP(BJ$496-$S573+1,$N$576:$P$585,3)))),0)</f>
        <v>0</v>
      </c>
      <c r="BK573" s="484">
        <f>IFERROR(IF(Input!BD129=0,0,(Input!BD129*$M520*((1+$S520)^VLOOKUP(BK$496-$S573+1,$N$576:$P$585,3)))),0)</f>
        <v>0</v>
      </c>
      <c r="BL573" s="484">
        <f>IFERROR(IF(Input!BE129=0,0,(Input!BE129*$M520*((1+$S520)^VLOOKUP(BL$496-$S573+1,$N$576:$P$585,3)))),0)</f>
        <v>0</v>
      </c>
      <c r="BM573" s="484">
        <f>IFERROR(IF(Input!BF129=0,0,(Input!BF129*$M520*((1+$S520)^VLOOKUP(BM$496-$S573+1,$N$576:$P$585,3)))),0)</f>
        <v>0</v>
      </c>
      <c r="BN573" s="484">
        <f>IFERROR(IF(Input!BG129=0,0,(Input!BG129*$M520*((1+$S520)^VLOOKUP(BN$496-$S573+1,$N$576:$P$585,3)))),0)</f>
        <v>0</v>
      </c>
      <c r="BO573" s="484">
        <f>IFERROR(IF(Input!BH129=0,0,(Input!BH129*$M520*((1+$S520)^VLOOKUP(BO$496-$S573+1,$N$576:$P$585,3)))),0)</f>
        <v>0</v>
      </c>
      <c r="BP573" s="484">
        <f>IFERROR(IF(Input!BI129=0,0,(Input!BI129*$M520*((1+$S520)^VLOOKUP(BP$496-$S573+1,$N$576:$P$585,3)))),0)</f>
        <v>0</v>
      </c>
      <c r="BQ573" s="484">
        <f>IFERROR(IF(Input!BJ129=0,0,(Input!BJ129*$M520*((1+$S520)^VLOOKUP(BQ$496-$S573+1,$N$576:$P$585,3)))),0)</f>
        <v>0</v>
      </c>
      <c r="BR573" s="484">
        <f>IFERROR(IF(Input!BK129=0,0,(Input!BK129*$M520*((1+$S520)^VLOOKUP(BR$496-$S573+1,$N$576:$P$585,3)))),0)</f>
        <v>0</v>
      </c>
      <c r="BS573" s="484">
        <f>IFERROR(IF(Input!BL129=0,0,(Input!BL129*$M520*((1+$S520)^VLOOKUP(BS$496-$S573+1,$N$576:$P$585,3)))),0)</f>
        <v>0</v>
      </c>
      <c r="BT573" s="484">
        <f>IFERROR(IF(Input!BM129=0,0,(Input!BM129*$M520*((1+$S520)^VLOOKUP(BT$496-$S573+1,$N$576:$P$585,3)))),0)</f>
        <v>0</v>
      </c>
      <c r="BU573" s="484">
        <f>IFERROR(IF(Input!BN129=0,0,(Input!BN129*$M520*((1+$S520)^VLOOKUP(BU$496-$S573+1,$N$576:$P$585,3)))),0)</f>
        <v>0</v>
      </c>
      <c r="BV573" s="484">
        <f>IFERROR(IF(Input!BO129=0,0,(Input!BO129*$M520*((1+$S520)^VLOOKUP(BV$496-$S573+1,$N$576:$P$585,3)))),0)</f>
        <v>0</v>
      </c>
      <c r="BW573" s="484">
        <f>IFERROR(IF(Input!BP129=0,0,(Input!BP129*$M520*((1+$S520)^VLOOKUP(BW$496-$S573+1,$N$576:$P$585,3)))),0)</f>
        <v>0</v>
      </c>
      <c r="BX573" s="484">
        <f>IFERROR(IF(Input!BQ129=0,0,(Input!BQ129*$M520*((1+$S520)^VLOOKUP(BX$496-$S573+1,$N$576:$P$585,3)))),0)</f>
        <v>0</v>
      </c>
      <c r="BY573" s="484">
        <f>IFERROR(IF(Input!BR129=0,0,(Input!BR129*$M520*((1+$S520)^VLOOKUP(BY$496-$S573+1,$N$576:$P$585,3)))),0)</f>
        <v>0</v>
      </c>
      <c r="BZ573" s="484">
        <f>IFERROR(IF(Input!BS129=0,0,(Input!BS129*$M520*((1+$S520)^VLOOKUP(BZ$496-$S573+1,$N$576:$P$585,3)))),0)</f>
        <v>0</v>
      </c>
      <c r="CA573" s="484">
        <f>IFERROR(IF(Input!BT129=0,0,(Input!BT129*$M520*((1+$S520)^VLOOKUP(CA$496-$S573+1,$N$576:$P$585,3)))),0)</f>
        <v>0</v>
      </c>
      <c r="CB573" s="484">
        <f>IFERROR(IF(Input!BU129=0,0,(Input!BU129*$M520*((1+$S520)^VLOOKUP(CB$496-$S573+1,$N$576:$P$585,3)))),0)</f>
        <v>0</v>
      </c>
      <c r="CC573" s="484">
        <f>IFERROR(IF(Input!BV129=0,0,(Input!BV129*$M520*((1+$S520)^VLOOKUP(CC$496-$S573+1,$N$576:$P$585,3)))),0)</f>
        <v>0</v>
      </c>
      <c r="CD573" s="484">
        <f>IFERROR(IF(Input!BW129=0,0,(Input!BW129*$M520*((1+$S520)^VLOOKUP(CD$496-$S573+1,$N$576:$P$585,3)))),0)</f>
        <v>0</v>
      </c>
      <c r="CE573" s="1171"/>
      <c r="CF573" s="1171"/>
      <c r="CG573" s="1171"/>
      <c r="CH573" s="1171"/>
      <c r="CI573" s="1171"/>
    </row>
    <row r="574" spans="11:87" ht="12" customHeight="1" x14ac:dyDescent="0.35">
      <c r="K574" s="13"/>
      <c r="L574" s="70"/>
      <c r="M574" s="82"/>
      <c r="N574" s="443"/>
      <c r="O574" s="443"/>
      <c r="P574" s="82"/>
      <c r="Q574" s="82"/>
      <c r="R574" s="13">
        <v>23</v>
      </c>
      <c r="S574" s="13">
        <f>IF(Input!H130&lt;&gt;"",VLOOKUP(Input!$H130,Infrastructure!$D$70:$F$129,3,FALSE),0)</f>
        <v>0</v>
      </c>
      <c r="T574" s="69">
        <f t="shared" si="368"/>
        <v>0</v>
      </c>
      <c r="U574" s="725">
        <f>1+Input!L130+Input!K130</f>
        <v>1</v>
      </c>
      <c r="V574" s="84"/>
      <c r="W574" s="62">
        <f>IFERROR(IF(Input!P130=0,0,(Input!P130*$M521*((1+$S521)^VLOOKUP(W$496-$S574+1,$N$576:$P$585,3)))),0)</f>
        <v>0</v>
      </c>
      <c r="X574" s="62">
        <f>IFERROR(IF(Input!Q130=0,0,(Input!Q130*$M521*((1+$S521)^VLOOKUP(X$496-$S574+1,$N$576:$P$585,3)))),0)</f>
        <v>0</v>
      </c>
      <c r="Y574" s="62">
        <f>IFERROR(IF(Input!R130=0,0,(Input!R130*$M521*((1+$S521)^VLOOKUP(Y$496-$S574+1,$N$576:$P$585,3)))),0)</f>
        <v>0</v>
      </c>
      <c r="Z574" s="62">
        <f>IFERROR(IF(Input!S130=0,0,(Input!S130*$M521*((1+$S521)^VLOOKUP(Z$496-$S574+1,$N$576:$P$585,3)))),0)</f>
        <v>0</v>
      </c>
      <c r="AA574" s="62">
        <f>IFERROR(IF(Input!T130=0,0,(Input!T130*$M521*((1+$S521)^VLOOKUP(AA$496-$S574+1,$N$576:$P$585,3)))),0)</f>
        <v>0</v>
      </c>
      <c r="AB574" s="62">
        <f>IFERROR(IF(Input!U130=0,0,(Input!U130*$M521*((1+$S521)^VLOOKUP(AB$496-$S574+1,$N$576:$P$585,3)))),0)</f>
        <v>0</v>
      </c>
      <c r="AC574" s="62">
        <f>IFERROR(IF(Input!V130=0,0,(Input!V130*$M521*((1+$S521)^VLOOKUP(AC$496-$S574+1,$N$576:$P$585,3)))),0)</f>
        <v>0</v>
      </c>
      <c r="AD574" s="62">
        <f>IFERROR(IF(Input!W130=0,0,(Input!W130*$M521*((1+$S521)^VLOOKUP(AD$496-$S574+1,$N$576:$P$585,3)))),0)</f>
        <v>0</v>
      </c>
      <c r="AE574" s="62">
        <f>IFERROR(IF(Input!X130=0,0,(Input!X130*$M521*((1+$S521)^VLOOKUP(AE$496-$S574+1,$N$576:$P$585,3)))),0)</f>
        <v>0</v>
      </c>
      <c r="AF574" s="484">
        <f>IFERROR(IF(Input!Y130=0,0,(Input!Y130*$M521*((1+$S521)^VLOOKUP(AF$496-$S574+1,$N$576:$P$585,3)))),0)</f>
        <v>0</v>
      </c>
      <c r="AG574" s="484">
        <f>IFERROR(IF(Input!Z130=0,0,(Input!Z130*$M521*((1+$S521)^VLOOKUP(AG$496-$S574+1,$N$576:$P$585,3)))),0)</f>
        <v>0</v>
      </c>
      <c r="AH574" s="484">
        <f>IFERROR(IF(Input!AA130=0,0,(Input!AA130*$M521*((1+$S521)^VLOOKUP(AH$496-$S574+1,$N$576:$P$585,3)))),0)</f>
        <v>0</v>
      </c>
      <c r="AI574" s="484">
        <f>IFERROR(IF(Input!AB130=0,0,(Input!AB130*$M521*((1+$S521)^VLOOKUP(AI$496-$S574+1,$N$576:$P$585,3)))),0)</f>
        <v>0</v>
      </c>
      <c r="AJ574" s="484">
        <f>IFERROR(IF(Input!AC130=0,0,(Input!AC130*$M521*((1+$S521)^VLOOKUP(AJ$496-$S574+1,$N$576:$P$585,3)))),0)</f>
        <v>0</v>
      </c>
      <c r="AK574" s="484">
        <f>IFERROR(IF(Input!AD130=0,0,(Input!AD130*$M521*((1+$S521)^VLOOKUP(AK$496-$S574+1,$N$576:$P$585,3)))),0)</f>
        <v>0</v>
      </c>
      <c r="AL574" s="484">
        <f>IFERROR(IF(Input!AE130=0,0,(Input!AE130*$M521*((1+$S521)^VLOOKUP(AL$496-$S574+1,$N$576:$P$585,3)))),0)</f>
        <v>0</v>
      </c>
      <c r="AM574" s="484">
        <f>IFERROR(IF(Input!AF130=0,0,(Input!AF130*$M521*((1+$S521)^VLOOKUP(AM$496-$S574+1,$N$576:$P$585,3)))),0)</f>
        <v>0</v>
      </c>
      <c r="AN574" s="484">
        <f>IFERROR(IF(Input!AG130=0,0,(Input!AG130*$M521*((1+$S521)^VLOOKUP(AN$496-$S574+1,$N$576:$P$585,3)))),0)</f>
        <v>0</v>
      </c>
      <c r="AO574" s="484">
        <f>IFERROR(IF(Input!AH130=0,0,(Input!AH130*$M521*((1+$S521)^VLOOKUP(AO$496-$S574+1,$N$576:$P$585,3)))),0)</f>
        <v>0</v>
      </c>
      <c r="AP574" s="484">
        <f>IFERROR(IF(Input!AI130=0,0,(Input!AI130*$M521*((1+$S521)^VLOOKUP(AP$496-$S574+1,$N$576:$P$585,3)))),0)</f>
        <v>0</v>
      </c>
      <c r="AQ574" s="484">
        <f>IFERROR(IF(Input!AJ130=0,0,(Input!AJ130*$M521*((1+$S521)^VLOOKUP(AQ$496-$S574+1,$N$576:$P$585,3)))),0)</f>
        <v>0</v>
      </c>
      <c r="AR574" s="484">
        <f>IFERROR(IF(Input!AK130=0,0,(Input!AK130*$M521*((1+$S521)^VLOOKUP(AR$496-$S574+1,$N$576:$P$585,3)))),0)</f>
        <v>0</v>
      </c>
      <c r="AS574" s="484">
        <f>IFERROR(IF(Input!AL130=0,0,(Input!AL130*$M521*((1+$S521)^VLOOKUP(AS$496-$S574+1,$N$576:$P$585,3)))),0)</f>
        <v>0</v>
      </c>
      <c r="AT574" s="484">
        <f>IFERROR(IF(Input!AM130=0,0,(Input!AM130*$M521*((1+$S521)^VLOOKUP(AT$496-$S574+1,$N$576:$P$585,3)))),0)</f>
        <v>0</v>
      </c>
      <c r="AU574" s="484">
        <f>IFERROR(IF(Input!AN130=0,0,(Input!AN130*$M521*((1+$S521)^VLOOKUP(AU$496-$S574+1,$N$576:$P$585,3)))),0)</f>
        <v>0</v>
      </c>
      <c r="AV574" s="484">
        <f>IFERROR(IF(Input!AO130=0,0,(Input!AO130*$M521*((1+$S521)^VLOOKUP(AV$496-$S574+1,$N$576:$P$585,3)))),0)</f>
        <v>0</v>
      </c>
      <c r="AW574" s="484">
        <f>IFERROR(IF(Input!AP130=0,0,(Input!AP130*$M521*((1+$S521)^VLOOKUP(AW$496-$S574+1,$N$576:$P$585,3)))),0)</f>
        <v>0</v>
      </c>
      <c r="AX574" s="484">
        <f>IFERROR(IF(Input!AQ130=0,0,(Input!AQ130*$M521*((1+$S521)^VLOOKUP(AX$496-$S574+1,$N$576:$P$585,3)))),0)</f>
        <v>0</v>
      </c>
      <c r="AY574" s="484">
        <f>IFERROR(IF(Input!AR130=0,0,(Input!AR130*$M521*((1+$S521)^VLOOKUP(AY$496-$S574+1,$N$576:$P$585,3)))),0)</f>
        <v>0</v>
      </c>
      <c r="AZ574" s="484">
        <f>IFERROR(IF(Input!AS130=0,0,(Input!AS130*$M521*((1+$S521)^VLOOKUP(AZ$496-$S574+1,$N$576:$P$585,3)))),0)</f>
        <v>0</v>
      </c>
      <c r="BA574" s="484">
        <f>IFERROR(IF(Input!AT130=0,0,(Input!AT130*$M521*((1+$S521)^VLOOKUP(BA$496-$S574+1,$N$576:$P$585,3)))),0)</f>
        <v>0</v>
      </c>
      <c r="BB574" s="484">
        <f>IFERROR(IF(Input!AU130=0,0,(Input!AU130*$M521*((1+$S521)^VLOOKUP(BB$496-$S574+1,$N$576:$P$585,3)))),0)</f>
        <v>0</v>
      </c>
      <c r="BC574" s="484">
        <f>IFERROR(IF(Input!AV130=0,0,(Input!AV130*$M521*((1+$S521)^VLOOKUP(BC$496-$S574+1,$N$576:$P$585,3)))),0)</f>
        <v>0</v>
      </c>
      <c r="BD574" s="484">
        <f>IFERROR(IF(Input!AW130=0,0,(Input!AW130*$M521*((1+$S521)^VLOOKUP(BD$496-$S574+1,$N$576:$P$585,3)))),0)</f>
        <v>0</v>
      </c>
      <c r="BE574" s="484">
        <f>IFERROR(IF(Input!AX130=0,0,(Input!AX130*$M521*((1+$S521)^VLOOKUP(BE$496-$S574+1,$N$576:$P$585,3)))),0)</f>
        <v>0</v>
      </c>
      <c r="BF574" s="484">
        <f>IFERROR(IF(Input!AY130=0,0,(Input!AY130*$M521*((1+$S521)^VLOOKUP(BF$496-$S574+1,$N$576:$P$585,3)))),0)</f>
        <v>0</v>
      </c>
      <c r="BG574" s="484">
        <f>IFERROR(IF(Input!AZ130=0,0,(Input!AZ130*$M521*((1+$S521)^VLOOKUP(BG$496-$S574+1,$N$576:$P$585,3)))),0)</f>
        <v>0</v>
      </c>
      <c r="BH574" s="484">
        <f>IFERROR(IF(Input!BA130=0,0,(Input!BA130*$M521*((1+$S521)^VLOOKUP(BH$496-$S574+1,$N$576:$P$585,3)))),0)</f>
        <v>0</v>
      </c>
      <c r="BI574" s="484">
        <f>IFERROR(IF(Input!BB130=0,0,(Input!BB130*$M521*((1+$S521)^VLOOKUP(BI$496-$S574+1,$N$576:$P$585,3)))),0)</f>
        <v>0</v>
      </c>
      <c r="BJ574" s="484">
        <f>IFERROR(IF(Input!BC130=0,0,(Input!BC130*$M521*((1+$S521)^VLOOKUP(BJ$496-$S574+1,$N$576:$P$585,3)))),0)</f>
        <v>0</v>
      </c>
      <c r="BK574" s="484">
        <f>IFERROR(IF(Input!BD130=0,0,(Input!BD130*$M521*((1+$S521)^VLOOKUP(BK$496-$S574+1,$N$576:$P$585,3)))),0)</f>
        <v>0</v>
      </c>
      <c r="BL574" s="484">
        <f>IFERROR(IF(Input!BE130=0,0,(Input!BE130*$M521*((1+$S521)^VLOOKUP(BL$496-$S574+1,$N$576:$P$585,3)))),0)</f>
        <v>0</v>
      </c>
      <c r="BM574" s="484">
        <f>IFERROR(IF(Input!BF130=0,0,(Input!BF130*$M521*((1+$S521)^VLOOKUP(BM$496-$S574+1,$N$576:$P$585,3)))),0)</f>
        <v>0</v>
      </c>
      <c r="BN574" s="484">
        <f>IFERROR(IF(Input!BG130=0,0,(Input!BG130*$M521*((1+$S521)^VLOOKUP(BN$496-$S574+1,$N$576:$P$585,3)))),0)</f>
        <v>0</v>
      </c>
      <c r="BO574" s="484">
        <f>IFERROR(IF(Input!BH130=0,0,(Input!BH130*$M521*((1+$S521)^VLOOKUP(BO$496-$S574+1,$N$576:$P$585,3)))),0)</f>
        <v>0</v>
      </c>
      <c r="BP574" s="484">
        <f>IFERROR(IF(Input!BI130=0,0,(Input!BI130*$M521*((1+$S521)^VLOOKUP(BP$496-$S574+1,$N$576:$P$585,3)))),0)</f>
        <v>0</v>
      </c>
      <c r="BQ574" s="484">
        <f>IFERROR(IF(Input!BJ130=0,0,(Input!BJ130*$M521*((1+$S521)^VLOOKUP(BQ$496-$S574+1,$N$576:$P$585,3)))),0)</f>
        <v>0</v>
      </c>
      <c r="BR574" s="484">
        <f>IFERROR(IF(Input!BK130=0,0,(Input!BK130*$M521*((1+$S521)^VLOOKUP(BR$496-$S574+1,$N$576:$P$585,3)))),0)</f>
        <v>0</v>
      </c>
      <c r="BS574" s="484">
        <f>IFERROR(IF(Input!BL130=0,0,(Input!BL130*$M521*((1+$S521)^VLOOKUP(BS$496-$S574+1,$N$576:$P$585,3)))),0)</f>
        <v>0</v>
      </c>
      <c r="BT574" s="484">
        <f>IFERROR(IF(Input!BM130=0,0,(Input!BM130*$M521*((1+$S521)^VLOOKUP(BT$496-$S574+1,$N$576:$P$585,3)))),0)</f>
        <v>0</v>
      </c>
      <c r="BU574" s="484">
        <f>IFERROR(IF(Input!BN130=0,0,(Input!BN130*$M521*((1+$S521)^VLOOKUP(BU$496-$S574+1,$N$576:$P$585,3)))),0)</f>
        <v>0</v>
      </c>
      <c r="BV574" s="484">
        <f>IFERROR(IF(Input!BO130=0,0,(Input!BO130*$M521*((1+$S521)^VLOOKUP(BV$496-$S574+1,$N$576:$P$585,3)))),0)</f>
        <v>0</v>
      </c>
      <c r="BW574" s="484">
        <f>IFERROR(IF(Input!BP130=0,0,(Input!BP130*$M521*((1+$S521)^VLOOKUP(BW$496-$S574+1,$N$576:$P$585,3)))),0)</f>
        <v>0</v>
      </c>
      <c r="BX574" s="484">
        <f>IFERROR(IF(Input!BQ130=0,0,(Input!BQ130*$M521*((1+$S521)^VLOOKUP(BX$496-$S574+1,$N$576:$P$585,3)))),0)</f>
        <v>0</v>
      </c>
      <c r="BY574" s="484">
        <f>IFERROR(IF(Input!BR130=0,0,(Input!BR130*$M521*((1+$S521)^VLOOKUP(BY$496-$S574+1,$N$576:$P$585,3)))),0)</f>
        <v>0</v>
      </c>
      <c r="BZ574" s="484">
        <f>IFERROR(IF(Input!BS130=0,0,(Input!BS130*$M521*((1+$S521)^VLOOKUP(BZ$496-$S574+1,$N$576:$P$585,3)))),0)</f>
        <v>0</v>
      </c>
      <c r="CA574" s="484">
        <f>IFERROR(IF(Input!BT130=0,0,(Input!BT130*$M521*((1+$S521)^VLOOKUP(CA$496-$S574+1,$N$576:$P$585,3)))),0)</f>
        <v>0</v>
      </c>
      <c r="CB574" s="484">
        <f>IFERROR(IF(Input!BU130=0,0,(Input!BU130*$M521*((1+$S521)^VLOOKUP(CB$496-$S574+1,$N$576:$P$585,3)))),0)</f>
        <v>0</v>
      </c>
      <c r="CC574" s="484">
        <f>IFERROR(IF(Input!BV130=0,0,(Input!BV130*$M521*((1+$S521)^VLOOKUP(CC$496-$S574+1,$N$576:$P$585,3)))),0)</f>
        <v>0</v>
      </c>
      <c r="CD574" s="484">
        <f>IFERROR(IF(Input!BW130=0,0,(Input!BW130*$M521*((1+$S521)^VLOOKUP(CD$496-$S574+1,$N$576:$P$585,3)))),0)</f>
        <v>0</v>
      </c>
      <c r="CE574" s="1171"/>
      <c r="CF574" s="1171"/>
      <c r="CG574" s="1171"/>
      <c r="CH574" s="1171"/>
      <c r="CI574" s="1171"/>
    </row>
    <row r="575" spans="11:87" ht="12" customHeight="1" x14ac:dyDescent="0.35">
      <c r="K575" s="13"/>
      <c r="L575" s="70"/>
      <c r="M575" s="82"/>
      <c r="N575" s="443"/>
      <c r="O575" s="443"/>
      <c r="P575" s="82"/>
      <c r="Q575" s="82"/>
      <c r="R575" s="40">
        <v>24</v>
      </c>
      <c r="S575" s="13">
        <f>IF(Input!H131&lt;&gt;"",VLOOKUP(Input!$H131,Infrastructure!$D$70:$F$129,3,FALSE),0)</f>
        <v>0</v>
      </c>
      <c r="T575" s="69">
        <f t="shared" si="368"/>
        <v>0</v>
      </c>
      <c r="U575" s="725">
        <f>1+Input!L131+Input!K131</f>
        <v>1</v>
      </c>
      <c r="V575" s="84"/>
      <c r="W575" s="62">
        <f>IFERROR(IF(Input!P131=0,0,(Input!P131*$M522*((1+$S522)^VLOOKUP(W$496-$S575+1,$N$576:$P$585,3)))),0)</f>
        <v>0</v>
      </c>
      <c r="X575" s="62">
        <f>IFERROR(IF(Input!Q131=0,0,(Input!Q131*$M522*((1+$S522)^VLOOKUP(X$496-$S575+1,$N$576:$P$585,3)))),0)</f>
        <v>0</v>
      </c>
      <c r="Y575" s="62">
        <f>IFERROR(IF(Input!R131=0,0,(Input!R131*$M522*((1+$S522)^VLOOKUP(Y$496-$S575+1,$N$576:$P$585,3)))),0)</f>
        <v>0</v>
      </c>
      <c r="Z575" s="62">
        <f>IFERROR(IF(Input!S131=0,0,(Input!S131*$M522*((1+$S522)^VLOOKUP(Z$496-$S575+1,$N$576:$P$585,3)))),0)</f>
        <v>0</v>
      </c>
      <c r="AA575" s="62">
        <f>IFERROR(IF(Input!T131=0,0,(Input!T131*$M522*((1+$S522)^VLOOKUP(AA$496-$S575+1,$N$576:$P$585,3)))),0)</f>
        <v>0</v>
      </c>
      <c r="AB575" s="62">
        <f>IFERROR(IF(Input!U131=0,0,(Input!U131*$M522*((1+$S522)^VLOOKUP(AB$496-$S575+1,$N$576:$P$585,3)))),0)</f>
        <v>0</v>
      </c>
      <c r="AC575" s="62">
        <f>IFERROR(IF(Input!V131=0,0,(Input!V131*$M522*((1+$S522)^VLOOKUP(AC$496-$S575+1,$N$576:$P$585,3)))),0)</f>
        <v>0</v>
      </c>
      <c r="AD575" s="62">
        <f>IFERROR(IF(Input!W131=0,0,(Input!W131*$M522*((1+$S522)^VLOOKUP(AD$496-$S575+1,$N$576:$P$585,3)))),0)</f>
        <v>0</v>
      </c>
      <c r="AE575" s="62">
        <f>IFERROR(IF(Input!X131=0,0,(Input!X131*$M522*((1+$S522)^VLOOKUP(AE$496-$S575+1,$N$576:$P$585,3)))),0)</f>
        <v>0</v>
      </c>
      <c r="AF575" s="484">
        <f>IFERROR(IF(Input!Y131=0,0,(Input!Y131*$M522*((1+$S522)^VLOOKUP(AF$496-$S575+1,$N$576:$P$585,3)))),0)</f>
        <v>0</v>
      </c>
      <c r="AG575" s="484">
        <f>IFERROR(IF(Input!Z131=0,0,(Input!Z131*$M522*((1+$S522)^VLOOKUP(AG$496-$S575+1,$N$576:$P$585,3)))),0)</f>
        <v>0</v>
      </c>
      <c r="AH575" s="484">
        <f>IFERROR(IF(Input!AA131=0,0,(Input!AA131*$M522*((1+$S522)^VLOOKUP(AH$496-$S575+1,$N$576:$P$585,3)))),0)</f>
        <v>0</v>
      </c>
      <c r="AI575" s="484">
        <f>IFERROR(IF(Input!AB131=0,0,(Input!AB131*$M522*((1+$S522)^VLOOKUP(AI$496-$S575+1,$N$576:$P$585,3)))),0)</f>
        <v>0</v>
      </c>
      <c r="AJ575" s="484">
        <f>IFERROR(IF(Input!AC131=0,0,(Input!AC131*$M522*((1+$S522)^VLOOKUP(AJ$496-$S575+1,$N$576:$P$585,3)))),0)</f>
        <v>0</v>
      </c>
      <c r="AK575" s="484">
        <f>IFERROR(IF(Input!AD131=0,0,(Input!AD131*$M522*((1+$S522)^VLOOKUP(AK$496-$S575+1,$N$576:$P$585,3)))),0)</f>
        <v>0</v>
      </c>
      <c r="AL575" s="484">
        <f>IFERROR(IF(Input!AE131=0,0,(Input!AE131*$M522*((1+$S522)^VLOOKUP(AL$496-$S575+1,$N$576:$P$585,3)))),0)</f>
        <v>0</v>
      </c>
      <c r="AM575" s="484">
        <f>IFERROR(IF(Input!AF131=0,0,(Input!AF131*$M522*((1+$S522)^VLOOKUP(AM$496-$S575+1,$N$576:$P$585,3)))),0)</f>
        <v>0</v>
      </c>
      <c r="AN575" s="484">
        <f>IFERROR(IF(Input!AG131=0,0,(Input!AG131*$M522*((1+$S522)^VLOOKUP(AN$496-$S575+1,$N$576:$P$585,3)))),0)</f>
        <v>0</v>
      </c>
      <c r="AO575" s="484">
        <f>IFERROR(IF(Input!AH131=0,0,(Input!AH131*$M522*((1+$S522)^VLOOKUP(AO$496-$S575+1,$N$576:$P$585,3)))),0)</f>
        <v>0</v>
      </c>
      <c r="AP575" s="484">
        <f>IFERROR(IF(Input!AI131=0,0,(Input!AI131*$M522*((1+$S522)^VLOOKUP(AP$496-$S575+1,$N$576:$P$585,3)))),0)</f>
        <v>0</v>
      </c>
      <c r="AQ575" s="484">
        <f>IFERROR(IF(Input!AJ131=0,0,(Input!AJ131*$M522*((1+$S522)^VLOOKUP(AQ$496-$S575+1,$N$576:$P$585,3)))),0)</f>
        <v>0</v>
      </c>
      <c r="AR575" s="484">
        <f>IFERROR(IF(Input!AK131=0,0,(Input!AK131*$M522*((1+$S522)^VLOOKUP(AR$496-$S575+1,$N$576:$P$585,3)))),0)</f>
        <v>0</v>
      </c>
      <c r="AS575" s="484">
        <f>IFERROR(IF(Input!AL131=0,0,(Input!AL131*$M522*((1+$S522)^VLOOKUP(AS$496-$S575+1,$N$576:$P$585,3)))),0)</f>
        <v>0</v>
      </c>
      <c r="AT575" s="484">
        <f>IFERROR(IF(Input!AM131=0,0,(Input!AM131*$M522*((1+$S522)^VLOOKUP(AT$496-$S575+1,$N$576:$P$585,3)))),0)</f>
        <v>0</v>
      </c>
      <c r="AU575" s="484">
        <f>IFERROR(IF(Input!AN131=0,0,(Input!AN131*$M522*((1+$S522)^VLOOKUP(AU$496-$S575+1,$N$576:$P$585,3)))),0)</f>
        <v>0</v>
      </c>
      <c r="AV575" s="484">
        <f>IFERROR(IF(Input!AO131=0,0,(Input!AO131*$M522*((1+$S522)^VLOOKUP(AV$496-$S575+1,$N$576:$P$585,3)))),0)</f>
        <v>0</v>
      </c>
      <c r="AW575" s="484">
        <f>IFERROR(IF(Input!AP131=0,0,(Input!AP131*$M522*((1+$S522)^VLOOKUP(AW$496-$S575+1,$N$576:$P$585,3)))),0)</f>
        <v>0</v>
      </c>
      <c r="AX575" s="484">
        <f>IFERROR(IF(Input!AQ131=0,0,(Input!AQ131*$M522*((1+$S522)^VLOOKUP(AX$496-$S575+1,$N$576:$P$585,3)))),0)</f>
        <v>0</v>
      </c>
      <c r="AY575" s="484">
        <f>IFERROR(IF(Input!AR131=0,0,(Input!AR131*$M522*((1+$S522)^VLOOKUP(AY$496-$S575+1,$N$576:$P$585,3)))),0)</f>
        <v>0</v>
      </c>
      <c r="AZ575" s="484">
        <f>IFERROR(IF(Input!AS131=0,0,(Input!AS131*$M522*((1+$S522)^VLOOKUP(AZ$496-$S575+1,$N$576:$P$585,3)))),0)</f>
        <v>0</v>
      </c>
      <c r="BA575" s="484">
        <f>IFERROR(IF(Input!AT131=0,0,(Input!AT131*$M522*((1+$S522)^VLOOKUP(BA$496-$S575+1,$N$576:$P$585,3)))),0)</f>
        <v>0</v>
      </c>
      <c r="BB575" s="484">
        <f>IFERROR(IF(Input!AU131=0,0,(Input!AU131*$M522*((1+$S522)^VLOOKUP(BB$496-$S575+1,$N$576:$P$585,3)))),0)</f>
        <v>0</v>
      </c>
      <c r="BC575" s="484">
        <f>IFERROR(IF(Input!AV131=0,0,(Input!AV131*$M522*((1+$S522)^VLOOKUP(BC$496-$S575+1,$N$576:$P$585,3)))),0)</f>
        <v>0</v>
      </c>
      <c r="BD575" s="484">
        <f>IFERROR(IF(Input!AW131=0,0,(Input!AW131*$M522*((1+$S522)^VLOOKUP(BD$496-$S575+1,$N$576:$P$585,3)))),0)</f>
        <v>0</v>
      </c>
      <c r="BE575" s="484">
        <f>IFERROR(IF(Input!AX131=0,0,(Input!AX131*$M522*((1+$S522)^VLOOKUP(BE$496-$S575+1,$N$576:$P$585,3)))),0)</f>
        <v>0</v>
      </c>
      <c r="BF575" s="484">
        <f>IFERROR(IF(Input!AY131=0,0,(Input!AY131*$M522*((1+$S522)^VLOOKUP(BF$496-$S575+1,$N$576:$P$585,3)))),0)</f>
        <v>0</v>
      </c>
      <c r="BG575" s="484">
        <f>IFERROR(IF(Input!AZ131=0,0,(Input!AZ131*$M522*((1+$S522)^VLOOKUP(BG$496-$S575+1,$N$576:$P$585,3)))),0)</f>
        <v>0</v>
      </c>
      <c r="BH575" s="484">
        <f>IFERROR(IF(Input!BA131=0,0,(Input!BA131*$M522*((1+$S522)^VLOOKUP(BH$496-$S575+1,$N$576:$P$585,3)))),0)</f>
        <v>0</v>
      </c>
      <c r="BI575" s="484">
        <f>IFERROR(IF(Input!BB131=0,0,(Input!BB131*$M522*((1+$S522)^VLOOKUP(BI$496-$S575+1,$N$576:$P$585,3)))),0)</f>
        <v>0</v>
      </c>
      <c r="BJ575" s="484">
        <f>IFERROR(IF(Input!BC131=0,0,(Input!BC131*$M522*((1+$S522)^VLOOKUP(BJ$496-$S575+1,$N$576:$P$585,3)))),0)</f>
        <v>0</v>
      </c>
      <c r="BK575" s="484">
        <f>IFERROR(IF(Input!BD131=0,0,(Input!BD131*$M522*((1+$S522)^VLOOKUP(BK$496-$S575+1,$N$576:$P$585,3)))),0)</f>
        <v>0</v>
      </c>
      <c r="BL575" s="484">
        <f>IFERROR(IF(Input!BE131=0,0,(Input!BE131*$M522*((1+$S522)^VLOOKUP(BL$496-$S575+1,$N$576:$P$585,3)))),0)</f>
        <v>0</v>
      </c>
      <c r="BM575" s="484">
        <f>IFERROR(IF(Input!BF131=0,0,(Input!BF131*$M522*((1+$S522)^VLOOKUP(BM$496-$S575+1,$N$576:$P$585,3)))),0)</f>
        <v>0</v>
      </c>
      <c r="BN575" s="484">
        <f>IFERROR(IF(Input!BG131=0,0,(Input!BG131*$M522*((1+$S522)^VLOOKUP(BN$496-$S575+1,$N$576:$P$585,3)))),0)</f>
        <v>0</v>
      </c>
      <c r="BO575" s="484">
        <f>IFERROR(IF(Input!BH131=0,0,(Input!BH131*$M522*((1+$S522)^VLOOKUP(BO$496-$S575+1,$N$576:$P$585,3)))),0)</f>
        <v>0</v>
      </c>
      <c r="BP575" s="484">
        <f>IFERROR(IF(Input!BI131=0,0,(Input!BI131*$M522*((1+$S522)^VLOOKUP(BP$496-$S575+1,$N$576:$P$585,3)))),0)</f>
        <v>0</v>
      </c>
      <c r="BQ575" s="484">
        <f>IFERROR(IF(Input!BJ131=0,0,(Input!BJ131*$M522*((1+$S522)^VLOOKUP(BQ$496-$S575+1,$N$576:$P$585,3)))),0)</f>
        <v>0</v>
      </c>
      <c r="BR575" s="484">
        <f>IFERROR(IF(Input!BK131=0,0,(Input!BK131*$M522*((1+$S522)^VLOOKUP(BR$496-$S575+1,$N$576:$P$585,3)))),0)</f>
        <v>0</v>
      </c>
      <c r="BS575" s="484">
        <f>IFERROR(IF(Input!BL131=0,0,(Input!BL131*$M522*((1+$S522)^VLOOKUP(BS$496-$S575+1,$N$576:$P$585,3)))),0)</f>
        <v>0</v>
      </c>
      <c r="BT575" s="484">
        <f>IFERROR(IF(Input!BM131=0,0,(Input!BM131*$M522*((1+$S522)^VLOOKUP(BT$496-$S575+1,$N$576:$P$585,3)))),0)</f>
        <v>0</v>
      </c>
      <c r="BU575" s="484">
        <f>IFERROR(IF(Input!BN131=0,0,(Input!BN131*$M522*((1+$S522)^VLOOKUP(BU$496-$S575+1,$N$576:$P$585,3)))),0)</f>
        <v>0</v>
      </c>
      <c r="BV575" s="484">
        <f>IFERROR(IF(Input!BO131=0,0,(Input!BO131*$M522*((1+$S522)^VLOOKUP(BV$496-$S575+1,$N$576:$P$585,3)))),0)</f>
        <v>0</v>
      </c>
      <c r="BW575" s="484">
        <f>IFERROR(IF(Input!BP131=0,0,(Input!BP131*$M522*((1+$S522)^VLOOKUP(BW$496-$S575+1,$N$576:$P$585,3)))),0)</f>
        <v>0</v>
      </c>
      <c r="BX575" s="484">
        <f>IFERROR(IF(Input!BQ131=0,0,(Input!BQ131*$M522*((1+$S522)^VLOOKUP(BX$496-$S575+1,$N$576:$P$585,3)))),0)</f>
        <v>0</v>
      </c>
      <c r="BY575" s="484">
        <f>IFERROR(IF(Input!BR131=0,0,(Input!BR131*$M522*((1+$S522)^VLOOKUP(BY$496-$S575+1,$N$576:$P$585,3)))),0)</f>
        <v>0</v>
      </c>
      <c r="BZ575" s="484">
        <f>IFERROR(IF(Input!BS131=0,0,(Input!BS131*$M522*((1+$S522)^VLOOKUP(BZ$496-$S575+1,$N$576:$P$585,3)))),0)</f>
        <v>0</v>
      </c>
      <c r="CA575" s="484">
        <f>IFERROR(IF(Input!BT131=0,0,(Input!BT131*$M522*((1+$S522)^VLOOKUP(CA$496-$S575+1,$N$576:$P$585,3)))),0)</f>
        <v>0</v>
      </c>
      <c r="CB575" s="484">
        <f>IFERROR(IF(Input!BU131=0,0,(Input!BU131*$M522*((1+$S522)^VLOOKUP(CB$496-$S575+1,$N$576:$P$585,3)))),0)</f>
        <v>0</v>
      </c>
      <c r="CC575" s="484">
        <f>IFERROR(IF(Input!BV131=0,0,(Input!BV131*$M522*((1+$S522)^VLOOKUP(CC$496-$S575+1,$N$576:$P$585,3)))),0)</f>
        <v>0</v>
      </c>
      <c r="CD575" s="484">
        <f>IFERROR(IF(Input!BW131=0,0,(Input!BW131*$M522*((1+$S522)^VLOOKUP(CD$496-$S575+1,$N$576:$P$585,3)))),0)</f>
        <v>0</v>
      </c>
      <c r="CE575" s="1171"/>
      <c r="CF575" s="1171"/>
      <c r="CG575" s="1171"/>
      <c r="CH575" s="1171"/>
      <c r="CI575" s="1171"/>
    </row>
    <row r="576" spans="11:87" ht="12" customHeight="1" x14ac:dyDescent="0.35">
      <c r="K576" s="13"/>
      <c r="L576" s="70"/>
      <c r="M576" s="82">
        <v>1</v>
      </c>
      <c r="N576" s="443">
        <v>1</v>
      </c>
      <c r="O576" s="443">
        <v>12</v>
      </c>
      <c r="P576" s="443">
        <v>0</v>
      </c>
      <c r="Q576" s="82"/>
      <c r="R576" s="13">
        <v>25</v>
      </c>
      <c r="S576" s="13">
        <f>IF(Input!H132&lt;&gt;"",VLOOKUP(Input!$H132,Infrastructure!$D$70:$F$129,3,FALSE),0)</f>
        <v>0</v>
      </c>
      <c r="T576" s="69">
        <f t="shared" si="368"/>
        <v>0</v>
      </c>
      <c r="U576" s="725">
        <f>1+Input!L132+Input!K132</f>
        <v>1</v>
      </c>
      <c r="V576" s="84"/>
      <c r="W576" s="62">
        <f>IFERROR(IF(Input!P132=0,0,(Input!P132*$M523*((1+$S523)^VLOOKUP(W$496-$S576+1,$N$576:$P$585,3)))),0)</f>
        <v>0</v>
      </c>
      <c r="X576" s="62">
        <f>IFERROR(IF(Input!Q132=0,0,(Input!Q132*$M523*((1+$S523)^VLOOKUP(X$496-$S576+1,$N$576:$P$585,3)))),0)</f>
        <v>0</v>
      </c>
      <c r="Y576" s="62">
        <f>IFERROR(IF(Input!R132=0,0,(Input!R132*$M523*((1+$S523)^VLOOKUP(Y$496-$S576+1,$N$576:$P$585,3)))),0)</f>
        <v>0</v>
      </c>
      <c r="Z576" s="62">
        <f>IFERROR(IF(Input!S132=0,0,(Input!S132*$M523*((1+$S523)^VLOOKUP(Z$496-$S576+1,$N$576:$P$585,3)))),0)</f>
        <v>0</v>
      </c>
      <c r="AA576" s="62">
        <f>IFERROR(IF(Input!T132=0,0,(Input!T132*$M523*((1+$S523)^VLOOKUP(AA$496-$S576+1,$N$576:$P$585,3)))),0)</f>
        <v>0</v>
      </c>
      <c r="AB576" s="62">
        <f>IFERROR(IF(Input!U132=0,0,(Input!U132*$M523*((1+$S523)^VLOOKUP(AB$496-$S576+1,$N$576:$P$585,3)))),0)</f>
        <v>0</v>
      </c>
      <c r="AC576" s="62">
        <f>IFERROR(IF(Input!V132=0,0,(Input!V132*$M523*((1+$S523)^VLOOKUP(AC$496-$S576+1,$N$576:$P$585,3)))),0)</f>
        <v>0</v>
      </c>
      <c r="AD576" s="62">
        <f>IFERROR(IF(Input!W132=0,0,(Input!W132*$M523*((1+$S523)^VLOOKUP(AD$496-$S576+1,$N$576:$P$585,3)))),0)</f>
        <v>0</v>
      </c>
      <c r="AE576" s="62">
        <f>IFERROR(IF(Input!X132=0,0,(Input!X132*$M523*((1+$S523)^VLOOKUP(AE$496-$S576+1,$N$576:$P$585,3)))),0)</f>
        <v>0</v>
      </c>
      <c r="AF576" s="484">
        <f>IFERROR(IF(Input!Y132=0,0,(Input!Y132*$M523*((1+$S523)^VLOOKUP(AF$496-$S576+1,$N$576:$P$585,3)))),0)</f>
        <v>0</v>
      </c>
      <c r="AG576" s="484">
        <f>IFERROR(IF(Input!Z132=0,0,(Input!Z132*$M523*((1+$S523)^VLOOKUP(AG$496-$S576+1,$N$576:$P$585,3)))),0)</f>
        <v>0</v>
      </c>
      <c r="AH576" s="484">
        <f>IFERROR(IF(Input!AA132=0,0,(Input!AA132*$M523*((1+$S523)^VLOOKUP(AH$496-$S576+1,$N$576:$P$585,3)))),0)</f>
        <v>0</v>
      </c>
      <c r="AI576" s="484">
        <f>IFERROR(IF(Input!AB132=0,0,(Input!AB132*$M523*((1+$S523)^VLOOKUP(AI$496-$S576+1,$N$576:$P$585,3)))),0)</f>
        <v>0</v>
      </c>
      <c r="AJ576" s="484">
        <f>IFERROR(IF(Input!AC132=0,0,(Input!AC132*$M523*((1+$S523)^VLOOKUP(AJ$496-$S576+1,$N$576:$P$585,3)))),0)</f>
        <v>0</v>
      </c>
      <c r="AK576" s="484">
        <f>IFERROR(IF(Input!AD132=0,0,(Input!AD132*$M523*((1+$S523)^VLOOKUP(AK$496-$S576+1,$N$576:$P$585,3)))),0)</f>
        <v>0</v>
      </c>
      <c r="AL576" s="484">
        <f>IFERROR(IF(Input!AE132=0,0,(Input!AE132*$M523*((1+$S523)^VLOOKUP(AL$496-$S576+1,$N$576:$P$585,3)))),0)</f>
        <v>0</v>
      </c>
      <c r="AM576" s="484">
        <f>IFERROR(IF(Input!AF132=0,0,(Input!AF132*$M523*((1+$S523)^VLOOKUP(AM$496-$S576+1,$N$576:$P$585,3)))),0)</f>
        <v>0</v>
      </c>
      <c r="AN576" s="484">
        <f>IFERROR(IF(Input!AG132=0,0,(Input!AG132*$M523*((1+$S523)^VLOOKUP(AN$496-$S576+1,$N$576:$P$585,3)))),0)</f>
        <v>0</v>
      </c>
      <c r="AO576" s="484">
        <f>IFERROR(IF(Input!AH132=0,0,(Input!AH132*$M523*((1+$S523)^VLOOKUP(AO$496-$S576+1,$N$576:$P$585,3)))),0)</f>
        <v>0</v>
      </c>
      <c r="AP576" s="484">
        <f>IFERROR(IF(Input!AI132=0,0,(Input!AI132*$M523*((1+$S523)^VLOOKUP(AP$496-$S576+1,$N$576:$P$585,3)))),0)</f>
        <v>0</v>
      </c>
      <c r="AQ576" s="484">
        <f>IFERROR(IF(Input!AJ132=0,0,(Input!AJ132*$M523*((1+$S523)^VLOOKUP(AQ$496-$S576+1,$N$576:$P$585,3)))),0)</f>
        <v>0</v>
      </c>
      <c r="AR576" s="484">
        <f>IFERROR(IF(Input!AK132=0,0,(Input!AK132*$M523*((1+$S523)^VLOOKUP(AR$496-$S576+1,$N$576:$P$585,3)))),0)</f>
        <v>0</v>
      </c>
      <c r="AS576" s="484">
        <f>IFERROR(IF(Input!AL132=0,0,(Input!AL132*$M523*((1+$S523)^VLOOKUP(AS$496-$S576+1,$N$576:$P$585,3)))),0)</f>
        <v>0</v>
      </c>
      <c r="AT576" s="484">
        <f>IFERROR(IF(Input!AM132=0,0,(Input!AM132*$M523*((1+$S523)^VLOOKUP(AT$496-$S576+1,$N$576:$P$585,3)))),0)</f>
        <v>0</v>
      </c>
      <c r="AU576" s="484">
        <f>IFERROR(IF(Input!AN132=0,0,(Input!AN132*$M523*((1+$S523)^VLOOKUP(AU$496-$S576+1,$N$576:$P$585,3)))),0)</f>
        <v>0</v>
      </c>
      <c r="AV576" s="484">
        <f>IFERROR(IF(Input!AO132=0,0,(Input!AO132*$M523*((1+$S523)^VLOOKUP(AV$496-$S576+1,$N$576:$P$585,3)))),0)</f>
        <v>0</v>
      </c>
      <c r="AW576" s="484">
        <f>IFERROR(IF(Input!AP132=0,0,(Input!AP132*$M523*((1+$S523)^VLOOKUP(AW$496-$S576+1,$N$576:$P$585,3)))),0)</f>
        <v>0</v>
      </c>
      <c r="AX576" s="484">
        <f>IFERROR(IF(Input!AQ132=0,0,(Input!AQ132*$M523*((1+$S523)^VLOOKUP(AX$496-$S576+1,$N$576:$P$585,3)))),0)</f>
        <v>0</v>
      </c>
      <c r="AY576" s="484">
        <f>IFERROR(IF(Input!AR132=0,0,(Input!AR132*$M523*((1+$S523)^VLOOKUP(AY$496-$S576+1,$N$576:$P$585,3)))),0)</f>
        <v>0</v>
      </c>
      <c r="AZ576" s="484">
        <f>IFERROR(IF(Input!AS132=0,0,(Input!AS132*$M523*((1+$S523)^VLOOKUP(AZ$496-$S576+1,$N$576:$P$585,3)))),0)</f>
        <v>0</v>
      </c>
      <c r="BA576" s="484">
        <f>IFERROR(IF(Input!AT132=0,0,(Input!AT132*$M523*((1+$S523)^VLOOKUP(BA$496-$S576+1,$N$576:$P$585,3)))),0)</f>
        <v>0</v>
      </c>
      <c r="BB576" s="484">
        <f>IFERROR(IF(Input!AU132=0,0,(Input!AU132*$M523*((1+$S523)^VLOOKUP(BB$496-$S576+1,$N$576:$P$585,3)))),0)</f>
        <v>0</v>
      </c>
      <c r="BC576" s="484">
        <f>IFERROR(IF(Input!AV132=0,0,(Input!AV132*$M523*((1+$S523)^VLOOKUP(BC$496-$S576+1,$N$576:$P$585,3)))),0)</f>
        <v>0</v>
      </c>
      <c r="BD576" s="484">
        <f>IFERROR(IF(Input!AW132=0,0,(Input!AW132*$M523*((1+$S523)^VLOOKUP(BD$496-$S576+1,$N$576:$P$585,3)))),0)</f>
        <v>0</v>
      </c>
      <c r="BE576" s="484">
        <f>IFERROR(IF(Input!AX132=0,0,(Input!AX132*$M523*((1+$S523)^VLOOKUP(BE$496-$S576+1,$N$576:$P$585,3)))),0)</f>
        <v>0</v>
      </c>
      <c r="BF576" s="484">
        <f>IFERROR(IF(Input!AY132=0,0,(Input!AY132*$M523*((1+$S523)^VLOOKUP(BF$496-$S576+1,$N$576:$P$585,3)))),0)</f>
        <v>0</v>
      </c>
      <c r="BG576" s="484">
        <f>IFERROR(IF(Input!AZ132=0,0,(Input!AZ132*$M523*((1+$S523)^VLOOKUP(BG$496-$S576+1,$N$576:$P$585,3)))),0)</f>
        <v>0</v>
      </c>
      <c r="BH576" s="484">
        <f>IFERROR(IF(Input!BA132=0,0,(Input!BA132*$M523*((1+$S523)^VLOOKUP(BH$496-$S576+1,$N$576:$P$585,3)))),0)</f>
        <v>0</v>
      </c>
      <c r="BI576" s="484">
        <f>IFERROR(IF(Input!BB132=0,0,(Input!BB132*$M523*((1+$S523)^VLOOKUP(BI$496-$S576+1,$N$576:$P$585,3)))),0)</f>
        <v>0</v>
      </c>
      <c r="BJ576" s="484">
        <f>IFERROR(IF(Input!BC132=0,0,(Input!BC132*$M523*((1+$S523)^VLOOKUP(BJ$496-$S576+1,$N$576:$P$585,3)))),0)</f>
        <v>0</v>
      </c>
      <c r="BK576" s="484">
        <f>IFERROR(IF(Input!BD132=0,0,(Input!BD132*$M523*((1+$S523)^VLOOKUP(BK$496-$S576+1,$N$576:$P$585,3)))),0)</f>
        <v>0</v>
      </c>
      <c r="BL576" s="484">
        <f>IFERROR(IF(Input!BE132=0,0,(Input!BE132*$M523*((1+$S523)^VLOOKUP(BL$496-$S576+1,$N$576:$P$585,3)))),0)</f>
        <v>0</v>
      </c>
      <c r="BM576" s="484">
        <f>IFERROR(IF(Input!BF132=0,0,(Input!BF132*$M523*((1+$S523)^VLOOKUP(BM$496-$S576+1,$N$576:$P$585,3)))),0)</f>
        <v>0</v>
      </c>
      <c r="BN576" s="484">
        <f>IFERROR(IF(Input!BG132=0,0,(Input!BG132*$M523*((1+$S523)^VLOOKUP(BN$496-$S576+1,$N$576:$P$585,3)))),0)</f>
        <v>0</v>
      </c>
      <c r="BO576" s="484">
        <f>IFERROR(IF(Input!BH132=0,0,(Input!BH132*$M523*((1+$S523)^VLOOKUP(BO$496-$S576+1,$N$576:$P$585,3)))),0)</f>
        <v>0</v>
      </c>
      <c r="BP576" s="484">
        <f>IFERROR(IF(Input!BI132=0,0,(Input!BI132*$M523*((1+$S523)^VLOOKUP(BP$496-$S576+1,$N$576:$P$585,3)))),0)</f>
        <v>0</v>
      </c>
      <c r="BQ576" s="484">
        <f>IFERROR(IF(Input!BJ132=0,0,(Input!BJ132*$M523*((1+$S523)^VLOOKUP(BQ$496-$S576+1,$N$576:$P$585,3)))),0)</f>
        <v>0</v>
      </c>
      <c r="BR576" s="484">
        <f>IFERROR(IF(Input!BK132=0,0,(Input!BK132*$M523*((1+$S523)^VLOOKUP(BR$496-$S576+1,$N$576:$P$585,3)))),0)</f>
        <v>0</v>
      </c>
      <c r="BS576" s="484">
        <f>IFERROR(IF(Input!BL132=0,0,(Input!BL132*$M523*((1+$S523)^VLOOKUP(BS$496-$S576+1,$N$576:$P$585,3)))),0)</f>
        <v>0</v>
      </c>
      <c r="BT576" s="484">
        <f>IFERROR(IF(Input!BM132=0,0,(Input!BM132*$M523*((1+$S523)^VLOOKUP(BT$496-$S576+1,$N$576:$P$585,3)))),0)</f>
        <v>0</v>
      </c>
      <c r="BU576" s="484">
        <f>IFERROR(IF(Input!BN132=0,0,(Input!BN132*$M523*((1+$S523)^VLOOKUP(BU$496-$S576+1,$N$576:$P$585,3)))),0)</f>
        <v>0</v>
      </c>
      <c r="BV576" s="484">
        <f>IFERROR(IF(Input!BO132=0,0,(Input!BO132*$M523*((1+$S523)^VLOOKUP(BV$496-$S576+1,$N$576:$P$585,3)))),0)</f>
        <v>0</v>
      </c>
      <c r="BW576" s="484">
        <f>IFERROR(IF(Input!BP132=0,0,(Input!BP132*$M523*((1+$S523)^VLOOKUP(BW$496-$S576+1,$N$576:$P$585,3)))),0)</f>
        <v>0</v>
      </c>
      <c r="BX576" s="484">
        <f>IFERROR(IF(Input!BQ132=0,0,(Input!BQ132*$M523*((1+$S523)^VLOOKUP(BX$496-$S576+1,$N$576:$P$585,3)))),0)</f>
        <v>0</v>
      </c>
      <c r="BY576" s="484">
        <f>IFERROR(IF(Input!BR132=0,0,(Input!BR132*$M523*((1+$S523)^VLOOKUP(BY$496-$S576+1,$N$576:$P$585,3)))),0)</f>
        <v>0</v>
      </c>
      <c r="BZ576" s="484">
        <f>IFERROR(IF(Input!BS132=0,0,(Input!BS132*$M523*((1+$S523)^VLOOKUP(BZ$496-$S576+1,$N$576:$P$585,3)))),0)</f>
        <v>0</v>
      </c>
      <c r="CA576" s="484">
        <f>IFERROR(IF(Input!BT132=0,0,(Input!BT132*$M523*((1+$S523)^VLOOKUP(CA$496-$S576+1,$N$576:$P$585,3)))),0)</f>
        <v>0</v>
      </c>
      <c r="CB576" s="484">
        <f>IFERROR(IF(Input!BU132=0,0,(Input!BU132*$M523*((1+$S523)^VLOOKUP(CB$496-$S576+1,$N$576:$P$585,3)))),0)</f>
        <v>0</v>
      </c>
      <c r="CC576" s="484">
        <f>IFERROR(IF(Input!BV132=0,0,(Input!BV132*$M523*((1+$S523)^VLOOKUP(CC$496-$S576+1,$N$576:$P$585,3)))),0)</f>
        <v>0</v>
      </c>
      <c r="CD576" s="484">
        <f>IFERROR(IF(Input!BW132=0,0,(Input!BW132*$M523*((1+$S523)^VLOOKUP(CD$496-$S576+1,$N$576:$P$585,3)))),0)</f>
        <v>0</v>
      </c>
      <c r="CE576" s="1171"/>
      <c r="CF576" s="1171"/>
      <c r="CG576" s="1171"/>
      <c r="CH576" s="1171"/>
      <c r="CI576" s="1171"/>
    </row>
    <row r="577" spans="11:87" ht="12" customHeight="1" x14ac:dyDescent="0.35">
      <c r="K577" s="13"/>
      <c r="L577" s="70"/>
      <c r="M577" s="82">
        <v>2</v>
      </c>
      <c r="N577" s="443">
        <f t="shared" ref="N577:N585" si="369">N576+12</f>
        <v>13</v>
      </c>
      <c r="O577" s="443">
        <f t="shared" ref="O577:O585" si="370">O576+12</f>
        <v>24</v>
      </c>
      <c r="P577" s="443">
        <v>1</v>
      </c>
      <c r="Q577" s="82"/>
      <c r="R577" s="13">
        <v>26</v>
      </c>
      <c r="S577" s="13">
        <f>IF(Input!H133&lt;&gt;"",VLOOKUP(Input!$H133,Infrastructure!$D$70:$F$129,3,FALSE),0)</f>
        <v>0</v>
      </c>
      <c r="T577" s="69">
        <f t="shared" si="368"/>
        <v>0</v>
      </c>
      <c r="U577" s="725">
        <f>1+Input!L133+Input!K133</f>
        <v>1</v>
      </c>
      <c r="V577" s="84"/>
      <c r="W577" s="62">
        <f>IFERROR(IF(Input!P133=0,0,(Input!P133*$M524*((1+$S524)^VLOOKUP(W$496-$S577+1,$N$576:$P$585,3)))),0)</f>
        <v>0</v>
      </c>
      <c r="X577" s="62">
        <f>IFERROR(IF(Input!Q133=0,0,(Input!Q133*$M524*((1+$S524)^VLOOKUP(X$496-$S577+1,$N$576:$P$585,3)))),0)</f>
        <v>0</v>
      </c>
      <c r="Y577" s="62">
        <f>IFERROR(IF(Input!R133=0,0,(Input!R133*$M524*((1+$S524)^VLOOKUP(Y$496-$S577+1,$N$576:$P$585,3)))),0)</f>
        <v>0</v>
      </c>
      <c r="Z577" s="62">
        <f>IFERROR(IF(Input!S133=0,0,(Input!S133*$M524*((1+$S524)^VLOOKUP(Z$496-$S577+1,$N$576:$P$585,3)))),0)</f>
        <v>0</v>
      </c>
      <c r="AA577" s="62">
        <f>IFERROR(IF(Input!T133=0,0,(Input!T133*$M524*((1+$S524)^VLOOKUP(AA$496-$S577+1,$N$576:$P$585,3)))),0)</f>
        <v>0</v>
      </c>
      <c r="AB577" s="62">
        <f>IFERROR(IF(Input!U133=0,0,(Input!U133*$M524*((1+$S524)^VLOOKUP(AB$496-$S577+1,$N$576:$P$585,3)))),0)</f>
        <v>0</v>
      </c>
      <c r="AC577" s="62">
        <f>IFERROR(IF(Input!V133=0,0,(Input!V133*$M524*((1+$S524)^VLOOKUP(AC$496-$S577+1,$N$576:$P$585,3)))),0)</f>
        <v>0</v>
      </c>
      <c r="AD577" s="62">
        <f>IFERROR(IF(Input!W133=0,0,(Input!W133*$M524*((1+$S524)^VLOOKUP(AD$496-$S577+1,$N$576:$P$585,3)))),0)</f>
        <v>0</v>
      </c>
      <c r="AE577" s="62">
        <f>IFERROR(IF(Input!X133=0,0,(Input!X133*$M524*((1+$S524)^VLOOKUP(AE$496-$S577+1,$N$576:$P$585,3)))),0)</f>
        <v>0</v>
      </c>
      <c r="AF577" s="484">
        <f>IFERROR(IF(Input!Y133=0,0,(Input!Y133*$M524*((1+$S524)^VLOOKUP(AF$496-$S577+1,$N$576:$P$585,3)))),0)</f>
        <v>0</v>
      </c>
      <c r="AG577" s="484">
        <f>IFERROR(IF(Input!Z133=0,0,(Input!Z133*$M524*((1+$S524)^VLOOKUP(AG$496-$S577+1,$N$576:$P$585,3)))),0)</f>
        <v>0</v>
      </c>
      <c r="AH577" s="484">
        <f>IFERROR(IF(Input!AA133=0,0,(Input!AA133*$M524*((1+$S524)^VLOOKUP(AH$496-$S577+1,$N$576:$P$585,3)))),0)</f>
        <v>0</v>
      </c>
      <c r="AI577" s="484">
        <f>IFERROR(IF(Input!AB133=0,0,(Input!AB133*$M524*((1+$S524)^VLOOKUP(AI$496-$S577+1,$N$576:$P$585,3)))),0)</f>
        <v>0</v>
      </c>
      <c r="AJ577" s="484">
        <f>IFERROR(IF(Input!AC133=0,0,(Input!AC133*$M524*((1+$S524)^VLOOKUP(AJ$496-$S577+1,$N$576:$P$585,3)))),0)</f>
        <v>0</v>
      </c>
      <c r="AK577" s="484">
        <f>IFERROR(IF(Input!AD133=0,0,(Input!AD133*$M524*((1+$S524)^VLOOKUP(AK$496-$S577+1,$N$576:$P$585,3)))),0)</f>
        <v>0</v>
      </c>
      <c r="AL577" s="484">
        <f>IFERROR(IF(Input!AE133=0,0,(Input!AE133*$M524*((1+$S524)^VLOOKUP(AL$496-$S577+1,$N$576:$P$585,3)))),0)</f>
        <v>0</v>
      </c>
      <c r="AM577" s="484">
        <f>IFERROR(IF(Input!AF133=0,0,(Input!AF133*$M524*((1+$S524)^VLOOKUP(AM$496-$S577+1,$N$576:$P$585,3)))),0)</f>
        <v>0</v>
      </c>
      <c r="AN577" s="484">
        <f>IFERROR(IF(Input!AG133=0,0,(Input!AG133*$M524*((1+$S524)^VLOOKUP(AN$496-$S577+1,$N$576:$P$585,3)))),0)</f>
        <v>0</v>
      </c>
      <c r="AO577" s="484">
        <f>IFERROR(IF(Input!AH133=0,0,(Input!AH133*$M524*((1+$S524)^VLOOKUP(AO$496-$S577+1,$N$576:$P$585,3)))),0)</f>
        <v>0</v>
      </c>
      <c r="AP577" s="484">
        <f>IFERROR(IF(Input!AI133=0,0,(Input!AI133*$M524*((1+$S524)^VLOOKUP(AP$496-$S577+1,$N$576:$P$585,3)))),0)</f>
        <v>0</v>
      </c>
      <c r="AQ577" s="484">
        <f>IFERROR(IF(Input!AJ133=0,0,(Input!AJ133*$M524*((1+$S524)^VLOOKUP(AQ$496-$S577+1,$N$576:$P$585,3)))),0)</f>
        <v>0</v>
      </c>
      <c r="AR577" s="484">
        <f>IFERROR(IF(Input!AK133=0,0,(Input!AK133*$M524*((1+$S524)^VLOOKUP(AR$496-$S577+1,$N$576:$P$585,3)))),0)</f>
        <v>0</v>
      </c>
      <c r="AS577" s="484">
        <f>IFERROR(IF(Input!AL133=0,0,(Input!AL133*$M524*((1+$S524)^VLOOKUP(AS$496-$S577+1,$N$576:$P$585,3)))),0)</f>
        <v>0</v>
      </c>
      <c r="AT577" s="484">
        <f>IFERROR(IF(Input!AM133=0,0,(Input!AM133*$M524*((1+$S524)^VLOOKUP(AT$496-$S577+1,$N$576:$P$585,3)))),0)</f>
        <v>0</v>
      </c>
      <c r="AU577" s="484">
        <f>IFERROR(IF(Input!AN133=0,0,(Input!AN133*$M524*((1+$S524)^VLOOKUP(AU$496-$S577+1,$N$576:$P$585,3)))),0)</f>
        <v>0</v>
      </c>
      <c r="AV577" s="484">
        <f>IFERROR(IF(Input!AO133=0,0,(Input!AO133*$M524*((1+$S524)^VLOOKUP(AV$496-$S577+1,$N$576:$P$585,3)))),0)</f>
        <v>0</v>
      </c>
      <c r="AW577" s="484">
        <f>IFERROR(IF(Input!AP133=0,0,(Input!AP133*$M524*((1+$S524)^VLOOKUP(AW$496-$S577+1,$N$576:$P$585,3)))),0)</f>
        <v>0</v>
      </c>
      <c r="AX577" s="484">
        <f>IFERROR(IF(Input!AQ133=0,0,(Input!AQ133*$M524*((1+$S524)^VLOOKUP(AX$496-$S577+1,$N$576:$P$585,3)))),0)</f>
        <v>0</v>
      </c>
      <c r="AY577" s="484">
        <f>IFERROR(IF(Input!AR133=0,0,(Input!AR133*$M524*((1+$S524)^VLOOKUP(AY$496-$S577+1,$N$576:$P$585,3)))),0)</f>
        <v>0</v>
      </c>
      <c r="AZ577" s="484">
        <f>IFERROR(IF(Input!AS133=0,0,(Input!AS133*$M524*((1+$S524)^VLOOKUP(AZ$496-$S577+1,$N$576:$P$585,3)))),0)</f>
        <v>0</v>
      </c>
      <c r="BA577" s="484">
        <f>IFERROR(IF(Input!AT133=0,0,(Input!AT133*$M524*((1+$S524)^VLOOKUP(BA$496-$S577+1,$N$576:$P$585,3)))),0)</f>
        <v>0</v>
      </c>
      <c r="BB577" s="484">
        <f>IFERROR(IF(Input!AU133=0,0,(Input!AU133*$M524*((1+$S524)^VLOOKUP(BB$496-$S577+1,$N$576:$P$585,3)))),0)</f>
        <v>0</v>
      </c>
      <c r="BC577" s="484">
        <f>IFERROR(IF(Input!AV133=0,0,(Input!AV133*$M524*((1+$S524)^VLOOKUP(BC$496-$S577+1,$N$576:$P$585,3)))),0)</f>
        <v>0</v>
      </c>
      <c r="BD577" s="484">
        <f>IFERROR(IF(Input!AW133=0,0,(Input!AW133*$M524*((1+$S524)^VLOOKUP(BD$496-$S577+1,$N$576:$P$585,3)))),0)</f>
        <v>0</v>
      </c>
      <c r="BE577" s="484">
        <f>IFERROR(IF(Input!AX133=0,0,(Input!AX133*$M524*((1+$S524)^VLOOKUP(BE$496-$S577+1,$N$576:$P$585,3)))),0)</f>
        <v>0</v>
      </c>
      <c r="BF577" s="484">
        <f>IFERROR(IF(Input!AY133=0,0,(Input!AY133*$M524*((1+$S524)^VLOOKUP(BF$496-$S577+1,$N$576:$P$585,3)))),0)</f>
        <v>0</v>
      </c>
      <c r="BG577" s="484">
        <f>IFERROR(IF(Input!AZ133=0,0,(Input!AZ133*$M524*((1+$S524)^VLOOKUP(BG$496-$S577+1,$N$576:$P$585,3)))),0)</f>
        <v>0</v>
      </c>
      <c r="BH577" s="484">
        <f>IFERROR(IF(Input!BA133=0,0,(Input!BA133*$M524*((1+$S524)^VLOOKUP(BH$496-$S577+1,$N$576:$P$585,3)))),0)</f>
        <v>0</v>
      </c>
      <c r="BI577" s="484">
        <f>IFERROR(IF(Input!BB133=0,0,(Input!BB133*$M524*((1+$S524)^VLOOKUP(BI$496-$S577+1,$N$576:$P$585,3)))),0)</f>
        <v>0</v>
      </c>
      <c r="BJ577" s="484">
        <f>IFERROR(IF(Input!BC133=0,0,(Input!BC133*$M524*((1+$S524)^VLOOKUP(BJ$496-$S577+1,$N$576:$P$585,3)))),0)</f>
        <v>0</v>
      </c>
      <c r="BK577" s="484">
        <f>IFERROR(IF(Input!BD133=0,0,(Input!BD133*$M524*((1+$S524)^VLOOKUP(BK$496-$S577+1,$N$576:$P$585,3)))),0)</f>
        <v>0</v>
      </c>
      <c r="BL577" s="484">
        <f>IFERROR(IF(Input!BE133=0,0,(Input!BE133*$M524*((1+$S524)^VLOOKUP(BL$496-$S577+1,$N$576:$P$585,3)))),0)</f>
        <v>0</v>
      </c>
      <c r="BM577" s="484">
        <f>IFERROR(IF(Input!BF133=0,0,(Input!BF133*$M524*((1+$S524)^VLOOKUP(BM$496-$S577+1,$N$576:$P$585,3)))),0)</f>
        <v>0</v>
      </c>
      <c r="BN577" s="484">
        <f>IFERROR(IF(Input!BG133=0,0,(Input!BG133*$M524*((1+$S524)^VLOOKUP(BN$496-$S577+1,$N$576:$P$585,3)))),0)</f>
        <v>0</v>
      </c>
      <c r="BO577" s="484">
        <f>IFERROR(IF(Input!BH133=0,0,(Input!BH133*$M524*((1+$S524)^VLOOKUP(BO$496-$S577+1,$N$576:$P$585,3)))),0)</f>
        <v>0</v>
      </c>
      <c r="BP577" s="484">
        <f>IFERROR(IF(Input!BI133=0,0,(Input!BI133*$M524*((1+$S524)^VLOOKUP(BP$496-$S577+1,$N$576:$P$585,3)))),0)</f>
        <v>0</v>
      </c>
      <c r="BQ577" s="484">
        <f>IFERROR(IF(Input!BJ133=0,0,(Input!BJ133*$M524*((1+$S524)^VLOOKUP(BQ$496-$S577+1,$N$576:$P$585,3)))),0)</f>
        <v>0</v>
      </c>
      <c r="BR577" s="484">
        <f>IFERROR(IF(Input!BK133=0,0,(Input!BK133*$M524*((1+$S524)^VLOOKUP(BR$496-$S577+1,$N$576:$P$585,3)))),0)</f>
        <v>0</v>
      </c>
      <c r="BS577" s="484">
        <f>IFERROR(IF(Input!BL133=0,0,(Input!BL133*$M524*((1+$S524)^VLOOKUP(BS$496-$S577+1,$N$576:$P$585,3)))),0)</f>
        <v>0</v>
      </c>
      <c r="BT577" s="484">
        <f>IFERROR(IF(Input!BM133=0,0,(Input!BM133*$M524*((1+$S524)^VLOOKUP(BT$496-$S577+1,$N$576:$P$585,3)))),0)</f>
        <v>0</v>
      </c>
      <c r="BU577" s="484">
        <f>IFERROR(IF(Input!BN133=0,0,(Input!BN133*$M524*((1+$S524)^VLOOKUP(BU$496-$S577+1,$N$576:$P$585,3)))),0)</f>
        <v>0</v>
      </c>
      <c r="BV577" s="484">
        <f>IFERROR(IF(Input!BO133=0,0,(Input!BO133*$M524*((1+$S524)^VLOOKUP(BV$496-$S577+1,$N$576:$P$585,3)))),0)</f>
        <v>0</v>
      </c>
      <c r="BW577" s="484">
        <f>IFERROR(IF(Input!BP133=0,0,(Input!BP133*$M524*((1+$S524)^VLOOKUP(BW$496-$S577+1,$N$576:$P$585,3)))),0)</f>
        <v>0</v>
      </c>
      <c r="BX577" s="484">
        <f>IFERROR(IF(Input!BQ133=0,0,(Input!BQ133*$M524*((1+$S524)^VLOOKUP(BX$496-$S577+1,$N$576:$P$585,3)))),0)</f>
        <v>0</v>
      </c>
      <c r="BY577" s="484">
        <f>IFERROR(IF(Input!BR133=0,0,(Input!BR133*$M524*((1+$S524)^VLOOKUP(BY$496-$S577+1,$N$576:$P$585,3)))),0)</f>
        <v>0</v>
      </c>
      <c r="BZ577" s="484">
        <f>IFERROR(IF(Input!BS133=0,0,(Input!BS133*$M524*((1+$S524)^VLOOKUP(BZ$496-$S577+1,$N$576:$P$585,3)))),0)</f>
        <v>0</v>
      </c>
      <c r="CA577" s="484">
        <f>IFERROR(IF(Input!BT133=0,0,(Input!BT133*$M524*((1+$S524)^VLOOKUP(CA$496-$S577+1,$N$576:$P$585,3)))),0)</f>
        <v>0</v>
      </c>
      <c r="CB577" s="484">
        <f>IFERROR(IF(Input!BU133=0,0,(Input!BU133*$M524*((1+$S524)^VLOOKUP(CB$496-$S577+1,$N$576:$P$585,3)))),0)</f>
        <v>0</v>
      </c>
      <c r="CC577" s="484">
        <f>IFERROR(IF(Input!BV133=0,0,(Input!BV133*$M524*((1+$S524)^VLOOKUP(CC$496-$S577+1,$N$576:$P$585,3)))),0)</f>
        <v>0</v>
      </c>
      <c r="CD577" s="484">
        <f>IFERROR(IF(Input!BW133=0,0,(Input!BW133*$M524*((1+$S524)^VLOOKUP(CD$496-$S577+1,$N$576:$P$585,3)))),0)</f>
        <v>0</v>
      </c>
      <c r="CE577" s="1171"/>
      <c r="CF577" s="1171"/>
      <c r="CG577" s="1171"/>
      <c r="CH577" s="1171"/>
      <c r="CI577" s="1171"/>
    </row>
    <row r="578" spans="11:87" ht="12" customHeight="1" x14ac:dyDescent="0.35">
      <c r="K578" s="13"/>
      <c r="L578" s="70"/>
      <c r="M578" s="82">
        <v>3</v>
      </c>
      <c r="N578" s="443">
        <f t="shared" si="369"/>
        <v>25</v>
      </c>
      <c r="O578" s="443">
        <f t="shared" si="370"/>
        <v>36</v>
      </c>
      <c r="P578" s="443">
        <v>2</v>
      </c>
      <c r="Q578" s="82"/>
      <c r="R578" s="40">
        <v>27</v>
      </c>
      <c r="S578" s="13">
        <f>IF(Input!H134&lt;&gt;"",VLOOKUP(Input!$H134,Infrastructure!$D$70:$F$129,3,FALSE),0)</f>
        <v>0</v>
      </c>
      <c r="T578" s="69">
        <f t="shared" si="368"/>
        <v>0</v>
      </c>
      <c r="U578" s="725">
        <f>1+Input!L134+Input!K134</f>
        <v>1</v>
      </c>
      <c r="V578" s="84"/>
      <c r="W578" s="62">
        <f>IFERROR(IF(Input!P134=0,0,(Input!P134*$M525*((1+$S525)^VLOOKUP(W$496-$S578+1,$N$576:$P$585,3)))),0)</f>
        <v>0</v>
      </c>
      <c r="X578" s="62">
        <f>IFERROR(IF(Input!Q134=0,0,(Input!Q134*$M525*((1+$S525)^VLOOKUP(X$496-$S578+1,$N$576:$P$585,3)))),0)</f>
        <v>0</v>
      </c>
      <c r="Y578" s="62">
        <f>IFERROR(IF(Input!R134=0,0,(Input!R134*$M525*((1+$S525)^VLOOKUP(Y$496-$S578+1,$N$576:$P$585,3)))),0)</f>
        <v>0</v>
      </c>
      <c r="Z578" s="62">
        <f>IFERROR(IF(Input!S134=0,0,(Input!S134*$M525*((1+$S525)^VLOOKUP(Z$496-$S578+1,$N$576:$P$585,3)))),0)</f>
        <v>0</v>
      </c>
      <c r="AA578" s="62">
        <f>IFERROR(IF(Input!T134=0,0,(Input!T134*$M525*((1+$S525)^VLOOKUP(AA$496-$S578+1,$N$576:$P$585,3)))),0)</f>
        <v>0</v>
      </c>
      <c r="AB578" s="62">
        <f>IFERROR(IF(Input!U134=0,0,(Input!U134*$M525*((1+$S525)^VLOOKUP(AB$496-$S578+1,$N$576:$P$585,3)))),0)</f>
        <v>0</v>
      </c>
      <c r="AC578" s="62">
        <f>IFERROR(IF(Input!V134=0,0,(Input!V134*$M525*((1+$S525)^VLOOKUP(AC$496-$S578+1,$N$576:$P$585,3)))),0)</f>
        <v>0</v>
      </c>
      <c r="AD578" s="62">
        <f>IFERROR(IF(Input!W134=0,0,(Input!W134*$M525*((1+$S525)^VLOOKUP(AD$496-$S578+1,$N$576:$P$585,3)))),0)</f>
        <v>0</v>
      </c>
      <c r="AE578" s="62">
        <f>IFERROR(IF(Input!X134=0,0,(Input!X134*$M525*((1+$S525)^VLOOKUP(AE$496-$S578+1,$N$576:$P$585,3)))),0)</f>
        <v>0</v>
      </c>
      <c r="AF578" s="484">
        <f>IFERROR(IF(Input!Y134=0,0,(Input!Y134*$M525*((1+$S525)^VLOOKUP(AF$496-$S578+1,$N$576:$P$585,3)))),0)</f>
        <v>0</v>
      </c>
      <c r="AG578" s="484">
        <f>IFERROR(IF(Input!Z134=0,0,(Input!Z134*$M525*((1+$S525)^VLOOKUP(AG$496-$S578+1,$N$576:$P$585,3)))),0)</f>
        <v>0</v>
      </c>
      <c r="AH578" s="484">
        <f>IFERROR(IF(Input!AA134=0,0,(Input!AA134*$M525*((1+$S525)^VLOOKUP(AH$496-$S578+1,$N$576:$P$585,3)))),0)</f>
        <v>0</v>
      </c>
      <c r="AI578" s="484">
        <f>IFERROR(IF(Input!AB134=0,0,(Input!AB134*$M525*((1+$S525)^VLOOKUP(AI$496-$S578+1,$N$576:$P$585,3)))),0)</f>
        <v>0</v>
      </c>
      <c r="AJ578" s="484">
        <f>IFERROR(IF(Input!AC134=0,0,(Input!AC134*$M525*((1+$S525)^VLOOKUP(AJ$496-$S578+1,$N$576:$P$585,3)))),0)</f>
        <v>0</v>
      </c>
      <c r="AK578" s="484">
        <f>IFERROR(IF(Input!AD134=0,0,(Input!AD134*$M525*((1+$S525)^VLOOKUP(AK$496-$S578+1,$N$576:$P$585,3)))),0)</f>
        <v>0</v>
      </c>
      <c r="AL578" s="484">
        <f>IFERROR(IF(Input!AE134=0,0,(Input!AE134*$M525*((1+$S525)^VLOOKUP(AL$496-$S578+1,$N$576:$P$585,3)))),0)</f>
        <v>0</v>
      </c>
      <c r="AM578" s="484">
        <f>IFERROR(IF(Input!AF134=0,0,(Input!AF134*$M525*((1+$S525)^VLOOKUP(AM$496-$S578+1,$N$576:$P$585,3)))),0)</f>
        <v>0</v>
      </c>
      <c r="AN578" s="484">
        <f>IFERROR(IF(Input!AG134=0,0,(Input!AG134*$M525*((1+$S525)^VLOOKUP(AN$496-$S578+1,$N$576:$P$585,3)))),0)</f>
        <v>0</v>
      </c>
      <c r="AO578" s="484">
        <f>IFERROR(IF(Input!AH134=0,0,(Input!AH134*$M525*((1+$S525)^VLOOKUP(AO$496-$S578+1,$N$576:$P$585,3)))),0)</f>
        <v>0</v>
      </c>
      <c r="AP578" s="484">
        <f>IFERROR(IF(Input!AI134=0,0,(Input!AI134*$M525*((1+$S525)^VLOOKUP(AP$496-$S578+1,$N$576:$P$585,3)))),0)</f>
        <v>0</v>
      </c>
      <c r="AQ578" s="484">
        <f>IFERROR(IF(Input!AJ134=0,0,(Input!AJ134*$M525*((1+$S525)^VLOOKUP(AQ$496-$S578+1,$N$576:$P$585,3)))),0)</f>
        <v>0</v>
      </c>
      <c r="AR578" s="484">
        <f>IFERROR(IF(Input!AK134=0,0,(Input!AK134*$M525*((1+$S525)^VLOOKUP(AR$496-$S578+1,$N$576:$P$585,3)))),0)</f>
        <v>0</v>
      </c>
      <c r="AS578" s="484">
        <f>IFERROR(IF(Input!AL134=0,0,(Input!AL134*$M525*((1+$S525)^VLOOKUP(AS$496-$S578+1,$N$576:$P$585,3)))),0)</f>
        <v>0</v>
      </c>
      <c r="AT578" s="484">
        <f>IFERROR(IF(Input!AM134=0,0,(Input!AM134*$M525*((1+$S525)^VLOOKUP(AT$496-$S578+1,$N$576:$P$585,3)))),0)</f>
        <v>0</v>
      </c>
      <c r="AU578" s="484">
        <f>IFERROR(IF(Input!AN134=0,0,(Input!AN134*$M525*((1+$S525)^VLOOKUP(AU$496-$S578+1,$N$576:$P$585,3)))),0)</f>
        <v>0</v>
      </c>
      <c r="AV578" s="484">
        <f>IFERROR(IF(Input!AO134=0,0,(Input!AO134*$M525*((1+$S525)^VLOOKUP(AV$496-$S578+1,$N$576:$P$585,3)))),0)</f>
        <v>0</v>
      </c>
      <c r="AW578" s="484">
        <f>IFERROR(IF(Input!AP134=0,0,(Input!AP134*$M525*((1+$S525)^VLOOKUP(AW$496-$S578+1,$N$576:$P$585,3)))),0)</f>
        <v>0</v>
      </c>
      <c r="AX578" s="484">
        <f>IFERROR(IF(Input!AQ134=0,0,(Input!AQ134*$M525*((1+$S525)^VLOOKUP(AX$496-$S578+1,$N$576:$P$585,3)))),0)</f>
        <v>0</v>
      </c>
      <c r="AY578" s="484">
        <f>IFERROR(IF(Input!AR134=0,0,(Input!AR134*$M525*((1+$S525)^VLOOKUP(AY$496-$S578+1,$N$576:$P$585,3)))),0)</f>
        <v>0</v>
      </c>
      <c r="AZ578" s="484">
        <f>IFERROR(IF(Input!AS134=0,0,(Input!AS134*$M525*((1+$S525)^VLOOKUP(AZ$496-$S578+1,$N$576:$P$585,3)))),0)</f>
        <v>0</v>
      </c>
      <c r="BA578" s="484">
        <f>IFERROR(IF(Input!AT134=0,0,(Input!AT134*$M525*((1+$S525)^VLOOKUP(BA$496-$S578+1,$N$576:$P$585,3)))),0)</f>
        <v>0</v>
      </c>
      <c r="BB578" s="484">
        <f>IFERROR(IF(Input!AU134=0,0,(Input!AU134*$M525*((1+$S525)^VLOOKUP(BB$496-$S578+1,$N$576:$P$585,3)))),0)</f>
        <v>0</v>
      </c>
      <c r="BC578" s="484">
        <f>IFERROR(IF(Input!AV134=0,0,(Input!AV134*$M525*((1+$S525)^VLOOKUP(BC$496-$S578+1,$N$576:$P$585,3)))),0)</f>
        <v>0</v>
      </c>
      <c r="BD578" s="484">
        <f>IFERROR(IF(Input!AW134=0,0,(Input!AW134*$M525*((1+$S525)^VLOOKUP(BD$496-$S578+1,$N$576:$P$585,3)))),0)</f>
        <v>0</v>
      </c>
      <c r="BE578" s="484">
        <f>IFERROR(IF(Input!AX134=0,0,(Input!AX134*$M525*((1+$S525)^VLOOKUP(BE$496-$S578+1,$N$576:$P$585,3)))),0)</f>
        <v>0</v>
      </c>
      <c r="BF578" s="484">
        <f>IFERROR(IF(Input!AY134=0,0,(Input!AY134*$M525*((1+$S525)^VLOOKUP(BF$496-$S578+1,$N$576:$P$585,3)))),0)</f>
        <v>0</v>
      </c>
      <c r="BG578" s="484">
        <f>IFERROR(IF(Input!AZ134=0,0,(Input!AZ134*$M525*((1+$S525)^VLOOKUP(BG$496-$S578+1,$N$576:$P$585,3)))),0)</f>
        <v>0</v>
      </c>
      <c r="BH578" s="484">
        <f>IFERROR(IF(Input!BA134=0,0,(Input!BA134*$M525*((1+$S525)^VLOOKUP(BH$496-$S578+1,$N$576:$P$585,3)))),0)</f>
        <v>0</v>
      </c>
      <c r="BI578" s="484">
        <f>IFERROR(IF(Input!BB134=0,0,(Input!BB134*$M525*((1+$S525)^VLOOKUP(BI$496-$S578+1,$N$576:$P$585,3)))),0)</f>
        <v>0</v>
      </c>
      <c r="BJ578" s="484">
        <f>IFERROR(IF(Input!BC134=0,0,(Input!BC134*$M525*((1+$S525)^VLOOKUP(BJ$496-$S578+1,$N$576:$P$585,3)))),0)</f>
        <v>0</v>
      </c>
      <c r="BK578" s="484">
        <f>IFERROR(IF(Input!BD134=0,0,(Input!BD134*$M525*((1+$S525)^VLOOKUP(BK$496-$S578+1,$N$576:$P$585,3)))),0)</f>
        <v>0</v>
      </c>
      <c r="BL578" s="484">
        <f>IFERROR(IF(Input!BE134=0,0,(Input!BE134*$M525*((1+$S525)^VLOOKUP(BL$496-$S578+1,$N$576:$P$585,3)))),0)</f>
        <v>0</v>
      </c>
      <c r="BM578" s="484">
        <f>IFERROR(IF(Input!BF134=0,0,(Input!BF134*$M525*((1+$S525)^VLOOKUP(BM$496-$S578+1,$N$576:$P$585,3)))),0)</f>
        <v>0</v>
      </c>
      <c r="BN578" s="484">
        <f>IFERROR(IF(Input!BG134=0,0,(Input!BG134*$M525*((1+$S525)^VLOOKUP(BN$496-$S578+1,$N$576:$P$585,3)))),0)</f>
        <v>0</v>
      </c>
      <c r="BO578" s="484">
        <f>IFERROR(IF(Input!BH134=0,0,(Input!BH134*$M525*((1+$S525)^VLOOKUP(BO$496-$S578+1,$N$576:$P$585,3)))),0)</f>
        <v>0</v>
      </c>
      <c r="BP578" s="484">
        <f>IFERROR(IF(Input!BI134=0,0,(Input!BI134*$M525*((1+$S525)^VLOOKUP(BP$496-$S578+1,$N$576:$P$585,3)))),0)</f>
        <v>0</v>
      </c>
      <c r="BQ578" s="484">
        <f>IFERROR(IF(Input!BJ134=0,0,(Input!BJ134*$M525*((1+$S525)^VLOOKUP(BQ$496-$S578+1,$N$576:$P$585,3)))),0)</f>
        <v>0</v>
      </c>
      <c r="BR578" s="484">
        <f>IFERROR(IF(Input!BK134=0,0,(Input!BK134*$M525*((1+$S525)^VLOOKUP(BR$496-$S578+1,$N$576:$P$585,3)))),0)</f>
        <v>0</v>
      </c>
      <c r="BS578" s="484">
        <f>IFERROR(IF(Input!BL134=0,0,(Input!BL134*$M525*((1+$S525)^VLOOKUP(BS$496-$S578+1,$N$576:$P$585,3)))),0)</f>
        <v>0</v>
      </c>
      <c r="BT578" s="484">
        <f>IFERROR(IF(Input!BM134=0,0,(Input!BM134*$M525*((1+$S525)^VLOOKUP(BT$496-$S578+1,$N$576:$P$585,3)))),0)</f>
        <v>0</v>
      </c>
      <c r="BU578" s="484">
        <f>IFERROR(IF(Input!BN134=0,0,(Input!BN134*$M525*((1+$S525)^VLOOKUP(BU$496-$S578+1,$N$576:$P$585,3)))),0)</f>
        <v>0</v>
      </c>
      <c r="BV578" s="484">
        <f>IFERROR(IF(Input!BO134=0,0,(Input!BO134*$M525*((1+$S525)^VLOOKUP(BV$496-$S578+1,$N$576:$P$585,3)))),0)</f>
        <v>0</v>
      </c>
      <c r="BW578" s="484">
        <f>IFERROR(IF(Input!BP134=0,0,(Input!BP134*$M525*((1+$S525)^VLOOKUP(BW$496-$S578+1,$N$576:$P$585,3)))),0)</f>
        <v>0</v>
      </c>
      <c r="BX578" s="484">
        <f>IFERROR(IF(Input!BQ134=0,0,(Input!BQ134*$M525*((1+$S525)^VLOOKUP(BX$496-$S578+1,$N$576:$P$585,3)))),0)</f>
        <v>0</v>
      </c>
      <c r="BY578" s="484">
        <f>IFERROR(IF(Input!BR134=0,0,(Input!BR134*$M525*((1+$S525)^VLOOKUP(BY$496-$S578+1,$N$576:$P$585,3)))),0)</f>
        <v>0</v>
      </c>
      <c r="BZ578" s="484">
        <f>IFERROR(IF(Input!BS134=0,0,(Input!BS134*$M525*((1+$S525)^VLOOKUP(BZ$496-$S578+1,$N$576:$P$585,3)))),0)</f>
        <v>0</v>
      </c>
      <c r="CA578" s="484">
        <f>IFERROR(IF(Input!BT134=0,0,(Input!BT134*$M525*((1+$S525)^VLOOKUP(CA$496-$S578+1,$N$576:$P$585,3)))),0)</f>
        <v>0</v>
      </c>
      <c r="CB578" s="484">
        <f>IFERROR(IF(Input!BU134=0,0,(Input!BU134*$M525*((1+$S525)^VLOOKUP(CB$496-$S578+1,$N$576:$P$585,3)))),0)</f>
        <v>0</v>
      </c>
      <c r="CC578" s="484">
        <f>IFERROR(IF(Input!BV134=0,0,(Input!BV134*$M525*((1+$S525)^VLOOKUP(CC$496-$S578+1,$N$576:$P$585,3)))),0)</f>
        <v>0</v>
      </c>
      <c r="CD578" s="484">
        <f>IFERROR(IF(Input!BW134=0,0,(Input!BW134*$M525*((1+$S525)^VLOOKUP(CD$496-$S578+1,$N$576:$P$585,3)))),0)</f>
        <v>0</v>
      </c>
      <c r="CE578" s="1171"/>
      <c r="CF578" s="1171"/>
      <c r="CG578" s="1171"/>
      <c r="CH578" s="1171"/>
      <c r="CI578" s="1171"/>
    </row>
    <row r="579" spans="11:87" ht="12" customHeight="1" x14ac:dyDescent="0.35">
      <c r="K579" s="13"/>
      <c r="L579" s="70"/>
      <c r="M579" s="82">
        <v>4</v>
      </c>
      <c r="N579" s="443">
        <f t="shared" si="369"/>
        <v>37</v>
      </c>
      <c r="O579" s="443">
        <f t="shared" si="370"/>
        <v>48</v>
      </c>
      <c r="P579" s="443">
        <v>3</v>
      </c>
      <c r="Q579" s="82"/>
      <c r="R579" s="13">
        <v>28</v>
      </c>
      <c r="S579" s="13">
        <f>IF(Input!H135&lt;&gt;"",VLOOKUP(Input!$H135,Infrastructure!$D$70:$F$129,3,FALSE),0)</f>
        <v>0</v>
      </c>
      <c r="T579" s="69">
        <f t="shared" si="368"/>
        <v>0</v>
      </c>
      <c r="U579" s="725">
        <f>1+Input!L135+Input!K135</f>
        <v>1</v>
      </c>
      <c r="V579" s="84"/>
      <c r="W579" s="62">
        <f>IFERROR(IF(Input!P135=0,0,(Input!P135*$M526*((1+$S526)^VLOOKUP(W$496-$S579+1,$N$576:$P$585,3)))),0)</f>
        <v>0</v>
      </c>
      <c r="X579" s="62">
        <f>IFERROR(IF(Input!Q135=0,0,(Input!Q135*$M526*((1+$S526)^VLOOKUP(X$496-$S579+1,$N$576:$P$585,3)))),0)</f>
        <v>0</v>
      </c>
      <c r="Y579" s="62">
        <f>IFERROR(IF(Input!R135=0,0,(Input!R135*$M526*((1+$S526)^VLOOKUP(Y$496-$S579+1,$N$576:$P$585,3)))),0)</f>
        <v>0</v>
      </c>
      <c r="Z579" s="62">
        <f>IFERROR(IF(Input!S135=0,0,(Input!S135*$M526*((1+$S526)^VLOOKUP(Z$496-$S579+1,$N$576:$P$585,3)))),0)</f>
        <v>0</v>
      </c>
      <c r="AA579" s="62">
        <f>IFERROR(IF(Input!T135=0,0,(Input!T135*$M526*((1+$S526)^VLOOKUP(AA$496-$S579+1,$N$576:$P$585,3)))),0)</f>
        <v>0</v>
      </c>
      <c r="AB579" s="62">
        <f>IFERROR(IF(Input!U135=0,0,(Input!U135*$M526*((1+$S526)^VLOOKUP(AB$496-$S579+1,$N$576:$P$585,3)))),0)</f>
        <v>0</v>
      </c>
      <c r="AC579" s="62">
        <f>IFERROR(IF(Input!V135=0,0,(Input!V135*$M526*((1+$S526)^VLOOKUP(AC$496-$S579+1,$N$576:$P$585,3)))),0)</f>
        <v>0</v>
      </c>
      <c r="AD579" s="62">
        <f>IFERROR(IF(Input!W135=0,0,(Input!W135*$M526*((1+$S526)^VLOOKUP(AD$496-$S579+1,$N$576:$P$585,3)))),0)</f>
        <v>0</v>
      </c>
      <c r="AE579" s="62">
        <f>IFERROR(IF(Input!X135=0,0,(Input!X135*$M526*((1+$S526)^VLOOKUP(AE$496-$S579+1,$N$576:$P$585,3)))),0)</f>
        <v>0</v>
      </c>
      <c r="AF579" s="484">
        <f>IFERROR(IF(Input!Y135=0,0,(Input!Y135*$M526*((1+$S526)^VLOOKUP(AF$496-$S579+1,$N$576:$P$585,3)))),0)</f>
        <v>0</v>
      </c>
      <c r="AG579" s="484">
        <f>IFERROR(IF(Input!Z135=0,0,(Input!Z135*$M526*((1+$S526)^VLOOKUP(AG$496-$S579+1,$N$576:$P$585,3)))),0)</f>
        <v>0</v>
      </c>
      <c r="AH579" s="484">
        <f>IFERROR(IF(Input!AA135=0,0,(Input!AA135*$M526*((1+$S526)^VLOOKUP(AH$496-$S579+1,$N$576:$P$585,3)))),0)</f>
        <v>0</v>
      </c>
      <c r="AI579" s="484">
        <f>IFERROR(IF(Input!AB135=0,0,(Input!AB135*$M526*((1+$S526)^VLOOKUP(AI$496-$S579+1,$N$576:$P$585,3)))),0)</f>
        <v>0</v>
      </c>
      <c r="AJ579" s="484">
        <f>IFERROR(IF(Input!AC135=0,0,(Input!AC135*$M526*((1+$S526)^VLOOKUP(AJ$496-$S579+1,$N$576:$P$585,3)))),0)</f>
        <v>0</v>
      </c>
      <c r="AK579" s="484">
        <f>IFERROR(IF(Input!AD135=0,0,(Input!AD135*$M526*((1+$S526)^VLOOKUP(AK$496-$S579+1,$N$576:$P$585,3)))),0)</f>
        <v>0</v>
      </c>
      <c r="AL579" s="484">
        <f>IFERROR(IF(Input!AE135=0,0,(Input!AE135*$M526*((1+$S526)^VLOOKUP(AL$496-$S579+1,$N$576:$P$585,3)))),0)</f>
        <v>0</v>
      </c>
      <c r="AM579" s="484">
        <f>IFERROR(IF(Input!AF135=0,0,(Input!AF135*$M526*((1+$S526)^VLOOKUP(AM$496-$S579+1,$N$576:$P$585,3)))),0)</f>
        <v>0</v>
      </c>
      <c r="AN579" s="484">
        <f>IFERROR(IF(Input!AG135=0,0,(Input!AG135*$M526*((1+$S526)^VLOOKUP(AN$496-$S579+1,$N$576:$P$585,3)))),0)</f>
        <v>0</v>
      </c>
      <c r="AO579" s="484">
        <f>IFERROR(IF(Input!AH135=0,0,(Input!AH135*$M526*((1+$S526)^VLOOKUP(AO$496-$S579+1,$N$576:$P$585,3)))),0)</f>
        <v>0</v>
      </c>
      <c r="AP579" s="484">
        <f>IFERROR(IF(Input!AI135=0,0,(Input!AI135*$M526*((1+$S526)^VLOOKUP(AP$496-$S579+1,$N$576:$P$585,3)))),0)</f>
        <v>0</v>
      </c>
      <c r="AQ579" s="484">
        <f>IFERROR(IF(Input!AJ135=0,0,(Input!AJ135*$M526*((1+$S526)^VLOOKUP(AQ$496-$S579+1,$N$576:$P$585,3)))),0)</f>
        <v>0</v>
      </c>
      <c r="AR579" s="484">
        <f>IFERROR(IF(Input!AK135=0,0,(Input!AK135*$M526*((1+$S526)^VLOOKUP(AR$496-$S579+1,$N$576:$P$585,3)))),0)</f>
        <v>0</v>
      </c>
      <c r="AS579" s="484">
        <f>IFERROR(IF(Input!AL135=0,0,(Input!AL135*$M526*((1+$S526)^VLOOKUP(AS$496-$S579+1,$N$576:$P$585,3)))),0)</f>
        <v>0</v>
      </c>
      <c r="AT579" s="484">
        <f>IFERROR(IF(Input!AM135=0,0,(Input!AM135*$M526*((1+$S526)^VLOOKUP(AT$496-$S579+1,$N$576:$P$585,3)))),0)</f>
        <v>0</v>
      </c>
      <c r="AU579" s="484">
        <f>IFERROR(IF(Input!AN135=0,0,(Input!AN135*$M526*((1+$S526)^VLOOKUP(AU$496-$S579+1,$N$576:$P$585,3)))),0)</f>
        <v>0</v>
      </c>
      <c r="AV579" s="484">
        <f>IFERROR(IF(Input!AO135=0,0,(Input!AO135*$M526*((1+$S526)^VLOOKUP(AV$496-$S579+1,$N$576:$P$585,3)))),0)</f>
        <v>0</v>
      </c>
      <c r="AW579" s="484">
        <f>IFERROR(IF(Input!AP135=0,0,(Input!AP135*$M526*((1+$S526)^VLOOKUP(AW$496-$S579+1,$N$576:$P$585,3)))),0)</f>
        <v>0</v>
      </c>
      <c r="AX579" s="484">
        <f>IFERROR(IF(Input!AQ135=0,0,(Input!AQ135*$M526*((1+$S526)^VLOOKUP(AX$496-$S579+1,$N$576:$P$585,3)))),0)</f>
        <v>0</v>
      </c>
      <c r="AY579" s="484">
        <f>IFERROR(IF(Input!AR135=0,0,(Input!AR135*$M526*((1+$S526)^VLOOKUP(AY$496-$S579+1,$N$576:$P$585,3)))),0)</f>
        <v>0</v>
      </c>
      <c r="AZ579" s="484">
        <f>IFERROR(IF(Input!AS135=0,0,(Input!AS135*$M526*((1+$S526)^VLOOKUP(AZ$496-$S579+1,$N$576:$P$585,3)))),0)</f>
        <v>0</v>
      </c>
      <c r="BA579" s="484">
        <f>IFERROR(IF(Input!AT135=0,0,(Input!AT135*$M526*((1+$S526)^VLOOKUP(BA$496-$S579+1,$N$576:$P$585,3)))),0)</f>
        <v>0</v>
      </c>
      <c r="BB579" s="484">
        <f>IFERROR(IF(Input!AU135=0,0,(Input!AU135*$M526*((1+$S526)^VLOOKUP(BB$496-$S579+1,$N$576:$P$585,3)))),0)</f>
        <v>0</v>
      </c>
      <c r="BC579" s="484">
        <f>IFERROR(IF(Input!AV135=0,0,(Input!AV135*$M526*((1+$S526)^VLOOKUP(BC$496-$S579+1,$N$576:$P$585,3)))),0)</f>
        <v>0</v>
      </c>
      <c r="BD579" s="484">
        <f>IFERROR(IF(Input!AW135=0,0,(Input!AW135*$M526*((1+$S526)^VLOOKUP(BD$496-$S579+1,$N$576:$P$585,3)))),0)</f>
        <v>0</v>
      </c>
      <c r="BE579" s="484">
        <f>IFERROR(IF(Input!AX135=0,0,(Input!AX135*$M526*((1+$S526)^VLOOKUP(BE$496-$S579+1,$N$576:$P$585,3)))),0)</f>
        <v>0</v>
      </c>
      <c r="BF579" s="484">
        <f>IFERROR(IF(Input!AY135=0,0,(Input!AY135*$M526*((1+$S526)^VLOOKUP(BF$496-$S579+1,$N$576:$P$585,3)))),0)</f>
        <v>0</v>
      </c>
      <c r="BG579" s="484">
        <f>IFERROR(IF(Input!AZ135=0,0,(Input!AZ135*$M526*((1+$S526)^VLOOKUP(BG$496-$S579+1,$N$576:$P$585,3)))),0)</f>
        <v>0</v>
      </c>
      <c r="BH579" s="484">
        <f>IFERROR(IF(Input!BA135=0,0,(Input!BA135*$M526*((1+$S526)^VLOOKUP(BH$496-$S579+1,$N$576:$P$585,3)))),0)</f>
        <v>0</v>
      </c>
      <c r="BI579" s="484">
        <f>IFERROR(IF(Input!BB135=0,0,(Input!BB135*$M526*((1+$S526)^VLOOKUP(BI$496-$S579+1,$N$576:$P$585,3)))),0)</f>
        <v>0</v>
      </c>
      <c r="BJ579" s="484">
        <f>IFERROR(IF(Input!BC135=0,0,(Input!BC135*$M526*((1+$S526)^VLOOKUP(BJ$496-$S579+1,$N$576:$P$585,3)))),0)</f>
        <v>0</v>
      </c>
      <c r="BK579" s="484">
        <f>IFERROR(IF(Input!BD135=0,0,(Input!BD135*$M526*((1+$S526)^VLOOKUP(BK$496-$S579+1,$N$576:$P$585,3)))),0)</f>
        <v>0</v>
      </c>
      <c r="BL579" s="484">
        <f>IFERROR(IF(Input!BE135=0,0,(Input!BE135*$M526*((1+$S526)^VLOOKUP(BL$496-$S579+1,$N$576:$P$585,3)))),0)</f>
        <v>0</v>
      </c>
      <c r="BM579" s="484">
        <f>IFERROR(IF(Input!BF135=0,0,(Input!BF135*$M526*((1+$S526)^VLOOKUP(BM$496-$S579+1,$N$576:$P$585,3)))),0)</f>
        <v>0</v>
      </c>
      <c r="BN579" s="484">
        <f>IFERROR(IF(Input!BG135=0,0,(Input!BG135*$M526*((1+$S526)^VLOOKUP(BN$496-$S579+1,$N$576:$P$585,3)))),0)</f>
        <v>0</v>
      </c>
      <c r="BO579" s="484">
        <f>IFERROR(IF(Input!BH135=0,0,(Input!BH135*$M526*((1+$S526)^VLOOKUP(BO$496-$S579+1,$N$576:$P$585,3)))),0)</f>
        <v>0</v>
      </c>
      <c r="BP579" s="484">
        <f>IFERROR(IF(Input!BI135=0,0,(Input!BI135*$M526*((1+$S526)^VLOOKUP(BP$496-$S579+1,$N$576:$P$585,3)))),0)</f>
        <v>0</v>
      </c>
      <c r="BQ579" s="484">
        <f>IFERROR(IF(Input!BJ135=0,0,(Input!BJ135*$M526*((1+$S526)^VLOOKUP(BQ$496-$S579+1,$N$576:$P$585,3)))),0)</f>
        <v>0</v>
      </c>
      <c r="BR579" s="484">
        <f>IFERROR(IF(Input!BK135=0,0,(Input!BK135*$M526*((1+$S526)^VLOOKUP(BR$496-$S579+1,$N$576:$P$585,3)))),0)</f>
        <v>0</v>
      </c>
      <c r="BS579" s="484">
        <f>IFERROR(IF(Input!BL135=0,0,(Input!BL135*$M526*((1+$S526)^VLOOKUP(BS$496-$S579+1,$N$576:$P$585,3)))),0)</f>
        <v>0</v>
      </c>
      <c r="BT579" s="484">
        <f>IFERROR(IF(Input!BM135=0,0,(Input!BM135*$M526*((1+$S526)^VLOOKUP(BT$496-$S579+1,$N$576:$P$585,3)))),0)</f>
        <v>0</v>
      </c>
      <c r="BU579" s="484">
        <f>IFERROR(IF(Input!BN135=0,0,(Input!BN135*$M526*((1+$S526)^VLOOKUP(BU$496-$S579+1,$N$576:$P$585,3)))),0)</f>
        <v>0</v>
      </c>
      <c r="BV579" s="484">
        <f>IFERROR(IF(Input!BO135=0,0,(Input!BO135*$M526*((1+$S526)^VLOOKUP(BV$496-$S579+1,$N$576:$P$585,3)))),0)</f>
        <v>0</v>
      </c>
      <c r="BW579" s="484">
        <f>IFERROR(IF(Input!BP135=0,0,(Input!BP135*$M526*((1+$S526)^VLOOKUP(BW$496-$S579+1,$N$576:$P$585,3)))),0)</f>
        <v>0</v>
      </c>
      <c r="BX579" s="484">
        <f>IFERROR(IF(Input!BQ135=0,0,(Input!BQ135*$M526*((1+$S526)^VLOOKUP(BX$496-$S579+1,$N$576:$P$585,3)))),0)</f>
        <v>0</v>
      </c>
      <c r="BY579" s="484">
        <f>IFERROR(IF(Input!BR135=0,0,(Input!BR135*$M526*((1+$S526)^VLOOKUP(BY$496-$S579+1,$N$576:$P$585,3)))),0)</f>
        <v>0</v>
      </c>
      <c r="BZ579" s="484">
        <f>IFERROR(IF(Input!BS135=0,0,(Input!BS135*$M526*((1+$S526)^VLOOKUP(BZ$496-$S579+1,$N$576:$P$585,3)))),0)</f>
        <v>0</v>
      </c>
      <c r="CA579" s="484">
        <f>IFERROR(IF(Input!BT135=0,0,(Input!BT135*$M526*((1+$S526)^VLOOKUP(CA$496-$S579+1,$N$576:$P$585,3)))),0)</f>
        <v>0</v>
      </c>
      <c r="CB579" s="484">
        <f>IFERROR(IF(Input!BU135=0,0,(Input!BU135*$M526*((1+$S526)^VLOOKUP(CB$496-$S579+1,$N$576:$P$585,3)))),0)</f>
        <v>0</v>
      </c>
      <c r="CC579" s="484">
        <f>IFERROR(IF(Input!BV135=0,0,(Input!BV135*$M526*((1+$S526)^VLOOKUP(CC$496-$S579+1,$N$576:$P$585,3)))),0)</f>
        <v>0</v>
      </c>
      <c r="CD579" s="484">
        <f>IFERROR(IF(Input!BW135=0,0,(Input!BW135*$M526*((1+$S526)^VLOOKUP(CD$496-$S579+1,$N$576:$P$585,3)))),0)</f>
        <v>0</v>
      </c>
      <c r="CE579" s="1171"/>
      <c r="CF579" s="1171"/>
      <c r="CG579" s="1171"/>
      <c r="CH579" s="1171"/>
      <c r="CI579" s="1171"/>
    </row>
    <row r="580" spans="11:87" ht="12" customHeight="1" x14ac:dyDescent="0.35">
      <c r="K580" s="13"/>
      <c r="L580" s="70"/>
      <c r="M580" s="82">
        <v>5</v>
      </c>
      <c r="N580" s="443">
        <f t="shared" si="369"/>
        <v>49</v>
      </c>
      <c r="O580" s="443">
        <f t="shared" si="370"/>
        <v>60</v>
      </c>
      <c r="P580" s="443">
        <v>4</v>
      </c>
      <c r="Q580" s="82"/>
      <c r="R580" s="13">
        <v>29</v>
      </c>
      <c r="S580" s="13">
        <f>IF(Input!H136&lt;&gt;"",VLOOKUP(Input!$H136,Infrastructure!$D$70:$F$129,3,FALSE),0)</f>
        <v>0</v>
      </c>
      <c r="T580" s="69">
        <f t="shared" si="368"/>
        <v>0</v>
      </c>
      <c r="U580" s="725">
        <f>1+Input!L136+Input!K136</f>
        <v>1</v>
      </c>
      <c r="V580" s="84"/>
      <c r="W580" s="62">
        <f>IFERROR(IF(Input!P136=0,0,(Input!P136*$M527*((1+$S527)^VLOOKUP(W$496-$S580+1,$N$576:$P$585,3)))),0)</f>
        <v>0</v>
      </c>
      <c r="X580" s="62">
        <f>IFERROR(IF(Input!Q136=0,0,(Input!Q136*$M527*((1+$S527)^VLOOKUP(X$496-$S580+1,$N$576:$P$585,3)))),0)</f>
        <v>0</v>
      </c>
      <c r="Y580" s="62">
        <f>IFERROR(IF(Input!R136=0,0,(Input!R136*$M527*((1+$S527)^VLOOKUP(Y$496-$S580+1,$N$576:$P$585,3)))),0)</f>
        <v>0</v>
      </c>
      <c r="Z580" s="62">
        <f>IFERROR(IF(Input!S136=0,0,(Input!S136*$M527*((1+$S527)^VLOOKUP(Z$496-$S580+1,$N$576:$P$585,3)))),0)</f>
        <v>0</v>
      </c>
      <c r="AA580" s="62">
        <f>IFERROR(IF(Input!T136=0,0,(Input!T136*$M527*((1+$S527)^VLOOKUP(AA$496-$S580+1,$N$576:$P$585,3)))),0)</f>
        <v>0</v>
      </c>
      <c r="AB580" s="62">
        <f>IFERROR(IF(Input!U136=0,0,(Input!U136*$M527*((1+$S527)^VLOOKUP(AB$496-$S580+1,$N$576:$P$585,3)))),0)</f>
        <v>0</v>
      </c>
      <c r="AC580" s="62">
        <f>IFERROR(IF(Input!V136=0,0,(Input!V136*$M527*((1+$S527)^VLOOKUP(AC$496-$S580+1,$N$576:$P$585,3)))),0)</f>
        <v>0</v>
      </c>
      <c r="AD580" s="62">
        <f>IFERROR(IF(Input!W136=0,0,(Input!W136*$M527*((1+$S527)^VLOOKUP(AD$496-$S580+1,$N$576:$P$585,3)))),0)</f>
        <v>0</v>
      </c>
      <c r="AE580" s="62">
        <f>IFERROR(IF(Input!X136=0,0,(Input!X136*$M527*((1+$S527)^VLOOKUP(AE$496-$S580+1,$N$576:$P$585,3)))),0)</f>
        <v>0</v>
      </c>
      <c r="AF580" s="484">
        <f>IFERROR(IF(Input!Y136=0,0,(Input!Y136*$M527*((1+$S527)^VLOOKUP(AF$496-$S580+1,$N$576:$P$585,3)))),0)</f>
        <v>0</v>
      </c>
      <c r="AG580" s="484">
        <f>IFERROR(IF(Input!Z136=0,0,(Input!Z136*$M527*((1+$S527)^VLOOKUP(AG$496-$S580+1,$N$576:$P$585,3)))),0)</f>
        <v>0</v>
      </c>
      <c r="AH580" s="484">
        <f>IFERROR(IF(Input!AA136=0,0,(Input!AA136*$M527*((1+$S527)^VLOOKUP(AH$496-$S580+1,$N$576:$P$585,3)))),0)</f>
        <v>0</v>
      </c>
      <c r="AI580" s="484">
        <f>IFERROR(IF(Input!AB136=0,0,(Input!AB136*$M527*((1+$S527)^VLOOKUP(AI$496-$S580+1,$N$576:$P$585,3)))),0)</f>
        <v>0</v>
      </c>
      <c r="AJ580" s="484">
        <f>IFERROR(IF(Input!AC136=0,0,(Input!AC136*$M527*((1+$S527)^VLOOKUP(AJ$496-$S580+1,$N$576:$P$585,3)))),0)</f>
        <v>0</v>
      </c>
      <c r="AK580" s="484">
        <f>IFERROR(IF(Input!AD136=0,0,(Input!AD136*$M527*((1+$S527)^VLOOKUP(AK$496-$S580+1,$N$576:$P$585,3)))),0)</f>
        <v>0</v>
      </c>
      <c r="AL580" s="484">
        <f>IFERROR(IF(Input!AE136=0,0,(Input!AE136*$M527*((1+$S527)^VLOOKUP(AL$496-$S580+1,$N$576:$P$585,3)))),0)</f>
        <v>0</v>
      </c>
      <c r="AM580" s="484">
        <f>IFERROR(IF(Input!AF136=0,0,(Input!AF136*$M527*((1+$S527)^VLOOKUP(AM$496-$S580+1,$N$576:$P$585,3)))),0)</f>
        <v>0</v>
      </c>
      <c r="AN580" s="484">
        <f>IFERROR(IF(Input!AG136=0,0,(Input!AG136*$M527*((1+$S527)^VLOOKUP(AN$496-$S580+1,$N$576:$P$585,3)))),0)</f>
        <v>0</v>
      </c>
      <c r="AO580" s="484">
        <f>IFERROR(IF(Input!AH136=0,0,(Input!AH136*$M527*((1+$S527)^VLOOKUP(AO$496-$S580+1,$N$576:$P$585,3)))),0)</f>
        <v>0</v>
      </c>
      <c r="AP580" s="484">
        <f>IFERROR(IF(Input!AI136=0,0,(Input!AI136*$M527*((1+$S527)^VLOOKUP(AP$496-$S580+1,$N$576:$P$585,3)))),0)</f>
        <v>0</v>
      </c>
      <c r="AQ580" s="484">
        <f>IFERROR(IF(Input!AJ136=0,0,(Input!AJ136*$M527*((1+$S527)^VLOOKUP(AQ$496-$S580+1,$N$576:$P$585,3)))),0)</f>
        <v>0</v>
      </c>
      <c r="AR580" s="484">
        <f>IFERROR(IF(Input!AK136=0,0,(Input!AK136*$M527*((1+$S527)^VLOOKUP(AR$496-$S580+1,$N$576:$P$585,3)))),0)</f>
        <v>0</v>
      </c>
      <c r="AS580" s="484">
        <f>IFERROR(IF(Input!AL136=0,0,(Input!AL136*$M527*((1+$S527)^VLOOKUP(AS$496-$S580+1,$N$576:$P$585,3)))),0)</f>
        <v>0</v>
      </c>
      <c r="AT580" s="484">
        <f>IFERROR(IF(Input!AM136=0,0,(Input!AM136*$M527*((1+$S527)^VLOOKUP(AT$496-$S580+1,$N$576:$P$585,3)))),0)</f>
        <v>0</v>
      </c>
      <c r="AU580" s="484">
        <f>IFERROR(IF(Input!AN136=0,0,(Input!AN136*$M527*((1+$S527)^VLOOKUP(AU$496-$S580+1,$N$576:$P$585,3)))),0)</f>
        <v>0</v>
      </c>
      <c r="AV580" s="484">
        <f>IFERROR(IF(Input!AO136=0,0,(Input!AO136*$M527*((1+$S527)^VLOOKUP(AV$496-$S580+1,$N$576:$P$585,3)))),0)</f>
        <v>0</v>
      </c>
      <c r="AW580" s="484">
        <f>IFERROR(IF(Input!AP136=0,0,(Input!AP136*$M527*((1+$S527)^VLOOKUP(AW$496-$S580+1,$N$576:$P$585,3)))),0)</f>
        <v>0</v>
      </c>
      <c r="AX580" s="484">
        <f>IFERROR(IF(Input!AQ136=0,0,(Input!AQ136*$M527*((1+$S527)^VLOOKUP(AX$496-$S580+1,$N$576:$P$585,3)))),0)</f>
        <v>0</v>
      </c>
      <c r="AY580" s="484">
        <f>IFERROR(IF(Input!AR136=0,0,(Input!AR136*$M527*((1+$S527)^VLOOKUP(AY$496-$S580+1,$N$576:$P$585,3)))),0)</f>
        <v>0</v>
      </c>
      <c r="AZ580" s="484">
        <f>IFERROR(IF(Input!AS136=0,0,(Input!AS136*$M527*((1+$S527)^VLOOKUP(AZ$496-$S580+1,$N$576:$P$585,3)))),0)</f>
        <v>0</v>
      </c>
      <c r="BA580" s="484">
        <f>IFERROR(IF(Input!AT136=0,0,(Input!AT136*$M527*((1+$S527)^VLOOKUP(BA$496-$S580+1,$N$576:$P$585,3)))),0)</f>
        <v>0</v>
      </c>
      <c r="BB580" s="484">
        <f>IFERROR(IF(Input!AU136=0,0,(Input!AU136*$M527*((1+$S527)^VLOOKUP(BB$496-$S580+1,$N$576:$P$585,3)))),0)</f>
        <v>0</v>
      </c>
      <c r="BC580" s="484">
        <f>IFERROR(IF(Input!AV136=0,0,(Input!AV136*$M527*((1+$S527)^VLOOKUP(BC$496-$S580+1,$N$576:$P$585,3)))),0)</f>
        <v>0</v>
      </c>
      <c r="BD580" s="484">
        <f>IFERROR(IF(Input!AW136=0,0,(Input!AW136*$M527*((1+$S527)^VLOOKUP(BD$496-$S580+1,$N$576:$P$585,3)))),0)</f>
        <v>0</v>
      </c>
      <c r="BE580" s="484">
        <f>IFERROR(IF(Input!AX136=0,0,(Input!AX136*$M527*((1+$S527)^VLOOKUP(BE$496-$S580+1,$N$576:$P$585,3)))),0)</f>
        <v>0</v>
      </c>
      <c r="BF580" s="484">
        <f>IFERROR(IF(Input!AY136=0,0,(Input!AY136*$M527*((1+$S527)^VLOOKUP(BF$496-$S580+1,$N$576:$P$585,3)))),0)</f>
        <v>0</v>
      </c>
      <c r="BG580" s="484">
        <f>IFERROR(IF(Input!AZ136=0,0,(Input!AZ136*$M527*((1+$S527)^VLOOKUP(BG$496-$S580+1,$N$576:$P$585,3)))),0)</f>
        <v>0</v>
      </c>
      <c r="BH580" s="484">
        <f>IFERROR(IF(Input!BA136=0,0,(Input!BA136*$M527*((1+$S527)^VLOOKUP(BH$496-$S580+1,$N$576:$P$585,3)))),0)</f>
        <v>0</v>
      </c>
      <c r="BI580" s="484">
        <f>IFERROR(IF(Input!BB136=0,0,(Input!BB136*$M527*((1+$S527)^VLOOKUP(BI$496-$S580+1,$N$576:$P$585,3)))),0)</f>
        <v>0</v>
      </c>
      <c r="BJ580" s="484">
        <f>IFERROR(IF(Input!BC136=0,0,(Input!BC136*$M527*((1+$S527)^VLOOKUP(BJ$496-$S580+1,$N$576:$P$585,3)))),0)</f>
        <v>0</v>
      </c>
      <c r="BK580" s="484">
        <f>IFERROR(IF(Input!BD136=0,0,(Input!BD136*$M527*((1+$S527)^VLOOKUP(BK$496-$S580+1,$N$576:$P$585,3)))),0)</f>
        <v>0</v>
      </c>
      <c r="BL580" s="484">
        <f>IFERROR(IF(Input!BE136=0,0,(Input!BE136*$M527*((1+$S527)^VLOOKUP(BL$496-$S580+1,$N$576:$P$585,3)))),0)</f>
        <v>0</v>
      </c>
      <c r="BM580" s="484">
        <f>IFERROR(IF(Input!BF136=0,0,(Input!BF136*$M527*((1+$S527)^VLOOKUP(BM$496-$S580+1,$N$576:$P$585,3)))),0)</f>
        <v>0</v>
      </c>
      <c r="BN580" s="484">
        <f>IFERROR(IF(Input!BG136=0,0,(Input!BG136*$M527*((1+$S527)^VLOOKUP(BN$496-$S580+1,$N$576:$P$585,3)))),0)</f>
        <v>0</v>
      </c>
      <c r="BO580" s="484">
        <f>IFERROR(IF(Input!BH136=0,0,(Input!BH136*$M527*((1+$S527)^VLOOKUP(BO$496-$S580+1,$N$576:$P$585,3)))),0)</f>
        <v>0</v>
      </c>
      <c r="BP580" s="484">
        <f>IFERROR(IF(Input!BI136=0,0,(Input!BI136*$M527*((1+$S527)^VLOOKUP(BP$496-$S580+1,$N$576:$P$585,3)))),0)</f>
        <v>0</v>
      </c>
      <c r="BQ580" s="484">
        <f>IFERROR(IF(Input!BJ136=0,0,(Input!BJ136*$M527*((1+$S527)^VLOOKUP(BQ$496-$S580+1,$N$576:$P$585,3)))),0)</f>
        <v>0</v>
      </c>
      <c r="BR580" s="484">
        <f>IFERROR(IF(Input!BK136=0,0,(Input!BK136*$M527*((1+$S527)^VLOOKUP(BR$496-$S580+1,$N$576:$P$585,3)))),0)</f>
        <v>0</v>
      </c>
      <c r="BS580" s="484">
        <f>IFERROR(IF(Input!BL136=0,0,(Input!BL136*$M527*((1+$S527)^VLOOKUP(BS$496-$S580+1,$N$576:$P$585,3)))),0)</f>
        <v>0</v>
      </c>
      <c r="BT580" s="484">
        <f>IFERROR(IF(Input!BM136=0,0,(Input!BM136*$M527*((1+$S527)^VLOOKUP(BT$496-$S580+1,$N$576:$P$585,3)))),0)</f>
        <v>0</v>
      </c>
      <c r="BU580" s="484">
        <f>IFERROR(IF(Input!BN136=0,0,(Input!BN136*$M527*((1+$S527)^VLOOKUP(BU$496-$S580+1,$N$576:$P$585,3)))),0)</f>
        <v>0</v>
      </c>
      <c r="BV580" s="484">
        <f>IFERROR(IF(Input!BO136=0,0,(Input!BO136*$M527*((1+$S527)^VLOOKUP(BV$496-$S580+1,$N$576:$P$585,3)))),0)</f>
        <v>0</v>
      </c>
      <c r="BW580" s="484">
        <f>IFERROR(IF(Input!BP136=0,0,(Input!BP136*$M527*((1+$S527)^VLOOKUP(BW$496-$S580+1,$N$576:$P$585,3)))),0)</f>
        <v>0</v>
      </c>
      <c r="BX580" s="484">
        <f>IFERROR(IF(Input!BQ136=0,0,(Input!BQ136*$M527*((1+$S527)^VLOOKUP(BX$496-$S580+1,$N$576:$P$585,3)))),0)</f>
        <v>0</v>
      </c>
      <c r="BY580" s="484">
        <f>IFERROR(IF(Input!BR136=0,0,(Input!BR136*$M527*((1+$S527)^VLOOKUP(BY$496-$S580+1,$N$576:$P$585,3)))),0)</f>
        <v>0</v>
      </c>
      <c r="BZ580" s="484">
        <f>IFERROR(IF(Input!BS136=0,0,(Input!BS136*$M527*((1+$S527)^VLOOKUP(BZ$496-$S580+1,$N$576:$P$585,3)))),0)</f>
        <v>0</v>
      </c>
      <c r="CA580" s="484">
        <f>IFERROR(IF(Input!BT136=0,0,(Input!BT136*$M527*((1+$S527)^VLOOKUP(CA$496-$S580+1,$N$576:$P$585,3)))),0)</f>
        <v>0</v>
      </c>
      <c r="CB580" s="484">
        <f>IFERROR(IF(Input!BU136=0,0,(Input!BU136*$M527*((1+$S527)^VLOOKUP(CB$496-$S580+1,$N$576:$P$585,3)))),0)</f>
        <v>0</v>
      </c>
      <c r="CC580" s="484">
        <f>IFERROR(IF(Input!BV136=0,0,(Input!BV136*$M527*((1+$S527)^VLOOKUP(CC$496-$S580+1,$N$576:$P$585,3)))),0)</f>
        <v>0</v>
      </c>
      <c r="CD580" s="484">
        <f>IFERROR(IF(Input!BW136=0,0,(Input!BW136*$M527*((1+$S527)^VLOOKUP(CD$496-$S580+1,$N$576:$P$585,3)))),0)</f>
        <v>0</v>
      </c>
      <c r="CE580" s="1171"/>
      <c r="CF580" s="1171"/>
      <c r="CG580" s="1171"/>
      <c r="CH580" s="1171"/>
      <c r="CI580" s="1171"/>
    </row>
    <row r="581" spans="11:87" ht="12" customHeight="1" x14ac:dyDescent="0.35">
      <c r="K581" s="13"/>
      <c r="L581" s="70"/>
      <c r="M581" s="82">
        <v>6</v>
      </c>
      <c r="N581" s="443">
        <f t="shared" si="369"/>
        <v>61</v>
      </c>
      <c r="O581" s="443">
        <f t="shared" si="370"/>
        <v>72</v>
      </c>
      <c r="P581" s="443">
        <v>5</v>
      </c>
      <c r="Q581" s="82"/>
      <c r="R581" s="40">
        <v>30</v>
      </c>
      <c r="S581" s="13">
        <f>IF(Input!H137&lt;&gt;"",VLOOKUP(Input!$H137,Infrastructure!$D$70:$F$129,3,FALSE),0)</f>
        <v>0</v>
      </c>
      <c r="T581" s="69">
        <f t="shared" si="368"/>
        <v>0</v>
      </c>
      <c r="U581" s="725">
        <f>1+Input!L137+Input!K137</f>
        <v>1</v>
      </c>
      <c r="V581" s="84"/>
      <c r="W581" s="62">
        <f>IFERROR(IF(Input!P137=0,0,(Input!P137*$M528*((1+$S528)^VLOOKUP(W$496-$S581+1,$N$576:$P$585,3)))),0)</f>
        <v>0</v>
      </c>
      <c r="X581" s="62">
        <f>IFERROR(IF(Input!Q137=0,0,(Input!Q137*$M528*((1+$S528)^VLOOKUP(X$496-$S581+1,$N$576:$P$585,3)))),0)</f>
        <v>0</v>
      </c>
      <c r="Y581" s="62">
        <f>IFERROR(IF(Input!R137=0,0,(Input!R137*$M528*((1+$S528)^VLOOKUP(Y$496-$S581+1,$N$576:$P$585,3)))),0)</f>
        <v>0</v>
      </c>
      <c r="Z581" s="62">
        <f>IFERROR(IF(Input!S137=0,0,(Input!S137*$M528*((1+$S528)^VLOOKUP(Z$496-$S581+1,$N$576:$P$585,3)))),0)</f>
        <v>0</v>
      </c>
      <c r="AA581" s="62">
        <f>IFERROR(IF(Input!T137=0,0,(Input!T137*$M528*((1+$S528)^VLOOKUP(AA$496-$S581+1,$N$576:$P$585,3)))),0)</f>
        <v>0</v>
      </c>
      <c r="AB581" s="62">
        <f>IFERROR(IF(Input!U137=0,0,(Input!U137*$M528*((1+$S528)^VLOOKUP(AB$496-$S581+1,$N$576:$P$585,3)))),0)</f>
        <v>0</v>
      </c>
      <c r="AC581" s="62">
        <f>IFERROR(IF(Input!V137=0,0,(Input!V137*$M528*((1+$S528)^VLOOKUP(AC$496-$S581+1,$N$576:$P$585,3)))),0)</f>
        <v>0</v>
      </c>
      <c r="AD581" s="62">
        <f>IFERROR(IF(Input!W137=0,0,(Input!W137*$M528*((1+$S528)^VLOOKUP(AD$496-$S581+1,$N$576:$P$585,3)))),0)</f>
        <v>0</v>
      </c>
      <c r="AE581" s="62">
        <f>IFERROR(IF(Input!X137=0,0,(Input!X137*$M528*((1+$S528)^VLOOKUP(AE$496-$S581+1,$N$576:$P$585,3)))),0)</f>
        <v>0</v>
      </c>
      <c r="AF581" s="484">
        <f>IFERROR(IF(Input!Y137=0,0,(Input!Y137*$M528*((1+$S528)^VLOOKUP(AF$496-$S581+1,$N$576:$P$585,3)))),0)</f>
        <v>0</v>
      </c>
      <c r="AG581" s="484">
        <f>IFERROR(IF(Input!Z137=0,0,(Input!Z137*$M528*((1+$S528)^VLOOKUP(AG$496-$S581+1,$N$576:$P$585,3)))),0)</f>
        <v>0</v>
      </c>
      <c r="AH581" s="484">
        <f>IFERROR(IF(Input!AA137=0,0,(Input!AA137*$M528*((1+$S528)^VLOOKUP(AH$496-$S581+1,$N$576:$P$585,3)))),0)</f>
        <v>0</v>
      </c>
      <c r="AI581" s="484">
        <f>IFERROR(IF(Input!AB137=0,0,(Input!AB137*$M528*((1+$S528)^VLOOKUP(AI$496-$S581+1,$N$576:$P$585,3)))),0)</f>
        <v>0</v>
      </c>
      <c r="AJ581" s="484">
        <f>IFERROR(IF(Input!AC137=0,0,(Input!AC137*$M528*((1+$S528)^VLOOKUP(AJ$496-$S581+1,$N$576:$P$585,3)))),0)</f>
        <v>0</v>
      </c>
      <c r="AK581" s="484">
        <f>IFERROR(IF(Input!AD137=0,0,(Input!AD137*$M528*((1+$S528)^VLOOKUP(AK$496-$S581+1,$N$576:$P$585,3)))),0)</f>
        <v>0</v>
      </c>
      <c r="AL581" s="484">
        <f>IFERROR(IF(Input!AE137=0,0,(Input!AE137*$M528*((1+$S528)^VLOOKUP(AL$496-$S581+1,$N$576:$P$585,3)))),0)</f>
        <v>0</v>
      </c>
      <c r="AM581" s="484">
        <f>IFERROR(IF(Input!AF137=0,0,(Input!AF137*$M528*((1+$S528)^VLOOKUP(AM$496-$S581+1,$N$576:$P$585,3)))),0)</f>
        <v>0</v>
      </c>
      <c r="AN581" s="484">
        <f>IFERROR(IF(Input!AG137=0,0,(Input!AG137*$M528*((1+$S528)^VLOOKUP(AN$496-$S581+1,$N$576:$P$585,3)))),0)</f>
        <v>0</v>
      </c>
      <c r="AO581" s="484">
        <f>IFERROR(IF(Input!AH137=0,0,(Input!AH137*$M528*((1+$S528)^VLOOKUP(AO$496-$S581+1,$N$576:$P$585,3)))),0)</f>
        <v>0</v>
      </c>
      <c r="AP581" s="484">
        <f>IFERROR(IF(Input!AI137=0,0,(Input!AI137*$M528*((1+$S528)^VLOOKUP(AP$496-$S581+1,$N$576:$P$585,3)))),0)</f>
        <v>0</v>
      </c>
      <c r="AQ581" s="484">
        <f>IFERROR(IF(Input!AJ137=0,0,(Input!AJ137*$M528*((1+$S528)^VLOOKUP(AQ$496-$S581+1,$N$576:$P$585,3)))),0)</f>
        <v>0</v>
      </c>
      <c r="AR581" s="484">
        <f>IFERROR(IF(Input!AK137=0,0,(Input!AK137*$M528*((1+$S528)^VLOOKUP(AR$496-$S581+1,$N$576:$P$585,3)))),0)</f>
        <v>0</v>
      </c>
      <c r="AS581" s="484">
        <f>IFERROR(IF(Input!AL137=0,0,(Input!AL137*$M528*((1+$S528)^VLOOKUP(AS$496-$S581+1,$N$576:$P$585,3)))),0)</f>
        <v>0</v>
      </c>
      <c r="AT581" s="484">
        <f>IFERROR(IF(Input!AM137=0,0,(Input!AM137*$M528*((1+$S528)^VLOOKUP(AT$496-$S581+1,$N$576:$P$585,3)))),0)</f>
        <v>0</v>
      </c>
      <c r="AU581" s="484">
        <f>IFERROR(IF(Input!AN137=0,0,(Input!AN137*$M528*((1+$S528)^VLOOKUP(AU$496-$S581+1,$N$576:$P$585,3)))),0)</f>
        <v>0</v>
      </c>
      <c r="AV581" s="484">
        <f>IFERROR(IF(Input!AO137=0,0,(Input!AO137*$M528*((1+$S528)^VLOOKUP(AV$496-$S581+1,$N$576:$P$585,3)))),0)</f>
        <v>0</v>
      </c>
      <c r="AW581" s="484">
        <f>IFERROR(IF(Input!AP137=0,0,(Input!AP137*$M528*((1+$S528)^VLOOKUP(AW$496-$S581+1,$N$576:$P$585,3)))),0)</f>
        <v>0</v>
      </c>
      <c r="AX581" s="484">
        <f>IFERROR(IF(Input!AQ137=0,0,(Input!AQ137*$M528*((1+$S528)^VLOOKUP(AX$496-$S581+1,$N$576:$P$585,3)))),0)</f>
        <v>0</v>
      </c>
      <c r="AY581" s="484">
        <f>IFERROR(IF(Input!AR137=0,0,(Input!AR137*$M528*((1+$S528)^VLOOKUP(AY$496-$S581+1,$N$576:$P$585,3)))),0)</f>
        <v>0</v>
      </c>
      <c r="AZ581" s="484">
        <f>IFERROR(IF(Input!AS137=0,0,(Input!AS137*$M528*((1+$S528)^VLOOKUP(AZ$496-$S581+1,$N$576:$P$585,3)))),0)</f>
        <v>0</v>
      </c>
      <c r="BA581" s="484">
        <f>IFERROR(IF(Input!AT137=0,0,(Input!AT137*$M528*((1+$S528)^VLOOKUP(BA$496-$S581+1,$N$576:$P$585,3)))),0)</f>
        <v>0</v>
      </c>
      <c r="BB581" s="484">
        <f>IFERROR(IF(Input!AU137=0,0,(Input!AU137*$M528*((1+$S528)^VLOOKUP(BB$496-$S581+1,$N$576:$P$585,3)))),0)</f>
        <v>0</v>
      </c>
      <c r="BC581" s="484">
        <f>IFERROR(IF(Input!AV137=0,0,(Input!AV137*$M528*((1+$S528)^VLOOKUP(BC$496-$S581+1,$N$576:$P$585,3)))),0)</f>
        <v>0</v>
      </c>
      <c r="BD581" s="484">
        <f>IFERROR(IF(Input!AW137=0,0,(Input!AW137*$M528*((1+$S528)^VLOOKUP(BD$496-$S581+1,$N$576:$P$585,3)))),0)</f>
        <v>0</v>
      </c>
      <c r="BE581" s="484">
        <f>IFERROR(IF(Input!AX137=0,0,(Input!AX137*$M528*((1+$S528)^VLOOKUP(BE$496-$S581+1,$N$576:$P$585,3)))),0)</f>
        <v>0</v>
      </c>
      <c r="BF581" s="484">
        <f>IFERROR(IF(Input!AY137=0,0,(Input!AY137*$M528*((1+$S528)^VLOOKUP(BF$496-$S581+1,$N$576:$P$585,3)))),0)</f>
        <v>0</v>
      </c>
      <c r="BG581" s="484">
        <f>IFERROR(IF(Input!AZ137=0,0,(Input!AZ137*$M528*((1+$S528)^VLOOKUP(BG$496-$S581+1,$N$576:$P$585,3)))),0)</f>
        <v>0</v>
      </c>
      <c r="BH581" s="484">
        <f>IFERROR(IF(Input!BA137=0,0,(Input!BA137*$M528*((1+$S528)^VLOOKUP(BH$496-$S581+1,$N$576:$P$585,3)))),0)</f>
        <v>0</v>
      </c>
      <c r="BI581" s="484">
        <f>IFERROR(IF(Input!BB137=0,0,(Input!BB137*$M528*((1+$S528)^VLOOKUP(BI$496-$S581+1,$N$576:$P$585,3)))),0)</f>
        <v>0</v>
      </c>
      <c r="BJ581" s="484">
        <f>IFERROR(IF(Input!BC137=0,0,(Input!BC137*$M528*((1+$S528)^VLOOKUP(BJ$496-$S581+1,$N$576:$P$585,3)))),0)</f>
        <v>0</v>
      </c>
      <c r="BK581" s="484">
        <f>IFERROR(IF(Input!BD137=0,0,(Input!BD137*$M528*((1+$S528)^VLOOKUP(BK$496-$S581+1,$N$576:$P$585,3)))),0)</f>
        <v>0</v>
      </c>
      <c r="BL581" s="484">
        <f>IFERROR(IF(Input!BE137=0,0,(Input!BE137*$M528*((1+$S528)^VLOOKUP(BL$496-$S581+1,$N$576:$P$585,3)))),0)</f>
        <v>0</v>
      </c>
      <c r="BM581" s="484">
        <f>IFERROR(IF(Input!BF137=0,0,(Input!BF137*$M528*((1+$S528)^VLOOKUP(BM$496-$S581+1,$N$576:$P$585,3)))),0)</f>
        <v>0</v>
      </c>
      <c r="BN581" s="484">
        <f>IFERROR(IF(Input!BG137=0,0,(Input!BG137*$M528*((1+$S528)^VLOOKUP(BN$496-$S581+1,$N$576:$P$585,3)))),0)</f>
        <v>0</v>
      </c>
      <c r="BO581" s="484">
        <f>IFERROR(IF(Input!BH137=0,0,(Input!BH137*$M528*((1+$S528)^VLOOKUP(BO$496-$S581+1,$N$576:$P$585,3)))),0)</f>
        <v>0</v>
      </c>
      <c r="BP581" s="484">
        <f>IFERROR(IF(Input!BI137=0,0,(Input!BI137*$M528*((1+$S528)^VLOOKUP(BP$496-$S581+1,$N$576:$P$585,3)))),0)</f>
        <v>0</v>
      </c>
      <c r="BQ581" s="484">
        <f>IFERROR(IF(Input!BJ137=0,0,(Input!BJ137*$M528*((1+$S528)^VLOOKUP(BQ$496-$S581+1,$N$576:$P$585,3)))),0)</f>
        <v>0</v>
      </c>
      <c r="BR581" s="484">
        <f>IFERROR(IF(Input!BK137=0,0,(Input!BK137*$M528*((1+$S528)^VLOOKUP(BR$496-$S581+1,$N$576:$P$585,3)))),0)</f>
        <v>0</v>
      </c>
      <c r="BS581" s="484">
        <f>IFERROR(IF(Input!BL137=0,0,(Input!BL137*$M528*((1+$S528)^VLOOKUP(BS$496-$S581+1,$N$576:$P$585,3)))),0)</f>
        <v>0</v>
      </c>
      <c r="BT581" s="484">
        <f>IFERROR(IF(Input!BM137=0,0,(Input!BM137*$M528*((1+$S528)^VLOOKUP(BT$496-$S581+1,$N$576:$P$585,3)))),0)</f>
        <v>0</v>
      </c>
      <c r="BU581" s="484">
        <f>IFERROR(IF(Input!BN137=0,0,(Input!BN137*$M528*((1+$S528)^VLOOKUP(BU$496-$S581+1,$N$576:$P$585,3)))),0)</f>
        <v>0</v>
      </c>
      <c r="BV581" s="484">
        <f>IFERROR(IF(Input!BO137=0,0,(Input!BO137*$M528*((1+$S528)^VLOOKUP(BV$496-$S581+1,$N$576:$P$585,3)))),0)</f>
        <v>0</v>
      </c>
      <c r="BW581" s="484">
        <f>IFERROR(IF(Input!BP137=0,0,(Input!BP137*$M528*((1+$S528)^VLOOKUP(BW$496-$S581+1,$N$576:$P$585,3)))),0)</f>
        <v>0</v>
      </c>
      <c r="BX581" s="484">
        <f>IFERROR(IF(Input!BQ137=0,0,(Input!BQ137*$M528*((1+$S528)^VLOOKUP(BX$496-$S581+1,$N$576:$P$585,3)))),0)</f>
        <v>0</v>
      </c>
      <c r="BY581" s="484">
        <f>IFERROR(IF(Input!BR137=0,0,(Input!BR137*$M528*((1+$S528)^VLOOKUP(BY$496-$S581+1,$N$576:$P$585,3)))),0)</f>
        <v>0</v>
      </c>
      <c r="BZ581" s="484">
        <f>IFERROR(IF(Input!BS137=0,0,(Input!BS137*$M528*((1+$S528)^VLOOKUP(BZ$496-$S581+1,$N$576:$P$585,3)))),0)</f>
        <v>0</v>
      </c>
      <c r="CA581" s="484">
        <f>IFERROR(IF(Input!BT137=0,0,(Input!BT137*$M528*((1+$S528)^VLOOKUP(CA$496-$S581+1,$N$576:$P$585,3)))),0)</f>
        <v>0</v>
      </c>
      <c r="CB581" s="484">
        <f>IFERROR(IF(Input!BU137=0,0,(Input!BU137*$M528*((1+$S528)^VLOOKUP(CB$496-$S581+1,$N$576:$P$585,3)))),0)</f>
        <v>0</v>
      </c>
      <c r="CC581" s="484">
        <f>IFERROR(IF(Input!BV137=0,0,(Input!BV137*$M528*((1+$S528)^VLOOKUP(CC$496-$S581+1,$N$576:$P$585,3)))),0)</f>
        <v>0</v>
      </c>
      <c r="CD581" s="484">
        <f>IFERROR(IF(Input!BW137=0,0,(Input!BW137*$M528*((1+$S528)^VLOOKUP(CD$496-$S581+1,$N$576:$P$585,3)))),0)</f>
        <v>0</v>
      </c>
      <c r="CE581" s="1171"/>
      <c r="CF581" s="1171"/>
      <c r="CG581" s="1171"/>
      <c r="CH581" s="1171"/>
      <c r="CI581" s="1171"/>
    </row>
    <row r="582" spans="11:87" ht="12" customHeight="1" x14ac:dyDescent="0.35">
      <c r="K582" s="13"/>
      <c r="L582" s="70"/>
      <c r="M582" s="82">
        <v>7</v>
      </c>
      <c r="N582" s="443">
        <f t="shared" si="369"/>
        <v>73</v>
      </c>
      <c r="O582" s="443">
        <f t="shared" si="370"/>
        <v>84</v>
      </c>
      <c r="P582" s="443">
        <v>6</v>
      </c>
      <c r="Q582" s="82"/>
      <c r="R582" s="13">
        <v>31</v>
      </c>
      <c r="S582" s="13">
        <f>IF(Input!H138&lt;&gt;"",VLOOKUP(Input!$H138,Infrastructure!$D$70:$F$129,3,FALSE),0)</f>
        <v>0</v>
      </c>
      <c r="T582" s="69">
        <f t="shared" si="368"/>
        <v>0</v>
      </c>
      <c r="U582" s="725">
        <f>1+Input!L138+Input!K138</f>
        <v>1</v>
      </c>
      <c r="V582" s="84"/>
      <c r="W582" s="62">
        <f>IFERROR(IF(Input!P138=0,0,(Input!P138*$M529*((1+$S529)^VLOOKUP(W$496-$S582+1,$N$576:$P$585,3)))),0)</f>
        <v>0</v>
      </c>
      <c r="X582" s="62">
        <f>IFERROR(IF(Input!Q138=0,0,(Input!Q138*$M529*((1+$S529)^VLOOKUP(X$496-$S582+1,$N$576:$P$585,3)))),0)</f>
        <v>0</v>
      </c>
      <c r="Y582" s="62">
        <f>IFERROR(IF(Input!R138=0,0,(Input!R138*$M529*((1+$S529)^VLOOKUP(Y$496-$S582+1,$N$576:$P$585,3)))),0)</f>
        <v>0</v>
      </c>
      <c r="Z582" s="62">
        <f>IFERROR(IF(Input!S138=0,0,(Input!S138*$M529*((1+$S529)^VLOOKUP(Z$496-$S582+1,$N$576:$P$585,3)))),0)</f>
        <v>0</v>
      </c>
      <c r="AA582" s="62">
        <f>IFERROR(IF(Input!T138=0,0,(Input!T138*$M529*((1+$S529)^VLOOKUP(AA$496-$S582+1,$N$576:$P$585,3)))),0)</f>
        <v>0</v>
      </c>
      <c r="AB582" s="62">
        <f>IFERROR(IF(Input!U138=0,0,(Input!U138*$M529*((1+$S529)^VLOOKUP(AB$496-$S582+1,$N$576:$P$585,3)))),0)</f>
        <v>0</v>
      </c>
      <c r="AC582" s="62">
        <f>IFERROR(IF(Input!V138=0,0,(Input!V138*$M529*((1+$S529)^VLOOKUP(AC$496-$S582+1,$N$576:$P$585,3)))),0)</f>
        <v>0</v>
      </c>
      <c r="AD582" s="62">
        <f>IFERROR(IF(Input!W138=0,0,(Input!W138*$M529*((1+$S529)^VLOOKUP(AD$496-$S582+1,$N$576:$P$585,3)))),0)</f>
        <v>0</v>
      </c>
      <c r="AE582" s="62">
        <f>IFERROR(IF(Input!X138=0,0,(Input!X138*$M529*((1+$S529)^VLOOKUP(AE$496-$S582+1,$N$576:$P$585,3)))),0)</f>
        <v>0</v>
      </c>
      <c r="AF582" s="484">
        <f>IFERROR(IF(Input!Y138=0,0,(Input!Y138*$M529*((1+$S529)^VLOOKUP(AF$496-$S582+1,$N$576:$P$585,3)))),0)</f>
        <v>0</v>
      </c>
      <c r="AG582" s="484">
        <f>IFERROR(IF(Input!Z138=0,0,(Input!Z138*$M529*((1+$S529)^VLOOKUP(AG$496-$S582+1,$N$576:$P$585,3)))),0)</f>
        <v>0</v>
      </c>
      <c r="AH582" s="484">
        <f>IFERROR(IF(Input!AA138=0,0,(Input!AA138*$M529*((1+$S529)^VLOOKUP(AH$496-$S582+1,$N$576:$P$585,3)))),0)</f>
        <v>0</v>
      </c>
      <c r="AI582" s="484">
        <f>IFERROR(IF(Input!AB138=0,0,(Input!AB138*$M529*((1+$S529)^VLOOKUP(AI$496-$S582+1,$N$576:$P$585,3)))),0)</f>
        <v>0</v>
      </c>
      <c r="AJ582" s="484">
        <f>IFERROR(IF(Input!AC138=0,0,(Input!AC138*$M529*((1+$S529)^VLOOKUP(AJ$496-$S582+1,$N$576:$P$585,3)))),0)</f>
        <v>0</v>
      </c>
      <c r="AK582" s="484">
        <f>IFERROR(IF(Input!AD138=0,0,(Input!AD138*$M529*((1+$S529)^VLOOKUP(AK$496-$S582+1,$N$576:$P$585,3)))),0)</f>
        <v>0</v>
      </c>
      <c r="AL582" s="484">
        <f>IFERROR(IF(Input!AE138=0,0,(Input!AE138*$M529*((1+$S529)^VLOOKUP(AL$496-$S582+1,$N$576:$P$585,3)))),0)</f>
        <v>0</v>
      </c>
      <c r="AM582" s="484">
        <f>IFERROR(IF(Input!AF138=0,0,(Input!AF138*$M529*((1+$S529)^VLOOKUP(AM$496-$S582+1,$N$576:$P$585,3)))),0)</f>
        <v>0</v>
      </c>
      <c r="AN582" s="484">
        <f>IFERROR(IF(Input!AG138=0,0,(Input!AG138*$M529*((1+$S529)^VLOOKUP(AN$496-$S582+1,$N$576:$P$585,3)))),0)</f>
        <v>0</v>
      </c>
      <c r="AO582" s="484">
        <f>IFERROR(IF(Input!AH138=0,0,(Input!AH138*$M529*((1+$S529)^VLOOKUP(AO$496-$S582+1,$N$576:$P$585,3)))),0)</f>
        <v>0</v>
      </c>
      <c r="AP582" s="484">
        <f>IFERROR(IF(Input!AI138=0,0,(Input!AI138*$M529*((1+$S529)^VLOOKUP(AP$496-$S582+1,$N$576:$P$585,3)))),0)</f>
        <v>0</v>
      </c>
      <c r="AQ582" s="484">
        <f>IFERROR(IF(Input!AJ138=0,0,(Input!AJ138*$M529*((1+$S529)^VLOOKUP(AQ$496-$S582+1,$N$576:$P$585,3)))),0)</f>
        <v>0</v>
      </c>
      <c r="AR582" s="484">
        <f>IFERROR(IF(Input!AK138=0,0,(Input!AK138*$M529*((1+$S529)^VLOOKUP(AR$496-$S582+1,$N$576:$P$585,3)))),0)</f>
        <v>0</v>
      </c>
      <c r="AS582" s="484">
        <f>IFERROR(IF(Input!AL138=0,0,(Input!AL138*$M529*((1+$S529)^VLOOKUP(AS$496-$S582+1,$N$576:$P$585,3)))),0)</f>
        <v>0</v>
      </c>
      <c r="AT582" s="484">
        <f>IFERROR(IF(Input!AM138=0,0,(Input!AM138*$M529*((1+$S529)^VLOOKUP(AT$496-$S582+1,$N$576:$P$585,3)))),0)</f>
        <v>0</v>
      </c>
      <c r="AU582" s="484">
        <f>IFERROR(IF(Input!AN138=0,0,(Input!AN138*$M529*((1+$S529)^VLOOKUP(AU$496-$S582+1,$N$576:$P$585,3)))),0)</f>
        <v>0</v>
      </c>
      <c r="AV582" s="484">
        <f>IFERROR(IF(Input!AO138=0,0,(Input!AO138*$M529*((1+$S529)^VLOOKUP(AV$496-$S582+1,$N$576:$P$585,3)))),0)</f>
        <v>0</v>
      </c>
      <c r="AW582" s="484">
        <f>IFERROR(IF(Input!AP138=0,0,(Input!AP138*$M529*((1+$S529)^VLOOKUP(AW$496-$S582+1,$N$576:$P$585,3)))),0)</f>
        <v>0</v>
      </c>
      <c r="AX582" s="484">
        <f>IFERROR(IF(Input!AQ138=0,0,(Input!AQ138*$M529*((1+$S529)^VLOOKUP(AX$496-$S582+1,$N$576:$P$585,3)))),0)</f>
        <v>0</v>
      </c>
      <c r="AY582" s="484">
        <f>IFERROR(IF(Input!AR138=0,0,(Input!AR138*$M529*((1+$S529)^VLOOKUP(AY$496-$S582+1,$N$576:$P$585,3)))),0)</f>
        <v>0</v>
      </c>
      <c r="AZ582" s="484">
        <f>IFERROR(IF(Input!AS138=0,0,(Input!AS138*$M529*((1+$S529)^VLOOKUP(AZ$496-$S582+1,$N$576:$P$585,3)))),0)</f>
        <v>0</v>
      </c>
      <c r="BA582" s="484">
        <f>IFERROR(IF(Input!AT138=0,0,(Input!AT138*$M529*((1+$S529)^VLOOKUP(BA$496-$S582+1,$N$576:$P$585,3)))),0)</f>
        <v>0</v>
      </c>
      <c r="BB582" s="484">
        <f>IFERROR(IF(Input!AU138=0,0,(Input!AU138*$M529*((1+$S529)^VLOOKUP(BB$496-$S582+1,$N$576:$P$585,3)))),0)</f>
        <v>0</v>
      </c>
      <c r="BC582" s="484">
        <f>IFERROR(IF(Input!AV138=0,0,(Input!AV138*$M529*((1+$S529)^VLOOKUP(BC$496-$S582+1,$N$576:$P$585,3)))),0)</f>
        <v>0</v>
      </c>
      <c r="BD582" s="484">
        <f>IFERROR(IF(Input!AW138=0,0,(Input!AW138*$M529*((1+$S529)^VLOOKUP(BD$496-$S582+1,$N$576:$P$585,3)))),0)</f>
        <v>0</v>
      </c>
      <c r="BE582" s="484">
        <f>IFERROR(IF(Input!AX138=0,0,(Input!AX138*$M529*((1+$S529)^VLOOKUP(BE$496-$S582+1,$N$576:$P$585,3)))),0)</f>
        <v>0</v>
      </c>
      <c r="BF582" s="484">
        <f>IFERROR(IF(Input!AY138=0,0,(Input!AY138*$M529*((1+$S529)^VLOOKUP(BF$496-$S582+1,$N$576:$P$585,3)))),0)</f>
        <v>0</v>
      </c>
      <c r="BG582" s="484">
        <f>IFERROR(IF(Input!AZ138=0,0,(Input!AZ138*$M529*((1+$S529)^VLOOKUP(BG$496-$S582+1,$N$576:$P$585,3)))),0)</f>
        <v>0</v>
      </c>
      <c r="BH582" s="484">
        <f>IFERROR(IF(Input!BA138=0,0,(Input!BA138*$M529*((1+$S529)^VLOOKUP(BH$496-$S582+1,$N$576:$P$585,3)))),0)</f>
        <v>0</v>
      </c>
      <c r="BI582" s="484">
        <f>IFERROR(IF(Input!BB138=0,0,(Input!BB138*$M529*((1+$S529)^VLOOKUP(BI$496-$S582+1,$N$576:$P$585,3)))),0)</f>
        <v>0</v>
      </c>
      <c r="BJ582" s="484">
        <f>IFERROR(IF(Input!BC138=0,0,(Input!BC138*$M529*((1+$S529)^VLOOKUP(BJ$496-$S582+1,$N$576:$P$585,3)))),0)</f>
        <v>0</v>
      </c>
      <c r="BK582" s="484">
        <f>IFERROR(IF(Input!BD138=0,0,(Input!BD138*$M529*((1+$S529)^VLOOKUP(BK$496-$S582+1,$N$576:$P$585,3)))),0)</f>
        <v>0</v>
      </c>
      <c r="BL582" s="484">
        <f>IFERROR(IF(Input!BE138=0,0,(Input!BE138*$M529*((1+$S529)^VLOOKUP(BL$496-$S582+1,$N$576:$P$585,3)))),0)</f>
        <v>0</v>
      </c>
      <c r="BM582" s="484">
        <f>IFERROR(IF(Input!BF138=0,0,(Input!BF138*$M529*((1+$S529)^VLOOKUP(BM$496-$S582+1,$N$576:$P$585,3)))),0)</f>
        <v>0</v>
      </c>
      <c r="BN582" s="484">
        <f>IFERROR(IF(Input!BG138=0,0,(Input!BG138*$M529*((1+$S529)^VLOOKUP(BN$496-$S582+1,$N$576:$P$585,3)))),0)</f>
        <v>0</v>
      </c>
      <c r="BO582" s="484">
        <f>IFERROR(IF(Input!BH138=0,0,(Input!BH138*$M529*((1+$S529)^VLOOKUP(BO$496-$S582+1,$N$576:$P$585,3)))),0)</f>
        <v>0</v>
      </c>
      <c r="BP582" s="484">
        <f>IFERROR(IF(Input!BI138=0,0,(Input!BI138*$M529*((1+$S529)^VLOOKUP(BP$496-$S582+1,$N$576:$P$585,3)))),0)</f>
        <v>0</v>
      </c>
      <c r="BQ582" s="484">
        <f>IFERROR(IF(Input!BJ138=0,0,(Input!BJ138*$M529*((1+$S529)^VLOOKUP(BQ$496-$S582+1,$N$576:$P$585,3)))),0)</f>
        <v>0</v>
      </c>
      <c r="BR582" s="484">
        <f>IFERROR(IF(Input!BK138=0,0,(Input!BK138*$M529*((1+$S529)^VLOOKUP(BR$496-$S582+1,$N$576:$P$585,3)))),0)</f>
        <v>0</v>
      </c>
      <c r="BS582" s="484">
        <f>IFERROR(IF(Input!BL138=0,0,(Input!BL138*$M529*((1+$S529)^VLOOKUP(BS$496-$S582+1,$N$576:$P$585,3)))),0)</f>
        <v>0</v>
      </c>
      <c r="BT582" s="484">
        <f>IFERROR(IF(Input!BM138=0,0,(Input!BM138*$M529*((1+$S529)^VLOOKUP(BT$496-$S582+1,$N$576:$P$585,3)))),0)</f>
        <v>0</v>
      </c>
      <c r="BU582" s="484">
        <f>IFERROR(IF(Input!BN138=0,0,(Input!BN138*$M529*((1+$S529)^VLOOKUP(BU$496-$S582+1,$N$576:$P$585,3)))),0)</f>
        <v>0</v>
      </c>
      <c r="BV582" s="484">
        <f>IFERROR(IF(Input!BO138=0,0,(Input!BO138*$M529*((1+$S529)^VLOOKUP(BV$496-$S582+1,$N$576:$P$585,3)))),0)</f>
        <v>0</v>
      </c>
      <c r="BW582" s="484">
        <f>IFERROR(IF(Input!BP138=0,0,(Input!BP138*$M529*((1+$S529)^VLOOKUP(BW$496-$S582+1,$N$576:$P$585,3)))),0)</f>
        <v>0</v>
      </c>
      <c r="BX582" s="484">
        <f>IFERROR(IF(Input!BQ138=0,0,(Input!BQ138*$M529*((1+$S529)^VLOOKUP(BX$496-$S582+1,$N$576:$P$585,3)))),0)</f>
        <v>0</v>
      </c>
      <c r="BY582" s="484">
        <f>IFERROR(IF(Input!BR138=0,0,(Input!BR138*$M529*((1+$S529)^VLOOKUP(BY$496-$S582+1,$N$576:$P$585,3)))),0)</f>
        <v>0</v>
      </c>
      <c r="BZ582" s="484">
        <f>IFERROR(IF(Input!BS138=0,0,(Input!BS138*$M529*((1+$S529)^VLOOKUP(BZ$496-$S582+1,$N$576:$P$585,3)))),0)</f>
        <v>0</v>
      </c>
      <c r="CA582" s="484">
        <f>IFERROR(IF(Input!BT138=0,0,(Input!BT138*$M529*((1+$S529)^VLOOKUP(CA$496-$S582+1,$N$576:$P$585,3)))),0)</f>
        <v>0</v>
      </c>
      <c r="CB582" s="484">
        <f>IFERROR(IF(Input!BU138=0,0,(Input!BU138*$M529*((1+$S529)^VLOOKUP(CB$496-$S582+1,$N$576:$P$585,3)))),0)</f>
        <v>0</v>
      </c>
      <c r="CC582" s="484">
        <f>IFERROR(IF(Input!BV138=0,0,(Input!BV138*$M529*((1+$S529)^VLOOKUP(CC$496-$S582+1,$N$576:$P$585,3)))),0)</f>
        <v>0</v>
      </c>
      <c r="CD582" s="484">
        <f>IFERROR(IF(Input!BW138=0,0,(Input!BW138*$M529*((1+$S529)^VLOOKUP(CD$496-$S582+1,$N$576:$P$585,3)))),0)</f>
        <v>0</v>
      </c>
      <c r="CE582" s="1183"/>
      <c r="CF582" s="1183"/>
      <c r="CG582" s="1183"/>
      <c r="CH582" s="1183"/>
      <c r="CI582" s="1183"/>
    </row>
    <row r="583" spans="11:87" ht="12" customHeight="1" x14ac:dyDescent="0.35">
      <c r="K583" s="13"/>
      <c r="L583" s="70"/>
      <c r="M583" s="82">
        <v>8</v>
      </c>
      <c r="N583" s="443">
        <f t="shared" si="369"/>
        <v>85</v>
      </c>
      <c r="O583" s="443">
        <f t="shared" si="370"/>
        <v>96</v>
      </c>
      <c r="P583" s="443">
        <v>7</v>
      </c>
      <c r="Q583" s="82"/>
      <c r="R583" s="13">
        <v>32</v>
      </c>
      <c r="S583" s="13">
        <f>IF(Input!H139&lt;&gt;"",VLOOKUP(Input!$H139,Infrastructure!$D$70:$F$129,3,FALSE),0)</f>
        <v>0</v>
      </c>
      <c r="T583" s="69">
        <f t="shared" si="368"/>
        <v>0</v>
      </c>
      <c r="U583" s="725">
        <f>1+Input!L139+Input!K139</f>
        <v>1</v>
      </c>
      <c r="V583" s="84"/>
      <c r="W583" s="62">
        <f>IFERROR(IF(Input!P139=0,0,(Input!P139*$M530*((1+$S530)^VLOOKUP(W$496-$S583+1,$N$576:$P$585,3)))),0)</f>
        <v>0</v>
      </c>
      <c r="X583" s="62">
        <f>IFERROR(IF(Input!Q139=0,0,(Input!Q139*$M530*((1+$S530)^VLOOKUP(X$496-$S583+1,$N$576:$P$585,3)))),0)</f>
        <v>0</v>
      </c>
      <c r="Y583" s="62">
        <f>IFERROR(IF(Input!R139=0,0,(Input!R139*$M530*((1+$S530)^VLOOKUP(Y$496-$S583+1,$N$576:$P$585,3)))),0)</f>
        <v>0</v>
      </c>
      <c r="Z583" s="62">
        <f>IFERROR(IF(Input!S139=0,0,(Input!S139*$M530*((1+$S530)^VLOOKUP(Z$496-$S583+1,$N$576:$P$585,3)))),0)</f>
        <v>0</v>
      </c>
      <c r="AA583" s="62">
        <f>IFERROR(IF(Input!T139=0,0,(Input!T139*$M530*((1+$S530)^VLOOKUP(AA$496-$S583+1,$N$576:$P$585,3)))),0)</f>
        <v>0</v>
      </c>
      <c r="AB583" s="62">
        <f>IFERROR(IF(Input!U139=0,0,(Input!U139*$M530*((1+$S530)^VLOOKUP(AB$496-$S583+1,$N$576:$P$585,3)))),0)</f>
        <v>0</v>
      </c>
      <c r="AC583" s="62">
        <f>IFERROR(IF(Input!V139=0,0,(Input!V139*$M530*((1+$S530)^VLOOKUP(AC$496-$S583+1,$N$576:$P$585,3)))),0)</f>
        <v>0</v>
      </c>
      <c r="AD583" s="62">
        <f>IFERROR(IF(Input!W139=0,0,(Input!W139*$M530*((1+$S530)^VLOOKUP(AD$496-$S583+1,$N$576:$P$585,3)))),0)</f>
        <v>0</v>
      </c>
      <c r="AE583" s="62">
        <f>IFERROR(IF(Input!X139=0,0,(Input!X139*$M530*((1+$S530)^VLOOKUP(AE$496-$S583+1,$N$576:$P$585,3)))),0)</f>
        <v>0</v>
      </c>
      <c r="AF583" s="484">
        <f>IFERROR(IF(Input!Y139=0,0,(Input!Y139*$M530*((1+$S530)^VLOOKUP(AF$496-$S583+1,$N$576:$P$585,3)))),0)</f>
        <v>0</v>
      </c>
      <c r="AG583" s="484">
        <f>IFERROR(IF(Input!Z139=0,0,(Input!Z139*$M530*((1+$S530)^VLOOKUP(AG$496-$S583+1,$N$576:$P$585,3)))),0)</f>
        <v>0</v>
      </c>
      <c r="AH583" s="484">
        <f>IFERROR(IF(Input!AA139=0,0,(Input!AA139*$M530*((1+$S530)^VLOOKUP(AH$496-$S583+1,$N$576:$P$585,3)))),0)</f>
        <v>0</v>
      </c>
      <c r="AI583" s="484">
        <f>IFERROR(IF(Input!AB139=0,0,(Input!AB139*$M530*((1+$S530)^VLOOKUP(AI$496-$S583+1,$N$576:$P$585,3)))),0)</f>
        <v>0</v>
      </c>
      <c r="AJ583" s="484">
        <f>IFERROR(IF(Input!AC139=0,0,(Input!AC139*$M530*((1+$S530)^VLOOKUP(AJ$496-$S583+1,$N$576:$P$585,3)))),0)</f>
        <v>0</v>
      </c>
      <c r="AK583" s="484">
        <f>IFERROR(IF(Input!AD139=0,0,(Input!AD139*$M530*((1+$S530)^VLOOKUP(AK$496-$S583+1,$N$576:$P$585,3)))),0)</f>
        <v>0</v>
      </c>
      <c r="AL583" s="484">
        <f>IFERROR(IF(Input!AE139=0,0,(Input!AE139*$M530*((1+$S530)^VLOOKUP(AL$496-$S583+1,$N$576:$P$585,3)))),0)</f>
        <v>0</v>
      </c>
      <c r="AM583" s="484">
        <f>IFERROR(IF(Input!AF139=0,0,(Input!AF139*$M530*((1+$S530)^VLOOKUP(AM$496-$S583+1,$N$576:$P$585,3)))),0)</f>
        <v>0</v>
      </c>
      <c r="AN583" s="484">
        <f>IFERROR(IF(Input!AG139=0,0,(Input!AG139*$M530*((1+$S530)^VLOOKUP(AN$496-$S583+1,$N$576:$P$585,3)))),0)</f>
        <v>0</v>
      </c>
      <c r="AO583" s="484">
        <f>IFERROR(IF(Input!AH139=0,0,(Input!AH139*$M530*((1+$S530)^VLOOKUP(AO$496-$S583+1,$N$576:$P$585,3)))),0)</f>
        <v>0</v>
      </c>
      <c r="AP583" s="484">
        <f>IFERROR(IF(Input!AI139=0,0,(Input!AI139*$M530*((1+$S530)^VLOOKUP(AP$496-$S583+1,$N$576:$P$585,3)))),0)</f>
        <v>0</v>
      </c>
      <c r="AQ583" s="484">
        <f>IFERROR(IF(Input!AJ139=0,0,(Input!AJ139*$M530*((1+$S530)^VLOOKUP(AQ$496-$S583+1,$N$576:$P$585,3)))),0)</f>
        <v>0</v>
      </c>
      <c r="AR583" s="484">
        <f>IFERROR(IF(Input!AK139=0,0,(Input!AK139*$M530*((1+$S530)^VLOOKUP(AR$496-$S583+1,$N$576:$P$585,3)))),0)</f>
        <v>0</v>
      </c>
      <c r="AS583" s="484">
        <f>IFERROR(IF(Input!AL139=0,0,(Input!AL139*$M530*((1+$S530)^VLOOKUP(AS$496-$S583+1,$N$576:$P$585,3)))),0)</f>
        <v>0</v>
      </c>
      <c r="AT583" s="484">
        <f>IFERROR(IF(Input!AM139=0,0,(Input!AM139*$M530*((1+$S530)^VLOOKUP(AT$496-$S583+1,$N$576:$P$585,3)))),0)</f>
        <v>0</v>
      </c>
      <c r="AU583" s="484">
        <f>IFERROR(IF(Input!AN139=0,0,(Input!AN139*$M530*((1+$S530)^VLOOKUP(AU$496-$S583+1,$N$576:$P$585,3)))),0)</f>
        <v>0</v>
      </c>
      <c r="AV583" s="484">
        <f>IFERROR(IF(Input!AO139=0,0,(Input!AO139*$M530*((1+$S530)^VLOOKUP(AV$496-$S583+1,$N$576:$P$585,3)))),0)</f>
        <v>0</v>
      </c>
      <c r="AW583" s="484">
        <f>IFERROR(IF(Input!AP139=0,0,(Input!AP139*$M530*((1+$S530)^VLOOKUP(AW$496-$S583+1,$N$576:$P$585,3)))),0)</f>
        <v>0</v>
      </c>
      <c r="AX583" s="484">
        <f>IFERROR(IF(Input!AQ139=0,0,(Input!AQ139*$M530*((1+$S530)^VLOOKUP(AX$496-$S583+1,$N$576:$P$585,3)))),0)</f>
        <v>0</v>
      </c>
      <c r="AY583" s="484">
        <f>IFERROR(IF(Input!AR139=0,0,(Input!AR139*$M530*((1+$S530)^VLOOKUP(AY$496-$S583+1,$N$576:$P$585,3)))),0)</f>
        <v>0</v>
      </c>
      <c r="AZ583" s="484">
        <f>IFERROR(IF(Input!AS139=0,0,(Input!AS139*$M530*((1+$S530)^VLOOKUP(AZ$496-$S583+1,$N$576:$P$585,3)))),0)</f>
        <v>0</v>
      </c>
      <c r="BA583" s="484">
        <f>IFERROR(IF(Input!AT139=0,0,(Input!AT139*$M530*((1+$S530)^VLOOKUP(BA$496-$S583+1,$N$576:$P$585,3)))),0)</f>
        <v>0</v>
      </c>
      <c r="BB583" s="484">
        <f>IFERROR(IF(Input!AU139=0,0,(Input!AU139*$M530*((1+$S530)^VLOOKUP(BB$496-$S583+1,$N$576:$P$585,3)))),0)</f>
        <v>0</v>
      </c>
      <c r="BC583" s="484">
        <f>IFERROR(IF(Input!AV139=0,0,(Input!AV139*$M530*((1+$S530)^VLOOKUP(BC$496-$S583+1,$N$576:$P$585,3)))),0)</f>
        <v>0</v>
      </c>
      <c r="BD583" s="484">
        <f>IFERROR(IF(Input!AW139=0,0,(Input!AW139*$M530*((1+$S530)^VLOOKUP(BD$496-$S583+1,$N$576:$P$585,3)))),0)</f>
        <v>0</v>
      </c>
      <c r="BE583" s="484">
        <f>IFERROR(IF(Input!AX139=0,0,(Input!AX139*$M530*((1+$S530)^VLOOKUP(BE$496-$S583+1,$N$576:$P$585,3)))),0)</f>
        <v>0</v>
      </c>
      <c r="BF583" s="484">
        <f>IFERROR(IF(Input!AY139=0,0,(Input!AY139*$M530*((1+$S530)^VLOOKUP(BF$496-$S583+1,$N$576:$P$585,3)))),0)</f>
        <v>0</v>
      </c>
      <c r="BG583" s="484">
        <f>IFERROR(IF(Input!AZ139=0,0,(Input!AZ139*$M530*((1+$S530)^VLOOKUP(BG$496-$S583+1,$N$576:$P$585,3)))),0)</f>
        <v>0</v>
      </c>
      <c r="BH583" s="484">
        <f>IFERROR(IF(Input!BA139=0,0,(Input!BA139*$M530*((1+$S530)^VLOOKUP(BH$496-$S583+1,$N$576:$P$585,3)))),0)</f>
        <v>0</v>
      </c>
      <c r="BI583" s="484">
        <f>IFERROR(IF(Input!BB139=0,0,(Input!BB139*$M530*((1+$S530)^VLOOKUP(BI$496-$S583+1,$N$576:$P$585,3)))),0)</f>
        <v>0</v>
      </c>
      <c r="BJ583" s="484">
        <f>IFERROR(IF(Input!BC139=0,0,(Input!BC139*$M530*((1+$S530)^VLOOKUP(BJ$496-$S583+1,$N$576:$P$585,3)))),0)</f>
        <v>0</v>
      </c>
      <c r="BK583" s="484">
        <f>IFERROR(IF(Input!BD139=0,0,(Input!BD139*$M530*((1+$S530)^VLOOKUP(BK$496-$S583+1,$N$576:$P$585,3)))),0)</f>
        <v>0</v>
      </c>
      <c r="BL583" s="484">
        <f>IFERROR(IF(Input!BE139=0,0,(Input!BE139*$M530*((1+$S530)^VLOOKUP(BL$496-$S583+1,$N$576:$P$585,3)))),0)</f>
        <v>0</v>
      </c>
      <c r="BM583" s="484">
        <f>IFERROR(IF(Input!BF139=0,0,(Input!BF139*$M530*((1+$S530)^VLOOKUP(BM$496-$S583+1,$N$576:$P$585,3)))),0)</f>
        <v>0</v>
      </c>
      <c r="BN583" s="484">
        <f>IFERROR(IF(Input!BG139=0,0,(Input!BG139*$M530*((1+$S530)^VLOOKUP(BN$496-$S583+1,$N$576:$P$585,3)))),0)</f>
        <v>0</v>
      </c>
      <c r="BO583" s="484">
        <f>IFERROR(IF(Input!BH139=0,0,(Input!BH139*$M530*((1+$S530)^VLOOKUP(BO$496-$S583+1,$N$576:$P$585,3)))),0)</f>
        <v>0</v>
      </c>
      <c r="BP583" s="484">
        <f>IFERROR(IF(Input!BI139=0,0,(Input!BI139*$M530*((1+$S530)^VLOOKUP(BP$496-$S583+1,$N$576:$P$585,3)))),0)</f>
        <v>0</v>
      </c>
      <c r="BQ583" s="484">
        <f>IFERROR(IF(Input!BJ139=0,0,(Input!BJ139*$M530*((1+$S530)^VLOOKUP(BQ$496-$S583+1,$N$576:$P$585,3)))),0)</f>
        <v>0</v>
      </c>
      <c r="BR583" s="484">
        <f>IFERROR(IF(Input!BK139=0,0,(Input!BK139*$M530*((1+$S530)^VLOOKUP(BR$496-$S583+1,$N$576:$P$585,3)))),0)</f>
        <v>0</v>
      </c>
      <c r="BS583" s="484">
        <f>IFERROR(IF(Input!BL139=0,0,(Input!BL139*$M530*((1+$S530)^VLOOKUP(BS$496-$S583+1,$N$576:$P$585,3)))),0)</f>
        <v>0</v>
      </c>
      <c r="BT583" s="484">
        <f>IFERROR(IF(Input!BM139=0,0,(Input!BM139*$M530*((1+$S530)^VLOOKUP(BT$496-$S583+1,$N$576:$P$585,3)))),0)</f>
        <v>0</v>
      </c>
      <c r="BU583" s="484">
        <f>IFERROR(IF(Input!BN139=0,0,(Input!BN139*$M530*((1+$S530)^VLOOKUP(BU$496-$S583+1,$N$576:$P$585,3)))),0)</f>
        <v>0</v>
      </c>
      <c r="BV583" s="484">
        <f>IFERROR(IF(Input!BO139=0,0,(Input!BO139*$M530*((1+$S530)^VLOOKUP(BV$496-$S583+1,$N$576:$P$585,3)))),0)</f>
        <v>0</v>
      </c>
      <c r="BW583" s="484">
        <f>IFERROR(IF(Input!BP139=0,0,(Input!BP139*$M530*((1+$S530)^VLOOKUP(BW$496-$S583+1,$N$576:$P$585,3)))),0)</f>
        <v>0</v>
      </c>
      <c r="BX583" s="484">
        <f>IFERROR(IF(Input!BQ139=0,0,(Input!BQ139*$M530*((1+$S530)^VLOOKUP(BX$496-$S583+1,$N$576:$P$585,3)))),0)</f>
        <v>0</v>
      </c>
      <c r="BY583" s="484">
        <f>IFERROR(IF(Input!BR139=0,0,(Input!BR139*$M530*((1+$S530)^VLOOKUP(BY$496-$S583+1,$N$576:$P$585,3)))),0)</f>
        <v>0</v>
      </c>
      <c r="BZ583" s="484">
        <f>IFERROR(IF(Input!BS139=0,0,(Input!BS139*$M530*((1+$S530)^VLOOKUP(BZ$496-$S583+1,$N$576:$P$585,3)))),0)</f>
        <v>0</v>
      </c>
      <c r="CA583" s="484">
        <f>IFERROR(IF(Input!BT139=0,0,(Input!BT139*$M530*((1+$S530)^VLOOKUP(CA$496-$S583+1,$N$576:$P$585,3)))),0)</f>
        <v>0</v>
      </c>
      <c r="CB583" s="484">
        <f>IFERROR(IF(Input!BU139=0,0,(Input!BU139*$M530*((1+$S530)^VLOOKUP(CB$496-$S583+1,$N$576:$P$585,3)))),0)</f>
        <v>0</v>
      </c>
      <c r="CC583" s="484">
        <f>IFERROR(IF(Input!BV139=0,0,(Input!BV139*$M530*((1+$S530)^VLOOKUP(CC$496-$S583+1,$N$576:$P$585,3)))),0)</f>
        <v>0</v>
      </c>
      <c r="CD583" s="484">
        <f>IFERROR(IF(Input!BW139=0,0,(Input!BW139*$M530*((1+$S530)^VLOOKUP(CD$496-$S583+1,$N$576:$P$585,3)))),0)</f>
        <v>0</v>
      </c>
      <c r="CE583" s="1183"/>
      <c r="CF583" s="1183"/>
      <c r="CG583" s="1183"/>
      <c r="CH583" s="1183"/>
      <c r="CI583" s="1183"/>
    </row>
    <row r="584" spans="11:87" ht="12" customHeight="1" x14ac:dyDescent="0.35">
      <c r="K584" s="13"/>
      <c r="L584" s="70"/>
      <c r="M584" s="82">
        <v>9</v>
      </c>
      <c r="N584" s="443">
        <f t="shared" si="369"/>
        <v>97</v>
      </c>
      <c r="O584" s="443">
        <f t="shared" si="370"/>
        <v>108</v>
      </c>
      <c r="P584" s="443">
        <v>8</v>
      </c>
      <c r="Q584" s="82"/>
      <c r="R584" s="40">
        <v>33</v>
      </c>
      <c r="S584" s="13">
        <f>IF(Input!H140&lt;&gt;"",VLOOKUP(Input!$H140,Infrastructure!$D$70:$F$129,3,FALSE),0)</f>
        <v>0</v>
      </c>
      <c r="T584" s="69">
        <f t="shared" ref="T584:T601" si="371">IF(L531&lt;&gt;"",L531,K531)</f>
        <v>0</v>
      </c>
      <c r="U584" s="725">
        <f>1+Input!L140+Input!K140</f>
        <v>1</v>
      </c>
      <c r="V584" s="84"/>
      <c r="W584" s="62">
        <f>IFERROR(IF(Input!P140=0,0,(Input!P140*$M531*((1+$S531)^VLOOKUP(W$496-$S584+1,$N$576:$P$585,3)))),0)</f>
        <v>0</v>
      </c>
      <c r="X584" s="62">
        <f>IFERROR(IF(Input!Q140=0,0,(Input!Q140*$M531*((1+$S531)^VLOOKUP(X$496-$S584+1,$N$576:$P$585,3)))),0)</f>
        <v>0</v>
      </c>
      <c r="Y584" s="62">
        <f>IFERROR(IF(Input!R140=0,0,(Input!R140*$M531*((1+$S531)^VLOOKUP(Y$496-$S584+1,$N$576:$P$585,3)))),0)</f>
        <v>0</v>
      </c>
      <c r="Z584" s="62">
        <f>IFERROR(IF(Input!S140=0,0,(Input!S140*$M531*((1+$S531)^VLOOKUP(Z$496-$S584+1,$N$576:$P$585,3)))),0)</f>
        <v>0</v>
      </c>
      <c r="AA584" s="62">
        <f>IFERROR(IF(Input!T140=0,0,(Input!T140*$M531*((1+$S531)^VLOOKUP(AA$496-$S584+1,$N$576:$P$585,3)))),0)</f>
        <v>0</v>
      </c>
      <c r="AB584" s="62">
        <f>IFERROR(IF(Input!U140=0,0,(Input!U140*$M531*((1+$S531)^VLOOKUP(AB$496-$S584+1,$N$576:$P$585,3)))),0)</f>
        <v>0</v>
      </c>
      <c r="AC584" s="62">
        <f>IFERROR(IF(Input!V140=0,0,(Input!V140*$M531*((1+$S531)^VLOOKUP(AC$496-$S584+1,$N$576:$P$585,3)))),0)</f>
        <v>0</v>
      </c>
      <c r="AD584" s="62">
        <f>IFERROR(IF(Input!W140=0,0,(Input!W140*$M531*((1+$S531)^VLOOKUP(AD$496-$S584+1,$N$576:$P$585,3)))),0)</f>
        <v>0</v>
      </c>
      <c r="AE584" s="62">
        <f>IFERROR(IF(Input!X140=0,0,(Input!X140*$M531*((1+$S531)^VLOOKUP(AE$496-$S584+1,$N$576:$P$585,3)))),0)</f>
        <v>0</v>
      </c>
      <c r="AF584" s="484">
        <f>IFERROR(IF(Input!Y140=0,0,(Input!Y140*$M531*((1+$S531)^VLOOKUP(AF$496-$S584+1,$N$576:$P$585,3)))),0)</f>
        <v>0</v>
      </c>
      <c r="AG584" s="484">
        <f>IFERROR(IF(Input!Z140=0,0,(Input!Z140*$M531*((1+$S531)^VLOOKUP(AG$496-$S584+1,$N$576:$P$585,3)))),0)</f>
        <v>0</v>
      </c>
      <c r="AH584" s="484">
        <f>IFERROR(IF(Input!AA140=0,0,(Input!AA140*$M531*((1+$S531)^VLOOKUP(AH$496-$S584+1,$N$576:$P$585,3)))),0)</f>
        <v>0</v>
      </c>
      <c r="AI584" s="484">
        <f>IFERROR(IF(Input!AB140=0,0,(Input!AB140*$M531*((1+$S531)^VLOOKUP(AI$496-$S584+1,$N$576:$P$585,3)))),0)</f>
        <v>0</v>
      </c>
      <c r="AJ584" s="484">
        <f>IFERROR(IF(Input!AC140=0,0,(Input!AC140*$M531*((1+$S531)^VLOOKUP(AJ$496-$S584+1,$N$576:$P$585,3)))),0)</f>
        <v>0</v>
      </c>
      <c r="AK584" s="484">
        <f>IFERROR(IF(Input!AD140=0,0,(Input!AD140*$M531*((1+$S531)^VLOOKUP(AK$496-$S584+1,$N$576:$P$585,3)))),0)</f>
        <v>0</v>
      </c>
      <c r="AL584" s="484">
        <f>IFERROR(IF(Input!AE140=0,0,(Input!AE140*$M531*((1+$S531)^VLOOKUP(AL$496-$S584+1,$N$576:$P$585,3)))),0)</f>
        <v>0</v>
      </c>
      <c r="AM584" s="484">
        <f>IFERROR(IF(Input!AF140=0,0,(Input!AF140*$M531*((1+$S531)^VLOOKUP(AM$496-$S584+1,$N$576:$P$585,3)))),0)</f>
        <v>0</v>
      </c>
      <c r="AN584" s="484">
        <f>IFERROR(IF(Input!AG140=0,0,(Input!AG140*$M531*((1+$S531)^VLOOKUP(AN$496-$S584+1,$N$576:$P$585,3)))),0)</f>
        <v>0</v>
      </c>
      <c r="AO584" s="484">
        <f>IFERROR(IF(Input!AH140=0,0,(Input!AH140*$M531*((1+$S531)^VLOOKUP(AO$496-$S584+1,$N$576:$P$585,3)))),0)</f>
        <v>0</v>
      </c>
      <c r="AP584" s="484">
        <f>IFERROR(IF(Input!AI140=0,0,(Input!AI140*$M531*((1+$S531)^VLOOKUP(AP$496-$S584+1,$N$576:$P$585,3)))),0)</f>
        <v>0</v>
      </c>
      <c r="AQ584" s="484">
        <f>IFERROR(IF(Input!AJ140=0,0,(Input!AJ140*$M531*((1+$S531)^VLOOKUP(AQ$496-$S584+1,$N$576:$P$585,3)))),0)</f>
        <v>0</v>
      </c>
      <c r="AR584" s="484">
        <f>IFERROR(IF(Input!AK140=0,0,(Input!AK140*$M531*((1+$S531)^VLOOKUP(AR$496-$S584+1,$N$576:$P$585,3)))),0)</f>
        <v>0</v>
      </c>
      <c r="AS584" s="484">
        <f>IFERROR(IF(Input!AL140=0,0,(Input!AL140*$M531*((1+$S531)^VLOOKUP(AS$496-$S584+1,$N$576:$P$585,3)))),0)</f>
        <v>0</v>
      </c>
      <c r="AT584" s="484">
        <f>IFERROR(IF(Input!AM140=0,0,(Input!AM140*$M531*((1+$S531)^VLOOKUP(AT$496-$S584+1,$N$576:$P$585,3)))),0)</f>
        <v>0</v>
      </c>
      <c r="AU584" s="484">
        <f>IFERROR(IF(Input!AN140=0,0,(Input!AN140*$M531*((1+$S531)^VLOOKUP(AU$496-$S584+1,$N$576:$P$585,3)))),0)</f>
        <v>0</v>
      </c>
      <c r="AV584" s="484">
        <f>IFERROR(IF(Input!AO140=0,0,(Input!AO140*$M531*((1+$S531)^VLOOKUP(AV$496-$S584+1,$N$576:$P$585,3)))),0)</f>
        <v>0</v>
      </c>
      <c r="AW584" s="484">
        <f>IFERROR(IF(Input!AP140=0,0,(Input!AP140*$M531*((1+$S531)^VLOOKUP(AW$496-$S584+1,$N$576:$P$585,3)))),0)</f>
        <v>0</v>
      </c>
      <c r="AX584" s="484">
        <f>IFERROR(IF(Input!AQ140=0,0,(Input!AQ140*$M531*((1+$S531)^VLOOKUP(AX$496-$S584+1,$N$576:$P$585,3)))),0)</f>
        <v>0</v>
      </c>
      <c r="AY584" s="484">
        <f>IFERROR(IF(Input!AR140=0,0,(Input!AR140*$M531*((1+$S531)^VLOOKUP(AY$496-$S584+1,$N$576:$P$585,3)))),0)</f>
        <v>0</v>
      </c>
      <c r="AZ584" s="484">
        <f>IFERROR(IF(Input!AS140=0,0,(Input!AS140*$M531*((1+$S531)^VLOOKUP(AZ$496-$S584+1,$N$576:$P$585,3)))),0)</f>
        <v>0</v>
      </c>
      <c r="BA584" s="484">
        <f>IFERROR(IF(Input!AT140=0,0,(Input!AT140*$M531*((1+$S531)^VLOOKUP(BA$496-$S584+1,$N$576:$P$585,3)))),0)</f>
        <v>0</v>
      </c>
      <c r="BB584" s="484">
        <f>IFERROR(IF(Input!AU140=0,0,(Input!AU140*$M531*((1+$S531)^VLOOKUP(BB$496-$S584+1,$N$576:$P$585,3)))),0)</f>
        <v>0</v>
      </c>
      <c r="BC584" s="484">
        <f>IFERROR(IF(Input!AV140=0,0,(Input!AV140*$M531*((1+$S531)^VLOOKUP(BC$496-$S584+1,$N$576:$P$585,3)))),0)</f>
        <v>0</v>
      </c>
      <c r="BD584" s="484">
        <f>IFERROR(IF(Input!AW140=0,0,(Input!AW140*$M531*((1+$S531)^VLOOKUP(BD$496-$S584+1,$N$576:$P$585,3)))),0)</f>
        <v>0</v>
      </c>
      <c r="BE584" s="484">
        <f>IFERROR(IF(Input!AX140=0,0,(Input!AX140*$M531*((1+$S531)^VLOOKUP(BE$496-$S584+1,$N$576:$P$585,3)))),0)</f>
        <v>0</v>
      </c>
      <c r="BF584" s="484">
        <f>IFERROR(IF(Input!AY140=0,0,(Input!AY140*$M531*((1+$S531)^VLOOKUP(BF$496-$S584+1,$N$576:$P$585,3)))),0)</f>
        <v>0</v>
      </c>
      <c r="BG584" s="484">
        <f>IFERROR(IF(Input!AZ140=0,0,(Input!AZ140*$M531*((1+$S531)^VLOOKUP(BG$496-$S584+1,$N$576:$P$585,3)))),0)</f>
        <v>0</v>
      </c>
      <c r="BH584" s="484">
        <f>IFERROR(IF(Input!BA140=0,0,(Input!BA140*$M531*((1+$S531)^VLOOKUP(BH$496-$S584+1,$N$576:$P$585,3)))),0)</f>
        <v>0</v>
      </c>
      <c r="BI584" s="484">
        <f>IFERROR(IF(Input!BB140=0,0,(Input!BB140*$M531*((1+$S531)^VLOOKUP(BI$496-$S584+1,$N$576:$P$585,3)))),0)</f>
        <v>0</v>
      </c>
      <c r="BJ584" s="484">
        <f>IFERROR(IF(Input!BC140=0,0,(Input!BC140*$M531*((1+$S531)^VLOOKUP(BJ$496-$S584+1,$N$576:$P$585,3)))),0)</f>
        <v>0</v>
      </c>
      <c r="BK584" s="484">
        <f>IFERROR(IF(Input!BD140=0,0,(Input!BD140*$M531*((1+$S531)^VLOOKUP(BK$496-$S584+1,$N$576:$P$585,3)))),0)</f>
        <v>0</v>
      </c>
      <c r="BL584" s="484">
        <f>IFERROR(IF(Input!BE140=0,0,(Input!BE140*$M531*((1+$S531)^VLOOKUP(BL$496-$S584+1,$N$576:$P$585,3)))),0)</f>
        <v>0</v>
      </c>
      <c r="BM584" s="484">
        <f>IFERROR(IF(Input!BF140=0,0,(Input!BF140*$M531*((1+$S531)^VLOOKUP(BM$496-$S584+1,$N$576:$P$585,3)))),0)</f>
        <v>0</v>
      </c>
      <c r="BN584" s="484">
        <f>IFERROR(IF(Input!BG140=0,0,(Input!BG140*$M531*((1+$S531)^VLOOKUP(BN$496-$S584+1,$N$576:$P$585,3)))),0)</f>
        <v>0</v>
      </c>
      <c r="BO584" s="484">
        <f>IFERROR(IF(Input!BH140=0,0,(Input!BH140*$M531*((1+$S531)^VLOOKUP(BO$496-$S584+1,$N$576:$P$585,3)))),0)</f>
        <v>0</v>
      </c>
      <c r="BP584" s="484">
        <f>IFERROR(IF(Input!BI140=0,0,(Input!BI140*$M531*((1+$S531)^VLOOKUP(BP$496-$S584+1,$N$576:$P$585,3)))),0)</f>
        <v>0</v>
      </c>
      <c r="BQ584" s="484">
        <f>IFERROR(IF(Input!BJ140=0,0,(Input!BJ140*$M531*((1+$S531)^VLOOKUP(BQ$496-$S584+1,$N$576:$P$585,3)))),0)</f>
        <v>0</v>
      </c>
      <c r="BR584" s="484">
        <f>IFERROR(IF(Input!BK140=0,0,(Input!BK140*$M531*((1+$S531)^VLOOKUP(BR$496-$S584+1,$N$576:$P$585,3)))),0)</f>
        <v>0</v>
      </c>
      <c r="BS584" s="484">
        <f>IFERROR(IF(Input!BL140=0,0,(Input!BL140*$M531*((1+$S531)^VLOOKUP(BS$496-$S584+1,$N$576:$P$585,3)))),0)</f>
        <v>0</v>
      </c>
      <c r="BT584" s="484">
        <f>IFERROR(IF(Input!BM140=0,0,(Input!BM140*$M531*((1+$S531)^VLOOKUP(BT$496-$S584+1,$N$576:$P$585,3)))),0)</f>
        <v>0</v>
      </c>
      <c r="BU584" s="484">
        <f>IFERROR(IF(Input!BN140=0,0,(Input!BN140*$M531*((1+$S531)^VLOOKUP(BU$496-$S584+1,$N$576:$P$585,3)))),0)</f>
        <v>0</v>
      </c>
      <c r="BV584" s="484">
        <f>IFERROR(IF(Input!BO140=0,0,(Input!BO140*$M531*((1+$S531)^VLOOKUP(BV$496-$S584+1,$N$576:$P$585,3)))),0)</f>
        <v>0</v>
      </c>
      <c r="BW584" s="484">
        <f>IFERROR(IF(Input!BP140=0,0,(Input!BP140*$M531*((1+$S531)^VLOOKUP(BW$496-$S584+1,$N$576:$P$585,3)))),0)</f>
        <v>0</v>
      </c>
      <c r="BX584" s="484">
        <f>IFERROR(IF(Input!BQ140=0,0,(Input!BQ140*$M531*((1+$S531)^VLOOKUP(BX$496-$S584+1,$N$576:$P$585,3)))),0)</f>
        <v>0</v>
      </c>
      <c r="BY584" s="484">
        <f>IFERROR(IF(Input!BR140=0,0,(Input!BR140*$M531*((1+$S531)^VLOOKUP(BY$496-$S584+1,$N$576:$P$585,3)))),0)</f>
        <v>0</v>
      </c>
      <c r="BZ584" s="484">
        <f>IFERROR(IF(Input!BS140=0,0,(Input!BS140*$M531*((1+$S531)^VLOOKUP(BZ$496-$S584+1,$N$576:$P$585,3)))),0)</f>
        <v>0</v>
      </c>
      <c r="CA584" s="484">
        <f>IFERROR(IF(Input!BT140=0,0,(Input!BT140*$M531*((1+$S531)^VLOOKUP(CA$496-$S584+1,$N$576:$P$585,3)))),0)</f>
        <v>0</v>
      </c>
      <c r="CB584" s="484">
        <f>IFERROR(IF(Input!BU140=0,0,(Input!BU140*$M531*((1+$S531)^VLOOKUP(CB$496-$S584+1,$N$576:$P$585,3)))),0)</f>
        <v>0</v>
      </c>
      <c r="CC584" s="484">
        <f>IFERROR(IF(Input!BV140=0,0,(Input!BV140*$M531*((1+$S531)^VLOOKUP(CC$496-$S584+1,$N$576:$P$585,3)))),0)</f>
        <v>0</v>
      </c>
      <c r="CD584" s="484">
        <f>IFERROR(IF(Input!BW140=0,0,(Input!BW140*$M531*((1+$S531)^VLOOKUP(CD$496-$S584+1,$N$576:$P$585,3)))),0)</f>
        <v>0</v>
      </c>
      <c r="CE584" s="1183"/>
      <c r="CF584" s="1183"/>
      <c r="CG584" s="1183"/>
      <c r="CH584" s="1183"/>
      <c r="CI584" s="1183"/>
    </row>
    <row r="585" spans="11:87" ht="12" customHeight="1" x14ac:dyDescent="0.35">
      <c r="K585" s="13"/>
      <c r="L585" s="70"/>
      <c r="M585" s="82">
        <v>10</v>
      </c>
      <c r="N585" s="443">
        <f t="shared" si="369"/>
        <v>109</v>
      </c>
      <c r="O585" s="443">
        <f t="shared" si="370"/>
        <v>120</v>
      </c>
      <c r="P585" s="443">
        <v>9</v>
      </c>
      <c r="Q585" s="82"/>
      <c r="R585" s="13">
        <v>34</v>
      </c>
      <c r="S585" s="13">
        <f>IF(Input!H141&lt;&gt;"",VLOOKUP(Input!$H141,Infrastructure!$D$70:$F$129,3,FALSE),0)</f>
        <v>0</v>
      </c>
      <c r="T585" s="69">
        <f t="shared" si="371"/>
        <v>0</v>
      </c>
      <c r="U585" s="725">
        <f>1+Input!L141+Input!K141</f>
        <v>1</v>
      </c>
      <c r="V585" s="84"/>
      <c r="W585" s="62">
        <f>IFERROR(IF(Input!P141=0,0,(Input!P141*$M532*((1+$S532)^VLOOKUP(W$496-$S585+1,$N$576:$P$585,3)))),0)</f>
        <v>0</v>
      </c>
      <c r="X585" s="62">
        <f>IFERROR(IF(Input!Q141=0,0,(Input!Q141*$M532*((1+$S532)^VLOOKUP(X$496-$S585+1,$N$576:$P$585,3)))),0)</f>
        <v>0</v>
      </c>
      <c r="Y585" s="62">
        <f>IFERROR(IF(Input!R141=0,0,(Input!R141*$M532*((1+$S532)^VLOOKUP(Y$496-$S585+1,$N$576:$P$585,3)))),0)</f>
        <v>0</v>
      </c>
      <c r="Z585" s="62">
        <f>IFERROR(IF(Input!S141=0,0,(Input!S141*$M532*((1+$S532)^VLOOKUP(Z$496-$S585+1,$N$576:$P$585,3)))),0)</f>
        <v>0</v>
      </c>
      <c r="AA585" s="62">
        <f>IFERROR(IF(Input!T141=0,0,(Input!T141*$M532*((1+$S532)^VLOOKUP(AA$496-$S585+1,$N$576:$P$585,3)))),0)</f>
        <v>0</v>
      </c>
      <c r="AB585" s="62">
        <f>IFERROR(IF(Input!U141=0,0,(Input!U141*$M532*((1+$S532)^VLOOKUP(AB$496-$S585+1,$N$576:$P$585,3)))),0)</f>
        <v>0</v>
      </c>
      <c r="AC585" s="62">
        <f>IFERROR(IF(Input!V141=0,0,(Input!V141*$M532*((1+$S532)^VLOOKUP(AC$496-$S585+1,$N$576:$P$585,3)))),0)</f>
        <v>0</v>
      </c>
      <c r="AD585" s="62">
        <f>IFERROR(IF(Input!W141=0,0,(Input!W141*$M532*((1+$S532)^VLOOKUP(AD$496-$S585+1,$N$576:$P$585,3)))),0)</f>
        <v>0</v>
      </c>
      <c r="AE585" s="62">
        <f>IFERROR(IF(Input!X141=0,0,(Input!X141*$M532*((1+$S532)^VLOOKUP(AE$496-$S585+1,$N$576:$P$585,3)))),0)</f>
        <v>0</v>
      </c>
      <c r="AF585" s="484">
        <f>IFERROR(IF(Input!Y141=0,0,(Input!Y141*$M532*((1+$S532)^VLOOKUP(AF$496-$S585+1,$N$576:$P$585,3)))),0)</f>
        <v>0</v>
      </c>
      <c r="AG585" s="484">
        <f>IFERROR(IF(Input!Z141=0,0,(Input!Z141*$M532*((1+$S532)^VLOOKUP(AG$496-$S585+1,$N$576:$P$585,3)))),0)</f>
        <v>0</v>
      </c>
      <c r="AH585" s="484">
        <f>IFERROR(IF(Input!AA141=0,0,(Input!AA141*$M532*((1+$S532)^VLOOKUP(AH$496-$S585+1,$N$576:$P$585,3)))),0)</f>
        <v>0</v>
      </c>
      <c r="AI585" s="484">
        <f>IFERROR(IF(Input!AB141=0,0,(Input!AB141*$M532*((1+$S532)^VLOOKUP(AI$496-$S585+1,$N$576:$P$585,3)))),0)</f>
        <v>0</v>
      </c>
      <c r="AJ585" s="484">
        <f>IFERROR(IF(Input!AC141=0,0,(Input!AC141*$M532*((1+$S532)^VLOOKUP(AJ$496-$S585+1,$N$576:$P$585,3)))),0)</f>
        <v>0</v>
      </c>
      <c r="AK585" s="484">
        <f>IFERROR(IF(Input!AD141=0,0,(Input!AD141*$M532*((1+$S532)^VLOOKUP(AK$496-$S585+1,$N$576:$P$585,3)))),0)</f>
        <v>0</v>
      </c>
      <c r="AL585" s="484">
        <f>IFERROR(IF(Input!AE141=0,0,(Input!AE141*$M532*((1+$S532)^VLOOKUP(AL$496-$S585+1,$N$576:$P$585,3)))),0)</f>
        <v>0</v>
      </c>
      <c r="AM585" s="484">
        <f>IFERROR(IF(Input!AF141=0,0,(Input!AF141*$M532*((1+$S532)^VLOOKUP(AM$496-$S585+1,$N$576:$P$585,3)))),0)</f>
        <v>0</v>
      </c>
      <c r="AN585" s="484">
        <f>IFERROR(IF(Input!AG141=0,0,(Input!AG141*$M532*((1+$S532)^VLOOKUP(AN$496-$S585+1,$N$576:$P$585,3)))),0)</f>
        <v>0</v>
      </c>
      <c r="AO585" s="484">
        <f>IFERROR(IF(Input!AH141=0,0,(Input!AH141*$M532*((1+$S532)^VLOOKUP(AO$496-$S585+1,$N$576:$P$585,3)))),0)</f>
        <v>0</v>
      </c>
      <c r="AP585" s="484">
        <f>IFERROR(IF(Input!AI141=0,0,(Input!AI141*$M532*((1+$S532)^VLOOKUP(AP$496-$S585+1,$N$576:$P$585,3)))),0)</f>
        <v>0</v>
      </c>
      <c r="AQ585" s="484">
        <f>IFERROR(IF(Input!AJ141=0,0,(Input!AJ141*$M532*((1+$S532)^VLOOKUP(AQ$496-$S585+1,$N$576:$P$585,3)))),0)</f>
        <v>0</v>
      </c>
      <c r="AR585" s="484">
        <f>IFERROR(IF(Input!AK141=0,0,(Input!AK141*$M532*((1+$S532)^VLOOKUP(AR$496-$S585+1,$N$576:$P$585,3)))),0)</f>
        <v>0</v>
      </c>
      <c r="AS585" s="484">
        <f>IFERROR(IF(Input!AL141=0,0,(Input!AL141*$M532*((1+$S532)^VLOOKUP(AS$496-$S585+1,$N$576:$P$585,3)))),0)</f>
        <v>0</v>
      </c>
      <c r="AT585" s="484">
        <f>IFERROR(IF(Input!AM141=0,0,(Input!AM141*$M532*((1+$S532)^VLOOKUP(AT$496-$S585+1,$N$576:$P$585,3)))),0)</f>
        <v>0</v>
      </c>
      <c r="AU585" s="484">
        <f>IFERROR(IF(Input!AN141=0,0,(Input!AN141*$M532*((1+$S532)^VLOOKUP(AU$496-$S585+1,$N$576:$P$585,3)))),0)</f>
        <v>0</v>
      </c>
      <c r="AV585" s="484">
        <f>IFERROR(IF(Input!AO141=0,0,(Input!AO141*$M532*((1+$S532)^VLOOKUP(AV$496-$S585+1,$N$576:$P$585,3)))),0)</f>
        <v>0</v>
      </c>
      <c r="AW585" s="484">
        <f>IFERROR(IF(Input!AP141=0,0,(Input!AP141*$M532*((1+$S532)^VLOOKUP(AW$496-$S585+1,$N$576:$P$585,3)))),0)</f>
        <v>0</v>
      </c>
      <c r="AX585" s="484">
        <f>IFERROR(IF(Input!AQ141=0,0,(Input!AQ141*$M532*((1+$S532)^VLOOKUP(AX$496-$S585+1,$N$576:$P$585,3)))),0)</f>
        <v>0</v>
      </c>
      <c r="AY585" s="484">
        <f>IFERROR(IF(Input!AR141=0,0,(Input!AR141*$M532*((1+$S532)^VLOOKUP(AY$496-$S585+1,$N$576:$P$585,3)))),0)</f>
        <v>0</v>
      </c>
      <c r="AZ585" s="484">
        <f>IFERROR(IF(Input!AS141=0,0,(Input!AS141*$M532*((1+$S532)^VLOOKUP(AZ$496-$S585+1,$N$576:$P$585,3)))),0)</f>
        <v>0</v>
      </c>
      <c r="BA585" s="484">
        <f>IFERROR(IF(Input!AT141=0,0,(Input!AT141*$M532*((1+$S532)^VLOOKUP(BA$496-$S585+1,$N$576:$P$585,3)))),0)</f>
        <v>0</v>
      </c>
      <c r="BB585" s="484">
        <f>IFERROR(IF(Input!AU141=0,0,(Input!AU141*$M532*((1+$S532)^VLOOKUP(BB$496-$S585+1,$N$576:$P$585,3)))),0)</f>
        <v>0</v>
      </c>
      <c r="BC585" s="484">
        <f>IFERROR(IF(Input!AV141=0,0,(Input!AV141*$M532*((1+$S532)^VLOOKUP(BC$496-$S585+1,$N$576:$P$585,3)))),0)</f>
        <v>0</v>
      </c>
      <c r="BD585" s="484">
        <f>IFERROR(IF(Input!AW141=0,0,(Input!AW141*$M532*((1+$S532)^VLOOKUP(BD$496-$S585+1,$N$576:$P$585,3)))),0)</f>
        <v>0</v>
      </c>
      <c r="BE585" s="484">
        <f>IFERROR(IF(Input!AX141=0,0,(Input!AX141*$M532*((1+$S532)^VLOOKUP(BE$496-$S585+1,$N$576:$P$585,3)))),0)</f>
        <v>0</v>
      </c>
      <c r="BF585" s="484">
        <f>IFERROR(IF(Input!AY141=0,0,(Input!AY141*$M532*((1+$S532)^VLOOKUP(BF$496-$S585+1,$N$576:$P$585,3)))),0)</f>
        <v>0</v>
      </c>
      <c r="BG585" s="484">
        <f>IFERROR(IF(Input!AZ141=0,0,(Input!AZ141*$M532*((1+$S532)^VLOOKUP(BG$496-$S585+1,$N$576:$P$585,3)))),0)</f>
        <v>0</v>
      </c>
      <c r="BH585" s="484">
        <f>IFERROR(IF(Input!BA141=0,0,(Input!BA141*$M532*((1+$S532)^VLOOKUP(BH$496-$S585+1,$N$576:$P$585,3)))),0)</f>
        <v>0</v>
      </c>
      <c r="BI585" s="484">
        <f>IFERROR(IF(Input!BB141=0,0,(Input!BB141*$M532*((1+$S532)^VLOOKUP(BI$496-$S585+1,$N$576:$P$585,3)))),0)</f>
        <v>0</v>
      </c>
      <c r="BJ585" s="484">
        <f>IFERROR(IF(Input!BC141=0,0,(Input!BC141*$M532*((1+$S532)^VLOOKUP(BJ$496-$S585+1,$N$576:$P$585,3)))),0)</f>
        <v>0</v>
      </c>
      <c r="BK585" s="484">
        <f>IFERROR(IF(Input!BD141=0,0,(Input!BD141*$M532*((1+$S532)^VLOOKUP(BK$496-$S585+1,$N$576:$P$585,3)))),0)</f>
        <v>0</v>
      </c>
      <c r="BL585" s="484">
        <f>IFERROR(IF(Input!BE141=0,0,(Input!BE141*$M532*((1+$S532)^VLOOKUP(BL$496-$S585+1,$N$576:$P$585,3)))),0)</f>
        <v>0</v>
      </c>
      <c r="BM585" s="484">
        <f>IFERROR(IF(Input!BF141=0,0,(Input!BF141*$M532*((1+$S532)^VLOOKUP(BM$496-$S585+1,$N$576:$P$585,3)))),0)</f>
        <v>0</v>
      </c>
      <c r="BN585" s="484">
        <f>IFERROR(IF(Input!BG141=0,0,(Input!BG141*$M532*((1+$S532)^VLOOKUP(BN$496-$S585+1,$N$576:$P$585,3)))),0)</f>
        <v>0</v>
      </c>
      <c r="BO585" s="484">
        <f>IFERROR(IF(Input!BH141=0,0,(Input!BH141*$M532*((1+$S532)^VLOOKUP(BO$496-$S585+1,$N$576:$P$585,3)))),0)</f>
        <v>0</v>
      </c>
      <c r="BP585" s="484">
        <f>IFERROR(IF(Input!BI141=0,0,(Input!BI141*$M532*((1+$S532)^VLOOKUP(BP$496-$S585+1,$N$576:$P$585,3)))),0)</f>
        <v>0</v>
      </c>
      <c r="BQ585" s="484">
        <f>IFERROR(IF(Input!BJ141=0,0,(Input!BJ141*$M532*((1+$S532)^VLOOKUP(BQ$496-$S585+1,$N$576:$P$585,3)))),0)</f>
        <v>0</v>
      </c>
      <c r="BR585" s="484">
        <f>IFERROR(IF(Input!BK141=0,0,(Input!BK141*$M532*((1+$S532)^VLOOKUP(BR$496-$S585+1,$N$576:$P$585,3)))),0)</f>
        <v>0</v>
      </c>
      <c r="BS585" s="484">
        <f>IFERROR(IF(Input!BL141=0,0,(Input!BL141*$M532*((1+$S532)^VLOOKUP(BS$496-$S585+1,$N$576:$P$585,3)))),0)</f>
        <v>0</v>
      </c>
      <c r="BT585" s="484">
        <f>IFERROR(IF(Input!BM141=0,0,(Input!BM141*$M532*((1+$S532)^VLOOKUP(BT$496-$S585+1,$N$576:$P$585,3)))),0)</f>
        <v>0</v>
      </c>
      <c r="BU585" s="484">
        <f>IFERROR(IF(Input!BN141=0,0,(Input!BN141*$M532*((1+$S532)^VLOOKUP(BU$496-$S585+1,$N$576:$P$585,3)))),0)</f>
        <v>0</v>
      </c>
      <c r="BV585" s="484">
        <f>IFERROR(IF(Input!BO141=0,0,(Input!BO141*$M532*((1+$S532)^VLOOKUP(BV$496-$S585+1,$N$576:$P$585,3)))),0)</f>
        <v>0</v>
      </c>
      <c r="BW585" s="484">
        <f>IFERROR(IF(Input!BP141=0,0,(Input!BP141*$M532*((1+$S532)^VLOOKUP(BW$496-$S585+1,$N$576:$P$585,3)))),0)</f>
        <v>0</v>
      </c>
      <c r="BX585" s="484">
        <f>IFERROR(IF(Input!BQ141=0,0,(Input!BQ141*$M532*((1+$S532)^VLOOKUP(BX$496-$S585+1,$N$576:$P$585,3)))),0)</f>
        <v>0</v>
      </c>
      <c r="BY585" s="484">
        <f>IFERROR(IF(Input!BR141=0,0,(Input!BR141*$M532*((1+$S532)^VLOOKUP(BY$496-$S585+1,$N$576:$P$585,3)))),0)</f>
        <v>0</v>
      </c>
      <c r="BZ585" s="484">
        <f>IFERROR(IF(Input!BS141=0,0,(Input!BS141*$M532*((1+$S532)^VLOOKUP(BZ$496-$S585+1,$N$576:$P$585,3)))),0)</f>
        <v>0</v>
      </c>
      <c r="CA585" s="484">
        <f>IFERROR(IF(Input!BT141=0,0,(Input!BT141*$M532*((1+$S532)^VLOOKUP(CA$496-$S585+1,$N$576:$P$585,3)))),0)</f>
        <v>0</v>
      </c>
      <c r="CB585" s="484">
        <f>IFERROR(IF(Input!BU141=0,0,(Input!BU141*$M532*((1+$S532)^VLOOKUP(CB$496-$S585+1,$N$576:$P$585,3)))),0)</f>
        <v>0</v>
      </c>
      <c r="CC585" s="484">
        <f>IFERROR(IF(Input!BV141=0,0,(Input!BV141*$M532*((1+$S532)^VLOOKUP(CC$496-$S585+1,$N$576:$P$585,3)))),0)</f>
        <v>0</v>
      </c>
      <c r="CD585" s="484">
        <f>IFERROR(IF(Input!BW141=0,0,(Input!BW141*$M532*((1+$S532)^VLOOKUP(CD$496-$S585+1,$N$576:$P$585,3)))),0)</f>
        <v>0</v>
      </c>
      <c r="CE585" s="1183"/>
      <c r="CF585" s="1183"/>
      <c r="CG585" s="1183"/>
      <c r="CH585" s="1183"/>
      <c r="CI585" s="1183"/>
    </row>
    <row r="586" spans="11:87" ht="12" customHeight="1" x14ac:dyDescent="0.35">
      <c r="K586" s="13"/>
      <c r="L586" s="70"/>
      <c r="M586" s="82"/>
      <c r="N586" s="443"/>
      <c r="O586" s="443"/>
      <c r="P586" s="82"/>
      <c r="Q586" s="82"/>
      <c r="R586" s="13">
        <v>35</v>
      </c>
      <c r="S586" s="13">
        <f>IF(Input!H142&lt;&gt;"",VLOOKUP(Input!$H142,Infrastructure!$D$70:$F$129,3,FALSE),0)</f>
        <v>0</v>
      </c>
      <c r="T586" s="69">
        <f t="shared" si="371"/>
        <v>0</v>
      </c>
      <c r="U586" s="725">
        <f>1+Input!L142+Input!K142</f>
        <v>1</v>
      </c>
      <c r="V586" s="84"/>
      <c r="W586" s="62">
        <f>IFERROR(IF(Input!P142=0,0,(Input!P142*$M533*((1+$S533)^VLOOKUP(W$496-$S586+1,$N$576:$P$585,3)))),0)</f>
        <v>0</v>
      </c>
      <c r="X586" s="62">
        <f>IFERROR(IF(Input!Q142=0,0,(Input!Q142*$M533*((1+$S533)^VLOOKUP(X$496-$S586+1,$N$576:$P$585,3)))),0)</f>
        <v>0</v>
      </c>
      <c r="Y586" s="62">
        <f>IFERROR(IF(Input!R142=0,0,(Input!R142*$M533*((1+$S533)^VLOOKUP(Y$496-$S586+1,$N$576:$P$585,3)))),0)</f>
        <v>0</v>
      </c>
      <c r="Z586" s="62">
        <f>IFERROR(IF(Input!S142=0,0,(Input!S142*$M533*((1+$S533)^VLOOKUP(Z$496-$S586+1,$N$576:$P$585,3)))),0)</f>
        <v>0</v>
      </c>
      <c r="AA586" s="62">
        <f>IFERROR(IF(Input!T142=0,0,(Input!T142*$M533*((1+$S533)^VLOOKUP(AA$496-$S586+1,$N$576:$P$585,3)))),0)</f>
        <v>0</v>
      </c>
      <c r="AB586" s="62">
        <f>IFERROR(IF(Input!U142=0,0,(Input!U142*$M533*((1+$S533)^VLOOKUP(AB$496-$S586+1,$N$576:$P$585,3)))),0)</f>
        <v>0</v>
      </c>
      <c r="AC586" s="62">
        <f>IFERROR(IF(Input!V142=0,0,(Input!V142*$M533*((1+$S533)^VLOOKUP(AC$496-$S586+1,$N$576:$P$585,3)))),0)</f>
        <v>0</v>
      </c>
      <c r="AD586" s="62">
        <f>IFERROR(IF(Input!W142=0,0,(Input!W142*$M533*((1+$S533)^VLOOKUP(AD$496-$S586+1,$N$576:$P$585,3)))),0)</f>
        <v>0</v>
      </c>
      <c r="AE586" s="62">
        <f>IFERROR(IF(Input!X142=0,0,(Input!X142*$M533*((1+$S533)^VLOOKUP(AE$496-$S586+1,$N$576:$P$585,3)))),0)</f>
        <v>0</v>
      </c>
      <c r="AF586" s="484">
        <f>IFERROR(IF(Input!Y142=0,0,(Input!Y142*$M533*((1+$S533)^VLOOKUP(AF$496-$S586+1,$N$576:$P$585,3)))),0)</f>
        <v>0</v>
      </c>
      <c r="AG586" s="484">
        <f>IFERROR(IF(Input!Z142=0,0,(Input!Z142*$M533*((1+$S533)^VLOOKUP(AG$496-$S586+1,$N$576:$P$585,3)))),0)</f>
        <v>0</v>
      </c>
      <c r="AH586" s="484">
        <f>IFERROR(IF(Input!AA142=0,0,(Input!AA142*$M533*((1+$S533)^VLOOKUP(AH$496-$S586+1,$N$576:$P$585,3)))),0)</f>
        <v>0</v>
      </c>
      <c r="AI586" s="484">
        <f>IFERROR(IF(Input!AB142=0,0,(Input!AB142*$M533*((1+$S533)^VLOOKUP(AI$496-$S586+1,$N$576:$P$585,3)))),0)</f>
        <v>0</v>
      </c>
      <c r="AJ586" s="484">
        <f>IFERROR(IF(Input!AC142=0,0,(Input!AC142*$M533*((1+$S533)^VLOOKUP(AJ$496-$S586+1,$N$576:$P$585,3)))),0)</f>
        <v>0</v>
      </c>
      <c r="AK586" s="484">
        <f>IFERROR(IF(Input!AD142=0,0,(Input!AD142*$M533*((1+$S533)^VLOOKUP(AK$496-$S586+1,$N$576:$P$585,3)))),0)</f>
        <v>0</v>
      </c>
      <c r="AL586" s="484">
        <f>IFERROR(IF(Input!AE142=0,0,(Input!AE142*$M533*((1+$S533)^VLOOKUP(AL$496-$S586+1,$N$576:$P$585,3)))),0)</f>
        <v>0</v>
      </c>
      <c r="AM586" s="484">
        <f>IFERROR(IF(Input!AF142=0,0,(Input!AF142*$M533*((1+$S533)^VLOOKUP(AM$496-$S586+1,$N$576:$P$585,3)))),0)</f>
        <v>0</v>
      </c>
      <c r="AN586" s="484">
        <f>IFERROR(IF(Input!AG142=0,0,(Input!AG142*$M533*((1+$S533)^VLOOKUP(AN$496-$S586+1,$N$576:$P$585,3)))),0)</f>
        <v>0</v>
      </c>
      <c r="AO586" s="484">
        <f>IFERROR(IF(Input!AH142=0,0,(Input!AH142*$M533*((1+$S533)^VLOOKUP(AO$496-$S586+1,$N$576:$P$585,3)))),0)</f>
        <v>0</v>
      </c>
      <c r="AP586" s="484">
        <f>IFERROR(IF(Input!AI142=0,0,(Input!AI142*$M533*((1+$S533)^VLOOKUP(AP$496-$S586+1,$N$576:$P$585,3)))),0)</f>
        <v>0</v>
      </c>
      <c r="AQ586" s="484">
        <f>IFERROR(IF(Input!AJ142=0,0,(Input!AJ142*$M533*((1+$S533)^VLOOKUP(AQ$496-$S586+1,$N$576:$P$585,3)))),0)</f>
        <v>0</v>
      </c>
      <c r="AR586" s="484">
        <f>IFERROR(IF(Input!AK142=0,0,(Input!AK142*$M533*((1+$S533)^VLOOKUP(AR$496-$S586+1,$N$576:$P$585,3)))),0)</f>
        <v>0</v>
      </c>
      <c r="AS586" s="484">
        <f>IFERROR(IF(Input!AL142=0,0,(Input!AL142*$M533*((1+$S533)^VLOOKUP(AS$496-$S586+1,$N$576:$P$585,3)))),0)</f>
        <v>0</v>
      </c>
      <c r="AT586" s="484">
        <f>IFERROR(IF(Input!AM142=0,0,(Input!AM142*$M533*((1+$S533)^VLOOKUP(AT$496-$S586+1,$N$576:$P$585,3)))),0)</f>
        <v>0</v>
      </c>
      <c r="AU586" s="484">
        <f>IFERROR(IF(Input!AN142=0,0,(Input!AN142*$M533*((1+$S533)^VLOOKUP(AU$496-$S586+1,$N$576:$P$585,3)))),0)</f>
        <v>0</v>
      </c>
      <c r="AV586" s="484">
        <f>IFERROR(IF(Input!AO142=0,0,(Input!AO142*$M533*((1+$S533)^VLOOKUP(AV$496-$S586+1,$N$576:$P$585,3)))),0)</f>
        <v>0</v>
      </c>
      <c r="AW586" s="484">
        <f>IFERROR(IF(Input!AP142=0,0,(Input!AP142*$M533*((1+$S533)^VLOOKUP(AW$496-$S586+1,$N$576:$P$585,3)))),0)</f>
        <v>0</v>
      </c>
      <c r="AX586" s="484">
        <f>IFERROR(IF(Input!AQ142=0,0,(Input!AQ142*$M533*((1+$S533)^VLOOKUP(AX$496-$S586+1,$N$576:$P$585,3)))),0)</f>
        <v>0</v>
      </c>
      <c r="AY586" s="484">
        <f>IFERROR(IF(Input!AR142=0,0,(Input!AR142*$M533*((1+$S533)^VLOOKUP(AY$496-$S586+1,$N$576:$P$585,3)))),0)</f>
        <v>0</v>
      </c>
      <c r="AZ586" s="484">
        <f>IFERROR(IF(Input!AS142=0,0,(Input!AS142*$M533*((1+$S533)^VLOOKUP(AZ$496-$S586+1,$N$576:$P$585,3)))),0)</f>
        <v>0</v>
      </c>
      <c r="BA586" s="484">
        <f>IFERROR(IF(Input!AT142=0,0,(Input!AT142*$M533*((1+$S533)^VLOOKUP(BA$496-$S586+1,$N$576:$P$585,3)))),0)</f>
        <v>0</v>
      </c>
      <c r="BB586" s="484">
        <f>IFERROR(IF(Input!AU142=0,0,(Input!AU142*$M533*((1+$S533)^VLOOKUP(BB$496-$S586+1,$N$576:$P$585,3)))),0)</f>
        <v>0</v>
      </c>
      <c r="BC586" s="484">
        <f>IFERROR(IF(Input!AV142=0,0,(Input!AV142*$M533*((1+$S533)^VLOOKUP(BC$496-$S586+1,$N$576:$P$585,3)))),0)</f>
        <v>0</v>
      </c>
      <c r="BD586" s="484">
        <f>IFERROR(IF(Input!AW142=0,0,(Input!AW142*$M533*((1+$S533)^VLOOKUP(BD$496-$S586+1,$N$576:$P$585,3)))),0)</f>
        <v>0</v>
      </c>
      <c r="BE586" s="484">
        <f>IFERROR(IF(Input!AX142=0,0,(Input!AX142*$M533*((1+$S533)^VLOOKUP(BE$496-$S586+1,$N$576:$P$585,3)))),0)</f>
        <v>0</v>
      </c>
      <c r="BF586" s="484">
        <f>IFERROR(IF(Input!AY142=0,0,(Input!AY142*$M533*((1+$S533)^VLOOKUP(BF$496-$S586+1,$N$576:$P$585,3)))),0)</f>
        <v>0</v>
      </c>
      <c r="BG586" s="484">
        <f>IFERROR(IF(Input!AZ142=0,0,(Input!AZ142*$M533*((1+$S533)^VLOOKUP(BG$496-$S586+1,$N$576:$P$585,3)))),0)</f>
        <v>0</v>
      </c>
      <c r="BH586" s="484">
        <f>IFERROR(IF(Input!BA142=0,0,(Input!BA142*$M533*((1+$S533)^VLOOKUP(BH$496-$S586+1,$N$576:$P$585,3)))),0)</f>
        <v>0</v>
      </c>
      <c r="BI586" s="484">
        <f>IFERROR(IF(Input!BB142=0,0,(Input!BB142*$M533*((1+$S533)^VLOOKUP(BI$496-$S586+1,$N$576:$P$585,3)))),0)</f>
        <v>0</v>
      </c>
      <c r="BJ586" s="484">
        <f>IFERROR(IF(Input!BC142=0,0,(Input!BC142*$M533*((1+$S533)^VLOOKUP(BJ$496-$S586+1,$N$576:$P$585,3)))),0)</f>
        <v>0</v>
      </c>
      <c r="BK586" s="484">
        <f>IFERROR(IF(Input!BD142=0,0,(Input!BD142*$M533*((1+$S533)^VLOOKUP(BK$496-$S586+1,$N$576:$P$585,3)))),0)</f>
        <v>0</v>
      </c>
      <c r="BL586" s="484">
        <f>IFERROR(IF(Input!BE142=0,0,(Input!BE142*$M533*((1+$S533)^VLOOKUP(BL$496-$S586+1,$N$576:$P$585,3)))),0)</f>
        <v>0</v>
      </c>
      <c r="BM586" s="484">
        <f>IFERROR(IF(Input!BF142=0,0,(Input!BF142*$M533*((1+$S533)^VLOOKUP(BM$496-$S586+1,$N$576:$P$585,3)))),0)</f>
        <v>0</v>
      </c>
      <c r="BN586" s="484">
        <f>IFERROR(IF(Input!BG142=0,0,(Input!BG142*$M533*((1+$S533)^VLOOKUP(BN$496-$S586+1,$N$576:$P$585,3)))),0)</f>
        <v>0</v>
      </c>
      <c r="BO586" s="484">
        <f>IFERROR(IF(Input!BH142=0,0,(Input!BH142*$M533*((1+$S533)^VLOOKUP(BO$496-$S586+1,$N$576:$P$585,3)))),0)</f>
        <v>0</v>
      </c>
      <c r="BP586" s="484">
        <f>IFERROR(IF(Input!BI142=0,0,(Input!BI142*$M533*((1+$S533)^VLOOKUP(BP$496-$S586+1,$N$576:$P$585,3)))),0)</f>
        <v>0</v>
      </c>
      <c r="BQ586" s="484">
        <f>IFERROR(IF(Input!BJ142=0,0,(Input!BJ142*$M533*((1+$S533)^VLOOKUP(BQ$496-$S586+1,$N$576:$P$585,3)))),0)</f>
        <v>0</v>
      </c>
      <c r="BR586" s="484">
        <f>IFERROR(IF(Input!BK142=0,0,(Input!BK142*$M533*((1+$S533)^VLOOKUP(BR$496-$S586+1,$N$576:$P$585,3)))),0)</f>
        <v>0</v>
      </c>
      <c r="BS586" s="484">
        <f>IFERROR(IF(Input!BL142=0,0,(Input!BL142*$M533*((1+$S533)^VLOOKUP(BS$496-$S586+1,$N$576:$P$585,3)))),0)</f>
        <v>0</v>
      </c>
      <c r="BT586" s="484">
        <f>IFERROR(IF(Input!BM142=0,0,(Input!BM142*$M533*((1+$S533)^VLOOKUP(BT$496-$S586+1,$N$576:$P$585,3)))),0)</f>
        <v>0</v>
      </c>
      <c r="BU586" s="484">
        <f>IFERROR(IF(Input!BN142=0,0,(Input!BN142*$M533*((1+$S533)^VLOOKUP(BU$496-$S586+1,$N$576:$P$585,3)))),0)</f>
        <v>0</v>
      </c>
      <c r="BV586" s="484">
        <f>IFERROR(IF(Input!BO142=0,0,(Input!BO142*$M533*((1+$S533)^VLOOKUP(BV$496-$S586+1,$N$576:$P$585,3)))),0)</f>
        <v>0</v>
      </c>
      <c r="BW586" s="484">
        <f>IFERROR(IF(Input!BP142=0,0,(Input!BP142*$M533*((1+$S533)^VLOOKUP(BW$496-$S586+1,$N$576:$P$585,3)))),0)</f>
        <v>0</v>
      </c>
      <c r="BX586" s="484">
        <f>IFERROR(IF(Input!BQ142=0,0,(Input!BQ142*$M533*((1+$S533)^VLOOKUP(BX$496-$S586+1,$N$576:$P$585,3)))),0)</f>
        <v>0</v>
      </c>
      <c r="BY586" s="484">
        <f>IFERROR(IF(Input!BR142=0,0,(Input!BR142*$M533*((1+$S533)^VLOOKUP(BY$496-$S586+1,$N$576:$P$585,3)))),0)</f>
        <v>0</v>
      </c>
      <c r="BZ586" s="484">
        <f>IFERROR(IF(Input!BS142=0,0,(Input!BS142*$M533*((1+$S533)^VLOOKUP(BZ$496-$S586+1,$N$576:$P$585,3)))),0)</f>
        <v>0</v>
      </c>
      <c r="CA586" s="484">
        <f>IFERROR(IF(Input!BT142=0,0,(Input!BT142*$M533*((1+$S533)^VLOOKUP(CA$496-$S586+1,$N$576:$P$585,3)))),0)</f>
        <v>0</v>
      </c>
      <c r="CB586" s="484">
        <f>IFERROR(IF(Input!BU142=0,0,(Input!BU142*$M533*((1+$S533)^VLOOKUP(CB$496-$S586+1,$N$576:$P$585,3)))),0)</f>
        <v>0</v>
      </c>
      <c r="CC586" s="484">
        <f>IFERROR(IF(Input!BV142=0,0,(Input!BV142*$M533*((1+$S533)^VLOOKUP(CC$496-$S586+1,$N$576:$P$585,3)))),0)</f>
        <v>0</v>
      </c>
      <c r="CD586" s="484">
        <f>IFERROR(IF(Input!BW142=0,0,(Input!BW142*$M533*((1+$S533)^VLOOKUP(CD$496-$S586+1,$N$576:$P$585,3)))),0)</f>
        <v>0</v>
      </c>
      <c r="CE586" s="1183"/>
      <c r="CF586" s="1183"/>
      <c r="CG586" s="1183"/>
      <c r="CH586" s="1183"/>
      <c r="CI586" s="1183"/>
    </row>
    <row r="587" spans="11:87" ht="12" customHeight="1" x14ac:dyDescent="0.35">
      <c r="K587" s="13"/>
      <c r="L587" s="70"/>
      <c r="M587" s="82"/>
      <c r="N587" s="443"/>
      <c r="O587" s="443"/>
      <c r="P587" s="82"/>
      <c r="Q587" s="82"/>
      <c r="R587" s="40">
        <v>36</v>
      </c>
      <c r="S587" s="13">
        <f>IF(Input!H143&lt;&gt;"",VLOOKUP(Input!$H143,Infrastructure!$D$70:$F$129,3,FALSE),0)</f>
        <v>0</v>
      </c>
      <c r="T587" s="69">
        <f t="shared" si="371"/>
        <v>0</v>
      </c>
      <c r="U587" s="725">
        <f>1+Input!L143+Input!K143</f>
        <v>1</v>
      </c>
      <c r="V587" s="84"/>
      <c r="W587" s="62">
        <f>IFERROR(IF(Input!P143=0,0,(Input!P143*$M534*((1+$S534)^VLOOKUP(W$496-$S587+1,$N$576:$P$585,3)))),0)</f>
        <v>0</v>
      </c>
      <c r="X587" s="62">
        <f>IFERROR(IF(Input!Q143=0,0,(Input!Q143*$M534*((1+$S534)^VLOOKUP(X$496-$S587+1,$N$576:$P$585,3)))),0)</f>
        <v>0</v>
      </c>
      <c r="Y587" s="62">
        <f>IFERROR(IF(Input!R143=0,0,(Input!R143*$M534*((1+$S534)^VLOOKUP(Y$496-$S587+1,$N$576:$P$585,3)))),0)</f>
        <v>0</v>
      </c>
      <c r="Z587" s="62">
        <f>IFERROR(IF(Input!S143=0,0,(Input!S143*$M534*((1+$S534)^VLOOKUP(Z$496-$S587+1,$N$576:$P$585,3)))),0)</f>
        <v>0</v>
      </c>
      <c r="AA587" s="62">
        <f>IFERROR(IF(Input!T143=0,0,(Input!T143*$M534*((1+$S534)^VLOOKUP(AA$496-$S587+1,$N$576:$P$585,3)))),0)</f>
        <v>0</v>
      </c>
      <c r="AB587" s="62">
        <f>IFERROR(IF(Input!U143=0,0,(Input!U143*$M534*((1+$S534)^VLOOKUP(AB$496-$S587+1,$N$576:$P$585,3)))),0)</f>
        <v>0</v>
      </c>
      <c r="AC587" s="62">
        <f>IFERROR(IF(Input!V143=0,0,(Input!V143*$M534*((1+$S534)^VLOOKUP(AC$496-$S587+1,$N$576:$P$585,3)))),0)</f>
        <v>0</v>
      </c>
      <c r="AD587" s="62">
        <f>IFERROR(IF(Input!W143=0,0,(Input!W143*$M534*((1+$S534)^VLOOKUP(AD$496-$S587+1,$N$576:$P$585,3)))),0)</f>
        <v>0</v>
      </c>
      <c r="AE587" s="62">
        <f>IFERROR(IF(Input!X143=0,0,(Input!X143*$M534*((1+$S534)^VLOOKUP(AE$496-$S587+1,$N$576:$P$585,3)))),0)</f>
        <v>0</v>
      </c>
      <c r="AF587" s="484">
        <f>IFERROR(IF(Input!Y143=0,0,(Input!Y143*$M534*((1+$S534)^VLOOKUP(AF$496-$S587+1,$N$576:$P$585,3)))),0)</f>
        <v>0</v>
      </c>
      <c r="AG587" s="484">
        <f>IFERROR(IF(Input!Z143=0,0,(Input!Z143*$M534*((1+$S534)^VLOOKUP(AG$496-$S587+1,$N$576:$P$585,3)))),0)</f>
        <v>0</v>
      </c>
      <c r="AH587" s="484">
        <f>IFERROR(IF(Input!AA143=0,0,(Input!AA143*$M534*((1+$S534)^VLOOKUP(AH$496-$S587+1,$N$576:$P$585,3)))),0)</f>
        <v>0</v>
      </c>
      <c r="AI587" s="484">
        <f>IFERROR(IF(Input!AB143=0,0,(Input!AB143*$M534*((1+$S534)^VLOOKUP(AI$496-$S587+1,$N$576:$P$585,3)))),0)</f>
        <v>0</v>
      </c>
      <c r="AJ587" s="484">
        <f>IFERROR(IF(Input!AC143=0,0,(Input!AC143*$M534*((1+$S534)^VLOOKUP(AJ$496-$S587+1,$N$576:$P$585,3)))),0)</f>
        <v>0</v>
      </c>
      <c r="AK587" s="484">
        <f>IFERROR(IF(Input!AD143=0,0,(Input!AD143*$M534*((1+$S534)^VLOOKUP(AK$496-$S587+1,$N$576:$P$585,3)))),0)</f>
        <v>0</v>
      </c>
      <c r="AL587" s="484">
        <f>IFERROR(IF(Input!AE143=0,0,(Input!AE143*$M534*((1+$S534)^VLOOKUP(AL$496-$S587+1,$N$576:$P$585,3)))),0)</f>
        <v>0</v>
      </c>
      <c r="AM587" s="484">
        <f>IFERROR(IF(Input!AF143=0,0,(Input!AF143*$M534*((1+$S534)^VLOOKUP(AM$496-$S587+1,$N$576:$P$585,3)))),0)</f>
        <v>0</v>
      </c>
      <c r="AN587" s="484">
        <f>IFERROR(IF(Input!AG143=0,0,(Input!AG143*$M534*((1+$S534)^VLOOKUP(AN$496-$S587+1,$N$576:$P$585,3)))),0)</f>
        <v>0</v>
      </c>
      <c r="AO587" s="484">
        <f>IFERROR(IF(Input!AH143=0,0,(Input!AH143*$M534*((1+$S534)^VLOOKUP(AO$496-$S587+1,$N$576:$P$585,3)))),0)</f>
        <v>0</v>
      </c>
      <c r="AP587" s="484">
        <f>IFERROR(IF(Input!AI143=0,0,(Input!AI143*$M534*((1+$S534)^VLOOKUP(AP$496-$S587+1,$N$576:$P$585,3)))),0)</f>
        <v>0</v>
      </c>
      <c r="AQ587" s="484">
        <f>IFERROR(IF(Input!AJ143=0,0,(Input!AJ143*$M534*((1+$S534)^VLOOKUP(AQ$496-$S587+1,$N$576:$P$585,3)))),0)</f>
        <v>0</v>
      </c>
      <c r="AR587" s="484">
        <f>IFERROR(IF(Input!AK143=0,0,(Input!AK143*$M534*((1+$S534)^VLOOKUP(AR$496-$S587+1,$N$576:$P$585,3)))),0)</f>
        <v>0</v>
      </c>
      <c r="AS587" s="484">
        <f>IFERROR(IF(Input!AL143=0,0,(Input!AL143*$M534*((1+$S534)^VLOOKUP(AS$496-$S587+1,$N$576:$P$585,3)))),0)</f>
        <v>0</v>
      </c>
      <c r="AT587" s="484">
        <f>IFERROR(IF(Input!AM143=0,0,(Input!AM143*$M534*((1+$S534)^VLOOKUP(AT$496-$S587+1,$N$576:$P$585,3)))),0)</f>
        <v>0</v>
      </c>
      <c r="AU587" s="484">
        <f>IFERROR(IF(Input!AN143=0,0,(Input!AN143*$M534*((1+$S534)^VLOOKUP(AU$496-$S587+1,$N$576:$P$585,3)))),0)</f>
        <v>0</v>
      </c>
      <c r="AV587" s="484">
        <f>IFERROR(IF(Input!AO143=0,0,(Input!AO143*$M534*((1+$S534)^VLOOKUP(AV$496-$S587+1,$N$576:$P$585,3)))),0)</f>
        <v>0</v>
      </c>
      <c r="AW587" s="484">
        <f>IFERROR(IF(Input!AP143=0,0,(Input!AP143*$M534*((1+$S534)^VLOOKUP(AW$496-$S587+1,$N$576:$P$585,3)))),0)</f>
        <v>0</v>
      </c>
      <c r="AX587" s="484">
        <f>IFERROR(IF(Input!AQ143=0,0,(Input!AQ143*$M534*((1+$S534)^VLOOKUP(AX$496-$S587+1,$N$576:$P$585,3)))),0)</f>
        <v>0</v>
      </c>
      <c r="AY587" s="484">
        <f>IFERROR(IF(Input!AR143=0,0,(Input!AR143*$M534*((1+$S534)^VLOOKUP(AY$496-$S587+1,$N$576:$P$585,3)))),0)</f>
        <v>0</v>
      </c>
      <c r="AZ587" s="484">
        <f>IFERROR(IF(Input!AS143=0,0,(Input!AS143*$M534*((1+$S534)^VLOOKUP(AZ$496-$S587+1,$N$576:$P$585,3)))),0)</f>
        <v>0</v>
      </c>
      <c r="BA587" s="484">
        <f>IFERROR(IF(Input!AT143=0,0,(Input!AT143*$M534*((1+$S534)^VLOOKUP(BA$496-$S587+1,$N$576:$P$585,3)))),0)</f>
        <v>0</v>
      </c>
      <c r="BB587" s="484">
        <f>IFERROR(IF(Input!AU143=0,0,(Input!AU143*$M534*((1+$S534)^VLOOKUP(BB$496-$S587+1,$N$576:$P$585,3)))),0)</f>
        <v>0</v>
      </c>
      <c r="BC587" s="484">
        <f>IFERROR(IF(Input!AV143=0,0,(Input!AV143*$M534*((1+$S534)^VLOOKUP(BC$496-$S587+1,$N$576:$P$585,3)))),0)</f>
        <v>0</v>
      </c>
      <c r="BD587" s="484">
        <f>IFERROR(IF(Input!AW143=0,0,(Input!AW143*$M534*((1+$S534)^VLOOKUP(BD$496-$S587+1,$N$576:$P$585,3)))),0)</f>
        <v>0</v>
      </c>
      <c r="BE587" s="484">
        <f>IFERROR(IF(Input!AX143=0,0,(Input!AX143*$M534*((1+$S534)^VLOOKUP(BE$496-$S587+1,$N$576:$P$585,3)))),0)</f>
        <v>0</v>
      </c>
      <c r="BF587" s="484">
        <f>IFERROR(IF(Input!AY143=0,0,(Input!AY143*$M534*((1+$S534)^VLOOKUP(BF$496-$S587+1,$N$576:$P$585,3)))),0)</f>
        <v>0</v>
      </c>
      <c r="BG587" s="484">
        <f>IFERROR(IF(Input!AZ143=0,0,(Input!AZ143*$M534*((1+$S534)^VLOOKUP(BG$496-$S587+1,$N$576:$P$585,3)))),0)</f>
        <v>0</v>
      </c>
      <c r="BH587" s="484">
        <f>IFERROR(IF(Input!BA143=0,0,(Input!BA143*$M534*((1+$S534)^VLOOKUP(BH$496-$S587+1,$N$576:$P$585,3)))),0)</f>
        <v>0</v>
      </c>
      <c r="BI587" s="484">
        <f>IFERROR(IF(Input!BB143=0,0,(Input!BB143*$M534*((1+$S534)^VLOOKUP(BI$496-$S587+1,$N$576:$P$585,3)))),0)</f>
        <v>0</v>
      </c>
      <c r="BJ587" s="484">
        <f>IFERROR(IF(Input!BC143=0,0,(Input!BC143*$M534*((1+$S534)^VLOOKUP(BJ$496-$S587+1,$N$576:$P$585,3)))),0)</f>
        <v>0</v>
      </c>
      <c r="BK587" s="484">
        <f>IFERROR(IF(Input!BD143=0,0,(Input!BD143*$M534*((1+$S534)^VLOOKUP(BK$496-$S587+1,$N$576:$P$585,3)))),0)</f>
        <v>0</v>
      </c>
      <c r="BL587" s="484">
        <f>IFERROR(IF(Input!BE143=0,0,(Input!BE143*$M534*((1+$S534)^VLOOKUP(BL$496-$S587+1,$N$576:$P$585,3)))),0)</f>
        <v>0</v>
      </c>
      <c r="BM587" s="484">
        <f>IFERROR(IF(Input!BF143=0,0,(Input!BF143*$M534*((1+$S534)^VLOOKUP(BM$496-$S587+1,$N$576:$P$585,3)))),0)</f>
        <v>0</v>
      </c>
      <c r="BN587" s="484">
        <f>IFERROR(IF(Input!BG143=0,0,(Input!BG143*$M534*((1+$S534)^VLOOKUP(BN$496-$S587+1,$N$576:$P$585,3)))),0)</f>
        <v>0</v>
      </c>
      <c r="BO587" s="484">
        <f>IFERROR(IF(Input!BH143=0,0,(Input!BH143*$M534*((1+$S534)^VLOOKUP(BO$496-$S587+1,$N$576:$P$585,3)))),0)</f>
        <v>0</v>
      </c>
      <c r="BP587" s="484">
        <f>IFERROR(IF(Input!BI143=0,0,(Input!BI143*$M534*((1+$S534)^VLOOKUP(BP$496-$S587+1,$N$576:$P$585,3)))),0)</f>
        <v>0</v>
      </c>
      <c r="BQ587" s="484">
        <f>IFERROR(IF(Input!BJ143=0,0,(Input!BJ143*$M534*((1+$S534)^VLOOKUP(BQ$496-$S587+1,$N$576:$P$585,3)))),0)</f>
        <v>0</v>
      </c>
      <c r="BR587" s="484">
        <f>IFERROR(IF(Input!BK143=0,0,(Input!BK143*$M534*((1+$S534)^VLOOKUP(BR$496-$S587+1,$N$576:$P$585,3)))),0)</f>
        <v>0</v>
      </c>
      <c r="BS587" s="484">
        <f>IFERROR(IF(Input!BL143=0,0,(Input!BL143*$M534*((1+$S534)^VLOOKUP(BS$496-$S587+1,$N$576:$P$585,3)))),0)</f>
        <v>0</v>
      </c>
      <c r="BT587" s="484">
        <f>IFERROR(IF(Input!BM143=0,0,(Input!BM143*$M534*((1+$S534)^VLOOKUP(BT$496-$S587+1,$N$576:$P$585,3)))),0)</f>
        <v>0</v>
      </c>
      <c r="BU587" s="484">
        <f>IFERROR(IF(Input!BN143=0,0,(Input!BN143*$M534*((1+$S534)^VLOOKUP(BU$496-$S587+1,$N$576:$P$585,3)))),0)</f>
        <v>0</v>
      </c>
      <c r="BV587" s="484">
        <f>IFERROR(IF(Input!BO143=0,0,(Input!BO143*$M534*((1+$S534)^VLOOKUP(BV$496-$S587+1,$N$576:$P$585,3)))),0)</f>
        <v>0</v>
      </c>
      <c r="BW587" s="484">
        <f>IFERROR(IF(Input!BP143=0,0,(Input!BP143*$M534*((1+$S534)^VLOOKUP(BW$496-$S587+1,$N$576:$P$585,3)))),0)</f>
        <v>0</v>
      </c>
      <c r="BX587" s="484">
        <f>IFERROR(IF(Input!BQ143=0,0,(Input!BQ143*$M534*((1+$S534)^VLOOKUP(BX$496-$S587+1,$N$576:$P$585,3)))),0)</f>
        <v>0</v>
      </c>
      <c r="BY587" s="484">
        <f>IFERROR(IF(Input!BR143=0,0,(Input!BR143*$M534*((1+$S534)^VLOOKUP(BY$496-$S587+1,$N$576:$P$585,3)))),0)</f>
        <v>0</v>
      </c>
      <c r="BZ587" s="484">
        <f>IFERROR(IF(Input!BS143=0,0,(Input!BS143*$M534*((1+$S534)^VLOOKUP(BZ$496-$S587+1,$N$576:$P$585,3)))),0)</f>
        <v>0</v>
      </c>
      <c r="CA587" s="484">
        <f>IFERROR(IF(Input!BT143=0,0,(Input!BT143*$M534*((1+$S534)^VLOOKUP(CA$496-$S587+1,$N$576:$P$585,3)))),0)</f>
        <v>0</v>
      </c>
      <c r="CB587" s="484">
        <f>IFERROR(IF(Input!BU143=0,0,(Input!BU143*$M534*((1+$S534)^VLOOKUP(CB$496-$S587+1,$N$576:$P$585,3)))),0)</f>
        <v>0</v>
      </c>
      <c r="CC587" s="484">
        <f>IFERROR(IF(Input!BV143=0,0,(Input!BV143*$M534*((1+$S534)^VLOOKUP(CC$496-$S587+1,$N$576:$P$585,3)))),0)</f>
        <v>0</v>
      </c>
      <c r="CD587" s="484">
        <f>IFERROR(IF(Input!BW143=0,0,(Input!BW143*$M534*((1+$S534)^VLOOKUP(CD$496-$S587+1,$N$576:$P$585,3)))),0)</f>
        <v>0</v>
      </c>
      <c r="CE587" s="1183"/>
      <c r="CF587" s="1183"/>
      <c r="CG587" s="1183"/>
      <c r="CH587" s="1183"/>
      <c r="CI587" s="1183"/>
    </row>
    <row r="588" spans="11:87" ht="12" customHeight="1" x14ac:dyDescent="0.35">
      <c r="K588" s="13"/>
      <c r="L588" s="40"/>
      <c r="M588" s="82"/>
      <c r="N588" s="443"/>
      <c r="O588" s="443"/>
      <c r="P588" s="82"/>
      <c r="Q588" s="82"/>
      <c r="R588" s="13">
        <v>37</v>
      </c>
      <c r="S588" s="13">
        <f>IF(Input!H144&lt;&gt;"",VLOOKUP(Input!$H144,Infrastructure!$D$70:$F$129,3,FALSE),0)</f>
        <v>0</v>
      </c>
      <c r="T588" s="69">
        <f t="shared" si="371"/>
        <v>0</v>
      </c>
      <c r="U588" s="725">
        <f>1+Input!L144+Input!K144</f>
        <v>1</v>
      </c>
      <c r="V588" s="84"/>
      <c r="W588" s="62">
        <f>IFERROR(IF(Input!P144=0,0,(Input!P144*$M535*((1+$S535)^VLOOKUP(W$496-$S588+1,$N$576:$P$585,3)))),0)</f>
        <v>0</v>
      </c>
      <c r="X588" s="62">
        <f>IFERROR(IF(Input!Q144=0,0,(Input!Q144*$M535*((1+$S535)^VLOOKUP(X$496-$S588+1,$N$576:$P$585,3)))),0)</f>
        <v>0</v>
      </c>
      <c r="Y588" s="62">
        <f>IFERROR(IF(Input!R144=0,0,(Input!R144*$M535*((1+$S535)^VLOOKUP(Y$496-$S588+1,$N$576:$P$585,3)))),0)</f>
        <v>0</v>
      </c>
      <c r="Z588" s="62">
        <f>IFERROR(IF(Input!S144=0,0,(Input!S144*$M535*((1+$S535)^VLOOKUP(Z$496-$S588+1,$N$576:$P$585,3)))),0)</f>
        <v>0</v>
      </c>
      <c r="AA588" s="62">
        <f>IFERROR(IF(Input!T144=0,0,(Input!T144*$M535*((1+$S535)^VLOOKUP(AA$496-$S588+1,$N$576:$P$585,3)))),0)</f>
        <v>0</v>
      </c>
      <c r="AB588" s="62">
        <f>IFERROR(IF(Input!U144=0,0,(Input!U144*$M535*((1+$S535)^VLOOKUP(AB$496-$S588+1,$N$576:$P$585,3)))),0)</f>
        <v>0</v>
      </c>
      <c r="AC588" s="62">
        <f>IFERROR(IF(Input!V144=0,0,(Input!V144*$M535*((1+$S535)^VLOOKUP(AC$496-$S588+1,$N$576:$P$585,3)))),0)</f>
        <v>0</v>
      </c>
      <c r="AD588" s="62">
        <f>IFERROR(IF(Input!W144=0,0,(Input!W144*$M535*((1+$S535)^VLOOKUP(AD$496-$S588+1,$N$576:$P$585,3)))),0)</f>
        <v>0</v>
      </c>
      <c r="AE588" s="62">
        <f>IFERROR(IF(Input!X144=0,0,(Input!X144*$M535*((1+$S535)^VLOOKUP(AE$496-$S588+1,$N$576:$P$585,3)))),0)</f>
        <v>0</v>
      </c>
      <c r="AF588" s="484">
        <f>IFERROR(IF(Input!Y144=0,0,(Input!Y144*$M535*((1+$S535)^VLOOKUP(AF$496-$S588+1,$N$576:$P$585,3)))),0)</f>
        <v>0</v>
      </c>
      <c r="AG588" s="484">
        <f>IFERROR(IF(Input!Z144=0,0,(Input!Z144*$M535*((1+$S535)^VLOOKUP(AG$496-$S588+1,$N$576:$P$585,3)))),0)</f>
        <v>0</v>
      </c>
      <c r="AH588" s="484">
        <f>IFERROR(IF(Input!AA144=0,0,(Input!AA144*$M535*((1+$S535)^VLOOKUP(AH$496-$S588+1,$N$576:$P$585,3)))),0)</f>
        <v>0</v>
      </c>
      <c r="AI588" s="484">
        <f>IFERROR(IF(Input!AB144=0,0,(Input!AB144*$M535*((1+$S535)^VLOOKUP(AI$496-$S588+1,$N$576:$P$585,3)))),0)</f>
        <v>0</v>
      </c>
      <c r="AJ588" s="484">
        <f>IFERROR(IF(Input!AC144=0,0,(Input!AC144*$M535*((1+$S535)^VLOOKUP(AJ$496-$S588+1,$N$576:$P$585,3)))),0)</f>
        <v>0</v>
      </c>
      <c r="AK588" s="484">
        <f>IFERROR(IF(Input!AD144=0,0,(Input!AD144*$M535*((1+$S535)^VLOOKUP(AK$496-$S588+1,$N$576:$P$585,3)))),0)</f>
        <v>0</v>
      </c>
      <c r="AL588" s="484">
        <f>IFERROR(IF(Input!AE144=0,0,(Input!AE144*$M535*((1+$S535)^VLOOKUP(AL$496-$S588+1,$N$576:$P$585,3)))),0)</f>
        <v>0</v>
      </c>
      <c r="AM588" s="484">
        <f>IFERROR(IF(Input!AF144=0,0,(Input!AF144*$M535*((1+$S535)^VLOOKUP(AM$496-$S588+1,$N$576:$P$585,3)))),0)</f>
        <v>0</v>
      </c>
      <c r="AN588" s="484">
        <f>IFERROR(IF(Input!AG144=0,0,(Input!AG144*$M535*((1+$S535)^VLOOKUP(AN$496-$S588+1,$N$576:$P$585,3)))),0)</f>
        <v>0</v>
      </c>
      <c r="AO588" s="484">
        <f>IFERROR(IF(Input!AH144=0,0,(Input!AH144*$M535*((1+$S535)^VLOOKUP(AO$496-$S588+1,$N$576:$P$585,3)))),0)</f>
        <v>0</v>
      </c>
      <c r="AP588" s="484">
        <f>IFERROR(IF(Input!AI144=0,0,(Input!AI144*$M535*((1+$S535)^VLOOKUP(AP$496-$S588+1,$N$576:$P$585,3)))),0)</f>
        <v>0</v>
      </c>
      <c r="AQ588" s="484">
        <f>IFERROR(IF(Input!AJ144=0,0,(Input!AJ144*$M535*((1+$S535)^VLOOKUP(AQ$496-$S588+1,$N$576:$P$585,3)))),0)</f>
        <v>0</v>
      </c>
      <c r="AR588" s="484">
        <f>IFERROR(IF(Input!AK144=0,0,(Input!AK144*$M535*((1+$S535)^VLOOKUP(AR$496-$S588+1,$N$576:$P$585,3)))),0)</f>
        <v>0</v>
      </c>
      <c r="AS588" s="484">
        <f>IFERROR(IF(Input!AL144=0,0,(Input!AL144*$M535*((1+$S535)^VLOOKUP(AS$496-$S588+1,$N$576:$P$585,3)))),0)</f>
        <v>0</v>
      </c>
      <c r="AT588" s="484">
        <f>IFERROR(IF(Input!AM144=0,0,(Input!AM144*$M535*((1+$S535)^VLOOKUP(AT$496-$S588+1,$N$576:$P$585,3)))),0)</f>
        <v>0</v>
      </c>
      <c r="AU588" s="484">
        <f>IFERROR(IF(Input!AN144=0,0,(Input!AN144*$M535*((1+$S535)^VLOOKUP(AU$496-$S588+1,$N$576:$P$585,3)))),0)</f>
        <v>0</v>
      </c>
      <c r="AV588" s="484">
        <f>IFERROR(IF(Input!AO144=0,0,(Input!AO144*$M535*((1+$S535)^VLOOKUP(AV$496-$S588+1,$N$576:$P$585,3)))),0)</f>
        <v>0</v>
      </c>
      <c r="AW588" s="484">
        <f>IFERROR(IF(Input!AP144=0,0,(Input!AP144*$M535*((1+$S535)^VLOOKUP(AW$496-$S588+1,$N$576:$P$585,3)))),0)</f>
        <v>0</v>
      </c>
      <c r="AX588" s="484">
        <f>IFERROR(IF(Input!AQ144=0,0,(Input!AQ144*$M535*((1+$S535)^VLOOKUP(AX$496-$S588+1,$N$576:$P$585,3)))),0)</f>
        <v>0</v>
      </c>
      <c r="AY588" s="484">
        <f>IFERROR(IF(Input!AR144=0,0,(Input!AR144*$M535*((1+$S535)^VLOOKUP(AY$496-$S588+1,$N$576:$P$585,3)))),0)</f>
        <v>0</v>
      </c>
      <c r="AZ588" s="484">
        <f>IFERROR(IF(Input!AS144=0,0,(Input!AS144*$M535*((1+$S535)^VLOOKUP(AZ$496-$S588+1,$N$576:$P$585,3)))),0)</f>
        <v>0</v>
      </c>
      <c r="BA588" s="484">
        <f>IFERROR(IF(Input!AT144=0,0,(Input!AT144*$M535*((1+$S535)^VLOOKUP(BA$496-$S588+1,$N$576:$P$585,3)))),0)</f>
        <v>0</v>
      </c>
      <c r="BB588" s="484">
        <f>IFERROR(IF(Input!AU144=0,0,(Input!AU144*$M535*((1+$S535)^VLOOKUP(BB$496-$S588+1,$N$576:$P$585,3)))),0)</f>
        <v>0</v>
      </c>
      <c r="BC588" s="484">
        <f>IFERROR(IF(Input!AV144=0,0,(Input!AV144*$M535*((1+$S535)^VLOOKUP(BC$496-$S588+1,$N$576:$P$585,3)))),0)</f>
        <v>0</v>
      </c>
      <c r="BD588" s="484">
        <f>IFERROR(IF(Input!AW144=0,0,(Input!AW144*$M535*((1+$S535)^VLOOKUP(BD$496-$S588+1,$N$576:$P$585,3)))),0)</f>
        <v>0</v>
      </c>
      <c r="BE588" s="484">
        <f>IFERROR(IF(Input!AX144=0,0,(Input!AX144*$M535*((1+$S535)^VLOOKUP(BE$496-$S588+1,$N$576:$P$585,3)))),0)</f>
        <v>0</v>
      </c>
      <c r="BF588" s="484">
        <f>IFERROR(IF(Input!AY144=0,0,(Input!AY144*$M535*((1+$S535)^VLOOKUP(BF$496-$S588+1,$N$576:$P$585,3)))),0)</f>
        <v>0</v>
      </c>
      <c r="BG588" s="484">
        <f>IFERROR(IF(Input!AZ144=0,0,(Input!AZ144*$M535*((1+$S535)^VLOOKUP(BG$496-$S588+1,$N$576:$P$585,3)))),0)</f>
        <v>0</v>
      </c>
      <c r="BH588" s="484">
        <f>IFERROR(IF(Input!BA144=0,0,(Input!BA144*$M535*((1+$S535)^VLOOKUP(BH$496-$S588+1,$N$576:$P$585,3)))),0)</f>
        <v>0</v>
      </c>
      <c r="BI588" s="484">
        <f>IFERROR(IF(Input!BB144=0,0,(Input!BB144*$M535*((1+$S535)^VLOOKUP(BI$496-$S588+1,$N$576:$P$585,3)))),0)</f>
        <v>0</v>
      </c>
      <c r="BJ588" s="484">
        <f>IFERROR(IF(Input!BC144=0,0,(Input!BC144*$M535*((1+$S535)^VLOOKUP(BJ$496-$S588+1,$N$576:$P$585,3)))),0)</f>
        <v>0</v>
      </c>
      <c r="BK588" s="484">
        <f>IFERROR(IF(Input!BD144=0,0,(Input!BD144*$M535*((1+$S535)^VLOOKUP(BK$496-$S588+1,$N$576:$P$585,3)))),0)</f>
        <v>0</v>
      </c>
      <c r="BL588" s="484">
        <f>IFERROR(IF(Input!BE144=0,0,(Input!BE144*$M535*((1+$S535)^VLOOKUP(BL$496-$S588+1,$N$576:$P$585,3)))),0)</f>
        <v>0</v>
      </c>
      <c r="BM588" s="484">
        <f>IFERROR(IF(Input!BF144=0,0,(Input!BF144*$M535*((1+$S535)^VLOOKUP(BM$496-$S588+1,$N$576:$P$585,3)))),0)</f>
        <v>0</v>
      </c>
      <c r="BN588" s="484">
        <f>IFERROR(IF(Input!BG144=0,0,(Input!BG144*$M535*((1+$S535)^VLOOKUP(BN$496-$S588+1,$N$576:$P$585,3)))),0)</f>
        <v>0</v>
      </c>
      <c r="BO588" s="484">
        <f>IFERROR(IF(Input!BH144=0,0,(Input!BH144*$M535*((1+$S535)^VLOOKUP(BO$496-$S588+1,$N$576:$P$585,3)))),0)</f>
        <v>0</v>
      </c>
      <c r="BP588" s="484">
        <f>IFERROR(IF(Input!BI144=0,0,(Input!BI144*$M535*((1+$S535)^VLOOKUP(BP$496-$S588+1,$N$576:$P$585,3)))),0)</f>
        <v>0</v>
      </c>
      <c r="BQ588" s="484">
        <f>IFERROR(IF(Input!BJ144=0,0,(Input!BJ144*$M535*((1+$S535)^VLOOKUP(BQ$496-$S588+1,$N$576:$P$585,3)))),0)</f>
        <v>0</v>
      </c>
      <c r="BR588" s="484">
        <f>IFERROR(IF(Input!BK144=0,0,(Input!BK144*$M535*((1+$S535)^VLOOKUP(BR$496-$S588+1,$N$576:$P$585,3)))),0)</f>
        <v>0</v>
      </c>
      <c r="BS588" s="484">
        <f>IFERROR(IF(Input!BL144=0,0,(Input!BL144*$M535*((1+$S535)^VLOOKUP(BS$496-$S588+1,$N$576:$P$585,3)))),0)</f>
        <v>0</v>
      </c>
      <c r="BT588" s="484">
        <f>IFERROR(IF(Input!BM144=0,0,(Input!BM144*$M535*((1+$S535)^VLOOKUP(BT$496-$S588+1,$N$576:$P$585,3)))),0)</f>
        <v>0</v>
      </c>
      <c r="BU588" s="484">
        <f>IFERROR(IF(Input!BN144=0,0,(Input!BN144*$M535*((1+$S535)^VLOOKUP(BU$496-$S588+1,$N$576:$P$585,3)))),0)</f>
        <v>0</v>
      </c>
      <c r="BV588" s="484">
        <f>IFERROR(IF(Input!BO144=0,0,(Input!BO144*$M535*((1+$S535)^VLOOKUP(BV$496-$S588+1,$N$576:$P$585,3)))),0)</f>
        <v>0</v>
      </c>
      <c r="BW588" s="484">
        <f>IFERROR(IF(Input!BP144=0,0,(Input!BP144*$M535*((1+$S535)^VLOOKUP(BW$496-$S588+1,$N$576:$P$585,3)))),0)</f>
        <v>0</v>
      </c>
      <c r="BX588" s="484">
        <f>IFERROR(IF(Input!BQ144=0,0,(Input!BQ144*$M535*((1+$S535)^VLOOKUP(BX$496-$S588+1,$N$576:$P$585,3)))),0)</f>
        <v>0</v>
      </c>
      <c r="BY588" s="484">
        <f>IFERROR(IF(Input!BR144=0,0,(Input!BR144*$M535*((1+$S535)^VLOOKUP(BY$496-$S588+1,$N$576:$P$585,3)))),0)</f>
        <v>0</v>
      </c>
      <c r="BZ588" s="484">
        <f>IFERROR(IF(Input!BS144=0,0,(Input!BS144*$M535*((1+$S535)^VLOOKUP(BZ$496-$S588+1,$N$576:$P$585,3)))),0)</f>
        <v>0</v>
      </c>
      <c r="CA588" s="484">
        <f>IFERROR(IF(Input!BT144=0,0,(Input!BT144*$M535*((1+$S535)^VLOOKUP(CA$496-$S588+1,$N$576:$P$585,3)))),0)</f>
        <v>0</v>
      </c>
      <c r="CB588" s="484">
        <f>IFERROR(IF(Input!BU144=0,0,(Input!BU144*$M535*((1+$S535)^VLOOKUP(CB$496-$S588+1,$N$576:$P$585,3)))),0)</f>
        <v>0</v>
      </c>
      <c r="CC588" s="484">
        <f>IFERROR(IF(Input!BV144=0,0,(Input!BV144*$M535*((1+$S535)^VLOOKUP(CC$496-$S588+1,$N$576:$P$585,3)))),0)</f>
        <v>0</v>
      </c>
      <c r="CD588" s="484">
        <f>IFERROR(IF(Input!BW144=0,0,(Input!BW144*$M535*((1+$S535)^VLOOKUP(CD$496-$S588+1,$N$576:$P$585,3)))),0)</f>
        <v>0</v>
      </c>
      <c r="CE588" s="1183"/>
      <c r="CF588" s="1183"/>
      <c r="CG588" s="1183"/>
      <c r="CH588" s="1183"/>
      <c r="CI588" s="1183"/>
    </row>
    <row r="589" spans="11:87" ht="12" customHeight="1" x14ac:dyDescent="0.35">
      <c r="K589" s="13"/>
      <c r="L589" s="40"/>
      <c r="M589" s="82"/>
      <c r="N589" s="443"/>
      <c r="O589" s="443"/>
      <c r="P589" s="82"/>
      <c r="Q589" s="82"/>
      <c r="R589" s="13">
        <v>38</v>
      </c>
      <c r="S589" s="13">
        <f>IF(Input!H145&lt;&gt;"",VLOOKUP(Input!$H145,Infrastructure!$D$70:$F$129,3,FALSE),0)</f>
        <v>0</v>
      </c>
      <c r="T589" s="69">
        <f t="shared" si="371"/>
        <v>0</v>
      </c>
      <c r="U589" s="725">
        <f>1+Input!L145+Input!K145</f>
        <v>1</v>
      </c>
      <c r="V589" s="84"/>
      <c r="W589" s="62">
        <f>IFERROR(IF(Input!P145=0,0,(Input!P145*$M536*((1+$S536)^VLOOKUP(W$496-$S589+1,$N$576:$P$585,3)))),0)</f>
        <v>0</v>
      </c>
      <c r="X589" s="62">
        <f>IFERROR(IF(Input!Q145=0,0,(Input!Q145*$M536*((1+$S536)^VLOOKUP(X$496-$S589+1,$N$576:$P$585,3)))),0)</f>
        <v>0</v>
      </c>
      <c r="Y589" s="62">
        <f>IFERROR(IF(Input!R145=0,0,(Input!R145*$M536*((1+$S536)^VLOOKUP(Y$496-$S589+1,$N$576:$P$585,3)))),0)</f>
        <v>0</v>
      </c>
      <c r="Z589" s="62">
        <f>IFERROR(IF(Input!S145=0,0,(Input!S145*$M536*((1+$S536)^VLOOKUP(Z$496-$S589+1,$N$576:$P$585,3)))),0)</f>
        <v>0</v>
      </c>
      <c r="AA589" s="62">
        <f>IFERROR(IF(Input!T145=0,0,(Input!T145*$M536*((1+$S536)^VLOOKUP(AA$496-$S589+1,$N$576:$P$585,3)))),0)</f>
        <v>0</v>
      </c>
      <c r="AB589" s="62">
        <f>IFERROR(IF(Input!U145=0,0,(Input!U145*$M536*((1+$S536)^VLOOKUP(AB$496-$S589+1,$N$576:$P$585,3)))),0)</f>
        <v>0</v>
      </c>
      <c r="AC589" s="62">
        <f>IFERROR(IF(Input!V145=0,0,(Input!V145*$M536*((1+$S536)^VLOOKUP(AC$496-$S589+1,$N$576:$P$585,3)))),0)</f>
        <v>0</v>
      </c>
      <c r="AD589" s="62">
        <f>IFERROR(IF(Input!W145=0,0,(Input!W145*$M536*((1+$S536)^VLOOKUP(AD$496-$S589+1,$N$576:$P$585,3)))),0)</f>
        <v>0</v>
      </c>
      <c r="AE589" s="62">
        <f>IFERROR(IF(Input!X145=0,0,(Input!X145*$M536*((1+$S536)^VLOOKUP(AE$496-$S589+1,$N$576:$P$585,3)))),0)</f>
        <v>0</v>
      </c>
      <c r="AF589" s="484">
        <f>IFERROR(IF(Input!Y145=0,0,(Input!Y145*$M536*((1+$S536)^VLOOKUP(AF$496-$S589+1,$N$576:$P$585,3)))),0)</f>
        <v>0</v>
      </c>
      <c r="AG589" s="484">
        <f>IFERROR(IF(Input!Z145=0,0,(Input!Z145*$M536*((1+$S536)^VLOOKUP(AG$496-$S589+1,$N$576:$P$585,3)))),0)</f>
        <v>0</v>
      </c>
      <c r="AH589" s="484">
        <f>IFERROR(IF(Input!AA145=0,0,(Input!AA145*$M536*((1+$S536)^VLOOKUP(AH$496-$S589+1,$N$576:$P$585,3)))),0)</f>
        <v>0</v>
      </c>
      <c r="AI589" s="484">
        <f>IFERROR(IF(Input!AB145=0,0,(Input!AB145*$M536*((1+$S536)^VLOOKUP(AI$496-$S589+1,$N$576:$P$585,3)))),0)</f>
        <v>0</v>
      </c>
      <c r="AJ589" s="484">
        <f>IFERROR(IF(Input!AC145=0,0,(Input!AC145*$M536*((1+$S536)^VLOOKUP(AJ$496-$S589+1,$N$576:$P$585,3)))),0)</f>
        <v>0</v>
      </c>
      <c r="AK589" s="484">
        <f>IFERROR(IF(Input!AD145=0,0,(Input!AD145*$M536*((1+$S536)^VLOOKUP(AK$496-$S589+1,$N$576:$P$585,3)))),0)</f>
        <v>0</v>
      </c>
      <c r="AL589" s="484">
        <f>IFERROR(IF(Input!AE145=0,0,(Input!AE145*$M536*((1+$S536)^VLOOKUP(AL$496-$S589+1,$N$576:$P$585,3)))),0)</f>
        <v>0</v>
      </c>
      <c r="AM589" s="484">
        <f>IFERROR(IF(Input!AF145=0,0,(Input!AF145*$M536*((1+$S536)^VLOOKUP(AM$496-$S589+1,$N$576:$P$585,3)))),0)</f>
        <v>0</v>
      </c>
      <c r="AN589" s="484">
        <f>IFERROR(IF(Input!AG145=0,0,(Input!AG145*$M536*((1+$S536)^VLOOKUP(AN$496-$S589+1,$N$576:$P$585,3)))),0)</f>
        <v>0</v>
      </c>
      <c r="AO589" s="484">
        <f>IFERROR(IF(Input!AH145=0,0,(Input!AH145*$M536*((1+$S536)^VLOOKUP(AO$496-$S589+1,$N$576:$P$585,3)))),0)</f>
        <v>0</v>
      </c>
      <c r="AP589" s="484">
        <f>IFERROR(IF(Input!AI145=0,0,(Input!AI145*$M536*((1+$S536)^VLOOKUP(AP$496-$S589+1,$N$576:$P$585,3)))),0)</f>
        <v>0</v>
      </c>
      <c r="AQ589" s="484">
        <f>IFERROR(IF(Input!AJ145=0,0,(Input!AJ145*$M536*((1+$S536)^VLOOKUP(AQ$496-$S589+1,$N$576:$P$585,3)))),0)</f>
        <v>0</v>
      </c>
      <c r="AR589" s="484">
        <f>IFERROR(IF(Input!AK145=0,0,(Input!AK145*$M536*((1+$S536)^VLOOKUP(AR$496-$S589+1,$N$576:$P$585,3)))),0)</f>
        <v>0</v>
      </c>
      <c r="AS589" s="484">
        <f>IFERROR(IF(Input!AL145=0,0,(Input!AL145*$M536*((1+$S536)^VLOOKUP(AS$496-$S589+1,$N$576:$P$585,3)))),0)</f>
        <v>0</v>
      </c>
      <c r="AT589" s="484">
        <f>IFERROR(IF(Input!AM145=0,0,(Input!AM145*$M536*((1+$S536)^VLOOKUP(AT$496-$S589+1,$N$576:$P$585,3)))),0)</f>
        <v>0</v>
      </c>
      <c r="AU589" s="484">
        <f>IFERROR(IF(Input!AN145=0,0,(Input!AN145*$M536*((1+$S536)^VLOOKUP(AU$496-$S589+1,$N$576:$P$585,3)))),0)</f>
        <v>0</v>
      </c>
      <c r="AV589" s="484">
        <f>IFERROR(IF(Input!AO145=0,0,(Input!AO145*$M536*((1+$S536)^VLOOKUP(AV$496-$S589+1,$N$576:$P$585,3)))),0)</f>
        <v>0</v>
      </c>
      <c r="AW589" s="484">
        <f>IFERROR(IF(Input!AP145=0,0,(Input!AP145*$M536*((1+$S536)^VLOOKUP(AW$496-$S589+1,$N$576:$P$585,3)))),0)</f>
        <v>0</v>
      </c>
      <c r="AX589" s="484">
        <f>IFERROR(IF(Input!AQ145=0,0,(Input!AQ145*$M536*((1+$S536)^VLOOKUP(AX$496-$S589+1,$N$576:$P$585,3)))),0)</f>
        <v>0</v>
      </c>
      <c r="AY589" s="484">
        <f>IFERROR(IF(Input!AR145=0,0,(Input!AR145*$M536*((1+$S536)^VLOOKUP(AY$496-$S589+1,$N$576:$P$585,3)))),0)</f>
        <v>0</v>
      </c>
      <c r="AZ589" s="484">
        <f>IFERROR(IF(Input!AS145=0,0,(Input!AS145*$M536*((1+$S536)^VLOOKUP(AZ$496-$S589+1,$N$576:$P$585,3)))),0)</f>
        <v>0</v>
      </c>
      <c r="BA589" s="484">
        <f>IFERROR(IF(Input!AT145=0,0,(Input!AT145*$M536*((1+$S536)^VLOOKUP(BA$496-$S589+1,$N$576:$P$585,3)))),0)</f>
        <v>0</v>
      </c>
      <c r="BB589" s="484">
        <f>IFERROR(IF(Input!AU145=0,0,(Input!AU145*$M536*((1+$S536)^VLOOKUP(BB$496-$S589+1,$N$576:$P$585,3)))),0)</f>
        <v>0</v>
      </c>
      <c r="BC589" s="484">
        <f>IFERROR(IF(Input!AV145=0,0,(Input!AV145*$M536*((1+$S536)^VLOOKUP(BC$496-$S589+1,$N$576:$P$585,3)))),0)</f>
        <v>0</v>
      </c>
      <c r="BD589" s="484">
        <f>IFERROR(IF(Input!AW145=0,0,(Input!AW145*$M536*((1+$S536)^VLOOKUP(BD$496-$S589+1,$N$576:$P$585,3)))),0)</f>
        <v>0</v>
      </c>
      <c r="BE589" s="484">
        <f>IFERROR(IF(Input!AX145=0,0,(Input!AX145*$M536*((1+$S536)^VLOOKUP(BE$496-$S589+1,$N$576:$P$585,3)))),0)</f>
        <v>0</v>
      </c>
      <c r="BF589" s="484">
        <f>IFERROR(IF(Input!AY145=0,0,(Input!AY145*$M536*((1+$S536)^VLOOKUP(BF$496-$S589+1,$N$576:$P$585,3)))),0)</f>
        <v>0</v>
      </c>
      <c r="BG589" s="484">
        <f>IFERROR(IF(Input!AZ145=0,0,(Input!AZ145*$M536*((1+$S536)^VLOOKUP(BG$496-$S589+1,$N$576:$P$585,3)))),0)</f>
        <v>0</v>
      </c>
      <c r="BH589" s="484">
        <f>IFERROR(IF(Input!BA145=0,0,(Input!BA145*$M536*((1+$S536)^VLOOKUP(BH$496-$S589+1,$N$576:$P$585,3)))),0)</f>
        <v>0</v>
      </c>
      <c r="BI589" s="484">
        <f>IFERROR(IF(Input!BB145=0,0,(Input!BB145*$M536*((1+$S536)^VLOOKUP(BI$496-$S589+1,$N$576:$P$585,3)))),0)</f>
        <v>0</v>
      </c>
      <c r="BJ589" s="484">
        <f>IFERROR(IF(Input!BC145=0,0,(Input!BC145*$M536*((1+$S536)^VLOOKUP(BJ$496-$S589+1,$N$576:$P$585,3)))),0)</f>
        <v>0</v>
      </c>
      <c r="BK589" s="484">
        <f>IFERROR(IF(Input!BD145=0,0,(Input!BD145*$M536*((1+$S536)^VLOOKUP(BK$496-$S589+1,$N$576:$P$585,3)))),0)</f>
        <v>0</v>
      </c>
      <c r="BL589" s="484">
        <f>IFERROR(IF(Input!BE145=0,0,(Input!BE145*$M536*((1+$S536)^VLOOKUP(BL$496-$S589+1,$N$576:$P$585,3)))),0)</f>
        <v>0</v>
      </c>
      <c r="BM589" s="484">
        <f>IFERROR(IF(Input!BF145=0,0,(Input!BF145*$M536*((1+$S536)^VLOOKUP(BM$496-$S589+1,$N$576:$P$585,3)))),0)</f>
        <v>0</v>
      </c>
      <c r="BN589" s="484">
        <f>IFERROR(IF(Input!BG145=0,0,(Input!BG145*$M536*((1+$S536)^VLOOKUP(BN$496-$S589+1,$N$576:$P$585,3)))),0)</f>
        <v>0</v>
      </c>
      <c r="BO589" s="484">
        <f>IFERROR(IF(Input!BH145=0,0,(Input!BH145*$M536*((1+$S536)^VLOOKUP(BO$496-$S589+1,$N$576:$P$585,3)))),0)</f>
        <v>0</v>
      </c>
      <c r="BP589" s="484">
        <f>IFERROR(IF(Input!BI145=0,0,(Input!BI145*$M536*((1+$S536)^VLOOKUP(BP$496-$S589+1,$N$576:$P$585,3)))),0)</f>
        <v>0</v>
      </c>
      <c r="BQ589" s="484">
        <f>IFERROR(IF(Input!BJ145=0,0,(Input!BJ145*$M536*((1+$S536)^VLOOKUP(BQ$496-$S589+1,$N$576:$P$585,3)))),0)</f>
        <v>0</v>
      </c>
      <c r="BR589" s="484">
        <f>IFERROR(IF(Input!BK145=0,0,(Input!BK145*$M536*((1+$S536)^VLOOKUP(BR$496-$S589+1,$N$576:$P$585,3)))),0)</f>
        <v>0</v>
      </c>
      <c r="BS589" s="484">
        <f>IFERROR(IF(Input!BL145=0,0,(Input!BL145*$M536*((1+$S536)^VLOOKUP(BS$496-$S589+1,$N$576:$P$585,3)))),0)</f>
        <v>0</v>
      </c>
      <c r="BT589" s="484">
        <f>IFERROR(IF(Input!BM145=0,0,(Input!BM145*$M536*((1+$S536)^VLOOKUP(BT$496-$S589+1,$N$576:$P$585,3)))),0)</f>
        <v>0</v>
      </c>
      <c r="BU589" s="484">
        <f>IFERROR(IF(Input!BN145=0,0,(Input!BN145*$M536*((1+$S536)^VLOOKUP(BU$496-$S589+1,$N$576:$P$585,3)))),0)</f>
        <v>0</v>
      </c>
      <c r="BV589" s="484">
        <f>IFERROR(IF(Input!BO145=0,0,(Input!BO145*$M536*((1+$S536)^VLOOKUP(BV$496-$S589+1,$N$576:$P$585,3)))),0)</f>
        <v>0</v>
      </c>
      <c r="BW589" s="484">
        <f>IFERROR(IF(Input!BP145=0,0,(Input!BP145*$M536*((1+$S536)^VLOOKUP(BW$496-$S589+1,$N$576:$P$585,3)))),0)</f>
        <v>0</v>
      </c>
      <c r="BX589" s="484">
        <f>IFERROR(IF(Input!BQ145=0,0,(Input!BQ145*$M536*((1+$S536)^VLOOKUP(BX$496-$S589+1,$N$576:$P$585,3)))),0)</f>
        <v>0</v>
      </c>
      <c r="BY589" s="484">
        <f>IFERROR(IF(Input!BR145=0,0,(Input!BR145*$M536*((1+$S536)^VLOOKUP(BY$496-$S589+1,$N$576:$P$585,3)))),0)</f>
        <v>0</v>
      </c>
      <c r="BZ589" s="484">
        <f>IFERROR(IF(Input!BS145=0,0,(Input!BS145*$M536*((1+$S536)^VLOOKUP(BZ$496-$S589+1,$N$576:$P$585,3)))),0)</f>
        <v>0</v>
      </c>
      <c r="CA589" s="484">
        <f>IFERROR(IF(Input!BT145=0,0,(Input!BT145*$M536*((1+$S536)^VLOOKUP(CA$496-$S589+1,$N$576:$P$585,3)))),0)</f>
        <v>0</v>
      </c>
      <c r="CB589" s="484">
        <f>IFERROR(IF(Input!BU145=0,0,(Input!BU145*$M536*((1+$S536)^VLOOKUP(CB$496-$S589+1,$N$576:$P$585,3)))),0)</f>
        <v>0</v>
      </c>
      <c r="CC589" s="484">
        <f>IFERROR(IF(Input!BV145=0,0,(Input!BV145*$M536*((1+$S536)^VLOOKUP(CC$496-$S589+1,$N$576:$P$585,3)))),0)</f>
        <v>0</v>
      </c>
      <c r="CD589" s="484">
        <f>IFERROR(IF(Input!BW145=0,0,(Input!BW145*$M536*((1+$S536)^VLOOKUP(CD$496-$S589+1,$N$576:$P$585,3)))),0)</f>
        <v>0</v>
      </c>
      <c r="CE589" s="1183"/>
      <c r="CF589" s="1183"/>
      <c r="CG589" s="1183"/>
      <c r="CH589" s="1183"/>
      <c r="CI589" s="1183"/>
    </row>
    <row r="590" spans="11:87" ht="12" customHeight="1" x14ac:dyDescent="0.35">
      <c r="K590" s="13"/>
      <c r="L590" s="40"/>
      <c r="M590" s="82"/>
      <c r="N590" s="443"/>
      <c r="O590" s="443"/>
      <c r="P590" s="82"/>
      <c r="Q590" s="82"/>
      <c r="R590" s="40">
        <v>39</v>
      </c>
      <c r="S590" s="13">
        <f>IF(Input!H146&lt;&gt;"",VLOOKUP(Input!$H146,Infrastructure!$D$70:$F$129,3,FALSE),0)</f>
        <v>0</v>
      </c>
      <c r="T590" s="69">
        <f t="shared" si="371"/>
        <v>0</v>
      </c>
      <c r="U590" s="725">
        <f>1+Input!L146+Input!K146</f>
        <v>1</v>
      </c>
      <c r="V590" s="84"/>
      <c r="W590" s="62">
        <f>IFERROR(IF(Input!P146=0,0,(Input!P146*$M537*((1+$S537)^VLOOKUP(W$496-$S590+1,$N$576:$P$585,3)))),0)</f>
        <v>0</v>
      </c>
      <c r="X590" s="62">
        <f>IFERROR(IF(Input!Q146=0,0,(Input!Q146*$M537*((1+$S537)^VLOOKUP(X$496-$S590+1,$N$576:$P$585,3)))),0)</f>
        <v>0</v>
      </c>
      <c r="Y590" s="62">
        <f>IFERROR(IF(Input!R146=0,0,(Input!R146*$M537*((1+$S537)^VLOOKUP(Y$496-$S590+1,$N$576:$P$585,3)))),0)</f>
        <v>0</v>
      </c>
      <c r="Z590" s="62">
        <f>IFERROR(IF(Input!S146=0,0,(Input!S146*$M537*((1+$S537)^VLOOKUP(Z$496-$S590+1,$N$576:$P$585,3)))),0)</f>
        <v>0</v>
      </c>
      <c r="AA590" s="62">
        <f>IFERROR(IF(Input!T146=0,0,(Input!T146*$M537*((1+$S537)^VLOOKUP(AA$496-$S590+1,$N$576:$P$585,3)))),0)</f>
        <v>0</v>
      </c>
      <c r="AB590" s="62">
        <f>IFERROR(IF(Input!U146=0,0,(Input!U146*$M537*((1+$S537)^VLOOKUP(AB$496-$S590+1,$N$576:$P$585,3)))),0)</f>
        <v>0</v>
      </c>
      <c r="AC590" s="62">
        <f>IFERROR(IF(Input!V146=0,0,(Input!V146*$M537*((1+$S537)^VLOOKUP(AC$496-$S590+1,$N$576:$P$585,3)))),0)</f>
        <v>0</v>
      </c>
      <c r="AD590" s="62">
        <f>IFERROR(IF(Input!W146=0,0,(Input!W146*$M537*((1+$S537)^VLOOKUP(AD$496-$S590+1,$N$576:$P$585,3)))),0)</f>
        <v>0</v>
      </c>
      <c r="AE590" s="62">
        <f>IFERROR(IF(Input!X146=0,0,(Input!X146*$M537*((1+$S537)^VLOOKUP(AE$496-$S590+1,$N$576:$P$585,3)))),0)</f>
        <v>0</v>
      </c>
      <c r="AF590" s="484">
        <f>IFERROR(IF(Input!Y146=0,0,(Input!Y146*$M537*((1+$S537)^VLOOKUP(AF$496-$S590+1,$N$576:$P$585,3)))),0)</f>
        <v>0</v>
      </c>
      <c r="AG590" s="484">
        <f>IFERROR(IF(Input!Z146=0,0,(Input!Z146*$M537*((1+$S537)^VLOOKUP(AG$496-$S590+1,$N$576:$P$585,3)))),0)</f>
        <v>0</v>
      </c>
      <c r="AH590" s="484">
        <f>IFERROR(IF(Input!AA146=0,0,(Input!AA146*$M537*((1+$S537)^VLOOKUP(AH$496-$S590+1,$N$576:$P$585,3)))),0)</f>
        <v>0</v>
      </c>
      <c r="AI590" s="484">
        <f>IFERROR(IF(Input!AB146=0,0,(Input!AB146*$M537*((1+$S537)^VLOOKUP(AI$496-$S590+1,$N$576:$P$585,3)))),0)</f>
        <v>0</v>
      </c>
      <c r="AJ590" s="484">
        <f>IFERROR(IF(Input!AC146=0,0,(Input!AC146*$M537*((1+$S537)^VLOOKUP(AJ$496-$S590+1,$N$576:$P$585,3)))),0)</f>
        <v>0</v>
      </c>
      <c r="AK590" s="484">
        <f>IFERROR(IF(Input!AD146=0,0,(Input!AD146*$M537*((1+$S537)^VLOOKUP(AK$496-$S590+1,$N$576:$P$585,3)))),0)</f>
        <v>0</v>
      </c>
      <c r="AL590" s="484">
        <f>IFERROR(IF(Input!AE146=0,0,(Input!AE146*$M537*((1+$S537)^VLOOKUP(AL$496-$S590+1,$N$576:$P$585,3)))),0)</f>
        <v>0</v>
      </c>
      <c r="AM590" s="484">
        <f>IFERROR(IF(Input!AF146=0,0,(Input!AF146*$M537*((1+$S537)^VLOOKUP(AM$496-$S590+1,$N$576:$P$585,3)))),0)</f>
        <v>0</v>
      </c>
      <c r="AN590" s="484">
        <f>IFERROR(IF(Input!AG146=0,0,(Input!AG146*$M537*((1+$S537)^VLOOKUP(AN$496-$S590+1,$N$576:$P$585,3)))),0)</f>
        <v>0</v>
      </c>
      <c r="AO590" s="484">
        <f>IFERROR(IF(Input!AH146=0,0,(Input!AH146*$M537*((1+$S537)^VLOOKUP(AO$496-$S590+1,$N$576:$P$585,3)))),0)</f>
        <v>0</v>
      </c>
      <c r="AP590" s="484">
        <f>IFERROR(IF(Input!AI146=0,0,(Input!AI146*$M537*((1+$S537)^VLOOKUP(AP$496-$S590+1,$N$576:$P$585,3)))),0)</f>
        <v>0</v>
      </c>
      <c r="AQ590" s="484">
        <f>IFERROR(IF(Input!AJ146=0,0,(Input!AJ146*$M537*((1+$S537)^VLOOKUP(AQ$496-$S590+1,$N$576:$P$585,3)))),0)</f>
        <v>0</v>
      </c>
      <c r="AR590" s="484">
        <f>IFERROR(IF(Input!AK146=0,0,(Input!AK146*$M537*((1+$S537)^VLOOKUP(AR$496-$S590+1,$N$576:$P$585,3)))),0)</f>
        <v>0</v>
      </c>
      <c r="AS590" s="484">
        <f>IFERROR(IF(Input!AL146=0,0,(Input!AL146*$M537*((1+$S537)^VLOOKUP(AS$496-$S590+1,$N$576:$P$585,3)))),0)</f>
        <v>0</v>
      </c>
      <c r="AT590" s="484">
        <f>IFERROR(IF(Input!AM146=0,0,(Input!AM146*$M537*((1+$S537)^VLOOKUP(AT$496-$S590+1,$N$576:$P$585,3)))),0)</f>
        <v>0</v>
      </c>
      <c r="AU590" s="484">
        <f>IFERROR(IF(Input!AN146=0,0,(Input!AN146*$M537*((1+$S537)^VLOOKUP(AU$496-$S590+1,$N$576:$P$585,3)))),0)</f>
        <v>0</v>
      </c>
      <c r="AV590" s="484">
        <f>IFERROR(IF(Input!AO146=0,0,(Input!AO146*$M537*((1+$S537)^VLOOKUP(AV$496-$S590+1,$N$576:$P$585,3)))),0)</f>
        <v>0</v>
      </c>
      <c r="AW590" s="484">
        <f>IFERROR(IF(Input!AP146=0,0,(Input!AP146*$M537*((1+$S537)^VLOOKUP(AW$496-$S590+1,$N$576:$P$585,3)))),0)</f>
        <v>0</v>
      </c>
      <c r="AX590" s="484">
        <f>IFERROR(IF(Input!AQ146=0,0,(Input!AQ146*$M537*((1+$S537)^VLOOKUP(AX$496-$S590+1,$N$576:$P$585,3)))),0)</f>
        <v>0</v>
      </c>
      <c r="AY590" s="484">
        <f>IFERROR(IF(Input!AR146=0,0,(Input!AR146*$M537*((1+$S537)^VLOOKUP(AY$496-$S590+1,$N$576:$P$585,3)))),0)</f>
        <v>0</v>
      </c>
      <c r="AZ590" s="484">
        <f>IFERROR(IF(Input!AS146=0,0,(Input!AS146*$M537*((1+$S537)^VLOOKUP(AZ$496-$S590+1,$N$576:$P$585,3)))),0)</f>
        <v>0</v>
      </c>
      <c r="BA590" s="484">
        <f>IFERROR(IF(Input!AT146=0,0,(Input!AT146*$M537*((1+$S537)^VLOOKUP(BA$496-$S590+1,$N$576:$P$585,3)))),0)</f>
        <v>0</v>
      </c>
      <c r="BB590" s="484">
        <f>IFERROR(IF(Input!AU146=0,0,(Input!AU146*$M537*((1+$S537)^VLOOKUP(BB$496-$S590+1,$N$576:$P$585,3)))),0)</f>
        <v>0</v>
      </c>
      <c r="BC590" s="484">
        <f>IFERROR(IF(Input!AV146=0,0,(Input!AV146*$M537*((1+$S537)^VLOOKUP(BC$496-$S590+1,$N$576:$P$585,3)))),0)</f>
        <v>0</v>
      </c>
      <c r="BD590" s="484">
        <f>IFERROR(IF(Input!AW146=0,0,(Input!AW146*$M537*((1+$S537)^VLOOKUP(BD$496-$S590+1,$N$576:$P$585,3)))),0)</f>
        <v>0</v>
      </c>
      <c r="BE590" s="484">
        <f>IFERROR(IF(Input!AX146=0,0,(Input!AX146*$M537*((1+$S537)^VLOOKUP(BE$496-$S590+1,$N$576:$P$585,3)))),0)</f>
        <v>0</v>
      </c>
      <c r="BF590" s="484">
        <f>IFERROR(IF(Input!AY146=0,0,(Input!AY146*$M537*((1+$S537)^VLOOKUP(BF$496-$S590+1,$N$576:$P$585,3)))),0)</f>
        <v>0</v>
      </c>
      <c r="BG590" s="484">
        <f>IFERROR(IF(Input!AZ146=0,0,(Input!AZ146*$M537*((1+$S537)^VLOOKUP(BG$496-$S590+1,$N$576:$P$585,3)))),0)</f>
        <v>0</v>
      </c>
      <c r="BH590" s="484">
        <f>IFERROR(IF(Input!BA146=0,0,(Input!BA146*$M537*((1+$S537)^VLOOKUP(BH$496-$S590+1,$N$576:$P$585,3)))),0)</f>
        <v>0</v>
      </c>
      <c r="BI590" s="484">
        <f>IFERROR(IF(Input!BB146=0,0,(Input!BB146*$M537*((1+$S537)^VLOOKUP(BI$496-$S590+1,$N$576:$P$585,3)))),0)</f>
        <v>0</v>
      </c>
      <c r="BJ590" s="484">
        <f>IFERROR(IF(Input!BC146=0,0,(Input!BC146*$M537*((1+$S537)^VLOOKUP(BJ$496-$S590+1,$N$576:$P$585,3)))),0)</f>
        <v>0</v>
      </c>
      <c r="BK590" s="484">
        <f>IFERROR(IF(Input!BD146=0,0,(Input!BD146*$M537*((1+$S537)^VLOOKUP(BK$496-$S590+1,$N$576:$P$585,3)))),0)</f>
        <v>0</v>
      </c>
      <c r="BL590" s="484">
        <f>IFERROR(IF(Input!BE146=0,0,(Input!BE146*$M537*((1+$S537)^VLOOKUP(BL$496-$S590+1,$N$576:$P$585,3)))),0)</f>
        <v>0</v>
      </c>
      <c r="BM590" s="484">
        <f>IFERROR(IF(Input!BF146=0,0,(Input!BF146*$M537*((1+$S537)^VLOOKUP(BM$496-$S590+1,$N$576:$P$585,3)))),0)</f>
        <v>0</v>
      </c>
      <c r="BN590" s="484">
        <f>IFERROR(IF(Input!BG146=0,0,(Input!BG146*$M537*((1+$S537)^VLOOKUP(BN$496-$S590+1,$N$576:$P$585,3)))),0)</f>
        <v>0</v>
      </c>
      <c r="BO590" s="484">
        <f>IFERROR(IF(Input!BH146=0,0,(Input!BH146*$M537*((1+$S537)^VLOOKUP(BO$496-$S590+1,$N$576:$P$585,3)))),0)</f>
        <v>0</v>
      </c>
      <c r="BP590" s="484">
        <f>IFERROR(IF(Input!BI146=0,0,(Input!BI146*$M537*((1+$S537)^VLOOKUP(BP$496-$S590+1,$N$576:$P$585,3)))),0)</f>
        <v>0</v>
      </c>
      <c r="BQ590" s="484">
        <f>IFERROR(IF(Input!BJ146=0,0,(Input!BJ146*$M537*((1+$S537)^VLOOKUP(BQ$496-$S590+1,$N$576:$P$585,3)))),0)</f>
        <v>0</v>
      </c>
      <c r="BR590" s="484">
        <f>IFERROR(IF(Input!BK146=0,0,(Input!BK146*$M537*((1+$S537)^VLOOKUP(BR$496-$S590+1,$N$576:$P$585,3)))),0)</f>
        <v>0</v>
      </c>
      <c r="BS590" s="484">
        <f>IFERROR(IF(Input!BL146=0,0,(Input!BL146*$M537*((1+$S537)^VLOOKUP(BS$496-$S590+1,$N$576:$P$585,3)))),0)</f>
        <v>0</v>
      </c>
      <c r="BT590" s="484">
        <f>IFERROR(IF(Input!BM146=0,0,(Input!BM146*$M537*((1+$S537)^VLOOKUP(BT$496-$S590+1,$N$576:$P$585,3)))),0)</f>
        <v>0</v>
      </c>
      <c r="BU590" s="484">
        <f>IFERROR(IF(Input!BN146=0,0,(Input!BN146*$M537*((1+$S537)^VLOOKUP(BU$496-$S590+1,$N$576:$P$585,3)))),0)</f>
        <v>0</v>
      </c>
      <c r="BV590" s="484">
        <f>IFERROR(IF(Input!BO146=0,0,(Input!BO146*$M537*((1+$S537)^VLOOKUP(BV$496-$S590+1,$N$576:$P$585,3)))),0)</f>
        <v>0</v>
      </c>
      <c r="BW590" s="484">
        <f>IFERROR(IF(Input!BP146=0,0,(Input!BP146*$M537*((1+$S537)^VLOOKUP(BW$496-$S590+1,$N$576:$P$585,3)))),0)</f>
        <v>0</v>
      </c>
      <c r="BX590" s="484">
        <f>IFERROR(IF(Input!BQ146=0,0,(Input!BQ146*$M537*((1+$S537)^VLOOKUP(BX$496-$S590+1,$N$576:$P$585,3)))),0)</f>
        <v>0</v>
      </c>
      <c r="BY590" s="484">
        <f>IFERROR(IF(Input!BR146=0,0,(Input!BR146*$M537*((1+$S537)^VLOOKUP(BY$496-$S590+1,$N$576:$P$585,3)))),0)</f>
        <v>0</v>
      </c>
      <c r="BZ590" s="484">
        <f>IFERROR(IF(Input!BS146=0,0,(Input!BS146*$M537*((1+$S537)^VLOOKUP(BZ$496-$S590+1,$N$576:$P$585,3)))),0)</f>
        <v>0</v>
      </c>
      <c r="CA590" s="484">
        <f>IFERROR(IF(Input!BT146=0,0,(Input!BT146*$M537*((1+$S537)^VLOOKUP(CA$496-$S590+1,$N$576:$P$585,3)))),0)</f>
        <v>0</v>
      </c>
      <c r="CB590" s="484">
        <f>IFERROR(IF(Input!BU146=0,0,(Input!BU146*$M537*((1+$S537)^VLOOKUP(CB$496-$S590+1,$N$576:$P$585,3)))),0)</f>
        <v>0</v>
      </c>
      <c r="CC590" s="484">
        <f>IFERROR(IF(Input!BV146=0,0,(Input!BV146*$M537*((1+$S537)^VLOOKUP(CC$496-$S590+1,$N$576:$P$585,3)))),0)</f>
        <v>0</v>
      </c>
      <c r="CD590" s="484">
        <f>IFERROR(IF(Input!BW146=0,0,(Input!BW146*$M537*((1+$S537)^VLOOKUP(CD$496-$S590+1,$N$576:$P$585,3)))),0)</f>
        <v>0</v>
      </c>
      <c r="CE590" s="1183"/>
      <c r="CF590" s="1183"/>
      <c r="CG590" s="1183"/>
      <c r="CH590" s="1183"/>
      <c r="CI590" s="1183"/>
    </row>
    <row r="591" spans="11:87" ht="12" customHeight="1" x14ac:dyDescent="0.35">
      <c r="K591" s="13"/>
      <c r="L591" s="13"/>
      <c r="M591" s="67"/>
      <c r="N591" s="444"/>
      <c r="O591" s="444"/>
      <c r="P591" s="67"/>
      <c r="Q591" s="67"/>
      <c r="R591" s="13">
        <v>40</v>
      </c>
      <c r="S591" s="13">
        <f>IF(Input!H147&lt;&gt;"",VLOOKUP(Input!$H147,Infrastructure!$D$70:$F$129,3,FALSE),0)</f>
        <v>0</v>
      </c>
      <c r="T591" s="69">
        <f t="shared" si="371"/>
        <v>0</v>
      </c>
      <c r="U591" s="725">
        <f>1+Input!L147+Input!K147</f>
        <v>1</v>
      </c>
      <c r="V591" s="84"/>
      <c r="W591" s="62">
        <f>IFERROR(IF(Input!P147=0,0,(Input!P147*$M538*((1+$S538)^VLOOKUP(W$496-$S591+1,$N$576:$P$585,3)))),0)</f>
        <v>0</v>
      </c>
      <c r="X591" s="62">
        <f>IFERROR(IF(Input!Q147=0,0,(Input!Q147*$M538*((1+$S538)^VLOOKUP(X$496-$S591+1,$N$576:$P$585,3)))),0)</f>
        <v>0</v>
      </c>
      <c r="Y591" s="62">
        <f>IFERROR(IF(Input!R147=0,0,(Input!R147*$M538*((1+$S538)^VLOOKUP(Y$496-$S591+1,$N$576:$P$585,3)))),0)</f>
        <v>0</v>
      </c>
      <c r="Z591" s="62">
        <f>IFERROR(IF(Input!S147=0,0,(Input!S147*$M538*((1+$S538)^VLOOKUP(Z$496-$S591+1,$N$576:$P$585,3)))),0)</f>
        <v>0</v>
      </c>
      <c r="AA591" s="62">
        <f>IFERROR(IF(Input!T147=0,0,(Input!T147*$M538*((1+$S538)^VLOOKUP(AA$496-$S591+1,$N$576:$P$585,3)))),0)</f>
        <v>0</v>
      </c>
      <c r="AB591" s="62">
        <f>IFERROR(IF(Input!U147=0,0,(Input!U147*$M538*((1+$S538)^VLOOKUP(AB$496-$S591+1,$N$576:$P$585,3)))),0)</f>
        <v>0</v>
      </c>
      <c r="AC591" s="62">
        <f>IFERROR(IF(Input!V147=0,0,(Input!V147*$M538*((1+$S538)^VLOOKUP(AC$496-$S591+1,$N$576:$P$585,3)))),0)</f>
        <v>0</v>
      </c>
      <c r="AD591" s="62">
        <f>IFERROR(IF(Input!W147=0,0,(Input!W147*$M538*((1+$S538)^VLOOKUP(AD$496-$S591+1,$N$576:$P$585,3)))),0)</f>
        <v>0</v>
      </c>
      <c r="AE591" s="62">
        <f>IFERROR(IF(Input!X147=0,0,(Input!X147*$M538*((1+$S538)^VLOOKUP(AE$496-$S591+1,$N$576:$P$585,3)))),0)</f>
        <v>0</v>
      </c>
      <c r="AF591" s="484">
        <f>IFERROR(IF(Input!Y147=0,0,(Input!Y147*$M538*((1+$S538)^VLOOKUP(AF$496-$S591+1,$N$576:$P$585,3)))),0)</f>
        <v>0</v>
      </c>
      <c r="AG591" s="484">
        <f>IFERROR(IF(Input!Z147=0,0,(Input!Z147*$M538*((1+$S538)^VLOOKUP(AG$496-$S591+1,$N$576:$P$585,3)))),0)</f>
        <v>0</v>
      </c>
      <c r="AH591" s="484">
        <f>IFERROR(IF(Input!AA147=0,0,(Input!AA147*$M538*((1+$S538)^VLOOKUP(AH$496-$S591+1,$N$576:$P$585,3)))),0)</f>
        <v>0</v>
      </c>
      <c r="AI591" s="484">
        <f>IFERROR(IF(Input!AB147=0,0,(Input!AB147*$M538*((1+$S538)^VLOOKUP(AI$496-$S591+1,$N$576:$P$585,3)))),0)</f>
        <v>0</v>
      </c>
      <c r="AJ591" s="484">
        <f>IFERROR(IF(Input!AC147=0,0,(Input!AC147*$M538*((1+$S538)^VLOOKUP(AJ$496-$S591+1,$N$576:$P$585,3)))),0)</f>
        <v>0</v>
      </c>
      <c r="AK591" s="484">
        <f>IFERROR(IF(Input!AD147=0,0,(Input!AD147*$M538*((1+$S538)^VLOOKUP(AK$496-$S591+1,$N$576:$P$585,3)))),0)</f>
        <v>0</v>
      </c>
      <c r="AL591" s="484">
        <f>IFERROR(IF(Input!AE147=0,0,(Input!AE147*$M538*((1+$S538)^VLOOKUP(AL$496-$S591+1,$N$576:$P$585,3)))),0)</f>
        <v>0</v>
      </c>
      <c r="AM591" s="484">
        <f>IFERROR(IF(Input!AF147=0,0,(Input!AF147*$M538*((1+$S538)^VLOOKUP(AM$496-$S591+1,$N$576:$P$585,3)))),0)</f>
        <v>0</v>
      </c>
      <c r="AN591" s="484">
        <f>IFERROR(IF(Input!AG147=0,0,(Input!AG147*$M538*((1+$S538)^VLOOKUP(AN$496-$S591+1,$N$576:$P$585,3)))),0)</f>
        <v>0</v>
      </c>
      <c r="AO591" s="484">
        <f>IFERROR(IF(Input!AH147=0,0,(Input!AH147*$M538*((1+$S538)^VLOOKUP(AO$496-$S591+1,$N$576:$P$585,3)))),0)</f>
        <v>0</v>
      </c>
      <c r="AP591" s="484">
        <f>IFERROR(IF(Input!AI147=0,0,(Input!AI147*$M538*((1+$S538)^VLOOKUP(AP$496-$S591+1,$N$576:$P$585,3)))),0)</f>
        <v>0</v>
      </c>
      <c r="AQ591" s="484">
        <f>IFERROR(IF(Input!AJ147=0,0,(Input!AJ147*$M538*((1+$S538)^VLOOKUP(AQ$496-$S591+1,$N$576:$P$585,3)))),0)</f>
        <v>0</v>
      </c>
      <c r="AR591" s="484">
        <f>IFERROR(IF(Input!AK147=0,0,(Input!AK147*$M538*((1+$S538)^VLOOKUP(AR$496-$S591+1,$N$576:$P$585,3)))),0)</f>
        <v>0</v>
      </c>
      <c r="AS591" s="484">
        <f>IFERROR(IF(Input!AL147=0,0,(Input!AL147*$M538*((1+$S538)^VLOOKUP(AS$496-$S591+1,$N$576:$P$585,3)))),0)</f>
        <v>0</v>
      </c>
      <c r="AT591" s="484">
        <f>IFERROR(IF(Input!AM147=0,0,(Input!AM147*$M538*((1+$S538)^VLOOKUP(AT$496-$S591+1,$N$576:$P$585,3)))),0)</f>
        <v>0</v>
      </c>
      <c r="AU591" s="484">
        <f>IFERROR(IF(Input!AN147=0,0,(Input!AN147*$M538*((1+$S538)^VLOOKUP(AU$496-$S591+1,$N$576:$P$585,3)))),0)</f>
        <v>0</v>
      </c>
      <c r="AV591" s="484">
        <f>IFERROR(IF(Input!AO147=0,0,(Input!AO147*$M538*((1+$S538)^VLOOKUP(AV$496-$S591+1,$N$576:$P$585,3)))),0)</f>
        <v>0</v>
      </c>
      <c r="AW591" s="484">
        <f>IFERROR(IF(Input!AP147=0,0,(Input!AP147*$M538*((1+$S538)^VLOOKUP(AW$496-$S591+1,$N$576:$P$585,3)))),0)</f>
        <v>0</v>
      </c>
      <c r="AX591" s="484">
        <f>IFERROR(IF(Input!AQ147=0,0,(Input!AQ147*$M538*((1+$S538)^VLOOKUP(AX$496-$S591+1,$N$576:$P$585,3)))),0)</f>
        <v>0</v>
      </c>
      <c r="AY591" s="484">
        <f>IFERROR(IF(Input!AR147=0,0,(Input!AR147*$M538*((1+$S538)^VLOOKUP(AY$496-$S591+1,$N$576:$P$585,3)))),0)</f>
        <v>0</v>
      </c>
      <c r="AZ591" s="484">
        <f>IFERROR(IF(Input!AS147=0,0,(Input!AS147*$M538*((1+$S538)^VLOOKUP(AZ$496-$S591+1,$N$576:$P$585,3)))),0)</f>
        <v>0</v>
      </c>
      <c r="BA591" s="484">
        <f>IFERROR(IF(Input!AT147=0,0,(Input!AT147*$M538*((1+$S538)^VLOOKUP(BA$496-$S591+1,$N$576:$P$585,3)))),0)</f>
        <v>0</v>
      </c>
      <c r="BB591" s="484">
        <f>IFERROR(IF(Input!AU147=0,0,(Input!AU147*$M538*((1+$S538)^VLOOKUP(BB$496-$S591+1,$N$576:$P$585,3)))),0)</f>
        <v>0</v>
      </c>
      <c r="BC591" s="484">
        <f>IFERROR(IF(Input!AV147=0,0,(Input!AV147*$M538*((1+$S538)^VLOOKUP(BC$496-$S591+1,$N$576:$P$585,3)))),0)</f>
        <v>0</v>
      </c>
      <c r="BD591" s="484">
        <f>IFERROR(IF(Input!AW147=0,0,(Input!AW147*$M538*((1+$S538)^VLOOKUP(BD$496-$S591+1,$N$576:$P$585,3)))),0)</f>
        <v>0</v>
      </c>
      <c r="BE591" s="484">
        <f>IFERROR(IF(Input!AX147=0,0,(Input!AX147*$M538*((1+$S538)^VLOOKUP(BE$496-$S591+1,$N$576:$P$585,3)))),0)</f>
        <v>0</v>
      </c>
      <c r="BF591" s="484">
        <f>IFERROR(IF(Input!AY147=0,0,(Input!AY147*$M538*((1+$S538)^VLOOKUP(BF$496-$S591+1,$N$576:$P$585,3)))),0)</f>
        <v>0</v>
      </c>
      <c r="BG591" s="484">
        <f>IFERROR(IF(Input!AZ147=0,0,(Input!AZ147*$M538*((1+$S538)^VLOOKUP(BG$496-$S591+1,$N$576:$P$585,3)))),0)</f>
        <v>0</v>
      </c>
      <c r="BH591" s="484">
        <f>IFERROR(IF(Input!BA147=0,0,(Input!BA147*$M538*((1+$S538)^VLOOKUP(BH$496-$S591+1,$N$576:$P$585,3)))),0)</f>
        <v>0</v>
      </c>
      <c r="BI591" s="484">
        <f>IFERROR(IF(Input!BB147=0,0,(Input!BB147*$M538*((1+$S538)^VLOOKUP(BI$496-$S591+1,$N$576:$P$585,3)))),0)</f>
        <v>0</v>
      </c>
      <c r="BJ591" s="484">
        <f>IFERROR(IF(Input!BC147=0,0,(Input!BC147*$M538*((1+$S538)^VLOOKUP(BJ$496-$S591+1,$N$576:$P$585,3)))),0)</f>
        <v>0</v>
      </c>
      <c r="BK591" s="484">
        <f>IFERROR(IF(Input!BD147=0,0,(Input!BD147*$M538*((1+$S538)^VLOOKUP(BK$496-$S591+1,$N$576:$P$585,3)))),0)</f>
        <v>0</v>
      </c>
      <c r="BL591" s="484">
        <f>IFERROR(IF(Input!BE147=0,0,(Input!BE147*$M538*((1+$S538)^VLOOKUP(BL$496-$S591+1,$N$576:$P$585,3)))),0)</f>
        <v>0</v>
      </c>
      <c r="BM591" s="484">
        <f>IFERROR(IF(Input!BF147=0,0,(Input!BF147*$M538*((1+$S538)^VLOOKUP(BM$496-$S591+1,$N$576:$P$585,3)))),0)</f>
        <v>0</v>
      </c>
      <c r="BN591" s="484">
        <f>IFERROR(IF(Input!BG147=0,0,(Input!BG147*$M538*((1+$S538)^VLOOKUP(BN$496-$S591+1,$N$576:$P$585,3)))),0)</f>
        <v>0</v>
      </c>
      <c r="BO591" s="484">
        <f>IFERROR(IF(Input!BH147=0,0,(Input!BH147*$M538*((1+$S538)^VLOOKUP(BO$496-$S591+1,$N$576:$P$585,3)))),0)</f>
        <v>0</v>
      </c>
      <c r="BP591" s="484">
        <f>IFERROR(IF(Input!BI147=0,0,(Input!BI147*$M538*((1+$S538)^VLOOKUP(BP$496-$S591+1,$N$576:$P$585,3)))),0)</f>
        <v>0</v>
      </c>
      <c r="BQ591" s="484">
        <f>IFERROR(IF(Input!BJ147=0,0,(Input!BJ147*$M538*((1+$S538)^VLOOKUP(BQ$496-$S591+1,$N$576:$P$585,3)))),0)</f>
        <v>0</v>
      </c>
      <c r="BR591" s="484">
        <f>IFERROR(IF(Input!BK147=0,0,(Input!BK147*$M538*((1+$S538)^VLOOKUP(BR$496-$S591+1,$N$576:$P$585,3)))),0)</f>
        <v>0</v>
      </c>
      <c r="BS591" s="484">
        <f>IFERROR(IF(Input!BL147=0,0,(Input!BL147*$M538*((1+$S538)^VLOOKUP(BS$496-$S591+1,$N$576:$P$585,3)))),0)</f>
        <v>0</v>
      </c>
      <c r="BT591" s="484">
        <f>IFERROR(IF(Input!BM147=0,0,(Input!BM147*$M538*((1+$S538)^VLOOKUP(BT$496-$S591+1,$N$576:$P$585,3)))),0)</f>
        <v>0</v>
      </c>
      <c r="BU591" s="484">
        <f>IFERROR(IF(Input!BN147=0,0,(Input!BN147*$M538*((1+$S538)^VLOOKUP(BU$496-$S591+1,$N$576:$P$585,3)))),0)</f>
        <v>0</v>
      </c>
      <c r="BV591" s="484">
        <f>IFERROR(IF(Input!BO147=0,0,(Input!BO147*$M538*((1+$S538)^VLOOKUP(BV$496-$S591+1,$N$576:$P$585,3)))),0)</f>
        <v>0</v>
      </c>
      <c r="BW591" s="484">
        <f>IFERROR(IF(Input!BP147=0,0,(Input!BP147*$M538*((1+$S538)^VLOOKUP(BW$496-$S591+1,$N$576:$P$585,3)))),0)</f>
        <v>0</v>
      </c>
      <c r="BX591" s="484">
        <f>IFERROR(IF(Input!BQ147=0,0,(Input!BQ147*$M538*((1+$S538)^VLOOKUP(BX$496-$S591+1,$N$576:$P$585,3)))),0)</f>
        <v>0</v>
      </c>
      <c r="BY591" s="484">
        <f>IFERROR(IF(Input!BR147=0,0,(Input!BR147*$M538*((1+$S538)^VLOOKUP(BY$496-$S591+1,$N$576:$P$585,3)))),0)</f>
        <v>0</v>
      </c>
      <c r="BZ591" s="484">
        <f>IFERROR(IF(Input!BS147=0,0,(Input!BS147*$M538*((1+$S538)^VLOOKUP(BZ$496-$S591+1,$N$576:$P$585,3)))),0)</f>
        <v>0</v>
      </c>
      <c r="CA591" s="484">
        <f>IFERROR(IF(Input!BT147=0,0,(Input!BT147*$M538*((1+$S538)^VLOOKUP(CA$496-$S591+1,$N$576:$P$585,3)))),0)</f>
        <v>0</v>
      </c>
      <c r="CB591" s="484">
        <f>IFERROR(IF(Input!BU147=0,0,(Input!BU147*$M538*((1+$S538)^VLOOKUP(CB$496-$S591+1,$N$576:$P$585,3)))),0)</f>
        <v>0</v>
      </c>
      <c r="CC591" s="484">
        <f>IFERROR(IF(Input!BV147=0,0,(Input!BV147*$M538*((1+$S538)^VLOOKUP(CC$496-$S591+1,$N$576:$P$585,3)))),0)</f>
        <v>0</v>
      </c>
      <c r="CD591" s="484">
        <f>IFERROR(IF(Input!BW147=0,0,(Input!BW147*$M538*((1+$S538)^VLOOKUP(CD$496-$S591+1,$N$576:$P$585,3)))),0)</f>
        <v>0</v>
      </c>
      <c r="CE591" s="1183"/>
      <c r="CF591" s="1183"/>
      <c r="CG591" s="1183"/>
      <c r="CH591" s="1183"/>
      <c r="CI591" s="1183"/>
    </row>
    <row r="592" spans="11:87" ht="12" customHeight="1" x14ac:dyDescent="0.35">
      <c r="K592" s="13"/>
      <c r="L592" s="13"/>
      <c r="M592" s="67"/>
      <c r="N592" s="444"/>
      <c r="O592" s="444"/>
      <c r="P592" s="67"/>
      <c r="Q592" s="67"/>
      <c r="R592" s="13">
        <v>41</v>
      </c>
      <c r="S592" s="13">
        <f>IF(Input!H148&lt;&gt;"",VLOOKUP(Input!$H148,Infrastructure!$D$70:$F$129,3,FALSE),0)</f>
        <v>0</v>
      </c>
      <c r="T592" s="69">
        <f t="shared" si="371"/>
        <v>0</v>
      </c>
      <c r="U592" s="725">
        <f>1+Input!L148+Input!K148</f>
        <v>1</v>
      </c>
      <c r="V592" s="84"/>
      <c r="W592" s="62">
        <f>IFERROR(IF(Input!P148=0,0,(Input!P148*$M539*((1+$S539)^VLOOKUP(W$496-$S592+1,$N$576:$P$585,3)))),0)</f>
        <v>0</v>
      </c>
      <c r="X592" s="62">
        <f>IFERROR(IF(Input!Q148=0,0,(Input!Q148*$M539*((1+$S539)^VLOOKUP(X$496-$S592+1,$N$576:$P$585,3)))),0)</f>
        <v>0</v>
      </c>
      <c r="Y592" s="62">
        <f>IFERROR(IF(Input!R148=0,0,(Input!R148*$M539*((1+$S539)^VLOOKUP(Y$496-$S592+1,$N$576:$P$585,3)))),0)</f>
        <v>0</v>
      </c>
      <c r="Z592" s="62">
        <f>IFERROR(IF(Input!S148=0,0,(Input!S148*$M539*((1+$S539)^VLOOKUP(Z$496-$S592+1,$N$576:$P$585,3)))),0)</f>
        <v>0</v>
      </c>
      <c r="AA592" s="62">
        <f>IFERROR(IF(Input!T148=0,0,(Input!T148*$M539*((1+$S539)^VLOOKUP(AA$496-$S592+1,$N$576:$P$585,3)))),0)</f>
        <v>0</v>
      </c>
      <c r="AB592" s="62">
        <f>IFERROR(IF(Input!U148=0,0,(Input!U148*$M539*((1+$S539)^VLOOKUP(AB$496-$S592+1,$N$576:$P$585,3)))),0)</f>
        <v>0</v>
      </c>
      <c r="AC592" s="62">
        <f>IFERROR(IF(Input!V148=0,0,(Input!V148*$M539*((1+$S539)^VLOOKUP(AC$496-$S592+1,$N$576:$P$585,3)))),0)</f>
        <v>0</v>
      </c>
      <c r="AD592" s="62">
        <f>IFERROR(IF(Input!W148=0,0,(Input!W148*$M539*((1+$S539)^VLOOKUP(AD$496-$S592+1,$N$576:$P$585,3)))),0)</f>
        <v>0</v>
      </c>
      <c r="AE592" s="62">
        <f>IFERROR(IF(Input!X148=0,0,(Input!X148*$M539*((1+$S539)^VLOOKUP(AE$496-$S592+1,$N$576:$P$585,3)))),0)</f>
        <v>0</v>
      </c>
      <c r="AF592" s="484">
        <f>IFERROR(IF(Input!Y148=0,0,(Input!Y148*$M539*((1+$S539)^VLOOKUP(AF$496-$S592+1,$N$576:$P$585,3)))),0)</f>
        <v>0</v>
      </c>
      <c r="AG592" s="484">
        <f>IFERROR(IF(Input!Z148=0,0,(Input!Z148*$M539*((1+$S539)^VLOOKUP(AG$496-$S592+1,$N$576:$P$585,3)))),0)</f>
        <v>0</v>
      </c>
      <c r="AH592" s="484">
        <f>IFERROR(IF(Input!AA148=0,0,(Input!AA148*$M539*((1+$S539)^VLOOKUP(AH$496-$S592+1,$N$576:$P$585,3)))),0)</f>
        <v>0</v>
      </c>
      <c r="AI592" s="484">
        <f>IFERROR(IF(Input!AB148=0,0,(Input!AB148*$M539*((1+$S539)^VLOOKUP(AI$496-$S592+1,$N$576:$P$585,3)))),0)</f>
        <v>0</v>
      </c>
      <c r="AJ592" s="484">
        <f>IFERROR(IF(Input!AC148=0,0,(Input!AC148*$M539*((1+$S539)^VLOOKUP(AJ$496-$S592+1,$N$576:$P$585,3)))),0)</f>
        <v>0</v>
      </c>
      <c r="AK592" s="484">
        <f>IFERROR(IF(Input!AD148=0,0,(Input!AD148*$M539*((1+$S539)^VLOOKUP(AK$496-$S592+1,$N$576:$P$585,3)))),0)</f>
        <v>0</v>
      </c>
      <c r="AL592" s="484">
        <f>IFERROR(IF(Input!AE148=0,0,(Input!AE148*$M539*((1+$S539)^VLOOKUP(AL$496-$S592+1,$N$576:$P$585,3)))),0)</f>
        <v>0</v>
      </c>
      <c r="AM592" s="484">
        <f>IFERROR(IF(Input!AF148=0,0,(Input!AF148*$M539*((1+$S539)^VLOOKUP(AM$496-$S592+1,$N$576:$P$585,3)))),0)</f>
        <v>0</v>
      </c>
      <c r="AN592" s="484">
        <f>IFERROR(IF(Input!AG148=0,0,(Input!AG148*$M539*((1+$S539)^VLOOKUP(AN$496-$S592+1,$N$576:$P$585,3)))),0)</f>
        <v>0</v>
      </c>
      <c r="AO592" s="484">
        <f>IFERROR(IF(Input!AH148=0,0,(Input!AH148*$M539*((1+$S539)^VLOOKUP(AO$496-$S592+1,$N$576:$P$585,3)))),0)</f>
        <v>0</v>
      </c>
      <c r="AP592" s="484">
        <f>IFERROR(IF(Input!AI148=0,0,(Input!AI148*$M539*((1+$S539)^VLOOKUP(AP$496-$S592+1,$N$576:$P$585,3)))),0)</f>
        <v>0</v>
      </c>
      <c r="AQ592" s="484">
        <f>IFERROR(IF(Input!AJ148=0,0,(Input!AJ148*$M539*((1+$S539)^VLOOKUP(AQ$496-$S592+1,$N$576:$P$585,3)))),0)</f>
        <v>0</v>
      </c>
      <c r="AR592" s="484">
        <f>IFERROR(IF(Input!AK148=0,0,(Input!AK148*$M539*((1+$S539)^VLOOKUP(AR$496-$S592+1,$N$576:$P$585,3)))),0)</f>
        <v>0</v>
      </c>
      <c r="AS592" s="484">
        <f>IFERROR(IF(Input!AL148=0,0,(Input!AL148*$M539*((1+$S539)^VLOOKUP(AS$496-$S592+1,$N$576:$P$585,3)))),0)</f>
        <v>0</v>
      </c>
      <c r="AT592" s="484">
        <f>IFERROR(IF(Input!AM148=0,0,(Input!AM148*$M539*((1+$S539)^VLOOKUP(AT$496-$S592+1,$N$576:$P$585,3)))),0)</f>
        <v>0</v>
      </c>
      <c r="AU592" s="484">
        <f>IFERROR(IF(Input!AN148=0,0,(Input!AN148*$M539*((1+$S539)^VLOOKUP(AU$496-$S592+1,$N$576:$P$585,3)))),0)</f>
        <v>0</v>
      </c>
      <c r="AV592" s="484">
        <f>IFERROR(IF(Input!AO148=0,0,(Input!AO148*$M539*((1+$S539)^VLOOKUP(AV$496-$S592+1,$N$576:$P$585,3)))),0)</f>
        <v>0</v>
      </c>
      <c r="AW592" s="484">
        <f>IFERROR(IF(Input!AP148=0,0,(Input!AP148*$M539*((1+$S539)^VLOOKUP(AW$496-$S592+1,$N$576:$P$585,3)))),0)</f>
        <v>0</v>
      </c>
      <c r="AX592" s="484">
        <f>IFERROR(IF(Input!AQ148=0,0,(Input!AQ148*$M539*((1+$S539)^VLOOKUP(AX$496-$S592+1,$N$576:$P$585,3)))),0)</f>
        <v>0</v>
      </c>
      <c r="AY592" s="484">
        <f>IFERROR(IF(Input!AR148=0,0,(Input!AR148*$M539*((1+$S539)^VLOOKUP(AY$496-$S592+1,$N$576:$P$585,3)))),0)</f>
        <v>0</v>
      </c>
      <c r="AZ592" s="484">
        <f>IFERROR(IF(Input!AS148=0,0,(Input!AS148*$M539*((1+$S539)^VLOOKUP(AZ$496-$S592+1,$N$576:$P$585,3)))),0)</f>
        <v>0</v>
      </c>
      <c r="BA592" s="484">
        <f>IFERROR(IF(Input!AT148=0,0,(Input!AT148*$M539*((1+$S539)^VLOOKUP(BA$496-$S592+1,$N$576:$P$585,3)))),0)</f>
        <v>0</v>
      </c>
      <c r="BB592" s="484">
        <f>IFERROR(IF(Input!AU148=0,0,(Input!AU148*$M539*((1+$S539)^VLOOKUP(BB$496-$S592+1,$N$576:$P$585,3)))),0)</f>
        <v>0</v>
      </c>
      <c r="BC592" s="484">
        <f>IFERROR(IF(Input!AV148=0,0,(Input!AV148*$M539*((1+$S539)^VLOOKUP(BC$496-$S592+1,$N$576:$P$585,3)))),0)</f>
        <v>0</v>
      </c>
      <c r="BD592" s="484">
        <f>IFERROR(IF(Input!AW148=0,0,(Input!AW148*$M539*((1+$S539)^VLOOKUP(BD$496-$S592+1,$N$576:$P$585,3)))),0)</f>
        <v>0</v>
      </c>
      <c r="BE592" s="484">
        <f>IFERROR(IF(Input!AX148=0,0,(Input!AX148*$M539*((1+$S539)^VLOOKUP(BE$496-$S592+1,$N$576:$P$585,3)))),0)</f>
        <v>0</v>
      </c>
      <c r="BF592" s="484">
        <f>IFERROR(IF(Input!AY148=0,0,(Input!AY148*$M539*((1+$S539)^VLOOKUP(BF$496-$S592+1,$N$576:$P$585,3)))),0)</f>
        <v>0</v>
      </c>
      <c r="BG592" s="484">
        <f>IFERROR(IF(Input!AZ148=0,0,(Input!AZ148*$M539*((1+$S539)^VLOOKUP(BG$496-$S592+1,$N$576:$P$585,3)))),0)</f>
        <v>0</v>
      </c>
      <c r="BH592" s="484">
        <f>IFERROR(IF(Input!BA148=0,0,(Input!BA148*$M539*((1+$S539)^VLOOKUP(BH$496-$S592+1,$N$576:$P$585,3)))),0)</f>
        <v>0</v>
      </c>
      <c r="BI592" s="484">
        <f>IFERROR(IF(Input!BB148=0,0,(Input!BB148*$M539*((1+$S539)^VLOOKUP(BI$496-$S592+1,$N$576:$P$585,3)))),0)</f>
        <v>0</v>
      </c>
      <c r="BJ592" s="484">
        <f>IFERROR(IF(Input!BC148=0,0,(Input!BC148*$M539*((1+$S539)^VLOOKUP(BJ$496-$S592+1,$N$576:$P$585,3)))),0)</f>
        <v>0</v>
      </c>
      <c r="BK592" s="484">
        <f>IFERROR(IF(Input!BD148=0,0,(Input!BD148*$M539*((1+$S539)^VLOOKUP(BK$496-$S592+1,$N$576:$P$585,3)))),0)</f>
        <v>0</v>
      </c>
      <c r="BL592" s="484">
        <f>IFERROR(IF(Input!BE148=0,0,(Input!BE148*$M539*((1+$S539)^VLOOKUP(BL$496-$S592+1,$N$576:$P$585,3)))),0)</f>
        <v>0</v>
      </c>
      <c r="BM592" s="484">
        <f>IFERROR(IF(Input!BF148=0,0,(Input!BF148*$M539*((1+$S539)^VLOOKUP(BM$496-$S592+1,$N$576:$P$585,3)))),0)</f>
        <v>0</v>
      </c>
      <c r="BN592" s="484">
        <f>IFERROR(IF(Input!BG148=0,0,(Input!BG148*$M539*((1+$S539)^VLOOKUP(BN$496-$S592+1,$N$576:$P$585,3)))),0)</f>
        <v>0</v>
      </c>
      <c r="BO592" s="484">
        <f>IFERROR(IF(Input!BH148=0,0,(Input!BH148*$M539*((1+$S539)^VLOOKUP(BO$496-$S592+1,$N$576:$P$585,3)))),0)</f>
        <v>0</v>
      </c>
      <c r="BP592" s="484">
        <f>IFERROR(IF(Input!BI148=0,0,(Input!BI148*$M539*((1+$S539)^VLOOKUP(BP$496-$S592+1,$N$576:$P$585,3)))),0)</f>
        <v>0</v>
      </c>
      <c r="BQ592" s="484">
        <f>IFERROR(IF(Input!BJ148=0,0,(Input!BJ148*$M539*((1+$S539)^VLOOKUP(BQ$496-$S592+1,$N$576:$P$585,3)))),0)</f>
        <v>0</v>
      </c>
      <c r="BR592" s="484">
        <f>IFERROR(IF(Input!BK148=0,0,(Input!BK148*$M539*((1+$S539)^VLOOKUP(BR$496-$S592+1,$N$576:$P$585,3)))),0)</f>
        <v>0</v>
      </c>
      <c r="BS592" s="484">
        <f>IFERROR(IF(Input!BL148=0,0,(Input!BL148*$M539*((1+$S539)^VLOOKUP(BS$496-$S592+1,$N$576:$P$585,3)))),0)</f>
        <v>0</v>
      </c>
      <c r="BT592" s="484">
        <f>IFERROR(IF(Input!BM148=0,0,(Input!BM148*$M539*((1+$S539)^VLOOKUP(BT$496-$S592+1,$N$576:$P$585,3)))),0)</f>
        <v>0</v>
      </c>
      <c r="BU592" s="484">
        <f>IFERROR(IF(Input!BN148=0,0,(Input!BN148*$M539*((1+$S539)^VLOOKUP(BU$496-$S592+1,$N$576:$P$585,3)))),0)</f>
        <v>0</v>
      </c>
      <c r="BV592" s="484">
        <f>IFERROR(IF(Input!BO148=0,0,(Input!BO148*$M539*((1+$S539)^VLOOKUP(BV$496-$S592+1,$N$576:$P$585,3)))),0)</f>
        <v>0</v>
      </c>
      <c r="BW592" s="484">
        <f>IFERROR(IF(Input!BP148=0,0,(Input!BP148*$M539*((1+$S539)^VLOOKUP(BW$496-$S592+1,$N$576:$P$585,3)))),0)</f>
        <v>0</v>
      </c>
      <c r="BX592" s="484">
        <f>IFERROR(IF(Input!BQ148=0,0,(Input!BQ148*$M539*((1+$S539)^VLOOKUP(BX$496-$S592+1,$N$576:$P$585,3)))),0)</f>
        <v>0</v>
      </c>
      <c r="BY592" s="484">
        <f>IFERROR(IF(Input!BR148=0,0,(Input!BR148*$M539*((1+$S539)^VLOOKUP(BY$496-$S592+1,$N$576:$P$585,3)))),0)</f>
        <v>0</v>
      </c>
      <c r="BZ592" s="484">
        <f>IFERROR(IF(Input!BS148=0,0,(Input!BS148*$M539*((1+$S539)^VLOOKUP(BZ$496-$S592+1,$N$576:$P$585,3)))),0)</f>
        <v>0</v>
      </c>
      <c r="CA592" s="484">
        <f>IFERROR(IF(Input!BT148=0,0,(Input!BT148*$M539*((1+$S539)^VLOOKUP(CA$496-$S592+1,$N$576:$P$585,3)))),0)</f>
        <v>0</v>
      </c>
      <c r="CB592" s="484">
        <f>IFERROR(IF(Input!BU148=0,0,(Input!BU148*$M539*((1+$S539)^VLOOKUP(CB$496-$S592+1,$N$576:$P$585,3)))),0)</f>
        <v>0</v>
      </c>
      <c r="CC592" s="484">
        <f>IFERROR(IF(Input!BV148=0,0,(Input!BV148*$M539*((1+$S539)^VLOOKUP(CC$496-$S592+1,$N$576:$P$585,3)))),0)</f>
        <v>0</v>
      </c>
      <c r="CD592" s="484">
        <f>IFERROR(IF(Input!BW148=0,0,(Input!BW148*$M539*((1+$S539)^VLOOKUP(CD$496-$S592+1,$N$576:$P$585,3)))),0)</f>
        <v>0</v>
      </c>
      <c r="CE592" s="1183"/>
      <c r="CF592" s="1183"/>
      <c r="CG592" s="1183"/>
      <c r="CH592" s="1183"/>
      <c r="CI592" s="1183"/>
    </row>
    <row r="593" spans="11:82" ht="12" customHeight="1" x14ac:dyDescent="0.35">
      <c r="K593" s="13"/>
      <c r="L593" s="13"/>
      <c r="M593" s="67"/>
      <c r="N593" s="444"/>
      <c r="O593" s="444"/>
      <c r="P593" s="67"/>
      <c r="Q593" s="67"/>
      <c r="R593" s="40">
        <v>42</v>
      </c>
      <c r="S593" s="13">
        <f>IF(Input!H149&lt;&gt;"",VLOOKUP(Input!$H149,Infrastructure!$D$70:$F$129,3,FALSE),0)</f>
        <v>0</v>
      </c>
      <c r="T593" s="69">
        <f t="shared" si="371"/>
        <v>0</v>
      </c>
      <c r="U593" s="725">
        <f>1+Input!L149+Input!K149</f>
        <v>1</v>
      </c>
      <c r="V593" s="84"/>
      <c r="W593" s="62">
        <f>IFERROR(IF(Input!P149=0,0,(Input!P149*$M540*((1+$S540)^VLOOKUP(W$496-$S593+1,$N$576:$P$585,3)))),0)</f>
        <v>0</v>
      </c>
      <c r="X593" s="62">
        <f>IFERROR(IF(Input!Q149=0,0,(Input!Q149*$M540*((1+$S540)^VLOOKUP(X$496-$S593+1,$N$576:$P$585,3)))),0)</f>
        <v>0</v>
      </c>
      <c r="Y593" s="62">
        <f>IFERROR(IF(Input!R149=0,0,(Input!R149*$M540*((1+$S540)^VLOOKUP(Y$496-$S593+1,$N$576:$P$585,3)))),0)</f>
        <v>0</v>
      </c>
      <c r="Z593" s="62">
        <f>IFERROR(IF(Input!S149=0,0,(Input!S149*$M540*((1+$S540)^VLOOKUP(Z$496-$S593+1,$N$576:$P$585,3)))),0)</f>
        <v>0</v>
      </c>
      <c r="AA593" s="62">
        <f>IFERROR(IF(Input!T149=0,0,(Input!T149*$M540*((1+$S540)^VLOOKUP(AA$496-$S593+1,$N$576:$P$585,3)))),0)</f>
        <v>0</v>
      </c>
      <c r="AB593" s="62">
        <f>IFERROR(IF(Input!U149=0,0,(Input!U149*$M540*((1+$S540)^VLOOKUP(AB$496-$S593+1,$N$576:$P$585,3)))),0)</f>
        <v>0</v>
      </c>
      <c r="AC593" s="62">
        <f>IFERROR(IF(Input!V149=0,0,(Input!V149*$M540*((1+$S540)^VLOOKUP(AC$496-$S593+1,$N$576:$P$585,3)))),0)</f>
        <v>0</v>
      </c>
      <c r="AD593" s="62">
        <f>IFERROR(IF(Input!W149=0,0,(Input!W149*$M540*((1+$S540)^VLOOKUP(AD$496-$S593+1,$N$576:$P$585,3)))),0)</f>
        <v>0</v>
      </c>
      <c r="AE593" s="62">
        <f>IFERROR(IF(Input!X149=0,0,(Input!X149*$M540*((1+$S540)^VLOOKUP(AE$496-$S593+1,$N$576:$P$585,3)))),0)</f>
        <v>0</v>
      </c>
      <c r="AF593" s="484">
        <f>IFERROR(IF(Input!Y149=0,0,(Input!Y149*$M540*((1+$S540)^VLOOKUP(AF$496-$S593+1,$N$576:$P$585,3)))),0)</f>
        <v>0</v>
      </c>
      <c r="AG593" s="484">
        <f>IFERROR(IF(Input!Z149=0,0,(Input!Z149*$M540*((1+$S540)^VLOOKUP(AG$496-$S593+1,$N$576:$P$585,3)))),0)</f>
        <v>0</v>
      </c>
      <c r="AH593" s="484">
        <f>IFERROR(IF(Input!AA149=0,0,(Input!AA149*$M540*((1+$S540)^VLOOKUP(AH$496-$S593+1,$N$576:$P$585,3)))),0)</f>
        <v>0</v>
      </c>
      <c r="AI593" s="484">
        <f>IFERROR(IF(Input!AB149=0,0,(Input!AB149*$M540*((1+$S540)^VLOOKUP(AI$496-$S593+1,$N$576:$P$585,3)))),0)</f>
        <v>0</v>
      </c>
      <c r="AJ593" s="484">
        <f>IFERROR(IF(Input!AC149=0,0,(Input!AC149*$M540*((1+$S540)^VLOOKUP(AJ$496-$S593+1,$N$576:$P$585,3)))),0)</f>
        <v>0</v>
      </c>
      <c r="AK593" s="484">
        <f>IFERROR(IF(Input!AD149=0,0,(Input!AD149*$M540*((1+$S540)^VLOOKUP(AK$496-$S593+1,$N$576:$P$585,3)))),0)</f>
        <v>0</v>
      </c>
      <c r="AL593" s="484">
        <f>IFERROR(IF(Input!AE149=0,0,(Input!AE149*$M540*((1+$S540)^VLOOKUP(AL$496-$S593+1,$N$576:$P$585,3)))),0)</f>
        <v>0</v>
      </c>
      <c r="AM593" s="484">
        <f>IFERROR(IF(Input!AF149=0,0,(Input!AF149*$M540*((1+$S540)^VLOOKUP(AM$496-$S593+1,$N$576:$P$585,3)))),0)</f>
        <v>0</v>
      </c>
      <c r="AN593" s="484">
        <f>IFERROR(IF(Input!AG149=0,0,(Input!AG149*$M540*((1+$S540)^VLOOKUP(AN$496-$S593+1,$N$576:$P$585,3)))),0)</f>
        <v>0</v>
      </c>
      <c r="AO593" s="484">
        <f>IFERROR(IF(Input!AH149=0,0,(Input!AH149*$M540*((1+$S540)^VLOOKUP(AO$496-$S593+1,$N$576:$P$585,3)))),0)</f>
        <v>0</v>
      </c>
      <c r="AP593" s="484">
        <f>IFERROR(IF(Input!AI149=0,0,(Input!AI149*$M540*((1+$S540)^VLOOKUP(AP$496-$S593+1,$N$576:$P$585,3)))),0)</f>
        <v>0</v>
      </c>
      <c r="AQ593" s="484">
        <f>IFERROR(IF(Input!AJ149=0,0,(Input!AJ149*$M540*((1+$S540)^VLOOKUP(AQ$496-$S593+1,$N$576:$P$585,3)))),0)</f>
        <v>0</v>
      </c>
      <c r="AR593" s="484">
        <f>IFERROR(IF(Input!AK149=0,0,(Input!AK149*$M540*((1+$S540)^VLOOKUP(AR$496-$S593+1,$N$576:$P$585,3)))),0)</f>
        <v>0</v>
      </c>
      <c r="AS593" s="484">
        <f>IFERROR(IF(Input!AL149=0,0,(Input!AL149*$M540*((1+$S540)^VLOOKUP(AS$496-$S593+1,$N$576:$P$585,3)))),0)</f>
        <v>0</v>
      </c>
      <c r="AT593" s="484">
        <f>IFERROR(IF(Input!AM149=0,0,(Input!AM149*$M540*((1+$S540)^VLOOKUP(AT$496-$S593+1,$N$576:$P$585,3)))),0)</f>
        <v>0</v>
      </c>
      <c r="AU593" s="484">
        <f>IFERROR(IF(Input!AN149=0,0,(Input!AN149*$M540*((1+$S540)^VLOOKUP(AU$496-$S593+1,$N$576:$P$585,3)))),0)</f>
        <v>0</v>
      </c>
      <c r="AV593" s="484">
        <f>IFERROR(IF(Input!AO149=0,0,(Input!AO149*$M540*((1+$S540)^VLOOKUP(AV$496-$S593+1,$N$576:$P$585,3)))),0)</f>
        <v>0</v>
      </c>
      <c r="AW593" s="484">
        <f>IFERROR(IF(Input!AP149=0,0,(Input!AP149*$M540*((1+$S540)^VLOOKUP(AW$496-$S593+1,$N$576:$P$585,3)))),0)</f>
        <v>0</v>
      </c>
      <c r="AX593" s="484">
        <f>IFERROR(IF(Input!AQ149=0,0,(Input!AQ149*$M540*((1+$S540)^VLOOKUP(AX$496-$S593+1,$N$576:$P$585,3)))),0)</f>
        <v>0</v>
      </c>
      <c r="AY593" s="484">
        <f>IFERROR(IF(Input!AR149=0,0,(Input!AR149*$M540*((1+$S540)^VLOOKUP(AY$496-$S593+1,$N$576:$P$585,3)))),0)</f>
        <v>0</v>
      </c>
      <c r="AZ593" s="484">
        <f>IFERROR(IF(Input!AS149=0,0,(Input!AS149*$M540*((1+$S540)^VLOOKUP(AZ$496-$S593+1,$N$576:$P$585,3)))),0)</f>
        <v>0</v>
      </c>
      <c r="BA593" s="484">
        <f>IFERROR(IF(Input!AT149=0,0,(Input!AT149*$M540*((1+$S540)^VLOOKUP(BA$496-$S593+1,$N$576:$P$585,3)))),0)</f>
        <v>0</v>
      </c>
      <c r="BB593" s="484">
        <f>IFERROR(IF(Input!AU149=0,0,(Input!AU149*$M540*((1+$S540)^VLOOKUP(BB$496-$S593+1,$N$576:$P$585,3)))),0)</f>
        <v>0</v>
      </c>
      <c r="BC593" s="484">
        <f>IFERROR(IF(Input!AV149=0,0,(Input!AV149*$M540*((1+$S540)^VLOOKUP(BC$496-$S593+1,$N$576:$P$585,3)))),0)</f>
        <v>0</v>
      </c>
      <c r="BD593" s="484">
        <f>IFERROR(IF(Input!AW149=0,0,(Input!AW149*$M540*((1+$S540)^VLOOKUP(BD$496-$S593+1,$N$576:$P$585,3)))),0)</f>
        <v>0</v>
      </c>
      <c r="BE593" s="484">
        <f>IFERROR(IF(Input!AX149=0,0,(Input!AX149*$M540*((1+$S540)^VLOOKUP(BE$496-$S593+1,$N$576:$P$585,3)))),0)</f>
        <v>0</v>
      </c>
      <c r="BF593" s="484">
        <f>IFERROR(IF(Input!AY149=0,0,(Input!AY149*$M540*((1+$S540)^VLOOKUP(BF$496-$S593+1,$N$576:$P$585,3)))),0)</f>
        <v>0</v>
      </c>
      <c r="BG593" s="484">
        <f>IFERROR(IF(Input!AZ149=0,0,(Input!AZ149*$M540*((1+$S540)^VLOOKUP(BG$496-$S593+1,$N$576:$P$585,3)))),0)</f>
        <v>0</v>
      </c>
      <c r="BH593" s="484">
        <f>IFERROR(IF(Input!BA149=0,0,(Input!BA149*$M540*((1+$S540)^VLOOKUP(BH$496-$S593+1,$N$576:$P$585,3)))),0)</f>
        <v>0</v>
      </c>
      <c r="BI593" s="484">
        <f>IFERROR(IF(Input!BB149=0,0,(Input!BB149*$M540*((1+$S540)^VLOOKUP(BI$496-$S593+1,$N$576:$P$585,3)))),0)</f>
        <v>0</v>
      </c>
      <c r="BJ593" s="484">
        <f>IFERROR(IF(Input!BC149=0,0,(Input!BC149*$M540*((1+$S540)^VLOOKUP(BJ$496-$S593+1,$N$576:$P$585,3)))),0)</f>
        <v>0</v>
      </c>
      <c r="BK593" s="484">
        <f>IFERROR(IF(Input!BD149=0,0,(Input!BD149*$M540*((1+$S540)^VLOOKUP(BK$496-$S593+1,$N$576:$P$585,3)))),0)</f>
        <v>0</v>
      </c>
      <c r="BL593" s="484">
        <f>IFERROR(IF(Input!BE149=0,0,(Input!BE149*$M540*((1+$S540)^VLOOKUP(BL$496-$S593+1,$N$576:$P$585,3)))),0)</f>
        <v>0</v>
      </c>
      <c r="BM593" s="484">
        <f>IFERROR(IF(Input!BF149=0,0,(Input!BF149*$M540*((1+$S540)^VLOOKUP(BM$496-$S593+1,$N$576:$P$585,3)))),0)</f>
        <v>0</v>
      </c>
      <c r="BN593" s="484">
        <f>IFERROR(IF(Input!BG149=0,0,(Input!BG149*$M540*((1+$S540)^VLOOKUP(BN$496-$S593+1,$N$576:$P$585,3)))),0)</f>
        <v>0</v>
      </c>
      <c r="BO593" s="484">
        <f>IFERROR(IF(Input!BH149=0,0,(Input!BH149*$M540*((1+$S540)^VLOOKUP(BO$496-$S593+1,$N$576:$P$585,3)))),0)</f>
        <v>0</v>
      </c>
      <c r="BP593" s="484">
        <f>IFERROR(IF(Input!BI149=0,0,(Input!BI149*$M540*((1+$S540)^VLOOKUP(BP$496-$S593+1,$N$576:$P$585,3)))),0)</f>
        <v>0</v>
      </c>
      <c r="BQ593" s="484">
        <f>IFERROR(IF(Input!BJ149=0,0,(Input!BJ149*$M540*((1+$S540)^VLOOKUP(BQ$496-$S593+1,$N$576:$P$585,3)))),0)</f>
        <v>0</v>
      </c>
      <c r="BR593" s="484">
        <f>IFERROR(IF(Input!BK149=0,0,(Input!BK149*$M540*((1+$S540)^VLOOKUP(BR$496-$S593+1,$N$576:$P$585,3)))),0)</f>
        <v>0</v>
      </c>
      <c r="BS593" s="484">
        <f>IFERROR(IF(Input!BL149=0,0,(Input!BL149*$M540*((1+$S540)^VLOOKUP(BS$496-$S593+1,$N$576:$P$585,3)))),0)</f>
        <v>0</v>
      </c>
      <c r="BT593" s="484">
        <f>IFERROR(IF(Input!BM149=0,0,(Input!BM149*$M540*((1+$S540)^VLOOKUP(BT$496-$S593+1,$N$576:$P$585,3)))),0)</f>
        <v>0</v>
      </c>
      <c r="BU593" s="484">
        <f>IFERROR(IF(Input!BN149=0,0,(Input!BN149*$M540*((1+$S540)^VLOOKUP(BU$496-$S593+1,$N$576:$P$585,3)))),0)</f>
        <v>0</v>
      </c>
      <c r="BV593" s="484">
        <f>IFERROR(IF(Input!BO149=0,0,(Input!BO149*$M540*((1+$S540)^VLOOKUP(BV$496-$S593+1,$N$576:$P$585,3)))),0)</f>
        <v>0</v>
      </c>
      <c r="BW593" s="484">
        <f>IFERROR(IF(Input!BP149=0,0,(Input!BP149*$M540*((1+$S540)^VLOOKUP(BW$496-$S593+1,$N$576:$P$585,3)))),0)</f>
        <v>0</v>
      </c>
      <c r="BX593" s="484">
        <f>IFERROR(IF(Input!BQ149=0,0,(Input!BQ149*$M540*((1+$S540)^VLOOKUP(BX$496-$S593+1,$N$576:$P$585,3)))),0)</f>
        <v>0</v>
      </c>
      <c r="BY593" s="484">
        <f>IFERROR(IF(Input!BR149=0,0,(Input!BR149*$M540*((1+$S540)^VLOOKUP(BY$496-$S593+1,$N$576:$P$585,3)))),0)</f>
        <v>0</v>
      </c>
      <c r="BZ593" s="484">
        <f>IFERROR(IF(Input!BS149=0,0,(Input!BS149*$M540*((1+$S540)^VLOOKUP(BZ$496-$S593+1,$N$576:$P$585,3)))),0)</f>
        <v>0</v>
      </c>
      <c r="CA593" s="484">
        <f>IFERROR(IF(Input!BT149=0,0,(Input!BT149*$M540*((1+$S540)^VLOOKUP(CA$496-$S593+1,$N$576:$P$585,3)))),0)</f>
        <v>0</v>
      </c>
      <c r="CB593" s="484">
        <f>IFERROR(IF(Input!BU149=0,0,(Input!BU149*$M540*((1+$S540)^VLOOKUP(CB$496-$S593+1,$N$576:$P$585,3)))),0)</f>
        <v>0</v>
      </c>
      <c r="CC593" s="484">
        <f>IFERROR(IF(Input!BV149=0,0,(Input!BV149*$M540*((1+$S540)^VLOOKUP(CC$496-$S593+1,$N$576:$P$585,3)))),0)</f>
        <v>0</v>
      </c>
      <c r="CD593" s="484">
        <f>IFERROR(IF(Input!BW149=0,0,(Input!BW149*$M540*((1+$S540)^VLOOKUP(CD$496-$S593+1,$N$576:$P$585,3)))),0)</f>
        <v>0</v>
      </c>
    </row>
    <row r="594" spans="11:82" ht="12" customHeight="1" x14ac:dyDescent="0.35">
      <c r="K594" s="13"/>
      <c r="L594" s="13"/>
      <c r="M594" s="67"/>
      <c r="N594" s="444"/>
      <c r="O594" s="444"/>
      <c r="P594" s="67"/>
      <c r="Q594" s="67"/>
      <c r="R594" s="13">
        <v>43</v>
      </c>
      <c r="S594" s="13">
        <f>IF(Input!H150&lt;&gt;"",VLOOKUP(Input!$H150,Infrastructure!$D$70:$F$129,3,FALSE),0)</f>
        <v>0</v>
      </c>
      <c r="T594" s="69">
        <f t="shared" si="371"/>
        <v>0</v>
      </c>
      <c r="U594" s="725">
        <f>1+Input!L150+Input!K150</f>
        <v>1</v>
      </c>
      <c r="V594" s="84"/>
      <c r="W594" s="62">
        <f>IFERROR(IF(Input!P150=0,0,(Input!P150*$M541*((1+$S541)^VLOOKUP(W$496-$S594+1,$N$576:$P$585,3)))),0)</f>
        <v>0</v>
      </c>
      <c r="X594" s="62">
        <f>IFERROR(IF(Input!Q150=0,0,(Input!Q150*$M541*((1+$S541)^VLOOKUP(X$496-$S594+1,$N$576:$P$585,3)))),0)</f>
        <v>0</v>
      </c>
      <c r="Y594" s="62">
        <f>IFERROR(IF(Input!R150=0,0,(Input!R150*$M541*((1+$S541)^VLOOKUP(Y$496-$S594+1,$N$576:$P$585,3)))),0)</f>
        <v>0</v>
      </c>
      <c r="Z594" s="62">
        <f>IFERROR(IF(Input!S150=0,0,(Input!S150*$M541*((1+$S541)^VLOOKUP(Z$496-$S594+1,$N$576:$P$585,3)))),0)</f>
        <v>0</v>
      </c>
      <c r="AA594" s="62">
        <f>IFERROR(IF(Input!T150=0,0,(Input!T150*$M541*((1+$S541)^VLOOKUP(AA$496-$S594+1,$N$576:$P$585,3)))),0)</f>
        <v>0</v>
      </c>
      <c r="AB594" s="62">
        <f>IFERROR(IF(Input!U150=0,0,(Input!U150*$M541*((1+$S541)^VLOOKUP(AB$496-$S594+1,$N$576:$P$585,3)))),0)</f>
        <v>0</v>
      </c>
      <c r="AC594" s="62">
        <f>IFERROR(IF(Input!V150=0,0,(Input!V150*$M541*((1+$S541)^VLOOKUP(AC$496-$S594+1,$N$576:$P$585,3)))),0)</f>
        <v>0</v>
      </c>
      <c r="AD594" s="62">
        <f>IFERROR(IF(Input!W150=0,0,(Input!W150*$M541*((1+$S541)^VLOOKUP(AD$496-$S594+1,$N$576:$P$585,3)))),0)</f>
        <v>0</v>
      </c>
      <c r="AE594" s="62">
        <f>IFERROR(IF(Input!X150=0,0,(Input!X150*$M541*((1+$S541)^VLOOKUP(AE$496-$S594+1,$N$576:$P$585,3)))),0)</f>
        <v>0</v>
      </c>
      <c r="AF594" s="484">
        <f>IFERROR(IF(Input!Y150=0,0,(Input!Y150*$M541*((1+$S541)^VLOOKUP(AF$496-$S594+1,$N$576:$P$585,3)))),0)</f>
        <v>0</v>
      </c>
      <c r="AG594" s="484">
        <f>IFERROR(IF(Input!Z150=0,0,(Input!Z150*$M541*((1+$S541)^VLOOKUP(AG$496-$S594+1,$N$576:$P$585,3)))),0)</f>
        <v>0</v>
      </c>
      <c r="AH594" s="484">
        <f>IFERROR(IF(Input!AA150=0,0,(Input!AA150*$M541*((1+$S541)^VLOOKUP(AH$496-$S594+1,$N$576:$P$585,3)))),0)</f>
        <v>0</v>
      </c>
      <c r="AI594" s="484">
        <f>IFERROR(IF(Input!AB150=0,0,(Input!AB150*$M541*((1+$S541)^VLOOKUP(AI$496-$S594+1,$N$576:$P$585,3)))),0)</f>
        <v>0</v>
      </c>
      <c r="AJ594" s="484">
        <f>IFERROR(IF(Input!AC150=0,0,(Input!AC150*$M541*((1+$S541)^VLOOKUP(AJ$496-$S594+1,$N$576:$P$585,3)))),0)</f>
        <v>0</v>
      </c>
      <c r="AK594" s="484">
        <f>IFERROR(IF(Input!AD150=0,0,(Input!AD150*$M541*((1+$S541)^VLOOKUP(AK$496-$S594+1,$N$576:$P$585,3)))),0)</f>
        <v>0</v>
      </c>
      <c r="AL594" s="484">
        <f>IFERROR(IF(Input!AE150=0,0,(Input!AE150*$M541*((1+$S541)^VLOOKUP(AL$496-$S594+1,$N$576:$P$585,3)))),0)</f>
        <v>0</v>
      </c>
      <c r="AM594" s="484">
        <f>IFERROR(IF(Input!AF150=0,0,(Input!AF150*$M541*((1+$S541)^VLOOKUP(AM$496-$S594+1,$N$576:$P$585,3)))),0)</f>
        <v>0</v>
      </c>
      <c r="AN594" s="484">
        <f>IFERROR(IF(Input!AG150=0,0,(Input!AG150*$M541*((1+$S541)^VLOOKUP(AN$496-$S594+1,$N$576:$P$585,3)))),0)</f>
        <v>0</v>
      </c>
      <c r="AO594" s="484">
        <f>IFERROR(IF(Input!AH150=0,0,(Input!AH150*$M541*((1+$S541)^VLOOKUP(AO$496-$S594+1,$N$576:$P$585,3)))),0)</f>
        <v>0</v>
      </c>
      <c r="AP594" s="484">
        <f>IFERROR(IF(Input!AI150=0,0,(Input!AI150*$M541*((1+$S541)^VLOOKUP(AP$496-$S594+1,$N$576:$P$585,3)))),0)</f>
        <v>0</v>
      </c>
      <c r="AQ594" s="484">
        <f>IFERROR(IF(Input!AJ150=0,0,(Input!AJ150*$M541*((1+$S541)^VLOOKUP(AQ$496-$S594+1,$N$576:$P$585,3)))),0)</f>
        <v>0</v>
      </c>
      <c r="AR594" s="484">
        <f>IFERROR(IF(Input!AK150=0,0,(Input!AK150*$M541*((1+$S541)^VLOOKUP(AR$496-$S594+1,$N$576:$P$585,3)))),0)</f>
        <v>0</v>
      </c>
      <c r="AS594" s="484">
        <f>IFERROR(IF(Input!AL150=0,0,(Input!AL150*$M541*((1+$S541)^VLOOKUP(AS$496-$S594+1,$N$576:$P$585,3)))),0)</f>
        <v>0</v>
      </c>
      <c r="AT594" s="484">
        <f>IFERROR(IF(Input!AM150=0,0,(Input!AM150*$M541*((1+$S541)^VLOOKUP(AT$496-$S594+1,$N$576:$P$585,3)))),0)</f>
        <v>0</v>
      </c>
      <c r="AU594" s="484">
        <f>IFERROR(IF(Input!AN150=0,0,(Input!AN150*$M541*((1+$S541)^VLOOKUP(AU$496-$S594+1,$N$576:$P$585,3)))),0)</f>
        <v>0</v>
      </c>
      <c r="AV594" s="484">
        <f>IFERROR(IF(Input!AO150=0,0,(Input!AO150*$M541*((1+$S541)^VLOOKUP(AV$496-$S594+1,$N$576:$P$585,3)))),0)</f>
        <v>0</v>
      </c>
      <c r="AW594" s="484">
        <f>IFERROR(IF(Input!AP150=0,0,(Input!AP150*$M541*((1+$S541)^VLOOKUP(AW$496-$S594+1,$N$576:$P$585,3)))),0)</f>
        <v>0</v>
      </c>
      <c r="AX594" s="484">
        <f>IFERROR(IF(Input!AQ150=0,0,(Input!AQ150*$M541*((1+$S541)^VLOOKUP(AX$496-$S594+1,$N$576:$P$585,3)))),0)</f>
        <v>0</v>
      </c>
      <c r="AY594" s="484">
        <f>IFERROR(IF(Input!AR150=0,0,(Input!AR150*$M541*((1+$S541)^VLOOKUP(AY$496-$S594+1,$N$576:$P$585,3)))),0)</f>
        <v>0</v>
      </c>
      <c r="AZ594" s="484">
        <f>IFERROR(IF(Input!AS150=0,0,(Input!AS150*$M541*((1+$S541)^VLOOKUP(AZ$496-$S594+1,$N$576:$P$585,3)))),0)</f>
        <v>0</v>
      </c>
      <c r="BA594" s="484">
        <f>IFERROR(IF(Input!AT150=0,0,(Input!AT150*$M541*((1+$S541)^VLOOKUP(BA$496-$S594+1,$N$576:$P$585,3)))),0)</f>
        <v>0</v>
      </c>
      <c r="BB594" s="484">
        <f>IFERROR(IF(Input!AU150=0,0,(Input!AU150*$M541*((1+$S541)^VLOOKUP(BB$496-$S594+1,$N$576:$P$585,3)))),0)</f>
        <v>0</v>
      </c>
      <c r="BC594" s="484">
        <f>IFERROR(IF(Input!AV150=0,0,(Input!AV150*$M541*((1+$S541)^VLOOKUP(BC$496-$S594+1,$N$576:$P$585,3)))),0)</f>
        <v>0</v>
      </c>
      <c r="BD594" s="484">
        <f>IFERROR(IF(Input!AW150=0,0,(Input!AW150*$M541*((1+$S541)^VLOOKUP(BD$496-$S594+1,$N$576:$P$585,3)))),0)</f>
        <v>0</v>
      </c>
      <c r="BE594" s="484">
        <f>IFERROR(IF(Input!AX150=0,0,(Input!AX150*$M541*((1+$S541)^VLOOKUP(BE$496-$S594+1,$N$576:$P$585,3)))),0)</f>
        <v>0</v>
      </c>
      <c r="BF594" s="484">
        <f>IFERROR(IF(Input!AY150=0,0,(Input!AY150*$M541*((1+$S541)^VLOOKUP(BF$496-$S594+1,$N$576:$P$585,3)))),0)</f>
        <v>0</v>
      </c>
      <c r="BG594" s="484">
        <f>IFERROR(IF(Input!AZ150=0,0,(Input!AZ150*$M541*((1+$S541)^VLOOKUP(BG$496-$S594+1,$N$576:$P$585,3)))),0)</f>
        <v>0</v>
      </c>
      <c r="BH594" s="484">
        <f>IFERROR(IF(Input!BA150=0,0,(Input!BA150*$M541*((1+$S541)^VLOOKUP(BH$496-$S594+1,$N$576:$P$585,3)))),0)</f>
        <v>0</v>
      </c>
      <c r="BI594" s="484">
        <f>IFERROR(IF(Input!BB150=0,0,(Input!BB150*$M541*((1+$S541)^VLOOKUP(BI$496-$S594+1,$N$576:$P$585,3)))),0)</f>
        <v>0</v>
      </c>
      <c r="BJ594" s="484">
        <f>IFERROR(IF(Input!BC150=0,0,(Input!BC150*$M541*((1+$S541)^VLOOKUP(BJ$496-$S594+1,$N$576:$P$585,3)))),0)</f>
        <v>0</v>
      </c>
      <c r="BK594" s="484">
        <f>IFERROR(IF(Input!BD150=0,0,(Input!BD150*$M541*((1+$S541)^VLOOKUP(BK$496-$S594+1,$N$576:$P$585,3)))),0)</f>
        <v>0</v>
      </c>
      <c r="BL594" s="484">
        <f>IFERROR(IF(Input!BE150=0,0,(Input!BE150*$M541*((1+$S541)^VLOOKUP(BL$496-$S594+1,$N$576:$P$585,3)))),0)</f>
        <v>0</v>
      </c>
      <c r="BM594" s="484">
        <f>IFERROR(IF(Input!BF150=0,0,(Input!BF150*$M541*((1+$S541)^VLOOKUP(BM$496-$S594+1,$N$576:$P$585,3)))),0)</f>
        <v>0</v>
      </c>
      <c r="BN594" s="484">
        <f>IFERROR(IF(Input!BG150=0,0,(Input!BG150*$M541*((1+$S541)^VLOOKUP(BN$496-$S594+1,$N$576:$P$585,3)))),0)</f>
        <v>0</v>
      </c>
      <c r="BO594" s="484">
        <f>IFERROR(IF(Input!BH150=0,0,(Input!BH150*$M541*((1+$S541)^VLOOKUP(BO$496-$S594+1,$N$576:$P$585,3)))),0)</f>
        <v>0</v>
      </c>
      <c r="BP594" s="484">
        <f>IFERROR(IF(Input!BI150=0,0,(Input!BI150*$M541*((1+$S541)^VLOOKUP(BP$496-$S594+1,$N$576:$P$585,3)))),0)</f>
        <v>0</v>
      </c>
      <c r="BQ594" s="484">
        <f>IFERROR(IF(Input!BJ150=0,0,(Input!BJ150*$M541*((1+$S541)^VLOOKUP(BQ$496-$S594+1,$N$576:$P$585,3)))),0)</f>
        <v>0</v>
      </c>
      <c r="BR594" s="484">
        <f>IFERROR(IF(Input!BK150=0,0,(Input!BK150*$M541*((1+$S541)^VLOOKUP(BR$496-$S594+1,$N$576:$P$585,3)))),0)</f>
        <v>0</v>
      </c>
      <c r="BS594" s="484">
        <f>IFERROR(IF(Input!BL150=0,0,(Input!BL150*$M541*((1+$S541)^VLOOKUP(BS$496-$S594+1,$N$576:$P$585,3)))),0)</f>
        <v>0</v>
      </c>
      <c r="BT594" s="484">
        <f>IFERROR(IF(Input!BM150=0,0,(Input!BM150*$M541*((1+$S541)^VLOOKUP(BT$496-$S594+1,$N$576:$P$585,3)))),0)</f>
        <v>0</v>
      </c>
      <c r="BU594" s="484">
        <f>IFERROR(IF(Input!BN150=0,0,(Input!BN150*$M541*((1+$S541)^VLOOKUP(BU$496-$S594+1,$N$576:$P$585,3)))),0)</f>
        <v>0</v>
      </c>
      <c r="BV594" s="484">
        <f>IFERROR(IF(Input!BO150=0,0,(Input!BO150*$M541*((1+$S541)^VLOOKUP(BV$496-$S594+1,$N$576:$P$585,3)))),0)</f>
        <v>0</v>
      </c>
      <c r="BW594" s="484">
        <f>IFERROR(IF(Input!BP150=0,0,(Input!BP150*$M541*((1+$S541)^VLOOKUP(BW$496-$S594+1,$N$576:$P$585,3)))),0)</f>
        <v>0</v>
      </c>
      <c r="BX594" s="484">
        <f>IFERROR(IF(Input!BQ150=0,0,(Input!BQ150*$M541*((1+$S541)^VLOOKUP(BX$496-$S594+1,$N$576:$P$585,3)))),0)</f>
        <v>0</v>
      </c>
      <c r="BY594" s="484">
        <f>IFERROR(IF(Input!BR150=0,0,(Input!BR150*$M541*((1+$S541)^VLOOKUP(BY$496-$S594+1,$N$576:$P$585,3)))),0)</f>
        <v>0</v>
      </c>
      <c r="BZ594" s="484">
        <f>IFERROR(IF(Input!BS150=0,0,(Input!BS150*$M541*((1+$S541)^VLOOKUP(BZ$496-$S594+1,$N$576:$P$585,3)))),0)</f>
        <v>0</v>
      </c>
      <c r="CA594" s="484">
        <f>IFERROR(IF(Input!BT150=0,0,(Input!BT150*$M541*((1+$S541)^VLOOKUP(CA$496-$S594+1,$N$576:$P$585,3)))),0)</f>
        <v>0</v>
      </c>
      <c r="CB594" s="484">
        <f>IFERROR(IF(Input!BU150=0,0,(Input!BU150*$M541*((1+$S541)^VLOOKUP(CB$496-$S594+1,$N$576:$P$585,3)))),0)</f>
        <v>0</v>
      </c>
      <c r="CC594" s="484">
        <f>IFERROR(IF(Input!BV150=0,0,(Input!BV150*$M541*((1+$S541)^VLOOKUP(CC$496-$S594+1,$N$576:$P$585,3)))),0)</f>
        <v>0</v>
      </c>
      <c r="CD594" s="484">
        <f>IFERROR(IF(Input!BW150=0,0,(Input!BW150*$M541*((1+$S541)^VLOOKUP(CD$496-$S594+1,$N$576:$P$585,3)))),0)</f>
        <v>0</v>
      </c>
    </row>
    <row r="595" spans="11:82" ht="12" customHeight="1" x14ac:dyDescent="0.35">
      <c r="K595" s="13"/>
      <c r="L595" s="13"/>
      <c r="M595" s="67"/>
      <c r="N595" s="444"/>
      <c r="O595" s="444"/>
      <c r="P595" s="67"/>
      <c r="Q595" s="67"/>
      <c r="R595" s="13">
        <v>44</v>
      </c>
      <c r="S595" s="13">
        <f>IF(Input!H151&lt;&gt;"",VLOOKUP(Input!$H151,Infrastructure!$D$70:$F$129,3,FALSE),0)</f>
        <v>0</v>
      </c>
      <c r="T595" s="69">
        <f t="shared" si="371"/>
        <v>0</v>
      </c>
      <c r="U595" s="725">
        <f>1+Input!L151+Input!K151</f>
        <v>1</v>
      </c>
      <c r="V595" s="84"/>
      <c r="W595" s="62">
        <f>IFERROR(IF(Input!P151=0,0,(Input!P151*$M542*((1+$S542)^VLOOKUP(W$496-$S595+1,$N$576:$P$585,3)))),0)</f>
        <v>0</v>
      </c>
      <c r="X595" s="62">
        <f>IFERROR(IF(Input!Q151=0,0,(Input!Q151*$M542*((1+$S542)^VLOOKUP(X$496-$S595+1,$N$576:$P$585,3)))),0)</f>
        <v>0</v>
      </c>
      <c r="Y595" s="62">
        <f>IFERROR(IF(Input!R151=0,0,(Input!R151*$M542*((1+$S542)^VLOOKUP(Y$496-$S595+1,$N$576:$P$585,3)))),0)</f>
        <v>0</v>
      </c>
      <c r="Z595" s="62">
        <f>IFERROR(IF(Input!S151=0,0,(Input!S151*$M542*((1+$S542)^VLOOKUP(Z$496-$S595+1,$N$576:$P$585,3)))),0)</f>
        <v>0</v>
      </c>
      <c r="AA595" s="62">
        <f>IFERROR(IF(Input!T151=0,0,(Input!T151*$M542*((1+$S542)^VLOOKUP(AA$496-$S595+1,$N$576:$P$585,3)))),0)</f>
        <v>0</v>
      </c>
      <c r="AB595" s="62">
        <f>IFERROR(IF(Input!U151=0,0,(Input!U151*$M542*((1+$S542)^VLOOKUP(AB$496-$S595+1,$N$576:$P$585,3)))),0)</f>
        <v>0</v>
      </c>
      <c r="AC595" s="62">
        <f>IFERROR(IF(Input!V151=0,0,(Input!V151*$M542*((1+$S542)^VLOOKUP(AC$496-$S595+1,$N$576:$P$585,3)))),0)</f>
        <v>0</v>
      </c>
      <c r="AD595" s="62">
        <f>IFERROR(IF(Input!W151=0,0,(Input!W151*$M542*((1+$S542)^VLOOKUP(AD$496-$S595+1,$N$576:$P$585,3)))),0)</f>
        <v>0</v>
      </c>
      <c r="AE595" s="62">
        <f>IFERROR(IF(Input!X151=0,0,(Input!X151*$M542*((1+$S542)^VLOOKUP(AE$496-$S595+1,$N$576:$P$585,3)))),0)</f>
        <v>0</v>
      </c>
      <c r="AF595" s="484">
        <f>IFERROR(IF(Input!Y151=0,0,(Input!Y151*$M542*((1+$S542)^VLOOKUP(AF$496-$S595+1,$N$576:$P$585,3)))),0)</f>
        <v>0</v>
      </c>
      <c r="AG595" s="484">
        <f>IFERROR(IF(Input!Z151=0,0,(Input!Z151*$M542*((1+$S542)^VLOOKUP(AG$496-$S595+1,$N$576:$P$585,3)))),0)</f>
        <v>0</v>
      </c>
      <c r="AH595" s="484">
        <f>IFERROR(IF(Input!AA151=0,0,(Input!AA151*$M542*((1+$S542)^VLOOKUP(AH$496-$S595+1,$N$576:$P$585,3)))),0)</f>
        <v>0</v>
      </c>
      <c r="AI595" s="484">
        <f>IFERROR(IF(Input!AB151=0,0,(Input!AB151*$M542*((1+$S542)^VLOOKUP(AI$496-$S595+1,$N$576:$P$585,3)))),0)</f>
        <v>0</v>
      </c>
      <c r="AJ595" s="484">
        <f>IFERROR(IF(Input!AC151=0,0,(Input!AC151*$M542*((1+$S542)^VLOOKUP(AJ$496-$S595+1,$N$576:$P$585,3)))),0)</f>
        <v>0</v>
      </c>
      <c r="AK595" s="484">
        <f>IFERROR(IF(Input!AD151=0,0,(Input!AD151*$M542*((1+$S542)^VLOOKUP(AK$496-$S595+1,$N$576:$P$585,3)))),0)</f>
        <v>0</v>
      </c>
      <c r="AL595" s="484">
        <f>IFERROR(IF(Input!AE151=0,0,(Input!AE151*$M542*((1+$S542)^VLOOKUP(AL$496-$S595+1,$N$576:$P$585,3)))),0)</f>
        <v>0</v>
      </c>
      <c r="AM595" s="484">
        <f>IFERROR(IF(Input!AF151=0,0,(Input!AF151*$M542*((1+$S542)^VLOOKUP(AM$496-$S595+1,$N$576:$P$585,3)))),0)</f>
        <v>0</v>
      </c>
      <c r="AN595" s="484">
        <f>IFERROR(IF(Input!AG151=0,0,(Input!AG151*$M542*((1+$S542)^VLOOKUP(AN$496-$S595+1,$N$576:$P$585,3)))),0)</f>
        <v>0</v>
      </c>
      <c r="AO595" s="484">
        <f>IFERROR(IF(Input!AH151=0,0,(Input!AH151*$M542*((1+$S542)^VLOOKUP(AO$496-$S595+1,$N$576:$P$585,3)))),0)</f>
        <v>0</v>
      </c>
      <c r="AP595" s="484">
        <f>IFERROR(IF(Input!AI151=0,0,(Input!AI151*$M542*((1+$S542)^VLOOKUP(AP$496-$S595+1,$N$576:$P$585,3)))),0)</f>
        <v>0</v>
      </c>
      <c r="AQ595" s="484">
        <f>IFERROR(IF(Input!AJ151=0,0,(Input!AJ151*$M542*((1+$S542)^VLOOKUP(AQ$496-$S595+1,$N$576:$P$585,3)))),0)</f>
        <v>0</v>
      </c>
      <c r="AR595" s="484">
        <f>IFERROR(IF(Input!AK151=0,0,(Input!AK151*$M542*((1+$S542)^VLOOKUP(AR$496-$S595+1,$N$576:$P$585,3)))),0)</f>
        <v>0</v>
      </c>
      <c r="AS595" s="484">
        <f>IFERROR(IF(Input!AL151=0,0,(Input!AL151*$M542*((1+$S542)^VLOOKUP(AS$496-$S595+1,$N$576:$P$585,3)))),0)</f>
        <v>0</v>
      </c>
      <c r="AT595" s="484">
        <f>IFERROR(IF(Input!AM151=0,0,(Input!AM151*$M542*((1+$S542)^VLOOKUP(AT$496-$S595+1,$N$576:$P$585,3)))),0)</f>
        <v>0</v>
      </c>
      <c r="AU595" s="484">
        <f>IFERROR(IF(Input!AN151=0,0,(Input!AN151*$M542*((1+$S542)^VLOOKUP(AU$496-$S595+1,$N$576:$P$585,3)))),0)</f>
        <v>0</v>
      </c>
      <c r="AV595" s="484">
        <f>IFERROR(IF(Input!AO151=0,0,(Input!AO151*$M542*((1+$S542)^VLOOKUP(AV$496-$S595+1,$N$576:$P$585,3)))),0)</f>
        <v>0</v>
      </c>
      <c r="AW595" s="484">
        <f>IFERROR(IF(Input!AP151=0,0,(Input!AP151*$M542*((1+$S542)^VLOOKUP(AW$496-$S595+1,$N$576:$P$585,3)))),0)</f>
        <v>0</v>
      </c>
      <c r="AX595" s="484">
        <f>IFERROR(IF(Input!AQ151=0,0,(Input!AQ151*$M542*((1+$S542)^VLOOKUP(AX$496-$S595+1,$N$576:$P$585,3)))),0)</f>
        <v>0</v>
      </c>
      <c r="AY595" s="484">
        <f>IFERROR(IF(Input!AR151=0,0,(Input!AR151*$M542*((1+$S542)^VLOOKUP(AY$496-$S595+1,$N$576:$P$585,3)))),0)</f>
        <v>0</v>
      </c>
      <c r="AZ595" s="484">
        <f>IFERROR(IF(Input!AS151=0,0,(Input!AS151*$M542*((1+$S542)^VLOOKUP(AZ$496-$S595+1,$N$576:$P$585,3)))),0)</f>
        <v>0</v>
      </c>
      <c r="BA595" s="484">
        <f>IFERROR(IF(Input!AT151=0,0,(Input!AT151*$M542*((1+$S542)^VLOOKUP(BA$496-$S595+1,$N$576:$P$585,3)))),0)</f>
        <v>0</v>
      </c>
      <c r="BB595" s="484">
        <f>IFERROR(IF(Input!AU151=0,0,(Input!AU151*$M542*((1+$S542)^VLOOKUP(BB$496-$S595+1,$N$576:$P$585,3)))),0)</f>
        <v>0</v>
      </c>
      <c r="BC595" s="484">
        <f>IFERROR(IF(Input!AV151=0,0,(Input!AV151*$M542*((1+$S542)^VLOOKUP(BC$496-$S595+1,$N$576:$P$585,3)))),0)</f>
        <v>0</v>
      </c>
      <c r="BD595" s="484">
        <f>IFERROR(IF(Input!AW151=0,0,(Input!AW151*$M542*((1+$S542)^VLOOKUP(BD$496-$S595+1,$N$576:$P$585,3)))),0)</f>
        <v>0</v>
      </c>
      <c r="BE595" s="484">
        <f>IFERROR(IF(Input!AX151=0,0,(Input!AX151*$M542*((1+$S542)^VLOOKUP(BE$496-$S595+1,$N$576:$P$585,3)))),0)</f>
        <v>0</v>
      </c>
      <c r="BF595" s="484">
        <f>IFERROR(IF(Input!AY151=0,0,(Input!AY151*$M542*((1+$S542)^VLOOKUP(BF$496-$S595+1,$N$576:$P$585,3)))),0)</f>
        <v>0</v>
      </c>
      <c r="BG595" s="484">
        <f>IFERROR(IF(Input!AZ151=0,0,(Input!AZ151*$M542*((1+$S542)^VLOOKUP(BG$496-$S595+1,$N$576:$P$585,3)))),0)</f>
        <v>0</v>
      </c>
      <c r="BH595" s="484">
        <f>IFERROR(IF(Input!BA151=0,0,(Input!BA151*$M542*((1+$S542)^VLOOKUP(BH$496-$S595+1,$N$576:$P$585,3)))),0)</f>
        <v>0</v>
      </c>
      <c r="BI595" s="484">
        <f>IFERROR(IF(Input!BB151=0,0,(Input!BB151*$M542*((1+$S542)^VLOOKUP(BI$496-$S595+1,$N$576:$P$585,3)))),0)</f>
        <v>0</v>
      </c>
      <c r="BJ595" s="484">
        <f>IFERROR(IF(Input!BC151=0,0,(Input!BC151*$M542*((1+$S542)^VLOOKUP(BJ$496-$S595+1,$N$576:$P$585,3)))),0)</f>
        <v>0</v>
      </c>
      <c r="BK595" s="484">
        <f>IFERROR(IF(Input!BD151=0,0,(Input!BD151*$M542*((1+$S542)^VLOOKUP(BK$496-$S595+1,$N$576:$P$585,3)))),0)</f>
        <v>0</v>
      </c>
      <c r="BL595" s="484">
        <f>IFERROR(IF(Input!BE151=0,0,(Input!BE151*$M542*((1+$S542)^VLOOKUP(BL$496-$S595+1,$N$576:$P$585,3)))),0)</f>
        <v>0</v>
      </c>
      <c r="BM595" s="484">
        <f>IFERROR(IF(Input!BF151=0,0,(Input!BF151*$M542*((1+$S542)^VLOOKUP(BM$496-$S595+1,$N$576:$P$585,3)))),0)</f>
        <v>0</v>
      </c>
      <c r="BN595" s="484">
        <f>IFERROR(IF(Input!BG151=0,0,(Input!BG151*$M542*((1+$S542)^VLOOKUP(BN$496-$S595+1,$N$576:$P$585,3)))),0)</f>
        <v>0</v>
      </c>
      <c r="BO595" s="484">
        <f>IFERROR(IF(Input!BH151=0,0,(Input!BH151*$M542*((1+$S542)^VLOOKUP(BO$496-$S595+1,$N$576:$P$585,3)))),0)</f>
        <v>0</v>
      </c>
      <c r="BP595" s="484">
        <f>IFERROR(IF(Input!BI151=0,0,(Input!BI151*$M542*((1+$S542)^VLOOKUP(BP$496-$S595+1,$N$576:$P$585,3)))),0)</f>
        <v>0</v>
      </c>
      <c r="BQ595" s="484">
        <f>IFERROR(IF(Input!BJ151=0,0,(Input!BJ151*$M542*((1+$S542)^VLOOKUP(BQ$496-$S595+1,$N$576:$P$585,3)))),0)</f>
        <v>0</v>
      </c>
      <c r="BR595" s="484">
        <f>IFERROR(IF(Input!BK151=0,0,(Input!BK151*$M542*((1+$S542)^VLOOKUP(BR$496-$S595+1,$N$576:$P$585,3)))),0)</f>
        <v>0</v>
      </c>
      <c r="BS595" s="484">
        <f>IFERROR(IF(Input!BL151=0,0,(Input!BL151*$M542*((1+$S542)^VLOOKUP(BS$496-$S595+1,$N$576:$P$585,3)))),0)</f>
        <v>0</v>
      </c>
      <c r="BT595" s="484">
        <f>IFERROR(IF(Input!BM151=0,0,(Input!BM151*$M542*((1+$S542)^VLOOKUP(BT$496-$S595+1,$N$576:$P$585,3)))),0)</f>
        <v>0</v>
      </c>
      <c r="BU595" s="484">
        <f>IFERROR(IF(Input!BN151=0,0,(Input!BN151*$M542*((1+$S542)^VLOOKUP(BU$496-$S595+1,$N$576:$P$585,3)))),0)</f>
        <v>0</v>
      </c>
      <c r="BV595" s="484">
        <f>IFERROR(IF(Input!BO151=0,0,(Input!BO151*$M542*((1+$S542)^VLOOKUP(BV$496-$S595+1,$N$576:$P$585,3)))),0)</f>
        <v>0</v>
      </c>
      <c r="BW595" s="484">
        <f>IFERROR(IF(Input!BP151=0,0,(Input!BP151*$M542*((1+$S542)^VLOOKUP(BW$496-$S595+1,$N$576:$P$585,3)))),0)</f>
        <v>0</v>
      </c>
      <c r="BX595" s="484">
        <f>IFERROR(IF(Input!BQ151=0,0,(Input!BQ151*$M542*((1+$S542)^VLOOKUP(BX$496-$S595+1,$N$576:$P$585,3)))),0)</f>
        <v>0</v>
      </c>
      <c r="BY595" s="484">
        <f>IFERROR(IF(Input!BR151=0,0,(Input!BR151*$M542*((1+$S542)^VLOOKUP(BY$496-$S595+1,$N$576:$P$585,3)))),0)</f>
        <v>0</v>
      </c>
      <c r="BZ595" s="484">
        <f>IFERROR(IF(Input!BS151=0,0,(Input!BS151*$M542*((1+$S542)^VLOOKUP(BZ$496-$S595+1,$N$576:$P$585,3)))),0)</f>
        <v>0</v>
      </c>
      <c r="CA595" s="484">
        <f>IFERROR(IF(Input!BT151=0,0,(Input!BT151*$M542*((1+$S542)^VLOOKUP(CA$496-$S595+1,$N$576:$P$585,3)))),0)</f>
        <v>0</v>
      </c>
      <c r="CB595" s="484">
        <f>IFERROR(IF(Input!BU151=0,0,(Input!BU151*$M542*((1+$S542)^VLOOKUP(CB$496-$S595+1,$N$576:$P$585,3)))),0)</f>
        <v>0</v>
      </c>
      <c r="CC595" s="484">
        <f>IFERROR(IF(Input!BV151=0,0,(Input!BV151*$M542*((1+$S542)^VLOOKUP(CC$496-$S595+1,$N$576:$P$585,3)))),0)</f>
        <v>0</v>
      </c>
      <c r="CD595" s="484">
        <f>IFERROR(IF(Input!BW151=0,0,(Input!BW151*$M542*((1+$S542)^VLOOKUP(CD$496-$S595+1,$N$576:$P$585,3)))),0)</f>
        <v>0</v>
      </c>
    </row>
    <row r="596" spans="11:82" ht="12" customHeight="1" x14ac:dyDescent="0.35">
      <c r="K596" s="13"/>
      <c r="L596" s="13"/>
      <c r="M596" s="67"/>
      <c r="N596" s="444"/>
      <c r="O596" s="444"/>
      <c r="P596" s="67"/>
      <c r="Q596" s="67"/>
      <c r="R596" s="40">
        <v>45</v>
      </c>
      <c r="S596" s="13">
        <f>IF(Input!H152&lt;&gt;"",VLOOKUP(Input!$H152,Infrastructure!$D$70:$F$129,3,FALSE),0)</f>
        <v>0</v>
      </c>
      <c r="T596" s="69">
        <f t="shared" si="371"/>
        <v>0</v>
      </c>
      <c r="U596" s="725">
        <f>1+Input!L152+Input!K152</f>
        <v>1</v>
      </c>
      <c r="V596" s="84"/>
      <c r="W596" s="62">
        <f>IFERROR(IF(Input!P152=0,0,(Input!P152*$M543*((1+$S543)^VLOOKUP(W$496-$S596+1,$N$576:$P$585,3)))),0)</f>
        <v>0</v>
      </c>
      <c r="X596" s="62">
        <f>IFERROR(IF(Input!Q152=0,0,(Input!Q152*$M543*((1+$S543)^VLOOKUP(X$496-$S596+1,$N$576:$P$585,3)))),0)</f>
        <v>0</v>
      </c>
      <c r="Y596" s="62">
        <f>IFERROR(IF(Input!R152=0,0,(Input!R152*$M543*((1+$S543)^VLOOKUP(Y$496-$S596+1,$N$576:$P$585,3)))),0)</f>
        <v>0</v>
      </c>
      <c r="Z596" s="62">
        <f>IFERROR(IF(Input!S152=0,0,(Input!S152*$M543*((1+$S543)^VLOOKUP(Z$496-$S596+1,$N$576:$P$585,3)))),0)</f>
        <v>0</v>
      </c>
      <c r="AA596" s="62">
        <f>IFERROR(IF(Input!T152=0,0,(Input!T152*$M543*((1+$S543)^VLOOKUP(AA$496-$S596+1,$N$576:$P$585,3)))),0)</f>
        <v>0</v>
      </c>
      <c r="AB596" s="62">
        <f>IFERROR(IF(Input!U152=0,0,(Input!U152*$M543*((1+$S543)^VLOOKUP(AB$496-$S596+1,$N$576:$P$585,3)))),0)</f>
        <v>0</v>
      </c>
      <c r="AC596" s="62">
        <f>IFERROR(IF(Input!V152=0,0,(Input!V152*$M543*((1+$S543)^VLOOKUP(AC$496-$S596+1,$N$576:$P$585,3)))),0)</f>
        <v>0</v>
      </c>
      <c r="AD596" s="62">
        <f>IFERROR(IF(Input!W152=0,0,(Input!W152*$M543*((1+$S543)^VLOOKUP(AD$496-$S596+1,$N$576:$P$585,3)))),0)</f>
        <v>0</v>
      </c>
      <c r="AE596" s="62">
        <f>IFERROR(IF(Input!X152=0,0,(Input!X152*$M543*((1+$S543)^VLOOKUP(AE$496-$S596+1,$N$576:$P$585,3)))),0)</f>
        <v>0</v>
      </c>
      <c r="AF596" s="484">
        <f>IFERROR(IF(Input!Y152=0,0,(Input!Y152*$M543*((1+$S543)^VLOOKUP(AF$496-$S596+1,$N$576:$P$585,3)))),0)</f>
        <v>0</v>
      </c>
      <c r="AG596" s="484">
        <f>IFERROR(IF(Input!Z152=0,0,(Input!Z152*$M543*((1+$S543)^VLOOKUP(AG$496-$S596+1,$N$576:$P$585,3)))),0)</f>
        <v>0</v>
      </c>
      <c r="AH596" s="484">
        <f>IFERROR(IF(Input!AA152=0,0,(Input!AA152*$M543*((1+$S543)^VLOOKUP(AH$496-$S596+1,$N$576:$P$585,3)))),0)</f>
        <v>0</v>
      </c>
      <c r="AI596" s="484">
        <f>IFERROR(IF(Input!AB152=0,0,(Input!AB152*$M543*((1+$S543)^VLOOKUP(AI$496-$S596+1,$N$576:$P$585,3)))),0)</f>
        <v>0</v>
      </c>
      <c r="AJ596" s="484">
        <f>IFERROR(IF(Input!AC152=0,0,(Input!AC152*$M543*((1+$S543)^VLOOKUP(AJ$496-$S596+1,$N$576:$P$585,3)))),0)</f>
        <v>0</v>
      </c>
      <c r="AK596" s="484">
        <f>IFERROR(IF(Input!AD152=0,0,(Input!AD152*$M543*((1+$S543)^VLOOKUP(AK$496-$S596+1,$N$576:$P$585,3)))),0)</f>
        <v>0</v>
      </c>
      <c r="AL596" s="484">
        <f>IFERROR(IF(Input!AE152=0,0,(Input!AE152*$M543*((1+$S543)^VLOOKUP(AL$496-$S596+1,$N$576:$P$585,3)))),0)</f>
        <v>0</v>
      </c>
      <c r="AM596" s="484">
        <f>IFERROR(IF(Input!AF152=0,0,(Input!AF152*$M543*((1+$S543)^VLOOKUP(AM$496-$S596+1,$N$576:$P$585,3)))),0)</f>
        <v>0</v>
      </c>
      <c r="AN596" s="484">
        <f>IFERROR(IF(Input!AG152=0,0,(Input!AG152*$M543*((1+$S543)^VLOOKUP(AN$496-$S596+1,$N$576:$P$585,3)))),0)</f>
        <v>0</v>
      </c>
      <c r="AO596" s="484">
        <f>IFERROR(IF(Input!AH152=0,0,(Input!AH152*$M543*((1+$S543)^VLOOKUP(AO$496-$S596+1,$N$576:$P$585,3)))),0)</f>
        <v>0</v>
      </c>
      <c r="AP596" s="484">
        <f>IFERROR(IF(Input!AI152=0,0,(Input!AI152*$M543*((1+$S543)^VLOOKUP(AP$496-$S596+1,$N$576:$P$585,3)))),0)</f>
        <v>0</v>
      </c>
      <c r="AQ596" s="484">
        <f>IFERROR(IF(Input!AJ152=0,0,(Input!AJ152*$M543*((1+$S543)^VLOOKUP(AQ$496-$S596+1,$N$576:$P$585,3)))),0)</f>
        <v>0</v>
      </c>
      <c r="AR596" s="484">
        <f>IFERROR(IF(Input!AK152=0,0,(Input!AK152*$M543*((1+$S543)^VLOOKUP(AR$496-$S596+1,$N$576:$P$585,3)))),0)</f>
        <v>0</v>
      </c>
      <c r="AS596" s="484">
        <f>IFERROR(IF(Input!AL152=0,0,(Input!AL152*$M543*((1+$S543)^VLOOKUP(AS$496-$S596+1,$N$576:$P$585,3)))),0)</f>
        <v>0</v>
      </c>
      <c r="AT596" s="484">
        <f>IFERROR(IF(Input!AM152=0,0,(Input!AM152*$M543*((1+$S543)^VLOOKUP(AT$496-$S596+1,$N$576:$P$585,3)))),0)</f>
        <v>0</v>
      </c>
      <c r="AU596" s="484">
        <f>IFERROR(IF(Input!AN152=0,0,(Input!AN152*$M543*((1+$S543)^VLOOKUP(AU$496-$S596+1,$N$576:$P$585,3)))),0)</f>
        <v>0</v>
      </c>
      <c r="AV596" s="484">
        <f>IFERROR(IF(Input!AO152=0,0,(Input!AO152*$M543*((1+$S543)^VLOOKUP(AV$496-$S596+1,$N$576:$P$585,3)))),0)</f>
        <v>0</v>
      </c>
      <c r="AW596" s="484">
        <f>IFERROR(IF(Input!AP152=0,0,(Input!AP152*$M543*((1+$S543)^VLOOKUP(AW$496-$S596+1,$N$576:$P$585,3)))),0)</f>
        <v>0</v>
      </c>
      <c r="AX596" s="484">
        <f>IFERROR(IF(Input!AQ152=0,0,(Input!AQ152*$M543*((1+$S543)^VLOOKUP(AX$496-$S596+1,$N$576:$P$585,3)))),0)</f>
        <v>0</v>
      </c>
      <c r="AY596" s="484">
        <f>IFERROR(IF(Input!AR152=0,0,(Input!AR152*$M543*((1+$S543)^VLOOKUP(AY$496-$S596+1,$N$576:$P$585,3)))),0)</f>
        <v>0</v>
      </c>
      <c r="AZ596" s="484">
        <f>IFERROR(IF(Input!AS152=0,0,(Input!AS152*$M543*((1+$S543)^VLOOKUP(AZ$496-$S596+1,$N$576:$P$585,3)))),0)</f>
        <v>0</v>
      </c>
      <c r="BA596" s="484">
        <f>IFERROR(IF(Input!AT152=0,0,(Input!AT152*$M543*((1+$S543)^VLOOKUP(BA$496-$S596+1,$N$576:$P$585,3)))),0)</f>
        <v>0</v>
      </c>
      <c r="BB596" s="484">
        <f>IFERROR(IF(Input!AU152=0,0,(Input!AU152*$M543*((1+$S543)^VLOOKUP(BB$496-$S596+1,$N$576:$P$585,3)))),0)</f>
        <v>0</v>
      </c>
      <c r="BC596" s="484">
        <f>IFERROR(IF(Input!AV152=0,0,(Input!AV152*$M543*((1+$S543)^VLOOKUP(BC$496-$S596+1,$N$576:$P$585,3)))),0)</f>
        <v>0</v>
      </c>
      <c r="BD596" s="484">
        <f>IFERROR(IF(Input!AW152=0,0,(Input!AW152*$M543*((1+$S543)^VLOOKUP(BD$496-$S596+1,$N$576:$P$585,3)))),0)</f>
        <v>0</v>
      </c>
      <c r="BE596" s="484">
        <f>IFERROR(IF(Input!AX152=0,0,(Input!AX152*$M543*((1+$S543)^VLOOKUP(BE$496-$S596+1,$N$576:$P$585,3)))),0)</f>
        <v>0</v>
      </c>
      <c r="BF596" s="484">
        <f>IFERROR(IF(Input!AY152=0,0,(Input!AY152*$M543*((1+$S543)^VLOOKUP(BF$496-$S596+1,$N$576:$P$585,3)))),0)</f>
        <v>0</v>
      </c>
      <c r="BG596" s="484">
        <f>IFERROR(IF(Input!AZ152=0,0,(Input!AZ152*$M543*((1+$S543)^VLOOKUP(BG$496-$S596+1,$N$576:$P$585,3)))),0)</f>
        <v>0</v>
      </c>
      <c r="BH596" s="484">
        <f>IFERROR(IF(Input!BA152=0,0,(Input!BA152*$M543*((1+$S543)^VLOOKUP(BH$496-$S596+1,$N$576:$P$585,3)))),0)</f>
        <v>0</v>
      </c>
      <c r="BI596" s="484">
        <f>IFERROR(IF(Input!BB152=0,0,(Input!BB152*$M543*((1+$S543)^VLOOKUP(BI$496-$S596+1,$N$576:$P$585,3)))),0)</f>
        <v>0</v>
      </c>
      <c r="BJ596" s="484">
        <f>IFERROR(IF(Input!BC152=0,0,(Input!BC152*$M543*((1+$S543)^VLOOKUP(BJ$496-$S596+1,$N$576:$P$585,3)))),0)</f>
        <v>0</v>
      </c>
      <c r="BK596" s="484">
        <f>IFERROR(IF(Input!BD152=0,0,(Input!BD152*$M543*((1+$S543)^VLOOKUP(BK$496-$S596+1,$N$576:$P$585,3)))),0)</f>
        <v>0</v>
      </c>
      <c r="BL596" s="484">
        <f>IFERROR(IF(Input!BE152=0,0,(Input!BE152*$M543*((1+$S543)^VLOOKUP(BL$496-$S596+1,$N$576:$P$585,3)))),0)</f>
        <v>0</v>
      </c>
      <c r="BM596" s="484">
        <f>IFERROR(IF(Input!BF152=0,0,(Input!BF152*$M543*((1+$S543)^VLOOKUP(BM$496-$S596+1,$N$576:$P$585,3)))),0)</f>
        <v>0</v>
      </c>
      <c r="BN596" s="484">
        <f>IFERROR(IF(Input!BG152=0,0,(Input!BG152*$M543*((1+$S543)^VLOOKUP(BN$496-$S596+1,$N$576:$P$585,3)))),0)</f>
        <v>0</v>
      </c>
      <c r="BO596" s="484">
        <f>IFERROR(IF(Input!BH152=0,0,(Input!BH152*$M543*((1+$S543)^VLOOKUP(BO$496-$S596+1,$N$576:$P$585,3)))),0)</f>
        <v>0</v>
      </c>
      <c r="BP596" s="484">
        <f>IFERROR(IF(Input!BI152=0,0,(Input!BI152*$M543*((1+$S543)^VLOOKUP(BP$496-$S596+1,$N$576:$P$585,3)))),0)</f>
        <v>0</v>
      </c>
      <c r="BQ596" s="484">
        <f>IFERROR(IF(Input!BJ152=0,0,(Input!BJ152*$M543*((1+$S543)^VLOOKUP(BQ$496-$S596+1,$N$576:$P$585,3)))),0)</f>
        <v>0</v>
      </c>
      <c r="BR596" s="484">
        <f>IFERROR(IF(Input!BK152=0,0,(Input!BK152*$M543*((1+$S543)^VLOOKUP(BR$496-$S596+1,$N$576:$P$585,3)))),0)</f>
        <v>0</v>
      </c>
      <c r="BS596" s="484">
        <f>IFERROR(IF(Input!BL152=0,0,(Input!BL152*$M543*((1+$S543)^VLOOKUP(BS$496-$S596+1,$N$576:$P$585,3)))),0)</f>
        <v>0</v>
      </c>
      <c r="BT596" s="484">
        <f>IFERROR(IF(Input!BM152=0,0,(Input!BM152*$M543*((1+$S543)^VLOOKUP(BT$496-$S596+1,$N$576:$P$585,3)))),0)</f>
        <v>0</v>
      </c>
      <c r="BU596" s="484">
        <f>IFERROR(IF(Input!BN152=0,0,(Input!BN152*$M543*((1+$S543)^VLOOKUP(BU$496-$S596+1,$N$576:$P$585,3)))),0)</f>
        <v>0</v>
      </c>
      <c r="BV596" s="484">
        <f>IFERROR(IF(Input!BO152=0,0,(Input!BO152*$M543*((1+$S543)^VLOOKUP(BV$496-$S596+1,$N$576:$P$585,3)))),0)</f>
        <v>0</v>
      </c>
      <c r="BW596" s="484">
        <f>IFERROR(IF(Input!BP152=0,0,(Input!BP152*$M543*((1+$S543)^VLOOKUP(BW$496-$S596+1,$N$576:$P$585,3)))),0)</f>
        <v>0</v>
      </c>
      <c r="BX596" s="484">
        <f>IFERROR(IF(Input!BQ152=0,0,(Input!BQ152*$M543*((1+$S543)^VLOOKUP(BX$496-$S596+1,$N$576:$P$585,3)))),0)</f>
        <v>0</v>
      </c>
      <c r="BY596" s="484">
        <f>IFERROR(IF(Input!BR152=0,0,(Input!BR152*$M543*((1+$S543)^VLOOKUP(BY$496-$S596+1,$N$576:$P$585,3)))),0)</f>
        <v>0</v>
      </c>
      <c r="BZ596" s="484">
        <f>IFERROR(IF(Input!BS152=0,0,(Input!BS152*$M543*((1+$S543)^VLOOKUP(BZ$496-$S596+1,$N$576:$P$585,3)))),0)</f>
        <v>0</v>
      </c>
      <c r="CA596" s="484">
        <f>IFERROR(IF(Input!BT152=0,0,(Input!BT152*$M543*((1+$S543)^VLOOKUP(CA$496-$S596+1,$N$576:$P$585,3)))),0)</f>
        <v>0</v>
      </c>
      <c r="CB596" s="484">
        <f>IFERROR(IF(Input!BU152=0,0,(Input!BU152*$M543*((1+$S543)^VLOOKUP(CB$496-$S596+1,$N$576:$P$585,3)))),0)</f>
        <v>0</v>
      </c>
      <c r="CC596" s="484">
        <f>IFERROR(IF(Input!BV152=0,0,(Input!BV152*$M543*((1+$S543)^VLOOKUP(CC$496-$S596+1,$N$576:$P$585,3)))),0)</f>
        <v>0</v>
      </c>
      <c r="CD596" s="484">
        <f>IFERROR(IF(Input!BW152=0,0,(Input!BW152*$M543*((1+$S543)^VLOOKUP(CD$496-$S596+1,$N$576:$P$585,3)))),0)</f>
        <v>0</v>
      </c>
    </row>
    <row r="597" spans="11:82" ht="12" customHeight="1" x14ac:dyDescent="0.35">
      <c r="K597" s="13"/>
      <c r="L597" s="13"/>
      <c r="M597" s="67"/>
      <c r="N597" s="444"/>
      <c r="O597" s="444"/>
      <c r="P597" s="67"/>
      <c r="Q597" s="67"/>
      <c r="R597" s="13">
        <v>46</v>
      </c>
      <c r="S597" s="13">
        <f>IF(Input!H153&lt;&gt;"",VLOOKUP(Input!$H153,Infrastructure!$D$70:$F$129,3,FALSE),0)</f>
        <v>0</v>
      </c>
      <c r="T597" s="69">
        <f t="shared" si="371"/>
        <v>0</v>
      </c>
      <c r="U597" s="725">
        <f>1+Input!L153+Input!K153</f>
        <v>1</v>
      </c>
      <c r="V597" s="84"/>
      <c r="W597" s="62">
        <f>IFERROR(IF(Input!P153=0,0,(Input!P153*$M544*((1+$S544)^VLOOKUP(W$496-$S597+1,$N$576:$P$585,3)))),0)</f>
        <v>0</v>
      </c>
      <c r="X597" s="62">
        <f>IFERROR(IF(Input!Q153=0,0,(Input!Q153*$M544*((1+$S544)^VLOOKUP(X$496-$S597+1,$N$576:$P$585,3)))),0)</f>
        <v>0</v>
      </c>
      <c r="Y597" s="62">
        <f>IFERROR(IF(Input!R153=0,0,(Input!R153*$M544*((1+$S544)^VLOOKUP(Y$496-$S597+1,$N$576:$P$585,3)))),0)</f>
        <v>0</v>
      </c>
      <c r="Z597" s="62">
        <f>IFERROR(IF(Input!S153=0,0,(Input!S153*$M544*((1+$S544)^VLOOKUP(Z$496-$S597+1,$N$576:$P$585,3)))),0)</f>
        <v>0</v>
      </c>
      <c r="AA597" s="62">
        <f>IFERROR(IF(Input!T153=0,0,(Input!T153*$M544*((1+$S544)^VLOOKUP(AA$496-$S597+1,$N$576:$P$585,3)))),0)</f>
        <v>0</v>
      </c>
      <c r="AB597" s="62">
        <f>IFERROR(IF(Input!U153=0,0,(Input!U153*$M544*((1+$S544)^VLOOKUP(AB$496-$S597+1,$N$576:$P$585,3)))),0)</f>
        <v>0</v>
      </c>
      <c r="AC597" s="62">
        <f>IFERROR(IF(Input!V153=0,0,(Input!V153*$M544*((1+$S544)^VLOOKUP(AC$496-$S597+1,$N$576:$P$585,3)))),0)</f>
        <v>0</v>
      </c>
      <c r="AD597" s="62">
        <f>IFERROR(IF(Input!W153=0,0,(Input!W153*$M544*((1+$S544)^VLOOKUP(AD$496-$S597+1,$N$576:$P$585,3)))),0)</f>
        <v>0</v>
      </c>
      <c r="AE597" s="62">
        <f>IFERROR(IF(Input!X153=0,0,(Input!X153*$M544*((1+$S544)^VLOOKUP(AE$496-$S597+1,$N$576:$P$585,3)))),0)</f>
        <v>0</v>
      </c>
      <c r="AF597" s="484">
        <f>IFERROR(IF(Input!Y153=0,0,(Input!Y153*$M544*((1+$S544)^VLOOKUP(AF$496-$S597+1,$N$576:$P$585,3)))),0)</f>
        <v>0</v>
      </c>
      <c r="AG597" s="484">
        <f>IFERROR(IF(Input!Z153=0,0,(Input!Z153*$M544*((1+$S544)^VLOOKUP(AG$496-$S597+1,$N$576:$P$585,3)))),0)</f>
        <v>0</v>
      </c>
      <c r="AH597" s="484">
        <f>IFERROR(IF(Input!AA153=0,0,(Input!AA153*$M544*((1+$S544)^VLOOKUP(AH$496-$S597+1,$N$576:$P$585,3)))),0)</f>
        <v>0</v>
      </c>
      <c r="AI597" s="484">
        <f>IFERROR(IF(Input!AB153=0,0,(Input!AB153*$M544*((1+$S544)^VLOOKUP(AI$496-$S597+1,$N$576:$P$585,3)))),0)</f>
        <v>0</v>
      </c>
      <c r="AJ597" s="484">
        <f>IFERROR(IF(Input!AC153=0,0,(Input!AC153*$M544*((1+$S544)^VLOOKUP(AJ$496-$S597+1,$N$576:$P$585,3)))),0)</f>
        <v>0</v>
      </c>
      <c r="AK597" s="484">
        <f>IFERROR(IF(Input!AD153=0,0,(Input!AD153*$M544*((1+$S544)^VLOOKUP(AK$496-$S597+1,$N$576:$P$585,3)))),0)</f>
        <v>0</v>
      </c>
      <c r="AL597" s="484">
        <f>IFERROR(IF(Input!AE153=0,0,(Input!AE153*$M544*((1+$S544)^VLOOKUP(AL$496-$S597+1,$N$576:$P$585,3)))),0)</f>
        <v>0</v>
      </c>
      <c r="AM597" s="484">
        <f>IFERROR(IF(Input!AF153=0,0,(Input!AF153*$M544*((1+$S544)^VLOOKUP(AM$496-$S597+1,$N$576:$P$585,3)))),0)</f>
        <v>0</v>
      </c>
      <c r="AN597" s="484">
        <f>IFERROR(IF(Input!AG153=0,0,(Input!AG153*$M544*((1+$S544)^VLOOKUP(AN$496-$S597+1,$N$576:$P$585,3)))),0)</f>
        <v>0</v>
      </c>
      <c r="AO597" s="484">
        <f>IFERROR(IF(Input!AH153=0,0,(Input!AH153*$M544*((1+$S544)^VLOOKUP(AO$496-$S597+1,$N$576:$P$585,3)))),0)</f>
        <v>0</v>
      </c>
      <c r="AP597" s="484">
        <f>IFERROR(IF(Input!AI153=0,0,(Input!AI153*$M544*((1+$S544)^VLOOKUP(AP$496-$S597+1,$N$576:$P$585,3)))),0)</f>
        <v>0</v>
      </c>
      <c r="AQ597" s="484">
        <f>IFERROR(IF(Input!AJ153=0,0,(Input!AJ153*$M544*((1+$S544)^VLOOKUP(AQ$496-$S597+1,$N$576:$P$585,3)))),0)</f>
        <v>0</v>
      </c>
      <c r="AR597" s="484">
        <f>IFERROR(IF(Input!AK153=0,0,(Input!AK153*$M544*((1+$S544)^VLOOKUP(AR$496-$S597+1,$N$576:$P$585,3)))),0)</f>
        <v>0</v>
      </c>
      <c r="AS597" s="484">
        <f>IFERROR(IF(Input!AL153=0,0,(Input!AL153*$M544*((1+$S544)^VLOOKUP(AS$496-$S597+1,$N$576:$P$585,3)))),0)</f>
        <v>0</v>
      </c>
      <c r="AT597" s="484">
        <f>IFERROR(IF(Input!AM153=0,0,(Input!AM153*$M544*((1+$S544)^VLOOKUP(AT$496-$S597+1,$N$576:$P$585,3)))),0)</f>
        <v>0</v>
      </c>
      <c r="AU597" s="484">
        <f>IFERROR(IF(Input!AN153=0,0,(Input!AN153*$M544*((1+$S544)^VLOOKUP(AU$496-$S597+1,$N$576:$P$585,3)))),0)</f>
        <v>0</v>
      </c>
      <c r="AV597" s="484">
        <f>IFERROR(IF(Input!AO153=0,0,(Input!AO153*$M544*((1+$S544)^VLOOKUP(AV$496-$S597+1,$N$576:$P$585,3)))),0)</f>
        <v>0</v>
      </c>
      <c r="AW597" s="484">
        <f>IFERROR(IF(Input!AP153=0,0,(Input!AP153*$M544*((1+$S544)^VLOOKUP(AW$496-$S597+1,$N$576:$P$585,3)))),0)</f>
        <v>0</v>
      </c>
      <c r="AX597" s="484">
        <f>IFERROR(IF(Input!AQ153=0,0,(Input!AQ153*$M544*((1+$S544)^VLOOKUP(AX$496-$S597+1,$N$576:$P$585,3)))),0)</f>
        <v>0</v>
      </c>
      <c r="AY597" s="484">
        <f>IFERROR(IF(Input!AR153=0,0,(Input!AR153*$M544*((1+$S544)^VLOOKUP(AY$496-$S597+1,$N$576:$P$585,3)))),0)</f>
        <v>0</v>
      </c>
      <c r="AZ597" s="484">
        <f>IFERROR(IF(Input!AS153=0,0,(Input!AS153*$M544*((1+$S544)^VLOOKUP(AZ$496-$S597+1,$N$576:$P$585,3)))),0)</f>
        <v>0</v>
      </c>
      <c r="BA597" s="484">
        <f>IFERROR(IF(Input!AT153=0,0,(Input!AT153*$M544*((1+$S544)^VLOOKUP(BA$496-$S597+1,$N$576:$P$585,3)))),0)</f>
        <v>0</v>
      </c>
      <c r="BB597" s="484">
        <f>IFERROR(IF(Input!AU153=0,0,(Input!AU153*$M544*((1+$S544)^VLOOKUP(BB$496-$S597+1,$N$576:$P$585,3)))),0)</f>
        <v>0</v>
      </c>
      <c r="BC597" s="484">
        <f>IFERROR(IF(Input!AV153=0,0,(Input!AV153*$M544*((1+$S544)^VLOOKUP(BC$496-$S597+1,$N$576:$P$585,3)))),0)</f>
        <v>0</v>
      </c>
      <c r="BD597" s="484">
        <f>IFERROR(IF(Input!AW153=0,0,(Input!AW153*$M544*((1+$S544)^VLOOKUP(BD$496-$S597+1,$N$576:$P$585,3)))),0)</f>
        <v>0</v>
      </c>
      <c r="BE597" s="484">
        <f>IFERROR(IF(Input!AX153=0,0,(Input!AX153*$M544*((1+$S544)^VLOOKUP(BE$496-$S597+1,$N$576:$P$585,3)))),0)</f>
        <v>0</v>
      </c>
      <c r="BF597" s="484">
        <f>IFERROR(IF(Input!AY153=0,0,(Input!AY153*$M544*((1+$S544)^VLOOKUP(BF$496-$S597+1,$N$576:$P$585,3)))),0)</f>
        <v>0</v>
      </c>
      <c r="BG597" s="484">
        <f>IFERROR(IF(Input!AZ153=0,0,(Input!AZ153*$M544*((1+$S544)^VLOOKUP(BG$496-$S597+1,$N$576:$P$585,3)))),0)</f>
        <v>0</v>
      </c>
      <c r="BH597" s="484">
        <f>IFERROR(IF(Input!BA153=0,0,(Input!BA153*$M544*((1+$S544)^VLOOKUP(BH$496-$S597+1,$N$576:$P$585,3)))),0)</f>
        <v>0</v>
      </c>
      <c r="BI597" s="484">
        <f>IFERROR(IF(Input!BB153=0,0,(Input!BB153*$M544*((1+$S544)^VLOOKUP(BI$496-$S597+1,$N$576:$P$585,3)))),0)</f>
        <v>0</v>
      </c>
      <c r="BJ597" s="484">
        <f>IFERROR(IF(Input!BC153=0,0,(Input!BC153*$M544*((1+$S544)^VLOOKUP(BJ$496-$S597+1,$N$576:$P$585,3)))),0)</f>
        <v>0</v>
      </c>
      <c r="BK597" s="484">
        <f>IFERROR(IF(Input!BD153=0,0,(Input!BD153*$M544*((1+$S544)^VLOOKUP(BK$496-$S597+1,$N$576:$P$585,3)))),0)</f>
        <v>0</v>
      </c>
      <c r="BL597" s="484">
        <f>IFERROR(IF(Input!BE153=0,0,(Input!BE153*$M544*((1+$S544)^VLOOKUP(BL$496-$S597+1,$N$576:$P$585,3)))),0)</f>
        <v>0</v>
      </c>
      <c r="BM597" s="484">
        <f>IFERROR(IF(Input!BF153=0,0,(Input!BF153*$M544*((1+$S544)^VLOOKUP(BM$496-$S597+1,$N$576:$P$585,3)))),0)</f>
        <v>0</v>
      </c>
      <c r="BN597" s="484">
        <f>IFERROR(IF(Input!BG153=0,0,(Input!BG153*$M544*((1+$S544)^VLOOKUP(BN$496-$S597+1,$N$576:$P$585,3)))),0)</f>
        <v>0</v>
      </c>
      <c r="BO597" s="484">
        <f>IFERROR(IF(Input!BH153=0,0,(Input!BH153*$M544*((1+$S544)^VLOOKUP(BO$496-$S597+1,$N$576:$P$585,3)))),0)</f>
        <v>0</v>
      </c>
      <c r="BP597" s="484">
        <f>IFERROR(IF(Input!BI153=0,0,(Input!BI153*$M544*((1+$S544)^VLOOKUP(BP$496-$S597+1,$N$576:$P$585,3)))),0)</f>
        <v>0</v>
      </c>
      <c r="BQ597" s="484">
        <f>IFERROR(IF(Input!BJ153=0,0,(Input!BJ153*$M544*((1+$S544)^VLOOKUP(BQ$496-$S597+1,$N$576:$P$585,3)))),0)</f>
        <v>0</v>
      </c>
      <c r="BR597" s="484">
        <f>IFERROR(IF(Input!BK153=0,0,(Input!BK153*$M544*((1+$S544)^VLOOKUP(BR$496-$S597+1,$N$576:$P$585,3)))),0)</f>
        <v>0</v>
      </c>
      <c r="BS597" s="484">
        <f>IFERROR(IF(Input!BL153=0,0,(Input!BL153*$M544*((1+$S544)^VLOOKUP(BS$496-$S597+1,$N$576:$P$585,3)))),0)</f>
        <v>0</v>
      </c>
      <c r="BT597" s="484">
        <f>IFERROR(IF(Input!BM153=0,0,(Input!BM153*$M544*((1+$S544)^VLOOKUP(BT$496-$S597+1,$N$576:$P$585,3)))),0)</f>
        <v>0</v>
      </c>
      <c r="BU597" s="484">
        <f>IFERROR(IF(Input!BN153=0,0,(Input!BN153*$M544*((1+$S544)^VLOOKUP(BU$496-$S597+1,$N$576:$P$585,3)))),0)</f>
        <v>0</v>
      </c>
      <c r="BV597" s="484">
        <f>IFERROR(IF(Input!BO153=0,0,(Input!BO153*$M544*((1+$S544)^VLOOKUP(BV$496-$S597+1,$N$576:$P$585,3)))),0)</f>
        <v>0</v>
      </c>
      <c r="BW597" s="484">
        <f>IFERROR(IF(Input!BP153=0,0,(Input!BP153*$M544*((1+$S544)^VLOOKUP(BW$496-$S597+1,$N$576:$P$585,3)))),0)</f>
        <v>0</v>
      </c>
      <c r="BX597" s="484">
        <f>IFERROR(IF(Input!BQ153=0,0,(Input!BQ153*$M544*((1+$S544)^VLOOKUP(BX$496-$S597+1,$N$576:$P$585,3)))),0)</f>
        <v>0</v>
      </c>
      <c r="BY597" s="484">
        <f>IFERROR(IF(Input!BR153=0,0,(Input!BR153*$M544*((1+$S544)^VLOOKUP(BY$496-$S597+1,$N$576:$P$585,3)))),0)</f>
        <v>0</v>
      </c>
      <c r="BZ597" s="484">
        <f>IFERROR(IF(Input!BS153=0,0,(Input!BS153*$M544*((1+$S544)^VLOOKUP(BZ$496-$S597+1,$N$576:$P$585,3)))),0)</f>
        <v>0</v>
      </c>
      <c r="CA597" s="484">
        <f>IFERROR(IF(Input!BT153=0,0,(Input!BT153*$M544*((1+$S544)^VLOOKUP(CA$496-$S597+1,$N$576:$P$585,3)))),0)</f>
        <v>0</v>
      </c>
      <c r="CB597" s="484">
        <f>IFERROR(IF(Input!BU153=0,0,(Input!BU153*$M544*((1+$S544)^VLOOKUP(CB$496-$S597+1,$N$576:$P$585,3)))),0)</f>
        <v>0</v>
      </c>
      <c r="CC597" s="484">
        <f>IFERROR(IF(Input!BV153=0,0,(Input!BV153*$M544*((1+$S544)^VLOOKUP(CC$496-$S597+1,$N$576:$P$585,3)))),0)</f>
        <v>0</v>
      </c>
      <c r="CD597" s="484">
        <f>IFERROR(IF(Input!BW153=0,0,(Input!BW153*$M544*((1+$S544)^VLOOKUP(CD$496-$S597+1,$N$576:$P$585,3)))),0)</f>
        <v>0</v>
      </c>
    </row>
    <row r="598" spans="11:82" ht="12" customHeight="1" x14ac:dyDescent="0.35">
      <c r="K598" s="13"/>
      <c r="L598" s="13"/>
      <c r="M598" s="67"/>
      <c r="N598" s="444"/>
      <c r="O598" s="444"/>
      <c r="P598" s="67"/>
      <c r="Q598" s="67"/>
      <c r="R598" s="13">
        <v>47</v>
      </c>
      <c r="S598" s="13">
        <f>IF(Input!H154&lt;&gt;"",VLOOKUP(Input!$H154,Infrastructure!$D$70:$F$129,3,FALSE),0)</f>
        <v>0</v>
      </c>
      <c r="T598" s="69">
        <f t="shared" si="371"/>
        <v>0</v>
      </c>
      <c r="U598" s="725">
        <f>1+Input!L154+Input!K154</f>
        <v>1</v>
      </c>
      <c r="V598" s="84"/>
      <c r="W598" s="62">
        <f>IFERROR(IF(Input!P154=0,0,(Input!P154*$M545*((1+$S545)^VLOOKUP(W$496-$S598+1,$N$576:$P$585,3)))),0)</f>
        <v>0</v>
      </c>
      <c r="X598" s="62">
        <f>IFERROR(IF(Input!Q154=0,0,(Input!Q154*$M545*((1+$S545)^VLOOKUP(X$496-$S598+1,$N$576:$P$585,3)))),0)</f>
        <v>0</v>
      </c>
      <c r="Y598" s="62">
        <f>IFERROR(IF(Input!R154=0,0,(Input!R154*$M545*((1+$S545)^VLOOKUP(Y$496-$S598+1,$N$576:$P$585,3)))),0)</f>
        <v>0</v>
      </c>
      <c r="Z598" s="62">
        <f>IFERROR(IF(Input!S154=0,0,(Input!S154*$M545*((1+$S545)^VLOOKUP(Z$496-$S598+1,$N$576:$P$585,3)))),0)</f>
        <v>0</v>
      </c>
      <c r="AA598" s="62">
        <f>IFERROR(IF(Input!T154=0,0,(Input!T154*$M545*((1+$S545)^VLOOKUP(AA$496-$S598+1,$N$576:$P$585,3)))),0)</f>
        <v>0</v>
      </c>
      <c r="AB598" s="62">
        <f>IFERROR(IF(Input!U154=0,0,(Input!U154*$M545*((1+$S545)^VLOOKUP(AB$496-$S598+1,$N$576:$P$585,3)))),0)</f>
        <v>0</v>
      </c>
      <c r="AC598" s="62">
        <f>IFERROR(IF(Input!V154=0,0,(Input!V154*$M545*((1+$S545)^VLOOKUP(AC$496-$S598+1,$N$576:$P$585,3)))),0)</f>
        <v>0</v>
      </c>
      <c r="AD598" s="62">
        <f>IFERROR(IF(Input!W154=0,0,(Input!W154*$M545*((1+$S545)^VLOOKUP(AD$496-$S598+1,$N$576:$P$585,3)))),0)</f>
        <v>0</v>
      </c>
      <c r="AE598" s="62">
        <f>IFERROR(IF(Input!X154=0,0,(Input!X154*$M545*((1+$S545)^VLOOKUP(AE$496-$S598+1,$N$576:$P$585,3)))),0)</f>
        <v>0</v>
      </c>
      <c r="AF598" s="484">
        <f>IFERROR(IF(Input!Y154=0,0,(Input!Y154*$M545*((1+$S545)^VLOOKUP(AF$496-$S598+1,$N$576:$P$585,3)))),0)</f>
        <v>0</v>
      </c>
      <c r="AG598" s="484">
        <f>IFERROR(IF(Input!Z154=0,0,(Input!Z154*$M545*((1+$S545)^VLOOKUP(AG$496-$S598+1,$N$576:$P$585,3)))),0)</f>
        <v>0</v>
      </c>
      <c r="AH598" s="484">
        <f>IFERROR(IF(Input!AA154=0,0,(Input!AA154*$M545*((1+$S545)^VLOOKUP(AH$496-$S598+1,$N$576:$P$585,3)))),0)</f>
        <v>0</v>
      </c>
      <c r="AI598" s="484">
        <f>IFERROR(IF(Input!AB154=0,0,(Input!AB154*$M545*((1+$S545)^VLOOKUP(AI$496-$S598+1,$N$576:$P$585,3)))),0)</f>
        <v>0</v>
      </c>
      <c r="AJ598" s="484">
        <f>IFERROR(IF(Input!AC154=0,0,(Input!AC154*$M545*((1+$S545)^VLOOKUP(AJ$496-$S598+1,$N$576:$P$585,3)))),0)</f>
        <v>0</v>
      </c>
      <c r="AK598" s="484">
        <f>IFERROR(IF(Input!AD154=0,0,(Input!AD154*$M545*((1+$S545)^VLOOKUP(AK$496-$S598+1,$N$576:$P$585,3)))),0)</f>
        <v>0</v>
      </c>
      <c r="AL598" s="484">
        <f>IFERROR(IF(Input!AE154=0,0,(Input!AE154*$M545*((1+$S545)^VLOOKUP(AL$496-$S598+1,$N$576:$P$585,3)))),0)</f>
        <v>0</v>
      </c>
      <c r="AM598" s="484">
        <f>IFERROR(IF(Input!AF154=0,0,(Input!AF154*$M545*((1+$S545)^VLOOKUP(AM$496-$S598+1,$N$576:$P$585,3)))),0)</f>
        <v>0</v>
      </c>
      <c r="AN598" s="484">
        <f>IFERROR(IF(Input!AG154=0,0,(Input!AG154*$M545*((1+$S545)^VLOOKUP(AN$496-$S598+1,$N$576:$P$585,3)))),0)</f>
        <v>0</v>
      </c>
      <c r="AO598" s="484">
        <f>IFERROR(IF(Input!AH154=0,0,(Input!AH154*$M545*((1+$S545)^VLOOKUP(AO$496-$S598+1,$N$576:$P$585,3)))),0)</f>
        <v>0</v>
      </c>
      <c r="AP598" s="484">
        <f>IFERROR(IF(Input!AI154=0,0,(Input!AI154*$M545*((1+$S545)^VLOOKUP(AP$496-$S598+1,$N$576:$P$585,3)))),0)</f>
        <v>0</v>
      </c>
      <c r="AQ598" s="484">
        <f>IFERROR(IF(Input!AJ154=0,0,(Input!AJ154*$M545*((1+$S545)^VLOOKUP(AQ$496-$S598+1,$N$576:$P$585,3)))),0)</f>
        <v>0</v>
      </c>
      <c r="AR598" s="484">
        <f>IFERROR(IF(Input!AK154=0,0,(Input!AK154*$M545*((1+$S545)^VLOOKUP(AR$496-$S598+1,$N$576:$P$585,3)))),0)</f>
        <v>0</v>
      </c>
      <c r="AS598" s="484">
        <f>IFERROR(IF(Input!AL154=0,0,(Input!AL154*$M545*((1+$S545)^VLOOKUP(AS$496-$S598+1,$N$576:$P$585,3)))),0)</f>
        <v>0</v>
      </c>
      <c r="AT598" s="484">
        <f>IFERROR(IF(Input!AM154=0,0,(Input!AM154*$M545*((1+$S545)^VLOOKUP(AT$496-$S598+1,$N$576:$P$585,3)))),0)</f>
        <v>0</v>
      </c>
      <c r="AU598" s="484">
        <f>IFERROR(IF(Input!AN154=0,0,(Input!AN154*$M545*((1+$S545)^VLOOKUP(AU$496-$S598+1,$N$576:$P$585,3)))),0)</f>
        <v>0</v>
      </c>
      <c r="AV598" s="484">
        <f>IFERROR(IF(Input!AO154=0,0,(Input!AO154*$M545*((1+$S545)^VLOOKUP(AV$496-$S598+1,$N$576:$P$585,3)))),0)</f>
        <v>0</v>
      </c>
      <c r="AW598" s="484">
        <f>IFERROR(IF(Input!AP154=0,0,(Input!AP154*$M545*((1+$S545)^VLOOKUP(AW$496-$S598+1,$N$576:$P$585,3)))),0)</f>
        <v>0</v>
      </c>
      <c r="AX598" s="484">
        <f>IFERROR(IF(Input!AQ154=0,0,(Input!AQ154*$M545*((1+$S545)^VLOOKUP(AX$496-$S598+1,$N$576:$P$585,3)))),0)</f>
        <v>0</v>
      </c>
      <c r="AY598" s="484">
        <f>IFERROR(IF(Input!AR154=0,0,(Input!AR154*$M545*((1+$S545)^VLOOKUP(AY$496-$S598+1,$N$576:$P$585,3)))),0)</f>
        <v>0</v>
      </c>
      <c r="AZ598" s="484">
        <f>IFERROR(IF(Input!AS154=0,0,(Input!AS154*$M545*((1+$S545)^VLOOKUP(AZ$496-$S598+1,$N$576:$P$585,3)))),0)</f>
        <v>0</v>
      </c>
      <c r="BA598" s="484">
        <f>IFERROR(IF(Input!AT154=0,0,(Input!AT154*$M545*((1+$S545)^VLOOKUP(BA$496-$S598+1,$N$576:$P$585,3)))),0)</f>
        <v>0</v>
      </c>
      <c r="BB598" s="484">
        <f>IFERROR(IF(Input!AU154=0,0,(Input!AU154*$M545*((1+$S545)^VLOOKUP(BB$496-$S598+1,$N$576:$P$585,3)))),0)</f>
        <v>0</v>
      </c>
      <c r="BC598" s="484">
        <f>IFERROR(IF(Input!AV154=0,0,(Input!AV154*$M545*((1+$S545)^VLOOKUP(BC$496-$S598+1,$N$576:$P$585,3)))),0)</f>
        <v>0</v>
      </c>
      <c r="BD598" s="484">
        <f>IFERROR(IF(Input!AW154=0,0,(Input!AW154*$M545*((1+$S545)^VLOOKUP(BD$496-$S598+1,$N$576:$P$585,3)))),0)</f>
        <v>0</v>
      </c>
      <c r="BE598" s="484">
        <f>IFERROR(IF(Input!AX154=0,0,(Input!AX154*$M545*((1+$S545)^VLOOKUP(BE$496-$S598+1,$N$576:$P$585,3)))),0)</f>
        <v>0</v>
      </c>
      <c r="BF598" s="484">
        <f>IFERROR(IF(Input!AY154=0,0,(Input!AY154*$M545*((1+$S545)^VLOOKUP(BF$496-$S598+1,$N$576:$P$585,3)))),0)</f>
        <v>0</v>
      </c>
      <c r="BG598" s="484">
        <f>IFERROR(IF(Input!AZ154=0,0,(Input!AZ154*$M545*((1+$S545)^VLOOKUP(BG$496-$S598+1,$N$576:$P$585,3)))),0)</f>
        <v>0</v>
      </c>
      <c r="BH598" s="484">
        <f>IFERROR(IF(Input!BA154=0,0,(Input!BA154*$M545*((1+$S545)^VLOOKUP(BH$496-$S598+1,$N$576:$P$585,3)))),0)</f>
        <v>0</v>
      </c>
      <c r="BI598" s="484">
        <f>IFERROR(IF(Input!BB154=0,0,(Input!BB154*$M545*((1+$S545)^VLOOKUP(BI$496-$S598+1,$N$576:$P$585,3)))),0)</f>
        <v>0</v>
      </c>
      <c r="BJ598" s="484">
        <f>IFERROR(IF(Input!BC154=0,0,(Input!BC154*$M545*((1+$S545)^VLOOKUP(BJ$496-$S598+1,$N$576:$P$585,3)))),0)</f>
        <v>0</v>
      </c>
      <c r="BK598" s="484">
        <f>IFERROR(IF(Input!BD154=0,0,(Input!BD154*$M545*((1+$S545)^VLOOKUP(BK$496-$S598+1,$N$576:$P$585,3)))),0)</f>
        <v>0</v>
      </c>
      <c r="BL598" s="484">
        <f>IFERROR(IF(Input!BE154=0,0,(Input!BE154*$M545*((1+$S545)^VLOOKUP(BL$496-$S598+1,$N$576:$P$585,3)))),0)</f>
        <v>0</v>
      </c>
      <c r="BM598" s="484">
        <f>IFERROR(IF(Input!BF154=0,0,(Input!BF154*$M545*((1+$S545)^VLOOKUP(BM$496-$S598+1,$N$576:$P$585,3)))),0)</f>
        <v>0</v>
      </c>
      <c r="BN598" s="484">
        <f>IFERROR(IF(Input!BG154=0,0,(Input!BG154*$M545*((1+$S545)^VLOOKUP(BN$496-$S598+1,$N$576:$P$585,3)))),0)</f>
        <v>0</v>
      </c>
      <c r="BO598" s="484">
        <f>IFERROR(IF(Input!BH154=0,0,(Input!BH154*$M545*((1+$S545)^VLOOKUP(BO$496-$S598+1,$N$576:$P$585,3)))),0)</f>
        <v>0</v>
      </c>
      <c r="BP598" s="484">
        <f>IFERROR(IF(Input!BI154=0,0,(Input!BI154*$M545*((1+$S545)^VLOOKUP(BP$496-$S598+1,$N$576:$P$585,3)))),0)</f>
        <v>0</v>
      </c>
      <c r="BQ598" s="484">
        <f>IFERROR(IF(Input!BJ154=0,0,(Input!BJ154*$M545*((1+$S545)^VLOOKUP(BQ$496-$S598+1,$N$576:$P$585,3)))),0)</f>
        <v>0</v>
      </c>
      <c r="BR598" s="484">
        <f>IFERROR(IF(Input!BK154=0,0,(Input!BK154*$M545*((1+$S545)^VLOOKUP(BR$496-$S598+1,$N$576:$P$585,3)))),0)</f>
        <v>0</v>
      </c>
      <c r="BS598" s="484">
        <f>IFERROR(IF(Input!BL154=0,0,(Input!BL154*$M545*((1+$S545)^VLOOKUP(BS$496-$S598+1,$N$576:$P$585,3)))),0)</f>
        <v>0</v>
      </c>
      <c r="BT598" s="484">
        <f>IFERROR(IF(Input!BM154=0,0,(Input!BM154*$M545*((1+$S545)^VLOOKUP(BT$496-$S598+1,$N$576:$P$585,3)))),0)</f>
        <v>0</v>
      </c>
      <c r="BU598" s="484">
        <f>IFERROR(IF(Input!BN154=0,0,(Input!BN154*$M545*((1+$S545)^VLOOKUP(BU$496-$S598+1,$N$576:$P$585,3)))),0)</f>
        <v>0</v>
      </c>
      <c r="BV598" s="484">
        <f>IFERROR(IF(Input!BO154=0,0,(Input!BO154*$M545*((1+$S545)^VLOOKUP(BV$496-$S598+1,$N$576:$P$585,3)))),0)</f>
        <v>0</v>
      </c>
      <c r="BW598" s="484">
        <f>IFERROR(IF(Input!BP154=0,0,(Input!BP154*$M545*((1+$S545)^VLOOKUP(BW$496-$S598+1,$N$576:$P$585,3)))),0)</f>
        <v>0</v>
      </c>
      <c r="BX598" s="484">
        <f>IFERROR(IF(Input!BQ154=0,0,(Input!BQ154*$M545*((1+$S545)^VLOOKUP(BX$496-$S598+1,$N$576:$P$585,3)))),0)</f>
        <v>0</v>
      </c>
      <c r="BY598" s="484">
        <f>IFERROR(IF(Input!BR154=0,0,(Input!BR154*$M545*((1+$S545)^VLOOKUP(BY$496-$S598+1,$N$576:$P$585,3)))),0)</f>
        <v>0</v>
      </c>
      <c r="BZ598" s="484">
        <f>IFERROR(IF(Input!BS154=0,0,(Input!BS154*$M545*((1+$S545)^VLOOKUP(BZ$496-$S598+1,$N$576:$P$585,3)))),0)</f>
        <v>0</v>
      </c>
      <c r="CA598" s="484">
        <f>IFERROR(IF(Input!BT154=0,0,(Input!BT154*$M545*((1+$S545)^VLOOKUP(CA$496-$S598+1,$N$576:$P$585,3)))),0)</f>
        <v>0</v>
      </c>
      <c r="CB598" s="484">
        <f>IFERROR(IF(Input!BU154=0,0,(Input!BU154*$M545*((1+$S545)^VLOOKUP(CB$496-$S598+1,$N$576:$P$585,3)))),0)</f>
        <v>0</v>
      </c>
      <c r="CC598" s="484">
        <f>IFERROR(IF(Input!BV154=0,0,(Input!BV154*$M545*((1+$S545)^VLOOKUP(CC$496-$S598+1,$N$576:$P$585,3)))),0)</f>
        <v>0</v>
      </c>
      <c r="CD598" s="484">
        <f>IFERROR(IF(Input!BW154=0,0,(Input!BW154*$M545*((1+$S545)^VLOOKUP(CD$496-$S598+1,$N$576:$P$585,3)))),0)</f>
        <v>0</v>
      </c>
    </row>
    <row r="599" spans="11:82" ht="12" customHeight="1" x14ac:dyDescent="0.35">
      <c r="K599" s="13"/>
      <c r="L599" s="13"/>
      <c r="M599" s="67"/>
      <c r="N599" s="444"/>
      <c r="O599" s="444"/>
      <c r="P599" s="67"/>
      <c r="Q599" s="67"/>
      <c r="R599" s="40">
        <v>48</v>
      </c>
      <c r="S599" s="13">
        <f>IF(Input!H155&lt;&gt;"",VLOOKUP(Input!$H155,Infrastructure!$D$70:$F$129,3,FALSE),0)</f>
        <v>0</v>
      </c>
      <c r="T599" s="69">
        <f t="shared" si="371"/>
        <v>0</v>
      </c>
      <c r="U599" s="725">
        <f>1+Input!L155+Input!K155</f>
        <v>1</v>
      </c>
      <c r="V599" s="84"/>
      <c r="W599" s="62">
        <f>IFERROR(IF(Input!P155=0,0,(Input!P155*$M546*((1+$S546)^VLOOKUP(W$496-$S599+1,$N$576:$P$585,3)))),0)</f>
        <v>0</v>
      </c>
      <c r="X599" s="62">
        <f>IFERROR(IF(Input!Q155=0,0,(Input!Q155*$M546*((1+$S546)^VLOOKUP(X$496-$S599+1,$N$576:$P$585,3)))),0)</f>
        <v>0</v>
      </c>
      <c r="Y599" s="62">
        <f>IFERROR(IF(Input!R155=0,0,(Input!R155*$M546*((1+$S546)^VLOOKUP(Y$496-$S599+1,$N$576:$P$585,3)))),0)</f>
        <v>0</v>
      </c>
      <c r="Z599" s="62">
        <f>IFERROR(IF(Input!S155=0,0,(Input!S155*$M546*((1+$S546)^VLOOKUP(Z$496-$S599+1,$N$576:$P$585,3)))),0)</f>
        <v>0</v>
      </c>
      <c r="AA599" s="62">
        <f>IFERROR(IF(Input!T155=0,0,(Input!T155*$M546*((1+$S546)^VLOOKUP(AA$496-$S599+1,$N$576:$P$585,3)))),0)</f>
        <v>0</v>
      </c>
      <c r="AB599" s="62">
        <f>IFERROR(IF(Input!U155=0,0,(Input!U155*$M546*((1+$S546)^VLOOKUP(AB$496-$S599+1,$N$576:$P$585,3)))),0)</f>
        <v>0</v>
      </c>
      <c r="AC599" s="62">
        <f>IFERROR(IF(Input!V155=0,0,(Input!V155*$M546*((1+$S546)^VLOOKUP(AC$496-$S599+1,$N$576:$P$585,3)))),0)</f>
        <v>0</v>
      </c>
      <c r="AD599" s="62">
        <f>IFERROR(IF(Input!W155=0,0,(Input!W155*$M546*((1+$S546)^VLOOKUP(AD$496-$S599+1,$N$576:$P$585,3)))),0)</f>
        <v>0</v>
      </c>
      <c r="AE599" s="62">
        <f>IFERROR(IF(Input!X155=0,0,(Input!X155*$M546*((1+$S546)^VLOOKUP(AE$496-$S599+1,$N$576:$P$585,3)))),0)</f>
        <v>0</v>
      </c>
      <c r="AF599" s="484">
        <f>IFERROR(IF(Input!Y155=0,0,(Input!Y155*$M546*((1+$S546)^VLOOKUP(AF$496-$S599+1,$N$576:$P$585,3)))),0)</f>
        <v>0</v>
      </c>
      <c r="AG599" s="484">
        <f>IFERROR(IF(Input!Z155=0,0,(Input!Z155*$M546*((1+$S546)^VLOOKUP(AG$496-$S599+1,$N$576:$P$585,3)))),0)</f>
        <v>0</v>
      </c>
      <c r="AH599" s="484">
        <f>IFERROR(IF(Input!AA155=0,0,(Input!AA155*$M546*((1+$S546)^VLOOKUP(AH$496-$S599+1,$N$576:$P$585,3)))),0)</f>
        <v>0</v>
      </c>
      <c r="AI599" s="484">
        <f>IFERROR(IF(Input!AB155=0,0,(Input!AB155*$M546*((1+$S546)^VLOOKUP(AI$496-$S599+1,$N$576:$P$585,3)))),0)</f>
        <v>0</v>
      </c>
      <c r="AJ599" s="484">
        <f>IFERROR(IF(Input!AC155=0,0,(Input!AC155*$M546*((1+$S546)^VLOOKUP(AJ$496-$S599+1,$N$576:$P$585,3)))),0)</f>
        <v>0</v>
      </c>
      <c r="AK599" s="484">
        <f>IFERROR(IF(Input!AD155=0,0,(Input!AD155*$M546*((1+$S546)^VLOOKUP(AK$496-$S599+1,$N$576:$P$585,3)))),0)</f>
        <v>0</v>
      </c>
      <c r="AL599" s="484">
        <f>IFERROR(IF(Input!AE155=0,0,(Input!AE155*$M546*((1+$S546)^VLOOKUP(AL$496-$S599+1,$N$576:$P$585,3)))),0)</f>
        <v>0</v>
      </c>
      <c r="AM599" s="484">
        <f>IFERROR(IF(Input!AF155=0,0,(Input!AF155*$M546*((1+$S546)^VLOOKUP(AM$496-$S599+1,$N$576:$P$585,3)))),0)</f>
        <v>0</v>
      </c>
      <c r="AN599" s="484">
        <f>IFERROR(IF(Input!AG155=0,0,(Input!AG155*$M546*((1+$S546)^VLOOKUP(AN$496-$S599+1,$N$576:$P$585,3)))),0)</f>
        <v>0</v>
      </c>
      <c r="AO599" s="484">
        <f>IFERROR(IF(Input!AH155=0,0,(Input!AH155*$M546*((1+$S546)^VLOOKUP(AO$496-$S599+1,$N$576:$P$585,3)))),0)</f>
        <v>0</v>
      </c>
      <c r="AP599" s="484">
        <f>IFERROR(IF(Input!AI155=0,0,(Input!AI155*$M546*((1+$S546)^VLOOKUP(AP$496-$S599+1,$N$576:$P$585,3)))),0)</f>
        <v>0</v>
      </c>
      <c r="AQ599" s="484">
        <f>IFERROR(IF(Input!AJ155=0,0,(Input!AJ155*$M546*((1+$S546)^VLOOKUP(AQ$496-$S599+1,$N$576:$P$585,3)))),0)</f>
        <v>0</v>
      </c>
      <c r="AR599" s="484">
        <f>IFERROR(IF(Input!AK155=0,0,(Input!AK155*$M546*((1+$S546)^VLOOKUP(AR$496-$S599+1,$N$576:$P$585,3)))),0)</f>
        <v>0</v>
      </c>
      <c r="AS599" s="484">
        <f>IFERROR(IF(Input!AL155=0,0,(Input!AL155*$M546*((1+$S546)^VLOOKUP(AS$496-$S599+1,$N$576:$P$585,3)))),0)</f>
        <v>0</v>
      </c>
      <c r="AT599" s="484">
        <f>IFERROR(IF(Input!AM155=0,0,(Input!AM155*$M546*((1+$S546)^VLOOKUP(AT$496-$S599+1,$N$576:$P$585,3)))),0)</f>
        <v>0</v>
      </c>
      <c r="AU599" s="484">
        <f>IFERROR(IF(Input!AN155=0,0,(Input!AN155*$M546*((1+$S546)^VLOOKUP(AU$496-$S599+1,$N$576:$P$585,3)))),0)</f>
        <v>0</v>
      </c>
      <c r="AV599" s="484">
        <f>IFERROR(IF(Input!AO155=0,0,(Input!AO155*$M546*((1+$S546)^VLOOKUP(AV$496-$S599+1,$N$576:$P$585,3)))),0)</f>
        <v>0</v>
      </c>
      <c r="AW599" s="484">
        <f>IFERROR(IF(Input!AP155=0,0,(Input!AP155*$M546*((1+$S546)^VLOOKUP(AW$496-$S599+1,$N$576:$P$585,3)))),0)</f>
        <v>0</v>
      </c>
      <c r="AX599" s="484">
        <f>IFERROR(IF(Input!AQ155=0,0,(Input!AQ155*$M546*((1+$S546)^VLOOKUP(AX$496-$S599+1,$N$576:$P$585,3)))),0)</f>
        <v>0</v>
      </c>
      <c r="AY599" s="484">
        <f>IFERROR(IF(Input!AR155=0,0,(Input!AR155*$M546*((1+$S546)^VLOOKUP(AY$496-$S599+1,$N$576:$P$585,3)))),0)</f>
        <v>0</v>
      </c>
      <c r="AZ599" s="484">
        <f>IFERROR(IF(Input!AS155=0,0,(Input!AS155*$M546*((1+$S546)^VLOOKUP(AZ$496-$S599+1,$N$576:$P$585,3)))),0)</f>
        <v>0</v>
      </c>
      <c r="BA599" s="484">
        <f>IFERROR(IF(Input!AT155=0,0,(Input!AT155*$M546*((1+$S546)^VLOOKUP(BA$496-$S599+1,$N$576:$P$585,3)))),0)</f>
        <v>0</v>
      </c>
      <c r="BB599" s="484">
        <f>IFERROR(IF(Input!AU155=0,0,(Input!AU155*$M546*((1+$S546)^VLOOKUP(BB$496-$S599+1,$N$576:$P$585,3)))),0)</f>
        <v>0</v>
      </c>
      <c r="BC599" s="484">
        <f>IFERROR(IF(Input!AV155=0,0,(Input!AV155*$M546*((1+$S546)^VLOOKUP(BC$496-$S599+1,$N$576:$P$585,3)))),0)</f>
        <v>0</v>
      </c>
      <c r="BD599" s="484">
        <f>IFERROR(IF(Input!AW155=0,0,(Input!AW155*$M546*((1+$S546)^VLOOKUP(BD$496-$S599+1,$N$576:$P$585,3)))),0)</f>
        <v>0</v>
      </c>
      <c r="BE599" s="484">
        <f>IFERROR(IF(Input!AX155=0,0,(Input!AX155*$M546*((1+$S546)^VLOOKUP(BE$496-$S599+1,$N$576:$P$585,3)))),0)</f>
        <v>0</v>
      </c>
      <c r="BF599" s="484">
        <f>IFERROR(IF(Input!AY155=0,0,(Input!AY155*$M546*((1+$S546)^VLOOKUP(BF$496-$S599+1,$N$576:$P$585,3)))),0)</f>
        <v>0</v>
      </c>
      <c r="BG599" s="484">
        <f>IFERROR(IF(Input!AZ155=0,0,(Input!AZ155*$M546*((1+$S546)^VLOOKUP(BG$496-$S599+1,$N$576:$P$585,3)))),0)</f>
        <v>0</v>
      </c>
      <c r="BH599" s="484">
        <f>IFERROR(IF(Input!BA155=0,0,(Input!BA155*$M546*((1+$S546)^VLOOKUP(BH$496-$S599+1,$N$576:$P$585,3)))),0)</f>
        <v>0</v>
      </c>
      <c r="BI599" s="484">
        <f>IFERROR(IF(Input!BB155=0,0,(Input!BB155*$M546*((1+$S546)^VLOOKUP(BI$496-$S599+1,$N$576:$P$585,3)))),0)</f>
        <v>0</v>
      </c>
      <c r="BJ599" s="484">
        <f>IFERROR(IF(Input!BC155=0,0,(Input!BC155*$M546*((1+$S546)^VLOOKUP(BJ$496-$S599+1,$N$576:$P$585,3)))),0)</f>
        <v>0</v>
      </c>
      <c r="BK599" s="484">
        <f>IFERROR(IF(Input!BD155=0,0,(Input!BD155*$M546*((1+$S546)^VLOOKUP(BK$496-$S599+1,$N$576:$P$585,3)))),0)</f>
        <v>0</v>
      </c>
      <c r="BL599" s="484">
        <f>IFERROR(IF(Input!BE155=0,0,(Input!BE155*$M546*((1+$S546)^VLOOKUP(BL$496-$S599+1,$N$576:$P$585,3)))),0)</f>
        <v>0</v>
      </c>
      <c r="BM599" s="484">
        <f>IFERROR(IF(Input!BF155=0,0,(Input!BF155*$M546*((1+$S546)^VLOOKUP(BM$496-$S599+1,$N$576:$P$585,3)))),0)</f>
        <v>0</v>
      </c>
      <c r="BN599" s="484">
        <f>IFERROR(IF(Input!BG155=0,0,(Input!BG155*$M546*((1+$S546)^VLOOKUP(BN$496-$S599+1,$N$576:$P$585,3)))),0)</f>
        <v>0</v>
      </c>
      <c r="BO599" s="484">
        <f>IFERROR(IF(Input!BH155=0,0,(Input!BH155*$M546*((1+$S546)^VLOOKUP(BO$496-$S599+1,$N$576:$P$585,3)))),0)</f>
        <v>0</v>
      </c>
      <c r="BP599" s="484">
        <f>IFERROR(IF(Input!BI155=0,0,(Input!BI155*$M546*((1+$S546)^VLOOKUP(BP$496-$S599+1,$N$576:$P$585,3)))),0)</f>
        <v>0</v>
      </c>
      <c r="BQ599" s="484">
        <f>IFERROR(IF(Input!BJ155=0,0,(Input!BJ155*$M546*((1+$S546)^VLOOKUP(BQ$496-$S599+1,$N$576:$P$585,3)))),0)</f>
        <v>0</v>
      </c>
      <c r="BR599" s="484">
        <f>IFERROR(IF(Input!BK155=0,0,(Input!BK155*$M546*((1+$S546)^VLOOKUP(BR$496-$S599+1,$N$576:$P$585,3)))),0)</f>
        <v>0</v>
      </c>
      <c r="BS599" s="484">
        <f>IFERROR(IF(Input!BL155=0,0,(Input!BL155*$M546*((1+$S546)^VLOOKUP(BS$496-$S599+1,$N$576:$P$585,3)))),0)</f>
        <v>0</v>
      </c>
      <c r="BT599" s="484">
        <f>IFERROR(IF(Input!BM155=0,0,(Input!BM155*$M546*((1+$S546)^VLOOKUP(BT$496-$S599+1,$N$576:$P$585,3)))),0)</f>
        <v>0</v>
      </c>
      <c r="BU599" s="484">
        <f>IFERROR(IF(Input!BN155=0,0,(Input!BN155*$M546*((1+$S546)^VLOOKUP(BU$496-$S599+1,$N$576:$P$585,3)))),0)</f>
        <v>0</v>
      </c>
      <c r="BV599" s="484">
        <f>IFERROR(IF(Input!BO155=0,0,(Input!BO155*$M546*((1+$S546)^VLOOKUP(BV$496-$S599+1,$N$576:$P$585,3)))),0)</f>
        <v>0</v>
      </c>
      <c r="BW599" s="484">
        <f>IFERROR(IF(Input!BP155=0,0,(Input!BP155*$M546*((1+$S546)^VLOOKUP(BW$496-$S599+1,$N$576:$P$585,3)))),0)</f>
        <v>0</v>
      </c>
      <c r="BX599" s="484">
        <f>IFERROR(IF(Input!BQ155=0,0,(Input!BQ155*$M546*((1+$S546)^VLOOKUP(BX$496-$S599+1,$N$576:$P$585,3)))),0)</f>
        <v>0</v>
      </c>
      <c r="BY599" s="484">
        <f>IFERROR(IF(Input!BR155=0,0,(Input!BR155*$M546*((1+$S546)^VLOOKUP(BY$496-$S599+1,$N$576:$P$585,3)))),0)</f>
        <v>0</v>
      </c>
      <c r="BZ599" s="484">
        <f>IFERROR(IF(Input!BS155=0,0,(Input!BS155*$M546*((1+$S546)^VLOOKUP(BZ$496-$S599+1,$N$576:$P$585,3)))),0)</f>
        <v>0</v>
      </c>
      <c r="CA599" s="484">
        <f>IFERROR(IF(Input!BT155=0,0,(Input!BT155*$M546*((1+$S546)^VLOOKUP(CA$496-$S599+1,$N$576:$P$585,3)))),0)</f>
        <v>0</v>
      </c>
      <c r="CB599" s="484">
        <f>IFERROR(IF(Input!BU155=0,0,(Input!BU155*$M546*((1+$S546)^VLOOKUP(CB$496-$S599+1,$N$576:$P$585,3)))),0)</f>
        <v>0</v>
      </c>
      <c r="CC599" s="484">
        <f>IFERROR(IF(Input!BV155=0,0,(Input!BV155*$M546*((1+$S546)^VLOOKUP(CC$496-$S599+1,$N$576:$P$585,3)))),0)</f>
        <v>0</v>
      </c>
      <c r="CD599" s="484">
        <f>IFERROR(IF(Input!BW155=0,0,(Input!BW155*$M546*((1+$S546)^VLOOKUP(CD$496-$S599+1,$N$576:$P$585,3)))),0)</f>
        <v>0</v>
      </c>
    </row>
    <row r="600" spans="11:82" ht="12" customHeight="1" x14ac:dyDescent="0.35">
      <c r="K600" s="13"/>
      <c r="L600" s="13"/>
      <c r="M600" s="13"/>
      <c r="N600" s="444"/>
      <c r="O600" s="444"/>
      <c r="P600" s="13"/>
      <c r="Q600" s="13"/>
      <c r="R600" s="13">
        <v>49</v>
      </c>
      <c r="S600" s="13">
        <f>IF(Input!H156&lt;&gt;"",VLOOKUP(Input!$H156,Infrastructure!$D$70:$F$129,3,FALSE),0)</f>
        <v>0</v>
      </c>
      <c r="T600" s="69">
        <f t="shared" si="371"/>
        <v>0</v>
      </c>
      <c r="U600" s="725">
        <f>1+Input!L156+Input!K156</f>
        <v>1</v>
      </c>
      <c r="V600" s="84"/>
      <c r="W600" s="62">
        <f>IFERROR(IF(Input!P156=0,0,(Input!P156*$M547*((1+$S547)^VLOOKUP(W$496-$S600+1,$N$576:$P$585,3)))),0)</f>
        <v>0</v>
      </c>
      <c r="X600" s="62">
        <f>IFERROR(IF(Input!Q156=0,0,(Input!Q156*$M547*((1+$S547)^VLOOKUP(X$496-$S600+1,$N$576:$P$585,3)))),0)</f>
        <v>0</v>
      </c>
      <c r="Y600" s="62">
        <f>IFERROR(IF(Input!R156=0,0,(Input!R156*$M547*((1+$S547)^VLOOKUP(Y$496-$S600+1,$N$576:$P$585,3)))),0)</f>
        <v>0</v>
      </c>
      <c r="Z600" s="62">
        <f>IFERROR(IF(Input!S156=0,0,(Input!S156*$M547*((1+$S547)^VLOOKUP(Z$496-$S600+1,$N$576:$P$585,3)))),0)</f>
        <v>0</v>
      </c>
      <c r="AA600" s="62">
        <f>IFERROR(IF(Input!T156=0,0,(Input!T156*$M547*((1+$S547)^VLOOKUP(AA$496-$S600+1,$N$576:$P$585,3)))),0)</f>
        <v>0</v>
      </c>
      <c r="AB600" s="62">
        <f>IFERROR(IF(Input!U156=0,0,(Input!U156*$M547*((1+$S547)^VLOOKUP(AB$496-$S600+1,$N$576:$P$585,3)))),0)</f>
        <v>0</v>
      </c>
      <c r="AC600" s="62">
        <f>IFERROR(IF(Input!V156=0,0,(Input!V156*$M547*((1+$S547)^VLOOKUP(AC$496-$S600+1,$N$576:$P$585,3)))),0)</f>
        <v>0</v>
      </c>
      <c r="AD600" s="62">
        <f>IFERROR(IF(Input!W156=0,0,(Input!W156*$M547*((1+$S547)^VLOOKUP(AD$496-$S600+1,$N$576:$P$585,3)))),0)</f>
        <v>0</v>
      </c>
      <c r="AE600" s="62">
        <f>IFERROR(IF(Input!X156=0,0,(Input!X156*$M547*((1+$S547)^VLOOKUP(AE$496-$S600+1,$N$576:$P$585,3)))),0)</f>
        <v>0</v>
      </c>
      <c r="AF600" s="484">
        <f>IFERROR(IF(Input!Y156=0,0,(Input!Y156*$M547*((1+$S547)^VLOOKUP(AF$496-$S600+1,$N$576:$P$585,3)))),0)</f>
        <v>0</v>
      </c>
      <c r="AG600" s="484">
        <f>IFERROR(IF(Input!Z156=0,0,(Input!Z156*$M547*((1+$S547)^VLOOKUP(AG$496-$S600+1,$N$576:$P$585,3)))),0)</f>
        <v>0</v>
      </c>
      <c r="AH600" s="484">
        <f>IFERROR(IF(Input!AA156=0,0,(Input!AA156*$M547*((1+$S547)^VLOOKUP(AH$496-$S600+1,$N$576:$P$585,3)))),0)</f>
        <v>0</v>
      </c>
      <c r="AI600" s="484">
        <f>IFERROR(IF(Input!AB156=0,0,(Input!AB156*$M547*((1+$S547)^VLOOKUP(AI$496-$S600+1,$N$576:$P$585,3)))),0)</f>
        <v>0</v>
      </c>
      <c r="AJ600" s="484">
        <f>IFERROR(IF(Input!AC156=0,0,(Input!AC156*$M547*((1+$S547)^VLOOKUP(AJ$496-$S600+1,$N$576:$P$585,3)))),0)</f>
        <v>0</v>
      </c>
      <c r="AK600" s="484">
        <f>IFERROR(IF(Input!AD156=0,0,(Input!AD156*$M547*((1+$S547)^VLOOKUP(AK$496-$S600+1,$N$576:$P$585,3)))),0)</f>
        <v>0</v>
      </c>
      <c r="AL600" s="484">
        <f>IFERROR(IF(Input!AE156=0,0,(Input!AE156*$M547*((1+$S547)^VLOOKUP(AL$496-$S600+1,$N$576:$P$585,3)))),0)</f>
        <v>0</v>
      </c>
      <c r="AM600" s="484">
        <f>IFERROR(IF(Input!AF156=0,0,(Input!AF156*$M547*((1+$S547)^VLOOKUP(AM$496-$S600+1,$N$576:$P$585,3)))),0)</f>
        <v>0</v>
      </c>
      <c r="AN600" s="484">
        <f>IFERROR(IF(Input!AG156=0,0,(Input!AG156*$M547*((1+$S547)^VLOOKUP(AN$496-$S600+1,$N$576:$P$585,3)))),0)</f>
        <v>0</v>
      </c>
      <c r="AO600" s="484">
        <f>IFERROR(IF(Input!AH156=0,0,(Input!AH156*$M547*((1+$S547)^VLOOKUP(AO$496-$S600+1,$N$576:$P$585,3)))),0)</f>
        <v>0</v>
      </c>
      <c r="AP600" s="484">
        <f>IFERROR(IF(Input!AI156=0,0,(Input!AI156*$M547*((1+$S547)^VLOOKUP(AP$496-$S600+1,$N$576:$P$585,3)))),0)</f>
        <v>0</v>
      </c>
      <c r="AQ600" s="484">
        <f>IFERROR(IF(Input!AJ156=0,0,(Input!AJ156*$M547*((1+$S547)^VLOOKUP(AQ$496-$S600+1,$N$576:$P$585,3)))),0)</f>
        <v>0</v>
      </c>
      <c r="AR600" s="484">
        <f>IFERROR(IF(Input!AK156=0,0,(Input!AK156*$M547*((1+$S547)^VLOOKUP(AR$496-$S600+1,$N$576:$P$585,3)))),0)</f>
        <v>0</v>
      </c>
      <c r="AS600" s="484">
        <f>IFERROR(IF(Input!AL156=0,0,(Input!AL156*$M547*((1+$S547)^VLOOKUP(AS$496-$S600+1,$N$576:$P$585,3)))),0)</f>
        <v>0</v>
      </c>
      <c r="AT600" s="484">
        <f>IFERROR(IF(Input!AM156=0,0,(Input!AM156*$M547*((1+$S547)^VLOOKUP(AT$496-$S600+1,$N$576:$P$585,3)))),0)</f>
        <v>0</v>
      </c>
      <c r="AU600" s="484">
        <f>IFERROR(IF(Input!AN156=0,0,(Input!AN156*$M547*((1+$S547)^VLOOKUP(AU$496-$S600+1,$N$576:$P$585,3)))),0)</f>
        <v>0</v>
      </c>
      <c r="AV600" s="484">
        <f>IFERROR(IF(Input!AO156=0,0,(Input!AO156*$M547*((1+$S547)^VLOOKUP(AV$496-$S600+1,$N$576:$P$585,3)))),0)</f>
        <v>0</v>
      </c>
      <c r="AW600" s="484">
        <f>IFERROR(IF(Input!AP156=0,0,(Input!AP156*$M547*((1+$S547)^VLOOKUP(AW$496-$S600+1,$N$576:$P$585,3)))),0)</f>
        <v>0</v>
      </c>
      <c r="AX600" s="484">
        <f>IFERROR(IF(Input!AQ156=0,0,(Input!AQ156*$M547*((1+$S547)^VLOOKUP(AX$496-$S600+1,$N$576:$P$585,3)))),0)</f>
        <v>0</v>
      </c>
      <c r="AY600" s="484">
        <f>IFERROR(IF(Input!AR156=0,0,(Input!AR156*$M547*((1+$S547)^VLOOKUP(AY$496-$S600+1,$N$576:$P$585,3)))),0)</f>
        <v>0</v>
      </c>
      <c r="AZ600" s="484">
        <f>IFERROR(IF(Input!AS156=0,0,(Input!AS156*$M547*((1+$S547)^VLOOKUP(AZ$496-$S600+1,$N$576:$P$585,3)))),0)</f>
        <v>0</v>
      </c>
      <c r="BA600" s="484">
        <f>IFERROR(IF(Input!AT156=0,0,(Input!AT156*$M547*((1+$S547)^VLOOKUP(BA$496-$S600+1,$N$576:$P$585,3)))),0)</f>
        <v>0</v>
      </c>
      <c r="BB600" s="484">
        <f>IFERROR(IF(Input!AU156=0,0,(Input!AU156*$M547*((1+$S547)^VLOOKUP(BB$496-$S600+1,$N$576:$P$585,3)))),0)</f>
        <v>0</v>
      </c>
      <c r="BC600" s="484">
        <f>IFERROR(IF(Input!AV156=0,0,(Input!AV156*$M547*((1+$S547)^VLOOKUP(BC$496-$S600+1,$N$576:$P$585,3)))),0)</f>
        <v>0</v>
      </c>
      <c r="BD600" s="484">
        <f>IFERROR(IF(Input!AW156=0,0,(Input!AW156*$M547*((1+$S547)^VLOOKUP(BD$496-$S600+1,$N$576:$P$585,3)))),0)</f>
        <v>0</v>
      </c>
      <c r="BE600" s="484">
        <f>IFERROR(IF(Input!AX156=0,0,(Input!AX156*$M547*((1+$S547)^VLOOKUP(BE$496-$S600+1,$N$576:$P$585,3)))),0)</f>
        <v>0</v>
      </c>
      <c r="BF600" s="484">
        <f>IFERROR(IF(Input!AY156=0,0,(Input!AY156*$M547*((1+$S547)^VLOOKUP(BF$496-$S600+1,$N$576:$P$585,3)))),0)</f>
        <v>0</v>
      </c>
      <c r="BG600" s="484">
        <f>IFERROR(IF(Input!AZ156=0,0,(Input!AZ156*$M547*((1+$S547)^VLOOKUP(BG$496-$S600+1,$N$576:$P$585,3)))),0)</f>
        <v>0</v>
      </c>
      <c r="BH600" s="484">
        <f>IFERROR(IF(Input!BA156=0,0,(Input!BA156*$M547*((1+$S547)^VLOOKUP(BH$496-$S600+1,$N$576:$P$585,3)))),0)</f>
        <v>0</v>
      </c>
      <c r="BI600" s="484">
        <f>IFERROR(IF(Input!BB156=0,0,(Input!BB156*$M547*((1+$S547)^VLOOKUP(BI$496-$S600+1,$N$576:$P$585,3)))),0)</f>
        <v>0</v>
      </c>
      <c r="BJ600" s="484">
        <f>IFERROR(IF(Input!BC156=0,0,(Input!BC156*$M547*((1+$S547)^VLOOKUP(BJ$496-$S600+1,$N$576:$P$585,3)))),0)</f>
        <v>0</v>
      </c>
      <c r="BK600" s="484">
        <f>IFERROR(IF(Input!BD156=0,0,(Input!BD156*$M547*((1+$S547)^VLOOKUP(BK$496-$S600+1,$N$576:$P$585,3)))),0)</f>
        <v>0</v>
      </c>
      <c r="BL600" s="484">
        <f>IFERROR(IF(Input!BE156=0,0,(Input!BE156*$M547*((1+$S547)^VLOOKUP(BL$496-$S600+1,$N$576:$P$585,3)))),0)</f>
        <v>0</v>
      </c>
      <c r="BM600" s="484">
        <f>IFERROR(IF(Input!BF156=0,0,(Input!BF156*$M547*((1+$S547)^VLOOKUP(BM$496-$S600+1,$N$576:$P$585,3)))),0)</f>
        <v>0</v>
      </c>
      <c r="BN600" s="484">
        <f>IFERROR(IF(Input!BG156=0,0,(Input!BG156*$M547*((1+$S547)^VLOOKUP(BN$496-$S600+1,$N$576:$P$585,3)))),0)</f>
        <v>0</v>
      </c>
      <c r="BO600" s="484">
        <f>IFERROR(IF(Input!BH156=0,0,(Input!BH156*$M547*((1+$S547)^VLOOKUP(BO$496-$S600+1,$N$576:$P$585,3)))),0)</f>
        <v>0</v>
      </c>
      <c r="BP600" s="484">
        <f>IFERROR(IF(Input!BI156=0,0,(Input!BI156*$M547*((1+$S547)^VLOOKUP(BP$496-$S600+1,$N$576:$P$585,3)))),0)</f>
        <v>0</v>
      </c>
      <c r="BQ600" s="484">
        <f>IFERROR(IF(Input!BJ156=0,0,(Input!BJ156*$M547*((1+$S547)^VLOOKUP(BQ$496-$S600+1,$N$576:$P$585,3)))),0)</f>
        <v>0</v>
      </c>
      <c r="BR600" s="484">
        <f>IFERROR(IF(Input!BK156=0,0,(Input!BK156*$M547*((1+$S547)^VLOOKUP(BR$496-$S600+1,$N$576:$P$585,3)))),0)</f>
        <v>0</v>
      </c>
      <c r="BS600" s="484">
        <f>IFERROR(IF(Input!BL156=0,0,(Input!BL156*$M547*((1+$S547)^VLOOKUP(BS$496-$S600+1,$N$576:$P$585,3)))),0)</f>
        <v>0</v>
      </c>
      <c r="BT600" s="484">
        <f>IFERROR(IF(Input!BM156=0,0,(Input!BM156*$M547*((1+$S547)^VLOOKUP(BT$496-$S600+1,$N$576:$P$585,3)))),0)</f>
        <v>0</v>
      </c>
      <c r="BU600" s="484">
        <f>IFERROR(IF(Input!BN156=0,0,(Input!BN156*$M547*((1+$S547)^VLOOKUP(BU$496-$S600+1,$N$576:$P$585,3)))),0)</f>
        <v>0</v>
      </c>
      <c r="BV600" s="484">
        <f>IFERROR(IF(Input!BO156=0,0,(Input!BO156*$M547*((1+$S547)^VLOOKUP(BV$496-$S600+1,$N$576:$P$585,3)))),0)</f>
        <v>0</v>
      </c>
      <c r="BW600" s="484">
        <f>IFERROR(IF(Input!BP156=0,0,(Input!BP156*$M547*((1+$S547)^VLOOKUP(BW$496-$S600+1,$N$576:$P$585,3)))),0)</f>
        <v>0</v>
      </c>
      <c r="BX600" s="484">
        <f>IFERROR(IF(Input!BQ156=0,0,(Input!BQ156*$M547*((1+$S547)^VLOOKUP(BX$496-$S600+1,$N$576:$P$585,3)))),0)</f>
        <v>0</v>
      </c>
      <c r="BY600" s="484">
        <f>IFERROR(IF(Input!BR156=0,0,(Input!BR156*$M547*((1+$S547)^VLOOKUP(BY$496-$S600+1,$N$576:$P$585,3)))),0)</f>
        <v>0</v>
      </c>
      <c r="BZ600" s="484">
        <f>IFERROR(IF(Input!BS156=0,0,(Input!BS156*$M547*((1+$S547)^VLOOKUP(BZ$496-$S600+1,$N$576:$P$585,3)))),0)</f>
        <v>0</v>
      </c>
      <c r="CA600" s="484">
        <f>IFERROR(IF(Input!BT156=0,0,(Input!BT156*$M547*((1+$S547)^VLOOKUP(CA$496-$S600+1,$N$576:$P$585,3)))),0)</f>
        <v>0</v>
      </c>
      <c r="CB600" s="484">
        <f>IFERROR(IF(Input!BU156=0,0,(Input!BU156*$M547*((1+$S547)^VLOOKUP(CB$496-$S600+1,$N$576:$P$585,3)))),0)</f>
        <v>0</v>
      </c>
      <c r="CC600" s="484">
        <f>IFERROR(IF(Input!BV156=0,0,(Input!BV156*$M547*((1+$S547)^VLOOKUP(CC$496-$S600+1,$N$576:$P$585,3)))),0)</f>
        <v>0</v>
      </c>
      <c r="CD600" s="484">
        <f>IFERROR(IF(Input!BW156=0,0,(Input!BW156*$M547*((1+$S547)^VLOOKUP(CD$496-$S600+1,$N$576:$P$585,3)))),0)</f>
        <v>0</v>
      </c>
    </row>
    <row r="601" spans="11:82" ht="12" customHeight="1" thickBot="1" x14ac:dyDescent="0.4">
      <c r="K601" s="13"/>
      <c r="L601" s="13"/>
      <c r="M601" s="13"/>
      <c r="N601" s="444"/>
      <c r="O601" s="444"/>
      <c r="P601" s="13"/>
      <c r="Q601" s="13"/>
      <c r="R601" s="13">
        <v>50</v>
      </c>
      <c r="S601" s="13">
        <f>IF(Input!H157&lt;&gt;"",VLOOKUP(Input!$H157,Infrastructure!$D$70:$F$129,3,FALSE),0)</f>
        <v>0</v>
      </c>
      <c r="T601" s="69">
        <f t="shared" si="371"/>
        <v>0</v>
      </c>
      <c r="U601" s="725">
        <f>1+Input!L157+Input!K157</f>
        <v>1</v>
      </c>
      <c r="V601" s="84"/>
      <c r="W601" s="62">
        <f>IFERROR(IF(Input!P157=0,0,(Input!P157*$M548*((1+$S548)^VLOOKUP(W$496-$S601+1,$N$576:$P$585,3)))),0)</f>
        <v>0</v>
      </c>
      <c r="X601" s="62">
        <f>IFERROR(IF(Input!Q157=0,0,(Input!Q157*$M548*((1+$S548)^VLOOKUP(X$496-$S601+1,$N$576:$P$585,3)))),0)</f>
        <v>0</v>
      </c>
      <c r="Y601" s="62">
        <f>IFERROR(IF(Input!R157=0,0,(Input!R157*$M548*((1+$S548)^VLOOKUP(Y$496-$S601+1,$N$576:$P$585,3)))),0)</f>
        <v>0</v>
      </c>
      <c r="Z601" s="62">
        <f>IFERROR(IF(Input!S157=0,0,(Input!S157*$M548*((1+$S548)^VLOOKUP(Z$496-$S601+1,$N$576:$P$585,3)))),0)</f>
        <v>0</v>
      </c>
      <c r="AA601" s="62">
        <f>IFERROR(IF(Input!T157=0,0,(Input!T157*$M548*((1+$S548)^VLOOKUP(AA$496-$S601+1,$N$576:$P$585,3)))),0)</f>
        <v>0</v>
      </c>
      <c r="AB601" s="62">
        <f>IFERROR(IF(Input!U157=0,0,(Input!U157*$M548*((1+$S548)^VLOOKUP(AB$496-$S601+1,$N$576:$P$585,3)))),0)</f>
        <v>0</v>
      </c>
      <c r="AC601" s="62">
        <f>IFERROR(IF(Input!V157=0,0,(Input!V157*$M548*((1+$S548)^VLOOKUP(AC$496-$S601+1,$N$576:$P$585,3)))),0)</f>
        <v>0</v>
      </c>
      <c r="AD601" s="62">
        <f>IFERROR(IF(Input!W157=0,0,(Input!W157*$M548*((1+$S548)^VLOOKUP(AD$496-$S601+1,$N$576:$P$585,3)))),0)</f>
        <v>0</v>
      </c>
      <c r="AE601" s="62">
        <f>IFERROR(IF(Input!X157=0,0,(Input!X157*$M548*((1+$S548)^VLOOKUP(AE$496-$S601+1,$N$576:$P$585,3)))),0)</f>
        <v>0</v>
      </c>
      <c r="AF601" s="484">
        <f>IFERROR(IF(Input!Y157=0,0,(Input!Y157*$M548*((1+$S548)^VLOOKUP(AF$496-$S601+1,$N$576:$P$585,3)))),0)</f>
        <v>0</v>
      </c>
      <c r="AG601" s="484">
        <f>IFERROR(IF(Input!Z157=0,0,(Input!Z157*$M548*((1+$S548)^VLOOKUP(AG$496-$S601+1,$N$576:$P$585,3)))),0)</f>
        <v>0</v>
      </c>
      <c r="AH601" s="484">
        <f>IFERROR(IF(Input!AA157=0,0,(Input!AA157*$M548*((1+$S548)^VLOOKUP(AH$496-$S601+1,$N$576:$P$585,3)))),0)</f>
        <v>0</v>
      </c>
      <c r="AI601" s="484">
        <f>IFERROR(IF(Input!AB157=0,0,(Input!AB157*$M548*((1+$S548)^VLOOKUP(AI$496-$S601+1,$N$576:$P$585,3)))),0)</f>
        <v>0</v>
      </c>
      <c r="AJ601" s="484">
        <f>IFERROR(IF(Input!AC157=0,0,(Input!AC157*$M548*((1+$S548)^VLOOKUP(AJ$496-$S601+1,$N$576:$P$585,3)))),0)</f>
        <v>0</v>
      </c>
      <c r="AK601" s="484">
        <f>IFERROR(IF(Input!AD157=0,0,(Input!AD157*$M548*((1+$S548)^VLOOKUP(AK$496-$S601+1,$N$576:$P$585,3)))),0)</f>
        <v>0</v>
      </c>
      <c r="AL601" s="484">
        <f>IFERROR(IF(Input!AE157=0,0,(Input!AE157*$M548*((1+$S548)^VLOOKUP(AL$496-$S601+1,$N$576:$P$585,3)))),0)</f>
        <v>0</v>
      </c>
      <c r="AM601" s="484">
        <f>IFERROR(IF(Input!AF157=0,0,(Input!AF157*$M548*((1+$S548)^VLOOKUP(AM$496-$S601+1,$N$576:$P$585,3)))),0)</f>
        <v>0</v>
      </c>
      <c r="AN601" s="484">
        <f>IFERROR(IF(Input!AG157=0,0,(Input!AG157*$M548*((1+$S548)^VLOOKUP(AN$496-$S601+1,$N$576:$P$585,3)))),0)</f>
        <v>0</v>
      </c>
      <c r="AO601" s="484">
        <f>IFERROR(IF(Input!AH157=0,0,(Input!AH157*$M548*((1+$S548)^VLOOKUP(AO$496-$S601+1,$N$576:$P$585,3)))),0)</f>
        <v>0</v>
      </c>
      <c r="AP601" s="484">
        <f>IFERROR(IF(Input!AI157=0,0,(Input!AI157*$M548*((1+$S548)^VLOOKUP(AP$496-$S601+1,$N$576:$P$585,3)))),0)</f>
        <v>0</v>
      </c>
      <c r="AQ601" s="484">
        <f>IFERROR(IF(Input!AJ157=0,0,(Input!AJ157*$M548*((1+$S548)^VLOOKUP(AQ$496-$S601+1,$N$576:$P$585,3)))),0)</f>
        <v>0</v>
      </c>
      <c r="AR601" s="484">
        <f>IFERROR(IF(Input!AK157=0,0,(Input!AK157*$M548*((1+$S548)^VLOOKUP(AR$496-$S601+1,$N$576:$P$585,3)))),0)</f>
        <v>0</v>
      </c>
      <c r="AS601" s="484">
        <f>IFERROR(IF(Input!AL157=0,0,(Input!AL157*$M548*((1+$S548)^VLOOKUP(AS$496-$S601+1,$N$576:$P$585,3)))),0)</f>
        <v>0</v>
      </c>
      <c r="AT601" s="484">
        <f>IFERROR(IF(Input!AM157=0,0,(Input!AM157*$M548*((1+$S548)^VLOOKUP(AT$496-$S601+1,$N$576:$P$585,3)))),0)</f>
        <v>0</v>
      </c>
      <c r="AU601" s="484">
        <f>IFERROR(IF(Input!AN157=0,0,(Input!AN157*$M548*((1+$S548)^VLOOKUP(AU$496-$S601+1,$N$576:$P$585,3)))),0)</f>
        <v>0</v>
      </c>
      <c r="AV601" s="484">
        <f>IFERROR(IF(Input!AO157=0,0,(Input!AO157*$M548*((1+$S548)^VLOOKUP(AV$496-$S601+1,$N$576:$P$585,3)))),0)</f>
        <v>0</v>
      </c>
      <c r="AW601" s="484">
        <f>IFERROR(IF(Input!AP157=0,0,(Input!AP157*$M548*((1+$S548)^VLOOKUP(AW$496-$S601+1,$N$576:$P$585,3)))),0)</f>
        <v>0</v>
      </c>
      <c r="AX601" s="484">
        <f>IFERROR(IF(Input!AQ157=0,0,(Input!AQ157*$M548*((1+$S548)^VLOOKUP(AX$496-$S601+1,$N$576:$P$585,3)))),0)</f>
        <v>0</v>
      </c>
      <c r="AY601" s="484">
        <f>IFERROR(IF(Input!AR157=0,0,(Input!AR157*$M548*((1+$S548)^VLOOKUP(AY$496-$S601+1,$N$576:$P$585,3)))),0)</f>
        <v>0</v>
      </c>
      <c r="AZ601" s="484">
        <f>IFERROR(IF(Input!AS157=0,0,(Input!AS157*$M548*((1+$S548)^VLOOKUP(AZ$496-$S601+1,$N$576:$P$585,3)))),0)</f>
        <v>0</v>
      </c>
      <c r="BA601" s="484">
        <f>IFERROR(IF(Input!AT157=0,0,(Input!AT157*$M548*((1+$S548)^VLOOKUP(BA$496-$S601+1,$N$576:$P$585,3)))),0)</f>
        <v>0</v>
      </c>
      <c r="BB601" s="484">
        <f>IFERROR(IF(Input!AU157=0,0,(Input!AU157*$M548*((1+$S548)^VLOOKUP(BB$496-$S601+1,$N$576:$P$585,3)))),0)</f>
        <v>0</v>
      </c>
      <c r="BC601" s="484">
        <f>IFERROR(IF(Input!AV157=0,0,(Input!AV157*$M548*((1+$S548)^VLOOKUP(BC$496-$S601+1,$N$576:$P$585,3)))),0)</f>
        <v>0</v>
      </c>
      <c r="BD601" s="484">
        <f>IFERROR(IF(Input!AW157=0,0,(Input!AW157*$M548*((1+$S548)^VLOOKUP(BD$496-$S601+1,$N$576:$P$585,3)))),0)</f>
        <v>0</v>
      </c>
      <c r="BE601" s="484">
        <f>IFERROR(IF(Input!AX157=0,0,(Input!AX157*$M548*((1+$S548)^VLOOKUP(BE$496-$S601+1,$N$576:$P$585,3)))),0)</f>
        <v>0</v>
      </c>
      <c r="BF601" s="484">
        <f>IFERROR(IF(Input!AY157=0,0,(Input!AY157*$M548*((1+$S548)^VLOOKUP(BF$496-$S601+1,$N$576:$P$585,3)))),0)</f>
        <v>0</v>
      </c>
      <c r="BG601" s="484">
        <f>IFERROR(IF(Input!AZ157=0,0,(Input!AZ157*$M548*((1+$S548)^VLOOKUP(BG$496-$S601+1,$N$576:$P$585,3)))),0)</f>
        <v>0</v>
      </c>
      <c r="BH601" s="484">
        <f>IFERROR(IF(Input!BA157=0,0,(Input!BA157*$M548*((1+$S548)^VLOOKUP(BH$496-$S601+1,$N$576:$P$585,3)))),0)</f>
        <v>0</v>
      </c>
      <c r="BI601" s="484">
        <f>IFERROR(IF(Input!BB157=0,0,(Input!BB157*$M548*((1+$S548)^VLOOKUP(BI$496-$S601+1,$N$576:$P$585,3)))),0)</f>
        <v>0</v>
      </c>
      <c r="BJ601" s="484">
        <f>IFERROR(IF(Input!BC157=0,0,(Input!BC157*$M548*((1+$S548)^VLOOKUP(BJ$496-$S601+1,$N$576:$P$585,3)))),0)</f>
        <v>0</v>
      </c>
      <c r="BK601" s="484">
        <f>IFERROR(IF(Input!BD157=0,0,(Input!BD157*$M548*((1+$S548)^VLOOKUP(BK$496-$S601+1,$N$576:$P$585,3)))),0)</f>
        <v>0</v>
      </c>
      <c r="BL601" s="484">
        <f>IFERROR(IF(Input!BE157=0,0,(Input!BE157*$M548*((1+$S548)^VLOOKUP(BL$496-$S601+1,$N$576:$P$585,3)))),0)</f>
        <v>0</v>
      </c>
      <c r="BM601" s="484">
        <f>IFERROR(IF(Input!BF157=0,0,(Input!BF157*$M548*((1+$S548)^VLOOKUP(BM$496-$S601+1,$N$576:$P$585,3)))),0)</f>
        <v>0</v>
      </c>
      <c r="BN601" s="484">
        <f>IFERROR(IF(Input!BG157=0,0,(Input!BG157*$M548*((1+$S548)^VLOOKUP(BN$496-$S601+1,$N$576:$P$585,3)))),0)</f>
        <v>0</v>
      </c>
      <c r="BO601" s="484">
        <f>IFERROR(IF(Input!BH157=0,0,(Input!BH157*$M548*((1+$S548)^VLOOKUP(BO$496-$S601+1,$N$576:$P$585,3)))),0)</f>
        <v>0</v>
      </c>
      <c r="BP601" s="484">
        <f>IFERROR(IF(Input!BI157=0,0,(Input!BI157*$M548*((1+$S548)^VLOOKUP(BP$496-$S601+1,$N$576:$P$585,3)))),0)</f>
        <v>0</v>
      </c>
      <c r="BQ601" s="484">
        <f>IFERROR(IF(Input!BJ157=0,0,(Input!BJ157*$M548*((1+$S548)^VLOOKUP(BQ$496-$S601+1,$N$576:$P$585,3)))),0)</f>
        <v>0</v>
      </c>
      <c r="BR601" s="484">
        <f>IFERROR(IF(Input!BK157=0,0,(Input!BK157*$M548*((1+$S548)^VLOOKUP(BR$496-$S601+1,$N$576:$P$585,3)))),0)</f>
        <v>0</v>
      </c>
      <c r="BS601" s="484">
        <f>IFERROR(IF(Input!BL157=0,0,(Input!BL157*$M548*((1+$S548)^VLOOKUP(BS$496-$S601+1,$N$576:$P$585,3)))),0)</f>
        <v>0</v>
      </c>
      <c r="BT601" s="484">
        <f>IFERROR(IF(Input!BM157=0,0,(Input!BM157*$M548*((1+$S548)^VLOOKUP(BT$496-$S601+1,$N$576:$P$585,3)))),0)</f>
        <v>0</v>
      </c>
      <c r="BU601" s="484">
        <f>IFERROR(IF(Input!BN157=0,0,(Input!BN157*$M548*((1+$S548)^VLOOKUP(BU$496-$S601+1,$N$576:$P$585,3)))),0)</f>
        <v>0</v>
      </c>
      <c r="BV601" s="484">
        <f>IFERROR(IF(Input!BO157=0,0,(Input!BO157*$M548*((1+$S548)^VLOOKUP(BV$496-$S601+1,$N$576:$P$585,3)))),0)</f>
        <v>0</v>
      </c>
      <c r="BW601" s="484">
        <f>IFERROR(IF(Input!BP157=0,0,(Input!BP157*$M548*((1+$S548)^VLOOKUP(BW$496-$S601+1,$N$576:$P$585,3)))),0)</f>
        <v>0</v>
      </c>
      <c r="BX601" s="484">
        <f>IFERROR(IF(Input!BQ157=0,0,(Input!BQ157*$M548*((1+$S548)^VLOOKUP(BX$496-$S601+1,$N$576:$P$585,3)))),0)</f>
        <v>0</v>
      </c>
      <c r="BY601" s="484">
        <f>IFERROR(IF(Input!BR157=0,0,(Input!BR157*$M548*((1+$S548)^VLOOKUP(BY$496-$S601+1,$N$576:$P$585,3)))),0)</f>
        <v>0</v>
      </c>
      <c r="BZ601" s="484">
        <f>IFERROR(IF(Input!BS157=0,0,(Input!BS157*$M548*((1+$S548)^VLOOKUP(BZ$496-$S601+1,$N$576:$P$585,3)))),0)</f>
        <v>0</v>
      </c>
      <c r="CA601" s="484">
        <f>IFERROR(IF(Input!BT157=0,0,(Input!BT157*$M548*((1+$S548)^VLOOKUP(CA$496-$S601+1,$N$576:$P$585,3)))),0)</f>
        <v>0</v>
      </c>
      <c r="CB601" s="484">
        <f>IFERROR(IF(Input!BU157=0,0,(Input!BU157*$M548*((1+$S548)^VLOOKUP(CB$496-$S601+1,$N$576:$P$585,3)))),0)</f>
        <v>0</v>
      </c>
      <c r="CC601" s="484">
        <f>IFERROR(IF(Input!BV157=0,0,(Input!BV157*$M548*((1+$S548)^VLOOKUP(CC$496-$S601+1,$N$576:$P$585,3)))),0)</f>
        <v>0</v>
      </c>
      <c r="CD601" s="484">
        <f>IFERROR(IF(Input!BW157=0,0,(Input!BW157*$M548*((1+$S548)^VLOOKUP(CD$496-$S601+1,$N$576:$P$585,3)))),0)</f>
        <v>0</v>
      </c>
    </row>
    <row r="602" spans="11:82" ht="12" customHeight="1" x14ac:dyDescent="0.35">
      <c r="K602" s="13"/>
      <c r="L602" s="13"/>
      <c r="M602" s="13"/>
      <c r="N602" s="13"/>
      <c r="O602" s="13"/>
      <c r="P602" s="13"/>
      <c r="Q602" s="13"/>
      <c r="R602" s="13"/>
      <c r="S602" s="13"/>
      <c r="T602" s="13"/>
      <c r="U602" s="13"/>
      <c r="V602" s="13"/>
      <c r="W602" s="83">
        <f t="shared" ref="W602:AE602" si="372">SUM(W552:W601)</f>
        <v>0</v>
      </c>
      <c r="X602" s="83">
        <f t="shared" si="372"/>
        <v>0</v>
      </c>
      <c r="Y602" s="83">
        <f t="shared" si="372"/>
        <v>0</v>
      </c>
      <c r="Z602" s="83">
        <f t="shared" si="372"/>
        <v>0</v>
      </c>
      <c r="AA602" s="83">
        <f t="shared" si="372"/>
        <v>0</v>
      </c>
      <c r="AB602" s="83">
        <f t="shared" si="372"/>
        <v>0</v>
      </c>
      <c r="AC602" s="83">
        <f t="shared" si="372"/>
        <v>0</v>
      </c>
      <c r="AD602" s="83">
        <f t="shared" si="372"/>
        <v>0</v>
      </c>
      <c r="AE602" s="83">
        <f t="shared" si="372"/>
        <v>0</v>
      </c>
      <c r="AF602" s="1138">
        <f t="shared" ref="AF602:BB602" si="373">SUM(AF552:AF601)</f>
        <v>0</v>
      </c>
      <c r="AG602" s="1138">
        <f t="shared" si="373"/>
        <v>0</v>
      </c>
      <c r="AH602" s="1138">
        <f t="shared" si="373"/>
        <v>0</v>
      </c>
      <c r="AI602" s="1138">
        <f t="shared" si="373"/>
        <v>0</v>
      </c>
      <c r="AJ602" s="1138">
        <f t="shared" si="373"/>
        <v>0</v>
      </c>
      <c r="AK602" s="1138">
        <f t="shared" si="373"/>
        <v>0</v>
      </c>
      <c r="AL602" s="1138">
        <f t="shared" si="373"/>
        <v>0</v>
      </c>
      <c r="AM602" s="1138">
        <f t="shared" si="373"/>
        <v>0</v>
      </c>
      <c r="AN602" s="1138">
        <f t="shared" si="373"/>
        <v>0</v>
      </c>
      <c r="AO602" s="1138">
        <f t="shared" si="373"/>
        <v>0</v>
      </c>
      <c r="AP602" s="1138">
        <f t="shared" si="373"/>
        <v>0</v>
      </c>
      <c r="AQ602" s="1138">
        <f t="shared" si="373"/>
        <v>0</v>
      </c>
      <c r="AR602" s="1138">
        <f t="shared" si="373"/>
        <v>0</v>
      </c>
      <c r="AS602" s="1138">
        <f t="shared" si="373"/>
        <v>0</v>
      </c>
      <c r="AT602" s="1138">
        <f t="shared" si="373"/>
        <v>0</v>
      </c>
      <c r="AU602" s="1138">
        <f t="shared" si="373"/>
        <v>0</v>
      </c>
      <c r="AV602" s="1138">
        <f t="shared" si="373"/>
        <v>0</v>
      </c>
      <c r="AW602" s="1138">
        <f t="shared" si="373"/>
        <v>0</v>
      </c>
      <c r="AX602" s="1138">
        <f t="shared" si="373"/>
        <v>0</v>
      </c>
      <c r="AY602" s="1138">
        <f t="shared" si="373"/>
        <v>0</v>
      </c>
      <c r="AZ602" s="1138">
        <f t="shared" si="373"/>
        <v>0</v>
      </c>
      <c r="BA602" s="1138">
        <f t="shared" si="373"/>
        <v>0</v>
      </c>
      <c r="BB602" s="1138">
        <f t="shared" si="373"/>
        <v>0</v>
      </c>
      <c r="BC602" s="1138">
        <f>SUM(BC552:BC601)</f>
        <v>0</v>
      </c>
      <c r="BD602" s="1138">
        <f>SUM(BD552:BD601)</f>
        <v>0</v>
      </c>
      <c r="BE602" s="1138">
        <f>SUM(BE552:BE601)</f>
        <v>0</v>
      </c>
      <c r="BF602" s="1138">
        <f>SUM(BF552:BF601)</f>
        <v>0</v>
      </c>
      <c r="BG602" s="1138">
        <f t="shared" ref="BG602:CD602" si="374">IF(Years="Five",SUM(BG552:BG601),0)</f>
        <v>0</v>
      </c>
      <c r="BH602" s="1138">
        <f t="shared" si="374"/>
        <v>0</v>
      </c>
      <c r="BI602" s="1138">
        <f t="shared" si="374"/>
        <v>0</v>
      </c>
      <c r="BJ602" s="1138">
        <f t="shared" si="374"/>
        <v>0</v>
      </c>
      <c r="BK602" s="1138">
        <f t="shared" si="374"/>
        <v>0</v>
      </c>
      <c r="BL602" s="1138">
        <f t="shared" si="374"/>
        <v>0</v>
      </c>
      <c r="BM602" s="1138">
        <f t="shared" si="374"/>
        <v>0</v>
      </c>
      <c r="BN602" s="1138">
        <f t="shared" si="374"/>
        <v>0</v>
      </c>
      <c r="BO602" s="1138">
        <f t="shared" si="374"/>
        <v>0</v>
      </c>
      <c r="BP602" s="1138">
        <f t="shared" si="374"/>
        <v>0</v>
      </c>
      <c r="BQ602" s="1138">
        <f t="shared" si="374"/>
        <v>0</v>
      </c>
      <c r="BR602" s="1138">
        <f t="shared" si="374"/>
        <v>0</v>
      </c>
      <c r="BS602" s="1138">
        <f t="shared" si="374"/>
        <v>0</v>
      </c>
      <c r="BT602" s="1138">
        <f t="shared" si="374"/>
        <v>0</v>
      </c>
      <c r="BU602" s="1138">
        <f t="shared" si="374"/>
        <v>0</v>
      </c>
      <c r="BV602" s="1138">
        <f t="shared" si="374"/>
        <v>0</v>
      </c>
      <c r="BW602" s="1138">
        <f t="shared" si="374"/>
        <v>0</v>
      </c>
      <c r="BX602" s="1138">
        <f t="shared" si="374"/>
        <v>0</v>
      </c>
      <c r="BY602" s="1138">
        <f t="shared" si="374"/>
        <v>0</v>
      </c>
      <c r="BZ602" s="1138">
        <f t="shared" si="374"/>
        <v>0</v>
      </c>
      <c r="CA602" s="1138">
        <f t="shared" si="374"/>
        <v>0</v>
      </c>
      <c r="CB602" s="1138">
        <f t="shared" si="374"/>
        <v>0</v>
      </c>
      <c r="CC602" s="1138">
        <f t="shared" si="374"/>
        <v>0</v>
      </c>
      <c r="CD602" s="1138">
        <f t="shared" si="374"/>
        <v>0</v>
      </c>
    </row>
    <row r="603" spans="11:82" ht="12" customHeight="1" x14ac:dyDescent="0.35">
      <c r="K603" s="13"/>
      <c r="L603" s="13"/>
      <c r="M603" s="13"/>
      <c r="N603" s="13"/>
      <c r="O603" s="13"/>
      <c r="P603" s="13"/>
      <c r="Q603" s="13"/>
      <c r="R603" s="13"/>
      <c r="S603" s="13"/>
      <c r="T603" s="84"/>
      <c r="U603" s="84"/>
      <c r="V603" s="84"/>
      <c r="W603" s="13"/>
      <c r="X603" s="13"/>
      <c r="Y603" s="13"/>
      <c r="Z603" s="13"/>
      <c r="AA603" s="13"/>
      <c r="AB603" s="13"/>
      <c r="AC603" s="13"/>
      <c r="AD603" s="13"/>
      <c r="AE603" s="13"/>
      <c r="AF603" s="84"/>
      <c r="AG603" s="84"/>
      <c r="AH603" s="84"/>
      <c r="AI603" s="84"/>
      <c r="AJ603" s="84"/>
      <c r="AK603" s="84"/>
      <c r="AL603" s="84"/>
      <c r="AM603" s="84"/>
      <c r="AN603" s="84"/>
      <c r="AO603" s="84"/>
      <c r="AP603" s="84"/>
      <c r="AQ603" s="84"/>
      <c r="AR603" s="84"/>
      <c r="AS603" s="84"/>
      <c r="AT603" s="84"/>
      <c r="AU603" s="84"/>
      <c r="AV603" s="84"/>
      <c r="AW603" s="84"/>
      <c r="AX603" s="84"/>
      <c r="AY603" s="84"/>
      <c r="AZ603" s="84"/>
      <c r="BA603" s="84"/>
      <c r="BB603" s="84"/>
      <c r="BC603" s="84"/>
      <c r="BD603" s="84"/>
      <c r="BE603" s="84"/>
      <c r="BF603" s="84"/>
      <c r="BG603" s="84"/>
      <c r="BH603" s="84"/>
      <c r="BI603" s="84"/>
      <c r="BJ603" s="84"/>
      <c r="BK603" s="84"/>
      <c r="BL603" s="84"/>
      <c r="BM603" s="84"/>
      <c r="BN603" s="84"/>
      <c r="BO603" s="84"/>
      <c r="BP603" s="84"/>
      <c r="BQ603" s="84"/>
      <c r="BR603" s="84"/>
      <c r="BS603" s="84"/>
      <c r="BT603" s="84"/>
      <c r="BU603" s="84"/>
      <c r="BV603" s="84"/>
      <c r="BW603" s="84"/>
      <c r="BX603" s="84"/>
      <c r="BY603" s="84"/>
      <c r="BZ603" s="84"/>
      <c r="CA603" s="84"/>
      <c r="CB603" s="84"/>
      <c r="CC603" s="84"/>
      <c r="CD603" s="84"/>
    </row>
    <row r="604" spans="11:82" ht="12" customHeight="1" x14ac:dyDescent="0.35">
      <c r="K604" s="13"/>
      <c r="L604" s="13"/>
      <c r="M604" s="13"/>
      <c r="N604" s="13"/>
      <c r="O604" s="13"/>
      <c r="P604" s="13"/>
      <c r="Q604" s="13"/>
      <c r="R604" s="13"/>
      <c r="S604" s="13"/>
      <c r="T604" s="61" t="s">
        <v>146</v>
      </c>
      <c r="U604" s="61"/>
      <c r="V604" s="61"/>
      <c r="W604" s="63">
        <f t="shared" ref="W604:AE604" si="375">SUMPRODUCT($Q499:$Q548,W552:W601)</f>
        <v>0</v>
      </c>
      <c r="X604" s="63">
        <f t="shared" si="375"/>
        <v>0</v>
      </c>
      <c r="Y604" s="63">
        <f t="shared" si="375"/>
        <v>0</v>
      </c>
      <c r="Z604" s="63">
        <f t="shared" si="375"/>
        <v>0</v>
      </c>
      <c r="AA604" s="63">
        <f t="shared" si="375"/>
        <v>0</v>
      </c>
      <c r="AB604" s="63">
        <f t="shared" si="375"/>
        <v>0</v>
      </c>
      <c r="AC604" s="63">
        <f t="shared" si="375"/>
        <v>0</v>
      </c>
      <c r="AD604" s="63">
        <f t="shared" si="375"/>
        <v>0</v>
      </c>
      <c r="AE604" s="63">
        <f t="shared" si="375"/>
        <v>0</v>
      </c>
      <c r="AF604" s="1139">
        <f t="shared" ref="AF604:BF604" si="376">SUMPRODUCT($Q499:$Q548,AF552:AF601)</f>
        <v>0</v>
      </c>
      <c r="AG604" s="1139">
        <f t="shared" si="376"/>
        <v>0</v>
      </c>
      <c r="AH604" s="1139">
        <f t="shared" si="376"/>
        <v>0</v>
      </c>
      <c r="AI604" s="1139">
        <f t="shared" si="376"/>
        <v>0</v>
      </c>
      <c r="AJ604" s="1139">
        <f t="shared" si="376"/>
        <v>0</v>
      </c>
      <c r="AK604" s="1139">
        <f t="shared" si="376"/>
        <v>0</v>
      </c>
      <c r="AL604" s="1139">
        <f t="shared" si="376"/>
        <v>0</v>
      </c>
      <c r="AM604" s="1139">
        <f t="shared" si="376"/>
        <v>0</v>
      </c>
      <c r="AN604" s="1139">
        <f t="shared" si="376"/>
        <v>0</v>
      </c>
      <c r="AO604" s="1139">
        <f t="shared" si="376"/>
        <v>0</v>
      </c>
      <c r="AP604" s="1139">
        <f t="shared" si="376"/>
        <v>0</v>
      </c>
      <c r="AQ604" s="1139">
        <f t="shared" si="376"/>
        <v>0</v>
      </c>
      <c r="AR604" s="1139">
        <f t="shared" si="376"/>
        <v>0</v>
      </c>
      <c r="AS604" s="1139">
        <f t="shared" si="376"/>
        <v>0</v>
      </c>
      <c r="AT604" s="1139">
        <f t="shared" si="376"/>
        <v>0</v>
      </c>
      <c r="AU604" s="1139">
        <f t="shared" si="376"/>
        <v>0</v>
      </c>
      <c r="AV604" s="1139">
        <f t="shared" si="376"/>
        <v>0</v>
      </c>
      <c r="AW604" s="1139">
        <f t="shared" si="376"/>
        <v>0</v>
      </c>
      <c r="AX604" s="1139">
        <f t="shared" si="376"/>
        <v>0</v>
      </c>
      <c r="AY604" s="1139">
        <f t="shared" si="376"/>
        <v>0</v>
      </c>
      <c r="AZ604" s="1139">
        <f t="shared" si="376"/>
        <v>0</v>
      </c>
      <c r="BA604" s="1139">
        <f t="shared" si="376"/>
        <v>0</v>
      </c>
      <c r="BB604" s="1139">
        <f t="shared" si="376"/>
        <v>0</v>
      </c>
      <c r="BC604" s="1139">
        <f t="shared" si="376"/>
        <v>0</v>
      </c>
      <c r="BD604" s="1139">
        <f t="shared" si="376"/>
        <v>0</v>
      </c>
      <c r="BE604" s="1139">
        <f t="shared" si="376"/>
        <v>0</v>
      </c>
      <c r="BF604" s="1139">
        <f t="shared" si="376"/>
        <v>0</v>
      </c>
      <c r="BG604" s="1139">
        <f t="shared" ref="BG604:CD604" si="377">IF(Years="Five",SUMPRODUCT($Q499:$Q548,BG552:BG601),0)</f>
        <v>0</v>
      </c>
      <c r="BH604" s="1139">
        <f t="shared" si="377"/>
        <v>0</v>
      </c>
      <c r="BI604" s="1139">
        <f t="shared" si="377"/>
        <v>0</v>
      </c>
      <c r="BJ604" s="1139">
        <f t="shared" si="377"/>
        <v>0</v>
      </c>
      <c r="BK604" s="1139">
        <f t="shared" si="377"/>
        <v>0</v>
      </c>
      <c r="BL604" s="1139">
        <f t="shared" si="377"/>
        <v>0</v>
      </c>
      <c r="BM604" s="1139">
        <f t="shared" si="377"/>
        <v>0</v>
      </c>
      <c r="BN604" s="1139">
        <f t="shared" si="377"/>
        <v>0</v>
      </c>
      <c r="BO604" s="1139">
        <f t="shared" si="377"/>
        <v>0</v>
      </c>
      <c r="BP604" s="1139">
        <f t="shared" si="377"/>
        <v>0</v>
      </c>
      <c r="BQ604" s="1139">
        <f t="shared" si="377"/>
        <v>0</v>
      </c>
      <c r="BR604" s="1139">
        <f t="shared" si="377"/>
        <v>0</v>
      </c>
      <c r="BS604" s="1139">
        <f t="shared" si="377"/>
        <v>0</v>
      </c>
      <c r="BT604" s="1139">
        <f t="shared" si="377"/>
        <v>0</v>
      </c>
      <c r="BU604" s="1139">
        <f t="shared" si="377"/>
        <v>0</v>
      </c>
      <c r="BV604" s="1139">
        <f t="shared" si="377"/>
        <v>0</v>
      </c>
      <c r="BW604" s="1139">
        <f t="shared" si="377"/>
        <v>0</v>
      </c>
      <c r="BX604" s="1139">
        <f t="shared" si="377"/>
        <v>0</v>
      </c>
      <c r="BY604" s="1139">
        <f t="shared" si="377"/>
        <v>0</v>
      </c>
      <c r="BZ604" s="1139">
        <f t="shared" si="377"/>
        <v>0</v>
      </c>
      <c r="CA604" s="1139">
        <f t="shared" si="377"/>
        <v>0</v>
      </c>
      <c r="CB604" s="1139">
        <f t="shared" si="377"/>
        <v>0</v>
      </c>
      <c r="CC604" s="1139">
        <f t="shared" si="377"/>
        <v>0</v>
      </c>
      <c r="CD604" s="1139">
        <f t="shared" si="377"/>
        <v>0</v>
      </c>
    </row>
    <row r="605" spans="11:82" ht="12" customHeight="1" x14ac:dyDescent="0.35">
      <c r="K605" s="13"/>
      <c r="L605" s="13"/>
      <c r="M605" s="13"/>
      <c r="N605" s="13"/>
      <c r="O605" s="13"/>
      <c r="P605" s="13"/>
      <c r="Q605" s="13"/>
      <c r="R605" s="13"/>
      <c r="S605" s="13"/>
      <c r="T605" s="61" t="s">
        <v>446</v>
      </c>
      <c r="U605" s="61"/>
      <c r="V605" s="61"/>
      <c r="W605" s="63">
        <f t="shared" ref="W605:AE605" si="378">SUMPRODUCT($R499:$R548,W552:W601)</f>
        <v>0</v>
      </c>
      <c r="X605" s="63">
        <f t="shared" si="378"/>
        <v>0</v>
      </c>
      <c r="Y605" s="63">
        <f t="shared" si="378"/>
        <v>0</v>
      </c>
      <c r="Z605" s="63">
        <f t="shared" si="378"/>
        <v>0</v>
      </c>
      <c r="AA605" s="63">
        <f t="shared" si="378"/>
        <v>0</v>
      </c>
      <c r="AB605" s="63">
        <f t="shared" si="378"/>
        <v>0</v>
      </c>
      <c r="AC605" s="63">
        <f t="shared" si="378"/>
        <v>0</v>
      </c>
      <c r="AD605" s="63">
        <f t="shared" si="378"/>
        <v>0</v>
      </c>
      <c r="AE605" s="63">
        <f t="shared" si="378"/>
        <v>0</v>
      </c>
      <c r="AF605" s="1139">
        <f t="shared" ref="AF605:BF605" si="379">SUMPRODUCT($R499:$R548,AF552:AF601)</f>
        <v>0</v>
      </c>
      <c r="AG605" s="1139">
        <f t="shared" si="379"/>
        <v>0</v>
      </c>
      <c r="AH605" s="1139">
        <f t="shared" si="379"/>
        <v>0</v>
      </c>
      <c r="AI605" s="1139">
        <f t="shared" si="379"/>
        <v>0</v>
      </c>
      <c r="AJ605" s="1139">
        <f t="shared" si="379"/>
        <v>0</v>
      </c>
      <c r="AK605" s="1139">
        <f t="shared" si="379"/>
        <v>0</v>
      </c>
      <c r="AL605" s="1139">
        <f t="shared" si="379"/>
        <v>0</v>
      </c>
      <c r="AM605" s="1139">
        <f t="shared" si="379"/>
        <v>0</v>
      </c>
      <c r="AN605" s="1139">
        <f t="shared" si="379"/>
        <v>0</v>
      </c>
      <c r="AO605" s="1139">
        <f t="shared" si="379"/>
        <v>0</v>
      </c>
      <c r="AP605" s="1139">
        <f t="shared" si="379"/>
        <v>0</v>
      </c>
      <c r="AQ605" s="1139">
        <f t="shared" si="379"/>
        <v>0</v>
      </c>
      <c r="AR605" s="1139">
        <f t="shared" si="379"/>
        <v>0</v>
      </c>
      <c r="AS605" s="1139">
        <f t="shared" si="379"/>
        <v>0</v>
      </c>
      <c r="AT605" s="1139">
        <f t="shared" si="379"/>
        <v>0</v>
      </c>
      <c r="AU605" s="1139">
        <f t="shared" si="379"/>
        <v>0</v>
      </c>
      <c r="AV605" s="1139">
        <f t="shared" si="379"/>
        <v>0</v>
      </c>
      <c r="AW605" s="1139">
        <f t="shared" si="379"/>
        <v>0</v>
      </c>
      <c r="AX605" s="1139">
        <f t="shared" si="379"/>
        <v>0</v>
      </c>
      <c r="AY605" s="1139">
        <f t="shared" si="379"/>
        <v>0</v>
      </c>
      <c r="AZ605" s="1139">
        <f t="shared" si="379"/>
        <v>0</v>
      </c>
      <c r="BA605" s="1139">
        <f t="shared" si="379"/>
        <v>0</v>
      </c>
      <c r="BB605" s="1139">
        <f t="shared" si="379"/>
        <v>0</v>
      </c>
      <c r="BC605" s="1139">
        <f t="shared" si="379"/>
        <v>0</v>
      </c>
      <c r="BD605" s="1139">
        <f t="shared" si="379"/>
        <v>0</v>
      </c>
      <c r="BE605" s="1139">
        <f t="shared" si="379"/>
        <v>0</v>
      </c>
      <c r="BF605" s="1139">
        <f t="shared" si="379"/>
        <v>0</v>
      </c>
      <c r="BG605" s="1139">
        <f t="shared" ref="BG605:CD605" si="380">IF(Years="Five",SUMPRODUCT($R499:$R548,BG552:BG601),0)</f>
        <v>0</v>
      </c>
      <c r="BH605" s="1139">
        <f t="shared" si="380"/>
        <v>0</v>
      </c>
      <c r="BI605" s="1139">
        <f t="shared" si="380"/>
        <v>0</v>
      </c>
      <c r="BJ605" s="1139">
        <f t="shared" si="380"/>
        <v>0</v>
      </c>
      <c r="BK605" s="1139">
        <f t="shared" si="380"/>
        <v>0</v>
      </c>
      <c r="BL605" s="1139">
        <f t="shared" si="380"/>
        <v>0</v>
      </c>
      <c r="BM605" s="1139">
        <f t="shared" si="380"/>
        <v>0</v>
      </c>
      <c r="BN605" s="1139">
        <f t="shared" si="380"/>
        <v>0</v>
      </c>
      <c r="BO605" s="1139">
        <f t="shared" si="380"/>
        <v>0</v>
      </c>
      <c r="BP605" s="1139">
        <f t="shared" si="380"/>
        <v>0</v>
      </c>
      <c r="BQ605" s="1139">
        <f t="shared" si="380"/>
        <v>0</v>
      </c>
      <c r="BR605" s="1139">
        <f t="shared" si="380"/>
        <v>0</v>
      </c>
      <c r="BS605" s="1139">
        <f t="shared" si="380"/>
        <v>0</v>
      </c>
      <c r="BT605" s="1139">
        <f t="shared" si="380"/>
        <v>0</v>
      </c>
      <c r="BU605" s="1139">
        <f t="shared" si="380"/>
        <v>0</v>
      </c>
      <c r="BV605" s="1139">
        <f t="shared" si="380"/>
        <v>0</v>
      </c>
      <c r="BW605" s="1139">
        <f t="shared" si="380"/>
        <v>0</v>
      </c>
      <c r="BX605" s="1139">
        <f t="shared" si="380"/>
        <v>0</v>
      </c>
      <c r="BY605" s="1139">
        <f t="shared" si="380"/>
        <v>0</v>
      </c>
      <c r="BZ605" s="1139">
        <f t="shared" si="380"/>
        <v>0</v>
      </c>
      <c r="CA605" s="1139">
        <f t="shared" si="380"/>
        <v>0</v>
      </c>
      <c r="CB605" s="1139">
        <f t="shared" si="380"/>
        <v>0</v>
      </c>
      <c r="CC605" s="1139">
        <f t="shared" si="380"/>
        <v>0</v>
      </c>
      <c r="CD605" s="1139">
        <f t="shared" si="380"/>
        <v>0</v>
      </c>
    </row>
    <row r="606" spans="11:82" ht="12" customHeight="1" x14ac:dyDescent="0.35">
      <c r="K606" s="13"/>
      <c r="L606" s="13"/>
      <c r="M606" s="13"/>
      <c r="N606" s="13"/>
      <c r="O606" s="13"/>
      <c r="P606" s="13"/>
      <c r="Q606" s="13"/>
      <c r="R606" s="13"/>
      <c r="S606" s="13"/>
      <c r="T606" s="61" t="s">
        <v>431</v>
      </c>
      <c r="U606" s="84"/>
      <c r="V606" s="84"/>
      <c r="W606" s="63" cm="1">
        <f t="array" ref="W606">SUMPRODUCT(--(Input!$N108:$N157="Yes"),W552:W601,Input!$J108:$J157,$U552:$U601)</f>
        <v>0</v>
      </c>
      <c r="X606" s="63" cm="1">
        <f t="array" ref="X606">SUMPRODUCT(--(Input!$N108:$N157="Yes"),X552:X601,Input!$J108:$J157,$U552:$U601)</f>
        <v>0</v>
      </c>
      <c r="Y606" s="63" cm="1">
        <f t="array" ref="Y606">SUMPRODUCT(--(Input!$N108:$N157="Yes"),Y552:Y601,Input!$J108:$J157,$U552:$U601)</f>
        <v>0</v>
      </c>
      <c r="Z606" s="63" cm="1">
        <f t="array" ref="Z606">SUMPRODUCT(--(Input!$N108:$N157="Yes"),Z552:Z601,Input!$J108:$J157,$U552:$U601)</f>
        <v>0</v>
      </c>
      <c r="AA606" s="63" cm="1">
        <f t="array" ref="AA606">SUMPRODUCT(--(Input!$N108:$N157="Yes"),AA552:AA601,Input!$J108:$J157,$U552:$U601)</f>
        <v>0</v>
      </c>
      <c r="AB606" s="63" cm="1">
        <f t="array" ref="AB606">SUMPRODUCT(--(Input!$N108:$N157="Yes"),AB552:AB601,Input!$J108:$J157,$U552:$U601)</f>
        <v>0</v>
      </c>
      <c r="AC606" s="63" cm="1">
        <f t="array" ref="AC606">SUMPRODUCT(--(Input!$N108:$N157="Yes"),AC552:AC601,Input!$J108:$J157,$U552:$U601)</f>
        <v>0</v>
      </c>
      <c r="AD606" s="63" cm="1">
        <f t="array" ref="AD606">SUMPRODUCT(--(Input!$N108:$N157="Yes"),AD552:AD601,Input!$J108:$J157,$U552:$U601)</f>
        <v>0</v>
      </c>
      <c r="AE606" s="63" cm="1">
        <f t="array" ref="AE606">SUMPRODUCT(--(Input!$N108:$N157="Yes"),AE552:AE601,Input!$J108:$J157,$U552:$U601)</f>
        <v>0</v>
      </c>
      <c r="AF606" s="1139" cm="1">
        <f t="array" ref="AF606">SUMPRODUCT(--(Input!$N108:$N157="Yes"),AF552:AF601,Input!$J108:$J157,$U552:$U601)</f>
        <v>0</v>
      </c>
      <c r="AG606" s="1139" cm="1">
        <f t="array" ref="AG606">SUMPRODUCT(--(Input!$N108:$N157="Yes"),AG552:AG601,Input!$J108:$J157,$U552:$U601)</f>
        <v>0</v>
      </c>
      <c r="AH606" s="1139" cm="1">
        <f t="array" ref="AH606">SUMPRODUCT(--(Input!$N108:$N157="Yes"),AH552:AH601,Input!$J108:$J157,$U552:$U601)</f>
        <v>0</v>
      </c>
      <c r="AI606" s="1139" cm="1">
        <f t="array" ref="AI606">SUMPRODUCT(--(Input!$N108:$N157="Yes"),AI552:AI601,Input!$J108:$J157,$U552:$U601)</f>
        <v>0</v>
      </c>
      <c r="AJ606" s="1139" cm="1">
        <f t="array" ref="AJ606">SUMPRODUCT(--(Input!$N108:$N157="Yes"),AJ552:AJ601,Input!$J108:$J157,$U552:$U601)</f>
        <v>0</v>
      </c>
      <c r="AK606" s="1139" cm="1">
        <f t="array" ref="AK606">SUMPRODUCT(--(Input!$N108:$N157="Yes"),AK552:AK601,Input!$J108:$J157,$U552:$U601)</f>
        <v>0</v>
      </c>
      <c r="AL606" s="1139" cm="1">
        <f t="array" ref="AL606">SUMPRODUCT(--(Input!$N108:$N157="Yes"),AL552:AL601,Input!$J108:$J157,$U552:$U601)</f>
        <v>0</v>
      </c>
      <c r="AM606" s="1139" cm="1">
        <f t="array" ref="AM606">SUMPRODUCT(--(Input!$N108:$N157="Yes"),AM552:AM601,Input!$J108:$J157,$U552:$U601)</f>
        <v>0</v>
      </c>
      <c r="AN606" s="1139" cm="1">
        <f t="array" ref="AN606">SUMPRODUCT(--(Input!$N108:$N157="Yes"),AN552:AN601,Input!$J108:$J157,$U552:$U601)</f>
        <v>0</v>
      </c>
      <c r="AO606" s="1139" cm="1">
        <f t="array" ref="AO606">SUMPRODUCT(--(Input!$N108:$N157="Yes"),AO552:AO601,Input!$J108:$J157,$U552:$U601)</f>
        <v>0</v>
      </c>
      <c r="AP606" s="1139" cm="1">
        <f t="array" ref="AP606">SUMPRODUCT(--(Input!$N108:$N157="Yes"),AP552:AP601,Input!$J108:$J157,$U552:$U601)</f>
        <v>0</v>
      </c>
      <c r="AQ606" s="1139" cm="1">
        <f t="array" ref="AQ606">SUMPRODUCT(--(Input!$N108:$N157="Yes"),AQ552:AQ601,Input!$J108:$J157,$U552:$U601)</f>
        <v>0</v>
      </c>
      <c r="AR606" s="1139" cm="1">
        <f t="array" ref="AR606">SUMPRODUCT(--(Input!$N108:$N157="Yes"),AR552:AR601,Input!$J108:$J157,$U552:$U601)</f>
        <v>0</v>
      </c>
      <c r="AS606" s="1139" cm="1">
        <f t="array" ref="AS606">SUMPRODUCT(--(Input!$N108:$N157="Yes"),AS552:AS601,Input!$J108:$J157,$U552:$U601)</f>
        <v>0</v>
      </c>
      <c r="AT606" s="1139" cm="1">
        <f t="array" ref="AT606">SUMPRODUCT(--(Input!$N108:$N157="Yes"),AT552:AT601,Input!$J108:$J157,$U552:$U601)</f>
        <v>0</v>
      </c>
      <c r="AU606" s="1139" cm="1">
        <f t="array" ref="AU606">SUMPRODUCT(--(Input!$N108:$N157="Yes"),AU552:AU601,Input!$J108:$J157,$U552:$U601)</f>
        <v>0</v>
      </c>
      <c r="AV606" s="1139" cm="1">
        <f t="array" ref="AV606">SUMPRODUCT(--(Input!$N108:$N157="Yes"),AV552:AV601,Input!$J108:$J157,$U552:$U601)</f>
        <v>0</v>
      </c>
      <c r="AW606" s="1139" cm="1">
        <f t="array" ref="AW606">SUMPRODUCT(--(Input!$N108:$N157="Yes"),AW552:AW601,Input!$J108:$J157,$U552:$U601)</f>
        <v>0</v>
      </c>
      <c r="AX606" s="1139" cm="1">
        <f t="array" ref="AX606">SUMPRODUCT(--(Input!$N108:$N157="Yes"),AX552:AX601,Input!$J108:$J157,$U552:$U601)</f>
        <v>0</v>
      </c>
      <c r="AY606" s="1139" cm="1">
        <f t="array" ref="AY606">SUMPRODUCT(--(Input!$N108:$N157="Yes"),AY552:AY601,Input!$J108:$J157,$U552:$U601)</f>
        <v>0</v>
      </c>
      <c r="AZ606" s="1139" cm="1">
        <f t="array" ref="AZ606">SUMPRODUCT(--(Input!$N108:$N157="Yes"),AZ552:AZ601,Input!$J108:$J157,$U552:$U601)</f>
        <v>0</v>
      </c>
      <c r="BA606" s="1139" cm="1">
        <f t="array" ref="BA606">SUMPRODUCT(--(Input!$N108:$N157="Yes"),BA552:BA601,Input!$J108:$J157,$U552:$U601)</f>
        <v>0</v>
      </c>
      <c r="BB606" s="1139" cm="1">
        <f t="array" ref="BB606">SUMPRODUCT(--(Input!$N108:$N157="Yes"),BB552:BB601,Input!$J108:$J157,$U552:$U601)</f>
        <v>0</v>
      </c>
      <c r="BC606" s="1139" cm="1">
        <f t="array" ref="BC606">SUMPRODUCT(--(Input!$N108:$N157="Yes"),BC552:BC601,Input!$J108:$J157,$U552:$U601)</f>
        <v>0</v>
      </c>
      <c r="BD606" s="1139" cm="1">
        <f t="array" ref="BD606">SUMPRODUCT(--(Input!$N108:$N157="Yes"),BD552:BD601,Input!$J108:$J157,$U552:$U601)</f>
        <v>0</v>
      </c>
      <c r="BE606" s="1139" cm="1">
        <f t="array" ref="BE606">SUMPRODUCT(--(Input!$N108:$N157="Yes"),BE552:BE601,Input!$J108:$J157,$U552:$U601)</f>
        <v>0</v>
      </c>
      <c r="BF606" s="1139" cm="1">
        <f t="array" ref="BF606">SUMPRODUCT(--(Input!$N108:$N157="Yes"),BF552:BF601,Input!$J108:$J157,$U552:$U601)</f>
        <v>0</v>
      </c>
      <c r="BG606" s="1139" cm="1">
        <f t="array" ref="BG606">SUMPRODUCT(--(Input!$N108:$N157="Yes"),BG552:BG601,Input!$J108:$J157,$U552:$U601)</f>
        <v>0</v>
      </c>
      <c r="BH606" s="1139" cm="1">
        <f t="array" ref="BH606">SUMPRODUCT(--(Input!$N108:$N157="Yes"),BH552:BH601,Input!$J108:$J157,$U552:$U601)</f>
        <v>0</v>
      </c>
      <c r="BI606" s="1139" cm="1">
        <f t="array" ref="BI606">SUMPRODUCT(--(Input!$N108:$N157="Yes"),BI552:BI601,Input!$J108:$J157,$U552:$U601)</f>
        <v>0</v>
      </c>
      <c r="BJ606" s="1139" cm="1">
        <f t="array" ref="BJ606">SUMPRODUCT(--(Input!$N108:$N157="Yes"),BJ552:BJ601,Input!$J108:$J157,$U552:$U601)</f>
        <v>0</v>
      </c>
      <c r="BK606" s="1139" cm="1">
        <f t="array" ref="BK606">SUMPRODUCT(--(Input!$N108:$N157="Yes"),BK552:BK601,Input!$J108:$J157,$U552:$U601)</f>
        <v>0</v>
      </c>
      <c r="BL606" s="1139" cm="1">
        <f t="array" ref="BL606">SUMPRODUCT(--(Input!$N108:$N157="Yes"),BL552:BL601,Input!$J108:$J157,$U552:$U601)</f>
        <v>0</v>
      </c>
      <c r="BM606" s="1139" cm="1">
        <f t="array" ref="BM606">SUMPRODUCT(--(Input!$N108:$N157="Yes"),BM552:BM601,Input!$J108:$J157,$U552:$U601)</f>
        <v>0</v>
      </c>
      <c r="BN606" s="1139" cm="1">
        <f t="array" ref="BN606">SUMPRODUCT(--(Input!$N108:$N157="Yes"),BN552:BN601,Input!$J108:$J157,$U552:$U601)</f>
        <v>0</v>
      </c>
      <c r="BO606" s="1139" cm="1">
        <f t="array" ref="BO606">SUMPRODUCT(--(Input!$N108:$N157="Yes"),BO552:BO601,Input!$J108:$J157,$U552:$U601)</f>
        <v>0</v>
      </c>
      <c r="BP606" s="1139" cm="1">
        <f t="array" ref="BP606">SUMPRODUCT(--(Input!$N108:$N157="Yes"),BP552:BP601,Input!$J108:$J157,$U552:$U601)</f>
        <v>0</v>
      </c>
      <c r="BQ606" s="1139" cm="1">
        <f t="array" ref="BQ606">SUMPRODUCT(--(Input!$N108:$N157="Yes"),BQ552:BQ601,Input!$J108:$J157,$U552:$U601)</f>
        <v>0</v>
      </c>
      <c r="BR606" s="1139" cm="1">
        <f t="array" ref="BR606">SUMPRODUCT(--(Input!$N108:$N157="Yes"),BR552:BR601,Input!$J108:$J157,$U552:$U601)</f>
        <v>0</v>
      </c>
      <c r="BS606" s="1139" cm="1">
        <f t="array" ref="BS606">SUMPRODUCT(--(Input!$N108:$N157="Yes"),BS552:BS601,Input!$J108:$J157,$U552:$U601)</f>
        <v>0</v>
      </c>
      <c r="BT606" s="1139" cm="1">
        <f t="array" ref="BT606">SUMPRODUCT(--(Input!$N108:$N157="Yes"),BT552:BT601,Input!$J108:$J157,$U552:$U601)</f>
        <v>0</v>
      </c>
      <c r="BU606" s="1139" cm="1">
        <f t="array" ref="BU606">SUMPRODUCT(--(Input!$N108:$N157="Yes"),BU552:BU601,Input!$J108:$J157,$U552:$U601)</f>
        <v>0</v>
      </c>
      <c r="BV606" s="1139" cm="1">
        <f t="array" ref="BV606">SUMPRODUCT(--(Input!$N108:$N157="Yes"),BV552:BV601,Input!$J108:$J157,$U552:$U601)</f>
        <v>0</v>
      </c>
      <c r="BW606" s="1139" cm="1">
        <f t="array" ref="BW606">SUMPRODUCT(--(Input!$N108:$N157="Yes"),BW552:BW601,Input!$J108:$J157,$U552:$U601)</f>
        <v>0</v>
      </c>
      <c r="BX606" s="1139" cm="1">
        <f t="array" ref="BX606">SUMPRODUCT(--(Input!$N108:$N157="Yes"),BX552:BX601,Input!$J108:$J157,$U552:$U601)</f>
        <v>0</v>
      </c>
      <c r="BY606" s="1139" cm="1">
        <f t="array" ref="BY606">SUMPRODUCT(--(Input!$N108:$N157="Yes"),BY552:BY601,Input!$J108:$J157,$U552:$U601)</f>
        <v>0</v>
      </c>
      <c r="BZ606" s="1139" cm="1">
        <f t="array" ref="BZ606">SUMPRODUCT(--(Input!$N108:$N157="Yes"),BZ552:BZ601,Input!$J108:$J157,$U552:$U601)</f>
        <v>0</v>
      </c>
      <c r="CA606" s="1139" cm="1">
        <f t="array" ref="CA606">SUMPRODUCT(--(Input!$N108:$N157="Yes"),CA552:CA601,Input!$J108:$J157,$U552:$U601)</f>
        <v>0</v>
      </c>
      <c r="CB606" s="1139" cm="1">
        <f t="array" ref="CB606">SUMPRODUCT(--(Input!$N108:$N157="Yes"),CB552:CB601,Input!$J108:$J157,$U552:$U601)</f>
        <v>0</v>
      </c>
      <c r="CC606" s="1139" cm="1">
        <f t="array" ref="CC606">SUMPRODUCT(--(Input!$N108:$N157="Yes"),CC552:CC601,Input!$J108:$J157,$U552:$U601)</f>
        <v>0</v>
      </c>
      <c r="CD606" s="1139" cm="1">
        <f t="array" ref="CD606">SUMPRODUCT(--(Input!$N108:$N157="Yes"),CD552:CD601,Input!$J108:$J157,$U552:$U601)</f>
        <v>0</v>
      </c>
    </row>
    <row r="607" spans="11:82" ht="12" customHeight="1" x14ac:dyDescent="0.35">
      <c r="K607" s="13"/>
      <c r="L607" s="13"/>
      <c r="M607" s="13"/>
      <c r="N607" s="13"/>
      <c r="O607" s="13"/>
      <c r="P607" s="13"/>
      <c r="Q607" s="13"/>
      <c r="R607" s="13"/>
      <c r="S607" s="13"/>
      <c r="T607" s="84"/>
      <c r="U607" s="84"/>
      <c r="V607" s="84"/>
      <c r="W607" s="62">
        <f>SUM(W602:W605)</f>
        <v>0</v>
      </c>
      <c r="X607" s="62">
        <f t="shared" ref="X607:AE607" si="381">SUM(X602:X605)</f>
        <v>0</v>
      </c>
      <c r="Y607" s="62">
        <f t="shared" si="381"/>
        <v>0</v>
      </c>
      <c r="Z607" s="62">
        <f t="shared" si="381"/>
        <v>0</v>
      </c>
      <c r="AA607" s="62">
        <f t="shared" si="381"/>
        <v>0</v>
      </c>
      <c r="AB607" s="62">
        <f t="shared" si="381"/>
        <v>0</v>
      </c>
      <c r="AC607" s="62">
        <f t="shared" si="381"/>
        <v>0</v>
      </c>
      <c r="AD607" s="62">
        <f t="shared" si="381"/>
        <v>0</v>
      </c>
      <c r="AE607" s="62">
        <f t="shared" si="381"/>
        <v>0</v>
      </c>
      <c r="AF607" s="484">
        <f t="shared" ref="AF607:BK607" si="382">SUM(AF602:AF605)</f>
        <v>0</v>
      </c>
      <c r="AG607" s="484">
        <f t="shared" si="382"/>
        <v>0</v>
      </c>
      <c r="AH607" s="484">
        <f t="shared" si="382"/>
        <v>0</v>
      </c>
      <c r="AI607" s="484">
        <f t="shared" si="382"/>
        <v>0</v>
      </c>
      <c r="AJ607" s="484">
        <f t="shared" si="382"/>
        <v>0</v>
      </c>
      <c r="AK607" s="484">
        <f t="shared" si="382"/>
        <v>0</v>
      </c>
      <c r="AL607" s="484">
        <f t="shared" si="382"/>
        <v>0</v>
      </c>
      <c r="AM607" s="484">
        <f t="shared" si="382"/>
        <v>0</v>
      </c>
      <c r="AN607" s="484">
        <f t="shared" si="382"/>
        <v>0</v>
      </c>
      <c r="AO607" s="484">
        <f t="shared" si="382"/>
        <v>0</v>
      </c>
      <c r="AP607" s="484">
        <f t="shared" si="382"/>
        <v>0</v>
      </c>
      <c r="AQ607" s="484">
        <f t="shared" si="382"/>
        <v>0</v>
      </c>
      <c r="AR607" s="484">
        <f t="shared" si="382"/>
        <v>0</v>
      </c>
      <c r="AS607" s="484">
        <f t="shared" si="382"/>
        <v>0</v>
      </c>
      <c r="AT607" s="484">
        <f t="shared" si="382"/>
        <v>0</v>
      </c>
      <c r="AU607" s="484">
        <f t="shared" si="382"/>
        <v>0</v>
      </c>
      <c r="AV607" s="484">
        <f t="shared" si="382"/>
        <v>0</v>
      </c>
      <c r="AW607" s="484">
        <f t="shared" si="382"/>
        <v>0</v>
      </c>
      <c r="AX607" s="484">
        <f t="shared" si="382"/>
        <v>0</v>
      </c>
      <c r="AY607" s="484">
        <f t="shared" si="382"/>
        <v>0</v>
      </c>
      <c r="AZ607" s="484">
        <f t="shared" si="382"/>
        <v>0</v>
      </c>
      <c r="BA607" s="484">
        <f t="shared" si="382"/>
        <v>0</v>
      </c>
      <c r="BB607" s="484">
        <f t="shared" si="382"/>
        <v>0</v>
      </c>
      <c r="BC607" s="484">
        <f t="shared" si="382"/>
        <v>0</v>
      </c>
      <c r="BD607" s="484">
        <f t="shared" si="382"/>
        <v>0</v>
      </c>
      <c r="BE607" s="484">
        <f t="shared" si="382"/>
        <v>0</v>
      </c>
      <c r="BF607" s="484">
        <f t="shared" si="382"/>
        <v>0</v>
      </c>
      <c r="BG607" s="484">
        <f t="shared" si="382"/>
        <v>0</v>
      </c>
      <c r="BH607" s="484">
        <f t="shared" si="382"/>
        <v>0</v>
      </c>
      <c r="BI607" s="484">
        <f t="shared" si="382"/>
        <v>0</v>
      </c>
      <c r="BJ607" s="484">
        <f t="shared" si="382"/>
        <v>0</v>
      </c>
      <c r="BK607" s="484">
        <f t="shared" si="382"/>
        <v>0</v>
      </c>
      <c r="BL607" s="484">
        <f t="shared" ref="BL607:CD607" si="383">SUM(BL602:BL605)</f>
        <v>0</v>
      </c>
      <c r="BM607" s="484">
        <f t="shared" si="383"/>
        <v>0</v>
      </c>
      <c r="BN607" s="484">
        <f t="shared" si="383"/>
        <v>0</v>
      </c>
      <c r="BO607" s="484">
        <f t="shared" si="383"/>
        <v>0</v>
      </c>
      <c r="BP607" s="484">
        <f t="shared" si="383"/>
        <v>0</v>
      </c>
      <c r="BQ607" s="484">
        <f t="shared" si="383"/>
        <v>0</v>
      </c>
      <c r="BR607" s="484">
        <f t="shared" si="383"/>
        <v>0</v>
      </c>
      <c r="BS607" s="484">
        <f t="shared" si="383"/>
        <v>0</v>
      </c>
      <c r="BT607" s="484">
        <f t="shared" si="383"/>
        <v>0</v>
      </c>
      <c r="BU607" s="484">
        <f t="shared" si="383"/>
        <v>0</v>
      </c>
      <c r="BV607" s="484">
        <f t="shared" si="383"/>
        <v>0</v>
      </c>
      <c r="BW607" s="484">
        <f t="shared" si="383"/>
        <v>0</v>
      </c>
      <c r="BX607" s="484">
        <f t="shared" si="383"/>
        <v>0</v>
      </c>
      <c r="BY607" s="484">
        <f t="shared" si="383"/>
        <v>0</v>
      </c>
      <c r="BZ607" s="484">
        <f t="shared" si="383"/>
        <v>0</v>
      </c>
      <c r="CA607" s="484">
        <f t="shared" si="383"/>
        <v>0</v>
      </c>
      <c r="CB607" s="484">
        <f t="shared" si="383"/>
        <v>0</v>
      </c>
      <c r="CC607" s="484">
        <f t="shared" si="383"/>
        <v>0</v>
      </c>
      <c r="CD607" s="484">
        <f t="shared" si="383"/>
        <v>0</v>
      </c>
    </row>
    <row r="608" spans="11:82" ht="12" customHeight="1" x14ac:dyDescent="0.35">
      <c r="K608" s="13"/>
      <c r="L608" s="13"/>
      <c r="M608" s="13"/>
      <c r="N608" s="13"/>
      <c r="O608" s="13"/>
      <c r="P608" s="13"/>
      <c r="Q608" s="13"/>
      <c r="R608" s="13"/>
      <c r="S608" s="13"/>
      <c r="T608" s="13"/>
      <c r="U608" s="13"/>
      <c r="V608" s="13"/>
      <c r="W608" s="13">
        <v>1</v>
      </c>
      <c r="X608" s="13">
        <v>2</v>
      </c>
      <c r="Y608" s="13">
        <v>3</v>
      </c>
      <c r="Z608" s="13">
        <v>4</v>
      </c>
      <c r="AA608" s="13">
        <v>5</v>
      </c>
      <c r="AB608" s="13">
        <v>6</v>
      </c>
      <c r="AC608" s="13">
        <v>7</v>
      </c>
      <c r="AD608" s="13">
        <v>8</v>
      </c>
      <c r="AE608" s="13">
        <v>9</v>
      </c>
      <c r="AF608" s="84">
        <v>10</v>
      </c>
      <c r="AG608" s="84">
        <v>11</v>
      </c>
      <c r="AH608" s="84">
        <v>12</v>
      </c>
      <c r="AI608" s="84">
        <v>13</v>
      </c>
      <c r="AJ608" s="84">
        <v>14</v>
      </c>
      <c r="AK608" s="84">
        <v>15</v>
      </c>
      <c r="AL608" s="84">
        <v>16</v>
      </c>
      <c r="AM608" s="84">
        <v>17</v>
      </c>
      <c r="AN608" s="84">
        <v>18</v>
      </c>
      <c r="AO608" s="84">
        <v>19</v>
      </c>
      <c r="AP608" s="84">
        <v>20</v>
      </c>
      <c r="AQ608" s="84">
        <v>21</v>
      </c>
      <c r="AR608" s="84">
        <v>22</v>
      </c>
      <c r="AS608" s="84">
        <v>23</v>
      </c>
      <c r="AT608" s="84">
        <v>24</v>
      </c>
      <c r="AU608" s="84">
        <v>25</v>
      </c>
      <c r="AV608" s="84">
        <v>26</v>
      </c>
      <c r="AW608" s="84">
        <v>27</v>
      </c>
      <c r="AX608" s="84">
        <v>28</v>
      </c>
      <c r="AY608" s="84">
        <v>29</v>
      </c>
      <c r="AZ608" s="84">
        <v>30</v>
      </c>
      <c r="BA608" s="84">
        <v>31</v>
      </c>
      <c r="BB608" s="84">
        <v>32</v>
      </c>
      <c r="BC608" s="84">
        <v>33</v>
      </c>
      <c r="BD608" s="84">
        <v>34</v>
      </c>
      <c r="BE608" s="84">
        <v>35</v>
      </c>
      <c r="BF608" s="84">
        <v>36</v>
      </c>
      <c r="BG608" s="84">
        <v>37</v>
      </c>
      <c r="BH608" s="84">
        <v>38</v>
      </c>
      <c r="BI608" s="84">
        <v>39</v>
      </c>
      <c r="BJ608" s="84">
        <v>40</v>
      </c>
      <c r="BK608" s="84">
        <v>41</v>
      </c>
      <c r="BL608" s="84">
        <v>42</v>
      </c>
      <c r="BM608" s="84">
        <v>43</v>
      </c>
      <c r="BN608" s="84">
        <v>44</v>
      </c>
      <c r="BO608" s="84">
        <v>45</v>
      </c>
      <c r="BP608" s="84">
        <v>46</v>
      </c>
      <c r="BQ608" s="84">
        <v>47</v>
      </c>
      <c r="BR608" s="84">
        <v>48</v>
      </c>
      <c r="BS608" s="84">
        <v>49</v>
      </c>
      <c r="BT608" s="84">
        <v>50</v>
      </c>
      <c r="BU608" s="84">
        <v>51</v>
      </c>
      <c r="BV608" s="84">
        <v>52</v>
      </c>
      <c r="BW608" s="84">
        <v>53</v>
      </c>
      <c r="BX608" s="84">
        <v>54</v>
      </c>
      <c r="BY608" s="84">
        <v>55</v>
      </c>
      <c r="BZ608" s="84">
        <v>56</v>
      </c>
      <c r="CA608" s="84">
        <v>57</v>
      </c>
      <c r="CB608" s="84">
        <v>58</v>
      </c>
      <c r="CC608" s="84">
        <v>59</v>
      </c>
      <c r="CD608" s="84">
        <v>60</v>
      </c>
    </row>
    <row r="609" spans="11:82" ht="12" customHeight="1" x14ac:dyDescent="0.35">
      <c r="K609" s="13"/>
      <c r="L609" s="13"/>
      <c r="M609" s="13"/>
      <c r="N609" s="13"/>
      <c r="O609" s="13"/>
      <c r="P609" s="13"/>
      <c r="Q609" s="13"/>
      <c r="R609" s="13"/>
      <c r="S609" s="13"/>
      <c r="T609" s="13" t="s">
        <v>59</v>
      </c>
      <c r="U609" s="13"/>
      <c r="V609" s="13"/>
      <c r="W609" s="102">
        <f t="shared" ref="W609:AE609" si="384">COUNTIF(W552:W601,"&gt;0")</f>
        <v>0</v>
      </c>
      <c r="X609" s="102">
        <f t="shared" si="384"/>
        <v>0</v>
      </c>
      <c r="Y609" s="102">
        <f t="shared" si="384"/>
        <v>0</v>
      </c>
      <c r="Z609" s="102">
        <f t="shared" si="384"/>
        <v>0</v>
      </c>
      <c r="AA609" s="102">
        <f t="shared" si="384"/>
        <v>0</v>
      </c>
      <c r="AB609" s="102">
        <f t="shared" si="384"/>
        <v>0</v>
      </c>
      <c r="AC609" s="102">
        <f t="shared" si="384"/>
        <v>0</v>
      </c>
      <c r="AD609" s="102">
        <f t="shared" si="384"/>
        <v>0</v>
      </c>
      <c r="AE609" s="102">
        <f t="shared" si="384"/>
        <v>0</v>
      </c>
      <c r="AF609" s="1140">
        <f t="shared" ref="AF609:BB609" si="385">COUNTIF(AF552:AF601,"&gt;0")</f>
        <v>0</v>
      </c>
      <c r="AG609" s="1140">
        <f t="shared" si="385"/>
        <v>0</v>
      </c>
      <c r="AH609" s="1140">
        <f t="shared" si="385"/>
        <v>0</v>
      </c>
      <c r="AI609" s="1140">
        <f t="shared" si="385"/>
        <v>0</v>
      </c>
      <c r="AJ609" s="1140">
        <f t="shared" si="385"/>
        <v>0</v>
      </c>
      <c r="AK609" s="1140">
        <f t="shared" si="385"/>
        <v>0</v>
      </c>
      <c r="AL609" s="1140">
        <f t="shared" si="385"/>
        <v>0</v>
      </c>
      <c r="AM609" s="1140">
        <f t="shared" si="385"/>
        <v>0</v>
      </c>
      <c r="AN609" s="1140">
        <f t="shared" si="385"/>
        <v>0</v>
      </c>
      <c r="AO609" s="1140">
        <f t="shared" si="385"/>
        <v>0</v>
      </c>
      <c r="AP609" s="1140">
        <f t="shared" si="385"/>
        <v>0</v>
      </c>
      <c r="AQ609" s="1140">
        <f t="shared" si="385"/>
        <v>0</v>
      </c>
      <c r="AR609" s="1140">
        <f t="shared" si="385"/>
        <v>0</v>
      </c>
      <c r="AS609" s="1140">
        <f t="shared" si="385"/>
        <v>0</v>
      </c>
      <c r="AT609" s="1140">
        <f t="shared" si="385"/>
        <v>0</v>
      </c>
      <c r="AU609" s="1140">
        <f t="shared" si="385"/>
        <v>0</v>
      </c>
      <c r="AV609" s="1140">
        <f t="shared" si="385"/>
        <v>0</v>
      </c>
      <c r="AW609" s="1140">
        <f t="shared" si="385"/>
        <v>0</v>
      </c>
      <c r="AX609" s="1140">
        <f t="shared" si="385"/>
        <v>0</v>
      </c>
      <c r="AY609" s="1140">
        <f t="shared" si="385"/>
        <v>0</v>
      </c>
      <c r="AZ609" s="1140">
        <f t="shared" si="385"/>
        <v>0</v>
      </c>
      <c r="BA609" s="1140">
        <f t="shared" si="385"/>
        <v>0</v>
      </c>
      <c r="BB609" s="1140">
        <f t="shared" si="385"/>
        <v>0</v>
      </c>
      <c r="BC609" s="1140">
        <f t="shared" ref="BC609:CD609" si="386">COUNTIF(BC552:BC601,"&gt;0")</f>
        <v>0</v>
      </c>
      <c r="BD609" s="1140">
        <f t="shared" si="386"/>
        <v>0</v>
      </c>
      <c r="BE609" s="1140">
        <f t="shared" si="386"/>
        <v>0</v>
      </c>
      <c r="BF609" s="1140">
        <f t="shared" si="386"/>
        <v>0</v>
      </c>
      <c r="BG609" s="1140">
        <f t="shared" si="386"/>
        <v>0</v>
      </c>
      <c r="BH609" s="1140">
        <f t="shared" si="386"/>
        <v>0</v>
      </c>
      <c r="BI609" s="1140">
        <f t="shared" si="386"/>
        <v>0</v>
      </c>
      <c r="BJ609" s="1140">
        <f t="shared" si="386"/>
        <v>0</v>
      </c>
      <c r="BK609" s="1140">
        <f t="shared" si="386"/>
        <v>0</v>
      </c>
      <c r="BL609" s="1140">
        <f t="shared" si="386"/>
        <v>0</v>
      </c>
      <c r="BM609" s="1140">
        <f t="shared" si="386"/>
        <v>0</v>
      </c>
      <c r="BN609" s="1140">
        <f t="shared" si="386"/>
        <v>0</v>
      </c>
      <c r="BO609" s="1140">
        <f t="shared" si="386"/>
        <v>0</v>
      </c>
      <c r="BP609" s="1140">
        <f t="shared" si="386"/>
        <v>0</v>
      </c>
      <c r="BQ609" s="1140">
        <f t="shared" si="386"/>
        <v>0</v>
      </c>
      <c r="BR609" s="1140">
        <f t="shared" si="386"/>
        <v>0</v>
      </c>
      <c r="BS609" s="1140">
        <f t="shared" si="386"/>
        <v>0</v>
      </c>
      <c r="BT609" s="1140">
        <f t="shared" si="386"/>
        <v>0</v>
      </c>
      <c r="BU609" s="1140">
        <f t="shared" si="386"/>
        <v>0</v>
      </c>
      <c r="BV609" s="1140">
        <f t="shared" si="386"/>
        <v>0</v>
      </c>
      <c r="BW609" s="1140">
        <f t="shared" si="386"/>
        <v>0</v>
      </c>
      <c r="BX609" s="1140">
        <f t="shared" si="386"/>
        <v>0</v>
      </c>
      <c r="BY609" s="1140">
        <f t="shared" si="386"/>
        <v>0</v>
      </c>
      <c r="BZ609" s="1140">
        <f t="shared" si="386"/>
        <v>0</v>
      </c>
      <c r="CA609" s="1140">
        <f t="shared" si="386"/>
        <v>0</v>
      </c>
      <c r="CB609" s="1140">
        <f t="shared" si="386"/>
        <v>0</v>
      </c>
      <c r="CC609" s="1140">
        <f t="shared" si="386"/>
        <v>0</v>
      </c>
      <c r="CD609" s="1140">
        <f t="shared" si="386"/>
        <v>0</v>
      </c>
    </row>
    <row r="610" spans="11:82" ht="12" customHeight="1" x14ac:dyDescent="0.35">
      <c r="K610" s="13"/>
      <c r="L610" s="13"/>
      <c r="M610" s="13"/>
      <c r="N610" s="13"/>
      <c r="O610" s="13"/>
      <c r="P610" s="13"/>
      <c r="Q610" s="13"/>
      <c r="R610" s="13"/>
      <c r="S610" s="13"/>
      <c r="T610" s="13"/>
      <c r="U610" s="13"/>
      <c r="V610" s="13"/>
      <c r="W610" s="13">
        <f>W609</f>
        <v>0</v>
      </c>
      <c r="X610" s="13">
        <f t="shared" ref="X610:AE610" si="387">X609-W609</f>
        <v>0</v>
      </c>
      <c r="Y610" s="13">
        <f t="shared" si="387"/>
        <v>0</v>
      </c>
      <c r="Z610" s="13">
        <f t="shared" si="387"/>
        <v>0</v>
      </c>
      <c r="AA610" s="13">
        <f t="shared" si="387"/>
        <v>0</v>
      </c>
      <c r="AB610" s="13">
        <f t="shared" si="387"/>
        <v>0</v>
      </c>
      <c r="AC610" s="13">
        <f t="shared" si="387"/>
        <v>0</v>
      </c>
      <c r="AD610" s="13">
        <f t="shared" si="387"/>
        <v>0</v>
      </c>
      <c r="AE610" s="13">
        <f t="shared" si="387"/>
        <v>0</v>
      </c>
      <c r="AF610" s="84">
        <f t="shared" ref="AF610:BC610" si="388">AF609-AE609</f>
        <v>0</v>
      </c>
      <c r="AG610" s="84">
        <f t="shared" si="388"/>
        <v>0</v>
      </c>
      <c r="AH610" s="84">
        <f t="shared" si="388"/>
        <v>0</v>
      </c>
      <c r="AI610" s="84">
        <f t="shared" si="388"/>
        <v>0</v>
      </c>
      <c r="AJ610" s="84">
        <f t="shared" si="388"/>
        <v>0</v>
      </c>
      <c r="AK610" s="84">
        <f t="shared" si="388"/>
        <v>0</v>
      </c>
      <c r="AL610" s="84">
        <f t="shared" si="388"/>
        <v>0</v>
      </c>
      <c r="AM610" s="84">
        <f t="shared" si="388"/>
        <v>0</v>
      </c>
      <c r="AN610" s="84">
        <f t="shared" si="388"/>
        <v>0</v>
      </c>
      <c r="AO610" s="84">
        <f t="shared" si="388"/>
        <v>0</v>
      </c>
      <c r="AP610" s="84">
        <f t="shared" si="388"/>
        <v>0</v>
      </c>
      <c r="AQ610" s="84">
        <f t="shared" si="388"/>
        <v>0</v>
      </c>
      <c r="AR610" s="84">
        <f t="shared" si="388"/>
        <v>0</v>
      </c>
      <c r="AS610" s="84">
        <f t="shared" si="388"/>
        <v>0</v>
      </c>
      <c r="AT610" s="84">
        <f t="shared" si="388"/>
        <v>0</v>
      </c>
      <c r="AU610" s="84">
        <f t="shared" si="388"/>
        <v>0</v>
      </c>
      <c r="AV610" s="84">
        <f t="shared" si="388"/>
        <v>0</v>
      </c>
      <c r="AW610" s="84">
        <f t="shared" si="388"/>
        <v>0</v>
      </c>
      <c r="AX610" s="84">
        <f t="shared" si="388"/>
        <v>0</v>
      </c>
      <c r="AY610" s="84">
        <f t="shared" si="388"/>
        <v>0</v>
      </c>
      <c r="AZ610" s="84">
        <f t="shared" si="388"/>
        <v>0</v>
      </c>
      <c r="BA610" s="84">
        <f t="shared" si="388"/>
        <v>0</v>
      </c>
      <c r="BB610" s="84">
        <f t="shared" si="388"/>
        <v>0</v>
      </c>
      <c r="BC610" s="84">
        <f t="shared" si="388"/>
        <v>0</v>
      </c>
      <c r="BD610" s="84">
        <f t="shared" ref="BD610:CD610" si="389">BD609-BC609</f>
        <v>0</v>
      </c>
      <c r="BE610" s="84">
        <f t="shared" si="389"/>
        <v>0</v>
      </c>
      <c r="BF610" s="84">
        <f t="shared" si="389"/>
        <v>0</v>
      </c>
      <c r="BG610" s="84">
        <f t="shared" si="389"/>
        <v>0</v>
      </c>
      <c r="BH610" s="84">
        <f t="shared" si="389"/>
        <v>0</v>
      </c>
      <c r="BI610" s="84">
        <f t="shared" si="389"/>
        <v>0</v>
      </c>
      <c r="BJ610" s="84">
        <f t="shared" si="389"/>
        <v>0</v>
      </c>
      <c r="BK610" s="84">
        <f t="shared" si="389"/>
        <v>0</v>
      </c>
      <c r="BL610" s="84">
        <f t="shared" si="389"/>
        <v>0</v>
      </c>
      <c r="BM610" s="84">
        <f t="shared" si="389"/>
        <v>0</v>
      </c>
      <c r="BN610" s="84">
        <f t="shared" si="389"/>
        <v>0</v>
      </c>
      <c r="BO610" s="84">
        <f t="shared" si="389"/>
        <v>0</v>
      </c>
      <c r="BP610" s="84">
        <f t="shared" si="389"/>
        <v>0</v>
      </c>
      <c r="BQ610" s="84">
        <f t="shared" si="389"/>
        <v>0</v>
      </c>
      <c r="BR610" s="84">
        <f t="shared" si="389"/>
        <v>0</v>
      </c>
      <c r="BS610" s="84">
        <f t="shared" si="389"/>
        <v>0</v>
      </c>
      <c r="BT610" s="84">
        <f t="shared" si="389"/>
        <v>0</v>
      </c>
      <c r="BU610" s="84">
        <f t="shared" si="389"/>
        <v>0</v>
      </c>
      <c r="BV610" s="84">
        <f t="shared" si="389"/>
        <v>0</v>
      </c>
      <c r="BW610" s="84">
        <f t="shared" si="389"/>
        <v>0</v>
      </c>
      <c r="BX610" s="84">
        <f t="shared" si="389"/>
        <v>0</v>
      </c>
      <c r="BY610" s="84">
        <f t="shared" si="389"/>
        <v>0</v>
      </c>
      <c r="BZ610" s="84">
        <f t="shared" si="389"/>
        <v>0</v>
      </c>
      <c r="CA610" s="84">
        <f t="shared" si="389"/>
        <v>0</v>
      </c>
      <c r="CB610" s="84">
        <f t="shared" si="389"/>
        <v>0</v>
      </c>
      <c r="CC610" s="84">
        <f t="shared" si="389"/>
        <v>0</v>
      </c>
      <c r="CD610" s="84">
        <f t="shared" si="389"/>
        <v>0</v>
      </c>
    </row>
    <row r="611" spans="11:82" ht="12" customHeight="1" x14ac:dyDescent="0.35">
      <c r="K611" s="13"/>
      <c r="L611" s="13"/>
      <c r="M611" s="13"/>
      <c r="N611" s="13"/>
      <c r="O611" s="13"/>
      <c r="P611" s="13"/>
      <c r="Q611" s="13"/>
      <c r="R611" s="13"/>
      <c r="S611" s="13"/>
      <c r="T611" s="13"/>
      <c r="U611" s="13"/>
      <c r="V611" s="13"/>
      <c r="W611" s="13"/>
      <c r="X611" s="13"/>
      <c r="Y611" s="13"/>
      <c r="Z611" s="13"/>
      <c r="AA611" s="13"/>
      <c r="AB611" s="13"/>
      <c r="AC611" s="13"/>
      <c r="AD611" s="13"/>
      <c r="AE611" s="13"/>
      <c r="AF611" s="84"/>
      <c r="AG611" s="84"/>
      <c r="AH611" s="84"/>
      <c r="AI611" s="84"/>
      <c r="AJ611" s="84"/>
      <c r="AK611" s="84"/>
      <c r="AL611" s="84"/>
      <c r="AM611" s="84"/>
      <c r="AN611" s="84"/>
      <c r="AO611" s="84"/>
      <c r="AP611" s="84"/>
      <c r="AQ611" s="84"/>
      <c r="AR611" s="84"/>
      <c r="AS611" s="84"/>
      <c r="AT611" s="84"/>
      <c r="AU611" s="84"/>
      <c r="AV611" s="84"/>
      <c r="AW611" s="84"/>
      <c r="AX611" s="84"/>
      <c r="AY611" s="84"/>
      <c r="AZ611" s="84"/>
      <c r="BA611" s="84"/>
      <c r="BB611" s="84"/>
      <c r="BC611" s="84"/>
      <c r="BD611" s="84"/>
      <c r="BE611" s="84"/>
      <c r="BF611" s="84"/>
      <c r="BG611" s="84"/>
      <c r="BH611" s="84"/>
      <c r="BI611" s="84"/>
      <c r="BJ611" s="84"/>
      <c r="BK611" s="84"/>
      <c r="BL611" s="84"/>
      <c r="BM611" s="84"/>
      <c r="BN611" s="84"/>
      <c r="BO611" s="84"/>
      <c r="BP611" s="84"/>
      <c r="BQ611" s="84"/>
      <c r="BR611" s="84"/>
      <c r="BS611" s="84"/>
      <c r="BT611" s="84"/>
      <c r="BU611" s="84"/>
      <c r="BV611" s="84"/>
      <c r="BW611" s="84"/>
      <c r="BX611" s="84"/>
      <c r="BY611" s="84"/>
      <c r="BZ611" s="84"/>
      <c r="CA611" s="84"/>
      <c r="CB611" s="84"/>
      <c r="CC611" s="84"/>
      <c r="CD611" s="84"/>
    </row>
    <row r="612" spans="11:82" ht="12" customHeight="1" x14ac:dyDescent="0.35">
      <c r="K612" s="13"/>
      <c r="L612" s="13"/>
      <c r="M612" s="13"/>
      <c r="N612" s="13"/>
      <c r="O612" s="13"/>
      <c r="P612" s="13"/>
      <c r="Q612" s="13"/>
      <c r="R612" s="13"/>
      <c r="S612" s="13"/>
      <c r="T612" s="13"/>
      <c r="U612" s="13"/>
      <c r="V612" s="13"/>
      <c r="W612" s="13"/>
      <c r="X612" s="13"/>
      <c r="Y612" s="13"/>
      <c r="Z612" s="13"/>
      <c r="AA612" s="13"/>
      <c r="AB612" s="13"/>
      <c r="AC612" s="13"/>
      <c r="AD612" s="13"/>
      <c r="AE612" s="13"/>
      <c r="AF612" s="84"/>
      <c r="AG612" s="84"/>
      <c r="AH612" s="84"/>
      <c r="AI612" s="84"/>
      <c r="AJ612" s="84"/>
      <c r="AK612" s="84"/>
      <c r="AL612" s="84"/>
      <c r="AM612" s="84"/>
      <c r="AN612" s="84"/>
      <c r="AO612" s="84"/>
      <c r="AP612" s="84"/>
      <c r="AQ612" s="84"/>
      <c r="AR612" s="84"/>
      <c r="AS612" s="84"/>
      <c r="AT612" s="84"/>
      <c r="AU612" s="84"/>
      <c r="AV612" s="84"/>
      <c r="AW612" s="84"/>
      <c r="AX612" s="84"/>
      <c r="AY612" s="84"/>
      <c r="AZ612" s="84"/>
      <c r="BA612" s="84"/>
      <c r="BB612" s="84"/>
      <c r="BC612" s="84"/>
      <c r="BD612" s="84"/>
      <c r="BE612" s="84"/>
      <c r="BF612" s="84"/>
      <c r="BG612" s="84"/>
      <c r="BH612" s="84"/>
      <c r="BI612" s="84"/>
      <c r="BJ612" s="84"/>
      <c r="BK612" s="84"/>
      <c r="BL612" s="84"/>
      <c r="BM612" s="84"/>
      <c r="BN612" s="84"/>
      <c r="BO612" s="84"/>
      <c r="BP612" s="84"/>
      <c r="BQ612" s="84"/>
      <c r="BR612" s="84"/>
      <c r="BS612" s="84"/>
      <c r="BT612" s="84"/>
      <c r="BU612" s="84"/>
      <c r="BV612" s="84"/>
      <c r="BW612" s="84"/>
      <c r="BX612" s="84"/>
      <c r="BY612" s="84"/>
      <c r="BZ612" s="84"/>
      <c r="CA612" s="84"/>
      <c r="CB612" s="84"/>
      <c r="CC612" s="84"/>
      <c r="CD612" s="84"/>
    </row>
    <row r="613" spans="11:82" ht="12" customHeight="1" x14ac:dyDescent="0.35">
      <c r="K613" s="13"/>
      <c r="L613" s="13"/>
      <c r="M613" s="13"/>
      <c r="N613" s="13"/>
      <c r="O613" s="13"/>
      <c r="P613" s="13"/>
      <c r="Q613" s="13"/>
      <c r="R613" s="13"/>
      <c r="S613" s="13"/>
      <c r="T613" s="13" t="s">
        <v>447</v>
      </c>
      <c r="U613" s="13"/>
      <c r="V613" s="13"/>
      <c r="W613" s="62">
        <f>SUMIFS($M499:$M548,Input!$N108:$N157,"Yes",Calcs!$N499:$N548,Calcs!W551)*Input!$N105</f>
        <v>0</v>
      </c>
      <c r="X613" s="62">
        <f>SUMIFS($M499:$M548,Input!$N108:$N157,"Yes",Calcs!$N499:$N548,Calcs!X551)*Input!$N105</f>
        <v>0</v>
      </c>
      <c r="Y613" s="62">
        <f>SUMIFS($M499:$M548,Input!$N108:$N157,"Yes",Calcs!$N499:$N548,Calcs!Y551)*Input!$N105</f>
        <v>0</v>
      </c>
      <c r="Z613" s="62">
        <f>SUMIFS($M499:$M548,Input!$N108:$N157,"Yes",Calcs!$N499:$N548,Calcs!Z551)*Input!$N105</f>
        <v>0</v>
      </c>
      <c r="AA613" s="62">
        <f>SUMIFS($M499:$M548,Input!$N108:$N157,"Yes",Calcs!$N499:$N548,Calcs!AA551)*Input!$N105</f>
        <v>0</v>
      </c>
      <c r="AB613" s="62">
        <f>SUMIFS($M499:$M548,Input!$N108:$N157,"Yes",Calcs!$N499:$N548,Calcs!AB551)*Input!$N105</f>
        <v>0</v>
      </c>
      <c r="AC613" s="62">
        <f>SUMIFS($M499:$M548,Input!$N108:$N157,"Yes",Calcs!$N499:$N548,Calcs!AC551)*Input!$N105</f>
        <v>0</v>
      </c>
      <c r="AD613" s="62">
        <f>SUMIFS($M499:$M548,Input!$N108:$N157,"Yes",Calcs!$N499:$N548,Calcs!AD551)*Input!$N105</f>
        <v>0</v>
      </c>
      <c r="AE613" s="62">
        <f>SUMIFS($M499:$M548,Input!$N108:$N157,"Yes",Calcs!$N499:$N548,Calcs!AE551)*Input!$N105</f>
        <v>0</v>
      </c>
      <c r="AF613" s="484">
        <f>SUMIFS($M499:$M548,Input!$N108:$N157,"Yes",Calcs!$N499:$N548,Calcs!AF551)*Input!$N105</f>
        <v>0</v>
      </c>
      <c r="AG613" s="484">
        <f>SUMIFS($M499:$M548,Input!$N108:$N157,"Yes",Calcs!$N499:$N548,Calcs!AG551)*Input!$N105</f>
        <v>0</v>
      </c>
      <c r="AH613" s="484">
        <f>SUMIFS($M499:$M548,Input!$N108:$N157,"Yes",Calcs!$N499:$N548,Calcs!AH551)*Input!$N105</f>
        <v>0</v>
      </c>
      <c r="AI613" s="484">
        <f>SUMIFS($M499:$M548,Input!$N108:$N157,"Yes",Calcs!$N499:$N548,Calcs!AI551)*Input!$N105</f>
        <v>0</v>
      </c>
      <c r="AJ613" s="484">
        <f>SUMIFS($M499:$M548,Input!$N108:$N157,"Yes",Calcs!$N499:$N548,Calcs!AJ551)*Input!$N105</f>
        <v>0</v>
      </c>
      <c r="AK613" s="484">
        <f>SUMIFS($M499:$M548,Input!$N108:$N157,"Yes",Calcs!$N499:$N548,Calcs!AK551)*Input!$N105</f>
        <v>0</v>
      </c>
      <c r="AL613" s="484">
        <f>SUMIFS($M499:$M548,Input!$N108:$N157,"Yes",Calcs!$N499:$N548,Calcs!AL551)*Input!$N105</f>
        <v>0</v>
      </c>
      <c r="AM613" s="484">
        <f>SUMIFS($M499:$M548,Input!$N108:$N157,"Yes",Calcs!$N499:$N548,Calcs!AM551)*Input!$N105</f>
        <v>0</v>
      </c>
      <c r="AN613" s="484">
        <f>SUMIFS($M499:$M548,Input!$N108:$N157,"Yes",Calcs!$N499:$N548,Calcs!AN551)*Input!$N105</f>
        <v>0</v>
      </c>
      <c r="AO613" s="484">
        <f>SUMIFS($M499:$M548,Input!$N108:$N157,"Yes",Calcs!$N499:$N548,Calcs!AO551)*Input!$N105</f>
        <v>0</v>
      </c>
      <c r="AP613" s="484">
        <f>SUMIFS($M499:$M548,Input!$N108:$N157,"Yes",Calcs!$N499:$N548,Calcs!AP551)*Input!$N105</f>
        <v>0</v>
      </c>
      <c r="AQ613" s="484">
        <f>SUMIFS($M499:$M548,Input!$N108:$N157,"Yes",Calcs!$N499:$N548,Calcs!AQ551)*Input!$N105</f>
        <v>0</v>
      </c>
      <c r="AR613" s="484">
        <f>SUMIFS($M499:$M548,Input!$N108:$N157,"Yes",Calcs!$N499:$N548,Calcs!AR551)*Input!$N105</f>
        <v>0</v>
      </c>
      <c r="AS613" s="484">
        <f>SUMIFS($M499:$M548,Input!$N108:$N157,"Yes",Calcs!$N499:$N548,Calcs!AS551)*Input!$N105</f>
        <v>0</v>
      </c>
      <c r="AT613" s="484">
        <f>SUMIFS($M499:$M548,Input!$N108:$N157,"Yes",Calcs!$N499:$N548,Calcs!AT551)*Input!$N105</f>
        <v>0</v>
      </c>
      <c r="AU613" s="484">
        <f>SUMIFS($M499:$M548,Input!$N108:$N157,"Yes",Calcs!$N499:$N548,Calcs!AU551)*Input!$N105</f>
        <v>0</v>
      </c>
      <c r="AV613" s="484">
        <f>SUMIFS($M499:$M548,Input!$N108:$N157,"Yes",Calcs!$N499:$N548,Calcs!AV551)*Input!$N105</f>
        <v>0</v>
      </c>
      <c r="AW613" s="484">
        <f>SUMIFS($M499:$M548,Input!$N108:$N157,"Yes",Calcs!$N499:$N548,Calcs!AW551)*Input!$N105</f>
        <v>0</v>
      </c>
      <c r="AX613" s="484">
        <f>SUMIFS($M499:$M548,Input!$N108:$N157,"Yes",Calcs!$N499:$N548,Calcs!AX551)*Input!$N105</f>
        <v>0</v>
      </c>
      <c r="AY613" s="484">
        <f>SUMIFS($M499:$M548,Input!$N108:$N157,"Yes",Calcs!$N499:$N548,Calcs!AY551)*Input!$N105</f>
        <v>0</v>
      </c>
      <c r="AZ613" s="484">
        <f>SUMIFS($M499:$M548,Input!$N108:$N157,"Yes",Calcs!$N499:$N548,Calcs!AZ551)*Input!$N105</f>
        <v>0</v>
      </c>
      <c r="BA613" s="484">
        <f>SUMIFS($M499:$M548,Input!$N108:$N157,"Yes",Calcs!$N499:$N548,Calcs!BA551)*Input!$N105</f>
        <v>0</v>
      </c>
      <c r="BB613" s="484">
        <f>SUMIFS($M499:$M548,Input!$N108:$N157,"Yes",Calcs!$N499:$N548,Calcs!BB551)*Input!$N105</f>
        <v>0</v>
      </c>
      <c r="BC613" s="484">
        <f>SUMIFS($M499:$M548,Input!$N108:$N157,"Yes",Calcs!$N499:$N548,Calcs!BC551)*Input!$N105</f>
        <v>0</v>
      </c>
      <c r="BD613" s="484">
        <f>SUMIFS($M499:$M548,Input!$N108:$N157,"Yes",Calcs!$N499:$N548,Calcs!BD551)*Input!$N105</f>
        <v>0</v>
      </c>
      <c r="BE613" s="484">
        <f>SUMIFS($M499:$M548,Input!$N108:$N157,"Yes",Calcs!$N499:$N548,Calcs!BE551)*Input!$N105</f>
        <v>0</v>
      </c>
      <c r="BF613" s="484">
        <f>SUMIFS($M499:$M548,Input!$N108:$N157,"Yes",Calcs!$N499:$N548,Calcs!BF551)*Input!$N105</f>
        <v>0</v>
      </c>
      <c r="BG613" s="484">
        <f>SUMIFS($M499:$M548,Input!$N108:$N157,"Yes",Calcs!$N499:$N548,Calcs!BG551)*Input!$N105</f>
        <v>0</v>
      </c>
      <c r="BH613" s="484">
        <f>SUMIFS($M499:$M548,Input!$N108:$N157,"Yes",Calcs!$N499:$N548,Calcs!BH551)*Input!$N105</f>
        <v>0</v>
      </c>
      <c r="BI613" s="484">
        <f>SUMIFS($M499:$M548,Input!$N108:$N157,"Yes",Calcs!$N499:$N548,Calcs!BI551)*Input!$N105</f>
        <v>0</v>
      </c>
      <c r="BJ613" s="484">
        <f>SUMIFS($M499:$M548,Input!$N108:$N157,"Yes",Calcs!$N499:$N548,Calcs!BJ551)*Input!$N105</f>
        <v>0</v>
      </c>
      <c r="BK613" s="484">
        <f>SUMIFS($M499:$M548,Input!$N108:$N157,"Yes",Calcs!$N499:$N548,Calcs!BK551)*Input!$N105</f>
        <v>0</v>
      </c>
      <c r="BL613" s="484">
        <f>SUMIFS($M499:$M548,Input!$N108:$N157,"Yes",Calcs!$N499:$N548,Calcs!BL551)*Input!$N105</f>
        <v>0</v>
      </c>
      <c r="BM613" s="484">
        <f>SUMIFS($M499:$M548,Input!$N108:$N157,"Yes",Calcs!$N499:$N548,Calcs!BM551)*Input!$N105</f>
        <v>0</v>
      </c>
      <c r="BN613" s="484">
        <f>SUMIFS($M499:$M548,Input!$N108:$N157,"Yes",Calcs!$N499:$N548,Calcs!BN551)*Input!$N105</f>
        <v>0</v>
      </c>
      <c r="BO613" s="484">
        <f>SUMIFS($M499:$M548,Input!$N108:$N157,"Yes",Calcs!$N499:$N548,Calcs!BO551)*Input!$N105</f>
        <v>0</v>
      </c>
      <c r="BP613" s="484">
        <f>SUMIFS($M499:$M548,Input!$N108:$N157,"Yes",Calcs!$N499:$N548,Calcs!BP551)*Input!$N105</f>
        <v>0</v>
      </c>
      <c r="BQ613" s="484">
        <f>SUMIFS($M499:$M548,Input!$N108:$N157,"Yes",Calcs!$N499:$N548,Calcs!BQ551)*Input!$N105</f>
        <v>0</v>
      </c>
      <c r="BR613" s="484">
        <f>SUMIFS($M499:$M548,Input!$N108:$N157,"Yes",Calcs!$N499:$N548,Calcs!BR551)*Input!$N105</f>
        <v>0</v>
      </c>
      <c r="BS613" s="484">
        <f>SUMIFS($M499:$M548,Input!$N108:$N157,"Yes",Calcs!$N499:$N548,Calcs!BS551)*Input!$N105</f>
        <v>0</v>
      </c>
      <c r="BT613" s="484">
        <f>SUMIFS($M499:$M548,Input!$N108:$N157,"Yes",Calcs!$N499:$N548,Calcs!BT551)*Input!$N105</f>
        <v>0</v>
      </c>
      <c r="BU613" s="484">
        <f>SUMIFS($M499:$M548,Input!$N108:$N157,"Yes",Calcs!$N499:$N548,Calcs!BU551)*Input!$N105</f>
        <v>0</v>
      </c>
      <c r="BV613" s="484">
        <f>SUMIFS($M499:$M548,Input!$N108:$N157,"Yes",Calcs!$N499:$N548,Calcs!BV551)*Input!$N105</f>
        <v>0</v>
      </c>
      <c r="BW613" s="484">
        <f>SUMIFS($M499:$M548,Input!$N108:$N157,"Yes",Calcs!$N499:$N548,Calcs!BW551)*Input!$N105</f>
        <v>0</v>
      </c>
      <c r="BX613" s="484">
        <f>SUMIFS($M499:$M548,Input!$N108:$N157,"Yes",Calcs!$N499:$N548,Calcs!BX551)*Input!$N105</f>
        <v>0</v>
      </c>
      <c r="BY613" s="484">
        <f>SUMIFS($M499:$M548,Input!$N108:$N157,"Yes",Calcs!$N499:$N548,Calcs!BY551)*Input!$N105</f>
        <v>0</v>
      </c>
      <c r="BZ613" s="484">
        <f>SUMIFS($M499:$M548,Input!$N108:$N157,"Yes",Calcs!$N499:$N548,Calcs!BZ551)*Input!$N105</f>
        <v>0</v>
      </c>
      <c r="CA613" s="484">
        <f>SUMIFS($M499:$M548,Input!$N108:$N157,"Yes",Calcs!$N499:$N548,Calcs!CA551)*Input!$N105</f>
        <v>0</v>
      </c>
      <c r="CB613" s="484">
        <f>SUMIFS($M499:$M548,Input!$N108:$N157,"Yes",Calcs!$N499:$N548,Calcs!CB551)*Input!$N105</f>
        <v>0</v>
      </c>
      <c r="CC613" s="484">
        <f>SUMIFS($M499:$M548,Input!$N108:$N157,"Yes",Calcs!$N499:$N548,Calcs!CC551)*Input!$N105</f>
        <v>0</v>
      </c>
      <c r="CD613" s="484">
        <f>SUMIFS($M499:$M548,Input!$N108:$N157,"Yes",Calcs!$N499:$N548,Calcs!CD551)*Input!$N105</f>
        <v>0</v>
      </c>
    </row>
    <row r="614" spans="11:82" ht="12" customHeight="1" x14ac:dyDescent="0.35">
      <c r="K614" s="13"/>
      <c r="L614" s="13"/>
      <c r="M614" s="13"/>
      <c r="N614" s="13"/>
      <c r="O614" s="13"/>
      <c r="P614" s="13"/>
      <c r="Q614" s="13"/>
      <c r="R614" s="13"/>
      <c r="S614" s="13"/>
      <c r="T614" s="13"/>
      <c r="U614" s="13"/>
      <c r="V614" s="13"/>
      <c r="W614" s="13"/>
      <c r="X614" s="13"/>
      <c r="Y614" s="13"/>
      <c r="Z614" s="13"/>
      <c r="AA614" s="13"/>
      <c r="AB614" s="13"/>
      <c r="AC614" s="13"/>
      <c r="AD614" s="13"/>
      <c r="AE614" s="13"/>
      <c r="AF614" s="84"/>
      <c r="AG614" s="84"/>
      <c r="AH614" s="84"/>
      <c r="AI614" s="84"/>
      <c r="AJ614" s="84"/>
      <c r="AK614" s="84"/>
      <c r="AL614" s="84"/>
      <c r="AM614" s="84"/>
      <c r="AN614" s="84"/>
      <c r="AO614" s="84"/>
      <c r="AP614" s="84"/>
      <c r="AQ614" s="84"/>
      <c r="AR614" s="84"/>
      <c r="AS614" s="84"/>
      <c r="AT614" s="84"/>
      <c r="AU614" s="84"/>
      <c r="AV614" s="84"/>
      <c r="AW614" s="84"/>
      <c r="AX614" s="84"/>
      <c r="AY614" s="84"/>
      <c r="AZ614" s="84"/>
      <c r="BA614" s="84"/>
      <c r="BB614" s="84"/>
      <c r="BC614" s="84"/>
      <c r="BD614" s="84"/>
      <c r="BE614" s="84"/>
      <c r="BF614" s="84"/>
      <c r="BG614" s="84"/>
      <c r="BH614" s="84"/>
      <c r="BI614" s="84"/>
      <c r="BJ614" s="84"/>
      <c r="BK614" s="84"/>
      <c r="BL614" s="84"/>
      <c r="BM614" s="84"/>
      <c r="BN614" s="84"/>
      <c r="BO614" s="84"/>
      <c r="BP614" s="84"/>
      <c r="BQ614" s="84"/>
      <c r="BR614" s="84"/>
      <c r="BS614" s="84"/>
      <c r="BT614" s="84"/>
      <c r="BU614" s="84"/>
      <c r="BV614" s="84"/>
      <c r="BW614" s="84"/>
      <c r="BX614" s="84"/>
      <c r="BY614" s="84"/>
      <c r="BZ614" s="84"/>
      <c r="CA614" s="84"/>
      <c r="CB614" s="84"/>
      <c r="CC614" s="84"/>
      <c r="CD614" s="84"/>
    </row>
    <row r="615" spans="11:82" ht="12" customHeight="1" x14ac:dyDescent="0.35">
      <c r="K615" s="13"/>
      <c r="L615" s="13"/>
      <c r="M615" s="13"/>
      <c r="N615" s="13"/>
      <c r="O615" s="13"/>
      <c r="P615" s="13"/>
      <c r="Q615" s="13"/>
      <c r="R615" s="13"/>
      <c r="S615" s="13"/>
      <c r="T615" s="13"/>
      <c r="U615" s="13"/>
      <c r="V615" s="13"/>
      <c r="W615" s="13"/>
      <c r="X615" s="13"/>
      <c r="Y615" s="13"/>
      <c r="Z615" s="13"/>
      <c r="AA615" s="13"/>
      <c r="AB615" s="13"/>
      <c r="AC615" s="13"/>
      <c r="AD615" s="13"/>
      <c r="AE615" s="13"/>
      <c r="AF615" s="84"/>
      <c r="AG615" s="84"/>
      <c r="AH615" s="84"/>
      <c r="AI615" s="84"/>
      <c r="AJ615" s="84"/>
      <c r="AK615" s="84"/>
      <c r="AL615" s="84"/>
      <c r="AM615" s="84"/>
      <c r="AN615" s="84"/>
      <c r="AO615" s="84"/>
      <c r="AP615" s="84"/>
      <c r="AQ615" s="84"/>
      <c r="AR615" s="84"/>
      <c r="AS615" s="84"/>
      <c r="AT615" s="84"/>
      <c r="AU615" s="84"/>
      <c r="AV615" s="84"/>
      <c r="AW615" s="84"/>
      <c r="AX615" s="84"/>
      <c r="AY615" s="84"/>
      <c r="AZ615" s="84"/>
      <c r="BA615" s="84"/>
      <c r="BB615" s="84"/>
      <c r="BC615" s="84"/>
      <c r="BD615" s="84"/>
      <c r="BE615" s="84"/>
      <c r="BF615" s="84"/>
      <c r="BG615" s="84"/>
      <c r="BH615" s="84"/>
      <c r="BI615" s="84"/>
      <c r="BJ615" s="84"/>
      <c r="BK615" s="84"/>
      <c r="BL615" s="84"/>
      <c r="BM615" s="84"/>
      <c r="BN615" s="84"/>
      <c r="BO615" s="84"/>
      <c r="BP615" s="84"/>
      <c r="BQ615" s="84"/>
      <c r="BR615" s="84"/>
      <c r="BS615" s="84"/>
      <c r="BT615" s="84"/>
      <c r="BU615" s="84"/>
      <c r="BV615" s="84"/>
      <c r="BW615" s="84"/>
      <c r="BX615" s="84"/>
      <c r="BY615" s="84"/>
      <c r="BZ615" s="84"/>
      <c r="CA615" s="84"/>
      <c r="CB615" s="84"/>
      <c r="CC615" s="84"/>
      <c r="CD615" s="84"/>
    </row>
    <row r="616" spans="11:82" ht="12" customHeight="1" x14ac:dyDescent="0.35">
      <c r="K616" s="13"/>
      <c r="L616" s="13"/>
      <c r="M616" s="13"/>
      <c r="N616" s="13"/>
      <c r="O616" s="13"/>
      <c r="P616" s="13"/>
      <c r="Q616" s="13"/>
      <c r="R616" s="13"/>
      <c r="S616" s="13"/>
      <c r="T616" s="13"/>
      <c r="U616" s="13"/>
      <c r="V616" s="13"/>
      <c r="W616" s="13"/>
      <c r="X616" s="13"/>
      <c r="Y616" s="13"/>
      <c r="Z616" s="13"/>
      <c r="AA616" s="13"/>
      <c r="AB616" s="13"/>
      <c r="AC616" s="13"/>
      <c r="AD616" s="13"/>
      <c r="AE616" s="13"/>
      <c r="AF616" s="84"/>
      <c r="AG616" s="84"/>
      <c r="AH616" s="84"/>
      <c r="AI616" s="84"/>
      <c r="AJ616" s="84"/>
      <c r="AK616" s="84"/>
      <c r="AL616" s="84"/>
      <c r="AM616" s="84"/>
      <c r="AN616" s="84"/>
      <c r="AO616" s="84"/>
      <c r="AP616" s="84"/>
      <c r="AQ616" s="84"/>
      <c r="AR616" s="84"/>
      <c r="AS616" s="84"/>
      <c r="AT616" s="84"/>
      <c r="AU616" s="84"/>
      <c r="AV616" s="84"/>
      <c r="AW616" s="84"/>
      <c r="AX616" s="84"/>
      <c r="AY616" s="84"/>
      <c r="AZ616" s="84"/>
      <c r="BA616" s="84"/>
      <c r="BB616" s="84"/>
      <c r="BC616" s="84"/>
      <c r="BD616" s="84"/>
      <c r="BE616" s="84"/>
      <c r="BF616" s="84"/>
      <c r="BG616" s="84"/>
      <c r="BH616" s="84"/>
      <c r="BI616" s="84"/>
      <c r="BJ616" s="84"/>
      <c r="BK616" s="84"/>
      <c r="BL616" s="84"/>
      <c r="BM616" s="84"/>
      <c r="BN616" s="84"/>
      <c r="BO616" s="84"/>
      <c r="BP616" s="84"/>
      <c r="BQ616" s="84"/>
      <c r="BR616" s="84"/>
      <c r="BS616" s="84"/>
      <c r="BT616" s="84"/>
      <c r="BU616" s="84"/>
      <c r="BV616" s="84"/>
      <c r="BW616" s="84"/>
      <c r="BX616" s="84"/>
      <c r="BY616" s="84"/>
      <c r="BZ616" s="84"/>
      <c r="CA616" s="84"/>
      <c r="CB616" s="84"/>
      <c r="CC616" s="84"/>
      <c r="CD616" s="84"/>
    </row>
    <row r="617" spans="11:82" ht="12" customHeight="1" x14ac:dyDescent="0.35">
      <c r="K617" s="13"/>
      <c r="L617" s="13"/>
      <c r="M617" s="13"/>
      <c r="N617" s="13"/>
      <c r="O617" s="13"/>
      <c r="P617" s="13"/>
      <c r="Q617" s="13"/>
      <c r="R617" s="13"/>
      <c r="S617" s="13"/>
      <c r="T617" s="13"/>
      <c r="U617" s="13"/>
      <c r="V617" s="13"/>
      <c r="W617" s="13"/>
      <c r="X617" s="13"/>
      <c r="Y617" s="13"/>
      <c r="Z617" s="13"/>
      <c r="AA617" s="13"/>
      <c r="AB617" s="13"/>
      <c r="AC617" s="13"/>
      <c r="AD617" s="13"/>
      <c r="AE617" s="13"/>
      <c r="AF617" s="84"/>
      <c r="AG617" s="84"/>
      <c r="AH617" s="84"/>
      <c r="AI617" s="84"/>
      <c r="AJ617" s="84"/>
      <c r="AK617" s="84"/>
      <c r="AL617" s="84"/>
      <c r="AM617" s="84"/>
      <c r="AN617" s="84"/>
      <c r="AO617" s="84"/>
      <c r="AP617" s="84"/>
      <c r="AQ617" s="84"/>
      <c r="AR617" s="84"/>
      <c r="AS617" s="84"/>
      <c r="AT617" s="84"/>
      <c r="AU617" s="84"/>
      <c r="AV617" s="84"/>
      <c r="AW617" s="84"/>
      <c r="AX617" s="84"/>
      <c r="AY617" s="84"/>
      <c r="AZ617" s="84"/>
      <c r="BA617" s="84"/>
      <c r="BB617" s="84"/>
      <c r="BC617" s="84"/>
      <c r="BD617" s="84"/>
      <c r="BE617" s="84"/>
      <c r="BF617" s="84"/>
      <c r="BG617" s="84"/>
      <c r="BH617" s="84"/>
      <c r="BI617" s="84"/>
      <c r="BJ617" s="84"/>
      <c r="BK617" s="84"/>
      <c r="BL617" s="84"/>
      <c r="BM617" s="84"/>
      <c r="BN617" s="84"/>
      <c r="BO617" s="84"/>
      <c r="BP617" s="84"/>
      <c r="BQ617" s="84"/>
      <c r="BR617" s="84"/>
      <c r="BS617" s="84"/>
      <c r="BT617" s="84"/>
      <c r="BU617" s="84"/>
      <c r="BV617" s="84"/>
      <c r="BW617" s="84"/>
      <c r="BX617" s="84"/>
      <c r="BY617" s="84"/>
      <c r="BZ617" s="84"/>
      <c r="CA617" s="84"/>
      <c r="CB617" s="84"/>
      <c r="CC617" s="84"/>
      <c r="CD617" s="84"/>
    </row>
    <row r="618" spans="11:82" ht="12" customHeight="1" x14ac:dyDescent="0.35">
      <c r="K618" s="13"/>
      <c r="L618" s="13"/>
      <c r="M618" s="13"/>
      <c r="N618" s="13"/>
      <c r="O618" s="13"/>
      <c r="P618" s="13"/>
      <c r="Q618" s="13"/>
      <c r="R618" s="13"/>
      <c r="S618" s="13"/>
      <c r="T618" s="13"/>
      <c r="U618" s="13"/>
      <c r="V618" s="13"/>
      <c r="W618" s="13"/>
      <c r="X618" s="13"/>
      <c r="Y618" s="13"/>
      <c r="Z618" s="13"/>
      <c r="AA618" s="13"/>
      <c r="AB618" s="13"/>
      <c r="AC618" s="13"/>
      <c r="AD618" s="13"/>
      <c r="AE618" s="13"/>
      <c r="AF618" s="84"/>
      <c r="AG618" s="84"/>
      <c r="AH618" s="84"/>
      <c r="AI618" s="84"/>
      <c r="AJ618" s="84"/>
      <c r="AK618" s="84"/>
      <c r="AL618" s="84"/>
      <c r="AM618" s="84"/>
      <c r="AN618" s="84"/>
      <c r="AO618" s="84"/>
      <c r="AP618" s="84"/>
      <c r="AQ618" s="84"/>
      <c r="AR618" s="84"/>
      <c r="AS618" s="84"/>
      <c r="AT618" s="84"/>
      <c r="AU618" s="84"/>
      <c r="AV618" s="84"/>
      <c r="AW618" s="84"/>
      <c r="AX618" s="84"/>
      <c r="AY618" s="84"/>
      <c r="AZ618" s="84"/>
      <c r="BA618" s="84"/>
      <c r="BB618" s="84"/>
      <c r="BC618" s="84"/>
      <c r="BD618" s="84"/>
      <c r="BE618" s="84"/>
      <c r="BF618" s="84"/>
      <c r="BG618" s="84"/>
      <c r="BH618" s="84"/>
      <c r="BI618" s="84"/>
      <c r="BJ618" s="84"/>
      <c r="BK618" s="84"/>
      <c r="BL618" s="84"/>
      <c r="BM618" s="84"/>
      <c r="BN618" s="84"/>
      <c r="BO618" s="84"/>
      <c r="BP618" s="84"/>
      <c r="BQ618" s="84"/>
      <c r="BR618" s="84"/>
      <c r="BS618" s="84"/>
      <c r="BT618" s="84"/>
      <c r="BU618" s="84"/>
      <c r="BV618" s="84"/>
      <c r="BW618" s="84"/>
      <c r="BX618" s="84"/>
      <c r="BY618" s="84"/>
      <c r="BZ618" s="84"/>
      <c r="CA618" s="84"/>
      <c r="CB618" s="84"/>
      <c r="CC618" s="84"/>
      <c r="CD618" s="84"/>
    </row>
    <row r="619" spans="11:82" ht="12" customHeight="1" x14ac:dyDescent="0.35">
      <c r="K619" s="13"/>
      <c r="L619" s="13"/>
      <c r="M619" s="13"/>
      <c r="N619" s="13"/>
      <c r="O619" s="13"/>
      <c r="P619" s="13"/>
      <c r="Q619" s="13"/>
      <c r="R619" s="13"/>
      <c r="S619" s="13"/>
      <c r="T619" s="13"/>
      <c r="U619" s="13"/>
      <c r="V619" s="13"/>
      <c r="W619" s="13"/>
      <c r="X619" s="13"/>
      <c r="Y619" s="13"/>
      <c r="Z619" s="13"/>
      <c r="AA619" s="13"/>
      <c r="AB619" s="13"/>
      <c r="AC619" s="13"/>
      <c r="AD619" s="13"/>
      <c r="AE619" s="13"/>
      <c r="AF619" s="84"/>
      <c r="AG619" s="84"/>
      <c r="AH619" s="84"/>
      <c r="AI619" s="84"/>
      <c r="AJ619" s="84"/>
      <c r="AK619" s="84"/>
      <c r="AL619" s="84"/>
      <c r="AM619" s="84"/>
      <c r="AN619" s="84"/>
      <c r="AO619" s="84"/>
      <c r="AP619" s="84"/>
      <c r="AQ619" s="84"/>
      <c r="AR619" s="84"/>
      <c r="AS619" s="84"/>
      <c r="AT619" s="84"/>
      <c r="AU619" s="84"/>
      <c r="AV619" s="84"/>
      <c r="AW619" s="84"/>
      <c r="AX619" s="84"/>
      <c r="AY619" s="84"/>
      <c r="AZ619" s="84"/>
      <c r="BA619" s="84"/>
      <c r="BB619" s="84"/>
      <c r="BC619" s="84"/>
      <c r="BD619" s="84"/>
      <c r="BE619" s="84"/>
      <c r="BF619" s="84"/>
      <c r="BG619" s="84"/>
      <c r="BH619" s="84"/>
      <c r="BI619" s="84"/>
      <c r="BJ619" s="84"/>
      <c r="BK619" s="84"/>
      <c r="BL619" s="84"/>
      <c r="BM619" s="84"/>
      <c r="BN619" s="84"/>
      <c r="BO619" s="84"/>
      <c r="BP619" s="84"/>
      <c r="BQ619" s="84"/>
      <c r="BR619" s="84"/>
      <c r="BS619" s="84"/>
      <c r="BT619" s="84"/>
      <c r="BU619" s="84"/>
      <c r="BV619" s="84"/>
      <c r="BW619" s="84"/>
      <c r="BX619" s="84"/>
      <c r="BY619" s="84"/>
      <c r="BZ619" s="84"/>
      <c r="CA619" s="84"/>
      <c r="CB619" s="84"/>
      <c r="CC619" s="84"/>
      <c r="CD619" s="84"/>
    </row>
    <row r="620" spans="11:82" ht="12" customHeight="1" x14ac:dyDescent="0.35">
      <c r="K620" s="13"/>
      <c r="L620" s="13"/>
      <c r="M620" s="13"/>
      <c r="N620" s="13"/>
      <c r="O620" s="13"/>
      <c r="P620" s="13"/>
      <c r="Q620" s="13"/>
      <c r="R620" s="13"/>
      <c r="S620" s="13"/>
      <c r="T620" s="13"/>
      <c r="U620" s="13"/>
      <c r="V620" s="13"/>
      <c r="W620" s="13"/>
      <c r="X620" s="13"/>
      <c r="Y620" s="13"/>
      <c r="Z620" s="13"/>
      <c r="AA620" s="13"/>
      <c r="AB620" s="13"/>
      <c r="AC620" s="13"/>
      <c r="AD620" s="13"/>
      <c r="AE620" s="13"/>
      <c r="AF620" s="84"/>
      <c r="AG620" s="84"/>
      <c r="AH620" s="84"/>
      <c r="AI620" s="84"/>
      <c r="AJ620" s="84"/>
      <c r="AK620" s="84"/>
      <c r="AL620" s="84"/>
      <c r="AM620" s="84"/>
      <c r="AN620" s="84"/>
      <c r="AO620" s="84"/>
      <c r="AP620" s="84"/>
      <c r="AQ620" s="84"/>
      <c r="AR620" s="84"/>
      <c r="AS620" s="84"/>
      <c r="AT620" s="84"/>
      <c r="AU620" s="84"/>
      <c r="AV620" s="84"/>
      <c r="AW620" s="84"/>
      <c r="AX620" s="84"/>
      <c r="AY620" s="84"/>
      <c r="AZ620" s="84"/>
      <c r="BA620" s="84"/>
      <c r="BB620" s="84"/>
      <c r="BC620" s="84"/>
      <c r="BD620" s="84"/>
      <c r="BE620" s="84"/>
      <c r="BF620" s="84"/>
      <c r="BG620" s="84"/>
      <c r="BH620" s="84"/>
      <c r="BI620" s="84"/>
      <c r="BJ620" s="84"/>
      <c r="BK620" s="84"/>
      <c r="BL620" s="84"/>
      <c r="BM620" s="84"/>
      <c r="BN620" s="84"/>
      <c r="BO620" s="84"/>
      <c r="BP620" s="84"/>
      <c r="BQ620" s="84"/>
      <c r="BR620" s="84"/>
      <c r="BS620" s="84"/>
      <c r="BT620" s="84"/>
      <c r="BU620" s="84"/>
      <c r="BV620" s="84"/>
      <c r="BW620" s="84"/>
      <c r="BX620" s="84"/>
      <c r="BY620" s="84"/>
      <c r="BZ620" s="84"/>
      <c r="CA620" s="84"/>
      <c r="CB620" s="84"/>
      <c r="CC620" s="84"/>
      <c r="CD620" s="84"/>
    </row>
    <row r="621" spans="11:82" ht="12" customHeight="1" x14ac:dyDescent="0.35">
      <c r="K621" s="13"/>
      <c r="L621" s="13"/>
      <c r="M621" s="13"/>
      <c r="N621" s="13"/>
      <c r="O621" s="13"/>
      <c r="P621" s="13"/>
      <c r="Q621" s="13"/>
      <c r="R621" s="13"/>
      <c r="S621" s="13"/>
      <c r="T621" s="13"/>
      <c r="U621" s="13"/>
      <c r="V621" s="13"/>
      <c r="W621" s="13"/>
      <c r="X621" s="13"/>
      <c r="Y621" s="13"/>
      <c r="Z621" s="13"/>
      <c r="AA621" s="13"/>
      <c r="AB621" s="13"/>
      <c r="AC621" s="13"/>
      <c r="AD621" s="13"/>
      <c r="AE621" s="13"/>
      <c r="AF621" s="84"/>
      <c r="AG621" s="84"/>
      <c r="AH621" s="84"/>
      <c r="AI621" s="84"/>
      <c r="AJ621" s="84"/>
      <c r="AK621" s="84"/>
      <c r="AL621" s="84"/>
      <c r="AM621" s="84"/>
      <c r="AN621" s="84"/>
      <c r="AO621" s="84"/>
      <c r="AP621" s="84"/>
      <c r="AQ621" s="84"/>
      <c r="AR621" s="84"/>
      <c r="AS621" s="84"/>
      <c r="AT621" s="84"/>
      <c r="AU621" s="84"/>
      <c r="AV621" s="84"/>
      <c r="AW621" s="84"/>
      <c r="AX621" s="84"/>
      <c r="AY621" s="84"/>
      <c r="AZ621" s="84"/>
      <c r="BA621" s="84"/>
      <c r="BB621" s="84"/>
      <c r="BC621" s="84"/>
      <c r="BD621" s="84"/>
      <c r="BE621" s="84"/>
      <c r="BF621" s="84"/>
      <c r="BG621" s="84"/>
      <c r="BH621" s="84"/>
      <c r="BI621" s="84"/>
      <c r="BJ621" s="84"/>
      <c r="BK621" s="84"/>
      <c r="BL621" s="84"/>
      <c r="BM621" s="84"/>
      <c r="BN621" s="84"/>
      <c r="BO621" s="84"/>
      <c r="BP621" s="84"/>
      <c r="BQ621" s="84"/>
      <c r="BR621" s="84"/>
      <c r="BS621" s="84"/>
      <c r="BT621" s="84"/>
      <c r="BU621" s="84"/>
      <c r="BV621" s="84"/>
      <c r="BW621" s="84"/>
      <c r="BX621" s="84"/>
      <c r="BY621" s="84"/>
      <c r="BZ621" s="84"/>
      <c r="CA621" s="84"/>
      <c r="CB621" s="84"/>
      <c r="CC621" s="84"/>
      <c r="CD621" s="84"/>
    </row>
    <row r="622" spans="11:82" ht="12" customHeight="1" x14ac:dyDescent="0.35">
      <c r="K622" s="13"/>
      <c r="L622" s="13"/>
      <c r="M622" s="13"/>
      <c r="N622" s="13"/>
      <c r="O622" s="13"/>
      <c r="P622" s="13"/>
      <c r="Q622" s="13"/>
      <c r="R622" s="13"/>
      <c r="S622" s="13"/>
      <c r="T622" s="13"/>
      <c r="U622" s="13"/>
      <c r="V622" s="13"/>
      <c r="W622" s="13"/>
      <c r="X622" s="13"/>
      <c r="Y622" s="13"/>
      <c r="Z622" s="13"/>
      <c r="AA622" s="13"/>
      <c r="AB622" s="13"/>
      <c r="AC622" s="13"/>
      <c r="AD622" s="13"/>
      <c r="AE622" s="13"/>
      <c r="AF622" s="84"/>
      <c r="AG622" s="84"/>
      <c r="AH622" s="84"/>
      <c r="AI622" s="84"/>
      <c r="AJ622" s="84"/>
      <c r="AK622" s="84"/>
      <c r="AL622" s="84"/>
      <c r="AM622" s="84"/>
      <c r="AN622" s="84"/>
      <c r="AO622" s="84"/>
      <c r="AP622" s="84"/>
      <c r="AQ622" s="84"/>
      <c r="AR622" s="84"/>
      <c r="AS622" s="84"/>
      <c r="AT622" s="84"/>
      <c r="AU622" s="84"/>
      <c r="AV622" s="84"/>
      <c r="AW622" s="84"/>
      <c r="AX622" s="84"/>
      <c r="AY622" s="84"/>
      <c r="AZ622" s="84"/>
      <c r="BA622" s="84"/>
      <c r="BB622" s="84"/>
      <c r="BC622" s="84"/>
      <c r="BD622" s="84"/>
      <c r="BE622" s="84"/>
      <c r="BF622" s="84"/>
      <c r="BG622" s="84"/>
      <c r="BH622" s="84"/>
      <c r="BI622" s="84"/>
      <c r="BJ622" s="84"/>
      <c r="BK622" s="84"/>
      <c r="BL622" s="84"/>
      <c r="BM622" s="84"/>
      <c r="BN622" s="84"/>
      <c r="BO622" s="84"/>
      <c r="BP622" s="84"/>
      <c r="BQ622" s="84"/>
      <c r="BR622" s="84"/>
      <c r="BS622" s="84"/>
      <c r="BT622" s="84"/>
      <c r="BU622" s="84"/>
      <c r="BV622" s="84"/>
      <c r="BW622" s="84"/>
      <c r="BX622" s="84"/>
      <c r="BY622" s="84"/>
      <c r="BZ622" s="84"/>
      <c r="CA622" s="84"/>
      <c r="CB622" s="84"/>
      <c r="CC622" s="84"/>
      <c r="CD622" s="84"/>
    </row>
    <row r="623" spans="11:82" ht="12" customHeight="1" x14ac:dyDescent="0.35">
      <c r="K623" s="13"/>
      <c r="L623" s="13"/>
      <c r="M623" s="13"/>
      <c r="N623" s="13"/>
      <c r="O623" s="13"/>
      <c r="P623" s="13"/>
      <c r="Q623" s="13"/>
      <c r="R623" s="13"/>
      <c r="S623" s="13"/>
      <c r="T623" s="13"/>
      <c r="U623" s="13"/>
      <c r="V623" s="13"/>
      <c r="W623" s="13"/>
      <c r="X623" s="13"/>
      <c r="Y623" s="13"/>
      <c r="Z623" s="13"/>
      <c r="AA623" s="13"/>
      <c r="AB623" s="13"/>
      <c r="AC623" s="13"/>
      <c r="AD623" s="13"/>
      <c r="AE623" s="13"/>
      <c r="AF623" s="84"/>
      <c r="AG623" s="84"/>
      <c r="AH623" s="84"/>
      <c r="AI623" s="84"/>
      <c r="AJ623" s="84"/>
      <c r="AK623" s="84"/>
      <c r="AL623" s="84"/>
      <c r="AM623" s="84"/>
      <c r="AN623" s="84"/>
      <c r="AO623" s="84"/>
      <c r="AP623" s="84"/>
      <c r="AQ623" s="84"/>
      <c r="AR623" s="84"/>
      <c r="AS623" s="84"/>
      <c r="AT623" s="84"/>
      <c r="AU623" s="84"/>
      <c r="AV623" s="84"/>
      <c r="AW623" s="84"/>
      <c r="AX623" s="84"/>
      <c r="AY623" s="84"/>
      <c r="AZ623" s="84"/>
      <c r="BA623" s="84"/>
      <c r="BB623" s="84"/>
      <c r="BC623" s="84"/>
      <c r="BD623" s="84"/>
      <c r="BE623" s="84"/>
      <c r="BF623" s="84"/>
      <c r="BG623" s="84"/>
      <c r="BH623" s="84"/>
      <c r="BI623" s="84"/>
      <c r="BJ623" s="84"/>
      <c r="BK623" s="84"/>
      <c r="BL623" s="84"/>
      <c r="BM623" s="84"/>
      <c r="BN623" s="84"/>
      <c r="BO623" s="84"/>
      <c r="BP623" s="84"/>
      <c r="BQ623" s="84"/>
      <c r="BR623" s="84"/>
      <c r="BS623" s="84"/>
      <c r="BT623" s="84"/>
      <c r="BU623" s="84"/>
      <c r="BV623" s="84"/>
      <c r="BW623" s="84"/>
      <c r="BX623" s="84"/>
      <c r="BY623" s="84"/>
      <c r="BZ623" s="84"/>
      <c r="CA623" s="84"/>
      <c r="CB623" s="84"/>
      <c r="CC623" s="84"/>
      <c r="CD623" s="84"/>
    </row>
    <row r="624" spans="11:82" ht="12" customHeight="1" x14ac:dyDescent="0.35">
      <c r="K624" s="13"/>
      <c r="L624" s="13"/>
      <c r="M624" s="13"/>
      <c r="N624" s="13"/>
      <c r="O624" s="13"/>
      <c r="P624" s="13"/>
      <c r="Q624" s="13"/>
      <c r="R624" s="13"/>
      <c r="S624" s="13"/>
      <c r="T624" s="13" t="s">
        <v>448</v>
      </c>
      <c r="U624" s="13"/>
      <c r="V624" s="13"/>
      <c r="W624" s="13"/>
      <c r="X624" s="13"/>
      <c r="Y624" s="13"/>
      <c r="Z624" s="13"/>
      <c r="AA624" s="13"/>
      <c r="AB624" s="13"/>
      <c r="AC624" s="13"/>
      <c r="AD624" s="13"/>
      <c r="AE624" s="13"/>
      <c r="AF624" s="84"/>
      <c r="AG624" s="84"/>
      <c r="AH624" s="84"/>
      <c r="AI624" s="84"/>
      <c r="AJ624" s="84"/>
      <c r="AK624" s="84"/>
      <c r="AL624" s="84"/>
      <c r="AM624" s="84"/>
      <c r="AN624" s="84"/>
      <c r="AO624" s="84"/>
      <c r="AP624" s="84"/>
      <c r="AQ624" s="84"/>
      <c r="AR624" s="84"/>
      <c r="AS624" s="84"/>
      <c r="AT624" s="84"/>
      <c r="AU624" s="84"/>
      <c r="AV624" s="84"/>
      <c r="AW624" s="84"/>
      <c r="AX624" s="84"/>
      <c r="AY624" s="84"/>
      <c r="AZ624" s="84"/>
      <c r="BA624" s="84"/>
      <c r="BB624" s="84"/>
      <c r="BC624" s="84"/>
      <c r="BD624" s="84"/>
      <c r="BE624" s="84"/>
      <c r="BF624" s="84"/>
      <c r="BG624" s="84"/>
      <c r="BH624" s="84"/>
      <c r="BI624" s="84"/>
      <c r="BJ624" s="84"/>
      <c r="BK624" s="84"/>
      <c r="BL624" s="84"/>
      <c r="BM624" s="84"/>
      <c r="BN624" s="84"/>
      <c r="BO624" s="84"/>
      <c r="BP624" s="84"/>
      <c r="BQ624" s="84"/>
      <c r="BR624" s="84"/>
      <c r="BS624" s="84"/>
      <c r="BT624" s="84"/>
      <c r="BU624" s="84"/>
      <c r="BV624" s="84"/>
      <c r="BW624" s="84"/>
      <c r="BX624" s="84"/>
      <c r="BY624" s="84"/>
      <c r="BZ624" s="84"/>
      <c r="CA624" s="84"/>
      <c r="CB624" s="84"/>
      <c r="CC624" s="84"/>
      <c r="CD624" s="84"/>
    </row>
    <row r="625" spans="11:82" ht="12" customHeight="1" x14ac:dyDescent="0.35">
      <c r="K625" s="13"/>
      <c r="L625" s="13"/>
      <c r="M625" s="13"/>
      <c r="N625" s="13"/>
      <c r="O625" s="13"/>
      <c r="P625" s="13"/>
      <c r="Q625" s="13"/>
      <c r="R625" s="13"/>
      <c r="S625" s="13"/>
      <c r="T625" s="13" t="s">
        <v>449</v>
      </c>
      <c r="U625" s="13"/>
      <c r="V625" s="13"/>
      <c r="W625" s="13"/>
      <c r="X625" s="13"/>
      <c r="Y625" s="13"/>
      <c r="Z625" s="13"/>
      <c r="AA625" s="13"/>
      <c r="AB625" s="13"/>
      <c r="AC625" s="13"/>
      <c r="AD625" s="13"/>
      <c r="AE625" s="13"/>
      <c r="AF625" s="84"/>
      <c r="AG625" s="84"/>
      <c r="AH625" s="84"/>
      <c r="AI625" s="84"/>
      <c r="AJ625" s="84"/>
      <c r="AK625" s="84"/>
      <c r="AL625" s="84"/>
      <c r="AM625" s="84"/>
      <c r="AN625" s="84"/>
      <c r="AO625" s="84"/>
      <c r="AP625" s="84"/>
      <c r="AQ625" s="84"/>
      <c r="AR625" s="84"/>
      <c r="AS625" s="84"/>
      <c r="AT625" s="84"/>
      <c r="AU625" s="84"/>
      <c r="AV625" s="84"/>
      <c r="AW625" s="84"/>
      <c r="AX625" s="84"/>
      <c r="AY625" s="84"/>
      <c r="AZ625" s="84"/>
      <c r="BA625" s="84"/>
      <c r="BB625" s="84"/>
      <c r="BC625" s="84"/>
      <c r="BD625" s="84"/>
      <c r="BE625" s="84"/>
      <c r="BF625" s="84"/>
      <c r="BG625" s="84"/>
      <c r="BH625" s="84"/>
      <c r="BI625" s="84"/>
      <c r="BJ625" s="84"/>
      <c r="BK625" s="84"/>
      <c r="BL625" s="84"/>
      <c r="BM625" s="84"/>
      <c r="BN625" s="84"/>
      <c r="BO625" s="84"/>
      <c r="BP625" s="84"/>
      <c r="BQ625" s="84"/>
      <c r="BR625" s="84"/>
      <c r="BS625" s="84"/>
      <c r="BT625" s="84"/>
      <c r="BU625" s="84"/>
      <c r="BV625" s="84"/>
      <c r="BW625" s="84"/>
      <c r="BX625" s="84"/>
      <c r="BY625" s="84"/>
      <c r="BZ625" s="84"/>
      <c r="CA625" s="84"/>
      <c r="CB625" s="84"/>
      <c r="CC625" s="84"/>
      <c r="CD625" s="84"/>
    </row>
    <row r="626" spans="11:82" ht="12" customHeight="1" x14ac:dyDescent="0.35">
      <c r="K626" s="13"/>
      <c r="L626" s="13"/>
      <c r="M626" s="13"/>
      <c r="N626" s="13"/>
      <c r="O626" s="13"/>
      <c r="P626" s="13"/>
      <c r="Q626" s="13"/>
      <c r="R626" s="13"/>
      <c r="S626" s="13"/>
      <c r="T626" s="13" t="s">
        <v>450</v>
      </c>
      <c r="U626" s="13"/>
      <c r="V626" s="13"/>
      <c r="W626" s="13"/>
      <c r="X626" s="13"/>
      <c r="Y626" s="13"/>
      <c r="Z626" s="13"/>
      <c r="AA626" s="13"/>
      <c r="AB626" s="13"/>
      <c r="AC626" s="13"/>
      <c r="AD626" s="13"/>
      <c r="AE626" s="13"/>
      <c r="AF626" s="84"/>
      <c r="AG626" s="84"/>
      <c r="AH626" s="84"/>
      <c r="AI626" s="84"/>
      <c r="AJ626" s="84"/>
      <c r="AK626" s="84"/>
      <c r="AL626" s="84"/>
      <c r="AM626" s="84"/>
      <c r="AN626" s="84"/>
      <c r="AO626" s="84"/>
      <c r="AP626" s="84"/>
      <c r="AQ626" s="84"/>
      <c r="AR626" s="84"/>
      <c r="AS626" s="84"/>
      <c r="AT626" s="84"/>
      <c r="AU626" s="84"/>
      <c r="AV626" s="84"/>
      <c r="AW626" s="84"/>
      <c r="AX626" s="84"/>
      <c r="AY626" s="84"/>
      <c r="AZ626" s="84"/>
      <c r="BA626" s="84"/>
      <c r="BB626" s="84"/>
      <c r="BC626" s="84"/>
      <c r="BD626" s="84"/>
      <c r="BE626" s="84"/>
      <c r="BF626" s="84"/>
      <c r="BG626" s="84"/>
      <c r="BH626" s="84"/>
      <c r="BI626" s="84"/>
      <c r="BJ626" s="84"/>
      <c r="BK626" s="84"/>
      <c r="BL626" s="84"/>
      <c r="BM626" s="84"/>
      <c r="BN626" s="84"/>
      <c r="BO626" s="84"/>
      <c r="BP626" s="84"/>
      <c r="BQ626" s="84"/>
      <c r="BR626" s="84"/>
      <c r="BS626" s="84"/>
      <c r="BT626" s="84"/>
      <c r="BU626" s="84"/>
      <c r="BV626" s="84"/>
      <c r="BW626" s="84"/>
      <c r="BX626" s="84"/>
      <c r="BY626" s="84"/>
      <c r="BZ626" s="84"/>
      <c r="CA626" s="84"/>
      <c r="CB626" s="84"/>
      <c r="CC626" s="84"/>
      <c r="CD626" s="84"/>
    </row>
    <row r="627" spans="11:82" ht="12" customHeight="1" x14ac:dyDescent="0.35">
      <c r="K627" s="13"/>
      <c r="L627" s="13"/>
      <c r="M627" s="13"/>
      <c r="N627" s="13"/>
      <c r="O627" s="13"/>
      <c r="P627" s="13"/>
      <c r="Q627" s="13"/>
      <c r="R627" s="13"/>
      <c r="S627" s="13"/>
      <c r="T627" s="13" t="s">
        <v>451</v>
      </c>
      <c r="U627" s="13"/>
      <c r="V627" s="13"/>
      <c r="W627" s="13"/>
      <c r="X627" s="13"/>
      <c r="Y627" s="13"/>
      <c r="Z627" s="13"/>
      <c r="AA627" s="13"/>
      <c r="AB627" s="13"/>
      <c r="AC627" s="13"/>
      <c r="AD627" s="13"/>
      <c r="AE627" s="13"/>
      <c r="AF627" s="84"/>
      <c r="AG627" s="84"/>
      <c r="AH627" s="84"/>
      <c r="AI627" s="84"/>
      <c r="AJ627" s="84"/>
      <c r="AK627" s="84"/>
      <c r="AL627" s="84"/>
      <c r="AM627" s="84"/>
      <c r="AN627" s="84"/>
      <c r="AO627" s="84"/>
      <c r="AP627" s="84"/>
      <c r="AQ627" s="84"/>
      <c r="AR627" s="84"/>
      <c r="AS627" s="84"/>
      <c r="AT627" s="84"/>
      <c r="AU627" s="84"/>
      <c r="AV627" s="84"/>
      <c r="AW627" s="84"/>
      <c r="AX627" s="84"/>
      <c r="AY627" s="84"/>
      <c r="AZ627" s="84"/>
      <c r="BA627" s="84"/>
      <c r="BB627" s="84"/>
      <c r="BC627" s="84"/>
      <c r="BD627" s="84"/>
      <c r="BE627" s="84"/>
      <c r="BF627" s="84"/>
      <c r="BG627" s="84"/>
      <c r="BH627" s="84"/>
      <c r="BI627" s="84"/>
      <c r="BJ627" s="84"/>
      <c r="BK627" s="84"/>
      <c r="BL627" s="84"/>
      <c r="BM627" s="84"/>
      <c r="BN627" s="84"/>
      <c r="BO627" s="84"/>
      <c r="BP627" s="84"/>
      <c r="BQ627" s="84"/>
      <c r="BR627" s="84"/>
      <c r="BS627" s="84"/>
      <c r="BT627" s="84"/>
      <c r="BU627" s="84"/>
      <c r="BV627" s="84"/>
      <c r="BW627" s="84"/>
      <c r="BX627" s="84"/>
      <c r="BY627" s="84"/>
      <c r="BZ627" s="84"/>
      <c r="CA627" s="84"/>
      <c r="CB627" s="84"/>
      <c r="CC627" s="84"/>
      <c r="CD627" s="84"/>
    </row>
    <row r="628" spans="11:82" ht="12" customHeight="1" x14ac:dyDescent="0.35">
      <c r="K628" s="13"/>
      <c r="L628" s="13"/>
      <c r="M628" s="13"/>
      <c r="N628" s="13"/>
      <c r="O628" s="13"/>
      <c r="P628" s="13"/>
      <c r="Q628" s="13"/>
      <c r="R628" s="13"/>
      <c r="S628" s="13"/>
      <c r="T628" s="13" t="s">
        <v>452</v>
      </c>
      <c r="U628" s="13"/>
      <c r="V628" s="13"/>
      <c r="W628" s="13"/>
      <c r="X628" s="13"/>
      <c r="Y628" s="13"/>
      <c r="Z628" s="13"/>
      <c r="AA628" s="13"/>
      <c r="AB628" s="13"/>
      <c r="AC628" s="13"/>
      <c r="AD628" s="13"/>
      <c r="AE628" s="13"/>
      <c r="AF628" s="84"/>
      <c r="AG628" s="84"/>
      <c r="AH628" s="84"/>
      <c r="AI628" s="84"/>
      <c r="AJ628" s="84"/>
      <c r="AK628" s="84"/>
      <c r="AL628" s="84"/>
      <c r="AM628" s="84"/>
      <c r="AN628" s="84"/>
      <c r="AO628" s="84"/>
      <c r="AP628" s="84"/>
      <c r="AQ628" s="84"/>
      <c r="AR628" s="84"/>
      <c r="AS628" s="84"/>
      <c r="AT628" s="84"/>
      <c r="AU628" s="84"/>
      <c r="AV628" s="84"/>
      <c r="AW628" s="84"/>
      <c r="AX628" s="84"/>
      <c r="AY628" s="84"/>
      <c r="AZ628" s="84"/>
      <c r="BA628" s="84"/>
      <c r="BB628" s="84"/>
      <c r="BC628" s="84"/>
      <c r="BD628" s="84"/>
      <c r="BE628" s="84"/>
      <c r="BF628" s="84"/>
      <c r="BG628" s="84"/>
      <c r="BH628" s="84"/>
      <c r="BI628" s="84"/>
      <c r="BJ628" s="84"/>
      <c r="BK628" s="84"/>
      <c r="BL628" s="84"/>
      <c r="BM628" s="84"/>
      <c r="BN628" s="84"/>
      <c r="BO628" s="84"/>
      <c r="BP628" s="84"/>
      <c r="BQ628" s="84"/>
      <c r="BR628" s="84"/>
      <c r="BS628" s="84"/>
      <c r="BT628" s="84"/>
      <c r="BU628" s="84"/>
      <c r="BV628" s="84"/>
      <c r="BW628" s="84"/>
      <c r="BX628" s="84"/>
      <c r="BY628" s="84"/>
      <c r="BZ628" s="84"/>
      <c r="CA628" s="84"/>
      <c r="CB628" s="84"/>
      <c r="CC628" s="84"/>
      <c r="CD628" s="84"/>
    </row>
    <row r="629" spans="11:82" ht="12" customHeight="1" x14ac:dyDescent="0.35">
      <c r="K629" s="13"/>
      <c r="L629" s="13"/>
      <c r="M629" s="13"/>
      <c r="N629" s="13"/>
      <c r="O629" s="13"/>
      <c r="P629" s="13"/>
      <c r="Q629" s="13"/>
      <c r="R629" s="13"/>
      <c r="S629" s="13"/>
      <c r="T629" s="13" t="s">
        <v>453</v>
      </c>
      <c r="U629" s="13"/>
      <c r="V629" s="13"/>
      <c r="W629" s="13"/>
      <c r="X629" s="13"/>
      <c r="Y629" s="13"/>
      <c r="Z629" s="13"/>
      <c r="AA629" s="13"/>
      <c r="AB629" s="13"/>
      <c r="AC629" s="13"/>
      <c r="AD629" s="13"/>
      <c r="AE629" s="13"/>
      <c r="AF629" s="84"/>
      <c r="AG629" s="84"/>
      <c r="AH629" s="84"/>
      <c r="AI629" s="84"/>
      <c r="AJ629" s="84"/>
      <c r="AK629" s="84"/>
      <c r="AL629" s="84"/>
      <c r="AM629" s="84"/>
      <c r="AN629" s="84"/>
      <c r="AO629" s="84"/>
      <c r="AP629" s="84"/>
      <c r="AQ629" s="84"/>
      <c r="AR629" s="84"/>
      <c r="AS629" s="84"/>
      <c r="AT629" s="84"/>
      <c r="AU629" s="84"/>
      <c r="AV629" s="84"/>
      <c r="AW629" s="84"/>
      <c r="AX629" s="84"/>
      <c r="AY629" s="84"/>
      <c r="AZ629" s="84"/>
      <c r="BA629" s="84"/>
      <c r="BB629" s="84"/>
      <c r="BC629" s="84"/>
      <c r="BD629" s="84"/>
      <c r="BE629" s="84"/>
      <c r="BF629" s="84"/>
      <c r="BG629" s="84"/>
      <c r="BH629" s="84"/>
      <c r="BI629" s="84"/>
      <c r="BJ629" s="84"/>
      <c r="BK629" s="84"/>
      <c r="BL629" s="84"/>
      <c r="BM629" s="84"/>
      <c r="BN629" s="84"/>
      <c r="BO629" s="84"/>
      <c r="BP629" s="84"/>
      <c r="BQ629" s="84"/>
      <c r="BR629" s="84"/>
      <c r="BS629" s="84"/>
      <c r="BT629" s="84"/>
      <c r="BU629" s="84"/>
      <c r="BV629" s="84"/>
      <c r="BW629" s="84"/>
      <c r="BX629" s="84"/>
      <c r="BY629" s="84"/>
      <c r="BZ629" s="84"/>
      <c r="CA629" s="84"/>
      <c r="CB629" s="84"/>
      <c r="CC629" s="84"/>
      <c r="CD629" s="84"/>
    </row>
    <row r="630" spans="11:82" ht="12" customHeight="1" x14ac:dyDescent="0.35">
      <c r="K630" s="13"/>
      <c r="L630" s="13"/>
      <c r="M630" s="13"/>
      <c r="N630" s="13"/>
      <c r="O630" s="13"/>
      <c r="P630" s="13"/>
      <c r="Q630" s="13"/>
      <c r="R630" s="13"/>
      <c r="S630" s="13"/>
      <c r="T630" s="13" t="s">
        <v>454</v>
      </c>
      <c r="U630" s="13"/>
      <c r="V630" s="13"/>
      <c r="W630" s="13"/>
      <c r="X630" s="13"/>
      <c r="Y630" s="13"/>
      <c r="Z630" s="13"/>
      <c r="AA630" s="13"/>
      <c r="AB630" s="13"/>
      <c r="AC630" s="13"/>
      <c r="AD630" s="13"/>
      <c r="AE630" s="13"/>
      <c r="AF630" s="84"/>
      <c r="AG630" s="84"/>
      <c r="AH630" s="84"/>
      <c r="AI630" s="84"/>
      <c r="AJ630" s="84"/>
      <c r="AK630" s="84"/>
      <c r="AL630" s="84"/>
      <c r="AM630" s="84"/>
      <c r="AN630" s="84"/>
      <c r="AO630" s="84"/>
      <c r="AP630" s="84"/>
      <c r="AQ630" s="84"/>
      <c r="AR630" s="84"/>
      <c r="AS630" s="84"/>
      <c r="AT630" s="84"/>
      <c r="AU630" s="84"/>
      <c r="AV630" s="84"/>
      <c r="AW630" s="84"/>
      <c r="AX630" s="84"/>
      <c r="AY630" s="84"/>
      <c r="AZ630" s="84"/>
      <c r="BA630" s="84"/>
      <c r="BB630" s="84"/>
      <c r="BC630" s="84"/>
      <c r="BD630" s="84"/>
      <c r="BE630" s="84"/>
      <c r="BF630" s="84"/>
      <c r="BG630" s="84"/>
      <c r="BH630" s="84"/>
      <c r="BI630" s="84"/>
      <c r="BJ630" s="84"/>
      <c r="BK630" s="84"/>
      <c r="BL630" s="84"/>
      <c r="BM630" s="84"/>
      <c r="BN630" s="84"/>
      <c r="BO630" s="84"/>
      <c r="BP630" s="84"/>
      <c r="BQ630" s="84"/>
      <c r="BR630" s="84"/>
      <c r="BS630" s="84"/>
      <c r="BT630" s="84"/>
      <c r="BU630" s="84"/>
      <c r="BV630" s="84"/>
      <c r="BW630" s="84"/>
      <c r="BX630" s="84"/>
      <c r="BY630" s="84"/>
      <c r="BZ630" s="84"/>
      <c r="CA630" s="84"/>
      <c r="CB630" s="84"/>
      <c r="CC630" s="84"/>
      <c r="CD630" s="84"/>
    </row>
    <row r="631" spans="11:82" ht="12" customHeight="1" x14ac:dyDescent="0.35">
      <c r="K631" s="13"/>
      <c r="L631" s="13"/>
      <c r="M631" s="13"/>
      <c r="N631" s="13"/>
      <c r="O631" s="13"/>
      <c r="P631" s="13"/>
      <c r="Q631" s="13"/>
      <c r="R631" s="13"/>
      <c r="S631" s="13"/>
      <c r="T631" s="13" t="s">
        <v>455</v>
      </c>
      <c r="U631" s="13"/>
      <c r="V631" s="13"/>
      <c r="W631" s="13"/>
      <c r="X631" s="13"/>
      <c r="Y631" s="13"/>
      <c r="Z631" s="13"/>
      <c r="AA631" s="13"/>
      <c r="AB631" s="13"/>
      <c r="AC631" s="13"/>
      <c r="AD631" s="13"/>
      <c r="AE631" s="13"/>
      <c r="AF631" s="84"/>
      <c r="AG631" s="84"/>
      <c r="AH631" s="84"/>
      <c r="AI631" s="84"/>
      <c r="AJ631" s="84"/>
      <c r="AK631" s="84"/>
      <c r="AL631" s="84"/>
      <c r="AM631" s="84"/>
      <c r="AN631" s="84"/>
      <c r="AO631" s="84"/>
      <c r="AP631" s="84"/>
      <c r="AQ631" s="84"/>
      <c r="AR631" s="84"/>
      <c r="AS631" s="84"/>
      <c r="AT631" s="84"/>
      <c r="AU631" s="84"/>
      <c r="AV631" s="84"/>
      <c r="AW631" s="84"/>
      <c r="AX631" s="84"/>
      <c r="AY631" s="84"/>
      <c r="AZ631" s="84"/>
      <c r="BA631" s="84"/>
      <c r="BB631" s="84"/>
      <c r="BC631" s="84"/>
      <c r="BD631" s="84"/>
      <c r="BE631" s="84"/>
      <c r="BF631" s="84"/>
      <c r="BG631" s="84"/>
      <c r="BH631" s="84"/>
      <c r="BI631" s="84"/>
      <c r="BJ631" s="84"/>
      <c r="BK631" s="84"/>
      <c r="BL631" s="84"/>
      <c r="BM631" s="84"/>
      <c r="BN631" s="84"/>
      <c r="BO631" s="84"/>
      <c r="BP631" s="84"/>
      <c r="BQ631" s="84"/>
      <c r="BR631" s="84"/>
      <c r="BS631" s="84"/>
      <c r="BT631" s="84"/>
      <c r="BU631" s="84"/>
      <c r="BV631" s="84"/>
      <c r="BW631" s="84"/>
      <c r="BX631" s="84"/>
      <c r="BY631" s="84"/>
      <c r="BZ631" s="84"/>
      <c r="CA631" s="84"/>
      <c r="CB631" s="84"/>
      <c r="CC631" s="84"/>
      <c r="CD631" s="84"/>
    </row>
    <row r="632" spans="11:82" ht="12" customHeight="1" x14ac:dyDescent="0.35">
      <c r="K632" s="13"/>
      <c r="L632" s="13"/>
      <c r="M632" s="13"/>
      <c r="N632" s="13"/>
      <c r="O632" s="13"/>
      <c r="P632" s="13"/>
      <c r="Q632" s="13"/>
      <c r="R632" s="13"/>
      <c r="S632" s="13"/>
      <c r="T632" s="13" t="s">
        <v>456</v>
      </c>
      <c r="U632" s="13"/>
      <c r="V632" s="13"/>
      <c r="W632" s="13"/>
      <c r="X632" s="13"/>
      <c r="Y632" s="13"/>
      <c r="Z632" s="13"/>
      <c r="AA632" s="13"/>
      <c r="AB632" s="13"/>
      <c r="AC632" s="13"/>
      <c r="AD632" s="13"/>
      <c r="AE632" s="13"/>
      <c r="AF632" s="84"/>
      <c r="AG632" s="84"/>
      <c r="AH632" s="84"/>
      <c r="AI632" s="84"/>
      <c r="AJ632" s="84"/>
      <c r="AK632" s="84"/>
      <c r="AL632" s="84"/>
      <c r="AM632" s="84"/>
      <c r="AN632" s="84"/>
      <c r="AO632" s="84"/>
      <c r="AP632" s="84"/>
      <c r="AQ632" s="84"/>
      <c r="AR632" s="84"/>
      <c r="AS632" s="84"/>
      <c r="AT632" s="84"/>
      <c r="AU632" s="84"/>
      <c r="AV632" s="84"/>
      <c r="AW632" s="84"/>
      <c r="AX632" s="84"/>
      <c r="AY632" s="84"/>
      <c r="AZ632" s="84"/>
      <c r="BA632" s="84"/>
      <c r="BB632" s="84"/>
      <c r="BC632" s="84"/>
      <c r="BD632" s="84"/>
      <c r="BE632" s="84"/>
      <c r="BF632" s="84"/>
      <c r="BG632" s="84"/>
      <c r="BH632" s="84"/>
      <c r="BI632" s="84"/>
      <c r="BJ632" s="84"/>
      <c r="BK632" s="84"/>
      <c r="BL632" s="84"/>
      <c r="BM632" s="84"/>
      <c r="BN632" s="84"/>
      <c r="BO632" s="84"/>
      <c r="BP632" s="84"/>
      <c r="BQ632" s="84"/>
      <c r="BR632" s="84"/>
      <c r="BS632" s="84"/>
      <c r="BT632" s="84"/>
      <c r="BU632" s="84"/>
      <c r="BV632" s="84"/>
      <c r="BW632" s="84"/>
      <c r="BX632" s="84"/>
      <c r="BY632" s="84"/>
      <c r="BZ632" s="84"/>
      <c r="CA632" s="84"/>
      <c r="CB632" s="84"/>
      <c r="CC632" s="84"/>
      <c r="CD632" s="84"/>
    </row>
    <row r="633" spans="11:82" ht="12" customHeight="1" x14ac:dyDescent="0.35">
      <c r="K633" s="13"/>
      <c r="L633" s="13"/>
      <c r="M633" s="13"/>
      <c r="N633" s="13"/>
      <c r="O633" s="13"/>
      <c r="P633" s="13"/>
      <c r="Q633" s="13"/>
      <c r="R633" s="13"/>
      <c r="S633" s="13"/>
      <c r="T633" s="13" t="s">
        <v>457</v>
      </c>
      <c r="U633" s="13"/>
      <c r="V633" s="13"/>
      <c r="W633" s="13"/>
      <c r="X633" s="13"/>
      <c r="Y633" s="13"/>
      <c r="Z633" s="13"/>
      <c r="AA633" s="13"/>
      <c r="AB633" s="13"/>
      <c r="AC633" s="13"/>
      <c r="AD633" s="13"/>
      <c r="AE633" s="13"/>
      <c r="AF633" s="84"/>
      <c r="AG633" s="84"/>
      <c r="AH633" s="84"/>
      <c r="AI633" s="84"/>
      <c r="AJ633" s="84"/>
      <c r="AK633" s="84"/>
      <c r="AL633" s="84"/>
      <c r="AM633" s="84"/>
      <c r="AN633" s="84"/>
      <c r="AO633" s="84"/>
      <c r="AP633" s="84"/>
      <c r="AQ633" s="84"/>
      <c r="AR633" s="84"/>
      <c r="AS633" s="84"/>
      <c r="AT633" s="84"/>
      <c r="AU633" s="84"/>
      <c r="AV633" s="84"/>
      <c r="AW633" s="84"/>
      <c r="AX633" s="84"/>
      <c r="AY633" s="84"/>
      <c r="AZ633" s="84"/>
      <c r="BA633" s="84"/>
      <c r="BB633" s="84"/>
      <c r="BC633" s="84"/>
      <c r="BD633" s="84"/>
      <c r="BE633" s="84"/>
      <c r="BF633" s="84"/>
      <c r="BG633" s="84"/>
      <c r="BH633" s="84"/>
      <c r="BI633" s="84"/>
      <c r="BJ633" s="84"/>
      <c r="BK633" s="84"/>
      <c r="BL633" s="84"/>
      <c r="BM633" s="84"/>
      <c r="BN633" s="84"/>
      <c r="BO633" s="84"/>
      <c r="BP633" s="84"/>
      <c r="BQ633" s="84"/>
      <c r="BR633" s="84"/>
      <c r="BS633" s="84"/>
      <c r="BT633" s="84"/>
      <c r="BU633" s="84"/>
      <c r="BV633" s="84"/>
      <c r="BW633" s="84"/>
      <c r="BX633" s="84"/>
      <c r="BY633" s="84"/>
      <c r="BZ633" s="84"/>
      <c r="CA633" s="84"/>
      <c r="CB633" s="84"/>
      <c r="CC633" s="84"/>
      <c r="CD633" s="84"/>
    </row>
    <row r="634" spans="11:82" ht="12" customHeight="1" x14ac:dyDescent="0.35">
      <c r="K634" s="13"/>
      <c r="L634" s="13"/>
      <c r="M634" s="13"/>
      <c r="N634" s="13"/>
      <c r="O634" s="13"/>
      <c r="P634" s="13"/>
      <c r="Q634" s="13"/>
      <c r="R634" s="13"/>
      <c r="S634" s="13"/>
      <c r="T634" s="13"/>
      <c r="U634" s="13"/>
      <c r="V634" s="13"/>
      <c r="W634" s="13"/>
      <c r="X634" s="13"/>
      <c r="Y634" s="13"/>
      <c r="Z634" s="13"/>
      <c r="AA634" s="13"/>
      <c r="AB634" s="13"/>
      <c r="AC634" s="13"/>
      <c r="AD634" s="13"/>
      <c r="AE634" s="13"/>
      <c r="AF634" s="84"/>
      <c r="AG634" s="84"/>
      <c r="AH634" s="84"/>
      <c r="AI634" s="84"/>
      <c r="AJ634" s="84"/>
      <c r="AK634" s="84"/>
      <c r="AL634" s="84"/>
      <c r="AM634" s="84"/>
      <c r="AN634" s="84"/>
      <c r="AO634" s="84"/>
      <c r="AP634" s="84"/>
      <c r="AQ634" s="84"/>
      <c r="AR634" s="84"/>
      <c r="AS634" s="84"/>
      <c r="AT634" s="84"/>
      <c r="AU634" s="84"/>
      <c r="AV634" s="84"/>
      <c r="AW634" s="84"/>
      <c r="AX634" s="84"/>
      <c r="AY634" s="84"/>
      <c r="AZ634" s="84"/>
      <c r="BA634" s="84"/>
      <c r="BB634" s="84"/>
      <c r="BC634" s="84"/>
      <c r="BD634" s="84"/>
      <c r="BE634" s="84"/>
      <c r="BF634" s="84"/>
      <c r="BG634" s="84"/>
      <c r="BH634" s="84"/>
      <c r="BI634" s="84"/>
      <c r="BJ634" s="84"/>
      <c r="BK634" s="84"/>
      <c r="BL634" s="84"/>
      <c r="BM634" s="84"/>
      <c r="BN634" s="84"/>
      <c r="BO634" s="84"/>
      <c r="BP634" s="84"/>
      <c r="BQ634" s="84"/>
      <c r="BR634" s="84"/>
      <c r="BS634" s="84"/>
      <c r="BT634" s="84"/>
      <c r="BU634" s="84"/>
      <c r="BV634" s="84"/>
      <c r="BW634" s="84"/>
      <c r="BX634" s="84"/>
      <c r="BY634" s="84"/>
      <c r="BZ634" s="84"/>
      <c r="CA634" s="84"/>
      <c r="CB634" s="84"/>
      <c r="CC634" s="84"/>
      <c r="CD634" s="84"/>
    </row>
    <row r="635" spans="11:82" ht="12" customHeight="1" x14ac:dyDescent="0.35">
      <c r="K635" s="13"/>
      <c r="L635" s="13"/>
      <c r="M635" s="13"/>
      <c r="N635" s="13"/>
      <c r="O635" s="13"/>
      <c r="P635" s="13"/>
      <c r="Q635" s="13"/>
      <c r="R635" s="13"/>
      <c r="S635" s="13"/>
      <c r="T635" s="61" t="s">
        <v>458</v>
      </c>
      <c r="U635" s="61"/>
      <c r="V635" s="61"/>
      <c r="W635" s="13"/>
      <c r="X635" s="13"/>
      <c r="Y635" s="13"/>
      <c r="Z635" s="13"/>
      <c r="AA635" s="13"/>
      <c r="AB635" s="13"/>
      <c r="AC635" s="13"/>
      <c r="AD635" s="13"/>
      <c r="AE635" s="13"/>
      <c r="AF635" s="84"/>
      <c r="AG635" s="84"/>
      <c r="AH635" s="84"/>
      <c r="AI635" s="84"/>
      <c r="AJ635" s="84"/>
      <c r="AK635" s="84"/>
      <c r="AL635" s="84"/>
      <c r="AM635" s="84"/>
      <c r="AN635" s="84"/>
      <c r="AO635" s="84"/>
      <c r="AP635" s="84"/>
      <c r="AQ635" s="84"/>
      <c r="AR635" s="84"/>
      <c r="AS635" s="84"/>
      <c r="AT635" s="84"/>
      <c r="AU635" s="84"/>
      <c r="AV635" s="84"/>
      <c r="AW635" s="84"/>
      <c r="AX635" s="84"/>
      <c r="AY635" s="84"/>
      <c r="AZ635" s="84"/>
      <c r="BA635" s="84"/>
      <c r="BB635" s="84"/>
      <c r="BC635" s="84"/>
      <c r="BD635" s="84"/>
      <c r="BE635" s="84"/>
      <c r="BF635" s="84"/>
      <c r="BG635" s="84"/>
      <c r="BH635" s="84"/>
      <c r="BI635" s="84"/>
      <c r="BJ635" s="84"/>
      <c r="BK635" s="84"/>
      <c r="BL635" s="84"/>
      <c r="BM635" s="84"/>
      <c r="BN635" s="84"/>
      <c r="BO635" s="84"/>
      <c r="BP635" s="84"/>
      <c r="BQ635" s="84"/>
      <c r="BR635" s="84"/>
      <c r="BS635" s="84"/>
      <c r="BT635" s="84"/>
      <c r="BU635" s="84"/>
      <c r="BV635" s="84"/>
      <c r="BW635" s="84"/>
      <c r="BX635" s="84"/>
      <c r="BY635" s="84"/>
      <c r="BZ635" s="84"/>
      <c r="CA635" s="84"/>
      <c r="CB635" s="84"/>
      <c r="CC635" s="84"/>
      <c r="CD635" s="84"/>
    </row>
    <row r="636" spans="11:82" ht="12" customHeight="1" x14ac:dyDescent="0.35">
      <c r="K636" s="13"/>
      <c r="L636" s="13"/>
      <c r="M636" s="13"/>
      <c r="N636" s="13"/>
      <c r="O636" s="13"/>
      <c r="P636" s="13"/>
      <c r="Q636" s="13"/>
      <c r="R636" s="13"/>
      <c r="S636" s="13"/>
      <c r="T636" s="13"/>
      <c r="U636" s="13"/>
      <c r="V636" s="13"/>
      <c r="W636" s="13"/>
      <c r="X636" s="13"/>
      <c r="Y636" s="13"/>
      <c r="Z636" s="13"/>
      <c r="AA636" s="13"/>
      <c r="AB636" s="13"/>
      <c r="AC636" s="13"/>
      <c r="AD636" s="13"/>
      <c r="AE636" s="13"/>
      <c r="AF636" s="84"/>
      <c r="AG636" s="84"/>
      <c r="AH636" s="84"/>
      <c r="AI636" s="84"/>
      <c r="AJ636" s="84"/>
      <c r="AK636" s="84"/>
      <c r="AL636" s="84"/>
      <c r="AM636" s="84"/>
      <c r="AN636" s="84"/>
      <c r="AO636" s="84"/>
      <c r="AP636" s="84"/>
      <c r="AQ636" s="84"/>
      <c r="AR636" s="84"/>
      <c r="AS636" s="84"/>
      <c r="AT636" s="84"/>
      <c r="AU636" s="84"/>
      <c r="AV636" s="84"/>
      <c r="AW636" s="84"/>
      <c r="AX636" s="84"/>
      <c r="AY636" s="84"/>
      <c r="AZ636" s="84"/>
      <c r="BA636" s="84"/>
      <c r="BB636" s="84"/>
      <c r="BC636" s="84"/>
      <c r="BD636" s="84"/>
      <c r="BE636" s="84"/>
      <c r="BF636" s="84"/>
      <c r="BG636" s="84"/>
      <c r="BH636" s="84"/>
      <c r="BI636" s="84"/>
      <c r="BJ636" s="84"/>
      <c r="BK636" s="84"/>
      <c r="BL636" s="84"/>
      <c r="BM636" s="84"/>
      <c r="BN636" s="84"/>
      <c r="BO636" s="84"/>
      <c r="BP636" s="84"/>
      <c r="BQ636" s="84"/>
      <c r="BR636" s="84"/>
      <c r="BS636" s="84"/>
      <c r="BT636" s="84"/>
      <c r="BU636" s="84"/>
      <c r="BV636" s="84"/>
      <c r="BW636" s="84"/>
      <c r="BX636" s="84"/>
      <c r="BY636" s="84"/>
      <c r="BZ636" s="84"/>
      <c r="CA636" s="84"/>
      <c r="CB636" s="84"/>
      <c r="CC636" s="84"/>
      <c r="CD636" s="84"/>
    </row>
    <row r="637" spans="11:82" ht="12" customHeight="1" x14ac:dyDescent="0.35">
      <c r="K637" s="13"/>
      <c r="L637" s="13"/>
      <c r="M637" s="13"/>
      <c r="N637" s="13"/>
      <c r="O637" s="13"/>
      <c r="P637" s="13"/>
      <c r="Q637" s="13"/>
      <c r="R637" s="13"/>
      <c r="S637" s="13"/>
      <c r="T637" s="84">
        <f t="shared" ref="T637:T668" si="390">T552</f>
        <v>0</v>
      </c>
      <c r="U637" s="84"/>
      <c r="V637" s="84"/>
      <c r="W637" s="13">
        <f t="shared" ref="W637:W668" si="391">IF(AND(T552=0,W552&gt;0),1,0)</f>
        <v>0</v>
      </c>
      <c r="X637" s="13">
        <f t="shared" ref="X637:X668" si="392">IF(AND(U552=0,X552&gt;0),1,0)</f>
        <v>0</v>
      </c>
      <c r="Y637" s="13">
        <f t="shared" ref="Y637:Y668" si="393">IF(AND(V552=0,Y552&gt;0),1,0)</f>
        <v>0</v>
      </c>
      <c r="Z637" s="13">
        <f t="shared" ref="Z637:Z668" si="394">IF(AND(W552=0,Z552&gt;0),1,0)</f>
        <v>0</v>
      </c>
      <c r="AA637" s="13">
        <f t="shared" ref="AA637:AA668" si="395">IF(AND(X552=0,AA552&gt;0),1,0)</f>
        <v>0</v>
      </c>
      <c r="AB637" s="13">
        <f t="shared" ref="AB637:AB668" si="396">IF(AND(Y552=0,AB552&gt;0),1,0)</f>
        <v>0</v>
      </c>
      <c r="AC637" s="13">
        <f t="shared" ref="AC637:AC668" si="397">IF(AND(Z552=0,AC552&gt;0),1,0)</f>
        <v>0</v>
      </c>
      <c r="AD637" s="13">
        <f t="shared" ref="AD637:AD668" si="398">IF(AND(AA552=0,AD552&gt;0),1,0)</f>
        <v>0</v>
      </c>
      <c r="AE637" s="13">
        <f t="shared" ref="AE637:AE668" si="399">IF(AND(AB552=0,AE552&gt;0),1,0)</f>
        <v>0</v>
      </c>
      <c r="AF637" s="84">
        <f t="shared" ref="AF637:AF668" si="400">IF(AND(AC552=0,AF552&gt;0),1,0)</f>
        <v>0</v>
      </c>
      <c r="AG637" s="84">
        <f t="shared" ref="AG637:AG668" si="401">IF(AND(AD552=0,AG552&gt;0),1,0)</f>
        <v>0</v>
      </c>
      <c r="AH637" s="84">
        <f t="shared" ref="AH637:AH668" si="402">IF(AND(AE552=0,AH552&gt;0),1,0)</f>
        <v>0</v>
      </c>
      <c r="AI637" s="84">
        <f t="shared" ref="AI637:AI668" si="403">IF(AND(AF552=0,AI552&gt;0),1,0)</f>
        <v>0</v>
      </c>
      <c r="AJ637" s="84">
        <f t="shared" ref="AJ637:AJ668" si="404">IF(AND(AG552=0,AJ552&gt;0),1,0)</f>
        <v>0</v>
      </c>
      <c r="AK637" s="84">
        <f t="shared" ref="AK637:AK668" si="405">IF(AND(AH552=0,AK552&gt;0),1,0)</f>
        <v>0</v>
      </c>
      <c r="AL637" s="84">
        <f t="shared" ref="AL637:AL668" si="406">IF(AND(AI552=0,AL552&gt;0),1,0)</f>
        <v>0</v>
      </c>
      <c r="AM637" s="84">
        <f t="shared" ref="AM637:AM668" si="407">IF(AND(AJ552=0,AM552&gt;0),1,0)</f>
        <v>0</v>
      </c>
      <c r="AN637" s="84">
        <f t="shared" ref="AN637:AN668" si="408">IF(AND(AK552=0,AN552&gt;0),1,0)</f>
        <v>0</v>
      </c>
      <c r="AO637" s="84">
        <f t="shared" ref="AO637:AO668" si="409">IF(AND(AL552=0,AO552&gt;0),1,0)</f>
        <v>0</v>
      </c>
      <c r="AP637" s="84">
        <f t="shared" ref="AP637:AP668" si="410">IF(AND(AM552=0,AP552&gt;0),1,0)</f>
        <v>0</v>
      </c>
      <c r="AQ637" s="84">
        <f t="shared" ref="AQ637:AQ668" si="411">IF(AND(AN552=0,AQ552&gt;0),1,0)</f>
        <v>0</v>
      </c>
      <c r="AR637" s="84">
        <f t="shared" ref="AR637:AR668" si="412">IF(AND(AO552=0,AR552&gt;0),1,0)</f>
        <v>0</v>
      </c>
      <c r="AS637" s="84">
        <f t="shared" ref="AS637:AS668" si="413">IF(AND(AP552=0,AS552&gt;0),1,0)</f>
        <v>0</v>
      </c>
      <c r="AT637" s="84">
        <f t="shared" ref="AT637:AT668" si="414">IF(AND(AQ552=0,AT552&gt;0),1,0)</f>
        <v>0</v>
      </c>
      <c r="AU637" s="84">
        <f t="shared" ref="AU637:AU668" si="415">IF(AND(AR552=0,AU552&gt;0),1,0)</f>
        <v>0</v>
      </c>
      <c r="AV637" s="84">
        <f t="shared" ref="AV637:AV668" si="416">IF(AND(AS552=0,AV552&gt;0),1,0)</f>
        <v>0</v>
      </c>
      <c r="AW637" s="84">
        <f t="shared" ref="AW637:AW668" si="417">IF(AND(AT552=0,AW552&gt;0),1,0)</f>
        <v>0</v>
      </c>
      <c r="AX637" s="84">
        <f t="shared" ref="AX637:AX668" si="418">IF(AND(AU552=0,AX552&gt;0),1,0)</f>
        <v>0</v>
      </c>
      <c r="AY637" s="84">
        <f t="shared" ref="AY637:AY668" si="419">IF(AND(AV552=0,AY552&gt;0),1,0)</f>
        <v>0</v>
      </c>
      <c r="AZ637" s="84">
        <f t="shared" ref="AZ637:AZ668" si="420">IF(AND(AW552=0,AZ552&gt;0),1,0)</f>
        <v>0</v>
      </c>
      <c r="BA637" s="84">
        <f t="shared" ref="BA637:BA668" si="421">IF(AND(AX552=0,BA552&gt;0),1,0)</f>
        <v>0</v>
      </c>
      <c r="BB637" s="84">
        <f t="shared" ref="BB637:BB668" si="422">IF(AND(AY552=0,BB552&gt;0),1,0)</f>
        <v>0</v>
      </c>
      <c r="BC637" s="84">
        <f t="shared" ref="BC637:BC668" si="423">IF(AND(AZ552=0,BC552&gt;0),1,0)</f>
        <v>0</v>
      </c>
      <c r="BD637" s="84">
        <f t="shared" ref="BD637:BD668" si="424">IF(AND(BA552=0,BD552&gt;0),1,0)</f>
        <v>0</v>
      </c>
      <c r="BE637" s="84">
        <f t="shared" ref="BE637:BE668" si="425">IF(AND(BB552=0,BE552&gt;0),1,0)</f>
        <v>0</v>
      </c>
      <c r="BF637" s="84">
        <f t="shared" ref="BF637:BF668" si="426">IF(AND(BC552=0,BF552&gt;0),1,0)</f>
        <v>0</v>
      </c>
      <c r="BG637" s="84">
        <f t="shared" ref="BG637:BG668" si="427">IF(AND(BD552=0,BG552&gt;0),1,0)</f>
        <v>0</v>
      </c>
      <c r="BH637" s="84">
        <f t="shared" ref="BH637:BH668" si="428">IF(AND(BE552=0,BH552&gt;0),1,0)</f>
        <v>0</v>
      </c>
      <c r="BI637" s="84">
        <f t="shared" ref="BI637:BI668" si="429">IF(AND(BF552=0,BI552&gt;0),1,0)</f>
        <v>0</v>
      </c>
      <c r="BJ637" s="84">
        <f t="shared" ref="BJ637:BJ668" si="430">IF(AND(BG552=0,BJ552&gt;0),1,0)</f>
        <v>0</v>
      </c>
      <c r="BK637" s="84">
        <f t="shared" ref="BK637:BK668" si="431">IF(AND(BH552=0,BK552&gt;0),1,0)</f>
        <v>0</v>
      </c>
      <c r="BL637" s="84">
        <f t="shared" ref="BL637:BL668" si="432">IF(AND(BI552=0,BL552&gt;0),1,0)</f>
        <v>0</v>
      </c>
      <c r="BM637" s="84">
        <f t="shared" ref="BM637:BM668" si="433">IF(AND(BJ552=0,BM552&gt;0),1,0)</f>
        <v>0</v>
      </c>
      <c r="BN637" s="84">
        <f t="shared" ref="BN637:BN668" si="434">IF(AND(BK552=0,BN552&gt;0),1,0)</f>
        <v>0</v>
      </c>
      <c r="BO637" s="84">
        <f t="shared" ref="BO637:BO668" si="435">IF(AND(BL552=0,BO552&gt;0),1,0)</f>
        <v>0</v>
      </c>
      <c r="BP637" s="84">
        <f t="shared" ref="BP637:BP668" si="436">IF(AND(BM552=0,BP552&gt;0),1,0)</f>
        <v>0</v>
      </c>
      <c r="BQ637" s="84">
        <f t="shared" ref="BQ637:BQ668" si="437">IF(AND(BN552=0,BQ552&gt;0),1,0)</f>
        <v>0</v>
      </c>
      <c r="BR637" s="84">
        <f t="shared" ref="BR637:BR668" si="438">IF(AND(BO552=0,BR552&gt;0),1,0)</f>
        <v>0</v>
      </c>
      <c r="BS637" s="84">
        <f t="shared" ref="BS637:BS668" si="439">IF(AND(BP552=0,BS552&gt;0),1,0)</f>
        <v>0</v>
      </c>
      <c r="BT637" s="84">
        <f t="shared" ref="BT637:BT668" si="440">IF(AND(BQ552=0,BT552&gt;0),1,0)</f>
        <v>0</v>
      </c>
      <c r="BU637" s="84">
        <f t="shared" ref="BU637:BU668" si="441">IF(AND(BR552=0,BU552&gt;0),1,0)</f>
        <v>0</v>
      </c>
      <c r="BV637" s="84">
        <f t="shared" ref="BV637:BV668" si="442">IF(AND(BS552=0,BV552&gt;0),1,0)</f>
        <v>0</v>
      </c>
      <c r="BW637" s="84">
        <f t="shared" ref="BW637:BW668" si="443">IF(AND(BT552=0,BW552&gt;0),1,0)</f>
        <v>0</v>
      </c>
      <c r="BX637" s="84">
        <f t="shared" ref="BX637:BX668" si="444">IF(AND(BU552=0,BX552&gt;0),1,0)</f>
        <v>0</v>
      </c>
      <c r="BY637" s="84">
        <f t="shared" ref="BY637:BY668" si="445">IF(AND(BV552=0,BY552&gt;0),1,0)</f>
        <v>0</v>
      </c>
      <c r="BZ637" s="84">
        <f t="shared" ref="BZ637:BZ668" si="446">IF(AND(BW552=0,BZ552&gt;0),1,0)</f>
        <v>0</v>
      </c>
      <c r="CA637" s="84">
        <f t="shared" ref="CA637:CA668" si="447">IF(AND(BX552=0,CA552&gt;0),1,0)</f>
        <v>0</v>
      </c>
      <c r="CB637" s="84">
        <f t="shared" ref="CB637:CB668" si="448">IF(AND(BY552=0,CB552&gt;0),1,0)</f>
        <v>0</v>
      </c>
      <c r="CC637" s="84">
        <f t="shared" ref="CC637:CC668" si="449">IF(AND(BZ552=0,CC552&gt;0),1,0)</f>
        <v>0</v>
      </c>
      <c r="CD637" s="84">
        <f t="shared" ref="CD637:CD668" si="450">IF(AND(CA552=0,CD552&gt;0),1,0)</f>
        <v>0</v>
      </c>
    </row>
    <row r="638" spans="11:82" ht="12" customHeight="1" x14ac:dyDescent="0.35">
      <c r="K638" s="13"/>
      <c r="L638" s="13"/>
      <c r="M638" s="13"/>
      <c r="N638" s="13"/>
      <c r="O638" s="13"/>
      <c r="P638" s="13"/>
      <c r="Q638" s="13"/>
      <c r="R638" s="13"/>
      <c r="S638" s="13"/>
      <c r="T638" s="84">
        <f t="shared" si="390"/>
        <v>0</v>
      </c>
      <c r="U638" s="84"/>
      <c r="V638" s="84"/>
      <c r="W638" s="13">
        <f t="shared" si="391"/>
        <v>0</v>
      </c>
      <c r="X638" s="13">
        <f t="shared" si="392"/>
        <v>0</v>
      </c>
      <c r="Y638" s="13">
        <f t="shared" si="393"/>
        <v>0</v>
      </c>
      <c r="Z638" s="13">
        <f t="shared" si="394"/>
        <v>0</v>
      </c>
      <c r="AA638" s="13">
        <f t="shared" si="395"/>
        <v>0</v>
      </c>
      <c r="AB638" s="13">
        <f t="shared" si="396"/>
        <v>0</v>
      </c>
      <c r="AC638" s="13">
        <f t="shared" si="397"/>
        <v>0</v>
      </c>
      <c r="AD638" s="13">
        <f t="shared" si="398"/>
        <v>0</v>
      </c>
      <c r="AE638" s="13">
        <f t="shared" si="399"/>
        <v>0</v>
      </c>
      <c r="AF638" s="84">
        <f t="shared" si="400"/>
        <v>0</v>
      </c>
      <c r="AG638" s="84">
        <f t="shared" si="401"/>
        <v>0</v>
      </c>
      <c r="AH638" s="84">
        <f t="shared" si="402"/>
        <v>0</v>
      </c>
      <c r="AI638" s="84">
        <f t="shared" si="403"/>
        <v>0</v>
      </c>
      <c r="AJ638" s="84">
        <f t="shared" si="404"/>
        <v>0</v>
      </c>
      <c r="AK638" s="84">
        <f t="shared" si="405"/>
        <v>0</v>
      </c>
      <c r="AL638" s="84">
        <f t="shared" si="406"/>
        <v>0</v>
      </c>
      <c r="AM638" s="84">
        <f t="shared" si="407"/>
        <v>0</v>
      </c>
      <c r="AN638" s="84">
        <f t="shared" si="408"/>
        <v>0</v>
      </c>
      <c r="AO638" s="84">
        <f t="shared" si="409"/>
        <v>0</v>
      </c>
      <c r="AP638" s="84">
        <f t="shared" si="410"/>
        <v>0</v>
      </c>
      <c r="AQ638" s="84">
        <f t="shared" si="411"/>
        <v>0</v>
      </c>
      <c r="AR638" s="84">
        <f t="shared" si="412"/>
        <v>0</v>
      </c>
      <c r="AS638" s="84">
        <f t="shared" si="413"/>
        <v>0</v>
      </c>
      <c r="AT638" s="84">
        <f t="shared" si="414"/>
        <v>0</v>
      </c>
      <c r="AU638" s="84">
        <f t="shared" si="415"/>
        <v>0</v>
      </c>
      <c r="AV638" s="84">
        <f t="shared" si="416"/>
        <v>0</v>
      </c>
      <c r="AW638" s="84">
        <f t="shared" si="417"/>
        <v>0</v>
      </c>
      <c r="AX638" s="84">
        <f t="shared" si="418"/>
        <v>0</v>
      </c>
      <c r="AY638" s="84">
        <f t="shared" si="419"/>
        <v>0</v>
      </c>
      <c r="AZ638" s="84">
        <f t="shared" si="420"/>
        <v>0</v>
      </c>
      <c r="BA638" s="84">
        <f t="shared" si="421"/>
        <v>0</v>
      </c>
      <c r="BB638" s="84">
        <f t="shared" si="422"/>
        <v>0</v>
      </c>
      <c r="BC638" s="84">
        <f t="shared" si="423"/>
        <v>0</v>
      </c>
      <c r="BD638" s="84">
        <f t="shared" si="424"/>
        <v>0</v>
      </c>
      <c r="BE638" s="84">
        <f t="shared" si="425"/>
        <v>0</v>
      </c>
      <c r="BF638" s="84">
        <f t="shared" si="426"/>
        <v>0</v>
      </c>
      <c r="BG638" s="84">
        <f t="shared" si="427"/>
        <v>0</v>
      </c>
      <c r="BH638" s="84">
        <f t="shared" si="428"/>
        <v>0</v>
      </c>
      <c r="BI638" s="84">
        <f t="shared" si="429"/>
        <v>0</v>
      </c>
      <c r="BJ638" s="84">
        <f t="shared" si="430"/>
        <v>0</v>
      </c>
      <c r="BK638" s="84">
        <f t="shared" si="431"/>
        <v>0</v>
      </c>
      <c r="BL638" s="84">
        <f t="shared" si="432"/>
        <v>0</v>
      </c>
      <c r="BM638" s="84">
        <f t="shared" si="433"/>
        <v>0</v>
      </c>
      <c r="BN638" s="84">
        <f t="shared" si="434"/>
        <v>0</v>
      </c>
      <c r="BO638" s="84">
        <f t="shared" si="435"/>
        <v>0</v>
      </c>
      <c r="BP638" s="84">
        <f t="shared" si="436"/>
        <v>0</v>
      </c>
      <c r="BQ638" s="84">
        <f t="shared" si="437"/>
        <v>0</v>
      </c>
      <c r="BR638" s="84">
        <f t="shared" si="438"/>
        <v>0</v>
      </c>
      <c r="BS638" s="84">
        <f t="shared" si="439"/>
        <v>0</v>
      </c>
      <c r="BT638" s="84">
        <f t="shared" si="440"/>
        <v>0</v>
      </c>
      <c r="BU638" s="84">
        <f t="shared" si="441"/>
        <v>0</v>
      </c>
      <c r="BV638" s="84">
        <f t="shared" si="442"/>
        <v>0</v>
      </c>
      <c r="BW638" s="84">
        <f t="shared" si="443"/>
        <v>0</v>
      </c>
      <c r="BX638" s="84">
        <f t="shared" si="444"/>
        <v>0</v>
      </c>
      <c r="BY638" s="84">
        <f t="shared" si="445"/>
        <v>0</v>
      </c>
      <c r="BZ638" s="84">
        <f t="shared" si="446"/>
        <v>0</v>
      </c>
      <c r="CA638" s="84">
        <f t="shared" si="447"/>
        <v>0</v>
      </c>
      <c r="CB638" s="84">
        <f t="shared" si="448"/>
        <v>0</v>
      </c>
      <c r="CC638" s="84">
        <f t="shared" si="449"/>
        <v>0</v>
      </c>
      <c r="CD638" s="84">
        <f t="shared" si="450"/>
        <v>0</v>
      </c>
    </row>
    <row r="639" spans="11:82" ht="12" customHeight="1" x14ac:dyDescent="0.35">
      <c r="K639" s="13"/>
      <c r="L639" s="13"/>
      <c r="M639" s="13"/>
      <c r="N639" s="13"/>
      <c r="O639" s="13"/>
      <c r="P639" s="13"/>
      <c r="Q639" s="13"/>
      <c r="R639" s="13"/>
      <c r="S639" s="13"/>
      <c r="T639" s="84">
        <f t="shared" si="390"/>
        <v>0</v>
      </c>
      <c r="U639" s="84"/>
      <c r="V639" s="84"/>
      <c r="W639" s="13">
        <f t="shared" si="391"/>
        <v>0</v>
      </c>
      <c r="X639" s="13">
        <f t="shared" si="392"/>
        <v>0</v>
      </c>
      <c r="Y639" s="13">
        <f t="shared" si="393"/>
        <v>0</v>
      </c>
      <c r="Z639" s="13">
        <f t="shared" si="394"/>
        <v>0</v>
      </c>
      <c r="AA639" s="13">
        <f t="shared" si="395"/>
        <v>0</v>
      </c>
      <c r="AB639" s="13">
        <f t="shared" si="396"/>
        <v>0</v>
      </c>
      <c r="AC639" s="13">
        <f t="shared" si="397"/>
        <v>0</v>
      </c>
      <c r="AD639" s="13">
        <f t="shared" si="398"/>
        <v>0</v>
      </c>
      <c r="AE639" s="13">
        <f t="shared" si="399"/>
        <v>0</v>
      </c>
      <c r="AF639" s="84">
        <f t="shared" si="400"/>
        <v>0</v>
      </c>
      <c r="AG639" s="84">
        <f t="shared" si="401"/>
        <v>0</v>
      </c>
      <c r="AH639" s="84">
        <f t="shared" si="402"/>
        <v>0</v>
      </c>
      <c r="AI639" s="84">
        <f t="shared" si="403"/>
        <v>0</v>
      </c>
      <c r="AJ639" s="84">
        <f t="shared" si="404"/>
        <v>0</v>
      </c>
      <c r="AK639" s="84">
        <f t="shared" si="405"/>
        <v>0</v>
      </c>
      <c r="AL639" s="84">
        <f t="shared" si="406"/>
        <v>0</v>
      </c>
      <c r="AM639" s="84">
        <f t="shared" si="407"/>
        <v>0</v>
      </c>
      <c r="AN639" s="84">
        <f t="shared" si="408"/>
        <v>0</v>
      </c>
      <c r="AO639" s="84">
        <f t="shared" si="409"/>
        <v>0</v>
      </c>
      <c r="AP639" s="84">
        <f t="shared" si="410"/>
        <v>0</v>
      </c>
      <c r="AQ639" s="84">
        <f t="shared" si="411"/>
        <v>0</v>
      </c>
      <c r="AR639" s="84">
        <f t="shared" si="412"/>
        <v>0</v>
      </c>
      <c r="AS639" s="84">
        <f t="shared" si="413"/>
        <v>0</v>
      </c>
      <c r="AT639" s="84">
        <f t="shared" si="414"/>
        <v>0</v>
      </c>
      <c r="AU639" s="84">
        <f t="shared" si="415"/>
        <v>0</v>
      </c>
      <c r="AV639" s="84">
        <f t="shared" si="416"/>
        <v>0</v>
      </c>
      <c r="AW639" s="84">
        <f t="shared" si="417"/>
        <v>0</v>
      </c>
      <c r="AX639" s="84">
        <f t="shared" si="418"/>
        <v>0</v>
      </c>
      <c r="AY639" s="84">
        <f t="shared" si="419"/>
        <v>0</v>
      </c>
      <c r="AZ639" s="84">
        <f t="shared" si="420"/>
        <v>0</v>
      </c>
      <c r="BA639" s="84">
        <f t="shared" si="421"/>
        <v>0</v>
      </c>
      <c r="BB639" s="84">
        <f t="shared" si="422"/>
        <v>0</v>
      </c>
      <c r="BC639" s="84">
        <f t="shared" si="423"/>
        <v>0</v>
      </c>
      <c r="BD639" s="84">
        <f t="shared" si="424"/>
        <v>0</v>
      </c>
      <c r="BE639" s="84">
        <f t="shared" si="425"/>
        <v>0</v>
      </c>
      <c r="BF639" s="84">
        <f t="shared" si="426"/>
        <v>0</v>
      </c>
      <c r="BG639" s="84">
        <f t="shared" si="427"/>
        <v>0</v>
      </c>
      <c r="BH639" s="84">
        <f t="shared" si="428"/>
        <v>0</v>
      </c>
      <c r="BI639" s="84">
        <f t="shared" si="429"/>
        <v>0</v>
      </c>
      <c r="BJ639" s="84">
        <f t="shared" si="430"/>
        <v>0</v>
      </c>
      <c r="BK639" s="84">
        <f t="shared" si="431"/>
        <v>0</v>
      </c>
      <c r="BL639" s="84">
        <f t="shared" si="432"/>
        <v>0</v>
      </c>
      <c r="BM639" s="84">
        <f t="shared" si="433"/>
        <v>0</v>
      </c>
      <c r="BN639" s="84">
        <f t="shared" si="434"/>
        <v>0</v>
      </c>
      <c r="BO639" s="84">
        <f t="shared" si="435"/>
        <v>0</v>
      </c>
      <c r="BP639" s="84">
        <f t="shared" si="436"/>
        <v>0</v>
      </c>
      <c r="BQ639" s="84">
        <f t="shared" si="437"/>
        <v>0</v>
      </c>
      <c r="BR639" s="84">
        <f t="shared" si="438"/>
        <v>0</v>
      </c>
      <c r="BS639" s="84">
        <f t="shared" si="439"/>
        <v>0</v>
      </c>
      <c r="BT639" s="84">
        <f t="shared" si="440"/>
        <v>0</v>
      </c>
      <c r="BU639" s="84">
        <f t="shared" si="441"/>
        <v>0</v>
      </c>
      <c r="BV639" s="84">
        <f t="shared" si="442"/>
        <v>0</v>
      </c>
      <c r="BW639" s="84">
        <f t="shared" si="443"/>
        <v>0</v>
      </c>
      <c r="BX639" s="84">
        <f t="shared" si="444"/>
        <v>0</v>
      </c>
      <c r="BY639" s="84">
        <f t="shared" si="445"/>
        <v>0</v>
      </c>
      <c r="BZ639" s="84">
        <f t="shared" si="446"/>
        <v>0</v>
      </c>
      <c r="CA639" s="84">
        <f t="shared" si="447"/>
        <v>0</v>
      </c>
      <c r="CB639" s="84">
        <f t="shared" si="448"/>
        <v>0</v>
      </c>
      <c r="CC639" s="84">
        <f t="shared" si="449"/>
        <v>0</v>
      </c>
      <c r="CD639" s="84">
        <f t="shared" si="450"/>
        <v>0</v>
      </c>
    </row>
    <row r="640" spans="11:82" ht="12" customHeight="1" x14ac:dyDescent="0.35">
      <c r="K640" s="13"/>
      <c r="L640" s="13"/>
      <c r="M640" s="13"/>
      <c r="N640" s="13"/>
      <c r="O640" s="13"/>
      <c r="P640" s="13"/>
      <c r="Q640" s="13"/>
      <c r="R640" s="13"/>
      <c r="S640" s="13"/>
      <c r="T640" s="84">
        <f t="shared" si="390"/>
        <v>0</v>
      </c>
      <c r="U640" s="84"/>
      <c r="V640" s="84"/>
      <c r="W640" s="13">
        <f t="shared" si="391"/>
        <v>0</v>
      </c>
      <c r="X640" s="13">
        <f t="shared" si="392"/>
        <v>0</v>
      </c>
      <c r="Y640" s="13">
        <f t="shared" si="393"/>
        <v>0</v>
      </c>
      <c r="Z640" s="13">
        <f t="shared" si="394"/>
        <v>0</v>
      </c>
      <c r="AA640" s="13">
        <f t="shared" si="395"/>
        <v>0</v>
      </c>
      <c r="AB640" s="13">
        <f t="shared" si="396"/>
        <v>0</v>
      </c>
      <c r="AC640" s="13">
        <f t="shared" si="397"/>
        <v>0</v>
      </c>
      <c r="AD640" s="13">
        <f t="shared" si="398"/>
        <v>0</v>
      </c>
      <c r="AE640" s="13">
        <f t="shared" si="399"/>
        <v>0</v>
      </c>
      <c r="AF640" s="84">
        <f t="shared" si="400"/>
        <v>0</v>
      </c>
      <c r="AG640" s="84">
        <f t="shared" si="401"/>
        <v>0</v>
      </c>
      <c r="AH640" s="84">
        <f t="shared" si="402"/>
        <v>0</v>
      </c>
      <c r="AI640" s="84">
        <f t="shared" si="403"/>
        <v>0</v>
      </c>
      <c r="AJ640" s="84">
        <f t="shared" si="404"/>
        <v>0</v>
      </c>
      <c r="AK640" s="84">
        <f t="shared" si="405"/>
        <v>0</v>
      </c>
      <c r="AL640" s="84">
        <f t="shared" si="406"/>
        <v>0</v>
      </c>
      <c r="AM640" s="84">
        <f t="shared" si="407"/>
        <v>0</v>
      </c>
      <c r="AN640" s="84">
        <f t="shared" si="408"/>
        <v>0</v>
      </c>
      <c r="AO640" s="84">
        <f t="shared" si="409"/>
        <v>0</v>
      </c>
      <c r="AP640" s="84">
        <f t="shared" si="410"/>
        <v>0</v>
      </c>
      <c r="AQ640" s="84">
        <f t="shared" si="411"/>
        <v>0</v>
      </c>
      <c r="AR640" s="84">
        <f t="shared" si="412"/>
        <v>0</v>
      </c>
      <c r="AS640" s="84">
        <f t="shared" si="413"/>
        <v>0</v>
      </c>
      <c r="AT640" s="84">
        <f t="shared" si="414"/>
        <v>0</v>
      </c>
      <c r="AU640" s="84">
        <f t="shared" si="415"/>
        <v>0</v>
      </c>
      <c r="AV640" s="84">
        <f t="shared" si="416"/>
        <v>0</v>
      </c>
      <c r="AW640" s="84">
        <f t="shared" si="417"/>
        <v>0</v>
      </c>
      <c r="AX640" s="84">
        <f t="shared" si="418"/>
        <v>0</v>
      </c>
      <c r="AY640" s="84">
        <f t="shared" si="419"/>
        <v>0</v>
      </c>
      <c r="AZ640" s="84">
        <f t="shared" si="420"/>
        <v>0</v>
      </c>
      <c r="BA640" s="84">
        <f t="shared" si="421"/>
        <v>0</v>
      </c>
      <c r="BB640" s="84">
        <f t="shared" si="422"/>
        <v>0</v>
      </c>
      <c r="BC640" s="84">
        <f t="shared" si="423"/>
        <v>0</v>
      </c>
      <c r="BD640" s="84">
        <f t="shared" si="424"/>
        <v>0</v>
      </c>
      <c r="BE640" s="84">
        <f t="shared" si="425"/>
        <v>0</v>
      </c>
      <c r="BF640" s="84">
        <f t="shared" si="426"/>
        <v>0</v>
      </c>
      <c r="BG640" s="84">
        <f t="shared" si="427"/>
        <v>0</v>
      </c>
      <c r="BH640" s="84">
        <f t="shared" si="428"/>
        <v>0</v>
      </c>
      <c r="BI640" s="84">
        <f t="shared" si="429"/>
        <v>0</v>
      </c>
      <c r="BJ640" s="84">
        <f t="shared" si="430"/>
        <v>0</v>
      </c>
      <c r="BK640" s="84">
        <f t="shared" si="431"/>
        <v>0</v>
      </c>
      <c r="BL640" s="84">
        <f t="shared" si="432"/>
        <v>0</v>
      </c>
      <c r="BM640" s="84">
        <f t="shared" si="433"/>
        <v>0</v>
      </c>
      <c r="BN640" s="84">
        <f t="shared" si="434"/>
        <v>0</v>
      </c>
      <c r="BO640" s="84">
        <f t="shared" si="435"/>
        <v>0</v>
      </c>
      <c r="BP640" s="84">
        <f t="shared" si="436"/>
        <v>0</v>
      </c>
      <c r="BQ640" s="84">
        <f t="shared" si="437"/>
        <v>0</v>
      </c>
      <c r="BR640" s="84">
        <f t="shared" si="438"/>
        <v>0</v>
      </c>
      <c r="BS640" s="84">
        <f t="shared" si="439"/>
        <v>0</v>
      </c>
      <c r="BT640" s="84">
        <f t="shared" si="440"/>
        <v>0</v>
      </c>
      <c r="BU640" s="84">
        <f t="shared" si="441"/>
        <v>0</v>
      </c>
      <c r="BV640" s="84">
        <f t="shared" si="442"/>
        <v>0</v>
      </c>
      <c r="BW640" s="84">
        <f t="shared" si="443"/>
        <v>0</v>
      </c>
      <c r="BX640" s="84">
        <f t="shared" si="444"/>
        <v>0</v>
      </c>
      <c r="BY640" s="84">
        <f t="shared" si="445"/>
        <v>0</v>
      </c>
      <c r="BZ640" s="84">
        <f t="shared" si="446"/>
        <v>0</v>
      </c>
      <c r="CA640" s="84">
        <f t="shared" si="447"/>
        <v>0</v>
      </c>
      <c r="CB640" s="84">
        <f t="shared" si="448"/>
        <v>0</v>
      </c>
      <c r="CC640" s="84">
        <f t="shared" si="449"/>
        <v>0</v>
      </c>
      <c r="CD640" s="84">
        <f t="shared" si="450"/>
        <v>0</v>
      </c>
    </row>
    <row r="641" spans="11:82" ht="12" customHeight="1" x14ac:dyDescent="0.35">
      <c r="K641" s="13"/>
      <c r="L641" s="13"/>
      <c r="M641" s="13"/>
      <c r="N641" s="13"/>
      <c r="O641" s="13"/>
      <c r="P641" s="13"/>
      <c r="Q641" s="13"/>
      <c r="R641" s="13"/>
      <c r="S641" s="13"/>
      <c r="T641" s="84">
        <f t="shared" si="390"/>
        <v>0</v>
      </c>
      <c r="U641" s="84"/>
      <c r="V641" s="84"/>
      <c r="W641" s="13">
        <f t="shared" si="391"/>
        <v>0</v>
      </c>
      <c r="X641" s="13">
        <f t="shared" si="392"/>
        <v>0</v>
      </c>
      <c r="Y641" s="13">
        <f t="shared" si="393"/>
        <v>0</v>
      </c>
      <c r="Z641" s="13">
        <f t="shared" si="394"/>
        <v>0</v>
      </c>
      <c r="AA641" s="13">
        <f t="shared" si="395"/>
        <v>0</v>
      </c>
      <c r="AB641" s="13">
        <f t="shared" si="396"/>
        <v>0</v>
      </c>
      <c r="AC641" s="13">
        <f t="shared" si="397"/>
        <v>0</v>
      </c>
      <c r="AD641" s="13">
        <f t="shared" si="398"/>
        <v>0</v>
      </c>
      <c r="AE641" s="13">
        <f t="shared" si="399"/>
        <v>0</v>
      </c>
      <c r="AF641" s="84">
        <f t="shared" si="400"/>
        <v>0</v>
      </c>
      <c r="AG641" s="84">
        <f t="shared" si="401"/>
        <v>0</v>
      </c>
      <c r="AH641" s="84">
        <f t="shared" si="402"/>
        <v>0</v>
      </c>
      <c r="AI641" s="84">
        <f t="shared" si="403"/>
        <v>0</v>
      </c>
      <c r="AJ641" s="84">
        <f t="shared" si="404"/>
        <v>0</v>
      </c>
      <c r="AK641" s="84">
        <f t="shared" si="405"/>
        <v>0</v>
      </c>
      <c r="AL641" s="84">
        <f t="shared" si="406"/>
        <v>0</v>
      </c>
      <c r="AM641" s="84">
        <f t="shared" si="407"/>
        <v>0</v>
      </c>
      <c r="AN641" s="84">
        <f t="shared" si="408"/>
        <v>0</v>
      </c>
      <c r="AO641" s="84">
        <f t="shared" si="409"/>
        <v>0</v>
      </c>
      <c r="AP641" s="84">
        <f t="shared" si="410"/>
        <v>0</v>
      </c>
      <c r="AQ641" s="84">
        <f t="shared" si="411"/>
        <v>0</v>
      </c>
      <c r="AR641" s="84">
        <f t="shared" si="412"/>
        <v>0</v>
      </c>
      <c r="AS641" s="84">
        <f t="shared" si="413"/>
        <v>0</v>
      </c>
      <c r="AT641" s="84">
        <f t="shared" si="414"/>
        <v>0</v>
      </c>
      <c r="AU641" s="84">
        <f t="shared" si="415"/>
        <v>0</v>
      </c>
      <c r="AV641" s="84">
        <f t="shared" si="416"/>
        <v>0</v>
      </c>
      <c r="AW641" s="84">
        <f t="shared" si="417"/>
        <v>0</v>
      </c>
      <c r="AX641" s="84">
        <f t="shared" si="418"/>
        <v>0</v>
      </c>
      <c r="AY641" s="84">
        <f t="shared" si="419"/>
        <v>0</v>
      </c>
      <c r="AZ641" s="84">
        <f t="shared" si="420"/>
        <v>0</v>
      </c>
      <c r="BA641" s="84">
        <f t="shared" si="421"/>
        <v>0</v>
      </c>
      <c r="BB641" s="84">
        <f t="shared" si="422"/>
        <v>0</v>
      </c>
      <c r="BC641" s="84">
        <f t="shared" si="423"/>
        <v>0</v>
      </c>
      <c r="BD641" s="84">
        <f t="shared" si="424"/>
        <v>0</v>
      </c>
      <c r="BE641" s="84">
        <f t="shared" si="425"/>
        <v>0</v>
      </c>
      <c r="BF641" s="84">
        <f t="shared" si="426"/>
        <v>0</v>
      </c>
      <c r="BG641" s="84">
        <f t="shared" si="427"/>
        <v>0</v>
      </c>
      <c r="BH641" s="84">
        <f t="shared" si="428"/>
        <v>0</v>
      </c>
      <c r="BI641" s="84">
        <f t="shared" si="429"/>
        <v>0</v>
      </c>
      <c r="BJ641" s="84">
        <f t="shared" si="430"/>
        <v>0</v>
      </c>
      <c r="BK641" s="84">
        <f t="shared" si="431"/>
        <v>0</v>
      </c>
      <c r="BL641" s="84">
        <f t="shared" si="432"/>
        <v>0</v>
      </c>
      <c r="BM641" s="84">
        <f t="shared" si="433"/>
        <v>0</v>
      </c>
      <c r="BN641" s="84">
        <f t="shared" si="434"/>
        <v>0</v>
      </c>
      <c r="BO641" s="84">
        <f t="shared" si="435"/>
        <v>0</v>
      </c>
      <c r="BP641" s="84">
        <f t="shared" si="436"/>
        <v>0</v>
      </c>
      <c r="BQ641" s="84">
        <f t="shared" si="437"/>
        <v>0</v>
      </c>
      <c r="BR641" s="84">
        <f t="shared" si="438"/>
        <v>0</v>
      </c>
      <c r="BS641" s="84">
        <f t="shared" si="439"/>
        <v>0</v>
      </c>
      <c r="BT641" s="84">
        <f t="shared" si="440"/>
        <v>0</v>
      </c>
      <c r="BU641" s="84">
        <f t="shared" si="441"/>
        <v>0</v>
      </c>
      <c r="BV641" s="84">
        <f t="shared" si="442"/>
        <v>0</v>
      </c>
      <c r="BW641" s="84">
        <f t="shared" si="443"/>
        <v>0</v>
      </c>
      <c r="BX641" s="84">
        <f t="shared" si="444"/>
        <v>0</v>
      </c>
      <c r="BY641" s="84">
        <f t="shared" si="445"/>
        <v>0</v>
      </c>
      <c r="BZ641" s="84">
        <f t="shared" si="446"/>
        <v>0</v>
      </c>
      <c r="CA641" s="84">
        <f t="shared" si="447"/>
        <v>0</v>
      </c>
      <c r="CB641" s="84">
        <f t="shared" si="448"/>
        <v>0</v>
      </c>
      <c r="CC641" s="84">
        <f t="shared" si="449"/>
        <v>0</v>
      </c>
      <c r="CD641" s="84">
        <f t="shared" si="450"/>
        <v>0</v>
      </c>
    </row>
    <row r="642" spans="11:82" ht="12" customHeight="1" x14ac:dyDescent="0.35">
      <c r="K642" s="13"/>
      <c r="L642" s="13"/>
      <c r="M642" s="13"/>
      <c r="N642" s="13"/>
      <c r="O642" s="13"/>
      <c r="P642" s="13"/>
      <c r="Q642" s="13"/>
      <c r="R642" s="13"/>
      <c r="S642" s="13"/>
      <c r="T642" s="84">
        <f t="shared" si="390"/>
        <v>0</v>
      </c>
      <c r="U642" s="84"/>
      <c r="V642" s="84"/>
      <c r="W642" s="13">
        <f t="shared" si="391"/>
        <v>0</v>
      </c>
      <c r="X642" s="13">
        <f t="shared" si="392"/>
        <v>0</v>
      </c>
      <c r="Y642" s="13">
        <f t="shared" si="393"/>
        <v>0</v>
      </c>
      <c r="Z642" s="13">
        <f t="shared" si="394"/>
        <v>0</v>
      </c>
      <c r="AA642" s="13">
        <f t="shared" si="395"/>
        <v>0</v>
      </c>
      <c r="AB642" s="13">
        <f t="shared" si="396"/>
        <v>0</v>
      </c>
      <c r="AC642" s="13">
        <f t="shared" si="397"/>
        <v>0</v>
      </c>
      <c r="AD642" s="13">
        <f t="shared" si="398"/>
        <v>0</v>
      </c>
      <c r="AE642" s="13">
        <f t="shared" si="399"/>
        <v>0</v>
      </c>
      <c r="AF642" s="84">
        <f t="shared" si="400"/>
        <v>0</v>
      </c>
      <c r="AG642" s="84">
        <f t="shared" si="401"/>
        <v>0</v>
      </c>
      <c r="AH642" s="84">
        <f t="shared" si="402"/>
        <v>0</v>
      </c>
      <c r="AI642" s="84">
        <f t="shared" si="403"/>
        <v>0</v>
      </c>
      <c r="AJ642" s="84">
        <f t="shared" si="404"/>
        <v>0</v>
      </c>
      <c r="AK642" s="84">
        <f t="shared" si="405"/>
        <v>0</v>
      </c>
      <c r="AL642" s="84">
        <f t="shared" si="406"/>
        <v>0</v>
      </c>
      <c r="AM642" s="84">
        <f t="shared" si="407"/>
        <v>0</v>
      </c>
      <c r="AN642" s="84">
        <f t="shared" si="408"/>
        <v>0</v>
      </c>
      <c r="AO642" s="84">
        <f t="shared" si="409"/>
        <v>0</v>
      </c>
      <c r="AP642" s="84">
        <f t="shared" si="410"/>
        <v>0</v>
      </c>
      <c r="AQ642" s="84">
        <f t="shared" si="411"/>
        <v>0</v>
      </c>
      <c r="AR642" s="84">
        <f t="shared" si="412"/>
        <v>0</v>
      </c>
      <c r="AS642" s="84">
        <f t="shared" si="413"/>
        <v>0</v>
      </c>
      <c r="AT642" s="84">
        <f t="shared" si="414"/>
        <v>0</v>
      </c>
      <c r="AU642" s="84">
        <f t="shared" si="415"/>
        <v>0</v>
      </c>
      <c r="AV642" s="84">
        <f t="shared" si="416"/>
        <v>0</v>
      </c>
      <c r="AW642" s="84">
        <f t="shared" si="417"/>
        <v>0</v>
      </c>
      <c r="AX642" s="84">
        <f t="shared" si="418"/>
        <v>0</v>
      </c>
      <c r="AY642" s="84">
        <f t="shared" si="419"/>
        <v>0</v>
      </c>
      <c r="AZ642" s="84">
        <f t="shared" si="420"/>
        <v>0</v>
      </c>
      <c r="BA642" s="84">
        <f t="shared" si="421"/>
        <v>0</v>
      </c>
      <c r="BB642" s="84">
        <f t="shared" si="422"/>
        <v>0</v>
      </c>
      <c r="BC642" s="84">
        <f t="shared" si="423"/>
        <v>0</v>
      </c>
      <c r="BD642" s="84">
        <f t="shared" si="424"/>
        <v>0</v>
      </c>
      <c r="BE642" s="84">
        <f t="shared" si="425"/>
        <v>0</v>
      </c>
      <c r="BF642" s="84">
        <f t="shared" si="426"/>
        <v>0</v>
      </c>
      <c r="BG642" s="84">
        <f t="shared" si="427"/>
        <v>0</v>
      </c>
      <c r="BH642" s="84">
        <f t="shared" si="428"/>
        <v>0</v>
      </c>
      <c r="BI642" s="84">
        <f t="shared" si="429"/>
        <v>0</v>
      </c>
      <c r="BJ642" s="84">
        <f t="shared" si="430"/>
        <v>0</v>
      </c>
      <c r="BK642" s="84">
        <f t="shared" si="431"/>
        <v>0</v>
      </c>
      <c r="BL642" s="84">
        <f t="shared" si="432"/>
        <v>0</v>
      </c>
      <c r="BM642" s="84">
        <f t="shared" si="433"/>
        <v>0</v>
      </c>
      <c r="BN642" s="84">
        <f t="shared" si="434"/>
        <v>0</v>
      </c>
      <c r="BO642" s="84">
        <f t="shared" si="435"/>
        <v>0</v>
      </c>
      <c r="BP642" s="84">
        <f t="shared" si="436"/>
        <v>0</v>
      </c>
      <c r="BQ642" s="84">
        <f t="shared" si="437"/>
        <v>0</v>
      </c>
      <c r="BR642" s="84">
        <f t="shared" si="438"/>
        <v>0</v>
      </c>
      <c r="BS642" s="84">
        <f t="shared" si="439"/>
        <v>0</v>
      </c>
      <c r="BT642" s="84">
        <f t="shared" si="440"/>
        <v>0</v>
      </c>
      <c r="BU642" s="84">
        <f t="shared" si="441"/>
        <v>0</v>
      </c>
      <c r="BV642" s="84">
        <f t="shared" si="442"/>
        <v>0</v>
      </c>
      <c r="BW642" s="84">
        <f t="shared" si="443"/>
        <v>0</v>
      </c>
      <c r="BX642" s="84">
        <f t="shared" si="444"/>
        <v>0</v>
      </c>
      <c r="BY642" s="84">
        <f t="shared" si="445"/>
        <v>0</v>
      </c>
      <c r="BZ642" s="84">
        <f t="shared" si="446"/>
        <v>0</v>
      </c>
      <c r="CA642" s="84">
        <f t="shared" si="447"/>
        <v>0</v>
      </c>
      <c r="CB642" s="84">
        <f t="shared" si="448"/>
        <v>0</v>
      </c>
      <c r="CC642" s="84">
        <f t="shared" si="449"/>
        <v>0</v>
      </c>
      <c r="CD642" s="84">
        <f t="shared" si="450"/>
        <v>0</v>
      </c>
    </row>
    <row r="643" spans="11:82" ht="12" customHeight="1" x14ac:dyDescent="0.35">
      <c r="K643" s="13"/>
      <c r="L643" s="13"/>
      <c r="M643" s="13"/>
      <c r="N643" s="13"/>
      <c r="O643" s="13"/>
      <c r="P643" s="13"/>
      <c r="Q643" s="13"/>
      <c r="R643" s="13"/>
      <c r="S643" s="13"/>
      <c r="T643" s="84">
        <f t="shared" si="390"/>
        <v>0</v>
      </c>
      <c r="U643" s="84"/>
      <c r="V643" s="84"/>
      <c r="W643" s="13">
        <f t="shared" si="391"/>
        <v>0</v>
      </c>
      <c r="X643" s="13">
        <f t="shared" si="392"/>
        <v>0</v>
      </c>
      <c r="Y643" s="13">
        <f t="shared" si="393"/>
        <v>0</v>
      </c>
      <c r="Z643" s="13">
        <f t="shared" si="394"/>
        <v>0</v>
      </c>
      <c r="AA643" s="13">
        <f t="shared" si="395"/>
        <v>0</v>
      </c>
      <c r="AB643" s="13">
        <f t="shared" si="396"/>
        <v>0</v>
      </c>
      <c r="AC643" s="13">
        <f t="shared" si="397"/>
        <v>0</v>
      </c>
      <c r="AD643" s="13">
        <f t="shared" si="398"/>
        <v>0</v>
      </c>
      <c r="AE643" s="13">
        <f t="shared" si="399"/>
        <v>0</v>
      </c>
      <c r="AF643" s="84">
        <f t="shared" si="400"/>
        <v>0</v>
      </c>
      <c r="AG643" s="84">
        <f t="shared" si="401"/>
        <v>0</v>
      </c>
      <c r="AH643" s="84">
        <f t="shared" si="402"/>
        <v>0</v>
      </c>
      <c r="AI643" s="84">
        <f t="shared" si="403"/>
        <v>0</v>
      </c>
      <c r="AJ643" s="84">
        <f t="shared" si="404"/>
        <v>0</v>
      </c>
      <c r="AK643" s="84">
        <f t="shared" si="405"/>
        <v>0</v>
      </c>
      <c r="AL643" s="84">
        <f t="shared" si="406"/>
        <v>0</v>
      </c>
      <c r="AM643" s="84">
        <f t="shared" si="407"/>
        <v>0</v>
      </c>
      <c r="AN643" s="84">
        <f t="shared" si="408"/>
        <v>0</v>
      </c>
      <c r="AO643" s="84">
        <f t="shared" si="409"/>
        <v>0</v>
      </c>
      <c r="AP643" s="84">
        <f t="shared" si="410"/>
        <v>0</v>
      </c>
      <c r="AQ643" s="84">
        <f t="shared" si="411"/>
        <v>0</v>
      </c>
      <c r="AR643" s="84">
        <f t="shared" si="412"/>
        <v>0</v>
      </c>
      <c r="AS643" s="84">
        <f t="shared" si="413"/>
        <v>0</v>
      </c>
      <c r="AT643" s="84">
        <f t="shared" si="414"/>
        <v>0</v>
      </c>
      <c r="AU643" s="84">
        <f t="shared" si="415"/>
        <v>0</v>
      </c>
      <c r="AV643" s="84">
        <f t="shared" si="416"/>
        <v>0</v>
      </c>
      <c r="AW643" s="84">
        <f t="shared" si="417"/>
        <v>0</v>
      </c>
      <c r="AX643" s="84">
        <f t="shared" si="418"/>
        <v>0</v>
      </c>
      <c r="AY643" s="84">
        <f t="shared" si="419"/>
        <v>0</v>
      </c>
      <c r="AZ643" s="84">
        <f t="shared" si="420"/>
        <v>0</v>
      </c>
      <c r="BA643" s="84">
        <f t="shared" si="421"/>
        <v>0</v>
      </c>
      <c r="BB643" s="84">
        <f t="shared" si="422"/>
        <v>0</v>
      </c>
      <c r="BC643" s="84">
        <f t="shared" si="423"/>
        <v>0</v>
      </c>
      <c r="BD643" s="84">
        <f t="shared" si="424"/>
        <v>0</v>
      </c>
      <c r="BE643" s="84">
        <f t="shared" si="425"/>
        <v>0</v>
      </c>
      <c r="BF643" s="84">
        <f t="shared" si="426"/>
        <v>0</v>
      </c>
      <c r="BG643" s="84">
        <f t="shared" si="427"/>
        <v>0</v>
      </c>
      <c r="BH643" s="84">
        <f t="shared" si="428"/>
        <v>0</v>
      </c>
      <c r="BI643" s="84">
        <f t="shared" si="429"/>
        <v>0</v>
      </c>
      <c r="BJ643" s="84">
        <f t="shared" si="430"/>
        <v>0</v>
      </c>
      <c r="BK643" s="84">
        <f t="shared" si="431"/>
        <v>0</v>
      </c>
      <c r="BL643" s="84">
        <f t="shared" si="432"/>
        <v>0</v>
      </c>
      <c r="BM643" s="84">
        <f t="shared" si="433"/>
        <v>0</v>
      </c>
      <c r="BN643" s="84">
        <f t="shared" si="434"/>
        <v>0</v>
      </c>
      <c r="BO643" s="84">
        <f t="shared" si="435"/>
        <v>0</v>
      </c>
      <c r="BP643" s="84">
        <f t="shared" si="436"/>
        <v>0</v>
      </c>
      <c r="BQ643" s="84">
        <f t="shared" si="437"/>
        <v>0</v>
      </c>
      <c r="BR643" s="84">
        <f t="shared" si="438"/>
        <v>0</v>
      </c>
      <c r="BS643" s="84">
        <f t="shared" si="439"/>
        <v>0</v>
      </c>
      <c r="BT643" s="84">
        <f t="shared" si="440"/>
        <v>0</v>
      </c>
      <c r="BU643" s="84">
        <f t="shared" si="441"/>
        <v>0</v>
      </c>
      <c r="BV643" s="84">
        <f t="shared" si="442"/>
        <v>0</v>
      </c>
      <c r="BW643" s="84">
        <f t="shared" si="443"/>
        <v>0</v>
      </c>
      <c r="BX643" s="84">
        <f t="shared" si="444"/>
        <v>0</v>
      </c>
      <c r="BY643" s="84">
        <f t="shared" si="445"/>
        <v>0</v>
      </c>
      <c r="BZ643" s="84">
        <f t="shared" si="446"/>
        <v>0</v>
      </c>
      <c r="CA643" s="84">
        <f t="shared" si="447"/>
        <v>0</v>
      </c>
      <c r="CB643" s="84">
        <f t="shared" si="448"/>
        <v>0</v>
      </c>
      <c r="CC643" s="84">
        <f t="shared" si="449"/>
        <v>0</v>
      </c>
      <c r="CD643" s="84">
        <f t="shared" si="450"/>
        <v>0</v>
      </c>
    </row>
    <row r="644" spans="11:82" ht="12" customHeight="1" x14ac:dyDescent="0.35">
      <c r="K644" s="13"/>
      <c r="L644" s="13"/>
      <c r="M644" s="13"/>
      <c r="N644" s="13"/>
      <c r="O644" s="13"/>
      <c r="P644" s="13"/>
      <c r="Q644" s="13"/>
      <c r="R644" s="13"/>
      <c r="S644" s="13"/>
      <c r="T644" s="84">
        <f t="shared" si="390"/>
        <v>0</v>
      </c>
      <c r="U644" s="84"/>
      <c r="V644" s="84"/>
      <c r="W644" s="13">
        <f t="shared" si="391"/>
        <v>0</v>
      </c>
      <c r="X644" s="13">
        <f t="shared" si="392"/>
        <v>0</v>
      </c>
      <c r="Y644" s="13">
        <f t="shared" si="393"/>
        <v>0</v>
      </c>
      <c r="Z644" s="13">
        <f t="shared" si="394"/>
        <v>0</v>
      </c>
      <c r="AA644" s="13">
        <f t="shared" si="395"/>
        <v>0</v>
      </c>
      <c r="AB644" s="13">
        <f t="shared" si="396"/>
        <v>0</v>
      </c>
      <c r="AC644" s="13">
        <f t="shared" si="397"/>
        <v>0</v>
      </c>
      <c r="AD644" s="13">
        <f t="shared" si="398"/>
        <v>0</v>
      </c>
      <c r="AE644" s="13">
        <f t="shared" si="399"/>
        <v>0</v>
      </c>
      <c r="AF644" s="84">
        <f t="shared" si="400"/>
        <v>0</v>
      </c>
      <c r="AG644" s="84">
        <f t="shared" si="401"/>
        <v>0</v>
      </c>
      <c r="AH644" s="84">
        <f t="shared" si="402"/>
        <v>0</v>
      </c>
      <c r="AI644" s="84">
        <f t="shared" si="403"/>
        <v>0</v>
      </c>
      <c r="AJ644" s="84">
        <f t="shared" si="404"/>
        <v>0</v>
      </c>
      <c r="AK644" s="84">
        <f t="shared" si="405"/>
        <v>0</v>
      </c>
      <c r="AL644" s="84">
        <f t="shared" si="406"/>
        <v>0</v>
      </c>
      <c r="AM644" s="84">
        <f t="shared" si="407"/>
        <v>0</v>
      </c>
      <c r="AN644" s="84">
        <f t="shared" si="408"/>
        <v>0</v>
      </c>
      <c r="AO644" s="84">
        <f t="shared" si="409"/>
        <v>0</v>
      </c>
      <c r="AP644" s="84">
        <f t="shared" si="410"/>
        <v>0</v>
      </c>
      <c r="AQ644" s="84">
        <f t="shared" si="411"/>
        <v>0</v>
      </c>
      <c r="AR644" s="84">
        <f t="shared" si="412"/>
        <v>0</v>
      </c>
      <c r="AS644" s="84">
        <f t="shared" si="413"/>
        <v>0</v>
      </c>
      <c r="AT644" s="84">
        <f t="shared" si="414"/>
        <v>0</v>
      </c>
      <c r="AU644" s="84">
        <f t="shared" si="415"/>
        <v>0</v>
      </c>
      <c r="AV644" s="84">
        <f t="shared" si="416"/>
        <v>0</v>
      </c>
      <c r="AW644" s="84">
        <f t="shared" si="417"/>
        <v>0</v>
      </c>
      <c r="AX644" s="84">
        <f t="shared" si="418"/>
        <v>0</v>
      </c>
      <c r="AY644" s="84">
        <f t="shared" si="419"/>
        <v>0</v>
      </c>
      <c r="AZ644" s="84">
        <f t="shared" si="420"/>
        <v>0</v>
      </c>
      <c r="BA644" s="84">
        <f t="shared" si="421"/>
        <v>0</v>
      </c>
      <c r="BB644" s="84">
        <f t="shared" si="422"/>
        <v>0</v>
      </c>
      <c r="BC644" s="84">
        <f t="shared" si="423"/>
        <v>0</v>
      </c>
      <c r="BD644" s="84">
        <f t="shared" si="424"/>
        <v>0</v>
      </c>
      <c r="BE644" s="84">
        <f t="shared" si="425"/>
        <v>0</v>
      </c>
      <c r="BF644" s="84">
        <f t="shared" si="426"/>
        <v>0</v>
      </c>
      <c r="BG644" s="84">
        <f t="shared" si="427"/>
        <v>0</v>
      </c>
      <c r="BH644" s="84">
        <f t="shared" si="428"/>
        <v>0</v>
      </c>
      <c r="BI644" s="84">
        <f t="shared" si="429"/>
        <v>0</v>
      </c>
      <c r="BJ644" s="84">
        <f t="shared" si="430"/>
        <v>0</v>
      </c>
      <c r="BK644" s="84">
        <f t="shared" si="431"/>
        <v>0</v>
      </c>
      <c r="BL644" s="84">
        <f t="shared" si="432"/>
        <v>0</v>
      </c>
      <c r="BM644" s="84">
        <f t="shared" si="433"/>
        <v>0</v>
      </c>
      <c r="BN644" s="84">
        <f t="shared" si="434"/>
        <v>0</v>
      </c>
      <c r="BO644" s="84">
        <f t="shared" si="435"/>
        <v>0</v>
      </c>
      <c r="BP644" s="84">
        <f t="shared" si="436"/>
        <v>0</v>
      </c>
      <c r="BQ644" s="84">
        <f t="shared" si="437"/>
        <v>0</v>
      </c>
      <c r="BR644" s="84">
        <f t="shared" si="438"/>
        <v>0</v>
      </c>
      <c r="BS644" s="84">
        <f t="shared" si="439"/>
        <v>0</v>
      </c>
      <c r="BT644" s="84">
        <f t="shared" si="440"/>
        <v>0</v>
      </c>
      <c r="BU644" s="84">
        <f t="shared" si="441"/>
        <v>0</v>
      </c>
      <c r="BV644" s="84">
        <f t="shared" si="442"/>
        <v>0</v>
      </c>
      <c r="BW644" s="84">
        <f t="shared" si="443"/>
        <v>0</v>
      </c>
      <c r="BX644" s="84">
        <f t="shared" si="444"/>
        <v>0</v>
      </c>
      <c r="BY644" s="84">
        <f t="shared" si="445"/>
        <v>0</v>
      </c>
      <c r="BZ644" s="84">
        <f t="shared" si="446"/>
        <v>0</v>
      </c>
      <c r="CA644" s="84">
        <f t="shared" si="447"/>
        <v>0</v>
      </c>
      <c r="CB644" s="84">
        <f t="shared" si="448"/>
        <v>0</v>
      </c>
      <c r="CC644" s="84">
        <f t="shared" si="449"/>
        <v>0</v>
      </c>
      <c r="CD644" s="84">
        <f t="shared" si="450"/>
        <v>0</v>
      </c>
    </row>
    <row r="645" spans="11:82" ht="12" customHeight="1" x14ac:dyDescent="0.35">
      <c r="K645" s="13"/>
      <c r="L645" s="13"/>
      <c r="M645" s="13"/>
      <c r="N645" s="13"/>
      <c r="O645" s="13"/>
      <c r="P645" s="13"/>
      <c r="Q645" s="13"/>
      <c r="R645" s="13"/>
      <c r="S645" s="13"/>
      <c r="T645" s="84">
        <f t="shared" si="390"/>
        <v>0</v>
      </c>
      <c r="U645" s="84"/>
      <c r="V645" s="84"/>
      <c r="W645" s="13">
        <f t="shared" si="391"/>
        <v>0</v>
      </c>
      <c r="X645" s="13">
        <f t="shared" si="392"/>
        <v>0</v>
      </c>
      <c r="Y645" s="13">
        <f t="shared" si="393"/>
        <v>0</v>
      </c>
      <c r="Z645" s="13">
        <f t="shared" si="394"/>
        <v>0</v>
      </c>
      <c r="AA645" s="13">
        <f t="shared" si="395"/>
        <v>0</v>
      </c>
      <c r="AB645" s="13">
        <f t="shared" si="396"/>
        <v>0</v>
      </c>
      <c r="AC645" s="13">
        <f t="shared" si="397"/>
        <v>0</v>
      </c>
      <c r="AD645" s="13">
        <f t="shared" si="398"/>
        <v>0</v>
      </c>
      <c r="AE645" s="13">
        <f t="shared" si="399"/>
        <v>0</v>
      </c>
      <c r="AF645" s="84">
        <f t="shared" si="400"/>
        <v>0</v>
      </c>
      <c r="AG645" s="84">
        <f t="shared" si="401"/>
        <v>0</v>
      </c>
      <c r="AH645" s="84">
        <f t="shared" si="402"/>
        <v>0</v>
      </c>
      <c r="AI645" s="84">
        <f t="shared" si="403"/>
        <v>0</v>
      </c>
      <c r="AJ645" s="84">
        <f t="shared" si="404"/>
        <v>0</v>
      </c>
      <c r="AK645" s="84">
        <f t="shared" si="405"/>
        <v>0</v>
      </c>
      <c r="AL645" s="84">
        <f t="shared" si="406"/>
        <v>0</v>
      </c>
      <c r="AM645" s="84">
        <f t="shared" si="407"/>
        <v>0</v>
      </c>
      <c r="AN645" s="84">
        <f t="shared" si="408"/>
        <v>0</v>
      </c>
      <c r="AO645" s="84">
        <f t="shared" si="409"/>
        <v>0</v>
      </c>
      <c r="AP645" s="84">
        <f t="shared" si="410"/>
        <v>0</v>
      </c>
      <c r="AQ645" s="84">
        <f t="shared" si="411"/>
        <v>0</v>
      </c>
      <c r="AR645" s="84">
        <f t="shared" si="412"/>
        <v>0</v>
      </c>
      <c r="AS645" s="84">
        <f t="shared" si="413"/>
        <v>0</v>
      </c>
      <c r="AT645" s="84">
        <f t="shared" si="414"/>
        <v>0</v>
      </c>
      <c r="AU645" s="84">
        <f t="shared" si="415"/>
        <v>0</v>
      </c>
      <c r="AV645" s="84">
        <f t="shared" si="416"/>
        <v>0</v>
      </c>
      <c r="AW645" s="84">
        <f t="shared" si="417"/>
        <v>0</v>
      </c>
      <c r="AX645" s="84">
        <f t="shared" si="418"/>
        <v>0</v>
      </c>
      <c r="AY645" s="84">
        <f t="shared" si="419"/>
        <v>0</v>
      </c>
      <c r="AZ645" s="84">
        <f t="shared" si="420"/>
        <v>0</v>
      </c>
      <c r="BA645" s="84">
        <f t="shared" si="421"/>
        <v>0</v>
      </c>
      <c r="BB645" s="84">
        <f t="shared" si="422"/>
        <v>0</v>
      </c>
      <c r="BC645" s="84">
        <f t="shared" si="423"/>
        <v>0</v>
      </c>
      <c r="BD645" s="84">
        <f t="shared" si="424"/>
        <v>0</v>
      </c>
      <c r="BE645" s="84">
        <f t="shared" si="425"/>
        <v>0</v>
      </c>
      <c r="BF645" s="84">
        <f t="shared" si="426"/>
        <v>0</v>
      </c>
      <c r="BG645" s="84">
        <f t="shared" si="427"/>
        <v>0</v>
      </c>
      <c r="BH645" s="84">
        <f t="shared" si="428"/>
        <v>0</v>
      </c>
      <c r="BI645" s="84">
        <f t="shared" si="429"/>
        <v>0</v>
      </c>
      <c r="BJ645" s="84">
        <f t="shared" si="430"/>
        <v>0</v>
      </c>
      <c r="BK645" s="84">
        <f t="shared" si="431"/>
        <v>0</v>
      </c>
      <c r="BL645" s="84">
        <f t="shared" si="432"/>
        <v>0</v>
      </c>
      <c r="BM645" s="84">
        <f t="shared" si="433"/>
        <v>0</v>
      </c>
      <c r="BN645" s="84">
        <f t="shared" si="434"/>
        <v>0</v>
      </c>
      <c r="BO645" s="84">
        <f t="shared" si="435"/>
        <v>0</v>
      </c>
      <c r="BP645" s="84">
        <f t="shared" si="436"/>
        <v>0</v>
      </c>
      <c r="BQ645" s="84">
        <f t="shared" si="437"/>
        <v>0</v>
      </c>
      <c r="BR645" s="84">
        <f t="shared" si="438"/>
        <v>0</v>
      </c>
      <c r="BS645" s="84">
        <f t="shared" si="439"/>
        <v>0</v>
      </c>
      <c r="BT645" s="84">
        <f t="shared" si="440"/>
        <v>0</v>
      </c>
      <c r="BU645" s="84">
        <f t="shared" si="441"/>
        <v>0</v>
      </c>
      <c r="BV645" s="84">
        <f t="shared" si="442"/>
        <v>0</v>
      </c>
      <c r="BW645" s="84">
        <f t="shared" si="443"/>
        <v>0</v>
      </c>
      <c r="BX645" s="84">
        <f t="shared" si="444"/>
        <v>0</v>
      </c>
      <c r="BY645" s="84">
        <f t="shared" si="445"/>
        <v>0</v>
      </c>
      <c r="BZ645" s="84">
        <f t="shared" si="446"/>
        <v>0</v>
      </c>
      <c r="CA645" s="84">
        <f t="shared" si="447"/>
        <v>0</v>
      </c>
      <c r="CB645" s="84">
        <f t="shared" si="448"/>
        <v>0</v>
      </c>
      <c r="CC645" s="84">
        <f t="shared" si="449"/>
        <v>0</v>
      </c>
      <c r="CD645" s="84">
        <f t="shared" si="450"/>
        <v>0</v>
      </c>
    </row>
    <row r="646" spans="11:82" ht="12" customHeight="1" x14ac:dyDescent="0.35">
      <c r="K646" s="13"/>
      <c r="L646" s="13"/>
      <c r="M646" s="13"/>
      <c r="N646" s="13"/>
      <c r="O646" s="13"/>
      <c r="P646" s="13"/>
      <c r="Q646" s="13"/>
      <c r="R646" s="13"/>
      <c r="S646" s="13"/>
      <c r="T646" s="84">
        <f t="shared" si="390"/>
        <v>0</v>
      </c>
      <c r="U646" s="84"/>
      <c r="V646" s="84"/>
      <c r="W646" s="13">
        <f t="shared" si="391"/>
        <v>0</v>
      </c>
      <c r="X646" s="13">
        <f t="shared" si="392"/>
        <v>0</v>
      </c>
      <c r="Y646" s="13">
        <f t="shared" si="393"/>
        <v>0</v>
      </c>
      <c r="Z646" s="13">
        <f t="shared" si="394"/>
        <v>0</v>
      </c>
      <c r="AA646" s="13">
        <f t="shared" si="395"/>
        <v>0</v>
      </c>
      <c r="AB646" s="13">
        <f t="shared" si="396"/>
        <v>0</v>
      </c>
      <c r="AC646" s="13">
        <f t="shared" si="397"/>
        <v>0</v>
      </c>
      <c r="AD646" s="13">
        <f t="shared" si="398"/>
        <v>0</v>
      </c>
      <c r="AE646" s="13">
        <f t="shared" si="399"/>
        <v>0</v>
      </c>
      <c r="AF646" s="84">
        <f t="shared" si="400"/>
        <v>0</v>
      </c>
      <c r="AG646" s="84">
        <f t="shared" si="401"/>
        <v>0</v>
      </c>
      <c r="AH646" s="84">
        <f t="shared" si="402"/>
        <v>0</v>
      </c>
      <c r="AI646" s="84">
        <f t="shared" si="403"/>
        <v>0</v>
      </c>
      <c r="AJ646" s="84">
        <f t="shared" si="404"/>
        <v>0</v>
      </c>
      <c r="AK646" s="84">
        <f t="shared" si="405"/>
        <v>0</v>
      </c>
      <c r="AL646" s="84">
        <f t="shared" si="406"/>
        <v>0</v>
      </c>
      <c r="AM646" s="84">
        <f t="shared" si="407"/>
        <v>0</v>
      </c>
      <c r="AN646" s="84">
        <f t="shared" si="408"/>
        <v>0</v>
      </c>
      <c r="AO646" s="84">
        <f t="shared" si="409"/>
        <v>0</v>
      </c>
      <c r="AP646" s="84">
        <f t="shared" si="410"/>
        <v>0</v>
      </c>
      <c r="AQ646" s="84">
        <f t="shared" si="411"/>
        <v>0</v>
      </c>
      <c r="AR646" s="84">
        <f t="shared" si="412"/>
        <v>0</v>
      </c>
      <c r="AS646" s="84">
        <f t="shared" si="413"/>
        <v>0</v>
      </c>
      <c r="AT646" s="84">
        <f t="shared" si="414"/>
        <v>0</v>
      </c>
      <c r="AU646" s="84">
        <f t="shared" si="415"/>
        <v>0</v>
      </c>
      <c r="AV646" s="84">
        <f t="shared" si="416"/>
        <v>0</v>
      </c>
      <c r="AW646" s="84">
        <f t="shared" si="417"/>
        <v>0</v>
      </c>
      <c r="AX646" s="84">
        <f t="shared" si="418"/>
        <v>0</v>
      </c>
      <c r="AY646" s="84">
        <f t="shared" si="419"/>
        <v>0</v>
      </c>
      <c r="AZ646" s="84">
        <f t="shared" si="420"/>
        <v>0</v>
      </c>
      <c r="BA646" s="84">
        <f t="shared" si="421"/>
        <v>0</v>
      </c>
      <c r="BB646" s="84">
        <f t="shared" si="422"/>
        <v>0</v>
      </c>
      <c r="BC646" s="84">
        <f t="shared" si="423"/>
        <v>0</v>
      </c>
      <c r="BD646" s="84">
        <f t="shared" si="424"/>
        <v>0</v>
      </c>
      <c r="BE646" s="84">
        <f t="shared" si="425"/>
        <v>0</v>
      </c>
      <c r="BF646" s="84">
        <f t="shared" si="426"/>
        <v>0</v>
      </c>
      <c r="BG646" s="84">
        <f t="shared" si="427"/>
        <v>0</v>
      </c>
      <c r="BH646" s="84">
        <f t="shared" si="428"/>
        <v>0</v>
      </c>
      <c r="BI646" s="84">
        <f t="shared" si="429"/>
        <v>0</v>
      </c>
      <c r="BJ646" s="84">
        <f t="shared" si="430"/>
        <v>0</v>
      </c>
      <c r="BK646" s="84">
        <f t="shared" si="431"/>
        <v>0</v>
      </c>
      <c r="BL646" s="84">
        <f t="shared" si="432"/>
        <v>0</v>
      </c>
      <c r="BM646" s="84">
        <f t="shared" si="433"/>
        <v>0</v>
      </c>
      <c r="BN646" s="84">
        <f t="shared" si="434"/>
        <v>0</v>
      </c>
      <c r="BO646" s="84">
        <f t="shared" si="435"/>
        <v>0</v>
      </c>
      <c r="BP646" s="84">
        <f t="shared" si="436"/>
        <v>0</v>
      </c>
      <c r="BQ646" s="84">
        <f t="shared" si="437"/>
        <v>0</v>
      </c>
      <c r="BR646" s="84">
        <f t="shared" si="438"/>
        <v>0</v>
      </c>
      <c r="BS646" s="84">
        <f t="shared" si="439"/>
        <v>0</v>
      </c>
      <c r="BT646" s="84">
        <f t="shared" si="440"/>
        <v>0</v>
      </c>
      <c r="BU646" s="84">
        <f t="shared" si="441"/>
        <v>0</v>
      </c>
      <c r="BV646" s="84">
        <f t="shared" si="442"/>
        <v>0</v>
      </c>
      <c r="BW646" s="84">
        <f t="shared" si="443"/>
        <v>0</v>
      </c>
      <c r="BX646" s="84">
        <f t="shared" si="444"/>
        <v>0</v>
      </c>
      <c r="BY646" s="84">
        <f t="shared" si="445"/>
        <v>0</v>
      </c>
      <c r="BZ646" s="84">
        <f t="shared" si="446"/>
        <v>0</v>
      </c>
      <c r="CA646" s="84">
        <f t="shared" si="447"/>
        <v>0</v>
      </c>
      <c r="CB646" s="84">
        <f t="shared" si="448"/>
        <v>0</v>
      </c>
      <c r="CC646" s="84">
        <f t="shared" si="449"/>
        <v>0</v>
      </c>
      <c r="CD646" s="84">
        <f t="shared" si="450"/>
        <v>0</v>
      </c>
    </row>
    <row r="647" spans="11:82" ht="12" customHeight="1" x14ac:dyDescent="0.35">
      <c r="K647" s="13"/>
      <c r="L647" s="13"/>
      <c r="M647" s="13"/>
      <c r="N647" s="13"/>
      <c r="O647" s="13"/>
      <c r="P647" s="13"/>
      <c r="Q647" s="13"/>
      <c r="R647" s="13"/>
      <c r="S647" s="13"/>
      <c r="T647" s="84">
        <f t="shared" si="390"/>
        <v>0</v>
      </c>
      <c r="U647" s="84"/>
      <c r="V647" s="84"/>
      <c r="W647" s="13">
        <f t="shared" si="391"/>
        <v>0</v>
      </c>
      <c r="X647" s="13">
        <f t="shared" si="392"/>
        <v>0</v>
      </c>
      <c r="Y647" s="13">
        <f t="shared" si="393"/>
        <v>0</v>
      </c>
      <c r="Z647" s="13">
        <f t="shared" si="394"/>
        <v>0</v>
      </c>
      <c r="AA647" s="13">
        <f t="shared" si="395"/>
        <v>0</v>
      </c>
      <c r="AB647" s="13">
        <f t="shared" si="396"/>
        <v>0</v>
      </c>
      <c r="AC647" s="13">
        <f t="shared" si="397"/>
        <v>0</v>
      </c>
      <c r="AD647" s="13">
        <f t="shared" si="398"/>
        <v>0</v>
      </c>
      <c r="AE647" s="13">
        <f t="shared" si="399"/>
        <v>0</v>
      </c>
      <c r="AF647" s="84">
        <f t="shared" si="400"/>
        <v>0</v>
      </c>
      <c r="AG647" s="84">
        <f t="shared" si="401"/>
        <v>0</v>
      </c>
      <c r="AH647" s="84">
        <f t="shared" si="402"/>
        <v>0</v>
      </c>
      <c r="AI647" s="84">
        <f t="shared" si="403"/>
        <v>0</v>
      </c>
      <c r="AJ647" s="84">
        <f t="shared" si="404"/>
        <v>0</v>
      </c>
      <c r="AK647" s="84">
        <f t="shared" si="405"/>
        <v>0</v>
      </c>
      <c r="AL647" s="84">
        <f t="shared" si="406"/>
        <v>0</v>
      </c>
      <c r="AM647" s="84">
        <f t="shared" si="407"/>
        <v>0</v>
      </c>
      <c r="AN647" s="84">
        <f t="shared" si="408"/>
        <v>0</v>
      </c>
      <c r="AO647" s="84">
        <f t="shared" si="409"/>
        <v>0</v>
      </c>
      <c r="AP647" s="84">
        <f t="shared" si="410"/>
        <v>0</v>
      </c>
      <c r="AQ647" s="84">
        <f t="shared" si="411"/>
        <v>0</v>
      </c>
      <c r="AR647" s="84">
        <f t="shared" si="412"/>
        <v>0</v>
      </c>
      <c r="AS647" s="84">
        <f t="shared" si="413"/>
        <v>0</v>
      </c>
      <c r="AT647" s="84">
        <f t="shared" si="414"/>
        <v>0</v>
      </c>
      <c r="AU647" s="84">
        <f t="shared" si="415"/>
        <v>0</v>
      </c>
      <c r="AV647" s="84">
        <f t="shared" si="416"/>
        <v>0</v>
      </c>
      <c r="AW647" s="84">
        <f t="shared" si="417"/>
        <v>0</v>
      </c>
      <c r="AX647" s="84">
        <f t="shared" si="418"/>
        <v>0</v>
      </c>
      <c r="AY647" s="84">
        <f t="shared" si="419"/>
        <v>0</v>
      </c>
      <c r="AZ647" s="84">
        <f t="shared" si="420"/>
        <v>0</v>
      </c>
      <c r="BA647" s="84">
        <f t="shared" si="421"/>
        <v>0</v>
      </c>
      <c r="BB647" s="84">
        <f t="shared" si="422"/>
        <v>0</v>
      </c>
      <c r="BC647" s="84">
        <f t="shared" si="423"/>
        <v>0</v>
      </c>
      <c r="BD647" s="84">
        <f t="shared" si="424"/>
        <v>0</v>
      </c>
      <c r="BE647" s="84">
        <f t="shared" si="425"/>
        <v>0</v>
      </c>
      <c r="BF647" s="84">
        <f t="shared" si="426"/>
        <v>0</v>
      </c>
      <c r="BG647" s="84">
        <f t="shared" si="427"/>
        <v>0</v>
      </c>
      <c r="BH647" s="84">
        <f t="shared" si="428"/>
        <v>0</v>
      </c>
      <c r="BI647" s="84">
        <f t="shared" si="429"/>
        <v>0</v>
      </c>
      <c r="BJ647" s="84">
        <f t="shared" si="430"/>
        <v>0</v>
      </c>
      <c r="BK647" s="84">
        <f t="shared" si="431"/>
        <v>0</v>
      </c>
      <c r="BL647" s="84">
        <f t="shared" si="432"/>
        <v>0</v>
      </c>
      <c r="BM647" s="84">
        <f t="shared" si="433"/>
        <v>0</v>
      </c>
      <c r="BN647" s="84">
        <f t="shared" si="434"/>
        <v>0</v>
      </c>
      <c r="BO647" s="84">
        <f t="shared" si="435"/>
        <v>0</v>
      </c>
      <c r="BP647" s="84">
        <f t="shared" si="436"/>
        <v>0</v>
      </c>
      <c r="BQ647" s="84">
        <f t="shared" si="437"/>
        <v>0</v>
      </c>
      <c r="BR647" s="84">
        <f t="shared" si="438"/>
        <v>0</v>
      </c>
      <c r="BS647" s="84">
        <f t="shared" si="439"/>
        <v>0</v>
      </c>
      <c r="BT647" s="84">
        <f t="shared" si="440"/>
        <v>0</v>
      </c>
      <c r="BU647" s="84">
        <f t="shared" si="441"/>
        <v>0</v>
      </c>
      <c r="BV647" s="84">
        <f t="shared" si="442"/>
        <v>0</v>
      </c>
      <c r="BW647" s="84">
        <f t="shared" si="443"/>
        <v>0</v>
      </c>
      <c r="BX647" s="84">
        <f t="shared" si="444"/>
        <v>0</v>
      </c>
      <c r="BY647" s="84">
        <f t="shared" si="445"/>
        <v>0</v>
      </c>
      <c r="BZ647" s="84">
        <f t="shared" si="446"/>
        <v>0</v>
      </c>
      <c r="CA647" s="84">
        <f t="shared" si="447"/>
        <v>0</v>
      </c>
      <c r="CB647" s="84">
        <f t="shared" si="448"/>
        <v>0</v>
      </c>
      <c r="CC647" s="84">
        <f t="shared" si="449"/>
        <v>0</v>
      </c>
      <c r="CD647" s="84">
        <f t="shared" si="450"/>
        <v>0</v>
      </c>
    </row>
    <row r="648" spans="11:82" ht="12" customHeight="1" x14ac:dyDescent="0.35">
      <c r="K648" s="13"/>
      <c r="L648" s="13"/>
      <c r="M648" s="13"/>
      <c r="N648" s="13"/>
      <c r="O648" s="13"/>
      <c r="P648" s="13"/>
      <c r="Q648" s="13"/>
      <c r="R648" s="13"/>
      <c r="S648" s="13"/>
      <c r="T648" s="84">
        <f t="shared" si="390"/>
        <v>0</v>
      </c>
      <c r="U648" s="84"/>
      <c r="V648" s="84"/>
      <c r="W648" s="13">
        <f t="shared" si="391"/>
        <v>0</v>
      </c>
      <c r="X648" s="13">
        <f t="shared" si="392"/>
        <v>0</v>
      </c>
      <c r="Y648" s="13">
        <f t="shared" si="393"/>
        <v>0</v>
      </c>
      <c r="Z648" s="13">
        <f t="shared" si="394"/>
        <v>0</v>
      </c>
      <c r="AA648" s="13">
        <f t="shared" si="395"/>
        <v>0</v>
      </c>
      <c r="AB648" s="13">
        <f t="shared" si="396"/>
        <v>0</v>
      </c>
      <c r="AC648" s="13">
        <f t="shared" si="397"/>
        <v>0</v>
      </c>
      <c r="AD648" s="13">
        <f t="shared" si="398"/>
        <v>0</v>
      </c>
      <c r="AE648" s="13">
        <f t="shared" si="399"/>
        <v>0</v>
      </c>
      <c r="AF648" s="84">
        <f t="shared" si="400"/>
        <v>0</v>
      </c>
      <c r="AG648" s="84">
        <f t="shared" si="401"/>
        <v>0</v>
      </c>
      <c r="AH648" s="84">
        <f t="shared" si="402"/>
        <v>0</v>
      </c>
      <c r="AI648" s="84">
        <f t="shared" si="403"/>
        <v>0</v>
      </c>
      <c r="AJ648" s="84">
        <f t="shared" si="404"/>
        <v>0</v>
      </c>
      <c r="AK648" s="84">
        <f t="shared" si="405"/>
        <v>0</v>
      </c>
      <c r="AL648" s="84">
        <f t="shared" si="406"/>
        <v>0</v>
      </c>
      <c r="AM648" s="84">
        <f t="shared" si="407"/>
        <v>0</v>
      </c>
      <c r="AN648" s="84">
        <f t="shared" si="408"/>
        <v>0</v>
      </c>
      <c r="AO648" s="84">
        <f t="shared" si="409"/>
        <v>0</v>
      </c>
      <c r="AP648" s="84">
        <f t="shared" si="410"/>
        <v>0</v>
      </c>
      <c r="AQ648" s="84">
        <f t="shared" si="411"/>
        <v>0</v>
      </c>
      <c r="AR648" s="84">
        <f t="shared" si="412"/>
        <v>0</v>
      </c>
      <c r="AS648" s="84">
        <f t="shared" si="413"/>
        <v>0</v>
      </c>
      <c r="AT648" s="84">
        <f t="shared" si="414"/>
        <v>0</v>
      </c>
      <c r="AU648" s="84">
        <f t="shared" si="415"/>
        <v>0</v>
      </c>
      <c r="AV648" s="84">
        <f t="shared" si="416"/>
        <v>0</v>
      </c>
      <c r="AW648" s="84">
        <f t="shared" si="417"/>
        <v>0</v>
      </c>
      <c r="AX648" s="84">
        <f t="shared" si="418"/>
        <v>0</v>
      </c>
      <c r="AY648" s="84">
        <f t="shared" si="419"/>
        <v>0</v>
      </c>
      <c r="AZ648" s="84">
        <f t="shared" si="420"/>
        <v>0</v>
      </c>
      <c r="BA648" s="84">
        <f t="shared" si="421"/>
        <v>0</v>
      </c>
      <c r="BB648" s="84">
        <f t="shared" si="422"/>
        <v>0</v>
      </c>
      <c r="BC648" s="84">
        <f t="shared" si="423"/>
        <v>0</v>
      </c>
      <c r="BD648" s="84">
        <f t="shared" si="424"/>
        <v>0</v>
      </c>
      <c r="BE648" s="84">
        <f t="shared" si="425"/>
        <v>0</v>
      </c>
      <c r="BF648" s="84">
        <f t="shared" si="426"/>
        <v>0</v>
      </c>
      <c r="BG648" s="84">
        <f t="shared" si="427"/>
        <v>0</v>
      </c>
      <c r="BH648" s="84">
        <f t="shared" si="428"/>
        <v>0</v>
      </c>
      <c r="BI648" s="84">
        <f t="shared" si="429"/>
        <v>0</v>
      </c>
      <c r="BJ648" s="84">
        <f t="shared" si="430"/>
        <v>0</v>
      </c>
      <c r="BK648" s="84">
        <f t="shared" si="431"/>
        <v>0</v>
      </c>
      <c r="BL648" s="84">
        <f t="shared" si="432"/>
        <v>0</v>
      </c>
      <c r="BM648" s="84">
        <f t="shared" si="433"/>
        <v>0</v>
      </c>
      <c r="BN648" s="84">
        <f t="shared" si="434"/>
        <v>0</v>
      </c>
      <c r="BO648" s="84">
        <f t="shared" si="435"/>
        <v>0</v>
      </c>
      <c r="BP648" s="84">
        <f t="shared" si="436"/>
        <v>0</v>
      </c>
      <c r="BQ648" s="84">
        <f t="shared" si="437"/>
        <v>0</v>
      </c>
      <c r="BR648" s="84">
        <f t="shared" si="438"/>
        <v>0</v>
      </c>
      <c r="BS648" s="84">
        <f t="shared" si="439"/>
        <v>0</v>
      </c>
      <c r="BT648" s="84">
        <f t="shared" si="440"/>
        <v>0</v>
      </c>
      <c r="BU648" s="84">
        <f t="shared" si="441"/>
        <v>0</v>
      </c>
      <c r="BV648" s="84">
        <f t="shared" si="442"/>
        <v>0</v>
      </c>
      <c r="BW648" s="84">
        <f t="shared" si="443"/>
        <v>0</v>
      </c>
      <c r="BX648" s="84">
        <f t="shared" si="444"/>
        <v>0</v>
      </c>
      <c r="BY648" s="84">
        <f t="shared" si="445"/>
        <v>0</v>
      </c>
      <c r="BZ648" s="84">
        <f t="shared" si="446"/>
        <v>0</v>
      </c>
      <c r="CA648" s="84">
        <f t="shared" si="447"/>
        <v>0</v>
      </c>
      <c r="CB648" s="84">
        <f t="shared" si="448"/>
        <v>0</v>
      </c>
      <c r="CC648" s="84">
        <f t="shared" si="449"/>
        <v>0</v>
      </c>
      <c r="CD648" s="84">
        <f t="shared" si="450"/>
        <v>0</v>
      </c>
    </row>
    <row r="649" spans="11:82" ht="12" customHeight="1" x14ac:dyDescent="0.35">
      <c r="K649" s="13"/>
      <c r="L649" s="13"/>
      <c r="M649" s="13"/>
      <c r="N649" s="13"/>
      <c r="O649" s="13"/>
      <c r="P649" s="13"/>
      <c r="Q649" s="13"/>
      <c r="R649" s="13"/>
      <c r="S649" s="13"/>
      <c r="T649" s="84">
        <f t="shared" si="390"/>
        <v>0</v>
      </c>
      <c r="U649" s="84"/>
      <c r="V649" s="84"/>
      <c r="W649" s="13">
        <f t="shared" si="391"/>
        <v>0</v>
      </c>
      <c r="X649" s="13">
        <f t="shared" si="392"/>
        <v>0</v>
      </c>
      <c r="Y649" s="13">
        <f t="shared" si="393"/>
        <v>0</v>
      </c>
      <c r="Z649" s="13">
        <f t="shared" si="394"/>
        <v>0</v>
      </c>
      <c r="AA649" s="13">
        <f t="shared" si="395"/>
        <v>0</v>
      </c>
      <c r="AB649" s="13">
        <f t="shared" si="396"/>
        <v>0</v>
      </c>
      <c r="AC649" s="13">
        <f t="shared" si="397"/>
        <v>0</v>
      </c>
      <c r="AD649" s="13">
        <f t="shared" si="398"/>
        <v>0</v>
      </c>
      <c r="AE649" s="13">
        <f t="shared" si="399"/>
        <v>0</v>
      </c>
      <c r="AF649" s="84">
        <f t="shared" si="400"/>
        <v>0</v>
      </c>
      <c r="AG649" s="84">
        <f t="shared" si="401"/>
        <v>0</v>
      </c>
      <c r="AH649" s="84">
        <f t="shared" si="402"/>
        <v>0</v>
      </c>
      <c r="AI649" s="84">
        <f t="shared" si="403"/>
        <v>0</v>
      </c>
      <c r="AJ649" s="84">
        <f t="shared" si="404"/>
        <v>0</v>
      </c>
      <c r="AK649" s="84">
        <f t="shared" si="405"/>
        <v>0</v>
      </c>
      <c r="AL649" s="84">
        <f t="shared" si="406"/>
        <v>0</v>
      </c>
      <c r="AM649" s="84">
        <f t="shared" si="407"/>
        <v>0</v>
      </c>
      <c r="AN649" s="84">
        <f t="shared" si="408"/>
        <v>0</v>
      </c>
      <c r="AO649" s="84">
        <f t="shared" si="409"/>
        <v>0</v>
      </c>
      <c r="AP649" s="84">
        <f t="shared" si="410"/>
        <v>0</v>
      </c>
      <c r="AQ649" s="84">
        <f t="shared" si="411"/>
        <v>0</v>
      </c>
      <c r="AR649" s="84">
        <f t="shared" si="412"/>
        <v>0</v>
      </c>
      <c r="AS649" s="84">
        <f t="shared" si="413"/>
        <v>0</v>
      </c>
      <c r="AT649" s="84">
        <f t="shared" si="414"/>
        <v>0</v>
      </c>
      <c r="AU649" s="84">
        <f t="shared" si="415"/>
        <v>0</v>
      </c>
      <c r="AV649" s="84">
        <f t="shared" si="416"/>
        <v>0</v>
      </c>
      <c r="AW649" s="84">
        <f t="shared" si="417"/>
        <v>0</v>
      </c>
      <c r="AX649" s="84">
        <f t="shared" si="418"/>
        <v>0</v>
      </c>
      <c r="AY649" s="84">
        <f t="shared" si="419"/>
        <v>0</v>
      </c>
      <c r="AZ649" s="84">
        <f t="shared" si="420"/>
        <v>0</v>
      </c>
      <c r="BA649" s="84">
        <f t="shared" si="421"/>
        <v>0</v>
      </c>
      <c r="BB649" s="84">
        <f t="shared" si="422"/>
        <v>0</v>
      </c>
      <c r="BC649" s="84">
        <f t="shared" si="423"/>
        <v>0</v>
      </c>
      <c r="BD649" s="84">
        <f t="shared" si="424"/>
        <v>0</v>
      </c>
      <c r="BE649" s="84">
        <f t="shared" si="425"/>
        <v>0</v>
      </c>
      <c r="BF649" s="84">
        <f t="shared" si="426"/>
        <v>0</v>
      </c>
      <c r="BG649" s="84">
        <f t="shared" si="427"/>
        <v>0</v>
      </c>
      <c r="BH649" s="84">
        <f t="shared" si="428"/>
        <v>0</v>
      </c>
      <c r="BI649" s="84">
        <f t="shared" si="429"/>
        <v>0</v>
      </c>
      <c r="BJ649" s="84">
        <f t="shared" si="430"/>
        <v>0</v>
      </c>
      <c r="BK649" s="84">
        <f t="shared" si="431"/>
        <v>0</v>
      </c>
      <c r="BL649" s="84">
        <f t="shared" si="432"/>
        <v>0</v>
      </c>
      <c r="BM649" s="84">
        <f t="shared" si="433"/>
        <v>0</v>
      </c>
      <c r="BN649" s="84">
        <f t="shared" si="434"/>
        <v>0</v>
      </c>
      <c r="BO649" s="84">
        <f t="shared" si="435"/>
        <v>0</v>
      </c>
      <c r="BP649" s="84">
        <f t="shared" si="436"/>
        <v>0</v>
      </c>
      <c r="BQ649" s="84">
        <f t="shared" si="437"/>
        <v>0</v>
      </c>
      <c r="BR649" s="84">
        <f t="shared" si="438"/>
        <v>0</v>
      </c>
      <c r="BS649" s="84">
        <f t="shared" si="439"/>
        <v>0</v>
      </c>
      <c r="BT649" s="84">
        <f t="shared" si="440"/>
        <v>0</v>
      </c>
      <c r="BU649" s="84">
        <f t="shared" si="441"/>
        <v>0</v>
      </c>
      <c r="BV649" s="84">
        <f t="shared" si="442"/>
        <v>0</v>
      </c>
      <c r="BW649" s="84">
        <f t="shared" si="443"/>
        <v>0</v>
      </c>
      <c r="BX649" s="84">
        <f t="shared" si="444"/>
        <v>0</v>
      </c>
      <c r="BY649" s="84">
        <f t="shared" si="445"/>
        <v>0</v>
      </c>
      <c r="BZ649" s="84">
        <f t="shared" si="446"/>
        <v>0</v>
      </c>
      <c r="CA649" s="84">
        <f t="shared" si="447"/>
        <v>0</v>
      </c>
      <c r="CB649" s="84">
        <f t="shared" si="448"/>
        <v>0</v>
      </c>
      <c r="CC649" s="84">
        <f t="shared" si="449"/>
        <v>0</v>
      </c>
      <c r="CD649" s="84">
        <f t="shared" si="450"/>
        <v>0</v>
      </c>
    </row>
    <row r="650" spans="11:82" ht="12" customHeight="1" x14ac:dyDescent="0.35">
      <c r="K650" s="13"/>
      <c r="L650" s="13"/>
      <c r="M650" s="13"/>
      <c r="N650" s="13"/>
      <c r="O650" s="13"/>
      <c r="P650" s="13"/>
      <c r="Q650" s="13"/>
      <c r="R650" s="13"/>
      <c r="S650" s="13"/>
      <c r="T650" s="84">
        <f t="shared" si="390"/>
        <v>0</v>
      </c>
      <c r="U650" s="84"/>
      <c r="V650" s="84"/>
      <c r="W650" s="13">
        <f t="shared" si="391"/>
        <v>0</v>
      </c>
      <c r="X650" s="13">
        <f t="shared" si="392"/>
        <v>0</v>
      </c>
      <c r="Y650" s="13">
        <f t="shared" si="393"/>
        <v>0</v>
      </c>
      <c r="Z650" s="13">
        <f t="shared" si="394"/>
        <v>0</v>
      </c>
      <c r="AA650" s="13">
        <f t="shared" si="395"/>
        <v>0</v>
      </c>
      <c r="AB650" s="13">
        <f t="shared" si="396"/>
        <v>0</v>
      </c>
      <c r="AC650" s="13">
        <f t="shared" si="397"/>
        <v>0</v>
      </c>
      <c r="AD650" s="13">
        <f t="shared" si="398"/>
        <v>0</v>
      </c>
      <c r="AE650" s="13">
        <f t="shared" si="399"/>
        <v>0</v>
      </c>
      <c r="AF650" s="84">
        <f t="shared" si="400"/>
        <v>0</v>
      </c>
      <c r="AG650" s="84">
        <f t="shared" si="401"/>
        <v>0</v>
      </c>
      <c r="AH650" s="84">
        <f t="shared" si="402"/>
        <v>0</v>
      </c>
      <c r="AI650" s="84">
        <f t="shared" si="403"/>
        <v>0</v>
      </c>
      <c r="AJ650" s="84">
        <f t="shared" si="404"/>
        <v>0</v>
      </c>
      <c r="AK650" s="84">
        <f t="shared" si="405"/>
        <v>0</v>
      </c>
      <c r="AL650" s="84">
        <f t="shared" si="406"/>
        <v>0</v>
      </c>
      <c r="AM650" s="84">
        <f t="shared" si="407"/>
        <v>0</v>
      </c>
      <c r="AN650" s="84">
        <f t="shared" si="408"/>
        <v>0</v>
      </c>
      <c r="AO650" s="84">
        <f t="shared" si="409"/>
        <v>0</v>
      </c>
      <c r="AP650" s="84">
        <f t="shared" si="410"/>
        <v>0</v>
      </c>
      <c r="AQ650" s="84">
        <f t="shared" si="411"/>
        <v>0</v>
      </c>
      <c r="AR650" s="84">
        <f t="shared" si="412"/>
        <v>0</v>
      </c>
      <c r="AS650" s="84">
        <f t="shared" si="413"/>
        <v>0</v>
      </c>
      <c r="AT650" s="84">
        <f t="shared" si="414"/>
        <v>0</v>
      </c>
      <c r="AU650" s="84">
        <f t="shared" si="415"/>
        <v>0</v>
      </c>
      <c r="AV650" s="84">
        <f t="shared" si="416"/>
        <v>0</v>
      </c>
      <c r="AW650" s="84">
        <f t="shared" si="417"/>
        <v>0</v>
      </c>
      <c r="AX650" s="84">
        <f t="shared" si="418"/>
        <v>0</v>
      </c>
      <c r="AY650" s="84">
        <f t="shared" si="419"/>
        <v>0</v>
      </c>
      <c r="AZ650" s="84">
        <f t="shared" si="420"/>
        <v>0</v>
      </c>
      <c r="BA650" s="84">
        <f t="shared" si="421"/>
        <v>0</v>
      </c>
      <c r="BB650" s="84">
        <f t="shared" si="422"/>
        <v>0</v>
      </c>
      <c r="BC650" s="84">
        <f t="shared" si="423"/>
        <v>0</v>
      </c>
      <c r="BD650" s="84">
        <f t="shared" si="424"/>
        <v>0</v>
      </c>
      <c r="BE650" s="84">
        <f t="shared" si="425"/>
        <v>0</v>
      </c>
      <c r="BF650" s="84">
        <f t="shared" si="426"/>
        <v>0</v>
      </c>
      <c r="BG650" s="84">
        <f t="shared" si="427"/>
        <v>0</v>
      </c>
      <c r="BH650" s="84">
        <f t="shared" si="428"/>
        <v>0</v>
      </c>
      <c r="BI650" s="84">
        <f t="shared" si="429"/>
        <v>0</v>
      </c>
      <c r="BJ650" s="84">
        <f t="shared" si="430"/>
        <v>0</v>
      </c>
      <c r="BK650" s="84">
        <f t="shared" si="431"/>
        <v>0</v>
      </c>
      <c r="BL650" s="84">
        <f t="shared" si="432"/>
        <v>0</v>
      </c>
      <c r="BM650" s="84">
        <f t="shared" si="433"/>
        <v>0</v>
      </c>
      <c r="BN650" s="84">
        <f t="shared" si="434"/>
        <v>0</v>
      </c>
      <c r="BO650" s="84">
        <f t="shared" si="435"/>
        <v>0</v>
      </c>
      <c r="BP650" s="84">
        <f t="shared" si="436"/>
        <v>0</v>
      </c>
      <c r="BQ650" s="84">
        <f t="shared" si="437"/>
        <v>0</v>
      </c>
      <c r="BR650" s="84">
        <f t="shared" si="438"/>
        <v>0</v>
      </c>
      <c r="BS650" s="84">
        <f t="shared" si="439"/>
        <v>0</v>
      </c>
      <c r="BT650" s="84">
        <f t="shared" si="440"/>
        <v>0</v>
      </c>
      <c r="BU650" s="84">
        <f t="shared" si="441"/>
        <v>0</v>
      </c>
      <c r="BV650" s="84">
        <f t="shared" si="442"/>
        <v>0</v>
      </c>
      <c r="BW650" s="84">
        <f t="shared" si="443"/>
        <v>0</v>
      </c>
      <c r="BX650" s="84">
        <f t="shared" si="444"/>
        <v>0</v>
      </c>
      <c r="BY650" s="84">
        <f t="shared" si="445"/>
        <v>0</v>
      </c>
      <c r="BZ650" s="84">
        <f t="shared" si="446"/>
        <v>0</v>
      </c>
      <c r="CA650" s="84">
        <f t="shared" si="447"/>
        <v>0</v>
      </c>
      <c r="CB650" s="84">
        <f t="shared" si="448"/>
        <v>0</v>
      </c>
      <c r="CC650" s="84">
        <f t="shared" si="449"/>
        <v>0</v>
      </c>
      <c r="CD650" s="84">
        <f t="shared" si="450"/>
        <v>0</v>
      </c>
    </row>
    <row r="651" spans="11:82" ht="12" customHeight="1" x14ac:dyDescent="0.35">
      <c r="K651" s="13"/>
      <c r="L651" s="13"/>
      <c r="M651" s="13"/>
      <c r="N651" s="13"/>
      <c r="O651" s="13"/>
      <c r="P651" s="13"/>
      <c r="Q651" s="13"/>
      <c r="R651" s="13"/>
      <c r="S651" s="13"/>
      <c r="T651" s="84">
        <f t="shared" si="390"/>
        <v>0</v>
      </c>
      <c r="U651" s="84"/>
      <c r="V651" s="84"/>
      <c r="W651" s="13">
        <f t="shared" si="391"/>
        <v>0</v>
      </c>
      <c r="X651" s="13">
        <f t="shared" si="392"/>
        <v>0</v>
      </c>
      <c r="Y651" s="13">
        <f t="shared" si="393"/>
        <v>0</v>
      </c>
      <c r="Z651" s="13">
        <f t="shared" si="394"/>
        <v>0</v>
      </c>
      <c r="AA651" s="13">
        <f t="shared" si="395"/>
        <v>0</v>
      </c>
      <c r="AB651" s="13">
        <f t="shared" si="396"/>
        <v>0</v>
      </c>
      <c r="AC651" s="13">
        <f t="shared" si="397"/>
        <v>0</v>
      </c>
      <c r="AD651" s="13">
        <f t="shared" si="398"/>
        <v>0</v>
      </c>
      <c r="AE651" s="13">
        <f t="shared" si="399"/>
        <v>0</v>
      </c>
      <c r="AF651" s="84">
        <f t="shared" si="400"/>
        <v>0</v>
      </c>
      <c r="AG651" s="84">
        <f t="shared" si="401"/>
        <v>0</v>
      </c>
      <c r="AH651" s="84">
        <f t="shared" si="402"/>
        <v>0</v>
      </c>
      <c r="AI651" s="84">
        <f t="shared" si="403"/>
        <v>0</v>
      </c>
      <c r="AJ651" s="84">
        <f t="shared" si="404"/>
        <v>0</v>
      </c>
      <c r="AK651" s="84">
        <f t="shared" si="405"/>
        <v>0</v>
      </c>
      <c r="AL651" s="84">
        <f t="shared" si="406"/>
        <v>0</v>
      </c>
      <c r="AM651" s="84">
        <f t="shared" si="407"/>
        <v>0</v>
      </c>
      <c r="AN651" s="84">
        <f t="shared" si="408"/>
        <v>0</v>
      </c>
      <c r="AO651" s="84">
        <f t="shared" si="409"/>
        <v>0</v>
      </c>
      <c r="AP651" s="84">
        <f t="shared" si="410"/>
        <v>0</v>
      </c>
      <c r="AQ651" s="84">
        <f t="shared" si="411"/>
        <v>0</v>
      </c>
      <c r="AR651" s="84">
        <f t="shared" si="412"/>
        <v>0</v>
      </c>
      <c r="AS651" s="84">
        <f t="shared" si="413"/>
        <v>0</v>
      </c>
      <c r="AT651" s="84">
        <f t="shared" si="414"/>
        <v>0</v>
      </c>
      <c r="AU651" s="84">
        <f t="shared" si="415"/>
        <v>0</v>
      </c>
      <c r="AV651" s="84">
        <f t="shared" si="416"/>
        <v>0</v>
      </c>
      <c r="AW651" s="84">
        <f t="shared" si="417"/>
        <v>0</v>
      </c>
      <c r="AX651" s="84">
        <f t="shared" si="418"/>
        <v>0</v>
      </c>
      <c r="AY651" s="84">
        <f t="shared" si="419"/>
        <v>0</v>
      </c>
      <c r="AZ651" s="84">
        <f t="shared" si="420"/>
        <v>0</v>
      </c>
      <c r="BA651" s="84">
        <f t="shared" si="421"/>
        <v>0</v>
      </c>
      <c r="BB651" s="84">
        <f t="shared" si="422"/>
        <v>0</v>
      </c>
      <c r="BC651" s="84">
        <f t="shared" si="423"/>
        <v>0</v>
      </c>
      <c r="BD651" s="84">
        <f t="shared" si="424"/>
        <v>0</v>
      </c>
      <c r="BE651" s="84">
        <f t="shared" si="425"/>
        <v>0</v>
      </c>
      <c r="BF651" s="84">
        <f t="shared" si="426"/>
        <v>0</v>
      </c>
      <c r="BG651" s="84">
        <f t="shared" si="427"/>
        <v>0</v>
      </c>
      <c r="BH651" s="84">
        <f t="shared" si="428"/>
        <v>0</v>
      </c>
      <c r="BI651" s="84">
        <f t="shared" si="429"/>
        <v>0</v>
      </c>
      <c r="BJ651" s="84">
        <f t="shared" si="430"/>
        <v>0</v>
      </c>
      <c r="BK651" s="84">
        <f t="shared" si="431"/>
        <v>0</v>
      </c>
      <c r="BL651" s="84">
        <f t="shared" si="432"/>
        <v>0</v>
      </c>
      <c r="BM651" s="84">
        <f t="shared" si="433"/>
        <v>0</v>
      </c>
      <c r="BN651" s="84">
        <f t="shared" si="434"/>
        <v>0</v>
      </c>
      <c r="BO651" s="84">
        <f t="shared" si="435"/>
        <v>0</v>
      </c>
      <c r="BP651" s="84">
        <f t="shared" si="436"/>
        <v>0</v>
      </c>
      <c r="BQ651" s="84">
        <f t="shared" si="437"/>
        <v>0</v>
      </c>
      <c r="BR651" s="84">
        <f t="shared" si="438"/>
        <v>0</v>
      </c>
      <c r="BS651" s="84">
        <f t="shared" si="439"/>
        <v>0</v>
      </c>
      <c r="BT651" s="84">
        <f t="shared" si="440"/>
        <v>0</v>
      </c>
      <c r="BU651" s="84">
        <f t="shared" si="441"/>
        <v>0</v>
      </c>
      <c r="BV651" s="84">
        <f t="shared" si="442"/>
        <v>0</v>
      </c>
      <c r="BW651" s="84">
        <f t="shared" si="443"/>
        <v>0</v>
      </c>
      <c r="BX651" s="84">
        <f t="shared" si="444"/>
        <v>0</v>
      </c>
      <c r="BY651" s="84">
        <f t="shared" si="445"/>
        <v>0</v>
      </c>
      <c r="BZ651" s="84">
        <f t="shared" si="446"/>
        <v>0</v>
      </c>
      <c r="CA651" s="84">
        <f t="shared" si="447"/>
        <v>0</v>
      </c>
      <c r="CB651" s="84">
        <f t="shared" si="448"/>
        <v>0</v>
      </c>
      <c r="CC651" s="84">
        <f t="shared" si="449"/>
        <v>0</v>
      </c>
      <c r="CD651" s="84">
        <f t="shared" si="450"/>
        <v>0</v>
      </c>
    </row>
    <row r="652" spans="11:82" ht="12" customHeight="1" x14ac:dyDescent="0.35">
      <c r="K652" s="13"/>
      <c r="L652" s="13"/>
      <c r="M652" s="13"/>
      <c r="N652" s="13"/>
      <c r="O652" s="13"/>
      <c r="P652" s="13"/>
      <c r="Q652" s="13"/>
      <c r="R652" s="13"/>
      <c r="S652" s="13"/>
      <c r="T652" s="84">
        <f t="shared" si="390"/>
        <v>0</v>
      </c>
      <c r="U652" s="84"/>
      <c r="V652" s="84"/>
      <c r="W652" s="13">
        <f t="shared" si="391"/>
        <v>0</v>
      </c>
      <c r="X652" s="13">
        <f t="shared" si="392"/>
        <v>0</v>
      </c>
      <c r="Y652" s="13">
        <f t="shared" si="393"/>
        <v>0</v>
      </c>
      <c r="Z652" s="13">
        <f t="shared" si="394"/>
        <v>0</v>
      </c>
      <c r="AA652" s="13">
        <f t="shared" si="395"/>
        <v>0</v>
      </c>
      <c r="AB652" s="13">
        <f t="shared" si="396"/>
        <v>0</v>
      </c>
      <c r="AC652" s="13">
        <f t="shared" si="397"/>
        <v>0</v>
      </c>
      <c r="AD652" s="13">
        <f t="shared" si="398"/>
        <v>0</v>
      </c>
      <c r="AE652" s="13">
        <f t="shared" si="399"/>
        <v>0</v>
      </c>
      <c r="AF652" s="84">
        <f t="shared" si="400"/>
        <v>0</v>
      </c>
      <c r="AG652" s="84">
        <f t="shared" si="401"/>
        <v>0</v>
      </c>
      <c r="AH652" s="84">
        <f t="shared" si="402"/>
        <v>0</v>
      </c>
      <c r="AI652" s="84">
        <f t="shared" si="403"/>
        <v>0</v>
      </c>
      <c r="AJ652" s="84">
        <f t="shared" si="404"/>
        <v>0</v>
      </c>
      <c r="AK652" s="84">
        <f t="shared" si="405"/>
        <v>0</v>
      </c>
      <c r="AL652" s="84">
        <f t="shared" si="406"/>
        <v>0</v>
      </c>
      <c r="AM652" s="84">
        <f t="shared" si="407"/>
        <v>0</v>
      </c>
      <c r="AN652" s="84">
        <f t="shared" si="408"/>
        <v>0</v>
      </c>
      <c r="AO652" s="84">
        <f t="shared" si="409"/>
        <v>0</v>
      </c>
      <c r="AP652" s="84">
        <f t="shared" si="410"/>
        <v>0</v>
      </c>
      <c r="AQ652" s="84">
        <f t="shared" si="411"/>
        <v>0</v>
      </c>
      <c r="AR652" s="84">
        <f t="shared" si="412"/>
        <v>0</v>
      </c>
      <c r="AS652" s="84">
        <f t="shared" si="413"/>
        <v>0</v>
      </c>
      <c r="AT652" s="84">
        <f t="shared" si="414"/>
        <v>0</v>
      </c>
      <c r="AU652" s="84">
        <f t="shared" si="415"/>
        <v>0</v>
      </c>
      <c r="AV652" s="84">
        <f t="shared" si="416"/>
        <v>0</v>
      </c>
      <c r="AW652" s="84">
        <f t="shared" si="417"/>
        <v>0</v>
      </c>
      <c r="AX652" s="84">
        <f t="shared" si="418"/>
        <v>0</v>
      </c>
      <c r="AY652" s="84">
        <f t="shared" si="419"/>
        <v>0</v>
      </c>
      <c r="AZ652" s="84">
        <f t="shared" si="420"/>
        <v>0</v>
      </c>
      <c r="BA652" s="84">
        <f t="shared" si="421"/>
        <v>0</v>
      </c>
      <c r="BB652" s="84">
        <f t="shared" si="422"/>
        <v>0</v>
      </c>
      <c r="BC652" s="84">
        <f t="shared" si="423"/>
        <v>0</v>
      </c>
      <c r="BD652" s="84">
        <f t="shared" si="424"/>
        <v>0</v>
      </c>
      <c r="BE652" s="84">
        <f t="shared" si="425"/>
        <v>0</v>
      </c>
      <c r="BF652" s="84">
        <f t="shared" si="426"/>
        <v>0</v>
      </c>
      <c r="BG652" s="84">
        <f t="shared" si="427"/>
        <v>0</v>
      </c>
      <c r="BH652" s="84">
        <f t="shared" si="428"/>
        <v>0</v>
      </c>
      <c r="BI652" s="84">
        <f t="shared" si="429"/>
        <v>0</v>
      </c>
      <c r="BJ652" s="84">
        <f t="shared" si="430"/>
        <v>0</v>
      </c>
      <c r="BK652" s="84">
        <f t="shared" si="431"/>
        <v>0</v>
      </c>
      <c r="BL652" s="84">
        <f t="shared" si="432"/>
        <v>0</v>
      </c>
      <c r="BM652" s="84">
        <f t="shared" si="433"/>
        <v>0</v>
      </c>
      <c r="BN652" s="84">
        <f t="shared" si="434"/>
        <v>0</v>
      </c>
      <c r="BO652" s="84">
        <f t="shared" si="435"/>
        <v>0</v>
      </c>
      <c r="BP652" s="84">
        <f t="shared" si="436"/>
        <v>0</v>
      </c>
      <c r="BQ652" s="84">
        <f t="shared" si="437"/>
        <v>0</v>
      </c>
      <c r="BR652" s="84">
        <f t="shared" si="438"/>
        <v>0</v>
      </c>
      <c r="BS652" s="84">
        <f t="shared" si="439"/>
        <v>0</v>
      </c>
      <c r="BT652" s="84">
        <f t="shared" si="440"/>
        <v>0</v>
      </c>
      <c r="BU652" s="84">
        <f t="shared" si="441"/>
        <v>0</v>
      </c>
      <c r="BV652" s="84">
        <f t="shared" si="442"/>
        <v>0</v>
      </c>
      <c r="BW652" s="84">
        <f t="shared" si="443"/>
        <v>0</v>
      </c>
      <c r="BX652" s="84">
        <f t="shared" si="444"/>
        <v>0</v>
      </c>
      <c r="BY652" s="84">
        <f t="shared" si="445"/>
        <v>0</v>
      </c>
      <c r="BZ652" s="84">
        <f t="shared" si="446"/>
        <v>0</v>
      </c>
      <c r="CA652" s="84">
        <f t="shared" si="447"/>
        <v>0</v>
      </c>
      <c r="CB652" s="84">
        <f t="shared" si="448"/>
        <v>0</v>
      </c>
      <c r="CC652" s="84">
        <f t="shared" si="449"/>
        <v>0</v>
      </c>
      <c r="CD652" s="84">
        <f t="shared" si="450"/>
        <v>0</v>
      </c>
    </row>
    <row r="653" spans="11:82" ht="12" customHeight="1" x14ac:dyDescent="0.35">
      <c r="K653" s="13"/>
      <c r="L653" s="13"/>
      <c r="M653" s="13"/>
      <c r="N653" s="13"/>
      <c r="O653" s="13"/>
      <c r="P653" s="13"/>
      <c r="Q653" s="13"/>
      <c r="R653" s="13"/>
      <c r="S653" s="13"/>
      <c r="T653" s="84">
        <f t="shared" si="390"/>
        <v>0</v>
      </c>
      <c r="U653" s="84"/>
      <c r="V653" s="84"/>
      <c r="W653" s="13">
        <f t="shared" si="391"/>
        <v>0</v>
      </c>
      <c r="X653" s="13">
        <f t="shared" si="392"/>
        <v>0</v>
      </c>
      <c r="Y653" s="13">
        <f t="shared" si="393"/>
        <v>0</v>
      </c>
      <c r="Z653" s="13">
        <f t="shared" si="394"/>
        <v>0</v>
      </c>
      <c r="AA653" s="13">
        <f t="shared" si="395"/>
        <v>0</v>
      </c>
      <c r="AB653" s="13">
        <f t="shared" si="396"/>
        <v>0</v>
      </c>
      <c r="AC653" s="13">
        <f t="shared" si="397"/>
        <v>0</v>
      </c>
      <c r="AD653" s="13">
        <f t="shared" si="398"/>
        <v>0</v>
      </c>
      <c r="AE653" s="13">
        <f t="shared" si="399"/>
        <v>0</v>
      </c>
      <c r="AF653" s="84">
        <f t="shared" si="400"/>
        <v>0</v>
      </c>
      <c r="AG653" s="84">
        <f t="shared" si="401"/>
        <v>0</v>
      </c>
      <c r="AH653" s="84">
        <f t="shared" si="402"/>
        <v>0</v>
      </c>
      <c r="AI653" s="84">
        <f t="shared" si="403"/>
        <v>0</v>
      </c>
      <c r="AJ653" s="84">
        <f t="shared" si="404"/>
        <v>0</v>
      </c>
      <c r="AK653" s="84">
        <f t="shared" si="405"/>
        <v>0</v>
      </c>
      <c r="AL653" s="84">
        <f t="shared" si="406"/>
        <v>0</v>
      </c>
      <c r="AM653" s="84">
        <f t="shared" si="407"/>
        <v>0</v>
      </c>
      <c r="AN653" s="84">
        <f t="shared" si="408"/>
        <v>0</v>
      </c>
      <c r="AO653" s="84">
        <f t="shared" si="409"/>
        <v>0</v>
      </c>
      <c r="AP653" s="84">
        <f t="shared" si="410"/>
        <v>0</v>
      </c>
      <c r="AQ653" s="84">
        <f t="shared" si="411"/>
        <v>0</v>
      </c>
      <c r="AR653" s="84">
        <f t="shared" si="412"/>
        <v>0</v>
      </c>
      <c r="AS653" s="84">
        <f t="shared" si="413"/>
        <v>0</v>
      </c>
      <c r="AT653" s="84">
        <f t="shared" si="414"/>
        <v>0</v>
      </c>
      <c r="AU653" s="84">
        <f t="shared" si="415"/>
        <v>0</v>
      </c>
      <c r="AV653" s="84">
        <f t="shared" si="416"/>
        <v>0</v>
      </c>
      <c r="AW653" s="84">
        <f t="shared" si="417"/>
        <v>0</v>
      </c>
      <c r="AX653" s="84">
        <f t="shared" si="418"/>
        <v>0</v>
      </c>
      <c r="AY653" s="84">
        <f t="shared" si="419"/>
        <v>0</v>
      </c>
      <c r="AZ653" s="84">
        <f t="shared" si="420"/>
        <v>0</v>
      </c>
      <c r="BA653" s="84">
        <f t="shared" si="421"/>
        <v>0</v>
      </c>
      <c r="BB653" s="84">
        <f t="shared" si="422"/>
        <v>0</v>
      </c>
      <c r="BC653" s="84">
        <f t="shared" si="423"/>
        <v>0</v>
      </c>
      <c r="BD653" s="84">
        <f t="shared" si="424"/>
        <v>0</v>
      </c>
      <c r="BE653" s="84">
        <f t="shared" si="425"/>
        <v>0</v>
      </c>
      <c r="BF653" s="84">
        <f t="shared" si="426"/>
        <v>0</v>
      </c>
      <c r="BG653" s="84">
        <f t="shared" si="427"/>
        <v>0</v>
      </c>
      <c r="BH653" s="84">
        <f t="shared" si="428"/>
        <v>0</v>
      </c>
      <c r="BI653" s="84">
        <f t="shared" si="429"/>
        <v>0</v>
      </c>
      <c r="BJ653" s="84">
        <f t="shared" si="430"/>
        <v>0</v>
      </c>
      <c r="BK653" s="84">
        <f t="shared" si="431"/>
        <v>0</v>
      </c>
      <c r="BL653" s="84">
        <f t="shared" si="432"/>
        <v>0</v>
      </c>
      <c r="BM653" s="84">
        <f t="shared" si="433"/>
        <v>0</v>
      </c>
      <c r="BN653" s="84">
        <f t="shared" si="434"/>
        <v>0</v>
      </c>
      <c r="BO653" s="84">
        <f t="shared" si="435"/>
        <v>0</v>
      </c>
      <c r="BP653" s="84">
        <f t="shared" si="436"/>
        <v>0</v>
      </c>
      <c r="BQ653" s="84">
        <f t="shared" si="437"/>
        <v>0</v>
      </c>
      <c r="BR653" s="84">
        <f t="shared" si="438"/>
        <v>0</v>
      </c>
      <c r="BS653" s="84">
        <f t="shared" si="439"/>
        <v>0</v>
      </c>
      <c r="BT653" s="84">
        <f t="shared" si="440"/>
        <v>0</v>
      </c>
      <c r="BU653" s="84">
        <f t="shared" si="441"/>
        <v>0</v>
      </c>
      <c r="BV653" s="84">
        <f t="shared" si="442"/>
        <v>0</v>
      </c>
      <c r="BW653" s="84">
        <f t="shared" si="443"/>
        <v>0</v>
      </c>
      <c r="BX653" s="84">
        <f t="shared" si="444"/>
        <v>0</v>
      </c>
      <c r="BY653" s="84">
        <f t="shared" si="445"/>
        <v>0</v>
      </c>
      <c r="BZ653" s="84">
        <f t="shared" si="446"/>
        <v>0</v>
      </c>
      <c r="CA653" s="84">
        <f t="shared" si="447"/>
        <v>0</v>
      </c>
      <c r="CB653" s="84">
        <f t="shared" si="448"/>
        <v>0</v>
      </c>
      <c r="CC653" s="84">
        <f t="shared" si="449"/>
        <v>0</v>
      </c>
      <c r="CD653" s="84">
        <f t="shared" si="450"/>
        <v>0</v>
      </c>
    </row>
    <row r="654" spans="11:82" ht="12" customHeight="1" x14ac:dyDescent="0.35">
      <c r="K654" s="13"/>
      <c r="L654" s="13"/>
      <c r="M654" s="13"/>
      <c r="N654" s="13"/>
      <c r="O654" s="13"/>
      <c r="P654" s="13"/>
      <c r="Q654" s="13"/>
      <c r="R654" s="13"/>
      <c r="S654" s="13"/>
      <c r="T654" s="84">
        <f t="shared" si="390"/>
        <v>0</v>
      </c>
      <c r="U654" s="84"/>
      <c r="V654" s="84"/>
      <c r="W654" s="13">
        <f t="shared" si="391"/>
        <v>0</v>
      </c>
      <c r="X654" s="13">
        <f t="shared" si="392"/>
        <v>0</v>
      </c>
      <c r="Y654" s="13">
        <f t="shared" si="393"/>
        <v>0</v>
      </c>
      <c r="Z654" s="13">
        <f t="shared" si="394"/>
        <v>0</v>
      </c>
      <c r="AA654" s="13">
        <f t="shared" si="395"/>
        <v>0</v>
      </c>
      <c r="AB654" s="13">
        <f t="shared" si="396"/>
        <v>0</v>
      </c>
      <c r="AC654" s="13">
        <f t="shared" si="397"/>
        <v>0</v>
      </c>
      <c r="AD654" s="13">
        <f t="shared" si="398"/>
        <v>0</v>
      </c>
      <c r="AE654" s="13">
        <f t="shared" si="399"/>
        <v>0</v>
      </c>
      <c r="AF654" s="84">
        <f t="shared" si="400"/>
        <v>0</v>
      </c>
      <c r="AG654" s="84">
        <f t="shared" si="401"/>
        <v>0</v>
      </c>
      <c r="AH654" s="84">
        <f t="shared" si="402"/>
        <v>0</v>
      </c>
      <c r="AI654" s="84">
        <f t="shared" si="403"/>
        <v>0</v>
      </c>
      <c r="AJ654" s="84">
        <f t="shared" si="404"/>
        <v>0</v>
      </c>
      <c r="AK654" s="84">
        <f t="shared" si="405"/>
        <v>0</v>
      </c>
      <c r="AL654" s="84">
        <f t="shared" si="406"/>
        <v>0</v>
      </c>
      <c r="AM654" s="84">
        <f t="shared" si="407"/>
        <v>0</v>
      </c>
      <c r="AN654" s="84">
        <f t="shared" si="408"/>
        <v>0</v>
      </c>
      <c r="AO654" s="84">
        <f t="shared" si="409"/>
        <v>0</v>
      </c>
      <c r="AP654" s="84">
        <f t="shared" si="410"/>
        <v>0</v>
      </c>
      <c r="AQ654" s="84">
        <f t="shared" si="411"/>
        <v>0</v>
      </c>
      <c r="AR654" s="84">
        <f t="shared" si="412"/>
        <v>0</v>
      </c>
      <c r="AS654" s="84">
        <f t="shared" si="413"/>
        <v>0</v>
      </c>
      <c r="AT654" s="84">
        <f t="shared" si="414"/>
        <v>0</v>
      </c>
      <c r="AU654" s="84">
        <f t="shared" si="415"/>
        <v>0</v>
      </c>
      <c r="AV654" s="84">
        <f t="shared" si="416"/>
        <v>0</v>
      </c>
      <c r="AW654" s="84">
        <f t="shared" si="417"/>
        <v>0</v>
      </c>
      <c r="AX654" s="84">
        <f t="shared" si="418"/>
        <v>0</v>
      </c>
      <c r="AY654" s="84">
        <f t="shared" si="419"/>
        <v>0</v>
      </c>
      <c r="AZ654" s="84">
        <f t="shared" si="420"/>
        <v>0</v>
      </c>
      <c r="BA654" s="84">
        <f t="shared" si="421"/>
        <v>0</v>
      </c>
      <c r="BB654" s="84">
        <f t="shared" si="422"/>
        <v>0</v>
      </c>
      <c r="BC654" s="84">
        <f t="shared" si="423"/>
        <v>0</v>
      </c>
      <c r="BD654" s="84">
        <f t="shared" si="424"/>
        <v>0</v>
      </c>
      <c r="BE654" s="84">
        <f t="shared" si="425"/>
        <v>0</v>
      </c>
      <c r="BF654" s="84">
        <f t="shared" si="426"/>
        <v>0</v>
      </c>
      <c r="BG654" s="84">
        <f t="shared" si="427"/>
        <v>0</v>
      </c>
      <c r="BH654" s="84">
        <f t="shared" si="428"/>
        <v>0</v>
      </c>
      <c r="BI654" s="84">
        <f t="shared" si="429"/>
        <v>0</v>
      </c>
      <c r="BJ654" s="84">
        <f t="shared" si="430"/>
        <v>0</v>
      </c>
      <c r="BK654" s="84">
        <f t="shared" si="431"/>
        <v>0</v>
      </c>
      <c r="BL654" s="84">
        <f t="shared" si="432"/>
        <v>0</v>
      </c>
      <c r="BM654" s="84">
        <f t="shared" si="433"/>
        <v>0</v>
      </c>
      <c r="BN654" s="84">
        <f t="shared" si="434"/>
        <v>0</v>
      </c>
      <c r="BO654" s="84">
        <f t="shared" si="435"/>
        <v>0</v>
      </c>
      <c r="BP654" s="84">
        <f t="shared" si="436"/>
        <v>0</v>
      </c>
      <c r="BQ654" s="84">
        <f t="shared" si="437"/>
        <v>0</v>
      </c>
      <c r="BR654" s="84">
        <f t="shared" si="438"/>
        <v>0</v>
      </c>
      <c r="BS654" s="84">
        <f t="shared" si="439"/>
        <v>0</v>
      </c>
      <c r="BT654" s="84">
        <f t="shared" si="440"/>
        <v>0</v>
      </c>
      <c r="BU654" s="84">
        <f t="shared" si="441"/>
        <v>0</v>
      </c>
      <c r="BV654" s="84">
        <f t="shared" si="442"/>
        <v>0</v>
      </c>
      <c r="BW654" s="84">
        <f t="shared" si="443"/>
        <v>0</v>
      </c>
      <c r="BX654" s="84">
        <f t="shared" si="444"/>
        <v>0</v>
      </c>
      <c r="BY654" s="84">
        <f t="shared" si="445"/>
        <v>0</v>
      </c>
      <c r="BZ654" s="84">
        <f t="shared" si="446"/>
        <v>0</v>
      </c>
      <c r="CA654" s="84">
        <f t="shared" si="447"/>
        <v>0</v>
      </c>
      <c r="CB654" s="84">
        <f t="shared" si="448"/>
        <v>0</v>
      </c>
      <c r="CC654" s="84">
        <f t="shared" si="449"/>
        <v>0</v>
      </c>
      <c r="CD654" s="84">
        <f t="shared" si="450"/>
        <v>0</v>
      </c>
    </row>
    <row r="655" spans="11:82" ht="12" customHeight="1" x14ac:dyDescent="0.35">
      <c r="K655" s="13"/>
      <c r="L655" s="13"/>
      <c r="M655" s="13"/>
      <c r="N655" s="13"/>
      <c r="O655" s="13"/>
      <c r="P655" s="13"/>
      <c r="Q655" s="13"/>
      <c r="R655" s="13"/>
      <c r="S655" s="13"/>
      <c r="T655" s="84">
        <f t="shared" si="390"/>
        <v>0</v>
      </c>
      <c r="U655" s="84"/>
      <c r="V655" s="84"/>
      <c r="W655" s="13">
        <f t="shared" si="391"/>
        <v>0</v>
      </c>
      <c r="X655" s="13">
        <f t="shared" si="392"/>
        <v>0</v>
      </c>
      <c r="Y655" s="13">
        <f t="shared" si="393"/>
        <v>0</v>
      </c>
      <c r="Z655" s="13">
        <f t="shared" si="394"/>
        <v>0</v>
      </c>
      <c r="AA655" s="13">
        <f t="shared" si="395"/>
        <v>0</v>
      </c>
      <c r="AB655" s="13">
        <f t="shared" si="396"/>
        <v>0</v>
      </c>
      <c r="AC655" s="13">
        <f t="shared" si="397"/>
        <v>0</v>
      </c>
      <c r="AD655" s="13">
        <f t="shared" si="398"/>
        <v>0</v>
      </c>
      <c r="AE655" s="13">
        <f t="shared" si="399"/>
        <v>0</v>
      </c>
      <c r="AF655" s="84">
        <f t="shared" si="400"/>
        <v>0</v>
      </c>
      <c r="AG655" s="84">
        <f t="shared" si="401"/>
        <v>0</v>
      </c>
      <c r="AH655" s="84">
        <f t="shared" si="402"/>
        <v>0</v>
      </c>
      <c r="AI655" s="84">
        <f t="shared" si="403"/>
        <v>0</v>
      </c>
      <c r="AJ655" s="84">
        <f t="shared" si="404"/>
        <v>0</v>
      </c>
      <c r="AK655" s="84">
        <f t="shared" si="405"/>
        <v>0</v>
      </c>
      <c r="AL655" s="84">
        <f t="shared" si="406"/>
        <v>0</v>
      </c>
      <c r="AM655" s="84">
        <f t="shared" si="407"/>
        <v>0</v>
      </c>
      <c r="AN655" s="84">
        <f t="shared" si="408"/>
        <v>0</v>
      </c>
      <c r="AO655" s="84">
        <f t="shared" si="409"/>
        <v>0</v>
      </c>
      <c r="AP655" s="84">
        <f t="shared" si="410"/>
        <v>0</v>
      </c>
      <c r="AQ655" s="84">
        <f t="shared" si="411"/>
        <v>0</v>
      </c>
      <c r="AR655" s="84">
        <f t="shared" si="412"/>
        <v>0</v>
      </c>
      <c r="AS655" s="84">
        <f t="shared" si="413"/>
        <v>0</v>
      </c>
      <c r="AT655" s="84">
        <f t="shared" si="414"/>
        <v>0</v>
      </c>
      <c r="AU655" s="84">
        <f t="shared" si="415"/>
        <v>0</v>
      </c>
      <c r="AV655" s="84">
        <f t="shared" si="416"/>
        <v>0</v>
      </c>
      <c r="AW655" s="84">
        <f t="shared" si="417"/>
        <v>0</v>
      </c>
      <c r="AX655" s="84">
        <f t="shared" si="418"/>
        <v>0</v>
      </c>
      <c r="AY655" s="84">
        <f t="shared" si="419"/>
        <v>0</v>
      </c>
      <c r="AZ655" s="84">
        <f t="shared" si="420"/>
        <v>0</v>
      </c>
      <c r="BA655" s="84">
        <f t="shared" si="421"/>
        <v>0</v>
      </c>
      <c r="BB655" s="84">
        <f t="shared" si="422"/>
        <v>0</v>
      </c>
      <c r="BC655" s="84">
        <f t="shared" si="423"/>
        <v>0</v>
      </c>
      <c r="BD655" s="84">
        <f t="shared" si="424"/>
        <v>0</v>
      </c>
      <c r="BE655" s="84">
        <f t="shared" si="425"/>
        <v>0</v>
      </c>
      <c r="BF655" s="84">
        <f t="shared" si="426"/>
        <v>0</v>
      </c>
      <c r="BG655" s="84">
        <f t="shared" si="427"/>
        <v>0</v>
      </c>
      <c r="BH655" s="84">
        <f t="shared" si="428"/>
        <v>0</v>
      </c>
      <c r="BI655" s="84">
        <f t="shared" si="429"/>
        <v>0</v>
      </c>
      <c r="BJ655" s="84">
        <f t="shared" si="430"/>
        <v>0</v>
      </c>
      <c r="BK655" s="84">
        <f t="shared" si="431"/>
        <v>0</v>
      </c>
      <c r="BL655" s="84">
        <f t="shared" si="432"/>
        <v>0</v>
      </c>
      <c r="BM655" s="84">
        <f t="shared" si="433"/>
        <v>0</v>
      </c>
      <c r="BN655" s="84">
        <f t="shared" si="434"/>
        <v>0</v>
      </c>
      <c r="BO655" s="84">
        <f t="shared" si="435"/>
        <v>0</v>
      </c>
      <c r="BP655" s="84">
        <f t="shared" si="436"/>
        <v>0</v>
      </c>
      <c r="BQ655" s="84">
        <f t="shared" si="437"/>
        <v>0</v>
      </c>
      <c r="BR655" s="84">
        <f t="shared" si="438"/>
        <v>0</v>
      </c>
      <c r="BS655" s="84">
        <f t="shared" si="439"/>
        <v>0</v>
      </c>
      <c r="BT655" s="84">
        <f t="shared" si="440"/>
        <v>0</v>
      </c>
      <c r="BU655" s="84">
        <f t="shared" si="441"/>
        <v>0</v>
      </c>
      <c r="BV655" s="84">
        <f t="shared" si="442"/>
        <v>0</v>
      </c>
      <c r="BW655" s="84">
        <f t="shared" si="443"/>
        <v>0</v>
      </c>
      <c r="BX655" s="84">
        <f t="shared" si="444"/>
        <v>0</v>
      </c>
      <c r="BY655" s="84">
        <f t="shared" si="445"/>
        <v>0</v>
      </c>
      <c r="BZ655" s="84">
        <f t="shared" si="446"/>
        <v>0</v>
      </c>
      <c r="CA655" s="84">
        <f t="shared" si="447"/>
        <v>0</v>
      </c>
      <c r="CB655" s="84">
        <f t="shared" si="448"/>
        <v>0</v>
      </c>
      <c r="CC655" s="84">
        <f t="shared" si="449"/>
        <v>0</v>
      </c>
      <c r="CD655" s="84">
        <f t="shared" si="450"/>
        <v>0</v>
      </c>
    </row>
    <row r="656" spans="11:82" ht="12" customHeight="1" x14ac:dyDescent="0.35">
      <c r="K656" s="13"/>
      <c r="L656" s="13"/>
      <c r="M656" s="13"/>
      <c r="N656" s="13"/>
      <c r="O656" s="13"/>
      <c r="P656" s="13"/>
      <c r="Q656" s="13"/>
      <c r="R656" s="13"/>
      <c r="S656" s="13"/>
      <c r="T656" s="84">
        <f t="shared" si="390"/>
        <v>0</v>
      </c>
      <c r="U656" s="84"/>
      <c r="V656" s="84"/>
      <c r="W656" s="13">
        <f t="shared" si="391"/>
        <v>0</v>
      </c>
      <c r="X656" s="13">
        <f t="shared" si="392"/>
        <v>0</v>
      </c>
      <c r="Y656" s="13">
        <f t="shared" si="393"/>
        <v>0</v>
      </c>
      <c r="Z656" s="13">
        <f t="shared" si="394"/>
        <v>0</v>
      </c>
      <c r="AA656" s="13">
        <f t="shared" si="395"/>
        <v>0</v>
      </c>
      <c r="AB656" s="13">
        <f t="shared" si="396"/>
        <v>0</v>
      </c>
      <c r="AC656" s="13">
        <f t="shared" si="397"/>
        <v>0</v>
      </c>
      <c r="AD656" s="13">
        <f t="shared" si="398"/>
        <v>0</v>
      </c>
      <c r="AE656" s="13">
        <f t="shared" si="399"/>
        <v>0</v>
      </c>
      <c r="AF656" s="84">
        <f t="shared" si="400"/>
        <v>0</v>
      </c>
      <c r="AG656" s="84">
        <f t="shared" si="401"/>
        <v>0</v>
      </c>
      <c r="AH656" s="84">
        <f t="shared" si="402"/>
        <v>0</v>
      </c>
      <c r="AI656" s="84">
        <f t="shared" si="403"/>
        <v>0</v>
      </c>
      <c r="AJ656" s="84">
        <f t="shared" si="404"/>
        <v>0</v>
      </c>
      <c r="AK656" s="84">
        <f t="shared" si="405"/>
        <v>0</v>
      </c>
      <c r="AL656" s="84">
        <f t="shared" si="406"/>
        <v>0</v>
      </c>
      <c r="AM656" s="84">
        <f t="shared" si="407"/>
        <v>0</v>
      </c>
      <c r="AN656" s="84">
        <f t="shared" si="408"/>
        <v>0</v>
      </c>
      <c r="AO656" s="84">
        <f t="shared" si="409"/>
        <v>0</v>
      </c>
      <c r="AP656" s="84">
        <f t="shared" si="410"/>
        <v>0</v>
      </c>
      <c r="AQ656" s="84">
        <f t="shared" si="411"/>
        <v>0</v>
      </c>
      <c r="AR656" s="84">
        <f t="shared" si="412"/>
        <v>0</v>
      </c>
      <c r="AS656" s="84">
        <f t="shared" si="413"/>
        <v>0</v>
      </c>
      <c r="AT656" s="84">
        <f t="shared" si="414"/>
        <v>0</v>
      </c>
      <c r="AU656" s="84">
        <f t="shared" si="415"/>
        <v>0</v>
      </c>
      <c r="AV656" s="84">
        <f t="shared" si="416"/>
        <v>0</v>
      </c>
      <c r="AW656" s="84">
        <f t="shared" si="417"/>
        <v>0</v>
      </c>
      <c r="AX656" s="84">
        <f t="shared" si="418"/>
        <v>0</v>
      </c>
      <c r="AY656" s="84">
        <f t="shared" si="419"/>
        <v>0</v>
      </c>
      <c r="AZ656" s="84">
        <f t="shared" si="420"/>
        <v>0</v>
      </c>
      <c r="BA656" s="84">
        <f t="shared" si="421"/>
        <v>0</v>
      </c>
      <c r="BB656" s="84">
        <f t="shared" si="422"/>
        <v>0</v>
      </c>
      <c r="BC656" s="84">
        <f t="shared" si="423"/>
        <v>0</v>
      </c>
      <c r="BD656" s="84">
        <f t="shared" si="424"/>
        <v>0</v>
      </c>
      <c r="BE656" s="84">
        <f t="shared" si="425"/>
        <v>0</v>
      </c>
      <c r="BF656" s="84">
        <f t="shared" si="426"/>
        <v>0</v>
      </c>
      <c r="BG656" s="84">
        <f t="shared" si="427"/>
        <v>0</v>
      </c>
      <c r="BH656" s="84">
        <f t="shared" si="428"/>
        <v>0</v>
      </c>
      <c r="BI656" s="84">
        <f t="shared" si="429"/>
        <v>0</v>
      </c>
      <c r="BJ656" s="84">
        <f t="shared" si="430"/>
        <v>0</v>
      </c>
      <c r="BK656" s="84">
        <f t="shared" si="431"/>
        <v>0</v>
      </c>
      <c r="BL656" s="84">
        <f t="shared" si="432"/>
        <v>0</v>
      </c>
      <c r="BM656" s="84">
        <f t="shared" si="433"/>
        <v>0</v>
      </c>
      <c r="BN656" s="84">
        <f t="shared" si="434"/>
        <v>0</v>
      </c>
      <c r="BO656" s="84">
        <f t="shared" si="435"/>
        <v>0</v>
      </c>
      <c r="BP656" s="84">
        <f t="shared" si="436"/>
        <v>0</v>
      </c>
      <c r="BQ656" s="84">
        <f t="shared" si="437"/>
        <v>0</v>
      </c>
      <c r="BR656" s="84">
        <f t="shared" si="438"/>
        <v>0</v>
      </c>
      <c r="BS656" s="84">
        <f t="shared" si="439"/>
        <v>0</v>
      </c>
      <c r="BT656" s="84">
        <f t="shared" si="440"/>
        <v>0</v>
      </c>
      <c r="BU656" s="84">
        <f t="shared" si="441"/>
        <v>0</v>
      </c>
      <c r="BV656" s="84">
        <f t="shared" si="442"/>
        <v>0</v>
      </c>
      <c r="BW656" s="84">
        <f t="shared" si="443"/>
        <v>0</v>
      </c>
      <c r="BX656" s="84">
        <f t="shared" si="444"/>
        <v>0</v>
      </c>
      <c r="BY656" s="84">
        <f t="shared" si="445"/>
        <v>0</v>
      </c>
      <c r="BZ656" s="84">
        <f t="shared" si="446"/>
        <v>0</v>
      </c>
      <c r="CA656" s="84">
        <f t="shared" si="447"/>
        <v>0</v>
      </c>
      <c r="CB656" s="84">
        <f t="shared" si="448"/>
        <v>0</v>
      </c>
      <c r="CC656" s="84">
        <f t="shared" si="449"/>
        <v>0</v>
      </c>
      <c r="CD656" s="84">
        <f t="shared" si="450"/>
        <v>0</v>
      </c>
    </row>
    <row r="657" spans="11:82" ht="12" customHeight="1" x14ac:dyDescent="0.35">
      <c r="K657" s="13"/>
      <c r="L657" s="13"/>
      <c r="M657" s="13"/>
      <c r="N657" s="13"/>
      <c r="O657" s="13"/>
      <c r="P657" s="13"/>
      <c r="Q657" s="13"/>
      <c r="R657" s="13"/>
      <c r="S657" s="13"/>
      <c r="T657" s="84">
        <f t="shared" si="390"/>
        <v>0</v>
      </c>
      <c r="U657" s="84"/>
      <c r="V657" s="84"/>
      <c r="W657" s="13">
        <f t="shared" si="391"/>
        <v>0</v>
      </c>
      <c r="X657" s="13">
        <f t="shared" si="392"/>
        <v>0</v>
      </c>
      <c r="Y657" s="13">
        <f t="shared" si="393"/>
        <v>0</v>
      </c>
      <c r="Z657" s="13">
        <f t="shared" si="394"/>
        <v>0</v>
      </c>
      <c r="AA657" s="13">
        <f t="shared" si="395"/>
        <v>0</v>
      </c>
      <c r="AB657" s="13">
        <f t="shared" si="396"/>
        <v>0</v>
      </c>
      <c r="AC657" s="13">
        <f t="shared" si="397"/>
        <v>0</v>
      </c>
      <c r="AD657" s="13">
        <f t="shared" si="398"/>
        <v>0</v>
      </c>
      <c r="AE657" s="13">
        <f t="shared" si="399"/>
        <v>0</v>
      </c>
      <c r="AF657" s="84">
        <f t="shared" si="400"/>
        <v>0</v>
      </c>
      <c r="AG657" s="84">
        <f t="shared" si="401"/>
        <v>0</v>
      </c>
      <c r="AH657" s="84">
        <f t="shared" si="402"/>
        <v>0</v>
      </c>
      <c r="AI657" s="84">
        <f t="shared" si="403"/>
        <v>0</v>
      </c>
      <c r="AJ657" s="84">
        <f t="shared" si="404"/>
        <v>0</v>
      </c>
      <c r="AK657" s="84">
        <f t="shared" si="405"/>
        <v>0</v>
      </c>
      <c r="AL657" s="84">
        <f t="shared" si="406"/>
        <v>0</v>
      </c>
      <c r="AM657" s="84">
        <f t="shared" si="407"/>
        <v>0</v>
      </c>
      <c r="AN657" s="84">
        <f t="shared" si="408"/>
        <v>0</v>
      </c>
      <c r="AO657" s="84">
        <f t="shared" si="409"/>
        <v>0</v>
      </c>
      <c r="AP657" s="84">
        <f t="shared" si="410"/>
        <v>0</v>
      </c>
      <c r="AQ657" s="84">
        <f t="shared" si="411"/>
        <v>0</v>
      </c>
      <c r="AR657" s="84">
        <f t="shared" si="412"/>
        <v>0</v>
      </c>
      <c r="AS657" s="84">
        <f t="shared" si="413"/>
        <v>0</v>
      </c>
      <c r="AT657" s="84">
        <f t="shared" si="414"/>
        <v>0</v>
      </c>
      <c r="AU657" s="84">
        <f t="shared" si="415"/>
        <v>0</v>
      </c>
      <c r="AV657" s="84">
        <f t="shared" si="416"/>
        <v>0</v>
      </c>
      <c r="AW657" s="84">
        <f t="shared" si="417"/>
        <v>0</v>
      </c>
      <c r="AX657" s="84">
        <f t="shared" si="418"/>
        <v>0</v>
      </c>
      <c r="AY657" s="84">
        <f t="shared" si="419"/>
        <v>0</v>
      </c>
      <c r="AZ657" s="84">
        <f t="shared" si="420"/>
        <v>0</v>
      </c>
      <c r="BA657" s="84">
        <f t="shared" si="421"/>
        <v>0</v>
      </c>
      <c r="BB657" s="84">
        <f t="shared" si="422"/>
        <v>0</v>
      </c>
      <c r="BC657" s="84">
        <f t="shared" si="423"/>
        <v>0</v>
      </c>
      <c r="BD657" s="84">
        <f t="shared" si="424"/>
        <v>0</v>
      </c>
      <c r="BE657" s="84">
        <f t="shared" si="425"/>
        <v>0</v>
      </c>
      <c r="BF657" s="84">
        <f t="shared" si="426"/>
        <v>0</v>
      </c>
      <c r="BG657" s="84">
        <f t="shared" si="427"/>
        <v>0</v>
      </c>
      <c r="BH657" s="84">
        <f t="shared" si="428"/>
        <v>0</v>
      </c>
      <c r="BI657" s="84">
        <f t="shared" si="429"/>
        <v>0</v>
      </c>
      <c r="BJ657" s="84">
        <f t="shared" si="430"/>
        <v>0</v>
      </c>
      <c r="BK657" s="84">
        <f t="shared" si="431"/>
        <v>0</v>
      </c>
      <c r="BL657" s="84">
        <f t="shared" si="432"/>
        <v>0</v>
      </c>
      <c r="BM657" s="84">
        <f t="shared" si="433"/>
        <v>0</v>
      </c>
      <c r="BN657" s="84">
        <f t="shared" si="434"/>
        <v>0</v>
      </c>
      <c r="BO657" s="84">
        <f t="shared" si="435"/>
        <v>0</v>
      </c>
      <c r="BP657" s="84">
        <f t="shared" si="436"/>
        <v>0</v>
      </c>
      <c r="BQ657" s="84">
        <f t="shared" si="437"/>
        <v>0</v>
      </c>
      <c r="BR657" s="84">
        <f t="shared" si="438"/>
        <v>0</v>
      </c>
      <c r="BS657" s="84">
        <f t="shared" si="439"/>
        <v>0</v>
      </c>
      <c r="BT657" s="84">
        <f t="shared" si="440"/>
        <v>0</v>
      </c>
      <c r="BU657" s="84">
        <f t="shared" si="441"/>
        <v>0</v>
      </c>
      <c r="BV657" s="84">
        <f t="shared" si="442"/>
        <v>0</v>
      </c>
      <c r="BW657" s="84">
        <f t="shared" si="443"/>
        <v>0</v>
      </c>
      <c r="BX657" s="84">
        <f t="shared" si="444"/>
        <v>0</v>
      </c>
      <c r="BY657" s="84">
        <f t="shared" si="445"/>
        <v>0</v>
      </c>
      <c r="BZ657" s="84">
        <f t="shared" si="446"/>
        <v>0</v>
      </c>
      <c r="CA657" s="84">
        <f t="shared" si="447"/>
        <v>0</v>
      </c>
      <c r="CB657" s="84">
        <f t="shared" si="448"/>
        <v>0</v>
      </c>
      <c r="CC657" s="84">
        <f t="shared" si="449"/>
        <v>0</v>
      </c>
      <c r="CD657" s="84">
        <f t="shared" si="450"/>
        <v>0</v>
      </c>
    </row>
    <row r="658" spans="11:82" ht="12" customHeight="1" x14ac:dyDescent="0.35">
      <c r="K658" s="13"/>
      <c r="L658" s="13"/>
      <c r="M658" s="13"/>
      <c r="N658" s="13"/>
      <c r="O658" s="13"/>
      <c r="P658" s="13"/>
      <c r="Q658" s="13"/>
      <c r="R658" s="13"/>
      <c r="S658" s="13"/>
      <c r="T658" s="84">
        <f t="shared" si="390"/>
        <v>0</v>
      </c>
      <c r="U658" s="84"/>
      <c r="V658" s="84"/>
      <c r="W658" s="13">
        <f t="shared" si="391"/>
        <v>0</v>
      </c>
      <c r="X658" s="13">
        <f t="shared" si="392"/>
        <v>0</v>
      </c>
      <c r="Y658" s="13">
        <f t="shared" si="393"/>
        <v>0</v>
      </c>
      <c r="Z658" s="13">
        <f t="shared" si="394"/>
        <v>0</v>
      </c>
      <c r="AA658" s="13">
        <f t="shared" si="395"/>
        <v>0</v>
      </c>
      <c r="AB658" s="13">
        <f t="shared" si="396"/>
        <v>0</v>
      </c>
      <c r="AC658" s="13">
        <f t="shared" si="397"/>
        <v>0</v>
      </c>
      <c r="AD658" s="13">
        <f t="shared" si="398"/>
        <v>0</v>
      </c>
      <c r="AE658" s="13">
        <f t="shared" si="399"/>
        <v>0</v>
      </c>
      <c r="AF658" s="84">
        <f t="shared" si="400"/>
        <v>0</v>
      </c>
      <c r="AG658" s="84">
        <f t="shared" si="401"/>
        <v>0</v>
      </c>
      <c r="AH658" s="84">
        <f t="shared" si="402"/>
        <v>0</v>
      </c>
      <c r="AI658" s="84">
        <f t="shared" si="403"/>
        <v>0</v>
      </c>
      <c r="AJ658" s="84">
        <f t="shared" si="404"/>
        <v>0</v>
      </c>
      <c r="AK658" s="84">
        <f t="shared" si="405"/>
        <v>0</v>
      </c>
      <c r="AL658" s="84">
        <f t="shared" si="406"/>
        <v>0</v>
      </c>
      <c r="AM658" s="84">
        <f t="shared" si="407"/>
        <v>0</v>
      </c>
      <c r="AN658" s="84">
        <f t="shared" si="408"/>
        <v>0</v>
      </c>
      <c r="AO658" s="84">
        <f t="shared" si="409"/>
        <v>0</v>
      </c>
      <c r="AP658" s="84">
        <f t="shared" si="410"/>
        <v>0</v>
      </c>
      <c r="AQ658" s="84">
        <f t="shared" si="411"/>
        <v>0</v>
      </c>
      <c r="AR658" s="84">
        <f t="shared" si="412"/>
        <v>0</v>
      </c>
      <c r="AS658" s="84">
        <f t="shared" si="413"/>
        <v>0</v>
      </c>
      <c r="AT658" s="84">
        <f t="shared" si="414"/>
        <v>0</v>
      </c>
      <c r="AU658" s="84">
        <f t="shared" si="415"/>
        <v>0</v>
      </c>
      <c r="AV658" s="84">
        <f t="shared" si="416"/>
        <v>0</v>
      </c>
      <c r="AW658" s="84">
        <f t="shared" si="417"/>
        <v>0</v>
      </c>
      <c r="AX658" s="84">
        <f t="shared" si="418"/>
        <v>0</v>
      </c>
      <c r="AY658" s="84">
        <f t="shared" si="419"/>
        <v>0</v>
      </c>
      <c r="AZ658" s="84">
        <f t="shared" si="420"/>
        <v>0</v>
      </c>
      <c r="BA658" s="84">
        <f t="shared" si="421"/>
        <v>0</v>
      </c>
      <c r="BB658" s="84">
        <f t="shared" si="422"/>
        <v>0</v>
      </c>
      <c r="BC658" s="84">
        <f t="shared" si="423"/>
        <v>0</v>
      </c>
      <c r="BD658" s="84">
        <f t="shared" si="424"/>
        <v>0</v>
      </c>
      <c r="BE658" s="84">
        <f t="shared" si="425"/>
        <v>0</v>
      </c>
      <c r="BF658" s="84">
        <f t="shared" si="426"/>
        <v>0</v>
      </c>
      <c r="BG658" s="84">
        <f t="shared" si="427"/>
        <v>0</v>
      </c>
      <c r="BH658" s="84">
        <f t="shared" si="428"/>
        <v>0</v>
      </c>
      <c r="BI658" s="84">
        <f t="shared" si="429"/>
        <v>0</v>
      </c>
      <c r="BJ658" s="84">
        <f t="shared" si="430"/>
        <v>0</v>
      </c>
      <c r="BK658" s="84">
        <f t="shared" si="431"/>
        <v>0</v>
      </c>
      <c r="BL658" s="84">
        <f t="shared" si="432"/>
        <v>0</v>
      </c>
      <c r="BM658" s="84">
        <f t="shared" si="433"/>
        <v>0</v>
      </c>
      <c r="BN658" s="84">
        <f t="shared" si="434"/>
        <v>0</v>
      </c>
      <c r="BO658" s="84">
        <f t="shared" si="435"/>
        <v>0</v>
      </c>
      <c r="BP658" s="84">
        <f t="shared" si="436"/>
        <v>0</v>
      </c>
      <c r="BQ658" s="84">
        <f t="shared" si="437"/>
        <v>0</v>
      </c>
      <c r="BR658" s="84">
        <f t="shared" si="438"/>
        <v>0</v>
      </c>
      <c r="BS658" s="84">
        <f t="shared" si="439"/>
        <v>0</v>
      </c>
      <c r="BT658" s="84">
        <f t="shared" si="440"/>
        <v>0</v>
      </c>
      <c r="BU658" s="84">
        <f t="shared" si="441"/>
        <v>0</v>
      </c>
      <c r="BV658" s="84">
        <f t="shared" si="442"/>
        <v>0</v>
      </c>
      <c r="BW658" s="84">
        <f t="shared" si="443"/>
        <v>0</v>
      </c>
      <c r="BX658" s="84">
        <f t="shared" si="444"/>
        <v>0</v>
      </c>
      <c r="BY658" s="84">
        <f t="shared" si="445"/>
        <v>0</v>
      </c>
      <c r="BZ658" s="84">
        <f t="shared" si="446"/>
        <v>0</v>
      </c>
      <c r="CA658" s="84">
        <f t="shared" si="447"/>
        <v>0</v>
      </c>
      <c r="CB658" s="84">
        <f t="shared" si="448"/>
        <v>0</v>
      </c>
      <c r="CC658" s="84">
        <f t="shared" si="449"/>
        <v>0</v>
      </c>
      <c r="CD658" s="84">
        <f t="shared" si="450"/>
        <v>0</v>
      </c>
    </row>
    <row r="659" spans="11:82" ht="12" customHeight="1" x14ac:dyDescent="0.35">
      <c r="K659" s="13"/>
      <c r="L659" s="13"/>
      <c r="M659" s="13"/>
      <c r="N659" s="13"/>
      <c r="O659" s="13"/>
      <c r="P659" s="13"/>
      <c r="Q659" s="13"/>
      <c r="R659" s="13"/>
      <c r="S659" s="13"/>
      <c r="T659" s="84">
        <f t="shared" si="390"/>
        <v>0</v>
      </c>
      <c r="U659" s="84"/>
      <c r="V659" s="84"/>
      <c r="W659" s="13">
        <f t="shared" si="391"/>
        <v>0</v>
      </c>
      <c r="X659" s="13">
        <f t="shared" si="392"/>
        <v>0</v>
      </c>
      <c r="Y659" s="13">
        <f t="shared" si="393"/>
        <v>0</v>
      </c>
      <c r="Z659" s="13">
        <f t="shared" si="394"/>
        <v>0</v>
      </c>
      <c r="AA659" s="13">
        <f t="shared" si="395"/>
        <v>0</v>
      </c>
      <c r="AB659" s="13">
        <f t="shared" si="396"/>
        <v>0</v>
      </c>
      <c r="AC659" s="13">
        <f t="shared" si="397"/>
        <v>0</v>
      </c>
      <c r="AD659" s="13">
        <f t="shared" si="398"/>
        <v>0</v>
      </c>
      <c r="AE659" s="13">
        <f t="shared" si="399"/>
        <v>0</v>
      </c>
      <c r="AF659" s="84">
        <f t="shared" si="400"/>
        <v>0</v>
      </c>
      <c r="AG659" s="84">
        <f t="shared" si="401"/>
        <v>0</v>
      </c>
      <c r="AH659" s="84">
        <f t="shared" si="402"/>
        <v>0</v>
      </c>
      <c r="AI659" s="84">
        <f t="shared" si="403"/>
        <v>0</v>
      </c>
      <c r="AJ659" s="84">
        <f t="shared" si="404"/>
        <v>0</v>
      </c>
      <c r="AK659" s="84">
        <f t="shared" si="405"/>
        <v>0</v>
      </c>
      <c r="AL659" s="84">
        <f t="shared" si="406"/>
        <v>0</v>
      </c>
      <c r="AM659" s="84">
        <f t="shared" si="407"/>
        <v>0</v>
      </c>
      <c r="AN659" s="84">
        <f t="shared" si="408"/>
        <v>0</v>
      </c>
      <c r="AO659" s="84">
        <f t="shared" si="409"/>
        <v>0</v>
      </c>
      <c r="AP659" s="84">
        <f t="shared" si="410"/>
        <v>0</v>
      </c>
      <c r="AQ659" s="84">
        <f t="shared" si="411"/>
        <v>0</v>
      </c>
      <c r="AR659" s="84">
        <f t="shared" si="412"/>
        <v>0</v>
      </c>
      <c r="AS659" s="84">
        <f t="shared" si="413"/>
        <v>0</v>
      </c>
      <c r="AT659" s="84">
        <f t="shared" si="414"/>
        <v>0</v>
      </c>
      <c r="AU659" s="84">
        <f t="shared" si="415"/>
        <v>0</v>
      </c>
      <c r="AV659" s="84">
        <f t="shared" si="416"/>
        <v>0</v>
      </c>
      <c r="AW659" s="84">
        <f t="shared" si="417"/>
        <v>0</v>
      </c>
      <c r="AX659" s="84">
        <f t="shared" si="418"/>
        <v>0</v>
      </c>
      <c r="AY659" s="84">
        <f t="shared" si="419"/>
        <v>0</v>
      </c>
      <c r="AZ659" s="84">
        <f t="shared" si="420"/>
        <v>0</v>
      </c>
      <c r="BA659" s="84">
        <f t="shared" si="421"/>
        <v>0</v>
      </c>
      <c r="BB659" s="84">
        <f t="shared" si="422"/>
        <v>0</v>
      </c>
      <c r="BC659" s="84">
        <f t="shared" si="423"/>
        <v>0</v>
      </c>
      <c r="BD659" s="84">
        <f t="shared" si="424"/>
        <v>0</v>
      </c>
      <c r="BE659" s="84">
        <f t="shared" si="425"/>
        <v>0</v>
      </c>
      <c r="BF659" s="84">
        <f t="shared" si="426"/>
        <v>0</v>
      </c>
      <c r="BG659" s="84">
        <f t="shared" si="427"/>
        <v>0</v>
      </c>
      <c r="BH659" s="84">
        <f t="shared" si="428"/>
        <v>0</v>
      </c>
      <c r="BI659" s="84">
        <f t="shared" si="429"/>
        <v>0</v>
      </c>
      <c r="BJ659" s="84">
        <f t="shared" si="430"/>
        <v>0</v>
      </c>
      <c r="BK659" s="84">
        <f t="shared" si="431"/>
        <v>0</v>
      </c>
      <c r="BL659" s="84">
        <f t="shared" si="432"/>
        <v>0</v>
      </c>
      <c r="BM659" s="84">
        <f t="shared" si="433"/>
        <v>0</v>
      </c>
      <c r="BN659" s="84">
        <f t="shared" si="434"/>
        <v>0</v>
      </c>
      <c r="BO659" s="84">
        <f t="shared" si="435"/>
        <v>0</v>
      </c>
      <c r="BP659" s="84">
        <f t="shared" si="436"/>
        <v>0</v>
      </c>
      <c r="BQ659" s="84">
        <f t="shared" si="437"/>
        <v>0</v>
      </c>
      <c r="BR659" s="84">
        <f t="shared" si="438"/>
        <v>0</v>
      </c>
      <c r="BS659" s="84">
        <f t="shared" si="439"/>
        <v>0</v>
      </c>
      <c r="BT659" s="84">
        <f t="shared" si="440"/>
        <v>0</v>
      </c>
      <c r="BU659" s="84">
        <f t="shared" si="441"/>
        <v>0</v>
      </c>
      <c r="BV659" s="84">
        <f t="shared" si="442"/>
        <v>0</v>
      </c>
      <c r="BW659" s="84">
        <f t="shared" si="443"/>
        <v>0</v>
      </c>
      <c r="BX659" s="84">
        <f t="shared" si="444"/>
        <v>0</v>
      </c>
      <c r="BY659" s="84">
        <f t="shared" si="445"/>
        <v>0</v>
      </c>
      <c r="BZ659" s="84">
        <f t="shared" si="446"/>
        <v>0</v>
      </c>
      <c r="CA659" s="84">
        <f t="shared" si="447"/>
        <v>0</v>
      </c>
      <c r="CB659" s="84">
        <f t="shared" si="448"/>
        <v>0</v>
      </c>
      <c r="CC659" s="84">
        <f t="shared" si="449"/>
        <v>0</v>
      </c>
      <c r="CD659" s="84">
        <f t="shared" si="450"/>
        <v>0</v>
      </c>
    </row>
    <row r="660" spans="11:82" ht="12" customHeight="1" x14ac:dyDescent="0.35">
      <c r="K660" s="13"/>
      <c r="L660" s="13"/>
      <c r="M660" s="13"/>
      <c r="N660" s="13"/>
      <c r="O660" s="13"/>
      <c r="P660" s="13"/>
      <c r="Q660" s="13"/>
      <c r="R660" s="13"/>
      <c r="S660" s="13"/>
      <c r="T660" s="84">
        <f t="shared" si="390"/>
        <v>0</v>
      </c>
      <c r="U660" s="84"/>
      <c r="V660" s="84"/>
      <c r="W660" s="13">
        <f t="shared" si="391"/>
        <v>0</v>
      </c>
      <c r="X660" s="13">
        <f t="shared" si="392"/>
        <v>0</v>
      </c>
      <c r="Y660" s="13">
        <f t="shared" si="393"/>
        <v>0</v>
      </c>
      <c r="Z660" s="13">
        <f t="shared" si="394"/>
        <v>0</v>
      </c>
      <c r="AA660" s="13">
        <f t="shared" si="395"/>
        <v>0</v>
      </c>
      <c r="AB660" s="13">
        <f t="shared" si="396"/>
        <v>0</v>
      </c>
      <c r="AC660" s="13">
        <f t="shared" si="397"/>
        <v>0</v>
      </c>
      <c r="AD660" s="13">
        <f t="shared" si="398"/>
        <v>0</v>
      </c>
      <c r="AE660" s="13">
        <f t="shared" si="399"/>
        <v>0</v>
      </c>
      <c r="AF660" s="84">
        <f t="shared" si="400"/>
        <v>0</v>
      </c>
      <c r="AG660" s="84">
        <f t="shared" si="401"/>
        <v>0</v>
      </c>
      <c r="AH660" s="84">
        <f t="shared" si="402"/>
        <v>0</v>
      </c>
      <c r="AI660" s="84">
        <f t="shared" si="403"/>
        <v>0</v>
      </c>
      <c r="AJ660" s="84">
        <f t="shared" si="404"/>
        <v>0</v>
      </c>
      <c r="AK660" s="84">
        <f t="shared" si="405"/>
        <v>0</v>
      </c>
      <c r="AL660" s="84">
        <f t="shared" si="406"/>
        <v>0</v>
      </c>
      <c r="AM660" s="84">
        <f t="shared" si="407"/>
        <v>0</v>
      </c>
      <c r="AN660" s="84">
        <f t="shared" si="408"/>
        <v>0</v>
      </c>
      <c r="AO660" s="84">
        <f t="shared" si="409"/>
        <v>0</v>
      </c>
      <c r="AP660" s="84">
        <f t="shared" si="410"/>
        <v>0</v>
      </c>
      <c r="AQ660" s="84">
        <f t="shared" si="411"/>
        <v>0</v>
      </c>
      <c r="AR660" s="84">
        <f t="shared" si="412"/>
        <v>0</v>
      </c>
      <c r="AS660" s="84">
        <f t="shared" si="413"/>
        <v>0</v>
      </c>
      <c r="AT660" s="84">
        <f t="shared" si="414"/>
        <v>0</v>
      </c>
      <c r="AU660" s="84">
        <f t="shared" si="415"/>
        <v>0</v>
      </c>
      <c r="AV660" s="84">
        <f t="shared" si="416"/>
        <v>0</v>
      </c>
      <c r="AW660" s="84">
        <f t="shared" si="417"/>
        <v>0</v>
      </c>
      <c r="AX660" s="84">
        <f t="shared" si="418"/>
        <v>0</v>
      </c>
      <c r="AY660" s="84">
        <f t="shared" si="419"/>
        <v>0</v>
      </c>
      <c r="AZ660" s="84">
        <f t="shared" si="420"/>
        <v>0</v>
      </c>
      <c r="BA660" s="84">
        <f t="shared" si="421"/>
        <v>0</v>
      </c>
      <c r="BB660" s="84">
        <f t="shared" si="422"/>
        <v>0</v>
      </c>
      <c r="BC660" s="84">
        <f t="shared" si="423"/>
        <v>0</v>
      </c>
      <c r="BD660" s="84">
        <f t="shared" si="424"/>
        <v>0</v>
      </c>
      <c r="BE660" s="84">
        <f t="shared" si="425"/>
        <v>0</v>
      </c>
      <c r="BF660" s="84">
        <f t="shared" si="426"/>
        <v>0</v>
      </c>
      <c r="BG660" s="84">
        <f t="shared" si="427"/>
        <v>0</v>
      </c>
      <c r="BH660" s="84">
        <f t="shared" si="428"/>
        <v>0</v>
      </c>
      <c r="BI660" s="84">
        <f t="shared" si="429"/>
        <v>0</v>
      </c>
      <c r="BJ660" s="84">
        <f t="shared" si="430"/>
        <v>0</v>
      </c>
      <c r="BK660" s="84">
        <f t="shared" si="431"/>
        <v>0</v>
      </c>
      <c r="BL660" s="84">
        <f t="shared" si="432"/>
        <v>0</v>
      </c>
      <c r="BM660" s="84">
        <f t="shared" si="433"/>
        <v>0</v>
      </c>
      <c r="BN660" s="84">
        <f t="shared" si="434"/>
        <v>0</v>
      </c>
      <c r="BO660" s="84">
        <f t="shared" si="435"/>
        <v>0</v>
      </c>
      <c r="BP660" s="84">
        <f t="shared" si="436"/>
        <v>0</v>
      </c>
      <c r="BQ660" s="84">
        <f t="shared" si="437"/>
        <v>0</v>
      </c>
      <c r="BR660" s="84">
        <f t="shared" si="438"/>
        <v>0</v>
      </c>
      <c r="BS660" s="84">
        <f t="shared" si="439"/>
        <v>0</v>
      </c>
      <c r="BT660" s="84">
        <f t="shared" si="440"/>
        <v>0</v>
      </c>
      <c r="BU660" s="84">
        <f t="shared" si="441"/>
        <v>0</v>
      </c>
      <c r="BV660" s="84">
        <f t="shared" si="442"/>
        <v>0</v>
      </c>
      <c r="BW660" s="84">
        <f t="shared" si="443"/>
        <v>0</v>
      </c>
      <c r="BX660" s="84">
        <f t="shared" si="444"/>
        <v>0</v>
      </c>
      <c r="BY660" s="84">
        <f t="shared" si="445"/>
        <v>0</v>
      </c>
      <c r="BZ660" s="84">
        <f t="shared" si="446"/>
        <v>0</v>
      </c>
      <c r="CA660" s="84">
        <f t="shared" si="447"/>
        <v>0</v>
      </c>
      <c r="CB660" s="84">
        <f t="shared" si="448"/>
        <v>0</v>
      </c>
      <c r="CC660" s="84">
        <f t="shared" si="449"/>
        <v>0</v>
      </c>
      <c r="CD660" s="84">
        <f t="shared" si="450"/>
        <v>0</v>
      </c>
    </row>
    <row r="661" spans="11:82" ht="12" customHeight="1" x14ac:dyDescent="0.35">
      <c r="K661" s="13"/>
      <c r="L661" s="13"/>
      <c r="M661" s="13"/>
      <c r="N661" s="13"/>
      <c r="O661" s="13"/>
      <c r="P661" s="13"/>
      <c r="Q661" s="13"/>
      <c r="R661" s="13"/>
      <c r="S661" s="13"/>
      <c r="T661" s="84">
        <f t="shared" si="390"/>
        <v>0</v>
      </c>
      <c r="U661" s="84"/>
      <c r="V661" s="84"/>
      <c r="W661" s="13">
        <f t="shared" si="391"/>
        <v>0</v>
      </c>
      <c r="X661" s="13">
        <f t="shared" si="392"/>
        <v>0</v>
      </c>
      <c r="Y661" s="13">
        <f t="shared" si="393"/>
        <v>0</v>
      </c>
      <c r="Z661" s="13">
        <f t="shared" si="394"/>
        <v>0</v>
      </c>
      <c r="AA661" s="13">
        <f t="shared" si="395"/>
        <v>0</v>
      </c>
      <c r="AB661" s="13">
        <f t="shared" si="396"/>
        <v>0</v>
      </c>
      <c r="AC661" s="13">
        <f t="shared" si="397"/>
        <v>0</v>
      </c>
      <c r="AD661" s="13">
        <f t="shared" si="398"/>
        <v>0</v>
      </c>
      <c r="AE661" s="13">
        <f t="shared" si="399"/>
        <v>0</v>
      </c>
      <c r="AF661" s="84">
        <f t="shared" si="400"/>
        <v>0</v>
      </c>
      <c r="AG661" s="84">
        <f t="shared" si="401"/>
        <v>0</v>
      </c>
      <c r="AH661" s="84">
        <f t="shared" si="402"/>
        <v>0</v>
      </c>
      <c r="AI661" s="84">
        <f t="shared" si="403"/>
        <v>0</v>
      </c>
      <c r="AJ661" s="84">
        <f t="shared" si="404"/>
        <v>0</v>
      </c>
      <c r="AK661" s="84">
        <f t="shared" si="405"/>
        <v>0</v>
      </c>
      <c r="AL661" s="84">
        <f t="shared" si="406"/>
        <v>0</v>
      </c>
      <c r="AM661" s="84">
        <f t="shared" si="407"/>
        <v>0</v>
      </c>
      <c r="AN661" s="84">
        <f t="shared" si="408"/>
        <v>0</v>
      </c>
      <c r="AO661" s="84">
        <f t="shared" si="409"/>
        <v>0</v>
      </c>
      <c r="AP661" s="84">
        <f t="shared" si="410"/>
        <v>0</v>
      </c>
      <c r="AQ661" s="84">
        <f t="shared" si="411"/>
        <v>0</v>
      </c>
      <c r="AR661" s="84">
        <f t="shared" si="412"/>
        <v>0</v>
      </c>
      <c r="AS661" s="84">
        <f t="shared" si="413"/>
        <v>0</v>
      </c>
      <c r="AT661" s="84">
        <f t="shared" si="414"/>
        <v>0</v>
      </c>
      <c r="AU661" s="84">
        <f t="shared" si="415"/>
        <v>0</v>
      </c>
      <c r="AV661" s="84">
        <f t="shared" si="416"/>
        <v>0</v>
      </c>
      <c r="AW661" s="84">
        <f t="shared" si="417"/>
        <v>0</v>
      </c>
      <c r="AX661" s="84">
        <f t="shared" si="418"/>
        <v>0</v>
      </c>
      <c r="AY661" s="84">
        <f t="shared" si="419"/>
        <v>0</v>
      </c>
      <c r="AZ661" s="84">
        <f t="shared" si="420"/>
        <v>0</v>
      </c>
      <c r="BA661" s="84">
        <f t="shared" si="421"/>
        <v>0</v>
      </c>
      <c r="BB661" s="84">
        <f t="shared" si="422"/>
        <v>0</v>
      </c>
      <c r="BC661" s="84">
        <f t="shared" si="423"/>
        <v>0</v>
      </c>
      <c r="BD661" s="84">
        <f t="shared" si="424"/>
        <v>0</v>
      </c>
      <c r="BE661" s="84">
        <f t="shared" si="425"/>
        <v>0</v>
      </c>
      <c r="BF661" s="84">
        <f t="shared" si="426"/>
        <v>0</v>
      </c>
      <c r="BG661" s="84">
        <f t="shared" si="427"/>
        <v>0</v>
      </c>
      <c r="BH661" s="84">
        <f t="shared" si="428"/>
        <v>0</v>
      </c>
      <c r="BI661" s="84">
        <f t="shared" si="429"/>
        <v>0</v>
      </c>
      <c r="BJ661" s="84">
        <f t="shared" si="430"/>
        <v>0</v>
      </c>
      <c r="BK661" s="84">
        <f t="shared" si="431"/>
        <v>0</v>
      </c>
      <c r="BL661" s="84">
        <f t="shared" si="432"/>
        <v>0</v>
      </c>
      <c r="BM661" s="84">
        <f t="shared" si="433"/>
        <v>0</v>
      </c>
      <c r="BN661" s="84">
        <f t="shared" si="434"/>
        <v>0</v>
      </c>
      <c r="BO661" s="84">
        <f t="shared" si="435"/>
        <v>0</v>
      </c>
      <c r="BP661" s="84">
        <f t="shared" si="436"/>
        <v>0</v>
      </c>
      <c r="BQ661" s="84">
        <f t="shared" si="437"/>
        <v>0</v>
      </c>
      <c r="BR661" s="84">
        <f t="shared" si="438"/>
        <v>0</v>
      </c>
      <c r="BS661" s="84">
        <f t="shared" si="439"/>
        <v>0</v>
      </c>
      <c r="BT661" s="84">
        <f t="shared" si="440"/>
        <v>0</v>
      </c>
      <c r="BU661" s="84">
        <f t="shared" si="441"/>
        <v>0</v>
      </c>
      <c r="BV661" s="84">
        <f t="shared" si="442"/>
        <v>0</v>
      </c>
      <c r="BW661" s="84">
        <f t="shared" si="443"/>
        <v>0</v>
      </c>
      <c r="BX661" s="84">
        <f t="shared" si="444"/>
        <v>0</v>
      </c>
      <c r="BY661" s="84">
        <f t="shared" si="445"/>
        <v>0</v>
      </c>
      <c r="BZ661" s="84">
        <f t="shared" si="446"/>
        <v>0</v>
      </c>
      <c r="CA661" s="84">
        <f t="shared" si="447"/>
        <v>0</v>
      </c>
      <c r="CB661" s="84">
        <f t="shared" si="448"/>
        <v>0</v>
      </c>
      <c r="CC661" s="84">
        <f t="shared" si="449"/>
        <v>0</v>
      </c>
      <c r="CD661" s="84">
        <f t="shared" si="450"/>
        <v>0</v>
      </c>
    </row>
    <row r="662" spans="11:82" ht="12" customHeight="1" x14ac:dyDescent="0.35">
      <c r="K662" s="13"/>
      <c r="L662" s="13"/>
      <c r="M662" s="13"/>
      <c r="N662" s="13"/>
      <c r="O662" s="13"/>
      <c r="P662" s="13"/>
      <c r="Q662" s="13"/>
      <c r="R662" s="13"/>
      <c r="S662" s="13"/>
      <c r="T662" s="84">
        <f t="shared" si="390"/>
        <v>0</v>
      </c>
      <c r="U662" s="84"/>
      <c r="V662" s="84"/>
      <c r="W662" s="13">
        <f t="shared" si="391"/>
        <v>0</v>
      </c>
      <c r="X662" s="13">
        <f t="shared" si="392"/>
        <v>0</v>
      </c>
      <c r="Y662" s="13">
        <f t="shared" si="393"/>
        <v>0</v>
      </c>
      <c r="Z662" s="13">
        <f t="shared" si="394"/>
        <v>0</v>
      </c>
      <c r="AA662" s="13">
        <f t="shared" si="395"/>
        <v>0</v>
      </c>
      <c r="AB662" s="13">
        <f t="shared" si="396"/>
        <v>0</v>
      </c>
      <c r="AC662" s="13">
        <f t="shared" si="397"/>
        <v>0</v>
      </c>
      <c r="AD662" s="13">
        <f t="shared" si="398"/>
        <v>0</v>
      </c>
      <c r="AE662" s="13">
        <f t="shared" si="399"/>
        <v>0</v>
      </c>
      <c r="AF662" s="84">
        <f t="shared" si="400"/>
        <v>0</v>
      </c>
      <c r="AG662" s="84">
        <f t="shared" si="401"/>
        <v>0</v>
      </c>
      <c r="AH662" s="84">
        <f t="shared" si="402"/>
        <v>0</v>
      </c>
      <c r="AI662" s="84">
        <f t="shared" si="403"/>
        <v>0</v>
      </c>
      <c r="AJ662" s="84">
        <f t="shared" si="404"/>
        <v>0</v>
      </c>
      <c r="AK662" s="84">
        <f t="shared" si="405"/>
        <v>0</v>
      </c>
      <c r="AL662" s="84">
        <f t="shared" si="406"/>
        <v>0</v>
      </c>
      <c r="AM662" s="84">
        <f t="shared" si="407"/>
        <v>0</v>
      </c>
      <c r="AN662" s="84">
        <f t="shared" si="408"/>
        <v>0</v>
      </c>
      <c r="AO662" s="84">
        <f t="shared" si="409"/>
        <v>0</v>
      </c>
      <c r="AP662" s="84">
        <f t="shared" si="410"/>
        <v>0</v>
      </c>
      <c r="AQ662" s="84">
        <f t="shared" si="411"/>
        <v>0</v>
      </c>
      <c r="AR662" s="84">
        <f t="shared" si="412"/>
        <v>0</v>
      </c>
      <c r="AS662" s="84">
        <f t="shared" si="413"/>
        <v>0</v>
      </c>
      <c r="AT662" s="84">
        <f t="shared" si="414"/>
        <v>0</v>
      </c>
      <c r="AU662" s="84">
        <f t="shared" si="415"/>
        <v>0</v>
      </c>
      <c r="AV662" s="84">
        <f t="shared" si="416"/>
        <v>0</v>
      </c>
      <c r="AW662" s="84">
        <f t="shared" si="417"/>
        <v>0</v>
      </c>
      <c r="AX662" s="84">
        <f t="shared" si="418"/>
        <v>0</v>
      </c>
      <c r="AY662" s="84">
        <f t="shared" si="419"/>
        <v>0</v>
      </c>
      <c r="AZ662" s="84">
        <f t="shared" si="420"/>
        <v>0</v>
      </c>
      <c r="BA662" s="84">
        <f t="shared" si="421"/>
        <v>0</v>
      </c>
      <c r="BB662" s="84">
        <f t="shared" si="422"/>
        <v>0</v>
      </c>
      <c r="BC662" s="84">
        <f t="shared" si="423"/>
        <v>0</v>
      </c>
      <c r="BD662" s="84">
        <f t="shared" si="424"/>
        <v>0</v>
      </c>
      <c r="BE662" s="84">
        <f t="shared" si="425"/>
        <v>0</v>
      </c>
      <c r="BF662" s="84">
        <f t="shared" si="426"/>
        <v>0</v>
      </c>
      <c r="BG662" s="84">
        <f t="shared" si="427"/>
        <v>0</v>
      </c>
      <c r="BH662" s="84">
        <f t="shared" si="428"/>
        <v>0</v>
      </c>
      <c r="BI662" s="84">
        <f t="shared" si="429"/>
        <v>0</v>
      </c>
      <c r="BJ662" s="84">
        <f t="shared" si="430"/>
        <v>0</v>
      </c>
      <c r="BK662" s="84">
        <f t="shared" si="431"/>
        <v>0</v>
      </c>
      <c r="BL662" s="84">
        <f t="shared" si="432"/>
        <v>0</v>
      </c>
      <c r="BM662" s="84">
        <f t="shared" si="433"/>
        <v>0</v>
      </c>
      <c r="BN662" s="84">
        <f t="shared" si="434"/>
        <v>0</v>
      </c>
      <c r="BO662" s="84">
        <f t="shared" si="435"/>
        <v>0</v>
      </c>
      <c r="BP662" s="84">
        <f t="shared" si="436"/>
        <v>0</v>
      </c>
      <c r="BQ662" s="84">
        <f t="shared" si="437"/>
        <v>0</v>
      </c>
      <c r="BR662" s="84">
        <f t="shared" si="438"/>
        <v>0</v>
      </c>
      <c r="BS662" s="84">
        <f t="shared" si="439"/>
        <v>0</v>
      </c>
      <c r="BT662" s="84">
        <f t="shared" si="440"/>
        <v>0</v>
      </c>
      <c r="BU662" s="84">
        <f t="shared" si="441"/>
        <v>0</v>
      </c>
      <c r="BV662" s="84">
        <f t="shared" si="442"/>
        <v>0</v>
      </c>
      <c r="BW662" s="84">
        <f t="shared" si="443"/>
        <v>0</v>
      </c>
      <c r="BX662" s="84">
        <f t="shared" si="444"/>
        <v>0</v>
      </c>
      <c r="BY662" s="84">
        <f t="shared" si="445"/>
        <v>0</v>
      </c>
      <c r="BZ662" s="84">
        <f t="shared" si="446"/>
        <v>0</v>
      </c>
      <c r="CA662" s="84">
        <f t="shared" si="447"/>
        <v>0</v>
      </c>
      <c r="CB662" s="84">
        <f t="shared" si="448"/>
        <v>0</v>
      </c>
      <c r="CC662" s="84">
        <f t="shared" si="449"/>
        <v>0</v>
      </c>
      <c r="CD662" s="84">
        <f t="shared" si="450"/>
        <v>0</v>
      </c>
    </row>
    <row r="663" spans="11:82" ht="12" customHeight="1" x14ac:dyDescent="0.35">
      <c r="K663" s="13"/>
      <c r="L663" s="13"/>
      <c r="M663" s="13"/>
      <c r="N663" s="13"/>
      <c r="O663" s="13"/>
      <c r="P663" s="13"/>
      <c r="Q663" s="13"/>
      <c r="R663" s="13"/>
      <c r="S663" s="13"/>
      <c r="T663" s="84">
        <f t="shared" si="390"/>
        <v>0</v>
      </c>
      <c r="U663" s="84"/>
      <c r="V663" s="84"/>
      <c r="W663" s="13">
        <f t="shared" si="391"/>
        <v>0</v>
      </c>
      <c r="X663" s="13">
        <f t="shared" si="392"/>
        <v>0</v>
      </c>
      <c r="Y663" s="13">
        <f t="shared" si="393"/>
        <v>0</v>
      </c>
      <c r="Z663" s="13">
        <f t="shared" si="394"/>
        <v>0</v>
      </c>
      <c r="AA663" s="13">
        <f t="shared" si="395"/>
        <v>0</v>
      </c>
      <c r="AB663" s="13">
        <f t="shared" si="396"/>
        <v>0</v>
      </c>
      <c r="AC663" s="13">
        <f t="shared" si="397"/>
        <v>0</v>
      </c>
      <c r="AD663" s="13">
        <f t="shared" si="398"/>
        <v>0</v>
      </c>
      <c r="AE663" s="13">
        <f t="shared" si="399"/>
        <v>0</v>
      </c>
      <c r="AF663" s="84">
        <f t="shared" si="400"/>
        <v>0</v>
      </c>
      <c r="AG663" s="84">
        <f t="shared" si="401"/>
        <v>0</v>
      </c>
      <c r="AH663" s="84">
        <f t="shared" si="402"/>
        <v>0</v>
      </c>
      <c r="AI663" s="84">
        <f t="shared" si="403"/>
        <v>0</v>
      </c>
      <c r="AJ663" s="84">
        <f t="shared" si="404"/>
        <v>0</v>
      </c>
      <c r="AK663" s="84">
        <f t="shared" si="405"/>
        <v>0</v>
      </c>
      <c r="AL663" s="84">
        <f t="shared" si="406"/>
        <v>0</v>
      </c>
      <c r="AM663" s="84">
        <f t="shared" si="407"/>
        <v>0</v>
      </c>
      <c r="AN663" s="84">
        <f t="shared" si="408"/>
        <v>0</v>
      </c>
      <c r="AO663" s="84">
        <f t="shared" si="409"/>
        <v>0</v>
      </c>
      <c r="AP663" s="84">
        <f t="shared" si="410"/>
        <v>0</v>
      </c>
      <c r="AQ663" s="84">
        <f t="shared" si="411"/>
        <v>0</v>
      </c>
      <c r="AR663" s="84">
        <f t="shared" si="412"/>
        <v>0</v>
      </c>
      <c r="AS663" s="84">
        <f t="shared" si="413"/>
        <v>0</v>
      </c>
      <c r="AT663" s="84">
        <f t="shared" si="414"/>
        <v>0</v>
      </c>
      <c r="AU663" s="84">
        <f t="shared" si="415"/>
        <v>0</v>
      </c>
      <c r="AV663" s="84">
        <f t="shared" si="416"/>
        <v>0</v>
      </c>
      <c r="AW663" s="84">
        <f t="shared" si="417"/>
        <v>0</v>
      </c>
      <c r="AX663" s="84">
        <f t="shared" si="418"/>
        <v>0</v>
      </c>
      <c r="AY663" s="84">
        <f t="shared" si="419"/>
        <v>0</v>
      </c>
      <c r="AZ663" s="84">
        <f t="shared" si="420"/>
        <v>0</v>
      </c>
      <c r="BA663" s="84">
        <f t="shared" si="421"/>
        <v>0</v>
      </c>
      <c r="BB663" s="84">
        <f t="shared" si="422"/>
        <v>0</v>
      </c>
      <c r="BC663" s="84">
        <f t="shared" si="423"/>
        <v>0</v>
      </c>
      <c r="BD663" s="84">
        <f t="shared" si="424"/>
        <v>0</v>
      </c>
      <c r="BE663" s="84">
        <f t="shared" si="425"/>
        <v>0</v>
      </c>
      <c r="BF663" s="84">
        <f t="shared" si="426"/>
        <v>0</v>
      </c>
      <c r="BG663" s="84">
        <f t="shared" si="427"/>
        <v>0</v>
      </c>
      <c r="BH663" s="84">
        <f t="shared" si="428"/>
        <v>0</v>
      </c>
      <c r="BI663" s="84">
        <f t="shared" si="429"/>
        <v>0</v>
      </c>
      <c r="BJ663" s="84">
        <f t="shared" si="430"/>
        <v>0</v>
      </c>
      <c r="BK663" s="84">
        <f t="shared" si="431"/>
        <v>0</v>
      </c>
      <c r="BL663" s="84">
        <f t="shared" si="432"/>
        <v>0</v>
      </c>
      <c r="BM663" s="84">
        <f t="shared" si="433"/>
        <v>0</v>
      </c>
      <c r="BN663" s="84">
        <f t="shared" si="434"/>
        <v>0</v>
      </c>
      <c r="BO663" s="84">
        <f t="shared" si="435"/>
        <v>0</v>
      </c>
      <c r="BP663" s="84">
        <f t="shared" si="436"/>
        <v>0</v>
      </c>
      <c r="BQ663" s="84">
        <f t="shared" si="437"/>
        <v>0</v>
      </c>
      <c r="BR663" s="84">
        <f t="shared" si="438"/>
        <v>0</v>
      </c>
      <c r="BS663" s="84">
        <f t="shared" si="439"/>
        <v>0</v>
      </c>
      <c r="BT663" s="84">
        <f t="shared" si="440"/>
        <v>0</v>
      </c>
      <c r="BU663" s="84">
        <f t="shared" si="441"/>
        <v>0</v>
      </c>
      <c r="BV663" s="84">
        <f t="shared" si="442"/>
        <v>0</v>
      </c>
      <c r="BW663" s="84">
        <f t="shared" si="443"/>
        <v>0</v>
      </c>
      <c r="BX663" s="84">
        <f t="shared" si="444"/>
        <v>0</v>
      </c>
      <c r="BY663" s="84">
        <f t="shared" si="445"/>
        <v>0</v>
      </c>
      <c r="BZ663" s="84">
        <f t="shared" si="446"/>
        <v>0</v>
      </c>
      <c r="CA663" s="84">
        <f t="shared" si="447"/>
        <v>0</v>
      </c>
      <c r="CB663" s="84">
        <f t="shared" si="448"/>
        <v>0</v>
      </c>
      <c r="CC663" s="84">
        <f t="shared" si="449"/>
        <v>0</v>
      </c>
      <c r="CD663" s="84">
        <f t="shared" si="450"/>
        <v>0</v>
      </c>
    </row>
    <row r="664" spans="11:82" ht="12" customHeight="1" x14ac:dyDescent="0.35">
      <c r="K664" s="13"/>
      <c r="L664" s="13"/>
      <c r="M664" s="13"/>
      <c r="N664" s="13"/>
      <c r="O664" s="13"/>
      <c r="P664" s="13"/>
      <c r="Q664" s="13"/>
      <c r="R664" s="13"/>
      <c r="S664" s="13"/>
      <c r="T664" s="84">
        <f t="shared" si="390"/>
        <v>0</v>
      </c>
      <c r="U664" s="84"/>
      <c r="V664" s="84"/>
      <c r="W664" s="13">
        <f t="shared" si="391"/>
        <v>0</v>
      </c>
      <c r="X664" s="13">
        <f t="shared" si="392"/>
        <v>0</v>
      </c>
      <c r="Y664" s="13">
        <f t="shared" si="393"/>
        <v>0</v>
      </c>
      <c r="Z664" s="13">
        <f t="shared" si="394"/>
        <v>0</v>
      </c>
      <c r="AA664" s="13">
        <f t="shared" si="395"/>
        <v>0</v>
      </c>
      <c r="AB664" s="13">
        <f t="shared" si="396"/>
        <v>0</v>
      </c>
      <c r="AC664" s="13">
        <f t="shared" si="397"/>
        <v>0</v>
      </c>
      <c r="AD664" s="13">
        <f t="shared" si="398"/>
        <v>0</v>
      </c>
      <c r="AE664" s="13">
        <f t="shared" si="399"/>
        <v>0</v>
      </c>
      <c r="AF664" s="84">
        <f t="shared" si="400"/>
        <v>0</v>
      </c>
      <c r="AG664" s="84">
        <f t="shared" si="401"/>
        <v>0</v>
      </c>
      <c r="AH664" s="84">
        <f t="shared" si="402"/>
        <v>0</v>
      </c>
      <c r="AI664" s="84">
        <f t="shared" si="403"/>
        <v>0</v>
      </c>
      <c r="AJ664" s="84">
        <f t="shared" si="404"/>
        <v>0</v>
      </c>
      <c r="AK664" s="84">
        <f t="shared" si="405"/>
        <v>0</v>
      </c>
      <c r="AL664" s="84">
        <f t="shared" si="406"/>
        <v>0</v>
      </c>
      <c r="AM664" s="84">
        <f t="shared" si="407"/>
        <v>0</v>
      </c>
      <c r="AN664" s="84">
        <f t="shared" si="408"/>
        <v>0</v>
      </c>
      <c r="AO664" s="84">
        <f t="shared" si="409"/>
        <v>0</v>
      </c>
      <c r="AP664" s="84">
        <f t="shared" si="410"/>
        <v>0</v>
      </c>
      <c r="AQ664" s="84">
        <f t="shared" si="411"/>
        <v>0</v>
      </c>
      <c r="AR664" s="84">
        <f t="shared" si="412"/>
        <v>0</v>
      </c>
      <c r="AS664" s="84">
        <f t="shared" si="413"/>
        <v>0</v>
      </c>
      <c r="AT664" s="84">
        <f t="shared" si="414"/>
        <v>0</v>
      </c>
      <c r="AU664" s="84">
        <f t="shared" si="415"/>
        <v>0</v>
      </c>
      <c r="AV664" s="84">
        <f t="shared" si="416"/>
        <v>0</v>
      </c>
      <c r="AW664" s="84">
        <f t="shared" si="417"/>
        <v>0</v>
      </c>
      <c r="AX664" s="84">
        <f t="shared" si="418"/>
        <v>0</v>
      </c>
      <c r="AY664" s="84">
        <f t="shared" si="419"/>
        <v>0</v>
      </c>
      <c r="AZ664" s="84">
        <f t="shared" si="420"/>
        <v>0</v>
      </c>
      <c r="BA664" s="84">
        <f t="shared" si="421"/>
        <v>0</v>
      </c>
      <c r="BB664" s="84">
        <f t="shared" si="422"/>
        <v>0</v>
      </c>
      <c r="BC664" s="84">
        <f t="shared" si="423"/>
        <v>0</v>
      </c>
      <c r="BD664" s="84">
        <f t="shared" si="424"/>
        <v>0</v>
      </c>
      <c r="BE664" s="84">
        <f t="shared" si="425"/>
        <v>0</v>
      </c>
      <c r="BF664" s="84">
        <f t="shared" si="426"/>
        <v>0</v>
      </c>
      <c r="BG664" s="84">
        <f t="shared" si="427"/>
        <v>0</v>
      </c>
      <c r="BH664" s="84">
        <f t="shared" si="428"/>
        <v>0</v>
      </c>
      <c r="BI664" s="84">
        <f t="shared" si="429"/>
        <v>0</v>
      </c>
      <c r="BJ664" s="84">
        <f t="shared" si="430"/>
        <v>0</v>
      </c>
      <c r="BK664" s="84">
        <f t="shared" si="431"/>
        <v>0</v>
      </c>
      <c r="BL664" s="84">
        <f t="shared" si="432"/>
        <v>0</v>
      </c>
      <c r="BM664" s="84">
        <f t="shared" si="433"/>
        <v>0</v>
      </c>
      <c r="BN664" s="84">
        <f t="shared" si="434"/>
        <v>0</v>
      </c>
      <c r="BO664" s="84">
        <f t="shared" si="435"/>
        <v>0</v>
      </c>
      <c r="BP664" s="84">
        <f t="shared" si="436"/>
        <v>0</v>
      </c>
      <c r="BQ664" s="84">
        <f t="shared" si="437"/>
        <v>0</v>
      </c>
      <c r="BR664" s="84">
        <f t="shared" si="438"/>
        <v>0</v>
      </c>
      <c r="BS664" s="84">
        <f t="shared" si="439"/>
        <v>0</v>
      </c>
      <c r="BT664" s="84">
        <f t="shared" si="440"/>
        <v>0</v>
      </c>
      <c r="BU664" s="84">
        <f t="shared" si="441"/>
        <v>0</v>
      </c>
      <c r="BV664" s="84">
        <f t="shared" si="442"/>
        <v>0</v>
      </c>
      <c r="BW664" s="84">
        <f t="shared" si="443"/>
        <v>0</v>
      </c>
      <c r="BX664" s="84">
        <f t="shared" si="444"/>
        <v>0</v>
      </c>
      <c r="BY664" s="84">
        <f t="shared" si="445"/>
        <v>0</v>
      </c>
      <c r="BZ664" s="84">
        <f t="shared" si="446"/>
        <v>0</v>
      </c>
      <c r="CA664" s="84">
        <f t="shared" si="447"/>
        <v>0</v>
      </c>
      <c r="CB664" s="84">
        <f t="shared" si="448"/>
        <v>0</v>
      </c>
      <c r="CC664" s="84">
        <f t="shared" si="449"/>
        <v>0</v>
      </c>
      <c r="CD664" s="84">
        <f t="shared" si="450"/>
        <v>0</v>
      </c>
    </row>
    <row r="665" spans="11:82" ht="12" customHeight="1" x14ac:dyDescent="0.35">
      <c r="K665" s="13"/>
      <c r="L665" s="13"/>
      <c r="M665" s="13"/>
      <c r="N665" s="13"/>
      <c r="O665" s="13"/>
      <c r="P665" s="13"/>
      <c r="Q665" s="13"/>
      <c r="R665" s="13"/>
      <c r="S665" s="13"/>
      <c r="T665" s="84">
        <f t="shared" si="390"/>
        <v>0</v>
      </c>
      <c r="U665" s="84"/>
      <c r="V665" s="84"/>
      <c r="W665" s="13">
        <f t="shared" si="391"/>
        <v>0</v>
      </c>
      <c r="X665" s="13">
        <f t="shared" si="392"/>
        <v>0</v>
      </c>
      <c r="Y665" s="13">
        <f t="shared" si="393"/>
        <v>0</v>
      </c>
      <c r="Z665" s="13">
        <f t="shared" si="394"/>
        <v>0</v>
      </c>
      <c r="AA665" s="13">
        <f t="shared" si="395"/>
        <v>0</v>
      </c>
      <c r="AB665" s="13">
        <f t="shared" si="396"/>
        <v>0</v>
      </c>
      <c r="AC665" s="13">
        <f t="shared" si="397"/>
        <v>0</v>
      </c>
      <c r="AD665" s="13">
        <f t="shared" si="398"/>
        <v>0</v>
      </c>
      <c r="AE665" s="13">
        <f t="shared" si="399"/>
        <v>0</v>
      </c>
      <c r="AF665" s="84">
        <f t="shared" si="400"/>
        <v>0</v>
      </c>
      <c r="AG665" s="84">
        <f t="shared" si="401"/>
        <v>0</v>
      </c>
      <c r="AH665" s="84">
        <f t="shared" si="402"/>
        <v>0</v>
      </c>
      <c r="AI665" s="84">
        <f t="shared" si="403"/>
        <v>0</v>
      </c>
      <c r="AJ665" s="84">
        <f t="shared" si="404"/>
        <v>0</v>
      </c>
      <c r="AK665" s="84">
        <f t="shared" si="405"/>
        <v>0</v>
      </c>
      <c r="AL665" s="84">
        <f t="shared" si="406"/>
        <v>0</v>
      </c>
      <c r="AM665" s="84">
        <f t="shared" si="407"/>
        <v>0</v>
      </c>
      <c r="AN665" s="84">
        <f t="shared" si="408"/>
        <v>0</v>
      </c>
      <c r="AO665" s="84">
        <f t="shared" si="409"/>
        <v>0</v>
      </c>
      <c r="AP665" s="84">
        <f t="shared" si="410"/>
        <v>0</v>
      </c>
      <c r="AQ665" s="84">
        <f t="shared" si="411"/>
        <v>0</v>
      </c>
      <c r="AR665" s="84">
        <f t="shared" si="412"/>
        <v>0</v>
      </c>
      <c r="AS665" s="84">
        <f t="shared" si="413"/>
        <v>0</v>
      </c>
      <c r="AT665" s="84">
        <f t="shared" si="414"/>
        <v>0</v>
      </c>
      <c r="AU665" s="84">
        <f t="shared" si="415"/>
        <v>0</v>
      </c>
      <c r="AV665" s="84">
        <f t="shared" si="416"/>
        <v>0</v>
      </c>
      <c r="AW665" s="84">
        <f t="shared" si="417"/>
        <v>0</v>
      </c>
      <c r="AX665" s="84">
        <f t="shared" si="418"/>
        <v>0</v>
      </c>
      <c r="AY665" s="84">
        <f t="shared" si="419"/>
        <v>0</v>
      </c>
      <c r="AZ665" s="84">
        <f t="shared" si="420"/>
        <v>0</v>
      </c>
      <c r="BA665" s="84">
        <f t="shared" si="421"/>
        <v>0</v>
      </c>
      <c r="BB665" s="84">
        <f t="shared" si="422"/>
        <v>0</v>
      </c>
      <c r="BC665" s="84">
        <f t="shared" si="423"/>
        <v>0</v>
      </c>
      <c r="BD665" s="84">
        <f t="shared" si="424"/>
        <v>0</v>
      </c>
      <c r="BE665" s="84">
        <f t="shared" si="425"/>
        <v>0</v>
      </c>
      <c r="BF665" s="84">
        <f t="shared" si="426"/>
        <v>0</v>
      </c>
      <c r="BG665" s="84">
        <f t="shared" si="427"/>
        <v>0</v>
      </c>
      <c r="BH665" s="84">
        <f t="shared" si="428"/>
        <v>0</v>
      </c>
      <c r="BI665" s="84">
        <f t="shared" si="429"/>
        <v>0</v>
      </c>
      <c r="BJ665" s="84">
        <f t="shared" si="430"/>
        <v>0</v>
      </c>
      <c r="BK665" s="84">
        <f t="shared" si="431"/>
        <v>0</v>
      </c>
      <c r="BL665" s="84">
        <f t="shared" si="432"/>
        <v>0</v>
      </c>
      <c r="BM665" s="84">
        <f t="shared" si="433"/>
        <v>0</v>
      </c>
      <c r="BN665" s="84">
        <f t="shared" si="434"/>
        <v>0</v>
      </c>
      <c r="BO665" s="84">
        <f t="shared" si="435"/>
        <v>0</v>
      </c>
      <c r="BP665" s="84">
        <f t="shared" si="436"/>
        <v>0</v>
      </c>
      <c r="BQ665" s="84">
        <f t="shared" si="437"/>
        <v>0</v>
      </c>
      <c r="BR665" s="84">
        <f t="shared" si="438"/>
        <v>0</v>
      </c>
      <c r="BS665" s="84">
        <f t="shared" si="439"/>
        <v>0</v>
      </c>
      <c r="BT665" s="84">
        <f t="shared" si="440"/>
        <v>0</v>
      </c>
      <c r="BU665" s="84">
        <f t="shared" si="441"/>
        <v>0</v>
      </c>
      <c r="BV665" s="84">
        <f t="shared" si="442"/>
        <v>0</v>
      </c>
      <c r="BW665" s="84">
        <f t="shared" si="443"/>
        <v>0</v>
      </c>
      <c r="BX665" s="84">
        <f t="shared" si="444"/>
        <v>0</v>
      </c>
      <c r="BY665" s="84">
        <f t="shared" si="445"/>
        <v>0</v>
      </c>
      <c r="BZ665" s="84">
        <f t="shared" si="446"/>
        <v>0</v>
      </c>
      <c r="CA665" s="84">
        <f t="shared" si="447"/>
        <v>0</v>
      </c>
      <c r="CB665" s="84">
        <f t="shared" si="448"/>
        <v>0</v>
      </c>
      <c r="CC665" s="84">
        <f t="shared" si="449"/>
        <v>0</v>
      </c>
      <c r="CD665" s="84">
        <f t="shared" si="450"/>
        <v>0</v>
      </c>
    </row>
    <row r="666" spans="11:82" ht="12" customHeight="1" x14ac:dyDescent="0.35">
      <c r="K666" s="13"/>
      <c r="L666" s="13"/>
      <c r="M666" s="13"/>
      <c r="N666" s="13"/>
      <c r="O666" s="13"/>
      <c r="P666" s="13"/>
      <c r="Q666" s="13"/>
      <c r="R666" s="13"/>
      <c r="S666" s="13"/>
      <c r="T666" s="84">
        <f t="shared" si="390"/>
        <v>0</v>
      </c>
      <c r="U666" s="84"/>
      <c r="V666" s="84"/>
      <c r="W666" s="13">
        <f t="shared" si="391"/>
        <v>0</v>
      </c>
      <c r="X666" s="13">
        <f t="shared" si="392"/>
        <v>0</v>
      </c>
      <c r="Y666" s="13">
        <f t="shared" si="393"/>
        <v>0</v>
      </c>
      <c r="Z666" s="13">
        <f t="shared" si="394"/>
        <v>0</v>
      </c>
      <c r="AA666" s="13">
        <f t="shared" si="395"/>
        <v>0</v>
      </c>
      <c r="AB666" s="13">
        <f t="shared" si="396"/>
        <v>0</v>
      </c>
      <c r="AC666" s="13">
        <f t="shared" si="397"/>
        <v>0</v>
      </c>
      <c r="AD666" s="13">
        <f t="shared" si="398"/>
        <v>0</v>
      </c>
      <c r="AE666" s="13">
        <f t="shared" si="399"/>
        <v>0</v>
      </c>
      <c r="AF666" s="84">
        <f t="shared" si="400"/>
        <v>0</v>
      </c>
      <c r="AG666" s="84">
        <f t="shared" si="401"/>
        <v>0</v>
      </c>
      <c r="AH666" s="84">
        <f t="shared" si="402"/>
        <v>0</v>
      </c>
      <c r="AI666" s="84">
        <f t="shared" si="403"/>
        <v>0</v>
      </c>
      <c r="AJ666" s="84">
        <f t="shared" si="404"/>
        <v>0</v>
      </c>
      <c r="AK666" s="84">
        <f t="shared" si="405"/>
        <v>0</v>
      </c>
      <c r="AL666" s="84">
        <f t="shared" si="406"/>
        <v>0</v>
      </c>
      <c r="AM666" s="84">
        <f t="shared" si="407"/>
        <v>0</v>
      </c>
      <c r="AN666" s="84">
        <f t="shared" si="408"/>
        <v>0</v>
      </c>
      <c r="AO666" s="84">
        <f t="shared" si="409"/>
        <v>0</v>
      </c>
      <c r="AP666" s="84">
        <f t="shared" si="410"/>
        <v>0</v>
      </c>
      <c r="AQ666" s="84">
        <f t="shared" si="411"/>
        <v>0</v>
      </c>
      <c r="AR666" s="84">
        <f t="shared" si="412"/>
        <v>0</v>
      </c>
      <c r="AS666" s="84">
        <f t="shared" si="413"/>
        <v>0</v>
      </c>
      <c r="AT666" s="84">
        <f t="shared" si="414"/>
        <v>0</v>
      </c>
      <c r="AU666" s="84">
        <f t="shared" si="415"/>
        <v>0</v>
      </c>
      <c r="AV666" s="84">
        <f t="shared" si="416"/>
        <v>0</v>
      </c>
      <c r="AW666" s="84">
        <f t="shared" si="417"/>
        <v>0</v>
      </c>
      <c r="AX666" s="84">
        <f t="shared" si="418"/>
        <v>0</v>
      </c>
      <c r="AY666" s="84">
        <f t="shared" si="419"/>
        <v>0</v>
      </c>
      <c r="AZ666" s="84">
        <f t="shared" si="420"/>
        <v>0</v>
      </c>
      <c r="BA666" s="84">
        <f t="shared" si="421"/>
        <v>0</v>
      </c>
      <c r="BB666" s="84">
        <f t="shared" si="422"/>
        <v>0</v>
      </c>
      <c r="BC666" s="84">
        <f t="shared" si="423"/>
        <v>0</v>
      </c>
      <c r="BD666" s="84">
        <f t="shared" si="424"/>
        <v>0</v>
      </c>
      <c r="BE666" s="84">
        <f t="shared" si="425"/>
        <v>0</v>
      </c>
      <c r="BF666" s="84">
        <f t="shared" si="426"/>
        <v>0</v>
      </c>
      <c r="BG666" s="84">
        <f t="shared" si="427"/>
        <v>0</v>
      </c>
      <c r="BH666" s="84">
        <f t="shared" si="428"/>
        <v>0</v>
      </c>
      <c r="BI666" s="84">
        <f t="shared" si="429"/>
        <v>0</v>
      </c>
      <c r="BJ666" s="84">
        <f t="shared" si="430"/>
        <v>0</v>
      </c>
      <c r="BK666" s="84">
        <f t="shared" si="431"/>
        <v>0</v>
      </c>
      <c r="BL666" s="84">
        <f t="shared" si="432"/>
        <v>0</v>
      </c>
      <c r="BM666" s="84">
        <f t="shared" si="433"/>
        <v>0</v>
      </c>
      <c r="BN666" s="84">
        <f t="shared" si="434"/>
        <v>0</v>
      </c>
      <c r="BO666" s="84">
        <f t="shared" si="435"/>
        <v>0</v>
      </c>
      <c r="BP666" s="84">
        <f t="shared" si="436"/>
        <v>0</v>
      </c>
      <c r="BQ666" s="84">
        <f t="shared" si="437"/>
        <v>0</v>
      </c>
      <c r="BR666" s="84">
        <f t="shared" si="438"/>
        <v>0</v>
      </c>
      <c r="BS666" s="84">
        <f t="shared" si="439"/>
        <v>0</v>
      </c>
      <c r="BT666" s="84">
        <f t="shared" si="440"/>
        <v>0</v>
      </c>
      <c r="BU666" s="84">
        <f t="shared" si="441"/>
        <v>0</v>
      </c>
      <c r="BV666" s="84">
        <f t="shared" si="442"/>
        <v>0</v>
      </c>
      <c r="BW666" s="84">
        <f t="shared" si="443"/>
        <v>0</v>
      </c>
      <c r="BX666" s="84">
        <f t="shared" si="444"/>
        <v>0</v>
      </c>
      <c r="BY666" s="84">
        <f t="shared" si="445"/>
        <v>0</v>
      </c>
      <c r="BZ666" s="84">
        <f t="shared" si="446"/>
        <v>0</v>
      </c>
      <c r="CA666" s="84">
        <f t="shared" si="447"/>
        <v>0</v>
      </c>
      <c r="CB666" s="84">
        <f t="shared" si="448"/>
        <v>0</v>
      </c>
      <c r="CC666" s="84">
        <f t="shared" si="449"/>
        <v>0</v>
      </c>
      <c r="CD666" s="84">
        <f t="shared" si="450"/>
        <v>0</v>
      </c>
    </row>
    <row r="667" spans="11:82" ht="12" customHeight="1" x14ac:dyDescent="0.35">
      <c r="K667" s="13"/>
      <c r="L667" s="13"/>
      <c r="M667" s="13"/>
      <c r="N667" s="13"/>
      <c r="O667" s="13"/>
      <c r="P667" s="13"/>
      <c r="Q667" s="13"/>
      <c r="R667" s="13"/>
      <c r="S667" s="13"/>
      <c r="T667" s="84">
        <f t="shared" si="390"/>
        <v>0</v>
      </c>
      <c r="U667" s="84"/>
      <c r="V667" s="84"/>
      <c r="W667" s="13">
        <f t="shared" si="391"/>
        <v>0</v>
      </c>
      <c r="X667" s="13">
        <f t="shared" si="392"/>
        <v>0</v>
      </c>
      <c r="Y667" s="13">
        <f t="shared" si="393"/>
        <v>0</v>
      </c>
      <c r="Z667" s="13">
        <f t="shared" si="394"/>
        <v>0</v>
      </c>
      <c r="AA667" s="13">
        <f t="shared" si="395"/>
        <v>0</v>
      </c>
      <c r="AB667" s="13">
        <f t="shared" si="396"/>
        <v>0</v>
      </c>
      <c r="AC667" s="13">
        <f t="shared" si="397"/>
        <v>0</v>
      </c>
      <c r="AD667" s="13">
        <f t="shared" si="398"/>
        <v>0</v>
      </c>
      <c r="AE667" s="13">
        <f t="shared" si="399"/>
        <v>0</v>
      </c>
      <c r="AF667" s="84">
        <f t="shared" si="400"/>
        <v>0</v>
      </c>
      <c r="AG667" s="84">
        <f t="shared" si="401"/>
        <v>0</v>
      </c>
      <c r="AH667" s="84">
        <f t="shared" si="402"/>
        <v>0</v>
      </c>
      <c r="AI667" s="84">
        <f t="shared" si="403"/>
        <v>0</v>
      </c>
      <c r="AJ667" s="84">
        <f t="shared" si="404"/>
        <v>0</v>
      </c>
      <c r="AK667" s="84">
        <f t="shared" si="405"/>
        <v>0</v>
      </c>
      <c r="AL667" s="84">
        <f t="shared" si="406"/>
        <v>0</v>
      </c>
      <c r="AM667" s="84">
        <f t="shared" si="407"/>
        <v>0</v>
      </c>
      <c r="AN667" s="84">
        <f t="shared" si="408"/>
        <v>0</v>
      </c>
      <c r="AO667" s="84">
        <f t="shared" si="409"/>
        <v>0</v>
      </c>
      <c r="AP667" s="84">
        <f t="shared" si="410"/>
        <v>0</v>
      </c>
      <c r="AQ667" s="84">
        <f t="shared" si="411"/>
        <v>0</v>
      </c>
      <c r="AR667" s="84">
        <f t="shared" si="412"/>
        <v>0</v>
      </c>
      <c r="AS667" s="84">
        <f t="shared" si="413"/>
        <v>0</v>
      </c>
      <c r="AT667" s="84">
        <f t="shared" si="414"/>
        <v>0</v>
      </c>
      <c r="AU667" s="84">
        <f t="shared" si="415"/>
        <v>0</v>
      </c>
      <c r="AV667" s="84">
        <f t="shared" si="416"/>
        <v>0</v>
      </c>
      <c r="AW667" s="84">
        <f t="shared" si="417"/>
        <v>0</v>
      </c>
      <c r="AX667" s="84">
        <f t="shared" si="418"/>
        <v>0</v>
      </c>
      <c r="AY667" s="84">
        <f t="shared" si="419"/>
        <v>0</v>
      </c>
      <c r="AZ667" s="84">
        <f t="shared" si="420"/>
        <v>0</v>
      </c>
      <c r="BA667" s="84">
        <f t="shared" si="421"/>
        <v>0</v>
      </c>
      <c r="BB667" s="84">
        <f t="shared" si="422"/>
        <v>0</v>
      </c>
      <c r="BC667" s="84">
        <f t="shared" si="423"/>
        <v>0</v>
      </c>
      <c r="BD667" s="84">
        <f t="shared" si="424"/>
        <v>0</v>
      </c>
      <c r="BE667" s="84">
        <f t="shared" si="425"/>
        <v>0</v>
      </c>
      <c r="BF667" s="84">
        <f t="shared" si="426"/>
        <v>0</v>
      </c>
      <c r="BG667" s="84">
        <f t="shared" si="427"/>
        <v>0</v>
      </c>
      <c r="BH667" s="84">
        <f t="shared" si="428"/>
        <v>0</v>
      </c>
      <c r="BI667" s="84">
        <f t="shared" si="429"/>
        <v>0</v>
      </c>
      <c r="BJ667" s="84">
        <f t="shared" si="430"/>
        <v>0</v>
      </c>
      <c r="BK667" s="84">
        <f t="shared" si="431"/>
        <v>0</v>
      </c>
      <c r="BL667" s="84">
        <f t="shared" si="432"/>
        <v>0</v>
      </c>
      <c r="BM667" s="84">
        <f t="shared" si="433"/>
        <v>0</v>
      </c>
      <c r="BN667" s="84">
        <f t="shared" si="434"/>
        <v>0</v>
      </c>
      <c r="BO667" s="84">
        <f t="shared" si="435"/>
        <v>0</v>
      </c>
      <c r="BP667" s="84">
        <f t="shared" si="436"/>
        <v>0</v>
      </c>
      <c r="BQ667" s="84">
        <f t="shared" si="437"/>
        <v>0</v>
      </c>
      <c r="BR667" s="84">
        <f t="shared" si="438"/>
        <v>0</v>
      </c>
      <c r="BS667" s="84">
        <f t="shared" si="439"/>
        <v>0</v>
      </c>
      <c r="BT667" s="84">
        <f t="shared" si="440"/>
        <v>0</v>
      </c>
      <c r="BU667" s="84">
        <f t="shared" si="441"/>
        <v>0</v>
      </c>
      <c r="BV667" s="84">
        <f t="shared" si="442"/>
        <v>0</v>
      </c>
      <c r="BW667" s="84">
        <f t="shared" si="443"/>
        <v>0</v>
      </c>
      <c r="BX667" s="84">
        <f t="shared" si="444"/>
        <v>0</v>
      </c>
      <c r="BY667" s="84">
        <f t="shared" si="445"/>
        <v>0</v>
      </c>
      <c r="BZ667" s="84">
        <f t="shared" si="446"/>
        <v>0</v>
      </c>
      <c r="CA667" s="84">
        <f t="shared" si="447"/>
        <v>0</v>
      </c>
      <c r="CB667" s="84">
        <f t="shared" si="448"/>
        <v>0</v>
      </c>
      <c r="CC667" s="84">
        <f t="shared" si="449"/>
        <v>0</v>
      </c>
      <c r="CD667" s="84">
        <f t="shared" si="450"/>
        <v>0</v>
      </c>
    </row>
    <row r="668" spans="11:82" ht="12" customHeight="1" x14ac:dyDescent="0.35">
      <c r="K668" s="13"/>
      <c r="L668" s="13"/>
      <c r="M668" s="13"/>
      <c r="N668" s="13"/>
      <c r="O668" s="13"/>
      <c r="P668" s="13"/>
      <c r="Q668" s="13"/>
      <c r="R668" s="13"/>
      <c r="S668" s="13"/>
      <c r="T668" s="84">
        <f t="shared" si="390"/>
        <v>0</v>
      </c>
      <c r="U668" s="84"/>
      <c r="V668" s="84"/>
      <c r="W668" s="13">
        <f t="shared" si="391"/>
        <v>0</v>
      </c>
      <c r="X668" s="13">
        <f t="shared" si="392"/>
        <v>0</v>
      </c>
      <c r="Y668" s="13">
        <f t="shared" si="393"/>
        <v>0</v>
      </c>
      <c r="Z668" s="13">
        <f t="shared" si="394"/>
        <v>0</v>
      </c>
      <c r="AA668" s="13">
        <f t="shared" si="395"/>
        <v>0</v>
      </c>
      <c r="AB668" s="13">
        <f t="shared" si="396"/>
        <v>0</v>
      </c>
      <c r="AC668" s="13">
        <f t="shared" si="397"/>
        <v>0</v>
      </c>
      <c r="AD668" s="13">
        <f t="shared" si="398"/>
        <v>0</v>
      </c>
      <c r="AE668" s="13">
        <f t="shared" si="399"/>
        <v>0</v>
      </c>
      <c r="AF668" s="84">
        <f t="shared" si="400"/>
        <v>0</v>
      </c>
      <c r="AG668" s="84">
        <f t="shared" si="401"/>
        <v>0</v>
      </c>
      <c r="AH668" s="84">
        <f t="shared" si="402"/>
        <v>0</v>
      </c>
      <c r="AI668" s="84">
        <f t="shared" si="403"/>
        <v>0</v>
      </c>
      <c r="AJ668" s="84">
        <f t="shared" si="404"/>
        <v>0</v>
      </c>
      <c r="AK668" s="84">
        <f t="shared" si="405"/>
        <v>0</v>
      </c>
      <c r="AL668" s="84">
        <f t="shared" si="406"/>
        <v>0</v>
      </c>
      <c r="AM668" s="84">
        <f t="shared" si="407"/>
        <v>0</v>
      </c>
      <c r="AN668" s="84">
        <f t="shared" si="408"/>
        <v>0</v>
      </c>
      <c r="AO668" s="84">
        <f t="shared" si="409"/>
        <v>0</v>
      </c>
      <c r="AP668" s="84">
        <f t="shared" si="410"/>
        <v>0</v>
      </c>
      <c r="AQ668" s="84">
        <f t="shared" si="411"/>
        <v>0</v>
      </c>
      <c r="AR668" s="84">
        <f t="shared" si="412"/>
        <v>0</v>
      </c>
      <c r="AS668" s="84">
        <f t="shared" si="413"/>
        <v>0</v>
      </c>
      <c r="AT668" s="84">
        <f t="shared" si="414"/>
        <v>0</v>
      </c>
      <c r="AU668" s="84">
        <f t="shared" si="415"/>
        <v>0</v>
      </c>
      <c r="AV668" s="84">
        <f t="shared" si="416"/>
        <v>0</v>
      </c>
      <c r="AW668" s="84">
        <f t="shared" si="417"/>
        <v>0</v>
      </c>
      <c r="AX668" s="84">
        <f t="shared" si="418"/>
        <v>0</v>
      </c>
      <c r="AY668" s="84">
        <f t="shared" si="419"/>
        <v>0</v>
      </c>
      <c r="AZ668" s="84">
        <f t="shared" si="420"/>
        <v>0</v>
      </c>
      <c r="BA668" s="84">
        <f t="shared" si="421"/>
        <v>0</v>
      </c>
      <c r="BB668" s="84">
        <f t="shared" si="422"/>
        <v>0</v>
      </c>
      <c r="BC668" s="84">
        <f t="shared" si="423"/>
        <v>0</v>
      </c>
      <c r="BD668" s="84">
        <f t="shared" si="424"/>
        <v>0</v>
      </c>
      <c r="BE668" s="84">
        <f t="shared" si="425"/>
        <v>0</v>
      </c>
      <c r="BF668" s="84">
        <f t="shared" si="426"/>
        <v>0</v>
      </c>
      <c r="BG668" s="84">
        <f t="shared" si="427"/>
        <v>0</v>
      </c>
      <c r="BH668" s="84">
        <f t="shared" si="428"/>
        <v>0</v>
      </c>
      <c r="BI668" s="84">
        <f t="shared" si="429"/>
        <v>0</v>
      </c>
      <c r="BJ668" s="84">
        <f t="shared" si="430"/>
        <v>0</v>
      </c>
      <c r="BK668" s="84">
        <f t="shared" si="431"/>
        <v>0</v>
      </c>
      <c r="BL668" s="84">
        <f t="shared" si="432"/>
        <v>0</v>
      </c>
      <c r="BM668" s="84">
        <f t="shared" si="433"/>
        <v>0</v>
      </c>
      <c r="BN668" s="84">
        <f t="shared" si="434"/>
        <v>0</v>
      </c>
      <c r="BO668" s="84">
        <f t="shared" si="435"/>
        <v>0</v>
      </c>
      <c r="BP668" s="84">
        <f t="shared" si="436"/>
        <v>0</v>
      </c>
      <c r="BQ668" s="84">
        <f t="shared" si="437"/>
        <v>0</v>
      </c>
      <c r="BR668" s="84">
        <f t="shared" si="438"/>
        <v>0</v>
      </c>
      <c r="BS668" s="84">
        <f t="shared" si="439"/>
        <v>0</v>
      </c>
      <c r="BT668" s="84">
        <f t="shared" si="440"/>
        <v>0</v>
      </c>
      <c r="BU668" s="84">
        <f t="shared" si="441"/>
        <v>0</v>
      </c>
      <c r="BV668" s="84">
        <f t="shared" si="442"/>
        <v>0</v>
      </c>
      <c r="BW668" s="84">
        <f t="shared" si="443"/>
        <v>0</v>
      </c>
      <c r="BX668" s="84">
        <f t="shared" si="444"/>
        <v>0</v>
      </c>
      <c r="BY668" s="84">
        <f t="shared" si="445"/>
        <v>0</v>
      </c>
      <c r="BZ668" s="84">
        <f t="shared" si="446"/>
        <v>0</v>
      </c>
      <c r="CA668" s="84">
        <f t="shared" si="447"/>
        <v>0</v>
      </c>
      <c r="CB668" s="84">
        <f t="shared" si="448"/>
        <v>0</v>
      </c>
      <c r="CC668" s="84">
        <f t="shared" si="449"/>
        <v>0</v>
      </c>
      <c r="CD668" s="84">
        <f t="shared" si="450"/>
        <v>0</v>
      </c>
    </row>
    <row r="669" spans="11:82" ht="12" customHeight="1" x14ac:dyDescent="0.35">
      <c r="K669" s="13"/>
      <c r="L669" s="13"/>
      <c r="M669" s="13"/>
      <c r="N669" s="13"/>
      <c r="O669" s="13"/>
      <c r="P669" s="13"/>
      <c r="Q669" s="13"/>
      <c r="R669" s="13"/>
      <c r="S669" s="13"/>
      <c r="T669" s="84">
        <f t="shared" ref="T669:T686" si="451">T584</f>
        <v>0</v>
      </c>
      <c r="U669" s="84"/>
      <c r="V669" s="84"/>
      <c r="W669" s="13">
        <f t="shared" ref="W669:W686" si="452">IF(AND(T584=0,W584&gt;0),1,0)</f>
        <v>0</v>
      </c>
      <c r="X669" s="13">
        <f t="shared" ref="X669:X686" si="453">IF(AND(U584=0,X584&gt;0),1,0)</f>
        <v>0</v>
      </c>
      <c r="Y669" s="13">
        <f t="shared" ref="Y669:Y686" si="454">IF(AND(V584=0,Y584&gt;0),1,0)</f>
        <v>0</v>
      </c>
      <c r="Z669" s="13">
        <f t="shared" ref="Z669:Z686" si="455">IF(AND(W584=0,Z584&gt;0),1,0)</f>
        <v>0</v>
      </c>
      <c r="AA669" s="13">
        <f t="shared" ref="AA669:AA686" si="456">IF(AND(X584=0,AA584&gt;0),1,0)</f>
        <v>0</v>
      </c>
      <c r="AB669" s="13">
        <f t="shared" ref="AB669:AB686" si="457">IF(AND(Y584=0,AB584&gt;0),1,0)</f>
        <v>0</v>
      </c>
      <c r="AC669" s="13">
        <f t="shared" ref="AC669:AC686" si="458">IF(AND(Z584=0,AC584&gt;0),1,0)</f>
        <v>0</v>
      </c>
      <c r="AD669" s="13">
        <f t="shared" ref="AD669:AD686" si="459">IF(AND(AA584=0,AD584&gt;0),1,0)</f>
        <v>0</v>
      </c>
      <c r="AE669" s="13">
        <f t="shared" ref="AE669:AE686" si="460">IF(AND(AB584=0,AE584&gt;0),1,0)</f>
        <v>0</v>
      </c>
      <c r="AF669" s="84">
        <f t="shared" ref="AF669:AF686" si="461">IF(AND(AC584=0,AF584&gt;0),1,0)</f>
        <v>0</v>
      </c>
      <c r="AG669" s="84">
        <f t="shared" ref="AG669:AG686" si="462">IF(AND(AD584=0,AG584&gt;0),1,0)</f>
        <v>0</v>
      </c>
      <c r="AH669" s="84">
        <f t="shared" ref="AH669:AH686" si="463">IF(AND(AE584=0,AH584&gt;0),1,0)</f>
        <v>0</v>
      </c>
      <c r="AI669" s="84">
        <f t="shared" ref="AI669:AI686" si="464">IF(AND(AF584=0,AI584&gt;0),1,0)</f>
        <v>0</v>
      </c>
      <c r="AJ669" s="84">
        <f t="shared" ref="AJ669:AJ686" si="465">IF(AND(AG584=0,AJ584&gt;0),1,0)</f>
        <v>0</v>
      </c>
      <c r="AK669" s="84">
        <f t="shared" ref="AK669:AK686" si="466">IF(AND(AH584=0,AK584&gt;0),1,0)</f>
        <v>0</v>
      </c>
      <c r="AL669" s="84">
        <f t="shared" ref="AL669:AL686" si="467">IF(AND(AI584=0,AL584&gt;0),1,0)</f>
        <v>0</v>
      </c>
      <c r="AM669" s="84">
        <f t="shared" ref="AM669:AM686" si="468">IF(AND(AJ584=0,AM584&gt;0),1,0)</f>
        <v>0</v>
      </c>
      <c r="AN669" s="84">
        <f t="shared" ref="AN669:AN686" si="469">IF(AND(AK584=0,AN584&gt;0),1,0)</f>
        <v>0</v>
      </c>
      <c r="AO669" s="84">
        <f t="shared" ref="AO669:AO686" si="470">IF(AND(AL584=0,AO584&gt;0),1,0)</f>
        <v>0</v>
      </c>
      <c r="AP669" s="84">
        <f t="shared" ref="AP669:AP686" si="471">IF(AND(AM584=0,AP584&gt;0),1,0)</f>
        <v>0</v>
      </c>
      <c r="AQ669" s="84">
        <f t="shared" ref="AQ669:AQ686" si="472">IF(AND(AN584=0,AQ584&gt;0),1,0)</f>
        <v>0</v>
      </c>
      <c r="AR669" s="84">
        <f t="shared" ref="AR669:AR686" si="473">IF(AND(AO584=0,AR584&gt;0),1,0)</f>
        <v>0</v>
      </c>
      <c r="AS669" s="84">
        <f t="shared" ref="AS669:AS686" si="474">IF(AND(AP584=0,AS584&gt;0),1,0)</f>
        <v>0</v>
      </c>
      <c r="AT669" s="84">
        <f t="shared" ref="AT669:AT686" si="475">IF(AND(AQ584=0,AT584&gt;0),1,0)</f>
        <v>0</v>
      </c>
      <c r="AU669" s="84">
        <f t="shared" ref="AU669:AU686" si="476">IF(AND(AR584=0,AU584&gt;0),1,0)</f>
        <v>0</v>
      </c>
      <c r="AV669" s="84">
        <f t="shared" ref="AV669:AV686" si="477">IF(AND(AS584=0,AV584&gt;0),1,0)</f>
        <v>0</v>
      </c>
      <c r="AW669" s="84">
        <f t="shared" ref="AW669:AW686" si="478">IF(AND(AT584=0,AW584&gt;0),1,0)</f>
        <v>0</v>
      </c>
      <c r="AX669" s="84">
        <f t="shared" ref="AX669:AX686" si="479">IF(AND(AU584=0,AX584&gt;0),1,0)</f>
        <v>0</v>
      </c>
      <c r="AY669" s="84">
        <f t="shared" ref="AY669:AY686" si="480">IF(AND(AV584=0,AY584&gt;0),1,0)</f>
        <v>0</v>
      </c>
      <c r="AZ669" s="84">
        <f t="shared" ref="AZ669:AZ686" si="481">IF(AND(AW584=0,AZ584&gt;0),1,0)</f>
        <v>0</v>
      </c>
      <c r="BA669" s="84">
        <f t="shared" ref="BA669:BA686" si="482">IF(AND(AX584=0,BA584&gt;0),1,0)</f>
        <v>0</v>
      </c>
      <c r="BB669" s="84">
        <f t="shared" ref="BB669:BB686" si="483">IF(AND(AY584=0,BB584&gt;0),1,0)</f>
        <v>0</v>
      </c>
      <c r="BC669" s="84">
        <f t="shared" ref="BC669:BC686" si="484">IF(AND(AZ584=0,BC584&gt;0),1,0)</f>
        <v>0</v>
      </c>
      <c r="BD669" s="84">
        <f t="shared" ref="BD669:BD686" si="485">IF(AND(BA584=0,BD584&gt;0),1,0)</f>
        <v>0</v>
      </c>
      <c r="BE669" s="84">
        <f t="shared" ref="BE669:BE686" si="486">IF(AND(BB584=0,BE584&gt;0),1,0)</f>
        <v>0</v>
      </c>
      <c r="BF669" s="84">
        <f t="shared" ref="BF669:BF686" si="487">IF(AND(BC584=0,BF584&gt;0),1,0)</f>
        <v>0</v>
      </c>
      <c r="BG669" s="84">
        <f t="shared" ref="BG669:BG686" si="488">IF(AND(BD584=0,BG584&gt;0),1,0)</f>
        <v>0</v>
      </c>
      <c r="BH669" s="84">
        <f t="shared" ref="BH669:BH686" si="489">IF(AND(BE584=0,BH584&gt;0),1,0)</f>
        <v>0</v>
      </c>
      <c r="BI669" s="84">
        <f t="shared" ref="BI669:BI686" si="490">IF(AND(BF584=0,BI584&gt;0),1,0)</f>
        <v>0</v>
      </c>
      <c r="BJ669" s="84">
        <f t="shared" ref="BJ669:BJ686" si="491">IF(AND(BG584=0,BJ584&gt;0),1,0)</f>
        <v>0</v>
      </c>
      <c r="BK669" s="84">
        <f t="shared" ref="BK669:BK686" si="492">IF(AND(BH584=0,BK584&gt;0),1,0)</f>
        <v>0</v>
      </c>
      <c r="BL669" s="84">
        <f t="shared" ref="BL669:BL686" si="493">IF(AND(BI584=0,BL584&gt;0),1,0)</f>
        <v>0</v>
      </c>
      <c r="BM669" s="84">
        <f t="shared" ref="BM669:BM686" si="494">IF(AND(BJ584=0,BM584&gt;0),1,0)</f>
        <v>0</v>
      </c>
      <c r="BN669" s="84">
        <f t="shared" ref="BN669:BN686" si="495">IF(AND(BK584=0,BN584&gt;0),1,0)</f>
        <v>0</v>
      </c>
      <c r="BO669" s="84">
        <f t="shared" ref="BO669:BO686" si="496">IF(AND(BL584=0,BO584&gt;0),1,0)</f>
        <v>0</v>
      </c>
      <c r="BP669" s="84">
        <f t="shared" ref="BP669:BP686" si="497">IF(AND(BM584=0,BP584&gt;0),1,0)</f>
        <v>0</v>
      </c>
      <c r="BQ669" s="84">
        <f t="shared" ref="BQ669:BQ686" si="498">IF(AND(BN584=0,BQ584&gt;0),1,0)</f>
        <v>0</v>
      </c>
      <c r="BR669" s="84">
        <f t="shared" ref="BR669:BR686" si="499">IF(AND(BO584=0,BR584&gt;0),1,0)</f>
        <v>0</v>
      </c>
      <c r="BS669" s="84">
        <f t="shared" ref="BS669:BS686" si="500">IF(AND(BP584=0,BS584&gt;0),1,0)</f>
        <v>0</v>
      </c>
      <c r="BT669" s="84">
        <f t="shared" ref="BT669:BT686" si="501">IF(AND(BQ584=0,BT584&gt;0),1,0)</f>
        <v>0</v>
      </c>
      <c r="BU669" s="84">
        <f t="shared" ref="BU669:BU686" si="502">IF(AND(BR584=0,BU584&gt;0),1,0)</f>
        <v>0</v>
      </c>
      <c r="BV669" s="84">
        <f t="shared" ref="BV669:BV686" si="503">IF(AND(BS584=0,BV584&gt;0),1,0)</f>
        <v>0</v>
      </c>
      <c r="BW669" s="84">
        <f t="shared" ref="BW669:BW686" si="504">IF(AND(BT584=0,BW584&gt;0),1,0)</f>
        <v>0</v>
      </c>
      <c r="BX669" s="84">
        <f t="shared" ref="BX669:BX686" si="505">IF(AND(BU584=0,BX584&gt;0),1,0)</f>
        <v>0</v>
      </c>
      <c r="BY669" s="84">
        <f t="shared" ref="BY669:BY686" si="506">IF(AND(BV584=0,BY584&gt;0),1,0)</f>
        <v>0</v>
      </c>
      <c r="BZ669" s="84">
        <f t="shared" ref="BZ669:BZ686" si="507">IF(AND(BW584=0,BZ584&gt;0),1,0)</f>
        <v>0</v>
      </c>
      <c r="CA669" s="84">
        <f t="shared" ref="CA669:CA686" si="508">IF(AND(BX584=0,CA584&gt;0),1,0)</f>
        <v>0</v>
      </c>
      <c r="CB669" s="84">
        <f t="shared" ref="CB669:CB686" si="509">IF(AND(BY584=0,CB584&gt;0),1,0)</f>
        <v>0</v>
      </c>
      <c r="CC669" s="84">
        <f t="shared" ref="CC669:CC686" si="510">IF(AND(BZ584=0,CC584&gt;0),1,0)</f>
        <v>0</v>
      </c>
      <c r="CD669" s="84">
        <f t="shared" ref="CD669:CD686" si="511">IF(AND(CA584=0,CD584&gt;0),1,0)</f>
        <v>0</v>
      </c>
    </row>
    <row r="670" spans="11:82" ht="12" customHeight="1" x14ac:dyDescent="0.35">
      <c r="K670" s="13"/>
      <c r="L670" s="13"/>
      <c r="M670" s="13"/>
      <c r="N670" s="13"/>
      <c r="O670" s="13"/>
      <c r="P670" s="13"/>
      <c r="Q670" s="13"/>
      <c r="R670" s="13"/>
      <c r="S670" s="13"/>
      <c r="T670" s="84">
        <f t="shared" si="451"/>
        <v>0</v>
      </c>
      <c r="U670" s="84"/>
      <c r="V670" s="84"/>
      <c r="W670" s="13">
        <f t="shared" si="452"/>
        <v>0</v>
      </c>
      <c r="X670" s="13">
        <f t="shared" si="453"/>
        <v>0</v>
      </c>
      <c r="Y670" s="13">
        <f t="shared" si="454"/>
        <v>0</v>
      </c>
      <c r="Z670" s="13">
        <f t="shared" si="455"/>
        <v>0</v>
      </c>
      <c r="AA670" s="13">
        <f t="shared" si="456"/>
        <v>0</v>
      </c>
      <c r="AB670" s="13">
        <f t="shared" si="457"/>
        <v>0</v>
      </c>
      <c r="AC670" s="13">
        <f t="shared" si="458"/>
        <v>0</v>
      </c>
      <c r="AD670" s="13">
        <f t="shared" si="459"/>
        <v>0</v>
      </c>
      <c r="AE670" s="13">
        <f t="shared" si="460"/>
        <v>0</v>
      </c>
      <c r="AF670" s="84">
        <f t="shared" si="461"/>
        <v>0</v>
      </c>
      <c r="AG670" s="84">
        <f t="shared" si="462"/>
        <v>0</v>
      </c>
      <c r="AH670" s="84">
        <f t="shared" si="463"/>
        <v>0</v>
      </c>
      <c r="AI670" s="84">
        <f t="shared" si="464"/>
        <v>0</v>
      </c>
      <c r="AJ670" s="84">
        <f t="shared" si="465"/>
        <v>0</v>
      </c>
      <c r="AK670" s="84">
        <f t="shared" si="466"/>
        <v>0</v>
      </c>
      <c r="AL670" s="84">
        <f t="shared" si="467"/>
        <v>0</v>
      </c>
      <c r="AM670" s="84">
        <f t="shared" si="468"/>
        <v>0</v>
      </c>
      <c r="AN670" s="84">
        <f t="shared" si="469"/>
        <v>0</v>
      </c>
      <c r="AO670" s="84">
        <f t="shared" si="470"/>
        <v>0</v>
      </c>
      <c r="AP670" s="84">
        <f t="shared" si="471"/>
        <v>0</v>
      </c>
      <c r="AQ670" s="84">
        <f t="shared" si="472"/>
        <v>0</v>
      </c>
      <c r="AR670" s="84">
        <f t="shared" si="473"/>
        <v>0</v>
      </c>
      <c r="AS670" s="84">
        <f t="shared" si="474"/>
        <v>0</v>
      </c>
      <c r="AT670" s="84">
        <f t="shared" si="475"/>
        <v>0</v>
      </c>
      <c r="AU670" s="84">
        <f t="shared" si="476"/>
        <v>0</v>
      </c>
      <c r="AV670" s="84">
        <f t="shared" si="477"/>
        <v>0</v>
      </c>
      <c r="AW670" s="84">
        <f t="shared" si="478"/>
        <v>0</v>
      </c>
      <c r="AX670" s="84">
        <f t="shared" si="479"/>
        <v>0</v>
      </c>
      <c r="AY670" s="84">
        <f t="shared" si="480"/>
        <v>0</v>
      </c>
      <c r="AZ670" s="84">
        <f t="shared" si="481"/>
        <v>0</v>
      </c>
      <c r="BA670" s="84">
        <f t="shared" si="482"/>
        <v>0</v>
      </c>
      <c r="BB670" s="84">
        <f t="shared" si="483"/>
        <v>0</v>
      </c>
      <c r="BC670" s="84">
        <f t="shared" si="484"/>
        <v>0</v>
      </c>
      <c r="BD670" s="84">
        <f t="shared" si="485"/>
        <v>0</v>
      </c>
      <c r="BE670" s="84">
        <f t="shared" si="486"/>
        <v>0</v>
      </c>
      <c r="BF670" s="84">
        <f t="shared" si="487"/>
        <v>0</v>
      </c>
      <c r="BG670" s="84">
        <f t="shared" si="488"/>
        <v>0</v>
      </c>
      <c r="BH670" s="84">
        <f t="shared" si="489"/>
        <v>0</v>
      </c>
      <c r="BI670" s="84">
        <f t="shared" si="490"/>
        <v>0</v>
      </c>
      <c r="BJ670" s="84">
        <f t="shared" si="491"/>
        <v>0</v>
      </c>
      <c r="BK670" s="84">
        <f t="shared" si="492"/>
        <v>0</v>
      </c>
      <c r="BL670" s="84">
        <f t="shared" si="493"/>
        <v>0</v>
      </c>
      <c r="BM670" s="84">
        <f t="shared" si="494"/>
        <v>0</v>
      </c>
      <c r="BN670" s="84">
        <f t="shared" si="495"/>
        <v>0</v>
      </c>
      <c r="BO670" s="84">
        <f t="shared" si="496"/>
        <v>0</v>
      </c>
      <c r="BP670" s="84">
        <f t="shared" si="497"/>
        <v>0</v>
      </c>
      <c r="BQ670" s="84">
        <f t="shared" si="498"/>
        <v>0</v>
      </c>
      <c r="BR670" s="84">
        <f t="shared" si="499"/>
        <v>0</v>
      </c>
      <c r="BS670" s="84">
        <f t="shared" si="500"/>
        <v>0</v>
      </c>
      <c r="BT670" s="84">
        <f t="shared" si="501"/>
        <v>0</v>
      </c>
      <c r="BU670" s="84">
        <f t="shared" si="502"/>
        <v>0</v>
      </c>
      <c r="BV670" s="84">
        <f t="shared" si="503"/>
        <v>0</v>
      </c>
      <c r="BW670" s="84">
        <f t="shared" si="504"/>
        <v>0</v>
      </c>
      <c r="BX670" s="84">
        <f t="shared" si="505"/>
        <v>0</v>
      </c>
      <c r="BY670" s="84">
        <f t="shared" si="506"/>
        <v>0</v>
      </c>
      <c r="BZ670" s="84">
        <f t="shared" si="507"/>
        <v>0</v>
      </c>
      <c r="CA670" s="84">
        <f t="shared" si="508"/>
        <v>0</v>
      </c>
      <c r="CB670" s="84">
        <f t="shared" si="509"/>
        <v>0</v>
      </c>
      <c r="CC670" s="84">
        <f t="shared" si="510"/>
        <v>0</v>
      </c>
      <c r="CD670" s="84">
        <f t="shared" si="511"/>
        <v>0</v>
      </c>
    </row>
    <row r="671" spans="11:82" ht="12" customHeight="1" x14ac:dyDescent="0.35">
      <c r="K671" s="13"/>
      <c r="L671" s="13"/>
      <c r="M671" s="13"/>
      <c r="N671" s="13"/>
      <c r="O671" s="13"/>
      <c r="P671" s="13"/>
      <c r="Q671" s="13"/>
      <c r="R671" s="13"/>
      <c r="S671" s="13"/>
      <c r="T671" s="84">
        <f t="shared" si="451"/>
        <v>0</v>
      </c>
      <c r="U671" s="84"/>
      <c r="V671" s="84"/>
      <c r="W671" s="13">
        <f t="shared" si="452"/>
        <v>0</v>
      </c>
      <c r="X671" s="13">
        <f t="shared" si="453"/>
        <v>0</v>
      </c>
      <c r="Y671" s="13">
        <f t="shared" si="454"/>
        <v>0</v>
      </c>
      <c r="Z671" s="13">
        <f t="shared" si="455"/>
        <v>0</v>
      </c>
      <c r="AA671" s="13">
        <f t="shared" si="456"/>
        <v>0</v>
      </c>
      <c r="AB671" s="13">
        <f t="shared" si="457"/>
        <v>0</v>
      </c>
      <c r="AC671" s="13">
        <f t="shared" si="458"/>
        <v>0</v>
      </c>
      <c r="AD671" s="13">
        <f t="shared" si="459"/>
        <v>0</v>
      </c>
      <c r="AE671" s="13">
        <f t="shared" si="460"/>
        <v>0</v>
      </c>
      <c r="AF671" s="84">
        <f t="shared" si="461"/>
        <v>0</v>
      </c>
      <c r="AG671" s="84">
        <f t="shared" si="462"/>
        <v>0</v>
      </c>
      <c r="AH671" s="84">
        <f t="shared" si="463"/>
        <v>0</v>
      </c>
      <c r="AI671" s="84">
        <f t="shared" si="464"/>
        <v>0</v>
      </c>
      <c r="AJ671" s="84">
        <f t="shared" si="465"/>
        <v>0</v>
      </c>
      <c r="AK671" s="84">
        <f t="shared" si="466"/>
        <v>0</v>
      </c>
      <c r="AL671" s="84">
        <f t="shared" si="467"/>
        <v>0</v>
      </c>
      <c r="AM671" s="84">
        <f t="shared" si="468"/>
        <v>0</v>
      </c>
      <c r="AN671" s="84">
        <f t="shared" si="469"/>
        <v>0</v>
      </c>
      <c r="AO671" s="84">
        <f t="shared" si="470"/>
        <v>0</v>
      </c>
      <c r="AP671" s="84">
        <f t="shared" si="471"/>
        <v>0</v>
      </c>
      <c r="AQ671" s="84">
        <f t="shared" si="472"/>
        <v>0</v>
      </c>
      <c r="AR671" s="84">
        <f t="shared" si="473"/>
        <v>0</v>
      </c>
      <c r="AS671" s="84">
        <f t="shared" si="474"/>
        <v>0</v>
      </c>
      <c r="AT671" s="84">
        <f t="shared" si="475"/>
        <v>0</v>
      </c>
      <c r="AU671" s="84">
        <f t="shared" si="476"/>
        <v>0</v>
      </c>
      <c r="AV671" s="84">
        <f t="shared" si="477"/>
        <v>0</v>
      </c>
      <c r="AW671" s="84">
        <f t="shared" si="478"/>
        <v>0</v>
      </c>
      <c r="AX671" s="84">
        <f t="shared" si="479"/>
        <v>0</v>
      </c>
      <c r="AY671" s="84">
        <f t="shared" si="480"/>
        <v>0</v>
      </c>
      <c r="AZ671" s="84">
        <f t="shared" si="481"/>
        <v>0</v>
      </c>
      <c r="BA671" s="84">
        <f t="shared" si="482"/>
        <v>0</v>
      </c>
      <c r="BB671" s="84">
        <f t="shared" si="483"/>
        <v>0</v>
      </c>
      <c r="BC671" s="84">
        <f t="shared" si="484"/>
        <v>0</v>
      </c>
      <c r="BD671" s="84">
        <f t="shared" si="485"/>
        <v>0</v>
      </c>
      <c r="BE671" s="84">
        <f t="shared" si="486"/>
        <v>0</v>
      </c>
      <c r="BF671" s="84">
        <f t="shared" si="487"/>
        <v>0</v>
      </c>
      <c r="BG671" s="84">
        <f t="shared" si="488"/>
        <v>0</v>
      </c>
      <c r="BH671" s="84">
        <f t="shared" si="489"/>
        <v>0</v>
      </c>
      <c r="BI671" s="84">
        <f t="shared" si="490"/>
        <v>0</v>
      </c>
      <c r="BJ671" s="84">
        <f t="shared" si="491"/>
        <v>0</v>
      </c>
      <c r="BK671" s="84">
        <f t="shared" si="492"/>
        <v>0</v>
      </c>
      <c r="BL671" s="84">
        <f t="shared" si="493"/>
        <v>0</v>
      </c>
      <c r="BM671" s="84">
        <f t="shared" si="494"/>
        <v>0</v>
      </c>
      <c r="BN671" s="84">
        <f t="shared" si="495"/>
        <v>0</v>
      </c>
      <c r="BO671" s="84">
        <f t="shared" si="496"/>
        <v>0</v>
      </c>
      <c r="BP671" s="84">
        <f t="shared" si="497"/>
        <v>0</v>
      </c>
      <c r="BQ671" s="84">
        <f t="shared" si="498"/>
        <v>0</v>
      </c>
      <c r="BR671" s="84">
        <f t="shared" si="499"/>
        <v>0</v>
      </c>
      <c r="BS671" s="84">
        <f t="shared" si="500"/>
        <v>0</v>
      </c>
      <c r="BT671" s="84">
        <f t="shared" si="501"/>
        <v>0</v>
      </c>
      <c r="BU671" s="84">
        <f t="shared" si="502"/>
        <v>0</v>
      </c>
      <c r="BV671" s="84">
        <f t="shared" si="503"/>
        <v>0</v>
      </c>
      <c r="BW671" s="84">
        <f t="shared" si="504"/>
        <v>0</v>
      </c>
      <c r="BX671" s="84">
        <f t="shared" si="505"/>
        <v>0</v>
      </c>
      <c r="BY671" s="84">
        <f t="shared" si="506"/>
        <v>0</v>
      </c>
      <c r="BZ671" s="84">
        <f t="shared" si="507"/>
        <v>0</v>
      </c>
      <c r="CA671" s="84">
        <f t="shared" si="508"/>
        <v>0</v>
      </c>
      <c r="CB671" s="84">
        <f t="shared" si="509"/>
        <v>0</v>
      </c>
      <c r="CC671" s="84">
        <f t="shared" si="510"/>
        <v>0</v>
      </c>
      <c r="CD671" s="84">
        <f t="shared" si="511"/>
        <v>0</v>
      </c>
    </row>
    <row r="672" spans="11:82" ht="12" customHeight="1" x14ac:dyDescent="0.35">
      <c r="K672" s="13"/>
      <c r="L672" s="13"/>
      <c r="M672" s="13"/>
      <c r="N672" s="13"/>
      <c r="O672" s="13"/>
      <c r="P672" s="13"/>
      <c r="Q672" s="13"/>
      <c r="R672" s="13"/>
      <c r="S672" s="13"/>
      <c r="T672" s="84">
        <f t="shared" si="451"/>
        <v>0</v>
      </c>
      <c r="U672" s="84"/>
      <c r="V672" s="84"/>
      <c r="W672" s="13">
        <f t="shared" si="452"/>
        <v>0</v>
      </c>
      <c r="X672" s="13">
        <f t="shared" si="453"/>
        <v>0</v>
      </c>
      <c r="Y672" s="13">
        <f t="shared" si="454"/>
        <v>0</v>
      </c>
      <c r="Z672" s="13">
        <f t="shared" si="455"/>
        <v>0</v>
      </c>
      <c r="AA672" s="13">
        <f t="shared" si="456"/>
        <v>0</v>
      </c>
      <c r="AB672" s="13">
        <f t="shared" si="457"/>
        <v>0</v>
      </c>
      <c r="AC672" s="13">
        <f t="shared" si="458"/>
        <v>0</v>
      </c>
      <c r="AD672" s="13">
        <f t="shared" si="459"/>
        <v>0</v>
      </c>
      <c r="AE672" s="13">
        <f t="shared" si="460"/>
        <v>0</v>
      </c>
      <c r="AF672" s="84">
        <f t="shared" si="461"/>
        <v>0</v>
      </c>
      <c r="AG672" s="84">
        <f t="shared" si="462"/>
        <v>0</v>
      </c>
      <c r="AH672" s="84">
        <f t="shared" si="463"/>
        <v>0</v>
      </c>
      <c r="AI672" s="84">
        <f t="shared" si="464"/>
        <v>0</v>
      </c>
      <c r="AJ672" s="84">
        <f t="shared" si="465"/>
        <v>0</v>
      </c>
      <c r="AK672" s="84">
        <f t="shared" si="466"/>
        <v>0</v>
      </c>
      <c r="AL672" s="84">
        <f t="shared" si="467"/>
        <v>0</v>
      </c>
      <c r="AM672" s="84">
        <f t="shared" si="468"/>
        <v>0</v>
      </c>
      <c r="AN672" s="84">
        <f t="shared" si="469"/>
        <v>0</v>
      </c>
      <c r="AO672" s="84">
        <f t="shared" si="470"/>
        <v>0</v>
      </c>
      <c r="AP672" s="84">
        <f t="shared" si="471"/>
        <v>0</v>
      </c>
      <c r="AQ672" s="84">
        <f t="shared" si="472"/>
        <v>0</v>
      </c>
      <c r="AR672" s="84">
        <f t="shared" si="473"/>
        <v>0</v>
      </c>
      <c r="AS672" s="84">
        <f t="shared" si="474"/>
        <v>0</v>
      </c>
      <c r="AT672" s="84">
        <f t="shared" si="475"/>
        <v>0</v>
      </c>
      <c r="AU672" s="84">
        <f t="shared" si="476"/>
        <v>0</v>
      </c>
      <c r="AV672" s="84">
        <f t="shared" si="477"/>
        <v>0</v>
      </c>
      <c r="AW672" s="84">
        <f t="shared" si="478"/>
        <v>0</v>
      </c>
      <c r="AX672" s="84">
        <f t="shared" si="479"/>
        <v>0</v>
      </c>
      <c r="AY672" s="84">
        <f t="shared" si="480"/>
        <v>0</v>
      </c>
      <c r="AZ672" s="84">
        <f t="shared" si="481"/>
        <v>0</v>
      </c>
      <c r="BA672" s="84">
        <f t="shared" si="482"/>
        <v>0</v>
      </c>
      <c r="BB672" s="84">
        <f t="shared" si="483"/>
        <v>0</v>
      </c>
      <c r="BC672" s="84">
        <f t="shared" si="484"/>
        <v>0</v>
      </c>
      <c r="BD672" s="84">
        <f t="shared" si="485"/>
        <v>0</v>
      </c>
      <c r="BE672" s="84">
        <f t="shared" si="486"/>
        <v>0</v>
      </c>
      <c r="BF672" s="84">
        <f t="shared" si="487"/>
        <v>0</v>
      </c>
      <c r="BG672" s="84">
        <f t="shared" si="488"/>
        <v>0</v>
      </c>
      <c r="BH672" s="84">
        <f t="shared" si="489"/>
        <v>0</v>
      </c>
      <c r="BI672" s="84">
        <f t="shared" si="490"/>
        <v>0</v>
      </c>
      <c r="BJ672" s="84">
        <f t="shared" si="491"/>
        <v>0</v>
      </c>
      <c r="BK672" s="84">
        <f t="shared" si="492"/>
        <v>0</v>
      </c>
      <c r="BL672" s="84">
        <f t="shared" si="493"/>
        <v>0</v>
      </c>
      <c r="BM672" s="84">
        <f t="shared" si="494"/>
        <v>0</v>
      </c>
      <c r="BN672" s="84">
        <f t="shared" si="495"/>
        <v>0</v>
      </c>
      <c r="BO672" s="84">
        <f t="shared" si="496"/>
        <v>0</v>
      </c>
      <c r="BP672" s="84">
        <f t="shared" si="497"/>
        <v>0</v>
      </c>
      <c r="BQ672" s="84">
        <f t="shared" si="498"/>
        <v>0</v>
      </c>
      <c r="BR672" s="84">
        <f t="shared" si="499"/>
        <v>0</v>
      </c>
      <c r="BS672" s="84">
        <f t="shared" si="500"/>
        <v>0</v>
      </c>
      <c r="BT672" s="84">
        <f t="shared" si="501"/>
        <v>0</v>
      </c>
      <c r="BU672" s="84">
        <f t="shared" si="502"/>
        <v>0</v>
      </c>
      <c r="BV672" s="84">
        <f t="shared" si="503"/>
        <v>0</v>
      </c>
      <c r="BW672" s="84">
        <f t="shared" si="504"/>
        <v>0</v>
      </c>
      <c r="BX672" s="84">
        <f t="shared" si="505"/>
        <v>0</v>
      </c>
      <c r="BY672" s="84">
        <f t="shared" si="506"/>
        <v>0</v>
      </c>
      <c r="BZ672" s="84">
        <f t="shared" si="507"/>
        <v>0</v>
      </c>
      <c r="CA672" s="84">
        <f t="shared" si="508"/>
        <v>0</v>
      </c>
      <c r="CB672" s="84">
        <f t="shared" si="509"/>
        <v>0</v>
      </c>
      <c r="CC672" s="84">
        <f t="shared" si="510"/>
        <v>0</v>
      </c>
      <c r="CD672" s="84">
        <f t="shared" si="511"/>
        <v>0</v>
      </c>
    </row>
    <row r="673" spans="11:82" ht="12" customHeight="1" x14ac:dyDescent="0.35">
      <c r="K673" s="13"/>
      <c r="L673" s="13"/>
      <c r="M673" s="13"/>
      <c r="N673" s="13"/>
      <c r="O673" s="13"/>
      <c r="P673" s="13"/>
      <c r="Q673" s="13"/>
      <c r="R673" s="13"/>
      <c r="S673" s="13"/>
      <c r="T673" s="84">
        <f t="shared" si="451"/>
        <v>0</v>
      </c>
      <c r="U673" s="84"/>
      <c r="V673" s="84"/>
      <c r="W673" s="13">
        <f t="shared" si="452"/>
        <v>0</v>
      </c>
      <c r="X673" s="13">
        <f t="shared" si="453"/>
        <v>0</v>
      </c>
      <c r="Y673" s="13">
        <f t="shared" si="454"/>
        <v>0</v>
      </c>
      <c r="Z673" s="13">
        <f t="shared" si="455"/>
        <v>0</v>
      </c>
      <c r="AA673" s="13">
        <f t="shared" si="456"/>
        <v>0</v>
      </c>
      <c r="AB673" s="13">
        <f t="shared" si="457"/>
        <v>0</v>
      </c>
      <c r="AC673" s="13">
        <f t="shared" si="458"/>
        <v>0</v>
      </c>
      <c r="AD673" s="13">
        <f t="shared" si="459"/>
        <v>0</v>
      </c>
      <c r="AE673" s="13">
        <f t="shared" si="460"/>
        <v>0</v>
      </c>
      <c r="AF673" s="84">
        <f t="shared" si="461"/>
        <v>0</v>
      </c>
      <c r="AG673" s="84">
        <f t="shared" si="462"/>
        <v>0</v>
      </c>
      <c r="AH673" s="84">
        <f t="shared" si="463"/>
        <v>0</v>
      </c>
      <c r="AI673" s="84">
        <f t="shared" si="464"/>
        <v>0</v>
      </c>
      <c r="AJ673" s="84">
        <f t="shared" si="465"/>
        <v>0</v>
      </c>
      <c r="AK673" s="84">
        <f t="shared" si="466"/>
        <v>0</v>
      </c>
      <c r="AL673" s="84">
        <f t="shared" si="467"/>
        <v>0</v>
      </c>
      <c r="AM673" s="84">
        <f t="shared" si="468"/>
        <v>0</v>
      </c>
      <c r="AN673" s="84">
        <f t="shared" si="469"/>
        <v>0</v>
      </c>
      <c r="AO673" s="84">
        <f t="shared" si="470"/>
        <v>0</v>
      </c>
      <c r="AP673" s="84">
        <f t="shared" si="471"/>
        <v>0</v>
      </c>
      <c r="AQ673" s="84">
        <f t="shared" si="472"/>
        <v>0</v>
      </c>
      <c r="AR673" s="84">
        <f t="shared" si="473"/>
        <v>0</v>
      </c>
      <c r="AS673" s="84">
        <f t="shared" si="474"/>
        <v>0</v>
      </c>
      <c r="AT673" s="84">
        <f t="shared" si="475"/>
        <v>0</v>
      </c>
      <c r="AU673" s="84">
        <f t="shared" si="476"/>
        <v>0</v>
      </c>
      <c r="AV673" s="84">
        <f t="shared" si="477"/>
        <v>0</v>
      </c>
      <c r="AW673" s="84">
        <f t="shared" si="478"/>
        <v>0</v>
      </c>
      <c r="AX673" s="84">
        <f t="shared" si="479"/>
        <v>0</v>
      </c>
      <c r="AY673" s="84">
        <f t="shared" si="480"/>
        <v>0</v>
      </c>
      <c r="AZ673" s="84">
        <f t="shared" si="481"/>
        <v>0</v>
      </c>
      <c r="BA673" s="84">
        <f t="shared" si="482"/>
        <v>0</v>
      </c>
      <c r="BB673" s="84">
        <f t="shared" si="483"/>
        <v>0</v>
      </c>
      <c r="BC673" s="84">
        <f t="shared" si="484"/>
        <v>0</v>
      </c>
      <c r="BD673" s="84">
        <f t="shared" si="485"/>
        <v>0</v>
      </c>
      <c r="BE673" s="84">
        <f t="shared" si="486"/>
        <v>0</v>
      </c>
      <c r="BF673" s="84">
        <f t="shared" si="487"/>
        <v>0</v>
      </c>
      <c r="BG673" s="84">
        <f t="shared" si="488"/>
        <v>0</v>
      </c>
      <c r="BH673" s="84">
        <f t="shared" si="489"/>
        <v>0</v>
      </c>
      <c r="BI673" s="84">
        <f t="shared" si="490"/>
        <v>0</v>
      </c>
      <c r="BJ673" s="84">
        <f t="shared" si="491"/>
        <v>0</v>
      </c>
      <c r="BK673" s="84">
        <f t="shared" si="492"/>
        <v>0</v>
      </c>
      <c r="BL673" s="84">
        <f t="shared" si="493"/>
        <v>0</v>
      </c>
      <c r="BM673" s="84">
        <f t="shared" si="494"/>
        <v>0</v>
      </c>
      <c r="BN673" s="84">
        <f t="shared" si="495"/>
        <v>0</v>
      </c>
      <c r="BO673" s="84">
        <f t="shared" si="496"/>
        <v>0</v>
      </c>
      <c r="BP673" s="84">
        <f t="shared" si="497"/>
        <v>0</v>
      </c>
      <c r="BQ673" s="84">
        <f t="shared" si="498"/>
        <v>0</v>
      </c>
      <c r="BR673" s="84">
        <f t="shared" si="499"/>
        <v>0</v>
      </c>
      <c r="BS673" s="84">
        <f t="shared" si="500"/>
        <v>0</v>
      </c>
      <c r="BT673" s="84">
        <f t="shared" si="501"/>
        <v>0</v>
      </c>
      <c r="BU673" s="84">
        <f t="shared" si="502"/>
        <v>0</v>
      </c>
      <c r="BV673" s="84">
        <f t="shared" si="503"/>
        <v>0</v>
      </c>
      <c r="BW673" s="84">
        <f t="shared" si="504"/>
        <v>0</v>
      </c>
      <c r="BX673" s="84">
        <f t="shared" si="505"/>
        <v>0</v>
      </c>
      <c r="BY673" s="84">
        <f t="shared" si="506"/>
        <v>0</v>
      </c>
      <c r="BZ673" s="84">
        <f t="shared" si="507"/>
        <v>0</v>
      </c>
      <c r="CA673" s="84">
        <f t="shared" si="508"/>
        <v>0</v>
      </c>
      <c r="CB673" s="84">
        <f t="shared" si="509"/>
        <v>0</v>
      </c>
      <c r="CC673" s="84">
        <f t="shared" si="510"/>
        <v>0</v>
      </c>
      <c r="CD673" s="84">
        <f t="shared" si="511"/>
        <v>0</v>
      </c>
    </row>
    <row r="674" spans="11:82" ht="12" customHeight="1" x14ac:dyDescent="0.35">
      <c r="K674" s="13"/>
      <c r="L674" s="13"/>
      <c r="M674" s="13"/>
      <c r="N674" s="13"/>
      <c r="O674" s="13"/>
      <c r="P674" s="13"/>
      <c r="Q674" s="13"/>
      <c r="R674" s="13"/>
      <c r="S674" s="13"/>
      <c r="T674" s="84">
        <f t="shared" si="451"/>
        <v>0</v>
      </c>
      <c r="U674" s="84"/>
      <c r="V674" s="84"/>
      <c r="W674" s="13">
        <f t="shared" si="452"/>
        <v>0</v>
      </c>
      <c r="X674" s="13">
        <f t="shared" si="453"/>
        <v>0</v>
      </c>
      <c r="Y674" s="13">
        <f t="shared" si="454"/>
        <v>0</v>
      </c>
      <c r="Z674" s="13">
        <f t="shared" si="455"/>
        <v>0</v>
      </c>
      <c r="AA674" s="13">
        <f t="shared" si="456"/>
        <v>0</v>
      </c>
      <c r="AB674" s="13">
        <f t="shared" si="457"/>
        <v>0</v>
      </c>
      <c r="AC674" s="13">
        <f t="shared" si="458"/>
        <v>0</v>
      </c>
      <c r="AD674" s="13">
        <f t="shared" si="459"/>
        <v>0</v>
      </c>
      <c r="AE674" s="13">
        <f t="shared" si="460"/>
        <v>0</v>
      </c>
      <c r="AF674" s="84">
        <f t="shared" si="461"/>
        <v>0</v>
      </c>
      <c r="AG674" s="84">
        <f t="shared" si="462"/>
        <v>0</v>
      </c>
      <c r="AH674" s="84">
        <f t="shared" si="463"/>
        <v>0</v>
      </c>
      <c r="AI674" s="84">
        <f t="shared" si="464"/>
        <v>0</v>
      </c>
      <c r="AJ674" s="84">
        <f t="shared" si="465"/>
        <v>0</v>
      </c>
      <c r="AK674" s="84">
        <f t="shared" si="466"/>
        <v>0</v>
      </c>
      <c r="AL674" s="84">
        <f t="shared" si="467"/>
        <v>0</v>
      </c>
      <c r="AM674" s="84">
        <f t="shared" si="468"/>
        <v>0</v>
      </c>
      <c r="AN674" s="84">
        <f t="shared" si="469"/>
        <v>0</v>
      </c>
      <c r="AO674" s="84">
        <f t="shared" si="470"/>
        <v>0</v>
      </c>
      <c r="AP674" s="84">
        <f t="shared" si="471"/>
        <v>0</v>
      </c>
      <c r="AQ674" s="84">
        <f t="shared" si="472"/>
        <v>0</v>
      </c>
      <c r="AR674" s="84">
        <f t="shared" si="473"/>
        <v>0</v>
      </c>
      <c r="AS674" s="84">
        <f t="shared" si="474"/>
        <v>0</v>
      </c>
      <c r="AT674" s="84">
        <f t="shared" si="475"/>
        <v>0</v>
      </c>
      <c r="AU674" s="84">
        <f t="shared" si="476"/>
        <v>0</v>
      </c>
      <c r="AV674" s="84">
        <f t="shared" si="477"/>
        <v>0</v>
      </c>
      <c r="AW674" s="84">
        <f t="shared" si="478"/>
        <v>0</v>
      </c>
      <c r="AX674" s="84">
        <f t="shared" si="479"/>
        <v>0</v>
      </c>
      <c r="AY674" s="84">
        <f t="shared" si="480"/>
        <v>0</v>
      </c>
      <c r="AZ674" s="84">
        <f t="shared" si="481"/>
        <v>0</v>
      </c>
      <c r="BA674" s="84">
        <f t="shared" si="482"/>
        <v>0</v>
      </c>
      <c r="BB674" s="84">
        <f t="shared" si="483"/>
        <v>0</v>
      </c>
      <c r="BC674" s="84">
        <f t="shared" si="484"/>
        <v>0</v>
      </c>
      <c r="BD674" s="84">
        <f t="shared" si="485"/>
        <v>0</v>
      </c>
      <c r="BE674" s="84">
        <f t="shared" si="486"/>
        <v>0</v>
      </c>
      <c r="BF674" s="84">
        <f t="shared" si="487"/>
        <v>0</v>
      </c>
      <c r="BG674" s="84">
        <f t="shared" si="488"/>
        <v>0</v>
      </c>
      <c r="BH674" s="84">
        <f t="shared" si="489"/>
        <v>0</v>
      </c>
      <c r="BI674" s="84">
        <f t="shared" si="490"/>
        <v>0</v>
      </c>
      <c r="BJ674" s="84">
        <f t="shared" si="491"/>
        <v>0</v>
      </c>
      <c r="BK674" s="84">
        <f t="shared" si="492"/>
        <v>0</v>
      </c>
      <c r="BL674" s="84">
        <f t="shared" si="493"/>
        <v>0</v>
      </c>
      <c r="BM674" s="84">
        <f t="shared" si="494"/>
        <v>0</v>
      </c>
      <c r="BN674" s="84">
        <f t="shared" si="495"/>
        <v>0</v>
      </c>
      <c r="BO674" s="84">
        <f t="shared" si="496"/>
        <v>0</v>
      </c>
      <c r="BP674" s="84">
        <f t="shared" si="497"/>
        <v>0</v>
      </c>
      <c r="BQ674" s="84">
        <f t="shared" si="498"/>
        <v>0</v>
      </c>
      <c r="BR674" s="84">
        <f t="shared" si="499"/>
        <v>0</v>
      </c>
      <c r="BS674" s="84">
        <f t="shared" si="500"/>
        <v>0</v>
      </c>
      <c r="BT674" s="84">
        <f t="shared" si="501"/>
        <v>0</v>
      </c>
      <c r="BU674" s="84">
        <f t="shared" si="502"/>
        <v>0</v>
      </c>
      <c r="BV674" s="84">
        <f t="shared" si="503"/>
        <v>0</v>
      </c>
      <c r="BW674" s="84">
        <f t="shared" si="504"/>
        <v>0</v>
      </c>
      <c r="BX674" s="84">
        <f t="shared" si="505"/>
        <v>0</v>
      </c>
      <c r="BY674" s="84">
        <f t="shared" si="506"/>
        <v>0</v>
      </c>
      <c r="BZ674" s="84">
        <f t="shared" si="507"/>
        <v>0</v>
      </c>
      <c r="CA674" s="84">
        <f t="shared" si="508"/>
        <v>0</v>
      </c>
      <c r="CB674" s="84">
        <f t="shared" si="509"/>
        <v>0</v>
      </c>
      <c r="CC674" s="84">
        <f t="shared" si="510"/>
        <v>0</v>
      </c>
      <c r="CD674" s="84">
        <f t="shared" si="511"/>
        <v>0</v>
      </c>
    </row>
    <row r="675" spans="11:82" ht="12" customHeight="1" x14ac:dyDescent="0.35">
      <c r="K675" s="13"/>
      <c r="L675" s="13"/>
      <c r="M675" s="13"/>
      <c r="N675" s="13"/>
      <c r="O675" s="13"/>
      <c r="P675" s="13"/>
      <c r="Q675" s="13"/>
      <c r="R675" s="13"/>
      <c r="S675" s="13"/>
      <c r="T675" s="84">
        <f t="shared" si="451"/>
        <v>0</v>
      </c>
      <c r="U675" s="84"/>
      <c r="V675" s="84"/>
      <c r="W675" s="13">
        <f t="shared" si="452"/>
        <v>0</v>
      </c>
      <c r="X675" s="13">
        <f t="shared" si="453"/>
        <v>0</v>
      </c>
      <c r="Y675" s="13">
        <f t="shared" si="454"/>
        <v>0</v>
      </c>
      <c r="Z675" s="13">
        <f t="shared" si="455"/>
        <v>0</v>
      </c>
      <c r="AA675" s="13">
        <f t="shared" si="456"/>
        <v>0</v>
      </c>
      <c r="AB675" s="13">
        <f t="shared" si="457"/>
        <v>0</v>
      </c>
      <c r="AC675" s="13">
        <f t="shared" si="458"/>
        <v>0</v>
      </c>
      <c r="AD675" s="13">
        <f t="shared" si="459"/>
        <v>0</v>
      </c>
      <c r="AE675" s="13">
        <f t="shared" si="460"/>
        <v>0</v>
      </c>
      <c r="AF675" s="84">
        <f t="shared" si="461"/>
        <v>0</v>
      </c>
      <c r="AG675" s="84">
        <f t="shared" si="462"/>
        <v>0</v>
      </c>
      <c r="AH675" s="84">
        <f t="shared" si="463"/>
        <v>0</v>
      </c>
      <c r="AI675" s="84">
        <f t="shared" si="464"/>
        <v>0</v>
      </c>
      <c r="AJ675" s="84">
        <f t="shared" si="465"/>
        <v>0</v>
      </c>
      <c r="AK675" s="84">
        <f t="shared" si="466"/>
        <v>0</v>
      </c>
      <c r="AL675" s="84">
        <f t="shared" si="467"/>
        <v>0</v>
      </c>
      <c r="AM675" s="84">
        <f t="shared" si="468"/>
        <v>0</v>
      </c>
      <c r="AN675" s="84">
        <f t="shared" si="469"/>
        <v>0</v>
      </c>
      <c r="AO675" s="84">
        <f t="shared" si="470"/>
        <v>0</v>
      </c>
      <c r="AP675" s="84">
        <f t="shared" si="471"/>
        <v>0</v>
      </c>
      <c r="AQ675" s="84">
        <f t="shared" si="472"/>
        <v>0</v>
      </c>
      <c r="AR675" s="84">
        <f t="shared" si="473"/>
        <v>0</v>
      </c>
      <c r="AS675" s="84">
        <f t="shared" si="474"/>
        <v>0</v>
      </c>
      <c r="AT675" s="84">
        <f t="shared" si="475"/>
        <v>0</v>
      </c>
      <c r="AU675" s="84">
        <f t="shared" si="476"/>
        <v>0</v>
      </c>
      <c r="AV675" s="84">
        <f t="shared" si="477"/>
        <v>0</v>
      </c>
      <c r="AW675" s="84">
        <f t="shared" si="478"/>
        <v>0</v>
      </c>
      <c r="AX675" s="84">
        <f t="shared" si="479"/>
        <v>0</v>
      </c>
      <c r="AY675" s="84">
        <f t="shared" si="480"/>
        <v>0</v>
      </c>
      <c r="AZ675" s="84">
        <f t="shared" si="481"/>
        <v>0</v>
      </c>
      <c r="BA675" s="84">
        <f t="shared" si="482"/>
        <v>0</v>
      </c>
      <c r="BB675" s="84">
        <f t="shared" si="483"/>
        <v>0</v>
      </c>
      <c r="BC675" s="84">
        <f t="shared" si="484"/>
        <v>0</v>
      </c>
      <c r="BD675" s="84">
        <f t="shared" si="485"/>
        <v>0</v>
      </c>
      <c r="BE675" s="84">
        <f t="shared" si="486"/>
        <v>0</v>
      </c>
      <c r="BF675" s="84">
        <f t="shared" si="487"/>
        <v>0</v>
      </c>
      <c r="BG675" s="84">
        <f t="shared" si="488"/>
        <v>0</v>
      </c>
      <c r="BH675" s="84">
        <f t="shared" si="489"/>
        <v>0</v>
      </c>
      <c r="BI675" s="84">
        <f t="shared" si="490"/>
        <v>0</v>
      </c>
      <c r="BJ675" s="84">
        <f t="shared" si="491"/>
        <v>0</v>
      </c>
      <c r="BK675" s="84">
        <f t="shared" si="492"/>
        <v>0</v>
      </c>
      <c r="BL675" s="84">
        <f t="shared" si="493"/>
        <v>0</v>
      </c>
      <c r="BM675" s="84">
        <f t="shared" si="494"/>
        <v>0</v>
      </c>
      <c r="BN675" s="84">
        <f t="shared" si="495"/>
        <v>0</v>
      </c>
      <c r="BO675" s="84">
        <f t="shared" si="496"/>
        <v>0</v>
      </c>
      <c r="BP675" s="84">
        <f t="shared" si="497"/>
        <v>0</v>
      </c>
      <c r="BQ675" s="84">
        <f t="shared" si="498"/>
        <v>0</v>
      </c>
      <c r="BR675" s="84">
        <f t="shared" si="499"/>
        <v>0</v>
      </c>
      <c r="BS675" s="84">
        <f t="shared" si="500"/>
        <v>0</v>
      </c>
      <c r="BT675" s="84">
        <f t="shared" si="501"/>
        <v>0</v>
      </c>
      <c r="BU675" s="84">
        <f t="shared" si="502"/>
        <v>0</v>
      </c>
      <c r="BV675" s="84">
        <f t="shared" si="503"/>
        <v>0</v>
      </c>
      <c r="BW675" s="84">
        <f t="shared" si="504"/>
        <v>0</v>
      </c>
      <c r="BX675" s="84">
        <f t="shared" si="505"/>
        <v>0</v>
      </c>
      <c r="BY675" s="84">
        <f t="shared" si="506"/>
        <v>0</v>
      </c>
      <c r="BZ675" s="84">
        <f t="shared" si="507"/>
        <v>0</v>
      </c>
      <c r="CA675" s="84">
        <f t="shared" si="508"/>
        <v>0</v>
      </c>
      <c r="CB675" s="84">
        <f t="shared" si="509"/>
        <v>0</v>
      </c>
      <c r="CC675" s="84">
        <f t="shared" si="510"/>
        <v>0</v>
      </c>
      <c r="CD675" s="84">
        <f t="shared" si="511"/>
        <v>0</v>
      </c>
    </row>
    <row r="676" spans="11:82" ht="12" customHeight="1" x14ac:dyDescent="0.35">
      <c r="K676" s="13"/>
      <c r="L676" s="13"/>
      <c r="M676" s="13"/>
      <c r="N676" s="13"/>
      <c r="O676" s="13"/>
      <c r="P676" s="13"/>
      <c r="Q676" s="13"/>
      <c r="R676" s="13"/>
      <c r="S676" s="13"/>
      <c r="T676" s="84">
        <f t="shared" si="451"/>
        <v>0</v>
      </c>
      <c r="U676" s="84"/>
      <c r="V676" s="84"/>
      <c r="W676" s="13">
        <f t="shared" si="452"/>
        <v>0</v>
      </c>
      <c r="X676" s="13">
        <f t="shared" si="453"/>
        <v>0</v>
      </c>
      <c r="Y676" s="13">
        <f t="shared" si="454"/>
        <v>0</v>
      </c>
      <c r="Z676" s="13">
        <f t="shared" si="455"/>
        <v>0</v>
      </c>
      <c r="AA676" s="13">
        <f t="shared" si="456"/>
        <v>0</v>
      </c>
      <c r="AB676" s="13">
        <f t="shared" si="457"/>
        <v>0</v>
      </c>
      <c r="AC676" s="13">
        <f t="shared" si="458"/>
        <v>0</v>
      </c>
      <c r="AD676" s="13">
        <f t="shared" si="459"/>
        <v>0</v>
      </c>
      <c r="AE676" s="13">
        <f t="shared" si="460"/>
        <v>0</v>
      </c>
      <c r="AF676" s="84">
        <f t="shared" si="461"/>
        <v>0</v>
      </c>
      <c r="AG676" s="84">
        <f t="shared" si="462"/>
        <v>0</v>
      </c>
      <c r="AH676" s="84">
        <f t="shared" si="463"/>
        <v>0</v>
      </c>
      <c r="AI676" s="84">
        <f t="shared" si="464"/>
        <v>0</v>
      </c>
      <c r="AJ676" s="84">
        <f t="shared" si="465"/>
        <v>0</v>
      </c>
      <c r="AK676" s="84">
        <f t="shared" si="466"/>
        <v>0</v>
      </c>
      <c r="AL676" s="84">
        <f t="shared" si="467"/>
        <v>0</v>
      </c>
      <c r="AM676" s="84">
        <f t="shared" si="468"/>
        <v>0</v>
      </c>
      <c r="AN676" s="84">
        <f t="shared" si="469"/>
        <v>0</v>
      </c>
      <c r="AO676" s="84">
        <f t="shared" si="470"/>
        <v>0</v>
      </c>
      <c r="AP676" s="84">
        <f t="shared" si="471"/>
        <v>0</v>
      </c>
      <c r="AQ676" s="84">
        <f t="shared" si="472"/>
        <v>0</v>
      </c>
      <c r="AR676" s="84">
        <f t="shared" si="473"/>
        <v>0</v>
      </c>
      <c r="AS676" s="84">
        <f t="shared" si="474"/>
        <v>0</v>
      </c>
      <c r="AT676" s="84">
        <f t="shared" si="475"/>
        <v>0</v>
      </c>
      <c r="AU676" s="84">
        <f t="shared" si="476"/>
        <v>0</v>
      </c>
      <c r="AV676" s="84">
        <f t="shared" si="477"/>
        <v>0</v>
      </c>
      <c r="AW676" s="84">
        <f t="shared" si="478"/>
        <v>0</v>
      </c>
      <c r="AX676" s="84">
        <f t="shared" si="479"/>
        <v>0</v>
      </c>
      <c r="AY676" s="84">
        <f t="shared" si="480"/>
        <v>0</v>
      </c>
      <c r="AZ676" s="84">
        <f t="shared" si="481"/>
        <v>0</v>
      </c>
      <c r="BA676" s="84">
        <f t="shared" si="482"/>
        <v>0</v>
      </c>
      <c r="BB676" s="84">
        <f t="shared" si="483"/>
        <v>0</v>
      </c>
      <c r="BC676" s="84">
        <f t="shared" si="484"/>
        <v>0</v>
      </c>
      <c r="BD676" s="84">
        <f t="shared" si="485"/>
        <v>0</v>
      </c>
      <c r="BE676" s="84">
        <f t="shared" si="486"/>
        <v>0</v>
      </c>
      <c r="BF676" s="84">
        <f t="shared" si="487"/>
        <v>0</v>
      </c>
      <c r="BG676" s="84">
        <f t="shared" si="488"/>
        <v>0</v>
      </c>
      <c r="BH676" s="84">
        <f t="shared" si="489"/>
        <v>0</v>
      </c>
      <c r="BI676" s="84">
        <f t="shared" si="490"/>
        <v>0</v>
      </c>
      <c r="BJ676" s="84">
        <f t="shared" si="491"/>
        <v>0</v>
      </c>
      <c r="BK676" s="84">
        <f t="shared" si="492"/>
        <v>0</v>
      </c>
      <c r="BL676" s="84">
        <f t="shared" si="493"/>
        <v>0</v>
      </c>
      <c r="BM676" s="84">
        <f t="shared" si="494"/>
        <v>0</v>
      </c>
      <c r="BN676" s="84">
        <f t="shared" si="495"/>
        <v>0</v>
      </c>
      <c r="BO676" s="84">
        <f t="shared" si="496"/>
        <v>0</v>
      </c>
      <c r="BP676" s="84">
        <f t="shared" si="497"/>
        <v>0</v>
      </c>
      <c r="BQ676" s="84">
        <f t="shared" si="498"/>
        <v>0</v>
      </c>
      <c r="BR676" s="84">
        <f t="shared" si="499"/>
        <v>0</v>
      </c>
      <c r="BS676" s="84">
        <f t="shared" si="500"/>
        <v>0</v>
      </c>
      <c r="BT676" s="84">
        <f t="shared" si="501"/>
        <v>0</v>
      </c>
      <c r="BU676" s="84">
        <f t="shared" si="502"/>
        <v>0</v>
      </c>
      <c r="BV676" s="84">
        <f t="shared" si="503"/>
        <v>0</v>
      </c>
      <c r="BW676" s="84">
        <f t="shared" si="504"/>
        <v>0</v>
      </c>
      <c r="BX676" s="84">
        <f t="shared" si="505"/>
        <v>0</v>
      </c>
      <c r="BY676" s="84">
        <f t="shared" si="506"/>
        <v>0</v>
      </c>
      <c r="BZ676" s="84">
        <f t="shared" si="507"/>
        <v>0</v>
      </c>
      <c r="CA676" s="84">
        <f t="shared" si="508"/>
        <v>0</v>
      </c>
      <c r="CB676" s="84">
        <f t="shared" si="509"/>
        <v>0</v>
      </c>
      <c r="CC676" s="84">
        <f t="shared" si="510"/>
        <v>0</v>
      </c>
      <c r="CD676" s="84">
        <f t="shared" si="511"/>
        <v>0</v>
      </c>
    </row>
    <row r="677" spans="11:82" ht="12" customHeight="1" x14ac:dyDescent="0.35">
      <c r="K677" s="13"/>
      <c r="L677" s="13"/>
      <c r="M677" s="13"/>
      <c r="N677" s="13"/>
      <c r="O677" s="13"/>
      <c r="P677" s="13"/>
      <c r="Q677" s="13"/>
      <c r="R677" s="13"/>
      <c r="S677" s="13"/>
      <c r="T677" s="84">
        <f t="shared" si="451"/>
        <v>0</v>
      </c>
      <c r="U677" s="84"/>
      <c r="V677" s="84"/>
      <c r="W677" s="13">
        <f t="shared" si="452"/>
        <v>0</v>
      </c>
      <c r="X677" s="13">
        <f t="shared" si="453"/>
        <v>0</v>
      </c>
      <c r="Y677" s="13">
        <f t="shared" si="454"/>
        <v>0</v>
      </c>
      <c r="Z677" s="13">
        <f t="shared" si="455"/>
        <v>0</v>
      </c>
      <c r="AA677" s="13">
        <f t="shared" si="456"/>
        <v>0</v>
      </c>
      <c r="AB677" s="13">
        <f t="shared" si="457"/>
        <v>0</v>
      </c>
      <c r="AC677" s="13">
        <f t="shared" si="458"/>
        <v>0</v>
      </c>
      <c r="AD677" s="13">
        <f t="shared" si="459"/>
        <v>0</v>
      </c>
      <c r="AE677" s="13">
        <f t="shared" si="460"/>
        <v>0</v>
      </c>
      <c r="AF677" s="84">
        <f t="shared" si="461"/>
        <v>0</v>
      </c>
      <c r="AG677" s="84">
        <f t="shared" si="462"/>
        <v>0</v>
      </c>
      <c r="AH677" s="84">
        <f t="shared" si="463"/>
        <v>0</v>
      </c>
      <c r="AI677" s="84">
        <f t="shared" si="464"/>
        <v>0</v>
      </c>
      <c r="AJ677" s="84">
        <f t="shared" si="465"/>
        <v>0</v>
      </c>
      <c r="AK677" s="84">
        <f t="shared" si="466"/>
        <v>0</v>
      </c>
      <c r="AL677" s="84">
        <f t="shared" si="467"/>
        <v>0</v>
      </c>
      <c r="AM677" s="84">
        <f t="shared" si="468"/>
        <v>0</v>
      </c>
      <c r="AN677" s="84">
        <f t="shared" si="469"/>
        <v>0</v>
      </c>
      <c r="AO677" s="84">
        <f t="shared" si="470"/>
        <v>0</v>
      </c>
      <c r="AP677" s="84">
        <f t="shared" si="471"/>
        <v>0</v>
      </c>
      <c r="AQ677" s="84">
        <f t="shared" si="472"/>
        <v>0</v>
      </c>
      <c r="AR677" s="84">
        <f t="shared" si="473"/>
        <v>0</v>
      </c>
      <c r="AS677" s="84">
        <f t="shared" si="474"/>
        <v>0</v>
      </c>
      <c r="AT677" s="84">
        <f t="shared" si="475"/>
        <v>0</v>
      </c>
      <c r="AU677" s="84">
        <f t="shared" si="476"/>
        <v>0</v>
      </c>
      <c r="AV677" s="84">
        <f t="shared" si="477"/>
        <v>0</v>
      </c>
      <c r="AW677" s="84">
        <f t="shared" si="478"/>
        <v>0</v>
      </c>
      <c r="AX677" s="84">
        <f t="shared" si="479"/>
        <v>0</v>
      </c>
      <c r="AY677" s="84">
        <f t="shared" si="480"/>
        <v>0</v>
      </c>
      <c r="AZ677" s="84">
        <f t="shared" si="481"/>
        <v>0</v>
      </c>
      <c r="BA677" s="84">
        <f t="shared" si="482"/>
        <v>0</v>
      </c>
      <c r="BB677" s="84">
        <f t="shared" si="483"/>
        <v>0</v>
      </c>
      <c r="BC677" s="84">
        <f t="shared" si="484"/>
        <v>0</v>
      </c>
      <c r="BD677" s="84">
        <f t="shared" si="485"/>
        <v>0</v>
      </c>
      <c r="BE677" s="84">
        <f t="shared" si="486"/>
        <v>0</v>
      </c>
      <c r="BF677" s="84">
        <f t="shared" si="487"/>
        <v>0</v>
      </c>
      <c r="BG677" s="84">
        <f t="shared" si="488"/>
        <v>0</v>
      </c>
      <c r="BH677" s="84">
        <f t="shared" si="489"/>
        <v>0</v>
      </c>
      <c r="BI677" s="84">
        <f t="shared" si="490"/>
        <v>0</v>
      </c>
      <c r="BJ677" s="84">
        <f t="shared" si="491"/>
        <v>0</v>
      </c>
      <c r="BK677" s="84">
        <f t="shared" si="492"/>
        <v>0</v>
      </c>
      <c r="BL677" s="84">
        <f t="shared" si="493"/>
        <v>0</v>
      </c>
      <c r="BM677" s="84">
        <f t="shared" si="494"/>
        <v>0</v>
      </c>
      <c r="BN677" s="84">
        <f t="shared" si="495"/>
        <v>0</v>
      </c>
      <c r="BO677" s="84">
        <f t="shared" si="496"/>
        <v>0</v>
      </c>
      <c r="BP677" s="84">
        <f t="shared" si="497"/>
        <v>0</v>
      </c>
      <c r="BQ677" s="84">
        <f t="shared" si="498"/>
        <v>0</v>
      </c>
      <c r="BR677" s="84">
        <f t="shared" si="499"/>
        <v>0</v>
      </c>
      <c r="BS677" s="84">
        <f t="shared" si="500"/>
        <v>0</v>
      </c>
      <c r="BT677" s="84">
        <f t="shared" si="501"/>
        <v>0</v>
      </c>
      <c r="BU677" s="84">
        <f t="shared" si="502"/>
        <v>0</v>
      </c>
      <c r="BV677" s="84">
        <f t="shared" si="503"/>
        <v>0</v>
      </c>
      <c r="BW677" s="84">
        <f t="shared" si="504"/>
        <v>0</v>
      </c>
      <c r="BX677" s="84">
        <f t="shared" si="505"/>
        <v>0</v>
      </c>
      <c r="BY677" s="84">
        <f t="shared" si="506"/>
        <v>0</v>
      </c>
      <c r="BZ677" s="84">
        <f t="shared" si="507"/>
        <v>0</v>
      </c>
      <c r="CA677" s="84">
        <f t="shared" si="508"/>
        <v>0</v>
      </c>
      <c r="CB677" s="84">
        <f t="shared" si="509"/>
        <v>0</v>
      </c>
      <c r="CC677" s="84">
        <f t="shared" si="510"/>
        <v>0</v>
      </c>
      <c r="CD677" s="84">
        <f t="shared" si="511"/>
        <v>0</v>
      </c>
    </row>
    <row r="678" spans="11:82" ht="12" customHeight="1" x14ac:dyDescent="0.35">
      <c r="K678" s="13"/>
      <c r="L678" s="13"/>
      <c r="M678" s="13"/>
      <c r="N678" s="13"/>
      <c r="O678" s="13"/>
      <c r="P678" s="13"/>
      <c r="Q678" s="13"/>
      <c r="R678" s="13"/>
      <c r="S678" s="13"/>
      <c r="T678" s="84">
        <f t="shared" si="451"/>
        <v>0</v>
      </c>
      <c r="U678" s="84"/>
      <c r="V678" s="84"/>
      <c r="W678" s="13">
        <f t="shared" si="452"/>
        <v>0</v>
      </c>
      <c r="X678" s="13">
        <f t="shared" si="453"/>
        <v>0</v>
      </c>
      <c r="Y678" s="13">
        <f t="shared" si="454"/>
        <v>0</v>
      </c>
      <c r="Z678" s="13">
        <f t="shared" si="455"/>
        <v>0</v>
      </c>
      <c r="AA678" s="13">
        <f t="shared" si="456"/>
        <v>0</v>
      </c>
      <c r="AB678" s="13">
        <f t="shared" si="457"/>
        <v>0</v>
      </c>
      <c r="AC678" s="13">
        <f t="shared" si="458"/>
        <v>0</v>
      </c>
      <c r="AD678" s="13">
        <f t="shared" si="459"/>
        <v>0</v>
      </c>
      <c r="AE678" s="13">
        <f t="shared" si="460"/>
        <v>0</v>
      </c>
      <c r="AF678" s="84">
        <f t="shared" si="461"/>
        <v>0</v>
      </c>
      <c r="AG678" s="84">
        <f t="shared" si="462"/>
        <v>0</v>
      </c>
      <c r="AH678" s="84">
        <f t="shared" si="463"/>
        <v>0</v>
      </c>
      <c r="AI678" s="84">
        <f t="shared" si="464"/>
        <v>0</v>
      </c>
      <c r="AJ678" s="84">
        <f t="shared" si="465"/>
        <v>0</v>
      </c>
      <c r="AK678" s="84">
        <f t="shared" si="466"/>
        <v>0</v>
      </c>
      <c r="AL678" s="84">
        <f t="shared" si="467"/>
        <v>0</v>
      </c>
      <c r="AM678" s="84">
        <f t="shared" si="468"/>
        <v>0</v>
      </c>
      <c r="AN678" s="84">
        <f t="shared" si="469"/>
        <v>0</v>
      </c>
      <c r="AO678" s="84">
        <f t="shared" si="470"/>
        <v>0</v>
      </c>
      <c r="AP678" s="84">
        <f t="shared" si="471"/>
        <v>0</v>
      </c>
      <c r="AQ678" s="84">
        <f t="shared" si="472"/>
        <v>0</v>
      </c>
      <c r="AR678" s="84">
        <f t="shared" si="473"/>
        <v>0</v>
      </c>
      <c r="AS678" s="84">
        <f t="shared" si="474"/>
        <v>0</v>
      </c>
      <c r="AT678" s="84">
        <f t="shared" si="475"/>
        <v>0</v>
      </c>
      <c r="AU678" s="84">
        <f t="shared" si="476"/>
        <v>0</v>
      </c>
      <c r="AV678" s="84">
        <f t="shared" si="477"/>
        <v>0</v>
      </c>
      <c r="AW678" s="84">
        <f t="shared" si="478"/>
        <v>0</v>
      </c>
      <c r="AX678" s="84">
        <f t="shared" si="479"/>
        <v>0</v>
      </c>
      <c r="AY678" s="84">
        <f t="shared" si="480"/>
        <v>0</v>
      </c>
      <c r="AZ678" s="84">
        <f t="shared" si="481"/>
        <v>0</v>
      </c>
      <c r="BA678" s="84">
        <f t="shared" si="482"/>
        <v>0</v>
      </c>
      <c r="BB678" s="84">
        <f t="shared" si="483"/>
        <v>0</v>
      </c>
      <c r="BC678" s="84">
        <f t="shared" si="484"/>
        <v>0</v>
      </c>
      <c r="BD678" s="84">
        <f t="shared" si="485"/>
        <v>0</v>
      </c>
      <c r="BE678" s="84">
        <f t="shared" si="486"/>
        <v>0</v>
      </c>
      <c r="BF678" s="84">
        <f t="shared" si="487"/>
        <v>0</v>
      </c>
      <c r="BG678" s="84">
        <f t="shared" si="488"/>
        <v>0</v>
      </c>
      <c r="BH678" s="84">
        <f t="shared" si="489"/>
        <v>0</v>
      </c>
      <c r="BI678" s="84">
        <f t="shared" si="490"/>
        <v>0</v>
      </c>
      <c r="BJ678" s="84">
        <f t="shared" si="491"/>
        <v>0</v>
      </c>
      <c r="BK678" s="84">
        <f t="shared" si="492"/>
        <v>0</v>
      </c>
      <c r="BL678" s="84">
        <f t="shared" si="493"/>
        <v>0</v>
      </c>
      <c r="BM678" s="84">
        <f t="shared" si="494"/>
        <v>0</v>
      </c>
      <c r="BN678" s="84">
        <f t="shared" si="495"/>
        <v>0</v>
      </c>
      <c r="BO678" s="84">
        <f t="shared" si="496"/>
        <v>0</v>
      </c>
      <c r="BP678" s="84">
        <f t="shared" si="497"/>
        <v>0</v>
      </c>
      <c r="BQ678" s="84">
        <f t="shared" si="498"/>
        <v>0</v>
      </c>
      <c r="BR678" s="84">
        <f t="shared" si="499"/>
        <v>0</v>
      </c>
      <c r="BS678" s="84">
        <f t="shared" si="500"/>
        <v>0</v>
      </c>
      <c r="BT678" s="84">
        <f t="shared" si="501"/>
        <v>0</v>
      </c>
      <c r="BU678" s="84">
        <f t="shared" si="502"/>
        <v>0</v>
      </c>
      <c r="BV678" s="84">
        <f t="shared" si="503"/>
        <v>0</v>
      </c>
      <c r="BW678" s="84">
        <f t="shared" si="504"/>
        <v>0</v>
      </c>
      <c r="BX678" s="84">
        <f t="shared" si="505"/>
        <v>0</v>
      </c>
      <c r="BY678" s="84">
        <f t="shared" si="506"/>
        <v>0</v>
      </c>
      <c r="BZ678" s="84">
        <f t="shared" si="507"/>
        <v>0</v>
      </c>
      <c r="CA678" s="84">
        <f t="shared" si="508"/>
        <v>0</v>
      </c>
      <c r="CB678" s="84">
        <f t="shared" si="509"/>
        <v>0</v>
      </c>
      <c r="CC678" s="84">
        <f t="shared" si="510"/>
        <v>0</v>
      </c>
      <c r="CD678" s="84">
        <f t="shared" si="511"/>
        <v>0</v>
      </c>
    </row>
    <row r="679" spans="11:82" ht="12" customHeight="1" x14ac:dyDescent="0.35">
      <c r="K679" s="13"/>
      <c r="L679" s="13"/>
      <c r="M679" s="13"/>
      <c r="N679" s="13"/>
      <c r="O679" s="13"/>
      <c r="P679" s="13"/>
      <c r="Q679" s="13"/>
      <c r="R679" s="13"/>
      <c r="S679" s="13"/>
      <c r="T679" s="84">
        <f t="shared" si="451"/>
        <v>0</v>
      </c>
      <c r="U679" s="84"/>
      <c r="V679" s="84"/>
      <c r="W679" s="13">
        <f t="shared" si="452"/>
        <v>0</v>
      </c>
      <c r="X679" s="13">
        <f t="shared" si="453"/>
        <v>0</v>
      </c>
      <c r="Y679" s="13">
        <f t="shared" si="454"/>
        <v>0</v>
      </c>
      <c r="Z679" s="13">
        <f t="shared" si="455"/>
        <v>0</v>
      </c>
      <c r="AA679" s="13">
        <f t="shared" si="456"/>
        <v>0</v>
      </c>
      <c r="AB679" s="13">
        <f t="shared" si="457"/>
        <v>0</v>
      </c>
      <c r="AC679" s="13">
        <f t="shared" si="458"/>
        <v>0</v>
      </c>
      <c r="AD679" s="13">
        <f t="shared" si="459"/>
        <v>0</v>
      </c>
      <c r="AE679" s="13">
        <f t="shared" si="460"/>
        <v>0</v>
      </c>
      <c r="AF679" s="84">
        <f t="shared" si="461"/>
        <v>0</v>
      </c>
      <c r="AG679" s="84">
        <f t="shared" si="462"/>
        <v>0</v>
      </c>
      <c r="AH679" s="84">
        <f t="shared" si="463"/>
        <v>0</v>
      </c>
      <c r="AI679" s="84">
        <f t="shared" si="464"/>
        <v>0</v>
      </c>
      <c r="AJ679" s="84">
        <f t="shared" si="465"/>
        <v>0</v>
      </c>
      <c r="AK679" s="84">
        <f t="shared" si="466"/>
        <v>0</v>
      </c>
      <c r="AL679" s="84">
        <f t="shared" si="467"/>
        <v>0</v>
      </c>
      <c r="AM679" s="84">
        <f t="shared" si="468"/>
        <v>0</v>
      </c>
      <c r="AN679" s="84">
        <f t="shared" si="469"/>
        <v>0</v>
      </c>
      <c r="AO679" s="84">
        <f t="shared" si="470"/>
        <v>0</v>
      </c>
      <c r="AP679" s="84">
        <f t="shared" si="471"/>
        <v>0</v>
      </c>
      <c r="AQ679" s="84">
        <f t="shared" si="472"/>
        <v>0</v>
      </c>
      <c r="AR679" s="84">
        <f t="shared" si="473"/>
        <v>0</v>
      </c>
      <c r="AS679" s="84">
        <f t="shared" si="474"/>
        <v>0</v>
      </c>
      <c r="AT679" s="84">
        <f t="shared" si="475"/>
        <v>0</v>
      </c>
      <c r="AU679" s="84">
        <f t="shared" si="476"/>
        <v>0</v>
      </c>
      <c r="AV679" s="84">
        <f t="shared" si="477"/>
        <v>0</v>
      </c>
      <c r="AW679" s="84">
        <f t="shared" si="478"/>
        <v>0</v>
      </c>
      <c r="AX679" s="84">
        <f t="shared" si="479"/>
        <v>0</v>
      </c>
      <c r="AY679" s="84">
        <f t="shared" si="480"/>
        <v>0</v>
      </c>
      <c r="AZ679" s="84">
        <f t="shared" si="481"/>
        <v>0</v>
      </c>
      <c r="BA679" s="84">
        <f t="shared" si="482"/>
        <v>0</v>
      </c>
      <c r="BB679" s="84">
        <f t="shared" si="483"/>
        <v>0</v>
      </c>
      <c r="BC679" s="84">
        <f t="shared" si="484"/>
        <v>0</v>
      </c>
      <c r="BD679" s="84">
        <f t="shared" si="485"/>
        <v>0</v>
      </c>
      <c r="BE679" s="84">
        <f t="shared" si="486"/>
        <v>0</v>
      </c>
      <c r="BF679" s="84">
        <f t="shared" si="487"/>
        <v>0</v>
      </c>
      <c r="BG679" s="84">
        <f t="shared" si="488"/>
        <v>0</v>
      </c>
      <c r="BH679" s="84">
        <f t="shared" si="489"/>
        <v>0</v>
      </c>
      <c r="BI679" s="84">
        <f t="shared" si="490"/>
        <v>0</v>
      </c>
      <c r="BJ679" s="84">
        <f t="shared" si="491"/>
        <v>0</v>
      </c>
      <c r="BK679" s="84">
        <f t="shared" si="492"/>
        <v>0</v>
      </c>
      <c r="BL679" s="84">
        <f t="shared" si="493"/>
        <v>0</v>
      </c>
      <c r="BM679" s="84">
        <f t="shared" si="494"/>
        <v>0</v>
      </c>
      <c r="BN679" s="84">
        <f t="shared" si="495"/>
        <v>0</v>
      </c>
      <c r="BO679" s="84">
        <f t="shared" si="496"/>
        <v>0</v>
      </c>
      <c r="BP679" s="84">
        <f t="shared" si="497"/>
        <v>0</v>
      </c>
      <c r="BQ679" s="84">
        <f t="shared" si="498"/>
        <v>0</v>
      </c>
      <c r="BR679" s="84">
        <f t="shared" si="499"/>
        <v>0</v>
      </c>
      <c r="BS679" s="84">
        <f t="shared" si="500"/>
        <v>0</v>
      </c>
      <c r="BT679" s="84">
        <f t="shared" si="501"/>
        <v>0</v>
      </c>
      <c r="BU679" s="84">
        <f t="shared" si="502"/>
        <v>0</v>
      </c>
      <c r="BV679" s="84">
        <f t="shared" si="503"/>
        <v>0</v>
      </c>
      <c r="BW679" s="84">
        <f t="shared" si="504"/>
        <v>0</v>
      </c>
      <c r="BX679" s="84">
        <f t="shared" si="505"/>
        <v>0</v>
      </c>
      <c r="BY679" s="84">
        <f t="shared" si="506"/>
        <v>0</v>
      </c>
      <c r="BZ679" s="84">
        <f t="shared" si="507"/>
        <v>0</v>
      </c>
      <c r="CA679" s="84">
        <f t="shared" si="508"/>
        <v>0</v>
      </c>
      <c r="CB679" s="84">
        <f t="shared" si="509"/>
        <v>0</v>
      </c>
      <c r="CC679" s="84">
        <f t="shared" si="510"/>
        <v>0</v>
      </c>
      <c r="CD679" s="84">
        <f t="shared" si="511"/>
        <v>0</v>
      </c>
    </row>
    <row r="680" spans="11:82" ht="12" customHeight="1" x14ac:dyDescent="0.35">
      <c r="K680" s="13"/>
      <c r="L680" s="13"/>
      <c r="M680" s="13"/>
      <c r="N680" s="13"/>
      <c r="O680" s="13"/>
      <c r="P680" s="13"/>
      <c r="Q680" s="13"/>
      <c r="R680" s="13"/>
      <c r="S680" s="13"/>
      <c r="T680" s="84">
        <f t="shared" si="451"/>
        <v>0</v>
      </c>
      <c r="U680" s="84"/>
      <c r="V680" s="84"/>
      <c r="W680" s="13">
        <f t="shared" si="452"/>
        <v>0</v>
      </c>
      <c r="X680" s="13">
        <f t="shared" si="453"/>
        <v>0</v>
      </c>
      <c r="Y680" s="13">
        <f t="shared" si="454"/>
        <v>0</v>
      </c>
      <c r="Z680" s="13">
        <f t="shared" si="455"/>
        <v>0</v>
      </c>
      <c r="AA680" s="13">
        <f t="shared" si="456"/>
        <v>0</v>
      </c>
      <c r="AB680" s="13">
        <f t="shared" si="457"/>
        <v>0</v>
      </c>
      <c r="AC680" s="13">
        <f t="shared" si="458"/>
        <v>0</v>
      </c>
      <c r="AD680" s="13">
        <f t="shared" si="459"/>
        <v>0</v>
      </c>
      <c r="AE680" s="13">
        <f t="shared" si="460"/>
        <v>0</v>
      </c>
      <c r="AF680" s="84">
        <f t="shared" si="461"/>
        <v>0</v>
      </c>
      <c r="AG680" s="84">
        <f t="shared" si="462"/>
        <v>0</v>
      </c>
      <c r="AH680" s="84">
        <f t="shared" si="463"/>
        <v>0</v>
      </c>
      <c r="AI680" s="84">
        <f t="shared" si="464"/>
        <v>0</v>
      </c>
      <c r="AJ680" s="84">
        <f t="shared" si="465"/>
        <v>0</v>
      </c>
      <c r="AK680" s="84">
        <f t="shared" si="466"/>
        <v>0</v>
      </c>
      <c r="AL680" s="84">
        <f t="shared" si="467"/>
        <v>0</v>
      </c>
      <c r="AM680" s="84">
        <f t="shared" si="468"/>
        <v>0</v>
      </c>
      <c r="AN680" s="84">
        <f t="shared" si="469"/>
        <v>0</v>
      </c>
      <c r="AO680" s="84">
        <f t="shared" si="470"/>
        <v>0</v>
      </c>
      <c r="AP680" s="84">
        <f t="shared" si="471"/>
        <v>0</v>
      </c>
      <c r="AQ680" s="84">
        <f t="shared" si="472"/>
        <v>0</v>
      </c>
      <c r="AR680" s="84">
        <f t="shared" si="473"/>
        <v>0</v>
      </c>
      <c r="AS680" s="84">
        <f t="shared" si="474"/>
        <v>0</v>
      </c>
      <c r="AT680" s="84">
        <f t="shared" si="475"/>
        <v>0</v>
      </c>
      <c r="AU680" s="84">
        <f t="shared" si="476"/>
        <v>0</v>
      </c>
      <c r="AV680" s="84">
        <f t="shared" si="477"/>
        <v>0</v>
      </c>
      <c r="AW680" s="84">
        <f t="shared" si="478"/>
        <v>0</v>
      </c>
      <c r="AX680" s="84">
        <f t="shared" si="479"/>
        <v>0</v>
      </c>
      <c r="AY680" s="84">
        <f t="shared" si="480"/>
        <v>0</v>
      </c>
      <c r="AZ680" s="84">
        <f t="shared" si="481"/>
        <v>0</v>
      </c>
      <c r="BA680" s="84">
        <f t="shared" si="482"/>
        <v>0</v>
      </c>
      <c r="BB680" s="84">
        <f t="shared" si="483"/>
        <v>0</v>
      </c>
      <c r="BC680" s="84">
        <f t="shared" si="484"/>
        <v>0</v>
      </c>
      <c r="BD680" s="84">
        <f t="shared" si="485"/>
        <v>0</v>
      </c>
      <c r="BE680" s="84">
        <f t="shared" si="486"/>
        <v>0</v>
      </c>
      <c r="BF680" s="84">
        <f t="shared" si="487"/>
        <v>0</v>
      </c>
      <c r="BG680" s="84">
        <f t="shared" si="488"/>
        <v>0</v>
      </c>
      <c r="BH680" s="84">
        <f t="shared" si="489"/>
        <v>0</v>
      </c>
      <c r="BI680" s="84">
        <f t="shared" si="490"/>
        <v>0</v>
      </c>
      <c r="BJ680" s="84">
        <f t="shared" si="491"/>
        <v>0</v>
      </c>
      <c r="BK680" s="84">
        <f t="shared" si="492"/>
        <v>0</v>
      </c>
      <c r="BL680" s="84">
        <f t="shared" si="493"/>
        <v>0</v>
      </c>
      <c r="BM680" s="84">
        <f t="shared" si="494"/>
        <v>0</v>
      </c>
      <c r="BN680" s="84">
        <f t="shared" si="495"/>
        <v>0</v>
      </c>
      <c r="BO680" s="84">
        <f t="shared" si="496"/>
        <v>0</v>
      </c>
      <c r="BP680" s="84">
        <f t="shared" si="497"/>
        <v>0</v>
      </c>
      <c r="BQ680" s="84">
        <f t="shared" si="498"/>
        <v>0</v>
      </c>
      <c r="BR680" s="84">
        <f t="shared" si="499"/>
        <v>0</v>
      </c>
      <c r="BS680" s="84">
        <f t="shared" si="500"/>
        <v>0</v>
      </c>
      <c r="BT680" s="84">
        <f t="shared" si="501"/>
        <v>0</v>
      </c>
      <c r="BU680" s="84">
        <f t="shared" si="502"/>
        <v>0</v>
      </c>
      <c r="BV680" s="84">
        <f t="shared" si="503"/>
        <v>0</v>
      </c>
      <c r="BW680" s="84">
        <f t="shared" si="504"/>
        <v>0</v>
      </c>
      <c r="BX680" s="84">
        <f t="shared" si="505"/>
        <v>0</v>
      </c>
      <c r="BY680" s="84">
        <f t="shared" si="506"/>
        <v>0</v>
      </c>
      <c r="BZ680" s="84">
        <f t="shared" si="507"/>
        <v>0</v>
      </c>
      <c r="CA680" s="84">
        <f t="shared" si="508"/>
        <v>0</v>
      </c>
      <c r="CB680" s="84">
        <f t="shared" si="509"/>
        <v>0</v>
      </c>
      <c r="CC680" s="84">
        <f t="shared" si="510"/>
        <v>0</v>
      </c>
      <c r="CD680" s="84">
        <f t="shared" si="511"/>
        <v>0</v>
      </c>
    </row>
    <row r="681" spans="11:82" ht="12" customHeight="1" x14ac:dyDescent="0.35">
      <c r="K681" s="13"/>
      <c r="L681" s="13"/>
      <c r="M681" s="13"/>
      <c r="N681" s="13"/>
      <c r="O681" s="13"/>
      <c r="P681" s="13"/>
      <c r="Q681" s="13"/>
      <c r="R681" s="13"/>
      <c r="S681" s="13"/>
      <c r="T681" s="84">
        <f t="shared" si="451"/>
        <v>0</v>
      </c>
      <c r="U681" s="84"/>
      <c r="V681" s="84"/>
      <c r="W681" s="13">
        <f t="shared" si="452"/>
        <v>0</v>
      </c>
      <c r="X681" s="13">
        <f t="shared" si="453"/>
        <v>0</v>
      </c>
      <c r="Y681" s="13">
        <f t="shared" si="454"/>
        <v>0</v>
      </c>
      <c r="Z681" s="13">
        <f t="shared" si="455"/>
        <v>0</v>
      </c>
      <c r="AA681" s="13">
        <f t="shared" si="456"/>
        <v>0</v>
      </c>
      <c r="AB681" s="13">
        <f t="shared" si="457"/>
        <v>0</v>
      </c>
      <c r="AC681" s="13">
        <f t="shared" si="458"/>
        <v>0</v>
      </c>
      <c r="AD681" s="13">
        <f t="shared" si="459"/>
        <v>0</v>
      </c>
      <c r="AE681" s="13">
        <f t="shared" si="460"/>
        <v>0</v>
      </c>
      <c r="AF681" s="84">
        <f t="shared" si="461"/>
        <v>0</v>
      </c>
      <c r="AG681" s="84">
        <f t="shared" si="462"/>
        <v>0</v>
      </c>
      <c r="AH681" s="84">
        <f t="shared" si="463"/>
        <v>0</v>
      </c>
      <c r="AI681" s="84">
        <f t="shared" si="464"/>
        <v>0</v>
      </c>
      <c r="AJ681" s="84">
        <f t="shared" si="465"/>
        <v>0</v>
      </c>
      <c r="AK681" s="84">
        <f t="shared" si="466"/>
        <v>0</v>
      </c>
      <c r="AL681" s="84">
        <f t="shared" si="467"/>
        <v>0</v>
      </c>
      <c r="AM681" s="84">
        <f t="shared" si="468"/>
        <v>0</v>
      </c>
      <c r="AN681" s="84">
        <f t="shared" si="469"/>
        <v>0</v>
      </c>
      <c r="AO681" s="84">
        <f t="shared" si="470"/>
        <v>0</v>
      </c>
      <c r="AP681" s="84">
        <f t="shared" si="471"/>
        <v>0</v>
      </c>
      <c r="AQ681" s="84">
        <f t="shared" si="472"/>
        <v>0</v>
      </c>
      <c r="AR681" s="84">
        <f t="shared" si="473"/>
        <v>0</v>
      </c>
      <c r="AS681" s="84">
        <f t="shared" si="474"/>
        <v>0</v>
      </c>
      <c r="AT681" s="84">
        <f t="shared" si="475"/>
        <v>0</v>
      </c>
      <c r="AU681" s="84">
        <f t="shared" si="476"/>
        <v>0</v>
      </c>
      <c r="AV681" s="84">
        <f t="shared" si="477"/>
        <v>0</v>
      </c>
      <c r="AW681" s="84">
        <f t="shared" si="478"/>
        <v>0</v>
      </c>
      <c r="AX681" s="84">
        <f t="shared" si="479"/>
        <v>0</v>
      </c>
      <c r="AY681" s="84">
        <f t="shared" si="480"/>
        <v>0</v>
      </c>
      <c r="AZ681" s="84">
        <f t="shared" si="481"/>
        <v>0</v>
      </c>
      <c r="BA681" s="84">
        <f t="shared" si="482"/>
        <v>0</v>
      </c>
      <c r="BB681" s="84">
        <f t="shared" si="483"/>
        <v>0</v>
      </c>
      <c r="BC681" s="84">
        <f t="shared" si="484"/>
        <v>0</v>
      </c>
      <c r="BD681" s="84">
        <f t="shared" si="485"/>
        <v>0</v>
      </c>
      <c r="BE681" s="84">
        <f t="shared" si="486"/>
        <v>0</v>
      </c>
      <c r="BF681" s="84">
        <f t="shared" si="487"/>
        <v>0</v>
      </c>
      <c r="BG681" s="84">
        <f t="shared" si="488"/>
        <v>0</v>
      </c>
      <c r="BH681" s="84">
        <f t="shared" si="489"/>
        <v>0</v>
      </c>
      <c r="BI681" s="84">
        <f t="shared" si="490"/>
        <v>0</v>
      </c>
      <c r="BJ681" s="84">
        <f t="shared" si="491"/>
        <v>0</v>
      </c>
      <c r="BK681" s="84">
        <f t="shared" si="492"/>
        <v>0</v>
      </c>
      <c r="BL681" s="84">
        <f t="shared" si="493"/>
        <v>0</v>
      </c>
      <c r="BM681" s="84">
        <f t="shared" si="494"/>
        <v>0</v>
      </c>
      <c r="BN681" s="84">
        <f t="shared" si="495"/>
        <v>0</v>
      </c>
      <c r="BO681" s="84">
        <f t="shared" si="496"/>
        <v>0</v>
      </c>
      <c r="BP681" s="84">
        <f t="shared" si="497"/>
        <v>0</v>
      </c>
      <c r="BQ681" s="84">
        <f t="shared" si="498"/>
        <v>0</v>
      </c>
      <c r="BR681" s="84">
        <f t="shared" si="499"/>
        <v>0</v>
      </c>
      <c r="BS681" s="84">
        <f t="shared" si="500"/>
        <v>0</v>
      </c>
      <c r="BT681" s="84">
        <f t="shared" si="501"/>
        <v>0</v>
      </c>
      <c r="BU681" s="84">
        <f t="shared" si="502"/>
        <v>0</v>
      </c>
      <c r="BV681" s="84">
        <f t="shared" si="503"/>
        <v>0</v>
      </c>
      <c r="BW681" s="84">
        <f t="shared" si="504"/>
        <v>0</v>
      </c>
      <c r="BX681" s="84">
        <f t="shared" si="505"/>
        <v>0</v>
      </c>
      <c r="BY681" s="84">
        <f t="shared" si="506"/>
        <v>0</v>
      </c>
      <c r="BZ681" s="84">
        <f t="shared" si="507"/>
        <v>0</v>
      </c>
      <c r="CA681" s="84">
        <f t="shared" si="508"/>
        <v>0</v>
      </c>
      <c r="CB681" s="84">
        <f t="shared" si="509"/>
        <v>0</v>
      </c>
      <c r="CC681" s="84">
        <f t="shared" si="510"/>
        <v>0</v>
      </c>
      <c r="CD681" s="84">
        <f t="shared" si="511"/>
        <v>0</v>
      </c>
    </row>
    <row r="682" spans="11:82" ht="12" customHeight="1" x14ac:dyDescent="0.35">
      <c r="K682" s="13"/>
      <c r="L682" s="13"/>
      <c r="M682" s="13"/>
      <c r="N682" s="13"/>
      <c r="O682" s="13"/>
      <c r="P682" s="13"/>
      <c r="Q682" s="13"/>
      <c r="R682" s="13"/>
      <c r="S682" s="13"/>
      <c r="T682" s="84">
        <f t="shared" si="451"/>
        <v>0</v>
      </c>
      <c r="U682" s="84"/>
      <c r="V682" s="84"/>
      <c r="W682" s="13">
        <f t="shared" si="452"/>
        <v>0</v>
      </c>
      <c r="X682" s="13">
        <f t="shared" si="453"/>
        <v>0</v>
      </c>
      <c r="Y682" s="13">
        <f t="shared" si="454"/>
        <v>0</v>
      </c>
      <c r="Z682" s="13">
        <f t="shared" si="455"/>
        <v>0</v>
      </c>
      <c r="AA682" s="13">
        <f t="shared" si="456"/>
        <v>0</v>
      </c>
      <c r="AB682" s="13">
        <f t="shared" si="457"/>
        <v>0</v>
      </c>
      <c r="AC682" s="13">
        <f t="shared" si="458"/>
        <v>0</v>
      </c>
      <c r="AD682" s="13">
        <f t="shared" si="459"/>
        <v>0</v>
      </c>
      <c r="AE682" s="13">
        <f t="shared" si="460"/>
        <v>0</v>
      </c>
      <c r="AF682" s="84">
        <f t="shared" si="461"/>
        <v>0</v>
      </c>
      <c r="AG682" s="84">
        <f t="shared" si="462"/>
        <v>0</v>
      </c>
      <c r="AH682" s="84">
        <f t="shared" si="463"/>
        <v>0</v>
      </c>
      <c r="AI682" s="84">
        <f t="shared" si="464"/>
        <v>0</v>
      </c>
      <c r="AJ682" s="84">
        <f t="shared" si="465"/>
        <v>0</v>
      </c>
      <c r="AK682" s="84">
        <f t="shared" si="466"/>
        <v>0</v>
      </c>
      <c r="AL682" s="84">
        <f t="shared" si="467"/>
        <v>0</v>
      </c>
      <c r="AM682" s="84">
        <f t="shared" si="468"/>
        <v>0</v>
      </c>
      <c r="AN682" s="84">
        <f t="shared" si="469"/>
        <v>0</v>
      </c>
      <c r="AO682" s="84">
        <f t="shared" si="470"/>
        <v>0</v>
      </c>
      <c r="AP682" s="84">
        <f t="shared" si="471"/>
        <v>0</v>
      </c>
      <c r="AQ682" s="84">
        <f t="shared" si="472"/>
        <v>0</v>
      </c>
      <c r="AR682" s="84">
        <f t="shared" si="473"/>
        <v>0</v>
      </c>
      <c r="AS682" s="84">
        <f t="shared" si="474"/>
        <v>0</v>
      </c>
      <c r="AT682" s="84">
        <f t="shared" si="475"/>
        <v>0</v>
      </c>
      <c r="AU682" s="84">
        <f t="shared" si="476"/>
        <v>0</v>
      </c>
      <c r="AV682" s="84">
        <f t="shared" si="477"/>
        <v>0</v>
      </c>
      <c r="AW682" s="84">
        <f t="shared" si="478"/>
        <v>0</v>
      </c>
      <c r="AX682" s="84">
        <f t="shared" si="479"/>
        <v>0</v>
      </c>
      <c r="AY682" s="84">
        <f t="shared" si="480"/>
        <v>0</v>
      </c>
      <c r="AZ682" s="84">
        <f t="shared" si="481"/>
        <v>0</v>
      </c>
      <c r="BA682" s="84">
        <f t="shared" si="482"/>
        <v>0</v>
      </c>
      <c r="BB682" s="84">
        <f t="shared" si="483"/>
        <v>0</v>
      </c>
      <c r="BC682" s="84">
        <f t="shared" si="484"/>
        <v>0</v>
      </c>
      <c r="BD682" s="84">
        <f t="shared" si="485"/>
        <v>0</v>
      </c>
      <c r="BE682" s="84">
        <f t="shared" si="486"/>
        <v>0</v>
      </c>
      <c r="BF682" s="84">
        <f t="shared" si="487"/>
        <v>0</v>
      </c>
      <c r="BG682" s="84">
        <f t="shared" si="488"/>
        <v>0</v>
      </c>
      <c r="BH682" s="84">
        <f t="shared" si="489"/>
        <v>0</v>
      </c>
      <c r="BI682" s="84">
        <f t="shared" si="490"/>
        <v>0</v>
      </c>
      <c r="BJ682" s="84">
        <f t="shared" si="491"/>
        <v>0</v>
      </c>
      <c r="BK682" s="84">
        <f t="shared" si="492"/>
        <v>0</v>
      </c>
      <c r="BL682" s="84">
        <f t="shared" si="493"/>
        <v>0</v>
      </c>
      <c r="BM682" s="84">
        <f t="shared" si="494"/>
        <v>0</v>
      </c>
      <c r="BN682" s="84">
        <f t="shared" si="495"/>
        <v>0</v>
      </c>
      <c r="BO682" s="84">
        <f t="shared" si="496"/>
        <v>0</v>
      </c>
      <c r="BP682" s="84">
        <f t="shared" si="497"/>
        <v>0</v>
      </c>
      <c r="BQ682" s="84">
        <f t="shared" si="498"/>
        <v>0</v>
      </c>
      <c r="BR682" s="84">
        <f t="shared" si="499"/>
        <v>0</v>
      </c>
      <c r="BS682" s="84">
        <f t="shared" si="500"/>
        <v>0</v>
      </c>
      <c r="BT682" s="84">
        <f t="shared" si="501"/>
        <v>0</v>
      </c>
      <c r="BU682" s="84">
        <f t="shared" si="502"/>
        <v>0</v>
      </c>
      <c r="BV682" s="84">
        <f t="shared" si="503"/>
        <v>0</v>
      </c>
      <c r="BW682" s="84">
        <f t="shared" si="504"/>
        <v>0</v>
      </c>
      <c r="BX682" s="84">
        <f t="shared" si="505"/>
        <v>0</v>
      </c>
      <c r="BY682" s="84">
        <f t="shared" si="506"/>
        <v>0</v>
      </c>
      <c r="BZ682" s="84">
        <f t="shared" si="507"/>
        <v>0</v>
      </c>
      <c r="CA682" s="84">
        <f t="shared" si="508"/>
        <v>0</v>
      </c>
      <c r="CB682" s="84">
        <f t="shared" si="509"/>
        <v>0</v>
      </c>
      <c r="CC682" s="84">
        <f t="shared" si="510"/>
        <v>0</v>
      </c>
      <c r="CD682" s="84">
        <f t="shared" si="511"/>
        <v>0</v>
      </c>
    </row>
    <row r="683" spans="11:82" ht="12" customHeight="1" x14ac:dyDescent="0.35">
      <c r="K683" s="13"/>
      <c r="L683" s="13"/>
      <c r="M683" s="13"/>
      <c r="N683" s="13"/>
      <c r="O683" s="13"/>
      <c r="P683" s="13"/>
      <c r="Q683" s="13"/>
      <c r="R683" s="13"/>
      <c r="S683" s="13"/>
      <c r="T683" s="84">
        <f t="shared" si="451"/>
        <v>0</v>
      </c>
      <c r="U683" s="84"/>
      <c r="V683" s="84"/>
      <c r="W683" s="13">
        <f t="shared" si="452"/>
        <v>0</v>
      </c>
      <c r="X683" s="13">
        <f t="shared" si="453"/>
        <v>0</v>
      </c>
      <c r="Y683" s="13">
        <f t="shared" si="454"/>
        <v>0</v>
      </c>
      <c r="Z683" s="13">
        <f t="shared" si="455"/>
        <v>0</v>
      </c>
      <c r="AA683" s="13">
        <f t="shared" si="456"/>
        <v>0</v>
      </c>
      <c r="AB683" s="13">
        <f t="shared" si="457"/>
        <v>0</v>
      </c>
      <c r="AC683" s="13">
        <f t="shared" si="458"/>
        <v>0</v>
      </c>
      <c r="AD683" s="13">
        <f t="shared" si="459"/>
        <v>0</v>
      </c>
      <c r="AE683" s="13">
        <f t="shared" si="460"/>
        <v>0</v>
      </c>
      <c r="AF683" s="84">
        <f t="shared" si="461"/>
        <v>0</v>
      </c>
      <c r="AG683" s="84">
        <f t="shared" si="462"/>
        <v>0</v>
      </c>
      <c r="AH683" s="84">
        <f t="shared" si="463"/>
        <v>0</v>
      </c>
      <c r="AI683" s="84">
        <f t="shared" si="464"/>
        <v>0</v>
      </c>
      <c r="AJ683" s="84">
        <f t="shared" si="465"/>
        <v>0</v>
      </c>
      <c r="AK683" s="84">
        <f t="shared" si="466"/>
        <v>0</v>
      </c>
      <c r="AL683" s="84">
        <f t="shared" si="467"/>
        <v>0</v>
      </c>
      <c r="AM683" s="84">
        <f t="shared" si="468"/>
        <v>0</v>
      </c>
      <c r="AN683" s="84">
        <f t="shared" si="469"/>
        <v>0</v>
      </c>
      <c r="AO683" s="84">
        <f t="shared" si="470"/>
        <v>0</v>
      </c>
      <c r="AP683" s="84">
        <f t="shared" si="471"/>
        <v>0</v>
      </c>
      <c r="AQ683" s="84">
        <f t="shared" si="472"/>
        <v>0</v>
      </c>
      <c r="AR683" s="84">
        <f t="shared" si="473"/>
        <v>0</v>
      </c>
      <c r="AS683" s="84">
        <f t="shared" si="474"/>
        <v>0</v>
      </c>
      <c r="AT683" s="84">
        <f t="shared" si="475"/>
        <v>0</v>
      </c>
      <c r="AU683" s="84">
        <f t="shared" si="476"/>
        <v>0</v>
      </c>
      <c r="AV683" s="84">
        <f t="shared" si="477"/>
        <v>0</v>
      </c>
      <c r="AW683" s="84">
        <f t="shared" si="478"/>
        <v>0</v>
      </c>
      <c r="AX683" s="84">
        <f t="shared" si="479"/>
        <v>0</v>
      </c>
      <c r="AY683" s="84">
        <f t="shared" si="480"/>
        <v>0</v>
      </c>
      <c r="AZ683" s="84">
        <f t="shared" si="481"/>
        <v>0</v>
      </c>
      <c r="BA683" s="84">
        <f t="shared" si="482"/>
        <v>0</v>
      </c>
      <c r="BB683" s="84">
        <f t="shared" si="483"/>
        <v>0</v>
      </c>
      <c r="BC683" s="84">
        <f t="shared" si="484"/>
        <v>0</v>
      </c>
      <c r="BD683" s="84">
        <f t="shared" si="485"/>
        <v>0</v>
      </c>
      <c r="BE683" s="84">
        <f t="shared" si="486"/>
        <v>0</v>
      </c>
      <c r="BF683" s="84">
        <f t="shared" si="487"/>
        <v>0</v>
      </c>
      <c r="BG683" s="84">
        <f t="shared" si="488"/>
        <v>0</v>
      </c>
      <c r="BH683" s="84">
        <f t="shared" si="489"/>
        <v>0</v>
      </c>
      <c r="BI683" s="84">
        <f t="shared" si="490"/>
        <v>0</v>
      </c>
      <c r="BJ683" s="84">
        <f t="shared" si="491"/>
        <v>0</v>
      </c>
      <c r="BK683" s="84">
        <f t="shared" si="492"/>
        <v>0</v>
      </c>
      <c r="BL683" s="84">
        <f t="shared" si="493"/>
        <v>0</v>
      </c>
      <c r="BM683" s="84">
        <f t="shared" si="494"/>
        <v>0</v>
      </c>
      <c r="BN683" s="84">
        <f t="shared" si="495"/>
        <v>0</v>
      </c>
      <c r="BO683" s="84">
        <f t="shared" si="496"/>
        <v>0</v>
      </c>
      <c r="BP683" s="84">
        <f t="shared" si="497"/>
        <v>0</v>
      </c>
      <c r="BQ683" s="84">
        <f t="shared" si="498"/>
        <v>0</v>
      </c>
      <c r="BR683" s="84">
        <f t="shared" si="499"/>
        <v>0</v>
      </c>
      <c r="BS683" s="84">
        <f t="shared" si="500"/>
        <v>0</v>
      </c>
      <c r="BT683" s="84">
        <f t="shared" si="501"/>
        <v>0</v>
      </c>
      <c r="BU683" s="84">
        <f t="shared" si="502"/>
        <v>0</v>
      </c>
      <c r="BV683" s="84">
        <f t="shared" si="503"/>
        <v>0</v>
      </c>
      <c r="BW683" s="84">
        <f t="shared" si="504"/>
        <v>0</v>
      </c>
      <c r="BX683" s="84">
        <f t="shared" si="505"/>
        <v>0</v>
      </c>
      <c r="BY683" s="84">
        <f t="shared" si="506"/>
        <v>0</v>
      </c>
      <c r="BZ683" s="84">
        <f t="shared" si="507"/>
        <v>0</v>
      </c>
      <c r="CA683" s="84">
        <f t="shared" si="508"/>
        <v>0</v>
      </c>
      <c r="CB683" s="84">
        <f t="shared" si="509"/>
        <v>0</v>
      </c>
      <c r="CC683" s="84">
        <f t="shared" si="510"/>
        <v>0</v>
      </c>
      <c r="CD683" s="84">
        <f t="shared" si="511"/>
        <v>0</v>
      </c>
    </row>
    <row r="684" spans="11:82" ht="12" customHeight="1" x14ac:dyDescent="0.35">
      <c r="K684" s="13"/>
      <c r="L684" s="13"/>
      <c r="M684" s="13"/>
      <c r="N684" s="13"/>
      <c r="O684" s="13"/>
      <c r="P684" s="13"/>
      <c r="Q684" s="13"/>
      <c r="R684" s="13"/>
      <c r="S684" s="13"/>
      <c r="T684" s="84">
        <f t="shared" si="451"/>
        <v>0</v>
      </c>
      <c r="U684" s="84"/>
      <c r="V684" s="84"/>
      <c r="W684" s="13">
        <f t="shared" si="452"/>
        <v>0</v>
      </c>
      <c r="X684" s="13">
        <f t="shared" si="453"/>
        <v>0</v>
      </c>
      <c r="Y684" s="13">
        <f t="shared" si="454"/>
        <v>0</v>
      </c>
      <c r="Z684" s="13">
        <f t="shared" si="455"/>
        <v>0</v>
      </c>
      <c r="AA684" s="13">
        <f t="shared" si="456"/>
        <v>0</v>
      </c>
      <c r="AB684" s="13">
        <f t="shared" si="457"/>
        <v>0</v>
      </c>
      <c r="AC684" s="13">
        <f t="shared" si="458"/>
        <v>0</v>
      </c>
      <c r="AD684" s="13">
        <f t="shared" si="459"/>
        <v>0</v>
      </c>
      <c r="AE684" s="13">
        <f t="shared" si="460"/>
        <v>0</v>
      </c>
      <c r="AF684" s="84">
        <f t="shared" si="461"/>
        <v>0</v>
      </c>
      <c r="AG684" s="84">
        <f t="shared" si="462"/>
        <v>0</v>
      </c>
      <c r="AH684" s="84">
        <f t="shared" si="463"/>
        <v>0</v>
      </c>
      <c r="AI684" s="84">
        <f t="shared" si="464"/>
        <v>0</v>
      </c>
      <c r="AJ684" s="84">
        <f t="shared" si="465"/>
        <v>0</v>
      </c>
      <c r="AK684" s="84">
        <f t="shared" si="466"/>
        <v>0</v>
      </c>
      <c r="AL684" s="84">
        <f t="shared" si="467"/>
        <v>0</v>
      </c>
      <c r="AM684" s="84">
        <f t="shared" si="468"/>
        <v>0</v>
      </c>
      <c r="AN684" s="84">
        <f t="shared" si="469"/>
        <v>0</v>
      </c>
      <c r="AO684" s="84">
        <f t="shared" si="470"/>
        <v>0</v>
      </c>
      <c r="AP684" s="84">
        <f t="shared" si="471"/>
        <v>0</v>
      </c>
      <c r="AQ684" s="84">
        <f t="shared" si="472"/>
        <v>0</v>
      </c>
      <c r="AR684" s="84">
        <f t="shared" si="473"/>
        <v>0</v>
      </c>
      <c r="AS684" s="84">
        <f t="shared" si="474"/>
        <v>0</v>
      </c>
      <c r="AT684" s="84">
        <f t="shared" si="475"/>
        <v>0</v>
      </c>
      <c r="AU684" s="84">
        <f t="shared" si="476"/>
        <v>0</v>
      </c>
      <c r="AV684" s="84">
        <f t="shared" si="477"/>
        <v>0</v>
      </c>
      <c r="AW684" s="84">
        <f t="shared" si="478"/>
        <v>0</v>
      </c>
      <c r="AX684" s="84">
        <f t="shared" si="479"/>
        <v>0</v>
      </c>
      <c r="AY684" s="84">
        <f t="shared" si="480"/>
        <v>0</v>
      </c>
      <c r="AZ684" s="84">
        <f t="shared" si="481"/>
        <v>0</v>
      </c>
      <c r="BA684" s="84">
        <f t="shared" si="482"/>
        <v>0</v>
      </c>
      <c r="BB684" s="84">
        <f t="shared" si="483"/>
        <v>0</v>
      </c>
      <c r="BC684" s="84">
        <f t="shared" si="484"/>
        <v>0</v>
      </c>
      <c r="BD684" s="84">
        <f t="shared" si="485"/>
        <v>0</v>
      </c>
      <c r="BE684" s="84">
        <f t="shared" si="486"/>
        <v>0</v>
      </c>
      <c r="BF684" s="84">
        <f t="shared" si="487"/>
        <v>0</v>
      </c>
      <c r="BG684" s="84">
        <f t="shared" si="488"/>
        <v>0</v>
      </c>
      <c r="BH684" s="84">
        <f t="shared" si="489"/>
        <v>0</v>
      </c>
      <c r="BI684" s="84">
        <f t="shared" si="490"/>
        <v>0</v>
      </c>
      <c r="BJ684" s="84">
        <f t="shared" si="491"/>
        <v>0</v>
      </c>
      <c r="BK684" s="84">
        <f t="shared" si="492"/>
        <v>0</v>
      </c>
      <c r="BL684" s="84">
        <f t="shared" si="493"/>
        <v>0</v>
      </c>
      <c r="BM684" s="84">
        <f t="shared" si="494"/>
        <v>0</v>
      </c>
      <c r="BN684" s="84">
        <f t="shared" si="495"/>
        <v>0</v>
      </c>
      <c r="BO684" s="84">
        <f t="shared" si="496"/>
        <v>0</v>
      </c>
      <c r="BP684" s="84">
        <f t="shared" si="497"/>
        <v>0</v>
      </c>
      <c r="BQ684" s="84">
        <f t="shared" si="498"/>
        <v>0</v>
      </c>
      <c r="BR684" s="84">
        <f t="shared" si="499"/>
        <v>0</v>
      </c>
      <c r="BS684" s="84">
        <f t="shared" si="500"/>
        <v>0</v>
      </c>
      <c r="BT684" s="84">
        <f t="shared" si="501"/>
        <v>0</v>
      </c>
      <c r="BU684" s="84">
        <f t="shared" si="502"/>
        <v>0</v>
      </c>
      <c r="BV684" s="84">
        <f t="shared" si="503"/>
        <v>0</v>
      </c>
      <c r="BW684" s="84">
        <f t="shared" si="504"/>
        <v>0</v>
      </c>
      <c r="BX684" s="84">
        <f t="shared" si="505"/>
        <v>0</v>
      </c>
      <c r="BY684" s="84">
        <f t="shared" si="506"/>
        <v>0</v>
      </c>
      <c r="BZ684" s="84">
        <f t="shared" si="507"/>
        <v>0</v>
      </c>
      <c r="CA684" s="84">
        <f t="shared" si="508"/>
        <v>0</v>
      </c>
      <c r="CB684" s="84">
        <f t="shared" si="509"/>
        <v>0</v>
      </c>
      <c r="CC684" s="84">
        <f t="shared" si="510"/>
        <v>0</v>
      </c>
      <c r="CD684" s="84">
        <f t="shared" si="511"/>
        <v>0</v>
      </c>
    </row>
    <row r="685" spans="11:82" ht="12" customHeight="1" x14ac:dyDescent="0.35">
      <c r="K685" s="13"/>
      <c r="L685" s="13"/>
      <c r="M685" s="13"/>
      <c r="N685" s="13"/>
      <c r="O685" s="13"/>
      <c r="P685" s="13"/>
      <c r="Q685" s="13"/>
      <c r="R685" s="13"/>
      <c r="S685" s="13"/>
      <c r="T685" s="84">
        <f t="shared" si="451"/>
        <v>0</v>
      </c>
      <c r="U685" s="84"/>
      <c r="V685" s="84"/>
      <c r="W685" s="13">
        <f t="shared" si="452"/>
        <v>0</v>
      </c>
      <c r="X685" s="13">
        <f t="shared" si="453"/>
        <v>0</v>
      </c>
      <c r="Y685" s="13">
        <f t="shared" si="454"/>
        <v>0</v>
      </c>
      <c r="Z685" s="13">
        <f t="shared" si="455"/>
        <v>0</v>
      </c>
      <c r="AA685" s="13">
        <f t="shared" si="456"/>
        <v>0</v>
      </c>
      <c r="AB685" s="13">
        <f t="shared" si="457"/>
        <v>0</v>
      </c>
      <c r="AC685" s="13">
        <f t="shared" si="458"/>
        <v>0</v>
      </c>
      <c r="AD685" s="13">
        <f t="shared" si="459"/>
        <v>0</v>
      </c>
      <c r="AE685" s="13">
        <f t="shared" si="460"/>
        <v>0</v>
      </c>
      <c r="AF685" s="84">
        <f t="shared" si="461"/>
        <v>0</v>
      </c>
      <c r="AG685" s="84">
        <f t="shared" si="462"/>
        <v>0</v>
      </c>
      <c r="AH685" s="84">
        <f t="shared" si="463"/>
        <v>0</v>
      </c>
      <c r="AI685" s="84">
        <f t="shared" si="464"/>
        <v>0</v>
      </c>
      <c r="AJ685" s="84">
        <f t="shared" si="465"/>
        <v>0</v>
      </c>
      <c r="AK685" s="84">
        <f t="shared" si="466"/>
        <v>0</v>
      </c>
      <c r="AL685" s="84">
        <f t="shared" si="467"/>
        <v>0</v>
      </c>
      <c r="AM685" s="84">
        <f t="shared" si="468"/>
        <v>0</v>
      </c>
      <c r="AN685" s="84">
        <f t="shared" si="469"/>
        <v>0</v>
      </c>
      <c r="AO685" s="84">
        <f t="shared" si="470"/>
        <v>0</v>
      </c>
      <c r="AP685" s="84">
        <f t="shared" si="471"/>
        <v>0</v>
      </c>
      <c r="AQ685" s="84">
        <f t="shared" si="472"/>
        <v>0</v>
      </c>
      <c r="AR685" s="84">
        <f t="shared" si="473"/>
        <v>0</v>
      </c>
      <c r="AS685" s="84">
        <f t="shared" si="474"/>
        <v>0</v>
      </c>
      <c r="AT685" s="84">
        <f t="shared" si="475"/>
        <v>0</v>
      </c>
      <c r="AU685" s="84">
        <f t="shared" si="476"/>
        <v>0</v>
      </c>
      <c r="AV685" s="84">
        <f t="shared" si="477"/>
        <v>0</v>
      </c>
      <c r="AW685" s="84">
        <f t="shared" si="478"/>
        <v>0</v>
      </c>
      <c r="AX685" s="84">
        <f t="shared" si="479"/>
        <v>0</v>
      </c>
      <c r="AY685" s="84">
        <f t="shared" si="480"/>
        <v>0</v>
      </c>
      <c r="AZ685" s="84">
        <f t="shared" si="481"/>
        <v>0</v>
      </c>
      <c r="BA685" s="84">
        <f t="shared" si="482"/>
        <v>0</v>
      </c>
      <c r="BB685" s="84">
        <f t="shared" si="483"/>
        <v>0</v>
      </c>
      <c r="BC685" s="84">
        <f t="shared" si="484"/>
        <v>0</v>
      </c>
      <c r="BD685" s="84">
        <f t="shared" si="485"/>
        <v>0</v>
      </c>
      <c r="BE685" s="84">
        <f t="shared" si="486"/>
        <v>0</v>
      </c>
      <c r="BF685" s="84">
        <f t="shared" si="487"/>
        <v>0</v>
      </c>
      <c r="BG685" s="84">
        <f t="shared" si="488"/>
        <v>0</v>
      </c>
      <c r="BH685" s="84">
        <f t="shared" si="489"/>
        <v>0</v>
      </c>
      <c r="BI685" s="84">
        <f t="shared" si="490"/>
        <v>0</v>
      </c>
      <c r="BJ685" s="84">
        <f t="shared" si="491"/>
        <v>0</v>
      </c>
      <c r="BK685" s="84">
        <f t="shared" si="492"/>
        <v>0</v>
      </c>
      <c r="BL685" s="84">
        <f t="shared" si="493"/>
        <v>0</v>
      </c>
      <c r="BM685" s="84">
        <f t="shared" si="494"/>
        <v>0</v>
      </c>
      <c r="BN685" s="84">
        <f t="shared" si="495"/>
        <v>0</v>
      </c>
      <c r="BO685" s="84">
        <f t="shared" si="496"/>
        <v>0</v>
      </c>
      <c r="BP685" s="84">
        <f t="shared" si="497"/>
        <v>0</v>
      </c>
      <c r="BQ685" s="84">
        <f t="shared" si="498"/>
        <v>0</v>
      </c>
      <c r="BR685" s="84">
        <f t="shared" si="499"/>
        <v>0</v>
      </c>
      <c r="BS685" s="84">
        <f t="shared" si="500"/>
        <v>0</v>
      </c>
      <c r="BT685" s="84">
        <f t="shared" si="501"/>
        <v>0</v>
      </c>
      <c r="BU685" s="84">
        <f t="shared" si="502"/>
        <v>0</v>
      </c>
      <c r="BV685" s="84">
        <f t="shared" si="503"/>
        <v>0</v>
      </c>
      <c r="BW685" s="84">
        <f t="shared" si="504"/>
        <v>0</v>
      </c>
      <c r="BX685" s="84">
        <f t="shared" si="505"/>
        <v>0</v>
      </c>
      <c r="BY685" s="84">
        <f t="shared" si="506"/>
        <v>0</v>
      </c>
      <c r="BZ685" s="84">
        <f t="shared" si="507"/>
        <v>0</v>
      </c>
      <c r="CA685" s="84">
        <f t="shared" si="508"/>
        <v>0</v>
      </c>
      <c r="CB685" s="84">
        <f t="shared" si="509"/>
        <v>0</v>
      </c>
      <c r="CC685" s="84">
        <f t="shared" si="510"/>
        <v>0</v>
      </c>
      <c r="CD685" s="84">
        <f t="shared" si="511"/>
        <v>0</v>
      </c>
    </row>
    <row r="686" spans="11:82" ht="12" customHeight="1" x14ac:dyDescent="0.35">
      <c r="K686" s="13"/>
      <c r="L686" s="13"/>
      <c r="M686" s="13"/>
      <c r="N686" s="13"/>
      <c r="O686" s="13"/>
      <c r="P686" s="13"/>
      <c r="Q686" s="13"/>
      <c r="R686" s="13"/>
      <c r="S686" s="13"/>
      <c r="T686" s="84">
        <f t="shared" si="451"/>
        <v>0</v>
      </c>
      <c r="U686" s="84"/>
      <c r="V686" s="84"/>
      <c r="W686" s="13">
        <f t="shared" si="452"/>
        <v>0</v>
      </c>
      <c r="X686" s="13">
        <f t="shared" si="453"/>
        <v>0</v>
      </c>
      <c r="Y686" s="13">
        <f t="shared" si="454"/>
        <v>0</v>
      </c>
      <c r="Z686" s="13">
        <f t="shared" si="455"/>
        <v>0</v>
      </c>
      <c r="AA686" s="13">
        <f t="shared" si="456"/>
        <v>0</v>
      </c>
      <c r="AB686" s="13">
        <f t="shared" si="457"/>
        <v>0</v>
      </c>
      <c r="AC686" s="13">
        <f t="shared" si="458"/>
        <v>0</v>
      </c>
      <c r="AD686" s="13">
        <f t="shared" si="459"/>
        <v>0</v>
      </c>
      <c r="AE686" s="13">
        <f t="shared" si="460"/>
        <v>0</v>
      </c>
      <c r="AF686" s="84">
        <f t="shared" si="461"/>
        <v>0</v>
      </c>
      <c r="AG686" s="84">
        <f t="shared" si="462"/>
        <v>0</v>
      </c>
      <c r="AH686" s="84">
        <f t="shared" si="463"/>
        <v>0</v>
      </c>
      <c r="AI686" s="84">
        <f t="shared" si="464"/>
        <v>0</v>
      </c>
      <c r="AJ686" s="84">
        <f t="shared" si="465"/>
        <v>0</v>
      </c>
      <c r="AK686" s="84">
        <f t="shared" si="466"/>
        <v>0</v>
      </c>
      <c r="AL686" s="84">
        <f t="shared" si="467"/>
        <v>0</v>
      </c>
      <c r="AM686" s="84">
        <f t="shared" si="468"/>
        <v>0</v>
      </c>
      <c r="AN686" s="84">
        <f t="shared" si="469"/>
        <v>0</v>
      </c>
      <c r="AO686" s="84">
        <f t="shared" si="470"/>
        <v>0</v>
      </c>
      <c r="AP686" s="84">
        <f t="shared" si="471"/>
        <v>0</v>
      </c>
      <c r="AQ686" s="84">
        <f t="shared" si="472"/>
        <v>0</v>
      </c>
      <c r="AR686" s="84">
        <f t="shared" si="473"/>
        <v>0</v>
      </c>
      <c r="AS686" s="84">
        <f t="shared" si="474"/>
        <v>0</v>
      </c>
      <c r="AT686" s="84">
        <f t="shared" si="475"/>
        <v>0</v>
      </c>
      <c r="AU686" s="84">
        <f t="shared" si="476"/>
        <v>0</v>
      </c>
      <c r="AV686" s="84">
        <f t="shared" si="477"/>
        <v>0</v>
      </c>
      <c r="AW686" s="84">
        <f t="shared" si="478"/>
        <v>0</v>
      </c>
      <c r="AX686" s="84">
        <f t="shared" si="479"/>
        <v>0</v>
      </c>
      <c r="AY686" s="84">
        <f t="shared" si="480"/>
        <v>0</v>
      </c>
      <c r="AZ686" s="84">
        <f t="shared" si="481"/>
        <v>0</v>
      </c>
      <c r="BA686" s="84">
        <f t="shared" si="482"/>
        <v>0</v>
      </c>
      <c r="BB686" s="84">
        <f t="shared" si="483"/>
        <v>0</v>
      </c>
      <c r="BC686" s="84">
        <f t="shared" si="484"/>
        <v>0</v>
      </c>
      <c r="BD686" s="84">
        <f t="shared" si="485"/>
        <v>0</v>
      </c>
      <c r="BE686" s="84">
        <f t="shared" si="486"/>
        <v>0</v>
      </c>
      <c r="BF686" s="84">
        <f t="shared" si="487"/>
        <v>0</v>
      </c>
      <c r="BG686" s="84">
        <f t="shared" si="488"/>
        <v>0</v>
      </c>
      <c r="BH686" s="84">
        <f t="shared" si="489"/>
        <v>0</v>
      </c>
      <c r="BI686" s="84">
        <f t="shared" si="490"/>
        <v>0</v>
      </c>
      <c r="BJ686" s="84">
        <f t="shared" si="491"/>
        <v>0</v>
      </c>
      <c r="BK686" s="84">
        <f t="shared" si="492"/>
        <v>0</v>
      </c>
      <c r="BL686" s="84">
        <f t="shared" si="493"/>
        <v>0</v>
      </c>
      <c r="BM686" s="84">
        <f t="shared" si="494"/>
        <v>0</v>
      </c>
      <c r="BN686" s="84">
        <f t="shared" si="495"/>
        <v>0</v>
      </c>
      <c r="BO686" s="84">
        <f t="shared" si="496"/>
        <v>0</v>
      </c>
      <c r="BP686" s="84">
        <f t="shared" si="497"/>
        <v>0</v>
      </c>
      <c r="BQ686" s="84">
        <f t="shared" si="498"/>
        <v>0</v>
      </c>
      <c r="BR686" s="84">
        <f t="shared" si="499"/>
        <v>0</v>
      </c>
      <c r="BS686" s="84">
        <f t="shared" si="500"/>
        <v>0</v>
      </c>
      <c r="BT686" s="84">
        <f t="shared" si="501"/>
        <v>0</v>
      </c>
      <c r="BU686" s="84">
        <f t="shared" si="502"/>
        <v>0</v>
      </c>
      <c r="BV686" s="84">
        <f t="shared" si="503"/>
        <v>0</v>
      </c>
      <c r="BW686" s="84">
        <f t="shared" si="504"/>
        <v>0</v>
      </c>
      <c r="BX686" s="84">
        <f t="shared" si="505"/>
        <v>0</v>
      </c>
      <c r="BY686" s="84">
        <f t="shared" si="506"/>
        <v>0</v>
      </c>
      <c r="BZ686" s="84">
        <f t="shared" si="507"/>
        <v>0</v>
      </c>
      <c r="CA686" s="84">
        <f t="shared" si="508"/>
        <v>0</v>
      </c>
      <c r="CB686" s="84">
        <f t="shared" si="509"/>
        <v>0</v>
      </c>
      <c r="CC686" s="84">
        <f t="shared" si="510"/>
        <v>0</v>
      </c>
      <c r="CD686" s="84">
        <f t="shared" si="511"/>
        <v>0</v>
      </c>
    </row>
    <row r="687" spans="11:82" ht="12" customHeight="1" x14ac:dyDescent="0.35">
      <c r="K687"/>
      <c r="L687"/>
      <c r="M687"/>
      <c r="N687"/>
      <c r="O687"/>
      <c r="P687"/>
      <c r="Q687"/>
      <c r="R687"/>
      <c r="S687"/>
      <c r="T687" s="84"/>
      <c r="U687" s="84"/>
      <c r="V687" s="84"/>
      <c r="W687" s="104">
        <f t="shared" ref="W687:AE687" si="512">SUM(W637:W686)</f>
        <v>0</v>
      </c>
      <c r="X687" s="104">
        <f t="shared" si="512"/>
        <v>0</v>
      </c>
      <c r="Y687" s="104">
        <f t="shared" si="512"/>
        <v>0</v>
      </c>
      <c r="Z687" s="104">
        <f t="shared" si="512"/>
        <v>0</v>
      </c>
      <c r="AA687" s="104">
        <f t="shared" si="512"/>
        <v>0</v>
      </c>
      <c r="AB687" s="104">
        <f t="shared" si="512"/>
        <v>0</v>
      </c>
      <c r="AC687" s="104">
        <f t="shared" si="512"/>
        <v>0</v>
      </c>
      <c r="AD687" s="104">
        <f t="shared" si="512"/>
        <v>0</v>
      </c>
      <c r="AE687" s="104">
        <f t="shared" si="512"/>
        <v>0</v>
      </c>
      <c r="AF687" s="690">
        <f t="shared" ref="AF687:BB687" si="513">SUM(AF637:AF686)</f>
        <v>0</v>
      </c>
      <c r="AG687" s="690">
        <f t="shared" si="513"/>
        <v>0</v>
      </c>
      <c r="AH687" s="690">
        <f t="shared" si="513"/>
        <v>0</v>
      </c>
      <c r="AI687" s="690">
        <f t="shared" si="513"/>
        <v>0</v>
      </c>
      <c r="AJ687" s="690">
        <f t="shared" si="513"/>
        <v>0</v>
      </c>
      <c r="AK687" s="690">
        <f t="shared" si="513"/>
        <v>0</v>
      </c>
      <c r="AL687" s="690">
        <f t="shared" si="513"/>
        <v>0</v>
      </c>
      <c r="AM687" s="690">
        <f t="shared" si="513"/>
        <v>0</v>
      </c>
      <c r="AN687" s="690">
        <f t="shared" si="513"/>
        <v>0</v>
      </c>
      <c r="AO687" s="690">
        <f t="shared" si="513"/>
        <v>0</v>
      </c>
      <c r="AP687" s="690">
        <f t="shared" si="513"/>
        <v>0</v>
      </c>
      <c r="AQ687" s="690">
        <f t="shared" si="513"/>
        <v>0</v>
      </c>
      <c r="AR687" s="690">
        <f t="shared" si="513"/>
        <v>0</v>
      </c>
      <c r="AS687" s="690">
        <f t="shared" si="513"/>
        <v>0</v>
      </c>
      <c r="AT687" s="690">
        <f t="shared" si="513"/>
        <v>0</v>
      </c>
      <c r="AU687" s="690">
        <f t="shared" si="513"/>
        <v>0</v>
      </c>
      <c r="AV687" s="690">
        <f t="shared" si="513"/>
        <v>0</v>
      </c>
      <c r="AW687" s="690">
        <f t="shared" si="513"/>
        <v>0</v>
      </c>
      <c r="AX687" s="690">
        <f t="shared" si="513"/>
        <v>0</v>
      </c>
      <c r="AY687" s="690">
        <f t="shared" si="513"/>
        <v>0</v>
      </c>
      <c r="AZ687" s="690">
        <f t="shared" si="513"/>
        <v>0</v>
      </c>
      <c r="BA687" s="690">
        <f t="shared" si="513"/>
        <v>0</v>
      </c>
      <c r="BB687" s="690">
        <f t="shared" si="513"/>
        <v>0</v>
      </c>
      <c r="BC687" s="690">
        <f t="shared" ref="BC687:CD687" si="514">SUM(BC637:BC686)</f>
        <v>0</v>
      </c>
      <c r="BD687" s="690">
        <f t="shared" si="514"/>
        <v>0</v>
      </c>
      <c r="BE687" s="690">
        <f t="shared" si="514"/>
        <v>0</v>
      </c>
      <c r="BF687" s="690">
        <f t="shared" si="514"/>
        <v>0</v>
      </c>
      <c r="BG687" s="690">
        <f t="shared" si="514"/>
        <v>0</v>
      </c>
      <c r="BH687" s="690">
        <f t="shared" si="514"/>
        <v>0</v>
      </c>
      <c r="BI687" s="690">
        <f t="shared" si="514"/>
        <v>0</v>
      </c>
      <c r="BJ687" s="690">
        <f t="shared" si="514"/>
        <v>0</v>
      </c>
      <c r="BK687" s="690">
        <f t="shared" si="514"/>
        <v>0</v>
      </c>
      <c r="BL687" s="690">
        <f t="shared" si="514"/>
        <v>0</v>
      </c>
      <c r="BM687" s="690">
        <f t="shared" si="514"/>
        <v>0</v>
      </c>
      <c r="BN687" s="690">
        <f t="shared" si="514"/>
        <v>0</v>
      </c>
      <c r="BO687" s="690">
        <f t="shared" si="514"/>
        <v>0</v>
      </c>
      <c r="BP687" s="690">
        <f t="shared" si="514"/>
        <v>0</v>
      </c>
      <c r="BQ687" s="690">
        <f t="shared" si="514"/>
        <v>0</v>
      </c>
      <c r="BR687" s="690">
        <f t="shared" si="514"/>
        <v>0</v>
      </c>
      <c r="BS687" s="690">
        <f t="shared" si="514"/>
        <v>0</v>
      </c>
      <c r="BT687" s="690">
        <f t="shared" si="514"/>
        <v>0</v>
      </c>
      <c r="BU687" s="690">
        <f t="shared" si="514"/>
        <v>0</v>
      </c>
      <c r="BV687" s="690">
        <f t="shared" si="514"/>
        <v>0</v>
      </c>
      <c r="BW687" s="690">
        <f t="shared" si="514"/>
        <v>0</v>
      </c>
      <c r="BX687" s="690">
        <f t="shared" si="514"/>
        <v>0</v>
      </c>
      <c r="BY687" s="690">
        <f t="shared" si="514"/>
        <v>0</v>
      </c>
      <c r="BZ687" s="690">
        <f t="shared" si="514"/>
        <v>0</v>
      </c>
      <c r="CA687" s="690">
        <f t="shared" si="514"/>
        <v>0</v>
      </c>
      <c r="CB687" s="690">
        <f t="shared" si="514"/>
        <v>0</v>
      </c>
      <c r="CC687" s="690">
        <f t="shared" si="514"/>
        <v>0</v>
      </c>
      <c r="CD687" s="690">
        <f t="shared" si="514"/>
        <v>0</v>
      </c>
    </row>
    <row r="688" spans="11:82" ht="12" customHeight="1" x14ac:dyDescent="0.35">
      <c r="K688"/>
      <c r="L688"/>
      <c r="M688"/>
      <c r="N688"/>
      <c r="O688"/>
      <c r="P688"/>
      <c r="Q688"/>
      <c r="R688"/>
      <c r="S688"/>
      <c r="T688" s="84"/>
      <c r="U688" s="84"/>
      <c r="V688" s="84"/>
      <c r="W688" s="1"/>
      <c r="X688" s="1"/>
      <c r="Y688" s="42"/>
      <c r="Z688" s="42"/>
      <c r="AA688" s="42"/>
      <c r="AB688" s="42"/>
      <c r="AC688" s="42"/>
      <c r="AD688" s="42"/>
      <c r="AE688" s="42"/>
      <c r="AF688" s="61"/>
      <c r="AG688" s="61"/>
      <c r="AH688" s="61"/>
      <c r="AI688" s="61"/>
      <c r="AJ688" s="61"/>
      <c r="AK688" s="61"/>
      <c r="AL688" s="61"/>
      <c r="AM688" s="61"/>
      <c r="AN688" s="61"/>
      <c r="AO688" s="61"/>
      <c r="AP688" s="61"/>
      <c r="AQ688" s="61"/>
      <c r="AR688" s="61"/>
      <c r="AS688" s="61"/>
      <c r="AT688" s="61"/>
      <c r="AU688" s="61"/>
      <c r="AV688" s="61"/>
      <c r="AW688" s="61"/>
      <c r="AX688" s="61"/>
      <c r="AY688" s="61"/>
      <c r="AZ688" s="61"/>
      <c r="BA688" s="61"/>
      <c r="BB688" s="61"/>
      <c r="BC688" s="61"/>
      <c r="BD688" s="61"/>
      <c r="BE688" s="61"/>
      <c r="BF688" s="61"/>
      <c r="BG688" s="61"/>
      <c r="BH688" s="61"/>
      <c r="BI688" s="61"/>
      <c r="BJ688" s="61"/>
      <c r="BK688" s="61"/>
      <c r="BL688" s="61"/>
      <c r="BM688" s="61"/>
      <c r="BN688" s="61"/>
      <c r="BO688" s="61"/>
      <c r="BP688" s="61"/>
      <c r="BQ688" s="61"/>
      <c r="BR688" s="61"/>
      <c r="BS688" s="61"/>
      <c r="BT688" s="61"/>
      <c r="BU688" s="61"/>
      <c r="BV688" s="61"/>
      <c r="BW688" s="61"/>
      <c r="BX688" s="61"/>
      <c r="BY688" s="61"/>
      <c r="BZ688" s="61"/>
      <c r="CA688" s="61"/>
      <c r="CB688" s="61"/>
      <c r="CC688" s="61"/>
      <c r="CD688" s="61"/>
    </row>
    <row r="689" spans="11:91" ht="12" customHeight="1" x14ac:dyDescent="0.35">
      <c r="K689"/>
      <c r="L689"/>
      <c r="M689"/>
      <c r="N689"/>
      <c r="O689"/>
      <c r="P689"/>
      <c r="Q689"/>
      <c r="R689"/>
      <c r="S689"/>
      <c r="T689"/>
      <c r="U689" s="1"/>
      <c r="V689" s="1"/>
      <c r="W689" s="1"/>
      <c r="X689" s="1"/>
      <c r="Y689" s="1"/>
      <c r="Z689" s="1"/>
      <c r="AA689" s="1"/>
      <c r="AB689" s="1"/>
      <c r="AC689" s="1"/>
      <c r="AD689" s="1"/>
      <c r="AE689" s="1"/>
      <c r="AF689" s="429"/>
      <c r="AG689" s="429"/>
      <c r="AH689" s="429"/>
      <c r="AI689" s="429"/>
      <c r="AJ689" s="429"/>
      <c r="AK689" s="429"/>
      <c r="AL689" s="429"/>
      <c r="AM689" s="429"/>
      <c r="AN689" s="429"/>
      <c r="AO689" s="429"/>
      <c r="AP689" s="429"/>
      <c r="AQ689" s="429"/>
      <c r="AR689" s="429"/>
      <c r="AS689" s="429"/>
      <c r="AT689" s="429"/>
      <c r="AU689" s="429"/>
      <c r="AV689" s="429"/>
      <c r="AW689" s="429"/>
      <c r="AX689" s="429"/>
      <c r="AY689" s="429"/>
      <c r="AZ689" s="429"/>
      <c r="BA689" s="429"/>
      <c r="BB689" s="429"/>
      <c r="BC689" s="429"/>
      <c r="BD689" s="429"/>
      <c r="BE689" s="429"/>
      <c r="BF689" s="429"/>
      <c r="BG689" s="429"/>
      <c r="BH689" s="429"/>
      <c r="BI689" s="429"/>
      <c r="BJ689" s="429"/>
      <c r="BK689" s="429"/>
      <c r="BL689" s="429"/>
      <c r="BM689" s="429"/>
      <c r="BN689" s="429"/>
      <c r="BO689" s="429"/>
      <c r="BP689" s="429"/>
      <c r="BQ689" s="429"/>
      <c r="BR689" s="429"/>
      <c r="BS689" s="429"/>
      <c r="BT689" s="429"/>
      <c r="BU689" s="429"/>
      <c r="BV689" s="429"/>
      <c r="BW689" s="429"/>
      <c r="BX689" s="429"/>
      <c r="BY689" s="429"/>
      <c r="BZ689" s="429"/>
      <c r="CA689" s="429"/>
      <c r="CB689" s="429"/>
      <c r="CC689" s="429"/>
      <c r="CD689" s="429"/>
      <c r="CE689" s="1183"/>
      <c r="CF689" s="1183"/>
      <c r="CG689" s="1183"/>
      <c r="CH689" s="1183"/>
      <c r="CI689" s="1183"/>
      <c r="CJ689" s="1183"/>
      <c r="CK689" s="1183"/>
      <c r="CL689" s="1183"/>
      <c r="CM689" s="1183"/>
    </row>
    <row r="690" spans="11:91" ht="12" customHeight="1" x14ac:dyDescent="0.35">
      <c r="K690"/>
      <c r="L690"/>
      <c r="M690"/>
      <c r="N690"/>
      <c r="O690"/>
      <c r="P690"/>
      <c r="Q690"/>
      <c r="R690"/>
      <c r="S690"/>
      <c r="T690"/>
      <c r="U690" s="1"/>
      <c r="V690" s="1"/>
      <c r="W690" s="1"/>
      <c r="X690" s="1"/>
      <c r="Y690" s="1"/>
      <c r="Z690" s="1"/>
      <c r="AA690" s="1"/>
      <c r="AB690" s="1"/>
      <c r="AC690" s="1"/>
      <c r="AD690" s="1"/>
      <c r="AE690" s="1"/>
      <c r="AF690" s="429"/>
      <c r="AG690" s="429"/>
      <c r="AH690" s="429"/>
      <c r="AI690" s="429"/>
      <c r="AJ690" s="429"/>
      <c r="AK690" s="429"/>
      <c r="AL690" s="429"/>
      <c r="AM690" s="429"/>
      <c r="AN690" s="429"/>
      <c r="AO690" s="429"/>
      <c r="AP690" s="429"/>
      <c r="AQ690" s="429"/>
      <c r="AR690" s="429"/>
      <c r="AS690" s="429"/>
      <c r="AT690" s="429"/>
      <c r="AU690" s="429"/>
      <c r="AV690" s="429"/>
      <c r="AW690" s="429"/>
      <c r="AX690" s="429"/>
      <c r="AY690" s="429"/>
      <c r="AZ690" s="429"/>
      <c r="BA690" s="429"/>
      <c r="BB690" s="429"/>
      <c r="BC690" s="429"/>
      <c r="BD690" s="429"/>
      <c r="BE690" s="429"/>
      <c r="BF690" s="429"/>
      <c r="BG690" s="429"/>
      <c r="BH690" s="429"/>
      <c r="BI690" s="429"/>
      <c r="BJ690" s="429"/>
      <c r="BK690" s="429"/>
      <c r="BL690" s="429"/>
      <c r="BM690" s="429"/>
      <c r="BN690" s="429"/>
      <c r="BO690" s="429"/>
      <c r="BP690" s="429"/>
      <c r="BQ690" s="429"/>
      <c r="BR690" s="429"/>
      <c r="BS690" s="429"/>
      <c r="BT690" s="429"/>
      <c r="BU690" s="429"/>
      <c r="BV690" s="429"/>
      <c r="BW690" s="429"/>
      <c r="BX690" s="429"/>
      <c r="BY690" s="429"/>
      <c r="BZ690" s="429"/>
      <c r="CA690" s="429"/>
      <c r="CB690" s="429"/>
      <c r="CC690" s="429"/>
      <c r="CD690" s="429"/>
      <c r="CE690" s="1183"/>
      <c r="CF690" s="1183"/>
      <c r="CG690" s="1183"/>
      <c r="CH690" s="1183"/>
      <c r="CI690" s="1183"/>
      <c r="CJ690" s="1183"/>
      <c r="CK690" s="1183"/>
      <c r="CL690" s="1183"/>
      <c r="CM690" s="1183"/>
    </row>
    <row r="691" spans="11:91" ht="12" customHeight="1" x14ac:dyDescent="0.35">
      <c r="K691"/>
      <c r="L691"/>
      <c r="M691"/>
      <c r="N691"/>
      <c r="O691"/>
      <c r="P691"/>
      <c r="Q691"/>
      <c r="R691"/>
      <c r="S691"/>
      <c r="T691"/>
      <c r="U691" s="1"/>
      <c r="V691" s="1"/>
      <c r="W691" s="1"/>
      <c r="X691" s="1"/>
      <c r="Y691" s="1"/>
      <c r="Z691" s="1"/>
      <c r="AA691" s="1"/>
      <c r="AB691" s="1"/>
      <c r="AC691" s="1"/>
      <c r="AD691" s="1"/>
      <c r="AE691" s="1"/>
      <c r="AF691" s="429"/>
      <c r="AG691" s="429"/>
      <c r="AH691" s="429"/>
      <c r="AI691" s="429"/>
      <c r="AJ691" s="429"/>
      <c r="AK691" s="429"/>
      <c r="AL691" s="429"/>
      <c r="AM691" s="429"/>
      <c r="AN691" s="429"/>
      <c r="AO691" s="429"/>
      <c r="AP691" s="429"/>
      <c r="AQ691" s="429"/>
      <c r="AR691" s="429"/>
      <c r="AS691" s="429"/>
      <c r="AT691" s="429"/>
      <c r="AU691" s="429"/>
      <c r="AV691" s="429"/>
      <c r="AW691" s="429"/>
      <c r="AX691" s="429"/>
      <c r="AY691" s="429"/>
      <c r="AZ691" s="429"/>
      <c r="BA691" s="429"/>
      <c r="BB691" s="429"/>
      <c r="BC691" s="429"/>
      <c r="BD691" s="429"/>
      <c r="BE691" s="429"/>
      <c r="BF691" s="429"/>
      <c r="BG691" s="429"/>
      <c r="BH691" s="429"/>
      <c r="BI691" s="429"/>
      <c r="BJ691" s="429"/>
      <c r="BK691" s="429"/>
      <c r="BL691" s="429"/>
      <c r="BM691" s="429"/>
      <c r="BN691" s="429"/>
      <c r="BO691" s="429"/>
      <c r="BP691" s="429"/>
      <c r="BQ691" s="429"/>
      <c r="BR691" s="429"/>
      <c r="BS691" s="429"/>
      <c r="BT691" s="429"/>
      <c r="BU691" s="429"/>
      <c r="BV691" s="429"/>
      <c r="BW691" s="429"/>
      <c r="BX691" s="429"/>
      <c r="BY691" s="429"/>
      <c r="BZ691" s="429"/>
      <c r="CA691" s="429"/>
      <c r="CB691" s="429"/>
      <c r="CC691" s="429"/>
      <c r="CD691" s="429"/>
      <c r="CE691" s="1183"/>
      <c r="CF691" s="1183"/>
      <c r="CG691" s="1183"/>
      <c r="CH691" s="1183"/>
      <c r="CI691" s="1183"/>
      <c r="CJ691" s="1183"/>
      <c r="CK691" s="1183"/>
      <c r="CL691" s="1183"/>
      <c r="CM691" s="1183"/>
    </row>
    <row r="692" spans="11:91" ht="12" customHeight="1" x14ac:dyDescent="0.35">
      <c r="K692" s="1300"/>
      <c r="L692" s="1300"/>
      <c r="M692" s="1300"/>
      <c r="N692" s="1300"/>
      <c r="O692" s="1300"/>
      <c r="P692" s="1300"/>
      <c r="Q692" s="1300"/>
      <c r="R692" s="1300"/>
      <c r="S692" s="1300"/>
      <c r="T692" s="1300"/>
      <c r="U692" s="1804"/>
      <c r="V692" s="1804"/>
      <c r="W692" s="1804"/>
      <c r="X692" s="1804"/>
      <c r="Y692" s="1804"/>
      <c r="Z692" s="1804"/>
      <c r="AA692" s="1804"/>
      <c r="AB692" s="1804"/>
      <c r="AC692" s="1804"/>
      <c r="AD692" s="1804"/>
      <c r="AE692" s="1804"/>
      <c r="AF692" s="1183"/>
      <c r="AG692" s="1183"/>
      <c r="AH692" s="1183"/>
      <c r="AI692" s="1183"/>
      <c r="AJ692" s="1183"/>
      <c r="AK692" s="1183"/>
      <c r="AL692" s="1183"/>
      <c r="AM692" s="1183"/>
      <c r="AN692" s="1183"/>
      <c r="AO692" s="1183"/>
      <c r="AP692" s="1183"/>
      <c r="AQ692" s="1183"/>
      <c r="AR692" s="1183"/>
      <c r="AS692" s="1183"/>
      <c r="AT692" s="1183"/>
      <c r="AU692" s="1183"/>
      <c r="AV692" s="1183"/>
      <c r="AW692" s="1183"/>
      <c r="AX692" s="1183"/>
      <c r="AY692" s="1183"/>
      <c r="AZ692" s="1183"/>
      <c r="BA692" s="1183"/>
      <c r="BB692" s="1183"/>
      <c r="BC692" s="1183"/>
      <c r="BD692" s="1183"/>
      <c r="BE692" s="1183"/>
      <c r="BF692" s="1183"/>
      <c r="BG692" s="1183"/>
      <c r="BH692" s="1183"/>
      <c r="BI692" s="1183"/>
      <c r="BJ692" s="1183"/>
      <c r="BK692" s="1183"/>
      <c r="BL692" s="1183"/>
      <c r="BM692" s="1183"/>
      <c r="BN692" s="1183"/>
      <c r="BO692" s="1183"/>
      <c r="BP692" s="1183"/>
      <c r="BQ692" s="1183"/>
      <c r="BR692" s="1183"/>
      <c r="BS692" s="1183"/>
      <c r="BT692" s="1183"/>
      <c r="BU692" s="1183"/>
      <c r="BV692" s="1183"/>
      <c r="BW692" s="1183"/>
      <c r="BX692" s="1183"/>
      <c r="BY692" s="1183"/>
      <c r="BZ692" s="1183"/>
      <c r="CA692" s="1183"/>
      <c r="CB692" s="1183"/>
      <c r="CC692" s="1183"/>
      <c r="CD692" s="1183"/>
      <c r="CE692" s="1183"/>
      <c r="CF692" s="1183"/>
      <c r="CG692" s="1183"/>
      <c r="CH692" s="1183"/>
      <c r="CI692" s="1183"/>
      <c r="CJ692" s="1183"/>
      <c r="CK692" s="1183"/>
      <c r="CL692" s="1183"/>
      <c r="CM692" s="1183"/>
    </row>
    <row r="693" spans="11:91" ht="12" customHeight="1" x14ac:dyDescent="0.35">
      <c r="K693" s="1300"/>
      <c r="L693" s="1300"/>
      <c r="M693" s="1300"/>
      <c r="N693" s="1300"/>
      <c r="O693" s="1300"/>
      <c r="P693" s="1300"/>
      <c r="Q693" s="1300"/>
      <c r="R693" s="1300"/>
      <c r="S693" s="1300"/>
      <c r="T693" s="1300"/>
      <c r="U693" s="1804"/>
      <c r="V693" s="1804"/>
      <c r="W693" s="1804"/>
      <c r="X693" s="1804"/>
      <c r="Y693" s="1804"/>
      <c r="Z693" s="1804"/>
      <c r="AA693" s="1804"/>
      <c r="AB693" s="1804"/>
      <c r="AC693" s="1804"/>
      <c r="AD693" s="1804"/>
      <c r="AE693" s="1804"/>
      <c r="AF693" s="1183"/>
      <c r="AG693" s="1183"/>
      <c r="AH693" s="1183"/>
      <c r="AI693" s="1183"/>
      <c r="AJ693" s="1183"/>
      <c r="AK693" s="1183"/>
      <c r="AL693" s="1183"/>
      <c r="AM693" s="1183"/>
      <c r="AN693" s="1183"/>
      <c r="AO693" s="1183"/>
      <c r="AP693" s="1183"/>
      <c r="AQ693" s="1183"/>
      <c r="AR693" s="1183"/>
      <c r="AS693" s="1183"/>
      <c r="AT693" s="1183"/>
      <c r="AU693" s="1183"/>
      <c r="AV693" s="1183"/>
      <c r="AW693" s="1183"/>
      <c r="AX693" s="1183"/>
      <c r="AY693" s="1183"/>
      <c r="AZ693" s="1183"/>
      <c r="BA693" s="1183"/>
      <c r="BB693" s="1183"/>
      <c r="BC693" s="1183"/>
      <c r="BD693" s="1183"/>
      <c r="BE693" s="1183"/>
      <c r="BF693" s="1183"/>
      <c r="BG693" s="1183"/>
      <c r="BH693" s="1183"/>
      <c r="BI693" s="1183"/>
      <c r="BJ693" s="1183"/>
      <c r="BK693" s="1183"/>
      <c r="BL693" s="1183"/>
      <c r="BM693" s="1183"/>
      <c r="BN693" s="1183"/>
      <c r="BO693" s="1183"/>
      <c r="BP693" s="1183"/>
      <c r="BQ693" s="1183"/>
      <c r="BR693" s="1183"/>
      <c r="BS693" s="1183"/>
      <c r="BT693" s="1183"/>
      <c r="BU693" s="1183"/>
      <c r="BV693" s="1183"/>
      <c r="BW693" s="1183"/>
      <c r="BX693" s="1183"/>
      <c r="BY693" s="1183"/>
      <c r="BZ693" s="1183"/>
      <c r="CA693" s="1183"/>
      <c r="CB693" s="1183"/>
      <c r="CC693" s="1183"/>
      <c r="CD693" s="1183"/>
      <c r="CE693" s="1183"/>
      <c r="CF693" s="1183"/>
      <c r="CG693" s="1183"/>
      <c r="CH693" s="1183"/>
      <c r="CI693" s="1183"/>
      <c r="CJ693" s="1183"/>
      <c r="CK693" s="1183"/>
      <c r="CL693" s="1183"/>
      <c r="CM693" s="1183"/>
    </row>
    <row r="694" spans="11:91" ht="12" customHeight="1" x14ac:dyDescent="0.35">
      <c r="K694" s="1300"/>
      <c r="L694" s="1300"/>
      <c r="M694" s="1300"/>
      <c r="N694" s="1300"/>
      <c r="O694" s="1300"/>
      <c r="P694" s="1300"/>
      <c r="Q694" s="1300"/>
      <c r="R694" s="1300"/>
      <c r="S694" s="1300"/>
      <c r="T694" s="1300"/>
      <c r="U694" s="1804"/>
      <c r="V694" s="1804"/>
      <c r="W694" s="1804"/>
      <c r="X694" s="1804"/>
      <c r="Y694" s="1804"/>
      <c r="Z694" s="1804"/>
      <c r="AA694" s="1804"/>
      <c r="AB694" s="1804"/>
      <c r="AC694" s="1804"/>
      <c r="AD694" s="1804"/>
      <c r="AE694" s="1804"/>
      <c r="AF694" s="1183"/>
      <c r="AG694" s="1183"/>
      <c r="AH694" s="1183"/>
      <c r="AI694" s="1183"/>
      <c r="AJ694" s="1183"/>
      <c r="AK694" s="1183"/>
      <c r="AL694" s="1183"/>
      <c r="AM694" s="1183"/>
      <c r="AN694" s="1183"/>
      <c r="AO694" s="1183"/>
      <c r="AP694" s="1183"/>
      <c r="AQ694" s="1183"/>
      <c r="AR694" s="1183"/>
      <c r="AS694" s="1183"/>
      <c r="AT694" s="1183"/>
      <c r="AU694" s="1183"/>
      <c r="AV694" s="1183"/>
      <c r="AW694" s="1183"/>
      <c r="AX694" s="1183"/>
      <c r="AY694" s="1183"/>
      <c r="AZ694" s="1183"/>
      <c r="BA694" s="1183"/>
      <c r="BB694" s="1183"/>
      <c r="BC694" s="1183"/>
      <c r="BD694" s="1183"/>
      <c r="BE694" s="1183"/>
      <c r="BF694" s="1183"/>
      <c r="BG694" s="1183"/>
      <c r="BH694" s="1183"/>
      <c r="BI694" s="1183"/>
      <c r="BJ694" s="1183"/>
      <c r="BK694" s="1183"/>
      <c r="BL694" s="1183"/>
      <c r="BM694" s="1183"/>
      <c r="BN694" s="1183"/>
      <c r="BO694" s="1183"/>
      <c r="BP694" s="1183"/>
      <c r="BQ694" s="1183"/>
      <c r="BR694" s="1183"/>
      <c r="BS694" s="1183"/>
      <c r="BT694" s="1183"/>
      <c r="BU694" s="1183"/>
      <c r="BV694" s="1183"/>
      <c r="BW694" s="1183"/>
      <c r="BX694" s="1183"/>
      <c r="BY694" s="1183"/>
      <c r="BZ694" s="1183"/>
      <c r="CA694" s="1183"/>
      <c r="CB694" s="1183"/>
      <c r="CC694" s="1183"/>
      <c r="CD694" s="1183"/>
      <c r="CE694" s="1183"/>
      <c r="CF694" s="1183"/>
      <c r="CG694" s="1183"/>
      <c r="CH694" s="1183"/>
      <c r="CI694" s="1183"/>
      <c r="CJ694" s="1183"/>
      <c r="CK694" s="1183"/>
      <c r="CL694" s="1183"/>
      <c r="CM694" s="1183"/>
    </row>
    <row r="695" spans="11:91" ht="12" customHeight="1" x14ac:dyDescent="0.35">
      <c r="K695" s="1300"/>
      <c r="L695" s="1300"/>
      <c r="M695" s="1300"/>
      <c r="N695" s="1300"/>
      <c r="O695" s="1300"/>
      <c r="P695" s="1300"/>
      <c r="Q695" s="1300"/>
      <c r="R695" s="1300"/>
      <c r="S695" s="1300"/>
      <c r="T695" s="1300"/>
      <c r="U695" s="1804"/>
      <c r="V695" s="1804"/>
      <c r="W695" s="1804"/>
      <c r="X695" s="1804"/>
      <c r="Y695" s="1804"/>
      <c r="Z695" s="1804"/>
      <c r="AA695" s="1804"/>
      <c r="AB695" s="1804"/>
      <c r="AC695" s="1804"/>
      <c r="AD695" s="1804"/>
      <c r="AE695" s="1804"/>
      <c r="AF695" s="1183"/>
      <c r="AG695" s="1183"/>
      <c r="AH695" s="1183"/>
      <c r="AI695" s="1183"/>
      <c r="AJ695" s="1183"/>
      <c r="AK695" s="1183"/>
      <c r="AL695" s="1183"/>
      <c r="AM695" s="1183"/>
      <c r="AN695" s="1183"/>
      <c r="AO695" s="1183"/>
      <c r="AP695" s="1183"/>
      <c r="AQ695" s="1183"/>
      <c r="AR695" s="1183"/>
      <c r="AS695" s="1183"/>
      <c r="AT695" s="1183"/>
      <c r="AU695" s="1183"/>
      <c r="AV695" s="1183"/>
      <c r="AW695" s="1183"/>
      <c r="AX695" s="1183"/>
      <c r="AY695" s="1183"/>
      <c r="AZ695" s="1183"/>
      <c r="BA695" s="1183"/>
      <c r="BB695" s="1183"/>
      <c r="BC695" s="1183"/>
      <c r="BD695" s="1183"/>
      <c r="BE695" s="1183"/>
      <c r="BF695" s="1183"/>
      <c r="BG695" s="1183"/>
      <c r="BH695" s="1183"/>
      <c r="BI695" s="1183"/>
      <c r="BJ695" s="1183"/>
      <c r="BK695" s="1183"/>
      <c r="BL695" s="1183"/>
      <c r="BM695" s="1183"/>
      <c r="BN695" s="1183"/>
      <c r="BO695" s="1183"/>
      <c r="BP695" s="1183"/>
      <c r="BQ695" s="1183"/>
      <c r="BR695" s="1183"/>
      <c r="BS695" s="1183"/>
      <c r="BT695" s="1183"/>
      <c r="BU695" s="1183"/>
      <c r="BV695" s="1183"/>
      <c r="BW695" s="1183"/>
      <c r="BX695" s="1183"/>
      <c r="BY695" s="1183"/>
      <c r="BZ695" s="1183"/>
      <c r="CA695" s="1183"/>
      <c r="CB695" s="1183"/>
      <c r="CC695" s="1183"/>
      <c r="CD695" s="1183"/>
      <c r="CE695" s="1183"/>
      <c r="CF695" s="1183"/>
      <c r="CG695" s="1183"/>
      <c r="CH695" s="1183"/>
      <c r="CI695" s="1183"/>
      <c r="CJ695" s="1183"/>
      <c r="CK695" s="1183"/>
      <c r="CL695" s="1183"/>
      <c r="CM695" s="1183"/>
    </row>
    <row r="696" spans="11:91" ht="12" customHeight="1" x14ac:dyDescent="0.35">
      <c r="K696" s="1300"/>
      <c r="L696" s="1300"/>
      <c r="M696" s="1300"/>
      <c r="N696" s="1300"/>
      <c r="O696" s="1300"/>
      <c r="P696" s="1300"/>
      <c r="Q696" s="1300"/>
      <c r="R696" s="1300"/>
      <c r="S696" s="1300"/>
      <c r="T696" s="1300"/>
      <c r="U696" s="1804"/>
      <c r="V696" s="1804"/>
      <c r="W696" s="1804"/>
      <c r="X696" s="1804"/>
      <c r="Y696" s="1804"/>
      <c r="Z696" s="1804"/>
      <c r="AA696" s="1804"/>
      <c r="AB696" s="1804"/>
      <c r="AC696" s="1804"/>
      <c r="AD696" s="1804"/>
      <c r="AE696" s="1804"/>
      <c r="AF696" s="1183"/>
      <c r="AG696" s="1183"/>
      <c r="AH696" s="1183"/>
      <c r="AI696" s="1183"/>
      <c r="AJ696" s="1183"/>
      <c r="AK696" s="1183"/>
      <c r="AL696" s="1183"/>
      <c r="AM696" s="1183"/>
      <c r="AN696" s="1183"/>
      <c r="AO696" s="1183"/>
      <c r="AP696" s="1183"/>
      <c r="AQ696" s="1183"/>
      <c r="AR696" s="1183"/>
      <c r="AS696" s="1183"/>
      <c r="AT696" s="1183"/>
      <c r="AU696" s="1183"/>
      <c r="AV696" s="1183"/>
      <c r="AW696" s="1183"/>
      <c r="AX696" s="1183"/>
      <c r="AY696" s="1183"/>
      <c r="AZ696" s="1183"/>
      <c r="BA696" s="1183"/>
      <c r="BB696" s="1183"/>
      <c r="BC696" s="1183"/>
      <c r="BD696" s="1183"/>
      <c r="BE696" s="1183"/>
      <c r="BF696" s="1183"/>
      <c r="BG696" s="1183"/>
      <c r="BH696" s="1183"/>
      <c r="BI696" s="1183"/>
      <c r="BJ696" s="1183"/>
      <c r="BK696" s="1183"/>
      <c r="BL696" s="1183"/>
      <c r="BM696" s="1183"/>
      <c r="BN696" s="1183"/>
      <c r="BO696" s="1183"/>
      <c r="BP696" s="1183"/>
      <c r="BQ696" s="1183"/>
      <c r="BR696" s="1183"/>
      <c r="BS696" s="1183"/>
      <c r="BT696" s="1183"/>
      <c r="BU696" s="1183"/>
      <c r="BV696" s="1183"/>
      <c r="BW696" s="1183"/>
      <c r="BX696" s="1183"/>
      <c r="BY696" s="1183"/>
      <c r="BZ696" s="1183"/>
      <c r="CA696" s="1183"/>
      <c r="CB696" s="1183"/>
      <c r="CC696" s="1183"/>
      <c r="CD696" s="1183"/>
      <c r="CE696" s="1183"/>
      <c r="CF696" s="1183"/>
      <c r="CG696" s="1183"/>
      <c r="CH696" s="1183"/>
      <c r="CI696" s="1183"/>
      <c r="CJ696" s="1183"/>
      <c r="CK696" s="1183"/>
      <c r="CL696" s="1183"/>
      <c r="CM696" s="1183"/>
    </row>
    <row r="697" spans="11:91" ht="21.75" customHeight="1" x14ac:dyDescent="0.6">
      <c r="K697" s="23" t="s">
        <v>173</v>
      </c>
      <c r="L697" s="28"/>
      <c r="M697" s="28"/>
      <c r="N697" s="28"/>
      <c r="O697" s="28"/>
      <c r="P697" s="28"/>
      <c r="Q697" s="28"/>
      <c r="R697" s="24"/>
      <c r="S697" s="25"/>
      <c r="T697" s="26"/>
      <c r="U697" s="29"/>
      <c r="V697" s="29"/>
      <c r="W697" s="377"/>
      <c r="X697" s="376"/>
      <c r="Y697" s="29"/>
      <c r="Z697" s="29"/>
      <c r="AA697" s="29"/>
      <c r="AB697" s="29"/>
      <c r="AC697" s="29"/>
      <c r="AD697" s="29"/>
      <c r="AE697" s="29"/>
      <c r="AF697" s="1141">
        <v>1</v>
      </c>
      <c r="AG697" s="1141">
        <v>2</v>
      </c>
      <c r="AH697" s="1141">
        <v>3</v>
      </c>
      <c r="AI697" s="1141">
        <v>4</v>
      </c>
      <c r="AJ697" s="1141">
        <v>5</v>
      </c>
      <c r="AK697" s="1141">
        <v>6</v>
      </c>
      <c r="AL697" s="1141">
        <v>7</v>
      </c>
      <c r="AM697" s="1141">
        <v>8</v>
      </c>
      <c r="AN697" s="1141">
        <v>9</v>
      </c>
      <c r="AO697" s="1141">
        <v>10</v>
      </c>
      <c r="AP697" s="1141">
        <v>11</v>
      </c>
      <c r="AQ697" s="1141">
        <v>12</v>
      </c>
      <c r="AR697" s="1141">
        <v>13</v>
      </c>
      <c r="AS697" s="1141">
        <v>14</v>
      </c>
      <c r="AT697" s="1141">
        <v>15</v>
      </c>
      <c r="AU697" s="1141">
        <v>16</v>
      </c>
      <c r="AV697" s="1141">
        <v>17</v>
      </c>
      <c r="AW697" s="1141">
        <v>18</v>
      </c>
      <c r="AX697" s="1141">
        <v>19</v>
      </c>
      <c r="AY697" s="1141">
        <v>20</v>
      </c>
      <c r="AZ697" s="1141">
        <v>21</v>
      </c>
      <c r="BA697" s="1141">
        <v>22</v>
      </c>
      <c r="BB697" s="1141">
        <v>23</v>
      </c>
      <c r="BC697" s="1141">
        <v>24</v>
      </c>
      <c r="BD697" s="1141">
        <v>25</v>
      </c>
      <c r="BE697" s="1141">
        <v>26</v>
      </c>
      <c r="BF697" s="1141">
        <v>27</v>
      </c>
      <c r="BG697" s="1141">
        <v>28</v>
      </c>
      <c r="BH697" s="1141">
        <v>29</v>
      </c>
      <c r="BI697" s="1141">
        <v>30</v>
      </c>
      <c r="BJ697" s="1141">
        <v>31</v>
      </c>
      <c r="BK697" s="1141">
        <v>32</v>
      </c>
      <c r="BL697" s="1141">
        <v>33</v>
      </c>
      <c r="BM697" s="1141">
        <v>34</v>
      </c>
      <c r="BN697" s="1141">
        <v>35</v>
      </c>
      <c r="BO697" s="1141">
        <v>36</v>
      </c>
      <c r="BP697" s="1141">
        <v>37</v>
      </c>
      <c r="BQ697" s="1141">
        <v>38</v>
      </c>
      <c r="BR697" s="1141">
        <v>39</v>
      </c>
      <c r="BS697" s="1141">
        <v>40</v>
      </c>
      <c r="BT697" s="1141">
        <v>41</v>
      </c>
      <c r="BU697" s="1141">
        <v>42</v>
      </c>
      <c r="BV697" s="1141">
        <v>43</v>
      </c>
      <c r="BW697" s="1141">
        <v>44</v>
      </c>
      <c r="BX697" s="1141">
        <v>45</v>
      </c>
      <c r="BY697" s="1141">
        <v>46</v>
      </c>
      <c r="BZ697" s="1141">
        <v>47</v>
      </c>
      <c r="CA697" s="1141">
        <v>48</v>
      </c>
      <c r="CB697" s="1141">
        <v>49</v>
      </c>
      <c r="CC697" s="1141">
        <v>50</v>
      </c>
      <c r="CD697" s="1141">
        <v>51</v>
      </c>
      <c r="CE697" s="1141">
        <v>52</v>
      </c>
      <c r="CF697" s="1141">
        <v>53</v>
      </c>
      <c r="CG697" s="1141">
        <v>54</v>
      </c>
      <c r="CH697" s="1141">
        <v>55</v>
      </c>
      <c r="CI697" s="1141">
        <v>56</v>
      </c>
      <c r="CJ697" s="1141">
        <v>57</v>
      </c>
      <c r="CK697" s="1141">
        <v>58</v>
      </c>
      <c r="CL697" s="1141">
        <v>59</v>
      </c>
      <c r="CM697" s="1141">
        <v>60</v>
      </c>
    </row>
    <row r="698" spans="11:91" ht="12" customHeight="1" x14ac:dyDescent="0.6">
      <c r="K698" s="23"/>
      <c r="L698" s="28"/>
      <c r="M698" s="28"/>
      <c r="N698" s="28"/>
      <c r="O698" s="28"/>
      <c r="P698" s="28"/>
      <c r="Q698" s="28"/>
      <c r="R698" s="24"/>
      <c r="S698" s="25"/>
      <c r="T698" s="26"/>
      <c r="U698" s="29"/>
      <c r="V698" s="29"/>
      <c r="W698" s="377"/>
      <c r="X698" s="376"/>
      <c r="Y698" s="29"/>
      <c r="Z698" s="29"/>
      <c r="AA698" s="29"/>
      <c r="AB698" s="29"/>
      <c r="AC698" s="29"/>
      <c r="AD698" s="29"/>
      <c r="AE698" s="29"/>
      <c r="AF698" s="1141"/>
      <c r="AG698" s="1141"/>
      <c r="AH698" s="1141"/>
      <c r="AI698" s="1141"/>
      <c r="AJ698" s="1141"/>
      <c r="AK698" s="1141"/>
      <c r="AL698" s="1141"/>
      <c r="AM698" s="1141"/>
      <c r="AN698" s="1141"/>
      <c r="AO698" s="1141"/>
      <c r="AP698" s="1141"/>
      <c r="AQ698" s="1141"/>
      <c r="AR698" s="1141"/>
      <c r="AS698" s="1141"/>
      <c r="AT698" s="1141"/>
      <c r="AU698" s="1141"/>
      <c r="AV698" s="1141"/>
      <c r="AW698" s="1141"/>
      <c r="AX698" s="1141"/>
      <c r="AY698" s="1141"/>
      <c r="AZ698" s="1141"/>
      <c r="BA698" s="1141"/>
      <c r="BB698" s="1141"/>
      <c r="BC698" s="1141"/>
      <c r="BD698" s="1141"/>
      <c r="BE698" s="1141"/>
      <c r="BF698" s="1141"/>
      <c r="BG698" s="1141"/>
      <c r="BH698" s="1141"/>
      <c r="BI698" s="1141"/>
      <c r="BJ698" s="1141"/>
      <c r="BK698" s="1141"/>
      <c r="BL698" s="1141"/>
      <c r="BM698" s="1141"/>
      <c r="BN698" s="1141"/>
      <c r="BO698" s="1141"/>
      <c r="BP698" s="1141"/>
      <c r="BQ698" s="1141"/>
      <c r="BR698" s="1141"/>
      <c r="BS698" s="1141"/>
      <c r="BT698" s="1141"/>
      <c r="BU698" s="1141"/>
      <c r="BV698" s="1141"/>
      <c r="BW698" s="1141"/>
      <c r="BX698" s="1141"/>
      <c r="BY698" s="1141"/>
      <c r="BZ698" s="1141"/>
      <c r="CA698" s="1141"/>
      <c r="CB698" s="1141"/>
      <c r="CC698" s="1141"/>
      <c r="CD698" s="1141"/>
      <c r="CE698" s="1141"/>
      <c r="CF698" s="1141"/>
      <c r="CG698" s="1141"/>
      <c r="CH698" s="1141"/>
      <c r="CI698" s="1141"/>
      <c r="CJ698" s="1141"/>
      <c r="CK698" s="1141"/>
      <c r="CL698" s="1141"/>
      <c r="CM698" s="1141"/>
    </row>
    <row r="699" spans="11:91" ht="21" customHeight="1" x14ac:dyDescent="0.6">
      <c r="K699" s="23"/>
      <c r="L699" s="28"/>
      <c r="M699" s="28"/>
      <c r="N699" s="28"/>
      <c r="O699" s="28"/>
      <c r="P699" s="28"/>
      <c r="Q699" s="28"/>
      <c r="R699" s="24"/>
      <c r="S699" s="25"/>
      <c r="T699" s="342" t="s">
        <v>30</v>
      </c>
      <c r="U699" s="29"/>
      <c r="V699" s="29"/>
      <c r="W699" s="377"/>
      <c r="X699" s="376"/>
      <c r="Y699" s="255" t="s">
        <v>459</v>
      </c>
      <c r="Z699" s="29"/>
      <c r="AA699" s="29"/>
      <c r="AB699" s="29"/>
      <c r="AC699" s="29"/>
      <c r="AD699" s="29"/>
      <c r="AE699" s="29"/>
      <c r="AF699" s="1141"/>
      <c r="AG699" s="1141"/>
      <c r="AH699" s="1141"/>
      <c r="AI699" s="1141"/>
      <c r="AJ699" s="1141"/>
      <c r="AK699" s="1141"/>
      <c r="AL699" s="1141"/>
      <c r="AM699" s="1141"/>
      <c r="AN699" s="1141"/>
      <c r="AO699" s="1141"/>
      <c r="AP699" s="1141"/>
      <c r="AQ699" s="1141"/>
      <c r="AR699" s="1141"/>
      <c r="AS699" s="1141"/>
      <c r="AT699" s="1141"/>
      <c r="AU699" s="1141"/>
      <c r="AV699" s="1141"/>
      <c r="AW699" s="1141"/>
      <c r="AX699" s="1141"/>
      <c r="AY699" s="1141"/>
      <c r="AZ699" s="1141"/>
      <c r="BA699" s="1141"/>
      <c r="BB699" s="1141"/>
      <c r="BC699" s="1141"/>
      <c r="BD699" s="1141"/>
      <c r="BE699" s="1141"/>
      <c r="BF699" s="1141"/>
      <c r="BG699" s="1141"/>
      <c r="BH699" s="1141"/>
      <c r="BI699" s="1141"/>
      <c r="BJ699" s="1141"/>
      <c r="BK699" s="1141"/>
      <c r="BL699" s="1141"/>
      <c r="BM699" s="1141"/>
      <c r="BN699" s="1141"/>
      <c r="BO699" s="1141"/>
      <c r="BP699" s="1141"/>
      <c r="BQ699" s="1141"/>
      <c r="BR699" s="1141"/>
      <c r="BS699" s="1141"/>
      <c r="BT699" s="1141"/>
      <c r="BU699" s="1141"/>
      <c r="BV699" s="1141"/>
      <c r="BW699" s="1141"/>
      <c r="BX699" s="1141"/>
      <c r="BY699" s="1141"/>
      <c r="BZ699" s="1141"/>
      <c r="CA699" s="1141"/>
      <c r="CB699" s="1141"/>
      <c r="CC699" s="1141"/>
      <c r="CD699" s="1141"/>
      <c r="CE699" s="1141"/>
      <c r="CF699" s="1141"/>
      <c r="CG699" s="1141"/>
      <c r="CH699" s="1141"/>
      <c r="CI699" s="1141"/>
      <c r="CJ699" s="1141"/>
      <c r="CK699" s="1141"/>
      <c r="CL699" s="1141"/>
      <c r="CM699" s="1141"/>
    </row>
    <row r="700" spans="11:91" ht="12" customHeight="1" x14ac:dyDescent="0.35">
      <c r="K700" s="29"/>
      <c r="L700" s="28"/>
      <c r="M700" s="28"/>
      <c r="N700" s="28"/>
      <c r="O700" s="28"/>
      <c r="P700" s="28"/>
      <c r="Q700" s="28"/>
      <c r="R700" s="30"/>
      <c r="S700" s="31"/>
      <c r="T700" s="28"/>
      <c r="U700" s="141"/>
      <c r="V700" s="141"/>
      <c r="W700" s="141"/>
      <c r="X700" s="139"/>
      <c r="Y700" s="1182">
        <f>Investors!C12</f>
        <v>0</v>
      </c>
      <c r="Z700" s="139"/>
      <c r="AA700" s="29"/>
      <c r="AB700" s="376" t="s">
        <v>460</v>
      </c>
      <c r="AC700" s="762">
        <f>AF701</f>
        <v>0</v>
      </c>
      <c r="AD700" s="29"/>
      <c r="AE700" s="29"/>
      <c r="AF700" s="1144">
        <v>61</v>
      </c>
      <c r="AG700" s="1144">
        <v>62</v>
      </c>
      <c r="AH700" s="1144">
        <v>63</v>
      </c>
      <c r="AI700" s="1144">
        <v>64</v>
      </c>
      <c r="AJ700" s="1144">
        <v>65</v>
      </c>
      <c r="AK700" s="1144">
        <v>66</v>
      </c>
      <c r="AL700" s="1144">
        <v>67</v>
      </c>
      <c r="AM700" s="1144">
        <v>68</v>
      </c>
      <c r="AN700" s="1144">
        <v>69</v>
      </c>
      <c r="AO700" s="1144">
        <v>70</v>
      </c>
      <c r="AP700" s="1144">
        <v>71</v>
      </c>
      <c r="AQ700" s="1144">
        <v>72</v>
      </c>
      <c r="AR700" s="1144">
        <v>73</v>
      </c>
      <c r="AS700" s="1144">
        <v>74</v>
      </c>
      <c r="AT700" s="1144">
        <v>75</v>
      </c>
      <c r="AU700" s="1144">
        <v>76</v>
      </c>
      <c r="AV700" s="1144">
        <v>77</v>
      </c>
      <c r="AW700" s="1144">
        <v>78</v>
      </c>
      <c r="AX700" s="1144">
        <v>79</v>
      </c>
      <c r="AY700" s="1144">
        <v>80</v>
      </c>
      <c r="AZ700" s="1144">
        <v>81</v>
      </c>
      <c r="BA700" s="1144">
        <v>82</v>
      </c>
      <c r="BB700" s="1144">
        <v>83</v>
      </c>
      <c r="BC700" s="1144">
        <v>84</v>
      </c>
      <c r="BD700" s="1144">
        <v>85</v>
      </c>
      <c r="BE700" s="1144">
        <v>86</v>
      </c>
      <c r="BF700" s="1144">
        <v>87</v>
      </c>
      <c r="BG700" s="1144">
        <v>88</v>
      </c>
      <c r="BH700" s="1144">
        <v>89</v>
      </c>
      <c r="BI700" s="1144">
        <v>90</v>
      </c>
      <c r="BJ700" s="1144">
        <v>91</v>
      </c>
      <c r="BK700" s="1144">
        <v>92</v>
      </c>
      <c r="BL700" s="1144">
        <v>93</v>
      </c>
      <c r="BM700" s="1144">
        <v>94</v>
      </c>
      <c r="BN700" s="1144">
        <v>95</v>
      </c>
      <c r="BO700" s="1144">
        <v>96</v>
      </c>
      <c r="BP700" s="1144">
        <v>97</v>
      </c>
      <c r="BQ700" s="1144">
        <v>98</v>
      </c>
      <c r="BR700" s="1144">
        <v>99</v>
      </c>
      <c r="BS700" s="1144">
        <v>100</v>
      </c>
      <c r="BT700" s="1144">
        <v>101</v>
      </c>
      <c r="BU700" s="1144">
        <v>102</v>
      </c>
      <c r="BV700" s="1144">
        <v>103</v>
      </c>
      <c r="BW700" s="1144">
        <v>104</v>
      </c>
      <c r="BX700" s="1144">
        <v>105</v>
      </c>
      <c r="BY700" s="1144">
        <v>106</v>
      </c>
      <c r="BZ700" s="1144">
        <v>107</v>
      </c>
      <c r="CA700" s="1144">
        <v>108</v>
      </c>
      <c r="CB700" s="1144">
        <v>109</v>
      </c>
      <c r="CC700" s="1144">
        <v>110</v>
      </c>
      <c r="CD700" s="1144">
        <v>111</v>
      </c>
      <c r="CE700" s="1144">
        <v>112</v>
      </c>
      <c r="CF700" s="1144">
        <v>113</v>
      </c>
      <c r="CG700" s="1144">
        <v>114</v>
      </c>
      <c r="CH700" s="1144">
        <v>115</v>
      </c>
      <c r="CI700" s="1144">
        <v>116</v>
      </c>
      <c r="CJ700" s="1144">
        <v>117</v>
      </c>
      <c r="CK700" s="1144">
        <v>118</v>
      </c>
      <c r="CL700" s="1144">
        <v>119</v>
      </c>
      <c r="CM700" s="1144">
        <v>120</v>
      </c>
    </row>
    <row r="701" spans="11:91" ht="12" customHeight="1" thickBot="1" x14ac:dyDescent="0.4">
      <c r="K701" s="29"/>
      <c r="L701" s="28"/>
      <c r="M701" s="28"/>
      <c r="N701" s="28"/>
      <c r="O701" s="28"/>
      <c r="P701" s="28"/>
      <c r="Q701" s="28"/>
      <c r="R701" s="30"/>
      <c r="S701" s="31"/>
      <c r="T701" s="32" t="s">
        <v>461</v>
      </c>
      <c r="U701" s="32" t="s">
        <v>161</v>
      </c>
      <c r="V701" s="33" t="s">
        <v>165</v>
      </c>
      <c r="W701" s="32" t="s">
        <v>462</v>
      </c>
      <c r="X701" s="32" t="s">
        <v>463</v>
      </c>
      <c r="Y701" s="1183"/>
      <c r="Z701" s="32" t="s">
        <v>464</v>
      </c>
      <c r="AA701" s="136"/>
      <c r="AB701" s="141"/>
      <c r="AC701" s="141"/>
      <c r="AD701" s="141"/>
      <c r="AE701" s="1172" t="s">
        <v>465</v>
      </c>
      <c r="AF701" s="202">
        <f>W551</f>
        <v>0</v>
      </c>
      <c r="AG701" s="202">
        <f t="shared" ref="AG701:CM701" si="515">X551</f>
        <v>59</v>
      </c>
      <c r="AH701" s="202">
        <f t="shared" si="515"/>
        <v>91</v>
      </c>
      <c r="AI701" s="202">
        <f t="shared" si="515"/>
        <v>121</v>
      </c>
      <c r="AJ701" s="202">
        <f t="shared" si="515"/>
        <v>152</v>
      </c>
      <c r="AK701" s="202">
        <f t="shared" si="515"/>
        <v>182</v>
      </c>
      <c r="AL701" s="202">
        <f t="shared" si="515"/>
        <v>213</v>
      </c>
      <c r="AM701" s="202">
        <f t="shared" si="515"/>
        <v>244</v>
      </c>
      <c r="AN701" s="202">
        <f t="shared" si="515"/>
        <v>274</v>
      </c>
      <c r="AO701" s="202">
        <f t="shared" si="515"/>
        <v>305</v>
      </c>
      <c r="AP701" s="202">
        <f t="shared" si="515"/>
        <v>335</v>
      </c>
      <c r="AQ701" s="202">
        <f t="shared" si="515"/>
        <v>366</v>
      </c>
      <c r="AR701" s="202">
        <f t="shared" si="515"/>
        <v>397</v>
      </c>
      <c r="AS701" s="202">
        <f t="shared" si="515"/>
        <v>425</v>
      </c>
      <c r="AT701" s="202">
        <f t="shared" si="515"/>
        <v>456</v>
      </c>
      <c r="AU701" s="202">
        <f t="shared" si="515"/>
        <v>486</v>
      </c>
      <c r="AV701" s="202">
        <f t="shared" si="515"/>
        <v>517</v>
      </c>
      <c r="AW701" s="202">
        <f t="shared" si="515"/>
        <v>547</v>
      </c>
      <c r="AX701" s="202">
        <f t="shared" si="515"/>
        <v>578</v>
      </c>
      <c r="AY701" s="202">
        <f t="shared" si="515"/>
        <v>609</v>
      </c>
      <c r="AZ701" s="202">
        <f t="shared" si="515"/>
        <v>639</v>
      </c>
      <c r="BA701" s="202">
        <f t="shared" si="515"/>
        <v>670</v>
      </c>
      <c r="BB701" s="202">
        <f t="shared" si="515"/>
        <v>700</v>
      </c>
      <c r="BC701" s="202">
        <f t="shared" si="515"/>
        <v>731</v>
      </c>
      <c r="BD701" s="202">
        <f t="shared" si="515"/>
        <v>762</v>
      </c>
      <c r="BE701" s="202">
        <f t="shared" si="515"/>
        <v>790</v>
      </c>
      <c r="BF701" s="202">
        <f t="shared" si="515"/>
        <v>821</v>
      </c>
      <c r="BG701" s="202">
        <f t="shared" si="515"/>
        <v>851</v>
      </c>
      <c r="BH701" s="202">
        <f t="shared" si="515"/>
        <v>882</v>
      </c>
      <c r="BI701" s="202">
        <f t="shared" si="515"/>
        <v>912</v>
      </c>
      <c r="BJ701" s="202">
        <f t="shared" si="515"/>
        <v>943</v>
      </c>
      <c r="BK701" s="202">
        <f t="shared" si="515"/>
        <v>974</v>
      </c>
      <c r="BL701" s="202">
        <f t="shared" si="515"/>
        <v>1004</v>
      </c>
      <c r="BM701" s="202">
        <f t="shared" si="515"/>
        <v>1035</v>
      </c>
      <c r="BN701" s="202">
        <f t="shared" si="515"/>
        <v>1065</v>
      </c>
      <c r="BO701" s="202">
        <f t="shared" si="515"/>
        <v>1096</v>
      </c>
      <c r="BP701" s="202">
        <f t="shared" si="515"/>
        <v>1127</v>
      </c>
      <c r="BQ701" s="202">
        <f t="shared" si="515"/>
        <v>1155</v>
      </c>
      <c r="BR701" s="202">
        <f t="shared" si="515"/>
        <v>1186</v>
      </c>
      <c r="BS701" s="202">
        <f t="shared" si="515"/>
        <v>1216</v>
      </c>
      <c r="BT701" s="202">
        <f t="shared" si="515"/>
        <v>1247</v>
      </c>
      <c r="BU701" s="202">
        <f t="shared" si="515"/>
        <v>1277</v>
      </c>
      <c r="BV701" s="202">
        <f t="shared" si="515"/>
        <v>1308</v>
      </c>
      <c r="BW701" s="202">
        <f t="shared" si="515"/>
        <v>1339</v>
      </c>
      <c r="BX701" s="202">
        <f t="shared" si="515"/>
        <v>1369</v>
      </c>
      <c r="BY701" s="202">
        <f t="shared" si="515"/>
        <v>1400</v>
      </c>
      <c r="BZ701" s="202">
        <f t="shared" si="515"/>
        <v>1430</v>
      </c>
      <c r="CA701" s="202">
        <f t="shared" si="515"/>
        <v>1461</v>
      </c>
      <c r="CB701" s="202">
        <f t="shared" si="515"/>
        <v>1492</v>
      </c>
      <c r="CC701" s="202">
        <f t="shared" si="515"/>
        <v>1521</v>
      </c>
      <c r="CD701" s="202">
        <f t="shared" si="515"/>
        <v>1552</v>
      </c>
      <c r="CE701" s="202">
        <f t="shared" si="515"/>
        <v>1582</v>
      </c>
      <c r="CF701" s="202">
        <f t="shared" si="515"/>
        <v>1613</v>
      </c>
      <c r="CG701" s="202">
        <f t="shared" si="515"/>
        <v>1643</v>
      </c>
      <c r="CH701" s="202">
        <f t="shared" si="515"/>
        <v>1674</v>
      </c>
      <c r="CI701" s="202">
        <f t="shared" si="515"/>
        <v>1705</v>
      </c>
      <c r="CJ701" s="202">
        <f t="shared" si="515"/>
        <v>1735</v>
      </c>
      <c r="CK701" s="202">
        <f t="shared" si="515"/>
        <v>1766</v>
      </c>
      <c r="CL701" s="202">
        <f t="shared" si="515"/>
        <v>1796</v>
      </c>
      <c r="CM701" s="202">
        <f t="shared" si="515"/>
        <v>1827</v>
      </c>
    </row>
    <row r="702" spans="11:91" ht="12" customHeight="1" thickBot="1" x14ac:dyDescent="0.4">
      <c r="K702" s="29"/>
      <c r="L702" s="28"/>
      <c r="M702" s="28"/>
      <c r="N702" s="28"/>
      <c r="O702" s="28"/>
      <c r="P702" s="28"/>
      <c r="Q702" s="28"/>
      <c r="R702" s="30"/>
      <c r="S702" s="31"/>
      <c r="T702" s="28"/>
      <c r="U702" s="141"/>
      <c r="V702" s="141"/>
      <c r="W702" s="141"/>
      <c r="X702" s="141"/>
      <c r="Y702" s="255"/>
      <c r="Z702" s="136"/>
      <c r="AA702" s="136"/>
      <c r="AB702" s="141"/>
      <c r="AC702" s="141"/>
      <c r="AD702" s="141"/>
      <c r="AE702" s="141"/>
      <c r="AF702" s="1144"/>
      <c r="AG702" s="1144"/>
      <c r="AH702" s="1144"/>
      <c r="AI702" s="1144"/>
      <c r="AJ702" s="1144"/>
      <c r="AK702" s="1144"/>
      <c r="AL702" s="1144"/>
      <c r="AM702" s="1144"/>
      <c r="AN702" s="1144"/>
      <c r="AO702" s="1144"/>
      <c r="AP702" s="1144"/>
      <c r="AQ702" s="1144"/>
      <c r="AR702" s="1144"/>
      <c r="AS702" s="1144"/>
      <c r="AT702" s="1144"/>
      <c r="AU702" s="1144"/>
      <c r="AV702" s="1144"/>
      <c r="AW702" s="1144"/>
      <c r="AX702" s="1144"/>
      <c r="AY702" s="1144"/>
      <c r="AZ702" s="1144"/>
      <c r="BA702" s="1144"/>
      <c r="BB702" s="1144"/>
      <c r="BC702" s="1144"/>
      <c r="BD702" s="1144"/>
      <c r="BE702" s="1144"/>
      <c r="BF702" s="1144"/>
      <c r="BG702" s="1144"/>
      <c r="BH702" s="1144"/>
      <c r="BI702" s="1144"/>
      <c r="BJ702" s="1144"/>
      <c r="BK702" s="1144"/>
      <c r="BL702" s="1144"/>
      <c r="BM702" s="1144"/>
      <c r="BN702" s="1144"/>
      <c r="BO702" s="1144"/>
      <c r="BP702" s="1144"/>
      <c r="BQ702" s="1144"/>
      <c r="BR702" s="1144"/>
      <c r="BS702" s="1144"/>
      <c r="BT702" s="1144"/>
      <c r="BU702" s="1144"/>
      <c r="BV702" s="1144"/>
      <c r="BW702" s="1144"/>
      <c r="BX702" s="1144"/>
      <c r="BY702" s="1144"/>
      <c r="BZ702" s="1144"/>
      <c r="CA702" s="1144"/>
      <c r="CB702" s="1144"/>
      <c r="CC702" s="1144"/>
      <c r="CD702" s="1144"/>
      <c r="CE702" s="1144"/>
      <c r="CF702" s="1144"/>
      <c r="CG702" s="1144"/>
      <c r="CH702" s="1144"/>
      <c r="CI702" s="1144"/>
      <c r="CJ702" s="1144"/>
      <c r="CK702" s="1144"/>
      <c r="CL702" s="1144"/>
      <c r="CM702" s="1144"/>
    </row>
    <row r="703" spans="11:91" ht="12" customHeight="1" x14ac:dyDescent="0.35">
      <c r="K703" s="28"/>
      <c r="L703" s="28"/>
      <c r="M703" s="28"/>
      <c r="N703" s="28"/>
      <c r="O703" s="28"/>
      <c r="P703" s="28"/>
      <c r="Q703" s="28"/>
      <c r="R703" s="31">
        <f>IF(Input!D$298=L990,Input!D$297,0)</f>
        <v>0</v>
      </c>
      <c r="S703" s="400">
        <v>1</v>
      </c>
      <c r="T703" s="354">
        <f>Input!D279</f>
        <v>0</v>
      </c>
      <c r="U703" s="355">
        <f>IF(Input!$F$278&gt;=S703,Input!G279,0)</f>
        <v>0</v>
      </c>
      <c r="V703" s="1200">
        <f>Input!H279</f>
        <v>0</v>
      </c>
      <c r="W703" s="356">
        <f>Input!I279</f>
      </c>
      <c r="X703" s="357">
        <f>Input!J279</f>
        <v>0</v>
      </c>
      <c r="Y703" s="1182">
        <f>X703*Y$700</f>
        <v>0</v>
      </c>
      <c r="Z703" s="343">
        <f>IF((Y703-U703)=0,0,U703/(Y703-U703))</f>
        <v>0</v>
      </c>
      <c r="AA703" s="29"/>
      <c r="AB703" s="34">
        <f>IF(V703&lt;AC$700,U703,0)</f>
        <v>0</v>
      </c>
      <c r="AC703" s="29"/>
      <c r="AD703" s="29"/>
      <c r="AE703" s="34">
        <f>AB703</f>
        <v>0</v>
      </c>
      <c r="AF703" s="763">
        <f t="shared" ref="AF703:AO712" si="516">IF($V703=AF$701,$U703,0)</f>
        <v>0</v>
      </c>
      <c r="AG703" s="763">
        <f t="shared" si="516"/>
        <v>0</v>
      </c>
      <c r="AH703" s="763">
        <f t="shared" si="516"/>
        <v>0</v>
      </c>
      <c r="AI703" s="763">
        <f t="shared" si="516"/>
        <v>0</v>
      </c>
      <c r="AJ703" s="763">
        <f t="shared" si="516"/>
        <v>0</v>
      </c>
      <c r="AK703" s="763">
        <f t="shared" si="516"/>
        <v>0</v>
      </c>
      <c r="AL703" s="763">
        <f t="shared" si="516"/>
        <v>0</v>
      </c>
      <c r="AM703" s="763">
        <f t="shared" si="516"/>
        <v>0</v>
      </c>
      <c r="AN703" s="763">
        <f t="shared" si="516"/>
        <v>0</v>
      </c>
      <c r="AO703" s="763">
        <f t="shared" si="516"/>
        <v>0</v>
      </c>
      <c r="AP703" s="763">
        <f t="shared" ref="AP703:AY712" si="517">IF($V703=AP$701,$U703,0)</f>
        <v>0</v>
      </c>
      <c r="AQ703" s="763">
        <f t="shared" si="517"/>
        <v>0</v>
      </c>
      <c r="AR703" s="763">
        <f t="shared" si="517"/>
        <v>0</v>
      </c>
      <c r="AS703" s="763">
        <f t="shared" si="517"/>
        <v>0</v>
      </c>
      <c r="AT703" s="763">
        <f t="shared" si="517"/>
        <v>0</v>
      </c>
      <c r="AU703" s="763">
        <f t="shared" si="517"/>
        <v>0</v>
      </c>
      <c r="AV703" s="763">
        <f t="shared" si="517"/>
        <v>0</v>
      </c>
      <c r="AW703" s="763">
        <f t="shared" si="517"/>
        <v>0</v>
      </c>
      <c r="AX703" s="763">
        <f t="shared" si="517"/>
        <v>0</v>
      </c>
      <c r="AY703" s="763">
        <f t="shared" si="517"/>
        <v>0</v>
      </c>
      <c r="AZ703" s="763">
        <f t="shared" ref="AZ703:BI712" si="518">IF($V703=AZ$701,$U703,0)</f>
        <v>0</v>
      </c>
      <c r="BA703" s="763">
        <f t="shared" si="518"/>
        <v>0</v>
      </c>
      <c r="BB703" s="763">
        <f t="shared" si="518"/>
        <v>0</v>
      </c>
      <c r="BC703" s="763">
        <f t="shared" si="518"/>
        <v>0</v>
      </c>
      <c r="BD703" s="763">
        <f t="shared" si="518"/>
        <v>0</v>
      </c>
      <c r="BE703" s="763">
        <f t="shared" si="518"/>
        <v>0</v>
      </c>
      <c r="BF703" s="763">
        <f t="shared" si="518"/>
        <v>0</v>
      </c>
      <c r="BG703" s="763">
        <f t="shared" si="518"/>
        <v>0</v>
      </c>
      <c r="BH703" s="763">
        <f t="shared" si="518"/>
        <v>0</v>
      </c>
      <c r="BI703" s="763">
        <f t="shared" si="518"/>
        <v>0</v>
      </c>
      <c r="BJ703" s="763">
        <f t="shared" ref="BJ703:BS712" si="519">IF($V703=BJ$701,$U703,0)</f>
        <v>0</v>
      </c>
      <c r="BK703" s="763">
        <f t="shared" si="519"/>
        <v>0</v>
      </c>
      <c r="BL703" s="763">
        <f t="shared" si="519"/>
        <v>0</v>
      </c>
      <c r="BM703" s="763">
        <f t="shared" si="519"/>
        <v>0</v>
      </c>
      <c r="BN703" s="763">
        <f t="shared" si="519"/>
        <v>0</v>
      </c>
      <c r="BO703" s="763">
        <f t="shared" si="519"/>
        <v>0</v>
      </c>
      <c r="BP703" s="763">
        <f t="shared" si="519"/>
        <v>0</v>
      </c>
      <c r="BQ703" s="763">
        <f t="shared" si="519"/>
        <v>0</v>
      </c>
      <c r="BR703" s="763">
        <f t="shared" si="519"/>
        <v>0</v>
      </c>
      <c r="BS703" s="763">
        <f t="shared" si="519"/>
        <v>0</v>
      </c>
      <c r="BT703" s="763">
        <f t="shared" ref="BT703:CC712" si="520">IF($V703=BT$701,$U703,0)</f>
        <v>0</v>
      </c>
      <c r="BU703" s="763">
        <f t="shared" si="520"/>
        <v>0</v>
      </c>
      <c r="BV703" s="763">
        <f t="shared" si="520"/>
        <v>0</v>
      </c>
      <c r="BW703" s="763">
        <f t="shared" si="520"/>
        <v>0</v>
      </c>
      <c r="BX703" s="763">
        <f t="shared" si="520"/>
        <v>0</v>
      </c>
      <c r="BY703" s="763">
        <f t="shared" si="520"/>
        <v>0</v>
      </c>
      <c r="BZ703" s="763">
        <f t="shared" si="520"/>
        <v>0</v>
      </c>
      <c r="CA703" s="763">
        <f t="shared" si="520"/>
        <v>0</v>
      </c>
      <c r="CB703" s="763">
        <f t="shared" si="520"/>
        <v>0</v>
      </c>
      <c r="CC703" s="763">
        <f t="shared" si="520"/>
        <v>0</v>
      </c>
      <c r="CD703" s="763">
        <f t="shared" ref="CD703:CM712" si="521">IF($V703=CD$701,$U703,0)</f>
        <v>0</v>
      </c>
      <c r="CE703" s="763">
        <f t="shared" si="521"/>
        <v>0</v>
      </c>
      <c r="CF703" s="763">
        <f t="shared" si="521"/>
        <v>0</v>
      </c>
      <c r="CG703" s="763">
        <f t="shared" si="521"/>
        <v>0</v>
      </c>
      <c r="CH703" s="763">
        <f t="shared" si="521"/>
        <v>0</v>
      </c>
      <c r="CI703" s="763">
        <f t="shared" si="521"/>
        <v>0</v>
      </c>
      <c r="CJ703" s="763">
        <f t="shared" si="521"/>
        <v>0</v>
      </c>
      <c r="CK703" s="763">
        <f t="shared" si="521"/>
        <v>0</v>
      </c>
      <c r="CL703" s="763">
        <f t="shared" si="521"/>
        <v>0</v>
      </c>
      <c r="CM703" s="763">
        <f t="shared" si="521"/>
        <v>0</v>
      </c>
    </row>
    <row r="704" spans="11:91" ht="12" customHeight="1" x14ac:dyDescent="0.35">
      <c r="K704" s="28"/>
      <c r="L704" s="28"/>
      <c r="M704" s="28"/>
      <c r="N704" s="28"/>
      <c r="O704" s="28"/>
      <c r="P704" s="28"/>
      <c r="Q704" s="28"/>
      <c r="R704" s="36">
        <f>IF(Input!D$298=L991,Input!D$297,0)</f>
        <v>0</v>
      </c>
      <c r="S704" s="400">
        <v>2</v>
      </c>
      <c r="T704" s="358">
        <f>Input!D280</f>
        <v>0</v>
      </c>
      <c r="U704" s="191">
        <f>IF(Input!$F$278&gt;=S704,Input!G280,0)</f>
        <v>0</v>
      </c>
      <c r="V704" s="1201">
        <f>Input!H280</f>
        <v>0</v>
      </c>
      <c r="W704" s="344">
        <f>Input!I280</f>
        <v>0</v>
      </c>
      <c r="X704" s="359">
        <f>Input!J280</f>
        <v>0</v>
      </c>
      <c r="Y704" s="1182">
        <f t="shared" ref="Y704:Y728" si="522">X704*Y$700</f>
        <v>0</v>
      </c>
      <c r="Z704" s="343">
        <f t="shared" ref="Z704:Z728" si="523">IF((Y704-U704)=0,0,U704/(Y704-U704))</f>
        <v>0</v>
      </c>
      <c r="AA704" s="29"/>
      <c r="AB704" s="34">
        <f t="shared" ref="AB704:AB728" si="524">IF(V704&lt;AC$700,U704,0)</f>
        <v>0</v>
      </c>
      <c r="AC704" s="29"/>
      <c r="AD704" s="29"/>
      <c r="AE704" s="34">
        <f t="shared" ref="AE704:AE712" si="525">AB704</f>
        <v>0</v>
      </c>
      <c r="AF704" s="763">
        <f t="shared" si="516"/>
        <v>0</v>
      </c>
      <c r="AG704" s="763">
        <f t="shared" si="516"/>
        <v>0</v>
      </c>
      <c r="AH704" s="763">
        <f t="shared" si="516"/>
        <v>0</v>
      </c>
      <c r="AI704" s="763">
        <f t="shared" si="516"/>
        <v>0</v>
      </c>
      <c r="AJ704" s="763">
        <f t="shared" si="516"/>
        <v>0</v>
      </c>
      <c r="AK704" s="763">
        <f t="shared" si="516"/>
        <v>0</v>
      </c>
      <c r="AL704" s="763">
        <f t="shared" si="516"/>
        <v>0</v>
      </c>
      <c r="AM704" s="763">
        <f t="shared" si="516"/>
        <v>0</v>
      </c>
      <c r="AN704" s="763">
        <f t="shared" si="516"/>
        <v>0</v>
      </c>
      <c r="AO704" s="763">
        <f t="shared" si="516"/>
        <v>0</v>
      </c>
      <c r="AP704" s="763">
        <f t="shared" si="517"/>
        <v>0</v>
      </c>
      <c r="AQ704" s="763">
        <f t="shared" si="517"/>
        <v>0</v>
      </c>
      <c r="AR704" s="763">
        <f t="shared" si="517"/>
        <v>0</v>
      </c>
      <c r="AS704" s="763">
        <f t="shared" si="517"/>
        <v>0</v>
      </c>
      <c r="AT704" s="763">
        <f t="shared" si="517"/>
        <v>0</v>
      </c>
      <c r="AU704" s="763">
        <f t="shared" si="517"/>
        <v>0</v>
      </c>
      <c r="AV704" s="763">
        <f t="shared" si="517"/>
        <v>0</v>
      </c>
      <c r="AW704" s="763">
        <f t="shared" si="517"/>
        <v>0</v>
      </c>
      <c r="AX704" s="763">
        <f t="shared" si="517"/>
        <v>0</v>
      </c>
      <c r="AY704" s="763">
        <f t="shared" si="517"/>
        <v>0</v>
      </c>
      <c r="AZ704" s="763">
        <f t="shared" si="518"/>
        <v>0</v>
      </c>
      <c r="BA704" s="763">
        <f t="shared" si="518"/>
        <v>0</v>
      </c>
      <c r="BB704" s="763">
        <f t="shared" si="518"/>
        <v>0</v>
      </c>
      <c r="BC704" s="763">
        <f t="shared" si="518"/>
        <v>0</v>
      </c>
      <c r="BD704" s="763">
        <f t="shared" si="518"/>
        <v>0</v>
      </c>
      <c r="BE704" s="763">
        <f t="shared" si="518"/>
        <v>0</v>
      </c>
      <c r="BF704" s="763">
        <f t="shared" si="518"/>
        <v>0</v>
      </c>
      <c r="BG704" s="763">
        <f t="shared" si="518"/>
        <v>0</v>
      </c>
      <c r="BH704" s="763">
        <f t="shared" si="518"/>
        <v>0</v>
      </c>
      <c r="BI704" s="763">
        <f t="shared" si="518"/>
        <v>0</v>
      </c>
      <c r="BJ704" s="763">
        <f t="shared" si="519"/>
        <v>0</v>
      </c>
      <c r="BK704" s="763">
        <f t="shared" si="519"/>
        <v>0</v>
      </c>
      <c r="BL704" s="763">
        <f t="shared" si="519"/>
        <v>0</v>
      </c>
      <c r="BM704" s="763">
        <f t="shared" si="519"/>
        <v>0</v>
      </c>
      <c r="BN704" s="763">
        <f t="shared" si="519"/>
        <v>0</v>
      </c>
      <c r="BO704" s="763">
        <f t="shared" si="519"/>
        <v>0</v>
      </c>
      <c r="BP704" s="763">
        <f t="shared" si="519"/>
        <v>0</v>
      </c>
      <c r="BQ704" s="763">
        <f t="shared" si="519"/>
        <v>0</v>
      </c>
      <c r="BR704" s="763">
        <f t="shared" si="519"/>
        <v>0</v>
      </c>
      <c r="BS704" s="763">
        <f t="shared" si="519"/>
        <v>0</v>
      </c>
      <c r="BT704" s="763">
        <f t="shared" si="520"/>
        <v>0</v>
      </c>
      <c r="BU704" s="763">
        <f t="shared" si="520"/>
        <v>0</v>
      </c>
      <c r="BV704" s="763">
        <f t="shared" si="520"/>
        <v>0</v>
      </c>
      <c r="BW704" s="763">
        <f t="shared" si="520"/>
        <v>0</v>
      </c>
      <c r="BX704" s="763">
        <f t="shared" si="520"/>
        <v>0</v>
      </c>
      <c r="BY704" s="763">
        <f t="shared" si="520"/>
        <v>0</v>
      </c>
      <c r="BZ704" s="763">
        <f t="shared" si="520"/>
        <v>0</v>
      </c>
      <c r="CA704" s="763">
        <f t="shared" si="520"/>
        <v>0</v>
      </c>
      <c r="CB704" s="763">
        <f t="shared" si="520"/>
        <v>0</v>
      </c>
      <c r="CC704" s="763">
        <f t="shared" si="520"/>
        <v>0</v>
      </c>
      <c r="CD704" s="763">
        <f t="shared" si="521"/>
        <v>0</v>
      </c>
      <c r="CE704" s="763">
        <f t="shared" si="521"/>
        <v>0</v>
      </c>
      <c r="CF704" s="763">
        <f t="shared" si="521"/>
        <v>0</v>
      </c>
      <c r="CG704" s="763">
        <f t="shared" si="521"/>
        <v>0</v>
      </c>
      <c r="CH704" s="763">
        <f t="shared" si="521"/>
        <v>0</v>
      </c>
      <c r="CI704" s="763">
        <f t="shared" si="521"/>
        <v>0</v>
      </c>
      <c r="CJ704" s="763">
        <f t="shared" si="521"/>
        <v>0</v>
      </c>
      <c r="CK704" s="763">
        <f t="shared" si="521"/>
        <v>0</v>
      </c>
      <c r="CL704" s="763">
        <f t="shared" si="521"/>
        <v>0</v>
      </c>
      <c r="CM704" s="763">
        <f t="shared" si="521"/>
        <v>0</v>
      </c>
    </row>
    <row r="705" spans="11:91" ht="12" customHeight="1" x14ac:dyDescent="0.35">
      <c r="K705" s="28"/>
      <c r="L705" s="28"/>
      <c r="M705" s="28"/>
      <c r="N705" s="28"/>
      <c r="O705" s="28"/>
      <c r="P705" s="28"/>
      <c r="Q705" s="54" t="s">
        <v>62</v>
      </c>
      <c r="R705" s="492">
        <f>SUM(Input!P279:P281)</f>
        <v>0</v>
      </c>
      <c r="S705" s="400">
        <v>3</v>
      </c>
      <c r="T705" s="358">
        <f>Input!D281</f>
        <v>0</v>
      </c>
      <c r="U705" s="191">
        <f>IF(Input!$F$278&gt;=S705,Input!G281,0)</f>
        <v>0</v>
      </c>
      <c r="V705" s="1201">
        <f>Input!H281</f>
        <v>0</v>
      </c>
      <c r="W705" s="344">
        <f>Input!I281</f>
        <v>0</v>
      </c>
      <c r="X705" s="359">
        <f>Input!J281</f>
        <v>0</v>
      </c>
      <c r="Y705" s="1182">
        <f t="shared" si="522"/>
        <v>0</v>
      </c>
      <c r="Z705" s="343">
        <f t="shared" si="523"/>
        <v>0</v>
      </c>
      <c r="AA705" s="29"/>
      <c r="AB705" s="34">
        <f t="shared" si="524"/>
        <v>0</v>
      </c>
      <c r="AC705" s="29"/>
      <c r="AD705" s="29"/>
      <c r="AE705" s="34">
        <f t="shared" si="525"/>
        <v>0</v>
      </c>
      <c r="AF705" s="763">
        <f t="shared" si="516"/>
        <v>0</v>
      </c>
      <c r="AG705" s="763">
        <f t="shared" si="516"/>
        <v>0</v>
      </c>
      <c r="AH705" s="763">
        <f t="shared" si="516"/>
        <v>0</v>
      </c>
      <c r="AI705" s="763">
        <f t="shared" si="516"/>
        <v>0</v>
      </c>
      <c r="AJ705" s="763">
        <f t="shared" si="516"/>
        <v>0</v>
      </c>
      <c r="AK705" s="763">
        <f t="shared" si="516"/>
        <v>0</v>
      </c>
      <c r="AL705" s="763">
        <f t="shared" si="516"/>
        <v>0</v>
      </c>
      <c r="AM705" s="763">
        <f t="shared" si="516"/>
        <v>0</v>
      </c>
      <c r="AN705" s="763">
        <f t="shared" si="516"/>
        <v>0</v>
      </c>
      <c r="AO705" s="763">
        <f t="shared" si="516"/>
        <v>0</v>
      </c>
      <c r="AP705" s="763">
        <f t="shared" si="517"/>
        <v>0</v>
      </c>
      <c r="AQ705" s="763">
        <f t="shared" si="517"/>
        <v>0</v>
      </c>
      <c r="AR705" s="763">
        <f t="shared" si="517"/>
        <v>0</v>
      </c>
      <c r="AS705" s="763">
        <f t="shared" si="517"/>
        <v>0</v>
      </c>
      <c r="AT705" s="763">
        <f t="shared" si="517"/>
        <v>0</v>
      </c>
      <c r="AU705" s="763">
        <f t="shared" si="517"/>
        <v>0</v>
      </c>
      <c r="AV705" s="763">
        <f t="shared" si="517"/>
        <v>0</v>
      </c>
      <c r="AW705" s="763">
        <f t="shared" si="517"/>
        <v>0</v>
      </c>
      <c r="AX705" s="763">
        <f t="shared" si="517"/>
        <v>0</v>
      </c>
      <c r="AY705" s="763">
        <f t="shared" si="517"/>
        <v>0</v>
      </c>
      <c r="AZ705" s="763">
        <f t="shared" si="518"/>
        <v>0</v>
      </c>
      <c r="BA705" s="763">
        <f t="shared" si="518"/>
        <v>0</v>
      </c>
      <c r="BB705" s="763">
        <f t="shared" si="518"/>
        <v>0</v>
      </c>
      <c r="BC705" s="763">
        <f t="shared" si="518"/>
        <v>0</v>
      </c>
      <c r="BD705" s="763">
        <f t="shared" si="518"/>
        <v>0</v>
      </c>
      <c r="BE705" s="763">
        <f t="shared" si="518"/>
        <v>0</v>
      </c>
      <c r="BF705" s="763">
        <f t="shared" si="518"/>
        <v>0</v>
      </c>
      <c r="BG705" s="763">
        <f t="shared" si="518"/>
        <v>0</v>
      </c>
      <c r="BH705" s="763">
        <f t="shared" si="518"/>
        <v>0</v>
      </c>
      <c r="BI705" s="763">
        <f t="shared" si="518"/>
        <v>0</v>
      </c>
      <c r="BJ705" s="763">
        <f t="shared" si="519"/>
        <v>0</v>
      </c>
      <c r="BK705" s="763">
        <f t="shared" si="519"/>
        <v>0</v>
      </c>
      <c r="BL705" s="763">
        <f t="shared" si="519"/>
        <v>0</v>
      </c>
      <c r="BM705" s="763">
        <f t="shared" si="519"/>
        <v>0</v>
      </c>
      <c r="BN705" s="763">
        <f t="shared" si="519"/>
        <v>0</v>
      </c>
      <c r="BO705" s="763">
        <f t="shared" si="519"/>
        <v>0</v>
      </c>
      <c r="BP705" s="763">
        <f t="shared" si="519"/>
        <v>0</v>
      </c>
      <c r="BQ705" s="763">
        <f t="shared" si="519"/>
        <v>0</v>
      </c>
      <c r="BR705" s="763">
        <f t="shared" si="519"/>
        <v>0</v>
      </c>
      <c r="BS705" s="763">
        <f t="shared" si="519"/>
        <v>0</v>
      </c>
      <c r="BT705" s="763">
        <f t="shared" si="520"/>
        <v>0</v>
      </c>
      <c r="BU705" s="763">
        <f t="shared" si="520"/>
        <v>0</v>
      </c>
      <c r="BV705" s="763">
        <f t="shared" si="520"/>
        <v>0</v>
      </c>
      <c r="BW705" s="763">
        <f t="shared" si="520"/>
        <v>0</v>
      </c>
      <c r="BX705" s="763">
        <f t="shared" si="520"/>
        <v>0</v>
      </c>
      <c r="BY705" s="763">
        <f t="shared" si="520"/>
        <v>0</v>
      </c>
      <c r="BZ705" s="763">
        <f t="shared" si="520"/>
        <v>0</v>
      </c>
      <c r="CA705" s="763">
        <f t="shared" si="520"/>
        <v>0</v>
      </c>
      <c r="CB705" s="763">
        <f t="shared" si="520"/>
        <v>0</v>
      </c>
      <c r="CC705" s="763">
        <f t="shared" si="520"/>
        <v>0</v>
      </c>
      <c r="CD705" s="763">
        <f t="shared" si="521"/>
        <v>0</v>
      </c>
      <c r="CE705" s="763">
        <f t="shared" si="521"/>
        <v>0</v>
      </c>
      <c r="CF705" s="763">
        <f t="shared" si="521"/>
        <v>0</v>
      </c>
      <c r="CG705" s="763">
        <f t="shared" si="521"/>
        <v>0</v>
      </c>
      <c r="CH705" s="763">
        <f t="shared" si="521"/>
        <v>0</v>
      </c>
      <c r="CI705" s="763">
        <f t="shared" si="521"/>
        <v>0</v>
      </c>
      <c r="CJ705" s="763">
        <f t="shared" si="521"/>
        <v>0</v>
      </c>
      <c r="CK705" s="763">
        <f t="shared" si="521"/>
        <v>0</v>
      </c>
      <c r="CL705" s="763">
        <f t="shared" si="521"/>
        <v>0</v>
      </c>
      <c r="CM705" s="763">
        <f t="shared" si="521"/>
        <v>0</v>
      </c>
    </row>
    <row r="706" spans="11:91" ht="12" customHeight="1" x14ac:dyDescent="0.35">
      <c r="K706" s="28"/>
      <c r="L706" s="28"/>
      <c r="M706" s="28"/>
      <c r="N706" s="28"/>
      <c r="O706" s="28"/>
      <c r="P706" s="28"/>
      <c r="Q706" s="54" t="s">
        <v>466</v>
      </c>
      <c r="R706" s="492">
        <f>SUM(Input!P297:P299)</f>
        <v>0</v>
      </c>
      <c r="S706" s="400">
        <v>4</v>
      </c>
      <c r="T706" s="358">
        <f>Input!D282</f>
        <v>0</v>
      </c>
      <c r="U706" s="191">
        <f>IF(Input!$F$278&gt;=S706,Input!G282,0)</f>
        <v>0</v>
      </c>
      <c r="V706" s="1201">
        <f>Input!H282</f>
        <v>0</v>
      </c>
      <c r="W706" s="344">
        <f>Input!I282</f>
        <v>0</v>
      </c>
      <c r="X706" s="359">
        <f>Input!J282</f>
        <v>0</v>
      </c>
      <c r="Y706" s="1182">
        <f t="shared" si="522"/>
        <v>0</v>
      </c>
      <c r="Z706" s="343">
        <f t="shared" si="523"/>
        <v>0</v>
      </c>
      <c r="AA706" s="29"/>
      <c r="AB706" s="34">
        <f t="shared" si="524"/>
        <v>0</v>
      </c>
      <c r="AC706" s="29"/>
      <c r="AD706" s="29"/>
      <c r="AE706" s="34">
        <f t="shared" si="525"/>
        <v>0</v>
      </c>
      <c r="AF706" s="763">
        <f t="shared" si="516"/>
        <v>0</v>
      </c>
      <c r="AG706" s="763">
        <f t="shared" si="516"/>
        <v>0</v>
      </c>
      <c r="AH706" s="763">
        <f t="shared" si="516"/>
        <v>0</v>
      </c>
      <c r="AI706" s="763">
        <f t="shared" si="516"/>
        <v>0</v>
      </c>
      <c r="AJ706" s="763">
        <f t="shared" si="516"/>
        <v>0</v>
      </c>
      <c r="AK706" s="763">
        <f t="shared" si="516"/>
        <v>0</v>
      </c>
      <c r="AL706" s="763">
        <f t="shared" si="516"/>
        <v>0</v>
      </c>
      <c r="AM706" s="763">
        <f t="shared" si="516"/>
        <v>0</v>
      </c>
      <c r="AN706" s="763">
        <f t="shared" si="516"/>
        <v>0</v>
      </c>
      <c r="AO706" s="763">
        <f t="shared" si="516"/>
        <v>0</v>
      </c>
      <c r="AP706" s="763">
        <f t="shared" si="517"/>
        <v>0</v>
      </c>
      <c r="AQ706" s="763">
        <f t="shared" si="517"/>
        <v>0</v>
      </c>
      <c r="AR706" s="763">
        <f t="shared" si="517"/>
        <v>0</v>
      </c>
      <c r="AS706" s="763">
        <f t="shared" si="517"/>
        <v>0</v>
      </c>
      <c r="AT706" s="763">
        <f t="shared" si="517"/>
        <v>0</v>
      </c>
      <c r="AU706" s="763">
        <f t="shared" si="517"/>
        <v>0</v>
      </c>
      <c r="AV706" s="763">
        <f t="shared" si="517"/>
        <v>0</v>
      </c>
      <c r="AW706" s="763">
        <f t="shared" si="517"/>
        <v>0</v>
      </c>
      <c r="AX706" s="763">
        <f t="shared" si="517"/>
        <v>0</v>
      </c>
      <c r="AY706" s="763">
        <f t="shared" si="517"/>
        <v>0</v>
      </c>
      <c r="AZ706" s="763">
        <f t="shared" si="518"/>
        <v>0</v>
      </c>
      <c r="BA706" s="763">
        <f t="shared" si="518"/>
        <v>0</v>
      </c>
      <c r="BB706" s="763">
        <f t="shared" si="518"/>
        <v>0</v>
      </c>
      <c r="BC706" s="763">
        <f t="shared" si="518"/>
        <v>0</v>
      </c>
      <c r="BD706" s="763">
        <f t="shared" si="518"/>
        <v>0</v>
      </c>
      <c r="BE706" s="763">
        <f t="shared" si="518"/>
        <v>0</v>
      </c>
      <c r="BF706" s="763">
        <f t="shared" si="518"/>
        <v>0</v>
      </c>
      <c r="BG706" s="763">
        <f t="shared" si="518"/>
        <v>0</v>
      </c>
      <c r="BH706" s="763">
        <f t="shared" si="518"/>
        <v>0</v>
      </c>
      <c r="BI706" s="763">
        <f t="shared" si="518"/>
        <v>0</v>
      </c>
      <c r="BJ706" s="763">
        <f t="shared" si="519"/>
        <v>0</v>
      </c>
      <c r="BK706" s="763">
        <f t="shared" si="519"/>
        <v>0</v>
      </c>
      <c r="BL706" s="763">
        <f t="shared" si="519"/>
        <v>0</v>
      </c>
      <c r="BM706" s="763">
        <f t="shared" si="519"/>
        <v>0</v>
      </c>
      <c r="BN706" s="763">
        <f t="shared" si="519"/>
        <v>0</v>
      </c>
      <c r="BO706" s="763">
        <f t="shared" si="519"/>
        <v>0</v>
      </c>
      <c r="BP706" s="763">
        <f t="shared" si="519"/>
        <v>0</v>
      </c>
      <c r="BQ706" s="763">
        <f t="shared" si="519"/>
        <v>0</v>
      </c>
      <c r="BR706" s="763">
        <f t="shared" si="519"/>
        <v>0</v>
      </c>
      <c r="BS706" s="763">
        <f t="shared" si="519"/>
        <v>0</v>
      </c>
      <c r="BT706" s="763">
        <f t="shared" si="520"/>
        <v>0</v>
      </c>
      <c r="BU706" s="763">
        <f t="shared" si="520"/>
        <v>0</v>
      </c>
      <c r="BV706" s="763">
        <f t="shared" si="520"/>
        <v>0</v>
      </c>
      <c r="BW706" s="763">
        <f t="shared" si="520"/>
        <v>0</v>
      </c>
      <c r="BX706" s="763">
        <f t="shared" si="520"/>
        <v>0</v>
      </c>
      <c r="BY706" s="763">
        <f t="shared" si="520"/>
        <v>0</v>
      </c>
      <c r="BZ706" s="763">
        <f t="shared" si="520"/>
        <v>0</v>
      </c>
      <c r="CA706" s="763">
        <f t="shared" si="520"/>
        <v>0</v>
      </c>
      <c r="CB706" s="763">
        <f t="shared" si="520"/>
        <v>0</v>
      </c>
      <c r="CC706" s="763">
        <f t="shared" si="520"/>
        <v>0</v>
      </c>
      <c r="CD706" s="763">
        <f t="shared" si="521"/>
        <v>0</v>
      </c>
      <c r="CE706" s="763">
        <f t="shared" si="521"/>
        <v>0</v>
      </c>
      <c r="CF706" s="763">
        <f t="shared" si="521"/>
        <v>0</v>
      </c>
      <c r="CG706" s="763">
        <f t="shared" si="521"/>
        <v>0</v>
      </c>
      <c r="CH706" s="763">
        <f t="shared" si="521"/>
        <v>0</v>
      </c>
      <c r="CI706" s="763">
        <f t="shared" si="521"/>
        <v>0</v>
      </c>
      <c r="CJ706" s="763">
        <f t="shared" si="521"/>
        <v>0</v>
      </c>
      <c r="CK706" s="763">
        <f t="shared" si="521"/>
        <v>0</v>
      </c>
      <c r="CL706" s="763">
        <f t="shared" si="521"/>
        <v>0</v>
      </c>
      <c r="CM706" s="763">
        <f t="shared" si="521"/>
        <v>0</v>
      </c>
    </row>
    <row r="707" spans="11:91" ht="12" customHeight="1" x14ac:dyDescent="0.35">
      <c r="K707" s="28"/>
      <c r="L707" s="28"/>
      <c r="M707" s="28"/>
      <c r="N707" s="28"/>
      <c r="O707" s="28"/>
      <c r="P707" s="28"/>
      <c r="Q707" s="38"/>
      <c r="R707" s="31">
        <f>IF(Input!D$298=L994,Input!D$297,0)</f>
        <v>0</v>
      </c>
      <c r="S707" s="400">
        <v>5</v>
      </c>
      <c r="T707" s="358">
        <f>Input!D283</f>
        <v>0</v>
      </c>
      <c r="U707" s="191">
        <f>IF(Input!$F$278&gt;=S707,Input!G283,0)</f>
        <v>0</v>
      </c>
      <c r="V707" s="1201">
        <f>Input!H283</f>
        <v>0</v>
      </c>
      <c r="W707" s="344">
        <f>Input!I283</f>
        <v>0</v>
      </c>
      <c r="X707" s="359">
        <f>Input!J283</f>
        <v>0</v>
      </c>
      <c r="Y707" s="1182">
        <f t="shared" si="522"/>
        <v>0</v>
      </c>
      <c r="Z707" s="343">
        <f t="shared" si="523"/>
        <v>0</v>
      </c>
      <c r="AA707" s="29"/>
      <c r="AB707" s="34">
        <f t="shared" si="524"/>
        <v>0</v>
      </c>
      <c r="AC707" s="29"/>
      <c r="AD707" s="29"/>
      <c r="AE707" s="34">
        <f t="shared" si="525"/>
        <v>0</v>
      </c>
      <c r="AF707" s="763">
        <f t="shared" si="516"/>
        <v>0</v>
      </c>
      <c r="AG707" s="763">
        <f t="shared" si="516"/>
        <v>0</v>
      </c>
      <c r="AH707" s="763">
        <f t="shared" si="516"/>
        <v>0</v>
      </c>
      <c r="AI707" s="763">
        <f t="shared" si="516"/>
        <v>0</v>
      </c>
      <c r="AJ707" s="763">
        <f t="shared" si="516"/>
        <v>0</v>
      </c>
      <c r="AK707" s="763">
        <f t="shared" si="516"/>
        <v>0</v>
      </c>
      <c r="AL707" s="763">
        <f t="shared" si="516"/>
        <v>0</v>
      </c>
      <c r="AM707" s="763">
        <f t="shared" si="516"/>
        <v>0</v>
      </c>
      <c r="AN707" s="763">
        <f t="shared" si="516"/>
        <v>0</v>
      </c>
      <c r="AO707" s="763">
        <f t="shared" si="516"/>
        <v>0</v>
      </c>
      <c r="AP707" s="763">
        <f t="shared" si="517"/>
        <v>0</v>
      </c>
      <c r="AQ707" s="763">
        <f t="shared" si="517"/>
        <v>0</v>
      </c>
      <c r="AR707" s="763">
        <f t="shared" si="517"/>
        <v>0</v>
      </c>
      <c r="AS707" s="763">
        <f t="shared" si="517"/>
        <v>0</v>
      </c>
      <c r="AT707" s="763">
        <f t="shared" si="517"/>
        <v>0</v>
      </c>
      <c r="AU707" s="763">
        <f t="shared" si="517"/>
        <v>0</v>
      </c>
      <c r="AV707" s="763">
        <f t="shared" si="517"/>
        <v>0</v>
      </c>
      <c r="AW707" s="763">
        <f t="shared" si="517"/>
        <v>0</v>
      </c>
      <c r="AX707" s="763">
        <f t="shared" si="517"/>
        <v>0</v>
      </c>
      <c r="AY707" s="763">
        <f t="shared" si="517"/>
        <v>0</v>
      </c>
      <c r="AZ707" s="763">
        <f t="shared" si="518"/>
        <v>0</v>
      </c>
      <c r="BA707" s="763">
        <f t="shared" si="518"/>
        <v>0</v>
      </c>
      <c r="BB707" s="763">
        <f t="shared" si="518"/>
        <v>0</v>
      </c>
      <c r="BC707" s="763">
        <f t="shared" si="518"/>
        <v>0</v>
      </c>
      <c r="BD707" s="763">
        <f t="shared" si="518"/>
        <v>0</v>
      </c>
      <c r="BE707" s="763">
        <f t="shared" si="518"/>
        <v>0</v>
      </c>
      <c r="BF707" s="763">
        <f t="shared" si="518"/>
        <v>0</v>
      </c>
      <c r="BG707" s="763">
        <f t="shared" si="518"/>
        <v>0</v>
      </c>
      <c r="BH707" s="763">
        <f t="shared" si="518"/>
        <v>0</v>
      </c>
      <c r="BI707" s="763">
        <f t="shared" si="518"/>
        <v>0</v>
      </c>
      <c r="BJ707" s="763">
        <f t="shared" si="519"/>
        <v>0</v>
      </c>
      <c r="BK707" s="763">
        <f t="shared" si="519"/>
        <v>0</v>
      </c>
      <c r="BL707" s="763">
        <f t="shared" si="519"/>
        <v>0</v>
      </c>
      <c r="BM707" s="763">
        <f t="shared" si="519"/>
        <v>0</v>
      </c>
      <c r="BN707" s="763">
        <f t="shared" si="519"/>
        <v>0</v>
      </c>
      <c r="BO707" s="763">
        <f t="shared" si="519"/>
        <v>0</v>
      </c>
      <c r="BP707" s="763">
        <f t="shared" si="519"/>
        <v>0</v>
      </c>
      <c r="BQ707" s="763">
        <f t="shared" si="519"/>
        <v>0</v>
      </c>
      <c r="BR707" s="763">
        <f t="shared" si="519"/>
        <v>0</v>
      </c>
      <c r="BS707" s="763">
        <f t="shared" si="519"/>
        <v>0</v>
      </c>
      <c r="BT707" s="763">
        <f t="shared" si="520"/>
        <v>0</v>
      </c>
      <c r="BU707" s="763">
        <f t="shared" si="520"/>
        <v>0</v>
      </c>
      <c r="BV707" s="763">
        <f t="shared" si="520"/>
        <v>0</v>
      </c>
      <c r="BW707" s="763">
        <f t="shared" si="520"/>
        <v>0</v>
      </c>
      <c r="BX707" s="763">
        <f t="shared" si="520"/>
        <v>0</v>
      </c>
      <c r="BY707" s="763">
        <f t="shared" si="520"/>
        <v>0</v>
      </c>
      <c r="BZ707" s="763">
        <f t="shared" si="520"/>
        <v>0</v>
      </c>
      <c r="CA707" s="763">
        <f t="shared" si="520"/>
        <v>0</v>
      </c>
      <c r="CB707" s="763">
        <f t="shared" si="520"/>
        <v>0</v>
      </c>
      <c r="CC707" s="763">
        <f t="shared" si="520"/>
        <v>0</v>
      </c>
      <c r="CD707" s="763">
        <f t="shared" si="521"/>
        <v>0</v>
      </c>
      <c r="CE707" s="763">
        <f t="shared" si="521"/>
        <v>0</v>
      </c>
      <c r="CF707" s="763">
        <f t="shared" si="521"/>
        <v>0</v>
      </c>
      <c r="CG707" s="763">
        <f t="shared" si="521"/>
        <v>0</v>
      </c>
      <c r="CH707" s="763">
        <f t="shared" si="521"/>
        <v>0</v>
      </c>
      <c r="CI707" s="763">
        <f t="shared" si="521"/>
        <v>0</v>
      </c>
      <c r="CJ707" s="763">
        <f t="shared" si="521"/>
        <v>0</v>
      </c>
      <c r="CK707" s="763">
        <f t="shared" si="521"/>
        <v>0</v>
      </c>
      <c r="CL707" s="763">
        <f t="shared" si="521"/>
        <v>0</v>
      </c>
      <c r="CM707" s="763">
        <f t="shared" si="521"/>
        <v>0</v>
      </c>
    </row>
    <row r="708" spans="11:91" ht="12" customHeight="1" x14ac:dyDescent="0.35">
      <c r="K708" s="28"/>
      <c r="L708" s="28"/>
      <c r="M708" s="28"/>
      <c r="N708" s="28"/>
      <c r="O708" s="28"/>
      <c r="P708" s="28"/>
      <c r="Q708" s="38"/>
      <c r="R708" s="31">
        <f>IF(Input!D$298=L995,Input!D$297,0)</f>
        <v>0</v>
      </c>
      <c r="S708" s="400">
        <v>6</v>
      </c>
      <c r="T708" s="358">
        <f>Input!D284</f>
        <v>0</v>
      </c>
      <c r="U708" s="191">
        <f>IF(Input!$F$278&gt;=S708,Input!G284,0)</f>
        <v>0</v>
      </c>
      <c r="V708" s="1201">
        <f>Input!H284</f>
        <v>0</v>
      </c>
      <c r="W708" s="344">
        <f>Input!I284</f>
        <v>0</v>
      </c>
      <c r="X708" s="359">
        <f>Input!J284</f>
        <v>0</v>
      </c>
      <c r="Y708" s="1182">
        <f t="shared" si="522"/>
        <v>0</v>
      </c>
      <c r="Z708" s="343">
        <f t="shared" si="523"/>
        <v>0</v>
      </c>
      <c r="AA708" s="29"/>
      <c r="AB708" s="34">
        <f t="shared" si="524"/>
        <v>0</v>
      </c>
      <c r="AC708" s="29"/>
      <c r="AD708" s="29"/>
      <c r="AE708" s="34">
        <f t="shared" si="525"/>
        <v>0</v>
      </c>
      <c r="AF708" s="763">
        <f t="shared" si="516"/>
        <v>0</v>
      </c>
      <c r="AG708" s="763">
        <f t="shared" si="516"/>
        <v>0</v>
      </c>
      <c r="AH708" s="763">
        <f t="shared" si="516"/>
        <v>0</v>
      </c>
      <c r="AI708" s="763">
        <f t="shared" si="516"/>
        <v>0</v>
      </c>
      <c r="AJ708" s="763">
        <f t="shared" si="516"/>
        <v>0</v>
      </c>
      <c r="AK708" s="763">
        <f t="shared" si="516"/>
        <v>0</v>
      </c>
      <c r="AL708" s="763">
        <f t="shared" si="516"/>
        <v>0</v>
      </c>
      <c r="AM708" s="763">
        <f t="shared" si="516"/>
        <v>0</v>
      </c>
      <c r="AN708" s="763">
        <f t="shared" si="516"/>
        <v>0</v>
      </c>
      <c r="AO708" s="763">
        <f t="shared" si="516"/>
        <v>0</v>
      </c>
      <c r="AP708" s="763">
        <f t="shared" si="517"/>
        <v>0</v>
      </c>
      <c r="AQ708" s="763">
        <f t="shared" si="517"/>
        <v>0</v>
      </c>
      <c r="AR708" s="763">
        <f t="shared" si="517"/>
        <v>0</v>
      </c>
      <c r="AS708" s="763">
        <f t="shared" si="517"/>
        <v>0</v>
      </c>
      <c r="AT708" s="763">
        <f t="shared" si="517"/>
        <v>0</v>
      </c>
      <c r="AU708" s="763">
        <f t="shared" si="517"/>
        <v>0</v>
      </c>
      <c r="AV708" s="763">
        <f t="shared" si="517"/>
        <v>0</v>
      </c>
      <c r="AW708" s="763">
        <f t="shared" si="517"/>
        <v>0</v>
      </c>
      <c r="AX708" s="763">
        <f t="shared" si="517"/>
        <v>0</v>
      </c>
      <c r="AY708" s="763">
        <f t="shared" si="517"/>
        <v>0</v>
      </c>
      <c r="AZ708" s="763">
        <f t="shared" si="518"/>
        <v>0</v>
      </c>
      <c r="BA708" s="763">
        <f t="shared" si="518"/>
        <v>0</v>
      </c>
      <c r="BB708" s="763">
        <f t="shared" si="518"/>
        <v>0</v>
      </c>
      <c r="BC708" s="763">
        <f t="shared" si="518"/>
        <v>0</v>
      </c>
      <c r="BD708" s="763">
        <f t="shared" si="518"/>
        <v>0</v>
      </c>
      <c r="BE708" s="763">
        <f t="shared" si="518"/>
        <v>0</v>
      </c>
      <c r="BF708" s="763">
        <f t="shared" si="518"/>
        <v>0</v>
      </c>
      <c r="BG708" s="763">
        <f t="shared" si="518"/>
        <v>0</v>
      </c>
      <c r="BH708" s="763">
        <f t="shared" si="518"/>
        <v>0</v>
      </c>
      <c r="BI708" s="763">
        <f t="shared" si="518"/>
        <v>0</v>
      </c>
      <c r="BJ708" s="763">
        <f t="shared" si="519"/>
        <v>0</v>
      </c>
      <c r="BK708" s="763">
        <f t="shared" si="519"/>
        <v>0</v>
      </c>
      <c r="BL708" s="763">
        <f t="shared" si="519"/>
        <v>0</v>
      </c>
      <c r="BM708" s="763">
        <f t="shared" si="519"/>
        <v>0</v>
      </c>
      <c r="BN708" s="763">
        <f t="shared" si="519"/>
        <v>0</v>
      </c>
      <c r="BO708" s="763">
        <f t="shared" si="519"/>
        <v>0</v>
      </c>
      <c r="BP708" s="763">
        <f t="shared" si="519"/>
        <v>0</v>
      </c>
      <c r="BQ708" s="763">
        <f t="shared" si="519"/>
        <v>0</v>
      </c>
      <c r="BR708" s="763">
        <f t="shared" si="519"/>
        <v>0</v>
      </c>
      <c r="BS708" s="763">
        <f t="shared" si="519"/>
        <v>0</v>
      </c>
      <c r="BT708" s="763">
        <f t="shared" si="520"/>
        <v>0</v>
      </c>
      <c r="BU708" s="763">
        <f t="shared" si="520"/>
        <v>0</v>
      </c>
      <c r="BV708" s="763">
        <f t="shared" si="520"/>
        <v>0</v>
      </c>
      <c r="BW708" s="763">
        <f t="shared" si="520"/>
        <v>0</v>
      </c>
      <c r="BX708" s="763">
        <f t="shared" si="520"/>
        <v>0</v>
      </c>
      <c r="BY708" s="763">
        <f t="shared" si="520"/>
        <v>0</v>
      </c>
      <c r="BZ708" s="763">
        <f t="shared" si="520"/>
        <v>0</v>
      </c>
      <c r="CA708" s="763">
        <f t="shared" si="520"/>
        <v>0</v>
      </c>
      <c r="CB708" s="763">
        <f t="shared" si="520"/>
        <v>0</v>
      </c>
      <c r="CC708" s="763">
        <f t="shared" si="520"/>
        <v>0</v>
      </c>
      <c r="CD708" s="763">
        <f t="shared" si="521"/>
        <v>0</v>
      </c>
      <c r="CE708" s="763">
        <f t="shared" si="521"/>
        <v>0</v>
      </c>
      <c r="CF708" s="763">
        <f t="shared" si="521"/>
        <v>0</v>
      </c>
      <c r="CG708" s="763">
        <f t="shared" si="521"/>
        <v>0</v>
      </c>
      <c r="CH708" s="763">
        <f t="shared" si="521"/>
        <v>0</v>
      </c>
      <c r="CI708" s="763">
        <f t="shared" si="521"/>
        <v>0</v>
      </c>
      <c r="CJ708" s="763">
        <f t="shared" si="521"/>
        <v>0</v>
      </c>
      <c r="CK708" s="763">
        <f t="shared" si="521"/>
        <v>0</v>
      </c>
      <c r="CL708" s="763">
        <f t="shared" si="521"/>
        <v>0</v>
      </c>
      <c r="CM708" s="763">
        <f t="shared" si="521"/>
        <v>0</v>
      </c>
    </row>
    <row r="709" spans="11:91" ht="12" customHeight="1" x14ac:dyDescent="0.35">
      <c r="K709" s="28"/>
      <c r="L709" s="28"/>
      <c r="M709" s="28"/>
      <c r="N709" s="28"/>
      <c r="O709" s="28"/>
      <c r="P709" s="28"/>
      <c r="Q709" s="38"/>
      <c r="R709" s="31">
        <f>IF(Input!D$298=L996,Input!D$297,0)</f>
        <v>0</v>
      </c>
      <c r="S709" s="400">
        <v>7</v>
      </c>
      <c r="T709" s="358">
        <f>Input!D285</f>
        <v>0</v>
      </c>
      <c r="U709" s="191">
        <f>IF(Input!$F$278&gt;=S709,Input!G285,0)</f>
        <v>0</v>
      </c>
      <c r="V709" s="1201">
        <f>Input!H285</f>
        <v>0</v>
      </c>
      <c r="W709" s="344">
        <f>Input!I285</f>
        <v>0</v>
      </c>
      <c r="X709" s="359">
        <f>Input!J285</f>
        <v>0</v>
      </c>
      <c r="Y709" s="1182">
        <f t="shared" si="522"/>
        <v>0</v>
      </c>
      <c r="Z709" s="343">
        <f t="shared" si="523"/>
        <v>0</v>
      </c>
      <c r="AA709" s="29"/>
      <c r="AB709" s="34">
        <f t="shared" si="524"/>
        <v>0</v>
      </c>
      <c r="AC709" s="29"/>
      <c r="AD709" s="29"/>
      <c r="AE709" s="34">
        <f t="shared" si="525"/>
        <v>0</v>
      </c>
      <c r="AF709" s="763">
        <f t="shared" si="516"/>
        <v>0</v>
      </c>
      <c r="AG709" s="763">
        <f t="shared" si="516"/>
        <v>0</v>
      </c>
      <c r="AH709" s="763">
        <f t="shared" si="516"/>
        <v>0</v>
      </c>
      <c r="AI709" s="763">
        <f t="shared" si="516"/>
        <v>0</v>
      </c>
      <c r="AJ709" s="763">
        <f t="shared" si="516"/>
        <v>0</v>
      </c>
      <c r="AK709" s="763">
        <f t="shared" si="516"/>
        <v>0</v>
      </c>
      <c r="AL709" s="763">
        <f t="shared" si="516"/>
        <v>0</v>
      </c>
      <c r="AM709" s="763">
        <f t="shared" si="516"/>
        <v>0</v>
      </c>
      <c r="AN709" s="763">
        <f t="shared" si="516"/>
        <v>0</v>
      </c>
      <c r="AO709" s="763">
        <f t="shared" si="516"/>
        <v>0</v>
      </c>
      <c r="AP709" s="763">
        <f t="shared" si="517"/>
        <v>0</v>
      </c>
      <c r="AQ709" s="763">
        <f t="shared" si="517"/>
        <v>0</v>
      </c>
      <c r="AR709" s="763">
        <f t="shared" si="517"/>
        <v>0</v>
      </c>
      <c r="AS709" s="763">
        <f t="shared" si="517"/>
        <v>0</v>
      </c>
      <c r="AT709" s="763">
        <f t="shared" si="517"/>
        <v>0</v>
      </c>
      <c r="AU709" s="763">
        <f t="shared" si="517"/>
        <v>0</v>
      </c>
      <c r="AV709" s="763">
        <f t="shared" si="517"/>
        <v>0</v>
      </c>
      <c r="AW709" s="763">
        <f t="shared" si="517"/>
        <v>0</v>
      </c>
      <c r="AX709" s="763">
        <f t="shared" si="517"/>
        <v>0</v>
      </c>
      <c r="AY709" s="763">
        <f t="shared" si="517"/>
        <v>0</v>
      </c>
      <c r="AZ709" s="763">
        <f t="shared" si="518"/>
        <v>0</v>
      </c>
      <c r="BA709" s="763">
        <f t="shared" si="518"/>
        <v>0</v>
      </c>
      <c r="BB709" s="763">
        <f t="shared" si="518"/>
        <v>0</v>
      </c>
      <c r="BC709" s="763">
        <f t="shared" si="518"/>
        <v>0</v>
      </c>
      <c r="BD709" s="763">
        <f t="shared" si="518"/>
        <v>0</v>
      </c>
      <c r="BE709" s="763">
        <f t="shared" si="518"/>
        <v>0</v>
      </c>
      <c r="BF709" s="763">
        <f t="shared" si="518"/>
        <v>0</v>
      </c>
      <c r="BG709" s="763">
        <f t="shared" si="518"/>
        <v>0</v>
      </c>
      <c r="BH709" s="763">
        <f t="shared" si="518"/>
        <v>0</v>
      </c>
      <c r="BI709" s="763">
        <f t="shared" si="518"/>
        <v>0</v>
      </c>
      <c r="BJ709" s="763">
        <f t="shared" si="519"/>
        <v>0</v>
      </c>
      <c r="BK709" s="763">
        <f t="shared" si="519"/>
        <v>0</v>
      </c>
      <c r="BL709" s="763">
        <f t="shared" si="519"/>
        <v>0</v>
      </c>
      <c r="BM709" s="763">
        <f t="shared" si="519"/>
        <v>0</v>
      </c>
      <c r="BN709" s="763">
        <f t="shared" si="519"/>
        <v>0</v>
      </c>
      <c r="BO709" s="763">
        <f t="shared" si="519"/>
        <v>0</v>
      </c>
      <c r="BP709" s="763">
        <f t="shared" si="519"/>
        <v>0</v>
      </c>
      <c r="BQ709" s="763">
        <f t="shared" si="519"/>
        <v>0</v>
      </c>
      <c r="BR709" s="763">
        <f t="shared" si="519"/>
        <v>0</v>
      </c>
      <c r="BS709" s="763">
        <f t="shared" si="519"/>
        <v>0</v>
      </c>
      <c r="BT709" s="763">
        <f t="shared" si="520"/>
        <v>0</v>
      </c>
      <c r="BU709" s="763">
        <f t="shared" si="520"/>
        <v>0</v>
      </c>
      <c r="BV709" s="763">
        <f t="shared" si="520"/>
        <v>0</v>
      </c>
      <c r="BW709" s="763">
        <f t="shared" si="520"/>
        <v>0</v>
      </c>
      <c r="BX709" s="763">
        <f t="shared" si="520"/>
        <v>0</v>
      </c>
      <c r="BY709" s="763">
        <f t="shared" si="520"/>
        <v>0</v>
      </c>
      <c r="BZ709" s="763">
        <f t="shared" si="520"/>
        <v>0</v>
      </c>
      <c r="CA709" s="763">
        <f t="shared" si="520"/>
        <v>0</v>
      </c>
      <c r="CB709" s="763">
        <f t="shared" si="520"/>
        <v>0</v>
      </c>
      <c r="CC709" s="763">
        <f t="shared" si="520"/>
        <v>0</v>
      </c>
      <c r="CD709" s="763">
        <f t="shared" si="521"/>
        <v>0</v>
      </c>
      <c r="CE709" s="763">
        <f t="shared" si="521"/>
        <v>0</v>
      </c>
      <c r="CF709" s="763">
        <f t="shared" si="521"/>
        <v>0</v>
      </c>
      <c r="CG709" s="763">
        <f t="shared" si="521"/>
        <v>0</v>
      </c>
      <c r="CH709" s="763">
        <f t="shared" si="521"/>
        <v>0</v>
      </c>
      <c r="CI709" s="763">
        <f t="shared" si="521"/>
        <v>0</v>
      </c>
      <c r="CJ709" s="763">
        <f t="shared" si="521"/>
        <v>0</v>
      </c>
      <c r="CK709" s="763">
        <f t="shared" si="521"/>
        <v>0</v>
      </c>
      <c r="CL709" s="763">
        <f t="shared" si="521"/>
        <v>0</v>
      </c>
      <c r="CM709" s="763">
        <f t="shared" si="521"/>
        <v>0</v>
      </c>
    </row>
    <row r="710" spans="11:91" ht="12" customHeight="1" x14ac:dyDescent="0.35">
      <c r="K710" s="28"/>
      <c r="L710" s="28"/>
      <c r="M710" s="28"/>
      <c r="N710" s="28"/>
      <c r="O710" s="28"/>
      <c r="P710" s="28"/>
      <c r="Q710" s="38"/>
      <c r="R710" s="31">
        <f>IF(Input!D$298=L997,Input!D$297,0)</f>
        <v>0</v>
      </c>
      <c r="S710" s="400">
        <v>8</v>
      </c>
      <c r="T710" s="358">
        <f>Input!D286</f>
        <v>0</v>
      </c>
      <c r="U710" s="191">
        <f>IF(Input!$F$278&gt;=S710,Input!G286,0)</f>
        <v>0</v>
      </c>
      <c r="V710" s="1201">
        <f>Input!H286</f>
        <v>0</v>
      </c>
      <c r="W710" s="344">
        <f>Input!I286</f>
        <v>0</v>
      </c>
      <c r="X710" s="359">
        <f>Input!J286</f>
        <v>0</v>
      </c>
      <c r="Y710" s="1182">
        <f t="shared" si="522"/>
        <v>0</v>
      </c>
      <c r="Z710" s="343">
        <f t="shared" si="523"/>
        <v>0</v>
      </c>
      <c r="AA710" s="29"/>
      <c r="AB710" s="34">
        <f t="shared" si="524"/>
        <v>0</v>
      </c>
      <c r="AC710" s="29"/>
      <c r="AD710" s="29"/>
      <c r="AE710" s="34">
        <f t="shared" si="525"/>
        <v>0</v>
      </c>
      <c r="AF710" s="763">
        <f t="shared" si="516"/>
        <v>0</v>
      </c>
      <c r="AG710" s="763">
        <f t="shared" si="516"/>
        <v>0</v>
      </c>
      <c r="AH710" s="763">
        <f t="shared" si="516"/>
        <v>0</v>
      </c>
      <c r="AI710" s="763">
        <f t="shared" si="516"/>
        <v>0</v>
      </c>
      <c r="AJ710" s="763">
        <f t="shared" si="516"/>
        <v>0</v>
      </c>
      <c r="AK710" s="763">
        <f t="shared" si="516"/>
        <v>0</v>
      </c>
      <c r="AL710" s="763">
        <f t="shared" si="516"/>
        <v>0</v>
      </c>
      <c r="AM710" s="763">
        <f t="shared" si="516"/>
        <v>0</v>
      </c>
      <c r="AN710" s="763">
        <f t="shared" si="516"/>
        <v>0</v>
      </c>
      <c r="AO710" s="763">
        <f t="shared" si="516"/>
        <v>0</v>
      </c>
      <c r="AP710" s="763">
        <f t="shared" si="517"/>
        <v>0</v>
      </c>
      <c r="AQ710" s="763">
        <f t="shared" si="517"/>
        <v>0</v>
      </c>
      <c r="AR710" s="763">
        <f t="shared" si="517"/>
        <v>0</v>
      </c>
      <c r="AS710" s="763">
        <f t="shared" si="517"/>
        <v>0</v>
      </c>
      <c r="AT710" s="763">
        <f t="shared" si="517"/>
        <v>0</v>
      </c>
      <c r="AU710" s="763">
        <f t="shared" si="517"/>
        <v>0</v>
      </c>
      <c r="AV710" s="763">
        <f t="shared" si="517"/>
        <v>0</v>
      </c>
      <c r="AW710" s="763">
        <f t="shared" si="517"/>
        <v>0</v>
      </c>
      <c r="AX710" s="763">
        <f t="shared" si="517"/>
        <v>0</v>
      </c>
      <c r="AY710" s="763">
        <f t="shared" si="517"/>
        <v>0</v>
      </c>
      <c r="AZ710" s="763">
        <f t="shared" si="518"/>
        <v>0</v>
      </c>
      <c r="BA710" s="763">
        <f t="shared" si="518"/>
        <v>0</v>
      </c>
      <c r="BB710" s="763">
        <f t="shared" si="518"/>
        <v>0</v>
      </c>
      <c r="BC710" s="763">
        <f t="shared" si="518"/>
        <v>0</v>
      </c>
      <c r="BD710" s="763">
        <f t="shared" si="518"/>
        <v>0</v>
      </c>
      <c r="BE710" s="763">
        <f t="shared" si="518"/>
        <v>0</v>
      </c>
      <c r="BF710" s="763">
        <f t="shared" si="518"/>
        <v>0</v>
      </c>
      <c r="BG710" s="763">
        <f t="shared" si="518"/>
        <v>0</v>
      </c>
      <c r="BH710" s="763">
        <f t="shared" si="518"/>
        <v>0</v>
      </c>
      <c r="BI710" s="763">
        <f t="shared" si="518"/>
        <v>0</v>
      </c>
      <c r="BJ710" s="763">
        <f t="shared" si="519"/>
        <v>0</v>
      </c>
      <c r="BK710" s="763">
        <f t="shared" si="519"/>
        <v>0</v>
      </c>
      <c r="BL710" s="763">
        <f t="shared" si="519"/>
        <v>0</v>
      </c>
      <c r="BM710" s="763">
        <f t="shared" si="519"/>
        <v>0</v>
      </c>
      <c r="BN710" s="763">
        <f t="shared" si="519"/>
        <v>0</v>
      </c>
      <c r="BO710" s="763">
        <f t="shared" si="519"/>
        <v>0</v>
      </c>
      <c r="BP710" s="763">
        <f t="shared" si="519"/>
        <v>0</v>
      </c>
      <c r="BQ710" s="763">
        <f t="shared" si="519"/>
        <v>0</v>
      </c>
      <c r="BR710" s="763">
        <f t="shared" si="519"/>
        <v>0</v>
      </c>
      <c r="BS710" s="763">
        <f t="shared" si="519"/>
        <v>0</v>
      </c>
      <c r="BT710" s="763">
        <f t="shared" si="520"/>
        <v>0</v>
      </c>
      <c r="BU710" s="763">
        <f t="shared" si="520"/>
        <v>0</v>
      </c>
      <c r="BV710" s="763">
        <f t="shared" si="520"/>
        <v>0</v>
      </c>
      <c r="BW710" s="763">
        <f t="shared" si="520"/>
        <v>0</v>
      </c>
      <c r="BX710" s="763">
        <f t="shared" si="520"/>
        <v>0</v>
      </c>
      <c r="BY710" s="763">
        <f t="shared" si="520"/>
        <v>0</v>
      </c>
      <c r="BZ710" s="763">
        <f t="shared" si="520"/>
        <v>0</v>
      </c>
      <c r="CA710" s="763">
        <f t="shared" si="520"/>
        <v>0</v>
      </c>
      <c r="CB710" s="763">
        <f t="shared" si="520"/>
        <v>0</v>
      </c>
      <c r="CC710" s="763">
        <f t="shared" si="520"/>
        <v>0</v>
      </c>
      <c r="CD710" s="763">
        <f t="shared" si="521"/>
        <v>0</v>
      </c>
      <c r="CE710" s="763">
        <f t="shared" si="521"/>
        <v>0</v>
      </c>
      <c r="CF710" s="763">
        <f t="shared" si="521"/>
        <v>0</v>
      </c>
      <c r="CG710" s="763">
        <f t="shared" si="521"/>
        <v>0</v>
      </c>
      <c r="CH710" s="763">
        <f t="shared" si="521"/>
        <v>0</v>
      </c>
      <c r="CI710" s="763">
        <f t="shared" si="521"/>
        <v>0</v>
      </c>
      <c r="CJ710" s="763">
        <f t="shared" si="521"/>
        <v>0</v>
      </c>
      <c r="CK710" s="763">
        <f t="shared" si="521"/>
        <v>0</v>
      </c>
      <c r="CL710" s="763">
        <f t="shared" si="521"/>
        <v>0</v>
      </c>
      <c r="CM710" s="763">
        <f t="shared" si="521"/>
        <v>0</v>
      </c>
    </row>
    <row r="711" spans="11:91" ht="12" customHeight="1" x14ac:dyDescent="0.35">
      <c r="K711" s="28"/>
      <c r="L711" s="28"/>
      <c r="M711" s="28"/>
      <c r="N711" s="28"/>
      <c r="O711" s="28"/>
      <c r="P711" s="28"/>
      <c r="Q711" s="38"/>
      <c r="R711" s="31">
        <f>IF(Input!D$298=L998,Input!D$297,0)</f>
        <v>0</v>
      </c>
      <c r="S711" s="400">
        <v>9</v>
      </c>
      <c r="T711" s="358">
        <f>Input!D287</f>
        <v>0</v>
      </c>
      <c r="U711" s="191">
        <f>IF(Input!$F$278&gt;=S711,Input!G287,0)</f>
        <v>0</v>
      </c>
      <c r="V711" s="1201">
        <f>Input!H287</f>
        <v>0</v>
      </c>
      <c r="W711" s="344">
        <f>Input!I287</f>
        <v>0</v>
      </c>
      <c r="X711" s="359">
        <f>Input!J287</f>
        <v>0</v>
      </c>
      <c r="Y711" s="1182">
        <f t="shared" si="522"/>
        <v>0</v>
      </c>
      <c r="Z711" s="343">
        <f t="shared" si="523"/>
        <v>0</v>
      </c>
      <c r="AA711" s="29"/>
      <c r="AB711" s="34">
        <f t="shared" si="524"/>
        <v>0</v>
      </c>
      <c r="AC711" s="29"/>
      <c r="AD711" s="29"/>
      <c r="AE711" s="34">
        <f t="shared" si="525"/>
        <v>0</v>
      </c>
      <c r="AF711" s="763">
        <f t="shared" si="516"/>
        <v>0</v>
      </c>
      <c r="AG711" s="763">
        <f t="shared" si="516"/>
        <v>0</v>
      </c>
      <c r="AH711" s="763">
        <f t="shared" si="516"/>
        <v>0</v>
      </c>
      <c r="AI711" s="763">
        <f t="shared" si="516"/>
        <v>0</v>
      </c>
      <c r="AJ711" s="763">
        <f t="shared" si="516"/>
        <v>0</v>
      </c>
      <c r="AK711" s="763">
        <f t="shared" si="516"/>
        <v>0</v>
      </c>
      <c r="AL711" s="763">
        <f t="shared" si="516"/>
        <v>0</v>
      </c>
      <c r="AM711" s="763">
        <f t="shared" si="516"/>
        <v>0</v>
      </c>
      <c r="AN711" s="763">
        <f t="shared" si="516"/>
        <v>0</v>
      </c>
      <c r="AO711" s="763">
        <f t="shared" si="516"/>
        <v>0</v>
      </c>
      <c r="AP711" s="763">
        <f t="shared" si="517"/>
        <v>0</v>
      </c>
      <c r="AQ711" s="763">
        <f t="shared" si="517"/>
        <v>0</v>
      </c>
      <c r="AR711" s="763">
        <f t="shared" si="517"/>
        <v>0</v>
      </c>
      <c r="AS711" s="763">
        <f t="shared" si="517"/>
        <v>0</v>
      </c>
      <c r="AT711" s="763">
        <f t="shared" si="517"/>
        <v>0</v>
      </c>
      <c r="AU711" s="763">
        <f t="shared" si="517"/>
        <v>0</v>
      </c>
      <c r="AV711" s="763">
        <f t="shared" si="517"/>
        <v>0</v>
      </c>
      <c r="AW711" s="763">
        <f t="shared" si="517"/>
        <v>0</v>
      </c>
      <c r="AX711" s="763">
        <f t="shared" si="517"/>
        <v>0</v>
      </c>
      <c r="AY711" s="763">
        <f t="shared" si="517"/>
        <v>0</v>
      </c>
      <c r="AZ711" s="763">
        <f t="shared" si="518"/>
        <v>0</v>
      </c>
      <c r="BA711" s="763">
        <f t="shared" si="518"/>
        <v>0</v>
      </c>
      <c r="BB711" s="763">
        <f t="shared" si="518"/>
        <v>0</v>
      </c>
      <c r="BC711" s="763">
        <f t="shared" si="518"/>
        <v>0</v>
      </c>
      <c r="BD711" s="763">
        <f t="shared" si="518"/>
        <v>0</v>
      </c>
      <c r="BE711" s="763">
        <f t="shared" si="518"/>
        <v>0</v>
      </c>
      <c r="BF711" s="763">
        <f t="shared" si="518"/>
        <v>0</v>
      </c>
      <c r="BG711" s="763">
        <f t="shared" si="518"/>
        <v>0</v>
      </c>
      <c r="BH711" s="763">
        <f t="shared" si="518"/>
        <v>0</v>
      </c>
      <c r="BI711" s="763">
        <f t="shared" si="518"/>
        <v>0</v>
      </c>
      <c r="BJ711" s="763">
        <f t="shared" si="519"/>
        <v>0</v>
      </c>
      <c r="BK711" s="763">
        <f t="shared" si="519"/>
        <v>0</v>
      </c>
      <c r="BL711" s="763">
        <f t="shared" si="519"/>
        <v>0</v>
      </c>
      <c r="BM711" s="763">
        <f t="shared" si="519"/>
        <v>0</v>
      </c>
      <c r="BN711" s="763">
        <f t="shared" si="519"/>
        <v>0</v>
      </c>
      <c r="BO711" s="763">
        <f t="shared" si="519"/>
        <v>0</v>
      </c>
      <c r="BP711" s="763">
        <f t="shared" si="519"/>
        <v>0</v>
      </c>
      <c r="BQ711" s="763">
        <f t="shared" si="519"/>
        <v>0</v>
      </c>
      <c r="BR711" s="763">
        <f t="shared" si="519"/>
        <v>0</v>
      </c>
      <c r="BS711" s="763">
        <f t="shared" si="519"/>
        <v>0</v>
      </c>
      <c r="BT711" s="763">
        <f t="shared" si="520"/>
        <v>0</v>
      </c>
      <c r="BU711" s="763">
        <f t="shared" si="520"/>
        <v>0</v>
      </c>
      <c r="BV711" s="763">
        <f t="shared" si="520"/>
        <v>0</v>
      </c>
      <c r="BW711" s="763">
        <f t="shared" si="520"/>
        <v>0</v>
      </c>
      <c r="BX711" s="763">
        <f t="shared" si="520"/>
        <v>0</v>
      </c>
      <c r="BY711" s="763">
        <f t="shared" si="520"/>
        <v>0</v>
      </c>
      <c r="BZ711" s="763">
        <f t="shared" si="520"/>
        <v>0</v>
      </c>
      <c r="CA711" s="763">
        <f t="shared" si="520"/>
        <v>0</v>
      </c>
      <c r="CB711" s="763">
        <f t="shared" si="520"/>
        <v>0</v>
      </c>
      <c r="CC711" s="763">
        <f t="shared" si="520"/>
        <v>0</v>
      </c>
      <c r="CD711" s="763">
        <f t="shared" si="521"/>
        <v>0</v>
      </c>
      <c r="CE711" s="763">
        <f t="shared" si="521"/>
        <v>0</v>
      </c>
      <c r="CF711" s="763">
        <f t="shared" si="521"/>
        <v>0</v>
      </c>
      <c r="CG711" s="763">
        <f t="shared" si="521"/>
        <v>0</v>
      </c>
      <c r="CH711" s="763">
        <f t="shared" si="521"/>
        <v>0</v>
      </c>
      <c r="CI711" s="763">
        <f t="shared" si="521"/>
        <v>0</v>
      </c>
      <c r="CJ711" s="763">
        <f t="shared" si="521"/>
        <v>0</v>
      </c>
      <c r="CK711" s="763">
        <f t="shared" si="521"/>
        <v>0</v>
      </c>
      <c r="CL711" s="763">
        <f t="shared" si="521"/>
        <v>0</v>
      </c>
      <c r="CM711" s="763">
        <f t="shared" si="521"/>
        <v>0</v>
      </c>
    </row>
    <row r="712" spans="11:91" ht="12" customHeight="1" thickBot="1" x14ac:dyDescent="0.4">
      <c r="K712" s="28"/>
      <c r="L712" s="28"/>
      <c r="M712" s="28"/>
      <c r="N712" s="28"/>
      <c r="O712" s="28"/>
      <c r="P712" s="28"/>
      <c r="Q712" s="28"/>
      <c r="R712" s="31">
        <f>IF(Input!D$298=L999,Input!D$297,0)</f>
        <v>0</v>
      </c>
      <c r="S712" s="400">
        <v>10</v>
      </c>
      <c r="T712" s="360">
        <f>Input!D288</f>
        <v>0</v>
      </c>
      <c r="U712" s="361">
        <f>IF(Input!$F$278&gt;=S712,Input!G288,0)</f>
        <v>0</v>
      </c>
      <c r="V712" s="1202">
        <f>Input!H288</f>
        <v>0</v>
      </c>
      <c r="W712" s="362">
        <f>Input!I288</f>
        <v>0</v>
      </c>
      <c r="X712" s="363">
        <f>Input!J288</f>
        <v>0</v>
      </c>
      <c r="Y712" s="1182">
        <f t="shared" si="522"/>
        <v>0</v>
      </c>
      <c r="Z712" s="343">
        <f t="shared" si="523"/>
        <v>0</v>
      </c>
      <c r="AA712" s="29"/>
      <c r="AB712" s="34">
        <f t="shared" si="524"/>
        <v>0</v>
      </c>
      <c r="AC712" s="29"/>
      <c r="AD712" s="29"/>
      <c r="AE712" s="34">
        <f t="shared" si="525"/>
        <v>0</v>
      </c>
      <c r="AF712" s="763">
        <f t="shared" si="516"/>
        <v>0</v>
      </c>
      <c r="AG712" s="763">
        <f t="shared" si="516"/>
        <v>0</v>
      </c>
      <c r="AH712" s="763">
        <f t="shared" si="516"/>
        <v>0</v>
      </c>
      <c r="AI712" s="763">
        <f t="shared" si="516"/>
        <v>0</v>
      </c>
      <c r="AJ712" s="763">
        <f t="shared" si="516"/>
        <v>0</v>
      </c>
      <c r="AK712" s="763">
        <f t="shared" si="516"/>
        <v>0</v>
      </c>
      <c r="AL712" s="763">
        <f t="shared" si="516"/>
        <v>0</v>
      </c>
      <c r="AM712" s="763">
        <f t="shared" si="516"/>
        <v>0</v>
      </c>
      <c r="AN712" s="763">
        <f t="shared" si="516"/>
        <v>0</v>
      </c>
      <c r="AO712" s="763">
        <f t="shared" si="516"/>
        <v>0</v>
      </c>
      <c r="AP712" s="763">
        <f t="shared" si="517"/>
        <v>0</v>
      </c>
      <c r="AQ712" s="763">
        <f t="shared" si="517"/>
        <v>0</v>
      </c>
      <c r="AR712" s="763">
        <f t="shared" si="517"/>
        <v>0</v>
      </c>
      <c r="AS712" s="763">
        <f t="shared" si="517"/>
        <v>0</v>
      </c>
      <c r="AT712" s="763">
        <f t="shared" si="517"/>
        <v>0</v>
      </c>
      <c r="AU712" s="763">
        <f t="shared" si="517"/>
        <v>0</v>
      </c>
      <c r="AV712" s="763">
        <f t="shared" si="517"/>
        <v>0</v>
      </c>
      <c r="AW712" s="763">
        <f t="shared" si="517"/>
        <v>0</v>
      </c>
      <c r="AX712" s="763">
        <f t="shared" si="517"/>
        <v>0</v>
      </c>
      <c r="AY712" s="763">
        <f t="shared" si="517"/>
        <v>0</v>
      </c>
      <c r="AZ712" s="763">
        <f t="shared" si="518"/>
        <v>0</v>
      </c>
      <c r="BA712" s="763">
        <f t="shared" si="518"/>
        <v>0</v>
      </c>
      <c r="BB712" s="763">
        <f t="shared" si="518"/>
        <v>0</v>
      </c>
      <c r="BC712" s="763">
        <f t="shared" si="518"/>
        <v>0</v>
      </c>
      <c r="BD712" s="763">
        <f t="shared" si="518"/>
        <v>0</v>
      </c>
      <c r="BE712" s="763">
        <f t="shared" si="518"/>
        <v>0</v>
      </c>
      <c r="BF712" s="763">
        <f t="shared" si="518"/>
        <v>0</v>
      </c>
      <c r="BG712" s="763">
        <f t="shared" si="518"/>
        <v>0</v>
      </c>
      <c r="BH712" s="763">
        <f t="shared" si="518"/>
        <v>0</v>
      </c>
      <c r="BI712" s="763">
        <f t="shared" si="518"/>
        <v>0</v>
      </c>
      <c r="BJ712" s="763">
        <f t="shared" si="519"/>
        <v>0</v>
      </c>
      <c r="BK712" s="763">
        <f t="shared" si="519"/>
        <v>0</v>
      </c>
      <c r="BL712" s="763">
        <f t="shared" si="519"/>
        <v>0</v>
      </c>
      <c r="BM712" s="763">
        <f t="shared" si="519"/>
        <v>0</v>
      </c>
      <c r="BN712" s="763">
        <f t="shared" si="519"/>
        <v>0</v>
      </c>
      <c r="BO712" s="763">
        <f t="shared" si="519"/>
        <v>0</v>
      </c>
      <c r="BP712" s="763">
        <f t="shared" si="519"/>
        <v>0</v>
      </c>
      <c r="BQ712" s="763">
        <f t="shared" si="519"/>
        <v>0</v>
      </c>
      <c r="BR712" s="763">
        <f t="shared" si="519"/>
        <v>0</v>
      </c>
      <c r="BS712" s="763">
        <f t="shared" si="519"/>
        <v>0</v>
      </c>
      <c r="BT712" s="763">
        <f t="shared" si="520"/>
        <v>0</v>
      </c>
      <c r="BU712" s="763">
        <f t="shared" si="520"/>
        <v>0</v>
      </c>
      <c r="BV712" s="763">
        <f t="shared" si="520"/>
        <v>0</v>
      </c>
      <c r="BW712" s="763">
        <f t="shared" si="520"/>
        <v>0</v>
      </c>
      <c r="BX712" s="763">
        <f t="shared" si="520"/>
        <v>0</v>
      </c>
      <c r="BY712" s="763">
        <f t="shared" si="520"/>
        <v>0</v>
      </c>
      <c r="BZ712" s="763">
        <f t="shared" si="520"/>
        <v>0</v>
      </c>
      <c r="CA712" s="763">
        <f t="shared" si="520"/>
        <v>0</v>
      </c>
      <c r="CB712" s="763">
        <f t="shared" si="520"/>
        <v>0</v>
      </c>
      <c r="CC712" s="763">
        <f t="shared" si="520"/>
        <v>0</v>
      </c>
      <c r="CD712" s="763">
        <f t="shared" si="521"/>
        <v>0</v>
      </c>
      <c r="CE712" s="763">
        <f t="shared" si="521"/>
        <v>0</v>
      </c>
      <c r="CF712" s="763">
        <f t="shared" si="521"/>
        <v>0</v>
      </c>
      <c r="CG712" s="763">
        <f t="shared" si="521"/>
        <v>0</v>
      </c>
      <c r="CH712" s="763">
        <f t="shared" si="521"/>
        <v>0</v>
      </c>
      <c r="CI712" s="763">
        <f t="shared" si="521"/>
        <v>0</v>
      </c>
      <c r="CJ712" s="763">
        <f t="shared" si="521"/>
        <v>0</v>
      </c>
      <c r="CK712" s="763">
        <f t="shared" si="521"/>
        <v>0</v>
      </c>
      <c r="CL712" s="763">
        <f t="shared" si="521"/>
        <v>0</v>
      </c>
      <c r="CM712" s="763">
        <f t="shared" si="521"/>
        <v>0</v>
      </c>
    </row>
    <row r="713" spans="11:91" ht="12" hidden="1" customHeight="1" x14ac:dyDescent="0.35">
      <c r="K713" s="28"/>
      <c r="L713" s="28"/>
      <c r="M713" s="28"/>
      <c r="N713" s="28"/>
      <c r="O713" s="28"/>
      <c r="P713" s="28"/>
      <c r="Q713" s="28"/>
      <c r="R713" s="31">
        <f>IF(Input!D$298=L1000,Input!D$297,0)</f>
        <v>0</v>
      </c>
      <c r="S713" s="36">
        <f t="shared" ref="S713:S730" si="526">Q1007</f>
        <v>0</v>
      </c>
      <c r="T713" s="349" t="s">
        <v>467</v>
      </c>
      <c r="U713" s="350"/>
      <c r="V713" s="351"/>
      <c r="W713" s="352"/>
      <c r="X713" s="353"/>
      <c r="Y713" s="1182">
        <f t="shared" si="522"/>
        <v>0</v>
      </c>
      <c r="Z713" s="343">
        <f t="shared" si="523"/>
        <v>0</v>
      </c>
      <c r="AA713" s="29"/>
      <c r="AB713" s="34">
        <f t="shared" si="524"/>
        <v>0</v>
      </c>
      <c r="AC713" s="29"/>
      <c r="AD713" s="29"/>
      <c r="AE713" s="34">
        <f t="shared" ref="AE713:AE728" si="527">IF(V713&lt;AF$701,U713,0)</f>
        <v>0</v>
      </c>
      <c r="AF713" s="763">
        <f t="shared" ref="AF713:AO722" si="528">IF($V713=AF$701,$U713,0)</f>
        <v>0</v>
      </c>
      <c r="AG713" s="763">
        <f t="shared" si="528"/>
        <v>0</v>
      </c>
      <c r="AH713" s="763">
        <f t="shared" si="528"/>
        <v>0</v>
      </c>
      <c r="AI713" s="763">
        <f t="shared" si="528"/>
        <v>0</v>
      </c>
      <c r="AJ713" s="763">
        <f t="shared" si="528"/>
        <v>0</v>
      </c>
      <c r="AK713" s="763">
        <f t="shared" si="528"/>
        <v>0</v>
      </c>
      <c r="AL713" s="763">
        <f t="shared" si="528"/>
        <v>0</v>
      </c>
      <c r="AM713" s="763">
        <f t="shared" si="528"/>
        <v>0</v>
      </c>
      <c r="AN713" s="763">
        <f t="shared" si="528"/>
        <v>0</v>
      </c>
      <c r="AO713" s="763">
        <f t="shared" si="528"/>
        <v>0</v>
      </c>
      <c r="AP713" s="763">
        <f t="shared" ref="AP713:AY722" si="529">IF($V713=AP$701,$U713,0)</f>
        <v>0</v>
      </c>
      <c r="AQ713" s="763">
        <f t="shared" si="529"/>
        <v>0</v>
      </c>
      <c r="AR713" s="763">
        <f t="shared" si="529"/>
        <v>0</v>
      </c>
      <c r="AS713" s="763">
        <f t="shared" si="529"/>
        <v>0</v>
      </c>
      <c r="AT713" s="763">
        <f t="shared" si="529"/>
        <v>0</v>
      </c>
      <c r="AU713" s="763">
        <f t="shared" si="529"/>
        <v>0</v>
      </c>
      <c r="AV713" s="763">
        <f t="shared" si="529"/>
        <v>0</v>
      </c>
      <c r="AW713" s="763">
        <f t="shared" si="529"/>
        <v>0</v>
      </c>
      <c r="AX713" s="763">
        <f t="shared" si="529"/>
        <v>0</v>
      </c>
      <c r="AY713" s="763">
        <f t="shared" si="529"/>
        <v>0</v>
      </c>
      <c r="AZ713" s="763">
        <f t="shared" ref="AZ713:BI722" si="530">IF($V713=AZ$701,$U713,0)</f>
        <v>0</v>
      </c>
      <c r="BA713" s="763">
        <f t="shared" si="530"/>
        <v>0</v>
      </c>
      <c r="BB713" s="763">
        <f t="shared" si="530"/>
        <v>0</v>
      </c>
      <c r="BC713" s="763">
        <f t="shared" si="530"/>
        <v>0</v>
      </c>
      <c r="BD713" s="763">
        <f t="shared" si="530"/>
        <v>0</v>
      </c>
      <c r="BE713" s="763">
        <f t="shared" si="530"/>
        <v>0</v>
      </c>
      <c r="BF713" s="763">
        <f t="shared" si="530"/>
        <v>0</v>
      </c>
      <c r="BG713" s="763">
        <f t="shared" si="530"/>
        <v>0</v>
      </c>
      <c r="BH713" s="763">
        <f t="shared" si="530"/>
        <v>0</v>
      </c>
      <c r="BI713" s="763">
        <f t="shared" si="530"/>
        <v>0</v>
      </c>
      <c r="BJ713" s="763">
        <f t="shared" ref="BJ713:BS722" si="531">IF($V713=BJ$701,$U713,0)</f>
        <v>0</v>
      </c>
      <c r="BK713" s="763">
        <f t="shared" si="531"/>
        <v>0</v>
      </c>
      <c r="BL713" s="763">
        <f t="shared" si="531"/>
        <v>0</v>
      </c>
      <c r="BM713" s="763">
        <f t="shared" si="531"/>
        <v>0</v>
      </c>
      <c r="BN713" s="763">
        <f t="shared" si="531"/>
        <v>0</v>
      </c>
      <c r="BO713" s="763">
        <f t="shared" si="531"/>
        <v>0</v>
      </c>
      <c r="BP713" s="763">
        <f t="shared" si="531"/>
        <v>0</v>
      </c>
      <c r="BQ713" s="763">
        <f t="shared" si="531"/>
        <v>0</v>
      </c>
      <c r="BR713" s="763">
        <f t="shared" si="531"/>
        <v>0</v>
      </c>
      <c r="BS713" s="763">
        <f t="shared" si="531"/>
        <v>0</v>
      </c>
      <c r="BT713" s="763">
        <f t="shared" ref="BT713:CC722" si="532">IF($V713=BT$701,$U713,0)</f>
        <v>0</v>
      </c>
      <c r="BU713" s="763">
        <f t="shared" si="532"/>
        <v>0</v>
      </c>
      <c r="BV713" s="763">
        <f t="shared" si="532"/>
        <v>0</v>
      </c>
      <c r="BW713" s="763">
        <f t="shared" si="532"/>
        <v>0</v>
      </c>
      <c r="BX713" s="763">
        <f t="shared" si="532"/>
        <v>0</v>
      </c>
      <c r="BY713" s="763">
        <f t="shared" si="532"/>
        <v>0</v>
      </c>
      <c r="BZ713" s="763">
        <f t="shared" si="532"/>
        <v>0</v>
      </c>
      <c r="CA713" s="763">
        <f t="shared" si="532"/>
        <v>0</v>
      </c>
      <c r="CB713" s="763">
        <f t="shared" si="532"/>
        <v>0</v>
      </c>
      <c r="CC713" s="763">
        <f t="shared" si="532"/>
        <v>0</v>
      </c>
      <c r="CD713" s="763">
        <f t="shared" ref="CD713:CM722" si="533">IF($V713=CD$701,$U713,0)</f>
        <v>0</v>
      </c>
      <c r="CE713" s="763">
        <f t="shared" si="533"/>
        <v>0</v>
      </c>
      <c r="CF713" s="763">
        <f t="shared" si="533"/>
        <v>0</v>
      </c>
      <c r="CG713" s="763">
        <f t="shared" si="533"/>
        <v>0</v>
      </c>
      <c r="CH713" s="763">
        <f t="shared" si="533"/>
        <v>0</v>
      </c>
      <c r="CI713" s="763">
        <f t="shared" si="533"/>
        <v>0</v>
      </c>
      <c r="CJ713" s="763">
        <f t="shared" si="533"/>
        <v>0</v>
      </c>
      <c r="CK713" s="763">
        <f t="shared" si="533"/>
        <v>0</v>
      </c>
      <c r="CL713" s="763">
        <f t="shared" si="533"/>
        <v>0</v>
      </c>
      <c r="CM713" s="763">
        <f t="shared" si="533"/>
        <v>0</v>
      </c>
    </row>
    <row r="714" spans="11:91" ht="12" hidden="1" customHeight="1" x14ac:dyDescent="0.35">
      <c r="K714" s="28"/>
      <c r="L714" s="28"/>
      <c r="M714" s="28"/>
      <c r="N714" s="28"/>
      <c r="O714" s="28"/>
      <c r="P714" s="28"/>
      <c r="Q714" s="28"/>
      <c r="R714" s="31">
        <f>IF(Input!D$298=L1001,Input!D$297,0)</f>
        <v>0</v>
      </c>
      <c r="S714" s="36">
        <f t="shared" si="526"/>
        <v>0</v>
      </c>
      <c r="T714" s="193" t="s">
        <v>468</v>
      </c>
      <c r="U714" s="192"/>
      <c r="V714" s="198"/>
      <c r="W714" s="345"/>
      <c r="X714" s="347"/>
      <c r="Y714" s="1182">
        <f t="shared" si="522"/>
        <v>0</v>
      </c>
      <c r="Z714" s="343">
        <f t="shared" si="523"/>
        <v>0</v>
      </c>
      <c r="AA714" s="29"/>
      <c r="AB714" s="34">
        <f t="shared" si="524"/>
        <v>0</v>
      </c>
      <c r="AC714" s="29"/>
      <c r="AD714" s="29"/>
      <c r="AE714" s="34">
        <f t="shared" si="527"/>
        <v>0</v>
      </c>
      <c r="AF714" s="763">
        <f t="shared" si="528"/>
        <v>0</v>
      </c>
      <c r="AG714" s="763">
        <f t="shared" si="528"/>
        <v>0</v>
      </c>
      <c r="AH714" s="763">
        <f t="shared" si="528"/>
        <v>0</v>
      </c>
      <c r="AI714" s="763">
        <f t="shared" si="528"/>
        <v>0</v>
      </c>
      <c r="AJ714" s="763">
        <f t="shared" si="528"/>
        <v>0</v>
      </c>
      <c r="AK714" s="763">
        <f t="shared" si="528"/>
        <v>0</v>
      </c>
      <c r="AL714" s="763">
        <f t="shared" si="528"/>
        <v>0</v>
      </c>
      <c r="AM714" s="763">
        <f t="shared" si="528"/>
        <v>0</v>
      </c>
      <c r="AN714" s="763">
        <f t="shared" si="528"/>
        <v>0</v>
      </c>
      <c r="AO714" s="763">
        <f t="shared" si="528"/>
        <v>0</v>
      </c>
      <c r="AP714" s="763">
        <f t="shared" si="529"/>
        <v>0</v>
      </c>
      <c r="AQ714" s="763">
        <f t="shared" si="529"/>
        <v>0</v>
      </c>
      <c r="AR714" s="763">
        <f t="shared" si="529"/>
        <v>0</v>
      </c>
      <c r="AS714" s="763">
        <f t="shared" si="529"/>
        <v>0</v>
      </c>
      <c r="AT714" s="763">
        <f t="shared" si="529"/>
        <v>0</v>
      </c>
      <c r="AU714" s="763">
        <f t="shared" si="529"/>
        <v>0</v>
      </c>
      <c r="AV714" s="763">
        <f t="shared" si="529"/>
        <v>0</v>
      </c>
      <c r="AW714" s="763">
        <f t="shared" si="529"/>
        <v>0</v>
      </c>
      <c r="AX714" s="763">
        <f t="shared" si="529"/>
        <v>0</v>
      </c>
      <c r="AY714" s="763">
        <f t="shared" si="529"/>
        <v>0</v>
      </c>
      <c r="AZ714" s="763">
        <f t="shared" si="530"/>
        <v>0</v>
      </c>
      <c r="BA714" s="763">
        <f t="shared" si="530"/>
        <v>0</v>
      </c>
      <c r="BB714" s="763">
        <f t="shared" si="530"/>
        <v>0</v>
      </c>
      <c r="BC714" s="763">
        <f t="shared" si="530"/>
        <v>0</v>
      </c>
      <c r="BD714" s="763">
        <f t="shared" si="530"/>
        <v>0</v>
      </c>
      <c r="BE714" s="763">
        <f t="shared" si="530"/>
        <v>0</v>
      </c>
      <c r="BF714" s="763">
        <f t="shared" si="530"/>
        <v>0</v>
      </c>
      <c r="BG714" s="763">
        <f t="shared" si="530"/>
        <v>0</v>
      </c>
      <c r="BH714" s="763">
        <f t="shared" si="530"/>
        <v>0</v>
      </c>
      <c r="BI714" s="763">
        <f t="shared" si="530"/>
        <v>0</v>
      </c>
      <c r="BJ714" s="763">
        <f t="shared" si="531"/>
        <v>0</v>
      </c>
      <c r="BK714" s="763">
        <f t="shared" si="531"/>
        <v>0</v>
      </c>
      <c r="BL714" s="763">
        <f t="shared" si="531"/>
        <v>0</v>
      </c>
      <c r="BM714" s="763">
        <f t="shared" si="531"/>
        <v>0</v>
      </c>
      <c r="BN714" s="763">
        <f t="shared" si="531"/>
        <v>0</v>
      </c>
      <c r="BO714" s="763">
        <f t="shared" si="531"/>
        <v>0</v>
      </c>
      <c r="BP714" s="763">
        <f t="shared" si="531"/>
        <v>0</v>
      </c>
      <c r="BQ714" s="763">
        <f t="shared" si="531"/>
        <v>0</v>
      </c>
      <c r="BR714" s="763">
        <f t="shared" si="531"/>
        <v>0</v>
      </c>
      <c r="BS714" s="763">
        <f t="shared" si="531"/>
        <v>0</v>
      </c>
      <c r="BT714" s="763">
        <f t="shared" si="532"/>
        <v>0</v>
      </c>
      <c r="BU714" s="763">
        <f t="shared" si="532"/>
        <v>0</v>
      </c>
      <c r="BV714" s="763">
        <f t="shared" si="532"/>
        <v>0</v>
      </c>
      <c r="BW714" s="763">
        <f t="shared" si="532"/>
        <v>0</v>
      </c>
      <c r="BX714" s="763">
        <f t="shared" si="532"/>
        <v>0</v>
      </c>
      <c r="BY714" s="763">
        <f t="shared" si="532"/>
        <v>0</v>
      </c>
      <c r="BZ714" s="763">
        <f t="shared" si="532"/>
        <v>0</v>
      </c>
      <c r="CA714" s="763">
        <f t="shared" si="532"/>
        <v>0</v>
      </c>
      <c r="CB714" s="763">
        <f t="shared" si="532"/>
        <v>0</v>
      </c>
      <c r="CC714" s="763">
        <f t="shared" si="532"/>
        <v>0</v>
      </c>
      <c r="CD714" s="763">
        <f t="shared" si="533"/>
        <v>0</v>
      </c>
      <c r="CE714" s="763">
        <f t="shared" si="533"/>
        <v>0</v>
      </c>
      <c r="CF714" s="763">
        <f t="shared" si="533"/>
        <v>0</v>
      </c>
      <c r="CG714" s="763">
        <f t="shared" si="533"/>
        <v>0</v>
      </c>
      <c r="CH714" s="763">
        <f t="shared" si="533"/>
        <v>0</v>
      </c>
      <c r="CI714" s="763">
        <f t="shared" si="533"/>
        <v>0</v>
      </c>
      <c r="CJ714" s="763">
        <f t="shared" si="533"/>
        <v>0</v>
      </c>
      <c r="CK714" s="763">
        <f t="shared" si="533"/>
        <v>0</v>
      </c>
      <c r="CL714" s="763">
        <f t="shared" si="533"/>
        <v>0</v>
      </c>
      <c r="CM714" s="763">
        <f t="shared" si="533"/>
        <v>0</v>
      </c>
    </row>
    <row r="715" spans="11:91" ht="12" hidden="1" customHeight="1" x14ac:dyDescent="0.35">
      <c r="K715" s="28"/>
      <c r="L715" s="28"/>
      <c r="M715" s="28"/>
      <c r="N715" s="28"/>
      <c r="O715" s="28"/>
      <c r="P715" s="28"/>
      <c r="Q715" s="28"/>
      <c r="R715" s="31">
        <f>IF(Input!D$298=L1002,Input!D$297,0)</f>
        <v>0</v>
      </c>
      <c r="S715" s="36">
        <f t="shared" si="526"/>
        <v>0</v>
      </c>
      <c r="T715" s="193" t="s">
        <v>469</v>
      </c>
      <c r="U715" s="192"/>
      <c r="V715" s="198"/>
      <c r="W715" s="345"/>
      <c r="X715" s="347"/>
      <c r="Y715" s="1182">
        <f t="shared" si="522"/>
        <v>0</v>
      </c>
      <c r="Z715" s="343">
        <f t="shared" si="523"/>
        <v>0</v>
      </c>
      <c r="AA715" s="29"/>
      <c r="AB715" s="34">
        <f t="shared" si="524"/>
        <v>0</v>
      </c>
      <c r="AC715" s="29"/>
      <c r="AD715" s="29"/>
      <c r="AE715" s="34">
        <f t="shared" si="527"/>
        <v>0</v>
      </c>
      <c r="AF715" s="763">
        <f t="shared" si="528"/>
        <v>0</v>
      </c>
      <c r="AG715" s="763">
        <f t="shared" si="528"/>
        <v>0</v>
      </c>
      <c r="AH715" s="763">
        <f t="shared" si="528"/>
        <v>0</v>
      </c>
      <c r="AI715" s="763">
        <f t="shared" si="528"/>
        <v>0</v>
      </c>
      <c r="AJ715" s="763">
        <f t="shared" si="528"/>
        <v>0</v>
      </c>
      <c r="AK715" s="763">
        <f t="shared" si="528"/>
        <v>0</v>
      </c>
      <c r="AL715" s="763">
        <f t="shared" si="528"/>
        <v>0</v>
      </c>
      <c r="AM715" s="763">
        <f t="shared" si="528"/>
        <v>0</v>
      </c>
      <c r="AN715" s="763">
        <f t="shared" si="528"/>
        <v>0</v>
      </c>
      <c r="AO715" s="763">
        <f t="shared" si="528"/>
        <v>0</v>
      </c>
      <c r="AP715" s="763">
        <f t="shared" si="529"/>
        <v>0</v>
      </c>
      <c r="AQ715" s="763">
        <f t="shared" si="529"/>
        <v>0</v>
      </c>
      <c r="AR715" s="763">
        <f t="shared" si="529"/>
        <v>0</v>
      </c>
      <c r="AS715" s="763">
        <f t="shared" si="529"/>
        <v>0</v>
      </c>
      <c r="AT715" s="763">
        <f t="shared" si="529"/>
        <v>0</v>
      </c>
      <c r="AU715" s="763">
        <f t="shared" si="529"/>
        <v>0</v>
      </c>
      <c r="AV715" s="763">
        <f t="shared" si="529"/>
        <v>0</v>
      </c>
      <c r="AW715" s="763">
        <f t="shared" si="529"/>
        <v>0</v>
      </c>
      <c r="AX715" s="763">
        <f t="shared" si="529"/>
        <v>0</v>
      </c>
      <c r="AY715" s="763">
        <f t="shared" si="529"/>
        <v>0</v>
      </c>
      <c r="AZ715" s="763">
        <f t="shared" si="530"/>
        <v>0</v>
      </c>
      <c r="BA715" s="763">
        <f t="shared" si="530"/>
        <v>0</v>
      </c>
      <c r="BB715" s="763">
        <f t="shared" si="530"/>
        <v>0</v>
      </c>
      <c r="BC715" s="763">
        <f t="shared" si="530"/>
        <v>0</v>
      </c>
      <c r="BD715" s="763">
        <f t="shared" si="530"/>
        <v>0</v>
      </c>
      <c r="BE715" s="763">
        <f t="shared" si="530"/>
        <v>0</v>
      </c>
      <c r="BF715" s="763">
        <f t="shared" si="530"/>
        <v>0</v>
      </c>
      <c r="BG715" s="763">
        <f t="shared" si="530"/>
        <v>0</v>
      </c>
      <c r="BH715" s="763">
        <f t="shared" si="530"/>
        <v>0</v>
      </c>
      <c r="BI715" s="763">
        <f t="shared" si="530"/>
        <v>0</v>
      </c>
      <c r="BJ715" s="763">
        <f t="shared" si="531"/>
        <v>0</v>
      </c>
      <c r="BK715" s="763">
        <f t="shared" si="531"/>
        <v>0</v>
      </c>
      <c r="BL715" s="763">
        <f t="shared" si="531"/>
        <v>0</v>
      </c>
      <c r="BM715" s="763">
        <f t="shared" si="531"/>
        <v>0</v>
      </c>
      <c r="BN715" s="763">
        <f t="shared" si="531"/>
        <v>0</v>
      </c>
      <c r="BO715" s="763">
        <f t="shared" si="531"/>
        <v>0</v>
      </c>
      <c r="BP715" s="763">
        <f t="shared" si="531"/>
        <v>0</v>
      </c>
      <c r="BQ715" s="763">
        <f t="shared" si="531"/>
        <v>0</v>
      </c>
      <c r="BR715" s="763">
        <f t="shared" si="531"/>
        <v>0</v>
      </c>
      <c r="BS715" s="763">
        <f t="shared" si="531"/>
        <v>0</v>
      </c>
      <c r="BT715" s="763">
        <f t="shared" si="532"/>
        <v>0</v>
      </c>
      <c r="BU715" s="763">
        <f t="shared" si="532"/>
        <v>0</v>
      </c>
      <c r="BV715" s="763">
        <f t="shared" si="532"/>
        <v>0</v>
      </c>
      <c r="BW715" s="763">
        <f t="shared" si="532"/>
        <v>0</v>
      </c>
      <c r="BX715" s="763">
        <f t="shared" si="532"/>
        <v>0</v>
      </c>
      <c r="BY715" s="763">
        <f t="shared" si="532"/>
        <v>0</v>
      </c>
      <c r="BZ715" s="763">
        <f t="shared" si="532"/>
        <v>0</v>
      </c>
      <c r="CA715" s="763">
        <f t="shared" si="532"/>
        <v>0</v>
      </c>
      <c r="CB715" s="763">
        <f t="shared" si="532"/>
        <v>0</v>
      </c>
      <c r="CC715" s="763">
        <f t="shared" si="532"/>
        <v>0</v>
      </c>
      <c r="CD715" s="763">
        <f t="shared" si="533"/>
        <v>0</v>
      </c>
      <c r="CE715" s="763">
        <f t="shared" si="533"/>
        <v>0</v>
      </c>
      <c r="CF715" s="763">
        <f t="shared" si="533"/>
        <v>0</v>
      </c>
      <c r="CG715" s="763">
        <f t="shared" si="533"/>
        <v>0</v>
      </c>
      <c r="CH715" s="763">
        <f t="shared" si="533"/>
        <v>0</v>
      </c>
      <c r="CI715" s="763">
        <f t="shared" si="533"/>
        <v>0</v>
      </c>
      <c r="CJ715" s="763">
        <f t="shared" si="533"/>
        <v>0</v>
      </c>
      <c r="CK715" s="763">
        <f t="shared" si="533"/>
        <v>0</v>
      </c>
      <c r="CL715" s="763">
        <f t="shared" si="533"/>
        <v>0</v>
      </c>
      <c r="CM715" s="763">
        <f t="shared" si="533"/>
        <v>0</v>
      </c>
    </row>
    <row r="716" spans="11:91" ht="12" hidden="1" customHeight="1" x14ac:dyDescent="0.35">
      <c r="K716" s="28"/>
      <c r="L716" s="28"/>
      <c r="M716" s="28"/>
      <c r="N716" s="28"/>
      <c r="O716" s="28"/>
      <c r="P716" s="28"/>
      <c r="Q716" s="28"/>
      <c r="R716" s="31">
        <f>IF(Input!D$298=L1003,Input!D$297,0)</f>
        <v>0</v>
      </c>
      <c r="S716" s="36">
        <f t="shared" si="526"/>
        <v>0</v>
      </c>
      <c r="T716" s="193" t="s">
        <v>470</v>
      </c>
      <c r="U716" s="192"/>
      <c r="V716" s="198"/>
      <c r="W716" s="345"/>
      <c r="X716" s="347"/>
      <c r="Y716" s="1182">
        <f t="shared" si="522"/>
        <v>0</v>
      </c>
      <c r="Z716" s="343">
        <f t="shared" si="523"/>
        <v>0</v>
      </c>
      <c r="AA716" s="29"/>
      <c r="AB716" s="34">
        <f t="shared" si="524"/>
        <v>0</v>
      </c>
      <c r="AC716" s="29"/>
      <c r="AD716" s="29"/>
      <c r="AE716" s="34">
        <f t="shared" si="527"/>
        <v>0</v>
      </c>
      <c r="AF716" s="763">
        <f t="shared" si="528"/>
        <v>0</v>
      </c>
      <c r="AG716" s="763">
        <f t="shared" si="528"/>
        <v>0</v>
      </c>
      <c r="AH716" s="763">
        <f t="shared" si="528"/>
        <v>0</v>
      </c>
      <c r="AI716" s="763">
        <f t="shared" si="528"/>
        <v>0</v>
      </c>
      <c r="AJ716" s="763">
        <f t="shared" si="528"/>
        <v>0</v>
      </c>
      <c r="AK716" s="763">
        <f t="shared" si="528"/>
        <v>0</v>
      </c>
      <c r="AL716" s="763">
        <f t="shared" si="528"/>
        <v>0</v>
      </c>
      <c r="AM716" s="763">
        <f t="shared" si="528"/>
        <v>0</v>
      </c>
      <c r="AN716" s="763">
        <f t="shared" si="528"/>
        <v>0</v>
      </c>
      <c r="AO716" s="763">
        <f t="shared" si="528"/>
        <v>0</v>
      </c>
      <c r="AP716" s="763">
        <f t="shared" si="529"/>
        <v>0</v>
      </c>
      <c r="AQ716" s="763">
        <f t="shared" si="529"/>
        <v>0</v>
      </c>
      <c r="AR716" s="763">
        <f t="shared" si="529"/>
        <v>0</v>
      </c>
      <c r="AS716" s="763">
        <f t="shared" si="529"/>
        <v>0</v>
      </c>
      <c r="AT716" s="763">
        <f t="shared" si="529"/>
        <v>0</v>
      </c>
      <c r="AU716" s="763">
        <f t="shared" si="529"/>
        <v>0</v>
      </c>
      <c r="AV716" s="763">
        <f t="shared" si="529"/>
        <v>0</v>
      </c>
      <c r="AW716" s="763">
        <f t="shared" si="529"/>
        <v>0</v>
      </c>
      <c r="AX716" s="763">
        <f t="shared" si="529"/>
        <v>0</v>
      </c>
      <c r="AY716" s="763">
        <f t="shared" si="529"/>
        <v>0</v>
      </c>
      <c r="AZ716" s="763">
        <f t="shared" si="530"/>
        <v>0</v>
      </c>
      <c r="BA716" s="763">
        <f t="shared" si="530"/>
        <v>0</v>
      </c>
      <c r="BB716" s="763">
        <f t="shared" si="530"/>
        <v>0</v>
      </c>
      <c r="BC716" s="763">
        <f t="shared" si="530"/>
        <v>0</v>
      </c>
      <c r="BD716" s="763">
        <f t="shared" si="530"/>
        <v>0</v>
      </c>
      <c r="BE716" s="763">
        <f t="shared" si="530"/>
        <v>0</v>
      </c>
      <c r="BF716" s="763">
        <f t="shared" si="530"/>
        <v>0</v>
      </c>
      <c r="BG716" s="763">
        <f t="shared" si="530"/>
        <v>0</v>
      </c>
      <c r="BH716" s="763">
        <f t="shared" si="530"/>
        <v>0</v>
      </c>
      <c r="BI716" s="763">
        <f t="shared" si="530"/>
        <v>0</v>
      </c>
      <c r="BJ716" s="763">
        <f t="shared" si="531"/>
        <v>0</v>
      </c>
      <c r="BK716" s="763">
        <f t="shared" si="531"/>
        <v>0</v>
      </c>
      <c r="BL716" s="763">
        <f t="shared" si="531"/>
        <v>0</v>
      </c>
      <c r="BM716" s="763">
        <f t="shared" si="531"/>
        <v>0</v>
      </c>
      <c r="BN716" s="763">
        <f t="shared" si="531"/>
        <v>0</v>
      </c>
      <c r="BO716" s="763">
        <f t="shared" si="531"/>
        <v>0</v>
      </c>
      <c r="BP716" s="763">
        <f t="shared" si="531"/>
        <v>0</v>
      </c>
      <c r="BQ716" s="763">
        <f t="shared" si="531"/>
        <v>0</v>
      </c>
      <c r="BR716" s="763">
        <f t="shared" si="531"/>
        <v>0</v>
      </c>
      <c r="BS716" s="763">
        <f t="shared" si="531"/>
        <v>0</v>
      </c>
      <c r="BT716" s="763">
        <f t="shared" si="532"/>
        <v>0</v>
      </c>
      <c r="BU716" s="763">
        <f t="shared" si="532"/>
        <v>0</v>
      </c>
      <c r="BV716" s="763">
        <f t="shared" si="532"/>
        <v>0</v>
      </c>
      <c r="BW716" s="763">
        <f t="shared" si="532"/>
        <v>0</v>
      </c>
      <c r="BX716" s="763">
        <f t="shared" si="532"/>
        <v>0</v>
      </c>
      <c r="BY716" s="763">
        <f t="shared" si="532"/>
        <v>0</v>
      </c>
      <c r="BZ716" s="763">
        <f t="shared" si="532"/>
        <v>0</v>
      </c>
      <c r="CA716" s="763">
        <f t="shared" si="532"/>
        <v>0</v>
      </c>
      <c r="CB716" s="763">
        <f t="shared" si="532"/>
        <v>0</v>
      </c>
      <c r="CC716" s="763">
        <f t="shared" si="532"/>
        <v>0</v>
      </c>
      <c r="CD716" s="763">
        <f t="shared" si="533"/>
        <v>0</v>
      </c>
      <c r="CE716" s="763">
        <f t="shared" si="533"/>
        <v>0</v>
      </c>
      <c r="CF716" s="763">
        <f t="shared" si="533"/>
        <v>0</v>
      </c>
      <c r="CG716" s="763">
        <f t="shared" si="533"/>
        <v>0</v>
      </c>
      <c r="CH716" s="763">
        <f t="shared" si="533"/>
        <v>0</v>
      </c>
      <c r="CI716" s="763">
        <f t="shared" si="533"/>
        <v>0</v>
      </c>
      <c r="CJ716" s="763">
        <f t="shared" si="533"/>
        <v>0</v>
      </c>
      <c r="CK716" s="763">
        <f t="shared" si="533"/>
        <v>0</v>
      </c>
      <c r="CL716" s="763">
        <f t="shared" si="533"/>
        <v>0</v>
      </c>
      <c r="CM716" s="763">
        <f t="shared" si="533"/>
        <v>0</v>
      </c>
    </row>
    <row r="717" spans="11:91" ht="12" hidden="1" customHeight="1" x14ac:dyDescent="0.35">
      <c r="K717" s="28"/>
      <c r="L717" s="28"/>
      <c r="M717" s="28"/>
      <c r="N717" s="28"/>
      <c r="O717" s="28"/>
      <c r="P717" s="28"/>
      <c r="Q717" s="28"/>
      <c r="R717" s="31">
        <f>IF(Input!D$298=L1004,Input!D$297,0)</f>
        <v>0</v>
      </c>
      <c r="S717" s="36">
        <f t="shared" si="526"/>
        <v>0</v>
      </c>
      <c r="T717" s="193" t="s">
        <v>471</v>
      </c>
      <c r="U717" s="192"/>
      <c r="V717" s="198"/>
      <c r="W717" s="345"/>
      <c r="X717" s="347"/>
      <c r="Y717" s="1182">
        <f t="shared" si="522"/>
        <v>0</v>
      </c>
      <c r="Z717" s="343">
        <f t="shared" si="523"/>
        <v>0</v>
      </c>
      <c r="AA717" s="29"/>
      <c r="AB717" s="34">
        <f t="shared" si="524"/>
        <v>0</v>
      </c>
      <c r="AC717" s="29"/>
      <c r="AD717" s="29"/>
      <c r="AE717" s="34">
        <f t="shared" si="527"/>
        <v>0</v>
      </c>
      <c r="AF717" s="763">
        <f t="shared" si="528"/>
        <v>0</v>
      </c>
      <c r="AG717" s="763">
        <f t="shared" si="528"/>
        <v>0</v>
      </c>
      <c r="AH717" s="763">
        <f t="shared" si="528"/>
        <v>0</v>
      </c>
      <c r="AI717" s="763">
        <f t="shared" si="528"/>
        <v>0</v>
      </c>
      <c r="AJ717" s="763">
        <f t="shared" si="528"/>
        <v>0</v>
      </c>
      <c r="AK717" s="763">
        <f t="shared" si="528"/>
        <v>0</v>
      </c>
      <c r="AL717" s="763">
        <f t="shared" si="528"/>
        <v>0</v>
      </c>
      <c r="AM717" s="763">
        <f t="shared" si="528"/>
        <v>0</v>
      </c>
      <c r="AN717" s="763">
        <f t="shared" si="528"/>
        <v>0</v>
      </c>
      <c r="AO717" s="763">
        <f t="shared" si="528"/>
        <v>0</v>
      </c>
      <c r="AP717" s="763">
        <f t="shared" si="529"/>
        <v>0</v>
      </c>
      <c r="AQ717" s="763">
        <f t="shared" si="529"/>
        <v>0</v>
      </c>
      <c r="AR717" s="763">
        <f t="shared" si="529"/>
        <v>0</v>
      </c>
      <c r="AS717" s="763">
        <f t="shared" si="529"/>
        <v>0</v>
      </c>
      <c r="AT717" s="763">
        <f t="shared" si="529"/>
        <v>0</v>
      </c>
      <c r="AU717" s="763">
        <f t="shared" si="529"/>
        <v>0</v>
      </c>
      <c r="AV717" s="763">
        <f t="shared" si="529"/>
        <v>0</v>
      </c>
      <c r="AW717" s="763">
        <f t="shared" si="529"/>
        <v>0</v>
      </c>
      <c r="AX717" s="763">
        <f t="shared" si="529"/>
        <v>0</v>
      </c>
      <c r="AY717" s="763">
        <f t="shared" si="529"/>
        <v>0</v>
      </c>
      <c r="AZ717" s="763">
        <f t="shared" si="530"/>
        <v>0</v>
      </c>
      <c r="BA717" s="763">
        <f t="shared" si="530"/>
        <v>0</v>
      </c>
      <c r="BB717" s="763">
        <f t="shared" si="530"/>
        <v>0</v>
      </c>
      <c r="BC717" s="763">
        <f t="shared" si="530"/>
        <v>0</v>
      </c>
      <c r="BD717" s="763">
        <f t="shared" si="530"/>
        <v>0</v>
      </c>
      <c r="BE717" s="763">
        <f t="shared" si="530"/>
        <v>0</v>
      </c>
      <c r="BF717" s="763">
        <f t="shared" si="530"/>
        <v>0</v>
      </c>
      <c r="BG717" s="763">
        <f t="shared" si="530"/>
        <v>0</v>
      </c>
      <c r="BH717" s="763">
        <f t="shared" si="530"/>
        <v>0</v>
      </c>
      <c r="BI717" s="763">
        <f t="shared" si="530"/>
        <v>0</v>
      </c>
      <c r="BJ717" s="763">
        <f t="shared" si="531"/>
        <v>0</v>
      </c>
      <c r="BK717" s="763">
        <f t="shared" si="531"/>
        <v>0</v>
      </c>
      <c r="BL717" s="763">
        <f t="shared" si="531"/>
        <v>0</v>
      </c>
      <c r="BM717" s="763">
        <f t="shared" si="531"/>
        <v>0</v>
      </c>
      <c r="BN717" s="763">
        <f t="shared" si="531"/>
        <v>0</v>
      </c>
      <c r="BO717" s="763">
        <f t="shared" si="531"/>
        <v>0</v>
      </c>
      <c r="BP717" s="763">
        <f t="shared" si="531"/>
        <v>0</v>
      </c>
      <c r="BQ717" s="763">
        <f t="shared" si="531"/>
        <v>0</v>
      </c>
      <c r="BR717" s="763">
        <f t="shared" si="531"/>
        <v>0</v>
      </c>
      <c r="BS717" s="763">
        <f t="shared" si="531"/>
        <v>0</v>
      </c>
      <c r="BT717" s="763">
        <f t="shared" si="532"/>
        <v>0</v>
      </c>
      <c r="BU717" s="763">
        <f t="shared" si="532"/>
        <v>0</v>
      </c>
      <c r="BV717" s="763">
        <f t="shared" si="532"/>
        <v>0</v>
      </c>
      <c r="BW717" s="763">
        <f t="shared" si="532"/>
        <v>0</v>
      </c>
      <c r="BX717" s="763">
        <f t="shared" si="532"/>
        <v>0</v>
      </c>
      <c r="BY717" s="763">
        <f t="shared" si="532"/>
        <v>0</v>
      </c>
      <c r="BZ717" s="763">
        <f t="shared" si="532"/>
        <v>0</v>
      </c>
      <c r="CA717" s="763">
        <f t="shared" si="532"/>
        <v>0</v>
      </c>
      <c r="CB717" s="763">
        <f t="shared" si="532"/>
        <v>0</v>
      </c>
      <c r="CC717" s="763">
        <f t="shared" si="532"/>
        <v>0</v>
      </c>
      <c r="CD717" s="763">
        <f t="shared" si="533"/>
        <v>0</v>
      </c>
      <c r="CE717" s="763">
        <f t="shared" si="533"/>
        <v>0</v>
      </c>
      <c r="CF717" s="763">
        <f t="shared" si="533"/>
        <v>0</v>
      </c>
      <c r="CG717" s="763">
        <f t="shared" si="533"/>
        <v>0</v>
      </c>
      <c r="CH717" s="763">
        <f t="shared" si="533"/>
        <v>0</v>
      </c>
      <c r="CI717" s="763">
        <f t="shared" si="533"/>
        <v>0</v>
      </c>
      <c r="CJ717" s="763">
        <f t="shared" si="533"/>
        <v>0</v>
      </c>
      <c r="CK717" s="763">
        <f t="shared" si="533"/>
        <v>0</v>
      </c>
      <c r="CL717" s="763">
        <f t="shared" si="533"/>
        <v>0</v>
      </c>
      <c r="CM717" s="763">
        <f t="shared" si="533"/>
        <v>0</v>
      </c>
    </row>
    <row r="718" spans="11:91" ht="12" hidden="1" customHeight="1" x14ac:dyDescent="0.35">
      <c r="K718" s="28"/>
      <c r="L718" s="28"/>
      <c r="M718" s="28"/>
      <c r="N718" s="28"/>
      <c r="O718" s="28"/>
      <c r="P718" s="28"/>
      <c r="Q718" s="28"/>
      <c r="R718" s="31">
        <f>IF(Input!D$298=L1005,Input!D$297,0)</f>
        <v>0</v>
      </c>
      <c r="S718" s="36">
        <f t="shared" si="526"/>
        <v>0</v>
      </c>
      <c r="T718" s="193" t="s">
        <v>472</v>
      </c>
      <c r="U718" s="192"/>
      <c r="V718" s="198"/>
      <c r="W718" s="345"/>
      <c r="X718" s="347"/>
      <c r="Y718" s="1182">
        <f t="shared" si="522"/>
        <v>0</v>
      </c>
      <c r="Z718" s="343">
        <f t="shared" si="523"/>
        <v>0</v>
      </c>
      <c r="AA718" s="29"/>
      <c r="AB718" s="34">
        <f t="shared" si="524"/>
        <v>0</v>
      </c>
      <c r="AC718" s="29"/>
      <c r="AD718" s="29"/>
      <c r="AE718" s="34">
        <f t="shared" si="527"/>
        <v>0</v>
      </c>
      <c r="AF718" s="763">
        <f t="shared" si="528"/>
        <v>0</v>
      </c>
      <c r="AG718" s="763">
        <f t="shared" si="528"/>
        <v>0</v>
      </c>
      <c r="AH718" s="763">
        <f t="shared" si="528"/>
        <v>0</v>
      </c>
      <c r="AI718" s="763">
        <f t="shared" si="528"/>
        <v>0</v>
      </c>
      <c r="AJ718" s="763">
        <f t="shared" si="528"/>
        <v>0</v>
      </c>
      <c r="AK718" s="763">
        <f t="shared" si="528"/>
        <v>0</v>
      </c>
      <c r="AL718" s="763">
        <f t="shared" si="528"/>
        <v>0</v>
      </c>
      <c r="AM718" s="763">
        <f t="shared" si="528"/>
        <v>0</v>
      </c>
      <c r="AN718" s="763">
        <f t="shared" si="528"/>
        <v>0</v>
      </c>
      <c r="AO718" s="763">
        <f t="shared" si="528"/>
        <v>0</v>
      </c>
      <c r="AP718" s="763">
        <f t="shared" si="529"/>
        <v>0</v>
      </c>
      <c r="AQ718" s="763">
        <f t="shared" si="529"/>
        <v>0</v>
      </c>
      <c r="AR718" s="763">
        <f t="shared" si="529"/>
        <v>0</v>
      </c>
      <c r="AS718" s="763">
        <f t="shared" si="529"/>
        <v>0</v>
      </c>
      <c r="AT718" s="763">
        <f t="shared" si="529"/>
        <v>0</v>
      </c>
      <c r="AU718" s="763">
        <f t="shared" si="529"/>
        <v>0</v>
      </c>
      <c r="AV718" s="763">
        <f t="shared" si="529"/>
        <v>0</v>
      </c>
      <c r="AW718" s="763">
        <f t="shared" si="529"/>
        <v>0</v>
      </c>
      <c r="AX718" s="763">
        <f t="shared" si="529"/>
        <v>0</v>
      </c>
      <c r="AY718" s="763">
        <f t="shared" si="529"/>
        <v>0</v>
      </c>
      <c r="AZ718" s="763">
        <f t="shared" si="530"/>
        <v>0</v>
      </c>
      <c r="BA718" s="763">
        <f t="shared" si="530"/>
        <v>0</v>
      </c>
      <c r="BB718" s="763">
        <f t="shared" si="530"/>
        <v>0</v>
      </c>
      <c r="BC718" s="763">
        <f t="shared" si="530"/>
        <v>0</v>
      </c>
      <c r="BD718" s="763">
        <f t="shared" si="530"/>
        <v>0</v>
      </c>
      <c r="BE718" s="763">
        <f t="shared" si="530"/>
        <v>0</v>
      </c>
      <c r="BF718" s="763">
        <f t="shared" si="530"/>
        <v>0</v>
      </c>
      <c r="BG718" s="763">
        <f t="shared" si="530"/>
        <v>0</v>
      </c>
      <c r="BH718" s="763">
        <f t="shared" si="530"/>
        <v>0</v>
      </c>
      <c r="BI718" s="763">
        <f t="shared" si="530"/>
        <v>0</v>
      </c>
      <c r="BJ718" s="763">
        <f t="shared" si="531"/>
        <v>0</v>
      </c>
      <c r="BK718" s="763">
        <f t="shared" si="531"/>
        <v>0</v>
      </c>
      <c r="BL718" s="763">
        <f t="shared" si="531"/>
        <v>0</v>
      </c>
      <c r="BM718" s="763">
        <f t="shared" si="531"/>
        <v>0</v>
      </c>
      <c r="BN718" s="763">
        <f t="shared" si="531"/>
        <v>0</v>
      </c>
      <c r="BO718" s="763">
        <f t="shared" si="531"/>
        <v>0</v>
      </c>
      <c r="BP718" s="763">
        <f t="shared" si="531"/>
        <v>0</v>
      </c>
      <c r="BQ718" s="763">
        <f t="shared" si="531"/>
        <v>0</v>
      </c>
      <c r="BR718" s="763">
        <f t="shared" si="531"/>
        <v>0</v>
      </c>
      <c r="BS718" s="763">
        <f t="shared" si="531"/>
        <v>0</v>
      </c>
      <c r="BT718" s="763">
        <f t="shared" si="532"/>
        <v>0</v>
      </c>
      <c r="BU718" s="763">
        <f t="shared" si="532"/>
        <v>0</v>
      </c>
      <c r="BV718" s="763">
        <f t="shared" si="532"/>
        <v>0</v>
      </c>
      <c r="BW718" s="763">
        <f t="shared" si="532"/>
        <v>0</v>
      </c>
      <c r="BX718" s="763">
        <f t="shared" si="532"/>
        <v>0</v>
      </c>
      <c r="BY718" s="763">
        <f t="shared" si="532"/>
        <v>0</v>
      </c>
      <c r="BZ718" s="763">
        <f t="shared" si="532"/>
        <v>0</v>
      </c>
      <c r="CA718" s="763">
        <f t="shared" si="532"/>
        <v>0</v>
      </c>
      <c r="CB718" s="763">
        <f t="shared" si="532"/>
        <v>0</v>
      </c>
      <c r="CC718" s="763">
        <f t="shared" si="532"/>
        <v>0</v>
      </c>
      <c r="CD718" s="763">
        <f t="shared" si="533"/>
        <v>0</v>
      </c>
      <c r="CE718" s="763">
        <f t="shared" si="533"/>
        <v>0</v>
      </c>
      <c r="CF718" s="763">
        <f t="shared" si="533"/>
        <v>0</v>
      </c>
      <c r="CG718" s="763">
        <f t="shared" si="533"/>
        <v>0</v>
      </c>
      <c r="CH718" s="763">
        <f t="shared" si="533"/>
        <v>0</v>
      </c>
      <c r="CI718" s="763">
        <f t="shared" si="533"/>
        <v>0</v>
      </c>
      <c r="CJ718" s="763">
        <f t="shared" si="533"/>
        <v>0</v>
      </c>
      <c r="CK718" s="763">
        <f t="shared" si="533"/>
        <v>0</v>
      </c>
      <c r="CL718" s="763">
        <f t="shared" si="533"/>
        <v>0</v>
      </c>
      <c r="CM718" s="763">
        <f t="shared" si="533"/>
        <v>0</v>
      </c>
    </row>
    <row r="719" spans="11:91" ht="12" hidden="1" customHeight="1" x14ac:dyDescent="0.35">
      <c r="K719" s="28"/>
      <c r="L719" s="28"/>
      <c r="M719" s="28"/>
      <c r="N719" s="28"/>
      <c r="O719" s="28"/>
      <c r="P719" s="28"/>
      <c r="Q719" s="28"/>
      <c r="R719" s="31">
        <f>IF(Input!D$298=L1006,Input!D$297,0)</f>
        <v>0</v>
      </c>
      <c r="S719" s="36">
        <f t="shared" si="526"/>
        <v>0</v>
      </c>
      <c r="T719" s="193" t="s">
        <v>473</v>
      </c>
      <c r="U719" s="192"/>
      <c r="V719" s="198"/>
      <c r="W719" s="345"/>
      <c r="X719" s="347"/>
      <c r="Y719" s="1182">
        <f t="shared" si="522"/>
        <v>0</v>
      </c>
      <c r="Z719" s="343">
        <f t="shared" si="523"/>
        <v>0</v>
      </c>
      <c r="AA719" s="29"/>
      <c r="AB719" s="34">
        <f t="shared" si="524"/>
        <v>0</v>
      </c>
      <c r="AC719" s="29"/>
      <c r="AD719" s="29"/>
      <c r="AE719" s="34">
        <f t="shared" si="527"/>
        <v>0</v>
      </c>
      <c r="AF719" s="763">
        <f t="shared" si="528"/>
        <v>0</v>
      </c>
      <c r="AG719" s="763">
        <f t="shared" si="528"/>
        <v>0</v>
      </c>
      <c r="AH719" s="763">
        <f t="shared" si="528"/>
        <v>0</v>
      </c>
      <c r="AI719" s="763">
        <f t="shared" si="528"/>
        <v>0</v>
      </c>
      <c r="AJ719" s="763">
        <f t="shared" si="528"/>
        <v>0</v>
      </c>
      <c r="AK719" s="763">
        <f t="shared" si="528"/>
        <v>0</v>
      </c>
      <c r="AL719" s="763">
        <f t="shared" si="528"/>
        <v>0</v>
      </c>
      <c r="AM719" s="763">
        <f t="shared" si="528"/>
        <v>0</v>
      </c>
      <c r="AN719" s="763">
        <f t="shared" si="528"/>
        <v>0</v>
      </c>
      <c r="AO719" s="763">
        <f t="shared" si="528"/>
        <v>0</v>
      </c>
      <c r="AP719" s="763">
        <f t="shared" si="529"/>
        <v>0</v>
      </c>
      <c r="AQ719" s="763">
        <f t="shared" si="529"/>
        <v>0</v>
      </c>
      <c r="AR719" s="763">
        <f t="shared" si="529"/>
        <v>0</v>
      </c>
      <c r="AS719" s="763">
        <f t="shared" si="529"/>
        <v>0</v>
      </c>
      <c r="AT719" s="763">
        <f t="shared" si="529"/>
        <v>0</v>
      </c>
      <c r="AU719" s="763">
        <f t="shared" si="529"/>
        <v>0</v>
      </c>
      <c r="AV719" s="763">
        <f t="shared" si="529"/>
        <v>0</v>
      </c>
      <c r="AW719" s="763">
        <f t="shared" si="529"/>
        <v>0</v>
      </c>
      <c r="AX719" s="763">
        <f t="shared" si="529"/>
        <v>0</v>
      </c>
      <c r="AY719" s="763">
        <f t="shared" si="529"/>
        <v>0</v>
      </c>
      <c r="AZ719" s="763">
        <f t="shared" si="530"/>
        <v>0</v>
      </c>
      <c r="BA719" s="763">
        <f t="shared" si="530"/>
        <v>0</v>
      </c>
      <c r="BB719" s="763">
        <f t="shared" si="530"/>
        <v>0</v>
      </c>
      <c r="BC719" s="763">
        <f t="shared" si="530"/>
        <v>0</v>
      </c>
      <c r="BD719" s="763">
        <f t="shared" si="530"/>
        <v>0</v>
      </c>
      <c r="BE719" s="763">
        <f t="shared" si="530"/>
        <v>0</v>
      </c>
      <c r="BF719" s="763">
        <f t="shared" si="530"/>
        <v>0</v>
      </c>
      <c r="BG719" s="763">
        <f t="shared" si="530"/>
        <v>0</v>
      </c>
      <c r="BH719" s="763">
        <f t="shared" si="530"/>
        <v>0</v>
      </c>
      <c r="BI719" s="763">
        <f t="shared" si="530"/>
        <v>0</v>
      </c>
      <c r="BJ719" s="763">
        <f t="shared" si="531"/>
        <v>0</v>
      </c>
      <c r="BK719" s="763">
        <f t="shared" si="531"/>
        <v>0</v>
      </c>
      <c r="BL719" s="763">
        <f t="shared" si="531"/>
        <v>0</v>
      </c>
      <c r="BM719" s="763">
        <f t="shared" si="531"/>
        <v>0</v>
      </c>
      <c r="BN719" s="763">
        <f t="shared" si="531"/>
        <v>0</v>
      </c>
      <c r="BO719" s="763">
        <f t="shared" si="531"/>
        <v>0</v>
      </c>
      <c r="BP719" s="763">
        <f t="shared" si="531"/>
        <v>0</v>
      </c>
      <c r="BQ719" s="763">
        <f t="shared" si="531"/>
        <v>0</v>
      </c>
      <c r="BR719" s="763">
        <f t="shared" si="531"/>
        <v>0</v>
      </c>
      <c r="BS719" s="763">
        <f t="shared" si="531"/>
        <v>0</v>
      </c>
      <c r="BT719" s="763">
        <f t="shared" si="532"/>
        <v>0</v>
      </c>
      <c r="BU719" s="763">
        <f t="shared" si="532"/>
        <v>0</v>
      </c>
      <c r="BV719" s="763">
        <f t="shared" si="532"/>
        <v>0</v>
      </c>
      <c r="BW719" s="763">
        <f t="shared" si="532"/>
        <v>0</v>
      </c>
      <c r="BX719" s="763">
        <f t="shared" si="532"/>
        <v>0</v>
      </c>
      <c r="BY719" s="763">
        <f t="shared" si="532"/>
        <v>0</v>
      </c>
      <c r="BZ719" s="763">
        <f t="shared" si="532"/>
        <v>0</v>
      </c>
      <c r="CA719" s="763">
        <f t="shared" si="532"/>
        <v>0</v>
      </c>
      <c r="CB719" s="763">
        <f t="shared" si="532"/>
        <v>0</v>
      </c>
      <c r="CC719" s="763">
        <f t="shared" si="532"/>
        <v>0</v>
      </c>
      <c r="CD719" s="763">
        <f t="shared" si="533"/>
        <v>0</v>
      </c>
      <c r="CE719" s="763">
        <f t="shared" si="533"/>
        <v>0</v>
      </c>
      <c r="CF719" s="763">
        <f t="shared" si="533"/>
        <v>0</v>
      </c>
      <c r="CG719" s="763">
        <f t="shared" si="533"/>
        <v>0</v>
      </c>
      <c r="CH719" s="763">
        <f t="shared" si="533"/>
        <v>0</v>
      </c>
      <c r="CI719" s="763">
        <f t="shared" si="533"/>
        <v>0</v>
      </c>
      <c r="CJ719" s="763">
        <f t="shared" si="533"/>
        <v>0</v>
      </c>
      <c r="CK719" s="763">
        <f t="shared" si="533"/>
        <v>0</v>
      </c>
      <c r="CL719" s="763">
        <f t="shared" si="533"/>
        <v>0</v>
      </c>
      <c r="CM719" s="763">
        <f t="shared" si="533"/>
        <v>0</v>
      </c>
    </row>
    <row r="720" spans="11:91" ht="12" hidden="1" customHeight="1" x14ac:dyDescent="0.35">
      <c r="K720" s="28"/>
      <c r="L720" s="28"/>
      <c r="M720" s="28"/>
      <c r="N720" s="28"/>
      <c r="O720" s="28"/>
      <c r="P720" s="28"/>
      <c r="Q720" s="28"/>
      <c r="R720" s="31">
        <f>IF(Input!D$298=L1007,Input!D$297,0)</f>
        <v>0</v>
      </c>
      <c r="S720" s="36">
        <f t="shared" si="526"/>
        <v>0</v>
      </c>
      <c r="T720" s="193" t="s">
        <v>474</v>
      </c>
      <c r="U720" s="192"/>
      <c r="V720" s="198"/>
      <c r="W720" s="345"/>
      <c r="X720" s="347"/>
      <c r="Y720" s="1182">
        <f t="shared" si="522"/>
        <v>0</v>
      </c>
      <c r="Z720" s="343">
        <f t="shared" si="523"/>
        <v>0</v>
      </c>
      <c r="AA720" s="29"/>
      <c r="AB720" s="34">
        <f t="shared" si="524"/>
        <v>0</v>
      </c>
      <c r="AC720" s="29"/>
      <c r="AD720" s="29"/>
      <c r="AE720" s="34">
        <f t="shared" si="527"/>
        <v>0</v>
      </c>
      <c r="AF720" s="763">
        <f t="shared" si="528"/>
        <v>0</v>
      </c>
      <c r="AG720" s="763">
        <f t="shared" si="528"/>
        <v>0</v>
      </c>
      <c r="AH720" s="763">
        <f t="shared" si="528"/>
        <v>0</v>
      </c>
      <c r="AI720" s="763">
        <f t="shared" si="528"/>
        <v>0</v>
      </c>
      <c r="AJ720" s="763">
        <f t="shared" si="528"/>
        <v>0</v>
      </c>
      <c r="AK720" s="763">
        <f t="shared" si="528"/>
        <v>0</v>
      </c>
      <c r="AL720" s="763">
        <f t="shared" si="528"/>
        <v>0</v>
      </c>
      <c r="AM720" s="763">
        <f t="shared" si="528"/>
        <v>0</v>
      </c>
      <c r="AN720" s="763">
        <f t="shared" si="528"/>
        <v>0</v>
      </c>
      <c r="AO720" s="763">
        <f t="shared" si="528"/>
        <v>0</v>
      </c>
      <c r="AP720" s="763">
        <f t="shared" si="529"/>
        <v>0</v>
      </c>
      <c r="AQ720" s="763">
        <f t="shared" si="529"/>
        <v>0</v>
      </c>
      <c r="AR720" s="763">
        <f t="shared" si="529"/>
        <v>0</v>
      </c>
      <c r="AS720" s="763">
        <f t="shared" si="529"/>
        <v>0</v>
      </c>
      <c r="AT720" s="763">
        <f t="shared" si="529"/>
        <v>0</v>
      </c>
      <c r="AU720" s="763">
        <f t="shared" si="529"/>
        <v>0</v>
      </c>
      <c r="AV720" s="763">
        <f t="shared" si="529"/>
        <v>0</v>
      </c>
      <c r="AW720" s="763">
        <f t="shared" si="529"/>
        <v>0</v>
      </c>
      <c r="AX720" s="763">
        <f t="shared" si="529"/>
        <v>0</v>
      </c>
      <c r="AY720" s="763">
        <f t="shared" si="529"/>
        <v>0</v>
      </c>
      <c r="AZ720" s="763">
        <f t="shared" si="530"/>
        <v>0</v>
      </c>
      <c r="BA720" s="763">
        <f t="shared" si="530"/>
        <v>0</v>
      </c>
      <c r="BB720" s="763">
        <f t="shared" si="530"/>
        <v>0</v>
      </c>
      <c r="BC720" s="763">
        <f t="shared" si="530"/>
        <v>0</v>
      </c>
      <c r="BD720" s="763">
        <f t="shared" si="530"/>
        <v>0</v>
      </c>
      <c r="BE720" s="763">
        <f t="shared" si="530"/>
        <v>0</v>
      </c>
      <c r="BF720" s="763">
        <f t="shared" si="530"/>
        <v>0</v>
      </c>
      <c r="BG720" s="763">
        <f t="shared" si="530"/>
        <v>0</v>
      </c>
      <c r="BH720" s="763">
        <f t="shared" si="530"/>
        <v>0</v>
      </c>
      <c r="BI720" s="763">
        <f t="shared" si="530"/>
        <v>0</v>
      </c>
      <c r="BJ720" s="763">
        <f t="shared" si="531"/>
        <v>0</v>
      </c>
      <c r="BK720" s="763">
        <f t="shared" si="531"/>
        <v>0</v>
      </c>
      <c r="BL720" s="763">
        <f t="shared" si="531"/>
        <v>0</v>
      </c>
      <c r="BM720" s="763">
        <f t="shared" si="531"/>
        <v>0</v>
      </c>
      <c r="BN720" s="763">
        <f t="shared" si="531"/>
        <v>0</v>
      </c>
      <c r="BO720" s="763">
        <f t="shared" si="531"/>
        <v>0</v>
      </c>
      <c r="BP720" s="763">
        <f t="shared" si="531"/>
        <v>0</v>
      </c>
      <c r="BQ720" s="763">
        <f t="shared" si="531"/>
        <v>0</v>
      </c>
      <c r="BR720" s="763">
        <f t="shared" si="531"/>
        <v>0</v>
      </c>
      <c r="BS720" s="763">
        <f t="shared" si="531"/>
        <v>0</v>
      </c>
      <c r="BT720" s="763">
        <f t="shared" si="532"/>
        <v>0</v>
      </c>
      <c r="BU720" s="763">
        <f t="shared" si="532"/>
        <v>0</v>
      </c>
      <c r="BV720" s="763">
        <f t="shared" si="532"/>
        <v>0</v>
      </c>
      <c r="BW720" s="763">
        <f t="shared" si="532"/>
        <v>0</v>
      </c>
      <c r="BX720" s="763">
        <f t="shared" si="532"/>
        <v>0</v>
      </c>
      <c r="BY720" s="763">
        <f t="shared" si="532"/>
        <v>0</v>
      </c>
      <c r="BZ720" s="763">
        <f t="shared" si="532"/>
        <v>0</v>
      </c>
      <c r="CA720" s="763">
        <f t="shared" si="532"/>
        <v>0</v>
      </c>
      <c r="CB720" s="763">
        <f t="shared" si="532"/>
        <v>0</v>
      </c>
      <c r="CC720" s="763">
        <f t="shared" si="532"/>
        <v>0</v>
      </c>
      <c r="CD720" s="763">
        <f t="shared" si="533"/>
        <v>0</v>
      </c>
      <c r="CE720" s="763">
        <f t="shared" si="533"/>
        <v>0</v>
      </c>
      <c r="CF720" s="763">
        <f t="shared" si="533"/>
        <v>0</v>
      </c>
      <c r="CG720" s="763">
        <f t="shared" si="533"/>
        <v>0</v>
      </c>
      <c r="CH720" s="763">
        <f t="shared" si="533"/>
        <v>0</v>
      </c>
      <c r="CI720" s="763">
        <f t="shared" si="533"/>
        <v>0</v>
      </c>
      <c r="CJ720" s="763">
        <f t="shared" si="533"/>
        <v>0</v>
      </c>
      <c r="CK720" s="763">
        <f t="shared" si="533"/>
        <v>0</v>
      </c>
      <c r="CL720" s="763">
        <f t="shared" si="533"/>
        <v>0</v>
      </c>
      <c r="CM720" s="763">
        <f t="shared" si="533"/>
        <v>0</v>
      </c>
    </row>
    <row r="721" spans="11:91" ht="12" hidden="1" customHeight="1" x14ac:dyDescent="0.35">
      <c r="K721" s="28"/>
      <c r="L721" s="28"/>
      <c r="M721" s="28"/>
      <c r="N721" s="28"/>
      <c r="O721" s="28"/>
      <c r="P721" s="28"/>
      <c r="Q721" s="28"/>
      <c r="R721" s="31">
        <f>IF(Input!D$298=L1008,Input!D$297,0)</f>
        <v>0</v>
      </c>
      <c r="S721" s="36">
        <f t="shared" si="526"/>
        <v>0</v>
      </c>
      <c r="T721" s="193" t="s">
        <v>475</v>
      </c>
      <c r="U721" s="192"/>
      <c r="V721" s="198"/>
      <c r="W721" s="345"/>
      <c r="X721" s="347"/>
      <c r="Y721" s="1182">
        <f t="shared" si="522"/>
        <v>0</v>
      </c>
      <c r="Z721" s="343">
        <f t="shared" si="523"/>
        <v>0</v>
      </c>
      <c r="AA721" s="29"/>
      <c r="AB721" s="34">
        <f t="shared" si="524"/>
        <v>0</v>
      </c>
      <c r="AC721" s="29"/>
      <c r="AD721" s="29"/>
      <c r="AE721" s="34">
        <f t="shared" si="527"/>
        <v>0</v>
      </c>
      <c r="AF721" s="763">
        <f t="shared" si="528"/>
        <v>0</v>
      </c>
      <c r="AG721" s="763">
        <f t="shared" si="528"/>
        <v>0</v>
      </c>
      <c r="AH721" s="763">
        <f t="shared" si="528"/>
        <v>0</v>
      </c>
      <c r="AI721" s="763">
        <f t="shared" si="528"/>
        <v>0</v>
      </c>
      <c r="AJ721" s="763">
        <f t="shared" si="528"/>
        <v>0</v>
      </c>
      <c r="AK721" s="763">
        <f t="shared" si="528"/>
        <v>0</v>
      </c>
      <c r="AL721" s="763">
        <f t="shared" si="528"/>
        <v>0</v>
      </c>
      <c r="AM721" s="763">
        <f t="shared" si="528"/>
        <v>0</v>
      </c>
      <c r="AN721" s="763">
        <f t="shared" si="528"/>
        <v>0</v>
      </c>
      <c r="AO721" s="763">
        <f t="shared" si="528"/>
        <v>0</v>
      </c>
      <c r="AP721" s="763">
        <f t="shared" si="529"/>
        <v>0</v>
      </c>
      <c r="AQ721" s="763">
        <f t="shared" si="529"/>
        <v>0</v>
      </c>
      <c r="AR721" s="763">
        <f t="shared" si="529"/>
        <v>0</v>
      </c>
      <c r="AS721" s="763">
        <f t="shared" si="529"/>
        <v>0</v>
      </c>
      <c r="AT721" s="763">
        <f t="shared" si="529"/>
        <v>0</v>
      </c>
      <c r="AU721" s="763">
        <f t="shared" si="529"/>
        <v>0</v>
      </c>
      <c r="AV721" s="763">
        <f t="shared" si="529"/>
        <v>0</v>
      </c>
      <c r="AW721" s="763">
        <f t="shared" si="529"/>
        <v>0</v>
      </c>
      <c r="AX721" s="763">
        <f t="shared" si="529"/>
        <v>0</v>
      </c>
      <c r="AY721" s="763">
        <f t="shared" si="529"/>
        <v>0</v>
      </c>
      <c r="AZ721" s="763">
        <f t="shared" si="530"/>
        <v>0</v>
      </c>
      <c r="BA721" s="763">
        <f t="shared" si="530"/>
        <v>0</v>
      </c>
      <c r="BB721" s="763">
        <f t="shared" si="530"/>
        <v>0</v>
      </c>
      <c r="BC721" s="763">
        <f t="shared" si="530"/>
        <v>0</v>
      </c>
      <c r="BD721" s="763">
        <f t="shared" si="530"/>
        <v>0</v>
      </c>
      <c r="BE721" s="763">
        <f t="shared" si="530"/>
        <v>0</v>
      </c>
      <c r="BF721" s="763">
        <f t="shared" si="530"/>
        <v>0</v>
      </c>
      <c r="BG721" s="763">
        <f t="shared" si="530"/>
        <v>0</v>
      </c>
      <c r="BH721" s="763">
        <f t="shared" si="530"/>
        <v>0</v>
      </c>
      <c r="BI721" s="763">
        <f t="shared" si="530"/>
        <v>0</v>
      </c>
      <c r="BJ721" s="763">
        <f t="shared" si="531"/>
        <v>0</v>
      </c>
      <c r="BK721" s="763">
        <f t="shared" si="531"/>
        <v>0</v>
      </c>
      <c r="BL721" s="763">
        <f t="shared" si="531"/>
        <v>0</v>
      </c>
      <c r="BM721" s="763">
        <f t="shared" si="531"/>
        <v>0</v>
      </c>
      <c r="BN721" s="763">
        <f t="shared" si="531"/>
        <v>0</v>
      </c>
      <c r="BO721" s="763">
        <f t="shared" si="531"/>
        <v>0</v>
      </c>
      <c r="BP721" s="763">
        <f t="shared" si="531"/>
        <v>0</v>
      </c>
      <c r="BQ721" s="763">
        <f t="shared" si="531"/>
        <v>0</v>
      </c>
      <c r="BR721" s="763">
        <f t="shared" si="531"/>
        <v>0</v>
      </c>
      <c r="BS721" s="763">
        <f t="shared" si="531"/>
        <v>0</v>
      </c>
      <c r="BT721" s="763">
        <f t="shared" si="532"/>
        <v>0</v>
      </c>
      <c r="BU721" s="763">
        <f t="shared" si="532"/>
        <v>0</v>
      </c>
      <c r="BV721" s="763">
        <f t="shared" si="532"/>
        <v>0</v>
      </c>
      <c r="BW721" s="763">
        <f t="shared" si="532"/>
        <v>0</v>
      </c>
      <c r="BX721" s="763">
        <f t="shared" si="532"/>
        <v>0</v>
      </c>
      <c r="BY721" s="763">
        <f t="shared" si="532"/>
        <v>0</v>
      </c>
      <c r="BZ721" s="763">
        <f t="shared" si="532"/>
        <v>0</v>
      </c>
      <c r="CA721" s="763">
        <f t="shared" si="532"/>
        <v>0</v>
      </c>
      <c r="CB721" s="763">
        <f t="shared" si="532"/>
        <v>0</v>
      </c>
      <c r="CC721" s="763">
        <f t="shared" si="532"/>
        <v>0</v>
      </c>
      <c r="CD721" s="763">
        <f t="shared" si="533"/>
        <v>0</v>
      </c>
      <c r="CE721" s="763">
        <f t="shared" si="533"/>
        <v>0</v>
      </c>
      <c r="CF721" s="763">
        <f t="shared" si="533"/>
        <v>0</v>
      </c>
      <c r="CG721" s="763">
        <f t="shared" si="533"/>
        <v>0</v>
      </c>
      <c r="CH721" s="763">
        <f t="shared" si="533"/>
        <v>0</v>
      </c>
      <c r="CI721" s="763">
        <f t="shared" si="533"/>
        <v>0</v>
      </c>
      <c r="CJ721" s="763">
        <f t="shared" si="533"/>
        <v>0</v>
      </c>
      <c r="CK721" s="763">
        <f t="shared" si="533"/>
        <v>0</v>
      </c>
      <c r="CL721" s="763">
        <f t="shared" si="533"/>
        <v>0</v>
      </c>
      <c r="CM721" s="763">
        <f t="shared" si="533"/>
        <v>0</v>
      </c>
    </row>
    <row r="722" spans="11:91" ht="12" hidden="1" customHeight="1" x14ac:dyDescent="0.35">
      <c r="K722" s="28"/>
      <c r="L722" s="28"/>
      <c r="M722" s="28"/>
      <c r="N722" s="28"/>
      <c r="O722" s="28"/>
      <c r="P722" s="28"/>
      <c r="Q722" s="28"/>
      <c r="R722" s="31">
        <f>IF(Input!D$298=L1009,Input!D$297,0)</f>
        <v>0</v>
      </c>
      <c r="S722" s="36">
        <f t="shared" si="526"/>
        <v>0</v>
      </c>
      <c r="T722" s="193" t="s">
        <v>476</v>
      </c>
      <c r="U722" s="192"/>
      <c r="V722" s="198"/>
      <c r="W722" s="345"/>
      <c r="X722" s="347"/>
      <c r="Y722" s="1182">
        <f t="shared" si="522"/>
        <v>0</v>
      </c>
      <c r="Z722" s="343">
        <f t="shared" si="523"/>
        <v>0</v>
      </c>
      <c r="AA722" s="29"/>
      <c r="AB722" s="34">
        <f t="shared" si="524"/>
        <v>0</v>
      </c>
      <c r="AC722" s="29"/>
      <c r="AD722" s="29"/>
      <c r="AE722" s="34">
        <f t="shared" si="527"/>
        <v>0</v>
      </c>
      <c r="AF722" s="763">
        <f t="shared" si="528"/>
        <v>0</v>
      </c>
      <c r="AG722" s="763">
        <f t="shared" si="528"/>
        <v>0</v>
      </c>
      <c r="AH722" s="763">
        <f t="shared" si="528"/>
        <v>0</v>
      </c>
      <c r="AI722" s="763">
        <f t="shared" si="528"/>
        <v>0</v>
      </c>
      <c r="AJ722" s="763">
        <f t="shared" si="528"/>
        <v>0</v>
      </c>
      <c r="AK722" s="763">
        <f t="shared" si="528"/>
        <v>0</v>
      </c>
      <c r="AL722" s="763">
        <f t="shared" si="528"/>
        <v>0</v>
      </c>
      <c r="AM722" s="763">
        <f t="shared" si="528"/>
        <v>0</v>
      </c>
      <c r="AN722" s="763">
        <f t="shared" si="528"/>
        <v>0</v>
      </c>
      <c r="AO722" s="763">
        <f t="shared" si="528"/>
        <v>0</v>
      </c>
      <c r="AP722" s="763">
        <f t="shared" si="529"/>
        <v>0</v>
      </c>
      <c r="AQ722" s="763">
        <f t="shared" si="529"/>
        <v>0</v>
      </c>
      <c r="AR722" s="763">
        <f t="shared" si="529"/>
        <v>0</v>
      </c>
      <c r="AS722" s="763">
        <f t="shared" si="529"/>
        <v>0</v>
      </c>
      <c r="AT722" s="763">
        <f t="shared" si="529"/>
        <v>0</v>
      </c>
      <c r="AU722" s="763">
        <f t="shared" si="529"/>
        <v>0</v>
      </c>
      <c r="AV722" s="763">
        <f t="shared" si="529"/>
        <v>0</v>
      </c>
      <c r="AW722" s="763">
        <f t="shared" si="529"/>
        <v>0</v>
      </c>
      <c r="AX722" s="763">
        <f t="shared" si="529"/>
        <v>0</v>
      </c>
      <c r="AY722" s="763">
        <f t="shared" si="529"/>
        <v>0</v>
      </c>
      <c r="AZ722" s="763">
        <f t="shared" si="530"/>
        <v>0</v>
      </c>
      <c r="BA722" s="763">
        <f t="shared" si="530"/>
        <v>0</v>
      </c>
      <c r="BB722" s="763">
        <f t="shared" si="530"/>
        <v>0</v>
      </c>
      <c r="BC722" s="763">
        <f t="shared" si="530"/>
        <v>0</v>
      </c>
      <c r="BD722" s="763">
        <f t="shared" si="530"/>
        <v>0</v>
      </c>
      <c r="BE722" s="763">
        <f t="shared" si="530"/>
        <v>0</v>
      </c>
      <c r="BF722" s="763">
        <f t="shared" si="530"/>
        <v>0</v>
      </c>
      <c r="BG722" s="763">
        <f t="shared" si="530"/>
        <v>0</v>
      </c>
      <c r="BH722" s="763">
        <f t="shared" si="530"/>
        <v>0</v>
      </c>
      <c r="BI722" s="763">
        <f t="shared" si="530"/>
        <v>0</v>
      </c>
      <c r="BJ722" s="763">
        <f t="shared" si="531"/>
        <v>0</v>
      </c>
      <c r="BK722" s="763">
        <f t="shared" si="531"/>
        <v>0</v>
      </c>
      <c r="BL722" s="763">
        <f t="shared" si="531"/>
        <v>0</v>
      </c>
      <c r="BM722" s="763">
        <f t="shared" si="531"/>
        <v>0</v>
      </c>
      <c r="BN722" s="763">
        <f t="shared" si="531"/>
        <v>0</v>
      </c>
      <c r="BO722" s="763">
        <f t="shared" si="531"/>
        <v>0</v>
      </c>
      <c r="BP722" s="763">
        <f t="shared" si="531"/>
        <v>0</v>
      </c>
      <c r="BQ722" s="763">
        <f t="shared" si="531"/>
        <v>0</v>
      </c>
      <c r="BR722" s="763">
        <f t="shared" si="531"/>
        <v>0</v>
      </c>
      <c r="BS722" s="763">
        <f t="shared" si="531"/>
        <v>0</v>
      </c>
      <c r="BT722" s="763">
        <f t="shared" si="532"/>
        <v>0</v>
      </c>
      <c r="BU722" s="763">
        <f t="shared" si="532"/>
        <v>0</v>
      </c>
      <c r="BV722" s="763">
        <f t="shared" si="532"/>
        <v>0</v>
      </c>
      <c r="BW722" s="763">
        <f t="shared" si="532"/>
        <v>0</v>
      </c>
      <c r="BX722" s="763">
        <f t="shared" si="532"/>
        <v>0</v>
      </c>
      <c r="BY722" s="763">
        <f t="shared" si="532"/>
        <v>0</v>
      </c>
      <c r="BZ722" s="763">
        <f t="shared" si="532"/>
        <v>0</v>
      </c>
      <c r="CA722" s="763">
        <f t="shared" si="532"/>
        <v>0</v>
      </c>
      <c r="CB722" s="763">
        <f t="shared" si="532"/>
        <v>0</v>
      </c>
      <c r="CC722" s="763">
        <f t="shared" si="532"/>
        <v>0</v>
      </c>
      <c r="CD722" s="763">
        <f t="shared" si="533"/>
        <v>0</v>
      </c>
      <c r="CE722" s="763">
        <f t="shared" si="533"/>
        <v>0</v>
      </c>
      <c r="CF722" s="763">
        <f t="shared" si="533"/>
        <v>0</v>
      </c>
      <c r="CG722" s="763">
        <f t="shared" si="533"/>
        <v>0</v>
      </c>
      <c r="CH722" s="763">
        <f t="shared" si="533"/>
        <v>0</v>
      </c>
      <c r="CI722" s="763">
        <f t="shared" si="533"/>
        <v>0</v>
      </c>
      <c r="CJ722" s="763">
        <f t="shared" si="533"/>
        <v>0</v>
      </c>
      <c r="CK722" s="763">
        <f t="shared" si="533"/>
        <v>0</v>
      </c>
      <c r="CL722" s="763">
        <f t="shared" si="533"/>
        <v>0</v>
      </c>
      <c r="CM722" s="763">
        <f t="shared" si="533"/>
        <v>0</v>
      </c>
    </row>
    <row r="723" spans="11:91" ht="12" hidden="1" customHeight="1" x14ac:dyDescent="0.35">
      <c r="K723" s="28"/>
      <c r="L723" s="28"/>
      <c r="M723" s="28"/>
      <c r="N723" s="28"/>
      <c r="O723" s="28"/>
      <c r="P723" s="28"/>
      <c r="Q723" s="28"/>
      <c r="R723" s="31">
        <f>IF(Input!D$298=L1010,Input!D$297,0)</f>
        <v>0</v>
      </c>
      <c r="S723" s="36">
        <f t="shared" si="526"/>
        <v>0</v>
      </c>
      <c r="T723" s="193" t="s">
        <v>477</v>
      </c>
      <c r="U723" s="192"/>
      <c r="V723" s="198"/>
      <c r="W723" s="345"/>
      <c r="X723" s="347"/>
      <c r="Y723" s="1182">
        <f t="shared" si="522"/>
        <v>0</v>
      </c>
      <c r="Z723" s="343">
        <f t="shared" si="523"/>
        <v>0</v>
      </c>
      <c r="AA723" s="29"/>
      <c r="AB723" s="34">
        <f t="shared" si="524"/>
        <v>0</v>
      </c>
      <c r="AC723" s="29"/>
      <c r="AD723" s="29"/>
      <c r="AE723" s="34">
        <f t="shared" si="527"/>
        <v>0</v>
      </c>
      <c r="AF723" s="763">
        <f t="shared" ref="AF723:AO728" si="534">IF($V723=AF$701,$U723,0)</f>
        <v>0</v>
      </c>
      <c r="AG723" s="763">
        <f t="shared" si="534"/>
        <v>0</v>
      </c>
      <c r="AH723" s="763">
        <f t="shared" si="534"/>
        <v>0</v>
      </c>
      <c r="AI723" s="763">
        <f t="shared" si="534"/>
        <v>0</v>
      </c>
      <c r="AJ723" s="763">
        <f t="shared" si="534"/>
        <v>0</v>
      </c>
      <c r="AK723" s="763">
        <f t="shared" si="534"/>
        <v>0</v>
      </c>
      <c r="AL723" s="763">
        <f t="shared" si="534"/>
        <v>0</v>
      </c>
      <c r="AM723" s="763">
        <f t="shared" si="534"/>
        <v>0</v>
      </c>
      <c r="AN723" s="763">
        <f t="shared" si="534"/>
        <v>0</v>
      </c>
      <c r="AO723" s="763">
        <f t="shared" si="534"/>
        <v>0</v>
      </c>
      <c r="AP723" s="763">
        <f t="shared" ref="AP723:AY728" si="535">IF($V723=AP$701,$U723,0)</f>
        <v>0</v>
      </c>
      <c r="AQ723" s="763">
        <f t="shared" si="535"/>
        <v>0</v>
      </c>
      <c r="AR723" s="763">
        <f t="shared" si="535"/>
        <v>0</v>
      </c>
      <c r="AS723" s="763">
        <f t="shared" si="535"/>
        <v>0</v>
      </c>
      <c r="AT723" s="763">
        <f t="shared" si="535"/>
        <v>0</v>
      </c>
      <c r="AU723" s="763">
        <f t="shared" si="535"/>
        <v>0</v>
      </c>
      <c r="AV723" s="763">
        <f t="shared" si="535"/>
        <v>0</v>
      </c>
      <c r="AW723" s="763">
        <f t="shared" si="535"/>
        <v>0</v>
      </c>
      <c r="AX723" s="763">
        <f t="shared" si="535"/>
        <v>0</v>
      </c>
      <c r="AY723" s="763">
        <f t="shared" si="535"/>
        <v>0</v>
      </c>
      <c r="AZ723" s="763">
        <f t="shared" ref="AZ723:BI728" si="536">IF($V723=AZ$701,$U723,0)</f>
        <v>0</v>
      </c>
      <c r="BA723" s="763">
        <f t="shared" si="536"/>
        <v>0</v>
      </c>
      <c r="BB723" s="763">
        <f t="shared" si="536"/>
        <v>0</v>
      </c>
      <c r="BC723" s="763">
        <f t="shared" si="536"/>
        <v>0</v>
      </c>
      <c r="BD723" s="763">
        <f t="shared" si="536"/>
        <v>0</v>
      </c>
      <c r="BE723" s="763">
        <f t="shared" si="536"/>
        <v>0</v>
      </c>
      <c r="BF723" s="763">
        <f t="shared" si="536"/>
        <v>0</v>
      </c>
      <c r="BG723" s="763">
        <f t="shared" si="536"/>
        <v>0</v>
      </c>
      <c r="BH723" s="763">
        <f t="shared" si="536"/>
        <v>0</v>
      </c>
      <c r="BI723" s="763">
        <f t="shared" si="536"/>
        <v>0</v>
      </c>
      <c r="BJ723" s="763">
        <f t="shared" ref="BJ723:BS728" si="537">IF($V723=BJ$701,$U723,0)</f>
        <v>0</v>
      </c>
      <c r="BK723" s="763">
        <f t="shared" si="537"/>
        <v>0</v>
      </c>
      <c r="BL723" s="763">
        <f t="shared" si="537"/>
        <v>0</v>
      </c>
      <c r="BM723" s="763">
        <f t="shared" si="537"/>
        <v>0</v>
      </c>
      <c r="BN723" s="763">
        <f t="shared" si="537"/>
        <v>0</v>
      </c>
      <c r="BO723" s="763">
        <f t="shared" si="537"/>
        <v>0</v>
      </c>
      <c r="BP723" s="763">
        <f t="shared" si="537"/>
        <v>0</v>
      </c>
      <c r="BQ723" s="763">
        <f t="shared" si="537"/>
        <v>0</v>
      </c>
      <c r="BR723" s="763">
        <f t="shared" si="537"/>
        <v>0</v>
      </c>
      <c r="BS723" s="763">
        <f t="shared" si="537"/>
        <v>0</v>
      </c>
      <c r="BT723" s="763">
        <f t="shared" ref="BT723:CC728" si="538">IF($V723=BT$701,$U723,0)</f>
        <v>0</v>
      </c>
      <c r="BU723" s="763">
        <f t="shared" si="538"/>
        <v>0</v>
      </c>
      <c r="BV723" s="763">
        <f t="shared" si="538"/>
        <v>0</v>
      </c>
      <c r="BW723" s="763">
        <f t="shared" si="538"/>
        <v>0</v>
      </c>
      <c r="BX723" s="763">
        <f t="shared" si="538"/>
        <v>0</v>
      </c>
      <c r="BY723" s="763">
        <f t="shared" si="538"/>
        <v>0</v>
      </c>
      <c r="BZ723" s="763">
        <f t="shared" si="538"/>
        <v>0</v>
      </c>
      <c r="CA723" s="763">
        <f t="shared" si="538"/>
        <v>0</v>
      </c>
      <c r="CB723" s="763">
        <f t="shared" si="538"/>
        <v>0</v>
      </c>
      <c r="CC723" s="763">
        <f t="shared" si="538"/>
        <v>0</v>
      </c>
      <c r="CD723" s="763">
        <f t="shared" ref="CD723:CM728" si="539">IF($V723=CD$701,$U723,0)</f>
        <v>0</v>
      </c>
      <c r="CE723" s="763">
        <f t="shared" si="539"/>
        <v>0</v>
      </c>
      <c r="CF723" s="763">
        <f t="shared" si="539"/>
        <v>0</v>
      </c>
      <c r="CG723" s="763">
        <f t="shared" si="539"/>
        <v>0</v>
      </c>
      <c r="CH723" s="763">
        <f t="shared" si="539"/>
        <v>0</v>
      </c>
      <c r="CI723" s="763">
        <f t="shared" si="539"/>
        <v>0</v>
      </c>
      <c r="CJ723" s="763">
        <f t="shared" si="539"/>
        <v>0</v>
      </c>
      <c r="CK723" s="763">
        <f t="shared" si="539"/>
        <v>0</v>
      </c>
      <c r="CL723" s="763">
        <f t="shared" si="539"/>
        <v>0</v>
      </c>
      <c r="CM723" s="763">
        <f t="shared" si="539"/>
        <v>0</v>
      </c>
    </row>
    <row r="724" spans="11:91" ht="12" hidden="1" customHeight="1" x14ac:dyDescent="0.35">
      <c r="K724" s="28"/>
      <c r="L724" s="28"/>
      <c r="M724" s="28"/>
      <c r="N724" s="28"/>
      <c r="O724" s="28"/>
      <c r="P724" s="28"/>
      <c r="Q724" s="28"/>
      <c r="R724" s="31">
        <f>IF(Input!D$298=L1011,Input!D$297,0)</f>
        <v>0</v>
      </c>
      <c r="S724" s="36">
        <f t="shared" si="526"/>
        <v>0</v>
      </c>
      <c r="T724" s="193" t="s">
        <v>478</v>
      </c>
      <c r="U724" s="192"/>
      <c r="V724" s="198"/>
      <c r="W724" s="345"/>
      <c r="X724" s="347"/>
      <c r="Y724" s="1182">
        <f t="shared" si="522"/>
        <v>0</v>
      </c>
      <c r="Z724" s="343">
        <f t="shared" si="523"/>
        <v>0</v>
      </c>
      <c r="AA724" s="29"/>
      <c r="AB724" s="34">
        <f t="shared" si="524"/>
        <v>0</v>
      </c>
      <c r="AC724" s="29"/>
      <c r="AD724" s="29"/>
      <c r="AE724" s="34">
        <f t="shared" si="527"/>
        <v>0</v>
      </c>
      <c r="AF724" s="763">
        <f t="shared" si="534"/>
        <v>0</v>
      </c>
      <c r="AG724" s="763">
        <f t="shared" si="534"/>
        <v>0</v>
      </c>
      <c r="AH724" s="763">
        <f t="shared" si="534"/>
        <v>0</v>
      </c>
      <c r="AI724" s="763">
        <f t="shared" si="534"/>
        <v>0</v>
      </c>
      <c r="AJ724" s="763">
        <f t="shared" si="534"/>
        <v>0</v>
      </c>
      <c r="AK724" s="763">
        <f t="shared" si="534"/>
        <v>0</v>
      </c>
      <c r="AL724" s="763">
        <f t="shared" si="534"/>
        <v>0</v>
      </c>
      <c r="AM724" s="763">
        <f t="shared" si="534"/>
        <v>0</v>
      </c>
      <c r="AN724" s="763">
        <f t="shared" si="534"/>
        <v>0</v>
      </c>
      <c r="AO724" s="763">
        <f t="shared" si="534"/>
        <v>0</v>
      </c>
      <c r="AP724" s="763">
        <f t="shared" si="535"/>
        <v>0</v>
      </c>
      <c r="AQ724" s="763">
        <f t="shared" si="535"/>
        <v>0</v>
      </c>
      <c r="AR724" s="763">
        <f t="shared" si="535"/>
        <v>0</v>
      </c>
      <c r="AS724" s="763">
        <f t="shared" si="535"/>
        <v>0</v>
      </c>
      <c r="AT724" s="763">
        <f t="shared" si="535"/>
        <v>0</v>
      </c>
      <c r="AU724" s="763">
        <f t="shared" si="535"/>
        <v>0</v>
      </c>
      <c r="AV724" s="763">
        <f t="shared" si="535"/>
        <v>0</v>
      </c>
      <c r="AW724" s="763">
        <f t="shared" si="535"/>
        <v>0</v>
      </c>
      <c r="AX724" s="763">
        <f t="shared" si="535"/>
        <v>0</v>
      </c>
      <c r="AY724" s="763">
        <f t="shared" si="535"/>
        <v>0</v>
      </c>
      <c r="AZ724" s="763">
        <f t="shared" si="536"/>
        <v>0</v>
      </c>
      <c r="BA724" s="763">
        <f t="shared" si="536"/>
        <v>0</v>
      </c>
      <c r="BB724" s="763">
        <f t="shared" si="536"/>
        <v>0</v>
      </c>
      <c r="BC724" s="763">
        <f t="shared" si="536"/>
        <v>0</v>
      </c>
      <c r="BD724" s="763">
        <f t="shared" si="536"/>
        <v>0</v>
      </c>
      <c r="BE724" s="763">
        <f t="shared" si="536"/>
        <v>0</v>
      </c>
      <c r="BF724" s="763">
        <f t="shared" si="536"/>
        <v>0</v>
      </c>
      <c r="BG724" s="763">
        <f t="shared" si="536"/>
        <v>0</v>
      </c>
      <c r="BH724" s="763">
        <f t="shared" si="536"/>
        <v>0</v>
      </c>
      <c r="BI724" s="763">
        <f t="shared" si="536"/>
        <v>0</v>
      </c>
      <c r="BJ724" s="763">
        <f t="shared" si="537"/>
        <v>0</v>
      </c>
      <c r="BK724" s="763">
        <f t="shared" si="537"/>
        <v>0</v>
      </c>
      <c r="BL724" s="763">
        <f t="shared" si="537"/>
        <v>0</v>
      </c>
      <c r="BM724" s="763">
        <f t="shared" si="537"/>
        <v>0</v>
      </c>
      <c r="BN724" s="763">
        <f t="shared" si="537"/>
        <v>0</v>
      </c>
      <c r="BO724" s="763">
        <f t="shared" si="537"/>
        <v>0</v>
      </c>
      <c r="BP724" s="763">
        <f t="shared" si="537"/>
        <v>0</v>
      </c>
      <c r="BQ724" s="763">
        <f t="shared" si="537"/>
        <v>0</v>
      </c>
      <c r="BR724" s="763">
        <f t="shared" si="537"/>
        <v>0</v>
      </c>
      <c r="BS724" s="763">
        <f t="shared" si="537"/>
        <v>0</v>
      </c>
      <c r="BT724" s="763">
        <f t="shared" si="538"/>
        <v>0</v>
      </c>
      <c r="BU724" s="763">
        <f t="shared" si="538"/>
        <v>0</v>
      </c>
      <c r="BV724" s="763">
        <f t="shared" si="538"/>
        <v>0</v>
      </c>
      <c r="BW724" s="763">
        <f t="shared" si="538"/>
        <v>0</v>
      </c>
      <c r="BX724" s="763">
        <f t="shared" si="538"/>
        <v>0</v>
      </c>
      <c r="BY724" s="763">
        <f t="shared" si="538"/>
        <v>0</v>
      </c>
      <c r="BZ724" s="763">
        <f t="shared" si="538"/>
        <v>0</v>
      </c>
      <c r="CA724" s="763">
        <f t="shared" si="538"/>
        <v>0</v>
      </c>
      <c r="CB724" s="763">
        <f t="shared" si="538"/>
        <v>0</v>
      </c>
      <c r="CC724" s="763">
        <f t="shared" si="538"/>
        <v>0</v>
      </c>
      <c r="CD724" s="763">
        <f t="shared" si="539"/>
        <v>0</v>
      </c>
      <c r="CE724" s="763">
        <f t="shared" si="539"/>
        <v>0</v>
      </c>
      <c r="CF724" s="763">
        <f t="shared" si="539"/>
        <v>0</v>
      </c>
      <c r="CG724" s="763">
        <f t="shared" si="539"/>
        <v>0</v>
      </c>
      <c r="CH724" s="763">
        <f t="shared" si="539"/>
        <v>0</v>
      </c>
      <c r="CI724" s="763">
        <f t="shared" si="539"/>
        <v>0</v>
      </c>
      <c r="CJ724" s="763">
        <f t="shared" si="539"/>
        <v>0</v>
      </c>
      <c r="CK724" s="763">
        <f t="shared" si="539"/>
        <v>0</v>
      </c>
      <c r="CL724" s="763">
        <f t="shared" si="539"/>
        <v>0</v>
      </c>
      <c r="CM724" s="763">
        <f t="shared" si="539"/>
        <v>0</v>
      </c>
    </row>
    <row r="725" spans="11:91" ht="12" hidden="1" customHeight="1" x14ac:dyDescent="0.35">
      <c r="K725" s="28"/>
      <c r="L725" s="28"/>
      <c r="M725" s="28"/>
      <c r="N725" s="28"/>
      <c r="O725" s="28"/>
      <c r="P725" s="28"/>
      <c r="Q725" s="28"/>
      <c r="R725" s="31">
        <f>IF(Input!D$298=L1012,Input!D$297,0)</f>
        <v>0</v>
      </c>
      <c r="S725" s="36">
        <f t="shared" si="526"/>
        <v>0</v>
      </c>
      <c r="T725" s="193" t="s">
        <v>479</v>
      </c>
      <c r="U725" s="192"/>
      <c r="V725" s="198"/>
      <c r="W725" s="345"/>
      <c r="X725" s="347"/>
      <c r="Y725" s="1182">
        <f t="shared" si="522"/>
        <v>0</v>
      </c>
      <c r="Z725" s="343">
        <f t="shared" si="523"/>
        <v>0</v>
      </c>
      <c r="AA725" s="29"/>
      <c r="AB725" s="34">
        <f t="shared" si="524"/>
        <v>0</v>
      </c>
      <c r="AC725" s="29"/>
      <c r="AD725" s="29"/>
      <c r="AE725" s="34">
        <f t="shared" si="527"/>
        <v>0</v>
      </c>
      <c r="AF725" s="763">
        <f t="shared" si="534"/>
        <v>0</v>
      </c>
      <c r="AG725" s="763">
        <f t="shared" si="534"/>
        <v>0</v>
      </c>
      <c r="AH725" s="763">
        <f t="shared" si="534"/>
        <v>0</v>
      </c>
      <c r="AI725" s="763">
        <f t="shared" si="534"/>
        <v>0</v>
      </c>
      <c r="AJ725" s="763">
        <f t="shared" si="534"/>
        <v>0</v>
      </c>
      <c r="AK725" s="763">
        <f t="shared" si="534"/>
        <v>0</v>
      </c>
      <c r="AL725" s="763">
        <f t="shared" si="534"/>
        <v>0</v>
      </c>
      <c r="AM725" s="763">
        <f t="shared" si="534"/>
        <v>0</v>
      </c>
      <c r="AN725" s="763">
        <f t="shared" si="534"/>
        <v>0</v>
      </c>
      <c r="AO725" s="763">
        <f t="shared" si="534"/>
        <v>0</v>
      </c>
      <c r="AP725" s="763">
        <f t="shared" si="535"/>
        <v>0</v>
      </c>
      <c r="AQ725" s="763">
        <f t="shared" si="535"/>
        <v>0</v>
      </c>
      <c r="AR725" s="763">
        <f t="shared" si="535"/>
        <v>0</v>
      </c>
      <c r="AS725" s="763">
        <f t="shared" si="535"/>
        <v>0</v>
      </c>
      <c r="AT725" s="763">
        <f t="shared" si="535"/>
        <v>0</v>
      </c>
      <c r="AU725" s="763">
        <f t="shared" si="535"/>
        <v>0</v>
      </c>
      <c r="AV725" s="763">
        <f t="shared" si="535"/>
        <v>0</v>
      </c>
      <c r="AW725" s="763">
        <f t="shared" si="535"/>
        <v>0</v>
      </c>
      <c r="AX725" s="763">
        <f t="shared" si="535"/>
        <v>0</v>
      </c>
      <c r="AY725" s="763">
        <f t="shared" si="535"/>
        <v>0</v>
      </c>
      <c r="AZ725" s="763">
        <f t="shared" si="536"/>
        <v>0</v>
      </c>
      <c r="BA725" s="763">
        <f t="shared" si="536"/>
        <v>0</v>
      </c>
      <c r="BB725" s="763">
        <f t="shared" si="536"/>
        <v>0</v>
      </c>
      <c r="BC725" s="763">
        <f t="shared" si="536"/>
        <v>0</v>
      </c>
      <c r="BD725" s="763">
        <f t="shared" si="536"/>
        <v>0</v>
      </c>
      <c r="BE725" s="763">
        <f t="shared" si="536"/>
        <v>0</v>
      </c>
      <c r="BF725" s="763">
        <f t="shared" si="536"/>
        <v>0</v>
      </c>
      <c r="BG725" s="763">
        <f t="shared" si="536"/>
        <v>0</v>
      </c>
      <c r="BH725" s="763">
        <f t="shared" si="536"/>
        <v>0</v>
      </c>
      <c r="BI725" s="763">
        <f t="shared" si="536"/>
        <v>0</v>
      </c>
      <c r="BJ725" s="763">
        <f t="shared" si="537"/>
        <v>0</v>
      </c>
      <c r="BK725" s="763">
        <f t="shared" si="537"/>
        <v>0</v>
      </c>
      <c r="BL725" s="763">
        <f t="shared" si="537"/>
        <v>0</v>
      </c>
      <c r="BM725" s="763">
        <f t="shared" si="537"/>
        <v>0</v>
      </c>
      <c r="BN725" s="763">
        <f t="shared" si="537"/>
        <v>0</v>
      </c>
      <c r="BO725" s="763">
        <f t="shared" si="537"/>
        <v>0</v>
      </c>
      <c r="BP725" s="763">
        <f t="shared" si="537"/>
        <v>0</v>
      </c>
      <c r="BQ725" s="763">
        <f t="shared" si="537"/>
        <v>0</v>
      </c>
      <c r="BR725" s="763">
        <f t="shared" si="537"/>
        <v>0</v>
      </c>
      <c r="BS725" s="763">
        <f t="shared" si="537"/>
        <v>0</v>
      </c>
      <c r="BT725" s="763">
        <f t="shared" si="538"/>
        <v>0</v>
      </c>
      <c r="BU725" s="763">
        <f t="shared" si="538"/>
        <v>0</v>
      </c>
      <c r="BV725" s="763">
        <f t="shared" si="538"/>
        <v>0</v>
      </c>
      <c r="BW725" s="763">
        <f t="shared" si="538"/>
        <v>0</v>
      </c>
      <c r="BX725" s="763">
        <f t="shared" si="538"/>
        <v>0</v>
      </c>
      <c r="BY725" s="763">
        <f t="shared" si="538"/>
        <v>0</v>
      </c>
      <c r="BZ725" s="763">
        <f t="shared" si="538"/>
        <v>0</v>
      </c>
      <c r="CA725" s="763">
        <f t="shared" si="538"/>
        <v>0</v>
      </c>
      <c r="CB725" s="763">
        <f t="shared" si="538"/>
        <v>0</v>
      </c>
      <c r="CC725" s="763">
        <f t="shared" si="538"/>
        <v>0</v>
      </c>
      <c r="CD725" s="763">
        <f t="shared" si="539"/>
        <v>0</v>
      </c>
      <c r="CE725" s="763">
        <f t="shared" si="539"/>
        <v>0</v>
      </c>
      <c r="CF725" s="763">
        <f t="shared" si="539"/>
        <v>0</v>
      </c>
      <c r="CG725" s="763">
        <f t="shared" si="539"/>
        <v>0</v>
      </c>
      <c r="CH725" s="763">
        <f t="shared" si="539"/>
        <v>0</v>
      </c>
      <c r="CI725" s="763">
        <f t="shared" si="539"/>
        <v>0</v>
      </c>
      <c r="CJ725" s="763">
        <f t="shared" si="539"/>
        <v>0</v>
      </c>
      <c r="CK725" s="763">
        <f t="shared" si="539"/>
        <v>0</v>
      </c>
      <c r="CL725" s="763">
        <f t="shared" si="539"/>
        <v>0</v>
      </c>
      <c r="CM725" s="763">
        <f t="shared" si="539"/>
        <v>0</v>
      </c>
    </row>
    <row r="726" spans="11:91" ht="12" hidden="1" customHeight="1" x14ac:dyDescent="0.35">
      <c r="K726" s="28"/>
      <c r="L726" s="28"/>
      <c r="M726" s="28"/>
      <c r="N726" s="28"/>
      <c r="O726" s="28"/>
      <c r="P726" s="28"/>
      <c r="Q726" s="28"/>
      <c r="R726" s="31">
        <f>IF(Input!D$298=L1013,Input!D$297,0)</f>
        <v>0</v>
      </c>
      <c r="S726" s="36">
        <f t="shared" si="526"/>
        <v>0</v>
      </c>
      <c r="T726" s="193" t="s">
        <v>480</v>
      </c>
      <c r="U726" s="192"/>
      <c r="V726" s="198"/>
      <c r="W726" s="345"/>
      <c r="X726" s="347"/>
      <c r="Y726" s="1182">
        <f t="shared" si="522"/>
        <v>0</v>
      </c>
      <c r="Z726" s="343">
        <f t="shared" si="523"/>
        <v>0</v>
      </c>
      <c r="AA726" s="32"/>
      <c r="AB726" s="34">
        <f t="shared" si="524"/>
        <v>0</v>
      </c>
      <c r="AC726" s="32"/>
      <c r="AD726" s="32"/>
      <c r="AE726" s="34">
        <f t="shared" si="527"/>
        <v>0</v>
      </c>
      <c r="AF726" s="763">
        <f t="shared" si="534"/>
        <v>0</v>
      </c>
      <c r="AG726" s="763">
        <f t="shared" si="534"/>
        <v>0</v>
      </c>
      <c r="AH726" s="763">
        <f t="shared" si="534"/>
        <v>0</v>
      </c>
      <c r="AI726" s="763">
        <f t="shared" si="534"/>
        <v>0</v>
      </c>
      <c r="AJ726" s="763">
        <f t="shared" si="534"/>
        <v>0</v>
      </c>
      <c r="AK726" s="763">
        <f t="shared" si="534"/>
        <v>0</v>
      </c>
      <c r="AL726" s="763">
        <f t="shared" si="534"/>
        <v>0</v>
      </c>
      <c r="AM726" s="763">
        <f t="shared" si="534"/>
        <v>0</v>
      </c>
      <c r="AN726" s="763">
        <f t="shared" si="534"/>
        <v>0</v>
      </c>
      <c r="AO726" s="763">
        <f t="shared" si="534"/>
        <v>0</v>
      </c>
      <c r="AP726" s="763">
        <f t="shared" si="535"/>
        <v>0</v>
      </c>
      <c r="AQ726" s="763">
        <f t="shared" si="535"/>
        <v>0</v>
      </c>
      <c r="AR726" s="763">
        <f t="shared" si="535"/>
        <v>0</v>
      </c>
      <c r="AS726" s="763">
        <f t="shared" si="535"/>
        <v>0</v>
      </c>
      <c r="AT726" s="763">
        <f t="shared" si="535"/>
        <v>0</v>
      </c>
      <c r="AU726" s="763">
        <f t="shared" si="535"/>
        <v>0</v>
      </c>
      <c r="AV726" s="763">
        <f t="shared" si="535"/>
        <v>0</v>
      </c>
      <c r="AW726" s="763">
        <f t="shared" si="535"/>
        <v>0</v>
      </c>
      <c r="AX726" s="763">
        <f t="shared" si="535"/>
        <v>0</v>
      </c>
      <c r="AY726" s="763">
        <f t="shared" si="535"/>
        <v>0</v>
      </c>
      <c r="AZ726" s="763">
        <f t="shared" si="536"/>
        <v>0</v>
      </c>
      <c r="BA726" s="763">
        <f t="shared" si="536"/>
        <v>0</v>
      </c>
      <c r="BB726" s="763">
        <f t="shared" si="536"/>
        <v>0</v>
      </c>
      <c r="BC726" s="763">
        <f t="shared" si="536"/>
        <v>0</v>
      </c>
      <c r="BD726" s="763">
        <f t="shared" si="536"/>
        <v>0</v>
      </c>
      <c r="BE726" s="763">
        <f t="shared" si="536"/>
        <v>0</v>
      </c>
      <c r="BF726" s="763">
        <f t="shared" si="536"/>
        <v>0</v>
      </c>
      <c r="BG726" s="763">
        <f t="shared" si="536"/>
        <v>0</v>
      </c>
      <c r="BH726" s="763">
        <f t="shared" si="536"/>
        <v>0</v>
      </c>
      <c r="BI726" s="763">
        <f t="shared" si="536"/>
        <v>0</v>
      </c>
      <c r="BJ726" s="763">
        <f t="shared" si="537"/>
        <v>0</v>
      </c>
      <c r="BK726" s="763">
        <f t="shared" si="537"/>
        <v>0</v>
      </c>
      <c r="BL726" s="763">
        <f t="shared" si="537"/>
        <v>0</v>
      </c>
      <c r="BM726" s="763">
        <f t="shared" si="537"/>
        <v>0</v>
      </c>
      <c r="BN726" s="763">
        <f t="shared" si="537"/>
        <v>0</v>
      </c>
      <c r="BO726" s="763">
        <f t="shared" si="537"/>
        <v>0</v>
      </c>
      <c r="BP726" s="763">
        <f t="shared" si="537"/>
        <v>0</v>
      </c>
      <c r="BQ726" s="763">
        <f t="shared" si="537"/>
        <v>0</v>
      </c>
      <c r="BR726" s="763">
        <f t="shared" si="537"/>
        <v>0</v>
      </c>
      <c r="BS726" s="763">
        <f t="shared" si="537"/>
        <v>0</v>
      </c>
      <c r="BT726" s="763">
        <f t="shared" si="538"/>
        <v>0</v>
      </c>
      <c r="BU726" s="763">
        <f t="shared" si="538"/>
        <v>0</v>
      </c>
      <c r="BV726" s="763">
        <f t="shared" si="538"/>
        <v>0</v>
      </c>
      <c r="BW726" s="763">
        <f t="shared" si="538"/>
        <v>0</v>
      </c>
      <c r="BX726" s="763">
        <f t="shared" si="538"/>
        <v>0</v>
      </c>
      <c r="BY726" s="763">
        <f t="shared" si="538"/>
        <v>0</v>
      </c>
      <c r="BZ726" s="763">
        <f t="shared" si="538"/>
        <v>0</v>
      </c>
      <c r="CA726" s="763">
        <f t="shared" si="538"/>
        <v>0</v>
      </c>
      <c r="CB726" s="763">
        <f t="shared" si="538"/>
        <v>0</v>
      </c>
      <c r="CC726" s="763">
        <f t="shared" si="538"/>
        <v>0</v>
      </c>
      <c r="CD726" s="763">
        <f t="shared" si="539"/>
        <v>0</v>
      </c>
      <c r="CE726" s="763">
        <f t="shared" si="539"/>
        <v>0</v>
      </c>
      <c r="CF726" s="763">
        <f t="shared" si="539"/>
        <v>0</v>
      </c>
      <c r="CG726" s="763">
        <f t="shared" si="539"/>
        <v>0</v>
      </c>
      <c r="CH726" s="763">
        <f t="shared" si="539"/>
        <v>0</v>
      </c>
      <c r="CI726" s="763">
        <f t="shared" si="539"/>
        <v>0</v>
      </c>
      <c r="CJ726" s="763">
        <f t="shared" si="539"/>
        <v>0</v>
      </c>
      <c r="CK726" s="763">
        <f t="shared" si="539"/>
        <v>0</v>
      </c>
      <c r="CL726" s="763">
        <f t="shared" si="539"/>
        <v>0</v>
      </c>
      <c r="CM726" s="763">
        <f t="shared" si="539"/>
        <v>0</v>
      </c>
    </row>
    <row r="727" spans="11:91" ht="12" hidden="1" customHeight="1" x14ac:dyDescent="0.35">
      <c r="K727" s="28"/>
      <c r="L727" s="28"/>
      <c r="M727" s="28"/>
      <c r="N727" s="28"/>
      <c r="O727" s="28"/>
      <c r="P727" s="28"/>
      <c r="Q727" s="28"/>
      <c r="R727" s="31">
        <f>IF(Input!D$298=L1014,Input!D$297,0)</f>
        <v>0</v>
      </c>
      <c r="S727" s="36">
        <f t="shared" si="526"/>
        <v>0</v>
      </c>
      <c r="T727" s="193" t="s">
        <v>481</v>
      </c>
      <c r="U727" s="192"/>
      <c r="V727" s="198"/>
      <c r="W727" s="345"/>
      <c r="X727" s="347"/>
      <c r="Y727" s="1182">
        <f t="shared" si="522"/>
        <v>0</v>
      </c>
      <c r="Z727" s="343">
        <f t="shared" si="523"/>
        <v>0</v>
      </c>
      <c r="AA727" s="32"/>
      <c r="AB727" s="34">
        <f t="shared" si="524"/>
        <v>0</v>
      </c>
      <c r="AC727" s="32"/>
      <c r="AD727" s="32"/>
      <c r="AE727" s="34">
        <f t="shared" si="527"/>
        <v>0</v>
      </c>
      <c r="AF727" s="763">
        <f t="shared" si="534"/>
        <v>0</v>
      </c>
      <c r="AG727" s="763">
        <f t="shared" si="534"/>
        <v>0</v>
      </c>
      <c r="AH727" s="763">
        <f t="shared" si="534"/>
        <v>0</v>
      </c>
      <c r="AI727" s="763">
        <f t="shared" si="534"/>
        <v>0</v>
      </c>
      <c r="AJ727" s="763">
        <f t="shared" si="534"/>
        <v>0</v>
      </c>
      <c r="AK727" s="763">
        <f t="shared" si="534"/>
        <v>0</v>
      </c>
      <c r="AL727" s="763">
        <f t="shared" si="534"/>
        <v>0</v>
      </c>
      <c r="AM727" s="763">
        <f t="shared" si="534"/>
        <v>0</v>
      </c>
      <c r="AN727" s="763">
        <f t="shared" si="534"/>
        <v>0</v>
      </c>
      <c r="AO727" s="763">
        <f t="shared" si="534"/>
        <v>0</v>
      </c>
      <c r="AP727" s="763">
        <f t="shared" si="535"/>
        <v>0</v>
      </c>
      <c r="AQ727" s="763">
        <f t="shared" si="535"/>
        <v>0</v>
      </c>
      <c r="AR727" s="763">
        <f t="shared" si="535"/>
        <v>0</v>
      </c>
      <c r="AS727" s="763">
        <f t="shared" si="535"/>
        <v>0</v>
      </c>
      <c r="AT727" s="763">
        <f t="shared" si="535"/>
        <v>0</v>
      </c>
      <c r="AU727" s="763">
        <f t="shared" si="535"/>
        <v>0</v>
      </c>
      <c r="AV727" s="763">
        <f t="shared" si="535"/>
        <v>0</v>
      </c>
      <c r="AW727" s="763">
        <f t="shared" si="535"/>
        <v>0</v>
      </c>
      <c r="AX727" s="763">
        <f t="shared" si="535"/>
        <v>0</v>
      </c>
      <c r="AY727" s="763">
        <f t="shared" si="535"/>
        <v>0</v>
      </c>
      <c r="AZ727" s="763">
        <f t="shared" si="536"/>
        <v>0</v>
      </c>
      <c r="BA727" s="763">
        <f t="shared" si="536"/>
        <v>0</v>
      </c>
      <c r="BB727" s="763">
        <f t="shared" si="536"/>
        <v>0</v>
      </c>
      <c r="BC727" s="763">
        <f t="shared" si="536"/>
        <v>0</v>
      </c>
      <c r="BD727" s="763">
        <f t="shared" si="536"/>
        <v>0</v>
      </c>
      <c r="BE727" s="763">
        <f t="shared" si="536"/>
        <v>0</v>
      </c>
      <c r="BF727" s="763">
        <f t="shared" si="536"/>
        <v>0</v>
      </c>
      <c r="BG727" s="763">
        <f t="shared" si="536"/>
        <v>0</v>
      </c>
      <c r="BH727" s="763">
        <f t="shared" si="536"/>
        <v>0</v>
      </c>
      <c r="BI727" s="763">
        <f t="shared" si="536"/>
        <v>0</v>
      </c>
      <c r="BJ727" s="763">
        <f t="shared" si="537"/>
        <v>0</v>
      </c>
      <c r="BK727" s="763">
        <f t="shared" si="537"/>
        <v>0</v>
      </c>
      <c r="BL727" s="763">
        <f t="shared" si="537"/>
        <v>0</v>
      </c>
      <c r="BM727" s="763">
        <f t="shared" si="537"/>
        <v>0</v>
      </c>
      <c r="BN727" s="763">
        <f t="shared" si="537"/>
        <v>0</v>
      </c>
      <c r="BO727" s="763">
        <f t="shared" si="537"/>
        <v>0</v>
      </c>
      <c r="BP727" s="763">
        <f t="shared" si="537"/>
        <v>0</v>
      </c>
      <c r="BQ727" s="763">
        <f t="shared" si="537"/>
        <v>0</v>
      </c>
      <c r="BR727" s="763">
        <f t="shared" si="537"/>
        <v>0</v>
      </c>
      <c r="BS727" s="763">
        <f t="shared" si="537"/>
        <v>0</v>
      </c>
      <c r="BT727" s="763">
        <f t="shared" si="538"/>
        <v>0</v>
      </c>
      <c r="BU727" s="763">
        <f t="shared" si="538"/>
        <v>0</v>
      </c>
      <c r="BV727" s="763">
        <f t="shared" si="538"/>
        <v>0</v>
      </c>
      <c r="BW727" s="763">
        <f t="shared" si="538"/>
        <v>0</v>
      </c>
      <c r="BX727" s="763">
        <f t="shared" si="538"/>
        <v>0</v>
      </c>
      <c r="BY727" s="763">
        <f t="shared" si="538"/>
        <v>0</v>
      </c>
      <c r="BZ727" s="763">
        <f t="shared" si="538"/>
        <v>0</v>
      </c>
      <c r="CA727" s="763">
        <f t="shared" si="538"/>
        <v>0</v>
      </c>
      <c r="CB727" s="763">
        <f t="shared" si="538"/>
        <v>0</v>
      </c>
      <c r="CC727" s="763">
        <f t="shared" si="538"/>
        <v>0</v>
      </c>
      <c r="CD727" s="763">
        <f t="shared" si="539"/>
        <v>0</v>
      </c>
      <c r="CE727" s="763">
        <f t="shared" si="539"/>
        <v>0</v>
      </c>
      <c r="CF727" s="763">
        <f t="shared" si="539"/>
        <v>0</v>
      </c>
      <c r="CG727" s="763">
        <f t="shared" si="539"/>
        <v>0</v>
      </c>
      <c r="CH727" s="763">
        <f t="shared" si="539"/>
        <v>0</v>
      </c>
      <c r="CI727" s="763">
        <f t="shared" si="539"/>
        <v>0</v>
      </c>
      <c r="CJ727" s="763">
        <f t="shared" si="539"/>
        <v>0</v>
      </c>
      <c r="CK727" s="763">
        <f t="shared" si="539"/>
        <v>0</v>
      </c>
      <c r="CL727" s="763">
        <f t="shared" si="539"/>
        <v>0</v>
      </c>
      <c r="CM727" s="763">
        <f t="shared" si="539"/>
        <v>0</v>
      </c>
    </row>
    <row r="728" spans="11:91" ht="12" hidden="1" customHeight="1" thickBot="1" x14ac:dyDescent="0.4">
      <c r="K728" s="28"/>
      <c r="L728" s="28"/>
      <c r="M728" s="28"/>
      <c r="N728" s="28"/>
      <c r="O728" s="28"/>
      <c r="P728" s="28"/>
      <c r="Q728" s="28"/>
      <c r="R728" s="31">
        <f>IF(Input!D$298=L1015,Input!D$297,0)</f>
        <v>0</v>
      </c>
      <c r="S728" s="36">
        <f t="shared" si="526"/>
        <v>0</v>
      </c>
      <c r="T728" s="203" t="s">
        <v>482</v>
      </c>
      <c r="U728" s="194"/>
      <c r="V728" s="199"/>
      <c r="W728" s="346"/>
      <c r="X728" s="348"/>
      <c r="Y728" s="1182">
        <f t="shared" si="522"/>
        <v>0</v>
      </c>
      <c r="Z728" s="343">
        <f t="shared" si="523"/>
        <v>0</v>
      </c>
      <c r="AA728" s="32"/>
      <c r="AB728" s="34">
        <f t="shared" si="524"/>
        <v>0</v>
      </c>
      <c r="AC728" s="32"/>
      <c r="AD728" s="32"/>
      <c r="AE728" s="34">
        <f t="shared" si="527"/>
        <v>0</v>
      </c>
      <c r="AF728" s="763">
        <f t="shared" si="534"/>
        <v>0</v>
      </c>
      <c r="AG728" s="763">
        <f t="shared" si="534"/>
        <v>0</v>
      </c>
      <c r="AH728" s="763">
        <f t="shared" si="534"/>
        <v>0</v>
      </c>
      <c r="AI728" s="763">
        <f t="shared" si="534"/>
        <v>0</v>
      </c>
      <c r="AJ728" s="763">
        <f t="shared" si="534"/>
        <v>0</v>
      </c>
      <c r="AK728" s="763">
        <f t="shared" si="534"/>
        <v>0</v>
      </c>
      <c r="AL728" s="763">
        <f t="shared" si="534"/>
        <v>0</v>
      </c>
      <c r="AM728" s="763">
        <f t="shared" si="534"/>
        <v>0</v>
      </c>
      <c r="AN728" s="763">
        <f t="shared" si="534"/>
        <v>0</v>
      </c>
      <c r="AO728" s="763">
        <f t="shared" si="534"/>
        <v>0</v>
      </c>
      <c r="AP728" s="763">
        <f t="shared" si="535"/>
        <v>0</v>
      </c>
      <c r="AQ728" s="763">
        <f t="shared" si="535"/>
        <v>0</v>
      </c>
      <c r="AR728" s="763">
        <f t="shared" si="535"/>
        <v>0</v>
      </c>
      <c r="AS728" s="763">
        <f t="shared" si="535"/>
        <v>0</v>
      </c>
      <c r="AT728" s="763">
        <f t="shared" si="535"/>
        <v>0</v>
      </c>
      <c r="AU728" s="763">
        <f t="shared" si="535"/>
        <v>0</v>
      </c>
      <c r="AV728" s="763">
        <f t="shared" si="535"/>
        <v>0</v>
      </c>
      <c r="AW728" s="763">
        <f t="shared" si="535"/>
        <v>0</v>
      </c>
      <c r="AX728" s="763">
        <f t="shared" si="535"/>
        <v>0</v>
      </c>
      <c r="AY728" s="763">
        <f t="shared" si="535"/>
        <v>0</v>
      </c>
      <c r="AZ728" s="763">
        <f t="shared" si="536"/>
        <v>0</v>
      </c>
      <c r="BA728" s="763">
        <f t="shared" si="536"/>
        <v>0</v>
      </c>
      <c r="BB728" s="763">
        <f t="shared" si="536"/>
        <v>0</v>
      </c>
      <c r="BC728" s="763">
        <f t="shared" si="536"/>
        <v>0</v>
      </c>
      <c r="BD728" s="763">
        <f t="shared" si="536"/>
        <v>0</v>
      </c>
      <c r="BE728" s="763">
        <f t="shared" si="536"/>
        <v>0</v>
      </c>
      <c r="BF728" s="763">
        <f t="shared" si="536"/>
        <v>0</v>
      </c>
      <c r="BG728" s="763">
        <f t="shared" si="536"/>
        <v>0</v>
      </c>
      <c r="BH728" s="763">
        <f t="shared" si="536"/>
        <v>0</v>
      </c>
      <c r="BI728" s="763">
        <f t="shared" si="536"/>
        <v>0</v>
      </c>
      <c r="BJ728" s="763">
        <f t="shared" si="537"/>
        <v>0</v>
      </c>
      <c r="BK728" s="763">
        <f t="shared" si="537"/>
        <v>0</v>
      </c>
      <c r="BL728" s="763">
        <f t="shared" si="537"/>
        <v>0</v>
      </c>
      <c r="BM728" s="763">
        <f t="shared" si="537"/>
        <v>0</v>
      </c>
      <c r="BN728" s="763">
        <f t="shared" si="537"/>
        <v>0</v>
      </c>
      <c r="BO728" s="763">
        <f t="shared" si="537"/>
        <v>0</v>
      </c>
      <c r="BP728" s="763">
        <f t="shared" si="537"/>
        <v>0</v>
      </c>
      <c r="BQ728" s="763">
        <f t="shared" si="537"/>
        <v>0</v>
      </c>
      <c r="BR728" s="763">
        <f t="shared" si="537"/>
        <v>0</v>
      </c>
      <c r="BS728" s="763">
        <f t="shared" si="537"/>
        <v>0</v>
      </c>
      <c r="BT728" s="763">
        <f t="shared" si="538"/>
        <v>0</v>
      </c>
      <c r="BU728" s="763">
        <f t="shared" si="538"/>
        <v>0</v>
      </c>
      <c r="BV728" s="763">
        <f t="shared" si="538"/>
        <v>0</v>
      </c>
      <c r="BW728" s="763">
        <f t="shared" si="538"/>
        <v>0</v>
      </c>
      <c r="BX728" s="763">
        <f t="shared" si="538"/>
        <v>0</v>
      </c>
      <c r="BY728" s="763">
        <f t="shared" si="538"/>
        <v>0</v>
      </c>
      <c r="BZ728" s="763">
        <f t="shared" si="538"/>
        <v>0</v>
      </c>
      <c r="CA728" s="763">
        <f t="shared" si="538"/>
        <v>0</v>
      </c>
      <c r="CB728" s="763">
        <f t="shared" si="538"/>
        <v>0</v>
      </c>
      <c r="CC728" s="763">
        <f t="shared" si="538"/>
        <v>0</v>
      </c>
      <c r="CD728" s="763">
        <f t="shared" si="539"/>
        <v>0</v>
      </c>
      <c r="CE728" s="763">
        <f t="shared" si="539"/>
        <v>0</v>
      </c>
      <c r="CF728" s="763">
        <f t="shared" si="539"/>
        <v>0</v>
      </c>
      <c r="CG728" s="763">
        <f t="shared" si="539"/>
        <v>0</v>
      </c>
      <c r="CH728" s="763">
        <f t="shared" si="539"/>
        <v>0</v>
      </c>
      <c r="CI728" s="763">
        <f t="shared" si="539"/>
        <v>0</v>
      </c>
      <c r="CJ728" s="763">
        <f t="shared" si="539"/>
        <v>0</v>
      </c>
      <c r="CK728" s="763">
        <f t="shared" si="539"/>
        <v>0</v>
      </c>
      <c r="CL728" s="763">
        <f t="shared" si="539"/>
        <v>0</v>
      </c>
      <c r="CM728" s="763">
        <f t="shared" si="539"/>
        <v>0</v>
      </c>
    </row>
    <row r="729" spans="11:91" ht="12" customHeight="1" x14ac:dyDescent="0.35">
      <c r="K729" s="28"/>
      <c r="L729" s="28"/>
      <c r="M729" s="28"/>
      <c r="N729" s="28"/>
      <c r="O729" s="28"/>
      <c r="P729" s="28"/>
      <c r="Q729" s="28"/>
      <c r="R729" s="31">
        <f>IF(Input!D$298=L1016,Input!D$297,0)</f>
        <v>0</v>
      </c>
      <c r="S729" s="36">
        <f t="shared" si="526"/>
        <v>0</v>
      </c>
      <c r="T729" s="26"/>
      <c r="U729" s="29"/>
      <c r="V729" s="29"/>
      <c r="W729" s="32" t="s">
        <v>348</v>
      </c>
      <c r="X729" s="144"/>
      <c r="Y729" s="1184"/>
      <c r="Z729" s="1185"/>
      <c r="AA729" s="32"/>
      <c r="AB729" s="32"/>
      <c r="AC729" s="32"/>
      <c r="AD729" s="32"/>
      <c r="AE729" s="1173">
        <f>SUMIF(W703:W728,W729,AE703:AE728)</f>
        <v>0</v>
      </c>
      <c r="AF729" s="380">
        <f t="shared" ref="AF729:AO730" si="540">SUMIF($W$702:$W$728,$W729,AF$702:AF$728)</f>
        <v>0</v>
      </c>
      <c r="AG729" s="380">
        <f t="shared" si="540"/>
        <v>0</v>
      </c>
      <c r="AH729" s="380">
        <f t="shared" si="540"/>
        <v>0</v>
      </c>
      <c r="AI729" s="380">
        <f t="shared" si="540"/>
        <v>0</v>
      </c>
      <c r="AJ729" s="380">
        <f t="shared" si="540"/>
        <v>0</v>
      </c>
      <c r="AK729" s="380">
        <f t="shared" si="540"/>
        <v>0</v>
      </c>
      <c r="AL729" s="380">
        <f t="shared" si="540"/>
        <v>0</v>
      </c>
      <c r="AM729" s="380">
        <f t="shared" si="540"/>
        <v>0</v>
      </c>
      <c r="AN729" s="380">
        <f t="shared" si="540"/>
        <v>0</v>
      </c>
      <c r="AO729" s="380">
        <f t="shared" si="540"/>
        <v>0</v>
      </c>
      <c r="AP729" s="380">
        <f t="shared" ref="AP729:AY730" si="541">SUMIF($W$702:$W$728,$W729,AP$702:AP$728)</f>
        <v>0</v>
      </c>
      <c r="AQ729" s="380">
        <f t="shared" si="541"/>
        <v>0</v>
      </c>
      <c r="AR729" s="380">
        <f t="shared" si="541"/>
        <v>0</v>
      </c>
      <c r="AS729" s="380">
        <f t="shared" si="541"/>
        <v>0</v>
      </c>
      <c r="AT729" s="380">
        <f t="shared" si="541"/>
        <v>0</v>
      </c>
      <c r="AU729" s="380">
        <f t="shared" si="541"/>
        <v>0</v>
      </c>
      <c r="AV729" s="380">
        <f t="shared" si="541"/>
        <v>0</v>
      </c>
      <c r="AW729" s="380">
        <f t="shared" si="541"/>
        <v>0</v>
      </c>
      <c r="AX729" s="380">
        <f t="shared" si="541"/>
        <v>0</v>
      </c>
      <c r="AY729" s="380">
        <f t="shared" si="541"/>
        <v>0</v>
      </c>
      <c r="AZ729" s="380">
        <f t="shared" ref="AZ729:BI730" si="542">SUMIF($W$702:$W$728,$W729,AZ$702:AZ$728)</f>
        <v>0</v>
      </c>
      <c r="BA729" s="380">
        <f t="shared" si="542"/>
        <v>0</v>
      </c>
      <c r="BB729" s="380">
        <f t="shared" si="542"/>
        <v>0</v>
      </c>
      <c r="BC729" s="380">
        <f t="shared" si="542"/>
        <v>0</v>
      </c>
      <c r="BD729" s="380">
        <f t="shared" si="542"/>
        <v>0</v>
      </c>
      <c r="BE729" s="380">
        <f t="shared" si="542"/>
        <v>0</v>
      </c>
      <c r="BF729" s="380">
        <f t="shared" si="542"/>
        <v>0</v>
      </c>
      <c r="BG729" s="380">
        <f t="shared" si="542"/>
        <v>0</v>
      </c>
      <c r="BH729" s="380">
        <f t="shared" si="542"/>
        <v>0</v>
      </c>
      <c r="BI729" s="380">
        <f t="shared" si="542"/>
        <v>0</v>
      </c>
      <c r="BJ729" s="380">
        <f t="shared" ref="BJ729:BS730" si="543">SUMIF($W$702:$W$728,$W729,BJ$702:BJ$728)</f>
        <v>0</v>
      </c>
      <c r="BK729" s="380">
        <f t="shared" si="543"/>
        <v>0</v>
      </c>
      <c r="BL729" s="380">
        <f t="shared" si="543"/>
        <v>0</v>
      </c>
      <c r="BM729" s="380">
        <f t="shared" si="543"/>
        <v>0</v>
      </c>
      <c r="BN729" s="380">
        <f t="shared" si="543"/>
        <v>0</v>
      </c>
      <c r="BO729" s="380">
        <f t="shared" si="543"/>
        <v>0</v>
      </c>
      <c r="BP729" s="380">
        <f t="shared" ref="BP729:CM729" si="544">IF(Years="Five",SUMIF($W$702:$W$728,$W729,BP$702:BP$728),0)</f>
        <v>0</v>
      </c>
      <c r="BQ729" s="380">
        <f t="shared" si="544"/>
        <v>0</v>
      </c>
      <c r="BR729" s="380">
        <f t="shared" si="544"/>
        <v>0</v>
      </c>
      <c r="BS729" s="380">
        <f t="shared" si="544"/>
        <v>0</v>
      </c>
      <c r="BT729" s="380">
        <f t="shared" si="544"/>
        <v>0</v>
      </c>
      <c r="BU729" s="380">
        <f t="shared" si="544"/>
        <v>0</v>
      </c>
      <c r="BV729" s="380">
        <f t="shared" si="544"/>
        <v>0</v>
      </c>
      <c r="BW729" s="380">
        <f t="shared" si="544"/>
        <v>0</v>
      </c>
      <c r="BX729" s="380">
        <f t="shared" si="544"/>
        <v>0</v>
      </c>
      <c r="BY729" s="380">
        <f t="shared" si="544"/>
        <v>0</v>
      </c>
      <c r="BZ729" s="380">
        <f t="shared" si="544"/>
        <v>0</v>
      </c>
      <c r="CA729" s="380">
        <f t="shared" si="544"/>
        <v>0</v>
      </c>
      <c r="CB729" s="380">
        <f t="shared" si="544"/>
        <v>0</v>
      </c>
      <c r="CC729" s="380">
        <f t="shared" si="544"/>
        <v>0</v>
      </c>
      <c r="CD729" s="380">
        <f t="shared" si="544"/>
        <v>0</v>
      </c>
      <c r="CE729" s="380">
        <f t="shared" si="544"/>
        <v>0</v>
      </c>
      <c r="CF729" s="380">
        <f t="shared" si="544"/>
        <v>0</v>
      </c>
      <c r="CG729" s="380">
        <f t="shared" si="544"/>
        <v>0</v>
      </c>
      <c r="CH729" s="380">
        <f t="shared" si="544"/>
        <v>0</v>
      </c>
      <c r="CI729" s="380">
        <f t="shared" si="544"/>
        <v>0</v>
      </c>
      <c r="CJ729" s="380">
        <f t="shared" si="544"/>
        <v>0</v>
      </c>
      <c r="CK729" s="380">
        <f t="shared" si="544"/>
        <v>0</v>
      </c>
      <c r="CL729" s="380">
        <f t="shared" si="544"/>
        <v>0</v>
      </c>
      <c r="CM729" s="380">
        <f t="shared" si="544"/>
        <v>0</v>
      </c>
    </row>
    <row r="730" spans="11:91" ht="12" customHeight="1" x14ac:dyDescent="0.35">
      <c r="K730" s="28"/>
      <c r="L730" s="28"/>
      <c r="M730" s="28"/>
      <c r="N730" s="28"/>
      <c r="O730" s="28"/>
      <c r="P730" s="28"/>
      <c r="Q730" s="28"/>
      <c r="R730" s="31">
        <f>IF(Input!D$298=L1017,Input!D$297,0)</f>
        <v>0</v>
      </c>
      <c r="S730" s="36">
        <f t="shared" si="526"/>
        <v>0</v>
      </c>
      <c r="T730" s="26"/>
      <c r="U730" s="29"/>
      <c r="V730" s="29"/>
      <c r="W730" s="32" t="s">
        <v>349</v>
      </c>
      <c r="X730" s="144"/>
      <c r="Y730" s="1186"/>
      <c r="Z730" s="139"/>
      <c r="AA730" s="29"/>
      <c r="AB730" s="29"/>
      <c r="AC730" s="29"/>
      <c r="AD730" s="29"/>
      <c r="AE730" s="1173">
        <f>SUMIF(W703:W728,W730,AE703:AE728)</f>
        <v>0</v>
      </c>
      <c r="AF730" s="380">
        <f t="shared" si="540"/>
        <v>0</v>
      </c>
      <c r="AG730" s="380">
        <f t="shared" si="540"/>
        <v>0</v>
      </c>
      <c r="AH730" s="380">
        <f t="shared" si="540"/>
        <v>0</v>
      </c>
      <c r="AI730" s="380">
        <f t="shared" si="540"/>
        <v>0</v>
      </c>
      <c r="AJ730" s="380">
        <f t="shared" si="540"/>
        <v>0</v>
      </c>
      <c r="AK730" s="380">
        <f t="shared" si="540"/>
        <v>0</v>
      </c>
      <c r="AL730" s="380">
        <f t="shared" si="540"/>
        <v>0</v>
      </c>
      <c r="AM730" s="380">
        <f t="shared" si="540"/>
        <v>0</v>
      </c>
      <c r="AN730" s="380">
        <f t="shared" si="540"/>
        <v>0</v>
      </c>
      <c r="AO730" s="380">
        <f t="shared" si="540"/>
        <v>0</v>
      </c>
      <c r="AP730" s="380">
        <f t="shared" si="541"/>
        <v>0</v>
      </c>
      <c r="AQ730" s="380">
        <f t="shared" si="541"/>
        <v>0</v>
      </c>
      <c r="AR730" s="380">
        <f t="shared" si="541"/>
        <v>0</v>
      </c>
      <c r="AS730" s="380">
        <f t="shared" si="541"/>
        <v>0</v>
      </c>
      <c r="AT730" s="380">
        <f t="shared" si="541"/>
        <v>0</v>
      </c>
      <c r="AU730" s="380">
        <f t="shared" si="541"/>
        <v>0</v>
      </c>
      <c r="AV730" s="380">
        <f t="shared" si="541"/>
        <v>0</v>
      </c>
      <c r="AW730" s="380">
        <f t="shared" si="541"/>
        <v>0</v>
      </c>
      <c r="AX730" s="380">
        <f t="shared" si="541"/>
        <v>0</v>
      </c>
      <c r="AY730" s="380">
        <f t="shared" si="541"/>
        <v>0</v>
      </c>
      <c r="AZ730" s="380">
        <f t="shared" si="542"/>
        <v>0</v>
      </c>
      <c r="BA730" s="380">
        <f t="shared" si="542"/>
        <v>0</v>
      </c>
      <c r="BB730" s="380">
        <f t="shared" si="542"/>
        <v>0</v>
      </c>
      <c r="BC730" s="380">
        <f t="shared" si="542"/>
        <v>0</v>
      </c>
      <c r="BD730" s="380">
        <f t="shared" si="542"/>
        <v>0</v>
      </c>
      <c r="BE730" s="380">
        <f t="shared" si="542"/>
        <v>0</v>
      </c>
      <c r="BF730" s="380">
        <f t="shared" si="542"/>
        <v>0</v>
      </c>
      <c r="BG730" s="380">
        <f t="shared" si="542"/>
        <v>0</v>
      </c>
      <c r="BH730" s="380">
        <f t="shared" si="542"/>
        <v>0</v>
      </c>
      <c r="BI730" s="380">
        <f t="shared" si="542"/>
        <v>0</v>
      </c>
      <c r="BJ730" s="380">
        <f t="shared" si="543"/>
        <v>0</v>
      </c>
      <c r="BK730" s="380">
        <f t="shared" si="543"/>
        <v>0</v>
      </c>
      <c r="BL730" s="380">
        <f t="shared" si="543"/>
        <v>0</v>
      </c>
      <c r="BM730" s="380">
        <f t="shared" si="543"/>
        <v>0</v>
      </c>
      <c r="BN730" s="380">
        <f t="shared" si="543"/>
        <v>0</v>
      </c>
      <c r="BO730" s="380">
        <f t="shared" si="543"/>
        <v>0</v>
      </c>
      <c r="BP730" s="380">
        <f t="shared" si="543"/>
        <v>0</v>
      </c>
      <c r="BQ730" s="380">
        <f t="shared" si="543"/>
        <v>0</v>
      </c>
      <c r="BR730" s="380">
        <f t="shared" si="543"/>
        <v>0</v>
      </c>
      <c r="BS730" s="380">
        <f t="shared" si="543"/>
        <v>0</v>
      </c>
      <c r="BT730" s="380">
        <f t="shared" ref="BT730:CC730" si="545">SUMIF($W$702:$W$728,$W730,BT$702:BT$728)</f>
        <v>0</v>
      </c>
      <c r="BU730" s="380">
        <f t="shared" si="545"/>
        <v>0</v>
      </c>
      <c r="BV730" s="380">
        <f t="shared" si="545"/>
        <v>0</v>
      </c>
      <c r="BW730" s="380">
        <f t="shared" si="545"/>
        <v>0</v>
      </c>
      <c r="BX730" s="380">
        <f t="shared" si="545"/>
        <v>0</v>
      </c>
      <c r="BY730" s="380">
        <f t="shared" si="545"/>
        <v>0</v>
      </c>
      <c r="BZ730" s="380">
        <f t="shared" si="545"/>
        <v>0</v>
      </c>
      <c r="CA730" s="380">
        <f t="shared" si="545"/>
        <v>0</v>
      </c>
      <c r="CB730" s="380">
        <f t="shared" si="545"/>
        <v>0</v>
      </c>
      <c r="CC730" s="380">
        <f t="shared" si="545"/>
        <v>0</v>
      </c>
      <c r="CD730" s="380">
        <f t="shared" ref="CD730:CM730" si="546">SUMIF($W$702:$W$728,$W730,CD$702:CD$728)</f>
        <v>0</v>
      </c>
      <c r="CE730" s="380">
        <f t="shared" si="546"/>
        <v>0</v>
      </c>
      <c r="CF730" s="380">
        <f t="shared" si="546"/>
        <v>0</v>
      </c>
      <c r="CG730" s="380">
        <f t="shared" si="546"/>
        <v>0</v>
      </c>
      <c r="CH730" s="380">
        <f t="shared" si="546"/>
        <v>0</v>
      </c>
      <c r="CI730" s="380">
        <f t="shared" si="546"/>
        <v>0</v>
      </c>
      <c r="CJ730" s="380">
        <f t="shared" si="546"/>
        <v>0</v>
      </c>
      <c r="CK730" s="380">
        <f t="shared" si="546"/>
        <v>0</v>
      </c>
      <c r="CL730" s="380">
        <f t="shared" si="546"/>
        <v>0</v>
      </c>
      <c r="CM730" s="380">
        <f t="shared" si="546"/>
        <v>0</v>
      </c>
    </row>
    <row r="731" spans="11:91" ht="12" customHeight="1" x14ac:dyDescent="0.35">
      <c r="K731" s="28"/>
      <c r="L731" s="28"/>
      <c r="M731" s="28"/>
      <c r="N731" s="28"/>
      <c r="O731" s="28"/>
      <c r="P731" s="28"/>
      <c r="Q731" s="28"/>
      <c r="R731" s="31"/>
      <c r="S731" s="36"/>
      <c r="T731" s="26"/>
      <c r="U731" s="29"/>
      <c r="V731" s="29"/>
      <c r="W731" s="32"/>
      <c r="X731" s="29"/>
      <c r="Y731" s="34"/>
      <c r="Z731" s="139"/>
      <c r="AA731" s="29"/>
      <c r="AB731" s="29"/>
      <c r="AC731" s="29"/>
      <c r="AD731" s="29"/>
      <c r="AE731" s="1173"/>
      <c r="AF731" s="380">
        <f>AF729+AF730</f>
        <v>0</v>
      </c>
      <c r="AG731" s="380">
        <f t="shared" ref="AG731:CM731" si="547">AG729+AG730</f>
        <v>0</v>
      </c>
      <c r="AH731" s="380">
        <f t="shared" si="547"/>
        <v>0</v>
      </c>
      <c r="AI731" s="380">
        <f t="shared" si="547"/>
        <v>0</v>
      </c>
      <c r="AJ731" s="380">
        <f t="shared" si="547"/>
        <v>0</v>
      </c>
      <c r="AK731" s="380">
        <f t="shared" si="547"/>
        <v>0</v>
      </c>
      <c r="AL731" s="380">
        <f t="shared" si="547"/>
        <v>0</v>
      </c>
      <c r="AM731" s="380">
        <f t="shared" si="547"/>
        <v>0</v>
      </c>
      <c r="AN731" s="380">
        <f t="shared" si="547"/>
        <v>0</v>
      </c>
      <c r="AO731" s="380">
        <f t="shared" si="547"/>
        <v>0</v>
      </c>
      <c r="AP731" s="380">
        <f t="shared" si="547"/>
        <v>0</v>
      </c>
      <c r="AQ731" s="380">
        <f t="shared" si="547"/>
        <v>0</v>
      </c>
      <c r="AR731" s="380">
        <f t="shared" si="547"/>
        <v>0</v>
      </c>
      <c r="AS731" s="380">
        <f t="shared" si="547"/>
        <v>0</v>
      </c>
      <c r="AT731" s="380">
        <f t="shared" si="547"/>
        <v>0</v>
      </c>
      <c r="AU731" s="380">
        <f t="shared" si="547"/>
        <v>0</v>
      </c>
      <c r="AV731" s="380">
        <f t="shared" si="547"/>
        <v>0</v>
      </c>
      <c r="AW731" s="380">
        <f t="shared" si="547"/>
        <v>0</v>
      </c>
      <c r="AX731" s="380">
        <f t="shared" si="547"/>
        <v>0</v>
      </c>
      <c r="AY731" s="380">
        <f t="shared" si="547"/>
        <v>0</v>
      </c>
      <c r="AZ731" s="380">
        <f t="shared" si="547"/>
        <v>0</v>
      </c>
      <c r="BA731" s="380">
        <f t="shared" si="547"/>
        <v>0</v>
      </c>
      <c r="BB731" s="380">
        <f t="shared" si="547"/>
        <v>0</v>
      </c>
      <c r="BC731" s="380">
        <f t="shared" si="547"/>
        <v>0</v>
      </c>
      <c r="BD731" s="380">
        <f t="shared" si="547"/>
        <v>0</v>
      </c>
      <c r="BE731" s="380">
        <f t="shared" si="547"/>
        <v>0</v>
      </c>
      <c r="BF731" s="380">
        <f t="shared" si="547"/>
        <v>0</v>
      </c>
      <c r="BG731" s="380">
        <f t="shared" si="547"/>
        <v>0</v>
      </c>
      <c r="BH731" s="380">
        <f t="shared" si="547"/>
        <v>0</v>
      </c>
      <c r="BI731" s="380">
        <f t="shared" si="547"/>
        <v>0</v>
      </c>
      <c r="BJ731" s="380">
        <f t="shared" si="547"/>
        <v>0</v>
      </c>
      <c r="BK731" s="380">
        <f t="shared" si="547"/>
        <v>0</v>
      </c>
      <c r="BL731" s="380">
        <f t="shared" si="547"/>
        <v>0</v>
      </c>
      <c r="BM731" s="380">
        <f t="shared" si="547"/>
        <v>0</v>
      </c>
      <c r="BN731" s="380">
        <f t="shared" si="547"/>
        <v>0</v>
      </c>
      <c r="BO731" s="380">
        <f t="shared" si="547"/>
        <v>0</v>
      </c>
      <c r="BP731" s="380">
        <f t="shared" si="547"/>
        <v>0</v>
      </c>
      <c r="BQ731" s="380">
        <f t="shared" si="547"/>
        <v>0</v>
      </c>
      <c r="BR731" s="380">
        <f t="shared" si="547"/>
        <v>0</v>
      </c>
      <c r="BS731" s="380">
        <f t="shared" si="547"/>
        <v>0</v>
      </c>
      <c r="BT731" s="380">
        <f t="shared" si="547"/>
        <v>0</v>
      </c>
      <c r="BU731" s="380">
        <f t="shared" si="547"/>
        <v>0</v>
      </c>
      <c r="BV731" s="380">
        <f t="shared" si="547"/>
        <v>0</v>
      </c>
      <c r="BW731" s="380">
        <f t="shared" si="547"/>
        <v>0</v>
      </c>
      <c r="BX731" s="380">
        <f t="shared" si="547"/>
        <v>0</v>
      </c>
      <c r="BY731" s="380">
        <f t="shared" si="547"/>
        <v>0</v>
      </c>
      <c r="BZ731" s="380">
        <f t="shared" si="547"/>
        <v>0</v>
      </c>
      <c r="CA731" s="380">
        <f t="shared" si="547"/>
        <v>0</v>
      </c>
      <c r="CB731" s="380">
        <f t="shared" si="547"/>
        <v>0</v>
      </c>
      <c r="CC731" s="380">
        <f t="shared" si="547"/>
        <v>0</v>
      </c>
      <c r="CD731" s="380">
        <f t="shared" si="547"/>
        <v>0</v>
      </c>
      <c r="CE731" s="380">
        <f t="shared" si="547"/>
        <v>0</v>
      </c>
      <c r="CF731" s="380">
        <f t="shared" si="547"/>
        <v>0</v>
      </c>
      <c r="CG731" s="380">
        <f t="shared" si="547"/>
        <v>0</v>
      </c>
      <c r="CH731" s="380">
        <f t="shared" si="547"/>
        <v>0</v>
      </c>
      <c r="CI731" s="380">
        <f t="shared" si="547"/>
        <v>0</v>
      </c>
      <c r="CJ731" s="380">
        <f t="shared" si="547"/>
        <v>0</v>
      </c>
      <c r="CK731" s="380">
        <f t="shared" si="547"/>
        <v>0</v>
      </c>
      <c r="CL731" s="380">
        <f t="shared" si="547"/>
        <v>0</v>
      </c>
      <c r="CM731" s="380">
        <f t="shared" si="547"/>
        <v>0</v>
      </c>
    </row>
    <row r="732" spans="11:91" ht="12" customHeight="1" x14ac:dyDescent="0.35">
      <c r="K732" s="28"/>
      <c r="L732" s="28"/>
      <c r="M732" s="28"/>
      <c r="N732" s="28"/>
      <c r="O732" s="28"/>
      <c r="P732" s="28"/>
      <c r="Q732" s="28"/>
      <c r="R732" s="31"/>
      <c r="S732" s="36"/>
      <c r="T732" s="26" t="s">
        <v>483</v>
      </c>
      <c r="U732" s="34">
        <f>SUMIF($T703:$T712,$T732,U703:U712)</f>
        <v>0</v>
      </c>
      <c r="V732" s="29"/>
      <c r="W732" s="32"/>
      <c r="X732" s="378">
        <f>SUMIF($T703:$T712,$T732,X703:X712)</f>
        <v>0</v>
      </c>
      <c r="Y732" s="34">
        <f>SUMIF($T703:$T712,$T732,Y703:Y712)</f>
        <v>0</v>
      </c>
      <c r="Z732" s="378">
        <f>SUMIF($T703:$T712,$T732,Z703:Z712)</f>
        <v>0</v>
      </c>
      <c r="AA732" s="378" t="e">
        <f>(U703+U705)/(Y703+Y705-U703-U705)</f>
        <v>#DIV/0!</v>
      </c>
      <c r="AB732" s="29"/>
      <c r="AC732" s="29"/>
      <c r="AD732" s="29"/>
      <c r="AE732" s="1173"/>
      <c r="AF732" s="380"/>
      <c r="AG732" s="380"/>
      <c r="AH732" s="380"/>
      <c r="AI732" s="380"/>
      <c r="AJ732" s="380"/>
      <c r="AK732" s="380"/>
      <c r="AL732" s="380"/>
      <c r="AM732" s="380"/>
      <c r="AN732" s="380"/>
      <c r="AO732" s="380"/>
      <c r="AP732" s="380"/>
      <c r="AQ732" s="380"/>
      <c r="AR732" s="380"/>
      <c r="AS732" s="380"/>
      <c r="AT732" s="380"/>
      <c r="AU732" s="380"/>
      <c r="AV732" s="380"/>
      <c r="AW732" s="380"/>
      <c r="AX732" s="380"/>
      <c r="AY732" s="380"/>
      <c r="AZ732" s="380"/>
      <c r="BA732" s="380"/>
      <c r="BB732" s="380"/>
      <c r="BC732" s="380"/>
      <c r="BD732" s="380"/>
      <c r="BE732" s="380"/>
      <c r="BF732" s="380"/>
      <c r="BG732" s="380"/>
      <c r="BH732" s="380"/>
      <c r="BI732" s="380"/>
      <c r="BJ732" s="380"/>
      <c r="BK732" s="380"/>
      <c r="BL732" s="380"/>
      <c r="BM732" s="380"/>
      <c r="BN732" s="380"/>
      <c r="BO732" s="380"/>
      <c r="BP732" s="380"/>
      <c r="BQ732" s="380"/>
      <c r="BR732" s="380"/>
      <c r="BS732" s="380"/>
      <c r="BT732" s="380"/>
      <c r="BU732" s="380"/>
      <c r="BV732" s="380"/>
      <c r="BW732" s="380"/>
      <c r="BX732" s="380"/>
      <c r="BY732" s="380"/>
      <c r="BZ732" s="380"/>
      <c r="CA732" s="380"/>
      <c r="CB732" s="380"/>
      <c r="CC732" s="380"/>
      <c r="CD732" s="380"/>
      <c r="CE732" s="380"/>
      <c r="CF732" s="380"/>
      <c r="CG732" s="380"/>
      <c r="CH732" s="380"/>
      <c r="CI732" s="380"/>
      <c r="CJ732" s="380"/>
      <c r="CK732" s="380"/>
      <c r="CL732" s="380"/>
      <c r="CM732" s="380"/>
    </row>
    <row r="733" spans="11:91" ht="12" customHeight="1" x14ac:dyDescent="0.35">
      <c r="K733" s="28"/>
      <c r="L733" s="28"/>
      <c r="M733" s="28"/>
      <c r="N733" s="28"/>
      <c r="O733" s="28"/>
      <c r="P733" s="28"/>
      <c r="Q733" s="28"/>
      <c r="R733" s="31"/>
      <c r="S733" s="36"/>
      <c r="T733" s="26"/>
      <c r="U733" s="29"/>
      <c r="V733" s="29"/>
      <c r="W733" s="32"/>
      <c r="X733" s="144"/>
      <c r="Y733" s="139"/>
      <c r="Z733" s="139"/>
      <c r="AA733" s="29"/>
      <c r="AB733" s="29"/>
      <c r="AC733" s="29"/>
      <c r="AD733" s="29"/>
      <c r="AE733" s="1173"/>
      <c r="AF733" s="380"/>
      <c r="AG733" s="380"/>
      <c r="AH733" s="380"/>
      <c r="AI733" s="380"/>
      <c r="AJ733" s="380"/>
      <c r="AK733" s="380"/>
      <c r="AL733" s="380"/>
      <c r="AM733" s="380"/>
      <c r="AN733" s="380"/>
      <c r="AO733" s="380"/>
      <c r="AP733" s="380"/>
      <c r="AQ733" s="380"/>
      <c r="AR733" s="380"/>
      <c r="AS733" s="380"/>
      <c r="AT733" s="380"/>
      <c r="AU733" s="380"/>
      <c r="AV733" s="380"/>
      <c r="AW733" s="380"/>
      <c r="AX733" s="380"/>
      <c r="AY733" s="380"/>
      <c r="AZ733" s="380"/>
      <c r="BA733" s="380"/>
      <c r="BB733" s="380"/>
      <c r="BC733" s="380"/>
      <c r="BD733" s="380"/>
      <c r="BE733" s="380"/>
      <c r="BF733" s="380"/>
      <c r="BG733" s="380"/>
      <c r="BH733" s="380"/>
      <c r="BI733" s="380"/>
      <c r="BJ733" s="380"/>
      <c r="BK733" s="380"/>
      <c r="BL733" s="380"/>
      <c r="BM733" s="380"/>
      <c r="BN733" s="380"/>
      <c r="BO733" s="380"/>
      <c r="BP733" s="380"/>
      <c r="BQ733" s="380"/>
      <c r="BR733" s="380"/>
      <c r="BS733" s="380"/>
      <c r="BT733" s="380"/>
      <c r="BU733" s="380"/>
      <c r="BV733" s="380"/>
      <c r="BW733" s="380"/>
      <c r="BX733" s="380"/>
      <c r="BY733" s="380"/>
      <c r="BZ733" s="380"/>
      <c r="CA733" s="380"/>
      <c r="CB733" s="380"/>
      <c r="CC733" s="380"/>
      <c r="CD733" s="380"/>
      <c r="CE733" s="380"/>
      <c r="CF733" s="380"/>
      <c r="CG733" s="380"/>
      <c r="CH733" s="380"/>
      <c r="CI733" s="380"/>
      <c r="CJ733" s="380"/>
      <c r="CK733" s="380"/>
      <c r="CL733" s="380"/>
      <c r="CM733" s="380"/>
    </row>
    <row r="734" spans="11:91" ht="12" customHeight="1" x14ac:dyDescent="0.35">
      <c r="K734" s="28"/>
      <c r="L734" s="28"/>
      <c r="M734" s="28"/>
      <c r="N734" s="28"/>
      <c r="O734" s="28"/>
      <c r="P734" s="28"/>
      <c r="Q734" s="28"/>
      <c r="R734" s="31"/>
      <c r="S734" s="36"/>
      <c r="T734" s="26"/>
      <c r="U734" s="34">
        <f>U703+U705</f>
        <v>0</v>
      </c>
      <c r="V734" s="29"/>
      <c r="W734" s="377"/>
      <c r="X734" s="1187"/>
      <c r="Y734" s="432">
        <f>Y703+Y705</f>
        <v>0</v>
      </c>
      <c r="Z734" s="343" t="e">
        <f>U734/(Y734-U734)</f>
        <v>#DIV/0!</v>
      </c>
      <c r="AA734" s="1188"/>
      <c r="AB734" s="29"/>
      <c r="AC734" s="29"/>
      <c r="AD734" s="29"/>
      <c r="AE734" s="29"/>
      <c r="AF734" s="763">
        <f t="shared" ref="AF734:BK734" si="548">SUM(AF729:AF730)</f>
        <v>0</v>
      </c>
      <c r="AG734" s="763">
        <f t="shared" si="548"/>
        <v>0</v>
      </c>
      <c r="AH734" s="763">
        <f t="shared" si="548"/>
        <v>0</v>
      </c>
      <c r="AI734" s="763">
        <f t="shared" si="548"/>
        <v>0</v>
      </c>
      <c r="AJ734" s="763">
        <f t="shared" si="548"/>
        <v>0</v>
      </c>
      <c r="AK734" s="763">
        <f t="shared" si="548"/>
        <v>0</v>
      </c>
      <c r="AL734" s="763">
        <f t="shared" si="548"/>
        <v>0</v>
      </c>
      <c r="AM734" s="763">
        <f t="shared" si="548"/>
        <v>0</v>
      </c>
      <c r="AN734" s="763">
        <f t="shared" si="548"/>
        <v>0</v>
      </c>
      <c r="AO734" s="763">
        <f t="shared" si="548"/>
        <v>0</v>
      </c>
      <c r="AP734" s="763">
        <f t="shared" si="548"/>
        <v>0</v>
      </c>
      <c r="AQ734" s="763">
        <f t="shared" si="548"/>
        <v>0</v>
      </c>
      <c r="AR734" s="763">
        <f t="shared" si="548"/>
        <v>0</v>
      </c>
      <c r="AS734" s="763">
        <f t="shared" si="548"/>
        <v>0</v>
      </c>
      <c r="AT734" s="763">
        <f t="shared" si="548"/>
        <v>0</v>
      </c>
      <c r="AU734" s="763">
        <f t="shared" si="548"/>
        <v>0</v>
      </c>
      <c r="AV734" s="763">
        <f t="shared" si="548"/>
        <v>0</v>
      </c>
      <c r="AW734" s="763">
        <f t="shared" si="548"/>
        <v>0</v>
      </c>
      <c r="AX734" s="763">
        <f t="shared" si="548"/>
        <v>0</v>
      </c>
      <c r="AY734" s="763">
        <f t="shared" si="548"/>
        <v>0</v>
      </c>
      <c r="AZ734" s="763">
        <f t="shared" si="548"/>
        <v>0</v>
      </c>
      <c r="BA734" s="763">
        <f t="shared" si="548"/>
        <v>0</v>
      </c>
      <c r="BB734" s="763">
        <f t="shared" si="548"/>
        <v>0</v>
      </c>
      <c r="BC734" s="763">
        <f t="shared" si="548"/>
        <v>0</v>
      </c>
      <c r="BD734" s="763">
        <f t="shared" si="548"/>
        <v>0</v>
      </c>
      <c r="BE734" s="763">
        <f t="shared" si="548"/>
        <v>0</v>
      </c>
      <c r="BF734" s="763">
        <f t="shared" si="548"/>
        <v>0</v>
      </c>
      <c r="BG734" s="763">
        <f t="shared" si="548"/>
        <v>0</v>
      </c>
      <c r="BH734" s="763">
        <f t="shared" si="548"/>
        <v>0</v>
      </c>
      <c r="BI734" s="763">
        <f t="shared" si="548"/>
        <v>0</v>
      </c>
      <c r="BJ734" s="763">
        <f t="shared" si="548"/>
        <v>0</v>
      </c>
      <c r="BK734" s="1174">
        <f t="shared" si="548"/>
        <v>0</v>
      </c>
      <c r="BL734" s="1174">
        <f t="shared" ref="BL734:CM734" si="549">SUM(BL729:BL730)</f>
        <v>0</v>
      </c>
      <c r="BM734" s="1174">
        <f t="shared" si="549"/>
        <v>0</v>
      </c>
      <c r="BN734" s="1174">
        <f t="shared" si="549"/>
        <v>0</v>
      </c>
      <c r="BO734" s="1174">
        <f t="shared" si="549"/>
        <v>0</v>
      </c>
      <c r="BP734" s="1174">
        <f t="shared" si="549"/>
        <v>0</v>
      </c>
      <c r="BQ734" s="1174">
        <f t="shared" si="549"/>
        <v>0</v>
      </c>
      <c r="BR734" s="1174">
        <f t="shared" si="549"/>
        <v>0</v>
      </c>
      <c r="BS734" s="1174">
        <f t="shared" si="549"/>
        <v>0</v>
      </c>
      <c r="BT734" s="1174">
        <f t="shared" si="549"/>
        <v>0</v>
      </c>
      <c r="BU734" s="1174">
        <f t="shared" si="549"/>
        <v>0</v>
      </c>
      <c r="BV734" s="1174">
        <f t="shared" si="549"/>
        <v>0</v>
      </c>
      <c r="BW734" s="1174">
        <f t="shared" si="549"/>
        <v>0</v>
      </c>
      <c r="BX734" s="1174">
        <f t="shared" si="549"/>
        <v>0</v>
      </c>
      <c r="BY734" s="1174">
        <f t="shared" si="549"/>
        <v>0</v>
      </c>
      <c r="BZ734" s="1174">
        <f t="shared" si="549"/>
        <v>0</v>
      </c>
      <c r="CA734" s="1174">
        <f t="shared" si="549"/>
        <v>0</v>
      </c>
      <c r="CB734" s="1174">
        <f t="shared" si="549"/>
        <v>0</v>
      </c>
      <c r="CC734" s="1174">
        <f t="shared" si="549"/>
        <v>0</v>
      </c>
      <c r="CD734" s="1174">
        <f t="shared" si="549"/>
        <v>0</v>
      </c>
      <c r="CE734" s="1174">
        <f t="shared" si="549"/>
        <v>0</v>
      </c>
      <c r="CF734" s="1174">
        <f t="shared" si="549"/>
        <v>0</v>
      </c>
      <c r="CG734" s="1174">
        <f t="shared" si="549"/>
        <v>0</v>
      </c>
      <c r="CH734" s="1174">
        <f t="shared" si="549"/>
        <v>0</v>
      </c>
      <c r="CI734" s="1174">
        <f t="shared" si="549"/>
        <v>0</v>
      </c>
      <c r="CJ734" s="1174">
        <f t="shared" si="549"/>
        <v>0</v>
      </c>
      <c r="CK734" s="1174">
        <f t="shared" si="549"/>
        <v>0</v>
      </c>
      <c r="CL734" s="1174">
        <f t="shared" si="549"/>
        <v>0</v>
      </c>
      <c r="CM734" s="1174">
        <f t="shared" si="549"/>
        <v>0</v>
      </c>
    </row>
    <row r="735" spans="11:91" ht="12" customHeight="1" x14ac:dyDescent="0.35">
      <c r="K735" s="28"/>
      <c r="L735" s="28"/>
      <c r="M735" s="28"/>
      <c r="N735" s="28"/>
      <c r="O735" s="28"/>
      <c r="P735" s="28"/>
      <c r="Q735" s="28"/>
      <c r="R735" s="31"/>
      <c r="S735" s="36"/>
      <c r="T735" s="366"/>
      <c r="U735" s="1189"/>
      <c r="V735" s="1189"/>
      <c r="W735" s="1190"/>
      <c r="X735" s="1191"/>
      <c r="Y735" s="1189"/>
      <c r="Z735" s="1189"/>
      <c r="AA735" s="1188"/>
      <c r="AB735" s="1188"/>
      <c r="AC735" s="1188"/>
      <c r="AD735" s="29"/>
      <c r="AE735" s="29"/>
      <c r="AF735" s="376"/>
      <c r="AG735" s="376"/>
      <c r="AH735" s="376"/>
      <c r="AI735" s="376"/>
      <c r="AJ735" s="376"/>
      <c r="AK735" s="376"/>
      <c r="AL735" s="376"/>
      <c r="AM735" s="376"/>
      <c r="AN735" s="376"/>
      <c r="AO735" s="376"/>
      <c r="AP735" s="376"/>
      <c r="AQ735" s="376"/>
      <c r="AR735" s="376"/>
      <c r="AS735" s="376"/>
      <c r="AT735" s="376"/>
      <c r="AU735" s="376"/>
      <c r="AV735" s="376"/>
      <c r="AW735" s="376"/>
      <c r="AX735" s="376"/>
      <c r="AY735" s="376"/>
      <c r="AZ735" s="376"/>
      <c r="BA735" s="376"/>
      <c r="BB735" s="376"/>
      <c r="BC735" s="376"/>
      <c r="BD735" s="376"/>
      <c r="BE735" s="376"/>
      <c r="BF735" s="376"/>
      <c r="BG735" s="376"/>
      <c r="BH735" s="376"/>
      <c r="BI735" s="376"/>
      <c r="BJ735" s="376"/>
      <c r="BK735" s="1141"/>
      <c r="BL735" s="1141"/>
      <c r="BM735" s="1141"/>
      <c r="BN735" s="1141"/>
      <c r="BO735" s="1141"/>
      <c r="BP735" s="1141"/>
      <c r="BQ735" s="1141"/>
      <c r="BR735" s="1141"/>
      <c r="BS735" s="1141"/>
      <c r="BT735" s="1141"/>
      <c r="BU735" s="1141"/>
      <c r="BV735" s="1141"/>
      <c r="BW735" s="1141"/>
      <c r="BX735" s="1141"/>
      <c r="BY735" s="1141"/>
      <c r="BZ735" s="1141"/>
      <c r="CA735" s="1141"/>
      <c r="CB735" s="1141"/>
      <c r="CC735" s="1141"/>
      <c r="CD735" s="1141"/>
      <c r="CE735" s="1141"/>
      <c r="CF735" s="1141"/>
      <c r="CG735" s="1141"/>
      <c r="CH735" s="1141"/>
      <c r="CI735" s="1141"/>
      <c r="CJ735" s="1141"/>
      <c r="CK735" s="1141"/>
      <c r="CL735" s="376"/>
      <c r="CM735" s="376"/>
    </row>
    <row r="736" spans="11:91" ht="12" customHeight="1" x14ac:dyDescent="0.35">
      <c r="K736" s="28"/>
      <c r="L736" s="28"/>
      <c r="M736" s="28"/>
      <c r="N736" s="28"/>
      <c r="O736" s="28"/>
      <c r="P736" s="28"/>
      <c r="Q736" s="28"/>
      <c r="R736" s="31"/>
      <c r="S736" s="36"/>
      <c r="T736" s="366"/>
      <c r="U736" s="1189"/>
      <c r="V736" s="1189"/>
      <c r="W736" s="1190"/>
      <c r="X736" s="1191"/>
      <c r="Y736" s="1189"/>
      <c r="Z736" s="1189"/>
      <c r="AA736" s="1188"/>
      <c r="AB736" s="1188"/>
      <c r="AC736" s="1188"/>
      <c r="AD736" s="29"/>
      <c r="AE736" s="377">
        <f>N985</f>
        <v>0</v>
      </c>
      <c r="AF736" s="762">
        <f>AF701</f>
        <v>0</v>
      </c>
      <c r="AG736" s="762">
        <f t="shared" ref="AG736:CM736" si="550">AG701</f>
        <v>59</v>
      </c>
      <c r="AH736" s="762">
        <f t="shared" si="550"/>
        <v>91</v>
      </c>
      <c r="AI736" s="762">
        <f t="shared" si="550"/>
        <v>121</v>
      </c>
      <c r="AJ736" s="762">
        <f t="shared" si="550"/>
        <v>152</v>
      </c>
      <c r="AK736" s="762">
        <f t="shared" si="550"/>
        <v>182</v>
      </c>
      <c r="AL736" s="762">
        <f t="shared" si="550"/>
        <v>213</v>
      </c>
      <c r="AM736" s="762">
        <f t="shared" si="550"/>
        <v>244</v>
      </c>
      <c r="AN736" s="762">
        <f t="shared" si="550"/>
        <v>274</v>
      </c>
      <c r="AO736" s="762">
        <f t="shared" si="550"/>
        <v>305</v>
      </c>
      <c r="AP736" s="762">
        <f t="shared" si="550"/>
        <v>335</v>
      </c>
      <c r="AQ736" s="762">
        <f t="shared" si="550"/>
        <v>366</v>
      </c>
      <c r="AR736" s="762">
        <f t="shared" si="550"/>
        <v>397</v>
      </c>
      <c r="AS736" s="762">
        <f t="shared" si="550"/>
        <v>425</v>
      </c>
      <c r="AT736" s="762">
        <f t="shared" si="550"/>
        <v>456</v>
      </c>
      <c r="AU736" s="762">
        <f t="shared" si="550"/>
        <v>486</v>
      </c>
      <c r="AV736" s="762">
        <f t="shared" si="550"/>
        <v>517</v>
      </c>
      <c r="AW736" s="762">
        <f t="shared" si="550"/>
        <v>547</v>
      </c>
      <c r="AX736" s="762">
        <f t="shared" si="550"/>
        <v>578</v>
      </c>
      <c r="AY736" s="762">
        <f t="shared" si="550"/>
        <v>609</v>
      </c>
      <c r="AZ736" s="762">
        <f t="shared" si="550"/>
        <v>639</v>
      </c>
      <c r="BA736" s="762">
        <f t="shared" si="550"/>
        <v>670</v>
      </c>
      <c r="BB736" s="762">
        <f t="shared" si="550"/>
        <v>700</v>
      </c>
      <c r="BC736" s="762">
        <f t="shared" si="550"/>
        <v>731</v>
      </c>
      <c r="BD736" s="762">
        <f t="shared" si="550"/>
        <v>762</v>
      </c>
      <c r="BE736" s="762">
        <f t="shared" si="550"/>
        <v>790</v>
      </c>
      <c r="BF736" s="762">
        <f t="shared" si="550"/>
        <v>821</v>
      </c>
      <c r="BG736" s="762">
        <f t="shared" si="550"/>
        <v>851</v>
      </c>
      <c r="BH736" s="762">
        <f t="shared" si="550"/>
        <v>882</v>
      </c>
      <c r="BI736" s="762">
        <f t="shared" si="550"/>
        <v>912</v>
      </c>
      <c r="BJ736" s="762">
        <f t="shared" si="550"/>
        <v>943</v>
      </c>
      <c r="BK736" s="762">
        <f t="shared" si="550"/>
        <v>974</v>
      </c>
      <c r="BL736" s="762">
        <f t="shared" si="550"/>
        <v>1004</v>
      </c>
      <c r="BM736" s="762">
        <f t="shared" si="550"/>
        <v>1035</v>
      </c>
      <c r="BN736" s="762">
        <f t="shared" si="550"/>
        <v>1065</v>
      </c>
      <c r="BO736" s="762">
        <f t="shared" si="550"/>
        <v>1096</v>
      </c>
      <c r="BP736" s="762">
        <f t="shared" si="550"/>
        <v>1127</v>
      </c>
      <c r="BQ736" s="762">
        <f t="shared" si="550"/>
        <v>1155</v>
      </c>
      <c r="BR736" s="762">
        <f t="shared" si="550"/>
        <v>1186</v>
      </c>
      <c r="BS736" s="762">
        <f t="shared" si="550"/>
        <v>1216</v>
      </c>
      <c r="BT736" s="762">
        <f t="shared" si="550"/>
        <v>1247</v>
      </c>
      <c r="BU736" s="762">
        <f t="shared" si="550"/>
        <v>1277</v>
      </c>
      <c r="BV736" s="762">
        <f t="shared" si="550"/>
        <v>1308</v>
      </c>
      <c r="BW736" s="762">
        <f t="shared" si="550"/>
        <v>1339</v>
      </c>
      <c r="BX736" s="762">
        <f t="shared" si="550"/>
        <v>1369</v>
      </c>
      <c r="BY736" s="762">
        <f t="shared" si="550"/>
        <v>1400</v>
      </c>
      <c r="BZ736" s="762">
        <f t="shared" si="550"/>
        <v>1430</v>
      </c>
      <c r="CA736" s="762">
        <f t="shared" si="550"/>
        <v>1461</v>
      </c>
      <c r="CB736" s="762">
        <f t="shared" si="550"/>
        <v>1492</v>
      </c>
      <c r="CC736" s="762">
        <f t="shared" si="550"/>
        <v>1521</v>
      </c>
      <c r="CD736" s="762">
        <f t="shared" si="550"/>
        <v>1552</v>
      </c>
      <c r="CE736" s="762">
        <f t="shared" si="550"/>
        <v>1582</v>
      </c>
      <c r="CF736" s="762">
        <f t="shared" si="550"/>
        <v>1613</v>
      </c>
      <c r="CG736" s="762">
        <f t="shared" si="550"/>
        <v>1643</v>
      </c>
      <c r="CH736" s="762">
        <f t="shared" si="550"/>
        <v>1674</v>
      </c>
      <c r="CI736" s="762">
        <f t="shared" si="550"/>
        <v>1705</v>
      </c>
      <c r="CJ736" s="762">
        <f t="shared" si="550"/>
        <v>1735</v>
      </c>
      <c r="CK736" s="762">
        <f t="shared" si="550"/>
        <v>1766</v>
      </c>
      <c r="CL736" s="762">
        <f t="shared" si="550"/>
        <v>1796</v>
      </c>
      <c r="CM736" s="762">
        <f t="shared" si="550"/>
        <v>1827</v>
      </c>
    </row>
    <row r="737" spans="11:91" ht="12" customHeight="1" x14ac:dyDescent="0.35">
      <c r="K737" s="28"/>
      <c r="L737" s="28"/>
      <c r="M737" s="28"/>
      <c r="N737" s="28"/>
      <c r="O737" s="28"/>
      <c r="P737" s="28"/>
      <c r="Q737" s="31"/>
      <c r="R737" s="369" t="s">
        <v>484</v>
      </c>
      <c r="S737" s="370" t="s">
        <v>267</v>
      </c>
      <c r="T737" s="370" t="s">
        <v>268</v>
      </c>
      <c r="U737" s="1192" t="s">
        <v>269</v>
      </c>
      <c r="V737" s="1192" t="s">
        <v>270</v>
      </c>
      <c r="W737" s="1192" t="s">
        <v>485</v>
      </c>
      <c r="X737" s="1192" t="s">
        <v>486</v>
      </c>
      <c r="Y737" s="1192" t="s">
        <v>487</v>
      </c>
      <c r="Z737" s="1192" t="s">
        <v>488</v>
      </c>
      <c r="AA737" s="1192" t="s">
        <v>489</v>
      </c>
      <c r="AB737" s="1192" t="s">
        <v>490</v>
      </c>
      <c r="AC737" s="5"/>
      <c r="AD737" s="1804"/>
      <c r="AE737" s="376" t="s">
        <v>491</v>
      </c>
      <c r="AF737" s="763">
        <f>IF(AF$736=Input!$D298,Input!$D297,0)</f>
        <v>0</v>
      </c>
      <c r="AG737" s="763">
        <f>IF(AG$736=Input!$D298,Input!$D297,0)</f>
        <v>0</v>
      </c>
      <c r="AH737" s="763">
        <f>IF(AH$736=Input!$D298,Input!$D297,0)</f>
        <v>0</v>
      </c>
      <c r="AI737" s="763">
        <f>IF(AI$736=Input!$D298,Input!$D297,0)</f>
        <v>0</v>
      </c>
      <c r="AJ737" s="763">
        <f>IF(AJ$736=Input!$D298,Input!$D297,0)</f>
        <v>0</v>
      </c>
      <c r="AK737" s="763">
        <f>IF(AK$736=Input!$D298,Input!$D297,0)</f>
        <v>0</v>
      </c>
      <c r="AL737" s="763">
        <f>IF(AL$736=Input!$D298,Input!$D297,0)</f>
        <v>0</v>
      </c>
      <c r="AM737" s="763">
        <f>IF(AM$736=Input!$D298,Input!$D297,0)</f>
        <v>0</v>
      </c>
      <c r="AN737" s="763">
        <f>IF(AN$736=Input!$D298,Input!$D297,0)</f>
        <v>0</v>
      </c>
      <c r="AO737" s="763">
        <f>IF(AO$736=Input!$D298,Input!$D297,0)</f>
        <v>0</v>
      </c>
      <c r="AP737" s="763">
        <f>IF(AP$736=Input!$D298,Input!$D297,0)</f>
        <v>0</v>
      </c>
      <c r="AQ737" s="763">
        <f>IF(AQ$736=Input!$D298,Input!$D297,0)</f>
        <v>0</v>
      </c>
      <c r="AR737" s="763">
        <f>IF(AR$736=Input!$D298,Input!$D297,0)</f>
        <v>0</v>
      </c>
      <c r="AS737" s="763">
        <f>IF(AS$736=Input!$D298,Input!$D297,0)</f>
        <v>0</v>
      </c>
      <c r="AT737" s="763">
        <f>IF(AT$736=Input!$D298,Input!$D297,0)</f>
        <v>0</v>
      </c>
      <c r="AU737" s="763">
        <f>IF(AU$736=Input!$D298,Input!$D297,0)</f>
        <v>0</v>
      </c>
      <c r="AV737" s="763">
        <f>IF(AV$736=Input!$D298,Input!$D297,0)</f>
        <v>0</v>
      </c>
      <c r="AW737" s="763">
        <f>IF(AW$736=Input!$D298,Input!$D297,0)</f>
        <v>0</v>
      </c>
      <c r="AX737" s="763">
        <f>IF(AX$736=Input!$D298,Input!$D297,0)</f>
        <v>0</v>
      </c>
      <c r="AY737" s="763">
        <f>IF(AY$736=Input!$D298,Input!$D297,0)</f>
        <v>0</v>
      </c>
      <c r="AZ737" s="763">
        <f>IF(AZ$736=Input!$D298,Input!$D297,0)</f>
        <v>0</v>
      </c>
      <c r="BA737" s="763">
        <f>IF(BA$736=Input!$D298,Input!$D297,0)</f>
        <v>0</v>
      </c>
      <c r="BB737" s="763">
        <f>IF(BB$736=Input!$D298,Input!$D297,0)</f>
        <v>0</v>
      </c>
      <c r="BC737" s="763">
        <f>IF(BC$736=Input!$D298,Input!$D297,0)</f>
        <v>0</v>
      </c>
      <c r="BD737" s="763">
        <f>IF(BD$736=Input!$D298,Input!$D297,0)</f>
        <v>0</v>
      </c>
      <c r="BE737" s="763">
        <f>IF(BE$736=Input!$D298,Input!$D297,0)</f>
        <v>0</v>
      </c>
      <c r="BF737" s="763">
        <f>IF(BF$736=Input!$D298,Input!$D297,0)</f>
        <v>0</v>
      </c>
      <c r="BG737" s="763">
        <f>IF(BG$736=Input!$D298,Input!$D297,0)</f>
        <v>0</v>
      </c>
      <c r="BH737" s="763">
        <f>IF(BH$736=Input!$D298,Input!$D297,0)</f>
        <v>0</v>
      </c>
      <c r="BI737" s="763">
        <f>IF(BI$736=Input!$D298,Input!$D297,0)</f>
        <v>0</v>
      </c>
      <c r="BJ737" s="763">
        <f>IF(BJ$736=Input!$D298,Input!$D297,0)</f>
        <v>0</v>
      </c>
      <c r="BK737" s="763">
        <f>IF(BK$736=Input!$D298,Input!$D297,0)</f>
        <v>0</v>
      </c>
      <c r="BL737" s="763">
        <f>IF(BL$736=Input!$D298,Input!$D297,0)</f>
        <v>0</v>
      </c>
      <c r="BM737" s="763">
        <f>IF(BM$736=Input!$D298,Input!$D297,0)</f>
        <v>0</v>
      </c>
      <c r="BN737" s="763">
        <f>IF(BN$736=Input!$D298,Input!$D297,0)</f>
        <v>0</v>
      </c>
      <c r="BO737" s="763">
        <f>IF(BO$736=Input!$D298,Input!$D297,0)</f>
        <v>0</v>
      </c>
      <c r="BP737" s="763">
        <f>IF(BP$736=Input!$D298,Input!$D297,0)</f>
        <v>0</v>
      </c>
      <c r="BQ737" s="763">
        <f>IF(BQ$736=Input!$D298,Input!$D297,0)</f>
        <v>0</v>
      </c>
      <c r="BR737" s="763">
        <f>IF(BR$736=Input!$D298,Input!$D297,0)</f>
        <v>0</v>
      </c>
      <c r="BS737" s="763">
        <f>IF(BS$736=Input!$D298,Input!$D297,0)</f>
        <v>0</v>
      </c>
      <c r="BT737" s="763">
        <f>IF(BT$736=Input!$D298,Input!$D297,0)</f>
        <v>0</v>
      </c>
      <c r="BU737" s="763">
        <f>IF(BU$736=Input!$D298,Input!$D297,0)</f>
        <v>0</v>
      </c>
      <c r="BV737" s="763">
        <f>IF(BV$736=Input!$D298,Input!$D297,0)</f>
        <v>0</v>
      </c>
      <c r="BW737" s="763">
        <f>IF(BW$736=Input!$D298,Input!$D297,0)</f>
        <v>0</v>
      </c>
      <c r="BX737" s="763">
        <f>IF(BX$736=Input!$D298,Input!$D297,0)</f>
        <v>0</v>
      </c>
      <c r="BY737" s="763">
        <f>IF(BY$736=Input!$D298,Input!$D297,0)</f>
        <v>0</v>
      </c>
      <c r="BZ737" s="763">
        <f>IF(BZ$736=Input!$D298,Input!$D297,0)</f>
        <v>0</v>
      </c>
      <c r="CA737" s="763">
        <f>IF(CA$736=Input!$D298,Input!$D297,0)</f>
        <v>0</v>
      </c>
      <c r="CB737" s="763">
        <f>IF(CB$736=Input!$D298,Input!$D297,0)</f>
        <v>0</v>
      </c>
      <c r="CC737" s="763">
        <f>IF(CC$736=Input!$D298,Input!$D297,0)</f>
        <v>0</v>
      </c>
      <c r="CD737" s="763">
        <f>IF(CD$736=Input!$D298,Input!$D297,0)</f>
        <v>0</v>
      </c>
      <c r="CE737" s="763">
        <f>IF(CE$736=Input!$D298,Input!$D297,0)</f>
        <v>0</v>
      </c>
      <c r="CF737" s="763">
        <f>IF(CF$736=Input!$D298,Input!$D297,0)</f>
        <v>0</v>
      </c>
      <c r="CG737" s="763">
        <f>IF(CG$736=Input!$D298,Input!$D297,0)</f>
        <v>0</v>
      </c>
      <c r="CH737" s="763">
        <f>IF(CH$736=Input!$D298,Input!$D297,0)</f>
        <v>0</v>
      </c>
      <c r="CI737" s="763">
        <f>IF(CI$736=Input!$D298,Input!$D297,0)</f>
        <v>0</v>
      </c>
      <c r="CJ737" s="763">
        <f>IF(CJ$736=Input!$D298,Input!$D297,0)</f>
        <v>0</v>
      </c>
      <c r="CK737" s="763">
        <f>IF(CK$736=Input!$D298,Input!$D297,0)</f>
        <v>0</v>
      </c>
      <c r="CL737" s="763">
        <f>IF(CL$736=Input!$D298,Input!$D297,0)</f>
        <v>0</v>
      </c>
      <c r="CM737" s="763">
        <f>IF(CM$736=Input!$D298,Input!$D297,0)</f>
        <v>0</v>
      </c>
    </row>
    <row r="738" spans="11:91" ht="12" customHeight="1" x14ac:dyDescent="0.35">
      <c r="K738" s="28"/>
      <c r="L738" s="28"/>
      <c r="M738" s="28"/>
      <c r="N738" s="28"/>
      <c r="O738" s="28"/>
      <c r="P738" s="28"/>
      <c r="Q738" s="371" t="s">
        <v>483</v>
      </c>
      <c r="R738" s="36"/>
      <c r="S738" s="366"/>
      <c r="T738" s="373">
        <f>-U703</f>
        <v>0</v>
      </c>
      <c r="U738" s="1189"/>
      <c r="V738" s="1190"/>
      <c r="W738" s="1191"/>
      <c r="X738" s="1189"/>
      <c r="Y738" s="1189"/>
      <c r="Z738" s="1188"/>
      <c r="AA738" s="1188"/>
      <c r="AB738" s="62">
        <f>X703*Y700</f>
        <v>0</v>
      </c>
      <c r="AC738" s="1804"/>
      <c r="AD738" s="29"/>
      <c r="AE738" s="376" t="s">
        <v>188</v>
      </c>
      <c r="AF738" s="763">
        <f t="array" ref="AF738:CM738">TRANSPOSE(Calcs!O1050:O1109)</f>
        <v>0</v>
      </c>
      <c r="AG738" s="763">
        <v>0</v>
      </c>
      <c r="AH738" s="763">
        <v>0</v>
      </c>
      <c r="AI738" s="763">
        <v>0</v>
      </c>
      <c r="AJ738" s="763">
        <v>0</v>
      </c>
      <c r="AK738" s="763">
        <v>0</v>
      </c>
      <c r="AL738" s="763">
        <v>0</v>
      </c>
      <c r="AM738" s="763">
        <v>0</v>
      </c>
      <c r="AN738" s="763">
        <v>0</v>
      </c>
      <c r="AO738" s="763">
        <v>0</v>
      </c>
      <c r="AP738" s="763">
        <v>0</v>
      </c>
      <c r="AQ738" s="763">
        <v>0</v>
      </c>
      <c r="AR738" s="763">
        <v>0</v>
      </c>
      <c r="AS738" s="763">
        <v>0</v>
      </c>
      <c r="AT738" s="763">
        <v>0</v>
      </c>
      <c r="AU738" s="763">
        <v>0</v>
      </c>
      <c r="AV738" s="763">
        <v>0</v>
      </c>
      <c r="AW738" s="763">
        <v>0</v>
      </c>
      <c r="AX738" s="763">
        <v>0</v>
      </c>
      <c r="AY738" s="763">
        <v>0</v>
      </c>
      <c r="AZ738" s="763">
        <v>0</v>
      </c>
      <c r="BA738" s="763">
        <v>0</v>
      </c>
      <c r="BB738" s="763">
        <v>0</v>
      </c>
      <c r="BC738" s="763">
        <v>0</v>
      </c>
      <c r="BD738" s="763">
        <v>0</v>
      </c>
      <c r="BE738" s="763">
        <v>0</v>
      </c>
      <c r="BF738" s="763">
        <v>0</v>
      </c>
      <c r="BG738" s="763">
        <v>0</v>
      </c>
      <c r="BH738" s="763">
        <v>0</v>
      </c>
      <c r="BI738" s="763">
        <v>0</v>
      </c>
      <c r="BJ738" s="763">
        <v>0</v>
      </c>
      <c r="BK738" s="763">
        <v>0</v>
      </c>
      <c r="BL738" s="763">
        <v>0</v>
      </c>
      <c r="BM738" s="763">
        <v>0</v>
      </c>
      <c r="BN738" s="763">
        <v>0</v>
      </c>
      <c r="BO738" s="763">
        <v>0</v>
      </c>
      <c r="BP738" s="763">
        <v>0</v>
      </c>
      <c r="BQ738" s="763">
        <v>0</v>
      </c>
      <c r="BR738" s="763">
        <v>0</v>
      </c>
      <c r="BS738" s="763">
        <v>0</v>
      </c>
      <c r="BT738" s="763">
        <v>0</v>
      </c>
      <c r="BU738" s="763">
        <v>0</v>
      </c>
      <c r="BV738" s="763">
        <v>0</v>
      </c>
      <c r="BW738" s="763">
        <v>0</v>
      </c>
      <c r="BX738" s="763">
        <v>0</v>
      </c>
      <c r="BY738" s="763">
        <v>0</v>
      </c>
      <c r="BZ738" s="763">
        <v>0</v>
      </c>
      <c r="CA738" s="763">
        <v>0</v>
      </c>
      <c r="CB738" s="763">
        <v>0</v>
      </c>
      <c r="CC738" s="763">
        <v>0</v>
      </c>
      <c r="CD738" s="763">
        <v>0</v>
      </c>
      <c r="CE738" s="763">
        <v>0</v>
      </c>
      <c r="CF738" s="763">
        <v>0</v>
      </c>
      <c r="CG738" s="763">
        <v>0</v>
      </c>
      <c r="CH738" s="763">
        <v>0</v>
      </c>
      <c r="CI738" s="763">
        <v>0</v>
      </c>
      <c r="CJ738" s="763">
        <v>0</v>
      </c>
      <c r="CK738" s="763">
        <v>0</v>
      </c>
      <c r="CL738" s="763">
        <v>0</v>
      </c>
      <c r="CM738" s="763">
        <v>0</v>
      </c>
    </row>
    <row r="739" spans="11:91" ht="12" customHeight="1" x14ac:dyDescent="0.35">
      <c r="K739" s="28"/>
      <c r="L739" s="28"/>
      <c r="M739" s="28"/>
      <c r="N739" s="28"/>
      <c r="O739" s="28"/>
      <c r="P739" s="28"/>
      <c r="Q739" s="371" t="s">
        <v>492</v>
      </c>
      <c r="R739" s="36"/>
      <c r="S739" s="366"/>
      <c r="T739" s="367"/>
      <c r="U739" s="431">
        <f>-U704</f>
        <v>0</v>
      </c>
      <c r="V739" s="1190"/>
      <c r="W739" s="1191"/>
      <c r="X739" s="1189"/>
      <c r="Y739" s="1189"/>
      <c r="Z739" s="1188"/>
      <c r="AA739" s="1188"/>
      <c r="AB739" s="62">
        <f>X704*Y700</f>
        <v>0</v>
      </c>
      <c r="AC739" s="1804"/>
      <c r="AD739" s="29"/>
      <c r="AE739" s="376" t="s">
        <v>493</v>
      </c>
      <c r="AF739" s="763">
        <f t="array" ref="AF739:CM739">TRANSPOSE(Calcs!P1050:P1109)</f>
        <v>0</v>
      </c>
      <c r="AG739" s="763">
        <v>0</v>
      </c>
      <c r="AH739" s="763">
        <v>0</v>
      </c>
      <c r="AI739" s="763">
        <v>0</v>
      </c>
      <c r="AJ739" s="763">
        <v>0</v>
      </c>
      <c r="AK739" s="763">
        <v>0</v>
      </c>
      <c r="AL739" s="763">
        <v>0</v>
      </c>
      <c r="AM739" s="763">
        <v>0</v>
      </c>
      <c r="AN739" s="763">
        <v>0</v>
      </c>
      <c r="AO739" s="763">
        <v>0</v>
      </c>
      <c r="AP739" s="763">
        <v>0</v>
      </c>
      <c r="AQ739" s="763">
        <v>0</v>
      </c>
      <c r="AR739" s="763">
        <v>0</v>
      </c>
      <c r="AS739" s="763">
        <v>0</v>
      </c>
      <c r="AT739" s="763">
        <v>0</v>
      </c>
      <c r="AU739" s="763">
        <v>0</v>
      </c>
      <c r="AV739" s="763">
        <v>0</v>
      </c>
      <c r="AW739" s="763">
        <v>0</v>
      </c>
      <c r="AX739" s="763">
        <v>0</v>
      </c>
      <c r="AY739" s="763">
        <v>0</v>
      </c>
      <c r="AZ739" s="763">
        <v>0</v>
      </c>
      <c r="BA739" s="763">
        <v>0</v>
      </c>
      <c r="BB739" s="763">
        <v>0</v>
      </c>
      <c r="BC739" s="763">
        <v>0</v>
      </c>
      <c r="BD739" s="763">
        <v>0</v>
      </c>
      <c r="BE739" s="763">
        <v>0</v>
      </c>
      <c r="BF739" s="763">
        <v>0</v>
      </c>
      <c r="BG739" s="763">
        <v>0</v>
      </c>
      <c r="BH739" s="763">
        <v>0</v>
      </c>
      <c r="BI739" s="763">
        <v>0</v>
      </c>
      <c r="BJ739" s="763">
        <v>0</v>
      </c>
      <c r="BK739" s="763">
        <v>0</v>
      </c>
      <c r="BL739" s="763">
        <v>0</v>
      </c>
      <c r="BM739" s="763">
        <v>0</v>
      </c>
      <c r="BN739" s="763">
        <v>0</v>
      </c>
      <c r="BO739" s="763">
        <v>0</v>
      </c>
      <c r="BP739" s="763">
        <v>0</v>
      </c>
      <c r="BQ739" s="763">
        <v>0</v>
      </c>
      <c r="BR739" s="763">
        <v>0</v>
      </c>
      <c r="BS739" s="763">
        <v>0</v>
      </c>
      <c r="BT739" s="763">
        <v>0</v>
      </c>
      <c r="BU739" s="763">
        <v>0</v>
      </c>
      <c r="BV739" s="763">
        <v>0</v>
      </c>
      <c r="BW739" s="763">
        <v>0</v>
      </c>
      <c r="BX739" s="763">
        <v>0</v>
      </c>
      <c r="BY739" s="763">
        <v>0</v>
      </c>
      <c r="BZ739" s="763">
        <v>0</v>
      </c>
      <c r="CA739" s="763">
        <v>0</v>
      </c>
      <c r="CB739" s="763">
        <v>0</v>
      </c>
      <c r="CC739" s="763">
        <v>0</v>
      </c>
      <c r="CD739" s="763">
        <v>0</v>
      </c>
      <c r="CE739" s="763">
        <v>0</v>
      </c>
      <c r="CF739" s="763">
        <v>0</v>
      </c>
      <c r="CG739" s="763">
        <v>0</v>
      </c>
      <c r="CH739" s="763">
        <v>0</v>
      </c>
      <c r="CI739" s="763">
        <v>0</v>
      </c>
      <c r="CJ739" s="763">
        <v>0</v>
      </c>
      <c r="CK739" s="763">
        <v>0</v>
      </c>
      <c r="CL739" s="763">
        <v>0</v>
      </c>
      <c r="CM739" s="763">
        <v>0</v>
      </c>
    </row>
    <row r="740" spans="11:91" ht="12" customHeight="1" x14ac:dyDescent="0.35">
      <c r="K740" s="28"/>
      <c r="L740" s="28"/>
      <c r="M740" s="28"/>
      <c r="N740" s="28"/>
      <c r="O740" s="28"/>
      <c r="P740" s="28"/>
      <c r="Q740" s="371" t="str">
        <f>Q738</f>
        <v>Bill</v>
      </c>
      <c r="R740" s="36"/>
      <c r="S740" s="366"/>
      <c r="T740" s="367"/>
      <c r="U740" s="1189"/>
      <c r="V740" s="1190"/>
      <c r="W740" s="430">
        <f>-U705</f>
        <v>0</v>
      </c>
      <c r="X740" s="1189"/>
      <c r="Y740" s="1189"/>
      <c r="Z740" s="1188"/>
      <c r="AA740" s="1188"/>
      <c r="AB740" s="62">
        <f>X705*Y700</f>
        <v>0</v>
      </c>
      <c r="AC740" s="1804"/>
      <c r="AD740" s="29"/>
      <c r="AE740" s="376" t="s">
        <v>494</v>
      </c>
      <c r="AF740" s="763">
        <f t="array" ref="AF740:CM740">TRANSPOSE(Calcs!Q1050:Q1109)</f>
        <v>0</v>
      </c>
      <c r="AG740" s="763">
        <v>0</v>
      </c>
      <c r="AH740" s="763">
        <v>0</v>
      </c>
      <c r="AI740" s="763">
        <v>0</v>
      </c>
      <c r="AJ740" s="763">
        <v>0</v>
      </c>
      <c r="AK740" s="763">
        <v>0</v>
      </c>
      <c r="AL740" s="763">
        <v>0</v>
      </c>
      <c r="AM740" s="763">
        <v>0</v>
      </c>
      <c r="AN740" s="763">
        <v>0</v>
      </c>
      <c r="AO740" s="763">
        <v>0</v>
      </c>
      <c r="AP740" s="763">
        <v>0</v>
      </c>
      <c r="AQ740" s="763">
        <v>0</v>
      </c>
      <c r="AR740" s="763">
        <v>0</v>
      </c>
      <c r="AS740" s="763">
        <v>0</v>
      </c>
      <c r="AT740" s="763">
        <v>0</v>
      </c>
      <c r="AU740" s="763">
        <v>0</v>
      </c>
      <c r="AV740" s="763">
        <v>0</v>
      </c>
      <c r="AW740" s="763">
        <v>0</v>
      </c>
      <c r="AX740" s="763">
        <v>0</v>
      </c>
      <c r="AY740" s="763">
        <v>0</v>
      </c>
      <c r="AZ740" s="763">
        <v>0</v>
      </c>
      <c r="BA740" s="763">
        <v>0</v>
      </c>
      <c r="BB740" s="763">
        <v>0</v>
      </c>
      <c r="BC740" s="763">
        <v>0</v>
      </c>
      <c r="BD740" s="763">
        <v>0</v>
      </c>
      <c r="BE740" s="763">
        <v>0</v>
      </c>
      <c r="BF740" s="763">
        <v>0</v>
      </c>
      <c r="BG740" s="763">
        <v>0</v>
      </c>
      <c r="BH740" s="763">
        <v>0</v>
      </c>
      <c r="BI740" s="763">
        <v>0</v>
      </c>
      <c r="BJ740" s="763">
        <v>0</v>
      </c>
      <c r="BK740" s="763">
        <v>0</v>
      </c>
      <c r="BL740" s="763">
        <v>0</v>
      </c>
      <c r="BM740" s="763">
        <v>0</v>
      </c>
      <c r="BN740" s="763">
        <v>0</v>
      </c>
      <c r="BO740" s="763">
        <v>0</v>
      </c>
      <c r="BP740" s="763">
        <v>0</v>
      </c>
      <c r="BQ740" s="763">
        <v>0</v>
      </c>
      <c r="BR740" s="763">
        <v>0</v>
      </c>
      <c r="BS740" s="763">
        <v>0</v>
      </c>
      <c r="BT740" s="763">
        <v>0</v>
      </c>
      <c r="BU740" s="763">
        <v>0</v>
      </c>
      <c r="BV740" s="763">
        <v>0</v>
      </c>
      <c r="BW740" s="763">
        <v>0</v>
      </c>
      <c r="BX740" s="763">
        <v>0</v>
      </c>
      <c r="BY740" s="763">
        <v>0</v>
      </c>
      <c r="BZ740" s="763">
        <v>0</v>
      </c>
      <c r="CA740" s="763">
        <v>0</v>
      </c>
      <c r="CB740" s="763">
        <v>0</v>
      </c>
      <c r="CC740" s="763">
        <v>0</v>
      </c>
      <c r="CD740" s="763">
        <v>0</v>
      </c>
      <c r="CE740" s="763">
        <v>0</v>
      </c>
      <c r="CF740" s="763">
        <v>0</v>
      </c>
      <c r="CG740" s="763">
        <v>0</v>
      </c>
      <c r="CH740" s="763">
        <v>0</v>
      </c>
      <c r="CI740" s="763">
        <v>0</v>
      </c>
      <c r="CJ740" s="763">
        <v>0</v>
      </c>
      <c r="CK740" s="763">
        <v>0</v>
      </c>
      <c r="CL740" s="763">
        <v>0</v>
      </c>
      <c r="CM740" s="763">
        <v>0</v>
      </c>
    </row>
    <row r="741" spans="11:91" ht="12" customHeight="1" x14ac:dyDescent="0.35">
      <c r="K741" s="28"/>
      <c r="L741" s="28"/>
      <c r="M741" s="28"/>
      <c r="N741" s="28"/>
      <c r="O741" s="28"/>
      <c r="P741" s="28"/>
      <c r="Q741" s="371" t="s">
        <v>495</v>
      </c>
      <c r="R741" s="371"/>
      <c r="S741" s="36"/>
      <c r="T741" s="366"/>
      <c r="U741" s="1189"/>
      <c r="V741" s="1189"/>
      <c r="W741" s="1190"/>
      <c r="X741" s="1191"/>
      <c r="Y741" s="1189"/>
      <c r="Z741" s="1189"/>
      <c r="AA741" s="1188"/>
      <c r="AB741" s="1188"/>
      <c r="AC741" s="1193"/>
      <c r="AD741" s="29"/>
      <c r="AE741" s="376" t="s">
        <v>9</v>
      </c>
      <c r="AF741" s="763">
        <f t="shared" ref="AF741:BK741" si="551">AF737-AF739</f>
        <v>0</v>
      </c>
      <c r="AG741" s="763">
        <f t="shared" si="551"/>
        <v>0</v>
      </c>
      <c r="AH741" s="763">
        <f t="shared" si="551"/>
        <v>0</v>
      </c>
      <c r="AI741" s="763">
        <f t="shared" si="551"/>
        <v>0</v>
      </c>
      <c r="AJ741" s="763">
        <f t="shared" si="551"/>
        <v>0</v>
      </c>
      <c r="AK741" s="763">
        <f t="shared" si="551"/>
        <v>0</v>
      </c>
      <c r="AL741" s="763">
        <f t="shared" si="551"/>
        <v>0</v>
      </c>
      <c r="AM741" s="763">
        <f t="shared" si="551"/>
        <v>0</v>
      </c>
      <c r="AN741" s="763">
        <f t="shared" si="551"/>
        <v>0</v>
      </c>
      <c r="AO741" s="763">
        <f t="shared" si="551"/>
        <v>0</v>
      </c>
      <c r="AP741" s="763">
        <f t="shared" si="551"/>
        <v>0</v>
      </c>
      <c r="AQ741" s="763">
        <f t="shared" si="551"/>
        <v>0</v>
      </c>
      <c r="AR741" s="763">
        <f t="shared" si="551"/>
        <v>0</v>
      </c>
      <c r="AS741" s="763">
        <f t="shared" si="551"/>
        <v>0</v>
      </c>
      <c r="AT741" s="763">
        <f t="shared" si="551"/>
        <v>0</v>
      </c>
      <c r="AU741" s="763">
        <f t="shared" si="551"/>
        <v>0</v>
      </c>
      <c r="AV741" s="763">
        <f t="shared" si="551"/>
        <v>0</v>
      </c>
      <c r="AW741" s="763">
        <f t="shared" si="551"/>
        <v>0</v>
      </c>
      <c r="AX741" s="763">
        <f t="shared" si="551"/>
        <v>0</v>
      </c>
      <c r="AY741" s="763">
        <f t="shared" si="551"/>
        <v>0</v>
      </c>
      <c r="AZ741" s="763">
        <f t="shared" si="551"/>
        <v>0</v>
      </c>
      <c r="BA741" s="763">
        <f t="shared" si="551"/>
        <v>0</v>
      </c>
      <c r="BB741" s="763">
        <f t="shared" si="551"/>
        <v>0</v>
      </c>
      <c r="BC741" s="763">
        <f t="shared" si="551"/>
        <v>0</v>
      </c>
      <c r="BD741" s="763">
        <f t="shared" si="551"/>
        <v>0</v>
      </c>
      <c r="BE741" s="763">
        <f t="shared" si="551"/>
        <v>0</v>
      </c>
      <c r="BF741" s="763">
        <f t="shared" si="551"/>
        <v>0</v>
      </c>
      <c r="BG741" s="763">
        <f t="shared" si="551"/>
        <v>0</v>
      </c>
      <c r="BH741" s="763">
        <f t="shared" si="551"/>
        <v>0</v>
      </c>
      <c r="BI741" s="763">
        <f t="shared" si="551"/>
        <v>0</v>
      </c>
      <c r="BJ741" s="763">
        <f t="shared" si="551"/>
        <v>0</v>
      </c>
      <c r="BK741" s="763">
        <f t="shared" si="551"/>
        <v>0</v>
      </c>
      <c r="BL741" s="763">
        <f t="shared" ref="BL741:CM741" si="552">BL737-BL739</f>
        <v>0</v>
      </c>
      <c r="BM741" s="763">
        <f t="shared" si="552"/>
        <v>0</v>
      </c>
      <c r="BN741" s="763">
        <f t="shared" si="552"/>
        <v>0</v>
      </c>
      <c r="BO741" s="763">
        <f t="shared" si="552"/>
        <v>0</v>
      </c>
      <c r="BP741" s="763">
        <f t="shared" si="552"/>
        <v>0</v>
      </c>
      <c r="BQ741" s="763">
        <f t="shared" si="552"/>
        <v>0</v>
      </c>
      <c r="BR741" s="763">
        <f t="shared" si="552"/>
        <v>0</v>
      </c>
      <c r="BS741" s="763">
        <f t="shared" si="552"/>
        <v>0</v>
      </c>
      <c r="BT741" s="763">
        <f t="shared" si="552"/>
        <v>0</v>
      </c>
      <c r="BU741" s="763">
        <f t="shared" si="552"/>
        <v>0</v>
      </c>
      <c r="BV741" s="763">
        <f t="shared" si="552"/>
        <v>0</v>
      </c>
      <c r="BW741" s="763">
        <f t="shared" si="552"/>
        <v>0</v>
      </c>
      <c r="BX741" s="763">
        <f t="shared" si="552"/>
        <v>0</v>
      </c>
      <c r="BY741" s="763">
        <f t="shared" si="552"/>
        <v>0</v>
      </c>
      <c r="BZ741" s="763">
        <f t="shared" si="552"/>
        <v>0</v>
      </c>
      <c r="CA741" s="763">
        <f t="shared" si="552"/>
        <v>0</v>
      </c>
      <c r="CB741" s="763">
        <f t="shared" si="552"/>
        <v>0</v>
      </c>
      <c r="CC741" s="763">
        <f t="shared" si="552"/>
        <v>0</v>
      </c>
      <c r="CD741" s="763">
        <f t="shared" si="552"/>
        <v>0</v>
      </c>
      <c r="CE741" s="763">
        <f t="shared" si="552"/>
        <v>0</v>
      </c>
      <c r="CF741" s="763">
        <f t="shared" si="552"/>
        <v>0</v>
      </c>
      <c r="CG741" s="763">
        <f t="shared" si="552"/>
        <v>0</v>
      </c>
      <c r="CH741" s="763">
        <f t="shared" si="552"/>
        <v>0</v>
      </c>
      <c r="CI741" s="763">
        <f t="shared" si="552"/>
        <v>0</v>
      </c>
      <c r="CJ741" s="763">
        <f t="shared" si="552"/>
        <v>0</v>
      </c>
      <c r="CK741" s="763">
        <f t="shared" si="552"/>
        <v>0</v>
      </c>
      <c r="CL741" s="763">
        <f t="shared" si="552"/>
        <v>0</v>
      </c>
      <c r="CM741" s="763">
        <f t="shared" si="552"/>
        <v>0</v>
      </c>
    </row>
    <row r="742" spans="11:91" ht="12" customHeight="1" x14ac:dyDescent="0.35">
      <c r="K742" s="28"/>
      <c r="L742" s="28"/>
      <c r="M742" s="28"/>
      <c r="N742" s="28"/>
      <c r="O742" s="28"/>
      <c r="P742" s="28"/>
      <c r="Q742" s="371" t="s">
        <v>496</v>
      </c>
      <c r="R742" s="374">
        <f>NPV(0.3/12,T738:AB738)</f>
        <v>0</v>
      </c>
      <c r="S742" s="36"/>
      <c r="T742" s="366"/>
      <c r="U742" s="1189"/>
      <c r="V742" s="1189"/>
      <c r="W742" s="1190"/>
      <c r="X742" s="1191"/>
      <c r="Y742" s="1189"/>
      <c r="Z742" s="1189"/>
      <c r="AA742" s="1188"/>
      <c r="AB742" s="1188"/>
      <c r="AC742" s="1193"/>
      <c r="AD742" s="139"/>
      <c r="AE742" s="144" t="s">
        <v>188</v>
      </c>
      <c r="AF742" s="171">
        <f t="array" ref="AF742:BV742">IF(Calcs!W736&lt;&gt;"Yes",0,TRANSPOSE(Calcs!AA1011:AA1053))</f>
        <v>0</v>
      </c>
      <c r="AG742" s="171">
        <v>0</v>
      </c>
      <c r="AH742" s="171">
        <v>0</v>
      </c>
      <c r="AI742" s="171">
        <v>0</v>
      </c>
      <c r="AJ742" s="171">
        <v>0</v>
      </c>
      <c r="AK742" s="171">
        <v>0</v>
      </c>
      <c r="AL742" s="171">
        <v>0</v>
      </c>
      <c r="AM742" s="171">
        <v>0</v>
      </c>
      <c r="AN742" s="171">
        <v>0</v>
      </c>
      <c r="AO742" s="171">
        <v>0</v>
      </c>
      <c r="AP742" s="171">
        <v>0</v>
      </c>
      <c r="AQ742" s="171">
        <v>0</v>
      </c>
      <c r="AR742" s="171">
        <v>0</v>
      </c>
      <c r="AS742" s="171">
        <v>0</v>
      </c>
      <c r="AT742" s="171">
        <v>0</v>
      </c>
      <c r="AU742" s="171">
        <v>0</v>
      </c>
      <c r="AV742" s="171">
        <v>0</v>
      </c>
      <c r="AW742" s="171">
        <v>0</v>
      </c>
      <c r="AX742" s="171">
        <v>0</v>
      </c>
      <c r="AY742" s="171">
        <v>0</v>
      </c>
      <c r="AZ742" s="171">
        <v>0</v>
      </c>
      <c r="BA742" s="171">
        <v>0</v>
      </c>
      <c r="BB742" s="171">
        <v>0</v>
      </c>
      <c r="BC742" s="171">
        <v>0</v>
      </c>
      <c r="BD742" s="171">
        <v>0</v>
      </c>
      <c r="BE742" s="171">
        <v>0</v>
      </c>
      <c r="BF742" s="171">
        <v>0</v>
      </c>
      <c r="BG742" s="171">
        <v>0</v>
      </c>
      <c r="BH742" s="171">
        <v>0</v>
      </c>
      <c r="BI742" s="171">
        <v>0</v>
      </c>
      <c r="BJ742" s="171">
        <v>0</v>
      </c>
      <c r="BK742" s="171">
        <v>0</v>
      </c>
      <c r="BL742" s="171">
        <v>0</v>
      </c>
      <c r="BM742" s="171">
        <v>0</v>
      </c>
      <c r="BN742" s="171">
        <v>0</v>
      </c>
      <c r="BO742" s="171">
        <v>0</v>
      </c>
      <c r="BP742" s="171">
        <v>0</v>
      </c>
      <c r="BQ742" s="171">
        <v>0</v>
      </c>
      <c r="BR742" s="171">
        <v>0</v>
      </c>
      <c r="BS742" s="171">
        <v>0</v>
      </c>
      <c r="BT742" s="171">
        <v>0</v>
      </c>
      <c r="BU742" s="171">
        <v>0</v>
      </c>
      <c r="BV742" s="171">
        <v>0</v>
      </c>
      <c r="BW742" s="171"/>
      <c r="BX742" s="144"/>
      <c r="BY742" s="144"/>
      <c r="BZ742" s="144"/>
      <c r="CA742" s="144"/>
      <c r="CB742" s="144"/>
      <c r="CC742" s="144"/>
      <c r="CD742" s="144"/>
      <c r="CE742" s="144"/>
      <c r="CF742" s="144"/>
      <c r="CG742" s="144"/>
      <c r="CH742" s="144"/>
      <c r="CI742" s="144"/>
      <c r="CJ742" s="144"/>
      <c r="CK742" s="144"/>
      <c r="CL742" s="144"/>
      <c r="CM742" s="144"/>
    </row>
    <row r="743" spans="11:91" ht="12" customHeight="1" x14ac:dyDescent="0.35">
      <c r="K743" s="28"/>
      <c r="L743" s="28"/>
      <c r="M743" s="28"/>
      <c r="N743" s="28"/>
      <c r="O743" s="28"/>
      <c r="P743" s="28"/>
      <c r="Q743" s="371" t="str">
        <f>Q742</f>
        <v>NPV</v>
      </c>
      <c r="R743" s="374">
        <f>NPV(0.3/12,U739:AB739)</f>
        <v>0</v>
      </c>
      <c r="S743" s="36"/>
      <c r="T743" s="366"/>
      <c r="U743" s="1189"/>
      <c r="V743" s="1189"/>
      <c r="W743" s="1190"/>
      <c r="X743" s="1191"/>
      <c r="Y743" s="1189"/>
      <c r="Z743" s="1189"/>
      <c r="AA743" s="1188"/>
      <c r="AB743" s="1188"/>
      <c r="AC743" s="1193"/>
      <c r="AD743" s="139"/>
      <c r="AE743" s="377">
        <f>AJ985</f>
        <v>0</v>
      </c>
      <c r="AF743" s="762">
        <f t="shared" ref="AF743:BK743" si="553">AF736</f>
        <v>0</v>
      </c>
      <c r="AG743" s="762">
        <f t="shared" si="553"/>
        <v>59</v>
      </c>
      <c r="AH743" s="762">
        <f t="shared" si="553"/>
        <v>91</v>
      </c>
      <c r="AI743" s="762">
        <f t="shared" si="553"/>
        <v>121</v>
      </c>
      <c r="AJ743" s="762">
        <f t="shared" si="553"/>
        <v>152</v>
      </c>
      <c r="AK743" s="762">
        <f t="shared" si="553"/>
        <v>182</v>
      </c>
      <c r="AL743" s="762">
        <f t="shared" si="553"/>
        <v>213</v>
      </c>
      <c r="AM743" s="762">
        <f t="shared" si="553"/>
        <v>244</v>
      </c>
      <c r="AN743" s="762">
        <f t="shared" si="553"/>
        <v>274</v>
      </c>
      <c r="AO743" s="762">
        <f t="shared" si="553"/>
        <v>305</v>
      </c>
      <c r="AP743" s="762">
        <f t="shared" si="553"/>
        <v>335</v>
      </c>
      <c r="AQ743" s="762">
        <f t="shared" si="553"/>
        <v>366</v>
      </c>
      <c r="AR743" s="762">
        <f t="shared" si="553"/>
        <v>397</v>
      </c>
      <c r="AS743" s="762">
        <f t="shared" si="553"/>
        <v>425</v>
      </c>
      <c r="AT743" s="762">
        <f t="shared" si="553"/>
        <v>456</v>
      </c>
      <c r="AU743" s="762">
        <f t="shared" si="553"/>
        <v>486</v>
      </c>
      <c r="AV743" s="762">
        <f t="shared" si="553"/>
        <v>517</v>
      </c>
      <c r="AW743" s="762">
        <f t="shared" si="553"/>
        <v>547</v>
      </c>
      <c r="AX743" s="762">
        <f t="shared" si="553"/>
        <v>578</v>
      </c>
      <c r="AY743" s="762">
        <f t="shared" si="553"/>
        <v>609</v>
      </c>
      <c r="AZ743" s="762">
        <f t="shared" si="553"/>
        <v>639</v>
      </c>
      <c r="BA743" s="762">
        <f t="shared" si="553"/>
        <v>670</v>
      </c>
      <c r="BB743" s="762">
        <f t="shared" si="553"/>
        <v>700</v>
      </c>
      <c r="BC743" s="762">
        <f t="shared" si="553"/>
        <v>731</v>
      </c>
      <c r="BD743" s="762">
        <f t="shared" si="553"/>
        <v>762</v>
      </c>
      <c r="BE743" s="762">
        <f t="shared" si="553"/>
        <v>790</v>
      </c>
      <c r="BF743" s="762">
        <f t="shared" si="553"/>
        <v>821</v>
      </c>
      <c r="BG743" s="762">
        <f t="shared" si="553"/>
        <v>851</v>
      </c>
      <c r="BH743" s="762">
        <f t="shared" si="553"/>
        <v>882</v>
      </c>
      <c r="BI743" s="762">
        <f t="shared" si="553"/>
        <v>912</v>
      </c>
      <c r="BJ743" s="762">
        <f t="shared" si="553"/>
        <v>943</v>
      </c>
      <c r="BK743" s="762">
        <f t="shared" si="553"/>
        <v>974</v>
      </c>
      <c r="BL743" s="762">
        <f t="shared" ref="BL743:CM743" si="554">BL736</f>
        <v>1004</v>
      </c>
      <c r="BM743" s="762">
        <f t="shared" si="554"/>
        <v>1035</v>
      </c>
      <c r="BN743" s="762">
        <f t="shared" si="554"/>
        <v>1065</v>
      </c>
      <c r="BO743" s="762">
        <f t="shared" si="554"/>
        <v>1096</v>
      </c>
      <c r="BP743" s="762">
        <f t="shared" si="554"/>
        <v>1127</v>
      </c>
      <c r="BQ743" s="762">
        <f t="shared" si="554"/>
        <v>1155</v>
      </c>
      <c r="BR743" s="762">
        <f t="shared" si="554"/>
        <v>1186</v>
      </c>
      <c r="BS743" s="762">
        <f t="shared" si="554"/>
        <v>1216</v>
      </c>
      <c r="BT743" s="762">
        <f t="shared" si="554"/>
        <v>1247</v>
      </c>
      <c r="BU743" s="762">
        <f t="shared" si="554"/>
        <v>1277</v>
      </c>
      <c r="BV743" s="762">
        <f t="shared" si="554"/>
        <v>1308</v>
      </c>
      <c r="BW743" s="762">
        <f t="shared" si="554"/>
        <v>1339</v>
      </c>
      <c r="BX743" s="762">
        <f t="shared" si="554"/>
        <v>1369</v>
      </c>
      <c r="BY743" s="762">
        <f t="shared" si="554"/>
        <v>1400</v>
      </c>
      <c r="BZ743" s="762">
        <f t="shared" si="554"/>
        <v>1430</v>
      </c>
      <c r="CA743" s="762">
        <f t="shared" si="554"/>
        <v>1461</v>
      </c>
      <c r="CB743" s="762">
        <f t="shared" si="554"/>
        <v>1492</v>
      </c>
      <c r="CC743" s="762">
        <f t="shared" si="554"/>
        <v>1521</v>
      </c>
      <c r="CD743" s="762">
        <f t="shared" si="554"/>
        <v>1552</v>
      </c>
      <c r="CE743" s="762">
        <f t="shared" si="554"/>
        <v>1582</v>
      </c>
      <c r="CF743" s="762">
        <f t="shared" si="554"/>
        <v>1613</v>
      </c>
      <c r="CG743" s="762">
        <f t="shared" si="554"/>
        <v>1643</v>
      </c>
      <c r="CH743" s="762">
        <f t="shared" si="554"/>
        <v>1674</v>
      </c>
      <c r="CI743" s="762">
        <f t="shared" si="554"/>
        <v>1705</v>
      </c>
      <c r="CJ743" s="762">
        <f t="shared" si="554"/>
        <v>1735</v>
      </c>
      <c r="CK743" s="762">
        <f t="shared" si="554"/>
        <v>1766</v>
      </c>
      <c r="CL743" s="762">
        <f t="shared" si="554"/>
        <v>1796</v>
      </c>
      <c r="CM743" s="762">
        <f t="shared" si="554"/>
        <v>1827</v>
      </c>
    </row>
    <row r="744" spans="11:91" ht="12" customHeight="1" x14ac:dyDescent="0.35">
      <c r="K744" s="28"/>
      <c r="L744" s="28"/>
      <c r="M744" s="28"/>
      <c r="N744" s="28"/>
      <c r="O744" s="28"/>
      <c r="P744" s="28"/>
      <c r="Q744" s="371" t="str">
        <f>Q743</f>
        <v>NPV</v>
      </c>
      <c r="R744" s="374">
        <f>NPV(0.3/12,W740:AB740)</f>
        <v>0</v>
      </c>
      <c r="S744" s="36"/>
      <c r="T744" s="366"/>
      <c r="U744" s="1189"/>
      <c r="V744" s="1189"/>
      <c r="W744" s="1190"/>
      <c r="X744" s="1191"/>
      <c r="Y744" s="1189"/>
      <c r="Z744" s="1189"/>
      <c r="AA744" s="1188"/>
      <c r="AB744" s="1188"/>
      <c r="AC744" s="1193"/>
      <c r="AD744" s="139"/>
      <c r="AE744" s="376" t="s">
        <v>491</v>
      </c>
      <c r="AF744" s="763">
        <f>IF(AF$736=Input!$E$298,Input!$E$297,0)</f>
        <v>0</v>
      </c>
      <c r="AG744" s="763">
        <f>IF(AG$736=Input!$E$298,Input!$E$297,0)</f>
        <v>0</v>
      </c>
      <c r="AH744" s="763">
        <f>IF(AH$736=Input!$E$298,Input!$E$297,0)</f>
        <v>0</v>
      </c>
      <c r="AI744" s="763">
        <f>IF(AI$736=Input!$E$298,Input!$E$297,0)</f>
        <v>0</v>
      </c>
      <c r="AJ744" s="763">
        <f>IF(AJ$736=Input!$E$298,Input!$E$297,0)</f>
        <v>0</v>
      </c>
      <c r="AK744" s="763">
        <f>IF(AK$736=Input!$E$298,Input!$E$297,0)</f>
        <v>0</v>
      </c>
      <c r="AL744" s="763">
        <f>IF(AL$736=Input!$E$298,Input!$E$297,0)</f>
        <v>0</v>
      </c>
      <c r="AM744" s="763">
        <f>IF(AM$736=Input!$E$298,Input!$E$297,0)</f>
        <v>0</v>
      </c>
      <c r="AN744" s="763">
        <f>IF(AN$736=Input!$E$298,Input!$E$297,0)</f>
        <v>0</v>
      </c>
      <c r="AO744" s="763">
        <f>IF(AO$736=Input!$E$298,Input!$E$297,0)</f>
        <v>0</v>
      </c>
      <c r="AP744" s="763">
        <f>IF(AP$736=Input!$E$298,Input!$E$297,0)</f>
        <v>0</v>
      </c>
      <c r="AQ744" s="763">
        <f>IF(AQ$736=Input!$E$298,Input!$E$297,0)</f>
        <v>0</v>
      </c>
      <c r="AR744" s="763">
        <f>IF(AR$736=Input!$E$298,Input!$E$297,0)</f>
        <v>0</v>
      </c>
      <c r="AS744" s="763">
        <f>IF(AS$736=Input!$E$298,Input!$E$297,0)</f>
        <v>0</v>
      </c>
      <c r="AT744" s="763">
        <f>IF(AT$736=Input!$E$298,Input!$E$297,0)</f>
        <v>0</v>
      </c>
      <c r="AU744" s="763">
        <f>IF(AU$736=Input!$E$298,Input!$E$297,0)</f>
        <v>0</v>
      </c>
      <c r="AV744" s="763">
        <f>IF(AV$736=Input!$E$298,Input!$E$297,0)</f>
        <v>0</v>
      </c>
      <c r="AW744" s="763">
        <f>IF(AW$736=Input!$E$298,Input!$E$297,0)</f>
        <v>0</v>
      </c>
      <c r="AX744" s="763">
        <f>IF(AX$736=Input!$E$298,Input!$E$297,0)</f>
        <v>0</v>
      </c>
      <c r="AY744" s="763">
        <f>IF(AY$736=Input!$E$298,Input!$E$297,0)</f>
        <v>0</v>
      </c>
      <c r="AZ744" s="763">
        <f>IF(AZ$736=Input!$E$298,Input!$E$297,0)</f>
        <v>0</v>
      </c>
      <c r="BA744" s="763">
        <f>IF(BA$736=Input!$E$298,Input!$E$297,0)</f>
        <v>0</v>
      </c>
      <c r="BB744" s="763">
        <f>IF(BB$736=Input!$E$298,Input!$E$297,0)</f>
        <v>0</v>
      </c>
      <c r="BC744" s="763">
        <f>IF(BC$736=Input!$E$298,Input!$E$297,0)</f>
        <v>0</v>
      </c>
      <c r="BD744" s="763">
        <f>IF(BD$736=Input!$E$298,Input!$E$297,0)</f>
        <v>0</v>
      </c>
      <c r="BE744" s="763">
        <f>IF(BE$736=Input!$E$298,Input!$E$297,0)</f>
        <v>0</v>
      </c>
      <c r="BF744" s="763">
        <f>IF(BF$736=Input!$E$298,Input!$E$297,0)</f>
        <v>0</v>
      </c>
      <c r="BG744" s="763">
        <f>IF(BG$736=Input!$E$298,Input!$E$297,0)</f>
        <v>0</v>
      </c>
      <c r="BH744" s="763">
        <f>IF(BH$736=Input!$E$298,Input!$E$297,0)</f>
        <v>0</v>
      </c>
      <c r="BI744" s="763">
        <f>IF(BI$736=Input!$E$298,Input!$E$297,0)</f>
        <v>0</v>
      </c>
      <c r="BJ744" s="763">
        <f>IF(BJ$736=Input!$E$298,Input!$E$297,0)</f>
        <v>0</v>
      </c>
      <c r="BK744" s="763">
        <f>IF(BK$736=Input!$E$298,Input!$E$297,0)</f>
        <v>0</v>
      </c>
      <c r="BL744" s="763">
        <f>IF(BL$736=Input!$E$298,Input!$E$297,0)</f>
        <v>0</v>
      </c>
      <c r="BM744" s="763">
        <f>IF(BM$736=Input!$E$298,Input!$E$297,0)</f>
        <v>0</v>
      </c>
      <c r="BN744" s="763">
        <f>IF(BN$736=Input!$E$298,Input!$E$297,0)</f>
        <v>0</v>
      </c>
      <c r="BO744" s="763">
        <f>IF(BO$736=Input!$E$298,Input!$E$297,0)</f>
        <v>0</v>
      </c>
      <c r="BP744" s="763">
        <f>IF(BP$736=Input!$E$298,Input!$E$297,0)</f>
        <v>0</v>
      </c>
      <c r="BQ744" s="763">
        <f>IF(BQ$736=Input!$E$298,Input!$E$297,0)</f>
        <v>0</v>
      </c>
      <c r="BR744" s="763">
        <f>IF(BR$736=Input!$E$298,Input!$E$297,0)</f>
        <v>0</v>
      </c>
      <c r="BS744" s="763">
        <f>IF(BS$736=Input!$E$298,Input!$E$297,0)</f>
        <v>0</v>
      </c>
      <c r="BT744" s="763">
        <f>IF(BT$736=Input!$E$298,Input!$E$297,0)</f>
        <v>0</v>
      </c>
      <c r="BU744" s="763">
        <f>IF(BU$736=Input!$E$298,Input!$E$297,0)</f>
        <v>0</v>
      </c>
      <c r="BV744" s="763">
        <f>IF(BV$736=Input!$E$298,Input!$E$297,0)</f>
        <v>0</v>
      </c>
      <c r="BW744" s="763">
        <f>IF(BW$736=Input!$E$298,Input!$E$297,0)</f>
        <v>0</v>
      </c>
      <c r="BX744" s="763">
        <f>IF(BX$736=Input!$E$298,Input!$E$297,0)</f>
        <v>0</v>
      </c>
      <c r="BY744" s="763">
        <f>IF(BY$736=Input!$E$298,Input!$E$297,0)</f>
        <v>0</v>
      </c>
      <c r="BZ744" s="763">
        <f>IF(BZ$736=Input!$E$298,Input!$E$297,0)</f>
        <v>0</v>
      </c>
      <c r="CA744" s="763">
        <f>IF(CA$736=Input!$E$298,Input!$E$297,0)</f>
        <v>0</v>
      </c>
      <c r="CB744" s="763">
        <f>IF(CB$736=Input!$E$298,Input!$E$297,0)</f>
        <v>0</v>
      </c>
      <c r="CC744" s="763">
        <f>IF(CC$736=Input!$E$298,Input!$E$297,0)</f>
        <v>0</v>
      </c>
      <c r="CD744" s="763">
        <f>IF(CD$736=Input!$E$298,Input!$E$297,0)</f>
        <v>0</v>
      </c>
      <c r="CE744" s="763">
        <f>IF(CE$736=Input!$E$298,Input!$E$297,0)</f>
        <v>0</v>
      </c>
      <c r="CF744" s="763">
        <f>IF(CF$736=Input!$E$298,Input!$E$297,0)</f>
        <v>0</v>
      </c>
      <c r="CG744" s="763">
        <f>IF(CG$736=Input!$E$298,Input!$E$297,0)</f>
        <v>0</v>
      </c>
      <c r="CH744" s="763">
        <f>IF(CH$736=Input!$E$298,Input!$E$297,0)</f>
        <v>0</v>
      </c>
      <c r="CI744" s="763">
        <f>IF(CI$736=Input!$E$298,Input!$E$297,0)</f>
        <v>0</v>
      </c>
      <c r="CJ744" s="763">
        <f>IF(CJ$736=Input!$E$298,Input!$E$297,0)</f>
        <v>0</v>
      </c>
      <c r="CK744" s="763">
        <f>IF(CK$736=Input!$E$298,Input!$E$297,0)</f>
        <v>0</v>
      </c>
      <c r="CL744" s="763">
        <f>IF(CL$736=Input!$E$298,Input!$E$297,0)</f>
        <v>0</v>
      </c>
      <c r="CM744" s="763">
        <f>IF(CM$736=Input!$E$298,Input!$E$297,0)</f>
        <v>0</v>
      </c>
    </row>
    <row r="745" spans="11:91" ht="12" customHeight="1" x14ac:dyDescent="0.35">
      <c r="K745" s="28"/>
      <c r="L745" s="28"/>
      <c r="M745" s="28"/>
      <c r="N745" s="28"/>
      <c r="O745" s="28"/>
      <c r="P745" s="28"/>
      <c r="Q745" s="28"/>
      <c r="R745" s="371"/>
      <c r="S745" s="36"/>
      <c r="T745" s="366"/>
      <c r="U745" s="1189"/>
      <c r="V745" s="1189"/>
      <c r="W745" s="1190"/>
      <c r="X745" s="1191"/>
      <c r="Y745" s="1189"/>
      <c r="Z745" s="1189"/>
      <c r="AA745" s="1188"/>
      <c r="AB745" s="1188"/>
      <c r="AC745" s="1193"/>
      <c r="AD745" s="139"/>
      <c r="AE745" s="376" t="s">
        <v>188</v>
      </c>
      <c r="AF745" s="763">
        <f t="array" ref="AF745:CM745">TRANSPOSE(O1198:O1257)</f>
        <v>0</v>
      </c>
      <c r="AG745" s="763">
        <v>0</v>
      </c>
      <c r="AH745" s="763">
        <v>0</v>
      </c>
      <c r="AI745" s="763">
        <v>0</v>
      </c>
      <c r="AJ745" s="763">
        <v>0</v>
      </c>
      <c r="AK745" s="763">
        <v>0</v>
      </c>
      <c r="AL745" s="763">
        <v>0</v>
      </c>
      <c r="AM745" s="763">
        <v>0</v>
      </c>
      <c r="AN745" s="763">
        <v>0</v>
      </c>
      <c r="AO745" s="763">
        <v>0</v>
      </c>
      <c r="AP745" s="763">
        <v>0</v>
      </c>
      <c r="AQ745" s="763">
        <v>0</v>
      </c>
      <c r="AR745" s="763">
        <v>0</v>
      </c>
      <c r="AS745" s="763">
        <v>0</v>
      </c>
      <c r="AT745" s="763">
        <v>0</v>
      </c>
      <c r="AU745" s="763">
        <v>0</v>
      </c>
      <c r="AV745" s="763">
        <v>0</v>
      </c>
      <c r="AW745" s="763">
        <v>0</v>
      </c>
      <c r="AX745" s="763">
        <v>0</v>
      </c>
      <c r="AY745" s="763">
        <v>0</v>
      </c>
      <c r="AZ745" s="763">
        <v>0</v>
      </c>
      <c r="BA745" s="763">
        <v>0</v>
      </c>
      <c r="BB745" s="763">
        <v>0</v>
      </c>
      <c r="BC745" s="763">
        <v>0</v>
      </c>
      <c r="BD745" s="763">
        <v>0</v>
      </c>
      <c r="BE745" s="763">
        <v>0</v>
      </c>
      <c r="BF745" s="763">
        <v>0</v>
      </c>
      <c r="BG745" s="763">
        <v>0</v>
      </c>
      <c r="BH745" s="763">
        <v>0</v>
      </c>
      <c r="BI745" s="763">
        <v>0</v>
      </c>
      <c r="BJ745" s="763">
        <v>0</v>
      </c>
      <c r="BK745" s="763">
        <v>0</v>
      </c>
      <c r="BL745" s="763">
        <v>0</v>
      </c>
      <c r="BM745" s="763">
        <v>0</v>
      </c>
      <c r="BN745" s="763">
        <v>0</v>
      </c>
      <c r="BO745" s="763">
        <v>0</v>
      </c>
      <c r="BP745" s="763">
        <v>0</v>
      </c>
      <c r="BQ745" s="763">
        <v>0</v>
      </c>
      <c r="BR745" s="763">
        <v>0</v>
      </c>
      <c r="BS745" s="763">
        <v>0</v>
      </c>
      <c r="BT745" s="763">
        <v>0</v>
      </c>
      <c r="BU745" s="763">
        <v>0</v>
      </c>
      <c r="BV745" s="763">
        <v>0</v>
      </c>
      <c r="BW745" s="763">
        <v>0</v>
      </c>
      <c r="BX745" s="763">
        <v>0</v>
      </c>
      <c r="BY745" s="763">
        <v>0</v>
      </c>
      <c r="BZ745" s="763">
        <v>0</v>
      </c>
      <c r="CA745" s="763">
        <v>0</v>
      </c>
      <c r="CB745" s="763">
        <v>0</v>
      </c>
      <c r="CC745" s="763">
        <v>0</v>
      </c>
      <c r="CD745" s="763">
        <v>0</v>
      </c>
      <c r="CE745" s="763">
        <v>0</v>
      </c>
      <c r="CF745" s="763">
        <v>0</v>
      </c>
      <c r="CG745" s="763">
        <v>0</v>
      </c>
      <c r="CH745" s="763">
        <v>0</v>
      </c>
      <c r="CI745" s="763">
        <v>0</v>
      </c>
      <c r="CJ745" s="763">
        <v>0</v>
      </c>
      <c r="CK745" s="763">
        <v>0</v>
      </c>
      <c r="CL745" s="763">
        <v>0</v>
      </c>
      <c r="CM745" s="763">
        <v>0</v>
      </c>
    </row>
    <row r="746" spans="11:91" ht="12" customHeight="1" x14ac:dyDescent="0.35">
      <c r="K746" s="28"/>
      <c r="L746" s="28"/>
      <c r="M746" s="28"/>
      <c r="N746" s="28"/>
      <c r="O746" s="28"/>
      <c r="P746" s="28"/>
      <c r="Q746" s="371" t="s">
        <v>497</v>
      </c>
      <c r="R746" s="375" t="e">
        <f>IRR(T738:AB738)</f>
        <v>#NUM!</v>
      </c>
      <c r="S746" s="36"/>
      <c r="T746" s="366"/>
      <c r="U746" s="1189"/>
      <c r="V746" s="1189"/>
      <c r="W746" s="1190"/>
      <c r="X746" s="1191"/>
      <c r="Y746" s="1189"/>
      <c r="Z746" s="1189"/>
      <c r="AA746" s="1188"/>
      <c r="AB746" s="1188"/>
      <c r="AC746" s="1193"/>
      <c r="AD746" s="139"/>
      <c r="AE746" s="376" t="s">
        <v>493</v>
      </c>
      <c r="AF746" s="763">
        <f t="array" ref="AF746:CM746">TRANSPOSE(P1198:P1257)</f>
        <v>0</v>
      </c>
      <c r="AG746" s="763">
        <v>0</v>
      </c>
      <c r="AH746" s="763">
        <v>0</v>
      </c>
      <c r="AI746" s="763">
        <v>0</v>
      </c>
      <c r="AJ746" s="763">
        <v>0</v>
      </c>
      <c r="AK746" s="763">
        <v>0</v>
      </c>
      <c r="AL746" s="763">
        <v>0</v>
      </c>
      <c r="AM746" s="763">
        <v>0</v>
      </c>
      <c r="AN746" s="763">
        <v>0</v>
      </c>
      <c r="AO746" s="763">
        <v>0</v>
      </c>
      <c r="AP746" s="763">
        <v>0</v>
      </c>
      <c r="AQ746" s="763">
        <v>0</v>
      </c>
      <c r="AR746" s="763">
        <v>0</v>
      </c>
      <c r="AS746" s="763">
        <v>0</v>
      </c>
      <c r="AT746" s="763">
        <v>0</v>
      </c>
      <c r="AU746" s="763">
        <v>0</v>
      </c>
      <c r="AV746" s="763">
        <v>0</v>
      </c>
      <c r="AW746" s="763">
        <v>0</v>
      </c>
      <c r="AX746" s="763">
        <v>0</v>
      </c>
      <c r="AY746" s="763">
        <v>0</v>
      </c>
      <c r="AZ746" s="763">
        <v>0</v>
      </c>
      <c r="BA746" s="763">
        <v>0</v>
      </c>
      <c r="BB746" s="763">
        <v>0</v>
      </c>
      <c r="BC746" s="763">
        <v>0</v>
      </c>
      <c r="BD746" s="763">
        <v>0</v>
      </c>
      <c r="BE746" s="763">
        <v>0</v>
      </c>
      <c r="BF746" s="763">
        <v>0</v>
      </c>
      <c r="BG746" s="763">
        <v>0</v>
      </c>
      <c r="BH746" s="763">
        <v>0</v>
      </c>
      <c r="BI746" s="763">
        <v>0</v>
      </c>
      <c r="BJ746" s="763">
        <v>0</v>
      </c>
      <c r="BK746" s="763">
        <v>0</v>
      </c>
      <c r="BL746" s="763">
        <v>0</v>
      </c>
      <c r="BM746" s="763">
        <v>0</v>
      </c>
      <c r="BN746" s="763">
        <v>0</v>
      </c>
      <c r="BO746" s="763">
        <v>0</v>
      </c>
      <c r="BP746" s="763">
        <v>0</v>
      </c>
      <c r="BQ746" s="763">
        <v>0</v>
      </c>
      <c r="BR746" s="763">
        <v>0</v>
      </c>
      <c r="BS746" s="763">
        <v>0</v>
      </c>
      <c r="BT746" s="763">
        <v>0</v>
      </c>
      <c r="BU746" s="763">
        <v>0</v>
      </c>
      <c r="BV746" s="763">
        <v>0</v>
      </c>
      <c r="BW746" s="763">
        <v>0</v>
      </c>
      <c r="BX746" s="763">
        <v>0</v>
      </c>
      <c r="BY746" s="763">
        <v>0</v>
      </c>
      <c r="BZ746" s="763">
        <v>0</v>
      </c>
      <c r="CA746" s="763">
        <v>0</v>
      </c>
      <c r="CB746" s="763">
        <v>0</v>
      </c>
      <c r="CC746" s="763">
        <v>0</v>
      </c>
      <c r="CD746" s="763">
        <v>0</v>
      </c>
      <c r="CE746" s="763">
        <v>0</v>
      </c>
      <c r="CF746" s="763">
        <v>0</v>
      </c>
      <c r="CG746" s="763">
        <v>0</v>
      </c>
      <c r="CH746" s="763">
        <v>0</v>
      </c>
      <c r="CI746" s="763">
        <v>0</v>
      </c>
      <c r="CJ746" s="763">
        <v>0</v>
      </c>
      <c r="CK746" s="763">
        <v>0</v>
      </c>
      <c r="CL746" s="763">
        <v>0</v>
      </c>
      <c r="CM746" s="763">
        <v>0</v>
      </c>
    </row>
    <row r="747" spans="11:91" ht="12" customHeight="1" x14ac:dyDescent="0.35">
      <c r="K747" s="28"/>
      <c r="L747" s="28"/>
      <c r="M747" s="28"/>
      <c r="N747" s="28"/>
      <c r="O747" s="28"/>
      <c r="P747" s="28"/>
      <c r="Q747" s="371" t="str">
        <f>Q746</f>
        <v>IRR</v>
      </c>
      <c r="R747" s="375" t="e">
        <f>IRR(U739:AB739)</f>
        <v>#NUM!</v>
      </c>
      <c r="S747" s="36"/>
      <c r="T747" s="366"/>
      <c r="U747" s="1189"/>
      <c r="V747" s="1189"/>
      <c r="W747" s="1190"/>
      <c r="X747" s="1191"/>
      <c r="Y747" s="1189"/>
      <c r="Z747" s="1189"/>
      <c r="AA747" s="1188"/>
      <c r="AB747" s="1188"/>
      <c r="AC747" s="1193"/>
      <c r="AD747" s="139"/>
      <c r="AE747" s="376" t="s">
        <v>494</v>
      </c>
      <c r="AF747" s="763">
        <f t="array" ref="AF747:CM747">TRANSPOSE(Q1198:Q1257)</f>
        <v>0</v>
      </c>
      <c r="AG747" s="763">
        <v>0</v>
      </c>
      <c r="AH747" s="763">
        <v>0</v>
      </c>
      <c r="AI747" s="763">
        <v>0</v>
      </c>
      <c r="AJ747" s="763">
        <v>0</v>
      </c>
      <c r="AK747" s="763">
        <v>0</v>
      </c>
      <c r="AL747" s="763">
        <v>0</v>
      </c>
      <c r="AM747" s="763">
        <v>0</v>
      </c>
      <c r="AN747" s="763">
        <v>0</v>
      </c>
      <c r="AO747" s="763">
        <v>0</v>
      </c>
      <c r="AP747" s="763">
        <v>0</v>
      </c>
      <c r="AQ747" s="763">
        <v>0</v>
      </c>
      <c r="AR747" s="763">
        <v>0</v>
      </c>
      <c r="AS747" s="763">
        <v>0</v>
      </c>
      <c r="AT747" s="763">
        <v>0</v>
      </c>
      <c r="AU747" s="763">
        <v>0</v>
      </c>
      <c r="AV747" s="763">
        <v>0</v>
      </c>
      <c r="AW747" s="763">
        <v>0</v>
      </c>
      <c r="AX747" s="763">
        <v>0</v>
      </c>
      <c r="AY747" s="763">
        <v>0</v>
      </c>
      <c r="AZ747" s="763">
        <v>0</v>
      </c>
      <c r="BA747" s="763">
        <v>0</v>
      </c>
      <c r="BB747" s="763">
        <v>0</v>
      </c>
      <c r="BC747" s="763">
        <v>0</v>
      </c>
      <c r="BD747" s="763">
        <v>0</v>
      </c>
      <c r="BE747" s="763">
        <v>0</v>
      </c>
      <c r="BF747" s="763">
        <v>0</v>
      </c>
      <c r="BG747" s="763">
        <v>0</v>
      </c>
      <c r="BH747" s="763">
        <v>0</v>
      </c>
      <c r="BI747" s="763">
        <v>0</v>
      </c>
      <c r="BJ747" s="763">
        <v>0</v>
      </c>
      <c r="BK747" s="763">
        <v>0</v>
      </c>
      <c r="BL747" s="763">
        <v>0</v>
      </c>
      <c r="BM747" s="763">
        <v>0</v>
      </c>
      <c r="BN747" s="763">
        <v>0</v>
      </c>
      <c r="BO747" s="763">
        <v>0</v>
      </c>
      <c r="BP747" s="763">
        <v>0</v>
      </c>
      <c r="BQ747" s="763">
        <v>0</v>
      </c>
      <c r="BR747" s="763">
        <v>0</v>
      </c>
      <c r="BS747" s="763">
        <v>0</v>
      </c>
      <c r="BT747" s="763">
        <v>0</v>
      </c>
      <c r="BU747" s="763">
        <v>0</v>
      </c>
      <c r="BV747" s="763">
        <v>0</v>
      </c>
      <c r="BW747" s="763">
        <v>0</v>
      </c>
      <c r="BX747" s="763">
        <v>0</v>
      </c>
      <c r="BY747" s="763">
        <v>0</v>
      </c>
      <c r="BZ747" s="763">
        <v>0</v>
      </c>
      <c r="CA747" s="763">
        <v>0</v>
      </c>
      <c r="CB747" s="763">
        <v>0</v>
      </c>
      <c r="CC747" s="763">
        <v>0</v>
      </c>
      <c r="CD747" s="763">
        <v>0</v>
      </c>
      <c r="CE747" s="763">
        <v>0</v>
      </c>
      <c r="CF747" s="763">
        <v>0</v>
      </c>
      <c r="CG747" s="763">
        <v>0</v>
      </c>
      <c r="CH747" s="763">
        <v>0</v>
      </c>
      <c r="CI747" s="763">
        <v>0</v>
      </c>
      <c r="CJ747" s="763">
        <v>0</v>
      </c>
      <c r="CK747" s="763">
        <v>0</v>
      </c>
      <c r="CL747" s="763">
        <v>0</v>
      </c>
      <c r="CM747" s="763">
        <v>0</v>
      </c>
    </row>
    <row r="748" spans="11:91" ht="12" customHeight="1" x14ac:dyDescent="0.35">
      <c r="K748" s="28"/>
      <c r="L748" s="28"/>
      <c r="M748" s="28"/>
      <c r="N748" s="28"/>
      <c r="O748" s="28"/>
      <c r="P748" s="28"/>
      <c r="Q748" s="371" t="str">
        <f>Q747</f>
        <v>IRR</v>
      </c>
      <c r="R748" s="375" t="e">
        <f>IRR(W740:AB740)</f>
        <v>#NUM!</v>
      </c>
      <c r="S748" s="36"/>
      <c r="T748" s="366"/>
      <c r="U748" s="1189"/>
      <c r="V748" s="1189"/>
      <c r="W748" s="1190"/>
      <c r="X748" s="1191"/>
      <c r="Y748" s="1189"/>
      <c r="Z748" s="1189"/>
      <c r="AA748" s="1188"/>
      <c r="AB748" s="1188"/>
      <c r="AC748" s="1193"/>
      <c r="AD748" s="139"/>
      <c r="AE748" s="376" t="s">
        <v>9</v>
      </c>
      <c r="AF748" s="763">
        <f t="shared" ref="AF748:BK748" si="555">AF744-AF746</f>
        <v>0</v>
      </c>
      <c r="AG748" s="763">
        <f t="shared" si="555"/>
        <v>0</v>
      </c>
      <c r="AH748" s="763">
        <f t="shared" si="555"/>
        <v>0</v>
      </c>
      <c r="AI748" s="763">
        <f t="shared" si="555"/>
        <v>0</v>
      </c>
      <c r="AJ748" s="763">
        <f t="shared" si="555"/>
        <v>0</v>
      </c>
      <c r="AK748" s="763">
        <f t="shared" si="555"/>
        <v>0</v>
      </c>
      <c r="AL748" s="763">
        <f t="shared" si="555"/>
        <v>0</v>
      </c>
      <c r="AM748" s="763">
        <f t="shared" si="555"/>
        <v>0</v>
      </c>
      <c r="AN748" s="763">
        <f t="shared" si="555"/>
        <v>0</v>
      </c>
      <c r="AO748" s="763">
        <f t="shared" si="555"/>
        <v>0</v>
      </c>
      <c r="AP748" s="763">
        <f t="shared" si="555"/>
        <v>0</v>
      </c>
      <c r="AQ748" s="763">
        <f t="shared" si="555"/>
        <v>0</v>
      </c>
      <c r="AR748" s="763">
        <f t="shared" si="555"/>
        <v>0</v>
      </c>
      <c r="AS748" s="763">
        <f t="shared" si="555"/>
        <v>0</v>
      </c>
      <c r="AT748" s="763">
        <f t="shared" si="555"/>
        <v>0</v>
      </c>
      <c r="AU748" s="763">
        <f t="shared" si="555"/>
        <v>0</v>
      </c>
      <c r="AV748" s="763">
        <f t="shared" si="555"/>
        <v>0</v>
      </c>
      <c r="AW748" s="763">
        <f t="shared" si="555"/>
        <v>0</v>
      </c>
      <c r="AX748" s="763">
        <f t="shared" si="555"/>
        <v>0</v>
      </c>
      <c r="AY748" s="763">
        <f t="shared" si="555"/>
        <v>0</v>
      </c>
      <c r="AZ748" s="763">
        <f t="shared" si="555"/>
        <v>0</v>
      </c>
      <c r="BA748" s="763">
        <f t="shared" si="555"/>
        <v>0</v>
      </c>
      <c r="BB748" s="763">
        <f t="shared" si="555"/>
        <v>0</v>
      </c>
      <c r="BC748" s="763">
        <f t="shared" si="555"/>
        <v>0</v>
      </c>
      <c r="BD748" s="763">
        <f t="shared" si="555"/>
        <v>0</v>
      </c>
      <c r="BE748" s="763">
        <f t="shared" si="555"/>
        <v>0</v>
      </c>
      <c r="BF748" s="763">
        <f t="shared" si="555"/>
        <v>0</v>
      </c>
      <c r="BG748" s="763">
        <f t="shared" si="555"/>
        <v>0</v>
      </c>
      <c r="BH748" s="763">
        <f t="shared" si="555"/>
        <v>0</v>
      </c>
      <c r="BI748" s="763">
        <f t="shared" si="555"/>
        <v>0</v>
      </c>
      <c r="BJ748" s="763">
        <f t="shared" si="555"/>
        <v>0</v>
      </c>
      <c r="BK748" s="763">
        <f t="shared" si="555"/>
        <v>0</v>
      </c>
      <c r="BL748" s="763">
        <f t="shared" ref="BL748:CM748" si="556">BL744-BL746</f>
        <v>0</v>
      </c>
      <c r="BM748" s="763">
        <f t="shared" si="556"/>
        <v>0</v>
      </c>
      <c r="BN748" s="763">
        <f t="shared" si="556"/>
        <v>0</v>
      </c>
      <c r="BO748" s="763">
        <f t="shared" si="556"/>
        <v>0</v>
      </c>
      <c r="BP748" s="763">
        <f t="shared" si="556"/>
        <v>0</v>
      </c>
      <c r="BQ748" s="763">
        <f t="shared" si="556"/>
        <v>0</v>
      </c>
      <c r="BR748" s="763">
        <f t="shared" si="556"/>
        <v>0</v>
      </c>
      <c r="BS748" s="763">
        <f t="shared" si="556"/>
        <v>0</v>
      </c>
      <c r="BT748" s="763">
        <f t="shared" si="556"/>
        <v>0</v>
      </c>
      <c r="BU748" s="763">
        <f t="shared" si="556"/>
        <v>0</v>
      </c>
      <c r="BV748" s="763">
        <f t="shared" si="556"/>
        <v>0</v>
      </c>
      <c r="BW748" s="763">
        <f t="shared" si="556"/>
        <v>0</v>
      </c>
      <c r="BX748" s="763">
        <f t="shared" si="556"/>
        <v>0</v>
      </c>
      <c r="BY748" s="763">
        <f t="shared" si="556"/>
        <v>0</v>
      </c>
      <c r="BZ748" s="763">
        <f t="shared" si="556"/>
        <v>0</v>
      </c>
      <c r="CA748" s="763">
        <f t="shared" si="556"/>
        <v>0</v>
      </c>
      <c r="CB748" s="763">
        <f t="shared" si="556"/>
        <v>0</v>
      </c>
      <c r="CC748" s="763">
        <f t="shared" si="556"/>
        <v>0</v>
      </c>
      <c r="CD748" s="763">
        <f t="shared" si="556"/>
        <v>0</v>
      </c>
      <c r="CE748" s="763">
        <f t="shared" si="556"/>
        <v>0</v>
      </c>
      <c r="CF748" s="763">
        <f t="shared" si="556"/>
        <v>0</v>
      </c>
      <c r="CG748" s="763">
        <f t="shared" si="556"/>
        <v>0</v>
      </c>
      <c r="CH748" s="763">
        <f t="shared" si="556"/>
        <v>0</v>
      </c>
      <c r="CI748" s="763">
        <f t="shared" si="556"/>
        <v>0</v>
      </c>
      <c r="CJ748" s="763">
        <f t="shared" si="556"/>
        <v>0</v>
      </c>
      <c r="CK748" s="763">
        <f t="shared" si="556"/>
        <v>0</v>
      </c>
      <c r="CL748" s="763">
        <f t="shared" si="556"/>
        <v>0</v>
      </c>
      <c r="CM748" s="763">
        <f t="shared" si="556"/>
        <v>0</v>
      </c>
    </row>
    <row r="749" spans="11:91" ht="12" customHeight="1" x14ac:dyDescent="0.35">
      <c r="K749" s="28"/>
      <c r="L749" s="28"/>
      <c r="M749" s="28"/>
      <c r="N749" s="28"/>
      <c r="O749" s="28"/>
      <c r="P749" s="28"/>
      <c r="Q749" s="371"/>
      <c r="R749" s="371"/>
      <c r="S749" s="36"/>
      <c r="T749" s="366"/>
      <c r="U749" s="1189"/>
      <c r="V749" s="1189"/>
      <c r="W749" s="1190"/>
      <c r="X749" s="1191"/>
      <c r="Y749" s="1189"/>
      <c r="Z749" s="1189"/>
      <c r="AA749" s="1188"/>
      <c r="AB749" s="1188"/>
      <c r="AC749" s="1188"/>
      <c r="AD749" s="139"/>
      <c r="AE749" s="139"/>
      <c r="AF749" s="144"/>
      <c r="AG749" s="144"/>
      <c r="AH749" s="144"/>
      <c r="AI749" s="144"/>
      <c r="AJ749" s="144"/>
      <c r="AK749" s="144"/>
      <c r="AL749" s="144"/>
      <c r="AM749" s="144"/>
      <c r="AN749" s="144"/>
      <c r="AO749" s="144"/>
      <c r="AP749" s="144"/>
      <c r="AQ749" s="144"/>
      <c r="AR749" s="144"/>
      <c r="AS749" s="144"/>
      <c r="AT749" s="144"/>
      <c r="AU749" s="144"/>
      <c r="AV749" s="144"/>
      <c r="AW749" s="144"/>
      <c r="AX749" s="144"/>
      <c r="AY749" s="144"/>
      <c r="AZ749" s="144"/>
      <c r="BA749" s="144"/>
      <c r="BB749" s="144"/>
      <c r="BC749" s="144"/>
      <c r="BD749" s="144"/>
      <c r="BE749" s="144"/>
      <c r="BF749" s="144"/>
      <c r="BG749" s="144"/>
      <c r="BH749" s="144"/>
      <c r="BI749" s="144"/>
      <c r="BJ749" s="144"/>
      <c r="BK749" s="144"/>
      <c r="BL749" s="144"/>
      <c r="BM749" s="144"/>
      <c r="BN749" s="144"/>
      <c r="BO749" s="144"/>
      <c r="BP749" s="144"/>
      <c r="BQ749" s="144"/>
      <c r="BR749" s="144"/>
      <c r="BS749" s="144"/>
      <c r="BT749" s="144"/>
      <c r="BU749" s="144"/>
      <c r="BV749" s="144"/>
      <c r="BW749" s="144"/>
      <c r="BX749" s="144"/>
      <c r="BY749" s="144"/>
      <c r="BZ749" s="144"/>
      <c r="CA749" s="144"/>
      <c r="CB749" s="144"/>
      <c r="CC749" s="144"/>
      <c r="CD749" s="144"/>
      <c r="CE749" s="144"/>
      <c r="CF749" s="144"/>
      <c r="CG749" s="144"/>
      <c r="CH749" s="144"/>
      <c r="CI749" s="144"/>
      <c r="CJ749" s="144"/>
      <c r="CK749" s="144"/>
      <c r="CL749" s="144"/>
      <c r="CM749" s="144"/>
    </row>
    <row r="750" spans="11:91" ht="12" customHeight="1" x14ac:dyDescent="0.35">
      <c r="K750" s="28"/>
      <c r="L750" s="28"/>
      <c r="M750" s="28"/>
      <c r="N750" s="28"/>
      <c r="O750" s="28"/>
      <c r="P750" s="28" t="str" cm="1">
        <f t="array" ref="P750:P752">_xlfn.UNIQUE(Q738:Q741)</f>
        <v>Bill</v>
      </c>
      <c r="Q750" s="371" t="str" cm="1">
        <f t="array" ref="Q750:Q752">_xlfn.UNIQUE(Q738:Q741)</f>
        <v>Bill</v>
      </c>
      <c r="R750" s="368">
        <f>SUMIF($Q$738:$Q$740,$Q750,R$738:R$740)</f>
        <v>0</v>
      </c>
      <c r="S750" s="368">
        <f t="shared" ref="S750:AB752" si="557">SUMIF($Q$738:$Q$740,$Q750,S$738:S$740)</f>
        <v>0</v>
      </c>
      <c r="T750" s="368">
        <f t="shared" si="557"/>
        <v>0</v>
      </c>
      <c r="U750" s="368">
        <f t="shared" si="557"/>
        <v>0</v>
      </c>
      <c r="V750" s="368">
        <f t="shared" si="557"/>
        <v>0</v>
      </c>
      <c r="W750" s="368">
        <f t="shared" si="557"/>
        <v>0</v>
      </c>
      <c r="X750" s="368">
        <f t="shared" si="557"/>
        <v>0</v>
      </c>
      <c r="Y750" s="368">
        <f t="shared" si="557"/>
        <v>0</v>
      </c>
      <c r="Z750" s="368">
        <f t="shared" si="557"/>
        <v>0</v>
      </c>
      <c r="AA750" s="368">
        <f t="shared" si="557"/>
        <v>0</v>
      </c>
      <c r="AB750" s="368">
        <f t="shared" si="557"/>
        <v>0</v>
      </c>
      <c r="AC750" s="1188"/>
      <c r="AD750" s="139"/>
      <c r="AE750" s="377">
        <f>N1269</f>
        <v>0</v>
      </c>
      <c r="AF750" s="762">
        <f t="shared" ref="AF750:BK750" si="558">AF743</f>
        <v>0</v>
      </c>
      <c r="AG750" s="762">
        <f t="shared" si="558"/>
        <v>59</v>
      </c>
      <c r="AH750" s="762">
        <f t="shared" si="558"/>
        <v>91</v>
      </c>
      <c r="AI750" s="762">
        <f t="shared" si="558"/>
        <v>121</v>
      </c>
      <c r="AJ750" s="762">
        <f t="shared" si="558"/>
        <v>152</v>
      </c>
      <c r="AK750" s="762">
        <f t="shared" si="558"/>
        <v>182</v>
      </c>
      <c r="AL750" s="762">
        <f t="shared" si="558"/>
        <v>213</v>
      </c>
      <c r="AM750" s="762">
        <f t="shared" si="558"/>
        <v>244</v>
      </c>
      <c r="AN750" s="762">
        <f t="shared" si="558"/>
        <v>274</v>
      </c>
      <c r="AO750" s="762">
        <f t="shared" si="558"/>
        <v>305</v>
      </c>
      <c r="AP750" s="762">
        <f t="shared" si="558"/>
        <v>335</v>
      </c>
      <c r="AQ750" s="762">
        <f t="shared" si="558"/>
        <v>366</v>
      </c>
      <c r="AR750" s="762">
        <f t="shared" si="558"/>
        <v>397</v>
      </c>
      <c r="AS750" s="762">
        <f t="shared" si="558"/>
        <v>425</v>
      </c>
      <c r="AT750" s="762">
        <f t="shared" si="558"/>
        <v>456</v>
      </c>
      <c r="AU750" s="762">
        <f t="shared" si="558"/>
        <v>486</v>
      </c>
      <c r="AV750" s="762">
        <f t="shared" si="558"/>
        <v>517</v>
      </c>
      <c r="AW750" s="762">
        <f t="shared" si="558"/>
        <v>547</v>
      </c>
      <c r="AX750" s="762">
        <f t="shared" si="558"/>
        <v>578</v>
      </c>
      <c r="AY750" s="762">
        <f t="shared" si="558"/>
        <v>609</v>
      </c>
      <c r="AZ750" s="762">
        <f t="shared" si="558"/>
        <v>639</v>
      </c>
      <c r="BA750" s="762">
        <f t="shared" si="558"/>
        <v>670</v>
      </c>
      <c r="BB750" s="762">
        <f t="shared" si="558"/>
        <v>700</v>
      </c>
      <c r="BC750" s="762">
        <f t="shared" si="558"/>
        <v>731</v>
      </c>
      <c r="BD750" s="762">
        <f t="shared" si="558"/>
        <v>762</v>
      </c>
      <c r="BE750" s="762">
        <f t="shared" si="558"/>
        <v>790</v>
      </c>
      <c r="BF750" s="762">
        <f t="shared" si="558"/>
        <v>821</v>
      </c>
      <c r="BG750" s="762">
        <f t="shared" si="558"/>
        <v>851</v>
      </c>
      <c r="BH750" s="762">
        <f t="shared" si="558"/>
        <v>882</v>
      </c>
      <c r="BI750" s="762">
        <f t="shared" si="558"/>
        <v>912</v>
      </c>
      <c r="BJ750" s="762">
        <f t="shared" si="558"/>
        <v>943</v>
      </c>
      <c r="BK750" s="762">
        <f t="shared" si="558"/>
        <v>974</v>
      </c>
      <c r="BL750" s="762">
        <f t="shared" ref="BL750:CM750" si="559">BL743</f>
        <v>1004</v>
      </c>
      <c r="BM750" s="762">
        <f t="shared" si="559"/>
        <v>1035</v>
      </c>
      <c r="BN750" s="762">
        <f t="shared" si="559"/>
        <v>1065</v>
      </c>
      <c r="BO750" s="762">
        <f t="shared" si="559"/>
        <v>1096</v>
      </c>
      <c r="BP750" s="762">
        <f t="shared" si="559"/>
        <v>1127</v>
      </c>
      <c r="BQ750" s="762">
        <f t="shared" si="559"/>
        <v>1155</v>
      </c>
      <c r="BR750" s="762">
        <f t="shared" si="559"/>
        <v>1186</v>
      </c>
      <c r="BS750" s="762">
        <f t="shared" si="559"/>
        <v>1216</v>
      </c>
      <c r="BT750" s="762">
        <f t="shared" si="559"/>
        <v>1247</v>
      </c>
      <c r="BU750" s="762">
        <f t="shared" si="559"/>
        <v>1277</v>
      </c>
      <c r="BV750" s="762">
        <f t="shared" si="559"/>
        <v>1308</v>
      </c>
      <c r="BW750" s="762">
        <f t="shared" si="559"/>
        <v>1339</v>
      </c>
      <c r="BX750" s="762">
        <f t="shared" si="559"/>
        <v>1369</v>
      </c>
      <c r="BY750" s="762">
        <f t="shared" si="559"/>
        <v>1400</v>
      </c>
      <c r="BZ750" s="762">
        <f t="shared" si="559"/>
        <v>1430</v>
      </c>
      <c r="CA750" s="762">
        <f t="shared" si="559"/>
        <v>1461</v>
      </c>
      <c r="CB750" s="762">
        <f t="shared" si="559"/>
        <v>1492</v>
      </c>
      <c r="CC750" s="762">
        <f t="shared" si="559"/>
        <v>1521</v>
      </c>
      <c r="CD750" s="762">
        <f t="shared" si="559"/>
        <v>1552</v>
      </c>
      <c r="CE750" s="762">
        <f t="shared" si="559"/>
        <v>1582</v>
      </c>
      <c r="CF750" s="762">
        <f t="shared" si="559"/>
        <v>1613</v>
      </c>
      <c r="CG750" s="762">
        <f t="shared" si="559"/>
        <v>1643</v>
      </c>
      <c r="CH750" s="762">
        <f t="shared" si="559"/>
        <v>1674</v>
      </c>
      <c r="CI750" s="762">
        <f t="shared" si="559"/>
        <v>1705</v>
      </c>
      <c r="CJ750" s="762">
        <f t="shared" si="559"/>
        <v>1735</v>
      </c>
      <c r="CK750" s="762">
        <f t="shared" si="559"/>
        <v>1766</v>
      </c>
      <c r="CL750" s="762">
        <f t="shared" si="559"/>
        <v>1796</v>
      </c>
      <c r="CM750" s="762">
        <f t="shared" si="559"/>
        <v>1827</v>
      </c>
    </row>
    <row r="751" spans="11:91" ht="12" customHeight="1" x14ac:dyDescent="0.35">
      <c r="K751" s="28"/>
      <c r="L751" s="28"/>
      <c r="M751" s="28"/>
      <c r="N751" s="28"/>
      <c r="O751" s="28"/>
      <c r="P751" s="28" t="str">
        <v>John</v>
      </c>
      <c r="Q751" s="371" t="str">
        <v>John</v>
      </c>
      <c r="R751" s="368">
        <f>SUMIF($Q$738:$Q$740,$Q751,R$738:R$740)</f>
        <v>0</v>
      </c>
      <c r="S751" s="368">
        <f t="shared" si="557"/>
        <v>0</v>
      </c>
      <c r="T751" s="368">
        <f t="shared" si="557"/>
        <v>0</v>
      </c>
      <c r="U751" s="368">
        <f t="shared" si="557"/>
        <v>0</v>
      </c>
      <c r="V751" s="368">
        <f t="shared" si="557"/>
        <v>0</v>
      </c>
      <c r="W751" s="368">
        <f t="shared" si="557"/>
        <v>0</v>
      </c>
      <c r="X751" s="368">
        <f t="shared" si="557"/>
        <v>0</v>
      </c>
      <c r="Y751" s="368">
        <f t="shared" si="557"/>
        <v>0</v>
      </c>
      <c r="Z751" s="368">
        <f t="shared" si="557"/>
        <v>0</v>
      </c>
      <c r="AA751" s="368">
        <f t="shared" si="557"/>
        <v>0</v>
      </c>
      <c r="AB751" s="368">
        <f t="shared" si="557"/>
        <v>0</v>
      </c>
      <c r="AC751" s="1188"/>
      <c r="AD751" s="139"/>
      <c r="AE751" s="376" t="s">
        <v>491</v>
      </c>
      <c r="AF751" s="763">
        <f>IF(AF$736=Input!$F$298,Input!$F$297,0)</f>
        <v>0</v>
      </c>
      <c r="AG751" s="763">
        <f>IF(AG$736=Input!$F$298,Input!$F$297,0)</f>
        <v>0</v>
      </c>
      <c r="AH751" s="763">
        <f>IF(AH$736=Input!$F$298,Input!$F$297,0)</f>
        <v>0</v>
      </c>
      <c r="AI751" s="763">
        <f>IF(AI$736=Input!$F$298,Input!$F$297,0)</f>
        <v>0</v>
      </c>
      <c r="AJ751" s="763">
        <f>IF(AJ$736=Input!$F$298,Input!$F$297,0)</f>
        <v>0</v>
      </c>
      <c r="AK751" s="763">
        <f>IF(AK$736=Input!$F$298,Input!$F$297,0)</f>
        <v>0</v>
      </c>
      <c r="AL751" s="763">
        <f>IF(AL$736=Input!$F$298,Input!$F$297,0)</f>
        <v>0</v>
      </c>
      <c r="AM751" s="763">
        <f>IF(AM$736=Input!$F$298,Input!$F$297,0)</f>
        <v>0</v>
      </c>
      <c r="AN751" s="763">
        <f>IF(AN$736=Input!$F$298,Input!$F$297,0)</f>
        <v>0</v>
      </c>
      <c r="AO751" s="763">
        <f>IF(AO$736=Input!$F$298,Input!$F$297,0)</f>
        <v>0</v>
      </c>
      <c r="AP751" s="763">
        <f>IF(AP$736=Input!$F$298,Input!$F$297,0)</f>
        <v>0</v>
      </c>
      <c r="AQ751" s="763">
        <f>IF(AQ$736=Input!$F$298,Input!$F$297,0)</f>
        <v>0</v>
      </c>
      <c r="AR751" s="763">
        <f>IF(AR$736=Input!$F$298,Input!$F$297,0)</f>
        <v>0</v>
      </c>
      <c r="AS751" s="763">
        <f>IF(AS$736=Input!$F$298,Input!$F$297,0)</f>
        <v>0</v>
      </c>
      <c r="AT751" s="763">
        <f>IF(AT$736=Input!$F$298,Input!$F$297,0)</f>
        <v>0</v>
      </c>
      <c r="AU751" s="763">
        <f>IF(AU$736=Input!$F$298,Input!$F$297,0)</f>
        <v>0</v>
      </c>
      <c r="AV751" s="763">
        <f>IF(AV$736=Input!$F$298,Input!$F$297,0)</f>
        <v>0</v>
      </c>
      <c r="AW751" s="763">
        <f>IF(AW$736=Input!$F$298,Input!$F$297,0)</f>
        <v>0</v>
      </c>
      <c r="AX751" s="763">
        <f>IF(AX$736=Input!$F$298,Input!$F$297,0)</f>
        <v>0</v>
      </c>
      <c r="AY751" s="763">
        <f>IF(AY$736=Input!$F$298,Input!$F$297,0)</f>
        <v>0</v>
      </c>
      <c r="AZ751" s="763">
        <f>IF(AZ$736=Input!$F$298,Input!$F$297,0)</f>
        <v>0</v>
      </c>
      <c r="BA751" s="763">
        <f>IF(BA$736=Input!$F$298,Input!$F$297,0)</f>
        <v>0</v>
      </c>
      <c r="BB751" s="763">
        <f>IF(BB$736=Input!$F$298,Input!$F$297,0)</f>
        <v>0</v>
      </c>
      <c r="BC751" s="763">
        <f>IF(BC$736=Input!$F$298,Input!$F$297,0)</f>
        <v>0</v>
      </c>
      <c r="BD751" s="763">
        <f>IF(BD$736=Input!$F$298,Input!$F$297,0)</f>
        <v>0</v>
      </c>
      <c r="BE751" s="763">
        <f>IF(BE$736=Input!$F$298,Input!$F$297,0)</f>
        <v>0</v>
      </c>
      <c r="BF751" s="763">
        <f>IF(BF$736=Input!$F$298,Input!$F$297,0)</f>
        <v>0</v>
      </c>
      <c r="BG751" s="763">
        <f>IF(BG$736=Input!$F$298,Input!$F$297,0)</f>
        <v>0</v>
      </c>
      <c r="BH751" s="763">
        <f>IF(BH$736=Input!$F$298,Input!$F$297,0)</f>
        <v>0</v>
      </c>
      <c r="BI751" s="763">
        <f>IF(BI$736=Input!$F$298,Input!$F$297,0)</f>
        <v>0</v>
      </c>
      <c r="BJ751" s="763">
        <f>IF(BJ$736=Input!$F$298,Input!$F$297,0)</f>
        <v>0</v>
      </c>
      <c r="BK751" s="763">
        <f>IF(BK$736=Input!$F$298,Input!$F$297,0)</f>
        <v>0</v>
      </c>
      <c r="BL751" s="763">
        <f>IF(BL$736=Input!$F$298,Input!$F$297,0)</f>
        <v>0</v>
      </c>
      <c r="BM751" s="763">
        <f>IF(BM$736=Input!$F$298,Input!$F$297,0)</f>
        <v>0</v>
      </c>
      <c r="BN751" s="763">
        <f>IF(BN$736=Input!$F$298,Input!$F$297,0)</f>
        <v>0</v>
      </c>
      <c r="BO751" s="763">
        <f>IF(BO$736=Input!$F$298,Input!$F$297,0)</f>
        <v>0</v>
      </c>
      <c r="BP751" s="763">
        <f>IF(BP$736=Input!$F$298,Input!$F$297,0)</f>
        <v>0</v>
      </c>
      <c r="BQ751" s="763">
        <f>IF(BQ$736=Input!$F$298,Input!$F$297,0)</f>
        <v>0</v>
      </c>
      <c r="BR751" s="763">
        <f>IF(BR$736=Input!$F$298,Input!$F$297,0)</f>
        <v>0</v>
      </c>
      <c r="BS751" s="763">
        <f>IF(BS$736=Input!$F$298,Input!$F$297,0)</f>
        <v>0</v>
      </c>
      <c r="BT751" s="763">
        <f>IF(BT$736=Input!$F$298,Input!$F$297,0)</f>
        <v>0</v>
      </c>
      <c r="BU751" s="763">
        <f>IF(BU$736=Input!$F$298,Input!$F$297,0)</f>
        <v>0</v>
      </c>
      <c r="BV751" s="763">
        <f>IF(BV$736=Input!$F$298,Input!$F$297,0)</f>
        <v>0</v>
      </c>
      <c r="BW751" s="763">
        <f>IF(BW$736=Input!$F$298,Input!$F$297,0)</f>
        <v>0</v>
      </c>
      <c r="BX751" s="763">
        <f>IF(BX$736=Input!$F$298,Input!$F$297,0)</f>
        <v>0</v>
      </c>
      <c r="BY751" s="763">
        <f>IF(BY$736=Input!$F$298,Input!$F$297,0)</f>
        <v>0</v>
      </c>
      <c r="BZ751" s="763">
        <f>IF(BZ$736=Input!$F$298,Input!$F$297,0)</f>
        <v>0</v>
      </c>
      <c r="CA751" s="763">
        <f>IF(CA$736=Input!$F$298,Input!$F$297,0)</f>
        <v>0</v>
      </c>
      <c r="CB751" s="763">
        <f>IF(CB$736=Input!$F$298,Input!$F$297,0)</f>
        <v>0</v>
      </c>
      <c r="CC751" s="763">
        <f>IF(CC$736=Input!$F$298,Input!$F$297,0)</f>
        <v>0</v>
      </c>
      <c r="CD751" s="763">
        <f>IF(CD$736=Input!$F$298,Input!$F$297,0)</f>
        <v>0</v>
      </c>
      <c r="CE751" s="763">
        <f>IF(CE$736=Input!$F$298,Input!$F$297,0)</f>
        <v>0</v>
      </c>
      <c r="CF751" s="763">
        <f>IF(CF$736=Input!$F$298,Input!$F$297,0)</f>
        <v>0</v>
      </c>
      <c r="CG751" s="763">
        <f>IF(CG$736=Input!$F$298,Input!$F$297,0)</f>
        <v>0</v>
      </c>
      <c r="CH751" s="763">
        <f>IF(CH$736=Input!$F$298,Input!$F$297,0)</f>
        <v>0</v>
      </c>
      <c r="CI751" s="763">
        <f>IF(CI$736=Input!$F$298,Input!$F$297,0)</f>
        <v>0</v>
      </c>
      <c r="CJ751" s="763">
        <f>IF(CJ$736=Input!$F$298,Input!$F$297,0)</f>
        <v>0</v>
      </c>
      <c r="CK751" s="763">
        <f>IF(CK$736=Input!$F$298,Input!$F$297,0)</f>
        <v>0</v>
      </c>
      <c r="CL751" s="763">
        <f>IF(CL$736=Input!$F$298,Input!$F$297,0)</f>
        <v>0</v>
      </c>
      <c r="CM751" s="763">
        <f>IF(CM$736=Input!$F$298,Input!$F$297,0)</f>
        <v>0</v>
      </c>
    </row>
    <row r="752" spans="11:91" ht="12" customHeight="1" x14ac:dyDescent="0.35">
      <c r="K752" s="28"/>
      <c r="L752" s="28"/>
      <c r="M752" s="28"/>
      <c r="N752" s="28"/>
      <c r="O752" s="28"/>
      <c r="P752" s="28" t="str">
        <v>Ross</v>
      </c>
      <c r="Q752" s="371" t="str">
        <v>Ross</v>
      </c>
      <c r="R752" s="368">
        <f>SUMIF($Q$738:$Q$740,$Q752,R$738:R$740)</f>
        <v>0</v>
      </c>
      <c r="S752" s="368">
        <f t="shared" si="557"/>
        <v>0</v>
      </c>
      <c r="T752" s="368">
        <f t="shared" si="557"/>
        <v>0</v>
      </c>
      <c r="U752" s="368">
        <f t="shared" si="557"/>
        <v>0</v>
      </c>
      <c r="V752" s="368">
        <f t="shared" si="557"/>
        <v>0</v>
      </c>
      <c r="W752" s="368">
        <f t="shared" si="557"/>
        <v>0</v>
      </c>
      <c r="X752" s="368">
        <f t="shared" si="557"/>
        <v>0</v>
      </c>
      <c r="Y752" s="368">
        <f t="shared" si="557"/>
        <v>0</v>
      </c>
      <c r="Z752" s="368">
        <f t="shared" si="557"/>
        <v>0</v>
      </c>
      <c r="AA752" s="368">
        <f t="shared" si="557"/>
        <v>0</v>
      </c>
      <c r="AB752" s="368">
        <f t="shared" si="557"/>
        <v>0</v>
      </c>
      <c r="AC752" s="1188"/>
      <c r="AD752" s="139"/>
      <c r="AE752" s="376" t="s">
        <v>188</v>
      </c>
      <c r="AF752" s="763">
        <f t="array" ref="AF752:CM752">TRANSPOSE(O1334:O1393)</f>
        <v>0</v>
      </c>
      <c r="AG752" s="763">
        <v>0</v>
      </c>
      <c r="AH752" s="763">
        <v>0</v>
      </c>
      <c r="AI752" s="763">
        <v>0</v>
      </c>
      <c r="AJ752" s="763">
        <v>0</v>
      </c>
      <c r="AK752" s="763">
        <v>0</v>
      </c>
      <c r="AL752" s="763">
        <v>0</v>
      </c>
      <c r="AM752" s="763">
        <v>0</v>
      </c>
      <c r="AN752" s="763">
        <v>0</v>
      </c>
      <c r="AO752" s="763">
        <v>0</v>
      </c>
      <c r="AP752" s="763">
        <v>0</v>
      </c>
      <c r="AQ752" s="763">
        <v>0</v>
      </c>
      <c r="AR752" s="763">
        <v>0</v>
      </c>
      <c r="AS752" s="763">
        <v>0</v>
      </c>
      <c r="AT752" s="763">
        <v>0</v>
      </c>
      <c r="AU752" s="763">
        <v>0</v>
      </c>
      <c r="AV752" s="763">
        <v>0</v>
      </c>
      <c r="AW752" s="763">
        <v>0</v>
      </c>
      <c r="AX752" s="763">
        <v>0</v>
      </c>
      <c r="AY752" s="763">
        <v>0</v>
      </c>
      <c r="AZ752" s="763">
        <v>0</v>
      </c>
      <c r="BA752" s="763">
        <v>0</v>
      </c>
      <c r="BB752" s="763">
        <v>0</v>
      </c>
      <c r="BC752" s="763">
        <v>0</v>
      </c>
      <c r="BD752" s="763">
        <v>0</v>
      </c>
      <c r="BE752" s="763">
        <v>0</v>
      </c>
      <c r="BF752" s="763">
        <v>0</v>
      </c>
      <c r="BG752" s="763">
        <v>0</v>
      </c>
      <c r="BH752" s="763">
        <v>0</v>
      </c>
      <c r="BI752" s="763">
        <v>0</v>
      </c>
      <c r="BJ752" s="763">
        <v>0</v>
      </c>
      <c r="BK752" s="763">
        <v>0</v>
      </c>
      <c r="BL752" s="763">
        <v>0</v>
      </c>
      <c r="BM752" s="763">
        <v>0</v>
      </c>
      <c r="BN752" s="763">
        <v>0</v>
      </c>
      <c r="BO752" s="763">
        <v>0</v>
      </c>
      <c r="BP752" s="763">
        <v>0</v>
      </c>
      <c r="BQ752" s="763">
        <v>0</v>
      </c>
      <c r="BR752" s="763">
        <v>0</v>
      </c>
      <c r="BS752" s="763">
        <v>0</v>
      </c>
      <c r="BT752" s="763">
        <v>0</v>
      </c>
      <c r="BU752" s="763">
        <v>0</v>
      </c>
      <c r="BV752" s="763">
        <v>0</v>
      </c>
      <c r="BW752" s="763">
        <v>0</v>
      </c>
      <c r="BX752" s="763">
        <v>0</v>
      </c>
      <c r="BY752" s="763">
        <v>0</v>
      </c>
      <c r="BZ752" s="763">
        <v>0</v>
      </c>
      <c r="CA752" s="763">
        <v>0</v>
      </c>
      <c r="CB752" s="763">
        <v>0</v>
      </c>
      <c r="CC752" s="763">
        <v>0</v>
      </c>
      <c r="CD752" s="763">
        <v>0</v>
      </c>
      <c r="CE752" s="763">
        <v>0</v>
      </c>
      <c r="CF752" s="763">
        <v>0</v>
      </c>
      <c r="CG752" s="763">
        <v>0</v>
      </c>
      <c r="CH752" s="763">
        <v>0</v>
      </c>
      <c r="CI752" s="763">
        <v>0</v>
      </c>
      <c r="CJ752" s="763">
        <v>0</v>
      </c>
      <c r="CK752" s="763">
        <v>0</v>
      </c>
      <c r="CL752" s="763">
        <v>0</v>
      </c>
      <c r="CM752" s="763">
        <v>0</v>
      </c>
    </row>
    <row r="753" spans="11:91" ht="12" customHeight="1" x14ac:dyDescent="0.35">
      <c r="K753" s="28"/>
      <c r="L753" s="28"/>
      <c r="M753" s="28"/>
      <c r="N753" s="28"/>
      <c r="O753" s="28"/>
      <c r="P753" s="28"/>
      <c r="Q753" s="28"/>
      <c r="R753" s="371"/>
      <c r="S753" s="36"/>
      <c r="T753" s="366"/>
      <c r="U753" s="1189"/>
      <c r="V753" s="1189"/>
      <c r="W753" s="1190"/>
      <c r="X753" s="1191"/>
      <c r="Y753" s="1189"/>
      <c r="Z753" s="1189"/>
      <c r="AA753" s="1188"/>
      <c r="AB753" s="1188"/>
      <c r="AC753" s="1188"/>
      <c r="AD753" s="139"/>
      <c r="AE753" s="376" t="s">
        <v>493</v>
      </c>
      <c r="AF753" s="763">
        <f t="array" ref="AF753:CM753">TRANSPOSE(P1334:P1393)</f>
        <v>0</v>
      </c>
      <c r="AG753" s="763">
        <v>0</v>
      </c>
      <c r="AH753" s="763">
        <v>0</v>
      </c>
      <c r="AI753" s="763">
        <v>0</v>
      </c>
      <c r="AJ753" s="763">
        <v>0</v>
      </c>
      <c r="AK753" s="763">
        <v>0</v>
      </c>
      <c r="AL753" s="763">
        <v>0</v>
      </c>
      <c r="AM753" s="763">
        <v>0</v>
      </c>
      <c r="AN753" s="763">
        <v>0</v>
      </c>
      <c r="AO753" s="763">
        <v>0</v>
      </c>
      <c r="AP753" s="763">
        <v>0</v>
      </c>
      <c r="AQ753" s="763">
        <v>0</v>
      </c>
      <c r="AR753" s="763">
        <v>0</v>
      </c>
      <c r="AS753" s="763">
        <v>0</v>
      </c>
      <c r="AT753" s="763">
        <v>0</v>
      </c>
      <c r="AU753" s="763">
        <v>0</v>
      </c>
      <c r="AV753" s="763">
        <v>0</v>
      </c>
      <c r="AW753" s="763">
        <v>0</v>
      </c>
      <c r="AX753" s="763">
        <v>0</v>
      </c>
      <c r="AY753" s="763">
        <v>0</v>
      </c>
      <c r="AZ753" s="763">
        <v>0</v>
      </c>
      <c r="BA753" s="763">
        <v>0</v>
      </c>
      <c r="BB753" s="763">
        <v>0</v>
      </c>
      <c r="BC753" s="763">
        <v>0</v>
      </c>
      <c r="BD753" s="763">
        <v>0</v>
      </c>
      <c r="BE753" s="763">
        <v>0</v>
      </c>
      <c r="BF753" s="763">
        <v>0</v>
      </c>
      <c r="BG753" s="763">
        <v>0</v>
      </c>
      <c r="BH753" s="763">
        <v>0</v>
      </c>
      <c r="BI753" s="763">
        <v>0</v>
      </c>
      <c r="BJ753" s="763">
        <v>0</v>
      </c>
      <c r="BK753" s="763">
        <v>0</v>
      </c>
      <c r="BL753" s="763">
        <v>0</v>
      </c>
      <c r="BM753" s="763">
        <v>0</v>
      </c>
      <c r="BN753" s="763">
        <v>0</v>
      </c>
      <c r="BO753" s="763">
        <v>0</v>
      </c>
      <c r="BP753" s="763">
        <v>0</v>
      </c>
      <c r="BQ753" s="763">
        <v>0</v>
      </c>
      <c r="BR753" s="763">
        <v>0</v>
      </c>
      <c r="BS753" s="763">
        <v>0</v>
      </c>
      <c r="BT753" s="763">
        <v>0</v>
      </c>
      <c r="BU753" s="763">
        <v>0</v>
      </c>
      <c r="BV753" s="763">
        <v>0</v>
      </c>
      <c r="BW753" s="763">
        <v>0</v>
      </c>
      <c r="BX753" s="763">
        <v>0</v>
      </c>
      <c r="BY753" s="763">
        <v>0</v>
      </c>
      <c r="BZ753" s="763">
        <v>0</v>
      </c>
      <c r="CA753" s="763">
        <v>0</v>
      </c>
      <c r="CB753" s="763">
        <v>0</v>
      </c>
      <c r="CC753" s="763">
        <v>0</v>
      </c>
      <c r="CD753" s="763">
        <v>0</v>
      </c>
      <c r="CE753" s="763">
        <v>0</v>
      </c>
      <c r="CF753" s="763">
        <v>0</v>
      </c>
      <c r="CG753" s="763">
        <v>0</v>
      </c>
      <c r="CH753" s="763">
        <v>0</v>
      </c>
      <c r="CI753" s="763">
        <v>0</v>
      </c>
      <c r="CJ753" s="763">
        <v>0</v>
      </c>
      <c r="CK753" s="763">
        <v>0</v>
      </c>
      <c r="CL753" s="763">
        <v>0</v>
      </c>
      <c r="CM753" s="763">
        <v>0</v>
      </c>
    </row>
    <row r="754" spans="11:91" ht="12" customHeight="1" x14ac:dyDescent="0.35">
      <c r="K754" s="28"/>
      <c r="L754" s="28"/>
      <c r="M754" s="28"/>
      <c r="N754" s="28"/>
      <c r="O754" s="28"/>
      <c r="P754" s="28"/>
      <c r="Q754" s="28"/>
      <c r="R754" s="372"/>
      <c r="S754" s="36"/>
      <c r="T754" s="366"/>
      <c r="U754" s="1189"/>
      <c r="V754" s="1189"/>
      <c r="W754" s="1190"/>
      <c r="X754" s="1191"/>
      <c r="Y754" s="1189"/>
      <c r="Z754" s="1189"/>
      <c r="AA754" s="1188"/>
      <c r="AB754" s="1188"/>
      <c r="AC754" s="1188"/>
      <c r="AD754" s="29"/>
      <c r="AE754" s="376" t="s">
        <v>494</v>
      </c>
      <c r="AF754" s="763">
        <f t="array" ref="AF754:CM754">TRANSPOSE(Q1334:Q1393)</f>
        <v>0</v>
      </c>
      <c r="AG754" s="763">
        <v>0</v>
      </c>
      <c r="AH754" s="763">
        <v>0</v>
      </c>
      <c r="AI754" s="763">
        <v>0</v>
      </c>
      <c r="AJ754" s="763">
        <v>0</v>
      </c>
      <c r="AK754" s="763">
        <v>0</v>
      </c>
      <c r="AL754" s="763">
        <v>0</v>
      </c>
      <c r="AM754" s="763">
        <v>0</v>
      </c>
      <c r="AN754" s="763">
        <v>0</v>
      </c>
      <c r="AO754" s="763">
        <v>0</v>
      </c>
      <c r="AP754" s="763">
        <v>0</v>
      </c>
      <c r="AQ754" s="763">
        <v>0</v>
      </c>
      <c r="AR754" s="763">
        <v>0</v>
      </c>
      <c r="AS754" s="763">
        <v>0</v>
      </c>
      <c r="AT754" s="763">
        <v>0</v>
      </c>
      <c r="AU754" s="763">
        <v>0</v>
      </c>
      <c r="AV754" s="763">
        <v>0</v>
      </c>
      <c r="AW754" s="763">
        <v>0</v>
      </c>
      <c r="AX754" s="763">
        <v>0</v>
      </c>
      <c r="AY754" s="763">
        <v>0</v>
      </c>
      <c r="AZ754" s="763">
        <v>0</v>
      </c>
      <c r="BA754" s="763">
        <v>0</v>
      </c>
      <c r="BB754" s="763">
        <v>0</v>
      </c>
      <c r="BC754" s="763">
        <v>0</v>
      </c>
      <c r="BD754" s="763">
        <v>0</v>
      </c>
      <c r="BE754" s="763">
        <v>0</v>
      </c>
      <c r="BF754" s="763">
        <v>0</v>
      </c>
      <c r="BG754" s="763">
        <v>0</v>
      </c>
      <c r="BH754" s="763">
        <v>0</v>
      </c>
      <c r="BI754" s="763">
        <v>0</v>
      </c>
      <c r="BJ754" s="763">
        <v>0</v>
      </c>
      <c r="BK754" s="763">
        <v>0</v>
      </c>
      <c r="BL754" s="763">
        <v>0</v>
      </c>
      <c r="BM754" s="763">
        <v>0</v>
      </c>
      <c r="BN754" s="763">
        <v>0</v>
      </c>
      <c r="BO754" s="763">
        <v>0</v>
      </c>
      <c r="BP754" s="763">
        <v>0</v>
      </c>
      <c r="BQ754" s="763">
        <v>0</v>
      </c>
      <c r="BR754" s="763">
        <v>0</v>
      </c>
      <c r="BS754" s="763">
        <v>0</v>
      </c>
      <c r="BT754" s="763">
        <v>0</v>
      </c>
      <c r="BU754" s="763">
        <v>0</v>
      </c>
      <c r="BV754" s="763">
        <v>0</v>
      </c>
      <c r="BW754" s="763">
        <v>0</v>
      </c>
      <c r="BX754" s="763">
        <v>0</v>
      </c>
      <c r="BY754" s="763">
        <v>0</v>
      </c>
      <c r="BZ754" s="763">
        <v>0</v>
      </c>
      <c r="CA754" s="763">
        <v>0</v>
      </c>
      <c r="CB754" s="763">
        <v>0</v>
      </c>
      <c r="CC754" s="763">
        <v>0</v>
      </c>
      <c r="CD754" s="763">
        <v>0</v>
      </c>
      <c r="CE754" s="763">
        <v>0</v>
      </c>
      <c r="CF754" s="763">
        <v>0</v>
      </c>
      <c r="CG754" s="763">
        <v>0</v>
      </c>
      <c r="CH754" s="763">
        <v>0</v>
      </c>
      <c r="CI754" s="763">
        <v>0</v>
      </c>
      <c r="CJ754" s="763">
        <v>0</v>
      </c>
      <c r="CK754" s="763">
        <v>0</v>
      </c>
      <c r="CL754" s="763">
        <v>0</v>
      </c>
      <c r="CM754" s="763">
        <v>0</v>
      </c>
    </row>
    <row r="755" spans="11:91" ht="12" customHeight="1" x14ac:dyDescent="0.35">
      <c r="K755" s="28"/>
      <c r="L755" s="28"/>
      <c r="M755" s="28"/>
      <c r="N755" s="28"/>
      <c r="O755" s="28"/>
      <c r="P755" s="28"/>
      <c r="Q755" s="28"/>
      <c r="R755" s="31"/>
      <c r="S755" s="36"/>
      <c r="T755" s="366"/>
      <c r="U755" s="1189"/>
      <c r="V755" s="1189"/>
      <c r="W755" s="1190"/>
      <c r="X755" s="1191"/>
      <c r="Y755" s="1189"/>
      <c r="Z755" s="1189"/>
      <c r="AA755" s="1188"/>
      <c r="AB755" s="1188"/>
      <c r="AC755" s="1188"/>
      <c r="AD755" s="29"/>
      <c r="AE755" s="376" t="s">
        <v>9</v>
      </c>
      <c r="AF755" s="763">
        <f t="shared" ref="AF755:BK755" si="560">AF751-AF753</f>
        <v>0</v>
      </c>
      <c r="AG755" s="763">
        <f t="shared" si="560"/>
        <v>0</v>
      </c>
      <c r="AH755" s="763">
        <f t="shared" si="560"/>
        <v>0</v>
      </c>
      <c r="AI755" s="763">
        <f t="shared" si="560"/>
        <v>0</v>
      </c>
      <c r="AJ755" s="763">
        <f t="shared" si="560"/>
        <v>0</v>
      </c>
      <c r="AK755" s="763">
        <f t="shared" si="560"/>
        <v>0</v>
      </c>
      <c r="AL755" s="763">
        <f t="shared" si="560"/>
        <v>0</v>
      </c>
      <c r="AM755" s="763">
        <f t="shared" si="560"/>
        <v>0</v>
      </c>
      <c r="AN755" s="763">
        <f t="shared" si="560"/>
        <v>0</v>
      </c>
      <c r="AO755" s="763">
        <f t="shared" si="560"/>
        <v>0</v>
      </c>
      <c r="AP755" s="763">
        <f t="shared" si="560"/>
        <v>0</v>
      </c>
      <c r="AQ755" s="763">
        <f t="shared" si="560"/>
        <v>0</v>
      </c>
      <c r="AR755" s="763">
        <f t="shared" si="560"/>
        <v>0</v>
      </c>
      <c r="AS755" s="763">
        <f t="shared" si="560"/>
        <v>0</v>
      </c>
      <c r="AT755" s="763">
        <f t="shared" si="560"/>
        <v>0</v>
      </c>
      <c r="AU755" s="763">
        <f t="shared" si="560"/>
        <v>0</v>
      </c>
      <c r="AV755" s="763">
        <f t="shared" si="560"/>
        <v>0</v>
      </c>
      <c r="AW755" s="763">
        <f t="shared" si="560"/>
        <v>0</v>
      </c>
      <c r="AX755" s="763">
        <f t="shared" si="560"/>
        <v>0</v>
      </c>
      <c r="AY755" s="763">
        <f t="shared" si="560"/>
        <v>0</v>
      </c>
      <c r="AZ755" s="763">
        <f t="shared" si="560"/>
        <v>0</v>
      </c>
      <c r="BA755" s="763">
        <f t="shared" si="560"/>
        <v>0</v>
      </c>
      <c r="BB755" s="763">
        <f t="shared" si="560"/>
        <v>0</v>
      </c>
      <c r="BC755" s="763">
        <f t="shared" si="560"/>
        <v>0</v>
      </c>
      <c r="BD755" s="763">
        <f t="shared" si="560"/>
        <v>0</v>
      </c>
      <c r="BE755" s="763">
        <f t="shared" si="560"/>
        <v>0</v>
      </c>
      <c r="BF755" s="763">
        <f t="shared" si="560"/>
        <v>0</v>
      </c>
      <c r="BG755" s="763">
        <f t="shared" si="560"/>
        <v>0</v>
      </c>
      <c r="BH755" s="763">
        <f t="shared" si="560"/>
        <v>0</v>
      </c>
      <c r="BI755" s="763">
        <f t="shared" si="560"/>
        <v>0</v>
      </c>
      <c r="BJ755" s="763">
        <f t="shared" si="560"/>
        <v>0</v>
      </c>
      <c r="BK755" s="763">
        <f t="shared" si="560"/>
        <v>0</v>
      </c>
      <c r="BL755" s="763">
        <f t="shared" ref="BL755:CM755" si="561">BL751-BL753</f>
        <v>0</v>
      </c>
      <c r="BM755" s="763">
        <f t="shared" si="561"/>
        <v>0</v>
      </c>
      <c r="BN755" s="763">
        <f t="shared" si="561"/>
        <v>0</v>
      </c>
      <c r="BO755" s="763">
        <f t="shared" si="561"/>
        <v>0</v>
      </c>
      <c r="BP755" s="763">
        <f t="shared" si="561"/>
        <v>0</v>
      </c>
      <c r="BQ755" s="763">
        <f t="shared" si="561"/>
        <v>0</v>
      </c>
      <c r="BR755" s="763">
        <f t="shared" si="561"/>
        <v>0</v>
      </c>
      <c r="BS755" s="763">
        <f t="shared" si="561"/>
        <v>0</v>
      </c>
      <c r="BT755" s="763">
        <f t="shared" si="561"/>
        <v>0</v>
      </c>
      <c r="BU755" s="763">
        <f t="shared" si="561"/>
        <v>0</v>
      </c>
      <c r="BV755" s="763">
        <f t="shared" si="561"/>
        <v>0</v>
      </c>
      <c r="BW755" s="763">
        <f t="shared" si="561"/>
        <v>0</v>
      </c>
      <c r="BX755" s="763">
        <f t="shared" si="561"/>
        <v>0</v>
      </c>
      <c r="BY755" s="763">
        <f t="shared" si="561"/>
        <v>0</v>
      </c>
      <c r="BZ755" s="763">
        <f t="shared" si="561"/>
        <v>0</v>
      </c>
      <c r="CA755" s="763">
        <f t="shared" si="561"/>
        <v>0</v>
      </c>
      <c r="CB755" s="763">
        <f t="shared" si="561"/>
        <v>0</v>
      </c>
      <c r="CC755" s="763">
        <f t="shared" si="561"/>
        <v>0</v>
      </c>
      <c r="CD755" s="763">
        <f t="shared" si="561"/>
        <v>0</v>
      </c>
      <c r="CE755" s="763">
        <f t="shared" si="561"/>
        <v>0</v>
      </c>
      <c r="CF755" s="763">
        <f t="shared" si="561"/>
        <v>0</v>
      </c>
      <c r="CG755" s="763">
        <f t="shared" si="561"/>
        <v>0</v>
      </c>
      <c r="CH755" s="763">
        <f t="shared" si="561"/>
        <v>0</v>
      </c>
      <c r="CI755" s="763">
        <f t="shared" si="561"/>
        <v>0</v>
      </c>
      <c r="CJ755" s="763">
        <f t="shared" si="561"/>
        <v>0</v>
      </c>
      <c r="CK755" s="763">
        <f t="shared" si="561"/>
        <v>0</v>
      </c>
      <c r="CL755" s="763">
        <f t="shared" si="561"/>
        <v>0</v>
      </c>
      <c r="CM755" s="763">
        <f t="shared" si="561"/>
        <v>0</v>
      </c>
    </row>
    <row r="756" spans="11:91" ht="12" customHeight="1" x14ac:dyDescent="0.35">
      <c r="K756" s="28"/>
      <c r="L756" s="28"/>
      <c r="M756" s="28"/>
      <c r="N756" s="28"/>
      <c r="O756" s="28"/>
      <c r="P756" s="28"/>
      <c r="Q756" s="28"/>
      <c r="R756" s="31"/>
      <c r="S756" s="36"/>
      <c r="T756" s="366"/>
      <c r="U756" s="1189"/>
      <c r="V756" s="1189"/>
      <c r="W756" s="1190"/>
      <c r="X756" s="1191"/>
      <c r="Y756" s="1189"/>
      <c r="Z756" s="1189"/>
      <c r="AA756" s="1188"/>
      <c r="AB756" s="1188"/>
      <c r="AC756" s="1188"/>
      <c r="AD756" s="29"/>
      <c r="AE756" s="29"/>
      <c r="AF756" s="376"/>
      <c r="AG756" s="376"/>
      <c r="AH756" s="376"/>
      <c r="AI756" s="376"/>
      <c r="AJ756" s="376"/>
      <c r="AK756" s="376"/>
      <c r="AL756" s="376"/>
      <c r="AM756" s="376"/>
      <c r="AN756" s="376"/>
      <c r="AO756" s="376"/>
      <c r="AP756" s="376"/>
      <c r="AQ756" s="376"/>
      <c r="AR756" s="376"/>
      <c r="AS756" s="376"/>
      <c r="AT756" s="376"/>
      <c r="AU756" s="376"/>
      <c r="AV756" s="376"/>
      <c r="AW756" s="376"/>
      <c r="AX756" s="376"/>
      <c r="AY756" s="376"/>
      <c r="AZ756" s="376"/>
      <c r="BA756" s="376"/>
      <c r="BB756" s="376"/>
      <c r="BC756" s="376"/>
      <c r="BD756" s="376"/>
      <c r="BE756" s="376"/>
      <c r="BF756" s="376"/>
      <c r="BG756" s="376"/>
      <c r="BH756" s="376"/>
      <c r="BI756" s="376"/>
      <c r="BJ756" s="376"/>
      <c r="BK756" s="376"/>
      <c r="BL756" s="376"/>
      <c r="BM756" s="376"/>
      <c r="BN756" s="376"/>
      <c r="BO756" s="376"/>
      <c r="BP756" s="376"/>
      <c r="BQ756" s="376"/>
      <c r="BR756" s="376"/>
      <c r="BS756" s="376"/>
      <c r="BT756" s="376"/>
      <c r="BU756" s="376"/>
      <c r="BV756" s="376"/>
      <c r="BW756" s="376"/>
      <c r="BX756" s="376"/>
      <c r="BY756" s="376"/>
      <c r="BZ756" s="376"/>
      <c r="CA756" s="376"/>
      <c r="CB756" s="376"/>
      <c r="CC756" s="376"/>
      <c r="CD756" s="376"/>
      <c r="CE756" s="376"/>
      <c r="CF756" s="376"/>
      <c r="CG756" s="376"/>
      <c r="CH756" s="376"/>
      <c r="CI756" s="376"/>
      <c r="CJ756" s="376"/>
      <c r="CK756" s="376"/>
      <c r="CL756" s="376"/>
      <c r="CM756" s="376"/>
    </row>
    <row r="757" spans="11:91" ht="12" customHeight="1" x14ac:dyDescent="0.35">
      <c r="K757" s="28"/>
      <c r="L757" s="28"/>
      <c r="M757" s="28"/>
      <c r="N757" s="28"/>
      <c r="O757" s="28"/>
      <c r="P757" s="28"/>
      <c r="Q757" s="28"/>
      <c r="R757" s="31"/>
      <c r="S757" s="36"/>
      <c r="T757" s="366"/>
      <c r="U757" s="1189"/>
      <c r="V757" s="1189"/>
      <c r="W757" s="1190"/>
      <c r="X757" s="1192">
        <f>Infrastructure!Y30</f>
        <v>0</v>
      </c>
      <c r="Y757" s="1192">
        <f>Infrastructure!Z30</f>
        <v>0</v>
      </c>
      <c r="Z757" s="1192">
        <f>Infrastructure!AA30</f>
        <v>0</v>
      </c>
      <c r="AA757" s="1192">
        <f>Infrastructure!AB30</f>
        <v>0</v>
      </c>
      <c r="AB757" s="1192">
        <f>Infrastructure!AC30</f>
        <v>0</v>
      </c>
      <c r="AC757" s="1188"/>
      <c r="AD757" s="29"/>
      <c r="AE757" s="63">
        <f>SUMIF(Y789:Y791,"&lt;="&amp;$AF$791,Z789:Z791)</f>
        <v>0</v>
      </c>
      <c r="AF757" s="763">
        <f>AF737+AF744+AF751</f>
        <v>0</v>
      </c>
      <c r="AG757" s="763">
        <f t="shared" ref="AG757:CM757" si="562">AG737+AG744+AG751</f>
        <v>0</v>
      </c>
      <c r="AH757" s="763">
        <f t="shared" si="562"/>
        <v>0</v>
      </c>
      <c r="AI757" s="763">
        <f t="shared" si="562"/>
        <v>0</v>
      </c>
      <c r="AJ757" s="763">
        <f t="shared" si="562"/>
        <v>0</v>
      </c>
      <c r="AK757" s="763">
        <f t="shared" si="562"/>
        <v>0</v>
      </c>
      <c r="AL757" s="763">
        <f t="shared" si="562"/>
        <v>0</v>
      </c>
      <c r="AM757" s="763">
        <f t="shared" si="562"/>
        <v>0</v>
      </c>
      <c r="AN757" s="763">
        <f t="shared" si="562"/>
        <v>0</v>
      </c>
      <c r="AO757" s="763">
        <f t="shared" si="562"/>
        <v>0</v>
      </c>
      <c r="AP757" s="763">
        <f t="shared" si="562"/>
        <v>0</v>
      </c>
      <c r="AQ757" s="763">
        <f t="shared" si="562"/>
        <v>0</v>
      </c>
      <c r="AR757" s="763">
        <f t="shared" si="562"/>
        <v>0</v>
      </c>
      <c r="AS757" s="763">
        <f t="shared" si="562"/>
        <v>0</v>
      </c>
      <c r="AT757" s="763">
        <f t="shared" si="562"/>
        <v>0</v>
      </c>
      <c r="AU757" s="763">
        <f t="shared" si="562"/>
        <v>0</v>
      </c>
      <c r="AV757" s="763">
        <f t="shared" si="562"/>
        <v>0</v>
      </c>
      <c r="AW757" s="763">
        <f t="shared" si="562"/>
        <v>0</v>
      </c>
      <c r="AX757" s="763">
        <f t="shared" si="562"/>
        <v>0</v>
      </c>
      <c r="AY757" s="763">
        <f t="shared" si="562"/>
        <v>0</v>
      </c>
      <c r="AZ757" s="763">
        <f t="shared" si="562"/>
        <v>0</v>
      </c>
      <c r="BA757" s="763">
        <f t="shared" si="562"/>
        <v>0</v>
      </c>
      <c r="BB757" s="763">
        <f t="shared" si="562"/>
        <v>0</v>
      </c>
      <c r="BC757" s="763">
        <f t="shared" si="562"/>
        <v>0</v>
      </c>
      <c r="BD757" s="763">
        <f t="shared" si="562"/>
        <v>0</v>
      </c>
      <c r="BE757" s="763">
        <f t="shared" si="562"/>
        <v>0</v>
      </c>
      <c r="BF757" s="763">
        <f t="shared" si="562"/>
        <v>0</v>
      </c>
      <c r="BG757" s="763">
        <f t="shared" si="562"/>
        <v>0</v>
      </c>
      <c r="BH757" s="763">
        <f t="shared" si="562"/>
        <v>0</v>
      </c>
      <c r="BI757" s="763">
        <f t="shared" si="562"/>
        <v>0</v>
      </c>
      <c r="BJ757" s="763">
        <f t="shared" si="562"/>
        <v>0</v>
      </c>
      <c r="BK757" s="763">
        <f t="shared" si="562"/>
        <v>0</v>
      </c>
      <c r="BL757" s="763">
        <f t="shared" si="562"/>
        <v>0</v>
      </c>
      <c r="BM757" s="763">
        <f t="shared" si="562"/>
        <v>0</v>
      </c>
      <c r="BN757" s="763">
        <f t="shared" si="562"/>
        <v>0</v>
      </c>
      <c r="BO757" s="763">
        <f t="shared" si="562"/>
        <v>0</v>
      </c>
      <c r="BP757" s="763">
        <f t="shared" si="562"/>
        <v>0</v>
      </c>
      <c r="BQ757" s="763">
        <f t="shared" si="562"/>
        <v>0</v>
      </c>
      <c r="BR757" s="763">
        <f t="shared" si="562"/>
        <v>0</v>
      </c>
      <c r="BS757" s="763">
        <f t="shared" si="562"/>
        <v>0</v>
      </c>
      <c r="BT757" s="763">
        <f t="shared" si="562"/>
        <v>0</v>
      </c>
      <c r="BU757" s="763">
        <f t="shared" si="562"/>
        <v>0</v>
      </c>
      <c r="BV757" s="763">
        <f t="shared" si="562"/>
        <v>0</v>
      </c>
      <c r="BW757" s="763">
        <f t="shared" si="562"/>
        <v>0</v>
      </c>
      <c r="BX757" s="763">
        <f t="shared" si="562"/>
        <v>0</v>
      </c>
      <c r="BY757" s="763">
        <f t="shared" si="562"/>
        <v>0</v>
      </c>
      <c r="BZ757" s="763">
        <f t="shared" si="562"/>
        <v>0</v>
      </c>
      <c r="CA757" s="763">
        <f t="shared" si="562"/>
        <v>0</v>
      </c>
      <c r="CB757" s="763">
        <f t="shared" si="562"/>
        <v>0</v>
      </c>
      <c r="CC757" s="763">
        <f t="shared" si="562"/>
        <v>0</v>
      </c>
      <c r="CD757" s="763">
        <f t="shared" si="562"/>
        <v>0</v>
      </c>
      <c r="CE757" s="763">
        <f t="shared" si="562"/>
        <v>0</v>
      </c>
      <c r="CF757" s="763">
        <f t="shared" si="562"/>
        <v>0</v>
      </c>
      <c r="CG757" s="763">
        <f t="shared" si="562"/>
        <v>0</v>
      </c>
      <c r="CH757" s="763">
        <f t="shared" si="562"/>
        <v>0</v>
      </c>
      <c r="CI757" s="763">
        <f t="shared" si="562"/>
        <v>0</v>
      </c>
      <c r="CJ757" s="763">
        <f t="shared" si="562"/>
        <v>0</v>
      </c>
      <c r="CK757" s="763">
        <f t="shared" si="562"/>
        <v>0</v>
      </c>
      <c r="CL757" s="763">
        <f t="shared" si="562"/>
        <v>0</v>
      </c>
      <c r="CM757" s="763">
        <f t="shared" si="562"/>
        <v>0</v>
      </c>
    </row>
    <row r="758" spans="11:91" ht="12" customHeight="1" x14ac:dyDescent="0.35">
      <c r="K758" s="28"/>
      <c r="L758" s="28"/>
      <c r="M758" s="28"/>
      <c r="N758" s="28"/>
      <c r="O758" s="28"/>
      <c r="P758" s="28"/>
      <c r="Q758" s="28"/>
      <c r="R758" s="31"/>
      <c r="S758" s="36"/>
      <c r="T758" s="366"/>
      <c r="U758" s="1189"/>
      <c r="V758" s="1189"/>
      <c r="W758" s="1190"/>
      <c r="X758" s="430">
        <f>SUM(AF737:AQ737)</f>
        <v>0</v>
      </c>
      <c r="Y758" s="431">
        <f>SUM(AR737:BC737)</f>
        <v>0</v>
      </c>
      <c r="Z758" s="431">
        <f>SUM(BD737:BO737)</f>
        <v>0</v>
      </c>
      <c r="AA758" s="432">
        <f>SUM(BP737:CA737)</f>
        <v>0</v>
      </c>
      <c r="AB758" s="432">
        <f>SUM(CB737:CM737)</f>
        <v>0</v>
      </c>
      <c r="AC758" s="1188"/>
      <c r="AD758" s="29"/>
      <c r="AE758" s="32" t="s">
        <v>498</v>
      </c>
      <c r="AF758" s="380">
        <f>IFERROR(AF738+AF745+AF752,0)</f>
        <v>0</v>
      </c>
      <c r="AG758" s="380">
        <f t="shared" ref="AG758:CM758" si="563">IFERROR(AG738+AG745+AG752,0)</f>
        <v>0</v>
      </c>
      <c r="AH758" s="380">
        <f t="shared" si="563"/>
        <v>0</v>
      </c>
      <c r="AI758" s="380">
        <f t="shared" si="563"/>
        <v>0</v>
      </c>
      <c r="AJ758" s="380">
        <f t="shared" si="563"/>
        <v>0</v>
      </c>
      <c r="AK758" s="380">
        <f t="shared" si="563"/>
        <v>0</v>
      </c>
      <c r="AL758" s="380">
        <f t="shared" si="563"/>
        <v>0</v>
      </c>
      <c r="AM758" s="380">
        <f t="shared" si="563"/>
        <v>0</v>
      </c>
      <c r="AN758" s="380">
        <f t="shared" si="563"/>
        <v>0</v>
      </c>
      <c r="AO758" s="380">
        <f t="shared" si="563"/>
        <v>0</v>
      </c>
      <c r="AP758" s="380">
        <f t="shared" si="563"/>
        <v>0</v>
      </c>
      <c r="AQ758" s="380">
        <f t="shared" si="563"/>
        <v>0</v>
      </c>
      <c r="AR758" s="380">
        <f t="shared" si="563"/>
        <v>0</v>
      </c>
      <c r="AS758" s="380">
        <f t="shared" si="563"/>
        <v>0</v>
      </c>
      <c r="AT758" s="380">
        <f t="shared" si="563"/>
        <v>0</v>
      </c>
      <c r="AU758" s="380">
        <f t="shared" si="563"/>
        <v>0</v>
      </c>
      <c r="AV758" s="380">
        <f t="shared" si="563"/>
        <v>0</v>
      </c>
      <c r="AW758" s="380">
        <f t="shared" si="563"/>
        <v>0</v>
      </c>
      <c r="AX758" s="380">
        <f t="shared" si="563"/>
        <v>0</v>
      </c>
      <c r="AY758" s="380">
        <f t="shared" si="563"/>
        <v>0</v>
      </c>
      <c r="AZ758" s="380">
        <f t="shared" si="563"/>
        <v>0</v>
      </c>
      <c r="BA758" s="380">
        <f t="shared" si="563"/>
        <v>0</v>
      </c>
      <c r="BB758" s="380">
        <f t="shared" si="563"/>
        <v>0</v>
      </c>
      <c r="BC758" s="380">
        <f t="shared" si="563"/>
        <v>0</v>
      </c>
      <c r="BD758" s="380">
        <f t="shared" si="563"/>
        <v>0</v>
      </c>
      <c r="BE758" s="380">
        <f t="shared" si="563"/>
        <v>0</v>
      </c>
      <c r="BF758" s="380">
        <f t="shared" si="563"/>
        <v>0</v>
      </c>
      <c r="BG758" s="380">
        <f t="shared" si="563"/>
        <v>0</v>
      </c>
      <c r="BH758" s="380">
        <f t="shared" si="563"/>
        <v>0</v>
      </c>
      <c r="BI758" s="380">
        <f t="shared" si="563"/>
        <v>0</v>
      </c>
      <c r="BJ758" s="380">
        <f t="shared" si="563"/>
        <v>0</v>
      </c>
      <c r="BK758" s="380">
        <f t="shared" si="563"/>
        <v>0</v>
      </c>
      <c r="BL758" s="380">
        <f t="shared" si="563"/>
        <v>0</v>
      </c>
      <c r="BM758" s="380">
        <f t="shared" si="563"/>
        <v>0</v>
      </c>
      <c r="BN758" s="380">
        <f t="shared" si="563"/>
        <v>0</v>
      </c>
      <c r="BO758" s="380">
        <f t="shared" si="563"/>
        <v>0</v>
      </c>
      <c r="BP758" s="380">
        <f t="shared" si="563"/>
        <v>0</v>
      </c>
      <c r="BQ758" s="380">
        <f t="shared" si="563"/>
        <v>0</v>
      </c>
      <c r="BR758" s="380">
        <f t="shared" si="563"/>
        <v>0</v>
      </c>
      <c r="BS758" s="380">
        <f t="shared" si="563"/>
        <v>0</v>
      </c>
      <c r="BT758" s="380">
        <f t="shared" si="563"/>
        <v>0</v>
      </c>
      <c r="BU758" s="380">
        <f t="shared" si="563"/>
        <v>0</v>
      </c>
      <c r="BV758" s="380">
        <f t="shared" si="563"/>
        <v>0</v>
      </c>
      <c r="BW758" s="380">
        <f t="shared" si="563"/>
        <v>0</v>
      </c>
      <c r="BX758" s="380">
        <f t="shared" si="563"/>
        <v>0</v>
      </c>
      <c r="BY758" s="380">
        <f t="shared" si="563"/>
        <v>0</v>
      </c>
      <c r="BZ758" s="380">
        <f t="shared" si="563"/>
        <v>0</v>
      </c>
      <c r="CA758" s="380">
        <f t="shared" si="563"/>
        <v>0</v>
      </c>
      <c r="CB758" s="380">
        <f t="shared" si="563"/>
        <v>0</v>
      </c>
      <c r="CC758" s="380">
        <f t="shared" si="563"/>
        <v>0</v>
      </c>
      <c r="CD758" s="380">
        <f t="shared" si="563"/>
        <v>0</v>
      </c>
      <c r="CE758" s="380">
        <f t="shared" si="563"/>
        <v>0</v>
      </c>
      <c r="CF758" s="380">
        <f t="shared" si="563"/>
        <v>0</v>
      </c>
      <c r="CG758" s="380">
        <f t="shared" si="563"/>
        <v>0</v>
      </c>
      <c r="CH758" s="380">
        <f t="shared" si="563"/>
        <v>0</v>
      </c>
      <c r="CI758" s="380">
        <f t="shared" si="563"/>
        <v>0</v>
      </c>
      <c r="CJ758" s="380">
        <f t="shared" si="563"/>
        <v>0</v>
      </c>
      <c r="CK758" s="380">
        <f t="shared" si="563"/>
        <v>0</v>
      </c>
      <c r="CL758" s="380">
        <f t="shared" si="563"/>
        <v>0</v>
      </c>
      <c r="CM758" s="380">
        <f t="shared" si="563"/>
        <v>0</v>
      </c>
    </row>
    <row r="759" spans="11:91" ht="12" customHeight="1" x14ac:dyDescent="0.35">
      <c r="K759" s="28"/>
      <c r="L759" s="28"/>
      <c r="M759" s="28"/>
      <c r="N759" s="28"/>
      <c r="O759" s="28"/>
      <c r="P759" s="28"/>
      <c r="Q759" s="28"/>
      <c r="R759" s="31"/>
      <c r="S759" s="36"/>
      <c r="T759" s="366"/>
      <c r="U759" s="1189"/>
      <c r="V759" s="1189"/>
      <c r="W759" s="1190"/>
      <c r="X759" s="430">
        <f>SUM(AF744:AQ744)</f>
        <v>0</v>
      </c>
      <c r="Y759" s="431">
        <f>SUM(AR744:BC744)</f>
        <v>0</v>
      </c>
      <c r="Z759" s="431">
        <f>SUM(BD744:BO744)</f>
        <v>0</v>
      </c>
      <c r="AA759" s="432">
        <f>SUM(BP744:CA744)</f>
        <v>0</v>
      </c>
      <c r="AB759" s="432">
        <f>SUM(CB744:CM744)</f>
        <v>0</v>
      </c>
      <c r="AC759" s="1188"/>
      <c r="AD759" s="29"/>
      <c r="AE759" s="32"/>
      <c r="AF759" s="380"/>
      <c r="AG759" s="380"/>
      <c r="AH759" s="380"/>
      <c r="AI759" s="380"/>
      <c r="AJ759" s="380"/>
      <c r="AK759" s="380"/>
      <c r="AL759" s="380"/>
      <c r="AM759" s="380"/>
      <c r="AN759" s="380"/>
      <c r="AO759" s="380"/>
      <c r="AP759" s="380"/>
      <c r="AQ759" s="380"/>
      <c r="AR759" s="380"/>
      <c r="AS759" s="380"/>
      <c r="AT759" s="380"/>
      <c r="AU759" s="380"/>
      <c r="AV759" s="380"/>
      <c r="AW759" s="380"/>
      <c r="AX759" s="380"/>
      <c r="AY759" s="380"/>
      <c r="AZ759" s="380"/>
      <c r="BA759" s="380"/>
      <c r="BB759" s="380"/>
      <c r="BC759" s="380"/>
      <c r="BD759" s="380"/>
      <c r="BE759" s="380"/>
      <c r="BF759" s="380"/>
      <c r="BG759" s="380"/>
      <c r="BH759" s="380"/>
      <c r="BI759" s="380"/>
      <c r="BJ759" s="380"/>
      <c r="BK759" s="380"/>
      <c r="BL759" s="380"/>
      <c r="BM759" s="380"/>
      <c r="BN759" s="380"/>
      <c r="BO759" s="380"/>
      <c r="BP759" s="380"/>
      <c r="BQ759" s="380"/>
      <c r="BR759" s="380"/>
      <c r="BS759" s="380"/>
      <c r="BT759" s="380"/>
      <c r="BU759" s="380"/>
      <c r="BV759" s="380"/>
      <c r="BW759" s="380"/>
      <c r="BX759" s="380"/>
      <c r="BY759" s="380"/>
      <c r="BZ759" s="380"/>
      <c r="CA759" s="380"/>
      <c r="CB759" s="380"/>
      <c r="CC759" s="380"/>
      <c r="CD759" s="380"/>
      <c r="CE759" s="380"/>
      <c r="CF759" s="380"/>
      <c r="CG759" s="380"/>
      <c r="CH759" s="380"/>
      <c r="CI759" s="380"/>
      <c r="CJ759" s="380"/>
      <c r="CK759" s="380"/>
      <c r="CL759" s="380"/>
      <c r="CM759" s="380"/>
    </row>
    <row r="760" spans="11:91" ht="12" customHeight="1" x14ac:dyDescent="0.35">
      <c r="K760" s="28"/>
      <c r="L760" s="28"/>
      <c r="M760" s="28"/>
      <c r="N760" s="28"/>
      <c r="O760" s="28"/>
      <c r="P760" s="28"/>
      <c r="Q760" s="28"/>
      <c r="R760" s="31"/>
      <c r="S760" s="36"/>
      <c r="T760" s="366"/>
      <c r="U760" s="1189"/>
      <c r="V760" s="1189"/>
      <c r="W760" s="1190"/>
      <c r="X760" s="430">
        <f>SUM(AF751:AQ751)</f>
        <v>0</v>
      </c>
      <c r="Y760" s="431">
        <f>SUM(AR751:BC751)</f>
        <v>0</v>
      </c>
      <c r="Z760" s="431">
        <f>SUM(BD751:BO751)</f>
        <v>0</v>
      </c>
      <c r="AA760" s="432">
        <f>SUM(BP751:CA751)</f>
        <v>0</v>
      </c>
      <c r="AB760" s="432">
        <f>SUM(CB751:CM751)</f>
        <v>0</v>
      </c>
      <c r="AC760" s="1188"/>
      <c r="AD760" s="29"/>
      <c r="AE760" s="32" t="s">
        <v>499</v>
      </c>
      <c r="AF760" s="380">
        <f t="shared" ref="AF760:BK760" si="564">IF($AE736&lt;12,AF741,0) + IF($AE743&lt;12,AF748,0) +IF($AE750&lt;12,AF755,0)</f>
        <v>0</v>
      </c>
      <c r="AG760" s="380">
        <f t="shared" si="564"/>
        <v>0</v>
      </c>
      <c r="AH760" s="380">
        <f t="shared" si="564"/>
        <v>0</v>
      </c>
      <c r="AI760" s="380">
        <f t="shared" si="564"/>
        <v>0</v>
      </c>
      <c r="AJ760" s="380">
        <f t="shared" si="564"/>
        <v>0</v>
      </c>
      <c r="AK760" s="380">
        <f t="shared" si="564"/>
        <v>0</v>
      </c>
      <c r="AL760" s="380">
        <f t="shared" si="564"/>
        <v>0</v>
      </c>
      <c r="AM760" s="380">
        <f t="shared" si="564"/>
        <v>0</v>
      </c>
      <c r="AN760" s="380">
        <f t="shared" si="564"/>
        <v>0</v>
      </c>
      <c r="AO760" s="380">
        <f t="shared" si="564"/>
        <v>0</v>
      </c>
      <c r="AP760" s="380">
        <f t="shared" si="564"/>
        <v>0</v>
      </c>
      <c r="AQ760" s="380">
        <f t="shared" si="564"/>
        <v>0</v>
      </c>
      <c r="AR760" s="380">
        <f t="shared" si="564"/>
        <v>0</v>
      </c>
      <c r="AS760" s="380">
        <f t="shared" si="564"/>
        <v>0</v>
      </c>
      <c r="AT760" s="380">
        <f t="shared" si="564"/>
        <v>0</v>
      </c>
      <c r="AU760" s="380">
        <f t="shared" si="564"/>
        <v>0</v>
      </c>
      <c r="AV760" s="380">
        <f t="shared" si="564"/>
        <v>0</v>
      </c>
      <c r="AW760" s="380">
        <f t="shared" si="564"/>
        <v>0</v>
      </c>
      <c r="AX760" s="380">
        <f t="shared" si="564"/>
        <v>0</v>
      </c>
      <c r="AY760" s="380">
        <f t="shared" si="564"/>
        <v>0</v>
      </c>
      <c r="AZ760" s="380">
        <f t="shared" si="564"/>
        <v>0</v>
      </c>
      <c r="BA760" s="380">
        <f t="shared" si="564"/>
        <v>0</v>
      </c>
      <c r="BB760" s="380">
        <f t="shared" si="564"/>
        <v>0</v>
      </c>
      <c r="BC760" s="380">
        <f t="shared" si="564"/>
        <v>0</v>
      </c>
      <c r="BD760" s="380">
        <f t="shared" si="564"/>
        <v>0</v>
      </c>
      <c r="BE760" s="380">
        <f t="shared" si="564"/>
        <v>0</v>
      </c>
      <c r="BF760" s="380">
        <f t="shared" si="564"/>
        <v>0</v>
      </c>
      <c r="BG760" s="380">
        <f t="shared" si="564"/>
        <v>0</v>
      </c>
      <c r="BH760" s="380">
        <f t="shared" si="564"/>
        <v>0</v>
      </c>
      <c r="BI760" s="380">
        <f t="shared" si="564"/>
        <v>0</v>
      </c>
      <c r="BJ760" s="380">
        <f t="shared" si="564"/>
        <v>0</v>
      </c>
      <c r="BK760" s="380">
        <f t="shared" si="564"/>
        <v>0</v>
      </c>
      <c r="BL760" s="380">
        <f t="shared" ref="BL760:CM760" si="565">IF($AE736&lt;12,BL741,0) + IF($AE743&lt;12,BL748,0) +IF($AE750&lt;12,BL755,0)</f>
        <v>0</v>
      </c>
      <c r="BM760" s="380">
        <f t="shared" si="565"/>
        <v>0</v>
      </c>
      <c r="BN760" s="380">
        <f t="shared" si="565"/>
        <v>0</v>
      </c>
      <c r="BO760" s="380">
        <f t="shared" si="565"/>
        <v>0</v>
      </c>
      <c r="BP760" s="380">
        <f t="shared" si="565"/>
        <v>0</v>
      </c>
      <c r="BQ760" s="380">
        <f t="shared" si="565"/>
        <v>0</v>
      </c>
      <c r="BR760" s="380">
        <f t="shared" si="565"/>
        <v>0</v>
      </c>
      <c r="BS760" s="380">
        <f t="shared" si="565"/>
        <v>0</v>
      </c>
      <c r="BT760" s="380">
        <f t="shared" si="565"/>
        <v>0</v>
      </c>
      <c r="BU760" s="380">
        <f t="shared" si="565"/>
        <v>0</v>
      </c>
      <c r="BV760" s="380">
        <f t="shared" si="565"/>
        <v>0</v>
      </c>
      <c r="BW760" s="380">
        <f t="shared" si="565"/>
        <v>0</v>
      </c>
      <c r="BX760" s="380">
        <f t="shared" si="565"/>
        <v>0</v>
      </c>
      <c r="BY760" s="380">
        <f t="shared" si="565"/>
        <v>0</v>
      </c>
      <c r="BZ760" s="380">
        <f t="shared" si="565"/>
        <v>0</v>
      </c>
      <c r="CA760" s="380">
        <f t="shared" si="565"/>
        <v>0</v>
      </c>
      <c r="CB760" s="380">
        <f t="shared" si="565"/>
        <v>0</v>
      </c>
      <c r="CC760" s="380">
        <f t="shared" si="565"/>
        <v>0</v>
      </c>
      <c r="CD760" s="380">
        <f t="shared" si="565"/>
        <v>0</v>
      </c>
      <c r="CE760" s="380">
        <f t="shared" si="565"/>
        <v>0</v>
      </c>
      <c r="CF760" s="380">
        <f t="shared" si="565"/>
        <v>0</v>
      </c>
      <c r="CG760" s="380">
        <f t="shared" si="565"/>
        <v>0</v>
      </c>
      <c r="CH760" s="380">
        <f t="shared" si="565"/>
        <v>0</v>
      </c>
      <c r="CI760" s="380">
        <f t="shared" si="565"/>
        <v>0</v>
      </c>
      <c r="CJ760" s="380">
        <f t="shared" si="565"/>
        <v>0</v>
      </c>
      <c r="CK760" s="380">
        <f t="shared" si="565"/>
        <v>0</v>
      </c>
      <c r="CL760" s="380">
        <f t="shared" si="565"/>
        <v>0</v>
      </c>
      <c r="CM760" s="380">
        <f t="shared" si="565"/>
        <v>0</v>
      </c>
    </row>
    <row r="761" spans="11:91" ht="12" customHeight="1" x14ac:dyDescent="0.35">
      <c r="K761" s="28"/>
      <c r="L761" s="28"/>
      <c r="M761" s="28"/>
      <c r="N761" s="28"/>
      <c r="O761" s="28"/>
      <c r="P761" s="28"/>
      <c r="Q761" s="28"/>
      <c r="R761" s="31"/>
      <c r="S761" s="36"/>
      <c r="T761" s="366"/>
      <c r="U761" s="1189"/>
      <c r="V761" s="1189"/>
      <c r="W761" s="1190" t="s">
        <v>491</v>
      </c>
      <c r="X761" s="63">
        <f>SUM(X758:X760)</f>
        <v>0</v>
      </c>
      <c r="Y761" s="63">
        <f>SUM(Y758:Y760)</f>
        <v>0</v>
      </c>
      <c r="Z761" s="63">
        <f>SUM(Z758:Z760)</f>
        <v>0</v>
      </c>
      <c r="AA761" s="63">
        <f>SUM(AA758:AA760)</f>
        <v>0</v>
      </c>
      <c r="AB761" s="63">
        <f>SUM(AB758:AB760)</f>
        <v>0</v>
      </c>
      <c r="AC761" s="1188"/>
      <c r="AD761" s="29"/>
      <c r="AE761" s="32" t="s">
        <v>500</v>
      </c>
      <c r="AF761" s="380">
        <f t="shared" ref="AF761:BK761" si="566">IF($AE736&lt;12,AF740,0) + IF($AE743&lt;12,AF747,0) +IF($AE750&lt;12,AF754,0)</f>
        <v>0</v>
      </c>
      <c r="AG761" s="380">
        <f t="shared" si="566"/>
        <v>0</v>
      </c>
      <c r="AH761" s="380">
        <f t="shared" si="566"/>
        <v>0</v>
      </c>
      <c r="AI761" s="380">
        <f t="shared" si="566"/>
        <v>0</v>
      </c>
      <c r="AJ761" s="380">
        <f t="shared" si="566"/>
        <v>0</v>
      </c>
      <c r="AK761" s="380">
        <f t="shared" si="566"/>
        <v>0</v>
      </c>
      <c r="AL761" s="380">
        <f t="shared" si="566"/>
        <v>0</v>
      </c>
      <c r="AM761" s="380">
        <f t="shared" si="566"/>
        <v>0</v>
      </c>
      <c r="AN761" s="380">
        <f t="shared" si="566"/>
        <v>0</v>
      </c>
      <c r="AO761" s="380">
        <f t="shared" si="566"/>
        <v>0</v>
      </c>
      <c r="AP761" s="380">
        <f t="shared" si="566"/>
        <v>0</v>
      </c>
      <c r="AQ761" s="380">
        <f t="shared" si="566"/>
        <v>0</v>
      </c>
      <c r="AR761" s="380">
        <f t="shared" si="566"/>
        <v>0</v>
      </c>
      <c r="AS761" s="380">
        <f t="shared" si="566"/>
        <v>0</v>
      </c>
      <c r="AT761" s="380">
        <f t="shared" si="566"/>
        <v>0</v>
      </c>
      <c r="AU761" s="380">
        <f t="shared" si="566"/>
        <v>0</v>
      </c>
      <c r="AV761" s="380">
        <f t="shared" si="566"/>
        <v>0</v>
      </c>
      <c r="AW761" s="380">
        <f t="shared" si="566"/>
        <v>0</v>
      </c>
      <c r="AX761" s="380">
        <f t="shared" si="566"/>
        <v>0</v>
      </c>
      <c r="AY761" s="380">
        <f t="shared" si="566"/>
        <v>0</v>
      </c>
      <c r="AZ761" s="380">
        <f t="shared" si="566"/>
        <v>0</v>
      </c>
      <c r="BA761" s="380">
        <f t="shared" si="566"/>
        <v>0</v>
      </c>
      <c r="BB761" s="380">
        <f t="shared" si="566"/>
        <v>0</v>
      </c>
      <c r="BC761" s="380">
        <f t="shared" si="566"/>
        <v>0</v>
      </c>
      <c r="BD761" s="380">
        <f t="shared" si="566"/>
        <v>0</v>
      </c>
      <c r="BE761" s="380">
        <f t="shared" si="566"/>
        <v>0</v>
      </c>
      <c r="BF761" s="380">
        <f t="shared" si="566"/>
        <v>0</v>
      </c>
      <c r="BG761" s="380">
        <f t="shared" si="566"/>
        <v>0</v>
      </c>
      <c r="BH761" s="380">
        <f t="shared" si="566"/>
        <v>0</v>
      </c>
      <c r="BI761" s="380">
        <f t="shared" si="566"/>
        <v>0</v>
      </c>
      <c r="BJ761" s="380">
        <f t="shared" si="566"/>
        <v>0</v>
      </c>
      <c r="BK761" s="380">
        <f t="shared" si="566"/>
        <v>0</v>
      </c>
      <c r="BL761" s="380">
        <f t="shared" ref="BL761:CM761" si="567">IF($AE736&lt;12,BL740,0) + IF($AE743&lt;12,BL747,0) +IF($AE750&lt;12,BL754,0)</f>
        <v>0</v>
      </c>
      <c r="BM761" s="380">
        <f t="shared" si="567"/>
        <v>0</v>
      </c>
      <c r="BN761" s="380">
        <f t="shared" si="567"/>
        <v>0</v>
      </c>
      <c r="BO761" s="380">
        <f t="shared" si="567"/>
        <v>0</v>
      </c>
      <c r="BP761" s="380">
        <f t="shared" si="567"/>
        <v>0</v>
      </c>
      <c r="BQ761" s="380">
        <f t="shared" si="567"/>
        <v>0</v>
      </c>
      <c r="BR761" s="380">
        <f t="shared" si="567"/>
        <v>0</v>
      </c>
      <c r="BS761" s="380">
        <f t="shared" si="567"/>
        <v>0</v>
      </c>
      <c r="BT761" s="380">
        <f t="shared" si="567"/>
        <v>0</v>
      </c>
      <c r="BU761" s="380">
        <f t="shared" si="567"/>
        <v>0</v>
      </c>
      <c r="BV761" s="380">
        <f t="shared" si="567"/>
        <v>0</v>
      </c>
      <c r="BW761" s="380">
        <f t="shared" si="567"/>
        <v>0</v>
      </c>
      <c r="BX761" s="380">
        <f t="shared" si="567"/>
        <v>0</v>
      </c>
      <c r="BY761" s="380">
        <f t="shared" si="567"/>
        <v>0</v>
      </c>
      <c r="BZ761" s="380">
        <f t="shared" si="567"/>
        <v>0</v>
      </c>
      <c r="CA761" s="380">
        <f t="shared" si="567"/>
        <v>0</v>
      </c>
      <c r="CB761" s="380">
        <f t="shared" si="567"/>
        <v>0</v>
      </c>
      <c r="CC761" s="380">
        <f t="shared" si="567"/>
        <v>0</v>
      </c>
      <c r="CD761" s="380">
        <f t="shared" si="567"/>
        <v>0</v>
      </c>
      <c r="CE761" s="380">
        <f t="shared" si="567"/>
        <v>0</v>
      </c>
      <c r="CF761" s="380">
        <f t="shared" si="567"/>
        <v>0</v>
      </c>
      <c r="CG761" s="380">
        <f t="shared" si="567"/>
        <v>0</v>
      </c>
      <c r="CH761" s="380">
        <f t="shared" si="567"/>
        <v>0</v>
      </c>
      <c r="CI761" s="380">
        <f t="shared" si="567"/>
        <v>0</v>
      </c>
      <c r="CJ761" s="380">
        <f t="shared" si="567"/>
        <v>0</v>
      </c>
      <c r="CK761" s="380">
        <f t="shared" si="567"/>
        <v>0</v>
      </c>
      <c r="CL761" s="380">
        <f t="shared" si="567"/>
        <v>0</v>
      </c>
      <c r="CM761" s="380">
        <f t="shared" si="567"/>
        <v>0</v>
      </c>
    </row>
    <row r="762" spans="11:91" ht="12" customHeight="1" x14ac:dyDescent="0.35">
      <c r="K762" s="28"/>
      <c r="L762" s="28"/>
      <c r="M762" s="28"/>
      <c r="N762" s="28"/>
      <c r="O762" s="28"/>
      <c r="P762" s="28"/>
      <c r="Q762" s="28"/>
      <c r="R762" s="31"/>
      <c r="S762" s="36"/>
      <c r="T762" s="366"/>
      <c r="U762" s="1189"/>
      <c r="V762" s="1189"/>
      <c r="W762" s="1194" t="s">
        <v>188</v>
      </c>
      <c r="X762" s="63">
        <f>SUM(X766:X768)</f>
        <v>0</v>
      </c>
      <c r="Y762" s="63">
        <f>SUM(Y766:Y768)</f>
        <v>0</v>
      </c>
      <c r="Z762" s="63">
        <f>SUM(Z766:Z768)</f>
        <v>0</v>
      </c>
      <c r="AA762" s="63">
        <f>SUM(AA766:AA768)</f>
        <v>0</v>
      </c>
      <c r="AB762" s="63">
        <f>SUM(AB766:AB768)</f>
        <v>0</v>
      </c>
      <c r="AC762" s="1188"/>
      <c r="AD762" s="29"/>
      <c r="AE762" s="32"/>
      <c r="AF762" s="380"/>
      <c r="AG762" s="380"/>
      <c r="AH762" s="380"/>
      <c r="AI762" s="380"/>
      <c r="AJ762" s="380"/>
      <c r="AK762" s="380"/>
      <c r="AL762" s="380"/>
      <c r="AM762" s="380"/>
      <c r="AN762" s="380"/>
      <c r="AO762" s="380"/>
      <c r="AP762" s="380"/>
      <c r="AQ762" s="380"/>
      <c r="AR762" s="380"/>
      <c r="AS762" s="380"/>
      <c r="AT762" s="380"/>
      <c r="AU762" s="380"/>
      <c r="AV762" s="380"/>
      <c r="AW762" s="380"/>
      <c r="AX762" s="380"/>
      <c r="AY762" s="380"/>
      <c r="AZ762" s="380"/>
      <c r="BA762" s="380"/>
      <c r="BB762" s="380"/>
      <c r="BC762" s="380"/>
      <c r="BD762" s="380"/>
      <c r="BE762" s="380"/>
      <c r="BF762" s="380"/>
      <c r="BG762" s="380"/>
      <c r="BH762" s="380"/>
      <c r="BI762" s="380"/>
      <c r="BJ762" s="380"/>
      <c r="BK762" s="380"/>
      <c r="BL762" s="380"/>
      <c r="BM762" s="380"/>
      <c r="BN762" s="380"/>
      <c r="BO762" s="380"/>
      <c r="BP762" s="380"/>
      <c r="BQ762" s="380"/>
      <c r="BR762" s="380"/>
      <c r="BS762" s="380"/>
      <c r="BT762" s="380"/>
      <c r="BU762" s="380"/>
      <c r="BV762" s="380"/>
      <c r="BW762" s="380"/>
      <c r="BX762" s="380"/>
      <c r="BY762" s="380"/>
      <c r="BZ762" s="380"/>
      <c r="CA762" s="380"/>
      <c r="CB762" s="380"/>
      <c r="CC762" s="380"/>
      <c r="CD762" s="380"/>
      <c r="CE762" s="380"/>
      <c r="CF762" s="380"/>
      <c r="CG762" s="380"/>
      <c r="CH762" s="380"/>
      <c r="CI762" s="380"/>
      <c r="CJ762" s="380"/>
      <c r="CK762" s="380"/>
      <c r="CL762" s="380"/>
      <c r="CM762" s="380"/>
    </row>
    <row r="763" spans="11:91" ht="12" customHeight="1" x14ac:dyDescent="0.35">
      <c r="K763" s="28"/>
      <c r="L763" s="28"/>
      <c r="M763" s="28"/>
      <c r="N763" s="28"/>
      <c r="O763" s="28"/>
      <c r="P763" s="28"/>
      <c r="Q763" s="28"/>
      <c r="R763" s="31"/>
      <c r="S763" s="36"/>
      <c r="T763" s="366"/>
      <c r="U763" s="1189"/>
      <c r="V763" s="1189"/>
      <c r="W763" s="377" t="s">
        <v>493</v>
      </c>
      <c r="X763" s="63">
        <f>SUM(X769:X771)</f>
        <v>0</v>
      </c>
      <c r="Y763" s="63">
        <f>SUM(Y769:Y771)</f>
        <v>0</v>
      </c>
      <c r="Z763" s="63">
        <f>SUM(Z769:Z771)</f>
        <v>0</v>
      </c>
      <c r="AA763" s="63">
        <f>SUM(AA769:AA771)</f>
        <v>0</v>
      </c>
      <c r="AB763" s="63">
        <f>SUM(AB769:AB771)</f>
        <v>0</v>
      </c>
      <c r="AC763" s="1188"/>
      <c r="AD763" s="29"/>
      <c r="AE763" s="32"/>
      <c r="AF763" s="380"/>
      <c r="AG763" s="380"/>
      <c r="AH763" s="380"/>
      <c r="AI763" s="380"/>
      <c r="AJ763" s="380"/>
      <c r="AK763" s="380"/>
      <c r="AL763" s="380"/>
      <c r="AM763" s="380"/>
      <c r="AN763" s="380"/>
      <c r="AO763" s="380"/>
      <c r="AP763" s="380"/>
      <c r="AQ763" s="380"/>
      <c r="AR763" s="380"/>
      <c r="AS763" s="380"/>
      <c r="AT763" s="380"/>
      <c r="AU763" s="380"/>
      <c r="AV763" s="380"/>
      <c r="AW763" s="380"/>
      <c r="AX763" s="380"/>
      <c r="AY763" s="380"/>
      <c r="AZ763" s="380"/>
      <c r="BA763" s="380"/>
      <c r="BB763" s="380"/>
      <c r="BC763" s="380"/>
      <c r="BD763" s="380"/>
      <c r="BE763" s="380"/>
      <c r="BF763" s="380"/>
      <c r="BG763" s="380"/>
      <c r="BH763" s="380"/>
      <c r="BI763" s="380"/>
      <c r="BJ763" s="380"/>
      <c r="BK763" s="380"/>
      <c r="BL763" s="380"/>
      <c r="BM763" s="380"/>
      <c r="BN763" s="380"/>
      <c r="BO763" s="380"/>
      <c r="BP763" s="380"/>
      <c r="BQ763" s="380"/>
      <c r="BR763" s="380"/>
      <c r="BS763" s="380"/>
      <c r="BT763" s="380"/>
      <c r="BU763" s="380"/>
      <c r="BV763" s="380"/>
      <c r="BW763" s="380"/>
      <c r="BX763" s="380"/>
      <c r="BY763" s="380"/>
      <c r="BZ763" s="380"/>
      <c r="CA763" s="380"/>
      <c r="CB763" s="380"/>
      <c r="CC763" s="380"/>
      <c r="CD763" s="380"/>
      <c r="CE763" s="380"/>
      <c r="CF763" s="380"/>
      <c r="CG763" s="380"/>
      <c r="CH763" s="380"/>
      <c r="CI763" s="380"/>
      <c r="CJ763" s="380"/>
      <c r="CK763" s="380"/>
      <c r="CL763" s="380"/>
      <c r="CM763" s="380"/>
    </row>
    <row r="764" spans="11:91" ht="12" customHeight="1" x14ac:dyDescent="0.35">
      <c r="K764" s="28"/>
      <c r="L764" s="28"/>
      <c r="M764" s="28"/>
      <c r="N764" s="28"/>
      <c r="O764" s="28"/>
      <c r="P764" s="28"/>
      <c r="Q764" s="28"/>
      <c r="R764" s="31"/>
      <c r="S764" s="36"/>
      <c r="T764" s="365"/>
      <c r="U764" s="1188"/>
      <c r="V764" s="1188"/>
      <c r="W764" s="377" t="s">
        <v>494</v>
      </c>
      <c r="X764" s="63">
        <f>SUM(X773:X775)</f>
        <v>0</v>
      </c>
      <c r="Y764" s="63">
        <f>SUM(Y773:Y775)</f>
        <v>0</v>
      </c>
      <c r="Z764" s="63">
        <f>SUM(Z773:Z775)</f>
        <v>0</v>
      </c>
      <c r="AA764" s="63">
        <f>SUM(AA773:AA775)</f>
        <v>0</v>
      </c>
      <c r="AB764" s="63">
        <f>SUM(AB773:AB775)</f>
        <v>0</v>
      </c>
      <c r="AC764" s="1188"/>
      <c r="AD764" s="29"/>
      <c r="AE764" s="32" t="s">
        <v>501</v>
      </c>
      <c r="AF764" s="380">
        <f>IFERROR(AF741+AF748+AF755-AF760,0)</f>
        <v>0</v>
      </c>
      <c r="AG764" s="380">
        <f t="shared" ref="AG764:CM764" si="568">IFERROR(AG741+AG748+AG755-AG760,0)</f>
        <v>0</v>
      </c>
      <c r="AH764" s="380">
        <f t="shared" si="568"/>
        <v>0</v>
      </c>
      <c r="AI764" s="380">
        <f t="shared" si="568"/>
        <v>0</v>
      </c>
      <c r="AJ764" s="380">
        <f t="shared" si="568"/>
        <v>0</v>
      </c>
      <c r="AK764" s="380">
        <f t="shared" si="568"/>
        <v>0</v>
      </c>
      <c r="AL764" s="380">
        <f t="shared" si="568"/>
        <v>0</v>
      </c>
      <c r="AM764" s="380">
        <f t="shared" si="568"/>
        <v>0</v>
      </c>
      <c r="AN764" s="380">
        <f t="shared" si="568"/>
        <v>0</v>
      </c>
      <c r="AO764" s="380">
        <f t="shared" si="568"/>
        <v>0</v>
      </c>
      <c r="AP764" s="380">
        <f t="shared" si="568"/>
        <v>0</v>
      </c>
      <c r="AQ764" s="380">
        <f t="shared" si="568"/>
        <v>0</v>
      </c>
      <c r="AR764" s="380">
        <f t="shared" si="568"/>
        <v>0</v>
      </c>
      <c r="AS764" s="380">
        <f t="shared" si="568"/>
        <v>0</v>
      </c>
      <c r="AT764" s="380">
        <f t="shared" si="568"/>
        <v>0</v>
      </c>
      <c r="AU764" s="380">
        <f t="shared" si="568"/>
        <v>0</v>
      </c>
      <c r="AV764" s="380">
        <f t="shared" si="568"/>
        <v>0</v>
      </c>
      <c r="AW764" s="380">
        <f t="shared" si="568"/>
        <v>0</v>
      </c>
      <c r="AX764" s="380">
        <f t="shared" si="568"/>
        <v>0</v>
      </c>
      <c r="AY764" s="380">
        <f t="shared" si="568"/>
        <v>0</v>
      </c>
      <c r="AZ764" s="380">
        <f t="shared" si="568"/>
        <v>0</v>
      </c>
      <c r="BA764" s="380">
        <f t="shared" si="568"/>
        <v>0</v>
      </c>
      <c r="BB764" s="380">
        <f t="shared" si="568"/>
        <v>0</v>
      </c>
      <c r="BC764" s="380">
        <f t="shared" si="568"/>
        <v>0</v>
      </c>
      <c r="BD764" s="380">
        <f t="shared" si="568"/>
        <v>0</v>
      </c>
      <c r="BE764" s="380">
        <f t="shared" si="568"/>
        <v>0</v>
      </c>
      <c r="BF764" s="380">
        <f t="shared" si="568"/>
        <v>0</v>
      </c>
      <c r="BG764" s="380">
        <f t="shared" si="568"/>
        <v>0</v>
      </c>
      <c r="BH764" s="380">
        <f t="shared" si="568"/>
        <v>0</v>
      </c>
      <c r="BI764" s="380">
        <f t="shared" si="568"/>
        <v>0</v>
      </c>
      <c r="BJ764" s="380">
        <f t="shared" si="568"/>
        <v>0</v>
      </c>
      <c r="BK764" s="380">
        <f t="shared" si="568"/>
        <v>0</v>
      </c>
      <c r="BL764" s="380">
        <f t="shared" si="568"/>
        <v>0</v>
      </c>
      <c r="BM764" s="380">
        <f t="shared" si="568"/>
        <v>0</v>
      </c>
      <c r="BN764" s="380">
        <f t="shared" si="568"/>
        <v>0</v>
      </c>
      <c r="BO764" s="380">
        <f t="shared" si="568"/>
        <v>0</v>
      </c>
      <c r="BP764" s="380">
        <f t="shared" si="568"/>
        <v>0</v>
      </c>
      <c r="BQ764" s="380">
        <f t="shared" si="568"/>
        <v>0</v>
      </c>
      <c r="BR764" s="380">
        <f t="shared" si="568"/>
        <v>0</v>
      </c>
      <c r="BS764" s="380">
        <f t="shared" si="568"/>
        <v>0</v>
      </c>
      <c r="BT764" s="380">
        <f t="shared" si="568"/>
        <v>0</v>
      </c>
      <c r="BU764" s="380">
        <f t="shared" si="568"/>
        <v>0</v>
      </c>
      <c r="BV764" s="380">
        <f t="shared" si="568"/>
        <v>0</v>
      </c>
      <c r="BW764" s="380">
        <f t="shared" si="568"/>
        <v>0</v>
      </c>
      <c r="BX764" s="380">
        <f t="shared" si="568"/>
        <v>0</v>
      </c>
      <c r="BY764" s="380">
        <f t="shared" si="568"/>
        <v>0</v>
      </c>
      <c r="BZ764" s="380">
        <f t="shared" si="568"/>
        <v>0</v>
      </c>
      <c r="CA764" s="380">
        <f t="shared" si="568"/>
        <v>0</v>
      </c>
      <c r="CB764" s="380">
        <f t="shared" si="568"/>
        <v>0</v>
      </c>
      <c r="CC764" s="380">
        <f t="shared" si="568"/>
        <v>0</v>
      </c>
      <c r="CD764" s="380">
        <f t="shared" si="568"/>
        <v>0</v>
      </c>
      <c r="CE764" s="380">
        <f t="shared" si="568"/>
        <v>0</v>
      </c>
      <c r="CF764" s="380">
        <f t="shared" si="568"/>
        <v>0</v>
      </c>
      <c r="CG764" s="380">
        <f t="shared" si="568"/>
        <v>0</v>
      </c>
      <c r="CH764" s="380">
        <f t="shared" si="568"/>
        <v>0</v>
      </c>
      <c r="CI764" s="380">
        <f t="shared" si="568"/>
        <v>0</v>
      </c>
      <c r="CJ764" s="380">
        <f t="shared" si="568"/>
        <v>0</v>
      </c>
      <c r="CK764" s="380">
        <f t="shared" si="568"/>
        <v>0</v>
      </c>
      <c r="CL764" s="380">
        <f t="shared" si="568"/>
        <v>0</v>
      </c>
      <c r="CM764" s="380">
        <f t="shared" si="568"/>
        <v>0</v>
      </c>
    </row>
    <row r="765" spans="11:91" ht="12" customHeight="1" x14ac:dyDescent="0.35">
      <c r="K765" s="28"/>
      <c r="L765" s="28"/>
      <c r="M765" s="28"/>
      <c r="N765" s="28"/>
      <c r="O765" s="28"/>
      <c r="P765" s="28"/>
      <c r="Q765" s="28"/>
      <c r="R765" s="31">
        <f>IF(Input!D$298=L1049,Input!D$297,0)</f>
        <v>0</v>
      </c>
      <c r="S765" s="36">
        <f t="shared" ref="S765:S770" si="569">Q1056</f>
        <v>0</v>
      </c>
      <c r="T765" s="365"/>
      <c r="U765" s="1188"/>
      <c r="V765" s="1188"/>
      <c r="W765" s="1194"/>
      <c r="X765" s="1804"/>
      <c r="Y765" s="1804"/>
      <c r="Z765" s="1804"/>
      <c r="AA765" s="1804"/>
      <c r="AB765" s="1804"/>
      <c r="AC765" s="29"/>
      <c r="AD765" s="29"/>
      <c r="AE765" s="32" t="s">
        <v>502</v>
      </c>
      <c r="AF765" s="380">
        <f>IFERROR(AF740+AF747+AF754-AF761,0)</f>
        <v>0</v>
      </c>
      <c r="AG765" s="380">
        <f t="shared" ref="AG765:CM765" si="570">IFERROR(AG740+AG747+AG754-AG761,0)</f>
        <v>0</v>
      </c>
      <c r="AH765" s="380">
        <f t="shared" si="570"/>
        <v>0</v>
      </c>
      <c r="AI765" s="380">
        <f t="shared" si="570"/>
        <v>0</v>
      </c>
      <c r="AJ765" s="380">
        <f t="shared" si="570"/>
        <v>0</v>
      </c>
      <c r="AK765" s="380">
        <f t="shared" si="570"/>
        <v>0</v>
      </c>
      <c r="AL765" s="380">
        <f t="shared" si="570"/>
        <v>0</v>
      </c>
      <c r="AM765" s="380">
        <f t="shared" si="570"/>
        <v>0</v>
      </c>
      <c r="AN765" s="380">
        <f t="shared" si="570"/>
        <v>0</v>
      </c>
      <c r="AO765" s="380">
        <f t="shared" si="570"/>
        <v>0</v>
      </c>
      <c r="AP765" s="380">
        <f t="shared" si="570"/>
        <v>0</v>
      </c>
      <c r="AQ765" s="380">
        <f t="shared" si="570"/>
        <v>0</v>
      </c>
      <c r="AR765" s="380">
        <f t="shared" si="570"/>
        <v>0</v>
      </c>
      <c r="AS765" s="380">
        <f t="shared" si="570"/>
        <v>0</v>
      </c>
      <c r="AT765" s="380">
        <f t="shared" si="570"/>
        <v>0</v>
      </c>
      <c r="AU765" s="380">
        <f t="shared" si="570"/>
        <v>0</v>
      </c>
      <c r="AV765" s="380">
        <f t="shared" si="570"/>
        <v>0</v>
      </c>
      <c r="AW765" s="380">
        <f t="shared" si="570"/>
        <v>0</v>
      </c>
      <c r="AX765" s="380">
        <f t="shared" si="570"/>
        <v>0</v>
      </c>
      <c r="AY765" s="380">
        <f t="shared" si="570"/>
        <v>0</v>
      </c>
      <c r="AZ765" s="380">
        <f t="shared" si="570"/>
        <v>0</v>
      </c>
      <c r="BA765" s="380">
        <f t="shared" si="570"/>
        <v>0</v>
      </c>
      <c r="BB765" s="380">
        <f t="shared" si="570"/>
        <v>0</v>
      </c>
      <c r="BC765" s="380">
        <f t="shared" si="570"/>
        <v>0</v>
      </c>
      <c r="BD765" s="380">
        <f t="shared" si="570"/>
        <v>0</v>
      </c>
      <c r="BE765" s="380">
        <f t="shared" si="570"/>
        <v>0</v>
      </c>
      <c r="BF765" s="380">
        <f t="shared" si="570"/>
        <v>0</v>
      </c>
      <c r="BG765" s="380">
        <f t="shared" si="570"/>
        <v>0</v>
      </c>
      <c r="BH765" s="380">
        <f t="shared" si="570"/>
        <v>0</v>
      </c>
      <c r="BI765" s="380">
        <f t="shared" si="570"/>
        <v>0</v>
      </c>
      <c r="BJ765" s="380">
        <f t="shared" si="570"/>
        <v>0</v>
      </c>
      <c r="BK765" s="380">
        <f t="shared" si="570"/>
        <v>0</v>
      </c>
      <c r="BL765" s="380">
        <f t="shared" si="570"/>
        <v>0</v>
      </c>
      <c r="BM765" s="380">
        <f t="shared" si="570"/>
        <v>0</v>
      </c>
      <c r="BN765" s="380">
        <f t="shared" si="570"/>
        <v>0</v>
      </c>
      <c r="BO765" s="380">
        <f t="shared" si="570"/>
        <v>0</v>
      </c>
      <c r="BP765" s="380">
        <f t="shared" si="570"/>
        <v>0</v>
      </c>
      <c r="BQ765" s="380">
        <f t="shared" si="570"/>
        <v>0</v>
      </c>
      <c r="BR765" s="380">
        <f t="shared" si="570"/>
        <v>0</v>
      </c>
      <c r="BS765" s="380">
        <f t="shared" si="570"/>
        <v>0</v>
      </c>
      <c r="BT765" s="380">
        <f t="shared" si="570"/>
        <v>0</v>
      </c>
      <c r="BU765" s="380">
        <f t="shared" si="570"/>
        <v>0</v>
      </c>
      <c r="BV765" s="380">
        <f t="shared" si="570"/>
        <v>0</v>
      </c>
      <c r="BW765" s="380">
        <f t="shared" si="570"/>
        <v>0</v>
      </c>
      <c r="BX765" s="380">
        <f>IFERROR(BX740+BX747+BX754-BX761,0)</f>
        <v>0</v>
      </c>
      <c r="BY765" s="380">
        <f t="shared" si="570"/>
        <v>0</v>
      </c>
      <c r="BZ765" s="380">
        <f t="shared" si="570"/>
        <v>0</v>
      </c>
      <c r="CA765" s="380">
        <f t="shared" si="570"/>
        <v>0</v>
      </c>
      <c r="CB765" s="380">
        <f t="shared" si="570"/>
        <v>0</v>
      </c>
      <c r="CC765" s="380">
        <f t="shared" si="570"/>
        <v>0</v>
      </c>
      <c r="CD765" s="380">
        <f t="shared" si="570"/>
        <v>0</v>
      </c>
      <c r="CE765" s="380">
        <f t="shared" si="570"/>
        <v>0</v>
      </c>
      <c r="CF765" s="380">
        <f t="shared" si="570"/>
        <v>0</v>
      </c>
      <c r="CG765" s="380">
        <f t="shared" si="570"/>
        <v>0</v>
      </c>
      <c r="CH765" s="380">
        <f t="shared" si="570"/>
        <v>0</v>
      </c>
      <c r="CI765" s="380">
        <f t="shared" si="570"/>
        <v>0</v>
      </c>
      <c r="CJ765" s="380">
        <f t="shared" si="570"/>
        <v>0</v>
      </c>
      <c r="CK765" s="380">
        <f t="shared" si="570"/>
        <v>0</v>
      </c>
      <c r="CL765" s="380">
        <f t="shared" si="570"/>
        <v>0</v>
      </c>
      <c r="CM765" s="380">
        <f t="shared" si="570"/>
        <v>0</v>
      </c>
    </row>
    <row r="766" spans="11:91" ht="12" customHeight="1" x14ac:dyDescent="0.35">
      <c r="K766" s="28"/>
      <c r="L766" s="28"/>
      <c r="M766" s="28"/>
      <c r="N766" s="28"/>
      <c r="O766" s="28"/>
      <c r="P766" s="28"/>
      <c r="Q766" s="28"/>
      <c r="R766" s="31">
        <f>IF(Input!D$298=L1050,Input!D$297,0)</f>
        <v>0</v>
      </c>
      <c r="S766" s="36">
        <f t="shared" si="569"/>
        <v>0</v>
      </c>
      <c r="T766" s="365"/>
      <c r="U766" s="1188"/>
      <c r="V766" s="1188"/>
      <c r="W766" s="1804"/>
      <c r="X766" s="430">
        <f>SUM(AF738:AQ738)</f>
        <v>0</v>
      </c>
      <c r="Y766" s="431">
        <f>SUM(AR738:BC738)</f>
        <v>0</v>
      </c>
      <c r="Z766" s="431">
        <f>SUM(BD738:BO738)</f>
        <v>0</v>
      </c>
      <c r="AA766" s="432">
        <f>SUM(BP738:CA738)</f>
        <v>0</v>
      </c>
      <c r="AB766" s="432">
        <f>SUM(CB738:CM738)</f>
        <v>0</v>
      </c>
      <c r="AC766" s="29"/>
      <c r="AD766" s="29"/>
      <c r="AE766" s="376"/>
      <c r="AF766" s="376"/>
      <c r="AG766" s="376"/>
      <c r="AH766" s="376"/>
      <c r="AI766" s="376"/>
      <c r="AJ766" s="376"/>
      <c r="AK766" s="376"/>
      <c r="AL766" s="376"/>
      <c r="AM766" s="376"/>
      <c r="AN766" s="376"/>
      <c r="AO766" s="376"/>
      <c r="AP766" s="376"/>
      <c r="AQ766" s="376"/>
      <c r="AR766" s="376"/>
      <c r="AS766" s="376"/>
      <c r="AT766" s="376"/>
      <c r="AU766" s="376"/>
      <c r="AV766" s="376"/>
      <c r="AW766" s="376"/>
      <c r="AX766" s="376"/>
      <c r="AY766" s="376"/>
      <c r="AZ766" s="376"/>
      <c r="BA766" s="376"/>
      <c r="BB766" s="376"/>
      <c r="BC766" s="376"/>
      <c r="BD766" s="376"/>
      <c r="BE766" s="376"/>
      <c r="BF766" s="376"/>
      <c r="BG766" s="376"/>
      <c r="BH766" s="376"/>
      <c r="BI766" s="376"/>
      <c r="BJ766" s="376"/>
      <c r="BK766" s="376"/>
      <c r="BL766" s="376"/>
      <c r="BM766" s="376"/>
      <c r="BN766" s="376"/>
      <c r="BO766" s="376"/>
      <c r="BP766" s="376"/>
      <c r="BQ766" s="376"/>
      <c r="BR766" s="376"/>
      <c r="BS766" s="376"/>
      <c r="BT766" s="376"/>
      <c r="BU766" s="376"/>
      <c r="BV766" s="376"/>
      <c r="BW766" s="376"/>
      <c r="BX766" s="376"/>
      <c r="BY766" s="376"/>
      <c r="BZ766" s="376"/>
      <c r="CA766" s="376"/>
      <c r="CB766" s="376"/>
      <c r="CC766" s="376"/>
      <c r="CD766" s="376"/>
      <c r="CE766" s="376"/>
      <c r="CF766" s="376"/>
      <c r="CG766" s="376"/>
      <c r="CH766" s="376"/>
      <c r="CI766" s="376"/>
      <c r="CJ766" s="376"/>
      <c r="CK766" s="376"/>
      <c r="CL766" s="376"/>
      <c r="CM766" s="376"/>
    </row>
    <row r="767" spans="11:91" ht="12" customHeight="1" x14ac:dyDescent="0.35">
      <c r="K767" s="28"/>
      <c r="L767" s="28"/>
      <c r="M767" s="28"/>
      <c r="N767" s="28"/>
      <c r="O767" s="28"/>
      <c r="P767" s="28"/>
      <c r="Q767" s="28"/>
      <c r="R767" s="31">
        <f>IF(Input!D$298=L1051,Input!D$297,0)</f>
        <v>0</v>
      </c>
      <c r="S767" s="36">
        <f t="shared" si="569"/>
        <v>0</v>
      </c>
      <c r="T767" s="365"/>
      <c r="U767" s="1188"/>
      <c r="V767" s="1188"/>
      <c r="W767" s="1194"/>
      <c r="X767" s="430">
        <f>SUM(AF745:AQ745)</f>
        <v>0</v>
      </c>
      <c r="Y767" s="431">
        <f>SUM(AR745:BC745)</f>
        <v>0</v>
      </c>
      <c r="Z767" s="431">
        <f>SUM(BD745:BO745)</f>
        <v>0</v>
      </c>
      <c r="AA767" s="432">
        <f>SUM(BP745:CA745)</f>
        <v>0</v>
      </c>
      <c r="AB767" s="432">
        <f>SUM(CB745:CM745)</f>
        <v>0</v>
      </c>
      <c r="AC767" s="29"/>
      <c r="AD767" s="29"/>
      <c r="AE767" s="376"/>
      <c r="AF767" s="376"/>
      <c r="AG767" s="376"/>
      <c r="AH767" s="376"/>
      <c r="AI767" s="376"/>
      <c r="AJ767" s="376"/>
      <c r="AK767" s="376"/>
      <c r="AL767" s="376"/>
      <c r="AM767" s="376"/>
      <c r="AN767" s="376"/>
      <c r="AO767" s="376"/>
      <c r="AP767" s="376"/>
      <c r="AQ767" s="376"/>
      <c r="AR767" s="376"/>
      <c r="AS767" s="376"/>
      <c r="AT767" s="376"/>
      <c r="AU767" s="376"/>
      <c r="AV767" s="376"/>
      <c r="AW767" s="376"/>
      <c r="AX767" s="376"/>
      <c r="AY767" s="376"/>
      <c r="AZ767" s="376"/>
      <c r="BA767" s="376"/>
      <c r="BB767" s="376"/>
      <c r="BC767" s="376"/>
      <c r="BD767" s="376"/>
      <c r="BE767" s="376"/>
      <c r="BF767" s="376"/>
      <c r="BG767" s="376"/>
      <c r="BH767" s="376"/>
      <c r="BI767" s="376"/>
      <c r="BJ767" s="376"/>
      <c r="BK767" s="376"/>
      <c r="BL767" s="376"/>
      <c r="BM767" s="376"/>
      <c r="BN767" s="376"/>
      <c r="BO767" s="376"/>
      <c r="BP767" s="376"/>
      <c r="BQ767" s="376"/>
      <c r="BR767" s="376"/>
      <c r="BS767" s="376"/>
      <c r="BT767" s="376"/>
      <c r="BU767" s="376"/>
      <c r="BV767" s="376"/>
      <c r="BW767" s="376"/>
      <c r="BX767" s="376"/>
      <c r="BY767" s="376"/>
      <c r="BZ767" s="376"/>
      <c r="CA767" s="376"/>
      <c r="CB767" s="376"/>
      <c r="CC767" s="376"/>
      <c r="CD767" s="376"/>
      <c r="CE767" s="376"/>
      <c r="CF767" s="376"/>
      <c r="CG767" s="376"/>
      <c r="CH767" s="376"/>
      <c r="CI767" s="376"/>
      <c r="CJ767" s="376"/>
      <c r="CK767" s="376"/>
      <c r="CL767" s="376"/>
      <c r="CM767" s="376"/>
    </row>
    <row r="768" spans="11:91" ht="12" customHeight="1" x14ac:dyDescent="0.35">
      <c r="K768" s="28"/>
      <c r="L768" s="28"/>
      <c r="M768" s="28"/>
      <c r="N768" s="28"/>
      <c r="O768" s="28"/>
      <c r="P768" s="28"/>
      <c r="Q768" s="28"/>
      <c r="R768" s="31">
        <f>IF(Input!D$298=L1052,Input!D$297,0)</f>
        <v>0</v>
      </c>
      <c r="S768" s="36">
        <f t="shared" si="569"/>
        <v>0</v>
      </c>
      <c r="T768" s="26"/>
      <c r="U768" s="29"/>
      <c r="V768" s="29"/>
      <c r="W768" s="377"/>
      <c r="X768" s="430">
        <f>SUM(AF752:AQ752)</f>
        <v>0</v>
      </c>
      <c r="Y768" s="431">
        <f>SUM(AR752:BC752)</f>
        <v>0</v>
      </c>
      <c r="Z768" s="431">
        <f>SUM(BD752:BO752)</f>
        <v>0</v>
      </c>
      <c r="AA768" s="432">
        <f>SUM(BP752:CA752)</f>
        <v>0</v>
      </c>
      <c r="AB768" s="432">
        <f>SUM(CB752:CM752)</f>
        <v>0</v>
      </c>
      <c r="AC768" s="29"/>
      <c r="AD768" s="29"/>
      <c r="AE768" s="32" t="s">
        <v>256</v>
      </c>
      <c r="AF768" s="376"/>
      <c r="AG768" s="376"/>
      <c r="AH768" s="376"/>
      <c r="AI768" s="376"/>
      <c r="AJ768" s="376"/>
      <c r="AK768" s="376"/>
      <c r="AL768" s="376"/>
      <c r="AM768" s="376"/>
      <c r="AN768" s="376"/>
      <c r="AO768" s="376"/>
      <c r="AP768" s="376"/>
      <c r="AQ768" s="376"/>
      <c r="AR768" s="376"/>
      <c r="AS768" s="376"/>
      <c r="AT768" s="376"/>
      <c r="AU768" s="376"/>
      <c r="AV768" s="376"/>
      <c r="AW768" s="376"/>
      <c r="AX768" s="376"/>
      <c r="AY768" s="376"/>
      <c r="AZ768" s="376"/>
      <c r="BA768" s="376"/>
      <c r="BB768" s="376"/>
      <c r="BC768" s="376"/>
      <c r="BD768" s="376"/>
      <c r="BE768" s="376"/>
      <c r="BF768" s="376"/>
      <c r="BG768" s="376"/>
      <c r="BH768" s="376"/>
      <c r="BI768" s="376"/>
      <c r="BJ768" s="376"/>
      <c r="BK768" s="376"/>
      <c r="BL768" s="376"/>
      <c r="BM768" s="376"/>
      <c r="BN768" s="376"/>
      <c r="BO768" s="376"/>
      <c r="BP768" s="376"/>
      <c r="BQ768" s="376"/>
      <c r="BR768" s="376"/>
      <c r="BS768" s="376"/>
      <c r="BT768" s="376"/>
      <c r="BU768" s="376"/>
      <c r="BV768" s="376"/>
      <c r="BW768" s="376"/>
      <c r="BX768" s="376"/>
      <c r="BY768" s="376"/>
      <c r="BZ768" s="376"/>
      <c r="CA768" s="376"/>
      <c r="CB768" s="376"/>
      <c r="CC768" s="376"/>
      <c r="CD768" s="376"/>
      <c r="CE768" s="376"/>
      <c r="CF768" s="376"/>
      <c r="CG768" s="376"/>
      <c r="CH768" s="376"/>
      <c r="CI768" s="376"/>
      <c r="CJ768" s="376"/>
      <c r="CK768" s="376"/>
      <c r="CL768" s="376"/>
      <c r="CM768" s="376"/>
    </row>
    <row r="769" spans="11:92" ht="12" customHeight="1" x14ac:dyDescent="0.35">
      <c r="K769" s="28"/>
      <c r="L769" s="28"/>
      <c r="M769" s="28"/>
      <c r="N769" s="28"/>
      <c r="O769" s="28"/>
      <c r="P769" s="28"/>
      <c r="Q769" s="28"/>
      <c r="R769" s="31">
        <f>IF(Input!D$298=L1053,Input!D$297,0)</f>
        <v>0</v>
      </c>
      <c r="S769" s="36">
        <f t="shared" si="569"/>
        <v>0</v>
      </c>
      <c r="T769" s="26"/>
      <c r="U769" s="29"/>
      <c r="V769" s="29"/>
      <c r="W769" s="377"/>
      <c r="X769" s="430">
        <f>SUM(AF739:AQ739)</f>
        <v>0</v>
      </c>
      <c r="Y769" s="431">
        <f>SUM(AR739:BC739)</f>
        <v>0</v>
      </c>
      <c r="Z769" s="431">
        <f>SUM(BD739:BO739)</f>
        <v>0</v>
      </c>
      <c r="AA769" s="432">
        <f>SUM(BP739:CA739)</f>
        <v>0</v>
      </c>
      <c r="AB769" s="432">
        <f>SUM(CB739:CM739)</f>
        <v>0</v>
      </c>
      <c r="AC769" s="29"/>
      <c r="AD769" s="29"/>
      <c r="AE769" s="376" t="s">
        <v>184</v>
      </c>
      <c r="AF769" s="763">
        <f>IF(OR($AE736&lt;12,AF736&lt;Input!$D298),0,SUM(AG739:AR739))</f>
        <v>0</v>
      </c>
      <c r="AG769" s="763">
        <f>IF(OR($AE736&lt;12,AG736&lt;Input!$D298),0,SUM(AH739:AS739))</f>
        <v>0</v>
      </c>
      <c r="AH769" s="763">
        <f>IF(OR($AE736&lt;12,AH736&lt;Input!$D298),0,SUM(AI739:AT739))</f>
        <v>0</v>
      </c>
      <c r="AI769" s="763">
        <f>IF(OR($AE736&lt;12,AI736&lt;Input!$D298),0,SUM(AJ739:AU739))</f>
        <v>0</v>
      </c>
      <c r="AJ769" s="763">
        <f>IF(OR($AE736&lt;12,AJ736&lt;Input!$D298),0,SUM(AK739:AV739))</f>
        <v>0</v>
      </c>
      <c r="AK769" s="763">
        <f>IF(OR($AE736&lt;12,AK736&lt;Input!$D298),0,SUM(AL739:AW739))</f>
        <v>0</v>
      </c>
      <c r="AL769" s="763">
        <f>IF(OR($AE736&lt;12,AL736&lt;Input!$D298),0,SUM(AM739:AX739))</f>
        <v>0</v>
      </c>
      <c r="AM769" s="763">
        <f>IF(OR($AE736&lt;12,AM736&lt;Input!$D298),0,SUM(AN739:AY739))</f>
        <v>0</v>
      </c>
      <c r="AN769" s="763">
        <f>IF(OR($AE736&lt;12,AN736&lt;Input!$D298),0,SUM(AO739:AZ739))</f>
        <v>0</v>
      </c>
      <c r="AO769" s="763">
        <f>IF(OR($AE736&lt;12,AO736&lt;Input!$D298),0,SUM(AP739:BA739))</f>
        <v>0</v>
      </c>
      <c r="AP769" s="763">
        <f>IF(OR($AE736&lt;12,AP736&lt;Input!$D298),0,SUM(AQ739:BB739))</f>
        <v>0</v>
      </c>
      <c r="AQ769" s="763">
        <f>IF(OR($AE736&lt;12,AQ736&lt;Input!$D298),0,SUM(AR739:BC739))</f>
        <v>0</v>
      </c>
      <c r="AR769" s="763">
        <f>IF(OR($AE736&lt;12,AR736&lt;Input!$D298),0,SUM(AS739:BD739))</f>
        <v>0</v>
      </c>
      <c r="AS769" s="763">
        <f>IF(OR($AE736&lt;12,AS736&lt;Input!$D298),0,SUM(AT739:BE739))</f>
        <v>0</v>
      </c>
      <c r="AT769" s="763">
        <f>IF(OR($AE736&lt;12,AT736&lt;Input!$D298),0,SUM(AU739:BF739))</f>
        <v>0</v>
      </c>
      <c r="AU769" s="763">
        <f>IF(OR($AE736&lt;12,AU736&lt;Input!$D298),0,SUM(AV739:BG739))</f>
        <v>0</v>
      </c>
      <c r="AV769" s="763">
        <f>IF(OR($AE736&lt;12,AV736&lt;Input!$D298),0,SUM(AW739:BH739))</f>
        <v>0</v>
      </c>
      <c r="AW769" s="763">
        <f>IF(OR($AE736&lt;12,AW736&lt;Input!$D298),0,SUM(AX739:BI739))</f>
        <v>0</v>
      </c>
      <c r="AX769" s="763">
        <f>IF(OR($AE736&lt;12,AX736&lt;Input!$D298),0,SUM(AY739:BJ739))</f>
        <v>0</v>
      </c>
      <c r="AY769" s="763">
        <f>IF(OR($AE736&lt;12,AY736&lt;Input!$D298),0,SUM(AZ739:BK739))</f>
        <v>0</v>
      </c>
      <c r="AZ769" s="763">
        <f>IF(OR($AE736&lt;12,AZ736&lt;Input!$D298),0,SUM(BA739:BL739))</f>
        <v>0</v>
      </c>
      <c r="BA769" s="763">
        <f>IF(OR($AE736&lt;12,BA736&lt;Input!$D298),0,SUM(BB739:BM739))</f>
        <v>0</v>
      </c>
      <c r="BB769" s="763">
        <f>IF(OR($AE736&lt;12,BB736&lt;Input!$D298),0,SUM(BC739:BN739))</f>
        <v>0</v>
      </c>
      <c r="BC769" s="763">
        <f>IF(OR($AE736&lt;12,BC736&lt;Input!$D298),0,SUM(BD739:BO739))</f>
        <v>0</v>
      </c>
      <c r="BD769" s="763">
        <f>IF(OR($AE736&lt;12,BD736&lt;Input!$D298),0,SUM(BE739:BP739))</f>
        <v>0</v>
      </c>
      <c r="BE769" s="763">
        <f>IF(OR($AE736&lt;12,BE736&lt;Input!$D298),0,SUM(BF739:BQ739))</f>
        <v>0</v>
      </c>
      <c r="BF769" s="763">
        <f>IF(OR($AE736&lt;12,BF736&lt;Input!$D298),0,SUM(BG739:BR739))</f>
        <v>0</v>
      </c>
      <c r="BG769" s="763">
        <f>IF(OR($AE736&lt;12,BG736&lt;Input!$D298),0,SUM(BH739:BS739))</f>
        <v>0</v>
      </c>
      <c r="BH769" s="763">
        <f>IF(OR($AE736&lt;12,BH736&lt;Input!$D298),0,SUM(BI739:BT739))</f>
        <v>0</v>
      </c>
      <c r="BI769" s="763">
        <f>IF(OR($AE736&lt;12,BI736&lt;Input!$D298),0,SUM(BJ739:BU739))</f>
        <v>0</v>
      </c>
      <c r="BJ769" s="763">
        <f>IF(OR($AE736&lt;12,BJ736&lt;Input!$D298),0,SUM(BK739:BV739))</f>
        <v>0</v>
      </c>
      <c r="BK769" s="763">
        <f>IF(OR($AE736&lt;12,BK736&lt;Input!$D298),0,SUM(BL739:BW739))</f>
        <v>0</v>
      </c>
      <c r="BL769" s="763">
        <f>IF(OR($AE736&lt;12,BL736&lt;Input!$D298),0,SUM(BM739:BX739))</f>
        <v>0</v>
      </c>
      <c r="BM769" s="763">
        <f>IF(OR($AE736&lt;12,BM736&lt;Input!$D298),0,SUM(BN739:BY739))</f>
        <v>0</v>
      </c>
      <c r="BN769" s="763">
        <f>IF(OR($AE736&lt;12,BN736&lt;Input!$D298),0,SUM(BO739:BZ739))</f>
        <v>0</v>
      </c>
      <c r="BO769" s="763">
        <f>IF(OR($AE736&lt;12,BO736&lt;Input!$D298),0,SUM(BP739:CA739))</f>
        <v>0</v>
      </c>
      <c r="BP769" s="763">
        <f>IF(OR($AE736&lt;12,BP736&lt;Input!$D298),0,SUM(BQ739:CB739))</f>
        <v>0</v>
      </c>
      <c r="BQ769" s="763">
        <f>IF(OR($AE736&lt;12,BQ736&lt;Input!$D298),0,SUM(BR739:CC739))</f>
        <v>0</v>
      </c>
      <c r="BR769" s="763">
        <f>IF(OR($AE736&lt;12,BR736&lt;Input!$D298),0,SUM(BS739:CD739))</f>
        <v>0</v>
      </c>
      <c r="BS769" s="763">
        <f>IF(OR($AE736&lt;12,BS736&lt;Input!$D298),0,SUM(BT739:CE739))</f>
        <v>0</v>
      </c>
      <c r="BT769" s="763">
        <f>IF(OR($AE736&lt;12,BT736&lt;Input!$D298),0,SUM(BU739:CF739))</f>
        <v>0</v>
      </c>
      <c r="BU769" s="763">
        <f>IF(OR($AE736&lt;12,BU736&lt;Input!$D298),0,SUM(BV739:CG739))</f>
        <v>0</v>
      </c>
      <c r="BV769" s="763">
        <f>IF(OR($AE736&lt;12,BV736&lt;Input!$D298),0,SUM(BW739:CH739))</f>
        <v>0</v>
      </c>
      <c r="BW769" s="763">
        <f>IF(OR($AE736&lt;12,BW736&lt;Input!$D298),0,SUM(BX739:CI739))</f>
        <v>0</v>
      </c>
      <c r="BX769" s="763">
        <f>IF(OR($AE736&lt;12,BX736&lt;Input!$D298),0,SUM(BY739:CJ739))</f>
        <v>0</v>
      </c>
      <c r="BY769" s="763">
        <f>IF(OR($AE736&lt;12,BY736&lt;Input!$D298),0,SUM(BZ739:CK739))</f>
        <v>0</v>
      </c>
      <c r="BZ769" s="763">
        <f>IF(OR($AE736&lt;12,BZ736&lt;Input!$D298),0,SUM(CA739:CL739))</f>
        <v>0</v>
      </c>
      <c r="CA769" s="763">
        <f>IF(OR($AE736&lt;12,CA736&lt;Input!$D298),0,SUM(CB739:CM739))</f>
        <v>0</v>
      </c>
      <c r="CB769" s="763">
        <f>IF(OR($AE736&lt;12,CB736&lt;Input!$D298),0,SUM(CC739:CN739))</f>
        <v>0</v>
      </c>
      <c r="CC769" s="763">
        <f>IF(OR($AE736&lt;12,CC736&lt;Input!$D298),0,SUM(CD739:CO739))</f>
        <v>0</v>
      </c>
      <c r="CD769" s="763">
        <f>IF(OR($AE736&lt;12,CD736&lt;Input!$D298),0,SUM(CE739:CP739))</f>
        <v>0</v>
      </c>
      <c r="CE769" s="763">
        <f>IF(OR($AE736&lt;12,CE736&lt;Input!$D298),0,SUM(CF739:CQ739))</f>
        <v>0</v>
      </c>
      <c r="CF769" s="763">
        <f>IF(OR($AE736&lt;12,CF736&lt;Input!$D298),0,SUM(CG739:CR739))</f>
        <v>0</v>
      </c>
      <c r="CG769" s="763">
        <f>IF(OR($AE736&lt;12,CG736&lt;Input!$D298),0,SUM(CH739:CS739))</f>
        <v>0</v>
      </c>
      <c r="CH769" s="763">
        <f>IF(OR($AE736&lt;12,CH736&lt;Input!$D298),0,SUM(CI739:CT739))</f>
        <v>0</v>
      </c>
      <c r="CI769" s="763">
        <f>IF(OR($AE736&lt;12,CI736&lt;Input!$D298),0,SUM(CJ739:CU739))</f>
        <v>0</v>
      </c>
      <c r="CJ769" s="763">
        <f>IF(OR($AE736&lt;12,CJ736&lt;Input!$D298),0,SUM(CK739:CV739))</f>
        <v>0</v>
      </c>
      <c r="CK769" s="763">
        <f>IF(OR($AE736&lt;12,CK736&lt;Input!$D298),0,SUM(CL739:CW739))</f>
        <v>0</v>
      </c>
      <c r="CL769" s="763">
        <f>IF(OR($AE736&lt;12,CL736&lt;Input!$D298),0,SUM(CM739:CX739))</f>
        <v>0</v>
      </c>
      <c r="CM769" s="763">
        <f>IF(OR($AE736&lt;12,CM736&lt;Input!$D298),0,SUM(CN739:CY739))</f>
        <v>0</v>
      </c>
      <c r="CN769" s="1183"/>
    </row>
    <row r="770" spans="11:92" ht="12" customHeight="1" x14ac:dyDescent="0.35">
      <c r="K770" s="28"/>
      <c r="L770" s="28"/>
      <c r="M770" s="28"/>
      <c r="N770" s="28"/>
      <c r="O770" s="28"/>
      <c r="P770" s="28"/>
      <c r="Q770" s="28"/>
      <c r="R770" s="31">
        <f>IF(Input!D$298=L1054,Input!D$297,0)</f>
        <v>0</v>
      </c>
      <c r="S770" s="36">
        <f t="shared" si="569"/>
        <v>0</v>
      </c>
      <c r="T770" s="26"/>
      <c r="U770" s="29"/>
      <c r="V770" s="29"/>
      <c r="W770" s="377"/>
      <c r="X770" s="430">
        <f>SUM(AF746:AQ746)</f>
        <v>0</v>
      </c>
      <c r="Y770" s="431">
        <f>SUM(AR746:BC746)</f>
        <v>0</v>
      </c>
      <c r="Z770" s="431">
        <f>SUM(BD746:BO746)</f>
        <v>0</v>
      </c>
      <c r="AA770" s="432">
        <f>SUM(BP746:CA746)</f>
        <v>0</v>
      </c>
      <c r="AB770" s="432">
        <f>SUM(CB746:CM746)</f>
        <v>0</v>
      </c>
      <c r="AC770" s="29"/>
      <c r="AD770" s="29"/>
      <c r="AE770" s="376" t="s">
        <v>185</v>
      </c>
      <c r="AF770" s="763">
        <f>IF(OR($AE743&lt;12,AF736&lt;Input!$E298),0,SUM(AG746:AR746))</f>
        <v>0</v>
      </c>
      <c r="AG770" s="763">
        <f>IF(OR($AE743&lt;12,AG736&lt;Input!$E298),0,SUM(AH746:AS746))</f>
        <v>0</v>
      </c>
      <c r="AH770" s="763">
        <f>IF(OR($AE743&lt;12,AH736&lt;Input!$E298),0,SUM(AI746:AT746))</f>
        <v>0</v>
      </c>
      <c r="AI770" s="763">
        <f>IF(OR($AE743&lt;12,AI736&lt;Input!$E298),0,SUM(AJ746:AU746))</f>
        <v>0</v>
      </c>
      <c r="AJ770" s="763">
        <f>IF(OR($AE743&lt;12,AJ736&lt;Input!$E298),0,SUM(AK746:AV746))</f>
        <v>0</v>
      </c>
      <c r="AK770" s="763">
        <f>IF(OR($AE743&lt;12,AK736&lt;Input!$E298),0,SUM(AL746:AW746))</f>
        <v>0</v>
      </c>
      <c r="AL770" s="763">
        <f>IF(OR($AE743&lt;12,AL736&lt;Input!$E298),0,SUM(AM746:AX746))</f>
        <v>0</v>
      </c>
      <c r="AM770" s="763">
        <f>IF(OR($AE743&lt;12,AM736&lt;Input!$E298),0,SUM(AN746:AY746))</f>
        <v>0</v>
      </c>
      <c r="AN770" s="763">
        <f>IF(OR($AE743&lt;12,AN736&lt;Input!$E298),0,SUM(AO746:AZ746))</f>
        <v>0</v>
      </c>
      <c r="AO770" s="763">
        <f>IF(OR($AE743&lt;12,AO736&lt;Input!$E298),0,SUM(AP746:BA746))</f>
        <v>0</v>
      </c>
      <c r="AP770" s="763">
        <f>IF(OR($AE743&lt;12,AP736&lt;Input!$E298),0,SUM(AQ746:BB746))</f>
        <v>0</v>
      </c>
      <c r="AQ770" s="763">
        <f>IF(OR($AE743&lt;12,AQ736&lt;Input!$E298),0,SUM(AR746:BC746))</f>
        <v>0</v>
      </c>
      <c r="AR770" s="763">
        <f>IF(OR($AE743&lt;12,AR736&lt;Input!$E298),0,SUM(AS746:BD746))</f>
        <v>0</v>
      </c>
      <c r="AS770" s="763">
        <f>IF(OR($AE743&lt;12,AS736&lt;Input!$E298),0,SUM(AT746:BE746))</f>
        <v>0</v>
      </c>
      <c r="AT770" s="763">
        <f>IF(OR($AE743&lt;12,AT736&lt;Input!$E298),0,SUM(AU746:BF746))</f>
        <v>0</v>
      </c>
      <c r="AU770" s="763">
        <f>IF(OR($AE743&lt;12,AU736&lt;Input!$E298),0,SUM(AV746:BG746))</f>
        <v>0</v>
      </c>
      <c r="AV770" s="763">
        <f>IF(OR($AE743&lt;12,AV736&lt;Input!$E298),0,SUM(AW746:BH746))</f>
        <v>0</v>
      </c>
      <c r="AW770" s="763">
        <f>IF(OR($AE743&lt;12,AW736&lt;Input!$E298),0,SUM(AX746:BI746))</f>
        <v>0</v>
      </c>
      <c r="AX770" s="763">
        <f>IF(OR($AE743&lt;12,AX736&lt;Input!$E298),0,SUM(AY746:BJ746))</f>
        <v>0</v>
      </c>
      <c r="AY770" s="763">
        <f>IF(OR($AE743&lt;12,AY736&lt;Input!$E298),0,SUM(AZ746:BK746))</f>
        <v>0</v>
      </c>
      <c r="AZ770" s="763">
        <f>IF(OR($AE743&lt;12,AZ736&lt;Input!$E298),0,SUM(BA746:BL746))</f>
        <v>0</v>
      </c>
      <c r="BA770" s="763">
        <f>IF(OR($AE743&lt;12,BA736&lt;Input!$E298),0,SUM(BB746:BM746))</f>
        <v>0</v>
      </c>
      <c r="BB770" s="763">
        <f>IF(OR($AE743&lt;12,BB736&lt;Input!$E298),0,SUM(BC746:BN746))</f>
        <v>0</v>
      </c>
      <c r="BC770" s="763">
        <f>IF(OR($AE743&lt;12,BC736&lt;Input!$E298),0,SUM(BD746:BO746))</f>
        <v>0</v>
      </c>
      <c r="BD770" s="763">
        <f>IF(OR($AE743&lt;12,BD736&lt;Input!$E298),0,SUM(BE746:BP746))</f>
        <v>0</v>
      </c>
      <c r="BE770" s="763">
        <f>IF(OR($AE743&lt;12,BE736&lt;Input!$E298),0,SUM(BF746:BQ746))</f>
        <v>0</v>
      </c>
      <c r="BF770" s="763">
        <f>IF(OR($AE743&lt;12,BF736&lt;Input!$E298),0,SUM(BG746:BR746))</f>
        <v>0</v>
      </c>
      <c r="BG770" s="763">
        <f>IF(OR($AE743&lt;12,BG736&lt;Input!$E298),0,SUM(BH746:BS746))</f>
        <v>0</v>
      </c>
      <c r="BH770" s="763">
        <f>IF(OR($AE743&lt;12,BH736&lt;Input!$E298),0,SUM(BI746:BT746))</f>
        <v>0</v>
      </c>
      <c r="BI770" s="763">
        <f>IF(OR($AE743&lt;12,BI736&lt;Input!$E298),0,SUM(BJ746:BU746))</f>
        <v>0</v>
      </c>
      <c r="BJ770" s="763">
        <f>IF(OR($AE743&lt;12,BJ736&lt;Input!$E298),0,SUM(BK746:BV746))</f>
        <v>0</v>
      </c>
      <c r="BK770" s="763">
        <f>IF(OR($AE743&lt;12,BK736&lt;Input!$E298),0,SUM(BL746:BW746))</f>
        <v>0</v>
      </c>
      <c r="BL770" s="763">
        <f>IF(OR($AE743&lt;12,BL736&lt;Input!$E298),0,SUM(BM746:BX746))</f>
        <v>0</v>
      </c>
      <c r="BM770" s="763">
        <f>IF(OR($AE743&lt;12,BM736&lt;Input!$E298),0,SUM(BN746:BY746))</f>
        <v>0</v>
      </c>
      <c r="BN770" s="763">
        <f>IF(OR($AE743&lt;12,BN736&lt;Input!$E298),0,SUM(BO746:BZ746))</f>
        <v>0</v>
      </c>
      <c r="BO770" s="763">
        <f>IF(OR($AE743&lt;12,BO736&lt;Input!$E298),0,SUM(BP746:CA746))</f>
        <v>0</v>
      </c>
      <c r="BP770" s="763">
        <f>IF(OR($AE743&lt;12,BP736&lt;Input!$E298),0,SUM(BQ746:CB746))</f>
        <v>0</v>
      </c>
      <c r="BQ770" s="763">
        <f>IF(OR($AE743&lt;12,BQ736&lt;Input!$E298),0,SUM(BR746:CC746))</f>
        <v>0</v>
      </c>
      <c r="BR770" s="763">
        <f>IF(OR($AE743&lt;12,BR736&lt;Input!$E298),0,SUM(BS746:CD746))</f>
        <v>0</v>
      </c>
      <c r="BS770" s="763">
        <f>IF(OR($AE743&lt;12,BS736&lt;Input!$E298),0,SUM(BT746:CE746))</f>
        <v>0</v>
      </c>
      <c r="BT770" s="763">
        <f>IF(OR($AE743&lt;12,BT736&lt;Input!$E298),0,SUM(BU746:CF746))</f>
        <v>0</v>
      </c>
      <c r="BU770" s="763">
        <f>IF(OR($AE743&lt;12,BU736&lt;Input!$E298),0,SUM(BV746:CG746))</f>
        <v>0</v>
      </c>
      <c r="BV770" s="763">
        <f>IF(OR($AE743&lt;12,BV736&lt;Input!$E298),0,SUM(BW746:CH746))</f>
        <v>0</v>
      </c>
      <c r="BW770" s="763">
        <f>IF(OR($AE743&lt;12,BW736&lt;Input!$E298),0,SUM(BX746:CI746))</f>
        <v>0</v>
      </c>
      <c r="BX770" s="763">
        <f>IF(OR($AE743&lt;12,BX736&lt;Input!$E298),0,SUM(BY746:CJ746))</f>
        <v>0</v>
      </c>
      <c r="BY770" s="763">
        <f>IF(OR($AE743&lt;12,BY736&lt;Input!$E298),0,SUM(BZ746:CK746))</f>
        <v>0</v>
      </c>
      <c r="BZ770" s="763">
        <f>IF(OR($AE743&lt;12,BZ736&lt;Input!$E298),0,SUM(CA746:CL746))</f>
        <v>0</v>
      </c>
      <c r="CA770" s="763">
        <f>IF(OR($AE743&lt;12,CA736&lt;Input!$E298),0,SUM(CB746:CM746))</f>
        <v>0</v>
      </c>
      <c r="CB770" s="763">
        <f>IF(OR($AE743&lt;12,CB736&lt;Input!$E298),0,SUM(CC746:CN746))</f>
        <v>0</v>
      </c>
      <c r="CC770" s="763">
        <f>IF(OR($AE743&lt;12,CC736&lt;Input!$E298),0,SUM(CD746:CO746))</f>
        <v>0</v>
      </c>
      <c r="CD770" s="763">
        <f>IF(OR($AE743&lt;12,CD736&lt;Input!$E298),0,SUM(CE746:CP746))</f>
        <v>0</v>
      </c>
      <c r="CE770" s="763">
        <f>IF(OR($AE743&lt;12,CE736&lt;Input!$E298),0,SUM(CF746:CQ746))</f>
        <v>0</v>
      </c>
      <c r="CF770" s="763">
        <f>IF(OR($AE743&lt;12,CF736&lt;Input!$E298),0,SUM(CG746:CR746))</f>
        <v>0</v>
      </c>
      <c r="CG770" s="763">
        <f>IF(OR($AE743&lt;12,CG736&lt;Input!$E298),0,SUM(CH746:CS746))</f>
        <v>0</v>
      </c>
      <c r="CH770" s="763">
        <f>IF(OR($AE743&lt;12,CH736&lt;Input!$E298),0,SUM(CI746:CT746))</f>
        <v>0</v>
      </c>
      <c r="CI770" s="763">
        <f>IF(OR($AE743&lt;12,CI736&lt;Input!$E298),0,SUM(CJ746:CU746))</f>
        <v>0</v>
      </c>
      <c r="CJ770" s="763">
        <f>IF(OR($AE743&lt;12,CJ736&lt;Input!$E298),0,SUM(CK746:CV746))</f>
        <v>0</v>
      </c>
      <c r="CK770" s="763">
        <f>IF(OR($AE743&lt;12,CK736&lt;Input!$E298),0,SUM(CL746:CW746))</f>
        <v>0</v>
      </c>
      <c r="CL770" s="763">
        <f>IF(OR($AE743&lt;12,CL736&lt;Input!$E298),0,SUM(CM746:CX746))</f>
        <v>0</v>
      </c>
      <c r="CM770" s="763">
        <f>IF(OR($AE743&lt;12,CM736&lt;Input!$E298),0,SUM(CN746:CY746))</f>
        <v>0</v>
      </c>
      <c r="CN770" s="1183"/>
    </row>
    <row r="771" spans="11:92" ht="12" customHeight="1" x14ac:dyDescent="0.35">
      <c r="K771" s="28"/>
      <c r="L771" s="28"/>
      <c r="M771" s="28"/>
      <c r="N771" s="28"/>
      <c r="O771" s="28"/>
      <c r="P771" s="28"/>
      <c r="Q771" s="28"/>
      <c r="R771" s="31"/>
      <c r="S771" s="36"/>
      <c r="T771" s="26"/>
      <c r="U771" s="29"/>
      <c r="V771" s="29"/>
      <c r="W771" s="1804"/>
      <c r="X771" s="430">
        <f>SUM(AF753:AQ753)</f>
        <v>0</v>
      </c>
      <c r="Y771" s="431">
        <f>SUM(AR753:BC753)</f>
        <v>0</v>
      </c>
      <c r="Z771" s="431">
        <f>SUM(BD753:BO753)</f>
        <v>0</v>
      </c>
      <c r="AA771" s="432">
        <f>SUM(BP753:CA753)</f>
        <v>0</v>
      </c>
      <c r="AB771" s="432">
        <f>SUM(CB753:CM753)</f>
        <v>0</v>
      </c>
      <c r="AC771" s="29"/>
      <c r="AD771" s="29"/>
      <c r="AE771" s="376" t="s">
        <v>186</v>
      </c>
      <c r="AF771" s="763">
        <f>IF(OR($AE750&lt;12,AF736&lt;Input!$F298),0,SUM(AG753:AR753))</f>
        <v>0</v>
      </c>
      <c r="AG771" s="763">
        <f>IF(OR($AE750&lt;12,AG736&lt;Input!$F298),0,SUM(AH753:AS753))</f>
        <v>0</v>
      </c>
      <c r="AH771" s="763">
        <f>IF(OR($AE750&lt;12,AH736&lt;Input!$F298),0,SUM(AI753:AT753))</f>
        <v>0</v>
      </c>
      <c r="AI771" s="763">
        <f>IF(OR($AE750&lt;12,AI736&lt;Input!$F298),0,SUM(AJ753:AU753))</f>
        <v>0</v>
      </c>
      <c r="AJ771" s="763">
        <f>IF(OR($AE750&lt;12,AJ736&lt;Input!$F298),0,SUM(AK753:AV753))</f>
        <v>0</v>
      </c>
      <c r="AK771" s="763">
        <f>IF(OR($AE750&lt;12,AK736&lt;Input!$F298),0,SUM(AL753:AW753))</f>
        <v>0</v>
      </c>
      <c r="AL771" s="763">
        <f>IF(OR($AE750&lt;12,AL736&lt;Input!$F298),0,SUM(AM753:AX753))</f>
        <v>0</v>
      </c>
      <c r="AM771" s="763">
        <f>IF(OR($AE750&lt;12,AM736&lt;Input!$F298),0,SUM(AN753:AY753))</f>
        <v>0</v>
      </c>
      <c r="AN771" s="763">
        <f>IF(OR($AE750&lt;12,AN736&lt;Input!$F298),0,SUM(AO753:AZ753))</f>
        <v>0</v>
      </c>
      <c r="AO771" s="763">
        <f>IF(OR($AE750&lt;12,AO736&lt;Input!$F298),0,SUM(AP753:BA753))</f>
        <v>0</v>
      </c>
      <c r="AP771" s="763">
        <f>IF(OR($AE750&lt;12,AP736&lt;Input!$F298),0,SUM(AQ753:BB753))</f>
        <v>0</v>
      </c>
      <c r="AQ771" s="763">
        <f>IF(OR($AE750&lt;12,AQ736&lt;Input!$F298),0,SUM(AR753:BC753))</f>
        <v>0</v>
      </c>
      <c r="AR771" s="763">
        <f>IF(OR($AE750&lt;12,AR736&lt;Input!$F298),0,SUM(AS753:BD753))</f>
        <v>0</v>
      </c>
      <c r="AS771" s="763">
        <f>IF(OR($AE750&lt;12,AS736&lt;Input!$F298),0,SUM(AT753:BE753))</f>
        <v>0</v>
      </c>
      <c r="AT771" s="763">
        <f>IF(OR($AE750&lt;12,AT736&lt;Input!$F298),0,SUM(AU753:BF753))</f>
        <v>0</v>
      </c>
      <c r="AU771" s="763">
        <f>IF(OR($AE750&lt;12,AU736&lt;Input!$F298),0,SUM(AV753:BG753))</f>
        <v>0</v>
      </c>
      <c r="AV771" s="763">
        <f>IF(OR($AE750&lt;12,AV736&lt;Input!$F298),0,SUM(AW753:BH753))</f>
        <v>0</v>
      </c>
      <c r="AW771" s="763">
        <f>IF(OR($AE750&lt;12,AW736&lt;Input!$F298),0,SUM(AX753:BI753))</f>
        <v>0</v>
      </c>
      <c r="AX771" s="763">
        <f>IF(OR($AE750&lt;12,AX736&lt;Input!$F298),0,SUM(AY753:BJ753))</f>
        <v>0</v>
      </c>
      <c r="AY771" s="763">
        <f>IF(OR($AE750&lt;12,AY736&lt;Input!$F298),0,SUM(AZ753:BK753))</f>
        <v>0</v>
      </c>
      <c r="AZ771" s="763">
        <f>IF(OR($AE750&lt;12,AZ736&lt;Input!$F298),0,SUM(BA753:BL753))</f>
        <v>0</v>
      </c>
      <c r="BA771" s="763">
        <f>IF(OR($AE750&lt;12,BA736&lt;Input!$F298),0,SUM(BB753:BM753))</f>
        <v>0</v>
      </c>
      <c r="BB771" s="763">
        <f>IF(OR($AE750&lt;12,BB736&lt;Input!$F298),0,SUM(BC753:BN753))</f>
        <v>0</v>
      </c>
      <c r="BC771" s="763">
        <f>IF(OR($AE750&lt;12,BC736&lt;Input!$F298),0,SUM(BD753:BO753))</f>
        <v>0</v>
      </c>
      <c r="BD771" s="763">
        <f>IF(OR($AE750&lt;12,BD736&lt;Input!$F298),0,SUM(BE753:BP753))</f>
        <v>0</v>
      </c>
      <c r="BE771" s="763">
        <f>IF(OR($AE750&lt;12,BE736&lt;Input!$F298),0,SUM(BF753:BQ753))</f>
        <v>0</v>
      </c>
      <c r="BF771" s="763">
        <f>IF(OR($AE750&lt;12,BF736&lt;Input!$F298),0,SUM(BG753:BR753))</f>
        <v>0</v>
      </c>
      <c r="BG771" s="763">
        <f>IF(OR($AE750&lt;12,BG736&lt;Input!$F298),0,SUM(BH753:BS753))</f>
        <v>0</v>
      </c>
      <c r="BH771" s="763">
        <f>IF(OR($AE750&lt;12,BH736&lt;Input!$F298),0,SUM(BI753:BT753))</f>
        <v>0</v>
      </c>
      <c r="BI771" s="763">
        <f>IF(OR($AE750&lt;12,BI736&lt;Input!$F298),0,SUM(BJ753:BU753))</f>
        <v>0</v>
      </c>
      <c r="BJ771" s="763">
        <f>IF(OR($AE750&lt;12,BJ736&lt;Input!$F298),0,SUM(BK753:BV753))</f>
        <v>0</v>
      </c>
      <c r="BK771" s="763">
        <f>IF(OR($AE750&lt;12,BK736&lt;Input!$F298),0,SUM(BL753:BW753))</f>
        <v>0</v>
      </c>
      <c r="BL771" s="763">
        <f>IF(OR($AE750&lt;12,BL736&lt;Input!$F298),0,SUM(BM753:BX753))</f>
        <v>0</v>
      </c>
      <c r="BM771" s="763">
        <f>IF(OR($AE750&lt;12,BM736&lt;Input!$F298),0,SUM(BN753:BY753))</f>
        <v>0</v>
      </c>
      <c r="BN771" s="763">
        <f>IF(OR($AE750&lt;12,BN736&lt;Input!$F298),0,SUM(BO753:BZ753))</f>
        <v>0</v>
      </c>
      <c r="BO771" s="763">
        <f>IF(OR($AE750&lt;12,BO736&lt;Input!$F298),0,SUM(BP753:CA753))</f>
        <v>0</v>
      </c>
      <c r="BP771" s="763">
        <f>IF(OR($AE750&lt;12,BP736&lt;Input!$F298),0,SUM(BQ753:CB753))</f>
        <v>0</v>
      </c>
      <c r="BQ771" s="763">
        <f>IF(OR($AE750&lt;12,BQ736&lt;Input!$F298),0,SUM(BR753:CC753))</f>
        <v>0</v>
      </c>
      <c r="BR771" s="763">
        <f>IF(OR($AE750&lt;12,BR736&lt;Input!$F298),0,SUM(BS753:CD753))</f>
        <v>0</v>
      </c>
      <c r="BS771" s="763">
        <f>IF(OR($AE750&lt;12,BS736&lt;Input!$F298),0,SUM(BT753:CE753))</f>
        <v>0</v>
      </c>
      <c r="BT771" s="763">
        <f>IF(OR($AE750&lt;12,BT736&lt;Input!$F298),0,SUM(BU753:CF753))</f>
        <v>0</v>
      </c>
      <c r="BU771" s="763">
        <f>IF(OR($AE750&lt;12,BU736&lt;Input!$F298),0,SUM(BV753:CG753))</f>
        <v>0</v>
      </c>
      <c r="BV771" s="763">
        <f>IF(OR($AE750&lt;12,BV736&lt;Input!$F298),0,SUM(BW753:CH753))</f>
        <v>0</v>
      </c>
      <c r="BW771" s="763">
        <f>IF(OR($AE750&lt;12,BW736&lt;Input!$F298),0,SUM(BX753:CI753))</f>
        <v>0</v>
      </c>
      <c r="BX771" s="763">
        <f>IF(OR($AE750&lt;12,BX736&lt;Input!$F298),0,SUM(BY753:CJ753))</f>
        <v>0</v>
      </c>
      <c r="BY771" s="763">
        <f>IF(OR($AE750&lt;12,BY736&lt;Input!$F298),0,SUM(BZ753:CK753))</f>
        <v>0</v>
      </c>
      <c r="BZ771" s="763">
        <f>IF(OR($AE750&lt;12,BZ736&lt;Input!$F298),0,SUM(CA753:CL753))</f>
        <v>0</v>
      </c>
      <c r="CA771" s="763">
        <f>IF(OR($AE750&lt;12,CA736&lt;Input!$F298),0,SUM(CB753:CM753))</f>
        <v>0</v>
      </c>
      <c r="CB771" s="763">
        <f>IF(OR($AE750&lt;12,CB736&lt;Input!$F298),0,SUM(CC753:CN753))</f>
        <v>0</v>
      </c>
      <c r="CC771" s="763">
        <f>IF(OR($AE750&lt;12,CC736&lt;Input!$F298),0,SUM(CD753:CO753))</f>
        <v>0</v>
      </c>
      <c r="CD771" s="763">
        <f>IF(OR($AE750&lt;12,CD736&lt;Input!$F298),0,SUM(CE753:CP753))</f>
        <v>0</v>
      </c>
      <c r="CE771" s="763">
        <f>IF(OR($AE750&lt;12,CE736&lt;Input!$F298),0,SUM(CF753:CQ753))</f>
        <v>0</v>
      </c>
      <c r="CF771" s="763">
        <f>IF(OR($AE750&lt;12,CF736&lt;Input!$F298),0,SUM(CG753:CR753))</f>
        <v>0</v>
      </c>
      <c r="CG771" s="763">
        <f>IF(OR($AE750&lt;12,CG736&lt;Input!$F298),0,SUM(CH753:CS753))</f>
        <v>0</v>
      </c>
      <c r="CH771" s="763">
        <f>IF(OR($AE750&lt;12,CH736&lt;Input!$F298),0,SUM(CI753:CT753))</f>
        <v>0</v>
      </c>
      <c r="CI771" s="763">
        <f>IF(OR($AE750&lt;12,CI736&lt;Input!$F298),0,SUM(CJ753:CU753))</f>
        <v>0</v>
      </c>
      <c r="CJ771" s="763">
        <f>IF(OR($AE750&lt;12,CJ736&lt;Input!$F298),0,SUM(CK753:CV753))</f>
        <v>0</v>
      </c>
      <c r="CK771" s="763">
        <f>IF(OR($AE750&lt;12,CK736&lt;Input!$F298),0,SUM(CL753:CW753))</f>
        <v>0</v>
      </c>
      <c r="CL771" s="763">
        <f>IF(OR($AE750&lt;12,CL736&lt;Input!$F298),0,SUM(CM753:CX753))</f>
        <v>0</v>
      </c>
      <c r="CM771" s="763">
        <f>IF(OR($AE750&lt;12,CM736&lt;Input!$F298),0,SUM(CN753:CY753))</f>
        <v>0</v>
      </c>
      <c r="CN771" s="1183"/>
    </row>
    <row r="772" spans="11:92" ht="12" customHeight="1" x14ac:dyDescent="0.35">
      <c r="K772" s="28"/>
      <c r="L772" s="28"/>
      <c r="M772" s="28"/>
      <c r="N772" s="28"/>
      <c r="O772" s="28"/>
      <c r="P772" s="28"/>
      <c r="Q772" s="28"/>
      <c r="R772" s="31"/>
      <c r="S772" s="36"/>
      <c r="T772" s="26"/>
      <c r="U772" s="29"/>
      <c r="V772" s="29"/>
      <c r="W772" s="377"/>
      <c r="X772" s="1804"/>
      <c r="Y772" s="1804"/>
      <c r="Z772" s="1804"/>
      <c r="AA772" s="1804"/>
      <c r="AB772" s="1804"/>
      <c r="AC772" s="29"/>
      <c r="AD772" s="29"/>
      <c r="AE772" s="32" t="s">
        <v>503</v>
      </c>
      <c r="AF772" s="1145">
        <f>IFERROR(SUM(AF769:AF771),0)</f>
        <v>0</v>
      </c>
      <c r="AG772" s="1145">
        <f t="shared" ref="AG772:CM772" si="571">IFERROR(SUM(AG769:AG771),0)</f>
        <v>0</v>
      </c>
      <c r="AH772" s="1145">
        <f t="shared" si="571"/>
        <v>0</v>
      </c>
      <c r="AI772" s="1145">
        <f t="shared" si="571"/>
        <v>0</v>
      </c>
      <c r="AJ772" s="1145">
        <f t="shared" si="571"/>
        <v>0</v>
      </c>
      <c r="AK772" s="1145">
        <f t="shared" si="571"/>
        <v>0</v>
      </c>
      <c r="AL772" s="1145">
        <f t="shared" si="571"/>
        <v>0</v>
      </c>
      <c r="AM772" s="1145">
        <f t="shared" si="571"/>
        <v>0</v>
      </c>
      <c r="AN772" s="1145">
        <f t="shared" si="571"/>
        <v>0</v>
      </c>
      <c r="AO772" s="1145">
        <f t="shared" si="571"/>
        <v>0</v>
      </c>
      <c r="AP772" s="1145">
        <f t="shared" si="571"/>
        <v>0</v>
      </c>
      <c r="AQ772" s="1145">
        <f t="shared" si="571"/>
        <v>0</v>
      </c>
      <c r="AR772" s="1145">
        <f t="shared" si="571"/>
        <v>0</v>
      </c>
      <c r="AS772" s="1145">
        <f t="shared" si="571"/>
        <v>0</v>
      </c>
      <c r="AT772" s="1145">
        <f t="shared" si="571"/>
        <v>0</v>
      </c>
      <c r="AU772" s="1145">
        <f t="shared" si="571"/>
        <v>0</v>
      </c>
      <c r="AV772" s="1145">
        <f t="shared" si="571"/>
        <v>0</v>
      </c>
      <c r="AW772" s="1145">
        <f t="shared" si="571"/>
        <v>0</v>
      </c>
      <c r="AX772" s="1145">
        <f t="shared" si="571"/>
        <v>0</v>
      </c>
      <c r="AY772" s="1145">
        <f t="shared" si="571"/>
        <v>0</v>
      </c>
      <c r="AZ772" s="1145">
        <f t="shared" si="571"/>
        <v>0</v>
      </c>
      <c r="BA772" s="1145">
        <f t="shared" si="571"/>
        <v>0</v>
      </c>
      <c r="BB772" s="1145">
        <f t="shared" si="571"/>
        <v>0</v>
      </c>
      <c r="BC772" s="1145">
        <f t="shared" si="571"/>
        <v>0</v>
      </c>
      <c r="BD772" s="1145">
        <f t="shared" si="571"/>
        <v>0</v>
      </c>
      <c r="BE772" s="1145">
        <f t="shared" si="571"/>
        <v>0</v>
      </c>
      <c r="BF772" s="1145">
        <f t="shared" si="571"/>
        <v>0</v>
      </c>
      <c r="BG772" s="1145">
        <f t="shared" si="571"/>
        <v>0</v>
      </c>
      <c r="BH772" s="1145">
        <f t="shared" si="571"/>
        <v>0</v>
      </c>
      <c r="BI772" s="1145">
        <f t="shared" si="571"/>
        <v>0</v>
      </c>
      <c r="BJ772" s="1145">
        <f t="shared" si="571"/>
        <v>0</v>
      </c>
      <c r="BK772" s="1145">
        <f t="shared" si="571"/>
        <v>0</v>
      </c>
      <c r="BL772" s="1145">
        <f t="shared" si="571"/>
        <v>0</v>
      </c>
      <c r="BM772" s="1145">
        <f t="shared" si="571"/>
        <v>0</v>
      </c>
      <c r="BN772" s="1145">
        <f t="shared" si="571"/>
        <v>0</v>
      </c>
      <c r="BO772" s="1145">
        <f t="shared" si="571"/>
        <v>0</v>
      </c>
      <c r="BP772" s="1145">
        <f t="shared" si="571"/>
        <v>0</v>
      </c>
      <c r="BQ772" s="1145">
        <f t="shared" si="571"/>
        <v>0</v>
      </c>
      <c r="BR772" s="1145">
        <f t="shared" si="571"/>
        <v>0</v>
      </c>
      <c r="BS772" s="1145">
        <f t="shared" si="571"/>
        <v>0</v>
      </c>
      <c r="BT772" s="1145">
        <f t="shared" si="571"/>
        <v>0</v>
      </c>
      <c r="BU772" s="1145">
        <f t="shared" si="571"/>
        <v>0</v>
      </c>
      <c r="BV772" s="1145">
        <f t="shared" si="571"/>
        <v>0</v>
      </c>
      <c r="BW772" s="1145">
        <f t="shared" si="571"/>
        <v>0</v>
      </c>
      <c r="BX772" s="1145">
        <f>IFERROR(SUM(BX769:BX771),0)</f>
        <v>0</v>
      </c>
      <c r="BY772" s="1145">
        <f t="shared" si="571"/>
        <v>0</v>
      </c>
      <c r="BZ772" s="1145">
        <f t="shared" si="571"/>
        <v>0</v>
      </c>
      <c r="CA772" s="1145">
        <f t="shared" si="571"/>
        <v>0</v>
      </c>
      <c r="CB772" s="1145">
        <f t="shared" si="571"/>
        <v>0</v>
      </c>
      <c r="CC772" s="1145">
        <f t="shared" si="571"/>
        <v>0</v>
      </c>
      <c r="CD772" s="1145">
        <f t="shared" si="571"/>
        <v>0</v>
      </c>
      <c r="CE772" s="1145">
        <f t="shared" si="571"/>
        <v>0</v>
      </c>
      <c r="CF772" s="1145">
        <f t="shared" si="571"/>
        <v>0</v>
      </c>
      <c r="CG772" s="1145">
        <f t="shared" si="571"/>
        <v>0</v>
      </c>
      <c r="CH772" s="1145">
        <f t="shared" si="571"/>
        <v>0</v>
      </c>
      <c r="CI772" s="1145">
        <f t="shared" si="571"/>
        <v>0</v>
      </c>
      <c r="CJ772" s="1145">
        <f t="shared" si="571"/>
        <v>0</v>
      </c>
      <c r="CK772" s="1145">
        <f t="shared" si="571"/>
        <v>0</v>
      </c>
      <c r="CL772" s="1145">
        <f t="shared" si="571"/>
        <v>0</v>
      </c>
      <c r="CM772" s="1145">
        <f t="shared" si="571"/>
        <v>0</v>
      </c>
      <c r="CN772" s="1183"/>
    </row>
    <row r="773" spans="11:92" ht="12" customHeight="1" x14ac:dyDescent="0.35">
      <c r="K773" s="28"/>
      <c r="L773" s="28"/>
      <c r="M773" s="28"/>
      <c r="N773" s="28"/>
      <c r="O773" s="28"/>
      <c r="P773" s="28"/>
      <c r="Q773" s="28"/>
      <c r="R773" s="31"/>
      <c r="S773" s="36"/>
      <c r="T773" s="26"/>
      <c r="U773" s="29"/>
      <c r="V773" s="29"/>
      <c r="W773" s="377"/>
      <c r="X773" s="430">
        <f>AQ747</f>
        <v>0</v>
      </c>
      <c r="Y773" s="431">
        <f>BC747</f>
        <v>0</v>
      </c>
      <c r="Z773" s="431">
        <f>BO747</f>
        <v>0</v>
      </c>
      <c r="AA773" s="432">
        <f>CA747</f>
        <v>0</v>
      </c>
      <c r="AB773" s="432">
        <f>CM747</f>
        <v>0</v>
      </c>
      <c r="AC773" s="29"/>
      <c r="AD773" s="29"/>
      <c r="AE773" s="376"/>
      <c r="AF773" s="376"/>
      <c r="AG773" s="376"/>
      <c r="AH773" s="376"/>
      <c r="AI773" s="376"/>
      <c r="AJ773" s="376"/>
      <c r="AK773" s="376"/>
      <c r="AL773" s="376"/>
      <c r="AM773" s="376"/>
      <c r="AN773" s="376"/>
      <c r="AO773" s="376"/>
      <c r="AP773" s="376"/>
      <c r="AQ773" s="376"/>
      <c r="AR773" s="376"/>
      <c r="AS773" s="376"/>
      <c r="AT773" s="376"/>
      <c r="AU773" s="376"/>
      <c r="AV773" s="376"/>
      <c r="AW773" s="376"/>
      <c r="AX773" s="376"/>
      <c r="AY773" s="376"/>
      <c r="AZ773" s="376"/>
      <c r="BA773" s="376"/>
      <c r="BB773" s="376"/>
      <c r="BC773" s="376"/>
      <c r="BD773" s="376"/>
      <c r="BE773" s="376"/>
      <c r="BF773" s="376"/>
      <c r="BG773" s="376"/>
      <c r="BH773" s="376"/>
      <c r="BI773" s="376"/>
      <c r="BJ773" s="376"/>
      <c r="BK773" s="376"/>
      <c r="BL773" s="376"/>
      <c r="BM773" s="376"/>
      <c r="BN773" s="376"/>
      <c r="BO773" s="376"/>
      <c r="BP773" s="376"/>
      <c r="BQ773" s="376"/>
      <c r="BR773" s="376"/>
      <c r="BS773" s="376"/>
      <c r="BT773" s="376"/>
      <c r="BU773" s="376"/>
      <c r="BV773" s="376"/>
      <c r="BW773" s="376"/>
      <c r="BX773" s="376"/>
      <c r="BY773" s="376"/>
      <c r="BZ773" s="376"/>
      <c r="CA773" s="376"/>
      <c r="CB773" s="376"/>
      <c r="CC773" s="376"/>
      <c r="CD773" s="376"/>
      <c r="CE773" s="376"/>
      <c r="CF773" s="376"/>
      <c r="CG773" s="376"/>
      <c r="CH773" s="376"/>
      <c r="CI773" s="376"/>
      <c r="CJ773" s="376"/>
      <c r="CK773" s="376"/>
      <c r="CL773" s="376"/>
      <c r="CM773" s="376"/>
      <c r="CN773" s="1183"/>
    </row>
    <row r="774" spans="11:92" ht="12" customHeight="1" x14ac:dyDescent="0.35">
      <c r="K774" s="28"/>
      <c r="L774" s="28"/>
      <c r="M774" s="28"/>
      <c r="N774" s="28"/>
      <c r="O774" s="28"/>
      <c r="P774" s="28"/>
      <c r="Q774" s="28"/>
      <c r="R774" s="31">
        <f>IF(Input!D$298=L1048,Input!D$297,0)</f>
        <v>0</v>
      </c>
      <c r="S774" s="36">
        <f>Q1048</f>
        <v>0</v>
      </c>
      <c r="T774" s="26"/>
      <c r="U774" s="29"/>
      <c r="V774" s="29"/>
      <c r="W774" s="377"/>
      <c r="X774" s="430">
        <f>AQ740</f>
        <v>0</v>
      </c>
      <c r="Y774" s="431">
        <f>BC740</f>
        <v>0</v>
      </c>
      <c r="Z774" s="431">
        <f>BO740</f>
        <v>0</v>
      </c>
      <c r="AA774" s="432">
        <f>CA740</f>
        <v>0</v>
      </c>
      <c r="AB774" s="432">
        <f>CM740</f>
        <v>0</v>
      </c>
      <c r="AC774" s="29"/>
      <c r="AD774" s="29"/>
      <c r="AE774" s="376" t="s">
        <v>504</v>
      </c>
      <c r="AF774" s="380">
        <f t="shared" ref="AF774:AK774" si="572">AF765-AF772</f>
        <v>0</v>
      </c>
      <c r="AG774" s="380">
        <f t="shared" si="572"/>
        <v>0</v>
      </c>
      <c r="AH774" s="380">
        <f t="shared" si="572"/>
        <v>0</v>
      </c>
      <c r="AI774" s="380">
        <f t="shared" si="572"/>
        <v>0</v>
      </c>
      <c r="AJ774" s="380">
        <f t="shared" si="572"/>
        <v>0</v>
      </c>
      <c r="AK774" s="380">
        <f t="shared" si="572"/>
        <v>0</v>
      </c>
      <c r="AL774" s="380">
        <f t="shared" ref="AL774:BK774" si="573">AL765-AL772</f>
        <v>0</v>
      </c>
      <c r="AM774" s="380">
        <f t="shared" si="573"/>
        <v>0</v>
      </c>
      <c r="AN774" s="380">
        <f t="shared" si="573"/>
        <v>0</v>
      </c>
      <c r="AO774" s="380">
        <f t="shared" si="573"/>
        <v>0</v>
      </c>
      <c r="AP774" s="380">
        <f t="shared" si="573"/>
        <v>0</v>
      </c>
      <c r="AQ774" s="380">
        <f t="shared" si="573"/>
        <v>0</v>
      </c>
      <c r="AR774" s="380">
        <f t="shared" si="573"/>
        <v>0</v>
      </c>
      <c r="AS774" s="380">
        <f t="shared" si="573"/>
        <v>0</v>
      </c>
      <c r="AT774" s="380">
        <f t="shared" si="573"/>
        <v>0</v>
      </c>
      <c r="AU774" s="380">
        <f t="shared" si="573"/>
        <v>0</v>
      </c>
      <c r="AV774" s="380">
        <f t="shared" si="573"/>
        <v>0</v>
      </c>
      <c r="AW774" s="380">
        <f t="shared" si="573"/>
        <v>0</v>
      </c>
      <c r="AX774" s="380">
        <f t="shared" si="573"/>
        <v>0</v>
      </c>
      <c r="AY774" s="380">
        <f t="shared" si="573"/>
        <v>0</v>
      </c>
      <c r="AZ774" s="380">
        <f t="shared" si="573"/>
        <v>0</v>
      </c>
      <c r="BA774" s="380">
        <f t="shared" si="573"/>
        <v>0</v>
      </c>
      <c r="BB774" s="380">
        <f t="shared" si="573"/>
        <v>0</v>
      </c>
      <c r="BC774" s="380">
        <f t="shared" si="573"/>
        <v>0</v>
      </c>
      <c r="BD774" s="380">
        <f t="shared" si="573"/>
        <v>0</v>
      </c>
      <c r="BE774" s="380">
        <f t="shared" si="573"/>
        <v>0</v>
      </c>
      <c r="BF774" s="380">
        <f t="shared" si="573"/>
        <v>0</v>
      </c>
      <c r="BG774" s="380">
        <f t="shared" si="573"/>
        <v>0</v>
      </c>
      <c r="BH774" s="380">
        <f t="shared" si="573"/>
        <v>0</v>
      </c>
      <c r="BI774" s="380">
        <f t="shared" si="573"/>
        <v>0</v>
      </c>
      <c r="BJ774" s="380">
        <f t="shared" si="573"/>
        <v>0</v>
      </c>
      <c r="BK774" s="380">
        <f t="shared" si="573"/>
        <v>0</v>
      </c>
      <c r="BL774" s="380">
        <f t="shared" ref="BL774:CM774" si="574">BL765-BL772</f>
        <v>0</v>
      </c>
      <c r="BM774" s="380">
        <f t="shared" si="574"/>
        <v>0</v>
      </c>
      <c r="BN774" s="380">
        <f t="shared" si="574"/>
        <v>0</v>
      </c>
      <c r="BO774" s="380">
        <f t="shared" si="574"/>
        <v>0</v>
      </c>
      <c r="BP774" s="380">
        <f t="shared" si="574"/>
        <v>0</v>
      </c>
      <c r="BQ774" s="380">
        <f t="shared" si="574"/>
        <v>0</v>
      </c>
      <c r="BR774" s="380">
        <f t="shared" si="574"/>
        <v>0</v>
      </c>
      <c r="BS774" s="380">
        <f t="shared" si="574"/>
        <v>0</v>
      </c>
      <c r="BT774" s="380">
        <f t="shared" si="574"/>
        <v>0</v>
      </c>
      <c r="BU774" s="380">
        <f t="shared" si="574"/>
        <v>0</v>
      </c>
      <c r="BV774" s="380">
        <f t="shared" si="574"/>
        <v>0</v>
      </c>
      <c r="BW774" s="380">
        <f t="shared" si="574"/>
        <v>0</v>
      </c>
      <c r="BX774" s="380">
        <f t="shared" si="574"/>
        <v>0</v>
      </c>
      <c r="BY774" s="380">
        <f t="shared" si="574"/>
        <v>0</v>
      </c>
      <c r="BZ774" s="380">
        <f t="shared" si="574"/>
        <v>0</v>
      </c>
      <c r="CA774" s="380">
        <f t="shared" si="574"/>
        <v>0</v>
      </c>
      <c r="CB774" s="380">
        <f t="shared" si="574"/>
        <v>0</v>
      </c>
      <c r="CC774" s="380">
        <f t="shared" si="574"/>
        <v>0</v>
      </c>
      <c r="CD774" s="380">
        <f t="shared" si="574"/>
        <v>0</v>
      </c>
      <c r="CE774" s="380">
        <f t="shared" si="574"/>
        <v>0</v>
      </c>
      <c r="CF774" s="380">
        <f t="shared" si="574"/>
        <v>0</v>
      </c>
      <c r="CG774" s="380">
        <f t="shared" si="574"/>
        <v>0</v>
      </c>
      <c r="CH774" s="380">
        <f t="shared" si="574"/>
        <v>0</v>
      </c>
      <c r="CI774" s="380">
        <f t="shared" si="574"/>
        <v>0</v>
      </c>
      <c r="CJ774" s="380">
        <f t="shared" si="574"/>
        <v>0</v>
      </c>
      <c r="CK774" s="380">
        <f t="shared" si="574"/>
        <v>0</v>
      </c>
      <c r="CL774" s="380">
        <f t="shared" si="574"/>
        <v>0</v>
      </c>
      <c r="CM774" s="380">
        <f t="shared" si="574"/>
        <v>0</v>
      </c>
      <c r="CN774" s="1183"/>
    </row>
    <row r="775" spans="11:92" ht="12" customHeight="1" x14ac:dyDescent="0.35">
      <c r="K775" s="28"/>
      <c r="L775" s="28"/>
      <c r="M775" s="28"/>
      <c r="N775" s="28"/>
      <c r="O775" s="28"/>
      <c r="P775" s="28"/>
      <c r="Q775" s="28"/>
      <c r="R775" s="31"/>
      <c r="S775" s="36"/>
      <c r="T775" s="26"/>
      <c r="U775" s="29"/>
      <c r="V775" s="29"/>
      <c r="W775" s="377"/>
      <c r="X775" s="430">
        <f>AQ754</f>
        <v>0</v>
      </c>
      <c r="Y775" s="431">
        <f>BC754</f>
        <v>0</v>
      </c>
      <c r="Z775" s="431">
        <f>BO754</f>
        <v>0</v>
      </c>
      <c r="AA775" s="432">
        <f>CA754</f>
        <v>0</v>
      </c>
      <c r="AB775" s="432">
        <f>CM754</f>
        <v>0</v>
      </c>
      <c r="AC775" s="29"/>
      <c r="AD775" s="29"/>
      <c r="AE775" s="376"/>
      <c r="AF775" s="380"/>
      <c r="AG775" s="380"/>
      <c r="AH775" s="380"/>
      <c r="AI775" s="380"/>
      <c r="AJ775" s="380"/>
      <c r="AK775" s="380"/>
      <c r="AL775" s="380"/>
      <c r="AM775" s="380"/>
      <c r="AN775" s="380"/>
      <c r="AO775" s="380"/>
      <c r="AP775" s="380"/>
      <c r="AQ775" s="380"/>
      <c r="AR775" s="380"/>
      <c r="AS775" s="380"/>
      <c r="AT775" s="380"/>
      <c r="AU775" s="380"/>
      <c r="AV775" s="380"/>
      <c r="AW775" s="380"/>
      <c r="AX775" s="380"/>
      <c r="AY775" s="380"/>
      <c r="AZ775" s="380"/>
      <c r="BA775" s="380"/>
      <c r="BB775" s="380"/>
      <c r="BC775" s="380"/>
      <c r="BD775" s="380"/>
      <c r="BE775" s="380"/>
      <c r="BF775" s="380"/>
      <c r="BG775" s="380"/>
      <c r="BH775" s="380"/>
      <c r="BI775" s="380"/>
      <c r="BJ775" s="380"/>
      <c r="BK775" s="380"/>
      <c r="BL775" s="380"/>
      <c r="BM775" s="380"/>
      <c r="BN775" s="380"/>
      <c r="BO775" s="380"/>
      <c r="BP775" s="380"/>
      <c r="BQ775" s="380"/>
      <c r="BR775" s="380"/>
      <c r="BS775" s="380"/>
      <c r="BT775" s="380"/>
      <c r="BU775" s="380"/>
      <c r="BV775" s="380"/>
      <c r="BW775" s="380"/>
      <c r="BX775" s="380"/>
      <c r="BY775" s="380"/>
      <c r="BZ775" s="380"/>
      <c r="CA775" s="380"/>
      <c r="CB775" s="380"/>
      <c r="CC775" s="380"/>
      <c r="CD775" s="380"/>
      <c r="CE775" s="380"/>
      <c r="CF775" s="380"/>
      <c r="CG775" s="380"/>
      <c r="CH775" s="380"/>
      <c r="CI775" s="380"/>
      <c r="CJ775" s="380"/>
      <c r="CK775" s="380"/>
      <c r="CL775" s="380"/>
      <c r="CM775" s="380"/>
      <c r="CN775" s="1183"/>
    </row>
    <row r="776" spans="11:92" ht="12" customHeight="1" x14ac:dyDescent="0.35">
      <c r="K776" s="28"/>
      <c r="L776" s="28"/>
      <c r="M776" s="28"/>
      <c r="N776" s="28"/>
      <c r="O776" s="28"/>
      <c r="P776" s="28"/>
      <c r="Q776" s="28"/>
      <c r="R776" s="31"/>
      <c r="S776" s="36"/>
      <c r="T776" s="26"/>
      <c r="U776" s="29"/>
      <c r="V776" s="29"/>
      <c r="W776" s="1804"/>
      <c r="X776" s="1804"/>
      <c r="Y776" s="1804"/>
      <c r="Z776" s="1804"/>
      <c r="AA776" s="1804"/>
      <c r="AB776" s="1804"/>
      <c r="AC776" s="29"/>
      <c r="AD776" s="29"/>
      <c r="AE776" s="32" t="s">
        <v>505</v>
      </c>
      <c r="AF776" s="762">
        <f>AF750</f>
        <v>0</v>
      </c>
      <c r="AG776" s="762">
        <f t="shared" ref="AG776:CM776" si="575">AG750</f>
        <v>59</v>
      </c>
      <c r="AH776" s="762">
        <f t="shared" si="575"/>
        <v>91</v>
      </c>
      <c r="AI776" s="762">
        <f t="shared" si="575"/>
        <v>121</v>
      </c>
      <c r="AJ776" s="762">
        <f t="shared" si="575"/>
        <v>152</v>
      </c>
      <c r="AK776" s="762">
        <f t="shared" si="575"/>
        <v>182</v>
      </c>
      <c r="AL776" s="762">
        <f t="shared" si="575"/>
        <v>213</v>
      </c>
      <c r="AM776" s="762">
        <f t="shared" si="575"/>
        <v>244</v>
      </c>
      <c r="AN776" s="762">
        <f t="shared" si="575"/>
        <v>274</v>
      </c>
      <c r="AO776" s="762">
        <f t="shared" si="575"/>
        <v>305</v>
      </c>
      <c r="AP776" s="762">
        <f t="shared" si="575"/>
        <v>335</v>
      </c>
      <c r="AQ776" s="762">
        <f t="shared" si="575"/>
        <v>366</v>
      </c>
      <c r="AR776" s="762">
        <f t="shared" si="575"/>
        <v>397</v>
      </c>
      <c r="AS776" s="762">
        <f t="shared" si="575"/>
        <v>425</v>
      </c>
      <c r="AT776" s="762">
        <f t="shared" si="575"/>
        <v>456</v>
      </c>
      <c r="AU776" s="762">
        <f t="shared" si="575"/>
        <v>486</v>
      </c>
      <c r="AV776" s="762">
        <f t="shared" si="575"/>
        <v>517</v>
      </c>
      <c r="AW776" s="762">
        <f t="shared" si="575"/>
        <v>547</v>
      </c>
      <c r="AX776" s="762">
        <f t="shared" si="575"/>
        <v>578</v>
      </c>
      <c r="AY776" s="762">
        <f t="shared" si="575"/>
        <v>609</v>
      </c>
      <c r="AZ776" s="762">
        <f t="shared" si="575"/>
        <v>639</v>
      </c>
      <c r="BA776" s="762">
        <f t="shared" si="575"/>
        <v>670</v>
      </c>
      <c r="BB776" s="762">
        <f t="shared" si="575"/>
        <v>700</v>
      </c>
      <c r="BC776" s="762">
        <f t="shared" si="575"/>
        <v>731</v>
      </c>
      <c r="BD776" s="762">
        <f t="shared" si="575"/>
        <v>762</v>
      </c>
      <c r="BE776" s="762">
        <f t="shared" si="575"/>
        <v>790</v>
      </c>
      <c r="BF776" s="762">
        <f t="shared" si="575"/>
        <v>821</v>
      </c>
      <c r="BG776" s="762">
        <f t="shared" si="575"/>
        <v>851</v>
      </c>
      <c r="BH776" s="762">
        <f t="shared" si="575"/>
        <v>882</v>
      </c>
      <c r="BI776" s="762">
        <f t="shared" si="575"/>
        <v>912</v>
      </c>
      <c r="BJ776" s="762">
        <f t="shared" si="575"/>
        <v>943</v>
      </c>
      <c r="BK776" s="762">
        <f t="shared" si="575"/>
        <v>974</v>
      </c>
      <c r="BL776" s="762">
        <f t="shared" si="575"/>
        <v>1004</v>
      </c>
      <c r="BM776" s="762">
        <f t="shared" si="575"/>
        <v>1035</v>
      </c>
      <c r="BN776" s="762">
        <f t="shared" si="575"/>
        <v>1065</v>
      </c>
      <c r="BO776" s="762">
        <f t="shared" si="575"/>
        <v>1096</v>
      </c>
      <c r="BP776" s="762">
        <f t="shared" si="575"/>
        <v>1127</v>
      </c>
      <c r="BQ776" s="762">
        <f t="shared" si="575"/>
        <v>1155</v>
      </c>
      <c r="BR776" s="762">
        <f t="shared" si="575"/>
        <v>1186</v>
      </c>
      <c r="BS776" s="762">
        <f t="shared" si="575"/>
        <v>1216</v>
      </c>
      <c r="BT776" s="762">
        <f t="shared" si="575"/>
        <v>1247</v>
      </c>
      <c r="BU776" s="762">
        <f t="shared" si="575"/>
        <v>1277</v>
      </c>
      <c r="BV776" s="762">
        <f t="shared" si="575"/>
        <v>1308</v>
      </c>
      <c r="BW776" s="762">
        <f t="shared" si="575"/>
        <v>1339</v>
      </c>
      <c r="BX776" s="762">
        <f t="shared" si="575"/>
        <v>1369</v>
      </c>
      <c r="BY776" s="762">
        <f t="shared" si="575"/>
        <v>1400</v>
      </c>
      <c r="BZ776" s="762">
        <f t="shared" si="575"/>
        <v>1430</v>
      </c>
      <c r="CA776" s="762">
        <f t="shared" si="575"/>
        <v>1461</v>
      </c>
      <c r="CB776" s="762">
        <f t="shared" si="575"/>
        <v>1492</v>
      </c>
      <c r="CC776" s="762">
        <f t="shared" si="575"/>
        <v>1521</v>
      </c>
      <c r="CD776" s="762">
        <f t="shared" si="575"/>
        <v>1552</v>
      </c>
      <c r="CE776" s="762">
        <f t="shared" si="575"/>
        <v>1582</v>
      </c>
      <c r="CF776" s="762">
        <f t="shared" si="575"/>
        <v>1613</v>
      </c>
      <c r="CG776" s="762">
        <f t="shared" si="575"/>
        <v>1643</v>
      </c>
      <c r="CH776" s="762">
        <f t="shared" si="575"/>
        <v>1674</v>
      </c>
      <c r="CI776" s="762">
        <f t="shared" si="575"/>
        <v>1705</v>
      </c>
      <c r="CJ776" s="762">
        <f t="shared" si="575"/>
        <v>1735</v>
      </c>
      <c r="CK776" s="762">
        <f t="shared" si="575"/>
        <v>1766</v>
      </c>
      <c r="CL776" s="762">
        <f t="shared" si="575"/>
        <v>1796</v>
      </c>
      <c r="CM776" s="762">
        <f t="shared" si="575"/>
        <v>1827</v>
      </c>
      <c r="CN776" s="1183"/>
    </row>
    <row r="777" spans="11:92" ht="12" customHeight="1" x14ac:dyDescent="0.35">
      <c r="K777" s="28"/>
      <c r="L777" s="28"/>
      <c r="M777" s="28"/>
      <c r="N777" s="28"/>
      <c r="O777" s="28"/>
      <c r="P777" s="28"/>
      <c r="Q777" s="28"/>
      <c r="R777" s="31"/>
      <c r="S777" s="36"/>
      <c r="T777" s="26"/>
      <c r="U777" s="29"/>
      <c r="V777" s="29"/>
      <c r="W777" s="377" t="s">
        <v>187</v>
      </c>
      <c r="X777" s="1811">
        <f>SUM(AF794:AQ794)</f>
        <v>0</v>
      </c>
      <c r="Y777" s="431">
        <f>SUM(AR794:BC794)</f>
        <v>0</v>
      </c>
      <c r="Z777" s="431">
        <f>SUM(BD794:BO794)</f>
        <v>0</v>
      </c>
      <c r="AA777" s="432">
        <f>SUM(BP794:CA794)</f>
        <v>0</v>
      </c>
      <c r="AB777" s="432">
        <f>SUM(CB794:CM794)</f>
        <v>0</v>
      </c>
      <c r="AC777" s="29"/>
      <c r="AD777" s="29" t="s">
        <v>506</v>
      </c>
      <c r="AE777" s="376" t="s">
        <v>494</v>
      </c>
      <c r="AF777" s="763" cm="1">
        <f t="array" ref="AF777:CM777">TRANSPOSE($AQ$1050:$AQ$1109)</f>
        <v>0</v>
      </c>
      <c r="AG777" s="763">
        <v>0</v>
      </c>
      <c r="AH777" s="763">
        <v>0</v>
      </c>
      <c r="AI777" s="763">
        <v>0</v>
      </c>
      <c r="AJ777" s="763">
        <v>0</v>
      </c>
      <c r="AK777" s="763">
        <v>0</v>
      </c>
      <c r="AL777" s="763">
        <v>0</v>
      </c>
      <c r="AM777" s="763">
        <v>0</v>
      </c>
      <c r="AN777" s="763">
        <v>0</v>
      </c>
      <c r="AO777" s="763">
        <v>0</v>
      </c>
      <c r="AP777" s="763">
        <v>0</v>
      </c>
      <c r="AQ777" s="763">
        <v>0</v>
      </c>
      <c r="AR777" s="763">
        <v>0</v>
      </c>
      <c r="AS777" s="763">
        <v>0</v>
      </c>
      <c r="AT777" s="763">
        <v>0</v>
      </c>
      <c r="AU777" s="763">
        <v>0</v>
      </c>
      <c r="AV777" s="763">
        <v>0</v>
      </c>
      <c r="AW777" s="763">
        <v>0</v>
      </c>
      <c r="AX777" s="763">
        <v>0</v>
      </c>
      <c r="AY777" s="763">
        <v>0</v>
      </c>
      <c r="AZ777" s="763">
        <v>0</v>
      </c>
      <c r="BA777" s="763">
        <v>0</v>
      </c>
      <c r="BB777" s="763">
        <v>0</v>
      </c>
      <c r="BC777" s="763">
        <v>0</v>
      </c>
      <c r="BD777" s="763">
        <v>0</v>
      </c>
      <c r="BE777" s="763">
        <v>0</v>
      </c>
      <c r="BF777" s="763">
        <v>0</v>
      </c>
      <c r="BG777" s="763">
        <v>0</v>
      </c>
      <c r="BH777" s="763">
        <v>0</v>
      </c>
      <c r="BI777" s="763">
        <v>0</v>
      </c>
      <c r="BJ777" s="763">
        <v>0</v>
      </c>
      <c r="BK777" s="763">
        <v>0</v>
      </c>
      <c r="BL777" s="763">
        <v>0</v>
      </c>
      <c r="BM777" s="763">
        <v>0</v>
      </c>
      <c r="BN777" s="763">
        <v>0</v>
      </c>
      <c r="BO777" s="763">
        <v>0</v>
      </c>
      <c r="BP777" s="763">
        <v>0</v>
      </c>
      <c r="BQ777" s="763">
        <v>0</v>
      </c>
      <c r="BR777" s="763">
        <v>0</v>
      </c>
      <c r="BS777" s="763">
        <v>0</v>
      </c>
      <c r="BT777" s="763">
        <v>0</v>
      </c>
      <c r="BU777" s="763">
        <v>0</v>
      </c>
      <c r="BV777" s="763">
        <v>0</v>
      </c>
      <c r="BW777" s="763">
        <v>0</v>
      </c>
      <c r="BX777" s="763">
        <v>0</v>
      </c>
      <c r="BY777" s="763">
        <v>0</v>
      </c>
      <c r="BZ777" s="763">
        <v>0</v>
      </c>
      <c r="CA777" s="763">
        <v>0</v>
      </c>
      <c r="CB777" s="763">
        <v>0</v>
      </c>
      <c r="CC777" s="763">
        <v>0</v>
      </c>
      <c r="CD777" s="763">
        <v>0</v>
      </c>
      <c r="CE777" s="763">
        <v>0</v>
      </c>
      <c r="CF777" s="763">
        <v>0</v>
      </c>
      <c r="CG777" s="763">
        <v>0</v>
      </c>
      <c r="CH777" s="763">
        <v>0</v>
      </c>
      <c r="CI777" s="763">
        <v>0</v>
      </c>
      <c r="CJ777" s="763">
        <v>0</v>
      </c>
      <c r="CK777" s="763">
        <v>0</v>
      </c>
      <c r="CL777" s="763">
        <v>0</v>
      </c>
      <c r="CM777" s="763">
        <v>0</v>
      </c>
      <c r="CN777" s="1183"/>
    </row>
    <row r="778" spans="11:92" ht="12" customHeight="1" x14ac:dyDescent="0.35">
      <c r="K778" s="28"/>
      <c r="L778" s="28"/>
      <c r="M778" s="28"/>
      <c r="N778" s="28"/>
      <c r="O778" s="28"/>
      <c r="P778" s="28"/>
      <c r="Q778" s="28"/>
      <c r="R778" s="31"/>
      <c r="S778" s="36"/>
      <c r="T778" s="26"/>
      <c r="U778" s="29"/>
      <c r="V778" s="29"/>
      <c r="W778" s="377"/>
      <c r="X778" s="1804"/>
      <c r="Y778" s="1804"/>
      <c r="Z778" s="1804"/>
      <c r="AA778" s="1804"/>
      <c r="AB778" s="1804"/>
      <c r="AC778" s="29"/>
      <c r="AD778" s="62">
        <f>SUM(AS990:AS1049)</f>
        <v>0</v>
      </c>
      <c r="AE778" s="376" t="s">
        <v>188</v>
      </c>
      <c r="AF778" s="763" cm="1">
        <f t="array" ref="AF778:CM778">TRANSPOSE($AS$1050:$AS$1109)</f>
        <v>0</v>
      </c>
      <c r="AG778" s="763">
        <v>0</v>
      </c>
      <c r="AH778" s="763">
        <v>0</v>
      </c>
      <c r="AI778" s="763">
        <v>0</v>
      </c>
      <c r="AJ778" s="763">
        <v>0</v>
      </c>
      <c r="AK778" s="763">
        <v>0</v>
      </c>
      <c r="AL778" s="763">
        <v>0</v>
      </c>
      <c r="AM778" s="763">
        <v>0</v>
      </c>
      <c r="AN778" s="763">
        <v>0</v>
      </c>
      <c r="AO778" s="763">
        <v>0</v>
      </c>
      <c r="AP778" s="763">
        <v>0</v>
      </c>
      <c r="AQ778" s="763">
        <v>0</v>
      </c>
      <c r="AR778" s="763">
        <v>0</v>
      </c>
      <c r="AS778" s="763">
        <v>0</v>
      </c>
      <c r="AT778" s="763">
        <v>0</v>
      </c>
      <c r="AU778" s="763">
        <v>0</v>
      </c>
      <c r="AV778" s="763">
        <v>0</v>
      </c>
      <c r="AW778" s="763">
        <v>0</v>
      </c>
      <c r="AX778" s="763">
        <v>0</v>
      </c>
      <c r="AY778" s="763">
        <v>0</v>
      </c>
      <c r="AZ778" s="763">
        <v>0</v>
      </c>
      <c r="BA778" s="763">
        <v>0</v>
      </c>
      <c r="BB778" s="763">
        <v>0</v>
      </c>
      <c r="BC778" s="763">
        <v>0</v>
      </c>
      <c r="BD778" s="763">
        <v>0</v>
      </c>
      <c r="BE778" s="763">
        <v>0</v>
      </c>
      <c r="BF778" s="763">
        <v>0</v>
      </c>
      <c r="BG778" s="763">
        <v>0</v>
      </c>
      <c r="BH778" s="763">
        <v>0</v>
      </c>
      <c r="BI778" s="763">
        <v>0</v>
      </c>
      <c r="BJ778" s="763">
        <v>0</v>
      </c>
      <c r="BK778" s="763">
        <v>0</v>
      </c>
      <c r="BL778" s="763">
        <v>0</v>
      </c>
      <c r="BM778" s="763">
        <v>0</v>
      </c>
      <c r="BN778" s="763">
        <v>0</v>
      </c>
      <c r="BO778" s="763">
        <v>0</v>
      </c>
      <c r="BP778" s="763">
        <v>0</v>
      </c>
      <c r="BQ778" s="763">
        <v>0</v>
      </c>
      <c r="BR778" s="763">
        <v>0</v>
      </c>
      <c r="BS778" s="763">
        <v>0</v>
      </c>
      <c r="BT778" s="763">
        <v>0</v>
      </c>
      <c r="BU778" s="763">
        <v>0</v>
      </c>
      <c r="BV778" s="763">
        <v>0</v>
      </c>
      <c r="BW778" s="763">
        <v>0</v>
      </c>
      <c r="BX778" s="763">
        <v>0</v>
      </c>
      <c r="BY778" s="763">
        <v>0</v>
      </c>
      <c r="BZ778" s="763">
        <v>0</v>
      </c>
      <c r="CA778" s="763">
        <v>0</v>
      </c>
      <c r="CB778" s="763">
        <v>0</v>
      </c>
      <c r="CC778" s="763">
        <v>0</v>
      </c>
      <c r="CD778" s="763">
        <v>0</v>
      </c>
      <c r="CE778" s="763">
        <v>0</v>
      </c>
      <c r="CF778" s="763">
        <v>0</v>
      </c>
      <c r="CG778" s="763">
        <v>0</v>
      </c>
      <c r="CH778" s="763">
        <v>0</v>
      </c>
      <c r="CI778" s="763">
        <v>0</v>
      </c>
      <c r="CJ778" s="763">
        <v>0</v>
      </c>
      <c r="CK778" s="763">
        <v>0</v>
      </c>
      <c r="CL778" s="763">
        <v>0</v>
      </c>
      <c r="CM778" s="763">
        <v>0</v>
      </c>
      <c r="CN778" s="1183"/>
    </row>
    <row r="779" spans="11:92" ht="12" customHeight="1" x14ac:dyDescent="0.35">
      <c r="K779" s="28"/>
      <c r="L779" s="28"/>
      <c r="M779" s="28"/>
      <c r="N779" s="28"/>
      <c r="O779" s="28"/>
      <c r="P779" s="28"/>
      <c r="Q779" s="28"/>
      <c r="R779" s="31"/>
      <c r="S779" s="36"/>
      <c r="T779" s="26"/>
      <c r="U779" s="29"/>
      <c r="V779" s="29"/>
      <c r="W779" s="377"/>
      <c r="X779" s="1804"/>
      <c r="Y779" s="1804"/>
      <c r="Z779" s="1804"/>
      <c r="AA779" s="1804"/>
      <c r="AB779" s="1804"/>
      <c r="AC779" s="1195">
        <f>AF776</f>
        <v>0</v>
      </c>
      <c r="AD779" s="34">
        <f>AD778+SUM(_xlfn.ANCHORARRAY(AF778))</f>
        <v>0</v>
      </c>
      <c r="AE779" s="376" t="s">
        <v>491</v>
      </c>
      <c r="AF779" s="763">
        <f>IF(Input!$Q$297=AF$776,Input!$P$297,0)</f>
        <v>0</v>
      </c>
      <c r="AG779" s="763">
        <f>IF(Input!$Q$297=AG$776,Input!$P$297,0)</f>
        <v>0</v>
      </c>
      <c r="AH779" s="763">
        <f>IF(Input!$Q$297=AH$776,Input!$P$297,0)</f>
        <v>0</v>
      </c>
      <c r="AI779" s="763">
        <f>IF(Input!$Q$297=AI$776,Input!$P$297,0)</f>
        <v>0</v>
      </c>
      <c r="AJ779" s="763">
        <f>IF(Input!$Q$297=AJ$776,Input!$P$297,0)</f>
        <v>0</v>
      </c>
      <c r="AK779" s="763">
        <f>IF(Input!$Q$297=AK$776,Input!$P$297,0)</f>
        <v>0</v>
      </c>
      <c r="AL779" s="763">
        <f>IF(Input!$Q$297=AL$776,Input!$P$297,0)</f>
        <v>0</v>
      </c>
      <c r="AM779" s="763">
        <f>IF(Input!$Q$297=AM$776,Input!$P$297,0)</f>
        <v>0</v>
      </c>
      <c r="AN779" s="763">
        <f>IF(Input!$Q$297=AN$776,Input!$P$297,0)</f>
        <v>0</v>
      </c>
      <c r="AO779" s="763">
        <f>IF(Input!$Q$297=AO$776,Input!$P$297,0)</f>
        <v>0</v>
      </c>
      <c r="AP779" s="763">
        <f>IF(Input!$Q$297=AP$776,Input!$P$297,0)</f>
        <v>0</v>
      </c>
      <c r="AQ779" s="763">
        <f>IF(Input!$Q$297=AQ$776,Input!$P$297,0)</f>
        <v>0</v>
      </c>
      <c r="AR779" s="763">
        <f>IF(Input!$Q$297=AR$776,Input!$P$297,0)</f>
        <v>0</v>
      </c>
      <c r="AS779" s="763">
        <f>IF(Input!$Q$297=AS$776,Input!$P$297,0)</f>
        <v>0</v>
      </c>
      <c r="AT779" s="763">
        <f>IF(Input!$Q$297=AT$776,Input!$P$297,0)</f>
        <v>0</v>
      </c>
      <c r="AU779" s="763">
        <f>IF(Input!$Q$297=AU$776,Input!$P$297,0)</f>
        <v>0</v>
      </c>
      <c r="AV779" s="763">
        <f>IF(Input!$Q$297=AV$776,Input!$P$297,0)</f>
        <v>0</v>
      </c>
      <c r="AW779" s="763">
        <f>IF(Input!$Q$297=AW$776,Input!$P$297,0)</f>
        <v>0</v>
      </c>
      <c r="AX779" s="763">
        <f>IF(Input!$Q$297=AX$776,Input!$P$297,0)</f>
        <v>0</v>
      </c>
      <c r="AY779" s="763">
        <f>IF(Input!$Q$297=AY$776,Input!$P$297,0)</f>
        <v>0</v>
      </c>
      <c r="AZ779" s="763">
        <f>IF(Input!$Q$297=AZ$776,Input!$P$297,0)</f>
        <v>0</v>
      </c>
      <c r="BA779" s="763">
        <f>IF(Input!$Q$297=BA$776,Input!$P$297,0)</f>
        <v>0</v>
      </c>
      <c r="BB779" s="763">
        <f>IF(Input!$Q$297=BB$776,Input!$P$297,0)</f>
        <v>0</v>
      </c>
      <c r="BC779" s="763">
        <f>IF(Input!$Q$297=BC$776,Input!$P$297,0)</f>
        <v>0</v>
      </c>
      <c r="BD779" s="763">
        <f>IF(Input!$Q$297=BD$776,Input!$P$297,0)</f>
        <v>0</v>
      </c>
      <c r="BE779" s="763">
        <f>IF(Input!$Q$297=BE$776,Input!$P$297,0)</f>
        <v>0</v>
      </c>
      <c r="BF779" s="763">
        <f>IF(Input!$Q$297=BF$776,Input!$P$297,0)</f>
        <v>0</v>
      </c>
      <c r="BG779" s="763">
        <f>IF(Input!$Q$297=BG$776,Input!$P$297,0)</f>
        <v>0</v>
      </c>
      <c r="BH779" s="763">
        <f>IF(Input!$Q$297=BH$776,Input!$P$297,0)</f>
        <v>0</v>
      </c>
      <c r="BI779" s="763">
        <f>IF(Input!$Q$297=BI$776,Input!$P$297,0)</f>
        <v>0</v>
      </c>
      <c r="BJ779" s="763">
        <f>IF(Input!$Q$297=BJ$776,Input!$P$297,0)</f>
        <v>0</v>
      </c>
      <c r="BK779" s="763">
        <f>IF(Input!$Q$297=BK$776,Input!$P$297,0)</f>
        <v>0</v>
      </c>
      <c r="BL779" s="763">
        <f>IF(Input!$Q$297=BL$776,Input!$P$297,0)</f>
        <v>0</v>
      </c>
      <c r="BM779" s="763">
        <f>IF(Input!$Q$297=BM$776,Input!$P$297,0)</f>
        <v>0</v>
      </c>
      <c r="BN779" s="763">
        <f>IF(Input!$Q$297=BN$776,Input!$P$297,0)</f>
        <v>0</v>
      </c>
      <c r="BO779" s="763">
        <f>IF(Input!$Q$297=BO$776,Input!$P$297,0)</f>
        <v>0</v>
      </c>
      <c r="BP779" s="763">
        <f>IF(Input!$Q$297=BP$776,Input!$P$297,0)</f>
        <v>0</v>
      </c>
      <c r="BQ779" s="763">
        <f>IF(Input!$Q$297=BQ$776,Input!$P$297,0)</f>
        <v>0</v>
      </c>
      <c r="BR779" s="763">
        <f>IF(Input!$Q$297=BR$776,Input!$P$297,0)</f>
        <v>0</v>
      </c>
      <c r="BS779" s="763">
        <f>IF(Input!$Q$297=BS$776,Input!$P$297,0)</f>
        <v>0</v>
      </c>
      <c r="BT779" s="763">
        <f>IF(Input!$Q$297=BT$776,Input!$P$297,0)</f>
        <v>0</v>
      </c>
      <c r="BU779" s="763">
        <f>IF(Input!$Q$297=BU$776,Input!$P$297,0)</f>
        <v>0</v>
      </c>
      <c r="BV779" s="763">
        <f>IF(Input!$Q$297=BV$776,Input!$P$297,0)</f>
        <v>0</v>
      </c>
      <c r="BW779" s="763">
        <f>IF(Input!$Q$297=BW$776,Input!$P$297,0)</f>
        <v>0</v>
      </c>
      <c r="BX779" s="763">
        <f>IF(Input!$Q$297=BX$776,Input!$P$297,0)</f>
        <v>0</v>
      </c>
      <c r="BY779" s="763">
        <f>IF(Input!$Q$297=BY$776,Input!$P$297,0)</f>
        <v>0</v>
      </c>
      <c r="BZ779" s="763">
        <f>IF(Input!$Q$297=BZ$776,Input!$P$297,0)</f>
        <v>0</v>
      </c>
      <c r="CA779" s="763">
        <f>IF(Input!$Q$297=CA$776,Input!$P$297,0)</f>
        <v>0</v>
      </c>
      <c r="CB779" s="763">
        <f>IF(Input!$Q$297=CB$776,Input!$P$297,0)</f>
        <v>0</v>
      </c>
      <c r="CC779" s="763">
        <f>IF(Input!$Q$297=CC$776,Input!$P$297,0)</f>
        <v>0</v>
      </c>
      <c r="CD779" s="763">
        <f>IF(Input!$Q$297=CD$776,Input!$P$297,0)</f>
        <v>0</v>
      </c>
      <c r="CE779" s="763">
        <f>IF(Input!$Q$297=CE$776,Input!$P$297,0)</f>
        <v>0</v>
      </c>
      <c r="CF779" s="763">
        <f>IF(Input!$Q$297=CF$776,Input!$P$297,0)</f>
        <v>0</v>
      </c>
      <c r="CG779" s="763">
        <f>IF(Input!$Q$297=CG$776,Input!$P$297,0)</f>
        <v>0</v>
      </c>
      <c r="CH779" s="763">
        <f>IF(Input!$Q$297=CH$776,Input!$P$297,0)</f>
        <v>0</v>
      </c>
      <c r="CI779" s="763">
        <f>IF(Input!$Q$297=CI$776,Input!$P$297,0)</f>
        <v>0</v>
      </c>
      <c r="CJ779" s="763">
        <f>IF(Input!$Q$297=CJ$776,Input!$P$297,0)</f>
        <v>0</v>
      </c>
      <c r="CK779" s="763">
        <f>IF(Input!$Q$297=CK$776,Input!$P$297,0)</f>
        <v>0</v>
      </c>
      <c r="CL779" s="763">
        <f>IF(Input!$Q$297=CL$776,Input!$P$297,0)</f>
        <v>0</v>
      </c>
      <c r="CM779" s="763">
        <f>IF(Input!$Q$297=CM$776,Input!$P$297,0)</f>
        <v>0</v>
      </c>
      <c r="CN779" s="1183"/>
    </row>
    <row r="780" spans="11:92" ht="12" customHeight="1" x14ac:dyDescent="0.35">
      <c r="K780" s="28"/>
      <c r="L780" s="28"/>
      <c r="M780" s="28"/>
      <c r="N780" s="28"/>
      <c r="O780" s="28"/>
      <c r="P780" s="28"/>
      <c r="Q780" s="28"/>
      <c r="R780" s="31"/>
      <c r="S780" s="36"/>
      <c r="T780" s="26"/>
      <c r="U780" s="29"/>
      <c r="V780" s="29"/>
      <c r="W780" s="377"/>
      <c r="X780" s="376"/>
      <c r="Y780" s="29"/>
      <c r="Z780" s="29"/>
      <c r="AA780" s="29"/>
      <c r="AB780" s="29"/>
      <c r="AC780" s="1195">
        <f>Input!Q279</f>
        <v>0</v>
      </c>
      <c r="AD780" s="29"/>
      <c r="AE780" s="376"/>
      <c r="AF780" s="380"/>
      <c r="AG780" s="380"/>
      <c r="AH780" s="380"/>
      <c r="AI780" s="380"/>
      <c r="AJ780" s="380"/>
      <c r="AK780" s="380"/>
      <c r="AL780" s="380"/>
      <c r="AM780" s="380"/>
      <c r="AN780" s="380"/>
      <c r="AO780" s="380"/>
      <c r="AP780" s="380"/>
      <c r="AQ780" s="380"/>
      <c r="AR780" s="380"/>
      <c r="AS780" s="380"/>
      <c r="AT780" s="380"/>
      <c r="AU780" s="380"/>
      <c r="AV780" s="380"/>
      <c r="AW780" s="380"/>
      <c r="AX780" s="380"/>
      <c r="AY780" s="380"/>
      <c r="AZ780" s="380"/>
      <c r="BA780" s="380"/>
      <c r="BB780" s="380"/>
      <c r="BC780" s="380"/>
      <c r="BD780" s="380"/>
      <c r="BE780" s="380"/>
      <c r="BF780" s="380"/>
      <c r="BG780" s="380"/>
      <c r="BH780" s="380"/>
      <c r="BI780" s="380"/>
      <c r="BJ780" s="380"/>
      <c r="BK780" s="380"/>
      <c r="BL780" s="380"/>
      <c r="BM780" s="380"/>
      <c r="BN780" s="380"/>
      <c r="BO780" s="380"/>
      <c r="BP780" s="380"/>
      <c r="BQ780" s="380"/>
      <c r="BR780" s="380"/>
      <c r="BS780" s="380"/>
      <c r="BT780" s="380"/>
      <c r="BU780" s="380"/>
      <c r="BV780" s="380"/>
      <c r="BW780" s="380"/>
      <c r="BX780" s="380"/>
      <c r="BY780" s="380"/>
      <c r="BZ780" s="380"/>
      <c r="CA780" s="380"/>
      <c r="CB780" s="380"/>
      <c r="CC780" s="380"/>
      <c r="CD780" s="380"/>
      <c r="CE780" s="380"/>
      <c r="CF780" s="380"/>
      <c r="CG780" s="380"/>
      <c r="CH780" s="380"/>
      <c r="CI780" s="380"/>
      <c r="CJ780" s="380"/>
      <c r="CK780" s="380"/>
      <c r="CL780" s="380"/>
      <c r="CM780" s="380"/>
      <c r="CN780" s="1183"/>
    </row>
    <row r="781" spans="11:92" ht="12" customHeight="1" x14ac:dyDescent="0.35">
      <c r="K781" s="28"/>
      <c r="L781" s="28"/>
      <c r="M781" s="28"/>
      <c r="N781" s="28"/>
      <c r="O781" s="28"/>
      <c r="P781" s="28"/>
      <c r="Q781" s="28"/>
      <c r="R781" s="31"/>
      <c r="S781" s="36"/>
      <c r="T781" s="26"/>
      <c r="U781" s="29"/>
      <c r="V781" s="29"/>
      <c r="W781" s="377"/>
      <c r="X781" s="376"/>
      <c r="Y781" s="29"/>
      <c r="Z781" s="29"/>
      <c r="AA781" s="29"/>
      <c r="AB781" s="29"/>
      <c r="AC781" s="29"/>
      <c r="AD781" s="29"/>
      <c r="AE781" s="32" t="s">
        <v>507</v>
      </c>
      <c r="AF781" s="762">
        <f>AF776</f>
        <v>0</v>
      </c>
      <c r="AG781" s="762">
        <f t="shared" ref="AG781:CM781" si="576">AG776</f>
        <v>59</v>
      </c>
      <c r="AH781" s="762">
        <f t="shared" si="576"/>
        <v>91</v>
      </c>
      <c r="AI781" s="762">
        <f t="shared" si="576"/>
        <v>121</v>
      </c>
      <c r="AJ781" s="762">
        <f t="shared" si="576"/>
        <v>152</v>
      </c>
      <c r="AK781" s="762">
        <f t="shared" si="576"/>
        <v>182</v>
      </c>
      <c r="AL781" s="762">
        <f t="shared" si="576"/>
        <v>213</v>
      </c>
      <c r="AM781" s="762">
        <f t="shared" si="576"/>
        <v>244</v>
      </c>
      <c r="AN781" s="762">
        <f t="shared" si="576"/>
        <v>274</v>
      </c>
      <c r="AO781" s="762">
        <f t="shared" si="576"/>
        <v>305</v>
      </c>
      <c r="AP781" s="762">
        <f t="shared" si="576"/>
        <v>335</v>
      </c>
      <c r="AQ781" s="762">
        <f t="shared" si="576"/>
        <v>366</v>
      </c>
      <c r="AR781" s="762">
        <f t="shared" si="576"/>
        <v>397</v>
      </c>
      <c r="AS781" s="762">
        <f t="shared" si="576"/>
        <v>425</v>
      </c>
      <c r="AT781" s="762">
        <f t="shared" si="576"/>
        <v>456</v>
      </c>
      <c r="AU781" s="762">
        <f t="shared" si="576"/>
        <v>486</v>
      </c>
      <c r="AV781" s="762">
        <f t="shared" si="576"/>
        <v>517</v>
      </c>
      <c r="AW781" s="762">
        <f t="shared" si="576"/>
        <v>547</v>
      </c>
      <c r="AX781" s="762">
        <f t="shared" si="576"/>
        <v>578</v>
      </c>
      <c r="AY781" s="762">
        <f t="shared" si="576"/>
        <v>609</v>
      </c>
      <c r="AZ781" s="762">
        <f t="shared" si="576"/>
        <v>639</v>
      </c>
      <c r="BA781" s="762">
        <f t="shared" si="576"/>
        <v>670</v>
      </c>
      <c r="BB781" s="762">
        <f t="shared" si="576"/>
        <v>700</v>
      </c>
      <c r="BC781" s="762">
        <f t="shared" si="576"/>
        <v>731</v>
      </c>
      <c r="BD781" s="762">
        <f t="shared" si="576"/>
        <v>762</v>
      </c>
      <c r="BE781" s="762">
        <f t="shared" si="576"/>
        <v>790</v>
      </c>
      <c r="BF781" s="762">
        <f t="shared" si="576"/>
        <v>821</v>
      </c>
      <c r="BG781" s="762">
        <f t="shared" si="576"/>
        <v>851</v>
      </c>
      <c r="BH781" s="762">
        <f t="shared" si="576"/>
        <v>882</v>
      </c>
      <c r="BI781" s="762">
        <f t="shared" si="576"/>
        <v>912</v>
      </c>
      <c r="BJ781" s="762">
        <f t="shared" si="576"/>
        <v>943</v>
      </c>
      <c r="BK781" s="762">
        <f t="shared" si="576"/>
        <v>974</v>
      </c>
      <c r="BL781" s="762">
        <f t="shared" si="576"/>
        <v>1004</v>
      </c>
      <c r="BM781" s="762">
        <f t="shared" si="576"/>
        <v>1035</v>
      </c>
      <c r="BN781" s="762">
        <f t="shared" si="576"/>
        <v>1065</v>
      </c>
      <c r="BO781" s="762">
        <f t="shared" si="576"/>
        <v>1096</v>
      </c>
      <c r="BP781" s="762">
        <f t="shared" si="576"/>
        <v>1127</v>
      </c>
      <c r="BQ781" s="762">
        <f t="shared" si="576"/>
        <v>1155</v>
      </c>
      <c r="BR781" s="762">
        <f t="shared" si="576"/>
        <v>1186</v>
      </c>
      <c r="BS781" s="762">
        <f t="shared" si="576"/>
        <v>1216</v>
      </c>
      <c r="BT781" s="762">
        <f t="shared" si="576"/>
        <v>1247</v>
      </c>
      <c r="BU781" s="762">
        <f t="shared" si="576"/>
        <v>1277</v>
      </c>
      <c r="BV781" s="762">
        <f t="shared" si="576"/>
        <v>1308</v>
      </c>
      <c r="BW781" s="762">
        <f t="shared" si="576"/>
        <v>1339</v>
      </c>
      <c r="BX781" s="762">
        <f t="shared" si="576"/>
        <v>1369</v>
      </c>
      <c r="BY781" s="762">
        <f t="shared" si="576"/>
        <v>1400</v>
      </c>
      <c r="BZ781" s="762">
        <f t="shared" si="576"/>
        <v>1430</v>
      </c>
      <c r="CA781" s="762">
        <f t="shared" si="576"/>
        <v>1461</v>
      </c>
      <c r="CB781" s="762">
        <f t="shared" si="576"/>
        <v>1492</v>
      </c>
      <c r="CC781" s="762">
        <f t="shared" si="576"/>
        <v>1521</v>
      </c>
      <c r="CD781" s="762">
        <f t="shared" si="576"/>
        <v>1552</v>
      </c>
      <c r="CE781" s="762">
        <f t="shared" si="576"/>
        <v>1582</v>
      </c>
      <c r="CF781" s="762">
        <f t="shared" si="576"/>
        <v>1613</v>
      </c>
      <c r="CG781" s="762">
        <f t="shared" si="576"/>
        <v>1643</v>
      </c>
      <c r="CH781" s="762">
        <f t="shared" si="576"/>
        <v>1674</v>
      </c>
      <c r="CI781" s="762">
        <f t="shared" si="576"/>
        <v>1705</v>
      </c>
      <c r="CJ781" s="762">
        <f t="shared" si="576"/>
        <v>1735</v>
      </c>
      <c r="CK781" s="762">
        <f t="shared" si="576"/>
        <v>1766</v>
      </c>
      <c r="CL781" s="762">
        <f t="shared" si="576"/>
        <v>1796</v>
      </c>
      <c r="CM781" s="762">
        <f t="shared" si="576"/>
        <v>1827</v>
      </c>
      <c r="CN781" s="1183"/>
    </row>
    <row r="782" spans="11:92" ht="12" customHeight="1" x14ac:dyDescent="0.35">
      <c r="K782" s="28"/>
      <c r="L782" s="28"/>
      <c r="M782" s="28"/>
      <c r="N782" s="28"/>
      <c r="O782" s="28"/>
      <c r="P782" s="28"/>
      <c r="Q782" s="28"/>
      <c r="R782" s="31"/>
      <c r="S782" s="36"/>
      <c r="T782" s="26"/>
      <c r="U782" s="29"/>
      <c r="V782" s="29"/>
      <c r="W782" s="377"/>
      <c r="X782" s="376"/>
      <c r="Y782" s="29"/>
      <c r="Z782" s="29"/>
      <c r="AA782" s="29"/>
      <c r="AB782" s="29"/>
      <c r="AC782" s="29"/>
      <c r="AD782" s="1804"/>
      <c r="AE782" s="376" t="s">
        <v>494</v>
      </c>
      <c r="AF782" s="763" cm="1">
        <f t="array" ref="AF782:CM782">TRANSPOSE($AY$1050:$AY$1109)</f>
        <v>0</v>
      </c>
      <c r="AG782" s="763">
        <v>0</v>
      </c>
      <c r="AH782" s="763">
        <v>0</v>
      </c>
      <c r="AI782" s="763">
        <v>0</v>
      </c>
      <c r="AJ782" s="763">
        <v>0</v>
      </c>
      <c r="AK782" s="763">
        <v>0</v>
      </c>
      <c r="AL782" s="763">
        <v>0</v>
      </c>
      <c r="AM782" s="763">
        <v>0</v>
      </c>
      <c r="AN782" s="763">
        <v>0</v>
      </c>
      <c r="AO782" s="763">
        <v>0</v>
      </c>
      <c r="AP782" s="763">
        <v>0</v>
      </c>
      <c r="AQ782" s="763">
        <v>0</v>
      </c>
      <c r="AR782" s="763">
        <v>0</v>
      </c>
      <c r="AS782" s="763">
        <v>0</v>
      </c>
      <c r="AT782" s="763">
        <v>0</v>
      </c>
      <c r="AU782" s="763">
        <v>0</v>
      </c>
      <c r="AV782" s="763">
        <v>0</v>
      </c>
      <c r="AW782" s="763">
        <v>0</v>
      </c>
      <c r="AX782" s="763">
        <v>0</v>
      </c>
      <c r="AY782" s="763">
        <v>0</v>
      </c>
      <c r="AZ782" s="763">
        <v>0</v>
      </c>
      <c r="BA782" s="763">
        <v>0</v>
      </c>
      <c r="BB782" s="763">
        <v>0</v>
      </c>
      <c r="BC782" s="763">
        <v>0</v>
      </c>
      <c r="BD782" s="763">
        <v>0</v>
      </c>
      <c r="BE782" s="763">
        <v>0</v>
      </c>
      <c r="BF782" s="763">
        <v>0</v>
      </c>
      <c r="BG782" s="763">
        <v>0</v>
      </c>
      <c r="BH782" s="763">
        <v>0</v>
      </c>
      <c r="BI782" s="763">
        <v>0</v>
      </c>
      <c r="BJ782" s="763">
        <v>0</v>
      </c>
      <c r="BK782" s="763">
        <v>0</v>
      </c>
      <c r="BL782" s="763">
        <v>0</v>
      </c>
      <c r="BM782" s="763">
        <v>0</v>
      </c>
      <c r="BN782" s="763">
        <v>0</v>
      </c>
      <c r="BO782" s="763">
        <v>0</v>
      </c>
      <c r="BP782" s="763">
        <v>0</v>
      </c>
      <c r="BQ782" s="763">
        <v>0</v>
      </c>
      <c r="BR782" s="763">
        <v>0</v>
      </c>
      <c r="BS782" s="763">
        <v>0</v>
      </c>
      <c r="BT782" s="763">
        <v>0</v>
      </c>
      <c r="BU782" s="763">
        <v>0</v>
      </c>
      <c r="BV782" s="763">
        <v>0</v>
      </c>
      <c r="BW782" s="763">
        <v>0</v>
      </c>
      <c r="BX782" s="763">
        <v>0</v>
      </c>
      <c r="BY782" s="763">
        <v>0</v>
      </c>
      <c r="BZ782" s="763">
        <v>0</v>
      </c>
      <c r="CA782" s="763">
        <v>0</v>
      </c>
      <c r="CB782" s="763">
        <v>0</v>
      </c>
      <c r="CC782" s="763">
        <v>0</v>
      </c>
      <c r="CD782" s="763">
        <v>0</v>
      </c>
      <c r="CE782" s="763">
        <v>0</v>
      </c>
      <c r="CF782" s="763">
        <v>0</v>
      </c>
      <c r="CG782" s="763">
        <v>0</v>
      </c>
      <c r="CH782" s="763">
        <v>0</v>
      </c>
      <c r="CI782" s="763">
        <v>0</v>
      </c>
      <c r="CJ782" s="763">
        <v>0</v>
      </c>
      <c r="CK782" s="763">
        <v>0</v>
      </c>
      <c r="CL782" s="763">
        <v>0</v>
      </c>
      <c r="CM782" s="763">
        <v>0</v>
      </c>
      <c r="CN782" s="1183"/>
    </row>
    <row r="783" spans="11:92" ht="12" customHeight="1" x14ac:dyDescent="0.35">
      <c r="K783" s="28"/>
      <c r="L783" s="28"/>
      <c r="M783" s="28"/>
      <c r="N783" s="28"/>
      <c r="O783" s="28"/>
      <c r="P783" s="28"/>
      <c r="Q783" s="28"/>
      <c r="R783" s="31"/>
      <c r="S783" s="36"/>
      <c r="T783" s="26"/>
      <c r="U783" s="29"/>
      <c r="V783" s="29"/>
      <c r="W783" s="377"/>
      <c r="X783" s="376"/>
      <c r="Y783" s="29"/>
      <c r="Z783" s="29"/>
      <c r="AA783" s="29"/>
      <c r="AB783" s="29"/>
      <c r="AC783" s="29"/>
      <c r="AD783" s="34">
        <f>SUM(AZ990:AZ1049)</f>
        <v>0</v>
      </c>
      <c r="AE783" s="376" t="s">
        <v>188</v>
      </c>
      <c r="AF783" s="763" cm="1">
        <f t="array" ref="AF783:CM783">TRANSPOSE($AZ$1050:$AZ$1109)</f>
        <v>0</v>
      </c>
      <c r="AG783" s="763">
        <v>0</v>
      </c>
      <c r="AH783" s="763">
        <v>0</v>
      </c>
      <c r="AI783" s="763">
        <v>0</v>
      </c>
      <c r="AJ783" s="763">
        <v>0</v>
      </c>
      <c r="AK783" s="763">
        <v>0</v>
      </c>
      <c r="AL783" s="763">
        <v>0</v>
      </c>
      <c r="AM783" s="763">
        <v>0</v>
      </c>
      <c r="AN783" s="763">
        <v>0</v>
      </c>
      <c r="AO783" s="763">
        <v>0</v>
      </c>
      <c r="AP783" s="763">
        <v>0</v>
      </c>
      <c r="AQ783" s="763">
        <v>0</v>
      </c>
      <c r="AR783" s="763">
        <v>0</v>
      </c>
      <c r="AS783" s="763">
        <v>0</v>
      </c>
      <c r="AT783" s="763">
        <v>0</v>
      </c>
      <c r="AU783" s="763">
        <v>0</v>
      </c>
      <c r="AV783" s="763">
        <v>0</v>
      </c>
      <c r="AW783" s="763">
        <v>0</v>
      </c>
      <c r="AX783" s="763">
        <v>0</v>
      </c>
      <c r="AY783" s="763">
        <v>0</v>
      </c>
      <c r="AZ783" s="763">
        <v>0</v>
      </c>
      <c r="BA783" s="763">
        <v>0</v>
      </c>
      <c r="BB783" s="763">
        <v>0</v>
      </c>
      <c r="BC783" s="763">
        <v>0</v>
      </c>
      <c r="BD783" s="763">
        <v>0</v>
      </c>
      <c r="BE783" s="763">
        <v>0</v>
      </c>
      <c r="BF783" s="763">
        <v>0</v>
      </c>
      <c r="BG783" s="763">
        <v>0</v>
      </c>
      <c r="BH783" s="763">
        <v>0</v>
      </c>
      <c r="BI783" s="763">
        <v>0</v>
      </c>
      <c r="BJ783" s="763">
        <v>0</v>
      </c>
      <c r="BK783" s="763">
        <v>0</v>
      </c>
      <c r="BL783" s="763">
        <v>0</v>
      </c>
      <c r="BM783" s="763">
        <v>0</v>
      </c>
      <c r="BN783" s="763">
        <v>0</v>
      </c>
      <c r="BO783" s="763">
        <v>0</v>
      </c>
      <c r="BP783" s="763">
        <v>0</v>
      </c>
      <c r="BQ783" s="763">
        <v>0</v>
      </c>
      <c r="BR783" s="763">
        <v>0</v>
      </c>
      <c r="BS783" s="763">
        <v>0</v>
      </c>
      <c r="BT783" s="763">
        <v>0</v>
      </c>
      <c r="BU783" s="763">
        <v>0</v>
      </c>
      <c r="BV783" s="763">
        <v>0</v>
      </c>
      <c r="BW783" s="763">
        <v>0</v>
      </c>
      <c r="BX783" s="763">
        <v>0</v>
      </c>
      <c r="BY783" s="763">
        <v>0</v>
      </c>
      <c r="BZ783" s="763">
        <v>0</v>
      </c>
      <c r="CA783" s="763">
        <v>0</v>
      </c>
      <c r="CB783" s="763">
        <v>0</v>
      </c>
      <c r="CC783" s="763">
        <v>0</v>
      </c>
      <c r="CD783" s="763">
        <v>0</v>
      </c>
      <c r="CE783" s="763">
        <v>0</v>
      </c>
      <c r="CF783" s="763">
        <v>0</v>
      </c>
      <c r="CG783" s="763">
        <v>0</v>
      </c>
      <c r="CH783" s="763">
        <v>0</v>
      </c>
      <c r="CI783" s="763">
        <v>0</v>
      </c>
      <c r="CJ783" s="763">
        <v>0</v>
      </c>
      <c r="CK783" s="763">
        <v>0</v>
      </c>
      <c r="CL783" s="763">
        <v>0</v>
      </c>
      <c r="CM783" s="763">
        <v>0</v>
      </c>
      <c r="CN783" s="376"/>
    </row>
    <row r="784" spans="11:92" ht="12" customHeight="1" x14ac:dyDescent="0.35">
      <c r="K784" s="28"/>
      <c r="L784" s="28"/>
      <c r="M784" s="28"/>
      <c r="N784" s="28"/>
      <c r="O784" s="28"/>
      <c r="P784" s="28"/>
      <c r="Q784" s="28"/>
      <c r="R784" s="31"/>
      <c r="S784" s="36"/>
      <c r="T784" s="26"/>
      <c r="U784" s="29"/>
      <c r="V784" s="29"/>
      <c r="W784" s="377" t="s">
        <v>62</v>
      </c>
      <c r="X784" s="1811">
        <f>SUM(AF802:AQ802)</f>
        <v>0</v>
      </c>
      <c r="Y784" s="431">
        <f>SUM(AR802:BC802)</f>
        <v>0</v>
      </c>
      <c r="Z784" s="431">
        <f>SUM(BD802:BO802)</f>
        <v>0</v>
      </c>
      <c r="AA784" s="432">
        <f>SUM(BP802:CA802)</f>
        <v>0</v>
      </c>
      <c r="AB784" s="432">
        <f>SUM(CB802:CM802)</f>
        <v>0</v>
      </c>
      <c r="AC784" s="29"/>
      <c r="AD784" s="34">
        <f>AD783+SUM(_xlfn.ANCHORARRAY(AF783))</f>
        <v>0</v>
      </c>
      <c r="AE784" s="376" t="s">
        <v>491</v>
      </c>
      <c r="AF784" s="763">
        <f>IF(Input!$Q$298=AF$776,Input!$P$298,0)</f>
        <v>0</v>
      </c>
      <c r="AG784" s="763">
        <f>IF(Input!$Q$298=AG$776,Input!$P$298,0)</f>
        <v>0</v>
      </c>
      <c r="AH784" s="763">
        <f>IF(Input!$Q$298=AH$776,Input!$P$298,0)</f>
        <v>0</v>
      </c>
      <c r="AI784" s="763">
        <f>IF(Input!$Q$298=AI$776,Input!$P$298,0)</f>
        <v>0</v>
      </c>
      <c r="AJ784" s="763">
        <f>IF(Input!$Q$298=AJ$776,Input!$P$298,0)</f>
        <v>0</v>
      </c>
      <c r="AK784" s="763">
        <f>IF(Input!$Q$298=AK$776,Input!$P$298,0)</f>
        <v>0</v>
      </c>
      <c r="AL784" s="763">
        <f>IF(Input!$Q$298=AL$776,Input!$P$298,0)</f>
        <v>0</v>
      </c>
      <c r="AM784" s="763">
        <f>IF(Input!$Q$298=AM$776,Input!$P$298,0)</f>
        <v>0</v>
      </c>
      <c r="AN784" s="763">
        <f>IF(Input!$Q$298=AN$776,Input!$P$298,0)</f>
        <v>0</v>
      </c>
      <c r="AO784" s="763">
        <f>IF(Input!$Q$298=AO$776,Input!$P$298,0)</f>
        <v>0</v>
      </c>
      <c r="AP784" s="763">
        <f>IF(Input!$Q$298=AP$776,Input!$P$298,0)</f>
        <v>0</v>
      </c>
      <c r="AQ784" s="763">
        <f>IF(Input!$Q$298=AQ$776,Input!$P$298,0)</f>
        <v>0</v>
      </c>
      <c r="AR784" s="763">
        <f>IF(Input!$Q$298=AR$776,Input!$P$298,0)</f>
        <v>0</v>
      </c>
      <c r="AS784" s="763">
        <f>IF(Input!$Q$298=AS$776,Input!$P$298,0)</f>
        <v>0</v>
      </c>
      <c r="AT784" s="763">
        <f>IF(Input!$Q$298=AT$776,Input!$P$298,0)</f>
        <v>0</v>
      </c>
      <c r="AU784" s="763">
        <f>IF(Input!$Q$298=AU$776,Input!$P$298,0)</f>
        <v>0</v>
      </c>
      <c r="AV784" s="763">
        <f>IF(Input!$Q$298=AV$776,Input!$P$298,0)</f>
        <v>0</v>
      </c>
      <c r="AW784" s="763">
        <f>IF(Input!$Q$298=AW$776,Input!$P$298,0)</f>
        <v>0</v>
      </c>
      <c r="AX784" s="763">
        <f>IF(Input!$Q$298=AX$776,Input!$P$298,0)</f>
        <v>0</v>
      </c>
      <c r="AY784" s="763">
        <f>IF(Input!$Q$298=AY$776,Input!$P$298,0)</f>
        <v>0</v>
      </c>
      <c r="AZ784" s="763">
        <f>IF(Input!$Q$298=AZ$776,Input!$P$298,0)</f>
        <v>0</v>
      </c>
      <c r="BA784" s="763">
        <f>IF(Input!$Q$298=BA$776,Input!$P$298,0)</f>
        <v>0</v>
      </c>
      <c r="BB784" s="763">
        <f>IF(Input!$Q$298=BB$776,Input!$P$298,0)</f>
        <v>0</v>
      </c>
      <c r="BC784" s="763">
        <f>IF(Input!$Q$298=BC$776,Input!$P$298,0)</f>
        <v>0</v>
      </c>
      <c r="BD784" s="763">
        <f>IF(Input!$Q$298=BD$776,Input!$P$298,0)</f>
        <v>0</v>
      </c>
      <c r="BE784" s="763">
        <f>IF(Input!$Q$298=BE$776,Input!$P$298,0)</f>
        <v>0</v>
      </c>
      <c r="BF784" s="763">
        <f>IF(Input!$Q$298=BF$776,Input!$P$298,0)</f>
        <v>0</v>
      </c>
      <c r="BG784" s="763">
        <f>IF(Input!$Q$298=BG$776,Input!$P$298,0)</f>
        <v>0</v>
      </c>
      <c r="BH784" s="763">
        <f>IF(Input!$Q$298=BH$776,Input!$P$298,0)</f>
        <v>0</v>
      </c>
      <c r="BI784" s="763">
        <f>IF(Input!$Q$298=BI$776,Input!$P$298,0)</f>
        <v>0</v>
      </c>
      <c r="BJ784" s="763">
        <f>IF(Input!$Q$298=BJ$776,Input!$P$298,0)</f>
        <v>0</v>
      </c>
      <c r="BK784" s="763">
        <f>IF(Input!$Q$298=BK$776,Input!$P$298,0)</f>
        <v>0</v>
      </c>
      <c r="BL784" s="763">
        <f>IF(Input!$Q$298=BL$776,Input!$P$298,0)</f>
        <v>0</v>
      </c>
      <c r="BM784" s="763">
        <f>IF(Input!$Q$298=BM$776,Input!$P$298,0)</f>
        <v>0</v>
      </c>
      <c r="BN784" s="763">
        <f>IF(Input!$Q$298=BN$776,Input!$P$298,0)</f>
        <v>0</v>
      </c>
      <c r="BO784" s="763">
        <f>IF(Input!$Q$298=BO$776,Input!$P$298,0)</f>
        <v>0</v>
      </c>
      <c r="BP784" s="763">
        <f>IF(Input!$Q$298=BP$776,Input!$P$298,0)</f>
        <v>0</v>
      </c>
      <c r="BQ784" s="763">
        <f>IF(Input!$Q$298=BQ$776,Input!$P$298,0)</f>
        <v>0</v>
      </c>
      <c r="BR784" s="763">
        <f>IF(Input!$Q$298=BR$776,Input!$P$298,0)</f>
        <v>0</v>
      </c>
      <c r="BS784" s="763">
        <f>IF(Input!$Q$298=BS$776,Input!$P$298,0)</f>
        <v>0</v>
      </c>
      <c r="BT784" s="763">
        <f>IF(Input!$Q$298=BT$776,Input!$P$298,0)</f>
        <v>0</v>
      </c>
      <c r="BU784" s="763">
        <f>IF(Input!$Q$298=BU$776,Input!$P$298,0)</f>
        <v>0</v>
      </c>
      <c r="BV784" s="763">
        <f>IF(Input!$Q$298=BV$776,Input!$P$298,0)</f>
        <v>0</v>
      </c>
      <c r="BW784" s="763">
        <f>IF(Input!$Q$298=BW$776,Input!$P$298,0)</f>
        <v>0</v>
      </c>
      <c r="BX784" s="763">
        <f>IF(Input!$Q$298=BX$776,Input!$P$298,0)</f>
        <v>0</v>
      </c>
      <c r="BY784" s="763">
        <f>IF(Input!$Q$298=BY$776,Input!$P$298,0)</f>
        <v>0</v>
      </c>
      <c r="BZ784" s="763">
        <f>IF(Input!$Q$298=BZ$776,Input!$P$298,0)</f>
        <v>0</v>
      </c>
      <c r="CA784" s="763">
        <f>IF(Input!$Q$298=CA$776,Input!$P$298,0)</f>
        <v>0</v>
      </c>
      <c r="CB784" s="763">
        <f>IF(Input!$Q$298=CB$776,Input!$P$298,0)</f>
        <v>0</v>
      </c>
      <c r="CC784" s="763">
        <f>IF(Input!$Q$298=CC$776,Input!$P$298,0)</f>
        <v>0</v>
      </c>
      <c r="CD784" s="763">
        <f>IF(Input!$Q$298=CD$776,Input!$P$298,0)</f>
        <v>0</v>
      </c>
      <c r="CE784" s="763">
        <f>IF(Input!$Q$298=CE$776,Input!$P$298,0)</f>
        <v>0</v>
      </c>
      <c r="CF784" s="763">
        <f>IF(Input!$Q$298=CF$776,Input!$P$298,0)</f>
        <v>0</v>
      </c>
      <c r="CG784" s="763">
        <f>IF(Input!$Q$298=CG$776,Input!$P$298,0)</f>
        <v>0</v>
      </c>
      <c r="CH784" s="763">
        <f>IF(Input!$Q$298=CH$776,Input!$P$298,0)</f>
        <v>0</v>
      </c>
      <c r="CI784" s="763">
        <f>IF(Input!$Q$298=CI$776,Input!$P$298,0)</f>
        <v>0</v>
      </c>
      <c r="CJ784" s="763">
        <f>IF(Input!$Q$298=CJ$776,Input!$P$298,0)</f>
        <v>0</v>
      </c>
      <c r="CK784" s="763">
        <f>IF(Input!$Q$298=CK$776,Input!$P$298,0)</f>
        <v>0</v>
      </c>
      <c r="CL784" s="763">
        <f>IF(Input!$Q$298=CL$776,Input!$P$298,0)</f>
        <v>0</v>
      </c>
      <c r="CM784" s="763">
        <f>IF(Input!$Q$298=CM$776,Input!$P$298,0)</f>
        <v>0</v>
      </c>
      <c r="CN784" s="1183"/>
    </row>
    <row r="785" spans="11:113" ht="12" customHeight="1" x14ac:dyDescent="0.35">
      <c r="K785" s="28"/>
      <c r="L785" s="28"/>
      <c r="M785" s="28"/>
      <c r="N785" s="28"/>
      <c r="O785" s="28"/>
      <c r="P785" s="28"/>
      <c r="Q785" s="28"/>
      <c r="R785" s="31"/>
      <c r="S785" s="36"/>
      <c r="T785" s="26"/>
      <c r="U785" s="29"/>
      <c r="V785" s="29"/>
      <c r="W785" s="377"/>
      <c r="X785" s="376"/>
      <c r="Y785" s="29"/>
      <c r="Z785" s="29"/>
      <c r="AA785" s="29"/>
      <c r="AB785" s="29"/>
      <c r="AC785" s="29"/>
      <c r="AD785" s="29"/>
      <c r="AE785" s="376"/>
      <c r="AF785" s="380"/>
      <c r="AG785" s="380"/>
      <c r="AH785" s="380"/>
      <c r="AI785" s="380"/>
      <c r="AJ785" s="380"/>
      <c r="AK785" s="380"/>
      <c r="AL785" s="380"/>
      <c r="AM785" s="380"/>
      <c r="AN785" s="380"/>
      <c r="AO785" s="380"/>
      <c r="AP785" s="380"/>
      <c r="AQ785" s="380"/>
      <c r="AR785" s="380"/>
      <c r="AS785" s="380"/>
      <c r="AT785" s="380"/>
      <c r="AU785" s="380"/>
      <c r="AV785" s="380"/>
      <c r="AW785" s="380"/>
      <c r="AX785" s="380"/>
      <c r="AY785" s="380"/>
      <c r="AZ785" s="380"/>
      <c r="BA785" s="380"/>
      <c r="BB785" s="380"/>
      <c r="BC785" s="380"/>
      <c r="BD785" s="380"/>
      <c r="BE785" s="380"/>
      <c r="BF785" s="380"/>
      <c r="BG785" s="380"/>
      <c r="BH785" s="380"/>
      <c r="BI785" s="380"/>
      <c r="BJ785" s="380"/>
      <c r="BK785" s="380"/>
      <c r="BL785" s="380"/>
      <c r="BM785" s="380"/>
      <c r="BN785" s="380"/>
      <c r="BO785" s="380"/>
      <c r="BP785" s="380"/>
      <c r="BQ785" s="380"/>
      <c r="BR785" s="380"/>
      <c r="BS785" s="380"/>
      <c r="BT785" s="380"/>
      <c r="BU785" s="380"/>
      <c r="BV785" s="380"/>
      <c r="BW785" s="380"/>
      <c r="BX785" s="380"/>
      <c r="BY785" s="380"/>
      <c r="BZ785" s="380"/>
      <c r="CA785" s="380"/>
      <c r="CB785" s="380"/>
      <c r="CC785" s="380"/>
      <c r="CD785" s="380"/>
      <c r="CE785" s="380"/>
      <c r="CF785" s="380"/>
      <c r="CG785" s="380"/>
      <c r="CH785" s="380"/>
      <c r="CI785" s="380"/>
      <c r="CJ785" s="380"/>
      <c r="CK785" s="380"/>
      <c r="CL785" s="380"/>
      <c r="CM785" s="380"/>
      <c r="CN785" s="1183"/>
      <c r="CO785" s="1183"/>
      <c r="CP785" s="1183"/>
      <c r="CQ785" s="1301"/>
      <c r="CR785" s="1301"/>
      <c r="CS785" s="1301"/>
      <c r="CT785" s="1301"/>
      <c r="CU785" s="1301"/>
      <c r="CV785" s="1301"/>
      <c r="CW785" s="1301"/>
      <c r="CX785" s="1301"/>
      <c r="CY785" s="1301"/>
      <c r="CZ785" s="1301"/>
      <c r="DA785" s="1301"/>
      <c r="DB785" s="1301"/>
      <c r="DC785" s="1301"/>
      <c r="DD785" s="1301"/>
      <c r="DE785" s="1301"/>
      <c r="DF785" s="1301"/>
      <c r="DG785" s="1301"/>
      <c r="DH785" s="1301"/>
      <c r="DI785" s="1301"/>
    </row>
    <row r="786" spans="11:113" ht="12" customHeight="1" x14ac:dyDescent="0.35">
      <c r="K786" s="28"/>
      <c r="L786" s="28"/>
      <c r="M786" s="28"/>
      <c r="N786" s="28"/>
      <c r="O786" s="28"/>
      <c r="P786" s="28"/>
      <c r="Q786" s="28"/>
      <c r="R786" s="31"/>
      <c r="S786" s="36"/>
      <c r="T786" s="26"/>
      <c r="U786" s="29"/>
      <c r="V786" s="29"/>
      <c r="W786" s="377"/>
      <c r="X786" s="376"/>
      <c r="Y786" s="29"/>
      <c r="Z786" s="29"/>
      <c r="AA786" s="1890" t="s">
        <v>70</v>
      </c>
      <c r="AB786" s="1890"/>
      <c r="AC786" s="1804"/>
      <c r="AD786" s="29"/>
      <c r="AE786" s="32" t="s">
        <v>508</v>
      </c>
      <c r="AF786" s="762">
        <f>AF781</f>
        <v>0</v>
      </c>
      <c r="AG786" s="762">
        <f t="shared" ref="AG786:CM786" si="577">AG781</f>
        <v>59</v>
      </c>
      <c r="AH786" s="762">
        <f t="shared" si="577"/>
        <v>91</v>
      </c>
      <c r="AI786" s="762">
        <f t="shared" si="577"/>
        <v>121</v>
      </c>
      <c r="AJ786" s="762">
        <f t="shared" si="577"/>
        <v>152</v>
      </c>
      <c r="AK786" s="762">
        <f t="shared" si="577"/>
        <v>182</v>
      </c>
      <c r="AL786" s="762">
        <f t="shared" si="577"/>
        <v>213</v>
      </c>
      <c r="AM786" s="762">
        <f t="shared" si="577"/>
        <v>244</v>
      </c>
      <c r="AN786" s="762">
        <f t="shared" si="577"/>
        <v>274</v>
      </c>
      <c r="AO786" s="762">
        <f t="shared" si="577"/>
        <v>305</v>
      </c>
      <c r="AP786" s="762">
        <f t="shared" si="577"/>
        <v>335</v>
      </c>
      <c r="AQ786" s="762">
        <f t="shared" si="577"/>
        <v>366</v>
      </c>
      <c r="AR786" s="762">
        <f t="shared" si="577"/>
        <v>397</v>
      </c>
      <c r="AS786" s="762">
        <f t="shared" si="577"/>
        <v>425</v>
      </c>
      <c r="AT786" s="762">
        <f t="shared" si="577"/>
        <v>456</v>
      </c>
      <c r="AU786" s="762">
        <f t="shared" si="577"/>
        <v>486</v>
      </c>
      <c r="AV786" s="762">
        <f t="shared" si="577"/>
        <v>517</v>
      </c>
      <c r="AW786" s="762">
        <f t="shared" si="577"/>
        <v>547</v>
      </c>
      <c r="AX786" s="762">
        <f t="shared" si="577"/>
        <v>578</v>
      </c>
      <c r="AY786" s="762">
        <f t="shared" si="577"/>
        <v>609</v>
      </c>
      <c r="AZ786" s="762">
        <f t="shared" si="577"/>
        <v>639</v>
      </c>
      <c r="BA786" s="762">
        <f t="shared" si="577"/>
        <v>670</v>
      </c>
      <c r="BB786" s="762">
        <f t="shared" si="577"/>
        <v>700</v>
      </c>
      <c r="BC786" s="762">
        <f t="shared" si="577"/>
        <v>731</v>
      </c>
      <c r="BD786" s="762">
        <f t="shared" si="577"/>
        <v>762</v>
      </c>
      <c r="BE786" s="762">
        <f t="shared" si="577"/>
        <v>790</v>
      </c>
      <c r="BF786" s="762">
        <f t="shared" si="577"/>
        <v>821</v>
      </c>
      <c r="BG786" s="762">
        <f t="shared" si="577"/>
        <v>851</v>
      </c>
      <c r="BH786" s="762">
        <f t="shared" si="577"/>
        <v>882</v>
      </c>
      <c r="BI786" s="762">
        <f t="shared" si="577"/>
        <v>912</v>
      </c>
      <c r="BJ786" s="762">
        <f t="shared" si="577"/>
        <v>943</v>
      </c>
      <c r="BK786" s="762">
        <f t="shared" si="577"/>
        <v>974</v>
      </c>
      <c r="BL786" s="762">
        <f t="shared" si="577"/>
        <v>1004</v>
      </c>
      <c r="BM786" s="762">
        <f t="shared" si="577"/>
        <v>1035</v>
      </c>
      <c r="BN786" s="762">
        <f t="shared" si="577"/>
        <v>1065</v>
      </c>
      <c r="BO786" s="762">
        <f t="shared" si="577"/>
        <v>1096</v>
      </c>
      <c r="BP786" s="762">
        <f t="shared" si="577"/>
        <v>1127</v>
      </c>
      <c r="BQ786" s="762">
        <f t="shared" si="577"/>
        <v>1155</v>
      </c>
      <c r="BR786" s="762">
        <f t="shared" si="577"/>
        <v>1186</v>
      </c>
      <c r="BS786" s="762">
        <f t="shared" si="577"/>
        <v>1216</v>
      </c>
      <c r="BT786" s="762">
        <f t="shared" si="577"/>
        <v>1247</v>
      </c>
      <c r="BU786" s="762">
        <f t="shared" si="577"/>
        <v>1277</v>
      </c>
      <c r="BV786" s="762">
        <f t="shared" si="577"/>
        <v>1308</v>
      </c>
      <c r="BW786" s="762">
        <f t="shared" si="577"/>
        <v>1339</v>
      </c>
      <c r="BX786" s="762">
        <f t="shared" si="577"/>
        <v>1369</v>
      </c>
      <c r="BY786" s="762">
        <f t="shared" si="577"/>
        <v>1400</v>
      </c>
      <c r="BZ786" s="762">
        <f t="shared" si="577"/>
        <v>1430</v>
      </c>
      <c r="CA786" s="762">
        <f t="shared" si="577"/>
        <v>1461</v>
      </c>
      <c r="CB786" s="762">
        <f t="shared" si="577"/>
        <v>1492</v>
      </c>
      <c r="CC786" s="762">
        <f t="shared" si="577"/>
        <v>1521</v>
      </c>
      <c r="CD786" s="762">
        <f t="shared" si="577"/>
        <v>1552</v>
      </c>
      <c r="CE786" s="762">
        <f t="shared" si="577"/>
        <v>1582</v>
      </c>
      <c r="CF786" s="762">
        <f t="shared" si="577"/>
        <v>1613</v>
      </c>
      <c r="CG786" s="762">
        <f t="shared" si="577"/>
        <v>1643</v>
      </c>
      <c r="CH786" s="762">
        <f t="shared" si="577"/>
        <v>1674</v>
      </c>
      <c r="CI786" s="762">
        <f t="shared" si="577"/>
        <v>1705</v>
      </c>
      <c r="CJ786" s="762">
        <f t="shared" si="577"/>
        <v>1735</v>
      </c>
      <c r="CK786" s="762">
        <f t="shared" si="577"/>
        <v>1766</v>
      </c>
      <c r="CL786" s="762">
        <f t="shared" si="577"/>
        <v>1796</v>
      </c>
      <c r="CM786" s="762">
        <f t="shared" si="577"/>
        <v>1827</v>
      </c>
      <c r="CN786" s="1183"/>
      <c r="CO786" s="1183"/>
      <c r="CP786" s="1183"/>
      <c r="CQ786" s="1301"/>
      <c r="CR786" s="1301"/>
      <c r="CS786" s="1301"/>
      <c r="CT786" s="1301"/>
      <c r="CU786" s="1301"/>
      <c r="CV786" s="1301"/>
      <c r="CW786" s="1301"/>
      <c r="CX786" s="1301"/>
      <c r="CY786" s="1301"/>
      <c r="CZ786" s="1301"/>
      <c r="DA786" s="1301"/>
      <c r="DB786" s="1301"/>
      <c r="DC786" s="1301"/>
      <c r="DD786" s="1301"/>
      <c r="DE786" s="1301"/>
      <c r="DF786" s="1301"/>
      <c r="DG786" s="1301"/>
      <c r="DH786" s="1301"/>
      <c r="DI786" s="1301"/>
    </row>
    <row r="787" spans="11:113" ht="12" customHeight="1" x14ac:dyDescent="0.35">
      <c r="K787" s="28"/>
      <c r="L787" s="28"/>
      <c r="M787" s="28"/>
      <c r="N787" s="28"/>
      <c r="O787" s="28"/>
      <c r="P787" s="28"/>
      <c r="Q787" s="28"/>
      <c r="R787" s="31"/>
      <c r="S787" s="36"/>
      <c r="T787" s="26"/>
      <c r="U787" s="29"/>
      <c r="V787" s="29"/>
      <c r="W787" s="377"/>
      <c r="X787" s="376"/>
      <c r="Y787" s="29"/>
      <c r="Z787" s="29"/>
      <c r="AA787" s="1804"/>
      <c r="AB787" s="1804"/>
      <c r="AC787" s="1804"/>
      <c r="AD787" s="29"/>
      <c r="AE787" s="376" t="s">
        <v>494</v>
      </c>
      <c r="AF787" s="763" cm="1">
        <f t="array" ref="AF787:CM787">TRANSPOSE($BF$1050:$BF$1109)</f>
        <v>0</v>
      </c>
      <c r="AG787" s="763">
        <v>0</v>
      </c>
      <c r="AH787" s="763">
        <v>0</v>
      </c>
      <c r="AI787" s="763">
        <v>0</v>
      </c>
      <c r="AJ787" s="763">
        <v>0</v>
      </c>
      <c r="AK787" s="763">
        <v>0</v>
      </c>
      <c r="AL787" s="763">
        <v>0</v>
      </c>
      <c r="AM787" s="763">
        <v>0</v>
      </c>
      <c r="AN787" s="763">
        <v>0</v>
      </c>
      <c r="AO787" s="763">
        <v>0</v>
      </c>
      <c r="AP787" s="763">
        <v>0</v>
      </c>
      <c r="AQ787" s="763">
        <v>0</v>
      </c>
      <c r="AR787" s="763">
        <v>0</v>
      </c>
      <c r="AS787" s="763">
        <v>0</v>
      </c>
      <c r="AT787" s="763">
        <v>0</v>
      </c>
      <c r="AU787" s="763">
        <v>0</v>
      </c>
      <c r="AV787" s="763">
        <v>0</v>
      </c>
      <c r="AW787" s="763">
        <v>0</v>
      </c>
      <c r="AX787" s="763">
        <v>0</v>
      </c>
      <c r="AY787" s="763">
        <v>0</v>
      </c>
      <c r="AZ787" s="763">
        <v>0</v>
      </c>
      <c r="BA787" s="763">
        <v>0</v>
      </c>
      <c r="BB787" s="763">
        <v>0</v>
      </c>
      <c r="BC787" s="763">
        <v>0</v>
      </c>
      <c r="BD787" s="763">
        <v>0</v>
      </c>
      <c r="BE787" s="763">
        <v>0</v>
      </c>
      <c r="BF787" s="763">
        <v>0</v>
      </c>
      <c r="BG787" s="763">
        <v>0</v>
      </c>
      <c r="BH787" s="763">
        <v>0</v>
      </c>
      <c r="BI787" s="763">
        <v>0</v>
      </c>
      <c r="BJ787" s="763">
        <v>0</v>
      </c>
      <c r="BK787" s="763">
        <v>0</v>
      </c>
      <c r="BL787" s="763">
        <v>0</v>
      </c>
      <c r="BM787" s="763">
        <v>0</v>
      </c>
      <c r="BN787" s="763">
        <v>0</v>
      </c>
      <c r="BO787" s="763">
        <v>0</v>
      </c>
      <c r="BP787" s="763">
        <v>0</v>
      </c>
      <c r="BQ787" s="763">
        <v>0</v>
      </c>
      <c r="BR787" s="763">
        <v>0</v>
      </c>
      <c r="BS787" s="763">
        <v>0</v>
      </c>
      <c r="BT787" s="763">
        <v>0</v>
      </c>
      <c r="BU787" s="763">
        <v>0</v>
      </c>
      <c r="BV787" s="763">
        <v>0</v>
      </c>
      <c r="BW787" s="763">
        <v>0</v>
      </c>
      <c r="BX787" s="763">
        <v>0</v>
      </c>
      <c r="BY787" s="763">
        <v>0</v>
      </c>
      <c r="BZ787" s="763">
        <v>0</v>
      </c>
      <c r="CA787" s="763">
        <v>0</v>
      </c>
      <c r="CB787" s="763">
        <v>0</v>
      </c>
      <c r="CC787" s="763">
        <v>0</v>
      </c>
      <c r="CD787" s="763">
        <v>0</v>
      </c>
      <c r="CE787" s="763">
        <v>0</v>
      </c>
      <c r="CF787" s="763">
        <v>0</v>
      </c>
      <c r="CG787" s="763">
        <v>0</v>
      </c>
      <c r="CH787" s="763">
        <v>0</v>
      </c>
      <c r="CI787" s="763">
        <v>0</v>
      </c>
      <c r="CJ787" s="763">
        <v>0</v>
      </c>
      <c r="CK787" s="763">
        <v>0</v>
      </c>
      <c r="CL787" s="763">
        <v>0</v>
      </c>
      <c r="CM787" s="763">
        <v>0</v>
      </c>
      <c r="CN787" s="1183"/>
      <c r="CO787" s="1183"/>
      <c r="CP787" s="1183"/>
      <c r="CQ787" s="1301"/>
      <c r="CR787" s="1301"/>
      <c r="CS787" s="1301"/>
      <c r="CT787" s="1301"/>
      <c r="CU787" s="1301"/>
      <c r="CV787" s="1301"/>
      <c r="CW787" s="1301"/>
      <c r="CX787" s="1301"/>
      <c r="CY787" s="1301"/>
      <c r="CZ787" s="1301"/>
      <c r="DA787" s="1301"/>
      <c r="DB787" s="1301"/>
      <c r="DC787" s="1301"/>
      <c r="DD787" s="1301"/>
      <c r="DE787" s="1301"/>
      <c r="DF787" s="1301"/>
      <c r="DG787" s="1301"/>
      <c r="DH787" s="1301"/>
      <c r="DI787" s="1301"/>
    </row>
    <row r="788" spans="11:113" ht="12" customHeight="1" x14ac:dyDescent="0.35">
      <c r="K788" s="28"/>
      <c r="L788" s="28"/>
      <c r="M788" s="28"/>
      <c r="N788" s="28"/>
      <c r="O788" s="28"/>
      <c r="P788" s="28"/>
      <c r="Q788" s="28"/>
      <c r="R788" s="31"/>
      <c r="S788" s="36"/>
      <c r="T788" s="26"/>
      <c r="U788" s="29"/>
      <c r="V788" s="29"/>
      <c r="W788" s="377"/>
      <c r="X788" s="376"/>
      <c r="Y788" s="387" t="s">
        <v>165</v>
      </c>
      <c r="Z788" s="387" t="s">
        <v>161</v>
      </c>
      <c r="AA788" s="387" t="s">
        <v>494</v>
      </c>
      <c r="AB788" s="387" t="s">
        <v>509</v>
      </c>
      <c r="AC788" s="387" t="s">
        <v>189</v>
      </c>
      <c r="AD788" s="34">
        <f>SUM(BG990:BG1049)</f>
        <v>0</v>
      </c>
      <c r="AE788" s="376" t="s">
        <v>188</v>
      </c>
      <c r="AF788" s="763" cm="1">
        <f t="array" ref="AF788:CM788">TRANSPOSE($BG$1050:$BG$1109)</f>
        <v>0</v>
      </c>
      <c r="AG788" s="763">
        <v>0</v>
      </c>
      <c r="AH788" s="763">
        <v>0</v>
      </c>
      <c r="AI788" s="763">
        <v>0</v>
      </c>
      <c r="AJ788" s="763">
        <v>0</v>
      </c>
      <c r="AK788" s="763">
        <v>0</v>
      </c>
      <c r="AL788" s="763">
        <v>0</v>
      </c>
      <c r="AM788" s="763">
        <v>0</v>
      </c>
      <c r="AN788" s="763">
        <v>0</v>
      </c>
      <c r="AO788" s="763">
        <v>0</v>
      </c>
      <c r="AP788" s="763">
        <v>0</v>
      </c>
      <c r="AQ788" s="763">
        <v>0</v>
      </c>
      <c r="AR788" s="763">
        <v>0</v>
      </c>
      <c r="AS788" s="763">
        <v>0</v>
      </c>
      <c r="AT788" s="763">
        <v>0</v>
      </c>
      <c r="AU788" s="763">
        <v>0</v>
      </c>
      <c r="AV788" s="763">
        <v>0</v>
      </c>
      <c r="AW788" s="763">
        <v>0</v>
      </c>
      <c r="AX788" s="763">
        <v>0</v>
      </c>
      <c r="AY788" s="763">
        <v>0</v>
      </c>
      <c r="AZ788" s="763">
        <v>0</v>
      </c>
      <c r="BA788" s="763">
        <v>0</v>
      </c>
      <c r="BB788" s="763">
        <v>0</v>
      </c>
      <c r="BC788" s="763">
        <v>0</v>
      </c>
      <c r="BD788" s="763">
        <v>0</v>
      </c>
      <c r="BE788" s="763">
        <v>0</v>
      </c>
      <c r="BF788" s="763">
        <v>0</v>
      </c>
      <c r="BG788" s="763">
        <v>0</v>
      </c>
      <c r="BH788" s="763">
        <v>0</v>
      </c>
      <c r="BI788" s="763">
        <v>0</v>
      </c>
      <c r="BJ788" s="763">
        <v>0</v>
      </c>
      <c r="BK788" s="763">
        <v>0</v>
      </c>
      <c r="BL788" s="763">
        <v>0</v>
      </c>
      <c r="BM788" s="763">
        <v>0</v>
      </c>
      <c r="BN788" s="763">
        <v>0</v>
      </c>
      <c r="BO788" s="763">
        <v>0</v>
      </c>
      <c r="BP788" s="763">
        <v>0</v>
      </c>
      <c r="BQ788" s="763">
        <v>0</v>
      </c>
      <c r="BR788" s="763">
        <v>0</v>
      </c>
      <c r="BS788" s="763">
        <v>0</v>
      </c>
      <c r="BT788" s="763">
        <v>0</v>
      </c>
      <c r="BU788" s="763">
        <v>0</v>
      </c>
      <c r="BV788" s="763">
        <v>0</v>
      </c>
      <c r="BW788" s="763">
        <v>0</v>
      </c>
      <c r="BX788" s="763">
        <v>0</v>
      </c>
      <c r="BY788" s="763">
        <v>0</v>
      </c>
      <c r="BZ788" s="763">
        <v>0</v>
      </c>
      <c r="CA788" s="763">
        <v>0</v>
      </c>
      <c r="CB788" s="763">
        <v>0</v>
      </c>
      <c r="CC788" s="763">
        <v>0</v>
      </c>
      <c r="CD788" s="763">
        <v>0</v>
      </c>
      <c r="CE788" s="763">
        <v>0</v>
      </c>
      <c r="CF788" s="763">
        <v>0</v>
      </c>
      <c r="CG788" s="763">
        <v>0</v>
      </c>
      <c r="CH788" s="763">
        <v>0</v>
      </c>
      <c r="CI788" s="763">
        <v>0</v>
      </c>
      <c r="CJ788" s="763">
        <v>0</v>
      </c>
      <c r="CK788" s="763">
        <v>0</v>
      </c>
      <c r="CL788" s="763">
        <v>0</v>
      </c>
      <c r="CM788" s="763">
        <v>0</v>
      </c>
      <c r="CN788" s="376"/>
      <c r="CO788" s="376"/>
      <c r="CP788" s="376"/>
      <c r="CQ788" s="26"/>
      <c r="CR788" s="26"/>
      <c r="CS788" s="26"/>
      <c r="CT788" s="26"/>
      <c r="CU788" s="26"/>
      <c r="CV788" s="26"/>
      <c r="CW788" s="26"/>
      <c r="CX788" s="26"/>
      <c r="CY788" s="26"/>
      <c r="CZ788" s="26"/>
      <c r="DA788" s="26"/>
      <c r="DB788" s="26"/>
      <c r="DC788" s="26"/>
      <c r="DD788" s="26"/>
      <c r="DE788" s="26"/>
      <c r="DF788" s="26"/>
      <c r="DG788" s="26"/>
      <c r="DH788" s="26"/>
      <c r="DI788" s="26"/>
    </row>
    <row r="789" spans="11:113" ht="12" customHeight="1" x14ac:dyDescent="0.35">
      <c r="K789" s="28"/>
      <c r="L789" s="28"/>
      <c r="M789" s="28"/>
      <c r="N789" s="28"/>
      <c r="O789" s="28"/>
      <c r="P789" s="28"/>
      <c r="Q789" s="28"/>
      <c r="R789" s="31"/>
      <c r="S789" s="36"/>
      <c r="T789" s="26"/>
      <c r="U789" s="29"/>
      <c r="V789" s="29"/>
      <c r="W789" s="377"/>
      <c r="X789" s="376" t="s">
        <v>184</v>
      </c>
      <c r="Y789" s="1157">
        <f>Input!D298</f>
        <v>0</v>
      </c>
      <c r="Z789" s="484">
        <f>Input!D297</f>
        <v>0</v>
      </c>
      <c r="AA789" s="34">
        <f>R1049-S1049</f>
        <v>0</v>
      </c>
      <c r="AB789" s="34">
        <f>S1049</f>
        <v>0</v>
      </c>
      <c r="AC789" s="34">
        <f>SUM(O990:O1049)</f>
        <v>0</v>
      </c>
      <c r="AD789" s="34">
        <f>AD788+SUM(_xlfn.ANCHORARRAY(AF788))</f>
        <v>0</v>
      </c>
      <c r="AE789" s="376" t="s">
        <v>491</v>
      </c>
      <c r="AF789" s="763">
        <f>IF(Input!$Q$299=AF$776,Input!$P$299,0)</f>
        <v>0</v>
      </c>
      <c r="AG789" s="763">
        <f>IF(Input!$Q$299=AG$776,Input!$P$299,0)</f>
        <v>0</v>
      </c>
      <c r="AH789" s="763">
        <f>IF(Input!$Q$299=AH$776,Input!$P$299,0)</f>
        <v>0</v>
      </c>
      <c r="AI789" s="763">
        <f>IF(Input!$Q$299=AI$776,Input!$P$299,0)</f>
        <v>0</v>
      </c>
      <c r="AJ789" s="763">
        <f>IF(Input!$Q$299=AJ$776,Input!$P$299,0)</f>
        <v>0</v>
      </c>
      <c r="AK789" s="763">
        <f>IF(Input!$Q$299=AK$776,Input!$P$299,0)</f>
        <v>0</v>
      </c>
      <c r="AL789" s="763">
        <f>IF(Input!$Q$299=AL$776,Input!$P$299,0)</f>
        <v>0</v>
      </c>
      <c r="AM789" s="763">
        <f>IF(Input!$Q$299=AM$776,Input!$P$299,0)</f>
        <v>0</v>
      </c>
      <c r="AN789" s="763">
        <f>IF(Input!$Q$299=AN$776,Input!$P$299,0)</f>
        <v>0</v>
      </c>
      <c r="AO789" s="763">
        <f>IF(Input!$Q$299=AO$776,Input!$P$299,0)</f>
        <v>0</v>
      </c>
      <c r="AP789" s="763">
        <f>IF(Input!$Q$299=AP$776,Input!$P$299,0)</f>
        <v>0</v>
      </c>
      <c r="AQ789" s="763">
        <f>IF(Input!$Q$299=AQ$776,Input!$P$299,0)</f>
        <v>0</v>
      </c>
      <c r="AR789" s="763">
        <f>IF(Input!$Q$299=AR$776,Input!$P$299,0)</f>
        <v>0</v>
      </c>
      <c r="AS789" s="763">
        <f>IF(Input!$Q$299=AS$776,Input!$P$299,0)</f>
        <v>0</v>
      </c>
      <c r="AT789" s="763">
        <f>IF(Input!$Q$299=AT$776,Input!$P$299,0)</f>
        <v>0</v>
      </c>
      <c r="AU789" s="763">
        <f>IF(Input!$Q$299=AU$776,Input!$P$299,0)</f>
        <v>0</v>
      </c>
      <c r="AV789" s="763">
        <f>IF(Input!$Q$299=AV$776,Input!$P$299,0)</f>
        <v>0</v>
      </c>
      <c r="AW789" s="763">
        <f>IF(Input!$Q$299=AW$776,Input!$P$299,0)</f>
        <v>0</v>
      </c>
      <c r="AX789" s="763">
        <f>IF(Input!$Q$299=AX$776,Input!$P$299,0)</f>
        <v>0</v>
      </c>
      <c r="AY789" s="763">
        <f>IF(Input!$Q$299=AY$776,Input!$P$299,0)</f>
        <v>0</v>
      </c>
      <c r="AZ789" s="763">
        <f>IF(Input!$Q$299=AZ$776,Input!$P$299,0)</f>
        <v>0</v>
      </c>
      <c r="BA789" s="763">
        <f>IF(Input!$Q$299=BA$776,Input!$P$299,0)</f>
        <v>0</v>
      </c>
      <c r="BB789" s="763">
        <f>IF(Input!$Q$299=BB$776,Input!$P$299,0)</f>
        <v>0</v>
      </c>
      <c r="BC789" s="763">
        <f>IF(Input!$Q$299=BC$776,Input!$P$299,0)</f>
        <v>0</v>
      </c>
      <c r="BD789" s="763">
        <f>IF(Input!$Q$299=BD$776,Input!$P$299,0)</f>
        <v>0</v>
      </c>
      <c r="BE789" s="763">
        <f>IF(Input!$Q$299=BE$776,Input!$P$299,0)</f>
        <v>0</v>
      </c>
      <c r="BF789" s="763">
        <f>IF(Input!$Q$299=BF$776,Input!$P$299,0)</f>
        <v>0</v>
      </c>
      <c r="BG789" s="763">
        <f>IF(Input!$Q$299=BG$776,Input!$P$299,0)</f>
        <v>0</v>
      </c>
      <c r="BH789" s="763">
        <f>IF(Input!$Q$299=BH$776,Input!$P$299,0)</f>
        <v>0</v>
      </c>
      <c r="BI789" s="763">
        <f>IF(Input!$Q$299=BI$776,Input!$P$299,0)</f>
        <v>0</v>
      </c>
      <c r="BJ789" s="763">
        <f>IF(Input!$Q$299=BJ$776,Input!$P$299,0)</f>
        <v>0</v>
      </c>
      <c r="BK789" s="763">
        <f>IF(Input!$Q$299=BK$776,Input!$P$299,0)</f>
        <v>0</v>
      </c>
      <c r="BL789" s="763">
        <f>IF(Input!$Q$299=BL$776,Input!$P$299,0)</f>
        <v>0</v>
      </c>
      <c r="BM789" s="763">
        <f>IF(Input!$Q$299=BM$776,Input!$P$299,0)</f>
        <v>0</v>
      </c>
      <c r="BN789" s="763">
        <f>IF(Input!$Q$299=BN$776,Input!$P$299,0)</f>
        <v>0</v>
      </c>
      <c r="BO789" s="763">
        <f>IF(Input!$Q$299=BO$776,Input!$P$299,0)</f>
        <v>0</v>
      </c>
      <c r="BP789" s="763">
        <f>IF(Input!$Q$299=BP$776,Input!$P$299,0)</f>
        <v>0</v>
      </c>
      <c r="BQ789" s="763">
        <f>IF(Input!$Q$299=BQ$776,Input!$P$299,0)</f>
        <v>0</v>
      </c>
      <c r="BR789" s="763">
        <f>IF(Input!$Q$299=BR$776,Input!$P$299,0)</f>
        <v>0</v>
      </c>
      <c r="BS789" s="763">
        <f>IF(Input!$Q$299=BS$776,Input!$P$299,0)</f>
        <v>0</v>
      </c>
      <c r="BT789" s="763">
        <f>IF(Input!$Q$299=BT$776,Input!$P$299,0)</f>
        <v>0</v>
      </c>
      <c r="BU789" s="763">
        <f>IF(Input!$Q$299=BU$776,Input!$P$299,0)</f>
        <v>0</v>
      </c>
      <c r="BV789" s="763">
        <f>IF(Input!$Q$299=BV$776,Input!$P$299,0)</f>
        <v>0</v>
      </c>
      <c r="BW789" s="763">
        <f>IF(Input!$Q$299=BW$776,Input!$P$299,0)</f>
        <v>0</v>
      </c>
      <c r="BX789" s="763">
        <f>IF(Input!$Q$299=BX$776,Input!$P$299,0)</f>
        <v>0</v>
      </c>
      <c r="BY789" s="763">
        <f>IF(Input!$Q$299=BY$776,Input!$P$299,0)</f>
        <v>0</v>
      </c>
      <c r="BZ789" s="763">
        <f>IF(Input!$Q$299=BZ$776,Input!$P$299,0)</f>
        <v>0</v>
      </c>
      <c r="CA789" s="763">
        <f>IF(Input!$Q$299=CA$776,Input!$P$299,0)</f>
        <v>0</v>
      </c>
      <c r="CB789" s="763">
        <f>IF(Input!$Q$299=CB$776,Input!$P$299,0)</f>
        <v>0</v>
      </c>
      <c r="CC789" s="763">
        <f>IF(Input!$Q$299=CC$776,Input!$P$299,0)</f>
        <v>0</v>
      </c>
      <c r="CD789" s="763">
        <f>IF(Input!$Q$299=CD$776,Input!$P$299,0)</f>
        <v>0</v>
      </c>
      <c r="CE789" s="763">
        <f>IF(Input!$Q$299=CE$776,Input!$P$299,0)</f>
        <v>0</v>
      </c>
      <c r="CF789" s="763">
        <f>IF(Input!$Q$299=CF$776,Input!$P$299,0)</f>
        <v>0</v>
      </c>
      <c r="CG789" s="763">
        <f>IF(Input!$Q$299=CG$776,Input!$P$299,0)</f>
        <v>0</v>
      </c>
      <c r="CH789" s="763">
        <f>IF(Input!$Q$299=CH$776,Input!$P$299,0)</f>
        <v>0</v>
      </c>
      <c r="CI789" s="763">
        <f>IF(Input!$Q$299=CI$776,Input!$P$299,0)</f>
        <v>0</v>
      </c>
      <c r="CJ789" s="763">
        <f>IF(Input!$Q$299=CJ$776,Input!$P$299,0)</f>
        <v>0</v>
      </c>
      <c r="CK789" s="763">
        <f>IF(Input!$Q$299=CK$776,Input!$P$299,0)</f>
        <v>0</v>
      </c>
      <c r="CL789" s="763">
        <f>IF(Input!$Q$299=CL$776,Input!$P$299,0)</f>
        <v>0</v>
      </c>
      <c r="CM789" s="763">
        <f>IF(Input!$Q$299=CM$776,Input!$P$299,0)</f>
        <v>0</v>
      </c>
      <c r="CN789" s="1183"/>
      <c r="CO789" s="1183"/>
      <c r="CP789" s="1183"/>
      <c r="CQ789" s="1301"/>
      <c r="CR789" s="1301"/>
      <c r="CS789" s="1301"/>
      <c r="CT789" s="1301"/>
      <c r="CU789" s="1301"/>
      <c r="CV789" s="1301"/>
      <c r="CW789" s="1301"/>
      <c r="CX789" s="1301"/>
      <c r="CY789" s="1301"/>
      <c r="CZ789" s="1301"/>
      <c r="DA789" s="1301"/>
      <c r="DB789" s="1301"/>
      <c r="DC789" s="1301"/>
      <c r="DD789" s="1301"/>
      <c r="DE789" s="1301"/>
      <c r="DF789" s="1301"/>
      <c r="DG789" s="1301"/>
      <c r="DH789" s="1301"/>
      <c r="DI789" s="1301"/>
    </row>
    <row r="790" spans="11:113" ht="12" customHeight="1" x14ac:dyDescent="0.35">
      <c r="K790" s="28"/>
      <c r="L790" s="28"/>
      <c r="M790" s="28"/>
      <c r="N790" s="28"/>
      <c r="O790" s="28"/>
      <c r="P790" s="28"/>
      <c r="Q790" s="28"/>
      <c r="R790" s="31"/>
      <c r="S790" s="36"/>
      <c r="T790" s="26"/>
      <c r="U790" s="29"/>
      <c r="V790" s="29"/>
      <c r="W790" s="377"/>
      <c r="X790" s="376" t="s">
        <v>185</v>
      </c>
      <c r="Y790" s="1157">
        <f>Input!E298</f>
        <v>0</v>
      </c>
      <c r="Z790" s="484">
        <f>Input!E297</f>
        <v>0</v>
      </c>
      <c r="AA790" s="34">
        <f>R1197-S1197</f>
        <v>0</v>
      </c>
      <c r="AB790" s="34">
        <f>S1197</f>
        <v>0</v>
      </c>
      <c r="AC790" s="34">
        <f>SUM(O1138:O1197)</f>
        <v>0</v>
      </c>
      <c r="AD790" s="29"/>
      <c r="AE790" s="376"/>
      <c r="AF790" s="380"/>
      <c r="AG790" s="380"/>
      <c r="AH790" s="380"/>
      <c r="AI790" s="380"/>
      <c r="AJ790" s="380"/>
      <c r="AK790" s="380"/>
      <c r="AL790" s="380"/>
      <c r="AM790" s="380"/>
      <c r="AN790" s="380"/>
      <c r="AO790" s="380"/>
      <c r="AP790" s="380"/>
      <c r="AQ790" s="380"/>
      <c r="AR790" s="380"/>
      <c r="AS790" s="380"/>
      <c r="AT790" s="380"/>
      <c r="AU790" s="380"/>
      <c r="AV790" s="380"/>
      <c r="AW790" s="380"/>
      <c r="AX790" s="380"/>
      <c r="AY790" s="380"/>
      <c r="AZ790" s="380"/>
      <c r="BA790" s="380"/>
      <c r="BB790" s="380"/>
      <c r="BC790" s="380"/>
      <c r="BD790" s="380"/>
      <c r="BE790" s="380"/>
      <c r="BF790" s="380"/>
      <c r="BG790" s="380"/>
      <c r="BH790" s="380"/>
      <c r="BI790" s="380"/>
      <c r="BJ790" s="380"/>
      <c r="BK790" s="380"/>
      <c r="BL790" s="380"/>
      <c r="BM790" s="380"/>
      <c r="BN790" s="380"/>
      <c r="BO790" s="380"/>
      <c r="BP790" s="380"/>
      <c r="BQ790" s="380"/>
      <c r="BR790" s="380"/>
      <c r="BS790" s="380"/>
      <c r="BT790" s="380"/>
      <c r="BU790" s="380"/>
      <c r="BV790" s="380"/>
      <c r="BW790" s="380"/>
      <c r="BX790" s="380"/>
      <c r="BY790" s="380"/>
      <c r="BZ790" s="380"/>
      <c r="CA790" s="380"/>
      <c r="CB790" s="380"/>
      <c r="CC790" s="380"/>
      <c r="CD790" s="380"/>
      <c r="CE790" s="380"/>
      <c r="CF790" s="380"/>
      <c r="CG790" s="380"/>
      <c r="CH790" s="380"/>
      <c r="CI790" s="380"/>
      <c r="CJ790" s="380"/>
      <c r="CK790" s="380"/>
      <c r="CL790" s="380"/>
      <c r="CM790" s="380"/>
      <c r="CN790" s="1183"/>
      <c r="CO790" s="1183"/>
      <c r="CP790" s="1183"/>
      <c r="CQ790" s="1301"/>
      <c r="CR790" s="1301"/>
      <c r="CS790" s="1301"/>
      <c r="CT790" s="1301"/>
      <c r="CU790" s="1301"/>
      <c r="CV790" s="1301"/>
      <c r="CW790" s="1301"/>
      <c r="CX790" s="1301"/>
      <c r="CY790" s="1301"/>
      <c r="CZ790" s="1301"/>
      <c r="DA790" s="1301"/>
      <c r="DB790" s="1301"/>
      <c r="DC790" s="1301"/>
      <c r="DD790" s="1301"/>
      <c r="DE790" s="1301"/>
      <c r="DF790" s="1301"/>
      <c r="DG790" s="1301"/>
      <c r="DH790" s="1301"/>
      <c r="DI790" s="1301"/>
    </row>
    <row r="791" spans="11:113" ht="12" customHeight="1" x14ac:dyDescent="0.35">
      <c r="K791" s="28"/>
      <c r="L791" s="28"/>
      <c r="M791" s="28"/>
      <c r="N791" s="28"/>
      <c r="O791" s="28"/>
      <c r="P791" s="28"/>
      <c r="Q791" s="28"/>
      <c r="R791" s="31"/>
      <c r="S791" s="36"/>
      <c r="T791" s="26"/>
      <c r="U791" s="29"/>
      <c r="V791" s="29"/>
      <c r="W791" s="377"/>
      <c r="X791" s="376" t="s">
        <v>186</v>
      </c>
      <c r="Y791" s="1157">
        <f>Input!F298</f>
        <v>0</v>
      </c>
      <c r="Z791" s="484">
        <f>Input!F297</f>
        <v>0</v>
      </c>
      <c r="AA791" s="34">
        <f>R1333-S1333</f>
        <v>0</v>
      </c>
      <c r="AB791" s="34">
        <f>S1333</f>
        <v>0</v>
      </c>
      <c r="AC791" s="34">
        <f>SUM(O1274:O1333)</f>
        <v>0</v>
      </c>
      <c r="AD791" s="29"/>
      <c r="AE791" s="1175" t="s">
        <v>510</v>
      </c>
      <c r="AF791" s="1142">
        <f>AF786</f>
        <v>0</v>
      </c>
      <c r="AG791" s="1142">
        <f t="shared" ref="AG791:CM791" si="578">AG786</f>
        <v>59</v>
      </c>
      <c r="AH791" s="1142">
        <f t="shared" si="578"/>
        <v>91</v>
      </c>
      <c r="AI791" s="1142">
        <f t="shared" si="578"/>
        <v>121</v>
      </c>
      <c r="AJ791" s="1142">
        <f t="shared" si="578"/>
        <v>152</v>
      </c>
      <c r="AK791" s="1142">
        <f t="shared" si="578"/>
        <v>182</v>
      </c>
      <c r="AL791" s="1142">
        <f t="shared" si="578"/>
        <v>213</v>
      </c>
      <c r="AM791" s="1142">
        <f t="shared" si="578"/>
        <v>244</v>
      </c>
      <c r="AN791" s="1142">
        <f t="shared" si="578"/>
        <v>274</v>
      </c>
      <c r="AO791" s="1142">
        <f t="shared" si="578"/>
        <v>305</v>
      </c>
      <c r="AP791" s="1142">
        <f t="shared" si="578"/>
        <v>335</v>
      </c>
      <c r="AQ791" s="1142">
        <f t="shared" si="578"/>
        <v>366</v>
      </c>
      <c r="AR791" s="1142">
        <f t="shared" si="578"/>
        <v>397</v>
      </c>
      <c r="AS791" s="1142">
        <f t="shared" si="578"/>
        <v>425</v>
      </c>
      <c r="AT791" s="1142">
        <f t="shared" si="578"/>
        <v>456</v>
      </c>
      <c r="AU791" s="1142">
        <f t="shared" si="578"/>
        <v>486</v>
      </c>
      <c r="AV791" s="1142">
        <f t="shared" si="578"/>
        <v>517</v>
      </c>
      <c r="AW791" s="1142">
        <f t="shared" si="578"/>
        <v>547</v>
      </c>
      <c r="AX791" s="1142">
        <f t="shared" si="578"/>
        <v>578</v>
      </c>
      <c r="AY791" s="1142">
        <f t="shared" si="578"/>
        <v>609</v>
      </c>
      <c r="AZ791" s="1142">
        <f t="shared" si="578"/>
        <v>639</v>
      </c>
      <c r="BA791" s="1142">
        <f t="shared" si="578"/>
        <v>670</v>
      </c>
      <c r="BB791" s="1142">
        <f t="shared" si="578"/>
        <v>700</v>
      </c>
      <c r="BC791" s="1142">
        <f t="shared" si="578"/>
        <v>731</v>
      </c>
      <c r="BD791" s="1142">
        <f t="shared" si="578"/>
        <v>762</v>
      </c>
      <c r="BE791" s="1142">
        <f t="shared" si="578"/>
        <v>790</v>
      </c>
      <c r="BF791" s="1142">
        <f t="shared" si="578"/>
        <v>821</v>
      </c>
      <c r="BG791" s="1142">
        <f t="shared" si="578"/>
        <v>851</v>
      </c>
      <c r="BH791" s="1142">
        <f t="shared" si="578"/>
        <v>882</v>
      </c>
      <c r="BI791" s="1142">
        <f t="shared" si="578"/>
        <v>912</v>
      </c>
      <c r="BJ791" s="1142">
        <f t="shared" si="578"/>
        <v>943</v>
      </c>
      <c r="BK791" s="1142">
        <f t="shared" si="578"/>
        <v>974</v>
      </c>
      <c r="BL791" s="1142">
        <f t="shared" si="578"/>
        <v>1004</v>
      </c>
      <c r="BM791" s="1142">
        <f t="shared" si="578"/>
        <v>1035</v>
      </c>
      <c r="BN791" s="1142">
        <f t="shared" si="578"/>
        <v>1065</v>
      </c>
      <c r="BO791" s="1142">
        <f t="shared" si="578"/>
        <v>1096</v>
      </c>
      <c r="BP791" s="1142">
        <f t="shared" si="578"/>
        <v>1127</v>
      </c>
      <c r="BQ791" s="1142">
        <f t="shared" si="578"/>
        <v>1155</v>
      </c>
      <c r="BR791" s="1142">
        <f t="shared" si="578"/>
        <v>1186</v>
      </c>
      <c r="BS791" s="1142">
        <f t="shared" si="578"/>
        <v>1216</v>
      </c>
      <c r="BT791" s="1142">
        <f t="shared" si="578"/>
        <v>1247</v>
      </c>
      <c r="BU791" s="1142">
        <f t="shared" si="578"/>
        <v>1277</v>
      </c>
      <c r="BV791" s="1142">
        <f t="shared" si="578"/>
        <v>1308</v>
      </c>
      <c r="BW791" s="1142">
        <f t="shared" si="578"/>
        <v>1339</v>
      </c>
      <c r="BX791" s="1142">
        <f t="shared" si="578"/>
        <v>1369</v>
      </c>
      <c r="BY791" s="1142">
        <f t="shared" si="578"/>
        <v>1400</v>
      </c>
      <c r="BZ791" s="1142">
        <f t="shared" si="578"/>
        <v>1430</v>
      </c>
      <c r="CA791" s="1142">
        <f t="shared" si="578"/>
        <v>1461</v>
      </c>
      <c r="CB791" s="1142">
        <f t="shared" si="578"/>
        <v>1492</v>
      </c>
      <c r="CC791" s="1142">
        <f t="shared" si="578"/>
        <v>1521</v>
      </c>
      <c r="CD791" s="1142">
        <f t="shared" si="578"/>
        <v>1552</v>
      </c>
      <c r="CE791" s="1142">
        <f t="shared" si="578"/>
        <v>1582</v>
      </c>
      <c r="CF791" s="1142">
        <f t="shared" si="578"/>
        <v>1613</v>
      </c>
      <c r="CG791" s="1142">
        <f t="shared" si="578"/>
        <v>1643</v>
      </c>
      <c r="CH791" s="1142">
        <f t="shared" si="578"/>
        <v>1674</v>
      </c>
      <c r="CI791" s="1142">
        <f t="shared" si="578"/>
        <v>1705</v>
      </c>
      <c r="CJ791" s="1142">
        <f t="shared" si="578"/>
        <v>1735</v>
      </c>
      <c r="CK791" s="1142">
        <f t="shared" si="578"/>
        <v>1766</v>
      </c>
      <c r="CL791" s="1142">
        <f t="shared" si="578"/>
        <v>1796</v>
      </c>
      <c r="CM791" s="1142">
        <f t="shared" si="578"/>
        <v>1827</v>
      </c>
      <c r="CN791" s="1183"/>
      <c r="CO791" s="1183"/>
      <c r="CP791" s="1183"/>
      <c r="CQ791" s="1301"/>
      <c r="CR791" s="1301"/>
      <c r="CS791" s="1301"/>
      <c r="CT791" s="1301"/>
      <c r="CU791" s="1301"/>
      <c r="CV791" s="1301"/>
      <c r="CW791" s="1301"/>
      <c r="CX791" s="1301"/>
      <c r="CY791" s="1301"/>
      <c r="CZ791" s="1301"/>
      <c r="DA791" s="1301"/>
      <c r="DB791" s="1301"/>
      <c r="DC791" s="1301"/>
      <c r="DD791" s="1301"/>
      <c r="DE791" s="1301"/>
      <c r="DF791" s="1301"/>
      <c r="DG791" s="1301"/>
      <c r="DH791" s="1301"/>
      <c r="DI791" s="1301"/>
    </row>
    <row r="792" spans="11:113" ht="12" customHeight="1" x14ac:dyDescent="0.35">
      <c r="K792" s="28"/>
      <c r="L792" s="28"/>
      <c r="M792" s="28"/>
      <c r="N792" s="28"/>
      <c r="O792" s="28"/>
      <c r="P792" s="28"/>
      <c r="Q792" s="28"/>
      <c r="R792" s="31"/>
      <c r="S792" s="36"/>
      <c r="T792" s="26"/>
      <c r="U792" s="29"/>
      <c r="V792" s="29"/>
      <c r="W792" s="377"/>
      <c r="X792" s="376"/>
      <c r="Y792" s="1183"/>
      <c r="Z792" s="1196">
        <f>SUM(Z789:Z791)</f>
        <v>0</v>
      </c>
      <c r="AA792" s="1196">
        <f>SUM(AA789:AA791)</f>
        <v>0</v>
      </c>
      <c r="AB792" s="1196">
        <f>SUM(AB789:AB791)</f>
        <v>0</v>
      </c>
      <c r="AC792" s="1196">
        <f>SUM(AC789:AC791)</f>
        <v>0</v>
      </c>
      <c r="AD792" s="29"/>
      <c r="AE792" s="1176" t="s">
        <v>494</v>
      </c>
      <c r="AF792" s="1177">
        <f>IFERROR(AF777+AF782+AF787,0)</f>
        <v>0</v>
      </c>
      <c r="AG792" s="1177">
        <f t="shared" ref="AG792:CM792" si="579">IFERROR(AG777+AG782+AG787,0)</f>
        <v>0</v>
      </c>
      <c r="AH792" s="1177">
        <f t="shared" si="579"/>
        <v>0</v>
      </c>
      <c r="AI792" s="1177">
        <f t="shared" si="579"/>
        <v>0</v>
      </c>
      <c r="AJ792" s="1177">
        <f t="shared" si="579"/>
        <v>0</v>
      </c>
      <c r="AK792" s="1177">
        <f t="shared" si="579"/>
        <v>0</v>
      </c>
      <c r="AL792" s="1177">
        <f t="shared" si="579"/>
        <v>0</v>
      </c>
      <c r="AM792" s="1177">
        <f t="shared" si="579"/>
        <v>0</v>
      </c>
      <c r="AN792" s="1177">
        <f t="shared" si="579"/>
        <v>0</v>
      </c>
      <c r="AO792" s="1177">
        <f t="shared" si="579"/>
        <v>0</v>
      </c>
      <c r="AP792" s="1177">
        <f t="shared" si="579"/>
        <v>0</v>
      </c>
      <c r="AQ792" s="1177">
        <f t="shared" si="579"/>
        <v>0</v>
      </c>
      <c r="AR792" s="1177">
        <f t="shared" si="579"/>
        <v>0</v>
      </c>
      <c r="AS792" s="1177">
        <f t="shared" si="579"/>
        <v>0</v>
      </c>
      <c r="AT792" s="1177">
        <f t="shared" si="579"/>
        <v>0</v>
      </c>
      <c r="AU792" s="1177">
        <f t="shared" si="579"/>
        <v>0</v>
      </c>
      <c r="AV792" s="1177">
        <f t="shared" si="579"/>
        <v>0</v>
      </c>
      <c r="AW792" s="1177">
        <f t="shared" si="579"/>
        <v>0</v>
      </c>
      <c r="AX792" s="1177">
        <f t="shared" si="579"/>
        <v>0</v>
      </c>
      <c r="AY792" s="1177">
        <f t="shared" si="579"/>
        <v>0</v>
      </c>
      <c r="AZ792" s="1177">
        <f t="shared" si="579"/>
        <v>0</v>
      </c>
      <c r="BA792" s="1177">
        <f t="shared" si="579"/>
        <v>0</v>
      </c>
      <c r="BB792" s="1177">
        <f t="shared" si="579"/>
        <v>0</v>
      </c>
      <c r="BC792" s="1177">
        <f t="shared" si="579"/>
        <v>0</v>
      </c>
      <c r="BD792" s="1177">
        <f t="shared" si="579"/>
        <v>0</v>
      </c>
      <c r="BE792" s="1177">
        <f t="shared" si="579"/>
        <v>0</v>
      </c>
      <c r="BF792" s="1177">
        <f t="shared" si="579"/>
        <v>0</v>
      </c>
      <c r="BG792" s="1177">
        <f t="shared" si="579"/>
        <v>0</v>
      </c>
      <c r="BH792" s="1177">
        <f t="shared" si="579"/>
        <v>0</v>
      </c>
      <c r="BI792" s="1177">
        <f t="shared" si="579"/>
        <v>0</v>
      </c>
      <c r="BJ792" s="1177">
        <f t="shared" si="579"/>
        <v>0</v>
      </c>
      <c r="BK792" s="1177">
        <f t="shared" si="579"/>
        <v>0</v>
      </c>
      <c r="BL792" s="1177">
        <f t="shared" si="579"/>
        <v>0</v>
      </c>
      <c r="BM792" s="1177">
        <f t="shared" si="579"/>
        <v>0</v>
      </c>
      <c r="BN792" s="1177">
        <f t="shared" si="579"/>
        <v>0</v>
      </c>
      <c r="BO792" s="1177">
        <f t="shared" si="579"/>
        <v>0</v>
      </c>
      <c r="BP792" s="1177">
        <f t="shared" si="579"/>
        <v>0</v>
      </c>
      <c r="BQ792" s="1177">
        <f t="shared" si="579"/>
        <v>0</v>
      </c>
      <c r="BR792" s="1177">
        <f t="shared" si="579"/>
        <v>0</v>
      </c>
      <c r="BS792" s="1177">
        <f t="shared" si="579"/>
        <v>0</v>
      </c>
      <c r="BT792" s="1177">
        <f t="shared" si="579"/>
        <v>0</v>
      </c>
      <c r="BU792" s="1177">
        <f t="shared" si="579"/>
        <v>0</v>
      </c>
      <c r="BV792" s="1177">
        <f t="shared" si="579"/>
        <v>0</v>
      </c>
      <c r="BW792" s="1177">
        <f t="shared" si="579"/>
        <v>0</v>
      </c>
      <c r="BX792" s="1177">
        <f t="shared" si="579"/>
        <v>0</v>
      </c>
      <c r="BY792" s="1177">
        <f t="shared" si="579"/>
        <v>0</v>
      </c>
      <c r="BZ792" s="1177">
        <f t="shared" si="579"/>
        <v>0</v>
      </c>
      <c r="CA792" s="1177">
        <f t="shared" si="579"/>
        <v>0</v>
      </c>
      <c r="CB792" s="1177">
        <f t="shared" si="579"/>
        <v>0</v>
      </c>
      <c r="CC792" s="1177">
        <f t="shared" si="579"/>
        <v>0</v>
      </c>
      <c r="CD792" s="1177">
        <f t="shared" si="579"/>
        <v>0</v>
      </c>
      <c r="CE792" s="1177">
        <f t="shared" si="579"/>
        <v>0</v>
      </c>
      <c r="CF792" s="1177">
        <f t="shared" si="579"/>
        <v>0</v>
      </c>
      <c r="CG792" s="1177">
        <f t="shared" si="579"/>
        <v>0</v>
      </c>
      <c r="CH792" s="1177">
        <f t="shared" si="579"/>
        <v>0</v>
      </c>
      <c r="CI792" s="1177">
        <f t="shared" si="579"/>
        <v>0</v>
      </c>
      <c r="CJ792" s="1177">
        <f t="shared" si="579"/>
        <v>0</v>
      </c>
      <c r="CK792" s="1177">
        <f t="shared" si="579"/>
        <v>0</v>
      </c>
      <c r="CL792" s="1177">
        <f t="shared" si="579"/>
        <v>0</v>
      </c>
      <c r="CM792" s="1177">
        <f t="shared" si="579"/>
        <v>0</v>
      </c>
      <c r="CN792" s="1183"/>
      <c r="CO792" s="1183"/>
      <c r="CP792" s="1183"/>
      <c r="CQ792" s="1301"/>
      <c r="CR792" s="1301"/>
      <c r="CS792" s="1301"/>
      <c r="CT792" s="1301"/>
      <c r="CU792" s="1301"/>
      <c r="CV792" s="1301"/>
      <c r="CW792" s="1301"/>
      <c r="CX792" s="1301"/>
      <c r="CY792" s="1301"/>
      <c r="CZ792" s="1301"/>
      <c r="DA792" s="1301"/>
      <c r="DB792" s="1301"/>
      <c r="DC792" s="1301"/>
      <c r="DD792" s="1301"/>
      <c r="DE792" s="1301"/>
      <c r="DF792" s="1301"/>
      <c r="DG792" s="1301"/>
      <c r="DH792" s="1301"/>
      <c r="DI792" s="1301"/>
    </row>
    <row r="793" spans="11:113" ht="12" customHeight="1" x14ac:dyDescent="0.35">
      <c r="K793" s="28"/>
      <c r="L793" s="28"/>
      <c r="M793" s="28"/>
      <c r="N793" s="28"/>
      <c r="O793" s="28"/>
      <c r="P793" s="28"/>
      <c r="Q793" s="28"/>
      <c r="R793" s="31"/>
      <c r="S793" s="36"/>
      <c r="T793" s="26"/>
      <c r="U793" s="29"/>
      <c r="V793" s="29"/>
      <c r="W793" s="377"/>
      <c r="X793" s="376"/>
      <c r="Y793" s="376"/>
      <c r="Z793" s="376"/>
      <c r="AA793" s="29"/>
      <c r="AB793" s="29"/>
      <c r="AC793" s="29"/>
      <c r="AD793" s="29"/>
      <c r="AE793" s="1176" t="s">
        <v>188</v>
      </c>
      <c r="AF793" s="1177">
        <f>IFERROR(AF778+AF783+AF788,0)</f>
        <v>0</v>
      </c>
      <c r="AG793" s="1177">
        <f t="shared" ref="AG793:CM793" si="580">IFERROR(AG778+AG783+AG788,0)</f>
        <v>0</v>
      </c>
      <c r="AH793" s="1177">
        <f t="shared" si="580"/>
        <v>0</v>
      </c>
      <c r="AI793" s="1177">
        <f t="shared" si="580"/>
        <v>0</v>
      </c>
      <c r="AJ793" s="1177">
        <f t="shared" si="580"/>
        <v>0</v>
      </c>
      <c r="AK793" s="1177">
        <f t="shared" si="580"/>
        <v>0</v>
      </c>
      <c r="AL793" s="1177">
        <f t="shared" si="580"/>
        <v>0</v>
      </c>
      <c r="AM793" s="1177">
        <f t="shared" si="580"/>
        <v>0</v>
      </c>
      <c r="AN793" s="1177">
        <f t="shared" si="580"/>
        <v>0</v>
      </c>
      <c r="AO793" s="1177">
        <f t="shared" si="580"/>
        <v>0</v>
      </c>
      <c r="AP793" s="1177">
        <f t="shared" si="580"/>
        <v>0</v>
      </c>
      <c r="AQ793" s="1177">
        <f t="shared" si="580"/>
        <v>0</v>
      </c>
      <c r="AR793" s="1177">
        <f t="shared" si="580"/>
        <v>0</v>
      </c>
      <c r="AS793" s="1177">
        <f t="shared" si="580"/>
        <v>0</v>
      </c>
      <c r="AT793" s="1177">
        <f t="shared" si="580"/>
        <v>0</v>
      </c>
      <c r="AU793" s="1177">
        <f t="shared" si="580"/>
        <v>0</v>
      </c>
      <c r="AV793" s="1177">
        <f t="shared" si="580"/>
        <v>0</v>
      </c>
      <c r="AW793" s="1177">
        <f t="shared" si="580"/>
        <v>0</v>
      </c>
      <c r="AX793" s="1177">
        <f t="shared" si="580"/>
        <v>0</v>
      </c>
      <c r="AY793" s="1177">
        <f t="shared" si="580"/>
        <v>0</v>
      </c>
      <c r="AZ793" s="1177">
        <f t="shared" si="580"/>
        <v>0</v>
      </c>
      <c r="BA793" s="1177">
        <f t="shared" si="580"/>
        <v>0</v>
      </c>
      <c r="BB793" s="1177">
        <f t="shared" si="580"/>
        <v>0</v>
      </c>
      <c r="BC793" s="1177">
        <f t="shared" si="580"/>
        <v>0</v>
      </c>
      <c r="BD793" s="1177">
        <f t="shared" si="580"/>
        <v>0</v>
      </c>
      <c r="BE793" s="1177">
        <f t="shared" si="580"/>
        <v>0</v>
      </c>
      <c r="BF793" s="1177">
        <f t="shared" si="580"/>
        <v>0</v>
      </c>
      <c r="BG793" s="1177">
        <f t="shared" si="580"/>
        <v>0</v>
      </c>
      <c r="BH793" s="1177">
        <f t="shared" si="580"/>
        <v>0</v>
      </c>
      <c r="BI793" s="1177">
        <f t="shared" si="580"/>
        <v>0</v>
      </c>
      <c r="BJ793" s="1177">
        <f t="shared" si="580"/>
        <v>0</v>
      </c>
      <c r="BK793" s="1177">
        <f t="shared" si="580"/>
        <v>0</v>
      </c>
      <c r="BL793" s="1177">
        <f t="shared" si="580"/>
        <v>0</v>
      </c>
      <c r="BM793" s="1177">
        <f t="shared" si="580"/>
        <v>0</v>
      </c>
      <c r="BN793" s="1177">
        <f t="shared" si="580"/>
        <v>0</v>
      </c>
      <c r="BO793" s="1177">
        <f t="shared" si="580"/>
        <v>0</v>
      </c>
      <c r="BP793" s="1177">
        <f t="shared" si="580"/>
        <v>0</v>
      </c>
      <c r="BQ793" s="1177">
        <f t="shared" si="580"/>
        <v>0</v>
      </c>
      <c r="BR793" s="1177">
        <f t="shared" si="580"/>
        <v>0</v>
      </c>
      <c r="BS793" s="1177">
        <f t="shared" si="580"/>
        <v>0</v>
      </c>
      <c r="BT793" s="1177">
        <f t="shared" si="580"/>
        <v>0</v>
      </c>
      <c r="BU793" s="1177">
        <f t="shared" si="580"/>
        <v>0</v>
      </c>
      <c r="BV793" s="1177">
        <f t="shared" si="580"/>
        <v>0</v>
      </c>
      <c r="BW793" s="1177">
        <f t="shared" si="580"/>
        <v>0</v>
      </c>
      <c r="BX793" s="1177">
        <f t="shared" si="580"/>
        <v>0</v>
      </c>
      <c r="BY793" s="1177">
        <f t="shared" si="580"/>
        <v>0</v>
      </c>
      <c r="BZ793" s="1177">
        <f t="shared" si="580"/>
        <v>0</v>
      </c>
      <c r="CA793" s="1177">
        <f t="shared" si="580"/>
        <v>0</v>
      </c>
      <c r="CB793" s="1177">
        <f t="shared" si="580"/>
        <v>0</v>
      </c>
      <c r="CC793" s="1177">
        <f t="shared" si="580"/>
        <v>0</v>
      </c>
      <c r="CD793" s="1177">
        <f t="shared" si="580"/>
        <v>0</v>
      </c>
      <c r="CE793" s="1177">
        <f t="shared" si="580"/>
        <v>0</v>
      </c>
      <c r="CF793" s="1177">
        <f t="shared" si="580"/>
        <v>0</v>
      </c>
      <c r="CG793" s="1177">
        <f t="shared" si="580"/>
        <v>0</v>
      </c>
      <c r="CH793" s="1177">
        <f t="shared" si="580"/>
        <v>0</v>
      </c>
      <c r="CI793" s="1177">
        <f t="shared" si="580"/>
        <v>0</v>
      </c>
      <c r="CJ793" s="1177">
        <f t="shared" si="580"/>
        <v>0</v>
      </c>
      <c r="CK793" s="1177">
        <f t="shared" si="580"/>
        <v>0</v>
      </c>
      <c r="CL793" s="1177">
        <f t="shared" si="580"/>
        <v>0</v>
      </c>
      <c r="CM793" s="1177">
        <f t="shared" si="580"/>
        <v>0</v>
      </c>
      <c r="CN793" s="1183"/>
      <c r="CO793" s="1183"/>
      <c r="CP793" s="1183"/>
      <c r="CQ793" s="1301"/>
      <c r="CR793" s="1301"/>
      <c r="CS793" s="1301"/>
      <c r="CT793" s="1301"/>
      <c r="CU793" s="1301"/>
      <c r="CV793" s="1301"/>
      <c r="CW793" s="1301"/>
      <c r="CX793" s="1301"/>
      <c r="CY793" s="1301"/>
      <c r="CZ793" s="1301"/>
      <c r="DA793" s="1301"/>
      <c r="DB793" s="1301"/>
      <c r="DC793" s="1301"/>
      <c r="DD793" s="1301"/>
      <c r="DE793" s="1301"/>
      <c r="DF793" s="1301"/>
      <c r="DG793" s="1301"/>
      <c r="DH793" s="1301"/>
      <c r="DI793" s="1301"/>
    </row>
    <row r="794" spans="11:113" ht="12" customHeight="1" x14ac:dyDescent="0.35">
      <c r="K794" s="28"/>
      <c r="L794" s="28"/>
      <c r="M794" s="28"/>
      <c r="N794" s="28"/>
      <c r="O794" s="28"/>
      <c r="P794" s="28"/>
      <c r="Q794" s="28"/>
      <c r="R794" s="31"/>
      <c r="S794" s="36"/>
      <c r="T794" s="26"/>
      <c r="U794" s="29"/>
      <c r="V794" s="29"/>
      <c r="W794" s="377"/>
      <c r="X794" s="376"/>
      <c r="Y794" s="376"/>
      <c r="Z794" s="376"/>
      <c r="AA794" s="29"/>
      <c r="AB794" s="29"/>
      <c r="AC794" s="1142">
        <f>Infrastructure!B9</f>
        <v>0</v>
      </c>
      <c r="AD794" s="1176" t="s">
        <v>491</v>
      </c>
      <c r="AE794" s="63">
        <f>SUMIF(Y797:Y799,"&lt;="&amp;$AF$791,Z797:Z799)</f>
        <v>0</v>
      </c>
      <c r="AF794" s="1177">
        <f>IFERROR(AF779+AF784+AF789,0)</f>
        <v>0</v>
      </c>
      <c r="AG794" s="1177">
        <f t="shared" ref="AG794:CM794" si="581">IFERROR(AG779+AG784+AG789,0)</f>
        <v>0</v>
      </c>
      <c r="AH794" s="1177">
        <f t="shared" si="581"/>
        <v>0</v>
      </c>
      <c r="AI794" s="1177">
        <f t="shared" si="581"/>
        <v>0</v>
      </c>
      <c r="AJ794" s="1177">
        <f t="shared" si="581"/>
        <v>0</v>
      </c>
      <c r="AK794" s="1177">
        <f t="shared" si="581"/>
        <v>0</v>
      </c>
      <c r="AL794" s="1177">
        <f t="shared" si="581"/>
        <v>0</v>
      </c>
      <c r="AM794" s="1177">
        <f t="shared" si="581"/>
        <v>0</v>
      </c>
      <c r="AN794" s="1177">
        <f t="shared" si="581"/>
        <v>0</v>
      </c>
      <c r="AO794" s="1177">
        <f t="shared" si="581"/>
        <v>0</v>
      </c>
      <c r="AP794" s="1177">
        <f t="shared" si="581"/>
        <v>0</v>
      </c>
      <c r="AQ794" s="1177">
        <f t="shared" si="581"/>
        <v>0</v>
      </c>
      <c r="AR794" s="1177">
        <f t="shared" si="581"/>
        <v>0</v>
      </c>
      <c r="AS794" s="1177">
        <f t="shared" si="581"/>
        <v>0</v>
      </c>
      <c r="AT794" s="1177">
        <f t="shared" si="581"/>
        <v>0</v>
      </c>
      <c r="AU794" s="1177">
        <f t="shared" si="581"/>
        <v>0</v>
      </c>
      <c r="AV794" s="1177">
        <f t="shared" si="581"/>
        <v>0</v>
      </c>
      <c r="AW794" s="1177">
        <f t="shared" si="581"/>
        <v>0</v>
      </c>
      <c r="AX794" s="1177">
        <f t="shared" si="581"/>
        <v>0</v>
      </c>
      <c r="AY794" s="1177">
        <f t="shared" si="581"/>
        <v>0</v>
      </c>
      <c r="AZ794" s="1177">
        <f t="shared" si="581"/>
        <v>0</v>
      </c>
      <c r="BA794" s="1177">
        <f t="shared" si="581"/>
        <v>0</v>
      </c>
      <c r="BB794" s="1177">
        <f t="shared" si="581"/>
        <v>0</v>
      </c>
      <c r="BC794" s="1177">
        <f t="shared" si="581"/>
        <v>0</v>
      </c>
      <c r="BD794" s="1177">
        <f t="shared" si="581"/>
        <v>0</v>
      </c>
      <c r="BE794" s="1177">
        <f t="shared" si="581"/>
        <v>0</v>
      </c>
      <c r="BF794" s="1177">
        <f t="shared" si="581"/>
        <v>0</v>
      </c>
      <c r="BG794" s="1177">
        <f t="shared" si="581"/>
        <v>0</v>
      </c>
      <c r="BH794" s="1177">
        <f t="shared" si="581"/>
        <v>0</v>
      </c>
      <c r="BI794" s="1177">
        <f t="shared" si="581"/>
        <v>0</v>
      </c>
      <c r="BJ794" s="1177">
        <f t="shared" si="581"/>
        <v>0</v>
      </c>
      <c r="BK794" s="1177">
        <f t="shared" si="581"/>
        <v>0</v>
      </c>
      <c r="BL794" s="1177">
        <f t="shared" si="581"/>
        <v>0</v>
      </c>
      <c r="BM794" s="1177">
        <f t="shared" si="581"/>
        <v>0</v>
      </c>
      <c r="BN794" s="1177">
        <f t="shared" si="581"/>
        <v>0</v>
      </c>
      <c r="BO794" s="1177">
        <f t="shared" si="581"/>
        <v>0</v>
      </c>
      <c r="BP794" s="1177">
        <f t="shared" si="581"/>
        <v>0</v>
      </c>
      <c r="BQ794" s="1177">
        <f t="shared" si="581"/>
        <v>0</v>
      </c>
      <c r="BR794" s="1177">
        <f t="shared" si="581"/>
        <v>0</v>
      </c>
      <c r="BS794" s="1177">
        <f t="shared" si="581"/>
        <v>0</v>
      </c>
      <c r="BT794" s="1177">
        <f t="shared" si="581"/>
        <v>0</v>
      </c>
      <c r="BU794" s="1177">
        <f t="shared" si="581"/>
        <v>0</v>
      </c>
      <c r="BV794" s="1177">
        <f t="shared" si="581"/>
        <v>0</v>
      </c>
      <c r="BW794" s="1177">
        <f t="shared" si="581"/>
        <v>0</v>
      </c>
      <c r="BX794" s="1177">
        <f t="shared" si="581"/>
        <v>0</v>
      </c>
      <c r="BY794" s="1177">
        <f t="shared" si="581"/>
        <v>0</v>
      </c>
      <c r="BZ794" s="1177">
        <f t="shared" si="581"/>
        <v>0</v>
      </c>
      <c r="CA794" s="1177">
        <f t="shared" si="581"/>
        <v>0</v>
      </c>
      <c r="CB794" s="1177">
        <f t="shared" si="581"/>
        <v>0</v>
      </c>
      <c r="CC794" s="1177">
        <f t="shared" si="581"/>
        <v>0</v>
      </c>
      <c r="CD794" s="1177">
        <f t="shared" si="581"/>
        <v>0</v>
      </c>
      <c r="CE794" s="1177">
        <f t="shared" si="581"/>
        <v>0</v>
      </c>
      <c r="CF794" s="1177">
        <f t="shared" si="581"/>
        <v>0</v>
      </c>
      <c r="CG794" s="1177">
        <f t="shared" si="581"/>
        <v>0</v>
      </c>
      <c r="CH794" s="1177">
        <f t="shared" si="581"/>
        <v>0</v>
      </c>
      <c r="CI794" s="1177">
        <f t="shared" si="581"/>
        <v>0</v>
      </c>
      <c r="CJ794" s="1177">
        <f t="shared" si="581"/>
        <v>0</v>
      </c>
      <c r="CK794" s="1177">
        <f t="shared" si="581"/>
        <v>0</v>
      </c>
      <c r="CL794" s="1177">
        <f t="shared" si="581"/>
        <v>0</v>
      </c>
      <c r="CM794" s="1177">
        <f t="shared" si="581"/>
        <v>0</v>
      </c>
      <c r="CN794" s="1183"/>
      <c r="CO794" s="1183"/>
      <c r="CP794" s="1183"/>
      <c r="CQ794" s="1301"/>
      <c r="CR794" s="1301"/>
      <c r="CS794" s="1301"/>
      <c r="CT794" s="1301"/>
      <c r="CU794" s="1301"/>
      <c r="CV794" s="1301"/>
      <c r="CW794" s="1301"/>
      <c r="CX794" s="1301"/>
      <c r="CY794" s="1301"/>
      <c r="CZ794" s="1301"/>
      <c r="DA794" s="1301"/>
      <c r="DB794" s="1301"/>
      <c r="DC794" s="1301"/>
      <c r="DD794" s="1301"/>
      <c r="DE794" s="1301"/>
      <c r="DF794" s="1301"/>
      <c r="DG794" s="1301"/>
      <c r="DH794" s="1301"/>
      <c r="DI794" s="1301"/>
    </row>
    <row r="795" spans="11:113" ht="12" customHeight="1" x14ac:dyDescent="0.35">
      <c r="K795" s="28"/>
      <c r="L795" s="28"/>
      <c r="M795" s="28"/>
      <c r="N795" s="28"/>
      <c r="O795" s="28"/>
      <c r="P795" s="28"/>
      <c r="Q795" s="28"/>
      <c r="R795" s="31"/>
      <c r="S795" s="36"/>
      <c r="T795" s="26"/>
      <c r="U795" s="29"/>
      <c r="V795" s="29"/>
      <c r="W795" s="377"/>
      <c r="X795" s="1804"/>
      <c r="Y795" s="1804"/>
      <c r="Z795" s="1804"/>
      <c r="AA795" s="32" t="s">
        <v>511</v>
      </c>
      <c r="AB795" s="29"/>
      <c r="AC795" s="29"/>
      <c r="AD795" s="29"/>
      <c r="AE795" s="376"/>
      <c r="AF795" s="380">
        <f>IF(AF793=0,0,SUM($AF793:AF793))</f>
        <v>0</v>
      </c>
      <c r="AG795" s="380">
        <f>IF(AG793=0,0,SUM($AF793:AG793))</f>
        <v>0</v>
      </c>
      <c r="AH795" s="380">
        <f>IF(AH793=0,0,SUM($AF793:AH793))</f>
        <v>0</v>
      </c>
      <c r="AI795" s="380">
        <f>IF(AI793=0,0,SUM($AF793:AI793))</f>
        <v>0</v>
      </c>
      <c r="AJ795" s="380">
        <f>IF(AJ793=0,0,SUM($AF793:AJ793))</f>
        <v>0</v>
      </c>
      <c r="AK795" s="380">
        <f>IF(AK793=0,0,SUM($AF793:AK793))</f>
        <v>0</v>
      </c>
      <c r="AL795" s="380">
        <f>IF(AL793=0,0,SUM($AF793:AL793))</f>
        <v>0</v>
      </c>
      <c r="AM795" s="380">
        <f>IF(AM793=0,0,SUM($AF793:AM793))</f>
        <v>0</v>
      </c>
      <c r="AN795" s="380">
        <f>IF(AN793=0,0,SUM($AF793:AN793))</f>
        <v>0</v>
      </c>
      <c r="AO795" s="380">
        <f>IF(AO793=0,0,SUM($AF793:AO793))</f>
        <v>0</v>
      </c>
      <c r="AP795" s="380">
        <f>IF(AP793=0,0,SUM($AF793:AP793))</f>
        <v>0</v>
      </c>
      <c r="AQ795" s="380">
        <f>IF(AQ793=0,0,SUM($AF793:AQ793))</f>
        <v>0</v>
      </c>
      <c r="AR795" s="380">
        <f>IF(AR793=0,0,SUM($AF793:AR793))</f>
        <v>0</v>
      </c>
      <c r="AS795" s="380">
        <f>IF(AS793=0,0,SUM($AF793:AS793))</f>
        <v>0</v>
      </c>
      <c r="AT795" s="380">
        <f>IF(AT793=0,0,SUM($AF793:AT793))</f>
        <v>0</v>
      </c>
      <c r="AU795" s="380">
        <f>IF(AU793=0,0,SUM($AF793:AU793))</f>
        <v>0</v>
      </c>
      <c r="AV795" s="380">
        <f>IF(AV793=0,0,SUM($AF793:AV793))</f>
        <v>0</v>
      </c>
      <c r="AW795" s="380">
        <f>IF(AW793=0,0,SUM($AF793:AW793))</f>
        <v>0</v>
      </c>
      <c r="AX795" s="380">
        <f>IF(AX793=0,0,SUM($AF793:AX793))</f>
        <v>0</v>
      </c>
      <c r="AY795" s="380">
        <f>IF(AY793=0,0,SUM($AF793:AY793))</f>
        <v>0</v>
      </c>
      <c r="AZ795" s="380">
        <f>IF(AZ793=0,0,SUM($AF793:AZ793))</f>
        <v>0</v>
      </c>
      <c r="BA795" s="380">
        <f>IF(BA793=0,0,SUM($AF793:BA793))</f>
        <v>0</v>
      </c>
      <c r="BB795" s="380">
        <f>IF(BB793=0,0,SUM($AF793:BB793))</f>
        <v>0</v>
      </c>
      <c r="BC795" s="380">
        <f>IF(BC793=0,0,SUM($AF793:BC793))</f>
        <v>0</v>
      </c>
      <c r="BD795" s="380">
        <f>IF(BD793=0,0,SUM($AF793:BD793))</f>
        <v>0</v>
      </c>
      <c r="BE795" s="380">
        <f>IF(BE793=0,0,SUM($AF793:BE793))</f>
        <v>0</v>
      </c>
      <c r="BF795" s="380">
        <f>IF(BF793=0,0,SUM($AF793:BF793))</f>
        <v>0</v>
      </c>
      <c r="BG795" s="380">
        <f>IF(BG793=0,0,SUM($AF793:BG793))</f>
        <v>0</v>
      </c>
      <c r="BH795" s="380">
        <f>IF(BH793=0,0,SUM($AF793:BH793))</f>
        <v>0</v>
      </c>
      <c r="BI795" s="380">
        <f>IF(BI793=0,0,SUM($AF793:BI793))</f>
        <v>0</v>
      </c>
      <c r="BJ795" s="380">
        <f>IF(BJ793=0,0,SUM($AF793:BJ793))</f>
        <v>0</v>
      </c>
      <c r="BK795" s="380">
        <f>IF(BK793=0,0,SUM($AF793:BK793))</f>
        <v>0</v>
      </c>
      <c r="BL795" s="380">
        <f>IF(BL793=0,0,SUM($AF793:BL793))</f>
        <v>0</v>
      </c>
      <c r="BM795" s="380">
        <f>IF(BM793=0,0,SUM($AF793:BM793))</f>
        <v>0</v>
      </c>
      <c r="BN795" s="380">
        <f>IF(BN793=0,0,SUM($AF793:BN793))</f>
        <v>0</v>
      </c>
      <c r="BO795" s="380">
        <f>IF(BO793=0,0,SUM($AF793:BO793))</f>
        <v>0</v>
      </c>
      <c r="BP795" s="380">
        <f>IF(BP793=0,0,SUM($AF793:BP793))</f>
        <v>0</v>
      </c>
      <c r="BQ795" s="380">
        <f>IF(BQ793=0,0,SUM($AF793:BQ793))</f>
        <v>0</v>
      </c>
      <c r="BR795" s="380">
        <f>IF(BR793=0,0,SUM($AF793:BR793))</f>
        <v>0</v>
      </c>
      <c r="BS795" s="380">
        <f>IF(BS793=0,0,SUM($AF793:BS793))</f>
        <v>0</v>
      </c>
      <c r="BT795" s="380">
        <f>IF(BT793=0,0,SUM($AF793:BT793))</f>
        <v>0</v>
      </c>
      <c r="BU795" s="380">
        <f>IF(BU793=0,0,SUM($AF793:BU793))</f>
        <v>0</v>
      </c>
      <c r="BV795" s="380">
        <f>IF(BV793=0,0,SUM($AF793:BV793))</f>
        <v>0</v>
      </c>
      <c r="BW795" s="380">
        <f>IF(BW793=0,0,SUM($AF793:BW793))</f>
        <v>0</v>
      </c>
      <c r="BX795" s="380">
        <f>IF(BX793=0,0,SUM($AF793:BX793))</f>
        <v>0</v>
      </c>
      <c r="BY795" s="380">
        <f>IF(BY793=0,0,SUM($AF793:BY793))</f>
        <v>0</v>
      </c>
      <c r="BZ795" s="380">
        <f>IF(BZ793=0,0,SUM($AF793:BZ793))</f>
        <v>0</v>
      </c>
      <c r="CA795" s="380">
        <f>IF(CA793=0,0,SUM($AF793:CA793))</f>
        <v>0</v>
      </c>
      <c r="CB795" s="380">
        <f>IF(CB793=0,0,SUM($AF793:CB793))</f>
        <v>0</v>
      </c>
      <c r="CC795" s="380">
        <f>IF(CC793=0,0,SUM($AF793:CC793))</f>
        <v>0</v>
      </c>
      <c r="CD795" s="380">
        <f>IF(CD793=0,0,SUM($AF793:CD793))</f>
        <v>0</v>
      </c>
      <c r="CE795" s="380">
        <f>IF(CE793=0,0,SUM($AF793:CE793))</f>
        <v>0</v>
      </c>
      <c r="CF795" s="380">
        <f>IF(CF793=0,0,SUM($AF793:CF793))</f>
        <v>0</v>
      </c>
      <c r="CG795" s="380">
        <f>IF(CG793=0,0,SUM($AF793:CG793))</f>
        <v>0</v>
      </c>
      <c r="CH795" s="380">
        <f>IF(CH793=0,0,SUM($AF793:CH793))</f>
        <v>0</v>
      </c>
      <c r="CI795" s="380">
        <f>IF(CI793=0,0,SUM($AF793:CI793))</f>
        <v>0</v>
      </c>
      <c r="CJ795" s="380">
        <f>IF(CJ793=0,0,SUM($AF793:CJ793))</f>
        <v>0</v>
      </c>
      <c r="CK795" s="380">
        <f>IF(CK793=0,0,SUM($AF793:CK793))</f>
        <v>0</v>
      </c>
      <c r="CL795" s="380">
        <f>IF(CL793=0,0,SUM($AF793:CL793))</f>
        <v>0</v>
      </c>
      <c r="CM795" s="380">
        <f>IF(CM793=0,0,SUM($AF793:CM793))</f>
        <v>0</v>
      </c>
      <c r="CN795" s="1183"/>
      <c r="CO795" s="1183"/>
      <c r="CP795" s="1183"/>
      <c r="CQ795" s="1301"/>
      <c r="CR795" s="1301"/>
      <c r="CS795" s="1301"/>
      <c r="CT795" s="1301"/>
      <c r="CU795" s="1301"/>
      <c r="CV795" s="1301"/>
      <c r="CW795" s="1301"/>
      <c r="CX795" s="1301"/>
      <c r="CY795" s="1301"/>
      <c r="CZ795" s="1301"/>
      <c r="DA795" s="1301"/>
      <c r="DB795" s="1301"/>
      <c r="DC795" s="1301"/>
      <c r="DD795" s="1301"/>
      <c r="DE795" s="1301"/>
      <c r="DF795" s="1301"/>
      <c r="DG795" s="1301"/>
      <c r="DH795" s="1301"/>
      <c r="DI795" s="1301"/>
    </row>
    <row r="796" spans="11:113" ht="12" customHeight="1" x14ac:dyDescent="0.35">
      <c r="K796" s="28"/>
      <c r="L796" s="28"/>
      <c r="M796" s="28"/>
      <c r="N796" s="28"/>
      <c r="O796" s="28"/>
      <c r="P796" s="28"/>
      <c r="Q796" s="28"/>
      <c r="R796" s="31"/>
      <c r="S796" s="36"/>
      <c r="T796" s="26"/>
      <c r="U796" s="29"/>
      <c r="V796" s="29"/>
      <c r="W796" s="377"/>
      <c r="X796" s="376"/>
      <c r="Y796" s="387" t="s">
        <v>165</v>
      </c>
      <c r="Z796" s="387" t="s">
        <v>161</v>
      </c>
      <c r="AA796" s="387" t="s">
        <v>137</v>
      </c>
      <c r="AB796" s="387" t="s">
        <v>138</v>
      </c>
      <c r="AC796" s="387" t="s">
        <v>70</v>
      </c>
      <c r="AD796" s="29"/>
      <c r="AE796" s="376"/>
      <c r="AF796" s="1804"/>
      <c r="AG796" s="380"/>
      <c r="AH796" s="380"/>
      <c r="AI796" s="380"/>
      <c r="AJ796" s="380"/>
      <c r="AK796" s="380"/>
      <c r="AL796" s="380"/>
      <c r="AM796" s="380"/>
      <c r="AN796" s="380"/>
      <c r="AO796" s="380"/>
      <c r="AP796" s="380"/>
      <c r="AQ796" s="380"/>
      <c r="AR796" s="380"/>
      <c r="AS796" s="380"/>
      <c r="AT796" s="380"/>
      <c r="AU796" s="380"/>
      <c r="AV796" s="380"/>
      <c r="AW796" s="380"/>
      <c r="AX796" s="380"/>
      <c r="AY796" s="380"/>
      <c r="AZ796" s="380"/>
      <c r="BA796" s="380"/>
      <c r="BB796" s="380"/>
      <c r="BC796" s="380"/>
      <c r="BD796" s="380"/>
      <c r="BE796" s="380"/>
      <c r="BF796" s="380"/>
      <c r="BG796" s="380"/>
      <c r="BH796" s="380"/>
      <c r="BI796" s="380"/>
      <c r="BJ796" s="380"/>
      <c r="BK796" s="380"/>
      <c r="BL796" s="380"/>
      <c r="BM796" s="380"/>
      <c r="BN796" s="380"/>
      <c r="BO796" s="380"/>
      <c r="BP796" s="380"/>
      <c r="BQ796" s="380"/>
      <c r="BR796" s="380"/>
      <c r="BS796" s="380"/>
      <c r="BT796" s="380"/>
      <c r="BU796" s="380"/>
      <c r="BV796" s="380"/>
      <c r="BW796" s="380"/>
      <c r="BX796" s="380"/>
      <c r="BY796" s="380"/>
      <c r="BZ796" s="380"/>
      <c r="CA796" s="380"/>
      <c r="CB796" s="380"/>
      <c r="CC796" s="380"/>
      <c r="CD796" s="380"/>
      <c r="CE796" s="380"/>
      <c r="CF796" s="380"/>
      <c r="CG796" s="380"/>
      <c r="CH796" s="380"/>
      <c r="CI796" s="380"/>
      <c r="CJ796" s="380"/>
      <c r="CK796" s="380"/>
      <c r="CL796" s="380"/>
      <c r="CM796" s="380"/>
      <c r="CN796" s="1183"/>
      <c r="CO796" s="1183"/>
      <c r="CP796" s="1183"/>
      <c r="CQ796" s="1301"/>
      <c r="CR796" s="1301"/>
      <c r="CS796" s="1301"/>
      <c r="CT796" s="1301"/>
      <c r="CU796" s="1301"/>
      <c r="CV796" s="1301"/>
      <c r="CW796" s="1301"/>
      <c r="CX796" s="1301"/>
      <c r="CY796" s="1301"/>
      <c r="CZ796" s="1301"/>
      <c r="DA796" s="1301"/>
      <c r="DB796" s="1301"/>
      <c r="DC796" s="1301"/>
      <c r="DD796" s="1301"/>
      <c r="DE796" s="1301"/>
      <c r="DF796" s="1301"/>
      <c r="DG796" s="1301"/>
      <c r="DH796" s="1301"/>
      <c r="DI796" s="1301"/>
    </row>
    <row r="797" spans="11:113" ht="12" customHeight="1" x14ac:dyDescent="0.35">
      <c r="K797" s="28"/>
      <c r="L797" s="28"/>
      <c r="M797" s="28"/>
      <c r="N797" s="28"/>
      <c r="O797" s="28"/>
      <c r="P797" s="28"/>
      <c r="Q797" s="28"/>
      <c r="R797" s="31"/>
      <c r="S797" s="36"/>
      <c r="T797" s="26"/>
      <c r="U797" s="29"/>
      <c r="V797" s="29"/>
      <c r="W797" s="1152">
        <f>Input!R297</f>
        <v>0</v>
      </c>
      <c r="X797" s="376" t="s">
        <v>505</v>
      </c>
      <c r="Y797" s="1152">
        <f>Input!Q297</f>
        <v>0</v>
      </c>
      <c r="Z797" s="484">
        <f>Input!P297</f>
        <v>0</v>
      </c>
      <c r="AA797" s="1147">
        <f>Input!Q297</f>
        <v>0</v>
      </c>
      <c r="AB797" s="1147">
        <f>Input!R297</f>
        <v>0</v>
      </c>
      <c r="AC797" s="484">
        <f>IF(OR(AA797=0,AB797=0),0,IF(AND(AA797&lt;AC$794,AB797&gt;AC$794),Z797,0))</f>
      </c>
      <c r="AD797" s="29"/>
      <c r="AE797" s="376"/>
      <c r="AF797" s="376"/>
      <c r="AG797" s="376"/>
      <c r="AH797" s="376"/>
      <c r="AI797" s="376"/>
      <c r="AJ797" s="376"/>
      <c r="AK797" s="376"/>
      <c r="AL797" s="376"/>
      <c r="AM797" s="376"/>
      <c r="AN797" s="376"/>
      <c r="AO797" s="376"/>
      <c r="AP797" s="376"/>
      <c r="AQ797" s="376"/>
      <c r="AR797" s="376"/>
      <c r="AS797" s="376"/>
      <c r="AT797" s="376"/>
      <c r="AU797" s="376"/>
      <c r="AV797" s="376"/>
      <c r="AW797" s="376"/>
      <c r="AX797" s="376"/>
      <c r="AY797" s="376"/>
      <c r="AZ797" s="376"/>
      <c r="BA797" s="376"/>
      <c r="BB797" s="376"/>
      <c r="BC797" s="376"/>
      <c r="BD797" s="376"/>
      <c r="BE797" s="376"/>
      <c r="BF797" s="376"/>
      <c r="BG797" s="376"/>
      <c r="BH797" s="376"/>
      <c r="BI797" s="376"/>
      <c r="BJ797" s="376"/>
      <c r="BK797" s="376"/>
      <c r="BL797" s="376"/>
      <c r="BM797" s="376"/>
      <c r="BN797" s="376"/>
      <c r="BO797" s="376"/>
      <c r="BP797" s="376"/>
      <c r="BQ797" s="376"/>
      <c r="BR797" s="376"/>
      <c r="BS797" s="376"/>
      <c r="BT797" s="376"/>
      <c r="BU797" s="376"/>
      <c r="BV797" s="376"/>
      <c r="BW797" s="376"/>
      <c r="BX797" s="376"/>
      <c r="BY797" s="376"/>
      <c r="BZ797" s="376"/>
      <c r="CA797" s="376"/>
      <c r="CB797" s="376"/>
      <c r="CC797" s="376"/>
      <c r="CD797" s="376"/>
      <c r="CE797" s="376"/>
      <c r="CF797" s="376"/>
      <c r="CG797" s="376"/>
      <c r="CH797" s="376"/>
      <c r="CI797" s="376"/>
      <c r="CJ797" s="376"/>
      <c r="CK797" s="376"/>
      <c r="CL797" s="376"/>
      <c r="CM797" s="376"/>
      <c r="CN797" s="1183"/>
      <c r="CO797" s="1183"/>
      <c r="CP797" s="1183"/>
      <c r="CQ797" s="1301"/>
      <c r="CR797" s="1301"/>
      <c r="CS797" s="1301"/>
      <c r="CT797" s="1301"/>
      <c r="CU797" s="1301"/>
      <c r="CV797" s="1301"/>
      <c r="CW797" s="1301"/>
      <c r="CX797" s="1301"/>
      <c r="CY797" s="1301"/>
      <c r="CZ797" s="1301"/>
      <c r="DA797" s="1301"/>
      <c r="DB797" s="1301"/>
      <c r="DC797" s="1301"/>
      <c r="DD797" s="1301"/>
      <c r="DE797" s="1301"/>
      <c r="DF797" s="1301"/>
      <c r="DG797" s="1301"/>
      <c r="DH797" s="1301"/>
      <c r="DI797" s="1301"/>
    </row>
    <row r="798" spans="11:113" ht="12" customHeight="1" x14ac:dyDescent="0.35">
      <c r="K798" s="28"/>
      <c r="L798" s="28"/>
      <c r="M798" s="28"/>
      <c r="N798" s="28"/>
      <c r="O798" s="28"/>
      <c r="P798" s="28"/>
      <c r="Q798" s="28"/>
      <c r="R798" s="31"/>
      <c r="S798" s="36"/>
      <c r="T798" s="26"/>
      <c r="U798" s="29"/>
      <c r="V798" s="29"/>
      <c r="W798" s="1152">
        <f>Input!R298</f>
        <v>0</v>
      </c>
      <c r="X798" s="376" t="s">
        <v>507</v>
      </c>
      <c r="Y798" s="1152">
        <f>Input!Q298</f>
        <v>0</v>
      </c>
      <c r="Z798" s="484">
        <f>Input!P298</f>
        <v>0</v>
      </c>
      <c r="AA798" s="1147">
        <f>Input!Q298</f>
        <v>0</v>
      </c>
      <c r="AB798" s="1147">
        <f>Input!R298</f>
        <v>0</v>
      </c>
      <c r="AC798" s="484">
        <f>IF(OR(AA798=0,AB798=0),0,IF(AND(AA798&lt;AC$794,AB798&gt;AC$794),Z798,0))</f>
      </c>
      <c r="AD798" s="29">
        <f>IF(Input!Q279&lt;AF791,1,2)</f>
        <v>2</v>
      </c>
      <c r="AE798" s="32" t="s">
        <v>62</v>
      </c>
      <c r="AF798" s="1142">
        <f t="shared" ref="AF798:BK798" si="582">AF791</f>
        <v>0</v>
      </c>
      <c r="AG798" s="1142">
        <f t="shared" si="582"/>
        <v>59</v>
      </c>
      <c r="AH798" s="1142">
        <f t="shared" si="582"/>
        <v>91</v>
      </c>
      <c r="AI798" s="1142">
        <f t="shared" si="582"/>
        <v>121</v>
      </c>
      <c r="AJ798" s="1142">
        <f t="shared" si="582"/>
        <v>152</v>
      </c>
      <c r="AK798" s="1142">
        <f t="shared" si="582"/>
        <v>182</v>
      </c>
      <c r="AL798" s="1142">
        <f t="shared" si="582"/>
        <v>213</v>
      </c>
      <c r="AM798" s="1142">
        <f t="shared" si="582"/>
        <v>244</v>
      </c>
      <c r="AN798" s="1142">
        <f t="shared" si="582"/>
        <v>274</v>
      </c>
      <c r="AO798" s="1142">
        <f t="shared" si="582"/>
        <v>305</v>
      </c>
      <c r="AP798" s="1142">
        <f t="shared" si="582"/>
        <v>335</v>
      </c>
      <c r="AQ798" s="1142">
        <f t="shared" si="582"/>
        <v>366</v>
      </c>
      <c r="AR798" s="1142">
        <f t="shared" si="582"/>
        <v>397</v>
      </c>
      <c r="AS798" s="1142">
        <f t="shared" si="582"/>
        <v>425</v>
      </c>
      <c r="AT798" s="1142">
        <f t="shared" si="582"/>
        <v>456</v>
      </c>
      <c r="AU798" s="1142">
        <f t="shared" si="582"/>
        <v>486</v>
      </c>
      <c r="AV798" s="1142">
        <f t="shared" si="582"/>
        <v>517</v>
      </c>
      <c r="AW798" s="1142">
        <f t="shared" si="582"/>
        <v>547</v>
      </c>
      <c r="AX798" s="1142">
        <f t="shared" si="582"/>
        <v>578</v>
      </c>
      <c r="AY798" s="1142">
        <f t="shared" si="582"/>
        <v>609</v>
      </c>
      <c r="AZ798" s="1142">
        <f t="shared" si="582"/>
        <v>639</v>
      </c>
      <c r="BA798" s="1142">
        <f t="shared" si="582"/>
        <v>670</v>
      </c>
      <c r="BB798" s="1142">
        <f t="shared" si="582"/>
        <v>700</v>
      </c>
      <c r="BC798" s="1142">
        <f t="shared" si="582"/>
        <v>731</v>
      </c>
      <c r="BD798" s="1142">
        <f t="shared" si="582"/>
        <v>762</v>
      </c>
      <c r="BE798" s="1142">
        <f t="shared" si="582"/>
        <v>790</v>
      </c>
      <c r="BF798" s="1142">
        <f t="shared" si="582"/>
        <v>821</v>
      </c>
      <c r="BG798" s="1142">
        <f t="shared" si="582"/>
        <v>851</v>
      </c>
      <c r="BH798" s="1142">
        <f t="shared" si="582"/>
        <v>882</v>
      </c>
      <c r="BI798" s="1142">
        <f t="shared" si="582"/>
        <v>912</v>
      </c>
      <c r="BJ798" s="1142">
        <f t="shared" si="582"/>
        <v>943</v>
      </c>
      <c r="BK798" s="1142">
        <f t="shared" si="582"/>
        <v>974</v>
      </c>
      <c r="BL798" s="1142">
        <f t="shared" ref="BL798:CM798" si="583">BL791</f>
        <v>1004</v>
      </c>
      <c r="BM798" s="1142">
        <f t="shared" si="583"/>
        <v>1035</v>
      </c>
      <c r="BN798" s="1142">
        <f t="shared" si="583"/>
        <v>1065</v>
      </c>
      <c r="BO798" s="1142">
        <f t="shared" si="583"/>
        <v>1096</v>
      </c>
      <c r="BP798" s="1142">
        <f t="shared" si="583"/>
        <v>1127</v>
      </c>
      <c r="BQ798" s="1142">
        <f t="shared" si="583"/>
        <v>1155</v>
      </c>
      <c r="BR798" s="1142">
        <f t="shared" si="583"/>
        <v>1186</v>
      </c>
      <c r="BS798" s="1142">
        <f t="shared" si="583"/>
        <v>1216</v>
      </c>
      <c r="BT798" s="1142">
        <f t="shared" si="583"/>
        <v>1247</v>
      </c>
      <c r="BU798" s="1142">
        <f t="shared" si="583"/>
        <v>1277</v>
      </c>
      <c r="BV798" s="1142">
        <f t="shared" si="583"/>
        <v>1308</v>
      </c>
      <c r="BW798" s="1142">
        <f t="shared" si="583"/>
        <v>1339</v>
      </c>
      <c r="BX798" s="1142">
        <f t="shared" si="583"/>
        <v>1369</v>
      </c>
      <c r="BY798" s="1142">
        <f t="shared" si="583"/>
        <v>1400</v>
      </c>
      <c r="BZ798" s="1142">
        <f t="shared" si="583"/>
        <v>1430</v>
      </c>
      <c r="CA798" s="1142">
        <f t="shared" si="583"/>
        <v>1461</v>
      </c>
      <c r="CB798" s="1142">
        <f t="shared" si="583"/>
        <v>1492</v>
      </c>
      <c r="CC798" s="1142">
        <f t="shared" si="583"/>
        <v>1521</v>
      </c>
      <c r="CD798" s="1142">
        <f t="shared" si="583"/>
        <v>1552</v>
      </c>
      <c r="CE798" s="1142">
        <f t="shared" si="583"/>
        <v>1582</v>
      </c>
      <c r="CF798" s="1142">
        <f t="shared" si="583"/>
        <v>1613</v>
      </c>
      <c r="CG798" s="1142">
        <f t="shared" si="583"/>
        <v>1643</v>
      </c>
      <c r="CH798" s="1142">
        <f t="shared" si="583"/>
        <v>1674</v>
      </c>
      <c r="CI798" s="1142">
        <f t="shared" si="583"/>
        <v>1705</v>
      </c>
      <c r="CJ798" s="1142">
        <f t="shared" si="583"/>
        <v>1735</v>
      </c>
      <c r="CK798" s="1142">
        <f t="shared" si="583"/>
        <v>1766</v>
      </c>
      <c r="CL798" s="1142">
        <f t="shared" si="583"/>
        <v>1796</v>
      </c>
      <c r="CM798" s="1142">
        <f t="shared" si="583"/>
        <v>1827</v>
      </c>
      <c r="CN798" s="1183"/>
      <c r="CO798" s="1183"/>
      <c r="CP798" s="1183"/>
      <c r="CQ798" s="1301"/>
      <c r="CR798" s="1301"/>
      <c r="CS798" s="1301"/>
      <c r="CT798" s="1301"/>
      <c r="CU798" s="1301"/>
      <c r="CV798" s="1301"/>
      <c r="CW798" s="1301"/>
      <c r="CX798" s="1301"/>
      <c r="CY798" s="1301"/>
      <c r="CZ798" s="1301"/>
      <c r="DA798" s="1301"/>
      <c r="DB798" s="1301"/>
      <c r="DC798" s="1301"/>
      <c r="DD798" s="1301"/>
      <c r="DE798" s="1301"/>
      <c r="DF798" s="1301"/>
      <c r="DG798" s="1301"/>
      <c r="DH798" s="1301"/>
      <c r="DI798" s="1301"/>
    </row>
    <row r="799" spans="11:113" ht="12" customHeight="1" x14ac:dyDescent="0.35">
      <c r="K799" s="28"/>
      <c r="L799" s="28"/>
      <c r="M799" s="28"/>
      <c r="N799" s="28"/>
      <c r="O799" s="28"/>
      <c r="P799" s="28"/>
      <c r="Q799" s="28"/>
      <c r="R799" s="31"/>
      <c r="S799" s="36"/>
      <c r="T799" s="26"/>
      <c r="U799" s="29"/>
      <c r="V799" s="29"/>
      <c r="W799" s="1152">
        <f>Input!R299</f>
        <v>0</v>
      </c>
      <c r="X799" s="376" t="s">
        <v>508</v>
      </c>
      <c r="Y799" s="1152">
        <f>Input!Q299</f>
        <v>0</v>
      </c>
      <c r="Z799" s="484">
        <f>Input!P299</f>
        <v>0</v>
      </c>
      <c r="AA799" s="1147">
        <f>Input!Q299</f>
        <v>0</v>
      </c>
      <c r="AB799" s="1147">
        <f>Input!R299</f>
        <v>0</v>
      </c>
      <c r="AC799" s="484">
        <f>IF(OR(AA799=0,AB799=0),0,IF(AND(AA799&lt;AC$794,AB799&gt;AC$794),Z799,0))</f>
      </c>
      <c r="AD799" s="29"/>
      <c r="AE799" s="376" t="s">
        <v>512</v>
      </c>
      <c r="AF799" s="763">
        <f>IF(AND(Input!$O$278&gt;0,Input!$H$276="Yes",$AA803&lt;=AF$798-1,AF$798&lt;=$AB803-1),Input!$P279,0)</f>
        <v>0</v>
      </c>
      <c r="AG799" s="763">
        <f>IF(AND(Input!$O$278&gt;0,Input!$H$276="Yes",$AA803&lt;=AG$798-1,AG$798&lt;=$AB803-1),Input!$P279,0)</f>
        <v>0</v>
      </c>
      <c r="AH799" s="763">
        <f>IF(AND(Input!$O$278&gt;0,Input!$H$276="Yes",$AA803&lt;=AH$798-1,AH$798&lt;=$AB803-1),Input!$P279,0)</f>
        <v>0</v>
      </c>
      <c r="AI799" s="763">
        <f>IF(AND(Input!$O$278&gt;0,Input!$H$276="Yes",$AA803&lt;=AI$798-1,AI$798&lt;=$AB803-1),Input!$P279,0)</f>
        <v>0</v>
      </c>
      <c r="AJ799" s="763">
        <f>IF(AND(Input!$O$278&gt;0,Input!$H$276="Yes",$AA803&lt;=AJ$798-1,AJ$798&lt;=$AB803-1),Input!$P279,0)</f>
        <v>0</v>
      </c>
      <c r="AK799" s="763">
        <f>IF(AND(Input!$O$278&gt;0,Input!$H$276="Yes",$AA803&lt;=AK$798-1,AK$798&lt;=$AB803-1),Input!$P279,0)</f>
        <v>0</v>
      </c>
      <c r="AL799" s="763">
        <f>IF(AND(Input!$O$278&gt;0,Input!$H$276="Yes",$AA803&lt;=AL$798-1,AL$798&lt;=$AB803-1),Input!$P279,0)</f>
        <v>0</v>
      </c>
      <c r="AM799" s="763">
        <f>IF(AND(Input!$O$278&gt;0,Input!$H$276="Yes",$AA803&lt;=AM$798-1,AM$798&lt;=$AB803-1),Input!$P279,0)</f>
        <v>0</v>
      </c>
      <c r="AN799" s="763">
        <f>IF(AND(Input!$O$278&gt;0,Input!$H$276="Yes",$AA803&lt;=AN$798-1,AN$798&lt;=$AB803-1),Input!$P279,0)</f>
        <v>0</v>
      </c>
      <c r="AO799" s="763">
        <f>IF(AND(Input!$O$278&gt;0,Input!$H$276="Yes",$AA803&lt;=AO$798-1,AO$798&lt;=$AB803-1),Input!$P279,0)</f>
        <v>0</v>
      </c>
      <c r="AP799" s="763">
        <f>IF(AND(Input!$O$278&gt;0,Input!$H$276="Yes",$AA803&lt;=AP$798-1,AP$798&lt;=$AB803-1),Input!$P279,0)</f>
        <v>0</v>
      </c>
      <c r="AQ799" s="763">
        <f>IF(AND(Input!$O$278&gt;0,Input!$H$276="Yes",$AA803&lt;=AQ$798-1,AQ$798&lt;=$AB803-1),Input!$P279,0)</f>
        <v>0</v>
      </c>
      <c r="AR799" s="763">
        <f>IF(AND(Input!$O$278&gt;0,Input!$H$276="Yes",$AA803&lt;=AR$798-1,AR$798&lt;=$AB803-1),Input!$P279,0)</f>
        <v>0</v>
      </c>
      <c r="AS799" s="763">
        <f>IF(AND(Input!$O$278&gt;0,Input!$H$276="Yes",$AA803&lt;=AS$798-1,AS$798&lt;=$AB803-1),Input!$P279,0)</f>
        <v>0</v>
      </c>
      <c r="AT799" s="763">
        <f>IF(AND(Input!$O$278&gt;0,Input!$H$276="Yes",$AA803&lt;=AT$798-1,AT$798&lt;=$AB803-1),Input!$P279,0)</f>
        <v>0</v>
      </c>
      <c r="AU799" s="763">
        <f>IF(AND(Input!$O$278&gt;0,Input!$H$276="Yes",$AA803&lt;=AU$798-1,AU$798&lt;=$AB803-1),Input!$P279,0)</f>
        <v>0</v>
      </c>
      <c r="AV799" s="763">
        <f>IF(AND(Input!$O$278&gt;0,Input!$H$276="Yes",$AA803&lt;=AV$798-1,AV$798&lt;=$AB803-1),Input!$P279,0)</f>
        <v>0</v>
      </c>
      <c r="AW799" s="763">
        <f>IF(AND(Input!$O$278&gt;0,Input!$H$276="Yes",$AA803&lt;=AW$798-1,AW$798&lt;=$AB803-1),Input!$P279,0)</f>
        <v>0</v>
      </c>
      <c r="AX799" s="763">
        <f>IF(AND(Input!$O$278&gt;0,Input!$H$276="Yes",$AA803&lt;=AX$798-1,AX$798&lt;=$AB803-1),Input!$P279,0)</f>
        <v>0</v>
      </c>
      <c r="AY799" s="763">
        <f>IF(AND(Input!$O$278&gt;0,Input!$H$276="Yes",$AA803&lt;=AY$798-1,AY$798&lt;=$AB803-1),Input!$P279,0)</f>
        <v>0</v>
      </c>
      <c r="AZ799" s="763">
        <f>IF(AND(Input!$O$278&gt;0,Input!$H$276="Yes",$AA803&lt;=AZ$798-1,AZ$798&lt;=$AB803-1),Input!$P279,0)</f>
        <v>0</v>
      </c>
      <c r="BA799" s="763">
        <f>IF(AND(Input!$O$278&gt;0,Input!$H$276="Yes",$AA803&lt;=BA$798-1,BA$798&lt;=$AB803-1),Input!$P279,0)</f>
        <v>0</v>
      </c>
      <c r="BB799" s="763">
        <f>IF(AND(Input!$O$278&gt;0,Input!$H$276="Yes",$AA803&lt;=BB$798-1,BB$798&lt;=$AB803-1),Input!$P279,0)</f>
        <v>0</v>
      </c>
      <c r="BC799" s="763">
        <f>IF(AND(Input!$O$278&gt;0,Input!$H$276="Yes",$AA803&lt;=BC$798-1,BC$798&lt;=$AB803-1),Input!$P279,0)</f>
        <v>0</v>
      </c>
      <c r="BD799" s="763">
        <f>IF(AND(Input!$O$278&gt;0,Input!$H$276="Yes",$AA803&lt;=BD$798-1,BD$798&lt;=$AB803-1),Input!$P279,0)</f>
        <v>0</v>
      </c>
      <c r="BE799" s="763">
        <f>IF(AND(Input!$O$278&gt;0,Input!$H$276="Yes",$AA803&lt;=BE$798-1,BE$798&lt;=$AB803-1),Input!$P279,0)</f>
        <v>0</v>
      </c>
      <c r="BF799" s="763">
        <f>IF(AND(Input!$O$278&gt;0,Input!$H$276="Yes",$AA803&lt;=BF$798-1,BF$798&lt;=$AB803-1),Input!$P279,0)</f>
        <v>0</v>
      </c>
      <c r="BG799" s="763">
        <f>IF(AND(Input!$O$278&gt;0,Input!$H$276="Yes",$AA803&lt;=BG$798-1,BG$798&lt;=$AB803-1),Input!$P279,0)</f>
        <v>0</v>
      </c>
      <c r="BH799" s="763">
        <f>IF(AND(Input!$O$278&gt;0,Input!$H$276="Yes",$AA803&lt;=BH$798-1,BH$798&lt;=$AB803-1),Input!$P279,0)</f>
        <v>0</v>
      </c>
      <c r="BI799" s="763">
        <f>IF(AND(Input!$O$278&gt;0,Input!$H$276="Yes",$AA803&lt;=BI$798-1,BI$798&lt;=$AB803-1),Input!$P279,0)</f>
        <v>0</v>
      </c>
      <c r="BJ799" s="763">
        <f>IF(AND(Input!$O$278&gt;0,Input!$H$276="Yes",$AA803&lt;=BJ$798-1,BJ$798&lt;=$AB803-1),Input!$P279,0)</f>
        <v>0</v>
      </c>
      <c r="BK799" s="763">
        <f>IF(AND(Input!$O$278&gt;0,Input!$H$276="Yes",$AA803&lt;=BK$798-1,BK$798&lt;=$AB803-1),Input!$P279,0)</f>
        <v>0</v>
      </c>
      <c r="BL799" s="763">
        <f>IF(AND(Input!$O$278&gt;0,Input!$H$276="Yes",$AA803&lt;=BL$798-1,BL$798&lt;=$AB803-1),Input!$P279,0)</f>
        <v>0</v>
      </c>
      <c r="BM799" s="763">
        <f>IF(AND(Input!$O$278&gt;0,Input!$H$276="Yes",$AA803&lt;=BM$798-1,BM$798&lt;=$AB803-1),Input!$P279,0)</f>
        <v>0</v>
      </c>
      <c r="BN799" s="763">
        <f>IF(AND(Input!$O$278&gt;0,Input!$H$276="Yes",$AA803&lt;=BN$798-1,BN$798&lt;=$AB803-1),Input!$P279,0)</f>
        <v>0</v>
      </c>
      <c r="BO799" s="763">
        <f>IF(AND(Input!$O$278&gt;0,Input!$H$276="Yes",$AA803&lt;=BO$798-1,BO$798&lt;=$AB803-1),Input!$P279,0)</f>
        <v>0</v>
      </c>
      <c r="BP799" s="763">
        <f>IF(AND(Input!$O$278&gt;0,Input!$H$276="Yes",$AA803&lt;=BP$798-1,BP$798&lt;=$AB803-1),Input!$P279,0)</f>
        <v>0</v>
      </c>
      <c r="BQ799" s="763">
        <f>IF(AND(Input!$O$278&gt;0,Input!$H$276="Yes",$AA803&lt;=BQ$798-1,BQ$798&lt;=$AB803-1),Input!$P279,0)</f>
        <v>0</v>
      </c>
      <c r="BR799" s="763">
        <f>IF(AND(Input!$O$278&gt;0,Input!$H$276="Yes",$AA803&lt;=BR$798-1,BR$798&lt;=$AB803-1),Input!$P279,0)</f>
        <v>0</v>
      </c>
      <c r="BS799" s="763">
        <f>IF(AND(Input!$O$278&gt;0,Input!$H$276="Yes",$AA803&lt;=BS$798-1,BS$798&lt;=$AB803-1),Input!$P279,0)</f>
        <v>0</v>
      </c>
      <c r="BT799" s="763">
        <f>IF(AND(Input!$O$278&gt;0,Input!$H$276="Yes",$AA803&lt;=BT$798-1,BT$798&lt;=$AB803-1),Input!$P279,0)</f>
        <v>0</v>
      </c>
      <c r="BU799" s="763">
        <f>IF(AND(Input!$O$278&gt;0,Input!$H$276="Yes",$AA803&lt;=BU$798-1,BU$798&lt;=$AB803-1),Input!$P279,0)</f>
        <v>0</v>
      </c>
      <c r="BV799" s="763">
        <f>IF(AND(Input!$O$278&gt;0,Input!$H$276="Yes",$AA803&lt;=BV$798-1,BV$798&lt;=$AB803-1),Input!$P279,0)</f>
        <v>0</v>
      </c>
      <c r="BW799" s="763">
        <f>IF(AND(Input!$O$278&gt;0,Input!$H$276="Yes",$AA803&lt;=BW$798-1,BW$798&lt;=$AB803-1),Input!$P279,0)</f>
        <v>0</v>
      </c>
      <c r="BX799" s="763">
        <f>IF(AND(Input!$O$278&gt;0,Input!$H$276="Yes",$AA803&lt;=BX$798-1,BX$798&lt;=$AB803-1),Input!$P279,0)</f>
        <v>0</v>
      </c>
      <c r="BY799" s="763">
        <f>IF(AND(Input!$O$278&gt;0,Input!$H$276="Yes",$AA803&lt;=BY$798-1,BY$798&lt;=$AB803-1),Input!$P279,0)</f>
        <v>0</v>
      </c>
      <c r="BZ799" s="763">
        <f>IF(AND(Input!$O$278&gt;0,Input!$H$276="Yes",$AA803&lt;=BZ$798-1,BZ$798&lt;=$AB803-1),Input!$P279,0)</f>
        <v>0</v>
      </c>
      <c r="CA799" s="763">
        <f>IF(AND(Input!$O$278&gt;0,Input!$H$276="Yes",$AA803&lt;=CA$798-1,CA$798&lt;=$AB803-1),Input!$P279,0)</f>
        <v>0</v>
      </c>
      <c r="CB799" s="763">
        <f>IF(AND(Input!$O$278&gt;0,Input!$H$276="Yes",$AA803&lt;=CB$798-1,CB$798&lt;=$AB803-1),Input!$P279,0)</f>
        <v>0</v>
      </c>
      <c r="CC799" s="763">
        <f>IF(AND(Input!$O$278&gt;0,Input!$H$276="Yes",$AA803&lt;=CC$798-1,CC$798&lt;=$AB803-1),Input!$P279,0)</f>
        <v>0</v>
      </c>
      <c r="CD799" s="763">
        <f>IF(AND(Input!$O$278&gt;0,Input!$H$276="Yes",$AA803&lt;=CD$798-1,CD$798&lt;=$AB803-1),Input!$P279,0)</f>
        <v>0</v>
      </c>
      <c r="CE799" s="763">
        <f>IF(AND(Input!$O$278&gt;0,Input!$H$276="Yes",$AA803&lt;=CE$798-1,CE$798&lt;=$AB803-1),Input!$P279,0)</f>
        <v>0</v>
      </c>
      <c r="CF799" s="763">
        <f>IF(AND(Input!$O$278&gt;0,Input!$H$276="Yes",$AA803&lt;=CF$798-1,CF$798&lt;=$AB803-1),Input!$P279,0)</f>
        <v>0</v>
      </c>
      <c r="CG799" s="763">
        <f>IF(AND(Input!$O$278&gt;0,Input!$H$276="Yes",$AA803&lt;=CG$798-1,CG$798&lt;=$AB803-1),Input!$P279,0)</f>
        <v>0</v>
      </c>
      <c r="CH799" s="763">
        <f>IF(AND(Input!$O$278&gt;0,Input!$H$276="Yes",$AA803&lt;=CH$798-1,CH$798&lt;=$AB803-1),Input!$P279,0)</f>
        <v>0</v>
      </c>
      <c r="CI799" s="763">
        <f>IF(AND(Input!$O$278&gt;0,Input!$H$276="Yes",$AA803&lt;=CI$798-1,CI$798&lt;=$AB803-1),Input!$P279,0)</f>
        <v>0</v>
      </c>
      <c r="CJ799" s="763">
        <f>IF(AND(Input!$O$278&gt;0,Input!$H$276="Yes",$AA803&lt;=CJ$798-1,CJ$798&lt;=$AB803-1),Input!$P279,0)</f>
        <v>0</v>
      </c>
      <c r="CK799" s="763">
        <f>IF(AND(Input!$O$278&gt;0,Input!$H$276="Yes",$AA803&lt;=CK$798-1,CK$798&lt;=$AB803-1),Input!$P279,0)</f>
        <v>0</v>
      </c>
      <c r="CL799" s="763">
        <f>IF(AND(Input!$O$278&gt;0,Input!$H$276="Yes",$AA803&lt;=CL$798-1,CL$798&lt;=$AB803-1),Input!$P279,0)</f>
        <v>0</v>
      </c>
      <c r="CM799" s="763">
        <f>IF(AND(Input!$O$278&gt;0,Input!$H$276="Yes",$AA803&lt;=CM$798-1,CM$798&lt;=$AB803-1),Input!$P279,0)</f>
        <v>0</v>
      </c>
      <c r="CN799" s="1183"/>
      <c r="CO799" s="1183"/>
      <c r="CP799" s="1183"/>
      <c r="CQ799" s="1301"/>
      <c r="CR799" s="1301"/>
      <c r="CS799" s="1301"/>
      <c r="CT799" s="1301"/>
      <c r="CU799" s="1301"/>
      <c r="CV799" s="1301"/>
      <c r="CW799" s="1301"/>
      <c r="CX799" s="1301"/>
      <c r="CY799" s="1301"/>
      <c r="CZ799" s="1301"/>
      <c r="DA799" s="1301"/>
      <c r="DB799" s="1301"/>
      <c r="DC799" s="1301"/>
      <c r="DD799" s="1301"/>
      <c r="DE799" s="1301"/>
      <c r="DF799" s="1301"/>
      <c r="DG799" s="1301"/>
      <c r="DH799" s="1301"/>
      <c r="DI799" s="1301"/>
    </row>
    <row r="800" spans="11:113" ht="12" customHeight="1" x14ac:dyDescent="0.35">
      <c r="K800" s="28"/>
      <c r="L800" s="28"/>
      <c r="M800" s="28"/>
      <c r="N800" s="28"/>
      <c r="O800" s="28"/>
      <c r="P800" s="28"/>
      <c r="Q800" s="28"/>
      <c r="R800" s="31"/>
      <c r="S800" s="36"/>
      <c r="T800" s="26"/>
      <c r="U800" s="29"/>
      <c r="V800" s="29"/>
      <c r="W800" s="377"/>
      <c r="X800" s="376"/>
      <c r="Y800" s="1183"/>
      <c r="Z800" s="1183"/>
      <c r="AA800" s="376"/>
      <c r="AB800" s="29"/>
      <c r="AC800" s="390">
        <f>SUM(AC797:AC799)</f>
        <v>0</v>
      </c>
      <c r="AD800" s="29"/>
      <c r="AE800" s="376" t="s">
        <v>513</v>
      </c>
      <c r="AF800" s="763">
        <f>IF(AND(Input!$O$278&gt;0,Input!$H$276="Yes",$AA804&lt;=AF$798-1,AF$798&lt;=$AB804-1),Input!$P280,0)</f>
        <v>0</v>
      </c>
      <c r="AG800" s="763">
        <f>IF(AND(Input!$O$278&gt;0,Input!$H$276="Yes",$AA804&lt;=AG$798-1,AG$798&lt;=$AB804-1),Input!$P280,0)</f>
        <v>0</v>
      </c>
      <c r="AH800" s="763">
        <f>IF(AND(Input!$O$278&gt;0,Input!$H$276="Yes",$AA804&lt;=AH$798-1,AH$798&lt;=$AB804-1),Input!$P280,0)</f>
        <v>0</v>
      </c>
      <c r="AI800" s="763">
        <f>IF(AND(Input!$O$278&gt;0,Input!$H$276="Yes",$AA804&lt;=AI$798-1,AI$798&lt;=$AB804-1),Input!$P280,0)</f>
        <v>0</v>
      </c>
      <c r="AJ800" s="763">
        <f>IF(AND(Input!$O$278&gt;0,Input!$H$276="Yes",$AA804&lt;=AJ$798-1,AJ$798&lt;=$AB804-1),Input!$P280,0)</f>
        <v>0</v>
      </c>
      <c r="AK800" s="763">
        <f>IF(AND(Input!$O$278&gt;0,Input!$H$276="Yes",$AA804&lt;=AK$798-1,AK$798&lt;=$AB804-1),Input!$P280,0)</f>
        <v>0</v>
      </c>
      <c r="AL800" s="763">
        <f>IF(AND(Input!$O$278&gt;0,Input!$H$276="Yes",$AA804&lt;=AL$798-1,AL$798&lt;=$AB804-1),Input!$P280,0)</f>
        <v>0</v>
      </c>
      <c r="AM800" s="763">
        <f>IF(AND(Input!$O$278&gt;0,Input!$H$276="Yes",$AA804&lt;=AM$798-1,AM$798&lt;=$AB804-1),Input!$P280,0)</f>
        <v>0</v>
      </c>
      <c r="AN800" s="763">
        <f>IF(AND(Input!$O$278&gt;0,Input!$H$276="Yes",$AA804&lt;=AN$798-1,AN$798&lt;=$AB804-1),Input!$P280,0)</f>
        <v>0</v>
      </c>
      <c r="AO800" s="763">
        <f>IF(AND(Input!$O$278&gt;0,Input!$H$276="Yes",$AA804&lt;=AO$798-1,AO$798&lt;=$AB804-1),Input!$P280,0)</f>
        <v>0</v>
      </c>
      <c r="AP800" s="763">
        <f>IF(AND(Input!$O$278&gt;0,Input!$H$276="Yes",$AA804&lt;=AP$798-1,AP$798&lt;=$AB804-1),Input!$P280,0)</f>
        <v>0</v>
      </c>
      <c r="AQ800" s="763">
        <f>IF(AND(Input!$O$278&gt;0,Input!$H$276="Yes",$AA804&lt;=AQ$798-1,AQ$798&lt;=$AB804-1),Input!$P280,0)</f>
        <v>0</v>
      </c>
      <c r="AR800" s="763">
        <f>IF(AND(Input!$O$278&gt;0,Input!$H$276="Yes",$AA804&lt;=AR$798-1,AR$798&lt;=$AB804-1),Input!$P280,0)</f>
        <v>0</v>
      </c>
      <c r="AS800" s="763">
        <f>IF(AND(Input!$O$278&gt;0,Input!$H$276="Yes",$AA804&lt;=AS$798-1,AS$798&lt;=$AB804-1),Input!$P280,0)</f>
        <v>0</v>
      </c>
      <c r="AT800" s="763">
        <f>IF(AND(Input!$O$278&gt;0,Input!$H$276="Yes",$AA804&lt;=AT$798-1,AT$798&lt;=$AB804-1),Input!$P280,0)</f>
        <v>0</v>
      </c>
      <c r="AU800" s="763">
        <f>IF(AND(Input!$O$278&gt;0,Input!$H$276="Yes",$AA804&lt;=AU$798-1,AU$798&lt;=$AB804-1),Input!$P280,0)</f>
        <v>0</v>
      </c>
      <c r="AV800" s="763">
        <f>IF(AND(Input!$O$278&gt;0,Input!$H$276="Yes",$AA804&lt;=AV$798-1,AV$798&lt;=$AB804-1),Input!$P280,0)</f>
        <v>0</v>
      </c>
      <c r="AW800" s="763">
        <f>IF(AND(Input!$O$278&gt;0,Input!$H$276="Yes",$AA804&lt;=AW$798-1,AW$798&lt;=$AB804-1),Input!$P280,0)</f>
        <v>0</v>
      </c>
      <c r="AX800" s="763">
        <f>IF(AND(Input!$O$278&gt;0,Input!$H$276="Yes",$AA804&lt;=AX$798-1,AX$798&lt;=$AB804-1),Input!$P280,0)</f>
        <v>0</v>
      </c>
      <c r="AY800" s="763">
        <f>IF(AND(Input!$O$278&gt;0,Input!$H$276="Yes",$AA804&lt;=AY$798-1,AY$798&lt;=$AB804-1),Input!$P280,0)</f>
        <v>0</v>
      </c>
      <c r="AZ800" s="763">
        <f>IF(AND(Input!$O$278&gt;0,Input!$H$276="Yes",$AA804&lt;=AZ$798-1,AZ$798&lt;=$AB804-1),Input!$P280,0)</f>
        <v>0</v>
      </c>
      <c r="BA800" s="763">
        <f>IF(AND(Input!$O$278&gt;0,Input!$H$276="Yes",$AA804&lt;=BA$798-1,BA$798&lt;=$AB804-1),Input!$P280,0)</f>
        <v>0</v>
      </c>
      <c r="BB800" s="763">
        <f>IF(AND(Input!$O$278&gt;0,Input!$H$276="Yes",$AA804&lt;=BB$798-1,BB$798&lt;=$AB804-1),Input!$P280,0)</f>
        <v>0</v>
      </c>
      <c r="BC800" s="763">
        <f>IF(AND(Input!$O$278&gt;0,Input!$H$276="Yes",$AA804&lt;=BC$798-1,BC$798&lt;=$AB804-1),Input!$P280,0)</f>
        <v>0</v>
      </c>
      <c r="BD800" s="763">
        <f>IF(AND(Input!$O$278&gt;0,Input!$H$276="Yes",$AA804&lt;=BD$798-1,BD$798&lt;=$AB804-1),Input!$P280,0)</f>
        <v>0</v>
      </c>
      <c r="BE800" s="763">
        <f>IF(AND(Input!$O$278&gt;0,Input!$H$276="Yes",$AA804&lt;=BE$798-1,BE$798&lt;=$AB804-1),Input!$P280,0)</f>
        <v>0</v>
      </c>
      <c r="BF800" s="763">
        <f>IF(AND(Input!$O$278&gt;0,Input!$H$276="Yes",$AA804&lt;=BF$798-1,BF$798&lt;=$AB804-1),Input!$P280,0)</f>
        <v>0</v>
      </c>
      <c r="BG800" s="763">
        <f>IF(AND(Input!$O$278&gt;0,Input!$H$276="Yes",$AA804&lt;=BG$798-1,BG$798&lt;=$AB804-1),Input!$P280,0)</f>
        <v>0</v>
      </c>
      <c r="BH800" s="763">
        <f>IF(AND(Input!$O$278&gt;0,Input!$H$276="Yes",$AA804&lt;=BH$798-1,BH$798&lt;=$AB804-1),Input!$P280,0)</f>
        <v>0</v>
      </c>
      <c r="BI800" s="763">
        <f>IF(AND(Input!$O$278&gt;0,Input!$H$276="Yes",$AA804&lt;=BI$798-1,BI$798&lt;=$AB804-1),Input!$P280,0)</f>
        <v>0</v>
      </c>
      <c r="BJ800" s="763">
        <f>IF(AND(Input!$O$278&gt;0,Input!$H$276="Yes",$AA804&lt;=BJ$798-1,BJ$798&lt;=$AB804-1),Input!$P280,0)</f>
        <v>0</v>
      </c>
      <c r="BK800" s="763">
        <f>IF(AND(Input!$O$278&gt;0,Input!$H$276="Yes",$AA804&lt;=BK$798-1,BK$798&lt;=$AB804-1),Input!$P280,0)</f>
        <v>0</v>
      </c>
      <c r="BL800" s="763">
        <f>IF(AND(Input!$O$278&gt;0,Input!$H$276="Yes",$AA804&lt;=BL$798-1,BL$798&lt;=$AB804-1),Input!$P280,0)</f>
        <v>0</v>
      </c>
      <c r="BM800" s="763">
        <f>IF(AND(Input!$O$278&gt;0,Input!$H$276="Yes",$AA804&lt;=BM$798-1,BM$798&lt;=$AB804-1),Input!$P280,0)</f>
        <v>0</v>
      </c>
      <c r="BN800" s="763">
        <f>IF(AND(Input!$O$278&gt;0,Input!$H$276="Yes",$AA804&lt;=BN$798-1,BN$798&lt;=$AB804-1),Input!$P280,0)</f>
        <v>0</v>
      </c>
      <c r="BO800" s="763">
        <f>IF(AND(Input!$O$278&gt;0,Input!$H$276="Yes",$AA804&lt;=BO$798-1,BO$798&lt;=$AB804-1),Input!$P280,0)</f>
        <v>0</v>
      </c>
      <c r="BP800" s="763">
        <f>IF(AND(Input!$O$278&gt;0,Input!$H$276="Yes",$AA804&lt;=BP$798-1,BP$798&lt;=$AB804-1),Input!$P280,0)</f>
        <v>0</v>
      </c>
      <c r="BQ800" s="763">
        <f>IF(AND(Input!$O$278&gt;0,Input!$H$276="Yes",$AA804&lt;=BQ$798-1,BQ$798&lt;=$AB804-1),Input!$P280,0)</f>
        <v>0</v>
      </c>
      <c r="BR800" s="763">
        <f>IF(AND(Input!$O$278&gt;0,Input!$H$276="Yes",$AA804&lt;=BR$798-1,BR$798&lt;=$AB804-1),Input!$P280,0)</f>
        <v>0</v>
      </c>
      <c r="BS800" s="763">
        <f>IF(AND(Input!$O$278&gt;0,Input!$H$276="Yes",$AA804&lt;=BS$798-1,BS$798&lt;=$AB804-1),Input!$P280,0)</f>
        <v>0</v>
      </c>
      <c r="BT800" s="763">
        <f>IF(AND(Input!$O$278&gt;0,Input!$H$276="Yes",$AA804&lt;=BT$798-1,BT$798&lt;=$AB804-1),Input!$P280,0)</f>
        <v>0</v>
      </c>
      <c r="BU800" s="763">
        <f>IF(AND(Input!$O$278&gt;0,Input!$H$276="Yes",$AA804&lt;=BU$798-1,BU$798&lt;=$AB804-1),Input!$P280,0)</f>
        <v>0</v>
      </c>
      <c r="BV800" s="763">
        <f>IF(AND(Input!$O$278&gt;0,Input!$H$276="Yes",$AA804&lt;=BV$798-1,BV$798&lt;=$AB804-1),Input!$P280,0)</f>
        <v>0</v>
      </c>
      <c r="BW800" s="763">
        <f>IF(AND(Input!$O$278&gt;0,Input!$H$276="Yes",$AA804&lt;=BW$798-1,BW$798&lt;=$AB804-1),Input!$P280,0)</f>
        <v>0</v>
      </c>
      <c r="BX800" s="763">
        <f>IF(AND(Input!$O$278&gt;0,Input!$H$276="Yes",$AA804&lt;=BX$798-1,BX$798&lt;=$AB804-1),Input!$P280,0)</f>
        <v>0</v>
      </c>
      <c r="BY800" s="763">
        <f>IF(AND(Input!$O$278&gt;0,Input!$H$276="Yes",$AA804&lt;=BY$798-1,BY$798&lt;=$AB804-1),Input!$P280,0)</f>
        <v>0</v>
      </c>
      <c r="BZ800" s="763">
        <f>IF(AND(Input!$O$278&gt;0,Input!$H$276="Yes",$AA804&lt;=BZ$798-1,BZ$798&lt;=$AB804-1),Input!$P280,0)</f>
        <v>0</v>
      </c>
      <c r="CA800" s="763">
        <f>IF(AND(Input!$O$278&gt;0,Input!$H$276="Yes",$AA804&lt;=CA$798-1,CA$798&lt;=$AB804-1),Input!$P280,0)</f>
        <v>0</v>
      </c>
      <c r="CB800" s="763">
        <f>IF(AND(Input!$O$278&gt;0,Input!$H$276="Yes",$AA804&lt;=CB$798-1,CB$798&lt;=$AB804-1),Input!$P280,0)</f>
        <v>0</v>
      </c>
      <c r="CC800" s="763">
        <f>IF(AND(Input!$O$278&gt;0,Input!$H$276="Yes",$AA804&lt;=CC$798-1,CC$798&lt;=$AB804-1),Input!$P280,0)</f>
        <v>0</v>
      </c>
      <c r="CD800" s="763">
        <f>IF(AND(Input!$O$278&gt;0,Input!$H$276="Yes",$AA804&lt;=CD$798-1,CD$798&lt;=$AB804-1),Input!$P280,0)</f>
        <v>0</v>
      </c>
      <c r="CE800" s="763">
        <f>IF(AND(Input!$O$278&gt;0,Input!$H$276="Yes",$AA804&lt;=CE$798-1,CE$798&lt;=$AB804-1),Input!$P280,0)</f>
        <v>0</v>
      </c>
      <c r="CF800" s="763">
        <f>IF(AND(Input!$O$278&gt;0,Input!$H$276="Yes",$AA804&lt;=CF$798-1,CF$798&lt;=$AB804-1),Input!$P280,0)</f>
        <v>0</v>
      </c>
      <c r="CG800" s="763">
        <f>IF(AND(Input!$O$278&gt;0,Input!$H$276="Yes",$AA804&lt;=CG$798-1,CG$798&lt;=$AB804-1),Input!$P280,0)</f>
        <v>0</v>
      </c>
      <c r="CH800" s="763">
        <f>IF(AND(Input!$O$278&gt;0,Input!$H$276="Yes",$AA804&lt;=CH$798-1,CH$798&lt;=$AB804-1),Input!$P280,0)</f>
        <v>0</v>
      </c>
      <c r="CI800" s="763">
        <f>IF(AND(Input!$O$278&gt;0,Input!$H$276="Yes",$AA804&lt;=CI$798-1,CI$798&lt;=$AB804-1),Input!$P280,0)</f>
        <v>0</v>
      </c>
      <c r="CJ800" s="763">
        <f>IF(AND(Input!$O$278&gt;0,Input!$H$276="Yes",$AA804&lt;=CJ$798-1,CJ$798&lt;=$AB804-1),Input!$P280,0)</f>
        <v>0</v>
      </c>
      <c r="CK800" s="763">
        <f>IF(AND(Input!$O$278&gt;0,Input!$H$276="Yes",$AA804&lt;=CK$798-1,CK$798&lt;=$AB804-1),Input!$P280,0)</f>
        <v>0</v>
      </c>
      <c r="CL800" s="763">
        <f>IF(AND(Input!$O$278&gt;0,Input!$H$276="Yes",$AA804&lt;=CL$798-1,CL$798&lt;=$AB804-1),Input!$P280,0)</f>
        <v>0</v>
      </c>
      <c r="CM800" s="763">
        <f>IF(AND(Input!$O$278&gt;0,Input!$H$276="Yes",$AA804&lt;=CM$798-1,CM$798&lt;=$AB804-1),Input!$P280,0)</f>
        <v>0</v>
      </c>
      <c r="CN800" s="1183"/>
      <c r="CO800" s="1183"/>
      <c r="CP800" s="1183"/>
      <c r="CQ800" s="1301"/>
      <c r="CR800" s="1301"/>
      <c r="CS800" s="1301"/>
      <c r="CT800" s="1301"/>
      <c r="CU800" s="1301"/>
      <c r="CV800" s="1301"/>
      <c r="CW800" s="1301"/>
      <c r="CX800" s="1301"/>
      <c r="CY800" s="1301"/>
      <c r="CZ800" s="1301"/>
      <c r="DA800" s="1301"/>
      <c r="DB800" s="1301"/>
      <c r="DC800" s="1301"/>
      <c r="DD800" s="1301"/>
      <c r="DE800" s="1301"/>
      <c r="DF800" s="1301"/>
      <c r="DG800" s="1301"/>
      <c r="DH800" s="1301"/>
      <c r="DI800" s="1301"/>
    </row>
    <row r="801" spans="11:91" ht="12" customHeight="1" x14ac:dyDescent="0.35">
      <c r="K801" s="28"/>
      <c r="L801" s="28"/>
      <c r="M801" s="28"/>
      <c r="N801" s="28"/>
      <c r="O801" s="28"/>
      <c r="P801" s="28"/>
      <c r="Q801" s="28"/>
      <c r="R801" s="31"/>
      <c r="S801" s="36"/>
      <c r="T801" s="26"/>
      <c r="U801" s="29"/>
      <c r="V801" s="29"/>
      <c r="W801" s="377"/>
      <c r="X801" s="376"/>
      <c r="Y801" s="376"/>
      <c r="Z801" s="376"/>
      <c r="AA801" s="32" t="s">
        <v>511</v>
      </c>
      <c r="AB801" s="29"/>
      <c r="AC801" s="29"/>
      <c r="AD801" s="29"/>
      <c r="AE801" s="376" t="s">
        <v>514</v>
      </c>
      <c r="AF801" s="763">
        <f>IF(AND(Input!$O$278&gt;0,Input!$H$276="Yes",$AA805&lt;=AF$798-1,AF$798&lt;=$AB805-1),Input!$P281,0)</f>
        <v>0</v>
      </c>
      <c r="AG801" s="763">
        <f>IF(AND(Input!$O$278&gt;0,Input!$H$276="Yes",$AA805&lt;=AG$798-1,AG$798&lt;=$AB805-1),Input!$P281,0)</f>
        <v>0</v>
      </c>
      <c r="AH801" s="763">
        <f>IF(AND(Input!$O$278&gt;0,Input!$H$276="Yes",$AA805&lt;=AH$798-1,AH$798&lt;=$AB805-1),Input!$P281,0)</f>
        <v>0</v>
      </c>
      <c r="AI801" s="763">
        <f>IF(AND(Input!$O$278&gt;0,Input!$H$276="Yes",$AA805&lt;=AI$798-1,AI$798&lt;=$AB805-1),Input!$P281,0)</f>
        <v>0</v>
      </c>
      <c r="AJ801" s="763">
        <f>IF(AND(Input!$O$278&gt;0,Input!$H$276="Yes",$AA805&lt;=AJ$798-1,AJ$798&lt;=$AB805-1),Input!$P281,0)</f>
        <v>0</v>
      </c>
      <c r="AK801" s="763">
        <f>IF(AND(Input!$O$278&gt;0,Input!$H$276="Yes",$AA805&lt;=AK$798-1,AK$798&lt;=$AB805-1),Input!$P281,0)</f>
        <v>0</v>
      </c>
      <c r="AL801" s="763">
        <f>IF(AND(Input!$O$278&gt;0,Input!$H$276="Yes",$AA805&lt;=AL$798-1,AL$798&lt;=$AB805-1),Input!$P281,0)</f>
        <v>0</v>
      </c>
      <c r="AM801" s="763">
        <f>IF(AND(Input!$O$278&gt;0,Input!$H$276="Yes",$AA805&lt;=AM$798-1,AM$798&lt;=$AB805-1),Input!$P281,0)</f>
        <v>0</v>
      </c>
      <c r="AN801" s="763">
        <f>IF(AND(Input!$O$278&gt;0,Input!$H$276="Yes",$AA805&lt;=AN$798-1,AN$798&lt;=$AB805-1),Input!$P281,0)</f>
        <v>0</v>
      </c>
      <c r="AO801" s="763">
        <f>IF(AND(Input!$O$278&gt;0,Input!$H$276="Yes",$AA805&lt;=AO$798-1,AO$798&lt;=$AB805-1),Input!$P281,0)</f>
        <v>0</v>
      </c>
      <c r="AP801" s="763">
        <f>IF(AND(Input!$O$278&gt;0,Input!$H$276="Yes",$AA805&lt;=AP$798-1,AP$798&lt;=$AB805-1),Input!$P281,0)</f>
        <v>0</v>
      </c>
      <c r="AQ801" s="763">
        <f>IF(AND(Input!$O$278&gt;0,Input!$H$276="Yes",$AA805&lt;=AQ$798-1,AQ$798&lt;=$AB805-1),Input!$P281,0)</f>
        <v>0</v>
      </c>
      <c r="AR801" s="763">
        <f>IF(AND(Input!$O$278&gt;0,Input!$H$276="Yes",$AA805&lt;=AR$798-1,AR$798&lt;=$AB805-1),Input!$P281,0)</f>
        <v>0</v>
      </c>
      <c r="AS801" s="763">
        <f>IF(AND(Input!$O$278&gt;0,Input!$H$276="Yes",$AA805&lt;=AS$798-1,AS$798&lt;=$AB805-1),Input!$P281,0)</f>
        <v>0</v>
      </c>
      <c r="AT801" s="763">
        <f>IF(AND(Input!$O$278&gt;0,Input!$H$276="Yes",$AA805&lt;=AT$798-1,AT$798&lt;=$AB805-1),Input!$P281,0)</f>
        <v>0</v>
      </c>
      <c r="AU801" s="763">
        <f>IF(AND(Input!$O$278&gt;0,Input!$H$276="Yes",$AA805&lt;=AU$798-1,AU$798&lt;=$AB805-1),Input!$P281,0)</f>
        <v>0</v>
      </c>
      <c r="AV801" s="763">
        <f>IF(AND(Input!$O$278&gt;0,Input!$H$276="Yes",$AA805&lt;=AV$798-1,AV$798&lt;=$AB805-1),Input!$P281,0)</f>
        <v>0</v>
      </c>
      <c r="AW801" s="763">
        <f>IF(AND(Input!$O$278&gt;0,Input!$H$276="Yes",$AA805&lt;=AW$798-1,AW$798&lt;=$AB805-1),Input!$P281,0)</f>
        <v>0</v>
      </c>
      <c r="AX801" s="763">
        <f>IF(AND(Input!$O$278&gt;0,Input!$H$276="Yes",$AA805&lt;=AX$798-1,AX$798&lt;=$AB805-1),Input!$P281,0)</f>
        <v>0</v>
      </c>
      <c r="AY801" s="763">
        <f>IF(AND(Input!$O$278&gt;0,Input!$H$276="Yes",$AA805&lt;=AY$798-1,AY$798&lt;=$AB805-1),Input!$P281,0)</f>
        <v>0</v>
      </c>
      <c r="AZ801" s="763">
        <f>IF(AND(Input!$O$278&gt;0,Input!$H$276="Yes",$AA805&lt;=AZ$798-1,AZ$798&lt;=$AB805-1),Input!$P281,0)</f>
        <v>0</v>
      </c>
      <c r="BA801" s="763">
        <f>IF(AND(Input!$O$278&gt;0,Input!$H$276="Yes",$AA805&lt;=BA$798-1,BA$798&lt;=$AB805-1),Input!$P281,0)</f>
        <v>0</v>
      </c>
      <c r="BB801" s="763">
        <f>IF(AND(Input!$O$278&gt;0,Input!$H$276="Yes",$AA805&lt;=BB$798-1,BB$798&lt;=$AB805-1),Input!$P281,0)</f>
        <v>0</v>
      </c>
      <c r="BC801" s="763">
        <f>IF(AND(Input!$O$278&gt;0,Input!$H$276="Yes",$AA805&lt;=BC$798-1,BC$798&lt;=$AB805-1),Input!$P281,0)</f>
        <v>0</v>
      </c>
      <c r="BD801" s="763">
        <f>IF(AND(Input!$O$278&gt;0,Input!$H$276="Yes",$AA805&lt;=BD$798-1,BD$798&lt;=$AB805-1),Input!$P281,0)</f>
        <v>0</v>
      </c>
      <c r="BE801" s="763">
        <f>IF(AND(Input!$O$278&gt;0,Input!$H$276="Yes",$AA805&lt;=BE$798-1,BE$798&lt;=$AB805-1),Input!$P281,0)</f>
        <v>0</v>
      </c>
      <c r="BF801" s="763">
        <f>IF(AND(Input!$O$278&gt;0,Input!$H$276="Yes",$AA805&lt;=BF$798-1,BF$798&lt;=$AB805-1),Input!$P281,0)</f>
        <v>0</v>
      </c>
      <c r="BG801" s="763">
        <f>IF(AND(Input!$O$278&gt;0,Input!$H$276="Yes",$AA805&lt;=BG$798-1,BG$798&lt;=$AB805-1),Input!$P281,0)</f>
        <v>0</v>
      </c>
      <c r="BH801" s="763">
        <f>IF(AND(Input!$O$278&gt;0,Input!$H$276="Yes",$AA805&lt;=BH$798-1,BH$798&lt;=$AB805-1),Input!$P281,0)</f>
        <v>0</v>
      </c>
      <c r="BI801" s="763">
        <f>IF(AND(Input!$O$278&gt;0,Input!$H$276="Yes",$AA805&lt;=BI$798-1,BI$798&lt;=$AB805-1),Input!$P281,0)</f>
        <v>0</v>
      </c>
      <c r="BJ801" s="763">
        <f>IF(AND(Input!$O$278&gt;0,Input!$H$276="Yes",$AA805&lt;=BJ$798-1,BJ$798&lt;=$AB805-1),Input!$P281,0)</f>
        <v>0</v>
      </c>
      <c r="BK801" s="763">
        <f>IF(AND(Input!$O$278&gt;0,Input!$H$276="Yes",$AA805&lt;=BK$798-1,BK$798&lt;=$AB805-1),Input!$P281,0)</f>
        <v>0</v>
      </c>
      <c r="BL801" s="763">
        <f>IF(AND(Input!$O$278&gt;0,Input!$H$276="Yes",$AA805&lt;=BL$798-1,BL$798&lt;=$AB805-1),Input!$P281,0)</f>
        <v>0</v>
      </c>
      <c r="BM801" s="763">
        <f>IF(AND(Input!$O$278&gt;0,Input!$H$276="Yes",$AA805&lt;=BM$798-1,BM$798&lt;=$AB805-1),Input!$P281,0)</f>
        <v>0</v>
      </c>
      <c r="BN801" s="763">
        <f>IF(AND(Input!$O$278&gt;0,Input!$H$276="Yes",$AA805&lt;=BN$798-1,BN$798&lt;=$AB805-1),Input!$P281,0)</f>
        <v>0</v>
      </c>
      <c r="BO801" s="763">
        <f>IF(AND(Input!$O$278&gt;0,Input!$H$276="Yes",$AA805&lt;=BO$798-1,BO$798&lt;=$AB805-1),Input!$P281,0)</f>
        <v>0</v>
      </c>
      <c r="BP801" s="763">
        <f>IF(AND(Input!$O$278&gt;0,Input!$H$276="Yes",$AA805&lt;=BP$798-1,BP$798&lt;=$AB805-1),Input!$P281,0)</f>
        <v>0</v>
      </c>
      <c r="BQ801" s="763">
        <f>IF(AND(Input!$O$278&gt;0,Input!$H$276="Yes",$AA805&lt;=BQ$798-1,BQ$798&lt;=$AB805-1),Input!$P281,0)</f>
        <v>0</v>
      </c>
      <c r="BR801" s="763">
        <f>IF(AND(Input!$O$278&gt;0,Input!$H$276="Yes",$AA805&lt;=BR$798-1,BR$798&lt;=$AB805-1),Input!$P281,0)</f>
        <v>0</v>
      </c>
      <c r="BS801" s="763">
        <f>IF(AND(Input!$O$278&gt;0,Input!$H$276="Yes",$AA805&lt;=BS$798-1,BS$798&lt;=$AB805-1),Input!$P281,0)</f>
        <v>0</v>
      </c>
      <c r="BT801" s="763">
        <f>IF(AND(Input!$O$278&gt;0,Input!$H$276="Yes",$AA805&lt;=BT$798-1,BT$798&lt;=$AB805-1),Input!$P281,0)</f>
        <v>0</v>
      </c>
      <c r="BU801" s="763">
        <f>IF(AND(Input!$O$278&gt;0,Input!$H$276="Yes",$AA805&lt;=BU$798-1,BU$798&lt;=$AB805-1),Input!$P281,0)</f>
        <v>0</v>
      </c>
      <c r="BV801" s="763">
        <f>IF(AND(Input!$O$278&gt;0,Input!$H$276="Yes",$AA805&lt;=BV$798-1,BV$798&lt;=$AB805-1),Input!$P281,0)</f>
        <v>0</v>
      </c>
      <c r="BW801" s="763">
        <f>IF(AND(Input!$O$278&gt;0,Input!$H$276="Yes",$AA805&lt;=BW$798-1,BW$798&lt;=$AB805-1),Input!$P281,0)</f>
        <v>0</v>
      </c>
      <c r="BX801" s="763">
        <f>IF(AND(Input!$O$278&gt;0,Input!$H$276="Yes",$AA805&lt;=BX$798-1,BX$798&lt;=$AB805-1),Input!$P281,0)</f>
        <v>0</v>
      </c>
      <c r="BY801" s="763">
        <f>IF(AND(Input!$O$278&gt;0,Input!$H$276="Yes",$AA805&lt;=BY$798-1,BY$798&lt;=$AB805-1),Input!$P281,0)</f>
        <v>0</v>
      </c>
      <c r="BZ801" s="763">
        <f>IF(AND(Input!$O$278&gt;0,Input!$H$276="Yes",$AA805&lt;=BZ$798-1,BZ$798&lt;=$AB805-1),Input!$P281,0)</f>
        <v>0</v>
      </c>
      <c r="CA801" s="763">
        <f>IF(AND(Input!$O$278&gt;0,Input!$H$276="Yes",$AA805&lt;=CA$798-1,CA$798&lt;=$AB805-1),Input!$P281,0)</f>
        <v>0</v>
      </c>
      <c r="CB801" s="763">
        <f>IF(AND(Input!$O$278&gt;0,Input!$H$276="Yes",$AA805&lt;=CB$798-1,CB$798&lt;=$AB805-1),Input!$P281,0)</f>
        <v>0</v>
      </c>
      <c r="CC801" s="763">
        <f>IF(AND(Input!$O$278&gt;0,Input!$H$276="Yes",$AA805&lt;=CC$798-1,CC$798&lt;=$AB805-1),Input!$P281,0)</f>
        <v>0</v>
      </c>
      <c r="CD801" s="763">
        <f>IF(AND(Input!$O$278&gt;0,Input!$H$276="Yes",$AA805&lt;=CD$798-1,CD$798&lt;=$AB805-1),Input!$P281,0)</f>
        <v>0</v>
      </c>
      <c r="CE801" s="763">
        <f>IF(AND(Input!$O$278&gt;0,Input!$H$276="Yes",$AA805&lt;=CE$798-1,CE$798&lt;=$AB805-1),Input!$P281,0)</f>
        <v>0</v>
      </c>
      <c r="CF801" s="763">
        <f>IF(AND(Input!$O$278&gt;0,Input!$H$276="Yes",$AA805&lt;=CF$798-1,CF$798&lt;=$AB805-1),Input!$P281,0)</f>
        <v>0</v>
      </c>
      <c r="CG801" s="763">
        <f>IF(AND(Input!$O$278&gt;0,Input!$H$276="Yes",$AA805&lt;=CG$798-1,CG$798&lt;=$AB805-1),Input!$P281,0)</f>
        <v>0</v>
      </c>
      <c r="CH801" s="763">
        <f>IF(AND(Input!$O$278&gt;0,Input!$H$276="Yes",$AA805&lt;=CH$798-1,CH$798&lt;=$AB805-1),Input!$P281,0)</f>
        <v>0</v>
      </c>
      <c r="CI801" s="763">
        <f>IF(AND(Input!$O$278&gt;0,Input!$H$276="Yes",$AA805&lt;=CI$798-1,CI$798&lt;=$AB805-1),Input!$P281,0)</f>
        <v>0</v>
      </c>
      <c r="CJ801" s="763">
        <f>IF(AND(Input!$O$278&gt;0,Input!$H$276="Yes",$AA805&lt;=CJ$798-1,CJ$798&lt;=$AB805-1),Input!$P281,0)</f>
        <v>0</v>
      </c>
      <c r="CK801" s="763">
        <f>IF(AND(Input!$O$278&gt;0,Input!$H$276="Yes",$AA805&lt;=CK$798-1,CK$798&lt;=$AB805-1),Input!$P281,0)</f>
        <v>0</v>
      </c>
      <c r="CL801" s="763">
        <f>IF(AND(Input!$O$278&gt;0,Input!$H$276="Yes",$AA805&lt;=CL$798-1,CL$798&lt;=$AB805-1),Input!$P281,0)</f>
        <v>0</v>
      </c>
      <c r="CM801" s="763">
        <f>IF(AND(Input!$O$278&gt;0,Input!$H$276="Yes",$AA805&lt;=CM$798-1,CM$798&lt;=$AB805-1),Input!$P281,0)</f>
        <v>0</v>
      </c>
    </row>
    <row r="802" spans="11:91" ht="12" customHeight="1" x14ac:dyDescent="0.35">
      <c r="K802" s="28"/>
      <c r="L802" s="28"/>
      <c r="M802" s="28"/>
      <c r="N802" s="28"/>
      <c r="O802" s="28"/>
      <c r="P802" s="28"/>
      <c r="Q802" s="28"/>
      <c r="R802" s="31"/>
      <c r="S802" s="36"/>
      <c r="T802" s="26"/>
      <c r="U802" s="29"/>
      <c r="V802" s="29"/>
      <c r="W802" s="377"/>
      <c r="X802" s="376"/>
      <c r="Y802" s="387" t="s">
        <v>165</v>
      </c>
      <c r="Z802" s="387" t="s">
        <v>161</v>
      </c>
      <c r="AA802" s="387" t="s">
        <v>137</v>
      </c>
      <c r="AB802" s="387" t="s">
        <v>138</v>
      </c>
      <c r="AC802" s="387" t="s">
        <v>70</v>
      </c>
      <c r="AD802" s="32" t="s">
        <v>515</v>
      </c>
      <c r="AE802" s="63">
        <f>SUMIF(Y803:Y805,"&lt;="&amp;$AF$791,Z803:Z805)</f>
        <v>0</v>
      </c>
      <c r="AF802" s="1145">
        <f>IF(Input!$H$276="Yes",SUM(AF799:AF801),0)</f>
        <v>0</v>
      </c>
      <c r="AG802" s="1145">
        <f>IF(Input!$H$276="Yes",SUM(AG799:AG801),0)</f>
        <v>0</v>
      </c>
      <c r="AH802" s="1145">
        <f>IF(Input!$H$276="Yes",SUM(AH799:AH801),0)</f>
        <v>0</v>
      </c>
      <c r="AI802" s="1145">
        <f>IF(Input!$H$276="Yes",SUM(AI799:AI801),0)</f>
        <v>0</v>
      </c>
      <c r="AJ802" s="1145">
        <f>IF(Input!$H$276="Yes",SUM(AJ799:AJ801),0)</f>
        <v>0</v>
      </c>
      <c r="AK802" s="1145">
        <f>IF(Input!$H$276="Yes",SUM(AK799:AK801),0)</f>
        <v>0</v>
      </c>
      <c r="AL802" s="1145">
        <f>IF(Input!$H$276="Yes",SUM(AL799:AL801),0)</f>
        <v>0</v>
      </c>
      <c r="AM802" s="1145">
        <f>IF(Input!$H$276="Yes",SUM(AM799:AM801),0)</f>
        <v>0</v>
      </c>
      <c r="AN802" s="1145">
        <f>IF(Input!$H$276="Yes",SUM(AN799:AN801),0)</f>
        <v>0</v>
      </c>
      <c r="AO802" s="1145">
        <f>IF(Input!$H$276="Yes",SUM(AO799:AO801),0)</f>
        <v>0</v>
      </c>
      <c r="AP802" s="1145">
        <f>IF(Input!$H$276="Yes",SUM(AP799:AP801),0)</f>
        <v>0</v>
      </c>
      <c r="AQ802" s="1145">
        <f>IF(Input!$H$276="Yes",SUM(AQ799:AQ801),0)</f>
        <v>0</v>
      </c>
      <c r="AR802" s="1145">
        <f>IF(Input!$H$276="Yes",SUM(AR799:AR801),0)</f>
        <v>0</v>
      </c>
      <c r="AS802" s="1145">
        <f>IF(Input!$H$276="Yes",SUM(AS799:AS801),0)</f>
        <v>0</v>
      </c>
      <c r="AT802" s="1145">
        <f>IF(Input!$H$276="Yes",SUM(AT799:AT801),0)</f>
        <v>0</v>
      </c>
      <c r="AU802" s="1145">
        <f>IF(Input!$H$276="Yes",SUM(AU799:AU801),0)</f>
        <v>0</v>
      </c>
      <c r="AV802" s="1145">
        <f>IF(Input!$H$276="Yes",SUM(AV799:AV801),0)</f>
        <v>0</v>
      </c>
      <c r="AW802" s="1145">
        <f>IF(Input!$H$276="Yes",SUM(AW799:AW801),0)</f>
        <v>0</v>
      </c>
      <c r="AX802" s="1145">
        <f>IF(Input!$H$276="Yes",SUM(AX799:AX801),0)</f>
        <v>0</v>
      </c>
      <c r="AY802" s="1145">
        <f>IF(Input!$H$276="Yes",SUM(AY799:AY801),0)</f>
        <v>0</v>
      </c>
      <c r="AZ802" s="1145">
        <f>IF(Input!$H$276="Yes",SUM(AZ799:AZ801),0)</f>
        <v>0</v>
      </c>
      <c r="BA802" s="1145">
        <f>IF(Input!$H$276="Yes",SUM(BA799:BA801),0)</f>
        <v>0</v>
      </c>
      <c r="BB802" s="1145">
        <f>IF(Input!$H$276="Yes",SUM(BB799:BB801),0)</f>
        <v>0</v>
      </c>
      <c r="BC802" s="1145">
        <f>IF(Input!$H$276="Yes",SUM(BC799:BC801),0)</f>
        <v>0</v>
      </c>
      <c r="BD802" s="1145">
        <f>IF(Input!$H$276="Yes",SUM(BD799:BD801),0)</f>
        <v>0</v>
      </c>
      <c r="BE802" s="1145">
        <f>IF(Input!$H$276="Yes",SUM(BE799:BE801),0)</f>
        <v>0</v>
      </c>
      <c r="BF802" s="1145">
        <f>IF(Input!$H$276="Yes",SUM(BF799:BF801),0)</f>
        <v>0</v>
      </c>
      <c r="BG802" s="1145">
        <f>IF(Input!$H$276="Yes",SUM(BG799:BG801),0)</f>
        <v>0</v>
      </c>
      <c r="BH802" s="1145">
        <f>IF(Input!$H$276="Yes",SUM(BH799:BH801),0)</f>
        <v>0</v>
      </c>
      <c r="BI802" s="1145">
        <f>IF(Input!$H$276="Yes",SUM(BI799:BI801),0)</f>
        <v>0</v>
      </c>
      <c r="BJ802" s="1145">
        <f>IF(Input!$H$276="Yes",SUM(BJ799:BJ801),0)</f>
        <v>0</v>
      </c>
      <c r="BK802" s="1145">
        <f>IF(Input!$H$276="Yes",SUM(BK799:BK801),0)</f>
        <v>0</v>
      </c>
      <c r="BL802" s="1145">
        <f>IF(Input!$H$276="Yes",SUM(BL799:BL801),0)</f>
        <v>0</v>
      </c>
      <c r="BM802" s="1145">
        <f>IF(Input!$H$276="Yes",SUM(BM799:BM801),0)</f>
        <v>0</v>
      </c>
      <c r="BN802" s="1145">
        <f>IF(Input!$H$276="Yes",SUM(BN799:BN801),0)</f>
        <v>0</v>
      </c>
      <c r="BO802" s="1145">
        <f>IF(Input!$H$276="Yes",SUM(BO799:BO801),0)</f>
        <v>0</v>
      </c>
      <c r="BP802" s="1145">
        <f>IF(Input!$H$276="Yes",SUM(BP799:BP801),0)</f>
        <v>0</v>
      </c>
      <c r="BQ802" s="1145">
        <f>IF(Input!$H$276="Yes",SUM(BQ799:BQ801),0)</f>
        <v>0</v>
      </c>
      <c r="BR802" s="1145">
        <f>IF(Input!$H$276="Yes",SUM(BR799:BR801),0)</f>
        <v>0</v>
      </c>
      <c r="BS802" s="1145">
        <f>IF(Input!$H$276="Yes",SUM(BS799:BS801),0)</f>
        <v>0</v>
      </c>
      <c r="BT802" s="1145">
        <f>IF(Input!$H$276="Yes",SUM(BT799:BT801),0)</f>
        <v>0</v>
      </c>
      <c r="BU802" s="1145">
        <f>IF(Input!$H$276="Yes",SUM(BU799:BU801),0)</f>
        <v>0</v>
      </c>
      <c r="BV802" s="1145">
        <f>IF(Input!$H$276="Yes",SUM(BV799:BV801),0)</f>
        <v>0</v>
      </c>
      <c r="BW802" s="1145">
        <f>IF(Input!$H$276="Yes",SUM(BW799:BW801),0)</f>
        <v>0</v>
      </c>
      <c r="BX802" s="1145">
        <f>IF(Input!$H$276="Yes",SUM(BX799:BX801),0)</f>
        <v>0</v>
      </c>
      <c r="BY802" s="1145">
        <f>IF(Input!$H$276="Yes",SUM(BY799:BY801),0)</f>
        <v>0</v>
      </c>
      <c r="BZ802" s="1145">
        <f>IF(Input!$H$276="Yes",SUM(BZ799:BZ801),0)</f>
        <v>0</v>
      </c>
      <c r="CA802" s="1145">
        <f>IF(Input!$H$276="Yes",SUM(CA799:CA801),0)</f>
        <v>0</v>
      </c>
      <c r="CB802" s="1145">
        <f>IF(Input!$H$276="Yes",SUM(CB799:CB801),0)</f>
        <v>0</v>
      </c>
      <c r="CC802" s="1145">
        <f>IF(Input!$H$276="Yes",SUM(CC799:CC801),0)</f>
        <v>0</v>
      </c>
      <c r="CD802" s="1145">
        <f>IF(Input!$H$276="Yes",SUM(CD799:CD801),0)</f>
        <v>0</v>
      </c>
      <c r="CE802" s="1145">
        <f>IF(Input!$H$276="Yes",SUM(CE799:CE801),0)</f>
        <v>0</v>
      </c>
      <c r="CF802" s="1145">
        <f>IF(Input!$H$276="Yes",SUM(CF799:CF801),0)</f>
        <v>0</v>
      </c>
      <c r="CG802" s="1145">
        <f>IF(Input!$H$276="Yes",SUM(CG799:CG801),0)</f>
        <v>0</v>
      </c>
      <c r="CH802" s="1145">
        <f>IF(Input!$H$276="Yes",SUM(CH799:CH801),0)</f>
        <v>0</v>
      </c>
      <c r="CI802" s="1145">
        <f>IF(Input!$H$276="Yes",SUM(CI799:CI801),0)</f>
        <v>0</v>
      </c>
      <c r="CJ802" s="1145">
        <f>IF(Input!$H$276="Yes",SUM(CJ799:CJ801),0)</f>
        <v>0</v>
      </c>
      <c r="CK802" s="1145">
        <f>IF(Input!$H$276="Yes",SUM(CK799:CK801),0)</f>
        <v>0</v>
      </c>
      <c r="CL802" s="1145">
        <f>IF(Input!$H$276="Yes",SUM(CL799:CL801),0)</f>
        <v>0</v>
      </c>
      <c r="CM802" s="1145">
        <f>IF(Input!$H$276="Yes",SUM(CM799:CM801),0)</f>
        <v>0</v>
      </c>
    </row>
    <row r="803" spans="11:91" ht="12" customHeight="1" x14ac:dyDescent="0.35">
      <c r="K803" s="28"/>
      <c r="L803" s="28"/>
      <c r="M803" s="28"/>
      <c r="N803" s="28"/>
      <c r="O803" s="28"/>
      <c r="P803" s="28"/>
      <c r="Q803" s="28"/>
      <c r="R803" s="31"/>
      <c r="S803" s="36"/>
      <c r="T803" s="26"/>
      <c r="U803" s="29"/>
      <c r="V803" s="29"/>
      <c r="W803" s="377"/>
      <c r="X803" s="376" t="s">
        <v>512</v>
      </c>
      <c r="Y803" s="1152">
        <f>Input!Q279</f>
        <v>0</v>
      </c>
      <c r="Z803" s="484">
        <f>Input!P279</f>
        <v>0</v>
      </c>
      <c r="AA803" s="1147">
        <f>Input!Q279</f>
        <v>0</v>
      </c>
      <c r="AB803" s="1147">
        <f>Input!R279</f>
        <v>0</v>
      </c>
      <c r="AC803" s="484">
        <f>IF(OR(AA803=0,AB803=0),0,IF(AND(AA803&lt;AC$794,AB803&gt;AC$794),Z803,0))</f>
        <v>0</v>
      </c>
      <c r="AD803" s="29"/>
      <c r="AE803" s="376"/>
      <c r="AF803" s="380"/>
      <c r="AG803" s="380"/>
      <c r="AH803" s="380"/>
      <c r="AI803" s="380"/>
      <c r="AJ803" s="380"/>
      <c r="AK803" s="380"/>
      <c r="AL803" s="380"/>
      <c r="AM803" s="380"/>
      <c r="AN803" s="380"/>
      <c r="AO803" s="380"/>
      <c r="AP803" s="380"/>
      <c r="AQ803" s="380"/>
      <c r="AR803" s="380"/>
      <c r="AS803" s="380"/>
      <c r="AT803" s="380"/>
      <c r="AU803" s="380"/>
      <c r="AV803" s="380"/>
      <c r="AW803" s="380"/>
      <c r="AX803" s="380"/>
      <c r="AY803" s="380"/>
      <c r="AZ803" s="380"/>
      <c r="BA803" s="380"/>
      <c r="BB803" s="380"/>
      <c r="BC803" s="380"/>
      <c r="BD803" s="380"/>
      <c r="BE803" s="380"/>
      <c r="BF803" s="380"/>
      <c r="BG803" s="380"/>
      <c r="BH803" s="380"/>
      <c r="BI803" s="380"/>
      <c r="BJ803" s="380"/>
      <c r="BK803" s="380"/>
      <c r="BL803" s="380"/>
      <c r="BM803" s="380"/>
      <c r="BN803" s="380"/>
      <c r="BO803" s="380"/>
      <c r="BP803" s="380"/>
      <c r="BQ803" s="380"/>
      <c r="BR803" s="380"/>
      <c r="BS803" s="380"/>
      <c r="BT803" s="380"/>
      <c r="BU803" s="380"/>
      <c r="BV803" s="380"/>
      <c r="BW803" s="380"/>
      <c r="BX803" s="380"/>
      <c r="BY803" s="380"/>
      <c r="BZ803" s="380"/>
      <c r="CA803" s="380"/>
      <c r="CB803" s="380"/>
      <c r="CC803" s="380"/>
      <c r="CD803" s="380"/>
      <c r="CE803" s="380"/>
      <c r="CF803" s="380"/>
      <c r="CG803" s="380"/>
      <c r="CH803" s="380"/>
      <c r="CI803" s="380"/>
      <c r="CJ803" s="380"/>
      <c r="CK803" s="380"/>
      <c r="CL803" s="380"/>
      <c r="CM803" s="380"/>
    </row>
    <row r="804" spans="11:91" ht="12" customHeight="1" x14ac:dyDescent="0.35">
      <c r="K804" s="28"/>
      <c r="L804" s="28"/>
      <c r="M804" s="28"/>
      <c r="N804" s="28"/>
      <c r="O804" s="28"/>
      <c r="P804" s="28"/>
      <c r="Q804" s="28"/>
      <c r="R804" s="31"/>
      <c r="S804" s="36"/>
      <c r="T804" s="26"/>
      <c r="U804" s="29"/>
      <c r="V804" s="29"/>
      <c r="W804" s="377"/>
      <c r="X804" s="376" t="s">
        <v>513</v>
      </c>
      <c r="Y804" s="1152">
        <f>Input!Q280</f>
        <v>0</v>
      </c>
      <c r="Z804" s="484">
        <f>Input!P280</f>
        <v>0</v>
      </c>
      <c r="AA804" s="1147">
        <f>Input!Q280</f>
        <v>0</v>
      </c>
      <c r="AB804" s="1147">
        <f>Input!R280</f>
        <v>0</v>
      </c>
      <c r="AC804" s="484">
        <f>IF(OR(AA804=0,AB804=0),0,IF(AND(AA804&lt;AC$794,AB804&gt;AC$794),Z804,0))</f>
        <v>0</v>
      </c>
      <c r="AD804" s="29"/>
      <c r="AE804" s="376" t="s">
        <v>516</v>
      </c>
      <c r="AF804" s="1142">
        <f>AF798</f>
        <v>0</v>
      </c>
      <c r="AG804" s="1142">
        <f t="shared" ref="AG804:CM804" si="584">AG798</f>
        <v>59</v>
      </c>
      <c r="AH804" s="1142">
        <f t="shared" si="584"/>
        <v>91</v>
      </c>
      <c r="AI804" s="1142">
        <f t="shared" si="584"/>
        <v>121</v>
      </c>
      <c r="AJ804" s="1142">
        <f t="shared" si="584"/>
        <v>152</v>
      </c>
      <c r="AK804" s="1142">
        <f t="shared" si="584"/>
        <v>182</v>
      </c>
      <c r="AL804" s="1142">
        <f t="shared" si="584"/>
        <v>213</v>
      </c>
      <c r="AM804" s="1142">
        <f t="shared" si="584"/>
        <v>244</v>
      </c>
      <c r="AN804" s="1142">
        <f t="shared" si="584"/>
        <v>274</v>
      </c>
      <c r="AO804" s="1142">
        <f t="shared" si="584"/>
        <v>305</v>
      </c>
      <c r="AP804" s="1142">
        <f t="shared" si="584"/>
        <v>335</v>
      </c>
      <c r="AQ804" s="1142">
        <f t="shared" si="584"/>
        <v>366</v>
      </c>
      <c r="AR804" s="1142">
        <f t="shared" si="584"/>
        <v>397</v>
      </c>
      <c r="AS804" s="1142">
        <f t="shared" si="584"/>
        <v>425</v>
      </c>
      <c r="AT804" s="1142">
        <f t="shared" si="584"/>
        <v>456</v>
      </c>
      <c r="AU804" s="1142">
        <f t="shared" si="584"/>
        <v>486</v>
      </c>
      <c r="AV804" s="1142">
        <f t="shared" si="584"/>
        <v>517</v>
      </c>
      <c r="AW804" s="1142">
        <f t="shared" si="584"/>
        <v>547</v>
      </c>
      <c r="AX804" s="1142">
        <f t="shared" si="584"/>
        <v>578</v>
      </c>
      <c r="AY804" s="1142">
        <f t="shared" si="584"/>
        <v>609</v>
      </c>
      <c r="AZ804" s="1142">
        <f t="shared" si="584"/>
        <v>639</v>
      </c>
      <c r="BA804" s="1142">
        <f t="shared" si="584"/>
        <v>670</v>
      </c>
      <c r="BB804" s="1142">
        <f t="shared" si="584"/>
        <v>700</v>
      </c>
      <c r="BC804" s="1142">
        <f t="shared" si="584"/>
        <v>731</v>
      </c>
      <c r="BD804" s="1142">
        <f t="shared" si="584"/>
        <v>762</v>
      </c>
      <c r="BE804" s="1142">
        <f t="shared" si="584"/>
        <v>790</v>
      </c>
      <c r="BF804" s="1142">
        <f t="shared" si="584"/>
        <v>821</v>
      </c>
      <c r="BG804" s="1142">
        <f t="shared" si="584"/>
        <v>851</v>
      </c>
      <c r="BH804" s="1142">
        <f t="shared" si="584"/>
        <v>882</v>
      </c>
      <c r="BI804" s="1142">
        <f t="shared" si="584"/>
        <v>912</v>
      </c>
      <c r="BJ804" s="1142">
        <f t="shared" si="584"/>
        <v>943</v>
      </c>
      <c r="BK804" s="1142">
        <f t="shared" si="584"/>
        <v>974</v>
      </c>
      <c r="BL804" s="1142">
        <f t="shared" si="584"/>
        <v>1004</v>
      </c>
      <c r="BM804" s="1142">
        <f t="shared" si="584"/>
        <v>1035</v>
      </c>
      <c r="BN804" s="1142">
        <f t="shared" si="584"/>
        <v>1065</v>
      </c>
      <c r="BO804" s="1142">
        <f t="shared" si="584"/>
        <v>1096</v>
      </c>
      <c r="BP804" s="1142">
        <f t="shared" si="584"/>
        <v>1127</v>
      </c>
      <c r="BQ804" s="1142">
        <f t="shared" si="584"/>
        <v>1155</v>
      </c>
      <c r="BR804" s="1142">
        <f t="shared" si="584"/>
        <v>1186</v>
      </c>
      <c r="BS804" s="1142">
        <f t="shared" si="584"/>
        <v>1216</v>
      </c>
      <c r="BT804" s="1142">
        <f t="shared" si="584"/>
        <v>1247</v>
      </c>
      <c r="BU804" s="1142">
        <f t="shared" si="584"/>
        <v>1277</v>
      </c>
      <c r="BV804" s="1142">
        <f t="shared" si="584"/>
        <v>1308</v>
      </c>
      <c r="BW804" s="1142">
        <f t="shared" si="584"/>
        <v>1339</v>
      </c>
      <c r="BX804" s="1142">
        <f t="shared" si="584"/>
        <v>1369</v>
      </c>
      <c r="BY804" s="1142">
        <f t="shared" si="584"/>
        <v>1400</v>
      </c>
      <c r="BZ804" s="1142">
        <f t="shared" si="584"/>
        <v>1430</v>
      </c>
      <c r="CA804" s="1142">
        <f t="shared" si="584"/>
        <v>1461</v>
      </c>
      <c r="CB804" s="1142">
        <f t="shared" si="584"/>
        <v>1492</v>
      </c>
      <c r="CC804" s="1142">
        <f t="shared" si="584"/>
        <v>1521</v>
      </c>
      <c r="CD804" s="1142">
        <f t="shared" si="584"/>
        <v>1552</v>
      </c>
      <c r="CE804" s="1142">
        <f t="shared" si="584"/>
        <v>1582</v>
      </c>
      <c r="CF804" s="1142">
        <f t="shared" si="584"/>
        <v>1613</v>
      </c>
      <c r="CG804" s="1142">
        <f t="shared" si="584"/>
        <v>1643</v>
      </c>
      <c r="CH804" s="1142">
        <f t="shared" si="584"/>
        <v>1674</v>
      </c>
      <c r="CI804" s="1142">
        <f t="shared" si="584"/>
        <v>1705</v>
      </c>
      <c r="CJ804" s="1142">
        <f t="shared" si="584"/>
        <v>1735</v>
      </c>
      <c r="CK804" s="1142">
        <f t="shared" si="584"/>
        <v>1766</v>
      </c>
      <c r="CL804" s="1142">
        <f t="shared" si="584"/>
        <v>1796</v>
      </c>
      <c r="CM804" s="1142">
        <f t="shared" si="584"/>
        <v>1827</v>
      </c>
    </row>
    <row r="805" spans="11:91" ht="12" customHeight="1" x14ac:dyDescent="0.35">
      <c r="K805" s="28"/>
      <c r="L805" s="28"/>
      <c r="M805" s="28"/>
      <c r="N805" s="28"/>
      <c r="O805" s="28"/>
      <c r="P805" s="28"/>
      <c r="Q805" s="28"/>
      <c r="R805" s="31"/>
      <c r="S805" s="36"/>
      <c r="T805" s="26"/>
      <c r="U805" s="29"/>
      <c r="V805" s="29"/>
      <c r="W805" s="377"/>
      <c r="X805" s="376" t="s">
        <v>514</v>
      </c>
      <c r="Y805" s="1152">
        <f>Input!Q281</f>
        <v>0</v>
      </c>
      <c r="Z805" s="484">
        <f>Input!P281</f>
        <v>0</v>
      </c>
      <c r="AA805" s="1147">
        <f>Input!Q281</f>
        <v>0</v>
      </c>
      <c r="AB805" s="1147">
        <f>Input!R281</f>
        <v>0</v>
      </c>
      <c r="AC805" s="484">
        <f>IF(OR(AA805=0,AB805=0),0,IF(AND(AA805&lt;AC$794,AB805&gt;AC$794),Z805,0))</f>
        <v>0</v>
      </c>
      <c r="AD805" s="29"/>
      <c r="AE805" s="376" t="s">
        <v>517</v>
      </c>
      <c r="AF805" s="763">
        <f>IF($AB797&gt;AF$804,$AD778+SUM($AF778:AF778),0)</f>
        <v>0</v>
      </c>
      <c r="AG805" s="763">
        <f>IF($AB797&gt;AG$804,$AD778+SUM($AF778:AG778),0)</f>
        <v>0</v>
      </c>
      <c r="AH805" s="763">
        <f>IF($AB797&gt;AH$804,$AD778+SUM($AF778:AH778),0)</f>
        <v>0</v>
      </c>
      <c r="AI805" s="763">
        <f>IF($AB797&gt;AI$804,$AD778+SUM($AF778:AI778),0)</f>
        <v>0</v>
      </c>
      <c r="AJ805" s="763">
        <f>IF($AB797&gt;AJ$804,$AD778+SUM($AF778:AJ778),0)</f>
        <v>0</v>
      </c>
      <c r="AK805" s="763">
        <f>IF($AB797&gt;AK$804,$AD778+SUM($AF778:AK778),0)</f>
        <v>0</v>
      </c>
      <c r="AL805" s="763">
        <f>IF($AB797&gt;AL$804,$AD778+SUM($AF778:AL778),0)</f>
        <v>0</v>
      </c>
      <c r="AM805" s="763">
        <f>IF($AB797&gt;AM$804,$AD778+SUM($AF778:AM778),0)</f>
        <v>0</v>
      </c>
      <c r="AN805" s="763">
        <f>IF($AB797&gt;AN$804,$AD778+SUM($AF778:AN778),0)</f>
        <v>0</v>
      </c>
      <c r="AO805" s="763">
        <f>IF($AB797&gt;AO$804,$AD778+SUM($AF778:AO778),0)</f>
        <v>0</v>
      </c>
      <c r="AP805" s="763">
        <f>IF($AB797&gt;AP$804,$AD778+SUM($AF778:AP778),0)</f>
        <v>0</v>
      </c>
      <c r="AQ805" s="763">
        <f>IF($AB797&gt;AQ$804,$AD778+SUM($AF778:AQ778),0)</f>
        <v>0</v>
      </c>
      <c r="AR805" s="763">
        <f>IF($AB797&gt;AR$804,$AD778+SUM($AF778:AR778),0)</f>
        <v>0</v>
      </c>
      <c r="AS805" s="763">
        <f>IF($AB797&gt;AS$804,$AD778+SUM($AF778:AS778),0)</f>
        <v>0</v>
      </c>
      <c r="AT805" s="763">
        <f>IF($AB797&gt;AT$804,$AD778+SUM($AF778:AT778),0)</f>
        <v>0</v>
      </c>
      <c r="AU805" s="763">
        <f>IF($AB797&gt;AU$804,$AD778+SUM($AF778:AU778),0)</f>
        <v>0</v>
      </c>
      <c r="AV805" s="763">
        <f>IF($AB797&gt;AV$804,$AD778+SUM($AF778:AV778),0)</f>
        <v>0</v>
      </c>
      <c r="AW805" s="763">
        <f>IF($AB797&gt;AW$804,$AD778+SUM($AF778:AW778),0)</f>
        <v>0</v>
      </c>
      <c r="AX805" s="763">
        <f>IF($AB797&gt;AX$804,$AD778+SUM($AF778:AX778),0)</f>
        <v>0</v>
      </c>
      <c r="AY805" s="763">
        <f>IF($AB797&gt;AY$804,$AD778+SUM($AF778:AY778),0)</f>
        <v>0</v>
      </c>
      <c r="AZ805" s="763">
        <f>IF($AB797&gt;AZ$804,$AD778+SUM($AF778:AZ778),0)</f>
        <v>0</v>
      </c>
      <c r="BA805" s="763">
        <f>IF($AB797&gt;BA$804,$AD778+SUM($AF778:BA778),0)</f>
        <v>0</v>
      </c>
      <c r="BB805" s="763">
        <f>IF($AB797&gt;BB$804,$AD778+SUM($AF778:BB778),0)</f>
        <v>0</v>
      </c>
      <c r="BC805" s="763">
        <f>IF($AB797&gt;BC$804,$AD778+SUM($AF778:BC778),0)</f>
        <v>0</v>
      </c>
      <c r="BD805" s="763">
        <f>IF($AB797&gt;BD$804,$AD778+SUM($AF778:BD778),0)</f>
        <v>0</v>
      </c>
      <c r="BE805" s="763">
        <f>IF($AB797&gt;BE$804,$AD778+SUM($AF778:BE778),0)</f>
        <v>0</v>
      </c>
      <c r="BF805" s="763">
        <f>IF($AB797&gt;BF$804,$AD778+SUM($AF778:BF778),0)</f>
        <v>0</v>
      </c>
      <c r="BG805" s="763">
        <f>IF($AB797&gt;BG$804,$AD778+SUM($AF778:BG778),0)</f>
        <v>0</v>
      </c>
      <c r="BH805" s="763">
        <f>IF($AB797&gt;BH$804,$AD778+SUM($AF778:BH778),0)</f>
        <v>0</v>
      </c>
      <c r="BI805" s="763">
        <f>IF($AB797&gt;BI$804,$AD778+SUM($AF778:BI778),0)</f>
        <v>0</v>
      </c>
      <c r="BJ805" s="763">
        <f>IF($AB797&gt;BJ$804,$AD778+SUM($AF778:BJ778),0)</f>
        <v>0</v>
      </c>
      <c r="BK805" s="763">
        <f>IF($AB797&gt;BK$804,$AD778+SUM($AF778:BK778),0)</f>
        <v>0</v>
      </c>
      <c r="BL805" s="763">
        <f>IF($AB797&gt;BL$804,$AD778+SUM($AF778:BL778),0)</f>
        <v>0</v>
      </c>
      <c r="BM805" s="763">
        <f>IF($AB797&gt;BM$804,$AD778+SUM($AF778:BM778),0)</f>
        <v>0</v>
      </c>
      <c r="BN805" s="763">
        <f>IF($AB797&gt;BN$804,$AD778+SUM($AF778:BN778),0)</f>
        <v>0</v>
      </c>
      <c r="BO805" s="763">
        <f>IF($AB797&gt;BO$804,$AD778+SUM($AF778:BO778),0)</f>
        <v>0</v>
      </c>
      <c r="BP805" s="763">
        <f>IF($AB797&gt;BP$804,$AD778+SUM($AF778:BP778),0)</f>
        <v>0</v>
      </c>
      <c r="BQ805" s="763">
        <f>IF($AB797&gt;BQ$804,$AD778+SUM($AF778:BQ778),0)</f>
        <v>0</v>
      </c>
      <c r="BR805" s="763">
        <f>IF($AB797&gt;BR$804,$AD778+SUM($AF778:BR778),0)</f>
        <v>0</v>
      </c>
      <c r="BS805" s="763">
        <f>IF($AB797&gt;BS$804,$AD778+SUM($AF778:BS778),0)</f>
        <v>0</v>
      </c>
      <c r="BT805" s="763">
        <f>IF($AB797&gt;BT$804,$AD778+SUM($AF778:BT778),0)</f>
        <v>0</v>
      </c>
      <c r="BU805" s="763">
        <f>IF($AB797&gt;BU$804,$AD778+SUM($AF778:BU778),0)</f>
        <v>0</v>
      </c>
      <c r="BV805" s="763">
        <f>IF($AB797&gt;BV$804,$AD778+SUM($AF778:BV778),0)</f>
        <v>0</v>
      </c>
      <c r="BW805" s="763">
        <f>IF($AB797&gt;BW$804,$AD778+SUM($AF778:BW778),0)</f>
        <v>0</v>
      </c>
      <c r="BX805" s="763">
        <f>IF($AB797&gt;BX$804,$AD778+SUM($AF778:BX778),0)</f>
        <v>0</v>
      </c>
      <c r="BY805" s="763">
        <f>IF($AB797&gt;BY$804,$AD778+SUM($AF778:BY778),0)</f>
        <v>0</v>
      </c>
      <c r="BZ805" s="763">
        <f>IF($AB797&gt;BZ$804,$AD778+SUM($AF778:BZ778),0)</f>
        <v>0</v>
      </c>
      <c r="CA805" s="763">
        <f>IF($AB797&gt;CA$804,$AD778+SUM($AF778:CA778),0)</f>
        <v>0</v>
      </c>
      <c r="CB805" s="763">
        <f>IF($AB797&gt;CB$804,$AD778+SUM($AF778:CB778),0)</f>
        <v>0</v>
      </c>
      <c r="CC805" s="763">
        <f>IF($AB797&gt;CC$804,$AD778+SUM($AF778:CC778),0)</f>
        <v>0</v>
      </c>
      <c r="CD805" s="763">
        <f>IF($AB797&gt;CD$804,$AD778+SUM($AF778:CD778),0)</f>
        <v>0</v>
      </c>
      <c r="CE805" s="763">
        <f>IF($AB797&gt;CE$804,$AD778+SUM($AF778:CE778),0)</f>
        <v>0</v>
      </c>
      <c r="CF805" s="763">
        <f>IF($AB797&gt;CF$804,$AD778+SUM($AF778:CF778),0)</f>
        <v>0</v>
      </c>
      <c r="CG805" s="763">
        <f>IF($AB797&gt;CG$804,$AD778+SUM($AF778:CG778),0)</f>
        <v>0</v>
      </c>
      <c r="CH805" s="763">
        <f>IF($AB797&gt;CH$804,$AD778+SUM($AF778:CH778),0)</f>
        <v>0</v>
      </c>
      <c r="CI805" s="763">
        <f>IF($AB797&gt;CI$804,$AD778+SUM($AF778:CI778),0)</f>
        <v>0</v>
      </c>
      <c r="CJ805" s="763">
        <f>IF($AB797&gt;CJ$804,$AD778+SUM($AF778:CJ778),0)</f>
        <v>0</v>
      </c>
      <c r="CK805" s="763">
        <f>IF($AB797&gt;CK$804,$AD778+SUM($AF778:CK778),0)</f>
        <v>0</v>
      </c>
      <c r="CL805" s="763">
        <f>IF($AB797&gt;CL$804,$AD778+SUM($AF778:CL778),0)</f>
        <v>0</v>
      </c>
      <c r="CM805" s="763">
        <f>IF($AB797&gt;CM$804,$AD778+SUM($AF778:CM778),0)</f>
        <v>0</v>
      </c>
    </row>
    <row r="806" spans="11:91" ht="12" customHeight="1" x14ac:dyDescent="0.35">
      <c r="K806" s="28"/>
      <c r="L806" s="28"/>
      <c r="M806" s="28"/>
      <c r="N806" s="28"/>
      <c r="O806" s="28"/>
      <c r="P806" s="28"/>
      <c r="Q806" s="28"/>
      <c r="R806" s="31"/>
      <c r="S806" s="36"/>
      <c r="T806" s="26"/>
      <c r="U806" s="29"/>
      <c r="V806" s="29"/>
      <c r="W806" s="377"/>
      <c r="X806" s="376"/>
      <c r="Y806" s="29"/>
      <c r="Z806" s="1199">
        <f>SUM(Z803:Z805)</f>
        <v>0</v>
      </c>
      <c r="AA806" s="29"/>
      <c r="AB806" s="29"/>
      <c r="AC806" s="390">
        <f>SUM(AC803:AC805)</f>
        <v>0</v>
      </c>
      <c r="AD806" s="29"/>
      <c r="AE806" s="376" t="s">
        <v>518</v>
      </c>
      <c r="AF806" s="763">
        <f>IF($AB798&gt;AF$804,$AD783+SUM($AF783:AF783),0)</f>
        <v>0</v>
      </c>
      <c r="AG806" s="763">
        <f>IF($AB798&gt;AG$804,$AD783+SUM($AF783:AG783),0)</f>
        <v>0</v>
      </c>
      <c r="AH806" s="763">
        <f>IF($AB798&gt;AH$804,$AD783+SUM($AF783:AH783),0)</f>
        <v>0</v>
      </c>
      <c r="AI806" s="763">
        <f>IF($AB798&gt;AI$804,$AD783+SUM($AF783:AI783),0)</f>
        <v>0</v>
      </c>
      <c r="AJ806" s="763">
        <f>IF($AB798&gt;AJ$804,$AD783+SUM($AF783:AJ783),0)</f>
        <v>0</v>
      </c>
      <c r="AK806" s="763">
        <f>IF($AB798&gt;AK$804,$AD783+SUM($AF783:AK783),0)</f>
        <v>0</v>
      </c>
      <c r="AL806" s="763">
        <f>IF($AB798&gt;AL$804,$AD783+SUM($AF783:AL783),0)</f>
        <v>0</v>
      </c>
      <c r="AM806" s="763">
        <f>IF($AB798&gt;AM$804,$AD783+SUM($AF783:AM783),0)</f>
        <v>0</v>
      </c>
      <c r="AN806" s="763">
        <f>IF($AB798&gt;AN$804,$AD783+SUM($AF783:AN783),0)</f>
        <v>0</v>
      </c>
      <c r="AO806" s="763">
        <f>IF($AB798&gt;AO$804,$AD783+SUM($AF783:AO783),0)</f>
        <v>0</v>
      </c>
      <c r="AP806" s="763">
        <f>IF($AB798&gt;AP$804,$AD783+SUM($AF783:AP783),0)</f>
        <v>0</v>
      </c>
      <c r="AQ806" s="763">
        <f>IF($AB798&gt;AQ$804,$AD783+SUM($AF783:AQ783),0)</f>
        <v>0</v>
      </c>
      <c r="AR806" s="763">
        <f>IF($AB798&gt;AR$804,$AD783+SUM($AF783:AR783),0)</f>
        <v>0</v>
      </c>
      <c r="AS806" s="763">
        <f>IF($AB798&gt;AS$804,$AD783+SUM($AF783:AS783),0)</f>
        <v>0</v>
      </c>
      <c r="AT806" s="763">
        <f>IF($AB798&gt;AT$804,$AD783+SUM($AF783:AT783),0)</f>
        <v>0</v>
      </c>
      <c r="AU806" s="763">
        <f>IF($AB798&gt;AU$804,$AD783+SUM($AF783:AU783),0)</f>
        <v>0</v>
      </c>
      <c r="AV806" s="763">
        <f>IF($AB798&gt;AV$804,$AD783+SUM($AF783:AV783),0)</f>
        <v>0</v>
      </c>
      <c r="AW806" s="763">
        <f>IF($AB798&gt;AW$804,$AD783+SUM($AF783:AW783),0)</f>
        <v>0</v>
      </c>
      <c r="AX806" s="763">
        <f>IF($AB798&gt;AX$804,$AD783+SUM($AF783:AX783),0)</f>
        <v>0</v>
      </c>
      <c r="AY806" s="763">
        <f>IF($AB798&gt;AY$804,$AD783+SUM($AF783:AY783),0)</f>
        <v>0</v>
      </c>
      <c r="AZ806" s="763">
        <f>IF($AB798&gt;AZ$804,$AD783+SUM($AF783:AZ783),0)</f>
        <v>0</v>
      </c>
      <c r="BA806" s="763">
        <f>IF($AB798&gt;BA$804,$AD783+SUM($AF783:BA783),0)</f>
        <v>0</v>
      </c>
      <c r="BB806" s="763">
        <f>IF($AB798&gt;BB$804,$AD783+SUM($AF783:BB783),0)</f>
        <v>0</v>
      </c>
      <c r="BC806" s="763">
        <f>IF($AB798&gt;BC$804,$AD783+SUM($AF783:BC783),0)</f>
        <v>0</v>
      </c>
      <c r="BD806" s="763">
        <f>IF($AB798&gt;BD$804,$AD783+SUM($AF783:BD783),0)</f>
        <v>0</v>
      </c>
      <c r="BE806" s="763">
        <f>IF($AB798&gt;BE$804,$AD783+SUM($AF783:BE783),0)</f>
        <v>0</v>
      </c>
      <c r="BF806" s="763">
        <f>IF($AB798&gt;BF$804,$AD783+SUM($AF783:BF783),0)</f>
        <v>0</v>
      </c>
      <c r="BG806" s="763">
        <f>IF($AB798&gt;BG$804,$AD783+SUM($AF783:BG783),0)</f>
        <v>0</v>
      </c>
      <c r="BH806" s="763">
        <f>IF($AB798&gt;BH$804,$AD783+SUM($AF783:BH783),0)</f>
        <v>0</v>
      </c>
      <c r="BI806" s="763">
        <f>IF($AB798&gt;BI$804,$AD783+SUM($AF783:BI783),0)</f>
        <v>0</v>
      </c>
      <c r="BJ806" s="763">
        <f>IF($AB798&gt;BJ$804,$AD783+SUM($AF783:BJ783),0)</f>
        <v>0</v>
      </c>
      <c r="BK806" s="763">
        <f>IF($AB798&gt;BK$804,$AD783+SUM($AF783:BK783),0)</f>
        <v>0</v>
      </c>
      <c r="BL806" s="763">
        <f>IF($AB798&gt;BL$804,$AD783+SUM($AF783:BL783),0)</f>
        <v>0</v>
      </c>
      <c r="BM806" s="763">
        <f>IF($AB798&gt;BM$804,$AD783+SUM($AF783:BM783),0)</f>
        <v>0</v>
      </c>
      <c r="BN806" s="763">
        <f>IF($AB798&gt;BN$804,$AD783+SUM($AF783:BN783),0)</f>
        <v>0</v>
      </c>
      <c r="BO806" s="763">
        <f>IF($AB798&gt;BO$804,$AD783+SUM($AF783:BO783),0)</f>
        <v>0</v>
      </c>
      <c r="BP806" s="763">
        <f>IF($AB798&gt;BP$804,$AD783+SUM($AF783:BP783),0)</f>
        <v>0</v>
      </c>
      <c r="BQ806" s="763">
        <f>IF($AB798&gt;BQ$804,$AD783+SUM($AF783:BQ783),0)</f>
        <v>0</v>
      </c>
      <c r="BR806" s="763">
        <f>IF($AB798&gt;BR$804,$AD783+SUM($AF783:BR783),0)</f>
        <v>0</v>
      </c>
      <c r="BS806" s="763">
        <f>IF($AB798&gt;BS$804,$AD783+SUM($AF783:BS783),0)</f>
        <v>0</v>
      </c>
      <c r="BT806" s="763">
        <f>IF($AB798&gt;BT$804,$AD783+SUM($AF783:BT783),0)</f>
        <v>0</v>
      </c>
      <c r="BU806" s="763">
        <f>IF($AB798&gt;BU$804,$AD783+SUM($AF783:BU783),0)</f>
        <v>0</v>
      </c>
      <c r="BV806" s="763">
        <f>IF($AB798&gt;BV$804,$AD783+SUM($AF783:BV783),0)</f>
        <v>0</v>
      </c>
      <c r="BW806" s="763">
        <f>IF($AB798&gt;BW$804,$AD783+SUM($AF783:BW783),0)</f>
        <v>0</v>
      </c>
      <c r="BX806" s="763">
        <f>IF($AB798&gt;BX$804,$AD783+SUM($AF783:BX783),0)</f>
        <v>0</v>
      </c>
      <c r="BY806" s="763">
        <f>IF($AB798&gt;BY$804,$AD783+SUM($AF783:BY783),0)</f>
        <v>0</v>
      </c>
      <c r="BZ806" s="763">
        <f>IF($AB798&gt;BZ$804,$AD783+SUM($AF783:BZ783),0)</f>
        <v>0</v>
      </c>
      <c r="CA806" s="763">
        <f>IF($AB798&gt;CA$804,$AD783+SUM($AF783:CA783),0)</f>
        <v>0</v>
      </c>
      <c r="CB806" s="763">
        <f>IF($AB798&gt;CB$804,$AD783+SUM($AF783:CB783),0)</f>
        <v>0</v>
      </c>
      <c r="CC806" s="763">
        <f>IF($AB798&gt;CC$804,$AD783+SUM($AF783:CC783),0)</f>
        <v>0</v>
      </c>
      <c r="CD806" s="763">
        <f>IF($AB798&gt;CD$804,$AD783+SUM($AF783:CD783),0)</f>
        <v>0</v>
      </c>
      <c r="CE806" s="763">
        <f>IF($AB798&gt;CE$804,$AD783+SUM($AF783:CE783),0)</f>
        <v>0</v>
      </c>
      <c r="CF806" s="763">
        <f>IF($AB798&gt;CF$804,$AD783+SUM($AF783:CF783),0)</f>
        <v>0</v>
      </c>
      <c r="CG806" s="763">
        <f>IF($AB798&gt;CG$804,$AD783+SUM($AF783:CG783),0)</f>
        <v>0</v>
      </c>
      <c r="CH806" s="763">
        <f>IF($AB798&gt;CH$804,$AD783+SUM($AF783:CH783),0)</f>
        <v>0</v>
      </c>
      <c r="CI806" s="763">
        <f>IF($AB798&gt;CI$804,$AD783+SUM($AF783:CI783),0)</f>
        <v>0</v>
      </c>
      <c r="CJ806" s="763">
        <f>IF($AB798&gt;CJ$804,$AD783+SUM($AF783:CJ783),0)</f>
        <v>0</v>
      </c>
      <c r="CK806" s="763">
        <f>IF($AB798&gt;CK$804,$AD783+SUM($AF783:CK783),0)</f>
        <v>0</v>
      </c>
      <c r="CL806" s="763">
        <f>IF($AB798&gt;CL$804,$AD783+SUM($AF783:CL783),0)</f>
        <v>0</v>
      </c>
      <c r="CM806" s="763">
        <f>IF($AB798&gt;CM$804,$AD783+SUM($AF783:CM783),0)</f>
        <v>0</v>
      </c>
    </row>
    <row r="807" spans="11:91" ht="12" customHeight="1" x14ac:dyDescent="0.35">
      <c r="K807" s="28"/>
      <c r="L807" s="28"/>
      <c r="M807" s="28"/>
      <c r="N807" s="28"/>
      <c r="O807" s="28"/>
      <c r="P807" s="28"/>
      <c r="Q807" s="28"/>
      <c r="R807" s="31"/>
      <c r="S807" s="36"/>
      <c r="T807" s="26"/>
      <c r="U807" s="29"/>
      <c r="V807" s="29"/>
      <c r="W807" s="377"/>
      <c r="X807" s="376"/>
      <c r="Y807" s="1152"/>
      <c r="Z807" s="484"/>
      <c r="AA807" s="1147"/>
      <c r="AB807" s="1147"/>
      <c r="AC807" s="484"/>
      <c r="AD807" s="29"/>
      <c r="AE807" s="376" t="s">
        <v>519</v>
      </c>
      <c r="AF807" s="763">
        <f>IF($AB799&gt;AF$804,$AD788+SUM($AF788:AF788),0)</f>
        <v>0</v>
      </c>
      <c r="AG807" s="763">
        <f>IF($AB799&gt;AG$804,$AD788+SUM($AF788:AG788),0)</f>
        <v>0</v>
      </c>
      <c r="AH807" s="763">
        <f>IF($AB799&gt;AH$804,$AD788+SUM($AF788:AH788),0)</f>
        <v>0</v>
      </c>
      <c r="AI807" s="763">
        <f>IF($AB799&gt;AI$804,$AD788+SUM($AF788:AI788),0)</f>
        <v>0</v>
      </c>
      <c r="AJ807" s="763">
        <f>IF($AB799&gt;AJ$804,$AD788+SUM($AF788:AJ788),0)</f>
        <v>0</v>
      </c>
      <c r="AK807" s="763">
        <f>IF($AB799&gt;AK$804,$AD788+SUM($AF788:AK788),0)</f>
        <v>0</v>
      </c>
      <c r="AL807" s="763">
        <f>IF($AB799&gt;AL$804,$AD788+SUM($AF788:AL788),0)</f>
        <v>0</v>
      </c>
      <c r="AM807" s="763">
        <f>IF($AB799&gt;AM$804,$AD788+SUM($AF788:AM788),0)</f>
        <v>0</v>
      </c>
      <c r="AN807" s="763">
        <f>IF($AB799&gt;AN$804,$AD788+SUM($AF788:AN788),0)</f>
        <v>0</v>
      </c>
      <c r="AO807" s="763">
        <f>IF($AB799&gt;AO$804,$AD788+SUM($AF788:AO788),0)</f>
        <v>0</v>
      </c>
      <c r="AP807" s="763">
        <f>IF($AB799&gt;AP$804,$AD788+SUM($AF788:AP788),0)</f>
        <v>0</v>
      </c>
      <c r="AQ807" s="763">
        <f>IF($AB799&gt;AQ$804,$AD788+SUM($AF788:AQ788),0)</f>
        <v>0</v>
      </c>
      <c r="AR807" s="763">
        <f>IF($AB799&gt;AR$804,$AD788+SUM($AF788:AR788),0)</f>
        <v>0</v>
      </c>
      <c r="AS807" s="763">
        <f>IF($AB799&gt;AS$804,$AD788+SUM($AF788:AS788),0)</f>
        <v>0</v>
      </c>
      <c r="AT807" s="763">
        <f>IF($AB799&gt;AT$804,$AD788+SUM($AF788:AT788),0)</f>
        <v>0</v>
      </c>
      <c r="AU807" s="763">
        <f>IF($AB799&gt;AU$804,$AD788+SUM($AF788:AU788),0)</f>
        <v>0</v>
      </c>
      <c r="AV807" s="763">
        <f>IF($AB799&gt;AV$804,$AD788+SUM($AF788:AV788),0)</f>
        <v>0</v>
      </c>
      <c r="AW807" s="763">
        <f>IF($AB799&gt;AW$804,$AD788+SUM($AF788:AW788),0)</f>
        <v>0</v>
      </c>
      <c r="AX807" s="763">
        <f>IF($AB799&gt;AX$804,$AD788+SUM($AF788:AX788),0)</f>
        <v>0</v>
      </c>
      <c r="AY807" s="763">
        <f>IF($AB799&gt;AY$804,$AD788+SUM($AF788:AY788),0)</f>
        <v>0</v>
      </c>
      <c r="AZ807" s="763">
        <f>IF($AB799&gt;AZ$804,$AD788+SUM($AF788:AZ788),0)</f>
        <v>0</v>
      </c>
      <c r="BA807" s="763">
        <f>IF($AB799&gt;BA$804,$AD788+SUM($AF788:BA788),0)</f>
        <v>0</v>
      </c>
      <c r="BB807" s="763">
        <f>IF($AB799&gt;BB$804,$AD788+SUM($AF788:BB788),0)</f>
        <v>0</v>
      </c>
      <c r="BC807" s="763">
        <f>IF($AB799&gt;BC$804,$AD788+SUM($AF788:BC788),0)</f>
        <v>0</v>
      </c>
      <c r="BD807" s="763">
        <f>IF($AB799&gt;BD$804,$AD788+SUM($AF788:BD788),0)</f>
        <v>0</v>
      </c>
      <c r="BE807" s="763">
        <f>IF($AB799&gt;BE$804,$AD788+SUM($AF788:BE788),0)</f>
        <v>0</v>
      </c>
      <c r="BF807" s="763">
        <f>IF($AB799&gt;BF$804,$AD788+SUM($AF788:BF788),0)</f>
        <v>0</v>
      </c>
      <c r="BG807" s="763">
        <f>IF($AB799&gt;BG$804,$AD788+SUM($AF788:BG788),0)</f>
        <v>0</v>
      </c>
      <c r="BH807" s="763">
        <f>IF($AB799&gt;BH$804,$AD788+SUM($AF788:BH788),0)</f>
        <v>0</v>
      </c>
      <c r="BI807" s="763">
        <f>IF($AB799&gt;BI$804,$AD788+SUM($AF788:BI788),0)</f>
        <v>0</v>
      </c>
      <c r="BJ807" s="763">
        <f>IF($AB799&gt;BJ$804,$AD788+SUM($AF788:BJ788),0)</f>
        <v>0</v>
      </c>
      <c r="BK807" s="763">
        <f>IF($AB799&gt;BK$804,$AD788+SUM($AF788:BK788),0)</f>
        <v>0</v>
      </c>
      <c r="BL807" s="763">
        <f>IF($AB799&gt;BL$804,$AD788+SUM($AF788:BL788),0)</f>
        <v>0</v>
      </c>
      <c r="BM807" s="763">
        <f>IF($AB799&gt;BM$804,$AD788+SUM($AF788:BM788),0)</f>
        <v>0</v>
      </c>
      <c r="BN807" s="763">
        <f>IF($AB799&gt;BN$804,$AD788+SUM($AF788:BN788),0)</f>
        <v>0</v>
      </c>
      <c r="BO807" s="763">
        <f>IF($AB799&gt;BO$804,$AD788+SUM($AF788:BO788),0)</f>
        <v>0</v>
      </c>
      <c r="BP807" s="763">
        <f>IF($AB799&gt;BP$804,$AD788+SUM($AF788:BP788),0)</f>
        <v>0</v>
      </c>
      <c r="BQ807" s="763">
        <f>IF($AB799&gt;BQ$804,$AD788+SUM($AF788:BQ788),0)</f>
        <v>0</v>
      </c>
      <c r="BR807" s="763">
        <f>IF($AB799&gt;BR$804,$AD788+SUM($AF788:BR788),0)</f>
        <v>0</v>
      </c>
      <c r="BS807" s="763">
        <f>IF($AB799&gt;BS$804,$AD788+SUM($AF788:BS788),0)</f>
        <v>0</v>
      </c>
      <c r="BT807" s="763">
        <f>IF($AB799&gt;BT$804,$AD788+SUM($AF788:BT788),0)</f>
        <v>0</v>
      </c>
      <c r="BU807" s="763">
        <f>IF($AB799&gt;BU$804,$AD788+SUM($AF788:BU788),0)</f>
        <v>0</v>
      </c>
      <c r="BV807" s="763">
        <f>IF($AB799&gt;BV$804,$AD788+SUM($AF788:BV788),0)</f>
        <v>0</v>
      </c>
      <c r="BW807" s="763">
        <f>IF($AB799&gt;BW$804,$AD788+SUM($AF788:BW788),0)</f>
        <v>0</v>
      </c>
      <c r="BX807" s="763">
        <f>IF($AB799&gt;BX$804,$AD788+SUM($AF788:BX788),0)</f>
        <v>0</v>
      </c>
      <c r="BY807" s="763">
        <f>IF($AB799&gt;BY$804,$AD788+SUM($AF788:BY788),0)</f>
        <v>0</v>
      </c>
      <c r="BZ807" s="763">
        <f>IF($AB799&gt;BZ$804,$AD788+SUM($AF788:BZ788),0)</f>
        <v>0</v>
      </c>
      <c r="CA807" s="763">
        <f>IF($AB799&gt;CA$804,$AD788+SUM($AF788:CA788),0)</f>
        <v>0</v>
      </c>
      <c r="CB807" s="763">
        <f>IF($AB799&gt;CB$804,$AD788+SUM($AF788:CB788),0)</f>
        <v>0</v>
      </c>
      <c r="CC807" s="763">
        <f>IF($AB799&gt;CC$804,$AD788+SUM($AF788:CC788),0)</f>
        <v>0</v>
      </c>
      <c r="CD807" s="763">
        <f>IF($AB799&gt;CD$804,$AD788+SUM($AF788:CD788),0)</f>
        <v>0</v>
      </c>
      <c r="CE807" s="763">
        <f>IF($AB799&gt;CE$804,$AD788+SUM($AF788:CE788),0)</f>
        <v>0</v>
      </c>
      <c r="CF807" s="763">
        <f>IF($AB799&gt;CF$804,$AD788+SUM($AF788:CF788),0)</f>
        <v>0</v>
      </c>
      <c r="CG807" s="763">
        <f>IF($AB799&gt;CG$804,$AD788+SUM($AF788:CG788),0)</f>
        <v>0</v>
      </c>
      <c r="CH807" s="763">
        <f>IF($AB799&gt;CH$804,$AD788+SUM($AF788:CH788),0)</f>
        <v>0</v>
      </c>
      <c r="CI807" s="763">
        <f>IF($AB799&gt;CI$804,$AD788+SUM($AF788:CI788),0)</f>
        <v>0</v>
      </c>
      <c r="CJ807" s="763">
        <f>IF($AB799&gt;CJ$804,$AD788+SUM($AF788:CJ788),0)</f>
        <v>0</v>
      </c>
      <c r="CK807" s="763">
        <f>IF($AB799&gt;CK$804,$AD788+SUM($AF788:CK788),0)</f>
        <v>0</v>
      </c>
      <c r="CL807" s="763">
        <f>IF($AB799&gt;CL$804,$AD788+SUM($AF788:CL788),0)</f>
        <v>0</v>
      </c>
      <c r="CM807" s="763">
        <f>IF($AB799&gt;CM$804,$AD788+SUM($AF788:CM788),0)</f>
        <v>0</v>
      </c>
    </row>
    <row r="808" spans="11:91" ht="12" customHeight="1" x14ac:dyDescent="0.35">
      <c r="K808" s="28"/>
      <c r="L808" s="28"/>
      <c r="M808" s="28"/>
      <c r="N808" s="28"/>
      <c r="O808" s="28"/>
      <c r="P808" s="28"/>
      <c r="Q808" s="28"/>
      <c r="R808" s="31"/>
      <c r="S808" s="36"/>
      <c r="T808" s="26"/>
      <c r="U808" s="29"/>
      <c r="V808" s="29"/>
      <c r="W808" s="377"/>
      <c r="X808" s="376"/>
      <c r="Y808" s="1152"/>
      <c r="Z808" s="484"/>
      <c r="AA808" s="1147"/>
      <c r="AB808" s="1147"/>
      <c r="AC808" s="484"/>
      <c r="AD808" s="29"/>
      <c r="AE808" s="32" t="s">
        <v>520</v>
      </c>
      <c r="AF808" s="1145">
        <f>SUM(AF805:AF807)</f>
        <v>0</v>
      </c>
      <c r="AG808" s="1145">
        <f t="shared" ref="AG808:CM808" si="585">SUM(AG805:AG807)</f>
        <v>0</v>
      </c>
      <c r="AH808" s="1145">
        <f t="shared" si="585"/>
        <v>0</v>
      </c>
      <c r="AI808" s="1145">
        <f t="shared" si="585"/>
        <v>0</v>
      </c>
      <c r="AJ808" s="1145">
        <f t="shared" si="585"/>
        <v>0</v>
      </c>
      <c r="AK808" s="1145">
        <f t="shared" si="585"/>
        <v>0</v>
      </c>
      <c r="AL808" s="1145">
        <f t="shared" si="585"/>
        <v>0</v>
      </c>
      <c r="AM808" s="1145">
        <f t="shared" si="585"/>
        <v>0</v>
      </c>
      <c r="AN808" s="1145">
        <f t="shared" si="585"/>
        <v>0</v>
      </c>
      <c r="AO808" s="1145">
        <f t="shared" si="585"/>
        <v>0</v>
      </c>
      <c r="AP808" s="1145">
        <f t="shared" si="585"/>
        <v>0</v>
      </c>
      <c r="AQ808" s="1145">
        <f t="shared" si="585"/>
        <v>0</v>
      </c>
      <c r="AR808" s="1145">
        <f t="shared" si="585"/>
        <v>0</v>
      </c>
      <c r="AS808" s="1145">
        <f t="shared" si="585"/>
        <v>0</v>
      </c>
      <c r="AT808" s="1145">
        <f t="shared" si="585"/>
        <v>0</v>
      </c>
      <c r="AU808" s="1145">
        <f t="shared" si="585"/>
        <v>0</v>
      </c>
      <c r="AV808" s="1145">
        <f t="shared" si="585"/>
        <v>0</v>
      </c>
      <c r="AW808" s="1145">
        <f t="shared" si="585"/>
        <v>0</v>
      </c>
      <c r="AX808" s="1145">
        <f t="shared" si="585"/>
        <v>0</v>
      </c>
      <c r="AY808" s="1145">
        <f t="shared" si="585"/>
        <v>0</v>
      </c>
      <c r="AZ808" s="1145">
        <f t="shared" si="585"/>
        <v>0</v>
      </c>
      <c r="BA808" s="1145">
        <f t="shared" si="585"/>
        <v>0</v>
      </c>
      <c r="BB808" s="1145">
        <f t="shared" si="585"/>
        <v>0</v>
      </c>
      <c r="BC808" s="1145">
        <f t="shared" si="585"/>
        <v>0</v>
      </c>
      <c r="BD808" s="1145">
        <f t="shared" si="585"/>
        <v>0</v>
      </c>
      <c r="BE808" s="1145">
        <f t="shared" si="585"/>
        <v>0</v>
      </c>
      <c r="BF808" s="1145">
        <f t="shared" si="585"/>
        <v>0</v>
      </c>
      <c r="BG808" s="1145">
        <f t="shared" si="585"/>
        <v>0</v>
      </c>
      <c r="BH808" s="1145">
        <f t="shared" si="585"/>
        <v>0</v>
      </c>
      <c r="BI808" s="1145">
        <f t="shared" si="585"/>
        <v>0</v>
      </c>
      <c r="BJ808" s="1145">
        <f t="shared" si="585"/>
        <v>0</v>
      </c>
      <c r="BK808" s="1145">
        <f t="shared" si="585"/>
        <v>0</v>
      </c>
      <c r="BL808" s="1145">
        <f t="shared" si="585"/>
        <v>0</v>
      </c>
      <c r="BM808" s="1145">
        <f t="shared" si="585"/>
        <v>0</v>
      </c>
      <c r="BN808" s="1145">
        <f t="shared" si="585"/>
        <v>0</v>
      </c>
      <c r="BO808" s="1145">
        <f t="shared" si="585"/>
        <v>0</v>
      </c>
      <c r="BP808" s="1145">
        <f t="shared" si="585"/>
        <v>0</v>
      </c>
      <c r="BQ808" s="1145">
        <f t="shared" si="585"/>
        <v>0</v>
      </c>
      <c r="BR808" s="1145">
        <f t="shared" si="585"/>
        <v>0</v>
      </c>
      <c r="BS808" s="1145">
        <f t="shared" si="585"/>
        <v>0</v>
      </c>
      <c r="BT808" s="1145">
        <f t="shared" si="585"/>
        <v>0</v>
      </c>
      <c r="BU808" s="1145">
        <f t="shared" si="585"/>
        <v>0</v>
      </c>
      <c r="BV808" s="1145">
        <f t="shared" si="585"/>
        <v>0</v>
      </c>
      <c r="BW808" s="1145">
        <f t="shared" si="585"/>
        <v>0</v>
      </c>
      <c r="BX808" s="1145">
        <f t="shared" si="585"/>
        <v>0</v>
      </c>
      <c r="BY808" s="1145">
        <f t="shared" si="585"/>
        <v>0</v>
      </c>
      <c r="BZ808" s="1145">
        <f t="shared" si="585"/>
        <v>0</v>
      </c>
      <c r="CA808" s="1145">
        <f t="shared" si="585"/>
        <v>0</v>
      </c>
      <c r="CB808" s="1145">
        <f t="shared" si="585"/>
        <v>0</v>
      </c>
      <c r="CC808" s="1145">
        <f t="shared" si="585"/>
        <v>0</v>
      </c>
      <c r="CD808" s="1145">
        <f t="shared" si="585"/>
        <v>0</v>
      </c>
      <c r="CE808" s="1145">
        <f t="shared" si="585"/>
        <v>0</v>
      </c>
      <c r="CF808" s="1145">
        <f t="shared" si="585"/>
        <v>0</v>
      </c>
      <c r="CG808" s="1145">
        <f t="shared" si="585"/>
        <v>0</v>
      </c>
      <c r="CH808" s="1145">
        <f t="shared" si="585"/>
        <v>0</v>
      </c>
      <c r="CI808" s="1145">
        <f t="shared" si="585"/>
        <v>0</v>
      </c>
      <c r="CJ808" s="1145">
        <f t="shared" si="585"/>
        <v>0</v>
      </c>
      <c r="CK808" s="1145">
        <f t="shared" si="585"/>
        <v>0</v>
      </c>
      <c r="CL808" s="1145">
        <f t="shared" si="585"/>
        <v>0</v>
      </c>
      <c r="CM808" s="1145">
        <f t="shared" si="585"/>
        <v>0</v>
      </c>
    </row>
    <row r="809" spans="11:91" ht="12" customHeight="1" x14ac:dyDescent="0.35">
      <c r="K809" s="28"/>
      <c r="L809" s="28"/>
      <c r="M809" s="28"/>
      <c r="N809" s="28"/>
      <c r="O809" s="28"/>
      <c r="P809" s="28"/>
      <c r="Q809" s="28"/>
      <c r="R809" s="31"/>
      <c r="S809" s="36"/>
      <c r="T809" s="26"/>
      <c r="U809" s="29"/>
      <c r="V809" s="29"/>
      <c r="W809" s="377"/>
      <c r="X809" s="376"/>
      <c r="Y809" s="1152"/>
      <c r="Z809" s="484"/>
      <c r="AA809" s="1147"/>
      <c r="AB809" s="1147"/>
      <c r="AC809" s="484"/>
      <c r="AD809" s="29"/>
      <c r="AE809" s="376"/>
      <c r="AF809" s="380"/>
      <c r="AG809" s="380"/>
      <c r="AH809" s="380"/>
      <c r="AI809" s="380"/>
      <c r="AJ809" s="380"/>
      <c r="AK809" s="380"/>
      <c r="AL809" s="380"/>
      <c r="AM809" s="380"/>
      <c r="AN809" s="380"/>
      <c r="AO809" s="380"/>
      <c r="AP809" s="380"/>
      <c r="AQ809" s="380"/>
      <c r="AR809" s="380"/>
      <c r="AS809" s="380"/>
      <c r="AT809" s="380"/>
      <c r="AU809" s="380"/>
      <c r="AV809" s="380"/>
      <c r="AW809" s="380"/>
      <c r="AX809" s="380"/>
      <c r="AY809" s="380"/>
      <c r="AZ809" s="380"/>
      <c r="BA809" s="380"/>
      <c r="BB809" s="380"/>
      <c r="BC809" s="380"/>
      <c r="BD809" s="380"/>
      <c r="BE809" s="380"/>
      <c r="BF809" s="380"/>
      <c r="BG809" s="380"/>
      <c r="BH809" s="380"/>
      <c r="BI809" s="380"/>
      <c r="BJ809" s="380"/>
      <c r="BK809" s="380"/>
      <c r="BL809" s="380"/>
      <c r="BM809" s="380"/>
      <c r="BN809" s="380"/>
      <c r="BO809" s="380"/>
      <c r="BP809" s="380"/>
      <c r="BQ809" s="380"/>
      <c r="BR809" s="380"/>
      <c r="BS809" s="380"/>
      <c r="BT809" s="380"/>
      <c r="BU809" s="380"/>
      <c r="BV809" s="380"/>
      <c r="BW809" s="380"/>
      <c r="BX809" s="380"/>
      <c r="BY809" s="380"/>
      <c r="BZ809" s="380"/>
      <c r="CA809" s="380"/>
      <c r="CB809" s="380"/>
      <c r="CC809" s="380"/>
      <c r="CD809" s="380"/>
      <c r="CE809" s="380"/>
      <c r="CF809" s="380"/>
      <c r="CG809" s="380"/>
      <c r="CH809" s="380"/>
      <c r="CI809" s="380"/>
      <c r="CJ809" s="380"/>
      <c r="CK809" s="380"/>
      <c r="CL809" s="380"/>
      <c r="CM809" s="380"/>
    </row>
    <row r="810" spans="11:91" ht="12" customHeight="1" x14ac:dyDescent="0.35">
      <c r="K810" s="28"/>
      <c r="L810" s="28"/>
      <c r="M810" s="28"/>
      <c r="N810" s="28"/>
      <c r="O810" s="28"/>
      <c r="P810" s="28"/>
      <c r="Q810" s="28"/>
      <c r="R810" s="31"/>
      <c r="S810" s="36"/>
      <c r="T810" s="26"/>
      <c r="U810" s="29"/>
      <c r="V810" s="29"/>
      <c r="W810" s="377"/>
      <c r="X810" s="1301" t="s">
        <v>521</v>
      </c>
      <c r="Y810" s="1810">
        <f>AC800+AC806+SUMIF(Input!H279:H288,"&lt;="&amp;Infrastructure!B45,Input!G279:G288)+SUMIF(Input!Q279:Q281,"&lt;="&amp;Infrastructure!B45,Input!P279:P281)+SUMIF(Input!Q297:Q299,"&lt;="&amp;Infrastructure!B45,Input!P297:P299)</f>
        <v>0</v>
      </c>
      <c r="Z810" s="1300"/>
      <c r="AA810" s="1300"/>
      <c r="AB810" s="1300"/>
      <c r="AC810" s="1300"/>
      <c r="AD810" s="29"/>
      <c r="AE810" s="32" t="s">
        <v>522</v>
      </c>
      <c r="AF810" s="1144"/>
      <c r="AG810" s="1144"/>
      <c r="AH810" s="1144"/>
      <c r="AI810" s="1144"/>
      <c r="AJ810" s="1144"/>
      <c r="AK810" s="1144"/>
      <c r="AL810" s="1144"/>
      <c r="AM810" s="1144"/>
      <c r="AN810" s="1144"/>
      <c r="AO810" s="1144"/>
      <c r="AP810" s="1144"/>
      <c r="AQ810" s="1144"/>
      <c r="AR810" s="1144"/>
      <c r="AS810" s="1144"/>
      <c r="AT810" s="1144"/>
      <c r="AU810" s="1144"/>
      <c r="AV810" s="1144"/>
      <c r="AW810" s="1144"/>
      <c r="AX810" s="1144"/>
      <c r="AY810" s="1144"/>
      <c r="AZ810" s="1144"/>
      <c r="BA810" s="1144"/>
      <c r="BB810" s="1144"/>
      <c r="BC810" s="1144"/>
      <c r="BD810" s="1144"/>
      <c r="BE810" s="1144"/>
      <c r="BF810" s="1144"/>
      <c r="BG810" s="1144"/>
      <c r="BH810" s="1144"/>
      <c r="BI810" s="1144"/>
      <c r="BJ810" s="1144"/>
      <c r="BK810" s="1144"/>
      <c r="BL810" s="1144"/>
      <c r="BM810" s="1144"/>
      <c r="BN810" s="1144"/>
      <c r="BO810" s="1144"/>
      <c r="BP810" s="1144"/>
      <c r="BQ810" s="1144"/>
      <c r="BR810" s="1144"/>
      <c r="BS810" s="1144"/>
      <c r="BT810" s="1144"/>
      <c r="BU810" s="1144"/>
      <c r="BV810" s="1144"/>
      <c r="BW810" s="1144"/>
      <c r="BX810" s="1144"/>
      <c r="BY810" s="1144"/>
      <c r="BZ810" s="1144"/>
      <c r="CA810" s="1144"/>
      <c r="CB810" s="1144"/>
      <c r="CC810" s="1144"/>
      <c r="CD810" s="1144"/>
      <c r="CE810" s="1144"/>
      <c r="CF810" s="1144"/>
      <c r="CG810" s="1144"/>
      <c r="CH810" s="1144"/>
      <c r="CI810" s="1144"/>
      <c r="CJ810" s="1144"/>
      <c r="CK810" s="1144"/>
      <c r="CL810" s="1144"/>
      <c r="CM810" s="1144"/>
    </row>
    <row r="811" spans="11:91" ht="12" customHeight="1" x14ac:dyDescent="0.35">
      <c r="K811" s="28"/>
      <c r="L811" s="28"/>
      <c r="M811" s="28"/>
      <c r="N811" s="28"/>
      <c r="O811" s="28"/>
      <c r="P811" s="28"/>
      <c r="Q811" s="28"/>
      <c r="R811" s="31"/>
      <c r="S811" s="36"/>
      <c r="T811" s="26"/>
      <c r="U811" s="29"/>
      <c r="V811" s="29"/>
      <c r="W811" s="377"/>
      <c r="X811" s="1301" t="s">
        <v>523</v>
      </c>
      <c r="Y811" s="1810">
        <f>AC800+AC806+SUM(Input!G279:G288)+SUM(Input!P279:P281)+SUM(Input!P297:P299)</f>
        <v>0</v>
      </c>
      <c r="Z811" s="1300"/>
      <c r="AA811" s="1300"/>
      <c r="AB811" s="1300"/>
      <c r="AC811" s="1300"/>
      <c r="AD811" s="29"/>
      <c r="AE811" s="376" t="s">
        <v>524</v>
      </c>
      <c r="AF811" s="763">
        <f>IF(AND($AA797&lt;AF$798,AF$798=$AB797),$Z797+AF805,0)</f>
        <v>0</v>
      </c>
      <c r="AG811" s="763">
        <f t="shared" ref="AG811:AH813" si="586">IF(AND($AA797&lt;AG$798,AG$798=$AB797),$Z797+AF805,0)</f>
        <v>0</v>
      </c>
      <c r="AH811" s="763">
        <f t="shared" si="586"/>
        <v>0</v>
      </c>
      <c r="AI811" s="763">
        <f t="shared" ref="AI811:CM811" si="587">IF(AND($AA797&lt;AI$798,AI$798=$AB797),$Z797+AH805,0)</f>
        <v>0</v>
      </c>
      <c r="AJ811" s="763">
        <f t="shared" si="587"/>
        <v>0</v>
      </c>
      <c r="AK811" s="763">
        <f t="shared" si="587"/>
        <v>0</v>
      </c>
      <c r="AL811" s="763">
        <f t="shared" si="587"/>
        <v>0</v>
      </c>
      <c r="AM811" s="763">
        <f t="shared" si="587"/>
        <v>0</v>
      </c>
      <c r="AN811" s="763">
        <f t="shared" si="587"/>
        <v>0</v>
      </c>
      <c r="AO811" s="763">
        <f t="shared" si="587"/>
        <v>0</v>
      </c>
      <c r="AP811" s="763">
        <f t="shared" si="587"/>
        <v>0</v>
      </c>
      <c r="AQ811" s="763">
        <f t="shared" si="587"/>
        <v>0</v>
      </c>
      <c r="AR811" s="763">
        <f t="shared" si="587"/>
        <v>0</v>
      </c>
      <c r="AS811" s="763">
        <f t="shared" si="587"/>
        <v>0</v>
      </c>
      <c r="AT811" s="763">
        <f t="shared" si="587"/>
        <v>0</v>
      </c>
      <c r="AU811" s="763">
        <f t="shared" si="587"/>
        <v>0</v>
      </c>
      <c r="AV811" s="763">
        <f t="shared" si="587"/>
        <v>0</v>
      </c>
      <c r="AW811" s="763">
        <f t="shared" si="587"/>
        <v>0</v>
      </c>
      <c r="AX811" s="763">
        <f t="shared" si="587"/>
        <v>0</v>
      </c>
      <c r="AY811" s="763">
        <f t="shared" si="587"/>
        <v>0</v>
      </c>
      <c r="AZ811" s="763">
        <f t="shared" si="587"/>
        <v>0</v>
      </c>
      <c r="BA811" s="763">
        <f t="shared" si="587"/>
        <v>0</v>
      </c>
      <c r="BB811" s="763">
        <f t="shared" si="587"/>
        <v>0</v>
      </c>
      <c r="BC811" s="763">
        <f t="shared" si="587"/>
        <v>0</v>
      </c>
      <c r="BD811" s="763">
        <f t="shared" si="587"/>
        <v>0</v>
      </c>
      <c r="BE811" s="763">
        <f t="shared" si="587"/>
        <v>0</v>
      </c>
      <c r="BF811" s="763">
        <f t="shared" si="587"/>
        <v>0</v>
      </c>
      <c r="BG811" s="763">
        <f t="shared" si="587"/>
        <v>0</v>
      </c>
      <c r="BH811" s="763">
        <f t="shared" si="587"/>
        <v>0</v>
      </c>
      <c r="BI811" s="763">
        <f t="shared" si="587"/>
        <v>0</v>
      </c>
      <c r="BJ811" s="763">
        <f t="shared" si="587"/>
        <v>0</v>
      </c>
      <c r="BK811" s="763">
        <f t="shared" si="587"/>
        <v>0</v>
      </c>
      <c r="BL811" s="763">
        <f t="shared" si="587"/>
        <v>0</v>
      </c>
      <c r="BM811" s="763">
        <f t="shared" si="587"/>
        <v>0</v>
      </c>
      <c r="BN811" s="763">
        <f t="shared" si="587"/>
        <v>0</v>
      </c>
      <c r="BO811" s="763">
        <f t="shared" si="587"/>
        <v>0</v>
      </c>
      <c r="BP811" s="763">
        <f t="shared" si="587"/>
        <v>0</v>
      </c>
      <c r="BQ811" s="763">
        <f t="shared" si="587"/>
        <v>0</v>
      </c>
      <c r="BR811" s="763">
        <f t="shared" si="587"/>
        <v>0</v>
      </c>
      <c r="BS811" s="763">
        <f t="shared" si="587"/>
        <v>0</v>
      </c>
      <c r="BT811" s="763">
        <f t="shared" si="587"/>
        <v>0</v>
      </c>
      <c r="BU811" s="763">
        <f t="shared" si="587"/>
        <v>0</v>
      </c>
      <c r="BV811" s="763">
        <f t="shared" si="587"/>
        <v>0</v>
      </c>
      <c r="BW811" s="763">
        <f t="shared" si="587"/>
        <v>0</v>
      </c>
      <c r="BX811" s="763">
        <f t="shared" si="587"/>
        <v>0</v>
      </c>
      <c r="BY811" s="763">
        <f t="shared" si="587"/>
        <v>0</v>
      </c>
      <c r="BZ811" s="763">
        <f t="shared" si="587"/>
        <v>0</v>
      </c>
      <c r="CA811" s="763">
        <f t="shared" si="587"/>
        <v>0</v>
      </c>
      <c r="CB811" s="763">
        <f t="shared" si="587"/>
        <v>0</v>
      </c>
      <c r="CC811" s="763">
        <f t="shared" si="587"/>
        <v>0</v>
      </c>
      <c r="CD811" s="763">
        <f t="shared" si="587"/>
        <v>0</v>
      </c>
      <c r="CE811" s="763">
        <f t="shared" si="587"/>
        <v>0</v>
      </c>
      <c r="CF811" s="763">
        <f t="shared" si="587"/>
        <v>0</v>
      </c>
      <c r="CG811" s="763">
        <f t="shared" si="587"/>
        <v>0</v>
      </c>
      <c r="CH811" s="763">
        <f t="shared" si="587"/>
        <v>0</v>
      </c>
      <c r="CI811" s="763">
        <f t="shared" si="587"/>
        <v>0</v>
      </c>
      <c r="CJ811" s="763">
        <f t="shared" si="587"/>
        <v>0</v>
      </c>
      <c r="CK811" s="763">
        <f t="shared" si="587"/>
        <v>0</v>
      </c>
      <c r="CL811" s="763">
        <f t="shared" si="587"/>
        <v>0</v>
      </c>
      <c r="CM811" s="763">
        <f t="shared" si="587"/>
        <v>0</v>
      </c>
    </row>
    <row r="812" spans="11:91" ht="12" customHeight="1" x14ac:dyDescent="0.35">
      <c r="K812" s="28"/>
      <c r="L812" s="28"/>
      <c r="M812" s="28"/>
      <c r="N812" s="28"/>
      <c r="O812" s="28"/>
      <c r="P812" s="28"/>
      <c r="Q812" s="28"/>
      <c r="R812" s="31"/>
      <c r="S812" s="36"/>
      <c r="T812" s="26"/>
      <c r="U812" s="29"/>
      <c r="V812" s="29"/>
      <c r="W812" s="377"/>
      <c r="X812" s="1301"/>
      <c r="Y812" s="1300"/>
      <c r="Z812" s="1300"/>
      <c r="AA812" s="1300"/>
      <c r="AB812" s="1300"/>
      <c r="AC812" s="1300"/>
      <c r="AD812" s="29"/>
      <c r="AE812" s="376"/>
      <c r="AF812" s="763">
        <f>IF(AND($AA798&lt;AF$798,AF$798=$AB798),$Z798+AF806,0)</f>
        <v>0</v>
      </c>
      <c r="AG812" s="763">
        <f t="shared" si="586"/>
        <v>0</v>
      </c>
      <c r="AH812" s="763">
        <f t="shared" si="586"/>
        <v>0</v>
      </c>
      <c r="AI812" s="763">
        <f t="shared" ref="AI812:CM812" si="588">IF(AND($AA798&lt;AI$798,AI$798=$AB798),$Z798+AH806,0)</f>
        <v>0</v>
      </c>
      <c r="AJ812" s="763">
        <f t="shared" si="588"/>
        <v>0</v>
      </c>
      <c r="AK812" s="763">
        <f t="shared" si="588"/>
        <v>0</v>
      </c>
      <c r="AL812" s="763">
        <f t="shared" si="588"/>
        <v>0</v>
      </c>
      <c r="AM812" s="763">
        <f t="shared" si="588"/>
        <v>0</v>
      </c>
      <c r="AN812" s="763">
        <f t="shared" si="588"/>
        <v>0</v>
      </c>
      <c r="AO812" s="763">
        <f t="shared" si="588"/>
        <v>0</v>
      </c>
      <c r="AP812" s="763">
        <f t="shared" si="588"/>
        <v>0</v>
      </c>
      <c r="AQ812" s="763">
        <f t="shared" si="588"/>
        <v>0</v>
      </c>
      <c r="AR812" s="763">
        <f t="shared" si="588"/>
        <v>0</v>
      </c>
      <c r="AS812" s="763">
        <f t="shared" si="588"/>
        <v>0</v>
      </c>
      <c r="AT812" s="763">
        <f t="shared" si="588"/>
        <v>0</v>
      </c>
      <c r="AU812" s="763">
        <f t="shared" si="588"/>
        <v>0</v>
      </c>
      <c r="AV812" s="763">
        <f t="shared" si="588"/>
        <v>0</v>
      </c>
      <c r="AW812" s="763">
        <f t="shared" si="588"/>
        <v>0</v>
      </c>
      <c r="AX812" s="763">
        <f t="shared" si="588"/>
        <v>0</v>
      </c>
      <c r="AY812" s="763">
        <f t="shared" si="588"/>
        <v>0</v>
      </c>
      <c r="AZ812" s="763">
        <f t="shared" si="588"/>
        <v>0</v>
      </c>
      <c r="BA812" s="763">
        <f t="shared" si="588"/>
        <v>0</v>
      </c>
      <c r="BB812" s="763">
        <f t="shared" si="588"/>
        <v>0</v>
      </c>
      <c r="BC812" s="763">
        <f t="shared" si="588"/>
        <v>0</v>
      </c>
      <c r="BD812" s="763">
        <f t="shared" si="588"/>
        <v>0</v>
      </c>
      <c r="BE812" s="763">
        <f t="shared" si="588"/>
        <v>0</v>
      </c>
      <c r="BF812" s="763">
        <f t="shared" si="588"/>
        <v>0</v>
      </c>
      <c r="BG812" s="763">
        <f t="shared" si="588"/>
        <v>0</v>
      </c>
      <c r="BH812" s="763">
        <f t="shared" si="588"/>
        <v>0</v>
      </c>
      <c r="BI812" s="763">
        <f t="shared" si="588"/>
        <v>0</v>
      </c>
      <c r="BJ812" s="763">
        <f t="shared" si="588"/>
        <v>0</v>
      </c>
      <c r="BK812" s="763">
        <f t="shared" si="588"/>
        <v>0</v>
      </c>
      <c r="BL812" s="763">
        <f t="shared" si="588"/>
        <v>0</v>
      </c>
      <c r="BM812" s="763">
        <f t="shared" si="588"/>
        <v>0</v>
      </c>
      <c r="BN812" s="763">
        <f t="shared" si="588"/>
        <v>0</v>
      </c>
      <c r="BO812" s="763">
        <f t="shared" si="588"/>
        <v>0</v>
      </c>
      <c r="BP812" s="763">
        <f t="shared" si="588"/>
        <v>0</v>
      </c>
      <c r="BQ812" s="763">
        <f t="shared" si="588"/>
        <v>0</v>
      </c>
      <c r="BR812" s="763">
        <f t="shared" si="588"/>
        <v>0</v>
      </c>
      <c r="BS812" s="763">
        <f t="shared" si="588"/>
        <v>0</v>
      </c>
      <c r="BT812" s="763">
        <f t="shared" si="588"/>
        <v>0</v>
      </c>
      <c r="BU812" s="763">
        <f t="shared" si="588"/>
        <v>0</v>
      </c>
      <c r="BV812" s="763">
        <f t="shared" si="588"/>
        <v>0</v>
      </c>
      <c r="BW812" s="763">
        <f t="shared" si="588"/>
        <v>0</v>
      </c>
      <c r="BX812" s="763">
        <f t="shared" si="588"/>
        <v>0</v>
      </c>
      <c r="BY812" s="763">
        <f t="shared" si="588"/>
        <v>0</v>
      </c>
      <c r="BZ812" s="763">
        <f t="shared" si="588"/>
        <v>0</v>
      </c>
      <c r="CA812" s="763">
        <f t="shared" si="588"/>
        <v>0</v>
      </c>
      <c r="CB812" s="763">
        <f t="shared" si="588"/>
        <v>0</v>
      </c>
      <c r="CC812" s="763">
        <f t="shared" si="588"/>
        <v>0</v>
      </c>
      <c r="CD812" s="763">
        <f t="shared" si="588"/>
        <v>0</v>
      </c>
      <c r="CE812" s="763">
        <f t="shared" si="588"/>
        <v>0</v>
      </c>
      <c r="CF812" s="763">
        <f t="shared" si="588"/>
        <v>0</v>
      </c>
      <c r="CG812" s="763">
        <f t="shared" si="588"/>
        <v>0</v>
      </c>
      <c r="CH812" s="763">
        <f t="shared" si="588"/>
        <v>0</v>
      </c>
      <c r="CI812" s="763">
        <f t="shared" si="588"/>
        <v>0</v>
      </c>
      <c r="CJ812" s="763">
        <f t="shared" si="588"/>
        <v>0</v>
      </c>
      <c r="CK812" s="763">
        <f t="shared" si="588"/>
        <v>0</v>
      </c>
      <c r="CL812" s="763">
        <f t="shared" si="588"/>
        <v>0</v>
      </c>
      <c r="CM812" s="763">
        <f t="shared" si="588"/>
        <v>0</v>
      </c>
    </row>
    <row r="813" spans="11:91" ht="12" customHeight="1" x14ac:dyDescent="0.35">
      <c r="K813" s="28"/>
      <c r="L813" s="28"/>
      <c r="M813" s="28"/>
      <c r="N813" s="28"/>
      <c r="O813" s="28"/>
      <c r="P813" s="28"/>
      <c r="Q813" s="28"/>
      <c r="R813" s="31"/>
      <c r="S813" s="36"/>
      <c r="T813" s="26"/>
      <c r="U813" s="29"/>
      <c r="V813" s="29"/>
      <c r="W813" s="377"/>
      <c r="X813" s="1300" t="s">
        <v>525</v>
      </c>
      <c r="Y813" s="1810">
        <f>SUMIF(Input!D298:F298,"&lt;="&amp;Infrastructure!B45,Input!D297:F297)</f>
        <v>0</v>
      </c>
      <c r="Z813" s="1300"/>
      <c r="AA813" s="1300"/>
      <c r="AB813" s="1300"/>
      <c r="AC813" s="1300"/>
      <c r="AD813" s="29"/>
      <c r="AE813" s="376"/>
      <c r="AF813" s="763">
        <f>IF(AND($AA799&lt;AF$798,AF$798=$AB799),$Z799+AF807,0)</f>
        <v>0</v>
      </c>
      <c r="AG813" s="763">
        <f t="shared" si="586"/>
        <v>0</v>
      </c>
      <c r="AH813" s="763">
        <f t="shared" si="586"/>
        <v>0</v>
      </c>
      <c r="AI813" s="763">
        <f t="shared" ref="AI813:CM813" si="589">IF(AND($AA799&lt;AI$798,AI$798=$AB799),$Z799+AH807,0)</f>
        <v>0</v>
      </c>
      <c r="AJ813" s="763">
        <f t="shared" si="589"/>
        <v>0</v>
      </c>
      <c r="AK813" s="763">
        <f t="shared" si="589"/>
        <v>0</v>
      </c>
      <c r="AL813" s="763">
        <f t="shared" si="589"/>
        <v>0</v>
      </c>
      <c r="AM813" s="763">
        <f t="shared" si="589"/>
        <v>0</v>
      </c>
      <c r="AN813" s="763">
        <f t="shared" si="589"/>
        <v>0</v>
      </c>
      <c r="AO813" s="763">
        <f t="shared" si="589"/>
        <v>0</v>
      </c>
      <c r="AP813" s="763">
        <f t="shared" si="589"/>
        <v>0</v>
      </c>
      <c r="AQ813" s="763">
        <f t="shared" si="589"/>
        <v>0</v>
      </c>
      <c r="AR813" s="763">
        <f t="shared" si="589"/>
        <v>0</v>
      </c>
      <c r="AS813" s="763">
        <f t="shared" si="589"/>
        <v>0</v>
      </c>
      <c r="AT813" s="763">
        <f t="shared" si="589"/>
        <v>0</v>
      </c>
      <c r="AU813" s="763">
        <f t="shared" si="589"/>
        <v>0</v>
      </c>
      <c r="AV813" s="763">
        <f t="shared" si="589"/>
        <v>0</v>
      </c>
      <c r="AW813" s="763">
        <f t="shared" si="589"/>
        <v>0</v>
      </c>
      <c r="AX813" s="763">
        <f t="shared" si="589"/>
        <v>0</v>
      </c>
      <c r="AY813" s="763">
        <f t="shared" si="589"/>
        <v>0</v>
      </c>
      <c r="AZ813" s="763">
        <f t="shared" si="589"/>
        <v>0</v>
      </c>
      <c r="BA813" s="763">
        <f t="shared" si="589"/>
        <v>0</v>
      </c>
      <c r="BB813" s="763">
        <f t="shared" si="589"/>
        <v>0</v>
      </c>
      <c r="BC813" s="763">
        <f t="shared" si="589"/>
        <v>0</v>
      </c>
      <c r="BD813" s="763">
        <f t="shared" si="589"/>
        <v>0</v>
      </c>
      <c r="BE813" s="763">
        <f t="shared" si="589"/>
        <v>0</v>
      </c>
      <c r="BF813" s="763">
        <f t="shared" si="589"/>
        <v>0</v>
      </c>
      <c r="BG813" s="763">
        <f t="shared" si="589"/>
        <v>0</v>
      </c>
      <c r="BH813" s="763">
        <f t="shared" si="589"/>
        <v>0</v>
      </c>
      <c r="BI813" s="763">
        <f t="shared" si="589"/>
        <v>0</v>
      </c>
      <c r="BJ813" s="763">
        <f t="shared" si="589"/>
        <v>0</v>
      </c>
      <c r="BK813" s="763">
        <f t="shared" si="589"/>
        <v>0</v>
      </c>
      <c r="BL813" s="763">
        <f t="shared" si="589"/>
        <v>0</v>
      </c>
      <c r="BM813" s="763">
        <f t="shared" si="589"/>
        <v>0</v>
      </c>
      <c r="BN813" s="763">
        <f t="shared" si="589"/>
        <v>0</v>
      </c>
      <c r="BO813" s="763">
        <f t="shared" si="589"/>
        <v>0</v>
      </c>
      <c r="BP813" s="763">
        <f t="shared" si="589"/>
        <v>0</v>
      </c>
      <c r="BQ813" s="763">
        <f t="shared" si="589"/>
        <v>0</v>
      </c>
      <c r="BR813" s="763">
        <f t="shared" si="589"/>
        <v>0</v>
      </c>
      <c r="BS813" s="763">
        <f t="shared" si="589"/>
        <v>0</v>
      </c>
      <c r="BT813" s="763">
        <f t="shared" si="589"/>
        <v>0</v>
      </c>
      <c r="BU813" s="763">
        <f t="shared" si="589"/>
        <v>0</v>
      </c>
      <c r="BV813" s="763">
        <f t="shared" si="589"/>
        <v>0</v>
      </c>
      <c r="BW813" s="763">
        <f t="shared" si="589"/>
        <v>0</v>
      </c>
      <c r="BX813" s="763">
        <f t="shared" si="589"/>
        <v>0</v>
      </c>
      <c r="BY813" s="763">
        <f t="shared" si="589"/>
        <v>0</v>
      </c>
      <c r="BZ813" s="763">
        <f t="shared" si="589"/>
        <v>0</v>
      </c>
      <c r="CA813" s="763">
        <f t="shared" si="589"/>
        <v>0</v>
      </c>
      <c r="CB813" s="763">
        <f t="shared" si="589"/>
        <v>0</v>
      </c>
      <c r="CC813" s="763">
        <f t="shared" si="589"/>
        <v>0</v>
      </c>
      <c r="CD813" s="763">
        <f t="shared" si="589"/>
        <v>0</v>
      </c>
      <c r="CE813" s="763">
        <f t="shared" si="589"/>
        <v>0</v>
      </c>
      <c r="CF813" s="763">
        <f t="shared" si="589"/>
        <v>0</v>
      </c>
      <c r="CG813" s="763">
        <f t="shared" si="589"/>
        <v>0</v>
      </c>
      <c r="CH813" s="763">
        <f t="shared" si="589"/>
        <v>0</v>
      </c>
      <c r="CI813" s="763">
        <f t="shared" si="589"/>
        <v>0</v>
      </c>
      <c r="CJ813" s="763">
        <f t="shared" si="589"/>
        <v>0</v>
      </c>
      <c r="CK813" s="763">
        <f t="shared" si="589"/>
        <v>0</v>
      </c>
      <c r="CL813" s="763">
        <f t="shared" si="589"/>
        <v>0</v>
      </c>
      <c r="CM813" s="763">
        <f t="shared" si="589"/>
        <v>0</v>
      </c>
    </row>
    <row r="814" spans="11:91" ht="12" customHeight="1" x14ac:dyDescent="0.35">
      <c r="K814" s="28"/>
      <c r="L814" s="28"/>
      <c r="M814" s="28"/>
      <c r="N814" s="28"/>
      <c r="O814" s="28"/>
      <c r="P814" s="28"/>
      <c r="Q814" s="28"/>
      <c r="R814" s="31"/>
      <c r="S814" s="36"/>
      <c r="T814" s="26"/>
      <c r="U814" s="29"/>
      <c r="V814" s="29"/>
      <c r="W814" s="377"/>
      <c r="X814" s="1300" t="s">
        <v>526</v>
      </c>
      <c r="Y814" s="1810">
        <f>SUM(Input!D297:F297)</f>
        <v>0</v>
      </c>
      <c r="Z814" s="1300"/>
      <c r="AA814" s="1300"/>
      <c r="AB814" s="1300"/>
      <c r="AC814" s="1300"/>
      <c r="AD814" s="29"/>
      <c r="AE814" s="376"/>
      <c r="AF814" s="763"/>
      <c r="AG814" s="763"/>
      <c r="AH814" s="763"/>
      <c r="AI814" s="763"/>
      <c r="AJ814" s="763"/>
      <c r="AK814" s="763"/>
      <c r="AL814" s="763"/>
      <c r="AM814" s="763"/>
      <c r="AN814" s="763"/>
      <c r="AO814" s="763"/>
      <c r="AP814" s="763"/>
      <c r="AQ814" s="763"/>
      <c r="AR814" s="763"/>
      <c r="AS814" s="763"/>
      <c r="AT814" s="763"/>
      <c r="AU814" s="763"/>
      <c r="AV814" s="763"/>
      <c r="AW814" s="763"/>
      <c r="AX814" s="763"/>
      <c r="AY814" s="763"/>
      <c r="AZ814" s="763"/>
      <c r="BA814" s="763"/>
      <c r="BB814" s="763"/>
      <c r="BC814" s="763"/>
      <c r="BD814" s="763"/>
      <c r="BE814" s="763"/>
      <c r="BF814" s="763"/>
      <c r="BG814" s="763"/>
      <c r="BH814" s="763"/>
      <c r="BI814" s="763"/>
      <c r="BJ814" s="763"/>
      <c r="BK814" s="763"/>
      <c r="BL814" s="763"/>
      <c r="BM814" s="763"/>
      <c r="BN814" s="763"/>
      <c r="BO814" s="763"/>
      <c r="BP814" s="763"/>
      <c r="BQ814" s="763"/>
      <c r="BR814" s="763"/>
      <c r="BS814" s="763"/>
      <c r="BT814" s="763"/>
      <c r="BU814" s="763"/>
      <c r="BV814" s="763"/>
      <c r="BW814" s="763"/>
      <c r="BX814" s="763"/>
      <c r="BY814" s="763"/>
      <c r="BZ814" s="763"/>
      <c r="CA814" s="763"/>
      <c r="CB814" s="763"/>
      <c r="CC814" s="763"/>
      <c r="CD814" s="763"/>
      <c r="CE814" s="763"/>
      <c r="CF814" s="763"/>
      <c r="CG814" s="763"/>
      <c r="CH814" s="763"/>
      <c r="CI814" s="763"/>
      <c r="CJ814" s="763"/>
      <c r="CK814" s="763"/>
      <c r="CL814" s="763"/>
      <c r="CM814" s="763"/>
    </row>
    <row r="815" spans="11:91" ht="12" customHeight="1" x14ac:dyDescent="0.35">
      <c r="K815" s="28"/>
      <c r="L815" s="28"/>
      <c r="M815" s="28"/>
      <c r="N815" s="28"/>
      <c r="O815" s="28"/>
      <c r="P815" s="28"/>
      <c r="Q815" s="28"/>
      <c r="R815" s="31"/>
      <c r="S815" s="36"/>
      <c r="T815" s="26"/>
      <c r="U815" s="29"/>
      <c r="V815" s="29"/>
      <c r="W815" s="377"/>
      <c r="X815" s="1300"/>
      <c r="Y815" s="1300"/>
      <c r="Z815" s="1300"/>
      <c r="AA815" s="1300"/>
      <c r="AB815" s="1300"/>
      <c r="AC815" s="1300"/>
      <c r="AD815" s="29"/>
      <c r="AE815" s="376" t="s">
        <v>527</v>
      </c>
      <c r="AF815" s="763">
        <f t="shared" ref="AF815:BK815" si="590">AF801</f>
        <v>0</v>
      </c>
      <c r="AG815" s="763">
        <f t="shared" si="590"/>
        <v>0</v>
      </c>
      <c r="AH815" s="763">
        <f t="shared" si="590"/>
        <v>0</v>
      </c>
      <c r="AI815" s="763">
        <f t="shared" si="590"/>
        <v>0</v>
      </c>
      <c r="AJ815" s="763">
        <f t="shared" si="590"/>
        <v>0</v>
      </c>
      <c r="AK815" s="763">
        <f t="shared" si="590"/>
        <v>0</v>
      </c>
      <c r="AL815" s="763">
        <f t="shared" si="590"/>
        <v>0</v>
      </c>
      <c r="AM815" s="763">
        <f t="shared" si="590"/>
        <v>0</v>
      </c>
      <c r="AN815" s="763">
        <f t="shared" si="590"/>
        <v>0</v>
      </c>
      <c r="AO815" s="763">
        <f t="shared" si="590"/>
        <v>0</v>
      </c>
      <c r="AP815" s="763">
        <f t="shared" si="590"/>
        <v>0</v>
      </c>
      <c r="AQ815" s="763">
        <f t="shared" si="590"/>
        <v>0</v>
      </c>
      <c r="AR815" s="763">
        <f t="shared" si="590"/>
        <v>0</v>
      </c>
      <c r="AS815" s="763">
        <f t="shared" si="590"/>
        <v>0</v>
      </c>
      <c r="AT815" s="763">
        <f t="shared" si="590"/>
        <v>0</v>
      </c>
      <c r="AU815" s="763">
        <f t="shared" si="590"/>
        <v>0</v>
      </c>
      <c r="AV815" s="763">
        <f t="shared" si="590"/>
        <v>0</v>
      </c>
      <c r="AW815" s="763">
        <f t="shared" si="590"/>
        <v>0</v>
      </c>
      <c r="AX815" s="763">
        <f t="shared" si="590"/>
        <v>0</v>
      </c>
      <c r="AY815" s="763">
        <f t="shared" si="590"/>
        <v>0</v>
      </c>
      <c r="AZ815" s="763">
        <f t="shared" si="590"/>
        <v>0</v>
      </c>
      <c r="BA815" s="763">
        <f t="shared" si="590"/>
        <v>0</v>
      </c>
      <c r="BB815" s="763">
        <f t="shared" si="590"/>
        <v>0</v>
      </c>
      <c r="BC815" s="763">
        <f t="shared" si="590"/>
        <v>0</v>
      </c>
      <c r="BD815" s="763">
        <f t="shared" si="590"/>
        <v>0</v>
      </c>
      <c r="BE815" s="763">
        <f t="shared" si="590"/>
        <v>0</v>
      </c>
      <c r="BF815" s="763">
        <f t="shared" si="590"/>
        <v>0</v>
      </c>
      <c r="BG815" s="763">
        <f t="shared" si="590"/>
        <v>0</v>
      </c>
      <c r="BH815" s="763">
        <f t="shared" si="590"/>
        <v>0</v>
      </c>
      <c r="BI815" s="763">
        <f t="shared" si="590"/>
        <v>0</v>
      </c>
      <c r="BJ815" s="763">
        <f t="shared" si="590"/>
        <v>0</v>
      </c>
      <c r="BK815" s="763">
        <f t="shared" si="590"/>
        <v>0</v>
      </c>
      <c r="BL815" s="763">
        <f t="shared" ref="BL815:CM815" si="591">BL801</f>
        <v>0</v>
      </c>
      <c r="BM815" s="763">
        <f t="shared" si="591"/>
        <v>0</v>
      </c>
      <c r="BN815" s="763">
        <f t="shared" si="591"/>
        <v>0</v>
      </c>
      <c r="BO815" s="763">
        <f t="shared" si="591"/>
        <v>0</v>
      </c>
      <c r="BP815" s="763">
        <f t="shared" si="591"/>
        <v>0</v>
      </c>
      <c r="BQ815" s="763">
        <f t="shared" si="591"/>
        <v>0</v>
      </c>
      <c r="BR815" s="763">
        <f t="shared" si="591"/>
        <v>0</v>
      </c>
      <c r="BS815" s="763">
        <f t="shared" si="591"/>
        <v>0</v>
      </c>
      <c r="BT815" s="763">
        <f t="shared" si="591"/>
        <v>0</v>
      </c>
      <c r="BU815" s="763">
        <f t="shared" si="591"/>
        <v>0</v>
      </c>
      <c r="BV815" s="763">
        <f t="shared" si="591"/>
        <v>0</v>
      </c>
      <c r="BW815" s="763">
        <f t="shared" si="591"/>
        <v>0</v>
      </c>
      <c r="BX815" s="763">
        <f t="shared" si="591"/>
        <v>0</v>
      </c>
      <c r="BY815" s="763">
        <f t="shared" si="591"/>
        <v>0</v>
      </c>
      <c r="BZ815" s="763">
        <f t="shared" si="591"/>
        <v>0</v>
      </c>
      <c r="CA815" s="763">
        <f t="shared" si="591"/>
        <v>0</v>
      </c>
      <c r="CB815" s="763">
        <f t="shared" si="591"/>
        <v>0</v>
      </c>
      <c r="CC815" s="763">
        <f t="shared" si="591"/>
        <v>0</v>
      </c>
      <c r="CD815" s="763">
        <f t="shared" si="591"/>
        <v>0</v>
      </c>
      <c r="CE815" s="763">
        <f t="shared" si="591"/>
        <v>0</v>
      </c>
      <c r="CF815" s="763">
        <f t="shared" si="591"/>
        <v>0</v>
      </c>
      <c r="CG815" s="763">
        <f t="shared" si="591"/>
        <v>0</v>
      </c>
      <c r="CH815" s="763">
        <f t="shared" si="591"/>
        <v>0</v>
      </c>
      <c r="CI815" s="763">
        <f t="shared" si="591"/>
        <v>0</v>
      </c>
      <c r="CJ815" s="763">
        <f t="shared" si="591"/>
        <v>0</v>
      </c>
      <c r="CK815" s="763">
        <f t="shared" si="591"/>
        <v>0</v>
      </c>
      <c r="CL815" s="763">
        <f t="shared" si="591"/>
        <v>0</v>
      </c>
      <c r="CM815" s="763">
        <f t="shared" si="591"/>
        <v>0</v>
      </c>
    </row>
    <row r="816" spans="11:91" ht="12" customHeight="1" x14ac:dyDescent="0.35">
      <c r="K816" s="28"/>
      <c r="L816" s="28"/>
      <c r="M816" s="28"/>
      <c r="N816" s="28"/>
      <c r="O816" s="28"/>
      <c r="P816" s="28"/>
      <c r="Q816" s="28"/>
      <c r="R816" s="31"/>
      <c r="S816" s="36"/>
      <c r="T816" s="26"/>
      <c r="U816" s="29"/>
      <c r="V816" s="29"/>
      <c r="W816" s="377"/>
      <c r="X816" s="376"/>
      <c r="Y816" s="29"/>
      <c r="Z816" s="29"/>
      <c r="AA816" s="29"/>
      <c r="AB816" s="29"/>
      <c r="AC816" s="29"/>
      <c r="AD816" s="29"/>
      <c r="AE816" s="32" t="s">
        <v>528</v>
      </c>
      <c r="AF816" s="1145">
        <f>SUM(AF810:AF815)-AF801</f>
      </c>
      <c r="AG816" s="1145">
        <f t="shared" ref="AG816:BL816" si="592">SUM(AG810:AG815)-AG801</f>
        <v>0</v>
      </c>
      <c r="AH816" s="1145">
        <f t="shared" si="592"/>
        <v>0</v>
      </c>
      <c r="AI816" s="1145">
        <f t="shared" si="592"/>
        <v>0</v>
      </c>
      <c r="AJ816" s="1145">
        <f t="shared" si="592"/>
        <v>0</v>
      </c>
      <c r="AK816" s="1145">
        <f t="shared" si="592"/>
        <v>0</v>
      </c>
      <c r="AL816" s="1145">
        <f t="shared" si="592"/>
        <v>0</v>
      </c>
      <c r="AM816" s="1145">
        <f t="shared" si="592"/>
        <v>0</v>
      </c>
      <c r="AN816" s="1145">
        <f t="shared" si="592"/>
        <v>0</v>
      </c>
      <c r="AO816" s="1145">
        <f t="shared" si="592"/>
        <v>0</v>
      </c>
      <c r="AP816" s="1145">
        <f t="shared" si="592"/>
        <v>0</v>
      </c>
      <c r="AQ816" s="1145">
        <f t="shared" si="592"/>
        <v>0</v>
      </c>
      <c r="AR816" s="1145">
        <f t="shared" si="592"/>
        <v>0</v>
      </c>
      <c r="AS816" s="1145">
        <f t="shared" si="592"/>
        <v>0</v>
      </c>
      <c r="AT816" s="1145">
        <f t="shared" si="592"/>
        <v>0</v>
      </c>
      <c r="AU816" s="1145">
        <f t="shared" si="592"/>
        <v>0</v>
      </c>
      <c r="AV816" s="1145">
        <f t="shared" si="592"/>
        <v>0</v>
      </c>
      <c r="AW816" s="1145">
        <f t="shared" si="592"/>
        <v>0</v>
      </c>
      <c r="AX816" s="1145">
        <f t="shared" si="592"/>
        <v>0</v>
      </c>
      <c r="AY816" s="1145">
        <f t="shared" si="592"/>
        <v>0</v>
      </c>
      <c r="AZ816" s="1145">
        <f t="shared" si="592"/>
        <v>0</v>
      </c>
      <c r="BA816" s="1145">
        <f t="shared" si="592"/>
        <v>0</v>
      </c>
      <c r="BB816" s="1145">
        <f t="shared" si="592"/>
        <v>0</v>
      </c>
      <c r="BC816" s="1145">
        <f t="shared" si="592"/>
        <v>0</v>
      </c>
      <c r="BD816" s="1145">
        <f t="shared" si="592"/>
        <v>0</v>
      </c>
      <c r="BE816" s="1145">
        <f t="shared" si="592"/>
        <v>0</v>
      </c>
      <c r="BF816" s="1145">
        <f t="shared" si="592"/>
        <v>0</v>
      </c>
      <c r="BG816" s="1145">
        <f t="shared" si="592"/>
        <v>0</v>
      </c>
      <c r="BH816" s="1145">
        <f t="shared" si="592"/>
        <v>0</v>
      </c>
      <c r="BI816" s="1145">
        <f t="shared" si="592"/>
        <v>0</v>
      </c>
      <c r="BJ816" s="1145">
        <f t="shared" si="592"/>
        <v>0</v>
      </c>
      <c r="BK816" s="1145">
        <f t="shared" si="592"/>
        <v>0</v>
      </c>
      <c r="BL816" s="1145">
        <f t="shared" si="592"/>
        <v>0</v>
      </c>
      <c r="BM816" s="1145">
        <f t="shared" ref="BM816:CM816" si="593">SUM(BM810:BM815)-BM801</f>
        <v>0</v>
      </c>
      <c r="BN816" s="1145">
        <f t="shared" si="593"/>
        <v>0</v>
      </c>
      <c r="BO816" s="1145">
        <f t="shared" si="593"/>
        <v>0</v>
      </c>
      <c r="BP816" s="1145">
        <f t="shared" si="593"/>
        <v>0</v>
      </c>
      <c r="BQ816" s="1145">
        <f t="shared" si="593"/>
        <v>0</v>
      </c>
      <c r="BR816" s="1145">
        <f t="shared" si="593"/>
        <v>0</v>
      </c>
      <c r="BS816" s="1145">
        <f t="shared" si="593"/>
        <v>0</v>
      </c>
      <c r="BT816" s="1145">
        <f t="shared" si="593"/>
        <v>0</v>
      </c>
      <c r="BU816" s="1145">
        <f t="shared" si="593"/>
        <v>0</v>
      </c>
      <c r="BV816" s="1145">
        <f t="shared" si="593"/>
        <v>0</v>
      </c>
      <c r="BW816" s="1145">
        <f t="shared" si="593"/>
        <v>0</v>
      </c>
      <c r="BX816" s="1145">
        <f t="shared" si="593"/>
        <v>0</v>
      </c>
      <c r="BY816" s="1145">
        <f t="shared" si="593"/>
        <v>0</v>
      </c>
      <c r="BZ816" s="1145">
        <f t="shared" si="593"/>
        <v>0</v>
      </c>
      <c r="CA816" s="1145">
        <f t="shared" si="593"/>
        <v>0</v>
      </c>
      <c r="CB816" s="1145">
        <f t="shared" si="593"/>
        <v>0</v>
      </c>
      <c r="CC816" s="1145">
        <f t="shared" si="593"/>
        <v>0</v>
      </c>
      <c r="CD816" s="1145">
        <f t="shared" si="593"/>
        <v>0</v>
      </c>
      <c r="CE816" s="1145">
        <f t="shared" si="593"/>
        <v>0</v>
      </c>
      <c r="CF816" s="1145">
        <f t="shared" si="593"/>
        <v>0</v>
      </c>
      <c r="CG816" s="1145">
        <f t="shared" si="593"/>
        <v>0</v>
      </c>
      <c r="CH816" s="1145">
        <f t="shared" si="593"/>
        <v>0</v>
      </c>
      <c r="CI816" s="1145">
        <f t="shared" si="593"/>
        <v>0</v>
      </c>
      <c r="CJ816" s="1145">
        <f t="shared" si="593"/>
        <v>0</v>
      </c>
      <c r="CK816" s="1145">
        <f t="shared" si="593"/>
        <v>0</v>
      </c>
      <c r="CL816" s="1145">
        <f t="shared" si="593"/>
        <v>0</v>
      </c>
      <c r="CM816" s="1145">
        <f t="shared" si="593"/>
        <v>0</v>
      </c>
    </row>
    <row r="817" spans="11:151" ht="12" customHeight="1" x14ac:dyDescent="0.35">
      <c r="K817" s="28"/>
      <c r="L817" s="28"/>
      <c r="M817" s="28"/>
      <c r="N817" s="28"/>
      <c r="O817" s="28"/>
      <c r="P817" s="28"/>
      <c r="Q817" s="28"/>
      <c r="R817" s="31"/>
      <c r="S817" s="36"/>
      <c r="T817" s="26"/>
      <c r="U817" s="29"/>
      <c r="V817" s="29"/>
      <c r="W817" s="377"/>
      <c r="X817" s="376"/>
      <c r="Y817" s="29"/>
      <c r="Z817" s="29"/>
      <c r="AA817" s="29"/>
      <c r="AB817" s="29"/>
      <c r="AC817" s="29"/>
      <c r="AD817" s="29"/>
      <c r="AE817" s="376"/>
      <c r="AF817" s="380"/>
      <c r="AG817" s="1179" t="s">
        <v>529</v>
      </c>
      <c r="AH817" s="380"/>
      <c r="AI817" s="380"/>
      <c r="AJ817" s="380"/>
      <c r="AK817" s="380"/>
      <c r="AL817" s="380"/>
      <c r="AM817" s="380"/>
      <c r="AN817" s="380"/>
      <c r="AO817" s="380"/>
      <c r="AP817" s="380"/>
      <c r="AQ817" s="380"/>
      <c r="AR817" s="380"/>
      <c r="AS817" s="380"/>
      <c r="AT817" s="380"/>
      <c r="AU817" s="380"/>
      <c r="AV817" s="380"/>
      <c r="AW817" s="380"/>
      <c r="AX817" s="380"/>
      <c r="AY817" s="380"/>
      <c r="AZ817" s="380"/>
      <c r="BA817" s="380"/>
      <c r="BB817" s="380"/>
      <c r="BC817" s="380"/>
      <c r="BD817" s="380"/>
      <c r="BE817" s="380"/>
      <c r="BF817" s="380"/>
      <c r="BG817" s="380"/>
      <c r="BH817" s="380"/>
      <c r="BI817" s="380"/>
      <c r="BJ817" s="380"/>
      <c r="BK817" s="380"/>
      <c r="BL817" s="380"/>
      <c r="BM817" s="380"/>
      <c r="BN817" s="380"/>
      <c r="BO817" s="380"/>
      <c r="BP817" s="380"/>
      <c r="BQ817" s="380"/>
      <c r="BR817" s="380"/>
      <c r="BS817" s="380"/>
      <c r="BT817" s="380"/>
      <c r="BU817" s="380"/>
      <c r="BV817" s="380"/>
      <c r="BW817" s="380"/>
      <c r="BX817" s="380"/>
      <c r="BY817" s="380"/>
      <c r="BZ817" s="380"/>
      <c r="CA817" s="380"/>
      <c r="CB817" s="380"/>
      <c r="CC817" s="380"/>
      <c r="CD817" s="380"/>
      <c r="CE817" s="380"/>
      <c r="CF817" s="380"/>
      <c r="CG817" s="380"/>
      <c r="CH817" s="380"/>
      <c r="CI817" s="380"/>
      <c r="CJ817" s="380"/>
      <c r="CK817" s="380"/>
      <c r="CL817" s="380"/>
      <c r="CM817" s="380"/>
      <c r="CN817" s="1183"/>
      <c r="CO817" s="1183"/>
      <c r="CP817" s="1183"/>
      <c r="CQ817" s="1301"/>
      <c r="CR817" s="1301"/>
      <c r="CS817" s="1301"/>
      <c r="CT817" s="1301"/>
      <c r="CU817" s="1301"/>
      <c r="CV817" s="1301"/>
      <c r="CW817" s="1301"/>
      <c r="CX817" s="1301"/>
      <c r="CY817" s="1301"/>
      <c r="CZ817" s="1301"/>
      <c r="DA817" s="1301"/>
      <c r="DB817" s="1301"/>
      <c r="DC817" s="1301"/>
      <c r="DD817" s="1301"/>
      <c r="DE817" s="1301"/>
      <c r="DF817" s="1301"/>
      <c r="DG817" s="1301"/>
      <c r="DH817" s="1301"/>
      <c r="DI817" s="1301"/>
      <c r="DJ817" s="1301"/>
      <c r="DK817" s="1301"/>
      <c r="DL817" s="1301"/>
      <c r="DM817" s="1301"/>
      <c r="DN817" s="1301"/>
      <c r="DO817" s="1301"/>
      <c r="DP817" s="1301"/>
      <c r="DQ817" s="1301"/>
      <c r="DR817" s="1300"/>
      <c r="DS817" s="1300"/>
      <c r="DT817" s="1300"/>
      <c r="DU817" s="1300"/>
      <c r="DV817" s="1300"/>
      <c r="DW817" s="1300"/>
      <c r="DX817" s="1300"/>
      <c r="DY817" s="1300"/>
      <c r="DZ817" s="1300"/>
      <c r="EA817" s="1300"/>
      <c r="EB817" s="1300"/>
      <c r="EC817" s="1300"/>
      <c r="ED817" s="1300"/>
      <c r="EE817" s="1300"/>
      <c r="EF817" s="1300"/>
      <c r="EG817" s="1300"/>
      <c r="EH817" s="1300"/>
      <c r="EI817" s="1300"/>
      <c r="EJ817" s="1300"/>
      <c r="EK817" s="1300"/>
      <c r="EL817" s="1300"/>
      <c r="EM817" s="1300"/>
      <c r="EN817" s="1300"/>
      <c r="EO817" s="1300"/>
      <c r="EP817" s="1300"/>
      <c r="EQ817" s="1300"/>
      <c r="ER817" s="1300"/>
      <c r="ES817" s="1300"/>
      <c r="ET817" s="1300"/>
      <c r="EU817" s="1300"/>
    </row>
    <row r="818" spans="11:151" ht="12" customHeight="1" x14ac:dyDescent="0.35">
      <c r="K818" s="28"/>
      <c r="L818" s="28"/>
      <c r="M818" s="28"/>
      <c r="N818" s="28"/>
      <c r="O818" s="28"/>
      <c r="P818" s="28"/>
      <c r="Q818" s="28"/>
      <c r="R818" s="31"/>
      <c r="S818" s="36"/>
      <c r="T818" s="26"/>
      <c r="U818" s="29"/>
      <c r="V818" s="29"/>
      <c r="W818" s="377"/>
      <c r="X818" s="376"/>
      <c r="Y818" s="29"/>
      <c r="Z818" s="29"/>
      <c r="AA818" s="29"/>
      <c r="AB818" s="29">
        <v>1</v>
      </c>
      <c r="AC818" s="29"/>
      <c r="AD818" s="29"/>
      <c r="AE818" s="376" t="s">
        <v>530</v>
      </c>
      <c r="AF818" s="380">
        <v>0</v>
      </c>
      <c r="AG818" s="380">
        <v>0</v>
      </c>
      <c r="AH818" s="380">
        <v>0</v>
      </c>
      <c r="AI818" s="380">
        <v>0</v>
      </c>
      <c r="AJ818" s="380">
        <v>0</v>
      </c>
      <c r="AK818" s="380">
        <v>0</v>
      </c>
      <c r="AL818" s="380">
        <v>0</v>
      </c>
      <c r="AM818" s="380">
        <v>0</v>
      </c>
      <c r="AN818" s="380">
        <v>0</v>
      </c>
      <c r="AO818" s="380">
        <v>0</v>
      </c>
      <c r="AP818" s="380">
        <v>0</v>
      </c>
      <c r="AQ818" s="380">
        <v>0</v>
      </c>
      <c r="AR818" s="380">
        <v>0</v>
      </c>
      <c r="AS818" s="380">
        <v>0</v>
      </c>
      <c r="AT818" s="380">
        <v>0</v>
      </c>
      <c r="AU818" s="380">
        <v>0</v>
      </c>
      <c r="AV818" s="380">
        <v>0</v>
      </c>
      <c r="AW818" s="380">
        <v>0</v>
      </c>
      <c r="AX818" s="380">
        <v>0</v>
      </c>
      <c r="AY818" s="380">
        <v>0</v>
      </c>
      <c r="AZ818" s="380">
        <v>0</v>
      </c>
      <c r="BA818" s="380">
        <v>0</v>
      </c>
      <c r="BB818" s="380">
        <v>0</v>
      </c>
      <c r="BC818" s="380">
        <v>0</v>
      </c>
      <c r="BD818" s="380">
        <v>0</v>
      </c>
      <c r="BE818" s="380">
        <v>0</v>
      </c>
      <c r="BF818" s="380">
        <v>0</v>
      </c>
      <c r="BG818" s="380">
        <v>0</v>
      </c>
      <c r="BH818" s="380">
        <v>0</v>
      </c>
      <c r="BI818" s="380">
        <v>0</v>
      </c>
      <c r="BJ818" s="380">
        <v>0</v>
      </c>
      <c r="BK818" s="380">
        <v>0</v>
      </c>
      <c r="BL818" s="380">
        <v>0</v>
      </c>
      <c r="BM818" s="380">
        <v>0</v>
      </c>
      <c r="BN818" s="380">
        <v>0</v>
      </c>
      <c r="BO818" s="380">
        <v>0</v>
      </c>
      <c r="BP818" s="380">
        <v>0</v>
      </c>
      <c r="BQ818" s="380">
        <v>0</v>
      </c>
      <c r="BR818" s="380">
        <v>0</v>
      </c>
      <c r="BS818" s="380">
        <v>0</v>
      </c>
      <c r="BT818" s="380">
        <v>0</v>
      </c>
      <c r="BU818" s="380">
        <v>0</v>
      </c>
      <c r="BV818" s="380">
        <v>0</v>
      </c>
      <c r="BW818" s="380">
        <v>0</v>
      </c>
      <c r="BX818" s="380">
        <v>0</v>
      </c>
      <c r="BY818" s="380">
        <v>0</v>
      </c>
      <c r="BZ818" s="380">
        <v>0</v>
      </c>
      <c r="CA818" s="380">
        <v>0</v>
      </c>
      <c r="CB818" s="380">
        <v>0</v>
      </c>
      <c r="CC818" s="380">
        <v>0</v>
      </c>
      <c r="CD818" s="380">
        <v>0</v>
      </c>
      <c r="CE818" s="380">
        <v>0</v>
      </c>
      <c r="CF818" s="380">
        <v>0</v>
      </c>
      <c r="CG818" s="380">
        <v>0</v>
      </c>
      <c r="CH818" s="380">
        <v>0</v>
      </c>
      <c r="CI818" s="380">
        <v>0</v>
      </c>
      <c r="CJ818" s="380">
        <v>0</v>
      </c>
      <c r="CK818" s="380">
        <v>0</v>
      </c>
      <c r="CL818" s="380">
        <v>0</v>
      </c>
      <c r="CM818" s="380">
        <v>0</v>
      </c>
      <c r="CN818" s="1183"/>
      <c r="CO818" s="1183"/>
      <c r="CP818" s="1183"/>
      <c r="CQ818" s="1301"/>
      <c r="CR818" s="1301"/>
      <c r="CS818" s="1301"/>
      <c r="CT818" s="1301"/>
      <c r="CU818" s="1301"/>
      <c r="CV818" s="1301"/>
      <c r="CW818" s="1301"/>
      <c r="CX818" s="1301"/>
      <c r="CY818" s="1301"/>
      <c r="CZ818" s="1301"/>
      <c r="DA818" s="1301"/>
      <c r="DB818" s="1301"/>
      <c r="DC818" s="1301"/>
      <c r="DD818" s="1301"/>
      <c r="DE818" s="1301"/>
      <c r="DF818" s="1301"/>
      <c r="DG818" s="1301"/>
      <c r="DH818" s="1301"/>
      <c r="DI818" s="1301"/>
      <c r="DJ818" s="1301"/>
      <c r="DK818" s="1301"/>
      <c r="DL818" s="1301"/>
      <c r="DM818" s="1301"/>
      <c r="DN818" s="1301"/>
      <c r="DO818" s="1301"/>
      <c r="DP818" s="1301"/>
      <c r="DQ818" s="1301"/>
      <c r="DR818" s="1300"/>
      <c r="DS818" s="1300"/>
      <c r="DT818" s="1300"/>
      <c r="DU818" s="1300"/>
      <c r="DV818" s="1300"/>
      <c r="DW818" s="1300"/>
      <c r="DX818" s="1300"/>
      <c r="DY818" s="1300"/>
      <c r="DZ818" s="1300"/>
      <c r="EA818" s="1300"/>
      <c r="EB818" s="1300"/>
      <c r="EC818" s="1300"/>
      <c r="ED818" s="1300"/>
      <c r="EE818" s="1300"/>
      <c r="EF818" s="1300"/>
      <c r="EG818" s="1300"/>
      <c r="EH818" s="1300"/>
      <c r="EI818" s="1300"/>
      <c r="EJ818" s="1300"/>
      <c r="EK818" s="1300"/>
      <c r="EL818" s="1300"/>
      <c r="EM818" s="1300"/>
      <c r="EN818" s="1300"/>
      <c r="EO818" s="1300"/>
      <c r="EP818" s="1300"/>
      <c r="EQ818" s="1300"/>
      <c r="ER818" s="1300"/>
      <c r="ES818" s="1300"/>
      <c r="ET818" s="1300"/>
      <c r="EU818" s="1300"/>
    </row>
    <row r="819" spans="11:151" ht="12" customHeight="1" x14ac:dyDescent="0.35">
      <c r="K819" s="28"/>
      <c r="L819" s="28"/>
      <c r="M819" s="28"/>
      <c r="N819" s="28"/>
      <c r="O819" s="28"/>
      <c r="P819" s="28"/>
      <c r="Q819" s="28"/>
      <c r="R819" s="31"/>
      <c r="S819" s="36"/>
      <c r="T819" s="26"/>
      <c r="U819" s="29"/>
      <c r="V819" s="29"/>
      <c r="W819" s="377"/>
      <c r="X819" s="376"/>
      <c r="Y819" s="29"/>
      <c r="Z819" s="29"/>
      <c r="AA819" s="29"/>
      <c r="AB819" s="29"/>
      <c r="AC819" s="29"/>
      <c r="AD819" s="29"/>
      <c r="AE819" s="376" t="s">
        <v>531</v>
      </c>
      <c r="AF819" s="380">
        <f>IFERROR(AF793+AF794,0)</f>
        <v>0</v>
      </c>
      <c r="AG819" s="380">
        <f>IFERROR(AG793+AG794,0)</f>
        <v>0</v>
      </c>
      <c r="AH819" s="380">
        <f t="shared" ref="AH819:BM819" si="594">IFERROR(AH792+AH793,0)</f>
        <v>0</v>
      </c>
      <c r="AI819" s="380">
        <f t="shared" si="594"/>
        <v>0</v>
      </c>
      <c r="AJ819" s="380">
        <f t="shared" si="594"/>
        <v>0</v>
      </c>
      <c r="AK819" s="380">
        <f t="shared" si="594"/>
        <v>0</v>
      </c>
      <c r="AL819" s="380">
        <f t="shared" si="594"/>
        <v>0</v>
      </c>
      <c r="AM819" s="380">
        <f t="shared" si="594"/>
        <v>0</v>
      </c>
      <c r="AN819" s="380">
        <f t="shared" si="594"/>
        <v>0</v>
      </c>
      <c r="AO819" s="380">
        <f t="shared" si="594"/>
        <v>0</v>
      </c>
      <c r="AP819" s="380">
        <f t="shared" si="594"/>
        <v>0</v>
      </c>
      <c r="AQ819" s="380">
        <f t="shared" si="594"/>
        <v>0</v>
      </c>
      <c r="AR819" s="380">
        <f t="shared" si="594"/>
        <v>0</v>
      </c>
      <c r="AS819" s="380">
        <f t="shared" si="594"/>
        <v>0</v>
      </c>
      <c r="AT819" s="380">
        <f t="shared" si="594"/>
        <v>0</v>
      </c>
      <c r="AU819" s="380">
        <f t="shared" si="594"/>
        <v>0</v>
      </c>
      <c r="AV819" s="380">
        <f t="shared" si="594"/>
        <v>0</v>
      </c>
      <c r="AW819" s="380">
        <f t="shared" si="594"/>
        <v>0</v>
      </c>
      <c r="AX819" s="380">
        <f t="shared" si="594"/>
        <v>0</v>
      </c>
      <c r="AY819" s="380">
        <f t="shared" si="594"/>
        <v>0</v>
      </c>
      <c r="AZ819" s="380">
        <f t="shared" si="594"/>
        <v>0</v>
      </c>
      <c r="BA819" s="380">
        <f t="shared" si="594"/>
        <v>0</v>
      </c>
      <c r="BB819" s="380">
        <f t="shared" si="594"/>
        <v>0</v>
      </c>
      <c r="BC819" s="380">
        <f t="shared" si="594"/>
        <v>0</v>
      </c>
      <c r="BD819" s="380">
        <f t="shared" si="594"/>
        <v>0</v>
      </c>
      <c r="BE819" s="380">
        <f t="shared" si="594"/>
        <v>0</v>
      </c>
      <c r="BF819" s="380">
        <f t="shared" si="594"/>
        <v>0</v>
      </c>
      <c r="BG819" s="380">
        <f t="shared" si="594"/>
        <v>0</v>
      </c>
      <c r="BH819" s="380">
        <f t="shared" si="594"/>
        <v>0</v>
      </c>
      <c r="BI819" s="380">
        <f t="shared" si="594"/>
        <v>0</v>
      </c>
      <c r="BJ819" s="380">
        <f t="shared" si="594"/>
        <v>0</v>
      </c>
      <c r="BK819" s="380">
        <f t="shared" si="594"/>
        <v>0</v>
      </c>
      <c r="BL819" s="380">
        <f t="shared" si="594"/>
        <v>0</v>
      </c>
      <c r="BM819" s="380">
        <f t="shared" si="594"/>
        <v>0</v>
      </c>
      <c r="BN819" s="380">
        <f t="shared" ref="BN819:CM819" si="595">IFERROR(BN792+BN793,0)</f>
        <v>0</v>
      </c>
      <c r="BO819" s="380">
        <f t="shared" si="595"/>
        <v>0</v>
      </c>
      <c r="BP819" s="380">
        <f t="shared" si="595"/>
        <v>0</v>
      </c>
      <c r="BQ819" s="380">
        <f t="shared" si="595"/>
        <v>0</v>
      </c>
      <c r="BR819" s="380">
        <f t="shared" si="595"/>
        <v>0</v>
      </c>
      <c r="BS819" s="380">
        <f t="shared" si="595"/>
        <v>0</v>
      </c>
      <c r="BT819" s="380">
        <f t="shared" si="595"/>
        <v>0</v>
      </c>
      <c r="BU819" s="380">
        <f t="shared" si="595"/>
        <v>0</v>
      </c>
      <c r="BV819" s="380">
        <f t="shared" si="595"/>
        <v>0</v>
      </c>
      <c r="BW819" s="380">
        <f t="shared" si="595"/>
        <v>0</v>
      </c>
      <c r="BX819" s="380">
        <f t="shared" si="595"/>
        <v>0</v>
      </c>
      <c r="BY819" s="380">
        <f t="shared" si="595"/>
        <v>0</v>
      </c>
      <c r="BZ819" s="380">
        <f t="shared" si="595"/>
        <v>0</v>
      </c>
      <c r="CA819" s="380">
        <f t="shared" si="595"/>
        <v>0</v>
      </c>
      <c r="CB819" s="380">
        <f t="shared" si="595"/>
        <v>0</v>
      </c>
      <c r="CC819" s="380">
        <f t="shared" si="595"/>
        <v>0</v>
      </c>
      <c r="CD819" s="380">
        <f t="shared" si="595"/>
        <v>0</v>
      </c>
      <c r="CE819" s="380">
        <f t="shared" si="595"/>
        <v>0</v>
      </c>
      <c r="CF819" s="380">
        <f t="shared" si="595"/>
        <v>0</v>
      </c>
      <c r="CG819" s="380">
        <f t="shared" si="595"/>
        <v>0</v>
      </c>
      <c r="CH819" s="380">
        <f t="shared" si="595"/>
        <v>0</v>
      </c>
      <c r="CI819" s="380">
        <f t="shared" si="595"/>
        <v>0</v>
      </c>
      <c r="CJ819" s="380">
        <f t="shared" si="595"/>
        <v>0</v>
      </c>
      <c r="CK819" s="380">
        <f t="shared" si="595"/>
        <v>0</v>
      </c>
      <c r="CL819" s="380">
        <f t="shared" si="595"/>
        <v>0</v>
      </c>
      <c r="CM819" s="380">
        <f t="shared" si="595"/>
        <v>0</v>
      </c>
      <c r="CN819" s="1183"/>
      <c r="CO819" s="1183"/>
      <c r="CP819" s="1183"/>
      <c r="CQ819" s="1301"/>
      <c r="CR819" s="1301"/>
      <c r="CS819" s="1301"/>
      <c r="CT819" s="1301"/>
      <c r="CU819" s="1301"/>
      <c r="CV819" s="1301"/>
      <c r="CW819" s="1301"/>
      <c r="CX819" s="1301"/>
      <c r="CY819" s="1301"/>
      <c r="CZ819" s="1301"/>
      <c r="DA819" s="1301"/>
      <c r="DB819" s="1301"/>
      <c r="DC819" s="1301"/>
      <c r="DD819" s="1301"/>
      <c r="DE819" s="1301"/>
      <c r="DF819" s="1301"/>
      <c r="DG819" s="1301"/>
      <c r="DH819" s="1301"/>
      <c r="DI819" s="1301"/>
      <c r="DJ819" s="1301"/>
      <c r="DK819" s="1301"/>
      <c r="DL819" s="1301"/>
      <c r="DM819" s="1301"/>
      <c r="DN819" s="1301"/>
      <c r="DO819" s="1301"/>
      <c r="DP819" s="1301"/>
      <c r="DQ819" s="1301"/>
      <c r="DR819" s="1300"/>
      <c r="DS819" s="1300"/>
      <c r="DT819" s="1300"/>
      <c r="DU819" s="1300"/>
      <c r="DV819" s="1300"/>
      <c r="DW819" s="1300"/>
      <c r="DX819" s="1300"/>
      <c r="DY819" s="1300"/>
      <c r="DZ819" s="1300"/>
      <c r="EA819" s="1300"/>
      <c r="EB819" s="1300"/>
      <c r="EC819" s="1300"/>
      <c r="ED819" s="1300"/>
      <c r="EE819" s="1300"/>
      <c r="EF819" s="1300"/>
      <c r="EG819" s="1300"/>
      <c r="EH819" s="1300"/>
      <c r="EI819" s="1300"/>
      <c r="EJ819" s="1300"/>
      <c r="EK819" s="1300"/>
      <c r="EL819" s="1300"/>
      <c r="EM819" s="1300"/>
      <c r="EN819" s="1300"/>
      <c r="EO819" s="1300"/>
      <c r="EP819" s="1300"/>
      <c r="EQ819" s="1300"/>
      <c r="ER819" s="1300"/>
      <c r="ES819" s="1300"/>
      <c r="ET819" s="1300"/>
      <c r="EU819" s="1300"/>
    </row>
    <row r="820" spans="11:151" ht="12" customHeight="1" x14ac:dyDescent="0.35">
      <c r="K820" s="28"/>
      <c r="L820" s="28"/>
      <c r="M820" s="28"/>
      <c r="N820" s="28"/>
      <c r="O820" s="28"/>
      <c r="P820" s="28"/>
      <c r="Q820" s="28"/>
      <c r="R820" s="31"/>
      <c r="S820" s="36"/>
      <c r="T820" s="26"/>
      <c r="U820" s="29"/>
      <c r="V820" s="29"/>
      <c r="W820" s="377"/>
      <c r="X820" s="376"/>
      <c r="Y820" s="29"/>
      <c r="Z820" s="29"/>
      <c r="AA820" s="29"/>
      <c r="AB820" s="29"/>
      <c r="AC820" s="29"/>
      <c r="AD820" s="29"/>
      <c r="AE820" s="376" t="s">
        <v>532</v>
      </c>
      <c r="AF820" s="380">
        <f>AF792</f>
        <v>0</v>
      </c>
      <c r="AG820" s="380">
        <f t="shared" ref="AG820:CM820" si="596">AG792</f>
        <v>0</v>
      </c>
      <c r="AH820" s="380">
        <f t="shared" si="596"/>
        <v>0</v>
      </c>
      <c r="AI820" s="380">
        <f t="shared" si="596"/>
        <v>0</v>
      </c>
      <c r="AJ820" s="380">
        <f t="shared" si="596"/>
        <v>0</v>
      </c>
      <c r="AK820" s="380">
        <f t="shared" si="596"/>
        <v>0</v>
      </c>
      <c r="AL820" s="380">
        <f t="shared" si="596"/>
        <v>0</v>
      </c>
      <c r="AM820" s="380">
        <f t="shared" si="596"/>
        <v>0</v>
      </c>
      <c r="AN820" s="380">
        <f t="shared" si="596"/>
        <v>0</v>
      </c>
      <c r="AO820" s="380">
        <f t="shared" si="596"/>
        <v>0</v>
      </c>
      <c r="AP820" s="380">
        <f t="shared" si="596"/>
        <v>0</v>
      </c>
      <c r="AQ820" s="380">
        <f t="shared" si="596"/>
        <v>0</v>
      </c>
      <c r="AR820" s="380">
        <f t="shared" si="596"/>
        <v>0</v>
      </c>
      <c r="AS820" s="380">
        <f t="shared" si="596"/>
        <v>0</v>
      </c>
      <c r="AT820" s="380">
        <f t="shared" si="596"/>
        <v>0</v>
      </c>
      <c r="AU820" s="380">
        <f t="shared" si="596"/>
        <v>0</v>
      </c>
      <c r="AV820" s="380">
        <f t="shared" si="596"/>
        <v>0</v>
      </c>
      <c r="AW820" s="380">
        <f t="shared" si="596"/>
        <v>0</v>
      </c>
      <c r="AX820" s="380">
        <f t="shared" si="596"/>
        <v>0</v>
      </c>
      <c r="AY820" s="380">
        <f t="shared" si="596"/>
        <v>0</v>
      </c>
      <c r="AZ820" s="380">
        <f t="shared" si="596"/>
        <v>0</v>
      </c>
      <c r="BA820" s="380">
        <f t="shared" si="596"/>
        <v>0</v>
      </c>
      <c r="BB820" s="380">
        <f t="shared" si="596"/>
        <v>0</v>
      </c>
      <c r="BC820" s="380">
        <f t="shared" si="596"/>
        <v>0</v>
      </c>
      <c r="BD820" s="380">
        <f t="shared" si="596"/>
        <v>0</v>
      </c>
      <c r="BE820" s="380">
        <f t="shared" si="596"/>
        <v>0</v>
      </c>
      <c r="BF820" s="380">
        <f t="shared" si="596"/>
        <v>0</v>
      </c>
      <c r="BG820" s="380">
        <f t="shared" si="596"/>
        <v>0</v>
      </c>
      <c r="BH820" s="380">
        <f t="shared" si="596"/>
        <v>0</v>
      </c>
      <c r="BI820" s="380">
        <f t="shared" si="596"/>
        <v>0</v>
      </c>
      <c r="BJ820" s="380">
        <f t="shared" si="596"/>
        <v>0</v>
      </c>
      <c r="BK820" s="380">
        <f t="shared" si="596"/>
        <v>0</v>
      </c>
      <c r="BL820" s="380">
        <f t="shared" si="596"/>
        <v>0</v>
      </c>
      <c r="BM820" s="380">
        <f t="shared" si="596"/>
        <v>0</v>
      </c>
      <c r="BN820" s="380">
        <f t="shared" si="596"/>
        <v>0</v>
      </c>
      <c r="BO820" s="380">
        <f t="shared" si="596"/>
        <v>0</v>
      </c>
      <c r="BP820" s="380">
        <f t="shared" si="596"/>
        <v>0</v>
      </c>
      <c r="BQ820" s="380">
        <f t="shared" si="596"/>
        <v>0</v>
      </c>
      <c r="BR820" s="380">
        <f t="shared" si="596"/>
        <v>0</v>
      </c>
      <c r="BS820" s="380">
        <f t="shared" si="596"/>
        <v>0</v>
      </c>
      <c r="BT820" s="380">
        <f t="shared" si="596"/>
        <v>0</v>
      </c>
      <c r="BU820" s="380">
        <f t="shared" si="596"/>
        <v>0</v>
      </c>
      <c r="BV820" s="380">
        <f t="shared" si="596"/>
        <v>0</v>
      </c>
      <c r="BW820" s="380">
        <f t="shared" si="596"/>
        <v>0</v>
      </c>
      <c r="BX820" s="380">
        <f t="shared" si="596"/>
        <v>0</v>
      </c>
      <c r="BY820" s="380">
        <f t="shared" si="596"/>
        <v>0</v>
      </c>
      <c r="BZ820" s="380">
        <f t="shared" si="596"/>
        <v>0</v>
      </c>
      <c r="CA820" s="380">
        <f t="shared" si="596"/>
        <v>0</v>
      </c>
      <c r="CB820" s="380">
        <f t="shared" si="596"/>
        <v>0</v>
      </c>
      <c r="CC820" s="380">
        <f t="shared" si="596"/>
        <v>0</v>
      </c>
      <c r="CD820" s="380">
        <f t="shared" si="596"/>
        <v>0</v>
      </c>
      <c r="CE820" s="380">
        <f t="shared" si="596"/>
        <v>0</v>
      </c>
      <c r="CF820" s="380">
        <f t="shared" si="596"/>
        <v>0</v>
      </c>
      <c r="CG820" s="380">
        <f t="shared" si="596"/>
        <v>0</v>
      </c>
      <c r="CH820" s="380">
        <f t="shared" si="596"/>
        <v>0</v>
      </c>
      <c r="CI820" s="380">
        <f t="shared" si="596"/>
        <v>0</v>
      </c>
      <c r="CJ820" s="380">
        <f t="shared" si="596"/>
        <v>0</v>
      </c>
      <c r="CK820" s="380">
        <f t="shared" si="596"/>
        <v>0</v>
      </c>
      <c r="CL820" s="380">
        <f t="shared" si="596"/>
        <v>0</v>
      </c>
      <c r="CM820" s="380">
        <f t="shared" si="596"/>
        <v>0</v>
      </c>
      <c r="CN820" s="1183"/>
      <c r="CO820" s="1183"/>
      <c r="CP820" s="1183"/>
      <c r="CQ820" s="1301"/>
      <c r="CR820" s="1301"/>
      <c r="CS820" s="1301"/>
      <c r="CT820" s="1301"/>
      <c r="CU820" s="1301"/>
      <c r="CV820" s="1301"/>
      <c r="CW820" s="1301"/>
      <c r="CX820" s="1301"/>
      <c r="CY820" s="1301"/>
      <c r="CZ820" s="1301"/>
      <c r="DA820" s="1301"/>
      <c r="DB820" s="1301"/>
      <c r="DC820" s="1301"/>
      <c r="DD820" s="1301"/>
      <c r="DE820" s="1301"/>
      <c r="DF820" s="1301"/>
      <c r="DG820" s="1301"/>
      <c r="DH820" s="1301"/>
      <c r="DI820" s="1301"/>
      <c r="DJ820" s="1301"/>
      <c r="DK820" s="1301"/>
      <c r="DL820" s="1301"/>
      <c r="DM820" s="1301"/>
      <c r="DN820" s="1301"/>
      <c r="DO820" s="1301"/>
      <c r="DP820" s="1301"/>
      <c r="DQ820" s="1301"/>
      <c r="DR820" s="1300"/>
      <c r="DS820" s="1300"/>
      <c r="DT820" s="1300"/>
      <c r="DU820" s="1300"/>
      <c r="DV820" s="1300"/>
      <c r="DW820" s="1300"/>
      <c r="DX820" s="1300"/>
      <c r="DY820" s="1300"/>
      <c r="DZ820" s="1300"/>
      <c r="EA820" s="1300"/>
      <c r="EB820" s="1300"/>
      <c r="EC820" s="1300"/>
      <c r="ED820" s="1300"/>
      <c r="EE820" s="1300"/>
      <c r="EF820" s="1300"/>
      <c r="EG820" s="1300"/>
      <c r="EH820" s="1300"/>
      <c r="EI820" s="1300"/>
      <c r="EJ820" s="1300"/>
      <c r="EK820" s="1300"/>
      <c r="EL820" s="1300"/>
      <c r="EM820" s="1300"/>
      <c r="EN820" s="1300"/>
      <c r="EO820" s="1300"/>
      <c r="EP820" s="1300"/>
      <c r="EQ820" s="1300"/>
      <c r="ER820" s="1300"/>
      <c r="ES820" s="1300"/>
      <c r="ET820" s="1300"/>
      <c r="EU820" s="1300"/>
    </row>
    <row r="821" spans="11:151" ht="12" customHeight="1" x14ac:dyDescent="0.35">
      <c r="K821" s="28"/>
      <c r="L821" s="28"/>
      <c r="M821" s="28"/>
      <c r="N821" s="28"/>
      <c r="O821" s="28"/>
      <c r="P821" s="28"/>
      <c r="Q821" s="28"/>
      <c r="R821" s="31"/>
      <c r="S821" s="36"/>
      <c r="T821" s="26"/>
      <c r="U821" s="29"/>
      <c r="V821" s="29"/>
      <c r="W821" s="377"/>
      <c r="X821" s="376"/>
      <c r="Y821" s="29"/>
      <c r="Z821" s="29"/>
      <c r="AA821" s="29"/>
      <c r="AB821" s="29"/>
      <c r="AC821" s="29"/>
      <c r="AD821" s="29"/>
      <c r="AE821" s="376"/>
      <c r="AF821" s="380"/>
      <c r="AG821" s="380"/>
      <c r="AH821" s="380"/>
      <c r="AI821" s="380"/>
      <c r="AJ821" s="380"/>
      <c r="AK821" s="380"/>
      <c r="AL821" s="380"/>
      <c r="AM821" s="380"/>
      <c r="AN821" s="380"/>
      <c r="AO821" s="380"/>
      <c r="AP821" s="380"/>
      <c r="AQ821" s="1144"/>
      <c r="AR821" s="380"/>
      <c r="AS821" s="380"/>
      <c r="AT821" s="380"/>
      <c r="AU821" s="380"/>
      <c r="AV821" s="380"/>
      <c r="AW821" s="380"/>
      <c r="AX821" s="380"/>
      <c r="AY821" s="380"/>
      <c r="AZ821" s="380"/>
      <c r="BA821" s="380"/>
      <c r="BB821" s="380"/>
      <c r="BC821" s="380"/>
      <c r="BD821" s="380"/>
      <c r="BE821" s="380"/>
      <c r="BF821" s="380"/>
      <c r="BG821" s="380"/>
      <c r="BH821" s="380"/>
      <c r="BI821" s="380"/>
      <c r="BJ821" s="380"/>
      <c r="BK821" s="380"/>
      <c r="BL821" s="380"/>
      <c r="BM821" s="380"/>
      <c r="BN821" s="380"/>
      <c r="BO821" s="380"/>
      <c r="BP821" s="380"/>
      <c r="BQ821" s="380"/>
      <c r="BR821" s="380"/>
      <c r="BS821" s="380"/>
      <c r="BT821" s="380"/>
      <c r="BU821" s="380"/>
      <c r="BV821" s="380"/>
      <c r="BW821" s="380"/>
      <c r="BX821" s="380"/>
      <c r="BY821" s="380"/>
      <c r="BZ821" s="380"/>
      <c r="CA821" s="380"/>
      <c r="CB821" s="380"/>
      <c r="CC821" s="380"/>
      <c r="CD821" s="380"/>
      <c r="CE821" s="380"/>
      <c r="CF821" s="380"/>
      <c r="CG821" s="380"/>
      <c r="CH821" s="380"/>
      <c r="CI821" s="380"/>
      <c r="CJ821" s="380"/>
      <c r="CK821" s="380"/>
      <c r="CL821" s="380"/>
      <c r="CM821" s="380"/>
      <c r="CN821" s="1183"/>
      <c r="CO821" s="1183"/>
      <c r="CP821" s="1183"/>
      <c r="CQ821" s="1301"/>
      <c r="CR821" s="1301"/>
      <c r="CS821" s="1301"/>
      <c r="CT821" s="1301"/>
      <c r="CU821" s="1301"/>
      <c r="CV821" s="1301"/>
      <c r="CW821" s="1301"/>
      <c r="CX821" s="1301"/>
      <c r="CY821" s="1301"/>
      <c r="CZ821" s="1301"/>
      <c r="DA821" s="1301"/>
      <c r="DB821" s="1301"/>
      <c r="DC821" s="1301"/>
      <c r="DD821" s="1301"/>
      <c r="DE821" s="1301"/>
      <c r="DF821" s="1301"/>
      <c r="DG821" s="1301"/>
      <c r="DH821" s="1301"/>
      <c r="DI821" s="1301"/>
      <c r="DJ821" s="1301"/>
      <c r="DK821" s="1301"/>
      <c r="DL821" s="1301"/>
      <c r="DM821" s="1301"/>
      <c r="DN821" s="1301"/>
      <c r="DO821" s="1301"/>
      <c r="DP821" s="1301"/>
      <c r="DQ821" s="1301"/>
      <c r="DR821" s="1300"/>
      <c r="DS821" s="1300"/>
      <c r="DT821" s="1300"/>
      <c r="DU821" s="1300"/>
      <c r="DV821" s="1300"/>
      <c r="DW821" s="1300"/>
      <c r="DX821" s="1300"/>
      <c r="DY821" s="1300"/>
      <c r="DZ821" s="1300"/>
      <c r="EA821" s="1300"/>
      <c r="EB821" s="1300"/>
      <c r="EC821" s="1300"/>
      <c r="ED821" s="1300"/>
      <c r="EE821" s="1300"/>
      <c r="EF821" s="1300"/>
      <c r="EG821" s="1300"/>
      <c r="EH821" s="1300"/>
      <c r="EI821" s="1300"/>
      <c r="EJ821" s="1300"/>
      <c r="EK821" s="1300"/>
      <c r="EL821" s="1300"/>
      <c r="EM821" s="1300"/>
      <c r="EN821" s="1300"/>
      <c r="EO821" s="1300"/>
      <c r="EP821" s="1300"/>
      <c r="EQ821" s="1300"/>
      <c r="ER821" s="1300"/>
      <c r="ES821" s="1300"/>
      <c r="ET821" s="1300"/>
      <c r="EU821" s="1300"/>
    </row>
    <row r="822" spans="11:151" ht="12" customHeight="1" x14ac:dyDescent="0.35">
      <c r="K822" s="28"/>
      <c r="L822" s="28"/>
      <c r="M822" s="28"/>
      <c r="N822" s="28"/>
      <c r="O822" s="28"/>
      <c r="P822" s="28"/>
      <c r="Q822" s="28"/>
      <c r="R822" s="31"/>
      <c r="S822" s="36"/>
      <c r="T822" s="26"/>
      <c r="U822" s="29"/>
      <c r="V822" s="29"/>
      <c r="W822" s="377"/>
      <c r="X822" s="376"/>
      <c r="Y822" s="29"/>
      <c r="Z822" s="29"/>
      <c r="AA822" s="29"/>
      <c r="AB822" s="29"/>
      <c r="AC822" s="29"/>
      <c r="AD822" s="29"/>
      <c r="AE822" s="29"/>
      <c r="AF822" s="29"/>
      <c r="AG822" s="29"/>
      <c r="AH822" s="29"/>
      <c r="AI822" s="29"/>
      <c r="AJ822" s="29"/>
      <c r="AK822" s="29"/>
      <c r="AL822" s="29"/>
      <c r="AM822" s="29"/>
      <c r="AN822" s="29"/>
      <c r="AO822" s="29"/>
      <c r="AP822" s="29"/>
      <c r="AQ822" s="29"/>
      <c r="AR822" s="29"/>
      <c r="AS822" s="29"/>
      <c r="AT822" s="29"/>
      <c r="AU822" s="29"/>
      <c r="AV822" s="29"/>
      <c r="AW822" s="29"/>
      <c r="AX822" s="29"/>
      <c r="AY822" s="29"/>
      <c r="AZ822" s="29"/>
      <c r="BA822" s="29"/>
      <c r="BB822" s="29"/>
      <c r="BC822" s="29"/>
      <c r="BD822" s="29"/>
      <c r="BE822" s="29"/>
      <c r="BF822" s="29"/>
      <c r="BG822" s="29"/>
      <c r="BH822" s="29"/>
      <c r="BI822" s="29"/>
      <c r="BJ822" s="29"/>
      <c r="BK822" s="29"/>
      <c r="BL822" s="29"/>
      <c r="BM822" s="29"/>
      <c r="BN822" s="29"/>
      <c r="BO822" s="29"/>
      <c r="BP822" s="29"/>
      <c r="BQ822" s="29"/>
      <c r="BR822" s="29"/>
      <c r="BS822" s="29"/>
      <c r="BT822" s="29"/>
      <c r="BU822" s="29"/>
      <c r="BV822" s="29"/>
      <c r="BW822" s="29"/>
      <c r="BX822" s="29"/>
      <c r="BY822" s="29"/>
      <c r="BZ822" s="29"/>
      <c r="CA822" s="29"/>
      <c r="CB822" s="29"/>
      <c r="CC822" s="29"/>
      <c r="CD822" s="29"/>
      <c r="CE822" s="29"/>
      <c r="CF822" s="29"/>
      <c r="CG822" s="29"/>
      <c r="CH822" s="29"/>
      <c r="CI822" s="29"/>
      <c r="CJ822" s="29"/>
      <c r="CK822" s="29"/>
      <c r="CL822" s="29"/>
      <c r="CM822" s="29"/>
      <c r="CN822" s="29"/>
      <c r="CO822" s="29"/>
      <c r="CP822" s="29"/>
      <c r="CQ822" s="29"/>
      <c r="CR822" s="29"/>
      <c r="CS822" s="29"/>
      <c r="CT822" s="29"/>
      <c r="CU822" s="29"/>
      <c r="CV822" s="29"/>
      <c r="CW822" s="29"/>
      <c r="CX822" s="29"/>
      <c r="CY822" s="29"/>
      <c r="CZ822" s="29"/>
      <c r="DA822" s="29"/>
      <c r="DB822" s="29"/>
      <c r="DC822" s="29"/>
      <c r="DD822" s="29"/>
      <c r="DE822" s="29"/>
      <c r="DF822" s="29"/>
      <c r="DG822" s="29"/>
      <c r="DH822" s="29"/>
      <c r="DI822" s="29"/>
      <c r="DJ822" s="29"/>
      <c r="DK822" s="29"/>
      <c r="DL822" s="29"/>
      <c r="DM822" s="29"/>
      <c r="DN822" s="29"/>
      <c r="DO822" s="29"/>
      <c r="DP822" s="29"/>
      <c r="DQ822" s="29"/>
      <c r="DR822" s="29"/>
      <c r="DS822" s="29"/>
      <c r="DT822" s="29"/>
      <c r="DU822" s="29"/>
      <c r="DV822" s="29"/>
      <c r="DW822" s="29"/>
      <c r="DX822" s="29"/>
      <c r="DY822" s="29"/>
      <c r="DZ822" s="29"/>
      <c r="EA822" s="29"/>
      <c r="EB822" s="29"/>
      <c r="EC822" s="29"/>
      <c r="ED822" s="29"/>
      <c r="EE822" s="29"/>
      <c r="EF822" s="29"/>
      <c r="EG822" s="29"/>
      <c r="EH822" s="29"/>
      <c r="EI822" s="29"/>
      <c r="EJ822" s="29"/>
      <c r="EK822" s="29"/>
      <c r="EL822" s="29"/>
      <c r="EM822" s="29"/>
      <c r="EN822" s="29"/>
      <c r="EO822" s="29"/>
      <c r="EP822" s="29"/>
      <c r="EQ822" s="29"/>
      <c r="ER822" s="29"/>
      <c r="ES822" s="29"/>
      <c r="ET822" s="29"/>
      <c r="EU822" s="29"/>
    </row>
    <row r="823" spans="11:151" ht="12" customHeight="1" x14ac:dyDescent="0.35">
      <c r="K823" s="28"/>
      <c r="L823" s="28"/>
      <c r="M823" s="28"/>
      <c r="N823" s="28"/>
      <c r="O823" s="28"/>
      <c r="P823" s="28"/>
      <c r="Q823" s="28"/>
      <c r="R823" s="31"/>
      <c r="S823" s="36"/>
      <c r="T823" s="26"/>
      <c r="U823" s="29"/>
      <c r="V823" s="29"/>
      <c r="W823" s="377"/>
      <c r="X823" s="376"/>
      <c r="Y823" s="29"/>
      <c r="Z823" s="29"/>
      <c r="AA823" s="29"/>
      <c r="AB823" s="29"/>
      <c r="AC823" s="29"/>
      <c r="AD823" s="29"/>
      <c r="AE823" s="376"/>
      <c r="AF823" s="1142">
        <f>Infrastructure!D10</f>
        <v>0</v>
      </c>
      <c r="AG823" s="1142">
        <f>EOMONTH(AF823,1)</f>
        <v>59</v>
      </c>
      <c r="AH823" s="1142">
        <f t="shared" ref="AH823:CS823" si="597">EOMONTH(AG823,1)</f>
        <v>91</v>
      </c>
      <c r="AI823" s="1142">
        <f t="shared" si="597"/>
        <v>121</v>
      </c>
      <c r="AJ823" s="1142">
        <f t="shared" si="597"/>
        <v>152</v>
      </c>
      <c r="AK823" s="1142">
        <f t="shared" si="597"/>
        <v>182</v>
      </c>
      <c r="AL823" s="1142">
        <f t="shared" si="597"/>
        <v>213</v>
      </c>
      <c r="AM823" s="1142">
        <f t="shared" si="597"/>
        <v>244</v>
      </c>
      <c r="AN823" s="1142">
        <f t="shared" si="597"/>
        <v>274</v>
      </c>
      <c r="AO823" s="1142">
        <f t="shared" si="597"/>
        <v>305</v>
      </c>
      <c r="AP823" s="1142">
        <f t="shared" si="597"/>
        <v>335</v>
      </c>
      <c r="AQ823" s="1142">
        <f t="shared" si="597"/>
        <v>366</v>
      </c>
      <c r="AR823" s="1142">
        <f t="shared" si="597"/>
        <v>397</v>
      </c>
      <c r="AS823" s="1142">
        <f t="shared" si="597"/>
        <v>425</v>
      </c>
      <c r="AT823" s="1142">
        <f t="shared" si="597"/>
        <v>456</v>
      </c>
      <c r="AU823" s="1142">
        <f t="shared" si="597"/>
        <v>486</v>
      </c>
      <c r="AV823" s="1142">
        <f t="shared" si="597"/>
        <v>517</v>
      </c>
      <c r="AW823" s="1142">
        <f t="shared" si="597"/>
        <v>547</v>
      </c>
      <c r="AX823" s="1142">
        <f t="shared" si="597"/>
        <v>578</v>
      </c>
      <c r="AY823" s="1142">
        <f t="shared" si="597"/>
        <v>609</v>
      </c>
      <c r="AZ823" s="1142">
        <f t="shared" si="597"/>
        <v>639</v>
      </c>
      <c r="BA823" s="1142">
        <f t="shared" si="597"/>
        <v>670</v>
      </c>
      <c r="BB823" s="1142">
        <f t="shared" si="597"/>
        <v>700</v>
      </c>
      <c r="BC823" s="1142">
        <f t="shared" si="597"/>
        <v>731</v>
      </c>
      <c r="BD823" s="1142">
        <f t="shared" si="597"/>
        <v>762</v>
      </c>
      <c r="BE823" s="1142">
        <f t="shared" si="597"/>
        <v>790</v>
      </c>
      <c r="BF823" s="1142">
        <f t="shared" si="597"/>
        <v>821</v>
      </c>
      <c r="BG823" s="1142">
        <f t="shared" si="597"/>
        <v>851</v>
      </c>
      <c r="BH823" s="1142">
        <f t="shared" si="597"/>
        <v>882</v>
      </c>
      <c r="BI823" s="1142">
        <f t="shared" si="597"/>
        <v>912</v>
      </c>
      <c r="BJ823" s="1142">
        <f t="shared" si="597"/>
        <v>943</v>
      </c>
      <c r="BK823" s="1142">
        <f t="shared" si="597"/>
        <v>974</v>
      </c>
      <c r="BL823" s="1142">
        <f t="shared" si="597"/>
        <v>1004</v>
      </c>
      <c r="BM823" s="1142">
        <f t="shared" si="597"/>
        <v>1035</v>
      </c>
      <c r="BN823" s="1142">
        <f t="shared" si="597"/>
        <v>1065</v>
      </c>
      <c r="BO823" s="1142">
        <f t="shared" si="597"/>
        <v>1096</v>
      </c>
      <c r="BP823" s="1142">
        <f t="shared" si="597"/>
        <v>1127</v>
      </c>
      <c r="BQ823" s="1142">
        <f t="shared" si="597"/>
        <v>1155</v>
      </c>
      <c r="BR823" s="1142">
        <f t="shared" si="597"/>
        <v>1186</v>
      </c>
      <c r="BS823" s="1142">
        <f t="shared" si="597"/>
        <v>1216</v>
      </c>
      <c r="BT823" s="1142">
        <f t="shared" si="597"/>
        <v>1247</v>
      </c>
      <c r="BU823" s="1142">
        <f t="shared" si="597"/>
        <v>1277</v>
      </c>
      <c r="BV823" s="1142">
        <f t="shared" si="597"/>
        <v>1308</v>
      </c>
      <c r="BW823" s="1142">
        <f t="shared" si="597"/>
        <v>1339</v>
      </c>
      <c r="BX823" s="1142">
        <f t="shared" si="597"/>
        <v>1369</v>
      </c>
      <c r="BY823" s="1142">
        <f t="shared" si="597"/>
        <v>1400</v>
      </c>
      <c r="BZ823" s="1142">
        <f t="shared" si="597"/>
        <v>1430</v>
      </c>
      <c r="CA823" s="1142">
        <f t="shared" si="597"/>
        <v>1461</v>
      </c>
      <c r="CB823" s="1142">
        <f t="shared" si="597"/>
        <v>1492</v>
      </c>
      <c r="CC823" s="1142">
        <f t="shared" si="597"/>
        <v>1521</v>
      </c>
      <c r="CD823" s="1142">
        <f t="shared" si="597"/>
        <v>1552</v>
      </c>
      <c r="CE823" s="1142">
        <f t="shared" si="597"/>
        <v>1582</v>
      </c>
      <c r="CF823" s="1142">
        <f t="shared" si="597"/>
        <v>1613</v>
      </c>
      <c r="CG823" s="1142">
        <f t="shared" si="597"/>
        <v>1643</v>
      </c>
      <c r="CH823" s="1142">
        <f t="shared" si="597"/>
        <v>1674</v>
      </c>
      <c r="CI823" s="1142">
        <f t="shared" si="597"/>
        <v>1705</v>
      </c>
      <c r="CJ823" s="1142">
        <f t="shared" si="597"/>
        <v>1735</v>
      </c>
      <c r="CK823" s="1142">
        <f t="shared" si="597"/>
        <v>1766</v>
      </c>
      <c r="CL823" s="1142">
        <f t="shared" si="597"/>
        <v>1796</v>
      </c>
      <c r="CM823" s="1142">
        <f t="shared" si="597"/>
        <v>1827</v>
      </c>
      <c r="CN823" s="1142">
        <f t="shared" si="597"/>
        <v>1858</v>
      </c>
      <c r="CO823" s="1142">
        <f t="shared" si="597"/>
        <v>1886</v>
      </c>
      <c r="CP823" s="1142">
        <f t="shared" si="597"/>
        <v>1917</v>
      </c>
      <c r="CQ823" s="1142">
        <f t="shared" si="597"/>
        <v>1947</v>
      </c>
      <c r="CR823" s="1142">
        <f t="shared" si="597"/>
        <v>1978</v>
      </c>
      <c r="CS823" s="1142">
        <f t="shared" si="597"/>
        <v>2008</v>
      </c>
      <c r="CT823" s="1142">
        <f t="shared" ref="CT823:EU823" si="598">EOMONTH(CS823,1)</f>
        <v>2039</v>
      </c>
      <c r="CU823" s="1142">
        <f t="shared" si="598"/>
        <v>2070</v>
      </c>
      <c r="CV823" s="1142">
        <f t="shared" si="598"/>
        <v>2100</v>
      </c>
      <c r="CW823" s="1142">
        <f t="shared" si="598"/>
        <v>2131</v>
      </c>
      <c r="CX823" s="1142">
        <f t="shared" si="598"/>
        <v>2161</v>
      </c>
      <c r="CY823" s="1142">
        <f t="shared" si="598"/>
        <v>2192</v>
      </c>
      <c r="CZ823" s="1142">
        <f t="shared" si="598"/>
        <v>2223</v>
      </c>
      <c r="DA823" s="1142">
        <f t="shared" si="598"/>
        <v>2251</v>
      </c>
      <c r="DB823" s="1142">
        <f t="shared" si="598"/>
        <v>2282</v>
      </c>
      <c r="DC823" s="1142">
        <f t="shared" si="598"/>
        <v>2312</v>
      </c>
      <c r="DD823" s="1142">
        <f t="shared" si="598"/>
        <v>2343</v>
      </c>
      <c r="DE823" s="1142">
        <f t="shared" si="598"/>
        <v>2373</v>
      </c>
      <c r="DF823" s="1142">
        <f t="shared" si="598"/>
        <v>2404</v>
      </c>
      <c r="DG823" s="1142">
        <f t="shared" si="598"/>
        <v>2435</v>
      </c>
      <c r="DH823" s="1142">
        <f t="shared" si="598"/>
        <v>2465</v>
      </c>
      <c r="DI823" s="1142">
        <f t="shared" si="598"/>
        <v>2496</v>
      </c>
      <c r="DJ823" s="1142">
        <f t="shared" si="598"/>
        <v>2526</v>
      </c>
      <c r="DK823" s="1142">
        <f t="shared" si="598"/>
        <v>2557</v>
      </c>
      <c r="DL823" s="1142">
        <f t="shared" si="598"/>
        <v>2588</v>
      </c>
      <c r="DM823" s="1142">
        <f t="shared" si="598"/>
        <v>2616</v>
      </c>
      <c r="DN823" s="1142">
        <f t="shared" si="598"/>
        <v>2647</v>
      </c>
      <c r="DO823" s="1142">
        <f t="shared" si="598"/>
        <v>2677</v>
      </c>
      <c r="DP823" s="1142">
        <f t="shared" si="598"/>
        <v>2708</v>
      </c>
      <c r="DQ823" s="1142">
        <f t="shared" si="598"/>
        <v>2738</v>
      </c>
      <c r="DR823" s="1142">
        <f t="shared" si="598"/>
        <v>2769</v>
      </c>
      <c r="DS823" s="1142">
        <f t="shared" si="598"/>
        <v>2800</v>
      </c>
      <c r="DT823" s="1142">
        <f t="shared" si="598"/>
        <v>2830</v>
      </c>
      <c r="DU823" s="1142">
        <f t="shared" si="598"/>
        <v>2861</v>
      </c>
      <c r="DV823" s="1142">
        <f t="shared" si="598"/>
        <v>2891</v>
      </c>
      <c r="DW823" s="1142">
        <f t="shared" si="598"/>
        <v>2922</v>
      </c>
      <c r="DX823" s="1142">
        <f t="shared" si="598"/>
        <v>2953</v>
      </c>
      <c r="DY823" s="1142">
        <f t="shared" si="598"/>
        <v>2982</v>
      </c>
      <c r="DZ823" s="1142">
        <f t="shared" si="598"/>
        <v>3013</v>
      </c>
      <c r="EA823" s="1142">
        <f t="shared" si="598"/>
        <v>3043</v>
      </c>
      <c r="EB823" s="1142">
        <f t="shared" si="598"/>
        <v>3074</v>
      </c>
      <c r="EC823" s="1142">
        <f t="shared" si="598"/>
        <v>3104</v>
      </c>
      <c r="ED823" s="1142">
        <f t="shared" si="598"/>
        <v>3135</v>
      </c>
      <c r="EE823" s="1142">
        <f t="shared" si="598"/>
        <v>3166</v>
      </c>
      <c r="EF823" s="1142">
        <f t="shared" si="598"/>
        <v>3196</v>
      </c>
      <c r="EG823" s="1142">
        <f t="shared" si="598"/>
        <v>3227</v>
      </c>
      <c r="EH823" s="1142">
        <f t="shared" si="598"/>
        <v>3257</v>
      </c>
      <c r="EI823" s="1142">
        <f t="shared" si="598"/>
        <v>3288</v>
      </c>
      <c r="EJ823" s="1142">
        <f t="shared" si="598"/>
        <v>3319</v>
      </c>
      <c r="EK823" s="1142">
        <f t="shared" si="598"/>
        <v>3347</v>
      </c>
      <c r="EL823" s="1142">
        <f t="shared" si="598"/>
        <v>3378</v>
      </c>
      <c r="EM823" s="1142">
        <f t="shared" si="598"/>
        <v>3408</v>
      </c>
      <c r="EN823" s="1142">
        <f t="shared" si="598"/>
        <v>3439</v>
      </c>
      <c r="EO823" s="1142">
        <f t="shared" si="598"/>
        <v>3469</v>
      </c>
      <c r="EP823" s="1142">
        <f t="shared" si="598"/>
        <v>3500</v>
      </c>
      <c r="EQ823" s="1142">
        <f t="shared" si="598"/>
        <v>3531</v>
      </c>
      <c r="ER823" s="1142">
        <f t="shared" si="598"/>
        <v>3561</v>
      </c>
      <c r="ES823" s="1142">
        <f t="shared" si="598"/>
        <v>3592</v>
      </c>
      <c r="ET823" s="1142">
        <f t="shared" si="598"/>
        <v>3622</v>
      </c>
      <c r="EU823" s="1142">
        <f t="shared" si="598"/>
        <v>3653</v>
      </c>
    </row>
    <row r="824" spans="11:151" ht="12" customHeight="1" x14ac:dyDescent="0.35">
      <c r="K824" s="28"/>
      <c r="L824" s="28"/>
      <c r="M824" s="28"/>
      <c r="N824" s="28"/>
      <c r="O824" s="28"/>
      <c r="P824" s="28"/>
      <c r="Q824" s="28"/>
      <c r="R824" s="31"/>
      <c r="S824" s="36"/>
      <c r="T824" s="26"/>
      <c r="U824" s="29"/>
      <c r="V824" s="29"/>
      <c r="W824" s="377"/>
      <c r="X824" s="376" t="str">
        <f>AB824</f>
        <v>Investor #1</v>
      </c>
      <c r="Y824" s="378">
        <f>Input!J279</f>
        <v>0</v>
      </c>
      <c r="Z824" s="29"/>
      <c r="AA824" s="29">
        <v>1</v>
      </c>
      <c r="AB824" s="29" t="str">
        <f>IF(Input!D279="","Investor #"&amp;AA824,Input!D279)</f>
        <v>Investor #1</v>
      </c>
      <c r="AC824" s="1804"/>
      <c r="AD824" s="376" t="s">
        <v>533</v>
      </c>
      <c r="AE824" s="376" t="str">
        <f>AB824</f>
        <v>Investor #1</v>
      </c>
      <c r="AF824" s="763">
        <f>IF(OR($U703=0,$V703=0),0,IF($V703=AF$823,-$U703,0))</f>
        <v>0</v>
      </c>
      <c r="AG824" s="763">
        <f t="shared" ref="AG824:CR825" si="599">IF(OR($U703=0,$V703=0),0,IF($V703=AG$823,-$U703,0))</f>
        <v>0</v>
      </c>
      <c r="AH824" s="763">
        <f t="shared" si="599"/>
        <v>0</v>
      </c>
      <c r="AI824" s="763">
        <f t="shared" si="599"/>
        <v>0</v>
      </c>
      <c r="AJ824" s="763">
        <f t="shared" si="599"/>
        <v>0</v>
      </c>
      <c r="AK824" s="763">
        <f t="shared" si="599"/>
        <v>0</v>
      </c>
      <c r="AL824" s="763">
        <f t="shared" si="599"/>
        <v>0</v>
      </c>
      <c r="AM824" s="763">
        <f t="shared" si="599"/>
        <v>0</v>
      </c>
      <c r="AN824" s="763">
        <f t="shared" si="599"/>
        <v>0</v>
      </c>
      <c r="AO824" s="763">
        <f t="shared" si="599"/>
        <v>0</v>
      </c>
      <c r="AP824" s="763">
        <f t="shared" si="599"/>
        <v>0</v>
      </c>
      <c r="AQ824" s="763">
        <f t="shared" si="599"/>
        <v>0</v>
      </c>
      <c r="AR824" s="763">
        <f t="shared" si="599"/>
        <v>0</v>
      </c>
      <c r="AS824" s="763">
        <f t="shared" si="599"/>
        <v>0</v>
      </c>
      <c r="AT824" s="763">
        <f t="shared" si="599"/>
        <v>0</v>
      </c>
      <c r="AU824" s="763">
        <f t="shared" si="599"/>
        <v>0</v>
      </c>
      <c r="AV824" s="763">
        <f t="shared" si="599"/>
        <v>0</v>
      </c>
      <c r="AW824" s="763">
        <f t="shared" si="599"/>
        <v>0</v>
      </c>
      <c r="AX824" s="763">
        <f t="shared" si="599"/>
        <v>0</v>
      </c>
      <c r="AY824" s="763">
        <f t="shared" si="599"/>
        <v>0</v>
      </c>
      <c r="AZ824" s="763">
        <f t="shared" si="599"/>
        <v>0</v>
      </c>
      <c r="BA824" s="763">
        <f t="shared" si="599"/>
        <v>0</v>
      </c>
      <c r="BB824" s="763">
        <f t="shared" si="599"/>
        <v>0</v>
      </c>
      <c r="BC824" s="763">
        <f t="shared" si="599"/>
        <v>0</v>
      </c>
      <c r="BD824" s="763">
        <f t="shared" si="599"/>
        <v>0</v>
      </c>
      <c r="BE824" s="763">
        <f t="shared" si="599"/>
        <v>0</v>
      </c>
      <c r="BF824" s="763">
        <f t="shared" si="599"/>
        <v>0</v>
      </c>
      <c r="BG824" s="763">
        <f t="shared" si="599"/>
        <v>0</v>
      </c>
      <c r="BH824" s="763">
        <f t="shared" si="599"/>
        <v>0</v>
      </c>
      <c r="BI824" s="763">
        <f t="shared" si="599"/>
        <v>0</v>
      </c>
      <c r="BJ824" s="763">
        <f t="shared" si="599"/>
        <v>0</v>
      </c>
      <c r="BK824" s="763">
        <f t="shared" si="599"/>
        <v>0</v>
      </c>
      <c r="BL824" s="763">
        <f t="shared" si="599"/>
        <v>0</v>
      </c>
      <c r="BM824" s="763">
        <f t="shared" si="599"/>
        <v>0</v>
      </c>
      <c r="BN824" s="763">
        <f t="shared" si="599"/>
        <v>0</v>
      </c>
      <c r="BO824" s="763">
        <f t="shared" si="599"/>
        <v>0</v>
      </c>
      <c r="BP824" s="763">
        <f t="shared" si="599"/>
        <v>0</v>
      </c>
      <c r="BQ824" s="763">
        <f t="shared" si="599"/>
        <v>0</v>
      </c>
      <c r="BR824" s="763">
        <f t="shared" si="599"/>
        <v>0</v>
      </c>
      <c r="BS824" s="763">
        <f t="shared" si="599"/>
        <v>0</v>
      </c>
      <c r="BT824" s="763">
        <f t="shared" si="599"/>
        <v>0</v>
      </c>
      <c r="BU824" s="763">
        <f t="shared" si="599"/>
        <v>0</v>
      </c>
      <c r="BV824" s="763">
        <f t="shared" si="599"/>
        <v>0</v>
      </c>
      <c r="BW824" s="763">
        <f t="shared" si="599"/>
        <v>0</v>
      </c>
      <c r="BX824" s="763">
        <f t="shared" si="599"/>
        <v>0</v>
      </c>
      <c r="BY824" s="763">
        <f t="shared" si="599"/>
        <v>0</v>
      </c>
      <c r="BZ824" s="763">
        <f t="shared" si="599"/>
        <v>0</v>
      </c>
      <c r="CA824" s="763">
        <f t="shared" si="599"/>
        <v>0</v>
      </c>
      <c r="CB824" s="763">
        <f t="shared" si="599"/>
        <v>0</v>
      </c>
      <c r="CC824" s="763">
        <f t="shared" si="599"/>
        <v>0</v>
      </c>
      <c r="CD824" s="763">
        <f t="shared" si="599"/>
        <v>0</v>
      </c>
      <c r="CE824" s="763">
        <f t="shared" si="599"/>
        <v>0</v>
      </c>
      <c r="CF824" s="763">
        <f t="shared" si="599"/>
        <v>0</v>
      </c>
      <c r="CG824" s="763">
        <f t="shared" si="599"/>
        <v>0</v>
      </c>
      <c r="CH824" s="763">
        <f t="shared" si="599"/>
        <v>0</v>
      </c>
      <c r="CI824" s="763">
        <f t="shared" si="599"/>
        <v>0</v>
      </c>
      <c r="CJ824" s="763">
        <f t="shared" si="599"/>
        <v>0</v>
      </c>
      <c r="CK824" s="763">
        <f t="shared" si="599"/>
        <v>0</v>
      </c>
      <c r="CL824" s="763">
        <f t="shared" si="599"/>
        <v>0</v>
      </c>
      <c r="CM824" s="763">
        <f t="shared" si="599"/>
        <v>0</v>
      </c>
      <c r="CN824" s="763">
        <f t="shared" si="599"/>
        <v>0</v>
      </c>
      <c r="CO824" s="763">
        <f t="shared" si="599"/>
        <v>0</v>
      </c>
      <c r="CP824" s="763">
        <f t="shared" si="599"/>
        <v>0</v>
      </c>
      <c r="CQ824" s="763">
        <f t="shared" si="599"/>
        <v>0</v>
      </c>
      <c r="CR824" s="763">
        <f t="shared" si="599"/>
        <v>0</v>
      </c>
      <c r="CS824" s="763">
        <f t="shared" ref="CS824:EU828" si="600">IF(OR($U703=0,$V703=0),0,IF($V703=CS$823,-$U703,0))</f>
        <v>0</v>
      </c>
      <c r="CT824" s="763">
        <f t="shared" si="600"/>
        <v>0</v>
      </c>
      <c r="CU824" s="763">
        <f t="shared" si="600"/>
        <v>0</v>
      </c>
      <c r="CV824" s="763">
        <f t="shared" si="600"/>
        <v>0</v>
      </c>
      <c r="CW824" s="763">
        <f t="shared" si="600"/>
        <v>0</v>
      </c>
      <c r="CX824" s="763">
        <f t="shared" si="600"/>
        <v>0</v>
      </c>
      <c r="CY824" s="763">
        <f t="shared" si="600"/>
        <v>0</v>
      </c>
      <c r="CZ824" s="763">
        <f t="shared" si="600"/>
        <v>0</v>
      </c>
      <c r="DA824" s="763">
        <f t="shared" si="600"/>
        <v>0</v>
      </c>
      <c r="DB824" s="763">
        <f t="shared" si="600"/>
        <v>0</v>
      </c>
      <c r="DC824" s="763">
        <f t="shared" si="600"/>
        <v>0</v>
      </c>
      <c r="DD824" s="763">
        <f t="shared" si="600"/>
        <v>0</v>
      </c>
      <c r="DE824" s="763">
        <f t="shared" si="600"/>
        <v>0</v>
      </c>
      <c r="DF824" s="763">
        <f t="shared" si="600"/>
        <v>0</v>
      </c>
      <c r="DG824" s="763">
        <f t="shared" si="600"/>
        <v>0</v>
      </c>
      <c r="DH824" s="763">
        <f t="shared" si="600"/>
        <v>0</v>
      </c>
      <c r="DI824" s="763">
        <f t="shared" si="600"/>
        <v>0</v>
      </c>
      <c r="DJ824" s="763">
        <f t="shared" si="600"/>
        <v>0</v>
      </c>
      <c r="DK824" s="763">
        <f t="shared" si="600"/>
        <v>0</v>
      </c>
      <c r="DL824" s="763">
        <f t="shared" si="600"/>
        <v>0</v>
      </c>
      <c r="DM824" s="763">
        <f t="shared" si="600"/>
        <v>0</v>
      </c>
      <c r="DN824" s="763">
        <f t="shared" si="600"/>
        <v>0</v>
      </c>
      <c r="DO824" s="763">
        <f t="shared" si="600"/>
        <v>0</v>
      </c>
      <c r="DP824" s="763">
        <f t="shared" si="600"/>
        <v>0</v>
      </c>
      <c r="DQ824" s="763">
        <f t="shared" si="600"/>
        <v>0</v>
      </c>
      <c r="DR824" s="763">
        <f t="shared" si="600"/>
        <v>0</v>
      </c>
      <c r="DS824" s="763">
        <f t="shared" si="600"/>
        <v>0</v>
      </c>
      <c r="DT824" s="763">
        <f t="shared" si="600"/>
        <v>0</v>
      </c>
      <c r="DU824" s="763">
        <f t="shared" si="600"/>
        <v>0</v>
      </c>
      <c r="DV824" s="763">
        <f t="shared" si="600"/>
        <v>0</v>
      </c>
      <c r="DW824" s="763">
        <f t="shared" si="600"/>
        <v>0</v>
      </c>
      <c r="DX824" s="763">
        <f t="shared" si="600"/>
        <v>0</v>
      </c>
      <c r="DY824" s="763">
        <f t="shared" si="600"/>
        <v>0</v>
      </c>
      <c r="DZ824" s="763">
        <f t="shared" si="600"/>
        <v>0</v>
      </c>
      <c r="EA824" s="763">
        <f t="shared" si="600"/>
        <v>0</v>
      </c>
      <c r="EB824" s="763">
        <f t="shared" si="600"/>
        <v>0</v>
      </c>
      <c r="EC824" s="763">
        <f t="shared" si="600"/>
        <v>0</v>
      </c>
      <c r="ED824" s="763">
        <f t="shared" si="600"/>
        <v>0</v>
      </c>
      <c r="EE824" s="763">
        <f t="shared" si="600"/>
        <v>0</v>
      </c>
      <c r="EF824" s="763">
        <f t="shared" si="600"/>
        <v>0</v>
      </c>
      <c r="EG824" s="763">
        <f t="shared" si="600"/>
        <v>0</v>
      </c>
      <c r="EH824" s="763">
        <f t="shared" si="600"/>
        <v>0</v>
      </c>
      <c r="EI824" s="763">
        <f t="shared" si="600"/>
        <v>0</v>
      </c>
      <c r="EJ824" s="763">
        <f t="shared" si="600"/>
        <v>0</v>
      </c>
      <c r="EK824" s="763">
        <f t="shared" si="600"/>
        <v>0</v>
      </c>
      <c r="EL824" s="763">
        <f t="shared" si="600"/>
        <v>0</v>
      </c>
      <c r="EM824" s="763">
        <f t="shared" si="600"/>
        <v>0</v>
      </c>
      <c r="EN824" s="763">
        <f t="shared" si="600"/>
        <v>0</v>
      </c>
      <c r="EO824" s="763">
        <f t="shared" si="600"/>
        <v>0</v>
      </c>
      <c r="EP824" s="763">
        <f t="shared" si="600"/>
        <v>0</v>
      </c>
      <c r="EQ824" s="763">
        <f t="shared" si="600"/>
        <v>0</v>
      </c>
      <c r="ER824" s="763">
        <f t="shared" si="600"/>
        <v>0</v>
      </c>
      <c r="ES824" s="763">
        <f t="shared" si="600"/>
        <v>0</v>
      </c>
      <c r="ET824" s="763">
        <f t="shared" si="600"/>
        <v>0</v>
      </c>
      <c r="EU824" s="763">
        <f t="shared" si="600"/>
        <v>0</v>
      </c>
    </row>
    <row r="825" spans="11:151" ht="12" customHeight="1" x14ac:dyDescent="0.35">
      <c r="K825" s="28"/>
      <c r="L825" s="28"/>
      <c r="M825" s="28"/>
      <c r="N825" s="28"/>
      <c r="O825" s="28"/>
      <c r="P825" s="28"/>
      <c r="Q825" s="28"/>
      <c r="R825" s="31"/>
      <c r="S825" s="36"/>
      <c r="T825" s="26"/>
      <c r="U825" s="29"/>
      <c r="V825" s="29"/>
      <c r="W825" s="377"/>
      <c r="X825" s="376" t="str">
        <f t="shared" ref="X825:X839" si="601">AB825</f>
        <v>Investor #2</v>
      </c>
      <c r="Y825" s="378">
        <f>Input!J280</f>
        <v>0</v>
      </c>
      <c r="Z825" s="29"/>
      <c r="AA825" s="29">
        <v>2</v>
      </c>
      <c r="AB825" s="29" t="str">
        <f>IF(Input!D280="","Investor #"&amp;AA825,Input!D280)</f>
        <v>Investor #2</v>
      </c>
      <c r="AC825" s="1804"/>
      <c r="AD825" s="376" t="s">
        <v>534</v>
      </c>
      <c r="AE825" s="376" t="str">
        <f t="shared" ref="AE825:AE833" si="602">AB825</f>
        <v>Investor #2</v>
      </c>
      <c r="AF825" s="763">
        <f t="shared" ref="AF825:AU833" si="603">IF(OR($U704=0,$V704=0),0,IF($V704=AF$823,-$U704,0))</f>
        <v>0</v>
      </c>
      <c r="AG825" s="763">
        <f t="shared" si="603"/>
        <v>0</v>
      </c>
      <c r="AH825" s="763">
        <f t="shared" si="603"/>
        <v>0</v>
      </c>
      <c r="AI825" s="763">
        <f t="shared" si="603"/>
        <v>0</v>
      </c>
      <c r="AJ825" s="763">
        <f t="shared" si="603"/>
        <v>0</v>
      </c>
      <c r="AK825" s="763">
        <f t="shared" si="603"/>
        <v>0</v>
      </c>
      <c r="AL825" s="763">
        <f t="shared" si="603"/>
        <v>0</v>
      </c>
      <c r="AM825" s="763">
        <f t="shared" si="603"/>
        <v>0</v>
      </c>
      <c r="AN825" s="763">
        <f t="shared" si="603"/>
        <v>0</v>
      </c>
      <c r="AO825" s="763">
        <f t="shared" si="603"/>
        <v>0</v>
      </c>
      <c r="AP825" s="763">
        <f t="shared" si="603"/>
        <v>0</v>
      </c>
      <c r="AQ825" s="763">
        <f t="shared" si="603"/>
        <v>0</v>
      </c>
      <c r="AR825" s="763">
        <f t="shared" si="603"/>
        <v>0</v>
      </c>
      <c r="AS825" s="763">
        <f t="shared" si="603"/>
        <v>0</v>
      </c>
      <c r="AT825" s="763">
        <f t="shared" si="603"/>
        <v>0</v>
      </c>
      <c r="AU825" s="763">
        <f t="shared" si="603"/>
        <v>0</v>
      </c>
      <c r="AV825" s="763">
        <f t="shared" si="599"/>
        <v>0</v>
      </c>
      <c r="AW825" s="763">
        <f t="shared" si="599"/>
        <v>0</v>
      </c>
      <c r="AX825" s="763">
        <f t="shared" si="599"/>
        <v>0</v>
      </c>
      <c r="AY825" s="763">
        <f t="shared" si="599"/>
        <v>0</v>
      </c>
      <c r="AZ825" s="763">
        <f t="shared" si="599"/>
        <v>0</v>
      </c>
      <c r="BA825" s="763">
        <f t="shared" si="599"/>
        <v>0</v>
      </c>
      <c r="BB825" s="763">
        <f t="shared" si="599"/>
        <v>0</v>
      </c>
      <c r="BC825" s="763">
        <f t="shared" si="599"/>
        <v>0</v>
      </c>
      <c r="BD825" s="763">
        <f t="shared" si="599"/>
        <v>0</v>
      </c>
      <c r="BE825" s="763">
        <f t="shared" si="599"/>
        <v>0</v>
      </c>
      <c r="BF825" s="763">
        <f t="shared" si="599"/>
        <v>0</v>
      </c>
      <c r="BG825" s="763">
        <f t="shared" si="599"/>
        <v>0</v>
      </c>
      <c r="BH825" s="763">
        <f t="shared" si="599"/>
        <v>0</v>
      </c>
      <c r="BI825" s="763">
        <f t="shared" si="599"/>
        <v>0</v>
      </c>
      <c r="BJ825" s="763">
        <f t="shared" si="599"/>
        <v>0</v>
      </c>
      <c r="BK825" s="763">
        <f t="shared" si="599"/>
        <v>0</v>
      </c>
      <c r="BL825" s="763">
        <f t="shared" si="599"/>
        <v>0</v>
      </c>
      <c r="BM825" s="763">
        <f t="shared" si="599"/>
        <v>0</v>
      </c>
      <c r="BN825" s="763">
        <f t="shared" si="599"/>
        <v>0</v>
      </c>
      <c r="BO825" s="763">
        <f t="shared" si="599"/>
        <v>0</v>
      </c>
      <c r="BP825" s="763">
        <f t="shared" si="599"/>
        <v>0</v>
      </c>
      <c r="BQ825" s="763">
        <f t="shared" si="599"/>
        <v>0</v>
      </c>
      <c r="BR825" s="763">
        <f t="shared" si="599"/>
        <v>0</v>
      </c>
      <c r="BS825" s="763">
        <f t="shared" si="599"/>
        <v>0</v>
      </c>
      <c r="BT825" s="763">
        <f t="shared" si="599"/>
        <v>0</v>
      </c>
      <c r="BU825" s="763">
        <f t="shared" si="599"/>
        <v>0</v>
      </c>
      <c r="BV825" s="763">
        <f t="shared" si="599"/>
        <v>0</v>
      </c>
      <c r="BW825" s="763">
        <f t="shared" si="599"/>
        <v>0</v>
      </c>
      <c r="BX825" s="763">
        <f t="shared" si="599"/>
        <v>0</v>
      </c>
      <c r="BY825" s="763">
        <f t="shared" si="599"/>
        <v>0</v>
      </c>
      <c r="BZ825" s="763">
        <f t="shared" si="599"/>
        <v>0</v>
      </c>
      <c r="CA825" s="763">
        <f t="shared" si="599"/>
        <v>0</v>
      </c>
      <c r="CB825" s="763">
        <f t="shared" si="599"/>
        <v>0</v>
      </c>
      <c r="CC825" s="763">
        <f t="shared" si="599"/>
        <v>0</v>
      </c>
      <c r="CD825" s="763">
        <f t="shared" si="599"/>
        <v>0</v>
      </c>
      <c r="CE825" s="763">
        <f t="shared" si="599"/>
        <v>0</v>
      </c>
      <c r="CF825" s="763">
        <f t="shared" si="599"/>
        <v>0</v>
      </c>
      <c r="CG825" s="763">
        <f t="shared" si="599"/>
        <v>0</v>
      </c>
      <c r="CH825" s="763">
        <f t="shared" si="599"/>
        <v>0</v>
      </c>
      <c r="CI825" s="763">
        <f t="shared" si="599"/>
        <v>0</v>
      </c>
      <c r="CJ825" s="763">
        <f t="shared" si="599"/>
        <v>0</v>
      </c>
      <c r="CK825" s="763">
        <f t="shared" si="599"/>
        <v>0</v>
      </c>
      <c r="CL825" s="763">
        <f t="shared" si="599"/>
        <v>0</v>
      </c>
      <c r="CM825" s="763">
        <f t="shared" si="599"/>
        <v>0</v>
      </c>
      <c r="CN825" s="763">
        <f t="shared" si="599"/>
        <v>0</v>
      </c>
      <c r="CO825" s="763">
        <f t="shared" si="599"/>
        <v>0</v>
      </c>
      <c r="CP825" s="763">
        <f t="shared" si="599"/>
        <v>0</v>
      </c>
      <c r="CQ825" s="763">
        <f t="shared" si="599"/>
        <v>0</v>
      </c>
      <c r="CR825" s="763">
        <f t="shared" si="599"/>
        <v>0</v>
      </c>
      <c r="CS825" s="763">
        <f t="shared" si="600"/>
        <v>0</v>
      </c>
      <c r="CT825" s="763">
        <f t="shared" si="600"/>
        <v>0</v>
      </c>
      <c r="CU825" s="763">
        <f t="shared" si="600"/>
        <v>0</v>
      </c>
      <c r="CV825" s="763">
        <f t="shared" si="600"/>
        <v>0</v>
      </c>
      <c r="CW825" s="763">
        <f t="shared" si="600"/>
        <v>0</v>
      </c>
      <c r="CX825" s="763">
        <f t="shared" si="600"/>
        <v>0</v>
      </c>
      <c r="CY825" s="763">
        <f t="shared" si="600"/>
        <v>0</v>
      </c>
      <c r="CZ825" s="763">
        <f t="shared" si="600"/>
        <v>0</v>
      </c>
      <c r="DA825" s="763">
        <f t="shared" si="600"/>
        <v>0</v>
      </c>
      <c r="DB825" s="763">
        <f t="shared" si="600"/>
        <v>0</v>
      </c>
      <c r="DC825" s="763">
        <f t="shared" si="600"/>
        <v>0</v>
      </c>
      <c r="DD825" s="763">
        <f t="shared" si="600"/>
        <v>0</v>
      </c>
      <c r="DE825" s="763">
        <f t="shared" si="600"/>
        <v>0</v>
      </c>
      <c r="DF825" s="763">
        <f t="shared" si="600"/>
        <v>0</v>
      </c>
      <c r="DG825" s="763">
        <f t="shared" si="600"/>
        <v>0</v>
      </c>
      <c r="DH825" s="763">
        <f t="shared" si="600"/>
        <v>0</v>
      </c>
      <c r="DI825" s="763">
        <f t="shared" si="600"/>
        <v>0</v>
      </c>
      <c r="DJ825" s="763">
        <f t="shared" si="600"/>
        <v>0</v>
      </c>
      <c r="DK825" s="763">
        <f t="shared" si="600"/>
        <v>0</v>
      </c>
      <c r="DL825" s="763">
        <f t="shared" si="600"/>
        <v>0</v>
      </c>
      <c r="DM825" s="763">
        <f t="shared" si="600"/>
        <v>0</v>
      </c>
      <c r="DN825" s="763">
        <f t="shared" si="600"/>
        <v>0</v>
      </c>
      <c r="DO825" s="763">
        <f t="shared" si="600"/>
        <v>0</v>
      </c>
      <c r="DP825" s="763">
        <f t="shared" si="600"/>
        <v>0</v>
      </c>
      <c r="DQ825" s="763">
        <f t="shared" si="600"/>
        <v>0</v>
      </c>
      <c r="DR825" s="763">
        <f t="shared" si="600"/>
        <v>0</v>
      </c>
      <c r="DS825" s="763">
        <f t="shared" si="600"/>
        <v>0</v>
      </c>
      <c r="DT825" s="763">
        <f t="shared" si="600"/>
        <v>0</v>
      </c>
      <c r="DU825" s="763">
        <f t="shared" si="600"/>
        <v>0</v>
      </c>
      <c r="DV825" s="763">
        <f t="shared" si="600"/>
        <v>0</v>
      </c>
      <c r="DW825" s="763">
        <f t="shared" si="600"/>
        <v>0</v>
      </c>
      <c r="DX825" s="763">
        <f t="shared" si="600"/>
        <v>0</v>
      </c>
      <c r="DY825" s="763">
        <f t="shared" si="600"/>
        <v>0</v>
      </c>
      <c r="DZ825" s="763">
        <f t="shared" si="600"/>
        <v>0</v>
      </c>
      <c r="EA825" s="763">
        <f t="shared" si="600"/>
        <v>0</v>
      </c>
      <c r="EB825" s="763">
        <f t="shared" si="600"/>
        <v>0</v>
      </c>
      <c r="EC825" s="763">
        <f t="shared" si="600"/>
        <v>0</v>
      </c>
      <c r="ED825" s="763">
        <f t="shared" si="600"/>
        <v>0</v>
      </c>
      <c r="EE825" s="763">
        <f t="shared" si="600"/>
        <v>0</v>
      </c>
      <c r="EF825" s="763">
        <f t="shared" si="600"/>
        <v>0</v>
      </c>
      <c r="EG825" s="763">
        <f t="shared" si="600"/>
        <v>0</v>
      </c>
      <c r="EH825" s="763">
        <f t="shared" si="600"/>
        <v>0</v>
      </c>
      <c r="EI825" s="763">
        <f t="shared" si="600"/>
        <v>0</v>
      </c>
      <c r="EJ825" s="763">
        <f t="shared" si="600"/>
        <v>0</v>
      </c>
      <c r="EK825" s="763">
        <f t="shared" si="600"/>
        <v>0</v>
      </c>
      <c r="EL825" s="763">
        <f t="shared" si="600"/>
        <v>0</v>
      </c>
      <c r="EM825" s="763">
        <f t="shared" si="600"/>
        <v>0</v>
      </c>
      <c r="EN825" s="763">
        <f t="shared" si="600"/>
        <v>0</v>
      </c>
      <c r="EO825" s="763">
        <f t="shared" si="600"/>
        <v>0</v>
      </c>
      <c r="EP825" s="763">
        <f t="shared" si="600"/>
        <v>0</v>
      </c>
      <c r="EQ825" s="763">
        <f t="shared" si="600"/>
        <v>0</v>
      </c>
      <c r="ER825" s="763">
        <f t="shared" si="600"/>
        <v>0</v>
      </c>
      <c r="ES825" s="763">
        <f t="shared" si="600"/>
        <v>0</v>
      </c>
      <c r="ET825" s="763">
        <f t="shared" si="600"/>
        <v>0</v>
      </c>
      <c r="EU825" s="763">
        <f t="shared" si="600"/>
        <v>0</v>
      </c>
    </row>
    <row r="826" spans="11:151" ht="12" customHeight="1" x14ac:dyDescent="0.35">
      <c r="K826" s="28"/>
      <c r="L826" s="28"/>
      <c r="M826" s="28"/>
      <c r="N826" s="28"/>
      <c r="O826" s="28"/>
      <c r="P826" s="28"/>
      <c r="Q826" s="28"/>
      <c r="R826" s="31"/>
      <c r="S826" s="36"/>
      <c r="T826" s="26"/>
      <c r="U826" s="29"/>
      <c r="V826" s="29"/>
      <c r="W826" s="377"/>
      <c r="X826" s="376" t="str">
        <f t="shared" si="601"/>
        <v>Investor #3</v>
      </c>
      <c r="Y826" s="378">
        <f>Input!J281</f>
        <v>0</v>
      </c>
      <c r="Z826" s="29"/>
      <c r="AA826" s="29">
        <v>3</v>
      </c>
      <c r="AB826" s="29" t="str">
        <f>IF(Input!D281="","Investor #"&amp;AA826,Input!D281)</f>
        <v>Investor #3</v>
      </c>
      <c r="AC826" s="1804"/>
      <c r="AD826" s="376" t="s">
        <v>535</v>
      </c>
      <c r="AE826" s="376" t="str">
        <f t="shared" si="602"/>
        <v>Investor #3</v>
      </c>
      <c r="AF826" s="763">
        <f t="shared" si="603"/>
        <v>0</v>
      </c>
      <c r="AG826" s="763">
        <f t="shared" ref="AG826:CR829" si="604">IF(OR($U705=0,$V705=0),0,IF($V705=AG$823,-$U705,0))</f>
        <v>0</v>
      </c>
      <c r="AH826" s="763">
        <f t="shared" si="604"/>
        <v>0</v>
      </c>
      <c r="AI826" s="763">
        <f t="shared" si="604"/>
        <v>0</v>
      </c>
      <c r="AJ826" s="763">
        <f t="shared" si="604"/>
        <v>0</v>
      </c>
      <c r="AK826" s="763">
        <f t="shared" si="604"/>
        <v>0</v>
      </c>
      <c r="AL826" s="763">
        <f t="shared" si="604"/>
        <v>0</v>
      </c>
      <c r="AM826" s="763">
        <f t="shared" si="604"/>
        <v>0</v>
      </c>
      <c r="AN826" s="763">
        <f t="shared" si="604"/>
        <v>0</v>
      </c>
      <c r="AO826" s="763">
        <f t="shared" si="604"/>
        <v>0</v>
      </c>
      <c r="AP826" s="763">
        <f t="shared" si="604"/>
        <v>0</v>
      </c>
      <c r="AQ826" s="763">
        <f t="shared" si="604"/>
        <v>0</v>
      </c>
      <c r="AR826" s="763">
        <f t="shared" si="604"/>
        <v>0</v>
      </c>
      <c r="AS826" s="763">
        <f t="shared" si="604"/>
        <v>0</v>
      </c>
      <c r="AT826" s="763">
        <f t="shared" si="604"/>
        <v>0</v>
      </c>
      <c r="AU826" s="763">
        <f t="shared" si="604"/>
        <v>0</v>
      </c>
      <c r="AV826" s="763">
        <f t="shared" si="604"/>
        <v>0</v>
      </c>
      <c r="AW826" s="763">
        <f t="shared" si="604"/>
        <v>0</v>
      </c>
      <c r="AX826" s="763">
        <f t="shared" si="604"/>
        <v>0</v>
      </c>
      <c r="AY826" s="763">
        <f t="shared" si="604"/>
        <v>0</v>
      </c>
      <c r="AZ826" s="763">
        <f t="shared" si="604"/>
        <v>0</v>
      </c>
      <c r="BA826" s="763">
        <f t="shared" si="604"/>
        <v>0</v>
      </c>
      <c r="BB826" s="763">
        <f t="shared" si="604"/>
        <v>0</v>
      </c>
      <c r="BC826" s="763">
        <f t="shared" si="604"/>
        <v>0</v>
      </c>
      <c r="BD826" s="763">
        <f t="shared" si="604"/>
        <v>0</v>
      </c>
      <c r="BE826" s="763">
        <f t="shared" si="604"/>
        <v>0</v>
      </c>
      <c r="BF826" s="763">
        <f t="shared" si="604"/>
        <v>0</v>
      </c>
      <c r="BG826" s="763">
        <f t="shared" si="604"/>
        <v>0</v>
      </c>
      <c r="BH826" s="763">
        <f t="shared" si="604"/>
        <v>0</v>
      </c>
      <c r="BI826" s="763">
        <f t="shared" si="604"/>
        <v>0</v>
      </c>
      <c r="BJ826" s="763">
        <f t="shared" si="604"/>
        <v>0</v>
      </c>
      <c r="BK826" s="763">
        <f t="shared" si="604"/>
        <v>0</v>
      </c>
      <c r="BL826" s="763">
        <f t="shared" si="604"/>
        <v>0</v>
      </c>
      <c r="BM826" s="763">
        <f t="shared" si="604"/>
        <v>0</v>
      </c>
      <c r="BN826" s="763">
        <f t="shared" si="604"/>
        <v>0</v>
      </c>
      <c r="BO826" s="763">
        <f t="shared" si="604"/>
        <v>0</v>
      </c>
      <c r="BP826" s="763">
        <f t="shared" si="604"/>
        <v>0</v>
      </c>
      <c r="BQ826" s="763">
        <f t="shared" si="604"/>
        <v>0</v>
      </c>
      <c r="BR826" s="763">
        <f t="shared" si="604"/>
        <v>0</v>
      </c>
      <c r="BS826" s="763">
        <f t="shared" si="604"/>
        <v>0</v>
      </c>
      <c r="BT826" s="763">
        <f t="shared" si="604"/>
        <v>0</v>
      </c>
      <c r="BU826" s="763">
        <f t="shared" si="604"/>
        <v>0</v>
      </c>
      <c r="BV826" s="763">
        <f t="shared" si="604"/>
        <v>0</v>
      </c>
      <c r="BW826" s="763">
        <f t="shared" si="604"/>
        <v>0</v>
      </c>
      <c r="BX826" s="763">
        <f t="shared" si="604"/>
        <v>0</v>
      </c>
      <c r="BY826" s="763">
        <f t="shared" si="604"/>
        <v>0</v>
      </c>
      <c r="BZ826" s="763">
        <f t="shared" si="604"/>
        <v>0</v>
      </c>
      <c r="CA826" s="763">
        <f t="shared" si="604"/>
        <v>0</v>
      </c>
      <c r="CB826" s="763">
        <f t="shared" si="604"/>
        <v>0</v>
      </c>
      <c r="CC826" s="763">
        <f t="shared" si="604"/>
        <v>0</v>
      </c>
      <c r="CD826" s="763">
        <f t="shared" si="604"/>
        <v>0</v>
      </c>
      <c r="CE826" s="763">
        <f t="shared" si="604"/>
        <v>0</v>
      </c>
      <c r="CF826" s="763">
        <f t="shared" si="604"/>
        <v>0</v>
      </c>
      <c r="CG826" s="763">
        <f t="shared" si="604"/>
        <v>0</v>
      </c>
      <c r="CH826" s="763">
        <f t="shared" si="604"/>
        <v>0</v>
      </c>
      <c r="CI826" s="763">
        <f t="shared" si="604"/>
        <v>0</v>
      </c>
      <c r="CJ826" s="763">
        <f t="shared" si="604"/>
        <v>0</v>
      </c>
      <c r="CK826" s="763">
        <f t="shared" si="604"/>
        <v>0</v>
      </c>
      <c r="CL826" s="763">
        <f t="shared" si="604"/>
        <v>0</v>
      </c>
      <c r="CM826" s="763">
        <f t="shared" si="604"/>
        <v>0</v>
      </c>
      <c r="CN826" s="763">
        <f t="shared" si="604"/>
        <v>0</v>
      </c>
      <c r="CO826" s="763">
        <f t="shared" si="604"/>
        <v>0</v>
      </c>
      <c r="CP826" s="763">
        <f t="shared" si="604"/>
        <v>0</v>
      </c>
      <c r="CQ826" s="763">
        <f t="shared" si="604"/>
        <v>0</v>
      </c>
      <c r="CR826" s="763">
        <f t="shared" si="604"/>
        <v>0</v>
      </c>
      <c r="CS826" s="763">
        <f t="shared" si="600"/>
        <v>0</v>
      </c>
      <c r="CT826" s="763">
        <f t="shared" si="600"/>
        <v>0</v>
      </c>
      <c r="CU826" s="763">
        <f t="shared" si="600"/>
        <v>0</v>
      </c>
      <c r="CV826" s="763">
        <f t="shared" si="600"/>
        <v>0</v>
      </c>
      <c r="CW826" s="763">
        <f t="shared" si="600"/>
        <v>0</v>
      </c>
      <c r="CX826" s="763">
        <f t="shared" si="600"/>
        <v>0</v>
      </c>
      <c r="CY826" s="763">
        <f t="shared" si="600"/>
        <v>0</v>
      </c>
      <c r="CZ826" s="763">
        <f t="shared" si="600"/>
        <v>0</v>
      </c>
      <c r="DA826" s="763">
        <f t="shared" si="600"/>
        <v>0</v>
      </c>
      <c r="DB826" s="763">
        <f t="shared" si="600"/>
        <v>0</v>
      </c>
      <c r="DC826" s="763">
        <f t="shared" si="600"/>
        <v>0</v>
      </c>
      <c r="DD826" s="763">
        <f t="shared" si="600"/>
        <v>0</v>
      </c>
      <c r="DE826" s="763">
        <f t="shared" si="600"/>
        <v>0</v>
      </c>
      <c r="DF826" s="763">
        <f t="shared" si="600"/>
        <v>0</v>
      </c>
      <c r="DG826" s="763">
        <f t="shared" si="600"/>
        <v>0</v>
      </c>
      <c r="DH826" s="763">
        <f t="shared" si="600"/>
        <v>0</v>
      </c>
      <c r="DI826" s="763">
        <f t="shared" si="600"/>
        <v>0</v>
      </c>
      <c r="DJ826" s="763">
        <f t="shared" si="600"/>
        <v>0</v>
      </c>
      <c r="DK826" s="763">
        <f t="shared" si="600"/>
        <v>0</v>
      </c>
      <c r="DL826" s="763">
        <f t="shared" si="600"/>
        <v>0</v>
      </c>
      <c r="DM826" s="763">
        <f t="shared" si="600"/>
        <v>0</v>
      </c>
      <c r="DN826" s="763">
        <f t="shared" si="600"/>
        <v>0</v>
      </c>
      <c r="DO826" s="763">
        <f t="shared" si="600"/>
        <v>0</v>
      </c>
      <c r="DP826" s="763">
        <f t="shared" si="600"/>
        <v>0</v>
      </c>
      <c r="DQ826" s="763">
        <f t="shared" si="600"/>
        <v>0</v>
      </c>
      <c r="DR826" s="763">
        <f t="shared" si="600"/>
        <v>0</v>
      </c>
      <c r="DS826" s="763">
        <f t="shared" si="600"/>
        <v>0</v>
      </c>
      <c r="DT826" s="763">
        <f t="shared" si="600"/>
        <v>0</v>
      </c>
      <c r="DU826" s="763">
        <f t="shared" si="600"/>
        <v>0</v>
      </c>
      <c r="DV826" s="763">
        <f t="shared" si="600"/>
        <v>0</v>
      </c>
      <c r="DW826" s="763">
        <f t="shared" si="600"/>
        <v>0</v>
      </c>
      <c r="DX826" s="763">
        <f t="shared" si="600"/>
        <v>0</v>
      </c>
      <c r="DY826" s="763">
        <f t="shared" si="600"/>
        <v>0</v>
      </c>
      <c r="DZ826" s="763">
        <f t="shared" si="600"/>
        <v>0</v>
      </c>
      <c r="EA826" s="763">
        <f t="shared" si="600"/>
        <v>0</v>
      </c>
      <c r="EB826" s="763">
        <f t="shared" si="600"/>
        <v>0</v>
      </c>
      <c r="EC826" s="763">
        <f t="shared" si="600"/>
        <v>0</v>
      </c>
      <c r="ED826" s="763">
        <f t="shared" si="600"/>
        <v>0</v>
      </c>
      <c r="EE826" s="763">
        <f t="shared" si="600"/>
        <v>0</v>
      </c>
      <c r="EF826" s="763">
        <f t="shared" si="600"/>
        <v>0</v>
      </c>
      <c r="EG826" s="763">
        <f t="shared" si="600"/>
        <v>0</v>
      </c>
      <c r="EH826" s="763">
        <f t="shared" si="600"/>
        <v>0</v>
      </c>
      <c r="EI826" s="763">
        <f t="shared" si="600"/>
        <v>0</v>
      </c>
      <c r="EJ826" s="763">
        <f t="shared" si="600"/>
        <v>0</v>
      </c>
      <c r="EK826" s="763">
        <f t="shared" si="600"/>
        <v>0</v>
      </c>
      <c r="EL826" s="763">
        <f t="shared" si="600"/>
        <v>0</v>
      </c>
      <c r="EM826" s="763">
        <f t="shared" si="600"/>
        <v>0</v>
      </c>
      <c r="EN826" s="763">
        <f t="shared" si="600"/>
        <v>0</v>
      </c>
      <c r="EO826" s="763">
        <f t="shared" si="600"/>
        <v>0</v>
      </c>
      <c r="EP826" s="763">
        <f t="shared" si="600"/>
        <v>0</v>
      </c>
      <c r="EQ826" s="763">
        <f t="shared" si="600"/>
        <v>0</v>
      </c>
      <c r="ER826" s="763">
        <f t="shared" si="600"/>
        <v>0</v>
      </c>
      <c r="ES826" s="763">
        <f t="shared" si="600"/>
        <v>0</v>
      </c>
      <c r="ET826" s="763">
        <f t="shared" si="600"/>
        <v>0</v>
      </c>
      <c r="EU826" s="763">
        <f t="shared" si="600"/>
        <v>0</v>
      </c>
    </row>
    <row r="827" spans="11:151" ht="12" customHeight="1" x14ac:dyDescent="0.35">
      <c r="K827" s="28"/>
      <c r="L827" s="28"/>
      <c r="M827" s="28"/>
      <c r="N827" s="28"/>
      <c r="O827" s="28"/>
      <c r="P827" s="28"/>
      <c r="Q827" s="28"/>
      <c r="R827" s="31"/>
      <c r="S827" s="36"/>
      <c r="T827" s="26"/>
      <c r="U827" s="29"/>
      <c r="V827" s="29"/>
      <c r="W827" s="377"/>
      <c r="X827" s="376" t="str">
        <f t="shared" si="601"/>
        <v>Investor #4</v>
      </c>
      <c r="Y827" s="378">
        <f>Input!J282</f>
        <v>0</v>
      </c>
      <c r="Z827" s="29"/>
      <c r="AA827" s="29">
        <v>4</v>
      </c>
      <c r="AB827" s="29" t="str">
        <f>IF(Input!D282="","Investor #"&amp;AA827,Input!D282)</f>
        <v>Investor #4</v>
      </c>
      <c r="AC827" s="1804"/>
      <c r="AD827" s="376" t="s">
        <v>536</v>
      </c>
      <c r="AE827" s="376" t="str">
        <f t="shared" si="602"/>
        <v>Investor #4</v>
      </c>
      <c r="AF827" s="763">
        <f t="shared" si="603"/>
        <v>0</v>
      </c>
      <c r="AG827" s="763">
        <f t="shared" si="604"/>
        <v>0</v>
      </c>
      <c r="AH827" s="763">
        <f t="shared" si="604"/>
        <v>0</v>
      </c>
      <c r="AI827" s="763">
        <f t="shared" si="604"/>
        <v>0</v>
      </c>
      <c r="AJ827" s="763">
        <f t="shared" si="604"/>
        <v>0</v>
      </c>
      <c r="AK827" s="763">
        <f t="shared" si="604"/>
        <v>0</v>
      </c>
      <c r="AL827" s="763">
        <f t="shared" si="604"/>
        <v>0</v>
      </c>
      <c r="AM827" s="763">
        <f t="shared" si="604"/>
        <v>0</v>
      </c>
      <c r="AN827" s="763">
        <f t="shared" si="604"/>
        <v>0</v>
      </c>
      <c r="AO827" s="763">
        <f t="shared" si="604"/>
        <v>0</v>
      </c>
      <c r="AP827" s="763">
        <f t="shared" si="604"/>
        <v>0</v>
      </c>
      <c r="AQ827" s="763">
        <f t="shared" si="604"/>
        <v>0</v>
      </c>
      <c r="AR827" s="763">
        <f t="shared" si="604"/>
        <v>0</v>
      </c>
      <c r="AS827" s="763">
        <f t="shared" si="604"/>
        <v>0</v>
      </c>
      <c r="AT827" s="763">
        <f t="shared" si="604"/>
        <v>0</v>
      </c>
      <c r="AU827" s="763">
        <f t="shared" si="604"/>
        <v>0</v>
      </c>
      <c r="AV827" s="763">
        <f t="shared" si="604"/>
        <v>0</v>
      </c>
      <c r="AW827" s="763">
        <f t="shared" si="604"/>
        <v>0</v>
      </c>
      <c r="AX827" s="763">
        <f t="shared" si="604"/>
        <v>0</v>
      </c>
      <c r="AY827" s="763">
        <f t="shared" si="604"/>
        <v>0</v>
      </c>
      <c r="AZ827" s="763">
        <f t="shared" si="604"/>
        <v>0</v>
      </c>
      <c r="BA827" s="763">
        <f t="shared" si="604"/>
        <v>0</v>
      </c>
      <c r="BB827" s="763">
        <f t="shared" si="604"/>
        <v>0</v>
      </c>
      <c r="BC827" s="763">
        <f t="shared" si="604"/>
        <v>0</v>
      </c>
      <c r="BD827" s="763">
        <f t="shared" si="604"/>
        <v>0</v>
      </c>
      <c r="BE827" s="763">
        <f t="shared" si="604"/>
        <v>0</v>
      </c>
      <c r="BF827" s="763">
        <f t="shared" si="604"/>
        <v>0</v>
      </c>
      <c r="BG827" s="763">
        <f t="shared" si="604"/>
        <v>0</v>
      </c>
      <c r="BH827" s="763">
        <f t="shared" si="604"/>
        <v>0</v>
      </c>
      <c r="BI827" s="763">
        <f t="shared" si="604"/>
        <v>0</v>
      </c>
      <c r="BJ827" s="763">
        <f t="shared" si="604"/>
        <v>0</v>
      </c>
      <c r="BK827" s="763">
        <f t="shared" si="604"/>
        <v>0</v>
      </c>
      <c r="BL827" s="763">
        <f t="shared" si="604"/>
        <v>0</v>
      </c>
      <c r="BM827" s="763">
        <f t="shared" si="604"/>
        <v>0</v>
      </c>
      <c r="BN827" s="763">
        <f t="shared" si="604"/>
        <v>0</v>
      </c>
      <c r="BO827" s="763">
        <f t="shared" si="604"/>
        <v>0</v>
      </c>
      <c r="BP827" s="763">
        <f t="shared" si="604"/>
        <v>0</v>
      </c>
      <c r="BQ827" s="763">
        <f t="shared" si="604"/>
        <v>0</v>
      </c>
      <c r="BR827" s="763">
        <f t="shared" si="604"/>
        <v>0</v>
      </c>
      <c r="BS827" s="763">
        <f t="shared" si="604"/>
        <v>0</v>
      </c>
      <c r="BT827" s="763">
        <f t="shared" si="604"/>
        <v>0</v>
      </c>
      <c r="BU827" s="763">
        <f t="shared" si="604"/>
        <v>0</v>
      </c>
      <c r="BV827" s="763">
        <f t="shared" si="604"/>
        <v>0</v>
      </c>
      <c r="BW827" s="763">
        <f t="shared" si="604"/>
        <v>0</v>
      </c>
      <c r="BX827" s="763">
        <f t="shared" si="604"/>
        <v>0</v>
      </c>
      <c r="BY827" s="763">
        <f t="shared" si="604"/>
        <v>0</v>
      </c>
      <c r="BZ827" s="763">
        <f t="shared" si="604"/>
        <v>0</v>
      </c>
      <c r="CA827" s="763">
        <f t="shared" si="604"/>
        <v>0</v>
      </c>
      <c r="CB827" s="763">
        <f t="shared" si="604"/>
        <v>0</v>
      </c>
      <c r="CC827" s="763">
        <f t="shared" si="604"/>
        <v>0</v>
      </c>
      <c r="CD827" s="763">
        <f t="shared" si="604"/>
        <v>0</v>
      </c>
      <c r="CE827" s="763">
        <f t="shared" si="604"/>
        <v>0</v>
      </c>
      <c r="CF827" s="763">
        <f t="shared" si="604"/>
        <v>0</v>
      </c>
      <c r="CG827" s="763">
        <f t="shared" si="604"/>
        <v>0</v>
      </c>
      <c r="CH827" s="763">
        <f t="shared" si="604"/>
        <v>0</v>
      </c>
      <c r="CI827" s="763">
        <f t="shared" si="604"/>
        <v>0</v>
      </c>
      <c r="CJ827" s="763">
        <f t="shared" si="604"/>
        <v>0</v>
      </c>
      <c r="CK827" s="763">
        <f t="shared" si="604"/>
        <v>0</v>
      </c>
      <c r="CL827" s="763">
        <f t="shared" si="604"/>
        <v>0</v>
      </c>
      <c r="CM827" s="763">
        <f t="shared" si="604"/>
        <v>0</v>
      </c>
      <c r="CN827" s="763">
        <f t="shared" si="604"/>
        <v>0</v>
      </c>
      <c r="CO827" s="763">
        <f t="shared" si="604"/>
        <v>0</v>
      </c>
      <c r="CP827" s="763">
        <f t="shared" si="604"/>
        <v>0</v>
      </c>
      <c r="CQ827" s="763">
        <f t="shared" si="604"/>
        <v>0</v>
      </c>
      <c r="CR827" s="763">
        <f t="shared" si="604"/>
        <v>0</v>
      </c>
      <c r="CS827" s="763">
        <f t="shared" si="600"/>
        <v>0</v>
      </c>
      <c r="CT827" s="763">
        <f t="shared" si="600"/>
        <v>0</v>
      </c>
      <c r="CU827" s="763">
        <f t="shared" si="600"/>
        <v>0</v>
      </c>
      <c r="CV827" s="763">
        <f t="shared" si="600"/>
        <v>0</v>
      </c>
      <c r="CW827" s="763">
        <f t="shared" si="600"/>
        <v>0</v>
      </c>
      <c r="CX827" s="763">
        <f t="shared" si="600"/>
        <v>0</v>
      </c>
      <c r="CY827" s="763">
        <f t="shared" si="600"/>
        <v>0</v>
      </c>
      <c r="CZ827" s="763">
        <f t="shared" si="600"/>
        <v>0</v>
      </c>
      <c r="DA827" s="763">
        <f t="shared" si="600"/>
        <v>0</v>
      </c>
      <c r="DB827" s="763">
        <f t="shared" si="600"/>
        <v>0</v>
      </c>
      <c r="DC827" s="763">
        <f t="shared" si="600"/>
        <v>0</v>
      </c>
      <c r="DD827" s="763">
        <f t="shared" si="600"/>
        <v>0</v>
      </c>
      <c r="DE827" s="763">
        <f t="shared" si="600"/>
        <v>0</v>
      </c>
      <c r="DF827" s="763">
        <f t="shared" si="600"/>
        <v>0</v>
      </c>
      <c r="DG827" s="763">
        <f t="shared" si="600"/>
        <v>0</v>
      </c>
      <c r="DH827" s="763">
        <f t="shared" si="600"/>
        <v>0</v>
      </c>
      <c r="DI827" s="763">
        <f t="shared" si="600"/>
        <v>0</v>
      </c>
      <c r="DJ827" s="763">
        <f t="shared" si="600"/>
        <v>0</v>
      </c>
      <c r="DK827" s="763">
        <f t="shared" si="600"/>
        <v>0</v>
      </c>
      <c r="DL827" s="763">
        <f t="shared" si="600"/>
        <v>0</v>
      </c>
      <c r="DM827" s="763">
        <f t="shared" si="600"/>
        <v>0</v>
      </c>
      <c r="DN827" s="763">
        <f t="shared" si="600"/>
        <v>0</v>
      </c>
      <c r="DO827" s="763">
        <f t="shared" si="600"/>
        <v>0</v>
      </c>
      <c r="DP827" s="763">
        <f t="shared" si="600"/>
        <v>0</v>
      </c>
      <c r="DQ827" s="763">
        <f t="shared" si="600"/>
        <v>0</v>
      </c>
      <c r="DR827" s="763">
        <f t="shared" si="600"/>
        <v>0</v>
      </c>
      <c r="DS827" s="763">
        <f t="shared" si="600"/>
        <v>0</v>
      </c>
      <c r="DT827" s="763">
        <f t="shared" si="600"/>
        <v>0</v>
      </c>
      <c r="DU827" s="763">
        <f t="shared" si="600"/>
        <v>0</v>
      </c>
      <c r="DV827" s="763">
        <f t="shared" si="600"/>
        <v>0</v>
      </c>
      <c r="DW827" s="763">
        <f t="shared" si="600"/>
        <v>0</v>
      </c>
      <c r="DX827" s="763">
        <f t="shared" si="600"/>
        <v>0</v>
      </c>
      <c r="DY827" s="763">
        <f t="shared" si="600"/>
        <v>0</v>
      </c>
      <c r="DZ827" s="763">
        <f t="shared" si="600"/>
        <v>0</v>
      </c>
      <c r="EA827" s="763">
        <f t="shared" si="600"/>
        <v>0</v>
      </c>
      <c r="EB827" s="763">
        <f t="shared" si="600"/>
        <v>0</v>
      </c>
      <c r="EC827" s="763">
        <f t="shared" si="600"/>
        <v>0</v>
      </c>
      <c r="ED827" s="763">
        <f t="shared" si="600"/>
        <v>0</v>
      </c>
      <c r="EE827" s="763">
        <f t="shared" si="600"/>
        <v>0</v>
      </c>
      <c r="EF827" s="763">
        <f t="shared" si="600"/>
        <v>0</v>
      </c>
      <c r="EG827" s="763">
        <f t="shared" si="600"/>
        <v>0</v>
      </c>
      <c r="EH827" s="763">
        <f t="shared" si="600"/>
        <v>0</v>
      </c>
      <c r="EI827" s="763">
        <f t="shared" si="600"/>
        <v>0</v>
      </c>
      <c r="EJ827" s="763">
        <f t="shared" si="600"/>
        <v>0</v>
      </c>
      <c r="EK827" s="763">
        <f t="shared" si="600"/>
        <v>0</v>
      </c>
      <c r="EL827" s="763">
        <f t="shared" si="600"/>
        <v>0</v>
      </c>
      <c r="EM827" s="763">
        <f t="shared" si="600"/>
        <v>0</v>
      </c>
      <c r="EN827" s="763">
        <f t="shared" si="600"/>
        <v>0</v>
      </c>
      <c r="EO827" s="763">
        <f t="shared" si="600"/>
        <v>0</v>
      </c>
      <c r="EP827" s="763">
        <f t="shared" si="600"/>
        <v>0</v>
      </c>
      <c r="EQ827" s="763">
        <f t="shared" si="600"/>
        <v>0</v>
      </c>
      <c r="ER827" s="763">
        <f t="shared" si="600"/>
        <v>0</v>
      </c>
      <c r="ES827" s="763">
        <f t="shared" si="600"/>
        <v>0</v>
      </c>
      <c r="ET827" s="763">
        <f t="shared" si="600"/>
        <v>0</v>
      </c>
      <c r="EU827" s="763">
        <f t="shared" si="600"/>
        <v>0</v>
      </c>
    </row>
    <row r="828" spans="11:151" ht="12" customHeight="1" x14ac:dyDescent="0.35">
      <c r="K828" s="28"/>
      <c r="L828" s="28"/>
      <c r="M828" s="28"/>
      <c r="N828" s="28"/>
      <c r="O828" s="28"/>
      <c r="P828" s="28"/>
      <c r="Q828" s="28"/>
      <c r="R828" s="31"/>
      <c r="S828" s="36"/>
      <c r="T828" s="26"/>
      <c r="U828" s="29"/>
      <c r="V828" s="29"/>
      <c r="W828" s="377"/>
      <c r="X828" s="376" t="str">
        <f t="shared" si="601"/>
        <v>Investor #5</v>
      </c>
      <c r="Y828" s="378">
        <f>Input!J283</f>
        <v>0</v>
      </c>
      <c r="Z828" s="29"/>
      <c r="AA828" s="29">
        <v>5</v>
      </c>
      <c r="AB828" s="29" t="str">
        <f>IF(Input!D283="","Investor #"&amp;AA828,Input!D283)</f>
        <v>Investor #5</v>
      </c>
      <c r="AC828" s="1804"/>
      <c r="AD828" s="376" t="s">
        <v>537</v>
      </c>
      <c r="AE828" s="376" t="str">
        <f t="shared" si="602"/>
        <v>Investor #5</v>
      </c>
      <c r="AF828" s="763">
        <f t="shared" si="603"/>
        <v>0</v>
      </c>
      <c r="AG828" s="763">
        <f t="shared" si="604"/>
        <v>0</v>
      </c>
      <c r="AH828" s="763">
        <f t="shared" si="604"/>
        <v>0</v>
      </c>
      <c r="AI828" s="763">
        <f t="shared" si="604"/>
        <v>0</v>
      </c>
      <c r="AJ828" s="763">
        <f t="shared" si="604"/>
        <v>0</v>
      </c>
      <c r="AK828" s="763">
        <f t="shared" si="604"/>
        <v>0</v>
      </c>
      <c r="AL828" s="763">
        <f t="shared" si="604"/>
        <v>0</v>
      </c>
      <c r="AM828" s="763">
        <f t="shared" si="604"/>
        <v>0</v>
      </c>
      <c r="AN828" s="763">
        <f t="shared" si="604"/>
        <v>0</v>
      </c>
      <c r="AO828" s="763">
        <f t="shared" si="604"/>
        <v>0</v>
      </c>
      <c r="AP828" s="763">
        <f t="shared" si="604"/>
        <v>0</v>
      </c>
      <c r="AQ828" s="763">
        <f t="shared" si="604"/>
        <v>0</v>
      </c>
      <c r="AR828" s="763">
        <f t="shared" si="604"/>
        <v>0</v>
      </c>
      <c r="AS828" s="763">
        <f t="shared" si="604"/>
        <v>0</v>
      </c>
      <c r="AT828" s="763">
        <f t="shared" si="604"/>
        <v>0</v>
      </c>
      <c r="AU828" s="763">
        <f t="shared" si="604"/>
        <v>0</v>
      </c>
      <c r="AV828" s="763">
        <f t="shared" si="604"/>
        <v>0</v>
      </c>
      <c r="AW828" s="763">
        <f t="shared" si="604"/>
        <v>0</v>
      </c>
      <c r="AX828" s="763">
        <f t="shared" si="604"/>
        <v>0</v>
      </c>
      <c r="AY828" s="763">
        <f t="shared" si="604"/>
        <v>0</v>
      </c>
      <c r="AZ828" s="763">
        <f t="shared" si="604"/>
        <v>0</v>
      </c>
      <c r="BA828" s="763">
        <f t="shared" si="604"/>
        <v>0</v>
      </c>
      <c r="BB828" s="763">
        <f t="shared" si="604"/>
        <v>0</v>
      </c>
      <c r="BC828" s="763">
        <f t="shared" si="604"/>
        <v>0</v>
      </c>
      <c r="BD828" s="763">
        <f t="shared" si="604"/>
        <v>0</v>
      </c>
      <c r="BE828" s="763">
        <f t="shared" si="604"/>
        <v>0</v>
      </c>
      <c r="BF828" s="763">
        <f t="shared" si="604"/>
        <v>0</v>
      </c>
      <c r="BG828" s="763">
        <f t="shared" si="604"/>
        <v>0</v>
      </c>
      <c r="BH828" s="763">
        <f t="shared" si="604"/>
        <v>0</v>
      </c>
      <c r="BI828" s="763">
        <f t="shared" si="604"/>
        <v>0</v>
      </c>
      <c r="BJ828" s="763">
        <f t="shared" si="604"/>
        <v>0</v>
      </c>
      <c r="BK828" s="763">
        <f t="shared" si="604"/>
        <v>0</v>
      </c>
      <c r="BL828" s="763">
        <f t="shared" si="604"/>
        <v>0</v>
      </c>
      <c r="BM828" s="763">
        <f t="shared" si="604"/>
        <v>0</v>
      </c>
      <c r="BN828" s="763">
        <f t="shared" si="604"/>
        <v>0</v>
      </c>
      <c r="BO828" s="763">
        <f t="shared" si="604"/>
        <v>0</v>
      </c>
      <c r="BP828" s="763">
        <f t="shared" si="604"/>
        <v>0</v>
      </c>
      <c r="BQ828" s="763">
        <f t="shared" si="604"/>
        <v>0</v>
      </c>
      <c r="BR828" s="763">
        <f t="shared" si="604"/>
        <v>0</v>
      </c>
      <c r="BS828" s="763">
        <f t="shared" si="604"/>
        <v>0</v>
      </c>
      <c r="BT828" s="763">
        <f t="shared" si="604"/>
        <v>0</v>
      </c>
      <c r="BU828" s="763">
        <f t="shared" si="604"/>
        <v>0</v>
      </c>
      <c r="BV828" s="763">
        <f t="shared" si="604"/>
        <v>0</v>
      </c>
      <c r="BW828" s="763">
        <f t="shared" si="604"/>
        <v>0</v>
      </c>
      <c r="BX828" s="763">
        <f t="shared" si="604"/>
        <v>0</v>
      </c>
      <c r="BY828" s="763">
        <f t="shared" si="604"/>
        <v>0</v>
      </c>
      <c r="BZ828" s="763">
        <f t="shared" si="604"/>
        <v>0</v>
      </c>
      <c r="CA828" s="763">
        <f t="shared" si="604"/>
        <v>0</v>
      </c>
      <c r="CB828" s="763">
        <f t="shared" si="604"/>
        <v>0</v>
      </c>
      <c r="CC828" s="763">
        <f t="shared" si="604"/>
        <v>0</v>
      </c>
      <c r="CD828" s="763">
        <f t="shared" si="604"/>
        <v>0</v>
      </c>
      <c r="CE828" s="763">
        <f t="shared" si="604"/>
        <v>0</v>
      </c>
      <c r="CF828" s="763">
        <f t="shared" si="604"/>
        <v>0</v>
      </c>
      <c r="CG828" s="763">
        <f t="shared" si="604"/>
        <v>0</v>
      </c>
      <c r="CH828" s="763">
        <f t="shared" si="604"/>
        <v>0</v>
      </c>
      <c r="CI828" s="763">
        <f t="shared" si="604"/>
        <v>0</v>
      </c>
      <c r="CJ828" s="763">
        <f t="shared" si="604"/>
        <v>0</v>
      </c>
      <c r="CK828" s="763">
        <f t="shared" si="604"/>
        <v>0</v>
      </c>
      <c r="CL828" s="763">
        <f t="shared" si="604"/>
        <v>0</v>
      </c>
      <c r="CM828" s="763">
        <f t="shared" si="604"/>
        <v>0</v>
      </c>
      <c r="CN828" s="763">
        <f t="shared" si="604"/>
        <v>0</v>
      </c>
      <c r="CO828" s="763">
        <f t="shared" si="604"/>
        <v>0</v>
      </c>
      <c r="CP828" s="763">
        <f t="shared" si="604"/>
        <v>0</v>
      </c>
      <c r="CQ828" s="763">
        <f t="shared" si="604"/>
        <v>0</v>
      </c>
      <c r="CR828" s="763">
        <f t="shared" si="604"/>
        <v>0</v>
      </c>
      <c r="CS828" s="763">
        <f t="shared" si="600"/>
        <v>0</v>
      </c>
      <c r="CT828" s="763">
        <f t="shared" si="600"/>
        <v>0</v>
      </c>
      <c r="CU828" s="763">
        <f t="shared" si="600"/>
        <v>0</v>
      </c>
      <c r="CV828" s="763">
        <f t="shared" si="600"/>
        <v>0</v>
      </c>
      <c r="CW828" s="763">
        <f t="shared" si="600"/>
        <v>0</v>
      </c>
      <c r="CX828" s="763">
        <f t="shared" si="600"/>
        <v>0</v>
      </c>
      <c r="CY828" s="763">
        <f t="shared" si="600"/>
        <v>0</v>
      </c>
      <c r="CZ828" s="763">
        <f t="shared" si="600"/>
        <v>0</v>
      </c>
      <c r="DA828" s="763">
        <f t="shared" si="600"/>
        <v>0</v>
      </c>
      <c r="DB828" s="763">
        <f t="shared" si="600"/>
        <v>0</v>
      </c>
      <c r="DC828" s="763">
        <f t="shared" si="600"/>
        <v>0</v>
      </c>
      <c r="DD828" s="763">
        <f t="shared" si="600"/>
        <v>0</v>
      </c>
      <c r="DE828" s="763">
        <f t="shared" si="600"/>
        <v>0</v>
      </c>
      <c r="DF828" s="763">
        <f t="shared" si="600"/>
        <v>0</v>
      </c>
      <c r="DG828" s="763">
        <f t="shared" si="600"/>
        <v>0</v>
      </c>
      <c r="DH828" s="763">
        <f t="shared" si="600"/>
        <v>0</v>
      </c>
      <c r="DI828" s="763">
        <f t="shared" si="600"/>
        <v>0</v>
      </c>
      <c r="DJ828" s="763">
        <f t="shared" si="600"/>
        <v>0</v>
      </c>
      <c r="DK828" s="763">
        <f t="shared" si="600"/>
        <v>0</v>
      </c>
      <c r="DL828" s="763">
        <f t="shared" si="600"/>
        <v>0</v>
      </c>
      <c r="DM828" s="763">
        <f t="shared" si="600"/>
        <v>0</v>
      </c>
      <c r="DN828" s="763">
        <f t="shared" si="600"/>
        <v>0</v>
      </c>
      <c r="DO828" s="763">
        <f t="shared" si="600"/>
        <v>0</v>
      </c>
      <c r="DP828" s="763">
        <f t="shared" si="600"/>
        <v>0</v>
      </c>
      <c r="DQ828" s="763">
        <f t="shared" si="600"/>
        <v>0</v>
      </c>
      <c r="DR828" s="763">
        <f t="shared" si="600"/>
        <v>0</v>
      </c>
      <c r="DS828" s="763">
        <f t="shared" si="600"/>
        <v>0</v>
      </c>
      <c r="DT828" s="763">
        <f t="shared" si="600"/>
        <v>0</v>
      </c>
      <c r="DU828" s="763">
        <f t="shared" si="600"/>
        <v>0</v>
      </c>
      <c r="DV828" s="763">
        <f t="shared" si="600"/>
        <v>0</v>
      </c>
      <c r="DW828" s="763">
        <f t="shared" si="600"/>
        <v>0</v>
      </c>
      <c r="DX828" s="763">
        <f t="shared" si="600"/>
        <v>0</v>
      </c>
      <c r="DY828" s="763">
        <f t="shared" si="600"/>
        <v>0</v>
      </c>
      <c r="DZ828" s="763">
        <f t="shared" si="600"/>
        <v>0</v>
      </c>
      <c r="EA828" s="763">
        <f t="shared" si="600"/>
        <v>0</v>
      </c>
      <c r="EB828" s="763">
        <f t="shared" ref="EB828:EU828" si="605">IF(OR($U707=0,$V707=0),0,IF($V707=EB$823,-$U707,0))</f>
        <v>0</v>
      </c>
      <c r="EC828" s="763">
        <f t="shared" si="605"/>
        <v>0</v>
      </c>
      <c r="ED828" s="763">
        <f t="shared" si="605"/>
        <v>0</v>
      </c>
      <c r="EE828" s="763">
        <f t="shared" si="605"/>
        <v>0</v>
      </c>
      <c r="EF828" s="763">
        <f t="shared" si="605"/>
        <v>0</v>
      </c>
      <c r="EG828" s="763">
        <f t="shared" si="605"/>
        <v>0</v>
      </c>
      <c r="EH828" s="763">
        <f t="shared" si="605"/>
        <v>0</v>
      </c>
      <c r="EI828" s="763">
        <f t="shared" si="605"/>
        <v>0</v>
      </c>
      <c r="EJ828" s="763">
        <f t="shared" si="605"/>
        <v>0</v>
      </c>
      <c r="EK828" s="763">
        <f t="shared" si="605"/>
        <v>0</v>
      </c>
      <c r="EL828" s="763">
        <f t="shared" si="605"/>
        <v>0</v>
      </c>
      <c r="EM828" s="763">
        <f t="shared" si="605"/>
        <v>0</v>
      </c>
      <c r="EN828" s="763">
        <f t="shared" si="605"/>
        <v>0</v>
      </c>
      <c r="EO828" s="763">
        <f t="shared" si="605"/>
        <v>0</v>
      </c>
      <c r="EP828" s="763">
        <f t="shared" si="605"/>
        <v>0</v>
      </c>
      <c r="EQ828" s="763">
        <f t="shared" si="605"/>
        <v>0</v>
      </c>
      <c r="ER828" s="763">
        <f t="shared" si="605"/>
        <v>0</v>
      </c>
      <c r="ES828" s="763">
        <f t="shared" si="605"/>
        <v>0</v>
      </c>
      <c r="ET828" s="763">
        <f t="shared" si="605"/>
        <v>0</v>
      </c>
      <c r="EU828" s="763">
        <f t="shared" si="605"/>
        <v>0</v>
      </c>
    </row>
    <row r="829" spans="11:151" ht="12" customHeight="1" x14ac:dyDescent="0.35">
      <c r="K829" s="28"/>
      <c r="L829" s="28"/>
      <c r="M829" s="28"/>
      <c r="N829" s="28"/>
      <c r="O829" s="28"/>
      <c r="P829" s="28"/>
      <c r="Q829" s="28"/>
      <c r="R829" s="31"/>
      <c r="S829" s="36"/>
      <c r="T829" s="26"/>
      <c r="U829" s="29"/>
      <c r="V829" s="29"/>
      <c r="W829" s="377"/>
      <c r="X829" s="376" t="str">
        <f t="shared" si="601"/>
        <v>Investor #6</v>
      </c>
      <c r="Y829" s="378">
        <f>Input!J284</f>
        <v>0</v>
      </c>
      <c r="Z829" s="29"/>
      <c r="AA829" s="29">
        <v>6</v>
      </c>
      <c r="AB829" s="29" t="str">
        <f>IF(Input!D284="","Investor #"&amp;AA829,Input!D284)</f>
        <v>Investor #6</v>
      </c>
      <c r="AC829" s="1804"/>
      <c r="AD829" s="376" t="s">
        <v>538</v>
      </c>
      <c r="AE829" s="376" t="str">
        <f t="shared" si="602"/>
        <v>Investor #6</v>
      </c>
      <c r="AF829" s="763">
        <f t="shared" si="603"/>
        <v>0</v>
      </c>
      <c r="AG829" s="763">
        <f t="shared" si="604"/>
        <v>0</v>
      </c>
      <c r="AH829" s="763">
        <f t="shared" si="604"/>
        <v>0</v>
      </c>
      <c r="AI829" s="763">
        <f t="shared" si="604"/>
        <v>0</v>
      </c>
      <c r="AJ829" s="763">
        <f t="shared" si="604"/>
        <v>0</v>
      </c>
      <c r="AK829" s="763">
        <f t="shared" si="604"/>
        <v>0</v>
      </c>
      <c r="AL829" s="763">
        <f t="shared" si="604"/>
        <v>0</v>
      </c>
      <c r="AM829" s="763">
        <f t="shared" si="604"/>
        <v>0</v>
      </c>
      <c r="AN829" s="763">
        <f t="shared" si="604"/>
        <v>0</v>
      </c>
      <c r="AO829" s="763">
        <f t="shared" si="604"/>
        <v>0</v>
      </c>
      <c r="AP829" s="763">
        <f t="shared" si="604"/>
        <v>0</v>
      </c>
      <c r="AQ829" s="763">
        <f t="shared" si="604"/>
        <v>0</v>
      </c>
      <c r="AR829" s="763">
        <f t="shared" si="604"/>
        <v>0</v>
      </c>
      <c r="AS829" s="763">
        <f t="shared" si="604"/>
        <v>0</v>
      </c>
      <c r="AT829" s="763">
        <f t="shared" si="604"/>
        <v>0</v>
      </c>
      <c r="AU829" s="763">
        <f t="shared" si="604"/>
        <v>0</v>
      </c>
      <c r="AV829" s="763">
        <f t="shared" si="604"/>
        <v>0</v>
      </c>
      <c r="AW829" s="763">
        <f t="shared" si="604"/>
        <v>0</v>
      </c>
      <c r="AX829" s="763">
        <f t="shared" si="604"/>
        <v>0</v>
      </c>
      <c r="AY829" s="763">
        <f t="shared" si="604"/>
        <v>0</v>
      </c>
      <c r="AZ829" s="763">
        <f t="shared" si="604"/>
        <v>0</v>
      </c>
      <c r="BA829" s="763">
        <f t="shared" si="604"/>
        <v>0</v>
      </c>
      <c r="BB829" s="763">
        <f t="shared" si="604"/>
        <v>0</v>
      </c>
      <c r="BC829" s="763">
        <f t="shared" si="604"/>
        <v>0</v>
      </c>
      <c r="BD829" s="763">
        <f t="shared" si="604"/>
        <v>0</v>
      </c>
      <c r="BE829" s="763">
        <f t="shared" si="604"/>
        <v>0</v>
      </c>
      <c r="BF829" s="763">
        <f t="shared" si="604"/>
        <v>0</v>
      </c>
      <c r="BG829" s="763">
        <f t="shared" si="604"/>
        <v>0</v>
      </c>
      <c r="BH829" s="763">
        <f t="shared" si="604"/>
        <v>0</v>
      </c>
      <c r="BI829" s="763">
        <f t="shared" si="604"/>
        <v>0</v>
      </c>
      <c r="BJ829" s="763">
        <f t="shared" si="604"/>
        <v>0</v>
      </c>
      <c r="BK829" s="763">
        <f t="shared" si="604"/>
        <v>0</v>
      </c>
      <c r="BL829" s="763">
        <f t="shared" si="604"/>
        <v>0</v>
      </c>
      <c r="BM829" s="763">
        <f t="shared" si="604"/>
        <v>0</v>
      </c>
      <c r="BN829" s="763">
        <f t="shared" si="604"/>
        <v>0</v>
      </c>
      <c r="BO829" s="763">
        <f t="shared" si="604"/>
        <v>0</v>
      </c>
      <c r="BP829" s="763">
        <f t="shared" si="604"/>
        <v>0</v>
      </c>
      <c r="BQ829" s="763">
        <f t="shared" si="604"/>
        <v>0</v>
      </c>
      <c r="BR829" s="763">
        <f t="shared" si="604"/>
        <v>0</v>
      </c>
      <c r="BS829" s="763">
        <f t="shared" si="604"/>
        <v>0</v>
      </c>
      <c r="BT829" s="763">
        <f t="shared" si="604"/>
        <v>0</v>
      </c>
      <c r="BU829" s="763">
        <f t="shared" si="604"/>
        <v>0</v>
      </c>
      <c r="BV829" s="763">
        <f t="shared" si="604"/>
        <v>0</v>
      </c>
      <c r="BW829" s="763">
        <f t="shared" si="604"/>
        <v>0</v>
      </c>
      <c r="BX829" s="763">
        <f t="shared" si="604"/>
        <v>0</v>
      </c>
      <c r="BY829" s="763">
        <f t="shared" si="604"/>
        <v>0</v>
      </c>
      <c r="BZ829" s="763">
        <f t="shared" si="604"/>
        <v>0</v>
      </c>
      <c r="CA829" s="763">
        <f t="shared" si="604"/>
        <v>0</v>
      </c>
      <c r="CB829" s="763">
        <f t="shared" si="604"/>
        <v>0</v>
      </c>
      <c r="CC829" s="763">
        <f t="shared" si="604"/>
        <v>0</v>
      </c>
      <c r="CD829" s="763">
        <f t="shared" si="604"/>
        <v>0</v>
      </c>
      <c r="CE829" s="763">
        <f t="shared" si="604"/>
        <v>0</v>
      </c>
      <c r="CF829" s="763">
        <f t="shared" si="604"/>
        <v>0</v>
      </c>
      <c r="CG829" s="763">
        <f t="shared" si="604"/>
        <v>0</v>
      </c>
      <c r="CH829" s="763">
        <f t="shared" si="604"/>
        <v>0</v>
      </c>
      <c r="CI829" s="763">
        <f t="shared" si="604"/>
        <v>0</v>
      </c>
      <c r="CJ829" s="763">
        <f t="shared" si="604"/>
        <v>0</v>
      </c>
      <c r="CK829" s="763">
        <f t="shared" si="604"/>
        <v>0</v>
      </c>
      <c r="CL829" s="763">
        <f t="shared" si="604"/>
        <v>0</v>
      </c>
      <c r="CM829" s="763">
        <f t="shared" si="604"/>
        <v>0</v>
      </c>
      <c r="CN829" s="763">
        <f t="shared" si="604"/>
        <v>0</v>
      </c>
      <c r="CO829" s="763">
        <f t="shared" si="604"/>
        <v>0</v>
      </c>
      <c r="CP829" s="763">
        <f t="shared" si="604"/>
        <v>0</v>
      </c>
      <c r="CQ829" s="763">
        <f t="shared" si="604"/>
        <v>0</v>
      </c>
      <c r="CR829" s="763">
        <f t="shared" ref="CR829:EU832" si="606">IF(OR($U708=0,$V708=0),0,IF($V708=CR$823,-$U708,0))</f>
        <v>0</v>
      </c>
      <c r="CS829" s="763">
        <f t="shared" si="606"/>
        <v>0</v>
      </c>
      <c r="CT829" s="763">
        <f t="shared" si="606"/>
        <v>0</v>
      </c>
      <c r="CU829" s="763">
        <f t="shared" si="606"/>
        <v>0</v>
      </c>
      <c r="CV829" s="763">
        <f t="shared" si="606"/>
        <v>0</v>
      </c>
      <c r="CW829" s="763">
        <f t="shared" si="606"/>
        <v>0</v>
      </c>
      <c r="CX829" s="763">
        <f t="shared" si="606"/>
        <v>0</v>
      </c>
      <c r="CY829" s="763">
        <f t="shared" si="606"/>
        <v>0</v>
      </c>
      <c r="CZ829" s="763">
        <f t="shared" si="606"/>
        <v>0</v>
      </c>
      <c r="DA829" s="763">
        <f t="shared" si="606"/>
        <v>0</v>
      </c>
      <c r="DB829" s="763">
        <f t="shared" si="606"/>
        <v>0</v>
      </c>
      <c r="DC829" s="763">
        <f t="shared" si="606"/>
        <v>0</v>
      </c>
      <c r="DD829" s="763">
        <f t="shared" si="606"/>
        <v>0</v>
      </c>
      <c r="DE829" s="763">
        <f t="shared" si="606"/>
        <v>0</v>
      </c>
      <c r="DF829" s="763">
        <f t="shared" si="606"/>
        <v>0</v>
      </c>
      <c r="DG829" s="763">
        <f t="shared" si="606"/>
        <v>0</v>
      </c>
      <c r="DH829" s="763">
        <f t="shared" si="606"/>
        <v>0</v>
      </c>
      <c r="DI829" s="763">
        <f t="shared" si="606"/>
        <v>0</v>
      </c>
      <c r="DJ829" s="763">
        <f t="shared" si="606"/>
        <v>0</v>
      </c>
      <c r="DK829" s="763">
        <f t="shared" si="606"/>
        <v>0</v>
      </c>
      <c r="DL829" s="763">
        <f t="shared" si="606"/>
        <v>0</v>
      </c>
      <c r="DM829" s="763">
        <f t="shared" si="606"/>
        <v>0</v>
      </c>
      <c r="DN829" s="763">
        <f t="shared" si="606"/>
        <v>0</v>
      </c>
      <c r="DO829" s="763">
        <f t="shared" si="606"/>
        <v>0</v>
      </c>
      <c r="DP829" s="763">
        <f t="shared" si="606"/>
        <v>0</v>
      </c>
      <c r="DQ829" s="763">
        <f t="shared" si="606"/>
        <v>0</v>
      </c>
      <c r="DR829" s="763">
        <f t="shared" si="606"/>
        <v>0</v>
      </c>
      <c r="DS829" s="763">
        <f t="shared" si="606"/>
        <v>0</v>
      </c>
      <c r="DT829" s="763">
        <f t="shared" si="606"/>
        <v>0</v>
      </c>
      <c r="DU829" s="763">
        <f t="shared" si="606"/>
        <v>0</v>
      </c>
      <c r="DV829" s="763">
        <f t="shared" si="606"/>
        <v>0</v>
      </c>
      <c r="DW829" s="763">
        <f t="shared" si="606"/>
        <v>0</v>
      </c>
      <c r="DX829" s="763">
        <f t="shared" si="606"/>
        <v>0</v>
      </c>
      <c r="DY829" s="763">
        <f t="shared" si="606"/>
        <v>0</v>
      </c>
      <c r="DZ829" s="763">
        <f t="shared" si="606"/>
        <v>0</v>
      </c>
      <c r="EA829" s="763">
        <f t="shared" si="606"/>
        <v>0</v>
      </c>
      <c r="EB829" s="763">
        <f t="shared" si="606"/>
        <v>0</v>
      </c>
      <c r="EC829" s="763">
        <f t="shared" si="606"/>
        <v>0</v>
      </c>
      <c r="ED829" s="763">
        <f t="shared" si="606"/>
        <v>0</v>
      </c>
      <c r="EE829" s="763">
        <f t="shared" si="606"/>
        <v>0</v>
      </c>
      <c r="EF829" s="763">
        <f t="shared" si="606"/>
        <v>0</v>
      </c>
      <c r="EG829" s="763">
        <f t="shared" si="606"/>
        <v>0</v>
      </c>
      <c r="EH829" s="763">
        <f t="shared" si="606"/>
        <v>0</v>
      </c>
      <c r="EI829" s="763">
        <f t="shared" si="606"/>
        <v>0</v>
      </c>
      <c r="EJ829" s="763">
        <f t="shared" si="606"/>
        <v>0</v>
      </c>
      <c r="EK829" s="763">
        <f t="shared" si="606"/>
        <v>0</v>
      </c>
      <c r="EL829" s="763">
        <f t="shared" si="606"/>
        <v>0</v>
      </c>
      <c r="EM829" s="763">
        <f t="shared" si="606"/>
        <v>0</v>
      </c>
      <c r="EN829" s="763">
        <f t="shared" si="606"/>
        <v>0</v>
      </c>
      <c r="EO829" s="763">
        <f t="shared" si="606"/>
        <v>0</v>
      </c>
      <c r="EP829" s="763">
        <f t="shared" si="606"/>
        <v>0</v>
      </c>
      <c r="EQ829" s="763">
        <f t="shared" si="606"/>
        <v>0</v>
      </c>
      <c r="ER829" s="763">
        <f t="shared" si="606"/>
        <v>0</v>
      </c>
      <c r="ES829" s="763">
        <f t="shared" si="606"/>
        <v>0</v>
      </c>
      <c r="ET829" s="763">
        <f t="shared" si="606"/>
        <v>0</v>
      </c>
      <c r="EU829" s="763">
        <f t="shared" si="606"/>
        <v>0</v>
      </c>
    </row>
    <row r="830" spans="11:151" ht="12" customHeight="1" x14ac:dyDescent="0.35">
      <c r="K830" s="28"/>
      <c r="L830" s="28"/>
      <c r="M830" s="28"/>
      <c r="N830" s="28"/>
      <c r="O830" s="28"/>
      <c r="P830" s="28"/>
      <c r="Q830" s="28"/>
      <c r="R830" s="31"/>
      <c r="S830" s="36"/>
      <c r="T830" s="26"/>
      <c r="U830" s="29"/>
      <c r="V830" s="29"/>
      <c r="W830" s="377"/>
      <c r="X830" s="376" t="str">
        <f t="shared" si="601"/>
        <v>Investor #7</v>
      </c>
      <c r="Y830" s="378">
        <f>Input!J285</f>
        <v>0</v>
      </c>
      <c r="Z830" s="29"/>
      <c r="AA830" s="29">
        <v>7</v>
      </c>
      <c r="AB830" s="29" t="str">
        <f>IF(Input!D285="","Investor #"&amp;AA830,Input!D285)</f>
        <v>Investor #7</v>
      </c>
      <c r="AC830" s="1804"/>
      <c r="AD830" s="376" t="s">
        <v>539</v>
      </c>
      <c r="AE830" s="376" t="str">
        <f t="shared" si="602"/>
        <v>Investor #7</v>
      </c>
      <c r="AF830" s="763">
        <f t="shared" si="603"/>
        <v>0</v>
      </c>
      <c r="AG830" s="763">
        <f t="shared" ref="AG830:CR833" si="607">IF(OR($U709=0,$V709=0),0,IF($V709=AG$823,-$U709,0))</f>
        <v>0</v>
      </c>
      <c r="AH830" s="763">
        <f t="shared" si="607"/>
        <v>0</v>
      </c>
      <c r="AI830" s="763">
        <f t="shared" si="607"/>
        <v>0</v>
      </c>
      <c r="AJ830" s="763">
        <f t="shared" si="607"/>
        <v>0</v>
      </c>
      <c r="AK830" s="763">
        <f t="shared" si="607"/>
        <v>0</v>
      </c>
      <c r="AL830" s="763">
        <f t="shared" si="607"/>
        <v>0</v>
      </c>
      <c r="AM830" s="763">
        <f t="shared" si="607"/>
        <v>0</v>
      </c>
      <c r="AN830" s="763">
        <f t="shared" si="607"/>
        <v>0</v>
      </c>
      <c r="AO830" s="763">
        <f t="shared" si="607"/>
        <v>0</v>
      </c>
      <c r="AP830" s="763">
        <f t="shared" si="607"/>
        <v>0</v>
      </c>
      <c r="AQ830" s="763">
        <f t="shared" si="607"/>
        <v>0</v>
      </c>
      <c r="AR830" s="763">
        <f t="shared" si="607"/>
        <v>0</v>
      </c>
      <c r="AS830" s="763">
        <f t="shared" si="607"/>
        <v>0</v>
      </c>
      <c r="AT830" s="763">
        <f t="shared" si="607"/>
        <v>0</v>
      </c>
      <c r="AU830" s="763">
        <f t="shared" si="607"/>
        <v>0</v>
      </c>
      <c r="AV830" s="763">
        <f t="shared" si="607"/>
        <v>0</v>
      </c>
      <c r="AW830" s="763">
        <f t="shared" si="607"/>
        <v>0</v>
      </c>
      <c r="AX830" s="763">
        <f t="shared" si="607"/>
        <v>0</v>
      </c>
      <c r="AY830" s="763">
        <f t="shared" si="607"/>
        <v>0</v>
      </c>
      <c r="AZ830" s="763">
        <f t="shared" si="607"/>
        <v>0</v>
      </c>
      <c r="BA830" s="763">
        <f t="shared" si="607"/>
        <v>0</v>
      </c>
      <c r="BB830" s="763">
        <f t="shared" si="607"/>
        <v>0</v>
      </c>
      <c r="BC830" s="763">
        <f t="shared" si="607"/>
        <v>0</v>
      </c>
      <c r="BD830" s="763">
        <f t="shared" si="607"/>
        <v>0</v>
      </c>
      <c r="BE830" s="763">
        <f t="shared" si="607"/>
        <v>0</v>
      </c>
      <c r="BF830" s="763">
        <f t="shared" si="607"/>
        <v>0</v>
      </c>
      <c r="BG830" s="763">
        <f t="shared" si="607"/>
        <v>0</v>
      </c>
      <c r="BH830" s="763">
        <f t="shared" si="607"/>
        <v>0</v>
      </c>
      <c r="BI830" s="763">
        <f t="shared" si="607"/>
        <v>0</v>
      </c>
      <c r="BJ830" s="763">
        <f t="shared" si="607"/>
        <v>0</v>
      </c>
      <c r="BK830" s="763">
        <f t="shared" si="607"/>
        <v>0</v>
      </c>
      <c r="BL830" s="763">
        <f t="shared" si="607"/>
        <v>0</v>
      </c>
      <c r="BM830" s="763">
        <f t="shared" si="607"/>
        <v>0</v>
      </c>
      <c r="BN830" s="763">
        <f t="shared" si="607"/>
        <v>0</v>
      </c>
      <c r="BO830" s="763">
        <f t="shared" si="607"/>
        <v>0</v>
      </c>
      <c r="BP830" s="763">
        <f t="shared" si="607"/>
        <v>0</v>
      </c>
      <c r="BQ830" s="763">
        <f t="shared" si="607"/>
        <v>0</v>
      </c>
      <c r="BR830" s="763">
        <f t="shared" si="607"/>
        <v>0</v>
      </c>
      <c r="BS830" s="763">
        <f t="shared" si="607"/>
        <v>0</v>
      </c>
      <c r="BT830" s="763">
        <f t="shared" si="607"/>
        <v>0</v>
      </c>
      <c r="BU830" s="763">
        <f t="shared" si="607"/>
        <v>0</v>
      </c>
      <c r="BV830" s="763">
        <f t="shared" si="607"/>
        <v>0</v>
      </c>
      <c r="BW830" s="763">
        <f t="shared" si="607"/>
        <v>0</v>
      </c>
      <c r="BX830" s="763">
        <f t="shared" si="607"/>
        <v>0</v>
      </c>
      <c r="BY830" s="763">
        <f t="shared" si="607"/>
        <v>0</v>
      </c>
      <c r="BZ830" s="763">
        <f t="shared" si="607"/>
        <v>0</v>
      </c>
      <c r="CA830" s="763">
        <f t="shared" si="607"/>
        <v>0</v>
      </c>
      <c r="CB830" s="763">
        <f t="shared" si="607"/>
        <v>0</v>
      </c>
      <c r="CC830" s="763">
        <f t="shared" si="607"/>
        <v>0</v>
      </c>
      <c r="CD830" s="763">
        <f t="shared" si="607"/>
        <v>0</v>
      </c>
      <c r="CE830" s="763">
        <f t="shared" si="607"/>
        <v>0</v>
      </c>
      <c r="CF830" s="763">
        <f t="shared" si="607"/>
        <v>0</v>
      </c>
      <c r="CG830" s="763">
        <f t="shared" si="607"/>
        <v>0</v>
      </c>
      <c r="CH830" s="763">
        <f t="shared" si="607"/>
        <v>0</v>
      </c>
      <c r="CI830" s="763">
        <f t="shared" si="607"/>
        <v>0</v>
      </c>
      <c r="CJ830" s="763">
        <f t="shared" si="607"/>
        <v>0</v>
      </c>
      <c r="CK830" s="763">
        <f t="shared" si="607"/>
        <v>0</v>
      </c>
      <c r="CL830" s="763">
        <f t="shared" si="607"/>
        <v>0</v>
      </c>
      <c r="CM830" s="763">
        <f t="shared" si="607"/>
        <v>0</v>
      </c>
      <c r="CN830" s="763">
        <f t="shared" si="607"/>
        <v>0</v>
      </c>
      <c r="CO830" s="763">
        <f t="shared" si="607"/>
        <v>0</v>
      </c>
      <c r="CP830" s="763">
        <f t="shared" si="607"/>
        <v>0</v>
      </c>
      <c r="CQ830" s="763">
        <f t="shared" si="607"/>
        <v>0</v>
      </c>
      <c r="CR830" s="763">
        <f t="shared" si="607"/>
        <v>0</v>
      </c>
      <c r="CS830" s="763">
        <f t="shared" si="606"/>
        <v>0</v>
      </c>
      <c r="CT830" s="763">
        <f t="shared" si="606"/>
        <v>0</v>
      </c>
      <c r="CU830" s="763">
        <f t="shared" si="606"/>
        <v>0</v>
      </c>
      <c r="CV830" s="763">
        <f t="shared" si="606"/>
        <v>0</v>
      </c>
      <c r="CW830" s="763">
        <f t="shared" si="606"/>
        <v>0</v>
      </c>
      <c r="CX830" s="763">
        <f t="shared" si="606"/>
        <v>0</v>
      </c>
      <c r="CY830" s="763">
        <f t="shared" si="606"/>
        <v>0</v>
      </c>
      <c r="CZ830" s="763">
        <f t="shared" si="606"/>
        <v>0</v>
      </c>
      <c r="DA830" s="763">
        <f t="shared" si="606"/>
        <v>0</v>
      </c>
      <c r="DB830" s="763">
        <f t="shared" si="606"/>
        <v>0</v>
      </c>
      <c r="DC830" s="763">
        <f t="shared" si="606"/>
        <v>0</v>
      </c>
      <c r="DD830" s="763">
        <f t="shared" si="606"/>
        <v>0</v>
      </c>
      <c r="DE830" s="763">
        <f t="shared" si="606"/>
        <v>0</v>
      </c>
      <c r="DF830" s="763">
        <f t="shared" si="606"/>
        <v>0</v>
      </c>
      <c r="DG830" s="763">
        <f t="shared" si="606"/>
        <v>0</v>
      </c>
      <c r="DH830" s="763">
        <f t="shared" si="606"/>
        <v>0</v>
      </c>
      <c r="DI830" s="763">
        <f t="shared" si="606"/>
        <v>0</v>
      </c>
      <c r="DJ830" s="763">
        <f t="shared" si="606"/>
        <v>0</v>
      </c>
      <c r="DK830" s="763">
        <f t="shared" si="606"/>
        <v>0</v>
      </c>
      <c r="DL830" s="763">
        <f t="shared" si="606"/>
        <v>0</v>
      </c>
      <c r="DM830" s="763">
        <f t="shared" si="606"/>
        <v>0</v>
      </c>
      <c r="DN830" s="763">
        <f t="shared" si="606"/>
        <v>0</v>
      </c>
      <c r="DO830" s="763">
        <f t="shared" si="606"/>
        <v>0</v>
      </c>
      <c r="DP830" s="763">
        <f t="shared" si="606"/>
        <v>0</v>
      </c>
      <c r="DQ830" s="763">
        <f t="shared" si="606"/>
        <v>0</v>
      </c>
      <c r="DR830" s="763">
        <f t="shared" si="606"/>
        <v>0</v>
      </c>
      <c r="DS830" s="763">
        <f t="shared" si="606"/>
        <v>0</v>
      </c>
      <c r="DT830" s="763">
        <f t="shared" si="606"/>
        <v>0</v>
      </c>
      <c r="DU830" s="763">
        <f t="shared" si="606"/>
        <v>0</v>
      </c>
      <c r="DV830" s="763">
        <f t="shared" si="606"/>
        <v>0</v>
      </c>
      <c r="DW830" s="763">
        <f t="shared" si="606"/>
        <v>0</v>
      </c>
      <c r="DX830" s="763">
        <f t="shared" si="606"/>
        <v>0</v>
      </c>
      <c r="DY830" s="763">
        <f t="shared" si="606"/>
        <v>0</v>
      </c>
      <c r="DZ830" s="763">
        <f t="shared" si="606"/>
        <v>0</v>
      </c>
      <c r="EA830" s="763">
        <f t="shared" si="606"/>
        <v>0</v>
      </c>
      <c r="EB830" s="763">
        <f t="shared" si="606"/>
        <v>0</v>
      </c>
      <c r="EC830" s="763">
        <f t="shared" si="606"/>
        <v>0</v>
      </c>
      <c r="ED830" s="763">
        <f t="shared" si="606"/>
        <v>0</v>
      </c>
      <c r="EE830" s="763">
        <f t="shared" si="606"/>
        <v>0</v>
      </c>
      <c r="EF830" s="763">
        <f t="shared" si="606"/>
        <v>0</v>
      </c>
      <c r="EG830" s="763">
        <f t="shared" si="606"/>
        <v>0</v>
      </c>
      <c r="EH830" s="763">
        <f t="shared" si="606"/>
        <v>0</v>
      </c>
      <c r="EI830" s="763">
        <f t="shared" si="606"/>
        <v>0</v>
      </c>
      <c r="EJ830" s="763">
        <f t="shared" si="606"/>
        <v>0</v>
      </c>
      <c r="EK830" s="763">
        <f t="shared" si="606"/>
        <v>0</v>
      </c>
      <c r="EL830" s="763">
        <f t="shared" si="606"/>
        <v>0</v>
      </c>
      <c r="EM830" s="763">
        <f t="shared" si="606"/>
        <v>0</v>
      </c>
      <c r="EN830" s="763">
        <f t="shared" si="606"/>
        <v>0</v>
      </c>
      <c r="EO830" s="763">
        <f t="shared" si="606"/>
        <v>0</v>
      </c>
      <c r="EP830" s="763">
        <f t="shared" si="606"/>
        <v>0</v>
      </c>
      <c r="EQ830" s="763">
        <f t="shared" si="606"/>
        <v>0</v>
      </c>
      <c r="ER830" s="763">
        <f t="shared" si="606"/>
        <v>0</v>
      </c>
      <c r="ES830" s="763">
        <f t="shared" si="606"/>
        <v>0</v>
      </c>
      <c r="ET830" s="763">
        <f t="shared" si="606"/>
        <v>0</v>
      </c>
      <c r="EU830" s="763">
        <f t="shared" si="606"/>
        <v>0</v>
      </c>
    </row>
    <row r="831" spans="11:151" ht="12" customHeight="1" x14ac:dyDescent="0.35">
      <c r="K831" s="28"/>
      <c r="L831" s="28"/>
      <c r="M831" s="28"/>
      <c r="N831" s="28"/>
      <c r="O831" s="28"/>
      <c r="P831" s="28"/>
      <c r="Q831" s="28"/>
      <c r="R831" s="31"/>
      <c r="S831" s="36"/>
      <c r="T831" s="26"/>
      <c r="U831" s="29"/>
      <c r="V831" s="29"/>
      <c r="W831" s="377"/>
      <c r="X831" s="376" t="str">
        <f t="shared" si="601"/>
        <v>Investor #8</v>
      </c>
      <c r="Y831" s="378">
        <f>Input!J286</f>
        <v>0</v>
      </c>
      <c r="Z831" s="29"/>
      <c r="AA831" s="29">
        <v>8</v>
      </c>
      <c r="AB831" s="29" t="str">
        <f>IF(Input!D286="","Investor #"&amp;AA831,Input!D286)</f>
        <v>Investor #8</v>
      </c>
      <c r="AC831" s="1804"/>
      <c r="AD831" s="376" t="s">
        <v>540</v>
      </c>
      <c r="AE831" s="376" t="str">
        <f t="shared" si="602"/>
        <v>Investor #8</v>
      </c>
      <c r="AF831" s="763">
        <f t="shared" si="603"/>
        <v>0</v>
      </c>
      <c r="AG831" s="763">
        <f t="shared" si="607"/>
        <v>0</v>
      </c>
      <c r="AH831" s="763">
        <f t="shared" si="607"/>
        <v>0</v>
      </c>
      <c r="AI831" s="763">
        <f t="shared" si="607"/>
        <v>0</v>
      </c>
      <c r="AJ831" s="763">
        <f t="shared" si="607"/>
        <v>0</v>
      </c>
      <c r="AK831" s="763">
        <f t="shared" si="607"/>
        <v>0</v>
      </c>
      <c r="AL831" s="763">
        <f t="shared" si="607"/>
        <v>0</v>
      </c>
      <c r="AM831" s="763">
        <f t="shared" si="607"/>
        <v>0</v>
      </c>
      <c r="AN831" s="763">
        <f t="shared" si="607"/>
        <v>0</v>
      </c>
      <c r="AO831" s="763">
        <f t="shared" si="607"/>
        <v>0</v>
      </c>
      <c r="AP831" s="763">
        <f t="shared" si="607"/>
        <v>0</v>
      </c>
      <c r="AQ831" s="763">
        <f t="shared" si="607"/>
        <v>0</v>
      </c>
      <c r="AR831" s="763">
        <f t="shared" si="607"/>
        <v>0</v>
      </c>
      <c r="AS831" s="763">
        <f t="shared" si="607"/>
        <v>0</v>
      </c>
      <c r="AT831" s="763">
        <f t="shared" si="607"/>
        <v>0</v>
      </c>
      <c r="AU831" s="763">
        <f t="shared" si="607"/>
        <v>0</v>
      </c>
      <c r="AV831" s="763">
        <f t="shared" si="607"/>
        <v>0</v>
      </c>
      <c r="AW831" s="763">
        <f t="shared" si="607"/>
        <v>0</v>
      </c>
      <c r="AX831" s="763">
        <f t="shared" si="607"/>
        <v>0</v>
      </c>
      <c r="AY831" s="763">
        <f t="shared" si="607"/>
        <v>0</v>
      </c>
      <c r="AZ831" s="763">
        <f t="shared" si="607"/>
        <v>0</v>
      </c>
      <c r="BA831" s="763">
        <f t="shared" si="607"/>
        <v>0</v>
      </c>
      <c r="BB831" s="763">
        <f t="shared" si="607"/>
        <v>0</v>
      </c>
      <c r="BC831" s="763">
        <f t="shared" si="607"/>
        <v>0</v>
      </c>
      <c r="BD831" s="763">
        <f t="shared" si="607"/>
        <v>0</v>
      </c>
      <c r="BE831" s="763">
        <f t="shared" si="607"/>
        <v>0</v>
      </c>
      <c r="BF831" s="763">
        <f t="shared" si="607"/>
        <v>0</v>
      </c>
      <c r="BG831" s="763">
        <f t="shared" si="607"/>
        <v>0</v>
      </c>
      <c r="BH831" s="763">
        <f t="shared" si="607"/>
        <v>0</v>
      </c>
      <c r="BI831" s="763">
        <f t="shared" si="607"/>
        <v>0</v>
      </c>
      <c r="BJ831" s="763">
        <f t="shared" si="607"/>
        <v>0</v>
      </c>
      <c r="BK831" s="763">
        <f t="shared" si="607"/>
        <v>0</v>
      </c>
      <c r="BL831" s="763">
        <f t="shared" si="607"/>
        <v>0</v>
      </c>
      <c r="BM831" s="763">
        <f t="shared" si="607"/>
        <v>0</v>
      </c>
      <c r="BN831" s="763">
        <f t="shared" si="607"/>
        <v>0</v>
      </c>
      <c r="BO831" s="763">
        <f t="shared" si="607"/>
        <v>0</v>
      </c>
      <c r="BP831" s="763">
        <f t="shared" si="607"/>
        <v>0</v>
      </c>
      <c r="BQ831" s="763">
        <f t="shared" si="607"/>
        <v>0</v>
      </c>
      <c r="BR831" s="763">
        <f t="shared" si="607"/>
        <v>0</v>
      </c>
      <c r="BS831" s="763">
        <f t="shared" si="607"/>
        <v>0</v>
      </c>
      <c r="BT831" s="763">
        <f t="shared" si="607"/>
        <v>0</v>
      </c>
      <c r="BU831" s="763">
        <f t="shared" si="607"/>
        <v>0</v>
      </c>
      <c r="BV831" s="763">
        <f t="shared" si="607"/>
        <v>0</v>
      </c>
      <c r="BW831" s="763">
        <f t="shared" si="607"/>
        <v>0</v>
      </c>
      <c r="BX831" s="763">
        <f t="shared" si="607"/>
        <v>0</v>
      </c>
      <c r="BY831" s="763">
        <f t="shared" si="607"/>
        <v>0</v>
      </c>
      <c r="BZ831" s="763">
        <f t="shared" si="607"/>
        <v>0</v>
      </c>
      <c r="CA831" s="763">
        <f t="shared" si="607"/>
        <v>0</v>
      </c>
      <c r="CB831" s="763">
        <f t="shared" si="607"/>
        <v>0</v>
      </c>
      <c r="CC831" s="763">
        <f t="shared" si="607"/>
        <v>0</v>
      </c>
      <c r="CD831" s="763">
        <f t="shared" si="607"/>
        <v>0</v>
      </c>
      <c r="CE831" s="763">
        <f t="shared" si="607"/>
        <v>0</v>
      </c>
      <c r="CF831" s="763">
        <f t="shared" si="607"/>
        <v>0</v>
      </c>
      <c r="CG831" s="763">
        <f t="shared" si="607"/>
        <v>0</v>
      </c>
      <c r="CH831" s="763">
        <f t="shared" si="607"/>
        <v>0</v>
      </c>
      <c r="CI831" s="763">
        <f t="shared" si="607"/>
        <v>0</v>
      </c>
      <c r="CJ831" s="763">
        <f t="shared" si="607"/>
        <v>0</v>
      </c>
      <c r="CK831" s="763">
        <f t="shared" si="607"/>
        <v>0</v>
      </c>
      <c r="CL831" s="763">
        <f t="shared" si="607"/>
        <v>0</v>
      </c>
      <c r="CM831" s="763">
        <f t="shared" si="607"/>
        <v>0</v>
      </c>
      <c r="CN831" s="763">
        <f t="shared" si="607"/>
        <v>0</v>
      </c>
      <c r="CO831" s="763">
        <f t="shared" si="607"/>
        <v>0</v>
      </c>
      <c r="CP831" s="763">
        <f t="shared" si="607"/>
        <v>0</v>
      </c>
      <c r="CQ831" s="763">
        <f t="shared" si="607"/>
        <v>0</v>
      </c>
      <c r="CR831" s="763">
        <f t="shared" si="607"/>
        <v>0</v>
      </c>
      <c r="CS831" s="763">
        <f t="shared" si="606"/>
        <v>0</v>
      </c>
      <c r="CT831" s="763">
        <f t="shared" si="606"/>
        <v>0</v>
      </c>
      <c r="CU831" s="763">
        <f t="shared" si="606"/>
        <v>0</v>
      </c>
      <c r="CV831" s="763">
        <f t="shared" si="606"/>
        <v>0</v>
      </c>
      <c r="CW831" s="763">
        <f t="shared" si="606"/>
        <v>0</v>
      </c>
      <c r="CX831" s="763">
        <f t="shared" si="606"/>
        <v>0</v>
      </c>
      <c r="CY831" s="763">
        <f t="shared" si="606"/>
        <v>0</v>
      </c>
      <c r="CZ831" s="763">
        <f t="shared" si="606"/>
        <v>0</v>
      </c>
      <c r="DA831" s="763">
        <f t="shared" si="606"/>
        <v>0</v>
      </c>
      <c r="DB831" s="763">
        <f t="shared" si="606"/>
        <v>0</v>
      </c>
      <c r="DC831" s="763">
        <f t="shared" si="606"/>
        <v>0</v>
      </c>
      <c r="DD831" s="763">
        <f t="shared" si="606"/>
        <v>0</v>
      </c>
      <c r="DE831" s="763">
        <f t="shared" si="606"/>
        <v>0</v>
      </c>
      <c r="DF831" s="763">
        <f t="shared" si="606"/>
        <v>0</v>
      </c>
      <c r="DG831" s="763">
        <f t="shared" si="606"/>
        <v>0</v>
      </c>
      <c r="DH831" s="763">
        <f t="shared" si="606"/>
        <v>0</v>
      </c>
      <c r="DI831" s="763">
        <f t="shared" si="606"/>
        <v>0</v>
      </c>
      <c r="DJ831" s="763">
        <f t="shared" si="606"/>
        <v>0</v>
      </c>
      <c r="DK831" s="763">
        <f t="shared" si="606"/>
        <v>0</v>
      </c>
      <c r="DL831" s="763">
        <f t="shared" si="606"/>
        <v>0</v>
      </c>
      <c r="DM831" s="763">
        <f t="shared" si="606"/>
        <v>0</v>
      </c>
      <c r="DN831" s="763">
        <f t="shared" si="606"/>
        <v>0</v>
      </c>
      <c r="DO831" s="763">
        <f t="shared" si="606"/>
        <v>0</v>
      </c>
      <c r="DP831" s="763">
        <f t="shared" si="606"/>
        <v>0</v>
      </c>
      <c r="DQ831" s="763">
        <f t="shared" si="606"/>
        <v>0</v>
      </c>
      <c r="DR831" s="763">
        <f t="shared" si="606"/>
        <v>0</v>
      </c>
      <c r="DS831" s="763">
        <f t="shared" si="606"/>
        <v>0</v>
      </c>
      <c r="DT831" s="763">
        <f t="shared" si="606"/>
        <v>0</v>
      </c>
      <c r="DU831" s="763">
        <f t="shared" si="606"/>
        <v>0</v>
      </c>
      <c r="DV831" s="763">
        <f t="shared" si="606"/>
        <v>0</v>
      </c>
      <c r="DW831" s="763">
        <f t="shared" si="606"/>
        <v>0</v>
      </c>
      <c r="DX831" s="763">
        <f t="shared" si="606"/>
        <v>0</v>
      </c>
      <c r="DY831" s="763">
        <f t="shared" si="606"/>
        <v>0</v>
      </c>
      <c r="DZ831" s="763">
        <f t="shared" si="606"/>
        <v>0</v>
      </c>
      <c r="EA831" s="763">
        <f t="shared" si="606"/>
        <v>0</v>
      </c>
      <c r="EB831" s="763">
        <f t="shared" si="606"/>
        <v>0</v>
      </c>
      <c r="EC831" s="763">
        <f t="shared" si="606"/>
        <v>0</v>
      </c>
      <c r="ED831" s="763">
        <f t="shared" si="606"/>
        <v>0</v>
      </c>
      <c r="EE831" s="763">
        <f t="shared" si="606"/>
        <v>0</v>
      </c>
      <c r="EF831" s="763">
        <f t="shared" si="606"/>
        <v>0</v>
      </c>
      <c r="EG831" s="763">
        <f t="shared" si="606"/>
        <v>0</v>
      </c>
      <c r="EH831" s="763">
        <f t="shared" si="606"/>
        <v>0</v>
      </c>
      <c r="EI831" s="763">
        <f t="shared" si="606"/>
        <v>0</v>
      </c>
      <c r="EJ831" s="763">
        <f t="shared" si="606"/>
        <v>0</v>
      </c>
      <c r="EK831" s="763">
        <f t="shared" si="606"/>
        <v>0</v>
      </c>
      <c r="EL831" s="763">
        <f t="shared" si="606"/>
        <v>0</v>
      </c>
      <c r="EM831" s="763">
        <f t="shared" si="606"/>
        <v>0</v>
      </c>
      <c r="EN831" s="763">
        <f t="shared" si="606"/>
        <v>0</v>
      </c>
      <c r="EO831" s="763">
        <f t="shared" si="606"/>
        <v>0</v>
      </c>
      <c r="EP831" s="763">
        <f t="shared" si="606"/>
        <v>0</v>
      </c>
      <c r="EQ831" s="763">
        <f t="shared" si="606"/>
        <v>0</v>
      </c>
      <c r="ER831" s="763">
        <f t="shared" si="606"/>
        <v>0</v>
      </c>
      <c r="ES831" s="763">
        <f t="shared" si="606"/>
        <v>0</v>
      </c>
      <c r="ET831" s="763">
        <f t="shared" si="606"/>
        <v>0</v>
      </c>
      <c r="EU831" s="763">
        <f t="shared" si="606"/>
        <v>0</v>
      </c>
    </row>
    <row r="832" spans="11:151" ht="12" customHeight="1" x14ac:dyDescent="0.35">
      <c r="K832" s="28"/>
      <c r="L832" s="28"/>
      <c r="M832" s="28"/>
      <c r="N832" s="28"/>
      <c r="O832" s="28"/>
      <c r="P832" s="28"/>
      <c r="Q832" s="28"/>
      <c r="R832" s="31"/>
      <c r="S832" s="36"/>
      <c r="T832" s="26"/>
      <c r="U832" s="29"/>
      <c r="V832" s="29"/>
      <c r="W832" s="377"/>
      <c r="X832" s="376" t="str">
        <f t="shared" si="601"/>
        <v>Investor #9</v>
      </c>
      <c r="Y832" s="378">
        <f>Input!J287</f>
        <v>0</v>
      </c>
      <c r="Z832" s="29"/>
      <c r="AA832" s="29">
        <v>9</v>
      </c>
      <c r="AB832" s="29" t="str">
        <f>IF(Input!D287="","Investor #"&amp;AA832,Input!D287)</f>
        <v>Investor #9</v>
      </c>
      <c r="AC832" s="1804"/>
      <c r="AD832" s="376" t="s">
        <v>541</v>
      </c>
      <c r="AE832" s="376" t="str">
        <f t="shared" si="602"/>
        <v>Investor #9</v>
      </c>
      <c r="AF832" s="763">
        <f t="shared" si="603"/>
        <v>0</v>
      </c>
      <c r="AG832" s="763">
        <f t="shared" si="607"/>
        <v>0</v>
      </c>
      <c r="AH832" s="763">
        <f t="shared" si="607"/>
        <v>0</v>
      </c>
      <c r="AI832" s="763">
        <f t="shared" si="607"/>
        <v>0</v>
      </c>
      <c r="AJ832" s="763">
        <f t="shared" si="607"/>
        <v>0</v>
      </c>
      <c r="AK832" s="763">
        <f t="shared" si="607"/>
        <v>0</v>
      </c>
      <c r="AL832" s="763">
        <f t="shared" si="607"/>
        <v>0</v>
      </c>
      <c r="AM832" s="763">
        <f t="shared" si="607"/>
        <v>0</v>
      </c>
      <c r="AN832" s="763">
        <f t="shared" si="607"/>
        <v>0</v>
      </c>
      <c r="AO832" s="763">
        <f t="shared" si="607"/>
        <v>0</v>
      </c>
      <c r="AP832" s="763">
        <f t="shared" si="607"/>
        <v>0</v>
      </c>
      <c r="AQ832" s="763">
        <f t="shared" si="607"/>
        <v>0</v>
      </c>
      <c r="AR832" s="763">
        <f t="shared" si="607"/>
        <v>0</v>
      </c>
      <c r="AS832" s="763">
        <f t="shared" si="607"/>
        <v>0</v>
      </c>
      <c r="AT832" s="763">
        <f t="shared" si="607"/>
        <v>0</v>
      </c>
      <c r="AU832" s="763">
        <f t="shared" si="607"/>
        <v>0</v>
      </c>
      <c r="AV832" s="763">
        <f t="shared" si="607"/>
        <v>0</v>
      </c>
      <c r="AW832" s="763">
        <f t="shared" si="607"/>
        <v>0</v>
      </c>
      <c r="AX832" s="763">
        <f t="shared" si="607"/>
        <v>0</v>
      </c>
      <c r="AY832" s="763">
        <f t="shared" si="607"/>
        <v>0</v>
      </c>
      <c r="AZ832" s="763">
        <f t="shared" si="607"/>
        <v>0</v>
      </c>
      <c r="BA832" s="763">
        <f t="shared" si="607"/>
        <v>0</v>
      </c>
      <c r="BB832" s="763">
        <f t="shared" si="607"/>
        <v>0</v>
      </c>
      <c r="BC832" s="763">
        <f t="shared" si="607"/>
        <v>0</v>
      </c>
      <c r="BD832" s="763">
        <f t="shared" si="607"/>
        <v>0</v>
      </c>
      <c r="BE832" s="763">
        <f t="shared" si="607"/>
        <v>0</v>
      </c>
      <c r="BF832" s="763">
        <f t="shared" si="607"/>
        <v>0</v>
      </c>
      <c r="BG832" s="763">
        <f t="shared" si="607"/>
        <v>0</v>
      </c>
      <c r="BH832" s="763">
        <f t="shared" si="607"/>
        <v>0</v>
      </c>
      <c r="BI832" s="763">
        <f t="shared" si="607"/>
        <v>0</v>
      </c>
      <c r="BJ832" s="763">
        <f t="shared" si="607"/>
        <v>0</v>
      </c>
      <c r="BK832" s="763">
        <f t="shared" si="607"/>
        <v>0</v>
      </c>
      <c r="BL832" s="763">
        <f t="shared" si="607"/>
        <v>0</v>
      </c>
      <c r="BM832" s="763">
        <f t="shared" si="607"/>
        <v>0</v>
      </c>
      <c r="BN832" s="763">
        <f t="shared" si="607"/>
        <v>0</v>
      </c>
      <c r="BO832" s="763">
        <f t="shared" si="607"/>
        <v>0</v>
      </c>
      <c r="BP832" s="763">
        <f t="shared" si="607"/>
        <v>0</v>
      </c>
      <c r="BQ832" s="763">
        <f t="shared" si="607"/>
        <v>0</v>
      </c>
      <c r="BR832" s="763">
        <f t="shared" si="607"/>
        <v>0</v>
      </c>
      <c r="BS832" s="763">
        <f t="shared" si="607"/>
        <v>0</v>
      </c>
      <c r="BT832" s="763">
        <f t="shared" si="607"/>
        <v>0</v>
      </c>
      <c r="BU832" s="763">
        <f t="shared" si="607"/>
        <v>0</v>
      </c>
      <c r="BV832" s="763">
        <f t="shared" si="607"/>
        <v>0</v>
      </c>
      <c r="BW832" s="763">
        <f t="shared" si="607"/>
        <v>0</v>
      </c>
      <c r="BX832" s="763">
        <f t="shared" si="607"/>
        <v>0</v>
      </c>
      <c r="BY832" s="763">
        <f t="shared" si="607"/>
        <v>0</v>
      </c>
      <c r="BZ832" s="763">
        <f t="shared" si="607"/>
        <v>0</v>
      </c>
      <c r="CA832" s="763">
        <f t="shared" si="607"/>
        <v>0</v>
      </c>
      <c r="CB832" s="763">
        <f t="shared" si="607"/>
        <v>0</v>
      </c>
      <c r="CC832" s="763">
        <f t="shared" si="607"/>
        <v>0</v>
      </c>
      <c r="CD832" s="763">
        <f t="shared" si="607"/>
        <v>0</v>
      </c>
      <c r="CE832" s="763">
        <f t="shared" si="607"/>
        <v>0</v>
      </c>
      <c r="CF832" s="763">
        <f t="shared" si="607"/>
        <v>0</v>
      </c>
      <c r="CG832" s="763">
        <f t="shared" si="607"/>
        <v>0</v>
      </c>
      <c r="CH832" s="763">
        <f t="shared" si="607"/>
        <v>0</v>
      </c>
      <c r="CI832" s="763">
        <f t="shared" si="607"/>
        <v>0</v>
      </c>
      <c r="CJ832" s="763">
        <f t="shared" si="607"/>
        <v>0</v>
      </c>
      <c r="CK832" s="763">
        <f t="shared" si="607"/>
        <v>0</v>
      </c>
      <c r="CL832" s="763">
        <f t="shared" si="607"/>
        <v>0</v>
      </c>
      <c r="CM832" s="763">
        <f t="shared" si="607"/>
        <v>0</v>
      </c>
      <c r="CN832" s="763">
        <f t="shared" si="607"/>
        <v>0</v>
      </c>
      <c r="CO832" s="763">
        <f t="shared" si="607"/>
        <v>0</v>
      </c>
      <c r="CP832" s="763">
        <f t="shared" si="607"/>
        <v>0</v>
      </c>
      <c r="CQ832" s="763">
        <f t="shared" si="607"/>
        <v>0</v>
      </c>
      <c r="CR832" s="763">
        <f t="shared" si="607"/>
        <v>0</v>
      </c>
      <c r="CS832" s="763">
        <f t="shared" si="606"/>
        <v>0</v>
      </c>
      <c r="CT832" s="763">
        <f t="shared" si="606"/>
        <v>0</v>
      </c>
      <c r="CU832" s="763">
        <f t="shared" si="606"/>
        <v>0</v>
      </c>
      <c r="CV832" s="763">
        <f t="shared" si="606"/>
        <v>0</v>
      </c>
      <c r="CW832" s="763">
        <f t="shared" si="606"/>
        <v>0</v>
      </c>
      <c r="CX832" s="763">
        <f t="shared" si="606"/>
        <v>0</v>
      </c>
      <c r="CY832" s="763">
        <f t="shared" si="606"/>
        <v>0</v>
      </c>
      <c r="CZ832" s="763">
        <f t="shared" si="606"/>
        <v>0</v>
      </c>
      <c r="DA832" s="763">
        <f t="shared" si="606"/>
        <v>0</v>
      </c>
      <c r="DB832" s="763">
        <f t="shared" si="606"/>
        <v>0</v>
      </c>
      <c r="DC832" s="763">
        <f t="shared" si="606"/>
        <v>0</v>
      </c>
      <c r="DD832" s="763">
        <f t="shared" si="606"/>
        <v>0</v>
      </c>
      <c r="DE832" s="763">
        <f t="shared" si="606"/>
        <v>0</v>
      </c>
      <c r="DF832" s="763">
        <f t="shared" si="606"/>
        <v>0</v>
      </c>
      <c r="DG832" s="763">
        <f t="shared" si="606"/>
        <v>0</v>
      </c>
      <c r="DH832" s="763">
        <f t="shared" si="606"/>
        <v>0</v>
      </c>
      <c r="DI832" s="763">
        <f t="shared" si="606"/>
        <v>0</v>
      </c>
      <c r="DJ832" s="763">
        <f t="shared" si="606"/>
        <v>0</v>
      </c>
      <c r="DK832" s="763">
        <f t="shared" si="606"/>
        <v>0</v>
      </c>
      <c r="DL832" s="763">
        <f t="shared" si="606"/>
        <v>0</v>
      </c>
      <c r="DM832" s="763">
        <f t="shared" si="606"/>
        <v>0</v>
      </c>
      <c r="DN832" s="763">
        <f t="shared" si="606"/>
        <v>0</v>
      </c>
      <c r="DO832" s="763">
        <f t="shared" si="606"/>
        <v>0</v>
      </c>
      <c r="DP832" s="763">
        <f t="shared" si="606"/>
        <v>0</v>
      </c>
      <c r="DQ832" s="763">
        <f t="shared" si="606"/>
        <v>0</v>
      </c>
      <c r="DR832" s="763">
        <f t="shared" si="606"/>
        <v>0</v>
      </c>
      <c r="DS832" s="763">
        <f t="shared" si="606"/>
        <v>0</v>
      </c>
      <c r="DT832" s="763">
        <f t="shared" si="606"/>
        <v>0</v>
      </c>
      <c r="DU832" s="763">
        <f t="shared" si="606"/>
        <v>0</v>
      </c>
      <c r="DV832" s="763">
        <f t="shared" si="606"/>
        <v>0</v>
      </c>
      <c r="DW832" s="763">
        <f t="shared" si="606"/>
        <v>0</v>
      </c>
      <c r="DX832" s="763">
        <f t="shared" si="606"/>
        <v>0</v>
      </c>
      <c r="DY832" s="763">
        <f t="shared" si="606"/>
        <v>0</v>
      </c>
      <c r="DZ832" s="763">
        <f t="shared" si="606"/>
        <v>0</v>
      </c>
      <c r="EA832" s="763">
        <f t="shared" si="606"/>
        <v>0</v>
      </c>
      <c r="EB832" s="763">
        <f t="shared" si="606"/>
        <v>0</v>
      </c>
      <c r="EC832" s="763">
        <f t="shared" si="606"/>
        <v>0</v>
      </c>
      <c r="ED832" s="763">
        <f t="shared" si="606"/>
        <v>0</v>
      </c>
      <c r="EE832" s="763">
        <f t="shared" si="606"/>
        <v>0</v>
      </c>
      <c r="EF832" s="763">
        <f t="shared" si="606"/>
        <v>0</v>
      </c>
      <c r="EG832" s="763">
        <f t="shared" si="606"/>
        <v>0</v>
      </c>
      <c r="EH832" s="763">
        <f t="shared" si="606"/>
        <v>0</v>
      </c>
      <c r="EI832" s="763">
        <f t="shared" si="606"/>
        <v>0</v>
      </c>
      <c r="EJ832" s="763">
        <f t="shared" si="606"/>
        <v>0</v>
      </c>
      <c r="EK832" s="763">
        <f t="shared" si="606"/>
        <v>0</v>
      </c>
      <c r="EL832" s="763">
        <f t="shared" si="606"/>
        <v>0</v>
      </c>
      <c r="EM832" s="763">
        <f t="shared" si="606"/>
        <v>0</v>
      </c>
      <c r="EN832" s="763">
        <f t="shared" si="606"/>
        <v>0</v>
      </c>
      <c r="EO832" s="763">
        <f t="shared" si="606"/>
        <v>0</v>
      </c>
      <c r="EP832" s="763">
        <f t="shared" si="606"/>
        <v>0</v>
      </c>
      <c r="EQ832" s="763">
        <f t="shared" si="606"/>
        <v>0</v>
      </c>
      <c r="ER832" s="763">
        <f t="shared" si="606"/>
        <v>0</v>
      </c>
      <c r="ES832" s="763">
        <f t="shared" si="606"/>
        <v>0</v>
      </c>
      <c r="ET832" s="763">
        <f t="shared" si="606"/>
        <v>0</v>
      </c>
      <c r="EU832" s="763">
        <f t="shared" si="606"/>
        <v>0</v>
      </c>
    </row>
    <row r="833" spans="11:151" ht="12" customHeight="1" x14ac:dyDescent="0.35">
      <c r="K833" s="28"/>
      <c r="L833" s="28"/>
      <c r="M833" s="28"/>
      <c r="N833" s="28"/>
      <c r="O833" s="28"/>
      <c r="P833" s="28"/>
      <c r="Q833" s="28"/>
      <c r="R833" s="31"/>
      <c r="S833" s="36"/>
      <c r="T833" s="26"/>
      <c r="U833" s="29"/>
      <c r="V833" s="29"/>
      <c r="W833" s="377"/>
      <c r="X833" s="376" t="str">
        <f t="shared" si="601"/>
        <v>Investor #10</v>
      </c>
      <c r="Y833" s="378">
        <f>Input!J288</f>
        <v>0</v>
      </c>
      <c r="Z833" s="29"/>
      <c r="AA833" s="29">
        <v>10</v>
      </c>
      <c r="AB833" s="29" t="str">
        <f>IF(Input!D288="","Investor #"&amp;AA833,Input!D288)</f>
        <v>Investor #10</v>
      </c>
      <c r="AC833" s="1804"/>
      <c r="AD833" s="376" t="s">
        <v>542</v>
      </c>
      <c r="AE833" s="376" t="str">
        <f t="shared" si="602"/>
        <v>Investor #10</v>
      </c>
      <c r="AF833" s="763">
        <f t="shared" si="603"/>
        <v>0</v>
      </c>
      <c r="AG833" s="763">
        <f t="shared" si="607"/>
        <v>0</v>
      </c>
      <c r="AH833" s="763">
        <f t="shared" si="607"/>
        <v>0</v>
      </c>
      <c r="AI833" s="763">
        <f t="shared" si="607"/>
        <v>0</v>
      </c>
      <c r="AJ833" s="763">
        <f t="shared" si="607"/>
        <v>0</v>
      </c>
      <c r="AK833" s="763">
        <f t="shared" si="607"/>
        <v>0</v>
      </c>
      <c r="AL833" s="763">
        <f t="shared" si="607"/>
        <v>0</v>
      </c>
      <c r="AM833" s="763">
        <f t="shared" si="607"/>
        <v>0</v>
      </c>
      <c r="AN833" s="763">
        <f t="shared" si="607"/>
        <v>0</v>
      </c>
      <c r="AO833" s="763">
        <f t="shared" si="607"/>
        <v>0</v>
      </c>
      <c r="AP833" s="763">
        <f t="shared" si="607"/>
        <v>0</v>
      </c>
      <c r="AQ833" s="763">
        <f t="shared" si="607"/>
        <v>0</v>
      </c>
      <c r="AR833" s="763">
        <f t="shared" si="607"/>
        <v>0</v>
      </c>
      <c r="AS833" s="763">
        <f t="shared" si="607"/>
        <v>0</v>
      </c>
      <c r="AT833" s="763">
        <f t="shared" si="607"/>
        <v>0</v>
      </c>
      <c r="AU833" s="763">
        <f t="shared" si="607"/>
        <v>0</v>
      </c>
      <c r="AV833" s="763">
        <f t="shared" si="607"/>
        <v>0</v>
      </c>
      <c r="AW833" s="763">
        <f t="shared" si="607"/>
        <v>0</v>
      </c>
      <c r="AX833" s="763">
        <f t="shared" si="607"/>
        <v>0</v>
      </c>
      <c r="AY833" s="763">
        <f t="shared" si="607"/>
        <v>0</v>
      </c>
      <c r="AZ833" s="763">
        <f t="shared" si="607"/>
        <v>0</v>
      </c>
      <c r="BA833" s="763">
        <f t="shared" si="607"/>
        <v>0</v>
      </c>
      <c r="BB833" s="763">
        <f t="shared" si="607"/>
        <v>0</v>
      </c>
      <c r="BC833" s="763">
        <f t="shared" si="607"/>
        <v>0</v>
      </c>
      <c r="BD833" s="763">
        <f t="shared" si="607"/>
        <v>0</v>
      </c>
      <c r="BE833" s="763">
        <f t="shared" si="607"/>
        <v>0</v>
      </c>
      <c r="BF833" s="763">
        <f t="shared" si="607"/>
        <v>0</v>
      </c>
      <c r="BG833" s="763">
        <f t="shared" si="607"/>
        <v>0</v>
      </c>
      <c r="BH833" s="763">
        <f t="shared" si="607"/>
        <v>0</v>
      </c>
      <c r="BI833" s="763">
        <f t="shared" si="607"/>
        <v>0</v>
      </c>
      <c r="BJ833" s="763">
        <f t="shared" si="607"/>
        <v>0</v>
      </c>
      <c r="BK833" s="763">
        <f t="shared" si="607"/>
        <v>0</v>
      </c>
      <c r="BL833" s="763">
        <f t="shared" si="607"/>
        <v>0</v>
      </c>
      <c r="BM833" s="763">
        <f t="shared" si="607"/>
        <v>0</v>
      </c>
      <c r="BN833" s="763">
        <f t="shared" si="607"/>
        <v>0</v>
      </c>
      <c r="BO833" s="763">
        <f t="shared" si="607"/>
        <v>0</v>
      </c>
      <c r="BP833" s="763">
        <f t="shared" si="607"/>
        <v>0</v>
      </c>
      <c r="BQ833" s="763">
        <f t="shared" si="607"/>
        <v>0</v>
      </c>
      <c r="BR833" s="763">
        <f t="shared" si="607"/>
        <v>0</v>
      </c>
      <c r="BS833" s="763">
        <f t="shared" si="607"/>
        <v>0</v>
      </c>
      <c r="BT833" s="763">
        <f t="shared" si="607"/>
        <v>0</v>
      </c>
      <c r="BU833" s="763">
        <f t="shared" si="607"/>
        <v>0</v>
      </c>
      <c r="BV833" s="763">
        <f t="shared" si="607"/>
        <v>0</v>
      </c>
      <c r="BW833" s="763">
        <f t="shared" si="607"/>
        <v>0</v>
      </c>
      <c r="BX833" s="763">
        <f t="shared" si="607"/>
        <v>0</v>
      </c>
      <c r="BY833" s="763">
        <f t="shared" si="607"/>
        <v>0</v>
      </c>
      <c r="BZ833" s="763">
        <f t="shared" si="607"/>
        <v>0</v>
      </c>
      <c r="CA833" s="763">
        <f t="shared" si="607"/>
        <v>0</v>
      </c>
      <c r="CB833" s="763">
        <f t="shared" si="607"/>
        <v>0</v>
      </c>
      <c r="CC833" s="763">
        <f t="shared" si="607"/>
        <v>0</v>
      </c>
      <c r="CD833" s="763">
        <f t="shared" si="607"/>
        <v>0</v>
      </c>
      <c r="CE833" s="763">
        <f t="shared" si="607"/>
        <v>0</v>
      </c>
      <c r="CF833" s="763">
        <f t="shared" si="607"/>
        <v>0</v>
      </c>
      <c r="CG833" s="763">
        <f t="shared" si="607"/>
        <v>0</v>
      </c>
      <c r="CH833" s="763">
        <f t="shared" si="607"/>
        <v>0</v>
      </c>
      <c r="CI833" s="763">
        <f t="shared" si="607"/>
        <v>0</v>
      </c>
      <c r="CJ833" s="763">
        <f t="shared" si="607"/>
        <v>0</v>
      </c>
      <c r="CK833" s="763">
        <f t="shared" si="607"/>
        <v>0</v>
      </c>
      <c r="CL833" s="763">
        <f t="shared" si="607"/>
        <v>0</v>
      </c>
      <c r="CM833" s="763">
        <f t="shared" si="607"/>
        <v>0</v>
      </c>
      <c r="CN833" s="763">
        <f t="shared" si="607"/>
        <v>0</v>
      </c>
      <c r="CO833" s="763">
        <f t="shared" si="607"/>
        <v>0</v>
      </c>
      <c r="CP833" s="763">
        <f t="shared" si="607"/>
        <v>0</v>
      </c>
      <c r="CQ833" s="763">
        <f t="shared" si="607"/>
        <v>0</v>
      </c>
      <c r="CR833" s="763">
        <f t="shared" ref="CR833:EU833" si="608">IF(OR($U712=0,$V712=0),0,IF($V712=CR$823,-$U712,0))</f>
        <v>0</v>
      </c>
      <c r="CS833" s="763">
        <f t="shared" si="608"/>
        <v>0</v>
      </c>
      <c r="CT833" s="763">
        <f t="shared" si="608"/>
        <v>0</v>
      </c>
      <c r="CU833" s="763">
        <f t="shared" si="608"/>
        <v>0</v>
      </c>
      <c r="CV833" s="763">
        <f t="shared" si="608"/>
        <v>0</v>
      </c>
      <c r="CW833" s="763">
        <f t="shared" si="608"/>
        <v>0</v>
      </c>
      <c r="CX833" s="763">
        <f t="shared" si="608"/>
        <v>0</v>
      </c>
      <c r="CY833" s="763">
        <f t="shared" si="608"/>
        <v>0</v>
      </c>
      <c r="CZ833" s="763">
        <f t="shared" si="608"/>
        <v>0</v>
      </c>
      <c r="DA833" s="763">
        <f t="shared" si="608"/>
        <v>0</v>
      </c>
      <c r="DB833" s="763">
        <f t="shared" si="608"/>
        <v>0</v>
      </c>
      <c r="DC833" s="763">
        <f t="shared" si="608"/>
        <v>0</v>
      </c>
      <c r="DD833" s="763">
        <f t="shared" si="608"/>
        <v>0</v>
      </c>
      <c r="DE833" s="763">
        <f t="shared" si="608"/>
        <v>0</v>
      </c>
      <c r="DF833" s="763">
        <f t="shared" si="608"/>
        <v>0</v>
      </c>
      <c r="DG833" s="763">
        <f t="shared" si="608"/>
        <v>0</v>
      </c>
      <c r="DH833" s="763">
        <f t="shared" si="608"/>
        <v>0</v>
      </c>
      <c r="DI833" s="763">
        <f t="shared" si="608"/>
        <v>0</v>
      </c>
      <c r="DJ833" s="763">
        <f t="shared" si="608"/>
        <v>0</v>
      </c>
      <c r="DK833" s="763">
        <f t="shared" si="608"/>
        <v>0</v>
      </c>
      <c r="DL833" s="763">
        <f t="shared" si="608"/>
        <v>0</v>
      </c>
      <c r="DM833" s="763">
        <f t="shared" si="608"/>
        <v>0</v>
      </c>
      <c r="DN833" s="763">
        <f t="shared" si="608"/>
        <v>0</v>
      </c>
      <c r="DO833" s="763">
        <f t="shared" si="608"/>
        <v>0</v>
      </c>
      <c r="DP833" s="763">
        <f t="shared" si="608"/>
        <v>0</v>
      </c>
      <c r="DQ833" s="763">
        <f t="shared" si="608"/>
        <v>0</v>
      </c>
      <c r="DR833" s="763">
        <f t="shared" si="608"/>
        <v>0</v>
      </c>
      <c r="DS833" s="763">
        <f t="shared" si="608"/>
        <v>0</v>
      </c>
      <c r="DT833" s="763">
        <f t="shared" si="608"/>
        <v>0</v>
      </c>
      <c r="DU833" s="763">
        <f t="shared" si="608"/>
        <v>0</v>
      </c>
      <c r="DV833" s="763">
        <f t="shared" si="608"/>
        <v>0</v>
      </c>
      <c r="DW833" s="763">
        <f t="shared" si="608"/>
        <v>0</v>
      </c>
      <c r="DX833" s="763">
        <f t="shared" si="608"/>
        <v>0</v>
      </c>
      <c r="DY833" s="763">
        <f t="shared" si="608"/>
        <v>0</v>
      </c>
      <c r="DZ833" s="763">
        <f t="shared" si="608"/>
        <v>0</v>
      </c>
      <c r="EA833" s="763">
        <f t="shared" si="608"/>
        <v>0</v>
      </c>
      <c r="EB833" s="763">
        <f t="shared" si="608"/>
        <v>0</v>
      </c>
      <c r="EC833" s="763">
        <f t="shared" si="608"/>
        <v>0</v>
      </c>
      <c r="ED833" s="763">
        <f t="shared" si="608"/>
        <v>0</v>
      </c>
      <c r="EE833" s="763">
        <f t="shared" si="608"/>
        <v>0</v>
      </c>
      <c r="EF833" s="763">
        <f t="shared" si="608"/>
        <v>0</v>
      </c>
      <c r="EG833" s="763">
        <f t="shared" si="608"/>
        <v>0</v>
      </c>
      <c r="EH833" s="763">
        <f t="shared" si="608"/>
        <v>0</v>
      </c>
      <c r="EI833" s="763">
        <f t="shared" si="608"/>
        <v>0</v>
      </c>
      <c r="EJ833" s="763">
        <f t="shared" si="608"/>
        <v>0</v>
      </c>
      <c r="EK833" s="763">
        <f t="shared" si="608"/>
        <v>0</v>
      </c>
      <c r="EL833" s="763">
        <f t="shared" si="608"/>
        <v>0</v>
      </c>
      <c r="EM833" s="763">
        <f t="shared" si="608"/>
        <v>0</v>
      </c>
      <c r="EN833" s="763">
        <f t="shared" si="608"/>
        <v>0</v>
      </c>
      <c r="EO833" s="763">
        <f t="shared" si="608"/>
        <v>0</v>
      </c>
      <c r="EP833" s="763">
        <f t="shared" si="608"/>
        <v>0</v>
      </c>
      <c r="EQ833" s="763">
        <f t="shared" si="608"/>
        <v>0</v>
      </c>
      <c r="ER833" s="763">
        <f t="shared" si="608"/>
        <v>0</v>
      </c>
      <c r="ES833" s="763">
        <f t="shared" si="608"/>
        <v>0</v>
      </c>
      <c r="ET833" s="763">
        <f t="shared" si="608"/>
        <v>0</v>
      </c>
      <c r="EU833" s="763">
        <f t="shared" si="608"/>
        <v>0</v>
      </c>
    </row>
    <row r="834" spans="11:151" ht="12" customHeight="1" x14ac:dyDescent="0.35">
      <c r="K834" s="28"/>
      <c r="L834" s="28"/>
      <c r="M834" s="28"/>
      <c r="N834" s="28"/>
      <c r="O834" s="28"/>
      <c r="P834" s="28"/>
      <c r="Q834" s="28"/>
      <c r="R834" s="31"/>
      <c r="S834" s="36"/>
      <c r="T834" s="26"/>
      <c r="U834" s="29"/>
      <c r="V834" s="29"/>
      <c r="W834" s="377"/>
      <c r="X834" s="376" t="str">
        <f t="shared" si="601"/>
        <v>SAFE #1</v>
      </c>
      <c r="Y834" s="378">
        <f>Input!V279</f>
        <v>0</v>
      </c>
      <c r="Z834" s="29"/>
      <c r="AA834" s="29">
        <v>1</v>
      </c>
      <c r="AB834" s="29" t="str">
        <f>IF(Input!M279="","SAFE #"&amp;AA834,Input!M279)</f>
        <v>SAFE #1</v>
      </c>
      <c r="AC834" s="290">
        <f>-SUM(AF834:EU836)</f>
        <v>0</v>
      </c>
      <c r="AD834" s="376" t="s">
        <v>543</v>
      </c>
      <c r="AE834" s="376" t="str">
        <f t="shared" ref="AE834:AE839" si="609">AB834</f>
        <v>SAFE #1</v>
      </c>
      <c r="AF834" s="1180">
        <f>IF(OR(Input!$H$276&lt;&gt;"Yes",Input!$P279=0,Input!$D$20=0),0,IF(AND(Input!$H$276="Yes",Input!$O$278&gt;= Input!$A279,Input!$Q279=Calcs!AF$823),-Input!$P279,0))</f>
        <v>0</v>
      </c>
      <c r="AG834" s="1180">
        <f>IF(OR(Input!$H$276&lt;&gt;"Yes",Input!$P279=0,Input!$D$20=0),0,IF(AND(Input!$H$276="Yes",Input!$O$278&gt;= Input!$A279,Input!$Q279=Calcs!AG$823),-Input!$P279,0))</f>
        <v>0</v>
      </c>
      <c r="AH834" s="1180">
        <f>IF(OR(Input!$H$276&lt;&gt;"Yes",Input!$P279=0,Input!$D$20=0),0,IF(AND(Input!$H$276="Yes",Input!$O$278&gt;= Input!$A279,Input!$Q279=Calcs!AH$823),-Input!$P279,0))</f>
        <v>0</v>
      </c>
      <c r="AI834" s="1180">
        <f>IF(OR(Input!$H$276&lt;&gt;"Yes",Input!$P279=0,Input!$D$20=0),0,IF(AND(Input!$H$276="Yes",Input!$O$278&gt;= Input!$A279,Input!$Q279=Calcs!AI$823),-Input!$P279,0))</f>
        <v>0</v>
      </c>
      <c r="AJ834" s="1180">
        <f>IF(OR(Input!$H$276&lt;&gt;"Yes",Input!$P279=0,Input!$D$20=0),0,IF(AND(Input!$H$276="Yes",Input!$O$278&gt;= Input!$A279,Input!$Q279=Calcs!AJ$823),-Input!$P279,0))</f>
        <v>0</v>
      </c>
      <c r="AK834" s="1180">
        <f>IF(OR(Input!$H$276&lt;&gt;"Yes",Input!$P279=0,Input!$D$20=0),0,IF(AND(Input!$H$276="Yes",Input!$O$278&gt;= Input!$A279,Input!$Q279=Calcs!AK$823),-Input!$P279,0))</f>
        <v>0</v>
      </c>
      <c r="AL834" s="1180">
        <f>IF(OR(Input!$H$276&lt;&gt;"Yes",Input!$P279=0,Input!$D$20=0),0,IF(AND(Input!$H$276="Yes",Input!$O$278&gt;= Input!$A279,Input!$Q279=Calcs!AL$823),-Input!$P279,0))</f>
        <v>0</v>
      </c>
      <c r="AM834" s="1180">
        <f>IF(OR(Input!$H$276&lt;&gt;"Yes",Input!$P279=0,Input!$D$20=0),0,IF(AND(Input!$H$276="Yes",Input!$O$278&gt;= Input!$A279,Input!$Q279=Calcs!AM$823),-Input!$P279,0))</f>
        <v>0</v>
      </c>
      <c r="AN834" s="1180">
        <f>IF(OR(Input!$H$276&lt;&gt;"Yes",Input!$P279=0,Input!$D$20=0),0,IF(AND(Input!$H$276="Yes",Input!$O$278&gt;= Input!$A279,Input!$Q279=Calcs!AN$823),-Input!$P279,0))</f>
        <v>0</v>
      </c>
      <c r="AO834" s="1180">
        <f>IF(OR(Input!$H$276&lt;&gt;"Yes",Input!$P279=0,Input!$D$20=0),0,IF(AND(Input!$H$276="Yes",Input!$O$278&gt;= Input!$A279,Input!$Q279=Calcs!AO$823),-Input!$P279,0))</f>
        <v>0</v>
      </c>
      <c r="AP834" s="1180">
        <f>IF(OR(Input!$H$276&lt;&gt;"Yes",Input!$P279=0,Input!$D$20=0),0,IF(AND(Input!$H$276="Yes",Input!$O$278&gt;= Input!$A279,Input!$Q279=Calcs!AP$823),-Input!$P279,0))</f>
        <v>0</v>
      </c>
      <c r="AQ834" s="1180">
        <f>IF(OR(Input!$H$276&lt;&gt;"Yes",Input!$P279=0,Input!$D$20=0),0,IF(AND(Input!$H$276="Yes",Input!$O$278&gt;= Input!$A279,Input!$Q279=Calcs!AQ$823),-Input!$P279,0))</f>
        <v>0</v>
      </c>
      <c r="AR834" s="1180">
        <f>IF(OR(Input!$H$276&lt;&gt;"Yes",Input!$P279=0,Input!$D$20=0),0,IF(AND(Input!$H$276="Yes",Input!$O$278&gt;= Input!$A279,Input!$Q279=Calcs!AR$823),-Input!$P279,0))</f>
        <v>0</v>
      </c>
      <c r="AS834" s="1180">
        <f>IF(OR(Input!$H$276&lt;&gt;"Yes",Input!$P279=0,Input!$D$20=0),0,IF(AND(Input!$H$276="Yes",Input!$O$278&gt;= Input!$A279,Input!$Q279=Calcs!AS$823),-Input!$P279,0))</f>
        <v>0</v>
      </c>
      <c r="AT834" s="1180">
        <f>IF(OR(Input!$H$276&lt;&gt;"Yes",Input!$P279=0,Input!$D$20=0),0,IF(AND(Input!$H$276="Yes",Input!$O$278&gt;= Input!$A279,Input!$Q279=Calcs!AT$823),-Input!$P279,0))</f>
        <v>0</v>
      </c>
      <c r="AU834" s="1180">
        <f>IF(OR(Input!$H$276&lt;&gt;"Yes",Input!$P279=0,Input!$D$20=0),0,IF(AND(Input!$H$276="Yes",Input!$O$278&gt;= Input!$A279,Input!$Q279=Calcs!AU$823),-Input!$P279,0))</f>
        <v>0</v>
      </c>
      <c r="AV834" s="1180">
        <f>IF(OR(Input!$H$276&lt;&gt;"Yes",Input!$P279=0,Input!$D$20=0),0,IF(AND(Input!$H$276="Yes",Input!$O$278&gt;= Input!$A279,Input!$Q279=Calcs!AV$823),-Input!$P279,0))</f>
        <v>0</v>
      </c>
      <c r="AW834" s="1180">
        <f>IF(OR(Input!$H$276&lt;&gt;"Yes",Input!$P279=0,Input!$D$20=0),0,IF(AND(Input!$H$276="Yes",Input!$O$278&gt;= Input!$A279,Input!$Q279=Calcs!AW$823),-Input!$P279,0))</f>
        <v>0</v>
      </c>
      <c r="AX834" s="1180">
        <f>IF(OR(Input!$H$276&lt;&gt;"Yes",Input!$P279=0,Input!$D$20=0),0,IF(AND(Input!$H$276="Yes",Input!$O$278&gt;= Input!$A279,Input!$Q279=Calcs!AX$823),-Input!$P279,0))</f>
        <v>0</v>
      </c>
      <c r="AY834" s="1180">
        <f>IF(OR(Input!$H$276&lt;&gt;"Yes",Input!$P279=0,Input!$D$20=0),0,IF(AND(Input!$H$276="Yes",Input!$O$278&gt;= Input!$A279,Input!$Q279=Calcs!AY$823),-Input!$P279,0))</f>
        <v>0</v>
      </c>
      <c r="AZ834" s="1180">
        <f>IF(OR(Input!$H$276&lt;&gt;"Yes",Input!$P279=0,Input!$D$20=0),0,IF(AND(Input!$H$276="Yes",Input!$O$278&gt;= Input!$A279,Input!$Q279=Calcs!AZ$823),-Input!$P279,0))</f>
        <v>0</v>
      </c>
      <c r="BA834" s="1180">
        <f>IF(OR(Input!$H$276&lt;&gt;"Yes",Input!$P279=0,Input!$D$20=0),0,IF(AND(Input!$H$276="Yes",Input!$O$278&gt;= Input!$A279,Input!$Q279=Calcs!BA$823),-Input!$P279,0))</f>
        <v>0</v>
      </c>
      <c r="BB834" s="1180">
        <f>IF(OR(Input!$H$276&lt;&gt;"Yes",Input!$P279=0,Input!$D$20=0),0,IF(AND(Input!$H$276="Yes",Input!$O$278&gt;= Input!$A279,Input!$Q279=Calcs!BB$823),-Input!$P279,0))</f>
        <v>0</v>
      </c>
      <c r="BC834" s="1180">
        <f>IF(OR(Input!$H$276&lt;&gt;"Yes",Input!$P279=0,Input!$D$20=0),0,IF(AND(Input!$H$276="Yes",Input!$O$278&gt;= Input!$A279,Input!$Q279=Calcs!BC$823),-Input!$P279,0))</f>
        <v>0</v>
      </c>
      <c r="BD834" s="1180">
        <f>IF(OR(Input!$H$276&lt;&gt;"Yes",Input!$P279=0,Input!$D$20=0),0,IF(AND(Input!$H$276="Yes",Input!$O$278&gt;= Input!$A279,Input!$Q279=Calcs!BD$823),-Input!$P279,0))</f>
        <v>0</v>
      </c>
      <c r="BE834" s="1180">
        <f>IF(OR(Input!$H$276&lt;&gt;"Yes",Input!$P279=0,Input!$D$20=0),0,IF(AND(Input!$H$276="Yes",Input!$O$278&gt;= Input!$A279,Input!$Q279=Calcs!BE$823),-Input!$P279,0))</f>
        <v>0</v>
      </c>
      <c r="BF834" s="1180">
        <f>IF(OR(Input!$H$276&lt;&gt;"Yes",Input!$P279=0,Input!$D$20=0),0,IF(AND(Input!$H$276="Yes",Input!$O$278&gt;= Input!$A279,Input!$Q279=Calcs!BF$823),-Input!$P279,0))</f>
        <v>0</v>
      </c>
      <c r="BG834" s="1180">
        <f>IF(OR(Input!$H$276&lt;&gt;"Yes",Input!$P279=0,Input!$D$20=0),0,IF(AND(Input!$H$276="Yes",Input!$O$278&gt;= Input!$A279,Input!$Q279=Calcs!BG$823),-Input!$P279,0))</f>
        <v>0</v>
      </c>
      <c r="BH834" s="1180">
        <f>IF(OR(Input!$H$276&lt;&gt;"Yes",Input!$P279=0,Input!$D$20=0),0,IF(AND(Input!$H$276="Yes",Input!$O$278&gt;= Input!$A279,Input!$Q279=Calcs!BH$823),-Input!$P279,0))</f>
        <v>0</v>
      </c>
      <c r="BI834" s="1180">
        <f>IF(OR(Input!$H$276&lt;&gt;"Yes",Input!$P279=0,Input!$D$20=0),0,IF(AND(Input!$H$276="Yes",Input!$O$278&gt;= Input!$A279,Input!$Q279=Calcs!BI$823),-Input!$P279,0))</f>
        <v>0</v>
      </c>
      <c r="BJ834" s="1180">
        <f>IF(OR(Input!$H$276&lt;&gt;"Yes",Input!$P279=0,Input!$D$20=0),0,IF(AND(Input!$H$276="Yes",Input!$O$278&gt;= Input!$A279,Input!$Q279=Calcs!BJ$823),-Input!$P279,0))</f>
        <v>0</v>
      </c>
      <c r="BK834" s="1180">
        <f>IF(OR(Input!$H$276&lt;&gt;"Yes",Input!$P279=0,Input!$D$20=0),0,IF(AND(Input!$H$276="Yes",Input!$O$278&gt;= Input!$A279,Input!$Q279=Calcs!BK$823),-Input!$P279,0))</f>
        <v>0</v>
      </c>
      <c r="BL834" s="1180">
        <f>IF(OR(Input!$H$276&lt;&gt;"Yes",Input!$P279=0,Input!$D$20=0),0,IF(AND(Input!$H$276="Yes",Input!$O$278&gt;= Input!$A279,Input!$Q279=Calcs!BL$823),-Input!$P279,0))</f>
        <v>0</v>
      </c>
      <c r="BM834" s="1180">
        <f>IF(OR(Input!$H$276&lt;&gt;"Yes",Input!$P279=0,Input!$D$20=0),0,IF(AND(Input!$H$276="Yes",Input!$O$278&gt;= Input!$A279,Input!$Q279=Calcs!BM$823),-Input!$P279,0))</f>
        <v>0</v>
      </c>
      <c r="BN834" s="1180">
        <f>IF(OR(Input!$H$276&lt;&gt;"Yes",Input!$P279=0,Input!$D$20=0),0,IF(AND(Input!$H$276="Yes",Input!$O$278&gt;= Input!$A279,Input!$Q279=Calcs!BN$823),-Input!$P279,0))</f>
        <v>0</v>
      </c>
      <c r="BO834" s="1180">
        <f>IF(OR(Input!$H$276&lt;&gt;"Yes",Input!$P279=0,Input!$D$20=0),0,IF(AND(Input!$H$276="Yes",Input!$O$278&gt;= Input!$A279,Input!$Q279=Calcs!BO$823),-Input!$P279,0))</f>
        <v>0</v>
      </c>
      <c r="BP834" s="1180">
        <f>IF(OR(Input!$H$276&lt;&gt;"Yes",Input!$P279=0,Input!$D$20=0),0,IF(AND(Input!$H$276="Yes",Input!$O$278&gt;= Input!$A279,Input!$Q279=Calcs!BP$823),-Input!$P279,0))</f>
        <v>0</v>
      </c>
      <c r="BQ834" s="1180">
        <f>IF(OR(Input!$H$276&lt;&gt;"Yes",Input!$P279=0,Input!$D$20=0),0,IF(AND(Input!$H$276="Yes",Input!$O$278&gt;= Input!$A279,Input!$Q279=Calcs!BQ$823),-Input!$P279,0))</f>
        <v>0</v>
      </c>
      <c r="BR834" s="1180">
        <f>IF(OR(Input!$H$276&lt;&gt;"Yes",Input!$P279=0,Input!$D$20=0),0,IF(AND(Input!$H$276="Yes",Input!$O$278&gt;= Input!$A279,Input!$Q279=Calcs!BR$823),-Input!$P279,0))</f>
        <v>0</v>
      </c>
      <c r="BS834" s="1180">
        <f>IF(OR(Input!$H$276&lt;&gt;"Yes",Input!$P279=0,Input!$D$20=0),0,IF(AND(Input!$H$276="Yes",Input!$O$278&gt;= Input!$A279,Input!$Q279=Calcs!BS$823),-Input!$P279,0))</f>
        <v>0</v>
      </c>
      <c r="BT834" s="1180">
        <f>IF(OR(Input!$H$276&lt;&gt;"Yes",Input!$P279=0,Input!$D$20=0),0,IF(AND(Input!$H$276="Yes",Input!$O$278&gt;= Input!$A279,Input!$Q279=Calcs!BT$823),-Input!$P279,0))</f>
        <v>0</v>
      </c>
      <c r="BU834" s="1180">
        <f>IF(OR(Input!$H$276&lt;&gt;"Yes",Input!$P279=0,Input!$D$20=0),0,IF(AND(Input!$H$276="Yes",Input!$O$278&gt;= Input!$A279,Input!$Q279=Calcs!BU$823),-Input!$P279,0))</f>
        <v>0</v>
      </c>
      <c r="BV834" s="1180">
        <f>IF(OR(Input!$H$276&lt;&gt;"Yes",Input!$P279=0,Input!$D$20=0),0,IF(AND(Input!$H$276="Yes",Input!$O$278&gt;= Input!$A279,Input!$Q279=Calcs!BV$823),-Input!$P279,0))</f>
        <v>0</v>
      </c>
      <c r="BW834" s="1180">
        <f>IF(OR(Input!$H$276&lt;&gt;"Yes",Input!$P279=0,Input!$D$20=0),0,IF(AND(Input!$H$276="Yes",Input!$O$278&gt;= Input!$A279,Input!$Q279=Calcs!BW$823),-Input!$P279,0))</f>
        <v>0</v>
      </c>
      <c r="BX834" s="1180">
        <f>IF(OR(Input!$H$276&lt;&gt;"Yes",Input!$P279=0,Input!$D$20=0),0,IF(AND(Input!$H$276="Yes",Input!$O$278&gt;= Input!$A279,Input!$Q279=Calcs!BX$823),-Input!$P279,0))</f>
        <v>0</v>
      </c>
      <c r="BY834" s="1180">
        <f>IF(OR(Input!$H$276&lt;&gt;"Yes",Input!$P279=0,Input!$D$20=0),0,IF(AND(Input!$H$276="Yes",Input!$O$278&gt;= Input!$A279,Input!$Q279=Calcs!BY$823),-Input!$P279,0))</f>
        <v>0</v>
      </c>
      <c r="BZ834" s="1180">
        <f>IF(OR(Input!$H$276&lt;&gt;"Yes",Input!$P279=0,Input!$D$20=0),0,IF(AND(Input!$H$276="Yes",Input!$O$278&gt;= Input!$A279,Input!$Q279=Calcs!BZ$823),-Input!$P279,0))</f>
        <v>0</v>
      </c>
      <c r="CA834" s="1180">
        <f>IF(OR(Input!$H$276&lt;&gt;"Yes",Input!$P279=0,Input!$D$20=0),0,IF(AND(Input!$H$276="Yes",Input!$O$278&gt;= Input!$A279,Input!$Q279=Calcs!CA$823),-Input!$P279,0))</f>
        <v>0</v>
      </c>
      <c r="CB834" s="1180">
        <f>IF(OR(Input!$H$276&lt;&gt;"Yes",Input!$P279=0,Input!$D$20=0),0,IF(AND(Input!$H$276="Yes",Input!$O$278&gt;= Input!$A279,Input!$Q279=Calcs!CB$823),-Input!$P279,0))</f>
        <v>0</v>
      </c>
      <c r="CC834" s="1180">
        <f>IF(OR(Input!$H$276&lt;&gt;"Yes",Input!$P279=0,Input!$D$20=0),0,IF(AND(Input!$H$276="Yes",Input!$O$278&gt;= Input!$A279,Input!$Q279=Calcs!CC$823),-Input!$P279,0))</f>
        <v>0</v>
      </c>
      <c r="CD834" s="1180">
        <f>IF(OR(Input!$H$276&lt;&gt;"Yes",Input!$P279=0,Input!$D$20=0),0,IF(AND(Input!$H$276="Yes",Input!$O$278&gt;= Input!$A279,Input!$Q279=Calcs!CD$823),-Input!$P279,0))</f>
        <v>0</v>
      </c>
      <c r="CE834" s="1180">
        <f>IF(OR(Input!$H$276&lt;&gt;"Yes",Input!$P279=0,Input!$D$20=0),0,IF(AND(Input!$H$276="Yes",Input!$O$278&gt;= Input!$A279,Input!$Q279=Calcs!CE$823),-Input!$P279,0))</f>
        <v>0</v>
      </c>
      <c r="CF834" s="1180">
        <f>IF(OR(Input!$H$276&lt;&gt;"Yes",Input!$P279=0,Input!$D$20=0),0,IF(AND(Input!$H$276="Yes",Input!$O$278&gt;= Input!$A279,Input!$Q279=Calcs!CF$823),-Input!$P279,0))</f>
        <v>0</v>
      </c>
      <c r="CG834" s="1180">
        <f>IF(OR(Input!$H$276&lt;&gt;"Yes",Input!$P279=0,Input!$D$20=0),0,IF(AND(Input!$H$276="Yes",Input!$O$278&gt;= Input!$A279,Input!$Q279=Calcs!CG$823),-Input!$P279,0))</f>
        <v>0</v>
      </c>
      <c r="CH834" s="1180">
        <f>IF(OR(Input!$H$276&lt;&gt;"Yes",Input!$P279=0,Input!$D$20=0),0,IF(AND(Input!$H$276="Yes",Input!$O$278&gt;= Input!$A279,Input!$Q279=Calcs!CH$823),-Input!$P279,0))</f>
        <v>0</v>
      </c>
      <c r="CI834" s="1180">
        <f>IF(OR(Input!$H$276&lt;&gt;"Yes",Input!$P279=0,Input!$D$20=0),0,IF(AND(Input!$H$276="Yes",Input!$O$278&gt;= Input!$A279,Input!$Q279=Calcs!CI$823),-Input!$P279,0))</f>
        <v>0</v>
      </c>
      <c r="CJ834" s="1180">
        <f>IF(OR(Input!$H$276&lt;&gt;"Yes",Input!$P279=0,Input!$D$20=0),0,IF(AND(Input!$H$276="Yes",Input!$O$278&gt;= Input!$A279,Input!$Q279=Calcs!CJ$823),-Input!$P279,0))</f>
        <v>0</v>
      </c>
      <c r="CK834" s="1180">
        <f>IF(OR(Input!$H$276&lt;&gt;"Yes",Input!$P279=0,Input!$D$20=0),0,IF(AND(Input!$H$276="Yes",Input!$O$278&gt;= Input!$A279,Input!$Q279=Calcs!CK$823),-Input!$P279,0))</f>
        <v>0</v>
      </c>
      <c r="CL834" s="1180">
        <f>IF(OR(Input!$H$276&lt;&gt;"Yes",Input!$P279=0,Input!$D$20=0),0,IF(AND(Input!$H$276="Yes",Input!$O$278&gt;= Input!$A279,Input!$Q279=Calcs!CL$823),-Input!$P279,0))</f>
        <v>0</v>
      </c>
      <c r="CM834" s="1180">
        <f>IF(OR(Input!$H$276&lt;&gt;"Yes",Input!$P279=0,Input!$D$20=0),0,IF(AND(Input!$H$276="Yes",Input!$O$278&gt;= Input!$A279,Input!$Q279=Calcs!CM$823),-Input!$P279,0))</f>
        <v>0</v>
      </c>
      <c r="CN834" s="1180">
        <f>IF(OR(Input!$H$276&lt;&gt;"Yes",Input!$P279=0,Input!$D$20=0),0,IF(AND(Input!$H$276="Yes",Input!$O$278&gt;= Input!$A279,Input!$Q279=Calcs!CN$823),-Input!$P279,0))</f>
        <v>0</v>
      </c>
      <c r="CO834" s="1180">
        <f>IF(OR(Input!$H$276&lt;&gt;"Yes",Input!$P279=0,Input!$D$20=0),0,IF(AND(Input!$H$276="Yes",Input!$O$278&gt;= Input!$A279,Input!$Q279=Calcs!CO$823),-Input!$P279,0))</f>
        <v>0</v>
      </c>
      <c r="CP834" s="1180">
        <f>IF(OR(Input!$H$276&lt;&gt;"Yes",Input!$P279=0,Input!$D$20=0),0,IF(AND(Input!$H$276="Yes",Input!$O$278&gt;= Input!$A279,Input!$Q279=Calcs!CP$823),-Input!$P279,0))</f>
        <v>0</v>
      </c>
      <c r="CQ834" s="1180">
        <f>IF(OR(Input!$H$276&lt;&gt;"Yes",Input!$P279=0,Input!$D$20=0),0,IF(AND(Input!$H$276="Yes",Input!$O$278&gt;= Input!$A279,Input!$Q279=Calcs!CQ$823),-Input!$P279,0))</f>
        <v>0</v>
      </c>
      <c r="CR834" s="1180">
        <f>IF(OR(Input!$H$276&lt;&gt;"Yes",Input!$P279=0,Input!$D$20=0),0,IF(AND(Input!$H$276="Yes",Input!$O$278&gt;= Input!$A279,Input!$Q279=Calcs!CR$823),-Input!$P279,0))</f>
        <v>0</v>
      </c>
      <c r="CS834" s="1180">
        <f>IF(OR(Input!$H$276&lt;&gt;"Yes",Input!$P279=0,Input!$D$20=0),0,IF(AND(Input!$H$276="Yes",Input!$O$278&gt;= Input!$A279,Input!$Q279=Calcs!CS$823),-Input!$P279,0))</f>
        <v>0</v>
      </c>
      <c r="CT834" s="1180">
        <f>IF(OR(Input!$H$276&lt;&gt;"Yes",Input!$P279=0,Input!$D$20=0),0,IF(AND(Input!$H$276="Yes",Input!$O$278&gt;= Input!$A279,Input!$Q279=Calcs!CT$823),-Input!$P279,0))</f>
        <v>0</v>
      </c>
      <c r="CU834" s="1180">
        <f>IF(OR(Input!$H$276&lt;&gt;"Yes",Input!$P279=0,Input!$D$20=0),0,IF(AND(Input!$H$276="Yes",Input!$O$278&gt;= Input!$A279,Input!$Q279=Calcs!CU$823),-Input!$P279,0))</f>
        <v>0</v>
      </c>
      <c r="CV834" s="1180">
        <f>IF(OR(Input!$H$276&lt;&gt;"Yes",Input!$P279=0,Input!$D$20=0),0,IF(AND(Input!$H$276="Yes",Input!$O$278&gt;= Input!$A279,Input!$Q279=Calcs!CV$823),-Input!$P279,0))</f>
        <v>0</v>
      </c>
      <c r="CW834" s="1180">
        <f>IF(OR(Input!$H$276&lt;&gt;"Yes",Input!$P279=0,Input!$D$20=0),0,IF(AND(Input!$H$276="Yes",Input!$O$278&gt;= Input!$A279,Input!$Q279=Calcs!CW$823),-Input!$P279,0))</f>
        <v>0</v>
      </c>
      <c r="CX834" s="1180">
        <f>IF(OR(Input!$H$276&lt;&gt;"Yes",Input!$P279=0,Input!$D$20=0),0,IF(AND(Input!$H$276="Yes",Input!$O$278&gt;= Input!$A279,Input!$Q279=Calcs!CX$823),-Input!$P279,0))</f>
        <v>0</v>
      </c>
      <c r="CY834" s="1180">
        <f>IF(OR(Input!$H$276&lt;&gt;"Yes",Input!$P279=0,Input!$D$20=0),0,IF(AND(Input!$H$276="Yes",Input!$O$278&gt;= Input!$A279,Input!$Q279=Calcs!CY$823),-Input!$P279,0))</f>
        <v>0</v>
      </c>
      <c r="CZ834" s="1180">
        <f>IF(OR(Input!$H$276&lt;&gt;"Yes",Input!$P279=0,Input!$D$20=0),0,IF(AND(Input!$H$276="Yes",Input!$O$278&gt;= Input!$A279,Input!$Q279=Calcs!CZ$823),-Input!$P279,0))</f>
        <v>0</v>
      </c>
      <c r="DA834" s="1180">
        <f>IF(OR(Input!$H$276&lt;&gt;"Yes",Input!$P279=0,Input!$D$20=0),0,IF(AND(Input!$H$276="Yes",Input!$O$278&gt;= Input!$A279,Input!$Q279=Calcs!DA$823),-Input!$P279,0))</f>
        <v>0</v>
      </c>
      <c r="DB834" s="1180">
        <f>IF(OR(Input!$H$276&lt;&gt;"Yes",Input!$P279=0,Input!$D$20=0),0,IF(AND(Input!$H$276="Yes",Input!$O$278&gt;= Input!$A279,Input!$Q279=Calcs!DB$823),-Input!$P279,0))</f>
        <v>0</v>
      </c>
      <c r="DC834" s="1180">
        <f>IF(OR(Input!$H$276&lt;&gt;"Yes",Input!$P279=0,Input!$D$20=0),0,IF(AND(Input!$H$276="Yes",Input!$O$278&gt;= Input!$A279,Input!$Q279=Calcs!DC$823),-Input!$P279,0))</f>
        <v>0</v>
      </c>
      <c r="DD834" s="1180">
        <f>IF(OR(Input!$H$276&lt;&gt;"Yes",Input!$P279=0,Input!$D$20=0),0,IF(AND(Input!$H$276="Yes",Input!$O$278&gt;= Input!$A279,Input!$Q279=Calcs!DD$823),-Input!$P279,0))</f>
        <v>0</v>
      </c>
      <c r="DE834" s="1180">
        <f>IF(OR(Input!$H$276&lt;&gt;"Yes",Input!$P279=0,Input!$D$20=0),0,IF(AND(Input!$H$276="Yes",Input!$O$278&gt;= Input!$A279,Input!$Q279=Calcs!DE$823),-Input!$P279,0))</f>
        <v>0</v>
      </c>
      <c r="DF834" s="1180">
        <f>IF(OR(Input!$H$276&lt;&gt;"Yes",Input!$P279=0,Input!$D$20=0),0,IF(AND(Input!$H$276="Yes",Input!$O$278&gt;= Input!$A279,Input!$Q279=Calcs!DF$823),-Input!$P279,0))</f>
        <v>0</v>
      </c>
      <c r="DG834" s="1180">
        <f>IF(OR(Input!$H$276&lt;&gt;"Yes",Input!$P279=0,Input!$D$20=0),0,IF(AND(Input!$H$276="Yes",Input!$O$278&gt;= Input!$A279,Input!$Q279=Calcs!DG$823),-Input!$P279,0))</f>
        <v>0</v>
      </c>
      <c r="DH834" s="1180">
        <f>IF(OR(Input!$H$276&lt;&gt;"Yes",Input!$P279=0,Input!$D$20=0),0,IF(AND(Input!$H$276="Yes",Input!$O$278&gt;= Input!$A279,Input!$Q279=Calcs!DH$823),-Input!$P279,0))</f>
        <v>0</v>
      </c>
      <c r="DI834" s="1180">
        <f>IF(OR(Input!$H$276&lt;&gt;"Yes",Input!$P279=0,Input!$D$20=0),0,IF(AND(Input!$H$276="Yes",Input!$O$278&gt;= Input!$A279,Input!$Q279=Calcs!DI$823),-Input!$P279,0))</f>
        <v>0</v>
      </c>
      <c r="DJ834" s="1180">
        <f>IF(OR(Input!$H$276&lt;&gt;"Yes",Input!$P279=0,Input!$D$20=0),0,IF(AND(Input!$H$276="Yes",Input!$O$278&gt;= Input!$A279,Input!$Q279=Calcs!DJ$823),-Input!$P279,0))</f>
        <v>0</v>
      </c>
      <c r="DK834" s="1180">
        <f>IF(OR(Input!$H$276&lt;&gt;"Yes",Input!$P279=0,Input!$D$20=0),0,IF(AND(Input!$H$276="Yes",Input!$O$278&gt;= Input!$A279,Input!$Q279=Calcs!DK$823),-Input!$P279,0))</f>
        <v>0</v>
      </c>
      <c r="DL834" s="1180">
        <f>IF(OR(Input!$H$276&lt;&gt;"Yes",Input!$P279=0,Input!$D$20=0),0,IF(AND(Input!$H$276="Yes",Input!$O$278&gt;= Input!$A279,Input!$Q279=Calcs!DL$823),-Input!$P279,0))</f>
        <v>0</v>
      </c>
      <c r="DM834" s="1180">
        <f>IF(OR(Input!$H$276&lt;&gt;"Yes",Input!$P279=0,Input!$D$20=0),0,IF(AND(Input!$H$276="Yes",Input!$O$278&gt;= Input!$A279,Input!$Q279=Calcs!DM$823),-Input!$P279,0))</f>
        <v>0</v>
      </c>
      <c r="DN834" s="1180">
        <f>IF(OR(Input!$H$276&lt;&gt;"Yes",Input!$P279=0,Input!$D$20=0),0,IF(AND(Input!$H$276="Yes",Input!$O$278&gt;= Input!$A279,Input!$Q279=Calcs!DN$823),-Input!$P279,0))</f>
        <v>0</v>
      </c>
      <c r="DO834" s="1180">
        <f>IF(OR(Input!$H$276&lt;&gt;"Yes",Input!$P279=0,Input!$D$20=0),0,IF(AND(Input!$H$276="Yes",Input!$O$278&gt;= Input!$A279,Input!$Q279=Calcs!DO$823),-Input!$P279,0))</f>
        <v>0</v>
      </c>
      <c r="DP834" s="1180">
        <f>IF(OR(Input!$H$276&lt;&gt;"Yes",Input!$P279=0,Input!$D$20=0),0,IF(AND(Input!$H$276="Yes",Input!$O$278&gt;= Input!$A279,Input!$Q279=Calcs!DP$823),-Input!$P279,0))</f>
        <v>0</v>
      </c>
      <c r="DQ834" s="1180">
        <f>IF(OR(Input!$H$276&lt;&gt;"Yes",Input!$P279=0,Input!$D$20=0),0,IF(AND(Input!$H$276="Yes",Input!$O$278&gt;= Input!$A279,Input!$Q279=Calcs!DQ$823),-Input!$P279,0))</f>
        <v>0</v>
      </c>
      <c r="DR834" s="1180">
        <f>IF(OR(Input!$H$276&lt;&gt;"Yes",Input!$P279=0,Input!$D$20=0),0,IF(AND(Input!$H$276="Yes",Input!$O$278&gt;= Input!$A279,Input!$Q279=Calcs!DR$823),-Input!$P279,0))</f>
        <v>0</v>
      </c>
      <c r="DS834" s="1180">
        <f>IF(OR(Input!$H$276&lt;&gt;"Yes",Input!$P279=0,Input!$D$20=0),0,IF(AND(Input!$H$276="Yes",Input!$O$278&gt;= Input!$A279,Input!$Q279=Calcs!DS$823),-Input!$P279,0))</f>
        <v>0</v>
      </c>
      <c r="DT834" s="1180">
        <f>IF(OR(Input!$H$276&lt;&gt;"Yes",Input!$P279=0,Input!$D$20=0),0,IF(AND(Input!$H$276="Yes",Input!$O$278&gt;= Input!$A279,Input!$Q279=Calcs!DT$823),-Input!$P279,0))</f>
        <v>0</v>
      </c>
      <c r="DU834" s="1180">
        <f>IF(OR(Input!$H$276&lt;&gt;"Yes",Input!$P279=0,Input!$D$20=0),0,IF(AND(Input!$H$276="Yes",Input!$O$278&gt;= Input!$A279,Input!$Q279=Calcs!DU$823),-Input!$P279,0))</f>
        <v>0</v>
      </c>
      <c r="DV834" s="1180">
        <f>IF(OR(Input!$H$276&lt;&gt;"Yes",Input!$P279=0,Input!$D$20=0),0,IF(AND(Input!$H$276="Yes",Input!$O$278&gt;= Input!$A279,Input!$Q279=Calcs!DV$823),-Input!$P279,0))</f>
        <v>0</v>
      </c>
      <c r="DW834" s="1180">
        <f>IF(OR(Input!$H$276&lt;&gt;"Yes",Input!$P279=0,Input!$D$20=0),0,IF(AND(Input!$H$276="Yes",Input!$O$278&gt;= Input!$A279,Input!$Q279=Calcs!DW$823),-Input!$P279,0))</f>
        <v>0</v>
      </c>
      <c r="DX834" s="1180">
        <f>IF(OR(Input!$H$276&lt;&gt;"Yes",Input!$P279=0,Input!$D$20=0),0,IF(AND(Input!$H$276="Yes",Input!$O$278&gt;= Input!$A279,Input!$Q279=Calcs!DX$823),-Input!$P279,0))</f>
        <v>0</v>
      </c>
      <c r="DY834" s="1180">
        <f>IF(OR(Input!$H$276&lt;&gt;"Yes",Input!$P279=0,Input!$D$20=0),0,IF(AND(Input!$H$276="Yes",Input!$O$278&gt;= Input!$A279,Input!$Q279=Calcs!DY$823),-Input!$P279,0))</f>
        <v>0</v>
      </c>
      <c r="DZ834" s="1180">
        <f>IF(OR(Input!$H$276&lt;&gt;"Yes",Input!$P279=0,Input!$D$20=0),0,IF(AND(Input!$H$276="Yes",Input!$O$278&gt;= Input!$A279,Input!$Q279=Calcs!DZ$823),-Input!$P279,0))</f>
        <v>0</v>
      </c>
      <c r="EA834" s="1180">
        <f>IF(OR(Input!$H$276&lt;&gt;"Yes",Input!$P279=0,Input!$D$20=0),0,IF(AND(Input!$H$276="Yes",Input!$O$278&gt;= Input!$A279,Input!$Q279=Calcs!EA$823),-Input!$P279,0))</f>
        <v>0</v>
      </c>
      <c r="EB834" s="1180">
        <f>IF(OR(Input!$H$276&lt;&gt;"Yes",Input!$P279=0,Input!$D$20=0),0,IF(AND(Input!$H$276="Yes",Input!$O$278&gt;= Input!$A279,Input!$Q279=Calcs!EB$823),-Input!$P279,0))</f>
        <v>0</v>
      </c>
      <c r="EC834" s="1180">
        <f>IF(OR(Input!$H$276&lt;&gt;"Yes",Input!$P279=0,Input!$D$20=0),0,IF(AND(Input!$H$276="Yes",Input!$O$278&gt;= Input!$A279,Input!$Q279=Calcs!EC$823),-Input!$P279,0))</f>
        <v>0</v>
      </c>
      <c r="ED834" s="1180">
        <f>IF(OR(Input!$H$276&lt;&gt;"Yes",Input!$P279=0,Input!$D$20=0),0,IF(AND(Input!$H$276="Yes",Input!$O$278&gt;= Input!$A279,Input!$Q279=Calcs!ED$823),-Input!$P279,0))</f>
        <v>0</v>
      </c>
      <c r="EE834" s="1180">
        <f>IF(OR(Input!$H$276&lt;&gt;"Yes",Input!$P279=0,Input!$D$20=0),0,IF(AND(Input!$H$276="Yes",Input!$O$278&gt;= Input!$A279,Input!$Q279=Calcs!EE$823),-Input!$P279,0))</f>
        <v>0</v>
      </c>
      <c r="EF834" s="1180">
        <f>IF(OR(Input!$H$276&lt;&gt;"Yes",Input!$P279=0,Input!$D$20=0),0,IF(AND(Input!$H$276="Yes",Input!$O$278&gt;= Input!$A279,Input!$Q279=Calcs!EF$823),-Input!$P279,0))</f>
        <v>0</v>
      </c>
      <c r="EG834" s="1180">
        <f>IF(OR(Input!$H$276&lt;&gt;"Yes",Input!$P279=0,Input!$D$20=0),0,IF(AND(Input!$H$276="Yes",Input!$O$278&gt;= Input!$A279,Input!$Q279=Calcs!EG$823),-Input!$P279,0))</f>
        <v>0</v>
      </c>
      <c r="EH834" s="1180">
        <f>IF(OR(Input!$H$276&lt;&gt;"Yes",Input!$P279=0,Input!$D$20=0),0,IF(AND(Input!$H$276="Yes",Input!$O$278&gt;= Input!$A279,Input!$Q279=Calcs!EH$823),-Input!$P279,0))</f>
        <v>0</v>
      </c>
      <c r="EI834" s="1180">
        <f>IF(OR(Input!$H$276&lt;&gt;"Yes",Input!$P279=0,Input!$D$20=0),0,IF(AND(Input!$H$276="Yes",Input!$O$278&gt;= Input!$A279,Input!$Q279=Calcs!EI$823),-Input!$P279,0))</f>
        <v>0</v>
      </c>
      <c r="EJ834" s="1180">
        <f>IF(OR(Input!$H$276&lt;&gt;"Yes",Input!$P279=0,Input!$D$20=0),0,IF(AND(Input!$H$276="Yes",Input!$O$278&gt;= Input!$A279,Input!$Q279=Calcs!EJ$823),-Input!$P279,0))</f>
        <v>0</v>
      </c>
      <c r="EK834" s="1180">
        <f>IF(OR(Input!$H$276&lt;&gt;"Yes",Input!$P279=0,Input!$D$20=0),0,IF(AND(Input!$H$276="Yes",Input!$O$278&gt;= Input!$A279,Input!$Q279=Calcs!EK$823),-Input!$P279,0))</f>
        <v>0</v>
      </c>
      <c r="EL834" s="1180">
        <f>IF(OR(Input!$H$276&lt;&gt;"Yes",Input!$P279=0,Input!$D$20=0),0,IF(AND(Input!$H$276="Yes",Input!$O$278&gt;= Input!$A279,Input!$Q279=Calcs!EL$823),-Input!$P279,0))</f>
        <v>0</v>
      </c>
      <c r="EM834" s="1180">
        <f>IF(OR(Input!$H$276&lt;&gt;"Yes",Input!$P279=0,Input!$D$20=0),0,IF(AND(Input!$H$276="Yes",Input!$O$278&gt;= Input!$A279,Input!$Q279=Calcs!EM$823),-Input!$P279,0))</f>
        <v>0</v>
      </c>
      <c r="EN834" s="1180">
        <f>IF(OR(Input!$H$276&lt;&gt;"Yes",Input!$P279=0,Input!$D$20=0),0,IF(AND(Input!$H$276="Yes",Input!$O$278&gt;= Input!$A279,Input!$Q279=Calcs!EN$823),-Input!$P279,0))</f>
        <v>0</v>
      </c>
      <c r="EO834" s="1180">
        <f>IF(OR(Input!$H$276&lt;&gt;"Yes",Input!$P279=0,Input!$D$20=0),0,IF(AND(Input!$H$276="Yes",Input!$O$278&gt;= Input!$A279,Input!$Q279=Calcs!EO$823),-Input!$P279,0))</f>
        <v>0</v>
      </c>
      <c r="EP834" s="1180">
        <f>IF(OR(Input!$H$276&lt;&gt;"Yes",Input!$P279=0,Input!$D$20=0),0,IF(AND(Input!$H$276="Yes",Input!$O$278&gt;= Input!$A279,Input!$Q279=Calcs!EP$823),-Input!$P279,0))</f>
        <v>0</v>
      </c>
      <c r="EQ834" s="1180">
        <f>IF(OR(Input!$H$276&lt;&gt;"Yes",Input!$P279=0,Input!$D$20=0),0,IF(AND(Input!$H$276="Yes",Input!$O$278&gt;= Input!$A279,Input!$Q279=Calcs!EQ$823),-Input!$P279,0))</f>
        <v>0</v>
      </c>
      <c r="ER834" s="1180">
        <f>IF(OR(Input!$H$276&lt;&gt;"Yes",Input!$P279=0,Input!$D$20=0),0,IF(AND(Input!$H$276="Yes",Input!$O$278&gt;= Input!$A279,Input!$Q279=Calcs!ER$823),-Input!$P279,0))</f>
        <v>0</v>
      </c>
      <c r="ES834" s="1180">
        <f>IF(OR(Input!$H$276&lt;&gt;"Yes",Input!$P279=0,Input!$D$20=0),0,IF(AND(Input!$H$276="Yes",Input!$O$278&gt;= Input!$A279,Input!$Q279=Calcs!ES$823),-Input!$P279,0))</f>
        <v>0</v>
      </c>
      <c r="ET834" s="1180">
        <f>IF(OR(Input!$H$276&lt;&gt;"Yes",Input!$P279=0,Input!$D$20=0),0,IF(AND(Input!$H$276="Yes",Input!$O$278&gt;= Input!$A279,Input!$Q279=Calcs!ET$823),-Input!$P279,0))</f>
        <v>0</v>
      </c>
      <c r="EU834" s="1180">
        <f>IF(OR(Input!$H$276&lt;&gt;"Yes",Input!$P279=0,Input!$D$20=0),0,IF(AND(Input!$H$276="Yes",Input!$O$278&gt;= Input!$A279,Input!$Q279=Calcs!EU$823),-Input!$P279,0))</f>
        <v>0</v>
      </c>
    </row>
    <row r="835" spans="11:151" ht="12" customHeight="1" x14ac:dyDescent="0.35">
      <c r="K835" s="28"/>
      <c r="L835" s="28"/>
      <c r="M835" s="28"/>
      <c r="N835" s="28"/>
      <c r="O835" s="28"/>
      <c r="P835" s="28"/>
      <c r="Q835" s="28"/>
      <c r="R835" s="729" t="s">
        <v>544</v>
      </c>
      <c r="S835" s="36"/>
      <c r="T835" s="26"/>
      <c r="U835" s="29"/>
      <c r="V835" s="29"/>
      <c r="W835" s="377"/>
      <c r="X835" s="376" t="str">
        <f t="shared" si="601"/>
        <v>SAFE #2</v>
      </c>
      <c r="Y835" s="378">
        <f>Input!V280</f>
        <v>0</v>
      </c>
      <c r="Z835" s="29"/>
      <c r="AA835" s="29">
        <v>2</v>
      </c>
      <c r="AB835" s="29" t="str">
        <f>IF(Input!M280="","SAFE #"&amp;AA835,Input!M280)</f>
        <v>SAFE #2</v>
      </c>
      <c r="AC835" s="8"/>
      <c r="AD835" s="376" t="s">
        <v>545</v>
      </c>
      <c r="AE835" s="376" t="str">
        <f t="shared" si="609"/>
        <v>SAFE #2</v>
      </c>
      <c r="AF835" s="1180">
        <f>IF(OR(Input!$H$276&lt;&gt;"Yes",Input!$P280=0,Input!$D$20=0),0,IF(AND(Input!$H$276="Yes",Input!$O$278&gt;= Input!$A280,Input!$Q280=Calcs!AF$823),-Input!$P280,0))</f>
        <v>0</v>
      </c>
      <c r="AG835" s="1180">
        <f>IF(OR(Input!$H$276&lt;&gt;"Yes",Input!$P280=0,Input!$D$20=0),0,IF(AND(Input!$H$276="Yes",Input!$O$278&gt;= Input!$A280,Input!$Q280=Calcs!AG$823),-Input!$P280,0))</f>
        <v>0</v>
      </c>
      <c r="AH835" s="1180">
        <f>IF(OR(Input!$H$276&lt;&gt;"Yes",Input!$P280=0,Input!$D$20=0),0,IF(AND(Input!$H$276="Yes",Input!$O$278&gt;= Input!$A280,Input!$Q280=Calcs!AH$823),-Input!$P280,0))</f>
        <v>0</v>
      </c>
      <c r="AI835" s="1180">
        <f>IF(OR(Input!$H$276&lt;&gt;"Yes",Input!$P280=0,Input!$D$20=0),0,IF(AND(Input!$H$276="Yes",Input!$O$278&gt;= Input!$A280,Input!$Q280=Calcs!AI$823),-Input!$P280,0))</f>
        <v>0</v>
      </c>
      <c r="AJ835" s="1180">
        <f>IF(OR(Input!$H$276&lt;&gt;"Yes",Input!$P280=0,Input!$D$20=0),0,IF(AND(Input!$H$276="Yes",Input!$O$278&gt;= Input!$A280,Input!$Q280=Calcs!AJ$823),-Input!$P280,0))</f>
        <v>0</v>
      </c>
      <c r="AK835" s="1180">
        <f>IF(OR(Input!$H$276&lt;&gt;"Yes",Input!$P280=0,Input!$D$20=0),0,IF(AND(Input!$H$276="Yes",Input!$O$278&gt;= Input!$A280,Input!$Q280=Calcs!AK$823),-Input!$P280,0))</f>
        <v>0</v>
      </c>
      <c r="AL835" s="1180">
        <f>IF(OR(Input!$H$276&lt;&gt;"Yes",Input!$P280=0,Input!$D$20=0),0,IF(AND(Input!$H$276="Yes",Input!$O$278&gt;= Input!$A280,Input!$Q280=Calcs!AL$823),-Input!$P280,0))</f>
        <v>0</v>
      </c>
      <c r="AM835" s="1180">
        <f>IF(OR(Input!$H$276&lt;&gt;"Yes",Input!$P280=0,Input!$D$20=0),0,IF(AND(Input!$H$276="Yes",Input!$O$278&gt;= Input!$A280,Input!$Q280=Calcs!AM$823),-Input!$P280,0))</f>
        <v>0</v>
      </c>
      <c r="AN835" s="1180">
        <f>IF(OR(Input!$H$276&lt;&gt;"Yes",Input!$P280=0,Input!$D$20=0),0,IF(AND(Input!$H$276="Yes",Input!$O$278&gt;= Input!$A280,Input!$Q280=Calcs!AN$823),-Input!$P280,0))</f>
        <v>0</v>
      </c>
      <c r="AO835" s="1180">
        <f>IF(OR(Input!$H$276&lt;&gt;"Yes",Input!$P280=0,Input!$D$20=0),0,IF(AND(Input!$H$276="Yes",Input!$O$278&gt;= Input!$A280,Input!$Q280=Calcs!AO$823),-Input!$P280,0))</f>
        <v>0</v>
      </c>
      <c r="AP835" s="1180">
        <f>IF(OR(Input!$H$276&lt;&gt;"Yes",Input!$P280=0,Input!$D$20=0),0,IF(AND(Input!$H$276="Yes",Input!$O$278&gt;= Input!$A280,Input!$Q280=Calcs!AP$823),-Input!$P280,0))</f>
        <v>0</v>
      </c>
      <c r="AQ835" s="1180">
        <f>IF(OR(Input!$H$276&lt;&gt;"Yes",Input!$P280=0,Input!$D$20=0),0,IF(AND(Input!$H$276="Yes",Input!$O$278&gt;= Input!$A280,Input!$Q280=Calcs!AQ$823),-Input!$P280,0))</f>
        <v>0</v>
      </c>
      <c r="AR835" s="1180">
        <f>IF(OR(Input!$H$276&lt;&gt;"Yes",Input!$P280=0,Input!$D$20=0),0,IF(AND(Input!$H$276="Yes",Input!$O$278&gt;= Input!$A280,Input!$Q280=Calcs!AR$823),-Input!$P280,0))</f>
        <v>0</v>
      </c>
      <c r="AS835" s="1180">
        <f>IF(OR(Input!$H$276&lt;&gt;"Yes",Input!$P280=0,Input!$D$20=0),0,IF(AND(Input!$H$276="Yes",Input!$O$278&gt;= Input!$A280,Input!$Q280=Calcs!AS$823),-Input!$P280,0))</f>
        <v>0</v>
      </c>
      <c r="AT835" s="1180">
        <f>IF(OR(Input!$H$276&lt;&gt;"Yes",Input!$P280=0,Input!$D$20=0),0,IF(AND(Input!$H$276="Yes",Input!$O$278&gt;= Input!$A280,Input!$Q280=Calcs!AT$823),-Input!$P280,0))</f>
        <v>0</v>
      </c>
      <c r="AU835" s="1180">
        <f>IF(OR(Input!$H$276&lt;&gt;"Yes",Input!$P280=0,Input!$D$20=0),0,IF(AND(Input!$H$276="Yes",Input!$O$278&gt;= Input!$A280,Input!$Q280=Calcs!AU$823),-Input!$P280,0))</f>
        <v>0</v>
      </c>
      <c r="AV835" s="1180">
        <f>IF(OR(Input!$H$276&lt;&gt;"Yes",Input!$P280=0,Input!$D$20=0),0,IF(AND(Input!$H$276="Yes",Input!$O$278&gt;= Input!$A280,Input!$Q280=Calcs!AV$823),-Input!$P280,0))</f>
        <v>0</v>
      </c>
      <c r="AW835" s="1180">
        <f>IF(OR(Input!$H$276&lt;&gt;"Yes",Input!$P280=0,Input!$D$20=0),0,IF(AND(Input!$H$276="Yes",Input!$O$278&gt;= Input!$A280,Input!$Q280=Calcs!AW$823),-Input!$P280,0))</f>
        <v>0</v>
      </c>
      <c r="AX835" s="1180">
        <f>IF(OR(Input!$H$276&lt;&gt;"Yes",Input!$P280=0,Input!$D$20=0),0,IF(AND(Input!$H$276="Yes",Input!$O$278&gt;= Input!$A280,Input!$Q280=Calcs!AX$823),-Input!$P280,0))</f>
        <v>0</v>
      </c>
      <c r="AY835" s="1180">
        <f>IF(OR(Input!$H$276&lt;&gt;"Yes",Input!$P280=0,Input!$D$20=0),0,IF(AND(Input!$H$276="Yes",Input!$O$278&gt;= Input!$A280,Input!$Q280=Calcs!AY$823),-Input!$P280,0))</f>
        <v>0</v>
      </c>
      <c r="AZ835" s="1180">
        <f>IF(OR(Input!$H$276&lt;&gt;"Yes",Input!$P280=0,Input!$D$20=0),0,IF(AND(Input!$H$276="Yes",Input!$O$278&gt;= Input!$A280,Input!$Q280=Calcs!AZ$823),-Input!$P280,0))</f>
        <v>0</v>
      </c>
      <c r="BA835" s="1180">
        <f>IF(OR(Input!$H$276&lt;&gt;"Yes",Input!$P280=0,Input!$D$20=0),0,IF(AND(Input!$H$276="Yes",Input!$O$278&gt;= Input!$A280,Input!$Q280=Calcs!BA$823),-Input!$P280,0))</f>
        <v>0</v>
      </c>
      <c r="BB835" s="1180">
        <f>IF(OR(Input!$H$276&lt;&gt;"Yes",Input!$P280=0,Input!$D$20=0),0,IF(AND(Input!$H$276="Yes",Input!$O$278&gt;= Input!$A280,Input!$Q280=Calcs!BB$823),-Input!$P280,0))</f>
        <v>0</v>
      </c>
      <c r="BC835" s="1180">
        <f>IF(OR(Input!$H$276&lt;&gt;"Yes",Input!$P280=0,Input!$D$20=0),0,IF(AND(Input!$H$276="Yes",Input!$O$278&gt;= Input!$A280,Input!$Q280=Calcs!BC$823),-Input!$P280,0))</f>
        <v>0</v>
      </c>
      <c r="BD835" s="1180">
        <f>IF(OR(Input!$H$276&lt;&gt;"Yes",Input!$P280=0,Input!$D$20=0),0,IF(AND(Input!$H$276="Yes",Input!$O$278&gt;= Input!$A280,Input!$Q280=Calcs!BD$823),-Input!$P280,0))</f>
        <v>0</v>
      </c>
      <c r="BE835" s="1180">
        <f>IF(OR(Input!$H$276&lt;&gt;"Yes",Input!$P280=0,Input!$D$20=0),0,IF(AND(Input!$H$276="Yes",Input!$O$278&gt;= Input!$A280,Input!$Q280=Calcs!BE$823),-Input!$P280,0))</f>
        <v>0</v>
      </c>
      <c r="BF835" s="1180">
        <f>IF(OR(Input!$H$276&lt;&gt;"Yes",Input!$P280=0,Input!$D$20=0),0,IF(AND(Input!$H$276="Yes",Input!$O$278&gt;= Input!$A280,Input!$Q280=Calcs!BF$823),-Input!$P280,0))</f>
        <v>0</v>
      </c>
      <c r="BG835" s="1180">
        <f>IF(OR(Input!$H$276&lt;&gt;"Yes",Input!$P280=0,Input!$D$20=0),0,IF(AND(Input!$H$276="Yes",Input!$O$278&gt;= Input!$A280,Input!$Q280=Calcs!BG$823),-Input!$P280,0))</f>
        <v>0</v>
      </c>
      <c r="BH835" s="1180">
        <f>IF(OR(Input!$H$276&lt;&gt;"Yes",Input!$P280=0,Input!$D$20=0),0,IF(AND(Input!$H$276="Yes",Input!$O$278&gt;= Input!$A280,Input!$Q280=Calcs!BH$823),-Input!$P280,0))</f>
        <v>0</v>
      </c>
      <c r="BI835" s="1180">
        <f>IF(OR(Input!$H$276&lt;&gt;"Yes",Input!$P280=0,Input!$D$20=0),0,IF(AND(Input!$H$276="Yes",Input!$O$278&gt;= Input!$A280,Input!$Q280=Calcs!BI$823),-Input!$P280,0))</f>
        <v>0</v>
      </c>
      <c r="BJ835" s="1180">
        <f>IF(OR(Input!$H$276&lt;&gt;"Yes",Input!$P280=0,Input!$D$20=0),0,IF(AND(Input!$H$276="Yes",Input!$O$278&gt;= Input!$A280,Input!$Q280=Calcs!BJ$823),-Input!$P280,0))</f>
        <v>0</v>
      </c>
      <c r="BK835" s="1180">
        <f>IF(OR(Input!$H$276&lt;&gt;"Yes",Input!$P280=0,Input!$D$20=0),0,IF(AND(Input!$H$276="Yes",Input!$O$278&gt;= Input!$A280,Input!$Q280=Calcs!BK$823),-Input!$P280,0))</f>
        <v>0</v>
      </c>
      <c r="BL835" s="1180">
        <f>IF(OR(Input!$H$276&lt;&gt;"Yes",Input!$P280=0,Input!$D$20=0),0,IF(AND(Input!$H$276="Yes",Input!$O$278&gt;= Input!$A280,Input!$Q280=Calcs!BL$823),-Input!$P280,0))</f>
        <v>0</v>
      </c>
      <c r="BM835" s="1180">
        <f>IF(OR(Input!$H$276&lt;&gt;"Yes",Input!$P280=0,Input!$D$20=0),0,IF(AND(Input!$H$276="Yes",Input!$O$278&gt;= Input!$A280,Input!$Q280=Calcs!BM$823),-Input!$P280,0))</f>
        <v>0</v>
      </c>
      <c r="BN835" s="1180">
        <f>IF(OR(Input!$H$276&lt;&gt;"Yes",Input!$P280=0,Input!$D$20=0),0,IF(AND(Input!$H$276="Yes",Input!$O$278&gt;= Input!$A280,Input!$Q280=Calcs!BN$823),-Input!$P280,0))</f>
        <v>0</v>
      </c>
      <c r="BO835" s="1180">
        <f>IF(OR(Input!$H$276&lt;&gt;"Yes",Input!$P280=0,Input!$D$20=0),0,IF(AND(Input!$H$276="Yes",Input!$O$278&gt;= Input!$A280,Input!$Q280=Calcs!BO$823),-Input!$P280,0))</f>
        <v>0</v>
      </c>
      <c r="BP835" s="1180">
        <f>IF(OR(Input!$H$276&lt;&gt;"Yes",Input!$P280=0,Input!$D$20=0),0,IF(AND(Input!$H$276="Yes",Input!$O$278&gt;= Input!$A280,Input!$Q280=Calcs!BP$823),-Input!$P280,0))</f>
        <v>0</v>
      </c>
      <c r="BQ835" s="1180">
        <f>IF(OR(Input!$H$276&lt;&gt;"Yes",Input!$P280=0,Input!$D$20=0),0,IF(AND(Input!$H$276="Yes",Input!$O$278&gt;= Input!$A280,Input!$Q280=Calcs!BQ$823),-Input!$P280,0))</f>
        <v>0</v>
      </c>
      <c r="BR835" s="1180">
        <f>IF(OR(Input!$H$276&lt;&gt;"Yes",Input!$P280=0,Input!$D$20=0),0,IF(AND(Input!$H$276="Yes",Input!$O$278&gt;= Input!$A280,Input!$Q280=Calcs!BR$823),-Input!$P280,0))</f>
        <v>0</v>
      </c>
      <c r="BS835" s="1180">
        <f>IF(OR(Input!$H$276&lt;&gt;"Yes",Input!$P280=0,Input!$D$20=0),0,IF(AND(Input!$H$276="Yes",Input!$O$278&gt;= Input!$A280,Input!$Q280=Calcs!BS$823),-Input!$P280,0))</f>
        <v>0</v>
      </c>
      <c r="BT835" s="1180">
        <f>IF(OR(Input!$H$276&lt;&gt;"Yes",Input!$P280=0,Input!$D$20=0),0,IF(AND(Input!$H$276="Yes",Input!$O$278&gt;= Input!$A280,Input!$Q280=Calcs!BT$823),-Input!$P280,0))</f>
        <v>0</v>
      </c>
      <c r="BU835" s="1180">
        <f>IF(OR(Input!$H$276&lt;&gt;"Yes",Input!$P280=0,Input!$D$20=0),0,IF(AND(Input!$H$276="Yes",Input!$O$278&gt;= Input!$A280,Input!$Q280=Calcs!BU$823),-Input!$P280,0))</f>
        <v>0</v>
      </c>
      <c r="BV835" s="1180">
        <f>IF(OR(Input!$H$276&lt;&gt;"Yes",Input!$P280=0,Input!$D$20=0),0,IF(AND(Input!$H$276="Yes",Input!$O$278&gt;= Input!$A280,Input!$Q280=Calcs!BV$823),-Input!$P280,0))</f>
        <v>0</v>
      </c>
      <c r="BW835" s="1180">
        <f>IF(OR(Input!$H$276&lt;&gt;"Yes",Input!$P280=0,Input!$D$20=0),0,IF(AND(Input!$H$276="Yes",Input!$O$278&gt;= Input!$A280,Input!$Q280=Calcs!BW$823),-Input!$P280,0))</f>
        <v>0</v>
      </c>
      <c r="BX835" s="1180">
        <f>IF(OR(Input!$H$276&lt;&gt;"Yes",Input!$P280=0,Input!$D$20=0),0,IF(AND(Input!$H$276="Yes",Input!$O$278&gt;= Input!$A280,Input!$Q280=Calcs!BX$823),-Input!$P280,0))</f>
        <v>0</v>
      </c>
      <c r="BY835" s="1180">
        <f>IF(OR(Input!$H$276&lt;&gt;"Yes",Input!$P280=0,Input!$D$20=0),0,IF(AND(Input!$H$276="Yes",Input!$O$278&gt;= Input!$A280,Input!$Q280=Calcs!BY$823),-Input!$P280,0))</f>
        <v>0</v>
      </c>
      <c r="BZ835" s="1180">
        <f>IF(OR(Input!$H$276&lt;&gt;"Yes",Input!$P280=0,Input!$D$20=0),0,IF(AND(Input!$H$276="Yes",Input!$O$278&gt;= Input!$A280,Input!$Q280=Calcs!BZ$823),-Input!$P280,0))</f>
        <v>0</v>
      </c>
      <c r="CA835" s="1180">
        <f>IF(OR(Input!$H$276&lt;&gt;"Yes",Input!$P280=0,Input!$D$20=0),0,IF(AND(Input!$H$276="Yes",Input!$O$278&gt;= Input!$A280,Input!$Q280=Calcs!CA$823),-Input!$P280,0))</f>
        <v>0</v>
      </c>
      <c r="CB835" s="1180">
        <f>IF(OR(Input!$H$276&lt;&gt;"Yes",Input!$P280=0,Input!$D$20=0),0,IF(AND(Input!$H$276="Yes",Input!$O$278&gt;= Input!$A280,Input!$Q280=Calcs!CB$823),-Input!$P280,0))</f>
        <v>0</v>
      </c>
      <c r="CC835" s="1180">
        <f>IF(OR(Input!$H$276&lt;&gt;"Yes",Input!$P280=0,Input!$D$20=0),0,IF(AND(Input!$H$276="Yes",Input!$O$278&gt;= Input!$A280,Input!$Q280=Calcs!CC$823),-Input!$P280,0))</f>
        <v>0</v>
      </c>
      <c r="CD835" s="1180">
        <f>IF(OR(Input!$H$276&lt;&gt;"Yes",Input!$P280=0,Input!$D$20=0),0,IF(AND(Input!$H$276="Yes",Input!$O$278&gt;= Input!$A280,Input!$Q280=Calcs!CD$823),-Input!$P280,0))</f>
        <v>0</v>
      </c>
      <c r="CE835" s="1180">
        <f>IF(OR(Input!$H$276&lt;&gt;"Yes",Input!$P280=0,Input!$D$20=0),0,IF(AND(Input!$H$276="Yes",Input!$O$278&gt;= Input!$A280,Input!$Q280=Calcs!CE$823),-Input!$P280,0))</f>
        <v>0</v>
      </c>
      <c r="CF835" s="1180">
        <f>IF(OR(Input!$H$276&lt;&gt;"Yes",Input!$P280=0,Input!$D$20=0),0,IF(AND(Input!$H$276="Yes",Input!$O$278&gt;= Input!$A280,Input!$Q280=Calcs!CF$823),-Input!$P280,0))</f>
        <v>0</v>
      </c>
      <c r="CG835" s="1180">
        <f>IF(OR(Input!$H$276&lt;&gt;"Yes",Input!$P280=0,Input!$D$20=0),0,IF(AND(Input!$H$276="Yes",Input!$O$278&gt;= Input!$A280,Input!$Q280=Calcs!CG$823),-Input!$P280,0))</f>
        <v>0</v>
      </c>
      <c r="CH835" s="1180">
        <f>IF(OR(Input!$H$276&lt;&gt;"Yes",Input!$P280=0,Input!$D$20=0),0,IF(AND(Input!$H$276="Yes",Input!$O$278&gt;= Input!$A280,Input!$Q280=Calcs!CH$823),-Input!$P280,0))</f>
        <v>0</v>
      </c>
      <c r="CI835" s="1180">
        <f>IF(OR(Input!$H$276&lt;&gt;"Yes",Input!$P280=0,Input!$D$20=0),0,IF(AND(Input!$H$276="Yes",Input!$O$278&gt;= Input!$A280,Input!$Q280=Calcs!CI$823),-Input!$P280,0))</f>
        <v>0</v>
      </c>
      <c r="CJ835" s="1180">
        <f>IF(OR(Input!$H$276&lt;&gt;"Yes",Input!$P280=0,Input!$D$20=0),0,IF(AND(Input!$H$276="Yes",Input!$O$278&gt;= Input!$A280,Input!$Q280=Calcs!CJ$823),-Input!$P280,0))</f>
        <v>0</v>
      </c>
      <c r="CK835" s="1180">
        <f>IF(OR(Input!$H$276&lt;&gt;"Yes",Input!$P280=0,Input!$D$20=0),0,IF(AND(Input!$H$276="Yes",Input!$O$278&gt;= Input!$A280,Input!$Q280=Calcs!CK$823),-Input!$P280,0))</f>
        <v>0</v>
      </c>
      <c r="CL835" s="1180">
        <f>IF(OR(Input!$H$276&lt;&gt;"Yes",Input!$P280=0,Input!$D$20=0),0,IF(AND(Input!$H$276="Yes",Input!$O$278&gt;= Input!$A280,Input!$Q280=Calcs!CL$823),-Input!$P280,0))</f>
        <v>0</v>
      </c>
      <c r="CM835" s="1180">
        <f>IF(OR(Input!$H$276&lt;&gt;"Yes",Input!$P280=0,Input!$D$20=0),0,IF(AND(Input!$H$276="Yes",Input!$O$278&gt;= Input!$A280,Input!$Q280=Calcs!CM$823),-Input!$P280,0))</f>
        <v>0</v>
      </c>
      <c r="CN835" s="1180">
        <f>IF(OR(Input!$H$276&lt;&gt;"Yes",Input!$P280=0,Input!$D$20=0),0,IF(AND(Input!$H$276="Yes",Input!$O$278&gt;= Input!$A280,Input!$Q280=Calcs!CN$823),-Input!$P280,0))</f>
        <v>0</v>
      </c>
      <c r="CO835" s="1180">
        <f>IF(OR(Input!$H$276&lt;&gt;"Yes",Input!$P280=0,Input!$D$20=0),0,IF(AND(Input!$H$276="Yes",Input!$O$278&gt;= Input!$A280,Input!$Q280=Calcs!CO$823),-Input!$P280,0))</f>
        <v>0</v>
      </c>
      <c r="CP835" s="1180">
        <f>IF(OR(Input!$H$276&lt;&gt;"Yes",Input!$P280=0,Input!$D$20=0),0,IF(AND(Input!$H$276="Yes",Input!$O$278&gt;= Input!$A280,Input!$Q280=Calcs!CP$823),-Input!$P280,0))</f>
        <v>0</v>
      </c>
      <c r="CQ835" s="1180">
        <f>IF(OR(Input!$H$276&lt;&gt;"Yes",Input!$P280=0,Input!$D$20=0),0,IF(AND(Input!$H$276="Yes",Input!$O$278&gt;= Input!$A280,Input!$Q280=Calcs!CQ$823),-Input!$P280,0))</f>
        <v>0</v>
      </c>
      <c r="CR835" s="1180">
        <f>IF(OR(Input!$H$276&lt;&gt;"Yes",Input!$P280=0,Input!$D$20=0),0,IF(AND(Input!$H$276="Yes",Input!$O$278&gt;= Input!$A280,Input!$Q280=Calcs!CR$823),-Input!$P280,0))</f>
        <v>0</v>
      </c>
      <c r="CS835" s="1180">
        <f>IF(OR(Input!$H$276&lt;&gt;"Yes",Input!$P280=0,Input!$D$20=0),0,IF(AND(Input!$H$276="Yes",Input!$O$278&gt;= Input!$A280,Input!$Q280=Calcs!CS$823),-Input!$P280,0))</f>
        <v>0</v>
      </c>
      <c r="CT835" s="1180">
        <f>IF(OR(Input!$H$276&lt;&gt;"Yes",Input!$P280=0,Input!$D$20=0),0,IF(AND(Input!$H$276="Yes",Input!$O$278&gt;= Input!$A280,Input!$Q280=Calcs!CT$823),-Input!$P280,0))</f>
        <v>0</v>
      </c>
      <c r="CU835" s="1180">
        <f>IF(OR(Input!$H$276&lt;&gt;"Yes",Input!$P280=0,Input!$D$20=0),0,IF(AND(Input!$H$276="Yes",Input!$O$278&gt;= Input!$A280,Input!$Q280=Calcs!CU$823),-Input!$P280,0))</f>
        <v>0</v>
      </c>
      <c r="CV835" s="1180">
        <f>IF(OR(Input!$H$276&lt;&gt;"Yes",Input!$P280=0,Input!$D$20=0),0,IF(AND(Input!$H$276="Yes",Input!$O$278&gt;= Input!$A280,Input!$Q280=Calcs!CV$823),-Input!$P280,0))</f>
        <v>0</v>
      </c>
      <c r="CW835" s="1180">
        <f>IF(OR(Input!$H$276&lt;&gt;"Yes",Input!$P280=0,Input!$D$20=0),0,IF(AND(Input!$H$276="Yes",Input!$O$278&gt;= Input!$A280,Input!$Q280=Calcs!CW$823),-Input!$P280,0))</f>
        <v>0</v>
      </c>
      <c r="CX835" s="1180">
        <f>IF(OR(Input!$H$276&lt;&gt;"Yes",Input!$P280=0,Input!$D$20=0),0,IF(AND(Input!$H$276="Yes",Input!$O$278&gt;= Input!$A280,Input!$Q280=Calcs!CX$823),-Input!$P280,0))</f>
        <v>0</v>
      </c>
      <c r="CY835" s="1180">
        <f>IF(OR(Input!$H$276&lt;&gt;"Yes",Input!$P280=0,Input!$D$20=0),0,IF(AND(Input!$H$276="Yes",Input!$O$278&gt;= Input!$A280,Input!$Q280=Calcs!CY$823),-Input!$P280,0))</f>
        <v>0</v>
      </c>
      <c r="CZ835" s="1180">
        <f>IF(OR(Input!$H$276&lt;&gt;"Yes",Input!$P280=0,Input!$D$20=0),0,IF(AND(Input!$H$276="Yes",Input!$O$278&gt;= Input!$A280,Input!$Q280=Calcs!CZ$823),-Input!$P280,0))</f>
        <v>0</v>
      </c>
      <c r="DA835" s="1180">
        <f>IF(OR(Input!$H$276&lt;&gt;"Yes",Input!$P280=0,Input!$D$20=0),0,IF(AND(Input!$H$276="Yes",Input!$O$278&gt;= Input!$A280,Input!$Q280=Calcs!DA$823),-Input!$P280,0))</f>
        <v>0</v>
      </c>
      <c r="DB835" s="1180">
        <f>IF(OR(Input!$H$276&lt;&gt;"Yes",Input!$P280=0,Input!$D$20=0),0,IF(AND(Input!$H$276="Yes",Input!$O$278&gt;= Input!$A280,Input!$Q280=Calcs!DB$823),-Input!$P280,0))</f>
        <v>0</v>
      </c>
      <c r="DC835" s="1180">
        <f>IF(OR(Input!$H$276&lt;&gt;"Yes",Input!$P280=0,Input!$D$20=0),0,IF(AND(Input!$H$276="Yes",Input!$O$278&gt;= Input!$A280,Input!$Q280=Calcs!DC$823),-Input!$P280,0))</f>
        <v>0</v>
      </c>
      <c r="DD835" s="1180">
        <f>IF(OR(Input!$H$276&lt;&gt;"Yes",Input!$P280=0,Input!$D$20=0),0,IF(AND(Input!$H$276="Yes",Input!$O$278&gt;= Input!$A280,Input!$Q280=Calcs!DD$823),-Input!$P280,0))</f>
        <v>0</v>
      </c>
      <c r="DE835" s="1180">
        <f>IF(OR(Input!$H$276&lt;&gt;"Yes",Input!$P280=0,Input!$D$20=0),0,IF(AND(Input!$H$276="Yes",Input!$O$278&gt;= Input!$A280,Input!$Q280=Calcs!DE$823),-Input!$P280,0))</f>
        <v>0</v>
      </c>
      <c r="DF835" s="1180">
        <f>IF(OR(Input!$H$276&lt;&gt;"Yes",Input!$P280=0,Input!$D$20=0),0,IF(AND(Input!$H$276="Yes",Input!$O$278&gt;= Input!$A280,Input!$Q280=Calcs!DF$823),-Input!$P280,0))</f>
        <v>0</v>
      </c>
      <c r="DG835" s="1180">
        <f>IF(OR(Input!$H$276&lt;&gt;"Yes",Input!$P280=0,Input!$D$20=0),0,IF(AND(Input!$H$276="Yes",Input!$O$278&gt;= Input!$A280,Input!$Q280=Calcs!DG$823),-Input!$P280,0))</f>
        <v>0</v>
      </c>
      <c r="DH835" s="1180">
        <f>IF(OR(Input!$H$276&lt;&gt;"Yes",Input!$P280=0,Input!$D$20=0),0,IF(AND(Input!$H$276="Yes",Input!$O$278&gt;= Input!$A280,Input!$Q280=Calcs!DH$823),-Input!$P280,0))</f>
        <v>0</v>
      </c>
      <c r="DI835" s="1180">
        <f>IF(OR(Input!$H$276&lt;&gt;"Yes",Input!$P280=0,Input!$D$20=0),0,IF(AND(Input!$H$276="Yes",Input!$O$278&gt;= Input!$A280,Input!$Q280=Calcs!DI$823),-Input!$P280,0))</f>
        <v>0</v>
      </c>
      <c r="DJ835" s="1180">
        <f>IF(OR(Input!$H$276&lt;&gt;"Yes",Input!$P280=0,Input!$D$20=0),0,IF(AND(Input!$H$276="Yes",Input!$O$278&gt;= Input!$A280,Input!$Q280=Calcs!DJ$823),-Input!$P280,0))</f>
        <v>0</v>
      </c>
      <c r="DK835" s="1180">
        <f>IF(OR(Input!$H$276&lt;&gt;"Yes",Input!$P280=0,Input!$D$20=0),0,IF(AND(Input!$H$276="Yes",Input!$O$278&gt;= Input!$A280,Input!$Q280=Calcs!DK$823),-Input!$P280,0))</f>
        <v>0</v>
      </c>
      <c r="DL835" s="1180">
        <f>IF(OR(Input!$H$276&lt;&gt;"Yes",Input!$P280=0,Input!$D$20=0),0,IF(AND(Input!$H$276="Yes",Input!$O$278&gt;= Input!$A280,Input!$Q280=Calcs!DL$823),-Input!$P280,0))</f>
        <v>0</v>
      </c>
      <c r="DM835" s="1180">
        <f>IF(OR(Input!$H$276&lt;&gt;"Yes",Input!$P280=0,Input!$D$20=0),0,IF(AND(Input!$H$276="Yes",Input!$O$278&gt;= Input!$A280,Input!$Q280=Calcs!DM$823),-Input!$P280,0))</f>
        <v>0</v>
      </c>
      <c r="DN835" s="1180">
        <f>IF(OR(Input!$H$276&lt;&gt;"Yes",Input!$P280=0,Input!$D$20=0),0,IF(AND(Input!$H$276="Yes",Input!$O$278&gt;= Input!$A280,Input!$Q280=Calcs!DN$823),-Input!$P280,0))</f>
        <v>0</v>
      </c>
      <c r="DO835" s="1180">
        <f>IF(OR(Input!$H$276&lt;&gt;"Yes",Input!$P280=0,Input!$D$20=0),0,IF(AND(Input!$H$276="Yes",Input!$O$278&gt;= Input!$A280,Input!$Q280=Calcs!DO$823),-Input!$P280,0))</f>
        <v>0</v>
      </c>
      <c r="DP835" s="1180">
        <f>IF(OR(Input!$H$276&lt;&gt;"Yes",Input!$P280=0,Input!$D$20=0),0,IF(AND(Input!$H$276="Yes",Input!$O$278&gt;= Input!$A280,Input!$Q280=Calcs!DP$823),-Input!$P280,0))</f>
        <v>0</v>
      </c>
      <c r="DQ835" s="1180">
        <f>IF(OR(Input!$H$276&lt;&gt;"Yes",Input!$P280=0,Input!$D$20=0),0,IF(AND(Input!$H$276="Yes",Input!$O$278&gt;= Input!$A280,Input!$Q280=Calcs!DQ$823),-Input!$P280,0))</f>
        <v>0</v>
      </c>
      <c r="DR835" s="1180">
        <f>IF(OR(Input!$H$276&lt;&gt;"Yes",Input!$P280=0,Input!$D$20=0),0,IF(AND(Input!$H$276="Yes",Input!$O$278&gt;= Input!$A280,Input!$Q280=Calcs!DR$823),-Input!$P280,0))</f>
        <v>0</v>
      </c>
      <c r="DS835" s="1180">
        <f>IF(OR(Input!$H$276&lt;&gt;"Yes",Input!$P280=0,Input!$D$20=0),0,IF(AND(Input!$H$276="Yes",Input!$O$278&gt;= Input!$A280,Input!$Q280=Calcs!DS$823),-Input!$P280,0))</f>
        <v>0</v>
      </c>
      <c r="DT835" s="1180">
        <f>IF(OR(Input!$H$276&lt;&gt;"Yes",Input!$P280=0,Input!$D$20=0),0,IF(AND(Input!$H$276="Yes",Input!$O$278&gt;= Input!$A280,Input!$Q280=Calcs!DT$823),-Input!$P280,0))</f>
        <v>0</v>
      </c>
      <c r="DU835" s="1180">
        <f>IF(OR(Input!$H$276&lt;&gt;"Yes",Input!$P280=0,Input!$D$20=0),0,IF(AND(Input!$H$276="Yes",Input!$O$278&gt;= Input!$A280,Input!$Q280=Calcs!DU$823),-Input!$P280,0))</f>
        <v>0</v>
      </c>
      <c r="DV835" s="1180">
        <f>IF(OR(Input!$H$276&lt;&gt;"Yes",Input!$P280=0,Input!$D$20=0),0,IF(AND(Input!$H$276="Yes",Input!$O$278&gt;= Input!$A280,Input!$Q280=Calcs!DV$823),-Input!$P280,0))</f>
        <v>0</v>
      </c>
      <c r="DW835" s="1180">
        <f>IF(OR(Input!$H$276&lt;&gt;"Yes",Input!$P280=0,Input!$D$20=0),0,IF(AND(Input!$H$276="Yes",Input!$O$278&gt;= Input!$A280,Input!$Q280=Calcs!DW$823),-Input!$P280,0))</f>
        <v>0</v>
      </c>
      <c r="DX835" s="1180">
        <f>IF(OR(Input!$H$276&lt;&gt;"Yes",Input!$P280=0,Input!$D$20=0),0,IF(AND(Input!$H$276="Yes",Input!$O$278&gt;= Input!$A280,Input!$Q280=Calcs!DX$823),-Input!$P280,0))</f>
        <v>0</v>
      </c>
      <c r="DY835" s="1180">
        <f>IF(OR(Input!$H$276&lt;&gt;"Yes",Input!$P280=0,Input!$D$20=0),0,IF(AND(Input!$H$276="Yes",Input!$O$278&gt;= Input!$A280,Input!$Q280=Calcs!DY$823),-Input!$P280,0))</f>
        <v>0</v>
      </c>
      <c r="DZ835" s="1180">
        <f>IF(OR(Input!$H$276&lt;&gt;"Yes",Input!$P280=0,Input!$D$20=0),0,IF(AND(Input!$H$276="Yes",Input!$O$278&gt;= Input!$A280,Input!$Q280=Calcs!DZ$823),-Input!$P280,0))</f>
        <v>0</v>
      </c>
      <c r="EA835" s="1180">
        <f>IF(OR(Input!$H$276&lt;&gt;"Yes",Input!$P280=0,Input!$D$20=0),0,IF(AND(Input!$H$276="Yes",Input!$O$278&gt;= Input!$A280,Input!$Q280=Calcs!EA$823),-Input!$P280,0))</f>
        <v>0</v>
      </c>
      <c r="EB835" s="1180">
        <f>IF(OR(Input!$H$276&lt;&gt;"Yes",Input!$P280=0,Input!$D$20=0),0,IF(AND(Input!$H$276="Yes",Input!$O$278&gt;= Input!$A280,Input!$Q280=Calcs!EB$823),-Input!$P280,0))</f>
        <v>0</v>
      </c>
      <c r="EC835" s="1180">
        <f>IF(OR(Input!$H$276&lt;&gt;"Yes",Input!$P280=0,Input!$D$20=0),0,IF(AND(Input!$H$276="Yes",Input!$O$278&gt;= Input!$A280,Input!$Q280=Calcs!EC$823),-Input!$P280,0))</f>
        <v>0</v>
      </c>
      <c r="ED835" s="1180">
        <f>IF(OR(Input!$H$276&lt;&gt;"Yes",Input!$P280=0,Input!$D$20=0),0,IF(AND(Input!$H$276="Yes",Input!$O$278&gt;= Input!$A280,Input!$Q280=Calcs!ED$823),-Input!$P280,0))</f>
        <v>0</v>
      </c>
      <c r="EE835" s="1180">
        <f>IF(OR(Input!$H$276&lt;&gt;"Yes",Input!$P280=0,Input!$D$20=0),0,IF(AND(Input!$H$276="Yes",Input!$O$278&gt;= Input!$A280,Input!$Q280=Calcs!EE$823),-Input!$P280,0))</f>
        <v>0</v>
      </c>
      <c r="EF835" s="1180">
        <f>IF(OR(Input!$H$276&lt;&gt;"Yes",Input!$P280=0,Input!$D$20=0),0,IF(AND(Input!$H$276="Yes",Input!$O$278&gt;= Input!$A280,Input!$Q280=Calcs!EF$823),-Input!$P280,0))</f>
        <v>0</v>
      </c>
      <c r="EG835" s="1180">
        <f>IF(OR(Input!$H$276&lt;&gt;"Yes",Input!$P280=0,Input!$D$20=0),0,IF(AND(Input!$H$276="Yes",Input!$O$278&gt;= Input!$A280,Input!$Q280=Calcs!EG$823),-Input!$P280,0))</f>
        <v>0</v>
      </c>
      <c r="EH835" s="1180">
        <f>IF(OR(Input!$H$276&lt;&gt;"Yes",Input!$P280=0,Input!$D$20=0),0,IF(AND(Input!$H$276="Yes",Input!$O$278&gt;= Input!$A280,Input!$Q280=Calcs!EH$823),-Input!$P280,0))</f>
        <v>0</v>
      </c>
      <c r="EI835" s="1180">
        <f>IF(OR(Input!$H$276&lt;&gt;"Yes",Input!$P280=0,Input!$D$20=0),0,IF(AND(Input!$H$276="Yes",Input!$O$278&gt;= Input!$A280,Input!$Q280=Calcs!EI$823),-Input!$P280,0))</f>
        <v>0</v>
      </c>
      <c r="EJ835" s="1180">
        <f>IF(OR(Input!$H$276&lt;&gt;"Yes",Input!$P280=0,Input!$D$20=0),0,IF(AND(Input!$H$276="Yes",Input!$O$278&gt;= Input!$A280,Input!$Q280=Calcs!EJ$823),-Input!$P280,0))</f>
        <v>0</v>
      </c>
      <c r="EK835" s="1180">
        <f>IF(OR(Input!$H$276&lt;&gt;"Yes",Input!$P280=0,Input!$D$20=0),0,IF(AND(Input!$H$276="Yes",Input!$O$278&gt;= Input!$A280,Input!$Q280=Calcs!EK$823),-Input!$P280,0))</f>
        <v>0</v>
      </c>
      <c r="EL835" s="1180">
        <f>IF(OR(Input!$H$276&lt;&gt;"Yes",Input!$P280=0,Input!$D$20=0),0,IF(AND(Input!$H$276="Yes",Input!$O$278&gt;= Input!$A280,Input!$Q280=Calcs!EL$823),-Input!$P280,0))</f>
        <v>0</v>
      </c>
      <c r="EM835" s="1180">
        <f>IF(OR(Input!$H$276&lt;&gt;"Yes",Input!$P280=0,Input!$D$20=0),0,IF(AND(Input!$H$276="Yes",Input!$O$278&gt;= Input!$A280,Input!$Q280=Calcs!EM$823),-Input!$P280,0))</f>
        <v>0</v>
      </c>
      <c r="EN835" s="1180">
        <f>IF(OR(Input!$H$276&lt;&gt;"Yes",Input!$P280=0,Input!$D$20=0),0,IF(AND(Input!$H$276="Yes",Input!$O$278&gt;= Input!$A280,Input!$Q280=Calcs!EN$823),-Input!$P280,0))</f>
        <v>0</v>
      </c>
      <c r="EO835" s="1180">
        <f>IF(OR(Input!$H$276&lt;&gt;"Yes",Input!$P280=0,Input!$D$20=0),0,IF(AND(Input!$H$276="Yes",Input!$O$278&gt;= Input!$A280,Input!$Q280=Calcs!EO$823),-Input!$P280,0))</f>
        <v>0</v>
      </c>
      <c r="EP835" s="1180">
        <f>IF(OR(Input!$H$276&lt;&gt;"Yes",Input!$P280=0,Input!$D$20=0),0,IF(AND(Input!$H$276="Yes",Input!$O$278&gt;= Input!$A280,Input!$Q280=Calcs!EP$823),-Input!$P280,0))</f>
        <v>0</v>
      </c>
      <c r="EQ835" s="1180">
        <f>IF(OR(Input!$H$276&lt;&gt;"Yes",Input!$P280=0,Input!$D$20=0),0,IF(AND(Input!$H$276="Yes",Input!$O$278&gt;= Input!$A280,Input!$Q280=Calcs!EQ$823),-Input!$P280,0))</f>
        <v>0</v>
      </c>
      <c r="ER835" s="1180">
        <f>IF(OR(Input!$H$276&lt;&gt;"Yes",Input!$P280=0,Input!$D$20=0),0,IF(AND(Input!$H$276="Yes",Input!$O$278&gt;= Input!$A280,Input!$Q280=Calcs!ER$823),-Input!$P280,0))</f>
        <v>0</v>
      </c>
      <c r="ES835" s="1180">
        <f>IF(OR(Input!$H$276&lt;&gt;"Yes",Input!$P280=0,Input!$D$20=0),0,IF(AND(Input!$H$276="Yes",Input!$O$278&gt;= Input!$A280,Input!$Q280=Calcs!ES$823),-Input!$P280,0))</f>
        <v>0</v>
      </c>
      <c r="ET835" s="1180">
        <f>IF(OR(Input!$H$276&lt;&gt;"Yes",Input!$P280=0,Input!$D$20=0),0,IF(AND(Input!$H$276="Yes",Input!$O$278&gt;= Input!$A280,Input!$Q280=Calcs!ET$823),-Input!$P280,0))</f>
        <v>0</v>
      </c>
      <c r="EU835" s="1180">
        <f>IF(OR(Input!$H$276&lt;&gt;"Yes",Input!$P280=0,Input!$D$20=0),0,IF(AND(Input!$H$276="Yes",Input!$O$278&gt;= Input!$A280,Input!$Q280=Calcs!EU$823),-Input!$P280,0))</f>
        <v>0</v>
      </c>
    </row>
    <row r="836" spans="11:151" ht="12" customHeight="1" x14ac:dyDescent="0.35">
      <c r="K836" s="28"/>
      <c r="L836" s="28"/>
      <c r="M836" s="28"/>
      <c r="N836" s="28"/>
      <c r="O836" s="28"/>
      <c r="P836" s="28"/>
      <c r="Q836" s="28"/>
      <c r="R836" s="31"/>
      <c r="S836" s="36"/>
      <c r="T836" s="26"/>
      <c r="U836" s="29"/>
      <c r="V836" s="29"/>
      <c r="W836" s="377"/>
      <c r="X836" s="376" t="str">
        <f t="shared" si="601"/>
        <v>SAFE #3</v>
      </c>
      <c r="Y836" s="378">
        <f>Input!V281</f>
        <v>0</v>
      </c>
      <c r="Z836" s="29"/>
      <c r="AA836" s="29">
        <v>3</v>
      </c>
      <c r="AB836" s="29" t="str">
        <f>IF(Input!M281="","SAFE #"&amp;AA836,Input!M281)</f>
        <v>SAFE #3</v>
      </c>
      <c r="AC836" s="8"/>
      <c r="AD836" s="376" t="s">
        <v>546</v>
      </c>
      <c r="AE836" s="376" t="str">
        <f t="shared" si="609"/>
        <v>SAFE #3</v>
      </c>
      <c r="AF836" s="1180">
        <f>IF(OR(Input!$H$276&lt;&gt;"Yes",Input!$P281=0,Input!$D$20=0),0,IF(AND(Input!$H$276="Yes",Input!$O$278&gt;= Input!$A281,Input!$Q281=Calcs!AF$823),-Input!$P281,0))</f>
        <v>0</v>
      </c>
      <c r="AG836" s="1180">
        <f>IF(OR(Input!$H$276&lt;&gt;"Yes",Input!$P281=0,Input!$D$20=0),0,IF(AND(Input!$H$276="Yes",Input!$O$278&gt;= Input!$A281,Input!$Q281=Calcs!AG$823),-Input!$P281,0))</f>
        <v>0</v>
      </c>
      <c r="AH836" s="1180">
        <f>IF(OR(Input!$H$276&lt;&gt;"Yes",Input!$P281=0,Input!$D$20=0),0,IF(AND(Input!$H$276="Yes",Input!$O$278&gt;= Input!$A281,Input!$Q281=Calcs!AH$823),-Input!$P281,0))</f>
        <v>0</v>
      </c>
      <c r="AI836" s="1180">
        <f>IF(OR(Input!$H$276&lt;&gt;"Yes",Input!$P281=0,Input!$D$20=0),0,IF(AND(Input!$H$276="Yes",Input!$O$278&gt;= Input!$A281,Input!$Q281=Calcs!AI$823),-Input!$P281,0))</f>
        <v>0</v>
      </c>
      <c r="AJ836" s="1180">
        <f>IF(OR(Input!$H$276&lt;&gt;"Yes",Input!$P281=0,Input!$D$20=0),0,IF(AND(Input!$H$276="Yes",Input!$O$278&gt;= Input!$A281,Input!$Q281=Calcs!AJ$823),-Input!$P281,0))</f>
        <v>0</v>
      </c>
      <c r="AK836" s="1180">
        <f>IF(OR(Input!$H$276&lt;&gt;"Yes",Input!$P281=0,Input!$D$20=0),0,IF(AND(Input!$H$276="Yes",Input!$O$278&gt;= Input!$A281,Input!$Q281=Calcs!AK$823),-Input!$P281,0))</f>
        <v>0</v>
      </c>
      <c r="AL836" s="1180">
        <f>IF(OR(Input!$H$276&lt;&gt;"Yes",Input!$P281=0,Input!$D$20=0),0,IF(AND(Input!$H$276="Yes",Input!$O$278&gt;= Input!$A281,Input!$Q281=Calcs!AL$823),-Input!$P281,0))</f>
        <v>0</v>
      </c>
      <c r="AM836" s="1180">
        <f>IF(OR(Input!$H$276&lt;&gt;"Yes",Input!$P281=0,Input!$D$20=0),0,IF(AND(Input!$H$276="Yes",Input!$O$278&gt;= Input!$A281,Input!$Q281=Calcs!AM$823),-Input!$P281,0))</f>
        <v>0</v>
      </c>
      <c r="AN836" s="1180">
        <f>IF(OR(Input!$H$276&lt;&gt;"Yes",Input!$P281=0,Input!$D$20=0),0,IF(AND(Input!$H$276="Yes",Input!$O$278&gt;= Input!$A281,Input!$Q281=Calcs!AN$823),-Input!$P281,0))</f>
        <v>0</v>
      </c>
      <c r="AO836" s="1180">
        <f>IF(OR(Input!$H$276&lt;&gt;"Yes",Input!$P281=0,Input!$D$20=0),0,IF(AND(Input!$H$276="Yes",Input!$O$278&gt;= Input!$A281,Input!$Q281=Calcs!AO$823),-Input!$P281,0))</f>
        <v>0</v>
      </c>
      <c r="AP836" s="1180">
        <f>IF(OR(Input!$H$276&lt;&gt;"Yes",Input!$P281=0,Input!$D$20=0),0,IF(AND(Input!$H$276="Yes",Input!$O$278&gt;= Input!$A281,Input!$Q281=Calcs!AP$823),-Input!$P281,0))</f>
        <v>0</v>
      </c>
      <c r="AQ836" s="1180">
        <f>IF(OR(Input!$H$276&lt;&gt;"Yes",Input!$P281=0,Input!$D$20=0),0,IF(AND(Input!$H$276="Yes",Input!$O$278&gt;= Input!$A281,Input!$Q281=Calcs!AQ$823),-Input!$P281,0))</f>
        <v>0</v>
      </c>
      <c r="AR836" s="1180">
        <f>IF(OR(Input!$H$276&lt;&gt;"Yes",Input!$P281=0,Input!$D$20=0),0,IF(AND(Input!$H$276="Yes",Input!$O$278&gt;= Input!$A281,Input!$Q281=Calcs!AR$823),-Input!$P281,0))</f>
        <v>0</v>
      </c>
      <c r="AS836" s="1180">
        <f>IF(OR(Input!$H$276&lt;&gt;"Yes",Input!$P281=0,Input!$D$20=0),0,IF(AND(Input!$H$276="Yes",Input!$O$278&gt;= Input!$A281,Input!$Q281=Calcs!AS$823),-Input!$P281,0))</f>
        <v>0</v>
      </c>
      <c r="AT836" s="1180">
        <f>IF(OR(Input!$H$276&lt;&gt;"Yes",Input!$P281=0,Input!$D$20=0),0,IF(AND(Input!$H$276="Yes",Input!$O$278&gt;= Input!$A281,Input!$Q281=Calcs!AT$823),-Input!$P281,0))</f>
        <v>0</v>
      </c>
      <c r="AU836" s="1180">
        <f>IF(OR(Input!$H$276&lt;&gt;"Yes",Input!$P281=0,Input!$D$20=0),0,IF(AND(Input!$H$276="Yes",Input!$O$278&gt;= Input!$A281,Input!$Q281=Calcs!AU$823),-Input!$P281,0))</f>
        <v>0</v>
      </c>
      <c r="AV836" s="1180">
        <f>IF(OR(Input!$H$276&lt;&gt;"Yes",Input!$P281=0,Input!$D$20=0),0,IF(AND(Input!$H$276="Yes",Input!$O$278&gt;= Input!$A281,Input!$Q281=Calcs!AV$823),-Input!$P281,0))</f>
        <v>0</v>
      </c>
      <c r="AW836" s="1180">
        <f>IF(OR(Input!$H$276&lt;&gt;"Yes",Input!$P281=0,Input!$D$20=0),0,IF(AND(Input!$H$276="Yes",Input!$O$278&gt;= Input!$A281,Input!$Q281=Calcs!AW$823),-Input!$P281,0))</f>
        <v>0</v>
      </c>
      <c r="AX836" s="1180">
        <f>IF(OR(Input!$H$276&lt;&gt;"Yes",Input!$P281=0,Input!$D$20=0),0,IF(AND(Input!$H$276="Yes",Input!$O$278&gt;= Input!$A281,Input!$Q281=Calcs!AX$823),-Input!$P281,0))</f>
        <v>0</v>
      </c>
      <c r="AY836" s="1180">
        <f>IF(OR(Input!$H$276&lt;&gt;"Yes",Input!$P281=0,Input!$D$20=0),0,IF(AND(Input!$H$276="Yes",Input!$O$278&gt;= Input!$A281,Input!$Q281=Calcs!AY$823),-Input!$P281,0))</f>
        <v>0</v>
      </c>
      <c r="AZ836" s="1180">
        <f>IF(OR(Input!$H$276&lt;&gt;"Yes",Input!$P281=0,Input!$D$20=0),0,IF(AND(Input!$H$276="Yes",Input!$O$278&gt;= Input!$A281,Input!$Q281=Calcs!AZ$823),-Input!$P281,0))</f>
        <v>0</v>
      </c>
      <c r="BA836" s="1180">
        <f>IF(OR(Input!$H$276&lt;&gt;"Yes",Input!$P281=0,Input!$D$20=0),0,IF(AND(Input!$H$276="Yes",Input!$O$278&gt;= Input!$A281,Input!$Q281=Calcs!BA$823),-Input!$P281,0))</f>
        <v>0</v>
      </c>
      <c r="BB836" s="1180">
        <f>IF(OR(Input!$H$276&lt;&gt;"Yes",Input!$P281=0,Input!$D$20=0),0,IF(AND(Input!$H$276="Yes",Input!$O$278&gt;= Input!$A281,Input!$Q281=Calcs!BB$823),-Input!$P281,0))</f>
        <v>0</v>
      </c>
      <c r="BC836" s="1180">
        <f>IF(OR(Input!$H$276&lt;&gt;"Yes",Input!$P281=0,Input!$D$20=0),0,IF(AND(Input!$H$276="Yes",Input!$O$278&gt;= Input!$A281,Input!$Q281=Calcs!BC$823),-Input!$P281,0))</f>
        <v>0</v>
      </c>
      <c r="BD836" s="1180">
        <f>IF(OR(Input!$H$276&lt;&gt;"Yes",Input!$P281=0,Input!$D$20=0),0,IF(AND(Input!$H$276="Yes",Input!$O$278&gt;= Input!$A281,Input!$Q281=Calcs!BD$823),-Input!$P281,0))</f>
        <v>0</v>
      </c>
      <c r="BE836" s="1180">
        <f>IF(OR(Input!$H$276&lt;&gt;"Yes",Input!$P281=0,Input!$D$20=0),0,IF(AND(Input!$H$276="Yes",Input!$O$278&gt;= Input!$A281,Input!$Q281=Calcs!BE$823),-Input!$P281,0))</f>
        <v>0</v>
      </c>
      <c r="BF836" s="1180">
        <f>IF(OR(Input!$H$276&lt;&gt;"Yes",Input!$P281=0,Input!$D$20=0),0,IF(AND(Input!$H$276="Yes",Input!$O$278&gt;= Input!$A281,Input!$Q281=Calcs!BF$823),-Input!$P281,0))</f>
        <v>0</v>
      </c>
      <c r="BG836" s="1180">
        <f>IF(OR(Input!$H$276&lt;&gt;"Yes",Input!$P281=0,Input!$D$20=0),0,IF(AND(Input!$H$276="Yes",Input!$O$278&gt;= Input!$A281,Input!$Q281=Calcs!BG$823),-Input!$P281,0))</f>
        <v>0</v>
      </c>
      <c r="BH836" s="1180">
        <f>IF(OR(Input!$H$276&lt;&gt;"Yes",Input!$P281=0,Input!$D$20=0),0,IF(AND(Input!$H$276="Yes",Input!$O$278&gt;= Input!$A281,Input!$Q281=Calcs!BH$823),-Input!$P281,0))</f>
        <v>0</v>
      </c>
      <c r="BI836" s="1180">
        <f>IF(OR(Input!$H$276&lt;&gt;"Yes",Input!$P281=0,Input!$D$20=0),0,IF(AND(Input!$H$276="Yes",Input!$O$278&gt;= Input!$A281,Input!$Q281=Calcs!BI$823),-Input!$P281,0))</f>
        <v>0</v>
      </c>
      <c r="BJ836" s="1180">
        <f>IF(OR(Input!$H$276&lt;&gt;"Yes",Input!$P281=0,Input!$D$20=0),0,IF(AND(Input!$H$276="Yes",Input!$O$278&gt;= Input!$A281,Input!$Q281=Calcs!BJ$823),-Input!$P281,0))</f>
        <v>0</v>
      </c>
      <c r="BK836" s="1180">
        <f>IF(OR(Input!$H$276&lt;&gt;"Yes",Input!$P281=0,Input!$D$20=0),0,IF(AND(Input!$H$276="Yes",Input!$O$278&gt;= Input!$A281,Input!$Q281=Calcs!BK$823),-Input!$P281,0))</f>
        <v>0</v>
      </c>
      <c r="BL836" s="1180">
        <f>IF(OR(Input!$H$276&lt;&gt;"Yes",Input!$P281=0,Input!$D$20=0),0,IF(AND(Input!$H$276="Yes",Input!$O$278&gt;= Input!$A281,Input!$Q281=Calcs!BL$823),-Input!$P281,0))</f>
        <v>0</v>
      </c>
      <c r="BM836" s="1180">
        <f>IF(OR(Input!$H$276&lt;&gt;"Yes",Input!$P281=0,Input!$D$20=0),0,IF(AND(Input!$H$276="Yes",Input!$O$278&gt;= Input!$A281,Input!$Q281=Calcs!BM$823),-Input!$P281,0))</f>
        <v>0</v>
      </c>
      <c r="BN836" s="1180">
        <f>IF(OR(Input!$H$276&lt;&gt;"Yes",Input!$P281=0,Input!$D$20=0),0,IF(AND(Input!$H$276="Yes",Input!$O$278&gt;= Input!$A281,Input!$Q281=Calcs!BN$823),-Input!$P281,0))</f>
        <v>0</v>
      </c>
      <c r="BO836" s="1180">
        <f>IF(OR(Input!$H$276&lt;&gt;"Yes",Input!$P281=0,Input!$D$20=0),0,IF(AND(Input!$H$276="Yes",Input!$O$278&gt;= Input!$A281,Input!$Q281=Calcs!BO$823),-Input!$P281,0))</f>
        <v>0</v>
      </c>
      <c r="BP836" s="1180">
        <f>IF(OR(Input!$H$276&lt;&gt;"Yes",Input!$P281=0,Input!$D$20=0),0,IF(AND(Input!$H$276="Yes",Input!$O$278&gt;= Input!$A281,Input!$Q281=Calcs!BP$823),-Input!$P281,0))</f>
        <v>0</v>
      </c>
      <c r="BQ836" s="1180">
        <f>IF(OR(Input!$H$276&lt;&gt;"Yes",Input!$P281=0,Input!$D$20=0),0,IF(AND(Input!$H$276="Yes",Input!$O$278&gt;= Input!$A281,Input!$Q281=Calcs!BQ$823),-Input!$P281,0))</f>
        <v>0</v>
      </c>
      <c r="BR836" s="1180">
        <f>IF(OR(Input!$H$276&lt;&gt;"Yes",Input!$P281=0,Input!$D$20=0),0,IF(AND(Input!$H$276="Yes",Input!$O$278&gt;= Input!$A281,Input!$Q281=Calcs!BR$823),-Input!$P281,0))</f>
        <v>0</v>
      </c>
      <c r="BS836" s="1180">
        <f>IF(OR(Input!$H$276&lt;&gt;"Yes",Input!$P281=0,Input!$D$20=0),0,IF(AND(Input!$H$276="Yes",Input!$O$278&gt;= Input!$A281,Input!$Q281=Calcs!BS$823),-Input!$P281,0))</f>
        <v>0</v>
      </c>
      <c r="BT836" s="1180">
        <f>IF(OR(Input!$H$276&lt;&gt;"Yes",Input!$P281=0,Input!$D$20=0),0,IF(AND(Input!$H$276="Yes",Input!$O$278&gt;= Input!$A281,Input!$Q281=Calcs!BT$823),-Input!$P281,0))</f>
        <v>0</v>
      </c>
      <c r="BU836" s="1180">
        <f>IF(OR(Input!$H$276&lt;&gt;"Yes",Input!$P281=0,Input!$D$20=0),0,IF(AND(Input!$H$276="Yes",Input!$O$278&gt;= Input!$A281,Input!$Q281=Calcs!BU$823),-Input!$P281,0))</f>
        <v>0</v>
      </c>
      <c r="BV836" s="1180">
        <f>IF(OR(Input!$H$276&lt;&gt;"Yes",Input!$P281=0,Input!$D$20=0),0,IF(AND(Input!$H$276="Yes",Input!$O$278&gt;= Input!$A281,Input!$Q281=Calcs!BV$823),-Input!$P281,0))</f>
        <v>0</v>
      </c>
      <c r="BW836" s="1180">
        <f>IF(OR(Input!$H$276&lt;&gt;"Yes",Input!$P281=0,Input!$D$20=0),0,IF(AND(Input!$H$276="Yes",Input!$O$278&gt;= Input!$A281,Input!$Q281=Calcs!BW$823),-Input!$P281,0))</f>
        <v>0</v>
      </c>
      <c r="BX836" s="1180">
        <f>IF(OR(Input!$H$276&lt;&gt;"Yes",Input!$P281=0,Input!$D$20=0),0,IF(AND(Input!$H$276="Yes",Input!$O$278&gt;= Input!$A281,Input!$Q281=Calcs!BX$823),-Input!$P281,0))</f>
        <v>0</v>
      </c>
      <c r="BY836" s="1180">
        <f>IF(OR(Input!$H$276&lt;&gt;"Yes",Input!$P281=0,Input!$D$20=0),0,IF(AND(Input!$H$276="Yes",Input!$O$278&gt;= Input!$A281,Input!$Q281=Calcs!BY$823),-Input!$P281,0))</f>
        <v>0</v>
      </c>
      <c r="BZ836" s="1180">
        <f>IF(OR(Input!$H$276&lt;&gt;"Yes",Input!$P281=0,Input!$D$20=0),0,IF(AND(Input!$H$276="Yes",Input!$O$278&gt;= Input!$A281,Input!$Q281=Calcs!BZ$823),-Input!$P281,0))</f>
        <v>0</v>
      </c>
      <c r="CA836" s="1180">
        <f>IF(OR(Input!$H$276&lt;&gt;"Yes",Input!$P281=0,Input!$D$20=0),0,IF(AND(Input!$H$276="Yes",Input!$O$278&gt;= Input!$A281,Input!$Q281=Calcs!CA$823),-Input!$P281,0))</f>
        <v>0</v>
      </c>
      <c r="CB836" s="1180">
        <f>IF(OR(Input!$H$276&lt;&gt;"Yes",Input!$P281=0,Input!$D$20=0),0,IF(AND(Input!$H$276="Yes",Input!$O$278&gt;= Input!$A281,Input!$Q281=Calcs!CB$823),-Input!$P281,0))</f>
        <v>0</v>
      </c>
      <c r="CC836" s="1180">
        <f>IF(OR(Input!$H$276&lt;&gt;"Yes",Input!$P281=0,Input!$D$20=0),0,IF(AND(Input!$H$276="Yes",Input!$O$278&gt;= Input!$A281,Input!$Q281=Calcs!CC$823),-Input!$P281,0))</f>
        <v>0</v>
      </c>
      <c r="CD836" s="1180">
        <f>IF(OR(Input!$H$276&lt;&gt;"Yes",Input!$P281=0,Input!$D$20=0),0,IF(AND(Input!$H$276="Yes",Input!$O$278&gt;= Input!$A281,Input!$Q281=Calcs!CD$823),-Input!$P281,0))</f>
        <v>0</v>
      </c>
      <c r="CE836" s="1180">
        <f>IF(OR(Input!$H$276&lt;&gt;"Yes",Input!$P281=0,Input!$D$20=0),0,IF(AND(Input!$H$276="Yes",Input!$O$278&gt;= Input!$A281,Input!$Q281=Calcs!CE$823),-Input!$P281,0))</f>
        <v>0</v>
      </c>
      <c r="CF836" s="1180">
        <f>IF(OR(Input!$H$276&lt;&gt;"Yes",Input!$P281=0,Input!$D$20=0),0,IF(AND(Input!$H$276="Yes",Input!$O$278&gt;= Input!$A281,Input!$Q281=Calcs!CF$823),-Input!$P281,0))</f>
        <v>0</v>
      </c>
      <c r="CG836" s="1180">
        <f>IF(OR(Input!$H$276&lt;&gt;"Yes",Input!$P281=0,Input!$D$20=0),0,IF(AND(Input!$H$276="Yes",Input!$O$278&gt;= Input!$A281,Input!$Q281=Calcs!CG$823),-Input!$P281,0))</f>
        <v>0</v>
      </c>
      <c r="CH836" s="1180">
        <f>IF(OR(Input!$H$276&lt;&gt;"Yes",Input!$P281=0,Input!$D$20=0),0,IF(AND(Input!$H$276="Yes",Input!$O$278&gt;= Input!$A281,Input!$Q281=Calcs!CH$823),-Input!$P281,0))</f>
        <v>0</v>
      </c>
      <c r="CI836" s="1180">
        <f>IF(OR(Input!$H$276&lt;&gt;"Yes",Input!$P281=0,Input!$D$20=0),0,IF(AND(Input!$H$276="Yes",Input!$O$278&gt;= Input!$A281,Input!$Q281=Calcs!CI$823),-Input!$P281,0))</f>
        <v>0</v>
      </c>
      <c r="CJ836" s="1180">
        <f>IF(OR(Input!$H$276&lt;&gt;"Yes",Input!$P281=0,Input!$D$20=0),0,IF(AND(Input!$H$276="Yes",Input!$O$278&gt;= Input!$A281,Input!$Q281=Calcs!CJ$823),-Input!$P281,0))</f>
        <v>0</v>
      </c>
      <c r="CK836" s="1180">
        <f>IF(OR(Input!$H$276&lt;&gt;"Yes",Input!$P281=0,Input!$D$20=0),0,IF(AND(Input!$H$276="Yes",Input!$O$278&gt;= Input!$A281,Input!$Q281=Calcs!CK$823),-Input!$P281,0))</f>
        <v>0</v>
      </c>
      <c r="CL836" s="1180">
        <f>IF(OR(Input!$H$276&lt;&gt;"Yes",Input!$P281=0,Input!$D$20=0),0,IF(AND(Input!$H$276="Yes",Input!$O$278&gt;= Input!$A281,Input!$Q281=Calcs!CL$823),-Input!$P281,0))</f>
        <v>0</v>
      </c>
      <c r="CM836" s="1180">
        <f>IF(OR(Input!$H$276&lt;&gt;"Yes",Input!$P281=0,Input!$D$20=0),0,IF(AND(Input!$H$276="Yes",Input!$O$278&gt;= Input!$A281,Input!$Q281=Calcs!CM$823),-Input!$P281,0))</f>
        <v>0</v>
      </c>
      <c r="CN836" s="1180">
        <f>IF(OR(Input!$H$276&lt;&gt;"Yes",Input!$P281=0,Input!$D$20=0),0,IF(AND(Input!$H$276="Yes",Input!$O$278&gt;= Input!$A281,Input!$Q281=Calcs!CN$823),-Input!$P281,0))</f>
        <v>0</v>
      </c>
      <c r="CO836" s="1180">
        <f>IF(OR(Input!$H$276&lt;&gt;"Yes",Input!$P281=0,Input!$D$20=0),0,IF(AND(Input!$H$276="Yes",Input!$O$278&gt;= Input!$A281,Input!$Q281=Calcs!CO$823),-Input!$P281,0))</f>
        <v>0</v>
      </c>
      <c r="CP836" s="1180">
        <f>IF(OR(Input!$H$276&lt;&gt;"Yes",Input!$P281=0,Input!$D$20=0),0,IF(AND(Input!$H$276="Yes",Input!$O$278&gt;= Input!$A281,Input!$Q281=Calcs!CP$823),-Input!$P281,0))</f>
        <v>0</v>
      </c>
      <c r="CQ836" s="1180">
        <f>IF(OR(Input!$H$276&lt;&gt;"Yes",Input!$P281=0,Input!$D$20=0),0,IF(AND(Input!$H$276="Yes",Input!$O$278&gt;= Input!$A281,Input!$Q281=Calcs!CQ$823),-Input!$P281,0))</f>
        <v>0</v>
      </c>
      <c r="CR836" s="1180">
        <f>IF(OR(Input!$H$276&lt;&gt;"Yes",Input!$P281=0,Input!$D$20=0),0,IF(AND(Input!$H$276="Yes",Input!$O$278&gt;= Input!$A281,Input!$Q281=Calcs!CR$823),-Input!$P281,0))</f>
        <v>0</v>
      </c>
      <c r="CS836" s="1180">
        <f>IF(OR(Input!$H$276&lt;&gt;"Yes",Input!$P281=0,Input!$D$20=0),0,IF(AND(Input!$H$276="Yes",Input!$O$278&gt;= Input!$A281,Input!$Q281=Calcs!CS$823),-Input!$P281,0))</f>
        <v>0</v>
      </c>
      <c r="CT836" s="1180">
        <f>IF(OR(Input!$H$276&lt;&gt;"Yes",Input!$P281=0,Input!$D$20=0),0,IF(AND(Input!$H$276="Yes",Input!$O$278&gt;= Input!$A281,Input!$Q281=Calcs!CT$823),-Input!$P281,0))</f>
        <v>0</v>
      </c>
      <c r="CU836" s="1180">
        <f>IF(OR(Input!$H$276&lt;&gt;"Yes",Input!$P281=0,Input!$D$20=0),0,IF(AND(Input!$H$276="Yes",Input!$O$278&gt;= Input!$A281,Input!$Q281=Calcs!CU$823),-Input!$P281,0))</f>
        <v>0</v>
      </c>
      <c r="CV836" s="1180">
        <f>IF(OR(Input!$H$276&lt;&gt;"Yes",Input!$P281=0,Input!$D$20=0),0,IF(AND(Input!$H$276="Yes",Input!$O$278&gt;= Input!$A281,Input!$Q281=Calcs!CV$823),-Input!$P281,0))</f>
        <v>0</v>
      </c>
      <c r="CW836" s="1180">
        <f>IF(OR(Input!$H$276&lt;&gt;"Yes",Input!$P281=0,Input!$D$20=0),0,IF(AND(Input!$H$276="Yes",Input!$O$278&gt;= Input!$A281,Input!$Q281=Calcs!CW$823),-Input!$P281,0))</f>
        <v>0</v>
      </c>
      <c r="CX836" s="1180">
        <f>IF(OR(Input!$H$276&lt;&gt;"Yes",Input!$P281=0,Input!$D$20=0),0,IF(AND(Input!$H$276="Yes",Input!$O$278&gt;= Input!$A281,Input!$Q281=Calcs!CX$823),-Input!$P281,0))</f>
        <v>0</v>
      </c>
      <c r="CY836" s="1180">
        <f>IF(OR(Input!$H$276&lt;&gt;"Yes",Input!$P281=0,Input!$D$20=0),0,IF(AND(Input!$H$276="Yes",Input!$O$278&gt;= Input!$A281,Input!$Q281=Calcs!CY$823),-Input!$P281,0))</f>
        <v>0</v>
      </c>
      <c r="CZ836" s="1180">
        <f>IF(OR(Input!$H$276&lt;&gt;"Yes",Input!$P281=0,Input!$D$20=0),0,IF(AND(Input!$H$276="Yes",Input!$O$278&gt;= Input!$A281,Input!$Q281=Calcs!CZ$823),-Input!$P281,0))</f>
        <v>0</v>
      </c>
      <c r="DA836" s="1180">
        <f>IF(OR(Input!$H$276&lt;&gt;"Yes",Input!$P281=0,Input!$D$20=0),0,IF(AND(Input!$H$276="Yes",Input!$O$278&gt;= Input!$A281,Input!$Q281=Calcs!DA$823),-Input!$P281,0))</f>
        <v>0</v>
      </c>
      <c r="DB836" s="1180">
        <f>IF(OR(Input!$H$276&lt;&gt;"Yes",Input!$P281=0,Input!$D$20=0),0,IF(AND(Input!$H$276="Yes",Input!$O$278&gt;= Input!$A281,Input!$Q281=Calcs!DB$823),-Input!$P281,0))</f>
        <v>0</v>
      </c>
      <c r="DC836" s="1180">
        <f>IF(OR(Input!$H$276&lt;&gt;"Yes",Input!$P281=0,Input!$D$20=0),0,IF(AND(Input!$H$276="Yes",Input!$O$278&gt;= Input!$A281,Input!$Q281=Calcs!DC$823),-Input!$P281,0))</f>
        <v>0</v>
      </c>
      <c r="DD836" s="1180">
        <f>IF(OR(Input!$H$276&lt;&gt;"Yes",Input!$P281=0,Input!$D$20=0),0,IF(AND(Input!$H$276="Yes",Input!$O$278&gt;= Input!$A281,Input!$Q281=Calcs!DD$823),-Input!$P281,0))</f>
        <v>0</v>
      </c>
      <c r="DE836" s="1180">
        <f>IF(OR(Input!$H$276&lt;&gt;"Yes",Input!$P281=0,Input!$D$20=0),0,IF(AND(Input!$H$276="Yes",Input!$O$278&gt;= Input!$A281,Input!$Q281=Calcs!DE$823),-Input!$P281,0))</f>
        <v>0</v>
      </c>
      <c r="DF836" s="1180">
        <f>IF(OR(Input!$H$276&lt;&gt;"Yes",Input!$P281=0,Input!$D$20=0),0,IF(AND(Input!$H$276="Yes",Input!$O$278&gt;= Input!$A281,Input!$Q281=Calcs!DF$823),-Input!$P281,0))</f>
        <v>0</v>
      </c>
      <c r="DG836" s="1180">
        <f>IF(OR(Input!$H$276&lt;&gt;"Yes",Input!$P281=0,Input!$D$20=0),0,IF(AND(Input!$H$276="Yes",Input!$O$278&gt;= Input!$A281,Input!$Q281=Calcs!DG$823),-Input!$P281,0))</f>
        <v>0</v>
      </c>
      <c r="DH836" s="1180">
        <f>IF(OR(Input!$H$276&lt;&gt;"Yes",Input!$P281=0,Input!$D$20=0),0,IF(AND(Input!$H$276="Yes",Input!$O$278&gt;= Input!$A281,Input!$Q281=Calcs!DH$823),-Input!$P281,0))</f>
        <v>0</v>
      </c>
      <c r="DI836" s="1180">
        <f>IF(OR(Input!$H$276&lt;&gt;"Yes",Input!$P281=0,Input!$D$20=0),0,IF(AND(Input!$H$276="Yes",Input!$O$278&gt;= Input!$A281,Input!$Q281=Calcs!DI$823),-Input!$P281,0))</f>
        <v>0</v>
      </c>
      <c r="DJ836" s="1180">
        <f>IF(OR(Input!$H$276&lt;&gt;"Yes",Input!$P281=0,Input!$D$20=0),0,IF(AND(Input!$H$276="Yes",Input!$O$278&gt;= Input!$A281,Input!$Q281=Calcs!DJ$823),-Input!$P281,0))</f>
        <v>0</v>
      </c>
      <c r="DK836" s="1180">
        <f>IF(OR(Input!$H$276&lt;&gt;"Yes",Input!$P281=0,Input!$D$20=0),0,IF(AND(Input!$H$276="Yes",Input!$O$278&gt;= Input!$A281,Input!$Q281=Calcs!DK$823),-Input!$P281,0))</f>
        <v>0</v>
      </c>
      <c r="DL836" s="1180">
        <f>IF(OR(Input!$H$276&lt;&gt;"Yes",Input!$P281=0,Input!$D$20=0),0,IF(AND(Input!$H$276="Yes",Input!$O$278&gt;= Input!$A281,Input!$Q281=Calcs!DL$823),-Input!$P281,0))</f>
        <v>0</v>
      </c>
      <c r="DM836" s="1180">
        <f>IF(OR(Input!$H$276&lt;&gt;"Yes",Input!$P281=0,Input!$D$20=0),0,IF(AND(Input!$H$276="Yes",Input!$O$278&gt;= Input!$A281,Input!$Q281=Calcs!DM$823),-Input!$P281,0))</f>
        <v>0</v>
      </c>
      <c r="DN836" s="1180">
        <f>IF(OR(Input!$H$276&lt;&gt;"Yes",Input!$P281=0,Input!$D$20=0),0,IF(AND(Input!$H$276="Yes",Input!$O$278&gt;= Input!$A281,Input!$Q281=Calcs!DN$823),-Input!$P281,0))</f>
        <v>0</v>
      </c>
      <c r="DO836" s="1180">
        <f>IF(OR(Input!$H$276&lt;&gt;"Yes",Input!$P281=0,Input!$D$20=0),0,IF(AND(Input!$H$276="Yes",Input!$O$278&gt;= Input!$A281,Input!$Q281=Calcs!DO$823),-Input!$P281,0))</f>
        <v>0</v>
      </c>
      <c r="DP836" s="1180">
        <f>IF(OR(Input!$H$276&lt;&gt;"Yes",Input!$P281=0,Input!$D$20=0),0,IF(AND(Input!$H$276="Yes",Input!$O$278&gt;= Input!$A281,Input!$Q281=Calcs!DP$823),-Input!$P281,0))</f>
        <v>0</v>
      </c>
      <c r="DQ836" s="1180">
        <f>IF(OR(Input!$H$276&lt;&gt;"Yes",Input!$P281=0,Input!$D$20=0),0,IF(AND(Input!$H$276="Yes",Input!$O$278&gt;= Input!$A281,Input!$Q281=Calcs!DQ$823),-Input!$P281,0))</f>
        <v>0</v>
      </c>
      <c r="DR836" s="1180">
        <f>IF(OR(Input!$H$276&lt;&gt;"Yes",Input!$P281=0,Input!$D$20=0),0,IF(AND(Input!$H$276="Yes",Input!$O$278&gt;= Input!$A281,Input!$Q281=Calcs!DR$823),-Input!$P281,0))</f>
        <v>0</v>
      </c>
      <c r="DS836" s="1180">
        <f>IF(OR(Input!$H$276&lt;&gt;"Yes",Input!$P281=0,Input!$D$20=0),0,IF(AND(Input!$H$276="Yes",Input!$O$278&gt;= Input!$A281,Input!$Q281=Calcs!DS$823),-Input!$P281,0))</f>
        <v>0</v>
      </c>
      <c r="DT836" s="1180">
        <f>IF(OR(Input!$H$276&lt;&gt;"Yes",Input!$P281=0,Input!$D$20=0),0,IF(AND(Input!$H$276="Yes",Input!$O$278&gt;= Input!$A281,Input!$Q281=Calcs!DT$823),-Input!$P281,0))</f>
        <v>0</v>
      </c>
      <c r="DU836" s="1180">
        <f>IF(OR(Input!$H$276&lt;&gt;"Yes",Input!$P281=0,Input!$D$20=0),0,IF(AND(Input!$H$276="Yes",Input!$O$278&gt;= Input!$A281,Input!$Q281=Calcs!DU$823),-Input!$P281,0))</f>
        <v>0</v>
      </c>
      <c r="DV836" s="1180">
        <f>IF(OR(Input!$H$276&lt;&gt;"Yes",Input!$P281=0,Input!$D$20=0),0,IF(AND(Input!$H$276="Yes",Input!$O$278&gt;= Input!$A281,Input!$Q281=Calcs!DV$823),-Input!$P281,0))</f>
        <v>0</v>
      </c>
      <c r="DW836" s="1180">
        <f>IF(OR(Input!$H$276&lt;&gt;"Yes",Input!$P281=0,Input!$D$20=0),0,IF(AND(Input!$H$276="Yes",Input!$O$278&gt;= Input!$A281,Input!$Q281=Calcs!DW$823),-Input!$P281,0))</f>
        <v>0</v>
      </c>
      <c r="DX836" s="1180">
        <f>IF(OR(Input!$H$276&lt;&gt;"Yes",Input!$P281=0,Input!$D$20=0),0,IF(AND(Input!$H$276="Yes",Input!$O$278&gt;= Input!$A281,Input!$Q281=Calcs!DX$823),-Input!$P281,0))</f>
        <v>0</v>
      </c>
      <c r="DY836" s="1180">
        <f>IF(OR(Input!$H$276&lt;&gt;"Yes",Input!$P281=0,Input!$D$20=0),0,IF(AND(Input!$H$276="Yes",Input!$O$278&gt;= Input!$A281,Input!$Q281=Calcs!DY$823),-Input!$P281,0))</f>
        <v>0</v>
      </c>
      <c r="DZ836" s="1180">
        <f>IF(OR(Input!$H$276&lt;&gt;"Yes",Input!$P281=0,Input!$D$20=0),0,IF(AND(Input!$H$276="Yes",Input!$O$278&gt;= Input!$A281,Input!$Q281=Calcs!DZ$823),-Input!$P281,0))</f>
        <v>0</v>
      </c>
      <c r="EA836" s="1180">
        <f>IF(OR(Input!$H$276&lt;&gt;"Yes",Input!$P281=0,Input!$D$20=0),0,IF(AND(Input!$H$276="Yes",Input!$O$278&gt;= Input!$A281,Input!$Q281=Calcs!EA$823),-Input!$P281,0))</f>
        <v>0</v>
      </c>
      <c r="EB836" s="1180">
        <f>IF(OR(Input!$H$276&lt;&gt;"Yes",Input!$P281=0,Input!$D$20=0),0,IF(AND(Input!$H$276="Yes",Input!$O$278&gt;= Input!$A281,Input!$Q281=Calcs!EB$823),-Input!$P281,0))</f>
        <v>0</v>
      </c>
      <c r="EC836" s="1180">
        <f>IF(OR(Input!$H$276&lt;&gt;"Yes",Input!$P281=0,Input!$D$20=0),0,IF(AND(Input!$H$276="Yes",Input!$O$278&gt;= Input!$A281,Input!$Q281=Calcs!EC$823),-Input!$P281,0))</f>
        <v>0</v>
      </c>
      <c r="ED836" s="1180">
        <f>IF(OR(Input!$H$276&lt;&gt;"Yes",Input!$P281=0,Input!$D$20=0),0,IF(AND(Input!$H$276="Yes",Input!$O$278&gt;= Input!$A281,Input!$Q281=Calcs!ED$823),-Input!$P281,0))</f>
        <v>0</v>
      </c>
      <c r="EE836" s="1180">
        <f>IF(OR(Input!$H$276&lt;&gt;"Yes",Input!$P281=0,Input!$D$20=0),0,IF(AND(Input!$H$276="Yes",Input!$O$278&gt;= Input!$A281,Input!$Q281=Calcs!EE$823),-Input!$P281,0))</f>
        <v>0</v>
      </c>
      <c r="EF836" s="1180">
        <f>IF(OR(Input!$H$276&lt;&gt;"Yes",Input!$P281=0,Input!$D$20=0),0,IF(AND(Input!$H$276="Yes",Input!$O$278&gt;= Input!$A281,Input!$Q281=Calcs!EF$823),-Input!$P281,0))</f>
        <v>0</v>
      </c>
      <c r="EG836" s="1180">
        <f>IF(OR(Input!$H$276&lt;&gt;"Yes",Input!$P281=0,Input!$D$20=0),0,IF(AND(Input!$H$276="Yes",Input!$O$278&gt;= Input!$A281,Input!$Q281=Calcs!EG$823),-Input!$P281,0))</f>
        <v>0</v>
      </c>
      <c r="EH836" s="1180">
        <f>IF(OR(Input!$H$276&lt;&gt;"Yes",Input!$P281=0,Input!$D$20=0),0,IF(AND(Input!$H$276="Yes",Input!$O$278&gt;= Input!$A281,Input!$Q281=Calcs!EH$823),-Input!$P281,0))</f>
        <v>0</v>
      </c>
      <c r="EI836" s="1180">
        <f>IF(OR(Input!$H$276&lt;&gt;"Yes",Input!$P281=0,Input!$D$20=0),0,IF(AND(Input!$H$276="Yes",Input!$O$278&gt;= Input!$A281,Input!$Q281=Calcs!EI$823),-Input!$P281,0))</f>
        <v>0</v>
      </c>
      <c r="EJ836" s="1180">
        <f>IF(OR(Input!$H$276&lt;&gt;"Yes",Input!$P281=0,Input!$D$20=0),0,IF(AND(Input!$H$276="Yes",Input!$O$278&gt;= Input!$A281,Input!$Q281=Calcs!EJ$823),-Input!$P281,0))</f>
        <v>0</v>
      </c>
      <c r="EK836" s="1180">
        <f>IF(OR(Input!$H$276&lt;&gt;"Yes",Input!$P281=0,Input!$D$20=0),0,IF(AND(Input!$H$276="Yes",Input!$O$278&gt;= Input!$A281,Input!$Q281=Calcs!EK$823),-Input!$P281,0))</f>
        <v>0</v>
      </c>
      <c r="EL836" s="1180">
        <f>IF(OR(Input!$H$276&lt;&gt;"Yes",Input!$P281=0,Input!$D$20=0),0,IF(AND(Input!$H$276="Yes",Input!$O$278&gt;= Input!$A281,Input!$Q281=Calcs!EL$823),-Input!$P281,0))</f>
        <v>0</v>
      </c>
      <c r="EM836" s="1180">
        <f>IF(OR(Input!$H$276&lt;&gt;"Yes",Input!$P281=0,Input!$D$20=0),0,IF(AND(Input!$H$276="Yes",Input!$O$278&gt;= Input!$A281,Input!$Q281=Calcs!EM$823),-Input!$P281,0))</f>
        <v>0</v>
      </c>
      <c r="EN836" s="1180">
        <f>IF(OR(Input!$H$276&lt;&gt;"Yes",Input!$P281=0,Input!$D$20=0),0,IF(AND(Input!$H$276="Yes",Input!$O$278&gt;= Input!$A281,Input!$Q281=Calcs!EN$823),-Input!$P281,0))</f>
        <v>0</v>
      </c>
      <c r="EO836" s="1180">
        <f>IF(OR(Input!$H$276&lt;&gt;"Yes",Input!$P281=0,Input!$D$20=0),0,IF(AND(Input!$H$276="Yes",Input!$O$278&gt;= Input!$A281,Input!$Q281=Calcs!EO$823),-Input!$P281,0))</f>
        <v>0</v>
      </c>
      <c r="EP836" s="1180">
        <f>IF(OR(Input!$H$276&lt;&gt;"Yes",Input!$P281=0,Input!$D$20=0),0,IF(AND(Input!$H$276="Yes",Input!$O$278&gt;= Input!$A281,Input!$Q281=Calcs!EP$823),-Input!$P281,0))</f>
        <v>0</v>
      </c>
      <c r="EQ836" s="1180">
        <f>IF(OR(Input!$H$276&lt;&gt;"Yes",Input!$P281=0,Input!$D$20=0),0,IF(AND(Input!$H$276="Yes",Input!$O$278&gt;= Input!$A281,Input!$Q281=Calcs!EQ$823),-Input!$P281,0))</f>
        <v>0</v>
      </c>
      <c r="ER836" s="1180">
        <f>IF(OR(Input!$H$276&lt;&gt;"Yes",Input!$P281=0,Input!$D$20=0),0,IF(AND(Input!$H$276="Yes",Input!$O$278&gt;= Input!$A281,Input!$Q281=Calcs!ER$823),-Input!$P281,0))</f>
        <v>0</v>
      </c>
      <c r="ES836" s="1180">
        <f>IF(OR(Input!$H$276&lt;&gt;"Yes",Input!$P281=0,Input!$D$20=0),0,IF(AND(Input!$H$276="Yes",Input!$O$278&gt;= Input!$A281,Input!$Q281=Calcs!ES$823),-Input!$P281,0))</f>
        <v>0</v>
      </c>
      <c r="ET836" s="1180">
        <f>IF(OR(Input!$H$276&lt;&gt;"Yes",Input!$P281=0,Input!$D$20=0),0,IF(AND(Input!$H$276="Yes",Input!$O$278&gt;= Input!$A281,Input!$Q281=Calcs!ET$823),-Input!$P281,0))</f>
        <v>0</v>
      </c>
      <c r="EU836" s="1180">
        <f>IF(OR(Input!$H$276&lt;&gt;"Yes",Input!$P281=0,Input!$D$20=0),0,IF(AND(Input!$H$276="Yes",Input!$O$278&gt;= Input!$A281,Input!$Q281=Calcs!EU$823),-Input!$P281,0))</f>
        <v>0</v>
      </c>
    </row>
    <row r="837" spans="11:151" ht="12" customHeight="1" x14ac:dyDescent="0.35">
      <c r="K837" s="28"/>
      <c r="L837" s="28"/>
      <c r="M837" s="28"/>
      <c r="N837" s="28"/>
      <c r="O837" s="28"/>
      <c r="P837" s="28"/>
      <c r="Q837" s="28"/>
      <c r="R837" s="31"/>
      <c r="S837" s="36"/>
      <c r="T837" s="26"/>
      <c r="U837" s="29"/>
      <c r="V837" s="29"/>
      <c r="W837" s="377"/>
      <c r="X837" s="376" t="str">
        <f t="shared" si="601"/>
        <v>Convertible Note #1</v>
      </c>
      <c r="Y837" s="378">
        <f>Input!W297</f>
        <v>0</v>
      </c>
      <c r="Z837" s="29"/>
      <c r="AA837" s="29">
        <v>1</v>
      </c>
      <c r="AB837" s="29" t="str">
        <f>IF(Input!M297="","Convertible Note #"&amp;AA837,Input!M297)</f>
        <v>Convertible Note #1</v>
      </c>
      <c r="AC837" s="290">
        <f>-SUM(AF837:EU839)</f>
        <v>0</v>
      </c>
      <c r="AD837" s="376" t="s">
        <v>547</v>
      </c>
      <c r="AE837" s="376" t="str">
        <f t="shared" si="609"/>
        <v>Convertible Note #1</v>
      </c>
      <c r="AF837" s="763">
        <f>IF(OR(Input!$H$294=0,Input!$P297=0,Input!$D$20=0),0,IF(AND(Input!$H$294="Yes",Input!$O$296&gt;= Input!$A297,Input!$Q297=Calcs!AF$823),-Input!$P297,0))</f>
        <v>0</v>
      </c>
      <c r="AG837" s="763">
        <f>IF(OR(Input!$H$294=0,Input!$P297=0,Input!$D$20=0),0,IF(AND(Input!$H$294="Yes",Input!$O$296&gt;= Input!$A297,Input!$Q297=Calcs!AG$823),-Input!$P297,0))</f>
        <v>0</v>
      </c>
      <c r="AH837" s="763">
        <f>IF(OR(Input!$H$294=0,Input!$P297=0,Input!$D$20=0),0,IF(AND(Input!$H$294="Yes",Input!$O$296&gt;= Input!$A297,Input!$Q297=Calcs!AH$823),-Input!$P297,0))</f>
        <v>0</v>
      </c>
      <c r="AI837" s="763">
        <f>IF(OR(Input!$H$294=0,Input!$P297=0,Input!$D$20=0),0,IF(AND(Input!$H$294="Yes",Input!$O$296&gt;= Input!$A297,Input!$Q297=Calcs!AI$823),-Input!$P297,0))</f>
        <v>0</v>
      </c>
      <c r="AJ837" s="763">
        <f>IF(OR(Input!$H$294=0,Input!$P297=0,Input!$D$20=0),0,IF(AND(Input!$H$294="Yes",Input!$O$296&gt;= Input!$A297,Input!$Q297=Calcs!AJ$823),-Input!$P297,0))</f>
        <v>0</v>
      </c>
      <c r="AK837" s="763">
        <f>IF(OR(Input!$H$294=0,Input!$P297=0,Input!$D$20=0),0,IF(AND(Input!$H$294="Yes",Input!$O$296&gt;= Input!$A297,Input!$Q297=Calcs!AK$823),-Input!$P297,0))</f>
        <v>0</v>
      </c>
      <c r="AL837" s="763">
        <f>IF(OR(Input!$H$294=0,Input!$P297=0,Input!$D$20=0),0,IF(AND(Input!$H$294="Yes",Input!$O$296&gt;= Input!$A297,Input!$Q297=Calcs!AL$823),-Input!$P297,0))</f>
        <v>0</v>
      </c>
      <c r="AM837" s="763">
        <f>IF(OR(Input!$H$294=0,Input!$P297=0,Input!$D$20=0),0,IF(AND(Input!$H$294="Yes",Input!$O$296&gt;= Input!$A297,Input!$Q297=Calcs!AM$823),-Input!$P297,0))</f>
        <v>0</v>
      </c>
      <c r="AN837" s="763">
        <f>IF(OR(Input!$H$294=0,Input!$P297=0,Input!$D$20=0),0,IF(AND(Input!$H$294="Yes",Input!$O$296&gt;= Input!$A297,Input!$Q297=Calcs!AN$823),-Input!$P297,0))</f>
        <v>0</v>
      </c>
      <c r="AO837" s="763">
        <f>IF(OR(Input!$H$294=0,Input!$P297=0,Input!$D$20=0),0,IF(AND(Input!$H$294="Yes",Input!$O$296&gt;= Input!$A297,Input!$Q297=Calcs!AO$823),-Input!$P297,0))</f>
        <v>0</v>
      </c>
      <c r="AP837" s="763">
        <f>IF(OR(Input!$H$294=0,Input!$P297=0,Input!$D$20=0),0,IF(AND(Input!$H$294="Yes",Input!$O$296&gt;= Input!$A297,Input!$Q297=Calcs!AP$823),-Input!$P297,0))</f>
        <v>0</v>
      </c>
      <c r="AQ837" s="763">
        <f>IF(OR(Input!$H$294=0,Input!$P297=0,Input!$D$20=0),0,IF(AND(Input!$H$294="Yes",Input!$O$296&gt;= Input!$A297,Input!$Q297=Calcs!AQ$823),-Input!$P297,0))</f>
        <v>0</v>
      </c>
      <c r="AR837" s="763">
        <f>IF(OR(Input!$H$294=0,Input!$P297=0,Input!$D$20=0),0,IF(AND(Input!$H$294="Yes",Input!$O$296&gt;= Input!$A297,Input!$Q297=Calcs!AR$823),-Input!$P297,0))</f>
        <v>0</v>
      </c>
      <c r="AS837" s="763">
        <f>IF(OR(Input!$H$294=0,Input!$P297=0,Input!$D$20=0),0,IF(AND(Input!$H$294="Yes",Input!$O$296&gt;= Input!$A297,Input!$Q297=Calcs!AS$823),-Input!$P297,0))</f>
        <v>0</v>
      </c>
      <c r="AT837" s="763">
        <f>IF(OR(Input!$H$294=0,Input!$P297=0,Input!$D$20=0),0,IF(AND(Input!$H$294="Yes",Input!$O$296&gt;= Input!$A297,Input!$Q297=Calcs!AT$823),-Input!$P297,0))</f>
        <v>0</v>
      </c>
      <c r="AU837" s="763">
        <f>IF(OR(Input!$H$294=0,Input!$P297=0,Input!$D$20=0),0,IF(AND(Input!$H$294="Yes",Input!$O$296&gt;= Input!$A297,Input!$Q297=Calcs!AU$823),-Input!$P297,0))</f>
        <v>0</v>
      </c>
      <c r="AV837" s="763">
        <f>IF(OR(Input!$H$294=0,Input!$P297=0,Input!$D$20=0),0,IF(AND(Input!$H$294="Yes",Input!$O$296&gt;= Input!$A297,Input!$Q297=Calcs!AV$823),-Input!$P297,0))</f>
        <v>0</v>
      </c>
      <c r="AW837" s="763">
        <f>IF(OR(Input!$H$294=0,Input!$P297=0,Input!$D$20=0),0,IF(AND(Input!$H$294="Yes",Input!$O$296&gt;= Input!$A297,Input!$Q297=Calcs!AW$823),-Input!$P297,0))</f>
        <v>0</v>
      </c>
      <c r="AX837" s="763">
        <f>IF(OR(Input!$H$294=0,Input!$P297=0,Input!$D$20=0),0,IF(AND(Input!$H$294="Yes",Input!$O$296&gt;= Input!$A297,Input!$Q297=Calcs!AX$823),-Input!$P297,0))</f>
        <v>0</v>
      </c>
      <c r="AY837" s="763">
        <f>IF(OR(Input!$H$294=0,Input!$P297=0,Input!$D$20=0),0,IF(AND(Input!$H$294="Yes",Input!$O$296&gt;= Input!$A297,Input!$Q297=Calcs!AY$823),-Input!$P297,0))</f>
        <v>0</v>
      </c>
      <c r="AZ837" s="763">
        <f>IF(OR(Input!$H$294=0,Input!$P297=0,Input!$D$20=0),0,IF(AND(Input!$H$294="Yes",Input!$O$296&gt;= Input!$A297,Input!$Q297=Calcs!AZ$823),-Input!$P297,0))</f>
        <v>0</v>
      </c>
      <c r="BA837" s="763">
        <f>IF(OR(Input!$H$294=0,Input!$P297=0,Input!$D$20=0),0,IF(AND(Input!$H$294="Yes",Input!$O$296&gt;= Input!$A297,Input!$Q297=Calcs!BA$823),-Input!$P297,0))</f>
        <v>0</v>
      </c>
      <c r="BB837" s="763">
        <f>IF(OR(Input!$H$294=0,Input!$P297=0,Input!$D$20=0),0,IF(AND(Input!$H$294="Yes",Input!$O$296&gt;= Input!$A297,Input!$Q297=Calcs!BB$823),-Input!$P297,0))</f>
        <v>0</v>
      </c>
      <c r="BC837" s="763">
        <f>IF(OR(Input!$H$294=0,Input!$P297=0,Input!$D$20=0),0,IF(AND(Input!$H$294="Yes",Input!$O$296&gt;= Input!$A297,Input!$Q297=Calcs!BC$823),-Input!$P297,0))</f>
        <v>0</v>
      </c>
      <c r="BD837" s="763">
        <f>IF(OR(Input!$H$294=0,Input!$P297=0,Input!$D$20=0),0,IF(AND(Input!$H$294="Yes",Input!$O$296&gt;= Input!$A297,Input!$Q297=Calcs!BD$823),-Input!$P297,0))</f>
        <v>0</v>
      </c>
      <c r="BE837" s="763">
        <f>IF(OR(Input!$H$294=0,Input!$P297=0,Input!$D$20=0),0,IF(AND(Input!$H$294="Yes",Input!$O$296&gt;= Input!$A297,Input!$Q297=Calcs!BE$823),-Input!$P297,0))</f>
        <v>0</v>
      </c>
      <c r="BF837" s="763">
        <f>IF(OR(Input!$H$294=0,Input!$P297=0,Input!$D$20=0),0,IF(AND(Input!$H$294="Yes",Input!$O$296&gt;= Input!$A297,Input!$Q297=Calcs!BF$823),-Input!$P297,0))</f>
        <v>0</v>
      </c>
      <c r="BG837" s="763">
        <f>IF(OR(Input!$H$294=0,Input!$P297=0,Input!$D$20=0),0,IF(AND(Input!$H$294="Yes",Input!$O$296&gt;= Input!$A297,Input!$Q297=Calcs!BG$823),-Input!$P297,0))</f>
        <v>0</v>
      </c>
      <c r="BH837" s="763">
        <f>IF(OR(Input!$H$294=0,Input!$P297=0,Input!$D$20=0),0,IF(AND(Input!$H$294="Yes",Input!$O$296&gt;= Input!$A297,Input!$Q297=Calcs!BH$823),-Input!$P297,0))</f>
        <v>0</v>
      </c>
      <c r="BI837" s="763">
        <f>IF(OR(Input!$H$294=0,Input!$P297=0,Input!$D$20=0),0,IF(AND(Input!$H$294="Yes",Input!$O$296&gt;= Input!$A297,Input!$Q297=Calcs!BI$823),-Input!$P297,0))</f>
        <v>0</v>
      </c>
      <c r="BJ837" s="763">
        <f>IF(OR(Input!$H$294=0,Input!$P297=0,Input!$D$20=0),0,IF(AND(Input!$H$294="Yes",Input!$O$296&gt;= Input!$A297,Input!$Q297=Calcs!BJ$823),-Input!$P297,0))</f>
        <v>0</v>
      </c>
      <c r="BK837" s="763">
        <f>IF(OR(Input!$H$294=0,Input!$P297=0,Input!$D$20=0),0,IF(AND(Input!$H$294="Yes",Input!$O$296&gt;= Input!$A297,Input!$Q297=Calcs!BK$823),-Input!$P297,0))</f>
        <v>0</v>
      </c>
      <c r="BL837" s="763">
        <f>IF(OR(Input!$H$294=0,Input!$P297=0,Input!$D$20=0),0,IF(AND(Input!$H$294="Yes",Input!$O$296&gt;= Input!$A297,Input!$Q297=Calcs!BL$823),-Input!$P297,0))</f>
        <v>0</v>
      </c>
      <c r="BM837" s="763">
        <f>IF(OR(Input!$H$294=0,Input!$P297=0,Input!$D$20=0),0,IF(AND(Input!$H$294="Yes",Input!$O$296&gt;= Input!$A297,Input!$Q297=Calcs!BM$823),-Input!$P297,0))</f>
        <v>0</v>
      </c>
      <c r="BN837" s="763">
        <f>IF(OR(Input!$H$294=0,Input!$P297=0,Input!$D$20=0),0,IF(AND(Input!$H$294="Yes",Input!$O$296&gt;= Input!$A297,Input!$Q297=Calcs!BN$823),-Input!$P297,0))</f>
        <v>0</v>
      </c>
      <c r="BO837" s="763">
        <f>IF(OR(Input!$H$294=0,Input!$P297=0,Input!$D$20=0),0,IF(AND(Input!$H$294="Yes",Input!$O$296&gt;= Input!$A297,Input!$Q297=Calcs!BO$823),-Input!$P297,0))</f>
        <v>0</v>
      </c>
      <c r="BP837" s="763">
        <f>IF(OR(Input!$H$294=0,Input!$P297=0,Input!$D$20=0),0,IF(AND(Input!$H$294="Yes",Input!$O$296&gt;= Input!$A297,Input!$Q297=Calcs!BP$823),-Input!$P297,0))</f>
        <v>0</v>
      </c>
      <c r="BQ837" s="763">
        <f>IF(OR(Input!$H$294=0,Input!$P297=0,Input!$D$20=0),0,IF(AND(Input!$H$294="Yes",Input!$O$296&gt;= Input!$A297,Input!$Q297=Calcs!BQ$823),-Input!$P297,0))</f>
        <v>0</v>
      </c>
      <c r="BR837" s="763">
        <f>IF(OR(Input!$H$294=0,Input!$P297=0,Input!$D$20=0),0,IF(AND(Input!$H$294="Yes",Input!$O$296&gt;= Input!$A297,Input!$Q297=Calcs!BR$823),-Input!$P297,0))</f>
        <v>0</v>
      </c>
      <c r="BS837" s="763">
        <f>IF(OR(Input!$H$294=0,Input!$P297=0,Input!$D$20=0),0,IF(AND(Input!$H$294="Yes",Input!$O$296&gt;= Input!$A297,Input!$Q297=Calcs!BS$823),-Input!$P297,0))</f>
        <v>0</v>
      </c>
      <c r="BT837" s="763">
        <f>IF(OR(Input!$H$294=0,Input!$P297=0,Input!$D$20=0),0,IF(AND(Input!$H$294="Yes",Input!$O$296&gt;= Input!$A297,Input!$Q297=Calcs!BT$823),-Input!$P297,0))</f>
        <v>0</v>
      </c>
      <c r="BU837" s="763">
        <f>IF(OR(Input!$H$294=0,Input!$P297=0,Input!$D$20=0),0,IF(AND(Input!$H$294="Yes",Input!$O$296&gt;= Input!$A297,Input!$Q297=Calcs!BU$823),-Input!$P297,0))</f>
        <v>0</v>
      </c>
      <c r="BV837" s="763">
        <f>IF(OR(Input!$H$294=0,Input!$P297=0,Input!$D$20=0),0,IF(AND(Input!$H$294="Yes",Input!$O$296&gt;= Input!$A297,Input!$Q297=Calcs!BV$823),-Input!$P297,0))</f>
        <v>0</v>
      </c>
      <c r="BW837" s="763">
        <f>IF(OR(Input!$H$294=0,Input!$P297=0,Input!$D$20=0),0,IF(AND(Input!$H$294="Yes",Input!$O$296&gt;= Input!$A297,Input!$Q297=Calcs!BW$823),-Input!$P297,0))</f>
        <v>0</v>
      </c>
      <c r="BX837" s="763">
        <f>IF(OR(Input!$H$294=0,Input!$P297=0,Input!$D$20=0),0,IF(AND(Input!$H$294="Yes",Input!$O$296&gt;= Input!$A297,Input!$Q297=Calcs!BX$823),-Input!$P297,0))</f>
        <v>0</v>
      </c>
      <c r="BY837" s="763">
        <f>IF(OR(Input!$H$294=0,Input!$P297=0,Input!$D$20=0),0,IF(AND(Input!$H$294="Yes",Input!$O$296&gt;= Input!$A297,Input!$Q297=Calcs!BY$823),-Input!$P297,0))</f>
        <v>0</v>
      </c>
      <c r="BZ837" s="763">
        <f>IF(OR(Input!$H$294=0,Input!$P297=0,Input!$D$20=0),0,IF(AND(Input!$H$294="Yes",Input!$O$296&gt;= Input!$A297,Input!$Q297=Calcs!BZ$823),-Input!$P297,0))</f>
        <v>0</v>
      </c>
      <c r="CA837" s="763">
        <f>IF(OR(Input!$H$294=0,Input!$P297=0,Input!$D$20=0),0,IF(AND(Input!$H$294="Yes",Input!$O$296&gt;= Input!$A297,Input!$Q297=Calcs!CA$823),-Input!$P297,0))</f>
        <v>0</v>
      </c>
      <c r="CB837" s="763">
        <f>IF(OR(Input!$H$294=0,Input!$P297=0,Input!$D$20=0),0,IF(AND(Input!$H$294="Yes",Input!$O$296&gt;= Input!$A297,Input!$Q297=Calcs!CB$823),-Input!$P297,0))</f>
        <v>0</v>
      </c>
      <c r="CC837" s="763">
        <f>IF(OR(Input!$H$294=0,Input!$P297=0,Input!$D$20=0),0,IF(AND(Input!$H$294="Yes",Input!$O$296&gt;= Input!$A297,Input!$Q297=Calcs!CC$823),-Input!$P297,0))</f>
        <v>0</v>
      </c>
      <c r="CD837" s="763">
        <f>IF(OR(Input!$H$294=0,Input!$P297=0,Input!$D$20=0),0,IF(AND(Input!$H$294="Yes",Input!$O$296&gt;= Input!$A297,Input!$Q297=Calcs!CD$823),-Input!$P297,0))</f>
        <v>0</v>
      </c>
      <c r="CE837" s="763">
        <f>IF(OR(Input!$H$294=0,Input!$P297=0,Input!$D$20=0),0,IF(AND(Input!$H$294="Yes",Input!$O$296&gt;= Input!$A297,Input!$Q297=Calcs!CE$823),-Input!$P297,0))</f>
        <v>0</v>
      </c>
      <c r="CF837" s="763">
        <f>IF(OR(Input!$H$294=0,Input!$P297=0,Input!$D$20=0),0,IF(AND(Input!$H$294="Yes",Input!$O$296&gt;= Input!$A297,Input!$Q297=Calcs!CF$823),-Input!$P297,0))</f>
        <v>0</v>
      </c>
      <c r="CG837" s="763">
        <f>IF(OR(Input!$H$294=0,Input!$P297=0,Input!$D$20=0),0,IF(AND(Input!$H$294="Yes",Input!$O$296&gt;= Input!$A297,Input!$Q297=Calcs!CG$823),-Input!$P297,0))</f>
        <v>0</v>
      </c>
      <c r="CH837" s="763">
        <f>IF(OR(Input!$H$294=0,Input!$P297=0,Input!$D$20=0),0,IF(AND(Input!$H$294="Yes",Input!$O$296&gt;= Input!$A297,Input!$Q297=Calcs!CH$823),-Input!$P297,0))</f>
        <v>0</v>
      </c>
      <c r="CI837" s="763">
        <f>IF(OR(Input!$H$294=0,Input!$P297=0,Input!$D$20=0),0,IF(AND(Input!$H$294="Yes",Input!$O$296&gt;= Input!$A297,Input!$Q297=Calcs!CI$823),-Input!$P297,0))</f>
        <v>0</v>
      </c>
      <c r="CJ837" s="763">
        <f>IF(OR(Input!$H$294=0,Input!$P297=0,Input!$D$20=0),0,IF(AND(Input!$H$294="Yes",Input!$O$296&gt;= Input!$A297,Input!$Q297=Calcs!CJ$823),-Input!$P297,0))</f>
        <v>0</v>
      </c>
      <c r="CK837" s="763">
        <f>IF(OR(Input!$H$294=0,Input!$P297=0,Input!$D$20=0),0,IF(AND(Input!$H$294="Yes",Input!$O$296&gt;= Input!$A297,Input!$Q297=Calcs!CK$823),-Input!$P297,0))</f>
        <v>0</v>
      </c>
      <c r="CL837" s="763">
        <f>IF(OR(Input!$H$294=0,Input!$P297=0,Input!$D$20=0),0,IF(AND(Input!$H$294="Yes",Input!$O$296&gt;= Input!$A297,Input!$Q297=Calcs!CL$823),-Input!$P297,0))</f>
        <v>0</v>
      </c>
      <c r="CM837" s="763">
        <f>IF(OR(Input!$H$294=0,Input!$P297=0,Input!$D$20=0),0,IF(AND(Input!$H$294="Yes",Input!$O$296&gt;= Input!$A297,Input!$Q297=Calcs!CM$823),-Input!$P297,0))</f>
        <v>0</v>
      </c>
      <c r="CN837" s="763">
        <f>IF(OR(Input!$H$294=0,Input!$P297=0,Input!$D$20=0),0,IF(AND(Input!$H$294="Yes",Input!$O$296&gt;= Input!$A297,Input!$Q297=Calcs!CN$823),-Input!$P297,0))</f>
        <v>0</v>
      </c>
      <c r="CO837" s="763">
        <f>IF(OR(Input!$H$294=0,Input!$P297=0,Input!$D$20=0),0,IF(AND(Input!$H$294="Yes",Input!$O$296&gt;= Input!$A297,Input!$Q297=Calcs!CO$823),-Input!$P297,0))</f>
        <v>0</v>
      </c>
      <c r="CP837" s="763">
        <f>IF(OR(Input!$H$294=0,Input!$P297=0,Input!$D$20=0),0,IF(AND(Input!$H$294="Yes",Input!$O$296&gt;= Input!$A297,Input!$Q297=Calcs!CP$823),-Input!$P297,0))</f>
        <v>0</v>
      </c>
      <c r="CQ837" s="763">
        <f>IF(OR(Input!$H$294=0,Input!$P297=0,Input!$D$20=0),0,IF(AND(Input!$H$294="Yes",Input!$O$296&gt;= Input!$A297,Input!$Q297=Calcs!CQ$823),-Input!$P297,0))</f>
        <v>0</v>
      </c>
      <c r="CR837" s="763">
        <f>IF(OR(Input!$H$294=0,Input!$P297=0,Input!$D$20=0),0,IF(AND(Input!$H$294="Yes",Input!$O$296&gt;= Input!$A297,Input!$Q297=Calcs!CR$823),-Input!$P297,0))</f>
        <v>0</v>
      </c>
      <c r="CS837" s="763">
        <f>IF(OR(Input!$H$294=0,Input!$P297=0,Input!$D$20=0),0,IF(AND(Input!$H$294="Yes",Input!$O$296&gt;= Input!$A297,Input!$Q297=Calcs!CS$823),-Input!$P297,0))</f>
        <v>0</v>
      </c>
      <c r="CT837" s="763">
        <f>IF(OR(Input!$H$294=0,Input!$P297=0,Input!$D$20=0),0,IF(AND(Input!$H$294="Yes",Input!$O$296&gt;= Input!$A297,Input!$Q297=Calcs!CT$823),-Input!$P297,0))</f>
        <v>0</v>
      </c>
      <c r="CU837" s="763">
        <f>IF(OR(Input!$H$294=0,Input!$P297=0,Input!$D$20=0),0,IF(AND(Input!$H$294="Yes",Input!$O$296&gt;= Input!$A297,Input!$Q297=Calcs!CU$823),-Input!$P297,0))</f>
        <v>0</v>
      </c>
      <c r="CV837" s="763">
        <f>IF(OR(Input!$H$294=0,Input!$P297=0,Input!$D$20=0),0,IF(AND(Input!$H$294="Yes",Input!$O$296&gt;= Input!$A297,Input!$Q297=Calcs!CV$823),-Input!$P297,0))</f>
        <v>0</v>
      </c>
      <c r="CW837" s="763">
        <f>IF(OR(Input!$H$294=0,Input!$P297=0,Input!$D$20=0),0,IF(AND(Input!$H$294="Yes",Input!$O$296&gt;= Input!$A297,Input!$Q297=Calcs!CW$823),-Input!$P297,0))</f>
        <v>0</v>
      </c>
      <c r="CX837" s="763">
        <f>IF(OR(Input!$H$294=0,Input!$P297=0,Input!$D$20=0),0,IF(AND(Input!$H$294="Yes",Input!$O$296&gt;= Input!$A297,Input!$Q297=Calcs!CX$823),-Input!$P297,0))</f>
        <v>0</v>
      </c>
      <c r="CY837" s="763">
        <f>IF(OR(Input!$H$294=0,Input!$P297=0,Input!$D$20=0),0,IF(AND(Input!$H$294="Yes",Input!$O$296&gt;= Input!$A297,Input!$Q297=Calcs!CY$823),-Input!$P297,0))</f>
        <v>0</v>
      </c>
      <c r="CZ837" s="763">
        <f>IF(OR(Input!$H$294=0,Input!$P297=0,Input!$D$20=0),0,IF(AND(Input!$H$294="Yes",Input!$O$296&gt;= Input!$A297,Input!$Q297=Calcs!CZ$823),-Input!$P297,0))</f>
        <v>0</v>
      </c>
      <c r="DA837" s="763">
        <f>IF(OR(Input!$H$294=0,Input!$P297=0,Input!$D$20=0),0,IF(AND(Input!$H$294="Yes",Input!$O$296&gt;= Input!$A297,Input!$Q297=Calcs!DA$823),-Input!$P297,0))</f>
        <v>0</v>
      </c>
      <c r="DB837" s="763">
        <f>IF(OR(Input!$H$294=0,Input!$P297=0,Input!$D$20=0),0,IF(AND(Input!$H$294="Yes",Input!$O$296&gt;= Input!$A297,Input!$Q297=Calcs!DB$823),-Input!$P297,0))</f>
        <v>0</v>
      </c>
      <c r="DC837" s="763">
        <f>IF(OR(Input!$H$294=0,Input!$P297=0,Input!$D$20=0),0,IF(AND(Input!$H$294="Yes",Input!$O$296&gt;= Input!$A297,Input!$Q297=Calcs!DC$823),-Input!$P297,0))</f>
        <v>0</v>
      </c>
      <c r="DD837" s="763">
        <f>IF(OR(Input!$H$294=0,Input!$P297=0,Input!$D$20=0),0,IF(AND(Input!$H$294="Yes",Input!$O$296&gt;= Input!$A297,Input!$Q297=Calcs!DD$823),-Input!$P297,0))</f>
        <v>0</v>
      </c>
      <c r="DE837" s="763">
        <f>IF(OR(Input!$H$294=0,Input!$P297=0,Input!$D$20=0),0,IF(AND(Input!$H$294="Yes",Input!$O$296&gt;= Input!$A297,Input!$Q297=Calcs!DE$823),-Input!$P297,0))</f>
        <v>0</v>
      </c>
      <c r="DF837" s="763">
        <f>IF(OR(Input!$H$294=0,Input!$P297=0,Input!$D$20=0),0,IF(AND(Input!$H$294="Yes",Input!$O$296&gt;= Input!$A297,Input!$Q297=Calcs!DF$823),-Input!$P297,0))</f>
        <v>0</v>
      </c>
      <c r="DG837" s="763">
        <f>IF(OR(Input!$H$294=0,Input!$P297=0,Input!$D$20=0),0,IF(AND(Input!$H$294="Yes",Input!$O$296&gt;= Input!$A297,Input!$Q297=Calcs!DG$823),-Input!$P297,0))</f>
        <v>0</v>
      </c>
      <c r="DH837" s="763">
        <f>IF(OR(Input!$H$294=0,Input!$P297=0,Input!$D$20=0),0,IF(AND(Input!$H$294="Yes",Input!$O$296&gt;= Input!$A297,Input!$Q297=Calcs!DH$823),-Input!$P297,0))</f>
        <v>0</v>
      </c>
      <c r="DI837" s="763">
        <f>IF(OR(Input!$H$294=0,Input!$P297=0,Input!$D$20=0),0,IF(AND(Input!$H$294="Yes",Input!$O$296&gt;= Input!$A297,Input!$Q297=Calcs!DI$823),-Input!$P297,0))</f>
        <v>0</v>
      </c>
      <c r="DJ837" s="763">
        <f>IF(OR(Input!$H$294=0,Input!$P297=0,Input!$D$20=0),0,IF(AND(Input!$H$294="Yes",Input!$O$296&gt;= Input!$A297,Input!$Q297=Calcs!DJ$823),-Input!$P297,0))</f>
        <v>0</v>
      </c>
      <c r="DK837" s="763">
        <f>IF(OR(Input!$H$294=0,Input!$P297=0,Input!$D$20=0),0,IF(AND(Input!$H$294="Yes",Input!$O$296&gt;= Input!$A297,Input!$Q297=Calcs!DK$823),-Input!$P297,0))</f>
        <v>0</v>
      </c>
      <c r="DL837" s="763">
        <f>IF(OR(Input!$H$294=0,Input!$P297=0,Input!$D$20=0),0,IF(AND(Input!$H$294="Yes",Input!$O$296&gt;= Input!$A297,Input!$Q297=Calcs!DL$823),-Input!$P297,0))</f>
        <v>0</v>
      </c>
      <c r="DM837" s="763">
        <f>IF(OR(Input!$H$294=0,Input!$P297=0,Input!$D$20=0),0,IF(AND(Input!$H$294="Yes",Input!$O$296&gt;= Input!$A297,Input!$Q297=Calcs!DM$823),-Input!$P297,0))</f>
        <v>0</v>
      </c>
      <c r="DN837" s="763">
        <f>IF(OR(Input!$H$294=0,Input!$P297=0,Input!$D$20=0),0,IF(AND(Input!$H$294="Yes",Input!$O$296&gt;= Input!$A297,Input!$Q297=Calcs!DN$823),-Input!$P297,0))</f>
        <v>0</v>
      </c>
      <c r="DO837" s="763">
        <f>IF(OR(Input!$H$294=0,Input!$P297=0,Input!$D$20=0),0,IF(AND(Input!$H$294="Yes",Input!$O$296&gt;= Input!$A297,Input!$Q297=Calcs!DO$823),-Input!$P297,0))</f>
        <v>0</v>
      </c>
      <c r="DP837" s="763">
        <f>IF(OR(Input!$H$294=0,Input!$P297=0,Input!$D$20=0),0,IF(AND(Input!$H$294="Yes",Input!$O$296&gt;= Input!$A297,Input!$Q297=Calcs!DP$823),-Input!$P297,0))</f>
        <v>0</v>
      </c>
      <c r="DQ837" s="763">
        <f>IF(OR(Input!$H$294=0,Input!$P297=0,Input!$D$20=0),0,IF(AND(Input!$H$294="Yes",Input!$O$296&gt;= Input!$A297,Input!$Q297=Calcs!DQ$823),-Input!$P297,0))</f>
        <v>0</v>
      </c>
      <c r="DR837" s="763">
        <f>IF(OR(Input!$H$294=0,Input!$P297=0,Input!$D$20=0),0,IF(AND(Input!$H$294="Yes",Input!$O$296&gt;= Input!$A297,Input!$Q297=Calcs!DR$823),-Input!$P297,0))</f>
        <v>0</v>
      </c>
      <c r="DS837" s="763">
        <f>IF(OR(Input!$H$294=0,Input!$P297=0,Input!$D$20=0),0,IF(AND(Input!$H$294="Yes",Input!$O$296&gt;= Input!$A297,Input!$Q297=Calcs!DS$823),-Input!$P297,0))</f>
        <v>0</v>
      </c>
      <c r="DT837" s="763">
        <f>IF(OR(Input!$H$294=0,Input!$P297=0,Input!$D$20=0),0,IF(AND(Input!$H$294="Yes",Input!$O$296&gt;= Input!$A297,Input!$Q297=Calcs!DT$823),-Input!$P297,0))</f>
        <v>0</v>
      </c>
      <c r="DU837" s="763">
        <f>IF(OR(Input!$H$294=0,Input!$P297=0,Input!$D$20=0),0,IF(AND(Input!$H$294="Yes",Input!$O$296&gt;= Input!$A297,Input!$Q297=Calcs!DU$823),-Input!$P297,0))</f>
        <v>0</v>
      </c>
      <c r="DV837" s="763">
        <f>IF(OR(Input!$H$294=0,Input!$P297=0,Input!$D$20=0),0,IF(AND(Input!$H$294="Yes",Input!$O$296&gt;= Input!$A297,Input!$Q297=Calcs!DV$823),-Input!$P297,0))</f>
        <v>0</v>
      </c>
      <c r="DW837" s="763">
        <f>IF(OR(Input!$H$294=0,Input!$P297=0,Input!$D$20=0),0,IF(AND(Input!$H$294="Yes",Input!$O$296&gt;= Input!$A297,Input!$Q297=Calcs!DW$823),-Input!$P297,0))</f>
        <v>0</v>
      </c>
      <c r="DX837" s="763">
        <f>IF(OR(Input!$H$294=0,Input!$P297=0,Input!$D$20=0),0,IF(AND(Input!$H$294="Yes",Input!$O$296&gt;= Input!$A297,Input!$Q297=Calcs!DX$823),-Input!$P297,0))</f>
        <v>0</v>
      </c>
      <c r="DY837" s="763">
        <f>IF(OR(Input!$H$294=0,Input!$P297=0,Input!$D$20=0),0,IF(AND(Input!$H$294="Yes",Input!$O$296&gt;= Input!$A297,Input!$Q297=Calcs!DY$823),-Input!$P297,0))</f>
        <v>0</v>
      </c>
      <c r="DZ837" s="763">
        <f>IF(OR(Input!$H$294=0,Input!$P297=0,Input!$D$20=0),0,IF(AND(Input!$H$294="Yes",Input!$O$296&gt;= Input!$A297,Input!$Q297=Calcs!DZ$823),-Input!$P297,0))</f>
        <v>0</v>
      </c>
      <c r="EA837" s="763">
        <f>IF(OR(Input!$H$294=0,Input!$P297=0,Input!$D$20=0),0,IF(AND(Input!$H$294="Yes",Input!$O$296&gt;= Input!$A297,Input!$Q297=Calcs!EA$823),-Input!$P297,0))</f>
        <v>0</v>
      </c>
      <c r="EB837" s="763">
        <f>IF(OR(Input!$H$294=0,Input!$P297=0,Input!$D$20=0),0,IF(AND(Input!$H$294="Yes",Input!$O$296&gt;= Input!$A297,Input!$Q297=Calcs!EB$823),-Input!$P297,0))</f>
        <v>0</v>
      </c>
      <c r="EC837" s="763">
        <f>IF(OR(Input!$H$294=0,Input!$P297=0,Input!$D$20=0),0,IF(AND(Input!$H$294="Yes",Input!$O$296&gt;= Input!$A297,Input!$Q297=Calcs!EC$823),-Input!$P297,0))</f>
        <v>0</v>
      </c>
      <c r="ED837" s="763">
        <f>IF(OR(Input!$H$294=0,Input!$P297=0,Input!$D$20=0),0,IF(AND(Input!$H$294="Yes",Input!$O$296&gt;= Input!$A297,Input!$Q297=Calcs!ED$823),-Input!$P297,0))</f>
        <v>0</v>
      </c>
      <c r="EE837" s="763">
        <f>IF(OR(Input!$H$294=0,Input!$P297=0,Input!$D$20=0),0,IF(AND(Input!$H$294="Yes",Input!$O$296&gt;= Input!$A297,Input!$Q297=Calcs!EE$823),-Input!$P297,0))</f>
        <v>0</v>
      </c>
      <c r="EF837" s="763">
        <f>IF(OR(Input!$H$294=0,Input!$P297=0,Input!$D$20=0),0,IF(AND(Input!$H$294="Yes",Input!$O$296&gt;= Input!$A297,Input!$Q297=Calcs!EF$823),-Input!$P297,0))</f>
        <v>0</v>
      </c>
      <c r="EG837" s="763">
        <f>IF(OR(Input!$H$294=0,Input!$P297=0,Input!$D$20=0),0,IF(AND(Input!$H$294="Yes",Input!$O$296&gt;= Input!$A297,Input!$Q297=Calcs!EG$823),-Input!$P297,0))</f>
        <v>0</v>
      </c>
      <c r="EH837" s="763">
        <f>IF(OR(Input!$H$294=0,Input!$P297=0,Input!$D$20=0),0,IF(AND(Input!$H$294="Yes",Input!$O$296&gt;= Input!$A297,Input!$Q297=Calcs!EH$823),-Input!$P297,0))</f>
        <v>0</v>
      </c>
      <c r="EI837" s="763">
        <f>IF(OR(Input!$H$294=0,Input!$P297=0,Input!$D$20=0),0,IF(AND(Input!$H$294="Yes",Input!$O$296&gt;= Input!$A297,Input!$Q297=Calcs!EI$823),-Input!$P297,0))</f>
        <v>0</v>
      </c>
      <c r="EJ837" s="763">
        <f>IF(OR(Input!$H$294=0,Input!$P297=0,Input!$D$20=0),0,IF(AND(Input!$H$294="Yes",Input!$O$296&gt;= Input!$A297,Input!$Q297=Calcs!EJ$823),-Input!$P297,0))</f>
        <v>0</v>
      </c>
      <c r="EK837" s="763">
        <f>IF(OR(Input!$H$294=0,Input!$P297=0,Input!$D$20=0),0,IF(AND(Input!$H$294="Yes",Input!$O$296&gt;= Input!$A297,Input!$Q297=Calcs!EK$823),-Input!$P297,0))</f>
        <v>0</v>
      </c>
      <c r="EL837" s="763">
        <f>IF(OR(Input!$H$294=0,Input!$P297=0,Input!$D$20=0),0,IF(AND(Input!$H$294="Yes",Input!$O$296&gt;= Input!$A297,Input!$Q297=Calcs!EL$823),-Input!$P297,0))</f>
        <v>0</v>
      </c>
      <c r="EM837" s="763">
        <f>IF(OR(Input!$H$294=0,Input!$P297=0,Input!$D$20=0),0,IF(AND(Input!$H$294="Yes",Input!$O$296&gt;= Input!$A297,Input!$Q297=Calcs!EM$823),-Input!$P297,0))</f>
        <v>0</v>
      </c>
      <c r="EN837" s="763">
        <f>IF(OR(Input!$H$294=0,Input!$P297=0,Input!$D$20=0),0,IF(AND(Input!$H$294="Yes",Input!$O$296&gt;= Input!$A297,Input!$Q297=Calcs!EN$823),-Input!$P297,0))</f>
        <v>0</v>
      </c>
      <c r="EO837" s="763">
        <f>IF(OR(Input!$H$294=0,Input!$P297=0,Input!$D$20=0),0,IF(AND(Input!$H$294="Yes",Input!$O$296&gt;= Input!$A297,Input!$Q297=Calcs!EO$823),-Input!$P297,0))</f>
        <v>0</v>
      </c>
      <c r="EP837" s="763">
        <f>IF(OR(Input!$H$294=0,Input!$P297=0,Input!$D$20=0),0,IF(AND(Input!$H$294="Yes",Input!$O$296&gt;= Input!$A297,Input!$Q297=Calcs!EP$823),-Input!$P297,0))</f>
        <v>0</v>
      </c>
      <c r="EQ837" s="763">
        <f>IF(OR(Input!$H$294=0,Input!$P297=0,Input!$D$20=0),0,IF(AND(Input!$H$294="Yes",Input!$O$296&gt;= Input!$A297,Input!$Q297=Calcs!EQ$823),-Input!$P297,0))</f>
        <v>0</v>
      </c>
      <c r="ER837" s="763">
        <f>IF(OR(Input!$H$294=0,Input!$P297=0,Input!$D$20=0),0,IF(AND(Input!$H$294="Yes",Input!$O$296&gt;= Input!$A297,Input!$Q297=Calcs!ER$823),-Input!$P297,0))</f>
        <v>0</v>
      </c>
      <c r="ES837" s="763">
        <f>IF(OR(Input!$H$294=0,Input!$P297=0,Input!$D$20=0),0,IF(AND(Input!$H$294="Yes",Input!$O$296&gt;= Input!$A297,Input!$Q297=Calcs!ES$823),-Input!$P297,0))</f>
        <v>0</v>
      </c>
      <c r="ET837" s="763">
        <f>IF(OR(Input!$H$294=0,Input!$P297=0,Input!$D$20=0),0,IF(AND(Input!$H$294="Yes",Input!$O$296&gt;= Input!$A297,Input!$Q297=Calcs!ET$823),-Input!$P297,0))</f>
        <v>0</v>
      </c>
      <c r="EU837" s="763">
        <f>IF(OR(Input!$H$294=0,Input!$P297=0,Input!$D$20=0),0,IF(AND(Input!$H$294="Yes",Input!$O$296&gt;= Input!$A297,Input!$Q297=Calcs!EU$823),-Input!$P297,0))</f>
        <v>0</v>
      </c>
    </row>
    <row r="838" spans="11:151" ht="12" customHeight="1" x14ac:dyDescent="0.35">
      <c r="K838" s="28"/>
      <c r="L838" s="28"/>
      <c r="M838" s="28"/>
      <c r="N838" s="28"/>
      <c r="O838" s="28"/>
      <c r="P838" s="28"/>
      <c r="Q838" s="28"/>
      <c r="R838" s="31"/>
      <c r="S838" s="36"/>
      <c r="T838" s="26"/>
      <c r="U838" s="29"/>
      <c r="V838" s="29"/>
      <c r="W838" s="377"/>
      <c r="X838" s="376" t="str">
        <f t="shared" si="601"/>
        <v>Convertible Note #2</v>
      </c>
      <c r="Y838" s="378">
        <f>Input!W298</f>
        <v>0</v>
      </c>
      <c r="Z838" s="29"/>
      <c r="AA838" s="29">
        <v>2</v>
      </c>
      <c r="AB838" s="29" t="str">
        <f>IF(Input!M298="","Convertible Note #"&amp;AA838,Input!M298)</f>
        <v>Convertible Note #2</v>
      </c>
      <c r="AC838" s="1804"/>
      <c r="AD838" s="376" t="s">
        <v>548</v>
      </c>
      <c r="AE838" s="376" t="str">
        <f t="shared" si="609"/>
        <v>Convertible Note #2</v>
      </c>
      <c r="AF838" s="763">
        <f>IF(OR(Input!$H$294=0,Input!$P298=0,Input!$D$20=0),0,IF(AND(Input!$H$294="Yes",Input!$O$296&gt;= Input!$A298,Input!$Q298=Calcs!AF$823),-Input!$P298,0))</f>
        <v>0</v>
      </c>
      <c r="AG838" s="763">
        <f>IF(OR(Input!$H$294=0,Input!$P298=0,Input!$D$20=0),0,IF(AND(Input!$H$294="Yes",Input!$O$296&gt;= Input!$A298,Input!$Q298=Calcs!AG$823),-Input!$P298,0))</f>
        <v>0</v>
      </c>
      <c r="AH838" s="763">
        <f>IF(OR(Input!$H$294=0,Input!$P298=0,Input!$D$20=0),0,IF(AND(Input!$H$294="Yes",Input!$O$296&gt;= Input!$A298,Input!$Q298=Calcs!AH$823),-Input!$P298,0))</f>
        <v>0</v>
      </c>
      <c r="AI838" s="763">
        <f>IF(OR(Input!$H$294=0,Input!$P298=0,Input!$D$20=0),0,IF(AND(Input!$H$294="Yes",Input!$O$296&gt;= Input!$A298,Input!$Q298=Calcs!AI$823),-Input!$P298,0))</f>
        <v>0</v>
      </c>
      <c r="AJ838" s="763">
        <f>IF(OR(Input!$H$294=0,Input!$P298=0,Input!$D$20=0),0,IF(AND(Input!$H$294="Yes",Input!$O$296&gt;= Input!$A298,Input!$Q298=Calcs!AJ$823),-Input!$P298,0))</f>
        <v>0</v>
      </c>
      <c r="AK838" s="763">
        <f>IF(OR(Input!$H$294=0,Input!$P298=0,Input!$D$20=0),0,IF(AND(Input!$H$294="Yes",Input!$O$296&gt;= Input!$A298,Input!$Q298=Calcs!AK$823),-Input!$P298,0))</f>
        <v>0</v>
      </c>
      <c r="AL838" s="763">
        <f>IF(OR(Input!$H$294=0,Input!$P298=0,Input!$D$20=0),0,IF(AND(Input!$H$294="Yes",Input!$O$296&gt;= Input!$A298,Input!$Q298=Calcs!AL$823),-Input!$P298,0))</f>
        <v>0</v>
      </c>
      <c r="AM838" s="763">
        <f>IF(OR(Input!$H$294=0,Input!$P298=0,Input!$D$20=0),0,IF(AND(Input!$H$294="Yes",Input!$O$296&gt;= Input!$A298,Input!$Q298=Calcs!AM$823),-Input!$P298,0))</f>
        <v>0</v>
      </c>
      <c r="AN838" s="763">
        <f>IF(OR(Input!$H$294=0,Input!$P298=0,Input!$D$20=0),0,IF(AND(Input!$H$294="Yes",Input!$O$296&gt;= Input!$A298,Input!$Q298=Calcs!AN$823),-Input!$P298,0))</f>
        <v>0</v>
      </c>
      <c r="AO838" s="763">
        <f>IF(OR(Input!$H$294=0,Input!$P298=0,Input!$D$20=0),0,IF(AND(Input!$H$294="Yes",Input!$O$296&gt;= Input!$A298,Input!$Q298=Calcs!AO$823),-Input!$P298,0))</f>
        <v>0</v>
      </c>
      <c r="AP838" s="763">
        <f>IF(OR(Input!$H$294=0,Input!$P298=0,Input!$D$20=0),0,IF(AND(Input!$H$294="Yes",Input!$O$296&gt;= Input!$A298,Input!$Q298=Calcs!AP$823),-Input!$P298,0))</f>
        <v>0</v>
      </c>
      <c r="AQ838" s="763">
        <f>IF(OR(Input!$H$294=0,Input!$P298=0,Input!$D$20=0),0,IF(AND(Input!$H$294="Yes",Input!$O$296&gt;= Input!$A298,Input!$Q298=Calcs!AQ$823),-Input!$P298,0))</f>
        <v>0</v>
      </c>
      <c r="AR838" s="763">
        <f>IF(OR(Input!$H$294=0,Input!$P298=0,Input!$D$20=0),0,IF(AND(Input!$H$294="Yes",Input!$O$296&gt;= Input!$A298,Input!$Q298=Calcs!AR$823),-Input!$P298,0))</f>
        <v>0</v>
      </c>
      <c r="AS838" s="763">
        <f>IF(OR(Input!$H$294=0,Input!$P298=0,Input!$D$20=0),0,IF(AND(Input!$H$294="Yes",Input!$O$296&gt;= Input!$A298,Input!$Q298=Calcs!AS$823),-Input!$P298,0))</f>
        <v>0</v>
      </c>
      <c r="AT838" s="763">
        <f>IF(OR(Input!$H$294=0,Input!$P298=0,Input!$D$20=0),0,IF(AND(Input!$H$294="Yes",Input!$O$296&gt;= Input!$A298,Input!$Q298=Calcs!AT$823),-Input!$P298,0))</f>
        <v>0</v>
      </c>
      <c r="AU838" s="763">
        <f>IF(OR(Input!$H$294=0,Input!$P298=0,Input!$D$20=0),0,IF(AND(Input!$H$294="Yes",Input!$O$296&gt;= Input!$A298,Input!$Q298=Calcs!AU$823),-Input!$P298,0))</f>
        <v>0</v>
      </c>
      <c r="AV838" s="763">
        <f>IF(OR(Input!$H$294=0,Input!$P298=0,Input!$D$20=0),0,IF(AND(Input!$H$294="Yes",Input!$O$296&gt;= Input!$A298,Input!$Q298=Calcs!AV$823),-Input!$P298,0))</f>
        <v>0</v>
      </c>
      <c r="AW838" s="763">
        <f>IF(OR(Input!$H$294=0,Input!$P298=0,Input!$D$20=0),0,IF(AND(Input!$H$294="Yes",Input!$O$296&gt;= Input!$A298,Input!$Q298=Calcs!AW$823),-Input!$P298,0))</f>
        <v>0</v>
      </c>
      <c r="AX838" s="763">
        <f>IF(OR(Input!$H$294=0,Input!$P298=0,Input!$D$20=0),0,IF(AND(Input!$H$294="Yes",Input!$O$296&gt;= Input!$A298,Input!$Q298=Calcs!AX$823),-Input!$P298,0))</f>
        <v>0</v>
      </c>
      <c r="AY838" s="763">
        <f>IF(OR(Input!$H$294=0,Input!$P298=0,Input!$D$20=0),0,IF(AND(Input!$H$294="Yes",Input!$O$296&gt;= Input!$A298,Input!$Q298=Calcs!AY$823),-Input!$P298,0))</f>
        <v>0</v>
      </c>
      <c r="AZ838" s="763">
        <f>IF(OR(Input!$H$294=0,Input!$P298=0,Input!$D$20=0),0,IF(AND(Input!$H$294="Yes",Input!$O$296&gt;= Input!$A298,Input!$Q298=Calcs!AZ$823),-Input!$P298,0))</f>
        <v>0</v>
      </c>
      <c r="BA838" s="763">
        <f>IF(OR(Input!$H$294=0,Input!$P298=0,Input!$D$20=0),0,IF(AND(Input!$H$294="Yes",Input!$O$296&gt;= Input!$A298,Input!$Q298=Calcs!BA$823),-Input!$P298,0))</f>
        <v>0</v>
      </c>
      <c r="BB838" s="763">
        <f>IF(OR(Input!$H$294=0,Input!$P298=0,Input!$D$20=0),0,IF(AND(Input!$H$294="Yes",Input!$O$296&gt;= Input!$A298,Input!$Q298=Calcs!BB$823),-Input!$P298,0))</f>
        <v>0</v>
      </c>
      <c r="BC838" s="763">
        <f>IF(OR(Input!$H$294=0,Input!$P298=0,Input!$D$20=0),0,IF(AND(Input!$H$294="Yes",Input!$O$296&gt;= Input!$A298,Input!$Q298=Calcs!BC$823),-Input!$P298,0))</f>
        <v>0</v>
      </c>
      <c r="BD838" s="763">
        <f>IF(OR(Input!$H$294=0,Input!$P298=0,Input!$D$20=0),0,IF(AND(Input!$H$294="Yes",Input!$O$296&gt;= Input!$A298,Input!$Q298=Calcs!BD$823),-Input!$P298,0))</f>
        <v>0</v>
      </c>
      <c r="BE838" s="763">
        <f>IF(OR(Input!$H$294=0,Input!$P298=0,Input!$D$20=0),0,IF(AND(Input!$H$294="Yes",Input!$O$296&gt;= Input!$A298,Input!$Q298=Calcs!BE$823),-Input!$P298,0))</f>
        <v>0</v>
      </c>
      <c r="BF838" s="763">
        <f>IF(OR(Input!$H$294=0,Input!$P298=0,Input!$D$20=0),0,IF(AND(Input!$H$294="Yes",Input!$O$296&gt;= Input!$A298,Input!$Q298=Calcs!BF$823),-Input!$P298,0))</f>
        <v>0</v>
      </c>
      <c r="BG838" s="763">
        <f>IF(OR(Input!$H$294=0,Input!$P298=0,Input!$D$20=0),0,IF(AND(Input!$H$294="Yes",Input!$O$296&gt;= Input!$A298,Input!$Q298=Calcs!BG$823),-Input!$P298,0))</f>
        <v>0</v>
      </c>
      <c r="BH838" s="763">
        <f>IF(OR(Input!$H$294=0,Input!$P298=0,Input!$D$20=0),0,IF(AND(Input!$H$294="Yes",Input!$O$296&gt;= Input!$A298,Input!$Q298=Calcs!BH$823),-Input!$P298,0))</f>
        <v>0</v>
      </c>
      <c r="BI838" s="763">
        <f>IF(OR(Input!$H$294=0,Input!$P298=0,Input!$D$20=0),0,IF(AND(Input!$H$294="Yes",Input!$O$296&gt;= Input!$A298,Input!$Q298=Calcs!BI$823),-Input!$P298,0))</f>
        <v>0</v>
      </c>
      <c r="BJ838" s="763">
        <f>IF(OR(Input!$H$294=0,Input!$P298=0,Input!$D$20=0),0,IF(AND(Input!$H$294="Yes",Input!$O$296&gt;= Input!$A298,Input!$Q298=Calcs!BJ$823),-Input!$P298,0))</f>
        <v>0</v>
      </c>
      <c r="BK838" s="763">
        <f>IF(OR(Input!$H$294=0,Input!$P298=0,Input!$D$20=0),0,IF(AND(Input!$H$294="Yes",Input!$O$296&gt;= Input!$A298,Input!$Q298=Calcs!BK$823),-Input!$P298,0))</f>
        <v>0</v>
      </c>
      <c r="BL838" s="763">
        <f>IF(OR(Input!$H$294=0,Input!$P298=0,Input!$D$20=0),0,IF(AND(Input!$H$294="Yes",Input!$O$296&gt;= Input!$A298,Input!$Q298=Calcs!BL$823),-Input!$P298,0))</f>
        <v>0</v>
      </c>
      <c r="BM838" s="763">
        <f>IF(OR(Input!$H$294=0,Input!$P298=0,Input!$D$20=0),0,IF(AND(Input!$H$294="Yes",Input!$O$296&gt;= Input!$A298,Input!$Q298=Calcs!BM$823),-Input!$P298,0))</f>
        <v>0</v>
      </c>
      <c r="BN838" s="763">
        <f>IF(OR(Input!$H$294=0,Input!$P298=0,Input!$D$20=0),0,IF(AND(Input!$H$294="Yes",Input!$O$296&gt;= Input!$A298,Input!$Q298=Calcs!BN$823),-Input!$P298,0))</f>
        <v>0</v>
      </c>
      <c r="BO838" s="763">
        <f>IF(OR(Input!$H$294=0,Input!$P298=0,Input!$D$20=0),0,IF(AND(Input!$H$294="Yes",Input!$O$296&gt;= Input!$A298,Input!$Q298=Calcs!BO$823),-Input!$P298,0))</f>
        <v>0</v>
      </c>
      <c r="BP838" s="763">
        <f>IF(OR(Input!$H$294=0,Input!$P298=0,Input!$D$20=0),0,IF(AND(Input!$H$294="Yes",Input!$O$296&gt;= Input!$A298,Input!$Q298=Calcs!BP$823),-Input!$P298,0))</f>
        <v>0</v>
      </c>
      <c r="BQ838" s="763">
        <f>IF(OR(Input!$H$294=0,Input!$P298=0,Input!$D$20=0),0,IF(AND(Input!$H$294="Yes",Input!$O$296&gt;= Input!$A298,Input!$Q298=Calcs!BQ$823),-Input!$P298,0))</f>
        <v>0</v>
      </c>
      <c r="BR838" s="763">
        <f>IF(OR(Input!$H$294=0,Input!$P298=0,Input!$D$20=0),0,IF(AND(Input!$H$294="Yes",Input!$O$296&gt;= Input!$A298,Input!$Q298=Calcs!BR$823),-Input!$P298,0))</f>
        <v>0</v>
      </c>
      <c r="BS838" s="763">
        <f>IF(OR(Input!$H$294=0,Input!$P298=0,Input!$D$20=0),0,IF(AND(Input!$H$294="Yes",Input!$O$296&gt;= Input!$A298,Input!$Q298=Calcs!BS$823),-Input!$P298,0))</f>
        <v>0</v>
      </c>
      <c r="BT838" s="763">
        <f>IF(OR(Input!$H$294=0,Input!$P298=0,Input!$D$20=0),0,IF(AND(Input!$H$294="Yes",Input!$O$296&gt;= Input!$A298,Input!$Q298=Calcs!BT$823),-Input!$P298,0))</f>
        <v>0</v>
      </c>
      <c r="BU838" s="763">
        <f>IF(OR(Input!$H$294=0,Input!$P298=0,Input!$D$20=0),0,IF(AND(Input!$H$294="Yes",Input!$O$296&gt;= Input!$A298,Input!$Q298=Calcs!BU$823),-Input!$P298,0))</f>
        <v>0</v>
      </c>
      <c r="BV838" s="763">
        <f>IF(OR(Input!$H$294=0,Input!$P298=0,Input!$D$20=0),0,IF(AND(Input!$H$294="Yes",Input!$O$296&gt;= Input!$A298,Input!$Q298=Calcs!BV$823),-Input!$P298,0))</f>
        <v>0</v>
      </c>
      <c r="BW838" s="763">
        <f>IF(OR(Input!$H$294=0,Input!$P298=0,Input!$D$20=0),0,IF(AND(Input!$H$294="Yes",Input!$O$296&gt;= Input!$A298,Input!$Q298=Calcs!BW$823),-Input!$P298,0))</f>
        <v>0</v>
      </c>
      <c r="BX838" s="763">
        <f>IF(OR(Input!$H$294=0,Input!$P298=0,Input!$D$20=0),0,IF(AND(Input!$H$294="Yes",Input!$O$296&gt;= Input!$A298,Input!$Q298=Calcs!BX$823),-Input!$P298,0))</f>
        <v>0</v>
      </c>
      <c r="BY838" s="763">
        <f>IF(OR(Input!$H$294=0,Input!$P298=0,Input!$D$20=0),0,IF(AND(Input!$H$294="Yes",Input!$O$296&gt;= Input!$A298,Input!$Q298=Calcs!BY$823),-Input!$P298,0))</f>
        <v>0</v>
      </c>
      <c r="BZ838" s="763">
        <f>IF(OR(Input!$H$294=0,Input!$P298=0,Input!$D$20=0),0,IF(AND(Input!$H$294="Yes",Input!$O$296&gt;= Input!$A298,Input!$Q298=Calcs!BZ$823),-Input!$P298,0))</f>
        <v>0</v>
      </c>
      <c r="CA838" s="763">
        <f>IF(OR(Input!$H$294=0,Input!$P298=0,Input!$D$20=0),0,IF(AND(Input!$H$294="Yes",Input!$O$296&gt;= Input!$A298,Input!$Q298=Calcs!CA$823),-Input!$P298,0))</f>
        <v>0</v>
      </c>
      <c r="CB838" s="763">
        <f>IF(OR(Input!$H$294=0,Input!$P298=0,Input!$D$20=0),0,IF(AND(Input!$H$294="Yes",Input!$O$296&gt;= Input!$A298,Input!$Q298=Calcs!CB$823),-Input!$P298,0))</f>
        <v>0</v>
      </c>
      <c r="CC838" s="763">
        <f>IF(OR(Input!$H$294=0,Input!$P298=0,Input!$D$20=0),0,IF(AND(Input!$H$294="Yes",Input!$O$296&gt;= Input!$A298,Input!$Q298=Calcs!CC$823),-Input!$P298,0))</f>
        <v>0</v>
      </c>
      <c r="CD838" s="763">
        <f>IF(OR(Input!$H$294=0,Input!$P298=0,Input!$D$20=0),0,IF(AND(Input!$H$294="Yes",Input!$O$296&gt;= Input!$A298,Input!$Q298=Calcs!CD$823),-Input!$P298,0))</f>
        <v>0</v>
      </c>
      <c r="CE838" s="763">
        <f>IF(OR(Input!$H$294=0,Input!$P298=0,Input!$D$20=0),0,IF(AND(Input!$H$294="Yes",Input!$O$296&gt;= Input!$A298,Input!$Q298=Calcs!CE$823),-Input!$P298,0))</f>
        <v>0</v>
      </c>
      <c r="CF838" s="763">
        <f>IF(OR(Input!$H$294=0,Input!$P298=0,Input!$D$20=0),0,IF(AND(Input!$H$294="Yes",Input!$O$296&gt;= Input!$A298,Input!$Q298=Calcs!CF$823),-Input!$P298,0))</f>
        <v>0</v>
      </c>
      <c r="CG838" s="763">
        <f>IF(OR(Input!$H$294=0,Input!$P298=0,Input!$D$20=0),0,IF(AND(Input!$H$294="Yes",Input!$O$296&gt;= Input!$A298,Input!$Q298=Calcs!CG$823),-Input!$P298,0))</f>
        <v>0</v>
      </c>
      <c r="CH838" s="763">
        <f>IF(OR(Input!$H$294=0,Input!$P298=0,Input!$D$20=0),0,IF(AND(Input!$H$294="Yes",Input!$O$296&gt;= Input!$A298,Input!$Q298=Calcs!CH$823),-Input!$P298,0))</f>
        <v>0</v>
      </c>
      <c r="CI838" s="763">
        <f>IF(OR(Input!$H$294=0,Input!$P298=0,Input!$D$20=0),0,IF(AND(Input!$H$294="Yes",Input!$O$296&gt;= Input!$A298,Input!$Q298=Calcs!CI$823),-Input!$P298,0))</f>
        <v>0</v>
      </c>
      <c r="CJ838" s="763">
        <f>IF(OR(Input!$H$294=0,Input!$P298=0,Input!$D$20=0),0,IF(AND(Input!$H$294="Yes",Input!$O$296&gt;= Input!$A298,Input!$Q298=Calcs!CJ$823),-Input!$P298,0))</f>
        <v>0</v>
      </c>
      <c r="CK838" s="763">
        <f>IF(OR(Input!$H$294=0,Input!$P298=0,Input!$D$20=0),0,IF(AND(Input!$H$294="Yes",Input!$O$296&gt;= Input!$A298,Input!$Q298=Calcs!CK$823),-Input!$P298,0))</f>
        <v>0</v>
      </c>
      <c r="CL838" s="763">
        <f>IF(OR(Input!$H$294=0,Input!$P298=0,Input!$D$20=0),0,IF(AND(Input!$H$294="Yes",Input!$O$296&gt;= Input!$A298,Input!$Q298=Calcs!CL$823),-Input!$P298,0))</f>
        <v>0</v>
      </c>
      <c r="CM838" s="763">
        <f>IF(OR(Input!$H$294=0,Input!$P298=0,Input!$D$20=0),0,IF(AND(Input!$H$294="Yes",Input!$O$296&gt;= Input!$A298,Input!$Q298=Calcs!CM$823),-Input!$P298,0))</f>
        <v>0</v>
      </c>
      <c r="CN838" s="763">
        <f>IF(OR(Input!$H$294=0,Input!$P298=0,Input!$D$20=0),0,IF(AND(Input!$H$294="Yes",Input!$O$296&gt;= Input!$A298,Input!$Q298=Calcs!CN$823),-Input!$P298,0))</f>
        <v>0</v>
      </c>
      <c r="CO838" s="763">
        <f>IF(OR(Input!$H$294=0,Input!$P298=0,Input!$D$20=0),0,IF(AND(Input!$H$294="Yes",Input!$O$296&gt;= Input!$A298,Input!$Q298=Calcs!CO$823),-Input!$P298,0))</f>
        <v>0</v>
      </c>
      <c r="CP838" s="763">
        <f>IF(OR(Input!$H$294=0,Input!$P298=0,Input!$D$20=0),0,IF(AND(Input!$H$294="Yes",Input!$O$296&gt;= Input!$A298,Input!$Q298=Calcs!CP$823),-Input!$P298,0))</f>
        <v>0</v>
      </c>
      <c r="CQ838" s="763">
        <f>IF(OR(Input!$H$294=0,Input!$P298=0,Input!$D$20=0),0,IF(AND(Input!$H$294="Yes",Input!$O$296&gt;= Input!$A298,Input!$Q298=Calcs!CQ$823),-Input!$P298,0))</f>
        <v>0</v>
      </c>
      <c r="CR838" s="763">
        <f>IF(OR(Input!$H$294=0,Input!$P298=0,Input!$D$20=0),0,IF(AND(Input!$H$294="Yes",Input!$O$296&gt;= Input!$A298,Input!$Q298=Calcs!CR$823),-Input!$P298,0))</f>
        <v>0</v>
      </c>
      <c r="CS838" s="763">
        <f>IF(OR(Input!$H$294=0,Input!$P298=0,Input!$D$20=0),0,IF(AND(Input!$H$294="Yes",Input!$O$296&gt;= Input!$A298,Input!$Q298=Calcs!CS$823),-Input!$P298,0))</f>
        <v>0</v>
      </c>
      <c r="CT838" s="763">
        <f>IF(OR(Input!$H$294=0,Input!$P298=0,Input!$D$20=0),0,IF(AND(Input!$H$294="Yes",Input!$O$296&gt;= Input!$A298,Input!$Q298=Calcs!CT$823),-Input!$P298,0))</f>
        <v>0</v>
      </c>
      <c r="CU838" s="763">
        <f>IF(OR(Input!$H$294=0,Input!$P298=0,Input!$D$20=0),0,IF(AND(Input!$H$294="Yes",Input!$O$296&gt;= Input!$A298,Input!$Q298=Calcs!CU$823),-Input!$P298,0))</f>
        <v>0</v>
      </c>
      <c r="CV838" s="763">
        <f>IF(OR(Input!$H$294=0,Input!$P298=0,Input!$D$20=0),0,IF(AND(Input!$H$294="Yes",Input!$O$296&gt;= Input!$A298,Input!$Q298=Calcs!CV$823),-Input!$P298,0))</f>
        <v>0</v>
      </c>
      <c r="CW838" s="763">
        <f>IF(OR(Input!$H$294=0,Input!$P298=0,Input!$D$20=0),0,IF(AND(Input!$H$294="Yes",Input!$O$296&gt;= Input!$A298,Input!$Q298=Calcs!CW$823),-Input!$P298,0))</f>
        <v>0</v>
      </c>
      <c r="CX838" s="763">
        <f>IF(OR(Input!$H$294=0,Input!$P298=0,Input!$D$20=0),0,IF(AND(Input!$H$294="Yes",Input!$O$296&gt;= Input!$A298,Input!$Q298=Calcs!CX$823),-Input!$P298,0))</f>
        <v>0</v>
      </c>
      <c r="CY838" s="763">
        <f>IF(OR(Input!$H$294=0,Input!$P298=0,Input!$D$20=0),0,IF(AND(Input!$H$294="Yes",Input!$O$296&gt;= Input!$A298,Input!$Q298=Calcs!CY$823),-Input!$P298,0))</f>
        <v>0</v>
      </c>
      <c r="CZ838" s="763">
        <f>IF(OR(Input!$H$294=0,Input!$P298=0,Input!$D$20=0),0,IF(AND(Input!$H$294="Yes",Input!$O$296&gt;= Input!$A298,Input!$Q298=Calcs!CZ$823),-Input!$P298,0))</f>
        <v>0</v>
      </c>
      <c r="DA838" s="763">
        <f>IF(OR(Input!$H$294=0,Input!$P298=0,Input!$D$20=0),0,IF(AND(Input!$H$294="Yes",Input!$O$296&gt;= Input!$A298,Input!$Q298=Calcs!DA$823),-Input!$P298,0))</f>
        <v>0</v>
      </c>
      <c r="DB838" s="763">
        <f>IF(OR(Input!$H$294=0,Input!$P298=0,Input!$D$20=0),0,IF(AND(Input!$H$294="Yes",Input!$O$296&gt;= Input!$A298,Input!$Q298=Calcs!DB$823),-Input!$P298,0))</f>
        <v>0</v>
      </c>
      <c r="DC838" s="763">
        <f>IF(OR(Input!$H$294=0,Input!$P298=0,Input!$D$20=0),0,IF(AND(Input!$H$294="Yes",Input!$O$296&gt;= Input!$A298,Input!$Q298=Calcs!DC$823),-Input!$P298,0))</f>
        <v>0</v>
      </c>
      <c r="DD838" s="763">
        <f>IF(OR(Input!$H$294=0,Input!$P298=0,Input!$D$20=0),0,IF(AND(Input!$H$294="Yes",Input!$O$296&gt;= Input!$A298,Input!$Q298=Calcs!DD$823),-Input!$P298,0))</f>
        <v>0</v>
      </c>
      <c r="DE838" s="763">
        <f>IF(OR(Input!$H$294=0,Input!$P298=0,Input!$D$20=0),0,IF(AND(Input!$H$294="Yes",Input!$O$296&gt;= Input!$A298,Input!$Q298=Calcs!DE$823),-Input!$P298,0))</f>
        <v>0</v>
      </c>
      <c r="DF838" s="763">
        <f>IF(OR(Input!$H$294=0,Input!$P298=0,Input!$D$20=0),0,IF(AND(Input!$H$294="Yes",Input!$O$296&gt;= Input!$A298,Input!$Q298=Calcs!DF$823),-Input!$P298,0))</f>
        <v>0</v>
      </c>
      <c r="DG838" s="763">
        <f>IF(OR(Input!$H$294=0,Input!$P298=0,Input!$D$20=0),0,IF(AND(Input!$H$294="Yes",Input!$O$296&gt;= Input!$A298,Input!$Q298=Calcs!DG$823),-Input!$P298,0))</f>
        <v>0</v>
      </c>
      <c r="DH838" s="763">
        <f>IF(OR(Input!$H$294=0,Input!$P298=0,Input!$D$20=0),0,IF(AND(Input!$H$294="Yes",Input!$O$296&gt;= Input!$A298,Input!$Q298=Calcs!DH$823),-Input!$P298,0))</f>
        <v>0</v>
      </c>
      <c r="DI838" s="763">
        <f>IF(OR(Input!$H$294=0,Input!$P298=0,Input!$D$20=0),0,IF(AND(Input!$H$294="Yes",Input!$O$296&gt;= Input!$A298,Input!$Q298=Calcs!DI$823),-Input!$P298,0))</f>
        <v>0</v>
      </c>
      <c r="DJ838" s="763">
        <f>IF(OR(Input!$H$294=0,Input!$P298=0,Input!$D$20=0),0,IF(AND(Input!$H$294="Yes",Input!$O$296&gt;= Input!$A298,Input!$Q298=Calcs!DJ$823),-Input!$P298,0))</f>
        <v>0</v>
      </c>
      <c r="DK838" s="763">
        <f>IF(OR(Input!$H$294=0,Input!$P298=0,Input!$D$20=0),0,IF(AND(Input!$H$294="Yes",Input!$O$296&gt;= Input!$A298,Input!$Q298=Calcs!DK$823),-Input!$P298,0))</f>
        <v>0</v>
      </c>
      <c r="DL838" s="763">
        <f>IF(OR(Input!$H$294=0,Input!$P298=0,Input!$D$20=0),0,IF(AND(Input!$H$294="Yes",Input!$O$296&gt;= Input!$A298,Input!$Q298=Calcs!DL$823),-Input!$P298,0))</f>
        <v>0</v>
      </c>
      <c r="DM838" s="763">
        <f>IF(OR(Input!$H$294=0,Input!$P298=0,Input!$D$20=0),0,IF(AND(Input!$H$294="Yes",Input!$O$296&gt;= Input!$A298,Input!$Q298=Calcs!DM$823),-Input!$P298,0))</f>
        <v>0</v>
      </c>
      <c r="DN838" s="763">
        <f>IF(OR(Input!$H$294=0,Input!$P298=0,Input!$D$20=0),0,IF(AND(Input!$H$294="Yes",Input!$O$296&gt;= Input!$A298,Input!$Q298=Calcs!DN$823),-Input!$P298,0))</f>
        <v>0</v>
      </c>
      <c r="DO838" s="763">
        <f>IF(OR(Input!$H$294=0,Input!$P298=0,Input!$D$20=0),0,IF(AND(Input!$H$294="Yes",Input!$O$296&gt;= Input!$A298,Input!$Q298=Calcs!DO$823),-Input!$P298,0))</f>
        <v>0</v>
      </c>
      <c r="DP838" s="763">
        <f>IF(OR(Input!$H$294=0,Input!$P298=0,Input!$D$20=0),0,IF(AND(Input!$H$294="Yes",Input!$O$296&gt;= Input!$A298,Input!$Q298=Calcs!DP$823),-Input!$P298,0))</f>
        <v>0</v>
      </c>
      <c r="DQ838" s="763">
        <f>IF(OR(Input!$H$294=0,Input!$P298=0,Input!$D$20=0),0,IF(AND(Input!$H$294="Yes",Input!$O$296&gt;= Input!$A298,Input!$Q298=Calcs!DQ$823),-Input!$P298,0))</f>
        <v>0</v>
      </c>
      <c r="DR838" s="763">
        <f>IF(OR(Input!$H$294=0,Input!$P298=0,Input!$D$20=0),0,IF(AND(Input!$H$294="Yes",Input!$O$296&gt;= Input!$A298,Input!$Q298=Calcs!DR$823),-Input!$P298,0))</f>
        <v>0</v>
      </c>
      <c r="DS838" s="763">
        <f>IF(OR(Input!$H$294=0,Input!$P298=0,Input!$D$20=0),0,IF(AND(Input!$H$294="Yes",Input!$O$296&gt;= Input!$A298,Input!$Q298=Calcs!DS$823),-Input!$P298,0))</f>
        <v>0</v>
      </c>
      <c r="DT838" s="763">
        <f>IF(OR(Input!$H$294=0,Input!$P298=0,Input!$D$20=0),0,IF(AND(Input!$H$294="Yes",Input!$O$296&gt;= Input!$A298,Input!$Q298=Calcs!DT$823),-Input!$P298,0))</f>
        <v>0</v>
      </c>
      <c r="DU838" s="763">
        <f>IF(OR(Input!$H$294=0,Input!$P298=0,Input!$D$20=0),0,IF(AND(Input!$H$294="Yes",Input!$O$296&gt;= Input!$A298,Input!$Q298=Calcs!DU$823),-Input!$P298,0))</f>
        <v>0</v>
      </c>
      <c r="DV838" s="763">
        <f>IF(OR(Input!$H$294=0,Input!$P298=0,Input!$D$20=0),0,IF(AND(Input!$H$294="Yes",Input!$O$296&gt;= Input!$A298,Input!$Q298=Calcs!DV$823),-Input!$P298,0))</f>
        <v>0</v>
      </c>
      <c r="DW838" s="763">
        <f>IF(OR(Input!$H$294=0,Input!$P298=0,Input!$D$20=0),0,IF(AND(Input!$H$294="Yes",Input!$O$296&gt;= Input!$A298,Input!$Q298=Calcs!DW$823),-Input!$P298,0))</f>
        <v>0</v>
      </c>
      <c r="DX838" s="763">
        <f>IF(OR(Input!$H$294=0,Input!$P298=0,Input!$D$20=0),0,IF(AND(Input!$H$294="Yes",Input!$O$296&gt;= Input!$A298,Input!$Q298=Calcs!DX$823),-Input!$P298,0))</f>
        <v>0</v>
      </c>
      <c r="DY838" s="763">
        <f>IF(OR(Input!$H$294=0,Input!$P298=0,Input!$D$20=0),0,IF(AND(Input!$H$294="Yes",Input!$O$296&gt;= Input!$A298,Input!$Q298=Calcs!DY$823),-Input!$P298,0))</f>
        <v>0</v>
      </c>
      <c r="DZ838" s="763">
        <f>IF(OR(Input!$H$294=0,Input!$P298=0,Input!$D$20=0),0,IF(AND(Input!$H$294="Yes",Input!$O$296&gt;= Input!$A298,Input!$Q298=Calcs!DZ$823),-Input!$P298,0))</f>
        <v>0</v>
      </c>
      <c r="EA838" s="763">
        <f>IF(OR(Input!$H$294=0,Input!$P298=0,Input!$D$20=0),0,IF(AND(Input!$H$294="Yes",Input!$O$296&gt;= Input!$A298,Input!$Q298=Calcs!EA$823),-Input!$P298,0))</f>
        <v>0</v>
      </c>
      <c r="EB838" s="763">
        <f>IF(OR(Input!$H$294=0,Input!$P298=0,Input!$D$20=0),0,IF(AND(Input!$H$294="Yes",Input!$O$296&gt;= Input!$A298,Input!$Q298=Calcs!EB$823),-Input!$P298,0))</f>
        <v>0</v>
      </c>
      <c r="EC838" s="763">
        <f>IF(OR(Input!$H$294=0,Input!$P298=0,Input!$D$20=0),0,IF(AND(Input!$H$294="Yes",Input!$O$296&gt;= Input!$A298,Input!$Q298=Calcs!EC$823),-Input!$P298,0))</f>
        <v>0</v>
      </c>
      <c r="ED838" s="763">
        <f>IF(OR(Input!$H$294=0,Input!$P298=0,Input!$D$20=0),0,IF(AND(Input!$H$294="Yes",Input!$O$296&gt;= Input!$A298,Input!$Q298=Calcs!ED$823),-Input!$P298,0))</f>
        <v>0</v>
      </c>
      <c r="EE838" s="763">
        <f>IF(OR(Input!$H$294=0,Input!$P298=0,Input!$D$20=0),0,IF(AND(Input!$H$294="Yes",Input!$O$296&gt;= Input!$A298,Input!$Q298=Calcs!EE$823),-Input!$P298,0))</f>
        <v>0</v>
      </c>
      <c r="EF838" s="763">
        <f>IF(OR(Input!$H$294=0,Input!$P298=0,Input!$D$20=0),0,IF(AND(Input!$H$294="Yes",Input!$O$296&gt;= Input!$A298,Input!$Q298=Calcs!EF$823),-Input!$P298,0))</f>
        <v>0</v>
      </c>
      <c r="EG838" s="763">
        <f>IF(OR(Input!$H$294=0,Input!$P298=0,Input!$D$20=0),0,IF(AND(Input!$H$294="Yes",Input!$O$296&gt;= Input!$A298,Input!$Q298=Calcs!EG$823),-Input!$P298,0))</f>
        <v>0</v>
      </c>
      <c r="EH838" s="763">
        <f>IF(OR(Input!$H$294=0,Input!$P298=0,Input!$D$20=0),0,IF(AND(Input!$H$294="Yes",Input!$O$296&gt;= Input!$A298,Input!$Q298=Calcs!EH$823),-Input!$P298,0))</f>
        <v>0</v>
      </c>
      <c r="EI838" s="763">
        <f>IF(OR(Input!$H$294=0,Input!$P298=0,Input!$D$20=0),0,IF(AND(Input!$H$294="Yes",Input!$O$296&gt;= Input!$A298,Input!$Q298=Calcs!EI$823),-Input!$P298,0))</f>
        <v>0</v>
      </c>
      <c r="EJ838" s="763">
        <f>IF(OR(Input!$H$294=0,Input!$P298=0,Input!$D$20=0),0,IF(AND(Input!$H$294="Yes",Input!$O$296&gt;= Input!$A298,Input!$Q298=Calcs!EJ$823),-Input!$P298,0))</f>
        <v>0</v>
      </c>
      <c r="EK838" s="763">
        <f>IF(OR(Input!$H$294=0,Input!$P298=0,Input!$D$20=0),0,IF(AND(Input!$H$294="Yes",Input!$O$296&gt;= Input!$A298,Input!$Q298=Calcs!EK$823),-Input!$P298,0))</f>
        <v>0</v>
      </c>
      <c r="EL838" s="763">
        <f>IF(OR(Input!$H$294=0,Input!$P298=0,Input!$D$20=0),0,IF(AND(Input!$H$294="Yes",Input!$O$296&gt;= Input!$A298,Input!$Q298=Calcs!EL$823),-Input!$P298,0))</f>
        <v>0</v>
      </c>
      <c r="EM838" s="763">
        <f>IF(OR(Input!$H$294=0,Input!$P298=0,Input!$D$20=0),0,IF(AND(Input!$H$294="Yes",Input!$O$296&gt;= Input!$A298,Input!$Q298=Calcs!EM$823),-Input!$P298,0))</f>
        <v>0</v>
      </c>
      <c r="EN838" s="763">
        <f>IF(OR(Input!$H$294=0,Input!$P298=0,Input!$D$20=0),0,IF(AND(Input!$H$294="Yes",Input!$O$296&gt;= Input!$A298,Input!$Q298=Calcs!EN$823),-Input!$P298,0))</f>
        <v>0</v>
      </c>
      <c r="EO838" s="763">
        <f>IF(OR(Input!$H$294=0,Input!$P298=0,Input!$D$20=0),0,IF(AND(Input!$H$294="Yes",Input!$O$296&gt;= Input!$A298,Input!$Q298=Calcs!EO$823),-Input!$P298,0))</f>
        <v>0</v>
      </c>
      <c r="EP838" s="763">
        <f>IF(OR(Input!$H$294=0,Input!$P298=0,Input!$D$20=0),0,IF(AND(Input!$H$294="Yes",Input!$O$296&gt;= Input!$A298,Input!$Q298=Calcs!EP$823),-Input!$P298,0))</f>
        <v>0</v>
      </c>
      <c r="EQ838" s="763">
        <f>IF(OR(Input!$H$294=0,Input!$P298=0,Input!$D$20=0),0,IF(AND(Input!$H$294="Yes",Input!$O$296&gt;= Input!$A298,Input!$Q298=Calcs!EQ$823),-Input!$P298,0))</f>
        <v>0</v>
      </c>
      <c r="ER838" s="763">
        <f>IF(OR(Input!$H$294=0,Input!$P298=0,Input!$D$20=0),0,IF(AND(Input!$H$294="Yes",Input!$O$296&gt;= Input!$A298,Input!$Q298=Calcs!ER$823),-Input!$P298,0))</f>
        <v>0</v>
      </c>
      <c r="ES838" s="763">
        <f>IF(OR(Input!$H$294=0,Input!$P298=0,Input!$D$20=0),0,IF(AND(Input!$H$294="Yes",Input!$O$296&gt;= Input!$A298,Input!$Q298=Calcs!ES$823),-Input!$P298,0))</f>
        <v>0</v>
      </c>
      <c r="ET838" s="763">
        <f>IF(OR(Input!$H$294=0,Input!$P298=0,Input!$D$20=0),0,IF(AND(Input!$H$294="Yes",Input!$O$296&gt;= Input!$A298,Input!$Q298=Calcs!ET$823),-Input!$P298,0))</f>
        <v>0</v>
      </c>
      <c r="EU838" s="763">
        <f>IF(OR(Input!$H$294=0,Input!$P298=0,Input!$D$20=0),0,IF(AND(Input!$H$294="Yes",Input!$O$296&gt;= Input!$A298,Input!$Q298=Calcs!EU$823),-Input!$P298,0))</f>
        <v>0</v>
      </c>
    </row>
    <row r="839" spans="11:151" ht="12" customHeight="1" x14ac:dyDescent="0.35">
      <c r="K839" s="28"/>
      <c r="L839" s="28"/>
      <c r="M839" s="28"/>
      <c r="N839" s="28"/>
      <c r="O839" s="28"/>
      <c r="P839" s="28"/>
      <c r="Q839" s="28"/>
      <c r="R839" s="31"/>
      <c r="S839" s="36"/>
      <c r="T839" s="26"/>
      <c r="U839" s="29"/>
      <c r="V839" s="29"/>
      <c r="W839" s="377"/>
      <c r="X839" s="376" t="str">
        <f t="shared" si="601"/>
        <v>Convertible Note #3</v>
      </c>
      <c r="Y839" s="378">
        <f>Input!W299</f>
        <v>0</v>
      </c>
      <c r="Z839" s="29"/>
      <c r="AA839" s="29">
        <v>3</v>
      </c>
      <c r="AB839" s="29" t="str">
        <f>IF(Input!M299="","Convertible Note #"&amp;AA839,Input!M299)</f>
        <v>Convertible Note #3</v>
      </c>
      <c r="AC839" s="1804"/>
      <c r="AD839" s="376" t="s">
        <v>549</v>
      </c>
      <c r="AE839" s="376" t="str">
        <f t="shared" si="609"/>
        <v>Convertible Note #3</v>
      </c>
      <c r="AF839" s="763">
        <f>IF(OR(Input!$H$294=0,Input!$P299=0,Input!$D$20=0),0,IF(AND(Input!$H$294="Yes",Input!$O$296&gt;= Input!$A299,Input!$Q299=Calcs!AF$823),-Input!$P299,0))</f>
        <v>0</v>
      </c>
      <c r="AG839" s="763">
        <f>IF(OR(Input!$H$294=0,Input!$P299=0,Input!$D$20=0),0,IF(AND(Input!$H$294="Yes",Input!$O$296&gt;= Input!$A299,Input!$Q299=Calcs!AG$823),-Input!$P299,0))</f>
        <v>0</v>
      </c>
      <c r="AH839" s="763">
        <f>IF(OR(Input!$H$294=0,Input!$P299=0,Input!$D$20=0),0,IF(AND(Input!$H$294="Yes",Input!$O$296&gt;= Input!$A299,Input!$Q299=Calcs!AH$823),-Input!$P299,0))</f>
        <v>0</v>
      </c>
      <c r="AI839" s="763">
        <f>IF(OR(Input!$H$294=0,Input!$P299=0,Input!$D$20=0),0,IF(AND(Input!$H$294="Yes",Input!$O$296&gt;= Input!$A299,Input!$Q299=Calcs!AI$823),-Input!$P299,0))</f>
        <v>0</v>
      </c>
      <c r="AJ839" s="763">
        <f>IF(OR(Input!$H$294=0,Input!$P299=0,Input!$D$20=0),0,IF(AND(Input!$H$294="Yes",Input!$O$296&gt;= Input!$A299,Input!$Q299=Calcs!AJ$823),-Input!$P299,0))</f>
        <v>0</v>
      </c>
      <c r="AK839" s="763">
        <f>IF(OR(Input!$H$294=0,Input!$P299=0,Input!$D$20=0),0,IF(AND(Input!$H$294="Yes",Input!$O$296&gt;= Input!$A299,Input!$Q299=Calcs!AK$823),-Input!$P299,0))</f>
        <v>0</v>
      </c>
      <c r="AL839" s="763">
        <f>IF(OR(Input!$H$294=0,Input!$P299=0,Input!$D$20=0),0,IF(AND(Input!$H$294="Yes",Input!$O$296&gt;= Input!$A299,Input!$Q299=Calcs!AL$823),-Input!$P299,0))</f>
        <v>0</v>
      </c>
      <c r="AM839" s="763">
        <f>IF(OR(Input!$H$294=0,Input!$P299=0,Input!$D$20=0),0,IF(AND(Input!$H$294="Yes",Input!$O$296&gt;= Input!$A299,Input!$Q299=Calcs!AM$823),-Input!$P299,0))</f>
        <v>0</v>
      </c>
      <c r="AN839" s="763">
        <f>IF(OR(Input!$H$294=0,Input!$P299=0,Input!$D$20=0),0,IF(AND(Input!$H$294="Yes",Input!$O$296&gt;= Input!$A299,Input!$Q299=Calcs!AN$823),-Input!$P299,0))</f>
        <v>0</v>
      </c>
      <c r="AO839" s="763">
        <f>IF(OR(Input!$H$294=0,Input!$P299=0,Input!$D$20=0),0,IF(AND(Input!$H$294="Yes",Input!$O$296&gt;= Input!$A299,Input!$Q299=Calcs!AO$823),-Input!$P299,0))</f>
        <v>0</v>
      </c>
      <c r="AP839" s="763">
        <f>IF(OR(Input!$H$294=0,Input!$P299=0,Input!$D$20=0),0,IF(AND(Input!$H$294="Yes",Input!$O$296&gt;= Input!$A299,Input!$Q299=Calcs!AP$823),-Input!$P299,0))</f>
        <v>0</v>
      </c>
      <c r="AQ839" s="763">
        <f>IF(OR(Input!$H$294=0,Input!$P299=0,Input!$D$20=0),0,IF(AND(Input!$H$294="Yes",Input!$O$296&gt;= Input!$A299,Input!$Q299=Calcs!AQ$823),-Input!$P299,0))</f>
        <v>0</v>
      </c>
      <c r="AR839" s="763">
        <f>IF(OR(Input!$H$294=0,Input!$P299=0,Input!$D$20=0),0,IF(AND(Input!$H$294="Yes",Input!$O$296&gt;= Input!$A299,Input!$Q299=Calcs!AR$823),-Input!$P299,0))</f>
        <v>0</v>
      </c>
      <c r="AS839" s="763">
        <f>IF(OR(Input!$H$294=0,Input!$P299=0,Input!$D$20=0),0,IF(AND(Input!$H$294="Yes",Input!$O$296&gt;= Input!$A299,Input!$Q299=Calcs!AS$823),-Input!$P299,0))</f>
        <v>0</v>
      </c>
      <c r="AT839" s="763">
        <f>IF(OR(Input!$H$294=0,Input!$P299=0,Input!$D$20=0),0,IF(AND(Input!$H$294="Yes",Input!$O$296&gt;= Input!$A299,Input!$Q299=Calcs!AT$823),-Input!$P299,0))</f>
        <v>0</v>
      </c>
      <c r="AU839" s="763">
        <f>IF(OR(Input!$H$294=0,Input!$P299=0,Input!$D$20=0),0,IF(AND(Input!$H$294="Yes",Input!$O$296&gt;= Input!$A299,Input!$Q299=Calcs!AU$823),-Input!$P299,0))</f>
        <v>0</v>
      </c>
      <c r="AV839" s="763">
        <f>IF(OR(Input!$H$294=0,Input!$P299=0,Input!$D$20=0),0,IF(AND(Input!$H$294="Yes",Input!$O$296&gt;= Input!$A299,Input!$Q299=Calcs!AV$823),-Input!$P299,0))</f>
        <v>0</v>
      </c>
      <c r="AW839" s="763">
        <f>IF(OR(Input!$H$294=0,Input!$P299=0,Input!$D$20=0),0,IF(AND(Input!$H$294="Yes",Input!$O$296&gt;= Input!$A299,Input!$Q299=Calcs!AW$823),-Input!$P299,0))</f>
        <v>0</v>
      </c>
      <c r="AX839" s="763">
        <f>IF(OR(Input!$H$294=0,Input!$P299=0,Input!$D$20=0),0,IF(AND(Input!$H$294="Yes",Input!$O$296&gt;= Input!$A299,Input!$Q299=Calcs!AX$823),-Input!$P299,0))</f>
        <v>0</v>
      </c>
      <c r="AY839" s="763">
        <f>IF(OR(Input!$H$294=0,Input!$P299=0,Input!$D$20=0),0,IF(AND(Input!$H$294="Yes",Input!$O$296&gt;= Input!$A299,Input!$Q299=Calcs!AY$823),-Input!$P299,0))</f>
        <v>0</v>
      </c>
      <c r="AZ839" s="763">
        <f>IF(OR(Input!$H$294=0,Input!$P299=0,Input!$D$20=0),0,IF(AND(Input!$H$294="Yes",Input!$O$296&gt;= Input!$A299,Input!$Q299=Calcs!AZ$823),-Input!$P299,0))</f>
        <v>0</v>
      </c>
      <c r="BA839" s="763">
        <f>IF(OR(Input!$H$294=0,Input!$P299=0,Input!$D$20=0),0,IF(AND(Input!$H$294="Yes",Input!$O$296&gt;= Input!$A299,Input!$Q299=Calcs!BA$823),-Input!$P299,0))</f>
        <v>0</v>
      </c>
      <c r="BB839" s="763">
        <f>IF(OR(Input!$H$294=0,Input!$P299=0,Input!$D$20=0),0,IF(AND(Input!$H$294="Yes",Input!$O$296&gt;= Input!$A299,Input!$Q299=Calcs!BB$823),-Input!$P299,0))</f>
        <v>0</v>
      </c>
      <c r="BC839" s="763">
        <f>IF(OR(Input!$H$294=0,Input!$P299=0,Input!$D$20=0),0,IF(AND(Input!$H$294="Yes",Input!$O$296&gt;= Input!$A299,Input!$Q299=Calcs!BC$823),-Input!$P299,0))</f>
        <v>0</v>
      </c>
      <c r="BD839" s="763">
        <f>IF(OR(Input!$H$294=0,Input!$P299=0,Input!$D$20=0),0,IF(AND(Input!$H$294="Yes",Input!$O$296&gt;= Input!$A299,Input!$Q299=Calcs!BD$823),-Input!$P299,0))</f>
        <v>0</v>
      </c>
      <c r="BE839" s="763">
        <f>IF(OR(Input!$H$294=0,Input!$P299=0,Input!$D$20=0),0,IF(AND(Input!$H$294="Yes",Input!$O$296&gt;= Input!$A299,Input!$Q299=Calcs!BE$823),-Input!$P299,0))</f>
        <v>0</v>
      </c>
      <c r="BF839" s="763">
        <f>IF(OR(Input!$H$294=0,Input!$P299=0,Input!$D$20=0),0,IF(AND(Input!$H$294="Yes",Input!$O$296&gt;= Input!$A299,Input!$Q299=Calcs!BF$823),-Input!$P299,0))</f>
        <v>0</v>
      </c>
      <c r="BG839" s="763">
        <f>IF(OR(Input!$H$294=0,Input!$P299=0,Input!$D$20=0),0,IF(AND(Input!$H$294="Yes",Input!$O$296&gt;= Input!$A299,Input!$Q299=Calcs!BG$823),-Input!$P299,0))</f>
        <v>0</v>
      </c>
      <c r="BH839" s="763">
        <f>IF(OR(Input!$H$294=0,Input!$P299=0,Input!$D$20=0),0,IF(AND(Input!$H$294="Yes",Input!$O$296&gt;= Input!$A299,Input!$Q299=Calcs!BH$823),-Input!$P299,0))</f>
        <v>0</v>
      </c>
      <c r="BI839" s="763">
        <f>IF(OR(Input!$H$294=0,Input!$P299=0,Input!$D$20=0),0,IF(AND(Input!$H$294="Yes",Input!$O$296&gt;= Input!$A299,Input!$Q299=Calcs!BI$823),-Input!$P299,0))</f>
        <v>0</v>
      </c>
      <c r="BJ839" s="763">
        <f>IF(OR(Input!$H$294=0,Input!$P299=0,Input!$D$20=0),0,IF(AND(Input!$H$294="Yes",Input!$O$296&gt;= Input!$A299,Input!$Q299=Calcs!BJ$823),-Input!$P299,0))</f>
        <v>0</v>
      </c>
      <c r="BK839" s="763">
        <f>IF(OR(Input!$H$294=0,Input!$P299=0,Input!$D$20=0),0,IF(AND(Input!$H$294="Yes",Input!$O$296&gt;= Input!$A299,Input!$Q299=Calcs!BK$823),-Input!$P299,0))</f>
        <v>0</v>
      </c>
      <c r="BL839" s="763">
        <f>IF(OR(Input!$H$294=0,Input!$P299=0,Input!$D$20=0),0,IF(AND(Input!$H$294="Yes",Input!$O$296&gt;= Input!$A299,Input!$Q299=Calcs!BL$823),-Input!$P299,0))</f>
        <v>0</v>
      </c>
      <c r="BM839" s="763">
        <f>IF(OR(Input!$H$294=0,Input!$P299=0,Input!$D$20=0),0,IF(AND(Input!$H$294="Yes",Input!$O$296&gt;= Input!$A299,Input!$Q299=Calcs!BM$823),-Input!$P299,0))</f>
        <v>0</v>
      </c>
      <c r="BN839" s="763">
        <f>IF(OR(Input!$H$294=0,Input!$P299=0,Input!$D$20=0),0,IF(AND(Input!$H$294="Yes",Input!$O$296&gt;= Input!$A299,Input!$Q299=Calcs!BN$823),-Input!$P299,0))</f>
        <v>0</v>
      </c>
      <c r="BO839" s="763">
        <f>IF(OR(Input!$H$294=0,Input!$P299=0,Input!$D$20=0),0,IF(AND(Input!$H$294="Yes",Input!$O$296&gt;= Input!$A299,Input!$Q299=Calcs!BO$823),-Input!$P299,0))</f>
        <v>0</v>
      </c>
      <c r="BP839" s="763">
        <f>IF(OR(Input!$H$294=0,Input!$P299=0,Input!$D$20=0),0,IF(AND(Input!$H$294="Yes",Input!$O$296&gt;= Input!$A299,Input!$Q299=Calcs!BP$823),-Input!$P299,0))</f>
        <v>0</v>
      </c>
      <c r="BQ839" s="763">
        <f>IF(OR(Input!$H$294=0,Input!$P299=0,Input!$D$20=0),0,IF(AND(Input!$H$294="Yes",Input!$O$296&gt;= Input!$A299,Input!$Q299=Calcs!BQ$823),-Input!$P299,0))</f>
        <v>0</v>
      </c>
      <c r="BR839" s="763">
        <f>IF(OR(Input!$H$294=0,Input!$P299=0,Input!$D$20=0),0,IF(AND(Input!$H$294="Yes",Input!$O$296&gt;= Input!$A299,Input!$Q299=Calcs!BR$823),-Input!$P299,0))</f>
        <v>0</v>
      </c>
      <c r="BS839" s="763">
        <f>IF(OR(Input!$H$294=0,Input!$P299=0,Input!$D$20=0),0,IF(AND(Input!$H$294="Yes",Input!$O$296&gt;= Input!$A299,Input!$Q299=Calcs!BS$823),-Input!$P299,0))</f>
        <v>0</v>
      </c>
      <c r="BT839" s="763">
        <f>IF(OR(Input!$H$294=0,Input!$P299=0,Input!$D$20=0),0,IF(AND(Input!$H$294="Yes",Input!$O$296&gt;= Input!$A299,Input!$Q299=Calcs!BT$823),-Input!$P299,0))</f>
        <v>0</v>
      </c>
      <c r="BU839" s="763">
        <f>IF(OR(Input!$H$294=0,Input!$P299=0,Input!$D$20=0),0,IF(AND(Input!$H$294="Yes",Input!$O$296&gt;= Input!$A299,Input!$Q299=Calcs!BU$823),-Input!$P299,0))</f>
        <v>0</v>
      </c>
      <c r="BV839" s="763">
        <f>IF(OR(Input!$H$294=0,Input!$P299=0,Input!$D$20=0),0,IF(AND(Input!$H$294="Yes",Input!$O$296&gt;= Input!$A299,Input!$Q299=Calcs!BV$823),-Input!$P299,0))</f>
        <v>0</v>
      </c>
      <c r="BW839" s="763">
        <f>IF(OR(Input!$H$294=0,Input!$P299=0,Input!$D$20=0),0,IF(AND(Input!$H$294="Yes",Input!$O$296&gt;= Input!$A299,Input!$Q299=Calcs!BW$823),-Input!$P299,0))</f>
        <v>0</v>
      </c>
      <c r="BX839" s="763">
        <f>IF(OR(Input!$H$294=0,Input!$P299=0,Input!$D$20=0),0,IF(AND(Input!$H$294="Yes",Input!$O$296&gt;= Input!$A299,Input!$Q299=Calcs!BX$823),-Input!$P299,0))</f>
        <v>0</v>
      </c>
      <c r="BY839" s="763">
        <f>IF(OR(Input!$H$294=0,Input!$P299=0,Input!$D$20=0),0,IF(AND(Input!$H$294="Yes",Input!$O$296&gt;= Input!$A299,Input!$Q299=Calcs!BY$823),-Input!$P299,0))</f>
        <v>0</v>
      </c>
      <c r="BZ839" s="763">
        <f>IF(OR(Input!$H$294=0,Input!$P299=0,Input!$D$20=0),0,IF(AND(Input!$H$294="Yes",Input!$O$296&gt;= Input!$A299,Input!$Q299=Calcs!BZ$823),-Input!$P299,0))</f>
        <v>0</v>
      </c>
      <c r="CA839" s="763">
        <f>IF(OR(Input!$H$294=0,Input!$P299=0,Input!$D$20=0),0,IF(AND(Input!$H$294="Yes",Input!$O$296&gt;= Input!$A299,Input!$Q299=Calcs!CA$823),-Input!$P299,0))</f>
        <v>0</v>
      </c>
      <c r="CB839" s="763">
        <f>IF(OR(Input!$H$294=0,Input!$P299=0,Input!$D$20=0),0,IF(AND(Input!$H$294="Yes",Input!$O$296&gt;= Input!$A299,Input!$Q299=Calcs!CB$823),-Input!$P299,0))</f>
        <v>0</v>
      </c>
      <c r="CC839" s="763">
        <f>IF(OR(Input!$H$294=0,Input!$P299=0,Input!$D$20=0),0,IF(AND(Input!$H$294="Yes",Input!$O$296&gt;= Input!$A299,Input!$Q299=Calcs!CC$823),-Input!$P299,0))</f>
        <v>0</v>
      </c>
      <c r="CD839" s="763">
        <f>IF(OR(Input!$H$294=0,Input!$P299=0,Input!$D$20=0),0,IF(AND(Input!$H$294="Yes",Input!$O$296&gt;= Input!$A299,Input!$Q299=Calcs!CD$823),-Input!$P299,0))</f>
        <v>0</v>
      </c>
      <c r="CE839" s="763">
        <f>IF(OR(Input!$H$294=0,Input!$P299=0,Input!$D$20=0),0,IF(AND(Input!$H$294="Yes",Input!$O$296&gt;= Input!$A299,Input!$Q299=Calcs!CE$823),-Input!$P299,0))</f>
        <v>0</v>
      </c>
      <c r="CF839" s="763">
        <f>IF(OR(Input!$H$294=0,Input!$P299=0,Input!$D$20=0),0,IF(AND(Input!$H$294="Yes",Input!$O$296&gt;= Input!$A299,Input!$Q299=Calcs!CF$823),-Input!$P299,0))</f>
        <v>0</v>
      </c>
      <c r="CG839" s="763">
        <f>IF(OR(Input!$H$294=0,Input!$P299=0,Input!$D$20=0),0,IF(AND(Input!$H$294="Yes",Input!$O$296&gt;= Input!$A299,Input!$Q299=Calcs!CG$823),-Input!$P299,0))</f>
        <v>0</v>
      </c>
      <c r="CH839" s="763">
        <f>IF(OR(Input!$H$294=0,Input!$P299=0,Input!$D$20=0),0,IF(AND(Input!$H$294="Yes",Input!$O$296&gt;= Input!$A299,Input!$Q299=Calcs!CH$823),-Input!$P299,0))</f>
        <v>0</v>
      </c>
      <c r="CI839" s="763">
        <f>IF(OR(Input!$H$294=0,Input!$P299=0,Input!$D$20=0),0,IF(AND(Input!$H$294="Yes",Input!$O$296&gt;= Input!$A299,Input!$Q299=Calcs!CI$823),-Input!$P299,0))</f>
        <v>0</v>
      </c>
      <c r="CJ839" s="763">
        <f>IF(OR(Input!$H$294=0,Input!$P299=0,Input!$D$20=0),0,IF(AND(Input!$H$294="Yes",Input!$O$296&gt;= Input!$A299,Input!$Q299=Calcs!CJ$823),-Input!$P299,0))</f>
        <v>0</v>
      </c>
      <c r="CK839" s="763">
        <f>IF(OR(Input!$H$294=0,Input!$P299=0,Input!$D$20=0),0,IF(AND(Input!$H$294="Yes",Input!$O$296&gt;= Input!$A299,Input!$Q299=Calcs!CK$823),-Input!$P299,0))</f>
        <v>0</v>
      </c>
      <c r="CL839" s="763">
        <f>IF(OR(Input!$H$294=0,Input!$P299=0,Input!$D$20=0),0,IF(AND(Input!$H$294="Yes",Input!$O$296&gt;= Input!$A299,Input!$Q299=Calcs!CL$823),-Input!$P299,0))</f>
        <v>0</v>
      </c>
      <c r="CM839" s="763">
        <f>IF(OR(Input!$H$294=0,Input!$P299=0,Input!$D$20=0),0,IF(AND(Input!$H$294="Yes",Input!$O$296&gt;= Input!$A299,Input!$Q299=Calcs!CM$823),-Input!$P299,0))</f>
        <v>0</v>
      </c>
      <c r="CN839" s="763">
        <f>IF(OR(Input!$H$294=0,Input!$P299=0,Input!$D$20=0),0,IF(AND(Input!$H$294="Yes",Input!$O$296&gt;= Input!$A299,Input!$Q299=Calcs!CN$823),-Input!$P299,0))</f>
        <v>0</v>
      </c>
      <c r="CO839" s="763">
        <f>IF(OR(Input!$H$294=0,Input!$P299=0,Input!$D$20=0),0,IF(AND(Input!$H$294="Yes",Input!$O$296&gt;= Input!$A299,Input!$Q299=Calcs!CO$823),-Input!$P299,0))</f>
        <v>0</v>
      </c>
      <c r="CP839" s="763">
        <f>IF(OR(Input!$H$294=0,Input!$P299=0,Input!$D$20=0),0,IF(AND(Input!$H$294="Yes",Input!$O$296&gt;= Input!$A299,Input!$Q299=Calcs!CP$823),-Input!$P299,0))</f>
        <v>0</v>
      </c>
      <c r="CQ839" s="763">
        <f>IF(OR(Input!$H$294=0,Input!$P299=0,Input!$D$20=0),0,IF(AND(Input!$H$294="Yes",Input!$O$296&gt;= Input!$A299,Input!$Q299=Calcs!CQ$823),-Input!$P299,0))</f>
        <v>0</v>
      </c>
      <c r="CR839" s="763">
        <f>IF(OR(Input!$H$294=0,Input!$P299=0,Input!$D$20=0),0,IF(AND(Input!$H$294="Yes",Input!$O$296&gt;= Input!$A299,Input!$Q299=Calcs!CR$823),-Input!$P299,0))</f>
        <v>0</v>
      </c>
      <c r="CS839" s="763">
        <f>IF(OR(Input!$H$294=0,Input!$P299=0,Input!$D$20=0),0,IF(AND(Input!$H$294="Yes",Input!$O$296&gt;= Input!$A299,Input!$Q299=Calcs!CS$823),-Input!$P299,0))</f>
        <v>0</v>
      </c>
      <c r="CT839" s="763">
        <f>IF(OR(Input!$H$294=0,Input!$P299=0,Input!$D$20=0),0,IF(AND(Input!$H$294="Yes",Input!$O$296&gt;= Input!$A299,Input!$Q299=Calcs!CT$823),-Input!$P299,0))</f>
        <v>0</v>
      </c>
      <c r="CU839" s="763">
        <f>IF(OR(Input!$H$294=0,Input!$P299=0,Input!$D$20=0),0,IF(AND(Input!$H$294="Yes",Input!$O$296&gt;= Input!$A299,Input!$Q299=Calcs!CU$823),-Input!$P299,0))</f>
        <v>0</v>
      </c>
      <c r="CV839" s="763">
        <f>IF(OR(Input!$H$294=0,Input!$P299=0,Input!$D$20=0),0,IF(AND(Input!$H$294="Yes",Input!$O$296&gt;= Input!$A299,Input!$Q299=Calcs!CV$823),-Input!$P299,0))</f>
        <v>0</v>
      </c>
      <c r="CW839" s="763">
        <f>IF(OR(Input!$H$294=0,Input!$P299=0,Input!$D$20=0),0,IF(AND(Input!$H$294="Yes",Input!$O$296&gt;= Input!$A299,Input!$Q299=Calcs!CW$823),-Input!$P299,0))</f>
        <v>0</v>
      </c>
      <c r="CX839" s="763">
        <f>IF(OR(Input!$H$294=0,Input!$P299=0,Input!$D$20=0),0,IF(AND(Input!$H$294="Yes",Input!$O$296&gt;= Input!$A299,Input!$Q299=Calcs!CX$823),-Input!$P299,0))</f>
        <v>0</v>
      </c>
      <c r="CY839" s="763">
        <f>IF(OR(Input!$H$294=0,Input!$P299=0,Input!$D$20=0),0,IF(AND(Input!$H$294="Yes",Input!$O$296&gt;= Input!$A299,Input!$Q299=Calcs!CY$823),-Input!$P299,0))</f>
        <v>0</v>
      </c>
      <c r="CZ839" s="763">
        <f>IF(OR(Input!$H$294=0,Input!$P299=0,Input!$D$20=0),0,IF(AND(Input!$H$294="Yes",Input!$O$296&gt;= Input!$A299,Input!$Q299=Calcs!CZ$823),-Input!$P299,0))</f>
        <v>0</v>
      </c>
      <c r="DA839" s="763">
        <f>IF(OR(Input!$H$294=0,Input!$P299=0,Input!$D$20=0),0,IF(AND(Input!$H$294="Yes",Input!$O$296&gt;= Input!$A299,Input!$Q299=Calcs!DA$823),-Input!$P299,0))</f>
        <v>0</v>
      </c>
      <c r="DB839" s="763">
        <f>IF(OR(Input!$H$294=0,Input!$P299=0,Input!$D$20=0),0,IF(AND(Input!$H$294="Yes",Input!$O$296&gt;= Input!$A299,Input!$Q299=Calcs!DB$823),-Input!$P299,0))</f>
        <v>0</v>
      </c>
      <c r="DC839" s="763">
        <f>IF(OR(Input!$H$294=0,Input!$P299=0,Input!$D$20=0),0,IF(AND(Input!$H$294="Yes",Input!$O$296&gt;= Input!$A299,Input!$Q299=Calcs!DC$823),-Input!$P299,0))</f>
        <v>0</v>
      </c>
      <c r="DD839" s="763">
        <f>IF(OR(Input!$H$294=0,Input!$P299=0,Input!$D$20=0),0,IF(AND(Input!$H$294="Yes",Input!$O$296&gt;= Input!$A299,Input!$Q299=Calcs!DD$823),-Input!$P299,0))</f>
        <v>0</v>
      </c>
      <c r="DE839" s="763">
        <f>IF(OR(Input!$H$294=0,Input!$P299=0,Input!$D$20=0),0,IF(AND(Input!$H$294="Yes",Input!$O$296&gt;= Input!$A299,Input!$Q299=Calcs!DE$823),-Input!$P299,0))</f>
        <v>0</v>
      </c>
      <c r="DF839" s="763">
        <f>IF(OR(Input!$H$294=0,Input!$P299=0,Input!$D$20=0),0,IF(AND(Input!$H$294="Yes",Input!$O$296&gt;= Input!$A299,Input!$Q299=Calcs!DF$823),-Input!$P299,0))</f>
        <v>0</v>
      </c>
      <c r="DG839" s="763">
        <f>IF(OR(Input!$H$294=0,Input!$P299=0,Input!$D$20=0),0,IF(AND(Input!$H$294="Yes",Input!$O$296&gt;= Input!$A299,Input!$Q299=Calcs!DG$823),-Input!$P299,0))</f>
        <v>0</v>
      </c>
      <c r="DH839" s="763">
        <f>IF(OR(Input!$H$294=0,Input!$P299=0,Input!$D$20=0),0,IF(AND(Input!$H$294="Yes",Input!$O$296&gt;= Input!$A299,Input!$Q299=Calcs!DH$823),-Input!$P299,0))</f>
        <v>0</v>
      </c>
      <c r="DI839" s="763">
        <f>IF(OR(Input!$H$294=0,Input!$P299=0,Input!$D$20=0),0,IF(AND(Input!$H$294="Yes",Input!$O$296&gt;= Input!$A299,Input!$Q299=Calcs!DI$823),-Input!$P299,0))</f>
        <v>0</v>
      </c>
      <c r="DJ839" s="763">
        <f>IF(OR(Input!$H$294=0,Input!$P299=0,Input!$D$20=0),0,IF(AND(Input!$H$294="Yes",Input!$O$296&gt;= Input!$A299,Input!$Q299=Calcs!DJ$823),-Input!$P299,0))</f>
        <v>0</v>
      </c>
      <c r="DK839" s="763">
        <f>IF(OR(Input!$H$294=0,Input!$P299=0,Input!$D$20=0),0,IF(AND(Input!$H$294="Yes",Input!$O$296&gt;= Input!$A299,Input!$Q299=Calcs!DK$823),-Input!$P299,0))</f>
        <v>0</v>
      </c>
      <c r="DL839" s="763">
        <f>IF(OR(Input!$H$294=0,Input!$P299=0,Input!$D$20=0),0,IF(AND(Input!$H$294="Yes",Input!$O$296&gt;= Input!$A299,Input!$Q299=Calcs!DL$823),-Input!$P299,0))</f>
        <v>0</v>
      </c>
      <c r="DM839" s="763">
        <f>IF(OR(Input!$H$294=0,Input!$P299=0,Input!$D$20=0),0,IF(AND(Input!$H$294="Yes",Input!$O$296&gt;= Input!$A299,Input!$Q299=Calcs!DM$823),-Input!$P299,0))</f>
        <v>0</v>
      </c>
      <c r="DN839" s="763">
        <f>IF(OR(Input!$H$294=0,Input!$P299=0,Input!$D$20=0),0,IF(AND(Input!$H$294="Yes",Input!$O$296&gt;= Input!$A299,Input!$Q299=Calcs!DN$823),-Input!$P299,0))</f>
        <v>0</v>
      </c>
      <c r="DO839" s="763">
        <f>IF(OR(Input!$H$294=0,Input!$P299=0,Input!$D$20=0),0,IF(AND(Input!$H$294="Yes",Input!$O$296&gt;= Input!$A299,Input!$Q299=Calcs!DO$823),-Input!$P299,0))</f>
        <v>0</v>
      </c>
      <c r="DP839" s="763">
        <f>IF(OR(Input!$H$294=0,Input!$P299=0,Input!$D$20=0),0,IF(AND(Input!$H$294="Yes",Input!$O$296&gt;= Input!$A299,Input!$Q299=Calcs!DP$823),-Input!$P299,0))</f>
        <v>0</v>
      </c>
      <c r="DQ839" s="763">
        <f>IF(OR(Input!$H$294=0,Input!$P299=0,Input!$D$20=0),0,IF(AND(Input!$H$294="Yes",Input!$O$296&gt;= Input!$A299,Input!$Q299=Calcs!DQ$823),-Input!$P299,0))</f>
        <v>0</v>
      </c>
      <c r="DR839" s="763">
        <f>IF(OR(Input!$H$294=0,Input!$P299=0,Input!$D$20=0),0,IF(AND(Input!$H$294="Yes",Input!$O$296&gt;= Input!$A299,Input!$Q299=Calcs!DR$823),-Input!$P299,0))</f>
        <v>0</v>
      </c>
      <c r="DS839" s="763">
        <f>IF(OR(Input!$H$294=0,Input!$P299=0,Input!$D$20=0),0,IF(AND(Input!$H$294="Yes",Input!$O$296&gt;= Input!$A299,Input!$Q299=Calcs!DS$823),-Input!$P299,0))</f>
        <v>0</v>
      </c>
      <c r="DT839" s="763">
        <f>IF(OR(Input!$H$294=0,Input!$P299=0,Input!$D$20=0),0,IF(AND(Input!$H$294="Yes",Input!$O$296&gt;= Input!$A299,Input!$Q299=Calcs!DT$823),-Input!$P299,0))</f>
        <v>0</v>
      </c>
      <c r="DU839" s="763">
        <f>IF(OR(Input!$H$294=0,Input!$P299=0,Input!$D$20=0),0,IF(AND(Input!$H$294="Yes",Input!$O$296&gt;= Input!$A299,Input!$Q299=Calcs!DU$823),-Input!$P299,0))</f>
        <v>0</v>
      </c>
      <c r="DV839" s="763">
        <f>IF(OR(Input!$H$294=0,Input!$P299=0,Input!$D$20=0),0,IF(AND(Input!$H$294="Yes",Input!$O$296&gt;= Input!$A299,Input!$Q299=Calcs!DV$823),-Input!$P299,0))</f>
        <v>0</v>
      </c>
      <c r="DW839" s="763">
        <f>IF(OR(Input!$H$294=0,Input!$P299=0,Input!$D$20=0),0,IF(AND(Input!$H$294="Yes",Input!$O$296&gt;= Input!$A299,Input!$Q299=Calcs!DW$823),-Input!$P299,0))</f>
        <v>0</v>
      </c>
      <c r="DX839" s="763">
        <f>IF(OR(Input!$H$294=0,Input!$P299=0,Input!$D$20=0),0,IF(AND(Input!$H$294="Yes",Input!$O$296&gt;= Input!$A299,Input!$Q299=Calcs!DX$823),-Input!$P299,0))</f>
        <v>0</v>
      </c>
      <c r="DY839" s="763">
        <f>IF(OR(Input!$H$294=0,Input!$P299=0,Input!$D$20=0),0,IF(AND(Input!$H$294="Yes",Input!$O$296&gt;= Input!$A299,Input!$Q299=Calcs!DY$823),-Input!$P299,0))</f>
        <v>0</v>
      </c>
      <c r="DZ839" s="763">
        <f>IF(OR(Input!$H$294=0,Input!$P299=0,Input!$D$20=0),0,IF(AND(Input!$H$294="Yes",Input!$O$296&gt;= Input!$A299,Input!$Q299=Calcs!DZ$823),-Input!$P299,0))</f>
        <v>0</v>
      </c>
      <c r="EA839" s="763">
        <f>IF(OR(Input!$H$294=0,Input!$P299=0,Input!$D$20=0),0,IF(AND(Input!$H$294="Yes",Input!$O$296&gt;= Input!$A299,Input!$Q299=Calcs!EA$823),-Input!$P299,0))</f>
        <v>0</v>
      </c>
      <c r="EB839" s="763">
        <f>IF(OR(Input!$H$294=0,Input!$P299=0,Input!$D$20=0),0,IF(AND(Input!$H$294="Yes",Input!$O$296&gt;= Input!$A299,Input!$Q299=Calcs!EB$823),-Input!$P299,0))</f>
        <v>0</v>
      </c>
      <c r="EC839" s="763">
        <f>IF(OR(Input!$H$294=0,Input!$P299=0,Input!$D$20=0),0,IF(AND(Input!$H$294="Yes",Input!$O$296&gt;= Input!$A299,Input!$Q299=Calcs!EC$823),-Input!$P299,0))</f>
        <v>0</v>
      </c>
      <c r="ED839" s="763">
        <f>IF(OR(Input!$H$294=0,Input!$P299=0,Input!$D$20=0),0,IF(AND(Input!$H$294="Yes",Input!$O$296&gt;= Input!$A299,Input!$Q299=Calcs!ED$823),-Input!$P299,0))</f>
        <v>0</v>
      </c>
      <c r="EE839" s="763">
        <f>IF(OR(Input!$H$294=0,Input!$P299=0,Input!$D$20=0),0,IF(AND(Input!$H$294="Yes",Input!$O$296&gt;= Input!$A299,Input!$Q299=Calcs!EE$823),-Input!$P299,0))</f>
        <v>0</v>
      </c>
      <c r="EF839" s="763">
        <f>IF(OR(Input!$H$294=0,Input!$P299=0,Input!$D$20=0),0,IF(AND(Input!$H$294="Yes",Input!$O$296&gt;= Input!$A299,Input!$Q299=Calcs!EF$823),-Input!$P299,0))</f>
        <v>0</v>
      </c>
      <c r="EG839" s="763">
        <f>IF(OR(Input!$H$294=0,Input!$P299=0,Input!$D$20=0),0,IF(AND(Input!$H$294="Yes",Input!$O$296&gt;= Input!$A299,Input!$Q299=Calcs!EG$823),-Input!$P299,0))</f>
        <v>0</v>
      </c>
      <c r="EH839" s="763">
        <f>IF(OR(Input!$H$294=0,Input!$P299=0,Input!$D$20=0),0,IF(AND(Input!$H$294="Yes",Input!$O$296&gt;= Input!$A299,Input!$Q299=Calcs!EH$823),-Input!$P299,0))</f>
        <v>0</v>
      </c>
      <c r="EI839" s="763">
        <f>IF(OR(Input!$H$294=0,Input!$P299=0,Input!$D$20=0),0,IF(AND(Input!$H$294="Yes",Input!$O$296&gt;= Input!$A299,Input!$Q299=Calcs!EI$823),-Input!$P299,0))</f>
        <v>0</v>
      </c>
      <c r="EJ839" s="763">
        <f>IF(OR(Input!$H$294=0,Input!$P299=0,Input!$D$20=0),0,IF(AND(Input!$H$294="Yes",Input!$O$296&gt;= Input!$A299,Input!$Q299=Calcs!EJ$823),-Input!$P299,0))</f>
        <v>0</v>
      </c>
      <c r="EK839" s="763">
        <f>IF(OR(Input!$H$294=0,Input!$P299=0,Input!$D$20=0),0,IF(AND(Input!$H$294="Yes",Input!$O$296&gt;= Input!$A299,Input!$Q299=Calcs!EK$823),-Input!$P299,0))</f>
        <v>0</v>
      </c>
      <c r="EL839" s="763">
        <f>IF(OR(Input!$H$294=0,Input!$P299=0,Input!$D$20=0),0,IF(AND(Input!$H$294="Yes",Input!$O$296&gt;= Input!$A299,Input!$Q299=Calcs!EL$823),-Input!$P299,0))</f>
        <v>0</v>
      </c>
      <c r="EM839" s="763">
        <f>IF(OR(Input!$H$294=0,Input!$P299=0,Input!$D$20=0),0,IF(AND(Input!$H$294="Yes",Input!$O$296&gt;= Input!$A299,Input!$Q299=Calcs!EM$823),-Input!$P299,0))</f>
        <v>0</v>
      </c>
      <c r="EN839" s="763">
        <f>IF(OR(Input!$H$294=0,Input!$P299=0,Input!$D$20=0),0,IF(AND(Input!$H$294="Yes",Input!$O$296&gt;= Input!$A299,Input!$Q299=Calcs!EN$823),-Input!$P299,0))</f>
        <v>0</v>
      </c>
      <c r="EO839" s="763">
        <f>IF(OR(Input!$H$294=0,Input!$P299=0,Input!$D$20=0),0,IF(AND(Input!$H$294="Yes",Input!$O$296&gt;= Input!$A299,Input!$Q299=Calcs!EO$823),-Input!$P299,0))</f>
        <v>0</v>
      </c>
      <c r="EP839" s="763">
        <f>IF(OR(Input!$H$294=0,Input!$P299=0,Input!$D$20=0),0,IF(AND(Input!$H$294="Yes",Input!$O$296&gt;= Input!$A299,Input!$Q299=Calcs!EP$823),-Input!$P299,0))</f>
        <v>0</v>
      </c>
      <c r="EQ839" s="763">
        <f>IF(OR(Input!$H$294=0,Input!$P299=0,Input!$D$20=0),0,IF(AND(Input!$H$294="Yes",Input!$O$296&gt;= Input!$A299,Input!$Q299=Calcs!EQ$823),-Input!$P299,0))</f>
        <v>0</v>
      </c>
      <c r="ER839" s="763">
        <f>IF(OR(Input!$H$294=0,Input!$P299=0,Input!$D$20=0),0,IF(AND(Input!$H$294="Yes",Input!$O$296&gt;= Input!$A299,Input!$Q299=Calcs!ER$823),-Input!$P299,0))</f>
        <v>0</v>
      </c>
      <c r="ES839" s="763">
        <f>IF(OR(Input!$H$294=0,Input!$P299=0,Input!$D$20=0),0,IF(AND(Input!$H$294="Yes",Input!$O$296&gt;= Input!$A299,Input!$Q299=Calcs!ES$823),-Input!$P299,0))</f>
        <v>0</v>
      </c>
      <c r="ET839" s="763">
        <f>IF(OR(Input!$H$294=0,Input!$P299=0,Input!$D$20=0),0,IF(AND(Input!$H$294="Yes",Input!$O$296&gt;= Input!$A299,Input!$Q299=Calcs!ET$823),-Input!$P299,0))</f>
        <v>0</v>
      </c>
      <c r="EU839" s="763">
        <f>IF(OR(Input!$H$294=0,Input!$P299=0,Input!$D$20=0),0,IF(AND(Input!$H$294="Yes",Input!$O$296&gt;= Input!$A299,Input!$Q299=Calcs!EU$823),-Input!$P299,0))</f>
        <v>0</v>
      </c>
    </row>
    <row r="840" spans="11:151" ht="12" customHeight="1" x14ac:dyDescent="0.35">
      <c r="K840" s="28"/>
      <c r="L840" s="28"/>
      <c r="M840" s="28"/>
      <c r="N840" s="28"/>
      <c r="O840" s="28"/>
      <c r="P840" s="28"/>
      <c r="Q840" s="28"/>
      <c r="R840" s="31"/>
      <c r="S840" s="36"/>
      <c r="T840" s="26"/>
      <c r="U840" s="29"/>
      <c r="V840" s="29"/>
      <c r="W840" s="377"/>
      <c r="X840" s="376"/>
      <c r="Y840" s="29"/>
      <c r="Z840" s="29"/>
      <c r="AA840" s="29"/>
      <c r="AB840" s="29"/>
      <c r="AC840" s="376"/>
      <c r="AD840" s="29"/>
      <c r="AE840" s="376"/>
      <c r="AF840" s="380"/>
      <c r="AG840" s="380"/>
      <c r="AH840" s="380"/>
      <c r="AI840" s="380"/>
      <c r="AJ840" s="380"/>
      <c r="AK840" s="380"/>
      <c r="AL840" s="380"/>
      <c r="AM840" s="380"/>
      <c r="AN840" s="380"/>
      <c r="AO840" s="380"/>
      <c r="AP840" s="380"/>
      <c r="AQ840" s="1144"/>
      <c r="AR840" s="380"/>
      <c r="AS840" s="380"/>
      <c r="AT840" s="380"/>
      <c r="AU840" s="380"/>
      <c r="AV840" s="380"/>
      <c r="AW840" s="380"/>
      <c r="AX840" s="380"/>
      <c r="AY840" s="380"/>
      <c r="AZ840" s="380"/>
      <c r="BA840" s="380"/>
      <c r="BB840" s="380"/>
      <c r="BC840" s="380"/>
      <c r="BD840" s="380"/>
      <c r="BE840" s="380"/>
      <c r="BF840" s="380"/>
      <c r="BG840" s="380"/>
      <c r="BH840" s="380"/>
      <c r="BI840" s="380"/>
      <c r="BJ840" s="380"/>
      <c r="BK840" s="380"/>
      <c r="BL840" s="380"/>
      <c r="BM840" s="380"/>
      <c r="BN840" s="380"/>
      <c r="BO840" s="380"/>
      <c r="BP840" s="380"/>
      <c r="BQ840" s="380"/>
      <c r="BR840" s="380"/>
      <c r="BS840" s="380"/>
      <c r="BT840" s="380"/>
      <c r="BU840" s="380"/>
      <c r="BV840" s="380"/>
      <c r="BW840" s="380"/>
      <c r="BX840" s="380"/>
      <c r="BY840" s="380"/>
      <c r="BZ840" s="380"/>
      <c r="CA840" s="380"/>
      <c r="CB840" s="380"/>
      <c r="CC840" s="380"/>
      <c r="CD840" s="380"/>
      <c r="CE840" s="380"/>
      <c r="CF840" s="380"/>
      <c r="CG840" s="380"/>
      <c r="CH840" s="380"/>
      <c r="CI840" s="380"/>
      <c r="CJ840" s="380"/>
      <c r="CK840" s="380"/>
      <c r="CL840" s="380"/>
      <c r="CM840" s="380"/>
      <c r="CN840" s="1183"/>
      <c r="CO840" s="1183"/>
      <c r="CP840" s="1183"/>
      <c r="CQ840" s="1301"/>
      <c r="CR840" s="1301"/>
      <c r="CS840" s="1301"/>
      <c r="CT840" s="1301"/>
      <c r="CU840" s="1301"/>
      <c r="CV840" s="1301"/>
      <c r="CW840" s="1301"/>
      <c r="CX840" s="1301"/>
      <c r="CY840" s="1301"/>
      <c r="CZ840" s="1301"/>
      <c r="DA840" s="1301"/>
      <c r="DB840" s="1301"/>
      <c r="DC840" s="1301"/>
      <c r="DD840" s="1301"/>
      <c r="DE840" s="1301"/>
      <c r="DF840" s="1301"/>
      <c r="DG840" s="1301"/>
      <c r="DH840" s="1301"/>
      <c r="DI840" s="1301"/>
      <c r="DJ840" s="1301"/>
      <c r="DK840" s="1301"/>
      <c r="DL840" s="1301"/>
      <c r="DM840" s="1301"/>
      <c r="DN840" s="1301"/>
      <c r="DO840" s="1301"/>
      <c r="DP840" s="1301"/>
      <c r="DQ840" s="1301"/>
      <c r="DR840" s="1300"/>
      <c r="DS840" s="1300"/>
      <c r="DT840" s="1300"/>
      <c r="DU840" s="1300"/>
      <c r="DV840" s="1300"/>
      <c r="DW840" s="1300"/>
      <c r="DX840" s="1300"/>
      <c r="DY840" s="1300"/>
      <c r="DZ840" s="1300"/>
      <c r="EA840" s="1300"/>
      <c r="EB840" s="1300"/>
      <c r="EC840" s="1300"/>
      <c r="ED840" s="1300"/>
      <c r="EE840" s="1300"/>
      <c r="EF840" s="1300"/>
      <c r="EG840" s="1300"/>
      <c r="EH840" s="1300"/>
      <c r="EI840" s="1300"/>
      <c r="EJ840" s="1300"/>
      <c r="EK840" s="1300"/>
      <c r="EL840" s="1300"/>
      <c r="EM840" s="1300"/>
      <c r="EN840" s="1300"/>
      <c r="EO840" s="1300"/>
      <c r="EP840" s="1300"/>
      <c r="EQ840" s="1300"/>
      <c r="ER840" s="1300"/>
      <c r="ES840" s="1300"/>
      <c r="ET840" s="1300"/>
      <c r="EU840" s="1300"/>
    </row>
    <row r="841" spans="11:151" ht="12" customHeight="1" x14ac:dyDescent="0.35">
      <c r="K841" s="28"/>
      <c r="L841" s="28"/>
      <c r="M841" s="28"/>
      <c r="N841" s="28"/>
      <c r="O841" s="28"/>
      <c r="P841" s="28"/>
      <c r="Q841" s="28"/>
      <c r="R841" s="31"/>
      <c r="S841" s="36"/>
      <c r="T841" s="26"/>
      <c r="U841" s="29"/>
      <c r="V841" s="29"/>
      <c r="W841" s="377"/>
      <c r="X841" s="376"/>
      <c r="Y841" s="29"/>
      <c r="Z841" s="29" t="str">
        <f>IF(Input!G279&gt;0,AB824,AB$824)</f>
        <v>Investor #1</v>
      </c>
      <c r="AA841" s="29">
        <f>IF(AND(AB840&lt;0,AB841=0),2,IF(AB841&lt;0,1,0))</f>
        <v>0</v>
      </c>
      <c r="AB841" s="763">
        <f t="shared" ref="AB841:AB856" si="610">SUM(AF841:EU841)</f>
        <v>0</v>
      </c>
      <c r="AC841" s="29">
        <v>1</v>
      </c>
      <c r="AD841" s="1804"/>
      <c r="AE841" s="376" t="str" cm="1">
        <f t="array" ref="AE841">_xlfn.UNIQUE(Z841:Z856)</f>
        <v>Investor #1</v>
      </c>
      <c r="AF841" s="763">
        <f>IF($AE841="",0,SUMIF($AE$824:$AE$839,$AE841,AF$824:AF$839))</f>
        <v>0</v>
      </c>
      <c r="AG841" s="763">
        <f t="shared" ref="AG841:CR842" si="611">IF($AE841="",0,SUMIF($AE$824:$AE$839,$AE841,AG$824:AG$839))</f>
        <v>0</v>
      </c>
      <c r="AH841" s="763">
        <f t="shared" si="611"/>
        <v>0</v>
      </c>
      <c r="AI841" s="763">
        <f t="shared" si="611"/>
        <v>0</v>
      </c>
      <c r="AJ841" s="763">
        <f t="shared" si="611"/>
        <v>0</v>
      </c>
      <c r="AK841" s="763">
        <f t="shared" si="611"/>
        <v>0</v>
      </c>
      <c r="AL841" s="763">
        <f t="shared" si="611"/>
        <v>0</v>
      </c>
      <c r="AM841" s="763">
        <f t="shared" si="611"/>
        <v>0</v>
      </c>
      <c r="AN841" s="763">
        <f t="shared" si="611"/>
        <v>0</v>
      </c>
      <c r="AO841" s="763">
        <f t="shared" si="611"/>
        <v>0</v>
      </c>
      <c r="AP841" s="763">
        <f t="shared" si="611"/>
        <v>0</v>
      </c>
      <c r="AQ841" s="763">
        <f t="shared" si="611"/>
        <v>0</v>
      </c>
      <c r="AR841" s="763">
        <f t="shared" si="611"/>
        <v>0</v>
      </c>
      <c r="AS841" s="763">
        <f t="shared" si="611"/>
        <v>0</v>
      </c>
      <c r="AT841" s="763">
        <f t="shared" si="611"/>
        <v>0</v>
      </c>
      <c r="AU841" s="763">
        <f t="shared" si="611"/>
        <v>0</v>
      </c>
      <c r="AV841" s="763">
        <f t="shared" si="611"/>
        <v>0</v>
      </c>
      <c r="AW841" s="763">
        <f t="shared" si="611"/>
        <v>0</v>
      </c>
      <c r="AX841" s="763">
        <f t="shared" si="611"/>
        <v>0</v>
      </c>
      <c r="AY841" s="763">
        <f t="shared" si="611"/>
        <v>0</v>
      </c>
      <c r="AZ841" s="763">
        <f t="shared" si="611"/>
        <v>0</v>
      </c>
      <c r="BA841" s="763">
        <f t="shared" si="611"/>
        <v>0</v>
      </c>
      <c r="BB841" s="763">
        <f t="shared" si="611"/>
        <v>0</v>
      </c>
      <c r="BC841" s="763">
        <f t="shared" si="611"/>
        <v>0</v>
      </c>
      <c r="BD841" s="763">
        <f t="shared" si="611"/>
        <v>0</v>
      </c>
      <c r="BE841" s="763">
        <f t="shared" si="611"/>
        <v>0</v>
      </c>
      <c r="BF841" s="763">
        <f t="shared" si="611"/>
        <v>0</v>
      </c>
      <c r="BG841" s="763">
        <f t="shared" si="611"/>
        <v>0</v>
      </c>
      <c r="BH841" s="763">
        <f t="shared" si="611"/>
        <v>0</v>
      </c>
      <c r="BI841" s="763">
        <f t="shared" si="611"/>
        <v>0</v>
      </c>
      <c r="BJ841" s="763">
        <f t="shared" si="611"/>
        <v>0</v>
      </c>
      <c r="BK841" s="763">
        <f t="shared" si="611"/>
        <v>0</v>
      </c>
      <c r="BL841" s="763">
        <f t="shared" si="611"/>
        <v>0</v>
      </c>
      <c r="BM841" s="763">
        <f t="shared" si="611"/>
        <v>0</v>
      </c>
      <c r="BN841" s="763">
        <f t="shared" si="611"/>
        <v>0</v>
      </c>
      <c r="BO841" s="763">
        <f t="shared" si="611"/>
        <v>0</v>
      </c>
      <c r="BP841" s="763">
        <f t="shared" si="611"/>
        <v>0</v>
      </c>
      <c r="BQ841" s="763">
        <f t="shared" si="611"/>
        <v>0</v>
      </c>
      <c r="BR841" s="763">
        <f t="shared" si="611"/>
        <v>0</v>
      </c>
      <c r="BS841" s="763">
        <f t="shared" si="611"/>
        <v>0</v>
      </c>
      <c r="BT841" s="763">
        <f t="shared" si="611"/>
        <v>0</v>
      </c>
      <c r="BU841" s="763">
        <f t="shared" si="611"/>
        <v>0</v>
      </c>
      <c r="BV841" s="763">
        <f t="shared" si="611"/>
        <v>0</v>
      </c>
      <c r="BW841" s="763">
        <f t="shared" si="611"/>
        <v>0</v>
      </c>
      <c r="BX841" s="763">
        <f t="shared" si="611"/>
        <v>0</v>
      </c>
      <c r="BY841" s="763">
        <f t="shared" si="611"/>
        <v>0</v>
      </c>
      <c r="BZ841" s="763">
        <f t="shared" si="611"/>
        <v>0</v>
      </c>
      <c r="CA841" s="763">
        <f t="shared" si="611"/>
        <v>0</v>
      </c>
      <c r="CB841" s="763">
        <f t="shared" si="611"/>
        <v>0</v>
      </c>
      <c r="CC841" s="763">
        <f t="shared" si="611"/>
        <v>0</v>
      </c>
      <c r="CD841" s="763">
        <f t="shared" si="611"/>
        <v>0</v>
      </c>
      <c r="CE841" s="763">
        <f t="shared" si="611"/>
        <v>0</v>
      </c>
      <c r="CF841" s="763">
        <f t="shared" si="611"/>
        <v>0</v>
      </c>
      <c r="CG841" s="763">
        <f t="shared" si="611"/>
        <v>0</v>
      </c>
      <c r="CH841" s="763">
        <f t="shared" si="611"/>
        <v>0</v>
      </c>
      <c r="CI841" s="763">
        <f t="shared" si="611"/>
        <v>0</v>
      </c>
      <c r="CJ841" s="763">
        <f t="shared" si="611"/>
        <v>0</v>
      </c>
      <c r="CK841" s="763">
        <f t="shared" si="611"/>
        <v>0</v>
      </c>
      <c r="CL841" s="763">
        <f t="shared" si="611"/>
        <v>0</v>
      </c>
      <c r="CM841" s="763">
        <f t="shared" si="611"/>
        <v>0</v>
      </c>
      <c r="CN841" s="763">
        <f t="shared" si="611"/>
        <v>0</v>
      </c>
      <c r="CO841" s="763">
        <f t="shared" si="611"/>
        <v>0</v>
      </c>
      <c r="CP841" s="763">
        <f t="shared" si="611"/>
        <v>0</v>
      </c>
      <c r="CQ841" s="763">
        <f t="shared" si="611"/>
        <v>0</v>
      </c>
      <c r="CR841" s="763">
        <f t="shared" si="611"/>
        <v>0</v>
      </c>
      <c r="CS841" s="763">
        <f t="shared" ref="CS841:EU845" si="612">IF($AE841="",0,SUMIF($AE$824:$AE$839,$AE841,CS$824:CS$839))</f>
        <v>0</v>
      </c>
      <c r="CT841" s="763">
        <f t="shared" si="612"/>
        <v>0</v>
      </c>
      <c r="CU841" s="763">
        <f t="shared" si="612"/>
        <v>0</v>
      </c>
      <c r="CV841" s="763">
        <f t="shared" si="612"/>
        <v>0</v>
      </c>
      <c r="CW841" s="763">
        <f t="shared" si="612"/>
        <v>0</v>
      </c>
      <c r="CX841" s="763">
        <f t="shared" si="612"/>
        <v>0</v>
      </c>
      <c r="CY841" s="763">
        <f t="shared" si="612"/>
        <v>0</v>
      </c>
      <c r="CZ841" s="763">
        <f t="shared" si="612"/>
        <v>0</v>
      </c>
      <c r="DA841" s="763">
        <f t="shared" si="612"/>
        <v>0</v>
      </c>
      <c r="DB841" s="763">
        <f t="shared" si="612"/>
        <v>0</v>
      </c>
      <c r="DC841" s="763">
        <f t="shared" si="612"/>
        <v>0</v>
      </c>
      <c r="DD841" s="763">
        <f t="shared" si="612"/>
        <v>0</v>
      </c>
      <c r="DE841" s="763">
        <f t="shared" si="612"/>
        <v>0</v>
      </c>
      <c r="DF841" s="763">
        <f t="shared" si="612"/>
        <v>0</v>
      </c>
      <c r="DG841" s="763">
        <f t="shared" si="612"/>
        <v>0</v>
      </c>
      <c r="DH841" s="763">
        <f t="shared" si="612"/>
        <v>0</v>
      </c>
      <c r="DI841" s="763">
        <f t="shared" si="612"/>
        <v>0</v>
      </c>
      <c r="DJ841" s="763">
        <f t="shared" si="612"/>
        <v>0</v>
      </c>
      <c r="DK841" s="763">
        <f t="shared" si="612"/>
        <v>0</v>
      </c>
      <c r="DL841" s="763">
        <f t="shared" si="612"/>
        <v>0</v>
      </c>
      <c r="DM841" s="763">
        <f t="shared" si="612"/>
        <v>0</v>
      </c>
      <c r="DN841" s="763">
        <f t="shared" si="612"/>
        <v>0</v>
      </c>
      <c r="DO841" s="763">
        <f t="shared" si="612"/>
        <v>0</v>
      </c>
      <c r="DP841" s="763">
        <f t="shared" si="612"/>
        <v>0</v>
      </c>
      <c r="DQ841" s="763">
        <f t="shared" si="612"/>
        <v>0</v>
      </c>
      <c r="DR841" s="763">
        <f t="shared" si="612"/>
        <v>0</v>
      </c>
      <c r="DS841" s="763">
        <f t="shared" si="612"/>
        <v>0</v>
      </c>
      <c r="DT841" s="763">
        <f t="shared" si="612"/>
        <v>0</v>
      </c>
      <c r="DU841" s="763">
        <f t="shared" si="612"/>
        <v>0</v>
      </c>
      <c r="DV841" s="763">
        <f t="shared" si="612"/>
        <v>0</v>
      </c>
      <c r="DW841" s="763">
        <f t="shared" si="612"/>
        <v>0</v>
      </c>
      <c r="DX841" s="763">
        <f t="shared" si="612"/>
        <v>0</v>
      </c>
      <c r="DY841" s="763">
        <f t="shared" si="612"/>
        <v>0</v>
      </c>
      <c r="DZ841" s="763">
        <f t="shared" si="612"/>
        <v>0</v>
      </c>
      <c r="EA841" s="763">
        <f t="shared" si="612"/>
        <v>0</v>
      </c>
      <c r="EB841" s="763">
        <f t="shared" si="612"/>
        <v>0</v>
      </c>
      <c r="EC841" s="763">
        <f t="shared" si="612"/>
        <v>0</v>
      </c>
      <c r="ED841" s="763">
        <f t="shared" si="612"/>
        <v>0</v>
      </c>
      <c r="EE841" s="763">
        <f t="shared" si="612"/>
        <v>0</v>
      </c>
      <c r="EF841" s="763">
        <f t="shared" si="612"/>
        <v>0</v>
      </c>
      <c r="EG841" s="763">
        <f t="shared" si="612"/>
        <v>0</v>
      </c>
      <c r="EH841" s="763">
        <f t="shared" si="612"/>
        <v>0</v>
      </c>
      <c r="EI841" s="763">
        <f t="shared" si="612"/>
        <v>0</v>
      </c>
      <c r="EJ841" s="763">
        <f t="shared" si="612"/>
        <v>0</v>
      </c>
      <c r="EK841" s="763">
        <f t="shared" si="612"/>
        <v>0</v>
      </c>
      <c r="EL841" s="763">
        <f t="shared" si="612"/>
        <v>0</v>
      </c>
      <c r="EM841" s="763">
        <f t="shared" si="612"/>
        <v>0</v>
      </c>
      <c r="EN841" s="763">
        <f t="shared" si="612"/>
        <v>0</v>
      </c>
      <c r="EO841" s="763">
        <f t="shared" si="612"/>
        <v>0</v>
      </c>
      <c r="EP841" s="763">
        <f t="shared" si="612"/>
        <v>0</v>
      </c>
      <c r="EQ841" s="763">
        <f t="shared" si="612"/>
        <v>0</v>
      </c>
      <c r="ER841" s="763">
        <f t="shared" si="612"/>
        <v>0</v>
      </c>
      <c r="ES841" s="763">
        <f t="shared" si="612"/>
        <v>0</v>
      </c>
      <c r="ET841" s="763">
        <f t="shared" si="612"/>
        <v>0</v>
      </c>
      <c r="EU841" s="763">
        <f t="shared" si="612"/>
        <v>0</v>
      </c>
    </row>
    <row r="842" spans="11:151" ht="12" customHeight="1" x14ac:dyDescent="0.35">
      <c r="K842" s="28"/>
      <c r="L842" s="28"/>
      <c r="M842" s="28"/>
      <c r="N842" s="28"/>
      <c r="O842" s="28"/>
      <c r="P842" s="28"/>
      <c r="Q842" s="28"/>
      <c r="R842" s="31"/>
      <c r="S842" s="36"/>
      <c r="T842" s="26"/>
      <c r="U842" s="29"/>
      <c r="V842" s="29"/>
      <c r="W842" s="377"/>
      <c r="X842" s="376"/>
      <c r="Y842" s="29"/>
      <c r="Z842" s="29" t="str">
        <f>IF(Input!G280&gt;0,AB825,AB$824)</f>
        <v>Investor #1</v>
      </c>
      <c r="AA842" s="29">
        <f t="shared" ref="AA842:AA856" si="613">IF(AND(AB841&lt;0,AB842=0),2,IF(AB842&lt;0,1,0))</f>
        <v>0</v>
      </c>
      <c r="AB842" s="763">
        <f t="shared" si="610"/>
        <v>0</v>
      </c>
      <c r="AC842" s="29">
        <v>2</v>
      </c>
      <c r="AD842" s="1804"/>
      <c r="AE842" s="376"/>
      <c r="AF842" s="763">
        <f t="shared" ref="AF842:AU856" si="614">IF($AE842="",0,SUMIF($AE$824:$AE$839,$AE842,AF$824:AF$839))</f>
        <v>0</v>
      </c>
      <c r="AG842" s="763">
        <f t="shared" si="614"/>
        <v>0</v>
      </c>
      <c r="AH842" s="763">
        <f t="shared" si="614"/>
        <v>0</v>
      </c>
      <c r="AI842" s="763">
        <f t="shared" si="614"/>
        <v>0</v>
      </c>
      <c r="AJ842" s="763">
        <f t="shared" si="614"/>
        <v>0</v>
      </c>
      <c r="AK842" s="763">
        <f t="shared" si="614"/>
        <v>0</v>
      </c>
      <c r="AL842" s="763">
        <f t="shared" si="614"/>
        <v>0</v>
      </c>
      <c r="AM842" s="763">
        <f t="shared" si="614"/>
        <v>0</v>
      </c>
      <c r="AN842" s="763">
        <f t="shared" si="614"/>
        <v>0</v>
      </c>
      <c r="AO842" s="763">
        <f t="shared" si="614"/>
        <v>0</v>
      </c>
      <c r="AP842" s="763">
        <f t="shared" si="614"/>
        <v>0</v>
      </c>
      <c r="AQ842" s="763">
        <f t="shared" si="614"/>
        <v>0</v>
      </c>
      <c r="AR842" s="763">
        <f t="shared" si="614"/>
        <v>0</v>
      </c>
      <c r="AS842" s="763">
        <f t="shared" si="614"/>
        <v>0</v>
      </c>
      <c r="AT842" s="763">
        <f t="shared" si="614"/>
        <v>0</v>
      </c>
      <c r="AU842" s="763">
        <f t="shared" si="614"/>
        <v>0</v>
      </c>
      <c r="AV842" s="763">
        <f t="shared" si="611"/>
        <v>0</v>
      </c>
      <c r="AW842" s="763">
        <f t="shared" si="611"/>
        <v>0</v>
      </c>
      <c r="AX842" s="763">
        <f t="shared" si="611"/>
        <v>0</v>
      </c>
      <c r="AY842" s="763">
        <f t="shared" si="611"/>
        <v>0</v>
      </c>
      <c r="AZ842" s="763">
        <f t="shared" si="611"/>
        <v>0</v>
      </c>
      <c r="BA842" s="763">
        <f t="shared" si="611"/>
        <v>0</v>
      </c>
      <c r="BB842" s="763">
        <f t="shared" si="611"/>
        <v>0</v>
      </c>
      <c r="BC842" s="763">
        <f t="shared" si="611"/>
        <v>0</v>
      </c>
      <c r="BD842" s="763">
        <f t="shared" si="611"/>
        <v>0</v>
      </c>
      <c r="BE842" s="763">
        <f t="shared" si="611"/>
        <v>0</v>
      </c>
      <c r="BF842" s="763">
        <f t="shared" si="611"/>
        <v>0</v>
      </c>
      <c r="BG842" s="763">
        <f t="shared" si="611"/>
        <v>0</v>
      </c>
      <c r="BH842" s="763">
        <f t="shared" si="611"/>
        <v>0</v>
      </c>
      <c r="BI842" s="763">
        <f t="shared" si="611"/>
        <v>0</v>
      </c>
      <c r="BJ842" s="763">
        <f t="shared" si="611"/>
        <v>0</v>
      </c>
      <c r="BK842" s="763">
        <f t="shared" si="611"/>
        <v>0</v>
      </c>
      <c r="BL842" s="763">
        <f t="shared" si="611"/>
        <v>0</v>
      </c>
      <c r="BM842" s="763">
        <f t="shared" si="611"/>
        <v>0</v>
      </c>
      <c r="BN842" s="763">
        <f t="shared" si="611"/>
        <v>0</v>
      </c>
      <c r="BO842" s="763">
        <f t="shared" si="611"/>
        <v>0</v>
      </c>
      <c r="BP842" s="763">
        <f t="shared" si="611"/>
        <v>0</v>
      </c>
      <c r="BQ842" s="763">
        <f t="shared" si="611"/>
        <v>0</v>
      </c>
      <c r="BR842" s="763">
        <f t="shared" si="611"/>
        <v>0</v>
      </c>
      <c r="BS842" s="763">
        <f t="shared" si="611"/>
        <v>0</v>
      </c>
      <c r="BT842" s="763">
        <f t="shared" si="611"/>
        <v>0</v>
      </c>
      <c r="BU842" s="763">
        <f t="shared" si="611"/>
        <v>0</v>
      </c>
      <c r="BV842" s="763">
        <f t="shared" si="611"/>
        <v>0</v>
      </c>
      <c r="BW842" s="763">
        <f t="shared" si="611"/>
        <v>0</v>
      </c>
      <c r="BX842" s="763">
        <f t="shared" si="611"/>
        <v>0</v>
      </c>
      <c r="BY842" s="763">
        <f t="shared" si="611"/>
        <v>0</v>
      </c>
      <c r="BZ842" s="763">
        <f t="shared" si="611"/>
        <v>0</v>
      </c>
      <c r="CA842" s="763">
        <f t="shared" si="611"/>
        <v>0</v>
      </c>
      <c r="CB842" s="763">
        <f t="shared" si="611"/>
        <v>0</v>
      </c>
      <c r="CC842" s="763">
        <f t="shared" si="611"/>
        <v>0</v>
      </c>
      <c r="CD842" s="763">
        <f t="shared" si="611"/>
        <v>0</v>
      </c>
      <c r="CE842" s="763">
        <f t="shared" si="611"/>
        <v>0</v>
      </c>
      <c r="CF842" s="763">
        <f t="shared" si="611"/>
        <v>0</v>
      </c>
      <c r="CG842" s="763">
        <f t="shared" si="611"/>
        <v>0</v>
      </c>
      <c r="CH842" s="763">
        <f t="shared" si="611"/>
        <v>0</v>
      </c>
      <c r="CI842" s="763">
        <f t="shared" si="611"/>
        <v>0</v>
      </c>
      <c r="CJ842" s="763">
        <f t="shared" si="611"/>
        <v>0</v>
      </c>
      <c r="CK842" s="763">
        <f t="shared" si="611"/>
        <v>0</v>
      </c>
      <c r="CL842" s="763">
        <f t="shared" si="611"/>
        <v>0</v>
      </c>
      <c r="CM842" s="763">
        <f t="shared" si="611"/>
        <v>0</v>
      </c>
      <c r="CN842" s="763">
        <f t="shared" si="611"/>
        <v>0</v>
      </c>
      <c r="CO842" s="763">
        <f t="shared" si="611"/>
        <v>0</v>
      </c>
      <c r="CP842" s="763">
        <f t="shared" si="611"/>
        <v>0</v>
      </c>
      <c r="CQ842" s="763">
        <f t="shared" si="611"/>
        <v>0</v>
      </c>
      <c r="CR842" s="763">
        <f t="shared" si="611"/>
        <v>0</v>
      </c>
      <c r="CS842" s="763">
        <f t="shared" si="612"/>
        <v>0</v>
      </c>
      <c r="CT842" s="763">
        <f t="shared" si="612"/>
        <v>0</v>
      </c>
      <c r="CU842" s="763">
        <f t="shared" si="612"/>
        <v>0</v>
      </c>
      <c r="CV842" s="763">
        <f t="shared" si="612"/>
        <v>0</v>
      </c>
      <c r="CW842" s="763">
        <f t="shared" si="612"/>
        <v>0</v>
      </c>
      <c r="CX842" s="763">
        <f t="shared" si="612"/>
        <v>0</v>
      </c>
      <c r="CY842" s="763">
        <f t="shared" si="612"/>
        <v>0</v>
      </c>
      <c r="CZ842" s="763">
        <f t="shared" si="612"/>
        <v>0</v>
      </c>
      <c r="DA842" s="763">
        <f t="shared" si="612"/>
        <v>0</v>
      </c>
      <c r="DB842" s="763">
        <f t="shared" si="612"/>
        <v>0</v>
      </c>
      <c r="DC842" s="763">
        <f t="shared" si="612"/>
        <v>0</v>
      </c>
      <c r="DD842" s="763">
        <f t="shared" si="612"/>
        <v>0</v>
      </c>
      <c r="DE842" s="763">
        <f t="shared" si="612"/>
        <v>0</v>
      </c>
      <c r="DF842" s="763">
        <f t="shared" si="612"/>
        <v>0</v>
      </c>
      <c r="DG842" s="763">
        <f t="shared" si="612"/>
        <v>0</v>
      </c>
      <c r="DH842" s="763">
        <f t="shared" si="612"/>
        <v>0</v>
      </c>
      <c r="DI842" s="763">
        <f t="shared" si="612"/>
        <v>0</v>
      </c>
      <c r="DJ842" s="763">
        <f t="shared" si="612"/>
        <v>0</v>
      </c>
      <c r="DK842" s="763">
        <f t="shared" si="612"/>
        <v>0</v>
      </c>
      <c r="DL842" s="763">
        <f t="shared" si="612"/>
        <v>0</v>
      </c>
      <c r="DM842" s="763">
        <f t="shared" si="612"/>
        <v>0</v>
      </c>
      <c r="DN842" s="763">
        <f t="shared" si="612"/>
        <v>0</v>
      </c>
      <c r="DO842" s="763">
        <f t="shared" si="612"/>
        <v>0</v>
      </c>
      <c r="DP842" s="763">
        <f t="shared" si="612"/>
        <v>0</v>
      </c>
      <c r="DQ842" s="763">
        <f t="shared" si="612"/>
        <v>0</v>
      </c>
      <c r="DR842" s="763">
        <f t="shared" si="612"/>
        <v>0</v>
      </c>
      <c r="DS842" s="763">
        <f t="shared" si="612"/>
        <v>0</v>
      </c>
      <c r="DT842" s="763">
        <f t="shared" si="612"/>
        <v>0</v>
      </c>
      <c r="DU842" s="763">
        <f t="shared" si="612"/>
        <v>0</v>
      </c>
      <c r="DV842" s="763">
        <f t="shared" si="612"/>
        <v>0</v>
      </c>
      <c r="DW842" s="763">
        <f t="shared" si="612"/>
        <v>0</v>
      </c>
      <c r="DX842" s="763">
        <f t="shared" si="612"/>
        <v>0</v>
      </c>
      <c r="DY842" s="763">
        <f t="shared" si="612"/>
        <v>0</v>
      </c>
      <c r="DZ842" s="763">
        <f t="shared" si="612"/>
        <v>0</v>
      </c>
      <c r="EA842" s="763">
        <f t="shared" si="612"/>
        <v>0</v>
      </c>
      <c r="EB842" s="763">
        <f t="shared" si="612"/>
        <v>0</v>
      </c>
      <c r="EC842" s="763">
        <f t="shared" si="612"/>
        <v>0</v>
      </c>
      <c r="ED842" s="763">
        <f t="shared" si="612"/>
        <v>0</v>
      </c>
      <c r="EE842" s="763">
        <f t="shared" si="612"/>
        <v>0</v>
      </c>
      <c r="EF842" s="763">
        <f t="shared" si="612"/>
        <v>0</v>
      </c>
      <c r="EG842" s="763">
        <f t="shared" si="612"/>
        <v>0</v>
      </c>
      <c r="EH842" s="763">
        <f t="shared" si="612"/>
        <v>0</v>
      </c>
      <c r="EI842" s="763">
        <f t="shared" si="612"/>
        <v>0</v>
      </c>
      <c r="EJ842" s="763">
        <f t="shared" si="612"/>
        <v>0</v>
      </c>
      <c r="EK842" s="763">
        <f t="shared" si="612"/>
        <v>0</v>
      </c>
      <c r="EL842" s="763">
        <f t="shared" si="612"/>
        <v>0</v>
      </c>
      <c r="EM842" s="763">
        <f t="shared" si="612"/>
        <v>0</v>
      </c>
      <c r="EN842" s="763">
        <f t="shared" si="612"/>
        <v>0</v>
      </c>
      <c r="EO842" s="763">
        <f t="shared" si="612"/>
        <v>0</v>
      </c>
      <c r="EP842" s="763">
        <f t="shared" si="612"/>
        <v>0</v>
      </c>
      <c r="EQ842" s="763">
        <f t="shared" si="612"/>
        <v>0</v>
      </c>
      <c r="ER842" s="763">
        <f t="shared" si="612"/>
        <v>0</v>
      </c>
      <c r="ES842" s="763">
        <f t="shared" si="612"/>
        <v>0</v>
      </c>
      <c r="ET842" s="763">
        <f t="shared" si="612"/>
        <v>0</v>
      </c>
      <c r="EU842" s="763">
        <f t="shared" si="612"/>
        <v>0</v>
      </c>
    </row>
    <row r="843" spans="11:151" ht="12" customHeight="1" x14ac:dyDescent="0.35">
      <c r="K843" s="28"/>
      <c r="L843" s="28"/>
      <c r="M843" s="28"/>
      <c r="N843" s="28"/>
      <c r="O843" s="28"/>
      <c r="P843" s="28"/>
      <c r="Q843" s="28"/>
      <c r="R843" s="31"/>
      <c r="S843" s="36"/>
      <c r="T843" s="26"/>
      <c r="U843" s="29"/>
      <c r="V843" s="29"/>
      <c r="W843" s="377"/>
      <c r="X843" s="376"/>
      <c r="Y843" s="29"/>
      <c r="Z843" s="29" t="str">
        <f>IF(Input!G281&gt;0,AB826,AB$824)</f>
        <v>Investor #1</v>
      </c>
      <c r="AA843" s="29">
        <f t="shared" si="613"/>
        <v>0</v>
      </c>
      <c r="AB843" s="763">
        <f t="shared" si="610"/>
        <v>0</v>
      </c>
      <c r="AC843" s="29">
        <v>3</v>
      </c>
      <c r="AD843" s="1804"/>
      <c r="AE843" s="376"/>
      <c r="AF843" s="763">
        <f t="shared" si="614"/>
        <v>0</v>
      </c>
      <c r="AG843" s="763">
        <f t="shared" si="614"/>
        <v>0</v>
      </c>
      <c r="AH843" s="763">
        <f t="shared" si="614"/>
        <v>0</v>
      </c>
      <c r="AI843" s="763">
        <f t="shared" si="614"/>
        <v>0</v>
      </c>
      <c r="AJ843" s="763">
        <f t="shared" si="614"/>
        <v>0</v>
      </c>
      <c r="AK843" s="763">
        <f t="shared" si="614"/>
        <v>0</v>
      </c>
      <c r="AL843" s="763">
        <f t="shared" si="614"/>
        <v>0</v>
      </c>
      <c r="AM843" s="763">
        <f t="shared" si="614"/>
        <v>0</v>
      </c>
      <c r="AN843" s="763">
        <f t="shared" si="614"/>
        <v>0</v>
      </c>
      <c r="AO843" s="763">
        <f t="shared" ref="AO843:CZ846" si="615">IF($AE843="",0,SUMIF($AE$824:$AE$839,$AE843,AO$824:AO$839))</f>
        <v>0</v>
      </c>
      <c r="AP843" s="763">
        <f t="shared" si="615"/>
        <v>0</v>
      </c>
      <c r="AQ843" s="763">
        <f t="shared" si="615"/>
        <v>0</v>
      </c>
      <c r="AR843" s="763">
        <f t="shared" si="615"/>
        <v>0</v>
      </c>
      <c r="AS843" s="763">
        <f t="shared" si="615"/>
        <v>0</v>
      </c>
      <c r="AT843" s="763">
        <f t="shared" si="615"/>
        <v>0</v>
      </c>
      <c r="AU843" s="763">
        <f t="shared" si="615"/>
        <v>0</v>
      </c>
      <c r="AV843" s="763">
        <f t="shared" si="615"/>
        <v>0</v>
      </c>
      <c r="AW843" s="763">
        <f t="shared" si="615"/>
        <v>0</v>
      </c>
      <c r="AX843" s="763">
        <f t="shared" si="615"/>
        <v>0</v>
      </c>
      <c r="AY843" s="763">
        <f t="shared" si="615"/>
        <v>0</v>
      </c>
      <c r="AZ843" s="763">
        <f t="shared" si="615"/>
        <v>0</v>
      </c>
      <c r="BA843" s="763">
        <f t="shared" si="615"/>
        <v>0</v>
      </c>
      <c r="BB843" s="763">
        <f t="shared" si="615"/>
        <v>0</v>
      </c>
      <c r="BC843" s="763">
        <f t="shared" si="615"/>
        <v>0</v>
      </c>
      <c r="BD843" s="763">
        <f t="shared" si="615"/>
        <v>0</v>
      </c>
      <c r="BE843" s="763">
        <f t="shared" si="615"/>
        <v>0</v>
      </c>
      <c r="BF843" s="763">
        <f t="shared" si="615"/>
        <v>0</v>
      </c>
      <c r="BG843" s="763">
        <f t="shared" si="615"/>
        <v>0</v>
      </c>
      <c r="BH843" s="763">
        <f t="shared" si="615"/>
        <v>0</v>
      </c>
      <c r="BI843" s="763">
        <f t="shared" si="615"/>
        <v>0</v>
      </c>
      <c r="BJ843" s="763">
        <f t="shared" si="615"/>
        <v>0</v>
      </c>
      <c r="BK843" s="763">
        <f t="shared" si="615"/>
        <v>0</v>
      </c>
      <c r="BL843" s="763">
        <f t="shared" si="615"/>
        <v>0</v>
      </c>
      <c r="BM843" s="763">
        <f t="shared" si="615"/>
        <v>0</v>
      </c>
      <c r="BN843" s="763">
        <f t="shared" si="615"/>
        <v>0</v>
      </c>
      <c r="BO843" s="763">
        <f t="shared" si="615"/>
        <v>0</v>
      </c>
      <c r="BP843" s="763">
        <f t="shared" si="615"/>
        <v>0</v>
      </c>
      <c r="BQ843" s="763">
        <f t="shared" si="615"/>
        <v>0</v>
      </c>
      <c r="BR843" s="763">
        <f t="shared" si="615"/>
        <v>0</v>
      </c>
      <c r="BS843" s="763">
        <f t="shared" si="615"/>
        <v>0</v>
      </c>
      <c r="BT843" s="763">
        <f t="shared" si="615"/>
        <v>0</v>
      </c>
      <c r="BU843" s="763">
        <f t="shared" si="615"/>
        <v>0</v>
      </c>
      <c r="BV843" s="763">
        <f t="shared" si="615"/>
        <v>0</v>
      </c>
      <c r="BW843" s="763">
        <f t="shared" si="615"/>
        <v>0</v>
      </c>
      <c r="BX843" s="763">
        <f t="shared" si="615"/>
        <v>0</v>
      </c>
      <c r="BY843" s="763">
        <f t="shared" si="615"/>
        <v>0</v>
      </c>
      <c r="BZ843" s="763">
        <f t="shared" si="615"/>
        <v>0</v>
      </c>
      <c r="CA843" s="763">
        <f t="shared" si="615"/>
        <v>0</v>
      </c>
      <c r="CB843" s="763">
        <f t="shared" si="615"/>
        <v>0</v>
      </c>
      <c r="CC843" s="763">
        <f t="shared" si="615"/>
        <v>0</v>
      </c>
      <c r="CD843" s="763">
        <f t="shared" si="615"/>
        <v>0</v>
      </c>
      <c r="CE843" s="763">
        <f t="shared" si="615"/>
        <v>0</v>
      </c>
      <c r="CF843" s="763">
        <f t="shared" si="615"/>
        <v>0</v>
      </c>
      <c r="CG843" s="763">
        <f t="shared" si="615"/>
        <v>0</v>
      </c>
      <c r="CH843" s="763">
        <f t="shared" si="615"/>
        <v>0</v>
      </c>
      <c r="CI843" s="763">
        <f t="shared" si="615"/>
        <v>0</v>
      </c>
      <c r="CJ843" s="763">
        <f t="shared" si="615"/>
        <v>0</v>
      </c>
      <c r="CK843" s="763">
        <f t="shared" si="615"/>
        <v>0</v>
      </c>
      <c r="CL843" s="763">
        <f t="shared" si="615"/>
        <v>0</v>
      </c>
      <c r="CM843" s="763">
        <f t="shared" si="615"/>
        <v>0</v>
      </c>
      <c r="CN843" s="763">
        <f t="shared" si="615"/>
        <v>0</v>
      </c>
      <c r="CO843" s="763">
        <f t="shared" si="615"/>
        <v>0</v>
      </c>
      <c r="CP843" s="763">
        <f t="shared" si="615"/>
        <v>0</v>
      </c>
      <c r="CQ843" s="763">
        <f t="shared" si="615"/>
        <v>0</v>
      </c>
      <c r="CR843" s="763">
        <f t="shared" si="615"/>
        <v>0</v>
      </c>
      <c r="CS843" s="763">
        <f t="shared" si="615"/>
        <v>0</v>
      </c>
      <c r="CT843" s="763">
        <f t="shared" si="615"/>
        <v>0</v>
      </c>
      <c r="CU843" s="763">
        <f t="shared" si="615"/>
        <v>0</v>
      </c>
      <c r="CV843" s="763">
        <f t="shared" si="615"/>
        <v>0</v>
      </c>
      <c r="CW843" s="763">
        <f t="shared" si="615"/>
        <v>0</v>
      </c>
      <c r="CX843" s="763">
        <f t="shared" si="615"/>
        <v>0</v>
      </c>
      <c r="CY843" s="763">
        <f t="shared" si="615"/>
        <v>0</v>
      </c>
      <c r="CZ843" s="763">
        <f t="shared" si="615"/>
        <v>0</v>
      </c>
      <c r="DA843" s="763">
        <f t="shared" si="612"/>
        <v>0</v>
      </c>
      <c r="DB843" s="763">
        <f t="shared" si="612"/>
        <v>0</v>
      </c>
      <c r="DC843" s="763">
        <f t="shared" si="612"/>
        <v>0</v>
      </c>
      <c r="DD843" s="763">
        <f t="shared" si="612"/>
        <v>0</v>
      </c>
      <c r="DE843" s="763">
        <f t="shared" si="612"/>
        <v>0</v>
      </c>
      <c r="DF843" s="763">
        <f t="shared" si="612"/>
        <v>0</v>
      </c>
      <c r="DG843" s="763">
        <f t="shared" si="612"/>
        <v>0</v>
      </c>
      <c r="DH843" s="763">
        <f t="shared" si="612"/>
        <v>0</v>
      </c>
      <c r="DI843" s="763">
        <f t="shared" si="612"/>
        <v>0</v>
      </c>
      <c r="DJ843" s="763">
        <f t="shared" si="612"/>
        <v>0</v>
      </c>
      <c r="DK843" s="763">
        <f t="shared" si="612"/>
        <v>0</v>
      </c>
      <c r="DL843" s="763">
        <f t="shared" si="612"/>
        <v>0</v>
      </c>
      <c r="DM843" s="763">
        <f t="shared" si="612"/>
        <v>0</v>
      </c>
      <c r="DN843" s="763">
        <f t="shared" si="612"/>
        <v>0</v>
      </c>
      <c r="DO843" s="763">
        <f t="shared" si="612"/>
        <v>0</v>
      </c>
      <c r="DP843" s="763">
        <f t="shared" si="612"/>
        <v>0</v>
      </c>
      <c r="DQ843" s="763">
        <f t="shared" si="612"/>
        <v>0</v>
      </c>
      <c r="DR843" s="763">
        <f t="shared" si="612"/>
        <v>0</v>
      </c>
      <c r="DS843" s="763">
        <f t="shared" si="612"/>
        <v>0</v>
      </c>
      <c r="DT843" s="763">
        <f t="shared" si="612"/>
        <v>0</v>
      </c>
      <c r="DU843" s="763">
        <f t="shared" si="612"/>
        <v>0</v>
      </c>
      <c r="DV843" s="763">
        <f t="shared" si="612"/>
        <v>0</v>
      </c>
      <c r="DW843" s="763">
        <f t="shared" si="612"/>
        <v>0</v>
      </c>
      <c r="DX843" s="763">
        <f t="shared" si="612"/>
        <v>0</v>
      </c>
      <c r="DY843" s="763">
        <f t="shared" si="612"/>
        <v>0</v>
      </c>
      <c r="DZ843" s="763">
        <f t="shared" si="612"/>
        <v>0</v>
      </c>
      <c r="EA843" s="763">
        <f t="shared" si="612"/>
        <v>0</v>
      </c>
      <c r="EB843" s="763">
        <f t="shared" si="612"/>
        <v>0</v>
      </c>
      <c r="EC843" s="763">
        <f t="shared" si="612"/>
        <v>0</v>
      </c>
      <c r="ED843" s="763">
        <f t="shared" si="612"/>
        <v>0</v>
      </c>
      <c r="EE843" s="763">
        <f t="shared" si="612"/>
        <v>0</v>
      </c>
      <c r="EF843" s="763">
        <f t="shared" si="612"/>
        <v>0</v>
      </c>
      <c r="EG843" s="763">
        <f t="shared" si="612"/>
        <v>0</v>
      </c>
      <c r="EH843" s="763">
        <f t="shared" si="612"/>
        <v>0</v>
      </c>
      <c r="EI843" s="763">
        <f t="shared" si="612"/>
        <v>0</v>
      </c>
      <c r="EJ843" s="763">
        <f t="shared" si="612"/>
        <v>0</v>
      </c>
      <c r="EK843" s="763">
        <f t="shared" si="612"/>
        <v>0</v>
      </c>
      <c r="EL843" s="763">
        <f t="shared" si="612"/>
        <v>0</v>
      </c>
      <c r="EM843" s="763">
        <f t="shared" si="612"/>
        <v>0</v>
      </c>
      <c r="EN843" s="763">
        <f t="shared" si="612"/>
        <v>0</v>
      </c>
      <c r="EO843" s="763">
        <f t="shared" si="612"/>
        <v>0</v>
      </c>
      <c r="EP843" s="763">
        <f t="shared" si="612"/>
        <v>0</v>
      </c>
      <c r="EQ843" s="763">
        <f t="shared" si="612"/>
        <v>0</v>
      </c>
      <c r="ER843" s="763">
        <f t="shared" si="612"/>
        <v>0</v>
      </c>
      <c r="ES843" s="763">
        <f t="shared" si="612"/>
        <v>0</v>
      </c>
      <c r="ET843" s="763">
        <f t="shared" si="612"/>
        <v>0</v>
      </c>
      <c r="EU843" s="763">
        <f t="shared" si="612"/>
        <v>0</v>
      </c>
    </row>
    <row r="844" spans="11:151" ht="12" customHeight="1" x14ac:dyDescent="0.35">
      <c r="K844" s="28"/>
      <c r="L844" s="28"/>
      <c r="M844" s="28"/>
      <c r="N844" s="28"/>
      <c r="O844" s="28"/>
      <c r="P844" s="28"/>
      <c r="Q844" s="28"/>
      <c r="R844" s="31"/>
      <c r="S844" s="36"/>
      <c r="T844" s="26"/>
      <c r="U844" s="29"/>
      <c r="V844" s="29"/>
      <c r="W844" s="377"/>
      <c r="X844" s="376"/>
      <c r="Y844" s="29"/>
      <c r="Z844" s="29" t="str">
        <f>IF(Input!G282&gt;0,AB827,AB$824)</f>
        <v>Investor #1</v>
      </c>
      <c r="AA844" s="29">
        <f t="shared" si="613"/>
        <v>0</v>
      </c>
      <c r="AB844" s="763">
        <f t="shared" si="610"/>
        <v>0</v>
      </c>
      <c r="AC844" s="29">
        <v>4</v>
      </c>
      <c r="AD844" s="1804"/>
      <c r="AE844" s="376"/>
      <c r="AF844" s="763">
        <f t="shared" si="614"/>
        <v>0</v>
      </c>
      <c r="AG844" s="763">
        <f t="shared" si="614"/>
        <v>0</v>
      </c>
      <c r="AH844" s="763">
        <f t="shared" si="614"/>
        <v>0</v>
      </c>
      <c r="AI844" s="763">
        <f t="shared" si="614"/>
        <v>0</v>
      </c>
      <c r="AJ844" s="763">
        <f t="shared" si="614"/>
        <v>0</v>
      </c>
      <c r="AK844" s="763">
        <f t="shared" si="614"/>
        <v>0</v>
      </c>
      <c r="AL844" s="763">
        <f t="shared" si="614"/>
        <v>0</v>
      </c>
      <c r="AM844" s="763">
        <f t="shared" si="614"/>
        <v>0</v>
      </c>
      <c r="AN844" s="763">
        <f t="shared" si="614"/>
        <v>0</v>
      </c>
      <c r="AO844" s="763">
        <f t="shared" si="615"/>
        <v>0</v>
      </c>
      <c r="AP844" s="763">
        <f t="shared" si="615"/>
        <v>0</v>
      </c>
      <c r="AQ844" s="763">
        <f t="shared" si="615"/>
        <v>0</v>
      </c>
      <c r="AR844" s="763">
        <f t="shared" si="615"/>
        <v>0</v>
      </c>
      <c r="AS844" s="763">
        <f t="shared" si="615"/>
        <v>0</v>
      </c>
      <c r="AT844" s="763">
        <f t="shared" si="615"/>
        <v>0</v>
      </c>
      <c r="AU844" s="763">
        <f t="shared" si="615"/>
        <v>0</v>
      </c>
      <c r="AV844" s="763">
        <f t="shared" si="615"/>
        <v>0</v>
      </c>
      <c r="AW844" s="763">
        <f t="shared" si="615"/>
        <v>0</v>
      </c>
      <c r="AX844" s="763">
        <f t="shared" si="615"/>
        <v>0</v>
      </c>
      <c r="AY844" s="763">
        <f t="shared" si="615"/>
        <v>0</v>
      </c>
      <c r="AZ844" s="763">
        <f t="shared" si="615"/>
        <v>0</v>
      </c>
      <c r="BA844" s="763">
        <f t="shared" si="615"/>
        <v>0</v>
      </c>
      <c r="BB844" s="763">
        <f t="shared" si="615"/>
        <v>0</v>
      </c>
      <c r="BC844" s="763">
        <f t="shared" si="615"/>
        <v>0</v>
      </c>
      <c r="BD844" s="763">
        <f t="shared" si="615"/>
        <v>0</v>
      </c>
      <c r="BE844" s="763">
        <f t="shared" si="615"/>
        <v>0</v>
      </c>
      <c r="BF844" s="763">
        <f t="shared" si="615"/>
        <v>0</v>
      </c>
      <c r="BG844" s="763">
        <f t="shared" si="615"/>
        <v>0</v>
      </c>
      <c r="BH844" s="763">
        <f t="shared" si="615"/>
        <v>0</v>
      </c>
      <c r="BI844" s="763">
        <f t="shared" si="615"/>
        <v>0</v>
      </c>
      <c r="BJ844" s="763">
        <f t="shared" si="615"/>
        <v>0</v>
      </c>
      <c r="BK844" s="763">
        <f t="shared" si="615"/>
        <v>0</v>
      </c>
      <c r="BL844" s="763">
        <f t="shared" si="615"/>
        <v>0</v>
      </c>
      <c r="BM844" s="763">
        <f t="shared" si="615"/>
        <v>0</v>
      </c>
      <c r="BN844" s="763">
        <f t="shared" si="615"/>
        <v>0</v>
      </c>
      <c r="BO844" s="763">
        <f t="shared" si="615"/>
        <v>0</v>
      </c>
      <c r="BP844" s="763">
        <f t="shared" si="615"/>
        <v>0</v>
      </c>
      <c r="BQ844" s="763">
        <f t="shared" si="615"/>
        <v>0</v>
      </c>
      <c r="BR844" s="763">
        <f t="shared" si="615"/>
        <v>0</v>
      </c>
      <c r="BS844" s="763">
        <f t="shared" si="615"/>
        <v>0</v>
      </c>
      <c r="BT844" s="763">
        <f t="shared" si="615"/>
        <v>0</v>
      </c>
      <c r="BU844" s="763">
        <f t="shared" si="615"/>
        <v>0</v>
      </c>
      <c r="BV844" s="763">
        <f t="shared" si="615"/>
        <v>0</v>
      </c>
      <c r="BW844" s="763">
        <f t="shared" si="615"/>
        <v>0</v>
      </c>
      <c r="BX844" s="763">
        <f t="shared" si="615"/>
        <v>0</v>
      </c>
      <c r="BY844" s="763">
        <f t="shared" si="615"/>
        <v>0</v>
      </c>
      <c r="BZ844" s="763">
        <f t="shared" si="615"/>
        <v>0</v>
      </c>
      <c r="CA844" s="763">
        <f t="shared" si="615"/>
        <v>0</v>
      </c>
      <c r="CB844" s="763">
        <f t="shared" si="615"/>
        <v>0</v>
      </c>
      <c r="CC844" s="763">
        <f t="shared" si="615"/>
        <v>0</v>
      </c>
      <c r="CD844" s="763">
        <f t="shared" si="615"/>
        <v>0</v>
      </c>
      <c r="CE844" s="763">
        <f t="shared" si="615"/>
        <v>0</v>
      </c>
      <c r="CF844" s="763">
        <f t="shared" si="615"/>
        <v>0</v>
      </c>
      <c r="CG844" s="763">
        <f t="shared" si="615"/>
        <v>0</v>
      </c>
      <c r="CH844" s="763">
        <f t="shared" si="615"/>
        <v>0</v>
      </c>
      <c r="CI844" s="763">
        <f t="shared" si="615"/>
        <v>0</v>
      </c>
      <c r="CJ844" s="763">
        <f t="shared" si="615"/>
        <v>0</v>
      </c>
      <c r="CK844" s="763">
        <f t="shared" si="615"/>
        <v>0</v>
      </c>
      <c r="CL844" s="763">
        <f t="shared" si="615"/>
        <v>0</v>
      </c>
      <c r="CM844" s="763">
        <f t="shared" si="615"/>
        <v>0</v>
      </c>
      <c r="CN844" s="763">
        <f t="shared" si="615"/>
        <v>0</v>
      </c>
      <c r="CO844" s="763">
        <f t="shared" si="615"/>
        <v>0</v>
      </c>
      <c r="CP844" s="763">
        <f t="shared" si="615"/>
        <v>0</v>
      </c>
      <c r="CQ844" s="763">
        <f t="shared" si="615"/>
        <v>0</v>
      </c>
      <c r="CR844" s="763">
        <f t="shared" si="615"/>
        <v>0</v>
      </c>
      <c r="CS844" s="763">
        <f t="shared" si="615"/>
        <v>0</v>
      </c>
      <c r="CT844" s="763">
        <f t="shared" si="615"/>
        <v>0</v>
      </c>
      <c r="CU844" s="763">
        <f t="shared" si="615"/>
        <v>0</v>
      </c>
      <c r="CV844" s="763">
        <f t="shared" si="615"/>
        <v>0</v>
      </c>
      <c r="CW844" s="763">
        <f t="shared" si="615"/>
        <v>0</v>
      </c>
      <c r="CX844" s="763">
        <f t="shared" si="615"/>
        <v>0</v>
      </c>
      <c r="CY844" s="763">
        <f t="shared" si="615"/>
        <v>0</v>
      </c>
      <c r="CZ844" s="763">
        <f t="shared" si="615"/>
        <v>0</v>
      </c>
      <c r="DA844" s="763">
        <f t="shared" si="612"/>
        <v>0</v>
      </c>
      <c r="DB844" s="763">
        <f t="shared" si="612"/>
        <v>0</v>
      </c>
      <c r="DC844" s="763">
        <f t="shared" si="612"/>
        <v>0</v>
      </c>
      <c r="DD844" s="763">
        <f t="shared" si="612"/>
        <v>0</v>
      </c>
      <c r="DE844" s="763">
        <f t="shared" si="612"/>
        <v>0</v>
      </c>
      <c r="DF844" s="763">
        <f t="shared" si="612"/>
        <v>0</v>
      </c>
      <c r="DG844" s="763">
        <f t="shared" si="612"/>
        <v>0</v>
      </c>
      <c r="DH844" s="763">
        <f t="shared" si="612"/>
        <v>0</v>
      </c>
      <c r="DI844" s="763">
        <f t="shared" si="612"/>
        <v>0</v>
      </c>
      <c r="DJ844" s="763">
        <f t="shared" si="612"/>
        <v>0</v>
      </c>
      <c r="DK844" s="763">
        <f t="shared" si="612"/>
        <v>0</v>
      </c>
      <c r="DL844" s="763">
        <f t="shared" si="612"/>
        <v>0</v>
      </c>
      <c r="DM844" s="763">
        <f t="shared" si="612"/>
        <v>0</v>
      </c>
      <c r="DN844" s="763">
        <f t="shared" si="612"/>
        <v>0</v>
      </c>
      <c r="DO844" s="763">
        <f t="shared" si="612"/>
        <v>0</v>
      </c>
      <c r="DP844" s="763">
        <f t="shared" si="612"/>
        <v>0</v>
      </c>
      <c r="DQ844" s="763">
        <f t="shared" si="612"/>
        <v>0</v>
      </c>
      <c r="DR844" s="763">
        <f t="shared" si="612"/>
        <v>0</v>
      </c>
      <c r="DS844" s="763">
        <f t="shared" si="612"/>
        <v>0</v>
      </c>
      <c r="DT844" s="763">
        <f t="shared" si="612"/>
        <v>0</v>
      </c>
      <c r="DU844" s="763">
        <f t="shared" si="612"/>
        <v>0</v>
      </c>
      <c r="DV844" s="763">
        <f t="shared" si="612"/>
        <v>0</v>
      </c>
      <c r="DW844" s="763">
        <f t="shared" si="612"/>
        <v>0</v>
      </c>
      <c r="DX844" s="763">
        <f t="shared" si="612"/>
        <v>0</v>
      </c>
      <c r="DY844" s="763">
        <f t="shared" si="612"/>
        <v>0</v>
      </c>
      <c r="DZ844" s="763">
        <f t="shared" si="612"/>
        <v>0</v>
      </c>
      <c r="EA844" s="763">
        <f t="shared" si="612"/>
        <v>0</v>
      </c>
      <c r="EB844" s="763">
        <f t="shared" si="612"/>
        <v>0</v>
      </c>
      <c r="EC844" s="763">
        <f t="shared" si="612"/>
        <v>0</v>
      </c>
      <c r="ED844" s="763">
        <f t="shared" si="612"/>
        <v>0</v>
      </c>
      <c r="EE844" s="763">
        <f t="shared" si="612"/>
        <v>0</v>
      </c>
      <c r="EF844" s="763">
        <f t="shared" si="612"/>
        <v>0</v>
      </c>
      <c r="EG844" s="763">
        <f t="shared" si="612"/>
        <v>0</v>
      </c>
      <c r="EH844" s="763">
        <f t="shared" si="612"/>
        <v>0</v>
      </c>
      <c r="EI844" s="763">
        <f t="shared" si="612"/>
        <v>0</v>
      </c>
      <c r="EJ844" s="763">
        <f t="shared" si="612"/>
        <v>0</v>
      </c>
      <c r="EK844" s="763">
        <f t="shared" si="612"/>
        <v>0</v>
      </c>
      <c r="EL844" s="763">
        <f t="shared" si="612"/>
        <v>0</v>
      </c>
      <c r="EM844" s="763">
        <f t="shared" si="612"/>
        <v>0</v>
      </c>
      <c r="EN844" s="763">
        <f t="shared" si="612"/>
        <v>0</v>
      </c>
      <c r="EO844" s="763">
        <f t="shared" si="612"/>
        <v>0</v>
      </c>
      <c r="EP844" s="763">
        <f t="shared" si="612"/>
        <v>0</v>
      </c>
      <c r="EQ844" s="763">
        <f t="shared" si="612"/>
        <v>0</v>
      </c>
      <c r="ER844" s="763">
        <f t="shared" si="612"/>
        <v>0</v>
      </c>
      <c r="ES844" s="763">
        <f t="shared" si="612"/>
        <v>0</v>
      </c>
      <c r="ET844" s="763">
        <f t="shared" si="612"/>
        <v>0</v>
      </c>
      <c r="EU844" s="763">
        <f t="shared" si="612"/>
        <v>0</v>
      </c>
    </row>
    <row r="845" spans="11:151" ht="12" customHeight="1" x14ac:dyDescent="0.35">
      <c r="K845" s="28"/>
      <c r="L845" s="28"/>
      <c r="M845" s="28"/>
      <c r="N845" s="28"/>
      <c r="O845" s="28"/>
      <c r="P845" s="28"/>
      <c r="Q845" s="28"/>
      <c r="R845" s="31"/>
      <c r="S845" s="36"/>
      <c r="T845" s="26"/>
      <c r="U845" s="29"/>
      <c r="V845" s="29"/>
      <c r="W845" s="377"/>
      <c r="X845" s="376"/>
      <c r="Y845" s="29"/>
      <c r="Z845" s="29" t="str">
        <f>IF(Input!G283&gt;0,AB828,AB$824)</f>
        <v>Investor #1</v>
      </c>
      <c r="AA845" s="29">
        <f t="shared" si="613"/>
        <v>0</v>
      </c>
      <c r="AB845" s="763">
        <f t="shared" si="610"/>
        <v>0</v>
      </c>
      <c r="AC845" s="29">
        <v>5</v>
      </c>
      <c r="AD845" s="1804"/>
      <c r="AE845" s="376"/>
      <c r="AF845" s="763">
        <f t="shared" si="614"/>
        <v>0</v>
      </c>
      <c r="AG845" s="763">
        <f t="shared" si="614"/>
        <v>0</v>
      </c>
      <c r="AH845" s="763">
        <f t="shared" si="614"/>
        <v>0</v>
      </c>
      <c r="AI845" s="763">
        <f t="shared" si="614"/>
        <v>0</v>
      </c>
      <c r="AJ845" s="763">
        <f t="shared" si="614"/>
        <v>0</v>
      </c>
      <c r="AK845" s="763">
        <f t="shared" si="614"/>
        <v>0</v>
      </c>
      <c r="AL845" s="763">
        <f t="shared" si="614"/>
        <v>0</v>
      </c>
      <c r="AM845" s="763">
        <f t="shared" si="614"/>
        <v>0</v>
      </c>
      <c r="AN845" s="763">
        <f t="shared" si="614"/>
        <v>0</v>
      </c>
      <c r="AO845" s="763">
        <f t="shared" si="615"/>
        <v>0</v>
      </c>
      <c r="AP845" s="763">
        <f t="shared" si="615"/>
        <v>0</v>
      </c>
      <c r="AQ845" s="763">
        <f t="shared" si="615"/>
        <v>0</v>
      </c>
      <c r="AR845" s="763">
        <f t="shared" si="615"/>
        <v>0</v>
      </c>
      <c r="AS845" s="763">
        <f t="shared" si="615"/>
        <v>0</v>
      </c>
      <c r="AT845" s="763">
        <f t="shared" si="615"/>
        <v>0</v>
      </c>
      <c r="AU845" s="763">
        <f t="shared" si="615"/>
        <v>0</v>
      </c>
      <c r="AV845" s="763">
        <f t="shared" si="615"/>
        <v>0</v>
      </c>
      <c r="AW845" s="763">
        <f t="shared" si="615"/>
        <v>0</v>
      </c>
      <c r="AX845" s="763">
        <f t="shared" si="615"/>
        <v>0</v>
      </c>
      <c r="AY845" s="763">
        <f t="shared" si="615"/>
        <v>0</v>
      </c>
      <c r="AZ845" s="763">
        <f t="shared" si="615"/>
        <v>0</v>
      </c>
      <c r="BA845" s="763">
        <f t="shared" si="615"/>
        <v>0</v>
      </c>
      <c r="BB845" s="763">
        <f t="shared" si="615"/>
        <v>0</v>
      </c>
      <c r="BC845" s="763">
        <f t="shared" si="615"/>
        <v>0</v>
      </c>
      <c r="BD845" s="763">
        <f t="shared" si="615"/>
        <v>0</v>
      </c>
      <c r="BE845" s="763">
        <f t="shared" si="615"/>
        <v>0</v>
      </c>
      <c r="BF845" s="763">
        <f t="shared" si="615"/>
        <v>0</v>
      </c>
      <c r="BG845" s="763">
        <f t="shared" si="615"/>
        <v>0</v>
      </c>
      <c r="BH845" s="763">
        <f t="shared" si="615"/>
        <v>0</v>
      </c>
      <c r="BI845" s="763">
        <f t="shared" si="615"/>
        <v>0</v>
      </c>
      <c r="BJ845" s="763">
        <f t="shared" si="615"/>
        <v>0</v>
      </c>
      <c r="BK845" s="763">
        <f t="shared" si="615"/>
        <v>0</v>
      </c>
      <c r="BL845" s="763">
        <f t="shared" si="615"/>
        <v>0</v>
      </c>
      <c r="BM845" s="763">
        <f t="shared" si="615"/>
        <v>0</v>
      </c>
      <c r="BN845" s="763">
        <f t="shared" si="615"/>
        <v>0</v>
      </c>
      <c r="BO845" s="763">
        <f t="shared" si="615"/>
        <v>0</v>
      </c>
      <c r="BP845" s="763">
        <f t="shared" si="615"/>
        <v>0</v>
      </c>
      <c r="BQ845" s="763">
        <f t="shared" si="615"/>
        <v>0</v>
      </c>
      <c r="BR845" s="763">
        <f t="shared" si="615"/>
        <v>0</v>
      </c>
      <c r="BS845" s="763">
        <f t="shared" si="615"/>
        <v>0</v>
      </c>
      <c r="BT845" s="763">
        <f t="shared" si="615"/>
        <v>0</v>
      </c>
      <c r="BU845" s="763">
        <f t="shared" si="615"/>
        <v>0</v>
      </c>
      <c r="BV845" s="763">
        <f t="shared" si="615"/>
        <v>0</v>
      </c>
      <c r="BW845" s="763">
        <f t="shared" si="615"/>
        <v>0</v>
      </c>
      <c r="BX845" s="763">
        <f t="shared" si="615"/>
        <v>0</v>
      </c>
      <c r="BY845" s="763">
        <f t="shared" si="615"/>
        <v>0</v>
      </c>
      <c r="BZ845" s="763">
        <f t="shared" si="615"/>
        <v>0</v>
      </c>
      <c r="CA845" s="763">
        <f t="shared" si="615"/>
        <v>0</v>
      </c>
      <c r="CB845" s="763">
        <f t="shared" si="615"/>
        <v>0</v>
      </c>
      <c r="CC845" s="763">
        <f t="shared" si="615"/>
        <v>0</v>
      </c>
      <c r="CD845" s="763">
        <f t="shared" si="615"/>
        <v>0</v>
      </c>
      <c r="CE845" s="763">
        <f t="shared" si="615"/>
        <v>0</v>
      </c>
      <c r="CF845" s="763">
        <f t="shared" si="615"/>
        <v>0</v>
      </c>
      <c r="CG845" s="763">
        <f t="shared" si="615"/>
        <v>0</v>
      </c>
      <c r="CH845" s="763">
        <f t="shared" si="615"/>
        <v>0</v>
      </c>
      <c r="CI845" s="763">
        <f t="shared" si="615"/>
        <v>0</v>
      </c>
      <c r="CJ845" s="763">
        <f t="shared" si="615"/>
        <v>0</v>
      </c>
      <c r="CK845" s="763">
        <f t="shared" si="615"/>
        <v>0</v>
      </c>
      <c r="CL845" s="763">
        <f t="shared" si="615"/>
        <v>0</v>
      </c>
      <c r="CM845" s="763">
        <f t="shared" si="615"/>
        <v>0</v>
      </c>
      <c r="CN845" s="763">
        <f t="shared" si="615"/>
        <v>0</v>
      </c>
      <c r="CO845" s="763">
        <f t="shared" si="615"/>
        <v>0</v>
      </c>
      <c r="CP845" s="763">
        <f t="shared" si="615"/>
        <v>0</v>
      </c>
      <c r="CQ845" s="763">
        <f t="shared" si="615"/>
        <v>0</v>
      </c>
      <c r="CR845" s="763">
        <f t="shared" si="615"/>
        <v>0</v>
      </c>
      <c r="CS845" s="763">
        <f t="shared" si="615"/>
        <v>0</v>
      </c>
      <c r="CT845" s="763">
        <f t="shared" si="615"/>
        <v>0</v>
      </c>
      <c r="CU845" s="763">
        <f t="shared" si="615"/>
        <v>0</v>
      </c>
      <c r="CV845" s="763">
        <f t="shared" si="615"/>
        <v>0</v>
      </c>
      <c r="CW845" s="763">
        <f t="shared" si="615"/>
        <v>0</v>
      </c>
      <c r="CX845" s="763">
        <f t="shared" si="615"/>
        <v>0</v>
      </c>
      <c r="CY845" s="763">
        <f t="shared" si="615"/>
        <v>0</v>
      </c>
      <c r="CZ845" s="763">
        <f t="shared" si="615"/>
        <v>0</v>
      </c>
      <c r="DA845" s="763">
        <f t="shared" si="612"/>
        <v>0</v>
      </c>
      <c r="DB845" s="763">
        <f t="shared" si="612"/>
        <v>0</v>
      </c>
      <c r="DC845" s="763">
        <f t="shared" si="612"/>
        <v>0</v>
      </c>
      <c r="DD845" s="763">
        <f t="shared" si="612"/>
        <v>0</v>
      </c>
      <c r="DE845" s="763">
        <f t="shared" si="612"/>
        <v>0</v>
      </c>
      <c r="DF845" s="763">
        <f t="shared" si="612"/>
        <v>0</v>
      </c>
      <c r="DG845" s="763">
        <f t="shared" si="612"/>
        <v>0</v>
      </c>
      <c r="DH845" s="763">
        <f t="shared" si="612"/>
        <v>0</v>
      </c>
      <c r="DI845" s="763">
        <f t="shared" si="612"/>
        <v>0</v>
      </c>
      <c r="DJ845" s="763">
        <f t="shared" si="612"/>
        <v>0</v>
      </c>
      <c r="DK845" s="763">
        <f t="shared" si="612"/>
        <v>0</v>
      </c>
      <c r="DL845" s="763">
        <f t="shared" si="612"/>
        <v>0</v>
      </c>
      <c r="DM845" s="763">
        <f t="shared" si="612"/>
        <v>0</v>
      </c>
      <c r="DN845" s="763">
        <f t="shared" si="612"/>
        <v>0</v>
      </c>
      <c r="DO845" s="763">
        <f t="shared" si="612"/>
        <v>0</v>
      </c>
      <c r="DP845" s="763">
        <f t="shared" si="612"/>
        <v>0</v>
      </c>
      <c r="DQ845" s="763">
        <f t="shared" si="612"/>
        <v>0</v>
      </c>
      <c r="DR845" s="763">
        <f t="shared" si="612"/>
        <v>0</v>
      </c>
      <c r="DS845" s="763">
        <f t="shared" si="612"/>
        <v>0</v>
      </c>
      <c r="DT845" s="763">
        <f t="shared" si="612"/>
        <v>0</v>
      </c>
      <c r="DU845" s="763">
        <f t="shared" si="612"/>
        <v>0</v>
      </c>
      <c r="DV845" s="763">
        <f t="shared" si="612"/>
        <v>0</v>
      </c>
      <c r="DW845" s="763">
        <f t="shared" si="612"/>
        <v>0</v>
      </c>
      <c r="DX845" s="763">
        <f t="shared" si="612"/>
        <v>0</v>
      </c>
      <c r="DY845" s="763">
        <f t="shared" si="612"/>
        <v>0</v>
      </c>
      <c r="DZ845" s="763">
        <f t="shared" si="612"/>
        <v>0</v>
      </c>
      <c r="EA845" s="763">
        <f t="shared" si="612"/>
        <v>0</v>
      </c>
      <c r="EB845" s="763">
        <f t="shared" si="612"/>
        <v>0</v>
      </c>
      <c r="EC845" s="763">
        <f t="shared" si="612"/>
        <v>0</v>
      </c>
      <c r="ED845" s="763">
        <f t="shared" si="612"/>
        <v>0</v>
      </c>
      <c r="EE845" s="763">
        <f t="shared" si="612"/>
        <v>0</v>
      </c>
      <c r="EF845" s="763">
        <f t="shared" si="612"/>
        <v>0</v>
      </c>
      <c r="EG845" s="763">
        <f t="shared" si="612"/>
        <v>0</v>
      </c>
      <c r="EH845" s="763">
        <f t="shared" si="612"/>
        <v>0</v>
      </c>
      <c r="EI845" s="763">
        <f t="shared" si="612"/>
        <v>0</v>
      </c>
      <c r="EJ845" s="763">
        <f t="shared" si="612"/>
        <v>0</v>
      </c>
      <c r="EK845" s="763">
        <f t="shared" si="612"/>
        <v>0</v>
      </c>
      <c r="EL845" s="763">
        <f t="shared" si="612"/>
        <v>0</v>
      </c>
      <c r="EM845" s="763">
        <f t="shared" si="612"/>
        <v>0</v>
      </c>
      <c r="EN845" s="763">
        <f t="shared" si="612"/>
        <v>0</v>
      </c>
      <c r="EO845" s="763">
        <f t="shared" si="612"/>
        <v>0</v>
      </c>
      <c r="EP845" s="763">
        <f t="shared" si="612"/>
        <v>0</v>
      </c>
      <c r="EQ845" s="763">
        <f t="shared" si="612"/>
        <v>0</v>
      </c>
      <c r="ER845" s="763">
        <f t="shared" si="612"/>
        <v>0</v>
      </c>
      <c r="ES845" s="763">
        <f t="shared" si="612"/>
        <v>0</v>
      </c>
      <c r="ET845" s="763">
        <f t="shared" si="612"/>
        <v>0</v>
      </c>
      <c r="EU845" s="763">
        <f t="shared" si="612"/>
        <v>0</v>
      </c>
    </row>
    <row r="846" spans="11:151" ht="12" customHeight="1" x14ac:dyDescent="0.35">
      <c r="K846" s="28"/>
      <c r="L846" s="28"/>
      <c r="M846" s="28"/>
      <c r="N846" s="28"/>
      <c r="O846" s="28"/>
      <c r="P846" s="28"/>
      <c r="Q846" s="28"/>
      <c r="R846" s="31"/>
      <c r="S846" s="36"/>
      <c r="T846" s="26"/>
      <c r="U846" s="29"/>
      <c r="V846" s="29"/>
      <c r="W846" s="377"/>
      <c r="X846" s="376"/>
      <c r="Y846" s="29"/>
      <c r="Z846" s="29" t="str">
        <f>IF(Input!G284&gt;0,AB829,AB$824)</f>
        <v>Investor #1</v>
      </c>
      <c r="AA846" s="29">
        <f t="shared" si="613"/>
        <v>0</v>
      </c>
      <c r="AB846" s="763">
        <f t="shared" si="610"/>
        <v>0</v>
      </c>
      <c r="AC846" s="29">
        <v>6</v>
      </c>
      <c r="AD846" s="1804"/>
      <c r="AE846" s="376"/>
      <c r="AF846" s="763">
        <f t="shared" si="614"/>
        <v>0</v>
      </c>
      <c r="AG846" s="763">
        <f t="shared" si="614"/>
        <v>0</v>
      </c>
      <c r="AH846" s="763">
        <f t="shared" si="614"/>
        <v>0</v>
      </c>
      <c r="AI846" s="763">
        <f t="shared" si="614"/>
        <v>0</v>
      </c>
      <c r="AJ846" s="763">
        <f t="shared" si="614"/>
        <v>0</v>
      </c>
      <c r="AK846" s="763">
        <f t="shared" si="614"/>
        <v>0</v>
      </c>
      <c r="AL846" s="763">
        <f t="shared" si="614"/>
        <v>0</v>
      </c>
      <c r="AM846" s="763">
        <f t="shared" si="614"/>
        <v>0</v>
      </c>
      <c r="AN846" s="763">
        <f t="shared" si="614"/>
        <v>0</v>
      </c>
      <c r="AO846" s="763">
        <f t="shared" si="615"/>
        <v>0</v>
      </c>
      <c r="AP846" s="763">
        <f t="shared" si="615"/>
        <v>0</v>
      </c>
      <c r="AQ846" s="763">
        <f t="shared" si="615"/>
        <v>0</v>
      </c>
      <c r="AR846" s="763">
        <f t="shared" si="615"/>
        <v>0</v>
      </c>
      <c r="AS846" s="763">
        <f t="shared" si="615"/>
        <v>0</v>
      </c>
      <c r="AT846" s="763">
        <f t="shared" si="615"/>
        <v>0</v>
      </c>
      <c r="AU846" s="763">
        <f t="shared" si="615"/>
        <v>0</v>
      </c>
      <c r="AV846" s="763">
        <f t="shared" si="615"/>
        <v>0</v>
      </c>
      <c r="AW846" s="763">
        <f t="shared" si="615"/>
        <v>0</v>
      </c>
      <c r="AX846" s="763">
        <f t="shared" si="615"/>
        <v>0</v>
      </c>
      <c r="AY846" s="763">
        <f t="shared" si="615"/>
        <v>0</v>
      </c>
      <c r="AZ846" s="763">
        <f t="shared" si="615"/>
        <v>0</v>
      </c>
      <c r="BA846" s="763">
        <f t="shared" si="615"/>
        <v>0</v>
      </c>
      <c r="BB846" s="763">
        <f t="shared" si="615"/>
        <v>0</v>
      </c>
      <c r="BC846" s="763">
        <f t="shared" si="615"/>
        <v>0</v>
      </c>
      <c r="BD846" s="763">
        <f t="shared" si="615"/>
        <v>0</v>
      </c>
      <c r="BE846" s="763">
        <f t="shared" si="615"/>
        <v>0</v>
      </c>
      <c r="BF846" s="763">
        <f t="shared" si="615"/>
        <v>0</v>
      </c>
      <c r="BG846" s="763">
        <f t="shared" si="615"/>
        <v>0</v>
      </c>
      <c r="BH846" s="763">
        <f t="shared" si="615"/>
        <v>0</v>
      </c>
      <c r="BI846" s="763">
        <f t="shared" si="615"/>
        <v>0</v>
      </c>
      <c r="BJ846" s="763">
        <f t="shared" si="615"/>
        <v>0</v>
      </c>
      <c r="BK846" s="763">
        <f t="shared" si="615"/>
        <v>0</v>
      </c>
      <c r="BL846" s="763">
        <f t="shared" si="615"/>
        <v>0</v>
      </c>
      <c r="BM846" s="763">
        <f t="shared" si="615"/>
        <v>0</v>
      </c>
      <c r="BN846" s="763">
        <f t="shared" si="615"/>
        <v>0</v>
      </c>
      <c r="BO846" s="763">
        <f t="shared" si="615"/>
        <v>0</v>
      </c>
      <c r="BP846" s="763">
        <f t="shared" si="615"/>
        <v>0</v>
      </c>
      <c r="BQ846" s="763">
        <f t="shared" si="615"/>
        <v>0</v>
      </c>
      <c r="BR846" s="763">
        <f t="shared" si="615"/>
        <v>0</v>
      </c>
      <c r="BS846" s="763">
        <f t="shared" si="615"/>
        <v>0</v>
      </c>
      <c r="BT846" s="763">
        <f t="shared" si="615"/>
        <v>0</v>
      </c>
      <c r="BU846" s="763">
        <f t="shared" si="615"/>
        <v>0</v>
      </c>
      <c r="BV846" s="763">
        <f t="shared" si="615"/>
        <v>0</v>
      </c>
      <c r="BW846" s="763">
        <f t="shared" si="615"/>
        <v>0</v>
      </c>
      <c r="BX846" s="763">
        <f t="shared" si="615"/>
        <v>0</v>
      </c>
      <c r="BY846" s="763">
        <f t="shared" si="615"/>
        <v>0</v>
      </c>
      <c r="BZ846" s="763">
        <f t="shared" si="615"/>
        <v>0</v>
      </c>
      <c r="CA846" s="763">
        <f t="shared" si="615"/>
        <v>0</v>
      </c>
      <c r="CB846" s="763">
        <f t="shared" si="615"/>
        <v>0</v>
      </c>
      <c r="CC846" s="763">
        <f t="shared" si="615"/>
        <v>0</v>
      </c>
      <c r="CD846" s="763">
        <f t="shared" si="615"/>
        <v>0</v>
      </c>
      <c r="CE846" s="763">
        <f t="shared" si="615"/>
        <v>0</v>
      </c>
      <c r="CF846" s="763">
        <f t="shared" si="615"/>
        <v>0</v>
      </c>
      <c r="CG846" s="763">
        <f t="shared" si="615"/>
        <v>0</v>
      </c>
      <c r="CH846" s="763">
        <f t="shared" si="615"/>
        <v>0</v>
      </c>
      <c r="CI846" s="763">
        <f t="shared" si="615"/>
        <v>0</v>
      </c>
      <c r="CJ846" s="763">
        <f t="shared" si="615"/>
        <v>0</v>
      </c>
      <c r="CK846" s="763">
        <f t="shared" si="615"/>
        <v>0</v>
      </c>
      <c r="CL846" s="763">
        <f t="shared" si="615"/>
        <v>0</v>
      </c>
      <c r="CM846" s="763">
        <f t="shared" si="615"/>
        <v>0</v>
      </c>
      <c r="CN846" s="763">
        <f t="shared" si="615"/>
        <v>0</v>
      </c>
      <c r="CO846" s="763">
        <f t="shared" si="615"/>
        <v>0</v>
      </c>
      <c r="CP846" s="763">
        <f t="shared" si="615"/>
        <v>0</v>
      </c>
      <c r="CQ846" s="763">
        <f t="shared" si="615"/>
        <v>0</v>
      </c>
      <c r="CR846" s="763">
        <f t="shared" si="615"/>
        <v>0</v>
      </c>
      <c r="CS846" s="763">
        <f t="shared" si="615"/>
        <v>0</v>
      </c>
      <c r="CT846" s="763">
        <f t="shared" si="615"/>
        <v>0</v>
      </c>
      <c r="CU846" s="763">
        <f t="shared" si="615"/>
        <v>0</v>
      </c>
      <c r="CV846" s="763">
        <f t="shared" si="615"/>
        <v>0</v>
      </c>
      <c r="CW846" s="763">
        <f t="shared" si="615"/>
        <v>0</v>
      </c>
      <c r="CX846" s="763">
        <f t="shared" si="615"/>
        <v>0</v>
      </c>
      <c r="CY846" s="763">
        <f t="shared" si="615"/>
        <v>0</v>
      </c>
      <c r="CZ846" s="763">
        <f t="shared" ref="CZ846:EU849" si="616">IF($AE846="",0,SUMIF($AE$824:$AE$839,$AE846,CZ$824:CZ$839))</f>
        <v>0</v>
      </c>
      <c r="DA846" s="763">
        <f t="shared" si="616"/>
        <v>0</v>
      </c>
      <c r="DB846" s="763">
        <f t="shared" si="616"/>
        <v>0</v>
      </c>
      <c r="DC846" s="763">
        <f t="shared" si="616"/>
        <v>0</v>
      </c>
      <c r="DD846" s="763">
        <f t="shared" si="616"/>
        <v>0</v>
      </c>
      <c r="DE846" s="763">
        <f t="shared" si="616"/>
        <v>0</v>
      </c>
      <c r="DF846" s="763">
        <f t="shared" si="616"/>
        <v>0</v>
      </c>
      <c r="DG846" s="763">
        <f t="shared" si="616"/>
        <v>0</v>
      </c>
      <c r="DH846" s="763">
        <f t="shared" si="616"/>
        <v>0</v>
      </c>
      <c r="DI846" s="763">
        <f t="shared" si="616"/>
        <v>0</v>
      </c>
      <c r="DJ846" s="763">
        <f t="shared" si="616"/>
        <v>0</v>
      </c>
      <c r="DK846" s="763">
        <f t="shared" si="616"/>
        <v>0</v>
      </c>
      <c r="DL846" s="763">
        <f t="shared" si="616"/>
        <v>0</v>
      </c>
      <c r="DM846" s="763">
        <f t="shared" si="616"/>
        <v>0</v>
      </c>
      <c r="DN846" s="763">
        <f t="shared" si="616"/>
        <v>0</v>
      </c>
      <c r="DO846" s="763">
        <f t="shared" si="616"/>
        <v>0</v>
      </c>
      <c r="DP846" s="763">
        <f t="shared" si="616"/>
        <v>0</v>
      </c>
      <c r="DQ846" s="763">
        <f t="shared" si="616"/>
        <v>0</v>
      </c>
      <c r="DR846" s="763">
        <f t="shared" si="616"/>
        <v>0</v>
      </c>
      <c r="DS846" s="763">
        <f t="shared" si="616"/>
        <v>0</v>
      </c>
      <c r="DT846" s="763">
        <f t="shared" si="616"/>
        <v>0</v>
      </c>
      <c r="DU846" s="763">
        <f t="shared" si="616"/>
        <v>0</v>
      </c>
      <c r="DV846" s="763">
        <f t="shared" si="616"/>
        <v>0</v>
      </c>
      <c r="DW846" s="763">
        <f t="shared" si="616"/>
        <v>0</v>
      </c>
      <c r="DX846" s="763">
        <f t="shared" si="616"/>
        <v>0</v>
      </c>
      <c r="DY846" s="763">
        <f t="shared" si="616"/>
        <v>0</v>
      </c>
      <c r="DZ846" s="763">
        <f t="shared" si="616"/>
        <v>0</v>
      </c>
      <c r="EA846" s="763">
        <f t="shared" si="616"/>
        <v>0</v>
      </c>
      <c r="EB846" s="763">
        <f t="shared" si="616"/>
        <v>0</v>
      </c>
      <c r="EC846" s="763">
        <f t="shared" si="616"/>
        <v>0</v>
      </c>
      <c r="ED846" s="763">
        <f t="shared" si="616"/>
        <v>0</v>
      </c>
      <c r="EE846" s="763">
        <f t="shared" si="616"/>
        <v>0</v>
      </c>
      <c r="EF846" s="763">
        <f t="shared" si="616"/>
        <v>0</v>
      </c>
      <c r="EG846" s="763">
        <f t="shared" si="616"/>
        <v>0</v>
      </c>
      <c r="EH846" s="763">
        <f t="shared" si="616"/>
        <v>0</v>
      </c>
      <c r="EI846" s="763">
        <f t="shared" si="616"/>
        <v>0</v>
      </c>
      <c r="EJ846" s="763">
        <f t="shared" si="616"/>
        <v>0</v>
      </c>
      <c r="EK846" s="763">
        <f t="shared" si="616"/>
        <v>0</v>
      </c>
      <c r="EL846" s="763">
        <f t="shared" si="616"/>
        <v>0</v>
      </c>
      <c r="EM846" s="763">
        <f t="shared" si="616"/>
        <v>0</v>
      </c>
      <c r="EN846" s="763">
        <f t="shared" si="616"/>
        <v>0</v>
      </c>
      <c r="EO846" s="763">
        <f t="shared" si="616"/>
        <v>0</v>
      </c>
      <c r="EP846" s="763">
        <f t="shared" si="616"/>
        <v>0</v>
      </c>
      <c r="EQ846" s="763">
        <f t="shared" si="616"/>
        <v>0</v>
      </c>
      <c r="ER846" s="763">
        <f t="shared" si="616"/>
        <v>0</v>
      </c>
      <c r="ES846" s="763">
        <f t="shared" si="616"/>
        <v>0</v>
      </c>
      <c r="ET846" s="763">
        <f t="shared" si="616"/>
        <v>0</v>
      </c>
      <c r="EU846" s="763">
        <f t="shared" si="616"/>
        <v>0</v>
      </c>
    </row>
    <row r="847" spans="11:151" ht="12" customHeight="1" x14ac:dyDescent="0.35">
      <c r="K847" s="28"/>
      <c r="L847" s="28"/>
      <c r="M847" s="28"/>
      <c r="N847" s="28"/>
      <c r="O847" s="28"/>
      <c r="P847" s="28"/>
      <c r="Q847" s="28"/>
      <c r="R847" s="31"/>
      <c r="S847" s="36"/>
      <c r="T847" s="26"/>
      <c r="U847" s="29"/>
      <c r="V847" s="29"/>
      <c r="W847" s="377"/>
      <c r="X847" s="376"/>
      <c r="Y847" s="29"/>
      <c r="Z847" s="29" t="str">
        <f>IF(Input!G285&gt;0,AB830,AB$824)</f>
        <v>Investor #1</v>
      </c>
      <c r="AA847" s="29">
        <f t="shared" si="613"/>
        <v>0</v>
      </c>
      <c r="AB847" s="763">
        <f t="shared" si="610"/>
        <v>0</v>
      </c>
      <c r="AC847" s="29">
        <v>7</v>
      </c>
      <c r="AD847" s="1804"/>
      <c r="AE847" s="376"/>
      <c r="AF847" s="763">
        <f t="shared" si="614"/>
        <v>0</v>
      </c>
      <c r="AG847" s="763">
        <f t="shared" si="614"/>
        <v>0</v>
      </c>
      <c r="AH847" s="763">
        <f t="shared" si="614"/>
        <v>0</v>
      </c>
      <c r="AI847" s="763">
        <f t="shared" si="614"/>
        <v>0</v>
      </c>
      <c r="AJ847" s="763">
        <f t="shared" si="614"/>
        <v>0</v>
      </c>
      <c r="AK847" s="763">
        <f t="shared" si="614"/>
        <v>0</v>
      </c>
      <c r="AL847" s="763">
        <f t="shared" si="614"/>
        <v>0</v>
      </c>
      <c r="AM847" s="763">
        <f t="shared" si="614"/>
        <v>0</v>
      </c>
      <c r="AN847" s="763">
        <f t="shared" si="614"/>
        <v>0</v>
      </c>
      <c r="AO847" s="763">
        <f t="shared" ref="AO847:CZ850" si="617">IF($AE847="",0,SUMIF($AE$824:$AE$839,$AE847,AO$824:AO$839))</f>
        <v>0</v>
      </c>
      <c r="AP847" s="763">
        <f t="shared" si="617"/>
        <v>0</v>
      </c>
      <c r="AQ847" s="763">
        <f t="shared" si="617"/>
        <v>0</v>
      </c>
      <c r="AR847" s="763">
        <f t="shared" si="617"/>
        <v>0</v>
      </c>
      <c r="AS847" s="763">
        <f t="shared" si="617"/>
        <v>0</v>
      </c>
      <c r="AT847" s="763">
        <f t="shared" si="617"/>
        <v>0</v>
      </c>
      <c r="AU847" s="763">
        <f t="shared" si="617"/>
        <v>0</v>
      </c>
      <c r="AV847" s="763">
        <f t="shared" si="617"/>
        <v>0</v>
      </c>
      <c r="AW847" s="763">
        <f t="shared" si="617"/>
        <v>0</v>
      </c>
      <c r="AX847" s="763">
        <f t="shared" si="617"/>
        <v>0</v>
      </c>
      <c r="AY847" s="763">
        <f t="shared" si="617"/>
        <v>0</v>
      </c>
      <c r="AZ847" s="763">
        <f t="shared" si="617"/>
        <v>0</v>
      </c>
      <c r="BA847" s="763">
        <f t="shared" si="617"/>
        <v>0</v>
      </c>
      <c r="BB847" s="763">
        <f t="shared" si="617"/>
        <v>0</v>
      </c>
      <c r="BC847" s="763">
        <f t="shared" si="617"/>
        <v>0</v>
      </c>
      <c r="BD847" s="763">
        <f t="shared" si="617"/>
        <v>0</v>
      </c>
      <c r="BE847" s="763">
        <f t="shared" si="617"/>
        <v>0</v>
      </c>
      <c r="BF847" s="763">
        <f t="shared" si="617"/>
        <v>0</v>
      </c>
      <c r="BG847" s="763">
        <f t="shared" si="617"/>
        <v>0</v>
      </c>
      <c r="BH847" s="763">
        <f t="shared" si="617"/>
        <v>0</v>
      </c>
      <c r="BI847" s="763">
        <f t="shared" si="617"/>
        <v>0</v>
      </c>
      <c r="BJ847" s="763">
        <f t="shared" si="617"/>
        <v>0</v>
      </c>
      <c r="BK847" s="763">
        <f t="shared" si="617"/>
        <v>0</v>
      </c>
      <c r="BL847" s="763">
        <f t="shared" si="617"/>
        <v>0</v>
      </c>
      <c r="BM847" s="763">
        <f t="shared" si="617"/>
        <v>0</v>
      </c>
      <c r="BN847" s="763">
        <f t="shared" si="617"/>
        <v>0</v>
      </c>
      <c r="BO847" s="763">
        <f t="shared" si="617"/>
        <v>0</v>
      </c>
      <c r="BP847" s="763">
        <f t="shared" si="617"/>
        <v>0</v>
      </c>
      <c r="BQ847" s="763">
        <f t="shared" si="617"/>
        <v>0</v>
      </c>
      <c r="BR847" s="763">
        <f t="shared" si="617"/>
        <v>0</v>
      </c>
      <c r="BS847" s="763">
        <f t="shared" si="617"/>
        <v>0</v>
      </c>
      <c r="BT847" s="763">
        <f t="shared" si="617"/>
        <v>0</v>
      </c>
      <c r="BU847" s="763">
        <f t="shared" si="617"/>
        <v>0</v>
      </c>
      <c r="BV847" s="763">
        <f t="shared" si="617"/>
        <v>0</v>
      </c>
      <c r="BW847" s="763">
        <f t="shared" si="617"/>
        <v>0</v>
      </c>
      <c r="BX847" s="763">
        <f t="shared" si="617"/>
        <v>0</v>
      </c>
      <c r="BY847" s="763">
        <f t="shared" si="617"/>
        <v>0</v>
      </c>
      <c r="BZ847" s="763">
        <f t="shared" si="617"/>
        <v>0</v>
      </c>
      <c r="CA847" s="763">
        <f t="shared" si="617"/>
        <v>0</v>
      </c>
      <c r="CB847" s="763">
        <f t="shared" si="617"/>
        <v>0</v>
      </c>
      <c r="CC847" s="763">
        <f t="shared" si="617"/>
        <v>0</v>
      </c>
      <c r="CD847" s="763">
        <f t="shared" si="617"/>
        <v>0</v>
      </c>
      <c r="CE847" s="763">
        <f t="shared" si="617"/>
        <v>0</v>
      </c>
      <c r="CF847" s="763">
        <f t="shared" si="617"/>
        <v>0</v>
      </c>
      <c r="CG847" s="763">
        <f t="shared" si="617"/>
        <v>0</v>
      </c>
      <c r="CH847" s="763">
        <f t="shared" si="617"/>
        <v>0</v>
      </c>
      <c r="CI847" s="763">
        <f t="shared" si="617"/>
        <v>0</v>
      </c>
      <c r="CJ847" s="763">
        <f t="shared" si="617"/>
        <v>0</v>
      </c>
      <c r="CK847" s="763">
        <f t="shared" si="617"/>
        <v>0</v>
      </c>
      <c r="CL847" s="763">
        <f t="shared" si="617"/>
        <v>0</v>
      </c>
      <c r="CM847" s="763">
        <f t="shared" si="617"/>
        <v>0</v>
      </c>
      <c r="CN847" s="763">
        <f t="shared" si="617"/>
        <v>0</v>
      </c>
      <c r="CO847" s="763">
        <f t="shared" si="617"/>
        <v>0</v>
      </c>
      <c r="CP847" s="763">
        <f t="shared" si="617"/>
        <v>0</v>
      </c>
      <c r="CQ847" s="763">
        <f t="shared" si="617"/>
        <v>0</v>
      </c>
      <c r="CR847" s="763">
        <f t="shared" si="617"/>
        <v>0</v>
      </c>
      <c r="CS847" s="763">
        <f t="shared" si="617"/>
        <v>0</v>
      </c>
      <c r="CT847" s="763">
        <f t="shared" si="617"/>
        <v>0</v>
      </c>
      <c r="CU847" s="763">
        <f t="shared" si="617"/>
        <v>0</v>
      </c>
      <c r="CV847" s="763">
        <f t="shared" si="617"/>
        <v>0</v>
      </c>
      <c r="CW847" s="763">
        <f t="shared" si="617"/>
        <v>0</v>
      </c>
      <c r="CX847" s="763">
        <f t="shared" si="617"/>
        <v>0</v>
      </c>
      <c r="CY847" s="763">
        <f t="shared" si="617"/>
        <v>0</v>
      </c>
      <c r="CZ847" s="763">
        <f t="shared" si="617"/>
        <v>0</v>
      </c>
      <c r="DA847" s="763">
        <f t="shared" si="616"/>
        <v>0</v>
      </c>
      <c r="DB847" s="763">
        <f t="shared" si="616"/>
        <v>0</v>
      </c>
      <c r="DC847" s="763">
        <f t="shared" si="616"/>
        <v>0</v>
      </c>
      <c r="DD847" s="763">
        <f t="shared" si="616"/>
        <v>0</v>
      </c>
      <c r="DE847" s="763">
        <f t="shared" si="616"/>
        <v>0</v>
      </c>
      <c r="DF847" s="763">
        <f t="shared" si="616"/>
        <v>0</v>
      </c>
      <c r="DG847" s="763">
        <f t="shared" si="616"/>
        <v>0</v>
      </c>
      <c r="DH847" s="763">
        <f t="shared" si="616"/>
        <v>0</v>
      </c>
      <c r="DI847" s="763">
        <f t="shared" si="616"/>
        <v>0</v>
      </c>
      <c r="DJ847" s="763">
        <f t="shared" si="616"/>
        <v>0</v>
      </c>
      <c r="DK847" s="763">
        <f t="shared" si="616"/>
        <v>0</v>
      </c>
      <c r="DL847" s="763">
        <f t="shared" si="616"/>
        <v>0</v>
      </c>
      <c r="DM847" s="763">
        <f t="shared" si="616"/>
        <v>0</v>
      </c>
      <c r="DN847" s="763">
        <f t="shared" si="616"/>
        <v>0</v>
      </c>
      <c r="DO847" s="763">
        <f t="shared" si="616"/>
        <v>0</v>
      </c>
      <c r="DP847" s="763">
        <f t="shared" si="616"/>
        <v>0</v>
      </c>
      <c r="DQ847" s="763">
        <f t="shared" si="616"/>
        <v>0</v>
      </c>
      <c r="DR847" s="763">
        <f t="shared" si="616"/>
        <v>0</v>
      </c>
      <c r="DS847" s="763">
        <f t="shared" si="616"/>
        <v>0</v>
      </c>
      <c r="DT847" s="763">
        <f t="shared" si="616"/>
        <v>0</v>
      </c>
      <c r="DU847" s="763">
        <f t="shared" si="616"/>
        <v>0</v>
      </c>
      <c r="DV847" s="763">
        <f t="shared" si="616"/>
        <v>0</v>
      </c>
      <c r="DW847" s="763">
        <f t="shared" si="616"/>
        <v>0</v>
      </c>
      <c r="DX847" s="763">
        <f t="shared" si="616"/>
        <v>0</v>
      </c>
      <c r="DY847" s="763">
        <f t="shared" si="616"/>
        <v>0</v>
      </c>
      <c r="DZ847" s="763">
        <f t="shared" si="616"/>
        <v>0</v>
      </c>
      <c r="EA847" s="763">
        <f t="shared" si="616"/>
        <v>0</v>
      </c>
      <c r="EB847" s="763">
        <f t="shared" si="616"/>
        <v>0</v>
      </c>
      <c r="EC847" s="763">
        <f t="shared" si="616"/>
        <v>0</v>
      </c>
      <c r="ED847" s="763">
        <f t="shared" si="616"/>
        <v>0</v>
      </c>
      <c r="EE847" s="763">
        <f t="shared" si="616"/>
        <v>0</v>
      </c>
      <c r="EF847" s="763">
        <f t="shared" si="616"/>
        <v>0</v>
      </c>
      <c r="EG847" s="763">
        <f t="shared" si="616"/>
        <v>0</v>
      </c>
      <c r="EH847" s="763">
        <f t="shared" si="616"/>
        <v>0</v>
      </c>
      <c r="EI847" s="763">
        <f t="shared" si="616"/>
        <v>0</v>
      </c>
      <c r="EJ847" s="763">
        <f t="shared" si="616"/>
        <v>0</v>
      </c>
      <c r="EK847" s="763">
        <f t="shared" si="616"/>
        <v>0</v>
      </c>
      <c r="EL847" s="763">
        <f t="shared" si="616"/>
        <v>0</v>
      </c>
      <c r="EM847" s="763">
        <f t="shared" si="616"/>
        <v>0</v>
      </c>
      <c r="EN847" s="763">
        <f t="shared" si="616"/>
        <v>0</v>
      </c>
      <c r="EO847" s="763">
        <f t="shared" si="616"/>
        <v>0</v>
      </c>
      <c r="EP847" s="763">
        <f t="shared" si="616"/>
        <v>0</v>
      </c>
      <c r="EQ847" s="763">
        <f t="shared" si="616"/>
        <v>0</v>
      </c>
      <c r="ER847" s="763">
        <f t="shared" si="616"/>
        <v>0</v>
      </c>
      <c r="ES847" s="763">
        <f t="shared" si="616"/>
        <v>0</v>
      </c>
      <c r="ET847" s="763">
        <f t="shared" si="616"/>
        <v>0</v>
      </c>
      <c r="EU847" s="763">
        <f t="shared" si="616"/>
        <v>0</v>
      </c>
    </row>
    <row r="848" spans="11:151" ht="12" customHeight="1" x14ac:dyDescent="0.35">
      <c r="K848" s="28"/>
      <c r="L848" s="28"/>
      <c r="M848" s="28"/>
      <c r="N848" s="28"/>
      <c r="O848" s="28"/>
      <c r="P848" s="28"/>
      <c r="Q848" s="28"/>
      <c r="R848" s="31"/>
      <c r="S848" s="36"/>
      <c r="T848" s="26"/>
      <c r="U848" s="29"/>
      <c r="V848" s="29"/>
      <c r="W848" s="377"/>
      <c r="X848" s="376"/>
      <c r="Y848" s="29"/>
      <c r="Z848" s="29" t="str">
        <f>IF(Input!G286&gt;0,AB831,AB$824)</f>
        <v>Investor #1</v>
      </c>
      <c r="AA848" s="29">
        <f t="shared" si="613"/>
        <v>0</v>
      </c>
      <c r="AB848" s="763">
        <f t="shared" si="610"/>
        <v>0</v>
      </c>
      <c r="AC848" s="29">
        <v>8</v>
      </c>
      <c r="AD848" s="1804"/>
      <c r="AE848" s="376"/>
      <c r="AF848" s="763">
        <f t="shared" si="614"/>
        <v>0</v>
      </c>
      <c r="AG848" s="763">
        <f t="shared" si="614"/>
        <v>0</v>
      </c>
      <c r="AH848" s="763">
        <f t="shared" si="614"/>
        <v>0</v>
      </c>
      <c r="AI848" s="763">
        <f t="shared" si="614"/>
        <v>0</v>
      </c>
      <c r="AJ848" s="763">
        <f t="shared" si="614"/>
        <v>0</v>
      </c>
      <c r="AK848" s="763">
        <f t="shared" si="614"/>
        <v>0</v>
      </c>
      <c r="AL848" s="763">
        <f t="shared" si="614"/>
        <v>0</v>
      </c>
      <c r="AM848" s="763">
        <f t="shared" si="614"/>
        <v>0</v>
      </c>
      <c r="AN848" s="763">
        <f t="shared" si="614"/>
        <v>0</v>
      </c>
      <c r="AO848" s="763">
        <f t="shared" si="617"/>
        <v>0</v>
      </c>
      <c r="AP848" s="763">
        <f t="shared" si="617"/>
        <v>0</v>
      </c>
      <c r="AQ848" s="763">
        <f t="shared" si="617"/>
        <v>0</v>
      </c>
      <c r="AR848" s="763">
        <f t="shared" si="617"/>
        <v>0</v>
      </c>
      <c r="AS848" s="763">
        <f t="shared" si="617"/>
        <v>0</v>
      </c>
      <c r="AT848" s="763">
        <f t="shared" si="617"/>
        <v>0</v>
      </c>
      <c r="AU848" s="763">
        <f t="shared" si="617"/>
        <v>0</v>
      </c>
      <c r="AV848" s="763">
        <f t="shared" si="617"/>
        <v>0</v>
      </c>
      <c r="AW848" s="763">
        <f t="shared" si="617"/>
        <v>0</v>
      </c>
      <c r="AX848" s="763">
        <f t="shared" si="617"/>
        <v>0</v>
      </c>
      <c r="AY848" s="763">
        <f t="shared" si="617"/>
        <v>0</v>
      </c>
      <c r="AZ848" s="763">
        <f t="shared" si="617"/>
        <v>0</v>
      </c>
      <c r="BA848" s="763">
        <f t="shared" si="617"/>
        <v>0</v>
      </c>
      <c r="BB848" s="763">
        <f t="shared" si="617"/>
        <v>0</v>
      </c>
      <c r="BC848" s="763">
        <f t="shared" si="617"/>
        <v>0</v>
      </c>
      <c r="BD848" s="763">
        <f t="shared" si="617"/>
        <v>0</v>
      </c>
      <c r="BE848" s="763">
        <f t="shared" si="617"/>
        <v>0</v>
      </c>
      <c r="BF848" s="763">
        <f t="shared" si="617"/>
        <v>0</v>
      </c>
      <c r="BG848" s="763">
        <f t="shared" si="617"/>
        <v>0</v>
      </c>
      <c r="BH848" s="763">
        <f t="shared" si="617"/>
        <v>0</v>
      </c>
      <c r="BI848" s="763">
        <f t="shared" si="617"/>
        <v>0</v>
      </c>
      <c r="BJ848" s="763">
        <f t="shared" si="617"/>
        <v>0</v>
      </c>
      <c r="BK848" s="763">
        <f t="shared" si="617"/>
        <v>0</v>
      </c>
      <c r="BL848" s="763">
        <f t="shared" si="617"/>
        <v>0</v>
      </c>
      <c r="BM848" s="763">
        <f t="shared" si="617"/>
        <v>0</v>
      </c>
      <c r="BN848" s="763">
        <f t="shared" si="617"/>
        <v>0</v>
      </c>
      <c r="BO848" s="763">
        <f t="shared" si="617"/>
        <v>0</v>
      </c>
      <c r="BP848" s="763">
        <f t="shared" si="617"/>
        <v>0</v>
      </c>
      <c r="BQ848" s="763">
        <f t="shared" si="617"/>
        <v>0</v>
      </c>
      <c r="BR848" s="763">
        <f t="shared" si="617"/>
        <v>0</v>
      </c>
      <c r="BS848" s="763">
        <f t="shared" si="617"/>
        <v>0</v>
      </c>
      <c r="BT848" s="763">
        <f t="shared" si="617"/>
        <v>0</v>
      </c>
      <c r="BU848" s="763">
        <f t="shared" si="617"/>
        <v>0</v>
      </c>
      <c r="BV848" s="763">
        <f t="shared" si="617"/>
        <v>0</v>
      </c>
      <c r="BW848" s="763">
        <f t="shared" si="617"/>
        <v>0</v>
      </c>
      <c r="BX848" s="763">
        <f t="shared" si="617"/>
        <v>0</v>
      </c>
      <c r="BY848" s="763">
        <f t="shared" si="617"/>
        <v>0</v>
      </c>
      <c r="BZ848" s="763">
        <f t="shared" si="617"/>
        <v>0</v>
      </c>
      <c r="CA848" s="763">
        <f t="shared" si="617"/>
        <v>0</v>
      </c>
      <c r="CB848" s="763">
        <f t="shared" si="617"/>
        <v>0</v>
      </c>
      <c r="CC848" s="763">
        <f t="shared" si="617"/>
        <v>0</v>
      </c>
      <c r="CD848" s="763">
        <f t="shared" si="617"/>
        <v>0</v>
      </c>
      <c r="CE848" s="763">
        <f t="shared" si="617"/>
        <v>0</v>
      </c>
      <c r="CF848" s="763">
        <f t="shared" si="617"/>
        <v>0</v>
      </c>
      <c r="CG848" s="763">
        <f t="shared" si="617"/>
        <v>0</v>
      </c>
      <c r="CH848" s="763">
        <f t="shared" si="617"/>
        <v>0</v>
      </c>
      <c r="CI848" s="763">
        <f t="shared" si="617"/>
        <v>0</v>
      </c>
      <c r="CJ848" s="763">
        <f t="shared" si="617"/>
        <v>0</v>
      </c>
      <c r="CK848" s="763">
        <f t="shared" si="617"/>
        <v>0</v>
      </c>
      <c r="CL848" s="763">
        <f t="shared" si="617"/>
        <v>0</v>
      </c>
      <c r="CM848" s="763">
        <f t="shared" si="617"/>
        <v>0</v>
      </c>
      <c r="CN848" s="763">
        <f t="shared" si="617"/>
        <v>0</v>
      </c>
      <c r="CO848" s="763">
        <f t="shared" si="617"/>
        <v>0</v>
      </c>
      <c r="CP848" s="763">
        <f t="shared" si="617"/>
        <v>0</v>
      </c>
      <c r="CQ848" s="763">
        <f t="shared" si="617"/>
        <v>0</v>
      </c>
      <c r="CR848" s="763">
        <f t="shared" si="617"/>
        <v>0</v>
      </c>
      <c r="CS848" s="763">
        <f t="shared" si="617"/>
        <v>0</v>
      </c>
      <c r="CT848" s="763">
        <f t="shared" si="617"/>
        <v>0</v>
      </c>
      <c r="CU848" s="763">
        <f t="shared" si="617"/>
        <v>0</v>
      </c>
      <c r="CV848" s="763">
        <f t="shared" si="617"/>
        <v>0</v>
      </c>
      <c r="CW848" s="763">
        <f t="shared" si="617"/>
        <v>0</v>
      </c>
      <c r="CX848" s="763">
        <f t="shared" si="617"/>
        <v>0</v>
      </c>
      <c r="CY848" s="763">
        <f t="shared" si="617"/>
        <v>0</v>
      </c>
      <c r="CZ848" s="763">
        <f t="shared" si="617"/>
        <v>0</v>
      </c>
      <c r="DA848" s="763">
        <f t="shared" si="616"/>
        <v>0</v>
      </c>
      <c r="DB848" s="763">
        <f t="shared" si="616"/>
        <v>0</v>
      </c>
      <c r="DC848" s="763">
        <f t="shared" si="616"/>
        <v>0</v>
      </c>
      <c r="DD848" s="763">
        <f t="shared" si="616"/>
        <v>0</v>
      </c>
      <c r="DE848" s="763">
        <f t="shared" si="616"/>
        <v>0</v>
      </c>
      <c r="DF848" s="763">
        <f t="shared" si="616"/>
        <v>0</v>
      </c>
      <c r="DG848" s="763">
        <f t="shared" si="616"/>
        <v>0</v>
      </c>
      <c r="DH848" s="763">
        <f t="shared" si="616"/>
        <v>0</v>
      </c>
      <c r="DI848" s="763">
        <f t="shared" si="616"/>
        <v>0</v>
      </c>
      <c r="DJ848" s="763">
        <f t="shared" si="616"/>
        <v>0</v>
      </c>
      <c r="DK848" s="763">
        <f t="shared" si="616"/>
        <v>0</v>
      </c>
      <c r="DL848" s="763">
        <f t="shared" si="616"/>
        <v>0</v>
      </c>
      <c r="DM848" s="763">
        <f t="shared" si="616"/>
        <v>0</v>
      </c>
      <c r="DN848" s="763">
        <f t="shared" si="616"/>
        <v>0</v>
      </c>
      <c r="DO848" s="763">
        <f t="shared" si="616"/>
        <v>0</v>
      </c>
      <c r="DP848" s="763">
        <f t="shared" si="616"/>
        <v>0</v>
      </c>
      <c r="DQ848" s="763">
        <f t="shared" si="616"/>
        <v>0</v>
      </c>
      <c r="DR848" s="763">
        <f t="shared" si="616"/>
        <v>0</v>
      </c>
      <c r="DS848" s="763">
        <f t="shared" si="616"/>
        <v>0</v>
      </c>
      <c r="DT848" s="763">
        <f t="shared" si="616"/>
        <v>0</v>
      </c>
      <c r="DU848" s="763">
        <f t="shared" si="616"/>
        <v>0</v>
      </c>
      <c r="DV848" s="763">
        <f t="shared" si="616"/>
        <v>0</v>
      </c>
      <c r="DW848" s="763">
        <f t="shared" si="616"/>
        <v>0</v>
      </c>
      <c r="DX848" s="763">
        <f t="shared" si="616"/>
        <v>0</v>
      </c>
      <c r="DY848" s="763">
        <f t="shared" si="616"/>
        <v>0</v>
      </c>
      <c r="DZ848" s="763">
        <f t="shared" si="616"/>
        <v>0</v>
      </c>
      <c r="EA848" s="763">
        <f t="shared" si="616"/>
        <v>0</v>
      </c>
      <c r="EB848" s="763">
        <f t="shared" si="616"/>
        <v>0</v>
      </c>
      <c r="EC848" s="763">
        <f t="shared" si="616"/>
        <v>0</v>
      </c>
      <c r="ED848" s="763">
        <f t="shared" si="616"/>
        <v>0</v>
      </c>
      <c r="EE848" s="763">
        <f t="shared" si="616"/>
        <v>0</v>
      </c>
      <c r="EF848" s="763">
        <f t="shared" si="616"/>
        <v>0</v>
      </c>
      <c r="EG848" s="763">
        <f t="shared" si="616"/>
        <v>0</v>
      </c>
      <c r="EH848" s="763">
        <f t="shared" si="616"/>
        <v>0</v>
      </c>
      <c r="EI848" s="763">
        <f t="shared" si="616"/>
        <v>0</v>
      </c>
      <c r="EJ848" s="763">
        <f t="shared" si="616"/>
        <v>0</v>
      </c>
      <c r="EK848" s="763">
        <f t="shared" si="616"/>
        <v>0</v>
      </c>
      <c r="EL848" s="763">
        <f t="shared" si="616"/>
        <v>0</v>
      </c>
      <c r="EM848" s="763">
        <f t="shared" si="616"/>
        <v>0</v>
      </c>
      <c r="EN848" s="763">
        <f t="shared" si="616"/>
        <v>0</v>
      </c>
      <c r="EO848" s="763">
        <f t="shared" si="616"/>
        <v>0</v>
      </c>
      <c r="EP848" s="763">
        <f t="shared" si="616"/>
        <v>0</v>
      </c>
      <c r="EQ848" s="763">
        <f t="shared" si="616"/>
        <v>0</v>
      </c>
      <c r="ER848" s="763">
        <f t="shared" si="616"/>
        <v>0</v>
      </c>
      <c r="ES848" s="763">
        <f t="shared" si="616"/>
        <v>0</v>
      </c>
      <c r="ET848" s="763">
        <f t="shared" si="616"/>
        <v>0</v>
      </c>
      <c r="EU848" s="763">
        <f t="shared" si="616"/>
        <v>0</v>
      </c>
    </row>
    <row r="849" spans="11:152" ht="12" customHeight="1" x14ac:dyDescent="0.35">
      <c r="K849" s="28"/>
      <c r="L849" s="28"/>
      <c r="M849" s="28"/>
      <c r="N849" s="28"/>
      <c r="O849" s="28"/>
      <c r="P849" s="28"/>
      <c r="Q849" s="28"/>
      <c r="R849" s="31"/>
      <c r="S849" s="36"/>
      <c r="T849" s="26"/>
      <c r="U849" s="29"/>
      <c r="V849" s="29"/>
      <c r="W849" s="377"/>
      <c r="X849" s="376"/>
      <c r="Y849" s="29"/>
      <c r="Z849" s="29" t="str">
        <f>IF(Input!G287&gt;0,AB832,AB$824)</f>
        <v>Investor #1</v>
      </c>
      <c r="AA849" s="29">
        <f t="shared" si="613"/>
        <v>0</v>
      </c>
      <c r="AB849" s="763">
        <f t="shared" si="610"/>
        <v>0</v>
      </c>
      <c r="AC849" s="29">
        <v>9</v>
      </c>
      <c r="AD849" s="1804"/>
      <c r="AE849" s="376"/>
      <c r="AF849" s="763">
        <f t="shared" si="614"/>
        <v>0</v>
      </c>
      <c r="AG849" s="763">
        <f t="shared" si="614"/>
        <v>0</v>
      </c>
      <c r="AH849" s="763">
        <f t="shared" si="614"/>
        <v>0</v>
      </c>
      <c r="AI849" s="763">
        <f t="shared" si="614"/>
        <v>0</v>
      </c>
      <c r="AJ849" s="763">
        <f t="shared" si="614"/>
        <v>0</v>
      </c>
      <c r="AK849" s="763">
        <f t="shared" si="614"/>
        <v>0</v>
      </c>
      <c r="AL849" s="763">
        <f t="shared" si="614"/>
        <v>0</v>
      </c>
      <c r="AM849" s="763">
        <f t="shared" si="614"/>
        <v>0</v>
      </c>
      <c r="AN849" s="763">
        <f t="shared" si="614"/>
        <v>0</v>
      </c>
      <c r="AO849" s="763">
        <f t="shared" si="617"/>
        <v>0</v>
      </c>
      <c r="AP849" s="763">
        <f t="shared" si="617"/>
        <v>0</v>
      </c>
      <c r="AQ849" s="763">
        <f t="shared" si="617"/>
        <v>0</v>
      </c>
      <c r="AR849" s="763">
        <f t="shared" si="617"/>
        <v>0</v>
      </c>
      <c r="AS849" s="763">
        <f t="shared" si="617"/>
        <v>0</v>
      </c>
      <c r="AT849" s="763">
        <f t="shared" si="617"/>
        <v>0</v>
      </c>
      <c r="AU849" s="763">
        <f t="shared" si="617"/>
        <v>0</v>
      </c>
      <c r="AV849" s="763">
        <f t="shared" si="617"/>
        <v>0</v>
      </c>
      <c r="AW849" s="763">
        <f t="shared" si="617"/>
        <v>0</v>
      </c>
      <c r="AX849" s="763">
        <f t="shared" si="617"/>
        <v>0</v>
      </c>
      <c r="AY849" s="763">
        <f t="shared" si="617"/>
        <v>0</v>
      </c>
      <c r="AZ849" s="763">
        <f t="shared" si="617"/>
        <v>0</v>
      </c>
      <c r="BA849" s="763">
        <f t="shared" si="617"/>
        <v>0</v>
      </c>
      <c r="BB849" s="763">
        <f t="shared" si="617"/>
        <v>0</v>
      </c>
      <c r="BC849" s="763">
        <f t="shared" si="617"/>
        <v>0</v>
      </c>
      <c r="BD849" s="763">
        <f t="shared" si="617"/>
        <v>0</v>
      </c>
      <c r="BE849" s="763">
        <f t="shared" si="617"/>
        <v>0</v>
      </c>
      <c r="BF849" s="763">
        <f t="shared" si="617"/>
        <v>0</v>
      </c>
      <c r="BG849" s="763">
        <f t="shared" si="617"/>
        <v>0</v>
      </c>
      <c r="BH849" s="763">
        <f t="shared" si="617"/>
        <v>0</v>
      </c>
      <c r="BI849" s="763">
        <f t="shared" si="617"/>
        <v>0</v>
      </c>
      <c r="BJ849" s="763">
        <f t="shared" si="617"/>
        <v>0</v>
      </c>
      <c r="BK849" s="763">
        <f t="shared" si="617"/>
        <v>0</v>
      </c>
      <c r="BL849" s="763">
        <f t="shared" si="617"/>
        <v>0</v>
      </c>
      <c r="BM849" s="763">
        <f t="shared" si="617"/>
        <v>0</v>
      </c>
      <c r="BN849" s="763">
        <f t="shared" si="617"/>
        <v>0</v>
      </c>
      <c r="BO849" s="763">
        <f t="shared" si="617"/>
        <v>0</v>
      </c>
      <c r="BP849" s="763">
        <f t="shared" si="617"/>
        <v>0</v>
      </c>
      <c r="BQ849" s="763">
        <f t="shared" si="617"/>
        <v>0</v>
      </c>
      <c r="BR849" s="763">
        <f t="shared" si="617"/>
        <v>0</v>
      </c>
      <c r="BS849" s="763">
        <f t="shared" si="617"/>
        <v>0</v>
      </c>
      <c r="BT849" s="763">
        <f t="shared" si="617"/>
        <v>0</v>
      </c>
      <c r="BU849" s="763">
        <f t="shared" si="617"/>
        <v>0</v>
      </c>
      <c r="BV849" s="763">
        <f t="shared" si="617"/>
        <v>0</v>
      </c>
      <c r="BW849" s="763">
        <f t="shared" si="617"/>
        <v>0</v>
      </c>
      <c r="BX849" s="763">
        <f t="shared" si="617"/>
        <v>0</v>
      </c>
      <c r="BY849" s="763">
        <f t="shared" si="617"/>
        <v>0</v>
      </c>
      <c r="BZ849" s="763">
        <f t="shared" si="617"/>
        <v>0</v>
      </c>
      <c r="CA849" s="763">
        <f t="shared" si="617"/>
        <v>0</v>
      </c>
      <c r="CB849" s="763">
        <f t="shared" si="617"/>
        <v>0</v>
      </c>
      <c r="CC849" s="763">
        <f t="shared" si="617"/>
        <v>0</v>
      </c>
      <c r="CD849" s="763">
        <f t="shared" si="617"/>
        <v>0</v>
      </c>
      <c r="CE849" s="763">
        <f t="shared" si="617"/>
        <v>0</v>
      </c>
      <c r="CF849" s="763">
        <f t="shared" si="617"/>
        <v>0</v>
      </c>
      <c r="CG849" s="763">
        <f t="shared" si="617"/>
        <v>0</v>
      </c>
      <c r="CH849" s="763">
        <f t="shared" si="617"/>
        <v>0</v>
      </c>
      <c r="CI849" s="763">
        <f t="shared" si="617"/>
        <v>0</v>
      </c>
      <c r="CJ849" s="763">
        <f t="shared" si="617"/>
        <v>0</v>
      </c>
      <c r="CK849" s="763">
        <f t="shared" si="617"/>
        <v>0</v>
      </c>
      <c r="CL849" s="763">
        <f t="shared" si="617"/>
        <v>0</v>
      </c>
      <c r="CM849" s="763">
        <f t="shared" si="617"/>
        <v>0</v>
      </c>
      <c r="CN849" s="763">
        <f t="shared" si="617"/>
        <v>0</v>
      </c>
      <c r="CO849" s="763">
        <f t="shared" si="617"/>
        <v>0</v>
      </c>
      <c r="CP849" s="763">
        <f t="shared" si="617"/>
        <v>0</v>
      </c>
      <c r="CQ849" s="763">
        <f t="shared" si="617"/>
        <v>0</v>
      </c>
      <c r="CR849" s="763">
        <f t="shared" si="617"/>
        <v>0</v>
      </c>
      <c r="CS849" s="763">
        <f t="shared" si="617"/>
        <v>0</v>
      </c>
      <c r="CT849" s="763">
        <f t="shared" si="617"/>
        <v>0</v>
      </c>
      <c r="CU849" s="763">
        <f t="shared" si="617"/>
        <v>0</v>
      </c>
      <c r="CV849" s="763">
        <f t="shared" si="617"/>
        <v>0</v>
      </c>
      <c r="CW849" s="763">
        <f t="shared" si="617"/>
        <v>0</v>
      </c>
      <c r="CX849" s="763">
        <f t="shared" si="617"/>
        <v>0</v>
      </c>
      <c r="CY849" s="763">
        <f t="shared" si="617"/>
        <v>0</v>
      </c>
      <c r="CZ849" s="763">
        <f t="shared" si="617"/>
        <v>0</v>
      </c>
      <c r="DA849" s="763">
        <f t="shared" si="616"/>
        <v>0</v>
      </c>
      <c r="DB849" s="763">
        <f t="shared" si="616"/>
        <v>0</v>
      </c>
      <c r="DC849" s="763">
        <f t="shared" si="616"/>
        <v>0</v>
      </c>
      <c r="DD849" s="763">
        <f t="shared" si="616"/>
        <v>0</v>
      </c>
      <c r="DE849" s="763">
        <f t="shared" si="616"/>
        <v>0</v>
      </c>
      <c r="DF849" s="763">
        <f t="shared" si="616"/>
        <v>0</v>
      </c>
      <c r="DG849" s="763">
        <f t="shared" si="616"/>
        <v>0</v>
      </c>
      <c r="DH849" s="763">
        <f t="shared" si="616"/>
        <v>0</v>
      </c>
      <c r="DI849" s="763">
        <f t="shared" si="616"/>
        <v>0</v>
      </c>
      <c r="DJ849" s="763">
        <f t="shared" si="616"/>
        <v>0</v>
      </c>
      <c r="DK849" s="763">
        <f t="shared" si="616"/>
        <v>0</v>
      </c>
      <c r="DL849" s="763">
        <f t="shared" si="616"/>
        <v>0</v>
      </c>
      <c r="DM849" s="763">
        <f t="shared" si="616"/>
        <v>0</v>
      </c>
      <c r="DN849" s="763">
        <f t="shared" si="616"/>
        <v>0</v>
      </c>
      <c r="DO849" s="763">
        <f t="shared" si="616"/>
        <v>0</v>
      </c>
      <c r="DP849" s="763">
        <f t="shared" si="616"/>
        <v>0</v>
      </c>
      <c r="DQ849" s="763">
        <f t="shared" si="616"/>
        <v>0</v>
      </c>
      <c r="DR849" s="763">
        <f t="shared" si="616"/>
        <v>0</v>
      </c>
      <c r="DS849" s="763">
        <f t="shared" si="616"/>
        <v>0</v>
      </c>
      <c r="DT849" s="763">
        <f t="shared" si="616"/>
        <v>0</v>
      </c>
      <c r="DU849" s="763">
        <f t="shared" si="616"/>
        <v>0</v>
      </c>
      <c r="DV849" s="763">
        <f t="shared" si="616"/>
        <v>0</v>
      </c>
      <c r="DW849" s="763">
        <f t="shared" si="616"/>
        <v>0</v>
      </c>
      <c r="DX849" s="763">
        <f t="shared" si="616"/>
        <v>0</v>
      </c>
      <c r="DY849" s="763">
        <f t="shared" si="616"/>
        <v>0</v>
      </c>
      <c r="DZ849" s="763">
        <f t="shared" si="616"/>
        <v>0</v>
      </c>
      <c r="EA849" s="763">
        <f t="shared" si="616"/>
        <v>0</v>
      </c>
      <c r="EB849" s="763">
        <f t="shared" si="616"/>
        <v>0</v>
      </c>
      <c r="EC849" s="763">
        <f t="shared" si="616"/>
        <v>0</v>
      </c>
      <c r="ED849" s="763">
        <f t="shared" si="616"/>
        <v>0</v>
      </c>
      <c r="EE849" s="763">
        <f t="shared" si="616"/>
        <v>0</v>
      </c>
      <c r="EF849" s="763">
        <f t="shared" si="616"/>
        <v>0</v>
      </c>
      <c r="EG849" s="763">
        <f t="shared" si="616"/>
        <v>0</v>
      </c>
      <c r="EH849" s="763">
        <f t="shared" si="616"/>
        <v>0</v>
      </c>
      <c r="EI849" s="763">
        <f t="shared" si="616"/>
        <v>0</v>
      </c>
      <c r="EJ849" s="763">
        <f t="shared" si="616"/>
        <v>0</v>
      </c>
      <c r="EK849" s="763">
        <f t="shared" si="616"/>
        <v>0</v>
      </c>
      <c r="EL849" s="763">
        <f t="shared" si="616"/>
        <v>0</v>
      </c>
      <c r="EM849" s="763">
        <f t="shared" si="616"/>
        <v>0</v>
      </c>
      <c r="EN849" s="763">
        <f t="shared" si="616"/>
        <v>0</v>
      </c>
      <c r="EO849" s="763">
        <f t="shared" si="616"/>
        <v>0</v>
      </c>
      <c r="EP849" s="763">
        <f t="shared" si="616"/>
        <v>0</v>
      </c>
      <c r="EQ849" s="763">
        <f t="shared" si="616"/>
        <v>0</v>
      </c>
      <c r="ER849" s="763">
        <f t="shared" si="616"/>
        <v>0</v>
      </c>
      <c r="ES849" s="763">
        <f t="shared" si="616"/>
        <v>0</v>
      </c>
      <c r="ET849" s="763">
        <f t="shared" si="616"/>
        <v>0</v>
      </c>
      <c r="EU849" s="763">
        <f t="shared" si="616"/>
        <v>0</v>
      </c>
      <c r="EV849" s="1300"/>
    </row>
    <row r="850" spans="11:152" ht="12" customHeight="1" x14ac:dyDescent="0.35">
      <c r="K850" s="28"/>
      <c r="L850" s="28"/>
      <c r="M850" s="28"/>
      <c r="N850" s="28"/>
      <c r="O850" s="28"/>
      <c r="P850" s="28"/>
      <c r="Q850" s="28"/>
      <c r="R850" s="31"/>
      <c r="S850" s="36"/>
      <c r="T850" s="26"/>
      <c r="U850" s="29"/>
      <c r="V850" s="29"/>
      <c r="W850" s="377"/>
      <c r="X850" s="376"/>
      <c r="Y850" s="29"/>
      <c r="Z850" s="29" t="str">
        <f>IF(Input!G288&gt;0,AB833,AB$824)</f>
        <v>Investor #1</v>
      </c>
      <c r="AA850" s="29">
        <f t="shared" si="613"/>
        <v>0</v>
      </c>
      <c r="AB850" s="763">
        <f t="shared" si="610"/>
        <v>0</v>
      </c>
      <c r="AC850" s="29">
        <v>10</v>
      </c>
      <c r="AD850" s="1804"/>
      <c r="AE850" s="376"/>
      <c r="AF850" s="763">
        <f t="shared" si="614"/>
        <v>0</v>
      </c>
      <c r="AG850" s="763">
        <f t="shared" si="614"/>
        <v>0</v>
      </c>
      <c r="AH850" s="763">
        <f t="shared" si="614"/>
        <v>0</v>
      </c>
      <c r="AI850" s="763">
        <f t="shared" si="614"/>
        <v>0</v>
      </c>
      <c r="AJ850" s="763">
        <f t="shared" si="614"/>
        <v>0</v>
      </c>
      <c r="AK850" s="763">
        <f t="shared" si="614"/>
        <v>0</v>
      </c>
      <c r="AL850" s="763">
        <f t="shared" si="614"/>
        <v>0</v>
      </c>
      <c r="AM850" s="763">
        <f t="shared" si="614"/>
        <v>0</v>
      </c>
      <c r="AN850" s="763">
        <f t="shared" si="614"/>
        <v>0</v>
      </c>
      <c r="AO850" s="763">
        <f t="shared" si="617"/>
        <v>0</v>
      </c>
      <c r="AP850" s="763">
        <f t="shared" si="617"/>
        <v>0</v>
      </c>
      <c r="AQ850" s="763">
        <f t="shared" si="617"/>
        <v>0</v>
      </c>
      <c r="AR850" s="763">
        <f t="shared" si="617"/>
        <v>0</v>
      </c>
      <c r="AS850" s="763">
        <f t="shared" si="617"/>
        <v>0</v>
      </c>
      <c r="AT850" s="763">
        <f t="shared" si="617"/>
        <v>0</v>
      </c>
      <c r="AU850" s="763">
        <f t="shared" si="617"/>
        <v>0</v>
      </c>
      <c r="AV850" s="763">
        <f t="shared" si="617"/>
        <v>0</v>
      </c>
      <c r="AW850" s="763">
        <f t="shared" si="617"/>
        <v>0</v>
      </c>
      <c r="AX850" s="763">
        <f t="shared" si="617"/>
        <v>0</v>
      </c>
      <c r="AY850" s="763">
        <f t="shared" si="617"/>
        <v>0</v>
      </c>
      <c r="AZ850" s="763">
        <f t="shared" si="617"/>
        <v>0</v>
      </c>
      <c r="BA850" s="763">
        <f t="shared" si="617"/>
        <v>0</v>
      </c>
      <c r="BB850" s="763">
        <f t="shared" si="617"/>
        <v>0</v>
      </c>
      <c r="BC850" s="763">
        <f t="shared" si="617"/>
        <v>0</v>
      </c>
      <c r="BD850" s="763">
        <f t="shared" si="617"/>
        <v>0</v>
      </c>
      <c r="BE850" s="763">
        <f t="shared" si="617"/>
        <v>0</v>
      </c>
      <c r="BF850" s="763">
        <f t="shared" si="617"/>
        <v>0</v>
      </c>
      <c r="BG850" s="763">
        <f t="shared" si="617"/>
        <v>0</v>
      </c>
      <c r="BH850" s="763">
        <f t="shared" si="617"/>
        <v>0</v>
      </c>
      <c r="BI850" s="763">
        <f t="shared" si="617"/>
        <v>0</v>
      </c>
      <c r="BJ850" s="763">
        <f t="shared" si="617"/>
        <v>0</v>
      </c>
      <c r="BK850" s="763">
        <f t="shared" si="617"/>
        <v>0</v>
      </c>
      <c r="BL850" s="763">
        <f t="shared" si="617"/>
        <v>0</v>
      </c>
      <c r="BM850" s="763">
        <f t="shared" si="617"/>
        <v>0</v>
      </c>
      <c r="BN850" s="763">
        <f t="shared" si="617"/>
        <v>0</v>
      </c>
      <c r="BO850" s="763">
        <f t="shared" si="617"/>
        <v>0</v>
      </c>
      <c r="BP850" s="763">
        <f t="shared" si="617"/>
        <v>0</v>
      </c>
      <c r="BQ850" s="763">
        <f t="shared" si="617"/>
        <v>0</v>
      </c>
      <c r="BR850" s="763">
        <f t="shared" si="617"/>
        <v>0</v>
      </c>
      <c r="BS850" s="763">
        <f t="shared" si="617"/>
        <v>0</v>
      </c>
      <c r="BT850" s="763">
        <f t="shared" si="617"/>
        <v>0</v>
      </c>
      <c r="BU850" s="763">
        <f t="shared" si="617"/>
        <v>0</v>
      </c>
      <c r="BV850" s="763">
        <f t="shared" si="617"/>
        <v>0</v>
      </c>
      <c r="BW850" s="763">
        <f t="shared" si="617"/>
        <v>0</v>
      </c>
      <c r="BX850" s="763">
        <f t="shared" si="617"/>
        <v>0</v>
      </c>
      <c r="BY850" s="763">
        <f t="shared" si="617"/>
        <v>0</v>
      </c>
      <c r="BZ850" s="763">
        <f t="shared" si="617"/>
        <v>0</v>
      </c>
      <c r="CA850" s="763">
        <f t="shared" si="617"/>
        <v>0</v>
      </c>
      <c r="CB850" s="763">
        <f t="shared" si="617"/>
        <v>0</v>
      </c>
      <c r="CC850" s="763">
        <f t="shared" si="617"/>
        <v>0</v>
      </c>
      <c r="CD850" s="763">
        <f t="shared" si="617"/>
        <v>0</v>
      </c>
      <c r="CE850" s="763">
        <f t="shared" si="617"/>
        <v>0</v>
      </c>
      <c r="CF850" s="763">
        <f t="shared" si="617"/>
        <v>0</v>
      </c>
      <c r="CG850" s="763">
        <f t="shared" si="617"/>
        <v>0</v>
      </c>
      <c r="CH850" s="763">
        <f t="shared" si="617"/>
        <v>0</v>
      </c>
      <c r="CI850" s="763">
        <f t="shared" si="617"/>
        <v>0</v>
      </c>
      <c r="CJ850" s="763">
        <f t="shared" si="617"/>
        <v>0</v>
      </c>
      <c r="CK850" s="763">
        <f t="shared" si="617"/>
        <v>0</v>
      </c>
      <c r="CL850" s="763">
        <f t="shared" si="617"/>
        <v>0</v>
      </c>
      <c r="CM850" s="763">
        <f t="shared" si="617"/>
        <v>0</v>
      </c>
      <c r="CN850" s="763">
        <f t="shared" si="617"/>
        <v>0</v>
      </c>
      <c r="CO850" s="763">
        <f t="shared" si="617"/>
        <v>0</v>
      </c>
      <c r="CP850" s="763">
        <f t="shared" si="617"/>
        <v>0</v>
      </c>
      <c r="CQ850" s="763">
        <f t="shared" si="617"/>
        <v>0</v>
      </c>
      <c r="CR850" s="763">
        <f t="shared" si="617"/>
        <v>0</v>
      </c>
      <c r="CS850" s="763">
        <f t="shared" si="617"/>
        <v>0</v>
      </c>
      <c r="CT850" s="763">
        <f t="shared" si="617"/>
        <v>0</v>
      </c>
      <c r="CU850" s="763">
        <f t="shared" si="617"/>
        <v>0</v>
      </c>
      <c r="CV850" s="763">
        <f t="shared" si="617"/>
        <v>0</v>
      </c>
      <c r="CW850" s="763">
        <f t="shared" si="617"/>
        <v>0</v>
      </c>
      <c r="CX850" s="763">
        <f t="shared" si="617"/>
        <v>0</v>
      </c>
      <c r="CY850" s="763">
        <f t="shared" si="617"/>
        <v>0</v>
      </c>
      <c r="CZ850" s="763">
        <f t="shared" ref="CZ850:EU853" si="618">IF($AE850="",0,SUMIF($AE$824:$AE$839,$AE850,CZ$824:CZ$839))</f>
        <v>0</v>
      </c>
      <c r="DA850" s="763">
        <f t="shared" si="618"/>
        <v>0</v>
      </c>
      <c r="DB850" s="763">
        <f t="shared" si="618"/>
        <v>0</v>
      </c>
      <c r="DC850" s="763">
        <f t="shared" si="618"/>
        <v>0</v>
      </c>
      <c r="DD850" s="763">
        <f t="shared" si="618"/>
        <v>0</v>
      </c>
      <c r="DE850" s="763">
        <f t="shared" si="618"/>
        <v>0</v>
      </c>
      <c r="DF850" s="763">
        <f t="shared" si="618"/>
        <v>0</v>
      </c>
      <c r="DG850" s="763">
        <f t="shared" si="618"/>
        <v>0</v>
      </c>
      <c r="DH850" s="763">
        <f t="shared" si="618"/>
        <v>0</v>
      </c>
      <c r="DI850" s="763">
        <f t="shared" si="618"/>
        <v>0</v>
      </c>
      <c r="DJ850" s="763">
        <f t="shared" si="618"/>
        <v>0</v>
      </c>
      <c r="DK850" s="763">
        <f t="shared" si="618"/>
        <v>0</v>
      </c>
      <c r="DL850" s="763">
        <f t="shared" si="618"/>
        <v>0</v>
      </c>
      <c r="DM850" s="763">
        <f t="shared" si="618"/>
        <v>0</v>
      </c>
      <c r="DN850" s="763">
        <f t="shared" si="618"/>
        <v>0</v>
      </c>
      <c r="DO850" s="763">
        <f t="shared" si="618"/>
        <v>0</v>
      </c>
      <c r="DP850" s="763">
        <f t="shared" si="618"/>
        <v>0</v>
      </c>
      <c r="DQ850" s="763">
        <f t="shared" si="618"/>
        <v>0</v>
      </c>
      <c r="DR850" s="763">
        <f t="shared" si="618"/>
        <v>0</v>
      </c>
      <c r="DS850" s="763">
        <f t="shared" si="618"/>
        <v>0</v>
      </c>
      <c r="DT850" s="763">
        <f t="shared" si="618"/>
        <v>0</v>
      </c>
      <c r="DU850" s="763">
        <f t="shared" si="618"/>
        <v>0</v>
      </c>
      <c r="DV850" s="763">
        <f t="shared" si="618"/>
        <v>0</v>
      </c>
      <c r="DW850" s="763">
        <f t="shared" si="618"/>
        <v>0</v>
      </c>
      <c r="DX850" s="763">
        <f t="shared" si="618"/>
        <v>0</v>
      </c>
      <c r="DY850" s="763">
        <f t="shared" si="618"/>
        <v>0</v>
      </c>
      <c r="DZ850" s="763">
        <f t="shared" si="618"/>
        <v>0</v>
      </c>
      <c r="EA850" s="763">
        <f t="shared" si="618"/>
        <v>0</v>
      </c>
      <c r="EB850" s="763">
        <f t="shared" si="618"/>
        <v>0</v>
      </c>
      <c r="EC850" s="763">
        <f t="shared" si="618"/>
        <v>0</v>
      </c>
      <c r="ED850" s="763">
        <f t="shared" si="618"/>
        <v>0</v>
      </c>
      <c r="EE850" s="763">
        <f t="shared" si="618"/>
        <v>0</v>
      </c>
      <c r="EF850" s="763">
        <f t="shared" si="618"/>
        <v>0</v>
      </c>
      <c r="EG850" s="763">
        <f t="shared" si="618"/>
        <v>0</v>
      </c>
      <c r="EH850" s="763">
        <f t="shared" si="618"/>
        <v>0</v>
      </c>
      <c r="EI850" s="763">
        <f t="shared" si="618"/>
        <v>0</v>
      </c>
      <c r="EJ850" s="763">
        <f t="shared" si="618"/>
        <v>0</v>
      </c>
      <c r="EK850" s="763">
        <f t="shared" si="618"/>
        <v>0</v>
      </c>
      <c r="EL850" s="763">
        <f t="shared" si="618"/>
        <v>0</v>
      </c>
      <c r="EM850" s="763">
        <f t="shared" si="618"/>
        <v>0</v>
      </c>
      <c r="EN850" s="763">
        <f t="shared" si="618"/>
        <v>0</v>
      </c>
      <c r="EO850" s="763">
        <f t="shared" si="618"/>
        <v>0</v>
      </c>
      <c r="EP850" s="763">
        <f t="shared" si="618"/>
        <v>0</v>
      </c>
      <c r="EQ850" s="763">
        <f t="shared" si="618"/>
        <v>0</v>
      </c>
      <c r="ER850" s="763">
        <f t="shared" si="618"/>
        <v>0</v>
      </c>
      <c r="ES850" s="763">
        <f t="shared" si="618"/>
        <v>0</v>
      </c>
      <c r="ET850" s="763">
        <f t="shared" si="618"/>
        <v>0</v>
      </c>
      <c r="EU850" s="763">
        <f t="shared" si="618"/>
        <v>0</v>
      </c>
      <c r="EV850" s="1300"/>
    </row>
    <row r="851" spans="11:152" ht="12" customHeight="1" x14ac:dyDescent="0.35">
      <c r="K851" s="28"/>
      <c r="L851" s="28"/>
      <c r="M851" s="28"/>
      <c r="N851" s="28"/>
      <c r="O851" s="28"/>
      <c r="P851" s="28"/>
      <c r="Q851" s="28"/>
      <c r="R851" s="31"/>
      <c r="S851" s="36"/>
      <c r="T851" s="26"/>
      <c r="U851" s="29"/>
      <c r="V851" s="29"/>
      <c r="W851" s="377"/>
      <c r="X851" s="376"/>
      <c r="Y851" s="29"/>
      <c r="Z851" s="29" t="str">
        <f>IF(Input!P279&gt;0,AB834,AB$824)</f>
        <v>Investor #1</v>
      </c>
      <c r="AA851" s="29">
        <f t="shared" si="613"/>
        <v>0</v>
      </c>
      <c r="AB851" s="763">
        <f t="shared" si="610"/>
        <v>0</v>
      </c>
      <c r="AC851" s="29">
        <v>11</v>
      </c>
      <c r="AD851" s="1804"/>
      <c r="AE851" s="376"/>
      <c r="AF851" s="763">
        <f t="shared" si="614"/>
        <v>0</v>
      </c>
      <c r="AG851" s="763">
        <f t="shared" si="614"/>
        <v>0</v>
      </c>
      <c r="AH851" s="763">
        <f t="shared" si="614"/>
        <v>0</v>
      </c>
      <c r="AI851" s="763">
        <f t="shared" si="614"/>
        <v>0</v>
      </c>
      <c r="AJ851" s="763">
        <f t="shared" si="614"/>
        <v>0</v>
      </c>
      <c r="AK851" s="763">
        <f t="shared" si="614"/>
        <v>0</v>
      </c>
      <c r="AL851" s="763">
        <f t="shared" si="614"/>
        <v>0</v>
      </c>
      <c r="AM851" s="763">
        <f t="shared" si="614"/>
        <v>0</v>
      </c>
      <c r="AN851" s="763">
        <f t="shared" si="614"/>
        <v>0</v>
      </c>
      <c r="AO851" s="763">
        <f t="shared" ref="AO851:CZ854" si="619">IF($AE851="",0,SUMIF($AE$824:$AE$839,$AE851,AO$824:AO$839))</f>
        <v>0</v>
      </c>
      <c r="AP851" s="763">
        <f t="shared" si="619"/>
        <v>0</v>
      </c>
      <c r="AQ851" s="763">
        <f t="shared" si="619"/>
        <v>0</v>
      </c>
      <c r="AR851" s="763">
        <f t="shared" si="619"/>
        <v>0</v>
      </c>
      <c r="AS851" s="763">
        <f t="shared" si="619"/>
        <v>0</v>
      </c>
      <c r="AT851" s="763">
        <f t="shared" si="619"/>
        <v>0</v>
      </c>
      <c r="AU851" s="763">
        <f t="shared" si="619"/>
        <v>0</v>
      </c>
      <c r="AV851" s="763">
        <f t="shared" si="619"/>
        <v>0</v>
      </c>
      <c r="AW851" s="763">
        <f t="shared" si="619"/>
        <v>0</v>
      </c>
      <c r="AX851" s="763">
        <f t="shared" si="619"/>
        <v>0</v>
      </c>
      <c r="AY851" s="763">
        <f t="shared" si="619"/>
        <v>0</v>
      </c>
      <c r="AZ851" s="763">
        <f t="shared" si="619"/>
        <v>0</v>
      </c>
      <c r="BA851" s="763">
        <f t="shared" si="619"/>
        <v>0</v>
      </c>
      <c r="BB851" s="763">
        <f t="shared" si="619"/>
        <v>0</v>
      </c>
      <c r="BC851" s="763">
        <f t="shared" si="619"/>
        <v>0</v>
      </c>
      <c r="BD851" s="763">
        <f t="shared" si="619"/>
        <v>0</v>
      </c>
      <c r="BE851" s="763">
        <f t="shared" si="619"/>
        <v>0</v>
      </c>
      <c r="BF851" s="763">
        <f t="shared" si="619"/>
        <v>0</v>
      </c>
      <c r="BG851" s="763">
        <f t="shared" si="619"/>
        <v>0</v>
      </c>
      <c r="BH851" s="763">
        <f t="shared" si="619"/>
        <v>0</v>
      </c>
      <c r="BI851" s="763">
        <f t="shared" si="619"/>
        <v>0</v>
      </c>
      <c r="BJ851" s="763">
        <f t="shared" si="619"/>
        <v>0</v>
      </c>
      <c r="BK851" s="763">
        <f t="shared" si="619"/>
        <v>0</v>
      </c>
      <c r="BL851" s="763">
        <f t="shared" si="619"/>
        <v>0</v>
      </c>
      <c r="BM851" s="763">
        <f t="shared" si="619"/>
        <v>0</v>
      </c>
      <c r="BN851" s="763">
        <f t="shared" si="619"/>
        <v>0</v>
      </c>
      <c r="BO851" s="763">
        <f t="shared" si="619"/>
        <v>0</v>
      </c>
      <c r="BP851" s="763">
        <f t="shared" si="619"/>
        <v>0</v>
      </c>
      <c r="BQ851" s="763">
        <f t="shared" si="619"/>
        <v>0</v>
      </c>
      <c r="BR851" s="763">
        <f t="shared" si="619"/>
        <v>0</v>
      </c>
      <c r="BS851" s="763">
        <f t="shared" si="619"/>
        <v>0</v>
      </c>
      <c r="BT851" s="763">
        <f t="shared" si="619"/>
        <v>0</v>
      </c>
      <c r="BU851" s="763">
        <f t="shared" si="619"/>
        <v>0</v>
      </c>
      <c r="BV851" s="763">
        <f t="shared" si="619"/>
        <v>0</v>
      </c>
      <c r="BW851" s="763">
        <f t="shared" si="619"/>
        <v>0</v>
      </c>
      <c r="BX851" s="763">
        <f t="shared" si="619"/>
        <v>0</v>
      </c>
      <c r="BY851" s="763">
        <f t="shared" si="619"/>
        <v>0</v>
      </c>
      <c r="BZ851" s="763">
        <f t="shared" si="619"/>
        <v>0</v>
      </c>
      <c r="CA851" s="763">
        <f t="shared" si="619"/>
        <v>0</v>
      </c>
      <c r="CB851" s="763">
        <f t="shared" si="619"/>
        <v>0</v>
      </c>
      <c r="CC851" s="763">
        <f t="shared" si="619"/>
        <v>0</v>
      </c>
      <c r="CD851" s="763">
        <f t="shared" si="619"/>
        <v>0</v>
      </c>
      <c r="CE851" s="763">
        <f t="shared" si="619"/>
        <v>0</v>
      </c>
      <c r="CF851" s="763">
        <f t="shared" si="619"/>
        <v>0</v>
      </c>
      <c r="CG851" s="763">
        <f t="shared" si="619"/>
        <v>0</v>
      </c>
      <c r="CH851" s="763">
        <f t="shared" si="619"/>
        <v>0</v>
      </c>
      <c r="CI851" s="763">
        <f t="shared" si="619"/>
        <v>0</v>
      </c>
      <c r="CJ851" s="763">
        <f t="shared" si="619"/>
        <v>0</v>
      </c>
      <c r="CK851" s="763">
        <f t="shared" si="619"/>
        <v>0</v>
      </c>
      <c r="CL851" s="763">
        <f t="shared" si="619"/>
        <v>0</v>
      </c>
      <c r="CM851" s="763">
        <f t="shared" si="619"/>
        <v>0</v>
      </c>
      <c r="CN851" s="763">
        <f t="shared" si="619"/>
        <v>0</v>
      </c>
      <c r="CO851" s="763">
        <f t="shared" si="619"/>
        <v>0</v>
      </c>
      <c r="CP851" s="763">
        <f t="shared" si="619"/>
        <v>0</v>
      </c>
      <c r="CQ851" s="763">
        <f t="shared" si="619"/>
        <v>0</v>
      </c>
      <c r="CR851" s="763">
        <f t="shared" si="619"/>
        <v>0</v>
      </c>
      <c r="CS851" s="763">
        <f t="shared" si="619"/>
        <v>0</v>
      </c>
      <c r="CT851" s="763">
        <f t="shared" si="619"/>
        <v>0</v>
      </c>
      <c r="CU851" s="763">
        <f t="shared" si="619"/>
        <v>0</v>
      </c>
      <c r="CV851" s="763">
        <f t="shared" si="619"/>
        <v>0</v>
      </c>
      <c r="CW851" s="763">
        <f t="shared" si="619"/>
        <v>0</v>
      </c>
      <c r="CX851" s="763">
        <f t="shared" si="619"/>
        <v>0</v>
      </c>
      <c r="CY851" s="763">
        <f t="shared" si="619"/>
        <v>0</v>
      </c>
      <c r="CZ851" s="763">
        <f t="shared" si="619"/>
        <v>0</v>
      </c>
      <c r="DA851" s="763">
        <f t="shared" si="618"/>
        <v>0</v>
      </c>
      <c r="DB851" s="763">
        <f t="shared" si="618"/>
        <v>0</v>
      </c>
      <c r="DC851" s="763">
        <f t="shared" si="618"/>
        <v>0</v>
      </c>
      <c r="DD851" s="763">
        <f t="shared" si="618"/>
        <v>0</v>
      </c>
      <c r="DE851" s="763">
        <f t="shared" si="618"/>
        <v>0</v>
      </c>
      <c r="DF851" s="763">
        <f t="shared" si="618"/>
        <v>0</v>
      </c>
      <c r="DG851" s="763">
        <f t="shared" si="618"/>
        <v>0</v>
      </c>
      <c r="DH851" s="763">
        <f t="shared" si="618"/>
        <v>0</v>
      </c>
      <c r="DI851" s="763">
        <f t="shared" si="618"/>
        <v>0</v>
      </c>
      <c r="DJ851" s="763">
        <f t="shared" si="618"/>
        <v>0</v>
      </c>
      <c r="DK851" s="763">
        <f t="shared" si="618"/>
        <v>0</v>
      </c>
      <c r="DL851" s="763">
        <f t="shared" si="618"/>
        <v>0</v>
      </c>
      <c r="DM851" s="763">
        <f t="shared" si="618"/>
        <v>0</v>
      </c>
      <c r="DN851" s="763">
        <f t="shared" si="618"/>
        <v>0</v>
      </c>
      <c r="DO851" s="763">
        <f t="shared" si="618"/>
        <v>0</v>
      </c>
      <c r="DP851" s="763">
        <f t="shared" si="618"/>
        <v>0</v>
      </c>
      <c r="DQ851" s="763">
        <f t="shared" si="618"/>
        <v>0</v>
      </c>
      <c r="DR851" s="763">
        <f t="shared" si="618"/>
        <v>0</v>
      </c>
      <c r="DS851" s="763">
        <f t="shared" si="618"/>
        <v>0</v>
      </c>
      <c r="DT851" s="763">
        <f t="shared" si="618"/>
        <v>0</v>
      </c>
      <c r="DU851" s="763">
        <f t="shared" si="618"/>
        <v>0</v>
      </c>
      <c r="DV851" s="763">
        <f t="shared" si="618"/>
        <v>0</v>
      </c>
      <c r="DW851" s="763">
        <f t="shared" si="618"/>
        <v>0</v>
      </c>
      <c r="DX851" s="763">
        <f t="shared" si="618"/>
        <v>0</v>
      </c>
      <c r="DY851" s="763">
        <f t="shared" si="618"/>
        <v>0</v>
      </c>
      <c r="DZ851" s="763">
        <f t="shared" si="618"/>
        <v>0</v>
      </c>
      <c r="EA851" s="763">
        <f t="shared" si="618"/>
        <v>0</v>
      </c>
      <c r="EB851" s="763">
        <f t="shared" si="618"/>
        <v>0</v>
      </c>
      <c r="EC851" s="763">
        <f t="shared" si="618"/>
        <v>0</v>
      </c>
      <c r="ED851" s="763">
        <f t="shared" si="618"/>
        <v>0</v>
      </c>
      <c r="EE851" s="763">
        <f t="shared" si="618"/>
        <v>0</v>
      </c>
      <c r="EF851" s="763">
        <f t="shared" si="618"/>
        <v>0</v>
      </c>
      <c r="EG851" s="763">
        <f t="shared" si="618"/>
        <v>0</v>
      </c>
      <c r="EH851" s="763">
        <f t="shared" si="618"/>
        <v>0</v>
      </c>
      <c r="EI851" s="763">
        <f t="shared" si="618"/>
        <v>0</v>
      </c>
      <c r="EJ851" s="763">
        <f t="shared" si="618"/>
        <v>0</v>
      </c>
      <c r="EK851" s="763">
        <f t="shared" si="618"/>
        <v>0</v>
      </c>
      <c r="EL851" s="763">
        <f t="shared" si="618"/>
        <v>0</v>
      </c>
      <c r="EM851" s="763">
        <f t="shared" si="618"/>
        <v>0</v>
      </c>
      <c r="EN851" s="763">
        <f t="shared" si="618"/>
        <v>0</v>
      </c>
      <c r="EO851" s="763">
        <f t="shared" si="618"/>
        <v>0</v>
      </c>
      <c r="EP851" s="763">
        <f t="shared" si="618"/>
        <v>0</v>
      </c>
      <c r="EQ851" s="763">
        <f t="shared" si="618"/>
        <v>0</v>
      </c>
      <c r="ER851" s="763">
        <f t="shared" si="618"/>
        <v>0</v>
      </c>
      <c r="ES851" s="763">
        <f t="shared" si="618"/>
        <v>0</v>
      </c>
      <c r="ET851" s="763">
        <f t="shared" si="618"/>
        <v>0</v>
      </c>
      <c r="EU851" s="763">
        <f t="shared" si="618"/>
        <v>0</v>
      </c>
      <c r="EV851" s="1300"/>
    </row>
    <row r="852" spans="11:152" ht="12" customHeight="1" x14ac:dyDescent="0.35">
      <c r="K852" s="28"/>
      <c r="L852" s="28"/>
      <c r="M852" s="28"/>
      <c r="N852" s="28"/>
      <c r="O852" s="28"/>
      <c r="P852" s="28"/>
      <c r="Q852" s="28"/>
      <c r="R852" s="31"/>
      <c r="S852" s="36"/>
      <c r="T852" s="26"/>
      <c r="U852" s="29"/>
      <c r="V852" s="29"/>
      <c r="W852" s="377"/>
      <c r="X852" s="376"/>
      <c r="Y852" s="29"/>
      <c r="Z852" s="29" t="str">
        <f>IF(Input!P280&gt;0,AB835,AB$824)</f>
        <v>Investor #1</v>
      </c>
      <c r="AA852" s="29">
        <f t="shared" si="613"/>
        <v>0</v>
      </c>
      <c r="AB852" s="763">
        <f t="shared" si="610"/>
        <v>0</v>
      </c>
      <c r="AC852" s="29">
        <v>12</v>
      </c>
      <c r="AD852" s="1804"/>
      <c r="AE852" s="376"/>
      <c r="AF852" s="763">
        <f t="shared" si="614"/>
        <v>0</v>
      </c>
      <c r="AG852" s="763">
        <f t="shared" si="614"/>
        <v>0</v>
      </c>
      <c r="AH852" s="763">
        <f t="shared" si="614"/>
        <v>0</v>
      </c>
      <c r="AI852" s="763">
        <f t="shared" si="614"/>
        <v>0</v>
      </c>
      <c r="AJ852" s="763">
        <f t="shared" si="614"/>
        <v>0</v>
      </c>
      <c r="AK852" s="763">
        <f t="shared" si="614"/>
        <v>0</v>
      </c>
      <c r="AL852" s="763">
        <f t="shared" si="614"/>
        <v>0</v>
      </c>
      <c r="AM852" s="763">
        <f t="shared" si="614"/>
        <v>0</v>
      </c>
      <c r="AN852" s="763">
        <f t="shared" si="614"/>
        <v>0</v>
      </c>
      <c r="AO852" s="763">
        <f t="shared" si="619"/>
        <v>0</v>
      </c>
      <c r="AP852" s="763">
        <f t="shared" si="619"/>
        <v>0</v>
      </c>
      <c r="AQ852" s="763">
        <f t="shared" si="619"/>
        <v>0</v>
      </c>
      <c r="AR852" s="763">
        <f t="shared" si="619"/>
        <v>0</v>
      </c>
      <c r="AS852" s="763">
        <f t="shared" si="619"/>
        <v>0</v>
      </c>
      <c r="AT852" s="763">
        <f t="shared" si="619"/>
        <v>0</v>
      </c>
      <c r="AU852" s="763">
        <f t="shared" si="619"/>
        <v>0</v>
      </c>
      <c r="AV852" s="763">
        <f t="shared" si="619"/>
        <v>0</v>
      </c>
      <c r="AW852" s="763">
        <f t="shared" si="619"/>
        <v>0</v>
      </c>
      <c r="AX852" s="763">
        <f t="shared" si="619"/>
        <v>0</v>
      </c>
      <c r="AY852" s="763">
        <f t="shared" si="619"/>
        <v>0</v>
      </c>
      <c r="AZ852" s="763">
        <f t="shared" si="619"/>
        <v>0</v>
      </c>
      <c r="BA852" s="763">
        <f t="shared" si="619"/>
        <v>0</v>
      </c>
      <c r="BB852" s="763">
        <f t="shared" si="619"/>
        <v>0</v>
      </c>
      <c r="BC852" s="763">
        <f t="shared" si="619"/>
        <v>0</v>
      </c>
      <c r="BD852" s="763">
        <f t="shared" si="619"/>
        <v>0</v>
      </c>
      <c r="BE852" s="763">
        <f t="shared" si="619"/>
        <v>0</v>
      </c>
      <c r="BF852" s="763">
        <f t="shared" si="619"/>
        <v>0</v>
      </c>
      <c r="BG852" s="763">
        <f t="shared" si="619"/>
        <v>0</v>
      </c>
      <c r="BH852" s="763">
        <f t="shared" si="619"/>
        <v>0</v>
      </c>
      <c r="BI852" s="763">
        <f t="shared" si="619"/>
        <v>0</v>
      </c>
      <c r="BJ852" s="763">
        <f t="shared" si="619"/>
        <v>0</v>
      </c>
      <c r="BK852" s="763">
        <f t="shared" si="619"/>
        <v>0</v>
      </c>
      <c r="BL852" s="763">
        <f t="shared" si="619"/>
        <v>0</v>
      </c>
      <c r="BM852" s="763">
        <f t="shared" si="619"/>
        <v>0</v>
      </c>
      <c r="BN852" s="763">
        <f t="shared" si="619"/>
        <v>0</v>
      </c>
      <c r="BO852" s="763">
        <f t="shared" si="619"/>
        <v>0</v>
      </c>
      <c r="BP852" s="763">
        <f t="shared" si="619"/>
        <v>0</v>
      </c>
      <c r="BQ852" s="763">
        <f t="shared" si="619"/>
        <v>0</v>
      </c>
      <c r="BR852" s="763">
        <f t="shared" si="619"/>
        <v>0</v>
      </c>
      <c r="BS852" s="763">
        <f t="shared" si="619"/>
        <v>0</v>
      </c>
      <c r="BT852" s="763">
        <f t="shared" si="619"/>
        <v>0</v>
      </c>
      <c r="BU852" s="763">
        <f t="shared" si="619"/>
        <v>0</v>
      </c>
      <c r="BV852" s="763">
        <f t="shared" si="619"/>
        <v>0</v>
      </c>
      <c r="BW852" s="763">
        <f t="shared" si="619"/>
        <v>0</v>
      </c>
      <c r="BX852" s="763">
        <f t="shared" si="619"/>
        <v>0</v>
      </c>
      <c r="BY852" s="763">
        <f t="shared" si="619"/>
        <v>0</v>
      </c>
      <c r="BZ852" s="763">
        <f t="shared" si="619"/>
        <v>0</v>
      </c>
      <c r="CA852" s="763">
        <f t="shared" si="619"/>
        <v>0</v>
      </c>
      <c r="CB852" s="763">
        <f t="shared" si="619"/>
        <v>0</v>
      </c>
      <c r="CC852" s="763">
        <f t="shared" si="619"/>
        <v>0</v>
      </c>
      <c r="CD852" s="763">
        <f t="shared" si="619"/>
        <v>0</v>
      </c>
      <c r="CE852" s="763">
        <f t="shared" si="619"/>
        <v>0</v>
      </c>
      <c r="CF852" s="763">
        <f t="shared" si="619"/>
        <v>0</v>
      </c>
      <c r="CG852" s="763">
        <f t="shared" si="619"/>
        <v>0</v>
      </c>
      <c r="CH852" s="763">
        <f t="shared" si="619"/>
        <v>0</v>
      </c>
      <c r="CI852" s="763">
        <f t="shared" si="619"/>
        <v>0</v>
      </c>
      <c r="CJ852" s="763">
        <f t="shared" si="619"/>
        <v>0</v>
      </c>
      <c r="CK852" s="763">
        <f t="shared" si="619"/>
        <v>0</v>
      </c>
      <c r="CL852" s="763">
        <f t="shared" si="619"/>
        <v>0</v>
      </c>
      <c r="CM852" s="763">
        <f t="shared" si="619"/>
        <v>0</v>
      </c>
      <c r="CN852" s="763">
        <f t="shared" si="619"/>
        <v>0</v>
      </c>
      <c r="CO852" s="763">
        <f t="shared" si="619"/>
        <v>0</v>
      </c>
      <c r="CP852" s="763">
        <f t="shared" si="619"/>
        <v>0</v>
      </c>
      <c r="CQ852" s="763">
        <f t="shared" si="619"/>
        <v>0</v>
      </c>
      <c r="CR852" s="763">
        <f t="shared" si="619"/>
        <v>0</v>
      </c>
      <c r="CS852" s="763">
        <f t="shared" si="619"/>
        <v>0</v>
      </c>
      <c r="CT852" s="763">
        <f t="shared" si="619"/>
        <v>0</v>
      </c>
      <c r="CU852" s="763">
        <f t="shared" si="619"/>
        <v>0</v>
      </c>
      <c r="CV852" s="763">
        <f t="shared" si="619"/>
        <v>0</v>
      </c>
      <c r="CW852" s="763">
        <f t="shared" si="619"/>
        <v>0</v>
      </c>
      <c r="CX852" s="763">
        <f t="shared" si="619"/>
        <v>0</v>
      </c>
      <c r="CY852" s="763">
        <f t="shared" si="619"/>
        <v>0</v>
      </c>
      <c r="CZ852" s="763">
        <f t="shared" si="619"/>
        <v>0</v>
      </c>
      <c r="DA852" s="763">
        <f t="shared" si="618"/>
        <v>0</v>
      </c>
      <c r="DB852" s="763">
        <f t="shared" si="618"/>
        <v>0</v>
      </c>
      <c r="DC852" s="763">
        <f t="shared" si="618"/>
        <v>0</v>
      </c>
      <c r="DD852" s="763">
        <f t="shared" si="618"/>
        <v>0</v>
      </c>
      <c r="DE852" s="763">
        <f t="shared" si="618"/>
        <v>0</v>
      </c>
      <c r="DF852" s="763">
        <f t="shared" si="618"/>
        <v>0</v>
      </c>
      <c r="DG852" s="763">
        <f t="shared" si="618"/>
        <v>0</v>
      </c>
      <c r="DH852" s="763">
        <f t="shared" si="618"/>
        <v>0</v>
      </c>
      <c r="DI852" s="763">
        <f t="shared" si="618"/>
        <v>0</v>
      </c>
      <c r="DJ852" s="763">
        <f t="shared" si="618"/>
        <v>0</v>
      </c>
      <c r="DK852" s="763">
        <f t="shared" si="618"/>
        <v>0</v>
      </c>
      <c r="DL852" s="763">
        <f t="shared" si="618"/>
        <v>0</v>
      </c>
      <c r="DM852" s="763">
        <f t="shared" si="618"/>
        <v>0</v>
      </c>
      <c r="DN852" s="763">
        <f t="shared" si="618"/>
        <v>0</v>
      </c>
      <c r="DO852" s="763">
        <f t="shared" si="618"/>
        <v>0</v>
      </c>
      <c r="DP852" s="763">
        <f t="shared" si="618"/>
        <v>0</v>
      </c>
      <c r="DQ852" s="763">
        <f t="shared" si="618"/>
        <v>0</v>
      </c>
      <c r="DR852" s="763">
        <f t="shared" si="618"/>
        <v>0</v>
      </c>
      <c r="DS852" s="763">
        <f t="shared" si="618"/>
        <v>0</v>
      </c>
      <c r="DT852" s="763">
        <f t="shared" si="618"/>
        <v>0</v>
      </c>
      <c r="DU852" s="763">
        <f t="shared" si="618"/>
        <v>0</v>
      </c>
      <c r="DV852" s="763">
        <f t="shared" si="618"/>
        <v>0</v>
      </c>
      <c r="DW852" s="763">
        <f t="shared" si="618"/>
        <v>0</v>
      </c>
      <c r="DX852" s="763">
        <f t="shared" si="618"/>
        <v>0</v>
      </c>
      <c r="DY852" s="763">
        <f t="shared" si="618"/>
        <v>0</v>
      </c>
      <c r="DZ852" s="763">
        <f t="shared" si="618"/>
        <v>0</v>
      </c>
      <c r="EA852" s="763">
        <f t="shared" si="618"/>
        <v>0</v>
      </c>
      <c r="EB852" s="763">
        <f t="shared" si="618"/>
        <v>0</v>
      </c>
      <c r="EC852" s="763">
        <f t="shared" si="618"/>
        <v>0</v>
      </c>
      <c r="ED852" s="763">
        <f t="shared" si="618"/>
        <v>0</v>
      </c>
      <c r="EE852" s="763">
        <f t="shared" si="618"/>
        <v>0</v>
      </c>
      <c r="EF852" s="763">
        <f t="shared" si="618"/>
        <v>0</v>
      </c>
      <c r="EG852" s="763">
        <f t="shared" si="618"/>
        <v>0</v>
      </c>
      <c r="EH852" s="763">
        <f t="shared" si="618"/>
        <v>0</v>
      </c>
      <c r="EI852" s="763">
        <f t="shared" si="618"/>
        <v>0</v>
      </c>
      <c r="EJ852" s="763">
        <f t="shared" si="618"/>
        <v>0</v>
      </c>
      <c r="EK852" s="763">
        <f t="shared" si="618"/>
        <v>0</v>
      </c>
      <c r="EL852" s="763">
        <f t="shared" si="618"/>
        <v>0</v>
      </c>
      <c r="EM852" s="763">
        <f t="shared" si="618"/>
        <v>0</v>
      </c>
      <c r="EN852" s="763">
        <f t="shared" si="618"/>
        <v>0</v>
      </c>
      <c r="EO852" s="763">
        <f t="shared" si="618"/>
        <v>0</v>
      </c>
      <c r="EP852" s="763">
        <f t="shared" si="618"/>
        <v>0</v>
      </c>
      <c r="EQ852" s="763">
        <f t="shared" si="618"/>
        <v>0</v>
      </c>
      <c r="ER852" s="763">
        <f t="shared" si="618"/>
        <v>0</v>
      </c>
      <c r="ES852" s="763">
        <f t="shared" si="618"/>
        <v>0</v>
      </c>
      <c r="ET852" s="763">
        <f t="shared" si="618"/>
        <v>0</v>
      </c>
      <c r="EU852" s="763">
        <f t="shared" si="618"/>
        <v>0</v>
      </c>
      <c r="EV852" s="1300"/>
    </row>
    <row r="853" spans="11:152" ht="12" customHeight="1" x14ac:dyDescent="0.35">
      <c r="K853" s="28"/>
      <c r="L853" s="28"/>
      <c r="M853" s="28"/>
      <c r="N853" s="28"/>
      <c r="O853" s="28"/>
      <c r="P853" s="28"/>
      <c r="Q853" s="28"/>
      <c r="R853" s="31"/>
      <c r="S853" s="36"/>
      <c r="T853" s="26"/>
      <c r="U853" s="29"/>
      <c r="V853" s="29"/>
      <c r="W853" s="377"/>
      <c r="X853" s="376"/>
      <c r="Y853" s="29"/>
      <c r="Z853" s="29" t="str">
        <f>IF(Input!P281&gt;0,AB836,AB$824)</f>
        <v>Investor #1</v>
      </c>
      <c r="AA853" s="29">
        <f t="shared" si="613"/>
        <v>0</v>
      </c>
      <c r="AB853" s="763">
        <f t="shared" si="610"/>
        <v>0</v>
      </c>
      <c r="AC853" s="29">
        <v>13</v>
      </c>
      <c r="AD853" s="1804"/>
      <c r="AE853" s="376"/>
      <c r="AF853" s="763">
        <f t="shared" si="614"/>
        <v>0</v>
      </c>
      <c r="AG853" s="763">
        <f t="shared" si="614"/>
        <v>0</v>
      </c>
      <c r="AH853" s="763">
        <f t="shared" si="614"/>
        <v>0</v>
      </c>
      <c r="AI853" s="763">
        <f t="shared" si="614"/>
        <v>0</v>
      </c>
      <c r="AJ853" s="763">
        <f t="shared" si="614"/>
        <v>0</v>
      </c>
      <c r="AK853" s="763">
        <f t="shared" si="614"/>
        <v>0</v>
      </c>
      <c r="AL853" s="763">
        <f t="shared" si="614"/>
        <v>0</v>
      </c>
      <c r="AM853" s="763">
        <f t="shared" si="614"/>
        <v>0</v>
      </c>
      <c r="AN853" s="763">
        <f t="shared" si="614"/>
        <v>0</v>
      </c>
      <c r="AO853" s="763">
        <f t="shared" si="619"/>
        <v>0</v>
      </c>
      <c r="AP853" s="763">
        <f t="shared" si="619"/>
        <v>0</v>
      </c>
      <c r="AQ853" s="763">
        <f t="shared" si="619"/>
        <v>0</v>
      </c>
      <c r="AR853" s="763">
        <f t="shared" si="619"/>
        <v>0</v>
      </c>
      <c r="AS853" s="763">
        <f t="shared" si="619"/>
        <v>0</v>
      </c>
      <c r="AT853" s="763">
        <f t="shared" si="619"/>
        <v>0</v>
      </c>
      <c r="AU853" s="763">
        <f t="shared" si="619"/>
        <v>0</v>
      </c>
      <c r="AV853" s="763">
        <f t="shared" si="619"/>
        <v>0</v>
      </c>
      <c r="AW853" s="763">
        <f t="shared" si="619"/>
        <v>0</v>
      </c>
      <c r="AX853" s="763">
        <f t="shared" si="619"/>
        <v>0</v>
      </c>
      <c r="AY853" s="763">
        <f t="shared" si="619"/>
        <v>0</v>
      </c>
      <c r="AZ853" s="763">
        <f t="shared" si="619"/>
        <v>0</v>
      </c>
      <c r="BA853" s="763">
        <f t="shared" si="619"/>
        <v>0</v>
      </c>
      <c r="BB853" s="763">
        <f t="shared" si="619"/>
        <v>0</v>
      </c>
      <c r="BC853" s="763">
        <f t="shared" si="619"/>
        <v>0</v>
      </c>
      <c r="BD853" s="763">
        <f t="shared" si="619"/>
        <v>0</v>
      </c>
      <c r="BE853" s="763">
        <f t="shared" si="619"/>
        <v>0</v>
      </c>
      <c r="BF853" s="763">
        <f t="shared" si="619"/>
        <v>0</v>
      </c>
      <c r="BG853" s="763">
        <f t="shared" si="619"/>
        <v>0</v>
      </c>
      <c r="BH853" s="763">
        <f t="shared" si="619"/>
        <v>0</v>
      </c>
      <c r="BI853" s="763">
        <f t="shared" si="619"/>
        <v>0</v>
      </c>
      <c r="BJ853" s="763">
        <f t="shared" si="619"/>
        <v>0</v>
      </c>
      <c r="BK853" s="763">
        <f t="shared" si="619"/>
        <v>0</v>
      </c>
      <c r="BL853" s="763">
        <f t="shared" si="619"/>
        <v>0</v>
      </c>
      <c r="BM853" s="763">
        <f t="shared" si="619"/>
        <v>0</v>
      </c>
      <c r="BN853" s="763">
        <f t="shared" si="619"/>
        <v>0</v>
      </c>
      <c r="BO853" s="763">
        <f t="shared" si="619"/>
        <v>0</v>
      </c>
      <c r="BP853" s="763">
        <f t="shared" si="619"/>
        <v>0</v>
      </c>
      <c r="BQ853" s="763">
        <f t="shared" si="619"/>
        <v>0</v>
      </c>
      <c r="BR853" s="763">
        <f t="shared" si="619"/>
        <v>0</v>
      </c>
      <c r="BS853" s="763">
        <f t="shared" si="619"/>
        <v>0</v>
      </c>
      <c r="BT853" s="763">
        <f t="shared" si="619"/>
        <v>0</v>
      </c>
      <c r="BU853" s="763">
        <f t="shared" si="619"/>
        <v>0</v>
      </c>
      <c r="BV853" s="763">
        <f t="shared" si="619"/>
        <v>0</v>
      </c>
      <c r="BW853" s="763">
        <f t="shared" si="619"/>
        <v>0</v>
      </c>
      <c r="BX853" s="763">
        <f t="shared" si="619"/>
        <v>0</v>
      </c>
      <c r="BY853" s="763">
        <f t="shared" si="619"/>
        <v>0</v>
      </c>
      <c r="BZ853" s="763">
        <f t="shared" si="619"/>
        <v>0</v>
      </c>
      <c r="CA853" s="763">
        <f t="shared" si="619"/>
        <v>0</v>
      </c>
      <c r="CB853" s="763">
        <f t="shared" si="619"/>
        <v>0</v>
      </c>
      <c r="CC853" s="763">
        <f t="shared" si="619"/>
        <v>0</v>
      </c>
      <c r="CD853" s="763">
        <f t="shared" si="619"/>
        <v>0</v>
      </c>
      <c r="CE853" s="763">
        <f t="shared" si="619"/>
        <v>0</v>
      </c>
      <c r="CF853" s="763">
        <f t="shared" si="619"/>
        <v>0</v>
      </c>
      <c r="CG853" s="763">
        <f t="shared" si="619"/>
        <v>0</v>
      </c>
      <c r="CH853" s="763">
        <f t="shared" si="619"/>
        <v>0</v>
      </c>
      <c r="CI853" s="763">
        <f t="shared" si="619"/>
        <v>0</v>
      </c>
      <c r="CJ853" s="763">
        <f t="shared" si="619"/>
        <v>0</v>
      </c>
      <c r="CK853" s="763">
        <f t="shared" si="619"/>
        <v>0</v>
      </c>
      <c r="CL853" s="763">
        <f t="shared" si="619"/>
        <v>0</v>
      </c>
      <c r="CM853" s="763">
        <f t="shared" si="619"/>
        <v>0</v>
      </c>
      <c r="CN853" s="763">
        <f t="shared" si="619"/>
        <v>0</v>
      </c>
      <c r="CO853" s="763">
        <f t="shared" si="619"/>
        <v>0</v>
      </c>
      <c r="CP853" s="763">
        <f t="shared" si="619"/>
        <v>0</v>
      </c>
      <c r="CQ853" s="763">
        <f t="shared" si="619"/>
        <v>0</v>
      </c>
      <c r="CR853" s="763">
        <f t="shared" si="619"/>
        <v>0</v>
      </c>
      <c r="CS853" s="763">
        <f t="shared" si="619"/>
        <v>0</v>
      </c>
      <c r="CT853" s="763">
        <f t="shared" si="619"/>
        <v>0</v>
      </c>
      <c r="CU853" s="763">
        <f t="shared" si="619"/>
        <v>0</v>
      </c>
      <c r="CV853" s="763">
        <f t="shared" si="619"/>
        <v>0</v>
      </c>
      <c r="CW853" s="763">
        <f t="shared" si="619"/>
        <v>0</v>
      </c>
      <c r="CX853" s="763">
        <f t="shared" si="619"/>
        <v>0</v>
      </c>
      <c r="CY853" s="763">
        <f t="shared" si="619"/>
        <v>0</v>
      </c>
      <c r="CZ853" s="763">
        <f t="shared" si="619"/>
        <v>0</v>
      </c>
      <c r="DA853" s="763">
        <f t="shared" si="618"/>
        <v>0</v>
      </c>
      <c r="DB853" s="763">
        <f t="shared" si="618"/>
        <v>0</v>
      </c>
      <c r="DC853" s="763">
        <f t="shared" si="618"/>
        <v>0</v>
      </c>
      <c r="DD853" s="763">
        <f t="shared" si="618"/>
        <v>0</v>
      </c>
      <c r="DE853" s="763">
        <f t="shared" si="618"/>
        <v>0</v>
      </c>
      <c r="DF853" s="763">
        <f t="shared" si="618"/>
        <v>0</v>
      </c>
      <c r="DG853" s="763">
        <f t="shared" si="618"/>
        <v>0</v>
      </c>
      <c r="DH853" s="763">
        <f t="shared" si="618"/>
        <v>0</v>
      </c>
      <c r="DI853" s="763">
        <f t="shared" si="618"/>
        <v>0</v>
      </c>
      <c r="DJ853" s="763">
        <f t="shared" si="618"/>
        <v>0</v>
      </c>
      <c r="DK853" s="763">
        <f t="shared" si="618"/>
        <v>0</v>
      </c>
      <c r="DL853" s="763">
        <f t="shared" si="618"/>
        <v>0</v>
      </c>
      <c r="DM853" s="763">
        <f t="shared" si="618"/>
        <v>0</v>
      </c>
      <c r="DN853" s="763">
        <f t="shared" si="618"/>
        <v>0</v>
      </c>
      <c r="DO853" s="763">
        <f t="shared" si="618"/>
        <v>0</v>
      </c>
      <c r="DP853" s="763">
        <f t="shared" si="618"/>
        <v>0</v>
      </c>
      <c r="DQ853" s="763">
        <f t="shared" si="618"/>
        <v>0</v>
      </c>
      <c r="DR853" s="763">
        <f t="shared" si="618"/>
        <v>0</v>
      </c>
      <c r="DS853" s="763">
        <f t="shared" si="618"/>
        <v>0</v>
      </c>
      <c r="DT853" s="763">
        <f t="shared" si="618"/>
        <v>0</v>
      </c>
      <c r="DU853" s="763">
        <f t="shared" si="618"/>
        <v>0</v>
      </c>
      <c r="DV853" s="763">
        <f t="shared" si="618"/>
        <v>0</v>
      </c>
      <c r="DW853" s="763">
        <f t="shared" si="618"/>
        <v>0</v>
      </c>
      <c r="DX853" s="763">
        <f t="shared" si="618"/>
        <v>0</v>
      </c>
      <c r="DY853" s="763">
        <f t="shared" si="618"/>
        <v>0</v>
      </c>
      <c r="DZ853" s="763">
        <f t="shared" si="618"/>
        <v>0</v>
      </c>
      <c r="EA853" s="763">
        <f t="shared" si="618"/>
        <v>0</v>
      </c>
      <c r="EB853" s="763">
        <f t="shared" si="618"/>
        <v>0</v>
      </c>
      <c r="EC853" s="763">
        <f t="shared" si="618"/>
        <v>0</v>
      </c>
      <c r="ED853" s="763">
        <f t="shared" si="618"/>
        <v>0</v>
      </c>
      <c r="EE853" s="763">
        <f t="shared" si="618"/>
        <v>0</v>
      </c>
      <c r="EF853" s="763">
        <f t="shared" si="618"/>
        <v>0</v>
      </c>
      <c r="EG853" s="763">
        <f t="shared" si="618"/>
        <v>0</v>
      </c>
      <c r="EH853" s="763">
        <f t="shared" si="618"/>
        <v>0</v>
      </c>
      <c r="EI853" s="763">
        <f t="shared" si="618"/>
        <v>0</v>
      </c>
      <c r="EJ853" s="763">
        <f t="shared" si="618"/>
        <v>0</v>
      </c>
      <c r="EK853" s="763">
        <f t="shared" si="618"/>
        <v>0</v>
      </c>
      <c r="EL853" s="763">
        <f t="shared" si="618"/>
        <v>0</v>
      </c>
      <c r="EM853" s="763">
        <f t="shared" si="618"/>
        <v>0</v>
      </c>
      <c r="EN853" s="763">
        <f t="shared" si="618"/>
        <v>0</v>
      </c>
      <c r="EO853" s="763">
        <f t="shared" si="618"/>
        <v>0</v>
      </c>
      <c r="EP853" s="763">
        <f t="shared" si="618"/>
        <v>0</v>
      </c>
      <c r="EQ853" s="763">
        <f t="shared" si="618"/>
        <v>0</v>
      </c>
      <c r="ER853" s="763">
        <f t="shared" si="618"/>
        <v>0</v>
      </c>
      <c r="ES853" s="763">
        <f t="shared" si="618"/>
        <v>0</v>
      </c>
      <c r="ET853" s="763">
        <f t="shared" si="618"/>
        <v>0</v>
      </c>
      <c r="EU853" s="763">
        <f t="shared" si="618"/>
        <v>0</v>
      </c>
      <c r="EV853" s="1300"/>
    </row>
    <row r="854" spans="11:152" ht="12" customHeight="1" x14ac:dyDescent="0.35">
      <c r="K854" s="28"/>
      <c r="L854" s="28"/>
      <c r="M854" s="28"/>
      <c r="N854" s="28"/>
      <c r="O854" s="28"/>
      <c r="P854" s="28"/>
      <c r="Q854" s="28"/>
      <c r="R854" s="31"/>
      <c r="S854" s="36"/>
      <c r="T854" s="26"/>
      <c r="U854" s="29"/>
      <c r="V854" s="29"/>
      <c r="W854" s="377"/>
      <c r="X854" s="376"/>
      <c r="Y854" s="29"/>
      <c r="Z854" s="29" t="str">
        <f>IF(Input!P297&gt;0,AB837,AB$824)</f>
        <v>Investor #1</v>
      </c>
      <c r="AA854" s="29">
        <f t="shared" si="613"/>
        <v>0</v>
      </c>
      <c r="AB854" s="763">
        <f t="shared" si="610"/>
        <v>0</v>
      </c>
      <c r="AC854" s="29">
        <v>14</v>
      </c>
      <c r="AD854" s="1804"/>
      <c r="AE854" s="376"/>
      <c r="AF854" s="763">
        <f t="shared" si="614"/>
        <v>0</v>
      </c>
      <c r="AG854" s="763">
        <f t="shared" si="614"/>
        <v>0</v>
      </c>
      <c r="AH854" s="763">
        <f t="shared" si="614"/>
        <v>0</v>
      </c>
      <c r="AI854" s="763">
        <f t="shared" si="614"/>
        <v>0</v>
      </c>
      <c r="AJ854" s="763">
        <f t="shared" si="614"/>
        <v>0</v>
      </c>
      <c r="AK854" s="763">
        <f t="shared" si="614"/>
        <v>0</v>
      </c>
      <c r="AL854" s="763">
        <f t="shared" si="614"/>
        <v>0</v>
      </c>
      <c r="AM854" s="763">
        <f t="shared" si="614"/>
        <v>0</v>
      </c>
      <c r="AN854" s="763">
        <f t="shared" si="614"/>
        <v>0</v>
      </c>
      <c r="AO854" s="763">
        <f t="shared" si="619"/>
        <v>0</v>
      </c>
      <c r="AP854" s="763">
        <f t="shared" si="619"/>
        <v>0</v>
      </c>
      <c r="AQ854" s="763">
        <f t="shared" si="619"/>
        <v>0</v>
      </c>
      <c r="AR854" s="763">
        <f t="shared" si="619"/>
        <v>0</v>
      </c>
      <c r="AS854" s="763">
        <f t="shared" si="619"/>
        <v>0</v>
      </c>
      <c r="AT854" s="763">
        <f t="shared" si="619"/>
        <v>0</v>
      </c>
      <c r="AU854" s="763">
        <f t="shared" si="619"/>
        <v>0</v>
      </c>
      <c r="AV854" s="763">
        <f t="shared" si="619"/>
        <v>0</v>
      </c>
      <c r="AW854" s="763">
        <f t="shared" si="619"/>
        <v>0</v>
      </c>
      <c r="AX854" s="763">
        <f t="shared" si="619"/>
        <v>0</v>
      </c>
      <c r="AY854" s="763">
        <f t="shared" si="619"/>
        <v>0</v>
      </c>
      <c r="AZ854" s="763">
        <f t="shared" si="619"/>
        <v>0</v>
      </c>
      <c r="BA854" s="763">
        <f t="shared" si="619"/>
        <v>0</v>
      </c>
      <c r="BB854" s="763">
        <f t="shared" si="619"/>
        <v>0</v>
      </c>
      <c r="BC854" s="763">
        <f t="shared" si="619"/>
        <v>0</v>
      </c>
      <c r="BD854" s="763">
        <f t="shared" si="619"/>
        <v>0</v>
      </c>
      <c r="BE854" s="763">
        <f t="shared" si="619"/>
        <v>0</v>
      </c>
      <c r="BF854" s="763">
        <f t="shared" si="619"/>
        <v>0</v>
      </c>
      <c r="BG854" s="763">
        <f t="shared" si="619"/>
        <v>0</v>
      </c>
      <c r="BH854" s="763">
        <f t="shared" si="619"/>
        <v>0</v>
      </c>
      <c r="BI854" s="763">
        <f t="shared" si="619"/>
        <v>0</v>
      </c>
      <c r="BJ854" s="763">
        <f t="shared" si="619"/>
        <v>0</v>
      </c>
      <c r="BK854" s="763">
        <f t="shared" si="619"/>
        <v>0</v>
      </c>
      <c r="BL854" s="763">
        <f t="shared" si="619"/>
        <v>0</v>
      </c>
      <c r="BM854" s="763">
        <f t="shared" si="619"/>
        <v>0</v>
      </c>
      <c r="BN854" s="763">
        <f t="shared" si="619"/>
        <v>0</v>
      </c>
      <c r="BO854" s="763">
        <f t="shared" si="619"/>
        <v>0</v>
      </c>
      <c r="BP854" s="763">
        <f t="shared" si="619"/>
        <v>0</v>
      </c>
      <c r="BQ854" s="763">
        <f t="shared" si="619"/>
        <v>0</v>
      </c>
      <c r="BR854" s="763">
        <f t="shared" si="619"/>
        <v>0</v>
      </c>
      <c r="BS854" s="763">
        <f t="shared" si="619"/>
        <v>0</v>
      </c>
      <c r="BT854" s="763">
        <f t="shared" si="619"/>
        <v>0</v>
      </c>
      <c r="BU854" s="763">
        <f t="shared" si="619"/>
        <v>0</v>
      </c>
      <c r="BV854" s="763">
        <f t="shared" si="619"/>
        <v>0</v>
      </c>
      <c r="BW854" s="763">
        <f t="shared" si="619"/>
        <v>0</v>
      </c>
      <c r="BX854" s="763">
        <f t="shared" si="619"/>
        <v>0</v>
      </c>
      <c r="BY854" s="763">
        <f t="shared" si="619"/>
        <v>0</v>
      </c>
      <c r="BZ854" s="763">
        <f t="shared" si="619"/>
        <v>0</v>
      </c>
      <c r="CA854" s="763">
        <f t="shared" si="619"/>
        <v>0</v>
      </c>
      <c r="CB854" s="763">
        <f t="shared" si="619"/>
        <v>0</v>
      </c>
      <c r="CC854" s="763">
        <f t="shared" si="619"/>
        <v>0</v>
      </c>
      <c r="CD854" s="763">
        <f t="shared" si="619"/>
        <v>0</v>
      </c>
      <c r="CE854" s="763">
        <f t="shared" si="619"/>
        <v>0</v>
      </c>
      <c r="CF854" s="763">
        <f t="shared" si="619"/>
        <v>0</v>
      </c>
      <c r="CG854" s="763">
        <f t="shared" si="619"/>
        <v>0</v>
      </c>
      <c r="CH854" s="763">
        <f t="shared" si="619"/>
        <v>0</v>
      </c>
      <c r="CI854" s="763">
        <f t="shared" si="619"/>
        <v>0</v>
      </c>
      <c r="CJ854" s="763">
        <f t="shared" si="619"/>
        <v>0</v>
      </c>
      <c r="CK854" s="763">
        <f t="shared" si="619"/>
        <v>0</v>
      </c>
      <c r="CL854" s="763">
        <f t="shared" si="619"/>
        <v>0</v>
      </c>
      <c r="CM854" s="763">
        <f t="shared" si="619"/>
        <v>0</v>
      </c>
      <c r="CN854" s="763">
        <f t="shared" si="619"/>
        <v>0</v>
      </c>
      <c r="CO854" s="763">
        <f t="shared" si="619"/>
        <v>0</v>
      </c>
      <c r="CP854" s="763">
        <f t="shared" si="619"/>
        <v>0</v>
      </c>
      <c r="CQ854" s="763">
        <f t="shared" si="619"/>
        <v>0</v>
      </c>
      <c r="CR854" s="763">
        <f t="shared" si="619"/>
        <v>0</v>
      </c>
      <c r="CS854" s="763">
        <f t="shared" si="619"/>
        <v>0</v>
      </c>
      <c r="CT854" s="763">
        <f t="shared" si="619"/>
        <v>0</v>
      </c>
      <c r="CU854" s="763">
        <f t="shared" si="619"/>
        <v>0</v>
      </c>
      <c r="CV854" s="763">
        <f t="shared" si="619"/>
        <v>0</v>
      </c>
      <c r="CW854" s="763">
        <f t="shared" si="619"/>
        <v>0</v>
      </c>
      <c r="CX854" s="763">
        <f t="shared" si="619"/>
        <v>0</v>
      </c>
      <c r="CY854" s="763">
        <f t="shared" si="619"/>
        <v>0</v>
      </c>
      <c r="CZ854" s="763">
        <f t="shared" ref="CZ854:EU856" si="620">IF($AE854="",0,SUMIF($AE$824:$AE$839,$AE854,CZ$824:CZ$839))</f>
        <v>0</v>
      </c>
      <c r="DA854" s="763">
        <f t="shared" si="620"/>
        <v>0</v>
      </c>
      <c r="DB854" s="763">
        <f t="shared" si="620"/>
        <v>0</v>
      </c>
      <c r="DC854" s="763">
        <f t="shared" si="620"/>
        <v>0</v>
      </c>
      <c r="DD854" s="763">
        <f t="shared" si="620"/>
        <v>0</v>
      </c>
      <c r="DE854" s="763">
        <f t="shared" si="620"/>
        <v>0</v>
      </c>
      <c r="DF854" s="763">
        <f t="shared" si="620"/>
        <v>0</v>
      </c>
      <c r="DG854" s="763">
        <f t="shared" si="620"/>
        <v>0</v>
      </c>
      <c r="DH854" s="763">
        <f t="shared" si="620"/>
        <v>0</v>
      </c>
      <c r="DI854" s="763">
        <f t="shared" si="620"/>
        <v>0</v>
      </c>
      <c r="DJ854" s="763">
        <f t="shared" si="620"/>
        <v>0</v>
      </c>
      <c r="DK854" s="763">
        <f t="shared" si="620"/>
        <v>0</v>
      </c>
      <c r="DL854" s="763">
        <f t="shared" si="620"/>
        <v>0</v>
      </c>
      <c r="DM854" s="763">
        <f t="shared" si="620"/>
        <v>0</v>
      </c>
      <c r="DN854" s="763">
        <f t="shared" si="620"/>
        <v>0</v>
      </c>
      <c r="DO854" s="763">
        <f t="shared" si="620"/>
        <v>0</v>
      </c>
      <c r="DP854" s="763">
        <f t="shared" si="620"/>
        <v>0</v>
      </c>
      <c r="DQ854" s="763">
        <f t="shared" si="620"/>
        <v>0</v>
      </c>
      <c r="DR854" s="763">
        <f t="shared" si="620"/>
        <v>0</v>
      </c>
      <c r="DS854" s="763">
        <f t="shared" si="620"/>
        <v>0</v>
      </c>
      <c r="DT854" s="763">
        <f t="shared" si="620"/>
        <v>0</v>
      </c>
      <c r="DU854" s="763">
        <f t="shared" si="620"/>
        <v>0</v>
      </c>
      <c r="DV854" s="763">
        <f t="shared" si="620"/>
        <v>0</v>
      </c>
      <c r="DW854" s="763">
        <f t="shared" si="620"/>
        <v>0</v>
      </c>
      <c r="DX854" s="763">
        <f t="shared" si="620"/>
        <v>0</v>
      </c>
      <c r="DY854" s="763">
        <f t="shared" si="620"/>
        <v>0</v>
      </c>
      <c r="DZ854" s="763">
        <f t="shared" si="620"/>
        <v>0</v>
      </c>
      <c r="EA854" s="763">
        <f t="shared" si="620"/>
        <v>0</v>
      </c>
      <c r="EB854" s="763">
        <f t="shared" si="620"/>
        <v>0</v>
      </c>
      <c r="EC854" s="763">
        <f t="shared" si="620"/>
        <v>0</v>
      </c>
      <c r="ED854" s="763">
        <f t="shared" si="620"/>
        <v>0</v>
      </c>
      <c r="EE854" s="763">
        <f t="shared" si="620"/>
        <v>0</v>
      </c>
      <c r="EF854" s="763">
        <f t="shared" si="620"/>
        <v>0</v>
      </c>
      <c r="EG854" s="763">
        <f t="shared" si="620"/>
        <v>0</v>
      </c>
      <c r="EH854" s="763">
        <f t="shared" si="620"/>
        <v>0</v>
      </c>
      <c r="EI854" s="763">
        <f t="shared" si="620"/>
        <v>0</v>
      </c>
      <c r="EJ854" s="763">
        <f t="shared" si="620"/>
        <v>0</v>
      </c>
      <c r="EK854" s="763">
        <f t="shared" si="620"/>
        <v>0</v>
      </c>
      <c r="EL854" s="763">
        <f t="shared" si="620"/>
        <v>0</v>
      </c>
      <c r="EM854" s="763">
        <f t="shared" si="620"/>
        <v>0</v>
      </c>
      <c r="EN854" s="763">
        <f t="shared" si="620"/>
        <v>0</v>
      </c>
      <c r="EO854" s="763">
        <f t="shared" si="620"/>
        <v>0</v>
      </c>
      <c r="EP854" s="763">
        <f t="shared" si="620"/>
        <v>0</v>
      </c>
      <c r="EQ854" s="763">
        <f t="shared" si="620"/>
        <v>0</v>
      </c>
      <c r="ER854" s="763">
        <f t="shared" si="620"/>
        <v>0</v>
      </c>
      <c r="ES854" s="763">
        <f t="shared" si="620"/>
        <v>0</v>
      </c>
      <c r="ET854" s="763">
        <f t="shared" si="620"/>
        <v>0</v>
      </c>
      <c r="EU854" s="763">
        <f t="shared" si="620"/>
        <v>0</v>
      </c>
      <c r="EV854" s="1300"/>
    </row>
    <row r="855" spans="11:152" ht="12" customHeight="1" x14ac:dyDescent="0.35">
      <c r="K855" s="28"/>
      <c r="L855" s="28"/>
      <c r="M855" s="28"/>
      <c r="N855" s="28"/>
      <c r="O855" s="28"/>
      <c r="P855" s="28"/>
      <c r="Q855" s="28"/>
      <c r="R855" s="31"/>
      <c r="S855" s="36"/>
      <c r="T855" s="26"/>
      <c r="U855" s="29"/>
      <c r="V855" s="29"/>
      <c r="W855" s="377"/>
      <c r="X855" s="376"/>
      <c r="Y855" s="29"/>
      <c r="Z855" s="29" t="str">
        <f>IF(Input!P298&gt;0,AB838,AB$824)</f>
        <v>Investor #1</v>
      </c>
      <c r="AA855" s="29">
        <f t="shared" si="613"/>
        <v>0</v>
      </c>
      <c r="AB855" s="763">
        <f t="shared" si="610"/>
        <v>0</v>
      </c>
      <c r="AC855" s="29">
        <v>15</v>
      </c>
      <c r="AD855" s="1804"/>
      <c r="AE855" s="376"/>
      <c r="AF855" s="763">
        <f t="shared" si="614"/>
        <v>0</v>
      </c>
      <c r="AG855" s="763">
        <f t="shared" si="614"/>
        <v>0</v>
      </c>
      <c r="AH855" s="763">
        <f t="shared" si="614"/>
        <v>0</v>
      </c>
      <c r="AI855" s="763">
        <f t="shared" si="614"/>
        <v>0</v>
      </c>
      <c r="AJ855" s="763">
        <f t="shared" si="614"/>
        <v>0</v>
      </c>
      <c r="AK855" s="763">
        <f t="shared" si="614"/>
        <v>0</v>
      </c>
      <c r="AL855" s="763">
        <f t="shared" si="614"/>
        <v>0</v>
      </c>
      <c r="AM855" s="763">
        <f t="shared" si="614"/>
        <v>0</v>
      </c>
      <c r="AN855" s="763">
        <f t="shared" si="614"/>
        <v>0</v>
      </c>
      <c r="AO855" s="763">
        <f t="shared" ref="AO855:CZ856" si="621">IF($AE855="",0,SUMIF($AE$824:$AE$839,$AE855,AO$824:AO$839))</f>
        <v>0</v>
      </c>
      <c r="AP855" s="763">
        <f t="shared" si="621"/>
        <v>0</v>
      </c>
      <c r="AQ855" s="763">
        <f t="shared" si="621"/>
        <v>0</v>
      </c>
      <c r="AR855" s="763">
        <f t="shared" si="621"/>
        <v>0</v>
      </c>
      <c r="AS855" s="763">
        <f t="shared" si="621"/>
        <v>0</v>
      </c>
      <c r="AT855" s="763">
        <f t="shared" si="621"/>
        <v>0</v>
      </c>
      <c r="AU855" s="763">
        <f t="shared" si="621"/>
        <v>0</v>
      </c>
      <c r="AV855" s="763">
        <f t="shared" si="621"/>
        <v>0</v>
      </c>
      <c r="AW855" s="763">
        <f t="shared" si="621"/>
        <v>0</v>
      </c>
      <c r="AX855" s="763">
        <f t="shared" si="621"/>
        <v>0</v>
      </c>
      <c r="AY855" s="763">
        <f t="shared" si="621"/>
        <v>0</v>
      </c>
      <c r="AZ855" s="763">
        <f t="shared" si="621"/>
        <v>0</v>
      </c>
      <c r="BA855" s="763">
        <f t="shared" si="621"/>
        <v>0</v>
      </c>
      <c r="BB855" s="763">
        <f t="shared" si="621"/>
        <v>0</v>
      </c>
      <c r="BC855" s="763">
        <f t="shared" si="621"/>
        <v>0</v>
      </c>
      <c r="BD855" s="763">
        <f t="shared" si="621"/>
        <v>0</v>
      </c>
      <c r="BE855" s="763">
        <f t="shared" si="621"/>
        <v>0</v>
      </c>
      <c r="BF855" s="763">
        <f t="shared" si="621"/>
        <v>0</v>
      </c>
      <c r="BG855" s="763">
        <f t="shared" si="621"/>
        <v>0</v>
      </c>
      <c r="BH855" s="763">
        <f t="shared" si="621"/>
        <v>0</v>
      </c>
      <c r="BI855" s="763">
        <f t="shared" si="621"/>
        <v>0</v>
      </c>
      <c r="BJ855" s="763">
        <f t="shared" si="621"/>
        <v>0</v>
      </c>
      <c r="BK855" s="763">
        <f t="shared" si="621"/>
        <v>0</v>
      </c>
      <c r="BL855" s="763">
        <f t="shared" si="621"/>
        <v>0</v>
      </c>
      <c r="BM855" s="763">
        <f t="shared" si="621"/>
        <v>0</v>
      </c>
      <c r="BN855" s="763">
        <f t="shared" si="621"/>
        <v>0</v>
      </c>
      <c r="BO855" s="763">
        <f t="shared" si="621"/>
        <v>0</v>
      </c>
      <c r="BP855" s="763">
        <f t="shared" si="621"/>
        <v>0</v>
      </c>
      <c r="BQ855" s="763">
        <f t="shared" si="621"/>
        <v>0</v>
      </c>
      <c r="BR855" s="763">
        <f t="shared" si="621"/>
        <v>0</v>
      </c>
      <c r="BS855" s="763">
        <f t="shared" si="621"/>
        <v>0</v>
      </c>
      <c r="BT855" s="763">
        <f t="shared" si="621"/>
        <v>0</v>
      </c>
      <c r="BU855" s="763">
        <f t="shared" si="621"/>
        <v>0</v>
      </c>
      <c r="BV855" s="763">
        <f t="shared" si="621"/>
        <v>0</v>
      </c>
      <c r="BW855" s="763">
        <f t="shared" si="621"/>
        <v>0</v>
      </c>
      <c r="BX855" s="763">
        <f t="shared" si="621"/>
        <v>0</v>
      </c>
      <c r="BY855" s="763">
        <f t="shared" si="621"/>
        <v>0</v>
      </c>
      <c r="BZ855" s="763">
        <f t="shared" si="621"/>
        <v>0</v>
      </c>
      <c r="CA855" s="763">
        <f t="shared" si="621"/>
        <v>0</v>
      </c>
      <c r="CB855" s="763">
        <f t="shared" si="621"/>
        <v>0</v>
      </c>
      <c r="CC855" s="763">
        <f t="shared" si="621"/>
        <v>0</v>
      </c>
      <c r="CD855" s="763">
        <f t="shared" si="621"/>
        <v>0</v>
      </c>
      <c r="CE855" s="763">
        <f t="shared" si="621"/>
        <v>0</v>
      </c>
      <c r="CF855" s="763">
        <f t="shared" si="621"/>
        <v>0</v>
      </c>
      <c r="CG855" s="763">
        <f t="shared" si="621"/>
        <v>0</v>
      </c>
      <c r="CH855" s="763">
        <f t="shared" si="621"/>
        <v>0</v>
      </c>
      <c r="CI855" s="763">
        <f t="shared" si="621"/>
        <v>0</v>
      </c>
      <c r="CJ855" s="763">
        <f t="shared" si="621"/>
        <v>0</v>
      </c>
      <c r="CK855" s="763">
        <f t="shared" si="621"/>
        <v>0</v>
      </c>
      <c r="CL855" s="763">
        <f t="shared" si="621"/>
        <v>0</v>
      </c>
      <c r="CM855" s="763">
        <f t="shared" si="621"/>
        <v>0</v>
      </c>
      <c r="CN855" s="763">
        <f t="shared" si="621"/>
        <v>0</v>
      </c>
      <c r="CO855" s="763">
        <f t="shared" si="621"/>
        <v>0</v>
      </c>
      <c r="CP855" s="763">
        <f t="shared" si="621"/>
        <v>0</v>
      </c>
      <c r="CQ855" s="763">
        <f t="shared" si="621"/>
        <v>0</v>
      </c>
      <c r="CR855" s="763">
        <f t="shared" si="621"/>
        <v>0</v>
      </c>
      <c r="CS855" s="763">
        <f t="shared" si="621"/>
        <v>0</v>
      </c>
      <c r="CT855" s="763">
        <f t="shared" si="621"/>
        <v>0</v>
      </c>
      <c r="CU855" s="763">
        <f t="shared" si="621"/>
        <v>0</v>
      </c>
      <c r="CV855" s="763">
        <f t="shared" si="621"/>
        <v>0</v>
      </c>
      <c r="CW855" s="763">
        <f t="shared" si="621"/>
        <v>0</v>
      </c>
      <c r="CX855" s="763">
        <f t="shared" si="621"/>
        <v>0</v>
      </c>
      <c r="CY855" s="763">
        <f t="shared" si="621"/>
        <v>0</v>
      </c>
      <c r="CZ855" s="763">
        <f t="shared" si="621"/>
        <v>0</v>
      </c>
      <c r="DA855" s="763">
        <f t="shared" si="620"/>
        <v>0</v>
      </c>
      <c r="DB855" s="763">
        <f t="shared" si="620"/>
        <v>0</v>
      </c>
      <c r="DC855" s="763">
        <f t="shared" si="620"/>
        <v>0</v>
      </c>
      <c r="DD855" s="763">
        <f t="shared" si="620"/>
        <v>0</v>
      </c>
      <c r="DE855" s="763">
        <f t="shared" si="620"/>
        <v>0</v>
      </c>
      <c r="DF855" s="763">
        <f t="shared" si="620"/>
        <v>0</v>
      </c>
      <c r="DG855" s="763">
        <f t="shared" si="620"/>
        <v>0</v>
      </c>
      <c r="DH855" s="763">
        <f t="shared" si="620"/>
        <v>0</v>
      </c>
      <c r="DI855" s="763">
        <f t="shared" si="620"/>
        <v>0</v>
      </c>
      <c r="DJ855" s="763">
        <f t="shared" si="620"/>
        <v>0</v>
      </c>
      <c r="DK855" s="763">
        <f t="shared" si="620"/>
        <v>0</v>
      </c>
      <c r="DL855" s="763">
        <f t="shared" si="620"/>
        <v>0</v>
      </c>
      <c r="DM855" s="763">
        <f t="shared" si="620"/>
        <v>0</v>
      </c>
      <c r="DN855" s="763">
        <f t="shared" si="620"/>
        <v>0</v>
      </c>
      <c r="DO855" s="763">
        <f t="shared" si="620"/>
        <v>0</v>
      </c>
      <c r="DP855" s="763">
        <f t="shared" si="620"/>
        <v>0</v>
      </c>
      <c r="DQ855" s="763">
        <f t="shared" si="620"/>
        <v>0</v>
      </c>
      <c r="DR855" s="763">
        <f t="shared" si="620"/>
        <v>0</v>
      </c>
      <c r="DS855" s="763">
        <f t="shared" si="620"/>
        <v>0</v>
      </c>
      <c r="DT855" s="763">
        <f t="shared" si="620"/>
        <v>0</v>
      </c>
      <c r="DU855" s="763">
        <f t="shared" si="620"/>
        <v>0</v>
      </c>
      <c r="DV855" s="763">
        <f t="shared" si="620"/>
        <v>0</v>
      </c>
      <c r="DW855" s="763">
        <f t="shared" si="620"/>
        <v>0</v>
      </c>
      <c r="DX855" s="763">
        <f t="shared" si="620"/>
        <v>0</v>
      </c>
      <c r="DY855" s="763">
        <f t="shared" si="620"/>
        <v>0</v>
      </c>
      <c r="DZ855" s="763">
        <f t="shared" si="620"/>
        <v>0</v>
      </c>
      <c r="EA855" s="763">
        <f t="shared" si="620"/>
        <v>0</v>
      </c>
      <c r="EB855" s="763">
        <f t="shared" si="620"/>
        <v>0</v>
      </c>
      <c r="EC855" s="763">
        <f t="shared" si="620"/>
        <v>0</v>
      </c>
      <c r="ED855" s="763">
        <f t="shared" si="620"/>
        <v>0</v>
      </c>
      <c r="EE855" s="763">
        <f t="shared" si="620"/>
        <v>0</v>
      </c>
      <c r="EF855" s="763">
        <f t="shared" si="620"/>
        <v>0</v>
      </c>
      <c r="EG855" s="763">
        <f t="shared" si="620"/>
        <v>0</v>
      </c>
      <c r="EH855" s="763">
        <f t="shared" si="620"/>
        <v>0</v>
      </c>
      <c r="EI855" s="763">
        <f t="shared" si="620"/>
        <v>0</v>
      </c>
      <c r="EJ855" s="763">
        <f t="shared" si="620"/>
        <v>0</v>
      </c>
      <c r="EK855" s="763">
        <f t="shared" si="620"/>
        <v>0</v>
      </c>
      <c r="EL855" s="763">
        <f t="shared" si="620"/>
        <v>0</v>
      </c>
      <c r="EM855" s="763">
        <f t="shared" si="620"/>
        <v>0</v>
      </c>
      <c r="EN855" s="763">
        <f t="shared" si="620"/>
        <v>0</v>
      </c>
      <c r="EO855" s="763">
        <f t="shared" si="620"/>
        <v>0</v>
      </c>
      <c r="EP855" s="763">
        <f t="shared" si="620"/>
        <v>0</v>
      </c>
      <c r="EQ855" s="763">
        <f t="shared" si="620"/>
        <v>0</v>
      </c>
      <c r="ER855" s="763">
        <f t="shared" si="620"/>
        <v>0</v>
      </c>
      <c r="ES855" s="763">
        <f t="shared" si="620"/>
        <v>0</v>
      </c>
      <c r="ET855" s="763">
        <f t="shared" si="620"/>
        <v>0</v>
      </c>
      <c r="EU855" s="763">
        <f t="shared" si="620"/>
        <v>0</v>
      </c>
      <c r="EV855" s="1300"/>
    </row>
    <row r="856" spans="11:152" ht="12" customHeight="1" x14ac:dyDescent="0.35">
      <c r="K856" s="28"/>
      <c r="L856" s="28"/>
      <c r="M856" s="28"/>
      <c r="N856" s="28"/>
      <c r="O856" s="28"/>
      <c r="P856" s="28"/>
      <c r="Q856" s="28"/>
      <c r="R856" s="31"/>
      <c r="S856" s="36"/>
      <c r="T856" s="26"/>
      <c r="U856" s="29"/>
      <c r="V856" s="29"/>
      <c r="W856" s="377"/>
      <c r="X856" s="376"/>
      <c r="Y856" s="29"/>
      <c r="Z856" s="29" t="str">
        <f>IF(Input!P299&gt;0,AB839,AB$824)</f>
        <v>Investor #1</v>
      </c>
      <c r="AA856" s="29">
        <f t="shared" si="613"/>
        <v>0</v>
      </c>
      <c r="AB856" s="763">
        <f t="shared" si="610"/>
        <v>0</v>
      </c>
      <c r="AC856" s="29">
        <v>16</v>
      </c>
      <c r="AD856" s="1804"/>
      <c r="AE856" s="376"/>
      <c r="AF856" s="763">
        <f t="shared" si="614"/>
        <v>0</v>
      </c>
      <c r="AG856" s="763">
        <f t="shared" si="614"/>
        <v>0</v>
      </c>
      <c r="AH856" s="763">
        <f t="shared" si="614"/>
        <v>0</v>
      </c>
      <c r="AI856" s="763">
        <f t="shared" si="614"/>
        <v>0</v>
      </c>
      <c r="AJ856" s="763">
        <f t="shared" si="614"/>
        <v>0</v>
      </c>
      <c r="AK856" s="763">
        <f t="shared" si="614"/>
        <v>0</v>
      </c>
      <c r="AL856" s="763">
        <f t="shared" si="614"/>
        <v>0</v>
      </c>
      <c r="AM856" s="763">
        <f t="shared" si="614"/>
        <v>0</v>
      </c>
      <c r="AN856" s="763">
        <f t="shared" si="614"/>
        <v>0</v>
      </c>
      <c r="AO856" s="763">
        <f t="shared" si="621"/>
        <v>0</v>
      </c>
      <c r="AP856" s="763">
        <f t="shared" si="621"/>
        <v>0</v>
      </c>
      <c r="AQ856" s="763">
        <f t="shared" si="621"/>
        <v>0</v>
      </c>
      <c r="AR856" s="763">
        <f t="shared" si="621"/>
        <v>0</v>
      </c>
      <c r="AS856" s="763">
        <f t="shared" si="621"/>
        <v>0</v>
      </c>
      <c r="AT856" s="763">
        <f t="shared" si="621"/>
        <v>0</v>
      </c>
      <c r="AU856" s="763">
        <f t="shared" si="621"/>
        <v>0</v>
      </c>
      <c r="AV856" s="763">
        <f t="shared" si="621"/>
        <v>0</v>
      </c>
      <c r="AW856" s="763">
        <f t="shared" si="621"/>
        <v>0</v>
      </c>
      <c r="AX856" s="763">
        <f t="shared" si="621"/>
        <v>0</v>
      </c>
      <c r="AY856" s="763">
        <f t="shared" si="621"/>
        <v>0</v>
      </c>
      <c r="AZ856" s="763">
        <f t="shared" si="621"/>
        <v>0</v>
      </c>
      <c r="BA856" s="763">
        <f t="shared" si="621"/>
        <v>0</v>
      </c>
      <c r="BB856" s="763">
        <f t="shared" si="621"/>
        <v>0</v>
      </c>
      <c r="BC856" s="763">
        <f t="shared" si="621"/>
        <v>0</v>
      </c>
      <c r="BD856" s="763">
        <f t="shared" si="621"/>
        <v>0</v>
      </c>
      <c r="BE856" s="763">
        <f t="shared" si="621"/>
        <v>0</v>
      </c>
      <c r="BF856" s="763">
        <f t="shared" si="621"/>
        <v>0</v>
      </c>
      <c r="BG856" s="763">
        <f t="shared" si="621"/>
        <v>0</v>
      </c>
      <c r="BH856" s="763">
        <f t="shared" si="621"/>
        <v>0</v>
      </c>
      <c r="BI856" s="763">
        <f t="shared" si="621"/>
        <v>0</v>
      </c>
      <c r="BJ856" s="763">
        <f t="shared" si="621"/>
        <v>0</v>
      </c>
      <c r="BK856" s="763">
        <f t="shared" si="621"/>
        <v>0</v>
      </c>
      <c r="BL856" s="763">
        <f t="shared" si="621"/>
        <v>0</v>
      </c>
      <c r="BM856" s="763">
        <f t="shared" si="621"/>
        <v>0</v>
      </c>
      <c r="BN856" s="763">
        <f t="shared" si="621"/>
        <v>0</v>
      </c>
      <c r="BO856" s="763">
        <f t="shared" si="621"/>
        <v>0</v>
      </c>
      <c r="BP856" s="763">
        <f t="shared" si="621"/>
        <v>0</v>
      </c>
      <c r="BQ856" s="763">
        <f t="shared" si="621"/>
        <v>0</v>
      </c>
      <c r="BR856" s="763">
        <f t="shared" si="621"/>
        <v>0</v>
      </c>
      <c r="BS856" s="763">
        <f t="shared" si="621"/>
        <v>0</v>
      </c>
      <c r="BT856" s="763">
        <f t="shared" si="621"/>
        <v>0</v>
      </c>
      <c r="BU856" s="763">
        <f t="shared" si="621"/>
        <v>0</v>
      </c>
      <c r="BV856" s="763">
        <f t="shared" si="621"/>
        <v>0</v>
      </c>
      <c r="BW856" s="763">
        <f t="shared" si="621"/>
        <v>0</v>
      </c>
      <c r="BX856" s="763">
        <f t="shared" si="621"/>
        <v>0</v>
      </c>
      <c r="BY856" s="763">
        <f t="shared" si="621"/>
        <v>0</v>
      </c>
      <c r="BZ856" s="763">
        <f t="shared" si="621"/>
        <v>0</v>
      </c>
      <c r="CA856" s="763">
        <f t="shared" si="621"/>
        <v>0</v>
      </c>
      <c r="CB856" s="763">
        <f t="shared" si="621"/>
        <v>0</v>
      </c>
      <c r="CC856" s="763">
        <f t="shared" si="621"/>
        <v>0</v>
      </c>
      <c r="CD856" s="763">
        <f t="shared" si="621"/>
        <v>0</v>
      </c>
      <c r="CE856" s="763">
        <f t="shared" si="621"/>
        <v>0</v>
      </c>
      <c r="CF856" s="763">
        <f t="shared" si="621"/>
        <v>0</v>
      </c>
      <c r="CG856" s="763">
        <f t="shared" si="621"/>
        <v>0</v>
      </c>
      <c r="CH856" s="763">
        <f t="shared" si="621"/>
        <v>0</v>
      </c>
      <c r="CI856" s="763">
        <f t="shared" si="621"/>
        <v>0</v>
      </c>
      <c r="CJ856" s="763">
        <f t="shared" si="621"/>
        <v>0</v>
      </c>
      <c r="CK856" s="763">
        <f t="shared" si="621"/>
        <v>0</v>
      </c>
      <c r="CL856" s="763">
        <f t="shared" si="621"/>
        <v>0</v>
      </c>
      <c r="CM856" s="763">
        <f t="shared" si="621"/>
        <v>0</v>
      </c>
      <c r="CN856" s="763">
        <f t="shared" si="621"/>
        <v>0</v>
      </c>
      <c r="CO856" s="763">
        <f t="shared" si="621"/>
        <v>0</v>
      </c>
      <c r="CP856" s="763">
        <f t="shared" si="621"/>
        <v>0</v>
      </c>
      <c r="CQ856" s="763">
        <f t="shared" si="621"/>
        <v>0</v>
      </c>
      <c r="CR856" s="763">
        <f t="shared" si="621"/>
        <v>0</v>
      </c>
      <c r="CS856" s="763">
        <f t="shared" si="621"/>
        <v>0</v>
      </c>
      <c r="CT856" s="763">
        <f t="shared" si="621"/>
        <v>0</v>
      </c>
      <c r="CU856" s="763">
        <f t="shared" si="621"/>
        <v>0</v>
      </c>
      <c r="CV856" s="763">
        <f t="shared" si="621"/>
        <v>0</v>
      </c>
      <c r="CW856" s="763">
        <f t="shared" si="621"/>
        <v>0</v>
      </c>
      <c r="CX856" s="763">
        <f t="shared" si="621"/>
        <v>0</v>
      </c>
      <c r="CY856" s="763">
        <f t="shared" si="621"/>
        <v>0</v>
      </c>
      <c r="CZ856" s="763">
        <f t="shared" si="621"/>
        <v>0</v>
      </c>
      <c r="DA856" s="763">
        <f t="shared" si="620"/>
        <v>0</v>
      </c>
      <c r="DB856" s="763">
        <f t="shared" si="620"/>
        <v>0</v>
      </c>
      <c r="DC856" s="763">
        <f t="shared" si="620"/>
        <v>0</v>
      </c>
      <c r="DD856" s="763">
        <f t="shared" si="620"/>
        <v>0</v>
      </c>
      <c r="DE856" s="763">
        <f t="shared" si="620"/>
        <v>0</v>
      </c>
      <c r="DF856" s="763">
        <f t="shared" si="620"/>
        <v>0</v>
      </c>
      <c r="DG856" s="763">
        <f t="shared" si="620"/>
        <v>0</v>
      </c>
      <c r="DH856" s="763">
        <f t="shared" si="620"/>
        <v>0</v>
      </c>
      <c r="DI856" s="763">
        <f t="shared" si="620"/>
        <v>0</v>
      </c>
      <c r="DJ856" s="763">
        <f t="shared" si="620"/>
        <v>0</v>
      </c>
      <c r="DK856" s="763">
        <f t="shared" si="620"/>
        <v>0</v>
      </c>
      <c r="DL856" s="763">
        <f t="shared" si="620"/>
        <v>0</v>
      </c>
      <c r="DM856" s="763">
        <f t="shared" si="620"/>
        <v>0</v>
      </c>
      <c r="DN856" s="763">
        <f t="shared" si="620"/>
        <v>0</v>
      </c>
      <c r="DO856" s="763">
        <f t="shared" si="620"/>
        <v>0</v>
      </c>
      <c r="DP856" s="763">
        <f t="shared" si="620"/>
        <v>0</v>
      </c>
      <c r="DQ856" s="763">
        <f t="shared" si="620"/>
        <v>0</v>
      </c>
      <c r="DR856" s="763">
        <f t="shared" si="620"/>
        <v>0</v>
      </c>
      <c r="DS856" s="763">
        <f t="shared" si="620"/>
        <v>0</v>
      </c>
      <c r="DT856" s="763">
        <f t="shared" si="620"/>
        <v>0</v>
      </c>
      <c r="DU856" s="763">
        <f t="shared" si="620"/>
        <v>0</v>
      </c>
      <c r="DV856" s="763">
        <f t="shared" si="620"/>
        <v>0</v>
      </c>
      <c r="DW856" s="763">
        <f t="shared" si="620"/>
        <v>0</v>
      </c>
      <c r="DX856" s="763">
        <f t="shared" si="620"/>
        <v>0</v>
      </c>
      <c r="DY856" s="763">
        <f t="shared" si="620"/>
        <v>0</v>
      </c>
      <c r="DZ856" s="763">
        <f t="shared" si="620"/>
        <v>0</v>
      </c>
      <c r="EA856" s="763">
        <f t="shared" si="620"/>
        <v>0</v>
      </c>
      <c r="EB856" s="763">
        <f t="shared" si="620"/>
        <v>0</v>
      </c>
      <c r="EC856" s="763">
        <f t="shared" si="620"/>
        <v>0</v>
      </c>
      <c r="ED856" s="763">
        <f t="shared" si="620"/>
        <v>0</v>
      </c>
      <c r="EE856" s="763">
        <f t="shared" si="620"/>
        <v>0</v>
      </c>
      <c r="EF856" s="763">
        <f t="shared" si="620"/>
        <v>0</v>
      </c>
      <c r="EG856" s="763">
        <f t="shared" si="620"/>
        <v>0</v>
      </c>
      <c r="EH856" s="763">
        <f t="shared" si="620"/>
        <v>0</v>
      </c>
      <c r="EI856" s="763">
        <f t="shared" si="620"/>
        <v>0</v>
      </c>
      <c r="EJ856" s="763">
        <f t="shared" si="620"/>
        <v>0</v>
      </c>
      <c r="EK856" s="763">
        <f t="shared" si="620"/>
        <v>0</v>
      </c>
      <c r="EL856" s="763">
        <f t="shared" si="620"/>
        <v>0</v>
      </c>
      <c r="EM856" s="763">
        <f t="shared" si="620"/>
        <v>0</v>
      </c>
      <c r="EN856" s="763">
        <f t="shared" si="620"/>
        <v>0</v>
      </c>
      <c r="EO856" s="763">
        <f t="shared" si="620"/>
        <v>0</v>
      </c>
      <c r="EP856" s="763">
        <f t="shared" si="620"/>
        <v>0</v>
      </c>
      <c r="EQ856" s="763">
        <f t="shared" si="620"/>
        <v>0</v>
      </c>
      <c r="ER856" s="763">
        <f t="shared" si="620"/>
        <v>0</v>
      </c>
      <c r="ES856" s="763">
        <f t="shared" si="620"/>
        <v>0</v>
      </c>
      <c r="ET856" s="763">
        <f t="shared" si="620"/>
        <v>0</v>
      </c>
      <c r="EU856" s="763">
        <f t="shared" si="620"/>
        <v>0</v>
      </c>
      <c r="EV856" s="1300"/>
    </row>
    <row r="857" spans="11:152" ht="12" customHeight="1" x14ac:dyDescent="0.35">
      <c r="K857" s="28"/>
      <c r="L857" s="28"/>
      <c r="M857" s="28"/>
      <c r="N857" s="28"/>
      <c r="O857" s="28"/>
      <c r="P857" s="28"/>
      <c r="Q857" s="28"/>
      <c r="R857" s="31"/>
      <c r="S857" s="36"/>
      <c r="T857" s="26"/>
      <c r="U857" s="29"/>
      <c r="V857" s="29"/>
      <c r="W857" s="377"/>
      <c r="X857" s="376"/>
      <c r="Y857" s="29"/>
      <c r="Z857" s="29"/>
      <c r="AA857" s="29"/>
      <c r="AB857" s="34">
        <f>SUM(AB841:AB856)</f>
        <v>0</v>
      </c>
      <c r="AC857" s="29"/>
      <c r="AD857" s="1804"/>
      <c r="AE857" s="376"/>
      <c r="AF857" s="376"/>
      <c r="AG857" s="380"/>
      <c r="AH857" s="380"/>
      <c r="AI857" s="380"/>
      <c r="AJ857" s="380"/>
      <c r="AK857" s="380"/>
      <c r="AL857" s="380"/>
      <c r="AM857" s="380"/>
      <c r="AN857" s="380"/>
      <c r="AO857" s="380"/>
      <c r="AP857" s="380"/>
      <c r="AQ857" s="380"/>
      <c r="AR857" s="1144"/>
      <c r="AS857" s="380"/>
      <c r="AT857" s="380"/>
      <c r="AU857" s="380"/>
      <c r="AV857" s="380"/>
      <c r="AW857" s="380"/>
      <c r="AX857" s="380"/>
      <c r="AY857" s="380"/>
      <c r="AZ857" s="380"/>
      <c r="BA857" s="380"/>
      <c r="BB857" s="380"/>
      <c r="BC857" s="380"/>
      <c r="BD857" s="380"/>
      <c r="BE857" s="380"/>
      <c r="BF857" s="380"/>
      <c r="BG857" s="380"/>
      <c r="BH857" s="380"/>
      <c r="BI857" s="380"/>
      <c r="BJ857" s="380"/>
      <c r="BK857" s="380"/>
      <c r="BL857" s="380"/>
      <c r="BM857" s="380"/>
      <c r="BN857" s="380"/>
      <c r="BO857" s="380"/>
      <c r="BP857" s="380"/>
      <c r="BQ857" s="380"/>
      <c r="BR857" s="380"/>
      <c r="BS857" s="380"/>
      <c r="BT857" s="380"/>
      <c r="BU857" s="380"/>
      <c r="BV857" s="380"/>
      <c r="BW857" s="380"/>
      <c r="BX857" s="380"/>
      <c r="BY857" s="380"/>
      <c r="BZ857" s="380"/>
      <c r="CA857" s="380"/>
      <c r="CB857" s="380"/>
      <c r="CC857" s="380"/>
      <c r="CD857" s="380"/>
      <c r="CE857" s="380"/>
      <c r="CF857" s="380"/>
      <c r="CG857" s="380"/>
      <c r="CH857" s="380"/>
      <c r="CI857" s="380"/>
      <c r="CJ857" s="380"/>
      <c r="CK857" s="380"/>
      <c r="CL857" s="380"/>
      <c r="CM857" s="380"/>
      <c r="CN857" s="380"/>
      <c r="CO857" s="1183"/>
      <c r="CP857" s="1183"/>
      <c r="CQ857" s="1301"/>
      <c r="CR857" s="1301"/>
      <c r="CS857" s="1301"/>
      <c r="CT857" s="1301"/>
      <c r="CU857" s="1301"/>
      <c r="CV857" s="1301"/>
      <c r="CW857" s="1301"/>
      <c r="CX857" s="1301"/>
      <c r="CY857" s="1301"/>
      <c r="CZ857" s="1301"/>
      <c r="DA857" s="1301"/>
      <c r="DB857" s="1301"/>
      <c r="DC857" s="1301"/>
      <c r="DD857" s="1301"/>
      <c r="DE857" s="1301"/>
      <c r="DF857" s="1301"/>
      <c r="DG857" s="1301"/>
      <c r="DH857" s="1301"/>
      <c r="DI857" s="1301"/>
      <c r="DJ857" s="1301"/>
      <c r="DK857" s="1301"/>
      <c r="DL857" s="1301"/>
      <c r="DM857" s="1301"/>
      <c r="DN857" s="1301"/>
      <c r="DO857" s="1301"/>
      <c r="DP857" s="1301"/>
      <c r="DQ857" s="1301"/>
      <c r="DR857" s="1300"/>
      <c r="DS857" s="1300"/>
      <c r="DT857" s="1300"/>
      <c r="DU857" s="1300"/>
      <c r="DV857" s="1300"/>
      <c r="DW857" s="1300"/>
      <c r="DX857" s="1300"/>
      <c r="DY857" s="1300"/>
      <c r="DZ857" s="1300"/>
      <c r="EA857" s="1300"/>
      <c r="EB857" s="1300"/>
      <c r="EC857" s="1300"/>
      <c r="ED857" s="1300"/>
      <c r="EE857" s="1300"/>
      <c r="EF857" s="1300"/>
      <c r="EG857" s="1300"/>
      <c r="EH857" s="1300"/>
      <c r="EI857" s="1300"/>
      <c r="EJ857" s="1300"/>
      <c r="EK857" s="1300"/>
      <c r="EL857" s="1300"/>
      <c r="EM857" s="1300"/>
      <c r="EN857" s="1300"/>
      <c r="EO857" s="1300"/>
      <c r="EP857" s="1300"/>
      <c r="EQ857" s="1300"/>
      <c r="ER857" s="1300"/>
      <c r="ES857" s="1300"/>
      <c r="ET857" s="1300"/>
      <c r="EU857" s="1300"/>
      <c r="EV857" s="1300"/>
    </row>
    <row r="858" spans="11:152" ht="12" customHeight="1" x14ac:dyDescent="0.35">
      <c r="K858" s="28"/>
      <c r="L858" s="28"/>
      <c r="M858" s="28"/>
      <c r="N858" s="28"/>
      <c r="O858" s="28"/>
      <c r="P858" s="28"/>
      <c r="Q858" s="28"/>
      <c r="R858" s="31"/>
      <c r="S858" s="36"/>
      <c r="T858" s="26"/>
      <c r="U858" s="29"/>
      <c r="V858" s="29"/>
      <c r="W858" s="377"/>
      <c r="X858" s="376"/>
      <c r="Y858" s="29"/>
      <c r="Z858" s="29"/>
      <c r="AA858" s="29"/>
      <c r="AB858" s="29"/>
      <c r="AC858" s="29">
        <f t="shared" ref="AC858:AC873" si="622">AC841</f>
        <v>1</v>
      </c>
      <c r="AD858" s="1804"/>
      <c r="AE858" s="376" t="str">
        <f t="shared" ref="AE858:AE873" si="623">AE824</f>
        <v>Investor #1</v>
      </c>
      <c r="AF858" s="763">
        <f>Input!G279</f>
        <v>0</v>
      </c>
      <c r="AG858" s="483">
        <f>IF(Input!$H279&lt;=Calcs!AF$823,Input!$J279,0)</f>
        <v>0</v>
      </c>
      <c r="AH858" s="483">
        <f>IF(Input!$H279&lt;=Calcs!AG$823,Input!$J279,0)</f>
        <v>0</v>
      </c>
      <c r="AI858" s="483">
        <f>IF(Input!$H279&lt;=Calcs!AH$823,Input!$J279,0)</f>
        <v>0</v>
      </c>
      <c r="AJ858" s="483">
        <f>IF(Input!$H279&lt;=Calcs!AI$823,Input!$J279,0)</f>
        <v>0</v>
      </c>
      <c r="AK858" s="483">
        <f>IF(Input!$H279&lt;=Calcs!AJ$823,Input!$J279,0)</f>
        <v>0</v>
      </c>
      <c r="AL858" s="483">
        <f>IF(Input!$H279&lt;=Calcs!AK$823,Input!$J279,0)</f>
        <v>0</v>
      </c>
      <c r="AM858" s="483">
        <f>IF(Input!$H279&lt;=Calcs!AL$823,Input!$J279,0)</f>
        <v>0</v>
      </c>
      <c r="AN858" s="483">
        <f>IF(Input!$H279&lt;=Calcs!AM$823,Input!$J279,0)</f>
        <v>0</v>
      </c>
      <c r="AO858" s="483">
        <f>IF(Input!$H279&lt;=Calcs!AN$823,Input!$J279,0)</f>
        <v>0</v>
      </c>
      <c r="AP858" s="483">
        <f>IF(Input!$H279&lt;=Calcs!AO$823,Input!$J279,0)</f>
        <v>0</v>
      </c>
      <c r="AQ858" s="483">
        <f>IF(Input!$H279&lt;=Calcs!AP$823,Input!$J279,0)</f>
        <v>0</v>
      </c>
      <c r="AR858" s="483">
        <f>IF(Input!$H279&lt;=Calcs!AQ$823,Input!$J279,0)</f>
        <v>0</v>
      </c>
      <c r="AS858" s="483">
        <f>IF(Input!$H279&lt;=Calcs!AR$823,Input!$J279,0)</f>
        <v>0</v>
      </c>
      <c r="AT858" s="483">
        <f>IF(Input!$H279&lt;=Calcs!AS$823,Input!$J279,0)</f>
        <v>0</v>
      </c>
      <c r="AU858" s="483">
        <f>IF(Input!$H279&lt;=Calcs!AT$823,Input!$J279,0)</f>
        <v>0</v>
      </c>
      <c r="AV858" s="483">
        <f>IF(Input!$H279&lt;=Calcs!AU$823,Input!$J279,0)</f>
        <v>0</v>
      </c>
      <c r="AW858" s="483">
        <f>IF(Input!$H279&lt;=Calcs!AV$823,Input!$J279,0)</f>
        <v>0</v>
      </c>
      <c r="AX858" s="483">
        <f>IF(Input!$H279&lt;=Calcs!AW$823,Input!$J279,0)</f>
        <v>0</v>
      </c>
      <c r="AY858" s="483">
        <f>IF(Input!$H279&lt;=Calcs!AX$823,Input!$J279,0)</f>
        <v>0</v>
      </c>
      <c r="AZ858" s="483">
        <f>IF(Input!$H279&lt;=Calcs!AY$823,Input!$J279,0)</f>
        <v>0</v>
      </c>
      <c r="BA858" s="483">
        <f>IF(Input!$H279&lt;=Calcs!AZ$823,Input!$J279,0)</f>
        <v>0</v>
      </c>
      <c r="BB858" s="483">
        <f>IF(Input!$H279&lt;=Calcs!BA$823,Input!$J279,0)</f>
        <v>0</v>
      </c>
      <c r="BC858" s="483">
        <f>IF(Input!$H279&lt;=Calcs!BB$823,Input!$J279,0)</f>
        <v>0</v>
      </c>
      <c r="BD858" s="483">
        <f>IF(Input!$H279&lt;=Calcs!BC$823,Input!$J279,0)</f>
        <v>0</v>
      </c>
      <c r="BE858" s="483">
        <f>IF(Input!$H279&lt;=Calcs!BD$823,Input!$J279,0)</f>
        <v>0</v>
      </c>
      <c r="BF858" s="483">
        <f>IF(Input!$H279&lt;=Calcs!BE$823,Input!$J279,0)</f>
        <v>0</v>
      </c>
      <c r="BG858" s="483">
        <f>IF(Input!$H279&lt;=Calcs!BF$823,Input!$J279,0)</f>
        <v>0</v>
      </c>
      <c r="BH858" s="483">
        <f>IF(Input!$H279&lt;=Calcs!BG$823,Input!$J279,0)</f>
        <v>0</v>
      </c>
      <c r="BI858" s="483">
        <f>IF(Input!$H279&lt;=Calcs!BH$823,Input!$J279,0)</f>
        <v>0</v>
      </c>
      <c r="BJ858" s="483">
        <f>IF(Input!$H279&lt;=Calcs!BI$823,Input!$J279,0)</f>
        <v>0</v>
      </c>
      <c r="BK858" s="483">
        <f>IF(Input!$H279&lt;=Calcs!BJ$823,Input!$J279,0)</f>
        <v>0</v>
      </c>
      <c r="BL858" s="483">
        <f>IF(Input!$H279&lt;=Calcs!BK$823,Input!$J279,0)</f>
        <v>0</v>
      </c>
      <c r="BM858" s="483">
        <f>IF(Input!$H279&lt;=Calcs!BL$823,Input!$J279,0)</f>
        <v>0</v>
      </c>
      <c r="BN858" s="483">
        <f>IF(Input!$H279&lt;=Calcs!BM$823,Input!$J279,0)</f>
        <v>0</v>
      </c>
      <c r="BO858" s="483">
        <f>IF(Input!$H279&lt;=Calcs!BN$823,Input!$J279,0)</f>
        <v>0</v>
      </c>
      <c r="BP858" s="483">
        <f>IF(Input!$H279&lt;=Calcs!BO$823,Input!$J279,0)</f>
        <v>0</v>
      </c>
      <c r="BQ858" s="483">
        <f>IF(Input!$H279&lt;=Calcs!BP$823,Input!$J279,0)</f>
        <v>0</v>
      </c>
      <c r="BR858" s="483">
        <f>IF(Input!$H279&lt;=Calcs!BQ$823,Input!$J279,0)</f>
        <v>0</v>
      </c>
      <c r="BS858" s="483">
        <f>IF(Input!$H279&lt;=Calcs!BR$823,Input!$J279,0)</f>
        <v>0</v>
      </c>
      <c r="BT858" s="483">
        <f>IF(Input!$H279&lt;=Calcs!BS$823,Input!$J279,0)</f>
        <v>0</v>
      </c>
      <c r="BU858" s="483">
        <f>IF(Input!$H279&lt;=Calcs!BT$823,Input!$J279,0)</f>
        <v>0</v>
      </c>
      <c r="BV858" s="483">
        <f>IF(Input!$H279&lt;=Calcs!BU$823,Input!$J279,0)</f>
        <v>0</v>
      </c>
      <c r="BW858" s="483">
        <f>IF(Input!$H279&lt;=Calcs!BV$823,Input!$J279,0)</f>
        <v>0</v>
      </c>
      <c r="BX858" s="483">
        <f>IF(Input!$H279&lt;=Calcs!BW$823,Input!$J279,0)</f>
        <v>0</v>
      </c>
      <c r="BY858" s="483">
        <f>IF(Input!$H279&lt;=Calcs!BX$823,Input!$J279,0)</f>
        <v>0</v>
      </c>
      <c r="BZ858" s="483">
        <f>IF(Input!$H279&lt;=Calcs!BY$823,Input!$J279,0)</f>
        <v>0</v>
      </c>
      <c r="CA858" s="483">
        <f>IF(Input!$H279&lt;=Calcs!BZ$823,Input!$J279,0)</f>
        <v>0</v>
      </c>
      <c r="CB858" s="483">
        <f>IF(Input!$H279&lt;=Calcs!CA$823,Input!$J279,0)</f>
        <v>0</v>
      </c>
      <c r="CC858" s="483">
        <f>IF(Input!$H279&lt;=Calcs!CB$823,Input!$J279,0)</f>
        <v>0</v>
      </c>
      <c r="CD858" s="483">
        <f>IF(Input!$H279&lt;=Calcs!CC$823,Input!$J279,0)</f>
        <v>0</v>
      </c>
      <c r="CE858" s="483">
        <f>IF(Input!$H279&lt;=Calcs!CD$823,Input!$J279,0)</f>
        <v>0</v>
      </c>
      <c r="CF858" s="483">
        <f>IF(Input!$H279&lt;=Calcs!CE$823,Input!$J279,0)</f>
        <v>0</v>
      </c>
      <c r="CG858" s="483">
        <f>IF(Input!$H279&lt;=Calcs!CF$823,Input!$J279,0)</f>
        <v>0</v>
      </c>
      <c r="CH858" s="483">
        <f>IF(Input!$H279&lt;=Calcs!CG$823,Input!$J279,0)</f>
        <v>0</v>
      </c>
      <c r="CI858" s="483">
        <f>IF(Input!$H279&lt;=Calcs!CH$823,Input!$J279,0)</f>
        <v>0</v>
      </c>
      <c r="CJ858" s="483">
        <f>IF(Input!$H279&lt;=Calcs!CI$823,Input!$J279,0)</f>
        <v>0</v>
      </c>
      <c r="CK858" s="483">
        <f>IF(Input!$H279&lt;=Calcs!CJ$823,Input!$J279,0)</f>
        <v>0</v>
      </c>
      <c r="CL858" s="483">
        <f>IF(Input!$H279&lt;=Calcs!CK$823,Input!$J279,0)</f>
        <v>0</v>
      </c>
      <c r="CM858" s="483">
        <f>IF(Input!$H279&lt;=Calcs!CL$823,Input!$J279,0)</f>
        <v>0</v>
      </c>
      <c r="CN858" s="483">
        <f>IF(Input!$H279&lt;=Calcs!CM$823,Input!$J279,0)</f>
        <v>0</v>
      </c>
      <c r="CO858" s="483">
        <f>IF(Input!$H279&lt;=Calcs!CN$823,Input!$J279,0)</f>
        <v>0</v>
      </c>
      <c r="CP858" s="483">
        <f>IF(Input!$H279&lt;=Calcs!CO$823,Input!$J279,0)</f>
        <v>0</v>
      </c>
      <c r="CQ858" s="1143">
        <f>IF(Input!$H279&lt;=Calcs!CP$823,Input!$J279,0)</f>
        <v>0</v>
      </c>
      <c r="CR858" s="1143">
        <f>IF(Input!$H279&lt;=Calcs!CQ$823,Input!$J279,0)</f>
        <v>0</v>
      </c>
      <c r="CS858" s="1143">
        <f>IF(Input!$H279&lt;=Calcs!CR$823,Input!$J279,0)</f>
        <v>0</v>
      </c>
      <c r="CT858" s="1143">
        <f>IF(Input!$H279&lt;=Calcs!CS$823,Input!$J279,0)</f>
        <v>0</v>
      </c>
      <c r="CU858" s="1143">
        <f>IF(Input!$H279&lt;=Calcs!CT$823,Input!$J279,0)</f>
        <v>0</v>
      </c>
      <c r="CV858" s="1143">
        <f>IF(Input!$H279&lt;=Calcs!CU$823,Input!$J279,0)</f>
        <v>0</v>
      </c>
      <c r="CW858" s="1143">
        <f>IF(Input!$H279&lt;=Calcs!CV$823,Input!$J279,0)</f>
        <v>0</v>
      </c>
      <c r="CX858" s="1143">
        <f>IF(Input!$H279&lt;=Calcs!CW$823,Input!$J279,0)</f>
        <v>0</v>
      </c>
      <c r="CY858" s="1143">
        <f>IF(Input!$H279&lt;=Calcs!CX$823,Input!$J279,0)</f>
        <v>0</v>
      </c>
      <c r="CZ858" s="1143">
        <f>IF(Input!$H279&lt;=Calcs!CY$823,Input!$J279,0)</f>
        <v>0</v>
      </c>
      <c r="DA858" s="1143">
        <f>IF(Input!$H279&lt;=Calcs!CZ$823,Input!$J279,0)</f>
        <v>0</v>
      </c>
      <c r="DB858" s="1143">
        <f>IF(Input!$H279&lt;=Calcs!DA$823,Input!$J279,0)</f>
        <v>0</v>
      </c>
      <c r="DC858" s="1143">
        <f>IF(Input!$H279&lt;=Calcs!DB$823,Input!$J279,0)</f>
        <v>0</v>
      </c>
      <c r="DD858" s="1143">
        <f>IF(Input!$H279&lt;=Calcs!DC$823,Input!$J279,0)</f>
        <v>0</v>
      </c>
      <c r="DE858" s="1143">
        <f>IF(Input!$H279&lt;=Calcs!DD$823,Input!$J279,0)</f>
        <v>0</v>
      </c>
      <c r="DF858" s="1143">
        <f>IF(Input!$H279&lt;=Calcs!DE$823,Input!$J279,0)</f>
        <v>0</v>
      </c>
      <c r="DG858" s="1143">
        <f>IF(Input!$H279&lt;=Calcs!DF$823,Input!$J279,0)</f>
        <v>0</v>
      </c>
      <c r="DH858" s="1143">
        <f>IF(Input!$H279&lt;=Calcs!DG$823,Input!$J279,0)</f>
        <v>0</v>
      </c>
      <c r="DI858" s="1143">
        <f>IF(Input!$H279&lt;=Calcs!DH$823,Input!$J279,0)</f>
        <v>0</v>
      </c>
      <c r="DJ858" s="1143">
        <f>IF(Input!$H279&lt;=Calcs!DI$823,Input!$J279,0)</f>
        <v>0</v>
      </c>
      <c r="DK858" s="1143">
        <f>IF(Input!$H279&lt;=Calcs!DJ$823,Input!$J279,0)</f>
        <v>0</v>
      </c>
      <c r="DL858" s="1143">
        <f>IF(Input!$H279&lt;=Calcs!DK$823,Input!$J279,0)</f>
        <v>0</v>
      </c>
      <c r="DM858" s="1143">
        <f>IF(Input!$H279&lt;=Calcs!DL$823,Input!$J279,0)</f>
        <v>0</v>
      </c>
      <c r="DN858" s="1143">
        <f>IF(Input!$H279&lt;=Calcs!DM$823,Input!$J279,0)</f>
        <v>0</v>
      </c>
      <c r="DO858" s="1143">
        <f>IF(Input!$H279&lt;=Calcs!DN$823,Input!$J279,0)</f>
        <v>0</v>
      </c>
      <c r="DP858" s="1143">
        <f>IF(Input!$H279&lt;=Calcs!DO$823,Input!$J279,0)</f>
        <v>0</v>
      </c>
      <c r="DQ858" s="1143">
        <f>IF(Input!$H279&lt;=Calcs!DP$823,Input!$J279,0)</f>
        <v>0</v>
      </c>
      <c r="DR858" s="364">
        <f>IF(Input!$H279&lt;=Calcs!DQ$823,Input!$J279,0)</f>
        <v>0</v>
      </c>
      <c r="DS858" s="364">
        <f>IF(Input!$H279&lt;=Calcs!DR$823,Input!$J279,0)</f>
        <v>0</v>
      </c>
      <c r="DT858" s="364">
        <f>IF(Input!$H279&lt;=Calcs!DS$823,Input!$J279,0)</f>
        <v>0</v>
      </c>
      <c r="DU858" s="364">
        <f>IF(Input!$H279&lt;=Calcs!DT$823,Input!$J279,0)</f>
        <v>0</v>
      </c>
      <c r="DV858" s="364">
        <f>IF(Input!$H279&lt;=Calcs!DU$823,Input!$J279,0)</f>
        <v>0</v>
      </c>
      <c r="DW858" s="364">
        <f>IF(Input!$H279&lt;=Calcs!DV$823,Input!$J279,0)</f>
        <v>0</v>
      </c>
      <c r="DX858" s="364">
        <f>IF(Input!$H279&lt;=Calcs!DW$823,Input!$J279,0)</f>
        <v>0</v>
      </c>
      <c r="DY858" s="364">
        <f>IF(Input!$H279&lt;=Calcs!DX$823,Input!$J279,0)</f>
        <v>0</v>
      </c>
      <c r="DZ858" s="364">
        <f>IF(Input!$H279&lt;=Calcs!DY$823,Input!$J279,0)</f>
        <v>0</v>
      </c>
      <c r="EA858" s="364">
        <f>IF(Input!$H279&lt;=Calcs!DZ$823,Input!$J279,0)</f>
        <v>0</v>
      </c>
      <c r="EB858" s="364">
        <f>IF(Input!$H279&lt;=Calcs!EA$823,Input!$J279,0)</f>
        <v>0</v>
      </c>
      <c r="EC858" s="364">
        <f>IF(Input!$H279&lt;=Calcs!EB$823,Input!$J279,0)</f>
        <v>0</v>
      </c>
      <c r="ED858" s="364">
        <f>IF(Input!$H279&lt;=Calcs!EC$823,Input!$J279,0)</f>
        <v>0</v>
      </c>
      <c r="EE858" s="364">
        <f>IF(Input!$H279&lt;=Calcs!ED$823,Input!$J279,0)</f>
        <v>0</v>
      </c>
      <c r="EF858" s="364">
        <f>IF(Input!$H279&lt;=Calcs!EE$823,Input!$J279,0)</f>
        <v>0</v>
      </c>
      <c r="EG858" s="364">
        <f>IF(Input!$H279&lt;=Calcs!EF$823,Input!$J279,0)</f>
        <v>0</v>
      </c>
      <c r="EH858" s="364">
        <f>IF(Input!$H279&lt;=Calcs!EG$823,Input!$J279,0)</f>
        <v>0</v>
      </c>
      <c r="EI858" s="364">
        <f>IF(Input!$H279&lt;=Calcs!EH$823,Input!$J279,0)</f>
        <v>0</v>
      </c>
      <c r="EJ858" s="364">
        <f>IF(Input!$H279&lt;=Calcs!EI$823,Input!$J279,0)</f>
        <v>0</v>
      </c>
      <c r="EK858" s="364">
        <f>IF(Input!$H279&lt;=Calcs!EJ$823,Input!$J279,0)</f>
        <v>0</v>
      </c>
      <c r="EL858" s="364">
        <f>IF(Input!$H279&lt;=Calcs!EK$823,Input!$J279,0)</f>
        <v>0</v>
      </c>
      <c r="EM858" s="364">
        <f>IF(Input!$H279&lt;=Calcs!EL$823,Input!$J279,0)</f>
        <v>0</v>
      </c>
      <c r="EN858" s="364">
        <f>IF(Input!$H279&lt;=Calcs!EM$823,Input!$J279,0)</f>
        <v>0</v>
      </c>
      <c r="EO858" s="364">
        <f>IF(Input!$H279&lt;=Calcs!EN$823,Input!$J279,0)</f>
        <v>0</v>
      </c>
      <c r="EP858" s="364">
        <f>IF(Input!$H279&lt;=Calcs!EO$823,Input!$J279,0)</f>
        <v>0</v>
      </c>
      <c r="EQ858" s="364">
        <f>IF(Input!$H279&lt;=Calcs!EP$823,Input!$J279,0)</f>
        <v>0</v>
      </c>
      <c r="ER858" s="364">
        <f>IF(Input!$H279&lt;=Calcs!EQ$823,Input!$J279,0)</f>
        <v>0</v>
      </c>
      <c r="ES858" s="364">
        <f>IF(Input!$H279&lt;=Calcs!ER$823,Input!$J279,0)</f>
        <v>0</v>
      </c>
      <c r="ET858" s="364">
        <f>IF(Input!$H279&lt;=Calcs!ES$823,Input!$J279,0)</f>
        <v>0</v>
      </c>
      <c r="EU858" s="364">
        <f>IF(Input!$H279&lt;=Calcs!ET$823,Input!$J279,0)</f>
        <v>0</v>
      </c>
      <c r="EV858" s="364">
        <f>IF(Input!$H279&lt;=Calcs!EU$823,Input!$J279,0)</f>
        <v>0</v>
      </c>
    </row>
    <row r="859" spans="11:152" ht="12" customHeight="1" x14ac:dyDescent="0.35">
      <c r="K859" s="28"/>
      <c r="L859" s="28"/>
      <c r="M859" s="28"/>
      <c r="N859" s="28"/>
      <c r="O859" s="28"/>
      <c r="P859" s="28"/>
      <c r="Q859" s="28"/>
      <c r="R859" s="31"/>
      <c r="S859" s="36"/>
      <c r="T859" s="26"/>
      <c r="U859" s="29"/>
      <c r="V859" s="29"/>
      <c r="W859" s="377"/>
      <c r="X859" s="376"/>
      <c r="Y859" s="29"/>
      <c r="Z859" s="29"/>
      <c r="AA859" s="29">
        <f>COUNTIF(AA841:AA856,1)</f>
        <v>0</v>
      </c>
      <c r="AB859" s="29"/>
      <c r="AC859" s="29">
        <f t="shared" si="622"/>
        <v>2</v>
      </c>
      <c r="AD859" s="1804"/>
      <c r="AE859" s="376" t="str">
        <f t="shared" si="623"/>
        <v>Investor #2</v>
      </c>
      <c r="AF859" s="763">
        <f>Input!G280</f>
        <v>0</v>
      </c>
      <c r="AG859" s="483">
        <f>IF(Input!$H280&lt;=Calcs!AF$823,Input!$J280,0)</f>
        <v>0</v>
      </c>
      <c r="AH859" s="483">
        <f>IF(Input!$H280&lt;=Calcs!AG$823,Input!$J280,0)</f>
        <v>0</v>
      </c>
      <c r="AI859" s="483">
        <f>IF(Input!$H280&lt;=Calcs!AH$823,Input!$J280,0)</f>
        <v>0</v>
      </c>
      <c r="AJ859" s="483">
        <f>IF(Input!$H280&lt;=Calcs!AI$823,Input!$J280,0)</f>
        <v>0</v>
      </c>
      <c r="AK859" s="483">
        <f>IF(Input!$H280&lt;=Calcs!AJ$823,Input!$J280,0)</f>
        <v>0</v>
      </c>
      <c r="AL859" s="483">
        <f>IF(Input!$H280&lt;=Calcs!AK$823,Input!$J280,0)</f>
        <v>0</v>
      </c>
      <c r="AM859" s="483">
        <f>IF(Input!$H280&lt;=Calcs!AL$823,Input!$J280,0)</f>
        <v>0</v>
      </c>
      <c r="AN859" s="483">
        <f>IF(Input!$H280&lt;=Calcs!AM$823,Input!$J280,0)</f>
        <v>0</v>
      </c>
      <c r="AO859" s="483">
        <f>IF(Input!$H280&lt;=Calcs!AN$823,Input!$J280,0)</f>
        <v>0</v>
      </c>
      <c r="AP859" s="483">
        <f>IF(Input!$H280&lt;=Calcs!AO$823,Input!$J280,0)</f>
        <v>0</v>
      </c>
      <c r="AQ859" s="483">
        <f>IF(Input!$H280&lt;=Calcs!AP$823,Input!$J280,0)</f>
        <v>0</v>
      </c>
      <c r="AR859" s="483">
        <f>IF(Input!$H280&lt;=Calcs!AQ$823,Input!$J280,0)</f>
        <v>0</v>
      </c>
      <c r="AS859" s="483">
        <f>IF(Input!$H280&lt;=Calcs!AR$823,Input!$J280,0)</f>
        <v>0</v>
      </c>
      <c r="AT859" s="483">
        <f>IF(Input!$H280&lt;=Calcs!AS$823,Input!$J280,0)</f>
        <v>0</v>
      </c>
      <c r="AU859" s="483">
        <f>IF(Input!$H280&lt;=Calcs!AT$823,Input!$J280,0)</f>
        <v>0</v>
      </c>
      <c r="AV859" s="483">
        <f>IF(Input!$H280&lt;=Calcs!AU$823,Input!$J280,0)</f>
        <v>0</v>
      </c>
      <c r="AW859" s="483">
        <f>IF(Input!$H280&lt;=Calcs!AV$823,Input!$J280,0)</f>
        <v>0</v>
      </c>
      <c r="AX859" s="483">
        <f>IF(Input!$H280&lt;=Calcs!AW$823,Input!$J280,0)</f>
        <v>0</v>
      </c>
      <c r="AY859" s="483">
        <f>IF(Input!$H280&lt;=Calcs!AX$823,Input!$J280,0)</f>
        <v>0</v>
      </c>
      <c r="AZ859" s="483">
        <f>IF(Input!$H280&lt;=Calcs!AY$823,Input!$J280,0)</f>
        <v>0</v>
      </c>
      <c r="BA859" s="483">
        <f>IF(Input!$H280&lt;=Calcs!AZ$823,Input!$J280,0)</f>
        <v>0</v>
      </c>
      <c r="BB859" s="483">
        <f>IF(Input!$H280&lt;=Calcs!BA$823,Input!$J280,0)</f>
        <v>0</v>
      </c>
      <c r="BC859" s="483">
        <f>IF(Input!$H280&lt;=Calcs!BB$823,Input!$J280,0)</f>
        <v>0</v>
      </c>
      <c r="BD859" s="483">
        <f>IF(Input!$H280&lt;=Calcs!BC$823,Input!$J280,0)</f>
        <v>0</v>
      </c>
      <c r="BE859" s="483">
        <f>IF(Input!$H280&lt;=Calcs!BD$823,Input!$J280,0)</f>
        <v>0</v>
      </c>
      <c r="BF859" s="483">
        <f>IF(Input!$H280&lt;=Calcs!BE$823,Input!$J280,0)</f>
        <v>0</v>
      </c>
      <c r="BG859" s="483">
        <f>IF(Input!$H280&lt;=Calcs!BF$823,Input!$J280,0)</f>
        <v>0</v>
      </c>
      <c r="BH859" s="483">
        <f>IF(Input!$H280&lt;=Calcs!BG$823,Input!$J280,0)</f>
        <v>0</v>
      </c>
      <c r="BI859" s="483">
        <f>IF(Input!$H280&lt;=Calcs!BH$823,Input!$J280,0)</f>
        <v>0</v>
      </c>
      <c r="BJ859" s="483">
        <f>IF(Input!$H280&lt;=Calcs!BI$823,Input!$J280,0)</f>
        <v>0</v>
      </c>
      <c r="BK859" s="483">
        <f>IF(Input!$H280&lt;=Calcs!BJ$823,Input!$J280,0)</f>
        <v>0</v>
      </c>
      <c r="BL859" s="483">
        <f>IF(Input!$H280&lt;=Calcs!BK$823,Input!$J280,0)</f>
        <v>0</v>
      </c>
      <c r="BM859" s="483">
        <f>IF(Input!$H280&lt;=Calcs!BL$823,Input!$J280,0)</f>
        <v>0</v>
      </c>
      <c r="BN859" s="483">
        <f>IF(Input!$H280&lt;=Calcs!BM$823,Input!$J280,0)</f>
        <v>0</v>
      </c>
      <c r="BO859" s="483">
        <f>IF(Input!$H280&lt;=Calcs!BN$823,Input!$J280,0)</f>
        <v>0</v>
      </c>
      <c r="BP859" s="483">
        <f>IF(Input!$H280&lt;=Calcs!BO$823,Input!$J280,0)</f>
        <v>0</v>
      </c>
      <c r="BQ859" s="483">
        <f>IF(Input!$H280&lt;=Calcs!BP$823,Input!$J280,0)</f>
        <v>0</v>
      </c>
      <c r="BR859" s="483">
        <f>IF(Input!$H280&lt;=Calcs!BQ$823,Input!$J280,0)</f>
        <v>0</v>
      </c>
      <c r="BS859" s="483">
        <f>IF(Input!$H280&lt;=Calcs!BR$823,Input!$J280,0)</f>
        <v>0</v>
      </c>
      <c r="BT859" s="483">
        <f>IF(Input!$H280&lt;=Calcs!BS$823,Input!$J280,0)</f>
        <v>0</v>
      </c>
      <c r="BU859" s="483">
        <f>IF(Input!$H280&lt;=Calcs!BT$823,Input!$J280,0)</f>
        <v>0</v>
      </c>
      <c r="BV859" s="483">
        <f>IF(Input!$H280&lt;=Calcs!BU$823,Input!$J280,0)</f>
        <v>0</v>
      </c>
      <c r="BW859" s="483">
        <f>IF(Input!$H280&lt;=Calcs!BV$823,Input!$J280,0)</f>
        <v>0</v>
      </c>
      <c r="BX859" s="483">
        <f>IF(Input!$H280&lt;=Calcs!BW$823,Input!$J280,0)</f>
        <v>0</v>
      </c>
      <c r="BY859" s="483">
        <f>IF(Input!$H280&lt;=Calcs!BX$823,Input!$J280,0)</f>
        <v>0</v>
      </c>
      <c r="BZ859" s="483">
        <f>IF(Input!$H280&lt;=Calcs!BY$823,Input!$J280,0)</f>
        <v>0</v>
      </c>
      <c r="CA859" s="483">
        <f>IF(Input!$H280&lt;=Calcs!BZ$823,Input!$J280,0)</f>
        <v>0</v>
      </c>
      <c r="CB859" s="483">
        <f>IF(Input!$H280&lt;=Calcs!CA$823,Input!$J280,0)</f>
        <v>0</v>
      </c>
      <c r="CC859" s="483">
        <f>IF(Input!$H280&lt;=Calcs!CB$823,Input!$J280,0)</f>
        <v>0</v>
      </c>
      <c r="CD859" s="483">
        <f>IF(Input!$H280&lt;=Calcs!CC$823,Input!$J280,0)</f>
        <v>0</v>
      </c>
      <c r="CE859" s="483">
        <f>IF(Input!$H280&lt;=Calcs!CD$823,Input!$J280,0)</f>
        <v>0</v>
      </c>
      <c r="CF859" s="483">
        <f>IF(Input!$H280&lt;=Calcs!CE$823,Input!$J280,0)</f>
        <v>0</v>
      </c>
      <c r="CG859" s="483">
        <f>IF(Input!$H280&lt;=Calcs!CF$823,Input!$J280,0)</f>
        <v>0</v>
      </c>
      <c r="CH859" s="483">
        <f>IF(Input!$H280&lt;=Calcs!CG$823,Input!$J280,0)</f>
        <v>0</v>
      </c>
      <c r="CI859" s="483">
        <f>IF(Input!$H280&lt;=Calcs!CH$823,Input!$J280,0)</f>
        <v>0</v>
      </c>
      <c r="CJ859" s="483">
        <f>IF(Input!$H280&lt;=Calcs!CI$823,Input!$J280,0)</f>
        <v>0</v>
      </c>
      <c r="CK859" s="483">
        <f>IF(Input!$H280&lt;=Calcs!CJ$823,Input!$J280,0)</f>
        <v>0</v>
      </c>
      <c r="CL859" s="483">
        <f>IF(Input!$H280&lt;=Calcs!CK$823,Input!$J280,0)</f>
        <v>0</v>
      </c>
      <c r="CM859" s="483">
        <f>IF(Input!$H280&lt;=Calcs!CL$823,Input!$J280,0)</f>
        <v>0</v>
      </c>
      <c r="CN859" s="483">
        <f>IF(Input!$H280&lt;=Calcs!CM$823,Input!$J280,0)</f>
        <v>0</v>
      </c>
      <c r="CO859" s="483">
        <f>IF(Input!$H280&lt;=Calcs!CN$823,Input!$J280,0)</f>
        <v>0</v>
      </c>
      <c r="CP859" s="483">
        <f>IF(Input!$H280&lt;=Calcs!CO$823,Input!$J280,0)</f>
        <v>0</v>
      </c>
      <c r="CQ859" s="1143">
        <f>IF(Input!$H280&lt;=Calcs!CP$823,Input!$J280,0)</f>
        <v>0</v>
      </c>
      <c r="CR859" s="1143">
        <f>IF(Input!$H280&lt;=Calcs!CQ$823,Input!$J280,0)</f>
        <v>0</v>
      </c>
      <c r="CS859" s="1143">
        <f>IF(Input!$H280&lt;=Calcs!CR$823,Input!$J280,0)</f>
        <v>0</v>
      </c>
      <c r="CT859" s="1143">
        <f>IF(Input!$H280&lt;=Calcs!CS$823,Input!$J280,0)</f>
        <v>0</v>
      </c>
      <c r="CU859" s="1143">
        <f>IF(Input!$H280&lt;=Calcs!CT$823,Input!$J280,0)</f>
        <v>0</v>
      </c>
      <c r="CV859" s="1143">
        <f>IF(Input!$H280&lt;=Calcs!CU$823,Input!$J280,0)</f>
        <v>0</v>
      </c>
      <c r="CW859" s="1143">
        <f>IF(Input!$H280&lt;=Calcs!CV$823,Input!$J280,0)</f>
        <v>0</v>
      </c>
      <c r="CX859" s="1143">
        <f>IF(Input!$H280&lt;=Calcs!CW$823,Input!$J280,0)</f>
        <v>0</v>
      </c>
      <c r="CY859" s="1143">
        <f>IF(Input!$H280&lt;=Calcs!CX$823,Input!$J280,0)</f>
        <v>0</v>
      </c>
      <c r="CZ859" s="1143">
        <f>IF(Input!$H280&lt;=Calcs!CY$823,Input!$J280,0)</f>
        <v>0</v>
      </c>
      <c r="DA859" s="1143">
        <f>IF(Input!$H280&lt;=Calcs!CZ$823,Input!$J280,0)</f>
        <v>0</v>
      </c>
      <c r="DB859" s="1143">
        <f>IF(Input!$H280&lt;=Calcs!DA$823,Input!$J280,0)</f>
        <v>0</v>
      </c>
      <c r="DC859" s="1143">
        <f>IF(Input!$H280&lt;=Calcs!DB$823,Input!$J280,0)</f>
        <v>0</v>
      </c>
      <c r="DD859" s="1143">
        <f>IF(Input!$H280&lt;=Calcs!DC$823,Input!$J280,0)</f>
        <v>0</v>
      </c>
      <c r="DE859" s="1143">
        <f>IF(Input!$H280&lt;=Calcs!DD$823,Input!$J280,0)</f>
        <v>0</v>
      </c>
      <c r="DF859" s="1143">
        <f>IF(Input!$H280&lt;=Calcs!DE$823,Input!$J280,0)</f>
        <v>0</v>
      </c>
      <c r="DG859" s="1143">
        <f>IF(Input!$H280&lt;=Calcs!DF$823,Input!$J280,0)</f>
        <v>0</v>
      </c>
      <c r="DH859" s="1143">
        <f>IF(Input!$H280&lt;=Calcs!DG$823,Input!$J280,0)</f>
        <v>0</v>
      </c>
      <c r="DI859" s="1143">
        <f>IF(Input!$H280&lt;=Calcs!DH$823,Input!$J280,0)</f>
        <v>0</v>
      </c>
      <c r="DJ859" s="1143">
        <f>IF(Input!$H280&lt;=Calcs!DI$823,Input!$J280,0)</f>
        <v>0</v>
      </c>
      <c r="DK859" s="1143">
        <f>IF(Input!$H280&lt;=Calcs!DJ$823,Input!$J280,0)</f>
        <v>0</v>
      </c>
      <c r="DL859" s="1143">
        <f>IF(Input!$H280&lt;=Calcs!DK$823,Input!$J280,0)</f>
        <v>0</v>
      </c>
      <c r="DM859" s="1143">
        <f>IF(Input!$H280&lt;=Calcs!DL$823,Input!$J280,0)</f>
        <v>0</v>
      </c>
      <c r="DN859" s="1143">
        <f>IF(Input!$H280&lt;=Calcs!DM$823,Input!$J280,0)</f>
        <v>0</v>
      </c>
      <c r="DO859" s="1143">
        <f>IF(Input!$H280&lt;=Calcs!DN$823,Input!$J280,0)</f>
        <v>0</v>
      </c>
      <c r="DP859" s="1143">
        <f>IF(Input!$H280&lt;=Calcs!DO$823,Input!$J280,0)</f>
        <v>0</v>
      </c>
      <c r="DQ859" s="1143">
        <f>IF(Input!$H280&lt;=Calcs!DP$823,Input!$J280,0)</f>
        <v>0</v>
      </c>
      <c r="DR859" s="364">
        <f>IF(Input!$H280&lt;=Calcs!DQ$823,Input!$J280,0)</f>
        <v>0</v>
      </c>
      <c r="DS859" s="364">
        <f>IF(Input!$H280&lt;=Calcs!DR$823,Input!$J280,0)</f>
        <v>0</v>
      </c>
      <c r="DT859" s="364">
        <f>IF(Input!$H280&lt;=Calcs!DS$823,Input!$J280,0)</f>
        <v>0</v>
      </c>
      <c r="DU859" s="364">
        <f>IF(Input!$H280&lt;=Calcs!DT$823,Input!$J280,0)</f>
        <v>0</v>
      </c>
      <c r="DV859" s="364">
        <f>IF(Input!$H280&lt;=Calcs!DU$823,Input!$J280,0)</f>
        <v>0</v>
      </c>
      <c r="DW859" s="364">
        <f>IF(Input!$H280&lt;=Calcs!DV$823,Input!$J280,0)</f>
        <v>0</v>
      </c>
      <c r="DX859" s="364">
        <f>IF(Input!$H280&lt;=Calcs!DW$823,Input!$J280,0)</f>
        <v>0</v>
      </c>
      <c r="DY859" s="364">
        <f>IF(Input!$H280&lt;=Calcs!DX$823,Input!$J280,0)</f>
        <v>0</v>
      </c>
      <c r="DZ859" s="364">
        <f>IF(Input!$H280&lt;=Calcs!DY$823,Input!$J280,0)</f>
        <v>0</v>
      </c>
      <c r="EA859" s="364">
        <f>IF(Input!$H280&lt;=Calcs!DZ$823,Input!$J280,0)</f>
        <v>0</v>
      </c>
      <c r="EB859" s="364">
        <f>IF(Input!$H280&lt;=Calcs!EA$823,Input!$J280,0)</f>
        <v>0</v>
      </c>
      <c r="EC859" s="364">
        <f>IF(Input!$H280&lt;=Calcs!EB$823,Input!$J280,0)</f>
        <v>0</v>
      </c>
      <c r="ED859" s="364">
        <f>IF(Input!$H280&lt;=Calcs!EC$823,Input!$J280,0)</f>
        <v>0</v>
      </c>
      <c r="EE859" s="364">
        <f>IF(Input!$H280&lt;=Calcs!ED$823,Input!$J280,0)</f>
        <v>0</v>
      </c>
      <c r="EF859" s="364">
        <f>IF(Input!$H280&lt;=Calcs!EE$823,Input!$J280,0)</f>
        <v>0</v>
      </c>
      <c r="EG859" s="364">
        <f>IF(Input!$H280&lt;=Calcs!EF$823,Input!$J280,0)</f>
        <v>0</v>
      </c>
      <c r="EH859" s="364">
        <f>IF(Input!$H280&lt;=Calcs!EG$823,Input!$J280,0)</f>
        <v>0</v>
      </c>
      <c r="EI859" s="364">
        <f>IF(Input!$H280&lt;=Calcs!EH$823,Input!$J280,0)</f>
        <v>0</v>
      </c>
      <c r="EJ859" s="364">
        <f>IF(Input!$H280&lt;=Calcs!EI$823,Input!$J280,0)</f>
        <v>0</v>
      </c>
      <c r="EK859" s="364">
        <f>IF(Input!$H280&lt;=Calcs!EJ$823,Input!$J280,0)</f>
        <v>0</v>
      </c>
      <c r="EL859" s="364">
        <f>IF(Input!$H280&lt;=Calcs!EK$823,Input!$J280,0)</f>
        <v>0</v>
      </c>
      <c r="EM859" s="364">
        <f>IF(Input!$H280&lt;=Calcs!EL$823,Input!$J280,0)</f>
        <v>0</v>
      </c>
      <c r="EN859" s="364">
        <f>IF(Input!$H280&lt;=Calcs!EM$823,Input!$J280,0)</f>
        <v>0</v>
      </c>
      <c r="EO859" s="364">
        <f>IF(Input!$H280&lt;=Calcs!EN$823,Input!$J280,0)</f>
        <v>0</v>
      </c>
      <c r="EP859" s="364">
        <f>IF(Input!$H280&lt;=Calcs!EO$823,Input!$J280,0)</f>
        <v>0</v>
      </c>
      <c r="EQ859" s="364">
        <f>IF(Input!$H280&lt;=Calcs!EP$823,Input!$J280,0)</f>
        <v>0</v>
      </c>
      <c r="ER859" s="364">
        <f>IF(Input!$H280&lt;=Calcs!EQ$823,Input!$J280,0)</f>
        <v>0</v>
      </c>
      <c r="ES859" s="364">
        <f>IF(Input!$H280&lt;=Calcs!ER$823,Input!$J280,0)</f>
        <v>0</v>
      </c>
      <c r="ET859" s="364">
        <f>IF(Input!$H280&lt;=Calcs!ES$823,Input!$J280,0)</f>
        <v>0</v>
      </c>
      <c r="EU859" s="364">
        <f>IF(Input!$H280&lt;=Calcs!ET$823,Input!$J280,0)</f>
        <v>0</v>
      </c>
      <c r="EV859" s="364">
        <f>IF(Input!$H280&lt;=Calcs!EU$823,Input!$J280,0)</f>
        <v>0</v>
      </c>
    </row>
    <row r="860" spans="11:152" ht="12" customHeight="1" x14ac:dyDescent="0.35">
      <c r="K860" s="28"/>
      <c r="L860" s="28"/>
      <c r="M860" s="28"/>
      <c r="N860" s="28"/>
      <c r="O860" s="28"/>
      <c r="P860" s="28"/>
      <c r="Q860" s="28"/>
      <c r="R860" s="31"/>
      <c r="S860" s="36"/>
      <c r="T860" s="26"/>
      <c r="U860" s="29"/>
      <c r="V860" s="29"/>
      <c r="W860" s="377"/>
      <c r="X860" s="376"/>
      <c r="Y860" s="29"/>
      <c r="Z860" s="29"/>
      <c r="AA860" s="29"/>
      <c r="AB860" s="29"/>
      <c r="AC860" s="29">
        <f t="shared" si="622"/>
        <v>3</v>
      </c>
      <c r="AD860" s="1804"/>
      <c r="AE860" s="376" t="str">
        <f t="shared" si="623"/>
        <v>Investor #3</v>
      </c>
      <c r="AF860" s="763">
        <f>Input!G281</f>
        <v>0</v>
      </c>
      <c r="AG860" s="483">
        <f>IF(Input!$H281&lt;=Calcs!AF$823,Input!$J281,0)</f>
        <v>0</v>
      </c>
      <c r="AH860" s="483">
        <f>IF(Input!$H281&lt;=Calcs!AG$823,Input!$J281,0)</f>
        <v>0</v>
      </c>
      <c r="AI860" s="483">
        <f>IF(Input!$H281&lt;=Calcs!AH$823,Input!$J281,0)</f>
        <v>0</v>
      </c>
      <c r="AJ860" s="483">
        <f>IF(Input!$H281&lt;=Calcs!AI$823,Input!$J281,0)</f>
        <v>0</v>
      </c>
      <c r="AK860" s="483">
        <f>IF(Input!$H281&lt;=Calcs!AJ$823,Input!$J281,0)</f>
        <v>0</v>
      </c>
      <c r="AL860" s="483">
        <f>IF(Input!$H281&lt;=Calcs!AK$823,Input!$J281,0)</f>
        <v>0</v>
      </c>
      <c r="AM860" s="483">
        <f>IF(Input!$H281&lt;=Calcs!AL$823,Input!$J281,0)</f>
        <v>0</v>
      </c>
      <c r="AN860" s="483">
        <f>IF(Input!$H281&lt;=Calcs!AM$823,Input!$J281,0)</f>
        <v>0</v>
      </c>
      <c r="AO860" s="483">
        <f>IF(Input!$H281&lt;=Calcs!AN$823,Input!$J281,0)</f>
        <v>0</v>
      </c>
      <c r="AP860" s="483">
        <f>IF(Input!$H281&lt;=Calcs!AO$823,Input!$J281,0)</f>
        <v>0</v>
      </c>
      <c r="AQ860" s="483">
        <f>IF(Input!$H281&lt;=Calcs!AP$823,Input!$J281,0)</f>
        <v>0</v>
      </c>
      <c r="AR860" s="483">
        <f>IF(Input!$H281&lt;=Calcs!AQ$823,Input!$J281,0)</f>
        <v>0</v>
      </c>
      <c r="AS860" s="483">
        <f>IF(Input!$H281&lt;=Calcs!AR$823,Input!$J281,0)</f>
        <v>0</v>
      </c>
      <c r="AT860" s="483">
        <f>IF(Input!$H281&lt;=Calcs!AS$823,Input!$J281,0)</f>
        <v>0</v>
      </c>
      <c r="AU860" s="483">
        <f>IF(Input!$H281&lt;=Calcs!AT$823,Input!$J281,0)</f>
        <v>0</v>
      </c>
      <c r="AV860" s="483">
        <f>IF(Input!$H281&lt;=Calcs!AU$823,Input!$J281,0)</f>
        <v>0</v>
      </c>
      <c r="AW860" s="483">
        <f>IF(Input!$H281&lt;=Calcs!AV$823,Input!$J281,0)</f>
        <v>0</v>
      </c>
      <c r="AX860" s="483">
        <f>IF(Input!$H281&lt;=Calcs!AW$823,Input!$J281,0)</f>
        <v>0</v>
      </c>
      <c r="AY860" s="483">
        <f>IF(Input!$H281&lt;=Calcs!AX$823,Input!$J281,0)</f>
        <v>0</v>
      </c>
      <c r="AZ860" s="483">
        <f>IF(Input!$H281&lt;=Calcs!AY$823,Input!$J281,0)</f>
        <v>0</v>
      </c>
      <c r="BA860" s="483">
        <f>IF(Input!$H281&lt;=Calcs!AZ$823,Input!$J281,0)</f>
        <v>0</v>
      </c>
      <c r="BB860" s="483">
        <f>IF(Input!$H281&lt;=Calcs!BA$823,Input!$J281,0)</f>
        <v>0</v>
      </c>
      <c r="BC860" s="483">
        <f>IF(Input!$H281&lt;=Calcs!BB$823,Input!$J281,0)</f>
        <v>0</v>
      </c>
      <c r="BD860" s="483">
        <f>IF(Input!$H281&lt;=Calcs!BC$823,Input!$J281,0)</f>
        <v>0</v>
      </c>
      <c r="BE860" s="483">
        <f>IF(Input!$H281&lt;=Calcs!BD$823,Input!$J281,0)</f>
        <v>0</v>
      </c>
      <c r="BF860" s="483">
        <f>IF(Input!$H281&lt;=Calcs!BE$823,Input!$J281,0)</f>
        <v>0</v>
      </c>
      <c r="BG860" s="483">
        <f>IF(Input!$H281&lt;=Calcs!BF$823,Input!$J281,0)</f>
        <v>0</v>
      </c>
      <c r="BH860" s="483">
        <f>IF(Input!$H281&lt;=Calcs!BG$823,Input!$J281,0)</f>
        <v>0</v>
      </c>
      <c r="BI860" s="483">
        <f>IF(Input!$H281&lt;=Calcs!BH$823,Input!$J281,0)</f>
        <v>0</v>
      </c>
      <c r="BJ860" s="483">
        <f>IF(Input!$H281&lt;=Calcs!BI$823,Input!$J281,0)</f>
        <v>0</v>
      </c>
      <c r="BK860" s="483">
        <f>IF(Input!$H281&lt;=Calcs!BJ$823,Input!$J281,0)</f>
        <v>0</v>
      </c>
      <c r="BL860" s="483">
        <f>IF(Input!$H281&lt;=Calcs!BK$823,Input!$J281,0)</f>
        <v>0</v>
      </c>
      <c r="BM860" s="483">
        <f>IF(Input!$H281&lt;=Calcs!BL$823,Input!$J281,0)</f>
        <v>0</v>
      </c>
      <c r="BN860" s="483">
        <f>IF(Input!$H281&lt;=Calcs!BM$823,Input!$J281,0)</f>
        <v>0</v>
      </c>
      <c r="BO860" s="483">
        <f>IF(Input!$H281&lt;=Calcs!BN$823,Input!$J281,0)</f>
        <v>0</v>
      </c>
      <c r="BP860" s="483">
        <f>IF(Input!$H281&lt;=Calcs!BO$823,Input!$J281,0)</f>
        <v>0</v>
      </c>
      <c r="BQ860" s="483">
        <f>IF(Input!$H281&lt;=Calcs!BP$823,Input!$J281,0)</f>
        <v>0</v>
      </c>
      <c r="BR860" s="483">
        <f>IF(Input!$H281&lt;=Calcs!BQ$823,Input!$J281,0)</f>
        <v>0</v>
      </c>
      <c r="BS860" s="483">
        <f>IF(Input!$H281&lt;=Calcs!BR$823,Input!$J281,0)</f>
        <v>0</v>
      </c>
      <c r="BT860" s="483">
        <f>IF(Input!$H281&lt;=Calcs!BS$823,Input!$J281,0)</f>
        <v>0</v>
      </c>
      <c r="BU860" s="483">
        <f>IF(Input!$H281&lt;=Calcs!BT$823,Input!$J281,0)</f>
        <v>0</v>
      </c>
      <c r="BV860" s="483">
        <f>IF(Input!$H281&lt;=Calcs!BU$823,Input!$J281,0)</f>
        <v>0</v>
      </c>
      <c r="BW860" s="483">
        <f>IF(Input!$H281&lt;=Calcs!BV$823,Input!$J281,0)</f>
        <v>0</v>
      </c>
      <c r="BX860" s="483">
        <f>IF(Input!$H281&lt;=Calcs!BW$823,Input!$J281,0)</f>
        <v>0</v>
      </c>
      <c r="BY860" s="483">
        <f>IF(Input!$H281&lt;=Calcs!BX$823,Input!$J281,0)</f>
        <v>0</v>
      </c>
      <c r="BZ860" s="483">
        <f>IF(Input!$H281&lt;=Calcs!BY$823,Input!$J281,0)</f>
        <v>0</v>
      </c>
      <c r="CA860" s="483">
        <f>IF(Input!$H281&lt;=Calcs!BZ$823,Input!$J281,0)</f>
        <v>0</v>
      </c>
      <c r="CB860" s="483">
        <f>IF(Input!$H281&lt;=Calcs!CA$823,Input!$J281,0)</f>
        <v>0</v>
      </c>
      <c r="CC860" s="483">
        <f>IF(Input!$H281&lt;=Calcs!CB$823,Input!$J281,0)</f>
        <v>0</v>
      </c>
      <c r="CD860" s="483">
        <f>IF(Input!$H281&lt;=Calcs!CC$823,Input!$J281,0)</f>
        <v>0</v>
      </c>
      <c r="CE860" s="483">
        <f>IF(Input!$H281&lt;=Calcs!CD$823,Input!$J281,0)</f>
        <v>0</v>
      </c>
      <c r="CF860" s="483">
        <f>IF(Input!$H281&lt;=Calcs!CE$823,Input!$J281,0)</f>
        <v>0</v>
      </c>
      <c r="CG860" s="483">
        <f>IF(Input!$H281&lt;=Calcs!CF$823,Input!$J281,0)</f>
        <v>0</v>
      </c>
      <c r="CH860" s="483">
        <f>IF(Input!$H281&lt;=Calcs!CG$823,Input!$J281,0)</f>
        <v>0</v>
      </c>
      <c r="CI860" s="483">
        <f>IF(Input!$H281&lt;=Calcs!CH$823,Input!$J281,0)</f>
        <v>0</v>
      </c>
      <c r="CJ860" s="483">
        <f>IF(Input!$H281&lt;=Calcs!CI$823,Input!$J281,0)</f>
        <v>0</v>
      </c>
      <c r="CK860" s="483">
        <f>IF(Input!$H281&lt;=Calcs!CJ$823,Input!$J281,0)</f>
        <v>0</v>
      </c>
      <c r="CL860" s="483">
        <f>IF(Input!$H281&lt;=Calcs!CK$823,Input!$J281,0)</f>
        <v>0</v>
      </c>
      <c r="CM860" s="483">
        <f>IF(Input!$H281&lt;=Calcs!CL$823,Input!$J281,0)</f>
        <v>0</v>
      </c>
      <c r="CN860" s="483">
        <f>IF(Input!$H281&lt;=Calcs!CM$823,Input!$J281,0)</f>
        <v>0</v>
      </c>
      <c r="CO860" s="483">
        <f>IF(Input!$H281&lt;=Calcs!CN$823,Input!$J281,0)</f>
        <v>0</v>
      </c>
      <c r="CP860" s="483">
        <f>IF(Input!$H281&lt;=Calcs!CO$823,Input!$J281,0)</f>
        <v>0</v>
      </c>
      <c r="CQ860" s="1143">
        <f>IF(Input!$H281&lt;=Calcs!CP$823,Input!$J281,0)</f>
        <v>0</v>
      </c>
      <c r="CR860" s="1143">
        <f>IF(Input!$H281&lt;=Calcs!CQ$823,Input!$J281,0)</f>
        <v>0</v>
      </c>
      <c r="CS860" s="1143">
        <f>IF(Input!$H281&lt;=Calcs!CR$823,Input!$J281,0)</f>
        <v>0</v>
      </c>
      <c r="CT860" s="1143">
        <f>IF(Input!$H281&lt;=Calcs!CS$823,Input!$J281,0)</f>
        <v>0</v>
      </c>
      <c r="CU860" s="1143">
        <f>IF(Input!$H281&lt;=Calcs!CT$823,Input!$J281,0)</f>
        <v>0</v>
      </c>
      <c r="CV860" s="1143">
        <f>IF(Input!$H281&lt;=Calcs!CU$823,Input!$J281,0)</f>
        <v>0</v>
      </c>
      <c r="CW860" s="1143">
        <f>IF(Input!$H281&lt;=Calcs!CV$823,Input!$J281,0)</f>
        <v>0</v>
      </c>
      <c r="CX860" s="1143">
        <f>IF(Input!$H281&lt;=Calcs!CW$823,Input!$J281,0)</f>
        <v>0</v>
      </c>
      <c r="CY860" s="1143">
        <f>IF(Input!$H281&lt;=Calcs!CX$823,Input!$J281,0)</f>
        <v>0</v>
      </c>
      <c r="CZ860" s="1143">
        <f>IF(Input!$H281&lt;=Calcs!CY$823,Input!$J281,0)</f>
        <v>0</v>
      </c>
      <c r="DA860" s="1143">
        <f>IF(Input!$H281&lt;=Calcs!CZ$823,Input!$J281,0)</f>
        <v>0</v>
      </c>
      <c r="DB860" s="1143">
        <f>IF(Input!$H281&lt;=Calcs!DA$823,Input!$J281,0)</f>
        <v>0</v>
      </c>
      <c r="DC860" s="1143">
        <f>IF(Input!$H281&lt;=Calcs!DB$823,Input!$J281,0)</f>
        <v>0</v>
      </c>
      <c r="DD860" s="1143">
        <f>IF(Input!$H281&lt;=Calcs!DC$823,Input!$J281,0)</f>
        <v>0</v>
      </c>
      <c r="DE860" s="1143">
        <f>IF(Input!$H281&lt;=Calcs!DD$823,Input!$J281,0)</f>
        <v>0</v>
      </c>
      <c r="DF860" s="1143">
        <f>IF(Input!$H281&lt;=Calcs!DE$823,Input!$J281,0)</f>
        <v>0</v>
      </c>
      <c r="DG860" s="1143">
        <f>IF(Input!$H281&lt;=Calcs!DF$823,Input!$J281,0)</f>
        <v>0</v>
      </c>
      <c r="DH860" s="1143">
        <f>IF(Input!$H281&lt;=Calcs!DG$823,Input!$J281,0)</f>
        <v>0</v>
      </c>
      <c r="DI860" s="1143">
        <f>IF(Input!$H281&lt;=Calcs!DH$823,Input!$J281,0)</f>
        <v>0</v>
      </c>
      <c r="DJ860" s="1143">
        <f>IF(Input!$H281&lt;=Calcs!DI$823,Input!$J281,0)</f>
        <v>0</v>
      </c>
      <c r="DK860" s="1143">
        <f>IF(Input!$H281&lt;=Calcs!DJ$823,Input!$J281,0)</f>
        <v>0</v>
      </c>
      <c r="DL860" s="1143">
        <f>IF(Input!$H281&lt;=Calcs!DK$823,Input!$J281,0)</f>
        <v>0</v>
      </c>
      <c r="DM860" s="1143">
        <f>IF(Input!$H281&lt;=Calcs!DL$823,Input!$J281,0)</f>
        <v>0</v>
      </c>
      <c r="DN860" s="1143">
        <f>IF(Input!$H281&lt;=Calcs!DM$823,Input!$J281,0)</f>
        <v>0</v>
      </c>
      <c r="DO860" s="1143">
        <f>IF(Input!$H281&lt;=Calcs!DN$823,Input!$J281,0)</f>
        <v>0</v>
      </c>
      <c r="DP860" s="1143">
        <f>IF(Input!$H281&lt;=Calcs!DO$823,Input!$J281,0)</f>
        <v>0</v>
      </c>
      <c r="DQ860" s="1143">
        <f>IF(Input!$H281&lt;=Calcs!DP$823,Input!$J281,0)</f>
        <v>0</v>
      </c>
      <c r="DR860" s="364">
        <f>IF(Input!$H281&lt;=Calcs!DQ$823,Input!$J281,0)</f>
        <v>0</v>
      </c>
      <c r="DS860" s="364">
        <f>IF(Input!$H281&lt;=Calcs!DR$823,Input!$J281,0)</f>
        <v>0</v>
      </c>
      <c r="DT860" s="364">
        <f>IF(Input!$H281&lt;=Calcs!DS$823,Input!$J281,0)</f>
        <v>0</v>
      </c>
      <c r="DU860" s="364">
        <f>IF(Input!$H281&lt;=Calcs!DT$823,Input!$J281,0)</f>
        <v>0</v>
      </c>
      <c r="DV860" s="364">
        <f>IF(Input!$H281&lt;=Calcs!DU$823,Input!$J281,0)</f>
        <v>0</v>
      </c>
      <c r="DW860" s="364">
        <f>IF(Input!$H281&lt;=Calcs!DV$823,Input!$J281,0)</f>
        <v>0</v>
      </c>
      <c r="DX860" s="364">
        <f>IF(Input!$H281&lt;=Calcs!DW$823,Input!$J281,0)</f>
        <v>0</v>
      </c>
      <c r="DY860" s="364">
        <f>IF(Input!$H281&lt;=Calcs!DX$823,Input!$J281,0)</f>
        <v>0</v>
      </c>
      <c r="DZ860" s="364">
        <f>IF(Input!$H281&lt;=Calcs!DY$823,Input!$J281,0)</f>
        <v>0</v>
      </c>
      <c r="EA860" s="364">
        <f>IF(Input!$H281&lt;=Calcs!DZ$823,Input!$J281,0)</f>
        <v>0</v>
      </c>
      <c r="EB860" s="364">
        <f>IF(Input!$H281&lt;=Calcs!EA$823,Input!$J281,0)</f>
        <v>0</v>
      </c>
      <c r="EC860" s="364">
        <f>IF(Input!$H281&lt;=Calcs!EB$823,Input!$J281,0)</f>
        <v>0</v>
      </c>
      <c r="ED860" s="364">
        <f>IF(Input!$H281&lt;=Calcs!EC$823,Input!$J281,0)</f>
        <v>0</v>
      </c>
      <c r="EE860" s="364">
        <f>IF(Input!$H281&lt;=Calcs!ED$823,Input!$J281,0)</f>
        <v>0</v>
      </c>
      <c r="EF860" s="364">
        <f>IF(Input!$H281&lt;=Calcs!EE$823,Input!$J281,0)</f>
        <v>0</v>
      </c>
      <c r="EG860" s="364">
        <f>IF(Input!$H281&lt;=Calcs!EF$823,Input!$J281,0)</f>
        <v>0</v>
      </c>
      <c r="EH860" s="364">
        <f>IF(Input!$H281&lt;=Calcs!EG$823,Input!$J281,0)</f>
        <v>0</v>
      </c>
      <c r="EI860" s="364">
        <f>IF(Input!$H281&lt;=Calcs!EH$823,Input!$J281,0)</f>
        <v>0</v>
      </c>
      <c r="EJ860" s="364">
        <f>IF(Input!$H281&lt;=Calcs!EI$823,Input!$J281,0)</f>
        <v>0</v>
      </c>
      <c r="EK860" s="364">
        <f>IF(Input!$H281&lt;=Calcs!EJ$823,Input!$J281,0)</f>
        <v>0</v>
      </c>
      <c r="EL860" s="364">
        <f>IF(Input!$H281&lt;=Calcs!EK$823,Input!$J281,0)</f>
        <v>0</v>
      </c>
      <c r="EM860" s="364">
        <f>IF(Input!$H281&lt;=Calcs!EL$823,Input!$J281,0)</f>
        <v>0</v>
      </c>
      <c r="EN860" s="364">
        <f>IF(Input!$H281&lt;=Calcs!EM$823,Input!$J281,0)</f>
        <v>0</v>
      </c>
      <c r="EO860" s="364">
        <f>IF(Input!$H281&lt;=Calcs!EN$823,Input!$J281,0)</f>
        <v>0</v>
      </c>
      <c r="EP860" s="364">
        <f>IF(Input!$H281&lt;=Calcs!EO$823,Input!$J281,0)</f>
        <v>0</v>
      </c>
      <c r="EQ860" s="364">
        <f>IF(Input!$H281&lt;=Calcs!EP$823,Input!$J281,0)</f>
        <v>0</v>
      </c>
      <c r="ER860" s="364">
        <f>IF(Input!$H281&lt;=Calcs!EQ$823,Input!$J281,0)</f>
        <v>0</v>
      </c>
      <c r="ES860" s="364">
        <f>IF(Input!$H281&lt;=Calcs!ER$823,Input!$J281,0)</f>
        <v>0</v>
      </c>
      <c r="ET860" s="364">
        <f>IF(Input!$H281&lt;=Calcs!ES$823,Input!$J281,0)</f>
        <v>0</v>
      </c>
      <c r="EU860" s="364">
        <f>IF(Input!$H281&lt;=Calcs!ET$823,Input!$J281,0)</f>
        <v>0</v>
      </c>
      <c r="EV860" s="364">
        <f>IF(Input!$H281&lt;=Calcs!EU$823,Input!$J281,0)</f>
        <v>0</v>
      </c>
    </row>
    <row r="861" spans="11:152" ht="12" customHeight="1" x14ac:dyDescent="0.35">
      <c r="K861" s="28"/>
      <c r="L861" s="28"/>
      <c r="M861" s="28"/>
      <c r="N861" s="28"/>
      <c r="O861" s="28"/>
      <c r="P861" s="28"/>
      <c r="Q861" s="28"/>
      <c r="R861" s="31"/>
      <c r="S861" s="36"/>
      <c r="T861" s="26"/>
      <c r="U861" s="29"/>
      <c r="V861" s="29"/>
      <c r="W861" s="377"/>
      <c r="X861" s="376"/>
      <c r="Y861" s="29"/>
      <c r="Z861" s="29"/>
      <c r="AA861" s="29"/>
      <c r="AB861" s="29"/>
      <c r="AC861" s="29">
        <f t="shared" si="622"/>
        <v>4</v>
      </c>
      <c r="AD861" s="1804"/>
      <c r="AE861" s="376" t="str">
        <f t="shared" si="623"/>
        <v>Investor #4</v>
      </c>
      <c r="AF861" s="763">
        <f>Input!G282</f>
        <v>0</v>
      </c>
      <c r="AG861" s="483">
        <f>IF(Input!$H282&lt;=Calcs!AF$823,Input!$J282,0)</f>
        <v>0</v>
      </c>
      <c r="AH861" s="483">
        <f>IF(Input!$H282&lt;=Calcs!AG$823,Input!$J282,0)</f>
        <v>0</v>
      </c>
      <c r="AI861" s="483">
        <f>IF(Input!$H282&lt;=Calcs!AH$823,Input!$J282,0)</f>
        <v>0</v>
      </c>
      <c r="AJ861" s="483">
        <f>IF(Input!$H282&lt;=Calcs!AI$823,Input!$J282,0)</f>
        <v>0</v>
      </c>
      <c r="AK861" s="483">
        <f>IF(Input!$H282&lt;=Calcs!AJ$823,Input!$J282,0)</f>
        <v>0</v>
      </c>
      <c r="AL861" s="483">
        <f>IF(Input!$H282&lt;=Calcs!AK$823,Input!$J282,0)</f>
        <v>0</v>
      </c>
      <c r="AM861" s="483">
        <f>IF(Input!$H282&lt;=Calcs!AL$823,Input!$J282,0)</f>
        <v>0</v>
      </c>
      <c r="AN861" s="483">
        <f>IF(Input!$H282&lt;=Calcs!AM$823,Input!$J282,0)</f>
        <v>0</v>
      </c>
      <c r="AO861" s="483">
        <f>IF(Input!$H282&lt;=Calcs!AN$823,Input!$J282,0)</f>
        <v>0</v>
      </c>
      <c r="AP861" s="483">
        <f>IF(Input!$H282&lt;=Calcs!AO$823,Input!$J282,0)</f>
        <v>0</v>
      </c>
      <c r="AQ861" s="483">
        <f>IF(Input!$H282&lt;=Calcs!AP$823,Input!$J282,0)</f>
        <v>0</v>
      </c>
      <c r="AR861" s="483">
        <f>IF(Input!$H282&lt;=Calcs!AQ$823,Input!$J282,0)</f>
        <v>0</v>
      </c>
      <c r="AS861" s="483">
        <f>IF(Input!$H282&lt;=Calcs!AR$823,Input!$J282,0)</f>
        <v>0</v>
      </c>
      <c r="AT861" s="483">
        <f>IF(Input!$H282&lt;=Calcs!AS$823,Input!$J282,0)</f>
        <v>0</v>
      </c>
      <c r="AU861" s="483">
        <f>IF(Input!$H282&lt;=Calcs!AT$823,Input!$J282,0)</f>
        <v>0</v>
      </c>
      <c r="AV861" s="483">
        <f>IF(Input!$H282&lt;=Calcs!AU$823,Input!$J282,0)</f>
        <v>0</v>
      </c>
      <c r="AW861" s="483">
        <f>IF(Input!$H282&lt;=Calcs!AV$823,Input!$J282,0)</f>
        <v>0</v>
      </c>
      <c r="AX861" s="483">
        <f>IF(Input!$H282&lt;=Calcs!AW$823,Input!$J282,0)</f>
        <v>0</v>
      </c>
      <c r="AY861" s="483">
        <f>IF(Input!$H282&lt;=Calcs!AX$823,Input!$J282,0)</f>
        <v>0</v>
      </c>
      <c r="AZ861" s="483">
        <f>IF(Input!$H282&lt;=Calcs!AY$823,Input!$J282,0)</f>
        <v>0</v>
      </c>
      <c r="BA861" s="483">
        <f>IF(Input!$H282&lt;=Calcs!AZ$823,Input!$J282,0)</f>
        <v>0</v>
      </c>
      <c r="BB861" s="483">
        <f>IF(Input!$H282&lt;=Calcs!BA$823,Input!$J282,0)</f>
        <v>0</v>
      </c>
      <c r="BC861" s="483">
        <f>IF(Input!$H282&lt;=Calcs!BB$823,Input!$J282,0)</f>
        <v>0</v>
      </c>
      <c r="BD861" s="483">
        <f>IF(Input!$H282&lt;=Calcs!BC$823,Input!$J282,0)</f>
        <v>0</v>
      </c>
      <c r="BE861" s="483">
        <f>IF(Input!$H282&lt;=Calcs!BD$823,Input!$J282,0)</f>
        <v>0</v>
      </c>
      <c r="BF861" s="483">
        <f>IF(Input!$H282&lt;=Calcs!BE$823,Input!$J282,0)</f>
        <v>0</v>
      </c>
      <c r="BG861" s="483">
        <f>IF(Input!$H282&lt;=Calcs!BF$823,Input!$J282,0)</f>
        <v>0</v>
      </c>
      <c r="BH861" s="483">
        <f>IF(Input!$H282&lt;=Calcs!BG$823,Input!$J282,0)</f>
        <v>0</v>
      </c>
      <c r="BI861" s="483">
        <f>IF(Input!$H282&lt;=Calcs!BH$823,Input!$J282,0)</f>
        <v>0</v>
      </c>
      <c r="BJ861" s="483">
        <f>IF(Input!$H282&lt;=Calcs!BI$823,Input!$J282,0)</f>
        <v>0</v>
      </c>
      <c r="BK861" s="483">
        <f>IF(Input!$H282&lt;=Calcs!BJ$823,Input!$J282,0)</f>
        <v>0</v>
      </c>
      <c r="BL861" s="483">
        <f>IF(Input!$H282&lt;=Calcs!BK$823,Input!$J282,0)</f>
        <v>0</v>
      </c>
      <c r="BM861" s="483">
        <f>IF(Input!$H282&lt;=Calcs!BL$823,Input!$J282,0)</f>
        <v>0</v>
      </c>
      <c r="BN861" s="483">
        <f>IF(Input!$H282&lt;=Calcs!BM$823,Input!$J282,0)</f>
        <v>0</v>
      </c>
      <c r="BO861" s="483">
        <f>IF(Input!$H282&lt;=Calcs!BN$823,Input!$J282,0)</f>
        <v>0</v>
      </c>
      <c r="BP861" s="483">
        <f>IF(Input!$H282&lt;=Calcs!BO$823,Input!$J282,0)</f>
        <v>0</v>
      </c>
      <c r="BQ861" s="483">
        <f>IF(Input!$H282&lt;=Calcs!BP$823,Input!$J282,0)</f>
        <v>0</v>
      </c>
      <c r="BR861" s="483">
        <f>IF(Input!$H282&lt;=Calcs!BQ$823,Input!$J282,0)</f>
        <v>0</v>
      </c>
      <c r="BS861" s="483">
        <f>IF(Input!$H282&lt;=Calcs!BR$823,Input!$J282,0)</f>
        <v>0</v>
      </c>
      <c r="BT861" s="483">
        <f>IF(Input!$H282&lt;=Calcs!BS$823,Input!$J282,0)</f>
        <v>0</v>
      </c>
      <c r="BU861" s="483">
        <f>IF(Input!$H282&lt;=Calcs!BT$823,Input!$J282,0)</f>
        <v>0</v>
      </c>
      <c r="BV861" s="483">
        <f>IF(Input!$H282&lt;=Calcs!BU$823,Input!$J282,0)</f>
        <v>0</v>
      </c>
      <c r="BW861" s="483">
        <f>IF(Input!$H282&lt;=Calcs!BV$823,Input!$J282,0)</f>
        <v>0</v>
      </c>
      <c r="BX861" s="483">
        <f>IF(Input!$H282&lt;=Calcs!BW$823,Input!$J282,0)</f>
        <v>0</v>
      </c>
      <c r="BY861" s="483">
        <f>IF(Input!$H282&lt;=Calcs!BX$823,Input!$J282,0)</f>
        <v>0</v>
      </c>
      <c r="BZ861" s="483">
        <f>IF(Input!$H282&lt;=Calcs!BY$823,Input!$J282,0)</f>
        <v>0</v>
      </c>
      <c r="CA861" s="483">
        <f>IF(Input!$H282&lt;=Calcs!BZ$823,Input!$J282,0)</f>
        <v>0</v>
      </c>
      <c r="CB861" s="483">
        <f>IF(Input!$H282&lt;=Calcs!CA$823,Input!$J282,0)</f>
        <v>0</v>
      </c>
      <c r="CC861" s="483">
        <f>IF(Input!$H282&lt;=Calcs!CB$823,Input!$J282,0)</f>
        <v>0</v>
      </c>
      <c r="CD861" s="483">
        <f>IF(Input!$H282&lt;=Calcs!CC$823,Input!$J282,0)</f>
        <v>0</v>
      </c>
      <c r="CE861" s="483">
        <f>IF(Input!$H282&lt;=Calcs!CD$823,Input!$J282,0)</f>
        <v>0</v>
      </c>
      <c r="CF861" s="483">
        <f>IF(Input!$H282&lt;=Calcs!CE$823,Input!$J282,0)</f>
        <v>0</v>
      </c>
      <c r="CG861" s="483">
        <f>IF(Input!$H282&lt;=Calcs!CF$823,Input!$J282,0)</f>
        <v>0</v>
      </c>
      <c r="CH861" s="483">
        <f>IF(Input!$H282&lt;=Calcs!CG$823,Input!$J282,0)</f>
        <v>0</v>
      </c>
      <c r="CI861" s="483">
        <f>IF(Input!$H282&lt;=Calcs!CH$823,Input!$J282,0)</f>
        <v>0</v>
      </c>
      <c r="CJ861" s="483">
        <f>IF(Input!$H282&lt;=Calcs!CI$823,Input!$J282,0)</f>
        <v>0</v>
      </c>
      <c r="CK861" s="483">
        <f>IF(Input!$H282&lt;=Calcs!CJ$823,Input!$J282,0)</f>
        <v>0</v>
      </c>
      <c r="CL861" s="483">
        <f>IF(Input!$H282&lt;=Calcs!CK$823,Input!$J282,0)</f>
        <v>0</v>
      </c>
      <c r="CM861" s="483">
        <f>IF(Input!$H282&lt;=Calcs!CL$823,Input!$J282,0)</f>
        <v>0</v>
      </c>
      <c r="CN861" s="483">
        <f>IF(Input!$H282&lt;=Calcs!CM$823,Input!$J282,0)</f>
        <v>0</v>
      </c>
      <c r="CO861" s="483">
        <f>IF(Input!$H282&lt;=Calcs!CN$823,Input!$J282,0)</f>
        <v>0</v>
      </c>
      <c r="CP861" s="483">
        <f>IF(Input!$H282&lt;=Calcs!CO$823,Input!$J282,0)</f>
        <v>0</v>
      </c>
      <c r="CQ861" s="1143">
        <f>IF(Input!$H282&lt;=Calcs!CP$823,Input!$J282,0)</f>
        <v>0</v>
      </c>
      <c r="CR861" s="1143">
        <f>IF(Input!$H282&lt;=Calcs!CQ$823,Input!$J282,0)</f>
        <v>0</v>
      </c>
      <c r="CS861" s="1143">
        <f>IF(Input!$H282&lt;=Calcs!CR$823,Input!$J282,0)</f>
        <v>0</v>
      </c>
      <c r="CT861" s="1143">
        <f>IF(Input!$H282&lt;=Calcs!CS$823,Input!$J282,0)</f>
        <v>0</v>
      </c>
      <c r="CU861" s="1143">
        <f>IF(Input!$H282&lt;=Calcs!CT$823,Input!$J282,0)</f>
        <v>0</v>
      </c>
      <c r="CV861" s="1143">
        <f>IF(Input!$H282&lt;=Calcs!CU$823,Input!$J282,0)</f>
        <v>0</v>
      </c>
      <c r="CW861" s="1143">
        <f>IF(Input!$H282&lt;=Calcs!CV$823,Input!$J282,0)</f>
        <v>0</v>
      </c>
      <c r="CX861" s="1143">
        <f>IF(Input!$H282&lt;=Calcs!CW$823,Input!$J282,0)</f>
        <v>0</v>
      </c>
      <c r="CY861" s="1143">
        <f>IF(Input!$H282&lt;=Calcs!CX$823,Input!$J282,0)</f>
        <v>0</v>
      </c>
      <c r="CZ861" s="1143">
        <f>IF(Input!$H282&lt;=Calcs!CY$823,Input!$J282,0)</f>
        <v>0</v>
      </c>
      <c r="DA861" s="1143">
        <f>IF(Input!$H282&lt;=Calcs!CZ$823,Input!$J282,0)</f>
        <v>0</v>
      </c>
      <c r="DB861" s="1143">
        <f>IF(Input!$H282&lt;=Calcs!DA$823,Input!$J282,0)</f>
        <v>0</v>
      </c>
      <c r="DC861" s="1143">
        <f>IF(Input!$H282&lt;=Calcs!DB$823,Input!$J282,0)</f>
        <v>0</v>
      </c>
      <c r="DD861" s="1143">
        <f>IF(Input!$H282&lt;=Calcs!DC$823,Input!$J282,0)</f>
        <v>0</v>
      </c>
      <c r="DE861" s="1143">
        <f>IF(Input!$H282&lt;=Calcs!DD$823,Input!$J282,0)</f>
        <v>0</v>
      </c>
      <c r="DF861" s="1143">
        <f>IF(Input!$H282&lt;=Calcs!DE$823,Input!$J282,0)</f>
        <v>0</v>
      </c>
      <c r="DG861" s="1143">
        <f>IF(Input!$H282&lt;=Calcs!DF$823,Input!$J282,0)</f>
        <v>0</v>
      </c>
      <c r="DH861" s="1143">
        <f>IF(Input!$H282&lt;=Calcs!DG$823,Input!$J282,0)</f>
        <v>0</v>
      </c>
      <c r="DI861" s="1143">
        <f>IF(Input!$H282&lt;=Calcs!DH$823,Input!$J282,0)</f>
        <v>0</v>
      </c>
      <c r="DJ861" s="1143">
        <f>IF(Input!$H282&lt;=Calcs!DI$823,Input!$J282,0)</f>
        <v>0</v>
      </c>
      <c r="DK861" s="1143">
        <f>IF(Input!$H282&lt;=Calcs!DJ$823,Input!$J282,0)</f>
        <v>0</v>
      </c>
      <c r="DL861" s="1143">
        <f>IF(Input!$H282&lt;=Calcs!DK$823,Input!$J282,0)</f>
        <v>0</v>
      </c>
      <c r="DM861" s="1143">
        <f>IF(Input!$H282&lt;=Calcs!DL$823,Input!$J282,0)</f>
        <v>0</v>
      </c>
      <c r="DN861" s="1143">
        <f>IF(Input!$H282&lt;=Calcs!DM$823,Input!$J282,0)</f>
        <v>0</v>
      </c>
      <c r="DO861" s="1143">
        <f>IF(Input!$H282&lt;=Calcs!DN$823,Input!$J282,0)</f>
        <v>0</v>
      </c>
      <c r="DP861" s="1143">
        <f>IF(Input!$H282&lt;=Calcs!DO$823,Input!$J282,0)</f>
        <v>0</v>
      </c>
      <c r="DQ861" s="1143">
        <f>IF(Input!$H282&lt;=Calcs!DP$823,Input!$J282,0)</f>
        <v>0</v>
      </c>
      <c r="DR861" s="364">
        <f>IF(Input!$H282&lt;=Calcs!DQ$823,Input!$J282,0)</f>
        <v>0</v>
      </c>
      <c r="DS861" s="364">
        <f>IF(Input!$H282&lt;=Calcs!DR$823,Input!$J282,0)</f>
        <v>0</v>
      </c>
      <c r="DT861" s="364">
        <f>IF(Input!$H282&lt;=Calcs!DS$823,Input!$J282,0)</f>
        <v>0</v>
      </c>
      <c r="DU861" s="364">
        <f>IF(Input!$H282&lt;=Calcs!DT$823,Input!$J282,0)</f>
        <v>0</v>
      </c>
      <c r="DV861" s="364">
        <f>IF(Input!$H282&lt;=Calcs!DU$823,Input!$J282,0)</f>
        <v>0</v>
      </c>
      <c r="DW861" s="364">
        <f>IF(Input!$H282&lt;=Calcs!DV$823,Input!$J282,0)</f>
        <v>0</v>
      </c>
      <c r="DX861" s="364">
        <f>IF(Input!$H282&lt;=Calcs!DW$823,Input!$J282,0)</f>
        <v>0</v>
      </c>
      <c r="DY861" s="364">
        <f>IF(Input!$H282&lt;=Calcs!DX$823,Input!$J282,0)</f>
        <v>0</v>
      </c>
      <c r="DZ861" s="364">
        <f>IF(Input!$H282&lt;=Calcs!DY$823,Input!$J282,0)</f>
        <v>0</v>
      </c>
      <c r="EA861" s="364">
        <f>IF(Input!$H282&lt;=Calcs!DZ$823,Input!$J282,0)</f>
        <v>0</v>
      </c>
      <c r="EB861" s="364">
        <f>IF(Input!$H282&lt;=Calcs!EA$823,Input!$J282,0)</f>
        <v>0</v>
      </c>
      <c r="EC861" s="364">
        <f>IF(Input!$H282&lt;=Calcs!EB$823,Input!$J282,0)</f>
        <v>0</v>
      </c>
      <c r="ED861" s="364">
        <f>IF(Input!$H282&lt;=Calcs!EC$823,Input!$J282,0)</f>
        <v>0</v>
      </c>
      <c r="EE861" s="364">
        <f>IF(Input!$H282&lt;=Calcs!ED$823,Input!$J282,0)</f>
        <v>0</v>
      </c>
      <c r="EF861" s="364">
        <f>IF(Input!$H282&lt;=Calcs!EE$823,Input!$J282,0)</f>
        <v>0</v>
      </c>
      <c r="EG861" s="364">
        <f>IF(Input!$H282&lt;=Calcs!EF$823,Input!$J282,0)</f>
        <v>0</v>
      </c>
      <c r="EH861" s="364">
        <f>IF(Input!$H282&lt;=Calcs!EG$823,Input!$J282,0)</f>
        <v>0</v>
      </c>
      <c r="EI861" s="364">
        <f>IF(Input!$H282&lt;=Calcs!EH$823,Input!$J282,0)</f>
        <v>0</v>
      </c>
      <c r="EJ861" s="364">
        <f>IF(Input!$H282&lt;=Calcs!EI$823,Input!$J282,0)</f>
        <v>0</v>
      </c>
      <c r="EK861" s="364">
        <f>IF(Input!$H282&lt;=Calcs!EJ$823,Input!$J282,0)</f>
        <v>0</v>
      </c>
      <c r="EL861" s="364">
        <f>IF(Input!$H282&lt;=Calcs!EK$823,Input!$J282,0)</f>
        <v>0</v>
      </c>
      <c r="EM861" s="364">
        <f>IF(Input!$H282&lt;=Calcs!EL$823,Input!$J282,0)</f>
        <v>0</v>
      </c>
      <c r="EN861" s="364">
        <f>IF(Input!$H282&lt;=Calcs!EM$823,Input!$J282,0)</f>
        <v>0</v>
      </c>
      <c r="EO861" s="364">
        <f>IF(Input!$H282&lt;=Calcs!EN$823,Input!$J282,0)</f>
        <v>0</v>
      </c>
      <c r="EP861" s="364">
        <f>IF(Input!$H282&lt;=Calcs!EO$823,Input!$J282,0)</f>
        <v>0</v>
      </c>
      <c r="EQ861" s="364">
        <f>IF(Input!$H282&lt;=Calcs!EP$823,Input!$J282,0)</f>
        <v>0</v>
      </c>
      <c r="ER861" s="364">
        <f>IF(Input!$H282&lt;=Calcs!EQ$823,Input!$J282,0)</f>
        <v>0</v>
      </c>
      <c r="ES861" s="364">
        <f>IF(Input!$H282&lt;=Calcs!ER$823,Input!$J282,0)</f>
        <v>0</v>
      </c>
      <c r="ET861" s="364">
        <f>IF(Input!$H282&lt;=Calcs!ES$823,Input!$J282,0)</f>
        <v>0</v>
      </c>
      <c r="EU861" s="364">
        <f>IF(Input!$H282&lt;=Calcs!ET$823,Input!$J282,0)</f>
        <v>0</v>
      </c>
      <c r="EV861" s="364">
        <f>IF(Input!$H282&lt;=Calcs!EU$823,Input!$J282,0)</f>
        <v>0</v>
      </c>
    </row>
    <row r="862" spans="11:152" ht="12" customHeight="1" x14ac:dyDescent="0.35">
      <c r="K862" s="28"/>
      <c r="L862" s="28"/>
      <c r="M862" s="28"/>
      <c r="N862" s="28"/>
      <c r="O862" s="28"/>
      <c r="P862" s="28"/>
      <c r="Q862" s="28"/>
      <c r="R862" s="31"/>
      <c r="S862" s="36"/>
      <c r="T862" s="26"/>
      <c r="U862" s="29"/>
      <c r="V862" s="29"/>
      <c r="W862" s="377"/>
      <c r="X862" s="376"/>
      <c r="Y862" s="29"/>
      <c r="Z862" s="29"/>
      <c r="AA862" s="29"/>
      <c r="AB862" s="29"/>
      <c r="AC862" s="29">
        <f t="shared" si="622"/>
        <v>5</v>
      </c>
      <c r="AD862" s="1804"/>
      <c r="AE862" s="376" t="str">
        <f t="shared" si="623"/>
        <v>Investor #5</v>
      </c>
      <c r="AF862" s="763">
        <f>Input!G283</f>
        <v>0</v>
      </c>
      <c r="AG862" s="483">
        <f>IF(Input!$H283&lt;=Calcs!AF$823,Input!$J283,0)</f>
        <v>0</v>
      </c>
      <c r="AH862" s="483">
        <f>IF(Input!$H283&lt;=Calcs!AG$823,Input!$J283,0)</f>
        <v>0</v>
      </c>
      <c r="AI862" s="483">
        <f>IF(Input!$H283&lt;=Calcs!AH$823,Input!$J283,0)</f>
        <v>0</v>
      </c>
      <c r="AJ862" s="483">
        <f>IF(Input!$H283&lt;=Calcs!AI$823,Input!$J283,0)</f>
        <v>0</v>
      </c>
      <c r="AK862" s="483">
        <f>IF(Input!$H283&lt;=Calcs!AJ$823,Input!$J283,0)</f>
        <v>0</v>
      </c>
      <c r="AL862" s="483">
        <f>IF(Input!$H283&lt;=Calcs!AK$823,Input!$J283,0)</f>
        <v>0</v>
      </c>
      <c r="AM862" s="483">
        <f>IF(Input!$H283&lt;=Calcs!AL$823,Input!$J283,0)</f>
        <v>0</v>
      </c>
      <c r="AN862" s="483">
        <f>IF(Input!$H283&lt;=Calcs!AM$823,Input!$J283,0)</f>
        <v>0</v>
      </c>
      <c r="AO862" s="483">
        <f>IF(Input!$H283&lt;=Calcs!AN$823,Input!$J283,0)</f>
        <v>0</v>
      </c>
      <c r="AP862" s="483">
        <f>IF(Input!$H283&lt;=Calcs!AO$823,Input!$J283,0)</f>
        <v>0</v>
      </c>
      <c r="AQ862" s="483">
        <f>IF(Input!$H283&lt;=Calcs!AP$823,Input!$J283,0)</f>
        <v>0</v>
      </c>
      <c r="AR862" s="483">
        <f>IF(Input!$H283&lt;=Calcs!AQ$823,Input!$J283,0)</f>
        <v>0</v>
      </c>
      <c r="AS862" s="483">
        <f>IF(Input!$H283&lt;=Calcs!AR$823,Input!$J283,0)</f>
        <v>0</v>
      </c>
      <c r="AT862" s="483">
        <f>IF(Input!$H283&lt;=Calcs!AS$823,Input!$J283,0)</f>
        <v>0</v>
      </c>
      <c r="AU862" s="483">
        <f>IF(Input!$H283&lt;=Calcs!AT$823,Input!$J283,0)</f>
        <v>0</v>
      </c>
      <c r="AV862" s="483">
        <f>IF(Input!$H283&lt;=Calcs!AU$823,Input!$J283,0)</f>
        <v>0</v>
      </c>
      <c r="AW862" s="483">
        <f>IF(Input!$H283&lt;=Calcs!AV$823,Input!$J283,0)</f>
        <v>0</v>
      </c>
      <c r="AX862" s="483">
        <f>IF(Input!$H283&lt;=Calcs!AW$823,Input!$J283,0)</f>
        <v>0</v>
      </c>
      <c r="AY862" s="483">
        <f>IF(Input!$H283&lt;=Calcs!AX$823,Input!$J283,0)</f>
        <v>0</v>
      </c>
      <c r="AZ862" s="483">
        <f>IF(Input!$H283&lt;=Calcs!AY$823,Input!$J283,0)</f>
        <v>0</v>
      </c>
      <c r="BA862" s="483">
        <f>IF(Input!$H283&lt;=Calcs!AZ$823,Input!$J283,0)</f>
        <v>0</v>
      </c>
      <c r="BB862" s="483">
        <f>IF(Input!$H283&lt;=Calcs!BA$823,Input!$J283,0)</f>
        <v>0</v>
      </c>
      <c r="BC862" s="483">
        <f>IF(Input!$H283&lt;=Calcs!BB$823,Input!$J283,0)</f>
        <v>0</v>
      </c>
      <c r="BD862" s="483">
        <f>IF(Input!$H283&lt;=Calcs!BC$823,Input!$J283,0)</f>
        <v>0</v>
      </c>
      <c r="BE862" s="483">
        <f>IF(Input!$H283&lt;=Calcs!BD$823,Input!$J283,0)</f>
        <v>0</v>
      </c>
      <c r="BF862" s="483">
        <f>IF(Input!$H283&lt;=Calcs!BE$823,Input!$J283,0)</f>
        <v>0</v>
      </c>
      <c r="BG862" s="483">
        <f>IF(Input!$H283&lt;=Calcs!BF$823,Input!$J283,0)</f>
        <v>0</v>
      </c>
      <c r="BH862" s="483">
        <f>IF(Input!$H283&lt;=Calcs!BG$823,Input!$J283,0)</f>
        <v>0</v>
      </c>
      <c r="BI862" s="483">
        <f>IF(Input!$H283&lt;=Calcs!BH$823,Input!$J283,0)</f>
        <v>0</v>
      </c>
      <c r="BJ862" s="483">
        <f>IF(Input!$H283&lt;=Calcs!BI$823,Input!$J283,0)</f>
        <v>0</v>
      </c>
      <c r="BK862" s="483">
        <f>IF(Input!$H283&lt;=Calcs!BJ$823,Input!$J283,0)</f>
        <v>0</v>
      </c>
      <c r="BL862" s="483">
        <f>IF(Input!$H283&lt;=Calcs!BK$823,Input!$J283,0)</f>
        <v>0</v>
      </c>
      <c r="BM862" s="483">
        <f>IF(Input!$H283&lt;=Calcs!BL$823,Input!$J283,0)</f>
        <v>0</v>
      </c>
      <c r="BN862" s="483">
        <f>IF(Input!$H283&lt;=Calcs!BM$823,Input!$J283,0)</f>
        <v>0</v>
      </c>
      <c r="BO862" s="483">
        <f>IF(Input!$H283&lt;=Calcs!BN$823,Input!$J283,0)</f>
        <v>0</v>
      </c>
      <c r="BP862" s="483">
        <f>IF(Input!$H283&lt;=Calcs!BO$823,Input!$J283,0)</f>
        <v>0</v>
      </c>
      <c r="BQ862" s="483">
        <f>IF(Input!$H283&lt;=Calcs!BP$823,Input!$J283,0)</f>
        <v>0</v>
      </c>
      <c r="BR862" s="483">
        <f>IF(Input!$H283&lt;=Calcs!BQ$823,Input!$J283,0)</f>
        <v>0</v>
      </c>
      <c r="BS862" s="483">
        <f>IF(Input!$H283&lt;=Calcs!BR$823,Input!$J283,0)</f>
        <v>0</v>
      </c>
      <c r="BT862" s="483">
        <f>IF(Input!$H283&lt;=Calcs!BS$823,Input!$J283,0)</f>
        <v>0</v>
      </c>
      <c r="BU862" s="483">
        <f>IF(Input!$H283&lt;=Calcs!BT$823,Input!$J283,0)</f>
        <v>0</v>
      </c>
      <c r="BV862" s="483">
        <f>IF(Input!$H283&lt;=Calcs!BU$823,Input!$J283,0)</f>
        <v>0</v>
      </c>
      <c r="BW862" s="483">
        <f>IF(Input!$H283&lt;=Calcs!BV$823,Input!$J283,0)</f>
        <v>0</v>
      </c>
      <c r="BX862" s="483">
        <f>IF(Input!$H283&lt;=Calcs!BW$823,Input!$J283,0)</f>
        <v>0</v>
      </c>
      <c r="BY862" s="483">
        <f>IF(Input!$H283&lt;=Calcs!BX$823,Input!$J283,0)</f>
        <v>0</v>
      </c>
      <c r="BZ862" s="483">
        <f>IF(Input!$H283&lt;=Calcs!BY$823,Input!$J283,0)</f>
        <v>0</v>
      </c>
      <c r="CA862" s="483">
        <f>IF(Input!$H283&lt;=Calcs!BZ$823,Input!$J283,0)</f>
        <v>0</v>
      </c>
      <c r="CB862" s="483">
        <f>IF(Input!$H283&lt;=Calcs!CA$823,Input!$J283,0)</f>
        <v>0</v>
      </c>
      <c r="CC862" s="483">
        <f>IF(Input!$H283&lt;=Calcs!CB$823,Input!$J283,0)</f>
        <v>0</v>
      </c>
      <c r="CD862" s="483">
        <f>IF(Input!$H283&lt;=Calcs!CC$823,Input!$J283,0)</f>
        <v>0</v>
      </c>
      <c r="CE862" s="483">
        <f>IF(Input!$H283&lt;=Calcs!CD$823,Input!$J283,0)</f>
        <v>0</v>
      </c>
      <c r="CF862" s="483">
        <f>IF(Input!$H283&lt;=Calcs!CE$823,Input!$J283,0)</f>
        <v>0</v>
      </c>
      <c r="CG862" s="483">
        <f>IF(Input!$H283&lt;=Calcs!CF$823,Input!$J283,0)</f>
        <v>0</v>
      </c>
      <c r="CH862" s="483">
        <f>IF(Input!$H283&lt;=Calcs!CG$823,Input!$J283,0)</f>
        <v>0</v>
      </c>
      <c r="CI862" s="483">
        <f>IF(Input!$H283&lt;=Calcs!CH$823,Input!$J283,0)</f>
        <v>0</v>
      </c>
      <c r="CJ862" s="483">
        <f>IF(Input!$H283&lt;=Calcs!CI$823,Input!$J283,0)</f>
        <v>0</v>
      </c>
      <c r="CK862" s="483">
        <f>IF(Input!$H283&lt;=Calcs!CJ$823,Input!$J283,0)</f>
        <v>0</v>
      </c>
      <c r="CL862" s="483">
        <f>IF(Input!$H283&lt;=Calcs!CK$823,Input!$J283,0)</f>
        <v>0</v>
      </c>
      <c r="CM862" s="483">
        <f>IF(Input!$H283&lt;=Calcs!CL$823,Input!$J283,0)</f>
        <v>0</v>
      </c>
      <c r="CN862" s="483">
        <f>IF(Input!$H283&lt;=Calcs!CM$823,Input!$J283,0)</f>
        <v>0</v>
      </c>
      <c r="CO862" s="483">
        <f>IF(Input!$H283&lt;=Calcs!CN$823,Input!$J283,0)</f>
        <v>0</v>
      </c>
      <c r="CP862" s="483">
        <f>IF(Input!$H283&lt;=Calcs!CO$823,Input!$J283,0)</f>
        <v>0</v>
      </c>
      <c r="CQ862" s="1143">
        <f>IF(Input!$H283&lt;=Calcs!CP$823,Input!$J283,0)</f>
        <v>0</v>
      </c>
      <c r="CR862" s="1143">
        <f>IF(Input!$H283&lt;=Calcs!CQ$823,Input!$J283,0)</f>
        <v>0</v>
      </c>
      <c r="CS862" s="1143">
        <f>IF(Input!$H283&lt;=Calcs!CR$823,Input!$J283,0)</f>
        <v>0</v>
      </c>
      <c r="CT862" s="1143">
        <f>IF(Input!$H283&lt;=Calcs!CS$823,Input!$J283,0)</f>
        <v>0</v>
      </c>
      <c r="CU862" s="1143">
        <f>IF(Input!$H283&lt;=Calcs!CT$823,Input!$J283,0)</f>
        <v>0</v>
      </c>
      <c r="CV862" s="1143">
        <f>IF(Input!$H283&lt;=Calcs!CU$823,Input!$J283,0)</f>
        <v>0</v>
      </c>
      <c r="CW862" s="1143">
        <f>IF(Input!$H283&lt;=Calcs!CV$823,Input!$J283,0)</f>
        <v>0</v>
      </c>
      <c r="CX862" s="1143">
        <f>IF(Input!$H283&lt;=Calcs!CW$823,Input!$J283,0)</f>
        <v>0</v>
      </c>
      <c r="CY862" s="1143">
        <f>IF(Input!$H283&lt;=Calcs!CX$823,Input!$J283,0)</f>
        <v>0</v>
      </c>
      <c r="CZ862" s="1143">
        <f>IF(Input!$H283&lt;=Calcs!CY$823,Input!$J283,0)</f>
        <v>0</v>
      </c>
      <c r="DA862" s="1143">
        <f>IF(Input!$H283&lt;=Calcs!CZ$823,Input!$J283,0)</f>
        <v>0</v>
      </c>
      <c r="DB862" s="1143">
        <f>IF(Input!$H283&lt;=Calcs!DA$823,Input!$J283,0)</f>
        <v>0</v>
      </c>
      <c r="DC862" s="1143">
        <f>IF(Input!$H283&lt;=Calcs!DB$823,Input!$J283,0)</f>
        <v>0</v>
      </c>
      <c r="DD862" s="1143">
        <f>IF(Input!$H283&lt;=Calcs!DC$823,Input!$J283,0)</f>
        <v>0</v>
      </c>
      <c r="DE862" s="1143">
        <f>IF(Input!$H283&lt;=Calcs!DD$823,Input!$J283,0)</f>
        <v>0</v>
      </c>
      <c r="DF862" s="1143">
        <f>IF(Input!$H283&lt;=Calcs!DE$823,Input!$J283,0)</f>
        <v>0</v>
      </c>
      <c r="DG862" s="1143">
        <f>IF(Input!$H283&lt;=Calcs!DF$823,Input!$J283,0)</f>
        <v>0</v>
      </c>
      <c r="DH862" s="1143">
        <f>IF(Input!$H283&lt;=Calcs!DG$823,Input!$J283,0)</f>
        <v>0</v>
      </c>
      <c r="DI862" s="1143">
        <f>IF(Input!$H283&lt;=Calcs!DH$823,Input!$J283,0)</f>
        <v>0</v>
      </c>
      <c r="DJ862" s="1143">
        <f>IF(Input!$H283&lt;=Calcs!DI$823,Input!$J283,0)</f>
        <v>0</v>
      </c>
      <c r="DK862" s="1143">
        <f>IF(Input!$H283&lt;=Calcs!DJ$823,Input!$J283,0)</f>
        <v>0</v>
      </c>
      <c r="DL862" s="1143">
        <f>IF(Input!$H283&lt;=Calcs!DK$823,Input!$J283,0)</f>
        <v>0</v>
      </c>
      <c r="DM862" s="1143">
        <f>IF(Input!$H283&lt;=Calcs!DL$823,Input!$J283,0)</f>
        <v>0</v>
      </c>
      <c r="DN862" s="1143">
        <f>IF(Input!$H283&lt;=Calcs!DM$823,Input!$J283,0)</f>
        <v>0</v>
      </c>
      <c r="DO862" s="1143">
        <f>IF(Input!$H283&lt;=Calcs!DN$823,Input!$J283,0)</f>
        <v>0</v>
      </c>
      <c r="DP862" s="1143">
        <f>IF(Input!$H283&lt;=Calcs!DO$823,Input!$J283,0)</f>
        <v>0</v>
      </c>
      <c r="DQ862" s="1143">
        <f>IF(Input!$H283&lt;=Calcs!DP$823,Input!$J283,0)</f>
        <v>0</v>
      </c>
      <c r="DR862" s="364">
        <f>IF(Input!$H283&lt;=Calcs!DQ$823,Input!$J283,0)</f>
        <v>0</v>
      </c>
      <c r="DS862" s="364">
        <f>IF(Input!$H283&lt;=Calcs!DR$823,Input!$J283,0)</f>
        <v>0</v>
      </c>
      <c r="DT862" s="364">
        <f>IF(Input!$H283&lt;=Calcs!DS$823,Input!$J283,0)</f>
        <v>0</v>
      </c>
      <c r="DU862" s="364">
        <f>IF(Input!$H283&lt;=Calcs!DT$823,Input!$J283,0)</f>
        <v>0</v>
      </c>
      <c r="DV862" s="364">
        <f>IF(Input!$H283&lt;=Calcs!DU$823,Input!$J283,0)</f>
        <v>0</v>
      </c>
      <c r="DW862" s="364">
        <f>IF(Input!$H283&lt;=Calcs!DV$823,Input!$J283,0)</f>
        <v>0</v>
      </c>
      <c r="DX862" s="364">
        <f>IF(Input!$H283&lt;=Calcs!DW$823,Input!$J283,0)</f>
        <v>0</v>
      </c>
      <c r="DY862" s="364">
        <f>IF(Input!$H283&lt;=Calcs!DX$823,Input!$J283,0)</f>
        <v>0</v>
      </c>
      <c r="DZ862" s="364">
        <f>IF(Input!$H283&lt;=Calcs!DY$823,Input!$J283,0)</f>
        <v>0</v>
      </c>
      <c r="EA862" s="364">
        <f>IF(Input!$H283&lt;=Calcs!DZ$823,Input!$J283,0)</f>
        <v>0</v>
      </c>
      <c r="EB862" s="364">
        <f>IF(Input!$H283&lt;=Calcs!EA$823,Input!$J283,0)</f>
        <v>0</v>
      </c>
      <c r="EC862" s="364">
        <f>IF(Input!$H283&lt;=Calcs!EB$823,Input!$J283,0)</f>
        <v>0</v>
      </c>
      <c r="ED862" s="364">
        <f>IF(Input!$H283&lt;=Calcs!EC$823,Input!$J283,0)</f>
        <v>0</v>
      </c>
      <c r="EE862" s="364">
        <f>IF(Input!$H283&lt;=Calcs!ED$823,Input!$J283,0)</f>
        <v>0</v>
      </c>
      <c r="EF862" s="364">
        <f>IF(Input!$H283&lt;=Calcs!EE$823,Input!$J283,0)</f>
        <v>0</v>
      </c>
      <c r="EG862" s="364">
        <f>IF(Input!$H283&lt;=Calcs!EF$823,Input!$J283,0)</f>
        <v>0</v>
      </c>
      <c r="EH862" s="364">
        <f>IF(Input!$H283&lt;=Calcs!EG$823,Input!$J283,0)</f>
        <v>0</v>
      </c>
      <c r="EI862" s="364">
        <f>IF(Input!$H283&lt;=Calcs!EH$823,Input!$J283,0)</f>
        <v>0</v>
      </c>
      <c r="EJ862" s="364">
        <f>IF(Input!$H283&lt;=Calcs!EI$823,Input!$J283,0)</f>
        <v>0</v>
      </c>
      <c r="EK862" s="364">
        <f>IF(Input!$H283&lt;=Calcs!EJ$823,Input!$J283,0)</f>
        <v>0</v>
      </c>
      <c r="EL862" s="364">
        <f>IF(Input!$H283&lt;=Calcs!EK$823,Input!$J283,0)</f>
        <v>0</v>
      </c>
      <c r="EM862" s="364">
        <f>IF(Input!$H283&lt;=Calcs!EL$823,Input!$J283,0)</f>
        <v>0</v>
      </c>
      <c r="EN862" s="364">
        <f>IF(Input!$H283&lt;=Calcs!EM$823,Input!$J283,0)</f>
        <v>0</v>
      </c>
      <c r="EO862" s="364">
        <f>IF(Input!$H283&lt;=Calcs!EN$823,Input!$J283,0)</f>
        <v>0</v>
      </c>
      <c r="EP862" s="364">
        <f>IF(Input!$H283&lt;=Calcs!EO$823,Input!$J283,0)</f>
        <v>0</v>
      </c>
      <c r="EQ862" s="364">
        <f>IF(Input!$H283&lt;=Calcs!EP$823,Input!$J283,0)</f>
        <v>0</v>
      </c>
      <c r="ER862" s="364">
        <f>IF(Input!$H283&lt;=Calcs!EQ$823,Input!$J283,0)</f>
        <v>0</v>
      </c>
      <c r="ES862" s="364">
        <f>IF(Input!$H283&lt;=Calcs!ER$823,Input!$J283,0)</f>
        <v>0</v>
      </c>
      <c r="ET862" s="364">
        <f>IF(Input!$H283&lt;=Calcs!ES$823,Input!$J283,0)</f>
        <v>0</v>
      </c>
      <c r="EU862" s="364">
        <f>IF(Input!$H283&lt;=Calcs!ET$823,Input!$J283,0)</f>
        <v>0</v>
      </c>
      <c r="EV862" s="364">
        <f>IF(Input!$H283&lt;=Calcs!EU$823,Input!$J283,0)</f>
        <v>0</v>
      </c>
    </row>
    <row r="863" spans="11:152" ht="12" customHeight="1" x14ac:dyDescent="0.35">
      <c r="K863" s="28"/>
      <c r="L863" s="28"/>
      <c r="M863" s="28"/>
      <c r="N863" s="28"/>
      <c r="O863" s="28"/>
      <c r="P863" s="28"/>
      <c r="Q863" s="28"/>
      <c r="R863" s="31"/>
      <c r="S863" s="36"/>
      <c r="T863" s="26"/>
      <c r="U863" s="29"/>
      <c r="V863" s="29"/>
      <c r="W863" s="377"/>
      <c r="X863" s="376"/>
      <c r="Y863" s="29"/>
      <c r="Z863" s="29"/>
      <c r="AA863" s="29"/>
      <c r="AB863" s="29"/>
      <c r="AC863" s="29">
        <f t="shared" si="622"/>
        <v>6</v>
      </c>
      <c r="AD863" s="1804"/>
      <c r="AE863" s="376" t="str">
        <f t="shared" si="623"/>
        <v>Investor #6</v>
      </c>
      <c r="AF863" s="763">
        <f>Input!G284</f>
        <v>0</v>
      </c>
      <c r="AG863" s="483">
        <f>IF(Input!$H284&lt;=Calcs!AF$823,Input!$J284,0)</f>
        <v>0</v>
      </c>
      <c r="AH863" s="483">
        <f>IF(Input!$H284&lt;=Calcs!AG$823,Input!$J284,0)</f>
        <v>0</v>
      </c>
      <c r="AI863" s="483">
        <f>IF(Input!$H284&lt;=Calcs!AH$823,Input!$J284,0)</f>
        <v>0</v>
      </c>
      <c r="AJ863" s="483">
        <f>IF(Input!$H284&lt;=Calcs!AI$823,Input!$J284,0)</f>
        <v>0</v>
      </c>
      <c r="AK863" s="483">
        <f>IF(Input!$H284&lt;=Calcs!AJ$823,Input!$J284,0)</f>
        <v>0</v>
      </c>
      <c r="AL863" s="483">
        <f>IF(Input!$H284&lt;=Calcs!AK$823,Input!$J284,0)</f>
        <v>0</v>
      </c>
      <c r="AM863" s="483">
        <f>IF(Input!$H284&lt;=Calcs!AL$823,Input!$J284,0)</f>
        <v>0</v>
      </c>
      <c r="AN863" s="483">
        <f>IF(Input!$H284&lt;=Calcs!AM$823,Input!$J284,0)</f>
        <v>0</v>
      </c>
      <c r="AO863" s="483">
        <f>IF(Input!$H284&lt;=Calcs!AN$823,Input!$J284,0)</f>
        <v>0</v>
      </c>
      <c r="AP863" s="483">
        <f>IF(Input!$H284&lt;=Calcs!AO$823,Input!$J284,0)</f>
        <v>0</v>
      </c>
      <c r="AQ863" s="483">
        <f>IF(Input!$H284&lt;=Calcs!AP$823,Input!$J284,0)</f>
        <v>0</v>
      </c>
      <c r="AR863" s="483">
        <f>IF(Input!$H284&lt;=Calcs!AQ$823,Input!$J284,0)</f>
        <v>0</v>
      </c>
      <c r="AS863" s="483">
        <f>IF(Input!$H284&lt;=Calcs!AR$823,Input!$J284,0)</f>
        <v>0</v>
      </c>
      <c r="AT863" s="483">
        <f>IF(Input!$H284&lt;=Calcs!AS$823,Input!$J284,0)</f>
        <v>0</v>
      </c>
      <c r="AU863" s="483">
        <f>IF(Input!$H284&lt;=Calcs!AT$823,Input!$J284,0)</f>
        <v>0</v>
      </c>
      <c r="AV863" s="483">
        <f>IF(Input!$H284&lt;=Calcs!AU$823,Input!$J284,0)</f>
        <v>0</v>
      </c>
      <c r="AW863" s="483">
        <f>IF(Input!$H284&lt;=Calcs!AV$823,Input!$J284,0)</f>
        <v>0</v>
      </c>
      <c r="AX863" s="483">
        <f>IF(Input!$H284&lt;=Calcs!AW$823,Input!$J284,0)</f>
        <v>0</v>
      </c>
      <c r="AY863" s="483">
        <f>IF(Input!$H284&lt;=Calcs!AX$823,Input!$J284,0)</f>
        <v>0</v>
      </c>
      <c r="AZ863" s="483">
        <f>IF(Input!$H284&lt;=Calcs!AY$823,Input!$J284,0)</f>
        <v>0</v>
      </c>
      <c r="BA863" s="483">
        <f>IF(Input!$H284&lt;=Calcs!AZ$823,Input!$J284,0)</f>
        <v>0</v>
      </c>
      <c r="BB863" s="483">
        <f>IF(Input!$H284&lt;=Calcs!BA$823,Input!$J284,0)</f>
        <v>0</v>
      </c>
      <c r="BC863" s="483">
        <f>IF(Input!$H284&lt;=Calcs!BB$823,Input!$J284,0)</f>
        <v>0</v>
      </c>
      <c r="BD863" s="483">
        <f>IF(Input!$H284&lt;=Calcs!BC$823,Input!$J284,0)</f>
        <v>0</v>
      </c>
      <c r="BE863" s="483">
        <f>IF(Input!$H284&lt;=Calcs!BD$823,Input!$J284,0)</f>
        <v>0</v>
      </c>
      <c r="BF863" s="483">
        <f>IF(Input!$H284&lt;=Calcs!BE$823,Input!$J284,0)</f>
        <v>0</v>
      </c>
      <c r="BG863" s="483">
        <f>IF(Input!$H284&lt;=Calcs!BF$823,Input!$J284,0)</f>
        <v>0</v>
      </c>
      <c r="BH863" s="483">
        <f>IF(Input!$H284&lt;=Calcs!BG$823,Input!$J284,0)</f>
        <v>0</v>
      </c>
      <c r="BI863" s="483">
        <f>IF(Input!$H284&lt;=Calcs!BH$823,Input!$J284,0)</f>
        <v>0</v>
      </c>
      <c r="BJ863" s="483">
        <f>IF(Input!$H284&lt;=Calcs!BI$823,Input!$J284,0)</f>
        <v>0</v>
      </c>
      <c r="BK863" s="483">
        <f>IF(Input!$H284&lt;=Calcs!BJ$823,Input!$J284,0)</f>
        <v>0</v>
      </c>
      <c r="BL863" s="483">
        <f>IF(Input!$H284&lt;=Calcs!BK$823,Input!$J284,0)</f>
        <v>0</v>
      </c>
      <c r="BM863" s="483">
        <f>IF(Input!$H284&lt;=Calcs!BL$823,Input!$J284,0)</f>
        <v>0</v>
      </c>
      <c r="BN863" s="483">
        <f>IF(Input!$H284&lt;=Calcs!BM$823,Input!$J284,0)</f>
        <v>0</v>
      </c>
      <c r="BO863" s="483">
        <f>IF(Input!$H284&lt;=Calcs!BN$823,Input!$J284,0)</f>
        <v>0</v>
      </c>
      <c r="BP863" s="483">
        <f>IF(Input!$H284&lt;=Calcs!BO$823,Input!$J284,0)</f>
        <v>0</v>
      </c>
      <c r="BQ863" s="483">
        <f>IF(Input!$H284&lt;=Calcs!BP$823,Input!$J284,0)</f>
        <v>0</v>
      </c>
      <c r="BR863" s="483">
        <f>IF(Input!$H284&lt;=Calcs!BQ$823,Input!$J284,0)</f>
        <v>0</v>
      </c>
      <c r="BS863" s="483">
        <f>IF(Input!$H284&lt;=Calcs!BR$823,Input!$J284,0)</f>
        <v>0</v>
      </c>
      <c r="BT863" s="483">
        <f>IF(Input!$H284&lt;=Calcs!BS$823,Input!$J284,0)</f>
        <v>0</v>
      </c>
      <c r="BU863" s="483">
        <f>IF(Input!$H284&lt;=Calcs!BT$823,Input!$J284,0)</f>
        <v>0</v>
      </c>
      <c r="BV863" s="483">
        <f>IF(Input!$H284&lt;=Calcs!BU$823,Input!$J284,0)</f>
        <v>0</v>
      </c>
      <c r="BW863" s="483">
        <f>IF(Input!$H284&lt;=Calcs!BV$823,Input!$J284,0)</f>
        <v>0</v>
      </c>
      <c r="BX863" s="483">
        <f>IF(Input!$H284&lt;=Calcs!BW$823,Input!$J284,0)</f>
        <v>0</v>
      </c>
      <c r="BY863" s="483">
        <f>IF(Input!$H284&lt;=Calcs!BX$823,Input!$J284,0)</f>
        <v>0</v>
      </c>
      <c r="BZ863" s="483">
        <f>IF(Input!$H284&lt;=Calcs!BY$823,Input!$J284,0)</f>
        <v>0</v>
      </c>
      <c r="CA863" s="483">
        <f>IF(Input!$H284&lt;=Calcs!BZ$823,Input!$J284,0)</f>
        <v>0</v>
      </c>
      <c r="CB863" s="483">
        <f>IF(Input!$H284&lt;=Calcs!CA$823,Input!$J284,0)</f>
        <v>0</v>
      </c>
      <c r="CC863" s="483">
        <f>IF(Input!$H284&lt;=Calcs!CB$823,Input!$J284,0)</f>
        <v>0</v>
      </c>
      <c r="CD863" s="483">
        <f>IF(Input!$H284&lt;=Calcs!CC$823,Input!$J284,0)</f>
        <v>0</v>
      </c>
      <c r="CE863" s="483">
        <f>IF(Input!$H284&lt;=Calcs!CD$823,Input!$J284,0)</f>
        <v>0</v>
      </c>
      <c r="CF863" s="483">
        <f>IF(Input!$H284&lt;=Calcs!CE$823,Input!$J284,0)</f>
        <v>0</v>
      </c>
      <c r="CG863" s="483">
        <f>IF(Input!$H284&lt;=Calcs!CF$823,Input!$J284,0)</f>
        <v>0</v>
      </c>
      <c r="CH863" s="483">
        <f>IF(Input!$H284&lt;=Calcs!CG$823,Input!$J284,0)</f>
        <v>0</v>
      </c>
      <c r="CI863" s="483">
        <f>IF(Input!$H284&lt;=Calcs!CH$823,Input!$J284,0)</f>
        <v>0</v>
      </c>
      <c r="CJ863" s="483">
        <f>IF(Input!$H284&lt;=Calcs!CI$823,Input!$J284,0)</f>
        <v>0</v>
      </c>
      <c r="CK863" s="483">
        <f>IF(Input!$H284&lt;=Calcs!CJ$823,Input!$J284,0)</f>
        <v>0</v>
      </c>
      <c r="CL863" s="483">
        <f>IF(Input!$H284&lt;=Calcs!CK$823,Input!$J284,0)</f>
        <v>0</v>
      </c>
      <c r="CM863" s="483">
        <f>IF(Input!$H284&lt;=Calcs!CL$823,Input!$J284,0)</f>
        <v>0</v>
      </c>
      <c r="CN863" s="483">
        <f>IF(Input!$H284&lt;=Calcs!CM$823,Input!$J284,0)</f>
        <v>0</v>
      </c>
      <c r="CO863" s="483">
        <f>IF(Input!$H284&lt;=Calcs!CN$823,Input!$J284,0)</f>
        <v>0</v>
      </c>
      <c r="CP863" s="483">
        <f>IF(Input!$H284&lt;=Calcs!CO$823,Input!$J284,0)</f>
        <v>0</v>
      </c>
      <c r="CQ863" s="1143">
        <f>IF(Input!$H284&lt;=Calcs!CP$823,Input!$J284,0)</f>
        <v>0</v>
      </c>
      <c r="CR863" s="1143">
        <f>IF(Input!$H284&lt;=Calcs!CQ$823,Input!$J284,0)</f>
        <v>0</v>
      </c>
      <c r="CS863" s="1143">
        <f>IF(Input!$H284&lt;=Calcs!CR$823,Input!$J284,0)</f>
        <v>0</v>
      </c>
      <c r="CT863" s="1143">
        <f>IF(Input!$H284&lt;=Calcs!CS$823,Input!$J284,0)</f>
        <v>0</v>
      </c>
      <c r="CU863" s="1143">
        <f>IF(Input!$H284&lt;=Calcs!CT$823,Input!$J284,0)</f>
        <v>0</v>
      </c>
      <c r="CV863" s="1143">
        <f>IF(Input!$H284&lt;=Calcs!CU$823,Input!$J284,0)</f>
        <v>0</v>
      </c>
      <c r="CW863" s="1143">
        <f>IF(Input!$H284&lt;=Calcs!CV$823,Input!$J284,0)</f>
        <v>0</v>
      </c>
      <c r="CX863" s="1143">
        <f>IF(Input!$H284&lt;=Calcs!CW$823,Input!$J284,0)</f>
        <v>0</v>
      </c>
      <c r="CY863" s="1143">
        <f>IF(Input!$H284&lt;=Calcs!CX$823,Input!$J284,0)</f>
        <v>0</v>
      </c>
      <c r="CZ863" s="1143">
        <f>IF(Input!$H284&lt;=Calcs!CY$823,Input!$J284,0)</f>
        <v>0</v>
      </c>
      <c r="DA863" s="1143">
        <f>IF(Input!$H284&lt;=Calcs!CZ$823,Input!$J284,0)</f>
        <v>0</v>
      </c>
      <c r="DB863" s="1143">
        <f>IF(Input!$H284&lt;=Calcs!DA$823,Input!$J284,0)</f>
        <v>0</v>
      </c>
      <c r="DC863" s="1143">
        <f>IF(Input!$H284&lt;=Calcs!DB$823,Input!$J284,0)</f>
        <v>0</v>
      </c>
      <c r="DD863" s="1143">
        <f>IF(Input!$H284&lt;=Calcs!DC$823,Input!$J284,0)</f>
        <v>0</v>
      </c>
      <c r="DE863" s="1143">
        <f>IF(Input!$H284&lt;=Calcs!DD$823,Input!$J284,0)</f>
        <v>0</v>
      </c>
      <c r="DF863" s="1143">
        <f>IF(Input!$H284&lt;=Calcs!DE$823,Input!$J284,0)</f>
        <v>0</v>
      </c>
      <c r="DG863" s="1143">
        <f>IF(Input!$H284&lt;=Calcs!DF$823,Input!$J284,0)</f>
        <v>0</v>
      </c>
      <c r="DH863" s="1143">
        <f>IF(Input!$H284&lt;=Calcs!DG$823,Input!$J284,0)</f>
        <v>0</v>
      </c>
      <c r="DI863" s="1143">
        <f>IF(Input!$H284&lt;=Calcs!DH$823,Input!$J284,0)</f>
        <v>0</v>
      </c>
      <c r="DJ863" s="1143">
        <f>IF(Input!$H284&lt;=Calcs!DI$823,Input!$J284,0)</f>
        <v>0</v>
      </c>
      <c r="DK863" s="1143">
        <f>IF(Input!$H284&lt;=Calcs!DJ$823,Input!$J284,0)</f>
        <v>0</v>
      </c>
      <c r="DL863" s="1143">
        <f>IF(Input!$H284&lt;=Calcs!DK$823,Input!$J284,0)</f>
        <v>0</v>
      </c>
      <c r="DM863" s="1143">
        <f>IF(Input!$H284&lt;=Calcs!DL$823,Input!$J284,0)</f>
        <v>0</v>
      </c>
      <c r="DN863" s="1143">
        <f>IF(Input!$H284&lt;=Calcs!DM$823,Input!$J284,0)</f>
        <v>0</v>
      </c>
      <c r="DO863" s="1143">
        <f>IF(Input!$H284&lt;=Calcs!DN$823,Input!$J284,0)</f>
        <v>0</v>
      </c>
      <c r="DP863" s="1143">
        <f>IF(Input!$H284&lt;=Calcs!DO$823,Input!$J284,0)</f>
        <v>0</v>
      </c>
      <c r="DQ863" s="1143">
        <f>IF(Input!$H284&lt;=Calcs!DP$823,Input!$J284,0)</f>
        <v>0</v>
      </c>
      <c r="DR863" s="364">
        <f>IF(Input!$H284&lt;=Calcs!DQ$823,Input!$J284,0)</f>
        <v>0</v>
      </c>
      <c r="DS863" s="364">
        <f>IF(Input!$H284&lt;=Calcs!DR$823,Input!$J284,0)</f>
        <v>0</v>
      </c>
      <c r="DT863" s="364">
        <f>IF(Input!$H284&lt;=Calcs!DS$823,Input!$J284,0)</f>
        <v>0</v>
      </c>
      <c r="DU863" s="364">
        <f>IF(Input!$H284&lt;=Calcs!DT$823,Input!$J284,0)</f>
        <v>0</v>
      </c>
      <c r="DV863" s="364">
        <f>IF(Input!$H284&lt;=Calcs!DU$823,Input!$J284,0)</f>
        <v>0</v>
      </c>
      <c r="DW863" s="364">
        <f>IF(Input!$H284&lt;=Calcs!DV$823,Input!$J284,0)</f>
        <v>0</v>
      </c>
      <c r="DX863" s="364">
        <f>IF(Input!$H284&lt;=Calcs!DW$823,Input!$J284,0)</f>
        <v>0</v>
      </c>
      <c r="DY863" s="364">
        <f>IF(Input!$H284&lt;=Calcs!DX$823,Input!$J284,0)</f>
        <v>0</v>
      </c>
      <c r="DZ863" s="364">
        <f>IF(Input!$H284&lt;=Calcs!DY$823,Input!$J284,0)</f>
        <v>0</v>
      </c>
      <c r="EA863" s="364">
        <f>IF(Input!$H284&lt;=Calcs!DZ$823,Input!$J284,0)</f>
        <v>0</v>
      </c>
      <c r="EB863" s="364">
        <f>IF(Input!$H284&lt;=Calcs!EA$823,Input!$J284,0)</f>
        <v>0</v>
      </c>
      <c r="EC863" s="364">
        <f>IF(Input!$H284&lt;=Calcs!EB$823,Input!$J284,0)</f>
        <v>0</v>
      </c>
      <c r="ED863" s="364">
        <f>IF(Input!$H284&lt;=Calcs!EC$823,Input!$J284,0)</f>
        <v>0</v>
      </c>
      <c r="EE863" s="364">
        <f>IF(Input!$H284&lt;=Calcs!ED$823,Input!$J284,0)</f>
        <v>0</v>
      </c>
      <c r="EF863" s="364">
        <f>IF(Input!$H284&lt;=Calcs!EE$823,Input!$J284,0)</f>
        <v>0</v>
      </c>
      <c r="EG863" s="364">
        <f>IF(Input!$H284&lt;=Calcs!EF$823,Input!$J284,0)</f>
        <v>0</v>
      </c>
      <c r="EH863" s="364">
        <f>IF(Input!$H284&lt;=Calcs!EG$823,Input!$J284,0)</f>
        <v>0</v>
      </c>
      <c r="EI863" s="364">
        <f>IF(Input!$H284&lt;=Calcs!EH$823,Input!$J284,0)</f>
        <v>0</v>
      </c>
      <c r="EJ863" s="364">
        <f>IF(Input!$H284&lt;=Calcs!EI$823,Input!$J284,0)</f>
        <v>0</v>
      </c>
      <c r="EK863" s="364">
        <f>IF(Input!$H284&lt;=Calcs!EJ$823,Input!$J284,0)</f>
        <v>0</v>
      </c>
      <c r="EL863" s="364">
        <f>IF(Input!$H284&lt;=Calcs!EK$823,Input!$J284,0)</f>
        <v>0</v>
      </c>
      <c r="EM863" s="364">
        <f>IF(Input!$H284&lt;=Calcs!EL$823,Input!$J284,0)</f>
        <v>0</v>
      </c>
      <c r="EN863" s="364">
        <f>IF(Input!$H284&lt;=Calcs!EM$823,Input!$J284,0)</f>
        <v>0</v>
      </c>
      <c r="EO863" s="364">
        <f>IF(Input!$H284&lt;=Calcs!EN$823,Input!$J284,0)</f>
        <v>0</v>
      </c>
      <c r="EP863" s="364">
        <f>IF(Input!$H284&lt;=Calcs!EO$823,Input!$J284,0)</f>
        <v>0</v>
      </c>
      <c r="EQ863" s="364">
        <f>IF(Input!$H284&lt;=Calcs!EP$823,Input!$J284,0)</f>
        <v>0</v>
      </c>
      <c r="ER863" s="364">
        <f>IF(Input!$H284&lt;=Calcs!EQ$823,Input!$J284,0)</f>
        <v>0</v>
      </c>
      <c r="ES863" s="364">
        <f>IF(Input!$H284&lt;=Calcs!ER$823,Input!$J284,0)</f>
        <v>0</v>
      </c>
      <c r="ET863" s="364">
        <f>IF(Input!$H284&lt;=Calcs!ES$823,Input!$J284,0)</f>
        <v>0</v>
      </c>
      <c r="EU863" s="364">
        <f>IF(Input!$H284&lt;=Calcs!ET$823,Input!$J284,0)</f>
        <v>0</v>
      </c>
      <c r="EV863" s="364">
        <f>IF(Input!$H284&lt;=Calcs!EU$823,Input!$J284,0)</f>
        <v>0</v>
      </c>
    </row>
    <row r="864" spans="11:152" ht="12" customHeight="1" x14ac:dyDescent="0.35">
      <c r="K864" s="28"/>
      <c r="L864" s="28"/>
      <c r="M864" s="28"/>
      <c r="N864" s="28"/>
      <c r="O864" s="28"/>
      <c r="P864" s="28"/>
      <c r="Q864" s="28"/>
      <c r="R864" s="31"/>
      <c r="S864" s="36"/>
      <c r="T864" s="26"/>
      <c r="U864" s="29"/>
      <c r="V864" s="29"/>
      <c r="W864" s="377"/>
      <c r="X864" s="376"/>
      <c r="Y864" s="29"/>
      <c r="Z864" s="29"/>
      <c r="AA864" s="29"/>
      <c r="AB864" s="29"/>
      <c r="AC864" s="29">
        <f t="shared" si="622"/>
        <v>7</v>
      </c>
      <c r="AD864" s="1804"/>
      <c r="AE864" s="376" t="str">
        <f t="shared" si="623"/>
        <v>Investor #7</v>
      </c>
      <c r="AF864" s="763">
        <f>Input!G285</f>
        <v>0</v>
      </c>
      <c r="AG864" s="483">
        <f>IF(Input!$H285&lt;=Calcs!AF$823,Input!$J285,0)</f>
        <v>0</v>
      </c>
      <c r="AH864" s="483">
        <f>IF(Input!$H285&lt;=Calcs!AG$823,Input!$J285,0)</f>
        <v>0</v>
      </c>
      <c r="AI864" s="483">
        <f>IF(Input!$H285&lt;=Calcs!AH$823,Input!$J285,0)</f>
        <v>0</v>
      </c>
      <c r="AJ864" s="483">
        <f>IF(Input!$H285&lt;=Calcs!AI$823,Input!$J285,0)</f>
        <v>0</v>
      </c>
      <c r="AK864" s="483">
        <f>IF(Input!$H285&lt;=Calcs!AJ$823,Input!$J285,0)</f>
        <v>0</v>
      </c>
      <c r="AL864" s="483">
        <f>IF(Input!$H285&lt;=Calcs!AK$823,Input!$J285,0)</f>
        <v>0</v>
      </c>
      <c r="AM864" s="483">
        <f>IF(Input!$H285&lt;=Calcs!AL$823,Input!$J285,0)</f>
        <v>0</v>
      </c>
      <c r="AN864" s="483">
        <f>IF(Input!$H285&lt;=Calcs!AM$823,Input!$J285,0)</f>
        <v>0</v>
      </c>
      <c r="AO864" s="483">
        <f>IF(Input!$H285&lt;=Calcs!AN$823,Input!$J285,0)</f>
        <v>0</v>
      </c>
      <c r="AP864" s="483">
        <f>IF(Input!$H285&lt;=Calcs!AO$823,Input!$J285,0)</f>
        <v>0</v>
      </c>
      <c r="AQ864" s="483">
        <f>IF(Input!$H285&lt;=Calcs!AP$823,Input!$J285,0)</f>
        <v>0</v>
      </c>
      <c r="AR864" s="483">
        <f>IF(Input!$H285&lt;=Calcs!AQ$823,Input!$J285,0)</f>
        <v>0</v>
      </c>
      <c r="AS864" s="483">
        <f>IF(Input!$H285&lt;=Calcs!AR$823,Input!$J285,0)</f>
        <v>0</v>
      </c>
      <c r="AT864" s="483">
        <f>IF(Input!$H285&lt;=Calcs!AS$823,Input!$J285,0)</f>
        <v>0</v>
      </c>
      <c r="AU864" s="483">
        <f>IF(Input!$H285&lt;=Calcs!AT$823,Input!$J285,0)</f>
        <v>0</v>
      </c>
      <c r="AV864" s="483">
        <f>IF(Input!$H285&lt;=Calcs!AU$823,Input!$J285,0)</f>
        <v>0</v>
      </c>
      <c r="AW864" s="483">
        <f>IF(Input!$H285&lt;=Calcs!AV$823,Input!$J285,0)</f>
        <v>0</v>
      </c>
      <c r="AX864" s="483">
        <f>IF(Input!$H285&lt;=Calcs!AW$823,Input!$J285,0)</f>
        <v>0</v>
      </c>
      <c r="AY864" s="483">
        <f>IF(Input!$H285&lt;=Calcs!AX$823,Input!$J285,0)</f>
        <v>0</v>
      </c>
      <c r="AZ864" s="483">
        <f>IF(Input!$H285&lt;=Calcs!AY$823,Input!$J285,0)</f>
        <v>0</v>
      </c>
      <c r="BA864" s="483">
        <f>IF(Input!$H285&lt;=Calcs!AZ$823,Input!$J285,0)</f>
        <v>0</v>
      </c>
      <c r="BB864" s="483">
        <f>IF(Input!$H285&lt;=Calcs!BA$823,Input!$J285,0)</f>
        <v>0</v>
      </c>
      <c r="BC864" s="483">
        <f>IF(Input!$H285&lt;=Calcs!BB$823,Input!$J285,0)</f>
        <v>0</v>
      </c>
      <c r="BD864" s="483">
        <f>IF(Input!$H285&lt;=Calcs!BC$823,Input!$J285,0)</f>
        <v>0</v>
      </c>
      <c r="BE864" s="483">
        <f>IF(Input!$H285&lt;=Calcs!BD$823,Input!$J285,0)</f>
        <v>0</v>
      </c>
      <c r="BF864" s="483">
        <f>IF(Input!$H285&lt;=Calcs!BE$823,Input!$J285,0)</f>
        <v>0</v>
      </c>
      <c r="BG864" s="483">
        <f>IF(Input!$H285&lt;=Calcs!BF$823,Input!$J285,0)</f>
        <v>0</v>
      </c>
      <c r="BH864" s="483">
        <f>IF(Input!$H285&lt;=Calcs!BG$823,Input!$J285,0)</f>
        <v>0</v>
      </c>
      <c r="BI864" s="483">
        <f>IF(Input!$H285&lt;=Calcs!BH$823,Input!$J285,0)</f>
        <v>0</v>
      </c>
      <c r="BJ864" s="483">
        <f>IF(Input!$H285&lt;=Calcs!BI$823,Input!$J285,0)</f>
        <v>0</v>
      </c>
      <c r="BK864" s="483">
        <f>IF(Input!$H285&lt;=Calcs!BJ$823,Input!$J285,0)</f>
        <v>0</v>
      </c>
      <c r="BL864" s="483">
        <f>IF(Input!$H285&lt;=Calcs!BK$823,Input!$J285,0)</f>
        <v>0</v>
      </c>
      <c r="BM864" s="483">
        <f>IF(Input!$H285&lt;=Calcs!BL$823,Input!$J285,0)</f>
        <v>0</v>
      </c>
      <c r="BN864" s="483">
        <f>IF(Input!$H285&lt;=Calcs!BM$823,Input!$J285,0)</f>
        <v>0</v>
      </c>
      <c r="BO864" s="483">
        <f>IF(Input!$H285&lt;=Calcs!BN$823,Input!$J285,0)</f>
        <v>0</v>
      </c>
      <c r="BP864" s="483">
        <f>IF(Input!$H285&lt;=Calcs!BO$823,Input!$J285,0)</f>
        <v>0</v>
      </c>
      <c r="BQ864" s="483">
        <f>IF(Input!$H285&lt;=Calcs!BP$823,Input!$J285,0)</f>
        <v>0</v>
      </c>
      <c r="BR864" s="483">
        <f>IF(Input!$H285&lt;=Calcs!BQ$823,Input!$J285,0)</f>
        <v>0</v>
      </c>
      <c r="BS864" s="483">
        <f>IF(Input!$H285&lt;=Calcs!BR$823,Input!$J285,0)</f>
        <v>0</v>
      </c>
      <c r="BT864" s="483">
        <f>IF(Input!$H285&lt;=Calcs!BS$823,Input!$J285,0)</f>
        <v>0</v>
      </c>
      <c r="BU864" s="483">
        <f>IF(Input!$H285&lt;=Calcs!BT$823,Input!$J285,0)</f>
        <v>0</v>
      </c>
      <c r="BV864" s="483">
        <f>IF(Input!$H285&lt;=Calcs!BU$823,Input!$J285,0)</f>
        <v>0</v>
      </c>
      <c r="BW864" s="483">
        <f>IF(Input!$H285&lt;=Calcs!BV$823,Input!$J285,0)</f>
        <v>0</v>
      </c>
      <c r="BX864" s="483">
        <f>IF(Input!$H285&lt;=Calcs!BW$823,Input!$J285,0)</f>
        <v>0</v>
      </c>
      <c r="BY864" s="483">
        <f>IF(Input!$H285&lt;=Calcs!BX$823,Input!$J285,0)</f>
        <v>0</v>
      </c>
      <c r="BZ864" s="483">
        <f>IF(Input!$H285&lt;=Calcs!BY$823,Input!$J285,0)</f>
        <v>0</v>
      </c>
      <c r="CA864" s="483">
        <f>IF(Input!$H285&lt;=Calcs!BZ$823,Input!$J285,0)</f>
        <v>0</v>
      </c>
      <c r="CB864" s="483">
        <f>IF(Input!$H285&lt;=Calcs!CA$823,Input!$J285,0)</f>
        <v>0</v>
      </c>
      <c r="CC864" s="483">
        <f>IF(Input!$H285&lt;=Calcs!CB$823,Input!$J285,0)</f>
        <v>0</v>
      </c>
      <c r="CD864" s="483">
        <f>IF(Input!$H285&lt;=Calcs!CC$823,Input!$J285,0)</f>
        <v>0</v>
      </c>
      <c r="CE864" s="483">
        <f>IF(Input!$H285&lt;=Calcs!CD$823,Input!$J285,0)</f>
        <v>0</v>
      </c>
      <c r="CF864" s="483">
        <f>IF(Input!$H285&lt;=Calcs!CE$823,Input!$J285,0)</f>
        <v>0</v>
      </c>
      <c r="CG864" s="483">
        <f>IF(Input!$H285&lt;=Calcs!CF$823,Input!$J285,0)</f>
        <v>0</v>
      </c>
      <c r="CH864" s="483">
        <f>IF(Input!$H285&lt;=Calcs!CG$823,Input!$J285,0)</f>
        <v>0</v>
      </c>
      <c r="CI864" s="483">
        <f>IF(Input!$H285&lt;=Calcs!CH$823,Input!$J285,0)</f>
        <v>0</v>
      </c>
      <c r="CJ864" s="483">
        <f>IF(Input!$H285&lt;=Calcs!CI$823,Input!$J285,0)</f>
        <v>0</v>
      </c>
      <c r="CK864" s="483">
        <f>IF(Input!$H285&lt;=Calcs!CJ$823,Input!$J285,0)</f>
        <v>0</v>
      </c>
      <c r="CL864" s="483">
        <f>IF(Input!$H285&lt;=Calcs!CK$823,Input!$J285,0)</f>
        <v>0</v>
      </c>
      <c r="CM864" s="483">
        <f>IF(Input!$H285&lt;=Calcs!CL$823,Input!$J285,0)</f>
        <v>0</v>
      </c>
      <c r="CN864" s="483">
        <f>IF(Input!$H285&lt;=Calcs!CM$823,Input!$J285,0)</f>
        <v>0</v>
      </c>
      <c r="CO864" s="483">
        <f>IF(Input!$H285&lt;=Calcs!CN$823,Input!$J285,0)</f>
        <v>0</v>
      </c>
      <c r="CP864" s="483">
        <f>IF(Input!$H285&lt;=Calcs!CO$823,Input!$J285,0)</f>
        <v>0</v>
      </c>
      <c r="CQ864" s="1143">
        <f>IF(Input!$H285&lt;=Calcs!CP$823,Input!$J285,0)</f>
        <v>0</v>
      </c>
      <c r="CR864" s="1143">
        <f>IF(Input!$H285&lt;=Calcs!CQ$823,Input!$J285,0)</f>
        <v>0</v>
      </c>
      <c r="CS864" s="1143">
        <f>IF(Input!$H285&lt;=Calcs!CR$823,Input!$J285,0)</f>
        <v>0</v>
      </c>
      <c r="CT864" s="1143">
        <f>IF(Input!$H285&lt;=Calcs!CS$823,Input!$J285,0)</f>
        <v>0</v>
      </c>
      <c r="CU864" s="1143">
        <f>IF(Input!$H285&lt;=Calcs!CT$823,Input!$J285,0)</f>
        <v>0</v>
      </c>
      <c r="CV864" s="1143">
        <f>IF(Input!$H285&lt;=Calcs!CU$823,Input!$J285,0)</f>
        <v>0</v>
      </c>
      <c r="CW864" s="1143">
        <f>IF(Input!$H285&lt;=Calcs!CV$823,Input!$J285,0)</f>
        <v>0</v>
      </c>
      <c r="CX864" s="1143">
        <f>IF(Input!$H285&lt;=Calcs!CW$823,Input!$J285,0)</f>
        <v>0</v>
      </c>
      <c r="CY864" s="1143">
        <f>IF(Input!$H285&lt;=Calcs!CX$823,Input!$J285,0)</f>
        <v>0</v>
      </c>
      <c r="CZ864" s="1143">
        <f>IF(Input!$H285&lt;=Calcs!CY$823,Input!$J285,0)</f>
        <v>0</v>
      </c>
      <c r="DA864" s="1143">
        <f>IF(Input!$H285&lt;=Calcs!CZ$823,Input!$J285,0)</f>
        <v>0</v>
      </c>
      <c r="DB864" s="1143">
        <f>IF(Input!$H285&lt;=Calcs!DA$823,Input!$J285,0)</f>
        <v>0</v>
      </c>
      <c r="DC864" s="1143">
        <f>IF(Input!$H285&lt;=Calcs!DB$823,Input!$J285,0)</f>
        <v>0</v>
      </c>
      <c r="DD864" s="1143">
        <f>IF(Input!$H285&lt;=Calcs!DC$823,Input!$J285,0)</f>
        <v>0</v>
      </c>
      <c r="DE864" s="1143">
        <f>IF(Input!$H285&lt;=Calcs!DD$823,Input!$J285,0)</f>
        <v>0</v>
      </c>
      <c r="DF864" s="1143">
        <f>IF(Input!$H285&lt;=Calcs!DE$823,Input!$J285,0)</f>
        <v>0</v>
      </c>
      <c r="DG864" s="1143">
        <f>IF(Input!$H285&lt;=Calcs!DF$823,Input!$J285,0)</f>
        <v>0</v>
      </c>
      <c r="DH864" s="1143">
        <f>IF(Input!$H285&lt;=Calcs!DG$823,Input!$J285,0)</f>
        <v>0</v>
      </c>
      <c r="DI864" s="1143">
        <f>IF(Input!$H285&lt;=Calcs!DH$823,Input!$J285,0)</f>
        <v>0</v>
      </c>
      <c r="DJ864" s="1143">
        <f>IF(Input!$H285&lt;=Calcs!DI$823,Input!$J285,0)</f>
        <v>0</v>
      </c>
      <c r="DK864" s="1143">
        <f>IF(Input!$H285&lt;=Calcs!DJ$823,Input!$J285,0)</f>
        <v>0</v>
      </c>
      <c r="DL864" s="1143">
        <f>IF(Input!$H285&lt;=Calcs!DK$823,Input!$J285,0)</f>
        <v>0</v>
      </c>
      <c r="DM864" s="1143">
        <f>IF(Input!$H285&lt;=Calcs!DL$823,Input!$J285,0)</f>
        <v>0</v>
      </c>
      <c r="DN864" s="1143">
        <f>IF(Input!$H285&lt;=Calcs!DM$823,Input!$J285,0)</f>
        <v>0</v>
      </c>
      <c r="DO864" s="1143">
        <f>IF(Input!$H285&lt;=Calcs!DN$823,Input!$J285,0)</f>
        <v>0</v>
      </c>
      <c r="DP864" s="1143">
        <f>IF(Input!$H285&lt;=Calcs!DO$823,Input!$J285,0)</f>
        <v>0</v>
      </c>
      <c r="DQ864" s="1143">
        <f>IF(Input!$H285&lt;=Calcs!DP$823,Input!$J285,0)</f>
        <v>0</v>
      </c>
      <c r="DR864" s="364">
        <f>IF(Input!$H285&lt;=Calcs!DQ$823,Input!$J285,0)</f>
        <v>0</v>
      </c>
      <c r="DS864" s="364">
        <f>IF(Input!$H285&lt;=Calcs!DR$823,Input!$J285,0)</f>
        <v>0</v>
      </c>
      <c r="DT864" s="364">
        <f>IF(Input!$H285&lt;=Calcs!DS$823,Input!$J285,0)</f>
        <v>0</v>
      </c>
      <c r="DU864" s="364">
        <f>IF(Input!$H285&lt;=Calcs!DT$823,Input!$J285,0)</f>
        <v>0</v>
      </c>
      <c r="DV864" s="364">
        <f>IF(Input!$H285&lt;=Calcs!DU$823,Input!$J285,0)</f>
        <v>0</v>
      </c>
      <c r="DW864" s="364">
        <f>IF(Input!$H285&lt;=Calcs!DV$823,Input!$J285,0)</f>
        <v>0</v>
      </c>
      <c r="DX864" s="364">
        <f>IF(Input!$H285&lt;=Calcs!DW$823,Input!$J285,0)</f>
        <v>0</v>
      </c>
      <c r="DY864" s="364">
        <f>IF(Input!$H285&lt;=Calcs!DX$823,Input!$J285,0)</f>
        <v>0</v>
      </c>
      <c r="DZ864" s="364">
        <f>IF(Input!$H285&lt;=Calcs!DY$823,Input!$J285,0)</f>
        <v>0</v>
      </c>
      <c r="EA864" s="364">
        <f>IF(Input!$H285&lt;=Calcs!DZ$823,Input!$J285,0)</f>
        <v>0</v>
      </c>
      <c r="EB864" s="364">
        <f>IF(Input!$H285&lt;=Calcs!EA$823,Input!$J285,0)</f>
        <v>0</v>
      </c>
      <c r="EC864" s="364">
        <f>IF(Input!$H285&lt;=Calcs!EB$823,Input!$J285,0)</f>
        <v>0</v>
      </c>
      <c r="ED864" s="364">
        <f>IF(Input!$H285&lt;=Calcs!EC$823,Input!$J285,0)</f>
        <v>0</v>
      </c>
      <c r="EE864" s="364">
        <f>IF(Input!$H285&lt;=Calcs!ED$823,Input!$J285,0)</f>
        <v>0</v>
      </c>
      <c r="EF864" s="364">
        <f>IF(Input!$H285&lt;=Calcs!EE$823,Input!$J285,0)</f>
        <v>0</v>
      </c>
      <c r="EG864" s="364">
        <f>IF(Input!$H285&lt;=Calcs!EF$823,Input!$J285,0)</f>
        <v>0</v>
      </c>
      <c r="EH864" s="364">
        <f>IF(Input!$H285&lt;=Calcs!EG$823,Input!$J285,0)</f>
        <v>0</v>
      </c>
      <c r="EI864" s="364">
        <f>IF(Input!$H285&lt;=Calcs!EH$823,Input!$J285,0)</f>
        <v>0</v>
      </c>
      <c r="EJ864" s="364">
        <f>IF(Input!$H285&lt;=Calcs!EI$823,Input!$J285,0)</f>
        <v>0</v>
      </c>
      <c r="EK864" s="364">
        <f>IF(Input!$H285&lt;=Calcs!EJ$823,Input!$J285,0)</f>
        <v>0</v>
      </c>
      <c r="EL864" s="364">
        <f>IF(Input!$H285&lt;=Calcs!EK$823,Input!$J285,0)</f>
        <v>0</v>
      </c>
      <c r="EM864" s="364">
        <f>IF(Input!$H285&lt;=Calcs!EL$823,Input!$J285,0)</f>
        <v>0</v>
      </c>
      <c r="EN864" s="364">
        <f>IF(Input!$H285&lt;=Calcs!EM$823,Input!$J285,0)</f>
        <v>0</v>
      </c>
      <c r="EO864" s="364">
        <f>IF(Input!$H285&lt;=Calcs!EN$823,Input!$J285,0)</f>
        <v>0</v>
      </c>
      <c r="EP864" s="364">
        <f>IF(Input!$H285&lt;=Calcs!EO$823,Input!$J285,0)</f>
        <v>0</v>
      </c>
      <c r="EQ864" s="364">
        <f>IF(Input!$H285&lt;=Calcs!EP$823,Input!$J285,0)</f>
        <v>0</v>
      </c>
      <c r="ER864" s="364">
        <f>IF(Input!$H285&lt;=Calcs!EQ$823,Input!$J285,0)</f>
        <v>0</v>
      </c>
      <c r="ES864" s="364">
        <f>IF(Input!$H285&lt;=Calcs!ER$823,Input!$J285,0)</f>
        <v>0</v>
      </c>
      <c r="ET864" s="364">
        <f>IF(Input!$H285&lt;=Calcs!ES$823,Input!$J285,0)</f>
        <v>0</v>
      </c>
      <c r="EU864" s="364">
        <f>IF(Input!$H285&lt;=Calcs!ET$823,Input!$J285,0)</f>
        <v>0</v>
      </c>
      <c r="EV864" s="364">
        <f>IF(Input!$H285&lt;=Calcs!EU$823,Input!$J285,0)</f>
        <v>0</v>
      </c>
    </row>
    <row r="865" spans="1:152" s="12" customFormat="1" ht="12" customHeight="1" x14ac:dyDescent="0.35">
      <c r="A865" s="84"/>
      <c r="B865" s="13"/>
      <c r="C865" s="13"/>
      <c r="D865" s="13"/>
      <c r="E865" s="13"/>
      <c r="F865" s="13"/>
      <c r="G865" s="1804"/>
      <c r="H865" s="1183"/>
      <c r="I865" s="1804"/>
      <c r="J865" s="1804"/>
      <c r="K865" s="141"/>
      <c r="L865" s="141"/>
      <c r="M865" s="141"/>
      <c r="N865" s="141"/>
      <c r="O865" s="141"/>
      <c r="P865" s="141"/>
      <c r="Q865" s="141"/>
      <c r="R865" s="31"/>
      <c r="S865" s="36"/>
      <c r="T865" s="376"/>
      <c r="U865" s="29"/>
      <c r="V865" s="29"/>
      <c r="W865" s="377"/>
      <c r="X865" s="376"/>
      <c r="Y865" s="29"/>
      <c r="Z865" s="29"/>
      <c r="AA865" s="29"/>
      <c r="AB865" s="29"/>
      <c r="AC865" s="29">
        <f t="shared" si="622"/>
        <v>8</v>
      </c>
      <c r="AD865" s="1804"/>
      <c r="AE865" s="376" t="str">
        <f t="shared" si="623"/>
        <v>Investor #8</v>
      </c>
      <c r="AF865" s="763">
        <f>Input!G286</f>
        <v>0</v>
      </c>
      <c r="AG865" s="483">
        <f>IF(Input!$H286&lt;=Calcs!AF$823,Input!$J286,0)</f>
        <v>0</v>
      </c>
      <c r="AH865" s="483">
        <f>IF(Input!$H286&lt;=Calcs!AG$823,Input!$J286,0)</f>
        <v>0</v>
      </c>
      <c r="AI865" s="483">
        <f>IF(Input!$H286&lt;=Calcs!AH$823,Input!$J286,0)</f>
        <v>0</v>
      </c>
      <c r="AJ865" s="483">
        <f>IF(Input!$H286&lt;=Calcs!AI$823,Input!$J286,0)</f>
        <v>0</v>
      </c>
      <c r="AK865" s="483">
        <f>IF(Input!$H286&lt;=Calcs!AJ$823,Input!$J286,0)</f>
        <v>0</v>
      </c>
      <c r="AL865" s="483">
        <f>IF(Input!$H286&lt;=Calcs!AK$823,Input!$J286,0)</f>
        <v>0</v>
      </c>
      <c r="AM865" s="483">
        <f>IF(Input!$H286&lt;=Calcs!AL$823,Input!$J286,0)</f>
        <v>0</v>
      </c>
      <c r="AN865" s="483">
        <f>IF(Input!$H286&lt;=Calcs!AM$823,Input!$J286,0)</f>
        <v>0</v>
      </c>
      <c r="AO865" s="483">
        <f>IF(Input!$H286&lt;=Calcs!AN$823,Input!$J286,0)</f>
        <v>0</v>
      </c>
      <c r="AP865" s="483">
        <f>IF(Input!$H286&lt;=Calcs!AO$823,Input!$J286,0)</f>
        <v>0</v>
      </c>
      <c r="AQ865" s="483">
        <f>IF(Input!$H286&lt;=Calcs!AP$823,Input!$J286,0)</f>
        <v>0</v>
      </c>
      <c r="AR865" s="483">
        <f>IF(Input!$H286&lt;=Calcs!AQ$823,Input!$J286,0)</f>
        <v>0</v>
      </c>
      <c r="AS865" s="483">
        <f>IF(Input!$H286&lt;=Calcs!AR$823,Input!$J286,0)</f>
        <v>0</v>
      </c>
      <c r="AT865" s="483">
        <f>IF(Input!$H286&lt;=Calcs!AS$823,Input!$J286,0)</f>
        <v>0</v>
      </c>
      <c r="AU865" s="483">
        <f>IF(Input!$H286&lt;=Calcs!AT$823,Input!$J286,0)</f>
        <v>0</v>
      </c>
      <c r="AV865" s="483">
        <f>IF(Input!$H286&lt;=Calcs!AU$823,Input!$J286,0)</f>
        <v>0</v>
      </c>
      <c r="AW865" s="483">
        <f>IF(Input!$H286&lt;=Calcs!AV$823,Input!$J286,0)</f>
        <v>0</v>
      </c>
      <c r="AX865" s="483">
        <f>IF(Input!$H286&lt;=Calcs!AW$823,Input!$J286,0)</f>
        <v>0</v>
      </c>
      <c r="AY865" s="483">
        <f>IF(Input!$H286&lt;=Calcs!AX$823,Input!$J286,0)</f>
        <v>0</v>
      </c>
      <c r="AZ865" s="483">
        <f>IF(Input!$H286&lt;=Calcs!AY$823,Input!$J286,0)</f>
        <v>0</v>
      </c>
      <c r="BA865" s="483">
        <f>IF(Input!$H286&lt;=Calcs!AZ$823,Input!$J286,0)</f>
        <v>0</v>
      </c>
      <c r="BB865" s="483">
        <f>IF(Input!$H286&lt;=Calcs!BA$823,Input!$J286,0)</f>
        <v>0</v>
      </c>
      <c r="BC865" s="483">
        <f>IF(Input!$H286&lt;=Calcs!BB$823,Input!$J286,0)</f>
        <v>0</v>
      </c>
      <c r="BD865" s="483">
        <f>IF(Input!$H286&lt;=Calcs!BC$823,Input!$J286,0)</f>
        <v>0</v>
      </c>
      <c r="BE865" s="483">
        <f>IF(Input!$H286&lt;=Calcs!BD$823,Input!$J286,0)</f>
        <v>0</v>
      </c>
      <c r="BF865" s="483">
        <f>IF(Input!$H286&lt;=Calcs!BE$823,Input!$J286,0)</f>
        <v>0</v>
      </c>
      <c r="BG865" s="483">
        <f>IF(Input!$H286&lt;=Calcs!BF$823,Input!$J286,0)</f>
        <v>0</v>
      </c>
      <c r="BH865" s="483">
        <f>IF(Input!$H286&lt;=Calcs!BG$823,Input!$J286,0)</f>
        <v>0</v>
      </c>
      <c r="BI865" s="483">
        <f>IF(Input!$H286&lt;=Calcs!BH$823,Input!$J286,0)</f>
        <v>0</v>
      </c>
      <c r="BJ865" s="483">
        <f>IF(Input!$H286&lt;=Calcs!BI$823,Input!$J286,0)</f>
        <v>0</v>
      </c>
      <c r="BK865" s="483">
        <f>IF(Input!$H286&lt;=Calcs!BJ$823,Input!$J286,0)</f>
        <v>0</v>
      </c>
      <c r="BL865" s="483">
        <f>IF(Input!$H286&lt;=Calcs!BK$823,Input!$J286,0)</f>
        <v>0</v>
      </c>
      <c r="BM865" s="483">
        <f>IF(Input!$H286&lt;=Calcs!BL$823,Input!$J286,0)</f>
        <v>0</v>
      </c>
      <c r="BN865" s="483">
        <f>IF(Input!$H286&lt;=Calcs!BM$823,Input!$J286,0)</f>
        <v>0</v>
      </c>
      <c r="BO865" s="483">
        <f>IF(Input!$H286&lt;=Calcs!BN$823,Input!$J286,0)</f>
        <v>0</v>
      </c>
      <c r="BP865" s="483">
        <f>IF(Input!$H286&lt;=Calcs!BO$823,Input!$J286,0)</f>
        <v>0</v>
      </c>
      <c r="BQ865" s="483">
        <f>IF(Input!$H286&lt;=Calcs!BP$823,Input!$J286,0)</f>
        <v>0</v>
      </c>
      <c r="BR865" s="483">
        <f>IF(Input!$H286&lt;=Calcs!BQ$823,Input!$J286,0)</f>
        <v>0</v>
      </c>
      <c r="BS865" s="483">
        <f>IF(Input!$H286&lt;=Calcs!BR$823,Input!$J286,0)</f>
        <v>0</v>
      </c>
      <c r="BT865" s="483">
        <f>IF(Input!$H286&lt;=Calcs!BS$823,Input!$J286,0)</f>
        <v>0</v>
      </c>
      <c r="BU865" s="483">
        <f>IF(Input!$H286&lt;=Calcs!BT$823,Input!$J286,0)</f>
        <v>0</v>
      </c>
      <c r="BV865" s="483">
        <f>IF(Input!$H286&lt;=Calcs!BU$823,Input!$J286,0)</f>
        <v>0</v>
      </c>
      <c r="BW865" s="483">
        <f>IF(Input!$H286&lt;=Calcs!BV$823,Input!$J286,0)</f>
        <v>0</v>
      </c>
      <c r="BX865" s="483">
        <f>IF(Input!$H286&lt;=Calcs!BW$823,Input!$J286,0)</f>
        <v>0</v>
      </c>
      <c r="BY865" s="483">
        <f>IF(Input!$H286&lt;=Calcs!BX$823,Input!$J286,0)</f>
        <v>0</v>
      </c>
      <c r="BZ865" s="483">
        <f>IF(Input!$H286&lt;=Calcs!BY$823,Input!$J286,0)</f>
        <v>0</v>
      </c>
      <c r="CA865" s="483">
        <f>IF(Input!$H286&lt;=Calcs!BZ$823,Input!$J286,0)</f>
        <v>0</v>
      </c>
      <c r="CB865" s="483">
        <f>IF(Input!$H286&lt;=Calcs!CA$823,Input!$J286,0)</f>
        <v>0</v>
      </c>
      <c r="CC865" s="483">
        <f>IF(Input!$H286&lt;=Calcs!CB$823,Input!$J286,0)</f>
        <v>0</v>
      </c>
      <c r="CD865" s="483">
        <f>IF(Input!$H286&lt;=Calcs!CC$823,Input!$J286,0)</f>
        <v>0</v>
      </c>
      <c r="CE865" s="483">
        <f>IF(Input!$H286&lt;=Calcs!CD$823,Input!$J286,0)</f>
        <v>0</v>
      </c>
      <c r="CF865" s="483">
        <f>IF(Input!$H286&lt;=Calcs!CE$823,Input!$J286,0)</f>
        <v>0</v>
      </c>
      <c r="CG865" s="483">
        <f>IF(Input!$H286&lt;=Calcs!CF$823,Input!$J286,0)</f>
        <v>0</v>
      </c>
      <c r="CH865" s="483">
        <f>IF(Input!$H286&lt;=Calcs!CG$823,Input!$J286,0)</f>
        <v>0</v>
      </c>
      <c r="CI865" s="483">
        <f>IF(Input!$H286&lt;=Calcs!CH$823,Input!$J286,0)</f>
        <v>0</v>
      </c>
      <c r="CJ865" s="483">
        <f>IF(Input!$H286&lt;=Calcs!CI$823,Input!$J286,0)</f>
        <v>0</v>
      </c>
      <c r="CK865" s="483">
        <f>IF(Input!$H286&lt;=Calcs!CJ$823,Input!$J286,0)</f>
        <v>0</v>
      </c>
      <c r="CL865" s="483">
        <f>IF(Input!$H286&lt;=Calcs!CK$823,Input!$J286,0)</f>
        <v>0</v>
      </c>
      <c r="CM865" s="483">
        <f>IF(Input!$H286&lt;=Calcs!CL$823,Input!$J286,0)</f>
        <v>0</v>
      </c>
      <c r="CN865" s="483">
        <f>IF(Input!$H286&lt;=Calcs!CM$823,Input!$J286,0)</f>
        <v>0</v>
      </c>
      <c r="CO865" s="483">
        <f>IF(Input!$H286&lt;=Calcs!CN$823,Input!$J286,0)</f>
        <v>0</v>
      </c>
      <c r="CP865" s="483">
        <f>IF(Input!$H286&lt;=Calcs!CO$823,Input!$J286,0)</f>
        <v>0</v>
      </c>
      <c r="CQ865" s="483">
        <f>IF(Input!$H286&lt;=Calcs!CP$823,Input!$J286,0)</f>
        <v>0</v>
      </c>
      <c r="CR865" s="483">
        <f>IF(Input!$H286&lt;=Calcs!CQ$823,Input!$J286,0)</f>
        <v>0</v>
      </c>
      <c r="CS865" s="483">
        <f>IF(Input!$H286&lt;=Calcs!CR$823,Input!$J286,0)</f>
        <v>0</v>
      </c>
      <c r="CT865" s="483">
        <f>IF(Input!$H286&lt;=Calcs!CS$823,Input!$J286,0)</f>
        <v>0</v>
      </c>
      <c r="CU865" s="483">
        <f>IF(Input!$H286&lt;=Calcs!CT$823,Input!$J286,0)</f>
        <v>0</v>
      </c>
      <c r="CV865" s="483">
        <f>IF(Input!$H286&lt;=Calcs!CU$823,Input!$J286,0)</f>
        <v>0</v>
      </c>
      <c r="CW865" s="483">
        <f>IF(Input!$H286&lt;=Calcs!CV$823,Input!$J286,0)</f>
        <v>0</v>
      </c>
      <c r="CX865" s="483">
        <f>IF(Input!$H286&lt;=Calcs!CW$823,Input!$J286,0)</f>
        <v>0</v>
      </c>
      <c r="CY865" s="483">
        <f>IF(Input!$H286&lt;=Calcs!CX$823,Input!$J286,0)</f>
        <v>0</v>
      </c>
      <c r="CZ865" s="483">
        <f>IF(Input!$H286&lt;=Calcs!CY$823,Input!$J286,0)</f>
        <v>0</v>
      </c>
      <c r="DA865" s="483">
        <f>IF(Input!$H286&lt;=Calcs!CZ$823,Input!$J286,0)</f>
        <v>0</v>
      </c>
      <c r="DB865" s="483">
        <f>IF(Input!$H286&lt;=Calcs!DA$823,Input!$J286,0)</f>
        <v>0</v>
      </c>
      <c r="DC865" s="483">
        <f>IF(Input!$H286&lt;=Calcs!DB$823,Input!$J286,0)</f>
        <v>0</v>
      </c>
      <c r="DD865" s="483">
        <f>IF(Input!$H286&lt;=Calcs!DC$823,Input!$J286,0)</f>
        <v>0</v>
      </c>
      <c r="DE865" s="483">
        <f>IF(Input!$H286&lt;=Calcs!DD$823,Input!$J286,0)</f>
        <v>0</v>
      </c>
      <c r="DF865" s="483">
        <f>IF(Input!$H286&lt;=Calcs!DE$823,Input!$J286,0)</f>
        <v>0</v>
      </c>
      <c r="DG865" s="483">
        <f>IF(Input!$H286&lt;=Calcs!DF$823,Input!$J286,0)</f>
        <v>0</v>
      </c>
      <c r="DH865" s="483">
        <f>IF(Input!$H286&lt;=Calcs!DG$823,Input!$J286,0)</f>
        <v>0</v>
      </c>
      <c r="DI865" s="483">
        <f>IF(Input!$H286&lt;=Calcs!DH$823,Input!$J286,0)</f>
        <v>0</v>
      </c>
      <c r="DJ865" s="483">
        <f>IF(Input!$H286&lt;=Calcs!DI$823,Input!$J286,0)</f>
        <v>0</v>
      </c>
      <c r="DK865" s="483">
        <f>IF(Input!$H286&lt;=Calcs!DJ$823,Input!$J286,0)</f>
        <v>0</v>
      </c>
      <c r="DL865" s="483">
        <f>IF(Input!$H286&lt;=Calcs!DK$823,Input!$J286,0)</f>
        <v>0</v>
      </c>
      <c r="DM865" s="483">
        <f>IF(Input!$H286&lt;=Calcs!DL$823,Input!$J286,0)</f>
        <v>0</v>
      </c>
      <c r="DN865" s="483">
        <f>IF(Input!$H286&lt;=Calcs!DM$823,Input!$J286,0)</f>
        <v>0</v>
      </c>
      <c r="DO865" s="483">
        <f>IF(Input!$H286&lt;=Calcs!DN$823,Input!$J286,0)</f>
        <v>0</v>
      </c>
      <c r="DP865" s="483">
        <f>IF(Input!$H286&lt;=Calcs!DO$823,Input!$J286,0)</f>
        <v>0</v>
      </c>
      <c r="DQ865" s="483">
        <f>IF(Input!$H286&lt;=Calcs!DP$823,Input!$J286,0)</f>
        <v>0</v>
      </c>
      <c r="DR865" s="378">
        <f>IF(Input!$H286&lt;=Calcs!DQ$823,Input!$J286,0)</f>
        <v>0</v>
      </c>
      <c r="DS865" s="378">
        <f>IF(Input!$H286&lt;=Calcs!DR$823,Input!$J286,0)</f>
        <v>0</v>
      </c>
      <c r="DT865" s="378">
        <f>IF(Input!$H286&lt;=Calcs!DS$823,Input!$J286,0)</f>
        <v>0</v>
      </c>
      <c r="DU865" s="378">
        <f>IF(Input!$H286&lt;=Calcs!DT$823,Input!$J286,0)</f>
        <v>0</v>
      </c>
      <c r="DV865" s="378">
        <f>IF(Input!$H286&lt;=Calcs!DU$823,Input!$J286,0)</f>
        <v>0</v>
      </c>
      <c r="DW865" s="378">
        <f>IF(Input!$H286&lt;=Calcs!DV$823,Input!$J286,0)</f>
        <v>0</v>
      </c>
      <c r="DX865" s="378">
        <f>IF(Input!$H286&lt;=Calcs!DW$823,Input!$J286,0)</f>
        <v>0</v>
      </c>
      <c r="DY865" s="378">
        <f>IF(Input!$H286&lt;=Calcs!DX$823,Input!$J286,0)</f>
        <v>0</v>
      </c>
      <c r="DZ865" s="378">
        <f>IF(Input!$H286&lt;=Calcs!DY$823,Input!$J286,0)</f>
        <v>0</v>
      </c>
      <c r="EA865" s="378">
        <f>IF(Input!$H286&lt;=Calcs!DZ$823,Input!$J286,0)</f>
        <v>0</v>
      </c>
      <c r="EB865" s="378">
        <f>IF(Input!$H286&lt;=Calcs!EA$823,Input!$J286,0)</f>
        <v>0</v>
      </c>
      <c r="EC865" s="378">
        <f>IF(Input!$H286&lt;=Calcs!EB$823,Input!$J286,0)</f>
        <v>0</v>
      </c>
      <c r="ED865" s="378">
        <f>IF(Input!$H286&lt;=Calcs!EC$823,Input!$J286,0)</f>
        <v>0</v>
      </c>
      <c r="EE865" s="378">
        <f>IF(Input!$H286&lt;=Calcs!ED$823,Input!$J286,0)</f>
        <v>0</v>
      </c>
      <c r="EF865" s="378">
        <f>IF(Input!$H286&lt;=Calcs!EE$823,Input!$J286,0)</f>
        <v>0</v>
      </c>
      <c r="EG865" s="378">
        <f>IF(Input!$H286&lt;=Calcs!EF$823,Input!$J286,0)</f>
        <v>0</v>
      </c>
      <c r="EH865" s="378">
        <f>IF(Input!$H286&lt;=Calcs!EG$823,Input!$J286,0)</f>
        <v>0</v>
      </c>
      <c r="EI865" s="378">
        <f>IF(Input!$H286&lt;=Calcs!EH$823,Input!$J286,0)</f>
        <v>0</v>
      </c>
      <c r="EJ865" s="378">
        <f>IF(Input!$H286&lt;=Calcs!EI$823,Input!$J286,0)</f>
        <v>0</v>
      </c>
      <c r="EK865" s="378">
        <f>IF(Input!$H286&lt;=Calcs!EJ$823,Input!$J286,0)</f>
        <v>0</v>
      </c>
      <c r="EL865" s="378">
        <f>IF(Input!$H286&lt;=Calcs!EK$823,Input!$J286,0)</f>
        <v>0</v>
      </c>
      <c r="EM865" s="378">
        <f>IF(Input!$H286&lt;=Calcs!EL$823,Input!$J286,0)</f>
        <v>0</v>
      </c>
      <c r="EN865" s="378">
        <f>IF(Input!$H286&lt;=Calcs!EM$823,Input!$J286,0)</f>
        <v>0</v>
      </c>
      <c r="EO865" s="378">
        <f>IF(Input!$H286&lt;=Calcs!EN$823,Input!$J286,0)</f>
        <v>0</v>
      </c>
      <c r="EP865" s="378">
        <f>IF(Input!$H286&lt;=Calcs!EO$823,Input!$J286,0)</f>
        <v>0</v>
      </c>
      <c r="EQ865" s="378">
        <f>IF(Input!$H286&lt;=Calcs!EP$823,Input!$J286,0)</f>
        <v>0</v>
      </c>
      <c r="ER865" s="378">
        <f>IF(Input!$H286&lt;=Calcs!EQ$823,Input!$J286,0)</f>
        <v>0</v>
      </c>
      <c r="ES865" s="378">
        <f>IF(Input!$H286&lt;=Calcs!ER$823,Input!$J286,0)</f>
        <v>0</v>
      </c>
      <c r="ET865" s="378">
        <f>IF(Input!$H286&lt;=Calcs!ES$823,Input!$J286,0)</f>
        <v>0</v>
      </c>
      <c r="EU865" s="378">
        <f>IF(Input!$H286&lt;=Calcs!ET$823,Input!$J286,0)</f>
        <v>0</v>
      </c>
      <c r="EV865" s="378">
        <f>IF(Input!$H286&lt;=Calcs!EU$823,Input!$J286,0)</f>
        <v>0</v>
      </c>
    </row>
    <row r="866" spans="1:152" s="12" customFormat="1" ht="12" customHeight="1" x14ac:dyDescent="0.35">
      <c r="A866" s="84"/>
      <c r="B866" s="13"/>
      <c r="C866" s="13"/>
      <c r="D866" s="13"/>
      <c r="E866" s="13"/>
      <c r="F866" s="13"/>
      <c r="G866" s="1804"/>
      <c r="H866" s="1183"/>
      <c r="I866" s="1804"/>
      <c r="J866" s="1804"/>
      <c r="K866" s="141"/>
      <c r="L866" s="141"/>
      <c r="M866" s="141"/>
      <c r="N866" s="141"/>
      <c r="O866" s="141"/>
      <c r="P866" s="141"/>
      <c r="Q866" s="141"/>
      <c r="R866" s="31"/>
      <c r="S866" s="36"/>
      <c r="T866" s="376"/>
      <c r="U866" s="29"/>
      <c r="V866" s="29"/>
      <c r="W866" s="377"/>
      <c r="X866" s="376"/>
      <c r="Y866" s="29"/>
      <c r="Z866" s="29"/>
      <c r="AA866" s="29"/>
      <c r="AB866" s="29"/>
      <c r="AC866" s="29">
        <f t="shared" si="622"/>
        <v>9</v>
      </c>
      <c r="AD866" s="1804"/>
      <c r="AE866" s="376" t="str">
        <f t="shared" si="623"/>
        <v>Investor #9</v>
      </c>
      <c r="AF866" s="763">
        <f>Input!G287</f>
        <v>0</v>
      </c>
      <c r="AG866" s="483">
        <f>IF(Input!$H287&lt;=Calcs!AF$823,Input!$J287,0)</f>
        <v>0</v>
      </c>
      <c r="AH866" s="483">
        <f>IF(Input!$H287&lt;=Calcs!AG$823,Input!$J287,0)</f>
        <v>0</v>
      </c>
      <c r="AI866" s="483">
        <f>IF(Input!$H287&lt;=Calcs!AH$823,Input!$J287,0)</f>
        <v>0</v>
      </c>
      <c r="AJ866" s="483">
        <f>IF(Input!$H287&lt;=Calcs!AI$823,Input!$J287,0)</f>
        <v>0</v>
      </c>
      <c r="AK866" s="483">
        <f>IF(Input!$H287&lt;=Calcs!AJ$823,Input!$J287,0)</f>
        <v>0</v>
      </c>
      <c r="AL866" s="483">
        <f>IF(Input!$H287&lt;=Calcs!AK$823,Input!$J287,0)</f>
        <v>0</v>
      </c>
      <c r="AM866" s="483">
        <f>IF(Input!$H287&lt;=Calcs!AL$823,Input!$J287,0)</f>
        <v>0</v>
      </c>
      <c r="AN866" s="483">
        <f>IF(Input!$H287&lt;=Calcs!AM$823,Input!$J287,0)</f>
        <v>0</v>
      </c>
      <c r="AO866" s="483">
        <f>IF(Input!$H287&lt;=Calcs!AN$823,Input!$J287,0)</f>
        <v>0</v>
      </c>
      <c r="AP866" s="483">
        <f>IF(Input!$H287&lt;=Calcs!AO$823,Input!$J287,0)</f>
        <v>0</v>
      </c>
      <c r="AQ866" s="483">
        <f>IF(Input!$H287&lt;=Calcs!AP$823,Input!$J287,0)</f>
        <v>0</v>
      </c>
      <c r="AR866" s="483">
        <f>IF(Input!$H287&lt;=Calcs!AQ$823,Input!$J287,0)</f>
        <v>0</v>
      </c>
      <c r="AS866" s="483">
        <f>IF(Input!$H287&lt;=Calcs!AR$823,Input!$J287,0)</f>
        <v>0</v>
      </c>
      <c r="AT866" s="483">
        <f>IF(Input!$H287&lt;=Calcs!AS$823,Input!$J287,0)</f>
        <v>0</v>
      </c>
      <c r="AU866" s="483">
        <f>IF(Input!$H287&lt;=Calcs!AT$823,Input!$J287,0)</f>
        <v>0</v>
      </c>
      <c r="AV866" s="483">
        <f>IF(Input!$H287&lt;=Calcs!AU$823,Input!$J287,0)</f>
        <v>0</v>
      </c>
      <c r="AW866" s="483">
        <f>IF(Input!$H287&lt;=Calcs!AV$823,Input!$J287,0)</f>
        <v>0</v>
      </c>
      <c r="AX866" s="483">
        <f>IF(Input!$H287&lt;=Calcs!AW$823,Input!$J287,0)</f>
        <v>0</v>
      </c>
      <c r="AY866" s="483">
        <f>IF(Input!$H287&lt;=Calcs!AX$823,Input!$J287,0)</f>
        <v>0</v>
      </c>
      <c r="AZ866" s="483">
        <f>IF(Input!$H287&lt;=Calcs!AY$823,Input!$J287,0)</f>
        <v>0</v>
      </c>
      <c r="BA866" s="483">
        <f>IF(Input!$H287&lt;=Calcs!AZ$823,Input!$J287,0)</f>
        <v>0</v>
      </c>
      <c r="BB866" s="483">
        <f>IF(Input!$H287&lt;=Calcs!BA$823,Input!$J287,0)</f>
        <v>0</v>
      </c>
      <c r="BC866" s="483">
        <f>IF(Input!$H287&lt;=Calcs!BB$823,Input!$J287,0)</f>
        <v>0</v>
      </c>
      <c r="BD866" s="483">
        <f>IF(Input!$H287&lt;=Calcs!BC$823,Input!$J287,0)</f>
        <v>0</v>
      </c>
      <c r="BE866" s="483">
        <f>IF(Input!$H287&lt;=Calcs!BD$823,Input!$J287,0)</f>
        <v>0</v>
      </c>
      <c r="BF866" s="483">
        <f>IF(Input!$H287&lt;=Calcs!BE$823,Input!$J287,0)</f>
        <v>0</v>
      </c>
      <c r="BG866" s="483">
        <f>IF(Input!$H287&lt;=Calcs!BF$823,Input!$J287,0)</f>
        <v>0</v>
      </c>
      <c r="BH866" s="483">
        <f>IF(Input!$H287&lt;=Calcs!BG$823,Input!$J287,0)</f>
        <v>0</v>
      </c>
      <c r="BI866" s="483">
        <f>IF(Input!$H287&lt;=Calcs!BH$823,Input!$J287,0)</f>
        <v>0</v>
      </c>
      <c r="BJ866" s="483">
        <f>IF(Input!$H287&lt;=Calcs!BI$823,Input!$J287,0)</f>
        <v>0</v>
      </c>
      <c r="BK866" s="483">
        <f>IF(Input!$H287&lt;=Calcs!BJ$823,Input!$J287,0)</f>
        <v>0</v>
      </c>
      <c r="BL866" s="483">
        <f>IF(Input!$H287&lt;=Calcs!BK$823,Input!$J287,0)</f>
        <v>0</v>
      </c>
      <c r="BM866" s="483">
        <f>IF(Input!$H287&lt;=Calcs!BL$823,Input!$J287,0)</f>
        <v>0</v>
      </c>
      <c r="BN866" s="483">
        <f>IF(Input!$H287&lt;=Calcs!BM$823,Input!$J287,0)</f>
        <v>0</v>
      </c>
      <c r="BO866" s="483">
        <f>IF(Input!$H287&lt;=Calcs!BN$823,Input!$J287,0)</f>
        <v>0</v>
      </c>
      <c r="BP866" s="483">
        <f>IF(Input!$H287&lt;=Calcs!BO$823,Input!$J287,0)</f>
        <v>0</v>
      </c>
      <c r="BQ866" s="483">
        <f>IF(Input!$H287&lt;=Calcs!BP$823,Input!$J287,0)</f>
        <v>0</v>
      </c>
      <c r="BR866" s="483">
        <f>IF(Input!$H287&lt;=Calcs!BQ$823,Input!$J287,0)</f>
        <v>0</v>
      </c>
      <c r="BS866" s="483">
        <f>IF(Input!$H287&lt;=Calcs!BR$823,Input!$J287,0)</f>
        <v>0</v>
      </c>
      <c r="BT866" s="483">
        <f>IF(Input!$H287&lt;=Calcs!BS$823,Input!$J287,0)</f>
        <v>0</v>
      </c>
      <c r="BU866" s="483">
        <f>IF(Input!$H287&lt;=Calcs!BT$823,Input!$J287,0)</f>
        <v>0</v>
      </c>
      <c r="BV866" s="483">
        <f>IF(Input!$H287&lt;=Calcs!BU$823,Input!$J287,0)</f>
        <v>0</v>
      </c>
      <c r="BW866" s="483">
        <f>IF(Input!$H287&lt;=Calcs!BV$823,Input!$J287,0)</f>
        <v>0</v>
      </c>
      <c r="BX866" s="483">
        <f>IF(Input!$H287&lt;=Calcs!BW$823,Input!$J287,0)</f>
        <v>0</v>
      </c>
      <c r="BY866" s="483">
        <f>IF(Input!$H287&lt;=Calcs!BX$823,Input!$J287,0)</f>
        <v>0</v>
      </c>
      <c r="BZ866" s="483">
        <f>IF(Input!$H287&lt;=Calcs!BY$823,Input!$J287,0)</f>
        <v>0</v>
      </c>
      <c r="CA866" s="483">
        <f>IF(Input!$H287&lt;=Calcs!BZ$823,Input!$J287,0)</f>
        <v>0</v>
      </c>
      <c r="CB866" s="483">
        <f>IF(Input!$H287&lt;=Calcs!CA$823,Input!$J287,0)</f>
        <v>0</v>
      </c>
      <c r="CC866" s="483">
        <f>IF(Input!$H287&lt;=Calcs!CB$823,Input!$J287,0)</f>
        <v>0</v>
      </c>
      <c r="CD866" s="483">
        <f>IF(Input!$H287&lt;=Calcs!CC$823,Input!$J287,0)</f>
        <v>0</v>
      </c>
      <c r="CE866" s="483">
        <f>IF(Input!$H287&lt;=Calcs!CD$823,Input!$J287,0)</f>
        <v>0</v>
      </c>
      <c r="CF866" s="483">
        <f>IF(Input!$H287&lt;=Calcs!CE$823,Input!$J287,0)</f>
        <v>0</v>
      </c>
      <c r="CG866" s="483">
        <f>IF(Input!$H287&lt;=Calcs!CF$823,Input!$J287,0)</f>
        <v>0</v>
      </c>
      <c r="CH866" s="483">
        <f>IF(Input!$H287&lt;=Calcs!CG$823,Input!$J287,0)</f>
        <v>0</v>
      </c>
      <c r="CI866" s="483">
        <f>IF(Input!$H287&lt;=Calcs!CH$823,Input!$J287,0)</f>
        <v>0</v>
      </c>
      <c r="CJ866" s="483">
        <f>IF(Input!$H287&lt;=Calcs!CI$823,Input!$J287,0)</f>
        <v>0</v>
      </c>
      <c r="CK866" s="483">
        <f>IF(Input!$H287&lt;=Calcs!CJ$823,Input!$J287,0)</f>
        <v>0</v>
      </c>
      <c r="CL866" s="483">
        <f>IF(Input!$H287&lt;=Calcs!CK$823,Input!$J287,0)</f>
        <v>0</v>
      </c>
      <c r="CM866" s="483">
        <f>IF(Input!$H287&lt;=Calcs!CL$823,Input!$J287,0)</f>
        <v>0</v>
      </c>
      <c r="CN866" s="483">
        <f>IF(Input!$H287&lt;=Calcs!CM$823,Input!$J287,0)</f>
        <v>0</v>
      </c>
      <c r="CO866" s="483">
        <f>IF(Input!$H287&lt;=Calcs!CN$823,Input!$J287,0)</f>
        <v>0</v>
      </c>
      <c r="CP866" s="483">
        <f>IF(Input!$H287&lt;=Calcs!CO$823,Input!$J287,0)</f>
        <v>0</v>
      </c>
      <c r="CQ866" s="483">
        <f>IF(Input!$H287&lt;=Calcs!CP$823,Input!$J287,0)</f>
        <v>0</v>
      </c>
      <c r="CR866" s="483">
        <f>IF(Input!$H287&lt;=Calcs!CQ$823,Input!$J287,0)</f>
        <v>0</v>
      </c>
      <c r="CS866" s="483">
        <f>IF(Input!$H287&lt;=Calcs!CR$823,Input!$J287,0)</f>
        <v>0</v>
      </c>
      <c r="CT866" s="483">
        <f>IF(Input!$H287&lt;=Calcs!CS$823,Input!$J287,0)</f>
        <v>0</v>
      </c>
      <c r="CU866" s="483">
        <f>IF(Input!$H287&lt;=Calcs!CT$823,Input!$J287,0)</f>
        <v>0</v>
      </c>
      <c r="CV866" s="483">
        <f>IF(Input!$H287&lt;=Calcs!CU$823,Input!$J287,0)</f>
        <v>0</v>
      </c>
      <c r="CW866" s="483">
        <f>IF(Input!$H287&lt;=Calcs!CV$823,Input!$J287,0)</f>
        <v>0</v>
      </c>
      <c r="CX866" s="483">
        <f>IF(Input!$H287&lt;=Calcs!CW$823,Input!$J287,0)</f>
        <v>0</v>
      </c>
      <c r="CY866" s="483">
        <f>IF(Input!$H287&lt;=Calcs!CX$823,Input!$J287,0)</f>
        <v>0</v>
      </c>
      <c r="CZ866" s="483">
        <f>IF(Input!$H287&lt;=Calcs!CY$823,Input!$J287,0)</f>
        <v>0</v>
      </c>
      <c r="DA866" s="483">
        <f>IF(Input!$H287&lt;=Calcs!CZ$823,Input!$J287,0)</f>
        <v>0</v>
      </c>
      <c r="DB866" s="483">
        <f>IF(Input!$H287&lt;=Calcs!DA$823,Input!$J287,0)</f>
        <v>0</v>
      </c>
      <c r="DC866" s="483">
        <f>IF(Input!$H287&lt;=Calcs!DB$823,Input!$J287,0)</f>
        <v>0</v>
      </c>
      <c r="DD866" s="483">
        <f>IF(Input!$H287&lt;=Calcs!DC$823,Input!$J287,0)</f>
        <v>0</v>
      </c>
      <c r="DE866" s="483">
        <f>IF(Input!$H287&lt;=Calcs!DD$823,Input!$J287,0)</f>
        <v>0</v>
      </c>
      <c r="DF866" s="483">
        <f>IF(Input!$H287&lt;=Calcs!DE$823,Input!$J287,0)</f>
        <v>0</v>
      </c>
      <c r="DG866" s="483">
        <f>IF(Input!$H287&lt;=Calcs!DF$823,Input!$J287,0)</f>
        <v>0</v>
      </c>
      <c r="DH866" s="483">
        <f>IF(Input!$H287&lt;=Calcs!DG$823,Input!$J287,0)</f>
        <v>0</v>
      </c>
      <c r="DI866" s="483">
        <f>IF(Input!$H287&lt;=Calcs!DH$823,Input!$J287,0)</f>
        <v>0</v>
      </c>
      <c r="DJ866" s="483">
        <f>IF(Input!$H287&lt;=Calcs!DI$823,Input!$J287,0)</f>
        <v>0</v>
      </c>
      <c r="DK866" s="483">
        <f>IF(Input!$H287&lt;=Calcs!DJ$823,Input!$J287,0)</f>
        <v>0</v>
      </c>
      <c r="DL866" s="483">
        <f>IF(Input!$H287&lt;=Calcs!DK$823,Input!$J287,0)</f>
        <v>0</v>
      </c>
      <c r="DM866" s="483">
        <f>IF(Input!$H287&lt;=Calcs!DL$823,Input!$J287,0)</f>
        <v>0</v>
      </c>
      <c r="DN866" s="483">
        <f>IF(Input!$H287&lt;=Calcs!DM$823,Input!$J287,0)</f>
        <v>0</v>
      </c>
      <c r="DO866" s="483">
        <f>IF(Input!$H287&lt;=Calcs!DN$823,Input!$J287,0)</f>
        <v>0</v>
      </c>
      <c r="DP866" s="483">
        <f>IF(Input!$H287&lt;=Calcs!DO$823,Input!$J287,0)</f>
        <v>0</v>
      </c>
      <c r="DQ866" s="483">
        <f>IF(Input!$H287&lt;=Calcs!DP$823,Input!$J287,0)</f>
        <v>0</v>
      </c>
      <c r="DR866" s="378">
        <f>IF(Input!$H287&lt;=Calcs!DQ$823,Input!$J287,0)</f>
        <v>0</v>
      </c>
      <c r="DS866" s="378">
        <f>IF(Input!$H287&lt;=Calcs!DR$823,Input!$J287,0)</f>
        <v>0</v>
      </c>
      <c r="DT866" s="378">
        <f>IF(Input!$H287&lt;=Calcs!DS$823,Input!$J287,0)</f>
        <v>0</v>
      </c>
      <c r="DU866" s="378">
        <f>IF(Input!$H287&lt;=Calcs!DT$823,Input!$J287,0)</f>
        <v>0</v>
      </c>
      <c r="DV866" s="378">
        <f>IF(Input!$H287&lt;=Calcs!DU$823,Input!$J287,0)</f>
        <v>0</v>
      </c>
      <c r="DW866" s="378">
        <f>IF(Input!$H287&lt;=Calcs!DV$823,Input!$J287,0)</f>
        <v>0</v>
      </c>
      <c r="DX866" s="378">
        <f>IF(Input!$H287&lt;=Calcs!DW$823,Input!$J287,0)</f>
        <v>0</v>
      </c>
      <c r="DY866" s="378">
        <f>IF(Input!$H287&lt;=Calcs!DX$823,Input!$J287,0)</f>
        <v>0</v>
      </c>
      <c r="DZ866" s="378">
        <f>IF(Input!$H287&lt;=Calcs!DY$823,Input!$J287,0)</f>
        <v>0</v>
      </c>
      <c r="EA866" s="378">
        <f>IF(Input!$H287&lt;=Calcs!DZ$823,Input!$J287,0)</f>
        <v>0</v>
      </c>
      <c r="EB866" s="378">
        <f>IF(Input!$H287&lt;=Calcs!EA$823,Input!$J287,0)</f>
        <v>0</v>
      </c>
      <c r="EC866" s="378">
        <f>IF(Input!$H287&lt;=Calcs!EB$823,Input!$J287,0)</f>
        <v>0</v>
      </c>
      <c r="ED866" s="378">
        <f>IF(Input!$H287&lt;=Calcs!EC$823,Input!$J287,0)</f>
        <v>0</v>
      </c>
      <c r="EE866" s="378">
        <f>IF(Input!$H287&lt;=Calcs!ED$823,Input!$J287,0)</f>
        <v>0</v>
      </c>
      <c r="EF866" s="378">
        <f>IF(Input!$H287&lt;=Calcs!EE$823,Input!$J287,0)</f>
        <v>0</v>
      </c>
      <c r="EG866" s="378">
        <f>IF(Input!$H287&lt;=Calcs!EF$823,Input!$J287,0)</f>
        <v>0</v>
      </c>
      <c r="EH866" s="378">
        <f>IF(Input!$H287&lt;=Calcs!EG$823,Input!$J287,0)</f>
        <v>0</v>
      </c>
      <c r="EI866" s="378">
        <f>IF(Input!$H287&lt;=Calcs!EH$823,Input!$J287,0)</f>
        <v>0</v>
      </c>
      <c r="EJ866" s="378">
        <f>IF(Input!$H287&lt;=Calcs!EI$823,Input!$J287,0)</f>
        <v>0</v>
      </c>
      <c r="EK866" s="378">
        <f>IF(Input!$H287&lt;=Calcs!EJ$823,Input!$J287,0)</f>
        <v>0</v>
      </c>
      <c r="EL866" s="378">
        <f>IF(Input!$H287&lt;=Calcs!EK$823,Input!$J287,0)</f>
        <v>0</v>
      </c>
      <c r="EM866" s="378">
        <f>IF(Input!$H287&lt;=Calcs!EL$823,Input!$J287,0)</f>
        <v>0</v>
      </c>
      <c r="EN866" s="378">
        <f>IF(Input!$H287&lt;=Calcs!EM$823,Input!$J287,0)</f>
        <v>0</v>
      </c>
      <c r="EO866" s="378">
        <f>IF(Input!$H287&lt;=Calcs!EN$823,Input!$J287,0)</f>
        <v>0</v>
      </c>
      <c r="EP866" s="378">
        <f>IF(Input!$H287&lt;=Calcs!EO$823,Input!$J287,0)</f>
        <v>0</v>
      </c>
      <c r="EQ866" s="378">
        <f>IF(Input!$H287&lt;=Calcs!EP$823,Input!$J287,0)</f>
        <v>0</v>
      </c>
      <c r="ER866" s="378">
        <f>IF(Input!$H287&lt;=Calcs!EQ$823,Input!$J287,0)</f>
        <v>0</v>
      </c>
      <c r="ES866" s="378">
        <f>IF(Input!$H287&lt;=Calcs!ER$823,Input!$J287,0)</f>
        <v>0</v>
      </c>
      <c r="ET866" s="378">
        <f>IF(Input!$H287&lt;=Calcs!ES$823,Input!$J287,0)</f>
        <v>0</v>
      </c>
      <c r="EU866" s="378">
        <f>IF(Input!$H287&lt;=Calcs!ET$823,Input!$J287,0)</f>
        <v>0</v>
      </c>
      <c r="EV866" s="378">
        <f>IF(Input!$H287&lt;=Calcs!EU$823,Input!$J287,0)</f>
        <v>0</v>
      </c>
    </row>
    <row r="867" spans="1:152" s="12" customFormat="1" ht="12" customHeight="1" x14ac:dyDescent="0.35">
      <c r="A867" s="84"/>
      <c r="B867" s="13"/>
      <c r="C867" s="13"/>
      <c r="D867" s="13"/>
      <c r="E867" s="13"/>
      <c r="F867" s="13"/>
      <c r="G867" s="1804"/>
      <c r="H867" s="1183"/>
      <c r="I867" s="1804"/>
      <c r="J867" s="1804"/>
      <c r="K867" s="141"/>
      <c r="L867" s="141"/>
      <c r="M867" s="141"/>
      <c r="N867" s="141"/>
      <c r="O867" s="141"/>
      <c r="P867" s="141"/>
      <c r="Q867" s="141"/>
      <c r="R867" s="31"/>
      <c r="S867" s="36"/>
      <c r="T867" s="376"/>
      <c r="U867" s="29"/>
      <c r="V867" s="29"/>
      <c r="W867" s="377"/>
      <c r="X867" s="376"/>
      <c r="Y867" s="29"/>
      <c r="Z867" s="29"/>
      <c r="AA867" s="29"/>
      <c r="AB867" s="29"/>
      <c r="AC867" s="29">
        <f t="shared" si="622"/>
        <v>10</v>
      </c>
      <c r="AD867" s="1804"/>
      <c r="AE867" s="376" t="str">
        <f t="shared" si="623"/>
        <v>Investor #10</v>
      </c>
      <c r="AF867" s="763">
        <f>Input!G288</f>
        <v>0</v>
      </c>
      <c r="AG867" s="483">
        <f>IF(Input!$H288&lt;=Calcs!AF$823,Input!$J288,0)</f>
        <v>0</v>
      </c>
      <c r="AH867" s="483">
        <f>IF(Input!$H288&lt;=Calcs!AG$823,Input!$J288,0)</f>
        <v>0</v>
      </c>
      <c r="AI867" s="483">
        <f>IF(Input!$H288&lt;=Calcs!AH$823,Input!$J288,0)</f>
        <v>0</v>
      </c>
      <c r="AJ867" s="483">
        <f>IF(Input!$H288&lt;=Calcs!AI$823,Input!$J288,0)</f>
        <v>0</v>
      </c>
      <c r="AK867" s="483">
        <f>IF(Input!$H288&lt;=Calcs!AJ$823,Input!$J288,0)</f>
        <v>0</v>
      </c>
      <c r="AL867" s="483">
        <f>IF(Input!$H288&lt;=Calcs!AK$823,Input!$J288,0)</f>
        <v>0</v>
      </c>
      <c r="AM867" s="483">
        <f>IF(Input!$H288&lt;=Calcs!AL$823,Input!$J288,0)</f>
        <v>0</v>
      </c>
      <c r="AN867" s="483">
        <f>IF(Input!$H288&lt;=Calcs!AM$823,Input!$J288,0)</f>
        <v>0</v>
      </c>
      <c r="AO867" s="483">
        <f>IF(Input!$H288&lt;=Calcs!AN$823,Input!$J288,0)</f>
        <v>0</v>
      </c>
      <c r="AP867" s="483">
        <f>IF(Input!$H288&lt;=Calcs!AO$823,Input!$J288,0)</f>
        <v>0</v>
      </c>
      <c r="AQ867" s="483">
        <f>IF(Input!$H288&lt;=Calcs!AP$823,Input!$J288,0)</f>
        <v>0</v>
      </c>
      <c r="AR867" s="483">
        <f>IF(Input!$H288&lt;=Calcs!AQ$823,Input!$J288,0)</f>
        <v>0</v>
      </c>
      <c r="AS867" s="483">
        <f>IF(Input!$H288&lt;=Calcs!AR$823,Input!$J288,0)</f>
        <v>0</v>
      </c>
      <c r="AT867" s="483">
        <f>IF(Input!$H288&lt;=Calcs!AS$823,Input!$J288,0)</f>
        <v>0</v>
      </c>
      <c r="AU867" s="483">
        <f>IF(Input!$H288&lt;=Calcs!AT$823,Input!$J288,0)</f>
        <v>0</v>
      </c>
      <c r="AV867" s="483">
        <f>IF(Input!$H288&lt;=Calcs!AU$823,Input!$J288,0)</f>
        <v>0</v>
      </c>
      <c r="AW867" s="483">
        <f>IF(Input!$H288&lt;=Calcs!AV$823,Input!$J288,0)</f>
        <v>0</v>
      </c>
      <c r="AX867" s="483">
        <f>IF(Input!$H288&lt;=Calcs!AW$823,Input!$J288,0)</f>
        <v>0</v>
      </c>
      <c r="AY867" s="483">
        <f>IF(Input!$H288&lt;=Calcs!AX$823,Input!$J288,0)</f>
        <v>0</v>
      </c>
      <c r="AZ867" s="483">
        <f>IF(Input!$H288&lt;=Calcs!AY$823,Input!$J288,0)</f>
        <v>0</v>
      </c>
      <c r="BA867" s="483">
        <f>IF(Input!$H288&lt;=Calcs!AZ$823,Input!$J288,0)</f>
        <v>0</v>
      </c>
      <c r="BB867" s="483">
        <f>IF(Input!$H288&lt;=Calcs!BA$823,Input!$J288,0)</f>
        <v>0</v>
      </c>
      <c r="BC867" s="483">
        <f>IF(Input!$H288&lt;=Calcs!BB$823,Input!$J288,0)</f>
        <v>0</v>
      </c>
      <c r="BD867" s="483">
        <f>IF(Input!$H288&lt;=Calcs!BC$823,Input!$J288,0)</f>
        <v>0</v>
      </c>
      <c r="BE867" s="483">
        <f>IF(Input!$H288&lt;=Calcs!BD$823,Input!$J288,0)</f>
        <v>0</v>
      </c>
      <c r="BF867" s="483">
        <f>IF(Input!$H288&lt;=Calcs!BE$823,Input!$J288,0)</f>
        <v>0</v>
      </c>
      <c r="BG867" s="483">
        <f>IF(Input!$H288&lt;=Calcs!BF$823,Input!$J288,0)</f>
        <v>0</v>
      </c>
      <c r="BH867" s="483">
        <f>IF(Input!$H288&lt;=Calcs!BG$823,Input!$J288,0)</f>
        <v>0</v>
      </c>
      <c r="BI867" s="483">
        <f>IF(Input!$H288&lt;=Calcs!BH$823,Input!$J288,0)</f>
        <v>0</v>
      </c>
      <c r="BJ867" s="483">
        <f>IF(Input!$H288&lt;=Calcs!BI$823,Input!$J288,0)</f>
        <v>0</v>
      </c>
      <c r="BK867" s="483">
        <f>IF(Input!$H288&lt;=Calcs!BJ$823,Input!$J288,0)</f>
        <v>0</v>
      </c>
      <c r="BL867" s="483">
        <f>IF(Input!$H288&lt;=Calcs!BK$823,Input!$J288,0)</f>
        <v>0</v>
      </c>
      <c r="BM867" s="483">
        <f>IF(Input!$H288&lt;=Calcs!BL$823,Input!$J288,0)</f>
        <v>0</v>
      </c>
      <c r="BN867" s="483">
        <f>IF(Input!$H288&lt;=Calcs!BM$823,Input!$J288,0)</f>
        <v>0</v>
      </c>
      <c r="BO867" s="483">
        <f>IF(Input!$H288&lt;=Calcs!BN$823,Input!$J288,0)</f>
        <v>0</v>
      </c>
      <c r="BP867" s="483">
        <f>IF(Input!$H288&lt;=Calcs!BO$823,Input!$J288,0)</f>
        <v>0</v>
      </c>
      <c r="BQ867" s="483">
        <f>IF(Input!$H288&lt;=Calcs!BP$823,Input!$J288,0)</f>
        <v>0</v>
      </c>
      <c r="BR867" s="483">
        <f>IF(Input!$H288&lt;=Calcs!BQ$823,Input!$J288,0)</f>
        <v>0</v>
      </c>
      <c r="BS867" s="483">
        <f>IF(Input!$H288&lt;=Calcs!BR$823,Input!$J288,0)</f>
        <v>0</v>
      </c>
      <c r="BT867" s="483">
        <f>IF(Input!$H288&lt;=Calcs!BS$823,Input!$J288,0)</f>
        <v>0</v>
      </c>
      <c r="BU867" s="483">
        <f>IF(Input!$H288&lt;=Calcs!BT$823,Input!$J288,0)</f>
        <v>0</v>
      </c>
      <c r="BV867" s="483">
        <f>IF(Input!$H288&lt;=Calcs!BU$823,Input!$J288,0)</f>
        <v>0</v>
      </c>
      <c r="BW867" s="483">
        <f>IF(Input!$H288&lt;=Calcs!BV$823,Input!$J288,0)</f>
        <v>0</v>
      </c>
      <c r="BX867" s="483">
        <f>IF(Input!$H288&lt;=Calcs!BW$823,Input!$J288,0)</f>
        <v>0</v>
      </c>
      <c r="BY867" s="483">
        <f>IF(Input!$H288&lt;=Calcs!BX$823,Input!$J288,0)</f>
        <v>0</v>
      </c>
      <c r="BZ867" s="483">
        <f>IF(Input!$H288&lt;=Calcs!BY$823,Input!$J288,0)</f>
        <v>0</v>
      </c>
      <c r="CA867" s="483">
        <f>IF(Input!$H288&lt;=Calcs!BZ$823,Input!$J288,0)</f>
        <v>0</v>
      </c>
      <c r="CB867" s="483">
        <f>IF(Input!$H288&lt;=Calcs!CA$823,Input!$J288,0)</f>
        <v>0</v>
      </c>
      <c r="CC867" s="483">
        <f>IF(Input!$H288&lt;=Calcs!CB$823,Input!$J288,0)</f>
        <v>0</v>
      </c>
      <c r="CD867" s="483">
        <f>IF(Input!$H288&lt;=Calcs!CC$823,Input!$J288,0)</f>
        <v>0</v>
      </c>
      <c r="CE867" s="483">
        <f>IF(Input!$H288&lt;=Calcs!CD$823,Input!$J288,0)</f>
        <v>0</v>
      </c>
      <c r="CF867" s="483">
        <f>IF(Input!$H288&lt;=Calcs!CE$823,Input!$J288,0)</f>
        <v>0</v>
      </c>
      <c r="CG867" s="483">
        <f>IF(Input!$H288&lt;=Calcs!CF$823,Input!$J288,0)</f>
        <v>0</v>
      </c>
      <c r="CH867" s="483">
        <f>IF(Input!$H288&lt;=Calcs!CG$823,Input!$J288,0)</f>
        <v>0</v>
      </c>
      <c r="CI867" s="483">
        <f>IF(Input!$H288&lt;=Calcs!CH$823,Input!$J288,0)</f>
        <v>0</v>
      </c>
      <c r="CJ867" s="483">
        <f>IF(Input!$H288&lt;=Calcs!CI$823,Input!$J288,0)</f>
        <v>0</v>
      </c>
      <c r="CK867" s="483">
        <f>IF(Input!$H288&lt;=Calcs!CJ$823,Input!$J288,0)</f>
        <v>0</v>
      </c>
      <c r="CL867" s="483">
        <f>IF(Input!$H288&lt;=Calcs!CK$823,Input!$J288,0)</f>
        <v>0</v>
      </c>
      <c r="CM867" s="483">
        <f>IF(Input!$H288&lt;=Calcs!CL$823,Input!$J288,0)</f>
        <v>0</v>
      </c>
      <c r="CN867" s="483">
        <f>IF(Input!$H288&lt;=Calcs!CM$823,Input!$J288,0)</f>
        <v>0</v>
      </c>
      <c r="CO867" s="483">
        <f>IF(Input!$H288&lt;=Calcs!CN$823,Input!$J288,0)</f>
        <v>0</v>
      </c>
      <c r="CP867" s="483">
        <f>IF(Input!$H288&lt;=Calcs!CO$823,Input!$J288,0)</f>
        <v>0</v>
      </c>
      <c r="CQ867" s="483">
        <f>IF(Input!$H288&lt;=Calcs!CP$823,Input!$J288,0)</f>
        <v>0</v>
      </c>
      <c r="CR867" s="483">
        <f>IF(Input!$H288&lt;=Calcs!CQ$823,Input!$J288,0)</f>
        <v>0</v>
      </c>
      <c r="CS867" s="483">
        <f>IF(Input!$H288&lt;=Calcs!CR$823,Input!$J288,0)</f>
        <v>0</v>
      </c>
      <c r="CT867" s="483">
        <f>IF(Input!$H288&lt;=Calcs!CS$823,Input!$J288,0)</f>
        <v>0</v>
      </c>
      <c r="CU867" s="483">
        <f>IF(Input!$H288&lt;=Calcs!CT$823,Input!$J288,0)</f>
        <v>0</v>
      </c>
      <c r="CV867" s="483">
        <f>IF(Input!$H288&lt;=Calcs!CU$823,Input!$J288,0)</f>
        <v>0</v>
      </c>
      <c r="CW867" s="483">
        <f>IF(Input!$H288&lt;=Calcs!CV$823,Input!$J288,0)</f>
        <v>0</v>
      </c>
      <c r="CX867" s="483">
        <f>IF(Input!$H288&lt;=Calcs!CW$823,Input!$J288,0)</f>
        <v>0</v>
      </c>
      <c r="CY867" s="483">
        <f>IF(Input!$H288&lt;=Calcs!CX$823,Input!$J288,0)</f>
        <v>0</v>
      </c>
      <c r="CZ867" s="483">
        <f>IF(Input!$H288&lt;=Calcs!CY$823,Input!$J288,0)</f>
        <v>0</v>
      </c>
      <c r="DA867" s="483">
        <f>IF(Input!$H288&lt;=Calcs!CZ$823,Input!$J288,0)</f>
        <v>0</v>
      </c>
      <c r="DB867" s="483">
        <f>IF(Input!$H288&lt;=Calcs!DA$823,Input!$J288,0)</f>
        <v>0</v>
      </c>
      <c r="DC867" s="483">
        <f>IF(Input!$H288&lt;=Calcs!DB$823,Input!$J288,0)</f>
        <v>0</v>
      </c>
      <c r="DD867" s="483">
        <f>IF(Input!$H288&lt;=Calcs!DC$823,Input!$J288,0)</f>
        <v>0</v>
      </c>
      <c r="DE867" s="483">
        <f>IF(Input!$H288&lt;=Calcs!DD$823,Input!$J288,0)</f>
        <v>0</v>
      </c>
      <c r="DF867" s="483">
        <f>IF(Input!$H288&lt;=Calcs!DE$823,Input!$J288,0)</f>
        <v>0</v>
      </c>
      <c r="DG867" s="483">
        <f>IF(Input!$H288&lt;=Calcs!DF$823,Input!$J288,0)</f>
        <v>0</v>
      </c>
      <c r="DH867" s="483">
        <f>IF(Input!$H288&lt;=Calcs!DG$823,Input!$J288,0)</f>
        <v>0</v>
      </c>
      <c r="DI867" s="483">
        <f>IF(Input!$H288&lt;=Calcs!DH$823,Input!$J288,0)</f>
        <v>0</v>
      </c>
      <c r="DJ867" s="483">
        <f>IF(Input!$H288&lt;=Calcs!DI$823,Input!$J288,0)</f>
        <v>0</v>
      </c>
      <c r="DK867" s="483">
        <f>IF(Input!$H288&lt;=Calcs!DJ$823,Input!$J288,0)</f>
        <v>0</v>
      </c>
      <c r="DL867" s="483">
        <f>IF(Input!$H288&lt;=Calcs!DK$823,Input!$J288,0)</f>
        <v>0</v>
      </c>
      <c r="DM867" s="483">
        <f>IF(Input!$H288&lt;=Calcs!DL$823,Input!$J288,0)</f>
        <v>0</v>
      </c>
      <c r="DN867" s="483">
        <f>IF(Input!$H288&lt;=Calcs!DM$823,Input!$J288,0)</f>
        <v>0</v>
      </c>
      <c r="DO867" s="483">
        <f>IF(Input!$H288&lt;=Calcs!DN$823,Input!$J288,0)</f>
        <v>0</v>
      </c>
      <c r="DP867" s="483">
        <f>IF(Input!$H288&lt;=Calcs!DO$823,Input!$J288,0)</f>
        <v>0</v>
      </c>
      <c r="DQ867" s="483">
        <f>IF(Input!$H288&lt;=Calcs!DP$823,Input!$J288,0)</f>
        <v>0</v>
      </c>
      <c r="DR867" s="378">
        <f>IF(Input!$H288&lt;=Calcs!DQ$823,Input!$J288,0)</f>
        <v>0</v>
      </c>
      <c r="DS867" s="378">
        <f>IF(Input!$H288&lt;=Calcs!DR$823,Input!$J288,0)</f>
        <v>0</v>
      </c>
      <c r="DT867" s="378">
        <f>IF(Input!$H288&lt;=Calcs!DS$823,Input!$J288,0)</f>
        <v>0</v>
      </c>
      <c r="DU867" s="378">
        <f>IF(Input!$H288&lt;=Calcs!DT$823,Input!$J288,0)</f>
        <v>0</v>
      </c>
      <c r="DV867" s="378">
        <f>IF(Input!$H288&lt;=Calcs!DU$823,Input!$J288,0)</f>
        <v>0</v>
      </c>
      <c r="DW867" s="378">
        <f>IF(Input!$H288&lt;=Calcs!DV$823,Input!$J288,0)</f>
        <v>0</v>
      </c>
      <c r="DX867" s="378">
        <f>IF(Input!$H288&lt;=Calcs!DW$823,Input!$J288,0)</f>
        <v>0</v>
      </c>
      <c r="DY867" s="378">
        <f>IF(Input!$H288&lt;=Calcs!DX$823,Input!$J288,0)</f>
        <v>0</v>
      </c>
      <c r="DZ867" s="378">
        <f>IF(Input!$H288&lt;=Calcs!DY$823,Input!$J288,0)</f>
        <v>0</v>
      </c>
      <c r="EA867" s="378">
        <f>IF(Input!$H288&lt;=Calcs!DZ$823,Input!$J288,0)</f>
        <v>0</v>
      </c>
      <c r="EB867" s="378">
        <f>IF(Input!$H288&lt;=Calcs!EA$823,Input!$J288,0)</f>
        <v>0</v>
      </c>
      <c r="EC867" s="378">
        <f>IF(Input!$H288&lt;=Calcs!EB$823,Input!$J288,0)</f>
        <v>0</v>
      </c>
      <c r="ED867" s="378">
        <f>IF(Input!$H288&lt;=Calcs!EC$823,Input!$J288,0)</f>
        <v>0</v>
      </c>
      <c r="EE867" s="378">
        <f>IF(Input!$H288&lt;=Calcs!ED$823,Input!$J288,0)</f>
        <v>0</v>
      </c>
      <c r="EF867" s="378">
        <f>IF(Input!$H288&lt;=Calcs!EE$823,Input!$J288,0)</f>
        <v>0</v>
      </c>
      <c r="EG867" s="378">
        <f>IF(Input!$H288&lt;=Calcs!EF$823,Input!$J288,0)</f>
        <v>0</v>
      </c>
      <c r="EH867" s="378">
        <f>IF(Input!$H288&lt;=Calcs!EG$823,Input!$J288,0)</f>
        <v>0</v>
      </c>
      <c r="EI867" s="378">
        <f>IF(Input!$H288&lt;=Calcs!EH$823,Input!$J288,0)</f>
        <v>0</v>
      </c>
      <c r="EJ867" s="378">
        <f>IF(Input!$H288&lt;=Calcs!EI$823,Input!$J288,0)</f>
        <v>0</v>
      </c>
      <c r="EK867" s="378">
        <f>IF(Input!$H288&lt;=Calcs!EJ$823,Input!$J288,0)</f>
        <v>0</v>
      </c>
      <c r="EL867" s="378">
        <f>IF(Input!$H288&lt;=Calcs!EK$823,Input!$J288,0)</f>
        <v>0</v>
      </c>
      <c r="EM867" s="378">
        <f>IF(Input!$H288&lt;=Calcs!EL$823,Input!$J288,0)</f>
        <v>0</v>
      </c>
      <c r="EN867" s="378">
        <f>IF(Input!$H288&lt;=Calcs!EM$823,Input!$J288,0)</f>
        <v>0</v>
      </c>
      <c r="EO867" s="378">
        <f>IF(Input!$H288&lt;=Calcs!EN$823,Input!$J288,0)</f>
        <v>0</v>
      </c>
      <c r="EP867" s="378">
        <f>IF(Input!$H288&lt;=Calcs!EO$823,Input!$J288,0)</f>
        <v>0</v>
      </c>
      <c r="EQ867" s="378">
        <f>IF(Input!$H288&lt;=Calcs!EP$823,Input!$J288,0)</f>
        <v>0</v>
      </c>
      <c r="ER867" s="378">
        <f>IF(Input!$H288&lt;=Calcs!EQ$823,Input!$J288,0)</f>
        <v>0</v>
      </c>
      <c r="ES867" s="378">
        <f>IF(Input!$H288&lt;=Calcs!ER$823,Input!$J288,0)</f>
        <v>0</v>
      </c>
      <c r="ET867" s="378">
        <f>IF(Input!$H288&lt;=Calcs!ES$823,Input!$J288,0)</f>
        <v>0</v>
      </c>
      <c r="EU867" s="378">
        <f>IF(Input!$H288&lt;=Calcs!ET$823,Input!$J288,0)</f>
        <v>0</v>
      </c>
      <c r="EV867" s="378">
        <f>IF(Input!$H288&lt;=Calcs!EU$823,Input!$J288,0)</f>
        <v>0</v>
      </c>
    </row>
    <row r="868" spans="1:152" s="12" customFormat="1" ht="12" customHeight="1" x14ac:dyDescent="0.35">
      <c r="A868" s="84"/>
      <c r="B868" s="13"/>
      <c r="C868" s="13"/>
      <c r="D868" s="13"/>
      <c r="E868" s="13"/>
      <c r="F868" s="13"/>
      <c r="G868" s="1804"/>
      <c r="H868" s="1183"/>
      <c r="I868" s="1804"/>
      <c r="J868" s="1804"/>
      <c r="K868" s="141"/>
      <c r="L868" s="141"/>
      <c r="M868" s="141"/>
      <c r="N868" s="141"/>
      <c r="O868" s="141"/>
      <c r="P868" s="141"/>
      <c r="Q868" s="141"/>
      <c r="R868" s="31"/>
      <c r="S868" s="36"/>
      <c r="T868" s="376"/>
      <c r="U868" s="29"/>
      <c r="V868" s="29"/>
      <c r="W868" s="377"/>
      <c r="X868" s="376"/>
      <c r="Y868" s="29"/>
      <c r="Z868" s="29"/>
      <c r="AA868" s="29"/>
      <c r="AB868" s="29"/>
      <c r="AC868" s="29">
        <f t="shared" si="622"/>
        <v>11</v>
      </c>
      <c r="AD868" s="1804"/>
      <c r="AE868" s="376" t="str">
        <f t="shared" si="623"/>
        <v>SAFE #1</v>
      </c>
      <c r="AF868" s="763">
        <f>Input!P279</f>
        <v>0</v>
      </c>
      <c r="AG868" s="483">
        <f>IF(Input!$Q279&lt;=Calcs!AF$823,Input!$V279,0)</f>
        <v>0</v>
      </c>
      <c r="AH868" s="483">
        <f>IF(Input!$Q279&lt;=Calcs!AG$823,Input!$V279,0)</f>
        <v>0</v>
      </c>
      <c r="AI868" s="483">
        <f>IF(Input!$Q279&lt;=Calcs!AH$823,Input!$V279,0)</f>
        <v>0</v>
      </c>
      <c r="AJ868" s="483">
        <f>IF(Input!$Q279&lt;=Calcs!AI$823,Input!$V279,0)</f>
        <v>0</v>
      </c>
      <c r="AK868" s="483">
        <f>IF(Input!$Q279&lt;=Calcs!AJ$823,Input!$V279,0)</f>
        <v>0</v>
      </c>
      <c r="AL868" s="483">
        <f>IF(Input!$Q279&lt;=Calcs!AK$823,Input!$V279,0)</f>
        <v>0</v>
      </c>
      <c r="AM868" s="483">
        <f>IF(Input!$Q279&lt;=Calcs!AL$823,Input!$V279,0)</f>
        <v>0</v>
      </c>
      <c r="AN868" s="483">
        <f>IF(Input!$Q279&lt;=Calcs!AM$823,Input!$V279,0)</f>
        <v>0</v>
      </c>
      <c r="AO868" s="483">
        <f>IF(Input!$Q279&lt;=Calcs!AN$823,Input!$V279,0)</f>
        <v>0</v>
      </c>
      <c r="AP868" s="483">
        <f>IF(Input!$Q279&lt;=Calcs!AO$823,Input!$V279,0)</f>
        <v>0</v>
      </c>
      <c r="AQ868" s="483">
        <f>IF(Input!$Q279&lt;=Calcs!AP$823,Input!$V279,0)</f>
        <v>0</v>
      </c>
      <c r="AR868" s="483">
        <f>IF(Input!$Q279&lt;=Calcs!AQ$823,Input!$V279,0)</f>
        <v>0</v>
      </c>
      <c r="AS868" s="483">
        <f>IF(Input!$Q279&lt;=Calcs!AR$823,Input!$V279,0)</f>
        <v>0</v>
      </c>
      <c r="AT868" s="483">
        <f>IF(Input!$Q279&lt;=Calcs!AS$823,Input!$V279,0)</f>
        <v>0</v>
      </c>
      <c r="AU868" s="483">
        <f>IF(Input!$Q279&lt;=Calcs!AT$823,Input!$V279,0)</f>
        <v>0</v>
      </c>
      <c r="AV868" s="483">
        <f>IF(Input!$Q279&lt;=Calcs!AU$823,Input!$V279,0)</f>
        <v>0</v>
      </c>
      <c r="AW868" s="483">
        <f>IF(Input!$Q279&lt;=Calcs!AV$823,Input!$V279,0)</f>
        <v>0</v>
      </c>
      <c r="AX868" s="483">
        <f>IF(Input!$Q279&lt;=Calcs!AW$823,Input!$V279,0)</f>
        <v>0</v>
      </c>
      <c r="AY868" s="483">
        <f>IF(Input!$Q279&lt;=Calcs!AX$823,Input!$V279,0)</f>
        <v>0</v>
      </c>
      <c r="AZ868" s="483">
        <f>IF(Input!$Q279&lt;=Calcs!AY$823,Input!$V279,0)</f>
        <v>0</v>
      </c>
      <c r="BA868" s="483">
        <f>IF(Input!$Q279&lt;=Calcs!AZ$823,Input!$V279,0)</f>
        <v>0</v>
      </c>
      <c r="BB868" s="483">
        <f>IF(Input!$Q279&lt;=Calcs!BA$823,Input!$V279,0)</f>
        <v>0</v>
      </c>
      <c r="BC868" s="483">
        <f>IF(Input!$Q279&lt;=Calcs!BB$823,Input!$V279,0)</f>
        <v>0</v>
      </c>
      <c r="BD868" s="483">
        <f>IF(Input!$Q279&lt;=Calcs!BC$823,Input!$V279,0)</f>
        <v>0</v>
      </c>
      <c r="BE868" s="483">
        <f>IF(Input!$Q279&lt;=Calcs!BD$823,Input!$V279,0)</f>
        <v>0</v>
      </c>
      <c r="BF868" s="483">
        <f>IF(Input!$Q279&lt;=Calcs!BE$823,Input!$V279,0)</f>
        <v>0</v>
      </c>
      <c r="BG868" s="483">
        <f>IF(Input!$Q279&lt;=Calcs!BF$823,Input!$V279,0)</f>
        <v>0</v>
      </c>
      <c r="BH868" s="483">
        <f>IF(Input!$Q279&lt;=Calcs!BG$823,Input!$V279,0)</f>
        <v>0</v>
      </c>
      <c r="BI868" s="483">
        <f>IF(Input!$Q279&lt;=Calcs!BH$823,Input!$V279,0)</f>
        <v>0</v>
      </c>
      <c r="BJ868" s="483">
        <f>IF(Input!$Q279&lt;=Calcs!BI$823,Input!$V279,0)</f>
        <v>0</v>
      </c>
      <c r="BK868" s="483">
        <f>IF(Input!$Q279&lt;=Calcs!BJ$823,Input!$V279,0)</f>
        <v>0</v>
      </c>
      <c r="BL868" s="483">
        <f>IF(Input!$Q279&lt;=Calcs!BK$823,Input!$V279,0)</f>
        <v>0</v>
      </c>
      <c r="BM868" s="483">
        <f>IF(Input!$Q279&lt;=Calcs!BL$823,Input!$V279,0)</f>
        <v>0</v>
      </c>
      <c r="BN868" s="483">
        <f>IF(Input!$Q279&lt;=Calcs!BM$823,Input!$V279,0)</f>
        <v>0</v>
      </c>
      <c r="BO868" s="483">
        <f>IF(Input!$Q279&lt;=Calcs!BN$823,Input!$V279,0)</f>
        <v>0</v>
      </c>
      <c r="BP868" s="483">
        <f>IF(Input!$Q279&lt;=Calcs!BO$823,Input!$V279,0)</f>
        <v>0</v>
      </c>
      <c r="BQ868" s="483">
        <f>IF(Input!$Q279&lt;=Calcs!BP$823,Input!$V279,0)</f>
        <v>0</v>
      </c>
      <c r="BR868" s="483">
        <f>IF(Input!$Q279&lt;=Calcs!BQ$823,Input!$V279,0)</f>
        <v>0</v>
      </c>
      <c r="BS868" s="483">
        <f>IF(Input!$Q279&lt;=Calcs!BR$823,Input!$V279,0)</f>
        <v>0</v>
      </c>
      <c r="BT868" s="483">
        <f>IF(Input!$Q279&lt;=Calcs!BS$823,Input!$V279,0)</f>
        <v>0</v>
      </c>
      <c r="BU868" s="483">
        <f>IF(Input!$Q279&lt;=Calcs!BT$823,Input!$V279,0)</f>
        <v>0</v>
      </c>
      <c r="BV868" s="483">
        <f>IF(Input!$Q279&lt;=Calcs!BU$823,Input!$V279,0)</f>
        <v>0</v>
      </c>
      <c r="BW868" s="483">
        <f>IF(Input!$Q279&lt;=Calcs!BV$823,Input!$V279,0)</f>
        <v>0</v>
      </c>
      <c r="BX868" s="483">
        <f>IF(Input!$Q279&lt;=Calcs!BW$823,Input!$V279,0)</f>
        <v>0</v>
      </c>
      <c r="BY868" s="483">
        <f>IF(Input!$Q279&lt;=Calcs!BX$823,Input!$V279,0)</f>
        <v>0</v>
      </c>
      <c r="BZ868" s="483">
        <f>IF(Input!$Q279&lt;=Calcs!BY$823,Input!$V279,0)</f>
        <v>0</v>
      </c>
      <c r="CA868" s="483">
        <f>IF(Input!$Q279&lt;=Calcs!BZ$823,Input!$V279,0)</f>
        <v>0</v>
      </c>
      <c r="CB868" s="483">
        <f>IF(Input!$Q279&lt;=Calcs!CA$823,Input!$V279,0)</f>
        <v>0</v>
      </c>
      <c r="CC868" s="483">
        <f>IF(Input!$Q279&lt;=Calcs!CB$823,Input!$V279,0)</f>
        <v>0</v>
      </c>
      <c r="CD868" s="483">
        <f>IF(Input!$Q279&lt;=Calcs!CC$823,Input!$V279,0)</f>
        <v>0</v>
      </c>
      <c r="CE868" s="483">
        <f>IF(Input!$Q279&lt;=Calcs!CD$823,Input!$V279,0)</f>
        <v>0</v>
      </c>
      <c r="CF868" s="483">
        <f>IF(Input!$Q279&lt;=Calcs!CE$823,Input!$V279,0)</f>
        <v>0</v>
      </c>
      <c r="CG868" s="483">
        <f>IF(Input!$Q279&lt;=Calcs!CF$823,Input!$V279,0)</f>
        <v>0</v>
      </c>
      <c r="CH868" s="483">
        <f>IF(Input!$Q279&lt;=Calcs!CG$823,Input!$V279,0)</f>
        <v>0</v>
      </c>
      <c r="CI868" s="483">
        <f>IF(Input!$Q279&lt;=Calcs!CH$823,Input!$V279,0)</f>
        <v>0</v>
      </c>
      <c r="CJ868" s="483">
        <f>IF(Input!$Q279&lt;=Calcs!CI$823,Input!$V279,0)</f>
        <v>0</v>
      </c>
      <c r="CK868" s="483">
        <f>IF(Input!$Q279&lt;=Calcs!CJ$823,Input!$V279,0)</f>
        <v>0</v>
      </c>
      <c r="CL868" s="483">
        <f>IF(Input!$Q279&lt;=Calcs!CK$823,Input!$V279,0)</f>
        <v>0</v>
      </c>
      <c r="CM868" s="483">
        <f>IF(Input!$Q279&lt;=Calcs!CL$823,Input!$V279,0)</f>
        <v>0</v>
      </c>
      <c r="CN868" s="483">
        <f>IF(Input!$Q279&lt;=Calcs!CM$823,Input!$V279,0)</f>
        <v>0</v>
      </c>
      <c r="CO868" s="483">
        <f>IF(Input!$Q279&lt;=Calcs!CN$823,Input!$V279,0)</f>
        <v>0</v>
      </c>
      <c r="CP868" s="483">
        <f>IF(Input!$Q279&lt;=Calcs!CO$823,Input!$V279,0)</f>
        <v>0</v>
      </c>
      <c r="CQ868" s="483">
        <f>IF(Input!$Q279&lt;=Calcs!CP$823,Input!$V279,0)</f>
        <v>0</v>
      </c>
      <c r="CR868" s="483">
        <f>IF(Input!$Q279&lt;=Calcs!CQ$823,Input!$V279,0)</f>
        <v>0</v>
      </c>
      <c r="CS868" s="483">
        <f>IF(Input!$Q279&lt;=Calcs!CR$823,Input!$V279,0)</f>
        <v>0</v>
      </c>
      <c r="CT868" s="483">
        <f>IF(Input!$Q279&lt;=Calcs!CS$823,Input!$V279,0)</f>
        <v>0</v>
      </c>
      <c r="CU868" s="483">
        <f>IF(Input!$Q279&lt;=Calcs!CT$823,Input!$V279,0)</f>
        <v>0</v>
      </c>
      <c r="CV868" s="483">
        <f>IF(Input!$Q279&lt;=Calcs!CU$823,Input!$V279,0)</f>
        <v>0</v>
      </c>
      <c r="CW868" s="483">
        <f>IF(Input!$Q279&lt;=Calcs!CV$823,Input!$V279,0)</f>
        <v>0</v>
      </c>
      <c r="CX868" s="483">
        <f>IF(Input!$Q279&lt;=Calcs!CW$823,Input!$V279,0)</f>
        <v>0</v>
      </c>
      <c r="CY868" s="483">
        <f>IF(Input!$Q279&lt;=Calcs!CX$823,Input!$V279,0)</f>
        <v>0</v>
      </c>
      <c r="CZ868" s="483">
        <f>IF(Input!$Q279&lt;=Calcs!CY$823,Input!$V279,0)</f>
        <v>0</v>
      </c>
      <c r="DA868" s="483">
        <f>IF(Input!$Q279&lt;=Calcs!CZ$823,Input!$V279,0)</f>
        <v>0</v>
      </c>
      <c r="DB868" s="483">
        <f>IF(Input!$Q279&lt;=Calcs!DA$823,Input!$V279,0)</f>
        <v>0</v>
      </c>
      <c r="DC868" s="483">
        <f>IF(Input!$Q279&lt;=Calcs!DB$823,Input!$V279,0)</f>
        <v>0</v>
      </c>
      <c r="DD868" s="483">
        <f>IF(Input!$Q279&lt;=Calcs!DC$823,Input!$V279,0)</f>
        <v>0</v>
      </c>
      <c r="DE868" s="483">
        <f>IF(Input!$Q279&lt;=Calcs!DD$823,Input!$V279,0)</f>
        <v>0</v>
      </c>
      <c r="DF868" s="483">
        <f>IF(Input!$Q279&lt;=Calcs!DE$823,Input!$V279,0)</f>
        <v>0</v>
      </c>
      <c r="DG868" s="483">
        <f>IF(Input!$Q279&lt;=Calcs!DF$823,Input!$V279,0)</f>
        <v>0</v>
      </c>
      <c r="DH868" s="483">
        <f>IF(Input!$Q279&lt;=Calcs!DG$823,Input!$V279,0)</f>
        <v>0</v>
      </c>
      <c r="DI868" s="483">
        <f>IF(Input!$Q279&lt;=Calcs!DH$823,Input!$V279,0)</f>
        <v>0</v>
      </c>
      <c r="DJ868" s="483">
        <f>IF(Input!$Q279&lt;=Calcs!DI$823,Input!$V279,0)</f>
        <v>0</v>
      </c>
      <c r="DK868" s="483">
        <f>IF(Input!$Q279&lt;=Calcs!DJ$823,Input!$V279,0)</f>
        <v>0</v>
      </c>
      <c r="DL868" s="483">
        <f>IF(Input!$Q279&lt;=Calcs!DK$823,Input!$V279,0)</f>
        <v>0</v>
      </c>
      <c r="DM868" s="483">
        <f>IF(Input!$Q279&lt;=Calcs!DL$823,Input!$V279,0)</f>
        <v>0</v>
      </c>
      <c r="DN868" s="483">
        <f>IF(Input!$Q279&lt;=Calcs!DM$823,Input!$V279,0)</f>
        <v>0</v>
      </c>
      <c r="DO868" s="483">
        <f>IF(Input!$Q279&lt;=Calcs!DN$823,Input!$V279,0)</f>
        <v>0</v>
      </c>
      <c r="DP868" s="483">
        <f>IF(Input!$Q279&lt;=Calcs!DO$823,Input!$V279,0)</f>
        <v>0</v>
      </c>
      <c r="DQ868" s="483">
        <f>IF(Input!$Q279&lt;=Calcs!DP$823,Input!$V279,0)</f>
        <v>0</v>
      </c>
      <c r="DR868" s="378">
        <f>IF(Input!$Q279&lt;=Calcs!DQ$823,Input!$V279,0)</f>
        <v>0</v>
      </c>
      <c r="DS868" s="378">
        <f>IF(Input!$Q279&lt;=Calcs!DR$823,Input!$V279,0)</f>
        <v>0</v>
      </c>
      <c r="DT868" s="378">
        <f>IF(Input!$Q279&lt;=Calcs!DS$823,Input!$V279,0)</f>
        <v>0</v>
      </c>
      <c r="DU868" s="378">
        <f>IF(Input!$Q279&lt;=Calcs!DT$823,Input!$V279,0)</f>
        <v>0</v>
      </c>
      <c r="DV868" s="378">
        <f>IF(Input!$Q279&lt;=Calcs!DU$823,Input!$V279,0)</f>
        <v>0</v>
      </c>
      <c r="DW868" s="378">
        <f>IF(Input!$Q279&lt;=Calcs!DV$823,Input!$V279,0)</f>
        <v>0</v>
      </c>
      <c r="DX868" s="378">
        <f>IF(Input!$Q279&lt;=Calcs!DW$823,Input!$V279,0)</f>
        <v>0</v>
      </c>
      <c r="DY868" s="378">
        <f>IF(Input!$Q279&lt;=Calcs!DX$823,Input!$V279,0)</f>
        <v>0</v>
      </c>
      <c r="DZ868" s="378">
        <f>IF(Input!$Q279&lt;=Calcs!DY$823,Input!$V279,0)</f>
        <v>0</v>
      </c>
      <c r="EA868" s="378">
        <f>IF(Input!$Q279&lt;=Calcs!DZ$823,Input!$V279,0)</f>
        <v>0</v>
      </c>
      <c r="EB868" s="378">
        <f>IF(Input!$Q279&lt;=Calcs!EA$823,Input!$V279,0)</f>
        <v>0</v>
      </c>
      <c r="EC868" s="378">
        <f>IF(Input!$Q279&lt;=Calcs!EB$823,Input!$V279,0)</f>
        <v>0</v>
      </c>
      <c r="ED868" s="378">
        <f>IF(Input!$Q279&lt;=Calcs!EC$823,Input!$V279,0)</f>
        <v>0</v>
      </c>
      <c r="EE868" s="378">
        <f>IF(Input!$Q279&lt;=Calcs!ED$823,Input!$V279,0)</f>
        <v>0</v>
      </c>
      <c r="EF868" s="378">
        <f>IF(Input!$Q279&lt;=Calcs!EE$823,Input!$V279,0)</f>
        <v>0</v>
      </c>
      <c r="EG868" s="378">
        <f>IF(Input!$Q279&lt;=Calcs!EF$823,Input!$V279,0)</f>
        <v>0</v>
      </c>
      <c r="EH868" s="378">
        <f>IF(Input!$Q279&lt;=Calcs!EG$823,Input!$V279,0)</f>
        <v>0</v>
      </c>
      <c r="EI868" s="378">
        <f>IF(Input!$Q279&lt;=Calcs!EH$823,Input!$V279,0)</f>
        <v>0</v>
      </c>
      <c r="EJ868" s="378">
        <f>IF(Input!$Q279&lt;=Calcs!EI$823,Input!$V279,0)</f>
        <v>0</v>
      </c>
      <c r="EK868" s="378">
        <f>IF(Input!$Q279&lt;=Calcs!EJ$823,Input!$V279,0)</f>
        <v>0</v>
      </c>
      <c r="EL868" s="378">
        <f>IF(Input!$Q279&lt;=Calcs!EK$823,Input!$V279,0)</f>
        <v>0</v>
      </c>
      <c r="EM868" s="378">
        <f>IF(Input!$Q279&lt;=Calcs!EL$823,Input!$V279,0)</f>
        <v>0</v>
      </c>
      <c r="EN868" s="378">
        <f>IF(Input!$Q279&lt;=Calcs!EM$823,Input!$V279,0)</f>
        <v>0</v>
      </c>
      <c r="EO868" s="378">
        <f>IF(Input!$Q279&lt;=Calcs!EN$823,Input!$V279,0)</f>
        <v>0</v>
      </c>
      <c r="EP868" s="378">
        <f>IF(Input!$Q279&lt;=Calcs!EO$823,Input!$V279,0)</f>
        <v>0</v>
      </c>
      <c r="EQ868" s="378">
        <f>IF(Input!$Q279&lt;=Calcs!EP$823,Input!$V279,0)</f>
        <v>0</v>
      </c>
      <c r="ER868" s="378">
        <f>IF(Input!$Q279&lt;=Calcs!EQ$823,Input!$V279,0)</f>
        <v>0</v>
      </c>
      <c r="ES868" s="378">
        <f>IF(Input!$Q279&lt;=Calcs!ER$823,Input!$V279,0)</f>
        <v>0</v>
      </c>
      <c r="ET868" s="378">
        <f>IF(Input!$Q279&lt;=Calcs!ES$823,Input!$V279,0)</f>
        <v>0</v>
      </c>
      <c r="EU868" s="378">
        <f>IF(Input!$Q279&lt;=Calcs!ET$823,Input!$V279,0)</f>
        <v>0</v>
      </c>
      <c r="EV868" s="378">
        <f>IF(Input!$Q279&lt;=Calcs!EU$823,Input!$V279,0)</f>
        <v>0</v>
      </c>
    </row>
    <row r="869" spans="1:152" s="12" customFormat="1" ht="12" customHeight="1" x14ac:dyDescent="0.35">
      <c r="A869" s="84"/>
      <c r="B869" s="13"/>
      <c r="C869" s="13"/>
      <c r="D869" s="13"/>
      <c r="E869" s="13"/>
      <c r="F869" s="13"/>
      <c r="G869" s="1804"/>
      <c r="H869" s="1183"/>
      <c r="I869" s="1804"/>
      <c r="J869" s="1804"/>
      <c r="K869" s="141"/>
      <c r="L869" s="141"/>
      <c r="M869" s="141"/>
      <c r="N869" s="141"/>
      <c r="O869" s="141"/>
      <c r="P869" s="141"/>
      <c r="Q869" s="141"/>
      <c r="R869" s="31"/>
      <c r="S869" s="36"/>
      <c r="T869" s="376"/>
      <c r="U869" s="29"/>
      <c r="V869" s="29"/>
      <c r="W869" s="377"/>
      <c r="X869" s="376"/>
      <c r="Y869" s="29"/>
      <c r="Z869" s="29"/>
      <c r="AA869" s="29"/>
      <c r="AB869" s="29"/>
      <c r="AC869" s="29">
        <f t="shared" si="622"/>
        <v>12</v>
      </c>
      <c r="AD869" s="1804"/>
      <c r="AE869" s="376" t="str">
        <f t="shared" si="623"/>
        <v>SAFE #2</v>
      </c>
      <c r="AF869" s="763">
        <f>Input!P280</f>
        <v>0</v>
      </c>
      <c r="AG869" s="483">
        <f>IF(Input!$Q280&lt;=Calcs!AF$823,Input!$V280,0)</f>
        <v>0</v>
      </c>
      <c r="AH869" s="483">
        <f>IF(Input!$Q280&lt;=Calcs!AG$823,Input!$V280,0)</f>
        <v>0</v>
      </c>
      <c r="AI869" s="483">
        <f>IF(Input!$Q280&lt;=Calcs!AH$823,Input!$V280,0)</f>
        <v>0</v>
      </c>
      <c r="AJ869" s="483">
        <f>IF(Input!$Q280&lt;=Calcs!AI$823,Input!$V280,0)</f>
        <v>0</v>
      </c>
      <c r="AK869" s="483">
        <f>IF(Input!$Q280&lt;=Calcs!AJ$823,Input!$V280,0)</f>
        <v>0</v>
      </c>
      <c r="AL869" s="483">
        <f>IF(Input!$Q280&lt;=Calcs!AK$823,Input!$V280,0)</f>
        <v>0</v>
      </c>
      <c r="AM869" s="483">
        <f>IF(Input!$Q280&lt;=Calcs!AL$823,Input!$V280,0)</f>
        <v>0</v>
      </c>
      <c r="AN869" s="483">
        <f>IF(Input!$Q280&lt;=Calcs!AM$823,Input!$V280,0)</f>
        <v>0</v>
      </c>
      <c r="AO869" s="483">
        <f>IF(Input!$Q280&lt;=Calcs!AN$823,Input!$V280,0)</f>
        <v>0</v>
      </c>
      <c r="AP869" s="483">
        <f>IF(Input!$Q280&lt;=Calcs!AO$823,Input!$V280,0)</f>
        <v>0</v>
      </c>
      <c r="AQ869" s="483">
        <f>IF(Input!$Q280&lt;=Calcs!AP$823,Input!$V280,0)</f>
        <v>0</v>
      </c>
      <c r="AR869" s="483">
        <f>IF(Input!$Q280&lt;=Calcs!AQ$823,Input!$V280,0)</f>
        <v>0</v>
      </c>
      <c r="AS869" s="483">
        <f>IF(Input!$Q280&lt;=Calcs!AR$823,Input!$V280,0)</f>
        <v>0</v>
      </c>
      <c r="AT869" s="483">
        <f>IF(Input!$Q280&lt;=Calcs!AS$823,Input!$V280,0)</f>
        <v>0</v>
      </c>
      <c r="AU869" s="483">
        <f>IF(Input!$Q280&lt;=Calcs!AT$823,Input!$V280,0)</f>
        <v>0</v>
      </c>
      <c r="AV869" s="483">
        <f>IF(Input!$Q280&lt;=Calcs!AU$823,Input!$V280,0)</f>
        <v>0</v>
      </c>
      <c r="AW869" s="483">
        <f>IF(Input!$Q280&lt;=Calcs!AV$823,Input!$V280,0)</f>
        <v>0</v>
      </c>
      <c r="AX869" s="483">
        <f>IF(Input!$Q280&lt;=Calcs!AW$823,Input!$V280,0)</f>
        <v>0</v>
      </c>
      <c r="AY869" s="483">
        <f>IF(Input!$Q280&lt;=Calcs!AX$823,Input!$V280,0)</f>
        <v>0</v>
      </c>
      <c r="AZ869" s="483">
        <f>IF(Input!$Q280&lt;=Calcs!AY$823,Input!$V280,0)</f>
        <v>0</v>
      </c>
      <c r="BA869" s="483">
        <f>IF(Input!$Q280&lt;=Calcs!AZ$823,Input!$V280,0)</f>
        <v>0</v>
      </c>
      <c r="BB869" s="483">
        <f>IF(Input!$Q280&lt;=Calcs!BA$823,Input!$V280,0)</f>
        <v>0</v>
      </c>
      <c r="BC869" s="483">
        <f>IF(Input!$Q280&lt;=Calcs!BB$823,Input!$V280,0)</f>
        <v>0</v>
      </c>
      <c r="BD869" s="483">
        <f>IF(Input!$Q280&lt;=Calcs!BC$823,Input!$V280,0)</f>
        <v>0</v>
      </c>
      <c r="BE869" s="483">
        <f>IF(Input!$Q280&lt;=Calcs!BD$823,Input!$V280,0)</f>
        <v>0</v>
      </c>
      <c r="BF869" s="483">
        <f>IF(Input!$Q280&lt;=Calcs!BE$823,Input!$V280,0)</f>
        <v>0</v>
      </c>
      <c r="BG869" s="483">
        <f>IF(Input!$Q280&lt;=Calcs!BF$823,Input!$V280,0)</f>
        <v>0</v>
      </c>
      <c r="BH869" s="483">
        <f>IF(Input!$Q280&lt;=Calcs!BG$823,Input!$V280,0)</f>
        <v>0</v>
      </c>
      <c r="BI869" s="483">
        <f>IF(Input!$Q280&lt;=Calcs!BH$823,Input!$V280,0)</f>
        <v>0</v>
      </c>
      <c r="BJ869" s="483">
        <f>IF(Input!$Q280&lt;=Calcs!BI$823,Input!$V280,0)</f>
        <v>0</v>
      </c>
      <c r="BK869" s="483">
        <f>IF(Input!$Q280&lt;=Calcs!BJ$823,Input!$V280,0)</f>
        <v>0</v>
      </c>
      <c r="BL869" s="483">
        <f>IF(Input!$Q280&lt;=Calcs!BK$823,Input!$V280,0)</f>
        <v>0</v>
      </c>
      <c r="BM869" s="483">
        <f>IF(Input!$Q280&lt;=Calcs!BL$823,Input!$V280,0)</f>
        <v>0</v>
      </c>
      <c r="BN869" s="483">
        <f>IF(Input!$Q280&lt;=Calcs!BM$823,Input!$V280,0)</f>
        <v>0</v>
      </c>
      <c r="BO869" s="483">
        <f>IF(Input!$Q280&lt;=Calcs!BN$823,Input!$V280,0)</f>
        <v>0</v>
      </c>
      <c r="BP869" s="483">
        <f>IF(Input!$Q280&lt;=Calcs!BO$823,Input!$V280,0)</f>
        <v>0</v>
      </c>
      <c r="BQ869" s="483">
        <f>IF(Input!$Q280&lt;=Calcs!BP$823,Input!$V280,0)</f>
        <v>0</v>
      </c>
      <c r="BR869" s="483">
        <f>IF(Input!$Q280&lt;=Calcs!BQ$823,Input!$V280,0)</f>
        <v>0</v>
      </c>
      <c r="BS869" s="483">
        <f>IF(Input!$Q280&lt;=Calcs!BR$823,Input!$V280,0)</f>
        <v>0</v>
      </c>
      <c r="BT869" s="483">
        <f>IF(Input!$Q280&lt;=Calcs!BS$823,Input!$V280,0)</f>
        <v>0</v>
      </c>
      <c r="BU869" s="483">
        <f>IF(Input!$Q280&lt;=Calcs!BT$823,Input!$V280,0)</f>
        <v>0</v>
      </c>
      <c r="BV869" s="483">
        <f>IF(Input!$Q280&lt;=Calcs!BU$823,Input!$V280,0)</f>
        <v>0</v>
      </c>
      <c r="BW869" s="483">
        <f>IF(Input!$Q280&lt;=Calcs!BV$823,Input!$V280,0)</f>
        <v>0</v>
      </c>
      <c r="BX869" s="483">
        <f>IF(Input!$Q280&lt;=Calcs!BW$823,Input!$V280,0)</f>
        <v>0</v>
      </c>
      <c r="BY869" s="483">
        <f>IF(Input!$Q280&lt;=Calcs!BX$823,Input!$V280,0)</f>
        <v>0</v>
      </c>
      <c r="BZ869" s="483">
        <f>IF(Input!$Q280&lt;=Calcs!BY$823,Input!$V280,0)</f>
        <v>0</v>
      </c>
      <c r="CA869" s="483">
        <f>IF(Input!$Q280&lt;=Calcs!BZ$823,Input!$V280,0)</f>
        <v>0</v>
      </c>
      <c r="CB869" s="483">
        <f>IF(Input!$Q280&lt;=Calcs!CA$823,Input!$V280,0)</f>
        <v>0</v>
      </c>
      <c r="CC869" s="483">
        <f>IF(Input!$Q280&lt;=Calcs!CB$823,Input!$V280,0)</f>
        <v>0</v>
      </c>
      <c r="CD869" s="483">
        <f>IF(Input!$Q280&lt;=Calcs!CC$823,Input!$V280,0)</f>
        <v>0</v>
      </c>
      <c r="CE869" s="483">
        <f>IF(Input!$Q280&lt;=Calcs!CD$823,Input!$V280,0)</f>
        <v>0</v>
      </c>
      <c r="CF869" s="483">
        <f>IF(Input!$Q280&lt;=Calcs!CE$823,Input!$V280,0)</f>
        <v>0</v>
      </c>
      <c r="CG869" s="483">
        <f>IF(Input!$Q280&lt;=Calcs!CF$823,Input!$V280,0)</f>
        <v>0</v>
      </c>
      <c r="CH869" s="483">
        <f>IF(Input!$Q280&lt;=Calcs!CG$823,Input!$V280,0)</f>
        <v>0</v>
      </c>
      <c r="CI869" s="483">
        <f>IF(Input!$Q280&lt;=Calcs!CH$823,Input!$V280,0)</f>
        <v>0</v>
      </c>
      <c r="CJ869" s="483">
        <f>IF(Input!$Q280&lt;=Calcs!CI$823,Input!$V280,0)</f>
        <v>0</v>
      </c>
      <c r="CK869" s="483">
        <f>IF(Input!$Q280&lt;=Calcs!CJ$823,Input!$V280,0)</f>
        <v>0</v>
      </c>
      <c r="CL869" s="483">
        <f>IF(Input!$Q280&lt;=Calcs!CK$823,Input!$V280,0)</f>
        <v>0</v>
      </c>
      <c r="CM869" s="483">
        <f>IF(Input!$Q280&lt;=Calcs!CL$823,Input!$V280,0)</f>
        <v>0</v>
      </c>
      <c r="CN869" s="483">
        <f>IF(Input!$Q280&lt;=Calcs!CM$823,Input!$V280,0)</f>
        <v>0</v>
      </c>
      <c r="CO869" s="483">
        <f>IF(Input!$Q280&lt;=Calcs!CN$823,Input!$V280,0)</f>
        <v>0</v>
      </c>
      <c r="CP869" s="483">
        <f>IF(Input!$Q280&lt;=Calcs!CO$823,Input!$V280,0)</f>
        <v>0</v>
      </c>
      <c r="CQ869" s="483">
        <f>IF(Input!$Q280&lt;=Calcs!CP$823,Input!$V280,0)</f>
        <v>0</v>
      </c>
      <c r="CR869" s="483">
        <f>IF(Input!$Q280&lt;=Calcs!CQ$823,Input!$V280,0)</f>
        <v>0</v>
      </c>
      <c r="CS869" s="483">
        <f>IF(Input!$Q280&lt;=Calcs!CR$823,Input!$V280,0)</f>
        <v>0</v>
      </c>
      <c r="CT869" s="483">
        <f>IF(Input!$Q280&lt;=Calcs!CS$823,Input!$V280,0)</f>
        <v>0</v>
      </c>
      <c r="CU869" s="483">
        <f>IF(Input!$Q280&lt;=Calcs!CT$823,Input!$V280,0)</f>
        <v>0</v>
      </c>
      <c r="CV869" s="483">
        <f>IF(Input!$Q280&lt;=Calcs!CU$823,Input!$V280,0)</f>
        <v>0</v>
      </c>
      <c r="CW869" s="483">
        <f>IF(Input!$Q280&lt;=Calcs!CV$823,Input!$V280,0)</f>
        <v>0</v>
      </c>
      <c r="CX869" s="483">
        <f>IF(Input!$Q280&lt;=Calcs!CW$823,Input!$V280,0)</f>
        <v>0</v>
      </c>
      <c r="CY869" s="483">
        <f>IF(Input!$Q280&lt;=Calcs!CX$823,Input!$V280,0)</f>
        <v>0</v>
      </c>
      <c r="CZ869" s="483">
        <f>IF(Input!$Q280&lt;=Calcs!CY$823,Input!$V280,0)</f>
        <v>0</v>
      </c>
      <c r="DA869" s="483">
        <f>IF(Input!$Q280&lt;=Calcs!CZ$823,Input!$V280,0)</f>
        <v>0</v>
      </c>
      <c r="DB869" s="483">
        <f>IF(Input!$Q280&lt;=Calcs!DA$823,Input!$V280,0)</f>
        <v>0</v>
      </c>
      <c r="DC869" s="483">
        <f>IF(Input!$Q280&lt;=Calcs!DB$823,Input!$V280,0)</f>
        <v>0</v>
      </c>
      <c r="DD869" s="483">
        <f>IF(Input!$Q280&lt;=Calcs!DC$823,Input!$V280,0)</f>
        <v>0</v>
      </c>
      <c r="DE869" s="483">
        <f>IF(Input!$Q280&lt;=Calcs!DD$823,Input!$V280,0)</f>
        <v>0</v>
      </c>
      <c r="DF869" s="483">
        <f>IF(Input!$Q280&lt;=Calcs!DE$823,Input!$V280,0)</f>
        <v>0</v>
      </c>
      <c r="DG869" s="483">
        <f>IF(Input!$Q280&lt;=Calcs!DF$823,Input!$V280,0)</f>
        <v>0</v>
      </c>
      <c r="DH869" s="483">
        <f>IF(Input!$Q280&lt;=Calcs!DG$823,Input!$V280,0)</f>
        <v>0</v>
      </c>
      <c r="DI869" s="483">
        <f>IF(Input!$Q280&lt;=Calcs!DH$823,Input!$V280,0)</f>
        <v>0</v>
      </c>
      <c r="DJ869" s="483">
        <f>IF(Input!$Q280&lt;=Calcs!DI$823,Input!$V280,0)</f>
        <v>0</v>
      </c>
      <c r="DK869" s="483">
        <f>IF(Input!$Q280&lt;=Calcs!DJ$823,Input!$V280,0)</f>
        <v>0</v>
      </c>
      <c r="DL869" s="483">
        <f>IF(Input!$Q280&lt;=Calcs!DK$823,Input!$V280,0)</f>
        <v>0</v>
      </c>
      <c r="DM869" s="483">
        <f>IF(Input!$Q280&lt;=Calcs!DL$823,Input!$V280,0)</f>
        <v>0</v>
      </c>
      <c r="DN869" s="483">
        <f>IF(Input!$Q280&lt;=Calcs!DM$823,Input!$V280,0)</f>
        <v>0</v>
      </c>
      <c r="DO869" s="483">
        <f>IF(Input!$Q280&lt;=Calcs!DN$823,Input!$V280,0)</f>
        <v>0</v>
      </c>
      <c r="DP869" s="483">
        <f>IF(Input!$Q280&lt;=Calcs!DO$823,Input!$V280,0)</f>
        <v>0</v>
      </c>
      <c r="DQ869" s="483">
        <f>IF(Input!$Q280&lt;=Calcs!DP$823,Input!$V280,0)</f>
        <v>0</v>
      </c>
      <c r="DR869" s="378">
        <f>IF(Input!$Q280&lt;=Calcs!DQ$823,Input!$V280,0)</f>
        <v>0</v>
      </c>
      <c r="DS869" s="378">
        <f>IF(Input!$Q280&lt;=Calcs!DR$823,Input!$V280,0)</f>
        <v>0</v>
      </c>
      <c r="DT869" s="378">
        <f>IF(Input!$Q280&lt;=Calcs!DS$823,Input!$V280,0)</f>
        <v>0</v>
      </c>
      <c r="DU869" s="378">
        <f>IF(Input!$Q280&lt;=Calcs!DT$823,Input!$V280,0)</f>
        <v>0</v>
      </c>
      <c r="DV869" s="378">
        <f>IF(Input!$Q280&lt;=Calcs!DU$823,Input!$V280,0)</f>
        <v>0</v>
      </c>
      <c r="DW869" s="378">
        <f>IF(Input!$Q280&lt;=Calcs!DV$823,Input!$V280,0)</f>
        <v>0</v>
      </c>
      <c r="DX869" s="378">
        <f>IF(Input!$Q280&lt;=Calcs!DW$823,Input!$V280,0)</f>
        <v>0</v>
      </c>
      <c r="DY869" s="378">
        <f>IF(Input!$Q280&lt;=Calcs!DX$823,Input!$V280,0)</f>
        <v>0</v>
      </c>
      <c r="DZ869" s="378">
        <f>IF(Input!$Q280&lt;=Calcs!DY$823,Input!$V280,0)</f>
        <v>0</v>
      </c>
      <c r="EA869" s="378">
        <f>IF(Input!$Q280&lt;=Calcs!DZ$823,Input!$V280,0)</f>
        <v>0</v>
      </c>
      <c r="EB869" s="378">
        <f>IF(Input!$Q280&lt;=Calcs!EA$823,Input!$V280,0)</f>
        <v>0</v>
      </c>
      <c r="EC869" s="378">
        <f>IF(Input!$Q280&lt;=Calcs!EB$823,Input!$V280,0)</f>
        <v>0</v>
      </c>
      <c r="ED869" s="378">
        <f>IF(Input!$Q280&lt;=Calcs!EC$823,Input!$V280,0)</f>
        <v>0</v>
      </c>
      <c r="EE869" s="378">
        <f>IF(Input!$Q280&lt;=Calcs!ED$823,Input!$V280,0)</f>
        <v>0</v>
      </c>
      <c r="EF869" s="378">
        <f>IF(Input!$Q280&lt;=Calcs!EE$823,Input!$V280,0)</f>
        <v>0</v>
      </c>
      <c r="EG869" s="378">
        <f>IF(Input!$Q280&lt;=Calcs!EF$823,Input!$V280,0)</f>
        <v>0</v>
      </c>
      <c r="EH869" s="378">
        <f>IF(Input!$Q280&lt;=Calcs!EG$823,Input!$V280,0)</f>
        <v>0</v>
      </c>
      <c r="EI869" s="378">
        <f>IF(Input!$Q280&lt;=Calcs!EH$823,Input!$V280,0)</f>
        <v>0</v>
      </c>
      <c r="EJ869" s="378">
        <f>IF(Input!$Q280&lt;=Calcs!EI$823,Input!$V280,0)</f>
        <v>0</v>
      </c>
      <c r="EK869" s="378">
        <f>IF(Input!$Q280&lt;=Calcs!EJ$823,Input!$V280,0)</f>
        <v>0</v>
      </c>
      <c r="EL869" s="378">
        <f>IF(Input!$Q280&lt;=Calcs!EK$823,Input!$V280,0)</f>
        <v>0</v>
      </c>
      <c r="EM869" s="378">
        <f>IF(Input!$Q280&lt;=Calcs!EL$823,Input!$V280,0)</f>
        <v>0</v>
      </c>
      <c r="EN869" s="378">
        <f>IF(Input!$Q280&lt;=Calcs!EM$823,Input!$V280,0)</f>
        <v>0</v>
      </c>
      <c r="EO869" s="378">
        <f>IF(Input!$Q280&lt;=Calcs!EN$823,Input!$V280,0)</f>
        <v>0</v>
      </c>
      <c r="EP869" s="378">
        <f>IF(Input!$Q280&lt;=Calcs!EO$823,Input!$V280,0)</f>
        <v>0</v>
      </c>
      <c r="EQ869" s="378">
        <f>IF(Input!$Q280&lt;=Calcs!EP$823,Input!$V280,0)</f>
        <v>0</v>
      </c>
      <c r="ER869" s="378">
        <f>IF(Input!$Q280&lt;=Calcs!EQ$823,Input!$V280,0)</f>
        <v>0</v>
      </c>
      <c r="ES869" s="378">
        <f>IF(Input!$Q280&lt;=Calcs!ER$823,Input!$V280,0)</f>
        <v>0</v>
      </c>
      <c r="ET869" s="378">
        <f>IF(Input!$Q280&lt;=Calcs!ES$823,Input!$V280,0)</f>
        <v>0</v>
      </c>
      <c r="EU869" s="378">
        <f>IF(Input!$Q280&lt;=Calcs!ET$823,Input!$V280,0)</f>
        <v>0</v>
      </c>
      <c r="EV869" s="378">
        <f>IF(Input!$Q280&lt;=Calcs!EU$823,Input!$V280,0)</f>
        <v>0</v>
      </c>
    </row>
    <row r="870" spans="1:152" s="12" customFormat="1" ht="12" customHeight="1" x14ac:dyDescent="0.35">
      <c r="A870" s="84"/>
      <c r="B870" s="13"/>
      <c r="C870" s="13"/>
      <c r="D870" s="13"/>
      <c r="E870" s="13"/>
      <c r="F870" s="13"/>
      <c r="G870" s="1804"/>
      <c r="H870" s="1183"/>
      <c r="I870" s="1804"/>
      <c r="J870" s="1804"/>
      <c r="K870" s="141"/>
      <c r="L870" s="141"/>
      <c r="M870" s="141"/>
      <c r="N870" s="141"/>
      <c r="O870" s="141"/>
      <c r="P870" s="141"/>
      <c r="Q870" s="141"/>
      <c r="R870" s="31"/>
      <c r="S870" s="36"/>
      <c r="T870" s="376"/>
      <c r="U870" s="29"/>
      <c r="V870" s="29"/>
      <c r="W870" s="377"/>
      <c r="X870" s="376"/>
      <c r="Y870" s="29"/>
      <c r="Z870" s="29"/>
      <c r="AA870" s="29"/>
      <c r="AB870" s="29"/>
      <c r="AC870" s="29">
        <f t="shared" si="622"/>
        <v>13</v>
      </c>
      <c r="AD870" s="1804"/>
      <c r="AE870" s="376" t="str">
        <f t="shared" si="623"/>
        <v>SAFE #3</v>
      </c>
      <c r="AF870" s="763">
        <f>Input!P281</f>
        <v>0</v>
      </c>
      <c r="AG870" s="483">
        <f>IF(Input!$Q281&lt;=Calcs!AF$823,Input!$V281,0)</f>
        <v>0</v>
      </c>
      <c r="AH870" s="483">
        <f>IF(Input!$Q281&lt;=Calcs!AG$823,Input!$V281,0)</f>
        <v>0</v>
      </c>
      <c r="AI870" s="483">
        <f>IF(Input!$Q281&lt;=Calcs!AH$823,Input!$V281,0)</f>
        <v>0</v>
      </c>
      <c r="AJ870" s="483">
        <f>IF(Input!$Q281&lt;=Calcs!AI$823,Input!$V281,0)</f>
        <v>0</v>
      </c>
      <c r="AK870" s="483">
        <f>IF(Input!$Q281&lt;=Calcs!AJ$823,Input!$V281,0)</f>
        <v>0</v>
      </c>
      <c r="AL870" s="483">
        <f>IF(Input!$Q281&lt;=Calcs!AK$823,Input!$V281,0)</f>
        <v>0</v>
      </c>
      <c r="AM870" s="483">
        <f>IF(Input!$Q281&lt;=Calcs!AL$823,Input!$V281,0)</f>
        <v>0</v>
      </c>
      <c r="AN870" s="483">
        <f>IF(Input!$Q281&lt;=Calcs!AM$823,Input!$V281,0)</f>
        <v>0</v>
      </c>
      <c r="AO870" s="483">
        <f>IF(Input!$Q281&lt;=Calcs!AN$823,Input!$V281,0)</f>
        <v>0</v>
      </c>
      <c r="AP870" s="483">
        <f>IF(Input!$Q281&lt;=Calcs!AO$823,Input!$V281,0)</f>
        <v>0</v>
      </c>
      <c r="AQ870" s="483">
        <f>IF(Input!$Q281&lt;=Calcs!AP$823,Input!$V281,0)</f>
        <v>0</v>
      </c>
      <c r="AR870" s="483">
        <f>IF(Input!$Q281&lt;=Calcs!AQ$823,Input!$V281,0)</f>
        <v>0</v>
      </c>
      <c r="AS870" s="483">
        <f>IF(Input!$Q281&lt;=Calcs!AR$823,Input!$V281,0)</f>
        <v>0</v>
      </c>
      <c r="AT870" s="483">
        <f>IF(Input!$Q281&lt;=Calcs!AS$823,Input!$V281,0)</f>
        <v>0</v>
      </c>
      <c r="AU870" s="483">
        <f>IF(Input!$Q281&lt;=Calcs!AT$823,Input!$V281,0)</f>
        <v>0</v>
      </c>
      <c r="AV870" s="483">
        <f>IF(Input!$Q281&lt;=Calcs!AU$823,Input!$V281,0)</f>
        <v>0</v>
      </c>
      <c r="AW870" s="483">
        <f>IF(Input!$Q281&lt;=Calcs!AV$823,Input!$V281,0)</f>
        <v>0</v>
      </c>
      <c r="AX870" s="483">
        <f>IF(Input!$Q281&lt;=Calcs!AW$823,Input!$V281,0)</f>
        <v>0</v>
      </c>
      <c r="AY870" s="483">
        <f>IF(Input!$Q281&lt;=Calcs!AX$823,Input!$V281,0)</f>
        <v>0</v>
      </c>
      <c r="AZ870" s="483">
        <f>IF(Input!$Q281&lt;=Calcs!AY$823,Input!$V281,0)</f>
        <v>0</v>
      </c>
      <c r="BA870" s="483">
        <f>IF(Input!$Q281&lt;=Calcs!AZ$823,Input!$V281,0)</f>
        <v>0</v>
      </c>
      <c r="BB870" s="483">
        <f>IF(Input!$Q281&lt;=Calcs!BA$823,Input!$V281,0)</f>
        <v>0</v>
      </c>
      <c r="BC870" s="483">
        <f>IF(Input!$Q281&lt;=Calcs!BB$823,Input!$V281,0)</f>
        <v>0</v>
      </c>
      <c r="BD870" s="483">
        <f>IF(Input!$Q281&lt;=Calcs!BC$823,Input!$V281,0)</f>
        <v>0</v>
      </c>
      <c r="BE870" s="483">
        <f>IF(Input!$Q281&lt;=Calcs!BD$823,Input!$V281,0)</f>
        <v>0</v>
      </c>
      <c r="BF870" s="483">
        <f>IF(Input!$Q281&lt;=Calcs!BE$823,Input!$V281,0)</f>
        <v>0</v>
      </c>
      <c r="BG870" s="483">
        <f>IF(Input!$Q281&lt;=Calcs!BF$823,Input!$V281,0)</f>
        <v>0</v>
      </c>
      <c r="BH870" s="483">
        <f>IF(Input!$Q281&lt;=Calcs!BG$823,Input!$V281,0)</f>
        <v>0</v>
      </c>
      <c r="BI870" s="483">
        <f>IF(Input!$Q281&lt;=Calcs!BH$823,Input!$V281,0)</f>
        <v>0</v>
      </c>
      <c r="BJ870" s="483">
        <f>IF(Input!$Q281&lt;=Calcs!BI$823,Input!$V281,0)</f>
        <v>0</v>
      </c>
      <c r="BK870" s="483">
        <f>IF(Input!$Q281&lt;=Calcs!BJ$823,Input!$V281,0)</f>
        <v>0</v>
      </c>
      <c r="BL870" s="483">
        <f>IF(Input!$Q281&lt;=Calcs!BK$823,Input!$V281,0)</f>
        <v>0</v>
      </c>
      <c r="BM870" s="483">
        <f>IF(Input!$Q281&lt;=Calcs!BL$823,Input!$V281,0)</f>
        <v>0</v>
      </c>
      <c r="BN870" s="483">
        <f>IF(Input!$Q281&lt;=Calcs!BM$823,Input!$V281,0)</f>
        <v>0</v>
      </c>
      <c r="BO870" s="483">
        <f>IF(Input!$Q281&lt;=Calcs!BN$823,Input!$V281,0)</f>
        <v>0</v>
      </c>
      <c r="BP870" s="483">
        <f>IF(Input!$Q281&lt;=Calcs!BO$823,Input!$V281,0)</f>
        <v>0</v>
      </c>
      <c r="BQ870" s="483">
        <f>IF(Input!$Q281&lt;=Calcs!BP$823,Input!$V281,0)</f>
        <v>0</v>
      </c>
      <c r="BR870" s="483">
        <f>IF(Input!$Q281&lt;=Calcs!BQ$823,Input!$V281,0)</f>
        <v>0</v>
      </c>
      <c r="BS870" s="483">
        <f>IF(Input!$Q281&lt;=Calcs!BR$823,Input!$V281,0)</f>
        <v>0</v>
      </c>
      <c r="BT870" s="483">
        <f>IF(Input!$Q281&lt;=Calcs!BS$823,Input!$V281,0)</f>
        <v>0</v>
      </c>
      <c r="BU870" s="483">
        <f>IF(Input!$Q281&lt;=Calcs!BT$823,Input!$V281,0)</f>
        <v>0</v>
      </c>
      <c r="BV870" s="483">
        <f>IF(Input!$Q281&lt;=Calcs!BU$823,Input!$V281,0)</f>
        <v>0</v>
      </c>
      <c r="BW870" s="483">
        <f>IF(Input!$Q281&lt;=Calcs!BV$823,Input!$V281,0)</f>
        <v>0</v>
      </c>
      <c r="BX870" s="483">
        <f>IF(Input!$Q281&lt;=Calcs!BW$823,Input!$V281,0)</f>
        <v>0</v>
      </c>
      <c r="BY870" s="483">
        <f>IF(Input!$Q281&lt;=Calcs!BX$823,Input!$V281,0)</f>
        <v>0</v>
      </c>
      <c r="BZ870" s="483">
        <f>IF(Input!$Q281&lt;=Calcs!BY$823,Input!$V281,0)</f>
        <v>0</v>
      </c>
      <c r="CA870" s="483">
        <f>IF(Input!$Q281&lt;=Calcs!BZ$823,Input!$V281,0)</f>
        <v>0</v>
      </c>
      <c r="CB870" s="483">
        <f>IF(Input!$Q281&lt;=Calcs!CA$823,Input!$V281,0)</f>
        <v>0</v>
      </c>
      <c r="CC870" s="483">
        <f>IF(Input!$Q281&lt;=Calcs!CB$823,Input!$V281,0)</f>
        <v>0</v>
      </c>
      <c r="CD870" s="483">
        <f>IF(Input!$Q281&lt;=Calcs!CC$823,Input!$V281,0)</f>
        <v>0</v>
      </c>
      <c r="CE870" s="483">
        <f>IF(Input!$Q281&lt;=Calcs!CD$823,Input!$V281,0)</f>
        <v>0</v>
      </c>
      <c r="CF870" s="483">
        <f>IF(Input!$Q281&lt;=Calcs!CE$823,Input!$V281,0)</f>
        <v>0</v>
      </c>
      <c r="CG870" s="483">
        <f>IF(Input!$Q281&lt;=Calcs!CF$823,Input!$V281,0)</f>
        <v>0</v>
      </c>
      <c r="CH870" s="483">
        <f>IF(Input!$Q281&lt;=Calcs!CG$823,Input!$V281,0)</f>
        <v>0</v>
      </c>
      <c r="CI870" s="483">
        <f>IF(Input!$Q281&lt;=Calcs!CH$823,Input!$V281,0)</f>
        <v>0</v>
      </c>
      <c r="CJ870" s="483">
        <f>IF(Input!$Q281&lt;=Calcs!CI$823,Input!$V281,0)</f>
        <v>0</v>
      </c>
      <c r="CK870" s="483">
        <f>IF(Input!$Q281&lt;=Calcs!CJ$823,Input!$V281,0)</f>
        <v>0</v>
      </c>
      <c r="CL870" s="483">
        <f>IF(Input!$Q281&lt;=Calcs!CK$823,Input!$V281,0)</f>
        <v>0</v>
      </c>
      <c r="CM870" s="483">
        <f>IF(Input!$Q281&lt;=Calcs!CL$823,Input!$V281,0)</f>
        <v>0</v>
      </c>
      <c r="CN870" s="483">
        <f>IF(Input!$Q281&lt;=Calcs!CM$823,Input!$V281,0)</f>
        <v>0</v>
      </c>
      <c r="CO870" s="483">
        <f>IF(Input!$Q281&lt;=Calcs!CN$823,Input!$V281,0)</f>
        <v>0</v>
      </c>
      <c r="CP870" s="483">
        <f>IF(Input!$Q281&lt;=Calcs!CO$823,Input!$V281,0)</f>
        <v>0</v>
      </c>
      <c r="CQ870" s="483">
        <f>IF(Input!$Q281&lt;=Calcs!CP$823,Input!$V281,0)</f>
        <v>0</v>
      </c>
      <c r="CR870" s="483">
        <f>IF(Input!$Q281&lt;=Calcs!CQ$823,Input!$V281,0)</f>
        <v>0</v>
      </c>
      <c r="CS870" s="483">
        <f>IF(Input!$Q281&lt;=Calcs!CR$823,Input!$V281,0)</f>
        <v>0</v>
      </c>
      <c r="CT870" s="483">
        <f>IF(Input!$Q281&lt;=Calcs!CS$823,Input!$V281,0)</f>
        <v>0</v>
      </c>
      <c r="CU870" s="483">
        <f>IF(Input!$Q281&lt;=Calcs!CT$823,Input!$V281,0)</f>
        <v>0</v>
      </c>
      <c r="CV870" s="483">
        <f>IF(Input!$Q281&lt;=Calcs!CU$823,Input!$V281,0)</f>
        <v>0</v>
      </c>
      <c r="CW870" s="483">
        <f>IF(Input!$Q281&lt;=Calcs!CV$823,Input!$V281,0)</f>
        <v>0</v>
      </c>
      <c r="CX870" s="483">
        <f>IF(Input!$Q281&lt;=Calcs!CW$823,Input!$V281,0)</f>
        <v>0</v>
      </c>
      <c r="CY870" s="483">
        <f>IF(Input!$Q281&lt;=Calcs!CX$823,Input!$V281,0)</f>
        <v>0</v>
      </c>
      <c r="CZ870" s="483">
        <f>IF(Input!$Q281&lt;=Calcs!CY$823,Input!$V281,0)</f>
        <v>0</v>
      </c>
      <c r="DA870" s="483">
        <f>IF(Input!$Q281&lt;=Calcs!CZ$823,Input!$V281,0)</f>
        <v>0</v>
      </c>
      <c r="DB870" s="483">
        <f>IF(Input!$Q281&lt;=Calcs!DA$823,Input!$V281,0)</f>
        <v>0</v>
      </c>
      <c r="DC870" s="483">
        <f>IF(Input!$Q281&lt;=Calcs!DB$823,Input!$V281,0)</f>
        <v>0</v>
      </c>
      <c r="DD870" s="483">
        <f>IF(Input!$Q281&lt;=Calcs!DC$823,Input!$V281,0)</f>
        <v>0</v>
      </c>
      <c r="DE870" s="483">
        <f>IF(Input!$Q281&lt;=Calcs!DD$823,Input!$V281,0)</f>
        <v>0</v>
      </c>
      <c r="DF870" s="483">
        <f>IF(Input!$Q281&lt;=Calcs!DE$823,Input!$V281,0)</f>
        <v>0</v>
      </c>
      <c r="DG870" s="483">
        <f>IF(Input!$Q281&lt;=Calcs!DF$823,Input!$V281,0)</f>
        <v>0</v>
      </c>
      <c r="DH870" s="483">
        <f>IF(Input!$Q281&lt;=Calcs!DG$823,Input!$V281,0)</f>
        <v>0</v>
      </c>
      <c r="DI870" s="483">
        <f>IF(Input!$Q281&lt;=Calcs!DH$823,Input!$V281,0)</f>
        <v>0</v>
      </c>
      <c r="DJ870" s="483">
        <f>IF(Input!$Q281&lt;=Calcs!DI$823,Input!$V281,0)</f>
        <v>0</v>
      </c>
      <c r="DK870" s="483">
        <f>IF(Input!$Q281&lt;=Calcs!DJ$823,Input!$V281,0)</f>
        <v>0</v>
      </c>
      <c r="DL870" s="483">
        <f>IF(Input!$Q281&lt;=Calcs!DK$823,Input!$V281,0)</f>
        <v>0</v>
      </c>
      <c r="DM870" s="483">
        <f>IF(Input!$Q281&lt;=Calcs!DL$823,Input!$V281,0)</f>
        <v>0</v>
      </c>
      <c r="DN870" s="483">
        <f>IF(Input!$Q281&lt;=Calcs!DM$823,Input!$V281,0)</f>
        <v>0</v>
      </c>
      <c r="DO870" s="483">
        <f>IF(Input!$Q281&lt;=Calcs!DN$823,Input!$V281,0)</f>
        <v>0</v>
      </c>
      <c r="DP870" s="483">
        <f>IF(Input!$Q281&lt;=Calcs!DO$823,Input!$V281,0)</f>
        <v>0</v>
      </c>
      <c r="DQ870" s="483">
        <f>IF(Input!$Q281&lt;=Calcs!DP$823,Input!$V281,0)</f>
        <v>0</v>
      </c>
      <c r="DR870" s="378">
        <f>IF(Input!$Q281&lt;=Calcs!DQ$823,Input!$V281,0)</f>
        <v>0</v>
      </c>
      <c r="DS870" s="378">
        <f>IF(Input!$Q281&lt;=Calcs!DR$823,Input!$V281,0)</f>
        <v>0</v>
      </c>
      <c r="DT870" s="378">
        <f>IF(Input!$Q281&lt;=Calcs!DS$823,Input!$V281,0)</f>
        <v>0</v>
      </c>
      <c r="DU870" s="378">
        <f>IF(Input!$Q281&lt;=Calcs!DT$823,Input!$V281,0)</f>
        <v>0</v>
      </c>
      <c r="DV870" s="378">
        <f>IF(Input!$Q281&lt;=Calcs!DU$823,Input!$V281,0)</f>
        <v>0</v>
      </c>
      <c r="DW870" s="378">
        <f>IF(Input!$Q281&lt;=Calcs!DV$823,Input!$V281,0)</f>
        <v>0</v>
      </c>
      <c r="DX870" s="378">
        <f>IF(Input!$Q281&lt;=Calcs!DW$823,Input!$V281,0)</f>
        <v>0</v>
      </c>
      <c r="DY870" s="378">
        <f>IF(Input!$Q281&lt;=Calcs!DX$823,Input!$V281,0)</f>
        <v>0</v>
      </c>
      <c r="DZ870" s="378">
        <f>IF(Input!$Q281&lt;=Calcs!DY$823,Input!$V281,0)</f>
        <v>0</v>
      </c>
      <c r="EA870" s="378">
        <f>IF(Input!$Q281&lt;=Calcs!DZ$823,Input!$V281,0)</f>
        <v>0</v>
      </c>
      <c r="EB870" s="378">
        <f>IF(Input!$Q281&lt;=Calcs!EA$823,Input!$V281,0)</f>
        <v>0</v>
      </c>
      <c r="EC870" s="378">
        <f>IF(Input!$Q281&lt;=Calcs!EB$823,Input!$V281,0)</f>
        <v>0</v>
      </c>
      <c r="ED870" s="378">
        <f>IF(Input!$Q281&lt;=Calcs!EC$823,Input!$V281,0)</f>
        <v>0</v>
      </c>
      <c r="EE870" s="378">
        <f>IF(Input!$Q281&lt;=Calcs!ED$823,Input!$V281,0)</f>
        <v>0</v>
      </c>
      <c r="EF870" s="378">
        <f>IF(Input!$Q281&lt;=Calcs!EE$823,Input!$V281,0)</f>
        <v>0</v>
      </c>
      <c r="EG870" s="378">
        <f>IF(Input!$Q281&lt;=Calcs!EF$823,Input!$V281,0)</f>
        <v>0</v>
      </c>
      <c r="EH870" s="378">
        <f>IF(Input!$Q281&lt;=Calcs!EG$823,Input!$V281,0)</f>
        <v>0</v>
      </c>
      <c r="EI870" s="378">
        <f>IF(Input!$Q281&lt;=Calcs!EH$823,Input!$V281,0)</f>
        <v>0</v>
      </c>
      <c r="EJ870" s="378">
        <f>IF(Input!$Q281&lt;=Calcs!EI$823,Input!$V281,0)</f>
        <v>0</v>
      </c>
      <c r="EK870" s="378">
        <f>IF(Input!$Q281&lt;=Calcs!EJ$823,Input!$V281,0)</f>
        <v>0</v>
      </c>
      <c r="EL870" s="378">
        <f>IF(Input!$Q281&lt;=Calcs!EK$823,Input!$V281,0)</f>
        <v>0</v>
      </c>
      <c r="EM870" s="378">
        <f>IF(Input!$Q281&lt;=Calcs!EL$823,Input!$V281,0)</f>
        <v>0</v>
      </c>
      <c r="EN870" s="378">
        <f>IF(Input!$Q281&lt;=Calcs!EM$823,Input!$V281,0)</f>
        <v>0</v>
      </c>
      <c r="EO870" s="378">
        <f>IF(Input!$Q281&lt;=Calcs!EN$823,Input!$V281,0)</f>
        <v>0</v>
      </c>
      <c r="EP870" s="378">
        <f>IF(Input!$Q281&lt;=Calcs!EO$823,Input!$V281,0)</f>
        <v>0</v>
      </c>
      <c r="EQ870" s="378">
        <f>IF(Input!$Q281&lt;=Calcs!EP$823,Input!$V281,0)</f>
        <v>0</v>
      </c>
      <c r="ER870" s="378">
        <f>IF(Input!$Q281&lt;=Calcs!EQ$823,Input!$V281,0)</f>
        <v>0</v>
      </c>
      <c r="ES870" s="378">
        <f>IF(Input!$Q281&lt;=Calcs!ER$823,Input!$V281,0)</f>
        <v>0</v>
      </c>
      <c r="ET870" s="378">
        <f>IF(Input!$Q281&lt;=Calcs!ES$823,Input!$V281,0)</f>
        <v>0</v>
      </c>
      <c r="EU870" s="378">
        <f>IF(Input!$Q281&lt;=Calcs!ET$823,Input!$V281,0)</f>
        <v>0</v>
      </c>
      <c r="EV870" s="378">
        <f>IF(Input!$Q281&lt;=Calcs!EU$823,Input!$V281,0)</f>
        <v>0</v>
      </c>
    </row>
    <row r="871" spans="1:152" s="12" customFormat="1" ht="12" customHeight="1" x14ac:dyDescent="0.35">
      <c r="A871" s="84"/>
      <c r="B871" s="13"/>
      <c r="C871" s="13"/>
      <c r="D871" s="13"/>
      <c r="E871" s="13"/>
      <c r="F871" s="13"/>
      <c r="G871" s="1804"/>
      <c r="H871" s="1183"/>
      <c r="I871" s="1804"/>
      <c r="J871" s="1804"/>
      <c r="K871" s="141"/>
      <c r="L871" s="141"/>
      <c r="M871" s="141"/>
      <c r="N871" s="141"/>
      <c r="O871" s="141"/>
      <c r="P871" s="141"/>
      <c r="Q871" s="141"/>
      <c r="R871" s="31"/>
      <c r="S871" s="36"/>
      <c r="T871" s="376"/>
      <c r="U871" s="29"/>
      <c r="V871" s="29"/>
      <c r="W871" s="377"/>
      <c r="X871" s="376"/>
      <c r="Y871" s="29"/>
      <c r="Z871" s="29"/>
      <c r="AA871" s="29"/>
      <c r="AB871" s="29"/>
      <c r="AC871" s="29">
        <f t="shared" si="622"/>
        <v>14</v>
      </c>
      <c r="AD871" s="1804"/>
      <c r="AE871" s="376" t="str">
        <f t="shared" si="623"/>
        <v>Convertible Note #1</v>
      </c>
      <c r="AF871" s="763">
        <f>Input!P297</f>
        <v>0</v>
      </c>
      <c r="AG871" s="483">
        <f>IF(Input!$Q297&lt;=Calcs!AF$823,Input!$W297,0)</f>
        <v>0</v>
      </c>
      <c r="AH871" s="483">
        <f>IF(Input!$Q297&lt;=Calcs!AG$823,Input!$W297,0)</f>
        <v>0</v>
      </c>
      <c r="AI871" s="483">
        <f>IF(Input!$Q297&lt;=Calcs!AH$823,Input!$W297,0)</f>
        <v>0</v>
      </c>
      <c r="AJ871" s="483">
        <f>IF(Input!$Q297&lt;=Calcs!AI$823,Input!$W297,0)</f>
        <v>0</v>
      </c>
      <c r="AK871" s="483">
        <f>IF(Input!$Q297&lt;=Calcs!AJ$823,Input!$W297,0)</f>
        <v>0</v>
      </c>
      <c r="AL871" s="483">
        <f>IF(Input!$Q297&lt;=Calcs!AK$823,Input!$W297,0)</f>
        <v>0</v>
      </c>
      <c r="AM871" s="483">
        <f>IF(Input!$Q297&lt;=Calcs!AL$823,Input!$W297,0)</f>
        <v>0</v>
      </c>
      <c r="AN871" s="483">
        <f>IF(Input!$Q297&lt;=Calcs!AM$823,Input!$W297,0)</f>
        <v>0</v>
      </c>
      <c r="AO871" s="483">
        <f>IF(Input!$Q297&lt;=Calcs!AN$823,Input!$W297,0)</f>
        <v>0</v>
      </c>
      <c r="AP871" s="483">
        <f>IF(Input!$Q297&lt;=Calcs!AO$823,Input!$W297,0)</f>
        <v>0</v>
      </c>
      <c r="AQ871" s="483">
        <f>IF(Input!$Q297&lt;=Calcs!AP$823,Input!$W297,0)</f>
        <v>0</v>
      </c>
      <c r="AR871" s="483">
        <f>IF(Input!$Q297&lt;=Calcs!AQ$823,Input!$W297,0)</f>
        <v>0</v>
      </c>
      <c r="AS871" s="483">
        <f>IF(Input!$Q297&lt;=Calcs!AR$823,Input!$W297,0)</f>
        <v>0</v>
      </c>
      <c r="AT871" s="483">
        <f>IF(Input!$Q297&lt;=Calcs!AS$823,Input!$W297,0)</f>
        <v>0</v>
      </c>
      <c r="AU871" s="483">
        <f>IF(Input!$Q297&lt;=Calcs!AT$823,Input!$W297,0)</f>
        <v>0</v>
      </c>
      <c r="AV871" s="483">
        <f>IF(Input!$Q297&lt;=Calcs!AU$823,Input!$W297,0)</f>
        <v>0</v>
      </c>
      <c r="AW871" s="483">
        <f>IF(Input!$Q297&lt;=Calcs!AV$823,Input!$W297,0)</f>
        <v>0</v>
      </c>
      <c r="AX871" s="483">
        <f>IF(Input!$Q297&lt;=Calcs!AW$823,Input!$W297,0)</f>
        <v>0</v>
      </c>
      <c r="AY871" s="483">
        <f>IF(Input!$Q297&lt;=Calcs!AX$823,Input!$W297,0)</f>
        <v>0</v>
      </c>
      <c r="AZ871" s="483">
        <f>IF(Input!$Q297&lt;=Calcs!AY$823,Input!$W297,0)</f>
        <v>0</v>
      </c>
      <c r="BA871" s="483">
        <f>IF(Input!$Q297&lt;=Calcs!AZ$823,Input!$W297,0)</f>
        <v>0</v>
      </c>
      <c r="BB871" s="483">
        <f>IF(Input!$Q297&lt;=Calcs!BA$823,Input!$W297,0)</f>
        <v>0</v>
      </c>
      <c r="BC871" s="483">
        <f>IF(Input!$Q297&lt;=Calcs!BB$823,Input!$W297,0)</f>
        <v>0</v>
      </c>
      <c r="BD871" s="483">
        <f>IF(Input!$Q297&lt;=Calcs!BC$823,Input!$W297,0)</f>
        <v>0</v>
      </c>
      <c r="BE871" s="483">
        <f>IF(Input!$Q297&lt;=Calcs!BD$823,Input!$W297,0)</f>
        <v>0</v>
      </c>
      <c r="BF871" s="483">
        <f>IF(Input!$Q297&lt;=Calcs!BE$823,Input!$W297,0)</f>
        <v>0</v>
      </c>
      <c r="BG871" s="483">
        <f>IF(Input!$Q297&lt;=Calcs!BF$823,Input!$W297,0)</f>
        <v>0</v>
      </c>
      <c r="BH871" s="483">
        <f>IF(Input!$Q297&lt;=Calcs!BG$823,Input!$W297,0)</f>
        <v>0</v>
      </c>
      <c r="BI871" s="483">
        <f>IF(Input!$Q297&lt;=Calcs!BH$823,Input!$W297,0)</f>
        <v>0</v>
      </c>
      <c r="BJ871" s="483">
        <f>IF(Input!$Q297&lt;=Calcs!BI$823,Input!$W297,0)</f>
        <v>0</v>
      </c>
      <c r="BK871" s="483">
        <f>IF(Input!$Q297&lt;=Calcs!BJ$823,Input!$W297,0)</f>
        <v>0</v>
      </c>
      <c r="BL871" s="483">
        <f>IF(Input!$Q297&lt;=Calcs!BK$823,Input!$W297,0)</f>
        <v>0</v>
      </c>
      <c r="BM871" s="483">
        <f>IF(Input!$Q297&lt;=Calcs!BL$823,Input!$W297,0)</f>
        <v>0</v>
      </c>
      <c r="BN871" s="483">
        <f>IF(Input!$Q297&lt;=Calcs!BM$823,Input!$W297,0)</f>
        <v>0</v>
      </c>
      <c r="BO871" s="483">
        <f>IF(Input!$Q297&lt;=Calcs!BN$823,Input!$W297,0)</f>
        <v>0</v>
      </c>
      <c r="BP871" s="483">
        <f>IF(Input!$Q297&lt;=Calcs!BO$823,Input!$W297,0)</f>
        <v>0</v>
      </c>
      <c r="BQ871" s="483">
        <f>IF(Input!$Q297&lt;=Calcs!BP$823,Input!$W297,0)</f>
        <v>0</v>
      </c>
      <c r="BR871" s="483">
        <f>IF(Input!$Q297&lt;=Calcs!BQ$823,Input!$W297,0)</f>
        <v>0</v>
      </c>
      <c r="BS871" s="483">
        <f>IF(Input!$Q297&lt;=Calcs!BR$823,Input!$W297,0)</f>
        <v>0</v>
      </c>
      <c r="BT871" s="483">
        <f>IF(Input!$Q297&lt;=Calcs!BS$823,Input!$W297,0)</f>
        <v>0</v>
      </c>
      <c r="BU871" s="483">
        <f>IF(Input!$Q297&lt;=Calcs!BT$823,Input!$W297,0)</f>
        <v>0</v>
      </c>
      <c r="BV871" s="483">
        <f>IF(Input!$Q297&lt;=Calcs!BU$823,Input!$W297,0)</f>
        <v>0</v>
      </c>
      <c r="BW871" s="483">
        <f>IF(Input!$Q297&lt;=Calcs!BV$823,Input!$W297,0)</f>
        <v>0</v>
      </c>
      <c r="BX871" s="483">
        <f>IF(Input!$Q297&lt;=Calcs!BW$823,Input!$W297,0)</f>
        <v>0</v>
      </c>
      <c r="BY871" s="483">
        <f>IF(Input!$Q297&lt;=Calcs!BX$823,Input!$W297,0)</f>
        <v>0</v>
      </c>
      <c r="BZ871" s="483">
        <f>IF(Input!$Q297&lt;=Calcs!BY$823,Input!$W297,0)</f>
        <v>0</v>
      </c>
      <c r="CA871" s="483">
        <f>IF(Input!$Q297&lt;=Calcs!BZ$823,Input!$W297,0)</f>
        <v>0</v>
      </c>
      <c r="CB871" s="483">
        <f>IF(Input!$Q297&lt;=Calcs!CA$823,Input!$W297,0)</f>
        <v>0</v>
      </c>
      <c r="CC871" s="483">
        <f>IF(Input!$Q297&lt;=Calcs!CB$823,Input!$W297,0)</f>
        <v>0</v>
      </c>
      <c r="CD871" s="483">
        <f>IF(Input!$Q297&lt;=Calcs!CC$823,Input!$W297,0)</f>
        <v>0</v>
      </c>
      <c r="CE871" s="483">
        <f>IF(Input!$Q297&lt;=Calcs!CD$823,Input!$W297,0)</f>
        <v>0</v>
      </c>
      <c r="CF871" s="483">
        <f>IF(Input!$Q297&lt;=Calcs!CE$823,Input!$W297,0)</f>
        <v>0</v>
      </c>
      <c r="CG871" s="483">
        <f>IF(Input!$Q297&lt;=Calcs!CF$823,Input!$W297,0)</f>
        <v>0</v>
      </c>
      <c r="CH871" s="483">
        <f>IF(Input!$Q297&lt;=Calcs!CG$823,Input!$W297,0)</f>
        <v>0</v>
      </c>
      <c r="CI871" s="483">
        <f>IF(Input!$Q297&lt;=Calcs!CH$823,Input!$W297,0)</f>
        <v>0</v>
      </c>
      <c r="CJ871" s="483">
        <f>IF(Input!$Q297&lt;=Calcs!CI$823,Input!$W297,0)</f>
        <v>0</v>
      </c>
      <c r="CK871" s="483">
        <f>IF(Input!$Q297&lt;=Calcs!CJ$823,Input!$W297,0)</f>
        <v>0</v>
      </c>
      <c r="CL871" s="483">
        <f>IF(Input!$Q297&lt;=Calcs!CK$823,Input!$W297,0)</f>
        <v>0</v>
      </c>
      <c r="CM871" s="483">
        <f>IF(Input!$Q297&lt;=Calcs!CL$823,Input!$W297,0)</f>
        <v>0</v>
      </c>
      <c r="CN871" s="483">
        <f>IF(Input!$Q297&lt;=Calcs!CM$823,Input!$W297,0)</f>
        <v>0</v>
      </c>
      <c r="CO871" s="483">
        <f>IF(Input!$Q297&lt;=Calcs!CN$823,Input!$W297,0)</f>
        <v>0</v>
      </c>
      <c r="CP871" s="483">
        <f>IF(Input!$Q297&lt;=Calcs!CO$823,Input!$W297,0)</f>
        <v>0</v>
      </c>
      <c r="CQ871" s="483">
        <f>IF(Input!$Q297&lt;=Calcs!CP$823,Input!$W297,0)</f>
        <v>0</v>
      </c>
      <c r="CR871" s="483">
        <f>IF(Input!$Q297&lt;=Calcs!CQ$823,Input!$W297,0)</f>
        <v>0</v>
      </c>
      <c r="CS871" s="483">
        <f>IF(Input!$Q297&lt;=Calcs!CR$823,Input!$W297,0)</f>
        <v>0</v>
      </c>
      <c r="CT871" s="483">
        <f>IF(Input!$Q297&lt;=Calcs!CS$823,Input!$W297,0)</f>
        <v>0</v>
      </c>
      <c r="CU871" s="483">
        <f>IF(Input!$Q297&lt;=Calcs!CT$823,Input!$W297,0)</f>
        <v>0</v>
      </c>
      <c r="CV871" s="483">
        <f>IF(Input!$Q297&lt;=Calcs!CU$823,Input!$W297,0)</f>
        <v>0</v>
      </c>
      <c r="CW871" s="483">
        <f>IF(Input!$Q297&lt;=Calcs!CV$823,Input!$W297,0)</f>
        <v>0</v>
      </c>
      <c r="CX871" s="483">
        <f>IF(Input!$Q297&lt;=Calcs!CW$823,Input!$W297,0)</f>
        <v>0</v>
      </c>
      <c r="CY871" s="483">
        <f>IF(Input!$Q297&lt;=Calcs!CX$823,Input!$W297,0)</f>
        <v>0</v>
      </c>
      <c r="CZ871" s="483">
        <f>IF(Input!$Q297&lt;=Calcs!CY$823,Input!$W297,0)</f>
        <v>0</v>
      </c>
      <c r="DA871" s="483">
        <f>IF(Input!$Q297&lt;=Calcs!CZ$823,Input!$W297,0)</f>
        <v>0</v>
      </c>
      <c r="DB871" s="483">
        <f>IF(Input!$Q297&lt;=Calcs!DA$823,Input!$W297,0)</f>
        <v>0</v>
      </c>
      <c r="DC871" s="483">
        <f>IF(Input!$Q297&lt;=Calcs!DB$823,Input!$W297,0)</f>
        <v>0</v>
      </c>
      <c r="DD871" s="483">
        <f>IF(Input!$Q297&lt;=Calcs!DC$823,Input!$W297,0)</f>
        <v>0</v>
      </c>
      <c r="DE871" s="483">
        <f>IF(Input!$Q297&lt;=Calcs!DD$823,Input!$W297,0)</f>
        <v>0</v>
      </c>
      <c r="DF871" s="483">
        <f>IF(Input!$Q297&lt;=Calcs!DE$823,Input!$W297,0)</f>
        <v>0</v>
      </c>
      <c r="DG871" s="483">
        <f>IF(Input!$Q297&lt;=Calcs!DF$823,Input!$W297,0)</f>
        <v>0</v>
      </c>
      <c r="DH871" s="483">
        <f>IF(Input!$Q297&lt;=Calcs!DG$823,Input!$W297,0)</f>
        <v>0</v>
      </c>
      <c r="DI871" s="483">
        <f>IF(Input!$Q297&lt;=Calcs!DH$823,Input!$W297,0)</f>
        <v>0</v>
      </c>
      <c r="DJ871" s="483">
        <f>IF(Input!$Q297&lt;=Calcs!DI$823,Input!$W297,0)</f>
        <v>0</v>
      </c>
      <c r="DK871" s="483">
        <f>IF(Input!$Q297&lt;=Calcs!DJ$823,Input!$W297,0)</f>
        <v>0</v>
      </c>
      <c r="DL871" s="483">
        <f>IF(Input!$Q297&lt;=Calcs!DK$823,Input!$W297,0)</f>
        <v>0</v>
      </c>
      <c r="DM871" s="483">
        <f>IF(Input!$Q297&lt;=Calcs!DL$823,Input!$W297,0)</f>
        <v>0</v>
      </c>
      <c r="DN871" s="483">
        <f>IF(Input!$Q297&lt;=Calcs!DM$823,Input!$W297,0)</f>
        <v>0</v>
      </c>
      <c r="DO871" s="483">
        <f>IF(Input!$Q297&lt;=Calcs!DN$823,Input!$W297,0)</f>
        <v>0</v>
      </c>
      <c r="DP871" s="483">
        <f>IF(Input!$Q297&lt;=Calcs!DO$823,Input!$W297,0)</f>
        <v>0</v>
      </c>
      <c r="DQ871" s="483">
        <f>IF(Input!$Q297&lt;=Calcs!DP$823,Input!$W297,0)</f>
        <v>0</v>
      </c>
      <c r="DR871" s="378">
        <f>IF(Input!$Q297&lt;=Calcs!DQ$823,Input!$W297,0)</f>
        <v>0</v>
      </c>
      <c r="DS871" s="378">
        <f>IF(Input!$Q297&lt;=Calcs!DR$823,Input!$W297,0)</f>
        <v>0</v>
      </c>
      <c r="DT871" s="378">
        <f>IF(Input!$Q297&lt;=Calcs!DS$823,Input!$W297,0)</f>
        <v>0</v>
      </c>
      <c r="DU871" s="378">
        <f>IF(Input!$Q297&lt;=Calcs!DT$823,Input!$W297,0)</f>
        <v>0</v>
      </c>
      <c r="DV871" s="378">
        <f>IF(Input!$Q297&lt;=Calcs!DU$823,Input!$W297,0)</f>
        <v>0</v>
      </c>
      <c r="DW871" s="378">
        <f>IF(Input!$Q297&lt;=Calcs!DV$823,Input!$W297,0)</f>
        <v>0</v>
      </c>
      <c r="DX871" s="378">
        <f>IF(Input!$Q297&lt;=Calcs!DW$823,Input!$W297,0)</f>
        <v>0</v>
      </c>
      <c r="DY871" s="378">
        <f>IF(Input!$Q297&lt;=Calcs!DX$823,Input!$W297,0)</f>
        <v>0</v>
      </c>
      <c r="DZ871" s="378">
        <f>IF(Input!$Q297&lt;=Calcs!DY$823,Input!$W297,0)</f>
        <v>0</v>
      </c>
      <c r="EA871" s="378">
        <f>IF(Input!$Q297&lt;=Calcs!DZ$823,Input!$W297,0)</f>
        <v>0</v>
      </c>
      <c r="EB871" s="378">
        <f>IF(Input!$Q297&lt;=Calcs!EA$823,Input!$W297,0)</f>
        <v>0</v>
      </c>
      <c r="EC871" s="378">
        <f>IF(Input!$Q297&lt;=Calcs!EB$823,Input!$W297,0)</f>
        <v>0</v>
      </c>
      <c r="ED871" s="378">
        <f>IF(Input!$Q297&lt;=Calcs!EC$823,Input!$W297,0)</f>
        <v>0</v>
      </c>
      <c r="EE871" s="378">
        <f>IF(Input!$Q297&lt;=Calcs!ED$823,Input!$W297,0)</f>
        <v>0</v>
      </c>
      <c r="EF871" s="378">
        <f>IF(Input!$Q297&lt;=Calcs!EE$823,Input!$W297,0)</f>
        <v>0</v>
      </c>
      <c r="EG871" s="378">
        <f>IF(Input!$Q297&lt;=Calcs!EF$823,Input!$W297,0)</f>
        <v>0</v>
      </c>
      <c r="EH871" s="378">
        <f>IF(Input!$Q297&lt;=Calcs!EG$823,Input!$W297,0)</f>
        <v>0</v>
      </c>
      <c r="EI871" s="378">
        <f>IF(Input!$Q297&lt;=Calcs!EH$823,Input!$W297,0)</f>
        <v>0</v>
      </c>
      <c r="EJ871" s="378">
        <f>IF(Input!$Q297&lt;=Calcs!EI$823,Input!$W297,0)</f>
        <v>0</v>
      </c>
      <c r="EK871" s="378">
        <f>IF(Input!$Q297&lt;=Calcs!EJ$823,Input!$W297,0)</f>
        <v>0</v>
      </c>
      <c r="EL871" s="378">
        <f>IF(Input!$Q297&lt;=Calcs!EK$823,Input!$W297,0)</f>
        <v>0</v>
      </c>
      <c r="EM871" s="378">
        <f>IF(Input!$Q297&lt;=Calcs!EL$823,Input!$W297,0)</f>
        <v>0</v>
      </c>
      <c r="EN871" s="378">
        <f>IF(Input!$Q297&lt;=Calcs!EM$823,Input!$W297,0)</f>
        <v>0</v>
      </c>
      <c r="EO871" s="378">
        <f>IF(Input!$Q297&lt;=Calcs!EN$823,Input!$W297,0)</f>
        <v>0</v>
      </c>
      <c r="EP871" s="378">
        <f>IF(Input!$Q297&lt;=Calcs!EO$823,Input!$W297,0)</f>
        <v>0</v>
      </c>
      <c r="EQ871" s="378">
        <f>IF(Input!$Q297&lt;=Calcs!EP$823,Input!$W297,0)</f>
        <v>0</v>
      </c>
      <c r="ER871" s="378">
        <f>IF(Input!$Q297&lt;=Calcs!EQ$823,Input!$W297,0)</f>
        <v>0</v>
      </c>
      <c r="ES871" s="378">
        <f>IF(Input!$Q297&lt;=Calcs!ER$823,Input!$W297,0)</f>
        <v>0</v>
      </c>
      <c r="ET871" s="378">
        <f>IF(Input!$Q297&lt;=Calcs!ES$823,Input!$W297,0)</f>
        <v>0</v>
      </c>
      <c r="EU871" s="378">
        <f>IF(Input!$Q297&lt;=Calcs!ET$823,Input!$W297,0)</f>
        <v>0</v>
      </c>
      <c r="EV871" s="378">
        <f>IF(Input!$Q297&lt;=Calcs!EU$823,Input!$W297,0)</f>
        <v>0</v>
      </c>
    </row>
    <row r="872" spans="1:152" s="12" customFormat="1" ht="12" customHeight="1" x14ac:dyDescent="0.35">
      <c r="A872" s="84"/>
      <c r="B872" s="13"/>
      <c r="C872" s="13"/>
      <c r="D872" s="13"/>
      <c r="E872" s="13"/>
      <c r="F872" s="13"/>
      <c r="G872" s="1804"/>
      <c r="H872" s="1183"/>
      <c r="I872" s="1804"/>
      <c r="J872" s="1804"/>
      <c r="K872" s="141"/>
      <c r="L872" s="141"/>
      <c r="M872" s="141"/>
      <c r="N872" s="141"/>
      <c r="O872" s="141"/>
      <c r="P872" s="141"/>
      <c r="Q872" s="141"/>
      <c r="R872" s="31"/>
      <c r="S872" s="36"/>
      <c r="T872" s="376"/>
      <c r="U872" s="29"/>
      <c r="V872" s="29"/>
      <c r="W872" s="377"/>
      <c r="X872" s="376"/>
      <c r="Y872" s="29"/>
      <c r="Z872" s="29"/>
      <c r="AA872" s="29"/>
      <c r="AB872" s="29"/>
      <c r="AC872" s="29">
        <f t="shared" si="622"/>
        <v>15</v>
      </c>
      <c r="AD872" s="1804"/>
      <c r="AE872" s="376" t="str">
        <f t="shared" si="623"/>
        <v>Convertible Note #2</v>
      </c>
      <c r="AF872" s="763">
        <f>Input!P298</f>
        <v>0</v>
      </c>
      <c r="AG872" s="483">
        <f>IF(Input!$Q298&lt;=Calcs!AF$823,Input!$W298,0)</f>
        <v>0</v>
      </c>
      <c r="AH872" s="483">
        <f>IF(Input!$Q298&lt;=Calcs!AG$823,Input!$W298,0)</f>
        <v>0</v>
      </c>
      <c r="AI872" s="483">
        <f>IF(Input!$Q298&lt;=Calcs!AH$823,Input!$W298,0)</f>
        <v>0</v>
      </c>
      <c r="AJ872" s="483">
        <f>IF(Input!$Q298&lt;=Calcs!AI$823,Input!$W298,0)</f>
        <v>0</v>
      </c>
      <c r="AK872" s="483">
        <f>IF(Input!$Q298&lt;=Calcs!AJ$823,Input!$W298,0)</f>
        <v>0</v>
      </c>
      <c r="AL872" s="483">
        <f>IF(Input!$Q298&lt;=Calcs!AK$823,Input!$W298,0)</f>
        <v>0</v>
      </c>
      <c r="AM872" s="483">
        <f>IF(Input!$Q298&lt;=Calcs!AL$823,Input!$W298,0)</f>
        <v>0</v>
      </c>
      <c r="AN872" s="483">
        <f>IF(Input!$Q298&lt;=Calcs!AM$823,Input!$W298,0)</f>
        <v>0</v>
      </c>
      <c r="AO872" s="483">
        <f>IF(Input!$Q298&lt;=Calcs!AN$823,Input!$W298,0)</f>
        <v>0</v>
      </c>
      <c r="AP872" s="483">
        <f>IF(Input!$Q298&lt;=Calcs!AO$823,Input!$W298,0)</f>
        <v>0</v>
      </c>
      <c r="AQ872" s="483">
        <f>IF(Input!$Q298&lt;=Calcs!AP$823,Input!$W298,0)</f>
        <v>0</v>
      </c>
      <c r="AR872" s="483">
        <f>IF(Input!$Q298&lt;=Calcs!AQ$823,Input!$W298,0)</f>
        <v>0</v>
      </c>
      <c r="AS872" s="483">
        <f>IF(Input!$Q298&lt;=Calcs!AR$823,Input!$W298,0)</f>
        <v>0</v>
      </c>
      <c r="AT872" s="483">
        <f>IF(Input!$Q298&lt;=Calcs!AS$823,Input!$W298,0)</f>
        <v>0</v>
      </c>
      <c r="AU872" s="483">
        <f>IF(Input!$Q298&lt;=Calcs!AT$823,Input!$W298,0)</f>
        <v>0</v>
      </c>
      <c r="AV872" s="483">
        <f>IF(Input!$Q298&lt;=Calcs!AU$823,Input!$W298,0)</f>
        <v>0</v>
      </c>
      <c r="AW872" s="483">
        <f>IF(Input!$Q298&lt;=Calcs!AV$823,Input!$W298,0)</f>
        <v>0</v>
      </c>
      <c r="AX872" s="483">
        <f>IF(Input!$Q298&lt;=Calcs!AW$823,Input!$W298,0)</f>
        <v>0</v>
      </c>
      <c r="AY872" s="483">
        <f>IF(Input!$Q298&lt;=Calcs!AX$823,Input!$W298,0)</f>
        <v>0</v>
      </c>
      <c r="AZ872" s="483">
        <f>IF(Input!$Q298&lt;=Calcs!AY$823,Input!$W298,0)</f>
        <v>0</v>
      </c>
      <c r="BA872" s="483">
        <f>IF(Input!$Q298&lt;=Calcs!AZ$823,Input!$W298,0)</f>
        <v>0</v>
      </c>
      <c r="BB872" s="483">
        <f>IF(Input!$Q298&lt;=Calcs!BA$823,Input!$W298,0)</f>
        <v>0</v>
      </c>
      <c r="BC872" s="483">
        <f>IF(Input!$Q298&lt;=Calcs!BB$823,Input!$W298,0)</f>
        <v>0</v>
      </c>
      <c r="BD872" s="483">
        <f>IF(Input!$Q298&lt;=Calcs!BC$823,Input!$W298,0)</f>
        <v>0</v>
      </c>
      <c r="BE872" s="483">
        <f>IF(Input!$Q298&lt;=Calcs!BD$823,Input!$W298,0)</f>
        <v>0</v>
      </c>
      <c r="BF872" s="483">
        <f>IF(Input!$Q298&lt;=Calcs!BE$823,Input!$W298,0)</f>
        <v>0</v>
      </c>
      <c r="BG872" s="483">
        <f>IF(Input!$Q298&lt;=Calcs!BF$823,Input!$W298,0)</f>
        <v>0</v>
      </c>
      <c r="BH872" s="483">
        <f>IF(Input!$Q298&lt;=Calcs!BG$823,Input!$W298,0)</f>
        <v>0</v>
      </c>
      <c r="BI872" s="483">
        <f>IF(Input!$Q298&lt;=Calcs!BH$823,Input!$W298,0)</f>
        <v>0</v>
      </c>
      <c r="BJ872" s="483">
        <f>IF(Input!$Q298&lt;=Calcs!BI$823,Input!$W298,0)</f>
        <v>0</v>
      </c>
      <c r="BK872" s="483">
        <f>IF(Input!$Q298&lt;=Calcs!BJ$823,Input!$W298,0)</f>
        <v>0</v>
      </c>
      <c r="BL872" s="483">
        <f>IF(Input!$Q298&lt;=Calcs!BK$823,Input!$W298,0)</f>
        <v>0</v>
      </c>
      <c r="BM872" s="483">
        <f>IF(Input!$Q298&lt;=Calcs!BL$823,Input!$W298,0)</f>
        <v>0</v>
      </c>
      <c r="BN872" s="483">
        <f>IF(Input!$Q298&lt;=Calcs!BM$823,Input!$W298,0)</f>
        <v>0</v>
      </c>
      <c r="BO872" s="483">
        <f>IF(Input!$Q298&lt;=Calcs!BN$823,Input!$W298,0)</f>
        <v>0</v>
      </c>
      <c r="BP872" s="483">
        <f>IF(Input!$Q298&lt;=Calcs!BO$823,Input!$W298,0)</f>
        <v>0</v>
      </c>
      <c r="BQ872" s="483">
        <f>IF(Input!$Q298&lt;=Calcs!BP$823,Input!$W298,0)</f>
        <v>0</v>
      </c>
      <c r="BR872" s="483">
        <f>IF(Input!$Q298&lt;=Calcs!BQ$823,Input!$W298,0)</f>
        <v>0</v>
      </c>
      <c r="BS872" s="483">
        <f>IF(Input!$Q298&lt;=Calcs!BR$823,Input!$W298,0)</f>
        <v>0</v>
      </c>
      <c r="BT872" s="483">
        <f>IF(Input!$Q298&lt;=Calcs!BS$823,Input!$W298,0)</f>
        <v>0</v>
      </c>
      <c r="BU872" s="483">
        <f>IF(Input!$Q298&lt;=Calcs!BT$823,Input!$W298,0)</f>
        <v>0</v>
      </c>
      <c r="BV872" s="483">
        <f>IF(Input!$Q298&lt;=Calcs!BU$823,Input!$W298,0)</f>
        <v>0</v>
      </c>
      <c r="BW872" s="483">
        <f>IF(Input!$Q298&lt;=Calcs!BV$823,Input!$W298,0)</f>
        <v>0</v>
      </c>
      <c r="BX872" s="483">
        <f>IF(Input!$Q298&lt;=Calcs!BW$823,Input!$W298,0)</f>
        <v>0</v>
      </c>
      <c r="BY872" s="483">
        <f>IF(Input!$Q298&lt;=Calcs!BX$823,Input!$W298,0)</f>
        <v>0</v>
      </c>
      <c r="BZ872" s="483">
        <f>IF(Input!$Q298&lt;=Calcs!BY$823,Input!$W298,0)</f>
        <v>0</v>
      </c>
      <c r="CA872" s="483">
        <f>IF(Input!$Q298&lt;=Calcs!BZ$823,Input!$W298,0)</f>
        <v>0</v>
      </c>
      <c r="CB872" s="483">
        <f>IF(Input!$Q298&lt;=Calcs!CA$823,Input!$W298,0)</f>
        <v>0</v>
      </c>
      <c r="CC872" s="483">
        <f>IF(Input!$Q298&lt;=Calcs!CB$823,Input!$W298,0)</f>
        <v>0</v>
      </c>
      <c r="CD872" s="483">
        <f>IF(Input!$Q298&lt;=Calcs!CC$823,Input!$W298,0)</f>
        <v>0</v>
      </c>
      <c r="CE872" s="483">
        <f>IF(Input!$Q298&lt;=Calcs!CD$823,Input!$W298,0)</f>
        <v>0</v>
      </c>
      <c r="CF872" s="483">
        <f>IF(Input!$Q298&lt;=Calcs!CE$823,Input!$W298,0)</f>
        <v>0</v>
      </c>
      <c r="CG872" s="483">
        <f>IF(Input!$Q298&lt;=Calcs!CF$823,Input!$W298,0)</f>
        <v>0</v>
      </c>
      <c r="CH872" s="483">
        <f>IF(Input!$Q298&lt;=Calcs!CG$823,Input!$W298,0)</f>
        <v>0</v>
      </c>
      <c r="CI872" s="483">
        <f>IF(Input!$Q298&lt;=Calcs!CH$823,Input!$W298,0)</f>
        <v>0</v>
      </c>
      <c r="CJ872" s="483">
        <f>IF(Input!$Q298&lt;=Calcs!CI$823,Input!$W298,0)</f>
        <v>0</v>
      </c>
      <c r="CK872" s="483">
        <f>IF(Input!$Q298&lt;=Calcs!CJ$823,Input!$W298,0)</f>
        <v>0</v>
      </c>
      <c r="CL872" s="483">
        <f>IF(Input!$Q298&lt;=Calcs!CK$823,Input!$W298,0)</f>
        <v>0</v>
      </c>
      <c r="CM872" s="483">
        <f>IF(Input!$Q298&lt;=Calcs!CL$823,Input!$W298,0)</f>
        <v>0</v>
      </c>
      <c r="CN872" s="483">
        <f>IF(Input!$Q298&lt;=Calcs!CM$823,Input!$W298,0)</f>
        <v>0</v>
      </c>
      <c r="CO872" s="483">
        <f>IF(Input!$Q298&lt;=Calcs!CN$823,Input!$W298,0)</f>
        <v>0</v>
      </c>
      <c r="CP872" s="483">
        <f>IF(Input!$Q298&lt;=Calcs!CO$823,Input!$W298,0)</f>
        <v>0</v>
      </c>
      <c r="CQ872" s="483">
        <f>IF(Input!$Q298&lt;=Calcs!CP$823,Input!$W298,0)</f>
        <v>0</v>
      </c>
      <c r="CR872" s="483">
        <f>IF(Input!$Q298&lt;=Calcs!CQ$823,Input!$W298,0)</f>
        <v>0</v>
      </c>
      <c r="CS872" s="483">
        <f>IF(Input!$Q298&lt;=Calcs!CR$823,Input!$W298,0)</f>
        <v>0</v>
      </c>
      <c r="CT872" s="483">
        <f>IF(Input!$Q298&lt;=Calcs!CS$823,Input!$W298,0)</f>
        <v>0</v>
      </c>
      <c r="CU872" s="483">
        <f>IF(Input!$Q298&lt;=Calcs!CT$823,Input!$W298,0)</f>
        <v>0</v>
      </c>
      <c r="CV872" s="483">
        <f>IF(Input!$Q298&lt;=Calcs!CU$823,Input!$W298,0)</f>
        <v>0</v>
      </c>
      <c r="CW872" s="483">
        <f>IF(Input!$Q298&lt;=Calcs!CV$823,Input!$W298,0)</f>
        <v>0</v>
      </c>
      <c r="CX872" s="483">
        <f>IF(Input!$Q298&lt;=Calcs!CW$823,Input!$W298,0)</f>
        <v>0</v>
      </c>
      <c r="CY872" s="483">
        <f>IF(Input!$Q298&lt;=Calcs!CX$823,Input!$W298,0)</f>
        <v>0</v>
      </c>
      <c r="CZ872" s="483">
        <f>IF(Input!$Q298&lt;=Calcs!CY$823,Input!$W298,0)</f>
        <v>0</v>
      </c>
      <c r="DA872" s="483">
        <f>IF(Input!$Q298&lt;=Calcs!CZ$823,Input!$W298,0)</f>
        <v>0</v>
      </c>
      <c r="DB872" s="483">
        <f>IF(Input!$Q298&lt;=Calcs!DA$823,Input!$W298,0)</f>
        <v>0</v>
      </c>
      <c r="DC872" s="483">
        <f>IF(Input!$Q298&lt;=Calcs!DB$823,Input!$W298,0)</f>
        <v>0</v>
      </c>
      <c r="DD872" s="483">
        <f>IF(Input!$Q298&lt;=Calcs!DC$823,Input!$W298,0)</f>
        <v>0</v>
      </c>
      <c r="DE872" s="483">
        <f>IF(Input!$Q298&lt;=Calcs!DD$823,Input!$W298,0)</f>
        <v>0</v>
      </c>
      <c r="DF872" s="483">
        <f>IF(Input!$Q298&lt;=Calcs!DE$823,Input!$W298,0)</f>
        <v>0</v>
      </c>
      <c r="DG872" s="483">
        <f>IF(Input!$Q298&lt;=Calcs!DF$823,Input!$W298,0)</f>
        <v>0</v>
      </c>
      <c r="DH872" s="483">
        <f>IF(Input!$Q298&lt;=Calcs!DG$823,Input!$W298,0)</f>
        <v>0</v>
      </c>
      <c r="DI872" s="483">
        <f>IF(Input!$Q298&lt;=Calcs!DH$823,Input!$W298,0)</f>
        <v>0</v>
      </c>
      <c r="DJ872" s="483">
        <f>IF(Input!$Q298&lt;=Calcs!DI$823,Input!$W298,0)</f>
        <v>0</v>
      </c>
      <c r="DK872" s="483">
        <f>IF(Input!$Q298&lt;=Calcs!DJ$823,Input!$W298,0)</f>
        <v>0</v>
      </c>
      <c r="DL872" s="483">
        <f>IF(Input!$Q298&lt;=Calcs!DK$823,Input!$W298,0)</f>
        <v>0</v>
      </c>
      <c r="DM872" s="483">
        <f>IF(Input!$Q298&lt;=Calcs!DL$823,Input!$W298,0)</f>
        <v>0</v>
      </c>
      <c r="DN872" s="483">
        <f>IF(Input!$Q298&lt;=Calcs!DM$823,Input!$W298,0)</f>
        <v>0</v>
      </c>
      <c r="DO872" s="483">
        <f>IF(Input!$Q298&lt;=Calcs!DN$823,Input!$W298,0)</f>
        <v>0</v>
      </c>
      <c r="DP872" s="483">
        <f>IF(Input!$Q298&lt;=Calcs!DO$823,Input!$W298,0)</f>
        <v>0</v>
      </c>
      <c r="DQ872" s="483">
        <f>IF(Input!$Q298&lt;=Calcs!DP$823,Input!$W298,0)</f>
        <v>0</v>
      </c>
      <c r="DR872" s="378">
        <f>IF(Input!$Q298&lt;=Calcs!DQ$823,Input!$W298,0)</f>
        <v>0</v>
      </c>
      <c r="DS872" s="378">
        <f>IF(Input!$Q298&lt;=Calcs!DR$823,Input!$W298,0)</f>
        <v>0</v>
      </c>
      <c r="DT872" s="378">
        <f>IF(Input!$Q298&lt;=Calcs!DS$823,Input!$W298,0)</f>
        <v>0</v>
      </c>
      <c r="DU872" s="378">
        <f>IF(Input!$Q298&lt;=Calcs!DT$823,Input!$W298,0)</f>
        <v>0</v>
      </c>
      <c r="DV872" s="378">
        <f>IF(Input!$Q298&lt;=Calcs!DU$823,Input!$W298,0)</f>
        <v>0</v>
      </c>
      <c r="DW872" s="378">
        <f>IF(Input!$Q298&lt;=Calcs!DV$823,Input!$W298,0)</f>
        <v>0</v>
      </c>
      <c r="DX872" s="378">
        <f>IF(Input!$Q298&lt;=Calcs!DW$823,Input!$W298,0)</f>
        <v>0</v>
      </c>
      <c r="DY872" s="378">
        <f>IF(Input!$Q298&lt;=Calcs!DX$823,Input!$W298,0)</f>
        <v>0</v>
      </c>
      <c r="DZ872" s="378">
        <f>IF(Input!$Q298&lt;=Calcs!DY$823,Input!$W298,0)</f>
        <v>0</v>
      </c>
      <c r="EA872" s="378">
        <f>IF(Input!$Q298&lt;=Calcs!DZ$823,Input!$W298,0)</f>
        <v>0</v>
      </c>
      <c r="EB872" s="378">
        <f>IF(Input!$Q298&lt;=Calcs!EA$823,Input!$W298,0)</f>
        <v>0</v>
      </c>
      <c r="EC872" s="378">
        <f>IF(Input!$Q298&lt;=Calcs!EB$823,Input!$W298,0)</f>
        <v>0</v>
      </c>
      <c r="ED872" s="378">
        <f>IF(Input!$Q298&lt;=Calcs!EC$823,Input!$W298,0)</f>
        <v>0</v>
      </c>
      <c r="EE872" s="378">
        <f>IF(Input!$Q298&lt;=Calcs!ED$823,Input!$W298,0)</f>
        <v>0</v>
      </c>
      <c r="EF872" s="378">
        <f>IF(Input!$Q298&lt;=Calcs!EE$823,Input!$W298,0)</f>
        <v>0</v>
      </c>
      <c r="EG872" s="378">
        <f>IF(Input!$Q298&lt;=Calcs!EF$823,Input!$W298,0)</f>
        <v>0</v>
      </c>
      <c r="EH872" s="378">
        <f>IF(Input!$Q298&lt;=Calcs!EG$823,Input!$W298,0)</f>
        <v>0</v>
      </c>
      <c r="EI872" s="378">
        <f>IF(Input!$Q298&lt;=Calcs!EH$823,Input!$W298,0)</f>
        <v>0</v>
      </c>
      <c r="EJ872" s="378">
        <f>IF(Input!$Q298&lt;=Calcs!EI$823,Input!$W298,0)</f>
        <v>0</v>
      </c>
      <c r="EK872" s="378">
        <f>IF(Input!$Q298&lt;=Calcs!EJ$823,Input!$W298,0)</f>
        <v>0</v>
      </c>
      <c r="EL872" s="378">
        <f>IF(Input!$Q298&lt;=Calcs!EK$823,Input!$W298,0)</f>
        <v>0</v>
      </c>
      <c r="EM872" s="378">
        <f>IF(Input!$Q298&lt;=Calcs!EL$823,Input!$W298,0)</f>
        <v>0</v>
      </c>
      <c r="EN872" s="378">
        <f>IF(Input!$Q298&lt;=Calcs!EM$823,Input!$W298,0)</f>
        <v>0</v>
      </c>
      <c r="EO872" s="378">
        <f>IF(Input!$Q298&lt;=Calcs!EN$823,Input!$W298,0)</f>
        <v>0</v>
      </c>
      <c r="EP872" s="378">
        <f>IF(Input!$Q298&lt;=Calcs!EO$823,Input!$W298,0)</f>
        <v>0</v>
      </c>
      <c r="EQ872" s="378">
        <f>IF(Input!$Q298&lt;=Calcs!EP$823,Input!$W298,0)</f>
        <v>0</v>
      </c>
      <c r="ER872" s="378">
        <f>IF(Input!$Q298&lt;=Calcs!EQ$823,Input!$W298,0)</f>
        <v>0</v>
      </c>
      <c r="ES872" s="378">
        <f>IF(Input!$Q298&lt;=Calcs!ER$823,Input!$W298,0)</f>
        <v>0</v>
      </c>
      <c r="ET872" s="378">
        <f>IF(Input!$Q298&lt;=Calcs!ES$823,Input!$W298,0)</f>
        <v>0</v>
      </c>
      <c r="EU872" s="378">
        <f>IF(Input!$Q298&lt;=Calcs!ET$823,Input!$W298,0)</f>
        <v>0</v>
      </c>
      <c r="EV872" s="378">
        <f>IF(Input!$Q298&lt;=Calcs!EU$823,Input!$W298,0)</f>
        <v>0</v>
      </c>
    </row>
    <row r="873" spans="1:152" s="12" customFormat="1" ht="12" customHeight="1" x14ac:dyDescent="0.35">
      <c r="A873" s="84"/>
      <c r="B873" s="13"/>
      <c r="C873" s="13"/>
      <c r="D873" s="13"/>
      <c r="E873" s="13"/>
      <c r="F873" s="13"/>
      <c r="G873" s="1804"/>
      <c r="H873" s="1183"/>
      <c r="I873" s="1804"/>
      <c r="J873" s="1804"/>
      <c r="K873" s="141"/>
      <c r="L873" s="141"/>
      <c r="M873" s="141"/>
      <c r="N873" s="141"/>
      <c r="O873" s="141"/>
      <c r="P873" s="141"/>
      <c r="Q873" s="141"/>
      <c r="R873" s="31"/>
      <c r="S873" s="36"/>
      <c r="T873" s="376"/>
      <c r="U873" s="29"/>
      <c r="V873" s="29"/>
      <c r="W873" s="377"/>
      <c r="X873" s="376"/>
      <c r="Y873" s="29"/>
      <c r="Z873" s="29"/>
      <c r="AA873" s="29"/>
      <c r="AB873" s="29"/>
      <c r="AC873" s="29">
        <f t="shared" si="622"/>
        <v>16</v>
      </c>
      <c r="AD873" s="1804"/>
      <c r="AE873" s="376" t="str">
        <f t="shared" si="623"/>
        <v>Convertible Note #3</v>
      </c>
      <c r="AF873" s="763">
        <f>Input!P299</f>
        <v>0</v>
      </c>
      <c r="AG873" s="483">
        <f>IF(Input!$Q299&lt;=Calcs!AF$823,Input!$W299,0)</f>
        <v>0</v>
      </c>
      <c r="AH873" s="483">
        <f>IF(Input!$Q299&lt;=Calcs!AG$823,Input!$W299,0)</f>
        <v>0</v>
      </c>
      <c r="AI873" s="483">
        <f>IF(Input!$Q299&lt;=Calcs!AH$823,Input!$W299,0)</f>
        <v>0</v>
      </c>
      <c r="AJ873" s="483">
        <f>IF(Input!$Q299&lt;=Calcs!AI$823,Input!$W299,0)</f>
        <v>0</v>
      </c>
      <c r="AK873" s="483">
        <f>IF(Input!$Q299&lt;=Calcs!AJ$823,Input!$W299,0)</f>
        <v>0</v>
      </c>
      <c r="AL873" s="483">
        <f>IF(Input!$Q299&lt;=Calcs!AK$823,Input!$W299,0)</f>
        <v>0</v>
      </c>
      <c r="AM873" s="483">
        <f>IF(Input!$Q299&lt;=Calcs!AL$823,Input!$W299,0)</f>
        <v>0</v>
      </c>
      <c r="AN873" s="483">
        <f>IF(Input!$Q299&lt;=Calcs!AM$823,Input!$W299,0)</f>
        <v>0</v>
      </c>
      <c r="AO873" s="483">
        <f>IF(Input!$Q299&lt;=Calcs!AN$823,Input!$W299,0)</f>
        <v>0</v>
      </c>
      <c r="AP873" s="483">
        <f>IF(Input!$Q299&lt;=Calcs!AO$823,Input!$W299,0)</f>
        <v>0</v>
      </c>
      <c r="AQ873" s="483">
        <f>IF(Input!$Q299&lt;=Calcs!AP$823,Input!$W299,0)</f>
        <v>0</v>
      </c>
      <c r="AR873" s="483">
        <f>IF(Input!$Q299&lt;=Calcs!AQ$823,Input!$W299,0)</f>
        <v>0</v>
      </c>
      <c r="AS873" s="483">
        <f>IF(Input!$Q299&lt;=Calcs!AR$823,Input!$W299,0)</f>
        <v>0</v>
      </c>
      <c r="AT873" s="483">
        <f>IF(Input!$Q299&lt;=Calcs!AS$823,Input!$W299,0)</f>
        <v>0</v>
      </c>
      <c r="AU873" s="483">
        <f>IF(Input!$Q299&lt;=Calcs!AT$823,Input!$W299,0)</f>
        <v>0</v>
      </c>
      <c r="AV873" s="483">
        <f>IF(Input!$Q299&lt;=Calcs!AU$823,Input!$W299,0)</f>
        <v>0</v>
      </c>
      <c r="AW873" s="483">
        <f>IF(Input!$Q299&lt;=Calcs!AV$823,Input!$W299,0)</f>
        <v>0</v>
      </c>
      <c r="AX873" s="483">
        <f>IF(Input!$Q299&lt;=Calcs!AW$823,Input!$W299,0)</f>
        <v>0</v>
      </c>
      <c r="AY873" s="483">
        <f>IF(Input!$Q299&lt;=Calcs!AX$823,Input!$W299,0)</f>
        <v>0</v>
      </c>
      <c r="AZ873" s="483">
        <f>IF(Input!$Q299&lt;=Calcs!AY$823,Input!$W299,0)</f>
        <v>0</v>
      </c>
      <c r="BA873" s="483">
        <f>IF(Input!$Q299&lt;=Calcs!AZ$823,Input!$W299,0)</f>
        <v>0</v>
      </c>
      <c r="BB873" s="483">
        <f>IF(Input!$Q299&lt;=Calcs!BA$823,Input!$W299,0)</f>
        <v>0</v>
      </c>
      <c r="BC873" s="483">
        <f>IF(Input!$Q299&lt;=Calcs!BB$823,Input!$W299,0)</f>
        <v>0</v>
      </c>
      <c r="BD873" s="483">
        <f>IF(Input!$Q299&lt;=Calcs!BC$823,Input!$W299,0)</f>
        <v>0</v>
      </c>
      <c r="BE873" s="483">
        <f>IF(Input!$Q299&lt;=Calcs!BD$823,Input!$W299,0)</f>
        <v>0</v>
      </c>
      <c r="BF873" s="483">
        <f>IF(Input!$Q299&lt;=Calcs!BE$823,Input!$W299,0)</f>
        <v>0</v>
      </c>
      <c r="BG873" s="483">
        <f>IF(Input!$Q299&lt;=Calcs!BF$823,Input!$W299,0)</f>
        <v>0</v>
      </c>
      <c r="BH873" s="483">
        <f>IF(Input!$Q299&lt;=Calcs!BG$823,Input!$W299,0)</f>
        <v>0</v>
      </c>
      <c r="BI873" s="483">
        <f>IF(Input!$Q299&lt;=Calcs!BH$823,Input!$W299,0)</f>
        <v>0</v>
      </c>
      <c r="BJ873" s="483">
        <f>IF(Input!$Q299&lt;=Calcs!BI$823,Input!$W299,0)</f>
        <v>0</v>
      </c>
      <c r="BK873" s="483">
        <f>IF(Input!$Q299&lt;=Calcs!BJ$823,Input!$W299,0)</f>
        <v>0</v>
      </c>
      <c r="BL873" s="483">
        <f>IF(Input!$Q299&lt;=Calcs!BK$823,Input!$W299,0)</f>
        <v>0</v>
      </c>
      <c r="BM873" s="483">
        <f>IF(Input!$Q299&lt;=Calcs!BL$823,Input!$W299,0)</f>
        <v>0</v>
      </c>
      <c r="BN873" s="483">
        <f>IF(Input!$Q299&lt;=Calcs!BM$823,Input!$W299,0)</f>
        <v>0</v>
      </c>
      <c r="BO873" s="483">
        <f>IF(Input!$Q299&lt;=Calcs!BN$823,Input!$W299,0)</f>
        <v>0</v>
      </c>
      <c r="BP873" s="483">
        <f>IF(Input!$Q299&lt;=Calcs!BO$823,Input!$W299,0)</f>
        <v>0</v>
      </c>
      <c r="BQ873" s="483">
        <f>IF(Input!$Q299&lt;=Calcs!BP$823,Input!$W299,0)</f>
        <v>0</v>
      </c>
      <c r="BR873" s="483">
        <f>IF(Input!$Q299&lt;=Calcs!BQ$823,Input!$W299,0)</f>
        <v>0</v>
      </c>
      <c r="BS873" s="483">
        <f>IF(Input!$Q299&lt;=Calcs!BR$823,Input!$W299,0)</f>
        <v>0</v>
      </c>
      <c r="BT873" s="483">
        <f>IF(Input!$Q299&lt;=Calcs!BS$823,Input!$W299,0)</f>
        <v>0</v>
      </c>
      <c r="BU873" s="483">
        <f>IF(Input!$Q299&lt;=Calcs!BT$823,Input!$W299,0)</f>
        <v>0</v>
      </c>
      <c r="BV873" s="483">
        <f>IF(Input!$Q299&lt;=Calcs!BU$823,Input!$W299,0)</f>
        <v>0</v>
      </c>
      <c r="BW873" s="483">
        <f>IF(Input!$Q299&lt;=Calcs!BV$823,Input!$W299,0)</f>
        <v>0</v>
      </c>
      <c r="BX873" s="483">
        <f>IF(Input!$Q299&lt;=Calcs!BW$823,Input!$W299,0)</f>
        <v>0</v>
      </c>
      <c r="BY873" s="483">
        <f>IF(Input!$Q299&lt;=Calcs!BX$823,Input!$W299,0)</f>
        <v>0</v>
      </c>
      <c r="BZ873" s="483">
        <f>IF(Input!$Q299&lt;=Calcs!BY$823,Input!$W299,0)</f>
        <v>0</v>
      </c>
      <c r="CA873" s="483">
        <f>IF(Input!$Q299&lt;=Calcs!BZ$823,Input!$W299,0)</f>
        <v>0</v>
      </c>
      <c r="CB873" s="483">
        <f>IF(Input!$Q299&lt;=Calcs!CA$823,Input!$W299,0)</f>
        <v>0</v>
      </c>
      <c r="CC873" s="483">
        <f>IF(Input!$Q299&lt;=Calcs!CB$823,Input!$W299,0)</f>
        <v>0</v>
      </c>
      <c r="CD873" s="483">
        <f>IF(Input!$Q299&lt;=Calcs!CC$823,Input!$W299,0)</f>
        <v>0</v>
      </c>
      <c r="CE873" s="483">
        <f>IF(Input!$Q299&lt;=Calcs!CD$823,Input!$W299,0)</f>
        <v>0</v>
      </c>
      <c r="CF873" s="483">
        <f>IF(Input!$Q299&lt;=Calcs!CE$823,Input!$W299,0)</f>
        <v>0</v>
      </c>
      <c r="CG873" s="483">
        <f>IF(Input!$Q299&lt;=Calcs!CF$823,Input!$W299,0)</f>
        <v>0</v>
      </c>
      <c r="CH873" s="483">
        <f>IF(Input!$Q299&lt;=Calcs!CG$823,Input!$W299,0)</f>
        <v>0</v>
      </c>
      <c r="CI873" s="483">
        <f>IF(Input!$Q299&lt;=Calcs!CH$823,Input!$W299,0)</f>
        <v>0</v>
      </c>
      <c r="CJ873" s="483">
        <f>IF(Input!$Q299&lt;=Calcs!CI$823,Input!$W299,0)</f>
        <v>0</v>
      </c>
      <c r="CK873" s="483">
        <f>IF(Input!$Q299&lt;=Calcs!CJ$823,Input!$W299,0)</f>
        <v>0</v>
      </c>
      <c r="CL873" s="483">
        <f>IF(Input!$Q299&lt;=Calcs!CK$823,Input!$W299,0)</f>
        <v>0</v>
      </c>
      <c r="CM873" s="483">
        <f>IF(Input!$Q299&lt;=Calcs!CL$823,Input!$W299,0)</f>
        <v>0</v>
      </c>
      <c r="CN873" s="483">
        <f>IF(Input!$Q299&lt;=Calcs!CM$823,Input!$W299,0)</f>
        <v>0</v>
      </c>
      <c r="CO873" s="483">
        <f>IF(Input!$Q299&lt;=Calcs!CN$823,Input!$W299,0)</f>
        <v>0</v>
      </c>
      <c r="CP873" s="483">
        <f>IF(Input!$Q299&lt;=Calcs!CO$823,Input!$W299,0)</f>
        <v>0</v>
      </c>
      <c r="CQ873" s="483">
        <f>IF(Input!$Q299&lt;=Calcs!CP$823,Input!$W299,0)</f>
        <v>0</v>
      </c>
      <c r="CR873" s="483">
        <f>IF(Input!$Q299&lt;=Calcs!CQ$823,Input!$W299,0)</f>
        <v>0</v>
      </c>
      <c r="CS873" s="483">
        <f>IF(Input!$Q299&lt;=Calcs!CR$823,Input!$W299,0)</f>
        <v>0</v>
      </c>
      <c r="CT873" s="483">
        <f>IF(Input!$Q299&lt;=Calcs!CS$823,Input!$W299,0)</f>
        <v>0</v>
      </c>
      <c r="CU873" s="483">
        <f>IF(Input!$Q299&lt;=Calcs!CT$823,Input!$W299,0)</f>
        <v>0</v>
      </c>
      <c r="CV873" s="483">
        <f>IF(Input!$Q299&lt;=Calcs!CU$823,Input!$W299,0)</f>
        <v>0</v>
      </c>
      <c r="CW873" s="483">
        <f>IF(Input!$Q299&lt;=Calcs!CV$823,Input!$W299,0)</f>
        <v>0</v>
      </c>
      <c r="CX873" s="483">
        <f>IF(Input!$Q299&lt;=Calcs!CW$823,Input!$W299,0)</f>
        <v>0</v>
      </c>
      <c r="CY873" s="483">
        <f>IF(Input!$Q299&lt;=Calcs!CX$823,Input!$W299,0)</f>
        <v>0</v>
      </c>
      <c r="CZ873" s="483">
        <f>IF(Input!$Q299&lt;=Calcs!CY$823,Input!$W299,0)</f>
        <v>0</v>
      </c>
      <c r="DA873" s="483">
        <f>IF(Input!$Q299&lt;=Calcs!CZ$823,Input!$W299,0)</f>
        <v>0</v>
      </c>
      <c r="DB873" s="483">
        <f>IF(Input!$Q299&lt;=Calcs!DA$823,Input!$W299,0)</f>
        <v>0</v>
      </c>
      <c r="DC873" s="483">
        <f>IF(Input!$Q299&lt;=Calcs!DB$823,Input!$W299,0)</f>
        <v>0</v>
      </c>
      <c r="DD873" s="483">
        <f>IF(Input!$Q299&lt;=Calcs!DC$823,Input!$W299,0)</f>
        <v>0</v>
      </c>
      <c r="DE873" s="483">
        <f>IF(Input!$Q299&lt;=Calcs!DD$823,Input!$W299,0)</f>
        <v>0</v>
      </c>
      <c r="DF873" s="483">
        <f>IF(Input!$Q299&lt;=Calcs!DE$823,Input!$W299,0)</f>
        <v>0</v>
      </c>
      <c r="DG873" s="483">
        <f>IF(Input!$Q299&lt;=Calcs!DF$823,Input!$W299,0)</f>
        <v>0</v>
      </c>
      <c r="DH873" s="483">
        <f>IF(Input!$Q299&lt;=Calcs!DG$823,Input!$W299,0)</f>
        <v>0</v>
      </c>
      <c r="DI873" s="483">
        <f>IF(Input!$Q299&lt;=Calcs!DH$823,Input!$W299,0)</f>
        <v>0</v>
      </c>
      <c r="DJ873" s="483">
        <f>IF(Input!$Q299&lt;=Calcs!DI$823,Input!$W299,0)</f>
        <v>0</v>
      </c>
      <c r="DK873" s="483">
        <f>IF(Input!$Q299&lt;=Calcs!DJ$823,Input!$W299,0)</f>
        <v>0</v>
      </c>
      <c r="DL873" s="483">
        <f>IF(Input!$Q299&lt;=Calcs!DK$823,Input!$W299,0)</f>
        <v>0</v>
      </c>
      <c r="DM873" s="483">
        <f>IF(Input!$Q299&lt;=Calcs!DL$823,Input!$W299,0)</f>
        <v>0</v>
      </c>
      <c r="DN873" s="483">
        <f>IF(Input!$Q299&lt;=Calcs!DM$823,Input!$W299,0)</f>
        <v>0</v>
      </c>
      <c r="DO873" s="483">
        <f>IF(Input!$Q299&lt;=Calcs!DN$823,Input!$W299,0)</f>
        <v>0</v>
      </c>
      <c r="DP873" s="483">
        <f>IF(Input!$Q299&lt;=Calcs!DO$823,Input!$W299,0)</f>
        <v>0</v>
      </c>
      <c r="DQ873" s="483">
        <f>IF(Input!$Q299&lt;=Calcs!DP$823,Input!$W299,0)</f>
        <v>0</v>
      </c>
      <c r="DR873" s="378">
        <f>IF(Input!$Q299&lt;=Calcs!DQ$823,Input!$W299,0)</f>
        <v>0</v>
      </c>
      <c r="DS873" s="378">
        <f>IF(Input!$Q299&lt;=Calcs!DR$823,Input!$W299,0)</f>
        <v>0</v>
      </c>
      <c r="DT873" s="378">
        <f>IF(Input!$Q299&lt;=Calcs!DS$823,Input!$W299,0)</f>
        <v>0</v>
      </c>
      <c r="DU873" s="378">
        <f>IF(Input!$Q299&lt;=Calcs!DT$823,Input!$W299,0)</f>
        <v>0</v>
      </c>
      <c r="DV873" s="378">
        <f>IF(Input!$Q299&lt;=Calcs!DU$823,Input!$W299,0)</f>
        <v>0</v>
      </c>
      <c r="DW873" s="378">
        <f>IF(Input!$Q299&lt;=Calcs!DV$823,Input!$W299,0)</f>
        <v>0</v>
      </c>
      <c r="DX873" s="378">
        <f>IF(Input!$Q299&lt;=Calcs!DW$823,Input!$W299,0)</f>
        <v>0</v>
      </c>
      <c r="DY873" s="378">
        <f>IF(Input!$Q299&lt;=Calcs!DX$823,Input!$W299,0)</f>
        <v>0</v>
      </c>
      <c r="DZ873" s="378">
        <f>IF(Input!$Q299&lt;=Calcs!DY$823,Input!$W299,0)</f>
        <v>0</v>
      </c>
      <c r="EA873" s="378">
        <f>IF(Input!$Q299&lt;=Calcs!DZ$823,Input!$W299,0)</f>
        <v>0</v>
      </c>
      <c r="EB873" s="378">
        <f>IF(Input!$Q299&lt;=Calcs!EA$823,Input!$W299,0)</f>
        <v>0</v>
      </c>
      <c r="EC873" s="378">
        <f>IF(Input!$Q299&lt;=Calcs!EB$823,Input!$W299,0)</f>
        <v>0</v>
      </c>
      <c r="ED873" s="378">
        <f>IF(Input!$Q299&lt;=Calcs!EC$823,Input!$W299,0)</f>
        <v>0</v>
      </c>
      <c r="EE873" s="378">
        <f>IF(Input!$Q299&lt;=Calcs!ED$823,Input!$W299,0)</f>
        <v>0</v>
      </c>
      <c r="EF873" s="378">
        <f>IF(Input!$Q299&lt;=Calcs!EE$823,Input!$W299,0)</f>
        <v>0</v>
      </c>
      <c r="EG873" s="378">
        <f>IF(Input!$Q299&lt;=Calcs!EF$823,Input!$W299,0)</f>
        <v>0</v>
      </c>
      <c r="EH873" s="378">
        <f>IF(Input!$Q299&lt;=Calcs!EG$823,Input!$W299,0)</f>
        <v>0</v>
      </c>
      <c r="EI873" s="378">
        <f>IF(Input!$Q299&lt;=Calcs!EH$823,Input!$W299,0)</f>
        <v>0</v>
      </c>
      <c r="EJ873" s="378">
        <f>IF(Input!$Q299&lt;=Calcs!EI$823,Input!$W299,0)</f>
        <v>0</v>
      </c>
      <c r="EK873" s="378">
        <f>IF(Input!$Q299&lt;=Calcs!EJ$823,Input!$W299,0)</f>
        <v>0</v>
      </c>
      <c r="EL873" s="378">
        <f>IF(Input!$Q299&lt;=Calcs!EK$823,Input!$W299,0)</f>
        <v>0</v>
      </c>
      <c r="EM873" s="378">
        <f>IF(Input!$Q299&lt;=Calcs!EL$823,Input!$W299,0)</f>
        <v>0</v>
      </c>
      <c r="EN873" s="378">
        <f>IF(Input!$Q299&lt;=Calcs!EM$823,Input!$W299,0)</f>
        <v>0</v>
      </c>
      <c r="EO873" s="378">
        <f>IF(Input!$Q299&lt;=Calcs!EN$823,Input!$W299,0)</f>
        <v>0</v>
      </c>
      <c r="EP873" s="378">
        <f>IF(Input!$Q299&lt;=Calcs!EO$823,Input!$W299,0)</f>
        <v>0</v>
      </c>
      <c r="EQ873" s="378">
        <f>IF(Input!$Q299&lt;=Calcs!EP$823,Input!$W299,0)</f>
        <v>0</v>
      </c>
      <c r="ER873" s="378">
        <f>IF(Input!$Q299&lt;=Calcs!EQ$823,Input!$W299,0)</f>
        <v>0</v>
      </c>
      <c r="ES873" s="378">
        <f>IF(Input!$Q299&lt;=Calcs!ER$823,Input!$W299,0)</f>
        <v>0</v>
      </c>
      <c r="ET873" s="378">
        <f>IF(Input!$Q299&lt;=Calcs!ES$823,Input!$W299,0)</f>
        <v>0</v>
      </c>
      <c r="EU873" s="378">
        <f>IF(Input!$Q299&lt;=Calcs!ET$823,Input!$W299,0)</f>
        <v>0</v>
      </c>
      <c r="EV873" s="378">
        <f>IF(Input!$Q299&lt;=Calcs!EU$823,Input!$W299,0)</f>
        <v>0</v>
      </c>
    </row>
    <row r="874" spans="1:152" s="12" customFormat="1" ht="12" customHeight="1" x14ac:dyDescent="0.35">
      <c r="A874" s="84"/>
      <c r="B874" s="13"/>
      <c r="C874" s="13"/>
      <c r="D874" s="13"/>
      <c r="E874" s="13"/>
      <c r="F874" s="13"/>
      <c r="G874" s="1804"/>
      <c r="H874" s="1183"/>
      <c r="I874" s="1804"/>
      <c r="J874" s="1804"/>
      <c r="K874" s="141"/>
      <c r="L874" s="141"/>
      <c r="M874" s="141"/>
      <c r="N874" s="141"/>
      <c r="O874" s="141"/>
      <c r="P874" s="141"/>
      <c r="Q874" s="141"/>
      <c r="R874" s="31"/>
      <c r="S874" s="36"/>
      <c r="T874" s="376"/>
      <c r="U874" s="29"/>
      <c r="V874" s="29"/>
      <c r="W874" s="377"/>
      <c r="X874" s="376"/>
      <c r="Y874" s="29"/>
      <c r="Z874" s="29"/>
      <c r="AA874" s="29"/>
      <c r="AB874" s="29"/>
      <c r="AC874" s="29"/>
      <c r="AD874" s="29"/>
      <c r="AE874" s="376"/>
      <c r="AF874" s="376"/>
      <c r="AG874" s="380"/>
      <c r="AH874" s="380"/>
      <c r="AI874" s="380"/>
      <c r="AJ874" s="380"/>
      <c r="AK874" s="380"/>
      <c r="AL874" s="380"/>
      <c r="AM874" s="380"/>
      <c r="AN874" s="380"/>
      <c r="AO874" s="380"/>
      <c r="AP874" s="380"/>
      <c r="AQ874" s="380"/>
      <c r="AR874" s="1144"/>
      <c r="AS874" s="380"/>
      <c r="AT874" s="380"/>
      <c r="AU874" s="380"/>
      <c r="AV874" s="380"/>
      <c r="AW874" s="380"/>
      <c r="AX874" s="380"/>
      <c r="AY874" s="380"/>
      <c r="AZ874" s="380"/>
      <c r="BA874" s="380"/>
      <c r="BB874" s="380"/>
      <c r="BC874" s="380"/>
      <c r="BD874" s="380"/>
      <c r="BE874" s="380"/>
      <c r="BF874" s="380"/>
      <c r="BG874" s="380"/>
      <c r="BH874" s="380"/>
      <c r="BI874" s="380"/>
      <c r="BJ874" s="380"/>
      <c r="BK874" s="380"/>
      <c r="BL874" s="380"/>
      <c r="BM874" s="380"/>
      <c r="BN874" s="380"/>
      <c r="BO874" s="380"/>
      <c r="BP874" s="380"/>
      <c r="BQ874" s="380"/>
      <c r="BR874" s="380"/>
      <c r="BS874" s="380"/>
      <c r="BT874" s="380"/>
      <c r="BU874" s="380"/>
      <c r="BV874" s="380"/>
      <c r="BW874" s="380"/>
      <c r="BX874" s="380"/>
      <c r="BY874" s="380"/>
      <c r="BZ874" s="380"/>
      <c r="CA874" s="380"/>
      <c r="CB874" s="380"/>
      <c r="CC874" s="380"/>
      <c r="CD874" s="380"/>
      <c r="CE874" s="380"/>
      <c r="CF874" s="380"/>
      <c r="CG874" s="380"/>
      <c r="CH874" s="380"/>
      <c r="CI874" s="380"/>
      <c r="CJ874" s="380"/>
      <c r="CK874" s="380"/>
      <c r="CL874" s="380"/>
      <c r="CM874" s="380"/>
      <c r="CN874" s="380"/>
      <c r="CO874" s="1183"/>
      <c r="CP874" s="1183"/>
      <c r="CQ874" s="1183"/>
      <c r="CR874" s="1183"/>
      <c r="CS874" s="1183"/>
      <c r="CT874" s="1183"/>
      <c r="CU874" s="1183"/>
      <c r="CV874" s="1183"/>
      <c r="CW874" s="1183"/>
      <c r="CX874" s="1183"/>
      <c r="CY874" s="1183"/>
      <c r="CZ874" s="1183"/>
      <c r="DA874" s="1183"/>
      <c r="DB874" s="1183"/>
      <c r="DC874" s="1183"/>
      <c r="DD874" s="1183"/>
      <c r="DE874" s="1183"/>
      <c r="DF874" s="1183"/>
      <c r="DG874" s="1183"/>
      <c r="DH874" s="1183"/>
      <c r="DI874" s="1183"/>
      <c r="DJ874" s="1183"/>
      <c r="DK874" s="1183"/>
      <c r="DL874" s="1183"/>
      <c r="DM874" s="1183"/>
      <c r="DN874" s="1183"/>
      <c r="DO874" s="1183"/>
      <c r="DP874" s="1183"/>
      <c r="DQ874" s="1183"/>
      <c r="DR874" s="1804"/>
      <c r="DS874" s="1804"/>
      <c r="DT874" s="1804"/>
      <c r="DU874" s="1804"/>
      <c r="DV874" s="1804"/>
      <c r="DW874" s="1804"/>
      <c r="DX874" s="1804"/>
      <c r="DY874" s="1804"/>
      <c r="DZ874" s="1804"/>
      <c r="EA874" s="1804"/>
      <c r="EB874" s="1804"/>
      <c r="EC874" s="1804"/>
      <c r="ED874" s="1804"/>
      <c r="EE874" s="1804"/>
      <c r="EF874" s="1804"/>
      <c r="EG874" s="1804"/>
      <c r="EH874" s="1804"/>
      <c r="EI874" s="1804"/>
      <c r="EJ874" s="1804"/>
      <c r="EK874" s="1804"/>
      <c r="EL874" s="1804"/>
      <c r="EM874" s="1804"/>
      <c r="EN874" s="1804"/>
      <c r="EO874" s="1804"/>
      <c r="EP874" s="1804"/>
      <c r="EQ874" s="1804"/>
      <c r="ER874" s="1804"/>
      <c r="ES874" s="1804"/>
      <c r="ET874" s="1804"/>
      <c r="EU874" s="1804"/>
      <c r="EV874" s="1804"/>
    </row>
    <row r="875" spans="1:152" s="12" customFormat="1" ht="12" customHeight="1" x14ac:dyDescent="0.35">
      <c r="A875" s="84"/>
      <c r="B875" s="13"/>
      <c r="C875" s="13"/>
      <c r="D875" s="13"/>
      <c r="E875" s="13"/>
      <c r="F875" s="13"/>
      <c r="G875" s="1804"/>
      <c r="H875" s="1183"/>
      <c r="I875" s="1804"/>
      <c r="J875" s="1804"/>
      <c r="K875" s="141"/>
      <c r="L875" s="141"/>
      <c r="M875" s="141"/>
      <c r="N875" s="141"/>
      <c r="O875" s="141"/>
      <c r="P875" s="141"/>
      <c r="Q875" s="141"/>
      <c r="R875" s="31"/>
      <c r="S875" s="36"/>
      <c r="T875" s="376"/>
      <c r="U875" s="29"/>
      <c r="V875" s="29"/>
      <c r="W875" s="377"/>
      <c r="X875" s="376"/>
      <c r="Y875" s="29"/>
      <c r="Z875" s="29"/>
      <c r="AA875" s="29"/>
      <c r="AB875" s="29"/>
      <c r="AC875" s="29">
        <f t="shared" ref="AC875:AC890" si="624">AC858</f>
        <v>1</v>
      </c>
      <c r="AD875" s="29"/>
      <c r="AE875" s="376" t="str" cm="1">
        <f t="array" ref="AE875:AE890">_xlfn.UNIQUE(AE824:AE839)</f>
        <v>Investor #1</v>
      </c>
      <c r="AF875" s="763">
        <f>SUMIF($AE$858:$AE$873,$AE875,AF$858:AF$873)</f>
        <v>0</v>
      </c>
      <c r="AG875" s="483">
        <f>SUMIF($AE$858:$AE$873,$AE875,AG$858:AG$873)</f>
        <v>0</v>
      </c>
      <c r="AH875" s="483">
        <f t="shared" ref="AH875:CS876" si="625">SUMIF($AE$858:$AE$873,$AE875,AH$858:AH$873)</f>
        <v>0</v>
      </c>
      <c r="AI875" s="483">
        <f t="shared" si="625"/>
        <v>0</v>
      </c>
      <c r="AJ875" s="483">
        <f t="shared" si="625"/>
        <v>0</v>
      </c>
      <c r="AK875" s="483">
        <f t="shared" si="625"/>
        <v>0</v>
      </c>
      <c r="AL875" s="483">
        <f t="shared" si="625"/>
        <v>0</v>
      </c>
      <c r="AM875" s="483">
        <f t="shared" si="625"/>
        <v>0</v>
      </c>
      <c r="AN875" s="483">
        <f t="shared" si="625"/>
        <v>0</v>
      </c>
      <c r="AO875" s="483">
        <f t="shared" si="625"/>
        <v>0</v>
      </c>
      <c r="AP875" s="483">
        <f t="shared" si="625"/>
        <v>0</v>
      </c>
      <c r="AQ875" s="483">
        <f t="shared" si="625"/>
        <v>0</v>
      </c>
      <c r="AR875" s="483">
        <f t="shared" si="625"/>
        <v>0</v>
      </c>
      <c r="AS875" s="483">
        <f t="shared" si="625"/>
        <v>0</v>
      </c>
      <c r="AT875" s="483">
        <f t="shared" si="625"/>
        <v>0</v>
      </c>
      <c r="AU875" s="483">
        <f t="shared" si="625"/>
        <v>0</v>
      </c>
      <c r="AV875" s="483">
        <f t="shared" si="625"/>
        <v>0</v>
      </c>
      <c r="AW875" s="483">
        <f t="shared" si="625"/>
        <v>0</v>
      </c>
      <c r="AX875" s="483">
        <f t="shared" si="625"/>
        <v>0</v>
      </c>
      <c r="AY875" s="483">
        <f t="shared" si="625"/>
        <v>0</v>
      </c>
      <c r="AZ875" s="483">
        <f t="shared" si="625"/>
        <v>0</v>
      </c>
      <c r="BA875" s="483">
        <f t="shared" si="625"/>
        <v>0</v>
      </c>
      <c r="BB875" s="483">
        <f t="shared" si="625"/>
        <v>0</v>
      </c>
      <c r="BC875" s="483">
        <f t="shared" si="625"/>
        <v>0</v>
      </c>
      <c r="BD875" s="483">
        <f t="shared" si="625"/>
        <v>0</v>
      </c>
      <c r="BE875" s="483">
        <f t="shared" si="625"/>
        <v>0</v>
      </c>
      <c r="BF875" s="483">
        <f t="shared" si="625"/>
        <v>0</v>
      </c>
      <c r="BG875" s="483">
        <f t="shared" si="625"/>
        <v>0</v>
      </c>
      <c r="BH875" s="483">
        <f t="shared" si="625"/>
        <v>0</v>
      </c>
      <c r="BI875" s="483">
        <f t="shared" si="625"/>
        <v>0</v>
      </c>
      <c r="BJ875" s="483">
        <f t="shared" si="625"/>
        <v>0</v>
      </c>
      <c r="BK875" s="483">
        <f t="shared" si="625"/>
        <v>0</v>
      </c>
      <c r="BL875" s="483">
        <f t="shared" si="625"/>
        <v>0</v>
      </c>
      <c r="BM875" s="483">
        <f t="shared" si="625"/>
        <v>0</v>
      </c>
      <c r="BN875" s="483">
        <f t="shared" si="625"/>
        <v>0</v>
      </c>
      <c r="BO875" s="483">
        <f t="shared" si="625"/>
        <v>0</v>
      </c>
      <c r="BP875" s="483">
        <f t="shared" si="625"/>
        <v>0</v>
      </c>
      <c r="BQ875" s="483">
        <f t="shared" si="625"/>
        <v>0</v>
      </c>
      <c r="BR875" s="483">
        <f t="shared" si="625"/>
        <v>0</v>
      </c>
      <c r="BS875" s="483">
        <f t="shared" si="625"/>
        <v>0</v>
      </c>
      <c r="BT875" s="483">
        <f t="shared" si="625"/>
        <v>0</v>
      </c>
      <c r="BU875" s="483">
        <f t="shared" si="625"/>
        <v>0</v>
      </c>
      <c r="BV875" s="483">
        <f t="shared" si="625"/>
        <v>0</v>
      </c>
      <c r="BW875" s="483">
        <f t="shared" si="625"/>
        <v>0</v>
      </c>
      <c r="BX875" s="483">
        <f t="shared" si="625"/>
        <v>0</v>
      </c>
      <c r="BY875" s="483">
        <f t="shared" si="625"/>
        <v>0</v>
      </c>
      <c r="BZ875" s="483">
        <f t="shared" si="625"/>
        <v>0</v>
      </c>
      <c r="CA875" s="483">
        <f t="shared" si="625"/>
        <v>0</v>
      </c>
      <c r="CB875" s="483">
        <f t="shared" si="625"/>
        <v>0</v>
      </c>
      <c r="CC875" s="483">
        <f t="shared" si="625"/>
        <v>0</v>
      </c>
      <c r="CD875" s="483">
        <f t="shared" si="625"/>
        <v>0</v>
      </c>
      <c r="CE875" s="483">
        <f t="shared" si="625"/>
        <v>0</v>
      </c>
      <c r="CF875" s="483">
        <f t="shared" si="625"/>
        <v>0</v>
      </c>
      <c r="CG875" s="483">
        <f t="shared" si="625"/>
        <v>0</v>
      </c>
      <c r="CH875" s="483">
        <f t="shared" si="625"/>
        <v>0</v>
      </c>
      <c r="CI875" s="483">
        <f t="shared" si="625"/>
        <v>0</v>
      </c>
      <c r="CJ875" s="483">
        <f t="shared" si="625"/>
        <v>0</v>
      </c>
      <c r="CK875" s="483">
        <f t="shared" si="625"/>
        <v>0</v>
      </c>
      <c r="CL875" s="483">
        <f t="shared" si="625"/>
        <v>0</v>
      </c>
      <c r="CM875" s="483">
        <f t="shared" si="625"/>
        <v>0</v>
      </c>
      <c r="CN875" s="483">
        <f t="shared" si="625"/>
        <v>0</v>
      </c>
      <c r="CO875" s="483">
        <f t="shared" si="625"/>
        <v>0</v>
      </c>
      <c r="CP875" s="483">
        <f t="shared" si="625"/>
        <v>0</v>
      </c>
      <c r="CQ875" s="483">
        <f t="shared" si="625"/>
        <v>0</v>
      </c>
      <c r="CR875" s="483">
        <f t="shared" si="625"/>
        <v>0</v>
      </c>
      <c r="CS875" s="483">
        <f t="shared" si="625"/>
        <v>0</v>
      </c>
      <c r="CT875" s="483">
        <f t="shared" ref="CT875:EV879" si="626">SUMIF($AE$858:$AE$873,$AE875,CT$858:CT$873)</f>
        <v>0</v>
      </c>
      <c r="CU875" s="483">
        <f t="shared" si="626"/>
        <v>0</v>
      </c>
      <c r="CV875" s="483">
        <f t="shared" si="626"/>
        <v>0</v>
      </c>
      <c r="CW875" s="483">
        <f t="shared" si="626"/>
        <v>0</v>
      </c>
      <c r="CX875" s="483">
        <f t="shared" si="626"/>
        <v>0</v>
      </c>
      <c r="CY875" s="483">
        <f t="shared" si="626"/>
        <v>0</v>
      </c>
      <c r="CZ875" s="483">
        <f t="shared" si="626"/>
        <v>0</v>
      </c>
      <c r="DA875" s="483">
        <f t="shared" si="626"/>
        <v>0</v>
      </c>
      <c r="DB875" s="483">
        <f t="shared" si="626"/>
        <v>0</v>
      </c>
      <c r="DC875" s="483">
        <f t="shared" si="626"/>
        <v>0</v>
      </c>
      <c r="DD875" s="483">
        <f t="shared" si="626"/>
        <v>0</v>
      </c>
      <c r="DE875" s="483">
        <f t="shared" si="626"/>
        <v>0</v>
      </c>
      <c r="DF875" s="483">
        <f t="shared" si="626"/>
        <v>0</v>
      </c>
      <c r="DG875" s="483">
        <f t="shared" si="626"/>
        <v>0</v>
      </c>
      <c r="DH875" s="483">
        <f t="shared" si="626"/>
        <v>0</v>
      </c>
      <c r="DI875" s="483">
        <f t="shared" si="626"/>
        <v>0</v>
      </c>
      <c r="DJ875" s="483">
        <f t="shared" si="626"/>
        <v>0</v>
      </c>
      <c r="DK875" s="483">
        <f t="shared" si="626"/>
        <v>0</v>
      </c>
      <c r="DL875" s="483">
        <f t="shared" si="626"/>
        <v>0</v>
      </c>
      <c r="DM875" s="483">
        <f t="shared" si="626"/>
        <v>0</v>
      </c>
      <c r="DN875" s="483">
        <f t="shared" si="626"/>
        <v>0</v>
      </c>
      <c r="DO875" s="483">
        <f t="shared" si="626"/>
        <v>0</v>
      </c>
      <c r="DP875" s="483">
        <f t="shared" si="626"/>
        <v>0</v>
      </c>
      <c r="DQ875" s="483">
        <f t="shared" si="626"/>
        <v>0</v>
      </c>
      <c r="DR875" s="483">
        <f t="shared" si="626"/>
        <v>0</v>
      </c>
      <c r="DS875" s="483">
        <f t="shared" si="626"/>
        <v>0</v>
      </c>
      <c r="DT875" s="483">
        <f t="shared" si="626"/>
        <v>0</v>
      </c>
      <c r="DU875" s="483">
        <f t="shared" si="626"/>
        <v>0</v>
      </c>
      <c r="DV875" s="483">
        <f t="shared" si="626"/>
        <v>0</v>
      </c>
      <c r="DW875" s="483">
        <f t="shared" si="626"/>
        <v>0</v>
      </c>
      <c r="DX875" s="483">
        <f t="shared" si="626"/>
        <v>0</v>
      </c>
      <c r="DY875" s="483">
        <f t="shared" si="626"/>
        <v>0</v>
      </c>
      <c r="DZ875" s="483">
        <f t="shared" si="626"/>
        <v>0</v>
      </c>
      <c r="EA875" s="483">
        <f t="shared" si="626"/>
        <v>0</v>
      </c>
      <c r="EB875" s="483">
        <f t="shared" si="626"/>
        <v>0</v>
      </c>
      <c r="EC875" s="483">
        <f t="shared" si="626"/>
        <v>0</v>
      </c>
      <c r="ED875" s="483">
        <f t="shared" si="626"/>
        <v>0</v>
      </c>
      <c r="EE875" s="483">
        <f t="shared" si="626"/>
        <v>0</v>
      </c>
      <c r="EF875" s="483">
        <f t="shared" si="626"/>
        <v>0</v>
      </c>
      <c r="EG875" s="483">
        <f t="shared" si="626"/>
        <v>0</v>
      </c>
      <c r="EH875" s="483">
        <f t="shared" si="626"/>
        <v>0</v>
      </c>
      <c r="EI875" s="483">
        <f t="shared" si="626"/>
        <v>0</v>
      </c>
      <c r="EJ875" s="483">
        <f t="shared" si="626"/>
        <v>0</v>
      </c>
      <c r="EK875" s="483">
        <f t="shared" si="626"/>
        <v>0</v>
      </c>
      <c r="EL875" s="483">
        <f t="shared" si="626"/>
        <v>0</v>
      </c>
      <c r="EM875" s="483">
        <f t="shared" si="626"/>
        <v>0</v>
      </c>
      <c r="EN875" s="483">
        <f t="shared" si="626"/>
        <v>0</v>
      </c>
      <c r="EO875" s="483">
        <f t="shared" si="626"/>
        <v>0</v>
      </c>
      <c r="EP875" s="483">
        <f t="shared" si="626"/>
        <v>0</v>
      </c>
      <c r="EQ875" s="483">
        <f t="shared" si="626"/>
        <v>0</v>
      </c>
      <c r="ER875" s="483">
        <f t="shared" si="626"/>
        <v>0</v>
      </c>
      <c r="ES875" s="483">
        <f t="shared" si="626"/>
        <v>0</v>
      </c>
      <c r="ET875" s="483">
        <f t="shared" si="626"/>
        <v>0</v>
      </c>
      <c r="EU875" s="483">
        <f t="shared" si="626"/>
        <v>0</v>
      </c>
      <c r="EV875" s="483">
        <f t="shared" si="626"/>
        <v>0</v>
      </c>
    </row>
    <row r="876" spans="1:152" s="12" customFormat="1" ht="12" customHeight="1" x14ac:dyDescent="0.35">
      <c r="A876" s="84"/>
      <c r="B876" s="13"/>
      <c r="C876" s="13"/>
      <c r="D876" s="13"/>
      <c r="E876" s="13"/>
      <c r="F876" s="13"/>
      <c r="G876" s="1804"/>
      <c r="H876" s="1183"/>
      <c r="I876" s="1804"/>
      <c r="J876" s="1804"/>
      <c r="K876" s="141"/>
      <c r="L876" s="141"/>
      <c r="M876" s="141"/>
      <c r="N876" s="141"/>
      <c r="O876" s="141"/>
      <c r="P876" s="141"/>
      <c r="Q876" s="141"/>
      <c r="R876" s="31"/>
      <c r="S876" s="36"/>
      <c r="T876" s="376"/>
      <c r="U876" s="29"/>
      <c r="V876" s="29"/>
      <c r="W876" s="377"/>
      <c r="X876" s="376"/>
      <c r="Y876" s="29"/>
      <c r="Z876" s="29"/>
      <c r="AA876" s="29"/>
      <c r="AB876" s="29"/>
      <c r="AC876" s="29">
        <f t="shared" si="624"/>
        <v>2</v>
      </c>
      <c r="AD876" s="29"/>
      <c r="AE876" s="376" t="str">
        <v>Investor #2</v>
      </c>
      <c r="AF876" s="763">
        <f t="shared" ref="AF876:AF890" si="627">SUMIF($AE$858:$AE$873,$AE876,AF$858:AF$873)</f>
        <v>0</v>
      </c>
      <c r="AG876" s="483">
        <f t="shared" ref="AG876:AV876" si="628">SUMIF($AE$858:$AE$873,$AE876,AG$858:AG$873)</f>
        <v>0</v>
      </c>
      <c r="AH876" s="483">
        <f t="shared" si="628"/>
        <v>0</v>
      </c>
      <c r="AI876" s="483">
        <f t="shared" si="628"/>
        <v>0</v>
      </c>
      <c r="AJ876" s="483">
        <f t="shared" si="628"/>
        <v>0</v>
      </c>
      <c r="AK876" s="483">
        <f t="shared" si="628"/>
        <v>0</v>
      </c>
      <c r="AL876" s="483">
        <f t="shared" si="628"/>
        <v>0</v>
      </c>
      <c r="AM876" s="483">
        <f t="shared" si="628"/>
        <v>0</v>
      </c>
      <c r="AN876" s="483">
        <f t="shared" si="628"/>
        <v>0</v>
      </c>
      <c r="AO876" s="483">
        <f t="shared" si="628"/>
        <v>0</v>
      </c>
      <c r="AP876" s="483">
        <f t="shared" si="628"/>
        <v>0</v>
      </c>
      <c r="AQ876" s="483">
        <f t="shared" si="628"/>
        <v>0</v>
      </c>
      <c r="AR876" s="483">
        <f t="shared" si="628"/>
        <v>0</v>
      </c>
      <c r="AS876" s="483">
        <f t="shared" si="628"/>
        <v>0</v>
      </c>
      <c r="AT876" s="483">
        <f t="shared" si="628"/>
        <v>0</v>
      </c>
      <c r="AU876" s="483">
        <f t="shared" si="628"/>
        <v>0</v>
      </c>
      <c r="AV876" s="483">
        <f t="shared" si="628"/>
        <v>0</v>
      </c>
      <c r="AW876" s="483">
        <f t="shared" si="625"/>
        <v>0</v>
      </c>
      <c r="AX876" s="483">
        <f t="shared" si="625"/>
        <v>0</v>
      </c>
      <c r="AY876" s="483">
        <f t="shared" si="625"/>
        <v>0</v>
      </c>
      <c r="AZ876" s="483">
        <f t="shared" si="625"/>
        <v>0</v>
      </c>
      <c r="BA876" s="483">
        <f t="shared" si="625"/>
        <v>0</v>
      </c>
      <c r="BB876" s="483">
        <f t="shared" si="625"/>
        <v>0</v>
      </c>
      <c r="BC876" s="483">
        <f t="shared" si="625"/>
        <v>0</v>
      </c>
      <c r="BD876" s="483">
        <f t="shared" si="625"/>
        <v>0</v>
      </c>
      <c r="BE876" s="483">
        <f t="shared" si="625"/>
        <v>0</v>
      </c>
      <c r="BF876" s="483">
        <f t="shared" si="625"/>
        <v>0</v>
      </c>
      <c r="BG876" s="483">
        <f t="shared" si="625"/>
        <v>0</v>
      </c>
      <c r="BH876" s="483">
        <f t="shared" si="625"/>
        <v>0</v>
      </c>
      <c r="BI876" s="483">
        <f t="shared" si="625"/>
        <v>0</v>
      </c>
      <c r="BJ876" s="483">
        <f t="shared" si="625"/>
        <v>0</v>
      </c>
      <c r="BK876" s="483">
        <f t="shared" si="625"/>
        <v>0</v>
      </c>
      <c r="BL876" s="483">
        <f t="shared" si="625"/>
        <v>0</v>
      </c>
      <c r="BM876" s="483">
        <f t="shared" si="625"/>
        <v>0</v>
      </c>
      <c r="BN876" s="483">
        <f t="shared" si="625"/>
        <v>0</v>
      </c>
      <c r="BO876" s="483">
        <f t="shared" si="625"/>
        <v>0</v>
      </c>
      <c r="BP876" s="483">
        <f t="shared" si="625"/>
        <v>0</v>
      </c>
      <c r="BQ876" s="483">
        <f t="shared" si="625"/>
        <v>0</v>
      </c>
      <c r="BR876" s="483">
        <f t="shared" si="625"/>
        <v>0</v>
      </c>
      <c r="BS876" s="483">
        <f t="shared" si="625"/>
        <v>0</v>
      </c>
      <c r="BT876" s="483">
        <f t="shared" si="625"/>
        <v>0</v>
      </c>
      <c r="BU876" s="483">
        <f t="shared" si="625"/>
        <v>0</v>
      </c>
      <c r="BV876" s="483">
        <f t="shared" si="625"/>
        <v>0</v>
      </c>
      <c r="BW876" s="483">
        <f t="shared" si="625"/>
        <v>0</v>
      </c>
      <c r="BX876" s="483">
        <f t="shared" si="625"/>
        <v>0</v>
      </c>
      <c r="BY876" s="483">
        <f t="shared" si="625"/>
        <v>0</v>
      </c>
      <c r="BZ876" s="483">
        <f t="shared" si="625"/>
        <v>0</v>
      </c>
      <c r="CA876" s="483">
        <f t="shared" si="625"/>
        <v>0</v>
      </c>
      <c r="CB876" s="483">
        <f t="shared" si="625"/>
        <v>0</v>
      </c>
      <c r="CC876" s="483">
        <f t="shared" si="625"/>
        <v>0</v>
      </c>
      <c r="CD876" s="483">
        <f t="shared" si="625"/>
        <v>0</v>
      </c>
      <c r="CE876" s="483">
        <f t="shared" si="625"/>
        <v>0</v>
      </c>
      <c r="CF876" s="483">
        <f t="shared" si="625"/>
        <v>0</v>
      </c>
      <c r="CG876" s="483">
        <f t="shared" si="625"/>
        <v>0</v>
      </c>
      <c r="CH876" s="483">
        <f t="shared" si="625"/>
        <v>0</v>
      </c>
      <c r="CI876" s="483">
        <f t="shared" si="625"/>
        <v>0</v>
      </c>
      <c r="CJ876" s="483">
        <f t="shared" si="625"/>
        <v>0</v>
      </c>
      <c r="CK876" s="483">
        <f t="shared" si="625"/>
        <v>0</v>
      </c>
      <c r="CL876" s="483">
        <f t="shared" si="625"/>
        <v>0</v>
      </c>
      <c r="CM876" s="483">
        <f t="shared" si="625"/>
        <v>0</v>
      </c>
      <c r="CN876" s="483">
        <f t="shared" si="625"/>
        <v>0</v>
      </c>
      <c r="CO876" s="483">
        <f t="shared" si="625"/>
        <v>0</v>
      </c>
      <c r="CP876" s="483">
        <f t="shared" si="625"/>
        <v>0</v>
      </c>
      <c r="CQ876" s="483">
        <f t="shared" si="625"/>
        <v>0</v>
      </c>
      <c r="CR876" s="483">
        <f t="shared" si="625"/>
        <v>0</v>
      </c>
      <c r="CS876" s="483">
        <f t="shared" si="625"/>
        <v>0</v>
      </c>
      <c r="CT876" s="483">
        <f t="shared" si="626"/>
        <v>0</v>
      </c>
      <c r="CU876" s="483">
        <f t="shared" si="626"/>
        <v>0</v>
      </c>
      <c r="CV876" s="483">
        <f t="shared" si="626"/>
        <v>0</v>
      </c>
      <c r="CW876" s="483">
        <f t="shared" si="626"/>
        <v>0</v>
      </c>
      <c r="CX876" s="483">
        <f t="shared" si="626"/>
        <v>0</v>
      </c>
      <c r="CY876" s="483">
        <f t="shared" si="626"/>
        <v>0</v>
      </c>
      <c r="CZ876" s="483">
        <f t="shared" si="626"/>
        <v>0</v>
      </c>
      <c r="DA876" s="483">
        <f t="shared" si="626"/>
        <v>0</v>
      </c>
      <c r="DB876" s="483">
        <f t="shared" si="626"/>
        <v>0</v>
      </c>
      <c r="DC876" s="483">
        <f t="shared" si="626"/>
        <v>0</v>
      </c>
      <c r="DD876" s="483">
        <f t="shared" si="626"/>
        <v>0</v>
      </c>
      <c r="DE876" s="483">
        <f t="shared" si="626"/>
        <v>0</v>
      </c>
      <c r="DF876" s="483">
        <f t="shared" si="626"/>
        <v>0</v>
      </c>
      <c r="DG876" s="483">
        <f t="shared" si="626"/>
        <v>0</v>
      </c>
      <c r="DH876" s="483">
        <f t="shared" si="626"/>
        <v>0</v>
      </c>
      <c r="DI876" s="483">
        <f t="shared" si="626"/>
        <v>0</v>
      </c>
      <c r="DJ876" s="483">
        <f t="shared" si="626"/>
        <v>0</v>
      </c>
      <c r="DK876" s="483">
        <f t="shared" si="626"/>
        <v>0</v>
      </c>
      <c r="DL876" s="483">
        <f t="shared" si="626"/>
        <v>0</v>
      </c>
      <c r="DM876" s="483">
        <f t="shared" si="626"/>
        <v>0</v>
      </c>
      <c r="DN876" s="483">
        <f t="shared" si="626"/>
        <v>0</v>
      </c>
      <c r="DO876" s="483">
        <f t="shared" si="626"/>
        <v>0</v>
      </c>
      <c r="DP876" s="483">
        <f t="shared" si="626"/>
        <v>0</v>
      </c>
      <c r="DQ876" s="483">
        <f t="shared" si="626"/>
        <v>0</v>
      </c>
      <c r="DR876" s="483">
        <f t="shared" si="626"/>
        <v>0</v>
      </c>
      <c r="DS876" s="483">
        <f t="shared" si="626"/>
        <v>0</v>
      </c>
      <c r="DT876" s="483">
        <f t="shared" si="626"/>
        <v>0</v>
      </c>
      <c r="DU876" s="483">
        <f t="shared" si="626"/>
        <v>0</v>
      </c>
      <c r="DV876" s="483">
        <f t="shared" si="626"/>
        <v>0</v>
      </c>
      <c r="DW876" s="483">
        <f t="shared" si="626"/>
        <v>0</v>
      </c>
      <c r="DX876" s="483">
        <f t="shared" si="626"/>
        <v>0</v>
      </c>
      <c r="DY876" s="483">
        <f t="shared" si="626"/>
        <v>0</v>
      </c>
      <c r="DZ876" s="483">
        <f t="shared" si="626"/>
        <v>0</v>
      </c>
      <c r="EA876" s="483">
        <f t="shared" si="626"/>
        <v>0</v>
      </c>
      <c r="EB876" s="483">
        <f t="shared" si="626"/>
        <v>0</v>
      </c>
      <c r="EC876" s="483">
        <f t="shared" si="626"/>
        <v>0</v>
      </c>
      <c r="ED876" s="483">
        <f t="shared" si="626"/>
        <v>0</v>
      </c>
      <c r="EE876" s="483">
        <f t="shared" si="626"/>
        <v>0</v>
      </c>
      <c r="EF876" s="483">
        <f t="shared" si="626"/>
        <v>0</v>
      </c>
      <c r="EG876" s="483">
        <f t="shared" si="626"/>
        <v>0</v>
      </c>
      <c r="EH876" s="483">
        <f t="shared" si="626"/>
        <v>0</v>
      </c>
      <c r="EI876" s="483">
        <f t="shared" si="626"/>
        <v>0</v>
      </c>
      <c r="EJ876" s="483">
        <f t="shared" si="626"/>
        <v>0</v>
      </c>
      <c r="EK876" s="483">
        <f t="shared" si="626"/>
        <v>0</v>
      </c>
      <c r="EL876" s="483">
        <f t="shared" si="626"/>
        <v>0</v>
      </c>
      <c r="EM876" s="483">
        <f t="shared" si="626"/>
        <v>0</v>
      </c>
      <c r="EN876" s="483">
        <f t="shared" si="626"/>
        <v>0</v>
      </c>
      <c r="EO876" s="483">
        <f t="shared" si="626"/>
        <v>0</v>
      </c>
      <c r="EP876" s="483">
        <f t="shared" si="626"/>
        <v>0</v>
      </c>
      <c r="EQ876" s="483">
        <f t="shared" si="626"/>
        <v>0</v>
      </c>
      <c r="ER876" s="483">
        <f t="shared" si="626"/>
        <v>0</v>
      </c>
      <c r="ES876" s="483">
        <f t="shared" si="626"/>
        <v>0</v>
      </c>
      <c r="ET876" s="483">
        <f t="shared" si="626"/>
        <v>0</v>
      </c>
      <c r="EU876" s="483">
        <f t="shared" si="626"/>
        <v>0</v>
      </c>
      <c r="EV876" s="483">
        <f t="shared" si="626"/>
        <v>0</v>
      </c>
    </row>
    <row r="877" spans="1:152" s="12" customFormat="1" ht="12" customHeight="1" x14ac:dyDescent="0.35">
      <c r="A877" s="84"/>
      <c r="B877" s="13"/>
      <c r="C877" s="13"/>
      <c r="D877" s="13"/>
      <c r="E877" s="13"/>
      <c r="F877" s="13"/>
      <c r="G877" s="1804"/>
      <c r="H877" s="1183"/>
      <c r="I877" s="1804"/>
      <c r="J877" s="1804"/>
      <c r="K877" s="141"/>
      <c r="L877" s="141"/>
      <c r="M877" s="141"/>
      <c r="N877" s="141"/>
      <c r="O877" s="141"/>
      <c r="P877" s="141"/>
      <c r="Q877" s="141"/>
      <c r="R877" s="31"/>
      <c r="S877" s="36"/>
      <c r="T877" s="376"/>
      <c r="U877" s="29"/>
      <c r="V877" s="29"/>
      <c r="W877" s="377"/>
      <c r="X877" s="376"/>
      <c r="Y877" s="29"/>
      <c r="Z877" s="29"/>
      <c r="AA877" s="29"/>
      <c r="AB877" s="29"/>
      <c r="AC877" s="29">
        <f t="shared" si="624"/>
        <v>3</v>
      </c>
      <c r="AD877" s="29"/>
      <c r="AE877" s="376" t="str">
        <v>Investor #3</v>
      </c>
      <c r="AF877" s="763">
        <f t="shared" si="627"/>
        <v>0</v>
      </c>
      <c r="AG877" s="483">
        <f t="shared" ref="AG877:AG890" si="629">SUMIF($AE$858:$AE$873,$AE877,AG$858:AG$873)</f>
        <v>0</v>
      </c>
      <c r="AH877" s="483">
        <f t="shared" ref="AH877:CS880" si="630">SUMIF($AE$858:$AE$873,$AE877,AH$858:AH$873)</f>
        <v>0</v>
      </c>
      <c r="AI877" s="483">
        <f t="shared" si="630"/>
        <v>0</v>
      </c>
      <c r="AJ877" s="483">
        <f t="shared" si="630"/>
        <v>0</v>
      </c>
      <c r="AK877" s="483">
        <f t="shared" si="630"/>
        <v>0</v>
      </c>
      <c r="AL877" s="483">
        <f t="shared" si="630"/>
        <v>0</v>
      </c>
      <c r="AM877" s="483">
        <f t="shared" si="630"/>
        <v>0</v>
      </c>
      <c r="AN877" s="483">
        <f t="shared" si="630"/>
        <v>0</v>
      </c>
      <c r="AO877" s="483">
        <f t="shared" si="630"/>
        <v>0</v>
      </c>
      <c r="AP877" s="483">
        <f t="shared" si="630"/>
        <v>0</v>
      </c>
      <c r="AQ877" s="483">
        <f t="shared" si="630"/>
        <v>0</v>
      </c>
      <c r="AR877" s="483">
        <f t="shared" si="630"/>
        <v>0</v>
      </c>
      <c r="AS877" s="483">
        <f t="shared" si="630"/>
        <v>0</v>
      </c>
      <c r="AT877" s="483">
        <f t="shared" si="630"/>
        <v>0</v>
      </c>
      <c r="AU877" s="483">
        <f t="shared" si="630"/>
        <v>0</v>
      </c>
      <c r="AV877" s="483">
        <f t="shared" si="630"/>
        <v>0</v>
      </c>
      <c r="AW877" s="483">
        <f t="shared" si="630"/>
        <v>0</v>
      </c>
      <c r="AX877" s="483">
        <f t="shared" si="630"/>
        <v>0</v>
      </c>
      <c r="AY877" s="483">
        <f t="shared" si="630"/>
        <v>0</v>
      </c>
      <c r="AZ877" s="483">
        <f t="shared" si="630"/>
        <v>0</v>
      </c>
      <c r="BA877" s="483">
        <f t="shared" si="630"/>
        <v>0</v>
      </c>
      <c r="BB877" s="483">
        <f t="shared" si="630"/>
        <v>0</v>
      </c>
      <c r="BC877" s="483">
        <f t="shared" si="630"/>
        <v>0</v>
      </c>
      <c r="BD877" s="483">
        <f t="shared" si="630"/>
        <v>0</v>
      </c>
      <c r="BE877" s="483">
        <f t="shared" si="630"/>
        <v>0</v>
      </c>
      <c r="BF877" s="483">
        <f t="shared" si="630"/>
        <v>0</v>
      </c>
      <c r="BG877" s="483">
        <f t="shared" si="630"/>
        <v>0</v>
      </c>
      <c r="BH877" s="483">
        <f t="shared" si="630"/>
        <v>0</v>
      </c>
      <c r="BI877" s="483">
        <f t="shared" si="630"/>
        <v>0</v>
      </c>
      <c r="BJ877" s="483">
        <f t="shared" si="630"/>
        <v>0</v>
      </c>
      <c r="BK877" s="483">
        <f t="shared" si="630"/>
        <v>0</v>
      </c>
      <c r="BL877" s="483">
        <f t="shared" si="630"/>
        <v>0</v>
      </c>
      <c r="BM877" s="483">
        <f t="shared" si="630"/>
        <v>0</v>
      </c>
      <c r="BN877" s="483">
        <f t="shared" si="630"/>
        <v>0</v>
      </c>
      <c r="BO877" s="483">
        <f t="shared" si="630"/>
        <v>0</v>
      </c>
      <c r="BP877" s="483">
        <f t="shared" si="630"/>
        <v>0</v>
      </c>
      <c r="BQ877" s="483">
        <f t="shared" si="630"/>
        <v>0</v>
      </c>
      <c r="BR877" s="483">
        <f t="shared" si="630"/>
        <v>0</v>
      </c>
      <c r="BS877" s="483">
        <f t="shared" si="630"/>
        <v>0</v>
      </c>
      <c r="BT877" s="483">
        <f t="shared" si="630"/>
        <v>0</v>
      </c>
      <c r="BU877" s="483">
        <f t="shared" si="630"/>
        <v>0</v>
      </c>
      <c r="BV877" s="483">
        <f t="shared" si="630"/>
        <v>0</v>
      </c>
      <c r="BW877" s="483">
        <f t="shared" si="630"/>
        <v>0</v>
      </c>
      <c r="BX877" s="483">
        <f t="shared" si="630"/>
        <v>0</v>
      </c>
      <c r="BY877" s="483">
        <f t="shared" si="630"/>
        <v>0</v>
      </c>
      <c r="BZ877" s="483">
        <f t="shared" si="630"/>
        <v>0</v>
      </c>
      <c r="CA877" s="483">
        <f t="shared" si="630"/>
        <v>0</v>
      </c>
      <c r="CB877" s="483">
        <f t="shared" si="630"/>
        <v>0</v>
      </c>
      <c r="CC877" s="483">
        <f t="shared" si="630"/>
        <v>0</v>
      </c>
      <c r="CD877" s="483">
        <f t="shared" si="630"/>
        <v>0</v>
      </c>
      <c r="CE877" s="483">
        <f t="shared" si="630"/>
        <v>0</v>
      </c>
      <c r="CF877" s="483">
        <f t="shared" si="630"/>
        <v>0</v>
      </c>
      <c r="CG877" s="483">
        <f t="shared" si="630"/>
        <v>0</v>
      </c>
      <c r="CH877" s="483">
        <f t="shared" si="630"/>
        <v>0</v>
      </c>
      <c r="CI877" s="483">
        <f t="shared" si="630"/>
        <v>0</v>
      </c>
      <c r="CJ877" s="483">
        <f t="shared" si="630"/>
        <v>0</v>
      </c>
      <c r="CK877" s="483">
        <f t="shared" si="630"/>
        <v>0</v>
      </c>
      <c r="CL877" s="483">
        <f t="shared" si="630"/>
        <v>0</v>
      </c>
      <c r="CM877" s="483">
        <f t="shared" si="630"/>
        <v>0</v>
      </c>
      <c r="CN877" s="483">
        <f t="shared" si="630"/>
        <v>0</v>
      </c>
      <c r="CO877" s="483">
        <f t="shared" si="630"/>
        <v>0</v>
      </c>
      <c r="CP877" s="483">
        <f t="shared" si="630"/>
        <v>0</v>
      </c>
      <c r="CQ877" s="483">
        <f t="shared" si="630"/>
        <v>0</v>
      </c>
      <c r="CR877" s="483">
        <f t="shared" si="630"/>
        <v>0</v>
      </c>
      <c r="CS877" s="483">
        <f t="shared" si="630"/>
        <v>0</v>
      </c>
      <c r="CT877" s="483">
        <f t="shared" si="626"/>
        <v>0</v>
      </c>
      <c r="CU877" s="483">
        <f t="shared" si="626"/>
        <v>0</v>
      </c>
      <c r="CV877" s="483">
        <f t="shared" si="626"/>
        <v>0</v>
      </c>
      <c r="CW877" s="483">
        <f t="shared" si="626"/>
        <v>0</v>
      </c>
      <c r="CX877" s="483">
        <f t="shared" si="626"/>
        <v>0</v>
      </c>
      <c r="CY877" s="483">
        <f t="shared" si="626"/>
        <v>0</v>
      </c>
      <c r="CZ877" s="483">
        <f t="shared" si="626"/>
        <v>0</v>
      </c>
      <c r="DA877" s="483">
        <f t="shared" si="626"/>
        <v>0</v>
      </c>
      <c r="DB877" s="483">
        <f t="shared" si="626"/>
        <v>0</v>
      </c>
      <c r="DC877" s="483">
        <f t="shared" si="626"/>
        <v>0</v>
      </c>
      <c r="DD877" s="483">
        <f t="shared" si="626"/>
        <v>0</v>
      </c>
      <c r="DE877" s="483">
        <f t="shared" si="626"/>
        <v>0</v>
      </c>
      <c r="DF877" s="483">
        <f t="shared" si="626"/>
        <v>0</v>
      </c>
      <c r="DG877" s="483">
        <f t="shared" si="626"/>
        <v>0</v>
      </c>
      <c r="DH877" s="483">
        <f t="shared" si="626"/>
        <v>0</v>
      </c>
      <c r="DI877" s="483">
        <f t="shared" si="626"/>
        <v>0</v>
      </c>
      <c r="DJ877" s="483">
        <f t="shared" si="626"/>
        <v>0</v>
      </c>
      <c r="DK877" s="483">
        <f t="shared" si="626"/>
        <v>0</v>
      </c>
      <c r="DL877" s="483">
        <f t="shared" si="626"/>
        <v>0</v>
      </c>
      <c r="DM877" s="483">
        <f t="shared" si="626"/>
        <v>0</v>
      </c>
      <c r="DN877" s="483">
        <f t="shared" si="626"/>
        <v>0</v>
      </c>
      <c r="DO877" s="483">
        <f t="shared" si="626"/>
        <v>0</v>
      </c>
      <c r="DP877" s="483">
        <f t="shared" si="626"/>
        <v>0</v>
      </c>
      <c r="DQ877" s="483">
        <f t="shared" si="626"/>
        <v>0</v>
      </c>
      <c r="DR877" s="483">
        <f t="shared" si="626"/>
        <v>0</v>
      </c>
      <c r="DS877" s="483">
        <f t="shared" si="626"/>
        <v>0</v>
      </c>
      <c r="DT877" s="483">
        <f t="shared" si="626"/>
        <v>0</v>
      </c>
      <c r="DU877" s="483">
        <f t="shared" si="626"/>
        <v>0</v>
      </c>
      <c r="DV877" s="483">
        <f t="shared" si="626"/>
        <v>0</v>
      </c>
      <c r="DW877" s="483">
        <f t="shared" si="626"/>
        <v>0</v>
      </c>
      <c r="DX877" s="483">
        <f t="shared" si="626"/>
        <v>0</v>
      </c>
      <c r="DY877" s="483">
        <f t="shared" si="626"/>
        <v>0</v>
      </c>
      <c r="DZ877" s="483">
        <f t="shared" si="626"/>
        <v>0</v>
      </c>
      <c r="EA877" s="483">
        <f t="shared" si="626"/>
        <v>0</v>
      </c>
      <c r="EB877" s="483">
        <f t="shared" si="626"/>
        <v>0</v>
      </c>
      <c r="EC877" s="483">
        <f t="shared" si="626"/>
        <v>0</v>
      </c>
      <c r="ED877" s="483">
        <f t="shared" si="626"/>
        <v>0</v>
      </c>
      <c r="EE877" s="483">
        <f t="shared" si="626"/>
        <v>0</v>
      </c>
      <c r="EF877" s="483">
        <f t="shared" si="626"/>
        <v>0</v>
      </c>
      <c r="EG877" s="483">
        <f t="shared" si="626"/>
        <v>0</v>
      </c>
      <c r="EH877" s="483">
        <f t="shared" si="626"/>
        <v>0</v>
      </c>
      <c r="EI877" s="483">
        <f t="shared" si="626"/>
        <v>0</v>
      </c>
      <c r="EJ877" s="483">
        <f t="shared" si="626"/>
        <v>0</v>
      </c>
      <c r="EK877" s="483">
        <f t="shared" si="626"/>
        <v>0</v>
      </c>
      <c r="EL877" s="483">
        <f t="shared" si="626"/>
        <v>0</v>
      </c>
      <c r="EM877" s="483">
        <f t="shared" si="626"/>
        <v>0</v>
      </c>
      <c r="EN877" s="483">
        <f t="shared" si="626"/>
        <v>0</v>
      </c>
      <c r="EO877" s="483">
        <f t="shared" si="626"/>
        <v>0</v>
      </c>
      <c r="EP877" s="483">
        <f t="shared" si="626"/>
        <v>0</v>
      </c>
      <c r="EQ877" s="483">
        <f t="shared" si="626"/>
        <v>0</v>
      </c>
      <c r="ER877" s="483">
        <f t="shared" si="626"/>
        <v>0</v>
      </c>
      <c r="ES877" s="483">
        <f t="shared" si="626"/>
        <v>0</v>
      </c>
      <c r="ET877" s="483">
        <f t="shared" si="626"/>
        <v>0</v>
      </c>
      <c r="EU877" s="483">
        <f t="shared" si="626"/>
        <v>0</v>
      </c>
      <c r="EV877" s="483">
        <f t="shared" si="626"/>
        <v>0</v>
      </c>
    </row>
    <row r="878" spans="1:152" s="12" customFormat="1" ht="12" customHeight="1" x14ac:dyDescent="0.35">
      <c r="A878" s="84"/>
      <c r="B878" s="13"/>
      <c r="C878" s="13"/>
      <c r="D878" s="13"/>
      <c r="E878" s="13"/>
      <c r="F878" s="13"/>
      <c r="G878" s="1804"/>
      <c r="H878" s="1183"/>
      <c r="I878" s="1804"/>
      <c r="J878" s="1804"/>
      <c r="K878" s="141"/>
      <c r="L878" s="141"/>
      <c r="M878" s="141"/>
      <c r="N878" s="141"/>
      <c r="O878" s="141"/>
      <c r="P878" s="141"/>
      <c r="Q878" s="141"/>
      <c r="R878" s="31"/>
      <c r="S878" s="36"/>
      <c r="T878" s="376"/>
      <c r="U878" s="29"/>
      <c r="V878" s="29"/>
      <c r="W878" s="377"/>
      <c r="X878" s="376"/>
      <c r="Y878" s="29"/>
      <c r="Z878" s="29"/>
      <c r="AA878" s="29"/>
      <c r="AB878" s="29"/>
      <c r="AC878" s="29">
        <f t="shared" si="624"/>
        <v>4</v>
      </c>
      <c r="AD878" s="29"/>
      <c r="AE878" s="376" t="str">
        <v>Investor #4</v>
      </c>
      <c r="AF878" s="763">
        <f t="shared" si="627"/>
        <v>0</v>
      </c>
      <c r="AG878" s="483">
        <f t="shared" si="629"/>
        <v>0</v>
      </c>
      <c r="AH878" s="483">
        <f t="shared" si="630"/>
        <v>0</v>
      </c>
      <c r="AI878" s="483">
        <f t="shared" si="630"/>
        <v>0</v>
      </c>
      <c r="AJ878" s="483">
        <f t="shared" si="630"/>
        <v>0</v>
      </c>
      <c r="AK878" s="483">
        <f t="shared" si="630"/>
        <v>0</v>
      </c>
      <c r="AL878" s="483">
        <f t="shared" si="630"/>
        <v>0</v>
      </c>
      <c r="AM878" s="483">
        <f t="shared" si="630"/>
        <v>0</v>
      </c>
      <c r="AN878" s="483">
        <f t="shared" si="630"/>
        <v>0</v>
      </c>
      <c r="AO878" s="483">
        <f t="shared" si="630"/>
        <v>0</v>
      </c>
      <c r="AP878" s="483">
        <f t="shared" si="630"/>
        <v>0</v>
      </c>
      <c r="AQ878" s="483">
        <f t="shared" si="630"/>
        <v>0</v>
      </c>
      <c r="AR878" s="483">
        <f t="shared" si="630"/>
        <v>0</v>
      </c>
      <c r="AS878" s="483">
        <f t="shared" si="630"/>
        <v>0</v>
      </c>
      <c r="AT878" s="483">
        <f t="shared" si="630"/>
        <v>0</v>
      </c>
      <c r="AU878" s="483">
        <f t="shared" si="630"/>
        <v>0</v>
      </c>
      <c r="AV878" s="483">
        <f t="shared" si="630"/>
        <v>0</v>
      </c>
      <c r="AW878" s="483">
        <f t="shared" si="630"/>
        <v>0</v>
      </c>
      <c r="AX878" s="483">
        <f t="shared" si="630"/>
        <v>0</v>
      </c>
      <c r="AY878" s="483">
        <f t="shared" si="630"/>
        <v>0</v>
      </c>
      <c r="AZ878" s="483">
        <f t="shared" si="630"/>
        <v>0</v>
      </c>
      <c r="BA878" s="483">
        <f t="shared" si="630"/>
        <v>0</v>
      </c>
      <c r="BB878" s="483">
        <f t="shared" si="630"/>
        <v>0</v>
      </c>
      <c r="BC878" s="483">
        <f t="shared" si="630"/>
        <v>0</v>
      </c>
      <c r="BD878" s="483">
        <f t="shared" si="630"/>
        <v>0</v>
      </c>
      <c r="BE878" s="483">
        <f t="shared" si="630"/>
        <v>0</v>
      </c>
      <c r="BF878" s="483">
        <f t="shared" si="630"/>
        <v>0</v>
      </c>
      <c r="BG878" s="483">
        <f t="shared" si="630"/>
        <v>0</v>
      </c>
      <c r="BH878" s="483">
        <f t="shared" si="630"/>
        <v>0</v>
      </c>
      <c r="BI878" s="483">
        <f t="shared" si="630"/>
        <v>0</v>
      </c>
      <c r="BJ878" s="483">
        <f t="shared" si="630"/>
        <v>0</v>
      </c>
      <c r="BK878" s="483">
        <f t="shared" si="630"/>
        <v>0</v>
      </c>
      <c r="BL878" s="483">
        <f t="shared" si="630"/>
        <v>0</v>
      </c>
      <c r="BM878" s="483">
        <f t="shared" si="630"/>
        <v>0</v>
      </c>
      <c r="BN878" s="483">
        <f t="shared" si="630"/>
        <v>0</v>
      </c>
      <c r="BO878" s="483">
        <f t="shared" si="630"/>
        <v>0</v>
      </c>
      <c r="BP878" s="483">
        <f t="shared" si="630"/>
        <v>0</v>
      </c>
      <c r="BQ878" s="483">
        <f t="shared" si="630"/>
        <v>0</v>
      </c>
      <c r="BR878" s="483">
        <f t="shared" si="630"/>
        <v>0</v>
      </c>
      <c r="BS878" s="483">
        <f t="shared" si="630"/>
        <v>0</v>
      </c>
      <c r="BT878" s="483">
        <f t="shared" si="630"/>
        <v>0</v>
      </c>
      <c r="BU878" s="483">
        <f t="shared" si="630"/>
        <v>0</v>
      </c>
      <c r="BV878" s="483">
        <f t="shared" si="630"/>
        <v>0</v>
      </c>
      <c r="BW878" s="483">
        <f t="shared" si="630"/>
        <v>0</v>
      </c>
      <c r="BX878" s="483">
        <f t="shared" si="630"/>
        <v>0</v>
      </c>
      <c r="BY878" s="483">
        <f t="shared" si="630"/>
        <v>0</v>
      </c>
      <c r="BZ878" s="483">
        <f t="shared" si="630"/>
        <v>0</v>
      </c>
      <c r="CA878" s="483">
        <f t="shared" si="630"/>
        <v>0</v>
      </c>
      <c r="CB878" s="483">
        <f t="shared" si="630"/>
        <v>0</v>
      </c>
      <c r="CC878" s="483">
        <f t="shared" si="630"/>
        <v>0</v>
      </c>
      <c r="CD878" s="483">
        <f t="shared" si="630"/>
        <v>0</v>
      </c>
      <c r="CE878" s="483">
        <f t="shared" si="630"/>
        <v>0</v>
      </c>
      <c r="CF878" s="483">
        <f t="shared" si="630"/>
        <v>0</v>
      </c>
      <c r="CG878" s="483">
        <f t="shared" si="630"/>
        <v>0</v>
      </c>
      <c r="CH878" s="483">
        <f t="shared" si="630"/>
        <v>0</v>
      </c>
      <c r="CI878" s="483">
        <f t="shared" si="630"/>
        <v>0</v>
      </c>
      <c r="CJ878" s="483">
        <f t="shared" si="630"/>
        <v>0</v>
      </c>
      <c r="CK878" s="483">
        <f t="shared" si="630"/>
        <v>0</v>
      </c>
      <c r="CL878" s="483">
        <f t="shared" si="630"/>
        <v>0</v>
      </c>
      <c r="CM878" s="483">
        <f t="shared" si="630"/>
        <v>0</v>
      </c>
      <c r="CN878" s="483">
        <f t="shared" si="630"/>
        <v>0</v>
      </c>
      <c r="CO878" s="483">
        <f t="shared" si="630"/>
        <v>0</v>
      </c>
      <c r="CP878" s="483">
        <f t="shared" si="630"/>
        <v>0</v>
      </c>
      <c r="CQ878" s="483">
        <f t="shared" si="630"/>
        <v>0</v>
      </c>
      <c r="CR878" s="483">
        <f t="shared" si="630"/>
        <v>0</v>
      </c>
      <c r="CS878" s="483">
        <f t="shared" si="630"/>
        <v>0</v>
      </c>
      <c r="CT878" s="483">
        <f t="shared" si="626"/>
        <v>0</v>
      </c>
      <c r="CU878" s="483">
        <f t="shared" si="626"/>
        <v>0</v>
      </c>
      <c r="CV878" s="483">
        <f t="shared" si="626"/>
        <v>0</v>
      </c>
      <c r="CW878" s="483">
        <f t="shared" si="626"/>
        <v>0</v>
      </c>
      <c r="CX878" s="483">
        <f t="shared" si="626"/>
        <v>0</v>
      </c>
      <c r="CY878" s="483">
        <f t="shared" si="626"/>
        <v>0</v>
      </c>
      <c r="CZ878" s="483">
        <f t="shared" si="626"/>
        <v>0</v>
      </c>
      <c r="DA878" s="483">
        <f t="shared" si="626"/>
        <v>0</v>
      </c>
      <c r="DB878" s="483">
        <f t="shared" si="626"/>
        <v>0</v>
      </c>
      <c r="DC878" s="483">
        <f t="shared" si="626"/>
        <v>0</v>
      </c>
      <c r="DD878" s="483">
        <f t="shared" si="626"/>
        <v>0</v>
      </c>
      <c r="DE878" s="483">
        <f t="shared" si="626"/>
        <v>0</v>
      </c>
      <c r="DF878" s="483">
        <f t="shared" si="626"/>
        <v>0</v>
      </c>
      <c r="DG878" s="483">
        <f t="shared" si="626"/>
        <v>0</v>
      </c>
      <c r="DH878" s="483">
        <f t="shared" si="626"/>
        <v>0</v>
      </c>
      <c r="DI878" s="483">
        <f t="shared" si="626"/>
        <v>0</v>
      </c>
      <c r="DJ878" s="483">
        <f t="shared" si="626"/>
        <v>0</v>
      </c>
      <c r="DK878" s="483">
        <f t="shared" si="626"/>
        <v>0</v>
      </c>
      <c r="DL878" s="483">
        <f t="shared" si="626"/>
        <v>0</v>
      </c>
      <c r="DM878" s="483">
        <f t="shared" si="626"/>
        <v>0</v>
      </c>
      <c r="DN878" s="483">
        <f t="shared" si="626"/>
        <v>0</v>
      </c>
      <c r="DO878" s="483">
        <f t="shared" si="626"/>
        <v>0</v>
      </c>
      <c r="DP878" s="483">
        <f t="shared" si="626"/>
        <v>0</v>
      </c>
      <c r="DQ878" s="483">
        <f t="shared" si="626"/>
        <v>0</v>
      </c>
      <c r="DR878" s="483">
        <f t="shared" si="626"/>
        <v>0</v>
      </c>
      <c r="DS878" s="483">
        <f t="shared" si="626"/>
        <v>0</v>
      </c>
      <c r="DT878" s="483">
        <f t="shared" si="626"/>
        <v>0</v>
      </c>
      <c r="DU878" s="483">
        <f t="shared" si="626"/>
        <v>0</v>
      </c>
      <c r="DV878" s="483">
        <f t="shared" si="626"/>
        <v>0</v>
      </c>
      <c r="DW878" s="483">
        <f t="shared" si="626"/>
        <v>0</v>
      </c>
      <c r="DX878" s="483">
        <f t="shared" si="626"/>
        <v>0</v>
      </c>
      <c r="DY878" s="483">
        <f t="shared" si="626"/>
        <v>0</v>
      </c>
      <c r="DZ878" s="483">
        <f t="shared" si="626"/>
        <v>0</v>
      </c>
      <c r="EA878" s="483">
        <f t="shared" si="626"/>
        <v>0</v>
      </c>
      <c r="EB878" s="483">
        <f t="shared" si="626"/>
        <v>0</v>
      </c>
      <c r="EC878" s="483">
        <f t="shared" si="626"/>
        <v>0</v>
      </c>
      <c r="ED878" s="483">
        <f t="shared" si="626"/>
        <v>0</v>
      </c>
      <c r="EE878" s="483">
        <f t="shared" si="626"/>
        <v>0</v>
      </c>
      <c r="EF878" s="483">
        <f t="shared" si="626"/>
        <v>0</v>
      </c>
      <c r="EG878" s="483">
        <f t="shared" si="626"/>
        <v>0</v>
      </c>
      <c r="EH878" s="483">
        <f t="shared" si="626"/>
        <v>0</v>
      </c>
      <c r="EI878" s="483">
        <f t="shared" si="626"/>
        <v>0</v>
      </c>
      <c r="EJ878" s="483">
        <f t="shared" si="626"/>
        <v>0</v>
      </c>
      <c r="EK878" s="483">
        <f t="shared" si="626"/>
        <v>0</v>
      </c>
      <c r="EL878" s="483">
        <f t="shared" si="626"/>
        <v>0</v>
      </c>
      <c r="EM878" s="483">
        <f t="shared" si="626"/>
        <v>0</v>
      </c>
      <c r="EN878" s="483">
        <f t="shared" si="626"/>
        <v>0</v>
      </c>
      <c r="EO878" s="483">
        <f t="shared" si="626"/>
        <v>0</v>
      </c>
      <c r="EP878" s="483">
        <f t="shared" si="626"/>
        <v>0</v>
      </c>
      <c r="EQ878" s="483">
        <f t="shared" si="626"/>
        <v>0</v>
      </c>
      <c r="ER878" s="483">
        <f t="shared" si="626"/>
        <v>0</v>
      </c>
      <c r="ES878" s="483">
        <f t="shared" si="626"/>
        <v>0</v>
      </c>
      <c r="ET878" s="483">
        <f t="shared" si="626"/>
        <v>0</v>
      </c>
      <c r="EU878" s="483">
        <f t="shared" si="626"/>
        <v>0</v>
      </c>
      <c r="EV878" s="483">
        <f t="shared" si="626"/>
        <v>0</v>
      </c>
    </row>
    <row r="879" spans="1:152" s="12" customFormat="1" ht="12" customHeight="1" x14ac:dyDescent="0.35">
      <c r="A879" s="84"/>
      <c r="B879" s="13"/>
      <c r="C879" s="13"/>
      <c r="D879" s="13"/>
      <c r="E879" s="13"/>
      <c r="F879" s="13"/>
      <c r="G879" s="1804"/>
      <c r="H879" s="1183"/>
      <c r="I879" s="1804"/>
      <c r="J879" s="1804"/>
      <c r="K879" s="141"/>
      <c r="L879" s="141"/>
      <c r="M879" s="141"/>
      <c r="N879" s="141"/>
      <c r="O879" s="141"/>
      <c r="P879" s="141"/>
      <c r="Q879" s="141"/>
      <c r="R879" s="31"/>
      <c r="S879" s="36"/>
      <c r="T879" s="376"/>
      <c r="U879" s="29"/>
      <c r="V879" s="29"/>
      <c r="W879" s="377"/>
      <c r="X879" s="376"/>
      <c r="Y879" s="29"/>
      <c r="Z879" s="29"/>
      <c r="AA879" s="29"/>
      <c r="AB879" s="29"/>
      <c r="AC879" s="29">
        <f t="shared" si="624"/>
        <v>5</v>
      </c>
      <c r="AD879" s="29"/>
      <c r="AE879" s="376" t="str">
        <v>Investor #5</v>
      </c>
      <c r="AF879" s="763">
        <f t="shared" si="627"/>
        <v>0</v>
      </c>
      <c r="AG879" s="483">
        <f t="shared" si="629"/>
        <v>0</v>
      </c>
      <c r="AH879" s="483">
        <f t="shared" si="630"/>
        <v>0</v>
      </c>
      <c r="AI879" s="483">
        <f t="shared" si="630"/>
        <v>0</v>
      </c>
      <c r="AJ879" s="483">
        <f t="shared" si="630"/>
        <v>0</v>
      </c>
      <c r="AK879" s="483">
        <f t="shared" si="630"/>
        <v>0</v>
      </c>
      <c r="AL879" s="483">
        <f t="shared" si="630"/>
        <v>0</v>
      </c>
      <c r="AM879" s="483">
        <f t="shared" si="630"/>
        <v>0</v>
      </c>
      <c r="AN879" s="483">
        <f t="shared" si="630"/>
        <v>0</v>
      </c>
      <c r="AO879" s="483">
        <f t="shared" si="630"/>
        <v>0</v>
      </c>
      <c r="AP879" s="483">
        <f t="shared" si="630"/>
        <v>0</v>
      </c>
      <c r="AQ879" s="483">
        <f t="shared" si="630"/>
        <v>0</v>
      </c>
      <c r="AR879" s="483">
        <f t="shared" si="630"/>
        <v>0</v>
      </c>
      <c r="AS879" s="483">
        <f t="shared" si="630"/>
        <v>0</v>
      </c>
      <c r="AT879" s="483">
        <f t="shared" si="630"/>
        <v>0</v>
      </c>
      <c r="AU879" s="483">
        <f t="shared" si="630"/>
        <v>0</v>
      </c>
      <c r="AV879" s="483">
        <f t="shared" si="630"/>
        <v>0</v>
      </c>
      <c r="AW879" s="483">
        <f t="shared" si="630"/>
        <v>0</v>
      </c>
      <c r="AX879" s="483">
        <f t="shared" si="630"/>
        <v>0</v>
      </c>
      <c r="AY879" s="483">
        <f t="shared" si="630"/>
        <v>0</v>
      </c>
      <c r="AZ879" s="483">
        <f t="shared" si="630"/>
        <v>0</v>
      </c>
      <c r="BA879" s="483">
        <f t="shared" si="630"/>
        <v>0</v>
      </c>
      <c r="BB879" s="483">
        <f t="shared" si="630"/>
        <v>0</v>
      </c>
      <c r="BC879" s="483">
        <f t="shared" si="630"/>
        <v>0</v>
      </c>
      <c r="BD879" s="483">
        <f t="shared" si="630"/>
        <v>0</v>
      </c>
      <c r="BE879" s="483">
        <f t="shared" si="630"/>
        <v>0</v>
      </c>
      <c r="BF879" s="483">
        <f t="shared" si="630"/>
        <v>0</v>
      </c>
      <c r="BG879" s="483">
        <f t="shared" si="630"/>
        <v>0</v>
      </c>
      <c r="BH879" s="483">
        <f t="shared" si="630"/>
        <v>0</v>
      </c>
      <c r="BI879" s="483">
        <f t="shared" si="630"/>
        <v>0</v>
      </c>
      <c r="BJ879" s="483">
        <f t="shared" si="630"/>
        <v>0</v>
      </c>
      <c r="BK879" s="483">
        <f t="shared" si="630"/>
        <v>0</v>
      </c>
      <c r="BL879" s="483">
        <f t="shared" si="630"/>
        <v>0</v>
      </c>
      <c r="BM879" s="483">
        <f t="shared" si="630"/>
        <v>0</v>
      </c>
      <c r="BN879" s="483">
        <f t="shared" si="630"/>
        <v>0</v>
      </c>
      <c r="BO879" s="483">
        <f t="shared" si="630"/>
        <v>0</v>
      </c>
      <c r="BP879" s="483">
        <f t="shared" si="630"/>
        <v>0</v>
      </c>
      <c r="BQ879" s="483">
        <f t="shared" si="630"/>
        <v>0</v>
      </c>
      <c r="BR879" s="483">
        <f t="shared" si="630"/>
        <v>0</v>
      </c>
      <c r="BS879" s="483">
        <f t="shared" si="630"/>
        <v>0</v>
      </c>
      <c r="BT879" s="483">
        <f t="shared" si="630"/>
        <v>0</v>
      </c>
      <c r="BU879" s="483">
        <f t="shared" si="630"/>
        <v>0</v>
      </c>
      <c r="BV879" s="483">
        <f t="shared" si="630"/>
        <v>0</v>
      </c>
      <c r="BW879" s="483">
        <f t="shared" si="630"/>
        <v>0</v>
      </c>
      <c r="BX879" s="483">
        <f t="shared" si="630"/>
        <v>0</v>
      </c>
      <c r="BY879" s="483">
        <f t="shared" si="630"/>
        <v>0</v>
      </c>
      <c r="BZ879" s="483">
        <f t="shared" si="630"/>
        <v>0</v>
      </c>
      <c r="CA879" s="483">
        <f t="shared" si="630"/>
        <v>0</v>
      </c>
      <c r="CB879" s="483">
        <f t="shared" si="630"/>
        <v>0</v>
      </c>
      <c r="CC879" s="483">
        <f t="shared" si="630"/>
        <v>0</v>
      </c>
      <c r="CD879" s="483">
        <f t="shared" si="630"/>
        <v>0</v>
      </c>
      <c r="CE879" s="483">
        <f t="shared" si="630"/>
        <v>0</v>
      </c>
      <c r="CF879" s="483">
        <f t="shared" si="630"/>
        <v>0</v>
      </c>
      <c r="CG879" s="483">
        <f t="shared" si="630"/>
        <v>0</v>
      </c>
      <c r="CH879" s="483">
        <f t="shared" si="630"/>
        <v>0</v>
      </c>
      <c r="CI879" s="483">
        <f t="shared" si="630"/>
        <v>0</v>
      </c>
      <c r="CJ879" s="483">
        <f t="shared" si="630"/>
        <v>0</v>
      </c>
      <c r="CK879" s="483">
        <f t="shared" si="630"/>
        <v>0</v>
      </c>
      <c r="CL879" s="483">
        <f t="shared" si="630"/>
        <v>0</v>
      </c>
      <c r="CM879" s="483">
        <f t="shared" si="630"/>
        <v>0</v>
      </c>
      <c r="CN879" s="483">
        <f t="shared" si="630"/>
        <v>0</v>
      </c>
      <c r="CO879" s="483">
        <f t="shared" si="630"/>
        <v>0</v>
      </c>
      <c r="CP879" s="483">
        <f t="shared" si="630"/>
        <v>0</v>
      </c>
      <c r="CQ879" s="483">
        <f t="shared" si="630"/>
        <v>0</v>
      </c>
      <c r="CR879" s="483">
        <f t="shared" si="630"/>
        <v>0</v>
      </c>
      <c r="CS879" s="483">
        <f t="shared" si="630"/>
        <v>0</v>
      </c>
      <c r="CT879" s="483">
        <f t="shared" si="626"/>
        <v>0</v>
      </c>
      <c r="CU879" s="483">
        <f t="shared" si="626"/>
        <v>0</v>
      </c>
      <c r="CV879" s="483">
        <f t="shared" si="626"/>
        <v>0</v>
      </c>
      <c r="CW879" s="483">
        <f t="shared" si="626"/>
        <v>0</v>
      </c>
      <c r="CX879" s="483">
        <f t="shared" si="626"/>
        <v>0</v>
      </c>
      <c r="CY879" s="483">
        <f t="shared" si="626"/>
        <v>0</v>
      </c>
      <c r="CZ879" s="483">
        <f t="shared" si="626"/>
        <v>0</v>
      </c>
      <c r="DA879" s="483">
        <f t="shared" si="626"/>
        <v>0</v>
      </c>
      <c r="DB879" s="483">
        <f t="shared" si="626"/>
        <v>0</v>
      </c>
      <c r="DC879" s="483">
        <f t="shared" si="626"/>
        <v>0</v>
      </c>
      <c r="DD879" s="483">
        <f t="shared" si="626"/>
        <v>0</v>
      </c>
      <c r="DE879" s="483">
        <f t="shared" si="626"/>
        <v>0</v>
      </c>
      <c r="DF879" s="483">
        <f t="shared" si="626"/>
        <v>0</v>
      </c>
      <c r="DG879" s="483">
        <f t="shared" si="626"/>
        <v>0</v>
      </c>
      <c r="DH879" s="483">
        <f t="shared" si="626"/>
        <v>0</v>
      </c>
      <c r="DI879" s="483">
        <f t="shared" si="626"/>
        <v>0</v>
      </c>
      <c r="DJ879" s="483">
        <f t="shared" si="626"/>
        <v>0</v>
      </c>
      <c r="DK879" s="483">
        <f t="shared" si="626"/>
        <v>0</v>
      </c>
      <c r="DL879" s="483">
        <f t="shared" si="626"/>
        <v>0</v>
      </c>
      <c r="DM879" s="483">
        <f t="shared" si="626"/>
        <v>0</v>
      </c>
      <c r="DN879" s="483">
        <f t="shared" si="626"/>
        <v>0</v>
      </c>
      <c r="DO879" s="483">
        <f t="shared" si="626"/>
        <v>0</v>
      </c>
      <c r="DP879" s="483">
        <f t="shared" si="626"/>
        <v>0</v>
      </c>
      <c r="DQ879" s="483">
        <f t="shared" si="626"/>
        <v>0</v>
      </c>
      <c r="DR879" s="483">
        <f t="shared" si="626"/>
        <v>0</v>
      </c>
      <c r="DS879" s="483">
        <f t="shared" si="626"/>
        <v>0</v>
      </c>
      <c r="DT879" s="483">
        <f t="shared" si="626"/>
        <v>0</v>
      </c>
      <c r="DU879" s="483">
        <f t="shared" si="626"/>
        <v>0</v>
      </c>
      <c r="DV879" s="483">
        <f t="shared" si="626"/>
        <v>0</v>
      </c>
      <c r="DW879" s="483">
        <f t="shared" si="626"/>
        <v>0</v>
      </c>
      <c r="DX879" s="483">
        <f t="shared" si="626"/>
        <v>0</v>
      </c>
      <c r="DY879" s="483">
        <f t="shared" si="626"/>
        <v>0</v>
      </c>
      <c r="DZ879" s="483">
        <f t="shared" si="626"/>
        <v>0</v>
      </c>
      <c r="EA879" s="483">
        <f t="shared" si="626"/>
        <v>0</v>
      </c>
      <c r="EB879" s="483">
        <f t="shared" si="626"/>
        <v>0</v>
      </c>
      <c r="EC879" s="483">
        <f t="shared" ref="EC879:EV879" si="631">SUMIF($AE$858:$AE$873,$AE879,EC$858:EC$873)</f>
        <v>0</v>
      </c>
      <c r="ED879" s="483">
        <f t="shared" si="631"/>
        <v>0</v>
      </c>
      <c r="EE879" s="483">
        <f t="shared" si="631"/>
        <v>0</v>
      </c>
      <c r="EF879" s="483">
        <f t="shared" si="631"/>
        <v>0</v>
      </c>
      <c r="EG879" s="483">
        <f t="shared" si="631"/>
        <v>0</v>
      </c>
      <c r="EH879" s="483">
        <f t="shared" si="631"/>
        <v>0</v>
      </c>
      <c r="EI879" s="483">
        <f t="shared" si="631"/>
        <v>0</v>
      </c>
      <c r="EJ879" s="483">
        <f t="shared" si="631"/>
        <v>0</v>
      </c>
      <c r="EK879" s="483">
        <f t="shared" si="631"/>
        <v>0</v>
      </c>
      <c r="EL879" s="483">
        <f t="shared" si="631"/>
        <v>0</v>
      </c>
      <c r="EM879" s="483">
        <f t="shared" si="631"/>
        <v>0</v>
      </c>
      <c r="EN879" s="483">
        <f t="shared" si="631"/>
        <v>0</v>
      </c>
      <c r="EO879" s="483">
        <f t="shared" si="631"/>
        <v>0</v>
      </c>
      <c r="EP879" s="483">
        <f t="shared" si="631"/>
        <v>0</v>
      </c>
      <c r="EQ879" s="483">
        <f t="shared" si="631"/>
        <v>0</v>
      </c>
      <c r="ER879" s="483">
        <f t="shared" si="631"/>
        <v>0</v>
      </c>
      <c r="ES879" s="483">
        <f t="shared" si="631"/>
        <v>0</v>
      </c>
      <c r="ET879" s="483">
        <f t="shared" si="631"/>
        <v>0</v>
      </c>
      <c r="EU879" s="483">
        <f t="shared" si="631"/>
        <v>0</v>
      </c>
      <c r="EV879" s="483">
        <f t="shared" si="631"/>
        <v>0</v>
      </c>
    </row>
    <row r="880" spans="1:152" s="12" customFormat="1" ht="12" customHeight="1" x14ac:dyDescent="0.35">
      <c r="A880" s="84"/>
      <c r="B880" s="13"/>
      <c r="C880" s="13"/>
      <c r="D880" s="13"/>
      <c r="E880" s="13"/>
      <c r="F880" s="13"/>
      <c r="G880" s="1804"/>
      <c r="H880" s="1183"/>
      <c r="I880" s="1804"/>
      <c r="J880" s="1804"/>
      <c r="K880" s="141"/>
      <c r="L880" s="141"/>
      <c r="M880" s="141"/>
      <c r="N880" s="141"/>
      <c r="O880" s="141"/>
      <c r="P880" s="141"/>
      <c r="Q880" s="141"/>
      <c r="R880" s="31"/>
      <c r="S880" s="36"/>
      <c r="T880" s="376"/>
      <c r="U880" s="29"/>
      <c r="V880" s="29"/>
      <c r="W880" s="377"/>
      <c r="X880" s="376"/>
      <c r="Y880" s="29"/>
      <c r="Z880" s="29"/>
      <c r="AA880" s="29"/>
      <c r="AB880" s="29"/>
      <c r="AC880" s="29">
        <f t="shared" si="624"/>
        <v>6</v>
      </c>
      <c r="AD880" s="29"/>
      <c r="AE880" s="376" t="str">
        <v>Investor #6</v>
      </c>
      <c r="AF880" s="763">
        <f t="shared" si="627"/>
        <v>0</v>
      </c>
      <c r="AG880" s="483">
        <f t="shared" si="629"/>
        <v>0</v>
      </c>
      <c r="AH880" s="483">
        <f t="shared" si="630"/>
        <v>0</v>
      </c>
      <c r="AI880" s="483">
        <f t="shared" si="630"/>
        <v>0</v>
      </c>
      <c r="AJ880" s="483">
        <f t="shared" si="630"/>
        <v>0</v>
      </c>
      <c r="AK880" s="483">
        <f t="shared" si="630"/>
        <v>0</v>
      </c>
      <c r="AL880" s="483">
        <f t="shared" si="630"/>
        <v>0</v>
      </c>
      <c r="AM880" s="483">
        <f t="shared" si="630"/>
        <v>0</v>
      </c>
      <c r="AN880" s="483">
        <f t="shared" si="630"/>
        <v>0</v>
      </c>
      <c r="AO880" s="483">
        <f t="shared" si="630"/>
        <v>0</v>
      </c>
      <c r="AP880" s="483">
        <f t="shared" si="630"/>
        <v>0</v>
      </c>
      <c r="AQ880" s="483">
        <f t="shared" si="630"/>
        <v>0</v>
      </c>
      <c r="AR880" s="483">
        <f t="shared" si="630"/>
        <v>0</v>
      </c>
      <c r="AS880" s="483">
        <f t="shared" si="630"/>
        <v>0</v>
      </c>
      <c r="AT880" s="483">
        <f t="shared" si="630"/>
        <v>0</v>
      </c>
      <c r="AU880" s="483">
        <f t="shared" si="630"/>
        <v>0</v>
      </c>
      <c r="AV880" s="483">
        <f t="shared" si="630"/>
        <v>0</v>
      </c>
      <c r="AW880" s="483">
        <f t="shared" si="630"/>
        <v>0</v>
      </c>
      <c r="AX880" s="483">
        <f t="shared" si="630"/>
        <v>0</v>
      </c>
      <c r="AY880" s="483">
        <f t="shared" si="630"/>
        <v>0</v>
      </c>
      <c r="AZ880" s="483">
        <f t="shared" si="630"/>
        <v>0</v>
      </c>
      <c r="BA880" s="483">
        <f t="shared" si="630"/>
        <v>0</v>
      </c>
      <c r="BB880" s="483">
        <f t="shared" si="630"/>
        <v>0</v>
      </c>
      <c r="BC880" s="483">
        <f t="shared" si="630"/>
        <v>0</v>
      </c>
      <c r="BD880" s="483">
        <f t="shared" si="630"/>
        <v>0</v>
      </c>
      <c r="BE880" s="483">
        <f t="shared" si="630"/>
        <v>0</v>
      </c>
      <c r="BF880" s="483">
        <f t="shared" si="630"/>
        <v>0</v>
      </c>
      <c r="BG880" s="483">
        <f t="shared" si="630"/>
        <v>0</v>
      </c>
      <c r="BH880" s="483">
        <f t="shared" si="630"/>
        <v>0</v>
      </c>
      <c r="BI880" s="483">
        <f t="shared" si="630"/>
        <v>0</v>
      </c>
      <c r="BJ880" s="483">
        <f t="shared" si="630"/>
        <v>0</v>
      </c>
      <c r="BK880" s="483">
        <f t="shared" si="630"/>
        <v>0</v>
      </c>
      <c r="BL880" s="483">
        <f t="shared" si="630"/>
        <v>0</v>
      </c>
      <c r="BM880" s="483">
        <f t="shared" si="630"/>
        <v>0</v>
      </c>
      <c r="BN880" s="483">
        <f t="shared" si="630"/>
        <v>0</v>
      </c>
      <c r="BO880" s="483">
        <f t="shared" si="630"/>
        <v>0</v>
      </c>
      <c r="BP880" s="483">
        <f t="shared" si="630"/>
        <v>0</v>
      </c>
      <c r="BQ880" s="483">
        <f t="shared" si="630"/>
        <v>0</v>
      </c>
      <c r="BR880" s="483">
        <f t="shared" si="630"/>
        <v>0</v>
      </c>
      <c r="BS880" s="483">
        <f t="shared" si="630"/>
        <v>0</v>
      </c>
      <c r="BT880" s="483">
        <f t="shared" si="630"/>
        <v>0</v>
      </c>
      <c r="BU880" s="483">
        <f t="shared" si="630"/>
        <v>0</v>
      </c>
      <c r="BV880" s="483">
        <f t="shared" si="630"/>
        <v>0</v>
      </c>
      <c r="BW880" s="483">
        <f t="shared" si="630"/>
        <v>0</v>
      </c>
      <c r="BX880" s="483">
        <f t="shared" si="630"/>
        <v>0</v>
      </c>
      <c r="BY880" s="483">
        <f t="shared" si="630"/>
        <v>0</v>
      </c>
      <c r="BZ880" s="483">
        <f t="shared" si="630"/>
        <v>0</v>
      </c>
      <c r="CA880" s="483">
        <f t="shared" si="630"/>
        <v>0</v>
      </c>
      <c r="CB880" s="483">
        <f t="shared" si="630"/>
        <v>0</v>
      </c>
      <c r="CC880" s="483">
        <f t="shared" si="630"/>
        <v>0</v>
      </c>
      <c r="CD880" s="483">
        <f t="shared" si="630"/>
        <v>0</v>
      </c>
      <c r="CE880" s="483">
        <f t="shared" si="630"/>
        <v>0</v>
      </c>
      <c r="CF880" s="483">
        <f t="shared" si="630"/>
        <v>0</v>
      </c>
      <c r="CG880" s="483">
        <f t="shared" si="630"/>
        <v>0</v>
      </c>
      <c r="CH880" s="483">
        <f t="shared" si="630"/>
        <v>0</v>
      </c>
      <c r="CI880" s="483">
        <f t="shared" si="630"/>
        <v>0</v>
      </c>
      <c r="CJ880" s="483">
        <f t="shared" si="630"/>
        <v>0</v>
      </c>
      <c r="CK880" s="483">
        <f t="shared" si="630"/>
        <v>0</v>
      </c>
      <c r="CL880" s="483">
        <f t="shared" si="630"/>
        <v>0</v>
      </c>
      <c r="CM880" s="483">
        <f t="shared" si="630"/>
        <v>0</v>
      </c>
      <c r="CN880" s="483">
        <f t="shared" si="630"/>
        <v>0</v>
      </c>
      <c r="CO880" s="483">
        <f t="shared" si="630"/>
        <v>0</v>
      </c>
      <c r="CP880" s="483">
        <f t="shared" si="630"/>
        <v>0</v>
      </c>
      <c r="CQ880" s="483">
        <f t="shared" si="630"/>
        <v>0</v>
      </c>
      <c r="CR880" s="483">
        <f t="shared" si="630"/>
        <v>0</v>
      </c>
      <c r="CS880" s="483">
        <f t="shared" ref="CS880:EV883" si="632">SUMIF($AE$858:$AE$873,$AE880,CS$858:CS$873)</f>
        <v>0</v>
      </c>
      <c r="CT880" s="483">
        <f t="shared" si="632"/>
        <v>0</v>
      </c>
      <c r="CU880" s="483">
        <f t="shared" si="632"/>
        <v>0</v>
      </c>
      <c r="CV880" s="483">
        <f t="shared" si="632"/>
        <v>0</v>
      </c>
      <c r="CW880" s="483">
        <f t="shared" si="632"/>
        <v>0</v>
      </c>
      <c r="CX880" s="483">
        <f t="shared" si="632"/>
        <v>0</v>
      </c>
      <c r="CY880" s="483">
        <f t="shared" si="632"/>
        <v>0</v>
      </c>
      <c r="CZ880" s="483">
        <f t="shared" si="632"/>
        <v>0</v>
      </c>
      <c r="DA880" s="483">
        <f t="shared" si="632"/>
        <v>0</v>
      </c>
      <c r="DB880" s="483">
        <f t="shared" si="632"/>
        <v>0</v>
      </c>
      <c r="DC880" s="483">
        <f t="shared" si="632"/>
        <v>0</v>
      </c>
      <c r="DD880" s="483">
        <f t="shared" si="632"/>
        <v>0</v>
      </c>
      <c r="DE880" s="483">
        <f t="shared" si="632"/>
        <v>0</v>
      </c>
      <c r="DF880" s="483">
        <f t="shared" si="632"/>
        <v>0</v>
      </c>
      <c r="DG880" s="483">
        <f t="shared" si="632"/>
        <v>0</v>
      </c>
      <c r="DH880" s="483">
        <f t="shared" si="632"/>
        <v>0</v>
      </c>
      <c r="DI880" s="483">
        <f t="shared" si="632"/>
        <v>0</v>
      </c>
      <c r="DJ880" s="483">
        <f t="shared" si="632"/>
        <v>0</v>
      </c>
      <c r="DK880" s="483">
        <f t="shared" si="632"/>
        <v>0</v>
      </c>
      <c r="DL880" s="483">
        <f t="shared" si="632"/>
        <v>0</v>
      </c>
      <c r="DM880" s="483">
        <f t="shared" si="632"/>
        <v>0</v>
      </c>
      <c r="DN880" s="483">
        <f t="shared" si="632"/>
        <v>0</v>
      </c>
      <c r="DO880" s="483">
        <f t="shared" si="632"/>
        <v>0</v>
      </c>
      <c r="DP880" s="483">
        <f t="shared" si="632"/>
        <v>0</v>
      </c>
      <c r="DQ880" s="483">
        <f t="shared" si="632"/>
        <v>0</v>
      </c>
      <c r="DR880" s="483">
        <f t="shared" si="632"/>
        <v>0</v>
      </c>
      <c r="DS880" s="483">
        <f t="shared" si="632"/>
        <v>0</v>
      </c>
      <c r="DT880" s="483">
        <f t="shared" si="632"/>
        <v>0</v>
      </c>
      <c r="DU880" s="483">
        <f t="shared" si="632"/>
        <v>0</v>
      </c>
      <c r="DV880" s="483">
        <f t="shared" si="632"/>
        <v>0</v>
      </c>
      <c r="DW880" s="483">
        <f t="shared" si="632"/>
        <v>0</v>
      </c>
      <c r="DX880" s="483">
        <f t="shared" si="632"/>
        <v>0</v>
      </c>
      <c r="DY880" s="483">
        <f t="shared" si="632"/>
        <v>0</v>
      </c>
      <c r="DZ880" s="483">
        <f t="shared" si="632"/>
        <v>0</v>
      </c>
      <c r="EA880" s="483">
        <f t="shared" si="632"/>
        <v>0</v>
      </c>
      <c r="EB880" s="483">
        <f t="shared" si="632"/>
        <v>0</v>
      </c>
      <c r="EC880" s="483">
        <f t="shared" si="632"/>
        <v>0</v>
      </c>
      <c r="ED880" s="483">
        <f t="shared" si="632"/>
        <v>0</v>
      </c>
      <c r="EE880" s="483">
        <f t="shared" si="632"/>
        <v>0</v>
      </c>
      <c r="EF880" s="483">
        <f t="shared" si="632"/>
        <v>0</v>
      </c>
      <c r="EG880" s="483">
        <f t="shared" si="632"/>
        <v>0</v>
      </c>
      <c r="EH880" s="483">
        <f t="shared" si="632"/>
        <v>0</v>
      </c>
      <c r="EI880" s="483">
        <f t="shared" si="632"/>
        <v>0</v>
      </c>
      <c r="EJ880" s="483">
        <f t="shared" si="632"/>
        <v>0</v>
      </c>
      <c r="EK880" s="483">
        <f t="shared" si="632"/>
        <v>0</v>
      </c>
      <c r="EL880" s="483">
        <f t="shared" si="632"/>
        <v>0</v>
      </c>
      <c r="EM880" s="483">
        <f t="shared" si="632"/>
        <v>0</v>
      </c>
      <c r="EN880" s="483">
        <f t="shared" si="632"/>
        <v>0</v>
      </c>
      <c r="EO880" s="483">
        <f t="shared" si="632"/>
        <v>0</v>
      </c>
      <c r="EP880" s="483">
        <f t="shared" si="632"/>
        <v>0</v>
      </c>
      <c r="EQ880" s="483">
        <f t="shared" si="632"/>
        <v>0</v>
      </c>
      <c r="ER880" s="483">
        <f t="shared" si="632"/>
        <v>0</v>
      </c>
      <c r="ES880" s="483">
        <f t="shared" si="632"/>
        <v>0</v>
      </c>
      <c r="ET880" s="483">
        <f t="shared" si="632"/>
        <v>0</v>
      </c>
      <c r="EU880" s="483">
        <f t="shared" si="632"/>
        <v>0</v>
      </c>
      <c r="EV880" s="483">
        <f t="shared" si="632"/>
        <v>0</v>
      </c>
    </row>
    <row r="881" spans="1:152" s="12" customFormat="1" ht="12" customHeight="1" x14ac:dyDescent="0.35">
      <c r="A881" s="84"/>
      <c r="B881" s="13"/>
      <c r="C881" s="13"/>
      <c r="D881" s="13"/>
      <c r="E881" s="13"/>
      <c r="F881" s="13"/>
      <c r="G881" s="1804"/>
      <c r="H881" s="1183"/>
      <c r="I881" s="1804"/>
      <c r="J881" s="1804"/>
      <c r="K881" s="141"/>
      <c r="L881" s="141"/>
      <c r="M881" s="141"/>
      <c r="N881" s="141"/>
      <c r="O881" s="141"/>
      <c r="P881" s="141"/>
      <c r="Q881" s="141"/>
      <c r="R881" s="31"/>
      <c r="S881" s="36"/>
      <c r="T881" s="376"/>
      <c r="U881" s="29"/>
      <c r="V881" s="29"/>
      <c r="W881" s="377"/>
      <c r="X881" s="376"/>
      <c r="Y881" s="29"/>
      <c r="Z881" s="29"/>
      <c r="AA881" s="29"/>
      <c r="AB881" s="29"/>
      <c r="AC881" s="29">
        <f t="shared" si="624"/>
        <v>7</v>
      </c>
      <c r="AD881" s="29"/>
      <c r="AE881" s="376" t="str">
        <v>Investor #7</v>
      </c>
      <c r="AF881" s="763">
        <f t="shared" si="627"/>
        <v>0</v>
      </c>
      <c r="AG881" s="483">
        <f t="shared" si="629"/>
        <v>0</v>
      </c>
      <c r="AH881" s="483">
        <f t="shared" ref="AH881:CS884" si="633">SUMIF($AE$858:$AE$873,$AE881,AH$858:AH$873)</f>
        <v>0</v>
      </c>
      <c r="AI881" s="483">
        <f t="shared" si="633"/>
        <v>0</v>
      </c>
      <c r="AJ881" s="483">
        <f t="shared" si="633"/>
        <v>0</v>
      </c>
      <c r="AK881" s="483">
        <f t="shared" si="633"/>
        <v>0</v>
      </c>
      <c r="AL881" s="483">
        <f t="shared" si="633"/>
        <v>0</v>
      </c>
      <c r="AM881" s="483">
        <f t="shared" si="633"/>
        <v>0</v>
      </c>
      <c r="AN881" s="483">
        <f t="shared" si="633"/>
        <v>0</v>
      </c>
      <c r="AO881" s="483">
        <f t="shared" si="633"/>
        <v>0</v>
      </c>
      <c r="AP881" s="483">
        <f t="shared" si="633"/>
        <v>0</v>
      </c>
      <c r="AQ881" s="483">
        <f t="shared" si="633"/>
        <v>0</v>
      </c>
      <c r="AR881" s="483">
        <f t="shared" si="633"/>
        <v>0</v>
      </c>
      <c r="AS881" s="483">
        <f t="shared" si="633"/>
        <v>0</v>
      </c>
      <c r="AT881" s="483">
        <f t="shared" si="633"/>
        <v>0</v>
      </c>
      <c r="AU881" s="483">
        <f t="shared" si="633"/>
        <v>0</v>
      </c>
      <c r="AV881" s="483">
        <f t="shared" si="633"/>
        <v>0</v>
      </c>
      <c r="AW881" s="483">
        <f t="shared" si="633"/>
        <v>0</v>
      </c>
      <c r="AX881" s="483">
        <f t="shared" si="633"/>
        <v>0</v>
      </c>
      <c r="AY881" s="483">
        <f t="shared" si="633"/>
        <v>0</v>
      </c>
      <c r="AZ881" s="483">
        <f t="shared" si="633"/>
        <v>0</v>
      </c>
      <c r="BA881" s="483">
        <f t="shared" si="633"/>
        <v>0</v>
      </c>
      <c r="BB881" s="483">
        <f t="shared" si="633"/>
        <v>0</v>
      </c>
      <c r="BC881" s="483">
        <f t="shared" si="633"/>
        <v>0</v>
      </c>
      <c r="BD881" s="483">
        <f t="shared" si="633"/>
        <v>0</v>
      </c>
      <c r="BE881" s="483">
        <f t="shared" si="633"/>
        <v>0</v>
      </c>
      <c r="BF881" s="483">
        <f t="shared" si="633"/>
        <v>0</v>
      </c>
      <c r="BG881" s="483">
        <f t="shared" si="633"/>
        <v>0</v>
      </c>
      <c r="BH881" s="483">
        <f t="shared" si="633"/>
        <v>0</v>
      </c>
      <c r="BI881" s="483">
        <f t="shared" si="633"/>
        <v>0</v>
      </c>
      <c r="BJ881" s="483">
        <f t="shared" si="633"/>
        <v>0</v>
      </c>
      <c r="BK881" s="483">
        <f t="shared" si="633"/>
        <v>0</v>
      </c>
      <c r="BL881" s="483">
        <f t="shared" si="633"/>
        <v>0</v>
      </c>
      <c r="BM881" s="483">
        <f t="shared" si="633"/>
        <v>0</v>
      </c>
      <c r="BN881" s="483">
        <f t="shared" si="633"/>
        <v>0</v>
      </c>
      <c r="BO881" s="483">
        <f t="shared" si="633"/>
        <v>0</v>
      </c>
      <c r="BP881" s="483">
        <f t="shared" si="633"/>
        <v>0</v>
      </c>
      <c r="BQ881" s="483">
        <f t="shared" si="633"/>
        <v>0</v>
      </c>
      <c r="BR881" s="483">
        <f t="shared" si="633"/>
        <v>0</v>
      </c>
      <c r="BS881" s="483">
        <f t="shared" si="633"/>
        <v>0</v>
      </c>
      <c r="BT881" s="483">
        <f t="shared" si="633"/>
        <v>0</v>
      </c>
      <c r="BU881" s="483">
        <f t="shared" si="633"/>
        <v>0</v>
      </c>
      <c r="BV881" s="483">
        <f t="shared" si="633"/>
        <v>0</v>
      </c>
      <c r="BW881" s="483">
        <f t="shared" si="633"/>
        <v>0</v>
      </c>
      <c r="BX881" s="483">
        <f t="shared" si="633"/>
        <v>0</v>
      </c>
      <c r="BY881" s="483">
        <f t="shared" si="633"/>
        <v>0</v>
      </c>
      <c r="BZ881" s="483">
        <f t="shared" si="633"/>
        <v>0</v>
      </c>
      <c r="CA881" s="483">
        <f t="shared" si="633"/>
        <v>0</v>
      </c>
      <c r="CB881" s="483">
        <f t="shared" si="633"/>
        <v>0</v>
      </c>
      <c r="CC881" s="483">
        <f t="shared" si="633"/>
        <v>0</v>
      </c>
      <c r="CD881" s="483">
        <f t="shared" si="633"/>
        <v>0</v>
      </c>
      <c r="CE881" s="483">
        <f t="shared" si="633"/>
        <v>0</v>
      </c>
      <c r="CF881" s="483">
        <f t="shared" si="633"/>
        <v>0</v>
      </c>
      <c r="CG881" s="483">
        <f t="shared" si="633"/>
        <v>0</v>
      </c>
      <c r="CH881" s="483">
        <f t="shared" si="633"/>
        <v>0</v>
      </c>
      <c r="CI881" s="483">
        <f t="shared" si="633"/>
        <v>0</v>
      </c>
      <c r="CJ881" s="483">
        <f t="shared" si="633"/>
        <v>0</v>
      </c>
      <c r="CK881" s="483">
        <f t="shared" si="633"/>
        <v>0</v>
      </c>
      <c r="CL881" s="483">
        <f t="shared" si="633"/>
        <v>0</v>
      </c>
      <c r="CM881" s="483">
        <f t="shared" si="633"/>
        <v>0</v>
      </c>
      <c r="CN881" s="483">
        <f t="shared" si="633"/>
        <v>0</v>
      </c>
      <c r="CO881" s="483">
        <f t="shared" si="633"/>
        <v>0</v>
      </c>
      <c r="CP881" s="483">
        <f t="shared" si="633"/>
        <v>0</v>
      </c>
      <c r="CQ881" s="483">
        <f t="shared" si="633"/>
        <v>0</v>
      </c>
      <c r="CR881" s="483">
        <f t="shared" si="633"/>
        <v>0</v>
      </c>
      <c r="CS881" s="483">
        <f t="shared" si="633"/>
        <v>0</v>
      </c>
      <c r="CT881" s="483">
        <f t="shared" si="632"/>
        <v>0</v>
      </c>
      <c r="CU881" s="483">
        <f t="shared" si="632"/>
        <v>0</v>
      </c>
      <c r="CV881" s="483">
        <f t="shared" si="632"/>
        <v>0</v>
      </c>
      <c r="CW881" s="483">
        <f t="shared" si="632"/>
        <v>0</v>
      </c>
      <c r="CX881" s="483">
        <f t="shared" si="632"/>
        <v>0</v>
      </c>
      <c r="CY881" s="483">
        <f t="shared" si="632"/>
        <v>0</v>
      </c>
      <c r="CZ881" s="483">
        <f t="shared" si="632"/>
        <v>0</v>
      </c>
      <c r="DA881" s="483">
        <f t="shared" si="632"/>
        <v>0</v>
      </c>
      <c r="DB881" s="483">
        <f t="shared" si="632"/>
        <v>0</v>
      </c>
      <c r="DC881" s="483">
        <f t="shared" si="632"/>
        <v>0</v>
      </c>
      <c r="DD881" s="483">
        <f t="shared" si="632"/>
        <v>0</v>
      </c>
      <c r="DE881" s="483">
        <f t="shared" si="632"/>
        <v>0</v>
      </c>
      <c r="DF881" s="483">
        <f t="shared" si="632"/>
        <v>0</v>
      </c>
      <c r="DG881" s="483">
        <f t="shared" si="632"/>
        <v>0</v>
      </c>
      <c r="DH881" s="483">
        <f t="shared" si="632"/>
        <v>0</v>
      </c>
      <c r="DI881" s="483">
        <f t="shared" si="632"/>
        <v>0</v>
      </c>
      <c r="DJ881" s="483">
        <f t="shared" si="632"/>
        <v>0</v>
      </c>
      <c r="DK881" s="483">
        <f t="shared" si="632"/>
        <v>0</v>
      </c>
      <c r="DL881" s="483">
        <f t="shared" si="632"/>
        <v>0</v>
      </c>
      <c r="DM881" s="483">
        <f t="shared" si="632"/>
        <v>0</v>
      </c>
      <c r="DN881" s="483">
        <f t="shared" si="632"/>
        <v>0</v>
      </c>
      <c r="DO881" s="483">
        <f t="shared" si="632"/>
        <v>0</v>
      </c>
      <c r="DP881" s="483">
        <f t="shared" si="632"/>
        <v>0</v>
      </c>
      <c r="DQ881" s="483">
        <f t="shared" si="632"/>
        <v>0</v>
      </c>
      <c r="DR881" s="483">
        <f t="shared" si="632"/>
        <v>0</v>
      </c>
      <c r="DS881" s="483">
        <f t="shared" si="632"/>
        <v>0</v>
      </c>
      <c r="DT881" s="483">
        <f t="shared" si="632"/>
        <v>0</v>
      </c>
      <c r="DU881" s="483">
        <f t="shared" si="632"/>
        <v>0</v>
      </c>
      <c r="DV881" s="483">
        <f t="shared" si="632"/>
        <v>0</v>
      </c>
      <c r="DW881" s="483">
        <f t="shared" si="632"/>
        <v>0</v>
      </c>
      <c r="DX881" s="483">
        <f t="shared" si="632"/>
        <v>0</v>
      </c>
      <c r="DY881" s="483">
        <f t="shared" si="632"/>
        <v>0</v>
      </c>
      <c r="DZ881" s="483">
        <f t="shared" si="632"/>
        <v>0</v>
      </c>
      <c r="EA881" s="483">
        <f t="shared" si="632"/>
        <v>0</v>
      </c>
      <c r="EB881" s="483">
        <f t="shared" si="632"/>
        <v>0</v>
      </c>
      <c r="EC881" s="483">
        <f t="shared" si="632"/>
        <v>0</v>
      </c>
      <c r="ED881" s="483">
        <f t="shared" si="632"/>
        <v>0</v>
      </c>
      <c r="EE881" s="483">
        <f t="shared" si="632"/>
        <v>0</v>
      </c>
      <c r="EF881" s="483">
        <f t="shared" si="632"/>
        <v>0</v>
      </c>
      <c r="EG881" s="483">
        <f t="shared" si="632"/>
        <v>0</v>
      </c>
      <c r="EH881" s="483">
        <f t="shared" si="632"/>
        <v>0</v>
      </c>
      <c r="EI881" s="483">
        <f t="shared" si="632"/>
        <v>0</v>
      </c>
      <c r="EJ881" s="483">
        <f t="shared" si="632"/>
        <v>0</v>
      </c>
      <c r="EK881" s="483">
        <f t="shared" si="632"/>
        <v>0</v>
      </c>
      <c r="EL881" s="483">
        <f t="shared" si="632"/>
        <v>0</v>
      </c>
      <c r="EM881" s="483">
        <f t="shared" si="632"/>
        <v>0</v>
      </c>
      <c r="EN881" s="483">
        <f t="shared" si="632"/>
        <v>0</v>
      </c>
      <c r="EO881" s="483">
        <f t="shared" si="632"/>
        <v>0</v>
      </c>
      <c r="EP881" s="483">
        <f t="shared" si="632"/>
        <v>0</v>
      </c>
      <c r="EQ881" s="483">
        <f t="shared" si="632"/>
        <v>0</v>
      </c>
      <c r="ER881" s="483">
        <f t="shared" si="632"/>
        <v>0</v>
      </c>
      <c r="ES881" s="483">
        <f t="shared" si="632"/>
        <v>0</v>
      </c>
      <c r="ET881" s="483">
        <f t="shared" si="632"/>
        <v>0</v>
      </c>
      <c r="EU881" s="483">
        <f t="shared" si="632"/>
        <v>0</v>
      </c>
      <c r="EV881" s="483">
        <f t="shared" si="632"/>
        <v>0</v>
      </c>
    </row>
    <row r="882" spans="1:152" s="12" customFormat="1" ht="12" customHeight="1" x14ac:dyDescent="0.35">
      <c r="A882" s="84"/>
      <c r="B882" s="13"/>
      <c r="C882" s="13"/>
      <c r="D882" s="13"/>
      <c r="E882" s="13"/>
      <c r="F882" s="13"/>
      <c r="G882" s="1804"/>
      <c r="H882" s="1183"/>
      <c r="I882" s="1804"/>
      <c r="J882" s="1804"/>
      <c r="K882" s="141"/>
      <c r="L882" s="141"/>
      <c r="M882" s="141"/>
      <c r="N882" s="141"/>
      <c r="O882" s="141"/>
      <c r="P882" s="141"/>
      <c r="Q882" s="141"/>
      <c r="R882" s="31"/>
      <c r="S882" s="36"/>
      <c r="T882" s="376"/>
      <c r="U882" s="29"/>
      <c r="V882" s="29"/>
      <c r="W882" s="377"/>
      <c r="X882" s="376"/>
      <c r="Y882" s="29"/>
      <c r="Z882" s="29"/>
      <c r="AA882" s="29"/>
      <c r="AB882" s="29"/>
      <c r="AC882" s="29">
        <f t="shared" si="624"/>
        <v>8</v>
      </c>
      <c r="AD882" s="29"/>
      <c r="AE882" s="376" t="str">
        <v>Investor #8</v>
      </c>
      <c r="AF882" s="763">
        <f t="shared" si="627"/>
        <v>0</v>
      </c>
      <c r="AG882" s="483">
        <f t="shared" si="629"/>
        <v>0</v>
      </c>
      <c r="AH882" s="483">
        <f t="shared" si="633"/>
        <v>0</v>
      </c>
      <c r="AI882" s="483">
        <f t="shared" si="633"/>
        <v>0</v>
      </c>
      <c r="AJ882" s="483">
        <f t="shared" si="633"/>
        <v>0</v>
      </c>
      <c r="AK882" s="483">
        <f t="shared" si="633"/>
        <v>0</v>
      </c>
      <c r="AL882" s="483">
        <f t="shared" si="633"/>
        <v>0</v>
      </c>
      <c r="AM882" s="483">
        <f t="shared" si="633"/>
        <v>0</v>
      </c>
      <c r="AN882" s="483">
        <f t="shared" si="633"/>
        <v>0</v>
      </c>
      <c r="AO882" s="483">
        <f t="shared" si="633"/>
        <v>0</v>
      </c>
      <c r="AP882" s="483">
        <f t="shared" si="633"/>
        <v>0</v>
      </c>
      <c r="AQ882" s="483">
        <f t="shared" si="633"/>
        <v>0</v>
      </c>
      <c r="AR882" s="483">
        <f t="shared" si="633"/>
        <v>0</v>
      </c>
      <c r="AS882" s="483">
        <f t="shared" si="633"/>
        <v>0</v>
      </c>
      <c r="AT882" s="483">
        <f t="shared" si="633"/>
        <v>0</v>
      </c>
      <c r="AU882" s="483">
        <f t="shared" si="633"/>
        <v>0</v>
      </c>
      <c r="AV882" s="483">
        <f t="shared" si="633"/>
        <v>0</v>
      </c>
      <c r="AW882" s="483">
        <f t="shared" si="633"/>
        <v>0</v>
      </c>
      <c r="AX882" s="483">
        <f t="shared" si="633"/>
        <v>0</v>
      </c>
      <c r="AY882" s="483">
        <f t="shared" si="633"/>
        <v>0</v>
      </c>
      <c r="AZ882" s="483">
        <f t="shared" si="633"/>
        <v>0</v>
      </c>
      <c r="BA882" s="483">
        <f t="shared" si="633"/>
        <v>0</v>
      </c>
      <c r="BB882" s="483">
        <f t="shared" si="633"/>
        <v>0</v>
      </c>
      <c r="BC882" s="483">
        <f t="shared" si="633"/>
        <v>0</v>
      </c>
      <c r="BD882" s="483">
        <f t="shared" si="633"/>
        <v>0</v>
      </c>
      <c r="BE882" s="483">
        <f t="shared" si="633"/>
        <v>0</v>
      </c>
      <c r="BF882" s="483">
        <f t="shared" si="633"/>
        <v>0</v>
      </c>
      <c r="BG882" s="483">
        <f t="shared" si="633"/>
        <v>0</v>
      </c>
      <c r="BH882" s="483">
        <f t="shared" si="633"/>
        <v>0</v>
      </c>
      <c r="BI882" s="483">
        <f t="shared" si="633"/>
        <v>0</v>
      </c>
      <c r="BJ882" s="483">
        <f t="shared" si="633"/>
        <v>0</v>
      </c>
      <c r="BK882" s="483">
        <f t="shared" si="633"/>
        <v>0</v>
      </c>
      <c r="BL882" s="483">
        <f t="shared" si="633"/>
        <v>0</v>
      </c>
      <c r="BM882" s="483">
        <f t="shared" si="633"/>
        <v>0</v>
      </c>
      <c r="BN882" s="483">
        <f t="shared" si="633"/>
        <v>0</v>
      </c>
      <c r="BO882" s="483">
        <f t="shared" si="633"/>
        <v>0</v>
      </c>
      <c r="BP882" s="483">
        <f t="shared" si="633"/>
        <v>0</v>
      </c>
      <c r="BQ882" s="483">
        <f t="shared" si="633"/>
        <v>0</v>
      </c>
      <c r="BR882" s="483">
        <f t="shared" si="633"/>
        <v>0</v>
      </c>
      <c r="BS882" s="483">
        <f t="shared" si="633"/>
        <v>0</v>
      </c>
      <c r="BT882" s="483">
        <f t="shared" si="633"/>
        <v>0</v>
      </c>
      <c r="BU882" s="483">
        <f t="shared" si="633"/>
        <v>0</v>
      </c>
      <c r="BV882" s="483">
        <f t="shared" si="633"/>
        <v>0</v>
      </c>
      <c r="BW882" s="483">
        <f t="shared" si="633"/>
        <v>0</v>
      </c>
      <c r="BX882" s="483">
        <f t="shared" si="633"/>
        <v>0</v>
      </c>
      <c r="BY882" s="483">
        <f t="shared" si="633"/>
        <v>0</v>
      </c>
      <c r="BZ882" s="483">
        <f t="shared" si="633"/>
        <v>0</v>
      </c>
      <c r="CA882" s="483">
        <f t="shared" si="633"/>
        <v>0</v>
      </c>
      <c r="CB882" s="483">
        <f t="shared" si="633"/>
        <v>0</v>
      </c>
      <c r="CC882" s="483">
        <f t="shared" si="633"/>
        <v>0</v>
      </c>
      <c r="CD882" s="483">
        <f t="shared" si="633"/>
        <v>0</v>
      </c>
      <c r="CE882" s="483">
        <f t="shared" si="633"/>
        <v>0</v>
      </c>
      <c r="CF882" s="483">
        <f t="shared" si="633"/>
        <v>0</v>
      </c>
      <c r="CG882" s="483">
        <f t="shared" si="633"/>
        <v>0</v>
      </c>
      <c r="CH882" s="483">
        <f t="shared" si="633"/>
        <v>0</v>
      </c>
      <c r="CI882" s="483">
        <f t="shared" si="633"/>
        <v>0</v>
      </c>
      <c r="CJ882" s="483">
        <f t="shared" si="633"/>
        <v>0</v>
      </c>
      <c r="CK882" s="483">
        <f t="shared" si="633"/>
        <v>0</v>
      </c>
      <c r="CL882" s="483">
        <f t="shared" si="633"/>
        <v>0</v>
      </c>
      <c r="CM882" s="483">
        <f t="shared" si="633"/>
        <v>0</v>
      </c>
      <c r="CN882" s="483">
        <f t="shared" si="633"/>
        <v>0</v>
      </c>
      <c r="CO882" s="483">
        <f t="shared" si="633"/>
        <v>0</v>
      </c>
      <c r="CP882" s="483">
        <f t="shared" si="633"/>
        <v>0</v>
      </c>
      <c r="CQ882" s="483">
        <f t="shared" si="633"/>
        <v>0</v>
      </c>
      <c r="CR882" s="483">
        <f t="shared" si="633"/>
        <v>0</v>
      </c>
      <c r="CS882" s="483">
        <f t="shared" si="633"/>
        <v>0</v>
      </c>
      <c r="CT882" s="483">
        <f t="shared" si="632"/>
        <v>0</v>
      </c>
      <c r="CU882" s="483">
        <f t="shared" si="632"/>
        <v>0</v>
      </c>
      <c r="CV882" s="483">
        <f t="shared" si="632"/>
        <v>0</v>
      </c>
      <c r="CW882" s="483">
        <f t="shared" si="632"/>
        <v>0</v>
      </c>
      <c r="CX882" s="483">
        <f t="shared" si="632"/>
        <v>0</v>
      </c>
      <c r="CY882" s="483">
        <f t="shared" si="632"/>
        <v>0</v>
      </c>
      <c r="CZ882" s="483">
        <f t="shared" si="632"/>
        <v>0</v>
      </c>
      <c r="DA882" s="483">
        <f t="shared" si="632"/>
        <v>0</v>
      </c>
      <c r="DB882" s="483">
        <f t="shared" si="632"/>
        <v>0</v>
      </c>
      <c r="DC882" s="483">
        <f t="shared" si="632"/>
        <v>0</v>
      </c>
      <c r="DD882" s="483">
        <f t="shared" si="632"/>
        <v>0</v>
      </c>
      <c r="DE882" s="483">
        <f t="shared" si="632"/>
        <v>0</v>
      </c>
      <c r="DF882" s="483">
        <f t="shared" si="632"/>
        <v>0</v>
      </c>
      <c r="DG882" s="483">
        <f t="shared" si="632"/>
        <v>0</v>
      </c>
      <c r="DH882" s="483">
        <f t="shared" si="632"/>
        <v>0</v>
      </c>
      <c r="DI882" s="483">
        <f t="shared" si="632"/>
        <v>0</v>
      </c>
      <c r="DJ882" s="483">
        <f t="shared" si="632"/>
        <v>0</v>
      </c>
      <c r="DK882" s="483">
        <f t="shared" si="632"/>
        <v>0</v>
      </c>
      <c r="DL882" s="483">
        <f t="shared" si="632"/>
        <v>0</v>
      </c>
      <c r="DM882" s="483">
        <f t="shared" si="632"/>
        <v>0</v>
      </c>
      <c r="DN882" s="483">
        <f t="shared" si="632"/>
        <v>0</v>
      </c>
      <c r="DO882" s="483">
        <f t="shared" si="632"/>
        <v>0</v>
      </c>
      <c r="DP882" s="483">
        <f t="shared" si="632"/>
        <v>0</v>
      </c>
      <c r="DQ882" s="483">
        <f t="shared" si="632"/>
        <v>0</v>
      </c>
      <c r="DR882" s="483">
        <f t="shared" si="632"/>
        <v>0</v>
      </c>
      <c r="DS882" s="483">
        <f t="shared" si="632"/>
        <v>0</v>
      </c>
      <c r="DT882" s="483">
        <f t="shared" si="632"/>
        <v>0</v>
      </c>
      <c r="DU882" s="483">
        <f t="shared" si="632"/>
        <v>0</v>
      </c>
      <c r="DV882" s="483">
        <f t="shared" si="632"/>
        <v>0</v>
      </c>
      <c r="DW882" s="483">
        <f t="shared" si="632"/>
        <v>0</v>
      </c>
      <c r="DX882" s="483">
        <f t="shared" si="632"/>
        <v>0</v>
      </c>
      <c r="DY882" s="483">
        <f t="shared" si="632"/>
        <v>0</v>
      </c>
      <c r="DZ882" s="483">
        <f t="shared" si="632"/>
        <v>0</v>
      </c>
      <c r="EA882" s="483">
        <f t="shared" si="632"/>
        <v>0</v>
      </c>
      <c r="EB882" s="483">
        <f t="shared" si="632"/>
        <v>0</v>
      </c>
      <c r="EC882" s="483">
        <f t="shared" si="632"/>
        <v>0</v>
      </c>
      <c r="ED882" s="483">
        <f t="shared" si="632"/>
        <v>0</v>
      </c>
      <c r="EE882" s="483">
        <f t="shared" si="632"/>
        <v>0</v>
      </c>
      <c r="EF882" s="483">
        <f t="shared" si="632"/>
        <v>0</v>
      </c>
      <c r="EG882" s="483">
        <f t="shared" si="632"/>
        <v>0</v>
      </c>
      <c r="EH882" s="483">
        <f t="shared" si="632"/>
        <v>0</v>
      </c>
      <c r="EI882" s="483">
        <f t="shared" si="632"/>
        <v>0</v>
      </c>
      <c r="EJ882" s="483">
        <f t="shared" si="632"/>
        <v>0</v>
      </c>
      <c r="EK882" s="483">
        <f t="shared" si="632"/>
        <v>0</v>
      </c>
      <c r="EL882" s="483">
        <f t="shared" si="632"/>
        <v>0</v>
      </c>
      <c r="EM882" s="483">
        <f t="shared" si="632"/>
        <v>0</v>
      </c>
      <c r="EN882" s="483">
        <f t="shared" si="632"/>
        <v>0</v>
      </c>
      <c r="EO882" s="483">
        <f t="shared" si="632"/>
        <v>0</v>
      </c>
      <c r="EP882" s="483">
        <f t="shared" si="632"/>
        <v>0</v>
      </c>
      <c r="EQ882" s="483">
        <f t="shared" si="632"/>
        <v>0</v>
      </c>
      <c r="ER882" s="483">
        <f t="shared" si="632"/>
        <v>0</v>
      </c>
      <c r="ES882" s="483">
        <f t="shared" si="632"/>
        <v>0</v>
      </c>
      <c r="ET882" s="483">
        <f t="shared" si="632"/>
        <v>0</v>
      </c>
      <c r="EU882" s="483">
        <f t="shared" si="632"/>
        <v>0</v>
      </c>
      <c r="EV882" s="483">
        <f t="shared" si="632"/>
        <v>0</v>
      </c>
    </row>
    <row r="883" spans="1:152" s="12" customFormat="1" ht="12" customHeight="1" x14ac:dyDescent="0.35">
      <c r="A883" s="84"/>
      <c r="B883" s="13"/>
      <c r="C883" s="13"/>
      <c r="D883" s="13"/>
      <c r="E883" s="13"/>
      <c r="F883" s="13"/>
      <c r="G883" s="1804"/>
      <c r="H883" s="1183"/>
      <c r="I883" s="1804"/>
      <c r="J883" s="1804"/>
      <c r="K883" s="141"/>
      <c r="L883" s="141"/>
      <c r="M883" s="141"/>
      <c r="N883" s="141"/>
      <c r="O883" s="141"/>
      <c r="P883" s="141"/>
      <c r="Q883" s="141"/>
      <c r="R883" s="31"/>
      <c r="S883" s="36"/>
      <c r="T883" s="376"/>
      <c r="U883" s="29"/>
      <c r="V883" s="29"/>
      <c r="W883" s="377"/>
      <c r="X883" s="376"/>
      <c r="Y883" s="29"/>
      <c r="Z883" s="29"/>
      <c r="AA883" s="29"/>
      <c r="AB883" s="29"/>
      <c r="AC883" s="29">
        <f t="shared" si="624"/>
        <v>9</v>
      </c>
      <c r="AD883" s="29"/>
      <c r="AE883" s="376" t="str">
        <v>Investor #9</v>
      </c>
      <c r="AF883" s="763">
        <f t="shared" si="627"/>
        <v>0</v>
      </c>
      <c r="AG883" s="483">
        <f t="shared" si="629"/>
        <v>0</v>
      </c>
      <c r="AH883" s="483">
        <f t="shared" si="633"/>
        <v>0</v>
      </c>
      <c r="AI883" s="483">
        <f t="shared" si="633"/>
        <v>0</v>
      </c>
      <c r="AJ883" s="483">
        <f t="shared" si="633"/>
        <v>0</v>
      </c>
      <c r="AK883" s="483">
        <f t="shared" si="633"/>
        <v>0</v>
      </c>
      <c r="AL883" s="483">
        <f t="shared" si="633"/>
        <v>0</v>
      </c>
      <c r="AM883" s="483">
        <f t="shared" si="633"/>
        <v>0</v>
      </c>
      <c r="AN883" s="483">
        <f t="shared" si="633"/>
        <v>0</v>
      </c>
      <c r="AO883" s="483">
        <f t="shared" si="633"/>
        <v>0</v>
      </c>
      <c r="AP883" s="483">
        <f t="shared" si="633"/>
        <v>0</v>
      </c>
      <c r="AQ883" s="483">
        <f t="shared" si="633"/>
        <v>0</v>
      </c>
      <c r="AR883" s="483">
        <f t="shared" si="633"/>
        <v>0</v>
      </c>
      <c r="AS883" s="483">
        <f t="shared" si="633"/>
        <v>0</v>
      </c>
      <c r="AT883" s="483">
        <f t="shared" si="633"/>
        <v>0</v>
      </c>
      <c r="AU883" s="483">
        <f t="shared" si="633"/>
        <v>0</v>
      </c>
      <c r="AV883" s="483">
        <f t="shared" si="633"/>
        <v>0</v>
      </c>
      <c r="AW883" s="483">
        <f t="shared" si="633"/>
        <v>0</v>
      </c>
      <c r="AX883" s="483">
        <f t="shared" si="633"/>
        <v>0</v>
      </c>
      <c r="AY883" s="483">
        <f t="shared" si="633"/>
        <v>0</v>
      </c>
      <c r="AZ883" s="483">
        <f t="shared" si="633"/>
        <v>0</v>
      </c>
      <c r="BA883" s="483">
        <f t="shared" si="633"/>
        <v>0</v>
      </c>
      <c r="BB883" s="483">
        <f t="shared" si="633"/>
        <v>0</v>
      </c>
      <c r="BC883" s="483">
        <f t="shared" si="633"/>
        <v>0</v>
      </c>
      <c r="BD883" s="483">
        <f t="shared" si="633"/>
        <v>0</v>
      </c>
      <c r="BE883" s="483">
        <f t="shared" si="633"/>
        <v>0</v>
      </c>
      <c r="BF883" s="483">
        <f t="shared" si="633"/>
        <v>0</v>
      </c>
      <c r="BG883" s="483">
        <f t="shared" si="633"/>
        <v>0</v>
      </c>
      <c r="BH883" s="483">
        <f t="shared" si="633"/>
        <v>0</v>
      </c>
      <c r="BI883" s="483">
        <f t="shared" si="633"/>
        <v>0</v>
      </c>
      <c r="BJ883" s="483">
        <f t="shared" si="633"/>
        <v>0</v>
      </c>
      <c r="BK883" s="483">
        <f t="shared" si="633"/>
        <v>0</v>
      </c>
      <c r="BL883" s="483">
        <f t="shared" si="633"/>
        <v>0</v>
      </c>
      <c r="BM883" s="483">
        <f t="shared" si="633"/>
        <v>0</v>
      </c>
      <c r="BN883" s="483">
        <f t="shared" si="633"/>
        <v>0</v>
      </c>
      <c r="BO883" s="483">
        <f t="shared" si="633"/>
        <v>0</v>
      </c>
      <c r="BP883" s="483">
        <f t="shared" si="633"/>
        <v>0</v>
      </c>
      <c r="BQ883" s="483">
        <f t="shared" si="633"/>
        <v>0</v>
      </c>
      <c r="BR883" s="483">
        <f t="shared" si="633"/>
        <v>0</v>
      </c>
      <c r="BS883" s="483">
        <f t="shared" si="633"/>
        <v>0</v>
      </c>
      <c r="BT883" s="483">
        <f t="shared" si="633"/>
        <v>0</v>
      </c>
      <c r="BU883" s="483">
        <f t="shared" si="633"/>
        <v>0</v>
      </c>
      <c r="BV883" s="483">
        <f t="shared" si="633"/>
        <v>0</v>
      </c>
      <c r="BW883" s="483">
        <f t="shared" si="633"/>
        <v>0</v>
      </c>
      <c r="BX883" s="483">
        <f t="shared" si="633"/>
        <v>0</v>
      </c>
      <c r="BY883" s="483">
        <f t="shared" si="633"/>
        <v>0</v>
      </c>
      <c r="BZ883" s="483">
        <f t="shared" si="633"/>
        <v>0</v>
      </c>
      <c r="CA883" s="483">
        <f t="shared" si="633"/>
        <v>0</v>
      </c>
      <c r="CB883" s="483">
        <f t="shared" si="633"/>
        <v>0</v>
      </c>
      <c r="CC883" s="483">
        <f t="shared" si="633"/>
        <v>0</v>
      </c>
      <c r="CD883" s="483">
        <f t="shared" si="633"/>
        <v>0</v>
      </c>
      <c r="CE883" s="483">
        <f t="shared" si="633"/>
        <v>0</v>
      </c>
      <c r="CF883" s="483">
        <f t="shared" si="633"/>
        <v>0</v>
      </c>
      <c r="CG883" s="483">
        <f t="shared" si="633"/>
        <v>0</v>
      </c>
      <c r="CH883" s="483">
        <f t="shared" si="633"/>
        <v>0</v>
      </c>
      <c r="CI883" s="483">
        <f t="shared" si="633"/>
        <v>0</v>
      </c>
      <c r="CJ883" s="483">
        <f t="shared" si="633"/>
        <v>0</v>
      </c>
      <c r="CK883" s="483">
        <f t="shared" si="633"/>
        <v>0</v>
      </c>
      <c r="CL883" s="483">
        <f t="shared" si="633"/>
        <v>0</v>
      </c>
      <c r="CM883" s="483">
        <f t="shared" si="633"/>
        <v>0</v>
      </c>
      <c r="CN883" s="483">
        <f t="shared" si="633"/>
        <v>0</v>
      </c>
      <c r="CO883" s="483">
        <f t="shared" si="633"/>
        <v>0</v>
      </c>
      <c r="CP883" s="483">
        <f t="shared" si="633"/>
        <v>0</v>
      </c>
      <c r="CQ883" s="483">
        <f t="shared" si="633"/>
        <v>0</v>
      </c>
      <c r="CR883" s="483">
        <f t="shared" si="633"/>
        <v>0</v>
      </c>
      <c r="CS883" s="483">
        <f t="shared" si="633"/>
        <v>0</v>
      </c>
      <c r="CT883" s="483">
        <f t="shared" si="632"/>
        <v>0</v>
      </c>
      <c r="CU883" s="483">
        <f t="shared" si="632"/>
        <v>0</v>
      </c>
      <c r="CV883" s="483">
        <f t="shared" si="632"/>
        <v>0</v>
      </c>
      <c r="CW883" s="483">
        <f t="shared" si="632"/>
        <v>0</v>
      </c>
      <c r="CX883" s="483">
        <f t="shared" si="632"/>
        <v>0</v>
      </c>
      <c r="CY883" s="483">
        <f t="shared" si="632"/>
        <v>0</v>
      </c>
      <c r="CZ883" s="483">
        <f t="shared" si="632"/>
        <v>0</v>
      </c>
      <c r="DA883" s="483">
        <f t="shared" si="632"/>
        <v>0</v>
      </c>
      <c r="DB883" s="483">
        <f t="shared" si="632"/>
        <v>0</v>
      </c>
      <c r="DC883" s="483">
        <f t="shared" si="632"/>
        <v>0</v>
      </c>
      <c r="DD883" s="483">
        <f t="shared" si="632"/>
        <v>0</v>
      </c>
      <c r="DE883" s="483">
        <f t="shared" si="632"/>
        <v>0</v>
      </c>
      <c r="DF883" s="483">
        <f t="shared" si="632"/>
        <v>0</v>
      </c>
      <c r="DG883" s="483">
        <f t="shared" si="632"/>
        <v>0</v>
      </c>
      <c r="DH883" s="483">
        <f t="shared" si="632"/>
        <v>0</v>
      </c>
      <c r="DI883" s="483">
        <f t="shared" si="632"/>
        <v>0</v>
      </c>
      <c r="DJ883" s="483">
        <f t="shared" si="632"/>
        <v>0</v>
      </c>
      <c r="DK883" s="483">
        <f t="shared" si="632"/>
        <v>0</v>
      </c>
      <c r="DL883" s="483">
        <f t="shared" si="632"/>
        <v>0</v>
      </c>
      <c r="DM883" s="483">
        <f t="shared" si="632"/>
        <v>0</v>
      </c>
      <c r="DN883" s="483">
        <f t="shared" si="632"/>
        <v>0</v>
      </c>
      <c r="DO883" s="483">
        <f t="shared" si="632"/>
        <v>0</v>
      </c>
      <c r="DP883" s="483">
        <f t="shared" si="632"/>
        <v>0</v>
      </c>
      <c r="DQ883" s="483">
        <f t="shared" si="632"/>
        <v>0</v>
      </c>
      <c r="DR883" s="483">
        <f t="shared" si="632"/>
        <v>0</v>
      </c>
      <c r="DS883" s="483">
        <f t="shared" si="632"/>
        <v>0</v>
      </c>
      <c r="DT883" s="483">
        <f t="shared" si="632"/>
        <v>0</v>
      </c>
      <c r="DU883" s="483">
        <f t="shared" si="632"/>
        <v>0</v>
      </c>
      <c r="DV883" s="483">
        <f t="shared" si="632"/>
        <v>0</v>
      </c>
      <c r="DW883" s="483">
        <f t="shared" si="632"/>
        <v>0</v>
      </c>
      <c r="DX883" s="483">
        <f t="shared" si="632"/>
        <v>0</v>
      </c>
      <c r="DY883" s="483">
        <f t="shared" si="632"/>
        <v>0</v>
      </c>
      <c r="DZ883" s="483">
        <f t="shared" si="632"/>
        <v>0</v>
      </c>
      <c r="EA883" s="483">
        <f t="shared" si="632"/>
        <v>0</v>
      </c>
      <c r="EB883" s="483">
        <f t="shared" si="632"/>
        <v>0</v>
      </c>
      <c r="EC883" s="483">
        <f t="shared" si="632"/>
        <v>0</v>
      </c>
      <c r="ED883" s="483">
        <f t="shared" si="632"/>
        <v>0</v>
      </c>
      <c r="EE883" s="483">
        <f t="shared" si="632"/>
        <v>0</v>
      </c>
      <c r="EF883" s="483">
        <f t="shared" si="632"/>
        <v>0</v>
      </c>
      <c r="EG883" s="483">
        <f t="shared" si="632"/>
        <v>0</v>
      </c>
      <c r="EH883" s="483">
        <f t="shared" si="632"/>
        <v>0</v>
      </c>
      <c r="EI883" s="483">
        <f t="shared" si="632"/>
        <v>0</v>
      </c>
      <c r="EJ883" s="483">
        <f t="shared" si="632"/>
        <v>0</v>
      </c>
      <c r="EK883" s="483">
        <f t="shared" si="632"/>
        <v>0</v>
      </c>
      <c r="EL883" s="483">
        <f t="shared" si="632"/>
        <v>0</v>
      </c>
      <c r="EM883" s="483">
        <f t="shared" si="632"/>
        <v>0</v>
      </c>
      <c r="EN883" s="483">
        <f t="shared" si="632"/>
        <v>0</v>
      </c>
      <c r="EO883" s="483">
        <f t="shared" si="632"/>
        <v>0</v>
      </c>
      <c r="EP883" s="483">
        <f t="shared" si="632"/>
        <v>0</v>
      </c>
      <c r="EQ883" s="483">
        <f t="shared" si="632"/>
        <v>0</v>
      </c>
      <c r="ER883" s="483">
        <f t="shared" si="632"/>
        <v>0</v>
      </c>
      <c r="ES883" s="483">
        <f t="shared" si="632"/>
        <v>0</v>
      </c>
      <c r="ET883" s="483">
        <f t="shared" si="632"/>
        <v>0</v>
      </c>
      <c r="EU883" s="483">
        <f t="shared" si="632"/>
        <v>0</v>
      </c>
      <c r="EV883" s="483">
        <f t="shared" si="632"/>
        <v>0</v>
      </c>
    </row>
    <row r="884" spans="1:152" s="12" customFormat="1" ht="12" customHeight="1" x14ac:dyDescent="0.35">
      <c r="A884" s="84"/>
      <c r="B884" s="13"/>
      <c r="C884" s="13"/>
      <c r="D884" s="13"/>
      <c r="E884" s="13"/>
      <c r="F884" s="13"/>
      <c r="G884" s="1804"/>
      <c r="H884" s="1183"/>
      <c r="I884" s="1804"/>
      <c r="J884" s="1804"/>
      <c r="K884" s="141"/>
      <c r="L884" s="141"/>
      <c r="M884" s="141"/>
      <c r="N884" s="141"/>
      <c r="O884" s="141"/>
      <c r="P884" s="141"/>
      <c r="Q884" s="141"/>
      <c r="R884" s="31"/>
      <c r="S884" s="36"/>
      <c r="T884" s="376"/>
      <c r="U884" s="29"/>
      <c r="V884" s="29"/>
      <c r="W884" s="377"/>
      <c r="X884" s="376"/>
      <c r="Y884" s="29"/>
      <c r="Z884" s="29"/>
      <c r="AA884" s="29"/>
      <c r="AB884" s="29"/>
      <c r="AC884" s="29">
        <f t="shared" si="624"/>
        <v>10</v>
      </c>
      <c r="AD884" s="29"/>
      <c r="AE884" s="376" t="str">
        <v>Investor #10</v>
      </c>
      <c r="AF884" s="763">
        <f t="shared" si="627"/>
        <v>0</v>
      </c>
      <c r="AG884" s="483">
        <f t="shared" si="629"/>
        <v>0</v>
      </c>
      <c r="AH884" s="483">
        <f t="shared" si="633"/>
        <v>0</v>
      </c>
      <c r="AI884" s="483">
        <f t="shared" si="633"/>
        <v>0</v>
      </c>
      <c r="AJ884" s="483">
        <f t="shared" si="633"/>
        <v>0</v>
      </c>
      <c r="AK884" s="483">
        <f t="shared" si="633"/>
        <v>0</v>
      </c>
      <c r="AL884" s="483">
        <f t="shared" si="633"/>
        <v>0</v>
      </c>
      <c r="AM884" s="483">
        <f t="shared" si="633"/>
        <v>0</v>
      </c>
      <c r="AN884" s="483">
        <f t="shared" si="633"/>
        <v>0</v>
      </c>
      <c r="AO884" s="483">
        <f t="shared" si="633"/>
        <v>0</v>
      </c>
      <c r="AP884" s="483">
        <f t="shared" si="633"/>
        <v>0</v>
      </c>
      <c r="AQ884" s="483">
        <f t="shared" si="633"/>
        <v>0</v>
      </c>
      <c r="AR884" s="483">
        <f t="shared" si="633"/>
        <v>0</v>
      </c>
      <c r="AS884" s="483">
        <f t="shared" si="633"/>
        <v>0</v>
      </c>
      <c r="AT884" s="483">
        <f t="shared" si="633"/>
        <v>0</v>
      </c>
      <c r="AU884" s="483">
        <f t="shared" si="633"/>
        <v>0</v>
      </c>
      <c r="AV884" s="483">
        <f t="shared" si="633"/>
        <v>0</v>
      </c>
      <c r="AW884" s="483">
        <f t="shared" si="633"/>
        <v>0</v>
      </c>
      <c r="AX884" s="483">
        <f t="shared" si="633"/>
        <v>0</v>
      </c>
      <c r="AY884" s="483">
        <f t="shared" si="633"/>
        <v>0</v>
      </c>
      <c r="AZ884" s="483">
        <f t="shared" si="633"/>
        <v>0</v>
      </c>
      <c r="BA884" s="483">
        <f t="shared" si="633"/>
        <v>0</v>
      </c>
      <c r="BB884" s="483">
        <f t="shared" si="633"/>
        <v>0</v>
      </c>
      <c r="BC884" s="483">
        <f t="shared" si="633"/>
        <v>0</v>
      </c>
      <c r="BD884" s="483">
        <f t="shared" si="633"/>
        <v>0</v>
      </c>
      <c r="BE884" s="483">
        <f t="shared" si="633"/>
        <v>0</v>
      </c>
      <c r="BF884" s="483">
        <f t="shared" si="633"/>
        <v>0</v>
      </c>
      <c r="BG884" s="483">
        <f t="shared" si="633"/>
        <v>0</v>
      </c>
      <c r="BH884" s="483">
        <f t="shared" si="633"/>
        <v>0</v>
      </c>
      <c r="BI884" s="483">
        <f t="shared" si="633"/>
        <v>0</v>
      </c>
      <c r="BJ884" s="483">
        <f t="shared" si="633"/>
        <v>0</v>
      </c>
      <c r="BK884" s="483">
        <f t="shared" si="633"/>
        <v>0</v>
      </c>
      <c r="BL884" s="483">
        <f t="shared" si="633"/>
        <v>0</v>
      </c>
      <c r="BM884" s="483">
        <f t="shared" si="633"/>
        <v>0</v>
      </c>
      <c r="BN884" s="483">
        <f t="shared" si="633"/>
        <v>0</v>
      </c>
      <c r="BO884" s="483">
        <f t="shared" si="633"/>
        <v>0</v>
      </c>
      <c r="BP884" s="483">
        <f t="shared" si="633"/>
        <v>0</v>
      </c>
      <c r="BQ884" s="483">
        <f t="shared" si="633"/>
        <v>0</v>
      </c>
      <c r="BR884" s="483">
        <f t="shared" si="633"/>
        <v>0</v>
      </c>
      <c r="BS884" s="483">
        <f t="shared" si="633"/>
        <v>0</v>
      </c>
      <c r="BT884" s="483">
        <f t="shared" si="633"/>
        <v>0</v>
      </c>
      <c r="BU884" s="483">
        <f t="shared" si="633"/>
        <v>0</v>
      </c>
      <c r="BV884" s="483">
        <f t="shared" si="633"/>
        <v>0</v>
      </c>
      <c r="BW884" s="483">
        <f t="shared" si="633"/>
        <v>0</v>
      </c>
      <c r="BX884" s="483">
        <f t="shared" si="633"/>
        <v>0</v>
      </c>
      <c r="BY884" s="483">
        <f t="shared" si="633"/>
        <v>0</v>
      </c>
      <c r="BZ884" s="483">
        <f t="shared" si="633"/>
        <v>0</v>
      </c>
      <c r="CA884" s="483">
        <f t="shared" si="633"/>
        <v>0</v>
      </c>
      <c r="CB884" s="483">
        <f t="shared" si="633"/>
        <v>0</v>
      </c>
      <c r="CC884" s="483">
        <f t="shared" si="633"/>
        <v>0</v>
      </c>
      <c r="CD884" s="483">
        <f t="shared" si="633"/>
        <v>0</v>
      </c>
      <c r="CE884" s="483">
        <f t="shared" si="633"/>
        <v>0</v>
      </c>
      <c r="CF884" s="483">
        <f t="shared" si="633"/>
        <v>0</v>
      </c>
      <c r="CG884" s="483">
        <f t="shared" si="633"/>
        <v>0</v>
      </c>
      <c r="CH884" s="483">
        <f t="shared" si="633"/>
        <v>0</v>
      </c>
      <c r="CI884" s="483">
        <f t="shared" si="633"/>
        <v>0</v>
      </c>
      <c r="CJ884" s="483">
        <f t="shared" si="633"/>
        <v>0</v>
      </c>
      <c r="CK884" s="483">
        <f t="shared" si="633"/>
        <v>0</v>
      </c>
      <c r="CL884" s="483">
        <f t="shared" si="633"/>
        <v>0</v>
      </c>
      <c r="CM884" s="483">
        <f t="shared" si="633"/>
        <v>0</v>
      </c>
      <c r="CN884" s="483">
        <f t="shared" si="633"/>
        <v>0</v>
      </c>
      <c r="CO884" s="483">
        <f t="shared" si="633"/>
        <v>0</v>
      </c>
      <c r="CP884" s="483">
        <f t="shared" si="633"/>
        <v>0</v>
      </c>
      <c r="CQ884" s="483">
        <f t="shared" si="633"/>
        <v>0</v>
      </c>
      <c r="CR884" s="483">
        <f t="shared" si="633"/>
        <v>0</v>
      </c>
      <c r="CS884" s="483">
        <f t="shared" ref="CS884:EV887" si="634">SUMIF($AE$858:$AE$873,$AE884,CS$858:CS$873)</f>
        <v>0</v>
      </c>
      <c r="CT884" s="483">
        <f t="shared" si="634"/>
        <v>0</v>
      </c>
      <c r="CU884" s="483">
        <f t="shared" si="634"/>
        <v>0</v>
      </c>
      <c r="CV884" s="483">
        <f t="shared" si="634"/>
        <v>0</v>
      </c>
      <c r="CW884" s="483">
        <f t="shared" si="634"/>
        <v>0</v>
      </c>
      <c r="CX884" s="483">
        <f t="shared" si="634"/>
        <v>0</v>
      </c>
      <c r="CY884" s="483">
        <f t="shared" si="634"/>
        <v>0</v>
      </c>
      <c r="CZ884" s="483">
        <f t="shared" si="634"/>
        <v>0</v>
      </c>
      <c r="DA884" s="483">
        <f t="shared" si="634"/>
        <v>0</v>
      </c>
      <c r="DB884" s="483">
        <f t="shared" si="634"/>
        <v>0</v>
      </c>
      <c r="DC884" s="483">
        <f t="shared" si="634"/>
        <v>0</v>
      </c>
      <c r="DD884" s="483">
        <f t="shared" si="634"/>
        <v>0</v>
      </c>
      <c r="DE884" s="483">
        <f t="shared" si="634"/>
        <v>0</v>
      </c>
      <c r="DF884" s="483">
        <f t="shared" si="634"/>
        <v>0</v>
      </c>
      <c r="DG884" s="483">
        <f t="shared" si="634"/>
        <v>0</v>
      </c>
      <c r="DH884" s="483">
        <f t="shared" si="634"/>
        <v>0</v>
      </c>
      <c r="DI884" s="483">
        <f t="shared" si="634"/>
        <v>0</v>
      </c>
      <c r="DJ884" s="483">
        <f t="shared" si="634"/>
        <v>0</v>
      </c>
      <c r="DK884" s="483">
        <f t="shared" si="634"/>
        <v>0</v>
      </c>
      <c r="DL884" s="483">
        <f t="shared" si="634"/>
        <v>0</v>
      </c>
      <c r="DM884" s="483">
        <f t="shared" si="634"/>
        <v>0</v>
      </c>
      <c r="DN884" s="483">
        <f t="shared" si="634"/>
        <v>0</v>
      </c>
      <c r="DO884" s="483">
        <f t="shared" si="634"/>
        <v>0</v>
      </c>
      <c r="DP884" s="483">
        <f t="shared" si="634"/>
        <v>0</v>
      </c>
      <c r="DQ884" s="483">
        <f t="shared" si="634"/>
        <v>0</v>
      </c>
      <c r="DR884" s="483">
        <f t="shared" si="634"/>
        <v>0</v>
      </c>
      <c r="DS884" s="483">
        <f t="shared" si="634"/>
        <v>0</v>
      </c>
      <c r="DT884" s="483">
        <f t="shared" si="634"/>
        <v>0</v>
      </c>
      <c r="DU884" s="483">
        <f t="shared" si="634"/>
        <v>0</v>
      </c>
      <c r="DV884" s="483">
        <f t="shared" si="634"/>
        <v>0</v>
      </c>
      <c r="DW884" s="483">
        <f t="shared" si="634"/>
        <v>0</v>
      </c>
      <c r="DX884" s="483">
        <f t="shared" si="634"/>
        <v>0</v>
      </c>
      <c r="DY884" s="483">
        <f t="shared" si="634"/>
        <v>0</v>
      </c>
      <c r="DZ884" s="483">
        <f t="shared" si="634"/>
        <v>0</v>
      </c>
      <c r="EA884" s="483">
        <f t="shared" si="634"/>
        <v>0</v>
      </c>
      <c r="EB884" s="483">
        <f t="shared" si="634"/>
        <v>0</v>
      </c>
      <c r="EC884" s="483">
        <f t="shared" si="634"/>
        <v>0</v>
      </c>
      <c r="ED884" s="483">
        <f t="shared" si="634"/>
        <v>0</v>
      </c>
      <c r="EE884" s="483">
        <f t="shared" si="634"/>
        <v>0</v>
      </c>
      <c r="EF884" s="483">
        <f t="shared" si="634"/>
        <v>0</v>
      </c>
      <c r="EG884" s="483">
        <f t="shared" si="634"/>
        <v>0</v>
      </c>
      <c r="EH884" s="483">
        <f t="shared" si="634"/>
        <v>0</v>
      </c>
      <c r="EI884" s="483">
        <f t="shared" si="634"/>
        <v>0</v>
      </c>
      <c r="EJ884" s="483">
        <f t="shared" si="634"/>
        <v>0</v>
      </c>
      <c r="EK884" s="483">
        <f t="shared" si="634"/>
        <v>0</v>
      </c>
      <c r="EL884" s="483">
        <f t="shared" si="634"/>
        <v>0</v>
      </c>
      <c r="EM884" s="483">
        <f t="shared" si="634"/>
        <v>0</v>
      </c>
      <c r="EN884" s="483">
        <f t="shared" si="634"/>
        <v>0</v>
      </c>
      <c r="EO884" s="483">
        <f t="shared" si="634"/>
        <v>0</v>
      </c>
      <c r="EP884" s="483">
        <f t="shared" si="634"/>
        <v>0</v>
      </c>
      <c r="EQ884" s="483">
        <f t="shared" si="634"/>
        <v>0</v>
      </c>
      <c r="ER884" s="483">
        <f t="shared" si="634"/>
        <v>0</v>
      </c>
      <c r="ES884" s="483">
        <f t="shared" si="634"/>
        <v>0</v>
      </c>
      <c r="ET884" s="483">
        <f t="shared" si="634"/>
        <v>0</v>
      </c>
      <c r="EU884" s="483">
        <f t="shared" si="634"/>
        <v>0</v>
      </c>
      <c r="EV884" s="483">
        <f t="shared" si="634"/>
        <v>0</v>
      </c>
    </row>
    <row r="885" spans="1:152" s="12" customFormat="1" ht="12" customHeight="1" x14ac:dyDescent="0.35">
      <c r="A885" s="84"/>
      <c r="B885" s="13"/>
      <c r="C885" s="13"/>
      <c r="D885" s="13"/>
      <c r="E885" s="13"/>
      <c r="F885" s="13"/>
      <c r="G885" s="1804"/>
      <c r="H885" s="1183"/>
      <c r="I885" s="1804"/>
      <c r="J885" s="1804"/>
      <c r="K885" s="141"/>
      <c r="L885" s="141"/>
      <c r="M885" s="141"/>
      <c r="N885" s="141"/>
      <c r="O885" s="141"/>
      <c r="P885" s="141"/>
      <c r="Q885" s="141"/>
      <c r="R885" s="31"/>
      <c r="S885" s="36"/>
      <c r="T885" s="376"/>
      <c r="U885" s="29"/>
      <c r="V885" s="29"/>
      <c r="W885" s="377"/>
      <c r="X885" s="376"/>
      <c r="Y885" s="29"/>
      <c r="Z885" s="29"/>
      <c r="AA885" s="29"/>
      <c r="AB885" s="29"/>
      <c r="AC885" s="29">
        <f t="shared" si="624"/>
        <v>11</v>
      </c>
      <c r="AD885" s="29"/>
      <c r="AE885" s="376" t="str">
        <v>SAFE #1</v>
      </c>
      <c r="AF885" s="763">
        <f t="shared" si="627"/>
        <v>0</v>
      </c>
      <c r="AG885" s="483">
        <f t="shared" si="629"/>
        <v>0</v>
      </c>
      <c r="AH885" s="483">
        <f t="shared" ref="AH885:CS888" si="635">SUMIF($AE$858:$AE$873,$AE885,AH$858:AH$873)</f>
        <v>0</v>
      </c>
      <c r="AI885" s="483">
        <f t="shared" si="635"/>
        <v>0</v>
      </c>
      <c r="AJ885" s="483">
        <f t="shared" si="635"/>
        <v>0</v>
      </c>
      <c r="AK885" s="483">
        <f t="shared" si="635"/>
        <v>0</v>
      </c>
      <c r="AL885" s="483">
        <f t="shared" si="635"/>
        <v>0</v>
      </c>
      <c r="AM885" s="483">
        <f t="shared" si="635"/>
        <v>0</v>
      </c>
      <c r="AN885" s="483">
        <f t="shared" si="635"/>
        <v>0</v>
      </c>
      <c r="AO885" s="483">
        <f t="shared" si="635"/>
        <v>0</v>
      </c>
      <c r="AP885" s="483">
        <f t="shared" si="635"/>
        <v>0</v>
      </c>
      <c r="AQ885" s="483">
        <f t="shared" si="635"/>
        <v>0</v>
      </c>
      <c r="AR885" s="483">
        <f t="shared" si="635"/>
        <v>0</v>
      </c>
      <c r="AS885" s="483">
        <f t="shared" si="635"/>
        <v>0</v>
      </c>
      <c r="AT885" s="483">
        <f t="shared" si="635"/>
        <v>0</v>
      </c>
      <c r="AU885" s="483">
        <f t="shared" si="635"/>
        <v>0</v>
      </c>
      <c r="AV885" s="483">
        <f t="shared" si="635"/>
        <v>0</v>
      </c>
      <c r="AW885" s="483">
        <f t="shared" si="635"/>
        <v>0</v>
      </c>
      <c r="AX885" s="483">
        <f t="shared" si="635"/>
        <v>0</v>
      </c>
      <c r="AY885" s="483">
        <f t="shared" si="635"/>
        <v>0</v>
      </c>
      <c r="AZ885" s="483">
        <f t="shared" si="635"/>
        <v>0</v>
      </c>
      <c r="BA885" s="483">
        <f t="shared" si="635"/>
        <v>0</v>
      </c>
      <c r="BB885" s="483">
        <f t="shared" si="635"/>
        <v>0</v>
      </c>
      <c r="BC885" s="483">
        <f t="shared" si="635"/>
        <v>0</v>
      </c>
      <c r="BD885" s="483">
        <f t="shared" si="635"/>
        <v>0</v>
      </c>
      <c r="BE885" s="483">
        <f t="shared" si="635"/>
        <v>0</v>
      </c>
      <c r="BF885" s="483">
        <f t="shared" si="635"/>
        <v>0</v>
      </c>
      <c r="BG885" s="483">
        <f t="shared" si="635"/>
        <v>0</v>
      </c>
      <c r="BH885" s="483">
        <f t="shared" si="635"/>
        <v>0</v>
      </c>
      <c r="BI885" s="483">
        <f t="shared" si="635"/>
        <v>0</v>
      </c>
      <c r="BJ885" s="483">
        <f t="shared" si="635"/>
        <v>0</v>
      </c>
      <c r="BK885" s="483">
        <f t="shared" si="635"/>
        <v>0</v>
      </c>
      <c r="BL885" s="483">
        <f t="shared" si="635"/>
        <v>0</v>
      </c>
      <c r="BM885" s="483">
        <f t="shared" si="635"/>
        <v>0</v>
      </c>
      <c r="BN885" s="483">
        <f t="shared" si="635"/>
        <v>0</v>
      </c>
      <c r="BO885" s="483">
        <f t="shared" si="635"/>
        <v>0</v>
      </c>
      <c r="BP885" s="483">
        <f t="shared" si="635"/>
        <v>0</v>
      </c>
      <c r="BQ885" s="483">
        <f t="shared" si="635"/>
        <v>0</v>
      </c>
      <c r="BR885" s="483">
        <f t="shared" si="635"/>
        <v>0</v>
      </c>
      <c r="BS885" s="483">
        <f t="shared" si="635"/>
        <v>0</v>
      </c>
      <c r="BT885" s="483">
        <f t="shared" si="635"/>
        <v>0</v>
      </c>
      <c r="BU885" s="483">
        <f t="shared" si="635"/>
        <v>0</v>
      </c>
      <c r="BV885" s="483">
        <f t="shared" si="635"/>
        <v>0</v>
      </c>
      <c r="BW885" s="483">
        <f t="shared" si="635"/>
        <v>0</v>
      </c>
      <c r="BX885" s="483">
        <f t="shared" si="635"/>
        <v>0</v>
      </c>
      <c r="BY885" s="483">
        <f t="shared" si="635"/>
        <v>0</v>
      </c>
      <c r="BZ885" s="483">
        <f t="shared" si="635"/>
        <v>0</v>
      </c>
      <c r="CA885" s="483">
        <f t="shared" si="635"/>
        <v>0</v>
      </c>
      <c r="CB885" s="483">
        <f t="shared" si="635"/>
        <v>0</v>
      </c>
      <c r="CC885" s="483">
        <f t="shared" si="635"/>
        <v>0</v>
      </c>
      <c r="CD885" s="483">
        <f t="shared" si="635"/>
        <v>0</v>
      </c>
      <c r="CE885" s="483">
        <f t="shared" si="635"/>
        <v>0</v>
      </c>
      <c r="CF885" s="483">
        <f t="shared" si="635"/>
        <v>0</v>
      </c>
      <c r="CG885" s="483">
        <f t="shared" si="635"/>
        <v>0</v>
      </c>
      <c r="CH885" s="483">
        <f t="shared" si="635"/>
        <v>0</v>
      </c>
      <c r="CI885" s="483">
        <f t="shared" si="635"/>
        <v>0</v>
      </c>
      <c r="CJ885" s="483">
        <f t="shared" si="635"/>
        <v>0</v>
      </c>
      <c r="CK885" s="483">
        <f t="shared" si="635"/>
        <v>0</v>
      </c>
      <c r="CL885" s="483">
        <f t="shared" si="635"/>
        <v>0</v>
      </c>
      <c r="CM885" s="483">
        <f t="shared" si="635"/>
        <v>0</v>
      </c>
      <c r="CN885" s="483">
        <f t="shared" si="635"/>
        <v>0</v>
      </c>
      <c r="CO885" s="483">
        <f t="shared" si="635"/>
        <v>0</v>
      </c>
      <c r="CP885" s="483">
        <f t="shared" si="635"/>
        <v>0</v>
      </c>
      <c r="CQ885" s="483">
        <f t="shared" si="635"/>
        <v>0</v>
      </c>
      <c r="CR885" s="483">
        <f t="shared" si="635"/>
        <v>0</v>
      </c>
      <c r="CS885" s="483">
        <f t="shared" si="635"/>
        <v>0</v>
      </c>
      <c r="CT885" s="483">
        <f t="shared" si="634"/>
        <v>0</v>
      </c>
      <c r="CU885" s="483">
        <f t="shared" si="634"/>
        <v>0</v>
      </c>
      <c r="CV885" s="483">
        <f t="shared" si="634"/>
        <v>0</v>
      </c>
      <c r="CW885" s="483">
        <f t="shared" si="634"/>
        <v>0</v>
      </c>
      <c r="CX885" s="483">
        <f t="shared" si="634"/>
        <v>0</v>
      </c>
      <c r="CY885" s="483">
        <f t="shared" si="634"/>
        <v>0</v>
      </c>
      <c r="CZ885" s="483">
        <f t="shared" si="634"/>
        <v>0</v>
      </c>
      <c r="DA885" s="483">
        <f t="shared" si="634"/>
        <v>0</v>
      </c>
      <c r="DB885" s="483">
        <f t="shared" si="634"/>
        <v>0</v>
      </c>
      <c r="DC885" s="483">
        <f t="shared" si="634"/>
        <v>0</v>
      </c>
      <c r="DD885" s="483">
        <f t="shared" si="634"/>
        <v>0</v>
      </c>
      <c r="DE885" s="483">
        <f t="shared" si="634"/>
        <v>0</v>
      </c>
      <c r="DF885" s="483">
        <f t="shared" si="634"/>
        <v>0</v>
      </c>
      <c r="DG885" s="483">
        <f t="shared" si="634"/>
        <v>0</v>
      </c>
      <c r="DH885" s="483">
        <f t="shared" si="634"/>
        <v>0</v>
      </c>
      <c r="DI885" s="483">
        <f t="shared" si="634"/>
        <v>0</v>
      </c>
      <c r="DJ885" s="483">
        <f t="shared" si="634"/>
        <v>0</v>
      </c>
      <c r="DK885" s="483">
        <f t="shared" si="634"/>
        <v>0</v>
      </c>
      <c r="DL885" s="483">
        <f t="shared" si="634"/>
        <v>0</v>
      </c>
      <c r="DM885" s="483">
        <f t="shared" si="634"/>
        <v>0</v>
      </c>
      <c r="DN885" s="483">
        <f t="shared" si="634"/>
        <v>0</v>
      </c>
      <c r="DO885" s="483">
        <f t="shared" si="634"/>
        <v>0</v>
      </c>
      <c r="DP885" s="483">
        <f t="shared" si="634"/>
        <v>0</v>
      </c>
      <c r="DQ885" s="483">
        <f t="shared" si="634"/>
        <v>0</v>
      </c>
      <c r="DR885" s="483">
        <f t="shared" si="634"/>
        <v>0</v>
      </c>
      <c r="DS885" s="483">
        <f t="shared" si="634"/>
        <v>0</v>
      </c>
      <c r="DT885" s="483">
        <f t="shared" si="634"/>
        <v>0</v>
      </c>
      <c r="DU885" s="483">
        <f t="shared" si="634"/>
        <v>0</v>
      </c>
      <c r="DV885" s="483">
        <f t="shared" si="634"/>
        <v>0</v>
      </c>
      <c r="DW885" s="483">
        <f t="shared" si="634"/>
        <v>0</v>
      </c>
      <c r="DX885" s="483">
        <f t="shared" si="634"/>
        <v>0</v>
      </c>
      <c r="DY885" s="483">
        <f t="shared" si="634"/>
        <v>0</v>
      </c>
      <c r="DZ885" s="483">
        <f t="shared" si="634"/>
        <v>0</v>
      </c>
      <c r="EA885" s="483">
        <f t="shared" si="634"/>
        <v>0</v>
      </c>
      <c r="EB885" s="483">
        <f t="shared" si="634"/>
        <v>0</v>
      </c>
      <c r="EC885" s="483">
        <f t="shared" si="634"/>
        <v>0</v>
      </c>
      <c r="ED885" s="483">
        <f t="shared" si="634"/>
        <v>0</v>
      </c>
      <c r="EE885" s="483">
        <f t="shared" si="634"/>
        <v>0</v>
      </c>
      <c r="EF885" s="483">
        <f t="shared" si="634"/>
        <v>0</v>
      </c>
      <c r="EG885" s="483">
        <f t="shared" si="634"/>
        <v>0</v>
      </c>
      <c r="EH885" s="483">
        <f t="shared" si="634"/>
        <v>0</v>
      </c>
      <c r="EI885" s="483">
        <f t="shared" si="634"/>
        <v>0</v>
      </c>
      <c r="EJ885" s="483">
        <f t="shared" si="634"/>
        <v>0</v>
      </c>
      <c r="EK885" s="483">
        <f t="shared" si="634"/>
        <v>0</v>
      </c>
      <c r="EL885" s="483">
        <f t="shared" si="634"/>
        <v>0</v>
      </c>
      <c r="EM885" s="483">
        <f t="shared" si="634"/>
        <v>0</v>
      </c>
      <c r="EN885" s="483">
        <f t="shared" si="634"/>
        <v>0</v>
      </c>
      <c r="EO885" s="483">
        <f t="shared" si="634"/>
        <v>0</v>
      </c>
      <c r="EP885" s="483">
        <f t="shared" si="634"/>
        <v>0</v>
      </c>
      <c r="EQ885" s="483">
        <f t="shared" si="634"/>
        <v>0</v>
      </c>
      <c r="ER885" s="483">
        <f t="shared" si="634"/>
        <v>0</v>
      </c>
      <c r="ES885" s="483">
        <f t="shared" si="634"/>
        <v>0</v>
      </c>
      <c r="ET885" s="483">
        <f t="shared" si="634"/>
        <v>0</v>
      </c>
      <c r="EU885" s="483">
        <f t="shared" si="634"/>
        <v>0</v>
      </c>
      <c r="EV885" s="483">
        <f t="shared" si="634"/>
        <v>0</v>
      </c>
    </row>
    <row r="886" spans="1:152" s="12" customFormat="1" ht="12" customHeight="1" x14ac:dyDescent="0.35">
      <c r="A886" s="84"/>
      <c r="B886" s="13"/>
      <c r="C886" s="13"/>
      <c r="D886" s="13"/>
      <c r="E886" s="13"/>
      <c r="F886" s="13"/>
      <c r="G886" s="1804"/>
      <c r="H886" s="1183"/>
      <c r="I886" s="1804"/>
      <c r="J886" s="1804"/>
      <c r="K886" s="141"/>
      <c r="L886" s="141"/>
      <c r="M886" s="141"/>
      <c r="N886" s="141"/>
      <c r="O886" s="141"/>
      <c r="P886" s="141"/>
      <c r="Q886" s="141"/>
      <c r="R886" s="31"/>
      <c r="S886" s="36"/>
      <c r="T886" s="376"/>
      <c r="U886" s="29"/>
      <c r="V886" s="29"/>
      <c r="W886" s="377"/>
      <c r="X886" s="376"/>
      <c r="Y886" s="29"/>
      <c r="Z886" s="29"/>
      <c r="AA886" s="29"/>
      <c r="AB886" s="29"/>
      <c r="AC886" s="29">
        <f t="shared" si="624"/>
        <v>12</v>
      </c>
      <c r="AD886" s="29"/>
      <c r="AE886" s="376" t="str">
        <v>SAFE #2</v>
      </c>
      <c r="AF886" s="763">
        <f t="shared" si="627"/>
        <v>0</v>
      </c>
      <c r="AG886" s="483">
        <f t="shared" si="629"/>
        <v>0</v>
      </c>
      <c r="AH886" s="483">
        <f t="shared" si="635"/>
        <v>0</v>
      </c>
      <c r="AI886" s="483">
        <f t="shared" si="635"/>
        <v>0</v>
      </c>
      <c r="AJ886" s="483">
        <f t="shared" si="635"/>
        <v>0</v>
      </c>
      <c r="AK886" s="483">
        <f t="shared" si="635"/>
        <v>0</v>
      </c>
      <c r="AL886" s="483">
        <f t="shared" si="635"/>
        <v>0</v>
      </c>
      <c r="AM886" s="483">
        <f t="shared" si="635"/>
        <v>0</v>
      </c>
      <c r="AN886" s="483">
        <f t="shared" si="635"/>
        <v>0</v>
      </c>
      <c r="AO886" s="483">
        <f t="shared" si="635"/>
        <v>0</v>
      </c>
      <c r="AP886" s="483">
        <f t="shared" si="635"/>
        <v>0</v>
      </c>
      <c r="AQ886" s="483">
        <f t="shared" si="635"/>
        <v>0</v>
      </c>
      <c r="AR886" s="483">
        <f t="shared" si="635"/>
        <v>0</v>
      </c>
      <c r="AS886" s="483">
        <f t="shared" si="635"/>
        <v>0</v>
      </c>
      <c r="AT886" s="483">
        <f t="shared" si="635"/>
        <v>0</v>
      </c>
      <c r="AU886" s="483">
        <f t="shared" si="635"/>
        <v>0</v>
      </c>
      <c r="AV886" s="483">
        <f t="shared" si="635"/>
        <v>0</v>
      </c>
      <c r="AW886" s="483">
        <f t="shared" si="635"/>
        <v>0</v>
      </c>
      <c r="AX886" s="483">
        <f t="shared" si="635"/>
        <v>0</v>
      </c>
      <c r="AY886" s="483">
        <f t="shared" si="635"/>
        <v>0</v>
      </c>
      <c r="AZ886" s="483">
        <f t="shared" si="635"/>
        <v>0</v>
      </c>
      <c r="BA886" s="483">
        <f t="shared" si="635"/>
        <v>0</v>
      </c>
      <c r="BB886" s="483">
        <f t="shared" si="635"/>
        <v>0</v>
      </c>
      <c r="BC886" s="483">
        <f t="shared" si="635"/>
        <v>0</v>
      </c>
      <c r="BD886" s="483">
        <f t="shared" si="635"/>
        <v>0</v>
      </c>
      <c r="BE886" s="483">
        <f t="shared" si="635"/>
        <v>0</v>
      </c>
      <c r="BF886" s="483">
        <f t="shared" si="635"/>
        <v>0</v>
      </c>
      <c r="BG886" s="483">
        <f t="shared" si="635"/>
        <v>0</v>
      </c>
      <c r="BH886" s="483">
        <f t="shared" si="635"/>
        <v>0</v>
      </c>
      <c r="BI886" s="483">
        <f t="shared" si="635"/>
        <v>0</v>
      </c>
      <c r="BJ886" s="483">
        <f t="shared" si="635"/>
        <v>0</v>
      </c>
      <c r="BK886" s="483">
        <f t="shared" si="635"/>
        <v>0</v>
      </c>
      <c r="BL886" s="483">
        <f t="shared" si="635"/>
        <v>0</v>
      </c>
      <c r="BM886" s="483">
        <f t="shared" si="635"/>
        <v>0</v>
      </c>
      <c r="BN886" s="483">
        <f t="shared" si="635"/>
        <v>0</v>
      </c>
      <c r="BO886" s="483">
        <f t="shared" si="635"/>
        <v>0</v>
      </c>
      <c r="BP886" s="483">
        <f t="shared" si="635"/>
        <v>0</v>
      </c>
      <c r="BQ886" s="483">
        <f t="shared" si="635"/>
        <v>0</v>
      </c>
      <c r="BR886" s="483">
        <f t="shared" si="635"/>
        <v>0</v>
      </c>
      <c r="BS886" s="483">
        <f t="shared" si="635"/>
        <v>0</v>
      </c>
      <c r="BT886" s="483">
        <f t="shared" si="635"/>
        <v>0</v>
      </c>
      <c r="BU886" s="483">
        <f t="shared" si="635"/>
        <v>0</v>
      </c>
      <c r="BV886" s="483">
        <f t="shared" si="635"/>
        <v>0</v>
      </c>
      <c r="BW886" s="483">
        <f t="shared" si="635"/>
        <v>0</v>
      </c>
      <c r="BX886" s="483">
        <f t="shared" si="635"/>
        <v>0</v>
      </c>
      <c r="BY886" s="483">
        <f t="shared" si="635"/>
        <v>0</v>
      </c>
      <c r="BZ886" s="483">
        <f t="shared" si="635"/>
        <v>0</v>
      </c>
      <c r="CA886" s="483">
        <f t="shared" si="635"/>
        <v>0</v>
      </c>
      <c r="CB886" s="483">
        <f t="shared" si="635"/>
        <v>0</v>
      </c>
      <c r="CC886" s="483">
        <f t="shared" si="635"/>
        <v>0</v>
      </c>
      <c r="CD886" s="483">
        <f t="shared" si="635"/>
        <v>0</v>
      </c>
      <c r="CE886" s="483">
        <f t="shared" si="635"/>
        <v>0</v>
      </c>
      <c r="CF886" s="483">
        <f t="shared" si="635"/>
        <v>0</v>
      </c>
      <c r="CG886" s="483">
        <f t="shared" si="635"/>
        <v>0</v>
      </c>
      <c r="CH886" s="483">
        <f t="shared" si="635"/>
        <v>0</v>
      </c>
      <c r="CI886" s="483">
        <f t="shared" si="635"/>
        <v>0</v>
      </c>
      <c r="CJ886" s="483">
        <f t="shared" si="635"/>
        <v>0</v>
      </c>
      <c r="CK886" s="483">
        <f t="shared" si="635"/>
        <v>0</v>
      </c>
      <c r="CL886" s="483">
        <f t="shared" si="635"/>
        <v>0</v>
      </c>
      <c r="CM886" s="483">
        <f t="shared" si="635"/>
        <v>0</v>
      </c>
      <c r="CN886" s="483">
        <f t="shared" si="635"/>
        <v>0</v>
      </c>
      <c r="CO886" s="483">
        <f t="shared" si="635"/>
        <v>0</v>
      </c>
      <c r="CP886" s="483">
        <f t="shared" si="635"/>
        <v>0</v>
      </c>
      <c r="CQ886" s="483">
        <f t="shared" si="635"/>
        <v>0</v>
      </c>
      <c r="CR886" s="483">
        <f t="shared" si="635"/>
        <v>0</v>
      </c>
      <c r="CS886" s="483">
        <f t="shared" si="635"/>
        <v>0</v>
      </c>
      <c r="CT886" s="483">
        <f t="shared" si="634"/>
        <v>0</v>
      </c>
      <c r="CU886" s="483">
        <f t="shared" si="634"/>
        <v>0</v>
      </c>
      <c r="CV886" s="483">
        <f t="shared" si="634"/>
        <v>0</v>
      </c>
      <c r="CW886" s="483">
        <f t="shared" si="634"/>
        <v>0</v>
      </c>
      <c r="CX886" s="483">
        <f t="shared" si="634"/>
        <v>0</v>
      </c>
      <c r="CY886" s="483">
        <f t="shared" si="634"/>
        <v>0</v>
      </c>
      <c r="CZ886" s="483">
        <f t="shared" si="634"/>
        <v>0</v>
      </c>
      <c r="DA886" s="483">
        <f t="shared" si="634"/>
        <v>0</v>
      </c>
      <c r="DB886" s="483">
        <f t="shared" si="634"/>
        <v>0</v>
      </c>
      <c r="DC886" s="483">
        <f t="shared" si="634"/>
        <v>0</v>
      </c>
      <c r="DD886" s="483">
        <f t="shared" si="634"/>
        <v>0</v>
      </c>
      <c r="DE886" s="483">
        <f t="shared" si="634"/>
        <v>0</v>
      </c>
      <c r="DF886" s="483">
        <f t="shared" si="634"/>
        <v>0</v>
      </c>
      <c r="DG886" s="483">
        <f t="shared" si="634"/>
        <v>0</v>
      </c>
      <c r="DH886" s="483">
        <f t="shared" si="634"/>
        <v>0</v>
      </c>
      <c r="DI886" s="483">
        <f t="shared" si="634"/>
        <v>0</v>
      </c>
      <c r="DJ886" s="483">
        <f t="shared" si="634"/>
        <v>0</v>
      </c>
      <c r="DK886" s="483">
        <f t="shared" si="634"/>
        <v>0</v>
      </c>
      <c r="DL886" s="483">
        <f t="shared" si="634"/>
        <v>0</v>
      </c>
      <c r="DM886" s="483">
        <f t="shared" si="634"/>
        <v>0</v>
      </c>
      <c r="DN886" s="483">
        <f t="shared" si="634"/>
        <v>0</v>
      </c>
      <c r="DO886" s="483">
        <f t="shared" si="634"/>
        <v>0</v>
      </c>
      <c r="DP886" s="483">
        <f t="shared" si="634"/>
        <v>0</v>
      </c>
      <c r="DQ886" s="483">
        <f t="shared" si="634"/>
        <v>0</v>
      </c>
      <c r="DR886" s="483">
        <f t="shared" si="634"/>
        <v>0</v>
      </c>
      <c r="DS886" s="483">
        <f t="shared" si="634"/>
        <v>0</v>
      </c>
      <c r="DT886" s="483">
        <f t="shared" si="634"/>
        <v>0</v>
      </c>
      <c r="DU886" s="483">
        <f t="shared" si="634"/>
        <v>0</v>
      </c>
      <c r="DV886" s="483">
        <f t="shared" si="634"/>
        <v>0</v>
      </c>
      <c r="DW886" s="483">
        <f t="shared" si="634"/>
        <v>0</v>
      </c>
      <c r="DX886" s="483">
        <f t="shared" si="634"/>
        <v>0</v>
      </c>
      <c r="DY886" s="483">
        <f t="shared" si="634"/>
        <v>0</v>
      </c>
      <c r="DZ886" s="483">
        <f t="shared" si="634"/>
        <v>0</v>
      </c>
      <c r="EA886" s="483">
        <f t="shared" si="634"/>
        <v>0</v>
      </c>
      <c r="EB886" s="483">
        <f t="shared" si="634"/>
        <v>0</v>
      </c>
      <c r="EC886" s="483">
        <f t="shared" si="634"/>
        <v>0</v>
      </c>
      <c r="ED886" s="483">
        <f t="shared" si="634"/>
        <v>0</v>
      </c>
      <c r="EE886" s="483">
        <f t="shared" si="634"/>
        <v>0</v>
      </c>
      <c r="EF886" s="483">
        <f t="shared" si="634"/>
        <v>0</v>
      </c>
      <c r="EG886" s="483">
        <f t="shared" si="634"/>
        <v>0</v>
      </c>
      <c r="EH886" s="483">
        <f t="shared" si="634"/>
        <v>0</v>
      </c>
      <c r="EI886" s="483">
        <f t="shared" si="634"/>
        <v>0</v>
      </c>
      <c r="EJ886" s="483">
        <f t="shared" si="634"/>
        <v>0</v>
      </c>
      <c r="EK886" s="483">
        <f t="shared" si="634"/>
        <v>0</v>
      </c>
      <c r="EL886" s="483">
        <f t="shared" si="634"/>
        <v>0</v>
      </c>
      <c r="EM886" s="483">
        <f t="shared" si="634"/>
        <v>0</v>
      </c>
      <c r="EN886" s="483">
        <f t="shared" si="634"/>
        <v>0</v>
      </c>
      <c r="EO886" s="483">
        <f t="shared" si="634"/>
        <v>0</v>
      </c>
      <c r="EP886" s="483">
        <f t="shared" si="634"/>
        <v>0</v>
      </c>
      <c r="EQ886" s="483">
        <f t="shared" si="634"/>
        <v>0</v>
      </c>
      <c r="ER886" s="483">
        <f t="shared" si="634"/>
        <v>0</v>
      </c>
      <c r="ES886" s="483">
        <f t="shared" si="634"/>
        <v>0</v>
      </c>
      <c r="ET886" s="483">
        <f t="shared" si="634"/>
        <v>0</v>
      </c>
      <c r="EU886" s="483">
        <f t="shared" si="634"/>
        <v>0</v>
      </c>
      <c r="EV886" s="483">
        <f t="shared" si="634"/>
        <v>0</v>
      </c>
    </row>
    <row r="887" spans="1:152" s="12" customFormat="1" ht="12" customHeight="1" x14ac:dyDescent="0.35">
      <c r="A887" s="84"/>
      <c r="B887" s="13"/>
      <c r="C887" s="13"/>
      <c r="D887" s="13"/>
      <c r="E887" s="13"/>
      <c r="F887" s="13"/>
      <c r="G887" s="1804"/>
      <c r="H887" s="1183"/>
      <c r="I887" s="1804"/>
      <c r="J887" s="1804"/>
      <c r="K887" s="141"/>
      <c r="L887" s="141"/>
      <c r="M887" s="141"/>
      <c r="N887" s="141"/>
      <c r="O887" s="141"/>
      <c r="P887" s="141"/>
      <c r="Q887" s="141"/>
      <c r="R887" s="31"/>
      <c r="S887" s="36"/>
      <c r="T887" s="376"/>
      <c r="U887" s="29"/>
      <c r="V887" s="29"/>
      <c r="W887" s="377"/>
      <c r="X887" s="376"/>
      <c r="Y887" s="29"/>
      <c r="Z887" s="29"/>
      <c r="AA887" s="29"/>
      <c r="AB887" s="29"/>
      <c r="AC887" s="29">
        <f t="shared" si="624"/>
        <v>13</v>
      </c>
      <c r="AD887" s="29"/>
      <c r="AE887" s="376" t="str">
        <v>SAFE #3</v>
      </c>
      <c r="AF887" s="763">
        <f t="shared" si="627"/>
        <v>0</v>
      </c>
      <c r="AG887" s="483">
        <f t="shared" si="629"/>
        <v>0</v>
      </c>
      <c r="AH887" s="483">
        <f t="shared" si="635"/>
        <v>0</v>
      </c>
      <c r="AI887" s="483">
        <f t="shared" si="635"/>
        <v>0</v>
      </c>
      <c r="AJ887" s="483">
        <f t="shared" si="635"/>
        <v>0</v>
      </c>
      <c r="AK887" s="483">
        <f t="shared" si="635"/>
        <v>0</v>
      </c>
      <c r="AL887" s="483">
        <f t="shared" si="635"/>
        <v>0</v>
      </c>
      <c r="AM887" s="483">
        <f t="shared" si="635"/>
        <v>0</v>
      </c>
      <c r="AN887" s="483">
        <f t="shared" si="635"/>
        <v>0</v>
      </c>
      <c r="AO887" s="483">
        <f t="shared" si="635"/>
        <v>0</v>
      </c>
      <c r="AP887" s="483">
        <f t="shared" si="635"/>
        <v>0</v>
      </c>
      <c r="AQ887" s="483">
        <f t="shared" si="635"/>
        <v>0</v>
      </c>
      <c r="AR887" s="483">
        <f t="shared" si="635"/>
        <v>0</v>
      </c>
      <c r="AS887" s="483">
        <f t="shared" si="635"/>
        <v>0</v>
      </c>
      <c r="AT887" s="483">
        <f t="shared" si="635"/>
        <v>0</v>
      </c>
      <c r="AU887" s="483">
        <f t="shared" si="635"/>
        <v>0</v>
      </c>
      <c r="AV887" s="483">
        <f t="shared" si="635"/>
        <v>0</v>
      </c>
      <c r="AW887" s="483">
        <f t="shared" si="635"/>
        <v>0</v>
      </c>
      <c r="AX887" s="483">
        <f t="shared" si="635"/>
        <v>0</v>
      </c>
      <c r="AY887" s="483">
        <f t="shared" si="635"/>
        <v>0</v>
      </c>
      <c r="AZ887" s="483">
        <f t="shared" si="635"/>
        <v>0</v>
      </c>
      <c r="BA887" s="483">
        <f t="shared" si="635"/>
        <v>0</v>
      </c>
      <c r="BB887" s="483">
        <f t="shared" si="635"/>
        <v>0</v>
      </c>
      <c r="BC887" s="483">
        <f t="shared" si="635"/>
        <v>0</v>
      </c>
      <c r="BD887" s="483">
        <f t="shared" si="635"/>
        <v>0</v>
      </c>
      <c r="BE887" s="483">
        <f t="shared" si="635"/>
        <v>0</v>
      </c>
      <c r="BF887" s="483">
        <f t="shared" si="635"/>
        <v>0</v>
      </c>
      <c r="BG887" s="483">
        <f t="shared" si="635"/>
        <v>0</v>
      </c>
      <c r="BH887" s="483">
        <f t="shared" si="635"/>
        <v>0</v>
      </c>
      <c r="BI887" s="483">
        <f t="shared" si="635"/>
        <v>0</v>
      </c>
      <c r="BJ887" s="483">
        <f t="shared" si="635"/>
        <v>0</v>
      </c>
      <c r="BK887" s="483">
        <f t="shared" si="635"/>
        <v>0</v>
      </c>
      <c r="BL887" s="483">
        <f t="shared" si="635"/>
        <v>0</v>
      </c>
      <c r="BM887" s="483">
        <f t="shared" si="635"/>
        <v>0</v>
      </c>
      <c r="BN887" s="483">
        <f t="shared" si="635"/>
        <v>0</v>
      </c>
      <c r="BO887" s="483">
        <f t="shared" si="635"/>
        <v>0</v>
      </c>
      <c r="BP887" s="483">
        <f t="shared" si="635"/>
        <v>0</v>
      </c>
      <c r="BQ887" s="483">
        <f t="shared" si="635"/>
        <v>0</v>
      </c>
      <c r="BR887" s="483">
        <f t="shared" si="635"/>
        <v>0</v>
      </c>
      <c r="BS887" s="483">
        <f t="shared" si="635"/>
        <v>0</v>
      </c>
      <c r="BT887" s="483">
        <f t="shared" si="635"/>
        <v>0</v>
      </c>
      <c r="BU887" s="483">
        <f t="shared" si="635"/>
        <v>0</v>
      </c>
      <c r="BV887" s="483">
        <f t="shared" si="635"/>
        <v>0</v>
      </c>
      <c r="BW887" s="483">
        <f t="shared" si="635"/>
        <v>0</v>
      </c>
      <c r="BX887" s="483">
        <f t="shared" si="635"/>
        <v>0</v>
      </c>
      <c r="BY887" s="483">
        <f t="shared" si="635"/>
        <v>0</v>
      </c>
      <c r="BZ887" s="483">
        <f t="shared" si="635"/>
        <v>0</v>
      </c>
      <c r="CA887" s="483">
        <f t="shared" si="635"/>
        <v>0</v>
      </c>
      <c r="CB887" s="483">
        <f t="shared" si="635"/>
        <v>0</v>
      </c>
      <c r="CC887" s="483">
        <f t="shared" si="635"/>
        <v>0</v>
      </c>
      <c r="CD887" s="483">
        <f t="shared" si="635"/>
        <v>0</v>
      </c>
      <c r="CE887" s="483">
        <f t="shared" si="635"/>
        <v>0</v>
      </c>
      <c r="CF887" s="483">
        <f t="shared" si="635"/>
        <v>0</v>
      </c>
      <c r="CG887" s="483">
        <f t="shared" si="635"/>
        <v>0</v>
      </c>
      <c r="CH887" s="483">
        <f t="shared" si="635"/>
        <v>0</v>
      </c>
      <c r="CI887" s="483">
        <f t="shared" si="635"/>
        <v>0</v>
      </c>
      <c r="CJ887" s="483">
        <f t="shared" si="635"/>
        <v>0</v>
      </c>
      <c r="CK887" s="483">
        <f t="shared" si="635"/>
        <v>0</v>
      </c>
      <c r="CL887" s="483">
        <f t="shared" si="635"/>
        <v>0</v>
      </c>
      <c r="CM887" s="483">
        <f t="shared" si="635"/>
        <v>0</v>
      </c>
      <c r="CN887" s="483">
        <f t="shared" si="635"/>
        <v>0</v>
      </c>
      <c r="CO887" s="483">
        <f t="shared" si="635"/>
        <v>0</v>
      </c>
      <c r="CP887" s="483">
        <f t="shared" si="635"/>
        <v>0</v>
      </c>
      <c r="CQ887" s="483">
        <f t="shared" si="635"/>
        <v>0</v>
      </c>
      <c r="CR887" s="483">
        <f t="shared" si="635"/>
        <v>0</v>
      </c>
      <c r="CS887" s="483">
        <f t="shared" si="635"/>
        <v>0</v>
      </c>
      <c r="CT887" s="483">
        <f t="shared" si="634"/>
        <v>0</v>
      </c>
      <c r="CU887" s="483">
        <f t="shared" si="634"/>
        <v>0</v>
      </c>
      <c r="CV887" s="483">
        <f t="shared" si="634"/>
        <v>0</v>
      </c>
      <c r="CW887" s="483">
        <f t="shared" si="634"/>
        <v>0</v>
      </c>
      <c r="CX887" s="483">
        <f t="shared" si="634"/>
        <v>0</v>
      </c>
      <c r="CY887" s="483">
        <f t="shared" si="634"/>
        <v>0</v>
      </c>
      <c r="CZ887" s="483">
        <f t="shared" si="634"/>
        <v>0</v>
      </c>
      <c r="DA887" s="483">
        <f t="shared" si="634"/>
        <v>0</v>
      </c>
      <c r="DB887" s="483">
        <f t="shared" si="634"/>
        <v>0</v>
      </c>
      <c r="DC887" s="483">
        <f t="shared" si="634"/>
        <v>0</v>
      </c>
      <c r="DD887" s="483">
        <f t="shared" si="634"/>
        <v>0</v>
      </c>
      <c r="DE887" s="483">
        <f t="shared" si="634"/>
        <v>0</v>
      </c>
      <c r="DF887" s="483">
        <f t="shared" si="634"/>
        <v>0</v>
      </c>
      <c r="DG887" s="483">
        <f t="shared" si="634"/>
        <v>0</v>
      </c>
      <c r="DH887" s="483">
        <f t="shared" si="634"/>
        <v>0</v>
      </c>
      <c r="DI887" s="483">
        <f t="shared" si="634"/>
        <v>0</v>
      </c>
      <c r="DJ887" s="483">
        <f t="shared" si="634"/>
        <v>0</v>
      </c>
      <c r="DK887" s="483">
        <f t="shared" si="634"/>
        <v>0</v>
      </c>
      <c r="DL887" s="483">
        <f t="shared" si="634"/>
        <v>0</v>
      </c>
      <c r="DM887" s="483">
        <f t="shared" si="634"/>
        <v>0</v>
      </c>
      <c r="DN887" s="483">
        <f t="shared" si="634"/>
        <v>0</v>
      </c>
      <c r="DO887" s="483">
        <f t="shared" si="634"/>
        <v>0</v>
      </c>
      <c r="DP887" s="483">
        <f t="shared" si="634"/>
        <v>0</v>
      </c>
      <c r="DQ887" s="483">
        <f t="shared" si="634"/>
        <v>0</v>
      </c>
      <c r="DR887" s="483">
        <f t="shared" si="634"/>
        <v>0</v>
      </c>
      <c r="DS887" s="483">
        <f t="shared" si="634"/>
        <v>0</v>
      </c>
      <c r="DT887" s="483">
        <f t="shared" si="634"/>
        <v>0</v>
      </c>
      <c r="DU887" s="483">
        <f t="shared" si="634"/>
        <v>0</v>
      </c>
      <c r="DV887" s="483">
        <f t="shared" si="634"/>
        <v>0</v>
      </c>
      <c r="DW887" s="483">
        <f t="shared" si="634"/>
        <v>0</v>
      </c>
      <c r="DX887" s="483">
        <f t="shared" si="634"/>
        <v>0</v>
      </c>
      <c r="DY887" s="483">
        <f t="shared" si="634"/>
        <v>0</v>
      </c>
      <c r="DZ887" s="483">
        <f t="shared" si="634"/>
        <v>0</v>
      </c>
      <c r="EA887" s="483">
        <f t="shared" si="634"/>
        <v>0</v>
      </c>
      <c r="EB887" s="483">
        <f t="shared" si="634"/>
        <v>0</v>
      </c>
      <c r="EC887" s="483">
        <f t="shared" si="634"/>
        <v>0</v>
      </c>
      <c r="ED887" s="483">
        <f t="shared" si="634"/>
        <v>0</v>
      </c>
      <c r="EE887" s="483">
        <f t="shared" si="634"/>
        <v>0</v>
      </c>
      <c r="EF887" s="483">
        <f t="shared" si="634"/>
        <v>0</v>
      </c>
      <c r="EG887" s="483">
        <f t="shared" si="634"/>
        <v>0</v>
      </c>
      <c r="EH887" s="483">
        <f t="shared" si="634"/>
        <v>0</v>
      </c>
      <c r="EI887" s="483">
        <f t="shared" si="634"/>
        <v>0</v>
      </c>
      <c r="EJ887" s="483">
        <f t="shared" si="634"/>
        <v>0</v>
      </c>
      <c r="EK887" s="483">
        <f t="shared" si="634"/>
        <v>0</v>
      </c>
      <c r="EL887" s="483">
        <f t="shared" si="634"/>
        <v>0</v>
      </c>
      <c r="EM887" s="483">
        <f t="shared" si="634"/>
        <v>0</v>
      </c>
      <c r="EN887" s="483">
        <f t="shared" si="634"/>
        <v>0</v>
      </c>
      <c r="EO887" s="483">
        <f t="shared" si="634"/>
        <v>0</v>
      </c>
      <c r="EP887" s="483">
        <f t="shared" si="634"/>
        <v>0</v>
      </c>
      <c r="EQ887" s="483">
        <f t="shared" si="634"/>
        <v>0</v>
      </c>
      <c r="ER887" s="483">
        <f t="shared" si="634"/>
        <v>0</v>
      </c>
      <c r="ES887" s="483">
        <f t="shared" si="634"/>
        <v>0</v>
      </c>
      <c r="ET887" s="483">
        <f t="shared" si="634"/>
        <v>0</v>
      </c>
      <c r="EU887" s="483">
        <f t="shared" si="634"/>
        <v>0</v>
      </c>
      <c r="EV887" s="483">
        <f t="shared" si="634"/>
        <v>0</v>
      </c>
    </row>
    <row r="888" spans="1:152" s="12" customFormat="1" ht="12" customHeight="1" x14ac:dyDescent="0.35">
      <c r="A888" s="84"/>
      <c r="B888" s="13"/>
      <c r="C888" s="13"/>
      <c r="D888" s="13"/>
      <c r="E888" s="13"/>
      <c r="F888" s="13"/>
      <c r="G888" s="1804"/>
      <c r="H888" s="1183"/>
      <c r="I888" s="1804"/>
      <c r="J888" s="1804"/>
      <c r="K888" s="141"/>
      <c r="L888" s="141"/>
      <c r="M888" s="141"/>
      <c r="N888" s="141"/>
      <c r="O888" s="141"/>
      <c r="P888" s="141"/>
      <c r="Q888" s="141"/>
      <c r="R888" s="31"/>
      <c r="S888" s="36"/>
      <c r="T888" s="376"/>
      <c r="U888" s="29"/>
      <c r="V888" s="29"/>
      <c r="W888" s="377"/>
      <c r="X888" s="376"/>
      <c r="Y888" s="29"/>
      <c r="Z888" s="29"/>
      <c r="AA888" s="29"/>
      <c r="AB888" s="29"/>
      <c r="AC888" s="29">
        <f t="shared" si="624"/>
        <v>14</v>
      </c>
      <c r="AD888" s="29"/>
      <c r="AE888" s="376" t="str">
        <v>Convertible Note #1</v>
      </c>
      <c r="AF888" s="763">
        <f t="shared" si="627"/>
        <v>0</v>
      </c>
      <c r="AG888" s="483">
        <f t="shared" si="629"/>
        <v>0</v>
      </c>
      <c r="AH888" s="483">
        <f t="shared" si="635"/>
        <v>0</v>
      </c>
      <c r="AI888" s="483">
        <f t="shared" si="635"/>
        <v>0</v>
      </c>
      <c r="AJ888" s="483">
        <f t="shared" si="635"/>
        <v>0</v>
      </c>
      <c r="AK888" s="483">
        <f t="shared" si="635"/>
        <v>0</v>
      </c>
      <c r="AL888" s="483">
        <f t="shared" si="635"/>
        <v>0</v>
      </c>
      <c r="AM888" s="483">
        <f t="shared" si="635"/>
        <v>0</v>
      </c>
      <c r="AN888" s="483">
        <f t="shared" si="635"/>
        <v>0</v>
      </c>
      <c r="AO888" s="483">
        <f t="shared" si="635"/>
        <v>0</v>
      </c>
      <c r="AP888" s="483">
        <f t="shared" si="635"/>
        <v>0</v>
      </c>
      <c r="AQ888" s="483">
        <f t="shared" si="635"/>
        <v>0</v>
      </c>
      <c r="AR888" s="483">
        <f t="shared" si="635"/>
        <v>0</v>
      </c>
      <c r="AS888" s="483">
        <f t="shared" si="635"/>
        <v>0</v>
      </c>
      <c r="AT888" s="483">
        <f t="shared" si="635"/>
        <v>0</v>
      </c>
      <c r="AU888" s="483">
        <f t="shared" si="635"/>
        <v>0</v>
      </c>
      <c r="AV888" s="483">
        <f t="shared" si="635"/>
        <v>0</v>
      </c>
      <c r="AW888" s="483">
        <f t="shared" si="635"/>
        <v>0</v>
      </c>
      <c r="AX888" s="483">
        <f t="shared" si="635"/>
        <v>0</v>
      </c>
      <c r="AY888" s="483">
        <f t="shared" si="635"/>
        <v>0</v>
      </c>
      <c r="AZ888" s="483">
        <f t="shared" si="635"/>
        <v>0</v>
      </c>
      <c r="BA888" s="483">
        <f t="shared" si="635"/>
        <v>0</v>
      </c>
      <c r="BB888" s="483">
        <f t="shared" si="635"/>
        <v>0</v>
      </c>
      <c r="BC888" s="483">
        <f t="shared" si="635"/>
        <v>0</v>
      </c>
      <c r="BD888" s="483">
        <f t="shared" si="635"/>
        <v>0</v>
      </c>
      <c r="BE888" s="483">
        <f t="shared" si="635"/>
        <v>0</v>
      </c>
      <c r="BF888" s="483">
        <f t="shared" si="635"/>
        <v>0</v>
      </c>
      <c r="BG888" s="483">
        <f t="shared" si="635"/>
        <v>0</v>
      </c>
      <c r="BH888" s="483">
        <f t="shared" si="635"/>
        <v>0</v>
      </c>
      <c r="BI888" s="483">
        <f t="shared" si="635"/>
        <v>0</v>
      </c>
      <c r="BJ888" s="483">
        <f t="shared" si="635"/>
        <v>0</v>
      </c>
      <c r="BK888" s="483">
        <f t="shared" si="635"/>
        <v>0</v>
      </c>
      <c r="BL888" s="483">
        <f t="shared" si="635"/>
        <v>0</v>
      </c>
      <c r="BM888" s="483">
        <f t="shared" si="635"/>
        <v>0</v>
      </c>
      <c r="BN888" s="483">
        <f t="shared" si="635"/>
        <v>0</v>
      </c>
      <c r="BO888" s="483">
        <f t="shared" si="635"/>
        <v>0</v>
      </c>
      <c r="BP888" s="483">
        <f t="shared" si="635"/>
        <v>0</v>
      </c>
      <c r="BQ888" s="483">
        <f t="shared" si="635"/>
        <v>0</v>
      </c>
      <c r="BR888" s="483">
        <f t="shared" si="635"/>
        <v>0</v>
      </c>
      <c r="BS888" s="483">
        <f t="shared" si="635"/>
        <v>0</v>
      </c>
      <c r="BT888" s="483">
        <f t="shared" si="635"/>
        <v>0</v>
      </c>
      <c r="BU888" s="483">
        <f t="shared" si="635"/>
        <v>0</v>
      </c>
      <c r="BV888" s="483">
        <f t="shared" si="635"/>
        <v>0</v>
      </c>
      <c r="BW888" s="483">
        <f t="shared" si="635"/>
        <v>0</v>
      </c>
      <c r="BX888" s="483">
        <f t="shared" si="635"/>
        <v>0</v>
      </c>
      <c r="BY888" s="483">
        <f t="shared" si="635"/>
        <v>0</v>
      </c>
      <c r="BZ888" s="483">
        <f t="shared" si="635"/>
        <v>0</v>
      </c>
      <c r="CA888" s="483">
        <f t="shared" si="635"/>
        <v>0</v>
      </c>
      <c r="CB888" s="483">
        <f t="shared" si="635"/>
        <v>0</v>
      </c>
      <c r="CC888" s="483">
        <f t="shared" si="635"/>
        <v>0</v>
      </c>
      <c r="CD888" s="483">
        <f t="shared" si="635"/>
        <v>0</v>
      </c>
      <c r="CE888" s="483">
        <f t="shared" si="635"/>
        <v>0</v>
      </c>
      <c r="CF888" s="483">
        <f t="shared" si="635"/>
        <v>0</v>
      </c>
      <c r="CG888" s="483">
        <f t="shared" si="635"/>
        <v>0</v>
      </c>
      <c r="CH888" s="483">
        <f t="shared" si="635"/>
        <v>0</v>
      </c>
      <c r="CI888" s="483">
        <f t="shared" si="635"/>
        <v>0</v>
      </c>
      <c r="CJ888" s="483">
        <f t="shared" si="635"/>
        <v>0</v>
      </c>
      <c r="CK888" s="483">
        <f t="shared" si="635"/>
        <v>0</v>
      </c>
      <c r="CL888" s="483">
        <f t="shared" si="635"/>
        <v>0</v>
      </c>
      <c r="CM888" s="483">
        <f t="shared" si="635"/>
        <v>0</v>
      </c>
      <c r="CN888" s="483">
        <f t="shared" si="635"/>
        <v>0</v>
      </c>
      <c r="CO888" s="483">
        <f t="shared" si="635"/>
        <v>0</v>
      </c>
      <c r="CP888" s="483">
        <f t="shared" si="635"/>
        <v>0</v>
      </c>
      <c r="CQ888" s="483">
        <f t="shared" si="635"/>
        <v>0</v>
      </c>
      <c r="CR888" s="483">
        <f t="shared" si="635"/>
        <v>0</v>
      </c>
      <c r="CS888" s="483">
        <f t="shared" ref="CS888:EV890" si="636">SUMIF($AE$858:$AE$873,$AE888,CS$858:CS$873)</f>
        <v>0</v>
      </c>
      <c r="CT888" s="483">
        <f t="shared" si="636"/>
        <v>0</v>
      </c>
      <c r="CU888" s="483">
        <f t="shared" si="636"/>
        <v>0</v>
      </c>
      <c r="CV888" s="483">
        <f t="shared" si="636"/>
        <v>0</v>
      </c>
      <c r="CW888" s="483">
        <f t="shared" si="636"/>
        <v>0</v>
      </c>
      <c r="CX888" s="483">
        <f t="shared" si="636"/>
        <v>0</v>
      </c>
      <c r="CY888" s="483">
        <f t="shared" si="636"/>
        <v>0</v>
      </c>
      <c r="CZ888" s="483">
        <f t="shared" si="636"/>
        <v>0</v>
      </c>
      <c r="DA888" s="483">
        <f t="shared" si="636"/>
        <v>0</v>
      </c>
      <c r="DB888" s="483">
        <f t="shared" si="636"/>
        <v>0</v>
      </c>
      <c r="DC888" s="483">
        <f t="shared" si="636"/>
        <v>0</v>
      </c>
      <c r="DD888" s="483">
        <f t="shared" si="636"/>
        <v>0</v>
      </c>
      <c r="DE888" s="483">
        <f t="shared" si="636"/>
        <v>0</v>
      </c>
      <c r="DF888" s="483">
        <f t="shared" si="636"/>
        <v>0</v>
      </c>
      <c r="DG888" s="483">
        <f t="shared" si="636"/>
        <v>0</v>
      </c>
      <c r="DH888" s="483">
        <f t="shared" si="636"/>
        <v>0</v>
      </c>
      <c r="DI888" s="483">
        <f t="shared" si="636"/>
        <v>0</v>
      </c>
      <c r="DJ888" s="483">
        <f t="shared" si="636"/>
        <v>0</v>
      </c>
      <c r="DK888" s="483">
        <f t="shared" si="636"/>
        <v>0</v>
      </c>
      <c r="DL888" s="483">
        <f t="shared" si="636"/>
        <v>0</v>
      </c>
      <c r="DM888" s="483">
        <f t="shared" si="636"/>
        <v>0</v>
      </c>
      <c r="DN888" s="483">
        <f t="shared" si="636"/>
        <v>0</v>
      </c>
      <c r="DO888" s="483">
        <f t="shared" si="636"/>
        <v>0</v>
      </c>
      <c r="DP888" s="483">
        <f t="shared" si="636"/>
        <v>0</v>
      </c>
      <c r="DQ888" s="483">
        <f t="shared" si="636"/>
        <v>0</v>
      </c>
      <c r="DR888" s="483">
        <f t="shared" si="636"/>
        <v>0</v>
      </c>
      <c r="DS888" s="483">
        <f t="shared" si="636"/>
        <v>0</v>
      </c>
      <c r="DT888" s="483">
        <f t="shared" si="636"/>
        <v>0</v>
      </c>
      <c r="DU888" s="483">
        <f t="shared" si="636"/>
        <v>0</v>
      </c>
      <c r="DV888" s="483">
        <f t="shared" si="636"/>
        <v>0</v>
      </c>
      <c r="DW888" s="483">
        <f t="shared" si="636"/>
        <v>0</v>
      </c>
      <c r="DX888" s="483">
        <f t="shared" si="636"/>
        <v>0</v>
      </c>
      <c r="DY888" s="483">
        <f t="shared" si="636"/>
        <v>0</v>
      </c>
      <c r="DZ888" s="483">
        <f t="shared" si="636"/>
        <v>0</v>
      </c>
      <c r="EA888" s="483">
        <f t="shared" si="636"/>
        <v>0</v>
      </c>
      <c r="EB888" s="483">
        <f t="shared" si="636"/>
        <v>0</v>
      </c>
      <c r="EC888" s="483">
        <f t="shared" si="636"/>
        <v>0</v>
      </c>
      <c r="ED888" s="483">
        <f t="shared" si="636"/>
        <v>0</v>
      </c>
      <c r="EE888" s="483">
        <f t="shared" si="636"/>
        <v>0</v>
      </c>
      <c r="EF888" s="483">
        <f t="shared" si="636"/>
        <v>0</v>
      </c>
      <c r="EG888" s="483">
        <f t="shared" si="636"/>
        <v>0</v>
      </c>
      <c r="EH888" s="483">
        <f t="shared" si="636"/>
        <v>0</v>
      </c>
      <c r="EI888" s="483">
        <f t="shared" si="636"/>
        <v>0</v>
      </c>
      <c r="EJ888" s="483">
        <f t="shared" si="636"/>
        <v>0</v>
      </c>
      <c r="EK888" s="483">
        <f t="shared" si="636"/>
        <v>0</v>
      </c>
      <c r="EL888" s="483">
        <f t="shared" si="636"/>
        <v>0</v>
      </c>
      <c r="EM888" s="483">
        <f t="shared" si="636"/>
        <v>0</v>
      </c>
      <c r="EN888" s="483">
        <f t="shared" si="636"/>
        <v>0</v>
      </c>
      <c r="EO888" s="483">
        <f t="shared" si="636"/>
        <v>0</v>
      </c>
      <c r="EP888" s="483">
        <f t="shared" si="636"/>
        <v>0</v>
      </c>
      <c r="EQ888" s="483">
        <f t="shared" si="636"/>
        <v>0</v>
      </c>
      <c r="ER888" s="483">
        <f t="shared" si="636"/>
        <v>0</v>
      </c>
      <c r="ES888" s="483">
        <f t="shared" si="636"/>
        <v>0</v>
      </c>
      <c r="ET888" s="483">
        <f t="shared" si="636"/>
        <v>0</v>
      </c>
      <c r="EU888" s="483">
        <f t="shared" si="636"/>
        <v>0</v>
      </c>
      <c r="EV888" s="483">
        <f t="shared" si="636"/>
        <v>0</v>
      </c>
    </row>
    <row r="889" spans="1:152" s="12" customFormat="1" ht="12" customHeight="1" x14ac:dyDescent="0.35">
      <c r="A889" s="84"/>
      <c r="B889" s="13"/>
      <c r="C889" s="13"/>
      <c r="D889" s="13"/>
      <c r="E889" s="13"/>
      <c r="F889" s="13"/>
      <c r="G889" s="1804"/>
      <c r="H889" s="1183"/>
      <c r="I889" s="1804"/>
      <c r="J889" s="1804"/>
      <c r="K889" s="141"/>
      <c r="L889" s="141"/>
      <c r="M889" s="141"/>
      <c r="N889" s="141"/>
      <c r="O889" s="141"/>
      <c r="P889" s="141"/>
      <c r="Q889" s="141"/>
      <c r="R889" s="31"/>
      <c r="S889" s="36"/>
      <c r="T889" s="376"/>
      <c r="U889" s="29"/>
      <c r="V889" s="29"/>
      <c r="W889" s="377"/>
      <c r="X889" s="376"/>
      <c r="Y889" s="29"/>
      <c r="Z889" s="29"/>
      <c r="AA889" s="29"/>
      <c r="AB889" s="29"/>
      <c r="AC889" s="29">
        <f t="shared" si="624"/>
        <v>15</v>
      </c>
      <c r="AD889" s="29"/>
      <c r="AE889" s="376" t="str">
        <v>Convertible Note #2</v>
      </c>
      <c r="AF889" s="763">
        <f t="shared" si="627"/>
        <v>0</v>
      </c>
      <c r="AG889" s="483">
        <f t="shared" si="629"/>
        <v>0</v>
      </c>
      <c r="AH889" s="483">
        <f t="shared" ref="AH889:CS890" si="637">SUMIF($AE$858:$AE$873,$AE889,AH$858:AH$873)</f>
        <v>0</v>
      </c>
      <c r="AI889" s="483">
        <f t="shared" si="637"/>
        <v>0</v>
      </c>
      <c r="AJ889" s="483">
        <f t="shared" si="637"/>
        <v>0</v>
      </c>
      <c r="AK889" s="483">
        <f t="shared" si="637"/>
        <v>0</v>
      </c>
      <c r="AL889" s="483">
        <f t="shared" si="637"/>
        <v>0</v>
      </c>
      <c r="AM889" s="483">
        <f t="shared" si="637"/>
        <v>0</v>
      </c>
      <c r="AN889" s="483">
        <f t="shared" si="637"/>
        <v>0</v>
      </c>
      <c r="AO889" s="483">
        <f t="shared" si="637"/>
        <v>0</v>
      </c>
      <c r="AP889" s="483">
        <f t="shared" si="637"/>
        <v>0</v>
      </c>
      <c r="AQ889" s="483">
        <f t="shared" si="637"/>
        <v>0</v>
      </c>
      <c r="AR889" s="483">
        <f t="shared" si="637"/>
        <v>0</v>
      </c>
      <c r="AS889" s="483">
        <f t="shared" si="637"/>
        <v>0</v>
      </c>
      <c r="AT889" s="483">
        <f t="shared" si="637"/>
        <v>0</v>
      </c>
      <c r="AU889" s="483">
        <f t="shared" si="637"/>
        <v>0</v>
      </c>
      <c r="AV889" s="483">
        <f t="shared" si="637"/>
        <v>0</v>
      </c>
      <c r="AW889" s="483">
        <f t="shared" si="637"/>
        <v>0</v>
      </c>
      <c r="AX889" s="483">
        <f t="shared" si="637"/>
        <v>0</v>
      </c>
      <c r="AY889" s="483">
        <f t="shared" si="637"/>
        <v>0</v>
      </c>
      <c r="AZ889" s="483">
        <f t="shared" si="637"/>
        <v>0</v>
      </c>
      <c r="BA889" s="483">
        <f t="shared" si="637"/>
        <v>0</v>
      </c>
      <c r="BB889" s="483">
        <f t="shared" si="637"/>
        <v>0</v>
      </c>
      <c r="BC889" s="483">
        <f t="shared" si="637"/>
        <v>0</v>
      </c>
      <c r="BD889" s="483">
        <f t="shared" si="637"/>
        <v>0</v>
      </c>
      <c r="BE889" s="483">
        <f t="shared" si="637"/>
        <v>0</v>
      </c>
      <c r="BF889" s="483">
        <f t="shared" si="637"/>
        <v>0</v>
      </c>
      <c r="BG889" s="483">
        <f t="shared" si="637"/>
        <v>0</v>
      </c>
      <c r="BH889" s="483">
        <f t="shared" si="637"/>
        <v>0</v>
      </c>
      <c r="BI889" s="483">
        <f t="shared" si="637"/>
        <v>0</v>
      </c>
      <c r="BJ889" s="483">
        <f t="shared" si="637"/>
        <v>0</v>
      </c>
      <c r="BK889" s="483">
        <f t="shared" si="637"/>
        <v>0</v>
      </c>
      <c r="BL889" s="483">
        <f t="shared" si="637"/>
        <v>0</v>
      </c>
      <c r="BM889" s="483">
        <f t="shared" si="637"/>
        <v>0</v>
      </c>
      <c r="BN889" s="483">
        <f t="shared" si="637"/>
        <v>0</v>
      </c>
      <c r="BO889" s="483">
        <f t="shared" si="637"/>
        <v>0</v>
      </c>
      <c r="BP889" s="483">
        <f t="shared" si="637"/>
        <v>0</v>
      </c>
      <c r="BQ889" s="483">
        <f t="shared" si="637"/>
        <v>0</v>
      </c>
      <c r="BR889" s="483">
        <f t="shared" si="637"/>
        <v>0</v>
      </c>
      <c r="BS889" s="483">
        <f t="shared" si="637"/>
        <v>0</v>
      </c>
      <c r="BT889" s="483">
        <f t="shared" si="637"/>
        <v>0</v>
      </c>
      <c r="BU889" s="483">
        <f t="shared" si="637"/>
        <v>0</v>
      </c>
      <c r="BV889" s="483">
        <f t="shared" si="637"/>
        <v>0</v>
      </c>
      <c r="BW889" s="483">
        <f t="shared" si="637"/>
        <v>0</v>
      </c>
      <c r="BX889" s="483">
        <f t="shared" si="637"/>
        <v>0</v>
      </c>
      <c r="BY889" s="483">
        <f t="shared" si="637"/>
        <v>0</v>
      </c>
      <c r="BZ889" s="483">
        <f t="shared" si="637"/>
        <v>0</v>
      </c>
      <c r="CA889" s="483">
        <f t="shared" si="637"/>
        <v>0</v>
      </c>
      <c r="CB889" s="483">
        <f t="shared" si="637"/>
        <v>0</v>
      </c>
      <c r="CC889" s="483">
        <f t="shared" si="637"/>
        <v>0</v>
      </c>
      <c r="CD889" s="483">
        <f t="shared" si="637"/>
        <v>0</v>
      </c>
      <c r="CE889" s="483">
        <f t="shared" si="637"/>
        <v>0</v>
      </c>
      <c r="CF889" s="483">
        <f t="shared" si="637"/>
        <v>0</v>
      </c>
      <c r="CG889" s="483">
        <f t="shared" si="637"/>
        <v>0</v>
      </c>
      <c r="CH889" s="483">
        <f t="shared" si="637"/>
        <v>0</v>
      </c>
      <c r="CI889" s="483">
        <f t="shared" si="637"/>
        <v>0</v>
      </c>
      <c r="CJ889" s="483">
        <f t="shared" si="637"/>
        <v>0</v>
      </c>
      <c r="CK889" s="483">
        <f t="shared" si="637"/>
        <v>0</v>
      </c>
      <c r="CL889" s="483">
        <f t="shared" si="637"/>
        <v>0</v>
      </c>
      <c r="CM889" s="483">
        <f t="shared" si="637"/>
        <v>0</v>
      </c>
      <c r="CN889" s="483">
        <f t="shared" si="637"/>
        <v>0</v>
      </c>
      <c r="CO889" s="483">
        <f t="shared" si="637"/>
        <v>0</v>
      </c>
      <c r="CP889" s="483">
        <f t="shared" si="637"/>
        <v>0</v>
      </c>
      <c r="CQ889" s="483">
        <f t="shared" si="637"/>
        <v>0</v>
      </c>
      <c r="CR889" s="483">
        <f t="shared" si="637"/>
        <v>0</v>
      </c>
      <c r="CS889" s="483">
        <f t="shared" si="637"/>
        <v>0</v>
      </c>
      <c r="CT889" s="483">
        <f t="shared" si="636"/>
        <v>0</v>
      </c>
      <c r="CU889" s="483">
        <f t="shared" si="636"/>
        <v>0</v>
      </c>
      <c r="CV889" s="483">
        <f t="shared" si="636"/>
        <v>0</v>
      </c>
      <c r="CW889" s="483">
        <f t="shared" si="636"/>
        <v>0</v>
      </c>
      <c r="CX889" s="483">
        <f t="shared" si="636"/>
        <v>0</v>
      </c>
      <c r="CY889" s="483">
        <f t="shared" si="636"/>
        <v>0</v>
      </c>
      <c r="CZ889" s="483">
        <f t="shared" si="636"/>
        <v>0</v>
      </c>
      <c r="DA889" s="483">
        <f t="shared" si="636"/>
        <v>0</v>
      </c>
      <c r="DB889" s="483">
        <f t="shared" si="636"/>
        <v>0</v>
      </c>
      <c r="DC889" s="483">
        <f t="shared" si="636"/>
        <v>0</v>
      </c>
      <c r="DD889" s="483">
        <f t="shared" si="636"/>
        <v>0</v>
      </c>
      <c r="DE889" s="483">
        <f t="shared" si="636"/>
        <v>0</v>
      </c>
      <c r="DF889" s="483">
        <f t="shared" si="636"/>
        <v>0</v>
      </c>
      <c r="DG889" s="483">
        <f t="shared" si="636"/>
        <v>0</v>
      </c>
      <c r="DH889" s="483">
        <f t="shared" si="636"/>
        <v>0</v>
      </c>
      <c r="DI889" s="483">
        <f t="shared" si="636"/>
        <v>0</v>
      </c>
      <c r="DJ889" s="483">
        <f t="shared" si="636"/>
        <v>0</v>
      </c>
      <c r="DK889" s="483">
        <f t="shared" si="636"/>
        <v>0</v>
      </c>
      <c r="DL889" s="483">
        <f t="shared" si="636"/>
        <v>0</v>
      </c>
      <c r="DM889" s="483">
        <f t="shared" si="636"/>
        <v>0</v>
      </c>
      <c r="DN889" s="483">
        <f t="shared" si="636"/>
        <v>0</v>
      </c>
      <c r="DO889" s="483">
        <f t="shared" si="636"/>
        <v>0</v>
      </c>
      <c r="DP889" s="483">
        <f t="shared" si="636"/>
        <v>0</v>
      </c>
      <c r="DQ889" s="483">
        <f t="shared" si="636"/>
        <v>0</v>
      </c>
      <c r="DR889" s="483">
        <f t="shared" si="636"/>
        <v>0</v>
      </c>
      <c r="DS889" s="483">
        <f t="shared" si="636"/>
        <v>0</v>
      </c>
      <c r="DT889" s="483">
        <f t="shared" si="636"/>
        <v>0</v>
      </c>
      <c r="DU889" s="483">
        <f t="shared" si="636"/>
        <v>0</v>
      </c>
      <c r="DV889" s="483">
        <f t="shared" si="636"/>
        <v>0</v>
      </c>
      <c r="DW889" s="483">
        <f t="shared" si="636"/>
        <v>0</v>
      </c>
      <c r="DX889" s="483">
        <f t="shared" si="636"/>
        <v>0</v>
      </c>
      <c r="DY889" s="483">
        <f t="shared" si="636"/>
        <v>0</v>
      </c>
      <c r="DZ889" s="483">
        <f t="shared" si="636"/>
        <v>0</v>
      </c>
      <c r="EA889" s="483">
        <f t="shared" si="636"/>
        <v>0</v>
      </c>
      <c r="EB889" s="483">
        <f t="shared" si="636"/>
        <v>0</v>
      </c>
      <c r="EC889" s="483">
        <f t="shared" si="636"/>
        <v>0</v>
      </c>
      <c r="ED889" s="483">
        <f t="shared" si="636"/>
        <v>0</v>
      </c>
      <c r="EE889" s="483">
        <f t="shared" si="636"/>
        <v>0</v>
      </c>
      <c r="EF889" s="483">
        <f t="shared" si="636"/>
        <v>0</v>
      </c>
      <c r="EG889" s="483">
        <f t="shared" si="636"/>
        <v>0</v>
      </c>
      <c r="EH889" s="483">
        <f t="shared" si="636"/>
        <v>0</v>
      </c>
      <c r="EI889" s="483">
        <f t="shared" si="636"/>
        <v>0</v>
      </c>
      <c r="EJ889" s="483">
        <f t="shared" si="636"/>
        <v>0</v>
      </c>
      <c r="EK889" s="483">
        <f t="shared" si="636"/>
        <v>0</v>
      </c>
      <c r="EL889" s="483">
        <f t="shared" si="636"/>
        <v>0</v>
      </c>
      <c r="EM889" s="483">
        <f t="shared" si="636"/>
        <v>0</v>
      </c>
      <c r="EN889" s="483">
        <f t="shared" si="636"/>
        <v>0</v>
      </c>
      <c r="EO889" s="483">
        <f t="shared" si="636"/>
        <v>0</v>
      </c>
      <c r="EP889" s="483">
        <f t="shared" si="636"/>
        <v>0</v>
      </c>
      <c r="EQ889" s="483">
        <f t="shared" si="636"/>
        <v>0</v>
      </c>
      <c r="ER889" s="483">
        <f t="shared" si="636"/>
        <v>0</v>
      </c>
      <c r="ES889" s="483">
        <f t="shared" si="636"/>
        <v>0</v>
      </c>
      <c r="ET889" s="483">
        <f t="shared" si="636"/>
        <v>0</v>
      </c>
      <c r="EU889" s="483">
        <f t="shared" si="636"/>
        <v>0</v>
      </c>
      <c r="EV889" s="483">
        <f t="shared" si="636"/>
        <v>0</v>
      </c>
    </row>
    <row r="890" spans="1:152" s="12" customFormat="1" ht="12" customHeight="1" x14ac:dyDescent="0.35">
      <c r="A890" s="84"/>
      <c r="B890" s="13"/>
      <c r="C890" s="13"/>
      <c r="D890" s="13"/>
      <c r="E890" s="13"/>
      <c r="F890" s="13"/>
      <c r="G890" s="1804"/>
      <c r="H890" s="1183"/>
      <c r="I890" s="1804"/>
      <c r="J890" s="1804"/>
      <c r="K890" s="141"/>
      <c r="L890" s="141"/>
      <c r="M890" s="141"/>
      <c r="N890" s="141"/>
      <c r="O890" s="141"/>
      <c r="P890" s="141"/>
      <c r="Q890" s="141"/>
      <c r="R890" s="31"/>
      <c r="S890" s="36"/>
      <c r="T890" s="376"/>
      <c r="U890" s="29"/>
      <c r="V890" s="29"/>
      <c r="W890" s="377"/>
      <c r="X890" s="376"/>
      <c r="Y890" s="29"/>
      <c r="Z890" s="29"/>
      <c r="AA890" s="29"/>
      <c r="AB890" s="29"/>
      <c r="AC890" s="29">
        <f t="shared" si="624"/>
        <v>16</v>
      </c>
      <c r="AD890" s="29"/>
      <c r="AE890" s="376" t="str">
        <v>Convertible Note #3</v>
      </c>
      <c r="AF890" s="763">
        <f t="shared" si="627"/>
        <v>0</v>
      </c>
      <c r="AG890" s="483">
        <f t="shared" si="629"/>
        <v>0</v>
      </c>
      <c r="AH890" s="483">
        <f t="shared" si="637"/>
        <v>0</v>
      </c>
      <c r="AI890" s="483">
        <f t="shared" si="637"/>
        <v>0</v>
      </c>
      <c r="AJ890" s="483">
        <f t="shared" si="637"/>
        <v>0</v>
      </c>
      <c r="AK890" s="483">
        <f t="shared" si="637"/>
        <v>0</v>
      </c>
      <c r="AL890" s="483">
        <f t="shared" si="637"/>
        <v>0</v>
      </c>
      <c r="AM890" s="483">
        <f t="shared" si="637"/>
        <v>0</v>
      </c>
      <c r="AN890" s="483">
        <f t="shared" si="637"/>
        <v>0</v>
      </c>
      <c r="AO890" s="483">
        <f t="shared" si="637"/>
        <v>0</v>
      </c>
      <c r="AP890" s="483">
        <f t="shared" si="637"/>
        <v>0</v>
      </c>
      <c r="AQ890" s="483">
        <f t="shared" si="637"/>
        <v>0</v>
      </c>
      <c r="AR890" s="483">
        <f t="shared" si="637"/>
        <v>0</v>
      </c>
      <c r="AS890" s="483">
        <f t="shared" si="637"/>
        <v>0</v>
      </c>
      <c r="AT890" s="483">
        <f t="shared" si="637"/>
        <v>0</v>
      </c>
      <c r="AU890" s="483">
        <f t="shared" si="637"/>
        <v>0</v>
      </c>
      <c r="AV890" s="483">
        <f t="shared" si="637"/>
        <v>0</v>
      </c>
      <c r="AW890" s="483">
        <f t="shared" si="637"/>
        <v>0</v>
      </c>
      <c r="AX890" s="483">
        <f t="shared" si="637"/>
        <v>0</v>
      </c>
      <c r="AY890" s="483">
        <f t="shared" si="637"/>
        <v>0</v>
      </c>
      <c r="AZ890" s="483">
        <f t="shared" si="637"/>
        <v>0</v>
      </c>
      <c r="BA890" s="483">
        <f t="shared" si="637"/>
        <v>0</v>
      </c>
      <c r="BB890" s="483">
        <f t="shared" si="637"/>
        <v>0</v>
      </c>
      <c r="BC890" s="483">
        <f t="shared" si="637"/>
        <v>0</v>
      </c>
      <c r="BD890" s="483">
        <f t="shared" si="637"/>
        <v>0</v>
      </c>
      <c r="BE890" s="483">
        <f t="shared" si="637"/>
        <v>0</v>
      </c>
      <c r="BF890" s="483">
        <f t="shared" si="637"/>
        <v>0</v>
      </c>
      <c r="BG890" s="483">
        <f t="shared" si="637"/>
        <v>0</v>
      </c>
      <c r="BH890" s="483">
        <f t="shared" si="637"/>
        <v>0</v>
      </c>
      <c r="BI890" s="483">
        <f t="shared" si="637"/>
        <v>0</v>
      </c>
      <c r="BJ890" s="483">
        <f t="shared" si="637"/>
        <v>0</v>
      </c>
      <c r="BK890" s="483">
        <f t="shared" si="637"/>
        <v>0</v>
      </c>
      <c r="BL890" s="483">
        <f t="shared" si="637"/>
        <v>0</v>
      </c>
      <c r="BM890" s="483">
        <f t="shared" si="637"/>
        <v>0</v>
      </c>
      <c r="BN890" s="483">
        <f t="shared" si="637"/>
        <v>0</v>
      </c>
      <c r="BO890" s="483">
        <f t="shared" si="637"/>
        <v>0</v>
      </c>
      <c r="BP890" s="483">
        <f t="shared" si="637"/>
        <v>0</v>
      </c>
      <c r="BQ890" s="483">
        <f t="shared" si="637"/>
        <v>0</v>
      </c>
      <c r="BR890" s="483">
        <f t="shared" si="637"/>
        <v>0</v>
      </c>
      <c r="BS890" s="483">
        <f t="shared" si="637"/>
        <v>0</v>
      </c>
      <c r="BT890" s="483">
        <f t="shared" si="637"/>
        <v>0</v>
      </c>
      <c r="BU890" s="483">
        <f t="shared" si="637"/>
        <v>0</v>
      </c>
      <c r="BV890" s="483">
        <f t="shared" si="637"/>
        <v>0</v>
      </c>
      <c r="BW890" s="483">
        <f t="shared" si="637"/>
        <v>0</v>
      </c>
      <c r="BX890" s="483">
        <f t="shared" si="637"/>
        <v>0</v>
      </c>
      <c r="BY890" s="483">
        <f t="shared" si="637"/>
        <v>0</v>
      </c>
      <c r="BZ890" s="483">
        <f t="shared" si="637"/>
        <v>0</v>
      </c>
      <c r="CA890" s="483">
        <f t="shared" si="637"/>
        <v>0</v>
      </c>
      <c r="CB890" s="483">
        <f t="shared" si="637"/>
        <v>0</v>
      </c>
      <c r="CC890" s="483">
        <f t="shared" si="637"/>
        <v>0</v>
      </c>
      <c r="CD890" s="483">
        <f t="shared" si="637"/>
        <v>0</v>
      </c>
      <c r="CE890" s="483">
        <f t="shared" si="637"/>
        <v>0</v>
      </c>
      <c r="CF890" s="483">
        <f t="shared" si="637"/>
        <v>0</v>
      </c>
      <c r="CG890" s="483">
        <f t="shared" si="637"/>
        <v>0</v>
      </c>
      <c r="CH890" s="483">
        <f t="shared" si="637"/>
        <v>0</v>
      </c>
      <c r="CI890" s="483">
        <f t="shared" si="637"/>
        <v>0</v>
      </c>
      <c r="CJ890" s="483">
        <f t="shared" si="637"/>
        <v>0</v>
      </c>
      <c r="CK890" s="483">
        <f t="shared" si="637"/>
        <v>0</v>
      </c>
      <c r="CL890" s="483">
        <f t="shared" si="637"/>
        <v>0</v>
      </c>
      <c r="CM890" s="483">
        <f t="shared" si="637"/>
        <v>0</v>
      </c>
      <c r="CN890" s="483">
        <f t="shared" si="637"/>
        <v>0</v>
      </c>
      <c r="CO890" s="483">
        <f t="shared" si="637"/>
        <v>0</v>
      </c>
      <c r="CP890" s="483">
        <f t="shared" si="637"/>
        <v>0</v>
      </c>
      <c r="CQ890" s="483">
        <f t="shared" si="637"/>
        <v>0</v>
      </c>
      <c r="CR890" s="483">
        <f t="shared" si="637"/>
        <v>0</v>
      </c>
      <c r="CS890" s="483">
        <f t="shared" si="637"/>
        <v>0</v>
      </c>
      <c r="CT890" s="483">
        <f t="shared" si="636"/>
        <v>0</v>
      </c>
      <c r="CU890" s="483">
        <f t="shared" si="636"/>
        <v>0</v>
      </c>
      <c r="CV890" s="483">
        <f t="shared" si="636"/>
        <v>0</v>
      </c>
      <c r="CW890" s="483">
        <f t="shared" si="636"/>
        <v>0</v>
      </c>
      <c r="CX890" s="483">
        <f t="shared" si="636"/>
        <v>0</v>
      </c>
      <c r="CY890" s="483">
        <f t="shared" si="636"/>
        <v>0</v>
      </c>
      <c r="CZ890" s="483">
        <f t="shared" si="636"/>
        <v>0</v>
      </c>
      <c r="DA890" s="483">
        <f t="shared" si="636"/>
        <v>0</v>
      </c>
      <c r="DB890" s="483">
        <f t="shared" si="636"/>
        <v>0</v>
      </c>
      <c r="DC890" s="483">
        <f t="shared" si="636"/>
        <v>0</v>
      </c>
      <c r="DD890" s="483">
        <f t="shared" si="636"/>
        <v>0</v>
      </c>
      <c r="DE890" s="483">
        <f t="shared" si="636"/>
        <v>0</v>
      </c>
      <c r="DF890" s="483">
        <f t="shared" si="636"/>
        <v>0</v>
      </c>
      <c r="DG890" s="483">
        <f t="shared" si="636"/>
        <v>0</v>
      </c>
      <c r="DH890" s="483">
        <f t="shared" si="636"/>
        <v>0</v>
      </c>
      <c r="DI890" s="483">
        <f t="shared" si="636"/>
        <v>0</v>
      </c>
      <c r="DJ890" s="483">
        <f t="shared" si="636"/>
        <v>0</v>
      </c>
      <c r="DK890" s="483">
        <f t="shared" si="636"/>
        <v>0</v>
      </c>
      <c r="DL890" s="483">
        <f t="shared" si="636"/>
        <v>0</v>
      </c>
      <c r="DM890" s="483">
        <f t="shared" si="636"/>
        <v>0</v>
      </c>
      <c r="DN890" s="483">
        <f t="shared" si="636"/>
        <v>0</v>
      </c>
      <c r="DO890" s="483">
        <f t="shared" si="636"/>
        <v>0</v>
      </c>
      <c r="DP890" s="483">
        <f t="shared" si="636"/>
        <v>0</v>
      </c>
      <c r="DQ890" s="483">
        <f t="shared" si="636"/>
        <v>0</v>
      </c>
      <c r="DR890" s="483">
        <f t="shared" si="636"/>
        <v>0</v>
      </c>
      <c r="DS890" s="483">
        <f t="shared" si="636"/>
        <v>0</v>
      </c>
      <c r="DT890" s="483">
        <f t="shared" si="636"/>
        <v>0</v>
      </c>
      <c r="DU890" s="483">
        <f t="shared" si="636"/>
        <v>0</v>
      </c>
      <c r="DV890" s="483">
        <f t="shared" si="636"/>
        <v>0</v>
      </c>
      <c r="DW890" s="483">
        <f t="shared" si="636"/>
        <v>0</v>
      </c>
      <c r="DX890" s="483">
        <f t="shared" si="636"/>
        <v>0</v>
      </c>
      <c r="DY890" s="483">
        <f t="shared" si="636"/>
        <v>0</v>
      </c>
      <c r="DZ890" s="483">
        <f t="shared" si="636"/>
        <v>0</v>
      </c>
      <c r="EA890" s="483">
        <f t="shared" si="636"/>
        <v>0</v>
      </c>
      <c r="EB890" s="483">
        <f t="shared" si="636"/>
        <v>0</v>
      </c>
      <c r="EC890" s="483">
        <f t="shared" si="636"/>
        <v>0</v>
      </c>
      <c r="ED890" s="483">
        <f t="shared" si="636"/>
        <v>0</v>
      </c>
      <c r="EE890" s="483">
        <f t="shared" si="636"/>
        <v>0</v>
      </c>
      <c r="EF890" s="483">
        <f t="shared" si="636"/>
        <v>0</v>
      </c>
      <c r="EG890" s="483">
        <f t="shared" si="636"/>
        <v>0</v>
      </c>
      <c r="EH890" s="483">
        <f t="shared" si="636"/>
        <v>0</v>
      </c>
      <c r="EI890" s="483">
        <f t="shared" si="636"/>
        <v>0</v>
      </c>
      <c r="EJ890" s="483">
        <f t="shared" si="636"/>
        <v>0</v>
      </c>
      <c r="EK890" s="483">
        <f t="shared" si="636"/>
        <v>0</v>
      </c>
      <c r="EL890" s="483">
        <f t="shared" si="636"/>
        <v>0</v>
      </c>
      <c r="EM890" s="483">
        <f t="shared" si="636"/>
        <v>0</v>
      </c>
      <c r="EN890" s="483">
        <f t="shared" si="636"/>
        <v>0</v>
      </c>
      <c r="EO890" s="483">
        <f t="shared" si="636"/>
        <v>0</v>
      </c>
      <c r="EP890" s="483">
        <f t="shared" si="636"/>
        <v>0</v>
      </c>
      <c r="EQ890" s="483">
        <f t="shared" si="636"/>
        <v>0</v>
      </c>
      <c r="ER890" s="483">
        <f t="shared" si="636"/>
        <v>0</v>
      </c>
      <c r="ES890" s="483">
        <f t="shared" si="636"/>
        <v>0</v>
      </c>
      <c r="ET890" s="483">
        <f t="shared" si="636"/>
        <v>0</v>
      </c>
      <c r="EU890" s="483">
        <f t="shared" si="636"/>
        <v>0</v>
      </c>
      <c r="EV890" s="483">
        <f t="shared" si="636"/>
        <v>0</v>
      </c>
    </row>
    <row r="891" spans="1:152" s="12" customFormat="1" ht="12" customHeight="1" x14ac:dyDescent="0.35">
      <c r="A891" s="84"/>
      <c r="B891" s="13"/>
      <c r="C891" s="13"/>
      <c r="D891" s="13"/>
      <c r="E891" s="13"/>
      <c r="F891" s="13"/>
      <c r="G891" s="1804"/>
      <c r="H891" s="1183"/>
      <c r="I891" s="1804"/>
      <c r="J891" s="1804"/>
      <c r="K891" s="141"/>
      <c r="L891" s="141"/>
      <c r="M891" s="141"/>
      <c r="N891" s="141"/>
      <c r="O891" s="141"/>
      <c r="P891" s="141"/>
      <c r="Q891" s="141"/>
      <c r="R891" s="31"/>
      <c r="S891" s="36"/>
      <c r="T891" s="376"/>
      <c r="U891" s="29"/>
      <c r="V891" s="29"/>
      <c r="W891" s="377"/>
      <c r="X891" s="376"/>
      <c r="Y891" s="29"/>
      <c r="Z891" s="29"/>
      <c r="AA891" s="29"/>
      <c r="AB891" s="29"/>
      <c r="AC891" s="29"/>
      <c r="AD891" s="29"/>
      <c r="AE891" s="376"/>
      <c r="AF891" s="376"/>
      <c r="AG891" s="380"/>
      <c r="AH891" s="380"/>
      <c r="AI891" s="380"/>
      <c r="AJ891" s="380"/>
      <c r="AK891" s="380"/>
      <c r="AL891" s="380"/>
      <c r="AM891" s="380"/>
      <c r="AN891" s="380"/>
      <c r="AO891" s="380"/>
      <c r="AP891" s="380"/>
      <c r="AQ891" s="380"/>
      <c r="AR891" s="1144"/>
      <c r="AS891" s="380"/>
      <c r="AT891" s="380"/>
      <c r="AU891" s="380"/>
      <c r="AV891" s="380"/>
      <c r="AW891" s="380"/>
      <c r="AX891" s="380"/>
      <c r="AY891" s="380"/>
      <c r="AZ891" s="380"/>
      <c r="BA891" s="380"/>
      <c r="BB891" s="380"/>
      <c r="BC891" s="380"/>
      <c r="BD891" s="380"/>
      <c r="BE891" s="380"/>
      <c r="BF891" s="380"/>
      <c r="BG891" s="380"/>
      <c r="BH891" s="380"/>
      <c r="BI891" s="380"/>
      <c r="BJ891" s="380"/>
      <c r="BK891" s="380"/>
      <c r="BL891" s="380"/>
      <c r="BM891" s="380"/>
      <c r="BN891" s="380"/>
      <c r="BO891" s="380"/>
      <c r="BP891" s="380"/>
      <c r="BQ891" s="380"/>
      <c r="BR891" s="380"/>
      <c r="BS891" s="380"/>
      <c r="BT891" s="380"/>
      <c r="BU891" s="380"/>
      <c r="BV891" s="380"/>
      <c r="BW891" s="380"/>
      <c r="BX891" s="380"/>
      <c r="BY891" s="380"/>
      <c r="BZ891" s="380"/>
      <c r="CA891" s="380"/>
      <c r="CB891" s="380"/>
      <c r="CC891" s="380"/>
      <c r="CD891" s="380"/>
      <c r="CE891" s="380"/>
      <c r="CF891" s="380"/>
      <c r="CG891" s="380"/>
      <c r="CH891" s="380"/>
      <c r="CI891" s="380"/>
      <c r="CJ891" s="380"/>
      <c r="CK891" s="380"/>
      <c r="CL891" s="380"/>
      <c r="CM891" s="380"/>
      <c r="CN891" s="380"/>
      <c r="CO891" s="1183"/>
      <c r="CP891" s="1183"/>
      <c r="CQ891" s="1183"/>
      <c r="CR891" s="1183"/>
      <c r="CS891" s="1183"/>
      <c r="CT891" s="1183"/>
      <c r="CU891" s="1183"/>
      <c r="CV891" s="1183"/>
      <c r="CW891" s="1183"/>
      <c r="CX891" s="1183"/>
      <c r="CY891" s="1183"/>
      <c r="CZ891" s="1183"/>
      <c r="DA891" s="1183"/>
      <c r="DB891" s="1183"/>
      <c r="DC891" s="1183"/>
      <c r="DD891" s="1183"/>
      <c r="DE891" s="1183"/>
      <c r="DF891" s="1183"/>
      <c r="DG891" s="1183"/>
      <c r="DH891" s="1183"/>
      <c r="DI891" s="1183"/>
      <c r="DJ891" s="1183"/>
      <c r="DK891" s="1183"/>
      <c r="DL891" s="1183"/>
      <c r="DM891" s="1183"/>
      <c r="DN891" s="1183"/>
      <c r="DO891" s="1183"/>
      <c r="DP891" s="1183"/>
      <c r="DQ891" s="1183"/>
      <c r="DR891" s="1804"/>
      <c r="DS891" s="1804"/>
      <c r="DT891" s="1804"/>
      <c r="DU891" s="1804"/>
      <c r="DV891" s="1804"/>
      <c r="DW891" s="1804"/>
      <c r="DX891" s="1804"/>
      <c r="DY891" s="1804"/>
      <c r="DZ891" s="1804"/>
      <c r="EA891" s="1804"/>
      <c r="EB891" s="1804"/>
      <c r="EC891" s="1804"/>
      <c r="ED891" s="1804"/>
      <c r="EE891" s="1804"/>
      <c r="EF891" s="1804"/>
      <c r="EG891" s="1804"/>
      <c r="EH891" s="1804"/>
      <c r="EI891" s="1804"/>
      <c r="EJ891" s="1804"/>
      <c r="EK891" s="1804"/>
      <c r="EL891" s="1804"/>
      <c r="EM891" s="1804"/>
      <c r="EN891" s="1804"/>
      <c r="EO891" s="1804"/>
      <c r="EP891" s="1804"/>
      <c r="EQ891" s="1804"/>
      <c r="ER891" s="1804"/>
      <c r="ES891" s="1804"/>
      <c r="ET891" s="1804"/>
      <c r="EU891" s="1804"/>
      <c r="EV891" s="1804"/>
    </row>
    <row r="892" spans="1:152" s="12" customFormat="1" ht="12" customHeight="1" x14ac:dyDescent="0.35">
      <c r="A892" s="84"/>
      <c r="B892" s="13"/>
      <c r="C892" s="13"/>
      <c r="D892" s="13"/>
      <c r="E892" s="13"/>
      <c r="F892" s="13"/>
      <c r="G892" s="1804"/>
      <c r="H892" s="1183"/>
      <c r="I892" s="1804"/>
      <c r="J892" s="1804"/>
      <c r="K892" s="141"/>
      <c r="L892" s="141"/>
      <c r="M892" s="141"/>
      <c r="N892" s="141"/>
      <c r="O892" s="141"/>
      <c r="P892" s="141"/>
      <c r="Q892" s="141"/>
      <c r="R892" s="31"/>
      <c r="S892" s="36"/>
      <c r="T892" s="376"/>
      <c r="U892" s="29"/>
      <c r="V892" s="29"/>
      <c r="W892" s="377"/>
      <c r="X892" s="376"/>
      <c r="Y892" s="29"/>
      <c r="Z892" s="29"/>
      <c r="AA892" s="29"/>
      <c r="AB892" s="29"/>
      <c r="AC892" s="29"/>
      <c r="AD892" s="29"/>
      <c r="AE892" s="1804"/>
      <c r="AF892" s="341" t="s">
        <v>550</v>
      </c>
      <c r="AG892" s="1142">
        <f>AF823</f>
        <v>0</v>
      </c>
      <c r="AH892" s="1142">
        <f t="shared" ref="AH892:CS892" si="638">AG823</f>
        <v>59</v>
      </c>
      <c r="AI892" s="1142">
        <f t="shared" si="638"/>
        <v>91</v>
      </c>
      <c r="AJ892" s="1142">
        <f t="shared" si="638"/>
        <v>121</v>
      </c>
      <c r="AK892" s="1142">
        <f t="shared" si="638"/>
        <v>152</v>
      </c>
      <c r="AL892" s="1142">
        <f t="shared" si="638"/>
        <v>182</v>
      </c>
      <c r="AM892" s="1142">
        <f t="shared" si="638"/>
        <v>213</v>
      </c>
      <c r="AN892" s="1142">
        <f t="shared" si="638"/>
        <v>244</v>
      </c>
      <c r="AO892" s="1142">
        <f t="shared" si="638"/>
        <v>274</v>
      </c>
      <c r="AP892" s="1142">
        <f t="shared" si="638"/>
        <v>305</v>
      </c>
      <c r="AQ892" s="1142">
        <f t="shared" si="638"/>
        <v>335</v>
      </c>
      <c r="AR892" s="1142">
        <f t="shared" si="638"/>
        <v>366</v>
      </c>
      <c r="AS892" s="1142">
        <f t="shared" si="638"/>
        <v>397</v>
      </c>
      <c r="AT892" s="1142">
        <f t="shared" si="638"/>
        <v>425</v>
      </c>
      <c r="AU892" s="1142">
        <f t="shared" si="638"/>
        <v>456</v>
      </c>
      <c r="AV892" s="1142">
        <f t="shared" si="638"/>
        <v>486</v>
      </c>
      <c r="AW892" s="1142">
        <f t="shared" si="638"/>
        <v>517</v>
      </c>
      <c r="AX892" s="1142">
        <f t="shared" si="638"/>
        <v>547</v>
      </c>
      <c r="AY892" s="1142">
        <f t="shared" si="638"/>
        <v>578</v>
      </c>
      <c r="AZ892" s="1142">
        <f t="shared" si="638"/>
        <v>609</v>
      </c>
      <c r="BA892" s="1142">
        <f t="shared" si="638"/>
        <v>639</v>
      </c>
      <c r="BB892" s="1142">
        <f t="shared" si="638"/>
        <v>670</v>
      </c>
      <c r="BC892" s="1142">
        <f t="shared" si="638"/>
        <v>700</v>
      </c>
      <c r="BD892" s="1142">
        <f t="shared" si="638"/>
        <v>731</v>
      </c>
      <c r="BE892" s="1142">
        <f t="shared" si="638"/>
        <v>762</v>
      </c>
      <c r="BF892" s="1142">
        <f t="shared" si="638"/>
        <v>790</v>
      </c>
      <c r="BG892" s="1142">
        <f t="shared" si="638"/>
        <v>821</v>
      </c>
      <c r="BH892" s="1142">
        <f t="shared" si="638"/>
        <v>851</v>
      </c>
      <c r="BI892" s="1142">
        <f t="shared" si="638"/>
        <v>882</v>
      </c>
      <c r="BJ892" s="1142">
        <f t="shared" si="638"/>
        <v>912</v>
      </c>
      <c r="BK892" s="1142">
        <f t="shared" si="638"/>
        <v>943</v>
      </c>
      <c r="BL892" s="1142">
        <f t="shared" si="638"/>
        <v>974</v>
      </c>
      <c r="BM892" s="1142">
        <f t="shared" si="638"/>
        <v>1004</v>
      </c>
      <c r="BN892" s="1142">
        <f t="shared" si="638"/>
        <v>1035</v>
      </c>
      <c r="BO892" s="1142">
        <f t="shared" si="638"/>
        <v>1065</v>
      </c>
      <c r="BP892" s="1142">
        <f t="shared" si="638"/>
        <v>1096</v>
      </c>
      <c r="BQ892" s="1142">
        <f t="shared" si="638"/>
        <v>1127</v>
      </c>
      <c r="BR892" s="1142">
        <f t="shared" si="638"/>
        <v>1155</v>
      </c>
      <c r="BS892" s="1142">
        <f t="shared" si="638"/>
        <v>1186</v>
      </c>
      <c r="BT892" s="1142">
        <f t="shared" si="638"/>
        <v>1216</v>
      </c>
      <c r="BU892" s="1142">
        <f t="shared" si="638"/>
        <v>1247</v>
      </c>
      <c r="BV892" s="1142">
        <f t="shared" si="638"/>
        <v>1277</v>
      </c>
      <c r="BW892" s="1142">
        <f t="shared" si="638"/>
        <v>1308</v>
      </c>
      <c r="BX892" s="1142">
        <f t="shared" si="638"/>
        <v>1339</v>
      </c>
      <c r="BY892" s="1142">
        <f t="shared" si="638"/>
        <v>1369</v>
      </c>
      <c r="BZ892" s="1142">
        <f t="shared" si="638"/>
        <v>1400</v>
      </c>
      <c r="CA892" s="1142">
        <f t="shared" si="638"/>
        <v>1430</v>
      </c>
      <c r="CB892" s="1142">
        <f t="shared" si="638"/>
        <v>1461</v>
      </c>
      <c r="CC892" s="1142">
        <f t="shared" si="638"/>
        <v>1492</v>
      </c>
      <c r="CD892" s="1142">
        <f t="shared" si="638"/>
        <v>1521</v>
      </c>
      <c r="CE892" s="1142">
        <f t="shared" si="638"/>
        <v>1552</v>
      </c>
      <c r="CF892" s="1142">
        <f t="shared" si="638"/>
        <v>1582</v>
      </c>
      <c r="CG892" s="1142">
        <f t="shared" si="638"/>
        <v>1613</v>
      </c>
      <c r="CH892" s="1142">
        <f t="shared" si="638"/>
        <v>1643</v>
      </c>
      <c r="CI892" s="1142">
        <f t="shared" si="638"/>
        <v>1674</v>
      </c>
      <c r="CJ892" s="1142">
        <f t="shared" si="638"/>
        <v>1705</v>
      </c>
      <c r="CK892" s="1142">
        <f t="shared" si="638"/>
        <v>1735</v>
      </c>
      <c r="CL892" s="1142">
        <f t="shared" si="638"/>
        <v>1766</v>
      </c>
      <c r="CM892" s="1142">
        <f t="shared" si="638"/>
        <v>1796</v>
      </c>
      <c r="CN892" s="1142">
        <f t="shared" si="638"/>
        <v>1827</v>
      </c>
      <c r="CO892" s="1142">
        <f t="shared" si="638"/>
        <v>1858</v>
      </c>
      <c r="CP892" s="1142">
        <f t="shared" si="638"/>
        <v>1886</v>
      </c>
      <c r="CQ892" s="1142">
        <f t="shared" si="638"/>
        <v>1917</v>
      </c>
      <c r="CR892" s="1142">
        <f t="shared" si="638"/>
        <v>1947</v>
      </c>
      <c r="CS892" s="1142">
        <f t="shared" si="638"/>
        <v>1978</v>
      </c>
      <c r="CT892" s="1142">
        <f t="shared" ref="CT892:EV892" si="639">CS823</f>
        <v>2008</v>
      </c>
      <c r="CU892" s="1142">
        <f t="shared" si="639"/>
        <v>2039</v>
      </c>
      <c r="CV892" s="1142">
        <f t="shared" si="639"/>
        <v>2070</v>
      </c>
      <c r="CW892" s="1142">
        <f t="shared" si="639"/>
        <v>2100</v>
      </c>
      <c r="CX892" s="1142">
        <f t="shared" si="639"/>
        <v>2131</v>
      </c>
      <c r="CY892" s="1142">
        <f t="shared" si="639"/>
        <v>2161</v>
      </c>
      <c r="CZ892" s="1142">
        <f t="shared" si="639"/>
        <v>2192</v>
      </c>
      <c r="DA892" s="1142">
        <f t="shared" si="639"/>
        <v>2223</v>
      </c>
      <c r="DB892" s="1142">
        <f t="shared" si="639"/>
        <v>2251</v>
      </c>
      <c r="DC892" s="1142">
        <f t="shared" si="639"/>
        <v>2282</v>
      </c>
      <c r="DD892" s="1142">
        <f t="shared" si="639"/>
        <v>2312</v>
      </c>
      <c r="DE892" s="1142">
        <f t="shared" si="639"/>
        <v>2343</v>
      </c>
      <c r="DF892" s="1142">
        <f t="shared" si="639"/>
        <v>2373</v>
      </c>
      <c r="DG892" s="1142">
        <f t="shared" si="639"/>
        <v>2404</v>
      </c>
      <c r="DH892" s="1142">
        <f t="shared" si="639"/>
        <v>2435</v>
      </c>
      <c r="DI892" s="1142">
        <f t="shared" si="639"/>
        <v>2465</v>
      </c>
      <c r="DJ892" s="1142">
        <f t="shared" si="639"/>
        <v>2496</v>
      </c>
      <c r="DK892" s="1142">
        <f t="shared" si="639"/>
        <v>2526</v>
      </c>
      <c r="DL892" s="1142">
        <f t="shared" si="639"/>
        <v>2557</v>
      </c>
      <c r="DM892" s="1142">
        <f t="shared" si="639"/>
        <v>2588</v>
      </c>
      <c r="DN892" s="1142">
        <f t="shared" si="639"/>
        <v>2616</v>
      </c>
      <c r="DO892" s="1142">
        <f t="shared" si="639"/>
        <v>2647</v>
      </c>
      <c r="DP892" s="1142">
        <f t="shared" si="639"/>
        <v>2677</v>
      </c>
      <c r="DQ892" s="1142">
        <f t="shared" si="639"/>
        <v>2708</v>
      </c>
      <c r="DR892" s="1142">
        <f t="shared" si="639"/>
        <v>2738</v>
      </c>
      <c r="DS892" s="1142">
        <f t="shared" si="639"/>
        <v>2769</v>
      </c>
      <c r="DT892" s="1142">
        <f t="shared" si="639"/>
        <v>2800</v>
      </c>
      <c r="DU892" s="1142">
        <f t="shared" si="639"/>
        <v>2830</v>
      </c>
      <c r="DV892" s="1142">
        <f t="shared" si="639"/>
        <v>2861</v>
      </c>
      <c r="DW892" s="1142">
        <f t="shared" si="639"/>
        <v>2891</v>
      </c>
      <c r="DX892" s="1142">
        <f t="shared" si="639"/>
        <v>2922</v>
      </c>
      <c r="DY892" s="1142">
        <f t="shared" si="639"/>
        <v>2953</v>
      </c>
      <c r="DZ892" s="1142">
        <f t="shared" si="639"/>
        <v>2982</v>
      </c>
      <c r="EA892" s="1142">
        <f t="shared" si="639"/>
        <v>3013</v>
      </c>
      <c r="EB892" s="1142">
        <f t="shared" si="639"/>
        <v>3043</v>
      </c>
      <c r="EC892" s="1142">
        <f t="shared" si="639"/>
        <v>3074</v>
      </c>
      <c r="ED892" s="1142">
        <f t="shared" si="639"/>
        <v>3104</v>
      </c>
      <c r="EE892" s="1142">
        <f t="shared" si="639"/>
        <v>3135</v>
      </c>
      <c r="EF892" s="1142">
        <f t="shared" si="639"/>
        <v>3166</v>
      </c>
      <c r="EG892" s="1142">
        <f t="shared" si="639"/>
        <v>3196</v>
      </c>
      <c r="EH892" s="1142">
        <f t="shared" si="639"/>
        <v>3227</v>
      </c>
      <c r="EI892" s="1142">
        <f t="shared" si="639"/>
        <v>3257</v>
      </c>
      <c r="EJ892" s="1142">
        <f t="shared" si="639"/>
        <v>3288</v>
      </c>
      <c r="EK892" s="1142">
        <f t="shared" si="639"/>
        <v>3319</v>
      </c>
      <c r="EL892" s="1142">
        <f t="shared" si="639"/>
        <v>3347</v>
      </c>
      <c r="EM892" s="1142">
        <f t="shared" si="639"/>
        <v>3378</v>
      </c>
      <c r="EN892" s="1142">
        <f t="shared" si="639"/>
        <v>3408</v>
      </c>
      <c r="EO892" s="1142">
        <f t="shared" si="639"/>
        <v>3439</v>
      </c>
      <c r="EP892" s="1142">
        <f t="shared" si="639"/>
        <v>3469</v>
      </c>
      <c r="EQ892" s="1142">
        <f t="shared" si="639"/>
        <v>3500</v>
      </c>
      <c r="ER892" s="1142">
        <f t="shared" si="639"/>
        <v>3531</v>
      </c>
      <c r="ES892" s="1142">
        <f t="shared" si="639"/>
        <v>3561</v>
      </c>
      <c r="ET892" s="1142">
        <f t="shared" si="639"/>
        <v>3592</v>
      </c>
      <c r="EU892" s="1142">
        <f t="shared" si="639"/>
        <v>3622</v>
      </c>
      <c r="EV892" s="1142">
        <f t="shared" si="639"/>
        <v>3653</v>
      </c>
    </row>
    <row r="893" spans="1:152" s="12" customFormat="1" ht="12" customHeight="1" x14ac:dyDescent="0.35">
      <c r="A893" s="84"/>
      <c r="B893" s="13"/>
      <c r="C893" s="13"/>
      <c r="D893" s="13"/>
      <c r="E893" s="13"/>
      <c r="F893" s="13"/>
      <c r="G893" s="1804"/>
      <c r="H893" s="1183"/>
      <c r="I893" s="1804"/>
      <c r="J893" s="1804"/>
      <c r="K893" s="141"/>
      <c r="L893" s="141"/>
      <c r="M893" s="141"/>
      <c r="N893" s="141"/>
      <c r="O893" s="141"/>
      <c r="P893" s="141"/>
      <c r="Q893" s="141"/>
      <c r="R893" s="31"/>
      <c r="S893" s="36"/>
      <c r="T893" s="376"/>
      <c r="U893" s="29"/>
      <c r="V893" s="29"/>
      <c r="W893" s="377"/>
      <c r="X893" s="376"/>
      <c r="Y893" s="29"/>
      <c r="Z893" s="29"/>
      <c r="AA893" s="29"/>
      <c r="AB893" s="29"/>
      <c r="AC893" s="29"/>
      <c r="AD893" s="29"/>
      <c r="AE893" s="376" t="s">
        <v>551</v>
      </c>
      <c r="AF893" s="376"/>
      <c r="AG893" s="763">
        <f>IF(Infrastructure!$K175=Calcs!AG$892,Investors!$C9,0)</f>
        <v>0</v>
      </c>
      <c r="AH893" s="763">
        <f>IF(Infrastructure!$K175=Calcs!AH$892,Investors!$C9,0)</f>
        <v>0</v>
      </c>
      <c r="AI893" s="763">
        <f>IF(Infrastructure!$K175=Calcs!AI$892,Investors!$C9,0)</f>
        <v>0</v>
      </c>
      <c r="AJ893" s="763">
        <f>IF(Infrastructure!$K175=Calcs!AJ$892,Investors!$C9,0)</f>
        <v>0</v>
      </c>
      <c r="AK893" s="763">
        <f>IF(Infrastructure!$K175=Calcs!AK$892,Investors!$C9,0)</f>
        <v>0</v>
      </c>
      <c r="AL893" s="763">
        <f>IF(Infrastructure!$K175=Calcs!AL$892,Investors!$C9,0)</f>
        <v>0</v>
      </c>
      <c r="AM893" s="763">
        <f>IF(Infrastructure!$K175=Calcs!AM$892,Investors!$C9,0)</f>
        <v>0</v>
      </c>
      <c r="AN893" s="763">
        <f>IF(Infrastructure!$K175=Calcs!AN$892,Investors!$C9,0)</f>
        <v>0</v>
      </c>
      <c r="AO893" s="763">
        <f>IF(Infrastructure!$K175=Calcs!AO$892,Investors!$C9,0)</f>
        <v>0</v>
      </c>
      <c r="AP893" s="763">
        <f>IF(Infrastructure!$K175=Calcs!AP$892,Investors!$C9,0)</f>
        <v>0</v>
      </c>
      <c r="AQ893" s="763">
        <f>IF(Infrastructure!$K175=Calcs!AQ$892,Investors!$C9,0)</f>
        <v>0</v>
      </c>
      <c r="AR893" s="763">
        <f>IF(Infrastructure!$K175=Calcs!AR$892,Investors!$C9,0)</f>
        <v>0</v>
      </c>
      <c r="AS893" s="763">
        <f>IF(Infrastructure!$K175=Calcs!AS$892,Investors!$C9,0)</f>
        <v>0</v>
      </c>
      <c r="AT893" s="763">
        <f>IF(Infrastructure!$K175=Calcs!AT$892,Investors!$C9,0)</f>
        <v>0</v>
      </c>
      <c r="AU893" s="763">
        <f>IF(Infrastructure!$K175=Calcs!AU$892,Investors!$C9,0)</f>
        <v>0</v>
      </c>
      <c r="AV893" s="763">
        <f>IF(Infrastructure!$K175=Calcs!AV$892,Investors!$C9,0)</f>
        <v>0</v>
      </c>
      <c r="AW893" s="763">
        <f>IF(Infrastructure!$K175=Calcs!AW$892,Investors!$C9,0)</f>
        <v>0</v>
      </c>
      <c r="AX893" s="763">
        <f>IF(Infrastructure!$K175=Calcs!AX$892,Investors!$C9,0)</f>
        <v>0</v>
      </c>
      <c r="AY893" s="763">
        <f>IF(Infrastructure!$K175=Calcs!AY$892,Investors!$C9,0)</f>
        <v>0</v>
      </c>
      <c r="AZ893" s="763">
        <f>IF(Infrastructure!$K175=Calcs!AZ$892,Investors!$C9,0)</f>
        <v>0</v>
      </c>
      <c r="BA893" s="763">
        <f>IF(Infrastructure!$K175=Calcs!BA$892,Investors!$C9,0)</f>
        <v>0</v>
      </c>
      <c r="BB893" s="763">
        <f>IF(Infrastructure!$K175=Calcs!BB$892,Investors!$C9,0)</f>
        <v>0</v>
      </c>
      <c r="BC893" s="763">
        <f>IF(Infrastructure!$K175=Calcs!BC$892,Investors!$C9,0)</f>
        <v>0</v>
      </c>
      <c r="BD893" s="763">
        <f>IF(Infrastructure!$K175=Calcs!BD$892,Investors!$C9,0)</f>
        <v>0</v>
      </c>
      <c r="BE893" s="763">
        <f>IF(Infrastructure!$K175=Calcs!BE$892,Investors!$C9,0)</f>
        <v>0</v>
      </c>
      <c r="BF893" s="763">
        <f>IF(Infrastructure!$K175=Calcs!BF$892,Investors!$C9,0)</f>
        <v>0</v>
      </c>
      <c r="BG893" s="763">
        <f>IF(Infrastructure!$K175=Calcs!BG$892,Investors!$C9,0)</f>
        <v>0</v>
      </c>
      <c r="BH893" s="763">
        <f>IF(Infrastructure!$K175=Calcs!BH$892,Investors!$C9,0)</f>
        <v>0</v>
      </c>
      <c r="BI893" s="763">
        <f>IF(Infrastructure!$K175=Calcs!BI$892,Investors!$C9,0)</f>
        <v>0</v>
      </c>
      <c r="BJ893" s="763">
        <f>IF(Infrastructure!$K175=Calcs!BJ$892,Investors!$C9,0)</f>
        <v>0</v>
      </c>
      <c r="BK893" s="763">
        <f>IF(Infrastructure!$K175=Calcs!BK$892,Investors!$C9,0)</f>
        <v>0</v>
      </c>
      <c r="BL893" s="763">
        <f>IF(Infrastructure!$K175=Calcs!BL$892,Investors!$C9,0)</f>
        <v>0</v>
      </c>
      <c r="BM893" s="763">
        <f>IF(Infrastructure!$K175=Calcs!BM$892,Investors!$C9,0)</f>
        <v>0</v>
      </c>
      <c r="BN893" s="763">
        <f>IF(Infrastructure!$K175=Calcs!BN$892,Investors!$C9,0)</f>
        <v>0</v>
      </c>
      <c r="BO893" s="763">
        <f>IF(Infrastructure!$K175=Calcs!BO$892,Investors!$C9,0)</f>
        <v>0</v>
      </c>
      <c r="BP893" s="763">
        <f>IF(Infrastructure!$K175=Calcs!BP$892,Investors!$C9,0)</f>
        <v>0</v>
      </c>
      <c r="BQ893" s="763">
        <f>IF(Infrastructure!$K175=Calcs!BQ$892,Investors!$C9,0)</f>
        <v>0</v>
      </c>
      <c r="BR893" s="763">
        <f>IF(Infrastructure!$K175=Calcs!BR$892,Investors!$C9,0)</f>
        <v>0</v>
      </c>
      <c r="BS893" s="763">
        <f>IF(Infrastructure!$K175=Calcs!BS$892,Investors!$C9,0)</f>
        <v>0</v>
      </c>
      <c r="BT893" s="763">
        <f>IF(Infrastructure!$K175=Calcs!BT$892,Investors!$C9,0)</f>
        <v>0</v>
      </c>
      <c r="BU893" s="763">
        <f>IF(Infrastructure!$K175=Calcs!BU$892,Investors!$C9,0)</f>
        <v>0</v>
      </c>
      <c r="BV893" s="763">
        <f>IF(Infrastructure!$K175=Calcs!BV$892,Investors!$C9,0)</f>
        <v>0</v>
      </c>
      <c r="BW893" s="763">
        <f>IF(Infrastructure!$K175=Calcs!BW$892,Investors!$C9,0)</f>
        <v>0</v>
      </c>
      <c r="BX893" s="763">
        <f>IF(Infrastructure!$K175=Calcs!BX$892,Investors!$C9,0)</f>
        <v>0</v>
      </c>
      <c r="BY893" s="763">
        <f>IF(Infrastructure!$K175=Calcs!BY$892,Investors!$C9,0)</f>
        <v>0</v>
      </c>
      <c r="BZ893" s="763">
        <f>IF(Infrastructure!$K175=Calcs!BZ$892,Investors!$C9,0)</f>
        <v>0</v>
      </c>
      <c r="CA893" s="763">
        <f>IF(Infrastructure!$K175=Calcs!CA$892,Investors!$C9,0)</f>
        <v>0</v>
      </c>
      <c r="CB893" s="763">
        <f>IF(Infrastructure!$K175=Calcs!CB$892,Investors!$C9,0)</f>
        <v>0</v>
      </c>
      <c r="CC893" s="763">
        <f>IF(Infrastructure!$K175=Calcs!CC$892,Investors!$C9,0)</f>
        <v>0</v>
      </c>
      <c r="CD893" s="763">
        <f>IF(Infrastructure!$K175=Calcs!CD$892,Investors!$C9,0)</f>
        <v>0</v>
      </c>
      <c r="CE893" s="763">
        <f>IF(Infrastructure!$K175=Calcs!CE$892,Investors!$C9,0)</f>
        <v>0</v>
      </c>
      <c r="CF893" s="763">
        <f>IF(Infrastructure!$K175=Calcs!CF$892,Investors!$C9,0)</f>
        <v>0</v>
      </c>
      <c r="CG893" s="763">
        <f>IF(Infrastructure!$K175=Calcs!CG$892,Investors!$C9,0)</f>
        <v>0</v>
      </c>
      <c r="CH893" s="763">
        <f>IF(Infrastructure!$K175=Calcs!CH$892,Investors!$C9,0)</f>
        <v>0</v>
      </c>
      <c r="CI893" s="763">
        <f>IF(Infrastructure!$K175=Calcs!CI$892,Investors!$C9,0)</f>
        <v>0</v>
      </c>
      <c r="CJ893" s="763">
        <f>IF(Infrastructure!$K175=Calcs!CJ$892,Investors!$C9,0)</f>
        <v>0</v>
      </c>
      <c r="CK893" s="763">
        <f>IF(Infrastructure!$K175=Calcs!CK$892,Investors!$C9,0)</f>
        <v>0</v>
      </c>
      <c r="CL893" s="763">
        <f>IF(Infrastructure!$K175=Calcs!CL$892,Investors!$C9,0)</f>
        <v>0</v>
      </c>
      <c r="CM893" s="763">
        <f>IF(Infrastructure!$K175=Calcs!CM$892,Investors!$C9,0)</f>
        <v>0</v>
      </c>
      <c r="CN893" s="763">
        <f>IF(Infrastructure!$K175=Calcs!CN$892,Investors!$C9,0)</f>
        <v>0</v>
      </c>
      <c r="CO893" s="763">
        <f>IF(Infrastructure!$K175=Calcs!CO$892,Investors!$C9,0)</f>
        <v>0</v>
      </c>
      <c r="CP893" s="763">
        <f>IF(Infrastructure!$K175=Calcs!CP$892,Investors!$C9,0)</f>
        <v>0</v>
      </c>
      <c r="CQ893" s="763">
        <f>IF(Infrastructure!$K175=Calcs!CQ$892,Investors!$C9,0)</f>
        <v>0</v>
      </c>
      <c r="CR893" s="763">
        <f>IF(Infrastructure!$K175=Calcs!CR$892,Investors!$C9,0)</f>
        <v>0</v>
      </c>
      <c r="CS893" s="763">
        <f>IF(Infrastructure!$K175=Calcs!CS$892,Investors!$C9,0)</f>
        <v>0</v>
      </c>
      <c r="CT893" s="763">
        <f>IF(Infrastructure!$K175=Calcs!CT$892,Investors!$C9,0)</f>
        <v>0</v>
      </c>
      <c r="CU893" s="763">
        <f>IF(Infrastructure!$K175=Calcs!CU$892,Investors!$C9,0)</f>
        <v>0</v>
      </c>
      <c r="CV893" s="763">
        <f>IF(Infrastructure!$K175=Calcs!CV$892,Investors!$C9,0)</f>
        <v>0</v>
      </c>
      <c r="CW893" s="763">
        <f>IF(Infrastructure!$K175=Calcs!CW$892,Investors!$C9,0)</f>
        <v>0</v>
      </c>
      <c r="CX893" s="763">
        <f>IF(Infrastructure!$K175=Calcs!CX$892,Investors!$C9,0)</f>
        <v>0</v>
      </c>
      <c r="CY893" s="763">
        <f>IF(Infrastructure!$K175=Calcs!CY$892,Investors!$C9,0)</f>
        <v>0</v>
      </c>
      <c r="CZ893" s="763">
        <f>IF(Infrastructure!$K175=Calcs!CZ$892,Investors!$C9,0)</f>
        <v>0</v>
      </c>
      <c r="DA893" s="763">
        <f>IF(Infrastructure!$K175=Calcs!DA$892,Investors!$C9,0)</f>
        <v>0</v>
      </c>
      <c r="DB893" s="763">
        <f>IF(Infrastructure!$K175=Calcs!DB$892,Investors!$C9,0)</f>
        <v>0</v>
      </c>
      <c r="DC893" s="763">
        <f>IF(Infrastructure!$K175=Calcs!DC$892,Investors!$C9,0)</f>
        <v>0</v>
      </c>
      <c r="DD893" s="763">
        <f>IF(Infrastructure!$K175=Calcs!DD$892,Investors!$C9,0)</f>
        <v>0</v>
      </c>
      <c r="DE893" s="763">
        <f>IF(Infrastructure!$K175=Calcs!DE$892,Investors!$C9,0)</f>
        <v>0</v>
      </c>
      <c r="DF893" s="763">
        <f>IF(Infrastructure!$K175=Calcs!DF$892,Investors!$C9,0)</f>
        <v>0</v>
      </c>
      <c r="DG893" s="763">
        <f>IF(Infrastructure!$K175=Calcs!DG$892,Investors!$C9,0)</f>
        <v>0</v>
      </c>
      <c r="DH893" s="763">
        <f>IF(Infrastructure!$K175=Calcs!DH$892,Investors!$C9,0)</f>
        <v>0</v>
      </c>
      <c r="DI893" s="763">
        <f>IF(Infrastructure!$K175=Calcs!DI$892,Investors!$C9,0)</f>
        <v>0</v>
      </c>
      <c r="DJ893" s="763">
        <f>IF(Infrastructure!$K175=Calcs!DJ$892,Investors!$C9,0)</f>
        <v>0</v>
      </c>
      <c r="DK893" s="763">
        <f>IF(Infrastructure!$K175=Calcs!DK$892,Investors!$C9,0)</f>
        <v>0</v>
      </c>
      <c r="DL893" s="763">
        <f>IF(Infrastructure!$K175=Calcs!DL$892,Investors!$C9,0)</f>
        <v>0</v>
      </c>
      <c r="DM893" s="763">
        <f>IF(Infrastructure!$K175=Calcs!DM$892,Investors!$C9,0)</f>
        <v>0</v>
      </c>
      <c r="DN893" s="763">
        <f>IF(Infrastructure!$K175=Calcs!DN$892,Investors!$C9,0)</f>
        <v>0</v>
      </c>
      <c r="DO893" s="763">
        <f>IF(Infrastructure!$K175=Calcs!DO$892,Investors!$C9,0)</f>
        <v>0</v>
      </c>
      <c r="DP893" s="763">
        <f>IF(Infrastructure!$K175=Calcs!DP$892,Investors!$C9,0)</f>
        <v>0</v>
      </c>
      <c r="DQ893" s="763">
        <f>IF(Infrastructure!$K175=Calcs!DQ$892,Investors!$C9,0)</f>
        <v>0</v>
      </c>
      <c r="DR893" s="34">
        <f>IF(Infrastructure!$K175=Calcs!DR$892,Investors!$C9,0)</f>
        <v>0</v>
      </c>
      <c r="DS893" s="34">
        <f>IF(Infrastructure!$K175=Calcs!DS$892,Investors!$C9,0)</f>
        <v>0</v>
      </c>
      <c r="DT893" s="34">
        <f>IF(Infrastructure!$K175=Calcs!DT$892,Investors!$C9,0)</f>
        <v>0</v>
      </c>
      <c r="DU893" s="34">
        <f>IF(Infrastructure!$K175=Calcs!DU$892,Investors!$C9,0)</f>
        <v>0</v>
      </c>
      <c r="DV893" s="34">
        <f>IF(Infrastructure!$K175=Calcs!DV$892,Investors!$C9,0)</f>
        <v>0</v>
      </c>
      <c r="DW893" s="34">
        <f>IF(Infrastructure!$K175=Calcs!DW$892,Investors!$C9,0)</f>
        <v>0</v>
      </c>
      <c r="DX893" s="34">
        <f>IF(Infrastructure!$K175=Calcs!DX$892,Investors!$C9,0)</f>
        <v>0</v>
      </c>
      <c r="DY893" s="34">
        <f>IF(Infrastructure!$K175=Calcs!DY$892,Investors!$C9,0)</f>
        <v>0</v>
      </c>
      <c r="DZ893" s="34">
        <f>IF(Infrastructure!$K175=Calcs!DZ$892,Investors!$C9,0)</f>
        <v>0</v>
      </c>
      <c r="EA893" s="34">
        <f>IF(Infrastructure!$K175=Calcs!EA$892,Investors!$C9,0)</f>
        <v>0</v>
      </c>
      <c r="EB893" s="34">
        <f>IF(Infrastructure!$K175=Calcs!EB$892,Investors!$C9,0)</f>
        <v>0</v>
      </c>
      <c r="EC893" s="34">
        <f>IF(Infrastructure!$K175=Calcs!EC$892,Investors!$C9,0)</f>
        <v>0</v>
      </c>
      <c r="ED893" s="34">
        <f>IF(Infrastructure!$K175=Calcs!ED$892,Investors!$C9,0)</f>
        <v>0</v>
      </c>
      <c r="EE893" s="34">
        <f>IF(Infrastructure!$K175=Calcs!EE$892,Investors!$C9,0)</f>
        <v>0</v>
      </c>
      <c r="EF893" s="34">
        <f>IF(Infrastructure!$K175=Calcs!EF$892,Investors!$C9,0)</f>
        <v>0</v>
      </c>
      <c r="EG893" s="34">
        <f>IF(Infrastructure!$K175=Calcs!EG$892,Investors!$C9,0)</f>
        <v>0</v>
      </c>
      <c r="EH893" s="34">
        <f>IF(Infrastructure!$K175=Calcs!EH$892,Investors!$C9,0)</f>
        <v>0</v>
      </c>
      <c r="EI893" s="34">
        <f>IF(Infrastructure!$K175=Calcs!EI$892,Investors!$C9,0)</f>
        <v>0</v>
      </c>
      <c r="EJ893" s="34">
        <f>IF(Infrastructure!$K175=Calcs!EJ$892,Investors!$C9,0)</f>
        <v>0</v>
      </c>
      <c r="EK893" s="34">
        <f>IF(Infrastructure!$K175=Calcs!EK$892,Investors!$C9,0)</f>
        <v>0</v>
      </c>
      <c r="EL893" s="34">
        <f>IF(Infrastructure!$K175=Calcs!EL$892,Investors!$C9,0)</f>
        <v>0</v>
      </c>
      <c r="EM893" s="34">
        <f>IF(Infrastructure!$K175=Calcs!EM$892,Investors!$C9,0)</f>
        <v>0</v>
      </c>
      <c r="EN893" s="34">
        <f>IF(Infrastructure!$K175=Calcs!EN$892,Investors!$C9,0)</f>
        <v>0</v>
      </c>
      <c r="EO893" s="34">
        <f>IF(Infrastructure!$K175=Calcs!EO$892,Investors!$C9,0)</f>
        <v>0</v>
      </c>
      <c r="EP893" s="34">
        <f>IF(Infrastructure!$K175=Calcs!EP$892,Investors!$C9,0)</f>
        <v>0</v>
      </c>
      <c r="EQ893" s="34">
        <f>IF(Infrastructure!$K175=Calcs!EQ$892,Investors!$C9,0)</f>
        <v>0</v>
      </c>
      <c r="ER893" s="34">
        <f>IF(Infrastructure!$K175=Calcs!ER$892,Investors!$C9,0)</f>
        <v>0</v>
      </c>
      <c r="ES893" s="34">
        <f>IF(Infrastructure!$K175=Calcs!ES$892,Investors!$C9,0)</f>
        <v>0</v>
      </c>
      <c r="ET893" s="34">
        <f>IF(Infrastructure!$K175=Calcs!ET$892,Investors!$C9,0)</f>
        <v>0</v>
      </c>
      <c r="EU893" s="34">
        <f>IF(Infrastructure!$K175=Calcs!EU$892,Investors!$C9,0)</f>
        <v>0</v>
      </c>
      <c r="EV893" s="34">
        <f>IF(Infrastructure!$K175=Calcs!EV$892,Investors!$C9,0)</f>
        <v>0</v>
      </c>
    </row>
    <row r="894" spans="1:152" s="12" customFormat="1" ht="12" customHeight="1" x14ac:dyDescent="0.35">
      <c r="A894" s="84"/>
      <c r="B894" s="13"/>
      <c r="C894" s="13"/>
      <c r="D894" s="13"/>
      <c r="E894" s="13"/>
      <c r="F894" s="13"/>
      <c r="G894" s="1804"/>
      <c r="H894" s="1183"/>
      <c r="I894" s="1804"/>
      <c r="J894" s="1804"/>
      <c r="K894" s="141"/>
      <c r="L894" s="141"/>
      <c r="M894" s="141"/>
      <c r="N894" s="141"/>
      <c r="O894" s="141"/>
      <c r="P894" s="141"/>
      <c r="Q894" s="141"/>
      <c r="R894" s="31"/>
      <c r="S894" s="36"/>
      <c r="T894" s="376"/>
      <c r="U894" s="29"/>
      <c r="V894" s="29"/>
      <c r="W894" s="377"/>
      <c r="X894" s="376"/>
      <c r="Y894" s="29"/>
      <c r="Z894" s="29"/>
      <c r="AA894" s="29"/>
      <c r="AB894" s="29"/>
      <c r="AC894" s="29"/>
      <c r="AD894" s="29"/>
      <c r="AE894" s="376"/>
      <c r="AF894" s="376"/>
      <c r="AG894" s="380"/>
      <c r="AH894" s="380"/>
      <c r="AI894" s="380"/>
      <c r="AJ894" s="380"/>
      <c r="AK894" s="380"/>
      <c r="AL894" s="380"/>
      <c r="AM894" s="380"/>
      <c r="AN894" s="380"/>
      <c r="AO894" s="380"/>
      <c r="AP894" s="380"/>
      <c r="AQ894" s="380"/>
      <c r="AR894" s="1144"/>
      <c r="AS894" s="380"/>
      <c r="AT894" s="380"/>
      <c r="AU894" s="380"/>
      <c r="AV894" s="380"/>
      <c r="AW894" s="380"/>
      <c r="AX894" s="380"/>
      <c r="AY894" s="380"/>
      <c r="AZ894" s="380"/>
      <c r="BA894" s="380"/>
      <c r="BB894" s="380"/>
      <c r="BC894" s="380"/>
      <c r="BD894" s="380"/>
      <c r="BE894" s="380"/>
      <c r="BF894" s="380"/>
      <c r="BG894" s="380"/>
      <c r="BH894" s="380"/>
      <c r="BI894" s="380"/>
      <c r="BJ894" s="380"/>
      <c r="BK894" s="380"/>
      <c r="BL894" s="380"/>
      <c r="BM894" s="380"/>
      <c r="BN894" s="380"/>
      <c r="BO894" s="380"/>
      <c r="BP894" s="380"/>
      <c r="BQ894" s="380"/>
      <c r="BR894" s="380"/>
      <c r="BS894" s="380"/>
      <c r="BT894" s="380"/>
      <c r="BU894" s="380"/>
      <c r="BV894" s="380"/>
      <c r="BW894" s="380"/>
      <c r="BX894" s="380"/>
      <c r="BY894" s="380"/>
      <c r="BZ894" s="380"/>
      <c r="CA894" s="380"/>
      <c r="CB894" s="380"/>
      <c r="CC894" s="380"/>
      <c r="CD894" s="380"/>
      <c r="CE894" s="380"/>
      <c r="CF894" s="380"/>
      <c r="CG894" s="380"/>
      <c r="CH894" s="380"/>
      <c r="CI894" s="380"/>
      <c r="CJ894" s="380"/>
      <c r="CK894" s="380"/>
      <c r="CL894" s="380"/>
      <c r="CM894" s="380"/>
      <c r="CN894" s="380"/>
      <c r="CO894" s="1183"/>
      <c r="CP894" s="1183"/>
      <c r="CQ894" s="1183"/>
      <c r="CR894" s="1183"/>
      <c r="CS894" s="1183"/>
      <c r="CT894" s="1183"/>
      <c r="CU894" s="1183"/>
      <c r="CV894" s="1183"/>
      <c r="CW894" s="1183"/>
      <c r="CX894" s="1183"/>
      <c r="CY894" s="1183"/>
      <c r="CZ894" s="1183"/>
      <c r="DA894" s="1183"/>
      <c r="DB894" s="1183"/>
      <c r="DC894" s="1183"/>
      <c r="DD894" s="1183"/>
      <c r="DE894" s="1183"/>
      <c r="DF894" s="1183"/>
      <c r="DG894" s="1183"/>
      <c r="DH894" s="1183"/>
      <c r="DI894" s="1183"/>
      <c r="DJ894" s="1183"/>
      <c r="DK894" s="1183"/>
      <c r="DL894" s="1183"/>
      <c r="DM894" s="1183"/>
      <c r="DN894" s="1183"/>
      <c r="DO894" s="1183"/>
      <c r="DP894" s="1183"/>
      <c r="DQ894" s="1183"/>
      <c r="DR894" s="1804"/>
      <c r="DS894" s="1804"/>
      <c r="DT894" s="1804"/>
      <c r="DU894" s="1804"/>
      <c r="DV894" s="1804"/>
      <c r="DW894" s="1804"/>
      <c r="DX894" s="1804"/>
      <c r="DY894" s="1804"/>
      <c r="DZ894" s="1804"/>
      <c r="EA894" s="1804"/>
      <c r="EB894" s="1804"/>
      <c r="EC894" s="1804"/>
      <c r="ED894" s="1804"/>
      <c r="EE894" s="1804"/>
      <c r="EF894" s="1804"/>
      <c r="EG894" s="1804"/>
      <c r="EH894" s="1804"/>
      <c r="EI894" s="1804"/>
      <c r="EJ894" s="1804"/>
      <c r="EK894" s="1804"/>
      <c r="EL894" s="1804"/>
      <c r="EM894" s="1804"/>
      <c r="EN894" s="1804"/>
      <c r="EO894" s="1804"/>
      <c r="EP894" s="1804"/>
      <c r="EQ894" s="1804"/>
      <c r="ER894" s="1804"/>
      <c r="ES894" s="1804"/>
      <c r="ET894" s="1804"/>
      <c r="EU894" s="1804"/>
      <c r="EV894" s="1804"/>
    </row>
    <row r="895" spans="1:152" s="12" customFormat="1" ht="12" customHeight="1" x14ac:dyDescent="0.35">
      <c r="A895" s="84"/>
      <c r="B895" s="13"/>
      <c r="C895" s="13"/>
      <c r="D895" s="13"/>
      <c r="E895" s="13"/>
      <c r="F895" s="13"/>
      <c r="G895" s="1804"/>
      <c r="H895" s="1183"/>
      <c r="I895" s="1804"/>
      <c r="J895" s="1804"/>
      <c r="K895" s="141"/>
      <c r="L895" s="141"/>
      <c r="M895" s="141"/>
      <c r="N895" s="141"/>
      <c r="O895" s="141"/>
      <c r="P895" s="141"/>
      <c r="Q895" s="141"/>
      <c r="R895" s="31"/>
      <c r="S895" s="36"/>
      <c r="T895" s="376"/>
      <c r="U895" s="29"/>
      <c r="V895" s="29"/>
      <c r="W895" s="1197">
        <f t="array" ref="W895">SUM(IF(1/COUNTIF(AA895:AA910, AA895:AA910)=1,1,0))</f>
        <v>16</v>
      </c>
      <c r="X895" s="376">
        <f>COUNTIF(AB895:AB910,"&gt;0")</f>
        <v>0</v>
      </c>
      <c r="Y895" s="29"/>
      <c r="Z895" s="29"/>
      <c r="AA895" s="29" t="str">
        <f>AE895</f>
        <v>Investor #1</v>
      </c>
      <c r="AB895" s="763">
        <f>SUM(AG895:EV895)</f>
        <v>0</v>
      </c>
      <c r="AC895" s="29">
        <f>AC875</f>
        <v>1</v>
      </c>
      <c r="AD895" s="29"/>
      <c r="AE895" s="376" t="str">
        <f>AE875</f>
        <v>Investor #1</v>
      </c>
      <c r="AF895" s="376"/>
      <c r="AG895" s="763">
        <f t="shared" ref="AG895:AG910" si="640">AG875*AG$893</f>
        <v>0</v>
      </c>
      <c r="AH895" s="763">
        <f t="shared" ref="AH895:CS896" si="641">AH875*AH$893</f>
        <v>0</v>
      </c>
      <c r="AI895" s="763">
        <f t="shared" si="641"/>
        <v>0</v>
      </c>
      <c r="AJ895" s="763">
        <f t="shared" si="641"/>
        <v>0</v>
      </c>
      <c r="AK895" s="763">
        <f t="shared" si="641"/>
        <v>0</v>
      </c>
      <c r="AL895" s="763">
        <f t="shared" si="641"/>
        <v>0</v>
      </c>
      <c r="AM895" s="763">
        <f t="shared" si="641"/>
        <v>0</v>
      </c>
      <c r="AN895" s="763">
        <f t="shared" si="641"/>
        <v>0</v>
      </c>
      <c r="AO895" s="763">
        <f t="shared" si="641"/>
        <v>0</v>
      </c>
      <c r="AP895" s="763">
        <f t="shared" si="641"/>
        <v>0</v>
      </c>
      <c r="AQ895" s="763">
        <f t="shared" si="641"/>
        <v>0</v>
      </c>
      <c r="AR895" s="763">
        <f t="shared" si="641"/>
        <v>0</v>
      </c>
      <c r="AS895" s="763">
        <f t="shared" si="641"/>
        <v>0</v>
      </c>
      <c r="AT895" s="763">
        <f t="shared" si="641"/>
        <v>0</v>
      </c>
      <c r="AU895" s="763">
        <f t="shared" si="641"/>
        <v>0</v>
      </c>
      <c r="AV895" s="763">
        <f t="shared" si="641"/>
        <v>0</v>
      </c>
      <c r="AW895" s="763">
        <f t="shared" si="641"/>
        <v>0</v>
      </c>
      <c r="AX895" s="763">
        <f t="shared" si="641"/>
        <v>0</v>
      </c>
      <c r="AY895" s="763">
        <f t="shared" si="641"/>
        <v>0</v>
      </c>
      <c r="AZ895" s="763">
        <f t="shared" si="641"/>
        <v>0</v>
      </c>
      <c r="BA895" s="763">
        <f t="shared" si="641"/>
        <v>0</v>
      </c>
      <c r="BB895" s="763">
        <f t="shared" si="641"/>
        <v>0</v>
      </c>
      <c r="BC895" s="763">
        <f t="shared" si="641"/>
        <v>0</v>
      </c>
      <c r="BD895" s="763">
        <f t="shared" si="641"/>
        <v>0</v>
      </c>
      <c r="BE895" s="763">
        <f t="shared" si="641"/>
        <v>0</v>
      </c>
      <c r="BF895" s="763">
        <f t="shared" si="641"/>
        <v>0</v>
      </c>
      <c r="BG895" s="763">
        <f t="shared" si="641"/>
        <v>0</v>
      </c>
      <c r="BH895" s="763">
        <f t="shared" si="641"/>
        <v>0</v>
      </c>
      <c r="BI895" s="763">
        <f t="shared" si="641"/>
        <v>0</v>
      </c>
      <c r="BJ895" s="763">
        <f t="shared" si="641"/>
        <v>0</v>
      </c>
      <c r="BK895" s="763">
        <f t="shared" si="641"/>
        <v>0</v>
      </c>
      <c r="BL895" s="763">
        <f t="shared" si="641"/>
        <v>0</v>
      </c>
      <c r="BM895" s="763">
        <f t="shared" si="641"/>
        <v>0</v>
      </c>
      <c r="BN895" s="763">
        <f t="shared" si="641"/>
        <v>0</v>
      </c>
      <c r="BO895" s="763">
        <f t="shared" si="641"/>
        <v>0</v>
      </c>
      <c r="BP895" s="763">
        <f t="shared" si="641"/>
        <v>0</v>
      </c>
      <c r="BQ895" s="763">
        <f t="shared" si="641"/>
        <v>0</v>
      </c>
      <c r="BR895" s="763">
        <f t="shared" si="641"/>
        <v>0</v>
      </c>
      <c r="BS895" s="763">
        <f t="shared" si="641"/>
        <v>0</v>
      </c>
      <c r="BT895" s="763">
        <f t="shared" si="641"/>
        <v>0</v>
      </c>
      <c r="BU895" s="763">
        <f t="shared" si="641"/>
        <v>0</v>
      </c>
      <c r="BV895" s="763">
        <f t="shared" si="641"/>
        <v>0</v>
      </c>
      <c r="BW895" s="763">
        <f t="shared" si="641"/>
        <v>0</v>
      </c>
      <c r="BX895" s="763">
        <f t="shared" si="641"/>
        <v>0</v>
      </c>
      <c r="BY895" s="763">
        <f t="shared" si="641"/>
        <v>0</v>
      </c>
      <c r="BZ895" s="763">
        <f t="shared" si="641"/>
        <v>0</v>
      </c>
      <c r="CA895" s="763">
        <f t="shared" si="641"/>
        <v>0</v>
      </c>
      <c r="CB895" s="763">
        <f t="shared" si="641"/>
        <v>0</v>
      </c>
      <c r="CC895" s="763">
        <f t="shared" si="641"/>
        <v>0</v>
      </c>
      <c r="CD895" s="763">
        <f t="shared" si="641"/>
        <v>0</v>
      </c>
      <c r="CE895" s="763">
        <f t="shared" si="641"/>
        <v>0</v>
      </c>
      <c r="CF895" s="763">
        <f t="shared" si="641"/>
        <v>0</v>
      </c>
      <c r="CG895" s="763">
        <f t="shared" si="641"/>
        <v>0</v>
      </c>
      <c r="CH895" s="763">
        <f t="shared" si="641"/>
        <v>0</v>
      </c>
      <c r="CI895" s="763">
        <f t="shared" si="641"/>
        <v>0</v>
      </c>
      <c r="CJ895" s="763">
        <f t="shared" si="641"/>
        <v>0</v>
      </c>
      <c r="CK895" s="763">
        <f t="shared" si="641"/>
        <v>0</v>
      </c>
      <c r="CL895" s="763">
        <f t="shared" si="641"/>
        <v>0</v>
      </c>
      <c r="CM895" s="763">
        <f t="shared" si="641"/>
        <v>0</v>
      </c>
      <c r="CN895" s="763">
        <f t="shared" si="641"/>
        <v>0</v>
      </c>
      <c r="CO895" s="763">
        <f t="shared" si="641"/>
        <v>0</v>
      </c>
      <c r="CP895" s="763">
        <f t="shared" si="641"/>
        <v>0</v>
      </c>
      <c r="CQ895" s="763">
        <f t="shared" si="641"/>
        <v>0</v>
      </c>
      <c r="CR895" s="763">
        <f t="shared" si="641"/>
        <v>0</v>
      </c>
      <c r="CS895" s="763">
        <f t="shared" si="641"/>
        <v>0</v>
      </c>
      <c r="CT895" s="763">
        <f t="shared" ref="CT895:EV899" si="642">CT875*CT$893</f>
        <v>0</v>
      </c>
      <c r="CU895" s="763">
        <f t="shared" si="642"/>
        <v>0</v>
      </c>
      <c r="CV895" s="763">
        <f t="shared" si="642"/>
        <v>0</v>
      </c>
      <c r="CW895" s="763">
        <f t="shared" si="642"/>
        <v>0</v>
      </c>
      <c r="CX895" s="763">
        <f t="shared" si="642"/>
        <v>0</v>
      </c>
      <c r="CY895" s="763">
        <f t="shared" si="642"/>
        <v>0</v>
      </c>
      <c r="CZ895" s="763">
        <f t="shared" si="642"/>
        <v>0</v>
      </c>
      <c r="DA895" s="763">
        <f t="shared" si="642"/>
        <v>0</v>
      </c>
      <c r="DB895" s="763">
        <f t="shared" si="642"/>
        <v>0</v>
      </c>
      <c r="DC895" s="763">
        <f t="shared" si="642"/>
        <v>0</v>
      </c>
      <c r="DD895" s="763">
        <f t="shared" si="642"/>
        <v>0</v>
      </c>
      <c r="DE895" s="763">
        <f t="shared" si="642"/>
        <v>0</v>
      </c>
      <c r="DF895" s="763">
        <f t="shared" si="642"/>
        <v>0</v>
      </c>
      <c r="DG895" s="763">
        <f t="shared" si="642"/>
        <v>0</v>
      </c>
      <c r="DH895" s="763">
        <f t="shared" si="642"/>
        <v>0</v>
      </c>
      <c r="DI895" s="763">
        <f t="shared" si="642"/>
        <v>0</v>
      </c>
      <c r="DJ895" s="763">
        <f t="shared" si="642"/>
        <v>0</v>
      </c>
      <c r="DK895" s="763">
        <f t="shared" si="642"/>
        <v>0</v>
      </c>
      <c r="DL895" s="763">
        <f t="shared" si="642"/>
        <v>0</v>
      </c>
      <c r="DM895" s="763">
        <f t="shared" si="642"/>
        <v>0</v>
      </c>
      <c r="DN895" s="763">
        <f t="shared" si="642"/>
        <v>0</v>
      </c>
      <c r="DO895" s="763">
        <f t="shared" si="642"/>
        <v>0</v>
      </c>
      <c r="DP895" s="763">
        <f t="shared" si="642"/>
        <v>0</v>
      </c>
      <c r="DQ895" s="763">
        <f t="shared" si="642"/>
        <v>0</v>
      </c>
      <c r="DR895" s="763">
        <f t="shared" si="642"/>
        <v>0</v>
      </c>
      <c r="DS895" s="763">
        <f t="shared" si="642"/>
        <v>0</v>
      </c>
      <c r="DT895" s="763">
        <f t="shared" si="642"/>
        <v>0</v>
      </c>
      <c r="DU895" s="763">
        <f t="shared" si="642"/>
        <v>0</v>
      </c>
      <c r="DV895" s="763">
        <f t="shared" si="642"/>
        <v>0</v>
      </c>
      <c r="DW895" s="763">
        <f t="shared" si="642"/>
        <v>0</v>
      </c>
      <c r="DX895" s="763">
        <f t="shared" si="642"/>
        <v>0</v>
      </c>
      <c r="DY895" s="763">
        <f t="shared" si="642"/>
        <v>0</v>
      </c>
      <c r="DZ895" s="763">
        <f t="shared" si="642"/>
        <v>0</v>
      </c>
      <c r="EA895" s="763">
        <f t="shared" si="642"/>
        <v>0</v>
      </c>
      <c r="EB895" s="763">
        <f t="shared" si="642"/>
        <v>0</v>
      </c>
      <c r="EC895" s="763">
        <f t="shared" si="642"/>
        <v>0</v>
      </c>
      <c r="ED895" s="763">
        <f t="shared" si="642"/>
        <v>0</v>
      </c>
      <c r="EE895" s="763">
        <f t="shared" si="642"/>
        <v>0</v>
      </c>
      <c r="EF895" s="763">
        <f t="shared" si="642"/>
        <v>0</v>
      </c>
      <c r="EG895" s="763">
        <f t="shared" si="642"/>
        <v>0</v>
      </c>
      <c r="EH895" s="763">
        <f t="shared" si="642"/>
        <v>0</v>
      </c>
      <c r="EI895" s="763">
        <f t="shared" si="642"/>
        <v>0</v>
      </c>
      <c r="EJ895" s="763">
        <f t="shared" si="642"/>
        <v>0</v>
      </c>
      <c r="EK895" s="763">
        <f t="shared" si="642"/>
        <v>0</v>
      </c>
      <c r="EL895" s="763">
        <f t="shared" si="642"/>
        <v>0</v>
      </c>
      <c r="EM895" s="763">
        <f t="shared" si="642"/>
        <v>0</v>
      </c>
      <c r="EN895" s="763">
        <f t="shared" si="642"/>
        <v>0</v>
      </c>
      <c r="EO895" s="763">
        <f t="shared" si="642"/>
        <v>0</v>
      </c>
      <c r="EP895" s="763">
        <f t="shared" si="642"/>
        <v>0</v>
      </c>
      <c r="EQ895" s="763">
        <f t="shared" si="642"/>
        <v>0</v>
      </c>
      <c r="ER895" s="763">
        <f t="shared" si="642"/>
        <v>0</v>
      </c>
      <c r="ES895" s="763">
        <f t="shared" si="642"/>
        <v>0</v>
      </c>
      <c r="ET895" s="763">
        <f t="shared" si="642"/>
        <v>0</v>
      </c>
      <c r="EU895" s="763">
        <f t="shared" si="642"/>
        <v>0</v>
      </c>
      <c r="EV895" s="763">
        <f t="shared" si="642"/>
        <v>0</v>
      </c>
    </row>
    <row r="896" spans="1:152" s="12" customFormat="1" ht="12" customHeight="1" x14ac:dyDescent="0.35">
      <c r="A896" s="84"/>
      <c r="B896" s="13"/>
      <c r="C896" s="13"/>
      <c r="D896" s="13"/>
      <c r="E896" s="13"/>
      <c r="F896" s="13"/>
      <c r="G896" s="1804"/>
      <c r="H896" s="1183"/>
      <c r="I896" s="1804"/>
      <c r="J896" s="1804"/>
      <c r="K896" s="141"/>
      <c r="L896" s="141"/>
      <c r="M896" s="141"/>
      <c r="N896" s="141"/>
      <c r="O896" s="141"/>
      <c r="P896" s="141"/>
      <c r="Q896" s="141"/>
      <c r="R896" s="31"/>
      <c r="S896" s="36"/>
      <c r="T896" s="376"/>
      <c r="U896" s="29"/>
      <c r="V896" s="29"/>
      <c r="W896" s="377"/>
      <c r="X896" s="376"/>
      <c r="Y896" s="29"/>
      <c r="Z896" s="29"/>
      <c r="AA896" s="29" t="str">
        <f t="shared" ref="AA896:AA910" si="643">AE896</f>
        <v>Investor #2</v>
      </c>
      <c r="AB896" s="763">
        <f t="shared" ref="AB896:AB910" si="644">SUM(AG896:EV896)</f>
        <v>0</v>
      </c>
      <c r="AC896" s="29">
        <f t="shared" ref="AC896:AC910" si="645">AC876</f>
        <v>2</v>
      </c>
      <c r="AD896" s="29"/>
      <c r="AE896" s="376" t="str">
        <f t="shared" ref="AE896:AE910" si="646">AE876</f>
        <v>Investor #2</v>
      </c>
      <c r="AF896" s="376"/>
      <c r="AG896" s="763">
        <f t="shared" si="640"/>
        <v>0</v>
      </c>
      <c r="AH896" s="763">
        <f t="shared" ref="AH896:AV896" si="647">AH876*AH$893</f>
        <v>0</v>
      </c>
      <c r="AI896" s="763">
        <f t="shared" si="647"/>
        <v>0</v>
      </c>
      <c r="AJ896" s="763">
        <f t="shared" si="647"/>
        <v>0</v>
      </c>
      <c r="AK896" s="763">
        <f t="shared" si="647"/>
        <v>0</v>
      </c>
      <c r="AL896" s="763">
        <f t="shared" si="647"/>
        <v>0</v>
      </c>
      <c r="AM896" s="763">
        <f t="shared" si="647"/>
        <v>0</v>
      </c>
      <c r="AN896" s="763">
        <f t="shared" si="647"/>
        <v>0</v>
      </c>
      <c r="AO896" s="763">
        <f t="shared" si="647"/>
        <v>0</v>
      </c>
      <c r="AP896" s="763">
        <f t="shared" si="647"/>
        <v>0</v>
      </c>
      <c r="AQ896" s="763">
        <f t="shared" si="647"/>
        <v>0</v>
      </c>
      <c r="AR896" s="763">
        <f t="shared" si="647"/>
        <v>0</v>
      </c>
      <c r="AS896" s="763">
        <f t="shared" si="647"/>
        <v>0</v>
      </c>
      <c r="AT896" s="763">
        <f t="shared" si="647"/>
        <v>0</v>
      </c>
      <c r="AU896" s="763">
        <f t="shared" si="647"/>
        <v>0</v>
      </c>
      <c r="AV896" s="763">
        <f t="shared" si="647"/>
        <v>0</v>
      </c>
      <c r="AW896" s="763">
        <f t="shared" si="641"/>
        <v>0</v>
      </c>
      <c r="AX896" s="763">
        <f t="shared" si="641"/>
        <v>0</v>
      </c>
      <c r="AY896" s="763">
        <f t="shared" si="641"/>
        <v>0</v>
      </c>
      <c r="AZ896" s="763">
        <f t="shared" si="641"/>
        <v>0</v>
      </c>
      <c r="BA896" s="763">
        <f t="shared" si="641"/>
        <v>0</v>
      </c>
      <c r="BB896" s="763">
        <f t="shared" si="641"/>
        <v>0</v>
      </c>
      <c r="BC896" s="763">
        <f t="shared" si="641"/>
        <v>0</v>
      </c>
      <c r="BD896" s="763">
        <f t="shared" si="641"/>
        <v>0</v>
      </c>
      <c r="BE896" s="763">
        <f t="shared" si="641"/>
        <v>0</v>
      </c>
      <c r="BF896" s="763">
        <f t="shared" si="641"/>
        <v>0</v>
      </c>
      <c r="BG896" s="763">
        <f t="shared" si="641"/>
        <v>0</v>
      </c>
      <c r="BH896" s="763">
        <f t="shared" si="641"/>
        <v>0</v>
      </c>
      <c r="BI896" s="763">
        <f t="shared" si="641"/>
        <v>0</v>
      </c>
      <c r="BJ896" s="763">
        <f t="shared" si="641"/>
        <v>0</v>
      </c>
      <c r="BK896" s="763">
        <f t="shared" si="641"/>
        <v>0</v>
      </c>
      <c r="BL896" s="763">
        <f t="shared" si="641"/>
        <v>0</v>
      </c>
      <c r="BM896" s="763">
        <f t="shared" si="641"/>
        <v>0</v>
      </c>
      <c r="BN896" s="763">
        <f t="shared" si="641"/>
        <v>0</v>
      </c>
      <c r="BO896" s="763">
        <f t="shared" si="641"/>
        <v>0</v>
      </c>
      <c r="BP896" s="763">
        <f t="shared" si="641"/>
        <v>0</v>
      </c>
      <c r="BQ896" s="763">
        <f t="shared" si="641"/>
        <v>0</v>
      </c>
      <c r="BR896" s="763">
        <f t="shared" si="641"/>
        <v>0</v>
      </c>
      <c r="BS896" s="763">
        <f t="shared" si="641"/>
        <v>0</v>
      </c>
      <c r="BT896" s="763">
        <f t="shared" si="641"/>
        <v>0</v>
      </c>
      <c r="BU896" s="763">
        <f t="shared" si="641"/>
        <v>0</v>
      </c>
      <c r="BV896" s="763">
        <f t="shared" si="641"/>
        <v>0</v>
      </c>
      <c r="BW896" s="763">
        <f t="shared" si="641"/>
        <v>0</v>
      </c>
      <c r="BX896" s="763">
        <f t="shared" si="641"/>
        <v>0</v>
      </c>
      <c r="BY896" s="763">
        <f t="shared" si="641"/>
        <v>0</v>
      </c>
      <c r="BZ896" s="763">
        <f t="shared" si="641"/>
        <v>0</v>
      </c>
      <c r="CA896" s="763">
        <f t="shared" si="641"/>
        <v>0</v>
      </c>
      <c r="CB896" s="763">
        <f t="shared" si="641"/>
        <v>0</v>
      </c>
      <c r="CC896" s="763">
        <f t="shared" si="641"/>
        <v>0</v>
      </c>
      <c r="CD896" s="763">
        <f t="shared" si="641"/>
        <v>0</v>
      </c>
      <c r="CE896" s="763">
        <f t="shared" si="641"/>
        <v>0</v>
      </c>
      <c r="CF896" s="763">
        <f t="shared" si="641"/>
        <v>0</v>
      </c>
      <c r="CG896" s="763">
        <f t="shared" si="641"/>
        <v>0</v>
      </c>
      <c r="CH896" s="763">
        <f t="shared" si="641"/>
        <v>0</v>
      </c>
      <c r="CI896" s="763">
        <f t="shared" si="641"/>
        <v>0</v>
      </c>
      <c r="CJ896" s="763">
        <f t="shared" si="641"/>
        <v>0</v>
      </c>
      <c r="CK896" s="763">
        <f t="shared" si="641"/>
        <v>0</v>
      </c>
      <c r="CL896" s="763">
        <f t="shared" si="641"/>
        <v>0</v>
      </c>
      <c r="CM896" s="763">
        <f t="shared" si="641"/>
        <v>0</v>
      </c>
      <c r="CN896" s="763">
        <f t="shared" si="641"/>
        <v>0</v>
      </c>
      <c r="CO896" s="763">
        <f t="shared" si="641"/>
        <v>0</v>
      </c>
      <c r="CP896" s="763">
        <f t="shared" si="641"/>
        <v>0</v>
      </c>
      <c r="CQ896" s="763">
        <f t="shared" si="641"/>
        <v>0</v>
      </c>
      <c r="CR896" s="763">
        <f t="shared" si="641"/>
        <v>0</v>
      </c>
      <c r="CS896" s="763">
        <f t="shared" si="641"/>
        <v>0</v>
      </c>
      <c r="CT896" s="763">
        <f t="shared" si="642"/>
        <v>0</v>
      </c>
      <c r="CU896" s="763">
        <f t="shared" si="642"/>
        <v>0</v>
      </c>
      <c r="CV896" s="763">
        <f t="shared" si="642"/>
        <v>0</v>
      </c>
      <c r="CW896" s="763">
        <f t="shared" si="642"/>
        <v>0</v>
      </c>
      <c r="CX896" s="763">
        <f t="shared" si="642"/>
        <v>0</v>
      </c>
      <c r="CY896" s="763">
        <f t="shared" si="642"/>
        <v>0</v>
      </c>
      <c r="CZ896" s="763">
        <f t="shared" si="642"/>
        <v>0</v>
      </c>
      <c r="DA896" s="763">
        <f t="shared" si="642"/>
        <v>0</v>
      </c>
      <c r="DB896" s="763">
        <f t="shared" si="642"/>
        <v>0</v>
      </c>
      <c r="DC896" s="763">
        <f t="shared" si="642"/>
        <v>0</v>
      </c>
      <c r="DD896" s="763">
        <f t="shared" si="642"/>
        <v>0</v>
      </c>
      <c r="DE896" s="763">
        <f t="shared" si="642"/>
        <v>0</v>
      </c>
      <c r="DF896" s="763">
        <f t="shared" si="642"/>
        <v>0</v>
      </c>
      <c r="DG896" s="763">
        <f t="shared" si="642"/>
        <v>0</v>
      </c>
      <c r="DH896" s="763">
        <f t="shared" si="642"/>
        <v>0</v>
      </c>
      <c r="DI896" s="763">
        <f t="shared" si="642"/>
        <v>0</v>
      </c>
      <c r="DJ896" s="763">
        <f t="shared" si="642"/>
        <v>0</v>
      </c>
      <c r="DK896" s="763">
        <f t="shared" si="642"/>
        <v>0</v>
      </c>
      <c r="DL896" s="763">
        <f t="shared" si="642"/>
        <v>0</v>
      </c>
      <c r="DM896" s="763">
        <f t="shared" si="642"/>
        <v>0</v>
      </c>
      <c r="DN896" s="763">
        <f t="shared" si="642"/>
        <v>0</v>
      </c>
      <c r="DO896" s="763">
        <f t="shared" si="642"/>
        <v>0</v>
      </c>
      <c r="DP896" s="763">
        <f t="shared" si="642"/>
        <v>0</v>
      </c>
      <c r="DQ896" s="763">
        <f t="shared" si="642"/>
        <v>0</v>
      </c>
      <c r="DR896" s="763">
        <f t="shared" si="642"/>
        <v>0</v>
      </c>
      <c r="DS896" s="763">
        <f t="shared" si="642"/>
        <v>0</v>
      </c>
      <c r="DT896" s="763">
        <f t="shared" si="642"/>
        <v>0</v>
      </c>
      <c r="DU896" s="763">
        <f t="shared" si="642"/>
        <v>0</v>
      </c>
      <c r="DV896" s="763">
        <f t="shared" si="642"/>
        <v>0</v>
      </c>
      <c r="DW896" s="763">
        <f t="shared" si="642"/>
        <v>0</v>
      </c>
      <c r="DX896" s="763">
        <f t="shared" si="642"/>
        <v>0</v>
      </c>
      <c r="DY896" s="763">
        <f t="shared" si="642"/>
        <v>0</v>
      </c>
      <c r="DZ896" s="763">
        <f t="shared" si="642"/>
        <v>0</v>
      </c>
      <c r="EA896" s="763">
        <f t="shared" si="642"/>
        <v>0</v>
      </c>
      <c r="EB896" s="763">
        <f t="shared" si="642"/>
        <v>0</v>
      </c>
      <c r="EC896" s="763">
        <f t="shared" si="642"/>
        <v>0</v>
      </c>
      <c r="ED896" s="763">
        <f t="shared" si="642"/>
        <v>0</v>
      </c>
      <c r="EE896" s="763">
        <f t="shared" si="642"/>
        <v>0</v>
      </c>
      <c r="EF896" s="763">
        <f t="shared" si="642"/>
        <v>0</v>
      </c>
      <c r="EG896" s="763">
        <f t="shared" si="642"/>
        <v>0</v>
      </c>
      <c r="EH896" s="763">
        <f t="shared" si="642"/>
        <v>0</v>
      </c>
      <c r="EI896" s="763">
        <f t="shared" si="642"/>
        <v>0</v>
      </c>
      <c r="EJ896" s="763">
        <f t="shared" si="642"/>
        <v>0</v>
      </c>
      <c r="EK896" s="763">
        <f t="shared" si="642"/>
        <v>0</v>
      </c>
      <c r="EL896" s="763">
        <f t="shared" si="642"/>
        <v>0</v>
      </c>
      <c r="EM896" s="763">
        <f t="shared" si="642"/>
        <v>0</v>
      </c>
      <c r="EN896" s="763">
        <f t="shared" si="642"/>
        <v>0</v>
      </c>
      <c r="EO896" s="763">
        <f t="shared" si="642"/>
        <v>0</v>
      </c>
      <c r="EP896" s="763">
        <f t="shared" si="642"/>
        <v>0</v>
      </c>
      <c r="EQ896" s="763">
        <f t="shared" si="642"/>
        <v>0</v>
      </c>
      <c r="ER896" s="763">
        <f t="shared" si="642"/>
        <v>0</v>
      </c>
      <c r="ES896" s="763">
        <f t="shared" si="642"/>
        <v>0</v>
      </c>
      <c r="ET896" s="763">
        <f t="shared" si="642"/>
        <v>0</v>
      </c>
      <c r="EU896" s="763">
        <f t="shared" si="642"/>
        <v>0</v>
      </c>
      <c r="EV896" s="763">
        <f t="shared" si="642"/>
        <v>0</v>
      </c>
    </row>
    <row r="897" spans="1:152" s="12" customFormat="1" ht="12" customHeight="1" x14ac:dyDescent="0.35">
      <c r="A897" s="84"/>
      <c r="B897" s="13"/>
      <c r="C897" s="13"/>
      <c r="D897" s="13"/>
      <c r="E897" s="13"/>
      <c r="F897" s="13"/>
      <c r="G897" s="1804"/>
      <c r="H897" s="1183"/>
      <c r="I897" s="1804"/>
      <c r="J897" s="1804"/>
      <c r="K897" s="141"/>
      <c r="L897" s="141"/>
      <c r="M897" s="141"/>
      <c r="N897" s="141"/>
      <c r="O897" s="141"/>
      <c r="P897" s="141"/>
      <c r="Q897" s="141"/>
      <c r="R897" s="31"/>
      <c r="S897" s="36"/>
      <c r="T897" s="376"/>
      <c r="U897" s="29"/>
      <c r="V897" s="29"/>
      <c r="W897" s="377"/>
      <c r="X897" s="376"/>
      <c r="Y897" s="29"/>
      <c r="Z897" s="29"/>
      <c r="AA897" s="29" t="str">
        <f t="shared" si="643"/>
        <v>Investor #3</v>
      </c>
      <c r="AB897" s="763">
        <f t="shared" si="644"/>
        <v>0</v>
      </c>
      <c r="AC897" s="29">
        <f t="shared" si="645"/>
        <v>3</v>
      </c>
      <c r="AD897" s="29"/>
      <c r="AE897" s="376" t="str">
        <f t="shared" si="646"/>
        <v>Investor #3</v>
      </c>
      <c r="AF897" s="376"/>
      <c r="AG897" s="763">
        <f t="shared" si="640"/>
        <v>0</v>
      </c>
      <c r="AH897" s="763">
        <f t="shared" ref="AH897:CS900" si="648">AH877*AH$893</f>
        <v>0</v>
      </c>
      <c r="AI897" s="763">
        <f t="shared" si="648"/>
        <v>0</v>
      </c>
      <c r="AJ897" s="763">
        <f t="shared" si="648"/>
        <v>0</v>
      </c>
      <c r="AK897" s="763">
        <f t="shared" si="648"/>
        <v>0</v>
      </c>
      <c r="AL897" s="763">
        <f t="shared" si="648"/>
        <v>0</v>
      </c>
      <c r="AM897" s="763">
        <f t="shared" si="648"/>
        <v>0</v>
      </c>
      <c r="AN897" s="763">
        <f t="shared" si="648"/>
        <v>0</v>
      </c>
      <c r="AO897" s="763">
        <f t="shared" si="648"/>
        <v>0</v>
      </c>
      <c r="AP897" s="763">
        <f t="shared" si="648"/>
        <v>0</v>
      </c>
      <c r="AQ897" s="763">
        <f t="shared" si="648"/>
        <v>0</v>
      </c>
      <c r="AR897" s="763">
        <f t="shared" si="648"/>
        <v>0</v>
      </c>
      <c r="AS897" s="763">
        <f t="shared" si="648"/>
        <v>0</v>
      </c>
      <c r="AT897" s="763">
        <f t="shared" si="648"/>
        <v>0</v>
      </c>
      <c r="AU897" s="763">
        <f t="shared" si="648"/>
        <v>0</v>
      </c>
      <c r="AV897" s="763">
        <f t="shared" si="648"/>
        <v>0</v>
      </c>
      <c r="AW897" s="763">
        <f t="shared" si="648"/>
        <v>0</v>
      </c>
      <c r="AX897" s="763">
        <f t="shared" si="648"/>
        <v>0</v>
      </c>
      <c r="AY897" s="763">
        <f t="shared" si="648"/>
        <v>0</v>
      </c>
      <c r="AZ897" s="763">
        <f t="shared" si="648"/>
        <v>0</v>
      </c>
      <c r="BA897" s="763">
        <f t="shared" si="648"/>
        <v>0</v>
      </c>
      <c r="BB897" s="763">
        <f t="shared" si="648"/>
        <v>0</v>
      </c>
      <c r="BC897" s="763">
        <f t="shared" si="648"/>
        <v>0</v>
      </c>
      <c r="BD897" s="763">
        <f t="shared" si="648"/>
        <v>0</v>
      </c>
      <c r="BE897" s="763">
        <f t="shared" si="648"/>
        <v>0</v>
      </c>
      <c r="BF897" s="763">
        <f t="shared" si="648"/>
        <v>0</v>
      </c>
      <c r="BG897" s="763">
        <f t="shared" si="648"/>
        <v>0</v>
      </c>
      <c r="BH897" s="763">
        <f t="shared" si="648"/>
        <v>0</v>
      </c>
      <c r="BI897" s="763">
        <f t="shared" si="648"/>
        <v>0</v>
      </c>
      <c r="BJ897" s="763">
        <f t="shared" si="648"/>
        <v>0</v>
      </c>
      <c r="BK897" s="763">
        <f t="shared" si="648"/>
        <v>0</v>
      </c>
      <c r="BL897" s="763">
        <f t="shared" si="648"/>
        <v>0</v>
      </c>
      <c r="BM897" s="763">
        <f t="shared" si="648"/>
        <v>0</v>
      </c>
      <c r="BN897" s="763">
        <f t="shared" si="648"/>
        <v>0</v>
      </c>
      <c r="BO897" s="763">
        <f t="shared" si="648"/>
        <v>0</v>
      </c>
      <c r="BP897" s="763">
        <f t="shared" si="648"/>
        <v>0</v>
      </c>
      <c r="BQ897" s="763">
        <f t="shared" si="648"/>
        <v>0</v>
      </c>
      <c r="BR897" s="763">
        <f t="shared" si="648"/>
        <v>0</v>
      </c>
      <c r="BS897" s="763">
        <f t="shared" si="648"/>
        <v>0</v>
      </c>
      <c r="BT897" s="763">
        <f t="shared" si="648"/>
        <v>0</v>
      </c>
      <c r="BU897" s="763">
        <f t="shared" si="648"/>
        <v>0</v>
      </c>
      <c r="BV897" s="763">
        <f t="shared" si="648"/>
        <v>0</v>
      </c>
      <c r="BW897" s="763">
        <f t="shared" si="648"/>
        <v>0</v>
      </c>
      <c r="BX897" s="763">
        <f t="shared" si="648"/>
        <v>0</v>
      </c>
      <c r="BY897" s="763">
        <f t="shared" si="648"/>
        <v>0</v>
      </c>
      <c r="BZ897" s="763">
        <f t="shared" si="648"/>
        <v>0</v>
      </c>
      <c r="CA897" s="763">
        <f t="shared" si="648"/>
        <v>0</v>
      </c>
      <c r="CB897" s="763">
        <f t="shared" si="648"/>
        <v>0</v>
      </c>
      <c r="CC897" s="763">
        <f t="shared" si="648"/>
        <v>0</v>
      </c>
      <c r="CD897" s="763">
        <f t="shared" si="648"/>
        <v>0</v>
      </c>
      <c r="CE897" s="763">
        <f t="shared" si="648"/>
        <v>0</v>
      </c>
      <c r="CF897" s="763">
        <f t="shared" si="648"/>
        <v>0</v>
      </c>
      <c r="CG897" s="763">
        <f t="shared" si="648"/>
        <v>0</v>
      </c>
      <c r="CH897" s="763">
        <f t="shared" si="648"/>
        <v>0</v>
      </c>
      <c r="CI897" s="763">
        <f t="shared" si="648"/>
        <v>0</v>
      </c>
      <c r="CJ897" s="763">
        <f t="shared" si="648"/>
        <v>0</v>
      </c>
      <c r="CK897" s="763">
        <f t="shared" si="648"/>
        <v>0</v>
      </c>
      <c r="CL897" s="763">
        <f t="shared" si="648"/>
        <v>0</v>
      </c>
      <c r="CM897" s="763">
        <f t="shared" si="648"/>
        <v>0</v>
      </c>
      <c r="CN897" s="763">
        <f t="shared" si="648"/>
        <v>0</v>
      </c>
      <c r="CO897" s="763">
        <f t="shared" si="648"/>
        <v>0</v>
      </c>
      <c r="CP897" s="763">
        <f t="shared" si="648"/>
        <v>0</v>
      </c>
      <c r="CQ897" s="763">
        <f t="shared" si="648"/>
        <v>0</v>
      </c>
      <c r="CR897" s="763">
        <f t="shared" si="648"/>
        <v>0</v>
      </c>
      <c r="CS897" s="763">
        <f t="shared" si="648"/>
        <v>0</v>
      </c>
      <c r="CT897" s="763">
        <f t="shared" si="642"/>
        <v>0</v>
      </c>
      <c r="CU897" s="763">
        <f t="shared" si="642"/>
        <v>0</v>
      </c>
      <c r="CV897" s="763">
        <f t="shared" si="642"/>
        <v>0</v>
      </c>
      <c r="CW897" s="763">
        <f t="shared" si="642"/>
        <v>0</v>
      </c>
      <c r="CX897" s="763">
        <f t="shared" si="642"/>
        <v>0</v>
      </c>
      <c r="CY897" s="763">
        <f t="shared" si="642"/>
        <v>0</v>
      </c>
      <c r="CZ897" s="763">
        <f t="shared" si="642"/>
        <v>0</v>
      </c>
      <c r="DA897" s="763">
        <f t="shared" si="642"/>
        <v>0</v>
      </c>
      <c r="DB897" s="763">
        <f t="shared" si="642"/>
        <v>0</v>
      </c>
      <c r="DC897" s="763">
        <f t="shared" si="642"/>
        <v>0</v>
      </c>
      <c r="DD897" s="763">
        <f t="shared" si="642"/>
        <v>0</v>
      </c>
      <c r="DE897" s="763">
        <f t="shared" si="642"/>
        <v>0</v>
      </c>
      <c r="DF897" s="763">
        <f t="shared" si="642"/>
        <v>0</v>
      </c>
      <c r="DG897" s="763">
        <f t="shared" si="642"/>
        <v>0</v>
      </c>
      <c r="DH897" s="763">
        <f t="shared" si="642"/>
        <v>0</v>
      </c>
      <c r="DI897" s="763">
        <f t="shared" si="642"/>
        <v>0</v>
      </c>
      <c r="DJ897" s="763">
        <f t="shared" si="642"/>
        <v>0</v>
      </c>
      <c r="DK897" s="763">
        <f t="shared" si="642"/>
        <v>0</v>
      </c>
      <c r="DL897" s="763">
        <f t="shared" si="642"/>
        <v>0</v>
      </c>
      <c r="DM897" s="763">
        <f t="shared" si="642"/>
        <v>0</v>
      </c>
      <c r="DN897" s="763">
        <f t="shared" si="642"/>
        <v>0</v>
      </c>
      <c r="DO897" s="763">
        <f t="shared" si="642"/>
        <v>0</v>
      </c>
      <c r="DP897" s="763">
        <f t="shared" si="642"/>
        <v>0</v>
      </c>
      <c r="DQ897" s="763">
        <f t="shared" si="642"/>
        <v>0</v>
      </c>
      <c r="DR897" s="763">
        <f t="shared" si="642"/>
        <v>0</v>
      </c>
      <c r="DS897" s="763">
        <f t="shared" si="642"/>
        <v>0</v>
      </c>
      <c r="DT897" s="763">
        <f t="shared" si="642"/>
        <v>0</v>
      </c>
      <c r="DU897" s="763">
        <f t="shared" si="642"/>
        <v>0</v>
      </c>
      <c r="DV897" s="763">
        <f t="shared" si="642"/>
        <v>0</v>
      </c>
      <c r="DW897" s="763">
        <f t="shared" si="642"/>
        <v>0</v>
      </c>
      <c r="DX897" s="763">
        <f t="shared" si="642"/>
        <v>0</v>
      </c>
      <c r="DY897" s="763">
        <f t="shared" si="642"/>
        <v>0</v>
      </c>
      <c r="DZ897" s="763">
        <f t="shared" si="642"/>
        <v>0</v>
      </c>
      <c r="EA897" s="763">
        <f t="shared" si="642"/>
        <v>0</v>
      </c>
      <c r="EB897" s="763">
        <f t="shared" si="642"/>
        <v>0</v>
      </c>
      <c r="EC897" s="763">
        <f t="shared" si="642"/>
        <v>0</v>
      </c>
      <c r="ED897" s="763">
        <f t="shared" si="642"/>
        <v>0</v>
      </c>
      <c r="EE897" s="763">
        <f t="shared" si="642"/>
        <v>0</v>
      </c>
      <c r="EF897" s="763">
        <f t="shared" si="642"/>
        <v>0</v>
      </c>
      <c r="EG897" s="763">
        <f t="shared" si="642"/>
        <v>0</v>
      </c>
      <c r="EH897" s="763">
        <f t="shared" si="642"/>
        <v>0</v>
      </c>
      <c r="EI897" s="763">
        <f t="shared" si="642"/>
        <v>0</v>
      </c>
      <c r="EJ897" s="763">
        <f t="shared" si="642"/>
        <v>0</v>
      </c>
      <c r="EK897" s="763">
        <f t="shared" si="642"/>
        <v>0</v>
      </c>
      <c r="EL897" s="763">
        <f t="shared" si="642"/>
        <v>0</v>
      </c>
      <c r="EM897" s="763">
        <f t="shared" si="642"/>
        <v>0</v>
      </c>
      <c r="EN897" s="763">
        <f t="shared" si="642"/>
        <v>0</v>
      </c>
      <c r="EO897" s="763">
        <f t="shared" si="642"/>
        <v>0</v>
      </c>
      <c r="EP897" s="763">
        <f t="shared" si="642"/>
        <v>0</v>
      </c>
      <c r="EQ897" s="763">
        <f t="shared" si="642"/>
        <v>0</v>
      </c>
      <c r="ER897" s="763">
        <f t="shared" si="642"/>
        <v>0</v>
      </c>
      <c r="ES897" s="763">
        <f t="shared" si="642"/>
        <v>0</v>
      </c>
      <c r="ET897" s="763">
        <f t="shared" si="642"/>
        <v>0</v>
      </c>
      <c r="EU897" s="763">
        <f t="shared" si="642"/>
        <v>0</v>
      </c>
      <c r="EV897" s="763">
        <f t="shared" si="642"/>
        <v>0</v>
      </c>
    </row>
    <row r="898" spans="1:152" s="12" customFormat="1" ht="12" customHeight="1" x14ac:dyDescent="0.35">
      <c r="A898" s="84"/>
      <c r="B898" s="13"/>
      <c r="C898" s="13"/>
      <c r="D898" s="13"/>
      <c r="E898" s="13"/>
      <c r="F898" s="13"/>
      <c r="G898" s="1804"/>
      <c r="H898" s="1183"/>
      <c r="I898" s="1804"/>
      <c r="J898" s="1804"/>
      <c r="K898" s="141"/>
      <c r="L898" s="141"/>
      <c r="M898" s="141"/>
      <c r="N898" s="141"/>
      <c r="O898" s="141"/>
      <c r="P898" s="141"/>
      <c r="Q898" s="141"/>
      <c r="R898" s="31"/>
      <c r="S898" s="36"/>
      <c r="T898" s="376"/>
      <c r="U898" s="29"/>
      <c r="V898" s="29"/>
      <c r="W898" s="377"/>
      <c r="X898" s="376"/>
      <c r="Y898" s="29"/>
      <c r="Z898" s="29"/>
      <c r="AA898" s="29" t="str">
        <f t="shared" si="643"/>
        <v>Investor #4</v>
      </c>
      <c r="AB898" s="763">
        <f t="shared" si="644"/>
        <v>0</v>
      </c>
      <c r="AC898" s="29">
        <f t="shared" si="645"/>
        <v>4</v>
      </c>
      <c r="AD898" s="29"/>
      <c r="AE898" s="376" t="str">
        <f t="shared" si="646"/>
        <v>Investor #4</v>
      </c>
      <c r="AF898" s="376"/>
      <c r="AG898" s="763">
        <f t="shared" si="640"/>
        <v>0</v>
      </c>
      <c r="AH898" s="763">
        <f t="shared" si="648"/>
        <v>0</v>
      </c>
      <c r="AI898" s="763">
        <f t="shared" si="648"/>
        <v>0</v>
      </c>
      <c r="AJ898" s="763">
        <f t="shared" si="648"/>
        <v>0</v>
      </c>
      <c r="AK898" s="763">
        <f t="shared" si="648"/>
        <v>0</v>
      </c>
      <c r="AL898" s="763">
        <f t="shared" si="648"/>
        <v>0</v>
      </c>
      <c r="AM898" s="763">
        <f t="shared" si="648"/>
        <v>0</v>
      </c>
      <c r="AN898" s="763">
        <f t="shared" si="648"/>
        <v>0</v>
      </c>
      <c r="AO898" s="763">
        <f t="shared" si="648"/>
        <v>0</v>
      </c>
      <c r="AP898" s="763">
        <f t="shared" si="648"/>
        <v>0</v>
      </c>
      <c r="AQ898" s="763">
        <f t="shared" si="648"/>
        <v>0</v>
      </c>
      <c r="AR898" s="763">
        <f t="shared" si="648"/>
        <v>0</v>
      </c>
      <c r="AS898" s="763">
        <f t="shared" si="648"/>
        <v>0</v>
      </c>
      <c r="AT898" s="763">
        <f t="shared" si="648"/>
        <v>0</v>
      </c>
      <c r="AU898" s="763">
        <f t="shared" si="648"/>
        <v>0</v>
      </c>
      <c r="AV898" s="763">
        <f t="shared" si="648"/>
        <v>0</v>
      </c>
      <c r="AW898" s="763">
        <f t="shared" si="648"/>
        <v>0</v>
      </c>
      <c r="AX898" s="763">
        <f t="shared" si="648"/>
        <v>0</v>
      </c>
      <c r="AY898" s="763">
        <f t="shared" si="648"/>
        <v>0</v>
      </c>
      <c r="AZ898" s="763">
        <f t="shared" si="648"/>
        <v>0</v>
      </c>
      <c r="BA898" s="763">
        <f t="shared" si="648"/>
        <v>0</v>
      </c>
      <c r="BB898" s="763">
        <f t="shared" si="648"/>
        <v>0</v>
      </c>
      <c r="BC898" s="763">
        <f t="shared" si="648"/>
        <v>0</v>
      </c>
      <c r="BD898" s="763">
        <f t="shared" si="648"/>
        <v>0</v>
      </c>
      <c r="BE898" s="763">
        <f t="shared" si="648"/>
        <v>0</v>
      </c>
      <c r="BF898" s="763">
        <f t="shared" si="648"/>
        <v>0</v>
      </c>
      <c r="BG898" s="763">
        <f t="shared" si="648"/>
        <v>0</v>
      </c>
      <c r="BH898" s="763">
        <f t="shared" si="648"/>
        <v>0</v>
      </c>
      <c r="BI898" s="763">
        <f t="shared" si="648"/>
        <v>0</v>
      </c>
      <c r="BJ898" s="763">
        <f t="shared" si="648"/>
        <v>0</v>
      </c>
      <c r="BK898" s="763">
        <f t="shared" si="648"/>
        <v>0</v>
      </c>
      <c r="BL898" s="763">
        <f t="shared" si="648"/>
        <v>0</v>
      </c>
      <c r="BM898" s="763">
        <f t="shared" si="648"/>
        <v>0</v>
      </c>
      <c r="BN898" s="763">
        <f t="shared" si="648"/>
        <v>0</v>
      </c>
      <c r="BO898" s="763">
        <f t="shared" si="648"/>
        <v>0</v>
      </c>
      <c r="BP898" s="763">
        <f t="shared" si="648"/>
        <v>0</v>
      </c>
      <c r="BQ898" s="763">
        <f t="shared" si="648"/>
        <v>0</v>
      </c>
      <c r="BR898" s="763">
        <f t="shared" si="648"/>
        <v>0</v>
      </c>
      <c r="BS898" s="763">
        <f t="shared" si="648"/>
        <v>0</v>
      </c>
      <c r="BT898" s="763">
        <f t="shared" si="648"/>
        <v>0</v>
      </c>
      <c r="BU898" s="763">
        <f t="shared" si="648"/>
        <v>0</v>
      </c>
      <c r="BV898" s="763">
        <f t="shared" si="648"/>
        <v>0</v>
      </c>
      <c r="BW898" s="763">
        <f t="shared" si="648"/>
        <v>0</v>
      </c>
      <c r="BX898" s="763">
        <f t="shared" si="648"/>
        <v>0</v>
      </c>
      <c r="BY898" s="763">
        <f t="shared" si="648"/>
        <v>0</v>
      </c>
      <c r="BZ898" s="763">
        <f t="shared" si="648"/>
        <v>0</v>
      </c>
      <c r="CA898" s="763">
        <f t="shared" si="648"/>
        <v>0</v>
      </c>
      <c r="CB898" s="763">
        <f t="shared" si="648"/>
        <v>0</v>
      </c>
      <c r="CC898" s="763">
        <f t="shared" si="648"/>
        <v>0</v>
      </c>
      <c r="CD898" s="763">
        <f t="shared" si="648"/>
        <v>0</v>
      </c>
      <c r="CE898" s="763">
        <f t="shared" si="648"/>
        <v>0</v>
      </c>
      <c r="CF898" s="763">
        <f t="shared" si="648"/>
        <v>0</v>
      </c>
      <c r="CG898" s="763">
        <f t="shared" si="648"/>
        <v>0</v>
      </c>
      <c r="CH898" s="763">
        <f t="shared" si="648"/>
        <v>0</v>
      </c>
      <c r="CI898" s="763">
        <f t="shared" si="648"/>
        <v>0</v>
      </c>
      <c r="CJ898" s="763">
        <f t="shared" si="648"/>
        <v>0</v>
      </c>
      <c r="CK898" s="763">
        <f t="shared" si="648"/>
        <v>0</v>
      </c>
      <c r="CL898" s="763">
        <f t="shared" si="648"/>
        <v>0</v>
      </c>
      <c r="CM898" s="763">
        <f t="shared" si="648"/>
        <v>0</v>
      </c>
      <c r="CN898" s="763">
        <f t="shared" si="648"/>
        <v>0</v>
      </c>
      <c r="CO898" s="763">
        <f t="shared" si="648"/>
        <v>0</v>
      </c>
      <c r="CP898" s="763">
        <f t="shared" si="648"/>
        <v>0</v>
      </c>
      <c r="CQ898" s="763">
        <f t="shared" si="648"/>
        <v>0</v>
      </c>
      <c r="CR898" s="763">
        <f t="shared" si="648"/>
        <v>0</v>
      </c>
      <c r="CS898" s="763">
        <f t="shared" si="648"/>
        <v>0</v>
      </c>
      <c r="CT898" s="763">
        <f t="shared" si="642"/>
        <v>0</v>
      </c>
      <c r="CU898" s="763">
        <f t="shared" si="642"/>
        <v>0</v>
      </c>
      <c r="CV898" s="763">
        <f t="shared" si="642"/>
        <v>0</v>
      </c>
      <c r="CW898" s="763">
        <f t="shared" si="642"/>
        <v>0</v>
      </c>
      <c r="CX898" s="763">
        <f t="shared" si="642"/>
        <v>0</v>
      </c>
      <c r="CY898" s="763">
        <f t="shared" si="642"/>
        <v>0</v>
      </c>
      <c r="CZ898" s="763">
        <f t="shared" si="642"/>
        <v>0</v>
      </c>
      <c r="DA898" s="763">
        <f t="shared" si="642"/>
        <v>0</v>
      </c>
      <c r="DB898" s="763">
        <f t="shared" si="642"/>
        <v>0</v>
      </c>
      <c r="DC898" s="763">
        <f t="shared" si="642"/>
        <v>0</v>
      </c>
      <c r="DD898" s="763">
        <f t="shared" si="642"/>
        <v>0</v>
      </c>
      <c r="DE898" s="763">
        <f t="shared" si="642"/>
        <v>0</v>
      </c>
      <c r="DF898" s="763">
        <f t="shared" si="642"/>
        <v>0</v>
      </c>
      <c r="DG898" s="763">
        <f t="shared" si="642"/>
        <v>0</v>
      </c>
      <c r="DH898" s="763">
        <f t="shared" si="642"/>
        <v>0</v>
      </c>
      <c r="DI898" s="763">
        <f t="shared" si="642"/>
        <v>0</v>
      </c>
      <c r="DJ898" s="763">
        <f t="shared" si="642"/>
        <v>0</v>
      </c>
      <c r="DK898" s="763">
        <f t="shared" si="642"/>
        <v>0</v>
      </c>
      <c r="DL898" s="763">
        <f t="shared" si="642"/>
        <v>0</v>
      </c>
      <c r="DM898" s="763">
        <f t="shared" si="642"/>
        <v>0</v>
      </c>
      <c r="DN898" s="763">
        <f t="shared" si="642"/>
        <v>0</v>
      </c>
      <c r="DO898" s="763">
        <f t="shared" si="642"/>
        <v>0</v>
      </c>
      <c r="DP898" s="763">
        <f t="shared" si="642"/>
        <v>0</v>
      </c>
      <c r="DQ898" s="763">
        <f t="shared" si="642"/>
        <v>0</v>
      </c>
      <c r="DR898" s="763">
        <f t="shared" si="642"/>
        <v>0</v>
      </c>
      <c r="DS898" s="763">
        <f t="shared" si="642"/>
        <v>0</v>
      </c>
      <c r="DT898" s="763">
        <f t="shared" si="642"/>
        <v>0</v>
      </c>
      <c r="DU898" s="763">
        <f t="shared" si="642"/>
        <v>0</v>
      </c>
      <c r="DV898" s="763">
        <f t="shared" si="642"/>
        <v>0</v>
      </c>
      <c r="DW898" s="763">
        <f t="shared" si="642"/>
        <v>0</v>
      </c>
      <c r="DX898" s="763">
        <f t="shared" si="642"/>
        <v>0</v>
      </c>
      <c r="DY898" s="763">
        <f t="shared" si="642"/>
        <v>0</v>
      </c>
      <c r="DZ898" s="763">
        <f t="shared" si="642"/>
        <v>0</v>
      </c>
      <c r="EA898" s="763">
        <f t="shared" si="642"/>
        <v>0</v>
      </c>
      <c r="EB898" s="763">
        <f t="shared" si="642"/>
        <v>0</v>
      </c>
      <c r="EC898" s="763">
        <f t="shared" si="642"/>
        <v>0</v>
      </c>
      <c r="ED898" s="763">
        <f t="shared" si="642"/>
        <v>0</v>
      </c>
      <c r="EE898" s="763">
        <f t="shared" si="642"/>
        <v>0</v>
      </c>
      <c r="EF898" s="763">
        <f t="shared" si="642"/>
        <v>0</v>
      </c>
      <c r="EG898" s="763">
        <f t="shared" si="642"/>
        <v>0</v>
      </c>
      <c r="EH898" s="763">
        <f t="shared" si="642"/>
        <v>0</v>
      </c>
      <c r="EI898" s="763">
        <f t="shared" si="642"/>
        <v>0</v>
      </c>
      <c r="EJ898" s="763">
        <f t="shared" si="642"/>
        <v>0</v>
      </c>
      <c r="EK898" s="763">
        <f t="shared" si="642"/>
        <v>0</v>
      </c>
      <c r="EL898" s="763">
        <f t="shared" si="642"/>
        <v>0</v>
      </c>
      <c r="EM898" s="763">
        <f t="shared" si="642"/>
        <v>0</v>
      </c>
      <c r="EN898" s="763">
        <f t="shared" si="642"/>
        <v>0</v>
      </c>
      <c r="EO898" s="763">
        <f t="shared" si="642"/>
        <v>0</v>
      </c>
      <c r="EP898" s="763">
        <f t="shared" si="642"/>
        <v>0</v>
      </c>
      <c r="EQ898" s="763">
        <f t="shared" si="642"/>
        <v>0</v>
      </c>
      <c r="ER898" s="763">
        <f t="shared" si="642"/>
        <v>0</v>
      </c>
      <c r="ES898" s="763">
        <f t="shared" si="642"/>
        <v>0</v>
      </c>
      <c r="ET898" s="763">
        <f t="shared" si="642"/>
        <v>0</v>
      </c>
      <c r="EU898" s="763">
        <f t="shared" si="642"/>
        <v>0</v>
      </c>
      <c r="EV898" s="763">
        <f t="shared" si="642"/>
        <v>0</v>
      </c>
    </row>
    <row r="899" spans="1:152" s="12" customFormat="1" ht="12" customHeight="1" x14ac:dyDescent="0.35">
      <c r="A899" s="84"/>
      <c r="B899" s="13"/>
      <c r="C899" s="13"/>
      <c r="D899" s="13"/>
      <c r="E899" s="13"/>
      <c r="F899" s="13"/>
      <c r="G899" s="1804"/>
      <c r="H899" s="1183"/>
      <c r="I899" s="1804"/>
      <c r="J899" s="1804"/>
      <c r="K899" s="141"/>
      <c r="L899" s="141"/>
      <c r="M899" s="141"/>
      <c r="N899" s="141"/>
      <c r="O899" s="141"/>
      <c r="P899" s="141"/>
      <c r="Q899" s="141"/>
      <c r="R899" s="31"/>
      <c r="S899" s="36"/>
      <c r="T899" s="376"/>
      <c r="U899" s="29"/>
      <c r="V899" s="29"/>
      <c r="W899" s="377"/>
      <c r="X899" s="376"/>
      <c r="Y899" s="29"/>
      <c r="Z899" s="29"/>
      <c r="AA899" s="29" t="str">
        <f t="shared" si="643"/>
        <v>Investor #5</v>
      </c>
      <c r="AB899" s="763">
        <f t="shared" si="644"/>
        <v>0</v>
      </c>
      <c r="AC899" s="29">
        <f t="shared" si="645"/>
        <v>5</v>
      </c>
      <c r="AD899" s="29"/>
      <c r="AE899" s="376" t="str">
        <f t="shared" si="646"/>
        <v>Investor #5</v>
      </c>
      <c r="AF899" s="376"/>
      <c r="AG899" s="763">
        <f t="shared" si="640"/>
        <v>0</v>
      </c>
      <c r="AH899" s="763">
        <f t="shared" si="648"/>
        <v>0</v>
      </c>
      <c r="AI899" s="763">
        <f t="shared" si="648"/>
        <v>0</v>
      </c>
      <c r="AJ899" s="763">
        <f t="shared" si="648"/>
        <v>0</v>
      </c>
      <c r="AK899" s="763">
        <f t="shared" si="648"/>
        <v>0</v>
      </c>
      <c r="AL899" s="763">
        <f t="shared" si="648"/>
        <v>0</v>
      </c>
      <c r="AM899" s="763">
        <f t="shared" si="648"/>
        <v>0</v>
      </c>
      <c r="AN899" s="763">
        <f t="shared" si="648"/>
        <v>0</v>
      </c>
      <c r="AO899" s="763">
        <f t="shared" si="648"/>
        <v>0</v>
      </c>
      <c r="AP899" s="763">
        <f t="shared" si="648"/>
        <v>0</v>
      </c>
      <c r="AQ899" s="763">
        <f t="shared" si="648"/>
        <v>0</v>
      </c>
      <c r="AR899" s="763">
        <f t="shared" si="648"/>
        <v>0</v>
      </c>
      <c r="AS899" s="763">
        <f t="shared" si="648"/>
        <v>0</v>
      </c>
      <c r="AT899" s="763">
        <f t="shared" si="648"/>
        <v>0</v>
      </c>
      <c r="AU899" s="763">
        <f t="shared" si="648"/>
        <v>0</v>
      </c>
      <c r="AV899" s="763">
        <f t="shared" si="648"/>
        <v>0</v>
      </c>
      <c r="AW899" s="763">
        <f t="shared" si="648"/>
        <v>0</v>
      </c>
      <c r="AX899" s="763">
        <f t="shared" si="648"/>
        <v>0</v>
      </c>
      <c r="AY899" s="763">
        <f t="shared" si="648"/>
        <v>0</v>
      </c>
      <c r="AZ899" s="763">
        <f t="shared" si="648"/>
        <v>0</v>
      </c>
      <c r="BA899" s="763">
        <f t="shared" si="648"/>
        <v>0</v>
      </c>
      <c r="BB899" s="763">
        <f t="shared" si="648"/>
        <v>0</v>
      </c>
      <c r="BC899" s="763">
        <f t="shared" si="648"/>
        <v>0</v>
      </c>
      <c r="BD899" s="763">
        <f t="shared" si="648"/>
        <v>0</v>
      </c>
      <c r="BE899" s="763">
        <f t="shared" si="648"/>
        <v>0</v>
      </c>
      <c r="BF899" s="763">
        <f t="shared" si="648"/>
        <v>0</v>
      </c>
      <c r="BG899" s="763">
        <f t="shared" si="648"/>
        <v>0</v>
      </c>
      <c r="BH899" s="763">
        <f t="shared" si="648"/>
        <v>0</v>
      </c>
      <c r="BI899" s="763">
        <f t="shared" si="648"/>
        <v>0</v>
      </c>
      <c r="BJ899" s="763">
        <f t="shared" si="648"/>
        <v>0</v>
      </c>
      <c r="BK899" s="763">
        <f t="shared" si="648"/>
        <v>0</v>
      </c>
      <c r="BL899" s="763">
        <f t="shared" si="648"/>
        <v>0</v>
      </c>
      <c r="BM899" s="763">
        <f t="shared" si="648"/>
        <v>0</v>
      </c>
      <c r="BN899" s="763">
        <f t="shared" si="648"/>
        <v>0</v>
      </c>
      <c r="BO899" s="763">
        <f t="shared" si="648"/>
        <v>0</v>
      </c>
      <c r="BP899" s="763">
        <f t="shared" si="648"/>
        <v>0</v>
      </c>
      <c r="BQ899" s="763">
        <f t="shared" si="648"/>
        <v>0</v>
      </c>
      <c r="BR899" s="763">
        <f t="shared" si="648"/>
        <v>0</v>
      </c>
      <c r="BS899" s="763">
        <f t="shared" si="648"/>
        <v>0</v>
      </c>
      <c r="BT899" s="763">
        <f t="shared" si="648"/>
        <v>0</v>
      </c>
      <c r="BU899" s="763">
        <f t="shared" si="648"/>
        <v>0</v>
      </c>
      <c r="BV899" s="763">
        <f t="shared" si="648"/>
        <v>0</v>
      </c>
      <c r="BW899" s="763">
        <f t="shared" si="648"/>
        <v>0</v>
      </c>
      <c r="BX899" s="763">
        <f t="shared" si="648"/>
        <v>0</v>
      </c>
      <c r="BY899" s="763">
        <f t="shared" si="648"/>
        <v>0</v>
      </c>
      <c r="BZ899" s="763">
        <f t="shared" si="648"/>
        <v>0</v>
      </c>
      <c r="CA899" s="763">
        <f t="shared" si="648"/>
        <v>0</v>
      </c>
      <c r="CB899" s="763">
        <f t="shared" si="648"/>
        <v>0</v>
      </c>
      <c r="CC899" s="763">
        <f t="shared" si="648"/>
        <v>0</v>
      </c>
      <c r="CD899" s="763">
        <f t="shared" si="648"/>
        <v>0</v>
      </c>
      <c r="CE899" s="763">
        <f t="shared" si="648"/>
        <v>0</v>
      </c>
      <c r="CF899" s="763">
        <f t="shared" si="648"/>
        <v>0</v>
      </c>
      <c r="CG899" s="763">
        <f t="shared" si="648"/>
        <v>0</v>
      </c>
      <c r="CH899" s="763">
        <f t="shared" si="648"/>
        <v>0</v>
      </c>
      <c r="CI899" s="763">
        <f t="shared" si="648"/>
        <v>0</v>
      </c>
      <c r="CJ899" s="763">
        <f t="shared" si="648"/>
        <v>0</v>
      </c>
      <c r="CK899" s="763">
        <f t="shared" si="648"/>
        <v>0</v>
      </c>
      <c r="CL899" s="763">
        <f t="shared" si="648"/>
        <v>0</v>
      </c>
      <c r="CM899" s="763">
        <f t="shared" si="648"/>
        <v>0</v>
      </c>
      <c r="CN899" s="763">
        <f t="shared" si="648"/>
        <v>0</v>
      </c>
      <c r="CO899" s="763">
        <f t="shared" si="648"/>
        <v>0</v>
      </c>
      <c r="CP899" s="763">
        <f t="shared" si="648"/>
        <v>0</v>
      </c>
      <c r="CQ899" s="763">
        <f t="shared" si="648"/>
        <v>0</v>
      </c>
      <c r="CR899" s="763">
        <f t="shared" si="648"/>
        <v>0</v>
      </c>
      <c r="CS899" s="763">
        <f t="shared" si="648"/>
        <v>0</v>
      </c>
      <c r="CT899" s="763">
        <f t="shared" si="642"/>
        <v>0</v>
      </c>
      <c r="CU899" s="763">
        <f t="shared" si="642"/>
        <v>0</v>
      </c>
      <c r="CV899" s="763">
        <f t="shared" si="642"/>
        <v>0</v>
      </c>
      <c r="CW899" s="763">
        <f t="shared" si="642"/>
        <v>0</v>
      </c>
      <c r="CX899" s="763">
        <f t="shared" si="642"/>
        <v>0</v>
      </c>
      <c r="CY899" s="763">
        <f t="shared" si="642"/>
        <v>0</v>
      </c>
      <c r="CZ899" s="763">
        <f t="shared" si="642"/>
        <v>0</v>
      </c>
      <c r="DA899" s="763">
        <f t="shared" si="642"/>
        <v>0</v>
      </c>
      <c r="DB899" s="763">
        <f t="shared" si="642"/>
        <v>0</v>
      </c>
      <c r="DC899" s="763">
        <f t="shared" si="642"/>
        <v>0</v>
      </c>
      <c r="DD899" s="763">
        <f t="shared" si="642"/>
        <v>0</v>
      </c>
      <c r="DE899" s="763">
        <f t="shared" si="642"/>
        <v>0</v>
      </c>
      <c r="DF899" s="763">
        <f t="shared" si="642"/>
        <v>0</v>
      </c>
      <c r="DG899" s="763">
        <f t="shared" si="642"/>
        <v>0</v>
      </c>
      <c r="DH899" s="763">
        <f t="shared" si="642"/>
        <v>0</v>
      </c>
      <c r="DI899" s="763">
        <f t="shared" si="642"/>
        <v>0</v>
      </c>
      <c r="DJ899" s="763">
        <f t="shared" si="642"/>
        <v>0</v>
      </c>
      <c r="DK899" s="763">
        <f t="shared" si="642"/>
        <v>0</v>
      </c>
      <c r="DL899" s="763">
        <f t="shared" si="642"/>
        <v>0</v>
      </c>
      <c r="DM899" s="763">
        <f t="shared" si="642"/>
        <v>0</v>
      </c>
      <c r="DN899" s="763">
        <f t="shared" si="642"/>
        <v>0</v>
      </c>
      <c r="DO899" s="763">
        <f t="shared" si="642"/>
        <v>0</v>
      </c>
      <c r="DP899" s="763">
        <f t="shared" si="642"/>
        <v>0</v>
      </c>
      <c r="DQ899" s="763">
        <f t="shared" si="642"/>
        <v>0</v>
      </c>
      <c r="DR899" s="763">
        <f t="shared" si="642"/>
        <v>0</v>
      </c>
      <c r="DS899" s="763">
        <f t="shared" si="642"/>
        <v>0</v>
      </c>
      <c r="DT899" s="763">
        <f t="shared" si="642"/>
        <v>0</v>
      </c>
      <c r="DU899" s="763">
        <f t="shared" si="642"/>
        <v>0</v>
      </c>
      <c r="DV899" s="763">
        <f t="shared" si="642"/>
        <v>0</v>
      </c>
      <c r="DW899" s="763">
        <f t="shared" si="642"/>
        <v>0</v>
      </c>
      <c r="DX899" s="763">
        <f t="shared" si="642"/>
        <v>0</v>
      </c>
      <c r="DY899" s="763">
        <f t="shared" si="642"/>
        <v>0</v>
      </c>
      <c r="DZ899" s="763">
        <f t="shared" si="642"/>
        <v>0</v>
      </c>
      <c r="EA899" s="763">
        <f t="shared" si="642"/>
        <v>0</v>
      </c>
      <c r="EB899" s="763">
        <f t="shared" si="642"/>
        <v>0</v>
      </c>
      <c r="EC899" s="763">
        <f t="shared" ref="EC899:EV899" si="649">EC879*EC$893</f>
        <v>0</v>
      </c>
      <c r="ED899" s="763">
        <f t="shared" si="649"/>
        <v>0</v>
      </c>
      <c r="EE899" s="763">
        <f t="shared" si="649"/>
        <v>0</v>
      </c>
      <c r="EF899" s="763">
        <f t="shared" si="649"/>
        <v>0</v>
      </c>
      <c r="EG899" s="763">
        <f t="shared" si="649"/>
        <v>0</v>
      </c>
      <c r="EH899" s="763">
        <f t="shared" si="649"/>
        <v>0</v>
      </c>
      <c r="EI899" s="763">
        <f t="shared" si="649"/>
        <v>0</v>
      </c>
      <c r="EJ899" s="763">
        <f t="shared" si="649"/>
        <v>0</v>
      </c>
      <c r="EK899" s="763">
        <f t="shared" si="649"/>
        <v>0</v>
      </c>
      <c r="EL899" s="763">
        <f t="shared" si="649"/>
        <v>0</v>
      </c>
      <c r="EM899" s="763">
        <f t="shared" si="649"/>
        <v>0</v>
      </c>
      <c r="EN899" s="763">
        <f t="shared" si="649"/>
        <v>0</v>
      </c>
      <c r="EO899" s="763">
        <f t="shared" si="649"/>
        <v>0</v>
      </c>
      <c r="EP899" s="763">
        <f t="shared" si="649"/>
        <v>0</v>
      </c>
      <c r="EQ899" s="763">
        <f t="shared" si="649"/>
        <v>0</v>
      </c>
      <c r="ER899" s="763">
        <f t="shared" si="649"/>
        <v>0</v>
      </c>
      <c r="ES899" s="763">
        <f t="shared" si="649"/>
        <v>0</v>
      </c>
      <c r="ET899" s="763">
        <f t="shared" si="649"/>
        <v>0</v>
      </c>
      <c r="EU899" s="763">
        <f t="shared" si="649"/>
        <v>0</v>
      </c>
      <c r="EV899" s="763">
        <f t="shared" si="649"/>
        <v>0</v>
      </c>
    </row>
    <row r="900" spans="1:152" s="12" customFormat="1" ht="12" customHeight="1" x14ac:dyDescent="0.35">
      <c r="A900" s="84"/>
      <c r="B900" s="13"/>
      <c r="C900" s="13"/>
      <c r="D900" s="13"/>
      <c r="E900" s="13"/>
      <c r="F900" s="13"/>
      <c r="G900" s="1804"/>
      <c r="H900" s="1183"/>
      <c r="I900" s="1804"/>
      <c r="J900" s="1804"/>
      <c r="K900" s="141"/>
      <c r="L900" s="141"/>
      <c r="M900" s="141"/>
      <c r="N900" s="141"/>
      <c r="O900" s="141"/>
      <c r="P900" s="141"/>
      <c r="Q900" s="141"/>
      <c r="R900" s="31"/>
      <c r="S900" s="36"/>
      <c r="T900" s="376"/>
      <c r="U900" s="29"/>
      <c r="V900" s="29"/>
      <c r="W900" s="377"/>
      <c r="X900" s="376"/>
      <c r="Y900" s="29"/>
      <c r="Z900" s="29"/>
      <c r="AA900" s="29" t="str">
        <f t="shared" si="643"/>
        <v>Investor #6</v>
      </c>
      <c r="AB900" s="763">
        <f t="shared" si="644"/>
        <v>0</v>
      </c>
      <c r="AC900" s="29">
        <f t="shared" si="645"/>
        <v>6</v>
      </c>
      <c r="AD900" s="29"/>
      <c r="AE900" s="376" t="str">
        <f t="shared" si="646"/>
        <v>Investor #6</v>
      </c>
      <c r="AF900" s="376"/>
      <c r="AG900" s="763">
        <f t="shared" si="640"/>
        <v>0</v>
      </c>
      <c r="AH900" s="763">
        <f t="shared" si="648"/>
        <v>0</v>
      </c>
      <c r="AI900" s="763">
        <f t="shared" si="648"/>
        <v>0</v>
      </c>
      <c r="AJ900" s="763">
        <f t="shared" si="648"/>
        <v>0</v>
      </c>
      <c r="AK900" s="763">
        <f t="shared" si="648"/>
        <v>0</v>
      </c>
      <c r="AL900" s="763">
        <f t="shared" si="648"/>
        <v>0</v>
      </c>
      <c r="AM900" s="763">
        <f t="shared" si="648"/>
        <v>0</v>
      </c>
      <c r="AN900" s="763">
        <f t="shared" si="648"/>
        <v>0</v>
      </c>
      <c r="AO900" s="763">
        <f t="shared" si="648"/>
        <v>0</v>
      </c>
      <c r="AP900" s="763">
        <f t="shared" si="648"/>
        <v>0</v>
      </c>
      <c r="AQ900" s="763">
        <f t="shared" si="648"/>
        <v>0</v>
      </c>
      <c r="AR900" s="763">
        <f t="shared" si="648"/>
        <v>0</v>
      </c>
      <c r="AS900" s="763">
        <f t="shared" si="648"/>
        <v>0</v>
      </c>
      <c r="AT900" s="763">
        <f t="shared" si="648"/>
        <v>0</v>
      </c>
      <c r="AU900" s="763">
        <f t="shared" si="648"/>
        <v>0</v>
      </c>
      <c r="AV900" s="763">
        <f t="shared" si="648"/>
        <v>0</v>
      </c>
      <c r="AW900" s="763">
        <f t="shared" si="648"/>
        <v>0</v>
      </c>
      <c r="AX900" s="763">
        <f t="shared" si="648"/>
        <v>0</v>
      </c>
      <c r="AY900" s="763">
        <f t="shared" si="648"/>
        <v>0</v>
      </c>
      <c r="AZ900" s="763">
        <f t="shared" si="648"/>
        <v>0</v>
      </c>
      <c r="BA900" s="763">
        <f t="shared" si="648"/>
        <v>0</v>
      </c>
      <c r="BB900" s="763">
        <f t="shared" si="648"/>
        <v>0</v>
      </c>
      <c r="BC900" s="763">
        <f t="shared" si="648"/>
        <v>0</v>
      </c>
      <c r="BD900" s="763">
        <f t="shared" si="648"/>
        <v>0</v>
      </c>
      <c r="BE900" s="763">
        <f t="shared" si="648"/>
        <v>0</v>
      </c>
      <c r="BF900" s="763">
        <f t="shared" si="648"/>
        <v>0</v>
      </c>
      <c r="BG900" s="763">
        <f t="shared" si="648"/>
        <v>0</v>
      </c>
      <c r="BH900" s="763">
        <f t="shared" si="648"/>
        <v>0</v>
      </c>
      <c r="BI900" s="763">
        <f t="shared" si="648"/>
        <v>0</v>
      </c>
      <c r="BJ900" s="763">
        <f t="shared" si="648"/>
        <v>0</v>
      </c>
      <c r="BK900" s="763">
        <f t="shared" si="648"/>
        <v>0</v>
      </c>
      <c r="BL900" s="763">
        <f t="shared" si="648"/>
        <v>0</v>
      </c>
      <c r="BM900" s="763">
        <f t="shared" si="648"/>
        <v>0</v>
      </c>
      <c r="BN900" s="763">
        <f t="shared" si="648"/>
        <v>0</v>
      </c>
      <c r="BO900" s="763">
        <f t="shared" si="648"/>
        <v>0</v>
      </c>
      <c r="BP900" s="763">
        <f t="shared" si="648"/>
        <v>0</v>
      </c>
      <c r="BQ900" s="763">
        <f t="shared" si="648"/>
        <v>0</v>
      </c>
      <c r="BR900" s="763">
        <f t="shared" si="648"/>
        <v>0</v>
      </c>
      <c r="BS900" s="763">
        <f t="shared" si="648"/>
        <v>0</v>
      </c>
      <c r="BT900" s="763">
        <f t="shared" si="648"/>
        <v>0</v>
      </c>
      <c r="BU900" s="763">
        <f t="shared" si="648"/>
        <v>0</v>
      </c>
      <c r="BV900" s="763">
        <f t="shared" si="648"/>
        <v>0</v>
      </c>
      <c r="BW900" s="763">
        <f t="shared" si="648"/>
        <v>0</v>
      </c>
      <c r="BX900" s="763">
        <f t="shared" si="648"/>
        <v>0</v>
      </c>
      <c r="BY900" s="763">
        <f t="shared" si="648"/>
        <v>0</v>
      </c>
      <c r="BZ900" s="763">
        <f t="shared" si="648"/>
        <v>0</v>
      </c>
      <c r="CA900" s="763">
        <f t="shared" si="648"/>
        <v>0</v>
      </c>
      <c r="CB900" s="763">
        <f t="shared" si="648"/>
        <v>0</v>
      </c>
      <c r="CC900" s="763">
        <f t="shared" si="648"/>
        <v>0</v>
      </c>
      <c r="CD900" s="763">
        <f t="shared" si="648"/>
        <v>0</v>
      </c>
      <c r="CE900" s="763">
        <f t="shared" si="648"/>
        <v>0</v>
      </c>
      <c r="CF900" s="763">
        <f t="shared" si="648"/>
        <v>0</v>
      </c>
      <c r="CG900" s="763">
        <f t="shared" si="648"/>
        <v>0</v>
      </c>
      <c r="CH900" s="763">
        <f t="shared" si="648"/>
        <v>0</v>
      </c>
      <c r="CI900" s="763">
        <f t="shared" si="648"/>
        <v>0</v>
      </c>
      <c r="CJ900" s="763">
        <f t="shared" si="648"/>
        <v>0</v>
      </c>
      <c r="CK900" s="763">
        <f t="shared" si="648"/>
        <v>0</v>
      </c>
      <c r="CL900" s="763">
        <f t="shared" si="648"/>
        <v>0</v>
      </c>
      <c r="CM900" s="763">
        <f t="shared" si="648"/>
        <v>0</v>
      </c>
      <c r="CN900" s="763">
        <f t="shared" si="648"/>
        <v>0</v>
      </c>
      <c r="CO900" s="763">
        <f t="shared" si="648"/>
        <v>0</v>
      </c>
      <c r="CP900" s="763">
        <f t="shared" si="648"/>
        <v>0</v>
      </c>
      <c r="CQ900" s="763">
        <f t="shared" si="648"/>
        <v>0</v>
      </c>
      <c r="CR900" s="763">
        <f t="shared" si="648"/>
        <v>0</v>
      </c>
      <c r="CS900" s="763">
        <f t="shared" ref="CS900:EV903" si="650">CS880*CS$893</f>
        <v>0</v>
      </c>
      <c r="CT900" s="763">
        <f t="shared" si="650"/>
        <v>0</v>
      </c>
      <c r="CU900" s="763">
        <f t="shared" si="650"/>
        <v>0</v>
      </c>
      <c r="CV900" s="763">
        <f t="shared" si="650"/>
        <v>0</v>
      </c>
      <c r="CW900" s="763">
        <f t="shared" si="650"/>
        <v>0</v>
      </c>
      <c r="CX900" s="763">
        <f t="shared" si="650"/>
        <v>0</v>
      </c>
      <c r="CY900" s="763">
        <f t="shared" si="650"/>
        <v>0</v>
      </c>
      <c r="CZ900" s="763">
        <f t="shared" si="650"/>
        <v>0</v>
      </c>
      <c r="DA900" s="763">
        <f t="shared" si="650"/>
        <v>0</v>
      </c>
      <c r="DB900" s="763">
        <f t="shared" si="650"/>
        <v>0</v>
      </c>
      <c r="DC900" s="763">
        <f t="shared" si="650"/>
        <v>0</v>
      </c>
      <c r="DD900" s="763">
        <f t="shared" si="650"/>
        <v>0</v>
      </c>
      <c r="DE900" s="763">
        <f t="shared" si="650"/>
        <v>0</v>
      </c>
      <c r="DF900" s="763">
        <f t="shared" si="650"/>
        <v>0</v>
      </c>
      <c r="DG900" s="763">
        <f t="shared" si="650"/>
        <v>0</v>
      </c>
      <c r="DH900" s="763">
        <f t="shared" si="650"/>
        <v>0</v>
      </c>
      <c r="DI900" s="763">
        <f t="shared" si="650"/>
        <v>0</v>
      </c>
      <c r="DJ900" s="763">
        <f t="shared" si="650"/>
        <v>0</v>
      </c>
      <c r="DK900" s="763">
        <f t="shared" si="650"/>
        <v>0</v>
      </c>
      <c r="DL900" s="763">
        <f t="shared" si="650"/>
        <v>0</v>
      </c>
      <c r="DM900" s="763">
        <f t="shared" si="650"/>
        <v>0</v>
      </c>
      <c r="DN900" s="763">
        <f t="shared" si="650"/>
        <v>0</v>
      </c>
      <c r="DO900" s="763">
        <f t="shared" si="650"/>
        <v>0</v>
      </c>
      <c r="DP900" s="763">
        <f t="shared" si="650"/>
        <v>0</v>
      </c>
      <c r="DQ900" s="763">
        <f t="shared" si="650"/>
        <v>0</v>
      </c>
      <c r="DR900" s="763">
        <f t="shared" si="650"/>
        <v>0</v>
      </c>
      <c r="DS900" s="763">
        <f t="shared" si="650"/>
        <v>0</v>
      </c>
      <c r="DT900" s="763">
        <f t="shared" si="650"/>
        <v>0</v>
      </c>
      <c r="DU900" s="763">
        <f t="shared" si="650"/>
        <v>0</v>
      </c>
      <c r="DV900" s="763">
        <f t="shared" si="650"/>
        <v>0</v>
      </c>
      <c r="DW900" s="763">
        <f t="shared" si="650"/>
        <v>0</v>
      </c>
      <c r="DX900" s="763">
        <f t="shared" si="650"/>
        <v>0</v>
      </c>
      <c r="DY900" s="763">
        <f t="shared" si="650"/>
        <v>0</v>
      </c>
      <c r="DZ900" s="763">
        <f t="shared" si="650"/>
        <v>0</v>
      </c>
      <c r="EA900" s="763">
        <f t="shared" si="650"/>
        <v>0</v>
      </c>
      <c r="EB900" s="763">
        <f t="shared" si="650"/>
        <v>0</v>
      </c>
      <c r="EC900" s="763">
        <f t="shared" si="650"/>
        <v>0</v>
      </c>
      <c r="ED900" s="763">
        <f t="shared" si="650"/>
        <v>0</v>
      </c>
      <c r="EE900" s="763">
        <f t="shared" si="650"/>
        <v>0</v>
      </c>
      <c r="EF900" s="763">
        <f t="shared" si="650"/>
        <v>0</v>
      </c>
      <c r="EG900" s="763">
        <f t="shared" si="650"/>
        <v>0</v>
      </c>
      <c r="EH900" s="763">
        <f t="shared" si="650"/>
        <v>0</v>
      </c>
      <c r="EI900" s="763">
        <f t="shared" si="650"/>
        <v>0</v>
      </c>
      <c r="EJ900" s="763">
        <f t="shared" si="650"/>
        <v>0</v>
      </c>
      <c r="EK900" s="763">
        <f t="shared" si="650"/>
        <v>0</v>
      </c>
      <c r="EL900" s="763">
        <f t="shared" si="650"/>
        <v>0</v>
      </c>
      <c r="EM900" s="763">
        <f t="shared" si="650"/>
        <v>0</v>
      </c>
      <c r="EN900" s="763">
        <f t="shared" si="650"/>
        <v>0</v>
      </c>
      <c r="EO900" s="763">
        <f t="shared" si="650"/>
        <v>0</v>
      </c>
      <c r="EP900" s="763">
        <f t="shared" si="650"/>
        <v>0</v>
      </c>
      <c r="EQ900" s="763">
        <f t="shared" si="650"/>
        <v>0</v>
      </c>
      <c r="ER900" s="763">
        <f t="shared" si="650"/>
        <v>0</v>
      </c>
      <c r="ES900" s="763">
        <f t="shared" si="650"/>
        <v>0</v>
      </c>
      <c r="ET900" s="763">
        <f t="shared" si="650"/>
        <v>0</v>
      </c>
      <c r="EU900" s="763">
        <f t="shared" si="650"/>
        <v>0</v>
      </c>
      <c r="EV900" s="763">
        <f t="shared" si="650"/>
        <v>0</v>
      </c>
    </row>
    <row r="901" spans="1:152" s="12" customFormat="1" ht="12" customHeight="1" x14ac:dyDescent="0.35">
      <c r="A901" s="84"/>
      <c r="B901" s="13"/>
      <c r="C901" s="13"/>
      <c r="D901" s="13"/>
      <c r="E901" s="13"/>
      <c r="F901" s="13"/>
      <c r="G901" s="1804"/>
      <c r="H901" s="1183"/>
      <c r="I901" s="1804"/>
      <c r="J901" s="1804"/>
      <c r="K901" s="141"/>
      <c r="L901" s="141"/>
      <c r="M901" s="141"/>
      <c r="N901" s="141"/>
      <c r="O901" s="141"/>
      <c r="P901" s="141"/>
      <c r="Q901" s="141"/>
      <c r="R901" s="31"/>
      <c r="S901" s="36"/>
      <c r="T901" s="376"/>
      <c r="U901" s="29"/>
      <c r="V901" s="29"/>
      <c r="W901" s="377"/>
      <c r="X901" s="376"/>
      <c r="Y901" s="29"/>
      <c r="Z901" s="29"/>
      <c r="AA901" s="29" t="str">
        <f t="shared" si="643"/>
        <v>Investor #7</v>
      </c>
      <c r="AB901" s="763">
        <f t="shared" si="644"/>
        <v>0</v>
      </c>
      <c r="AC901" s="29">
        <f t="shared" si="645"/>
        <v>7</v>
      </c>
      <c r="AD901" s="29"/>
      <c r="AE901" s="376" t="str">
        <f t="shared" si="646"/>
        <v>Investor #7</v>
      </c>
      <c r="AF901" s="376"/>
      <c r="AG901" s="763">
        <f t="shared" si="640"/>
        <v>0</v>
      </c>
      <c r="AH901" s="763">
        <f t="shared" ref="AH901:CS904" si="651">AH881*AH$893</f>
        <v>0</v>
      </c>
      <c r="AI901" s="763">
        <f t="shared" si="651"/>
        <v>0</v>
      </c>
      <c r="AJ901" s="763">
        <f t="shared" si="651"/>
        <v>0</v>
      </c>
      <c r="AK901" s="763">
        <f t="shared" si="651"/>
        <v>0</v>
      </c>
      <c r="AL901" s="763">
        <f t="shared" si="651"/>
        <v>0</v>
      </c>
      <c r="AM901" s="763">
        <f t="shared" si="651"/>
        <v>0</v>
      </c>
      <c r="AN901" s="763">
        <f t="shared" si="651"/>
        <v>0</v>
      </c>
      <c r="AO901" s="763">
        <f t="shared" si="651"/>
        <v>0</v>
      </c>
      <c r="AP901" s="763">
        <f t="shared" si="651"/>
        <v>0</v>
      </c>
      <c r="AQ901" s="763">
        <f t="shared" si="651"/>
        <v>0</v>
      </c>
      <c r="AR901" s="763">
        <f t="shared" si="651"/>
        <v>0</v>
      </c>
      <c r="AS901" s="763">
        <f t="shared" si="651"/>
        <v>0</v>
      </c>
      <c r="AT901" s="763">
        <f t="shared" si="651"/>
        <v>0</v>
      </c>
      <c r="AU901" s="763">
        <f t="shared" si="651"/>
        <v>0</v>
      </c>
      <c r="AV901" s="763">
        <f t="shared" si="651"/>
        <v>0</v>
      </c>
      <c r="AW901" s="763">
        <f t="shared" si="651"/>
        <v>0</v>
      </c>
      <c r="AX901" s="763">
        <f t="shared" si="651"/>
        <v>0</v>
      </c>
      <c r="AY901" s="763">
        <f t="shared" si="651"/>
        <v>0</v>
      </c>
      <c r="AZ901" s="763">
        <f t="shared" si="651"/>
        <v>0</v>
      </c>
      <c r="BA901" s="763">
        <f t="shared" si="651"/>
        <v>0</v>
      </c>
      <c r="BB901" s="763">
        <f t="shared" si="651"/>
        <v>0</v>
      </c>
      <c r="BC901" s="763">
        <f t="shared" si="651"/>
        <v>0</v>
      </c>
      <c r="BD901" s="763">
        <f t="shared" si="651"/>
        <v>0</v>
      </c>
      <c r="BE901" s="763">
        <f t="shared" si="651"/>
        <v>0</v>
      </c>
      <c r="BF901" s="763">
        <f t="shared" si="651"/>
        <v>0</v>
      </c>
      <c r="BG901" s="763">
        <f t="shared" si="651"/>
        <v>0</v>
      </c>
      <c r="BH901" s="763">
        <f t="shared" si="651"/>
        <v>0</v>
      </c>
      <c r="BI901" s="763">
        <f t="shared" si="651"/>
        <v>0</v>
      </c>
      <c r="BJ901" s="763">
        <f t="shared" si="651"/>
        <v>0</v>
      </c>
      <c r="BK901" s="763">
        <f t="shared" si="651"/>
        <v>0</v>
      </c>
      <c r="BL901" s="763">
        <f t="shared" si="651"/>
        <v>0</v>
      </c>
      <c r="BM901" s="763">
        <f t="shared" si="651"/>
        <v>0</v>
      </c>
      <c r="BN901" s="763">
        <f t="shared" si="651"/>
        <v>0</v>
      </c>
      <c r="BO901" s="763">
        <f t="shared" si="651"/>
        <v>0</v>
      </c>
      <c r="BP901" s="763">
        <f t="shared" si="651"/>
        <v>0</v>
      </c>
      <c r="BQ901" s="763">
        <f t="shared" si="651"/>
        <v>0</v>
      </c>
      <c r="BR901" s="763">
        <f t="shared" si="651"/>
        <v>0</v>
      </c>
      <c r="BS901" s="763">
        <f t="shared" si="651"/>
        <v>0</v>
      </c>
      <c r="BT901" s="763">
        <f t="shared" si="651"/>
        <v>0</v>
      </c>
      <c r="BU901" s="763">
        <f t="shared" si="651"/>
        <v>0</v>
      </c>
      <c r="BV901" s="763">
        <f t="shared" si="651"/>
        <v>0</v>
      </c>
      <c r="BW901" s="763">
        <f t="shared" si="651"/>
        <v>0</v>
      </c>
      <c r="BX901" s="763">
        <f t="shared" si="651"/>
        <v>0</v>
      </c>
      <c r="BY901" s="763">
        <f t="shared" si="651"/>
        <v>0</v>
      </c>
      <c r="BZ901" s="763">
        <f t="shared" si="651"/>
        <v>0</v>
      </c>
      <c r="CA901" s="763">
        <f t="shared" si="651"/>
        <v>0</v>
      </c>
      <c r="CB901" s="763">
        <f t="shared" si="651"/>
        <v>0</v>
      </c>
      <c r="CC901" s="763">
        <f t="shared" si="651"/>
        <v>0</v>
      </c>
      <c r="CD901" s="763">
        <f t="shared" si="651"/>
        <v>0</v>
      </c>
      <c r="CE901" s="763">
        <f t="shared" si="651"/>
        <v>0</v>
      </c>
      <c r="CF901" s="763">
        <f t="shared" si="651"/>
        <v>0</v>
      </c>
      <c r="CG901" s="763">
        <f t="shared" si="651"/>
        <v>0</v>
      </c>
      <c r="CH901" s="763">
        <f t="shared" si="651"/>
        <v>0</v>
      </c>
      <c r="CI901" s="763">
        <f t="shared" si="651"/>
        <v>0</v>
      </c>
      <c r="CJ901" s="763">
        <f t="shared" si="651"/>
        <v>0</v>
      </c>
      <c r="CK901" s="763">
        <f t="shared" si="651"/>
        <v>0</v>
      </c>
      <c r="CL901" s="763">
        <f t="shared" si="651"/>
        <v>0</v>
      </c>
      <c r="CM901" s="763">
        <f t="shared" si="651"/>
        <v>0</v>
      </c>
      <c r="CN901" s="763">
        <f t="shared" si="651"/>
        <v>0</v>
      </c>
      <c r="CO901" s="763">
        <f t="shared" si="651"/>
        <v>0</v>
      </c>
      <c r="CP901" s="763">
        <f t="shared" si="651"/>
        <v>0</v>
      </c>
      <c r="CQ901" s="763">
        <f t="shared" si="651"/>
        <v>0</v>
      </c>
      <c r="CR901" s="763">
        <f t="shared" si="651"/>
        <v>0</v>
      </c>
      <c r="CS901" s="763">
        <f t="shared" si="651"/>
        <v>0</v>
      </c>
      <c r="CT901" s="763">
        <f t="shared" si="650"/>
        <v>0</v>
      </c>
      <c r="CU901" s="763">
        <f t="shared" si="650"/>
        <v>0</v>
      </c>
      <c r="CV901" s="763">
        <f t="shared" si="650"/>
        <v>0</v>
      </c>
      <c r="CW901" s="763">
        <f t="shared" si="650"/>
        <v>0</v>
      </c>
      <c r="CX901" s="763">
        <f t="shared" si="650"/>
        <v>0</v>
      </c>
      <c r="CY901" s="763">
        <f t="shared" si="650"/>
        <v>0</v>
      </c>
      <c r="CZ901" s="763">
        <f t="shared" si="650"/>
        <v>0</v>
      </c>
      <c r="DA901" s="763">
        <f t="shared" si="650"/>
        <v>0</v>
      </c>
      <c r="DB901" s="763">
        <f t="shared" si="650"/>
        <v>0</v>
      </c>
      <c r="DC901" s="763">
        <f t="shared" si="650"/>
        <v>0</v>
      </c>
      <c r="DD901" s="763">
        <f t="shared" si="650"/>
        <v>0</v>
      </c>
      <c r="DE901" s="763">
        <f t="shared" si="650"/>
        <v>0</v>
      </c>
      <c r="DF901" s="763">
        <f t="shared" si="650"/>
        <v>0</v>
      </c>
      <c r="DG901" s="763">
        <f t="shared" si="650"/>
        <v>0</v>
      </c>
      <c r="DH901" s="763">
        <f t="shared" si="650"/>
        <v>0</v>
      </c>
      <c r="DI901" s="763">
        <f t="shared" si="650"/>
        <v>0</v>
      </c>
      <c r="DJ901" s="763">
        <f t="shared" si="650"/>
        <v>0</v>
      </c>
      <c r="DK901" s="763">
        <f t="shared" si="650"/>
        <v>0</v>
      </c>
      <c r="DL901" s="763">
        <f t="shared" si="650"/>
        <v>0</v>
      </c>
      <c r="DM901" s="763">
        <f t="shared" si="650"/>
        <v>0</v>
      </c>
      <c r="DN901" s="763">
        <f t="shared" si="650"/>
        <v>0</v>
      </c>
      <c r="DO901" s="763">
        <f t="shared" si="650"/>
        <v>0</v>
      </c>
      <c r="DP901" s="763">
        <f t="shared" si="650"/>
        <v>0</v>
      </c>
      <c r="DQ901" s="763">
        <f t="shared" si="650"/>
        <v>0</v>
      </c>
      <c r="DR901" s="763">
        <f t="shared" si="650"/>
        <v>0</v>
      </c>
      <c r="DS901" s="763">
        <f t="shared" si="650"/>
        <v>0</v>
      </c>
      <c r="DT901" s="763">
        <f t="shared" si="650"/>
        <v>0</v>
      </c>
      <c r="DU901" s="763">
        <f t="shared" si="650"/>
        <v>0</v>
      </c>
      <c r="DV901" s="763">
        <f t="shared" si="650"/>
        <v>0</v>
      </c>
      <c r="DW901" s="763">
        <f t="shared" si="650"/>
        <v>0</v>
      </c>
      <c r="DX901" s="763">
        <f t="shared" si="650"/>
        <v>0</v>
      </c>
      <c r="DY901" s="763">
        <f t="shared" si="650"/>
        <v>0</v>
      </c>
      <c r="DZ901" s="763">
        <f t="shared" si="650"/>
        <v>0</v>
      </c>
      <c r="EA901" s="763">
        <f t="shared" si="650"/>
        <v>0</v>
      </c>
      <c r="EB901" s="763">
        <f t="shared" si="650"/>
        <v>0</v>
      </c>
      <c r="EC901" s="763">
        <f t="shared" si="650"/>
        <v>0</v>
      </c>
      <c r="ED901" s="763">
        <f t="shared" si="650"/>
        <v>0</v>
      </c>
      <c r="EE901" s="763">
        <f t="shared" si="650"/>
        <v>0</v>
      </c>
      <c r="EF901" s="763">
        <f t="shared" si="650"/>
        <v>0</v>
      </c>
      <c r="EG901" s="763">
        <f t="shared" si="650"/>
        <v>0</v>
      </c>
      <c r="EH901" s="763">
        <f t="shared" si="650"/>
        <v>0</v>
      </c>
      <c r="EI901" s="763">
        <f t="shared" si="650"/>
        <v>0</v>
      </c>
      <c r="EJ901" s="763">
        <f t="shared" si="650"/>
        <v>0</v>
      </c>
      <c r="EK901" s="763">
        <f t="shared" si="650"/>
        <v>0</v>
      </c>
      <c r="EL901" s="763">
        <f t="shared" si="650"/>
        <v>0</v>
      </c>
      <c r="EM901" s="763">
        <f t="shared" si="650"/>
        <v>0</v>
      </c>
      <c r="EN901" s="763">
        <f t="shared" si="650"/>
        <v>0</v>
      </c>
      <c r="EO901" s="763">
        <f t="shared" si="650"/>
        <v>0</v>
      </c>
      <c r="EP901" s="763">
        <f t="shared" si="650"/>
        <v>0</v>
      </c>
      <c r="EQ901" s="763">
        <f t="shared" si="650"/>
        <v>0</v>
      </c>
      <c r="ER901" s="763">
        <f t="shared" si="650"/>
        <v>0</v>
      </c>
      <c r="ES901" s="763">
        <f t="shared" si="650"/>
        <v>0</v>
      </c>
      <c r="ET901" s="763">
        <f t="shared" si="650"/>
        <v>0</v>
      </c>
      <c r="EU901" s="763">
        <f t="shared" si="650"/>
        <v>0</v>
      </c>
      <c r="EV901" s="763">
        <f t="shared" si="650"/>
        <v>0</v>
      </c>
    </row>
    <row r="902" spans="1:152" s="12" customFormat="1" ht="12" customHeight="1" x14ac:dyDescent="0.35">
      <c r="A902" s="84"/>
      <c r="B902" s="13"/>
      <c r="C902" s="13"/>
      <c r="D902" s="13"/>
      <c r="E902" s="13"/>
      <c r="F902" s="13"/>
      <c r="G902" s="1804"/>
      <c r="H902" s="1183"/>
      <c r="I902" s="1804"/>
      <c r="J902" s="1804"/>
      <c r="K902" s="141"/>
      <c r="L902" s="141"/>
      <c r="M902" s="141"/>
      <c r="N902" s="141"/>
      <c r="O902" s="141"/>
      <c r="P902" s="141"/>
      <c r="Q902" s="141"/>
      <c r="R902" s="31"/>
      <c r="S902" s="36"/>
      <c r="T902" s="376"/>
      <c r="U902" s="29"/>
      <c r="V902" s="29"/>
      <c r="W902" s="377"/>
      <c r="X902" s="376"/>
      <c r="Y902" s="29"/>
      <c r="Z902" s="29"/>
      <c r="AA902" s="29" t="str">
        <f t="shared" si="643"/>
        <v>Investor #8</v>
      </c>
      <c r="AB902" s="763">
        <f t="shared" si="644"/>
        <v>0</v>
      </c>
      <c r="AC902" s="29">
        <f t="shared" si="645"/>
        <v>8</v>
      </c>
      <c r="AD902" s="29"/>
      <c r="AE902" s="376" t="str">
        <f t="shared" si="646"/>
        <v>Investor #8</v>
      </c>
      <c r="AF902" s="376"/>
      <c r="AG902" s="763">
        <f t="shared" si="640"/>
        <v>0</v>
      </c>
      <c r="AH902" s="763">
        <f t="shared" si="651"/>
        <v>0</v>
      </c>
      <c r="AI902" s="763">
        <f t="shared" si="651"/>
        <v>0</v>
      </c>
      <c r="AJ902" s="763">
        <f t="shared" si="651"/>
        <v>0</v>
      </c>
      <c r="AK902" s="763">
        <f t="shared" si="651"/>
        <v>0</v>
      </c>
      <c r="AL902" s="763">
        <f t="shared" si="651"/>
        <v>0</v>
      </c>
      <c r="AM902" s="763">
        <f t="shared" si="651"/>
        <v>0</v>
      </c>
      <c r="AN902" s="763">
        <f t="shared" si="651"/>
        <v>0</v>
      </c>
      <c r="AO902" s="763">
        <f t="shared" si="651"/>
        <v>0</v>
      </c>
      <c r="AP902" s="763">
        <f t="shared" si="651"/>
        <v>0</v>
      </c>
      <c r="AQ902" s="763">
        <f t="shared" si="651"/>
        <v>0</v>
      </c>
      <c r="AR902" s="763">
        <f t="shared" si="651"/>
        <v>0</v>
      </c>
      <c r="AS902" s="763">
        <f t="shared" si="651"/>
        <v>0</v>
      </c>
      <c r="AT902" s="763">
        <f t="shared" si="651"/>
        <v>0</v>
      </c>
      <c r="AU902" s="763">
        <f t="shared" si="651"/>
        <v>0</v>
      </c>
      <c r="AV902" s="763">
        <f t="shared" si="651"/>
        <v>0</v>
      </c>
      <c r="AW902" s="763">
        <f t="shared" si="651"/>
        <v>0</v>
      </c>
      <c r="AX902" s="763">
        <f t="shared" si="651"/>
        <v>0</v>
      </c>
      <c r="AY902" s="763">
        <f t="shared" si="651"/>
        <v>0</v>
      </c>
      <c r="AZ902" s="763">
        <f t="shared" si="651"/>
        <v>0</v>
      </c>
      <c r="BA902" s="763">
        <f t="shared" si="651"/>
        <v>0</v>
      </c>
      <c r="BB902" s="763">
        <f t="shared" si="651"/>
        <v>0</v>
      </c>
      <c r="BC902" s="763">
        <f t="shared" si="651"/>
        <v>0</v>
      </c>
      <c r="BD902" s="763">
        <f t="shared" si="651"/>
        <v>0</v>
      </c>
      <c r="BE902" s="763">
        <f t="shared" si="651"/>
        <v>0</v>
      </c>
      <c r="BF902" s="763">
        <f t="shared" si="651"/>
        <v>0</v>
      </c>
      <c r="BG902" s="763">
        <f t="shared" si="651"/>
        <v>0</v>
      </c>
      <c r="BH902" s="763">
        <f t="shared" si="651"/>
        <v>0</v>
      </c>
      <c r="BI902" s="763">
        <f t="shared" si="651"/>
        <v>0</v>
      </c>
      <c r="BJ902" s="763">
        <f t="shared" si="651"/>
        <v>0</v>
      </c>
      <c r="BK902" s="763">
        <f t="shared" si="651"/>
        <v>0</v>
      </c>
      <c r="BL902" s="763">
        <f t="shared" si="651"/>
        <v>0</v>
      </c>
      <c r="BM902" s="763">
        <f t="shared" si="651"/>
        <v>0</v>
      </c>
      <c r="BN902" s="763">
        <f t="shared" si="651"/>
        <v>0</v>
      </c>
      <c r="BO902" s="763">
        <f t="shared" si="651"/>
        <v>0</v>
      </c>
      <c r="BP902" s="763">
        <f t="shared" si="651"/>
        <v>0</v>
      </c>
      <c r="BQ902" s="763">
        <f t="shared" si="651"/>
        <v>0</v>
      </c>
      <c r="BR902" s="763">
        <f t="shared" si="651"/>
        <v>0</v>
      </c>
      <c r="BS902" s="763">
        <f t="shared" si="651"/>
        <v>0</v>
      </c>
      <c r="BT902" s="763">
        <f t="shared" si="651"/>
        <v>0</v>
      </c>
      <c r="BU902" s="763">
        <f t="shared" si="651"/>
        <v>0</v>
      </c>
      <c r="BV902" s="763">
        <f t="shared" si="651"/>
        <v>0</v>
      </c>
      <c r="BW902" s="763">
        <f t="shared" si="651"/>
        <v>0</v>
      </c>
      <c r="BX902" s="763">
        <f t="shared" si="651"/>
        <v>0</v>
      </c>
      <c r="BY902" s="763">
        <f t="shared" si="651"/>
        <v>0</v>
      </c>
      <c r="BZ902" s="763">
        <f t="shared" si="651"/>
        <v>0</v>
      </c>
      <c r="CA902" s="763">
        <f t="shared" si="651"/>
        <v>0</v>
      </c>
      <c r="CB902" s="763">
        <f t="shared" si="651"/>
        <v>0</v>
      </c>
      <c r="CC902" s="763">
        <f t="shared" si="651"/>
        <v>0</v>
      </c>
      <c r="CD902" s="763">
        <f t="shared" si="651"/>
        <v>0</v>
      </c>
      <c r="CE902" s="763">
        <f t="shared" si="651"/>
        <v>0</v>
      </c>
      <c r="CF902" s="763">
        <f t="shared" si="651"/>
        <v>0</v>
      </c>
      <c r="CG902" s="763">
        <f t="shared" si="651"/>
        <v>0</v>
      </c>
      <c r="CH902" s="763">
        <f t="shared" si="651"/>
        <v>0</v>
      </c>
      <c r="CI902" s="763">
        <f t="shared" si="651"/>
        <v>0</v>
      </c>
      <c r="CJ902" s="763">
        <f t="shared" si="651"/>
        <v>0</v>
      </c>
      <c r="CK902" s="763">
        <f t="shared" si="651"/>
        <v>0</v>
      </c>
      <c r="CL902" s="763">
        <f t="shared" si="651"/>
        <v>0</v>
      </c>
      <c r="CM902" s="763">
        <f t="shared" si="651"/>
        <v>0</v>
      </c>
      <c r="CN902" s="763">
        <f t="shared" si="651"/>
        <v>0</v>
      </c>
      <c r="CO902" s="763">
        <f t="shared" si="651"/>
        <v>0</v>
      </c>
      <c r="CP902" s="763">
        <f t="shared" si="651"/>
        <v>0</v>
      </c>
      <c r="CQ902" s="763">
        <f t="shared" si="651"/>
        <v>0</v>
      </c>
      <c r="CR902" s="763">
        <f t="shared" si="651"/>
        <v>0</v>
      </c>
      <c r="CS902" s="763">
        <f t="shared" si="651"/>
        <v>0</v>
      </c>
      <c r="CT902" s="763">
        <f t="shared" si="650"/>
        <v>0</v>
      </c>
      <c r="CU902" s="763">
        <f t="shared" si="650"/>
        <v>0</v>
      </c>
      <c r="CV902" s="763">
        <f t="shared" si="650"/>
        <v>0</v>
      </c>
      <c r="CW902" s="763">
        <f t="shared" si="650"/>
        <v>0</v>
      </c>
      <c r="CX902" s="763">
        <f t="shared" si="650"/>
        <v>0</v>
      </c>
      <c r="CY902" s="763">
        <f t="shared" si="650"/>
        <v>0</v>
      </c>
      <c r="CZ902" s="763">
        <f t="shared" si="650"/>
        <v>0</v>
      </c>
      <c r="DA902" s="763">
        <f t="shared" si="650"/>
        <v>0</v>
      </c>
      <c r="DB902" s="763">
        <f t="shared" si="650"/>
        <v>0</v>
      </c>
      <c r="DC902" s="763">
        <f t="shared" si="650"/>
        <v>0</v>
      </c>
      <c r="DD902" s="763">
        <f t="shared" si="650"/>
        <v>0</v>
      </c>
      <c r="DE902" s="763">
        <f t="shared" si="650"/>
        <v>0</v>
      </c>
      <c r="DF902" s="763">
        <f t="shared" si="650"/>
        <v>0</v>
      </c>
      <c r="DG902" s="763">
        <f t="shared" si="650"/>
        <v>0</v>
      </c>
      <c r="DH902" s="763">
        <f t="shared" si="650"/>
        <v>0</v>
      </c>
      <c r="DI902" s="763">
        <f t="shared" si="650"/>
        <v>0</v>
      </c>
      <c r="DJ902" s="763">
        <f t="shared" si="650"/>
        <v>0</v>
      </c>
      <c r="DK902" s="763">
        <f t="shared" si="650"/>
        <v>0</v>
      </c>
      <c r="DL902" s="763">
        <f t="shared" si="650"/>
        <v>0</v>
      </c>
      <c r="DM902" s="763">
        <f t="shared" si="650"/>
        <v>0</v>
      </c>
      <c r="DN902" s="763">
        <f t="shared" si="650"/>
        <v>0</v>
      </c>
      <c r="DO902" s="763">
        <f t="shared" si="650"/>
        <v>0</v>
      </c>
      <c r="DP902" s="763">
        <f t="shared" si="650"/>
        <v>0</v>
      </c>
      <c r="DQ902" s="763">
        <f t="shared" si="650"/>
        <v>0</v>
      </c>
      <c r="DR902" s="763">
        <f t="shared" si="650"/>
        <v>0</v>
      </c>
      <c r="DS902" s="763">
        <f t="shared" si="650"/>
        <v>0</v>
      </c>
      <c r="DT902" s="763">
        <f t="shared" si="650"/>
        <v>0</v>
      </c>
      <c r="DU902" s="763">
        <f t="shared" si="650"/>
        <v>0</v>
      </c>
      <c r="DV902" s="763">
        <f t="shared" si="650"/>
        <v>0</v>
      </c>
      <c r="DW902" s="763">
        <f t="shared" si="650"/>
        <v>0</v>
      </c>
      <c r="DX902" s="763">
        <f t="shared" si="650"/>
        <v>0</v>
      </c>
      <c r="DY902" s="763">
        <f t="shared" si="650"/>
        <v>0</v>
      </c>
      <c r="DZ902" s="763">
        <f t="shared" si="650"/>
        <v>0</v>
      </c>
      <c r="EA902" s="763">
        <f t="shared" si="650"/>
        <v>0</v>
      </c>
      <c r="EB902" s="763">
        <f t="shared" si="650"/>
        <v>0</v>
      </c>
      <c r="EC902" s="763">
        <f t="shared" si="650"/>
        <v>0</v>
      </c>
      <c r="ED902" s="763">
        <f t="shared" si="650"/>
        <v>0</v>
      </c>
      <c r="EE902" s="763">
        <f t="shared" si="650"/>
        <v>0</v>
      </c>
      <c r="EF902" s="763">
        <f t="shared" si="650"/>
        <v>0</v>
      </c>
      <c r="EG902" s="763">
        <f t="shared" si="650"/>
        <v>0</v>
      </c>
      <c r="EH902" s="763">
        <f t="shared" si="650"/>
        <v>0</v>
      </c>
      <c r="EI902" s="763">
        <f t="shared" si="650"/>
        <v>0</v>
      </c>
      <c r="EJ902" s="763">
        <f t="shared" si="650"/>
        <v>0</v>
      </c>
      <c r="EK902" s="763">
        <f t="shared" si="650"/>
        <v>0</v>
      </c>
      <c r="EL902" s="763">
        <f t="shared" si="650"/>
        <v>0</v>
      </c>
      <c r="EM902" s="763">
        <f t="shared" si="650"/>
        <v>0</v>
      </c>
      <c r="EN902" s="763">
        <f t="shared" si="650"/>
        <v>0</v>
      </c>
      <c r="EO902" s="763">
        <f t="shared" si="650"/>
        <v>0</v>
      </c>
      <c r="EP902" s="763">
        <f t="shared" si="650"/>
        <v>0</v>
      </c>
      <c r="EQ902" s="763">
        <f t="shared" si="650"/>
        <v>0</v>
      </c>
      <c r="ER902" s="763">
        <f t="shared" si="650"/>
        <v>0</v>
      </c>
      <c r="ES902" s="763">
        <f t="shared" si="650"/>
        <v>0</v>
      </c>
      <c r="ET902" s="763">
        <f t="shared" si="650"/>
        <v>0</v>
      </c>
      <c r="EU902" s="763">
        <f t="shared" si="650"/>
        <v>0</v>
      </c>
      <c r="EV902" s="763">
        <f t="shared" si="650"/>
        <v>0</v>
      </c>
    </row>
    <row r="903" spans="1:152" s="12" customFormat="1" ht="12" customHeight="1" x14ac:dyDescent="0.35">
      <c r="A903" s="84"/>
      <c r="B903" s="13"/>
      <c r="C903" s="13"/>
      <c r="D903" s="13"/>
      <c r="E903" s="13"/>
      <c r="F903" s="13"/>
      <c r="G903" s="1804"/>
      <c r="H903" s="1183"/>
      <c r="I903" s="1804"/>
      <c r="J903" s="1804"/>
      <c r="K903" s="141"/>
      <c r="L903" s="141"/>
      <c r="M903" s="141"/>
      <c r="N903" s="141"/>
      <c r="O903" s="141"/>
      <c r="P903" s="141"/>
      <c r="Q903" s="141"/>
      <c r="R903" s="31"/>
      <c r="S903" s="36"/>
      <c r="T903" s="376"/>
      <c r="U903" s="29"/>
      <c r="V903" s="29"/>
      <c r="W903" s="377"/>
      <c r="X903" s="376"/>
      <c r="Y903" s="29"/>
      <c r="Z903" s="29"/>
      <c r="AA903" s="29" t="str">
        <f t="shared" si="643"/>
        <v>Investor #9</v>
      </c>
      <c r="AB903" s="763">
        <f t="shared" si="644"/>
        <v>0</v>
      </c>
      <c r="AC903" s="29">
        <f t="shared" si="645"/>
        <v>9</v>
      </c>
      <c r="AD903" s="29"/>
      <c r="AE903" s="376" t="str">
        <f t="shared" si="646"/>
        <v>Investor #9</v>
      </c>
      <c r="AF903" s="376"/>
      <c r="AG903" s="763">
        <f t="shared" si="640"/>
        <v>0</v>
      </c>
      <c r="AH903" s="763">
        <f t="shared" si="651"/>
        <v>0</v>
      </c>
      <c r="AI903" s="763">
        <f t="shared" si="651"/>
        <v>0</v>
      </c>
      <c r="AJ903" s="763">
        <f t="shared" si="651"/>
        <v>0</v>
      </c>
      <c r="AK903" s="763">
        <f t="shared" si="651"/>
        <v>0</v>
      </c>
      <c r="AL903" s="763">
        <f t="shared" si="651"/>
        <v>0</v>
      </c>
      <c r="AM903" s="763">
        <f t="shared" si="651"/>
        <v>0</v>
      </c>
      <c r="AN903" s="763">
        <f t="shared" si="651"/>
        <v>0</v>
      </c>
      <c r="AO903" s="763">
        <f t="shared" si="651"/>
        <v>0</v>
      </c>
      <c r="AP903" s="763">
        <f t="shared" si="651"/>
        <v>0</v>
      </c>
      <c r="AQ903" s="763">
        <f t="shared" si="651"/>
        <v>0</v>
      </c>
      <c r="AR903" s="763">
        <f t="shared" si="651"/>
        <v>0</v>
      </c>
      <c r="AS903" s="763">
        <f t="shared" si="651"/>
        <v>0</v>
      </c>
      <c r="AT903" s="763">
        <f t="shared" si="651"/>
        <v>0</v>
      </c>
      <c r="AU903" s="763">
        <f t="shared" si="651"/>
        <v>0</v>
      </c>
      <c r="AV903" s="763">
        <f t="shared" si="651"/>
        <v>0</v>
      </c>
      <c r="AW903" s="763">
        <f t="shared" si="651"/>
        <v>0</v>
      </c>
      <c r="AX903" s="763">
        <f t="shared" si="651"/>
        <v>0</v>
      </c>
      <c r="AY903" s="763">
        <f t="shared" si="651"/>
        <v>0</v>
      </c>
      <c r="AZ903" s="763">
        <f t="shared" si="651"/>
        <v>0</v>
      </c>
      <c r="BA903" s="763">
        <f t="shared" si="651"/>
        <v>0</v>
      </c>
      <c r="BB903" s="763">
        <f t="shared" si="651"/>
        <v>0</v>
      </c>
      <c r="BC903" s="763">
        <f t="shared" si="651"/>
        <v>0</v>
      </c>
      <c r="BD903" s="763">
        <f t="shared" si="651"/>
        <v>0</v>
      </c>
      <c r="BE903" s="763">
        <f t="shared" si="651"/>
        <v>0</v>
      </c>
      <c r="BF903" s="763">
        <f t="shared" si="651"/>
        <v>0</v>
      </c>
      <c r="BG903" s="763">
        <f t="shared" si="651"/>
        <v>0</v>
      </c>
      <c r="BH903" s="763">
        <f t="shared" si="651"/>
        <v>0</v>
      </c>
      <c r="BI903" s="763">
        <f t="shared" si="651"/>
        <v>0</v>
      </c>
      <c r="BJ903" s="763">
        <f t="shared" si="651"/>
        <v>0</v>
      </c>
      <c r="BK903" s="763">
        <f t="shared" si="651"/>
        <v>0</v>
      </c>
      <c r="BL903" s="763">
        <f t="shared" si="651"/>
        <v>0</v>
      </c>
      <c r="BM903" s="763">
        <f t="shared" si="651"/>
        <v>0</v>
      </c>
      <c r="BN903" s="763">
        <f t="shared" si="651"/>
        <v>0</v>
      </c>
      <c r="BO903" s="763">
        <f t="shared" si="651"/>
        <v>0</v>
      </c>
      <c r="BP903" s="763">
        <f t="shared" si="651"/>
        <v>0</v>
      </c>
      <c r="BQ903" s="763">
        <f t="shared" si="651"/>
        <v>0</v>
      </c>
      <c r="BR903" s="763">
        <f t="shared" si="651"/>
        <v>0</v>
      </c>
      <c r="BS903" s="763">
        <f t="shared" si="651"/>
        <v>0</v>
      </c>
      <c r="BT903" s="763">
        <f t="shared" si="651"/>
        <v>0</v>
      </c>
      <c r="BU903" s="763">
        <f t="shared" si="651"/>
        <v>0</v>
      </c>
      <c r="BV903" s="763">
        <f t="shared" si="651"/>
        <v>0</v>
      </c>
      <c r="BW903" s="763">
        <f t="shared" si="651"/>
        <v>0</v>
      </c>
      <c r="BX903" s="763">
        <f t="shared" si="651"/>
        <v>0</v>
      </c>
      <c r="BY903" s="763">
        <f t="shared" si="651"/>
        <v>0</v>
      </c>
      <c r="BZ903" s="763">
        <f t="shared" si="651"/>
        <v>0</v>
      </c>
      <c r="CA903" s="763">
        <f t="shared" si="651"/>
        <v>0</v>
      </c>
      <c r="CB903" s="763">
        <f t="shared" si="651"/>
        <v>0</v>
      </c>
      <c r="CC903" s="763">
        <f t="shared" si="651"/>
        <v>0</v>
      </c>
      <c r="CD903" s="763">
        <f t="shared" si="651"/>
        <v>0</v>
      </c>
      <c r="CE903" s="763">
        <f t="shared" si="651"/>
        <v>0</v>
      </c>
      <c r="CF903" s="763">
        <f t="shared" si="651"/>
        <v>0</v>
      </c>
      <c r="CG903" s="763">
        <f t="shared" si="651"/>
        <v>0</v>
      </c>
      <c r="CH903" s="763">
        <f t="shared" si="651"/>
        <v>0</v>
      </c>
      <c r="CI903" s="763">
        <f t="shared" si="651"/>
        <v>0</v>
      </c>
      <c r="CJ903" s="763">
        <f t="shared" si="651"/>
        <v>0</v>
      </c>
      <c r="CK903" s="763">
        <f t="shared" si="651"/>
        <v>0</v>
      </c>
      <c r="CL903" s="763">
        <f t="shared" si="651"/>
        <v>0</v>
      </c>
      <c r="CM903" s="763">
        <f t="shared" si="651"/>
        <v>0</v>
      </c>
      <c r="CN903" s="763">
        <f t="shared" si="651"/>
        <v>0</v>
      </c>
      <c r="CO903" s="763">
        <f t="shared" si="651"/>
        <v>0</v>
      </c>
      <c r="CP903" s="763">
        <f t="shared" si="651"/>
        <v>0</v>
      </c>
      <c r="CQ903" s="763">
        <f t="shared" si="651"/>
        <v>0</v>
      </c>
      <c r="CR903" s="763">
        <f t="shared" si="651"/>
        <v>0</v>
      </c>
      <c r="CS903" s="763">
        <f t="shared" si="651"/>
        <v>0</v>
      </c>
      <c r="CT903" s="763">
        <f t="shared" si="650"/>
        <v>0</v>
      </c>
      <c r="CU903" s="763">
        <f t="shared" si="650"/>
        <v>0</v>
      </c>
      <c r="CV903" s="763">
        <f t="shared" si="650"/>
        <v>0</v>
      </c>
      <c r="CW903" s="763">
        <f t="shared" si="650"/>
        <v>0</v>
      </c>
      <c r="CX903" s="763">
        <f t="shared" si="650"/>
        <v>0</v>
      </c>
      <c r="CY903" s="763">
        <f t="shared" si="650"/>
        <v>0</v>
      </c>
      <c r="CZ903" s="763">
        <f t="shared" si="650"/>
        <v>0</v>
      </c>
      <c r="DA903" s="763">
        <f t="shared" si="650"/>
        <v>0</v>
      </c>
      <c r="DB903" s="763">
        <f t="shared" si="650"/>
        <v>0</v>
      </c>
      <c r="DC903" s="763">
        <f t="shared" si="650"/>
        <v>0</v>
      </c>
      <c r="DD903" s="763">
        <f t="shared" si="650"/>
        <v>0</v>
      </c>
      <c r="DE903" s="763">
        <f t="shared" si="650"/>
        <v>0</v>
      </c>
      <c r="DF903" s="763">
        <f t="shared" si="650"/>
        <v>0</v>
      </c>
      <c r="DG903" s="763">
        <f t="shared" si="650"/>
        <v>0</v>
      </c>
      <c r="DH903" s="763">
        <f t="shared" si="650"/>
        <v>0</v>
      </c>
      <c r="DI903" s="763">
        <f t="shared" si="650"/>
        <v>0</v>
      </c>
      <c r="DJ903" s="763">
        <f t="shared" si="650"/>
        <v>0</v>
      </c>
      <c r="DK903" s="763">
        <f t="shared" si="650"/>
        <v>0</v>
      </c>
      <c r="DL903" s="763">
        <f t="shared" si="650"/>
        <v>0</v>
      </c>
      <c r="DM903" s="763">
        <f t="shared" si="650"/>
        <v>0</v>
      </c>
      <c r="DN903" s="763">
        <f t="shared" si="650"/>
        <v>0</v>
      </c>
      <c r="DO903" s="763">
        <f t="shared" si="650"/>
        <v>0</v>
      </c>
      <c r="DP903" s="763">
        <f t="shared" si="650"/>
        <v>0</v>
      </c>
      <c r="DQ903" s="763">
        <f t="shared" si="650"/>
        <v>0</v>
      </c>
      <c r="DR903" s="763">
        <f t="shared" si="650"/>
        <v>0</v>
      </c>
      <c r="DS903" s="763">
        <f t="shared" si="650"/>
        <v>0</v>
      </c>
      <c r="DT903" s="763">
        <f t="shared" si="650"/>
        <v>0</v>
      </c>
      <c r="DU903" s="763">
        <f t="shared" si="650"/>
        <v>0</v>
      </c>
      <c r="DV903" s="763">
        <f t="shared" si="650"/>
        <v>0</v>
      </c>
      <c r="DW903" s="763">
        <f t="shared" si="650"/>
        <v>0</v>
      </c>
      <c r="DX903" s="763">
        <f t="shared" si="650"/>
        <v>0</v>
      </c>
      <c r="DY903" s="763">
        <f t="shared" si="650"/>
        <v>0</v>
      </c>
      <c r="DZ903" s="763">
        <f t="shared" si="650"/>
        <v>0</v>
      </c>
      <c r="EA903" s="763">
        <f t="shared" si="650"/>
        <v>0</v>
      </c>
      <c r="EB903" s="763">
        <f t="shared" si="650"/>
        <v>0</v>
      </c>
      <c r="EC903" s="763">
        <f t="shared" si="650"/>
        <v>0</v>
      </c>
      <c r="ED903" s="763">
        <f t="shared" si="650"/>
        <v>0</v>
      </c>
      <c r="EE903" s="763">
        <f t="shared" si="650"/>
        <v>0</v>
      </c>
      <c r="EF903" s="763">
        <f t="shared" si="650"/>
        <v>0</v>
      </c>
      <c r="EG903" s="763">
        <f t="shared" si="650"/>
        <v>0</v>
      </c>
      <c r="EH903" s="763">
        <f t="shared" si="650"/>
        <v>0</v>
      </c>
      <c r="EI903" s="763">
        <f t="shared" si="650"/>
        <v>0</v>
      </c>
      <c r="EJ903" s="763">
        <f t="shared" si="650"/>
        <v>0</v>
      </c>
      <c r="EK903" s="763">
        <f t="shared" si="650"/>
        <v>0</v>
      </c>
      <c r="EL903" s="763">
        <f t="shared" si="650"/>
        <v>0</v>
      </c>
      <c r="EM903" s="763">
        <f t="shared" si="650"/>
        <v>0</v>
      </c>
      <c r="EN903" s="763">
        <f t="shared" si="650"/>
        <v>0</v>
      </c>
      <c r="EO903" s="763">
        <f t="shared" si="650"/>
        <v>0</v>
      </c>
      <c r="EP903" s="763">
        <f t="shared" si="650"/>
        <v>0</v>
      </c>
      <c r="EQ903" s="763">
        <f t="shared" si="650"/>
        <v>0</v>
      </c>
      <c r="ER903" s="763">
        <f t="shared" si="650"/>
        <v>0</v>
      </c>
      <c r="ES903" s="763">
        <f t="shared" si="650"/>
        <v>0</v>
      </c>
      <c r="ET903" s="763">
        <f t="shared" si="650"/>
        <v>0</v>
      </c>
      <c r="EU903" s="763">
        <f t="shared" si="650"/>
        <v>0</v>
      </c>
      <c r="EV903" s="763">
        <f t="shared" si="650"/>
        <v>0</v>
      </c>
    </row>
    <row r="904" spans="1:152" s="12" customFormat="1" ht="12" customHeight="1" x14ac:dyDescent="0.35">
      <c r="A904" s="84"/>
      <c r="B904" s="13"/>
      <c r="C904" s="13"/>
      <c r="D904" s="13"/>
      <c r="E904" s="13"/>
      <c r="F904" s="13"/>
      <c r="G904" s="1804"/>
      <c r="H904" s="1183"/>
      <c r="I904" s="1804"/>
      <c r="J904" s="1804"/>
      <c r="K904" s="141"/>
      <c r="L904" s="141"/>
      <c r="M904" s="141"/>
      <c r="N904" s="141"/>
      <c r="O904" s="141"/>
      <c r="P904" s="141"/>
      <c r="Q904" s="141"/>
      <c r="R904" s="31"/>
      <c r="S904" s="36"/>
      <c r="T904" s="376"/>
      <c r="U904" s="29"/>
      <c r="V904" s="29"/>
      <c r="W904" s="377"/>
      <c r="X904" s="376"/>
      <c r="Y904" s="29"/>
      <c r="Z904" s="29"/>
      <c r="AA904" s="29" t="str">
        <f t="shared" si="643"/>
        <v>Investor #10</v>
      </c>
      <c r="AB904" s="763">
        <f t="shared" si="644"/>
        <v>0</v>
      </c>
      <c r="AC904" s="29">
        <f t="shared" si="645"/>
        <v>10</v>
      </c>
      <c r="AD904" s="29"/>
      <c r="AE904" s="376" t="str">
        <f t="shared" si="646"/>
        <v>Investor #10</v>
      </c>
      <c r="AF904" s="376"/>
      <c r="AG904" s="763">
        <f t="shared" si="640"/>
        <v>0</v>
      </c>
      <c r="AH904" s="763">
        <f t="shared" si="651"/>
        <v>0</v>
      </c>
      <c r="AI904" s="763">
        <f t="shared" si="651"/>
        <v>0</v>
      </c>
      <c r="AJ904" s="763">
        <f t="shared" si="651"/>
        <v>0</v>
      </c>
      <c r="AK904" s="763">
        <f t="shared" si="651"/>
        <v>0</v>
      </c>
      <c r="AL904" s="763">
        <f t="shared" si="651"/>
        <v>0</v>
      </c>
      <c r="AM904" s="763">
        <f t="shared" si="651"/>
        <v>0</v>
      </c>
      <c r="AN904" s="763">
        <f t="shared" si="651"/>
        <v>0</v>
      </c>
      <c r="AO904" s="763">
        <f t="shared" si="651"/>
        <v>0</v>
      </c>
      <c r="AP904" s="763">
        <f t="shared" si="651"/>
        <v>0</v>
      </c>
      <c r="AQ904" s="763">
        <f t="shared" si="651"/>
        <v>0</v>
      </c>
      <c r="AR904" s="763">
        <f t="shared" si="651"/>
        <v>0</v>
      </c>
      <c r="AS904" s="763">
        <f t="shared" si="651"/>
        <v>0</v>
      </c>
      <c r="AT904" s="763">
        <f t="shared" si="651"/>
        <v>0</v>
      </c>
      <c r="AU904" s="763">
        <f t="shared" si="651"/>
        <v>0</v>
      </c>
      <c r="AV904" s="763">
        <f t="shared" si="651"/>
        <v>0</v>
      </c>
      <c r="AW904" s="763">
        <f t="shared" si="651"/>
        <v>0</v>
      </c>
      <c r="AX904" s="763">
        <f t="shared" si="651"/>
        <v>0</v>
      </c>
      <c r="AY904" s="763">
        <f t="shared" si="651"/>
        <v>0</v>
      </c>
      <c r="AZ904" s="763">
        <f t="shared" si="651"/>
        <v>0</v>
      </c>
      <c r="BA904" s="763">
        <f t="shared" si="651"/>
        <v>0</v>
      </c>
      <c r="BB904" s="763">
        <f t="shared" si="651"/>
        <v>0</v>
      </c>
      <c r="BC904" s="763">
        <f t="shared" si="651"/>
        <v>0</v>
      </c>
      <c r="BD904" s="763">
        <f t="shared" si="651"/>
        <v>0</v>
      </c>
      <c r="BE904" s="763">
        <f t="shared" si="651"/>
        <v>0</v>
      </c>
      <c r="BF904" s="763">
        <f t="shared" si="651"/>
        <v>0</v>
      </c>
      <c r="BG904" s="763">
        <f t="shared" si="651"/>
        <v>0</v>
      </c>
      <c r="BH904" s="763">
        <f t="shared" si="651"/>
        <v>0</v>
      </c>
      <c r="BI904" s="763">
        <f t="shared" si="651"/>
        <v>0</v>
      </c>
      <c r="BJ904" s="763">
        <f t="shared" si="651"/>
        <v>0</v>
      </c>
      <c r="BK904" s="763">
        <f t="shared" si="651"/>
        <v>0</v>
      </c>
      <c r="BL904" s="763">
        <f t="shared" si="651"/>
        <v>0</v>
      </c>
      <c r="BM904" s="763">
        <f t="shared" si="651"/>
        <v>0</v>
      </c>
      <c r="BN904" s="763">
        <f t="shared" si="651"/>
        <v>0</v>
      </c>
      <c r="BO904" s="763">
        <f t="shared" si="651"/>
        <v>0</v>
      </c>
      <c r="BP904" s="763">
        <f t="shared" si="651"/>
        <v>0</v>
      </c>
      <c r="BQ904" s="763">
        <f t="shared" si="651"/>
        <v>0</v>
      </c>
      <c r="BR904" s="763">
        <f t="shared" si="651"/>
        <v>0</v>
      </c>
      <c r="BS904" s="763">
        <f t="shared" si="651"/>
        <v>0</v>
      </c>
      <c r="BT904" s="763">
        <f t="shared" si="651"/>
        <v>0</v>
      </c>
      <c r="BU904" s="763">
        <f t="shared" si="651"/>
        <v>0</v>
      </c>
      <c r="BV904" s="763">
        <f t="shared" si="651"/>
        <v>0</v>
      </c>
      <c r="BW904" s="763">
        <f t="shared" si="651"/>
        <v>0</v>
      </c>
      <c r="BX904" s="763">
        <f t="shared" si="651"/>
        <v>0</v>
      </c>
      <c r="BY904" s="763">
        <f t="shared" si="651"/>
        <v>0</v>
      </c>
      <c r="BZ904" s="763">
        <f t="shared" si="651"/>
        <v>0</v>
      </c>
      <c r="CA904" s="763">
        <f t="shared" si="651"/>
        <v>0</v>
      </c>
      <c r="CB904" s="763">
        <f t="shared" si="651"/>
        <v>0</v>
      </c>
      <c r="CC904" s="763">
        <f t="shared" si="651"/>
        <v>0</v>
      </c>
      <c r="CD904" s="763">
        <f t="shared" si="651"/>
        <v>0</v>
      </c>
      <c r="CE904" s="763">
        <f t="shared" si="651"/>
        <v>0</v>
      </c>
      <c r="CF904" s="763">
        <f t="shared" si="651"/>
        <v>0</v>
      </c>
      <c r="CG904" s="763">
        <f t="shared" si="651"/>
        <v>0</v>
      </c>
      <c r="CH904" s="763">
        <f t="shared" si="651"/>
        <v>0</v>
      </c>
      <c r="CI904" s="763">
        <f t="shared" si="651"/>
        <v>0</v>
      </c>
      <c r="CJ904" s="763">
        <f t="shared" si="651"/>
        <v>0</v>
      </c>
      <c r="CK904" s="763">
        <f t="shared" si="651"/>
        <v>0</v>
      </c>
      <c r="CL904" s="763">
        <f t="shared" si="651"/>
        <v>0</v>
      </c>
      <c r="CM904" s="763">
        <f t="shared" si="651"/>
        <v>0</v>
      </c>
      <c r="CN904" s="763">
        <f t="shared" si="651"/>
        <v>0</v>
      </c>
      <c r="CO904" s="763">
        <f t="shared" si="651"/>
        <v>0</v>
      </c>
      <c r="CP904" s="763">
        <f t="shared" si="651"/>
        <v>0</v>
      </c>
      <c r="CQ904" s="763">
        <f t="shared" si="651"/>
        <v>0</v>
      </c>
      <c r="CR904" s="763">
        <f t="shared" si="651"/>
        <v>0</v>
      </c>
      <c r="CS904" s="763">
        <f t="shared" ref="CS904:EV907" si="652">CS884*CS$893</f>
        <v>0</v>
      </c>
      <c r="CT904" s="763">
        <f t="shared" si="652"/>
        <v>0</v>
      </c>
      <c r="CU904" s="763">
        <f t="shared" si="652"/>
        <v>0</v>
      </c>
      <c r="CV904" s="763">
        <f t="shared" si="652"/>
        <v>0</v>
      </c>
      <c r="CW904" s="763">
        <f t="shared" si="652"/>
        <v>0</v>
      </c>
      <c r="CX904" s="763">
        <f t="shared" si="652"/>
        <v>0</v>
      </c>
      <c r="CY904" s="763">
        <f t="shared" si="652"/>
        <v>0</v>
      </c>
      <c r="CZ904" s="763">
        <f t="shared" si="652"/>
        <v>0</v>
      </c>
      <c r="DA904" s="763">
        <f t="shared" si="652"/>
        <v>0</v>
      </c>
      <c r="DB904" s="763">
        <f t="shared" si="652"/>
        <v>0</v>
      </c>
      <c r="DC904" s="763">
        <f t="shared" si="652"/>
        <v>0</v>
      </c>
      <c r="DD904" s="763">
        <f t="shared" si="652"/>
        <v>0</v>
      </c>
      <c r="DE904" s="763">
        <f t="shared" si="652"/>
        <v>0</v>
      </c>
      <c r="DF904" s="763">
        <f t="shared" si="652"/>
        <v>0</v>
      </c>
      <c r="DG904" s="763">
        <f t="shared" si="652"/>
        <v>0</v>
      </c>
      <c r="DH904" s="763">
        <f t="shared" si="652"/>
        <v>0</v>
      </c>
      <c r="DI904" s="763">
        <f t="shared" si="652"/>
        <v>0</v>
      </c>
      <c r="DJ904" s="763">
        <f t="shared" si="652"/>
        <v>0</v>
      </c>
      <c r="DK904" s="763">
        <f t="shared" si="652"/>
        <v>0</v>
      </c>
      <c r="DL904" s="763">
        <f t="shared" si="652"/>
        <v>0</v>
      </c>
      <c r="DM904" s="763">
        <f t="shared" si="652"/>
        <v>0</v>
      </c>
      <c r="DN904" s="763">
        <f t="shared" si="652"/>
        <v>0</v>
      </c>
      <c r="DO904" s="763">
        <f t="shared" si="652"/>
        <v>0</v>
      </c>
      <c r="DP904" s="763">
        <f t="shared" si="652"/>
        <v>0</v>
      </c>
      <c r="DQ904" s="763">
        <f t="shared" si="652"/>
        <v>0</v>
      </c>
      <c r="DR904" s="763">
        <f t="shared" si="652"/>
        <v>0</v>
      </c>
      <c r="DS904" s="763">
        <f t="shared" si="652"/>
        <v>0</v>
      </c>
      <c r="DT904" s="763">
        <f t="shared" si="652"/>
        <v>0</v>
      </c>
      <c r="DU904" s="763">
        <f t="shared" si="652"/>
        <v>0</v>
      </c>
      <c r="DV904" s="763">
        <f t="shared" si="652"/>
        <v>0</v>
      </c>
      <c r="DW904" s="763">
        <f t="shared" si="652"/>
        <v>0</v>
      </c>
      <c r="DX904" s="763">
        <f t="shared" si="652"/>
        <v>0</v>
      </c>
      <c r="DY904" s="763">
        <f t="shared" si="652"/>
        <v>0</v>
      </c>
      <c r="DZ904" s="763">
        <f t="shared" si="652"/>
        <v>0</v>
      </c>
      <c r="EA904" s="763">
        <f t="shared" si="652"/>
        <v>0</v>
      </c>
      <c r="EB904" s="763">
        <f t="shared" si="652"/>
        <v>0</v>
      </c>
      <c r="EC904" s="763">
        <f t="shared" si="652"/>
        <v>0</v>
      </c>
      <c r="ED904" s="763">
        <f t="shared" si="652"/>
        <v>0</v>
      </c>
      <c r="EE904" s="763">
        <f t="shared" si="652"/>
        <v>0</v>
      </c>
      <c r="EF904" s="763">
        <f t="shared" si="652"/>
        <v>0</v>
      </c>
      <c r="EG904" s="763">
        <f t="shared" si="652"/>
        <v>0</v>
      </c>
      <c r="EH904" s="763">
        <f t="shared" si="652"/>
        <v>0</v>
      </c>
      <c r="EI904" s="763">
        <f t="shared" si="652"/>
        <v>0</v>
      </c>
      <c r="EJ904" s="763">
        <f t="shared" si="652"/>
        <v>0</v>
      </c>
      <c r="EK904" s="763">
        <f t="shared" si="652"/>
        <v>0</v>
      </c>
      <c r="EL904" s="763">
        <f t="shared" si="652"/>
        <v>0</v>
      </c>
      <c r="EM904" s="763">
        <f t="shared" si="652"/>
        <v>0</v>
      </c>
      <c r="EN904" s="763">
        <f t="shared" si="652"/>
        <v>0</v>
      </c>
      <c r="EO904" s="763">
        <f t="shared" si="652"/>
        <v>0</v>
      </c>
      <c r="EP904" s="763">
        <f t="shared" si="652"/>
        <v>0</v>
      </c>
      <c r="EQ904" s="763">
        <f t="shared" si="652"/>
        <v>0</v>
      </c>
      <c r="ER904" s="763">
        <f t="shared" si="652"/>
        <v>0</v>
      </c>
      <c r="ES904" s="763">
        <f t="shared" si="652"/>
        <v>0</v>
      </c>
      <c r="ET904" s="763">
        <f t="shared" si="652"/>
        <v>0</v>
      </c>
      <c r="EU904" s="763">
        <f t="shared" si="652"/>
        <v>0</v>
      </c>
      <c r="EV904" s="763">
        <f t="shared" si="652"/>
        <v>0</v>
      </c>
    </row>
    <row r="905" spans="1:152" s="12" customFormat="1" ht="12" customHeight="1" x14ac:dyDescent="0.35">
      <c r="A905" s="84"/>
      <c r="B905" s="13"/>
      <c r="C905" s="13"/>
      <c r="D905" s="13"/>
      <c r="E905" s="13"/>
      <c r="F905" s="13"/>
      <c r="G905" s="1804"/>
      <c r="H905" s="1183"/>
      <c r="I905" s="1804"/>
      <c r="J905" s="1804"/>
      <c r="K905" s="141"/>
      <c r="L905" s="141"/>
      <c r="M905" s="141"/>
      <c r="N905" s="141"/>
      <c r="O905" s="141"/>
      <c r="P905" s="141"/>
      <c r="Q905" s="141"/>
      <c r="R905" s="31"/>
      <c r="S905" s="36"/>
      <c r="T905" s="376"/>
      <c r="U905" s="29"/>
      <c r="V905" s="29"/>
      <c r="W905" s="377"/>
      <c r="X905" s="376"/>
      <c r="Y905" s="29"/>
      <c r="Z905" s="29"/>
      <c r="AA905" s="29" t="str">
        <f t="shared" si="643"/>
        <v>SAFE #1</v>
      </c>
      <c r="AB905" s="763">
        <f t="shared" si="644"/>
        <v>0</v>
      </c>
      <c r="AC905" s="29">
        <f t="shared" si="645"/>
        <v>11</v>
      </c>
      <c r="AD905" s="29"/>
      <c r="AE905" s="376" t="str">
        <f t="shared" si="646"/>
        <v>SAFE #1</v>
      </c>
      <c r="AF905" s="376"/>
      <c r="AG905" s="763">
        <f t="shared" si="640"/>
        <v>0</v>
      </c>
      <c r="AH905" s="763">
        <f t="shared" ref="AH905:CS908" si="653">AH885*AH$893</f>
        <v>0</v>
      </c>
      <c r="AI905" s="763">
        <f t="shared" si="653"/>
        <v>0</v>
      </c>
      <c r="AJ905" s="763">
        <f t="shared" si="653"/>
        <v>0</v>
      </c>
      <c r="AK905" s="763">
        <f t="shared" si="653"/>
        <v>0</v>
      </c>
      <c r="AL905" s="763">
        <f t="shared" si="653"/>
        <v>0</v>
      </c>
      <c r="AM905" s="763">
        <f t="shared" si="653"/>
        <v>0</v>
      </c>
      <c r="AN905" s="763">
        <f t="shared" si="653"/>
        <v>0</v>
      </c>
      <c r="AO905" s="763">
        <f t="shared" si="653"/>
        <v>0</v>
      </c>
      <c r="AP905" s="763">
        <f t="shared" si="653"/>
        <v>0</v>
      </c>
      <c r="AQ905" s="763">
        <f t="shared" si="653"/>
        <v>0</v>
      </c>
      <c r="AR905" s="763">
        <f t="shared" si="653"/>
        <v>0</v>
      </c>
      <c r="AS905" s="763">
        <f t="shared" si="653"/>
        <v>0</v>
      </c>
      <c r="AT905" s="763">
        <f t="shared" si="653"/>
        <v>0</v>
      </c>
      <c r="AU905" s="763">
        <f t="shared" si="653"/>
        <v>0</v>
      </c>
      <c r="AV905" s="763">
        <f t="shared" si="653"/>
        <v>0</v>
      </c>
      <c r="AW905" s="763">
        <f t="shared" si="653"/>
        <v>0</v>
      </c>
      <c r="AX905" s="763">
        <f t="shared" si="653"/>
        <v>0</v>
      </c>
      <c r="AY905" s="763">
        <f t="shared" si="653"/>
        <v>0</v>
      </c>
      <c r="AZ905" s="763">
        <f t="shared" si="653"/>
        <v>0</v>
      </c>
      <c r="BA905" s="763">
        <f t="shared" si="653"/>
        <v>0</v>
      </c>
      <c r="BB905" s="763">
        <f t="shared" si="653"/>
        <v>0</v>
      </c>
      <c r="BC905" s="763">
        <f t="shared" si="653"/>
        <v>0</v>
      </c>
      <c r="BD905" s="763">
        <f t="shared" si="653"/>
        <v>0</v>
      </c>
      <c r="BE905" s="763">
        <f t="shared" si="653"/>
        <v>0</v>
      </c>
      <c r="BF905" s="763">
        <f t="shared" si="653"/>
        <v>0</v>
      </c>
      <c r="BG905" s="763">
        <f t="shared" si="653"/>
        <v>0</v>
      </c>
      <c r="BH905" s="763">
        <f t="shared" si="653"/>
        <v>0</v>
      </c>
      <c r="BI905" s="763">
        <f t="shared" si="653"/>
        <v>0</v>
      </c>
      <c r="BJ905" s="763">
        <f t="shared" si="653"/>
        <v>0</v>
      </c>
      <c r="BK905" s="763">
        <f t="shared" si="653"/>
        <v>0</v>
      </c>
      <c r="BL905" s="763">
        <f t="shared" si="653"/>
        <v>0</v>
      </c>
      <c r="BM905" s="763">
        <f t="shared" si="653"/>
        <v>0</v>
      </c>
      <c r="BN905" s="763">
        <f t="shared" si="653"/>
        <v>0</v>
      </c>
      <c r="BO905" s="763">
        <f t="shared" si="653"/>
        <v>0</v>
      </c>
      <c r="BP905" s="763">
        <f t="shared" si="653"/>
        <v>0</v>
      </c>
      <c r="BQ905" s="763">
        <f t="shared" si="653"/>
        <v>0</v>
      </c>
      <c r="BR905" s="763">
        <f t="shared" si="653"/>
        <v>0</v>
      </c>
      <c r="BS905" s="763">
        <f t="shared" si="653"/>
        <v>0</v>
      </c>
      <c r="BT905" s="763">
        <f t="shared" si="653"/>
        <v>0</v>
      </c>
      <c r="BU905" s="763">
        <f t="shared" si="653"/>
        <v>0</v>
      </c>
      <c r="BV905" s="763">
        <f t="shared" si="653"/>
        <v>0</v>
      </c>
      <c r="BW905" s="763">
        <f t="shared" si="653"/>
        <v>0</v>
      </c>
      <c r="BX905" s="763">
        <f t="shared" si="653"/>
        <v>0</v>
      </c>
      <c r="BY905" s="763">
        <f t="shared" si="653"/>
        <v>0</v>
      </c>
      <c r="BZ905" s="763">
        <f t="shared" si="653"/>
        <v>0</v>
      </c>
      <c r="CA905" s="763">
        <f t="shared" si="653"/>
        <v>0</v>
      </c>
      <c r="CB905" s="763">
        <f t="shared" si="653"/>
        <v>0</v>
      </c>
      <c r="CC905" s="763">
        <f t="shared" si="653"/>
        <v>0</v>
      </c>
      <c r="CD905" s="763">
        <f t="shared" si="653"/>
        <v>0</v>
      </c>
      <c r="CE905" s="763">
        <f t="shared" si="653"/>
        <v>0</v>
      </c>
      <c r="CF905" s="763">
        <f t="shared" si="653"/>
        <v>0</v>
      </c>
      <c r="CG905" s="763">
        <f t="shared" si="653"/>
        <v>0</v>
      </c>
      <c r="CH905" s="763">
        <f t="shared" si="653"/>
        <v>0</v>
      </c>
      <c r="CI905" s="763">
        <f t="shared" si="653"/>
        <v>0</v>
      </c>
      <c r="CJ905" s="763">
        <f t="shared" si="653"/>
        <v>0</v>
      </c>
      <c r="CK905" s="763">
        <f t="shared" si="653"/>
        <v>0</v>
      </c>
      <c r="CL905" s="763">
        <f t="shared" si="653"/>
        <v>0</v>
      </c>
      <c r="CM905" s="763">
        <f t="shared" si="653"/>
        <v>0</v>
      </c>
      <c r="CN905" s="763">
        <f t="shared" si="653"/>
        <v>0</v>
      </c>
      <c r="CO905" s="763">
        <f t="shared" si="653"/>
        <v>0</v>
      </c>
      <c r="CP905" s="763">
        <f t="shared" si="653"/>
        <v>0</v>
      </c>
      <c r="CQ905" s="763">
        <f t="shared" si="653"/>
        <v>0</v>
      </c>
      <c r="CR905" s="763">
        <f t="shared" si="653"/>
        <v>0</v>
      </c>
      <c r="CS905" s="763">
        <f t="shared" si="653"/>
        <v>0</v>
      </c>
      <c r="CT905" s="763">
        <f t="shared" si="652"/>
        <v>0</v>
      </c>
      <c r="CU905" s="763">
        <f t="shared" si="652"/>
        <v>0</v>
      </c>
      <c r="CV905" s="763">
        <f t="shared" si="652"/>
        <v>0</v>
      </c>
      <c r="CW905" s="763">
        <f t="shared" si="652"/>
        <v>0</v>
      </c>
      <c r="CX905" s="763">
        <f t="shared" si="652"/>
        <v>0</v>
      </c>
      <c r="CY905" s="763">
        <f t="shared" si="652"/>
        <v>0</v>
      </c>
      <c r="CZ905" s="763">
        <f t="shared" si="652"/>
        <v>0</v>
      </c>
      <c r="DA905" s="763">
        <f t="shared" si="652"/>
        <v>0</v>
      </c>
      <c r="DB905" s="763">
        <f t="shared" si="652"/>
        <v>0</v>
      </c>
      <c r="DC905" s="763">
        <f t="shared" si="652"/>
        <v>0</v>
      </c>
      <c r="DD905" s="763">
        <f t="shared" si="652"/>
        <v>0</v>
      </c>
      <c r="DE905" s="763">
        <f t="shared" si="652"/>
        <v>0</v>
      </c>
      <c r="DF905" s="763">
        <f t="shared" si="652"/>
        <v>0</v>
      </c>
      <c r="DG905" s="763">
        <f t="shared" si="652"/>
        <v>0</v>
      </c>
      <c r="DH905" s="763">
        <f t="shared" si="652"/>
        <v>0</v>
      </c>
      <c r="DI905" s="763">
        <f t="shared" si="652"/>
        <v>0</v>
      </c>
      <c r="DJ905" s="763">
        <f t="shared" si="652"/>
        <v>0</v>
      </c>
      <c r="DK905" s="763">
        <f t="shared" si="652"/>
        <v>0</v>
      </c>
      <c r="DL905" s="763">
        <f t="shared" si="652"/>
        <v>0</v>
      </c>
      <c r="DM905" s="763">
        <f t="shared" si="652"/>
        <v>0</v>
      </c>
      <c r="DN905" s="763">
        <f t="shared" si="652"/>
        <v>0</v>
      </c>
      <c r="DO905" s="763">
        <f t="shared" si="652"/>
        <v>0</v>
      </c>
      <c r="DP905" s="763">
        <f t="shared" si="652"/>
        <v>0</v>
      </c>
      <c r="DQ905" s="763">
        <f t="shared" si="652"/>
        <v>0</v>
      </c>
      <c r="DR905" s="763">
        <f t="shared" si="652"/>
        <v>0</v>
      </c>
      <c r="DS905" s="763">
        <f t="shared" si="652"/>
        <v>0</v>
      </c>
      <c r="DT905" s="763">
        <f t="shared" si="652"/>
        <v>0</v>
      </c>
      <c r="DU905" s="763">
        <f t="shared" si="652"/>
        <v>0</v>
      </c>
      <c r="DV905" s="763">
        <f t="shared" si="652"/>
        <v>0</v>
      </c>
      <c r="DW905" s="763">
        <f t="shared" si="652"/>
        <v>0</v>
      </c>
      <c r="DX905" s="763">
        <f t="shared" si="652"/>
        <v>0</v>
      </c>
      <c r="DY905" s="763">
        <f t="shared" si="652"/>
        <v>0</v>
      </c>
      <c r="DZ905" s="763">
        <f t="shared" si="652"/>
        <v>0</v>
      </c>
      <c r="EA905" s="763">
        <f t="shared" si="652"/>
        <v>0</v>
      </c>
      <c r="EB905" s="763">
        <f t="shared" si="652"/>
        <v>0</v>
      </c>
      <c r="EC905" s="763">
        <f t="shared" si="652"/>
        <v>0</v>
      </c>
      <c r="ED905" s="763">
        <f t="shared" si="652"/>
        <v>0</v>
      </c>
      <c r="EE905" s="763">
        <f t="shared" si="652"/>
        <v>0</v>
      </c>
      <c r="EF905" s="763">
        <f t="shared" si="652"/>
        <v>0</v>
      </c>
      <c r="EG905" s="763">
        <f t="shared" si="652"/>
        <v>0</v>
      </c>
      <c r="EH905" s="763">
        <f t="shared" si="652"/>
        <v>0</v>
      </c>
      <c r="EI905" s="763">
        <f t="shared" si="652"/>
        <v>0</v>
      </c>
      <c r="EJ905" s="763">
        <f t="shared" si="652"/>
        <v>0</v>
      </c>
      <c r="EK905" s="763">
        <f t="shared" si="652"/>
        <v>0</v>
      </c>
      <c r="EL905" s="763">
        <f t="shared" si="652"/>
        <v>0</v>
      </c>
      <c r="EM905" s="763">
        <f t="shared" si="652"/>
        <v>0</v>
      </c>
      <c r="EN905" s="763">
        <f t="shared" si="652"/>
        <v>0</v>
      </c>
      <c r="EO905" s="763">
        <f t="shared" si="652"/>
        <v>0</v>
      </c>
      <c r="EP905" s="763">
        <f t="shared" si="652"/>
        <v>0</v>
      </c>
      <c r="EQ905" s="763">
        <f t="shared" si="652"/>
        <v>0</v>
      </c>
      <c r="ER905" s="763">
        <f t="shared" si="652"/>
        <v>0</v>
      </c>
      <c r="ES905" s="763">
        <f t="shared" si="652"/>
        <v>0</v>
      </c>
      <c r="ET905" s="763">
        <f t="shared" si="652"/>
        <v>0</v>
      </c>
      <c r="EU905" s="763">
        <f t="shared" si="652"/>
        <v>0</v>
      </c>
      <c r="EV905" s="763">
        <f t="shared" si="652"/>
        <v>0</v>
      </c>
    </row>
    <row r="906" spans="1:152" s="12" customFormat="1" ht="12" customHeight="1" x14ac:dyDescent="0.35">
      <c r="A906" s="84"/>
      <c r="B906" s="13"/>
      <c r="C906" s="13"/>
      <c r="D906" s="13"/>
      <c r="E906" s="13"/>
      <c r="F906" s="13"/>
      <c r="G906" s="1804"/>
      <c r="H906" s="1183"/>
      <c r="I906" s="1804"/>
      <c r="J906" s="1804"/>
      <c r="K906" s="141"/>
      <c r="L906" s="141"/>
      <c r="M906" s="141"/>
      <c r="N906" s="141"/>
      <c r="O906" s="141"/>
      <c r="P906" s="141"/>
      <c r="Q906" s="141"/>
      <c r="R906" s="31"/>
      <c r="S906" s="36"/>
      <c r="T906" s="376"/>
      <c r="U906" s="29"/>
      <c r="V906" s="29"/>
      <c r="W906" s="377"/>
      <c r="X906" s="376"/>
      <c r="Y906" s="29"/>
      <c r="Z906" s="29"/>
      <c r="AA906" s="29" t="str">
        <f t="shared" si="643"/>
        <v>SAFE #2</v>
      </c>
      <c r="AB906" s="763">
        <f t="shared" si="644"/>
        <v>0</v>
      </c>
      <c r="AC906" s="29">
        <f t="shared" si="645"/>
        <v>12</v>
      </c>
      <c r="AD906" s="29"/>
      <c r="AE906" s="376" t="str">
        <f t="shared" si="646"/>
        <v>SAFE #2</v>
      </c>
      <c r="AF906" s="376"/>
      <c r="AG906" s="763">
        <f t="shared" si="640"/>
        <v>0</v>
      </c>
      <c r="AH906" s="763">
        <f t="shared" si="653"/>
        <v>0</v>
      </c>
      <c r="AI906" s="763">
        <f t="shared" si="653"/>
        <v>0</v>
      </c>
      <c r="AJ906" s="763">
        <f t="shared" si="653"/>
        <v>0</v>
      </c>
      <c r="AK906" s="763">
        <f t="shared" si="653"/>
        <v>0</v>
      </c>
      <c r="AL906" s="763">
        <f t="shared" si="653"/>
        <v>0</v>
      </c>
      <c r="AM906" s="763">
        <f t="shared" si="653"/>
        <v>0</v>
      </c>
      <c r="AN906" s="763">
        <f t="shared" si="653"/>
        <v>0</v>
      </c>
      <c r="AO906" s="763">
        <f t="shared" si="653"/>
        <v>0</v>
      </c>
      <c r="AP906" s="763">
        <f t="shared" si="653"/>
        <v>0</v>
      </c>
      <c r="AQ906" s="763">
        <f t="shared" si="653"/>
        <v>0</v>
      </c>
      <c r="AR906" s="763">
        <f t="shared" si="653"/>
        <v>0</v>
      </c>
      <c r="AS906" s="763">
        <f t="shared" si="653"/>
        <v>0</v>
      </c>
      <c r="AT906" s="763">
        <f t="shared" si="653"/>
        <v>0</v>
      </c>
      <c r="AU906" s="763">
        <f t="shared" si="653"/>
        <v>0</v>
      </c>
      <c r="AV906" s="763">
        <f t="shared" si="653"/>
        <v>0</v>
      </c>
      <c r="AW906" s="763">
        <f t="shared" si="653"/>
        <v>0</v>
      </c>
      <c r="AX906" s="763">
        <f t="shared" si="653"/>
        <v>0</v>
      </c>
      <c r="AY906" s="763">
        <f t="shared" si="653"/>
        <v>0</v>
      </c>
      <c r="AZ906" s="763">
        <f t="shared" si="653"/>
        <v>0</v>
      </c>
      <c r="BA906" s="763">
        <f t="shared" si="653"/>
        <v>0</v>
      </c>
      <c r="BB906" s="763">
        <f t="shared" si="653"/>
        <v>0</v>
      </c>
      <c r="BC906" s="763">
        <f t="shared" si="653"/>
        <v>0</v>
      </c>
      <c r="BD906" s="763">
        <f t="shared" si="653"/>
        <v>0</v>
      </c>
      <c r="BE906" s="763">
        <f t="shared" si="653"/>
        <v>0</v>
      </c>
      <c r="BF906" s="763">
        <f t="shared" si="653"/>
        <v>0</v>
      </c>
      <c r="BG906" s="763">
        <f t="shared" si="653"/>
        <v>0</v>
      </c>
      <c r="BH906" s="763">
        <f t="shared" si="653"/>
        <v>0</v>
      </c>
      <c r="BI906" s="763">
        <f t="shared" si="653"/>
        <v>0</v>
      </c>
      <c r="BJ906" s="763">
        <f t="shared" si="653"/>
        <v>0</v>
      </c>
      <c r="BK906" s="763">
        <f t="shared" si="653"/>
        <v>0</v>
      </c>
      <c r="BL906" s="763">
        <f t="shared" si="653"/>
        <v>0</v>
      </c>
      <c r="BM906" s="763">
        <f t="shared" si="653"/>
        <v>0</v>
      </c>
      <c r="BN906" s="763">
        <f t="shared" si="653"/>
        <v>0</v>
      </c>
      <c r="BO906" s="763">
        <f t="shared" si="653"/>
        <v>0</v>
      </c>
      <c r="BP906" s="763">
        <f t="shared" si="653"/>
        <v>0</v>
      </c>
      <c r="BQ906" s="763">
        <f t="shared" si="653"/>
        <v>0</v>
      </c>
      <c r="BR906" s="763">
        <f t="shared" si="653"/>
        <v>0</v>
      </c>
      <c r="BS906" s="763">
        <f t="shared" si="653"/>
        <v>0</v>
      </c>
      <c r="BT906" s="763">
        <f t="shared" si="653"/>
        <v>0</v>
      </c>
      <c r="BU906" s="763">
        <f t="shared" si="653"/>
        <v>0</v>
      </c>
      <c r="BV906" s="763">
        <f t="shared" si="653"/>
        <v>0</v>
      </c>
      <c r="BW906" s="763">
        <f t="shared" si="653"/>
        <v>0</v>
      </c>
      <c r="BX906" s="763">
        <f t="shared" si="653"/>
        <v>0</v>
      </c>
      <c r="BY906" s="763">
        <f t="shared" si="653"/>
        <v>0</v>
      </c>
      <c r="BZ906" s="763">
        <f t="shared" si="653"/>
        <v>0</v>
      </c>
      <c r="CA906" s="763">
        <f t="shared" si="653"/>
        <v>0</v>
      </c>
      <c r="CB906" s="763">
        <f t="shared" si="653"/>
        <v>0</v>
      </c>
      <c r="CC906" s="763">
        <f t="shared" si="653"/>
        <v>0</v>
      </c>
      <c r="CD906" s="763">
        <f t="shared" si="653"/>
        <v>0</v>
      </c>
      <c r="CE906" s="763">
        <f t="shared" si="653"/>
        <v>0</v>
      </c>
      <c r="CF906" s="763">
        <f t="shared" si="653"/>
        <v>0</v>
      </c>
      <c r="CG906" s="763">
        <f t="shared" si="653"/>
        <v>0</v>
      </c>
      <c r="CH906" s="763">
        <f t="shared" si="653"/>
        <v>0</v>
      </c>
      <c r="CI906" s="763">
        <f t="shared" si="653"/>
        <v>0</v>
      </c>
      <c r="CJ906" s="763">
        <f t="shared" si="653"/>
        <v>0</v>
      </c>
      <c r="CK906" s="763">
        <f t="shared" si="653"/>
        <v>0</v>
      </c>
      <c r="CL906" s="763">
        <f t="shared" si="653"/>
        <v>0</v>
      </c>
      <c r="CM906" s="763">
        <f t="shared" si="653"/>
        <v>0</v>
      </c>
      <c r="CN906" s="763">
        <f t="shared" si="653"/>
        <v>0</v>
      </c>
      <c r="CO906" s="763">
        <f t="shared" si="653"/>
        <v>0</v>
      </c>
      <c r="CP906" s="763">
        <f t="shared" si="653"/>
        <v>0</v>
      </c>
      <c r="CQ906" s="763">
        <f t="shared" si="653"/>
        <v>0</v>
      </c>
      <c r="CR906" s="763">
        <f t="shared" si="653"/>
        <v>0</v>
      </c>
      <c r="CS906" s="763">
        <f t="shared" si="653"/>
        <v>0</v>
      </c>
      <c r="CT906" s="763">
        <f t="shared" si="652"/>
        <v>0</v>
      </c>
      <c r="CU906" s="763">
        <f t="shared" si="652"/>
        <v>0</v>
      </c>
      <c r="CV906" s="763">
        <f t="shared" si="652"/>
        <v>0</v>
      </c>
      <c r="CW906" s="763">
        <f t="shared" si="652"/>
        <v>0</v>
      </c>
      <c r="CX906" s="763">
        <f t="shared" si="652"/>
        <v>0</v>
      </c>
      <c r="CY906" s="763">
        <f t="shared" si="652"/>
        <v>0</v>
      </c>
      <c r="CZ906" s="763">
        <f t="shared" si="652"/>
        <v>0</v>
      </c>
      <c r="DA906" s="763">
        <f t="shared" si="652"/>
        <v>0</v>
      </c>
      <c r="DB906" s="763">
        <f t="shared" si="652"/>
        <v>0</v>
      </c>
      <c r="DC906" s="763">
        <f t="shared" si="652"/>
        <v>0</v>
      </c>
      <c r="DD906" s="763">
        <f t="shared" si="652"/>
        <v>0</v>
      </c>
      <c r="DE906" s="763">
        <f t="shared" si="652"/>
        <v>0</v>
      </c>
      <c r="DF906" s="763">
        <f t="shared" si="652"/>
        <v>0</v>
      </c>
      <c r="DG906" s="763">
        <f t="shared" si="652"/>
        <v>0</v>
      </c>
      <c r="DH906" s="763">
        <f t="shared" si="652"/>
        <v>0</v>
      </c>
      <c r="DI906" s="763">
        <f t="shared" si="652"/>
        <v>0</v>
      </c>
      <c r="DJ906" s="763">
        <f t="shared" si="652"/>
        <v>0</v>
      </c>
      <c r="DK906" s="763">
        <f t="shared" si="652"/>
        <v>0</v>
      </c>
      <c r="DL906" s="763">
        <f t="shared" si="652"/>
        <v>0</v>
      </c>
      <c r="DM906" s="763">
        <f t="shared" si="652"/>
        <v>0</v>
      </c>
      <c r="DN906" s="763">
        <f t="shared" si="652"/>
        <v>0</v>
      </c>
      <c r="DO906" s="763">
        <f t="shared" si="652"/>
        <v>0</v>
      </c>
      <c r="DP906" s="763">
        <f t="shared" si="652"/>
        <v>0</v>
      </c>
      <c r="DQ906" s="763">
        <f t="shared" si="652"/>
        <v>0</v>
      </c>
      <c r="DR906" s="763">
        <f t="shared" si="652"/>
        <v>0</v>
      </c>
      <c r="DS906" s="763">
        <f t="shared" si="652"/>
        <v>0</v>
      </c>
      <c r="DT906" s="763">
        <f t="shared" si="652"/>
        <v>0</v>
      </c>
      <c r="DU906" s="763">
        <f t="shared" si="652"/>
        <v>0</v>
      </c>
      <c r="DV906" s="763">
        <f t="shared" si="652"/>
        <v>0</v>
      </c>
      <c r="DW906" s="763">
        <f t="shared" si="652"/>
        <v>0</v>
      </c>
      <c r="DX906" s="763">
        <f t="shared" si="652"/>
        <v>0</v>
      </c>
      <c r="DY906" s="763">
        <f t="shared" si="652"/>
        <v>0</v>
      </c>
      <c r="DZ906" s="763">
        <f t="shared" si="652"/>
        <v>0</v>
      </c>
      <c r="EA906" s="763">
        <f t="shared" si="652"/>
        <v>0</v>
      </c>
      <c r="EB906" s="763">
        <f t="shared" si="652"/>
        <v>0</v>
      </c>
      <c r="EC906" s="763">
        <f t="shared" si="652"/>
        <v>0</v>
      </c>
      <c r="ED906" s="763">
        <f t="shared" si="652"/>
        <v>0</v>
      </c>
      <c r="EE906" s="763">
        <f t="shared" si="652"/>
        <v>0</v>
      </c>
      <c r="EF906" s="763">
        <f t="shared" si="652"/>
        <v>0</v>
      </c>
      <c r="EG906" s="763">
        <f t="shared" si="652"/>
        <v>0</v>
      </c>
      <c r="EH906" s="763">
        <f t="shared" si="652"/>
        <v>0</v>
      </c>
      <c r="EI906" s="763">
        <f t="shared" si="652"/>
        <v>0</v>
      </c>
      <c r="EJ906" s="763">
        <f t="shared" si="652"/>
        <v>0</v>
      </c>
      <c r="EK906" s="763">
        <f t="shared" si="652"/>
        <v>0</v>
      </c>
      <c r="EL906" s="763">
        <f t="shared" si="652"/>
        <v>0</v>
      </c>
      <c r="EM906" s="763">
        <f t="shared" si="652"/>
        <v>0</v>
      </c>
      <c r="EN906" s="763">
        <f t="shared" si="652"/>
        <v>0</v>
      </c>
      <c r="EO906" s="763">
        <f t="shared" si="652"/>
        <v>0</v>
      </c>
      <c r="EP906" s="763">
        <f t="shared" si="652"/>
        <v>0</v>
      </c>
      <c r="EQ906" s="763">
        <f t="shared" si="652"/>
        <v>0</v>
      </c>
      <c r="ER906" s="763">
        <f t="shared" si="652"/>
        <v>0</v>
      </c>
      <c r="ES906" s="763">
        <f t="shared" si="652"/>
        <v>0</v>
      </c>
      <c r="ET906" s="763">
        <f t="shared" si="652"/>
        <v>0</v>
      </c>
      <c r="EU906" s="763">
        <f t="shared" si="652"/>
        <v>0</v>
      </c>
      <c r="EV906" s="763">
        <f t="shared" si="652"/>
        <v>0</v>
      </c>
    </row>
    <row r="907" spans="1:152" s="12" customFormat="1" ht="12" customHeight="1" x14ac:dyDescent="0.35">
      <c r="A907" s="84"/>
      <c r="B907" s="13"/>
      <c r="C907" s="13"/>
      <c r="D907" s="13"/>
      <c r="E907" s="13"/>
      <c r="F907" s="13"/>
      <c r="G907" s="1804"/>
      <c r="H907" s="1183"/>
      <c r="I907" s="1804"/>
      <c r="J907" s="1804"/>
      <c r="K907" s="141"/>
      <c r="L907" s="141"/>
      <c r="M907" s="141"/>
      <c r="N907" s="141"/>
      <c r="O907" s="141"/>
      <c r="P907" s="141"/>
      <c r="Q907" s="141"/>
      <c r="R907" s="31"/>
      <c r="S907" s="36"/>
      <c r="T907" s="376"/>
      <c r="U907" s="29"/>
      <c r="V907" s="29"/>
      <c r="W907" s="377"/>
      <c r="X907" s="376"/>
      <c r="Y907" s="29"/>
      <c r="Z907" s="29"/>
      <c r="AA907" s="29" t="str">
        <f t="shared" si="643"/>
        <v>SAFE #3</v>
      </c>
      <c r="AB907" s="763">
        <f t="shared" si="644"/>
        <v>0</v>
      </c>
      <c r="AC907" s="29">
        <f t="shared" si="645"/>
        <v>13</v>
      </c>
      <c r="AD907" s="29"/>
      <c r="AE907" s="376" t="str">
        <f t="shared" si="646"/>
        <v>SAFE #3</v>
      </c>
      <c r="AF907" s="376"/>
      <c r="AG907" s="763">
        <f t="shared" si="640"/>
        <v>0</v>
      </c>
      <c r="AH907" s="763">
        <f t="shared" si="653"/>
        <v>0</v>
      </c>
      <c r="AI907" s="763">
        <f t="shared" si="653"/>
        <v>0</v>
      </c>
      <c r="AJ907" s="763">
        <f t="shared" si="653"/>
        <v>0</v>
      </c>
      <c r="AK907" s="763">
        <f t="shared" si="653"/>
        <v>0</v>
      </c>
      <c r="AL907" s="763">
        <f t="shared" si="653"/>
        <v>0</v>
      </c>
      <c r="AM907" s="763">
        <f t="shared" si="653"/>
        <v>0</v>
      </c>
      <c r="AN907" s="763">
        <f t="shared" si="653"/>
        <v>0</v>
      </c>
      <c r="AO907" s="763">
        <f t="shared" si="653"/>
        <v>0</v>
      </c>
      <c r="AP907" s="763">
        <f t="shared" si="653"/>
        <v>0</v>
      </c>
      <c r="AQ907" s="763">
        <f t="shared" si="653"/>
        <v>0</v>
      </c>
      <c r="AR907" s="763">
        <f t="shared" si="653"/>
        <v>0</v>
      </c>
      <c r="AS907" s="763">
        <f t="shared" si="653"/>
        <v>0</v>
      </c>
      <c r="AT907" s="763">
        <f t="shared" si="653"/>
        <v>0</v>
      </c>
      <c r="AU907" s="763">
        <f t="shared" si="653"/>
        <v>0</v>
      </c>
      <c r="AV907" s="763">
        <f t="shared" si="653"/>
        <v>0</v>
      </c>
      <c r="AW907" s="763">
        <f t="shared" si="653"/>
        <v>0</v>
      </c>
      <c r="AX907" s="763">
        <f t="shared" si="653"/>
        <v>0</v>
      </c>
      <c r="AY907" s="763">
        <f t="shared" si="653"/>
        <v>0</v>
      </c>
      <c r="AZ907" s="763">
        <f t="shared" si="653"/>
        <v>0</v>
      </c>
      <c r="BA907" s="763">
        <f t="shared" si="653"/>
        <v>0</v>
      </c>
      <c r="BB907" s="763">
        <f t="shared" si="653"/>
        <v>0</v>
      </c>
      <c r="BC907" s="763">
        <f t="shared" si="653"/>
        <v>0</v>
      </c>
      <c r="BD907" s="763">
        <f t="shared" si="653"/>
        <v>0</v>
      </c>
      <c r="BE907" s="763">
        <f t="shared" si="653"/>
        <v>0</v>
      </c>
      <c r="BF907" s="763">
        <f t="shared" si="653"/>
        <v>0</v>
      </c>
      <c r="BG907" s="763">
        <f t="shared" si="653"/>
        <v>0</v>
      </c>
      <c r="BH907" s="763">
        <f t="shared" si="653"/>
        <v>0</v>
      </c>
      <c r="BI907" s="763">
        <f t="shared" si="653"/>
        <v>0</v>
      </c>
      <c r="BJ907" s="763">
        <f t="shared" si="653"/>
        <v>0</v>
      </c>
      <c r="BK907" s="763">
        <f t="shared" si="653"/>
        <v>0</v>
      </c>
      <c r="BL907" s="763">
        <f t="shared" si="653"/>
        <v>0</v>
      </c>
      <c r="BM907" s="763">
        <f t="shared" si="653"/>
        <v>0</v>
      </c>
      <c r="BN907" s="763">
        <f t="shared" si="653"/>
        <v>0</v>
      </c>
      <c r="BO907" s="763">
        <f t="shared" si="653"/>
        <v>0</v>
      </c>
      <c r="BP907" s="763">
        <f t="shared" si="653"/>
        <v>0</v>
      </c>
      <c r="BQ907" s="763">
        <f t="shared" si="653"/>
        <v>0</v>
      </c>
      <c r="BR907" s="763">
        <f t="shared" si="653"/>
        <v>0</v>
      </c>
      <c r="BS907" s="763">
        <f t="shared" si="653"/>
        <v>0</v>
      </c>
      <c r="BT907" s="763">
        <f t="shared" si="653"/>
        <v>0</v>
      </c>
      <c r="BU907" s="763">
        <f t="shared" si="653"/>
        <v>0</v>
      </c>
      <c r="BV907" s="763">
        <f t="shared" si="653"/>
        <v>0</v>
      </c>
      <c r="BW907" s="763">
        <f t="shared" si="653"/>
        <v>0</v>
      </c>
      <c r="BX907" s="763">
        <f t="shared" si="653"/>
        <v>0</v>
      </c>
      <c r="BY907" s="763">
        <f t="shared" si="653"/>
        <v>0</v>
      </c>
      <c r="BZ907" s="763">
        <f t="shared" si="653"/>
        <v>0</v>
      </c>
      <c r="CA907" s="763">
        <f t="shared" si="653"/>
        <v>0</v>
      </c>
      <c r="CB907" s="763">
        <f t="shared" si="653"/>
        <v>0</v>
      </c>
      <c r="CC907" s="763">
        <f t="shared" si="653"/>
        <v>0</v>
      </c>
      <c r="CD907" s="763">
        <f t="shared" si="653"/>
        <v>0</v>
      </c>
      <c r="CE907" s="763">
        <f t="shared" si="653"/>
        <v>0</v>
      </c>
      <c r="CF907" s="763">
        <f t="shared" si="653"/>
        <v>0</v>
      </c>
      <c r="CG907" s="763">
        <f t="shared" si="653"/>
        <v>0</v>
      </c>
      <c r="CH907" s="763">
        <f t="shared" si="653"/>
        <v>0</v>
      </c>
      <c r="CI907" s="763">
        <f t="shared" si="653"/>
        <v>0</v>
      </c>
      <c r="CJ907" s="763">
        <f t="shared" si="653"/>
        <v>0</v>
      </c>
      <c r="CK907" s="763">
        <f t="shared" si="653"/>
        <v>0</v>
      </c>
      <c r="CL907" s="763">
        <f t="shared" si="653"/>
        <v>0</v>
      </c>
      <c r="CM907" s="763">
        <f t="shared" si="653"/>
        <v>0</v>
      </c>
      <c r="CN907" s="763">
        <f t="shared" si="653"/>
        <v>0</v>
      </c>
      <c r="CO907" s="763">
        <f t="shared" si="653"/>
        <v>0</v>
      </c>
      <c r="CP907" s="763">
        <f t="shared" si="653"/>
        <v>0</v>
      </c>
      <c r="CQ907" s="763">
        <f t="shared" si="653"/>
        <v>0</v>
      </c>
      <c r="CR907" s="763">
        <f t="shared" si="653"/>
        <v>0</v>
      </c>
      <c r="CS907" s="763">
        <f t="shared" si="653"/>
        <v>0</v>
      </c>
      <c r="CT907" s="763">
        <f t="shared" si="652"/>
        <v>0</v>
      </c>
      <c r="CU907" s="763">
        <f t="shared" si="652"/>
        <v>0</v>
      </c>
      <c r="CV907" s="763">
        <f t="shared" si="652"/>
        <v>0</v>
      </c>
      <c r="CW907" s="763">
        <f t="shared" si="652"/>
        <v>0</v>
      </c>
      <c r="CX907" s="763">
        <f t="shared" si="652"/>
        <v>0</v>
      </c>
      <c r="CY907" s="763">
        <f t="shared" si="652"/>
        <v>0</v>
      </c>
      <c r="CZ907" s="763">
        <f t="shared" si="652"/>
        <v>0</v>
      </c>
      <c r="DA907" s="763">
        <f t="shared" si="652"/>
        <v>0</v>
      </c>
      <c r="DB907" s="763">
        <f t="shared" si="652"/>
        <v>0</v>
      </c>
      <c r="DC907" s="763">
        <f t="shared" si="652"/>
        <v>0</v>
      </c>
      <c r="DD907" s="763">
        <f t="shared" si="652"/>
        <v>0</v>
      </c>
      <c r="DE907" s="763">
        <f t="shared" si="652"/>
        <v>0</v>
      </c>
      <c r="DF907" s="763">
        <f t="shared" si="652"/>
        <v>0</v>
      </c>
      <c r="DG907" s="763">
        <f t="shared" si="652"/>
        <v>0</v>
      </c>
      <c r="DH907" s="763">
        <f t="shared" si="652"/>
        <v>0</v>
      </c>
      <c r="DI907" s="763">
        <f t="shared" si="652"/>
        <v>0</v>
      </c>
      <c r="DJ907" s="763">
        <f t="shared" si="652"/>
        <v>0</v>
      </c>
      <c r="DK907" s="763">
        <f t="shared" si="652"/>
        <v>0</v>
      </c>
      <c r="DL907" s="763">
        <f t="shared" si="652"/>
        <v>0</v>
      </c>
      <c r="DM907" s="763">
        <f t="shared" si="652"/>
        <v>0</v>
      </c>
      <c r="DN907" s="763">
        <f t="shared" si="652"/>
        <v>0</v>
      </c>
      <c r="DO907" s="763">
        <f t="shared" si="652"/>
        <v>0</v>
      </c>
      <c r="DP907" s="763">
        <f t="shared" si="652"/>
        <v>0</v>
      </c>
      <c r="DQ907" s="763">
        <f t="shared" si="652"/>
        <v>0</v>
      </c>
      <c r="DR907" s="763">
        <f t="shared" si="652"/>
        <v>0</v>
      </c>
      <c r="DS907" s="763">
        <f t="shared" si="652"/>
        <v>0</v>
      </c>
      <c r="DT907" s="763">
        <f t="shared" si="652"/>
        <v>0</v>
      </c>
      <c r="DU907" s="763">
        <f t="shared" si="652"/>
        <v>0</v>
      </c>
      <c r="DV907" s="763">
        <f t="shared" si="652"/>
        <v>0</v>
      </c>
      <c r="DW907" s="763">
        <f t="shared" si="652"/>
        <v>0</v>
      </c>
      <c r="DX907" s="763">
        <f t="shared" si="652"/>
        <v>0</v>
      </c>
      <c r="DY907" s="763">
        <f t="shared" si="652"/>
        <v>0</v>
      </c>
      <c r="DZ907" s="763">
        <f t="shared" si="652"/>
        <v>0</v>
      </c>
      <c r="EA907" s="763">
        <f t="shared" si="652"/>
        <v>0</v>
      </c>
      <c r="EB907" s="763">
        <f t="shared" si="652"/>
        <v>0</v>
      </c>
      <c r="EC907" s="763">
        <f t="shared" si="652"/>
        <v>0</v>
      </c>
      <c r="ED907" s="763">
        <f t="shared" si="652"/>
        <v>0</v>
      </c>
      <c r="EE907" s="763">
        <f t="shared" si="652"/>
        <v>0</v>
      </c>
      <c r="EF907" s="763">
        <f t="shared" si="652"/>
        <v>0</v>
      </c>
      <c r="EG907" s="763">
        <f t="shared" si="652"/>
        <v>0</v>
      </c>
      <c r="EH907" s="763">
        <f t="shared" si="652"/>
        <v>0</v>
      </c>
      <c r="EI907" s="763">
        <f t="shared" si="652"/>
        <v>0</v>
      </c>
      <c r="EJ907" s="763">
        <f t="shared" si="652"/>
        <v>0</v>
      </c>
      <c r="EK907" s="763">
        <f t="shared" si="652"/>
        <v>0</v>
      </c>
      <c r="EL907" s="763">
        <f t="shared" si="652"/>
        <v>0</v>
      </c>
      <c r="EM907" s="763">
        <f t="shared" si="652"/>
        <v>0</v>
      </c>
      <c r="EN907" s="763">
        <f t="shared" si="652"/>
        <v>0</v>
      </c>
      <c r="EO907" s="763">
        <f t="shared" si="652"/>
        <v>0</v>
      </c>
      <c r="EP907" s="763">
        <f t="shared" si="652"/>
        <v>0</v>
      </c>
      <c r="EQ907" s="763">
        <f t="shared" si="652"/>
        <v>0</v>
      </c>
      <c r="ER907" s="763">
        <f t="shared" si="652"/>
        <v>0</v>
      </c>
      <c r="ES907" s="763">
        <f t="shared" si="652"/>
        <v>0</v>
      </c>
      <c r="ET907" s="763">
        <f t="shared" si="652"/>
        <v>0</v>
      </c>
      <c r="EU907" s="763">
        <f t="shared" si="652"/>
        <v>0</v>
      </c>
      <c r="EV907" s="763">
        <f t="shared" si="652"/>
        <v>0</v>
      </c>
    </row>
    <row r="908" spans="1:152" s="12" customFormat="1" ht="12" customHeight="1" x14ac:dyDescent="0.35">
      <c r="A908" s="84"/>
      <c r="B908" s="13"/>
      <c r="C908" s="13"/>
      <c r="D908" s="13"/>
      <c r="E908" s="13"/>
      <c r="F908" s="13"/>
      <c r="G908" s="1804"/>
      <c r="H908" s="1183"/>
      <c r="I908" s="1804"/>
      <c r="J908" s="1804"/>
      <c r="K908" s="141"/>
      <c r="L908" s="141"/>
      <c r="M908" s="141"/>
      <c r="N908" s="141"/>
      <c r="O908" s="141"/>
      <c r="P908" s="141"/>
      <c r="Q908" s="141"/>
      <c r="R908" s="31"/>
      <c r="S908" s="36"/>
      <c r="T908" s="376"/>
      <c r="U908" s="29"/>
      <c r="V908" s="29"/>
      <c r="W908" s="377"/>
      <c r="X908" s="376"/>
      <c r="Y908" s="29"/>
      <c r="Z908" s="29"/>
      <c r="AA908" s="29" t="str">
        <f t="shared" si="643"/>
        <v>Convertible Note #1</v>
      </c>
      <c r="AB908" s="763">
        <f t="shared" si="644"/>
        <v>0</v>
      </c>
      <c r="AC908" s="29">
        <f t="shared" si="645"/>
        <v>14</v>
      </c>
      <c r="AD908" s="29"/>
      <c r="AE908" s="376" t="str">
        <f t="shared" si="646"/>
        <v>Convertible Note #1</v>
      </c>
      <c r="AF908" s="376"/>
      <c r="AG908" s="763">
        <f t="shared" si="640"/>
        <v>0</v>
      </c>
      <c r="AH908" s="763">
        <f t="shared" si="653"/>
        <v>0</v>
      </c>
      <c r="AI908" s="763">
        <f t="shared" si="653"/>
        <v>0</v>
      </c>
      <c r="AJ908" s="763">
        <f t="shared" si="653"/>
        <v>0</v>
      </c>
      <c r="AK908" s="763">
        <f t="shared" si="653"/>
        <v>0</v>
      </c>
      <c r="AL908" s="763">
        <f t="shared" si="653"/>
        <v>0</v>
      </c>
      <c r="AM908" s="763">
        <f t="shared" si="653"/>
        <v>0</v>
      </c>
      <c r="AN908" s="763">
        <f t="shared" si="653"/>
        <v>0</v>
      </c>
      <c r="AO908" s="763">
        <f t="shared" si="653"/>
        <v>0</v>
      </c>
      <c r="AP908" s="763">
        <f t="shared" si="653"/>
        <v>0</v>
      </c>
      <c r="AQ908" s="763">
        <f t="shared" si="653"/>
        <v>0</v>
      </c>
      <c r="AR908" s="763">
        <f t="shared" si="653"/>
        <v>0</v>
      </c>
      <c r="AS908" s="763">
        <f t="shared" si="653"/>
        <v>0</v>
      </c>
      <c r="AT908" s="763">
        <f t="shared" si="653"/>
        <v>0</v>
      </c>
      <c r="AU908" s="763">
        <f t="shared" si="653"/>
        <v>0</v>
      </c>
      <c r="AV908" s="763">
        <f t="shared" si="653"/>
        <v>0</v>
      </c>
      <c r="AW908" s="763">
        <f t="shared" si="653"/>
        <v>0</v>
      </c>
      <c r="AX908" s="763">
        <f t="shared" si="653"/>
        <v>0</v>
      </c>
      <c r="AY908" s="763">
        <f t="shared" si="653"/>
        <v>0</v>
      </c>
      <c r="AZ908" s="763">
        <f t="shared" si="653"/>
        <v>0</v>
      </c>
      <c r="BA908" s="763">
        <f t="shared" si="653"/>
        <v>0</v>
      </c>
      <c r="BB908" s="763">
        <f t="shared" si="653"/>
        <v>0</v>
      </c>
      <c r="BC908" s="763">
        <f t="shared" si="653"/>
        <v>0</v>
      </c>
      <c r="BD908" s="763">
        <f t="shared" si="653"/>
        <v>0</v>
      </c>
      <c r="BE908" s="763">
        <f t="shared" si="653"/>
        <v>0</v>
      </c>
      <c r="BF908" s="763">
        <f t="shared" si="653"/>
        <v>0</v>
      </c>
      <c r="BG908" s="763">
        <f t="shared" si="653"/>
        <v>0</v>
      </c>
      <c r="BH908" s="763">
        <f t="shared" si="653"/>
        <v>0</v>
      </c>
      <c r="BI908" s="763">
        <f t="shared" si="653"/>
        <v>0</v>
      </c>
      <c r="BJ908" s="763">
        <f t="shared" si="653"/>
        <v>0</v>
      </c>
      <c r="BK908" s="763">
        <f t="shared" si="653"/>
        <v>0</v>
      </c>
      <c r="BL908" s="763">
        <f t="shared" si="653"/>
        <v>0</v>
      </c>
      <c r="BM908" s="763">
        <f t="shared" si="653"/>
        <v>0</v>
      </c>
      <c r="BN908" s="763">
        <f t="shared" si="653"/>
        <v>0</v>
      </c>
      <c r="BO908" s="763">
        <f t="shared" si="653"/>
        <v>0</v>
      </c>
      <c r="BP908" s="763">
        <f t="shared" si="653"/>
        <v>0</v>
      </c>
      <c r="BQ908" s="763">
        <f t="shared" si="653"/>
        <v>0</v>
      </c>
      <c r="BR908" s="763">
        <f t="shared" si="653"/>
        <v>0</v>
      </c>
      <c r="BS908" s="763">
        <f t="shared" si="653"/>
        <v>0</v>
      </c>
      <c r="BT908" s="763">
        <f t="shared" si="653"/>
        <v>0</v>
      </c>
      <c r="BU908" s="763">
        <f t="shared" si="653"/>
        <v>0</v>
      </c>
      <c r="BV908" s="763">
        <f t="shared" si="653"/>
        <v>0</v>
      </c>
      <c r="BW908" s="763">
        <f t="shared" si="653"/>
        <v>0</v>
      </c>
      <c r="BX908" s="763">
        <f t="shared" si="653"/>
        <v>0</v>
      </c>
      <c r="BY908" s="763">
        <f t="shared" si="653"/>
        <v>0</v>
      </c>
      <c r="BZ908" s="763">
        <f t="shared" si="653"/>
        <v>0</v>
      </c>
      <c r="CA908" s="763">
        <f t="shared" si="653"/>
        <v>0</v>
      </c>
      <c r="CB908" s="763">
        <f t="shared" si="653"/>
        <v>0</v>
      </c>
      <c r="CC908" s="763">
        <f t="shared" si="653"/>
        <v>0</v>
      </c>
      <c r="CD908" s="763">
        <f t="shared" si="653"/>
        <v>0</v>
      </c>
      <c r="CE908" s="763">
        <f t="shared" si="653"/>
        <v>0</v>
      </c>
      <c r="CF908" s="763">
        <f t="shared" si="653"/>
        <v>0</v>
      </c>
      <c r="CG908" s="763">
        <f t="shared" si="653"/>
        <v>0</v>
      </c>
      <c r="CH908" s="763">
        <f t="shared" si="653"/>
        <v>0</v>
      </c>
      <c r="CI908" s="763">
        <f t="shared" si="653"/>
        <v>0</v>
      </c>
      <c r="CJ908" s="763">
        <f t="shared" si="653"/>
        <v>0</v>
      </c>
      <c r="CK908" s="763">
        <f t="shared" si="653"/>
        <v>0</v>
      </c>
      <c r="CL908" s="763">
        <f t="shared" si="653"/>
        <v>0</v>
      </c>
      <c r="CM908" s="763">
        <f t="shared" si="653"/>
        <v>0</v>
      </c>
      <c r="CN908" s="763">
        <f t="shared" si="653"/>
        <v>0</v>
      </c>
      <c r="CO908" s="763">
        <f t="shared" si="653"/>
        <v>0</v>
      </c>
      <c r="CP908" s="763">
        <f t="shared" si="653"/>
        <v>0</v>
      </c>
      <c r="CQ908" s="763">
        <f t="shared" si="653"/>
        <v>0</v>
      </c>
      <c r="CR908" s="763">
        <f t="shared" si="653"/>
        <v>0</v>
      </c>
      <c r="CS908" s="763">
        <f t="shared" ref="CS908:EV910" si="654">CS888*CS$893</f>
        <v>0</v>
      </c>
      <c r="CT908" s="763">
        <f t="shared" si="654"/>
        <v>0</v>
      </c>
      <c r="CU908" s="763">
        <f t="shared" si="654"/>
        <v>0</v>
      </c>
      <c r="CV908" s="763">
        <f t="shared" si="654"/>
        <v>0</v>
      </c>
      <c r="CW908" s="763">
        <f t="shared" si="654"/>
        <v>0</v>
      </c>
      <c r="CX908" s="763">
        <f t="shared" si="654"/>
        <v>0</v>
      </c>
      <c r="CY908" s="763">
        <f t="shared" si="654"/>
        <v>0</v>
      </c>
      <c r="CZ908" s="763">
        <f t="shared" si="654"/>
        <v>0</v>
      </c>
      <c r="DA908" s="763">
        <f t="shared" si="654"/>
        <v>0</v>
      </c>
      <c r="DB908" s="763">
        <f t="shared" si="654"/>
        <v>0</v>
      </c>
      <c r="DC908" s="763">
        <f t="shared" si="654"/>
        <v>0</v>
      </c>
      <c r="DD908" s="763">
        <f t="shared" si="654"/>
        <v>0</v>
      </c>
      <c r="DE908" s="763">
        <f t="shared" si="654"/>
        <v>0</v>
      </c>
      <c r="DF908" s="763">
        <f t="shared" si="654"/>
        <v>0</v>
      </c>
      <c r="DG908" s="763">
        <f t="shared" si="654"/>
        <v>0</v>
      </c>
      <c r="DH908" s="763">
        <f t="shared" si="654"/>
        <v>0</v>
      </c>
      <c r="DI908" s="763">
        <f t="shared" si="654"/>
        <v>0</v>
      </c>
      <c r="DJ908" s="763">
        <f t="shared" si="654"/>
        <v>0</v>
      </c>
      <c r="DK908" s="763">
        <f t="shared" si="654"/>
        <v>0</v>
      </c>
      <c r="DL908" s="763">
        <f t="shared" si="654"/>
        <v>0</v>
      </c>
      <c r="DM908" s="763">
        <f t="shared" si="654"/>
        <v>0</v>
      </c>
      <c r="DN908" s="763">
        <f t="shared" si="654"/>
        <v>0</v>
      </c>
      <c r="DO908" s="763">
        <f t="shared" si="654"/>
        <v>0</v>
      </c>
      <c r="DP908" s="763">
        <f t="shared" si="654"/>
        <v>0</v>
      </c>
      <c r="DQ908" s="763">
        <f t="shared" si="654"/>
        <v>0</v>
      </c>
      <c r="DR908" s="763">
        <f t="shared" si="654"/>
        <v>0</v>
      </c>
      <c r="DS908" s="763">
        <f t="shared" si="654"/>
        <v>0</v>
      </c>
      <c r="DT908" s="763">
        <f t="shared" si="654"/>
        <v>0</v>
      </c>
      <c r="DU908" s="763">
        <f t="shared" si="654"/>
        <v>0</v>
      </c>
      <c r="DV908" s="763">
        <f t="shared" si="654"/>
        <v>0</v>
      </c>
      <c r="DW908" s="763">
        <f t="shared" si="654"/>
        <v>0</v>
      </c>
      <c r="DX908" s="763">
        <f t="shared" si="654"/>
        <v>0</v>
      </c>
      <c r="DY908" s="763">
        <f t="shared" si="654"/>
        <v>0</v>
      </c>
      <c r="DZ908" s="763">
        <f t="shared" si="654"/>
        <v>0</v>
      </c>
      <c r="EA908" s="763">
        <f t="shared" si="654"/>
        <v>0</v>
      </c>
      <c r="EB908" s="763">
        <f t="shared" si="654"/>
        <v>0</v>
      </c>
      <c r="EC908" s="763">
        <f t="shared" si="654"/>
        <v>0</v>
      </c>
      <c r="ED908" s="763">
        <f t="shared" si="654"/>
        <v>0</v>
      </c>
      <c r="EE908" s="763">
        <f t="shared" si="654"/>
        <v>0</v>
      </c>
      <c r="EF908" s="763">
        <f t="shared" si="654"/>
        <v>0</v>
      </c>
      <c r="EG908" s="763">
        <f t="shared" si="654"/>
        <v>0</v>
      </c>
      <c r="EH908" s="763">
        <f t="shared" si="654"/>
        <v>0</v>
      </c>
      <c r="EI908" s="763">
        <f t="shared" si="654"/>
        <v>0</v>
      </c>
      <c r="EJ908" s="763">
        <f t="shared" si="654"/>
        <v>0</v>
      </c>
      <c r="EK908" s="763">
        <f t="shared" si="654"/>
        <v>0</v>
      </c>
      <c r="EL908" s="763">
        <f t="shared" si="654"/>
        <v>0</v>
      </c>
      <c r="EM908" s="763">
        <f t="shared" si="654"/>
        <v>0</v>
      </c>
      <c r="EN908" s="763">
        <f t="shared" si="654"/>
        <v>0</v>
      </c>
      <c r="EO908" s="763">
        <f t="shared" si="654"/>
        <v>0</v>
      </c>
      <c r="EP908" s="763">
        <f t="shared" si="654"/>
        <v>0</v>
      </c>
      <c r="EQ908" s="763">
        <f t="shared" si="654"/>
        <v>0</v>
      </c>
      <c r="ER908" s="763">
        <f t="shared" si="654"/>
        <v>0</v>
      </c>
      <c r="ES908" s="763">
        <f t="shared" si="654"/>
        <v>0</v>
      </c>
      <c r="ET908" s="763">
        <f t="shared" si="654"/>
        <v>0</v>
      </c>
      <c r="EU908" s="763">
        <f t="shared" si="654"/>
        <v>0</v>
      </c>
      <c r="EV908" s="763">
        <f t="shared" si="654"/>
        <v>0</v>
      </c>
    </row>
    <row r="909" spans="1:152" s="12" customFormat="1" ht="12" customHeight="1" x14ac:dyDescent="0.35">
      <c r="A909" s="84"/>
      <c r="B909" s="13"/>
      <c r="C909" s="13"/>
      <c r="D909" s="13"/>
      <c r="E909" s="13"/>
      <c r="F909" s="13"/>
      <c r="G909" s="1804"/>
      <c r="H909" s="1183"/>
      <c r="I909" s="1804"/>
      <c r="J909" s="1804"/>
      <c r="K909" s="141"/>
      <c r="L909" s="141"/>
      <c r="M909" s="141"/>
      <c r="N909" s="141"/>
      <c r="O909" s="141"/>
      <c r="P909" s="141"/>
      <c r="Q909" s="141"/>
      <c r="R909" s="31"/>
      <c r="S909" s="36"/>
      <c r="T909" s="376"/>
      <c r="U909" s="29"/>
      <c r="V909" s="29"/>
      <c r="W909" s="377"/>
      <c r="X909" s="376"/>
      <c r="Y909" s="29"/>
      <c r="Z909" s="29"/>
      <c r="AA909" s="29" t="str">
        <f t="shared" si="643"/>
        <v>Convertible Note #2</v>
      </c>
      <c r="AB909" s="763">
        <f t="shared" si="644"/>
        <v>0</v>
      </c>
      <c r="AC909" s="29">
        <f t="shared" si="645"/>
        <v>15</v>
      </c>
      <c r="AD909" s="29"/>
      <c r="AE909" s="376" t="str">
        <f t="shared" si="646"/>
        <v>Convertible Note #2</v>
      </c>
      <c r="AF909" s="376"/>
      <c r="AG909" s="763">
        <f t="shared" si="640"/>
        <v>0</v>
      </c>
      <c r="AH909" s="763">
        <f t="shared" ref="AH909:CS910" si="655">AH889*AH$893</f>
        <v>0</v>
      </c>
      <c r="AI909" s="763">
        <f t="shared" si="655"/>
        <v>0</v>
      </c>
      <c r="AJ909" s="763">
        <f t="shared" si="655"/>
        <v>0</v>
      </c>
      <c r="AK909" s="763">
        <f t="shared" si="655"/>
        <v>0</v>
      </c>
      <c r="AL909" s="763">
        <f t="shared" si="655"/>
        <v>0</v>
      </c>
      <c r="AM909" s="763">
        <f t="shared" si="655"/>
        <v>0</v>
      </c>
      <c r="AN909" s="763">
        <f t="shared" si="655"/>
        <v>0</v>
      </c>
      <c r="AO909" s="763">
        <f t="shared" si="655"/>
        <v>0</v>
      </c>
      <c r="AP909" s="763">
        <f t="shared" si="655"/>
        <v>0</v>
      </c>
      <c r="AQ909" s="763">
        <f t="shared" si="655"/>
        <v>0</v>
      </c>
      <c r="AR909" s="763">
        <f t="shared" si="655"/>
        <v>0</v>
      </c>
      <c r="AS909" s="763">
        <f t="shared" si="655"/>
        <v>0</v>
      </c>
      <c r="AT909" s="763">
        <f t="shared" si="655"/>
        <v>0</v>
      </c>
      <c r="AU909" s="763">
        <f t="shared" si="655"/>
        <v>0</v>
      </c>
      <c r="AV909" s="763">
        <f t="shared" si="655"/>
        <v>0</v>
      </c>
      <c r="AW909" s="763">
        <f t="shared" si="655"/>
        <v>0</v>
      </c>
      <c r="AX909" s="763">
        <f t="shared" si="655"/>
        <v>0</v>
      </c>
      <c r="AY909" s="763">
        <f t="shared" si="655"/>
        <v>0</v>
      </c>
      <c r="AZ909" s="763">
        <f t="shared" si="655"/>
        <v>0</v>
      </c>
      <c r="BA909" s="763">
        <f t="shared" si="655"/>
        <v>0</v>
      </c>
      <c r="BB909" s="763">
        <f t="shared" si="655"/>
        <v>0</v>
      </c>
      <c r="BC909" s="763">
        <f t="shared" si="655"/>
        <v>0</v>
      </c>
      <c r="BD909" s="763">
        <f t="shared" si="655"/>
        <v>0</v>
      </c>
      <c r="BE909" s="763">
        <f t="shared" si="655"/>
        <v>0</v>
      </c>
      <c r="BF909" s="763">
        <f t="shared" si="655"/>
        <v>0</v>
      </c>
      <c r="BG909" s="763">
        <f t="shared" si="655"/>
        <v>0</v>
      </c>
      <c r="BH909" s="763">
        <f t="shared" si="655"/>
        <v>0</v>
      </c>
      <c r="BI909" s="763">
        <f t="shared" si="655"/>
        <v>0</v>
      </c>
      <c r="BJ909" s="763">
        <f t="shared" si="655"/>
        <v>0</v>
      </c>
      <c r="BK909" s="763">
        <f t="shared" si="655"/>
        <v>0</v>
      </c>
      <c r="BL909" s="763">
        <f t="shared" si="655"/>
        <v>0</v>
      </c>
      <c r="BM909" s="763">
        <f t="shared" si="655"/>
        <v>0</v>
      </c>
      <c r="BN909" s="763">
        <f t="shared" si="655"/>
        <v>0</v>
      </c>
      <c r="BO909" s="763">
        <f t="shared" si="655"/>
        <v>0</v>
      </c>
      <c r="BP909" s="763">
        <f t="shared" si="655"/>
        <v>0</v>
      </c>
      <c r="BQ909" s="763">
        <f t="shared" si="655"/>
        <v>0</v>
      </c>
      <c r="BR909" s="763">
        <f t="shared" si="655"/>
        <v>0</v>
      </c>
      <c r="BS909" s="763">
        <f t="shared" si="655"/>
        <v>0</v>
      </c>
      <c r="BT909" s="763">
        <f t="shared" si="655"/>
        <v>0</v>
      </c>
      <c r="BU909" s="763">
        <f t="shared" si="655"/>
        <v>0</v>
      </c>
      <c r="BV909" s="763">
        <f t="shared" si="655"/>
        <v>0</v>
      </c>
      <c r="BW909" s="763">
        <f t="shared" si="655"/>
        <v>0</v>
      </c>
      <c r="BX909" s="763">
        <f t="shared" si="655"/>
        <v>0</v>
      </c>
      <c r="BY909" s="763">
        <f t="shared" si="655"/>
        <v>0</v>
      </c>
      <c r="BZ909" s="763">
        <f t="shared" si="655"/>
        <v>0</v>
      </c>
      <c r="CA909" s="763">
        <f t="shared" si="655"/>
        <v>0</v>
      </c>
      <c r="CB909" s="763">
        <f t="shared" si="655"/>
        <v>0</v>
      </c>
      <c r="CC909" s="763">
        <f t="shared" si="655"/>
        <v>0</v>
      </c>
      <c r="CD909" s="763">
        <f t="shared" si="655"/>
        <v>0</v>
      </c>
      <c r="CE909" s="763">
        <f t="shared" si="655"/>
        <v>0</v>
      </c>
      <c r="CF909" s="763">
        <f t="shared" si="655"/>
        <v>0</v>
      </c>
      <c r="CG909" s="763">
        <f t="shared" si="655"/>
        <v>0</v>
      </c>
      <c r="CH909" s="763">
        <f t="shared" si="655"/>
        <v>0</v>
      </c>
      <c r="CI909" s="763">
        <f t="shared" si="655"/>
        <v>0</v>
      </c>
      <c r="CJ909" s="763">
        <f t="shared" si="655"/>
        <v>0</v>
      </c>
      <c r="CK909" s="763">
        <f t="shared" si="655"/>
        <v>0</v>
      </c>
      <c r="CL909" s="763">
        <f t="shared" si="655"/>
        <v>0</v>
      </c>
      <c r="CM909" s="763">
        <f t="shared" si="655"/>
        <v>0</v>
      </c>
      <c r="CN909" s="763">
        <f t="shared" si="655"/>
        <v>0</v>
      </c>
      <c r="CO909" s="763">
        <f t="shared" si="655"/>
        <v>0</v>
      </c>
      <c r="CP909" s="763">
        <f t="shared" si="655"/>
        <v>0</v>
      </c>
      <c r="CQ909" s="763">
        <f t="shared" si="655"/>
        <v>0</v>
      </c>
      <c r="CR909" s="763">
        <f t="shared" si="655"/>
        <v>0</v>
      </c>
      <c r="CS909" s="763">
        <f t="shared" si="655"/>
        <v>0</v>
      </c>
      <c r="CT909" s="763">
        <f t="shared" si="654"/>
        <v>0</v>
      </c>
      <c r="CU909" s="763">
        <f t="shared" si="654"/>
        <v>0</v>
      </c>
      <c r="CV909" s="763">
        <f t="shared" si="654"/>
        <v>0</v>
      </c>
      <c r="CW909" s="763">
        <f t="shared" si="654"/>
        <v>0</v>
      </c>
      <c r="CX909" s="763">
        <f t="shared" si="654"/>
        <v>0</v>
      </c>
      <c r="CY909" s="763">
        <f t="shared" si="654"/>
        <v>0</v>
      </c>
      <c r="CZ909" s="763">
        <f t="shared" si="654"/>
        <v>0</v>
      </c>
      <c r="DA909" s="763">
        <f t="shared" si="654"/>
        <v>0</v>
      </c>
      <c r="DB909" s="763">
        <f t="shared" si="654"/>
        <v>0</v>
      </c>
      <c r="DC909" s="763">
        <f t="shared" si="654"/>
        <v>0</v>
      </c>
      <c r="DD909" s="763">
        <f t="shared" si="654"/>
        <v>0</v>
      </c>
      <c r="DE909" s="763">
        <f t="shared" si="654"/>
        <v>0</v>
      </c>
      <c r="DF909" s="763">
        <f t="shared" si="654"/>
        <v>0</v>
      </c>
      <c r="DG909" s="763">
        <f t="shared" si="654"/>
        <v>0</v>
      </c>
      <c r="DH909" s="763">
        <f t="shared" si="654"/>
        <v>0</v>
      </c>
      <c r="DI909" s="763">
        <f t="shared" si="654"/>
        <v>0</v>
      </c>
      <c r="DJ909" s="763">
        <f t="shared" si="654"/>
        <v>0</v>
      </c>
      <c r="DK909" s="763">
        <f t="shared" si="654"/>
        <v>0</v>
      </c>
      <c r="DL909" s="763">
        <f t="shared" si="654"/>
        <v>0</v>
      </c>
      <c r="DM909" s="763">
        <f t="shared" si="654"/>
        <v>0</v>
      </c>
      <c r="DN909" s="763">
        <f t="shared" si="654"/>
        <v>0</v>
      </c>
      <c r="DO909" s="763">
        <f t="shared" si="654"/>
        <v>0</v>
      </c>
      <c r="DP909" s="763">
        <f t="shared" si="654"/>
        <v>0</v>
      </c>
      <c r="DQ909" s="763">
        <f t="shared" si="654"/>
        <v>0</v>
      </c>
      <c r="DR909" s="763">
        <f t="shared" si="654"/>
        <v>0</v>
      </c>
      <c r="DS909" s="763">
        <f t="shared" si="654"/>
        <v>0</v>
      </c>
      <c r="DT909" s="763">
        <f t="shared" si="654"/>
        <v>0</v>
      </c>
      <c r="DU909" s="763">
        <f t="shared" si="654"/>
        <v>0</v>
      </c>
      <c r="DV909" s="763">
        <f t="shared" si="654"/>
        <v>0</v>
      </c>
      <c r="DW909" s="763">
        <f t="shared" si="654"/>
        <v>0</v>
      </c>
      <c r="DX909" s="763">
        <f t="shared" si="654"/>
        <v>0</v>
      </c>
      <c r="DY909" s="763">
        <f t="shared" si="654"/>
        <v>0</v>
      </c>
      <c r="DZ909" s="763">
        <f t="shared" si="654"/>
        <v>0</v>
      </c>
      <c r="EA909" s="763">
        <f t="shared" si="654"/>
        <v>0</v>
      </c>
      <c r="EB909" s="763">
        <f t="shared" si="654"/>
        <v>0</v>
      </c>
      <c r="EC909" s="763">
        <f t="shared" si="654"/>
        <v>0</v>
      </c>
      <c r="ED909" s="763">
        <f t="shared" si="654"/>
        <v>0</v>
      </c>
      <c r="EE909" s="763">
        <f t="shared" si="654"/>
        <v>0</v>
      </c>
      <c r="EF909" s="763">
        <f t="shared" si="654"/>
        <v>0</v>
      </c>
      <c r="EG909" s="763">
        <f t="shared" si="654"/>
        <v>0</v>
      </c>
      <c r="EH909" s="763">
        <f t="shared" si="654"/>
        <v>0</v>
      </c>
      <c r="EI909" s="763">
        <f t="shared" si="654"/>
        <v>0</v>
      </c>
      <c r="EJ909" s="763">
        <f t="shared" si="654"/>
        <v>0</v>
      </c>
      <c r="EK909" s="763">
        <f t="shared" si="654"/>
        <v>0</v>
      </c>
      <c r="EL909" s="763">
        <f t="shared" si="654"/>
        <v>0</v>
      </c>
      <c r="EM909" s="763">
        <f t="shared" si="654"/>
        <v>0</v>
      </c>
      <c r="EN909" s="763">
        <f t="shared" si="654"/>
        <v>0</v>
      </c>
      <c r="EO909" s="763">
        <f t="shared" si="654"/>
        <v>0</v>
      </c>
      <c r="EP909" s="763">
        <f t="shared" si="654"/>
        <v>0</v>
      </c>
      <c r="EQ909" s="763">
        <f t="shared" si="654"/>
        <v>0</v>
      </c>
      <c r="ER909" s="763">
        <f t="shared" si="654"/>
        <v>0</v>
      </c>
      <c r="ES909" s="763">
        <f t="shared" si="654"/>
        <v>0</v>
      </c>
      <c r="ET909" s="763">
        <f t="shared" si="654"/>
        <v>0</v>
      </c>
      <c r="EU909" s="763">
        <f t="shared" si="654"/>
        <v>0</v>
      </c>
      <c r="EV909" s="763">
        <f t="shared" si="654"/>
        <v>0</v>
      </c>
    </row>
    <row r="910" spans="1:152" s="12" customFormat="1" ht="12" customHeight="1" x14ac:dyDescent="0.35">
      <c r="A910" s="84"/>
      <c r="B910" s="13"/>
      <c r="C910" s="13"/>
      <c r="D910" s="13"/>
      <c r="E910" s="13"/>
      <c r="F910" s="13"/>
      <c r="G910" s="1804"/>
      <c r="H910" s="1183"/>
      <c r="I910" s="1804"/>
      <c r="J910" s="1804"/>
      <c r="K910" s="141"/>
      <c r="L910" s="141"/>
      <c r="M910" s="141"/>
      <c r="N910" s="141"/>
      <c r="O910" s="141"/>
      <c r="P910" s="141"/>
      <c r="Q910" s="141"/>
      <c r="R910" s="31"/>
      <c r="S910" s="36"/>
      <c r="T910" s="376"/>
      <c r="U910" s="29"/>
      <c r="V910" s="29"/>
      <c r="W910" s="377"/>
      <c r="X910" s="376"/>
      <c r="Y910" s="29"/>
      <c r="Z910" s="29"/>
      <c r="AA910" s="29" t="str">
        <f t="shared" si="643"/>
        <v>Convertible Note #3</v>
      </c>
      <c r="AB910" s="763">
        <f t="shared" si="644"/>
        <v>0</v>
      </c>
      <c r="AC910" s="29">
        <f t="shared" si="645"/>
        <v>16</v>
      </c>
      <c r="AD910" s="29"/>
      <c r="AE910" s="376" t="str">
        <f t="shared" si="646"/>
        <v>Convertible Note #3</v>
      </c>
      <c r="AF910" s="376"/>
      <c r="AG910" s="763">
        <f t="shared" si="640"/>
        <v>0</v>
      </c>
      <c r="AH910" s="763">
        <f t="shared" si="655"/>
        <v>0</v>
      </c>
      <c r="AI910" s="763">
        <f t="shared" si="655"/>
        <v>0</v>
      </c>
      <c r="AJ910" s="763">
        <f t="shared" si="655"/>
        <v>0</v>
      </c>
      <c r="AK910" s="763">
        <f t="shared" si="655"/>
        <v>0</v>
      </c>
      <c r="AL910" s="763">
        <f t="shared" si="655"/>
        <v>0</v>
      </c>
      <c r="AM910" s="763">
        <f t="shared" si="655"/>
        <v>0</v>
      </c>
      <c r="AN910" s="763">
        <f t="shared" si="655"/>
        <v>0</v>
      </c>
      <c r="AO910" s="763">
        <f t="shared" si="655"/>
        <v>0</v>
      </c>
      <c r="AP910" s="763">
        <f t="shared" si="655"/>
        <v>0</v>
      </c>
      <c r="AQ910" s="763">
        <f t="shared" si="655"/>
        <v>0</v>
      </c>
      <c r="AR910" s="763">
        <f t="shared" si="655"/>
        <v>0</v>
      </c>
      <c r="AS910" s="763">
        <f t="shared" si="655"/>
        <v>0</v>
      </c>
      <c r="AT910" s="763">
        <f t="shared" si="655"/>
        <v>0</v>
      </c>
      <c r="AU910" s="763">
        <f t="shared" si="655"/>
        <v>0</v>
      </c>
      <c r="AV910" s="763">
        <f t="shared" si="655"/>
        <v>0</v>
      </c>
      <c r="AW910" s="763">
        <f t="shared" si="655"/>
        <v>0</v>
      </c>
      <c r="AX910" s="763">
        <f t="shared" si="655"/>
        <v>0</v>
      </c>
      <c r="AY910" s="763">
        <f t="shared" si="655"/>
        <v>0</v>
      </c>
      <c r="AZ910" s="763">
        <f t="shared" si="655"/>
        <v>0</v>
      </c>
      <c r="BA910" s="763">
        <f t="shared" si="655"/>
        <v>0</v>
      </c>
      <c r="BB910" s="763">
        <f t="shared" si="655"/>
        <v>0</v>
      </c>
      <c r="BC910" s="763">
        <f t="shared" si="655"/>
        <v>0</v>
      </c>
      <c r="BD910" s="763">
        <f t="shared" si="655"/>
        <v>0</v>
      </c>
      <c r="BE910" s="763">
        <f t="shared" si="655"/>
        <v>0</v>
      </c>
      <c r="BF910" s="763">
        <f t="shared" si="655"/>
        <v>0</v>
      </c>
      <c r="BG910" s="763">
        <f t="shared" si="655"/>
        <v>0</v>
      </c>
      <c r="BH910" s="763">
        <f t="shared" si="655"/>
        <v>0</v>
      </c>
      <c r="BI910" s="763">
        <f t="shared" si="655"/>
        <v>0</v>
      </c>
      <c r="BJ910" s="763">
        <f t="shared" si="655"/>
        <v>0</v>
      </c>
      <c r="BK910" s="763">
        <f t="shared" si="655"/>
        <v>0</v>
      </c>
      <c r="BL910" s="763">
        <f t="shared" si="655"/>
        <v>0</v>
      </c>
      <c r="BM910" s="763">
        <f t="shared" si="655"/>
        <v>0</v>
      </c>
      <c r="BN910" s="763">
        <f t="shared" si="655"/>
        <v>0</v>
      </c>
      <c r="BO910" s="763">
        <f t="shared" si="655"/>
        <v>0</v>
      </c>
      <c r="BP910" s="763">
        <f t="shared" si="655"/>
        <v>0</v>
      </c>
      <c r="BQ910" s="763">
        <f t="shared" si="655"/>
        <v>0</v>
      </c>
      <c r="BR910" s="763">
        <f t="shared" si="655"/>
        <v>0</v>
      </c>
      <c r="BS910" s="763">
        <f t="shared" si="655"/>
        <v>0</v>
      </c>
      <c r="BT910" s="763">
        <f t="shared" si="655"/>
        <v>0</v>
      </c>
      <c r="BU910" s="763">
        <f t="shared" si="655"/>
        <v>0</v>
      </c>
      <c r="BV910" s="763">
        <f t="shared" si="655"/>
        <v>0</v>
      </c>
      <c r="BW910" s="763">
        <f t="shared" si="655"/>
        <v>0</v>
      </c>
      <c r="BX910" s="763">
        <f t="shared" si="655"/>
        <v>0</v>
      </c>
      <c r="BY910" s="763">
        <f t="shared" si="655"/>
        <v>0</v>
      </c>
      <c r="BZ910" s="763">
        <f t="shared" si="655"/>
        <v>0</v>
      </c>
      <c r="CA910" s="763">
        <f t="shared" si="655"/>
        <v>0</v>
      </c>
      <c r="CB910" s="763">
        <f t="shared" si="655"/>
        <v>0</v>
      </c>
      <c r="CC910" s="763">
        <f t="shared" si="655"/>
        <v>0</v>
      </c>
      <c r="CD910" s="763">
        <f t="shared" si="655"/>
        <v>0</v>
      </c>
      <c r="CE910" s="763">
        <f t="shared" si="655"/>
        <v>0</v>
      </c>
      <c r="CF910" s="763">
        <f t="shared" si="655"/>
        <v>0</v>
      </c>
      <c r="CG910" s="763">
        <f t="shared" si="655"/>
        <v>0</v>
      </c>
      <c r="CH910" s="763">
        <f t="shared" si="655"/>
        <v>0</v>
      </c>
      <c r="CI910" s="763">
        <f t="shared" si="655"/>
        <v>0</v>
      </c>
      <c r="CJ910" s="763">
        <f t="shared" si="655"/>
        <v>0</v>
      </c>
      <c r="CK910" s="763">
        <f t="shared" si="655"/>
        <v>0</v>
      </c>
      <c r="CL910" s="763">
        <f t="shared" si="655"/>
        <v>0</v>
      </c>
      <c r="CM910" s="763">
        <f t="shared" si="655"/>
        <v>0</v>
      </c>
      <c r="CN910" s="763">
        <f t="shared" si="655"/>
        <v>0</v>
      </c>
      <c r="CO910" s="763">
        <f t="shared" si="655"/>
        <v>0</v>
      </c>
      <c r="CP910" s="763">
        <f t="shared" si="655"/>
        <v>0</v>
      </c>
      <c r="CQ910" s="763">
        <f t="shared" si="655"/>
        <v>0</v>
      </c>
      <c r="CR910" s="763">
        <f t="shared" si="655"/>
        <v>0</v>
      </c>
      <c r="CS910" s="763">
        <f t="shared" si="655"/>
        <v>0</v>
      </c>
      <c r="CT910" s="763">
        <f t="shared" si="654"/>
        <v>0</v>
      </c>
      <c r="CU910" s="763">
        <f t="shared" si="654"/>
        <v>0</v>
      </c>
      <c r="CV910" s="763">
        <f t="shared" si="654"/>
        <v>0</v>
      </c>
      <c r="CW910" s="763">
        <f t="shared" si="654"/>
        <v>0</v>
      </c>
      <c r="CX910" s="763">
        <f t="shared" si="654"/>
        <v>0</v>
      </c>
      <c r="CY910" s="763">
        <f t="shared" si="654"/>
        <v>0</v>
      </c>
      <c r="CZ910" s="763">
        <f t="shared" si="654"/>
        <v>0</v>
      </c>
      <c r="DA910" s="763">
        <f t="shared" si="654"/>
        <v>0</v>
      </c>
      <c r="DB910" s="763">
        <f t="shared" si="654"/>
        <v>0</v>
      </c>
      <c r="DC910" s="763">
        <f t="shared" si="654"/>
        <v>0</v>
      </c>
      <c r="DD910" s="763">
        <f t="shared" si="654"/>
        <v>0</v>
      </c>
      <c r="DE910" s="763">
        <f t="shared" si="654"/>
        <v>0</v>
      </c>
      <c r="DF910" s="763">
        <f t="shared" si="654"/>
        <v>0</v>
      </c>
      <c r="DG910" s="763">
        <f t="shared" si="654"/>
        <v>0</v>
      </c>
      <c r="DH910" s="763">
        <f t="shared" si="654"/>
        <v>0</v>
      </c>
      <c r="DI910" s="763">
        <f t="shared" si="654"/>
        <v>0</v>
      </c>
      <c r="DJ910" s="763">
        <f t="shared" si="654"/>
        <v>0</v>
      </c>
      <c r="DK910" s="763">
        <f t="shared" si="654"/>
        <v>0</v>
      </c>
      <c r="DL910" s="763">
        <f t="shared" si="654"/>
        <v>0</v>
      </c>
      <c r="DM910" s="763">
        <f t="shared" si="654"/>
        <v>0</v>
      </c>
      <c r="DN910" s="763">
        <f t="shared" si="654"/>
        <v>0</v>
      </c>
      <c r="DO910" s="763">
        <f t="shared" si="654"/>
        <v>0</v>
      </c>
      <c r="DP910" s="763">
        <f t="shared" si="654"/>
        <v>0</v>
      </c>
      <c r="DQ910" s="763">
        <f t="shared" si="654"/>
        <v>0</v>
      </c>
      <c r="DR910" s="763">
        <f t="shared" si="654"/>
        <v>0</v>
      </c>
      <c r="DS910" s="763">
        <f t="shared" si="654"/>
        <v>0</v>
      </c>
      <c r="DT910" s="763">
        <f t="shared" si="654"/>
        <v>0</v>
      </c>
      <c r="DU910" s="763">
        <f t="shared" si="654"/>
        <v>0</v>
      </c>
      <c r="DV910" s="763">
        <f t="shared" si="654"/>
        <v>0</v>
      </c>
      <c r="DW910" s="763">
        <f t="shared" si="654"/>
        <v>0</v>
      </c>
      <c r="DX910" s="763">
        <f t="shared" si="654"/>
        <v>0</v>
      </c>
      <c r="DY910" s="763">
        <f t="shared" si="654"/>
        <v>0</v>
      </c>
      <c r="DZ910" s="763">
        <f t="shared" si="654"/>
        <v>0</v>
      </c>
      <c r="EA910" s="763">
        <f t="shared" si="654"/>
        <v>0</v>
      </c>
      <c r="EB910" s="763">
        <f t="shared" si="654"/>
        <v>0</v>
      </c>
      <c r="EC910" s="763">
        <f t="shared" si="654"/>
        <v>0</v>
      </c>
      <c r="ED910" s="763">
        <f t="shared" si="654"/>
        <v>0</v>
      </c>
      <c r="EE910" s="763">
        <f t="shared" si="654"/>
        <v>0</v>
      </c>
      <c r="EF910" s="763">
        <f t="shared" si="654"/>
        <v>0</v>
      </c>
      <c r="EG910" s="763">
        <f t="shared" si="654"/>
        <v>0</v>
      </c>
      <c r="EH910" s="763">
        <f t="shared" si="654"/>
        <v>0</v>
      </c>
      <c r="EI910" s="763">
        <f t="shared" si="654"/>
        <v>0</v>
      </c>
      <c r="EJ910" s="763">
        <f t="shared" si="654"/>
        <v>0</v>
      </c>
      <c r="EK910" s="763">
        <f t="shared" si="654"/>
        <v>0</v>
      </c>
      <c r="EL910" s="763">
        <f t="shared" si="654"/>
        <v>0</v>
      </c>
      <c r="EM910" s="763">
        <f t="shared" si="654"/>
        <v>0</v>
      </c>
      <c r="EN910" s="763">
        <f t="shared" si="654"/>
        <v>0</v>
      </c>
      <c r="EO910" s="763">
        <f t="shared" si="654"/>
        <v>0</v>
      </c>
      <c r="EP910" s="763">
        <f t="shared" si="654"/>
        <v>0</v>
      </c>
      <c r="EQ910" s="763">
        <f t="shared" si="654"/>
        <v>0</v>
      </c>
      <c r="ER910" s="763">
        <f t="shared" si="654"/>
        <v>0</v>
      </c>
      <c r="ES910" s="763">
        <f t="shared" si="654"/>
        <v>0</v>
      </c>
      <c r="ET910" s="763">
        <f t="shared" si="654"/>
        <v>0</v>
      </c>
      <c r="EU910" s="763">
        <f t="shared" si="654"/>
        <v>0</v>
      </c>
      <c r="EV910" s="763">
        <f t="shared" si="654"/>
        <v>0</v>
      </c>
    </row>
    <row r="911" spans="1:152" s="12" customFormat="1" ht="12" customHeight="1" x14ac:dyDescent="0.35">
      <c r="A911" s="84"/>
      <c r="B911" s="13"/>
      <c r="C911" s="13"/>
      <c r="D911" s="13"/>
      <c r="E911" s="13"/>
      <c r="F911" s="13"/>
      <c r="G911" s="1804"/>
      <c r="H911" s="1183"/>
      <c r="I911" s="1804"/>
      <c r="J911" s="1804"/>
      <c r="K911" s="141"/>
      <c r="L911" s="141"/>
      <c r="M911" s="141"/>
      <c r="N911" s="141"/>
      <c r="O911" s="141"/>
      <c r="P911" s="141"/>
      <c r="Q911" s="141"/>
      <c r="R911" s="31"/>
      <c r="S911" s="36"/>
      <c r="T911" s="376"/>
      <c r="U911" s="29"/>
      <c r="V911" s="29"/>
      <c r="W911" s="377"/>
      <c r="X911" s="376"/>
      <c r="Y911" s="29"/>
      <c r="Z911" s="29"/>
      <c r="AA911" s="29"/>
      <c r="AB911" s="29"/>
      <c r="AC911" s="29"/>
      <c r="AD911" s="29"/>
      <c r="AE911" s="29"/>
      <c r="AF911" s="376"/>
      <c r="AG911" s="376"/>
      <c r="AH911" s="376"/>
      <c r="AI911" s="376"/>
      <c r="AJ911" s="376"/>
      <c r="AK911" s="376"/>
      <c r="AL911" s="376"/>
      <c r="AM911" s="376"/>
      <c r="AN911" s="376"/>
      <c r="AO911" s="376"/>
      <c r="AP911" s="376"/>
      <c r="AQ911" s="376"/>
      <c r="AR911" s="376"/>
      <c r="AS911" s="376"/>
      <c r="AT911" s="376"/>
      <c r="AU911" s="376"/>
      <c r="AV911" s="376"/>
      <c r="AW911" s="376"/>
      <c r="AX911" s="376"/>
      <c r="AY911" s="376"/>
      <c r="AZ911" s="376"/>
      <c r="BA911" s="376"/>
      <c r="BB911" s="376"/>
      <c r="BC911" s="376"/>
      <c r="BD911" s="376"/>
      <c r="BE911" s="376"/>
      <c r="BF911" s="376"/>
      <c r="BG911" s="376"/>
      <c r="BH911" s="376"/>
      <c r="BI911" s="376"/>
      <c r="BJ911" s="376"/>
      <c r="BK911" s="376"/>
      <c r="BL911" s="376"/>
      <c r="BM911" s="376"/>
      <c r="BN911" s="376"/>
      <c r="BO911" s="376"/>
      <c r="BP911" s="376"/>
      <c r="BQ911" s="376"/>
      <c r="BR911" s="376"/>
      <c r="BS911" s="376"/>
      <c r="BT911" s="376"/>
      <c r="BU911" s="376"/>
      <c r="BV911" s="376"/>
      <c r="BW911" s="376"/>
      <c r="BX911" s="376"/>
      <c r="BY911" s="376"/>
      <c r="BZ911" s="376"/>
      <c r="CA911" s="376"/>
      <c r="CB911" s="376"/>
      <c r="CC911" s="376"/>
      <c r="CD911" s="376"/>
      <c r="CE911" s="376"/>
      <c r="CF911" s="376"/>
      <c r="CG911" s="376"/>
      <c r="CH911" s="376"/>
      <c r="CI911" s="376"/>
      <c r="CJ911" s="376"/>
      <c r="CK911" s="376"/>
      <c r="CL911" s="376"/>
      <c r="CM911" s="376"/>
      <c r="CN911" s="376"/>
      <c r="CO911" s="376"/>
      <c r="CP911" s="376"/>
      <c r="CQ911" s="376"/>
      <c r="CR911" s="376"/>
      <c r="CS911" s="376"/>
      <c r="CT911" s="376"/>
      <c r="CU911" s="376"/>
      <c r="CV911" s="376"/>
      <c r="CW911" s="376"/>
      <c r="CX911" s="376"/>
      <c r="CY911" s="376"/>
      <c r="CZ911" s="376"/>
      <c r="DA911" s="376"/>
      <c r="DB911" s="376"/>
      <c r="DC911" s="376"/>
      <c r="DD911" s="376"/>
      <c r="DE911" s="376"/>
      <c r="DF911" s="376"/>
      <c r="DG911" s="376"/>
      <c r="DH911" s="376"/>
      <c r="DI911" s="376"/>
      <c r="DJ911" s="376"/>
      <c r="DK911" s="376"/>
      <c r="DL911" s="376"/>
      <c r="DM911" s="376"/>
      <c r="DN911" s="376"/>
      <c r="DO911" s="376"/>
      <c r="DP911" s="376"/>
      <c r="DQ911" s="376"/>
      <c r="DR911" s="29"/>
      <c r="DS911" s="29"/>
      <c r="DT911" s="29"/>
      <c r="DU911" s="29"/>
      <c r="DV911" s="29"/>
      <c r="DW911" s="29"/>
      <c r="DX911" s="29"/>
      <c r="DY911" s="29"/>
      <c r="DZ911" s="29"/>
      <c r="EA911" s="29"/>
      <c r="EB911" s="29"/>
      <c r="EC911" s="29"/>
      <c r="ED911" s="29"/>
      <c r="EE911" s="29"/>
      <c r="EF911" s="29"/>
      <c r="EG911" s="29"/>
      <c r="EH911" s="29"/>
      <c r="EI911" s="29"/>
      <c r="EJ911" s="29"/>
      <c r="EK911" s="29"/>
      <c r="EL911" s="29"/>
      <c r="EM911" s="29"/>
      <c r="EN911" s="29"/>
      <c r="EO911" s="29"/>
      <c r="EP911" s="29"/>
      <c r="EQ911" s="29"/>
      <c r="ER911" s="29"/>
      <c r="ES911" s="29"/>
      <c r="ET911" s="29"/>
      <c r="EU911" s="29"/>
      <c r="EV911" s="29"/>
    </row>
    <row r="912" spans="1:152" s="12" customFormat="1" ht="12" customHeight="1" x14ac:dyDescent="0.35">
      <c r="A912" s="84"/>
      <c r="B912" s="13"/>
      <c r="C912" s="13"/>
      <c r="D912" s="13"/>
      <c r="E912" s="13"/>
      <c r="F912" s="13"/>
      <c r="G912" s="1804"/>
      <c r="H912" s="1183"/>
      <c r="I912" s="1804"/>
      <c r="J912" s="1804"/>
      <c r="K912" s="141"/>
      <c r="L912" s="141"/>
      <c r="M912" s="141"/>
      <c r="N912" s="141"/>
      <c r="O912" s="141"/>
      <c r="P912" s="141"/>
      <c r="Q912" s="141"/>
      <c r="R912" s="31"/>
      <c r="S912" s="36"/>
      <c r="T912" s="376"/>
      <c r="U912" s="29"/>
      <c r="V912" s="29"/>
      <c r="W912" s="377"/>
      <c r="X912" s="376"/>
      <c r="Y912" s="29"/>
      <c r="Z912" s="29"/>
      <c r="AA912" s="29"/>
      <c r="AB912" s="29"/>
      <c r="AC912" s="29"/>
      <c r="AD912" s="29"/>
      <c r="AE912" s="29"/>
      <c r="AF912" s="376"/>
      <c r="AG912" s="376"/>
      <c r="AH912" s="376"/>
      <c r="AI912" s="376"/>
      <c r="AJ912" s="376"/>
      <c r="AK912" s="376"/>
      <c r="AL912" s="376"/>
      <c r="AM912" s="376"/>
      <c r="AN912" s="376"/>
      <c r="AO912" s="376"/>
      <c r="AP912" s="376"/>
      <c r="AQ912" s="376"/>
      <c r="AR912" s="376"/>
      <c r="AS912" s="376"/>
      <c r="AT912" s="376"/>
      <c r="AU912" s="376"/>
      <c r="AV912" s="376"/>
      <c r="AW912" s="376"/>
      <c r="AX912" s="376"/>
      <c r="AY912" s="376"/>
      <c r="AZ912" s="376"/>
      <c r="BA912" s="376"/>
      <c r="BB912" s="376"/>
      <c r="BC912" s="376"/>
      <c r="BD912" s="376"/>
      <c r="BE912" s="376"/>
      <c r="BF912" s="376"/>
      <c r="BG912" s="376"/>
      <c r="BH912" s="376"/>
      <c r="BI912" s="376"/>
      <c r="BJ912" s="376"/>
      <c r="BK912" s="376"/>
      <c r="BL912" s="376"/>
      <c r="BM912" s="376"/>
      <c r="BN912" s="376"/>
      <c r="BO912" s="376"/>
      <c r="BP912" s="376"/>
      <c r="BQ912" s="376"/>
      <c r="BR912" s="376"/>
      <c r="BS912" s="376"/>
      <c r="BT912" s="376"/>
      <c r="BU912" s="376"/>
      <c r="BV912" s="376"/>
      <c r="BW912" s="376"/>
      <c r="BX912" s="376"/>
      <c r="BY912" s="376"/>
      <c r="BZ912" s="376"/>
      <c r="CA912" s="376"/>
      <c r="CB912" s="376"/>
      <c r="CC912" s="376"/>
      <c r="CD912" s="376"/>
      <c r="CE912" s="376"/>
      <c r="CF912" s="376"/>
      <c r="CG912" s="376"/>
      <c r="CH912" s="376"/>
      <c r="CI912" s="376"/>
      <c r="CJ912" s="376"/>
      <c r="CK912" s="376"/>
      <c r="CL912" s="376"/>
      <c r="CM912" s="376"/>
      <c r="CN912" s="376"/>
      <c r="CO912" s="376"/>
      <c r="CP912" s="376"/>
      <c r="CQ912" s="376"/>
      <c r="CR912" s="376"/>
      <c r="CS912" s="376"/>
      <c r="CT912" s="376"/>
      <c r="CU912" s="376"/>
      <c r="CV912" s="376"/>
      <c r="CW912" s="376"/>
      <c r="CX912" s="376"/>
      <c r="CY912" s="376"/>
      <c r="CZ912" s="376"/>
      <c r="DA912" s="376"/>
      <c r="DB912" s="376"/>
      <c r="DC912" s="376"/>
      <c r="DD912" s="376"/>
      <c r="DE912" s="376"/>
      <c r="DF912" s="376"/>
      <c r="DG912" s="376"/>
      <c r="DH912" s="376"/>
      <c r="DI912" s="376"/>
      <c r="DJ912" s="376"/>
      <c r="DK912" s="376"/>
      <c r="DL912" s="376"/>
      <c r="DM912" s="376"/>
      <c r="DN912" s="376"/>
      <c r="DO912" s="376"/>
      <c r="DP912" s="376"/>
      <c r="DQ912" s="376"/>
      <c r="DR912" s="29"/>
      <c r="DS912" s="29"/>
      <c r="DT912" s="29"/>
      <c r="DU912" s="29"/>
      <c r="DV912" s="29"/>
      <c r="DW912" s="29"/>
      <c r="DX912" s="29"/>
      <c r="DY912" s="29"/>
      <c r="DZ912" s="29"/>
      <c r="EA912" s="29"/>
      <c r="EB912" s="29"/>
      <c r="EC912" s="29"/>
      <c r="ED912" s="29"/>
      <c r="EE912" s="29"/>
      <c r="EF912" s="29"/>
      <c r="EG912" s="29"/>
      <c r="EH912" s="29"/>
      <c r="EI912" s="29"/>
      <c r="EJ912" s="29"/>
      <c r="EK912" s="29"/>
      <c r="EL912" s="29"/>
      <c r="EM912" s="29"/>
      <c r="EN912" s="29"/>
      <c r="EO912" s="29"/>
      <c r="EP912" s="29"/>
      <c r="EQ912" s="29"/>
      <c r="ER912" s="29"/>
      <c r="ES912" s="29"/>
      <c r="ET912" s="29"/>
      <c r="EU912" s="29"/>
      <c r="EV912" s="29"/>
    </row>
    <row r="913" spans="1:152" s="12" customFormat="1" ht="12" customHeight="1" x14ac:dyDescent="0.35">
      <c r="A913" s="84"/>
      <c r="B913" s="13"/>
      <c r="C913" s="13"/>
      <c r="D913" s="13"/>
      <c r="E913" s="13"/>
      <c r="F913" s="13"/>
      <c r="G913" s="1804"/>
      <c r="H913" s="1183"/>
      <c r="I913" s="1804"/>
      <c r="J913" s="1804"/>
      <c r="K913" s="141"/>
      <c r="L913" s="141"/>
      <c r="M913" s="141"/>
      <c r="N913" s="141"/>
      <c r="O913" s="141"/>
      <c r="P913" s="141"/>
      <c r="Q913" s="141"/>
      <c r="R913" s="31"/>
      <c r="S913" s="36"/>
      <c r="T913" s="376"/>
      <c r="U913" s="29"/>
      <c r="V913" s="29"/>
      <c r="W913" s="377"/>
      <c r="X913" s="376"/>
      <c r="Y913" s="29"/>
      <c r="Z913" s="29"/>
      <c r="AA913" s="29"/>
      <c r="AB913" s="29"/>
      <c r="AC913" s="29"/>
      <c r="AD913" s="29"/>
      <c r="AE913" s="29"/>
      <c r="AF913" s="376"/>
      <c r="AG913" s="376"/>
      <c r="AH913" s="376"/>
      <c r="AI913" s="376"/>
      <c r="AJ913" s="376"/>
      <c r="AK913" s="376"/>
      <c r="AL913" s="376"/>
      <c r="AM913" s="376"/>
      <c r="AN913" s="376"/>
      <c r="AO913" s="376"/>
      <c r="AP913" s="376"/>
      <c r="AQ913" s="376"/>
      <c r="AR913" s="376"/>
      <c r="AS913" s="376"/>
      <c r="AT913" s="376"/>
      <c r="AU913" s="376"/>
      <c r="AV913" s="376"/>
      <c r="AW913" s="376"/>
      <c r="AX913" s="376"/>
      <c r="AY913" s="376"/>
      <c r="AZ913" s="376"/>
      <c r="BA913" s="376"/>
      <c r="BB913" s="376"/>
      <c r="BC913" s="376"/>
      <c r="BD913" s="376"/>
      <c r="BE913" s="376"/>
      <c r="BF913" s="376"/>
      <c r="BG913" s="376"/>
      <c r="BH913" s="376"/>
      <c r="BI913" s="376"/>
      <c r="BJ913" s="376"/>
      <c r="BK913" s="376"/>
      <c r="BL913" s="376"/>
      <c r="BM913" s="376"/>
      <c r="BN913" s="376"/>
      <c r="BO913" s="376"/>
      <c r="BP913" s="376"/>
      <c r="BQ913" s="376"/>
      <c r="BR913" s="376"/>
      <c r="BS913" s="376"/>
      <c r="BT913" s="376"/>
      <c r="BU913" s="376"/>
      <c r="BV913" s="376"/>
      <c r="BW913" s="376"/>
      <c r="BX913" s="376"/>
      <c r="BY913" s="376"/>
      <c r="BZ913" s="376"/>
      <c r="CA913" s="376"/>
      <c r="CB913" s="376"/>
      <c r="CC913" s="376"/>
      <c r="CD913" s="376"/>
      <c r="CE913" s="376"/>
      <c r="CF913" s="376"/>
      <c r="CG913" s="376"/>
      <c r="CH913" s="376"/>
      <c r="CI913" s="376"/>
      <c r="CJ913" s="376"/>
      <c r="CK913" s="376"/>
      <c r="CL913" s="376"/>
      <c r="CM913" s="376"/>
      <c r="CN913" s="376"/>
      <c r="CO913" s="376"/>
      <c r="CP913" s="376"/>
      <c r="CQ913" s="376"/>
      <c r="CR913" s="376"/>
      <c r="CS913" s="376"/>
      <c r="CT913" s="376"/>
      <c r="CU913" s="376"/>
      <c r="CV913" s="376"/>
      <c r="CW913" s="376"/>
      <c r="CX913" s="376"/>
      <c r="CY913" s="376"/>
      <c r="CZ913" s="376"/>
      <c r="DA913" s="376"/>
      <c r="DB913" s="376"/>
      <c r="DC913" s="376"/>
      <c r="DD913" s="376"/>
      <c r="DE913" s="376"/>
      <c r="DF913" s="376"/>
      <c r="DG913" s="376"/>
      <c r="DH913" s="376"/>
      <c r="DI913" s="376"/>
      <c r="DJ913" s="376"/>
      <c r="DK913" s="376"/>
      <c r="DL913" s="376"/>
      <c r="DM913" s="376"/>
      <c r="DN913" s="376"/>
      <c r="DO913" s="376"/>
      <c r="DP913" s="376"/>
      <c r="DQ913" s="376"/>
      <c r="DR913" s="29"/>
      <c r="DS913" s="29"/>
      <c r="DT913" s="29"/>
      <c r="DU913" s="29"/>
      <c r="DV913" s="29"/>
      <c r="DW913" s="29"/>
      <c r="DX913" s="29"/>
      <c r="DY913" s="29"/>
      <c r="DZ913" s="29"/>
      <c r="EA913" s="29"/>
      <c r="EB913" s="29"/>
      <c r="EC913" s="29"/>
      <c r="ED913" s="29"/>
      <c r="EE913" s="29"/>
      <c r="EF913" s="29"/>
      <c r="EG913" s="29"/>
      <c r="EH913" s="29"/>
      <c r="EI913" s="29"/>
      <c r="EJ913" s="29"/>
      <c r="EK913" s="29"/>
      <c r="EL913" s="29"/>
      <c r="EM913" s="29"/>
      <c r="EN913" s="29"/>
      <c r="EO913" s="29"/>
      <c r="EP913" s="29"/>
      <c r="EQ913" s="29"/>
      <c r="ER913" s="29"/>
      <c r="ES913" s="29"/>
      <c r="ET913" s="29"/>
      <c r="EU913" s="29"/>
      <c r="EV913" s="29"/>
    </row>
    <row r="914" spans="1:152" s="12" customFormat="1" ht="12" customHeight="1" x14ac:dyDescent="0.35">
      <c r="A914" s="84"/>
      <c r="B914" s="13"/>
      <c r="C914" s="13"/>
      <c r="D914" s="13"/>
      <c r="E914" s="13"/>
      <c r="F914" s="13"/>
      <c r="G914" s="1804"/>
      <c r="H914" s="1183"/>
      <c r="I914" s="1804"/>
      <c r="J914" s="1804"/>
      <c r="K914" s="141"/>
      <c r="L914" s="141"/>
      <c r="M914" s="141"/>
      <c r="N914" s="141"/>
      <c r="O914" s="141"/>
      <c r="P914" s="141"/>
      <c r="Q914" s="387" t="s">
        <v>552</v>
      </c>
      <c r="R914" s="387" t="s">
        <v>553</v>
      </c>
      <c r="S914" s="387" t="s">
        <v>553</v>
      </c>
      <c r="T914" s="29"/>
      <c r="U914" s="387" t="s">
        <v>176</v>
      </c>
      <c r="V914" s="387" t="s">
        <v>554</v>
      </c>
      <c r="W914" s="387" t="s">
        <v>555</v>
      </c>
      <c r="X914" s="387" t="s">
        <v>2</v>
      </c>
      <c r="Y914" s="388" t="s">
        <v>464</v>
      </c>
      <c r="Z914" s="388" t="s">
        <v>496</v>
      </c>
      <c r="AA914" s="387" t="s">
        <v>497</v>
      </c>
      <c r="AB914" s="387" t="s">
        <v>556</v>
      </c>
      <c r="AC914" s="29"/>
      <c r="AD914" s="29"/>
      <c r="AE914" s="29"/>
      <c r="AF914" s="32" t="s">
        <v>465</v>
      </c>
      <c r="AG914" s="376"/>
      <c r="AH914" s="376"/>
      <c r="AI914" s="376"/>
      <c r="AJ914" s="376"/>
      <c r="AK914" s="376"/>
      <c r="AL914" s="376"/>
      <c r="AM914" s="376"/>
      <c r="AN914" s="376"/>
      <c r="AO914" s="376"/>
      <c r="AP914" s="376"/>
      <c r="AQ914" s="376"/>
      <c r="AR914" s="376"/>
      <c r="AS914" s="376"/>
      <c r="AT914" s="376"/>
      <c r="AU914" s="376"/>
      <c r="AV914" s="376"/>
      <c r="AW914" s="376"/>
      <c r="AX914" s="376"/>
      <c r="AY914" s="376"/>
      <c r="AZ914" s="376"/>
      <c r="BA914" s="376"/>
      <c r="BB914" s="376"/>
      <c r="BC914" s="376"/>
      <c r="BD914" s="376"/>
      <c r="BE914" s="376"/>
      <c r="BF914" s="376"/>
      <c r="BG914" s="376"/>
      <c r="BH914" s="376"/>
      <c r="BI914" s="376"/>
      <c r="BJ914" s="376"/>
      <c r="BK914" s="376"/>
      <c r="BL914" s="376"/>
      <c r="BM914" s="376"/>
      <c r="BN914" s="376"/>
      <c r="BO914" s="376"/>
      <c r="BP914" s="376"/>
      <c r="BQ914" s="376"/>
      <c r="BR914" s="376"/>
      <c r="BS914" s="376"/>
      <c r="BT914" s="376"/>
      <c r="BU914" s="376"/>
      <c r="BV914" s="376"/>
      <c r="BW914" s="376"/>
      <c r="BX914" s="376"/>
      <c r="BY914" s="376"/>
      <c r="BZ914" s="376"/>
      <c r="CA914" s="376"/>
      <c r="CB914" s="376"/>
      <c r="CC914" s="376"/>
      <c r="CD914" s="376"/>
      <c r="CE914" s="376"/>
      <c r="CF914" s="376"/>
      <c r="CG914" s="376"/>
      <c r="CH914" s="376"/>
      <c r="CI914" s="376"/>
      <c r="CJ914" s="376"/>
      <c r="CK914" s="376"/>
      <c r="CL914" s="376"/>
      <c r="CM914" s="376"/>
      <c r="CN914" s="376"/>
      <c r="CO914" s="376"/>
      <c r="CP914" s="376"/>
      <c r="CQ914" s="376"/>
      <c r="CR914" s="376"/>
      <c r="CS914" s="376"/>
      <c r="CT914" s="376"/>
      <c r="CU914" s="376"/>
      <c r="CV914" s="376"/>
      <c r="CW914" s="376"/>
      <c r="CX914" s="376"/>
      <c r="CY914" s="376"/>
      <c r="CZ914" s="376"/>
      <c r="DA914" s="376"/>
      <c r="DB914" s="376"/>
      <c r="DC914" s="376"/>
      <c r="DD914" s="376"/>
      <c r="DE914" s="376"/>
      <c r="DF914" s="376"/>
      <c r="DG914" s="376"/>
      <c r="DH914" s="376"/>
      <c r="DI914" s="376"/>
      <c r="DJ914" s="376"/>
      <c r="DK914" s="376"/>
      <c r="DL914" s="376"/>
      <c r="DM914" s="376"/>
      <c r="DN914" s="376"/>
      <c r="DO914" s="376"/>
      <c r="DP914" s="376"/>
      <c r="DQ914" s="376"/>
      <c r="DR914" s="29"/>
      <c r="DS914" s="29"/>
      <c r="DT914" s="29"/>
      <c r="DU914" s="29"/>
      <c r="DV914" s="29"/>
      <c r="DW914" s="29"/>
      <c r="DX914" s="29"/>
      <c r="DY914" s="29"/>
      <c r="DZ914" s="29"/>
      <c r="EA914" s="29"/>
      <c r="EB914" s="29"/>
      <c r="EC914" s="29"/>
      <c r="ED914" s="29"/>
      <c r="EE914" s="29"/>
      <c r="EF914" s="29"/>
      <c r="EG914" s="29"/>
      <c r="EH914" s="29"/>
      <c r="EI914" s="29"/>
      <c r="EJ914" s="29"/>
      <c r="EK914" s="29"/>
      <c r="EL914" s="29"/>
      <c r="EM914" s="29"/>
      <c r="EN914" s="29"/>
      <c r="EO914" s="29"/>
      <c r="EP914" s="29"/>
      <c r="EQ914" s="29"/>
      <c r="ER914" s="29"/>
      <c r="ES914" s="29"/>
      <c r="ET914" s="29"/>
      <c r="EU914" s="29"/>
      <c r="EV914" s="29"/>
    </row>
    <row r="915" spans="1:152" s="12" customFormat="1" ht="12" customHeight="1" x14ac:dyDescent="0.35">
      <c r="A915" s="84"/>
      <c r="B915" s="13"/>
      <c r="C915" s="13"/>
      <c r="D915" s="13"/>
      <c r="E915" s="13"/>
      <c r="F915" s="13"/>
      <c r="G915" s="1804"/>
      <c r="H915" s="1183"/>
      <c r="I915" s="1804"/>
      <c r="J915" s="1804"/>
      <c r="K915" s="141"/>
      <c r="L915" s="141"/>
      <c r="M915" s="141"/>
      <c r="N915" s="141"/>
      <c r="O915" s="141"/>
      <c r="P915" s="141"/>
      <c r="Q915" s="483">
        <f>IF(T915&lt;&gt;"Total",S915,SUM(S$915:S915))</f>
        <v>0</v>
      </c>
      <c r="R915" s="483">
        <f>SUMIF(Input!$D$279:$D$288,Calcs!T915,Input!$J$279:$J$288)+SUMIF(Input!$M$279:$M$281,Calcs!T915,Input!$V$279:$V$281)+SUMIF(Input!$M$297:$M$299,Calcs!T915,Input!$W$297:$W$299)</f>
        <v>0</v>
      </c>
      <c r="S915" s="728">
        <f t="shared" ref="S915:S930" si="656">IF(AA841=1,VLOOKUP(T915,X$824:Y$839,2,0),0)</f>
        <v>0</v>
      </c>
      <c r="T915" s="376" t="str">
        <f t="shared" ref="T915:T930" si="657">IF(AA841=1,AE841,IF(AA841=2,"Total",""))</f>
        <v/>
      </c>
      <c r="U915" s="62">
        <f>IF(AA841=1,-AB841,IF(AA841=2,-SUM(AB$840:AB840),0))</f>
        <v>0</v>
      </c>
      <c r="V915" s="728">
        <f>R915</f>
        <v>0</v>
      </c>
      <c r="W915" s="62">
        <f>SUMIF(AA$895:AA$910,T915,AB$895:AB$910)</f>
        <v>0</v>
      </c>
      <c r="X915" s="62">
        <f t="shared" ref="X915:X931" si="658">W915-U915</f>
        <v>0</v>
      </c>
      <c r="Y915" s="389">
        <f t="shared" ref="Y915:Y931" si="659">IF(U915&gt;0,X915/U915,0)</f>
        <v>0</v>
      </c>
      <c r="Z915" s="386">
        <f ca="1">IF(T915="Total",0,IF(AA841=0,0,IF(AA841=2,0,NPV(IF(ISNUMBER(Input!$I$276),Input!$I$276,0.15)/12,OFFSET(AG934,0,AB915,,COLUMNS(AG934:EV934)-AB915)))))</f>
      </c>
      <c r="AA915" s="1812">
        <f>AB934</f>
        <v>0</v>
      </c>
      <c r="AB915" s="385" cm="1">
        <f t="array" ref="AB915">IF(AA841=0,0,IF(AA841=2,AB$931,MATCH(TRUE,(AG934:EV934)&lt;&gt;0,0)-1))</f>
        <v>0</v>
      </c>
      <c r="AC915" s="29">
        <f t="shared" ref="AC915:AC930" si="660">AC895</f>
        <v>1</v>
      </c>
      <c r="AD915" s="29"/>
      <c r="AE915" s="376" t="str">
        <f t="shared" ref="AE915:AE930" si="661">AE895</f>
        <v>Investor #1</v>
      </c>
      <c r="AF915" s="763">
        <f t="shared" ref="AF915:AF924" si="662">AE703</f>
        <v>0</v>
      </c>
      <c r="AG915" s="763">
        <f>SUMIF($AE$841:$AE$856,$AE915,AF$841:AF$856)+SUMIF($AE$895:$AE$910,$AE915,AG$895:AG$910)</f>
        <v>0</v>
      </c>
      <c r="AH915" s="763">
        <f t="shared" ref="AH915:AM915" si="663">SUMIF($AE$841:$AE$856,$AE915,AG$841:AG$856)+SUMIF($AE$895:$AE$910,$AE915,AH$895:AH$910)</f>
        <v>0</v>
      </c>
      <c r="AI915" s="763">
        <f t="shared" si="663"/>
        <v>0</v>
      </c>
      <c r="AJ915" s="763">
        <f t="shared" si="663"/>
        <v>0</v>
      </c>
      <c r="AK915" s="763">
        <f t="shared" si="663"/>
        <v>0</v>
      </c>
      <c r="AL915" s="763">
        <f t="shared" si="663"/>
        <v>0</v>
      </c>
      <c r="AM915" s="763">
        <f t="shared" si="663"/>
        <v>0</v>
      </c>
      <c r="AN915" s="763">
        <f t="shared" ref="AN915:CY915" si="664">SUMIF($AE$841:$AE$856,$AE915,AM$841:AM$856)+SUMIF($AE$895:$AE$910,$AE915,AN$895:AN$910)</f>
        <v>0</v>
      </c>
      <c r="AO915" s="763">
        <f t="shared" si="664"/>
        <v>0</v>
      </c>
      <c r="AP915" s="763">
        <f t="shared" si="664"/>
        <v>0</v>
      </c>
      <c r="AQ915" s="763">
        <f t="shared" si="664"/>
        <v>0</v>
      </c>
      <c r="AR915" s="763">
        <f t="shared" si="664"/>
        <v>0</v>
      </c>
      <c r="AS915" s="763">
        <f t="shared" si="664"/>
        <v>0</v>
      </c>
      <c r="AT915" s="763">
        <f t="shared" si="664"/>
        <v>0</v>
      </c>
      <c r="AU915" s="763">
        <f t="shared" si="664"/>
        <v>0</v>
      </c>
      <c r="AV915" s="763">
        <f t="shared" si="664"/>
        <v>0</v>
      </c>
      <c r="AW915" s="763">
        <f t="shared" si="664"/>
        <v>0</v>
      </c>
      <c r="AX915" s="763">
        <f t="shared" si="664"/>
        <v>0</v>
      </c>
      <c r="AY915" s="763">
        <f t="shared" si="664"/>
        <v>0</v>
      </c>
      <c r="AZ915" s="763">
        <f t="shared" si="664"/>
        <v>0</v>
      </c>
      <c r="BA915" s="763">
        <f t="shared" si="664"/>
        <v>0</v>
      </c>
      <c r="BB915" s="763">
        <f t="shared" si="664"/>
        <v>0</v>
      </c>
      <c r="BC915" s="763">
        <f t="shared" si="664"/>
        <v>0</v>
      </c>
      <c r="BD915" s="763">
        <f t="shared" si="664"/>
        <v>0</v>
      </c>
      <c r="BE915" s="763">
        <f t="shared" si="664"/>
        <v>0</v>
      </c>
      <c r="BF915" s="763">
        <f t="shared" si="664"/>
        <v>0</v>
      </c>
      <c r="BG915" s="763">
        <f t="shared" si="664"/>
        <v>0</v>
      </c>
      <c r="BH915" s="763">
        <f t="shared" si="664"/>
        <v>0</v>
      </c>
      <c r="BI915" s="763">
        <f t="shared" si="664"/>
        <v>0</v>
      </c>
      <c r="BJ915" s="763">
        <f t="shared" si="664"/>
        <v>0</v>
      </c>
      <c r="BK915" s="763">
        <f t="shared" si="664"/>
        <v>0</v>
      </c>
      <c r="BL915" s="763">
        <f t="shared" si="664"/>
        <v>0</v>
      </c>
      <c r="BM915" s="763">
        <f t="shared" si="664"/>
        <v>0</v>
      </c>
      <c r="BN915" s="763">
        <f t="shared" si="664"/>
        <v>0</v>
      </c>
      <c r="BO915" s="763">
        <f t="shared" si="664"/>
        <v>0</v>
      </c>
      <c r="BP915" s="763">
        <f t="shared" si="664"/>
        <v>0</v>
      </c>
      <c r="BQ915" s="763">
        <f t="shared" si="664"/>
        <v>0</v>
      </c>
      <c r="BR915" s="763">
        <f t="shared" si="664"/>
        <v>0</v>
      </c>
      <c r="BS915" s="763">
        <f t="shared" si="664"/>
        <v>0</v>
      </c>
      <c r="BT915" s="763">
        <f t="shared" si="664"/>
        <v>0</v>
      </c>
      <c r="BU915" s="763">
        <f t="shared" si="664"/>
        <v>0</v>
      </c>
      <c r="BV915" s="763">
        <f t="shared" si="664"/>
        <v>0</v>
      </c>
      <c r="BW915" s="763">
        <f t="shared" si="664"/>
        <v>0</v>
      </c>
      <c r="BX915" s="763">
        <f t="shared" si="664"/>
        <v>0</v>
      </c>
      <c r="BY915" s="763">
        <f t="shared" si="664"/>
        <v>0</v>
      </c>
      <c r="BZ915" s="763">
        <f t="shared" si="664"/>
        <v>0</v>
      </c>
      <c r="CA915" s="763">
        <f t="shared" si="664"/>
        <v>0</v>
      </c>
      <c r="CB915" s="763">
        <f t="shared" si="664"/>
        <v>0</v>
      </c>
      <c r="CC915" s="763">
        <f t="shared" si="664"/>
        <v>0</v>
      </c>
      <c r="CD915" s="763">
        <f t="shared" si="664"/>
        <v>0</v>
      </c>
      <c r="CE915" s="763">
        <f t="shared" si="664"/>
        <v>0</v>
      </c>
      <c r="CF915" s="763">
        <f t="shared" si="664"/>
        <v>0</v>
      </c>
      <c r="CG915" s="763">
        <f t="shared" si="664"/>
        <v>0</v>
      </c>
      <c r="CH915" s="763">
        <f t="shared" si="664"/>
        <v>0</v>
      </c>
      <c r="CI915" s="763">
        <f t="shared" si="664"/>
        <v>0</v>
      </c>
      <c r="CJ915" s="763">
        <f t="shared" si="664"/>
        <v>0</v>
      </c>
      <c r="CK915" s="763">
        <f t="shared" si="664"/>
        <v>0</v>
      </c>
      <c r="CL915" s="763">
        <f t="shared" si="664"/>
        <v>0</v>
      </c>
      <c r="CM915" s="763">
        <f t="shared" si="664"/>
        <v>0</v>
      </c>
      <c r="CN915" s="763">
        <f t="shared" si="664"/>
        <v>0</v>
      </c>
      <c r="CO915" s="763">
        <f t="shared" si="664"/>
        <v>0</v>
      </c>
      <c r="CP915" s="763">
        <f t="shared" si="664"/>
        <v>0</v>
      </c>
      <c r="CQ915" s="763">
        <f t="shared" si="664"/>
        <v>0</v>
      </c>
      <c r="CR915" s="763">
        <f t="shared" si="664"/>
        <v>0</v>
      </c>
      <c r="CS915" s="763">
        <f t="shared" si="664"/>
        <v>0</v>
      </c>
      <c r="CT915" s="763">
        <f t="shared" si="664"/>
        <v>0</v>
      </c>
      <c r="CU915" s="763">
        <f t="shared" si="664"/>
        <v>0</v>
      </c>
      <c r="CV915" s="763">
        <f t="shared" si="664"/>
        <v>0</v>
      </c>
      <c r="CW915" s="763">
        <f t="shared" si="664"/>
        <v>0</v>
      </c>
      <c r="CX915" s="763">
        <f t="shared" si="664"/>
        <v>0</v>
      </c>
      <c r="CY915" s="763">
        <f t="shared" si="664"/>
        <v>0</v>
      </c>
      <c r="CZ915" s="763">
        <f t="shared" ref="CZ915:EV915" si="665">SUMIF($AE$841:$AE$856,$AE915,CY$841:CY$856)+SUMIF($AE$895:$AE$910,$AE915,CZ$895:CZ$910)</f>
        <v>0</v>
      </c>
      <c r="DA915" s="763">
        <f t="shared" si="665"/>
        <v>0</v>
      </c>
      <c r="DB915" s="763">
        <f t="shared" si="665"/>
        <v>0</v>
      </c>
      <c r="DC915" s="763">
        <f t="shared" si="665"/>
        <v>0</v>
      </c>
      <c r="DD915" s="763">
        <f t="shared" si="665"/>
        <v>0</v>
      </c>
      <c r="DE915" s="763">
        <f t="shared" si="665"/>
        <v>0</v>
      </c>
      <c r="DF915" s="763">
        <f t="shared" si="665"/>
        <v>0</v>
      </c>
      <c r="DG915" s="763">
        <f t="shared" si="665"/>
        <v>0</v>
      </c>
      <c r="DH915" s="763">
        <f t="shared" si="665"/>
        <v>0</v>
      </c>
      <c r="DI915" s="763">
        <f t="shared" si="665"/>
        <v>0</v>
      </c>
      <c r="DJ915" s="763">
        <f t="shared" si="665"/>
        <v>0</v>
      </c>
      <c r="DK915" s="763">
        <f t="shared" si="665"/>
        <v>0</v>
      </c>
      <c r="DL915" s="763">
        <f t="shared" si="665"/>
        <v>0</v>
      </c>
      <c r="DM915" s="763">
        <f t="shared" si="665"/>
        <v>0</v>
      </c>
      <c r="DN915" s="763">
        <f t="shared" si="665"/>
        <v>0</v>
      </c>
      <c r="DO915" s="763">
        <f t="shared" si="665"/>
        <v>0</v>
      </c>
      <c r="DP915" s="763">
        <f t="shared" si="665"/>
        <v>0</v>
      </c>
      <c r="DQ915" s="763">
        <f t="shared" si="665"/>
        <v>0</v>
      </c>
      <c r="DR915" s="763">
        <f t="shared" si="665"/>
        <v>0</v>
      </c>
      <c r="DS915" s="763">
        <f t="shared" si="665"/>
        <v>0</v>
      </c>
      <c r="DT915" s="763">
        <f t="shared" si="665"/>
        <v>0</v>
      </c>
      <c r="DU915" s="763">
        <f t="shared" si="665"/>
        <v>0</v>
      </c>
      <c r="DV915" s="763">
        <f t="shared" si="665"/>
        <v>0</v>
      </c>
      <c r="DW915" s="763">
        <f t="shared" si="665"/>
        <v>0</v>
      </c>
      <c r="DX915" s="763">
        <f t="shared" si="665"/>
        <v>0</v>
      </c>
      <c r="DY915" s="763">
        <f t="shared" si="665"/>
        <v>0</v>
      </c>
      <c r="DZ915" s="763">
        <f t="shared" si="665"/>
        <v>0</v>
      </c>
      <c r="EA915" s="763">
        <f t="shared" si="665"/>
        <v>0</v>
      </c>
      <c r="EB915" s="763">
        <f t="shared" si="665"/>
        <v>0</v>
      </c>
      <c r="EC915" s="763">
        <f t="shared" si="665"/>
        <v>0</v>
      </c>
      <c r="ED915" s="763">
        <f t="shared" si="665"/>
        <v>0</v>
      </c>
      <c r="EE915" s="763">
        <f t="shared" si="665"/>
        <v>0</v>
      </c>
      <c r="EF915" s="763">
        <f t="shared" si="665"/>
        <v>0</v>
      </c>
      <c r="EG915" s="763">
        <f t="shared" si="665"/>
        <v>0</v>
      </c>
      <c r="EH915" s="763">
        <f t="shared" si="665"/>
        <v>0</v>
      </c>
      <c r="EI915" s="763">
        <f t="shared" si="665"/>
        <v>0</v>
      </c>
      <c r="EJ915" s="763">
        <f t="shared" si="665"/>
        <v>0</v>
      </c>
      <c r="EK915" s="763">
        <f t="shared" si="665"/>
        <v>0</v>
      </c>
      <c r="EL915" s="763">
        <f t="shared" si="665"/>
        <v>0</v>
      </c>
      <c r="EM915" s="763">
        <f t="shared" si="665"/>
        <v>0</v>
      </c>
      <c r="EN915" s="763">
        <f t="shared" si="665"/>
        <v>0</v>
      </c>
      <c r="EO915" s="763">
        <f t="shared" si="665"/>
        <v>0</v>
      </c>
      <c r="EP915" s="763">
        <f t="shared" si="665"/>
        <v>0</v>
      </c>
      <c r="EQ915" s="763">
        <f t="shared" si="665"/>
        <v>0</v>
      </c>
      <c r="ER915" s="763">
        <f t="shared" si="665"/>
        <v>0</v>
      </c>
      <c r="ES915" s="763">
        <f t="shared" si="665"/>
        <v>0</v>
      </c>
      <c r="ET915" s="763">
        <f t="shared" si="665"/>
        <v>0</v>
      </c>
      <c r="EU915" s="763">
        <f t="shared" si="665"/>
        <v>0</v>
      </c>
      <c r="EV915" s="763">
        <f t="shared" si="665"/>
        <v>0</v>
      </c>
    </row>
    <row r="916" spans="1:152" s="12" customFormat="1" ht="12" customHeight="1" x14ac:dyDescent="0.35">
      <c r="A916" s="84"/>
      <c r="B916" s="13"/>
      <c r="C916" s="13"/>
      <c r="D916" s="13"/>
      <c r="E916" s="13"/>
      <c r="F916" s="13"/>
      <c r="G916" s="1804"/>
      <c r="H916" s="1183"/>
      <c r="I916" s="1804"/>
      <c r="J916" s="1804"/>
      <c r="K916" s="141"/>
      <c r="L916" s="141"/>
      <c r="M916" s="141"/>
      <c r="N916" s="141"/>
      <c r="O916" s="141"/>
      <c r="P916" s="141"/>
      <c r="Q916" s="483">
        <f>IF(T916&lt;&gt;"Total",S916,SUM(S$915:S916))</f>
        <v>0</v>
      </c>
      <c r="R916" s="483">
        <f>SUMIF(Input!$D$279:$D$288,Calcs!T916,Input!$J$279:$J$288)+SUMIF(Input!$M$279:$M$281,Calcs!T916,Input!$V$279:$V$281)+SUMIF(Input!$M$297:$M$299,Calcs!T916,Input!$W$297:$W$299)</f>
      </c>
      <c r="S916" s="728">
        <f t="shared" si="656"/>
        <v>0</v>
      </c>
      <c r="T916" s="376" t="str">
        <f t="shared" si="657"/>
        <v/>
      </c>
      <c r="U916" s="62">
        <f>IF(AA842=1,-AB842,IF(AA842=2,-SUM(AB$840:AB841),0))</f>
        <v>0</v>
      </c>
      <c r="V916" s="728">
        <f>IF(T916="Total",SUM(R$915:R916),R916)</f>
      </c>
      <c r="W916" s="62">
        <f>IF(T916="Total",SUM(W$915:W915),SUMIF(AA$895:AA$910,T916,AB$895:AB$910))</f>
        <v>0</v>
      </c>
      <c r="X916" s="62">
        <f t="shared" si="658"/>
        <v>0</v>
      </c>
      <c r="Y916" s="389">
        <f t="shared" si="659"/>
        <v>0</v>
      </c>
      <c r="Z916" s="386">
        <f ca="1">IF(T916="Total",SUM(Z$915:Z915),IF(AA842=0,0,IF(AA842=2,0,NPV(IF(ISNUMBER(Input!$I$276),Input!$I$276,0.15)/12,OFFSET(AG935,0,AB916,,COLUMNS(AG935:EV935)-AB916)))))</f>
      </c>
      <c r="AA916" s="1812">
        <f t="shared" ref="AA916:AA930" si="666">AB935</f>
        <v>0</v>
      </c>
      <c r="AB916" s="385" cm="1">
        <f t="array" ref="AB916">IF(AA842=0,0,IF(AA842=2,AB$931,MATCH(TRUE,(AG935:EV935)&lt;&gt;0,0)-1))</f>
        <v>0</v>
      </c>
      <c r="AC916" s="29">
        <f t="shared" si="660"/>
        <v>2</v>
      </c>
      <c r="AD916" s="29"/>
      <c r="AE916" s="376" t="str">
        <f t="shared" si="661"/>
        <v>Investor #2</v>
      </c>
      <c r="AF916" s="763">
        <f t="shared" si="662"/>
        <v>0</v>
      </c>
      <c r="AG916" s="763">
        <f t="shared" ref="AG916:AL930" si="667">SUMIF($AE$841:$AE$856,$AE916,AF$841:AF$856)+SUMIF($AE$895:$AE$910,$AE916,AG$895:AG$910)</f>
        <v>0</v>
      </c>
      <c r="AH916" s="763">
        <f t="shared" si="667"/>
        <v>0</v>
      </c>
      <c r="AI916" s="763">
        <f t="shared" si="667"/>
        <v>0</v>
      </c>
      <c r="AJ916" s="763">
        <f t="shared" si="667"/>
        <v>0</v>
      </c>
      <c r="AK916" s="763">
        <f t="shared" si="667"/>
        <v>0</v>
      </c>
      <c r="AL916" s="763">
        <f t="shared" si="667"/>
        <v>0</v>
      </c>
      <c r="AM916" s="763">
        <f t="shared" ref="AM916:CX916" si="668">SUMIF($AE$841:$AE$856,$AE916,AL$841:AL$856)+SUMIF($AE$895:$AE$910,$AE916,AM$895:AM$910)</f>
        <v>0</v>
      </c>
      <c r="AN916" s="763">
        <f t="shared" si="668"/>
        <v>0</v>
      </c>
      <c r="AO916" s="763">
        <f t="shared" si="668"/>
        <v>0</v>
      </c>
      <c r="AP916" s="763">
        <f t="shared" si="668"/>
        <v>0</v>
      </c>
      <c r="AQ916" s="763">
        <f t="shared" si="668"/>
        <v>0</v>
      </c>
      <c r="AR916" s="763">
        <f t="shared" si="668"/>
        <v>0</v>
      </c>
      <c r="AS916" s="763">
        <f t="shared" si="668"/>
        <v>0</v>
      </c>
      <c r="AT916" s="763">
        <f t="shared" si="668"/>
        <v>0</v>
      </c>
      <c r="AU916" s="763">
        <f t="shared" si="668"/>
        <v>0</v>
      </c>
      <c r="AV916" s="763">
        <f t="shared" si="668"/>
        <v>0</v>
      </c>
      <c r="AW916" s="763">
        <f t="shared" si="668"/>
        <v>0</v>
      </c>
      <c r="AX916" s="763">
        <f t="shared" si="668"/>
        <v>0</v>
      </c>
      <c r="AY916" s="763">
        <f t="shared" si="668"/>
        <v>0</v>
      </c>
      <c r="AZ916" s="763">
        <f t="shared" si="668"/>
        <v>0</v>
      </c>
      <c r="BA916" s="763">
        <f t="shared" si="668"/>
        <v>0</v>
      </c>
      <c r="BB916" s="763">
        <f t="shared" si="668"/>
        <v>0</v>
      </c>
      <c r="BC916" s="763">
        <f t="shared" si="668"/>
        <v>0</v>
      </c>
      <c r="BD916" s="763">
        <f t="shared" si="668"/>
        <v>0</v>
      </c>
      <c r="BE916" s="763">
        <f t="shared" si="668"/>
        <v>0</v>
      </c>
      <c r="BF916" s="763">
        <f t="shared" si="668"/>
        <v>0</v>
      </c>
      <c r="BG916" s="763">
        <f t="shared" si="668"/>
        <v>0</v>
      </c>
      <c r="BH916" s="763">
        <f t="shared" si="668"/>
        <v>0</v>
      </c>
      <c r="BI916" s="763">
        <f t="shared" si="668"/>
        <v>0</v>
      </c>
      <c r="BJ916" s="763">
        <f t="shared" si="668"/>
        <v>0</v>
      </c>
      <c r="BK916" s="763">
        <f t="shared" si="668"/>
        <v>0</v>
      </c>
      <c r="BL916" s="763">
        <f t="shared" si="668"/>
        <v>0</v>
      </c>
      <c r="BM916" s="763">
        <f t="shared" si="668"/>
        <v>0</v>
      </c>
      <c r="BN916" s="763">
        <f t="shared" si="668"/>
        <v>0</v>
      </c>
      <c r="BO916" s="763">
        <f t="shared" si="668"/>
        <v>0</v>
      </c>
      <c r="BP916" s="763">
        <f t="shared" si="668"/>
        <v>0</v>
      </c>
      <c r="BQ916" s="763">
        <f t="shared" si="668"/>
        <v>0</v>
      </c>
      <c r="BR916" s="763">
        <f t="shared" si="668"/>
        <v>0</v>
      </c>
      <c r="BS916" s="763">
        <f t="shared" si="668"/>
        <v>0</v>
      </c>
      <c r="BT916" s="763">
        <f t="shared" si="668"/>
        <v>0</v>
      </c>
      <c r="BU916" s="763">
        <f t="shared" si="668"/>
        <v>0</v>
      </c>
      <c r="BV916" s="763">
        <f t="shared" si="668"/>
        <v>0</v>
      </c>
      <c r="BW916" s="763">
        <f t="shared" si="668"/>
        <v>0</v>
      </c>
      <c r="BX916" s="763">
        <f t="shared" si="668"/>
        <v>0</v>
      </c>
      <c r="BY916" s="763">
        <f t="shared" si="668"/>
        <v>0</v>
      </c>
      <c r="BZ916" s="763">
        <f t="shared" si="668"/>
        <v>0</v>
      </c>
      <c r="CA916" s="763">
        <f t="shared" si="668"/>
        <v>0</v>
      </c>
      <c r="CB916" s="763">
        <f t="shared" si="668"/>
        <v>0</v>
      </c>
      <c r="CC916" s="763">
        <f t="shared" si="668"/>
        <v>0</v>
      </c>
      <c r="CD916" s="763">
        <f t="shared" si="668"/>
        <v>0</v>
      </c>
      <c r="CE916" s="763">
        <f t="shared" si="668"/>
        <v>0</v>
      </c>
      <c r="CF916" s="763">
        <f t="shared" si="668"/>
        <v>0</v>
      </c>
      <c r="CG916" s="763">
        <f t="shared" si="668"/>
        <v>0</v>
      </c>
      <c r="CH916" s="763">
        <f t="shared" si="668"/>
        <v>0</v>
      </c>
      <c r="CI916" s="763">
        <f t="shared" si="668"/>
        <v>0</v>
      </c>
      <c r="CJ916" s="763">
        <f t="shared" si="668"/>
        <v>0</v>
      </c>
      <c r="CK916" s="763">
        <f t="shared" si="668"/>
        <v>0</v>
      </c>
      <c r="CL916" s="763">
        <f t="shared" si="668"/>
        <v>0</v>
      </c>
      <c r="CM916" s="763">
        <f t="shared" si="668"/>
        <v>0</v>
      </c>
      <c r="CN916" s="763">
        <f t="shared" si="668"/>
        <v>0</v>
      </c>
      <c r="CO916" s="763">
        <f t="shared" si="668"/>
        <v>0</v>
      </c>
      <c r="CP916" s="763">
        <f t="shared" si="668"/>
        <v>0</v>
      </c>
      <c r="CQ916" s="763">
        <f t="shared" si="668"/>
        <v>0</v>
      </c>
      <c r="CR916" s="763">
        <f t="shared" si="668"/>
        <v>0</v>
      </c>
      <c r="CS916" s="763">
        <f t="shared" si="668"/>
        <v>0</v>
      </c>
      <c r="CT916" s="763">
        <f t="shared" si="668"/>
        <v>0</v>
      </c>
      <c r="CU916" s="763">
        <f t="shared" si="668"/>
        <v>0</v>
      </c>
      <c r="CV916" s="763">
        <f t="shared" si="668"/>
        <v>0</v>
      </c>
      <c r="CW916" s="763">
        <f t="shared" si="668"/>
        <v>0</v>
      </c>
      <c r="CX916" s="763">
        <f t="shared" si="668"/>
        <v>0</v>
      </c>
      <c r="CY916" s="763">
        <f t="shared" ref="CY916:EV916" si="669">SUMIF($AE$841:$AE$856,$AE916,CX$841:CX$856)+SUMIF($AE$895:$AE$910,$AE916,CY$895:CY$910)</f>
        <v>0</v>
      </c>
      <c r="CZ916" s="763">
        <f t="shared" si="669"/>
        <v>0</v>
      </c>
      <c r="DA916" s="763">
        <f t="shared" si="669"/>
        <v>0</v>
      </c>
      <c r="DB916" s="763">
        <f t="shared" si="669"/>
        <v>0</v>
      </c>
      <c r="DC916" s="763">
        <f t="shared" si="669"/>
        <v>0</v>
      </c>
      <c r="DD916" s="763">
        <f t="shared" si="669"/>
        <v>0</v>
      </c>
      <c r="DE916" s="763">
        <f t="shared" si="669"/>
        <v>0</v>
      </c>
      <c r="DF916" s="763">
        <f t="shared" si="669"/>
        <v>0</v>
      </c>
      <c r="DG916" s="763">
        <f t="shared" si="669"/>
        <v>0</v>
      </c>
      <c r="DH916" s="763">
        <f t="shared" si="669"/>
        <v>0</v>
      </c>
      <c r="DI916" s="763">
        <f t="shared" si="669"/>
        <v>0</v>
      </c>
      <c r="DJ916" s="763">
        <f t="shared" si="669"/>
        <v>0</v>
      </c>
      <c r="DK916" s="763">
        <f t="shared" si="669"/>
        <v>0</v>
      </c>
      <c r="DL916" s="763">
        <f t="shared" si="669"/>
        <v>0</v>
      </c>
      <c r="DM916" s="763">
        <f t="shared" si="669"/>
        <v>0</v>
      </c>
      <c r="DN916" s="763">
        <f t="shared" si="669"/>
        <v>0</v>
      </c>
      <c r="DO916" s="763">
        <f t="shared" si="669"/>
        <v>0</v>
      </c>
      <c r="DP916" s="763">
        <f t="shared" si="669"/>
        <v>0</v>
      </c>
      <c r="DQ916" s="763">
        <f t="shared" si="669"/>
        <v>0</v>
      </c>
      <c r="DR916" s="763">
        <f t="shared" si="669"/>
        <v>0</v>
      </c>
      <c r="DS916" s="763">
        <f t="shared" si="669"/>
        <v>0</v>
      </c>
      <c r="DT916" s="763">
        <f t="shared" si="669"/>
        <v>0</v>
      </c>
      <c r="DU916" s="763">
        <f t="shared" si="669"/>
        <v>0</v>
      </c>
      <c r="DV916" s="763">
        <f t="shared" si="669"/>
        <v>0</v>
      </c>
      <c r="DW916" s="763">
        <f t="shared" si="669"/>
        <v>0</v>
      </c>
      <c r="DX916" s="763">
        <f t="shared" si="669"/>
        <v>0</v>
      </c>
      <c r="DY916" s="763">
        <f t="shared" si="669"/>
        <v>0</v>
      </c>
      <c r="DZ916" s="763">
        <f t="shared" si="669"/>
        <v>0</v>
      </c>
      <c r="EA916" s="763">
        <f t="shared" si="669"/>
        <v>0</v>
      </c>
      <c r="EB916" s="763">
        <f t="shared" si="669"/>
        <v>0</v>
      </c>
      <c r="EC916" s="763">
        <f t="shared" si="669"/>
        <v>0</v>
      </c>
      <c r="ED916" s="763">
        <f t="shared" si="669"/>
        <v>0</v>
      </c>
      <c r="EE916" s="763">
        <f t="shared" si="669"/>
        <v>0</v>
      </c>
      <c r="EF916" s="763">
        <f t="shared" si="669"/>
        <v>0</v>
      </c>
      <c r="EG916" s="763">
        <f t="shared" si="669"/>
        <v>0</v>
      </c>
      <c r="EH916" s="763">
        <f t="shared" si="669"/>
        <v>0</v>
      </c>
      <c r="EI916" s="763">
        <f t="shared" si="669"/>
        <v>0</v>
      </c>
      <c r="EJ916" s="763">
        <f t="shared" si="669"/>
        <v>0</v>
      </c>
      <c r="EK916" s="763">
        <f t="shared" si="669"/>
        <v>0</v>
      </c>
      <c r="EL916" s="763">
        <f t="shared" si="669"/>
        <v>0</v>
      </c>
      <c r="EM916" s="763">
        <f t="shared" si="669"/>
        <v>0</v>
      </c>
      <c r="EN916" s="763">
        <f t="shared" si="669"/>
        <v>0</v>
      </c>
      <c r="EO916" s="763">
        <f t="shared" si="669"/>
        <v>0</v>
      </c>
      <c r="EP916" s="763">
        <f t="shared" si="669"/>
        <v>0</v>
      </c>
      <c r="EQ916" s="763">
        <f t="shared" si="669"/>
        <v>0</v>
      </c>
      <c r="ER916" s="763">
        <f t="shared" si="669"/>
        <v>0</v>
      </c>
      <c r="ES916" s="763">
        <f t="shared" si="669"/>
        <v>0</v>
      </c>
      <c r="ET916" s="763">
        <f t="shared" si="669"/>
        <v>0</v>
      </c>
      <c r="EU916" s="763">
        <f t="shared" si="669"/>
        <v>0</v>
      </c>
      <c r="EV916" s="763">
        <f t="shared" si="669"/>
        <v>0</v>
      </c>
    </row>
    <row r="917" spans="1:152" s="12" customFormat="1" ht="12" customHeight="1" x14ac:dyDescent="0.35">
      <c r="A917" s="84"/>
      <c r="B917" s="13"/>
      <c r="C917" s="13"/>
      <c r="D917" s="13"/>
      <c r="E917" s="13"/>
      <c r="F917" s="13"/>
      <c r="G917" s="1804"/>
      <c r="H917" s="1183"/>
      <c r="I917" s="1804"/>
      <c r="J917" s="1804"/>
      <c r="K917" s="141"/>
      <c r="L917" s="141"/>
      <c r="M917" s="141"/>
      <c r="N917" s="141"/>
      <c r="O917" s="141"/>
      <c r="P917" s="141"/>
      <c r="Q917" s="483">
        <f>IF(T917&lt;&gt;"Total",S917,SUM(S$915:S917))</f>
        <v>0</v>
      </c>
      <c r="R917" s="483">
        <f>SUMIF(Input!$D$279:$D$288,Calcs!T917,Input!$J$279:$J$288)+SUMIF(Input!$M$279:$M$281,Calcs!T917,Input!$V$279:$V$281)+SUMIF(Input!$M$297:$M$299,Calcs!T917,Input!$W$297:$W$299)</f>
      </c>
      <c r="S917" s="728">
        <f t="shared" si="656"/>
        <v>0</v>
      </c>
      <c r="T917" s="376" t="str">
        <f t="shared" si="657"/>
        <v/>
      </c>
      <c r="U917" s="62">
        <f>IF($AA843=1,-$AB843,IF($AA843=2,-SUM($AB$840:$AB842),0))</f>
        <v>0</v>
      </c>
      <c r="V917" s="728">
        <f>IF(T917="Total",SUM(R$915:R917),R917)</f>
      </c>
      <c r="W917" s="62">
        <f>IF(T917="Total",SUM(W$915:W916),SUMIF(AA$895:AA$910,T917,AB$895:AB$910))</f>
        <v>0</v>
      </c>
      <c r="X917" s="62">
        <f t="shared" si="658"/>
        <v>0</v>
      </c>
      <c r="Y917" s="389">
        <f>IF(U917&gt;0,X917/U917,0)</f>
        <v>0</v>
      </c>
      <c r="Z917" s="386">
        <f ca="1">IF(T917="Total",SUM(Z$915:Z916),IF(AA843=0,0,IF(AA843=2,0,NPV(IF(ISNUMBER(Input!$I$276),Input!$I$276,0.15)/12,OFFSET(AG936,0,AB917,,COLUMNS(AG936:EV936)-AB917)))))</f>
      </c>
      <c r="AA917" s="1812">
        <f t="shared" si="666"/>
        <v>0</v>
      </c>
      <c r="AB917" s="385" cm="1">
        <f t="array" ref="AB917">IF(AA843=0,0,IF(AA843=2,AB$931,MATCH(TRUE,(AG936:EV936)&lt;&gt;0,0)-1))</f>
        <v>0</v>
      </c>
      <c r="AC917" s="29">
        <f t="shared" si="660"/>
        <v>3</v>
      </c>
      <c r="AD917" s="29"/>
      <c r="AE917" s="376" t="str">
        <f t="shared" si="661"/>
        <v>Investor #3</v>
      </c>
      <c r="AF917" s="763">
        <f t="shared" si="662"/>
        <v>0</v>
      </c>
      <c r="AG917" s="763">
        <f t="shared" si="667"/>
        <v>0</v>
      </c>
      <c r="AH917" s="763">
        <f t="shared" si="667"/>
        <v>0</v>
      </c>
      <c r="AI917" s="763">
        <f t="shared" si="667"/>
        <v>0</v>
      </c>
      <c r="AJ917" s="763">
        <f t="shared" si="667"/>
        <v>0</v>
      </c>
      <c r="AK917" s="763">
        <f t="shared" si="667"/>
        <v>0</v>
      </c>
      <c r="AL917" s="763">
        <f t="shared" si="667"/>
        <v>0</v>
      </c>
      <c r="AM917" s="763">
        <f t="shared" ref="AM917:CX917" si="670">SUMIF($AE$841:$AE$856,$AE917,AL$841:AL$856)+SUMIF($AE$895:$AE$910,$AE917,AM$895:AM$910)</f>
        <v>0</v>
      </c>
      <c r="AN917" s="763">
        <f t="shared" si="670"/>
        <v>0</v>
      </c>
      <c r="AO917" s="763">
        <f t="shared" si="670"/>
        <v>0</v>
      </c>
      <c r="AP917" s="763">
        <f t="shared" si="670"/>
        <v>0</v>
      </c>
      <c r="AQ917" s="763">
        <f t="shared" si="670"/>
        <v>0</v>
      </c>
      <c r="AR917" s="763">
        <f t="shared" si="670"/>
        <v>0</v>
      </c>
      <c r="AS917" s="763">
        <f t="shared" si="670"/>
        <v>0</v>
      </c>
      <c r="AT917" s="763">
        <f t="shared" si="670"/>
        <v>0</v>
      </c>
      <c r="AU917" s="763">
        <f t="shared" si="670"/>
        <v>0</v>
      </c>
      <c r="AV917" s="763">
        <f t="shared" si="670"/>
        <v>0</v>
      </c>
      <c r="AW917" s="763">
        <f t="shared" si="670"/>
        <v>0</v>
      </c>
      <c r="AX917" s="763">
        <f t="shared" si="670"/>
        <v>0</v>
      </c>
      <c r="AY917" s="763">
        <f t="shared" si="670"/>
        <v>0</v>
      </c>
      <c r="AZ917" s="763">
        <f t="shared" si="670"/>
        <v>0</v>
      </c>
      <c r="BA917" s="763">
        <f t="shared" si="670"/>
        <v>0</v>
      </c>
      <c r="BB917" s="763">
        <f t="shared" si="670"/>
        <v>0</v>
      </c>
      <c r="BC917" s="763">
        <f t="shared" si="670"/>
        <v>0</v>
      </c>
      <c r="BD917" s="763">
        <f t="shared" si="670"/>
        <v>0</v>
      </c>
      <c r="BE917" s="763">
        <f t="shared" si="670"/>
        <v>0</v>
      </c>
      <c r="BF917" s="763">
        <f t="shared" si="670"/>
        <v>0</v>
      </c>
      <c r="BG917" s="763">
        <f t="shared" si="670"/>
        <v>0</v>
      </c>
      <c r="BH917" s="763">
        <f t="shared" si="670"/>
        <v>0</v>
      </c>
      <c r="BI917" s="763">
        <f t="shared" si="670"/>
        <v>0</v>
      </c>
      <c r="BJ917" s="763">
        <f t="shared" si="670"/>
        <v>0</v>
      </c>
      <c r="BK917" s="763">
        <f t="shared" si="670"/>
        <v>0</v>
      </c>
      <c r="BL917" s="763">
        <f t="shared" si="670"/>
        <v>0</v>
      </c>
      <c r="BM917" s="763">
        <f t="shared" si="670"/>
        <v>0</v>
      </c>
      <c r="BN917" s="763">
        <f t="shared" si="670"/>
        <v>0</v>
      </c>
      <c r="BO917" s="763">
        <f t="shared" si="670"/>
        <v>0</v>
      </c>
      <c r="BP917" s="763">
        <f t="shared" si="670"/>
        <v>0</v>
      </c>
      <c r="BQ917" s="763">
        <f t="shared" si="670"/>
        <v>0</v>
      </c>
      <c r="BR917" s="763">
        <f t="shared" si="670"/>
        <v>0</v>
      </c>
      <c r="BS917" s="763">
        <f t="shared" si="670"/>
        <v>0</v>
      </c>
      <c r="BT917" s="763">
        <f t="shared" si="670"/>
        <v>0</v>
      </c>
      <c r="BU917" s="763">
        <f t="shared" si="670"/>
        <v>0</v>
      </c>
      <c r="BV917" s="763">
        <f t="shared" si="670"/>
        <v>0</v>
      </c>
      <c r="BW917" s="763">
        <f t="shared" si="670"/>
        <v>0</v>
      </c>
      <c r="BX917" s="763">
        <f t="shared" si="670"/>
        <v>0</v>
      </c>
      <c r="BY917" s="763">
        <f t="shared" si="670"/>
        <v>0</v>
      </c>
      <c r="BZ917" s="763">
        <f t="shared" si="670"/>
        <v>0</v>
      </c>
      <c r="CA917" s="763">
        <f t="shared" si="670"/>
        <v>0</v>
      </c>
      <c r="CB917" s="763">
        <f t="shared" si="670"/>
        <v>0</v>
      </c>
      <c r="CC917" s="763">
        <f t="shared" si="670"/>
        <v>0</v>
      </c>
      <c r="CD917" s="763">
        <f t="shared" si="670"/>
        <v>0</v>
      </c>
      <c r="CE917" s="763">
        <f t="shared" si="670"/>
        <v>0</v>
      </c>
      <c r="CF917" s="763">
        <f t="shared" si="670"/>
        <v>0</v>
      </c>
      <c r="CG917" s="763">
        <f t="shared" si="670"/>
        <v>0</v>
      </c>
      <c r="CH917" s="763">
        <f t="shared" si="670"/>
        <v>0</v>
      </c>
      <c r="CI917" s="763">
        <f t="shared" si="670"/>
        <v>0</v>
      </c>
      <c r="CJ917" s="763">
        <f t="shared" si="670"/>
        <v>0</v>
      </c>
      <c r="CK917" s="763">
        <f t="shared" si="670"/>
        <v>0</v>
      </c>
      <c r="CL917" s="763">
        <f t="shared" si="670"/>
        <v>0</v>
      </c>
      <c r="CM917" s="763">
        <f t="shared" si="670"/>
        <v>0</v>
      </c>
      <c r="CN917" s="763">
        <f t="shared" si="670"/>
        <v>0</v>
      </c>
      <c r="CO917" s="763">
        <f t="shared" si="670"/>
        <v>0</v>
      </c>
      <c r="CP917" s="763">
        <f t="shared" si="670"/>
        <v>0</v>
      </c>
      <c r="CQ917" s="763">
        <f t="shared" si="670"/>
        <v>0</v>
      </c>
      <c r="CR917" s="763">
        <f t="shared" si="670"/>
        <v>0</v>
      </c>
      <c r="CS917" s="763">
        <f t="shared" si="670"/>
        <v>0</v>
      </c>
      <c r="CT917" s="763">
        <f t="shared" si="670"/>
        <v>0</v>
      </c>
      <c r="CU917" s="763">
        <f t="shared" si="670"/>
        <v>0</v>
      </c>
      <c r="CV917" s="763">
        <f t="shared" si="670"/>
        <v>0</v>
      </c>
      <c r="CW917" s="763">
        <f t="shared" si="670"/>
        <v>0</v>
      </c>
      <c r="CX917" s="763">
        <f t="shared" si="670"/>
        <v>0</v>
      </c>
      <c r="CY917" s="763">
        <f t="shared" ref="CY917:EV917" si="671">SUMIF($AE$841:$AE$856,$AE917,CX$841:CX$856)+SUMIF($AE$895:$AE$910,$AE917,CY$895:CY$910)</f>
        <v>0</v>
      </c>
      <c r="CZ917" s="763">
        <f t="shared" si="671"/>
        <v>0</v>
      </c>
      <c r="DA917" s="763">
        <f t="shared" si="671"/>
        <v>0</v>
      </c>
      <c r="DB917" s="763">
        <f t="shared" si="671"/>
        <v>0</v>
      </c>
      <c r="DC917" s="763">
        <f t="shared" si="671"/>
        <v>0</v>
      </c>
      <c r="DD917" s="763">
        <f t="shared" si="671"/>
        <v>0</v>
      </c>
      <c r="DE917" s="763">
        <f t="shared" si="671"/>
        <v>0</v>
      </c>
      <c r="DF917" s="763">
        <f t="shared" si="671"/>
        <v>0</v>
      </c>
      <c r="DG917" s="763">
        <f t="shared" si="671"/>
        <v>0</v>
      </c>
      <c r="DH917" s="763">
        <f t="shared" si="671"/>
        <v>0</v>
      </c>
      <c r="DI917" s="763">
        <f t="shared" si="671"/>
        <v>0</v>
      </c>
      <c r="DJ917" s="763">
        <f t="shared" si="671"/>
        <v>0</v>
      </c>
      <c r="DK917" s="763">
        <f t="shared" si="671"/>
        <v>0</v>
      </c>
      <c r="DL917" s="763">
        <f t="shared" si="671"/>
        <v>0</v>
      </c>
      <c r="DM917" s="763">
        <f t="shared" si="671"/>
        <v>0</v>
      </c>
      <c r="DN917" s="763">
        <f t="shared" si="671"/>
        <v>0</v>
      </c>
      <c r="DO917" s="763">
        <f t="shared" si="671"/>
        <v>0</v>
      </c>
      <c r="DP917" s="763">
        <f t="shared" si="671"/>
        <v>0</v>
      </c>
      <c r="DQ917" s="763">
        <f t="shared" si="671"/>
        <v>0</v>
      </c>
      <c r="DR917" s="763">
        <f t="shared" si="671"/>
        <v>0</v>
      </c>
      <c r="DS917" s="763">
        <f t="shared" si="671"/>
        <v>0</v>
      </c>
      <c r="DT917" s="763">
        <f t="shared" si="671"/>
        <v>0</v>
      </c>
      <c r="DU917" s="763">
        <f t="shared" si="671"/>
        <v>0</v>
      </c>
      <c r="DV917" s="763">
        <f t="shared" si="671"/>
        <v>0</v>
      </c>
      <c r="DW917" s="763">
        <f t="shared" si="671"/>
        <v>0</v>
      </c>
      <c r="DX917" s="763">
        <f t="shared" si="671"/>
        <v>0</v>
      </c>
      <c r="DY917" s="763">
        <f t="shared" si="671"/>
        <v>0</v>
      </c>
      <c r="DZ917" s="763">
        <f t="shared" si="671"/>
        <v>0</v>
      </c>
      <c r="EA917" s="763">
        <f t="shared" si="671"/>
        <v>0</v>
      </c>
      <c r="EB917" s="763">
        <f t="shared" si="671"/>
        <v>0</v>
      </c>
      <c r="EC917" s="763">
        <f t="shared" si="671"/>
        <v>0</v>
      </c>
      <c r="ED917" s="763">
        <f t="shared" si="671"/>
        <v>0</v>
      </c>
      <c r="EE917" s="763">
        <f t="shared" si="671"/>
        <v>0</v>
      </c>
      <c r="EF917" s="763">
        <f t="shared" si="671"/>
        <v>0</v>
      </c>
      <c r="EG917" s="763">
        <f t="shared" si="671"/>
        <v>0</v>
      </c>
      <c r="EH917" s="763">
        <f t="shared" si="671"/>
        <v>0</v>
      </c>
      <c r="EI917" s="763">
        <f t="shared" si="671"/>
        <v>0</v>
      </c>
      <c r="EJ917" s="763">
        <f t="shared" si="671"/>
        <v>0</v>
      </c>
      <c r="EK917" s="763">
        <f t="shared" si="671"/>
        <v>0</v>
      </c>
      <c r="EL917" s="763">
        <f t="shared" si="671"/>
        <v>0</v>
      </c>
      <c r="EM917" s="763">
        <f t="shared" si="671"/>
        <v>0</v>
      </c>
      <c r="EN917" s="763">
        <f t="shared" si="671"/>
        <v>0</v>
      </c>
      <c r="EO917" s="763">
        <f t="shared" si="671"/>
        <v>0</v>
      </c>
      <c r="EP917" s="763">
        <f t="shared" si="671"/>
        <v>0</v>
      </c>
      <c r="EQ917" s="763">
        <f t="shared" si="671"/>
        <v>0</v>
      </c>
      <c r="ER917" s="763">
        <f t="shared" si="671"/>
        <v>0</v>
      </c>
      <c r="ES917" s="763">
        <f t="shared" si="671"/>
        <v>0</v>
      </c>
      <c r="ET917" s="763">
        <f t="shared" si="671"/>
        <v>0</v>
      </c>
      <c r="EU917" s="763">
        <f t="shared" si="671"/>
        <v>0</v>
      </c>
      <c r="EV917" s="763">
        <f t="shared" si="671"/>
        <v>0</v>
      </c>
    </row>
    <row r="918" spans="1:152" s="12" customFormat="1" ht="12" customHeight="1" x14ac:dyDescent="0.35">
      <c r="A918" s="84"/>
      <c r="B918" s="13"/>
      <c r="C918" s="13"/>
      <c r="D918" s="13"/>
      <c r="E918" s="13"/>
      <c r="F918" s="13"/>
      <c r="G918" s="1804"/>
      <c r="H918" s="1183"/>
      <c r="I918" s="1804"/>
      <c r="J918" s="1804"/>
      <c r="K918" s="141"/>
      <c r="L918" s="141"/>
      <c r="M918" s="141"/>
      <c r="N918" s="141"/>
      <c r="O918" s="141"/>
      <c r="P918" s="141"/>
      <c r="Q918" s="483">
        <f>IF(T918&lt;&gt;"Total",S918,SUM(S$915:S918))</f>
        <v>0</v>
      </c>
      <c r="R918" s="483">
        <f>SUMIF(Input!$D$279:$D$288,Calcs!T918,Input!$J$279:$J$288)+SUMIF(Input!$M$279:$M$281,Calcs!T918,Input!$V$279:$V$281)+SUMIF(Input!$M$297:$M$299,Calcs!T918,Input!$W$297:$W$299)</f>
      </c>
      <c r="S918" s="728">
        <f t="shared" si="656"/>
        <v>0</v>
      </c>
      <c r="T918" s="376" t="str">
        <f t="shared" si="657"/>
        <v/>
      </c>
      <c r="U918" s="62">
        <f>IF(AA844=1,-AB844,IF(AA844=2,-SUM(AB$840:AB843),0))</f>
        <v>0</v>
      </c>
      <c r="V918" s="728">
        <f>IF(T918="Total",SUM(R$915:R918),R918)</f>
      </c>
      <c r="W918" s="62">
        <f>IF(T918="Total",SUM(W$915:W917),SUMIF(AA$895:AA$910,T918,AB$895:AB$910))</f>
        <v>0</v>
      </c>
      <c r="X918" s="62">
        <f t="shared" si="658"/>
        <v>0</v>
      </c>
      <c r="Y918" s="389">
        <f t="shared" si="659"/>
        <v>0</v>
      </c>
      <c r="Z918" s="386">
        <f ca="1">IF(T918="Total",SUM(Z$915:Z917),IF(AA844=0,0,IF(AA844=2,0,NPV(IF(ISNUMBER(Input!$I$276),Input!$I$276,0.15)/12,OFFSET(AG937,0,AB918,,COLUMNS(AG937:EV937)-AB918)))))</f>
      </c>
      <c r="AA918" s="1812">
        <f t="shared" si="666"/>
        <v>0</v>
      </c>
      <c r="AB918" s="385" cm="1">
        <f t="array" ref="AB918">IF(AA844=0,0,IF(AA844=2,AB$931,MATCH(TRUE,(AG937:EV937)&lt;&gt;0,0)-1))</f>
        <v>0</v>
      </c>
      <c r="AC918" s="29">
        <f t="shared" si="660"/>
        <v>4</v>
      </c>
      <c r="AD918" s="29"/>
      <c r="AE918" s="376" t="str">
        <f t="shared" si="661"/>
        <v>Investor #4</v>
      </c>
      <c r="AF918" s="763">
        <f t="shared" si="662"/>
        <v>0</v>
      </c>
      <c r="AG918" s="763">
        <f t="shared" si="667"/>
        <v>0</v>
      </c>
      <c r="AH918" s="763">
        <f t="shared" si="667"/>
        <v>0</v>
      </c>
      <c r="AI918" s="763">
        <f t="shared" si="667"/>
        <v>0</v>
      </c>
      <c r="AJ918" s="763">
        <f t="shared" si="667"/>
        <v>0</v>
      </c>
      <c r="AK918" s="763">
        <f t="shared" si="667"/>
        <v>0</v>
      </c>
      <c r="AL918" s="763">
        <f t="shared" si="667"/>
        <v>0</v>
      </c>
      <c r="AM918" s="763">
        <f t="shared" ref="AM918:CX918" si="672">SUMIF($AE$841:$AE$856,$AE918,AL$841:AL$856)+SUMIF($AE$895:$AE$910,$AE918,AM$895:AM$910)</f>
        <v>0</v>
      </c>
      <c r="AN918" s="763">
        <f t="shared" si="672"/>
        <v>0</v>
      </c>
      <c r="AO918" s="763">
        <f t="shared" si="672"/>
        <v>0</v>
      </c>
      <c r="AP918" s="763">
        <f t="shared" si="672"/>
        <v>0</v>
      </c>
      <c r="AQ918" s="763">
        <f t="shared" si="672"/>
        <v>0</v>
      </c>
      <c r="AR918" s="763">
        <f t="shared" si="672"/>
        <v>0</v>
      </c>
      <c r="AS918" s="763">
        <f t="shared" si="672"/>
        <v>0</v>
      </c>
      <c r="AT918" s="763">
        <f t="shared" si="672"/>
        <v>0</v>
      </c>
      <c r="AU918" s="763">
        <f t="shared" si="672"/>
        <v>0</v>
      </c>
      <c r="AV918" s="763">
        <f t="shared" si="672"/>
        <v>0</v>
      </c>
      <c r="AW918" s="763">
        <f t="shared" si="672"/>
        <v>0</v>
      </c>
      <c r="AX918" s="763">
        <f t="shared" si="672"/>
        <v>0</v>
      </c>
      <c r="AY918" s="763">
        <f t="shared" si="672"/>
        <v>0</v>
      </c>
      <c r="AZ918" s="763">
        <f t="shared" si="672"/>
        <v>0</v>
      </c>
      <c r="BA918" s="763">
        <f t="shared" si="672"/>
        <v>0</v>
      </c>
      <c r="BB918" s="763">
        <f t="shared" si="672"/>
        <v>0</v>
      </c>
      <c r="BC918" s="763">
        <f t="shared" si="672"/>
        <v>0</v>
      </c>
      <c r="BD918" s="763">
        <f t="shared" si="672"/>
        <v>0</v>
      </c>
      <c r="BE918" s="763">
        <f t="shared" si="672"/>
        <v>0</v>
      </c>
      <c r="BF918" s="763">
        <f t="shared" si="672"/>
        <v>0</v>
      </c>
      <c r="BG918" s="763">
        <f t="shared" si="672"/>
        <v>0</v>
      </c>
      <c r="BH918" s="763">
        <f t="shared" si="672"/>
        <v>0</v>
      </c>
      <c r="BI918" s="763">
        <f t="shared" si="672"/>
        <v>0</v>
      </c>
      <c r="BJ918" s="763">
        <f t="shared" si="672"/>
        <v>0</v>
      </c>
      <c r="BK918" s="763">
        <f t="shared" si="672"/>
        <v>0</v>
      </c>
      <c r="BL918" s="763">
        <f t="shared" si="672"/>
        <v>0</v>
      </c>
      <c r="BM918" s="763">
        <f t="shared" si="672"/>
        <v>0</v>
      </c>
      <c r="BN918" s="763">
        <f t="shared" si="672"/>
        <v>0</v>
      </c>
      <c r="BO918" s="763">
        <f t="shared" si="672"/>
        <v>0</v>
      </c>
      <c r="BP918" s="763">
        <f t="shared" si="672"/>
        <v>0</v>
      </c>
      <c r="BQ918" s="763">
        <f t="shared" si="672"/>
        <v>0</v>
      </c>
      <c r="BR918" s="763">
        <f t="shared" si="672"/>
        <v>0</v>
      </c>
      <c r="BS918" s="763">
        <f t="shared" si="672"/>
        <v>0</v>
      </c>
      <c r="BT918" s="763">
        <f t="shared" si="672"/>
        <v>0</v>
      </c>
      <c r="BU918" s="763">
        <f t="shared" si="672"/>
        <v>0</v>
      </c>
      <c r="BV918" s="763">
        <f t="shared" si="672"/>
        <v>0</v>
      </c>
      <c r="BW918" s="763">
        <f t="shared" si="672"/>
        <v>0</v>
      </c>
      <c r="BX918" s="763">
        <f t="shared" si="672"/>
        <v>0</v>
      </c>
      <c r="BY918" s="763">
        <f t="shared" si="672"/>
        <v>0</v>
      </c>
      <c r="BZ918" s="763">
        <f t="shared" si="672"/>
        <v>0</v>
      </c>
      <c r="CA918" s="763">
        <f t="shared" si="672"/>
        <v>0</v>
      </c>
      <c r="CB918" s="763">
        <f t="shared" si="672"/>
        <v>0</v>
      </c>
      <c r="CC918" s="763">
        <f t="shared" si="672"/>
        <v>0</v>
      </c>
      <c r="CD918" s="763">
        <f t="shared" si="672"/>
        <v>0</v>
      </c>
      <c r="CE918" s="763">
        <f t="shared" si="672"/>
        <v>0</v>
      </c>
      <c r="CF918" s="763">
        <f t="shared" si="672"/>
        <v>0</v>
      </c>
      <c r="CG918" s="763">
        <f t="shared" si="672"/>
        <v>0</v>
      </c>
      <c r="CH918" s="763">
        <f t="shared" si="672"/>
        <v>0</v>
      </c>
      <c r="CI918" s="763">
        <f t="shared" si="672"/>
        <v>0</v>
      </c>
      <c r="CJ918" s="763">
        <f t="shared" si="672"/>
        <v>0</v>
      </c>
      <c r="CK918" s="763">
        <f t="shared" si="672"/>
        <v>0</v>
      </c>
      <c r="CL918" s="763">
        <f t="shared" si="672"/>
        <v>0</v>
      </c>
      <c r="CM918" s="763">
        <f t="shared" si="672"/>
        <v>0</v>
      </c>
      <c r="CN918" s="763">
        <f t="shared" si="672"/>
        <v>0</v>
      </c>
      <c r="CO918" s="763">
        <f t="shared" si="672"/>
        <v>0</v>
      </c>
      <c r="CP918" s="763">
        <f t="shared" si="672"/>
        <v>0</v>
      </c>
      <c r="CQ918" s="763">
        <f t="shared" si="672"/>
        <v>0</v>
      </c>
      <c r="CR918" s="763">
        <f t="shared" si="672"/>
        <v>0</v>
      </c>
      <c r="CS918" s="763">
        <f t="shared" si="672"/>
        <v>0</v>
      </c>
      <c r="CT918" s="763">
        <f t="shared" si="672"/>
        <v>0</v>
      </c>
      <c r="CU918" s="763">
        <f t="shared" si="672"/>
        <v>0</v>
      </c>
      <c r="CV918" s="763">
        <f t="shared" si="672"/>
        <v>0</v>
      </c>
      <c r="CW918" s="763">
        <f t="shared" si="672"/>
        <v>0</v>
      </c>
      <c r="CX918" s="763">
        <f t="shared" si="672"/>
        <v>0</v>
      </c>
      <c r="CY918" s="763">
        <f t="shared" ref="CY918:EV918" si="673">SUMIF($AE$841:$AE$856,$AE918,CX$841:CX$856)+SUMIF($AE$895:$AE$910,$AE918,CY$895:CY$910)</f>
        <v>0</v>
      </c>
      <c r="CZ918" s="763">
        <f t="shared" si="673"/>
        <v>0</v>
      </c>
      <c r="DA918" s="763">
        <f t="shared" si="673"/>
        <v>0</v>
      </c>
      <c r="DB918" s="763">
        <f t="shared" si="673"/>
        <v>0</v>
      </c>
      <c r="DC918" s="763">
        <f t="shared" si="673"/>
        <v>0</v>
      </c>
      <c r="DD918" s="763">
        <f t="shared" si="673"/>
        <v>0</v>
      </c>
      <c r="DE918" s="763">
        <f t="shared" si="673"/>
        <v>0</v>
      </c>
      <c r="DF918" s="763">
        <f t="shared" si="673"/>
        <v>0</v>
      </c>
      <c r="DG918" s="763">
        <f t="shared" si="673"/>
        <v>0</v>
      </c>
      <c r="DH918" s="763">
        <f t="shared" si="673"/>
        <v>0</v>
      </c>
      <c r="DI918" s="763">
        <f t="shared" si="673"/>
        <v>0</v>
      </c>
      <c r="DJ918" s="763">
        <f t="shared" si="673"/>
        <v>0</v>
      </c>
      <c r="DK918" s="763">
        <f t="shared" si="673"/>
        <v>0</v>
      </c>
      <c r="DL918" s="763">
        <f t="shared" si="673"/>
        <v>0</v>
      </c>
      <c r="DM918" s="763">
        <f t="shared" si="673"/>
        <v>0</v>
      </c>
      <c r="DN918" s="763">
        <f t="shared" si="673"/>
        <v>0</v>
      </c>
      <c r="DO918" s="763">
        <f t="shared" si="673"/>
        <v>0</v>
      </c>
      <c r="DP918" s="763">
        <f t="shared" si="673"/>
        <v>0</v>
      </c>
      <c r="DQ918" s="763">
        <f t="shared" si="673"/>
        <v>0</v>
      </c>
      <c r="DR918" s="763">
        <f t="shared" si="673"/>
        <v>0</v>
      </c>
      <c r="DS918" s="763">
        <f t="shared" si="673"/>
        <v>0</v>
      </c>
      <c r="DT918" s="763">
        <f t="shared" si="673"/>
        <v>0</v>
      </c>
      <c r="DU918" s="763">
        <f t="shared" si="673"/>
        <v>0</v>
      </c>
      <c r="DV918" s="763">
        <f t="shared" si="673"/>
        <v>0</v>
      </c>
      <c r="DW918" s="763">
        <f t="shared" si="673"/>
        <v>0</v>
      </c>
      <c r="DX918" s="763">
        <f t="shared" si="673"/>
        <v>0</v>
      </c>
      <c r="DY918" s="763">
        <f t="shared" si="673"/>
        <v>0</v>
      </c>
      <c r="DZ918" s="763">
        <f t="shared" si="673"/>
        <v>0</v>
      </c>
      <c r="EA918" s="763">
        <f t="shared" si="673"/>
        <v>0</v>
      </c>
      <c r="EB918" s="763">
        <f t="shared" si="673"/>
        <v>0</v>
      </c>
      <c r="EC918" s="763">
        <f t="shared" si="673"/>
        <v>0</v>
      </c>
      <c r="ED918" s="763">
        <f t="shared" si="673"/>
        <v>0</v>
      </c>
      <c r="EE918" s="763">
        <f t="shared" si="673"/>
        <v>0</v>
      </c>
      <c r="EF918" s="763">
        <f t="shared" si="673"/>
        <v>0</v>
      </c>
      <c r="EG918" s="763">
        <f t="shared" si="673"/>
        <v>0</v>
      </c>
      <c r="EH918" s="763">
        <f t="shared" si="673"/>
        <v>0</v>
      </c>
      <c r="EI918" s="763">
        <f t="shared" si="673"/>
        <v>0</v>
      </c>
      <c r="EJ918" s="763">
        <f t="shared" si="673"/>
        <v>0</v>
      </c>
      <c r="EK918" s="763">
        <f t="shared" si="673"/>
        <v>0</v>
      </c>
      <c r="EL918" s="763">
        <f t="shared" si="673"/>
        <v>0</v>
      </c>
      <c r="EM918" s="763">
        <f t="shared" si="673"/>
        <v>0</v>
      </c>
      <c r="EN918" s="763">
        <f t="shared" si="673"/>
        <v>0</v>
      </c>
      <c r="EO918" s="763">
        <f t="shared" si="673"/>
        <v>0</v>
      </c>
      <c r="EP918" s="763">
        <f t="shared" si="673"/>
        <v>0</v>
      </c>
      <c r="EQ918" s="763">
        <f t="shared" si="673"/>
        <v>0</v>
      </c>
      <c r="ER918" s="763">
        <f t="shared" si="673"/>
        <v>0</v>
      </c>
      <c r="ES918" s="763">
        <f t="shared" si="673"/>
        <v>0</v>
      </c>
      <c r="ET918" s="763">
        <f t="shared" si="673"/>
        <v>0</v>
      </c>
      <c r="EU918" s="763">
        <f t="shared" si="673"/>
        <v>0</v>
      </c>
      <c r="EV918" s="763">
        <f t="shared" si="673"/>
        <v>0</v>
      </c>
    </row>
    <row r="919" spans="1:152" s="12" customFormat="1" ht="12" customHeight="1" x14ac:dyDescent="0.35">
      <c r="A919" s="84"/>
      <c r="B919" s="13"/>
      <c r="C919" s="13"/>
      <c r="D919" s="13"/>
      <c r="E919" s="13"/>
      <c r="F919" s="13"/>
      <c r="G919" s="1804"/>
      <c r="H919" s="1183"/>
      <c r="I919" s="1804"/>
      <c r="J919" s="1804"/>
      <c r="K919" s="141"/>
      <c r="L919" s="141"/>
      <c r="M919" s="141"/>
      <c r="N919" s="141"/>
      <c r="O919" s="141"/>
      <c r="P919" s="141"/>
      <c r="Q919" s="483">
        <f>IF(T919&lt;&gt;"Total",S919,SUM(S$915:S919))</f>
        <v>0</v>
      </c>
      <c r="R919" s="483">
        <f>SUMIF(Input!$D$279:$D$288,Calcs!T919,Input!$J$279:$J$288)+SUMIF(Input!$M$279:$M$281,Calcs!T919,Input!$V$279:$V$281)+SUMIF(Input!$M$297:$M$299,Calcs!T919,Input!$W$297:$W$299)</f>
      </c>
      <c r="S919" s="728">
        <f t="shared" si="656"/>
        <v>0</v>
      </c>
      <c r="T919" s="376" t="str">
        <f t="shared" si="657"/>
        <v/>
      </c>
      <c r="U919" s="62">
        <f>IF(AA845=1,-AB845,IF(AA845=2,-SUM(AB$840:AB844),0))</f>
        <v>0</v>
      </c>
      <c r="V919" s="728">
        <f>IF(T919="Total",SUM(R$915:R919),R919)</f>
      </c>
      <c r="W919" s="62">
        <f>IF(T919="Total",SUM(W$915:W918),SUMIF(AA$895:AA$910,T919,AB$895:AB$910))</f>
        <v>0</v>
      </c>
      <c r="X919" s="62">
        <f t="shared" si="658"/>
        <v>0</v>
      </c>
      <c r="Y919" s="389">
        <f t="shared" si="659"/>
        <v>0</v>
      </c>
      <c r="Z919" s="386">
        <f ca="1">IF(T919="Total",SUM(Z$915:Z918),IF(AA845=0,0,IF(AA845=2,0,NPV(IF(ISNUMBER(Input!$I$276),Input!$I$276,0.15)/12,OFFSET(AG938,0,AB919,,COLUMNS(AG938:EV938)-AB919)))))</f>
      </c>
      <c r="AA919" s="1812">
        <f t="shared" si="666"/>
        <v>0</v>
      </c>
      <c r="AB919" s="385" cm="1">
        <f t="array" ref="AB919">IF(AA845=0,0,IF(AA845=2,AB$931,MATCH(TRUE,(AG938:EV938)&lt;&gt;0,0)-1))</f>
        <v>0</v>
      </c>
      <c r="AC919" s="29">
        <f t="shared" si="660"/>
        <v>5</v>
      </c>
      <c r="AD919" s="29"/>
      <c r="AE919" s="376" t="str">
        <f t="shared" si="661"/>
        <v>Investor #5</v>
      </c>
      <c r="AF919" s="763">
        <f t="shared" si="662"/>
        <v>0</v>
      </c>
      <c r="AG919" s="763">
        <f t="shared" si="667"/>
        <v>0</v>
      </c>
      <c r="AH919" s="763">
        <f t="shared" si="667"/>
        <v>0</v>
      </c>
      <c r="AI919" s="763">
        <f t="shared" si="667"/>
        <v>0</v>
      </c>
      <c r="AJ919" s="763">
        <f t="shared" si="667"/>
        <v>0</v>
      </c>
      <c r="AK919" s="763">
        <f t="shared" si="667"/>
        <v>0</v>
      </c>
      <c r="AL919" s="763">
        <f t="shared" si="667"/>
        <v>0</v>
      </c>
      <c r="AM919" s="763">
        <f t="shared" ref="AM919:CX919" si="674">SUMIF($AE$841:$AE$856,$AE919,AL$841:AL$856)+SUMIF($AE$895:$AE$910,$AE919,AM$895:AM$910)</f>
        <v>0</v>
      </c>
      <c r="AN919" s="763">
        <f t="shared" si="674"/>
        <v>0</v>
      </c>
      <c r="AO919" s="763">
        <f t="shared" si="674"/>
        <v>0</v>
      </c>
      <c r="AP919" s="763">
        <f t="shared" si="674"/>
        <v>0</v>
      </c>
      <c r="AQ919" s="763">
        <f t="shared" si="674"/>
        <v>0</v>
      </c>
      <c r="AR919" s="763">
        <f t="shared" si="674"/>
        <v>0</v>
      </c>
      <c r="AS919" s="763">
        <f t="shared" si="674"/>
        <v>0</v>
      </c>
      <c r="AT919" s="763">
        <f t="shared" si="674"/>
        <v>0</v>
      </c>
      <c r="AU919" s="763">
        <f t="shared" si="674"/>
        <v>0</v>
      </c>
      <c r="AV919" s="763">
        <f t="shared" si="674"/>
        <v>0</v>
      </c>
      <c r="AW919" s="763">
        <f t="shared" si="674"/>
        <v>0</v>
      </c>
      <c r="AX919" s="763">
        <f t="shared" si="674"/>
        <v>0</v>
      </c>
      <c r="AY919" s="763">
        <f t="shared" si="674"/>
        <v>0</v>
      </c>
      <c r="AZ919" s="763">
        <f t="shared" si="674"/>
        <v>0</v>
      </c>
      <c r="BA919" s="763">
        <f t="shared" si="674"/>
        <v>0</v>
      </c>
      <c r="BB919" s="763">
        <f t="shared" si="674"/>
        <v>0</v>
      </c>
      <c r="BC919" s="763">
        <f t="shared" si="674"/>
        <v>0</v>
      </c>
      <c r="BD919" s="763">
        <f t="shared" si="674"/>
        <v>0</v>
      </c>
      <c r="BE919" s="763">
        <f t="shared" si="674"/>
        <v>0</v>
      </c>
      <c r="BF919" s="763">
        <f t="shared" si="674"/>
        <v>0</v>
      </c>
      <c r="BG919" s="763">
        <f t="shared" si="674"/>
        <v>0</v>
      </c>
      <c r="BH919" s="763">
        <f t="shared" si="674"/>
        <v>0</v>
      </c>
      <c r="BI919" s="763">
        <f t="shared" si="674"/>
        <v>0</v>
      </c>
      <c r="BJ919" s="763">
        <f t="shared" si="674"/>
        <v>0</v>
      </c>
      <c r="BK919" s="763">
        <f t="shared" si="674"/>
        <v>0</v>
      </c>
      <c r="BL919" s="763">
        <f t="shared" si="674"/>
        <v>0</v>
      </c>
      <c r="BM919" s="763">
        <f t="shared" si="674"/>
        <v>0</v>
      </c>
      <c r="BN919" s="763">
        <f t="shared" si="674"/>
        <v>0</v>
      </c>
      <c r="BO919" s="763">
        <f t="shared" si="674"/>
        <v>0</v>
      </c>
      <c r="BP919" s="763">
        <f t="shared" si="674"/>
        <v>0</v>
      </c>
      <c r="BQ919" s="763">
        <f t="shared" si="674"/>
        <v>0</v>
      </c>
      <c r="BR919" s="763">
        <f t="shared" si="674"/>
        <v>0</v>
      </c>
      <c r="BS919" s="763">
        <f t="shared" si="674"/>
        <v>0</v>
      </c>
      <c r="BT919" s="763">
        <f t="shared" si="674"/>
        <v>0</v>
      </c>
      <c r="BU919" s="763">
        <f t="shared" si="674"/>
        <v>0</v>
      </c>
      <c r="BV919" s="763">
        <f t="shared" si="674"/>
        <v>0</v>
      </c>
      <c r="BW919" s="763">
        <f t="shared" si="674"/>
        <v>0</v>
      </c>
      <c r="BX919" s="763">
        <f t="shared" si="674"/>
        <v>0</v>
      </c>
      <c r="BY919" s="763">
        <f t="shared" si="674"/>
        <v>0</v>
      </c>
      <c r="BZ919" s="763">
        <f t="shared" si="674"/>
        <v>0</v>
      </c>
      <c r="CA919" s="763">
        <f t="shared" si="674"/>
        <v>0</v>
      </c>
      <c r="CB919" s="763">
        <f t="shared" si="674"/>
        <v>0</v>
      </c>
      <c r="CC919" s="763">
        <f t="shared" si="674"/>
        <v>0</v>
      </c>
      <c r="CD919" s="763">
        <f t="shared" si="674"/>
        <v>0</v>
      </c>
      <c r="CE919" s="763">
        <f t="shared" si="674"/>
        <v>0</v>
      </c>
      <c r="CF919" s="763">
        <f t="shared" si="674"/>
        <v>0</v>
      </c>
      <c r="CG919" s="763">
        <f t="shared" si="674"/>
        <v>0</v>
      </c>
      <c r="CH919" s="763">
        <f t="shared" si="674"/>
        <v>0</v>
      </c>
      <c r="CI919" s="763">
        <f t="shared" si="674"/>
        <v>0</v>
      </c>
      <c r="CJ919" s="763">
        <f t="shared" si="674"/>
        <v>0</v>
      </c>
      <c r="CK919" s="763">
        <f t="shared" si="674"/>
        <v>0</v>
      </c>
      <c r="CL919" s="763">
        <f t="shared" si="674"/>
        <v>0</v>
      </c>
      <c r="CM919" s="763">
        <f t="shared" si="674"/>
        <v>0</v>
      </c>
      <c r="CN919" s="763">
        <f t="shared" si="674"/>
        <v>0</v>
      </c>
      <c r="CO919" s="763">
        <f t="shared" si="674"/>
        <v>0</v>
      </c>
      <c r="CP919" s="763">
        <f t="shared" si="674"/>
        <v>0</v>
      </c>
      <c r="CQ919" s="763">
        <f t="shared" si="674"/>
        <v>0</v>
      </c>
      <c r="CR919" s="763">
        <f t="shared" si="674"/>
        <v>0</v>
      </c>
      <c r="CS919" s="763">
        <f t="shared" si="674"/>
        <v>0</v>
      </c>
      <c r="CT919" s="763">
        <f t="shared" si="674"/>
        <v>0</v>
      </c>
      <c r="CU919" s="763">
        <f t="shared" si="674"/>
        <v>0</v>
      </c>
      <c r="CV919" s="763">
        <f t="shared" si="674"/>
        <v>0</v>
      </c>
      <c r="CW919" s="763">
        <f t="shared" si="674"/>
        <v>0</v>
      </c>
      <c r="CX919" s="763">
        <f t="shared" si="674"/>
        <v>0</v>
      </c>
      <c r="CY919" s="763">
        <f t="shared" ref="CY919:EV919" si="675">SUMIF($AE$841:$AE$856,$AE919,CX$841:CX$856)+SUMIF($AE$895:$AE$910,$AE919,CY$895:CY$910)</f>
        <v>0</v>
      </c>
      <c r="CZ919" s="763">
        <f t="shared" si="675"/>
        <v>0</v>
      </c>
      <c r="DA919" s="763">
        <f t="shared" si="675"/>
        <v>0</v>
      </c>
      <c r="DB919" s="763">
        <f t="shared" si="675"/>
        <v>0</v>
      </c>
      <c r="DC919" s="763">
        <f t="shared" si="675"/>
        <v>0</v>
      </c>
      <c r="DD919" s="763">
        <f t="shared" si="675"/>
        <v>0</v>
      </c>
      <c r="DE919" s="763">
        <f t="shared" si="675"/>
        <v>0</v>
      </c>
      <c r="DF919" s="763">
        <f t="shared" si="675"/>
        <v>0</v>
      </c>
      <c r="DG919" s="763">
        <f t="shared" si="675"/>
        <v>0</v>
      </c>
      <c r="DH919" s="763">
        <f t="shared" si="675"/>
        <v>0</v>
      </c>
      <c r="DI919" s="763">
        <f t="shared" si="675"/>
        <v>0</v>
      </c>
      <c r="DJ919" s="763">
        <f t="shared" si="675"/>
        <v>0</v>
      </c>
      <c r="DK919" s="763">
        <f t="shared" si="675"/>
        <v>0</v>
      </c>
      <c r="DL919" s="763">
        <f t="shared" si="675"/>
        <v>0</v>
      </c>
      <c r="DM919" s="763">
        <f t="shared" si="675"/>
        <v>0</v>
      </c>
      <c r="DN919" s="763">
        <f t="shared" si="675"/>
        <v>0</v>
      </c>
      <c r="DO919" s="763">
        <f t="shared" si="675"/>
        <v>0</v>
      </c>
      <c r="DP919" s="763">
        <f t="shared" si="675"/>
        <v>0</v>
      </c>
      <c r="DQ919" s="763">
        <f t="shared" si="675"/>
        <v>0</v>
      </c>
      <c r="DR919" s="763">
        <f t="shared" si="675"/>
        <v>0</v>
      </c>
      <c r="DS919" s="763">
        <f t="shared" si="675"/>
        <v>0</v>
      </c>
      <c r="DT919" s="763">
        <f t="shared" si="675"/>
        <v>0</v>
      </c>
      <c r="DU919" s="763">
        <f t="shared" si="675"/>
        <v>0</v>
      </c>
      <c r="DV919" s="763">
        <f t="shared" si="675"/>
        <v>0</v>
      </c>
      <c r="DW919" s="763">
        <f t="shared" si="675"/>
        <v>0</v>
      </c>
      <c r="DX919" s="763">
        <f t="shared" si="675"/>
        <v>0</v>
      </c>
      <c r="DY919" s="763">
        <f t="shared" si="675"/>
        <v>0</v>
      </c>
      <c r="DZ919" s="763">
        <f t="shared" si="675"/>
        <v>0</v>
      </c>
      <c r="EA919" s="763">
        <f t="shared" si="675"/>
        <v>0</v>
      </c>
      <c r="EB919" s="763">
        <f t="shared" si="675"/>
        <v>0</v>
      </c>
      <c r="EC919" s="763">
        <f t="shared" si="675"/>
        <v>0</v>
      </c>
      <c r="ED919" s="763">
        <f t="shared" si="675"/>
        <v>0</v>
      </c>
      <c r="EE919" s="763">
        <f t="shared" si="675"/>
        <v>0</v>
      </c>
      <c r="EF919" s="763">
        <f t="shared" si="675"/>
        <v>0</v>
      </c>
      <c r="EG919" s="763">
        <f t="shared" si="675"/>
        <v>0</v>
      </c>
      <c r="EH919" s="763">
        <f t="shared" si="675"/>
        <v>0</v>
      </c>
      <c r="EI919" s="763">
        <f t="shared" si="675"/>
        <v>0</v>
      </c>
      <c r="EJ919" s="763">
        <f t="shared" si="675"/>
        <v>0</v>
      </c>
      <c r="EK919" s="763">
        <f t="shared" si="675"/>
        <v>0</v>
      </c>
      <c r="EL919" s="763">
        <f t="shared" si="675"/>
        <v>0</v>
      </c>
      <c r="EM919" s="763">
        <f t="shared" si="675"/>
        <v>0</v>
      </c>
      <c r="EN919" s="763">
        <f t="shared" si="675"/>
        <v>0</v>
      </c>
      <c r="EO919" s="763">
        <f t="shared" si="675"/>
        <v>0</v>
      </c>
      <c r="EP919" s="763">
        <f t="shared" si="675"/>
        <v>0</v>
      </c>
      <c r="EQ919" s="763">
        <f t="shared" si="675"/>
        <v>0</v>
      </c>
      <c r="ER919" s="763">
        <f t="shared" si="675"/>
        <v>0</v>
      </c>
      <c r="ES919" s="763">
        <f t="shared" si="675"/>
        <v>0</v>
      </c>
      <c r="ET919" s="763">
        <f t="shared" si="675"/>
        <v>0</v>
      </c>
      <c r="EU919" s="763">
        <f t="shared" si="675"/>
        <v>0</v>
      </c>
      <c r="EV919" s="763">
        <f t="shared" si="675"/>
        <v>0</v>
      </c>
    </row>
    <row r="920" spans="1:152" s="12" customFormat="1" ht="12" customHeight="1" x14ac:dyDescent="0.35">
      <c r="A920" s="84"/>
      <c r="B920" s="13"/>
      <c r="C920" s="13"/>
      <c r="D920" s="13"/>
      <c r="E920" s="13"/>
      <c r="F920" s="13"/>
      <c r="G920" s="1804"/>
      <c r="H920" s="1183"/>
      <c r="I920" s="1804"/>
      <c r="J920" s="1804"/>
      <c r="K920" s="141"/>
      <c r="L920" s="141"/>
      <c r="M920" s="141"/>
      <c r="N920" s="141"/>
      <c r="O920" s="141"/>
      <c r="P920" s="141"/>
      <c r="Q920" s="483">
        <f>IF(T920&lt;&gt;"Total",S920,SUM(S$915:S920))</f>
        <v>0</v>
      </c>
      <c r="R920" s="483">
        <f>SUMIF(Input!$D$279:$D$288,Calcs!T920,Input!$J$279:$J$288)+SUMIF(Input!$M$279:$M$281,Calcs!T920,Input!$V$279:$V$281)+SUMIF(Input!$M$297:$M$299,Calcs!T920,Input!$W$297:$W$299)</f>
      </c>
      <c r="S920" s="728">
        <f t="shared" si="656"/>
        <v>0</v>
      </c>
      <c r="T920" s="376" t="str">
        <f t="shared" si="657"/>
        <v/>
      </c>
      <c r="U920" s="62">
        <f>IF(AA846=1,-AB846,IF(AA846=2,-SUM(AB$840:AB845),0))</f>
        <v>0</v>
      </c>
      <c r="V920" s="728">
        <f>IF(T920="Total",SUM(R$915:R920),R920)</f>
      </c>
      <c r="W920" s="62">
        <f>IF(T920="Total",SUM(W$915:W919),SUMIF(AA$895:AA$910,T920,AB$895:AB$910))</f>
        <v>0</v>
      </c>
      <c r="X920" s="62">
        <f t="shared" si="658"/>
        <v>0</v>
      </c>
      <c r="Y920" s="389">
        <f t="shared" si="659"/>
        <v>0</v>
      </c>
      <c r="Z920" s="386">
        <f ca="1">IF(T920="Total",SUM(Z$915:Z919),IF(AA846=0,0,IF(AA846=2,0,NPV(IF(ISNUMBER(Input!$I$276),Input!$I$276,0.15)/12,OFFSET(AG939,0,AB920,,COLUMNS(AG939:EV939)-AB920)))))</f>
      </c>
      <c r="AA920" s="1812">
        <f t="shared" si="666"/>
        <v>0</v>
      </c>
      <c r="AB920" s="385" cm="1">
        <f t="array" ref="AB920">IF(AA846=0,0,IF(AA846=2,AB$931,MATCH(TRUE,(AG939:EV939)&lt;&gt;0,0)-1))</f>
        <v>0</v>
      </c>
      <c r="AC920" s="29">
        <f t="shared" si="660"/>
        <v>6</v>
      </c>
      <c r="AD920" s="29"/>
      <c r="AE920" s="376" t="str">
        <f t="shared" si="661"/>
        <v>Investor #6</v>
      </c>
      <c r="AF920" s="763">
        <f t="shared" si="662"/>
        <v>0</v>
      </c>
      <c r="AG920" s="763">
        <f t="shared" si="667"/>
        <v>0</v>
      </c>
      <c r="AH920" s="763">
        <f t="shared" si="667"/>
        <v>0</v>
      </c>
      <c r="AI920" s="763">
        <f t="shared" si="667"/>
        <v>0</v>
      </c>
      <c r="AJ920" s="763">
        <f t="shared" si="667"/>
        <v>0</v>
      </c>
      <c r="AK920" s="763">
        <f t="shared" si="667"/>
        <v>0</v>
      </c>
      <c r="AL920" s="763">
        <f t="shared" si="667"/>
        <v>0</v>
      </c>
      <c r="AM920" s="763">
        <f t="shared" ref="AM920:CX920" si="676">SUMIF($AE$841:$AE$856,$AE920,AL$841:AL$856)+SUMIF($AE$895:$AE$910,$AE920,AM$895:AM$910)</f>
        <v>0</v>
      </c>
      <c r="AN920" s="763">
        <f t="shared" si="676"/>
        <v>0</v>
      </c>
      <c r="AO920" s="763">
        <f t="shared" si="676"/>
        <v>0</v>
      </c>
      <c r="AP920" s="763">
        <f t="shared" si="676"/>
        <v>0</v>
      </c>
      <c r="AQ920" s="763">
        <f t="shared" si="676"/>
        <v>0</v>
      </c>
      <c r="AR920" s="763">
        <f t="shared" si="676"/>
        <v>0</v>
      </c>
      <c r="AS920" s="763">
        <f t="shared" si="676"/>
        <v>0</v>
      </c>
      <c r="AT920" s="763">
        <f t="shared" si="676"/>
        <v>0</v>
      </c>
      <c r="AU920" s="763">
        <f t="shared" si="676"/>
        <v>0</v>
      </c>
      <c r="AV920" s="763">
        <f t="shared" si="676"/>
        <v>0</v>
      </c>
      <c r="AW920" s="763">
        <f t="shared" si="676"/>
        <v>0</v>
      </c>
      <c r="AX920" s="763">
        <f t="shared" si="676"/>
        <v>0</v>
      </c>
      <c r="AY920" s="763">
        <f t="shared" si="676"/>
        <v>0</v>
      </c>
      <c r="AZ920" s="763">
        <f t="shared" si="676"/>
        <v>0</v>
      </c>
      <c r="BA920" s="763">
        <f t="shared" si="676"/>
        <v>0</v>
      </c>
      <c r="BB920" s="763">
        <f t="shared" si="676"/>
        <v>0</v>
      </c>
      <c r="BC920" s="763">
        <f t="shared" si="676"/>
        <v>0</v>
      </c>
      <c r="BD920" s="763">
        <f t="shared" si="676"/>
        <v>0</v>
      </c>
      <c r="BE920" s="763">
        <f t="shared" si="676"/>
        <v>0</v>
      </c>
      <c r="BF920" s="763">
        <f t="shared" si="676"/>
        <v>0</v>
      </c>
      <c r="BG920" s="763">
        <f t="shared" si="676"/>
        <v>0</v>
      </c>
      <c r="BH920" s="763">
        <f t="shared" si="676"/>
        <v>0</v>
      </c>
      <c r="BI920" s="763">
        <f t="shared" si="676"/>
        <v>0</v>
      </c>
      <c r="BJ920" s="763">
        <f t="shared" si="676"/>
        <v>0</v>
      </c>
      <c r="BK920" s="763">
        <f t="shared" si="676"/>
        <v>0</v>
      </c>
      <c r="BL920" s="763">
        <f t="shared" si="676"/>
        <v>0</v>
      </c>
      <c r="BM920" s="763">
        <f t="shared" si="676"/>
        <v>0</v>
      </c>
      <c r="BN920" s="763">
        <f t="shared" si="676"/>
        <v>0</v>
      </c>
      <c r="BO920" s="763">
        <f t="shared" si="676"/>
        <v>0</v>
      </c>
      <c r="BP920" s="763">
        <f t="shared" si="676"/>
        <v>0</v>
      </c>
      <c r="BQ920" s="763">
        <f t="shared" si="676"/>
        <v>0</v>
      </c>
      <c r="BR920" s="763">
        <f t="shared" si="676"/>
        <v>0</v>
      </c>
      <c r="BS920" s="763">
        <f t="shared" si="676"/>
        <v>0</v>
      </c>
      <c r="BT920" s="763">
        <f t="shared" si="676"/>
        <v>0</v>
      </c>
      <c r="BU920" s="763">
        <f t="shared" si="676"/>
        <v>0</v>
      </c>
      <c r="BV920" s="763">
        <f t="shared" si="676"/>
        <v>0</v>
      </c>
      <c r="BW920" s="763">
        <f t="shared" si="676"/>
        <v>0</v>
      </c>
      <c r="BX920" s="763">
        <f t="shared" si="676"/>
        <v>0</v>
      </c>
      <c r="BY920" s="763">
        <f t="shared" si="676"/>
        <v>0</v>
      </c>
      <c r="BZ920" s="763">
        <f t="shared" si="676"/>
        <v>0</v>
      </c>
      <c r="CA920" s="763">
        <f t="shared" si="676"/>
        <v>0</v>
      </c>
      <c r="CB920" s="763">
        <f t="shared" si="676"/>
        <v>0</v>
      </c>
      <c r="CC920" s="763">
        <f t="shared" si="676"/>
        <v>0</v>
      </c>
      <c r="CD920" s="763">
        <f t="shared" si="676"/>
        <v>0</v>
      </c>
      <c r="CE920" s="763">
        <f t="shared" si="676"/>
        <v>0</v>
      </c>
      <c r="CF920" s="763">
        <f t="shared" si="676"/>
        <v>0</v>
      </c>
      <c r="CG920" s="763">
        <f t="shared" si="676"/>
        <v>0</v>
      </c>
      <c r="CH920" s="763">
        <f t="shared" si="676"/>
        <v>0</v>
      </c>
      <c r="CI920" s="763">
        <f t="shared" si="676"/>
        <v>0</v>
      </c>
      <c r="CJ920" s="763">
        <f t="shared" si="676"/>
        <v>0</v>
      </c>
      <c r="CK920" s="763">
        <f t="shared" si="676"/>
        <v>0</v>
      </c>
      <c r="CL920" s="763">
        <f t="shared" si="676"/>
        <v>0</v>
      </c>
      <c r="CM920" s="763">
        <f t="shared" si="676"/>
        <v>0</v>
      </c>
      <c r="CN920" s="763">
        <f t="shared" si="676"/>
        <v>0</v>
      </c>
      <c r="CO920" s="763">
        <f t="shared" si="676"/>
        <v>0</v>
      </c>
      <c r="CP920" s="763">
        <f t="shared" si="676"/>
        <v>0</v>
      </c>
      <c r="CQ920" s="763">
        <f t="shared" si="676"/>
        <v>0</v>
      </c>
      <c r="CR920" s="763">
        <f t="shared" si="676"/>
        <v>0</v>
      </c>
      <c r="CS920" s="763">
        <f t="shared" si="676"/>
        <v>0</v>
      </c>
      <c r="CT920" s="763">
        <f t="shared" si="676"/>
        <v>0</v>
      </c>
      <c r="CU920" s="763">
        <f t="shared" si="676"/>
        <v>0</v>
      </c>
      <c r="CV920" s="763">
        <f t="shared" si="676"/>
        <v>0</v>
      </c>
      <c r="CW920" s="763">
        <f t="shared" si="676"/>
        <v>0</v>
      </c>
      <c r="CX920" s="763">
        <f t="shared" si="676"/>
        <v>0</v>
      </c>
      <c r="CY920" s="763">
        <f t="shared" ref="CY920:EV920" si="677">SUMIF($AE$841:$AE$856,$AE920,CX$841:CX$856)+SUMIF($AE$895:$AE$910,$AE920,CY$895:CY$910)</f>
        <v>0</v>
      </c>
      <c r="CZ920" s="763">
        <f t="shared" si="677"/>
        <v>0</v>
      </c>
      <c r="DA920" s="763">
        <f t="shared" si="677"/>
        <v>0</v>
      </c>
      <c r="DB920" s="763">
        <f t="shared" si="677"/>
        <v>0</v>
      </c>
      <c r="DC920" s="763">
        <f t="shared" si="677"/>
        <v>0</v>
      </c>
      <c r="DD920" s="763">
        <f t="shared" si="677"/>
        <v>0</v>
      </c>
      <c r="DE920" s="763">
        <f t="shared" si="677"/>
        <v>0</v>
      </c>
      <c r="DF920" s="763">
        <f t="shared" si="677"/>
        <v>0</v>
      </c>
      <c r="DG920" s="763">
        <f t="shared" si="677"/>
        <v>0</v>
      </c>
      <c r="DH920" s="763">
        <f t="shared" si="677"/>
        <v>0</v>
      </c>
      <c r="DI920" s="763">
        <f t="shared" si="677"/>
        <v>0</v>
      </c>
      <c r="DJ920" s="763">
        <f t="shared" si="677"/>
        <v>0</v>
      </c>
      <c r="DK920" s="763">
        <f t="shared" si="677"/>
        <v>0</v>
      </c>
      <c r="DL920" s="763">
        <f t="shared" si="677"/>
        <v>0</v>
      </c>
      <c r="DM920" s="763">
        <f t="shared" si="677"/>
        <v>0</v>
      </c>
      <c r="DN920" s="763">
        <f t="shared" si="677"/>
        <v>0</v>
      </c>
      <c r="DO920" s="763">
        <f t="shared" si="677"/>
        <v>0</v>
      </c>
      <c r="DP920" s="763">
        <f t="shared" si="677"/>
        <v>0</v>
      </c>
      <c r="DQ920" s="763">
        <f t="shared" si="677"/>
        <v>0</v>
      </c>
      <c r="DR920" s="763">
        <f t="shared" si="677"/>
        <v>0</v>
      </c>
      <c r="DS920" s="763">
        <f t="shared" si="677"/>
        <v>0</v>
      </c>
      <c r="DT920" s="763">
        <f t="shared" si="677"/>
        <v>0</v>
      </c>
      <c r="DU920" s="763">
        <f t="shared" si="677"/>
        <v>0</v>
      </c>
      <c r="DV920" s="763">
        <f t="shared" si="677"/>
        <v>0</v>
      </c>
      <c r="DW920" s="763">
        <f t="shared" si="677"/>
        <v>0</v>
      </c>
      <c r="DX920" s="763">
        <f t="shared" si="677"/>
        <v>0</v>
      </c>
      <c r="DY920" s="763">
        <f t="shared" si="677"/>
        <v>0</v>
      </c>
      <c r="DZ920" s="763">
        <f t="shared" si="677"/>
        <v>0</v>
      </c>
      <c r="EA920" s="763">
        <f t="shared" si="677"/>
        <v>0</v>
      </c>
      <c r="EB920" s="763">
        <f t="shared" si="677"/>
        <v>0</v>
      </c>
      <c r="EC920" s="763">
        <f t="shared" si="677"/>
        <v>0</v>
      </c>
      <c r="ED920" s="763">
        <f t="shared" si="677"/>
        <v>0</v>
      </c>
      <c r="EE920" s="763">
        <f t="shared" si="677"/>
        <v>0</v>
      </c>
      <c r="EF920" s="763">
        <f t="shared" si="677"/>
        <v>0</v>
      </c>
      <c r="EG920" s="763">
        <f t="shared" si="677"/>
        <v>0</v>
      </c>
      <c r="EH920" s="763">
        <f t="shared" si="677"/>
        <v>0</v>
      </c>
      <c r="EI920" s="763">
        <f t="shared" si="677"/>
        <v>0</v>
      </c>
      <c r="EJ920" s="763">
        <f t="shared" si="677"/>
        <v>0</v>
      </c>
      <c r="EK920" s="763">
        <f t="shared" si="677"/>
        <v>0</v>
      </c>
      <c r="EL920" s="763">
        <f t="shared" si="677"/>
        <v>0</v>
      </c>
      <c r="EM920" s="763">
        <f t="shared" si="677"/>
        <v>0</v>
      </c>
      <c r="EN920" s="763">
        <f t="shared" si="677"/>
        <v>0</v>
      </c>
      <c r="EO920" s="763">
        <f t="shared" si="677"/>
        <v>0</v>
      </c>
      <c r="EP920" s="763">
        <f t="shared" si="677"/>
        <v>0</v>
      </c>
      <c r="EQ920" s="763">
        <f t="shared" si="677"/>
        <v>0</v>
      </c>
      <c r="ER920" s="763">
        <f t="shared" si="677"/>
        <v>0</v>
      </c>
      <c r="ES920" s="763">
        <f t="shared" si="677"/>
        <v>0</v>
      </c>
      <c r="ET920" s="763">
        <f t="shared" si="677"/>
        <v>0</v>
      </c>
      <c r="EU920" s="763">
        <f t="shared" si="677"/>
        <v>0</v>
      </c>
      <c r="EV920" s="763">
        <f t="shared" si="677"/>
        <v>0</v>
      </c>
    </row>
    <row r="921" spans="1:152" s="12" customFormat="1" ht="12" customHeight="1" x14ac:dyDescent="0.35">
      <c r="A921" s="84"/>
      <c r="B921" s="13"/>
      <c r="C921" s="13"/>
      <c r="D921" s="13"/>
      <c r="E921" s="13"/>
      <c r="F921" s="13"/>
      <c r="G921" s="1804"/>
      <c r="H921" s="1183"/>
      <c r="I921" s="1804"/>
      <c r="J921" s="1804"/>
      <c r="K921" s="141"/>
      <c r="L921" s="141"/>
      <c r="M921" s="141"/>
      <c r="N921" s="141"/>
      <c r="O921" s="141"/>
      <c r="P921" s="141"/>
      <c r="Q921" s="483">
        <f>IF(T921&lt;&gt;"Total",S921,SUM(S$915:S921))</f>
        <v>0</v>
      </c>
      <c r="R921" s="483">
        <f>SUMIF(Input!$D$279:$D$288,Calcs!T921,Input!$J$279:$J$288)+SUMIF(Input!$M$279:$M$281,Calcs!T921,Input!$V$279:$V$281)+SUMIF(Input!$M$297:$M$299,Calcs!T921,Input!$W$297:$W$299)</f>
      </c>
      <c r="S921" s="728">
        <f t="shared" si="656"/>
        <v>0</v>
      </c>
      <c r="T921" s="376" t="str">
        <f t="shared" si="657"/>
        <v/>
      </c>
      <c r="U921" s="62">
        <f>IF(AA847=1,-AB847,IF(AA847=2,-SUM(AB$840:AB846),0))</f>
        <v>0</v>
      </c>
      <c r="V921" s="728">
        <f>IF(T921="Total",SUM(R$915:R921),R921)</f>
      </c>
      <c r="W921" s="62">
        <f>IF(T921="Total",SUM(W$915:W920),SUMIF(AA$895:AA$910,T921,AB$895:AB$910))</f>
        <v>0</v>
      </c>
      <c r="X921" s="62">
        <f t="shared" si="658"/>
        <v>0</v>
      </c>
      <c r="Y921" s="389">
        <f t="shared" si="659"/>
        <v>0</v>
      </c>
      <c r="Z921" s="386">
        <f ca="1">IF(T921="Total",SUM(Z$915:Z920),IF(AA847=0,0,IF(AA847=2,0,NPV(IF(ISNUMBER(Input!$I$276),Input!$I$276,0.15)/12,OFFSET(AG940,0,AB921,,COLUMNS(AG940:EV940)-AB921)))))</f>
      </c>
      <c r="AA921" s="1812">
        <f t="shared" si="666"/>
        <v>0</v>
      </c>
      <c r="AB921" s="385" cm="1">
        <f t="array" ref="AB921">IF(AA847=0,0,IF(AA847=2,AB$931,MATCH(TRUE,(AG940:EV940)&lt;&gt;0,0)-1))</f>
        <v>0</v>
      </c>
      <c r="AC921" s="29">
        <f t="shared" si="660"/>
        <v>7</v>
      </c>
      <c r="AD921" s="29"/>
      <c r="AE921" s="376" t="str">
        <f t="shared" si="661"/>
        <v>Investor #7</v>
      </c>
      <c r="AF921" s="763">
        <f t="shared" si="662"/>
        <v>0</v>
      </c>
      <c r="AG921" s="763">
        <f t="shared" si="667"/>
        <v>0</v>
      </c>
      <c r="AH921" s="763">
        <f t="shared" si="667"/>
        <v>0</v>
      </c>
      <c r="AI921" s="763">
        <f t="shared" si="667"/>
        <v>0</v>
      </c>
      <c r="AJ921" s="763">
        <f t="shared" si="667"/>
        <v>0</v>
      </c>
      <c r="AK921" s="763">
        <f t="shared" si="667"/>
        <v>0</v>
      </c>
      <c r="AL921" s="763">
        <f t="shared" si="667"/>
        <v>0</v>
      </c>
      <c r="AM921" s="763">
        <f t="shared" ref="AM921:CX921" si="678">SUMIF($AE$841:$AE$856,$AE921,AL$841:AL$856)+SUMIF($AE$895:$AE$910,$AE921,AM$895:AM$910)</f>
        <v>0</v>
      </c>
      <c r="AN921" s="763">
        <f t="shared" si="678"/>
        <v>0</v>
      </c>
      <c r="AO921" s="763">
        <f t="shared" si="678"/>
        <v>0</v>
      </c>
      <c r="AP921" s="763">
        <f t="shared" si="678"/>
        <v>0</v>
      </c>
      <c r="AQ921" s="763">
        <f t="shared" si="678"/>
        <v>0</v>
      </c>
      <c r="AR921" s="763">
        <f t="shared" si="678"/>
        <v>0</v>
      </c>
      <c r="AS921" s="763">
        <f t="shared" si="678"/>
        <v>0</v>
      </c>
      <c r="AT921" s="763">
        <f t="shared" si="678"/>
        <v>0</v>
      </c>
      <c r="AU921" s="763">
        <f t="shared" si="678"/>
        <v>0</v>
      </c>
      <c r="AV921" s="763">
        <f t="shared" si="678"/>
        <v>0</v>
      </c>
      <c r="AW921" s="763">
        <f t="shared" si="678"/>
        <v>0</v>
      </c>
      <c r="AX921" s="763">
        <f t="shared" si="678"/>
        <v>0</v>
      </c>
      <c r="AY921" s="763">
        <f t="shared" si="678"/>
        <v>0</v>
      </c>
      <c r="AZ921" s="763">
        <f t="shared" si="678"/>
        <v>0</v>
      </c>
      <c r="BA921" s="763">
        <f t="shared" si="678"/>
        <v>0</v>
      </c>
      <c r="BB921" s="763">
        <f t="shared" si="678"/>
        <v>0</v>
      </c>
      <c r="BC921" s="763">
        <f t="shared" si="678"/>
        <v>0</v>
      </c>
      <c r="BD921" s="763">
        <f t="shared" si="678"/>
        <v>0</v>
      </c>
      <c r="BE921" s="763">
        <f t="shared" si="678"/>
        <v>0</v>
      </c>
      <c r="BF921" s="763">
        <f t="shared" si="678"/>
        <v>0</v>
      </c>
      <c r="BG921" s="763">
        <f t="shared" si="678"/>
        <v>0</v>
      </c>
      <c r="BH921" s="763">
        <f t="shared" si="678"/>
        <v>0</v>
      </c>
      <c r="BI921" s="763">
        <f t="shared" si="678"/>
        <v>0</v>
      </c>
      <c r="BJ921" s="763">
        <f t="shared" si="678"/>
        <v>0</v>
      </c>
      <c r="BK921" s="763">
        <f t="shared" si="678"/>
        <v>0</v>
      </c>
      <c r="BL921" s="763">
        <f t="shared" si="678"/>
        <v>0</v>
      </c>
      <c r="BM921" s="763">
        <f t="shared" si="678"/>
        <v>0</v>
      </c>
      <c r="BN921" s="763">
        <f t="shared" si="678"/>
        <v>0</v>
      </c>
      <c r="BO921" s="763">
        <f t="shared" si="678"/>
        <v>0</v>
      </c>
      <c r="BP921" s="763">
        <f t="shared" si="678"/>
        <v>0</v>
      </c>
      <c r="BQ921" s="763">
        <f t="shared" si="678"/>
        <v>0</v>
      </c>
      <c r="BR921" s="763">
        <f t="shared" si="678"/>
        <v>0</v>
      </c>
      <c r="BS921" s="763">
        <f t="shared" si="678"/>
        <v>0</v>
      </c>
      <c r="BT921" s="763">
        <f t="shared" si="678"/>
        <v>0</v>
      </c>
      <c r="BU921" s="763">
        <f t="shared" si="678"/>
        <v>0</v>
      </c>
      <c r="BV921" s="763">
        <f t="shared" si="678"/>
        <v>0</v>
      </c>
      <c r="BW921" s="763">
        <f t="shared" si="678"/>
        <v>0</v>
      </c>
      <c r="BX921" s="763">
        <f t="shared" si="678"/>
        <v>0</v>
      </c>
      <c r="BY921" s="763">
        <f t="shared" si="678"/>
        <v>0</v>
      </c>
      <c r="BZ921" s="763">
        <f t="shared" si="678"/>
        <v>0</v>
      </c>
      <c r="CA921" s="763">
        <f t="shared" si="678"/>
        <v>0</v>
      </c>
      <c r="CB921" s="763">
        <f t="shared" si="678"/>
        <v>0</v>
      </c>
      <c r="CC921" s="763">
        <f t="shared" si="678"/>
        <v>0</v>
      </c>
      <c r="CD921" s="763">
        <f t="shared" si="678"/>
        <v>0</v>
      </c>
      <c r="CE921" s="763">
        <f t="shared" si="678"/>
        <v>0</v>
      </c>
      <c r="CF921" s="763">
        <f t="shared" si="678"/>
        <v>0</v>
      </c>
      <c r="CG921" s="763">
        <f t="shared" si="678"/>
        <v>0</v>
      </c>
      <c r="CH921" s="763">
        <f t="shared" si="678"/>
        <v>0</v>
      </c>
      <c r="CI921" s="763">
        <f t="shared" si="678"/>
        <v>0</v>
      </c>
      <c r="CJ921" s="763">
        <f t="shared" si="678"/>
        <v>0</v>
      </c>
      <c r="CK921" s="763">
        <f t="shared" si="678"/>
        <v>0</v>
      </c>
      <c r="CL921" s="763">
        <f t="shared" si="678"/>
        <v>0</v>
      </c>
      <c r="CM921" s="763">
        <f t="shared" si="678"/>
        <v>0</v>
      </c>
      <c r="CN921" s="763">
        <f t="shared" si="678"/>
        <v>0</v>
      </c>
      <c r="CO921" s="763">
        <f t="shared" si="678"/>
        <v>0</v>
      </c>
      <c r="CP921" s="763">
        <f t="shared" si="678"/>
        <v>0</v>
      </c>
      <c r="CQ921" s="763">
        <f t="shared" si="678"/>
        <v>0</v>
      </c>
      <c r="CR921" s="763">
        <f t="shared" si="678"/>
        <v>0</v>
      </c>
      <c r="CS921" s="763">
        <f t="shared" si="678"/>
        <v>0</v>
      </c>
      <c r="CT921" s="763">
        <f t="shared" si="678"/>
        <v>0</v>
      </c>
      <c r="CU921" s="763">
        <f t="shared" si="678"/>
        <v>0</v>
      </c>
      <c r="CV921" s="763">
        <f t="shared" si="678"/>
        <v>0</v>
      </c>
      <c r="CW921" s="763">
        <f t="shared" si="678"/>
        <v>0</v>
      </c>
      <c r="CX921" s="763">
        <f t="shared" si="678"/>
        <v>0</v>
      </c>
      <c r="CY921" s="763">
        <f t="shared" ref="CY921:EV921" si="679">SUMIF($AE$841:$AE$856,$AE921,CX$841:CX$856)+SUMIF($AE$895:$AE$910,$AE921,CY$895:CY$910)</f>
        <v>0</v>
      </c>
      <c r="CZ921" s="763">
        <f t="shared" si="679"/>
        <v>0</v>
      </c>
      <c r="DA921" s="763">
        <f t="shared" si="679"/>
        <v>0</v>
      </c>
      <c r="DB921" s="763">
        <f t="shared" si="679"/>
        <v>0</v>
      </c>
      <c r="DC921" s="763">
        <f t="shared" si="679"/>
        <v>0</v>
      </c>
      <c r="DD921" s="763">
        <f t="shared" si="679"/>
        <v>0</v>
      </c>
      <c r="DE921" s="763">
        <f t="shared" si="679"/>
        <v>0</v>
      </c>
      <c r="DF921" s="763">
        <f t="shared" si="679"/>
        <v>0</v>
      </c>
      <c r="DG921" s="763">
        <f t="shared" si="679"/>
        <v>0</v>
      </c>
      <c r="DH921" s="763">
        <f t="shared" si="679"/>
        <v>0</v>
      </c>
      <c r="DI921" s="763">
        <f t="shared" si="679"/>
        <v>0</v>
      </c>
      <c r="DJ921" s="763">
        <f t="shared" si="679"/>
        <v>0</v>
      </c>
      <c r="DK921" s="763">
        <f t="shared" si="679"/>
        <v>0</v>
      </c>
      <c r="DL921" s="763">
        <f t="shared" si="679"/>
        <v>0</v>
      </c>
      <c r="DM921" s="763">
        <f t="shared" si="679"/>
        <v>0</v>
      </c>
      <c r="DN921" s="763">
        <f t="shared" si="679"/>
        <v>0</v>
      </c>
      <c r="DO921" s="763">
        <f t="shared" si="679"/>
        <v>0</v>
      </c>
      <c r="DP921" s="763">
        <f t="shared" si="679"/>
        <v>0</v>
      </c>
      <c r="DQ921" s="763">
        <f t="shared" si="679"/>
        <v>0</v>
      </c>
      <c r="DR921" s="763">
        <f t="shared" si="679"/>
        <v>0</v>
      </c>
      <c r="DS921" s="763">
        <f t="shared" si="679"/>
        <v>0</v>
      </c>
      <c r="DT921" s="763">
        <f t="shared" si="679"/>
        <v>0</v>
      </c>
      <c r="DU921" s="763">
        <f t="shared" si="679"/>
        <v>0</v>
      </c>
      <c r="DV921" s="763">
        <f t="shared" si="679"/>
        <v>0</v>
      </c>
      <c r="DW921" s="763">
        <f t="shared" si="679"/>
        <v>0</v>
      </c>
      <c r="DX921" s="763">
        <f t="shared" si="679"/>
        <v>0</v>
      </c>
      <c r="DY921" s="763">
        <f t="shared" si="679"/>
        <v>0</v>
      </c>
      <c r="DZ921" s="763">
        <f t="shared" si="679"/>
        <v>0</v>
      </c>
      <c r="EA921" s="763">
        <f t="shared" si="679"/>
        <v>0</v>
      </c>
      <c r="EB921" s="763">
        <f t="shared" si="679"/>
        <v>0</v>
      </c>
      <c r="EC921" s="763">
        <f t="shared" si="679"/>
        <v>0</v>
      </c>
      <c r="ED921" s="763">
        <f t="shared" si="679"/>
        <v>0</v>
      </c>
      <c r="EE921" s="763">
        <f t="shared" si="679"/>
        <v>0</v>
      </c>
      <c r="EF921" s="763">
        <f t="shared" si="679"/>
        <v>0</v>
      </c>
      <c r="EG921" s="763">
        <f t="shared" si="679"/>
        <v>0</v>
      </c>
      <c r="EH921" s="763">
        <f t="shared" si="679"/>
        <v>0</v>
      </c>
      <c r="EI921" s="763">
        <f t="shared" si="679"/>
        <v>0</v>
      </c>
      <c r="EJ921" s="763">
        <f t="shared" si="679"/>
        <v>0</v>
      </c>
      <c r="EK921" s="763">
        <f t="shared" si="679"/>
        <v>0</v>
      </c>
      <c r="EL921" s="763">
        <f t="shared" si="679"/>
        <v>0</v>
      </c>
      <c r="EM921" s="763">
        <f t="shared" si="679"/>
        <v>0</v>
      </c>
      <c r="EN921" s="763">
        <f t="shared" si="679"/>
        <v>0</v>
      </c>
      <c r="EO921" s="763">
        <f t="shared" si="679"/>
        <v>0</v>
      </c>
      <c r="EP921" s="763">
        <f t="shared" si="679"/>
        <v>0</v>
      </c>
      <c r="EQ921" s="763">
        <f t="shared" si="679"/>
        <v>0</v>
      </c>
      <c r="ER921" s="763">
        <f t="shared" si="679"/>
        <v>0</v>
      </c>
      <c r="ES921" s="763">
        <f t="shared" si="679"/>
        <v>0</v>
      </c>
      <c r="ET921" s="763">
        <f t="shared" si="679"/>
        <v>0</v>
      </c>
      <c r="EU921" s="763">
        <f t="shared" si="679"/>
        <v>0</v>
      </c>
      <c r="EV921" s="763">
        <f t="shared" si="679"/>
        <v>0</v>
      </c>
    </row>
    <row r="922" spans="1:152" s="12" customFormat="1" ht="12" customHeight="1" x14ac:dyDescent="0.35">
      <c r="A922" s="84"/>
      <c r="B922" s="13"/>
      <c r="C922" s="13"/>
      <c r="D922" s="13"/>
      <c r="E922" s="13"/>
      <c r="F922" s="13"/>
      <c r="G922" s="1804"/>
      <c r="H922" s="1183"/>
      <c r="I922" s="1804"/>
      <c r="J922" s="1804"/>
      <c r="K922" s="141"/>
      <c r="L922" s="141"/>
      <c r="M922" s="141"/>
      <c r="N922" s="141"/>
      <c r="O922" s="141"/>
      <c r="P922" s="141"/>
      <c r="Q922" s="483">
        <f>IF(T922&lt;&gt;"Total",S922,SUM(S$915:S922))</f>
        <v>0</v>
      </c>
      <c r="R922" s="483">
        <f>SUMIF(Input!$D$279:$D$288,Calcs!T922,Input!$J$279:$J$288)+SUMIF(Input!$M$279:$M$281,Calcs!T922,Input!$V$279:$V$281)+SUMIF(Input!$M$297:$M$299,Calcs!T922,Input!$W$297:$W$299)</f>
      </c>
      <c r="S922" s="728">
        <f t="shared" si="656"/>
        <v>0</v>
      </c>
      <c r="T922" s="376" t="str">
        <f t="shared" si="657"/>
        <v/>
      </c>
      <c r="U922" s="62">
        <f>IF(AA848=1,-AB848,IF(AA848=2,-SUM(AB$840:AB847),0))</f>
        <v>0</v>
      </c>
      <c r="V922" s="728">
        <f>IF(T922="Total",SUM(R$915:R922),R922)</f>
      </c>
      <c r="W922" s="62">
        <f>IF(T922="Total",SUM(W$915:W921),SUMIF(AA$895:AA$910,T922,AB$895:AB$910))</f>
        <v>0</v>
      </c>
      <c r="X922" s="62">
        <f t="shared" si="658"/>
        <v>0</v>
      </c>
      <c r="Y922" s="389">
        <f t="shared" si="659"/>
        <v>0</v>
      </c>
      <c r="Z922" s="386">
        <f ca="1">IF(T922="Total",SUM(Z$915:Z921),IF(AA848=0,0,IF(AA848=2,0,NPV(IF(ISNUMBER(Input!$I$276),Input!$I$276,0.15)/12,OFFSET(AG941,0,AB922,,COLUMNS(AG941:EV941)-AB922)))))</f>
      </c>
      <c r="AA922" s="1812">
        <f t="shared" si="666"/>
        <v>0</v>
      </c>
      <c r="AB922" s="385" cm="1">
        <f t="array" ref="AB922">IF(AA848=0,0,IF(AA848=2,AB$931,MATCH(TRUE,(AG941:EV941)&lt;&gt;0,0)-1))</f>
        <v>0</v>
      </c>
      <c r="AC922" s="29">
        <f t="shared" si="660"/>
        <v>8</v>
      </c>
      <c r="AD922" s="29"/>
      <c r="AE922" s="376" t="str">
        <f t="shared" si="661"/>
        <v>Investor #8</v>
      </c>
      <c r="AF922" s="763">
        <f t="shared" si="662"/>
        <v>0</v>
      </c>
      <c r="AG922" s="763">
        <f t="shared" si="667"/>
        <v>0</v>
      </c>
      <c r="AH922" s="763">
        <f t="shared" si="667"/>
        <v>0</v>
      </c>
      <c r="AI922" s="763">
        <f t="shared" si="667"/>
        <v>0</v>
      </c>
      <c r="AJ922" s="763">
        <f t="shared" si="667"/>
        <v>0</v>
      </c>
      <c r="AK922" s="763">
        <f t="shared" si="667"/>
        <v>0</v>
      </c>
      <c r="AL922" s="763">
        <f t="shared" si="667"/>
        <v>0</v>
      </c>
      <c r="AM922" s="763">
        <f t="shared" ref="AM922:CX922" si="680">SUMIF($AE$841:$AE$856,$AE922,AL$841:AL$856)+SUMIF($AE$895:$AE$910,$AE922,AM$895:AM$910)</f>
        <v>0</v>
      </c>
      <c r="AN922" s="763">
        <f t="shared" si="680"/>
        <v>0</v>
      </c>
      <c r="AO922" s="763">
        <f t="shared" si="680"/>
        <v>0</v>
      </c>
      <c r="AP922" s="763">
        <f t="shared" si="680"/>
        <v>0</v>
      </c>
      <c r="AQ922" s="763">
        <f t="shared" si="680"/>
        <v>0</v>
      </c>
      <c r="AR922" s="763">
        <f t="shared" si="680"/>
        <v>0</v>
      </c>
      <c r="AS922" s="763">
        <f t="shared" si="680"/>
        <v>0</v>
      </c>
      <c r="AT922" s="763">
        <f t="shared" si="680"/>
        <v>0</v>
      </c>
      <c r="AU922" s="763">
        <f t="shared" si="680"/>
        <v>0</v>
      </c>
      <c r="AV922" s="763">
        <f t="shared" si="680"/>
        <v>0</v>
      </c>
      <c r="AW922" s="763">
        <f t="shared" si="680"/>
        <v>0</v>
      </c>
      <c r="AX922" s="763">
        <f t="shared" si="680"/>
        <v>0</v>
      </c>
      <c r="AY922" s="763">
        <f t="shared" si="680"/>
        <v>0</v>
      </c>
      <c r="AZ922" s="763">
        <f t="shared" si="680"/>
        <v>0</v>
      </c>
      <c r="BA922" s="763">
        <f t="shared" si="680"/>
        <v>0</v>
      </c>
      <c r="BB922" s="763">
        <f t="shared" si="680"/>
        <v>0</v>
      </c>
      <c r="BC922" s="763">
        <f t="shared" si="680"/>
        <v>0</v>
      </c>
      <c r="BD922" s="763">
        <f t="shared" si="680"/>
        <v>0</v>
      </c>
      <c r="BE922" s="763">
        <f t="shared" si="680"/>
        <v>0</v>
      </c>
      <c r="BF922" s="763">
        <f t="shared" si="680"/>
        <v>0</v>
      </c>
      <c r="BG922" s="763">
        <f t="shared" si="680"/>
        <v>0</v>
      </c>
      <c r="BH922" s="763">
        <f t="shared" si="680"/>
        <v>0</v>
      </c>
      <c r="BI922" s="763">
        <f t="shared" si="680"/>
        <v>0</v>
      </c>
      <c r="BJ922" s="763">
        <f t="shared" si="680"/>
        <v>0</v>
      </c>
      <c r="BK922" s="763">
        <f t="shared" si="680"/>
        <v>0</v>
      </c>
      <c r="BL922" s="763">
        <f t="shared" si="680"/>
        <v>0</v>
      </c>
      <c r="BM922" s="763">
        <f t="shared" si="680"/>
        <v>0</v>
      </c>
      <c r="BN922" s="763">
        <f t="shared" si="680"/>
        <v>0</v>
      </c>
      <c r="BO922" s="763">
        <f t="shared" si="680"/>
        <v>0</v>
      </c>
      <c r="BP922" s="763">
        <f t="shared" si="680"/>
        <v>0</v>
      </c>
      <c r="BQ922" s="763">
        <f t="shared" si="680"/>
        <v>0</v>
      </c>
      <c r="BR922" s="763">
        <f t="shared" si="680"/>
        <v>0</v>
      </c>
      <c r="BS922" s="763">
        <f t="shared" si="680"/>
        <v>0</v>
      </c>
      <c r="BT922" s="763">
        <f t="shared" si="680"/>
        <v>0</v>
      </c>
      <c r="BU922" s="763">
        <f t="shared" si="680"/>
        <v>0</v>
      </c>
      <c r="BV922" s="763">
        <f t="shared" si="680"/>
        <v>0</v>
      </c>
      <c r="BW922" s="763">
        <f t="shared" si="680"/>
        <v>0</v>
      </c>
      <c r="BX922" s="763">
        <f t="shared" si="680"/>
        <v>0</v>
      </c>
      <c r="BY922" s="763">
        <f t="shared" si="680"/>
        <v>0</v>
      </c>
      <c r="BZ922" s="763">
        <f t="shared" si="680"/>
        <v>0</v>
      </c>
      <c r="CA922" s="763">
        <f t="shared" si="680"/>
        <v>0</v>
      </c>
      <c r="CB922" s="763">
        <f t="shared" si="680"/>
        <v>0</v>
      </c>
      <c r="CC922" s="763">
        <f t="shared" si="680"/>
        <v>0</v>
      </c>
      <c r="CD922" s="763">
        <f t="shared" si="680"/>
        <v>0</v>
      </c>
      <c r="CE922" s="763">
        <f t="shared" si="680"/>
        <v>0</v>
      </c>
      <c r="CF922" s="763">
        <f t="shared" si="680"/>
        <v>0</v>
      </c>
      <c r="CG922" s="763">
        <f t="shared" si="680"/>
        <v>0</v>
      </c>
      <c r="CH922" s="763">
        <f t="shared" si="680"/>
        <v>0</v>
      </c>
      <c r="CI922" s="763">
        <f t="shared" si="680"/>
        <v>0</v>
      </c>
      <c r="CJ922" s="763">
        <f t="shared" si="680"/>
        <v>0</v>
      </c>
      <c r="CK922" s="763">
        <f t="shared" si="680"/>
        <v>0</v>
      </c>
      <c r="CL922" s="763">
        <f t="shared" si="680"/>
        <v>0</v>
      </c>
      <c r="CM922" s="763">
        <f t="shared" si="680"/>
        <v>0</v>
      </c>
      <c r="CN922" s="763">
        <f t="shared" si="680"/>
        <v>0</v>
      </c>
      <c r="CO922" s="763">
        <f t="shared" si="680"/>
        <v>0</v>
      </c>
      <c r="CP922" s="763">
        <f t="shared" si="680"/>
        <v>0</v>
      </c>
      <c r="CQ922" s="763">
        <f t="shared" si="680"/>
        <v>0</v>
      </c>
      <c r="CR922" s="763">
        <f t="shared" si="680"/>
        <v>0</v>
      </c>
      <c r="CS922" s="763">
        <f t="shared" si="680"/>
        <v>0</v>
      </c>
      <c r="CT922" s="763">
        <f t="shared" si="680"/>
        <v>0</v>
      </c>
      <c r="CU922" s="763">
        <f t="shared" si="680"/>
        <v>0</v>
      </c>
      <c r="CV922" s="763">
        <f t="shared" si="680"/>
        <v>0</v>
      </c>
      <c r="CW922" s="763">
        <f t="shared" si="680"/>
        <v>0</v>
      </c>
      <c r="CX922" s="763">
        <f t="shared" si="680"/>
        <v>0</v>
      </c>
      <c r="CY922" s="763">
        <f t="shared" ref="CY922:EV922" si="681">SUMIF($AE$841:$AE$856,$AE922,CX$841:CX$856)+SUMIF($AE$895:$AE$910,$AE922,CY$895:CY$910)</f>
        <v>0</v>
      </c>
      <c r="CZ922" s="763">
        <f t="shared" si="681"/>
        <v>0</v>
      </c>
      <c r="DA922" s="763">
        <f t="shared" si="681"/>
        <v>0</v>
      </c>
      <c r="DB922" s="763">
        <f t="shared" si="681"/>
        <v>0</v>
      </c>
      <c r="DC922" s="763">
        <f t="shared" si="681"/>
        <v>0</v>
      </c>
      <c r="DD922" s="763">
        <f t="shared" si="681"/>
        <v>0</v>
      </c>
      <c r="DE922" s="763">
        <f t="shared" si="681"/>
        <v>0</v>
      </c>
      <c r="DF922" s="763">
        <f t="shared" si="681"/>
        <v>0</v>
      </c>
      <c r="DG922" s="763">
        <f t="shared" si="681"/>
        <v>0</v>
      </c>
      <c r="DH922" s="763">
        <f t="shared" si="681"/>
        <v>0</v>
      </c>
      <c r="DI922" s="763">
        <f t="shared" si="681"/>
        <v>0</v>
      </c>
      <c r="DJ922" s="763">
        <f t="shared" si="681"/>
        <v>0</v>
      </c>
      <c r="DK922" s="763">
        <f t="shared" si="681"/>
        <v>0</v>
      </c>
      <c r="DL922" s="763">
        <f t="shared" si="681"/>
        <v>0</v>
      </c>
      <c r="DM922" s="763">
        <f t="shared" si="681"/>
        <v>0</v>
      </c>
      <c r="DN922" s="763">
        <f t="shared" si="681"/>
        <v>0</v>
      </c>
      <c r="DO922" s="763">
        <f t="shared" si="681"/>
        <v>0</v>
      </c>
      <c r="DP922" s="763">
        <f t="shared" si="681"/>
        <v>0</v>
      </c>
      <c r="DQ922" s="763">
        <f t="shared" si="681"/>
        <v>0</v>
      </c>
      <c r="DR922" s="763">
        <f t="shared" si="681"/>
        <v>0</v>
      </c>
      <c r="DS922" s="763">
        <f t="shared" si="681"/>
        <v>0</v>
      </c>
      <c r="DT922" s="763">
        <f t="shared" si="681"/>
        <v>0</v>
      </c>
      <c r="DU922" s="763">
        <f t="shared" si="681"/>
        <v>0</v>
      </c>
      <c r="DV922" s="763">
        <f t="shared" si="681"/>
        <v>0</v>
      </c>
      <c r="DW922" s="763">
        <f t="shared" si="681"/>
        <v>0</v>
      </c>
      <c r="DX922" s="763">
        <f t="shared" si="681"/>
        <v>0</v>
      </c>
      <c r="DY922" s="763">
        <f t="shared" si="681"/>
        <v>0</v>
      </c>
      <c r="DZ922" s="763">
        <f t="shared" si="681"/>
        <v>0</v>
      </c>
      <c r="EA922" s="763">
        <f t="shared" si="681"/>
        <v>0</v>
      </c>
      <c r="EB922" s="763">
        <f t="shared" si="681"/>
        <v>0</v>
      </c>
      <c r="EC922" s="763">
        <f t="shared" si="681"/>
        <v>0</v>
      </c>
      <c r="ED922" s="763">
        <f t="shared" si="681"/>
        <v>0</v>
      </c>
      <c r="EE922" s="763">
        <f t="shared" si="681"/>
        <v>0</v>
      </c>
      <c r="EF922" s="763">
        <f t="shared" si="681"/>
        <v>0</v>
      </c>
      <c r="EG922" s="763">
        <f t="shared" si="681"/>
        <v>0</v>
      </c>
      <c r="EH922" s="763">
        <f t="shared" si="681"/>
        <v>0</v>
      </c>
      <c r="EI922" s="763">
        <f t="shared" si="681"/>
        <v>0</v>
      </c>
      <c r="EJ922" s="763">
        <f t="shared" si="681"/>
        <v>0</v>
      </c>
      <c r="EK922" s="763">
        <f t="shared" si="681"/>
        <v>0</v>
      </c>
      <c r="EL922" s="763">
        <f t="shared" si="681"/>
        <v>0</v>
      </c>
      <c r="EM922" s="763">
        <f t="shared" si="681"/>
        <v>0</v>
      </c>
      <c r="EN922" s="763">
        <f t="shared" si="681"/>
        <v>0</v>
      </c>
      <c r="EO922" s="763">
        <f t="shared" si="681"/>
        <v>0</v>
      </c>
      <c r="EP922" s="763">
        <f t="shared" si="681"/>
        <v>0</v>
      </c>
      <c r="EQ922" s="763">
        <f t="shared" si="681"/>
        <v>0</v>
      </c>
      <c r="ER922" s="763">
        <f t="shared" si="681"/>
        <v>0</v>
      </c>
      <c r="ES922" s="763">
        <f t="shared" si="681"/>
        <v>0</v>
      </c>
      <c r="ET922" s="763">
        <f t="shared" si="681"/>
        <v>0</v>
      </c>
      <c r="EU922" s="763">
        <f t="shared" si="681"/>
        <v>0</v>
      </c>
      <c r="EV922" s="763">
        <f t="shared" si="681"/>
        <v>0</v>
      </c>
    </row>
    <row r="923" spans="1:152" s="12" customFormat="1" ht="12" customHeight="1" x14ac:dyDescent="0.35">
      <c r="A923" s="84"/>
      <c r="B923" s="13"/>
      <c r="C923" s="13"/>
      <c r="D923" s="13"/>
      <c r="E923" s="13"/>
      <c r="F923" s="13"/>
      <c r="G923" s="1804"/>
      <c r="H923" s="1183"/>
      <c r="I923" s="1804"/>
      <c r="J923" s="1804"/>
      <c r="K923" s="141"/>
      <c r="L923" s="141"/>
      <c r="M923" s="141"/>
      <c r="N923" s="141"/>
      <c r="O923" s="141"/>
      <c r="P923" s="141"/>
      <c r="Q923" s="483">
        <f>IF(T923&lt;&gt;"Total",S923,SUM(S$915:S923))</f>
        <v>0</v>
      </c>
      <c r="R923" s="483">
        <f>SUMIF(Input!$D$279:$D$288,Calcs!T923,Input!$J$279:$J$288)+SUMIF(Input!$M$279:$M$281,Calcs!T923,Input!$V$279:$V$281)+SUMIF(Input!$M$297:$M$299,Calcs!T923,Input!$W$297:$W$299)</f>
      </c>
      <c r="S923" s="728">
        <f t="shared" si="656"/>
        <v>0</v>
      </c>
      <c r="T923" s="376" t="str">
        <f t="shared" si="657"/>
        <v/>
      </c>
      <c r="U923" s="62">
        <f>IF(AA849=1,-AB849,IF(AA849=2,-SUM(AB$840:AB848),0))</f>
        <v>0</v>
      </c>
      <c r="V923" s="728">
        <f>IF(T923="Total",SUM(R$915:R923),R923)</f>
      </c>
      <c r="W923" s="62">
        <f>IF(T923="Total",SUM(W$915:W922),SUMIF(AA$895:AA$910,T923,AB$895:AB$910))</f>
        <v>0</v>
      </c>
      <c r="X923" s="62">
        <f t="shared" si="658"/>
        <v>0</v>
      </c>
      <c r="Y923" s="389">
        <f t="shared" si="659"/>
        <v>0</v>
      </c>
      <c r="Z923" s="386">
        <f ca="1">IF(T923="Total",SUM(Z$915:Z922),IF(AA849=0,0,IF(AA849=2,0,NPV(IF(ISNUMBER(Input!$I$276),Input!$I$276,0.15)/12,OFFSET(AG942,0,AB923,,COLUMNS(AG942:EV942)-AB923)))))</f>
      </c>
      <c r="AA923" s="1812">
        <f t="shared" si="666"/>
        <v>0</v>
      </c>
      <c r="AB923" s="385" cm="1">
        <f t="array" ref="AB923">IF(AA849=0,0,IF(AA849=2,AB$931,MATCH(TRUE,(AG942:EV942)&lt;&gt;0,0)-1))</f>
        <v>0</v>
      </c>
      <c r="AC923" s="29">
        <f t="shared" si="660"/>
        <v>9</v>
      </c>
      <c r="AD923" s="29"/>
      <c r="AE923" s="376" t="str">
        <f t="shared" si="661"/>
        <v>Investor #9</v>
      </c>
      <c r="AF923" s="763">
        <f t="shared" si="662"/>
        <v>0</v>
      </c>
      <c r="AG923" s="763">
        <f t="shared" si="667"/>
        <v>0</v>
      </c>
      <c r="AH923" s="763">
        <f t="shared" si="667"/>
        <v>0</v>
      </c>
      <c r="AI923" s="763">
        <f t="shared" si="667"/>
        <v>0</v>
      </c>
      <c r="AJ923" s="763">
        <f t="shared" si="667"/>
        <v>0</v>
      </c>
      <c r="AK923" s="763">
        <f t="shared" si="667"/>
        <v>0</v>
      </c>
      <c r="AL923" s="763">
        <f t="shared" si="667"/>
        <v>0</v>
      </c>
      <c r="AM923" s="763">
        <f t="shared" ref="AM923:CX923" si="682">SUMIF($AE$841:$AE$856,$AE923,AL$841:AL$856)+SUMIF($AE$895:$AE$910,$AE923,AM$895:AM$910)</f>
        <v>0</v>
      </c>
      <c r="AN923" s="763">
        <f t="shared" si="682"/>
        <v>0</v>
      </c>
      <c r="AO923" s="763">
        <f t="shared" si="682"/>
        <v>0</v>
      </c>
      <c r="AP923" s="763">
        <f t="shared" si="682"/>
        <v>0</v>
      </c>
      <c r="AQ923" s="763">
        <f t="shared" si="682"/>
        <v>0</v>
      </c>
      <c r="AR923" s="763">
        <f t="shared" si="682"/>
        <v>0</v>
      </c>
      <c r="AS923" s="763">
        <f t="shared" si="682"/>
        <v>0</v>
      </c>
      <c r="AT923" s="763">
        <f t="shared" si="682"/>
        <v>0</v>
      </c>
      <c r="AU923" s="763">
        <f t="shared" si="682"/>
        <v>0</v>
      </c>
      <c r="AV923" s="763">
        <f t="shared" si="682"/>
        <v>0</v>
      </c>
      <c r="AW923" s="763">
        <f t="shared" si="682"/>
        <v>0</v>
      </c>
      <c r="AX923" s="763">
        <f t="shared" si="682"/>
        <v>0</v>
      </c>
      <c r="AY923" s="763">
        <f t="shared" si="682"/>
        <v>0</v>
      </c>
      <c r="AZ923" s="763">
        <f t="shared" si="682"/>
        <v>0</v>
      </c>
      <c r="BA923" s="763">
        <f t="shared" si="682"/>
        <v>0</v>
      </c>
      <c r="BB923" s="763">
        <f t="shared" si="682"/>
        <v>0</v>
      </c>
      <c r="BC923" s="763">
        <f t="shared" si="682"/>
        <v>0</v>
      </c>
      <c r="BD923" s="763">
        <f t="shared" si="682"/>
        <v>0</v>
      </c>
      <c r="BE923" s="763">
        <f t="shared" si="682"/>
        <v>0</v>
      </c>
      <c r="BF923" s="763">
        <f t="shared" si="682"/>
        <v>0</v>
      </c>
      <c r="BG923" s="763">
        <f t="shared" si="682"/>
        <v>0</v>
      </c>
      <c r="BH923" s="763">
        <f t="shared" si="682"/>
        <v>0</v>
      </c>
      <c r="BI923" s="763">
        <f t="shared" si="682"/>
        <v>0</v>
      </c>
      <c r="BJ923" s="763">
        <f t="shared" si="682"/>
        <v>0</v>
      </c>
      <c r="BK923" s="763">
        <f t="shared" si="682"/>
        <v>0</v>
      </c>
      <c r="BL923" s="763">
        <f t="shared" si="682"/>
        <v>0</v>
      </c>
      <c r="BM923" s="763">
        <f t="shared" si="682"/>
        <v>0</v>
      </c>
      <c r="BN923" s="763">
        <f t="shared" si="682"/>
        <v>0</v>
      </c>
      <c r="BO923" s="763">
        <f t="shared" si="682"/>
        <v>0</v>
      </c>
      <c r="BP923" s="763">
        <f t="shared" si="682"/>
        <v>0</v>
      </c>
      <c r="BQ923" s="763">
        <f t="shared" si="682"/>
        <v>0</v>
      </c>
      <c r="BR923" s="763">
        <f t="shared" si="682"/>
        <v>0</v>
      </c>
      <c r="BS923" s="763">
        <f t="shared" si="682"/>
        <v>0</v>
      </c>
      <c r="BT923" s="763">
        <f t="shared" si="682"/>
        <v>0</v>
      </c>
      <c r="BU923" s="763">
        <f t="shared" si="682"/>
        <v>0</v>
      </c>
      <c r="BV923" s="763">
        <f t="shared" si="682"/>
        <v>0</v>
      </c>
      <c r="BW923" s="763">
        <f t="shared" si="682"/>
        <v>0</v>
      </c>
      <c r="BX923" s="763">
        <f t="shared" si="682"/>
        <v>0</v>
      </c>
      <c r="BY923" s="763">
        <f t="shared" si="682"/>
        <v>0</v>
      </c>
      <c r="BZ923" s="763">
        <f t="shared" si="682"/>
        <v>0</v>
      </c>
      <c r="CA923" s="763">
        <f t="shared" si="682"/>
        <v>0</v>
      </c>
      <c r="CB923" s="763">
        <f t="shared" si="682"/>
        <v>0</v>
      </c>
      <c r="CC923" s="763">
        <f t="shared" si="682"/>
        <v>0</v>
      </c>
      <c r="CD923" s="763">
        <f t="shared" si="682"/>
        <v>0</v>
      </c>
      <c r="CE923" s="763">
        <f t="shared" si="682"/>
        <v>0</v>
      </c>
      <c r="CF923" s="763">
        <f t="shared" si="682"/>
        <v>0</v>
      </c>
      <c r="CG923" s="763">
        <f t="shared" si="682"/>
        <v>0</v>
      </c>
      <c r="CH923" s="763">
        <f t="shared" si="682"/>
        <v>0</v>
      </c>
      <c r="CI923" s="763">
        <f t="shared" si="682"/>
        <v>0</v>
      </c>
      <c r="CJ923" s="763">
        <f t="shared" si="682"/>
        <v>0</v>
      </c>
      <c r="CK923" s="763">
        <f t="shared" si="682"/>
        <v>0</v>
      </c>
      <c r="CL923" s="763">
        <f t="shared" si="682"/>
        <v>0</v>
      </c>
      <c r="CM923" s="763">
        <f t="shared" si="682"/>
        <v>0</v>
      </c>
      <c r="CN923" s="763">
        <f t="shared" si="682"/>
        <v>0</v>
      </c>
      <c r="CO923" s="763">
        <f t="shared" si="682"/>
        <v>0</v>
      </c>
      <c r="CP923" s="763">
        <f t="shared" si="682"/>
        <v>0</v>
      </c>
      <c r="CQ923" s="763">
        <f t="shared" si="682"/>
        <v>0</v>
      </c>
      <c r="CR923" s="763">
        <f t="shared" si="682"/>
        <v>0</v>
      </c>
      <c r="CS923" s="763">
        <f t="shared" si="682"/>
        <v>0</v>
      </c>
      <c r="CT923" s="763">
        <f t="shared" si="682"/>
        <v>0</v>
      </c>
      <c r="CU923" s="763">
        <f t="shared" si="682"/>
        <v>0</v>
      </c>
      <c r="CV923" s="763">
        <f t="shared" si="682"/>
        <v>0</v>
      </c>
      <c r="CW923" s="763">
        <f t="shared" si="682"/>
        <v>0</v>
      </c>
      <c r="CX923" s="763">
        <f t="shared" si="682"/>
        <v>0</v>
      </c>
      <c r="CY923" s="763">
        <f t="shared" ref="CY923:EV923" si="683">SUMIF($AE$841:$AE$856,$AE923,CX$841:CX$856)+SUMIF($AE$895:$AE$910,$AE923,CY$895:CY$910)</f>
        <v>0</v>
      </c>
      <c r="CZ923" s="763">
        <f t="shared" si="683"/>
        <v>0</v>
      </c>
      <c r="DA923" s="763">
        <f t="shared" si="683"/>
        <v>0</v>
      </c>
      <c r="DB923" s="763">
        <f t="shared" si="683"/>
        <v>0</v>
      </c>
      <c r="DC923" s="763">
        <f t="shared" si="683"/>
        <v>0</v>
      </c>
      <c r="DD923" s="763">
        <f t="shared" si="683"/>
        <v>0</v>
      </c>
      <c r="DE923" s="763">
        <f t="shared" si="683"/>
        <v>0</v>
      </c>
      <c r="DF923" s="763">
        <f t="shared" si="683"/>
        <v>0</v>
      </c>
      <c r="DG923" s="763">
        <f t="shared" si="683"/>
        <v>0</v>
      </c>
      <c r="DH923" s="763">
        <f t="shared" si="683"/>
        <v>0</v>
      </c>
      <c r="DI923" s="763">
        <f t="shared" si="683"/>
        <v>0</v>
      </c>
      <c r="DJ923" s="763">
        <f t="shared" si="683"/>
        <v>0</v>
      </c>
      <c r="DK923" s="763">
        <f t="shared" si="683"/>
        <v>0</v>
      </c>
      <c r="DL923" s="763">
        <f t="shared" si="683"/>
        <v>0</v>
      </c>
      <c r="DM923" s="763">
        <f t="shared" si="683"/>
        <v>0</v>
      </c>
      <c r="DN923" s="763">
        <f t="shared" si="683"/>
        <v>0</v>
      </c>
      <c r="DO923" s="763">
        <f t="shared" si="683"/>
        <v>0</v>
      </c>
      <c r="DP923" s="763">
        <f t="shared" si="683"/>
        <v>0</v>
      </c>
      <c r="DQ923" s="763">
        <f t="shared" si="683"/>
        <v>0</v>
      </c>
      <c r="DR923" s="763">
        <f t="shared" si="683"/>
        <v>0</v>
      </c>
      <c r="DS923" s="763">
        <f t="shared" si="683"/>
        <v>0</v>
      </c>
      <c r="DT923" s="763">
        <f t="shared" si="683"/>
        <v>0</v>
      </c>
      <c r="DU923" s="763">
        <f t="shared" si="683"/>
        <v>0</v>
      </c>
      <c r="DV923" s="763">
        <f t="shared" si="683"/>
        <v>0</v>
      </c>
      <c r="DW923" s="763">
        <f t="shared" si="683"/>
        <v>0</v>
      </c>
      <c r="DX923" s="763">
        <f t="shared" si="683"/>
        <v>0</v>
      </c>
      <c r="DY923" s="763">
        <f t="shared" si="683"/>
        <v>0</v>
      </c>
      <c r="DZ923" s="763">
        <f t="shared" si="683"/>
        <v>0</v>
      </c>
      <c r="EA923" s="763">
        <f t="shared" si="683"/>
        <v>0</v>
      </c>
      <c r="EB923" s="763">
        <f t="shared" si="683"/>
        <v>0</v>
      </c>
      <c r="EC923" s="763">
        <f t="shared" si="683"/>
        <v>0</v>
      </c>
      <c r="ED923" s="763">
        <f t="shared" si="683"/>
        <v>0</v>
      </c>
      <c r="EE923" s="763">
        <f t="shared" si="683"/>
        <v>0</v>
      </c>
      <c r="EF923" s="763">
        <f t="shared" si="683"/>
        <v>0</v>
      </c>
      <c r="EG923" s="763">
        <f t="shared" si="683"/>
        <v>0</v>
      </c>
      <c r="EH923" s="763">
        <f t="shared" si="683"/>
        <v>0</v>
      </c>
      <c r="EI923" s="763">
        <f t="shared" si="683"/>
        <v>0</v>
      </c>
      <c r="EJ923" s="763">
        <f t="shared" si="683"/>
        <v>0</v>
      </c>
      <c r="EK923" s="763">
        <f t="shared" si="683"/>
        <v>0</v>
      </c>
      <c r="EL923" s="763">
        <f t="shared" si="683"/>
        <v>0</v>
      </c>
      <c r="EM923" s="763">
        <f t="shared" si="683"/>
        <v>0</v>
      </c>
      <c r="EN923" s="763">
        <f t="shared" si="683"/>
        <v>0</v>
      </c>
      <c r="EO923" s="763">
        <f t="shared" si="683"/>
        <v>0</v>
      </c>
      <c r="EP923" s="763">
        <f t="shared" si="683"/>
        <v>0</v>
      </c>
      <c r="EQ923" s="763">
        <f t="shared" si="683"/>
        <v>0</v>
      </c>
      <c r="ER923" s="763">
        <f t="shared" si="683"/>
        <v>0</v>
      </c>
      <c r="ES923" s="763">
        <f t="shared" si="683"/>
        <v>0</v>
      </c>
      <c r="ET923" s="763">
        <f t="shared" si="683"/>
        <v>0</v>
      </c>
      <c r="EU923" s="763">
        <f t="shared" si="683"/>
        <v>0</v>
      </c>
      <c r="EV923" s="763">
        <f t="shared" si="683"/>
        <v>0</v>
      </c>
    </row>
    <row r="924" spans="1:152" s="12" customFormat="1" ht="12" customHeight="1" x14ac:dyDescent="0.35">
      <c r="A924" s="84"/>
      <c r="B924" s="13"/>
      <c r="C924" s="13"/>
      <c r="D924" s="13"/>
      <c r="E924" s="13"/>
      <c r="F924" s="13"/>
      <c r="G924" s="1804"/>
      <c r="H924" s="1183"/>
      <c r="I924" s="1804"/>
      <c r="J924" s="1804"/>
      <c r="K924" s="141"/>
      <c r="L924" s="141"/>
      <c r="M924" s="141"/>
      <c r="N924" s="141"/>
      <c r="O924" s="141"/>
      <c r="P924" s="141"/>
      <c r="Q924" s="483">
        <f>IF(T924&lt;&gt;"Total",S924,SUM(S$915:S924))</f>
        <v>0</v>
      </c>
      <c r="R924" s="483">
        <f>SUMIF(Input!$D$279:$D$288,Calcs!T924,Input!$J$279:$J$288)+SUMIF(Input!$M$279:$M$281,Calcs!T924,Input!$V$279:$V$281)+SUMIF(Input!$M$297:$M$299,Calcs!T924,Input!$W$297:$W$299)</f>
      </c>
      <c r="S924" s="728">
        <f t="shared" si="656"/>
        <v>0</v>
      </c>
      <c r="T924" s="376" t="str">
        <f t="shared" si="657"/>
        <v/>
      </c>
      <c r="U924" s="62">
        <f>IF(AA850=1,-AB850,IF(AA850=2,-SUM(AB$840:AB849),0))</f>
        <v>0</v>
      </c>
      <c r="V924" s="728">
        <f>IF(T924="Total",SUM(R$915:R924),R924)</f>
      </c>
      <c r="W924" s="62">
        <f>IF(T924="Total",SUM(W$915:W923),SUMIF(AA$895:AA$910,T924,AB$895:AB$910))</f>
        <v>0</v>
      </c>
      <c r="X924" s="62">
        <f t="shared" si="658"/>
        <v>0</v>
      </c>
      <c r="Y924" s="389">
        <f t="shared" si="659"/>
        <v>0</v>
      </c>
      <c r="Z924" s="386">
        <f ca="1">IF(T924="Total",SUM(Z$915:Z923),IF(AA850=0,0,IF(AA850=2,0,NPV(IF(ISNUMBER(Input!$I$276),Input!$I$276,0.15)/12,OFFSET(AG943,0,AB924,,COLUMNS(AG943:EV943)-AB924)))))</f>
      </c>
      <c r="AA924" s="1812">
        <f t="shared" si="666"/>
        <v>0</v>
      </c>
      <c r="AB924" s="385" cm="1">
        <f t="array" ref="AB924">IF(AA850=0,0,IF(AA850=2,AB$931,MATCH(TRUE,(AG943:EV943)&lt;&gt;0,0)-1))</f>
        <v>0</v>
      </c>
      <c r="AC924" s="29">
        <f t="shared" si="660"/>
        <v>10</v>
      </c>
      <c r="AD924" s="29"/>
      <c r="AE924" s="376" t="str">
        <f t="shared" si="661"/>
        <v>Investor #10</v>
      </c>
      <c r="AF924" s="763">
        <f t="shared" si="662"/>
        <v>0</v>
      </c>
      <c r="AG924" s="763">
        <f t="shared" si="667"/>
        <v>0</v>
      </c>
      <c r="AH924" s="763">
        <f t="shared" si="667"/>
        <v>0</v>
      </c>
      <c r="AI924" s="763">
        <f t="shared" si="667"/>
        <v>0</v>
      </c>
      <c r="AJ924" s="763">
        <f t="shared" si="667"/>
        <v>0</v>
      </c>
      <c r="AK924" s="763">
        <f t="shared" si="667"/>
        <v>0</v>
      </c>
      <c r="AL924" s="763">
        <f t="shared" si="667"/>
        <v>0</v>
      </c>
      <c r="AM924" s="763">
        <f t="shared" ref="AM924:CX924" si="684">SUMIF($AE$841:$AE$856,$AE924,AL$841:AL$856)+SUMIF($AE$895:$AE$910,$AE924,AM$895:AM$910)</f>
        <v>0</v>
      </c>
      <c r="AN924" s="763">
        <f t="shared" si="684"/>
        <v>0</v>
      </c>
      <c r="AO924" s="763">
        <f t="shared" si="684"/>
        <v>0</v>
      </c>
      <c r="AP924" s="763">
        <f t="shared" si="684"/>
        <v>0</v>
      </c>
      <c r="AQ924" s="763">
        <f t="shared" si="684"/>
        <v>0</v>
      </c>
      <c r="AR924" s="763">
        <f t="shared" si="684"/>
        <v>0</v>
      </c>
      <c r="AS924" s="763">
        <f t="shared" si="684"/>
        <v>0</v>
      </c>
      <c r="AT924" s="763">
        <f t="shared" si="684"/>
        <v>0</v>
      </c>
      <c r="AU924" s="763">
        <f t="shared" si="684"/>
        <v>0</v>
      </c>
      <c r="AV924" s="763">
        <f t="shared" si="684"/>
        <v>0</v>
      </c>
      <c r="AW924" s="763">
        <f t="shared" si="684"/>
        <v>0</v>
      </c>
      <c r="AX924" s="763">
        <f t="shared" si="684"/>
        <v>0</v>
      </c>
      <c r="AY924" s="763">
        <f t="shared" si="684"/>
        <v>0</v>
      </c>
      <c r="AZ924" s="763">
        <f t="shared" si="684"/>
        <v>0</v>
      </c>
      <c r="BA924" s="763">
        <f t="shared" si="684"/>
        <v>0</v>
      </c>
      <c r="BB924" s="763">
        <f t="shared" si="684"/>
        <v>0</v>
      </c>
      <c r="BC924" s="763">
        <f t="shared" si="684"/>
        <v>0</v>
      </c>
      <c r="BD924" s="763">
        <f t="shared" si="684"/>
        <v>0</v>
      </c>
      <c r="BE924" s="763">
        <f t="shared" si="684"/>
        <v>0</v>
      </c>
      <c r="BF924" s="763">
        <f t="shared" si="684"/>
        <v>0</v>
      </c>
      <c r="BG924" s="763">
        <f t="shared" si="684"/>
        <v>0</v>
      </c>
      <c r="BH924" s="763">
        <f t="shared" si="684"/>
        <v>0</v>
      </c>
      <c r="BI924" s="763">
        <f t="shared" si="684"/>
        <v>0</v>
      </c>
      <c r="BJ924" s="763">
        <f t="shared" si="684"/>
        <v>0</v>
      </c>
      <c r="BK924" s="763">
        <f t="shared" si="684"/>
        <v>0</v>
      </c>
      <c r="BL924" s="763">
        <f t="shared" si="684"/>
        <v>0</v>
      </c>
      <c r="BM924" s="763">
        <f t="shared" si="684"/>
        <v>0</v>
      </c>
      <c r="BN924" s="763">
        <f t="shared" si="684"/>
        <v>0</v>
      </c>
      <c r="BO924" s="763">
        <f t="shared" si="684"/>
        <v>0</v>
      </c>
      <c r="BP924" s="763">
        <f t="shared" si="684"/>
        <v>0</v>
      </c>
      <c r="BQ924" s="763">
        <f t="shared" si="684"/>
        <v>0</v>
      </c>
      <c r="BR924" s="763">
        <f t="shared" si="684"/>
        <v>0</v>
      </c>
      <c r="BS924" s="763">
        <f t="shared" si="684"/>
        <v>0</v>
      </c>
      <c r="BT924" s="763">
        <f t="shared" si="684"/>
        <v>0</v>
      </c>
      <c r="BU924" s="763">
        <f t="shared" si="684"/>
        <v>0</v>
      </c>
      <c r="BV924" s="763">
        <f t="shared" si="684"/>
        <v>0</v>
      </c>
      <c r="BW924" s="763">
        <f t="shared" si="684"/>
        <v>0</v>
      </c>
      <c r="BX924" s="763">
        <f t="shared" si="684"/>
        <v>0</v>
      </c>
      <c r="BY924" s="763">
        <f t="shared" si="684"/>
        <v>0</v>
      </c>
      <c r="BZ924" s="763">
        <f t="shared" si="684"/>
        <v>0</v>
      </c>
      <c r="CA924" s="763">
        <f t="shared" si="684"/>
        <v>0</v>
      </c>
      <c r="CB924" s="763">
        <f t="shared" si="684"/>
        <v>0</v>
      </c>
      <c r="CC924" s="763">
        <f t="shared" si="684"/>
        <v>0</v>
      </c>
      <c r="CD924" s="763">
        <f t="shared" si="684"/>
        <v>0</v>
      </c>
      <c r="CE924" s="763">
        <f t="shared" si="684"/>
        <v>0</v>
      </c>
      <c r="CF924" s="763">
        <f t="shared" si="684"/>
        <v>0</v>
      </c>
      <c r="CG924" s="763">
        <f t="shared" si="684"/>
        <v>0</v>
      </c>
      <c r="CH924" s="763">
        <f t="shared" si="684"/>
        <v>0</v>
      </c>
      <c r="CI924" s="763">
        <f t="shared" si="684"/>
        <v>0</v>
      </c>
      <c r="CJ924" s="763">
        <f t="shared" si="684"/>
        <v>0</v>
      </c>
      <c r="CK924" s="763">
        <f t="shared" si="684"/>
        <v>0</v>
      </c>
      <c r="CL924" s="763">
        <f t="shared" si="684"/>
        <v>0</v>
      </c>
      <c r="CM924" s="763">
        <f t="shared" si="684"/>
        <v>0</v>
      </c>
      <c r="CN924" s="763">
        <f t="shared" si="684"/>
        <v>0</v>
      </c>
      <c r="CO924" s="763">
        <f t="shared" si="684"/>
        <v>0</v>
      </c>
      <c r="CP924" s="763">
        <f t="shared" si="684"/>
        <v>0</v>
      </c>
      <c r="CQ924" s="763">
        <f t="shared" si="684"/>
        <v>0</v>
      </c>
      <c r="CR924" s="763">
        <f t="shared" si="684"/>
        <v>0</v>
      </c>
      <c r="CS924" s="763">
        <f t="shared" si="684"/>
        <v>0</v>
      </c>
      <c r="CT924" s="763">
        <f t="shared" si="684"/>
        <v>0</v>
      </c>
      <c r="CU924" s="763">
        <f t="shared" si="684"/>
        <v>0</v>
      </c>
      <c r="CV924" s="763">
        <f t="shared" si="684"/>
        <v>0</v>
      </c>
      <c r="CW924" s="763">
        <f t="shared" si="684"/>
        <v>0</v>
      </c>
      <c r="CX924" s="763">
        <f t="shared" si="684"/>
        <v>0</v>
      </c>
      <c r="CY924" s="763">
        <f t="shared" ref="CY924:EV924" si="685">SUMIF($AE$841:$AE$856,$AE924,CX$841:CX$856)+SUMIF($AE$895:$AE$910,$AE924,CY$895:CY$910)</f>
        <v>0</v>
      </c>
      <c r="CZ924" s="763">
        <f t="shared" si="685"/>
        <v>0</v>
      </c>
      <c r="DA924" s="763">
        <f t="shared" si="685"/>
        <v>0</v>
      </c>
      <c r="DB924" s="763">
        <f t="shared" si="685"/>
        <v>0</v>
      </c>
      <c r="DC924" s="763">
        <f t="shared" si="685"/>
        <v>0</v>
      </c>
      <c r="DD924" s="763">
        <f t="shared" si="685"/>
        <v>0</v>
      </c>
      <c r="DE924" s="763">
        <f t="shared" si="685"/>
        <v>0</v>
      </c>
      <c r="DF924" s="763">
        <f t="shared" si="685"/>
        <v>0</v>
      </c>
      <c r="DG924" s="763">
        <f t="shared" si="685"/>
        <v>0</v>
      </c>
      <c r="DH924" s="763">
        <f t="shared" si="685"/>
        <v>0</v>
      </c>
      <c r="DI924" s="763">
        <f t="shared" si="685"/>
        <v>0</v>
      </c>
      <c r="DJ924" s="763">
        <f t="shared" si="685"/>
        <v>0</v>
      </c>
      <c r="DK924" s="763">
        <f t="shared" si="685"/>
        <v>0</v>
      </c>
      <c r="DL924" s="763">
        <f t="shared" si="685"/>
        <v>0</v>
      </c>
      <c r="DM924" s="763">
        <f t="shared" si="685"/>
        <v>0</v>
      </c>
      <c r="DN924" s="763">
        <f t="shared" si="685"/>
        <v>0</v>
      </c>
      <c r="DO924" s="763">
        <f t="shared" si="685"/>
        <v>0</v>
      </c>
      <c r="DP924" s="763">
        <f t="shared" si="685"/>
        <v>0</v>
      </c>
      <c r="DQ924" s="763">
        <f t="shared" si="685"/>
        <v>0</v>
      </c>
      <c r="DR924" s="763">
        <f t="shared" si="685"/>
        <v>0</v>
      </c>
      <c r="DS924" s="763">
        <f t="shared" si="685"/>
        <v>0</v>
      </c>
      <c r="DT924" s="763">
        <f t="shared" si="685"/>
        <v>0</v>
      </c>
      <c r="DU924" s="763">
        <f t="shared" si="685"/>
        <v>0</v>
      </c>
      <c r="DV924" s="763">
        <f t="shared" si="685"/>
        <v>0</v>
      </c>
      <c r="DW924" s="763">
        <f t="shared" si="685"/>
        <v>0</v>
      </c>
      <c r="DX924" s="763">
        <f t="shared" si="685"/>
        <v>0</v>
      </c>
      <c r="DY924" s="763">
        <f t="shared" si="685"/>
        <v>0</v>
      </c>
      <c r="DZ924" s="763">
        <f t="shared" si="685"/>
        <v>0</v>
      </c>
      <c r="EA924" s="763">
        <f t="shared" si="685"/>
        <v>0</v>
      </c>
      <c r="EB924" s="763">
        <f t="shared" si="685"/>
        <v>0</v>
      </c>
      <c r="EC924" s="763">
        <f t="shared" si="685"/>
        <v>0</v>
      </c>
      <c r="ED924" s="763">
        <f t="shared" si="685"/>
        <v>0</v>
      </c>
      <c r="EE924" s="763">
        <f t="shared" si="685"/>
        <v>0</v>
      </c>
      <c r="EF924" s="763">
        <f t="shared" si="685"/>
        <v>0</v>
      </c>
      <c r="EG924" s="763">
        <f t="shared" si="685"/>
        <v>0</v>
      </c>
      <c r="EH924" s="763">
        <f t="shared" si="685"/>
        <v>0</v>
      </c>
      <c r="EI924" s="763">
        <f t="shared" si="685"/>
        <v>0</v>
      </c>
      <c r="EJ924" s="763">
        <f t="shared" si="685"/>
        <v>0</v>
      </c>
      <c r="EK924" s="763">
        <f t="shared" si="685"/>
        <v>0</v>
      </c>
      <c r="EL924" s="763">
        <f t="shared" si="685"/>
        <v>0</v>
      </c>
      <c r="EM924" s="763">
        <f t="shared" si="685"/>
        <v>0</v>
      </c>
      <c r="EN924" s="763">
        <f t="shared" si="685"/>
        <v>0</v>
      </c>
      <c r="EO924" s="763">
        <f t="shared" si="685"/>
        <v>0</v>
      </c>
      <c r="EP924" s="763">
        <f t="shared" si="685"/>
        <v>0</v>
      </c>
      <c r="EQ924" s="763">
        <f t="shared" si="685"/>
        <v>0</v>
      </c>
      <c r="ER924" s="763">
        <f t="shared" si="685"/>
        <v>0</v>
      </c>
      <c r="ES924" s="763">
        <f t="shared" si="685"/>
        <v>0</v>
      </c>
      <c r="ET924" s="763">
        <f t="shared" si="685"/>
        <v>0</v>
      </c>
      <c r="EU924" s="763">
        <f t="shared" si="685"/>
        <v>0</v>
      </c>
      <c r="EV924" s="763">
        <f t="shared" si="685"/>
        <v>0</v>
      </c>
    </row>
    <row r="925" spans="1:152" s="12" customFormat="1" ht="12" customHeight="1" x14ac:dyDescent="0.35">
      <c r="A925" s="84"/>
      <c r="B925" s="13"/>
      <c r="C925" s="13"/>
      <c r="D925" s="13"/>
      <c r="E925" s="13"/>
      <c r="F925" s="13"/>
      <c r="G925" s="1804"/>
      <c r="H925" s="1183"/>
      <c r="I925" s="1804"/>
      <c r="J925" s="1804"/>
      <c r="K925" s="141"/>
      <c r="L925" s="141"/>
      <c r="M925" s="141"/>
      <c r="N925" s="141"/>
      <c r="O925" s="141"/>
      <c r="P925" s="141"/>
      <c r="Q925" s="483">
        <f>IF(T925&lt;&gt;"Total",S925,SUM(S$915:S925))</f>
        <v>0</v>
      </c>
      <c r="R925" s="483">
        <f>SUMIF(Input!$D$279:$D$288,Calcs!T925,Input!$J$279:$J$288)+SUMIF(Input!$M$279:$M$281,Calcs!T925,Input!$V$279:$V$281)+SUMIF(Input!$M$297:$M$299,Calcs!T925,Input!$W$297:$W$299)</f>
      </c>
      <c r="S925" s="728">
        <f t="shared" si="656"/>
        <v>0</v>
      </c>
      <c r="T925" s="376" t="str">
        <f t="shared" si="657"/>
        <v/>
      </c>
      <c r="U925" s="62">
        <f>IF(AA851=1,-AB851,IF(AA851=2,-SUM(AB$840:AB850),0))</f>
        <v>0</v>
      </c>
      <c r="V925" s="728">
        <f>IF(T925="Total",SUM(R$915:R925),R925)</f>
      </c>
      <c r="W925" s="62">
        <f>IF(T925="Total",SUM(W$915:W924),SUMIF(AA$895:AA$910,T925,AB$895:AB$910))</f>
        <v>0</v>
      </c>
      <c r="X925" s="62">
        <f t="shared" si="658"/>
        <v>0</v>
      </c>
      <c r="Y925" s="389">
        <f t="shared" si="659"/>
        <v>0</v>
      </c>
      <c r="Z925" s="386">
        <f ca="1">IF(T925="Total",SUM(Z$915:Z924),IF(AA851=0,0,IF(AA851=2,0,NPV(IF(ISNUMBER(Input!$I$276),Input!$I$276,0.15)/12,OFFSET(AG944,0,AB925,,COLUMNS(AG944:EV944)-AB925)))))</f>
      </c>
      <c r="AA925" s="1812">
        <f t="shared" si="666"/>
        <v>0</v>
      </c>
      <c r="AB925" s="385" cm="1">
        <f t="array" ref="AB925">IF(AA851=0,0,IF(AA851=2,AB$931,MATCH(TRUE,(AG944:EV944)&lt;&gt;0,0)-1))</f>
        <v>0</v>
      </c>
      <c r="AC925" s="29">
        <f t="shared" si="660"/>
        <v>11</v>
      </c>
      <c r="AD925" s="29"/>
      <c r="AE925" s="376" t="str">
        <f t="shared" si="661"/>
        <v>SAFE #1</v>
      </c>
      <c r="AF925" s="376"/>
      <c r="AG925" s="763">
        <f t="shared" si="667"/>
        <v>0</v>
      </c>
      <c r="AH925" s="763">
        <f t="shared" si="667"/>
        <v>0</v>
      </c>
      <c r="AI925" s="763">
        <f t="shared" si="667"/>
        <v>0</v>
      </c>
      <c r="AJ925" s="763">
        <f t="shared" si="667"/>
        <v>0</v>
      </c>
      <c r="AK925" s="763">
        <f t="shared" si="667"/>
        <v>0</v>
      </c>
      <c r="AL925" s="763">
        <f t="shared" si="667"/>
        <v>0</v>
      </c>
      <c r="AM925" s="763">
        <f t="shared" ref="AM925:CX925" si="686">SUMIF($AE$841:$AE$856,$AE925,AL$841:AL$856)+SUMIF($AE$895:$AE$910,$AE925,AM$895:AM$910)</f>
        <v>0</v>
      </c>
      <c r="AN925" s="763">
        <f t="shared" si="686"/>
        <v>0</v>
      </c>
      <c r="AO925" s="763">
        <f t="shared" si="686"/>
        <v>0</v>
      </c>
      <c r="AP925" s="763">
        <f t="shared" si="686"/>
        <v>0</v>
      </c>
      <c r="AQ925" s="763">
        <f t="shared" si="686"/>
        <v>0</v>
      </c>
      <c r="AR925" s="763">
        <f t="shared" si="686"/>
        <v>0</v>
      </c>
      <c r="AS925" s="763">
        <f t="shared" si="686"/>
        <v>0</v>
      </c>
      <c r="AT925" s="763">
        <f t="shared" si="686"/>
        <v>0</v>
      </c>
      <c r="AU925" s="763">
        <f t="shared" si="686"/>
        <v>0</v>
      </c>
      <c r="AV925" s="763">
        <f t="shared" si="686"/>
        <v>0</v>
      </c>
      <c r="AW925" s="763">
        <f t="shared" si="686"/>
        <v>0</v>
      </c>
      <c r="AX925" s="763">
        <f t="shared" si="686"/>
        <v>0</v>
      </c>
      <c r="AY925" s="763">
        <f t="shared" si="686"/>
        <v>0</v>
      </c>
      <c r="AZ925" s="763">
        <f t="shared" si="686"/>
        <v>0</v>
      </c>
      <c r="BA925" s="763">
        <f t="shared" si="686"/>
        <v>0</v>
      </c>
      <c r="BB925" s="763">
        <f t="shared" si="686"/>
        <v>0</v>
      </c>
      <c r="BC925" s="763">
        <f t="shared" si="686"/>
        <v>0</v>
      </c>
      <c r="BD925" s="763">
        <f t="shared" si="686"/>
        <v>0</v>
      </c>
      <c r="BE925" s="763">
        <f t="shared" si="686"/>
        <v>0</v>
      </c>
      <c r="BF925" s="763">
        <f t="shared" si="686"/>
        <v>0</v>
      </c>
      <c r="BG925" s="763">
        <f t="shared" si="686"/>
        <v>0</v>
      </c>
      <c r="BH925" s="763">
        <f t="shared" si="686"/>
        <v>0</v>
      </c>
      <c r="BI925" s="763">
        <f t="shared" si="686"/>
        <v>0</v>
      </c>
      <c r="BJ925" s="763">
        <f t="shared" si="686"/>
        <v>0</v>
      </c>
      <c r="BK925" s="763">
        <f t="shared" si="686"/>
        <v>0</v>
      </c>
      <c r="BL925" s="763">
        <f t="shared" si="686"/>
        <v>0</v>
      </c>
      <c r="BM925" s="763">
        <f t="shared" si="686"/>
        <v>0</v>
      </c>
      <c r="BN925" s="763">
        <f t="shared" si="686"/>
        <v>0</v>
      </c>
      <c r="BO925" s="763">
        <f t="shared" si="686"/>
        <v>0</v>
      </c>
      <c r="BP925" s="763">
        <f t="shared" si="686"/>
        <v>0</v>
      </c>
      <c r="BQ925" s="763">
        <f t="shared" si="686"/>
        <v>0</v>
      </c>
      <c r="BR925" s="763">
        <f t="shared" si="686"/>
        <v>0</v>
      </c>
      <c r="BS925" s="763">
        <f t="shared" si="686"/>
        <v>0</v>
      </c>
      <c r="BT925" s="763">
        <f t="shared" si="686"/>
        <v>0</v>
      </c>
      <c r="BU925" s="763">
        <f t="shared" si="686"/>
        <v>0</v>
      </c>
      <c r="BV925" s="763">
        <f t="shared" si="686"/>
        <v>0</v>
      </c>
      <c r="BW925" s="763">
        <f t="shared" si="686"/>
        <v>0</v>
      </c>
      <c r="BX925" s="763">
        <f t="shared" si="686"/>
        <v>0</v>
      </c>
      <c r="BY925" s="763">
        <f t="shared" si="686"/>
        <v>0</v>
      </c>
      <c r="BZ925" s="763">
        <f t="shared" si="686"/>
        <v>0</v>
      </c>
      <c r="CA925" s="763">
        <f t="shared" si="686"/>
        <v>0</v>
      </c>
      <c r="CB925" s="763">
        <f t="shared" si="686"/>
        <v>0</v>
      </c>
      <c r="CC925" s="763">
        <f t="shared" si="686"/>
        <v>0</v>
      </c>
      <c r="CD925" s="763">
        <f t="shared" si="686"/>
        <v>0</v>
      </c>
      <c r="CE925" s="763">
        <f t="shared" si="686"/>
        <v>0</v>
      </c>
      <c r="CF925" s="763">
        <f t="shared" si="686"/>
        <v>0</v>
      </c>
      <c r="CG925" s="763">
        <f t="shared" si="686"/>
        <v>0</v>
      </c>
      <c r="CH925" s="763">
        <f t="shared" si="686"/>
        <v>0</v>
      </c>
      <c r="CI925" s="763">
        <f t="shared" si="686"/>
        <v>0</v>
      </c>
      <c r="CJ925" s="763">
        <f t="shared" si="686"/>
        <v>0</v>
      </c>
      <c r="CK925" s="763">
        <f t="shared" si="686"/>
        <v>0</v>
      </c>
      <c r="CL925" s="763">
        <f t="shared" si="686"/>
        <v>0</v>
      </c>
      <c r="CM925" s="763">
        <f t="shared" si="686"/>
        <v>0</v>
      </c>
      <c r="CN925" s="763">
        <f t="shared" si="686"/>
        <v>0</v>
      </c>
      <c r="CO925" s="763">
        <f t="shared" si="686"/>
        <v>0</v>
      </c>
      <c r="CP925" s="763">
        <f t="shared" si="686"/>
        <v>0</v>
      </c>
      <c r="CQ925" s="763">
        <f t="shared" si="686"/>
        <v>0</v>
      </c>
      <c r="CR925" s="763">
        <f t="shared" si="686"/>
        <v>0</v>
      </c>
      <c r="CS925" s="763">
        <f t="shared" si="686"/>
        <v>0</v>
      </c>
      <c r="CT925" s="763">
        <f t="shared" si="686"/>
        <v>0</v>
      </c>
      <c r="CU925" s="763">
        <f t="shared" si="686"/>
        <v>0</v>
      </c>
      <c r="CV925" s="763">
        <f t="shared" si="686"/>
        <v>0</v>
      </c>
      <c r="CW925" s="763">
        <f t="shared" si="686"/>
        <v>0</v>
      </c>
      <c r="CX925" s="763">
        <f t="shared" si="686"/>
        <v>0</v>
      </c>
      <c r="CY925" s="763">
        <f t="shared" ref="CY925:EV925" si="687">SUMIF($AE$841:$AE$856,$AE925,CX$841:CX$856)+SUMIF($AE$895:$AE$910,$AE925,CY$895:CY$910)</f>
        <v>0</v>
      </c>
      <c r="CZ925" s="763">
        <f t="shared" si="687"/>
        <v>0</v>
      </c>
      <c r="DA925" s="763">
        <f t="shared" si="687"/>
        <v>0</v>
      </c>
      <c r="DB925" s="763">
        <f t="shared" si="687"/>
        <v>0</v>
      </c>
      <c r="DC925" s="763">
        <f t="shared" si="687"/>
        <v>0</v>
      </c>
      <c r="DD925" s="763">
        <f t="shared" si="687"/>
        <v>0</v>
      </c>
      <c r="DE925" s="763">
        <f t="shared" si="687"/>
        <v>0</v>
      </c>
      <c r="DF925" s="763">
        <f t="shared" si="687"/>
        <v>0</v>
      </c>
      <c r="DG925" s="763">
        <f t="shared" si="687"/>
        <v>0</v>
      </c>
      <c r="DH925" s="763">
        <f t="shared" si="687"/>
        <v>0</v>
      </c>
      <c r="DI925" s="763">
        <f t="shared" si="687"/>
        <v>0</v>
      </c>
      <c r="DJ925" s="763">
        <f t="shared" si="687"/>
        <v>0</v>
      </c>
      <c r="DK925" s="763">
        <f t="shared" si="687"/>
        <v>0</v>
      </c>
      <c r="DL925" s="763">
        <f t="shared" si="687"/>
        <v>0</v>
      </c>
      <c r="DM925" s="763">
        <f t="shared" si="687"/>
        <v>0</v>
      </c>
      <c r="DN925" s="763">
        <f t="shared" si="687"/>
        <v>0</v>
      </c>
      <c r="DO925" s="763">
        <f t="shared" si="687"/>
        <v>0</v>
      </c>
      <c r="DP925" s="763">
        <f t="shared" si="687"/>
        <v>0</v>
      </c>
      <c r="DQ925" s="763">
        <f t="shared" si="687"/>
        <v>0</v>
      </c>
      <c r="DR925" s="763">
        <f t="shared" si="687"/>
        <v>0</v>
      </c>
      <c r="DS925" s="763">
        <f t="shared" si="687"/>
        <v>0</v>
      </c>
      <c r="DT925" s="763">
        <f t="shared" si="687"/>
        <v>0</v>
      </c>
      <c r="DU925" s="763">
        <f t="shared" si="687"/>
        <v>0</v>
      </c>
      <c r="DV925" s="763">
        <f t="shared" si="687"/>
        <v>0</v>
      </c>
      <c r="DW925" s="763">
        <f t="shared" si="687"/>
        <v>0</v>
      </c>
      <c r="DX925" s="763">
        <f t="shared" si="687"/>
        <v>0</v>
      </c>
      <c r="DY925" s="763">
        <f t="shared" si="687"/>
        <v>0</v>
      </c>
      <c r="DZ925" s="763">
        <f t="shared" si="687"/>
        <v>0</v>
      </c>
      <c r="EA925" s="763">
        <f t="shared" si="687"/>
        <v>0</v>
      </c>
      <c r="EB925" s="763">
        <f t="shared" si="687"/>
        <v>0</v>
      </c>
      <c r="EC925" s="763">
        <f t="shared" si="687"/>
        <v>0</v>
      </c>
      <c r="ED925" s="763">
        <f t="shared" si="687"/>
        <v>0</v>
      </c>
      <c r="EE925" s="763">
        <f t="shared" si="687"/>
        <v>0</v>
      </c>
      <c r="EF925" s="763">
        <f t="shared" si="687"/>
        <v>0</v>
      </c>
      <c r="EG925" s="763">
        <f t="shared" si="687"/>
        <v>0</v>
      </c>
      <c r="EH925" s="763">
        <f t="shared" si="687"/>
        <v>0</v>
      </c>
      <c r="EI925" s="763">
        <f t="shared" si="687"/>
        <v>0</v>
      </c>
      <c r="EJ925" s="763">
        <f t="shared" si="687"/>
        <v>0</v>
      </c>
      <c r="EK925" s="763">
        <f t="shared" si="687"/>
        <v>0</v>
      </c>
      <c r="EL925" s="763">
        <f t="shared" si="687"/>
        <v>0</v>
      </c>
      <c r="EM925" s="763">
        <f t="shared" si="687"/>
        <v>0</v>
      </c>
      <c r="EN925" s="763">
        <f t="shared" si="687"/>
        <v>0</v>
      </c>
      <c r="EO925" s="763">
        <f t="shared" si="687"/>
        <v>0</v>
      </c>
      <c r="EP925" s="763">
        <f t="shared" si="687"/>
        <v>0</v>
      </c>
      <c r="EQ925" s="763">
        <f t="shared" si="687"/>
        <v>0</v>
      </c>
      <c r="ER925" s="763">
        <f t="shared" si="687"/>
        <v>0</v>
      </c>
      <c r="ES925" s="763">
        <f t="shared" si="687"/>
        <v>0</v>
      </c>
      <c r="ET925" s="763">
        <f t="shared" si="687"/>
        <v>0</v>
      </c>
      <c r="EU925" s="763">
        <f t="shared" si="687"/>
        <v>0</v>
      </c>
      <c r="EV925" s="763">
        <f t="shared" si="687"/>
        <v>0</v>
      </c>
    </row>
    <row r="926" spans="1:152" s="12" customFormat="1" ht="12" customHeight="1" x14ac:dyDescent="0.35">
      <c r="A926" s="84"/>
      <c r="B926" s="13"/>
      <c r="C926" s="13"/>
      <c r="D926" s="13"/>
      <c r="E926" s="13"/>
      <c r="F926" s="13"/>
      <c r="G926" s="1804"/>
      <c r="H926" s="1183"/>
      <c r="I926" s="1804"/>
      <c r="J926" s="1804"/>
      <c r="K926" s="141"/>
      <c r="L926" s="141"/>
      <c r="M926" s="141"/>
      <c r="N926" s="141"/>
      <c r="O926" s="141"/>
      <c r="P926" s="141"/>
      <c r="Q926" s="483">
        <f>IF(T926&lt;&gt;"Total",S926,SUM(S$915:S926))</f>
        <v>0</v>
      </c>
      <c r="R926" s="483">
        <f>SUMIF(Input!$D$279:$D$288,Calcs!T926,Input!$J$279:$J$288)+SUMIF(Input!$M$279:$M$281,Calcs!T926,Input!$V$279:$V$281)+SUMIF(Input!$M$297:$M$299,Calcs!T926,Input!$W$297:$W$299)</f>
      </c>
      <c r="S926" s="728">
        <f t="shared" si="656"/>
        <v>0</v>
      </c>
      <c r="T926" s="376" t="str">
        <f t="shared" si="657"/>
        <v/>
      </c>
      <c r="U926" s="62">
        <f>IF(AA852=1,-AB852,IF(AA852=2,-SUM(AB$840:AB851),0))</f>
        <v>0</v>
      </c>
      <c r="V926" s="728">
        <f>IF(T926="Total",SUM(R$915:R926),R926)</f>
      </c>
      <c r="W926" s="62">
        <f>IF(T926="Total",SUM(W$915:W925),SUMIF(AA$895:AA$910,T926,AB$895:AB$910))</f>
        <v>0</v>
      </c>
      <c r="X926" s="62">
        <f t="shared" si="658"/>
        <v>0</v>
      </c>
      <c r="Y926" s="389">
        <f t="shared" si="659"/>
        <v>0</v>
      </c>
      <c r="Z926" s="386">
        <f ca="1">IF(T926="Total",SUM(Z$915:Z925),IF(AA852=0,0,IF(AA852=2,0,NPV(IF(ISNUMBER(Input!$I$276),Input!$I$276,0.15)/12,OFFSET(AG945,0,AB926,,COLUMNS(AG945:EV945)-AB926)))))</f>
      </c>
      <c r="AA926" s="1812">
        <f t="shared" si="666"/>
        <v>0</v>
      </c>
      <c r="AB926" s="385" cm="1">
        <f t="array" ref="AB926">IF(AA852=0,0,IF(AA852=2,AB$931,MATCH(TRUE,(AG945:EV945)&lt;&gt;0,0)-1))</f>
        <v>0</v>
      </c>
      <c r="AC926" s="29">
        <f t="shared" si="660"/>
        <v>12</v>
      </c>
      <c r="AD926" s="29"/>
      <c r="AE926" s="376" t="str">
        <f t="shared" si="661"/>
        <v>SAFE #2</v>
      </c>
      <c r="AF926" s="376"/>
      <c r="AG926" s="763">
        <f t="shared" si="667"/>
        <v>0</v>
      </c>
      <c r="AH926" s="763">
        <f t="shared" si="667"/>
        <v>0</v>
      </c>
      <c r="AI926" s="763">
        <f t="shared" si="667"/>
        <v>0</v>
      </c>
      <c r="AJ926" s="763">
        <f t="shared" si="667"/>
        <v>0</v>
      </c>
      <c r="AK926" s="763">
        <f t="shared" si="667"/>
        <v>0</v>
      </c>
      <c r="AL926" s="763">
        <f t="shared" si="667"/>
        <v>0</v>
      </c>
      <c r="AM926" s="763">
        <f t="shared" ref="AM926:CX926" si="688">SUMIF($AE$841:$AE$856,$AE926,AL$841:AL$856)+SUMIF($AE$895:$AE$910,$AE926,AM$895:AM$910)</f>
        <v>0</v>
      </c>
      <c r="AN926" s="763">
        <f t="shared" si="688"/>
        <v>0</v>
      </c>
      <c r="AO926" s="763">
        <f t="shared" si="688"/>
        <v>0</v>
      </c>
      <c r="AP926" s="763">
        <f t="shared" si="688"/>
        <v>0</v>
      </c>
      <c r="AQ926" s="763">
        <f t="shared" si="688"/>
        <v>0</v>
      </c>
      <c r="AR926" s="763">
        <f t="shared" si="688"/>
        <v>0</v>
      </c>
      <c r="AS926" s="763">
        <f t="shared" si="688"/>
        <v>0</v>
      </c>
      <c r="AT926" s="763">
        <f t="shared" si="688"/>
        <v>0</v>
      </c>
      <c r="AU926" s="763">
        <f t="shared" si="688"/>
        <v>0</v>
      </c>
      <c r="AV926" s="763">
        <f t="shared" si="688"/>
        <v>0</v>
      </c>
      <c r="AW926" s="763">
        <f t="shared" si="688"/>
        <v>0</v>
      </c>
      <c r="AX926" s="763">
        <f t="shared" si="688"/>
        <v>0</v>
      </c>
      <c r="AY926" s="763">
        <f t="shared" si="688"/>
        <v>0</v>
      </c>
      <c r="AZ926" s="763">
        <f t="shared" si="688"/>
        <v>0</v>
      </c>
      <c r="BA926" s="763">
        <f t="shared" si="688"/>
        <v>0</v>
      </c>
      <c r="BB926" s="763">
        <f t="shared" si="688"/>
        <v>0</v>
      </c>
      <c r="BC926" s="763">
        <f t="shared" si="688"/>
        <v>0</v>
      </c>
      <c r="BD926" s="763">
        <f t="shared" si="688"/>
        <v>0</v>
      </c>
      <c r="BE926" s="763">
        <f t="shared" si="688"/>
        <v>0</v>
      </c>
      <c r="BF926" s="763">
        <f t="shared" si="688"/>
        <v>0</v>
      </c>
      <c r="BG926" s="763">
        <f t="shared" si="688"/>
        <v>0</v>
      </c>
      <c r="BH926" s="763">
        <f t="shared" si="688"/>
        <v>0</v>
      </c>
      <c r="BI926" s="763">
        <f t="shared" si="688"/>
        <v>0</v>
      </c>
      <c r="BJ926" s="763">
        <f t="shared" si="688"/>
        <v>0</v>
      </c>
      <c r="BK926" s="763">
        <f t="shared" si="688"/>
        <v>0</v>
      </c>
      <c r="BL926" s="763">
        <f t="shared" si="688"/>
        <v>0</v>
      </c>
      <c r="BM926" s="763">
        <f t="shared" si="688"/>
        <v>0</v>
      </c>
      <c r="BN926" s="763">
        <f t="shared" si="688"/>
        <v>0</v>
      </c>
      <c r="BO926" s="763">
        <f t="shared" si="688"/>
        <v>0</v>
      </c>
      <c r="BP926" s="763">
        <f t="shared" si="688"/>
        <v>0</v>
      </c>
      <c r="BQ926" s="763">
        <f t="shared" si="688"/>
        <v>0</v>
      </c>
      <c r="BR926" s="763">
        <f t="shared" si="688"/>
        <v>0</v>
      </c>
      <c r="BS926" s="763">
        <f t="shared" si="688"/>
        <v>0</v>
      </c>
      <c r="BT926" s="763">
        <f t="shared" si="688"/>
        <v>0</v>
      </c>
      <c r="BU926" s="763">
        <f t="shared" si="688"/>
        <v>0</v>
      </c>
      <c r="BV926" s="763">
        <f t="shared" si="688"/>
        <v>0</v>
      </c>
      <c r="BW926" s="763">
        <f t="shared" si="688"/>
        <v>0</v>
      </c>
      <c r="BX926" s="763">
        <f t="shared" si="688"/>
        <v>0</v>
      </c>
      <c r="BY926" s="763">
        <f t="shared" si="688"/>
        <v>0</v>
      </c>
      <c r="BZ926" s="763">
        <f t="shared" si="688"/>
        <v>0</v>
      </c>
      <c r="CA926" s="763">
        <f t="shared" si="688"/>
        <v>0</v>
      </c>
      <c r="CB926" s="763">
        <f t="shared" si="688"/>
        <v>0</v>
      </c>
      <c r="CC926" s="763">
        <f t="shared" si="688"/>
        <v>0</v>
      </c>
      <c r="CD926" s="763">
        <f t="shared" si="688"/>
        <v>0</v>
      </c>
      <c r="CE926" s="763">
        <f t="shared" si="688"/>
        <v>0</v>
      </c>
      <c r="CF926" s="763">
        <f t="shared" si="688"/>
        <v>0</v>
      </c>
      <c r="CG926" s="763">
        <f t="shared" si="688"/>
        <v>0</v>
      </c>
      <c r="CH926" s="763">
        <f t="shared" si="688"/>
        <v>0</v>
      </c>
      <c r="CI926" s="763">
        <f t="shared" si="688"/>
        <v>0</v>
      </c>
      <c r="CJ926" s="763">
        <f t="shared" si="688"/>
        <v>0</v>
      </c>
      <c r="CK926" s="763">
        <f t="shared" si="688"/>
        <v>0</v>
      </c>
      <c r="CL926" s="763">
        <f t="shared" si="688"/>
        <v>0</v>
      </c>
      <c r="CM926" s="763">
        <f t="shared" si="688"/>
        <v>0</v>
      </c>
      <c r="CN926" s="763">
        <f t="shared" si="688"/>
        <v>0</v>
      </c>
      <c r="CO926" s="763">
        <f t="shared" si="688"/>
        <v>0</v>
      </c>
      <c r="CP926" s="763">
        <f t="shared" si="688"/>
        <v>0</v>
      </c>
      <c r="CQ926" s="763">
        <f t="shared" si="688"/>
        <v>0</v>
      </c>
      <c r="CR926" s="763">
        <f t="shared" si="688"/>
        <v>0</v>
      </c>
      <c r="CS926" s="763">
        <f t="shared" si="688"/>
        <v>0</v>
      </c>
      <c r="CT926" s="763">
        <f t="shared" si="688"/>
        <v>0</v>
      </c>
      <c r="CU926" s="763">
        <f t="shared" si="688"/>
        <v>0</v>
      </c>
      <c r="CV926" s="763">
        <f t="shared" si="688"/>
        <v>0</v>
      </c>
      <c r="CW926" s="763">
        <f t="shared" si="688"/>
        <v>0</v>
      </c>
      <c r="CX926" s="763">
        <f t="shared" si="688"/>
        <v>0</v>
      </c>
      <c r="CY926" s="763">
        <f t="shared" ref="CY926:EV926" si="689">SUMIF($AE$841:$AE$856,$AE926,CX$841:CX$856)+SUMIF($AE$895:$AE$910,$AE926,CY$895:CY$910)</f>
        <v>0</v>
      </c>
      <c r="CZ926" s="763">
        <f t="shared" si="689"/>
        <v>0</v>
      </c>
      <c r="DA926" s="763">
        <f t="shared" si="689"/>
        <v>0</v>
      </c>
      <c r="DB926" s="763">
        <f t="shared" si="689"/>
        <v>0</v>
      </c>
      <c r="DC926" s="763">
        <f t="shared" si="689"/>
        <v>0</v>
      </c>
      <c r="DD926" s="763">
        <f t="shared" si="689"/>
        <v>0</v>
      </c>
      <c r="DE926" s="763">
        <f t="shared" si="689"/>
        <v>0</v>
      </c>
      <c r="DF926" s="763">
        <f t="shared" si="689"/>
        <v>0</v>
      </c>
      <c r="DG926" s="763">
        <f t="shared" si="689"/>
        <v>0</v>
      </c>
      <c r="DH926" s="763">
        <f t="shared" si="689"/>
        <v>0</v>
      </c>
      <c r="DI926" s="763">
        <f t="shared" si="689"/>
        <v>0</v>
      </c>
      <c r="DJ926" s="763">
        <f t="shared" si="689"/>
        <v>0</v>
      </c>
      <c r="DK926" s="763">
        <f t="shared" si="689"/>
        <v>0</v>
      </c>
      <c r="DL926" s="763">
        <f t="shared" si="689"/>
        <v>0</v>
      </c>
      <c r="DM926" s="763">
        <f t="shared" si="689"/>
        <v>0</v>
      </c>
      <c r="DN926" s="763">
        <f t="shared" si="689"/>
        <v>0</v>
      </c>
      <c r="DO926" s="763">
        <f t="shared" si="689"/>
        <v>0</v>
      </c>
      <c r="DP926" s="763">
        <f t="shared" si="689"/>
        <v>0</v>
      </c>
      <c r="DQ926" s="763">
        <f t="shared" si="689"/>
        <v>0</v>
      </c>
      <c r="DR926" s="763">
        <f t="shared" si="689"/>
        <v>0</v>
      </c>
      <c r="DS926" s="763">
        <f t="shared" si="689"/>
        <v>0</v>
      </c>
      <c r="DT926" s="763">
        <f t="shared" si="689"/>
        <v>0</v>
      </c>
      <c r="DU926" s="763">
        <f t="shared" si="689"/>
        <v>0</v>
      </c>
      <c r="DV926" s="763">
        <f t="shared" si="689"/>
        <v>0</v>
      </c>
      <c r="DW926" s="763">
        <f t="shared" si="689"/>
        <v>0</v>
      </c>
      <c r="DX926" s="763">
        <f t="shared" si="689"/>
        <v>0</v>
      </c>
      <c r="DY926" s="763">
        <f t="shared" si="689"/>
        <v>0</v>
      </c>
      <c r="DZ926" s="763">
        <f t="shared" si="689"/>
        <v>0</v>
      </c>
      <c r="EA926" s="763">
        <f t="shared" si="689"/>
        <v>0</v>
      </c>
      <c r="EB926" s="763">
        <f t="shared" si="689"/>
        <v>0</v>
      </c>
      <c r="EC926" s="763">
        <f t="shared" si="689"/>
        <v>0</v>
      </c>
      <c r="ED926" s="763">
        <f t="shared" si="689"/>
        <v>0</v>
      </c>
      <c r="EE926" s="763">
        <f t="shared" si="689"/>
        <v>0</v>
      </c>
      <c r="EF926" s="763">
        <f t="shared" si="689"/>
        <v>0</v>
      </c>
      <c r="EG926" s="763">
        <f t="shared" si="689"/>
        <v>0</v>
      </c>
      <c r="EH926" s="763">
        <f t="shared" si="689"/>
        <v>0</v>
      </c>
      <c r="EI926" s="763">
        <f t="shared" si="689"/>
        <v>0</v>
      </c>
      <c r="EJ926" s="763">
        <f t="shared" si="689"/>
        <v>0</v>
      </c>
      <c r="EK926" s="763">
        <f t="shared" si="689"/>
        <v>0</v>
      </c>
      <c r="EL926" s="763">
        <f t="shared" si="689"/>
        <v>0</v>
      </c>
      <c r="EM926" s="763">
        <f t="shared" si="689"/>
        <v>0</v>
      </c>
      <c r="EN926" s="763">
        <f t="shared" si="689"/>
        <v>0</v>
      </c>
      <c r="EO926" s="763">
        <f t="shared" si="689"/>
        <v>0</v>
      </c>
      <c r="EP926" s="763">
        <f t="shared" si="689"/>
        <v>0</v>
      </c>
      <c r="EQ926" s="763">
        <f t="shared" si="689"/>
        <v>0</v>
      </c>
      <c r="ER926" s="763">
        <f t="shared" si="689"/>
        <v>0</v>
      </c>
      <c r="ES926" s="763">
        <f t="shared" si="689"/>
        <v>0</v>
      </c>
      <c r="ET926" s="763">
        <f t="shared" si="689"/>
        <v>0</v>
      </c>
      <c r="EU926" s="763">
        <f t="shared" si="689"/>
        <v>0</v>
      </c>
      <c r="EV926" s="763">
        <f t="shared" si="689"/>
        <v>0</v>
      </c>
    </row>
    <row r="927" spans="1:152" s="12" customFormat="1" ht="12" customHeight="1" x14ac:dyDescent="0.35">
      <c r="A927" s="84"/>
      <c r="B927" s="13"/>
      <c r="C927" s="13"/>
      <c r="D927" s="13"/>
      <c r="E927" s="13"/>
      <c r="F927" s="13"/>
      <c r="G927" s="1804"/>
      <c r="H927" s="1183"/>
      <c r="I927" s="1804"/>
      <c r="J927" s="1804"/>
      <c r="K927" s="141"/>
      <c r="L927" s="141"/>
      <c r="M927" s="141"/>
      <c r="N927" s="141"/>
      <c r="O927" s="141"/>
      <c r="P927" s="141"/>
      <c r="Q927" s="483">
        <f>IF(T927&lt;&gt;"Total",S927,SUM(S$915:S927))</f>
        <v>0</v>
      </c>
      <c r="R927" s="483">
        <f>SUMIF(Input!$D$279:$D$288,Calcs!T927,Input!$J$279:$J$288)+SUMIF(Input!$M$279:$M$281,Calcs!T927,Input!$V$279:$V$281)+SUMIF(Input!$M$297:$M$299,Calcs!T927,Input!$W$297:$W$299)</f>
      </c>
      <c r="S927" s="728">
        <f t="shared" si="656"/>
        <v>0</v>
      </c>
      <c r="T927" s="376" t="str">
        <f t="shared" si="657"/>
        <v/>
      </c>
      <c r="U927" s="62">
        <f>IF(AA853=1,-AB853,IF(AA853=2,-SUM(AB$840:AB852),0))</f>
        <v>0</v>
      </c>
      <c r="V927" s="728">
        <f>IF(T927="Total",SUM(R$915:R927),R927)</f>
      </c>
      <c r="W927" s="62">
        <f>IF(T927="Total",SUM(W$915:W926),SUMIF(AA$895:AA$910,T927,AB$895:AB$910))</f>
        <v>0</v>
      </c>
      <c r="X927" s="62">
        <f t="shared" si="658"/>
        <v>0</v>
      </c>
      <c r="Y927" s="389">
        <f t="shared" si="659"/>
        <v>0</v>
      </c>
      <c r="Z927" s="386">
        <f ca="1">IF(T927="Total",SUM(Z$915:Z926),IF(AA853=0,0,IF(AA853=2,0,NPV(IF(ISNUMBER(Input!$I$276),Input!$I$276,0.15)/12,OFFSET(AG946,0,AB927,,COLUMNS(AG946:EV946)-AB927)))))</f>
      </c>
      <c r="AA927" s="1812">
        <f t="shared" si="666"/>
        <v>0</v>
      </c>
      <c r="AB927" s="385" cm="1">
        <f t="array" ref="AB927">IF(AA853=0,0,IF(AA853=2,AB$931,MATCH(TRUE,(AG946:EV946)&lt;&gt;0,0)-1))</f>
        <v>0</v>
      </c>
      <c r="AC927" s="29">
        <f t="shared" si="660"/>
        <v>13</v>
      </c>
      <c r="AD927" s="29"/>
      <c r="AE927" s="376" t="str">
        <f t="shared" si="661"/>
        <v>SAFE #3</v>
      </c>
      <c r="AF927" s="376"/>
      <c r="AG927" s="763">
        <f t="shared" si="667"/>
        <v>0</v>
      </c>
      <c r="AH927" s="763">
        <f t="shared" si="667"/>
        <v>0</v>
      </c>
      <c r="AI927" s="763">
        <f t="shared" si="667"/>
        <v>0</v>
      </c>
      <c r="AJ927" s="763">
        <f t="shared" si="667"/>
        <v>0</v>
      </c>
      <c r="AK927" s="763">
        <f t="shared" si="667"/>
        <v>0</v>
      </c>
      <c r="AL927" s="763">
        <f t="shared" si="667"/>
        <v>0</v>
      </c>
      <c r="AM927" s="763">
        <f t="shared" ref="AM927:CX927" si="690">SUMIF($AE$841:$AE$856,$AE927,AL$841:AL$856)+SUMIF($AE$895:$AE$910,$AE927,AM$895:AM$910)</f>
        <v>0</v>
      </c>
      <c r="AN927" s="763">
        <f t="shared" si="690"/>
        <v>0</v>
      </c>
      <c r="AO927" s="763">
        <f t="shared" si="690"/>
        <v>0</v>
      </c>
      <c r="AP927" s="763">
        <f t="shared" si="690"/>
        <v>0</v>
      </c>
      <c r="AQ927" s="763">
        <f t="shared" si="690"/>
        <v>0</v>
      </c>
      <c r="AR927" s="763">
        <f t="shared" si="690"/>
        <v>0</v>
      </c>
      <c r="AS927" s="763">
        <f t="shared" si="690"/>
        <v>0</v>
      </c>
      <c r="AT927" s="763">
        <f t="shared" si="690"/>
        <v>0</v>
      </c>
      <c r="AU927" s="763">
        <f t="shared" si="690"/>
        <v>0</v>
      </c>
      <c r="AV927" s="763">
        <f t="shared" si="690"/>
        <v>0</v>
      </c>
      <c r="AW927" s="763">
        <f t="shared" si="690"/>
        <v>0</v>
      </c>
      <c r="AX927" s="763">
        <f t="shared" si="690"/>
        <v>0</v>
      </c>
      <c r="AY927" s="763">
        <f t="shared" si="690"/>
        <v>0</v>
      </c>
      <c r="AZ927" s="763">
        <f t="shared" si="690"/>
        <v>0</v>
      </c>
      <c r="BA927" s="763">
        <f t="shared" si="690"/>
        <v>0</v>
      </c>
      <c r="BB927" s="763">
        <f t="shared" si="690"/>
        <v>0</v>
      </c>
      <c r="BC927" s="763">
        <f t="shared" si="690"/>
        <v>0</v>
      </c>
      <c r="BD927" s="763">
        <f t="shared" si="690"/>
        <v>0</v>
      </c>
      <c r="BE927" s="763">
        <f t="shared" si="690"/>
        <v>0</v>
      </c>
      <c r="BF927" s="763">
        <f t="shared" si="690"/>
        <v>0</v>
      </c>
      <c r="BG927" s="763">
        <f t="shared" si="690"/>
        <v>0</v>
      </c>
      <c r="BH927" s="763">
        <f t="shared" si="690"/>
        <v>0</v>
      </c>
      <c r="BI927" s="763">
        <f t="shared" si="690"/>
        <v>0</v>
      </c>
      <c r="BJ927" s="763">
        <f t="shared" si="690"/>
        <v>0</v>
      </c>
      <c r="BK927" s="763">
        <f t="shared" si="690"/>
        <v>0</v>
      </c>
      <c r="BL927" s="763">
        <f t="shared" si="690"/>
        <v>0</v>
      </c>
      <c r="BM927" s="763">
        <f t="shared" si="690"/>
        <v>0</v>
      </c>
      <c r="BN927" s="763">
        <f t="shared" si="690"/>
        <v>0</v>
      </c>
      <c r="BO927" s="763">
        <f t="shared" si="690"/>
        <v>0</v>
      </c>
      <c r="BP927" s="763">
        <f t="shared" si="690"/>
        <v>0</v>
      </c>
      <c r="BQ927" s="763">
        <f t="shared" si="690"/>
        <v>0</v>
      </c>
      <c r="BR927" s="763">
        <f t="shared" si="690"/>
        <v>0</v>
      </c>
      <c r="BS927" s="763">
        <f t="shared" si="690"/>
        <v>0</v>
      </c>
      <c r="BT927" s="763">
        <f t="shared" si="690"/>
        <v>0</v>
      </c>
      <c r="BU927" s="763">
        <f t="shared" si="690"/>
        <v>0</v>
      </c>
      <c r="BV927" s="763">
        <f t="shared" si="690"/>
        <v>0</v>
      </c>
      <c r="BW927" s="763">
        <f t="shared" si="690"/>
        <v>0</v>
      </c>
      <c r="BX927" s="763">
        <f t="shared" si="690"/>
        <v>0</v>
      </c>
      <c r="BY927" s="763">
        <f t="shared" si="690"/>
        <v>0</v>
      </c>
      <c r="BZ927" s="763">
        <f t="shared" si="690"/>
        <v>0</v>
      </c>
      <c r="CA927" s="763">
        <f t="shared" si="690"/>
        <v>0</v>
      </c>
      <c r="CB927" s="763">
        <f t="shared" si="690"/>
        <v>0</v>
      </c>
      <c r="CC927" s="763">
        <f t="shared" si="690"/>
        <v>0</v>
      </c>
      <c r="CD927" s="763">
        <f t="shared" si="690"/>
        <v>0</v>
      </c>
      <c r="CE927" s="763">
        <f t="shared" si="690"/>
        <v>0</v>
      </c>
      <c r="CF927" s="763">
        <f t="shared" si="690"/>
        <v>0</v>
      </c>
      <c r="CG927" s="763">
        <f t="shared" si="690"/>
        <v>0</v>
      </c>
      <c r="CH927" s="763">
        <f t="shared" si="690"/>
        <v>0</v>
      </c>
      <c r="CI927" s="763">
        <f t="shared" si="690"/>
        <v>0</v>
      </c>
      <c r="CJ927" s="763">
        <f t="shared" si="690"/>
        <v>0</v>
      </c>
      <c r="CK927" s="763">
        <f t="shared" si="690"/>
        <v>0</v>
      </c>
      <c r="CL927" s="763">
        <f t="shared" si="690"/>
        <v>0</v>
      </c>
      <c r="CM927" s="763">
        <f t="shared" si="690"/>
        <v>0</v>
      </c>
      <c r="CN927" s="763">
        <f t="shared" si="690"/>
        <v>0</v>
      </c>
      <c r="CO927" s="763">
        <f t="shared" si="690"/>
        <v>0</v>
      </c>
      <c r="CP927" s="763">
        <f t="shared" si="690"/>
        <v>0</v>
      </c>
      <c r="CQ927" s="763">
        <f t="shared" si="690"/>
        <v>0</v>
      </c>
      <c r="CR927" s="763">
        <f t="shared" si="690"/>
        <v>0</v>
      </c>
      <c r="CS927" s="763">
        <f t="shared" si="690"/>
        <v>0</v>
      </c>
      <c r="CT927" s="763">
        <f t="shared" si="690"/>
        <v>0</v>
      </c>
      <c r="CU927" s="763">
        <f t="shared" si="690"/>
        <v>0</v>
      </c>
      <c r="CV927" s="763">
        <f t="shared" si="690"/>
        <v>0</v>
      </c>
      <c r="CW927" s="763">
        <f t="shared" si="690"/>
        <v>0</v>
      </c>
      <c r="CX927" s="763">
        <f t="shared" si="690"/>
        <v>0</v>
      </c>
      <c r="CY927" s="763">
        <f t="shared" ref="CY927:EV927" si="691">SUMIF($AE$841:$AE$856,$AE927,CX$841:CX$856)+SUMIF($AE$895:$AE$910,$AE927,CY$895:CY$910)</f>
        <v>0</v>
      </c>
      <c r="CZ927" s="763">
        <f t="shared" si="691"/>
        <v>0</v>
      </c>
      <c r="DA927" s="763">
        <f t="shared" si="691"/>
        <v>0</v>
      </c>
      <c r="DB927" s="763">
        <f t="shared" si="691"/>
        <v>0</v>
      </c>
      <c r="DC927" s="763">
        <f t="shared" si="691"/>
        <v>0</v>
      </c>
      <c r="DD927" s="763">
        <f t="shared" si="691"/>
        <v>0</v>
      </c>
      <c r="DE927" s="763">
        <f t="shared" si="691"/>
        <v>0</v>
      </c>
      <c r="DF927" s="763">
        <f t="shared" si="691"/>
        <v>0</v>
      </c>
      <c r="DG927" s="763">
        <f t="shared" si="691"/>
        <v>0</v>
      </c>
      <c r="DH927" s="763">
        <f t="shared" si="691"/>
        <v>0</v>
      </c>
      <c r="DI927" s="763">
        <f t="shared" si="691"/>
        <v>0</v>
      </c>
      <c r="DJ927" s="763">
        <f t="shared" si="691"/>
        <v>0</v>
      </c>
      <c r="DK927" s="763">
        <f t="shared" si="691"/>
        <v>0</v>
      </c>
      <c r="DL927" s="763">
        <f t="shared" si="691"/>
        <v>0</v>
      </c>
      <c r="DM927" s="763">
        <f t="shared" si="691"/>
        <v>0</v>
      </c>
      <c r="DN927" s="763">
        <f t="shared" si="691"/>
        <v>0</v>
      </c>
      <c r="DO927" s="763">
        <f t="shared" si="691"/>
        <v>0</v>
      </c>
      <c r="DP927" s="763">
        <f t="shared" si="691"/>
        <v>0</v>
      </c>
      <c r="DQ927" s="763">
        <f t="shared" si="691"/>
        <v>0</v>
      </c>
      <c r="DR927" s="763">
        <f t="shared" si="691"/>
        <v>0</v>
      </c>
      <c r="DS927" s="763">
        <f t="shared" si="691"/>
        <v>0</v>
      </c>
      <c r="DT927" s="763">
        <f t="shared" si="691"/>
        <v>0</v>
      </c>
      <c r="DU927" s="763">
        <f t="shared" si="691"/>
        <v>0</v>
      </c>
      <c r="DV927" s="763">
        <f t="shared" si="691"/>
        <v>0</v>
      </c>
      <c r="DW927" s="763">
        <f t="shared" si="691"/>
        <v>0</v>
      </c>
      <c r="DX927" s="763">
        <f t="shared" si="691"/>
        <v>0</v>
      </c>
      <c r="DY927" s="763">
        <f t="shared" si="691"/>
        <v>0</v>
      </c>
      <c r="DZ927" s="763">
        <f t="shared" si="691"/>
        <v>0</v>
      </c>
      <c r="EA927" s="763">
        <f t="shared" si="691"/>
        <v>0</v>
      </c>
      <c r="EB927" s="763">
        <f t="shared" si="691"/>
        <v>0</v>
      </c>
      <c r="EC927" s="763">
        <f t="shared" si="691"/>
        <v>0</v>
      </c>
      <c r="ED927" s="763">
        <f t="shared" si="691"/>
        <v>0</v>
      </c>
      <c r="EE927" s="763">
        <f t="shared" si="691"/>
        <v>0</v>
      </c>
      <c r="EF927" s="763">
        <f t="shared" si="691"/>
        <v>0</v>
      </c>
      <c r="EG927" s="763">
        <f t="shared" si="691"/>
        <v>0</v>
      </c>
      <c r="EH927" s="763">
        <f t="shared" si="691"/>
        <v>0</v>
      </c>
      <c r="EI927" s="763">
        <f t="shared" si="691"/>
        <v>0</v>
      </c>
      <c r="EJ927" s="763">
        <f t="shared" si="691"/>
        <v>0</v>
      </c>
      <c r="EK927" s="763">
        <f t="shared" si="691"/>
        <v>0</v>
      </c>
      <c r="EL927" s="763">
        <f t="shared" si="691"/>
        <v>0</v>
      </c>
      <c r="EM927" s="763">
        <f t="shared" si="691"/>
        <v>0</v>
      </c>
      <c r="EN927" s="763">
        <f t="shared" si="691"/>
        <v>0</v>
      </c>
      <c r="EO927" s="763">
        <f t="shared" si="691"/>
        <v>0</v>
      </c>
      <c r="EP927" s="763">
        <f t="shared" si="691"/>
        <v>0</v>
      </c>
      <c r="EQ927" s="763">
        <f t="shared" si="691"/>
        <v>0</v>
      </c>
      <c r="ER927" s="763">
        <f t="shared" si="691"/>
        <v>0</v>
      </c>
      <c r="ES927" s="763">
        <f t="shared" si="691"/>
        <v>0</v>
      </c>
      <c r="ET927" s="763">
        <f t="shared" si="691"/>
        <v>0</v>
      </c>
      <c r="EU927" s="763">
        <f t="shared" si="691"/>
        <v>0</v>
      </c>
      <c r="EV927" s="763">
        <f t="shared" si="691"/>
        <v>0</v>
      </c>
    </row>
    <row r="928" spans="1:152" s="12" customFormat="1" ht="12" customHeight="1" x14ac:dyDescent="0.35">
      <c r="A928" s="84"/>
      <c r="B928" s="13"/>
      <c r="C928" s="13"/>
      <c r="D928" s="13"/>
      <c r="E928" s="13"/>
      <c r="F928" s="13"/>
      <c r="G928" s="1804"/>
      <c r="H928" s="1183"/>
      <c r="I928" s="1804"/>
      <c r="J928" s="1804"/>
      <c r="K928" s="141"/>
      <c r="L928" s="141"/>
      <c r="M928" s="141"/>
      <c r="N928" s="141"/>
      <c r="O928" s="141"/>
      <c r="P928" s="141"/>
      <c r="Q928" s="483">
        <f>IF(T928&lt;&gt;"Total",S928,SUM(S$915:S928))</f>
        <v>0</v>
      </c>
      <c r="R928" s="483">
        <f>SUMIF(Input!$D$279:$D$288,Calcs!T928,Input!$J$279:$J$288)+SUMIF(Input!$M$279:$M$281,Calcs!T928,Input!$V$279:$V$281)+SUMIF(Input!$M$297:$M$299,Calcs!T928,Input!$W$297:$W$299)</f>
      </c>
      <c r="S928" s="728">
        <f t="shared" si="656"/>
        <v>0</v>
      </c>
      <c r="T928" s="376" t="str">
        <f t="shared" si="657"/>
        <v/>
      </c>
      <c r="U928" s="62">
        <f>IF(AA854=1,-AB854,IF(AA854=2,-SUM(AB$840:AB853),0))</f>
        <v>0</v>
      </c>
      <c r="V928" s="728">
        <f>IF(T928="Total",SUM(R$915:R928),R928)</f>
      </c>
      <c r="W928" s="62">
        <f>IF(T928="Total",SUM(W$915:W927),SUMIF(AA$895:AA$910,T928,AB$895:AB$910))</f>
        <v>0</v>
      </c>
      <c r="X928" s="62">
        <f t="shared" si="658"/>
        <v>0</v>
      </c>
      <c r="Y928" s="389">
        <f t="shared" si="659"/>
        <v>0</v>
      </c>
      <c r="Z928" s="386">
        <f ca="1">IF(T928="Total",SUM(Z$915:Z927),IF(AA854=0,0,IF(AA854=2,0,NPV(IF(ISNUMBER(Input!$I$276),Input!$I$276,0.15)/12,OFFSET(AG947,0,AB928,,COLUMNS(AG947:EV947)-AB928)))))</f>
      </c>
      <c r="AA928" s="1812">
        <f t="shared" si="666"/>
        <v>0</v>
      </c>
      <c r="AB928" s="385" cm="1">
        <f t="array" ref="AB928">IF(AA854=0,0,IF(AA854=2,AB$931,MATCH(TRUE,(AG947:EV947)&lt;&gt;0,0)-1))</f>
        <v>0</v>
      </c>
      <c r="AC928" s="29">
        <f t="shared" si="660"/>
        <v>14</v>
      </c>
      <c r="AD928" s="29"/>
      <c r="AE928" s="376" t="str">
        <f t="shared" si="661"/>
        <v>Convertible Note #1</v>
      </c>
      <c r="AF928" s="376"/>
      <c r="AG928" s="763">
        <f t="shared" si="667"/>
        <v>0</v>
      </c>
      <c r="AH928" s="763">
        <f t="shared" si="667"/>
        <v>0</v>
      </c>
      <c r="AI928" s="763">
        <f t="shared" si="667"/>
        <v>0</v>
      </c>
      <c r="AJ928" s="763">
        <f t="shared" si="667"/>
        <v>0</v>
      </c>
      <c r="AK928" s="763">
        <f t="shared" si="667"/>
        <v>0</v>
      </c>
      <c r="AL928" s="763">
        <f t="shared" si="667"/>
        <v>0</v>
      </c>
      <c r="AM928" s="763">
        <f t="shared" ref="AM928:CX928" si="692">SUMIF($AE$841:$AE$856,$AE928,AL$841:AL$856)+SUMIF($AE$895:$AE$910,$AE928,AM$895:AM$910)</f>
        <v>0</v>
      </c>
      <c r="AN928" s="763">
        <f t="shared" si="692"/>
        <v>0</v>
      </c>
      <c r="AO928" s="763">
        <f t="shared" si="692"/>
        <v>0</v>
      </c>
      <c r="AP928" s="763">
        <f t="shared" si="692"/>
        <v>0</v>
      </c>
      <c r="AQ928" s="763">
        <f t="shared" si="692"/>
        <v>0</v>
      </c>
      <c r="AR928" s="763">
        <f t="shared" si="692"/>
        <v>0</v>
      </c>
      <c r="AS928" s="763">
        <f t="shared" si="692"/>
        <v>0</v>
      </c>
      <c r="AT928" s="763">
        <f t="shared" si="692"/>
        <v>0</v>
      </c>
      <c r="AU928" s="763">
        <f t="shared" si="692"/>
        <v>0</v>
      </c>
      <c r="AV928" s="763">
        <f t="shared" si="692"/>
        <v>0</v>
      </c>
      <c r="AW928" s="763">
        <f t="shared" si="692"/>
        <v>0</v>
      </c>
      <c r="AX928" s="763">
        <f t="shared" si="692"/>
        <v>0</v>
      </c>
      <c r="AY928" s="763">
        <f t="shared" si="692"/>
        <v>0</v>
      </c>
      <c r="AZ928" s="763">
        <f t="shared" si="692"/>
        <v>0</v>
      </c>
      <c r="BA928" s="763">
        <f t="shared" si="692"/>
        <v>0</v>
      </c>
      <c r="BB928" s="763">
        <f t="shared" si="692"/>
        <v>0</v>
      </c>
      <c r="BC928" s="763">
        <f t="shared" si="692"/>
        <v>0</v>
      </c>
      <c r="BD928" s="763">
        <f t="shared" si="692"/>
        <v>0</v>
      </c>
      <c r="BE928" s="763">
        <f t="shared" si="692"/>
        <v>0</v>
      </c>
      <c r="BF928" s="763">
        <f t="shared" si="692"/>
        <v>0</v>
      </c>
      <c r="BG928" s="763">
        <f t="shared" si="692"/>
        <v>0</v>
      </c>
      <c r="BH928" s="763">
        <f t="shared" si="692"/>
        <v>0</v>
      </c>
      <c r="BI928" s="763">
        <f t="shared" si="692"/>
        <v>0</v>
      </c>
      <c r="BJ928" s="763">
        <f t="shared" si="692"/>
        <v>0</v>
      </c>
      <c r="BK928" s="763">
        <f t="shared" si="692"/>
        <v>0</v>
      </c>
      <c r="BL928" s="763">
        <f t="shared" si="692"/>
        <v>0</v>
      </c>
      <c r="BM928" s="763">
        <f t="shared" si="692"/>
        <v>0</v>
      </c>
      <c r="BN928" s="763">
        <f t="shared" si="692"/>
        <v>0</v>
      </c>
      <c r="BO928" s="763">
        <f t="shared" si="692"/>
        <v>0</v>
      </c>
      <c r="BP928" s="763">
        <f t="shared" si="692"/>
        <v>0</v>
      </c>
      <c r="BQ928" s="763">
        <f t="shared" si="692"/>
        <v>0</v>
      </c>
      <c r="BR928" s="763">
        <f t="shared" si="692"/>
        <v>0</v>
      </c>
      <c r="BS928" s="763">
        <f t="shared" si="692"/>
        <v>0</v>
      </c>
      <c r="BT928" s="763">
        <f t="shared" si="692"/>
        <v>0</v>
      </c>
      <c r="BU928" s="763">
        <f t="shared" si="692"/>
        <v>0</v>
      </c>
      <c r="BV928" s="763">
        <f t="shared" si="692"/>
        <v>0</v>
      </c>
      <c r="BW928" s="763">
        <f t="shared" si="692"/>
        <v>0</v>
      </c>
      <c r="BX928" s="763">
        <f t="shared" si="692"/>
        <v>0</v>
      </c>
      <c r="BY928" s="763">
        <f t="shared" si="692"/>
        <v>0</v>
      </c>
      <c r="BZ928" s="763">
        <f t="shared" si="692"/>
        <v>0</v>
      </c>
      <c r="CA928" s="763">
        <f t="shared" si="692"/>
        <v>0</v>
      </c>
      <c r="CB928" s="763">
        <f t="shared" si="692"/>
        <v>0</v>
      </c>
      <c r="CC928" s="763">
        <f t="shared" si="692"/>
        <v>0</v>
      </c>
      <c r="CD928" s="763">
        <f t="shared" si="692"/>
        <v>0</v>
      </c>
      <c r="CE928" s="763">
        <f t="shared" si="692"/>
        <v>0</v>
      </c>
      <c r="CF928" s="763">
        <f t="shared" si="692"/>
        <v>0</v>
      </c>
      <c r="CG928" s="763">
        <f t="shared" si="692"/>
        <v>0</v>
      </c>
      <c r="CH928" s="763">
        <f t="shared" si="692"/>
        <v>0</v>
      </c>
      <c r="CI928" s="763">
        <f t="shared" si="692"/>
        <v>0</v>
      </c>
      <c r="CJ928" s="763">
        <f t="shared" si="692"/>
        <v>0</v>
      </c>
      <c r="CK928" s="763">
        <f t="shared" si="692"/>
        <v>0</v>
      </c>
      <c r="CL928" s="763">
        <f t="shared" si="692"/>
        <v>0</v>
      </c>
      <c r="CM928" s="763">
        <f t="shared" si="692"/>
        <v>0</v>
      </c>
      <c r="CN928" s="763">
        <f t="shared" si="692"/>
        <v>0</v>
      </c>
      <c r="CO928" s="763">
        <f t="shared" si="692"/>
        <v>0</v>
      </c>
      <c r="CP928" s="763">
        <f t="shared" si="692"/>
        <v>0</v>
      </c>
      <c r="CQ928" s="763">
        <f t="shared" si="692"/>
        <v>0</v>
      </c>
      <c r="CR928" s="763">
        <f t="shared" si="692"/>
        <v>0</v>
      </c>
      <c r="CS928" s="763">
        <f t="shared" si="692"/>
        <v>0</v>
      </c>
      <c r="CT928" s="763">
        <f t="shared" si="692"/>
        <v>0</v>
      </c>
      <c r="CU928" s="763">
        <f t="shared" si="692"/>
        <v>0</v>
      </c>
      <c r="CV928" s="763">
        <f t="shared" si="692"/>
        <v>0</v>
      </c>
      <c r="CW928" s="763">
        <f t="shared" si="692"/>
        <v>0</v>
      </c>
      <c r="CX928" s="763">
        <f t="shared" si="692"/>
        <v>0</v>
      </c>
      <c r="CY928" s="763">
        <f t="shared" ref="CY928:EV928" si="693">SUMIF($AE$841:$AE$856,$AE928,CX$841:CX$856)+SUMIF($AE$895:$AE$910,$AE928,CY$895:CY$910)</f>
        <v>0</v>
      </c>
      <c r="CZ928" s="763">
        <f t="shared" si="693"/>
        <v>0</v>
      </c>
      <c r="DA928" s="763">
        <f t="shared" si="693"/>
        <v>0</v>
      </c>
      <c r="DB928" s="763">
        <f t="shared" si="693"/>
        <v>0</v>
      </c>
      <c r="DC928" s="763">
        <f t="shared" si="693"/>
        <v>0</v>
      </c>
      <c r="DD928" s="763">
        <f t="shared" si="693"/>
        <v>0</v>
      </c>
      <c r="DE928" s="763">
        <f t="shared" si="693"/>
        <v>0</v>
      </c>
      <c r="DF928" s="763">
        <f t="shared" si="693"/>
        <v>0</v>
      </c>
      <c r="DG928" s="763">
        <f t="shared" si="693"/>
        <v>0</v>
      </c>
      <c r="DH928" s="763">
        <f t="shared" si="693"/>
        <v>0</v>
      </c>
      <c r="DI928" s="763">
        <f t="shared" si="693"/>
        <v>0</v>
      </c>
      <c r="DJ928" s="763">
        <f t="shared" si="693"/>
        <v>0</v>
      </c>
      <c r="DK928" s="763">
        <f t="shared" si="693"/>
        <v>0</v>
      </c>
      <c r="DL928" s="763">
        <f t="shared" si="693"/>
        <v>0</v>
      </c>
      <c r="DM928" s="763">
        <f t="shared" si="693"/>
        <v>0</v>
      </c>
      <c r="DN928" s="763">
        <f t="shared" si="693"/>
        <v>0</v>
      </c>
      <c r="DO928" s="763">
        <f t="shared" si="693"/>
        <v>0</v>
      </c>
      <c r="DP928" s="763">
        <f t="shared" si="693"/>
        <v>0</v>
      </c>
      <c r="DQ928" s="763">
        <f t="shared" si="693"/>
        <v>0</v>
      </c>
      <c r="DR928" s="763">
        <f t="shared" si="693"/>
        <v>0</v>
      </c>
      <c r="DS928" s="763">
        <f t="shared" si="693"/>
        <v>0</v>
      </c>
      <c r="DT928" s="763">
        <f t="shared" si="693"/>
        <v>0</v>
      </c>
      <c r="DU928" s="763">
        <f t="shared" si="693"/>
        <v>0</v>
      </c>
      <c r="DV928" s="763">
        <f t="shared" si="693"/>
        <v>0</v>
      </c>
      <c r="DW928" s="763">
        <f t="shared" si="693"/>
        <v>0</v>
      </c>
      <c r="DX928" s="763">
        <f t="shared" si="693"/>
        <v>0</v>
      </c>
      <c r="DY928" s="763">
        <f t="shared" si="693"/>
        <v>0</v>
      </c>
      <c r="DZ928" s="763">
        <f t="shared" si="693"/>
        <v>0</v>
      </c>
      <c r="EA928" s="763">
        <f t="shared" si="693"/>
        <v>0</v>
      </c>
      <c r="EB928" s="763">
        <f t="shared" si="693"/>
        <v>0</v>
      </c>
      <c r="EC928" s="763">
        <f t="shared" si="693"/>
        <v>0</v>
      </c>
      <c r="ED928" s="763">
        <f t="shared" si="693"/>
        <v>0</v>
      </c>
      <c r="EE928" s="763">
        <f t="shared" si="693"/>
        <v>0</v>
      </c>
      <c r="EF928" s="763">
        <f t="shared" si="693"/>
        <v>0</v>
      </c>
      <c r="EG928" s="763">
        <f t="shared" si="693"/>
        <v>0</v>
      </c>
      <c r="EH928" s="763">
        <f t="shared" si="693"/>
        <v>0</v>
      </c>
      <c r="EI928" s="763">
        <f t="shared" si="693"/>
        <v>0</v>
      </c>
      <c r="EJ928" s="763">
        <f t="shared" si="693"/>
        <v>0</v>
      </c>
      <c r="EK928" s="763">
        <f t="shared" si="693"/>
        <v>0</v>
      </c>
      <c r="EL928" s="763">
        <f t="shared" si="693"/>
        <v>0</v>
      </c>
      <c r="EM928" s="763">
        <f t="shared" si="693"/>
        <v>0</v>
      </c>
      <c r="EN928" s="763">
        <f t="shared" si="693"/>
        <v>0</v>
      </c>
      <c r="EO928" s="763">
        <f t="shared" si="693"/>
        <v>0</v>
      </c>
      <c r="EP928" s="763">
        <f t="shared" si="693"/>
        <v>0</v>
      </c>
      <c r="EQ928" s="763">
        <f t="shared" si="693"/>
        <v>0</v>
      </c>
      <c r="ER928" s="763">
        <f t="shared" si="693"/>
        <v>0</v>
      </c>
      <c r="ES928" s="763">
        <f t="shared" si="693"/>
        <v>0</v>
      </c>
      <c r="ET928" s="763">
        <f t="shared" si="693"/>
        <v>0</v>
      </c>
      <c r="EU928" s="763">
        <f t="shared" si="693"/>
        <v>0</v>
      </c>
      <c r="EV928" s="763">
        <f t="shared" si="693"/>
        <v>0</v>
      </c>
    </row>
    <row r="929" spans="1:152" s="12" customFormat="1" ht="12" customHeight="1" x14ac:dyDescent="0.35">
      <c r="A929" s="84"/>
      <c r="B929" s="13"/>
      <c r="C929" s="13"/>
      <c r="D929" s="13"/>
      <c r="E929" s="13"/>
      <c r="F929" s="13"/>
      <c r="G929" s="1804"/>
      <c r="H929" s="1183"/>
      <c r="I929" s="1804"/>
      <c r="J929" s="1804"/>
      <c r="K929" s="141"/>
      <c r="L929" s="141"/>
      <c r="M929" s="141"/>
      <c r="N929" s="141"/>
      <c r="O929" s="141"/>
      <c r="P929" s="141"/>
      <c r="Q929" s="483">
        <f>IF(T929&lt;&gt;"Total",S929,SUM(S$915:S929))</f>
        <v>0</v>
      </c>
      <c r="R929" s="483">
        <f>SUMIF(Input!$D$279:$D$288,Calcs!T929,Input!$J$279:$J$288)+SUMIF(Input!$M$279:$M$281,Calcs!T929,Input!$V$279:$V$281)+SUMIF(Input!$M$297:$M$299,Calcs!T929,Input!$W$297:$W$299)</f>
      </c>
      <c r="S929" s="728">
        <f t="shared" si="656"/>
        <v>0</v>
      </c>
      <c r="T929" s="376" t="str">
        <f t="shared" si="657"/>
        <v/>
      </c>
      <c r="U929" s="62">
        <f>IF(AA855=1,-AB855,IF(AA855=2,-SUM(AB$840:AB854),0))</f>
        <v>0</v>
      </c>
      <c r="V929" s="728">
        <f>IF(T929="Total",SUM(R$915:R929),R929)</f>
      </c>
      <c r="W929" s="62">
        <f>IF(T929="Total",SUM(W$915:W928),SUMIF(AA$895:AA$910,T929,AB$895:AB$910))</f>
        <v>0</v>
      </c>
      <c r="X929" s="62">
        <f t="shared" si="658"/>
        <v>0</v>
      </c>
      <c r="Y929" s="389">
        <f t="shared" si="659"/>
        <v>0</v>
      </c>
      <c r="Z929" s="386">
        <f ca="1">IF(T929="Total",SUM(Z$915:Z928),IF(AA855=0,0,IF(AA855=2,0,NPV(IF(ISNUMBER(Input!$I$276),Input!$I$276,0.15)/12,OFFSET(AG948,0,AB929,,COLUMNS(AG948:EV948)-AB929)))))</f>
      </c>
      <c r="AA929" s="1812">
        <f t="shared" si="666"/>
        <v>0</v>
      </c>
      <c r="AB929" s="385" cm="1">
        <f t="array" ref="AB929">IF(AA855=0,0,IF(AA855=2,AB$931,MATCH(TRUE,(AG948:EV948)&lt;&gt;0,0)-1))</f>
        <v>0</v>
      </c>
      <c r="AC929" s="29">
        <f t="shared" si="660"/>
        <v>15</v>
      </c>
      <c r="AD929" s="29"/>
      <c r="AE929" s="376" t="str">
        <f t="shared" si="661"/>
        <v>Convertible Note #2</v>
      </c>
      <c r="AF929" s="376"/>
      <c r="AG929" s="763">
        <f t="shared" si="667"/>
        <v>0</v>
      </c>
      <c r="AH929" s="763">
        <f t="shared" si="667"/>
        <v>0</v>
      </c>
      <c r="AI929" s="763">
        <f t="shared" si="667"/>
        <v>0</v>
      </c>
      <c r="AJ929" s="763">
        <f t="shared" si="667"/>
        <v>0</v>
      </c>
      <c r="AK929" s="763">
        <f t="shared" si="667"/>
        <v>0</v>
      </c>
      <c r="AL929" s="763">
        <f t="shared" si="667"/>
        <v>0</v>
      </c>
      <c r="AM929" s="763">
        <f t="shared" ref="AM929:CX929" si="694">SUMIF($AE$841:$AE$856,$AE929,AL$841:AL$856)+SUMIF($AE$895:$AE$910,$AE929,AM$895:AM$910)</f>
        <v>0</v>
      </c>
      <c r="AN929" s="763">
        <f t="shared" si="694"/>
        <v>0</v>
      </c>
      <c r="AO929" s="763">
        <f t="shared" si="694"/>
        <v>0</v>
      </c>
      <c r="AP929" s="763">
        <f t="shared" si="694"/>
        <v>0</v>
      </c>
      <c r="AQ929" s="763">
        <f t="shared" si="694"/>
        <v>0</v>
      </c>
      <c r="AR929" s="763">
        <f t="shared" si="694"/>
        <v>0</v>
      </c>
      <c r="AS929" s="763">
        <f t="shared" si="694"/>
        <v>0</v>
      </c>
      <c r="AT929" s="763">
        <f t="shared" si="694"/>
        <v>0</v>
      </c>
      <c r="AU929" s="763">
        <f t="shared" si="694"/>
        <v>0</v>
      </c>
      <c r="AV929" s="763">
        <f t="shared" si="694"/>
        <v>0</v>
      </c>
      <c r="AW929" s="763">
        <f t="shared" si="694"/>
        <v>0</v>
      </c>
      <c r="AX929" s="763">
        <f t="shared" si="694"/>
        <v>0</v>
      </c>
      <c r="AY929" s="763">
        <f t="shared" si="694"/>
        <v>0</v>
      </c>
      <c r="AZ929" s="763">
        <f t="shared" si="694"/>
        <v>0</v>
      </c>
      <c r="BA929" s="763">
        <f t="shared" si="694"/>
        <v>0</v>
      </c>
      <c r="BB929" s="763">
        <f t="shared" si="694"/>
        <v>0</v>
      </c>
      <c r="BC929" s="763">
        <f t="shared" si="694"/>
        <v>0</v>
      </c>
      <c r="BD929" s="763">
        <f t="shared" si="694"/>
        <v>0</v>
      </c>
      <c r="BE929" s="763">
        <f t="shared" si="694"/>
        <v>0</v>
      </c>
      <c r="BF929" s="763">
        <f t="shared" si="694"/>
        <v>0</v>
      </c>
      <c r="BG929" s="763">
        <f t="shared" si="694"/>
        <v>0</v>
      </c>
      <c r="BH929" s="763">
        <f t="shared" si="694"/>
        <v>0</v>
      </c>
      <c r="BI929" s="763">
        <f t="shared" si="694"/>
        <v>0</v>
      </c>
      <c r="BJ929" s="763">
        <f t="shared" si="694"/>
        <v>0</v>
      </c>
      <c r="BK929" s="763">
        <f t="shared" si="694"/>
        <v>0</v>
      </c>
      <c r="BL929" s="763">
        <f t="shared" si="694"/>
        <v>0</v>
      </c>
      <c r="BM929" s="763">
        <f t="shared" si="694"/>
        <v>0</v>
      </c>
      <c r="BN929" s="763">
        <f t="shared" si="694"/>
        <v>0</v>
      </c>
      <c r="BO929" s="763">
        <f t="shared" si="694"/>
        <v>0</v>
      </c>
      <c r="BP929" s="763">
        <f t="shared" si="694"/>
        <v>0</v>
      </c>
      <c r="BQ929" s="763">
        <f t="shared" si="694"/>
        <v>0</v>
      </c>
      <c r="BR929" s="763">
        <f t="shared" si="694"/>
        <v>0</v>
      </c>
      <c r="BS929" s="763">
        <f t="shared" si="694"/>
        <v>0</v>
      </c>
      <c r="BT929" s="763">
        <f t="shared" si="694"/>
        <v>0</v>
      </c>
      <c r="BU929" s="763">
        <f t="shared" si="694"/>
        <v>0</v>
      </c>
      <c r="BV929" s="763">
        <f t="shared" si="694"/>
        <v>0</v>
      </c>
      <c r="BW929" s="763">
        <f t="shared" si="694"/>
        <v>0</v>
      </c>
      <c r="BX929" s="763">
        <f t="shared" si="694"/>
        <v>0</v>
      </c>
      <c r="BY929" s="763">
        <f t="shared" si="694"/>
        <v>0</v>
      </c>
      <c r="BZ929" s="763">
        <f t="shared" si="694"/>
        <v>0</v>
      </c>
      <c r="CA929" s="763">
        <f t="shared" si="694"/>
        <v>0</v>
      </c>
      <c r="CB929" s="763">
        <f t="shared" si="694"/>
        <v>0</v>
      </c>
      <c r="CC929" s="763">
        <f t="shared" si="694"/>
        <v>0</v>
      </c>
      <c r="CD929" s="763">
        <f t="shared" si="694"/>
        <v>0</v>
      </c>
      <c r="CE929" s="763">
        <f t="shared" si="694"/>
        <v>0</v>
      </c>
      <c r="CF929" s="763">
        <f t="shared" si="694"/>
        <v>0</v>
      </c>
      <c r="CG929" s="763">
        <f t="shared" si="694"/>
        <v>0</v>
      </c>
      <c r="CH929" s="763">
        <f t="shared" si="694"/>
        <v>0</v>
      </c>
      <c r="CI929" s="763">
        <f t="shared" si="694"/>
        <v>0</v>
      </c>
      <c r="CJ929" s="763">
        <f t="shared" si="694"/>
        <v>0</v>
      </c>
      <c r="CK929" s="763">
        <f t="shared" si="694"/>
        <v>0</v>
      </c>
      <c r="CL929" s="763">
        <f t="shared" si="694"/>
        <v>0</v>
      </c>
      <c r="CM929" s="763">
        <f t="shared" si="694"/>
        <v>0</v>
      </c>
      <c r="CN929" s="763">
        <f t="shared" si="694"/>
        <v>0</v>
      </c>
      <c r="CO929" s="763">
        <f t="shared" si="694"/>
        <v>0</v>
      </c>
      <c r="CP929" s="763">
        <f t="shared" si="694"/>
        <v>0</v>
      </c>
      <c r="CQ929" s="763">
        <f t="shared" si="694"/>
        <v>0</v>
      </c>
      <c r="CR929" s="763">
        <f t="shared" si="694"/>
        <v>0</v>
      </c>
      <c r="CS929" s="763">
        <f t="shared" si="694"/>
        <v>0</v>
      </c>
      <c r="CT929" s="763">
        <f t="shared" si="694"/>
        <v>0</v>
      </c>
      <c r="CU929" s="763">
        <f t="shared" si="694"/>
        <v>0</v>
      </c>
      <c r="CV929" s="763">
        <f t="shared" si="694"/>
        <v>0</v>
      </c>
      <c r="CW929" s="763">
        <f t="shared" si="694"/>
        <v>0</v>
      </c>
      <c r="CX929" s="763">
        <f t="shared" si="694"/>
        <v>0</v>
      </c>
      <c r="CY929" s="763">
        <f t="shared" ref="CY929:EV929" si="695">SUMIF($AE$841:$AE$856,$AE929,CX$841:CX$856)+SUMIF($AE$895:$AE$910,$AE929,CY$895:CY$910)</f>
        <v>0</v>
      </c>
      <c r="CZ929" s="763">
        <f t="shared" si="695"/>
        <v>0</v>
      </c>
      <c r="DA929" s="763">
        <f t="shared" si="695"/>
        <v>0</v>
      </c>
      <c r="DB929" s="763">
        <f t="shared" si="695"/>
        <v>0</v>
      </c>
      <c r="DC929" s="763">
        <f t="shared" si="695"/>
        <v>0</v>
      </c>
      <c r="DD929" s="763">
        <f t="shared" si="695"/>
        <v>0</v>
      </c>
      <c r="DE929" s="763">
        <f t="shared" si="695"/>
        <v>0</v>
      </c>
      <c r="DF929" s="763">
        <f t="shared" si="695"/>
        <v>0</v>
      </c>
      <c r="DG929" s="763">
        <f t="shared" si="695"/>
        <v>0</v>
      </c>
      <c r="DH929" s="763">
        <f t="shared" si="695"/>
        <v>0</v>
      </c>
      <c r="DI929" s="763">
        <f t="shared" si="695"/>
        <v>0</v>
      </c>
      <c r="DJ929" s="763">
        <f t="shared" si="695"/>
        <v>0</v>
      </c>
      <c r="DK929" s="763">
        <f t="shared" si="695"/>
        <v>0</v>
      </c>
      <c r="DL929" s="763">
        <f t="shared" si="695"/>
        <v>0</v>
      </c>
      <c r="DM929" s="763">
        <f t="shared" si="695"/>
        <v>0</v>
      </c>
      <c r="DN929" s="763">
        <f t="shared" si="695"/>
        <v>0</v>
      </c>
      <c r="DO929" s="763">
        <f t="shared" si="695"/>
        <v>0</v>
      </c>
      <c r="DP929" s="763">
        <f t="shared" si="695"/>
        <v>0</v>
      </c>
      <c r="DQ929" s="763">
        <f t="shared" si="695"/>
        <v>0</v>
      </c>
      <c r="DR929" s="763">
        <f t="shared" si="695"/>
        <v>0</v>
      </c>
      <c r="DS929" s="763">
        <f t="shared" si="695"/>
        <v>0</v>
      </c>
      <c r="DT929" s="763">
        <f t="shared" si="695"/>
        <v>0</v>
      </c>
      <c r="DU929" s="763">
        <f t="shared" si="695"/>
        <v>0</v>
      </c>
      <c r="DV929" s="763">
        <f t="shared" si="695"/>
        <v>0</v>
      </c>
      <c r="DW929" s="763">
        <f t="shared" si="695"/>
        <v>0</v>
      </c>
      <c r="DX929" s="763">
        <f t="shared" si="695"/>
        <v>0</v>
      </c>
      <c r="DY929" s="763">
        <f t="shared" si="695"/>
        <v>0</v>
      </c>
      <c r="DZ929" s="763">
        <f t="shared" si="695"/>
        <v>0</v>
      </c>
      <c r="EA929" s="763">
        <f t="shared" si="695"/>
        <v>0</v>
      </c>
      <c r="EB929" s="763">
        <f t="shared" si="695"/>
        <v>0</v>
      </c>
      <c r="EC929" s="763">
        <f t="shared" si="695"/>
        <v>0</v>
      </c>
      <c r="ED929" s="763">
        <f t="shared" si="695"/>
        <v>0</v>
      </c>
      <c r="EE929" s="763">
        <f t="shared" si="695"/>
        <v>0</v>
      </c>
      <c r="EF929" s="763">
        <f t="shared" si="695"/>
        <v>0</v>
      </c>
      <c r="EG929" s="763">
        <f t="shared" si="695"/>
        <v>0</v>
      </c>
      <c r="EH929" s="763">
        <f t="shared" si="695"/>
        <v>0</v>
      </c>
      <c r="EI929" s="763">
        <f t="shared" si="695"/>
        <v>0</v>
      </c>
      <c r="EJ929" s="763">
        <f t="shared" si="695"/>
        <v>0</v>
      </c>
      <c r="EK929" s="763">
        <f t="shared" si="695"/>
        <v>0</v>
      </c>
      <c r="EL929" s="763">
        <f t="shared" si="695"/>
        <v>0</v>
      </c>
      <c r="EM929" s="763">
        <f t="shared" si="695"/>
        <v>0</v>
      </c>
      <c r="EN929" s="763">
        <f t="shared" si="695"/>
        <v>0</v>
      </c>
      <c r="EO929" s="763">
        <f t="shared" si="695"/>
        <v>0</v>
      </c>
      <c r="EP929" s="763">
        <f t="shared" si="695"/>
        <v>0</v>
      </c>
      <c r="EQ929" s="763">
        <f t="shared" si="695"/>
        <v>0</v>
      </c>
      <c r="ER929" s="763">
        <f t="shared" si="695"/>
        <v>0</v>
      </c>
      <c r="ES929" s="763">
        <f t="shared" si="695"/>
        <v>0</v>
      </c>
      <c r="ET929" s="763">
        <f t="shared" si="695"/>
        <v>0</v>
      </c>
      <c r="EU929" s="763">
        <f t="shared" si="695"/>
        <v>0</v>
      </c>
      <c r="EV929" s="763">
        <f t="shared" si="695"/>
        <v>0</v>
      </c>
    </row>
    <row r="930" spans="1:152" s="12" customFormat="1" ht="12" customHeight="1" x14ac:dyDescent="0.35">
      <c r="A930" s="84"/>
      <c r="B930" s="13"/>
      <c r="C930" s="13"/>
      <c r="D930" s="13"/>
      <c r="E930" s="13"/>
      <c r="F930" s="13"/>
      <c r="G930" s="1804"/>
      <c r="H930" s="1183"/>
      <c r="I930" s="1804"/>
      <c r="J930" s="1804"/>
      <c r="K930" s="141"/>
      <c r="L930" s="141"/>
      <c r="M930" s="141"/>
      <c r="N930" s="141"/>
      <c r="O930" s="141"/>
      <c r="P930" s="141"/>
      <c r="Q930" s="483">
        <f>IF(T930&lt;&gt;"Total",S930,SUM(S$915:S930))</f>
        <v>0</v>
      </c>
      <c r="R930" s="483">
        <f>SUMIF(Input!$D$279:$D$288,Calcs!T930,Input!$J$279:$J$288)+SUMIF(Input!$M$279:$M$281,Calcs!T930,Input!$V$279:$V$281)+SUMIF(Input!$M$297:$M$299,Calcs!T930,Input!$W$297:$W$299)</f>
      </c>
      <c r="S930" s="728">
        <f t="shared" si="656"/>
        <v>0</v>
      </c>
      <c r="T930" s="376" t="str">
        <f t="shared" si="657"/>
        <v/>
      </c>
      <c r="U930" s="62">
        <f>IF(AA856=1,-AB856,IF(AA856=2,-SUM(AB$840:AB855),0))</f>
        <v>0</v>
      </c>
      <c r="V930" s="728">
        <f>IF(T930="Total",SUM(R$915:R930),R930)</f>
      </c>
      <c r="W930" s="62">
        <f>IF(T930="Total",SUM(W$915:W929),SUMIF(AA$895:AA$910,T930,AB$895:AB$910))</f>
        <v>0</v>
      </c>
      <c r="X930" s="62">
        <f t="shared" si="658"/>
        <v>0</v>
      </c>
      <c r="Y930" s="389">
        <f t="shared" si="659"/>
        <v>0</v>
      </c>
      <c r="Z930" s="386">
        <f ca="1">IF(T930="Total",SUM(Z$915:Z929),IF(AA856=0,0,IF(AA856=2,0,NPV(IF(ISNUMBER(Input!$I$276),Input!$I$276,0.15)/12,OFFSET(AG949,0,AB930,,COLUMNS(AG949:EV949)-AB930)))))</f>
      </c>
      <c r="AA930" s="1812">
        <f t="shared" si="666"/>
        <v>0</v>
      </c>
      <c r="AB930" s="385" cm="1">
        <f t="array" ref="AB930">IF(AA856=0,0,IF(AA856=2,AB$931,MATCH(TRUE,(AG949:EV949)&lt;&gt;0,0)-1))</f>
        <v>0</v>
      </c>
      <c r="AC930" s="29">
        <f t="shared" si="660"/>
        <v>16</v>
      </c>
      <c r="AD930" s="29"/>
      <c r="AE930" s="376" t="str">
        <f t="shared" si="661"/>
        <v>Convertible Note #3</v>
      </c>
      <c r="AF930" s="376"/>
      <c r="AG930" s="763">
        <f t="shared" si="667"/>
        <v>0</v>
      </c>
      <c r="AH930" s="763">
        <f t="shared" si="667"/>
        <v>0</v>
      </c>
      <c r="AI930" s="763">
        <f t="shared" si="667"/>
        <v>0</v>
      </c>
      <c r="AJ930" s="763">
        <f t="shared" si="667"/>
        <v>0</v>
      </c>
      <c r="AK930" s="763">
        <f t="shared" si="667"/>
        <v>0</v>
      </c>
      <c r="AL930" s="763">
        <f t="shared" si="667"/>
        <v>0</v>
      </c>
      <c r="AM930" s="763">
        <f t="shared" ref="AM930:CX930" si="696">SUMIF($AE$841:$AE$856,$AE930,AL$841:AL$856)+SUMIF($AE$895:$AE$910,$AE930,AM$895:AM$910)</f>
        <v>0</v>
      </c>
      <c r="AN930" s="763">
        <f t="shared" si="696"/>
        <v>0</v>
      </c>
      <c r="AO930" s="763">
        <f t="shared" si="696"/>
        <v>0</v>
      </c>
      <c r="AP930" s="763">
        <f t="shared" si="696"/>
        <v>0</v>
      </c>
      <c r="AQ930" s="763">
        <f t="shared" si="696"/>
        <v>0</v>
      </c>
      <c r="AR930" s="763">
        <f t="shared" si="696"/>
        <v>0</v>
      </c>
      <c r="AS930" s="763">
        <f t="shared" si="696"/>
        <v>0</v>
      </c>
      <c r="AT930" s="763">
        <f t="shared" si="696"/>
        <v>0</v>
      </c>
      <c r="AU930" s="763">
        <f t="shared" si="696"/>
        <v>0</v>
      </c>
      <c r="AV930" s="763">
        <f t="shared" si="696"/>
        <v>0</v>
      </c>
      <c r="AW930" s="763">
        <f t="shared" si="696"/>
        <v>0</v>
      </c>
      <c r="AX930" s="763">
        <f t="shared" si="696"/>
        <v>0</v>
      </c>
      <c r="AY930" s="763">
        <f t="shared" si="696"/>
        <v>0</v>
      </c>
      <c r="AZ930" s="763">
        <f t="shared" si="696"/>
        <v>0</v>
      </c>
      <c r="BA930" s="763">
        <f t="shared" si="696"/>
        <v>0</v>
      </c>
      <c r="BB930" s="763">
        <f t="shared" si="696"/>
        <v>0</v>
      </c>
      <c r="BC930" s="763">
        <f t="shared" si="696"/>
        <v>0</v>
      </c>
      <c r="BD930" s="763">
        <f t="shared" si="696"/>
        <v>0</v>
      </c>
      <c r="BE930" s="763">
        <f t="shared" si="696"/>
        <v>0</v>
      </c>
      <c r="BF930" s="763">
        <f t="shared" si="696"/>
        <v>0</v>
      </c>
      <c r="BG930" s="763">
        <f t="shared" si="696"/>
        <v>0</v>
      </c>
      <c r="BH930" s="763">
        <f t="shared" si="696"/>
        <v>0</v>
      </c>
      <c r="BI930" s="763">
        <f t="shared" si="696"/>
        <v>0</v>
      </c>
      <c r="BJ930" s="763">
        <f t="shared" si="696"/>
        <v>0</v>
      </c>
      <c r="BK930" s="763">
        <f t="shared" si="696"/>
        <v>0</v>
      </c>
      <c r="BL930" s="763">
        <f t="shared" si="696"/>
        <v>0</v>
      </c>
      <c r="BM930" s="763">
        <f t="shared" si="696"/>
        <v>0</v>
      </c>
      <c r="BN930" s="763">
        <f t="shared" si="696"/>
        <v>0</v>
      </c>
      <c r="BO930" s="763">
        <f t="shared" si="696"/>
        <v>0</v>
      </c>
      <c r="BP930" s="763">
        <f t="shared" si="696"/>
        <v>0</v>
      </c>
      <c r="BQ930" s="763">
        <f t="shared" si="696"/>
        <v>0</v>
      </c>
      <c r="BR930" s="763">
        <f t="shared" si="696"/>
        <v>0</v>
      </c>
      <c r="BS930" s="763">
        <f t="shared" si="696"/>
        <v>0</v>
      </c>
      <c r="BT930" s="763">
        <f t="shared" si="696"/>
        <v>0</v>
      </c>
      <c r="BU930" s="763">
        <f t="shared" si="696"/>
        <v>0</v>
      </c>
      <c r="BV930" s="763">
        <f t="shared" si="696"/>
        <v>0</v>
      </c>
      <c r="BW930" s="763">
        <f t="shared" si="696"/>
        <v>0</v>
      </c>
      <c r="BX930" s="763">
        <f t="shared" si="696"/>
        <v>0</v>
      </c>
      <c r="BY930" s="763">
        <f t="shared" si="696"/>
        <v>0</v>
      </c>
      <c r="BZ930" s="763">
        <f t="shared" si="696"/>
        <v>0</v>
      </c>
      <c r="CA930" s="763">
        <f t="shared" si="696"/>
        <v>0</v>
      </c>
      <c r="CB930" s="763">
        <f t="shared" si="696"/>
        <v>0</v>
      </c>
      <c r="CC930" s="763">
        <f t="shared" si="696"/>
        <v>0</v>
      </c>
      <c r="CD930" s="763">
        <f t="shared" si="696"/>
        <v>0</v>
      </c>
      <c r="CE930" s="763">
        <f t="shared" si="696"/>
        <v>0</v>
      </c>
      <c r="CF930" s="763">
        <f t="shared" si="696"/>
        <v>0</v>
      </c>
      <c r="CG930" s="763">
        <f t="shared" si="696"/>
        <v>0</v>
      </c>
      <c r="CH930" s="763">
        <f t="shared" si="696"/>
        <v>0</v>
      </c>
      <c r="CI930" s="763">
        <f t="shared" si="696"/>
        <v>0</v>
      </c>
      <c r="CJ930" s="763">
        <f t="shared" si="696"/>
        <v>0</v>
      </c>
      <c r="CK930" s="763">
        <f t="shared" si="696"/>
        <v>0</v>
      </c>
      <c r="CL930" s="763">
        <f t="shared" si="696"/>
        <v>0</v>
      </c>
      <c r="CM930" s="763">
        <f t="shared" si="696"/>
        <v>0</v>
      </c>
      <c r="CN930" s="763">
        <f t="shared" si="696"/>
        <v>0</v>
      </c>
      <c r="CO930" s="763">
        <f t="shared" si="696"/>
        <v>0</v>
      </c>
      <c r="CP930" s="763">
        <f t="shared" si="696"/>
        <v>0</v>
      </c>
      <c r="CQ930" s="763">
        <f t="shared" si="696"/>
        <v>0</v>
      </c>
      <c r="CR930" s="763">
        <f t="shared" si="696"/>
        <v>0</v>
      </c>
      <c r="CS930" s="763">
        <f t="shared" si="696"/>
        <v>0</v>
      </c>
      <c r="CT930" s="763">
        <f t="shared" si="696"/>
        <v>0</v>
      </c>
      <c r="CU930" s="763">
        <f t="shared" si="696"/>
        <v>0</v>
      </c>
      <c r="CV930" s="763">
        <f t="shared" si="696"/>
        <v>0</v>
      </c>
      <c r="CW930" s="763">
        <f t="shared" si="696"/>
        <v>0</v>
      </c>
      <c r="CX930" s="763">
        <f t="shared" si="696"/>
        <v>0</v>
      </c>
      <c r="CY930" s="763">
        <f t="shared" ref="CY930:EV930" si="697">SUMIF($AE$841:$AE$856,$AE930,CX$841:CX$856)+SUMIF($AE$895:$AE$910,$AE930,CY$895:CY$910)</f>
        <v>0</v>
      </c>
      <c r="CZ930" s="763">
        <f t="shared" si="697"/>
        <v>0</v>
      </c>
      <c r="DA930" s="763">
        <f t="shared" si="697"/>
        <v>0</v>
      </c>
      <c r="DB930" s="763">
        <f t="shared" si="697"/>
        <v>0</v>
      </c>
      <c r="DC930" s="763">
        <f t="shared" si="697"/>
        <v>0</v>
      </c>
      <c r="DD930" s="763">
        <f t="shared" si="697"/>
        <v>0</v>
      </c>
      <c r="DE930" s="763">
        <f t="shared" si="697"/>
        <v>0</v>
      </c>
      <c r="DF930" s="763">
        <f t="shared" si="697"/>
        <v>0</v>
      </c>
      <c r="DG930" s="763">
        <f t="shared" si="697"/>
        <v>0</v>
      </c>
      <c r="DH930" s="763">
        <f t="shared" si="697"/>
        <v>0</v>
      </c>
      <c r="DI930" s="763">
        <f t="shared" si="697"/>
        <v>0</v>
      </c>
      <c r="DJ930" s="763">
        <f t="shared" si="697"/>
        <v>0</v>
      </c>
      <c r="DK930" s="763">
        <f t="shared" si="697"/>
        <v>0</v>
      </c>
      <c r="DL930" s="763">
        <f t="shared" si="697"/>
        <v>0</v>
      </c>
      <c r="DM930" s="763">
        <f t="shared" si="697"/>
        <v>0</v>
      </c>
      <c r="DN930" s="763">
        <f t="shared" si="697"/>
        <v>0</v>
      </c>
      <c r="DO930" s="763">
        <f t="shared" si="697"/>
        <v>0</v>
      </c>
      <c r="DP930" s="763">
        <f t="shared" si="697"/>
        <v>0</v>
      </c>
      <c r="DQ930" s="763">
        <f t="shared" si="697"/>
        <v>0</v>
      </c>
      <c r="DR930" s="763">
        <f t="shared" si="697"/>
        <v>0</v>
      </c>
      <c r="DS930" s="763">
        <f t="shared" si="697"/>
        <v>0</v>
      </c>
      <c r="DT930" s="763">
        <f t="shared" si="697"/>
        <v>0</v>
      </c>
      <c r="DU930" s="763">
        <f t="shared" si="697"/>
        <v>0</v>
      </c>
      <c r="DV930" s="763">
        <f t="shared" si="697"/>
        <v>0</v>
      </c>
      <c r="DW930" s="763">
        <f t="shared" si="697"/>
        <v>0</v>
      </c>
      <c r="DX930" s="763">
        <f t="shared" si="697"/>
        <v>0</v>
      </c>
      <c r="DY930" s="763">
        <f t="shared" si="697"/>
        <v>0</v>
      </c>
      <c r="DZ930" s="763">
        <f t="shared" si="697"/>
        <v>0</v>
      </c>
      <c r="EA930" s="763">
        <f t="shared" si="697"/>
        <v>0</v>
      </c>
      <c r="EB930" s="763">
        <f t="shared" si="697"/>
        <v>0</v>
      </c>
      <c r="EC930" s="763">
        <f t="shared" si="697"/>
        <v>0</v>
      </c>
      <c r="ED930" s="763">
        <f t="shared" si="697"/>
        <v>0</v>
      </c>
      <c r="EE930" s="763">
        <f t="shared" si="697"/>
        <v>0</v>
      </c>
      <c r="EF930" s="763">
        <f t="shared" si="697"/>
        <v>0</v>
      </c>
      <c r="EG930" s="763">
        <f t="shared" si="697"/>
        <v>0</v>
      </c>
      <c r="EH930" s="763">
        <f t="shared" si="697"/>
        <v>0</v>
      </c>
      <c r="EI930" s="763">
        <f t="shared" si="697"/>
        <v>0</v>
      </c>
      <c r="EJ930" s="763">
        <f t="shared" si="697"/>
        <v>0</v>
      </c>
      <c r="EK930" s="763">
        <f t="shared" si="697"/>
        <v>0</v>
      </c>
      <c r="EL930" s="763">
        <f t="shared" si="697"/>
        <v>0</v>
      </c>
      <c r="EM930" s="763">
        <f t="shared" si="697"/>
        <v>0</v>
      </c>
      <c r="EN930" s="763">
        <f t="shared" si="697"/>
        <v>0</v>
      </c>
      <c r="EO930" s="763">
        <f t="shared" si="697"/>
        <v>0</v>
      </c>
      <c r="EP930" s="763">
        <f t="shared" si="697"/>
        <v>0</v>
      </c>
      <c r="EQ930" s="763">
        <f t="shared" si="697"/>
        <v>0</v>
      </c>
      <c r="ER930" s="763">
        <f t="shared" si="697"/>
        <v>0</v>
      </c>
      <c r="ES930" s="763">
        <f t="shared" si="697"/>
        <v>0</v>
      </c>
      <c r="ET930" s="763">
        <f t="shared" si="697"/>
        <v>0</v>
      </c>
      <c r="EU930" s="763">
        <f t="shared" si="697"/>
        <v>0</v>
      </c>
      <c r="EV930" s="763">
        <f t="shared" si="697"/>
        <v>0</v>
      </c>
    </row>
    <row r="931" spans="1:152" s="12" customFormat="1" ht="12" customHeight="1" x14ac:dyDescent="0.35">
      <c r="A931" s="84"/>
      <c r="B931" s="13"/>
      <c r="C931" s="13"/>
      <c r="D931" s="13"/>
      <c r="E931" s="13"/>
      <c r="F931" s="13"/>
      <c r="G931" s="1804"/>
      <c r="H931" s="1183"/>
      <c r="I931" s="1804"/>
      <c r="J931" s="1804"/>
      <c r="K931" s="141"/>
      <c r="L931" s="141"/>
      <c r="M931" s="141"/>
      <c r="N931" s="141"/>
      <c r="O931" s="141"/>
      <c r="P931" s="141"/>
      <c r="Q931" s="31"/>
      <c r="R931" s="36"/>
      <c r="S931" s="728"/>
      <c r="T931" s="376" t="s">
        <v>131</v>
      </c>
      <c r="U931" s="390">
        <f>-SUM(AB841:AB856)</f>
        <v>0</v>
      </c>
      <c r="V931" s="1804"/>
      <c r="W931" s="390">
        <f>SUM(AB895:AB910)</f>
        <v>0</v>
      </c>
      <c r="X931" s="390">
        <f t="shared" si="658"/>
        <v>0</v>
      </c>
      <c r="Y931" s="391">
        <f t="shared" si="659"/>
        <v>0</v>
      </c>
      <c r="Z931" s="392" t="e">
        <f>VLOOKUP(T931,T915:Z930,7,0)</f>
        <v>#N/A</v>
      </c>
      <c r="AA931" s="393">
        <f>IF(U931&gt;0,IRR(AG931:EV931),0.1)</f>
        <v>0.1</v>
      </c>
      <c r="AB931" s="394" cm="1">
        <f t="array" ref="AB931">IF(U931&gt;0,MATCH(TRUE,(AG931:EV931)&lt;&gt;0,0)-1,0)</f>
        <v>0</v>
      </c>
      <c r="AC931" s="29"/>
      <c r="AD931" s="29"/>
      <c r="AE931" s="32" t="s">
        <v>131</v>
      </c>
      <c r="AF931" s="32"/>
      <c r="AG931" s="1145">
        <f t="shared" ref="AG931:BL931" si="698">SUM(AG915:AG930)</f>
        <v>0</v>
      </c>
      <c r="AH931" s="1145">
        <f t="shared" si="698"/>
        <v>0</v>
      </c>
      <c r="AI931" s="1145">
        <f t="shared" si="698"/>
        <v>0</v>
      </c>
      <c r="AJ931" s="1145">
        <f t="shared" si="698"/>
        <v>0</v>
      </c>
      <c r="AK931" s="1145">
        <f t="shared" si="698"/>
        <v>0</v>
      </c>
      <c r="AL931" s="1145">
        <f t="shared" si="698"/>
        <v>0</v>
      </c>
      <c r="AM931" s="1145">
        <f t="shared" si="698"/>
        <v>0</v>
      </c>
      <c r="AN931" s="1145">
        <f t="shared" si="698"/>
        <v>0</v>
      </c>
      <c r="AO931" s="1145">
        <f t="shared" si="698"/>
        <v>0</v>
      </c>
      <c r="AP931" s="1145">
        <f t="shared" si="698"/>
        <v>0</v>
      </c>
      <c r="AQ931" s="1145">
        <f t="shared" si="698"/>
        <v>0</v>
      </c>
      <c r="AR931" s="1145">
        <f t="shared" si="698"/>
        <v>0</v>
      </c>
      <c r="AS931" s="1145">
        <f t="shared" si="698"/>
        <v>0</v>
      </c>
      <c r="AT931" s="1145">
        <f t="shared" si="698"/>
        <v>0</v>
      </c>
      <c r="AU931" s="1145">
        <f t="shared" si="698"/>
        <v>0</v>
      </c>
      <c r="AV931" s="1145">
        <f t="shared" si="698"/>
        <v>0</v>
      </c>
      <c r="AW931" s="1145">
        <f t="shared" si="698"/>
        <v>0</v>
      </c>
      <c r="AX931" s="1145">
        <f t="shared" si="698"/>
        <v>0</v>
      </c>
      <c r="AY931" s="1145">
        <f t="shared" si="698"/>
        <v>0</v>
      </c>
      <c r="AZ931" s="1145">
        <f t="shared" si="698"/>
        <v>0</v>
      </c>
      <c r="BA931" s="1145">
        <f t="shared" si="698"/>
        <v>0</v>
      </c>
      <c r="BB931" s="1145">
        <f t="shared" si="698"/>
        <v>0</v>
      </c>
      <c r="BC931" s="1145">
        <f t="shared" si="698"/>
        <v>0</v>
      </c>
      <c r="BD931" s="1145">
        <f t="shared" si="698"/>
        <v>0</v>
      </c>
      <c r="BE931" s="1145">
        <f t="shared" si="698"/>
        <v>0</v>
      </c>
      <c r="BF931" s="1145">
        <f t="shared" si="698"/>
        <v>0</v>
      </c>
      <c r="BG931" s="1145">
        <f t="shared" si="698"/>
        <v>0</v>
      </c>
      <c r="BH931" s="1145">
        <f t="shared" si="698"/>
        <v>0</v>
      </c>
      <c r="BI931" s="1145">
        <f t="shared" si="698"/>
        <v>0</v>
      </c>
      <c r="BJ931" s="1145">
        <f t="shared" si="698"/>
        <v>0</v>
      </c>
      <c r="BK931" s="1145">
        <f t="shared" si="698"/>
        <v>0</v>
      </c>
      <c r="BL931" s="1145">
        <f t="shared" si="698"/>
        <v>0</v>
      </c>
      <c r="BM931" s="1145">
        <f t="shared" ref="BM931:CR931" si="699">SUM(BM915:BM930)</f>
        <v>0</v>
      </c>
      <c r="BN931" s="1145">
        <f t="shared" si="699"/>
        <v>0</v>
      </c>
      <c r="BO931" s="1145">
        <f t="shared" si="699"/>
        <v>0</v>
      </c>
      <c r="BP931" s="1145">
        <f t="shared" si="699"/>
        <v>0</v>
      </c>
      <c r="BQ931" s="1145">
        <f t="shared" si="699"/>
        <v>0</v>
      </c>
      <c r="BR931" s="1145">
        <f t="shared" si="699"/>
        <v>0</v>
      </c>
      <c r="BS931" s="1145">
        <f t="shared" si="699"/>
        <v>0</v>
      </c>
      <c r="BT931" s="1145">
        <f t="shared" si="699"/>
        <v>0</v>
      </c>
      <c r="BU931" s="1145">
        <f t="shared" si="699"/>
        <v>0</v>
      </c>
      <c r="BV931" s="1145">
        <f t="shared" si="699"/>
        <v>0</v>
      </c>
      <c r="BW931" s="1145">
        <f t="shared" si="699"/>
        <v>0</v>
      </c>
      <c r="BX931" s="1145">
        <f t="shared" si="699"/>
        <v>0</v>
      </c>
      <c r="BY931" s="1145">
        <f t="shared" si="699"/>
        <v>0</v>
      </c>
      <c r="BZ931" s="1145">
        <f t="shared" si="699"/>
        <v>0</v>
      </c>
      <c r="CA931" s="1145">
        <f t="shared" si="699"/>
        <v>0</v>
      </c>
      <c r="CB931" s="1145">
        <f t="shared" si="699"/>
        <v>0</v>
      </c>
      <c r="CC931" s="1145">
        <f t="shared" si="699"/>
        <v>0</v>
      </c>
      <c r="CD931" s="1145">
        <f t="shared" si="699"/>
        <v>0</v>
      </c>
      <c r="CE931" s="1145">
        <f t="shared" si="699"/>
        <v>0</v>
      </c>
      <c r="CF931" s="1145">
        <f t="shared" si="699"/>
        <v>0</v>
      </c>
      <c r="CG931" s="1145">
        <f t="shared" si="699"/>
        <v>0</v>
      </c>
      <c r="CH931" s="1145">
        <f t="shared" si="699"/>
        <v>0</v>
      </c>
      <c r="CI931" s="1145">
        <f t="shared" si="699"/>
        <v>0</v>
      </c>
      <c r="CJ931" s="1145">
        <f t="shared" si="699"/>
        <v>0</v>
      </c>
      <c r="CK931" s="1145">
        <f t="shared" si="699"/>
        <v>0</v>
      </c>
      <c r="CL931" s="1145">
        <f t="shared" si="699"/>
        <v>0</v>
      </c>
      <c r="CM931" s="1145">
        <f t="shared" si="699"/>
        <v>0</v>
      </c>
      <c r="CN931" s="1145">
        <f t="shared" si="699"/>
        <v>0</v>
      </c>
      <c r="CO931" s="1145">
        <f t="shared" si="699"/>
        <v>0</v>
      </c>
      <c r="CP931" s="1145">
        <f t="shared" si="699"/>
        <v>0</v>
      </c>
      <c r="CQ931" s="1145">
        <f t="shared" si="699"/>
        <v>0</v>
      </c>
      <c r="CR931" s="1145">
        <f t="shared" si="699"/>
        <v>0</v>
      </c>
      <c r="CS931" s="1145">
        <f t="shared" ref="CS931:DX931" si="700">SUM(CS915:CS930)</f>
        <v>0</v>
      </c>
      <c r="CT931" s="1145">
        <f t="shared" si="700"/>
        <v>0</v>
      </c>
      <c r="CU931" s="1145">
        <f t="shared" si="700"/>
        <v>0</v>
      </c>
      <c r="CV931" s="1145">
        <f t="shared" si="700"/>
        <v>0</v>
      </c>
      <c r="CW931" s="1145">
        <f t="shared" si="700"/>
        <v>0</v>
      </c>
      <c r="CX931" s="1145">
        <f t="shared" si="700"/>
        <v>0</v>
      </c>
      <c r="CY931" s="1145">
        <f t="shared" si="700"/>
        <v>0</v>
      </c>
      <c r="CZ931" s="1145">
        <f t="shared" si="700"/>
        <v>0</v>
      </c>
      <c r="DA931" s="1145">
        <f t="shared" si="700"/>
        <v>0</v>
      </c>
      <c r="DB931" s="1145">
        <f t="shared" si="700"/>
        <v>0</v>
      </c>
      <c r="DC931" s="1145">
        <f t="shared" si="700"/>
        <v>0</v>
      </c>
      <c r="DD931" s="1145">
        <f t="shared" si="700"/>
        <v>0</v>
      </c>
      <c r="DE931" s="1145">
        <f t="shared" si="700"/>
        <v>0</v>
      </c>
      <c r="DF931" s="1145">
        <f t="shared" si="700"/>
        <v>0</v>
      </c>
      <c r="DG931" s="1145">
        <f t="shared" si="700"/>
        <v>0</v>
      </c>
      <c r="DH931" s="1145">
        <f t="shared" si="700"/>
        <v>0</v>
      </c>
      <c r="DI931" s="1145">
        <f t="shared" si="700"/>
        <v>0</v>
      </c>
      <c r="DJ931" s="1145">
        <f t="shared" si="700"/>
        <v>0</v>
      </c>
      <c r="DK931" s="1145">
        <f t="shared" si="700"/>
        <v>0</v>
      </c>
      <c r="DL931" s="1145">
        <f t="shared" si="700"/>
        <v>0</v>
      </c>
      <c r="DM931" s="1145">
        <f t="shared" si="700"/>
        <v>0</v>
      </c>
      <c r="DN931" s="1145">
        <f t="shared" si="700"/>
        <v>0</v>
      </c>
      <c r="DO931" s="1145">
        <f t="shared" si="700"/>
        <v>0</v>
      </c>
      <c r="DP931" s="1145">
        <f t="shared" si="700"/>
        <v>0</v>
      </c>
      <c r="DQ931" s="1145">
        <f t="shared" si="700"/>
        <v>0</v>
      </c>
      <c r="DR931" s="390">
        <f t="shared" si="700"/>
        <v>0</v>
      </c>
      <c r="DS931" s="390">
        <f t="shared" si="700"/>
        <v>0</v>
      </c>
      <c r="DT931" s="390">
        <f t="shared" si="700"/>
        <v>0</v>
      </c>
      <c r="DU931" s="390">
        <f t="shared" si="700"/>
        <v>0</v>
      </c>
      <c r="DV931" s="390">
        <f t="shared" si="700"/>
        <v>0</v>
      </c>
      <c r="DW931" s="390">
        <f t="shared" si="700"/>
        <v>0</v>
      </c>
      <c r="DX931" s="390">
        <f t="shared" si="700"/>
        <v>0</v>
      </c>
      <c r="DY931" s="390">
        <f t="shared" ref="DY931:EV931" si="701">SUM(DY915:DY930)</f>
        <v>0</v>
      </c>
      <c r="DZ931" s="390">
        <f t="shared" si="701"/>
        <v>0</v>
      </c>
      <c r="EA931" s="390">
        <f t="shared" si="701"/>
        <v>0</v>
      </c>
      <c r="EB931" s="390">
        <f t="shared" si="701"/>
        <v>0</v>
      </c>
      <c r="EC931" s="390">
        <f t="shared" si="701"/>
        <v>0</v>
      </c>
      <c r="ED931" s="390">
        <f t="shared" si="701"/>
        <v>0</v>
      </c>
      <c r="EE931" s="390">
        <f t="shared" si="701"/>
        <v>0</v>
      </c>
      <c r="EF931" s="390">
        <f t="shared" si="701"/>
        <v>0</v>
      </c>
      <c r="EG931" s="390">
        <f t="shared" si="701"/>
        <v>0</v>
      </c>
      <c r="EH931" s="390">
        <f t="shared" si="701"/>
        <v>0</v>
      </c>
      <c r="EI931" s="390">
        <f t="shared" si="701"/>
        <v>0</v>
      </c>
      <c r="EJ931" s="390">
        <f t="shared" si="701"/>
        <v>0</v>
      </c>
      <c r="EK931" s="390">
        <f t="shared" si="701"/>
        <v>0</v>
      </c>
      <c r="EL931" s="390">
        <f t="shared" si="701"/>
        <v>0</v>
      </c>
      <c r="EM931" s="390">
        <f t="shared" si="701"/>
        <v>0</v>
      </c>
      <c r="EN931" s="390">
        <f t="shared" si="701"/>
        <v>0</v>
      </c>
      <c r="EO931" s="390">
        <f t="shared" si="701"/>
        <v>0</v>
      </c>
      <c r="EP931" s="390">
        <f t="shared" si="701"/>
        <v>0</v>
      </c>
      <c r="EQ931" s="390">
        <f t="shared" si="701"/>
        <v>0</v>
      </c>
      <c r="ER931" s="390">
        <f t="shared" si="701"/>
        <v>0</v>
      </c>
      <c r="ES931" s="390">
        <f t="shared" si="701"/>
        <v>0</v>
      </c>
      <c r="ET931" s="390">
        <f t="shared" si="701"/>
        <v>0</v>
      </c>
      <c r="EU931" s="390">
        <f t="shared" si="701"/>
        <v>0</v>
      </c>
      <c r="EV931" s="390">
        <f t="shared" si="701"/>
        <v>0</v>
      </c>
    </row>
    <row r="932" spans="1:152" s="12" customFormat="1" ht="12" customHeight="1" x14ac:dyDescent="0.35">
      <c r="A932" s="84"/>
      <c r="B932" s="13"/>
      <c r="C932" s="13"/>
      <c r="D932" s="13"/>
      <c r="E932" s="13"/>
      <c r="F932" s="13"/>
      <c r="G932" s="1804"/>
      <c r="H932" s="1183"/>
      <c r="I932" s="1804"/>
      <c r="J932" s="1804"/>
      <c r="K932" s="141"/>
      <c r="L932" s="141"/>
      <c r="M932" s="141"/>
      <c r="N932" s="141"/>
      <c r="O932" s="141"/>
      <c r="P932" s="141"/>
      <c r="Q932" s="141"/>
      <c r="R932" s="31"/>
      <c r="S932" s="36"/>
      <c r="T932" s="376"/>
      <c r="U932" s="29"/>
      <c r="V932" s="29"/>
      <c r="W932" s="377"/>
      <c r="X932" s="376"/>
      <c r="Y932" s="29"/>
      <c r="Z932" s="29"/>
      <c r="AA932" s="29"/>
      <c r="AB932" s="29"/>
      <c r="AC932" s="29"/>
      <c r="AD932" s="29"/>
      <c r="AE932" s="29"/>
      <c r="AF932" s="376"/>
      <c r="AG932" s="380">
        <f>AG934+AG935</f>
        <v>0</v>
      </c>
      <c r="AH932" s="380">
        <f t="shared" ref="AH932:CS932" si="702">AH934+AH935</f>
        <v>0</v>
      </c>
      <c r="AI932" s="380">
        <f t="shared" si="702"/>
        <v>0</v>
      </c>
      <c r="AJ932" s="380">
        <f t="shared" si="702"/>
        <v>0</v>
      </c>
      <c r="AK932" s="380">
        <f t="shared" si="702"/>
        <v>0</v>
      </c>
      <c r="AL932" s="380">
        <f t="shared" si="702"/>
        <v>0</v>
      </c>
      <c r="AM932" s="380">
        <f t="shared" si="702"/>
        <v>0</v>
      </c>
      <c r="AN932" s="380">
        <f t="shared" si="702"/>
        <v>0</v>
      </c>
      <c r="AO932" s="380">
        <f t="shared" si="702"/>
        <v>0</v>
      </c>
      <c r="AP932" s="380">
        <f t="shared" si="702"/>
        <v>0</v>
      </c>
      <c r="AQ932" s="380">
        <f t="shared" si="702"/>
        <v>0</v>
      </c>
      <c r="AR932" s="380">
        <f t="shared" si="702"/>
        <v>0</v>
      </c>
      <c r="AS932" s="380">
        <f t="shared" si="702"/>
        <v>0</v>
      </c>
      <c r="AT932" s="380">
        <f t="shared" si="702"/>
        <v>0</v>
      </c>
      <c r="AU932" s="380">
        <f t="shared" si="702"/>
        <v>0</v>
      </c>
      <c r="AV932" s="380">
        <f t="shared" si="702"/>
        <v>0</v>
      </c>
      <c r="AW932" s="380">
        <f t="shared" si="702"/>
        <v>0</v>
      </c>
      <c r="AX932" s="380">
        <f t="shared" si="702"/>
        <v>0</v>
      </c>
      <c r="AY932" s="380">
        <f t="shared" si="702"/>
        <v>0</v>
      </c>
      <c r="AZ932" s="380">
        <f t="shared" si="702"/>
        <v>0</v>
      </c>
      <c r="BA932" s="380">
        <f t="shared" si="702"/>
        <v>0</v>
      </c>
      <c r="BB932" s="380">
        <f t="shared" si="702"/>
        <v>0</v>
      </c>
      <c r="BC932" s="380">
        <f t="shared" si="702"/>
        <v>0</v>
      </c>
      <c r="BD932" s="380">
        <f t="shared" si="702"/>
        <v>0</v>
      </c>
      <c r="BE932" s="380">
        <f t="shared" si="702"/>
        <v>0</v>
      </c>
      <c r="BF932" s="380">
        <f t="shared" si="702"/>
        <v>0</v>
      </c>
      <c r="BG932" s="380">
        <f t="shared" si="702"/>
        <v>0</v>
      </c>
      <c r="BH932" s="380">
        <f t="shared" si="702"/>
        <v>0</v>
      </c>
      <c r="BI932" s="380">
        <f t="shared" si="702"/>
        <v>0</v>
      </c>
      <c r="BJ932" s="380">
        <f t="shared" si="702"/>
        <v>0</v>
      </c>
      <c r="BK932" s="380">
        <f t="shared" si="702"/>
        <v>0</v>
      </c>
      <c r="BL932" s="380">
        <f t="shared" si="702"/>
        <v>0</v>
      </c>
      <c r="BM932" s="380">
        <f t="shared" si="702"/>
        <v>0</v>
      </c>
      <c r="BN932" s="380">
        <f t="shared" si="702"/>
        <v>0</v>
      </c>
      <c r="BO932" s="380">
        <f t="shared" si="702"/>
        <v>0</v>
      </c>
      <c r="BP932" s="380">
        <f t="shared" si="702"/>
        <v>0</v>
      </c>
      <c r="BQ932" s="380">
        <f t="shared" si="702"/>
        <v>0</v>
      </c>
      <c r="BR932" s="380">
        <f t="shared" si="702"/>
        <v>0</v>
      </c>
      <c r="BS932" s="380">
        <f t="shared" si="702"/>
        <v>0</v>
      </c>
      <c r="BT932" s="380">
        <f t="shared" si="702"/>
        <v>0</v>
      </c>
      <c r="BU932" s="380">
        <f t="shared" si="702"/>
        <v>0</v>
      </c>
      <c r="BV932" s="380">
        <f t="shared" si="702"/>
        <v>0</v>
      </c>
      <c r="BW932" s="380">
        <f t="shared" si="702"/>
        <v>0</v>
      </c>
      <c r="BX932" s="380">
        <f t="shared" si="702"/>
        <v>0</v>
      </c>
      <c r="BY932" s="380">
        <f t="shared" si="702"/>
        <v>0</v>
      </c>
      <c r="BZ932" s="380">
        <f t="shared" si="702"/>
        <v>0</v>
      </c>
      <c r="CA932" s="380">
        <f t="shared" si="702"/>
        <v>0</v>
      </c>
      <c r="CB932" s="380">
        <f t="shared" si="702"/>
        <v>0</v>
      </c>
      <c r="CC932" s="380">
        <f t="shared" si="702"/>
        <v>0</v>
      </c>
      <c r="CD932" s="380">
        <f t="shared" si="702"/>
        <v>0</v>
      </c>
      <c r="CE932" s="380">
        <f t="shared" si="702"/>
        <v>0</v>
      </c>
      <c r="CF932" s="380">
        <f t="shared" si="702"/>
        <v>0</v>
      </c>
      <c r="CG932" s="380">
        <f t="shared" si="702"/>
        <v>0</v>
      </c>
      <c r="CH932" s="380">
        <f t="shared" si="702"/>
        <v>0</v>
      </c>
      <c r="CI932" s="380">
        <f t="shared" si="702"/>
        <v>0</v>
      </c>
      <c r="CJ932" s="380">
        <f t="shared" si="702"/>
        <v>0</v>
      </c>
      <c r="CK932" s="380">
        <f t="shared" si="702"/>
        <v>0</v>
      </c>
      <c r="CL932" s="380">
        <f t="shared" si="702"/>
        <v>0</v>
      </c>
      <c r="CM932" s="380">
        <f t="shared" si="702"/>
        <v>0</v>
      </c>
      <c r="CN932" s="380">
        <f t="shared" si="702"/>
        <v>0</v>
      </c>
      <c r="CO932" s="380">
        <f t="shared" si="702"/>
        <v>0</v>
      </c>
      <c r="CP932" s="380">
        <f t="shared" si="702"/>
        <v>0</v>
      </c>
      <c r="CQ932" s="380">
        <f t="shared" si="702"/>
        <v>0</v>
      </c>
      <c r="CR932" s="380">
        <f t="shared" si="702"/>
        <v>0</v>
      </c>
      <c r="CS932" s="380">
        <f t="shared" si="702"/>
        <v>0</v>
      </c>
      <c r="CT932" s="380">
        <f t="shared" ref="CT932:EV932" si="703">CT934+CT935</f>
        <v>0</v>
      </c>
      <c r="CU932" s="380">
        <f t="shared" si="703"/>
        <v>0</v>
      </c>
      <c r="CV932" s="380">
        <f t="shared" si="703"/>
        <v>0</v>
      </c>
      <c r="CW932" s="380">
        <f t="shared" si="703"/>
        <v>0</v>
      </c>
      <c r="CX932" s="380">
        <f t="shared" si="703"/>
        <v>0</v>
      </c>
      <c r="CY932" s="380">
        <f t="shared" si="703"/>
        <v>0</v>
      </c>
      <c r="CZ932" s="380">
        <f t="shared" si="703"/>
        <v>0</v>
      </c>
      <c r="DA932" s="380">
        <f t="shared" si="703"/>
        <v>0</v>
      </c>
      <c r="DB932" s="380">
        <f t="shared" si="703"/>
        <v>0</v>
      </c>
      <c r="DC932" s="380">
        <f t="shared" si="703"/>
        <v>0</v>
      </c>
      <c r="DD932" s="380">
        <f t="shared" si="703"/>
        <v>0</v>
      </c>
      <c r="DE932" s="380">
        <f t="shared" si="703"/>
        <v>0</v>
      </c>
      <c r="DF932" s="380">
        <f t="shared" si="703"/>
        <v>0</v>
      </c>
      <c r="DG932" s="380">
        <f t="shared" si="703"/>
        <v>0</v>
      </c>
      <c r="DH932" s="380">
        <f t="shared" si="703"/>
        <v>0</v>
      </c>
      <c r="DI932" s="380">
        <f t="shared" si="703"/>
        <v>0</v>
      </c>
      <c r="DJ932" s="380">
        <f t="shared" si="703"/>
        <v>0</v>
      </c>
      <c r="DK932" s="380">
        <f t="shared" si="703"/>
        <v>0</v>
      </c>
      <c r="DL932" s="380">
        <f t="shared" si="703"/>
        <v>0</v>
      </c>
      <c r="DM932" s="380">
        <f t="shared" si="703"/>
        <v>0</v>
      </c>
      <c r="DN932" s="380">
        <f t="shared" si="703"/>
        <v>0</v>
      </c>
      <c r="DO932" s="380">
        <f t="shared" si="703"/>
        <v>0</v>
      </c>
      <c r="DP932" s="380">
        <f t="shared" si="703"/>
        <v>0</v>
      </c>
      <c r="DQ932" s="380">
        <f t="shared" si="703"/>
        <v>0</v>
      </c>
      <c r="DR932" s="379">
        <f t="shared" si="703"/>
        <v>0</v>
      </c>
      <c r="DS932" s="379">
        <f t="shared" si="703"/>
        <v>0</v>
      </c>
      <c r="DT932" s="379">
        <f t="shared" si="703"/>
        <v>0</v>
      </c>
      <c r="DU932" s="379">
        <f t="shared" si="703"/>
        <v>0</v>
      </c>
      <c r="DV932" s="379">
        <f t="shared" si="703"/>
        <v>0</v>
      </c>
      <c r="DW932" s="379">
        <f t="shared" si="703"/>
        <v>0</v>
      </c>
      <c r="DX932" s="379">
        <f t="shared" si="703"/>
        <v>0</v>
      </c>
      <c r="DY932" s="379">
        <f t="shared" si="703"/>
        <v>0</v>
      </c>
      <c r="DZ932" s="379">
        <f t="shared" si="703"/>
        <v>0</v>
      </c>
      <c r="EA932" s="379">
        <f t="shared" si="703"/>
        <v>0</v>
      </c>
      <c r="EB932" s="379">
        <f t="shared" si="703"/>
        <v>0</v>
      </c>
      <c r="EC932" s="379">
        <f t="shared" si="703"/>
        <v>0</v>
      </c>
      <c r="ED932" s="379">
        <f t="shared" si="703"/>
        <v>0</v>
      </c>
      <c r="EE932" s="379">
        <f t="shared" si="703"/>
        <v>0</v>
      </c>
      <c r="EF932" s="379">
        <f t="shared" si="703"/>
        <v>0</v>
      </c>
      <c r="EG932" s="379">
        <f t="shared" si="703"/>
        <v>0</v>
      </c>
      <c r="EH932" s="379">
        <f t="shared" si="703"/>
        <v>0</v>
      </c>
      <c r="EI932" s="379">
        <f t="shared" si="703"/>
        <v>0</v>
      </c>
      <c r="EJ932" s="379">
        <f t="shared" si="703"/>
        <v>0</v>
      </c>
      <c r="EK932" s="379">
        <f t="shared" si="703"/>
        <v>0</v>
      </c>
      <c r="EL932" s="379">
        <f t="shared" si="703"/>
        <v>0</v>
      </c>
      <c r="EM932" s="379">
        <f t="shared" si="703"/>
        <v>0</v>
      </c>
      <c r="EN932" s="379">
        <f t="shared" si="703"/>
        <v>0</v>
      </c>
      <c r="EO932" s="379">
        <f t="shared" si="703"/>
        <v>0</v>
      </c>
      <c r="EP932" s="379">
        <f t="shared" si="703"/>
        <v>0</v>
      </c>
      <c r="EQ932" s="379">
        <f t="shared" si="703"/>
        <v>0</v>
      </c>
      <c r="ER932" s="379">
        <f t="shared" si="703"/>
        <v>0</v>
      </c>
      <c r="ES932" s="379">
        <f t="shared" si="703"/>
        <v>0</v>
      </c>
      <c r="ET932" s="379">
        <f t="shared" si="703"/>
        <v>0</v>
      </c>
      <c r="EU932" s="379">
        <f t="shared" si="703"/>
        <v>0</v>
      </c>
      <c r="EV932" s="379">
        <f t="shared" si="703"/>
        <v>0</v>
      </c>
    </row>
    <row r="933" spans="1:152" s="12" customFormat="1" ht="12" customHeight="1" x14ac:dyDescent="0.35">
      <c r="A933" s="84"/>
      <c r="B933" s="13"/>
      <c r="C933" s="13"/>
      <c r="D933" s="13"/>
      <c r="E933" s="13"/>
      <c r="F933" s="13"/>
      <c r="G933" s="1804"/>
      <c r="H933" s="1183"/>
      <c r="I933" s="1804"/>
      <c r="J933" s="1804"/>
      <c r="K933" s="141"/>
      <c r="L933" s="141"/>
      <c r="M933" s="141"/>
      <c r="N933" s="141"/>
      <c r="O933" s="141"/>
      <c r="P933" s="141"/>
      <c r="Q933" s="141"/>
      <c r="R933" s="31"/>
      <c r="S933" s="387" t="s">
        <v>216</v>
      </c>
      <c r="T933" s="387" t="s">
        <v>461</v>
      </c>
      <c r="U933" s="388" t="s">
        <v>176</v>
      </c>
      <c r="V933" s="388" t="s">
        <v>554</v>
      </c>
      <c r="W933" s="388" t="s">
        <v>555</v>
      </c>
      <c r="X933" s="388" t="s">
        <v>2</v>
      </c>
      <c r="Y933" s="387" t="s">
        <v>464</v>
      </c>
      <c r="Z933" s="387" t="s">
        <v>496</v>
      </c>
      <c r="AA933" s="387" t="s">
        <v>557</v>
      </c>
      <c r="AB933" s="387" t="s">
        <v>558</v>
      </c>
      <c r="AC933" s="29"/>
      <c r="AD933" s="29"/>
      <c r="AE933" s="1804"/>
      <c r="AF933" s="1183"/>
      <c r="AG933" s="1142">
        <f>AG892</f>
        <v>0</v>
      </c>
      <c r="AH933" s="1142">
        <f t="shared" ref="AH933:CS933" si="704">AH892</f>
        <v>59</v>
      </c>
      <c r="AI933" s="1142">
        <f t="shared" si="704"/>
        <v>91</v>
      </c>
      <c r="AJ933" s="1142">
        <f t="shared" si="704"/>
        <v>121</v>
      </c>
      <c r="AK933" s="1142">
        <f t="shared" si="704"/>
        <v>152</v>
      </c>
      <c r="AL933" s="1142">
        <f t="shared" si="704"/>
        <v>182</v>
      </c>
      <c r="AM933" s="1142">
        <f t="shared" si="704"/>
        <v>213</v>
      </c>
      <c r="AN933" s="1142">
        <f t="shared" si="704"/>
        <v>244</v>
      </c>
      <c r="AO933" s="1142">
        <f t="shared" si="704"/>
        <v>274</v>
      </c>
      <c r="AP933" s="1142">
        <f t="shared" si="704"/>
        <v>305</v>
      </c>
      <c r="AQ933" s="1142">
        <f t="shared" si="704"/>
        <v>335</v>
      </c>
      <c r="AR933" s="1142">
        <f t="shared" si="704"/>
        <v>366</v>
      </c>
      <c r="AS933" s="1142">
        <f t="shared" si="704"/>
        <v>397</v>
      </c>
      <c r="AT933" s="1142">
        <f t="shared" si="704"/>
        <v>425</v>
      </c>
      <c r="AU933" s="1142">
        <f t="shared" si="704"/>
        <v>456</v>
      </c>
      <c r="AV933" s="1142">
        <f t="shared" si="704"/>
        <v>486</v>
      </c>
      <c r="AW933" s="1142">
        <f t="shared" si="704"/>
        <v>517</v>
      </c>
      <c r="AX933" s="1142">
        <f t="shared" si="704"/>
        <v>547</v>
      </c>
      <c r="AY933" s="1142">
        <f t="shared" si="704"/>
        <v>578</v>
      </c>
      <c r="AZ933" s="1142">
        <f t="shared" si="704"/>
        <v>609</v>
      </c>
      <c r="BA933" s="1142">
        <f t="shared" si="704"/>
        <v>639</v>
      </c>
      <c r="BB933" s="1142">
        <f t="shared" si="704"/>
        <v>670</v>
      </c>
      <c r="BC933" s="1142">
        <f t="shared" si="704"/>
        <v>700</v>
      </c>
      <c r="BD933" s="1142">
        <f t="shared" si="704"/>
        <v>731</v>
      </c>
      <c r="BE933" s="1142">
        <f t="shared" si="704"/>
        <v>762</v>
      </c>
      <c r="BF933" s="1142">
        <f t="shared" si="704"/>
        <v>790</v>
      </c>
      <c r="BG933" s="1142">
        <f t="shared" si="704"/>
        <v>821</v>
      </c>
      <c r="BH933" s="1142">
        <f t="shared" si="704"/>
        <v>851</v>
      </c>
      <c r="BI933" s="1142">
        <f t="shared" si="704"/>
        <v>882</v>
      </c>
      <c r="BJ933" s="1142">
        <f t="shared" si="704"/>
        <v>912</v>
      </c>
      <c r="BK933" s="1142">
        <f t="shared" si="704"/>
        <v>943</v>
      </c>
      <c r="BL933" s="1142">
        <f t="shared" si="704"/>
        <v>974</v>
      </c>
      <c r="BM933" s="1142">
        <f t="shared" si="704"/>
        <v>1004</v>
      </c>
      <c r="BN933" s="1142">
        <f t="shared" si="704"/>
        <v>1035</v>
      </c>
      <c r="BO933" s="1142">
        <f t="shared" si="704"/>
        <v>1065</v>
      </c>
      <c r="BP933" s="1142">
        <f t="shared" si="704"/>
        <v>1096</v>
      </c>
      <c r="BQ933" s="1142">
        <f t="shared" si="704"/>
        <v>1127</v>
      </c>
      <c r="BR933" s="1142">
        <f t="shared" si="704"/>
        <v>1155</v>
      </c>
      <c r="BS933" s="1142">
        <f t="shared" si="704"/>
        <v>1186</v>
      </c>
      <c r="BT933" s="1142">
        <f t="shared" si="704"/>
        <v>1216</v>
      </c>
      <c r="BU933" s="1142">
        <f t="shared" si="704"/>
        <v>1247</v>
      </c>
      <c r="BV933" s="1142">
        <f t="shared" si="704"/>
        <v>1277</v>
      </c>
      <c r="BW933" s="1142">
        <f t="shared" si="704"/>
        <v>1308</v>
      </c>
      <c r="BX933" s="1142">
        <f t="shared" si="704"/>
        <v>1339</v>
      </c>
      <c r="BY933" s="1142">
        <f t="shared" si="704"/>
        <v>1369</v>
      </c>
      <c r="BZ933" s="1142">
        <f t="shared" si="704"/>
        <v>1400</v>
      </c>
      <c r="CA933" s="1142">
        <f t="shared" si="704"/>
        <v>1430</v>
      </c>
      <c r="CB933" s="1142">
        <f t="shared" si="704"/>
        <v>1461</v>
      </c>
      <c r="CC933" s="1142">
        <f t="shared" si="704"/>
        <v>1492</v>
      </c>
      <c r="CD933" s="1142">
        <f t="shared" si="704"/>
        <v>1521</v>
      </c>
      <c r="CE933" s="1142">
        <f t="shared" si="704"/>
        <v>1552</v>
      </c>
      <c r="CF933" s="1142">
        <f t="shared" si="704"/>
        <v>1582</v>
      </c>
      <c r="CG933" s="1142">
        <f t="shared" si="704"/>
        <v>1613</v>
      </c>
      <c r="CH933" s="1142">
        <f t="shared" si="704"/>
        <v>1643</v>
      </c>
      <c r="CI933" s="1142">
        <f t="shared" si="704"/>
        <v>1674</v>
      </c>
      <c r="CJ933" s="1142">
        <f t="shared" si="704"/>
        <v>1705</v>
      </c>
      <c r="CK933" s="1142">
        <f t="shared" si="704"/>
        <v>1735</v>
      </c>
      <c r="CL933" s="1142">
        <f t="shared" si="704"/>
        <v>1766</v>
      </c>
      <c r="CM933" s="1142">
        <f t="shared" si="704"/>
        <v>1796</v>
      </c>
      <c r="CN933" s="1142">
        <f t="shared" si="704"/>
        <v>1827</v>
      </c>
      <c r="CO933" s="1142">
        <f t="shared" si="704"/>
        <v>1858</v>
      </c>
      <c r="CP933" s="1142">
        <f t="shared" si="704"/>
        <v>1886</v>
      </c>
      <c r="CQ933" s="1142">
        <f t="shared" si="704"/>
        <v>1917</v>
      </c>
      <c r="CR933" s="1142">
        <f t="shared" si="704"/>
        <v>1947</v>
      </c>
      <c r="CS933" s="1142">
        <f t="shared" si="704"/>
        <v>1978</v>
      </c>
      <c r="CT933" s="1142">
        <f t="shared" ref="CT933:EV933" si="705">CT892</f>
        <v>2008</v>
      </c>
      <c r="CU933" s="1142">
        <f t="shared" si="705"/>
        <v>2039</v>
      </c>
      <c r="CV933" s="1142">
        <f t="shared" si="705"/>
        <v>2070</v>
      </c>
      <c r="CW933" s="1142">
        <f t="shared" si="705"/>
        <v>2100</v>
      </c>
      <c r="CX933" s="1142">
        <f t="shared" si="705"/>
        <v>2131</v>
      </c>
      <c r="CY933" s="1142">
        <f t="shared" si="705"/>
        <v>2161</v>
      </c>
      <c r="CZ933" s="1142">
        <f t="shared" si="705"/>
        <v>2192</v>
      </c>
      <c r="DA933" s="1142">
        <f t="shared" si="705"/>
        <v>2223</v>
      </c>
      <c r="DB933" s="1142">
        <f t="shared" si="705"/>
        <v>2251</v>
      </c>
      <c r="DC933" s="1142">
        <f t="shared" si="705"/>
        <v>2282</v>
      </c>
      <c r="DD933" s="1142">
        <f t="shared" si="705"/>
        <v>2312</v>
      </c>
      <c r="DE933" s="1142">
        <f t="shared" si="705"/>
        <v>2343</v>
      </c>
      <c r="DF933" s="1142">
        <f t="shared" si="705"/>
        <v>2373</v>
      </c>
      <c r="DG933" s="1142">
        <f t="shared" si="705"/>
        <v>2404</v>
      </c>
      <c r="DH933" s="1142">
        <f t="shared" si="705"/>
        <v>2435</v>
      </c>
      <c r="DI933" s="1142">
        <f t="shared" si="705"/>
        <v>2465</v>
      </c>
      <c r="DJ933" s="1142">
        <f t="shared" si="705"/>
        <v>2496</v>
      </c>
      <c r="DK933" s="1142">
        <f t="shared" si="705"/>
        <v>2526</v>
      </c>
      <c r="DL933" s="1142">
        <f t="shared" si="705"/>
        <v>2557</v>
      </c>
      <c r="DM933" s="1142">
        <f t="shared" si="705"/>
        <v>2588</v>
      </c>
      <c r="DN933" s="1142">
        <f t="shared" si="705"/>
        <v>2616</v>
      </c>
      <c r="DO933" s="1142">
        <f t="shared" si="705"/>
        <v>2647</v>
      </c>
      <c r="DP933" s="1142">
        <f t="shared" si="705"/>
        <v>2677</v>
      </c>
      <c r="DQ933" s="1142">
        <f t="shared" si="705"/>
        <v>2708</v>
      </c>
      <c r="DR933" s="216">
        <f t="shared" si="705"/>
        <v>2738</v>
      </c>
      <c r="DS933" s="216">
        <f t="shared" si="705"/>
        <v>2769</v>
      </c>
      <c r="DT933" s="216">
        <f t="shared" si="705"/>
        <v>2800</v>
      </c>
      <c r="DU933" s="216">
        <f t="shared" si="705"/>
        <v>2830</v>
      </c>
      <c r="DV933" s="216">
        <f t="shared" si="705"/>
        <v>2861</v>
      </c>
      <c r="DW933" s="216">
        <f t="shared" si="705"/>
        <v>2891</v>
      </c>
      <c r="DX933" s="216">
        <f t="shared" si="705"/>
        <v>2922</v>
      </c>
      <c r="DY933" s="216">
        <f t="shared" si="705"/>
        <v>2953</v>
      </c>
      <c r="DZ933" s="216">
        <f t="shared" si="705"/>
        <v>2982</v>
      </c>
      <c r="EA933" s="216">
        <f t="shared" si="705"/>
        <v>3013</v>
      </c>
      <c r="EB933" s="216">
        <f t="shared" si="705"/>
        <v>3043</v>
      </c>
      <c r="EC933" s="216">
        <f t="shared" si="705"/>
        <v>3074</v>
      </c>
      <c r="ED933" s="216">
        <f t="shared" si="705"/>
        <v>3104</v>
      </c>
      <c r="EE933" s="216">
        <f t="shared" si="705"/>
        <v>3135</v>
      </c>
      <c r="EF933" s="216">
        <f t="shared" si="705"/>
        <v>3166</v>
      </c>
      <c r="EG933" s="216">
        <f t="shared" si="705"/>
        <v>3196</v>
      </c>
      <c r="EH933" s="216">
        <f t="shared" si="705"/>
        <v>3227</v>
      </c>
      <c r="EI933" s="216">
        <f t="shared" si="705"/>
        <v>3257</v>
      </c>
      <c r="EJ933" s="216">
        <f t="shared" si="705"/>
        <v>3288</v>
      </c>
      <c r="EK933" s="216">
        <f t="shared" si="705"/>
        <v>3319</v>
      </c>
      <c r="EL933" s="216">
        <f t="shared" si="705"/>
        <v>3347</v>
      </c>
      <c r="EM933" s="216">
        <f t="shared" si="705"/>
        <v>3378</v>
      </c>
      <c r="EN933" s="216">
        <f t="shared" si="705"/>
        <v>3408</v>
      </c>
      <c r="EO933" s="216">
        <f t="shared" si="705"/>
        <v>3439</v>
      </c>
      <c r="EP933" s="216">
        <f t="shared" si="705"/>
        <v>3469</v>
      </c>
      <c r="EQ933" s="216">
        <f t="shared" si="705"/>
        <v>3500</v>
      </c>
      <c r="ER933" s="216">
        <f t="shared" si="705"/>
        <v>3531</v>
      </c>
      <c r="ES933" s="216">
        <f t="shared" si="705"/>
        <v>3561</v>
      </c>
      <c r="ET933" s="216">
        <f t="shared" si="705"/>
        <v>3592</v>
      </c>
      <c r="EU933" s="216">
        <f t="shared" si="705"/>
        <v>3622</v>
      </c>
      <c r="EV933" s="216">
        <f t="shared" si="705"/>
        <v>3653</v>
      </c>
    </row>
    <row r="934" spans="1:152" s="12" customFormat="1" ht="12" customHeight="1" x14ac:dyDescent="0.35">
      <c r="A934" s="84"/>
      <c r="B934" s="13"/>
      <c r="C934" s="13"/>
      <c r="D934" s="13"/>
      <c r="E934" s="13"/>
      <c r="F934" s="13"/>
      <c r="G934" s="1804"/>
      <c r="H934" s="1183"/>
      <c r="I934" s="1804"/>
      <c r="J934" s="1804"/>
      <c r="K934" s="141"/>
      <c r="L934" s="141"/>
      <c r="M934" s="141"/>
      <c r="N934" s="971" t="e">
        <f>IRR(AG934:EV934)</f>
        <v>#NUM!</v>
      </c>
      <c r="O934" s="141"/>
      <c r="P934" s="141"/>
      <c r="Q934" s="141"/>
      <c r="R934" s="31"/>
      <c r="S934" s="376">
        <v>1</v>
      </c>
      <c r="T934" s="376" t="str">
        <f t="shared" ref="T934:T949" si="706">AE934</f>
        <v>Investor #1</v>
      </c>
      <c r="U934" s="62">
        <f>IFERROR(VLOOKUP($T934,$AE$875:$AG$890,2,0),0)</f>
        <v>0</v>
      </c>
      <c r="V934" s="728">
        <f>IFERROR(VLOOKUP($T934,$AE$875:$AG$890,3,0),0)</f>
        <v>0</v>
      </c>
      <c r="W934" s="62">
        <f>IFERROR(VLOOKUP($T934,$AA$895:$AB$910,2,0),0)</f>
        <v>0</v>
      </c>
      <c r="X934" s="214">
        <f>W934-U934</f>
        <v>0</v>
      </c>
      <c r="Y934" s="378">
        <f>IF(U934&gt;0,X934/U934,0)</f>
        <v>0</v>
      </c>
      <c r="Z934" s="214">
        <f>NPV(Input!$I$276,Calcs!AG934:EV934,Calcs!AG$933:EV$933)</f>
        <v>220911</v>
      </c>
      <c r="AA934" s="764">
        <f>IFERROR(IRR(AG934:EV934),0)</f>
        <v>0</v>
      </c>
      <c r="AB934" s="764">
        <f>(1+AA934)^12-1</f>
        <v>0</v>
      </c>
      <c r="AC934" s="29"/>
      <c r="AD934" s="29"/>
      <c r="AE934" s="376" t="str">
        <f t="shared" ref="AE934:AE949" si="707">AE841</f>
        <v>Investor #1</v>
      </c>
      <c r="AF934" s="376"/>
      <c r="AG934" s="763">
        <f t="shared" ref="AG934:AG949" si="708">SUMIF($AE$915:$AE$930,$AE934,AG$915:AG$930)</f>
        <v>0</v>
      </c>
      <c r="AH934" s="763">
        <f t="shared" ref="AH934:CS935" si="709">SUMIF($AE$915:$AE$930,$AE934,AH$915:AH$930)</f>
        <v>0</v>
      </c>
      <c r="AI934" s="763">
        <f t="shared" si="709"/>
        <v>0</v>
      </c>
      <c r="AJ934" s="763">
        <f t="shared" si="709"/>
        <v>0</v>
      </c>
      <c r="AK934" s="763">
        <f t="shared" si="709"/>
        <v>0</v>
      </c>
      <c r="AL934" s="763">
        <f t="shared" si="709"/>
        <v>0</v>
      </c>
      <c r="AM934" s="763">
        <f t="shared" si="709"/>
        <v>0</v>
      </c>
      <c r="AN934" s="763">
        <f t="shared" si="709"/>
        <v>0</v>
      </c>
      <c r="AO934" s="763">
        <f t="shared" si="709"/>
        <v>0</v>
      </c>
      <c r="AP934" s="763">
        <f t="shared" si="709"/>
        <v>0</v>
      </c>
      <c r="AQ934" s="763">
        <f t="shared" si="709"/>
        <v>0</v>
      </c>
      <c r="AR934" s="763">
        <f t="shared" si="709"/>
        <v>0</v>
      </c>
      <c r="AS934" s="763">
        <f t="shared" si="709"/>
        <v>0</v>
      </c>
      <c r="AT934" s="763">
        <f t="shared" si="709"/>
        <v>0</v>
      </c>
      <c r="AU934" s="763">
        <f t="shared" si="709"/>
        <v>0</v>
      </c>
      <c r="AV934" s="763">
        <f t="shared" si="709"/>
        <v>0</v>
      </c>
      <c r="AW934" s="763">
        <f t="shared" si="709"/>
        <v>0</v>
      </c>
      <c r="AX934" s="763">
        <f t="shared" si="709"/>
        <v>0</v>
      </c>
      <c r="AY934" s="763">
        <f t="shared" si="709"/>
        <v>0</v>
      </c>
      <c r="AZ934" s="763">
        <f t="shared" si="709"/>
        <v>0</v>
      </c>
      <c r="BA934" s="763">
        <f t="shared" si="709"/>
        <v>0</v>
      </c>
      <c r="BB934" s="763">
        <f t="shared" si="709"/>
        <v>0</v>
      </c>
      <c r="BC934" s="763">
        <f t="shared" si="709"/>
        <v>0</v>
      </c>
      <c r="BD934" s="763">
        <f t="shared" si="709"/>
        <v>0</v>
      </c>
      <c r="BE934" s="763">
        <f t="shared" si="709"/>
        <v>0</v>
      </c>
      <c r="BF934" s="763">
        <f t="shared" si="709"/>
        <v>0</v>
      </c>
      <c r="BG934" s="763">
        <f t="shared" si="709"/>
        <v>0</v>
      </c>
      <c r="BH934" s="763">
        <f t="shared" si="709"/>
        <v>0</v>
      </c>
      <c r="BI934" s="763">
        <f t="shared" si="709"/>
        <v>0</v>
      </c>
      <c r="BJ934" s="763">
        <f t="shared" si="709"/>
        <v>0</v>
      </c>
      <c r="BK934" s="763">
        <f t="shared" si="709"/>
        <v>0</v>
      </c>
      <c r="BL934" s="763">
        <f t="shared" si="709"/>
        <v>0</v>
      </c>
      <c r="BM934" s="763">
        <f t="shared" si="709"/>
        <v>0</v>
      </c>
      <c r="BN934" s="763">
        <f t="shared" si="709"/>
        <v>0</v>
      </c>
      <c r="BO934" s="763">
        <f t="shared" si="709"/>
        <v>0</v>
      </c>
      <c r="BP934" s="763">
        <f t="shared" si="709"/>
        <v>0</v>
      </c>
      <c r="BQ934" s="763">
        <f t="shared" si="709"/>
        <v>0</v>
      </c>
      <c r="BR934" s="763">
        <f t="shared" si="709"/>
        <v>0</v>
      </c>
      <c r="BS934" s="763">
        <f t="shared" si="709"/>
        <v>0</v>
      </c>
      <c r="BT934" s="763">
        <f t="shared" si="709"/>
        <v>0</v>
      </c>
      <c r="BU934" s="763">
        <f t="shared" si="709"/>
        <v>0</v>
      </c>
      <c r="BV934" s="763">
        <f t="shared" si="709"/>
        <v>0</v>
      </c>
      <c r="BW934" s="763">
        <f t="shared" si="709"/>
        <v>0</v>
      </c>
      <c r="BX934" s="763">
        <f t="shared" si="709"/>
        <v>0</v>
      </c>
      <c r="BY934" s="763">
        <f t="shared" si="709"/>
        <v>0</v>
      </c>
      <c r="BZ934" s="763">
        <f t="shared" si="709"/>
        <v>0</v>
      </c>
      <c r="CA934" s="763">
        <f t="shared" si="709"/>
        <v>0</v>
      </c>
      <c r="CB934" s="763">
        <f t="shared" si="709"/>
        <v>0</v>
      </c>
      <c r="CC934" s="763">
        <f t="shared" si="709"/>
        <v>0</v>
      </c>
      <c r="CD934" s="763">
        <f t="shared" si="709"/>
        <v>0</v>
      </c>
      <c r="CE934" s="763">
        <f t="shared" si="709"/>
        <v>0</v>
      </c>
      <c r="CF934" s="763">
        <f t="shared" si="709"/>
        <v>0</v>
      </c>
      <c r="CG934" s="763">
        <f t="shared" si="709"/>
        <v>0</v>
      </c>
      <c r="CH934" s="763">
        <f t="shared" si="709"/>
        <v>0</v>
      </c>
      <c r="CI934" s="763">
        <f t="shared" si="709"/>
        <v>0</v>
      </c>
      <c r="CJ934" s="763">
        <f t="shared" si="709"/>
        <v>0</v>
      </c>
      <c r="CK934" s="763">
        <f t="shared" si="709"/>
        <v>0</v>
      </c>
      <c r="CL934" s="763">
        <f t="shared" si="709"/>
        <v>0</v>
      </c>
      <c r="CM934" s="763">
        <f t="shared" si="709"/>
        <v>0</v>
      </c>
      <c r="CN934" s="763">
        <f t="shared" si="709"/>
        <v>0</v>
      </c>
      <c r="CO934" s="763">
        <f t="shared" si="709"/>
        <v>0</v>
      </c>
      <c r="CP934" s="763">
        <f t="shared" si="709"/>
        <v>0</v>
      </c>
      <c r="CQ934" s="763">
        <f t="shared" si="709"/>
        <v>0</v>
      </c>
      <c r="CR934" s="763">
        <f t="shared" si="709"/>
        <v>0</v>
      </c>
      <c r="CS934" s="763">
        <f t="shared" si="709"/>
        <v>0</v>
      </c>
      <c r="CT934" s="763">
        <f t="shared" ref="CT934:EV938" si="710">SUMIF($AE$915:$AE$930,$AE934,CT$915:CT$930)</f>
        <v>0</v>
      </c>
      <c r="CU934" s="763">
        <f t="shared" si="710"/>
        <v>0</v>
      </c>
      <c r="CV934" s="763">
        <f t="shared" si="710"/>
        <v>0</v>
      </c>
      <c r="CW934" s="763">
        <f t="shared" si="710"/>
        <v>0</v>
      </c>
      <c r="CX934" s="763">
        <f t="shared" si="710"/>
        <v>0</v>
      </c>
      <c r="CY934" s="763">
        <f t="shared" si="710"/>
        <v>0</v>
      </c>
      <c r="CZ934" s="763">
        <f t="shared" si="710"/>
        <v>0</v>
      </c>
      <c r="DA934" s="763">
        <f t="shared" si="710"/>
        <v>0</v>
      </c>
      <c r="DB934" s="763">
        <f t="shared" si="710"/>
        <v>0</v>
      </c>
      <c r="DC934" s="763">
        <f t="shared" si="710"/>
        <v>0</v>
      </c>
      <c r="DD934" s="763">
        <f t="shared" si="710"/>
        <v>0</v>
      </c>
      <c r="DE934" s="763">
        <f t="shared" si="710"/>
        <v>0</v>
      </c>
      <c r="DF934" s="763">
        <f t="shared" si="710"/>
        <v>0</v>
      </c>
      <c r="DG934" s="763">
        <f t="shared" si="710"/>
        <v>0</v>
      </c>
      <c r="DH934" s="763">
        <f t="shared" si="710"/>
        <v>0</v>
      </c>
      <c r="DI934" s="763">
        <f t="shared" si="710"/>
        <v>0</v>
      </c>
      <c r="DJ934" s="763">
        <f t="shared" si="710"/>
        <v>0</v>
      </c>
      <c r="DK934" s="763">
        <f t="shared" si="710"/>
        <v>0</v>
      </c>
      <c r="DL934" s="763">
        <f t="shared" si="710"/>
        <v>0</v>
      </c>
      <c r="DM934" s="763">
        <f t="shared" si="710"/>
        <v>0</v>
      </c>
      <c r="DN934" s="763">
        <f t="shared" si="710"/>
        <v>0</v>
      </c>
      <c r="DO934" s="763">
        <f t="shared" si="710"/>
        <v>0</v>
      </c>
      <c r="DP934" s="763">
        <f t="shared" si="710"/>
        <v>0</v>
      </c>
      <c r="DQ934" s="763">
        <f t="shared" si="710"/>
        <v>0</v>
      </c>
      <c r="DR934" s="763">
        <f t="shared" si="710"/>
        <v>0</v>
      </c>
      <c r="DS934" s="763">
        <f t="shared" si="710"/>
        <v>0</v>
      </c>
      <c r="DT934" s="763">
        <f t="shared" si="710"/>
        <v>0</v>
      </c>
      <c r="DU934" s="763">
        <f t="shared" si="710"/>
        <v>0</v>
      </c>
      <c r="DV934" s="763">
        <f t="shared" si="710"/>
        <v>0</v>
      </c>
      <c r="DW934" s="763">
        <f t="shared" si="710"/>
        <v>0</v>
      </c>
      <c r="DX934" s="763">
        <f t="shared" si="710"/>
        <v>0</v>
      </c>
      <c r="DY934" s="763">
        <f t="shared" si="710"/>
        <v>0</v>
      </c>
      <c r="DZ934" s="763">
        <f t="shared" si="710"/>
        <v>0</v>
      </c>
      <c r="EA934" s="763">
        <f t="shared" si="710"/>
        <v>0</v>
      </c>
      <c r="EB934" s="763">
        <f t="shared" si="710"/>
        <v>0</v>
      </c>
      <c r="EC934" s="763">
        <f t="shared" si="710"/>
        <v>0</v>
      </c>
      <c r="ED934" s="763">
        <f t="shared" si="710"/>
        <v>0</v>
      </c>
      <c r="EE934" s="763">
        <f t="shared" si="710"/>
        <v>0</v>
      </c>
      <c r="EF934" s="763">
        <f t="shared" si="710"/>
        <v>0</v>
      </c>
      <c r="EG934" s="763">
        <f t="shared" si="710"/>
        <v>0</v>
      </c>
      <c r="EH934" s="763">
        <f t="shared" si="710"/>
        <v>0</v>
      </c>
      <c r="EI934" s="763">
        <f t="shared" si="710"/>
        <v>0</v>
      </c>
      <c r="EJ934" s="763">
        <f t="shared" si="710"/>
        <v>0</v>
      </c>
      <c r="EK934" s="763">
        <f t="shared" si="710"/>
        <v>0</v>
      </c>
      <c r="EL934" s="763">
        <f t="shared" si="710"/>
        <v>0</v>
      </c>
      <c r="EM934" s="763">
        <f t="shared" si="710"/>
        <v>0</v>
      </c>
      <c r="EN934" s="763">
        <f t="shared" si="710"/>
        <v>0</v>
      </c>
      <c r="EO934" s="763">
        <f t="shared" si="710"/>
        <v>0</v>
      </c>
      <c r="EP934" s="763">
        <f t="shared" si="710"/>
        <v>0</v>
      </c>
      <c r="EQ934" s="763">
        <f t="shared" si="710"/>
        <v>0</v>
      </c>
      <c r="ER934" s="763">
        <f t="shared" si="710"/>
        <v>0</v>
      </c>
      <c r="ES934" s="763">
        <f t="shared" si="710"/>
        <v>0</v>
      </c>
      <c r="ET934" s="763">
        <f t="shared" si="710"/>
        <v>0</v>
      </c>
      <c r="EU934" s="763">
        <f t="shared" si="710"/>
        <v>0</v>
      </c>
      <c r="EV934" s="763">
        <f t="shared" si="710"/>
        <v>0</v>
      </c>
    </row>
    <row r="935" spans="1:152" s="12" customFormat="1" ht="12" customHeight="1" x14ac:dyDescent="0.35">
      <c r="A935" s="84"/>
      <c r="B935" s="13"/>
      <c r="C935" s="13"/>
      <c r="D935" s="13"/>
      <c r="E935" s="13"/>
      <c r="F935" s="13"/>
      <c r="G935" s="1804"/>
      <c r="H935" s="1183"/>
      <c r="I935" s="1804"/>
      <c r="J935" s="1804"/>
      <c r="K935" s="141"/>
      <c r="L935" s="141"/>
      <c r="M935" s="141"/>
      <c r="N935" s="141"/>
      <c r="O935" s="141"/>
      <c r="P935" s="141"/>
      <c r="Q935" s="141"/>
      <c r="R935" s="31"/>
      <c r="S935" s="376">
        <v>2</v>
      </c>
      <c r="T935" s="376">
        <f t="shared" si="706"/>
        <v>0</v>
      </c>
      <c r="U935" s="62">
        <f t="shared" ref="U935:U949" si="711">IFERROR(VLOOKUP($T935,$AE$882:$AG$897,2,0),0)</f>
        <v>0</v>
      </c>
      <c r="V935" s="728">
        <f t="shared" ref="V935:V949" si="712">IFERROR(VLOOKUP($T935,$AE$882:$AG$897,3,0),0)</f>
        <v>0</v>
      </c>
      <c r="W935" s="62">
        <f t="shared" ref="W935:W949" si="713">IFERROR(VLOOKUP($T935,$AA$902:$AB$917,2,0),0)</f>
        <v>0</v>
      </c>
      <c r="X935" s="214">
        <f t="shared" ref="X935:X949" si="714">W935-U935</f>
        <v>0</v>
      </c>
      <c r="Y935" s="378">
        <f t="shared" ref="Y935:Y949" si="715">IF(U935&gt;0,X935/U935,0)</f>
        <v>0</v>
      </c>
      <c r="Z935" s="214" t="e">
        <f>XNPV(Input!$I$276,Calcs!AG935:EV935,Calcs!AG$933:EV$933)</f>
        <v>#NUM!</v>
      </c>
      <c r="AA935" s="764">
        <f t="shared" ref="AA935:AA949" si="716">IFERROR(IRR(AG935:EV935),0)</f>
        <v>0</v>
      </c>
      <c r="AB935" s="764">
        <f t="shared" ref="AB935:AB949" si="717">(1+AA935)^12-1</f>
        <v>0</v>
      </c>
      <c r="AC935" s="29"/>
      <c r="AD935" s="29"/>
      <c r="AE935" s="376">
        <f t="shared" si="707"/>
        <v>0</v>
      </c>
      <c r="AF935" s="376"/>
      <c r="AG935" s="763">
        <f t="shared" si="708"/>
        <v>0</v>
      </c>
      <c r="AH935" s="763">
        <f t="shared" ref="AH935:AV935" si="718">SUMIF($AE$915:$AE$930,$AE935,AH$915:AH$930)</f>
        <v>0</v>
      </c>
      <c r="AI935" s="763">
        <f t="shared" si="718"/>
        <v>0</v>
      </c>
      <c r="AJ935" s="763">
        <f t="shared" si="718"/>
        <v>0</v>
      </c>
      <c r="AK935" s="763">
        <f t="shared" si="718"/>
        <v>0</v>
      </c>
      <c r="AL935" s="763">
        <f t="shared" si="718"/>
        <v>0</v>
      </c>
      <c r="AM935" s="763">
        <f t="shared" si="718"/>
        <v>0</v>
      </c>
      <c r="AN935" s="763">
        <f t="shared" si="718"/>
        <v>0</v>
      </c>
      <c r="AO935" s="763">
        <f t="shared" si="718"/>
        <v>0</v>
      </c>
      <c r="AP935" s="763">
        <f t="shared" si="718"/>
        <v>0</v>
      </c>
      <c r="AQ935" s="763">
        <f t="shared" si="718"/>
        <v>0</v>
      </c>
      <c r="AR935" s="763">
        <f t="shared" si="718"/>
        <v>0</v>
      </c>
      <c r="AS935" s="763">
        <f t="shared" si="718"/>
        <v>0</v>
      </c>
      <c r="AT935" s="763">
        <f t="shared" si="718"/>
        <v>0</v>
      </c>
      <c r="AU935" s="763">
        <f t="shared" si="718"/>
        <v>0</v>
      </c>
      <c r="AV935" s="763">
        <f t="shared" si="718"/>
        <v>0</v>
      </c>
      <c r="AW935" s="763">
        <f t="shared" si="709"/>
        <v>0</v>
      </c>
      <c r="AX935" s="763">
        <f t="shared" si="709"/>
        <v>0</v>
      </c>
      <c r="AY935" s="763">
        <f t="shared" si="709"/>
        <v>0</v>
      </c>
      <c r="AZ935" s="763">
        <f t="shared" si="709"/>
        <v>0</v>
      </c>
      <c r="BA935" s="763">
        <f t="shared" si="709"/>
        <v>0</v>
      </c>
      <c r="BB935" s="763">
        <f t="shared" si="709"/>
        <v>0</v>
      </c>
      <c r="BC935" s="763">
        <f t="shared" si="709"/>
        <v>0</v>
      </c>
      <c r="BD935" s="763">
        <f t="shared" si="709"/>
        <v>0</v>
      </c>
      <c r="BE935" s="763">
        <f t="shared" si="709"/>
        <v>0</v>
      </c>
      <c r="BF935" s="763">
        <f t="shared" si="709"/>
        <v>0</v>
      </c>
      <c r="BG935" s="763">
        <f t="shared" si="709"/>
        <v>0</v>
      </c>
      <c r="BH935" s="763">
        <f t="shared" si="709"/>
        <v>0</v>
      </c>
      <c r="BI935" s="763">
        <f t="shared" si="709"/>
        <v>0</v>
      </c>
      <c r="BJ935" s="763">
        <f t="shared" si="709"/>
        <v>0</v>
      </c>
      <c r="BK935" s="763">
        <f t="shared" si="709"/>
        <v>0</v>
      </c>
      <c r="BL935" s="763">
        <f t="shared" si="709"/>
        <v>0</v>
      </c>
      <c r="BM935" s="763">
        <f t="shared" si="709"/>
        <v>0</v>
      </c>
      <c r="BN935" s="763">
        <f t="shared" si="709"/>
        <v>0</v>
      </c>
      <c r="BO935" s="763">
        <f t="shared" si="709"/>
        <v>0</v>
      </c>
      <c r="BP935" s="763">
        <f t="shared" si="709"/>
        <v>0</v>
      </c>
      <c r="BQ935" s="763">
        <f t="shared" si="709"/>
        <v>0</v>
      </c>
      <c r="BR935" s="763">
        <f t="shared" si="709"/>
        <v>0</v>
      </c>
      <c r="BS935" s="763">
        <f t="shared" si="709"/>
        <v>0</v>
      </c>
      <c r="BT935" s="763">
        <f t="shared" si="709"/>
        <v>0</v>
      </c>
      <c r="BU935" s="763">
        <f t="shared" si="709"/>
        <v>0</v>
      </c>
      <c r="BV935" s="763">
        <f t="shared" si="709"/>
        <v>0</v>
      </c>
      <c r="BW935" s="763">
        <f t="shared" si="709"/>
        <v>0</v>
      </c>
      <c r="BX935" s="763">
        <f t="shared" si="709"/>
        <v>0</v>
      </c>
      <c r="BY935" s="763">
        <f t="shared" si="709"/>
        <v>0</v>
      </c>
      <c r="BZ935" s="763">
        <f t="shared" si="709"/>
        <v>0</v>
      </c>
      <c r="CA935" s="763">
        <f t="shared" si="709"/>
        <v>0</v>
      </c>
      <c r="CB935" s="763">
        <f t="shared" si="709"/>
        <v>0</v>
      </c>
      <c r="CC935" s="763">
        <f t="shared" si="709"/>
        <v>0</v>
      </c>
      <c r="CD935" s="763">
        <f t="shared" si="709"/>
        <v>0</v>
      </c>
      <c r="CE935" s="763">
        <f t="shared" si="709"/>
        <v>0</v>
      </c>
      <c r="CF935" s="763">
        <f t="shared" si="709"/>
        <v>0</v>
      </c>
      <c r="CG935" s="763">
        <f t="shared" si="709"/>
        <v>0</v>
      </c>
      <c r="CH935" s="763">
        <f t="shared" si="709"/>
        <v>0</v>
      </c>
      <c r="CI935" s="763">
        <f t="shared" si="709"/>
        <v>0</v>
      </c>
      <c r="CJ935" s="763">
        <f t="shared" si="709"/>
        <v>0</v>
      </c>
      <c r="CK935" s="763">
        <f t="shared" si="709"/>
        <v>0</v>
      </c>
      <c r="CL935" s="763">
        <f t="shared" si="709"/>
        <v>0</v>
      </c>
      <c r="CM935" s="763">
        <f t="shared" si="709"/>
        <v>0</v>
      </c>
      <c r="CN935" s="763">
        <f t="shared" si="709"/>
        <v>0</v>
      </c>
      <c r="CO935" s="763">
        <f t="shared" si="709"/>
        <v>0</v>
      </c>
      <c r="CP935" s="763">
        <f t="shared" si="709"/>
        <v>0</v>
      </c>
      <c r="CQ935" s="763">
        <f t="shared" si="709"/>
        <v>0</v>
      </c>
      <c r="CR935" s="763">
        <f t="shared" si="709"/>
        <v>0</v>
      </c>
      <c r="CS935" s="763">
        <f t="shared" si="709"/>
        <v>0</v>
      </c>
      <c r="CT935" s="763">
        <f t="shared" si="710"/>
        <v>0</v>
      </c>
      <c r="CU935" s="763">
        <f t="shared" si="710"/>
        <v>0</v>
      </c>
      <c r="CV935" s="763">
        <f t="shared" si="710"/>
        <v>0</v>
      </c>
      <c r="CW935" s="763">
        <f t="shared" si="710"/>
        <v>0</v>
      </c>
      <c r="CX935" s="763">
        <f t="shared" si="710"/>
        <v>0</v>
      </c>
      <c r="CY935" s="763">
        <f t="shared" si="710"/>
        <v>0</v>
      </c>
      <c r="CZ935" s="763">
        <f t="shared" si="710"/>
        <v>0</v>
      </c>
      <c r="DA935" s="763">
        <f t="shared" si="710"/>
        <v>0</v>
      </c>
      <c r="DB935" s="763">
        <f t="shared" si="710"/>
        <v>0</v>
      </c>
      <c r="DC935" s="763">
        <f t="shared" si="710"/>
        <v>0</v>
      </c>
      <c r="DD935" s="763">
        <f t="shared" si="710"/>
        <v>0</v>
      </c>
      <c r="DE935" s="763">
        <f t="shared" si="710"/>
        <v>0</v>
      </c>
      <c r="DF935" s="763">
        <f t="shared" si="710"/>
        <v>0</v>
      </c>
      <c r="DG935" s="763">
        <f t="shared" si="710"/>
        <v>0</v>
      </c>
      <c r="DH935" s="763">
        <f t="shared" si="710"/>
        <v>0</v>
      </c>
      <c r="DI935" s="763">
        <f t="shared" si="710"/>
        <v>0</v>
      </c>
      <c r="DJ935" s="763">
        <f t="shared" si="710"/>
        <v>0</v>
      </c>
      <c r="DK935" s="763">
        <f t="shared" si="710"/>
        <v>0</v>
      </c>
      <c r="DL935" s="763">
        <f t="shared" si="710"/>
        <v>0</v>
      </c>
      <c r="DM935" s="763">
        <f t="shared" si="710"/>
        <v>0</v>
      </c>
      <c r="DN935" s="763">
        <f t="shared" si="710"/>
        <v>0</v>
      </c>
      <c r="DO935" s="763">
        <f t="shared" si="710"/>
        <v>0</v>
      </c>
      <c r="DP935" s="763">
        <f t="shared" si="710"/>
        <v>0</v>
      </c>
      <c r="DQ935" s="763">
        <f t="shared" si="710"/>
        <v>0</v>
      </c>
      <c r="DR935" s="763">
        <f t="shared" si="710"/>
        <v>0</v>
      </c>
      <c r="DS935" s="763">
        <f t="shared" si="710"/>
        <v>0</v>
      </c>
      <c r="DT935" s="763">
        <f t="shared" si="710"/>
        <v>0</v>
      </c>
      <c r="DU935" s="763">
        <f t="shared" si="710"/>
        <v>0</v>
      </c>
      <c r="DV935" s="763">
        <f t="shared" si="710"/>
        <v>0</v>
      </c>
      <c r="DW935" s="763">
        <f t="shared" si="710"/>
        <v>0</v>
      </c>
      <c r="DX935" s="763">
        <f t="shared" si="710"/>
        <v>0</v>
      </c>
      <c r="DY935" s="763">
        <f t="shared" si="710"/>
        <v>0</v>
      </c>
      <c r="DZ935" s="763">
        <f t="shared" si="710"/>
        <v>0</v>
      </c>
      <c r="EA935" s="763">
        <f t="shared" si="710"/>
        <v>0</v>
      </c>
      <c r="EB935" s="763">
        <f t="shared" si="710"/>
        <v>0</v>
      </c>
      <c r="EC935" s="763">
        <f t="shared" si="710"/>
        <v>0</v>
      </c>
      <c r="ED935" s="763">
        <f t="shared" si="710"/>
        <v>0</v>
      </c>
      <c r="EE935" s="763">
        <f t="shared" si="710"/>
        <v>0</v>
      </c>
      <c r="EF935" s="763">
        <f t="shared" si="710"/>
        <v>0</v>
      </c>
      <c r="EG935" s="763">
        <f t="shared" si="710"/>
        <v>0</v>
      </c>
      <c r="EH935" s="763">
        <f t="shared" si="710"/>
        <v>0</v>
      </c>
      <c r="EI935" s="763">
        <f t="shared" si="710"/>
        <v>0</v>
      </c>
      <c r="EJ935" s="763">
        <f t="shared" si="710"/>
        <v>0</v>
      </c>
      <c r="EK935" s="763">
        <f t="shared" si="710"/>
        <v>0</v>
      </c>
      <c r="EL935" s="763">
        <f t="shared" si="710"/>
        <v>0</v>
      </c>
      <c r="EM935" s="763">
        <f t="shared" si="710"/>
        <v>0</v>
      </c>
      <c r="EN935" s="763">
        <f t="shared" si="710"/>
        <v>0</v>
      </c>
      <c r="EO935" s="763">
        <f t="shared" si="710"/>
        <v>0</v>
      </c>
      <c r="EP935" s="763">
        <f t="shared" si="710"/>
        <v>0</v>
      </c>
      <c r="EQ935" s="763">
        <f t="shared" si="710"/>
        <v>0</v>
      </c>
      <c r="ER935" s="763">
        <f t="shared" si="710"/>
        <v>0</v>
      </c>
      <c r="ES935" s="763">
        <f t="shared" si="710"/>
        <v>0</v>
      </c>
      <c r="ET935" s="763">
        <f t="shared" si="710"/>
        <v>0</v>
      </c>
      <c r="EU935" s="763">
        <f t="shared" si="710"/>
        <v>0</v>
      </c>
      <c r="EV935" s="763">
        <f t="shared" si="710"/>
        <v>0</v>
      </c>
    </row>
    <row r="936" spans="1:152" s="12" customFormat="1" ht="12" customHeight="1" x14ac:dyDescent="0.35">
      <c r="A936" s="84"/>
      <c r="B936" s="13"/>
      <c r="C936" s="13"/>
      <c r="D936" s="13"/>
      <c r="E936" s="13"/>
      <c r="F936" s="13"/>
      <c r="G936" s="1804"/>
      <c r="H936" s="1183"/>
      <c r="I936" s="1804"/>
      <c r="J936" s="1804"/>
      <c r="K936" s="141"/>
      <c r="L936" s="141"/>
      <c r="M936" s="141"/>
      <c r="N936" s="141"/>
      <c r="O936" s="141"/>
      <c r="P936" s="141"/>
      <c r="Q936" s="141"/>
      <c r="R936" s="31"/>
      <c r="S936" s="376">
        <v>3</v>
      </c>
      <c r="T936" s="376">
        <f t="shared" si="706"/>
        <v>0</v>
      </c>
      <c r="U936" s="62">
        <f t="shared" si="711"/>
        <v>0</v>
      </c>
      <c r="V936" s="728">
        <f t="shared" si="712"/>
        <v>0</v>
      </c>
      <c r="W936" s="62">
        <f t="shared" si="713"/>
        <v>0</v>
      </c>
      <c r="X936" s="214">
        <f t="shared" si="714"/>
        <v>0</v>
      </c>
      <c r="Y936" s="378">
        <f t="shared" si="715"/>
        <v>0</v>
      </c>
      <c r="Z936" s="214" t="e">
        <f>XNPV(Input!$I$276,Calcs!AG936:EV936,Calcs!AG$933:EV$933)</f>
        <v>#NUM!</v>
      </c>
      <c r="AA936" s="764">
        <f t="shared" si="716"/>
        <v>0</v>
      </c>
      <c r="AB936" s="764">
        <f t="shared" si="717"/>
        <v>0</v>
      </c>
      <c r="AC936" s="29"/>
      <c r="AD936" s="29"/>
      <c r="AE936" s="376">
        <f t="shared" si="707"/>
        <v>0</v>
      </c>
      <c r="AF936" s="376"/>
      <c r="AG936" s="763">
        <f t="shared" si="708"/>
        <v>0</v>
      </c>
      <c r="AH936" s="763">
        <f t="shared" ref="AH936:CS939" si="719">SUMIF($AE$915:$AE$930,$AE936,AH$915:AH$930)</f>
        <v>0</v>
      </c>
      <c r="AI936" s="763">
        <f t="shared" si="719"/>
        <v>0</v>
      </c>
      <c r="AJ936" s="763">
        <f t="shared" si="719"/>
        <v>0</v>
      </c>
      <c r="AK936" s="763">
        <f t="shared" si="719"/>
        <v>0</v>
      </c>
      <c r="AL936" s="763">
        <f t="shared" si="719"/>
        <v>0</v>
      </c>
      <c r="AM936" s="763">
        <f t="shared" si="719"/>
        <v>0</v>
      </c>
      <c r="AN936" s="763">
        <f t="shared" si="719"/>
        <v>0</v>
      </c>
      <c r="AO936" s="763">
        <f t="shared" si="719"/>
        <v>0</v>
      </c>
      <c r="AP936" s="763">
        <f t="shared" si="719"/>
        <v>0</v>
      </c>
      <c r="AQ936" s="763">
        <f t="shared" si="719"/>
        <v>0</v>
      </c>
      <c r="AR936" s="763">
        <f t="shared" si="719"/>
        <v>0</v>
      </c>
      <c r="AS936" s="763">
        <f t="shared" si="719"/>
        <v>0</v>
      </c>
      <c r="AT936" s="763">
        <f t="shared" si="719"/>
        <v>0</v>
      </c>
      <c r="AU936" s="763">
        <f t="shared" si="719"/>
        <v>0</v>
      </c>
      <c r="AV936" s="763">
        <f t="shared" si="719"/>
        <v>0</v>
      </c>
      <c r="AW936" s="763">
        <f t="shared" si="719"/>
        <v>0</v>
      </c>
      <c r="AX936" s="763">
        <f t="shared" si="719"/>
        <v>0</v>
      </c>
      <c r="AY936" s="763">
        <f t="shared" si="719"/>
        <v>0</v>
      </c>
      <c r="AZ936" s="763">
        <f t="shared" si="719"/>
        <v>0</v>
      </c>
      <c r="BA936" s="763">
        <f t="shared" si="719"/>
        <v>0</v>
      </c>
      <c r="BB936" s="763">
        <f t="shared" si="719"/>
        <v>0</v>
      </c>
      <c r="BC936" s="763">
        <f t="shared" si="719"/>
        <v>0</v>
      </c>
      <c r="BD936" s="763">
        <f t="shared" si="719"/>
        <v>0</v>
      </c>
      <c r="BE936" s="763">
        <f t="shared" si="719"/>
        <v>0</v>
      </c>
      <c r="BF936" s="763">
        <f t="shared" si="719"/>
        <v>0</v>
      </c>
      <c r="BG936" s="763">
        <f t="shared" si="719"/>
        <v>0</v>
      </c>
      <c r="BH936" s="763">
        <f t="shared" si="719"/>
        <v>0</v>
      </c>
      <c r="BI936" s="763">
        <f t="shared" si="719"/>
        <v>0</v>
      </c>
      <c r="BJ936" s="763">
        <f t="shared" si="719"/>
        <v>0</v>
      </c>
      <c r="BK936" s="763">
        <f t="shared" si="719"/>
        <v>0</v>
      </c>
      <c r="BL936" s="763">
        <f t="shared" si="719"/>
        <v>0</v>
      </c>
      <c r="BM936" s="763">
        <f t="shared" si="719"/>
        <v>0</v>
      </c>
      <c r="BN936" s="763">
        <f t="shared" si="719"/>
        <v>0</v>
      </c>
      <c r="BO936" s="763">
        <f t="shared" si="719"/>
        <v>0</v>
      </c>
      <c r="BP936" s="763">
        <f t="shared" si="719"/>
        <v>0</v>
      </c>
      <c r="BQ936" s="763">
        <f t="shared" si="719"/>
        <v>0</v>
      </c>
      <c r="BR936" s="763">
        <f t="shared" si="719"/>
        <v>0</v>
      </c>
      <c r="BS936" s="763">
        <f t="shared" si="719"/>
        <v>0</v>
      </c>
      <c r="BT936" s="763">
        <f t="shared" si="719"/>
        <v>0</v>
      </c>
      <c r="BU936" s="763">
        <f t="shared" si="719"/>
        <v>0</v>
      </c>
      <c r="BV936" s="763">
        <f t="shared" si="719"/>
        <v>0</v>
      </c>
      <c r="BW936" s="763">
        <f t="shared" si="719"/>
        <v>0</v>
      </c>
      <c r="BX936" s="763">
        <f t="shared" si="719"/>
        <v>0</v>
      </c>
      <c r="BY936" s="763">
        <f t="shared" si="719"/>
        <v>0</v>
      </c>
      <c r="BZ936" s="763">
        <f t="shared" si="719"/>
        <v>0</v>
      </c>
      <c r="CA936" s="763">
        <f t="shared" si="719"/>
        <v>0</v>
      </c>
      <c r="CB936" s="763">
        <f t="shared" si="719"/>
        <v>0</v>
      </c>
      <c r="CC936" s="763">
        <f t="shared" si="719"/>
        <v>0</v>
      </c>
      <c r="CD936" s="763">
        <f t="shared" si="719"/>
        <v>0</v>
      </c>
      <c r="CE936" s="763">
        <f t="shared" si="719"/>
        <v>0</v>
      </c>
      <c r="CF936" s="763">
        <f t="shared" si="719"/>
        <v>0</v>
      </c>
      <c r="CG936" s="763">
        <f t="shared" si="719"/>
        <v>0</v>
      </c>
      <c r="CH936" s="763">
        <f t="shared" si="719"/>
        <v>0</v>
      </c>
      <c r="CI936" s="763">
        <f t="shared" si="719"/>
        <v>0</v>
      </c>
      <c r="CJ936" s="763">
        <f t="shared" si="719"/>
        <v>0</v>
      </c>
      <c r="CK936" s="763">
        <f t="shared" si="719"/>
        <v>0</v>
      </c>
      <c r="CL936" s="763">
        <f t="shared" si="719"/>
        <v>0</v>
      </c>
      <c r="CM936" s="763">
        <f t="shared" si="719"/>
        <v>0</v>
      </c>
      <c r="CN936" s="763">
        <f t="shared" si="719"/>
        <v>0</v>
      </c>
      <c r="CO936" s="763">
        <f t="shared" si="719"/>
        <v>0</v>
      </c>
      <c r="CP936" s="763">
        <f t="shared" si="719"/>
        <v>0</v>
      </c>
      <c r="CQ936" s="763">
        <f t="shared" si="719"/>
        <v>0</v>
      </c>
      <c r="CR936" s="763">
        <f t="shared" si="719"/>
        <v>0</v>
      </c>
      <c r="CS936" s="763">
        <f t="shared" si="719"/>
        <v>0</v>
      </c>
      <c r="CT936" s="763">
        <f t="shared" si="710"/>
        <v>0</v>
      </c>
      <c r="CU936" s="763">
        <f t="shared" si="710"/>
        <v>0</v>
      </c>
      <c r="CV936" s="763">
        <f t="shared" si="710"/>
        <v>0</v>
      </c>
      <c r="CW936" s="763">
        <f t="shared" si="710"/>
        <v>0</v>
      </c>
      <c r="CX936" s="763">
        <f t="shared" si="710"/>
        <v>0</v>
      </c>
      <c r="CY936" s="763">
        <f t="shared" si="710"/>
        <v>0</v>
      </c>
      <c r="CZ936" s="763">
        <f t="shared" si="710"/>
        <v>0</v>
      </c>
      <c r="DA936" s="763">
        <f t="shared" si="710"/>
        <v>0</v>
      </c>
      <c r="DB936" s="763">
        <f t="shared" si="710"/>
        <v>0</v>
      </c>
      <c r="DC936" s="763">
        <f t="shared" si="710"/>
        <v>0</v>
      </c>
      <c r="DD936" s="763">
        <f t="shared" si="710"/>
        <v>0</v>
      </c>
      <c r="DE936" s="763">
        <f t="shared" si="710"/>
        <v>0</v>
      </c>
      <c r="DF936" s="763">
        <f t="shared" si="710"/>
        <v>0</v>
      </c>
      <c r="DG936" s="763">
        <f t="shared" si="710"/>
        <v>0</v>
      </c>
      <c r="DH936" s="763">
        <f t="shared" si="710"/>
        <v>0</v>
      </c>
      <c r="DI936" s="763">
        <f t="shared" si="710"/>
        <v>0</v>
      </c>
      <c r="DJ936" s="763">
        <f t="shared" si="710"/>
        <v>0</v>
      </c>
      <c r="DK936" s="763">
        <f t="shared" si="710"/>
        <v>0</v>
      </c>
      <c r="DL936" s="763">
        <f t="shared" si="710"/>
        <v>0</v>
      </c>
      <c r="DM936" s="763">
        <f t="shared" si="710"/>
        <v>0</v>
      </c>
      <c r="DN936" s="763">
        <f t="shared" si="710"/>
        <v>0</v>
      </c>
      <c r="DO936" s="763">
        <f t="shared" si="710"/>
        <v>0</v>
      </c>
      <c r="DP936" s="763">
        <f t="shared" si="710"/>
        <v>0</v>
      </c>
      <c r="DQ936" s="763">
        <f t="shared" si="710"/>
        <v>0</v>
      </c>
      <c r="DR936" s="763">
        <f t="shared" si="710"/>
        <v>0</v>
      </c>
      <c r="DS936" s="763">
        <f t="shared" si="710"/>
        <v>0</v>
      </c>
      <c r="DT936" s="763">
        <f t="shared" si="710"/>
        <v>0</v>
      </c>
      <c r="DU936" s="763">
        <f t="shared" si="710"/>
        <v>0</v>
      </c>
      <c r="DV936" s="763">
        <f t="shared" si="710"/>
        <v>0</v>
      </c>
      <c r="DW936" s="763">
        <f t="shared" si="710"/>
        <v>0</v>
      </c>
      <c r="DX936" s="763">
        <f t="shared" si="710"/>
        <v>0</v>
      </c>
      <c r="DY936" s="763">
        <f t="shared" si="710"/>
        <v>0</v>
      </c>
      <c r="DZ936" s="763">
        <f t="shared" si="710"/>
        <v>0</v>
      </c>
      <c r="EA936" s="763">
        <f t="shared" si="710"/>
        <v>0</v>
      </c>
      <c r="EB936" s="763">
        <f t="shared" si="710"/>
        <v>0</v>
      </c>
      <c r="EC936" s="763">
        <f t="shared" si="710"/>
        <v>0</v>
      </c>
      <c r="ED936" s="763">
        <f t="shared" si="710"/>
        <v>0</v>
      </c>
      <c r="EE936" s="763">
        <f t="shared" si="710"/>
        <v>0</v>
      </c>
      <c r="EF936" s="763">
        <f t="shared" si="710"/>
        <v>0</v>
      </c>
      <c r="EG936" s="763">
        <f t="shared" si="710"/>
        <v>0</v>
      </c>
      <c r="EH936" s="763">
        <f t="shared" si="710"/>
        <v>0</v>
      </c>
      <c r="EI936" s="763">
        <f t="shared" si="710"/>
        <v>0</v>
      </c>
      <c r="EJ936" s="763">
        <f t="shared" si="710"/>
        <v>0</v>
      </c>
      <c r="EK936" s="763">
        <f t="shared" si="710"/>
        <v>0</v>
      </c>
      <c r="EL936" s="763">
        <f t="shared" si="710"/>
        <v>0</v>
      </c>
      <c r="EM936" s="763">
        <f t="shared" si="710"/>
        <v>0</v>
      </c>
      <c r="EN936" s="763">
        <f t="shared" si="710"/>
        <v>0</v>
      </c>
      <c r="EO936" s="763">
        <f t="shared" si="710"/>
        <v>0</v>
      </c>
      <c r="EP936" s="763">
        <f t="shared" si="710"/>
        <v>0</v>
      </c>
      <c r="EQ936" s="763">
        <f t="shared" si="710"/>
        <v>0</v>
      </c>
      <c r="ER936" s="763">
        <f t="shared" si="710"/>
        <v>0</v>
      </c>
      <c r="ES936" s="763">
        <f t="shared" si="710"/>
        <v>0</v>
      </c>
      <c r="ET936" s="763">
        <f t="shared" si="710"/>
        <v>0</v>
      </c>
      <c r="EU936" s="763">
        <f t="shared" si="710"/>
        <v>0</v>
      </c>
      <c r="EV936" s="763">
        <f t="shared" si="710"/>
        <v>0</v>
      </c>
    </row>
    <row r="937" spans="1:152" s="12" customFormat="1" ht="12" customHeight="1" x14ac:dyDescent="0.35">
      <c r="A937" s="84"/>
      <c r="B937" s="13"/>
      <c r="C937" s="13"/>
      <c r="D937" s="13"/>
      <c r="E937" s="13"/>
      <c r="F937" s="13"/>
      <c r="G937" s="1804"/>
      <c r="H937" s="1183"/>
      <c r="I937" s="1804"/>
      <c r="J937" s="1804"/>
      <c r="K937" s="141"/>
      <c r="L937" s="141"/>
      <c r="M937" s="141"/>
      <c r="N937" s="971" t="e">
        <f>XIRR(AG934:EV934,AG892:EV892,0.8)*12</f>
        <v>#NUM!</v>
      </c>
      <c r="O937" s="141"/>
      <c r="P937" s="141"/>
      <c r="Q937" s="141"/>
      <c r="R937" s="31"/>
      <c r="S937" s="376">
        <v>4</v>
      </c>
      <c r="T937" s="376">
        <f t="shared" si="706"/>
        <v>0</v>
      </c>
      <c r="U937" s="62">
        <f t="shared" si="711"/>
        <v>0</v>
      </c>
      <c r="V937" s="728">
        <f t="shared" si="712"/>
        <v>0</v>
      </c>
      <c r="W937" s="62">
        <f t="shared" si="713"/>
        <v>0</v>
      </c>
      <c r="X937" s="214">
        <f t="shared" si="714"/>
        <v>0</v>
      </c>
      <c r="Y937" s="378">
        <f t="shared" si="715"/>
        <v>0</v>
      </c>
      <c r="Z937" s="214" t="e">
        <f>XNPV(Input!$I$276,Calcs!AG937:EV937,Calcs!AG$933:EV$933)</f>
        <v>#NUM!</v>
      </c>
      <c r="AA937" s="764">
        <f t="shared" si="716"/>
        <v>0</v>
      </c>
      <c r="AB937" s="764">
        <f t="shared" si="717"/>
        <v>0</v>
      </c>
      <c r="AC937" s="29"/>
      <c r="AD937" s="29"/>
      <c r="AE937" s="376">
        <f t="shared" si="707"/>
        <v>0</v>
      </c>
      <c r="AF937" s="376"/>
      <c r="AG937" s="763">
        <f t="shared" si="708"/>
        <v>0</v>
      </c>
      <c r="AH937" s="763">
        <f t="shared" si="719"/>
        <v>0</v>
      </c>
      <c r="AI937" s="763">
        <f t="shared" si="719"/>
        <v>0</v>
      </c>
      <c r="AJ937" s="763">
        <f t="shared" si="719"/>
        <v>0</v>
      </c>
      <c r="AK937" s="763">
        <f t="shared" si="719"/>
        <v>0</v>
      </c>
      <c r="AL937" s="763">
        <f t="shared" si="719"/>
        <v>0</v>
      </c>
      <c r="AM937" s="763">
        <f t="shared" si="719"/>
        <v>0</v>
      </c>
      <c r="AN937" s="763">
        <f t="shared" si="719"/>
        <v>0</v>
      </c>
      <c r="AO937" s="763">
        <f t="shared" si="719"/>
        <v>0</v>
      </c>
      <c r="AP937" s="763">
        <f t="shared" si="719"/>
        <v>0</v>
      </c>
      <c r="AQ937" s="763">
        <f t="shared" si="719"/>
        <v>0</v>
      </c>
      <c r="AR937" s="763">
        <f t="shared" si="719"/>
        <v>0</v>
      </c>
      <c r="AS937" s="763">
        <f t="shared" si="719"/>
        <v>0</v>
      </c>
      <c r="AT937" s="763">
        <f t="shared" si="719"/>
        <v>0</v>
      </c>
      <c r="AU937" s="763">
        <f t="shared" si="719"/>
        <v>0</v>
      </c>
      <c r="AV937" s="763">
        <f t="shared" si="719"/>
        <v>0</v>
      </c>
      <c r="AW937" s="763">
        <f t="shared" si="719"/>
        <v>0</v>
      </c>
      <c r="AX937" s="763">
        <f t="shared" si="719"/>
        <v>0</v>
      </c>
      <c r="AY937" s="763">
        <f t="shared" si="719"/>
        <v>0</v>
      </c>
      <c r="AZ937" s="763">
        <f t="shared" si="719"/>
        <v>0</v>
      </c>
      <c r="BA937" s="763">
        <f t="shared" si="719"/>
        <v>0</v>
      </c>
      <c r="BB937" s="763">
        <f t="shared" si="719"/>
        <v>0</v>
      </c>
      <c r="BC937" s="763">
        <f t="shared" si="719"/>
        <v>0</v>
      </c>
      <c r="BD937" s="763">
        <f t="shared" si="719"/>
        <v>0</v>
      </c>
      <c r="BE937" s="763">
        <f t="shared" si="719"/>
        <v>0</v>
      </c>
      <c r="BF937" s="763">
        <f t="shared" si="719"/>
        <v>0</v>
      </c>
      <c r="BG937" s="763">
        <f t="shared" si="719"/>
        <v>0</v>
      </c>
      <c r="BH937" s="763">
        <f t="shared" si="719"/>
        <v>0</v>
      </c>
      <c r="BI937" s="763">
        <f t="shared" si="719"/>
        <v>0</v>
      </c>
      <c r="BJ937" s="763">
        <f t="shared" si="719"/>
        <v>0</v>
      </c>
      <c r="BK937" s="763">
        <f t="shared" si="719"/>
        <v>0</v>
      </c>
      <c r="BL937" s="763">
        <f t="shared" si="719"/>
        <v>0</v>
      </c>
      <c r="BM937" s="763">
        <f t="shared" si="719"/>
        <v>0</v>
      </c>
      <c r="BN937" s="763">
        <f t="shared" si="719"/>
        <v>0</v>
      </c>
      <c r="BO937" s="763">
        <f t="shared" si="719"/>
        <v>0</v>
      </c>
      <c r="BP937" s="763">
        <f t="shared" si="719"/>
        <v>0</v>
      </c>
      <c r="BQ937" s="763">
        <f t="shared" si="719"/>
        <v>0</v>
      </c>
      <c r="BR937" s="763">
        <f t="shared" si="719"/>
        <v>0</v>
      </c>
      <c r="BS937" s="763">
        <f t="shared" si="719"/>
        <v>0</v>
      </c>
      <c r="BT937" s="763">
        <f t="shared" si="719"/>
        <v>0</v>
      </c>
      <c r="BU937" s="763">
        <f t="shared" si="719"/>
        <v>0</v>
      </c>
      <c r="BV937" s="763">
        <f t="shared" si="719"/>
        <v>0</v>
      </c>
      <c r="BW937" s="763">
        <f t="shared" si="719"/>
        <v>0</v>
      </c>
      <c r="BX937" s="763">
        <f t="shared" si="719"/>
        <v>0</v>
      </c>
      <c r="BY937" s="763">
        <f t="shared" si="719"/>
        <v>0</v>
      </c>
      <c r="BZ937" s="763">
        <f t="shared" si="719"/>
        <v>0</v>
      </c>
      <c r="CA937" s="763">
        <f t="shared" si="719"/>
        <v>0</v>
      </c>
      <c r="CB937" s="763">
        <f t="shared" si="719"/>
        <v>0</v>
      </c>
      <c r="CC937" s="763">
        <f t="shared" si="719"/>
        <v>0</v>
      </c>
      <c r="CD937" s="763">
        <f t="shared" si="719"/>
        <v>0</v>
      </c>
      <c r="CE937" s="763">
        <f t="shared" si="719"/>
        <v>0</v>
      </c>
      <c r="CF937" s="763">
        <f t="shared" si="719"/>
        <v>0</v>
      </c>
      <c r="CG937" s="763">
        <f t="shared" si="719"/>
        <v>0</v>
      </c>
      <c r="CH937" s="763">
        <f t="shared" si="719"/>
        <v>0</v>
      </c>
      <c r="CI937" s="763">
        <f t="shared" si="719"/>
        <v>0</v>
      </c>
      <c r="CJ937" s="763">
        <f t="shared" si="719"/>
        <v>0</v>
      </c>
      <c r="CK937" s="763">
        <f t="shared" si="719"/>
        <v>0</v>
      </c>
      <c r="CL937" s="763">
        <f t="shared" si="719"/>
        <v>0</v>
      </c>
      <c r="CM937" s="763">
        <f t="shared" si="719"/>
        <v>0</v>
      </c>
      <c r="CN937" s="763">
        <f t="shared" si="719"/>
        <v>0</v>
      </c>
      <c r="CO937" s="763">
        <f t="shared" si="719"/>
        <v>0</v>
      </c>
      <c r="CP937" s="763">
        <f t="shared" si="719"/>
        <v>0</v>
      </c>
      <c r="CQ937" s="763">
        <f t="shared" si="719"/>
        <v>0</v>
      </c>
      <c r="CR937" s="763">
        <f t="shared" si="719"/>
        <v>0</v>
      </c>
      <c r="CS937" s="763">
        <f t="shared" si="719"/>
        <v>0</v>
      </c>
      <c r="CT937" s="763">
        <f t="shared" si="710"/>
        <v>0</v>
      </c>
      <c r="CU937" s="763">
        <f t="shared" si="710"/>
        <v>0</v>
      </c>
      <c r="CV937" s="763">
        <f t="shared" si="710"/>
        <v>0</v>
      </c>
      <c r="CW937" s="763">
        <f t="shared" si="710"/>
        <v>0</v>
      </c>
      <c r="CX937" s="763">
        <f t="shared" si="710"/>
        <v>0</v>
      </c>
      <c r="CY937" s="763">
        <f t="shared" si="710"/>
        <v>0</v>
      </c>
      <c r="CZ937" s="763">
        <f t="shared" si="710"/>
        <v>0</v>
      </c>
      <c r="DA937" s="763">
        <f t="shared" si="710"/>
        <v>0</v>
      </c>
      <c r="DB937" s="763">
        <f t="shared" si="710"/>
        <v>0</v>
      </c>
      <c r="DC937" s="763">
        <f t="shared" si="710"/>
        <v>0</v>
      </c>
      <c r="DD937" s="763">
        <f t="shared" si="710"/>
        <v>0</v>
      </c>
      <c r="DE937" s="763">
        <f t="shared" si="710"/>
        <v>0</v>
      </c>
      <c r="DF937" s="763">
        <f t="shared" si="710"/>
        <v>0</v>
      </c>
      <c r="DG937" s="763">
        <f t="shared" si="710"/>
        <v>0</v>
      </c>
      <c r="DH937" s="763">
        <f t="shared" si="710"/>
        <v>0</v>
      </c>
      <c r="DI937" s="763">
        <f t="shared" si="710"/>
        <v>0</v>
      </c>
      <c r="DJ937" s="763">
        <f t="shared" si="710"/>
        <v>0</v>
      </c>
      <c r="DK937" s="763">
        <f t="shared" si="710"/>
        <v>0</v>
      </c>
      <c r="DL937" s="763">
        <f t="shared" si="710"/>
        <v>0</v>
      </c>
      <c r="DM937" s="763">
        <f t="shared" si="710"/>
        <v>0</v>
      </c>
      <c r="DN937" s="763">
        <f t="shared" si="710"/>
        <v>0</v>
      </c>
      <c r="DO937" s="763">
        <f t="shared" si="710"/>
        <v>0</v>
      </c>
      <c r="DP937" s="763">
        <f t="shared" si="710"/>
        <v>0</v>
      </c>
      <c r="DQ937" s="763">
        <f t="shared" si="710"/>
        <v>0</v>
      </c>
      <c r="DR937" s="763">
        <f t="shared" si="710"/>
        <v>0</v>
      </c>
      <c r="DS937" s="763">
        <f t="shared" si="710"/>
        <v>0</v>
      </c>
      <c r="DT937" s="763">
        <f t="shared" si="710"/>
        <v>0</v>
      </c>
      <c r="DU937" s="763">
        <f t="shared" si="710"/>
        <v>0</v>
      </c>
      <c r="DV937" s="763">
        <f t="shared" si="710"/>
        <v>0</v>
      </c>
      <c r="DW937" s="763">
        <f t="shared" si="710"/>
        <v>0</v>
      </c>
      <c r="DX937" s="763">
        <f t="shared" si="710"/>
        <v>0</v>
      </c>
      <c r="DY937" s="763">
        <f t="shared" si="710"/>
        <v>0</v>
      </c>
      <c r="DZ937" s="763">
        <f t="shared" si="710"/>
        <v>0</v>
      </c>
      <c r="EA937" s="763">
        <f t="shared" si="710"/>
        <v>0</v>
      </c>
      <c r="EB937" s="763">
        <f t="shared" si="710"/>
        <v>0</v>
      </c>
      <c r="EC937" s="763">
        <f t="shared" si="710"/>
        <v>0</v>
      </c>
      <c r="ED937" s="763">
        <f t="shared" si="710"/>
        <v>0</v>
      </c>
      <c r="EE937" s="763">
        <f t="shared" si="710"/>
        <v>0</v>
      </c>
      <c r="EF937" s="763">
        <f t="shared" si="710"/>
        <v>0</v>
      </c>
      <c r="EG937" s="763">
        <f t="shared" si="710"/>
        <v>0</v>
      </c>
      <c r="EH937" s="763">
        <f t="shared" si="710"/>
        <v>0</v>
      </c>
      <c r="EI937" s="763">
        <f t="shared" si="710"/>
        <v>0</v>
      </c>
      <c r="EJ937" s="763">
        <f t="shared" si="710"/>
        <v>0</v>
      </c>
      <c r="EK937" s="763">
        <f t="shared" si="710"/>
        <v>0</v>
      </c>
      <c r="EL937" s="763">
        <f t="shared" si="710"/>
        <v>0</v>
      </c>
      <c r="EM937" s="763">
        <f t="shared" si="710"/>
        <v>0</v>
      </c>
      <c r="EN937" s="763">
        <f t="shared" si="710"/>
        <v>0</v>
      </c>
      <c r="EO937" s="763">
        <f t="shared" si="710"/>
        <v>0</v>
      </c>
      <c r="EP937" s="763">
        <f t="shared" si="710"/>
        <v>0</v>
      </c>
      <c r="EQ937" s="763">
        <f t="shared" si="710"/>
        <v>0</v>
      </c>
      <c r="ER937" s="763">
        <f t="shared" si="710"/>
        <v>0</v>
      </c>
      <c r="ES937" s="763">
        <f t="shared" si="710"/>
        <v>0</v>
      </c>
      <c r="ET937" s="763">
        <f t="shared" si="710"/>
        <v>0</v>
      </c>
      <c r="EU937" s="763">
        <f t="shared" si="710"/>
        <v>0</v>
      </c>
      <c r="EV937" s="763">
        <f t="shared" si="710"/>
        <v>0</v>
      </c>
    </row>
    <row r="938" spans="1:152" s="12" customFormat="1" ht="12" customHeight="1" x14ac:dyDescent="0.35">
      <c r="A938" s="84"/>
      <c r="B938" s="13"/>
      <c r="C938" s="13"/>
      <c r="D938" s="13"/>
      <c r="E938" s="13"/>
      <c r="F938" s="13"/>
      <c r="G938" s="1804"/>
      <c r="H938" s="1183"/>
      <c r="I938" s="1804"/>
      <c r="J938" s="1804"/>
      <c r="K938" s="141"/>
      <c r="L938" s="141"/>
      <c r="M938" s="141"/>
      <c r="N938" s="141"/>
      <c r="O938" s="141"/>
      <c r="P938" s="141"/>
      <c r="Q938" s="141"/>
      <c r="R938" s="31"/>
      <c r="S938" s="376">
        <v>5</v>
      </c>
      <c r="T938" s="376">
        <f t="shared" si="706"/>
        <v>0</v>
      </c>
      <c r="U938" s="62">
        <f t="shared" si="711"/>
        <v>0</v>
      </c>
      <c r="V938" s="728">
        <f t="shared" si="712"/>
        <v>0</v>
      </c>
      <c r="W938" s="62">
        <f t="shared" si="713"/>
        <v>0</v>
      </c>
      <c r="X938" s="214">
        <f t="shared" si="714"/>
        <v>0</v>
      </c>
      <c r="Y938" s="378">
        <f t="shared" si="715"/>
        <v>0</v>
      </c>
      <c r="Z938" s="214" t="e">
        <f>XNPV(Input!$I$276,Calcs!AG938:EV938,Calcs!AG$933:EV$933)</f>
        <v>#NUM!</v>
      </c>
      <c r="AA938" s="764">
        <f t="shared" si="716"/>
        <v>0</v>
      </c>
      <c r="AB938" s="764">
        <f t="shared" si="717"/>
        <v>0</v>
      </c>
      <c r="AC938" s="29"/>
      <c r="AD938" s="29"/>
      <c r="AE938" s="376">
        <f t="shared" si="707"/>
        <v>0</v>
      </c>
      <c r="AF938" s="376"/>
      <c r="AG938" s="763">
        <f t="shared" si="708"/>
        <v>0</v>
      </c>
      <c r="AH938" s="763">
        <f t="shared" si="719"/>
        <v>0</v>
      </c>
      <c r="AI938" s="763">
        <f t="shared" si="719"/>
        <v>0</v>
      </c>
      <c r="AJ938" s="763">
        <f t="shared" si="719"/>
        <v>0</v>
      </c>
      <c r="AK938" s="763">
        <f t="shared" si="719"/>
        <v>0</v>
      </c>
      <c r="AL938" s="763">
        <f t="shared" si="719"/>
        <v>0</v>
      </c>
      <c r="AM938" s="763">
        <f t="shared" si="719"/>
        <v>0</v>
      </c>
      <c r="AN938" s="763">
        <f t="shared" si="719"/>
        <v>0</v>
      </c>
      <c r="AO938" s="763">
        <f t="shared" si="719"/>
        <v>0</v>
      </c>
      <c r="AP938" s="763">
        <f t="shared" si="719"/>
        <v>0</v>
      </c>
      <c r="AQ938" s="763">
        <f t="shared" si="719"/>
        <v>0</v>
      </c>
      <c r="AR938" s="763">
        <f t="shared" si="719"/>
        <v>0</v>
      </c>
      <c r="AS938" s="763">
        <f t="shared" si="719"/>
        <v>0</v>
      </c>
      <c r="AT938" s="763">
        <f t="shared" si="719"/>
        <v>0</v>
      </c>
      <c r="AU938" s="763">
        <f t="shared" si="719"/>
        <v>0</v>
      </c>
      <c r="AV938" s="763">
        <f t="shared" si="719"/>
        <v>0</v>
      </c>
      <c r="AW938" s="763">
        <f t="shared" si="719"/>
        <v>0</v>
      </c>
      <c r="AX938" s="763">
        <f t="shared" si="719"/>
        <v>0</v>
      </c>
      <c r="AY938" s="763">
        <f t="shared" si="719"/>
        <v>0</v>
      </c>
      <c r="AZ938" s="763">
        <f t="shared" si="719"/>
        <v>0</v>
      </c>
      <c r="BA938" s="763">
        <f t="shared" si="719"/>
        <v>0</v>
      </c>
      <c r="BB938" s="763">
        <f t="shared" si="719"/>
        <v>0</v>
      </c>
      <c r="BC938" s="763">
        <f t="shared" si="719"/>
        <v>0</v>
      </c>
      <c r="BD938" s="763">
        <f t="shared" si="719"/>
        <v>0</v>
      </c>
      <c r="BE938" s="763">
        <f t="shared" si="719"/>
        <v>0</v>
      </c>
      <c r="BF938" s="763">
        <f t="shared" si="719"/>
        <v>0</v>
      </c>
      <c r="BG938" s="763">
        <f t="shared" si="719"/>
        <v>0</v>
      </c>
      <c r="BH938" s="763">
        <f t="shared" si="719"/>
        <v>0</v>
      </c>
      <c r="BI938" s="763">
        <f t="shared" si="719"/>
        <v>0</v>
      </c>
      <c r="BJ938" s="763">
        <f t="shared" si="719"/>
        <v>0</v>
      </c>
      <c r="BK938" s="763">
        <f t="shared" si="719"/>
        <v>0</v>
      </c>
      <c r="BL938" s="763">
        <f t="shared" si="719"/>
        <v>0</v>
      </c>
      <c r="BM938" s="763">
        <f t="shared" si="719"/>
        <v>0</v>
      </c>
      <c r="BN938" s="763">
        <f t="shared" si="719"/>
        <v>0</v>
      </c>
      <c r="BO938" s="763">
        <f t="shared" si="719"/>
        <v>0</v>
      </c>
      <c r="BP938" s="763">
        <f t="shared" si="719"/>
        <v>0</v>
      </c>
      <c r="BQ938" s="763">
        <f t="shared" si="719"/>
        <v>0</v>
      </c>
      <c r="BR938" s="763">
        <f t="shared" si="719"/>
        <v>0</v>
      </c>
      <c r="BS938" s="763">
        <f t="shared" si="719"/>
        <v>0</v>
      </c>
      <c r="BT938" s="763">
        <f t="shared" si="719"/>
        <v>0</v>
      </c>
      <c r="BU938" s="763">
        <f t="shared" si="719"/>
        <v>0</v>
      </c>
      <c r="BV938" s="763">
        <f t="shared" si="719"/>
        <v>0</v>
      </c>
      <c r="BW938" s="763">
        <f t="shared" si="719"/>
        <v>0</v>
      </c>
      <c r="BX938" s="763">
        <f t="shared" si="719"/>
        <v>0</v>
      </c>
      <c r="BY938" s="763">
        <f t="shared" si="719"/>
        <v>0</v>
      </c>
      <c r="BZ938" s="763">
        <f t="shared" si="719"/>
        <v>0</v>
      </c>
      <c r="CA938" s="763">
        <f t="shared" si="719"/>
        <v>0</v>
      </c>
      <c r="CB938" s="763">
        <f t="shared" si="719"/>
        <v>0</v>
      </c>
      <c r="CC938" s="763">
        <f t="shared" si="719"/>
        <v>0</v>
      </c>
      <c r="CD938" s="763">
        <f t="shared" si="719"/>
        <v>0</v>
      </c>
      <c r="CE938" s="763">
        <f t="shared" si="719"/>
        <v>0</v>
      </c>
      <c r="CF938" s="763">
        <f t="shared" si="719"/>
        <v>0</v>
      </c>
      <c r="CG938" s="763">
        <f t="shared" si="719"/>
        <v>0</v>
      </c>
      <c r="CH938" s="763">
        <f t="shared" si="719"/>
        <v>0</v>
      </c>
      <c r="CI938" s="763">
        <f t="shared" si="719"/>
        <v>0</v>
      </c>
      <c r="CJ938" s="763">
        <f t="shared" si="719"/>
        <v>0</v>
      </c>
      <c r="CK938" s="763">
        <f t="shared" si="719"/>
        <v>0</v>
      </c>
      <c r="CL938" s="763">
        <f t="shared" si="719"/>
        <v>0</v>
      </c>
      <c r="CM938" s="763">
        <f t="shared" si="719"/>
        <v>0</v>
      </c>
      <c r="CN938" s="763">
        <f t="shared" si="719"/>
        <v>0</v>
      </c>
      <c r="CO938" s="763">
        <f t="shared" si="719"/>
        <v>0</v>
      </c>
      <c r="CP938" s="763">
        <f t="shared" si="719"/>
        <v>0</v>
      </c>
      <c r="CQ938" s="763">
        <f t="shared" si="719"/>
        <v>0</v>
      </c>
      <c r="CR938" s="763">
        <f t="shared" si="719"/>
        <v>0</v>
      </c>
      <c r="CS938" s="763">
        <f t="shared" si="719"/>
        <v>0</v>
      </c>
      <c r="CT938" s="763">
        <f t="shared" si="710"/>
        <v>0</v>
      </c>
      <c r="CU938" s="763">
        <f t="shared" si="710"/>
        <v>0</v>
      </c>
      <c r="CV938" s="763">
        <f t="shared" si="710"/>
        <v>0</v>
      </c>
      <c r="CW938" s="763">
        <f t="shared" si="710"/>
        <v>0</v>
      </c>
      <c r="CX938" s="763">
        <f t="shared" si="710"/>
        <v>0</v>
      </c>
      <c r="CY938" s="763">
        <f t="shared" si="710"/>
        <v>0</v>
      </c>
      <c r="CZ938" s="763">
        <f t="shared" si="710"/>
        <v>0</v>
      </c>
      <c r="DA938" s="763">
        <f t="shared" si="710"/>
        <v>0</v>
      </c>
      <c r="DB938" s="763">
        <f t="shared" si="710"/>
        <v>0</v>
      </c>
      <c r="DC938" s="763">
        <f t="shared" si="710"/>
        <v>0</v>
      </c>
      <c r="DD938" s="763">
        <f t="shared" si="710"/>
        <v>0</v>
      </c>
      <c r="DE938" s="763">
        <f t="shared" si="710"/>
        <v>0</v>
      </c>
      <c r="DF938" s="763">
        <f t="shared" si="710"/>
        <v>0</v>
      </c>
      <c r="DG938" s="763">
        <f t="shared" si="710"/>
        <v>0</v>
      </c>
      <c r="DH938" s="763">
        <f t="shared" si="710"/>
        <v>0</v>
      </c>
      <c r="DI938" s="763">
        <f t="shared" si="710"/>
        <v>0</v>
      </c>
      <c r="DJ938" s="763">
        <f t="shared" si="710"/>
        <v>0</v>
      </c>
      <c r="DK938" s="763">
        <f t="shared" si="710"/>
        <v>0</v>
      </c>
      <c r="DL938" s="763">
        <f t="shared" si="710"/>
        <v>0</v>
      </c>
      <c r="DM938" s="763">
        <f t="shared" si="710"/>
        <v>0</v>
      </c>
      <c r="DN938" s="763">
        <f t="shared" si="710"/>
        <v>0</v>
      </c>
      <c r="DO938" s="763">
        <f t="shared" si="710"/>
        <v>0</v>
      </c>
      <c r="DP938" s="763">
        <f t="shared" si="710"/>
        <v>0</v>
      </c>
      <c r="DQ938" s="763">
        <f t="shared" si="710"/>
        <v>0</v>
      </c>
      <c r="DR938" s="763">
        <f t="shared" si="710"/>
        <v>0</v>
      </c>
      <c r="DS938" s="763">
        <f t="shared" si="710"/>
        <v>0</v>
      </c>
      <c r="DT938" s="763">
        <f t="shared" si="710"/>
        <v>0</v>
      </c>
      <c r="DU938" s="763">
        <f t="shared" si="710"/>
        <v>0</v>
      </c>
      <c r="DV938" s="763">
        <f t="shared" si="710"/>
        <v>0</v>
      </c>
      <c r="DW938" s="763">
        <f t="shared" si="710"/>
        <v>0</v>
      </c>
      <c r="DX938" s="763">
        <f t="shared" si="710"/>
        <v>0</v>
      </c>
      <c r="DY938" s="763">
        <f t="shared" si="710"/>
        <v>0</v>
      </c>
      <c r="DZ938" s="763">
        <f t="shared" si="710"/>
        <v>0</v>
      </c>
      <c r="EA938" s="763">
        <f t="shared" si="710"/>
        <v>0</v>
      </c>
      <c r="EB938" s="763">
        <f t="shared" si="710"/>
        <v>0</v>
      </c>
      <c r="EC938" s="763">
        <f t="shared" ref="EC938:EV938" si="720">SUMIF($AE$915:$AE$930,$AE938,EC$915:EC$930)</f>
        <v>0</v>
      </c>
      <c r="ED938" s="763">
        <f t="shared" si="720"/>
        <v>0</v>
      </c>
      <c r="EE938" s="763">
        <f t="shared" si="720"/>
        <v>0</v>
      </c>
      <c r="EF938" s="763">
        <f t="shared" si="720"/>
        <v>0</v>
      </c>
      <c r="EG938" s="763">
        <f t="shared" si="720"/>
        <v>0</v>
      </c>
      <c r="EH938" s="763">
        <f t="shared" si="720"/>
        <v>0</v>
      </c>
      <c r="EI938" s="763">
        <f t="shared" si="720"/>
        <v>0</v>
      </c>
      <c r="EJ938" s="763">
        <f t="shared" si="720"/>
        <v>0</v>
      </c>
      <c r="EK938" s="763">
        <f t="shared" si="720"/>
        <v>0</v>
      </c>
      <c r="EL938" s="763">
        <f t="shared" si="720"/>
        <v>0</v>
      </c>
      <c r="EM938" s="763">
        <f t="shared" si="720"/>
        <v>0</v>
      </c>
      <c r="EN938" s="763">
        <f t="shared" si="720"/>
        <v>0</v>
      </c>
      <c r="EO938" s="763">
        <f t="shared" si="720"/>
        <v>0</v>
      </c>
      <c r="EP938" s="763">
        <f t="shared" si="720"/>
        <v>0</v>
      </c>
      <c r="EQ938" s="763">
        <f t="shared" si="720"/>
        <v>0</v>
      </c>
      <c r="ER938" s="763">
        <f t="shared" si="720"/>
        <v>0</v>
      </c>
      <c r="ES938" s="763">
        <f t="shared" si="720"/>
        <v>0</v>
      </c>
      <c r="ET938" s="763">
        <f t="shared" si="720"/>
        <v>0</v>
      </c>
      <c r="EU938" s="763">
        <f t="shared" si="720"/>
        <v>0</v>
      </c>
      <c r="EV938" s="763">
        <f t="shared" si="720"/>
        <v>0</v>
      </c>
    </row>
    <row r="939" spans="1:152" s="12" customFormat="1" ht="12" customHeight="1" x14ac:dyDescent="0.35">
      <c r="A939" s="84"/>
      <c r="B939" s="13"/>
      <c r="C939" s="13"/>
      <c r="D939" s="13"/>
      <c r="E939" s="13"/>
      <c r="F939" s="13"/>
      <c r="G939" s="1804"/>
      <c r="H939" s="1183"/>
      <c r="I939" s="1804"/>
      <c r="J939" s="1804"/>
      <c r="K939" s="141"/>
      <c r="L939" s="141"/>
      <c r="M939" s="141"/>
      <c r="N939" s="141"/>
      <c r="O939" s="141"/>
      <c r="P939" s="141"/>
      <c r="Q939" s="141"/>
      <c r="R939" s="31"/>
      <c r="S939" s="376">
        <v>6</v>
      </c>
      <c r="T939" s="376">
        <f t="shared" si="706"/>
        <v>0</v>
      </c>
      <c r="U939" s="62">
        <f t="shared" si="711"/>
        <v>0</v>
      </c>
      <c r="V939" s="728">
        <f t="shared" si="712"/>
        <v>0</v>
      </c>
      <c r="W939" s="62">
        <f t="shared" si="713"/>
        <v>0</v>
      </c>
      <c r="X939" s="214">
        <f t="shared" si="714"/>
        <v>0</v>
      </c>
      <c r="Y939" s="378">
        <f t="shared" si="715"/>
        <v>0</v>
      </c>
      <c r="Z939" s="214" t="e">
        <f>XNPV(Input!$I$276,Calcs!AG939:EV939,Calcs!AG$933:EV$933)</f>
        <v>#NUM!</v>
      </c>
      <c r="AA939" s="764">
        <f t="shared" si="716"/>
        <v>0</v>
      </c>
      <c r="AB939" s="764">
        <f t="shared" si="717"/>
        <v>0</v>
      </c>
      <c r="AC939" s="29"/>
      <c r="AD939" s="29"/>
      <c r="AE939" s="376">
        <f t="shared" si="707"/>
        <v>0</v>
      </c>
      <c r="AF939" s="376"/>
      <c r="AG939" s="763">
        <f t="shared" si="708"/>
        <v>0</v>
      </c>
      <c r="AH939" s="763">
        <f t="shared" si="719"/>
        <v>0</v>
      </c>
      <c r="AI939" s="763">
        <f t="shared" si="719"/>
        <v>0</v>
      </c>
      <c r="AJ939" s="763">
        <f t="shared" si="719"/>
        <v>0</v>
      </c>
      <c r="AK939" s="763">
        <f t="shared" si="719"/>
        <v>0</v>
      </c>
      <c r="AL939" s="763">
        <f t="shared" si="719"/>
        <v>0</v>
      </c>
      <c r="AM939" s="763">
        <f t="shared" si="719"/>
        <v>0</v>
      </c>
      <c r="AN939" s="763">
        <f t="shared" si="719"/>
        <v>0</v>
      </c>
      <c r="AO939" s="763">
        <f t="shared" si="719"/>
        <v>0</v>
      </c>
      <c r="AP939" s="763">
        <f t="shared" si="719"/>
        <v>0</v>
      </c>
      <c r="AQ939" s="763">
        <f t="shared" si="719"/>
        <v>0</v>
      </c>
      <c r="AR939" s="763">
        <f t="shared" si="719"/>
        <v>0</v>
      </c>
      <c r="AS939" s="763">
        <f t="shared" si="719"/>
        <v>0</v>
      </c>
      <c r="AT939" s="763">
        <f t="shared" si="719"/>
        <v>0</v>
      </c>
      <c r="AU939" s="763">
        <f t="shared" si="719"/>
        <v>0</v>
      </c>
      <c r="AV939" s="763">
        <f t="shared" si="719"/>
        <v>0</v>
      </c>
      <c r="AW939" s="763">
        <f t="shared" si="719"/>
        <v>0</v>
      </c>
      <c r="AX939" s="763">
        <f t="shared" si="719"/>
        <v>0</v>
      </c>
      <c r="AY939" s="763">
        <f t="shared" si="719"/>
        <v>0</v>
      </c>
      <c r="AZ939" s="763">
        <f t="shared" si="719"/>
        <v>0</v>
      </c>
      <c r="BA939" s="763">
        <f t="shared" si="719"/>
        <v>0</v>
      </c>
      <c r="BB939" s="763">
        <f t="shared" si="719"/>
        <v>0</v>
      </c>
      <c r="BC939" s="763">
        <f t="shared" si="719"/>
        <v>0</v>
      </c>
      <c r="BD939" s="763">
        <f t="shared" si="719"/>
        <v>0</v>
      </c>
      <c r="BE939" s="763">
        <f t="shared" si="719"/>
        <v>0</v>
      </c>
      <c r="BF939" s="763">
        <f t="shared" si="719"/>
        <v>0</v>
      </c>
      <c r="BG939" s="763">
        <f t="shared" si="719"/>
        <v>0</v>
      </c>
      <c r="BH939" s="763">
        <f t="shared" si="719"/>
        <v>0</v>
      </c>
      <c r="BI939" s="763">
        <f t="shared" si="719"/>
        <v>0</v>
      </c>
      <c r="BJ939" s="763">
        <f t="shared" si="719"/>
        <v>0</v>
      </c>
      <c r="BK939" s="763">
        <f t="shared" si="719"/>
        <v>0</v>
      </c>
      <c r="BL939" s="763">
        <f t="shared" si="719"/>
        <v>0</v>
      </c>
      <c r="BM939" s="763">
        <f t="shared" si="719"/>
        <v>0</v>
      </c>
      <c r="BN939" s="763">
        <f t="shared" si="719"/>
        <v>0</v>
      </c>
      <c r="BO939" s="763">
        <f t="shared" si="719"/>
        <v>0</v>
      </c>
      <c r="BP939" s="763">
        <f t="shared" si="719"/>
        <v>0</v>
      </c>
      <c r="BQ939" s="763">
        <f t="shared" si="719"/>
        <v>0</v>
      </c>
      <c r="BR939" s="763">
        <f t="shared" si="719"/>
        <v>0</v>
      </c>
      <c r="BS939" s="763">
        <f t="shared" si="719"/>
        <v>0</v>
      </c>
      <c r="BT939" s="763">
        <f t="shared" si="719"/>
        <v>0</v>
      </c>
      <c r="BU939" s="763">
        <f t="shared" si="719"/>
        <v>0</v>
      </c>
      <c r="BV939" s="763">
        <f t="shared" si="719"/>
        <v>0</v>
      </c>
      <c r="BW939" s="763">
        <f t="shared" si="719"/>
        <v>0</v>
      </c>
      <c r="BX939" s="763">
        <f t="shared" si="719"/>
        <v>0</v>
      </c>
      <c r="BY939" s="763">
        <f t="shared" si="719"/>
        <v>0</v>
      </c>
      <c r="BZ939" s="763">
        <f t="shared" si="719"/>
        <v>0</v>
      </c>
      <c r="CA939" s="763">
        <f t="shared" si="719"/>
        <v>0</v>
      </c>
      <c r="CB939" s="763">
        <f t="shared" si="719"/>
        <v>0</v>
      </c>
      <c r="CC939" s="763">
        <f t="shared" si="719"/>
        <v>0</v>
      </c>
      <c r="CD939" s="763">
        <f t="shared" si="719"/>
        <v>0</v>
      </c>
      <c r="CE939" s="763">
        <f t="shared" si="719"/>
        <v>0</v>
      </c>
      <c r="CF939" s="763">
        <f t="shared" si="719"/>
        <v>0</v>
      </c>
      <c r="CG939" s="763">
        <f t="shared" si="719"/>
        <v>0</v>
      </c>
      <c r="CH939" s="763">
        <f t="shared" si="719"/>
        <v>0</v>
      </c>
      <c r="CI939" s="763">
        <f t="shared" si="719"/>
        <v>0</v>
      </c>
      <c r="CJ939" s="763">
        <f t="shared" si="719"/>
        <v>0</v>
      </c>
      <c r="CK939" s="763">
        <f t="shared" si="719"/>
        <v>0</v>
      </c>
      <c r="CL939" s="763">
        <f t="shared" si="719"/>
        <v>0</v>
      </c>
      <c r="CM939" s="763">
        <f t="shared" si="719"/>
        <v>0</v>
      </c>
      <c r="CN939" s="763">
        <f t="shared" si="719"/>
        <v>0</v>
      </c>
      <c r="CO939" s="763">
        <f t="shared" si="719"/>
        <v>0</v>
      </c>
      <c r="CP939" s="763">
        <f t="shared" si="719"/>
        <v>0</v>
      </c>
      <c r="CQ939" s="763">
        <f t="shared" si="719"/>
        <v>0</v>
      </c>
      <c r="CR939" s="763">
        <f t="shared" si="719"/>
        <v>0</v>
      </c>
      <c r="CS939" s="763">
        <f t="shared" ref="CS939:EV942" si="721">SUMIF($AE$915:$AE$930,$AE939,CS$915:CS$930)</f>
        <v>0</v>
      </c>
      <c r="CT939" s="763">
        <f t="shared" si="721"/>
        <v>0</v>
      </c>
      <c r="CU939" s="763">
        <f t="shared" si="721"/>
        <v>0</v>
      </c>
      <c r="CV939" s="763">
        <f t="shared" si="721"/>
        <v>0</v>
      </c>
      <c r="CW939" s="763">
        <f t="shared" si="721"/>
        <v>0</v>
      </c>
      <c r="CX939" s="763">
        <f t="shared" si="721"/>
        <v>0</v>
      </c>
      <c r="CY939" s="763">
        <f t="shared" si="721"/>
        <v>0</v>
      </c>
      <c r="CZ939" s="763">
        <f t="shared" si="721"/>
        <v>0</v>
      </c>
      <c r="DA939" s="763">
        <f t="shared" si="721"/>
        <v>0</v>
      </c>
      <c r="DB939" s="763">
        <f t="shared" si="721"/>
        <v>0</v>
      </c>
      <c r="DC939" s="763">
        <f t="shared" si="721"/>
        <v>0</v>
      </c>
      <c r="DD939" s="763">
        <f t="shared" si="721"/>
        <v>0</v>
      </c>
      <c r="DE939" s="763">
        <f t="shared" si="721"/>
        <v>0</v>
      </c>
      <c r="DF939" s="763">
        <f t="shared" si="721"/>
        <v>0</v>
      </c>
      <c r="DG939" s="763">
        <f t="shared" si="721"/>
        <v>0</v>
      </c>
      <c r="DH939" s="763">
        <f t="shared" si="721"/>
        <v>0</v>
      </c>
      <c r="DI939" s="763">
        <f t="shared" si="721"/>
        <v>0</v>
      </c>
      <c r="DJ939" s="763">
        <f t="shared" si="721"/>
        <v>0</v>
      </c>
      <c r="DK939" s="763">
        <f t="shared" si="721"/>
        <v>0</v>
      </c>
      <c r="DL939" s="763">
        <f t="shared" si="721"/>
        <v>0</v>
      </c>
      <c r="DM939" s="763">
        <f t="shared" si="721"/>
        <v>0</v>
      </c>
      <c r="DN939" s="763">
        <f t="shared" si="721"/>
        <v>0</v>
      </c>
      <c r="DO939" s="763">
        <f t="shared" si="721"/>
        <v>0</v>
      </c>
      <c r="DP939" s="763">
        <f t="shared" si="721"/>
        <v>0</v>
      </c>
      <c r="DQ939" s="763">
        <f t="shared" si="721"/>
        <v>0</v>
      </c>
      <c r="DR939" s="763">
        <f t="shared" si="721"/>
        <v>0</v>
      </c>
      <c r="DS939" s="763">
        <f t="shared" si="721"/>
        <v>0</v>
      </c>
      <c r="DT939" s="763">
        <f t="shared" si="721"/>
        <v>0</v>
      </c>
      <c r="DU939" s="763">
        <f t="shared" si="721"/>
        <v>0</v>
      </c>
      <c r="DV939" s="763">
        <f t="shared" si="721"/>
        <v>0</v>
      </c>
      <c r="DW939" s="763">
        <f t="shared" si="721"/>
        <v>0</v>
      </c>
      <c r="DX939" s="763">
        <f t="shared" si="721"/>
        <v>0</v>
      </c>
      <c r="DY939" s="763">
        <f t="shared" si="721"/>
        <v>0</v>
      </c>
      <c r="DZ939" s="763">
        <f t="shared" si="721"/>
        <v>0</v>
      </c>
      <c r="EA939" s="763">
        <f t="shared" si="721"/>
        <v>0</v>
      </c>
      <c r="EB939" s="763">
        <f t="shared" si="721"/>
        <v>0</v>
      </c>
      <c r="EC939" s="763">
        <f t="shared" si="721"/>
        <v>0</v>
      </c>
      <c r="ED939" s="763">
        <f t="shared" si="721"/>
        <v>0</v>
      </c>
      <c r="EE939" s="763">
        <f t="shared" si="721"/>
        <v>0</v>
      </c>
      <c r="EF939" s="763">
        <f t="shared" si="721"/>
        <v>0</v>
      </c>
      <c r="EG939" s="763">
        <f t="shared" si="721"/>
        <v>0</v>
      </c>
      <c r="EH939" s="763">
        <f t="shared" si="721"/>
        <v>0</v>
      </c>
      <c r="EI939" s="763">
        <f t="shared" si="721"/>
        <v>0</v>
      </c>
      <c r="EJ939" s="763">
        <f t="shared" si="721"/>
        <v>0</v>
      </c>
      <c r="EK939" s="763">
        <f t="shared" si="721"/>
        <v>0</v>
      </c>
      <c r="EL939" s="763">
        <f t="shared" si="721"/>
        <v>0</v>
      </c>
      <c r="EM939" s="763">
        <f t="shared" si="721"/>
        <v>0</v>
      </c>
      <c r="EN939" s="763">
        <f t="shared" si="721"/>
        <v>0</v>
      </c>
      <c r="EO939" s="763">
        <f t="shared" si="721"/>
        <v>0</v>
      </c>
      <c r="EP939" s="763">
        <f t="shared" si="721"/>
        <v>0</v>
      </c>
      <c r="EQ939" s="763">
        <f t="shared" si="721"/>
        <v>0</v>
      </c>
      <c r="ER939" s="763">
        <f t="shared" si="721"/>
        <v>0</v>
      </c>
      <c r="ES939" s="763">
        <f t="shared" si="721"/>
        <v>0</v>
      </c>
      <c r="ET939" s="763">
        <f t="shared" si="721"/>
        <v>0</v>
      </c>
      <c r="EU939" s="763">
        <f t="shared" si="721"/>
        <v>0</v>
      </c>
      <c r="EV939" s="763">
        <f t="shared" si="721"/>
        <v>0</v>
      </c>
    </row>
    <row r="940" spans="1:152" s="12" customFormat="1" ht="12" customHeight="1" x14ac:dyDescent="0.35">
      <c r="A940" s="84"/>
      <c r="B940" s="13"/>
      <c r="C940" s="13"/>
      <c r="D940" s="13"/>
      <c r="E940" s="13"/>
      <c r="F940" s="13"/>
      <c r="G940" s="1804"/>
      <c r="H940" s="1183"/>
      <c r="I940" s="1804"/>
      <c r="J940" s="1804"/>
      <c r="K940" s="141"/>
      <c r="L940" s="141"/>
      <c r="M940" s="141"/>
      <c r="N940" s="141"/>
      <c r="O940" s="141"/>
      <c r="P940" s="141"/>
      <c r="Q940" s="141"/>
      <c r="R940" s="31"/>
      <c r="S940" s="376">
        <v>7</v>
      </c>
      <c r="T940" s="376">
        <f t="shared" si="706"/>
        <v>0</v>
      </c>
      <c r="U940" s="62">
        <f t="shared" si="711"/>
        <v>0</v>
      </c>
      <c r="V940" s="728">
        <f t="shared" si="712"/>
        <v>0</v>
      </c>
      <c r="W940" s="62">
        <f t="shared" si="713"/>
        <v>0</v>
      </c>
      <c r="X940" s="214">
        <f t="shared" si="714"/>
        <v>0</v>
      </c>
      <c r="Y940" s="378">
        <f t="shared" si="715"/>
        <v>0</v>
      </c>
      <c r="Z940" s="214" t="e">
        <f>XNPV(Input!$I$276,Calcs!AG940:EV940,Calcs!AG$933:EV$933)</f>
        <v>#NUM!</v>
      </c>
      <c r="AA940" s="764">
        <f t="shared" si="716"/>
        <v>0</v>
      </c>
      <c r="AB940" s="764">
        <f t="shared" si="717"/>
        <v>0</v>
      </c>
      <c r="AC940" s="29"/>
      <c r="AD940" s="29"/>
      <c r="AE940" s="376">
        <f t="shared" si="707"/>
        <v>0</v>
      </c>
      <c r="AF940" s="376"/>
      <c r="AG940" s="763">
        <f t="shared" si="708"/>
        <v>0</v>
      </c>
      <c r="AH940" s="763">
        <f t="shared" ref="AH940:CS943" si="722">SUMIF($AE$915:$AE$930,$AE940,AH$915:AH$930)</f>
        <v>0</v>
      </c>
      <c r="AI940" s="763">
        <f t="shared" si="722"/>
        <v>0</v>
      </c>
      <c r="AJ940" s="763">
        <f t="shared" si="722"/>
        <v>0</v>
      </c>
      <c r="AK940" s="763">
        <f t="shared" si="722"/>
        <v>0</v>
      </c>
      <c r="AL940" s="763">
        <f t="shared" si="722"/>
        <v>0</v>
      </c>
      <c r="AM940" s="763">
        <f t="shared" si="722"/>
        <v>0</v>
      </c>
      <c r="AN940" s="763">
        <f t="shared" si="722"/>
        <v>0</v>
      </c>
      <c r="AO940" s="763">
        <f t="shared" si="722"/>
        <v>0</v>
      </c>
      <c r="AP940" s="763">
        <f t="shared" si="722"/>
        <v>0</v>
      </c>
      <c r="AQ940" s="763">
        <f t="shared" si="722"/>
        <v>0</v>
      </c>
      <c r="AR940" s="763">
        <f t="shared" si="722"/>
        <v>0</v>
      </c>
      <c r="AS940" s="763">
        <f t="shared" si="722"/>
        <v>0</v>
      </c>
      <c r="AT940" s="763">
        <f t="shared" si="722"/>
        <v>0</v>
      </c>
      <c r="AU940" s="763">
        <f t="shared" si="722"/>
        <v>0</v>
      </c>
      <c r="AV940" s="763">
        <f t="shared" si="722"/>
        <v>0</v>
      </c>
      <c r="AW940" s="763">
        <f t="shared" si="722"/>
        <v>0</v>
      </c>
      <c r="AX940" s="763">
        <f t="shared" si="722"/>
        <v>0</v>
      </c>
      <c r="AY940" s="763">
        <f t="shared" si="722"/>
        <v>0</v>
      </c>
      <c r="AZ940" s="763">
        <f t="shared" si="722"/>
        <v>0</v>
      </c>
      <c r="BA940" s="763">
        <f t="shared" si="722"/>
        <v>0</v>
      </c>
      <c r="BB940" s="763">
        <f t="shared" si="722"/>
        <v>0</v>
      </c>
      <c r="BC940" s="763">
        <f t="shared" si="722"/>
        <v>0</v>
      </c>
      <c r="BD940" s="763">
        <f t="shared" si="722"/>
        <v>0</v>
      </c>
      <c r="BE940" s="763">
        <f t="shared" si="722"/>
        <v>0</v>
      </c>
      <c r="BF940" s="763">
        <f t="shared" si="722"/>
        <v>0</v>
      </c>
      <c r="BG940" s="763">
        <f t="shared" si="722"/>
        <v>0</v>
      </c>
      <c r="BH940" s="763">
        <f t="shared" si="722"/>
        <v>0</v>
      </c>
      <c r="BI940" s="763">
        <f t="shared" si="722"/>
        <v>0</v>
      </c>
      <c r="BJ940" s="763">
        <f t="shared" si="722"/>
        <v>0</v>
      </c>
      <c r="BK940" s="763">
        <f t="shared" si="722"/>
        <v>0</v>
      </c>
      <c r="BL940" s="763">
        <f t="shared" si="722"/>
        <v>0</v>
      </c>
      <c r="BM940" s="763">
        <f t="shared" si="722"/>
        <v>0</v>
      </c>
      <c r="BN940" s="763">
        <f t="shared" si="722"/>
        <v>0</v>
      </c>
      <c r="BO940" s="763">
        <f t="shared" si="722"/>
        <v>0</v>
      </c>
      <c r="BP940" s="763">
        <f t="shared" si="722"/>
        <v>0</v>
      </c>
      <c r="BQ940" s="763">
        <f t="shared" si="722"/>
        <v>0</v>
      </c>
      <c r="BR940" s="763">
        <f t="shared" si="722"/>
        <v>0</v>
      </c>
      <c r="BS940" s="763">
        <f t="shared" si="722"/>
        <v>0</v>
      </c>
      <c r="BT940" s="763">
        <f t="shared" si="722"/>
        <v>0</v>
      </c>
      <c r="BU940" s="763">
        <f t="shared" si="722"/>
        <v>0</v>
      </c>
      <c r="BV940" s="763">
        <f t="shared" si="722"/>
        <v>0</v>
      </c>
      <c r="BW940" s="763">
        <f t="shared" si="722"/>
        <v>0</v>
      </c>
      <c r="BX940" s="763">
        <f t="shared" si="722"/>
        <v>0</v>
      </c>
      <c r="BY940" s="763">
        <f t="shared" si="722"/>
        <v>0</v>
      </c>
      <c r="BZ940" s="763">
        <f t="shared" si="722"/>
        <v>0</v>
      </c>
      <c r="CA940" s="763">
        <f t="shared" si="722"/>
        <v>0</v>
      </c>
      <c r="CB940" s="763">
        <f t="shared" si="722"/>
        <v>0</v>
      </c>
      <c r="CC940" s="763">
        <f t="shared" si="722"/>
        <v>0</v>
      </c>
      <c r="CD940" s="763">
        <f t="shared" si="722"/>
        <v>0</v>
      </c>
      <c r="CE940" s="763">
        <f t="shared" si="722"/>
        <v>0</v>
      </c>
      <c r="CF940" s="763">
        <f t="shared" si="722"/>
        <v>0</v>
      </c>
      <c r="CG940" s="763">
        <f t="shared" si="722"/>
        <v>0</v>
      </c>
      <c r="CH940" s="763">
        <f t="shared" si="722"/>
        <v>0</v>
      </c>
      <c r="CI940" s="763">
        <f t="shared" si="722"/>
        <v>0</v>
      </c>
      <c r="CJ940" s="763">
        <f t="shared" si="722"/>
        <v>0</v>
      </c>
      <c r="CK940" s="763">
        <f t="shared" si="722"/>
        <v>0</v>
      </c>
      <c r="CL940" s="763">
        <f t="shared" si="722"/>
        <v>0</v>
      </c>
      <c r="CM940" s="763">
        <f t="shared" si="722"/>
        <v>0</v>
      </c>
      <c r="CN940" s="763">
        <f t="shared" si="722"/>
        <v>0</v>
      </c>
      <c r="CO940" s="763">
        <f t="shared" si="722"/>
        <v>0</v>
      </c>
      <c r="CP940" s="763">
        <f t="shared" si="722"/>
        <v>0</v>
      </c>
      <c r="CQ940" s="763">
        <f t="shared" si="722"/>
        <v>0</v>
      </c>
      <c r="CR940" s="763">
        <f t="shared" si="722"/>
        <v>0</v>
      </c>
      <c r="CS940" s="763">
        <f t="shared" si="722"/>
        <v>0</v>
      </c>
      <c r="CT940" s="763">
        <f t="shared" si="721"/>
        <v>0</v>
      </c>
      <c r="CU940" s="763">
        <f t="shared" si="721"/>
        <v>0</v>
      </c>
      <c r="CV940" s="763">
        <f t="shared" si="721"/>
        <v>0</v>
      </c>
      <c r="CW940" s="763">
        <f t="shared" si="721"/>
        <v>0</v>
      </c>
      <c r="CX940" s="763">
        <f t="shared" si="721"/>
        <v>0</v>
      </c>
      <c r="CY940" s="763">
        <f t="shared" si="721"/>
        <v>0</v>
      </c>
      <c r="CZ940" s="763">
        <f t="shared" si="721"/>
        <v>0</v>
      </c>
      <c r="DA940" s="763">
        <f t="shared" si="721"/>
        <v>0</v>
      </c>
      <c r="DB940" s="763">
        <f t="shared" si="721"/>
        <v>0</v>
      </c>
      <c r="DC940" s="763">
        <f t="shared" si="721"/>
        <v>0</v>
      </c>
      <c r="DD940" s="763">
        <f t="shared" si="721"/>
        <v>0</v>
      </c>
      <c r="DE940" s="763">
        <f t="shared" si="721"/>
        <v>0</v>
      </c>
      <c r="DF940" s="763">
        <f t="shared" si="721"/>
        <v>0</v>
      </c>
      <c r="DG940" s="763">
        <f t="shared" si="721"/>
        <v>0</v>
      </c>
      <c r="DH940" s="763">
        <f t="shared" si="721"/>
        <v>0</v>
      </c>
      <c r="DI940" s="763">
        <f t="shared" si="721"/>
        <v>0</v>
      </c>
      <c r="DJ940" s="763">
        <f t="shared" si="721"/>
        <v>0</v>
      </c>
      <c r="DK940" s="763">
        <f t="shared" si="721"/>
        <v>0</v>
      </c>
      <c r="DL940" s="763">
        <f t="shared" si="721"/>
        <v>0</v>
      </c>
      <c r="DM940" s="763">
        <f t="shared" si="721"/>
        <v>0</v>
      </c>
      <c r="DN940" s="763">
        <f t="shared" si="721"/>
        <v>0</v>
      </c>
      <c r="DO940" s="763">
        <f t="shared" si="721"/>
        <v>0</v>
      </c>
      <c r="DP940" s="763">
        <f t="shared" si="721"/>
        <v>0</v>
      </c>
      <c r="DQ940" s="763">
        <f t="shared" si="721"/>
        <v>0</v>
      </c>
      <c r="DR940" s="763">
        <f t="shared" si="721"/>
        <v>0</v>
      </c>
      <c r="DS940" s="763">
        <f t="shared" si="721"/>
        <v>0</v>
      </c>
      <c r="DT940" s="763">
        <f t="shared" si="721"/>
        <v>0</v>
      </c>
      <c r="DU940" s="763">
        <f t="shared" si="721"/>
        <v>0</v>
      </c>
      <c r="DV940" s="763">
        <f t="shared" si="721"/>
        <v>0</v>
      </c>
      <c r="DW940" s="763">
        <f t="shared" si="721"/>
        <v>0</v>
      </c>
      <c r="DX940" s="763">
        <f t="shared" si="721"/>
        <v>0</v>
      </c>
      <c r="DY940" s="763">
        <f t="shared" si="721"/>
        <v>0</v>
      </c>
      <c r="DZ940" s="763">
        <f t="shared" si="721"/>
        <v>0</v>
      </c>
      <c r="EA940" s="763">
        <f t="shared" si="721"/>
        <v>0</v>
      </c>
      <c r="EB940" s="763">
        <f t="shared" si="721"/>
        <v>0</v>
      </c>
      <c r="EC940" s="763">
        <f t="shared" si="721"/>
        <v>0</v>
      </c>
      <c r="ED940" s="763">
        <f t="shared" si="721"/>
        <v>0</v>
      </c>
      <c r="EE940" s="763">
        <f t="shared" si="721"/>
        <v>0</v>
      </c>
      <c r="EF940" s="763">
        <f t="shared" si="721"/>
        <v>0</v>
      </c>
      <c r="EG940" s="763">
        <f t="shared" si="721"/>
        <v>0</v>
      </c>
      <c r="EH940" s="763">
        <f t="shared" si="721"/>
        <v>0</v>
      </c>
      <c r="EI940" s="763">
        <f t="shared" si="721"/>
        <v>0</v>
      </c>
      <c r="EJ940" s="763">
        <f t="shared" si="721"/>
        <v>0</v>
      </c>
      <c r="EK940" s="763">
        <f t="shared" si="721"/>
        <v>0</v>
      </c>
      <c r="EL940" s="763">
        <f t="shared" si="721"/>
        <v>0</v>
      </c>
      <c r="EM940" s="763">
        <f t="shared" si="721"/>
        <v>0</v>
      </c>
      <c r="EN940" s="763">
        <f t="shared" si="721"/>
        <v>0</v>
      </c>
      <c r="EO940" s="763">
        <f t="shared" si="721"/>
        <v>0</v>
      </c>
      <c r="EP940" s="763">
        <f t="shared" si="721"/>
        <v>0</v>
      </c>
      <c r="EQ940" s="763">
        <f t="shared" si="721"/>
        <v>0</v>
      </c>
      <c r="ER940" s="763">
        <f t="shared" si="721"/>
        <v>0</v>
      </c>
      <c r="ES940" s="763">
        <f t="shared" si="721"/>
        <v>0</v>
      </c>
      <c r="ET940" s="763">
        <f t="shared" si="721"/>
        <v>0</v>
      </c>
      <c r="EU940" s="763">
        <f t="shared" si="721"/>
        <v>0</v>
      </c>
      <c r="EV940" s="763">
        <f t="shared" si="721"/>
        <v>0</v>
      </c>
    </row>
    <row r="941" spans="1:152" s="12" customFormat="1" ht="12" customHeight="1" x14ac:dyDescent="0.35">
      <c r="A941" s="84"/>
      <c r="B941" s="13"/>
      <c r="C941" s="13"/>
      <c r="D941" s="13"/>
      <c r="E941" s="13"/>
      <c r="F941" s="13"/>
      <c r="G941" s="1804"/>
      <c r="H941" s="1183"/>
      <c r="I941" s="1804"/>
      <c r="J941" s="1804"/>
      <c r="K941" s="141"/>
      <c r="L941" s="141"/>
      <c r="M941" s="141"/>
      <c r="N941" s="141"/>
      <c r="O941" s="141"/>
      <c r="P941" s="141"/>
      <c r="Q941" s="141"/>
      <c r="R941" s="31"/>
      <c r="S941" s="376">
        <v>8</v>
      </c>
      <c r="T941" s="376">
        <f t="shared" si="706"/>
        <v>0</v>
      </c>
      <c r="U941" s="62">
        <f t="shared" si="711"/>
        <v>0</v>
      </c>
      <c r="V941" s="728">
        <f t="shared" si="712"/>
        <v>0</v>
      </c>
      <c r="W941" s="62">
        <f t="shared" si="713"/>
        <v>0</v>
      </c>
      <c r="X941" s="214">
        <f t="shared" si="714"/>
        <v>0</v>
      </c>
      <c r="Y941" s="378">
        <f t="shared" si="715"/>
        <v>0</v>
      </c>
      <c r="Z941" s="214" t="e">
        <f>XNPV(Input!$I$276,Calcs!AG941:EV941,Calcs!AG$933:EV$933)</f>
        <v>#NUM!</v>
      </c>
      <c r="AA941" s="764">
        <f t="shared" si="716"/>
        <v>0</v>
      </c>
      <c r="AB941" s="764">
        <f t="shared" si="717"/>
        <v>0</v>
      </c>
      <c r="AC941" s="29"/>
      <c r="AD941" s="29"/>
      <c r="AE941" s="376">
        <f t="shared" si="707"/>
        <v>0</v>
      </c>
      <c r="AF941" s="376"/>
      <c r="AG941" s="763">
        <f t="shared" si="708"/>
        <v>0</v>
      </c>
      <c r="AH941" s="763">
        <f t="shared" si="722"/>
        <v>0</v>
      </c>
      <c r="AI941" s="763">
        <f t="shared" si="722"/>
        <v>0</v>
      </c>
      <c r="AJ941" s="763">
        <f t="shared" si="722"/>
        <v>0</v>
      </c>
      <c r="AK941" s="763">
        <f t="shared" si="722"/>
        <v>0</v>
      </c>
      <c r="AL941" s="763">
        <f t="shared" si="722"/>
        <v>0</v>
      </c>
      <c r="AM941" s="763">
        <f t="shared" si="722"/>
        <v>0</v>
      </c>
      <c r="AN941" s="763">
        <f t="shared" si="722"/>
        <v>0</v>
      </c>
      <c r="AO941" s="763">
        <f t="shared" si="722"/>
        <v>0</v>
      </c>
      <c r="AP941" s="763">
        <f t="shared" si="722"/>
        <v>0</v>
      </c>
      <c r="AQ941" s="763">
        <f t="shared" si="722"/>
        <v>0</v>
      </c>
      <c r="AR941" s="763">
        <f t="shared" si="722"/>
        <v>0</v>
      </c>
      <c r="AS941" s="763">
        <f t="shared" si="722"/>
        <v>0</v>
      </c>
      <c r="AT941" s="763">
        <f t="shared" si="722"/>
        <v>0</v>
      </c>
      <c r="AU941" s="763">
        <f t="shared" si="722"/>
        <v>0</v>
      </c>
      <c r="AV941" s="763">
        <f t="shared" si="722"/>
        <v>0</v>
      </c>
      <c r="AW941" s="763">
        <f t="shared" si="722"/>
        <v>0</v>
      </c>
      <c r="AX941" s="763">
        <f t="shared" si="722"/>
        <v>0</v>
      </c>
      <c r="AY941" s="763">
        <f t="shared" si="722"/>
        <v>0</v>
      </c>
      <c r="AZ941" s="763">
        <f t="shared" si="722"/>
        <v>0</v>
      </c>
      <c r="BA941" s="763">
        <f t="shared" si="722"/>
        <v>0</v>
      </c>
      <c r="BB941" s="763">
        <f t="shared" si="722"/>
        <v>0</v>
      </c>
      <c r="BC941" s="763">
        <f t="shared" si="722"/>
        <v>0</v>
      </c>
      <c r="BD941" s="763">
        <f t="shared" si="722"/>
        <v>0</v>
      </c>
      <c r="BE941" s="763">
        <f t="shared" si="722"/>
        <v>0</v>
      </c>
      <c r="BF941" s="763">
        <f t="shared" si="722"/>
        <v>0</v>
      </c>
      <c r="BG941" s="763">
        <f t="shared" si="722"/>
        <v>0</v>
      </c>
      <c r="BH941" s="763">
        <f t="shared" si="722"/>
        <v>0</v>
      </c>
      <c r="BI941" s="763">
        <f t="shared" si="722"/>
        <v>0</v>
      </c>
      <c r="BJ941" s="763">
        <f t="shared" si="722"/>
        <v>0</v>
      </c>
      <c r="BK941" s="763">
        <f t="shared" si="722"/>
        <v>0</v>
      </c>
      <c r="BL941" s="763">
        <f t="shared" si="722"/>
        <v>0</v>
      </c>
      <c r="BM941" s="763">
        <f t="shared" si="722"/>
        <v>0</v>
      </c>
      <c r="BN941" s="763">
        <f t="shared" si="722"/>
        <v>0</v>
      </c>
      <c r="BO941" s="763">
        <f t="shared" si="722"/>
        <v>0</v>
      </c>
      <c r="BP941" s="763">
        <f t="shared" si="722"/>
        <v>0</v>
      </c>
      <c r="BQ941" s="763">
        <f t="shared" si="722"/>
        <v>0</v>
      </c>
      <c r="BR941" s="763">
        <f t="shared" si="722"/>
        <v>0</v>
      </c>
      <c r="BS941" s="763">
        <f t="shared" si="722"/>
        <v>0</v>
      </c>
      <c r="BT941" s="763">
        <f t="shared" si="722"/>
        <v>0</v>
      </c>
      <c r="BU941" s="763">
        <f t="shared" si="722"/>
        <v>0</v>
      </c>
      <c r="BV941" s="763">
        <f t="shared" si="722"/>
        <v>0</v>
      </c>
      <c r="BW941" s="763">
        <f t="shared" si="722"/>
        <v>0</v>
      </c>
      <c r="BX941" s="763">
        <f t="shared" si="722"/>
        <v>0</v>
      </c>
      <c r="BY941" s="763">
        <f t="shared" si="722"/>
        <v>0</v>
      </c>
      <c r="BZ941" s="763">
        <f t="shared" si="722"/>
        <v>0</v>
      </c>
      <c r="CA941" s="763">
        <f t="shared" si="722"/>
        <v>0</v>
      </c>
      <c r="CB941" s="763">
        <f t="shared" si="722"/>
        <v>0</v>
      </c>
      <c r="CC941" s="763">
        <f t="shared" si="722"/>
        <v>0</v>
      </c>
      <c r="CD941" s="763">
        <f t="shared" si="722"/>
        <v>0</v>
      </c>
      <c r="CE941" s="763">
        <f t="shared" si="722"/>
        <v>0</v>
      </c>
      <c r="CF941" s="763">
        <f t="shared" si="722"/>
        <v>0</v>
      </c>
      <c r="CG941" s="763">
        <f t="shared" si="722"/>
        <v>0</v>
      </c>
      <c r="CH941" s="763">
        <f t="shared" si="722"/>
        <v>0</v>
      </c>
      <c r="CI941" s="763">
        <f t="shared" si="722"/>
        <v>0</v>
      </c>
      <c r="CJ941" s="763">
        <f t="shared" si="722"/>
        <v>0</v>
      </c>
      <c r="CK941" s="763">
        <f t="shared" si="722"/>
        <v>0</v>
      </c>
      <c r="CL941" s="763">
        <f t="shared" si="722"/>
        <v>0</v>
      </c>
      <c r="CM941" s="763">
        <f t="shared" si="722"/>
        <v>0</v>
      </c>
      <c r="CN941" s="763">
        <f t="shared" si="722"/>
        <v>0</v>
      </c>
      <c r="CO941" s="763">
        <f t="shared" si="722"/>
        <v>0</v>
      </c>
      <c r="CP941" s="763">
        <f t="shared" si="722"/>
        <v>0</v>
      </c>
      <c r="CQ941" s="763">
        <f t="shared" si="722"/>
        <v>0</v>
      </c>
      <c r="CR941" s="763">
        <f t="shared" si="722"/>
        <v>0</v>
      </c>
      <c r="CS941" s="763">
        <f t="shared" si="722"/>
        <v>0</v>
      </c>
      <c r="CT941" s="763">
        <f t="shared" si="721"/>
        <v>0</v>
      </c>
      <c r="CU941" s="763">
        <f t="shared" si="721"/>
        <v>0</v>
      </c>
      <c r="CV941" s="763">
        <f t="shared" si="721"/>
        <v>0</v>
      </c>
      <c r="CW941" s="763">
        <f t="shared" si="721"/>
        <v>0</v>
      </c>
      <c r="CX941" s="763">
        <f t="shared" si="721"/>
        <v>0</v>
      </c>
      <c r="CY941" s="763">
        <f t="shared" si="721"/>
        <v>0</v>
      </c>
      <c r="CZ941" s="763">
        <f t="shared" si="721"/>
        <v>0</v>
      </c>
      <c r="DA941" s="763">
        <f t="shared" si="721"/>
        <v>0</v>
      </c>
      <c r="DB941" s="763">
        <f t="shared" si="721"/>
        <v>0</v>
      </c>
      <c r="DC941" s="763">
        <f t="shared" si="721"/>
        <v>0</v>
      </c>
      <c r="DD941" s="763">
        <f t="shared" si="721"/>
        <v>0</v>
      </c>
      <c r="DE941" s="763">
        <f t="shared" si="721"/>
        <v>0</v>
      </c>
      <c r="DF941" s="763">
        <f t="shared" si="721"/>
        <v>0</v>
      </c>
      <c r="DG941" s="763">
        <f t="shared" si="721"/>
        <v>0</v>
      </c>
      <c r="DH941" s="763">
        <f t="shared" si="721"/>
        <v>0</v>
      </c>
      <c r="DI941" s="763">
        <f t="shared" si="721"/>
        <v>0</v>
      </c>
      <c r="DJ941" s="763">
        <f t="shared" si="721"/>
        <v>0</v>
      </c>
      <c r="DK941" s="763">
        <f t="shared" si="721"/>
        <v>0</v>
      </c>
      <c r="DL941" s="763">
        <f t="shared" si="721"/>
        <v>0</v>
      </c>
      <c r="DM941" s="763">
        <f t="shared" si="721"/>
        <v>0</v>
      </c>
      <c r="DN941" s="763">
        <f t="shared" si="721"/>
        <v>0</v>
      </c>
      <c r="DO941" s="763">
        <f t="shared" si="721"/>
        <v>0</v>
      </c>
      <c r="DP941" s="763">
        <f t="shared" si="721"/>
        <v>0</v>
      </c>
      <c r="DQ941" s="763">
        <f t="shared" si="721"/>
        <v>0</v>
      </c>
      <c r="DR941" s="763">
        <f t="shared" si="721"/>
        <v>0</v>
      </c>
      <c r="DS941" s="763">
        <f t="shared" si="721"/>
        <v>0</v>
      </c>
      <c r="DT941" s="763">
        <f t="shared" si="721"/>
        <v>0</v>
      </c>
      <c r="DU941" s="763">
        <f t="shared" si="721"/>
        <v>0</v>
      </c>
      <c r="DV941" s="763">
        <f t="shared" si="721"/>
        <v>0</v>
      </c>
      <c r="DW941" s="763">
        <f t="shared" si="721"/>
        <v>0</v>
      </c>
      <c r="DX941" s="763">
        <f t="shared" si="721"/>
        <v>0</v>
      </c>
      <c r="DY941" s="763">
        <f t="shared" si="721"/>
        <v>0</v>
      </c>
      <c r="DZ941" s="763">
        <f t="shared" si="721"/>
        <v>0</v>
      </c>
      <c r="EA941" s="763">
        <f t="shared" si="721"/>
        <v>0</v>
      </c>
      <c r="EB941" s="763">
        <f t="shared" si="721"/>
        <v>0</v>
      </c>
      <c r="EC941" s="763">
        <f t="shared" si="721"/>
        <v>0</v>
      </c>
      <c r="ED941" s="763">
        <f t="shared" si="721"/>
        <v>0</v>
      </c>
      <c r="EE941" s="763">
        <f t="shared" si="721"/>
        <v>0</v>
      </c>
      <c r="EF941" s="763">
        <f t="shared" si="721"/>
        <v>0</v>
      </c>
      <c r="EG941" s="763">
        <f t="shared" si="721"/>
        <v>0</v>
      </c>
      <c r="EH941" s="763">
        <f t="shared" si="721"/>
        <v>0</v>
      </c>
      <c r="EI941" s="763">
        <f t="shared" si="721"/>
        <v>0</v>
      </c>
      <c r="EJ941" s="763">
        <f t="shared" si="721"/>
        <v>0</v>
      </c>
      <c r="EK941" s="763">
        <f t="shared" si="721"/>
        <v>0</v>
      </c>
      <c r="EL941" s="763">
        <f t="shared" si="721"/>
        <v>0</v>
      </c>
      <c r="EM941" s="763">
        <f t="shared" si="721"/>
        <v>0</v>
      </c>
      <c r="EN941" s="763">
        <f t="shared" si="721"/>
        <v>0</v>
      </c>
      <c r="EO941" s="763">
        <f t="shared" si="721"/>
        <v>0</v>
      </c>
      <c r="EP941" s="763">
        <f t="shared" si="721"/>
        <v>0</v>
      </c>
      <c r="EQ941" s="763">
        <f t="shared" si="721"/>
        <v>0</v>
      </c>
      <c r="ER941" s="763">
        <f t="shared" si="721"/>
        <v>0</v>
      </c>
      <c r="ES941" s="763">
        <f t="shared" si="721"/>
        <v>0</v>
      </c>
      <c r="ET941" s="763">
        <f t="shared" si="721"/>
        <v>0</v>
      </c>
      <c r="EU941" s="763">
        <f t="shared" si="721"/>
        <v>0</v>
      </c>
      <c r="EV941" s="763">
        <f t="shared" si="721"/>
        <v>0</v>
      </c>
    </row>
    <row r="942" spans="1:152" s="12" customFormat="1" ht="12" customHeight="1" x14ac:dyDescent="0.35">
      <c r="A942" s="84"/>
      <c r="B942" s="13"/>
      <c r="C942" s="13"/>
      <c r="D942" s="13"/>
      <c r="E942" s="13"/>
      <c r="F942" s="13"/>
      <c r="G942" s="1804"/>
      <c r="H942" s="1183"/>
      <c r="I942" s="1804"/>
      <c r="J942" s="1804"/>
      <c r="K942" s="141"/>
      <c r="L942" s="141"/>
      <c r="M942" s="141"/>
      <c r="N942" s="141"/>
      <c r="O942" s="141"/>
      <c r="P942" s="141"/>
      <c r="Q942" s="141"/>
      <c r="R942" s="31"/>
      <c r="S942" s="376">
        <v>9</v>
      </c>
      <c r="T942" s="376">
        <f t="shared" si="706"/>
        <v>0</v>
      </c>
      <c r="U942" s="62">
        <f t="shared" si="711"/>
        <v>0</v>
      </c>
      <c r="V942" s="728">
        <f t="shared" si="712"/>
        <v>0</v>
      </c>
      <c r="W942" s="62">
        <f t="shared" si="713"/>
        <v>0</v>
      </c>
      <c r="X942" s="214">
        <f t="shared" si="714"/>
        <v>0</v>
      </c>
      <c r="Y942" s="378">
        <f t="shared" si="715"/>
        <v>0</v>
      </c>
      <c r="Z942" s="214" t="e">
        <f>XNPV(Input!$I$276,Calcs!AG942:EV942,Calcs!AG$933:EV$933)</f>
        <v>#NUM!</v>
      </c>
      <c r="AA942" s="764">
        <f t="shared" si="716"/>
        <v>0</v>
      </c>
      <c r="AB942" s="764">
        <f t="shared" si="717"/>
        <v>0</v>
      </c>
      <c r="AC942" s="29"/>
      <c r="AD942" s="29"/>
      <c r="AE942" s="376">
        <f t="shared" si="707"/>
        <v>0</v>
      </c>
      <c r="AF942" s="376"/>
      <c r="AG942" s="763">
        <f t="shared" si="708"/>
        <v>0</v>
      </c>
      <c r="AH942" s="763">
        <f t="shared" si="722"/>
        <v>0</v>
      </c>
      <c r="AI942" s="763">
        <f t="shared" si="722"/>
        <v>0</v>
      </c>
      <c r="AJ942" s="763">
        <f t="shared" si="722"/>
        <v>0</v>
      </c>
      <c r="AK942" s="763">
        <f t="shared" si="722"/>
        <v>0</v>
      </c>
      <c r="AL942" s="763">
        <f t="shared" si="722"/>
        <v>0</v>
      </c>
      <c r="AM942" s="763">
        <f t="shared" si="722"/>
        <v>0</v>
      </c>
      <c r="AN942" s="763">
        <f t="shared" si="722"/>
        <v>0</v>
      </c>
      <c r="AO942" s="763">
        <f t="shared" si="722"/>
        <v>0</v>
      </c>
      <c r="AP942" s="763">
        <f t="shared" si="722"/>
        <v>0</v>
      </c>
      <c r="AQ942" s="763">
        <f t="shared" si="722"/>
        <v>0</v>
      </c>
      <c r="AR942" s="763">
        <f t="shared" si="722"/>
        <v>0</v>
      </c>
      <c r="AS942" s="763">
        <f t="shared" si="722"/>
        <v>0</v>
      </c>
      <c r="AT942" s="763">
        <f t="shared" si="722"/>
        <v>0</v>
      </c>
      <c r="AU942" s="763">
        <f t="shared" si="722"/>
        <v>0</v>
      </c>
      <c r="AV942" s="763">
        <f t="shared" si="722"/>
        <v>0</v>
      </c>
      <c r="AW942" s="763">
        <f t="shared" si="722"/>
        <v>0</v>
      </c>
      <c r="AX942" s="763">
        <f t="shared" si="722"/>
        <v>0</v>
      </c>
      <c r="AY942" s="763">
        <f t="shared" si="722"/>
        <v>0</v>
      </c>
      <c r="AZ942" s="763">
        <f t="shared" si="722"/>
        <v>0</v>
      </c>
      <c r="BA942" s="763">
        <f t="shared" si="722"/>
        <v>0</v>
      </c>
      <c r="BB942" s="763">
        <f t="shared" si="722"/>
        <v>0</v>
      </c>
      <c r="BC942" s="763">
        <f t="shared" si="722"/>
        <v>0</v>
      </c>
      <c r="BD942" s="763">
        <f t="shared" si="722"/>
        <v>0</v>
      </c>
      <c r="BE942" s="763">
        <f t="shared" si="722"/>
        <v>0</v>
      </c>
      <c r="BF942" s="763">
        <f t="shared" si="722"/>
        <v>0</v>
      </c>
      <c r="BG942" s="763">
        <f t="shared" si="722"/>
        <v>0</v>
      </c>
      <c r="BH942" s="763">
        <f t="shared" si="722"/>
        <v>0</v>
      </c>
      <c r="BI942" s="763">
        <f t="shared" si="722"/>
        <v>0</v>
      </c>
      <c r="BJ942" s="763">
        <f t="shared" si="722"/>
        <v>0</v>
      </c>
      <c r="BK942" s="763">
        <f t="shared" si="722"/>
        <v>0</v>
      </c>
      <c r="BL942" s="763">
        <f t="shared" si="722"/>
        <v>0</v>
      </c>
      <c r="BM942" s="763">
        <f t="shared" si="722"/>
        <v>0</v>
      </c>
      <c r="BN942" s="763">
        <f t="shared" si="722"/>
        <v>0</v>
      </c>
      <c r="BO942" s="763">
        <f t="shared" si="722"/>
        <v>0</v>
      </c>
      <c r="BP942" s="763">
        <f t="shared" si="722"/>
        <v>0</v>
      </c>
      <c r="BQ942" s="763">
        <f t="shared" si="722"/>
        <v>0</v>
      </c>
      <c r="BR942" s="763">
        <f t="shared" si="722"/>
        <v>0</v>
      </c>
      <c r="BS942" s="763">
        <f t="shared" si="722"/>
        <v>0</v>
      </c>
      <c r="BT942" s="763">
        <f t="shared" si="722"/>
        <v>0</v>
      </c>
      <c r="BU942" s="763">
        <f t="shared" si="722"/>
        <v>0</v>
      </c>
      <c r="BV942" s="763">
        <f t="shared" si="722"/>
        <v>0</v>
      </c>
      <c r="BW942" s="763">
        <f t="shared" si="722"/>
        <v>0</v>
      </c>
      <c r="BX942" s="763">
        <f t="shared" si="722"/>
        <v>0</v>
      </c>
      <c r="BY942" s="763">
        <f t="shared" si="722"/>
        <v>0</v>
      </c>
      <c r="BZ942" s="763">
        <f t="shared" si="722"/>
        <v>0</v>
      </c>
      <c r="CA942" s="763">
        <f t="shared" si="722"/>
        <v>0</v>
      </c>
      <c r="CB942" s="763">
        <f t="shared" si="722"/>
        <v>0</v>
      </c>
      <c r="CC942" s="763">
        <f t="shared" si="722"/>
        <v>0</v>
      </c>
      <c r="CD942" s="763">
        <f t="shared" si="722"/>
        <v>0</v>
      </c>
      <c r="CE942" s="763">
        <f t="shared" si="722"/>
        <v>0</v>
      </c>
      <c r="CF942" s="763">
        <f t="shared" si="722"/>
        <v>0</v>
      </c>
      <c r="CG942" s="763">
        <f t="shared" si="722"/>
        <v>0</v>
      </c>
      <c r="CH942" s="763">
        <f t="shared" si="722"/>
        <v>0</v>
      </c>
      <c r="CI942" s="763">
        <f t="shared" si="722"/>
        <v>0</v>
      </c>
      <c r="CJ942" s="763">
        <f t="shared" si="722"/>
        <v>0</v>
      </c>
      <c r="CK942" s="763">
        <f t="shared" si="722"/>
        <v>0</v>
      </c>
      <c r="CL942" s="763">
        <f t="shared" si="722"/>
        <v>0</v>
      </c>
      <c r="CM942" s="763">
        <f t="shared" si="722"/>
        <v>0</v>
      </c>
      <c r="CN942" s="763">
        <f t="shared" si="722"/>
        <v>0</v>
      </c>
      <c r="CO942" s="763">
        <f t="shared" si="722"/>
        <v>0</v>
      </c>
      <c r="CP942" s="763">
        <f t="shared" si="722"/>
        <v>0</v>
      </c>
      <c r="CQ942" s="763">
        <f t="shared" si="722"/>
        <v>0</v>
      </c>
      <c r="CR942" s="763">
        <f t="shared" si="722"/>
        <v>0</v>
      </c>
      <c r="CS942" s="763">
        <f t="shared" si="722"/>
        <v>0</v>
      </c>
      <c r="CT942" s="763">
        <f t="shared" si="721"/>
        <v>0</v>
      </c>
      <c r="CU942" s="763">
        <f t="shared" si="721"/>
        <v>0</v>
      </c>
      <c r="CV942" s="763">
        <f t="shared" si="721"/>
        <v>0</v>
      </c>
      <c r="CW942" s="763">
        <f t="shared" si="721"/>
        <v>0</v>
      </c>
      <c r="CX942" s="763">
        <f t="shared" si="721"/>
        <v>0</v>
      </c>
      <c r="CY942" s="763">
        <f t="shared" si="721"/>
        <v>0</v>
      </c>
      <c r="CZ942" s="763">
        <f t="shared" si="721"/>
        <v>0</v>
      </c>
      <c r="DA942" s="763">
        <f t="shared" si="721"/>
        <v>0</v>
      </c>
      <c r="DB942" s="763">
        <f t="shared" si="721"/>
        <v>0</v>
      </c>
      <c r="DC942" s="763">
        <f t="shared" si="721"/>
        <v>0</v>
      </c>
      <c r="DD942" s="763">
        <f t="shared" si="721"/>
        <v>0</v>
      </c>
      <c r="DE942" s="763">
        <f t="shared" si="721"/>
        <v>0</v>
      </c>
      <c r="DF942" s="763">
        <f t="shared" si="721"/>
        <v>0</v>
      </c>
      <c r="DG942" s="763">
        <f t="shared" si="721"/>
        <v>0</v>
      </c>
      <c r="DH942" s="763">
        <f t="shared" si="721"/>
        <v>0</v>
      </c>
      <c r="DI942" s="763">
        <f t="shared" si="721"/>
        <v>0</v>
      </c>
      <c r="DJ942" s="763">
        <f t="shared" si="721"/>
        <v>0</v>
      </c>
      <c r="DK942" s="763">
        <f t="shared" si="721"/>
        <v>0</v>
      </c>
      <c r="DL942" s="763">
        <f t="shared" si="721"/>
        <v>0</v>
      </c>
      <c r="DM942" s="763">
        <f t="shared" si="721"/>
        <v>0</v>
      </c>
      <c r="DN942" s="763">
        <f t="shared" si="721"/>
        <v>0</v>
      </c>
      <c r="DO942" s="763">
        <f t="shared" si="721"/>
        <v>0</v>
      </c>
      <c r="DP942" s="763">
        <f t="shared" si="721"/>
        <v>0</v>
      </c>
      <c r="DQ942" s="763">
        <f t="shared" si="721"/>
        <v>0</v>
      </c>
      <c r="DR942" s="763">
        <f t="shared" si="721"/>
        <v>0</v>
      </c>
      <c r="DS942" s="763">
        <f t="shared" si="721"/>
        <v>0</v>
      </c>
      <c r="DT942" s="763">
        <f t="shared" si="721"/>
        <v>0</v>
      </c>
      <c r="DU942" s="763">
        <f t="shared" si="721"/>
        <v>0</v>
      </c>
      <c r="DV942" s="763">
        <f t="shared" si="721"/>
        <v>0</v>
      </c>
      <c r="DW942" s="763">
        <f t="shared" si="721"/>
        <v>0</v>
      </c>
      <c r="DX942" s="763">
        <f t="shared" si="721"/>
        <v>0</v>
      </c>
      <c r="DY942" s="763">
        <f t="shared" si="721"/>
        <v>0</v>
      </c>
      <c r="DZ942" s="763">
        <f t="shared" si="721"/>
        <v>0</v>
      </c>
      <c r="EA942" s="763">
        <f t="shared" si="721"/>
        <v>0</v>
      </c>
      <c r="EB942" s="763">
        <f t="shared" si="721"/>
        <v>0</v>
      </c>
      <c r="EC942" s="763">
        <f t="shared" si="721"/>
        <v>0</v>
      </c>
      <c r="ED942" s="763">
        <f t="shared" si="721"/>
        <v>0</v>
      </c>
      <c r="EE942" s="763">
        <f t="shared" si="721"/>
        <v>0</v>
      </c>
      <c r="EF942" s="763">
        <f t="shared" si="721"/>
        <v>0</v>
      </c>
      <c r="EG942" s="763">
        <f t="shared" si="721"/>
        <v>0</v>
      </c>
      <c r="EH942" s="763">
        <f t="shared" si="721"/>
        <v>0</v>
      </c>
      <c r="EI942" s="763">
        <f t="shared" si="721"/>
        <v>0</v>
      </c>
      <c r="EJ942" s="763">
        <f t="shared" si="721"/>
        <v>0</v>
      </c>
      <c r="EK942" s="763">
        <f t="shared" si="721"/>
        <v>0</v>
      </c>
      <c r="EL942" s="763">
        <f t="shared" si="721"/>
        <v>0</v>
      </c>
      <c r="EM942" s="763">
        <f t="shared" si="721"/>
        <v>0</v>
      </c>
      <c r="EN942" s="763">
        <f t="shared" si="721"/>
        <v>0</v>
      </c>
      <c r="EO942" s="763">
        <f t="shared" si="721"/>
        <v>0</v>
      </c>
      <c r="EP942" s="763">
        <f t="shared" si="721"/>
        <v>0</v>
      </c>
      <c r="EQ942" s="763">
        <f t="shared" si="721"/>
        <v>0</v>
      </c>
      <c r="ER942" s="763">
        <f t="shared" si="721"/>
        <v>0</v>
      </c>
      <c r="ES942" s="763">
        <f t="shared" si="721"/>
        <v>0</v>
      </c>
      <c r="ET942" s="763">
        <f t="shared" si="721"/>
        <v>0</v>
      </c>
      <c r="EU942" s="763">
        <f t="shared" si="721"/>
        <v>0</v>
      </c>
      <c r="EV942" s="763">
        <f t="shared" si="721"/>
        <v>0</v>
      </c>
    </row>
    <row r="943" spans="1:152" s="12" customFormat="1" ht="12" customHeight="1" x14ac:dyDescent="0.35">
      <c r="A943" s="84"/>
      <c r="B943" s="13"/>
      <c r="C943" s="13"/>
      <c r="D943" s="13"/>
      <c r="E943" s="13"/>
      <c r="F943" s="13"/>
      <c r="G943" s="1804"/>
      <c r="H943" s="1183"/>
      <c r="I943" s="1804"/>
      <c r="J943" s="1804"/>
      <c r="K943" s="141"/>
      <c r="L943" s="141"/>
      <c r="M943" s="141"/>
      <c r="N943" s="141"/>
      <c r="O943" s="141"/>
      <c r="P943" s="141"/>
      <c r="Q943" s="141"/>
      <c r="R943" s="31"/>
      <c r="S943" s="376">
        <v>10</v>
      </c>
      <c r="T943" s="376">
        <f t="shared" si="706"/>
        <v>0</v>
      </c>
      <c r="U943" s="62">
        <f t="shared" si="711"/>
        <v>0</v>
      </c>
      <c r="V943" s="728">
        <f t="shared" si="712"/>
        <v>0</v>
      </c>
      <c r="W943" s="62">
        <f t="shared" si="713"/>
        <v>0</v>
      </c>
      <c r="X943" s="214">
        <f t="shared" si="714"/>
        <v>0</v>
      </c>
      <c r="Y943" s="378">
        <f t="shared" si="715"/>
        <v>0</v>
      </c>
      <c r="Z943" s="214" t="e">
        <f>XNPV(Input!$I$276,Calcs!AG943:EV943,Calcs!AG$933:EV$933)</f>
        <v>#NUM!</v>
      </c>
      <c r="AA943" s="764">
        <f t="shared" si="716"/>
        <v>0</v>
      </c>
      <c r="AB943" s="764">
        <f t="shared" si="717"/>
        <v>0</v>
      </c>
      <c r="AC943" s="29"/>
      <c r="AD943" s="29"/>
      <c r="AE943" s="376">
        <f t="shared" si="707"/>
        <v>0</v>
      </c>
      <c r="AF943" s="376"/>
      <c r="AG943" s="763">
        <f t="shared" si="708"/>
        <v>0</v>
      </c>
      <c r="AH943" s="763">
        <f t="shared" si="722"/>
        <v>0</v>
      </c>
      <c r="AI943" s="763">
        <f t="shared" si="722"/>
        <v>0</v>
      </c>
      <c r="AJ943" s="763">
        <f t="shared" si="722"/>
        <v>0</v>
      </c>
      <c r="AK943" s="763">
        <f t="shared" si="722"/>
        <v>0</v>
      </c>
      <c r="AL943" s="763">
        <f t="shared" si="722"/>
        <v>0</v>
      </c>
      <c r="AM943" s="763">
        <f t="shared" si="722"/>
        <v>0</v>
      </c>
      <c r="AN943" s="763">
        <f t="shared" si="722"/>
        <v>0</v>
      </c>
      <c r="AO943" s="763">
        <f t="shared" si="722"/>
        <v>0</v>
      </c>
      <c r="AP943" s="763">
        <f t="shared" si="722"/>
        <v>0</v>
      </c>
      <c r="AQ943" s="763">
        <f t="shared" si="722"/>
        <v>0</v>
      </c>
      <c r="AR943" s="763">
        <f t="shared" si="722"/>
        <v>0</v>
      </c>
      <c r="AS943" s="763">
        <f t="shared" si="722"/>
        <v>0</v>
      </c>
      <c r="AT943" s="763">
        <f t="shared" si="722"/>
        <v>0</v>
      </c>
      <c r="AU943" s="763">
        <f t="shared" si="722"/>
        <v>0</v>
      </c>
      <c r="AV943" s="763">
        <f t="shared" si="722"/>
        <v>0</v>
      </c>
      <c r="AW943" s="763">
        <f t="shared" si="722"/>
        <v>0</v>
      </c>
      <c r="AX943" s="763">
        <f t="shared" si="722"/>
        <v>0</v>
      </c>
      <c r="AY943" s="763">
        <f t="shared" si="722"/>
        <v>0</v>
      </c>
      <c r="AZ943" s="763">
        <f t="shared" si="722"/>
        <v>0</v>
      </c>
      <c r="BA943" s="763">
        <f t="shared" si="722"/>
        <v>0</v>
      </c>
      <c r="BB943" s="763">
        <f t="shared" si="722"/>
        <v>0</v>
      </c>
      <c r="BC943" s="763">
        <f t="shared" si="722"/>
        <v>0</v>
      </c>
      <c r="BD943" s="763">
        <f t="shared" si="722"/>
        <v>0</v>
      </c>
      <c r="BE943" s="763">
        <f t="shared" si="722"/>
        <v>0</v>
      </c>
      <c r="BF943" s="763">
        <f t="shared" si="722"/>
        <v>0</v>
      </c>
      <c r="BG943" s="763">
        <f t="shared" si="722"/>
        <v>0</v>
      </c>
      <c r="BH943" s="763">
        <f t="shared" si="722"/>
        <v>0</v>
      </c>
      <c r="BI943" s="763">
        <f t="shared" si="722"/>
        <v>0</v>
      </c>
      <c r="BJ943" s="763">
        <f t="shared" si="722"/>
        <v>0</v>
      </c>
      <c r="BK943" s="763">
        <f t="shared" si="722"/>
        <v>0</v>
      </c>
      <c r="BL943" s="763">
        <f t="shared" si="722"/>
        <v>0</v>
      </c>
      <c r="BM943" s="763">
        <f t="shared" si="722"/>
        <v>0</v>
      </c>
      <c r="BN943" s="763">
        <f t="shared" si="722"/>
        <v>0</v>
      </c>
      <c r="BO943" s="763">
        <f t="shared" si="722"/>
        <v>0</v>
      </c>
      <c r="BP943" s="763">
        <f t="shared" si="722"/>
        <v>0</v>
      </c>
      <c r="BQ943" s="763">
        <f t="shared" si="722"/>
        <v>0</v>
      </c>
      <c r="BR943" s="763">
        <f t="shared" si="722"/>
        <v>0</v>
      </c>
      <c r="BS943" s="763">
        <f t="shared" si="722"/>
        <v>0</v>
      </c>
      <c r="BT943" s="763">
        <f t="shared" si="722"/>
        <v>0</v>
      </c>
      <c r="BU943" s="763">
        <f t="shared" si="722"/>
        <v>0</v>
      </c>
      <c r="BV943" s="763">
        <f t="shared" si="722"/>
        <v>0</v>
      </c>
      <c r="BW943" s="763">
        <f t="shared" si="722"/>
        <v>0</v>
      </c>
      <c r="BX943" s="763">
        <f t="shared" si="722"/>
        <v>0</v>
      </c>
      <c r="BY943" s="763">
        <f t="shared" si="722"/>
        <v>0</v>
      </c>
      <c r="BZ943" s="763">
        <f t="shared" si="722"/>
        <v>0</v>
      </c>
      <c r="CA943" s="763">
        <f t="shared" si="722"/>
        <v>0</v>
      </c>
      <c r="CB943" s="763">
        <f t="shared" si="722"/>
        <v>0</v>
      </c>
      <c r="CC943" s="763">
        <f t="shared" si="722"/>
        <v>0</v>
      </c>
      <c r="CD943" s="763">
        <f t="shared" si="722"/>
        <v>0</v>
      </c>
      <c r="CE943" s="763">
        <f t="shared" si="722"/>
        <v>0</v>
      </c>
      <c r="CF943" s="763">
        <f t="shared" si="722"/>
        <v>0</v>
      </c>
      <c r="CG943" s="763">
        <f t="shared" si="722"/>
        <v>0</v>
      </c>
      <c r="CH943" s="763">
        <f t="shared" si="722"/>
        <v>0</v>
      </c>
      <c r="CI943" s="763">
        <f t="shared" si="722"/>
        <v>0</v>
      </c>
      <c r="CJ943" s="763">
        <f t="shared" si="722"/>
        <v>0</v>
      </c>
      <c r="CK943" s="763">
        <f t="shared" si="722"/>
        <v>0</v>
      </c>
      <c r="CL943" s="763">
        <f t="shared" si="722"/>
        <v>0</v>
      </c>
      <c r="CM943" s="763">
        <f t="shared" si="722"/>
        <v>0</v>
      </c>
      <c r="CN943" s="763">
        <f t="shared" si="722"/>
        <v>0</v>
      </c>
      <c r="CO943" s="763">
        <f t="shared" si="722"/>
        <v>0</v>
      </c>
      <c r="CP943" s="763">
        <f t="shared" si="722"/>
        <v>0</v>
      </c>
      <c r="CQ943" s="763">
        <f t="shared" si="722"/>
        <v>0</v>
      </c>
      <c r="CR943" s="763">
        <f t="shared" si="722"/>
        <v>0</v>
      </c>
      <c r="CS943" s="763">
        <f t="shared" ref="CS943:EV947" si="723">SUMIF($AE$915:$AE$930,$AE943,CS$915:CS$930)</f>
        <v>0</v>
      </c>
      <c r="CT943" s="763">
        <f t="shared" si="723"/>
        <v>0</v>
      </c>
      <c r="CU943" s="763">
        <f t="shared" si="723"/>
        <v>0</v>
      </c>
      <c r="CV943" s="763">
        <f t="shared" si="723"/>
        <v>0</v>
      </c>
      <c r="CW943" s="763">
        <f t="shared" si="723"/>
        <v>0</v>
      </c>
      <c r="CX943" s="763">
        <f t="shared" si="723"/>
        <v>0</v>
      </c>
      <c r="CY943" s="763">
        <f t="shared" si="723"/>
        <v>0</v>
      </c>
      <c r="CZ943" s="763">
        <f t="shared" si="723"/>
        <v>0</v>
      </c>
      <c r="DA943" s="763">
        <f t="shared" si="723"/>
        <v>0</v>
      </c>
      <c r="DB943" s="763">
        <f t="shared" si="723"/>
        <v>0</v>
      </c>
      <c r="DC943" s="763">
        <f t="shared" si="723"/>
        <v>0</v>
      </c>
      <c r="DD943" s="763">
        <f t="shared" si="723"/>
        <v>0</v>
      </c>
      <c r="DE943" s="763">
        <f t="shared" si="723"/>
        <v>0</v>
      </c>
      <c r="DF943" s="763">
        <f t="shared" si="723"/>
        <v>0</v>
      </c>
      <c r="DG943" s="763">
        <f t="shared" si="723"/>
        <v>0</v>
      </c>
      <c r="DH943" s="763">
        <f t="shared" si="723"/>
        <v>0</v>
      </c>
      <c r="DI943" s="763">
        <f t="shared" si="723"/>
        <v>0</v>
      </c>
      <c r="DJ943" s="763">
        <f t="shared" si="723"/>
        <v>0</v>
      </c>
      <c r="DK943" s="763">
        <f t="shared" si="723"/>
        <v>0</v>
      </c>
      <c r="DL943" s="763">
        <f t="shared" si="723"/>
        <v>0</v>
      </c>
      <c r="DM943" s="763">
        <f t="shared" si="723"/>
        <v>0</v>
      </c>
      <c r="DN943" s="763">
        <f t="shared" si="723"/>
        <v>0</v>
      </c>
      <c r="DO943" s="763">
        <f t="shared" si="723"/>
        <v>0</v>
      </c>
      <c r="DP943" s="763">
        <f t="shared" si="723"/>
        <v>0</v>
      </c>
      <c r="DQ943" s="763">
        <f t="shared" si="723"/>
        <v>0</v>
      </c>
      <c r="DR943" s="763">
        <f t="shared" si="723"/>
        <v>0</v>
      </c>
      <c r="DS943" s="763">
        <f t="shared" si="723"/>
        <v>0</v>
      </c>
      <c r="DT943" s="763">
        <f t="shared" si="723"/>
        <v>0</v>
      </c>
      <c r="DU943" s="763">
        <f t="shared" si="723"/>
        <v>0</v>
      </c>
      <c r="DV943" s="763">
        <f t="shared" si="723"/>
        <v>0</v>
      </c>
      <c r="DW943" s="763">
        <f t="shared" si="723"/>
        <v>0</v>
      </c>
      <c r="DX943" s="763">
        <f t="shared" si="723"/>
        <v>0</v>
      </c>
      <c r="DY943" s="763">
        <f t="shared" si="723"/>
        <v>0</v>
      </c>
      <c r="DZ943" s="763">
        <f t="shared" si="723"/>
        <v>0</v>
      </c>
      <c r="EA943" s="763">
        <f t="shared" si="723"/>
        <v>0</v>
      </c>
      <c r="EB943" s="763">
        <f t="shared" si="723"/>
        <v>0</v>
      </c>
      <c r="EC943" s="763">
        <f t="shared" si="723"/>
        <v>0</v>
      </c>
      <c r="ED943" s="763">
        <f t="shared" si="723"/>
        <v>0</v>
      </c>
      <c r="EE943" s="763">
        <f t="shared" si="723"/>
        <v>0</v>
      </c>
      <c r="EF943" s="763">
        <f t="shared" si="723"/>
        <v>0</v>
      </c>
      <c r="EG943" s="763">
        <f t="shared" si="723"/>
        <v>0</v>
      </c>
      <c r="EH943" s="763">
        <f t="shared" si="723"/>
        <v>0</v>
      </c>
      <c r="EI943" s="763">
        <f t="shared" si="723"/>
        <v>0</v>
      </c>
      <c r="EJ943" s="763">
        <f t="shared" si="723"/>
        <v>0</v>
      </c>
      <c r="EK943" s="763">
        <f t="shared" si="723"/>
        <v>0</v>
      </c>
      <c r="EL943" s="763">
        <f t="shared" si="723"/>
        <v>0</v>
      </c>
      <c r="EM943" s="763">
        <f t="shared" si="723"/>
        <v>0</v>
      </c>
      <c r="EN943" s="763">
        <f t="shared" si="723"/>
        <v>0</v>
      </c>
      <c r="EO943" s="763">
        <f t="shared" si="723"/>
        <v>0</v>
      </c>
      <c r="EP943" s="763">
        <f t="shared" si="723"/>
        <v>0</v>
      </c>
      <c r="EQ943" s="763">
        <f t="shared" si="723"/>
        <v>0</v>
      </c>
      <c r="ER943" s="763">
        <f t="shared" si="723"/>
        <v>0</v>
      </c>
      <c r="ES943" s="763">
        <f t="shared" si="723"/>
        <v>0</v>
      </c>
      <c r="ET943" s="763">
        <f t="shared" si="723"/>
        <v>0</v>
      </c>
      <c r="EU943" s="763">
        <f t="shared" si="723"/>
        <v>0</v>
      </c>
      <c r="EV943" s="763">
        <f t="shared" si="723"/>
        <v>0</v>
      </c>
    </row>
    <row r="944" spans="1:152" s="12" customFormat="1" ht="12" customHeight="1" x14ac:dyDescent="0.35">
      <c r="A944" s="84"/>
      <c r="B944" s="13"/>
      <c r="C944" s="13"/>
      <c r="D944" s="13"/>
      <c r="E944" s="13"/>
      <c r="F944" s="13"/>
      <c r="G944" s="1804"/>
      <c r="H944" s="1183"/>
      <c r="I944" s="1804"/>
      <c r="J944" s="1804"/>
      <c r="K944" s="141"/>
      <c r="L944" s="141"/>
      <c r="M944" s="141"/>
      <c r="N944" s="141" t="s">
        <v>559</v>
      </c>
      <c r="O944" s="141"/>
      <c r="P944" s="141"/>
      <c r="Q944" s="141"/>
      <c r="R944" s="31"/>
      <c r="S944" s="376">
        <v>11</v>
      </c>
      <c r="T944" s="376">
        <f t="shared" si="706"/>
        <v>0</v>
      </c>
      <c r="U944" s="62">
        <f t="shared" si="711"/>
        <v>0</v>
      </c>
      <c r="V944" s="728">
        <f t="shared" si="712"/>
        <v>0</v>
      </c>
      <c r="W944" s="62">
        <f t="shared" si="713"/>
        <v>0</v>
      </c>
      <c r="X944" s="214">
        <f t="shared" si="714"/>
        <v>0</v>
      </c>
      <c r="Y944" s="378">
        <f t="shared" si="715"/>
        <v>0</v>
      </c>
      <c r="Z944" s="214" t="e">
        <f>XNPV(Input!$I$276,Calcs!AG944:EV944,Calcs!AG$933:EV$933)</f>
        <v>#NUM!</v>
      </c>
      <c r="AA944" s="764">
        <f t="shared" si="716"/>
        <v>0</v>
      </c>
      <c r="AB944" s="764">
        <f t="shared" si="717"/>
        <v>0</v>
      </c>
      <c r="AC944" s="29"/>
      <c r="AD944" s="29"/>
      <c r="AE944" s="376">
        <f t="shared" si="707"/>
        <v>0</v>
      </c>
      <c r="AF944" s="376"/>
      <c r="AG944" s="763">
        <f t="shared" si="708"/>
        <v>0</v>
      </c>
      <c r="AH944" s="763">
        <f t="shared" ref="AH944:CR948" si="724">SUMIF($AE$915:$AE$930,$AE944,AH$915:AH$930)</f>
        <v>0</v>
      </c>
      <c r="AI944" s="763">
        <f t="shared" si="724"/>
        <v>0</v>
      </c>
      <c r="AJ944" s="763">
        <f t="shared" si="724"/>
        <v>0</v>
      </c>
      <c r="AK944" s="763">
        <f t="shared" si="724"/>
        <v>0</v>
      </c>
      <c r="AL944" s="763">
        <f t="shared" si="724"/>
        <v>0</v>
      </c>
      <c r="AM944" s="763">
        <f t="shared" si="724"/>
        <v>0</v>
      </c>
      <c r="AN944" s="763">
        <f t="shared" si="724"/>
        <v>0</v>
      </c>
      <c r="AO944" s="763">
        <f t="shared" si="724"/>
        <v>0</v>
      </c>
      <c r="AP944" s="763">
        <f t="shared" si="724"/>
        <v>0</v>
      </c>
      <c r="AQ944" s="763">
        <f t="shared" si="724"/>
        <v>0</v>
      </c>
      <c r="AR944" s="763">
        <f t="shared" si="724"/>
        <v>0</v>
      </c>
      <c r="AS944" s="763">
        <f t="shared" si="724"/>
        <v>0</v>
      </c>
      <c r="AT944" s="763">
        <f t="shared" si="724"/>
        <v>0</v>
      </c>
      <c r="AU944" s="763">
        <f t="shared" si="724"/>
        <v>0</v>
      </c>
      <c r="AV944" s="763">
        <f t="shared" si="724"/>
        <v>0</v>
      </c>
      <c r="AW944" s="763">
        <f t="shared" si="724"/>
        <v>0</v>
      </c>
      <c r="AX944" s="763">
        <f t="shared" si="724"/>
        <v>0</v>
      </c>
      <c r="AY944" s="763">
        <f t="shared" si="724"/>
        <v>0</v>
      </c>
      <c r="AZ944" s="763">
        <f t="shared" si="724"/>
        <v>0</v>
      </c>
      <c r="BA944" s="763">
        <f t="shared" si="724"/>
        <v>0</v>
      </c>
      <c r="BB944" s="763">
        <f t="shared" si="724"/>
        <v>0</v>
      </c>
      <c r="BC944" s="763">
        <f t="shared" si="724"/>
        <v>0</v>
      </c>
      <c r="BD944" s="763">
        <f t="shared" si="724"/>
        <v>0</v>
      </c>
      <c r="BE944" s="763">
        <f t="shared" si="724"/>
        <v>0</v>
      </c>
      <c r="BF944" s="763">
        <f t="shared" si="724"/>
        <v>0</v>
      </c>
      <c r="BG944" s="763">
        <f t="shared" si="724"/>
        <v>0</v>
      </c>
      <c r="BH944" s="763">
        <f t="shared" si="724"/>
        <v>0</v>
      </c>
      <c r="BI944" s="763">
        <f t="shared" si="724"/>
        <v>0</v>
      </c>
      <c r="BJ944" s="763">
        <f t="shared" si="724"/>
        <v>0</v>
      </c>
      <c r="BK944" s="763">
        <f t="shared" si="724"/>
        <v>0</v>
      </c>
      <c r="BL944" s="763">
        <f t="shared" si="724"/>
        <v>0</v>
      </c>
      <c r="BM944" s="763">
        <f t="shared" si="724"/>
        <v>0</v>
      </c>
      <c r="BN944" s="763">
        <f t="shared" si="724"/>
        <v>0</v>
      </c>
      <c r="BO944" s="763">
        <f t="shared" si="724"/>
        <v>0</v>
      </c>
      <c r="BP944" s="763">
        <f t="shared" si="724"/>
        <v>0</v>
      </c>
      <c r="BQ944" s="763">
        <f t="shared" si="724"/>
        <v>0</v>
      </c>
      <c r="BR944" s="763">
        <f t="shared" si="724"/>
        <v>0</v>
      </c>
      <c r="BS944" s="763">
        <f t="shared" si="724"/>
        <v>0</v>
      </c>
      <c r="BT944" s="763">
        <f t="shared" si="724"/>
        <v>0</v>
      </c>
      <c r="BU944" s="763">
        <f t="shared" si="724"/>
        <v>0</v>
      </c>
      <c r="BV944" s="763">
        <f t="shared" si="724"/>
        <v>0</v>
      </c>
      <c r="BW944" s="763">
        <f t="shared" si="724"/>
        <v>0</v>
      </c>
      <c r="BX944" s="763">
        <f t="shared" si="724"/>
        <v>0</v>
      </c>
      <c r="BY944" s="763">
        <f t="shared" si="724"/>
        <v>0</v>
      </c>
      <c r="BZ944" s="763">
        <f t="shared" si="724"/>
        <v>0</v>
      </c>
      <c r="CA944" s="763">
        <f t="shared" si="724"/>
        <v>0</v>
      </c>
      <c r="CB944" s="763">
        <f t="shared" si="724"/>
        <v>0</v>
      </c>
      <c r="CC944" s="763">
        <f t="shared" si="724"/>
        <v>0</v>
      </c>
      <c r="CD944" s="763">
        <f t="shared" si="724"/>
        <v>0</v>
      </c>
      <c r="CE944" s="763">
        <f t="shared" si="724"/>
        <v>0</v>
      </c>
      <c r="CF944" s="763">
        <f t="shared" si="724"/>
        <v>0</v>
      </c>
      <c r="CG944" s="763">
        <f t="shared" si="724"/>
        <v>0</v>
      </c>
      <c r="CH944" s="763">
        <f t="shared" si="724"/>
        <v>0</v>
      </c>
      <c r="CI944" s="763">
        <f t="shared" si="724"/>
        <v>0</v>
      </c>
      <c r="CJ944" s="763">
        <f t="shared" si="724"/>
        <v>0</v>
      </c>
      <c r="CK944" s="763">
        <f t="shared" si="724"/>
        <v>0</v>
      </c>
      <c r="CL944" s="763">
        <f t="shared" si="724"/>
        <v>0</v>
      </c>
      <c r="CM944" s="763">
        <f t="shared" si="724"/>
        <v>0</v>
      </c>
      <c r="CN944" s="763">
        <f t="shared" si="724"/>
        <v>0</v>
      </c>
      <c r="CO944" s="763">
        <f t="shared" si="724"/>
        <v>0</v>
      </c>
      <c r="CP944" s="763">
        <f t="shared" si="724"/>
        <v>0</v>
      </c>
      <c r="CQ944" s="763">
        <f t="shared" si="724"/>
        <v>0</v>
      </c>
      <c r="CR944" s="763">
        <f t="shared" si="724"/>
        <v>0</v>
      </c>
      <c r="CS944" s="763">
        <f t="shared" si="723"/>
        <v>0</v>
      </c>
      <c r="CT944" s="763">
        <f t="shared" si="723"/>
        <v>0</v>
      </c>
      <c r="CU944" s="763">
        <f t="shared" si="723"/>
        <v>0</v>
      </c>
      <c r="CV944" s="763">
        <f t="shared" si="723"/>
        <v>0</v>
      </c>
      <c r="CW944" s="763">
        <f t="shared" si="723"/>
        <v>0</v>
      </c>
      <c r="CX944" s="763">
        <f t="shared" si="723"/>
        <v>0</v>
      </c>
      <c r="CY944" s="763">
        <f t="shared" si="723"/>
        <v>0</v>
      </c>
      <c r="CZ944" s="763">
        <f t="shared" si="723"/>
        <v>0</v>
      </c>
      <c r="DA944" s="763">
        <f t="shared" si="723"/>
        <v>0</v>
      </c>
      <c r="DB944" s="763">
        <f t="shared" si="723"/>
        <v>0</v>
      </c>
      <c r="DC944" s="763">
        <f t="shared" si="723"/>
        <v>0</v>
      </c>
      <c r="DD944" s="763">
        <f t="shared" si="723"/>
        <v>0</v>
      </c>
      <c r="DE944" s="763">
        <f t="shared" si="723"/>
        <v>0</v>
      </c>
      <c r="DF944" s="763">
        <f t="shared" si="723"/>
        <v>0</v>
      </c>
      <c r="DG944" s="763">
        <f t="shared" si="723"/>
        <v>0</v>
      </c>
      <c r="DH944" s="763">
        <f t="shared" si="723"/>
        <v>0</v>
      </c>
      <c r="DI944" s="763">
        <f t="shared" si="723"/>
        <v>0</v>
      </c>
      <c r="DJ944" s="763">
        <f t="shared" si="723"/>
        <v>0</v>
      </c>
      <c r="DK944" s="763">
        <f t="shared" si="723"/>
        <v>0</v>
      </c>
      <c r="DL944" s="763">
        <f t="shared" si="723"/>
        <v>0</v>
      </c>
      <c r="DM944" s="763">
        <f t="shared" si="723"/>
        <v>0</v>
      </c>
      <c r="DN944" s="763">
        <f t="shared" si="723"/>
        <v>0</v>
      </c>
      <c r="DO944" s="763">
        <f t="shared" si="723"/>
        <v>0</v>
      </c>
      <c r="DP944" s="763">
        <f t="shared" si="723"/>
        <v>0</v>
      </c>
      <c r="DQ944" s="763">
        <f t="shared" si="723"/>
        <v>0</v>
      </c>
      <c r="DR944" s="763">
        <f t="shared" si="723"/>
        <v>0</v>
      </c>
      <c r="DS944" s="763">
        <f t="shared" si="723"/>
        <v>0</v>
      </c>
      <c r="DT944" s="763">
        <f t="shared" si="723"/>
        <v>0</v>
      </c>
      <c r="DU944" s="763">
        <f t="shared" si="723"/>
        <v>0</v>
      </c>
      <c r="DV944" s="763">
        <f t="shared" si="723"/>
        <v>0</v>
      </c>
      <c r="DW944" s="763">
        <f t="shared" si="723"/>
        <v>0</v>
      </c>
      <c r="DX944" s="763">
        <f t="shared" si="723"/>
        <v>0</v>
      </c>
      <c r="DY944" s="763">
        <f t="shared" si="723"/>
        <v>0</v>
      </c>
      <c r="DZ944" s="763">
        <f t="shared" si="723"/>
        <v>0</v>
      </c>
      <c r="EA944" s="763">
        <f t="shared" si="723"/>
        <v>0</v>
      </c>
      <c r="EB944" s="763">
        <f t="shared" si="723"/>
        <v>0</v>
      </c>
      <c r="EC944" s="763">
        <f t="shared" si="723"/>
        <v>0</v>
      </c>
      <c r="ED944" s="763">
        <f t="shared" si="723"/>
        <v>0</v>
      </c>
      <c r="EE944" s="763">
        <f t="shared" si="723"/>
        <v>0</v>
      </c>
      <c r="EF944" s="763">
        <f t="shared" si="723"/>
        <v>0</v>
      </c>
      <c r="EG944" s="763">
        <f t="shared" si="723"/>
        <v>0</v>
      </c>
      <c r="EH944" s="763">
        <f t="shared" si="723"/>
        <v>0</v>
      </c>
      <c r="EI944" s="763">
        <f t="shared" si="723"/>
        <v>0</v>
      </c>
      <c r="EJ944" s="763">
        <f t="shared" si="723"/>
        <v>0</v>
      </c>
      <c r="EK944" s="763">
        <f t="shared" si="723"/>
        <v>0</v>
      </c>
      <c r="EL944" s="763">
        <f t="shared" si="723"/>
        <v>0</v>
      </c>
      <c r="EM944" s="763">
        <f t="shared" si="723"/>
        <v>0</v>
      </c>
      <c r="EN944" s="763">
        <f t="shared" si="723"/>
        <v>0</v>
      </c>
      <c r="EO944" s="763">
        <f t="shared" si="723"/>
        <v>0</v>
      </c>
      <c r="EP944" s="763">
        <f t="shared" si="723"/>
        <v>0</v>
      </c>
      <c r="EQ944" s="763">
        <f t="shared" si="723"/>
        <v>0</v>
      </c>
      <c r="ER944" s="763">
        <f t="shared" si="723"/>
        <v>0</v>
      </c>
      <c r="ES944" s="763">
        <f t="shared" si="723"/>
        <v>0</v>
      </c>
      <c r="ET944" s="763">
        <f t="shared" si="723"/>
        <v>0</v>
      </c>
      <c r="EU944" s="763">
        <f t="shared" si="723"/>
        <v>0</v>
      </c>
      <c r="EV944" s="763">
        <f t="shared" si="723"/>
        <v>0</v>
      </c>
    </row>
    <row r="945" spans="1:152" s="12" customFormat="1" ht="12" customHeight="1" x14ac:dyDescent="0.35">
      <c r="A945" s="84"/>
      <c r="B945" s="13"/>
      <c r="C945" s="13"/>
      <c r="D945" s="13"/>
      <c r="E945" s="13"/>
      <c r="F945" s="13"/>
      <c r="G945" s="1804"/>
      <c r="H945" s="1183"/>
      <c r="I945" s="1804"/>
      <c r="J945" s="1804"/>
      <c r="K945" s="141"/>
      <c r="L945" s="141"/>
      <c r="M945" s="141"/>
      <c r="N945" s="141" t="s">
        <v>559</v>
      </c>
      <c r="O945" s="141"/>
      <c r="P945" s="141"/>
      <c r="Q945" s="141"/>
      <c r="R945" s="31"/>
      <c r="S945" s="376">
        <v>12</v>
      </c>
      <c r="T945" s="376">
        <f t="shared" si="706"/>
        <v>0</v>
      </c>
      <c r="U945" s="62">
        <f t="shared" si="711"/>
        <v>0</v>
      </c>
      <c r="V945" s="728">
        <f t="shared" si="712"/>
        <v>0</v>
      </c>
      <c r="W945" s="62">
        <f t="shared" si="713"/>
        <v>0</v>
      </c>
      <c r="X945" s="214">
        <f t="shared" si="714"/>
        <v>0</v>
      </c>
      <c r="Y945" s="378">
        <f t="shared" si="715"/>
        <v>0</v>
      </c>
      <c r="Z945" s="214" t="e">
        <f>XNPV(Input!$I$276,Calcs!AG945:EV945,Calcs!AG$933:EV$933)</f>
        <v>#NUM!</v>
      </c>
      <c r="AA945" s="764">
        <f t="shared" si="716"/>
        <v>0</v>
      </c>
      <c r="AB945" s="764">
        <f t="shared" si="717"/>
        <v>0</v>
      </c>
      <c r="AC945" s="29"/>
      <c r="AD945" s="29"/>
      <c r="AE945" s="376">
        <f t="shared" si="707"/>
        <v>0</v>
      </c>
      <c r="AF945" s="376"/>
      <c r="AG945" s="763">
        <f t="shared" si="708"/>
        <v>0</v>
      </c>
      <c r="AH945" s="763">
        <f t="shared" si="724"/>
        <v>0</v>
      </c>
      <c r="AI945" s="763">
        <f t="shared" si="724"/>
        <v>0</v>
      </c>
      <c r="AJ945" s="763">
        <f t="shared" si="724"/>
        <v>0</v>
      </c>
      <c r="AK945" s="763">
        <f t="shared" si="724"/>
        <v>0</v>
      </c>
      <c r="AL945" s="763">
        <f t="shared" si="724"/>
        <v>0</v>
      </c>
      <c r="AM945" s="763">
        <f t="shared" si="724"/>
        <v>0</v>
      </c>
      <c r="AN945" s="763">
        <f t="shared" si="724"/>
        <v>0</v>
      </c>
      <c r="AO945" s="763">
        <f t="shared" si="724"/>
        <v>0</v>
      </c>
      <c r="AP945" s="763">
        <f t="shared" si="724"/>
        <v>0</v>
      </c>
      <c r="AQ945" s="763">
        <f t="shared" si="724"/>
        <v>0</v>
      </c>
      <c r="AR945" s="763">
        <f t="shared" si="724"/>
        <v>0</v>
      </c>
      <c r="AS945" s="763">
        <f t="shared" si="724"/>
        <v>0</v>
      </c>
      <c r="AT945" s="763">
        <f t="shared" si="724"/>
        <v>0</v>
      </c>
      <c r="AU945" s="763">
        <f t="shared" si="724"/>
        <v>0</v>
      </c>
      <c r="AV945" s="763">
        <f t="shared" si="724"/>
        <v>0</v>
      </c>
      <c r="AW945" s="763">
        <f t="shared" si="724"/>
        <v>0</v>
      </c>
      <c r="AX945" s="763">
        <f t="shared" si="724"/>
        <v>0</v>
      </c>
      <c r="AY945" s="763">
        <f t="shared" si="724"/>
        <v>0</v>
      </c>
      <c r="AZ945" s="763">
        <f t="shared" si="724"/>
        <v>0</v>
      </c>
      <c r="BA945" s="763">
        <f t="shared" si="724"/>
        <v>0</v>
      </c>
      <c r="BB945" s="763">
        <f t="shared" si="724"/>
        <v>0</v>
      </c>
      <c r="BC945" s="763">
        <f t="shared" si="724"/>
        <v>0</v>
      </c>
      <c r="BD945" s="763">
        <f t="shared" si="724"/>
        <v>0</v>
      </c>
      <c r="BE945" s="763">
        <f t="shared" si="724"/>
        <v>0</v>
      </c>
      <c r="BF945" s="763">
        <f t="shared" si="724"/>
        <v>0</v>
      </c>
      <c r="BG945" s="763">
        <f t="shared" si="724"/>
        <v>0</v>
      </c>
      <c r="BH945" s="763">
        <f t="shared" si="724"/>
        <v>0</v>
      </c>
      <c r="BI945" s="763">
        <f t="shared" si="724"/>
        <v>0</v>
      </c>
      <c r="BJ945" s="763">
        <f t="shared" si="724"/>
        <v>0</v>
      </c>
      <c r="BK945" s="763">
        <f t="shared" si="724"/>
        <v>0</v>
      </c>
      <c r="BL945" s="763">
        <f t="shared" si="724"/>
        <v>0</v>
      </c>
      <c r="BM945" s="763">
        <f t="shared" si="724"/>
        <v>0</v>
      </c>
      <c r="BN945" s="763">
        <f t="shared" si="724"/>
        <v>0</v>
      </c>
      <c r="BO945" s="763">
        <f t="shared" si="724"/>
        <v>0</v>
      </c>
      <c r="BP945" s="763">
        <f t="shared" si="724"/>
        <v>0</v>
      </c>
      <c r="BQ945" s="763">
        <f t="shared" si="724"/>
        <v>0</v>
      </c>
      <c r="BR945" s="763">
        <f t="shared" si="724"/>
        <v>0</v>
      </c>
      <c r="BS945" s="763">
        <f t="shared" si="724"/>
        <v>0</v>
      </c>
      <c r="BT945" s="763">
        <f t="shared" si="724"/>
        <v>0</v>
      </c>
      <c r="BU945" s="763">
        <f t="shared" si="724"/>
        <v>0</v>
      </c>
      <c r="BV945" s="763">
        <f t="shared" si="724"/>
        <v>0</v>
      </c>
      <c r="BW945" s="763">
        <f t="shared" si="724"/>
        <v>0</v>
      </c>
      <c r="BX945" s="763">
        <f t="shared" si="724"/>
        <v>0</v>
      </c>
      <c r="BY945" s="763">
        <f t="shared" si="724"/>
        <v>0</v>
      </c>
      <c r="BZ945" s="763">
        <f t="shared" si="724"/>
        <v>0</v>
      </c>
      <c r="CA945" s="763">
        <f t="shared" si="724"/>
        <v>0</v>
      </c>
      <c r="CB945" s="763">
        <f t="shared" si="724"/>
        <v>0</v>
      </c>
      <c r="CC945" s="763">
        <f t="shared" si="724"/>
        <v>0</v>
      </c>
      <c r="CD945" s="763">
        <f t="shared" si="724"/>
        <v>0</v>
      </c>
      <c r="CE945" s="763">
        <f t="shared" si="724"/>
        <v>0</v>
      </c>
      <c r="CF945" s="763">
        <f t="shared" si="724"/>
        <v>0</v>
      </c>
      <c r="CG945" s="763">
        <f t="shared" si="724"/>
        <v>0</v>
      </c>
      <c r="CH945" s="763">
        <f t="shared" si="724"/>
        <v>0</v>
      </c>
      <c r="CI945" s="763">
        <f t="shared" si="724"/>
        <v>0</v>
      </c>
      <c r="CJ945" s="763">
        <f t="shared" si="724"/>
        <v>0</v>
      </c>
      <c r="CK945" s="763">
        <f t="shared" si="724"/>
        <v>0</v>
      </c>
      <c r="CL945" s="763">
        <f t="shared" si="724"/>
        <v>0</v>
      </c>
      <c r="CM945" s="763">
        <f t="shared" si="724"/>
        <v>0</v>
      </c>
      <c r="CN945" s="763">
        <f t="shared" si="724"/>
        <v>0</v>
      </c>
      <c r="CO945" s="763">
        <f t="shared" si="724"/>
        <v>0</v>
      </c>
      <c r="CP945" s="763">
        <f t="shared" si="724"/>
        <v>0</v>
      </c>
      <c r="CQ945" s="763">
        <f t="shared" si="724"/>
        <v>0</v>
      </c>
      <c r="CR945" s="763">
        <f t="shared" si="724"/>
        <v>0</v>
      </c>
      <c r="CS945" s="763">
        <f t="shared" si="723"/>
        <v>0</v>
      </c>
      <c r="CT945" s="763">
        <f t="shared" si="723"/>
        <v>0</v>
      </c>
      <c r="CU945" s="763">
        <f t="shared" si="723"/>
        <v>0</v>
      </c>
      <c r="CV945" s="763">
        <f t="shared" si="723"/>
        <v>0</v>
      </c>
      <c r="CW945" s="763">
        <f t="shared" si="723"/>
        <v>0</v>
      </c>
      <c r="CX945" s="763">
        <f t="shared" si="723"/>
        <v>0</v>
      </c>
      <c r="CY945" s="763">
        <f t="shared" si="723"/>
        <v>0</v>
      </c>
      <c r="CZ945" s="763">
        <f t="shared" si="723"/>
        <v>0</v>
      </c>
      <c r="DA945" s="763">
        <f t="shared" si="723"/>
        <v>0</v>
      </c>
      <c r="DB945" s="763">
        <f t="shared" si="723"/>
        <v>0</v>
      </c>
      <c r="DC945" s="763">
        <f t="shared" si="723"/>
        <v>0</v>
      </c>
      <c r="DD945" s="763">
        <f t="shared" si="723"/>
        <v>0</v>
      </c>
      <c r="DE945" s="763">
        <f t="shared" si="723"/>
        <v>0</v>
      </c>
      <c r="DF945" s="763">
        <f t="shared" si="723"/>
        <v>0</v>
      </c>
      <c r="DG945" s="763">
        <f t="shared" si="723"/>
        <v>0</v>
      </c>
      <c r="DH945" s="763">
        <f t="shared" si="723"/>
        <v>0</v>
      </c>
      <c r="DI945" s="763">
        <f t="shared" si="723"/>
        <v>0</v>
      </c>
      <c r="DJ945" s="763">
        <f t="shared" si="723"/>
        <v>0</v>
      </c>
      <c r="DK945" s="763">
        <f t="shared" si="723"/>
        <v>0</v>
      </c>
      <c r="DL945" s="763">
        <f t="shared" si="723"/>
        <v>0</v>
      </c>
      <c r="DM945" s="763">
        <f t="shared" si="723"/>
        <v>0</v>
      </c>
      <c r="DN945" s="763">
        <f t="shared" si="723"/>
        <v>0</v>
      </c>
      <c r="DO945" s="763">
        <f t="shared" si="723"/>
        <v>0</v>
      </c>
      <c r="DP945" s="763">
        <f t="shared" si="723"/>
        <v>0</v>
      </c>
      <c r="DQ945" s="763">
        <f t="shared" si="723"/>
        <v>0</v>
      </c>
      <c r="DR945" s="763">
        <f t="shared" si="723"/>
        <v>0</v>
      </c>
      <c r="DS945" s="763">
        <f t="shared" si="723"/>
        <v>0</v>
      </c>
      <c r="DT945" s="763">
        <f t="shared" si="723"/>
        <v>0</v>
      </c>
      <c r="DU945" s="763">
        <f t="shared" si="723"/>
        <v>0</v>
      </c>
      <c r="DV945" s="763">
        <f t="shared" si="723"/>
        <v>0</v>
      </c>
      <c r="DW945" s="763">
        <f t="shared" si="723"/>
        <v>0</v>
      </c>
      <c r="DX945" s="763">
        <f t="shared" si="723"/>
        <v>0</v>
      </c>
      <c r="DY945" s="763">
        <f t="shared" si="723"/>
        <v>0</v>
      </c>
      <c r="DZ945" s="763">
        <f t="shared" si="723"/>
        <v>0</v>
      </c>
      <c r="EA945" s="763">
        <f t="shared" si="723"/>
        <v>0</v>
      </c>
      <c r="EB945" s="763">
        <f t="shared" si="723"/>
        <v>0</v>
      </c>
      <c r="EC945" s="763">
        <f t="shared" si="723"/>
        <v>0</v>
      </c>
      <c r="ED945" s="763">
        <f t="shared" si="723"/>
        <v>0</v>
      </c>
      <c r="EE945" s="763">
        <f t="shared" si="723"/>
        <v>0</v>
      </c>
      <c r="EF945" s="763">
        <f t="shared" si="723"/>
        <v>0</v>
      </c>
      <c r="EG945" s="763">
        <f t="shared" si="723"/>
        <v>0</v>
      </c>
      <c r="EH945" s="763">
        <f t="shared" si="723"/>
        <v>0</v>
      </c>
      <c r="EI945" s="763">
        <f t="shared" si="723"/>
        <v>0</v>
      </c>
      <c r="EJ945" s="763">
        <f t="shared" si="723"/>
        <v>0</v>
      </c>
      <c r="EK945" s="763">
        <f t="shared" si="723"/>
        <v>0</v>
      </c>
      <c r="EL945" s="763">
        <f t="shared" si="723"/>
        <v>0</v>
      </c>
      <c r="EM945" s="763">
        <f t="shared" si="723"/>
        <v>0</v>
      </c>
      <c r="EN945" s="763">
        <f t="shared" si="723"/>
        <v>0</v>
      </c>
      <c r="EO945" s="763">
        <f t="shared" si="723"/>
        <v>0</v>
      </c>
      <c r="EP945" s="763">
        <f t="shared" si="723"/>
        <v>0</v>
      </c>
      <c r="EQ945" s="763">
        <f t="shared" si="723"/>
        <v>0</v>
      </c>
      <c r="ER945" s="763">
        <f t="shared" si="723"/>
        <v>0</v>
      </c>
      <c r="ES945" s="763">
        <f t="shared" si="723"/>
        <v>0</v>
      </c>
      <c r="ET945" s="763">
        <f t="shared" si="723"/>
        <v>0</v>
      </c>
      <c r="EU945" s="763">
        <f t="shared" si="723"/>
        <v>0</v>
      </c>
      <c r="EV945" s="763">
        <f t="shared" si="723"/>
        <v>0</v>
      </c>
    </row>
    <row r="946" spans="1:152" s="12" customFormat="1" ht="12" customHeight="1" x14ac:dyDescent="0.35">
      <c r="A946" s="84"/>
      <c r="B946" s="13"/>
      <c r="C946" s="13"/>
      <c r="D946" s="13"/>
      <c r="E946" s="13"/>
      <c r="F946" s="13"/>
      <c r="G946" s="1804"/>
      <c r="H946" s="1183"/>
      <c r="I946" s="1804"/>
      <c r="J946" s="1804"/>
      <c r="K946" s="141"/>
      <c r="L946" s="141"/>
      <c r="M946" s="141"/>
      <c r="N946" s="141"/>
      <c r="O946" s="141"/>
      <c r="P946" s="141"/>
      <c r="Q946" s="141"/>
      <c r="R946" s="31"/>
      <c r="S946" s="376">
        <v>13</v>
      </c>
      <c r="T946" s="376">
        <f t="shared" si="706"/>
        <v>0</v>
      </c>
      <c r="U946" s="62">
        <f t="shared" si="711"/>
        <v>0</v>
      </c>
      <c r="V946" s="728">
        <f t="shared" si="712"/>
        <v>0</v>
      </c>
      <c r="W946" s="62">
        <f t="shared" si="713"/>
        <v>0</v>
      </c>
      <c r="X946" s="214">
        <f t="shared" si="714"/>
        <v>0</v>
      </c>
      <c r="Y946" s="378">
        <f t="shared" si="715"/>
        <v>0</v>
      </c>
      <c r="Z946" s="214" t="e">
        <f>XNPV(Input!$I$276,Calcs!AG946:EV946,Calcs!AG$933:EV$933)</f>
        <v>#NUM!</v>
      </c>
      <c r="AA946" s="764">
        <f t="shared" si="716"/>
        <v>0</v>
      </c>
      <c r="AB946" s="764">
        <f t="shared" si="717"/>
        <v>0</v>
      </c>
      <c r="AC946" s="29"/>
      <c r="AD946" s="29"/>
      <c r="AE946" s="376">
        <f t="shared" si="707"/>
        <v>0</v>
      </c>
      <c r="AF946" s="376"/>
      <c r="AG946" s="763">
        <f t="shared" si="708"/>
        <v>0</v>
      </c>
      <c r="AH946" s="763">
        <f t="shared" si="724"/>
        <v>0</v>
      </c>
      <c r="AI946" s="763">
        <f t="shared" si="724"/>
        <v>0</v>
      </c>
      <c r="AJ946" s="763">
        <f t="shared" si="724"/>
        <v>0</v>
      </c>
      <c r="AK946" s="763">
        <f t="shared" si="724"/>
        <v>0</v>
      </c>
      <c r="AL946" s="763">
        <f t="shared" si="724"/>
        <v>0</v>
      </c>
      <c r="AM946" s="763">
        <f t="shared" si="724"/>
        <v>0</v>
      </c>
      <c r="AN946" s="763">
        <f t="shared" si="724"/>
        <v>0</v>
      </c>
      <c r="AO946" s="763">
        <f t="shared" si="724"/>
        <v>0</v>
      </c>
      <c r="AP946" s="763">
        <f t="shared" si="724"/>
        <v>0</v>
      </c>
      <c r="AQ946" s="763">
        <f t="shared" si="724"/>
        <v>0</v>
      </c>
      <c r="AR946" s="763">
        <f t="shared" si="724"/>
        <v>0</v>
      </c>
      <c r="AS946" s="763">
        <f t="shared" si="724"/>
        <v>0</v>
      </c>
      <c r="AT946" s="763">
        <f t="shared" si="724"/>
        <v>0</v>
      </c>
      <c r="AU946" s="763">
        <f t="shared" si="724"/>
        <v>0</v>
      </c>
      <c r="AV946" s="763">
        <f t="shared" si="724"/>
        <v>0</v>
      </c>
      <c r="AW946" s="763">
        <f t="shared" si="724"/>
        <v>0</v>
      </c>
      <c r="AX946" s="763">
        <f t="shared" si="724"/>
        <v>0</v>
      </c>
      <c r="AY946" s="763">
        <f t="shared" si="724"/>
        <v>0</v>
      </c>
      <c r="AZ946" s="763">
        <f t="shared" si="724"/>
        <v>0</v>
      </c>
      <c r="BA946" s="763">
        <f t="shared" si="724"/>
        <v>0</v>
      </c>
      <c r="BB946" s="763">
        <f t="shared" si="724"/>
        <v>0</v>
      </c>
      <c r="BC946" s="763">
        <f t="shared" si="724"/>
        <v>0</v>
      </c>
      <c r="BD946" s="763">
        <f t="shared" si="724"/>
        <v>0</v>
      </c>
      <c r="BE946" s="763">
        <f t="shared" si="724"/>
        <v>0</v>
      </c>
      <c r="BF946" s="763">
        <f t="shared" si="724"/>
        <v>0</v>
      </c>
      <c r="BG946" s="763">
        <f t="shared" si="724"/>
        <v>0</v>
      </c>
      <c r="BH946" s="763">
        <f t="shared" si="724"/>
        <v>0</v>
      </c>
      <c r="BI946" s="763">
        <f t="shared" si="724"/>
        <v>0</v>
      </c>
      <c r="BJ946" s="763">
        <f t="shared" si="724"/>
        <v>0</v>
      </c>
      <c r="BK946" s="763">
        <f t="shared" si="724"/>
        <v>0</v>
      </c>
      <c r="BL946" s="763">
        <f t="shared" si="724"/>
        <v>0</v>
      </c>
      <c r="BM946" s="763">
        <f t="shared" si="724"/>
        <v>0</v>
      </c>
      <c r="BN946" s="763">
        <f t="shared" si="724"/>
        <v>0</v>
      </c>
      <c r="BO946" s="763">
        <f t="shared" si="724"/>
        <v>0</v>
      </c>
      <c r="BP946" s="763">
        <f t="shared" si="724"/>
        <v>0</v>
      </c>
      <c r="BQ946" s="763">
        <f t="shared" si="724"/>
        <v>0</v>
      </c>
      <c r="BR946" s="763">
        <f t="shared" si="724"/>
        <v>0</v>
      </c>
      <c r="BS946" s="763">
        <f t="shared" si="724"/>
        <v>0</v>
      </c>
      <c r="BT946" s="763">
        <f t="shared" si="724"/>
        <v>0</v>
      </c>
      <c r="BU946" s="763">
        <f t="shared" si="724"/>
        <v>0</v>
      </c>
      <c r="BV946" s="763">
        <f t="shared" si="724"/>
        <v>0</v>
      </c>
      <c r="BW946" s="763">
        <f t="shared" si="724"/>
        <v>0</v>
      </c>
      <c r="BX946" s="763">
        <f t="shared" si="724"/>
        <v>0</v>
      </c>
      <c r="BY946" s="763">
        <f t="shared" si="724"/>
        <v>0</v>
      </c>
      <c r="BZ946" s="763">
        <f t="shared" si="724"/>
        <v>0</v>
      </c>
      <c r="CA946" s="763">
        <f t="shared" si="724"/>
        <v>0</v>
      </c>
      <c r="CB946" s="763">
        <f t="shared" si="724"/>
        <v>0</v>
      </c>
      <c r="CC946" s="763">
        <f t="shared" si="724"/>
        <v>0</v>
      </c>
      <c r="CD946" s="763">
        <f t="shared" si="724"/>
        <v>0</v>
      </c>
      <c r="CE946" s="763">
        <f t="shared" si="724"/>
        <v>0</v>
      </c>
      <c r="CF946" s="763">
        <f t="shared" si="724"/>
        <v>0</v>
      </c>
      <c r="CG946" s="763">
        <f t="shared" si="724"/>
        <v>0</v>
      </c>
      <c r="CH946" s="763">
        <f t="shared" si="724"/>
        <v>0</v>
      </c>
      <c r="CI946" s="763">
        <f t="shared" si="724"/>
        <v>0</v>
      </c>
      <c r="CJ946" s="763">
        <f t="shared" si="724"/>
        <v>0</v>
      </c>
      <c r="CK946" s="763">
        <f t="shared" si="724"/>
        <v>0</v>
      </c>
      <c r="CL946" s="763">
        <f t="shared" si="724"/>
        <v>0</v>
      </c>
      <c r="CM946" s="763">
        <f t="shared" si="724"/>
        <v>0</v>
      </c>
      <c r="CN946" s="763">
        <f t="shared" si="724"/>
        <v>0</v>
      </c>
      <c r="CO946" s="763">
        <f t="shared" si="724"/>
        <v>0</v>
      </c>
      <c r="CP946" s="763">
        <f t="shared" si="724"/>
        <v>0</v>
      </c>
      <c r="CQ946" s="763">
        <f t="shared" si="724"/>
        <v>0</v>
      </c>
      <c r="CR946" s="763">
        <f t="shared" si="724"/>
        <v>0</v>
      </c>
      <c r="CS946" s="763">
        <f t="shared" si="723"/>
        <v>0</v>
      </c>
      <c r="CT946" s="763">
        <f t="shared" si="723"/>
        <v>0</v>
      </c>
      <c r="CU946" s="763">
        <f t="shared" si="723"/>
        <v>0</v>
      </c>
      <c r="CV946" s="763">
        <f t="shared" si="723"/>
        <v>0</v>
      </c>
      <c r="CW946" s="763">
        <f t="shared" si="723"/>
        <v>0</v>
      </c>
      <c r="CX946" s="763">
        <f t="shared" si="723"/>
        <v>0</v>
      </c>
      <c r="CY946" s="763">
        <f t="shared" si="723"/>
        <v>0</v>
      </c>
      <c r="CZ946" s="763">
        <f t="shared" si="723"/>
        <v>0</v>
      </c>
      <c r="DA946" s="763">
        <f t="shared" si="723"/>
        <v>0</v>
      </c>
      <c r="DB946" s="763">
        <f t="shared" si="723"/>
        <v>0</v>
      </c>
      <c r="DC946" s="763">
        <f t="shared" si="723"/>
        <v>0</v>
      </c>
      <c r="DD946" s="763">
        <f t="shared" si="723"/>
        <v>0</v>
      </c>
      <c r="DE946" s="763">
        <f t="shared" si="723"/>
        <v>0</v>
      </c>
      <c r="DF946" s="763">
        <f t="shared" si="723"/>
        <v>0</v>
      </c>
      <c r="DG946" s="763">
        <f t="shared" si="723"/>
        <v>0</v>
      </c>
      <c r="DH946" s="763">
        <f t="shared" si="723"/>
        <v>0</v>
      </c>
      <c r="DI946" s="763">
        <f t="shared" si="723"/>
        <v>0</v>
      </c>
      <c r="DJ946" s="763">
        <f t="shared" si="723"/>
        <v>0</v>
      </c>
      <c r="DK946" s="763">
        <f t="shared" si="723"/>
        <v>0</v>
      </c>
      <c r="DL946" s="763">
        <f t="shared" si="723"/>
        <v>0</v>
      </c>
      <c r="DM946" s="763">
        <f t="shared" si="723"/>
        <v>0</v>
      </c>
      <c r="DN946" s="763">
        <f t="shared" si="723"/>
        <v>0</v>
      </c>
      <c r="DO946" s="763">
        <f t="shared" si="723"/>
        <v>0</v>
      </c>
      <c r="DP946" s="763">
        <f t="shared" si="723"/>
        <v>0</v>
      </c>
      <c r="DQ946" s="763">
        <f t="shared" si="723"/>
        <v>0</v>
      </c>
      <c r="DR946" s="763">
        <f t="shared" si="723"/>
        <v>0</v>
      </c>
      <c r="DS946" s="763">
        <f t="shared" si="723"/>
        <v>0</v>
      </c>
      <c r="DT946" s="763">
        <f t="shared" si="723"/>
        <v>0</v>
      </c>
      <c r="DU946" s="763">
        <f t="shared" si="723"/>
        <v>0</v>
      </c>
      <c r="DV946" s="763">
        <f t="shared" si="723"/>
        <v>0</v>
      </c>
      <c r="DW946" s="763">
        <f t="shared" si="723"/>
        <v>0</v>
      </c>
      <c r="DX946" s="763">
        <f t="shared" si="723"/>
        <v>0</v>
      </c>
      <c r="DY946" s="763">
        <f t="shared" si="723"/>
        <v>0</v>
      </c>
      <c r="DZ946" s="763">
        <f t="shared" si="723"/>
        <v>0</v>
      </c>
      <c r="EA946" s="763">
        <f t="shared" si="723"/>
        <v>0</v>
      </c>
      <c r="EB946" s="763">
        <f t="shared" si="723"/>
        <v>0</v>
      </c>
      <c r="EC946" s="763">
        <f t="shared" si="723"/>
        <v>0</v>
      </c>
      <c r="ED946" s="763">
        <f t="shared" si="723"/>
        <v>0</v>
      </c>
      <c r="EE946" s="763">
        <f t="shared" si="723"/>
        <v>0</v>
      </c>
      <c r="EF946" s="763">
        <f t="shared" si="723"/>
        <v>0</v>
      </c>
      <c r="EG946" s="763">
        <f t="shared" si="723"/>
        <v>0</v>
      </c>
      <c r="EH946" s="763">
        <f t="shared" si="723"/>
        <v>0</v>
      </c>
      <c r="EI946" s="763">
        <f t="shared" si="723"/>
        <v>0</v>
      </c>
      <c r="EJ946" s="763">
        <f t="shared" si="723"/>
        <v>0</v>
      </c>
      <c r="EK946" s="763">
        <f t="shared" si="723"/>
        <v>0</v>
      </c>
      <c r="EL946" s="763">
        <f t="shared" si="723"/>
        <v>0</v>
      </c>
      <c r="EM946" s="763">
        <f t="shared" si="723"/>
        <v>0</v>
      </c>
      <c r="EN946" s="763">
        <f t="shared" si="723"/>
        <v>0</v>
      </c>
      <c r="EO946" s="763">
        <f t="shared" si="723"/>
        <v>0</v>
      </c>
      <c r="EP946" s="763">
        <f t="shared" si="723"/>
        <v>0</v>
      </c>
      <c r="EQ946" s="763">
        <f t="shared" si="723"/>
        <v>0</v>
      </c>
      <c r="ER946" s="763">
        <f t="shared" si="723"/>
        <v>0</v>
      </c>
      <c r="ES946" s="763">
        <f t="shared" si="723"/>
        <v>0</v>
      </c>
      <c r="ET946" s="763">
        <f t="shared" si="723"/>
        <v>0</v>
      </c>
      <c r="EU946" s="763">
        <f t="shared" si="723"/>
        <v>0</v>
      </c>
      <c r="EV946" s="763">
        <f t="shared" si="723"/>
        <v>0</v>
      </c>
    </row>
    <row r="947" spans="1:152" s="12" customFormat="1" ht="12" customHeight="1" x14ac:dyDescent="0.35">
      <c r="A947" s="84"/>
      <c r="B947" s="13"/>
      <c r="C947" s="13"/>
      <c r="D947" s="13"/>
      <c r="E947" s="13"/>
      <c r="F947" s="13"/>
      <c r="G947" s="1804"/>
      <c r="H947" s="1183"/>
      <c r="I947" s="1804"/>
      <c r="J947" s="1804"/>
      <c r="K947" s="141"/>
      <c r="L947" s="141"/>
      <c r="M947" s="141"/>
      <c r="N947" s="141"/>
      <c r="O947" s="141"/>
      <c r="P947" s="141"/>
      <c r="Q947" s="141"/>
      <c r="R947" s="31"/>
      <c r="S947" s="376">
        <v>14</v>
      </c>
      <c r="T947" s="376">
        <f t="shared" si="706"/>
        <v>0</v>
      </c>
      <c r="U947" s="62">
        <f t="shared" si="711"/>
        <v>0</v>
      </c>
      <c r="V947" s="728">
        <f t="shared" si="712"/>
        <v>0</v>
      </c>
      <c r="W947" s="62">
        <f t="shared" si="713"/>
        <v>0</v>
      </c>
      <c r="X947" s="214">
        <f t="shared" si="714"/>
        <v>0</v>
      </c>
      <c r="Y947" s="378">
        <f t="shared" si="715"/>
        <v>0</v>
      </c>
      <c r="Z947" s="214" t="e">
        <f>XNPV(Input!$I$276,Calcs!AG947:EV947,Calcs!AG$933:EV$933)</f>
        <v>#NUM!</v>
      </c>
      <c r="AA947" s="764">
        <f t="shared" si="716"/>
        <v>0</v>
      </c>
      <c r="AB947" s="764">
        <f t="shared" si="717"/>
        <v>0</v>
      </c>
      <c r="AC947" s="29"/>
      <c r="AD947" s="29"/>
      <c r="AE947" s="376">
        <f t="shared" si="707"/>
        <v>0</v>
      </c>
      <c r="AF947" s="376"/>
      <c r="AG947" s="763">
        <f t="shared" si="708"/>
        <v>0</v>
      </c>
      <c r="AH947" s="763">
        <f t="shared" si="724"/>
        <v>0</v>
      </c>
      <c r="AI947" s="763">
        <f t="shared" si="724"/>
        <v>0</v>
      </c>
      <c r="AJ947" s="763">
        <f t="shared" si="724"/>
        <v>0</v>
      </c>
      <c r="AK947" s="763">
        <f t="shared" si="724"/>
        <v>0</v>
      </c>
      <c r="AL947" s="763">
        <f t="shared" si="724"/>
        <v>0</v>
      </c>
      <c r="AM947" s="763">
        <f t="shared" si="724"/>
        <v>0</v>
      </c>
      <c r="AN947" s="763">
        <f t="shared" si="724"/>
        <v>0</v>
      </c>
      <c r="AO947" s="763">
        <f t="shared" si="724"/>
        <v>0</v>
      </c>
      <c r="AP947" s="763">
        <f t="shared" si="724"/>
        <v>0</v>
      </c>
      <c r="AQ947" s="763">
        <f t="shared" si="724"/>
        <v>0</v>
      </c>
      <c r="AR947" s="763">
        <f t="shared" si="724"/>
        <v>0</v>
      </c>
      <c r="AS947" s="763">
        <f t="shared" si="724"/>
        <v>0</v>
      </c>
      <c r="AT947" s="763">
        <f t="shared" si="724"/>
        <v>0</v>
      </c>
      <c r="AU947" s="763">
        <f t="shared" si="724"/>
        <v>0</v>
      </c>
      <c r="AV947" s="763">
        <f t="shared" si="724"/>
        <v>0</v>
      </c>
      <c r="AW947" s="763">
        <f t="shared" si="724"/>
        <v>0</v>
      </c>
      <c r="AX947" s="763">
        <f t="shared" si="724"/>
        <v>0</v>
      </c>
      <c r="AY947" s="763">
        <f t="shared" si="724"/>
        <v>0</v>
      </c>
      <c r="AZ947" s="763">
        <f t="shared" si="724"/>
        <v>0</v>
      </c>
      <c r="BA947" s="763">
        <f t="shared" si="724"/>
        <v>0</v>
      </c>
      <c r="BB947" s="763">
        <f t="shared" si="724"/>
        <v>0</v>
      </c>
      <c r="BC947" s="763">
        <f t="shared" si="724"/>
        <v>0</v>
      </c>
      <c r="BD947" s="763">
        <f t="shared" si="724"/>
        <v>0</v>
      </c>
      <c r="BE947" s="763">
        <f t="shared" si="724"/>
        <v>0</v>
      </c>
      <c r="BF947" s="763">
        <f t="shared" si="724"/>
        <v>0</v>
      </c>
      <c r="BG947" s="763">
        <f t="shared" si="724"/>
        <v>0</v>
      </c>
      <c r="BH947" s="763">
        <f t="shared" si="724"/>
        <v>0</v>
      </c>
      <c r="BI947" s="763">
        <f t="shared" si="724"/>
        <v>0</v>
      </c>
      <c r="BJ947" s="763">
        <f t="shared" si="724"/>
        <v>0</v>
      </c>
      <c r="BK947" s="763">
        <f t="shared" si="724"/>
        <v>0</v>
      </c>
      <c r="BL947" s="763">
        <f t="shared" si="724"/>
        <v>0</v>
      </c>
      <c r="BM947" s="763">
        <f t="shared" si="724"/>
        <v>0</v>
      </c>
      <c r="BN947" s="763">
        <f t="shared" si="724"/>
        <v>0</v>
      </c>
      <c r="BO947" s="763">
        <f t="shared" si="724"/>
        <v>0</v>
      </c>
      <c r="BP947" s="763">
        <f t="shared" si="724"/>
        <v>0</v>
      </c>
      <c r="BQ947" s="763">
        <f t="shared" si="724"/>
        <v>0</v>
      </c>
      <c r="BR947" s="763">
        <f t="shared" si="724"/>
        <v>0</v>
      </c>
      <c r="BS947" s="763">
        <f t="shared" si="724"/>
        <v>0</v>
      </c>
      <c r="BT947" s="763">
        <f t="shared" si="724"/>
        <v>0</v>
      </c>
      <c r="BU947" s="763">
        <f t="shared" si="724"/>
        <v>0</v>
      </c>
      <c r="BV947" s="763">
        <f t="shared" si="724"/>
        <v>0</v>
      </c>
      <c r="BW947" s="763">
        <f t="shared" si="724"/>
        <v>0</v>
      </c>
      <c r="BX947" s="763">
        <f t="shared" si="724"/>
        <v>0</v>
      </c>
      <c r="BY947" s="763">
        <f t="shared" si="724"/>
        <v>0</v>
      </c>
      <c r="BZ947" s="763">
        <f t="shared" si="724"/>
        <v>0</v>
      </c>
      <c r="CA947" s="763">
        <f t="shared" si="724"/>
        <v>0</v>
      </c>
      <c r="CB947" s="763">
        <f t="shared" si="724"/>
        <v>0</v>
      </c>
      <c r="CC947" s="763">
        <f t="shared" si="724"/>
        <v>0</v>
      </c>
      <c r="CD947" s="763">
        <f t="shared" si="724"/>
        <v>0</v>
      </c>
      <c r="CE947" s="763">
        <f t="shared" si="724"/>
        <v>0</v>
      </c>
      <c r="CF947" s="763">
        <f t="shared" si="724"/>
        <v>0</v>
      </c>
      <c r="CG947" s="763">
        <f t="shared" si="724"/>
        <v>0</v>
      </c>
      <c r="CH947" s="763">
        <f t="shared" si="724"/>
        <v>0</v>
      </c>
      <c r="CI947" s="763">
        <f t="shared" si="724"/>
        <v>0</v>
      </c>
      <c r="CJ947" s="763">
        <f t="shared" si="724"/>
        <v>0</v>
      </c>
      <c r="CK947" s="763">
        <f t="shared" si="724"/>
        <v>0</v>
      </c>
      <c r="CL947" s="763">
        <f t="shared" si="724"/>
        <v>0</v>
      </c>
      <c r="CM947" s="763">
        <f t="shared" si="724"/>
        <v>0</v>
      </c>
      <c r="CN947" s="763">
        <f t="shared" si="724"/>
        <v>0</v>
      </c>
      <c r="CO947" s="763">
        <f t="shared" si="724"/>
        <v>0</v>
      </c>
      <c r="CP947" s="763">
        <f t="shared" si="724"/>
        <v>0</v>
      </c>
      <c r="CQ947" s="763">
        <f t="shared" si="724"/>
        <v>0</v>
      </c>
      <c r="CR947" s="763">
        <f t="shared" si="724"/>
        <v>0</v>
      </c>
      <c r="CS947" s="763">
        <f t="shared" si="723"/>
        <v>0</v>
      </c>
      <c r="CT947" s="763">
        <f t="shared" si="723"/>
        <v>0</v>
      </c>
      <c r="CU947" s="763">
        <f t="shared" si="723"/>
        <v>0</v>
      </c>
      <c r="CV947" s="763">
        <f t="shared" si="723"/>
        <v>0</v>
      </c>
      <c r="CW947" s="763">
        <f t="shared" si="723"/>
        <v>0</v>
      </c>
      <c r="CX947" s="763">
        <f t="shared" si="723"/>
        <v>0</v>
      </c>
      <c r="CY947" s="763">
        <f t="shared" si="723"/>
        <v>0</v>
      </c>
      <c r="CZ947" s="763">
        <f t="shared" si="723"/>
        <v>0</v>
      </c>
      <c r="DA947" s="763">
        <f t="shared" si="723"/>
        <v>0</v>
      </c>
      <c r="DB947" s="763">
        <f t="shared" si="723"/>
        <v>0</v>
      </c>
      <c r="DC947" s="763">
        <f t="shared" si="723"/>
        <v>0</v>
      </c>
      <c r="DD947" s="763">
        <f t="shared" si="723"/>
        <v>0</v>
      </c>
      <c r="DE947" s="763">
        <f t="shared" si="723"/>
        <v>0</v>
      </c>
      <c r="DF947" s="763">
        <f t="shared" si="723"/>
        <v>0</v>
      </c>
      <c r="DG947" s="763">
        <f t="shared" si="723"/>
        <v>0</v>
      </c>
      <c r="DH947" s="763">
        <f t="shared" si="723"/>
        <v>0</v>
      </c>
      <c r="DI947" s="763">
        <f t="shared" si="723"/>
        <v>0</v>
      </c>
      <c r="DJ947" s="763">
        <f t="shared" si="723"/>
        <v>0</v>
      </c>
      <c r="DK947" s="763">
        <f t="shared" si="723"/>
        <v>0</v>
      </c>
      <c r="DL947" s="763">
        <f t="shared" si="723"/>
        <v>0</v>
      </c>
      <c r="DM947" s="763">
        <f t="shared" si="723"/>
        <v>0</v>
      </c>
      <c r="DN947" s="763">
        <f t="shared" si="723"/>
        <v>0</v>
      </c>
      <c r="DO947" s="763">
        <f t="shared" si="723"/>
        <v>0</v>
      </c>
      <c r="DP947" s="763">
        <f t="shared" si="723"/>
        <v>0</v>
      </c>
      <c r="DQ947" s="763">
        <f t="shared" si="723"/>
        <v>0</v>
      </c>
      <c r="DR947" s="763">
        <f t="shared" si="723"/>
        <v>0</v>
      </c>
      <c r="DS947" s="763">
        <f t="shared" si="723"/>
        <v>0</v>
      </c>
      <c r="DT947" s="763">
        <f t="shared" si="723"/>
        <v>0</v>
      </c>
      <c r="DU947" s="763">
        <f t="shared" si="723"/>
        <v>0</v>
      </c>
      <c r="DV947" s="763">
        <f t="shared" si="723"/>
        <v>0</v>
      </c>
      <c r="DW947" s="763">
        <f t="shared" si="723"/>
        <v>0</v>
      </c>
      <c r="DX947" s="763">
        <f t="shared" ref="DX947:EV947" si="725">SUMIF($AE$915:$AE$930,$AE947,DX$915:DX$930)</f>
        <v>0</v>
      </c>
      <c r="DY947" s="763">
        <f t="shared" si="725"/>
        <v>0</v>
      </c>
      <c r="DZ947" s="763">
        <f t="shared" si="725"/>
        <v>0</v>
      </c>
      <c r="EA947" s="763">
        <f t="shared" si="725"/>
        <v>0</v>
      </c>
      <c r="EB947" s="763">
        <f t="shared" si="725"/>
        <v>0</v>
      </c>
      <c r="EC947" s="763">
        <f t="shared" si="725"/>
        <v>0</v>
      </c>
      <c r="ED947" s="763">
        <f t="shared" si="725"/>
        <v>0</v>
      </c>
      <c r="EE947" s="763">
        <f t="shared" si="725"/>
        <v>0</v>
      </c>
      <c r="EF947" s="763">
        <f t="shared" si="725"/>
        <v>0</v>
      </c>
      <c r="EG947" s="763">
        <f t="shared" si="725"/>
        <v>0</v>
      </c>
      <c r="EH947" s="763">
        <f t="shared" si="725"/>
        <v>0</v>
      </c>
      <c r="EI947" s="763">
        <f t="shared" si="725"/>
        <v>0</v>
      </c>
      <c r="EJ947" s="763">
        <f t="shared" si="725"/>
        <v>0</v>
      </c>
      <c r="EK947" s="763">
        <f t="shared" si="725"/>
        <v>0</v>
      </c>
      <c r="EL947" s="763">
        <f t="shared" si="725"/>
        <v>0</v>
      </c>
      <c r="EM947" s="763">
        <f t="shared" si="725"/>
        <v>0</v>
      </c>
      <c r="EN947" s="763">
        <f t="shared" si="725"/>
        <v>0</v>
      </c>
      <c r="EO947" s="763">
        <f t="shared" si="725"/>
        <v>0</v>
      </c>
      <c r="EP947" s="763">
        <f t="shared" si="725"/>
        <v>0</v>
      </c>
      <c r="EQ947" s="763">
        <f t="shared" si="725"/>
        <v>0</v>
      </c>
      <c r="ER947" s="763">
        <f t="shared" si="725"/>
        <v>0</v>
      </c>
      <c r="ES947" s="763">
        <f t="shared" si="725"/>
        <v>0</v>
      </c>
      <c r="ET947" s="763">
        <f t="shared" si="725"/>
        <v>0</v>
      </c>
      <c r="EU947" s="763">
        <f t="shared" si="725"/>
        <v>0</v>
      </c>
      <c r="EV947" s="763">
        <f t="shared" si="725"/>
        <v>0</v>
      </c>
    </row>
    <row r="948" spans="1:152" s="12" customFormat="1" ht="12" customHeight="1" x14ac:dyDescent="0.35">
      <c r="A948" s="84"/>
      <c r="B948" s="13"/>
      <c r="C948" s="13"/>
      <c r="D948" s="13"/>
      <c r="E948" s="13"/>
      <c r="F948" s="13"/>
      <c r="G948" s="1804"/>
      <c r="H948" s="1183"/>
      <c r="I948" s="1804"/>
      <c r="J948" s="1804"/>
      <c r="K948" s="141"/>
      <c r="L948" s="141"/>
      <c r="M948" s="141"/>
      <c r="N948" s="972" t="e">
        <f ca="1">XIRR(OFFSET(AF931,,_xlfn.XMATCH(-1,$AG$934:$EV$934,-1,1),,_xlfn.XMATCH(1,$AG$934:$EV$934,1,-1)-1),OFFSET(AF892,,_xlfn.XMATCH(-1,$AG$934:$EV$934,-1,1),,_xlfn.XMATCH(1,$AG$934:$EV$934,1,-1)-1))</f>
        <v>#N/A</v>
      </c>
      <c r="O948" s="141"/>
      <c r="P948" s="141"/>
      <c r="Q948" s="141"/>
      <c r="R948" s="31"/>
      <c r="S948" s="376">
        <v>15</v>
      </c>
      <c r="T948" s="376">
        <f t="shared" si="706"/>
        <v>0</v>
      </c>
      <c r="U948" s="62">
        <f t="shared" si="711"/>
        <v>0</v>
      </c>
      <c r="V948" s="728">
        <f t="shared" si="712"/>
        <v>0</v>
      </c>
      <c r="W948" s="62">
        <f t="shared" si="713"/>
        <v>0</v>
      </c>
      <c r="X948" s="214">
        <f t="shared" si="714"/>
        <v>0</v>
      </c>
      <c r="Y948" s="378">
        <f t="shared" si="715"/>
        <v>0</v>
      </c>
      <c r="Z948" s="214" t="e">
        <f>XNPV(Input!$I$276,Calcs!AG948:EV948,Calcs!AG$933:EV$933)</f>
        <v>#NUM!</v>
      </c>
      <c r="AA948" s="764">
        <f t="shared" si="716"/>
        <v>0</v>
      </c>
      <c r="AB948" s="764">
        <f t="shared" si="717"/>
        <v>0</v>
      </c>
      <c r="AC948" s="29"/>
      <c r="AD948" s="29"/>
      <c r="AE948" s="376">
        <f t="shared" si="707"/>
        <v>0</v>
      </c>
      <c r="AF948" s="376"/>
      <c r="AG948" s="763">
        <f t="shared" si="708"/>
        <v>0</v>
      </c>
      <c r="AH948" s="763">
        <f t="shared" si="724"/>
        <v>0</v>
      </c>
      <c r="AI948" s="763">
        <f t="shared" si="724"/>
        <v>0</v>
      </c>
      <c r="AJ948" s="763">
        <f t="shared" si="724"/>
        <v>0</v>
      </c>
      <c r="AK948" s="763">
        <f t="shared" ref="AK948:CV949" si="726">SUMIF($AE$915:$AE$930,$AE948,AK$915:AK$930)</f>
        <v>0</v>
      </c>
      <c r="AL948" s="763">
        <f t="shared" si="726"/>
        <v>0</v>
      </c>
      <c r="AM948" s="763">
        <f t="shared" si="726"/>
        <v>0</v>
      </c>
      <c r="AN948" s="763">
        <f t="shared" si="726"/>
        <v>0</v>
      </c>
      <c r="AO948" s="763">
        <f t="shared" si="726"/>
        <v>0</v>
      </c>
      <c r="AP948" s="763">
        <f t="shared" si="726"/>
        <v>0</v>
      </c>
      <c r="AQ948" s="763">
        <f t="shared" si="726"/>
        <v>0</v>
      </c>
      <c r="AR948" s="763">
        <f t="shared" si="726"/>
        <v>0</v>
      </c>
      <c r="AS948" s="763">
        <f t="shared" si="726"/>
        <v>0</v>
      </c>
      <c r="AT948" s="763">
        <f t="shared" si="726"/>
        <v>0</v>
      </c>
      <c r="AU948" s="763">
        <f t="shared" si="726"/>
        <v>0</v>
      </c>
      <c r="AV948" s="763">
        <f t="shared" si="726"/>
        <v>0</v>
      </c>
      <c r="AW948" s="763">
        <f t="shared" si="726"/>
        <v>0</v>
      </c>
      <c r="AX948" s="763">
        <f t="shared" si="726"/>
        <v>0</v>
      </c>
      <c r="AY948" s="763">
        <f t="shared" si="726"/>
        <v>0</v>
      </c>
      <c r="AZ948" s="763">
        <f t="shared" si="726"/>
        <v>0</v>
      </c>
      <c r="BA948" s="763">
        <f t="shared" si="726"/>
        <v>0</v>
      </c>
      <c r="BB948" s="763">
        <f t="shared" si="726"/>
        <v>0</v>
      </c>
      <c r="BC948" s="763">
        <f t="shared" si="726"/>
        <v>0</v>
      </c>
      <c r="BD948" s="763">
        <f t="shared" si="726"/>
        <v>0</v>
      </c>
      <c r="BE948" s="763">
        <f t="shared" si="726"/>
        <v>0</v>
      </c>
      <c r="BF948" s="763">
        <f t="shared" si="726"/>
        <v>0</v>
      </c>
      <c r="BG948" s="763">
        <f t="shared" si="726"/>
        <v>0</v>
      </c>
      <c r="BH948" s="763">
        <f t="shared" si="726"/>
        <v>0</v>
      </c>
      <c r="BI948" s="763">
        <f t="shared" si="726"/>
        <v>0</v>
      </c>
      <c r="BJ948" s="763">
        <f t="shared" si="726"/>
        <v>0</v>
      </c>
      <c r="BK948" s="763">
        <f t="shared" si="726"/>
        <v>0</v>
      </c>
      <c r="BL948" s="763">
        <f t="shared" si="726"/>
        <v>0</v>
      </c>
      <c r="BM948" s="763">
        <f t="shared" si="726"/>
        <v>0</v>
      </c>
      <c r="BN948" s="763">
        <f t="shared" si="726"/>
        <v>0</v>
      </c>
      <c r="BO948" s="763">
        <f t="shared" si="726"/>
        <v>0</v>
      </c>
      <c r="BP948" s="763">
        <f t="shared" si="726"/>
        <v>0</v>
      </c>
      <c r="BQ948" s="763">
        <f t="shared" si="726"/>
        <v>0</v>
      </c>
      <c r="BR948" s="763">
        <f t="shared" si="726"/>
        <v>0</v>
      </c>
      <c r="BS948" s="763">
        <f t="shared" si="726"/>
        <v>0</v>
      </c>
      <c r="BT948" s="763">
        <f t="shared" si="726"/>
        <v>0</v>
      </c>
      <c r="BU948" s="763">
        <f t="shared" si="726"/>
        <v>0</v>
      </c>
      <c r="BV948" s="763">
        <f t="shared" si="726"/>
        <v>0</v>
      </c>
      <c r="BW948" s="763">
        <f t="shared" si="726"/>
        <v>0</v>
      </c>
      <c r="BX948" s="763">
        <f t="shared" si="726"/>
        <v>0</v>
      </c>
      <c r="BY948" s="763">
        <f t="shared" si="726"/>
        <v>0</v>
      </c>
      <c r="BZ948" s="763">
        <f t="shared" si="726"/>
        <v>0</v>
      </c>
      <c r="CA948" s="763">
        <f t="shared" si="726"/>
        <v>0</v>
      </c>
      <c r="CB948" s="763">
        <f t="shared" si="726"/>
        <v>0</v>
      </c>
      <c r="CC948" s="763">
        <f t="shared" si="726"/>
        <v>0</v>
      </c>
      <c r="CD948" s="763">
        <f t="shared" si="726"/>
        <v>0</v>
      </c>
      <c r="CE948" s="763">
        <f t="shared" si="726"/>
        <v>0</v>
      </c>
      <c r="CF948" s="763">
        <f t="shared" si="726"/>
        <v>0</v>
      </c>
      <c r="CG948" s="763">
        <f t="shared" si="726"/>
        <v>0</v>
      </c>
      <c r="CH948" s="763">
        <f t="shared" si="726"/>
        <v>0</v>
      </c>
      <c r="CI948" s="763">
        <f t="shared" si="726"/>
        <v>0</v>
      </c>
      <c r="CJ948" s="763">
        <f t="shared" si="726"/>
        <v>0</v>
      </c>
      <c r="CK948" s="763">
        <f t="shared" si="726"/>
        <v>0</v>
      </c>
      <c r="CL948" s="763">
        <f t="shared" si="726"/>
        <v>0</v>
      </c>
      <c r="CM948" s="763">
        <f t="shared" si="726"/>
        <v>0</v>
      </c>
      <c r="CN948" s="763">
        <f t="shared" si="726"/>
        <v>0</v>
      </c>
      <c r="CO948" s="763">
        <f t="shared" si="726"/>
        <v>0</v>
      </c>
      <c r="CP948" s="763">
        <f t="shared" si="726"/>
        <v>0</v>
      </c>
      <c r="CQ948" s="763">
        <f t="shared" si="726"/>
        <v>0</v>
      </c>
      <c r="CR948" s="763">
        <f t="shared" si="726"/>
        <v>0</v>
      </c>
      <c r="CS948" s="763">
        <f t="shared" si="726"/>
        <v>0</v>
      </c>
      <c r="CT948" s="763">
        <f t="shared" si="726"/>
        <v>0</v>
      </c>
      <c r="CU948" s="763">
        <f t="shared" si="726"/>
        <v>0</v>
      </c>
      <c r="CV948" s="763">
        <f t="shared" si="726"/>
        <v>0</v>
      </c>
      <c r="CW948" s="763">
        <f t="shared" ref="CW948:EV949" si="727">SUMIF($AE$915:$AE$930,$AE948,CW$915:CW$930)</f>
        <v>0</v>
      </c>
      <c r="CX948" s="763">
        <f t="shared" si="727"/>
        <v>0</v>
      </c>
      <c r="CY948" s="763">
        <f t="shared" si="727"/>
        <v>0</v>
      </c>
      <c r="CZ948" s="763">
        <f t="shared" si="727"/>
        <v>0</v>
      </c>
      <c r="DA948" s="763">
        <f t="shared" si="727"/>
        <v>0</v>
      </c>
      <c r="DB948" s="763">
        <f t="shared" si="727"/>
        <v>0</v>
      </c>
      <c r="DC948" s="763">
        <f t="shared" si="727"/>
        <v>0</v>
      </c>
      <c r="DD948" s="763">
        <f t="shared" si="727"/>
        <v>0</v>
      </c>
      <c r="DE948" s="763">
        <f t="shared" si="727"/>
        <v>0</v>
      </c>
      <c r="DF948" s="763">
        <f t="shared" si="727"/>
        <v>0</v>
      </c>
      <c r="DG948" s="763">
        <f t="shared" si="727"/>
        <v>0</v>
      </c>
      <c r="DH948" s="763">
        <f t="shared" si="727"/>
        <v>0</v>
      </c>
      <c r="DI948" s="763">
        <f t="shared" si="727"/>
        <v>0</v>
      </c>
      <c r="DJ948" s="763">
        <f t="shared" si="727"/>
        <v>0</v>
      </c>
      <c r="DK948" s="763">
        <f t="shared" si="727"/>
        <v>0</v>
      </c>
      <c r="DL948" s="763">
        <f t="shared" si="727"/>
        <v>0</v>
      </c>
      <c r="DM948" s="763">
        <f t="shared" si="727"/>
        <v>0</v>
      </c>
      <c r="DN948" s="763">
        <f t="shared" si="727"/>
        <v>0</v>
      </c>
      <c r="DO948" s="763">
        <f t="shared" si="727"/>
        <v>0</v>
      </c>
      <c r="DP948" s="763">
        <f t="shared" si="727"/>
        <v>0</v>
      </c>
      <c r="DQ948" s="763">
        <f t="shared" si="727"/>
        <v>0</v>
      </c>
      <c r="DR948" s="763">
        <f t="shared" si="727"/>
        <v>0</v>
      </c>
      <c r="DS948" s="763">
        <f t="shared" si="727"/>
        <v>0</v>
      </c>
      <c r="DT948" s="763">
        <f t="shared" si="727"/>
        <v>0</v>
      </c>
      <c r="DU948" s="763">
        <f t="shared" si="727"/>
        <v>0</v>
      </c>
      <c r="DV948" s="763">
        <f t="shared" si="727"/>
        <v>0</v>
      </c>
      <c r="DW948" s="763">
        <f t="shared" si="727"/>
        <v>0</v>
      </c>
      <c r="DX948" s="763">
        <f t="shared" si="727"/>
        <v>0</v>
      </c>
      <c r="DY948" s="763">
        <f t="shared" si="727"/>
        <v>0</v>
      </c>
      <c r="DZ948" s="763">
        <f t="shared" si="727"/>
        <v>0</v>
      </c>
      <c r="EA948" s="763">
        <f t="shared" si="727"/>
        <v>0</v>
      </c>
      <c r="EB948" s="763">
        <f t="shared" si="727"/>
        <v>0</v>
      </c>
      <c r="EC948" s="763">
        <f t="shared" si="727"/>
        <v>0</v>
      </c>
      <c r="ED948" s="763">
        <f t="shared" si="727"/>
        <v>0</v>
      </c>
      <c r="EE948" s="763">
        <f t="shared" si="727"/>
        <v>0</v>
      </c>
      <c r="EF948" s="763">
        <f t="shared" si="727"/>
        <v>0</v>
      </c>
      <c r="EG948" s="763">
        <f t="shared" si="727"/>
        <v>0</v>
      </c>
      <c r="EH948" s="763">
        <f t="shared" si="727"/>
        <v>0</v>
      </c>
      <c r="EI948" s="763">
        <f t="shared" si="727"/>
        <v>0</v>
      </c>
      <c r="EJ948" s="763">
        <f t="shared" si="727"/>
        <v>0</v>
      </c>
      <c r="EK948" s="763">
        <f t="shared" si="727"/>
        <v>0</v>
      </c>
      <c r="EL948" s="763">
        <f t="shared" si="727"/>
        <v>0</v>
      </c>
      <c r="EM948" s="763">
        <f t="shared" si="727"/>
        <v>0</v>
      </c>
      <c r="EN948" s="763">
        <f t="shared" si="727"/>
        <v>0</v>
      </c>
      <c r="EO948" s="763">
        <f t="shared" si="727"/>
        <v>0</v>
      </c>
      <c r="EP948" s="763">
        <f t="shared" si="727"/>
        <v>0</v>
      </c>
      <c r="EQ948" s="763">
        <f t="shared" si="727"/>
        <v>0</v>
      </c>
      <c r="ER948" s="763">
        <f t="shared" si="727"/>
        <v>0</v>
      </c>
      <c r="ES948" s="763">
        <f t="shared" si="727"/>
        <v>0</v>
      </c>
      <c r="ET948" s="763">
        <f t="shared" si="727"/>
        <v>0</v>
      </c>
      <c r="EU948" s="763">
        <f t="shared" si="727"/>
        <v>0</v>
      </c>
      <c r="EV948" s="763">
        <f t="shared" si="727"/>
        <v>0</v>
      </c>
    </row>
    <row r="949" spans="1:152" s="12" customFormat="1" ht="12" customHeight="1" x14ac:dyDescent="0.35">
      <c r="A949" s="84"/>
      <c r="B949" s="13"/>
      <c r="C949" s="13"/>
      <c r="D949" s="13"/>
      <c r="E949" s="13"/>
      <c r="F949" s="13"/>
      <c r="G949" s="1804"/>
      <c r="H949" s="1183"/>
      <c r="I949" s="1804"/>
      <c r="J949" s="1804"/>
      <c r="K949" s="141"/>
      <c r="L949" s="141"/>
      <c r="M949" s="141"/>
      <c r="N949" s="972" t="e">
        <f ca="1">XIRR(OFFSET(A9,,_xlfn.XMATCH(-1,$B$8:$N$8,-1,1),,_xlfn.XMATCH(1,$B$8:$N$8,1,-1)-1),OFFSET(A8,,_xlfn.XMATCH(-1,$B$8:$N$8,-1,1),,_xlfn.XMATCH(1,$B$8:$N$8,1,-1)-1))</f>
        <v>#N/A</v>
      </c>
      <c r="O949" s="141"/>
      <c r="P949" s="141"/>
      <c r="Q949" s="141"/>
      <c r="R949" s="31"/>
      <c r="S949" s="376">
        <v>16</v>
      </c>
      <c r="T949" s="376">
        <f t="shared" si="706"/>
        <v>0</v>
      </c>
      <c r="U949" s="62">
        <f t="shared" si="711"/>
        <v>0</v>
      </c>
      <c r="V949" s="728">
        <f t="shared" si="712"/>
        <v>0</v>
      </c>
      <c r="W949" s="62">
        <f t="shared" si="713"/>
        <v>0</v>
      </c>
      <c r="X949" s="214">
        <f t="shared" si="714"/>
        <v>0</v>
      </c>
      <c r="Y949" s="378">
        <f t="shared" si="715"/>
        <v>0</v>
      </c>
      <c r="Z949" s="214" t="e">
        <f>XNPV(Input!$I$276,Calcs!AG949:EV949,Calcs!AG$933:EV$933)</f>
        <v>#NUM!</v>
      </c>
      <c r="AA949" s="764">
        <f t="shared" si="716"/>
        <v>0</v>
      </c>
      <c r="AB949" s="764">
        <f t="shared" si="717"/>
        <v>0</v>
      </c>
      <c r="AC949" s="29"/>
      <c r="AD949" s="29"/>
      <c r="AE949" s="376">
        <f t="shared" si="707"/>
        <v>0</v>
      </c>
      <c r="AF949" s="376"/>
      <c r="AG949" s="763">
        <f t="shared" si="708"/>
        <v>0</v>
      </c>
      <c r="AH949" s="763">
        <f t="shared" ref="AH949:CS949" si="728">SUMIF($AE$915:$AE$930,$AE949,AH$915:AH$930)</f>
        <v>0</v>
      </c>
      <c r="AI949" s="763">
        <f t="shared" si="728"/>
        <v>0</v>
      </c>
      <c r="AJ949" s="763">
        <f t="shared" si="728"/>
        <v>0</v>
      </c>
      <c r="AK949" s="763">
        <f t="shared" si="728"/>
        <v>0</v>
      </c>
      <c r="AL949" s="763">
        <f t="shared" si="728"/>
        <v>0</v>
      </c>
      <c r="AM949" s="763">
        <f t="shared" si="728"/>
        <v>0</v>
      </c>
      <c r="AN949" s="763">
        <f t="shared" si="728"/>
        <v>0</v>
      </c>
      <c r="AO949" s="763">
        <f t="shared" si="728"/>
        <v>0</v>
      </c>
      <c r="AP949" s="763">
        <f t="shared" si="728"/>
        <v>0</v>
      </c>
      <c r="AQ949" s="763">
        <f t="shared" si="728"/>
        <v>0</v>
      </c>
      <c r="AR949" s="763">
        <f t="shared" si="728"/>
        <v>0</v>
      </c>
      <c r="AS949" s="763">
        <f t="shared" si="728"/>
        <v>0</v>
      </c>
      <c r="AT949" s="763">
        <f t="shared" si="728"/>
        <v>0</v>
      </c>
      <c r="AU949" s="763">
        <f t="shared" si="728"/>
        <v>0</v>
      </c>
      <c r="AV949" s="763">
        <f t="shared" si="728"/>
        <v>0</v>
      </c>
      <c r="AW949" s="763">
        <f t="shared" si="728"/>
        <v>0</v>
      </c>
      <c r="AX949" s="763">
        <f t="shared" si="728"/>
        <v>0</v>
      </c>
      <c r="AY949" s="763">
        <f t="shared" si="728"/>
        <v>0</v>
      </c>
      <c r="AZ949" s="763">
        <f t="shared" si="728"/>
        <v>0</v>
      </c>
      <c r="BA949" s="763">
        <f t="shared" si="728"/>
        <v>0</v>
      </c>
      <c r="BB949" s="763">
        <f t="shared" si="728"/>
        <v>0</v>
      </c>
      <c r="BC949" s="763">
        <f t="shared" si="728"/>
        <v>0</v>
      </c>
      <c r="BD949" s="763">
        <f t="shared" si="728"/>
        <v>0</v>
      </c>
      <c r="BE949" s="763">
        <f t="shared" si="728"/>
        <v>0</v>
      </c>
      <c r="BF949" s="763">
        <f t="shared" si="728"/>
        <v>0</v>
      </c>
      <c r="BG949" s="763">
        <f t="shared" si="728"/>
        <v>0</v>
      </c>
      <c r="BH949" s="763">
        <f t="shared" si="728"/>
        <v>0</v>
      </c>
      <c r="BI949" s="763">
        <f t="shared" si="728"/>
        <v>0</v>
      </c>
      <c r="BJ949" s="763">
        <f t="shared" si="728"/>
        <v>0</v>
      </c>
      <c r="BK949" s="763">
        <f t="shared" si="728"/>
        <v>0</v>
      </c>
      <c r="BL949" s="763">
        <f t="shared" si="728"/>
        <v>0</v>
      </c>
      <c r="BM949" s="763">
        <f t="shared" si="728"/>
        <v>0</v>
      </c>
      <c r="BN949" s="763">
        <f t="shared" si="728"/>
        <v>0</v>
      </c>
      <c r="BO949" s="763">
        <f t="shared" si="728"/>
        <v>0</v>
      </c>
      <c r="BP949" s="763">
        <f t="shared" si="728"/>
        <v>0</v>
      </c>
      <c r="BQ949" s="763">
        <f t="shared" si="728"/>
        <v>0</v>
      </c>
      <c r="BR949" s="763">
        <f t="shared" si="728"/>
        <v>0</v>
      </c>
      <c r="BS949" s="763">
        <f t="shared" si="728"/>
        <v>0</v>
      </c>
      <c r="BT949" s="763">
        <f t="shared" si="728"/>
        <v>0</v>
      </c>
      <c r="BU949" s="763">
        <f t="shared" si="728"/>
        <v>0</v>
      </c>
      <c r="BV949" s="763">
        <f t="shared" si="728"/>
        <v>0</v>
      </c>
      <c r="BW949" s="763">
        <f t="shared" si="728"/>
        <v>0</v>
      </c>
      <c r="BX949" s="763">
        <f t="shared" si="728"/>
        <v>0</v>
      </c>
      <c r="BY949" s="763">
        <f t="shared" si="728"/>
        <v>0</v>
      </c>
      <c r="BZ949" s="763">
        <f t="shared" si="728"/>
        <v>0</v>
      </c>
      <c r="CA949" s="763">
        <f t="shared" si="728"/>
        <v>0</v>
      </c>
      <c r="CB949" s="763">
        <f t="shared" si="728"/>
        <v>0</v>
      </c>
      <c r="CC949" s="763">
        <f t="shared" si="728"/>
        <v>0</v>
      </c>
      <c r="CD949" s="763">
        <f t="shared" si="728"/>
        <v>0</v>
      </c>
      <c r="CE949" s="763">
        <f t="shared" si="728"/>
        <v>0</v>
      </c>
      <c r="CF949" s="763">
        <f t="shared" si="728"/>
        <v>0</v>
      </c>
      <c r="CG949" s="763">
        <f t="shared" si="728"/>
        <v>0</v>
      </c>
      <c r="CH949" s="763">
        <f t="shared" si="728"/>
        <v>0</v>
      </c>
      <c r="CI949" s="763">
        <f t="shared" si="728"/>
        <v>0</v>
      </c>
      <c r="CJ949" s="763">
        <f t="shared" si="728"/>
        <v>0</v>
      </c>
      <c r="CK949" s="763">
        <f t="shared" si="728"/>
        <v>0</v>
      </c>
      <c r="CL949" s="763">
        <f t="shared" si="728"/>
        <v>0</v>
      </c>
      <c r="CM949" s="763">
        <f t="shared" si="728"/>
        <v>0</v>
      </c>
      <c r="CN949" s="763">
        <f t="shared" si="728"/>
        <v>0</v>
      </c>
      <c r="CO949" s="763">
        <f t="shared" si="728"/>
        <v>0</v>
      </c>
      <c r="CP949" s="763">
        <f t="shared" si="728"/>
        <v>0</v>
      </c>
      <c r="CQ949" s="763">
        <f t="shared" si="728"/>
        <v>0</v>
      </c>
      <c r="CR949" s="763">
        <f t="shared" si="728"/>
        <v>0</v>
      </c>
      <c r="CS949" s="763">
        <f t="shared" si="728"/>
        <v>0</v>
      </c>
      <c r="CT949" s="763">
        <f t="shared" si="726"/>
        <v>0</v>
      </c>
      <c r="CU949" s="763">
        <f t="shared" si="726"/>
        <v>0</v>
      </c>
      <c r="CV949" s="763">
        <f t="shared" si="726"/>
        <v>0</v>
      </c>
      <c r="CW949" s="763">
        <f t="shared" si="727"/>
        <v>0</v>
      </c>
      <c r="CX949" s="763">
        <f t="shared" si="727"/>
        <v>0</v>
      </c>
      <c r="CY949" s="763">
        <f t="shared" si="727"/>
        <v>0</v>
      </c>
      <c r="CZ949" s="763">
        <f t="shared" si="727"/>
        <v>0</v>
      </c>
      <c r="DA949" s="763">
        <f t="shared" si="727"/>
        <v>0</v>
      </c>
      <c r="DB949" s="763">
        <f t="shared" si="727"/>
        <v>0</v>
      </c>
      <c r="DC949" s="763">
        <f t="shared" si="727"/>
        <v>0</v>
      </c>
      <c r="DD949" s="763">
        <f t="shared" si="727"/>
        <v>0</v>
      </c>
      <c r="DE949" s="763">
        <f t="shared" si="727"/>
        <v>0</v>
      </c>
      <c r="DF949" s="763">
        <f t="shared" si="727"/>
        <v>0</v>
      </c>
      <c r="DG949" s="763">
        <f t="shared" si="727"/>
        <v>0</v>
      </c>
      <c r="DH949" s="763">
        <f t="shared" si="727"/>
        <v>0</v>
      </c>
      <c r="DI949" s="763">
        <f t="shared" si="727"/>
        <v>0</v>
      </c>
      <c r="DJ949" s="763">
        <f t="shared" si="727"/>
        <v>0</v>
      </c>
      <c r="DK949" s="763">
        <f t="shared" si="727"/>
        <v>0</v>
      </c>
      <c r="DL949" s="763">
        <f t="shared" si="727"/>
        <v>0</v>
      </c>
      <c r="DM949" s="763">
        <f t="shared" si="727"/>
        <v>0</v>
      </c>
      <c r="DN949" s="763">
        <f t="shared" si="727"/>
        <v>0</v>
      </c>
      <c r="DO949" s="763">
        <f t="shared" si="727"/>
        <v>0</v>
      </c>
      <c r="DP949" s="763">
        <f t="shared" si="727"/>
        <v>0</v>
      </c>
      <c r="DQ949" s="763">
        <f t="shared" si="727"/>
        <v>0</v>
      </c>
      <c r="DR949" s="763">
        <f t="shared" si="727"/>
        <v>0</v>
      </c>
      <c r="DS949" s="763">
        <f t="shared" si="727"/>
        <v>0</v>
      </c>
      <c r="DT949" s="763">
        <f t="shared" si="727"/>
        <v>0</v>
      </c>
      <c r="DU949" s="763">
        <f t="shared" si="727"/>
        <v>0</v>
      </c>
      <c r="DV949" s="763">
        <f t="shared" si="727"/>
        <v>0</v>
      </c>
      <c r="DW949" s="763">
        <f t="shared" si="727"/>
        <v>0</v>
      </c>
      <c r="DX949" s="763">
        <f t="shared" si="727"/>
        <v>0</v>
      </c>
      <c r="DY949" s="763">
        <f t="shared" si="727"/>
        <v>0</v>
      </c>
      <c r="DZ949" s="763">
        <f t="shared" si="727"/>
        <v>0</v>
      </c>
      <c r="EA949" s="763">
        <f t="shared" si="727"/>
        <v>0</v>
      </c>
      <c r="EB949" s="763">
        <f t="shared" si="727"/>
        <v>0</v>
      </c>
      <c r="EC949" s="763">
        <f t="shared" si="727"/>
        <v>0</v>
      </c>
      <c r="ED949" s="763">
        <f t="shared" si="727"/>
        <v>0</v>
      </c>
      <c r="EE949" s="763">
        <f t="shared" si="727"/>
        <v>0</v>
      </c>
      <c r="EF949" s="763">
        <f t="shared" si="727"/>
        <v>0</v>
      </c>
      <c r="EG949" s="763">
        <f t="shared" si="727"/>
        <v>0</v>
      </c>
      <c r="EH949" s="763">
        <f t="shared" si="727"/>
        <v>0</v>
      </c>
      <c r="EI949" s="763">
        <f t="shared" si="727"/>
        <v>0</v>
      </c>
      <c r="EJ949" s="763">
        <f t="shared" si="727"/>
        <v>0</v>
      </c>
      <c r="EK949" s="763">
        <f t="shared" si="727"/>
        <v>0</v>
      </c>
      <c r="EL949" s="763">
        <f t="shared" si="727"/>
        <v>0</v>
      </c>
      <c r="EM949" s="763">
        <f t="shared" si="727"/>
        <v>0</v>
      </c>
      <c r="EN949" s="763">
        <f t="shared" si="727"/>
        <v>0</v>
      </c>
      <c r="EO949" s="763">
        <f t="shared" si="727"/>
        <v>0</v>
      </c>
      <c r="EP949" s="763">
        <f t="shared" si="727"/>
        <v>0</v>
      </c>
      <c r="EQ949" s="763">
        <f t="shared" si="727"/>
        <v>0</v>
      </c>
      <c r="ER949" s="763">
        <f t="shared" si="727"/>
        <v>0</v>
      </c>
      <c r="ES949" s="763">
        <f t="shared" si="727"/>
        <v>0</v>
      </c>
      <c r="ET949" s="763">
        <f t="shared" si="727"/>
        <v>0</v>
      </c>
      <c r="EU949" s="763">
        <f t="shared" si="727"/>
        <v>0</v>
      </c>
      <c r="EV949" s="763">
        <f t="shared" si="727"/>
        <v>0</v>
      </c>
    </row>
    <row r="950" spans="1:152" s="12" customFormat="1" ht="12" customHeight="1" x14ac:dyDescent="0.35">
      <c r="A950" s="84"/>
      <c r="B950" s="13"/>
      <c r="C950" s="13"/>
      <c r="D950" s="13"/>
      <c r="E950" s="13"/>
      <c r="F950" s="13"/>
      <c r="G950" s="1804"/>
      <c r="H950" s="1183"/>
      <c r="I950" s="1804"/>
      <c r="J950" s="1804"/>
      <c r="K950" s="141"/>
      <c r="L950" s="141"/>
      <c r="M950" s="141"/>
      <c r="N950" s="141"/>
      <c r="O950" s="141"/>
      <c r="P950" s="141"/>
      <c r="Q950" s="141"/>
      <c r="R950" s="31"/>
      <c r="S950" s="36"/>
      <c r="T950" s="376"/>
      <c r="U950" s="29"/>
      <c r="V950" s="1804"/>
      <c r="W950" s="1804"/>
      <c r="X950" s="1804"/>
      <c r="Y950" s="29"/>
      <c r="Z950" s="29"/>
      <c r="AA950" s="29"/>
      <c r="AB950" s="29"/>
      <c r="AC950" s="29"/>
      <c r="AD950" s="29"/>
      <c r="AE950" s="376"/>
      <c r="AF950" s="376"/>
      <c r="AG950" s="376"/>
      <c r="AH950" s="380"/>
      <c r="AI950" s="380"/>
      <c r="AJ950" s="380"/>
      <c r="AK950" s="380"/>
      <c r="AL950" s="380"/>
      <c r="AM950" s="380"/>
      <c r="AN950" s="380"/>
      <c r="AO950" s="380"/>
      <c r="AP950" s="380"/>
      <c r="AQ950" s="380"/>
      <c r="AR950" s="1144"/>
      <c r="AS950" s="380"/>
      <c r="AT950" s="380"/>
      <c r="AU950" s="380"/>
      <c r="AV950" s="380"/>
      <c r="AW950" s="380"/>
      <c r="AX950" s="380"/>
      <c r="AY950" s="380"/>
      <c r="AZ950" s="380"/>
      <c r="BA950" s="380"/>
      <c r="BB950" s="380"/>
      <c r="BC950" s="380"/>
      <c r="BD950" s="380"/>
      <c r="BE950" s="380"/>
      <c r="BF950" s="380"/>
      <c r="BG950" s="380"/>
      <c r="BH950" s="380"/>
      <c r="BI950" s="380"/>
      <c r="BJ950" s="380"/>
      <c r="BK950" s="380"/>
      <c r="BL950" s="380"/>
      <c r="BM950" s="380"/>
      <c r="BN950" s="380"/>
      <c r="BO950" s="380"/>
      <c r="BP950" s="380"/>
      <c r="BQ950" s="380"/>
      <c r="BR950" s="380"/>
      <c r="BS950" s="380"/>
      <c r="BT950" s="380"/>
      <c r="BU950" s="380"/>
      <c r="BV950" s="380"/>
      <c r="BW950" s="380"/>
      <c r="BX950" s="380"/>
      <c r="BY950" s="380"/>
      <c r="BZ950" s="380"/>
      <c r="CA950" s="380"/>
      <c r="CB950" s="380"/>
      <c r="CC950" s="380"/>
      <c r="CD950" s="380"/>
      <c r="CE950" s="380"/>
      <c r="CF950" s="380"/>
      <c r="CG950" s="380"/>
      <c r="CH950" s="380"/>
      <c r="CI950" s="380"/>
      <c r="CJ950" s="380"/>
      <c r="CK950" s="380"/>
      <c r="CL950" s="380"/>
      <c r="CM950" s="380"/>
      <c r="CN950" s="380"/>
      <c r="CO950" s="1183"/>
      <c r="CP950" s="1183"/>
      <c r="CQ950" s="1183"/>
      <c r="CR950" s="1183"/>
      <c r="CS950" s="1183"/>
      <c r="CT950" s="1183"/>
      <c r="CU950" s="1183"/>
      <c r="CV950" s="1183"/>
      <c r="CW950" s="1183"/>
      <c r="CX950" s="1183"/>
      <c r="CY950" s="1183"/>
      <c r="CZ950" s="1183"/>
      <c r="DA950" s="1183"/>
      <c r="DB950" s="1183"/>
      <c r="DC950" s="1183"/>
      <c r="DD950" s="1183"/>
      <c r="DE950" s="1183"/>
      <c r="DF950" s="1183"/>
      <c r="DG950" s="1183"/>
      <c r="DH950" s="1183"/>
      <c r="DI950" s="1183"/>
      <c r="DJ950" s="1183"/>
      <c r="DK950" s="1183"/>
      <c r="DL950" s="1183"/>
      <c r="DM950" s="1183"/>
      <c r="DN950" s="1183"/>
      <c r="DO950" s="1183"/>
      <c r="DP950" s="1183"/>
      <c r="DQ950" s="1183"/>
      <c r="DR950" s="1804"/>
      <c r="DS950" s="1804"/>
      <c r="DT950" s="1804"/>
      <c r="DU950" s="1804"/>
      <c r="DV950" s="1804"/>
      <c r="DW950" s="1804"/>
      <c r="DX950" s="1804"/>
      <c r="DY950" s="1804"/>
      <c r="DZ950" s="1804"/>
      <c r="EA950" s="1804"/>
      <c r="EB950" s="1804"/>
      <c r="EC950" s="1804"/>
      <c r="ED950" s="1804"/>
      <c r="EE950" s="1804"/>
      <c r="EF950" s="1804"/>
      <c r="EG950" s="1804"/>
      <c r="EH950" s="1804"/>
      <c r="EI950" s="1804"/>
      <c r="EJ950" s="1804"/>
      <c r="EK950" s="1804"/>
      <c r="EL950" s="1804"/>
      <c r="EM950" s="1804"/>
      <c r="EN950" s="1804"/>
      <c r="EO950" s="1804"/>
      <c r="EP950" s="1804"/>
      <c r="EQ950" s="1804"/>
      <c r="ER950" s="1804"/>
      <c r="ES950" s="1804"/>
      <c r="ET950" s="1804"/>
      <c r="EU950" s="1804"/>
      <c r="EV950" s="1804"/>
    </row>
    <row r="951" spans="1:152" s="12" customFormat="1" ht="12" customHeight="1" x14ac:dyDescent="0.35">
      <c r="A951" s="84"/>
      <c r="B951" s="13"/>
      <c r="C951" s="13"/>
      <c r="D951" s="13"/>
      <c r="E951" s="13"/>
      <c r="F951" s="13"/>
      <c r="G951" s="1804"/>
      <c r="H951" s="1183"/>
      <c r="I951" s="1804"/>
      <c r="J951" s="1804"/>
      <c r="K951" s="141"/>
      <c r="L951" s="141"/>
      <c r="M951" s="141"/>
      <c r="N951" s="141"/>
      <c r="O951" s="141"/>
      <c r="P951" s="141"/>
      <c r="Q951" s="141"/>
      <c r="R951" s="31"/>
      <c r="S951" s="36"/>
      <c r="T951" s="376"/>
      <c r="U951" s="29"/>
      <c r="V951" s="1804"/>
      <c r="W951" s="1804"/>
      <c r="X951" s="1804"/>
      <c r="Y951" s="29"/>
      <c r="Z951" s="29"/>
      <c r="AA951" s="29"/>
      <c r="AB951" s="29"/>
      <c r="AC951" s="29"/>
      <c r="AD951" s="376"/>
      <c r="AE951" s="376"/>
      <c r="AF951" s="376">
        <v>61</v>
      </c>
      <c r="AG951" s="376">
        <v>62</v>
      </c>
      <c r="AH951" s="376">
        <v>63</v>
      </c>
      <c r="AI951" s="376">
        <v>64</v>
      </c>
      <c r="AJ951" s="376">
        <v>65</v>
      </c>
      <c r="AK951" s="376">
        <v>66</v>
      </c>
      <c r="AL951" s="376">
        <v>67</v>
      </c>
      <c r="AM951" s="376">
        <v>68</v>
      </c>
      <c r="AN951" s="376">
        <v>69</v>
      </c>
      <c r="AO951" s="376">
        <v>70</v>
      </c>
      <c r="AP951" s="376">
        <v>71</v>
      </c>
      <c r="AQ951" s="376">
        <v>72</v>
      </c>
      <c r="AR951" s="376">
        <v>73</v>
      </c>
      <c r="AS951" s="376">
        <v>74</v>
      </c>
      <c r="AT951" s="376">
        <v>75</v>
      </c>
      <c r="AU951" s="376">
        <v>76</v>
      </c>
      <c r="AV951" s="376">
        <v>77</v>
      </c>
      <c r="AW951" s="376">
        <v>78</v>
      </c>
      <c r="AX951" s="376">
        <v>79</v>
      </c>
      <c r="AY951" s="376">
        <v>80</v>
      </c>
      <c r="AZ951" s="376">
        <v>81</v>
      </c>
      <c r="BA951" s="376">
        <v>82</v>
      </c>
      <c r="BB951" s="376">
        <v>83</v>
      </c>
      <c r="BC951" s="376">
        <v>84</v>
      </c>
      <c r="BD951" s="376">
        <v>85</v>
      </c>
      <c r="BE951" s="376">
        <v>86</v>
      </c>
      <c r="BF951" s="376">
        <v>87</v>
      </c>
      <c r="BG951" s="376">
        <v>88</v>
      </c>
      <c r="BH951" s="376">
        <v>89</v>
      </c>
      <c r="BI951" s="376">
        <v>90</v>
      </c>
      <c r="BJ951" s="376">
        <v>91</v>
      </c>
      <c r="BK951" s="376">
        <v>92</v>
      </c>
      <c r="BL951" s="376">
        <v>93</v>
      </c>
      <c r="BM951" s="376">
        <v>94</v>
      </c>
      <c r="BN951" s="376">
        <v>95</v>
      </c>
      <c r="BO951" s="376">
        <v>96</v>
      </c>
      <c r="BP951" s="376">
        <v>97</v>
      </c>
      <c r="BQ951" s="376">
        <v>98</v>
      </c>
      <c r="BR951" s="376">
        <v>99</v>
      </c>
      <c r="BS951" s="376">
        <v>100</v>
      </c>
      <c r="BT951" s="376">
        <v>101</v>
      </c>
      <c r="BU951" s="376">
        <v>102</v>
      </c>
      <c r="BV951" s="376">
        <v>103</v>
      </c>
      <c r="BW951" s="376">
        <v>104</v>
      </c>
      <c r="BX951" s="376">
        <v>105</v>
      </c>
      <c r="BY951" s="376">
        <v>106</v>
      </c>
      <c r="BZ951" s="376">
        <v>107</v>
      </c>
      <c r="CA951" s="376">
        <v>108</v>
      </c>
      <c r="CB951" s="376">
        <v>109</v>
      </c>
      <c r="CC951" s="376">
        <v>110</v>
      </c>
      <c r="CD951" s="376">
        <v>111</v>
      </c>
      <c r="CE951" s="376">
        <v>112</v>
      </c>
      <c r="CF951" s="376">
        <v>113</v>
      </c>
      <c r="CG951" s="376">
        <v>114</v>
      </c>
      <c r="CH951" s="376">
        <v>115</v>
      </c>
      <c r="CI951" s="376">
        <v>116</v>
      </c>
      <c r="CJ951" s="376">
        <v>117</v>
      </c>
      <c r="CK951" s="376">
        <v>118</v>
      </c>
      <c r="CL951" s="376">
        <v>119</v>
      </c>
      <c r="CM951" s="376">
        <v>120</v>
      </c>
      <c r="CN951" s="380"/>
      <c r="CO951" s="1183"/>
      <c r="CP951" s="1183"/>
      <c r="CQ951" s="1183"/>
      <c r="CR951" s="1183"/>
      <c r="CS951" s="1183"/>
      <c r="CT951" s="1183"/>
      <c r="CU951" s="1183"/>
      <c r="CV951" s="1183"/>
      <c r="CW951" s="1183"/>
      <c r="CX951" s="1183"/>
      <c r="CY951" s="1183"/>
      <c r="CZ951" s="1183"/>
      <c r="DA951" s="1183"/>
      <c r="DB951" s="1183"/>
      <c r="DC951" s="1183"/>
      <c r="DD951" s="1183"/>
      <c r="DE951" s="1183"/>
      <c r="DF951" s="1183"/>
      <c r="DG951" s="1183"/>
      <c r="DH951" s="1183"/>
      <c r="DI951" s="1183"/>
      <c r="DJ951" s="1183"/>
      <c r="DK951" s="1183"/>
      <c r="DL951" s="1183"/>
      <c r="DM951" s="1183"/>
      <c r="DN951" s="1183"/>
      <c r="DO951" s="1183"/>
      <c r="DP951" s="1183"/>
      <c r="DQ951" s="1183"/>
      <c r="DR951" s="1804"/>
      <c r="DS951" s="1804"/>
      <c r="DT951" s="1804"/>
      <c r="DU951" s="1804"/>
      <c r="DV951" s="1804"/>
      <c r="DW951" s="1804"/>
      <c r="DX951" s="1804"/>
      <c r="DY951" s="1804"/>
      <c r="DZ951" s="1804"/>
      <c r="EA951" s="1804"/>
      <c r="EB951" s="1804"/>
      <c r="EC951" s="1804"/>
      <c r="ED951" s="1804"/>
      <c r="EE951" s="1804"/>
      <c r="EF951" s="1804"/>
      <c r="EG951" s="1804"/>
      <c r="EH951" s="1804"/>
      <c r="EI951" s="1804"/>
      <c r="EJ951" s="1804"/>
      <c r="EK951" s="1804"/>
      <c r="EL951" s="1804"/>
      <c r="EM951" s="1804"/>
      <c r="EN951" s="1804"/>
      <c r="EO951" s="1804"/>
      <c r="EP951" s="1804"/>
      <c r="EQ951" s="1804"/>
      <c r="ER951" s="1804"/>
      <c r="ES951" s="1804"/>
      <c r="ET951" s="1804"/>
      <c r="EU951" s="1804"/>
      <c r="EV951" s="1804"/>
    </row>
    <row r="952" spans="1:152" s="12" customFormat="1" ht="12" customHeight="1" x14ac:dyDescent="0.35">
      <c r="A952" s="84"/>
      <c r="B952" s="13"/>
      <c r="C952" s="13"/>
      <c r="D952" s="13"/>
      <c r="E952" s="13"/>
      <c r="F952" s="13"/>
      <c r="G952" s="1804"/>
      <c r="H952" s="1183"/>
      <c r="I952" s="1804"/>
      <c r="J952" s="1804"/>
      <c r="K952" s="141"/>
      <c r="L952" s="141"/>
      <c r="M952" s="141"/>
      <c r="N952" s="141" t="e" cm="1">
        <f t="array" ref="N952">MATCH(TRUE,(AG934:EV934)&lt;&gt;0,0)-1</f>
        <v>#N/A</v>
      </c>
      <c r="O952" s="141" t="e" cm="1">
        <f t="array" ref="O952">MATCH(TRUE,(AG935:EV935)&lt;&gt;0,0)-1</f>
        <v>#N/A</v>
      </c>
      <c r="P952" s="141" t="e">
        <f t="array" ref="P952">MATCH(TRUE,(AG932:EV932)&lt;&gt;0,0)-1</f>
        <v>#N/A</v>
      </c>
      <c r="Q952" s="1804"/>
      <c r="R952" s="31"/>
      <c r="S952" s="36"/>
      <c r="T952" s="376"/>
      <c r="U952" s="29"/>
      <c r="V952" s="1804"/>
      <c r="W952" s="1804"/>
      <c r="X952" s="1804"/>
      <c r="Y952" s="29"/>
      <c r="Z952" s="29"/>
      <c r="AA952" s="29"/>
      <c r="AB952" s="29"/>
      <c r="AC952" s="29"/>
      <c r="AD952" s="376"/>
      <c r="AE952" s="376" t="s">
        <v>560</v>
      </c>
      <c r="AF952" s="762">
        <f>AF781</f>
        <v>0</v>
      </c>
      <c r="AG952" s="762">
        <f t="shared" ref="AG952:CM952" si="729">AG781</f>
        <v>59</v>
      </c>
      <c r="AH952" s="762">
        <f t="shared" si="729"/>
        <v>91</v>
      </c>
      <c r="AI952" s="762">
        <f t="shared" si="729"/>
        <v>121</v>
      </c>
      <c r="AJ952" s="762">
        <f t="shared" si="729"/>
        <v>152</v>
      </c>
      <c r="AK952" s="762">
        <f t="shared" si="729"/>
        <v>182</v>
      </c>
      <c r="AL952" s="762">
        <f t="shared" si="729"/>
        <v>213</v>
      </c>
      <c r="AM952" s="762">
        <f t="shared" si="729"/>
        <v>244</v>
      </c>
      <c r="AN952" s="762">
        <f t="shared" si="729"/>
        <v>274</v>
      </c>
      <c r="AO952" s="762">
        <f t="shared" si="729"/>
        <v>305</v>
      </c>
      <c r="AP952" s="762">
        <f t="shared" si="729"/>
        <v>335</v>
      </c>
      <c r="AQ952" s="762">
        <f t="shared" si="729"/>
        <v>366</v>
      </c>
      <c r="AR952" s="762">
        <f t="shared" si="729"/>
        <v>397</v>
      </c>
      <c r="AS952" s="762">
        <f t="shared" si="729"/>
        <v>425</v>
      </c>
      <c r="AT952" s="762">
        <f t="shared" si="729"/>
        <v>456</v>
      </c>
      <c r="AU952" s="762">
        <f t="shared" si="729"/>
        <v>486</v>
      </c>
      <c r="AV952" s="762">
        <f t="shared" si="729"/>
        <v>517</v>
      </c>
      <c r="AW952" s="762">
        <f t="shared" si="729"/>
        <v>547</v>
      </c>
      <c r="AX952" s="762">
        <f t="shared" si="729"/>
        <v>578</v>
      </c>
      <c r="AY952" s="762">
        <f t="shared" si="729"/>
        <v>609</v>
      </c>
      <c r="AZ952" s="762">
        <f t="shared" si="729"/>
        <v>639</v>
      </c>
      <c r="BA952" s="762">
        <f t="shared" si="729"/>
        <v>670</v>
      </c>
      <c r="BB952" s="762">
        <f t="shared" si="729"/>
        <v>700</v>
      </c>
      <c r="BC952" s="762">
        <f t="shared" si="729"/>
        <v>731</v>
      </c>
      <c r="BD952" s="762">
        <f t="shared" si="729"/>
        <v>762</v>
      </c>
      <c r="BE952" s="762">
        <f t="shared" si="729"/>
        <v>790</v>
      </c>
      <c r="BF952" s="762">
        <f t="shared" si="729"/>
        <v>821</v>
      </c>
      <c r="BG952" s="762">
        <f t="shared" si="729"/>
        <v>851</v>
      </c>
      <c r="BH952" s="762">
        <f t="shared" si="729"/>
        <v>882</v>
      </c>
      <c r="BI952" s="762">
        <f t="shared" si="729"/>
        <v>912</v>
      </c>
      <c r="BJ952" s="762">
        <f t="shared" si="729"/>
        <v>943</v>
      </c>
      <c r="BK952" s="762">
        <f t="shared" si="729"/>
        <v>974</v>
      </c>
      <c r="BL952" s="762">
        <f t="shared" si="729"/>
        <v>1004</v>
      </c>
      <c r="BM952" s="762">
        <f t="shared" si="729"/>
        <v>1035</v>
      </c>
      <c r="BN952" s="762">
        <f t="shared" si="729"/>
        <v>1065</v>
      </c>
      <c r="BO952" s="762">
        <f t="shared" si="729"/>
        <v>1096</v>
      </c>
      <c r="BP952" s="762">
        <f t="shared" si="729"/>
        <v>1127</v>
      </c>
      <c r="BQ952" s="762">
        <f t="shared" si="729"/>
        <v>1155</v>
      </c>
      <c r="BR952" s="762">
        <f t="shared" si="729"/>
        <v>1186</v>
      </c>
      <c r="BS952" s="762">
        <f t="shared" si="729"/>
        <v>1216</v>
      </c>
      <c r="BT952" s="762">
        <f t="shared" si="729"/>
        <v>1247</v>
      </c>
      <c r="BU952" s="762">
        <f t="shared" si="729"/>
        <v>1277</v>
      </c>
      <c r="BV952" s="762">
        <f t="shared" si="729"/>
        <v>1308</v>
      </c>
      <c r="BW952" s="762">
        <f t="shared" si="729"/>
        <v>1339</v>
      </c>
      <c r="BX952" s="762">
        <f t="shared" si="729"/>
        <v>1369</v>
      </c>
      <c r="BY952" s="762">
        <f t="shared" si="729"/>
        <v>1400</v>
      </c>
      <c r="BZ952" s="762">
        <f t="shared" si="729"/>
        <v>1430</v>
      </c>
      <c r="CA952" s="762">
        <f t="shared" si="729"/>
        <v>1461</v>
      </c>
      <c r="CB952" s="762">
        <f t="shared" si="729"/>
        <v>1492</v>
      </c>
      <c r="CC952" s="762">
        <f t="shared" si="729"/>
        <v>1521</v>
      </c>
      <c r="CD952" s="762">
        <f t="shared" si="729"/>
        <v>1552</v>
      </c>
      <c r="CE952" s="762">
        <f t="shared" si="729"/>
        <v>1582</v>
      </c>
      <c r="CF952" s="762">
        <f t="shared" si="729"/>
        <v>1613</v>
      </c>
      <c r="CG952" s="762">
        <f t="shared" si="729"/>
        <v>1643</v>
      </c>
      <c r="CH952" s="762">
        <f t="shared" si="729"/>
        <v>1674</v>
      </c>
      <c r="CI952" s="762">
        <f t="shared" si="729"/>
        <v>1705</v>
      </c>
      <c r="CJ952" s="762">
        <f t="shared" si="729"/>
        <v>1735</v>
      </c>
      <c r="CK952" s="762">
        <f t="shared" si="729"/>
        <v>1766</v>
      </c>
      <c r="CL952" s="762">
        <f t="shared" si="729"/>
        <v>1796</v>
      </c>
      <c r="CM952" s="762">
        <f t="shared" si="729"/>
        <v>1827</v>
      </c>
      <c r="CN952" s="380"/>
      <c r="CO952" s="1183"/>
      <c r="CP952" s="1183"/>
      <c r="CQ952" s="1183"/>
      <c r="CR952" s="1183"/>
      <c r="CS952" s="1183"/>
      <c r="CT952" s="1183"/>
      <c r="CU952" s="1183"/>
      <c r="CV952" s="1183"/>
      <c r="CW952" s="1183"/>
      <c r="CX952" s="1183"/>
      <c r="CY952" s="1183"/>
      <c r="CZ952" s="1183"/>
      <c r="DA952" s="1183"/>
      <c r="DB952" s="1183"/>
      <c r="DC952" s="1183"/>
      <c r="DD952" s="1183"/>
      <c r="DE952" s="1183"/>
      <c r="DF952" s="1183"/>
      <c r="DG952" s="1183"/>
      <c r="DH952" s="1183"/>
      <c r="DI952" s="1183"/>
      <c r="DJ952" s="1183"/>
      <c r="DK952" s="1183"/>
      <c r="DL952" s="1183"/>
      <c r="DM952" s="1183"/>
      <c r="DN952" s="1183"/>
      <c r="DO952" s="1183"/>
      <c r="DP952" s="1183"/>
      <c r="DQ952" s="1183"/>
      <c r="DR952" s="1804"/>
      <c r="DS952" s="1804"/>
      <c r="DT952" s="1804"/>
      <c r="DU952" s="1804"/>
      <c r="DV952" s="1804"/>
      <c r="DW952" s="1804"/>
      <c r="DX952" s="1804"/>
      <c r="DY952" s="1804"/>
      <c r="DZ952" s="1804"/>
      <c r="EA952" s="1804"/>
      <c r="EB952" s="1804"/>
      <c r="EC952" s="1804"/>
      <c r="ED952" s="1804"/>
      <c r="EE952" s="1804"/>
      <c r="EF952" s="1804"/>
      <c r="EG952" s="1804"/>
      <c r="EH952" s="1804"/>
      <c r="EI952" s="1804"/>
      <c r="EJ952" s="1804"/>
      <c r="EK952" s="1804"/>
      <c r="EL952" s="1804"/>
      <c r="EM952" s="1804"/>
      <c r="EN952" s="1804"/>
      <c r="EO952" s="1804"/>
      <c r="EP952" s="1804"/>
      <c r="EQ952" s="1804"/>
      <c r="ER952" s="1804"/>
      <c r="ES952" s="1804"/>
      <c r="ET952" s="1804"/>
      <c r="EU952" s="1804"/>
      <c r="EV952" s="1804"/>
    </row>
    <row r="953" spans="1:152" s="12" customFormat="1" ht="12" customHeight="1" x14ac:dyDescent="0.35">
      <c r="A953" s="84"/>
      <c r="B953" s="13"/>
      <c r="C953" s="13"/>
      <c r="D953" s="13"/>
      <c r="E953" s="13"/>
      <c r="F953" s="13"/>
      <c r="G953" s="1804"/>
      <c r="H953" s="1183"/>
      <c r="I953" s="1804"/>
      <c r="J953" s="1804"/>
      <c r="K953" s="141"/>
      <c r="L953" s="141"/>
      <c r="M953" s="141"/>
      <c r="N953" s="971" t="e">
        <f ca="1">IRR(OFFSET(AG934,0,N952,,COLUMNS(AG934:EV934)-N952),0.01)</f>
        <v>#N/A</v>
      </c>
      <c r="O953" s="971" t="e">
        <f ca="1">IRR(OFFSET(AG935,0,O952,,COLUMNS(AG935:EV935)-O952),0.01)</f>
        <v>#N/A</v>
      </c>
      <c r="P953" s="971" t="e">
        <f ca="1">IRR(OFFSET(AG931,0,P952,,COLUMNS(AG931:EV931)-P952),0.01)</f>
        <v>#N/A</v>
      </c>
      <c r="Q953" s="141" t="e">
        <f>XIRR(AG931:EV931,AG892:EV892,0.1)</f>
        <v>#NUM!</v>
      </c>
      <c r="R953" s="31"/>
      <c r="S953" s="36"/>
      <c r="T953" s="376"/>
      <c r="U953" s="29"/>
      <c r="V953" s="1804"/>
      <c r="W953" s="1804"/>
      <c r="X953" s="1804"/>
      <c r="Y953" s="29"/>
      <c r="Z953" s="29"/>
      <c r="AA953" s="29"/>
      <c r="AB953" s="29"/>
      <c r="AC953" s="29"/>
      <c r="AD953" s="376"/>
      <c r="AE953" s="376">
        <v>1</v>
      </c>
      <c r="AF953" s="62">
        <f>IF($AA803=AF$952,$Z803,0)</f>
        <v>0</v>
      </c>
      <c r="AG953" s="62">
        <f t="shared" ref="AG953:CM953" si="730">IF($AA803=AG$952,$Z803,0)</f>
        <v>0</v>
      </c>
      <c r="AH953" s="62">
        <f t="shared" si="730"/>
        <v>0</v>
      </c>
      <c r="AI953" s="62">
        <f t="shared" si="730"/>
        <v>0</v>
      </c>
      <c r="AJ953" s="62">
        <f t="shared" si="730"/>
        <v>0</v>
      </c>
      <c r="AK953" s="62">
        <f t="shared" si="730"/>
        <v>0</v>
      </c>
      <c r="AL953" s="62">
        <f t="shared" si="730"/>
        <v>0</v>
      </c>
      <c r="AM953" s="62">
        <f t="shared" si="730"/>
        <v>0</v>
      </c>
      <c r="AN953" s="62">
        <f t="shared" si="730"/>
        <v>0</v>
      </c>
      <c r="AO953" s="62">
        <f t="shared" si="730"/>
        <v>0</v>
      </c>
      <c r="AP953" s="62">
        <f t="shared" si="730"/>
        <v>0</v>
      </c>
      <c r="AQ953" s="62">
        <f t="shared" si="730"/>
        <v>0</v>
      </c>
      <c r="AR953" s="62">
        <f t="shared" si="730"/>
        <v>0</v>
      </c>
      <c r="AS953" s="62">
        <f t="shared" si="730"/>
        <v>0</v>
      </c>
      <c r="AT953" s="62">
        <f t="shared" si="730"/>
        <v>0</v>
      </c>
      <c r="AU953" s="62">
        <f t="shared" si="730"/>
        <v>0</v>
      </c>
      <c r="AV953" s="62">
        <f t="shared" si="730"/>
        <v>0</v>
      </c>
      <c r="AW953" s="62">
        <f t="shared" si="730"/>
        <v>0</v>
      </c>
      <c r="AX953" s="62">
        <f t="shared" si="730"/>
        <v>0</v>
      </c>
      <c r="AY953" s="62">
        <f t="shared" si="730"/>
        <v>0</v>
      </c>
      <c r="AZ953" s="62">
        <f t="shared" si="730"/>
        <v>0</v>
      </c>
      <c r="BA953" s="62">
        <f t="shared" si="730"/>
        <v>0</v>
      </c>
      <c r="BB953" s="62">
        <f t="shared" si="730"/>
        <v>0</v>
      </c>
      <c r="BC953" s="62">
        <f t="shared" si="730"/>
        <v>0</v>
      </c>
      <c r="BD953" s="62">
        <f t="shared" si="730"/>
        <v>0</v>
      </c>
      <c r="BE953" s="62">
        <f t="shared" si="730"/>
        <v>0</v>
      </c>
      <c r="BF953" s="62">
        <f t="shared" si="730"/>
        <v>0</v>
      </c>
      <c r="BG953" s="62">
        <f t="shared" si="730"/>
        <v>0</v>
      </c>
      <c r="BH953" s="62">
        <f t="shared" si="730"/>
        <v>0</v>
      </c>
      <c r="BI953" s="62">
        <f t="shared" si="730"/>
        <v>0</v>
      </c>
      <c r="BJ953" s="62">
        <f t="shared" si="730"/>
        <v>0</v>
      </c>
      <c r="BK953" s="62">
        <f t="shared" si="730"/>
        <v>0</v>
      </c>
      <c r="BL953" s="62">
        <f t="shared" si="730"/>
        <v>0</v>
      </c>
      <c r="BM953" s="62">
        <f t="shared" si="730"/>
        <v>0</v>
      </c>
      <c r="BN953" s="62">
        <f t="shared" si="730"/>
        <v>0</v>
      </c>
      <c r="BO953" s="62">
        <f t="shared" si="730"/>
        <v>0</v>
      </c>
      <c r="BP953" s="62">
        <f t="shared" si="730"/>
        <v>0</v>
      </c>
      <c r="BQ953" s="62">
        <f t="shared" si="730"/>
        <v>0</v>
      </c>
      <c r="BR953" s="62">
        <f t="shared" si="730"/>
        <v>0</v>
      </c>
      <c r="BS953" s="62">
        <f t="shared" si="730"/>
        <v>0</v>
      </c>
      <c r="BT953" s="62">
        <f t="shared" si="730"/>
        <v>0</v>
      </c>
      <c r="BU953" s="62">
        <f t="shared" si="730"/>
        <v>0</v>
      </c>
      <c r="BV953" s="62">
        <f t="shared" si="730"/>
        <v>0</v>
      </c>
      <c r="BW953" s="62">
        <f t="shared" si="730"/>
        <v>0</v>
      </c>
      <c r="BX953" s="62">
        <f t="shared" si="730"/>
        <v>0</v>
      </c>
      <c r="BY953" s="62">
        <f t="shared" si="730"/>
        <v>0</v>
      </c>
      <c r="BZ953" s="62">
        <f t="shared" si="730"/>
        <v>0</v>
      </c>
      <c r="CA953" s="62">
        <f t="shared" si="730"/>
        <v>0</v>
      </c>
      <c r="CB953" s="62">
        <f t="shared" si="730"/>
        <v>0</v>
      </c>
      <c r="CC953" s="62">
        <f t="shared" si="730"/>
        <v>0</v>
      </c>
      <c r="CD953" s="62">
        <f t="shared" si="730"/>
        <v>0</v>
      </c>
      <c r="CE953" s="62">
        <f t="shared" si="730"/>
        <v>0</v>
      </c>
      <c r="CF953" s="62">
        <f t="shared" si="730"/>
        <v>0</v>
      </c>
      <c r="CG953" s="62">
        <f t="shared" si="730"/>
        <v>0</v>
      </c>
      <c r="CH953" s="62">
        <f t="shared" si="730"/>
        <v>0</v>
      </c>
      <c r="CI953" s="62">
        <f t="shared" si="730"/>
        <v>0</v>
      </c>
      <c r="CJ953" s="62">
        <f t="shared" si="730"/>
        <v>0</v>
      </c>
      <c r="CK953" s="62">
        <f t="shared" si="730"/>
        <v>0</v>
      </c>
      <c r="CL953" s="62">
        <f t="shared" si="730"/>
        <v>0</v>
      </c>
      <c r="CM953" s="62">
        <f t="shared" si="730"/>
        <v>0</v>
      </c>
      <c r="CN953" s="380"/>
      <c r="CO953" s="1183"/>
      <c r="CP953" s="1183"/>
      <c r="CQ953" s="1183"/>
      <c r="CR953" s="1183"/>
      <c r="CS953" s="1183"/>
      <c r="CT953" s="1183"/>
      <c r="CU953" s="1183"/>
      <c r="CV953" s="1183"/>
      <c r="CW953" s="1183"/>
      <c r="CX953" s="1183"/>
      <c r="CY953" s="1183"/>
      <c r="CZ953" s="1183"/>
      <c r="DA953" s="1183"/>
      <c r="DB953" s="1183"/>
      <c r="DC953" s="1183"/>
      <c r="DD953" s="1183"/>
      <c r="DE953" s="1183"/>
      <c r="DF953" s="1183"/>
      <c r="DG953" s="1183"/>
      <c r="DH953" s="1183"/>
      <c r="DI953" s="1183"/>
      <c r="DJ953" s="1183"/>
      <c r="DK953" s="1183"/>
      <c r="DL953" s="1183"/>
      <c r="DM953" s="1183"/>
      <c r="DN953" s="1183"/>
      <c r="DO953" s="1183"/>
      <c r="DP953" s="1183"/>
      <c r="DQ953" s="1183"/>
      <c r="DR953" s="1804"/>
      <c r="DS953" s="1804"/>
      <c r="DT953" s="1804"/>
      <c r="DU953" s="1804"/>
      <c r="DV953" s="1804"/>
      <c r="DW953" s="1804"/>
      <c r="DX953" s="1804"/>
      <c r="DY953" s="1804"/>
      <c r="DZ953" s="1804"/>
      <c r="EA953" s="1804"/>
      <c r="EB953" s="1804"/>
      <c r="EC953" s="1804"/>
      <c r="ED953" s="1804"/>
      <c r="EE953" s="1804"/>
      <c r="EF953" s="1804"/>
      <c r="EG953" s="1804"/>
      <c r="EH953" s="1804"/>
      <c r="EI953" s="1804"/>
      <c r="EJ953" s="1804"/>
      <c r="EK953" s="1804"/>
      <c r="EL953" s="1804"/>
      <c r="EM953" s="1804"/>
      <c r="EN953" s="1804"/>
      <c r="EO953" s="1804"/>
      <c r="EP953" s="1804"/>
      <c r="EQ953" s="1804"/>
      <c r="ER953" s="1804"/>
      <c r="ES953" s="1804"/>
      <c r="ET953" s="1804"/>
      <c r="EU953" s="1804"/>
      <c r="EV953" s="1804"/>
    </row>
    <row r="954" spans="1:152" s="12" customFormat="1" ht="12" customHeight="1" x14ac:dyDescent="0.35">
      <c r="A954" s="84"/>
      <c r="B954" s="13"/>
      <c r="C954" s="13"/>
      <c r="D954" s="13"/>
      <c r="E954" s="13"/>
      <c r="F954" s="13"/>
      <c r="G954" s="1804"/>
      <c r="H954" s="1183"/>
      <c r="I954" s="1804"/>
      <c r="J954" s="1804"/>
      <c r="K954" s="141"/>
      <c r="L954" s="141"/>
      <c r="M954" s="141"/>
      <c r="N954" s="973" t="e">
        <f ca="1">(1+N953)^12-1</f>
        <v>#N/A</v>
      </c>
      <c r="O954" s="973" t="e">
        <f ca="1">(1+O953)^12-1</f>
        <v>#N/A</v>
      </c>
      <c r="P954" s="141"/>
      <c r="Q954" s="973" t="e">
        <f>(1+Q953)^12-1</f>
        <v>#NUM!</v>
      </c>
      <c r="R954" s="31"/>
      <c r="S954" s="782">
        <f>S934</f>
        <v>1</v>
      </c>
      <c r="T954" s="376" t="str">
        <f>IF(AND($W$895=16,$X$895=1),T935,T934)</f>
        <v>Investor #1</v>
      </c>
      <c r="U954" s="763">
        <f>IF(AND($W$895=16,$X$895=1),U935,U934)</f>
        <v>0</v>
      </c>
      <c r="V954" s="783">
        <f>IF(AND($W$895=16,$X$895=1),V916,V915)</f>
        <v>0</v>
      </c>
      <c r="W954" s="763">
        <f>IF(AND($W$902=16,$X$902=1),W916,W915)</f>
        <v>0</v>
      </c>
      <c r="X954" s="763">
        <f>IF(AND($W$902=16,$X$902=1),X916,X915)</f>
        <v>0</v>
      </c>
      <c r="Y954" s="783">
        <f>IF(AND($W$902=16,$X$902=1),Y916,Y915)</f>
        <v>0</v>
      </c>
      <c r="Z954" s="763">
        <f ca="1">IFERROR(IF(AND($W$902=16,$X$902=1),Z915,Z915),"")</f>
        <v>0</v>
      </c>
      <c r="AA954" s="783">
        <f>IF(AND($W$902=16,$X$902=1),AA916,AA915)</f>
        <v>0</v>
      </c>
      <c r="AB954" s="29"/>
      <c r="AC954" s="29"/>
      <c r="AD954" s="376"/>
      <c r="AE954" s="376">
        <v>2</v>
      </c>
      <c r="AF954" s="62">
        <f>IF($AA804=AF$952,$Z804,0)</f>
        <v>0</v>
      </c>
      <c r="AG954" s="62">
        <f t="shared" ref="AG954:CM954" si="731">IF($AA804=AG$952,$Z804,0)</f>
        <v>0</v>
      </c>
      <c r="AH954" s="62">
        <f t="shared" si="731"/>
        <v>0</v>
      </c>
      <c r="AI954" s="62">
        <f t="shared" si="731"/>
        <v>0</v>
      </c>
      <c r="AJ954" s="62">
        <f t="shared" si="731"/>
        <v>0</v>
      </c>
      <c r="AK954" s="62">
        <f t="shared" si="731"/>
        <v>0</v>
      </c>
      <c r="AL954" s="62">
        <f t="shared" si="731"/>
        <v>0</v>
      </c>
      <c r="AM954" s="62">
        <f t="shared" si="731"/>
        <v>0</v>
      </c>
      <c r="AN954" s="62">
        <f t="shared" si="731"/>
        <v>0</v>
      </c>
      <c r="AO954" s="62">
        <f t="shared" si="731"/>
        <v>0</v>
      </c>
      <c r="AP954" s="62">
        <f t="shared" si="731"/>
        <v>0</v>
      </c>
      <c r="AQ954" s="62">
        <f t="shared" si="731"/>
        <v>0</v>
      </c>
      <c r="AR954" s="62">
        <f t="shared" si="731"/>
        <v>0</v>
      </c>
      <c r="AS954" s="62">
        <f t="shared" si="731"/>
        <v>0</v>
      </c>
      <c r="AT954" s="62">
        <f t="shared" si="731"/>
        <v>0</v>
      </c>
      <c r="AU954" s="62">
        <f t="shared" si="731"/>
        <v>0</v>
      </c>
      <c r="AV954" s="62">
        <f t="shared" si="731"/>
        <v>0</v>
      </c>
      <c r="AW954" s="62">
        <f t="shared" si="731"/>
        <v>0</v>
      </c>
      <c r="AX954" s="62">
        <f t="shared" si="731"/>
        <v>0</v>
      </c>
      <c r="AY954" s="62">
        <f t="shared" si="731"/>
        <v>0</v>
      </c>
      <c r="AZ954" s="62">
        <f t="shared" si="731"/>
        <v>0</v>
      </c>
      <c r="BA954" s="62">
        <f t="shared" si="731"/>
        <v>0</v>
      </c>
      <c r="BB954" s="62">
        <f t="shared" si="731"/>
        <v>0</v>
      </c>
      <c r="BC954" s="62">
        <f t="shared" si="731"/>
        <v>0</v>
      </c>
      <c r="BD954" s="62">
        <f t="shared" si="731"/>
        <v>0</v>
      </c>
      <c r="BE954" s="62">
        <f t="shared" si="731"/>
        <v>0</v>
      </c>
      <c r="BF954" s="62">
        <f t="shared" si="731"/>
        <v>0</v>
      </c>
      <c r="BG954" s="62">
        <f t="shared" si="731"/>
        <v>0</v>
      </c>
      <c r="BH954" s="62">
        <f t="shared" si="731"/>
        <v>0</v>
      </c>
      <c r="BI954" s="62">
        <f t="shared" si="731"/>
        <v>0</v>
      </c>
      <c r="BJ954" s="62">
        <f t="shared" si="731"/>
        <v>0</v>
      </c>
      <c r="BK954" s="62">
        <f t="shared" si="731"/>
        <v>0</v>
      </c>
      <c r="BL954" s="62">
        <f t="shared" si="731"/>
        <v>0</v>
      </c>
      <c r="BM954" s="62">
        <f t="shared" si="731"/>
        <v>0</v>
      </c>
      <c r="BN954" s="62">
        <f t="shared" si="731"/>
        <v>0</v>
      </c>
      <c r="BO954" s="62">
        <f t="shared" si="731"/>
        <v>0</v>
      </c>
      <c r="BP954" s="62">
        <f t="shared" si="731"/>
        <v>0</v>
      </c>
      <c r="BQ954" s="62">
        <f t="shared" si="731"/>
        <v>0</v>
      </c>
      <c r="BR954" s="62">
        <f t="shared" si="731"/>
        <v>0</v>
      </c>
      <c r="BS954" s="62">
        <f t="shared" si="731"/>
        <v>0</v>
      </c>
      <c r="BT954" s="62">
        <f t="shared" si="731"/>
        <v>0</v>
      </c>
      <c r="BU954" s="62">
        <f t="shared" si="731"/>
        <v>0</v>
      </c>
      <c r="BV954" s="62">
        <f t="shared" si="731"/>
        <v>0</v>
      </c>
      <c r="BW954" s="62">
        <f t="shared" si="731"/>
        <v>0</v>
      </c>
      <c r="BX954" s="62">
        <f t="shared" si="731"/>
        <v>0</v>
      </c>
      <c r="BY954" s="62">
        <f t="shared" si="731"/>
        <v>0</v>
      </c>
      <c r="BZ954" s="62">
        <f t="shared" si="731"/>
        <v>0</v>
      </c>
      <c r="CA954" s="62">
        <f t="shared" si="731"/>
        <v>0</v>
      </c>
      <c r="CB954" s="62">
        <f t="shared" si="731"/>
        <v>0</v>
      </c>
      <c r="CC954" s="62">
        <f t="shared" si="731"/>
        <v>0</v>
      </c>
      <c r="CD954" s="62">
        <f t="shared" si="731"/>
        <v>0</v>
      </c>
      <c r="CE954" s="62">
        <f t="shared" si="731"/>
        <v>0</v>
      </c>
      <c r="CF954" s="62">
        <f t="shared" si="731"/>
        <v>0</v>
      </c>
      <c r="CG954" s="62">
        <f t="shared" si="731"/>
        <v>0</v>
      </c>
      <c r="CH954" s="62">
        <f t="shared" si="731"/>
        <v>0</v>
      </c>
      <c r="CI954" s="62">
        <f t="shared" si="731"/>
        <v>0</v>
      </c>
      <c r="CJ954" s="62">
        <f t="shared" si="731"/>
        <v>0</v>
      </c>
      <c r="CK954" s="62">
        <f t="shared" si="731"/>
        <v>0</v>
      </c>
      <c r="CL954" s="62">
        <f t="shared" si="731"/>
        <v>0</v>
      </c>
      <c r="CM954" s="62">
        <f t="shared" si="731"/>
        <v>0</v>
      </c>
      <c r="CN954" s="380"/>
      <c r="CO954" s="1183"/>
      <c r="CP954" s="1183"/>
      <c r="CQ954" s="1183"/>
      <c r="CR954" s="1183"/>
      <c r="CS954" s="1183"/>
      <c r="CT954" s="1183"/>
      <c r="CU954" s="1183"/>
      <c r="CV954" s="1183"/>
      <c r="CW954" s="1183"/>
      <c r="CX954" s="1183"/>
      <c r="CY954" s="1183"/>
      <c r="CZ954" s="1183"/>
      <c r="DA954" s="1183"/>
      <c r="DB954" s="1183"/>
      <c r="DC954" s="1183"/>
      <c r="DD954" s="1183"/>
      <c r="DE954" s="1183"/>
      <c r="DF954" s="1183"/>
      <c r="DG954" s="1183"/>
      <c r="DH954" s="1183"/>
      <c r="DI954" s="1183"/>
      <c r="DJ954" s="1183"/>
      <c r="DK954" s="1183"/>
      <c r="DL954" s="1183"/>
      <c r="DM954" s="1183"/>
      <c r="DN954" s="1183"/>
      <c r="DO954" s="1183"/>
      <c r="DP954" s="1183"/>
      <c r="DQ954" s="1183"/>
      <c r="DR954" s="1804"/>
      <c r="DS954" s="1804"/>
      <c r="DT954" s="1804"/>
      <c r="DU954" s="1804"/>
      <c r="DV954" s="1804"/>
      <c r="DW954" s="1804"/>
      <c r="DX954" s="1804"/>
      <c r="DY954" s="1804"/>
      <c r="DZ954" s="1804"/>
      <c r="EA954" s="1804"/>
      <c r="EB954" s="1804"/>
      <c r="EC954" s="1804"/>
      <c r="ED954" s="1804"/>
      <c r="EE954" s="1804"/>
      <c r="EF954" s="1804"/>
      <c r="EG954" s="1804"/>
      <c r="EH954" s="1804"/>
      <c r="EI954" s="1804"/>
      <c r="EJ954" s="1804"/>
      <c r="EK954" s="1804"/>
      <c r="EL954" s="1804"/>
      <c r="EM954" s="1804"/>
      <c r="EN954" s="1804"/>
      <c r="EO954" s="1804"/>
      <c r="EP954" s="1804"/>
      <c r="EQ954" s="1804"/>
      <c r="ER954" s="1804"/>
      <c r="ES954" s="1804"/>
      <c r="ET954" s="1804"/>
      <c r="EU954" s="1804"/>
      <c r="EV954" s="1804"/>
    </row>
    <row r="955" spans="1:152" s="12" customFormat="1" ht="12" customHeight="1" x14ac:dyDescent="0.35">
      <c r="A955" s="84"/>
      <c r="B955" s="13"/>
      <c r="C955" s="13"/>
      <c r="D955" s="13"/>
      <c r="E955" s="13"/>
      <c r="F955" s="13"/>
      <c r="G955" s="1804"/>
      <c r="H955" s="1183"/>
      <c r="I955" s="1804"/>
      <c r="J955" s="1804"/>
      <c r="K955" s="141"/>
      <c r="L955" s="141"/>
      <c r="M955" s="141"/>
      <c r="N955" s="141"/>
      <c r="O955" s="141"/>
      <c r="P955" s="141"/>
      <c r="Q955" s="141"/>
      <c r="R955" s="31"/>
      <c r="S955" s="782">
        <f t="shared" ref="S955:S969" si="732">S935</f>
        <v>2</v>
      </c>
      <c r="T955" s="376">
        <f>IF(AND($W$895=16,$X$895=S954),"Total",T935)</f>
        <v>0</v>
      </c>
      <c r="U955" s="763">
        <f>IF(AND($W$895=16,$X$895=1),U935,U935)</f>
        <v>0</v>
      </c>
      <c r="V955" s="783">
        <f>IF(AND($W$895=16,$X$895=1),V916,V916)</f>
        <v>0</v>
      </c>
      <c r="W955" s="763">
        <f>IF(AND($W$902=16,$X$902=1),W916,W916)</f>
        <v>0</v>
      </c>
      <c r="X955" s="763">
        <f>IF(AND($W$902=16,$X$902=1),X916,X916)</f>
        <v>0</v>
      </c>
      <c r="Y955" s="783">
        <f>IF(AND($W$902=16,$X$902=1),Y916,Y916)</f>
        <v>0</v>
      </c>
      <c r="Z955" s="763">
        <f ca="1">IFERROR(IF(AND($W$902=16,$X$902=1),Z916,Z916),"")</f>
        <v>0</v>
      </c>
      <c r="AA955" s="783">
        <f>IF(AND($W$902=16,$X$902=1),AA916,AA916)</f>
        <v>0</v>
      </c>
      <c r="AB955" s="29"/>
      <c r="AC955" s="29"/>
      <c r="AD955" s="376"/>
      <c r="AE955" s="376">
        <v>3</v>
      </c>
      <c r="AF955" s="62">
        <f>IF($AA805=AF$952,$Z805,0)</f>
        <v>0</v>
      </c>
      <c r="AG955" s="62">
        <f t="shared" ref="AG955:CM955" si="733">IF($AA805=AG$952,$Z805,0)</f>
        <v>0</v>
      </c>
      <c r="AH955" s="62">
        <f t="shared" si="733"/>
        <v>0</v>
      </c>
      <c r="AI955" s="62">
        <f t="shared" si="733"/>
        <v>0</v>
      </c>
      <c r="AJ955" s="62">
        <f t="shared" si="733"/>
        <v>0</v>
      </c>
      <c r="AK955" s="62">
        <f t="shared" si="733"/>
        <v>0</v>
      </c>
      <c r="AL955" s="62">
        <f t="shared" si="733"/>
        <v>0</v>
      </c>
      <c r="AM955" s="62">
        <f t="shared" si="733"/>
        <v>0</v>
      </c>
      <c r="AN955" s="62">
        <f t="shared" si="733"/>
        <v>0</v>
      </c>
      <c r="AO955" s="62">
        <f t="shared" si="733"/>
        <v>0</v>
      </c>
      <c r="AP955" s="62">
        <f t="shared" si="733"/>
        <v>0</v>
      </c>
      <c r="AQ955" s="62">
        <f t="shared" si="733"/>
        <v>0</v>
      </c>
      <c r="AR955" s="62">
        <f t="shared" si="733"/>
        <v>0</v>
      </c>
      <c r="AS955" s="62">
        <f t="shared" si="733"/>
        <v>0</v>
      </c>
      <c r="AT955" s="62">
        <f t="shared" si="733"/>
        <v>0</v>
      </c>
      <c r="AU955" s="62">
        <f t="shared" si="733"/>
        <v>0</v>
      </c>
      <c r="AV955" s="62">
        <f t="shared" si="733"/>
        <v>0</v>
      </c>
      <c r="AW955" s="62">
        <f t="shared" si="733"/>
        <v>0</v>
      </c>
      <c r="AX955" s="62">
        <f t="shared" si="733"/>
        <v>0</v>
      </c>
      <c r="AY955" s="62">
        <f t="shared" si="733"/>
        <v>0</v>
      </c>
      <c r="AZ955" s="62">
        <f t="shared" si="733"/>
        <v>0</v>
      </c>
      <c r="BA955" s="62">
        <f t="shared" si="733"/>
        <v>0</v>
      </c>
      <c r="BB955" s="62">
        <f t="shared" si="733"/>
        <v>0</v>
      </c>
      <c r="BC955" s="62">
        <f t="shared" si="733"/>
        <v>0</v>
      </c>
      <c r="BD955" s="62">
        <f t="shared" si="733"/>
        <v>0</v>
      </c>
      <c r="BE955" s="62">
        <f t="shared" si="733"/>
        <v>0</v>
      </c>
      <c r="BF955" s="62">
        <f t="shared" si="733"/>
        <v>0</v>
      </c>
      <c r="BG955" s="62">
        <f t="shared" si="733"/>
        <v>0</v>
      </c>
      <c r="BH955" s="62">
        <f t="shared" si="733"/>
        <v>0</v>
      </c>
      <c r="BI955" s="62">
        <f t="shared" si="733"/>
        <v>0</v>
      </c>
      <c r="BJ955" s="62">
        <f t="shared" si="733"/>
        <v>0</v>
      </c>
      <c r="BK955" s="62">
        <f t="shared" si="733"/>
        <v>0</v>
      </c>
      <c r="BL955" s="62">
        <f t="shared" si="733"/>
        <v>0</v>
      </c>
      <c r="BM955" s="62">
        <f t="shared" si="733"/>
        <v>0</v>
      </c>
      <c r="BN955" s="62">
        <f t="shared" si="733"/>
        <v>0</v>
      </c>
      <c r="BO955" s="62">
        <f t="shared" si="733"/>
        <v>0</v>
      </c>
      <c r="BP955" s="62">
        <f t="shared" si="733"/>
        <v>0</v>
      </c>
      <c r="BQ955" s="62">
        <f t="shared" si="733"/>
        <v>0</v>
      </c>
      <c r="BR955" s="62">
        <f t="shared" si="733"/>
        <v>0</v>
      </c>
      <c r="BS955" s="62">
        <f t="shared" si="733"/>
        <v>0</v>
      </c>
      <c r="BT955" s="62">
        <f t="shared" si="733"/>
        <v>0</v>
      </c>
      <c r="BU955" s="62">
        <f t="shared" si="733"/>
        <v>0</v>
      </c>
      <c r="BV955" s="62">
        <f t="shared" si="733"/>
        <v>0</v>
      </c>
      <c r="BW955" s="62">
        <f t="shared" si="733"/>
        <v>0</v>
      </c>
      <c r="BX955" s="62">
        <f t="shared" si="733"/>
        <v>0</v>
      </c>
      <c r="BY955" s="62">
        <f t="shared" si="733"/>
        <v>0</v>
      </c>
      <c r="BZ955" s="62">
        <f t="shared" si="733"/>
        <v>0</v>
      </c>
      <c r="CA955" s="62">
        <f t="shared" si="733"/>
        <v>0</v>
      </c>
      <c r="CB955" s="62">
        <f t="shared" si="733"/>
        <v>0</v>
      </c>
      <c r="CC955" s="62">
        <f t="shared" si="733"/>
        <v>0</v>
      </c>
      <c r="CD955" s="62">
        <f t="shared" si="733"/>
        <v>0</v>
      </c>
      <c r="CE955" s="62">
        <f t="shared" si="733"/>
        <v>0</v>
      </c>
      <c r="CF955" s="62">
        <f t="shared" si="733"/>
        <v>0</v>
      </c>
      <c r="CG955" s="62">
        <f t="shared" si="733"/>
        <v>0</v>
      </c>
      <c r="CH955" s="62">
        <f t="shared" si="733"/>
        <v>0</v>
      </c>
      <c r="CI955" s="62">
        <f t="shared" si="733"/>
        <v>0</v>
      </c>
      <c r="CJ955" s="62">
        <f t="shared" si="733"/>
        <v>0</v>
      </c>
      <c r="CK955" s="62">
        <f t="shared" si="733"/>
        <v>0</v>
      </c>
      <c r="CL955" s="62">
        <f t="shared" si="733"/>
        <v>0</v>
      </c>
      <c r="CM955" s="62">
        <f t="shared" si="733"/>
        <v>0</v>
      </c>
      <c r="CN955" s="380"/>
      <c r="CO955" s="1183"/>
      <c r="CP955" s="1183"/>
      <c r="CQ955" s="1183"/>
      <c r="CR955" s="1183"/>
      <c r="CS955" s="1183"/>
      <c r="CT955" s="1183"/>
      <c r="CU955" s="1183"/>
      <c r="CV955" s="1183"/>
      <c r="CW955" s="1183"/>
      <c r="CX955" s="1183"/>
      <c r="CY955" s="1183"/>
      <c r="CZ955" s="1183"/>
      <c r="DA955" s="1183"/>
      <c r="DB955" s="1183"/>
      <c r="DC955" s="1183"/>
      <c r="DD955" s="1183"/>
      <c r="DE955" s="1183"/>
      <c r="DF955" s="1183"/>
      <c r="DG955" s="1183"/>
      <c r="DH955" s="1183"/>
      <c r="DI955" s="1183"/>
      <c r="DJ955" s="1183"/>
      <c r="DK955" s="1183"/>
      <c r="DL955" s="1183"/>
      <c r="DM955" s="1183"/>
      <c r="DN955" s="1183"/>
      <c r="DO955" s="1183"/>
      <c r="DP955" s="1183"/>
      <c r="DQ955" s="1183"/>
      <c r="DR955" s="1804"/>
      <c r="DS955" s="1804"/>
      <c r="DT955" s="1804"/>
      <c r="DU955" s="1804"/>
      <c r="DV955" s="1804"/>
      <c r="DW955" s="1804"/>
      <c r="DX955" s="1804"/>
      <c r="DY955" s="1804"/>
      <c r="DZ955" s="1804"/>
      <c r="EA955" s="1804"/>
      <c r="EB955" s="1804"/>
      <c r="EC955" s="1804"/>
      <c r="ED955" s="1804"/>
      <c r="EE955" s="1804"/>
      <c r="EF955" s="1804"/>
      <c r="EG955" s="1804"/>
      <c r="EH955" s="1804"/>
      <c r="EI955" s="1804"/>
      <c r="EJ955" s="1804"/>
      <c r="EK955" s="1804"/>
      <c r="EL955" s="1804"/>
      <c r="EM955" s="1804"/>
      <c r="EN955" s="1804"/>
      <c r="EO955" s="1804"/>
      <c r="EP955" s="1804"/>
      <c r="EQ955" s="1804"/>
      <c r="ER955" s="1804"/>
      <c r="ES955" s="1804"/>
      <c r="ET955" s="1804"/>
      <c r="EU955" s="1804"/>
      <c r="EV955" s="1804"/>
    </row>
    <row r="956" spans="1:152" s="12" customFormat="1" ht="12" customHeight="1" x14ac:dyDescent="0.35">
      <c r="A956" s="84"/>
      <c r="B956" s="13"/>
      <c r="C956" s="13"/>
      <c r="D956" s="13"/>
      <c r="E956" s="13"/>
      <c r="F956" s="13"/>
      <c r="G956" s="1804"/>
      <c r="H956" s="1183"/>
      <c r="I956" s="1804"/>
      <c r="J956" s="1804"/>
      <c r="K956" s="141"/>
      <c r="L956" s="141"/>
      <c r="M956" s="141"/>
      <c r="N956" s="141"/>
      <c r="O956" s="141"/>
      <c r="P956" s="141"/>
      <c r="Q956" s="141"/>
      <c r="R956" s="31"/>
      <c r="S956" s="782">
        <f t="shared" si="732"/>
        <v>3</v>
      </c>
      <c r="T956" s="376">
        <f>IF(AND($W$895=16,$X$895=S955),"Total",T936)</f>
        <v>0</v>
      </c>
      <c r="U956" s="34" t="b">
        <f>IF($T$956="Total",SUM(U$954:U955,U917))</f>
        <v>0</v>
      </c>
      <c r="V956" s="764">
        <f>IF($T$962="Total",0,V917)</f>
        <v>0</v>
      </c>
      <c r="W956" s="34">
        <f>IF($T$962="Total",0,W917)</f>
        <v>0</v>
      </c>
      <c r="X956" s="34">
        <f>IF($T$962="Total",0,X917)</f>
        <v>0</v>
      </c>
      <c r="Y956" s="764">
        <f>IF($T$962="Total",0,Y917)</f>
        <v>0</v>
      </c>
      <c r="Z956" s="34">
        <f ca="1">IF($T$963="Total",0,Z917)</f>
      </c>
      <c r="AA956" s="764">
        <f>IF($T$956="Total",0,AA917)</f>
        <v>0</v>
      </c>
      <c r="AB956" s="29"/>
      <c r="AC956" s="29"/>
      <c r="AD956" s="376"/>
      <c r="AE956" s="32" t="s">
        <v>131</v>
      </c>
      <c r="AF956" s="1145">
        <f>SUM(AF953:AF955)</f>
        <v>0</v>
      </c>
      <c r="AG956" s="1145">
        <f t="shared" ref="AG956:CM956" si="734">SUM(AG953:AG955)</f>
        <v>0</v>
      </c>
      <c r="AH956" s="1145">
        <f t="shared" si="734"/>
        <v>0</v>
      </c>
      <c r="AI956" s="1145">
        <f t="shared" si="734"/>
        <v>0</v>
      </c>
      <c r="AJ956" s="1145">
        <f t="shared" si="734"/>
        <v>0</v>
      </c>
      <c r="AK956" s="1145">
        <f t="shared" si="734"/>
        <v>0</v>
      </c>
      <c r="AL956" s="1145">
        <f t="shared" si="734"/>
        <v>0</v>
      </c>
      <c r="AM956" s="1145">
        <f t="shared" si="734"/>
        <v>0</v>
      </c>
      <c r="AN956" s="1145">
        <f t="shared" si="734"/>
        <v>0</v>
      </c>
      <c r="AO956" s="1145">
        <f t="shared" si="734"/>
        <v>0</v>
      </c>
      <c r="AP956" s="1145">
        <f t="shared" si="734"/>
        <v>0</v>
      </c>
      <c r="AQ956" s="1145">
        <f t="shared" si="734"/>
        <v>0</v>
      </c>
      <c r="AR956" s="1145">
        <f t="shared" si="734"/>
        <v>0</v>
      </c>
      <c r="AS956" s="1145">
        <f t="shared" si="734"/>
        <v>0</v>
      </c>
      <c r="AT956" s="1145">
        <f t="shared" si="734"/>
        <v>0</v>
      </c>
      <c r="AU956" s="1145">
        <f t="shared" si="734"/>
        <v>0</v>
      </c>
      <c r="AV956" s="1145">
        <f t="shared" si="734"/>
        <v>0</v>
      </c>
      <c r="AW956" s="1145">
        <f t="shared" si="734"/>
        <v>0</v>
      </c>
      <c r="AX956" s="1145">
        <f t="shared" si="734"/>
        <v>0</v>
      </c>
      <c r="AY956" s="1145">
        <f t="shared" si="734"/>
        <v>0</v>
      </c>
      <c r="AZ956" s="1145">
        <f t="shared" si="734"/>
        <v>0</v>
      </c>
      <c r="BA956" s="1145">
        <f t="shared" si="734"/>
        <v>0</v>
      </c>
      <c r="BB956" s="1145">
        <f t="shared" si="734"/>
        <v>0</v>
      </c>
      <c r="BC956" s="1145">
        <f t="shared" si="734"/>
        <v>0</v>
      </c>
      <c r="BD956" s="1145">
        <f t="shared" si="734"/>
        <v>0</v>
      </c>
      <c r="BE956" s="1145">
        <f t="shared" si="734"/>
        <v>0</v>
      </c>
      <c r="BF956" s="1145">
        <f t="shared" si="734"/>
        <v>0</v>
      </c>
      <c r="BG956" s="1145">
        <f t="shared" si="734"/>
        <v>0</v>
      </c>
      <c r="BH956" s="1145">
        <f t="shared" si="734"/>
        <v>0</v>
      </c>
      <c r="BI956" s="1145">
        <f t="shared" si="734"/>
        <v>0</v>
      </c>
      <c r="BJ956" s="1145">
        <f t="shared" si="734"/>
        <v>0</v>
      </c>
      <c r="BK956" s="1145">
        <f t="shared" si="734"/>
        <v>0</v>
      </c>
      <c r="BL956" s="1145">
        <f t="shared" si="734"/>
        <v>0</v>
      </c>
      <c r="BM956" s="1145">
        <f t="shared" si="734"/>
        <v>0</v>
      </c>
      <c r="BN956" s="1145">
        <f t="shared" si="734"/>
        <v>0</v>
      </c>
      <c r="BO956" s="1145">
        <f t="shared" si="734"/>
        <v>0</v>
      </c>
      <c r="BP956" s="1145">
        <f t="shared" si="734"/>
        <v>0</v>
      </c>
      <c r="BQ956" s="1145">
        <f t="shared" si="734"/>
        <v>0</v>
      </c>
      <c r="BR956" s="1145">
        <f t="shared" si="734"/>
        <v>0</v>
      </c>
      <c r="BS956" s="1145">
        <f t="shared" si="734"/>
        <v>0</v>
      </c>
      <c r="BT956" s="1145">
        <f t="shared" si="734"/>
        <v>0</v>
      </c>
      <c r="BU956" s="1145">
        <f t="shared" si="734"/>
        <v>0</v>
      </c>
      <c r="BV956" s="1145">
        <f t="shared" si="734"/>
        <v>0</v>
      </c>
      <c r="BW956" s="1145">
        <f t="shared" si="734"/>
        <v>0</v>
      </c>
      <c r="BX956" s="1145">
        <f t="shared" si="734"/>
        <v>0</v>
      </c>
      <c r="BY956" s="1145">
        <f t="shared" si="734"/>
        <v>0</v>
      </c>
      <c r="BZ956" s="1145">
        <f t="shared" si="734"/>
        <v>0</v>
      </c>
      <c r="CA956" s="1145">
        <f t="shared" si="734"/>
        <v>0</v>
      </c>
      <c r="CB956" s="1145">
        <f t="shared" si="734"/>
        <v>0</v>
      </c>
      <c r="CC956" s="1145">
        <f t="shared" si="734"/>
        <v>0</v>
      </c>
      <c r="CD956" s="1145">
        <f t="shared" si="734"/>
        <v>0</v>
      </c>
      <c r="CE956" s="1145">
        <f t="shared" si="734"/>
        <v>0</v>
      </c>
      <c r="CF956" s="1145">
        <f t="shared" si="734"/>
        <v>0</v>
      </c>
      <c r="CG956" s="1145">
        <f t="shared" si="734"/>
        <v>0</v>
      </c>
      <c r="CH956" s="1145">
        <f t="shared" si="734"/>
        <v>0</v>
      </c>
      <c r="CI956" s="1145">
        <f t="shared" si="734"/>
        <v>0</v>
      </c>
      <c r="CJ956" s="1145">
        <f t="shared" si="734"/>
        <v>0</v>
      </c>
      <c r="CK956" s="1145">
        <f t="shared" si="734"/>
        <v>0</v>
      </c>
      <c r="CL956" s="1145">
        <f t="shared" si="734"/>
        <v>0</v>
      </c>
      <c r="CM956" s="1145">
        <f t="shared" si="734"/>
        <v>0</v>
      </c>
      <c r="CN956" s="380"/>
      <c r="CO956" s="1183"/>
      <c r="CP956" s="1183"/>
      <c r="CQ956" s="1183"/>
      <c r="CR956" s="1183"/>
      <c r="CS956" s="1183"/>
      <c r="CT956" s="1183"/>
      <c r="CU956" s="1183"/>
      <c r="CV956" s="1183"/>
      <c r="CW956" s="1183"/>
      <c r="CX956" s="1183"/>
      <c r="CY956" s="1183"/>
      <c r="CZ956" s="1183"/>
      <c r="DA956" s="1183"/>
      <c r="DB956" s="1183"/>
      <c r="DC956" s="1183"/>
      <c r="DD956" s="1183"/>
      <c r="DE956" s="1183"/>
      <c r="DF956" s="1183"/>
      <c r="DG956" s="1183"/>
      <c r="DH956" s="1183"/>
      <c r="DI956" s="1183"/>
      <c r="DJ956" s="1183"/>
      <c r="DK956" s="1183"/>
      <c r="DL956" s="1183"/>
      <c r="DM956" s="1183"/>
      <c r="DN956" s="1183"/>
      <c r="DO956" s="1183"/>
      <c r="DP956" s="1183"/>
      <c r="DQ956" s="1183"/>
      <c r="DR956" s="1804"/>
      <c r="DS956" s="1804"/>
      <c r="DT956" s="1804"/>
      <c r="DU956" s="1804"/>
      <c r="DV956" s="1804"/>
      <c r="DW956" s="1804"/>
      <c r="DX956" s="1804"/>
      <c r="DY956" s="1804"/>
      <c r="DZ956" s="1804"/>
      <c r="EA956" s="1804"/>
      <c r="EB956" s="1804"/>
      <c r="EC956" s="1804"/>
      <c r="ED956" s="1804"/>
      <c r="EE956" s="1804"/>
      <c r="EF956" s="1804"/>
      <c r="EG956" s="1804"/>
      <c r="EH956" s="1804"/>
      <c r="EI956" s="1804"/>
      <c r="EJ956" s="1804"/>
      <c r="EK956" s="1804"/>
      <c r="EL956" s="1804"/>
      <c r="EM956" s="1804"/>
      <c r="EN956" s="1804"/>
      <c r="EO956" s="1804"/>
      <c r="EP956" s="1804"/>
      <c r="EQ956" s="1804"/>
      <c r="ER956" s="1804"/>
      <c r="ES956" s="1804"/>
      <c r="ET956" s="1804"/>
      <c r="EU956" s="1804"/>
      <c r="EV956" s="1804"/>
    </row>
    <row r="957" spans="1:152" s="12" customFormat="1" ht="12" customHeight="1" x14ac:dyDescent="0.35">
      <c r="A957" s="84"/>
      <c r="B957" s="13"/>
      <c r="C957" s="13"/>
      <c r="D957" s="13"/>
      <c r="E957" s="13"/>
      <c r="F957" s="13"/>
      <c r="G957" s="1804"/>
      <c r="H957" s="1183"/>
      <c r="I957" s="1804"/>
      <c r="J957" s="1804"/>
      <c r="K957" s="141"/>
      <c r="L957" s="141"/>
      <c r="M957" s="141"/>
      <c r="N957" s="141"/>
      <c r="O957" s="141"/>
      <c r="P957" s="141"/>
      <c r="Q957" s="141"/>
      <c r="R957" s="31"/>
      <c r="S957" s="782">
        <f t="shared" si="732"/>
        <v>4</v>
      </c>
      <c r="T957" s="376">
        <f t="shared" ref="T957:T969" si="735">IF(AND($W$902=16,$X$902=S956),"Total",T937)</f>
        <v>0</v>
      </c>
      <c r="U957" s="34"/>
      <c r="V957" s="1813"/>
      <c r="W957" s="1811"/>
      <c r="X957" s="1811"/>
      <c r="Y957" s="764"/>
      <c r="Z957" s="34">
        <f t="shared" ref="Z957:AA969" ca="1" si="736">IF($T$963="Total",0,Z918)</f>
        <v>0</v>
      </c>
      <c r="AA957" s="764">
        <f t="shared" si="736"/>
        <v>0</v>
      </c>
      <c r="AB957" s="29"/>
      <c r="AC957" s="29"/>
      <c r="AD957" s="376"/>
      <c r="AE957" s="376"/>
      <c r="AF957" s="376"/>
      <c r="AG957" s="380"/>
      <c r="AH957" s="380"/>
      <c r="AI957" s="380"/>
      <c r="AJ957" s="380"/>
      <c r="AK957" s="380"/>
      <c r="AL957" s="380"/>
      <c r="AM957" s="380"/>
      <c r="AN957" s="380"/>
      <c r="AO957" s="380"/>
      <c r="AP957" s="380"/>
      <c r="AQ957" s="380"/>
      <c r="AR957" s="1144"/>
      <c r="AS957" s="380"/>
      <c r="AT957" s="380"/>
      <c r="AU957" s="380"/>
      <c r="AV957" s="380"/>
      <c r="AW957" s="380"/>
      <c r="AX957" s="380"/>
      <c r="AY957" s="380"/>
      <c r="AZ957" s="380"/>
      <c r="BA957" s="380"/>
      <c r="BB957" s="380"/>
      <c r="BC957" s="380"/>
      <c r="BD957" s="380"/>
      <c r="BE957" s="380"/>
      <c r="BF957" s="380"/>
      <c r="BG957" s="380"/>
      <c r="BH957" s="380"/>
      <c r="BI957" s="380"/>
      <c r="BJ957" s="380"/>
      <c r="BK957" s="380"/>
      <c r="BL957" s="380"/>
      <c r="BM957" s="380"/>
      <c r="BN957" s="380"/>
      <c r="BO957" s="380"/>
      <c r="BP957" s="380"/>
      <c r="BQ957" s="380"/>
      <c r="BR957" s="380"/>
      <c r="BS957" s="380"/>
      <c r="BT957" s="380"/>
      <c r="BU957" s="380"/>
      <c r="BV957" s="380"/>
      <c r="BW957" s="380"/>
      <c r="BX957" s="380"/>
      <c r="BY957" s="380"/>
      <c r="BZ957" s="380"/>
      <c r="CA957" s="380"/>
      <c r="CB957" s="380"/>
      <c r="CC957" s="380"/>
      <c r="CD957" s="380"/>
      <c r="CE957" s="380"/>
      <c r="CF957" s="380"/>
      <c r="CG957" s="380"/>
      <c r="CH957" s="380"/>
      <c r="CI957" s="380"/>
      <c r="CJ957" s="380"/>
      <c r="CK957" s="380"/>
      <c r="CL957" s="380"/>
      <c r="CM957" s="380"/>
      <c r="CN957" s="380"/>
      <c r="CO957" s="1183"/>
      <c r="CP957" s="1183"/>
      <c r="CQ957" s="1183"/>
      <c r="CR957" s="1183"/>
      <c r="CS957" s="1183"/>
      <c r="CT957" s="1183"/>
      <c r="CU957" s="1183"/>
      <c r="CV957" s="1183"/>
      <c r="CW957" s="1183"/>
      <c r="CX957" s="1183"/>
      <c r="CY957" s="1183"/>
      <c r="CZ957" s="1183"/>
      <c r="DA957" s="1183"/>
      <c r="DB957" s="1183"/>
      <c r="DC957" s="1183"/>
      <c r="DD957" s="1183"/>
      <c r="DE957" s="1183"/>
      <c r="DF957" s="1183"/>
      <c r="DG957" s="1183"/>
      <c r="DH957" s="1183"/>
      <c r="DI957" s="1183"/>
      <c r="DJ957" s="1183"/>
      <c r="DK957" s="1183"/>
      <c r="DL957" s="1183"/>
      <c r="DM957" s="1183"/>
      <c r="DN957" s="1183"/>
      <c r="DO957" s="1183"/>
      <c r="DP957" s="1183"/>
      <c r="DQ957" s="1183"/>
      <c r="DR957" s="1804"/>
      <c r="DS957" s="1804"/>
      <c r="DT957" s="1804"/>
      <c r="DU957" s="1804"/>
      <c r="DV957" s="1804"/>
      <c r="DW957" s="1804"/>
      <c r="DX957" s="1804"/>
      <c r="DY957" s="1804"/>
      <c r="DZ957" s="1804"/>
      <c r="EA957" s="1804"/>
      <c r="EB957" s="1804"/>
      <c r="EC957" s="1804"/>
      <c r="ED957" s="1804"/>
      <c r="EE957" s="1804"/>
      <c r="EF957" s="1804"/>
      <c r="EG957" s="1804"/>
      <c r="EH957" s="1804"/>
      <c r="EI957" s="1804"/>
      <c r="EJ957" s="1804"/>
      <c r="EK957" s="1804"/>
      <c r="EL957" s="1804"/>
      <c r="EM957" s="1804"/>
      <c r="EN957" s="1804"/>
      <c r="EO957" s="1804"/>
      <c r="EP957" s="1804"/>
      <c r="EQ957" s="1804"/>
      <c r="ER957" s="1804"/>
      <c r="ES957" s="1804"/>
      <c r="ET957" s="1804"/>
      <c r="EU957" s="1804"/>
      <c r="EV957" s="1804"/>
    </row>
    <row r="958" spans="1:152" s="12" customFormat="1" ht="12" customHeight="1" x14ac:dyDescent="0.35">
      <c r="A958" s="84"/>
      <c r="B958" s="13"/>
      <c r="C958" s="13"/>
      <c r="D958" s="13"/>
      <c r="E958" s="13"/>
      <c r="F958" s="13"/>
      <c r="G958" s="1804"/>
      <c r="H958" s="1183"/>
      <c r="I958" s="1804"/>
      <c r="J958" s="1804"/>
      <c r="K958" s="141"/>
      <c r="L958" s="141"/>
      <c r="M958" s="141"/>
      <c r="N958" s="141"/>
      <c r="O958" s="141"/>
      <c r="P958" s="141"/>
      <c r="Q958" s="141"/>
      <c r="R958" s="31"/>
      <c r="S958" s="782">
        <f t="shared" si="732"/>
        <v>5</v>
      </c>
      <c r="T958" s="376">
        <f t="shared" si="735"/>
        <v>0</v>
      </c>
      <c r="U958" s="34"/>
      <c r="V958" s="1813"/>
      <c r="W958" s="1811"/>
      <c r="X958" s="1811"/>
      <c r="Y958" s="764"/>
      <c r="Z958" s="34">
        <f t="shared" ca="1" si="736"/>
        <v>0</v>
      </c>
      <c r="AA958" s="764">
        <f t="shared" si="736"/>
        <v>0</v>
      </c>
      <c r="AB958" s="29"/>
      <c r="AC958" s="29"/>
      <c r="AD958" s="1804"/>
      <c r="AE958" s="1804"/>
      <c r="AF958" s="376">
        <v>61</v>
      </c>
      <c r="AG958" s="376">
        <v>62</v>
      </c>
      <c r="AH958" s="376">
        <v>63</v>
      </c>
      <c r="AI958" s="376">
        <v>64</v>
      </c>
      <c r="AJ958" s="376">
        <v>65</v>
      </c>
      <c r="AK958" s="376">
        <v>66</v>
      </c>
      <c r="AL958" s="376">
        <v>67</v>
      </c>
      <c r="AM958" s="376">
        <v>68</v>
      </c>
      <c r="AN958" s="376">
        <v>69</v>
      </c>
      <c r="AO958" s="376">
        <v>70</v>
      </c>
      <c r="AP958" s="376">
        <v>71</v>
      </c>
      <c r="AQ958" s="376">
        <v>72</v>
      </c>
      <c r="AR958" s="376">
        <v>73</v>
      </c>
      <c r="AS958" s="376">
        <v>74</v>
      </c>
      <c r="AT958" s="376">
        <v>75</v>
      </c>
      <c r="AU958" s="376">
        <v>76</v>
      </c>
      <c r="AV958" s="376">
        <v>77</v>
      </c>
      <c r="AW958" s="376">
        <v>78</v>
      </c>
      <c r="AX958" s="376">
        <v>79</v>
      </c>
      <c r="AY958" s="376">
        <v>80</v>
      </c>
      <c r="AZ958" s="376">
        <v>81</v>
      </c>
      <c r="BA958" s="376">
        <v>82</v>
      </c>
      <c r="BB958" s="376">
        <v>83</v>
      </c>
      <c r="BC958" s="376">
        <v>84</v>
      </c>
      <c r="BD958" s="376">
        <v>85</v>
      </c>
      <c r="BE958" s="376">
        <v>86</v>
      </c>
      <c r="BF958" s="376">
        <v>87</v>
      </c>
      <c r="BG958" s="376">
        <v>88</v>
      </c>
      <c r="BH958" s="376">
        <v>89</v>
      </c>
      <c r="BI958" s="376">
        <v>90</v>
      </c>
      <c r="BJ958" s="376">
        <v>91</v>
      </c>
      <c r="BK958" s="376">
        <v>92</v>
      </c>
      <c r="BL958" s="376">
        <v>93</v>
      </c>
      <c r="BM958" s="376">
        <v>94</v>
      </c>
      <c r="BN958" s="376">
        <v>95</v>
      </c>
      <c r="BO958" s="376">
        <v>96</v>
      </c>
      <c r="BP958" s="376">
        <v>97</v>
      </c>
      <c r="BQ958" s="376">
        <v>98</v>
      </c>
      <c r="BR958" s="376">
        <v>99</v>
      </c>
      <c r="BS958" s="376">
        <v>100</v>
      </c>
      <c r="BT958" s="376">
        <v>101</v>
      </c>
      <c r="BU958" s="376">
        <v>102</v>
      </c>
      <c r="BV958" s="376">
        <v>103</v>
      </c>
      <c r="BW958" s="376">
        <v>104</v>
      </c>
      <c r="BX958" s="376">
        <v>105</v>
      </c>
      <c r="BY958" s="376">
        <v>106</v>
      </c>
      <c r="BZ958" s="376">
        <v>107</v>
      </c>
      <c r="CA958" s="376">
        <v>108</v>
      </c>
      <c r="CB958" s="376">
        <v>109</v>
      </c>
      <c r="CC958" s="376">
        <v>110</v>
      </c>
      <c r="CD958" s="376">
        <v>111</v>
      </c>
      <c r="CE958" s="376">
        <v>112</v>
      </c>
      <c r="CF958" s="376">
        <v>113</v>
      </c>
      <c r="CG958" s="376">
        <v>114</v>
      </c>
      <c r="CH958" s="376">
        <v>115</v>
      </c>
      <c r="CI958" s="376">
        <v>116</v>
      </c>
      <c r="CJ958" s="376">
        <v>117</v>
      </c>
      <c r="CK958" s="376">
        <v>118</v>
      </c>
      <c r="CL958" s="376">
        <v>119</v>
      </c>
      <c r="CM958" s="376">
        <v>120</v>
      </c>
      <c r="CN958" s="380"/>
      <c r="CO958" s="1183"/>
      <c r="CP958" s="1183"/>
      <c r="CQ958" s="1183"/>
      <c r="CR958" s="1183"/>
      <c r="CS958" s="1183"/>
      <c r="CT958" s="1183"/>
      <c r="CU958" s="1183"/>
      <c r="CV958" s="1183"/>
      <c r="CW958" s="1183"/>
      <c r="CX958" s="1183"/>
      <c r="CY958" s="1183"/>
      <c r="CZ958" s="1183"/>
      <c r="DA958" s="1183"/>
      <c r="DB958" s="1183"/>
      <c r="DC958" s="1183"/>
      <c r="DD958" s="1183"/>
      <c r="DE958" s="1183"/>
      <c r="DF958" s="1183"/>
      <c r="DG958" s="1183"/>
      <c r="DH958" s="1183"/>
      <c r="DI958" s="1183"/>
      <c r="DJ958" s="1183"/>
      <c r="DK958" s="1183"/>
      <c r="DL958" s="1183"/>
      <c r="DM958" s="1183"/>
      <c r="DN958" s="1183"/>
      <c r="DO958" s="1183"/>
      <c r="DP958" s="1183"/>
      <c r="DQ958" s="1183"/>
      <c r="DR958" s="1804"/>
      <c r="DS958" s="1804"/>
      <c r="DT958" s="1804"/>
      <c r="DU958" s="1804"/>
      <c r="DV958" s="1804"/>
      <c r="DW958" s="1804"/>
      <c r="DX958" s="1804"/>
      <c r="DY958" s="1804"/>
      <c r="DZ958" s="1804"/>
      <c r="EA958" s="1804"/>
      <c r="EB958" s="1804"/>
      <c r="EC958" s="1804"/>
      <c r="ED958" s="1804"/>
      <c r="EE958" s="1804"/>
      <c r="EF958" s="1804"/>
      <c r="EG958" s="1804"/>
      <c r="EH958" s="1804"/>
      <c r="EI958" s="1804"/>
      <c r="EJ958" s="1804"/>
      <c r="EK958" s="1804"/>
      <c r="EL958" s="1804"/>
      <c r="EM958" s="1804"/>
      <c r="EN958" s="1804"/>
      <c r="EO958" s="1804"/>
      <c r="EP958" s="1804"/>
      <c r="EQ958" s="1804"/>
      <c r="ER958" s="1804"/>
      <c r="ES958" s="1804"/>
      <c r="ET958" s="1804"/>
      <c r="EU958" s="1804"/>
      <c r="EV958" s="1804"/>
    </row>
    <row r="959" spans="1:152" s="12" customFormat="1" ht="12" customHeight="1" x14ac:dyDescent="0.35">
      <c r="A959" s="84"/>
      <c r="B959" s="13"/>
      <c r="C959" s="13"/>
      <c r="D959" s="13"/>
      <c r="E959" s="13"/>
      <c r="F959" s="13"/>
      <c r="G959" s="1804"/>
      <c r="H959" s="1183"/>
      <c r="I959" s="1804"/>
      <c r="J959" s="1804"/>
      <c r="K959" s="141"/>
      <c r="L959" s="141"/>
      <c r="M959" s="141"/>
      <c r="N959" s="141"/>
      <c r="O959" s="141"/>
      <c r="P959" s="141"/>
      <c r="Q959" s="141"/>
      <c r="R959" s="31"/>
      <c r="S959" s="782">
        <f t="shared" si="732"/>
        <v>6</v>
      </c>
      <c r="T959" s="376">
        <f t="shared" si="735"/>
        <v>0</v>
      </c>
      <c r="U959" s="34"/>
      <c r="V959" s="1813"/>
      <c r="W959" s="1811"/>
      <c r="X959" s="1811"/>
      <c r="Y959" s="764"/>
      <c r="Z959" s="34">
        <f t="shared" ca="1" si="736"/>
        <v>0</v>
      </c>
      <c r="AA959" s="764">
        <f t="shared" si="736"/>
        <v>0</v>
      </c>
      <c r="AB959" s="29"/>
      <c r="AC959" s="29"/>
      <c r="AD959" s="1804"/>
      <c r="AE959" s="84" t="s">
        <v>561</v>
      </c>
      <c r="AF959" s="762">
        <f>AF952</f>
        <v>0</v>
      </c>
      <c r="AG959" s="762">
        <f t="shared" ref="AG959:CM959" si="737">AG952</f>
        <v>59</v>
      </c>
      <c r="AH959" s="762">
        <f t="shared" si="737"/>
        <v>91</v>
      </c>
      <c r="AI959" s="762">
        <f t="shared" si="737"/>
        <v>121</v>
      </c>
      <c r="AJ959" s="762">
        <f t="shared" si="737"/>
        <v>152</v>
      </c>
      <c r="AK959" s="762">
        <f t="shared" si="737"/>
        <v>182</v>
      </c>
      <c r="AL959" s="762">
        <f t="shared" si="737"/>
        <v>213</v>
      </c>
      <c r="AM959" s="762">
        <f t="shared" si="737"/>
        <v>244</v>
      </c>
      <c r="AN959" s="762">
        <f t="shared" si="737"/>
        <v>274</v>
      </c>
      <c r="AO959" s="762">
        <f t="shared" si="737"/>
        <v>305</v>
      </c>
      <c r="AP959" s="762">
        <f t="shared" si="737"/>
        <v>335</v>
      </c>
      <c r="AQ959" s="762">
        <f t="shared" si="737"/>
        <v>366</v>
      </c>
      <c r="AR959" s="762">
        <f t="shared" si="737"/>
        <v>397</v>
      </c>
      <c r="AS959" s="762">
        <f t="shared" si="737"/>
        <v>425</v>
      </c>
      <c r="AT959" s="762">
        <f t="shared" si="737"/>
        <v>456</v>
      </c>
      <c r="AU959" s="762">
        <f t="shared" si="737"/>
        <v>486</v>
      </c>
      <c r="AV959" s="762">
        <f t="shared" si="737"/>
        <v>517</v>
      </c>
      <c r="AW959" s="762">
        <f t="shared" si="737"/>
        <v>547</v>
      </c>
      <c r="AX959" s="762">
        <f t="shared" si="737"/>
        <v>578</v>
      </c>
      <c r="AY959" s="762">
        <f t="shared" si="737"/>
        <v>609</v>
      </c>
      <c r="AZ959" s="762">
        <f t="shared" si="737"/>
        <v>639</v>
      </c>
      <c r="BA959" s="762">
        <f t="shared" si="737"/>
        <v>670</v>
      </c>
      <c r="BB959" s="762">
        <f t="shared" si="737"/>
        <v>700</v>
      </c>
      <c r="BC959" s="762">
        <f t="shared" si="737"/>
        <v>731</v>
      </c>
      <c r="BD959" s="762">
        <f t="shared" si="737"/>
        <v>762</v>
      </c>
      <c r="BE959" s="762">
        <f t="shared" si="737"/>
        <v>790</v>
      </c>
      <c r="BF959" s="762">
        <f t="shared" si="737"/>
        <v>821</v>
      </c>
      <c r="BG959" s="762">
        <f t="shared" si="737"/>
        <v>851</v>
      </c>
      <c r="BH959" s="762">
        <f t="shared" si="737"/>
        <v>882</v>
      </c>
      <c r="BI959" s="762">
        <f t="shared" si="737"/>
        <v>912</v>
      </c>
      <c r="BJ959" s="762">
        <f t="shared" si="737"/>
        <v>943</v>
      </c>
      <c r="BK959" s="762">
        <f t="shared" si="737"/>
        <v>974</v>
      </c>
      <c r="BL959" s="762">
        <f t="shared" si="737"/>
        <v>1004</v>
      </c>
      <c r="BM959" s="762">
        <f t="shared" si="737"/>
        <v>1035</v>
      </c>
      <c r="BN959" s="762">
        <f t="shared" si="737"/>
        <v>1065</v>
      </c>
      <c r="BO959" s="762">
        <f t="shared" si="737"/>
        <v>1096</v>
      </c>
      <c r="BP959" s="762">
        <f t="shared" si="737"/>
        <v>1127</v>
      </c>
      <c r="BQ959" s="762">
        <f t="shared" si="737"/>
        <v>1155</v>
      </c>
      <c r="BR959" s="762">
        <f t="shared" si="737"/>
        <v>1186</v>
      </c>
      <c r="BS959" s="762">
        <f t="shared" si="737"/>
        <v>1216</v>
      </c>
      <c r="BT959" s="762">
        <f t="shared" si="737"/>
        <v>1247</v>
      </c>
      <c r="BU959" s="762">
        <f t="shared" si="737"/>
        <v>1277</v>
      </c>
      <c r="BV959" s="762">
        <f t="shared" si="737"/>
        <v>1308</v>
      </c>
      <c r="BW959" s="762">
        <f t="shared" si="737"/>
        <v>1339</v>
      </c>
      <c r="BX959" s="762">
        <f t="shared" si="737"/>
        <v>1369</v>
      </c>
      <c r="BY959" s="762">
        <f t="shared" si="737"/>
        <v>1400</v>
      </c>
      <c r="BZ959" s="762">
        <f t="shared" si="737"/>
        <v>1430</v>
      </c>
      <c r="CA959" s="762">
        <f t="shared" si="737"/>
        <v>1461</v>
      </c>
      <c r="CB959" s="762">
        <f t="shared" si="737"/>
        <v>1492</v>
      </c>
      <c r="CC959" s="762">
        <f t="shared" si="737"/>
        <v>1521</v>
      </c>
      <c r="CD959" s="762">
        <f t="shared" si="737"/>
        <v>1552</v>
      </c>
      <c r="CE959" s="762">
        <f t="shared" si="737"/>
        <v>1582</v>
      </c>
      <c r="CF959" s="762">
        <f t="shared" si="737"/>
        <v>1613</v>
      </c>
      <c r="CG959" s="762">
        <f t="shared" si="737"/>
        <v>1643</v>
      </c>
      <c r="CH959" s="762">
        <f t="shared" si="737"/>
        <v>1674</v>
      </c>
      <c r="CI959" s="762">
        <f t="shared" si="737"/>
        <v>1705</v>
      </c>
      <c r="CJ959" s="762">
        <f t="shared" si="737"/>
        <v>1735</v>
      </c>
      <c r="CK959" s="762">
        <f t="shared" si="737"/>
        <v>1766</v>
      </c>
      <c r="CL959" s="762">
        <f t="shared" si="737"/>
        <v>1796</v>
      </c>
      <c r="CM959" s="762">
        <f t="shared" si="737"/>
        <v>1827</v>
      </c>
      <c r="CN959" s="380"/>
      <c r="CO959" s="1183"/>
      <c r="CP959" s="1183"/>
      <c r="CQ959" s="1183"/>
      <c r="CR959" s="1183"/>
      <c r="CS959" s="1183"/>
      <c r="CT959" s="1183"/>
      <c r="CU959" s="1183"/>
      <c r="CV959" s="1183"/>
      <c r="CW959" s="1183"/>
      <c r="CX959" s="1183"/>
      <c r="CY959" s="1183"/>
      <c r="CZ959" s="1183"/>
      <c r="DA959" s="1183"/>
      <c r="DB959" s="1183"/>
      <c r="DC959" s="1183"/>
      <c r="DD959" s="1183"/>
      <c r="DE959" s="1183"/>
      <c r="DF959" s="1183"/>
      <c r="DG959" s="1183"/>
      <c r="DH959" s="1183"/>
      <c r="DI959" s="1183"/>
      <c r="DJ959" s="1183"/>
      <c r="DK959" s="1183"/>
      <c r="DL959" s="1183"/>
      <c r="DM959" s="1183"/>
      <c r="DN959" s="1183"/>
      <c r="DO959" s="1183"/>
      <c r="DP959" s="1183"/>
      <c r="DQ959" s="1183"/>
      <c r="DR959" s="1804"/>
      <c r="DS959" s="1804"/>
      <c r="DT959" s="1804"/>
      <c r="DU959" s="1804"/>
      <c r="DV959" s="1804"/>
      <c r="DW959" s="1804"/>
      <c r="DX959" s="1804"/>
      <c r="DY959" s="1804"/>
      <c r="DZ959" s="1804"/>
      <c r="EA959" s="1804"/>
      <c r="EB959" s="1804"/>
      <c r="EC959" s="1804"/>
      <c r="ED959" s="1804"/>
      <c r="EE959" s="1804"/>
      <c r="EF959" s="1804"/>
      <c r="EG959" s="1804"/>
      <c r="EH959" s="1804"/>
      <c r="EI959" s="1804"/>
      <c r="EJ959" s="1804"/>
      <c r="EK959" s="1804"/>
      <c r="EL959" s="1804"/>
      <c r="EM959" s="1804"/>
      <c r="EN959" s="1804"/>
      <c r="EO959" s="1804"/>
      <c r="EP959" s="1804"/>
      <c r="EQ959" s="1804"/>
      <c r="ER959" s="1804"/>
      <c r="ES959" s="1804"/>
      <c r="ET959" s="1804"/>
      <c r="EU959" s="1804"/>
      <c r="EV959" s="1804"/>
    </row>
    <row r="960" spans="1:152" s="12" customFormat="1" ht="12" customHeight="1" x14ac:dyDescent="0.35">
      <c r="A960" s="84"/>
      <c r="B960" s="13"/>
      <c r="C960" s="13"/>
      <c r="D960" s="13"/>
      <c r="E960" s="13"/>
      <c r="F960" s="13"/>
      <c r="G960" s="1804"/>
      <c r="H960" s="1183"/>
      <c r="I960" s="1804"/>
      <c r="J960" s="1804"/>
      <c r="K960" s="141"/>
      <c r="L960" s="141"/>
      <c r="M960" s="141"/>
      <c r="N960" s="141"/>
      <c r="O960" s="141"/>
      <c r="P960" s="141"/>
      <c r="Q960" s="141"/>
      <c r="R960" s="31"/>
      <c r="S960" s="782">
        <f t="shared" si="732"/>
        <v>7</v>
      </c>
      <c r="T960" s="376">
        <f t="shared" si="735"/>
        <v>0</v>
      </c>
      <c r="U960" s="34"/>
      <c r="V960" s="1813"/>
      <c r="W960" s="1811"/>
      <c r="X960" s="1811"/>
      <c r="Y960" s="764"/>
      <c r="Z960" s="34">
        <f t="shared" ca="1" si="736"/>
        <v>0</v>
      </c>
      <c r="AA960" s="764">
        <f t="shared" si="736"/>
        <v>0</v>
      </c>
      <c r="AB960" s="29"/>
      <c r="AC960" s="29"/>
      <c r="AD960" s="1804"/>
      <c r="AE960" s="84">
        <f>AE953</f>
        <v>1</v>
      </c>
      <c r="AF960" s="62">
        <f>IF(AF$959=$AB803,$Z803,0)</f>
        <v>0</v>
      </c>
      <c r="AG960" s="62">
        <f t="shared" ref="AG960:CM960" si="738">IF(AG$959=$AB803,$Z803,0)</f>
        <v>0</v>
      </c>
      <c r="AH960" s="62">
        <f t="shared" si="738"/>
        <v>0</v>
      </c>
      <c r="AI960" s="62">
        <f t="shared" si="738"/>
        <v>0</v>
      </c>
      <c r="AJ960" s="62">
        <f t="shared" si="738"/>
        <v>0</v>
      </c>
      <c r="AK960" s="62">
        <f t="shared" si="738"/>
        <v>0</v>
      </c>
      <c r="AL960" s="62">
        <f t="shared" si="738"/>
        <v>0</v>
      </c>
      <c r="AM960" s="62">
        <f t="shared" si="738"/>
        <v>0</v>
      </c>
      <c r="AN960" s="62">
        <f t="shared" si="738"/>
        <v>0</v>
      </c>
      <c r="AO960" s="62">
        <f t="shared" si="738"/>
        <v>0</v>
      </c>
      <c r="AP960" s="62">
        <f t="shared" si="738"/>
        <v>0</v>
      </c>
      <c r="AQ960" s="62">
        <f t="shared" si="738"/>
        <v>0</v>
      </c>
      <c r="AR960" s="62">
        <f t="shared" si="738"/>
        <v>0</v>
      </c>
      <c r="AS960" s="62">
        <f t="shared" si="738"/>
        <v>0</v>
      </c>
      <c r="AT960" s="62">
        <f t="shared" si="738"/>
        <v>0</v>
      </c>
      <c r="AU960" s="62">
        <f t="shared" si="738"/>
        <v>0</v>
      </c>
      <c r="AV960" s="62">
        <f t="shared" si="738"/>
        <v>0</v>
      </c>
      <c r="AW960" s="62">
        <f t="shared" si="738"/>
        <v>0</v>
      </c>
      <c r="AX960" s="62">
        <f t="shared" si="738"/>
        <v>0</v>
      </c>
      <c r="AY960" s="62">
        <f t="shared" si="738"/>
        <v>0</v>
      </c>
      <c r="AZ960" s="62">
        <f t="shared" si="738"/>
        <v>0</v>
      </c>
      <c r="BA960" s="62">
        <f t="shared" si="738"/>
        <v>0</v>
      </c>
      <c r="BB960" s="62">
        <f t="shared" si="738"/>
        <v>0</v>
      </c>
      <c r="BC960" s="62">
        <f t="shared" si="738"/>
        <v>0</v>
      </c>
      <c r="BD960" s="62">
        <f t="shared" si="738"/>
        <v>0</v>
      </c>
      <c r="BE960" s="62">
        <f t="shared" si="738"/>
        <v>0</v>
      </c>
      <c r="BF960" s="62">
        <f t="shared" si="738"/>
        <v>0</v>
      </c>
      <c r="BG960" s="62">
        <f t="shared" si="738"/>
        <v>0</v>
      </c>
      <c r="BH960" s="62">
        <f t="shared" si="738"/>
        <v>0</v>
      </c>
      <c r="BI960" s="62">
        <f t="shared" si="738"/>
        <v>0</v>
      </c>
      <c r="BJ960" s="62">
        <f t="shared" si="738"/>
        <v>0</v>
      </c>
      <c r="BK960" s="62">
        <f t="shared" si="738"/>
        <v>0</v>
      </c>
      <c r="BL960" s="62">
        <f t="shared" si="738"/>
        <v>0</v>
      </c>
      <c r="BM960" s="62">
        <f t="shared" si="738"/>
        <v>0</v>
      </c>
      <c r="BN960" s="62">
        <f t="shared" si="738"/>
        <v>0</v>
      </c>
      <c r="BO960" s="62">
        <f t="shared" si="738"/>
        <v>0</v>
      </c>
      <c r="BP960" s="62">
        <f t="shared" si="738"/>
        <v>0</v>
      </c>
      <c r="BQ960" s="62">
        <f t="shared" si="738"/>
        <v>0</v>
      </c>
      <c r="BR960" s="62">
        <f t="shared" si="738"/>
        <v>0</v>
      </c>
      <c r="BS960" s="62">
        <f t="shared" si="738"/>
        <v>0</v>
      </c>
      <c r="BT960" s="62">
        <f t="shared" si="738"/>
        <v>0</v>
      </c>
      <c r="BU960" s="62">
        <f t="shared" si="738"/>
        <v>0</v>
      </c>
      <c r="BV960" s="62">
        <f t="shared" si="738"/>
        <v>0</v>
      </c>
      <c r="BW960" s="62">
        <f t="shared" si="738"/>
        <v>0</v>
      </c>
      <c r="BX960" s="62">
        <f t="shared" si="738"/>
        <v>0</v>
      </c>
      <c r="BY960" s="62">
        <f t="shared" si="738"/>
        <v>0</v>
      </c>
      <c r="BZ960" s="62">
        <f t="shared" si="738"/>
        <v>0</v>
      </c>
      <c r="CA960" s="62">
        <f t="shared" si="738"/>
        <v>0</v>
      </c>
      <c r="CB960" s="62">
        <f t="shared" si="738"/>
        <v>0</v>
      </c>
      <c r="CC960" s="62">
        <f t="shared" si="738"/>
        <v>0</v>
      </c>
      <c r="CD960" s="62">
        <f t="shared" si="738"/>
        <v>0</v>
      </c>
      <c r="CE960" s="62">
        <f t="shared" si="738"/>
        <v>0</v>
      </c>
      <c r="CF960" s="62">
        <f t="shared" si="738"/>
        <v>0</v>
      </c>
      <c r="CG960" s="62">
        <f t="shared" si="738"/>
        <v>0</v>
      </c>
      <c r="CH960" s="62">
        <f t="shared" si="738"/>
        <v>0</v>
      </c>
      <c r="CI960" s="62">
        <f t="shared" si="738"/>
        <v>0</v>
      </c>
      <c r="CJ960" s="62">
        <f t="shared" si="738"/>
        <v>0</v>
      </c>
      <c r="CK960" s="62">
        <f t="shared" si="738"/>
        <v>0</v>
      </c>
      <c r="CL960" s="62">
        <f t="shared" si="738"/>
        <v>0</v>
      </c>
      <c r="CM960" s="62">
        <f t="shared" si="738"/>
        <v>0</v>
      </c>
      <c r="CN960" s="380"/>
      <c r="CO960" s="1183"/>
      <c r="CP960" s="1183"/>
      <c r="CQ960" s="1183"/>
      <c r="CR960" s="1183"/>
      <c r="CS960" s="1183"/>
      <c r="CT960" s="1183"/>
      <c r="CU960" s="1183"/>
      <c r="CV960" s="1183"/>
      <c r="CW960" s="1183"/>
      <c r="CX960" s="1183"/>
      <c r="CY960" s="1183"/>
      <c r="CZ960" s="1183"/>
      <c r="DA960" s="1183"/>
      <c r="DB960" s="1183"/>
      <c r="DC960" s="1183"/>
      <c r="DD960" s="1183"/>
      <c r="DE960" s="1183"/>
      <c r="DF960" s="1183"/>
      <c r="DG960" s="1183"/>
      <c r="DH960" s="1183"/>
      <c r="DI960" s="1183"/>
      <c r="DJ960" s="1183"/>
      <c r="DK960" s="1183"/>
      <c r="DL960" s="1183"/>
      <c r="DM960" s="1183"/>
      <c r="DN960" s="1183"/>
      <c r="DO960" s="1183"/>
      <c r="DP960" s="1183"/>
      <c r="DQ960" s="1183"/>
      <c r="DR960" s="1804"/>
      <c r="DS960" s="1804"/>
      <c r="DT960" s="1804"/>
      <c r="DU960" s="1804"/>
      <c r="DV960" s="1804"/>
      <c r="DW960" s="1804"/>
      <c r="DX960" s="1804"/>
      <c r="DY960" s="1804"/>
      <c r="DZ960" s="1804"/>
      <c r="EA960" s="1804"/>
      <c r="EB960" s="1804"/>
      <c r="EC960" s="1804"/>
      <c r="ED960" s="1804"/>
      <c r="EE960" s="1804"/>
      <c r="EF960" s="1804"/>
      <c r="EG960" s="1804"/>
      <c r="EH960" s="1804"/>
      <c r="EI960" s="1804"/>
      <c r="EJ960" s="1804"/>
      <c r="EK960" s="1804"/>
      <c r="EL960" s="1804"/>
      <c r="EM960" s="1804"/>
      <c r="EN960" s="1804"/>
      <c r="EO960" s="1804"/>
      <c r="EP960" s="1804"/>
      <c r="EQ960" s="1804"/>
      <c r="ER960" s="1804"/>
      <c r="ES960" s="1804"/>
      <c r="ET960" s="1804"/>
      <c r="EU960" s="1804"/>
      <c r="EV960" s="1804"/>
    </row>
    <row r="961" spans="1:121" s="12" customFormat="1" ht="12" customHeight="1" x14ac:dyDescent="0.35">
      <c r="A961" s="84"/>
      <c r="B961" s="13"/>
      <c r="C961" s="13"/>
      <c r="D961" s="13"/>
      <c r="E961" s="13"/>
      <c r="F961" s="13"/>
      <c r="G961" s="1804"/>
      <c r="H961" s="1183"/>
      <c r="I961" s="1804"/>
      <c r="J961" s="1804"/>
      <c r="K961" s="141"/>
      <c r="L961" s="141"/>
      <c r="M961" s="141"/>
      <c r="N961" s="141"/>
      <c r="O961" s="141"/>
      <c r="P961" s="141"/>
      <c r="Q961" s="141"/>
      <c r="R961" s="31"/>
      <c r="S961" s="782">
        <f t="shared" si="732"/>
        <v>8</v>
      </c>
      <c r="T961" s="376">
        <f t="shared" si="735"/>
        <v>0</v>
      </c>
      <c r="U961" s="34"/>
      <c r="V961" s="1813"/>
      <c r="W961" s="1811"/>
      <c r="X961" s="1811"/>
      <c r="Y961" s="764"/>
      <c r="Z961" s="34">
        <f t="shared" ca="1" si="736"/>
        <v>0</v>
      </c>
      <c r="AA961" s="764">
        <f t="shared" si="736"/>
        <v>0</v>
      </c>
      <c r="AB961" s="29"/>
      <c r="AC961" s="29"/>
      <c r="AD961" s="1804"/>
      <c r="AE961" s="84">
        <f>AE954</f>
        <v>2</v>
      </c>
      <c r="AF961" s="62">
        <f>IF(AF$959=$AB804,$Z804,0)</f>
        <v>0</v>
      </c>
      <c r="AG961" s="62">
        <f t="shared" ref="AG961:CM961" si="739">IF(AG$959=$AB804,$Z804,0)</f>
        <v>0</v>
      </c>
      <c r="AH961" s="62">
        <f t="shared" si="739"/>
        <v>0</v>
      </c>
      <c r="AI961" s="62">
        <f t="shared" si="739"/>
        <v>0</v>
      </c>
      <c r="AJ961" s="62">
        <f t="shared" si="739"/>
        <v>0</v>
      </c>
      <c r="AK961" s="62">
        <f t="shared" si="739"/>
        <v>0</v>
      </c>
      <c r="AL961" s="62">
        <f t="shared" si="739"/>
        <v>0</v>
      </c>
      <c r="AM961" s="62">
        <f t="shared" si="739"/>
        <v>0</v>
      </c>
      <c r="AN961" s="62">
        <f t="shared" si="739"/>
        <v>0</v>
      </c>
      <c r="AO961" s="62">
        <f t="shared" si="739"/>
        <v>0</v>
      </c>
      <c r="AP961" s="62">
        <f t="shared" si="739"/>
        <v>0</v>
      </c>
      <c r="AQ961" s="62">
        <f t="shared" si="739"/>
        <v>0</v>
      </c>
      <c r="AR961" s="62">
        <f t="shared" si="739"/>
        <v>0</v>
      </c>
      <c r="AS961" s="62">
        <f t="shared" si="739"/>
        <v>0</v>
      </c>
      <c r="AT961" s="62">
        <f t="shared" si="739"/>
        <v>0</v>
      </c>
      <c r="AU961" s="62">
        <f t="shared" si="739"/>
        <v>0</v>
      </c>
      <c r="AV961" s="62">
        <f t="shared" si="739"/>
        <v>0</v>
      </c>
      <c r="AW961" s="62">
        <f t="shared" si="739"/>
        <v>0</v>
      </c>
      <c r="AX961" s="62">
        <f t="shared" si="739"/>
        <v>0</v>
      </c>
      <c r="AY961" s="62">
        <f t="shared" si="739"/>
        <v>0</v>
      </c>
      <c r="AZ961" s="62">
        <f t="shared" si="739"/>
        <v>0</v>
      </c>
      <c r="BA961" s="62">
        <f t="shared" si="739"/>
        <v>0</v>
      </c>
      <c r="BB961" s="62">
        <f t="shared" si="739"/>
        <v>0</v>
      </c>
      <c r="BC961" s="62">
        <f t="shared" si="739"/>
        <v>0</v>
      </c>
      <c r="BD961" s="62">
        <f t="shared" si="739"/>
        <v>0</v>
      </c>
      <c r="BE961" s="62">
        <f t="shared" si="739"/>
        <v>0</v>
      </c>
      <c r="BF961" s="62">
        <f t="shared" si="739"/>
        <v>0</v>
      </c>
      <c r="BG961" s="62">
        <f t="shared" si="739"/>
        <v>0</v>
      </c>
      <c r="BH961" s="62">
        <f t="shared" si="739"/>
        <v>0</v>
      </c>
      <c r="BI961" s="62">
        <f t="shared" si="739"/>
        <v>0</v>
      </c>
      <c r="BJ961" s="62">
        <f t="shared" si="739"/>
        <v>0</v>
      </c>
      <c r="BK961" s="62">
        <f t="shared" si="739"/>
        <v>0</v>
      </c>
      <c r="BL961" s="62">
        <f t="shared" si="739"/>
        <v>0</v>
      </c>
      <c r="BM961" s="62">
        <f t="shared" si="739"/>
        <v>0</v>
      </c>
      <c r="BN961" s="62">
        <f t="shared" si="739"/>
        <v>0</v>
      </c>
      <c r="BO961" s="62">
        <f t="shared" si="739"/>
        <v>0</v>
      </c>
      <c r="BP961" s="62">
        <f t="shared" si="739"/>
        <v>0</v>
      </c>
      <c r="BQ961" s="62">
        <f t="shared" si="739"/>
        <v>0</v>
      </c>
      <c r="BR961" s="62">
        <f t="shared" si="739"/>
        <v>0</v>
      </c>
      <c r="BS961" s="62">
        <f t="shared" si="739"/>
        <v>0</v>
      </c>
      <c r="BT961" s="62">
        <f t="shared" si="739"/>
        <v>0</v>
      </c>
      <c r="BU961" s="62">
        <f t="shared" si="739"/>
        <v>0</v>
      </c>
      <c r="BV961" s="62">
        <f t="shared" si="739"/>
        <v>0</v>
      </c>
      <c r="BW961" s="62">
        <f t="shared" si="739"/>
        <v>0</v>
      </c>
      <c r="BX961" s="62">
        <f t="shared" si="739"/>
        <v>0</v>
      </c>
      <c r="BY961" s="62">
        <f t="shared" si="739"/>
        <v>0</v>
      </c>
      <c r="BZ961" s="62">
        <f t="shared" si="739"/>
        <v>0</v>
      </c>
      <c r="CA961" s="62">
        <f t="shared" si="739"/>
        <v>0</v>
      </c>
      <c r="CB961" s="62">
        <f t="shared" si="739"/>
        <v>0</v>
      </c>
      <c r="CC961" s="62">
        <f t="shared" si="739"/>
        <v>0</v>
      </c>
      <c r="CD961" s="62">
        <f t="shared" si="739"/>
        <v>0</v>
      </c>
      <c r="CE961" s="62">
        <f t="shared" si="739"/>
        <v>0</v>
      </c>
      <c r="CF961" s="62">
        <f t="shared" si="739"/>
        <v>0</v>
      </c>
      <c r="CG961" s="62">
        <f t="shared" si="739"/>
        <v>0</v>
      </c>
      <c r="CH961" s="62">
        <f t="shared" si="739"/>
        <v>0</v>
      </c>
      <c r="CI961" s="62">
        <f t="shared" si="739"/>
        <v>0</v>
      </c>
      <c r="CJ961" s="62">
        <f t="shared" si="739"/>
        <v>0</v>
      </c>
      <c r="CK961" s="62">
        <f t="shared" si="739"/>
        <v>0</v>
      </c>
      <c r="CL961" s="62">
        <f t="shared" si="739"/>
        <v>0</v>
      </c>
      <c r="CM961" s="62">
        <f t="shared" si="739"/>
        <v>0</v>
      </c>
      <c r="CN961" s="380"/>
      <c r="CO961" s="1183"/>
      <c r="CP961" s="1183"/>
      <c r="CQ961" s="1183"/>
      <c r="CR961" s="1183"/>
      <c r="CS961" s="1183"/>
      <c r="CT961" s="1183"/>
      <c r="CU961" s="1183"/>
      <c r="CV961" s="1183"/>
      <c r="CW961" s="1183"/>
      <c r="CX961" s="1183"/>
      <c r="CY961" s="1183"/>
      <c r="CZ961" s="1183"/>
      <c r="DA961" s="1183"/>
      <c r="DB961" s="1183"/>
      <c r="DC961" s="1183"/>
      <c r="DD961" s="1183"/>
      <c r="DE961" s="1183"/>
      <c r="DF961" s="1183"/>
      <c r="DG961" s="1183"/>
      <c r="DH961" s="1183"/>
      <c r="DI961" s="1183"/>
      <c r="DJ961" s="1183"/>
      <c r="DK961" s="1183"/>
      <c r="DL961" s="1183"/>
      <c r="DM961" s="1183"/>
      <c r="DN961" s="1183"/>
      <c r="DO961" s="1183"/>
      <c r="DP961" s="1183"/>
      <c r="DQ961" s="1183"/>
    </row>
    <row r="962" spans="1:121" s="12" customFormat="1" ht="12" customHeight="1" x14ac:dyDescent="0.35">
      <c r="A962" s="84"/>
      <c r="B962" s="13"/>
      <c r="C962" s="13"/>
      <c r="D962" s="13"/>
      <c r="E962" s="13"/>
      <c r="F962" s="13"/>
      <c r="G962" s="1804"/>
      <c r="H962" s="1183"/>
      <c r="I962" s="1804"/>
      <c r="J962" s="1804"/>
      <c r="K962" s="141"/>
      <c r="L962" s="141"/>
      <c r="M962" s="141"/>
      <c r="N962" s="141"/>
      <c r="O962" s="141"/>
      <c r="P962" s="141"/>
      <c r="Q962" s="141"/>
      <c r="R962" s="31"/>
      <c r="S962" s="782">
        <f t="shared" si="732"/>
        <v>9</v>
      </c>
      <c r="T962" s="376">
        <f t="shared" si="735"/>
        <v>0</v>
      </c>
      <c r="U962" s="34"/>
      <c r="V962" s="1813"/>
      <c r="W962" s="1811"/>
      <c r="X962" s="1811"/>
      <c r="Y962" s="764"/>
      <c r="Z962" s="34">
        <f t="shared" ca="1" si="736"/>
        <v>0</v>
      </c>
      <c r="AA962" s="764">
        <f t="shared" si="736"/>
        <v>0</v>
      </c>
      <c r="AB962" s="29"/>
      <c r="AC962" s="29"/>
      <c r="AD962" s="1804"/>
      <c r="AE962" s="84">
        <f>AE955</f>
        <v>3</v>
      </c>
      <c r="AF962" s="62">
        <f>IF(AF$959=$AB805,$Z805,0)</f>
        <v>0</v>
      </c>
      <c r="AG962" s="62">
        <f t="shared" ref="AG962:CM962" si="740">IF(AG$959=$AB805,$Z805,0)</f>
        <v>0</v>
      </c>
      <c r="AH962" s="62">
        <f t="shared" si="740"/>
        <v>0</v>
      </c>
      <c r="AI962" s="62">
        <f t="shared" si="740"/>
        <v>0</v>
      </c>
      <c r="AJ962" s="62">
        <f t="shared" si="740"/>
        <v>0</v>
      </c>
      <c r="AK962" s="62">
        <f t="shared" si="740"/>
        <v>0</v>
      </c>
      <c r="AL962" s="62">
        <f t="shared" si="740"/>
        <v>0</v>
      </c>
      <c r="AM962" s="62">
        <f t="shared" si="740"/>
        <v>0</v>
      </c>
      <c r="AN962" s="62">
        <f t="shared" si="740"/>
        <v>0</v>
      </c>
      <c r="AO962" s="62">
        <f t="shared" si="740"/>
        <v>0</v>
      </c>
      <c r="AP962" s="62">
        <f t="shared" si="740"/>
        <v>0</v>
      </c>
      <c r="AQ962" s="62">
        <f t="shared" si="740"/>
        <v>0</v>
      </c>
      <c r="AR962" s="62">
        <f t="shared" si="740"/>
        <v>0</v>
      </c>
      <c r="AS962" s="62">
        <f t="shared" si="740"/>
        <v>0</v>
      </c>
      <c r="AT962" s="62">
        <f t="shared" si="740"/>
        <v>0</v>
      </c>
      <c r="AU962" s="62">
        <f t="shared" si="740"/>
        <v>0</v>
      </c>
      <c r="AV962" s="62">
        <f t="shared" si="740"/>
        <v>0</v>
      </c>
      <c r="AW962" s="62">
        <f t="shared" si="740"/>
        <v>0</v>
      </c>
      <c r="AX962" s="62">
        <f t="shared" si="740"/>
        <v>0</v>
      </c>
      <c r="AY962" s="62">
        <f t="shared" si="740"/>
        <v>0</v>
      </c>
      <c r="AZ962" s="62">
        <f t="shared" si="740"/>
        <v>0</v>
      </c>
      <c r="BA962" s="62">
        <f t="shared" si="740"/>
        <v>0</v>
      </c>
      <c r="BB962" s="62">
        <f t="shared" si="740"/>
        <v>0</v>
      </c>
      <c r="BC962" s="62">
        <f t="shared" si="740"/>
        <v>0</v>
      </c>
      <c r="BD962" s="62">
        <f t="shared" si="740"/>
        <v>0</v>
      </c>
      <c r="BE962" s="62">
        <f t="shared" si="740"/>
        <v>0</v>
      </c>
      <c r="BF962" s="62">
        <f t="shared" si="740"/>
        <v>0</v>
      </c>
      <c r="BG962" s="62">
        <f t="shared" si="740"/>
        <v>0</v>
      </c>
      <c r="BH962" s="62">
        <f t="shared" si="740"/>
        <v>0</v>
      </c>
      <c r="BI962" s="62">
        <f t="shared" si="740"/>
        <v>0</v>
      </c>
      <c r="BJ962" s="62">
        <f t="shared" si="740"/>
        <v>0</v>
      </c>
      <c r="BK962" s="62">
        <f t="shared" si="740"/>
        <v>0</v>
      </c>
      <c r="BL962" s="62">
        <f t="shared" si="740"/>
        <v>0</v>
      </c>
      <c r="BM962" s="62">
        <f t="shared" si="740"/>
        <v>0</v>
      </c>
      <c r="BN962" s="62">
        <f t="shared" si="740"/>
        <v>0</v>
      </c>
      <c r="BO962" s="62">
        <f t="shared" si="740"/>
        <v>0</v>
      </c>
      <c r="BP962" s="62">
        <f t="shared" si="740"/>
        <v>0</v>
      </c>
      <c r="BQ962" s="62">
        <f t="shared" si="740"/>
        <v>0</v>
      </c>
      <c r="BR962" s="62">
        <f t="shared" si="740"/>
        <v>0</v>
      </c>
      <c r="BS962" s="62">
        <f t="shared" si="740"/>
        <v>0</v>
      </c>
      <c r="BT962" s="62">
        <f t="shared" si="740"/>
        <v>0</v>
      </c>
      <c r="BU962" s="62">
        <f t="shared" si="740"/>
        <v>0</v>
      </c>
      <c r="BV962" s="62">
        <f t="shared" si="740"/>
        <v>0</v>
      </c>
      <c r="BW962" s="62">
        <f t="shared" si="740"/>
        <v>0</v>
      </c>
      <c r="BX962" s="62">
        <f t="shared" si="740"/>
        <v>0</v>
      </c>
      <c r="BY962" s="62">
        <f t="shared" si="740"/>
        <v>0</v>
      </c>
      <c r="BZ962" s="62">
        <f t="shared" si="740"/>
        <v>0</v>
      </c>
      <c r="CA962" s="62">
        <f t="shared" si="740"/>
        <v>0</v>
      </c>
      <c r="CB962" s="62">
        <f t="shared" si="740"/>
        <v>0</v>
      </c>
      <c r="CC962" s="62">
        <f t="shared" si="740"/>
        <v>0</v>
      </c>
      <c r="CD962" s="62">
        <f t="shared" si="740"/>
        <v>0</v>
      </c>
      <c r="CE962" s="62">
        <f t="shared" si="740"/>
        <v>0</v>
      </c>
      <c r="CF962" s="62">
        <f t="shared" si="740"/>
        <v>0</v>
      </c>
      <c r="CG962" s="62">
        <f t="shared" si="740"/>
        <v>0</v>
      </c>
      <c r="CH962" s="62">
        <f t="shared" si="740"/>
        <v>0</v>
      </c>
      <c r="CI962" s="62">
        <f t="shared" si="740"/>
        <v>0</v>
      </c>
      <c r="CJ962" s="62">
        <f t="shared" si="740"/>
        <v>0</v>
      </c>
      <c r="CK962" s="62">
        <f t="shared" si="740"/>
        <v>0</v>
      </c>
      <c r="CL962" s="62">
        <f t="shared" si="740"/>
        <v>0</v>
      </c>
      <c r="CM962" s="62">
        <f t="shared" si="740"/>
        <v>0</v>
      </c>
      <c r="CN962" s="380"/>
      <c r="CO962" s="1183"/>
      <c r="CP962" s="1183"/>
      <c r="CQ962" s="1183"/>
      <c r="CR962" s="1183"/>
      <c r="CS962" s="1183"/>
      <c r="CT962" s="1183"/>
      <c r="CU962" s="1183"/>
      <c r="CV962" s="1183"/>
      <c r="CW962" s="1183"/>
      <c r="CX962" s="1183"/>
      <c r="CY962" s="1183"/>
      <c r="CZ962" s="1183"/>
      <c r="DA962" s="1183"/>
      <c r="DB962" s="1183"/>
      <c r="DC962" s="1183"/>
      <c r="DD962" s="1183"/>
      <c r="DE962" s="1183"/>
      <c r="DF962" s="1183"/>
      <c r="DG962" s="1183"/>
      <c r="DH962" s="1183"/>
      <c r="DI962" s="1183"/>
      <c r="DJ962" s="1183"/>
      <c r="DK962" s="1183"/>
      <c r="DL962" s="1183"/>
      <c r="DM962" s="1183"/>
      <c r="DN962" s="1183"/>
      <c r="DO962" s="1183"/>
      <c r="DP962" s="1183"/>
      <c r="DQ962" s="1183"/>
    </row>
    <row r="963" spans="1:121" s="12" customFormat="1" ht="12" customHeight="1" x14ac:dyDescent="0.35">
      <c r="A963" s="84"/>
      <c r="B963" s="13"/>
      <c r="C963" s="13"/>
      <c r="D963" s="13"/>
      <c r="E963" s="13"/>
      <c r="F963" s="13"/>
      <c r="G963" s="1804"/>
      <c r="H963" s="1183"/>
      <c r="I963" s="1804"/>
      <c r="J963" s="1804"/>
      <c r="K963" s="141"/>
      <c r="L963" s="141"/>
      <c r="M963" s="141"/>
      <c r="N963" s="141"/>
      <c r="O963" s="141"/>
      <c r="P963" s="141"/>
      <c r="Q963" s="141"/>
      <c r="R963" s="31"/>
      <c r="S963" s="782">
        <f t="shared" si="732"/>
        <v>10</v>
      </c>
      <c r="T963" s="376">
        <f t="shared" si="735"/>
        <v>0</v>
      </c>
      <c r="U963" s="34"/>
      <c r="V963" s="1813"/>
      <c r="W963" s="1811"/>
      <c r="X963" s="1811"/>
      <c r="Y963" s="764"/>
      <c r="Z963" s="34">
        <f t="shared" ca="1" si="736"/>
        <v>0</v>
      </c>
      <c r="AA963" s="764">
        <f t="shared" si="736"/>
        <v>0</v>
      </c>
      <c r="AB963" s="29"/>
      <c r="AC963" s="29"/>
      <c r="AD963" s="1804"/>
      <c r="AE963" s="61" t="str">
        <f>AE956</f>
        <v>Total</v>
      </c>
      <c r="AF963" s="1199">
        <f>SUM(AF960:AF962)</f>
        <v>0</v>
      </c>
      <c r="AG963" s="1199">
        <f t="shared" ref="AG963:AS963" si="741">SUM(AG960:AG962)</f>
        <v>0</v>
      </c>
      <c r="AH963" s="1199">
        <f t="shared" si="741"/>
        <v>0</v>
      </c>
      <c r="AI963" s="1199">
        <f t="shared" si="741"/>
        <v>0</v>
      </c>
      <c r="AJ963" s="1199">
        <f t="shared" si="741"/>
        <v>0</v>
      </c>
      <c r="AK963" s="1199">
        <f t="shared" si="741"/>
        <v>0</v>
      </c>
      <c r="AL963" s="1199">
        <f t="shared" si="741"/>
        <v>0</v>
      </c>
      <c r="AM963" s="1199">
        <f t="shared" si="741"/>
        <v>0</v>
      </c>
      <c r="AN963" s="1199">
        <f t="shared" si="741"/>
        <v>0</v>
      </c>
      <c r="AO963" s="1199">
        <f t="shared" si="741"/>
        <v>0</v>
      </c>
      <c r="AP963" s="1199">
        <f t="shared" si="741"/>
        <v>0</v>
      </c>
      <c r="AQ963" s="1199">
        <f t="shared" si="741"/>
        <v>0</v>
      </c>
      <c r="AR963" s="1199">
        <f t="shared" si="741"/>
        <v>0</v>
      </c>
      <c r="AS963" s="1199">
        <f t="shared" si="741"/>
        <v>0</v>
      </c>
      <c r="AT963" s="1199">
        <f t="shared" ref="AT963:CM963" si="742">SUM(AT960:AT962)</f>
        <v>0</v>
      </c>
      <c r="AU963" s="1199">
        <f t="shared" si="742"/>
        <v>0</v>
      </c>
      <c r="AV963" s="1199">
        <f t="shared" si="742"/>
        <v>0</v>
      </c>
      <c r="AW963" s="1199">
        <f t="shared" si="742"/>
        <v>0</v>
      </c>
      <c r="AX963" s="1199">
        <f t="shared" si="742"/>
        <v>0</v>
      </c>
      <c r="AY963" s="1199">
        <f t="shared" si="742"/>
        <v>0</v>
      </c>
      <c r="AZ963" s="1199">
        <f t="shared" si="742"/>
        <v>0</v>
      </c>
      <c r="BA963" s="1199">
        <f t="shared" si="742"/>
        <v>0</v>
      </c>
      <c r="BB963" s="1199">
        <f t="shared" si="742"/>
        <v>0</v>
      </c>
      <c r="BC963" s="1199">
        <f t="shared" si="742"/>
        <v>0</v>
      </c>
      <c r="BD963" s="1199">
        <f t="shared" si="742"/>
        <v>0</v>
      </c>
      <c r="BE963" s="1199">
        <f t="shared" si="742"/>
        <v>0</v>
      </c>
      <c r="BF963" s="1199">
        <f t="shared" si="742"/>
        <v>0</v>
      </c>
      <c r="BG963" s="1199">
        <f t="shared" si="742"/>
        <v>0</v>
      </c>
      <c r="BH963" s="1199">
        <f t="shared" si="742"/>
        <v>0</v>
      </c>
      <c r="BI963" s="1199">
        <f t="shared" si="742"/>
        <v>0</v>
      </c>
      <c r="BJ963" s="1199">
        <f t="shared" si="742"/>
        <v>0</v>
      </c>
      <c r="BK963" s="1199">
        <f t="shared" si="742"/>
        <v>0</v>
      </c>
      <c r="BL963" s="1199">
        <f t="shared" si="742"/>
        <v>0</v>
      </c>
      <c r="BM963" s="1199">
        <f t="shared" si="742"/>
        <v>0</v>
      </c>
      <c r="BN963" s="1199">
        <f t="shared" si="742"/>
        <v>0</v>
      </c>
      <c r="BO963" s="1199">
        <f t="shared" si="742"/>
        <v>0</v>
      </c>
      <c r="BP963" s="1199">
        <f t="shared" si="742"/>
        <v>0</v>
      </c>
      <c r="BQ963" s="1199">
        <f t="shared" si="742"/>
        <v>0</v>
      </c>
      <c r="BR963" s="1199">
        <f t="shared" si="742"/>
        <v>0</v>
      </c>
      <c r="BS963" s="1199">
        <f t="shared" si="742"/>
        <v>0</v>
      </c>
      <c r="BT963" s="1199">
        <f t="shared" si="742"/>
        <v>0</v>
      </c>
      <c r="BU963" s="1199">
        <f t="shared" si="742"/>
        <v>0</v>
      </c>
      <c r="BV963" s="1199">
        <f t="shared" si="742"/>
        <v>0</v>
      </c>
      <c r="BW963" s="1199">
        <f t="shared" si="742"/>
        <v>0</v>
      </c>
      <c r="BX963" s="1199">
        <f t="shared" si="742"/>
        <v>0</v>
      </c>
      <c r="BY963" s="1199">
        <f t="shared" si="742"/>
        <v>0</v>
      </c>
      <c r="BZ963" s="1199">
        <f t="shared" si="742"/>
        <v>0</v>
      </c>
      <c r="CA963" s="1199">
        <f t="shared" si="742"/>
        <v>0</v>
      </c>
      <c r="CB963" s="1199">
        <f t="shared" si="742"/>
        <v>0</v>
      </c>
      <c r="CC963" s="1199">
        <f t="shared" si="742"/>
        <v>0</v>
      </c>
      <c r="CD963" s="1199">
        <f t="shared" si="742"/>
        <v>0</v>
      </c>
      <c r="CE963" s="1199">
        <f t="shared" si="742"/>
        <v>0</v>
      </c>
      <c r="CF963" s="1199">
        <f t="shared" si="742"/>
        <v>0</v>
      </c>
      <c r="CG963" s="1199">
        <f t="shared" si="742"/>
        <v>0</v>
      </c>
      <c r="CH963" s="1199">
        <f t="shared" si="742"/>
        <v>0</v>
      </c>
      <c r="CI963" s="1199">
        <f t="shared" si="742"/>
        <v>0</v>
      </c>
      <c r="CJ963" s="1199">
        <f t="shared" si="742"/>
        <v>0</v>
      </c>
      <c r="CK963" s="1199">
        <f t="shared" si="742"/>
        <v>0</v>
      </c>
      <c r="CL963" s="1199">
        <f t="shared" si="742"/>
        <v>0</v>
      </c>
      <c r="CM963" s="1199">
        <f t="shared" si="742"/>
        <v>0</v>
      </c>
      <c r="CN963" s="380"/>
      <c r="CO963" s="1183"/>
      <c r="CP963" s="1183"/>
      <c r="CQ963" s="1183"/>
      <c r="CR963" s="1183"/>
      <c r="CS963" s="1183"/>
      <c r="CT963" s="1183"/>
      <c r="CU963" s="1183"/>
      <c r="CV963" s="1183"/>
      <c r="CW963" s="1183"/>
      <c r="CX963" s="1183"/>
      <c r="CY963" s="1183"/>
      <c r="CZ963" s="1183"/>
      <c r="DA963" s="1183"/>
      <c r="DB963" s="1183"/>
      <c r="DC963" s="1183"/>
      <c r="DD963" s="1183"/>
      <c r="DE963" s="1183"/>
      <c r="DF963" s="1183"/>
      <c r="DG963" s="1183"/>
      <c r="DH963" s="1183"/>
      <c r="DI963" s="1183"/>
      <c r="DJ963" s="1183"/>
      <c r="DK963" s="1183"/>
      <c r="DL963" s="1183"/>
      <c r="DM963" s="1183"/>
      <c r="DN963" s="1183"/>
      <c r="DO963" s="1183"/>
      <c r="DP963" s="1183"/>
      <c r="DQ963" s="1183"/>
    </row>
    <row r="964" spans="1:121" s="12" customFormat="1" ht="12" customHeight="1" x14ac:dyDescent="0.35">
      <c r="A964" s="84"/>
      <c r="B964" s="13"/>
      <c r="C964" s="13"/>
      <c r="D964" s="13"/>
      <c r="E964" s="13"/>
      <c r="F964" s="13"/>
      <c r="G964" s="1804"/>
      <c r="H964" s="1183"/>
      <c r="I964" s="1804"/>
      <c r="J964" s="1804"/>
      <c r="K964" s="141"/>
      <c r="L964" s="141"/>
      <c r="M964" s="141"/>
      <c r="N964" s="141"/>
      <c r="O964" s="141"/>
      <c r="P964" s="141"/>
      <c r="Q964" s="141"/>
      <c r="R964" s="31"/>
      <c r="S964" s="782">
        <f t="shared" si="732"/>
        <v>11</v>
      </c>
      <c r="T964" s="376">
        <f t="shared" si="735"/>
        <v>0</v>
      </c>
      <c r="U964" s="34"/>
      <c r="V964" s="1813"/>
      <c r="W964" s="1811"/>
      <c r="X964" s="1811"/>
      <c r="Y964" s="764"/>
      <c r="Z964" s="34">
        <f t="shared" ca="1" si="736"/>
        <v>0</v>
      </c>
      <c r="AA964" s="764">
        <f t="shared" si="736"/>
        <v>0</v>
      </c>
      <c r="AB964" s="29"/>
      <c r="AC964" s="29"/>
      <c r="AD964" s="1804"/>
      <c r="AE964" s="84"/>
      <c r="AF964" s="15"/>
      <c r="AG964" s="380"/>
      <c r="AH964" s="380"/>
      <c r="AI964" s="380"/>
      <c r="AJ964" s="380"/>
      <c r="AK964" s="380"/>
      <c r="AL964" s="380"/>
      <c r="AM964" s="380"/>
      <c r="AN964" s="380"/>
      <c r="AO964" s="380"/>
      <c r="AP964" s="380"/>
      <c r="AQ964" s="380"/>
      <c r="AR964" s="1144"/>
      <c r="AS964" s="380"/>
      <c r="AT964" s="380"/>
      <c r="AU964" s="380"/>
      <c r="AV964" s="380"/>
      <c r="AW964" s="380"/>
      <c r="AX964" s="380"/>
      <c r="AY964" s="380"/>
      <c r="AZ964" s="380"/>
      <c r="BA964" s="380"/>
      <c r="BB964" s="380"/>
      <c r="BC964" s="380"/>
      <c r="BD964" s="380"/>
      <c r="BE964" s="380"/>
      <c r="BF964" s="380"/>
      <c r="BG964" s="380"/>
      <c r="BH964" s="380"/>
      <c r="BI964" s="380"/>
      <c r="BJ964" s="380"/>
      <c r="BK964" s="380"/>
      <c r="BL964" s="380"/>
      <c r="BM964" s="380"/>
      <c r="BN964" s="380"/>
      <c r="BO964" s="380"/>
      <c r="BP964" s="380"/>
      <c r="BQ964" s="380"/>
      <c r="BR964" s="380"/>
      <c r="BS964" s="380"/>
      <c r="BT964" s="380"/>
      <c r="BU964" s="380"/>
      <c r="BV964" s="380"/>
      <c r="BW964" s="380"/>
      <c r="BX964" s="380"/>
      <c r="BY964" s="380"/>
      <c r="BZ964" s="380"/>
      <c r="CA964" s="380"/>
      <c r="CB964" s="380"/>
      <c r="CC964" s="380"/>
      <c r="CD964" s="380"/>
      <c r="CE964" s="380"/>
      <c r="CF964" s="380"/>
      <c r="CG964" s="380"/>
      <c r="CH964" s="380"/>
      <c r="CI964" s="380"/>
      <c r="CJ964" s="380"/>
      <c r="CK964" s="380"/>
      <c r="CL964" s="380"/>
      <c r="CM964" s="380"/>
      <c r="CN964" s="380"/>
      <c r="CO964" s="1183"/>
      <c r="CP964" s="1183"/>
      <c r="CQ964" s="1183"/>
      <c r="CR964" s="1183"/>
      <c r="CS964" s="1183"/>
      <c r="CT964" s="1183"/>
      <c r="CU964" s="1183"/>
      <c r="CV964" s="1183"/>
      <c r="CW964" s="1183"/>
      <c r="CX964" s="1183"/>
      <c r="CY964" s="1183"/>
      <c r="CZ964" s="1183"/>
      <c r="DA964" s="1183"/>
      <c r="DB964" s="1183"/>
      <c r="DC964" s="1183"/>
      <c r="DD964" s="1183"/>
      <c r="DE964" s="1183"/>
      <c r="DF964" s="1183"/>
      <c r="DG964" s="1183"/>
      <c r="DH964" s="1183"/>
      <c r="DI964" s="1183"/>
      <c r="DJ964" s="1183"/>
      <c r="DK964" s="1183"/>
      <c r="DL964" s="1183"/>
      <c r="DM964" s="1183"/>
      <c r="DN964" s="1183"/>
      <c r="DO964" s="1183"/>
      <c r="DP964" s="1183"/>
      <c r="DQ964" s="1183"/>
    </row>
    <row r="965" spans="1:121" s="12" customFormat="1" ht="12" customHeight="1" x14ac:dyDescent="0.35">
      <c r="A965" s="84"/>
      <c r="B965" s="13"/>
      <c r="C965" s="13"/>
      <c r="D965" s="13"/>
      <c r="E965" s="13"/>
      <c r="F965" s="13"/>
      <c r="G965" s="1804"/>
      <c r="H965" s="1183"/>
      <c r="I965" s="1804"/>
      <c r="J965" s="1804"/>
      <c r="K965" s="141"/>
      <c r="L965" s="141"/>
      <c r="M965" s="141"/>
      <c r="N965" s="141"/>
      <c r="O965" s="141"/>
      <c r="P965" s="141"/>
      <c r="Q965" s="141"/>
      <c r="R965" s="31"/>
      <c r="S965" s="782">
        <f t="shared" si="732"/>
        <v>12</v>
      </c>
      <c r="T965" s="376">
        <f t="shared" si="735"/>
        <v>0</v>
      </c>
      <c r="U965" s="34"/>
      <c r="V965" s="1813"/>
      <c r="W965" s="1811"/>
      <c r="X965" s="1811"/>
      <c r="Y965" s="764"/>
      <c r="Z965" s="34">
        <f t="shared" ca="1" si="736"/>
        <v>0</v>
      </c>
      <c r="AA965" s="764">
        <f t="shared" si="736"/>
        <v>0</v>
      </c>
      <c r="AB965" s="29"/>
      <c r="AC965" s="29"/>
      <c r="AD965" s="1804"/>
      <c r="AE965" s="84"/>
      <c r="AF965" s="1183"/>
      <c r="AG965" s="380"/>
      <c r="AH965" s="380"/>
      <c r="AI965" s="380"/>
      <c r="AJ965" s="380"/>
      <c r="AK965" s="380"/>
      <c r="AL965" s="380"/>
      <c r="AM965" s="380"/>
      <c r="AN965" s="380"/>
      <c r="AO965" s="380"/>
      <c r="AP965" s="380"/>
      <c r="AQ965" s="380"/>
      <c r="AR965" s="1144"/>
      <c r="AS965" s="380"/>
      <c r="AT965" s="380"/>
      <c r="AU965" s="380"/>
      <c r="AV965" s="380"/>
      <c r="AW965" s="380"/>
      <c r="AX965" s="380"/>
      <c r="AY965" s="380"/>
      <c r="AZ965" s="380"/>
      <c r="BA965" s="380"/>
      <c r="BB965" s="380"/>
      <c r="BC965" s="380"/>
      <c r="BD965" s="380"/>
      <c r="BE965" s="380"/>
      <c r="BF965" s="380"/>
      <c r="BG965" s="380"/>
      <c r="BH965" s="380"/>
      <c r="BI965" s="380"/>
      <c r="BJ965" s="380"/>
      <c r="BK965" s="380"/>
      <c r="BL965" s="380"/>
      <c r="BM965" s="380"/>
      <c r="BN965" s="380"/>
      <c r="BO965" s="380"/>
      <c r="BP965" s="380"/>
      <c r="BQ965" s="380"/>
      <c r="BR965" s="380"/>
      <c r="BS965" s="380"/>
      <c r="BT965" s="380"/>
      <c r="BU965" s="380"/>
      <c r="BV965" s="380"/>
      <c r="BW965" s="380"/>
      <c r="BX965" s="380"/>
      <c r="BY965" s="380"/>
      <c r="BZ965" s="380"/>
      <c r="CA965" s="380"/>
      <c r="CB965" s="380"/>
      <c r="CC965" s="380"/>
      <c r="CD965" s="380"/>
      <c r="CE965" s="380"/>
      <c r="CF965" s="380"/>
      <c r="CG965" s="380"/>
      <c r="CH965" s="380"/>
      <c r="CI965" s="380"/>
      <c r="CJ965" s="380"/>
      <c r="CK965" s="380"/>
      <c r="CL965" s="380"/>
      <c r="CM965" s="380"/>
      <c r="CN965" s="380"/>
      <c r="CO965" s="1183"/>
      <c r="CP965" s="1183"/>
      <c r="CQ965" s="1183"/>
      <c r="CR965" s="1183"/>
      <c r="CS965" s="1183"/>
      <c r="CT965" s="1183"/>
      <c r="CU965" s="1183"/>
      <c r="CV965" s="1183"/>
      <c r="CW965" s="1183"/>
      <c r="CX965" s="1183"/>
      <c r="CY965" s="1183"/>
      <c r="CZ965" s="1183"/>
      <c r="DA965" s="1183"/>
      <c r="DB965" s="1183"/>
      <c r="DC965" s="1183"/>
      <c r="DD965" s="1183"/>
      <c r="DE965" s="1183"/>
      <c r="DF965" s="1183"/>
      <c r="DG965" s="1183"/>
      <c r="DH965" s="1183"/>
      <c r="DI965" s="1183"/>
      <c r="DJ965" s="1183"/>
      <c r="DK965" s="1183"/>
      <c r="DL965" s="1183"/>
      <c r="DM965" s="1183"/>
      <c r="DN965" s="1183"/>
      <c r="DO965" s="1183"/>
      <c r="DP965" s="1183"/>
      <c r="DQ965" s="1183"/>
    </row>
    <row r="966" spans="1:121" s="12" customFormat="1" ht="12" customHeight="1" x14ac:dyDescent="0.35">
      <c r="A966" s="84"/>
      <c r="B966" s="13"/>
      <c r="C966" s="13"/>
      <c r="D966" s="13"/>
      <c r="E966" s="13"/>
      <c r="F966" s="13"/>
      <c r="G966" s="1804"/>
      <c r="H966" s="1183"/>
      <c r="I966" s="1804"/>
      <c r="J966" s="1804"/>
      <c r="K966" s="141"/>
      <c r="L966" s="141"/>
      <c r="M966" s="141"/>
      <c r="N966" s="141"/>
      <c r="O966" s="141"/>
      <c r="P966" s="141"/>
      <c r="Q966" s="141"/>
      <c r="R966" s="31"/>
      <c r="S966" s="782">
        <f>S946</f>
        <v>13</v>
      </c>
      <c r="T966" s="376">
        <f t="shared" si="735"/>
        <v>0</v>
      </c>
      <c r="U966" s="34"/>
      <c r="V966" s="1813"/>
      <c r="W966" s="1811"/>
      <c r="X966" s="1811"/>
      <c r="Y966" s="764"/>
      <c r="Z966" s="34">
        <f t="shared" ca="1" si="736"/>
        <v>0</v>
      </c>
      <c r="AA966" s="764">
        <f t="shared" si="736"/>
        <v>0</v>
      </c>
      <c r="AB966" s="29"/>
      <c r="AC966" s="29"/>
      <c r="AD966" s="1804"/>
      <c r="AE966" s="84"/>
      <c r="AF966" s="1183"/>
      <c r="AG966" s="380"/>
      <c r="AH966" s="380"/>
      <c r="AI966" s="380"/>
      <c r="AJ966" s="380"/>
      <c r="AK966" s="380"/>
      <c r="AL966" s="380"/>
      <c r="AM966" s="380"/>
      <c r="AN966" s="380"/>
      <c r="AO966" s="380"/>
      <c r="AP966" s="380"/>
      <c r="AQ966" s="380"/>
      <c r="AR966" s="1144"/>
      <c r="AS966" s="380"/>
      <c r="AT966" s="380"/>
      <c r="AU966" s="380"/>
      <c r="AV966" s="380"/>
      <c r="AW966" s="380"/>
      <c r="AX966" s="380"/>
      <c r="AY966" s="380"/>
      <c r="AZ966" s="380"/>
      <c r="BA966" s="380"/>
      <c r="BB966" s="380"/>
      <c r="BC966" s="380"/>
      <c r="BD966" s="380"/>
      <c r="BE966" s="380"/>
      <c r="BF966" s="380"/>
      <c r="BG966" s="380"/>
      <c r="BH966" s="380"/>
      <c r="BI966" s="380"/>
      <c r="BJ966" s="380"/>
      <c r="BK966" s="380"/>
      <c r="BL966" s="380"/>
      <c r="BM966" s="380"/>
      <c r="BN966" s="380"/>
      <c r="BO966" s="380"/>
      <c r="BP966" s="380"/>
      <c r="BQ966" s="380"/>
      <c r="BR966" s="380"/>
      <c r="BS966" s="380"/>
      <c r="BT966" s="380"/>
      <c r="BU966" s="380"/>
      <c r="BV966" s="380"/>
      <c r="BW966" s="380"/>
      <c r="BX966" s="380"/>
      <c r="BY966" s="380"/>
      <c r="BZ966" s="380"/>
      <c r="CA966" s="380"/>
      <c r="CB966" s="380"/>
      <c r="CC966" s="380"/>
      <c r="CD966" s="380"/>
      <c r="CE966" s="380"/>
      <c r="CF966" s="380"/>
      <c r="CG966" s="380"/>
      <c r="CH966" s="380"/>
      <c r="CI966" s="380"/>
      <c r="CJ966" s="380"/>
      <c r="CK966" s="380"/>
      <c r="CL966" s="380"/>
      <c r="CM966" s="380"/>
      <c r="CN966" s="380"/>
      <c r="CO966" s="1183"/>
      <c r="CP966" s="1183"/>
      <c r="CQ966" s="1183"/>
      <c r="CR966" s="1183"/>
      <c r="CS966" s="1183"/>
      <c r="CT966" s="1183"/>
      <c r="CU966" s="1183"/>
      <c r="CV966" s="1183"/>
      <c r="CW966" s="1183"/>
      <c r="CX966" s="1183"/>
      <c r="CY966" s="1183"/>
      <c r="CZ966" s="1183"/>
      <c r="DA966" s="1183"/>
      <c r="DB966" s="1183"/>
      <c r="DC966" s="1183"/>
      <c r="DD966" s="1183"/>
      <c r="DE966" s="1183"/>
      <c r="DF966" s="1183"/>
      <c r="DG966" s="1183"/>
      <c r="DH966" s="1183"/>
      <c r="DI966" s="1183"/>
      <c r="DJ966" s="1183"/>
      <c r="DK966" s="1183"/>
      <c r="DL966" s="1183"/>
      <c r="DM966" s="1183"/>
      <c r="DN966" s="1183"/>
      <c r="DO966" s="1183"/>
      <c r="DP966" s="1183"/>
      <c r="DQ966" s="1183"/>
    </row>
    <row r="967" spans="1:121" s="12" customFormat="1" ht="12" customHeight="1" x14ac:dyDescent="0.35">
      <c r="A967" s="84"/>
      <c r="B967" s="13"/>
      <c r="C967" s="13"/>
      <c r="D967" s="13"/>
      <c r="E967" s="13"/>
      <c r="F967" s="13"/>
      <c r="G967" s="1804"/>
      <c r="H967" s="1183"/>
      <c r="I967" s="1804"/>
      <c r="J967" s="1804"/>
      <c r="K967" s="141"/>
      <c r="L967" s="141"/>
      <c r="M967" s="141"/>
      <c r="N967" s="141"/>
      <c r="O967" s="141"/>
      <c r="P967" s="141"/>
      <c r="Q967" s="141"/>
      <c r="R967" s="31"/>
      <c r="S967" s="782">
        <f t="shared" si="732"/>
        <v>14</v>
      </c>
      <c r="T967" s="376">
        <f t="shared" si="735"/>
        <v>0</v>
      </c>
      <c r="U967" s="34"/>
      <c r="V967" s="1813"/>
      <c r="W967" s="1811"/>
      <c r="X967" s="1811"/>
      <c r="Y967" s="764"/>
      <c r="Z967" s="34">
        <f t="shared" ca="1" si="736"/>
        <v>0</v>
      </c>
      <c r="AA967" s="764">
        <f t="shared" si="736"/>
        <v>0</v>
      </c>
      <c r="AB967" s="29"/>
      <c r="AC967" s="29"/>
      <c r="AD967" s="1804"/>
      <c r="AE967" s="1804"/>
      <c r="AF967" s="1183"/>
      <c r="AG967" s="380"/>
      <c r="AH967" s="380"/>
      <c r="AI967" s="380"/>
      <c r="AJ967" s="380"/>
      <c r="AK967" s="380"/>
      <c r="AL967" s="380"/>
      <c r="AM967" s="380"/>
      <c r="AN967" s="380"/>
      <c r="AO967" s="380"/>
      <c r="AP967" s="380"/>
      <c r="AQ967" s="380"/>
      <c r="AR967" s="1144"/>
      <c r="AS967" s="380"/>
      <c r="AT967" s="380"/>
      <c r="AU967" s="380"/>
      <c r="AV967" s="380"/>
      <c r="AW967" s="380"/>
      <c r="AX967" s="380"/>
      <c r="AY967" s="380"/>
      <c r="AZ967" s="380"/>
      <c r="BA967" s="380"/>
      <c r="BB967" s="380"/>
      <c r="BC967" s="380"/>
      <c r="BD967" s="380"/>
      <c r="BE967" s="380"/>
      <c r="BF967" s="380"/>
      <c r="BG967" s="380"/>
      <c r="BH967" s="380"/>
      <c r="BI967" s="380"/>
      <c r="BJ967" s="380"/>
      <c r="BK967" s="380"/>
      <c r="BL967" s="380"/>
      <c r="BM967" s="380"/>
      <c r="BN967" s="380"/>
      <c r="BO967" s="380"/>
      <c r="BP967" s="380"/>
      <c r="BQ967" s="380"/>
      <c r="BR967" s="380"/>
      <c r="BS967" s="380"/>
      <c r="BT967" s="380"/>
      <c r="BU967" s="380"/>
      <c r="BV967" s="380"/>
      <c r="BW967" s="380"/>
      <c r="BX967" s="380"/>
      <c r="BY967" s="380"/>
      <c r="BZ967" s="380"/>
      <c r="CA967" s="380"/>
      <c r="CB967" s="380"/>
      <c r="CC967" s="380"/>
      <c r="CD967" s="380"/>
      <c r="CE967" s="380"/>
      <c r="CF967" s="380"/>
      <c r="CG967" s="380"/>
      <c r="CH967" s="380"/>
      <c r="CI967" s="380"/>
      <c r="CJ967" s="380"/>
      <c r="CK967" s="380"/>
      <c r="CL967" s="380"/>
      <c r="CM967" s="380"/>
      <c r="CN967" s="380"/>
      <c r="CO967" s="1183"/>
      <c r="CP967" s="1183"/>
      <c r="CQ967" s="1183"/>
      <c r="CR967" s="1183"/>
      <c r="CS967" s="1183"/>
      <c r="CT967" s="1183"/>
      <c r="CU967" s="1183"/>
      <c r="CV967" s="1183"/>
      <c r="CW967" s="1183"/>
      <c r="CX967" s="1183"/>
      <c r="CY967" s="1183"/>
      <c r="CZ967" s="1183"/>
      <c r="DA967" s="1183"/>
      <c r="DB967" s="1183"/>
      <c r="DC967" s="1183"/>
      <c r="DD967" s="1183"/>
      <c r="DE967" s="1183"/>
      <c r="DF967" s="1183"/>
      <c r="DG967" s="1183"/>
      <c r="DH967" s="1183"/>
      <c r="DI967" s="1183"/>
      <c r="DJ967" s="1183"/>
      <c r="DK967" s="1183"/>
      <c r="DL967" s="1183"/>
      <c r="DM967" s="1183"/>
      <c r="DN967" s="1183"/>
      <c r="DO967" s="1183"/>
      <c r="DP967" s="1183"/>
      <c r="DQ967" s="1183"/>
    </row>
    <row r="968" spans="1:121" s="12" customFormat="1" ht="12" customHeight="1" x14ac:dyDescent="0.35">
      <c r="A968" s="84"/>
      <c r="B968" s="13"/>
      <c r="C968" s="13"/>
      <c r="D968" s="13"/>
      <c r="E968" s="13"/>
      <c r="F968" s="13"/>
      <c r="G968" s="1804"/>
      <c r="H968" s="1183"/>
      <c r="I968" s="1804"/>
      <c r="J968" s="1804"/>
      <c r="K968" s="141"/>
      <c r="L968" s="141"/>
      <c r="M968" s="141"/>
      <c r="N968" s="141"/>
      <c r="O968" s="141"/>
      <c r="P968" s="141"/>
      <c r="Q968" s="141"/>
      <c r="R968" s="31"/>
      <c r="S968" s="782">
        <f t="shared" si="732"/>
        <v>15</v>
      </c>
      <c r="T968" s="376">
        <f t="shared" si="735"/>
        <v>0</v>
      </c>
      <c r="U968" s="34"/>
      <c r="V968" s="1813"/>
      <c r="W968" s="1811"/>
      <c r="X968" s="1811"/>
      <c r="Y968" s="764"/>
      <c r="Z968" s="34">
        <f t="shared" ca="1" si="736"/>
        <v>0</v>
      </c>
      <c r="AA968" s="764">
        <f t="shared" si="736"/>
        <v>0</v>
      </c>
      <c r="AB968" s="29"/>
      <c r="AC968" s="29"/>
      <c r="AD968" s="1804"/>
      <c r="AE968" s="1804"/>
      <c r="AF968" s="1183"/>
      <c r="AG968" s="380"/>
      <c r="AH968" s="380"/>
      <c r="AI968" s="380"/>
      <c r="AJ968" s="380"/>
      <c r="AK968" s="380"/>
      <c r="AL968" s="380"/>
      <c r="AM968" s="380"/>
      <c r="AN968" s="380"/>
      <c r="AO968" s="380"/>
      <c r="AP968" s="380"/>
      <c r="AQ968" s="380"/>
      <c r="AR968" s="1144"/>
      <c r="AS968" s="380"/>
      <c r="AT968" s="380"/>
      <c r="AU968" s="380"/>
      <c r="AV968" s="380"/>
      <c r="AW968" s="380"/>
      <c r="AX968" s="380"/>
      <c r="AY968" s="380"/>
      <c r="AZ968" s="380"/>
      <c r="BA968" s="380"/>
      <c r="BB968" s="380"/>
      <c r="BC968" s="380"/>
      <c r="BD968" s="380"/>
      <c r="BE968" s="380"/>
      <c r="BF968" s="380"/>
      <c r="BG968" s="380"/>
      <c r="BH968" s="380"/>
      <c r="BI968" s="380"/>
      <c r="BJ968" s="380"/>
      <c r="BK968" s="380"/>
      <c r="BL968" s="380"/>
      <c r="BM968" s="380"/>
      <c r="BN968" s="380"/>
      <c r="BO968" s="380"/>
      <c r="BP968" s="380"/>
      <c r="BQ968" s="380"/>
      <c r="BR968" s="380"/>
      <c r="BS968" s="380"/>
      <c r="BT968" s="380"/>
      <c r="BU968" s="380"/>
      <c r="BV968" s="380"/>
      <c r="BW968" s="380"/>
      <c r="BX968" s="380"/>
      <c r="BY968" s="380"/>
      <c r="BZ968" s="380"/>
      <c r="CA968" s="380"/>
      <c r="CB968" s="380"/>
      <c r="CC968" s="380"/>
      <c r="CD968" s="380"/>
      <c r="CE968" s="380"/>
      <c r="CF968" s="380"/>
      <c r="CG968" s="380"/>
      <c r="CH968" s="380"/>
      <c r="CI968" s="380"/>
      <c r="CJ968" s="380"/>
      <c r="CK968" s="380"/>
      <c r="CL968" s="380"/>
      <c r="CM968" s="380"/>
      <c r="CN968" s="380"/>
      <c r="CO968" s="1183"/>
      <c r="CP968" s="1183"/>
      <c r="CQ968" s="1183"/>
      <c r="CR968" s="1183"/>
      <c r="CS968" s="1183"/>
      <c r="CT968" s="1183"/>
      <c r="CU968" s="1183"/>
      <c r="CV968" s="1183"/>
      <c r="CW968" s="1183"/>
      <c r="CX968" s="1183"/>
      <c r="CY968" s="1183"/>
      <c r="CZ968" s="1183"/>
      <c r="DA968" s="1183"/>
      <c r="DB968" s="1183"/>
      <c r="DC968" s="1183"/>
      <c r="DD968" s="1183"/>
      <c r="DE968" s="1183"/>
      <c r="DF968" s="1183"/>
      <c r="DG968" s="1183"/>
      <c r="DH968" s="1183"/>
      <c r="DI968" s="1183"/>
      <c r="DJ968" s="1183"/>
      <c r="DK968" s="1183"/>
      <c r="DL968" s="1183"/>
      <c r="DM968" s="1183"/>
      <c r="DN968" s="1183"/>
      <c r="DO968" s="1183"/>
      <c r="DP968" s="1183"/>
      <c r="DQ968" s="1183"/>
    </row>
    <row r="969" spans="1:121" s="12" customFormat="1" ht="12" customHeight="1" x14ac:dyDescent="0.35">
      <c r="A969" s="84"/>
      <c r="B969" s="13"/>
      <c r="C969" s="13"/>
      <c r="D969" s="13"/>
      <c r="E969" s="13"/>
      <c r="F969" s="13"/>
      <c r="G969" s="1804"/>
      <c r="H969" s="1183"/>
      <c r="I969" s="1804"/>
      <c r="J969" s="1804"/>
      <c r="K969" s="141"/>
      <c r="L969" s="141"/>
      <c r="M969" s="141"/>
      <c r="N969" s="141"/>
      <c r="O969" s="141"/>
      <c r="P969" s="141"/>
      <c r="Q969" s="141"/>
      <c r="R969" s="31"/>
      <c r="S969" s="782">
        <f t="shared" si="732"/>
        <v>16</v>
      </c>
      <c r="T969" s="376">
        <f t="shared" si="735"/>
        <v>0</v>
      </c>
      <c r="U969" s="34"/>
      <c r="V969" s="1813"/>
      <c r="W969" s="1811"/>
      <c r="X969" s="1811"/>
      <c r="Y969" s="764"/>
      <c r="Z969" s="34">
        <f t="shared" ca="1" si="736"/>
        <v>0</v>
      </c>
      <c r="AA969" s="764">
        <f t="shared" si="736"/>
        <v>0</v>
      </c>
      <c r="AB969" s="29"/>
      <c r="AC969" s="29"/>
      <c r="AD969" s="1804"/>
      <c r="AE969" s="1804"/>
      <c r="AF969" s="1183"/>
      <c r="AG969" s="380"/>
      <c r="AH969" s="380"/>
      <c r="AI969" s="380"/>
      <c r="AJ969" s="380"/>
      <c r="AK969" s="380"/>
      <c r="AL969" s="380"/>
      <c r="AM969" s="380"/>
      <c r="AN969" s="380"/>
      <c r="AO969" s="380"/>
      <c r="AP969" s="380"/>
      <c r="AQ969" s="380"/>
      <c r="AR969" s="1144"/>
      <c r="AS969" s="380"/>
      <c r="AT969" s="380"/>
      <c r="AU969" s="380"/>
      <c r="AV969" s="380"/>
      <c r="AW969" s="380"/>
      <c r="AX969" s="380"/>
      <c r="AY969" s="380"/>
      <c r="AZ969" s="380"/>
      <c r="BA969" s="380"/>
      <c r="BB969" s="380"/>
      <c r="BC969" s="380"/>
      <c r="BD969" s="380"/>
      <c r="BE969" s="380"/>
      <c r="BF969" s="380"/>
      <c r="BG969" s="380"/>
      <c r="BH969" s="380"/>
      <c r="BI969" s="380"/>
      <c r="BJ969" s="380"/>
      <c r="BK969" s="380"/>
      <c r="BL969" s="380"/>
      <c r="BM969" s="380"/>
      <c r="BN969" s="380"/>
      <c r="BO969" s="380"/>
      <c r="BP969" s="380"/>
      <c r="BQ969" s="380"/>
      <c r="BR969" s="380"/>
      <c r="BS969" s="380"/>
      <c r="BT969" s="380"/>
      <c r="BU969" s="380"/>
      <c r="BV969" s="380"/>
      <c r="BW969" s="380"/>
      <c r="BX969" s="380"/>
      <c r="BY969" s="380"/>
      <c r="BZ969" s="380"/>
      <c r="CA969" s="380"/>
      <c r="CB969" s="380"/>
      <c r="CC969" s="380"/>
      <c r="CD969" s="380"/>
      <c r="CE969" s="380"/>
      <c r="CF969" s="380"/>
      <c r="CG969" s="380"/>
      <c r="CH969" s="380"/>
      <c r="CI969" s="380"/>
      <c r="CJ969" s="380"/>
      <c r="CK969" s="380"/>
      <c r="CL969" s="380"/>
      <c r="CM969" s="380"/>
      <c r="CN969" s="380"/>
      <c r="CO969" s="1183"/>
      <c r="CP969" s="1183"/>
      <c r="CQ969" s="1183"/>
      <c r="CR969" s="1183"/>
      <c r="CS969" s="1183"/>
      <c r="CT969" s="1183"/>
      <c r="CU969" s="1183"/>
      <c r="CV969" s="1183"/>
      <c r="CW969" s="1183"/>
      <c r="CX969" s="1183"/>
      <c r="CY969" s="1183"/>
      <c r="CZ969" s="1183"/>
      <c r="DA969" s="1183"/>
      <c r="DB969" s="1183"/>
      <c r="DC969" s="1183"/>
      <c r="DD969" s="1183"/>
      <c r="DE969" s="1183"/>
      <c r="DF969" s="1183"/>
      <c r="DG969" s="1183"/>
      <c r="DH969" s="1183"/>
      <c r="DI969" s="1183"/>
      <c r="DJ969" s="1183"/>
      <c r="DK969" s="1183"/>
      <c r="DL969" s="1183"/>
      <c r="DM969" s="1183"/>
      <c r="DN969" s="1183"/>
      <c r="DO969" s="1183"/>
      <c r="DP969" s="1183"/>
      <c r="DQ969" s="1183"/>
    </row>
    <row r="970" spans="1:121" s="12" customFormat="1" ht="12" customHeight="1" x14ac:dyDescent="0.35">
      <c r="A970" s="84"/>
      <c r="B970" s="13"/>
      <c r="C970" s="13"/>
      <c r="D970" s="13"/>
      <c r="E970" s="13"/>
      <c r="F970" s="13"/>
      <c r="G970" s="1804"/>
      <c r="H970" s="1183"/>
      <c r="I970" s="1804"/>
      <c r="J970" s="1804"/>
      <c r="K970" s="141"/>
      <c r="L970" s="141"/>
      <c r="M970" s="141"/>
      <c r="N970" s="141"/>
      <c r="O970" s="141"/>
      <c r="P970" s="141"/>
      <c r="Q970" s="141"/>
      <c r="R970" s="31"/>
      <c r="S970" s="36"/>
      <c r="T970" s="376"/>
      <c r="U970" s="29"/>
      <c r="V970" s="1804"/>
      <c r="W970" s="1804"/>
      <c r="X970" s="1804"/>
      <c r="Y970" s="29"/>
      <c r="Z970" s="29"/>
      <c r="AA970" s="29"/>
      <c r="AB970" s="29"/>
      <c r="AC970" s="29"/>
      <c r="AD970" s="1804"/>
      <c r="AE970" s="1804"/>
      <c r="AF970" s="1183"/>
      <c r="AG970" s="380"/>
      <c r="AH970" s="380"/>
      <c r="AI970" s="380"/>
      <c r="AJ970" s="380"/>
      <c r="AK970" s="380"/>
      <c r="AL970" s="380"/>
      <c r="AM970" s="380"/>
      <c r="AN970" s="380"/>
      <c r="AO970" s="380"/>
      <c r="AP970" s="380"/>
      <c r="AQ970" s="380"/>
      <c r="AR970" s="1144"/>
      <c r="AS970" s="380"/>
      <c r="AT970" s="380"/>
      <c r="AU970" s="380"/>
      <c r="AV970" s="380"/>
      <c r="AW970" s="380"/>
      <c r="AX970" s="380"/>
      <c r="AY970" s="380"/>
      <c r="AZ970" s="380"/>
      <c r="BA970" s="380"/>
      <c r="BB970" s="380"/>
      <c r="BC970" s="380"/>
      <c r="BD970" s="380"/>
      <c r="BE970" s="380"/>
      <c r="BF970" s="380"/>
      <c r="BG970" s="380"/>
      <c r="BH970" s="380"/>
      <c r="BI970" s="380"/>
      <c r="BJ970" s="380"/>
      <c r="BK970" s="380"/>
      <c r="BL970" s="380"/>
      <c r="BM970" s="380"/>
      <c r="BN970" s="380"/>
      <c r="BO970" s="380"/>
      <c r="BP970" s="380"/>
      <c r="BQ970" s="380"/>
      <c r="BR970" s="380"/>
      <c r="BS970" s="380"/>
      <c r="BT970" s="380"/>
      <c r="BU970" s="380"/>
      <c r="BV970" s="380"/>
      <c r="BW970" s="380"/>
      <c r="BX970" s="380"/>
      <c r="BY970" s="380"/>
      <c r="BZ970" s="380"/>
      <c r="CA970" s="380"/>
      <c r="CB970" s="380"/>
      <c r="CC970" s="380"/>
      <c r="CD970" s="380"/>
      <c r="CE970" s="380"/>
      <c r="CF970" s="380"/>
      <c r="CG970" s="380"/>
      <c r="CH970" s="380"/>
      <c r="CI970" s="380"/>
      <c r="CJ970" s="380"/>
      <c r="CK970" s="380"/>
      <c r="CL970" s="380"/>
      <c r="CM970" s="380"/>
      <c r="CN970" s="380"/>
      <c r="CO970" s="1183"/>
      <c r="CP970" s="1183"/>
      <c r="CQ970" s="1183"/>
      <c r="CR970" s="1183"/>
      <c r="CS970" s="1183"/>
      <c r="CT970" s="1183"/>
      <c r="CU970" s="1183"/>
      <c r="CV970" s="1183"/>
      <c r="CW970" s="1183"/>
      <c r="CX970" s="1183"/>
      <c r="CY970" s="1183"/>
      <c r="CZ970" s="1183"/>
      <c r="DA970" s="1183"/>
      <c r="DB970" s="1183"/>
      <c r="DC970" s="1183"/>
      <c r="DD970" s="1183"/>
      <c r="DE970" s="1183"/>
      <c r="DF970" s="1183"/>
      <c r="DG970" s="1183"/>
      <c r="DH970" s="1183"/>
      <c r="DI970" s="1183"/>
      <c r="DJ970" s="1183"/>
      <c r="DK970" s="1183"/>
      <c r="DL970" s="1183"/>
      <c r="DM970" s="1183"/>
      <c r="DN970" s="1183"/>
      <c r="DO970" s="1183"/>
      <c r="DP970" s="1183"/>
      <c r="DQ970" s="1183"/>
    </row>
    <row r="971" spans="1:121" s="12" customFormat="1" ht="12" customHeight="1" x14ac:dyDescent="0.35">
      <c r="A971" s="84"/>
      <c r="B971" s="13"/>
      <c r="C971" s="13"/>
      <c r="D971" s="13"/>
      <c r="E971" s="13"/>
      <c r="F971" s="13"/>
      <c r="G971" s="1804"/>
      <c r="H971" s="1183"/>
      <c r="I971" s="1804"/>
      <c r="J971" s="1804"/>
      <c r="K971" s="141"/>
      <c r="L971" s="141"/>
      <c r="M971" s="141"/>
      <c r="N971" s="141"/>
      <c r="O971" s="141"/>
      <c r="P971" s="141"/>
      <c r="Q971" s="141"/>
      <c r="R971" s="31"/>
      <c r="S971" s="36"/>
      <c r="T971" s="376"/>
      <c r="U971" s="29"/>
      <c r="V971" s="1804"/>
      <c r="W971" s="1804"/>
      <c r="X971" s="1804"/>
      <c r="Y971" s="29"/>
      <c r="Z971" s="29"/>
      <c r="AA971" s="29"/>
      <c r="AB971" s="29"/>
      <c r="AC971" s="29"/>
      <c r="AD971" s="1804"/>
      <c r="AE971" s="1804"/>
      <c r="AF971" s="1183"/>
      <c r="AG971" s="380"/>
      <c r="AH971" s="380"/>
      <c r="AI971" s="380"/>
      <c r="AJ971" s="380"/>
      <c r="AK971" s="380"/>
      <c r="AL971" s="380"/>
      <c r="AM971" s="380"/>
      <c r="AN971" s="380"/>
      <c r="AO971" s="380"/>
      <c r="AP971" s="380"/>
      <c r="AQ971" s="380"/>
      <c r="AR971" s="1144"/>
      <c r="AS971" s="380"/>
      <c r="AT971" s="380"/>
      <c r="AU971" s="380"/>
      <c r="AV971" s="380"/>
      <c r="AW971" s="380"/>
      <c r="AX971" s="380"/>
      <c r="AY971" s="380"/>
      <c r="AZ971" s="380"/>
      <c r="BA971" s="380"/>
      <c r="BB971" s="380"/>
      <c r="BC971" s="380"/>
      <c r="BD971" s="380"/>
      <c r="BE971" s="380"/>
      <c r="BF971" s="380"/>
      <c r="BG971" s="380"/>
      <c r="BH971" s="380"/>
      <c r="BI971" s="380"/>
      <c r="BJ971" s="380"/>
      <c r="BK971" s="380"/>
      <c r="BL971" s="380"/>
      <c r="BM971" s="380"/>
      <c r="BN971" s="380"/>
      <c r="BO971" s="380"/>
      <c r="BP971" s="380"/>
      <c r="BQ971" s="380"/>
      <c r="BR971" s="380"/>
      <c r="BS971" s="380"/>
      <c r="BT971" s="380"/>
      <c r="BU971" s="380"/>
      <c r="BV971" s="380"/>
      <c r="BW971" s="380"/>
      <c r="BX971" s="380"/>
      <c r="BY971" s="380"/>
      <c r="BZ971" s="380"/>
      <c r="CA971" s="380"/>
      <c r="CB971" s="380"/>
      <c r="CC971" s="380"/>
      <c r="CD971" s="380"/>
      <c r="CE971" s="380"/>
      <c r="CF971" s="380"/>
      <c r="CG971" s="380"/>
      <c r="CH971" s="380"/>
      <c r="CI971" s="380"/>
      <c r="CJ971" s="380"/>
      <c r="CK971" s="380"/>
      <c r="CL971" s="380"/>
      <c r="CM971" s="380"/>
      <c r="CN971" s="380"/>
      <c r="CO971" s="1183"/>
      <c r="CP971" s="1183"/>
      <c r="CQ971" s="1183"/>
      <c r="CR971" s="1183"/>
      <c r="CS971" s="1183"/>
      <c r="CT971" s="1183"/>
      <c r="CU971" s="1183"/>
      <c r="CV971" s="1183"/>
      <c r="CW971" s="1183"/>
      <c r="CX971" s="1183"/>
      <c r="CY971" s="1183"/>
      <c r="CZ971" s="1183"/>
      <c r="DA971" s="1183"/>
      <c r="DB971" s="1183"/>
      <c r="DC971" s="1183"/>
      <c r="DD971" s="1183"/>
      <c r="DE971" s="1183"/>
      <c r="DF971" s="1183"/>
      <c r="DG971" s="1183"/>
      <c r="DH971" s="1183"/>
      <c r="DI971" s="1183"/>
      <c r="DJ971" s="1183"/>
      <c r="DK971" s="1183"/>
      <c r="DL971" s="1183"/>
      <c r="DM971" s="1183"/>
      <c r="DN971" s="1183"/>
      <c r="DO971" s="1183"/>
      <c r="DP971" s="1183"/>
      <c r="DQ971" s="1183"/>
    </row>
    <row r="972" spans="1:121" s="12" customFormat="1" ht="12" customHeight="1" x14ac:dyDescent="0.35">
      <c r="A972" s="84"/>
      <c r="B972" s="13"/>
      <c r="C972" s="13"/>
      <c r="D972" s="13"/>
      <c r="E972" s="13"/>
      <c r="F972" s="13"/>
      <c r="G972" s="1804"/>
      <c r="H972" s="1183"/>
      <c r="I972" s="1804"/>
      <c r="J972" s="1804"/>
      <c r="K972" s="141"/>
      <c r="L972" s="141"/>
      <c r="M972" s="141"/>
      <c r="N972" s="141"/>
      <c r="O972" s="141"/>
      <c r="P972" s="141"/>
      <c r="Q972" s="141"/>
      <c r="R972" s="31"/>
      <c r="S972" s="36"/>
      <c r="T972" s="376"/>
      <c r="U972" s="29"/>
      <c r="V972" s="1804"/>
      <c r="W972" s="1804"/>
      <c r="X972" s="1804"/>
      <c r="Y972" s="29"/>
      <c r="Z972" s="29"/>
      <c r="AA972" s="29"/>
      <c r="AB972" s="29"/>
      <c r="AC972" s="29"/>
      <c r="AD972" s="1804"/>
      <c r="AE972" s="1804"/>
      <c r="AF972" s="1183"/>
      <c r="AG972" s="380"/>
      <c r="AH972" s="380"/>
      <c r="AI972" s="380"/>
      <c r="AJ972" s="380"/>
      <c r="AK972" s="380"/>
      <c r="AL972" s="380"/>
      <c r="AM972" s="380"/>
      <c r="AN972" s="380"/>
      <c r="AO972" s="380"/>
      <c r="AP972" s="380"/>
      <c r="AQ972" s="380"/>
      <c r="AR972" s="1144"/>
      <c r="AS972" s="380"/>
      <c r="AT972" s="380"/>
      <c r="AU972" s="380"/>
      <c r="AV972" s="380"/>
      <c r="AW972" s="380"/>
      <c r="AX972" s="380"/>
      <c r="AY972" s="380"/>
      <c r="AZ972" s="380"/>
      <c r="BA972" s="380"/>
      <c r="BB972" s="380"/>
      <c r="BC972" s="380"/>
      <c r="BD972" s="380"/>
      <c r="BE972" s="380"/>
      <c r="BF972" s="380"/>
      <c r="BG972" s="380"/>
      <c r="BH972" s="380"/>
      <c r="BI972" s="380"/>
      <c r="BJ972" s="380"/>
      <c r="BK972" s="380"/>
      <c r="BL972" s="380"/>
      <c r="BM972" s="380"/>
      <c r="BN972" s="380"/>
      <c r="BO972" s="380"/>
      <c r="BP972" s="380"/>
      <c r="BQ972" s="380"/>
      <c r="BR972" s="380"/>
      <c r="BS972" s="380"/>
      <c r="BT972" s="380"/>
      <c r="BU972" s="380"/>
      <c r="BV972" s="380"/>
      <c r="BW972" s="380"/>
      <c r="BX972" s="380"/>
      <c r="BY972" s="380"/>
      <c r="BZ972" s="380"/>
      <c r="CA972" s="380"/>
      <c r="CB972" s="380"/>
      <c r="CC972" s="380"/>
      <c r="CD972" s="380"/>
      <c r="CE972" s="380"/>
      <c r="CF972" s="380"/>
      <c r="CG972" s="380"/>
      <c r="CH972" s="380"/>
      <c r="CI972" s="380"/>
      <c r="CJ972" s="380"/>
      <c r="CK972" s="380"/>
      <c r="CL972" s="380"/>
      <c r="CM972" s="380"/>
      <c r="CN972" s="380"/>
      <c r="CO972" s="1183"/>
      <c r="CP972" s="1183"/>
      <c r="CQ972" s="1183"/>
      <c r="CR972" s="1183"/>
      <c r="CS972" s="1183"/>
      <c r="CT972" s="1183"/>
      <c r="CU972" s="1183"/>
      <c r="CV972" s="1183"/>
      <c r="CW972" s="1183"/>
      <c r="CX972" s="1183"/>
      <c r="CY972" s="1183"/>
      <c r="CZ972" s="1183"/>
      <c r="DA972" s="1183"/>
      <c r="DB972" s="1183"/>
      <c r="DC972" s="1183"/>
      <c r="DD972" s="1183"/>
      <c r="DE972" s="1183"/>
      <c r="DF972" s="1183"/>
      <c r="DG972" s="1183"/>
      <c r="DH972" s="1183"/>
      <c r="DI972" s="1183"/>
      <c r="DJ972" s="1183"/>
      <c r="DK972" s="1183"/>
      <c r="DL972" s="1183"/>
      <c r="DM972" s="1183"/>
      <c r="DN972" s="1183"/>
      <c r="DO972" s="1183"/>
      <c r="DP972" s="1183"/>
      <c r="DQ972" s="1183"/>
    </row>
    <row r="973" spans="1:121" s="12" customFormat="1" ht="12" customHeight="1" x14ac:dyDescent="0.35">
      <c r="A973" s="84"/>
      <c r="B973" s="13"/>
      <c r="C973" s="13"/>
      <c r="D973" s="13"/>
      <c r="E973" s="13"/>
      <c r="F973" s="13"/>
      <c r="G973" s="1804"/>
      <c r="H973" s="1183"/>
      <c r="I973" s="1804"/>
      <c r="J973" s="1804"/>
      <c r="K973" s="141"/>
      <c r="L973" s="141"/>
      <c r="M973" s="141"/>
      <c r="N973" s="141"/>
      <c r="O973" s="141"/>
      <c r="P973" s="141"/>
      <c r="Q973" s="141"/>
      <c r="R973" s="31"/>
      <c r="S973" s="36"/>
      <c r="T973" s="376"/>
      <c r="U973" s="29"/>
      <c r="V973" s="1804"/>
      <c r="W973" s="1804"/>
      <c r="X973" s="1804"/>
      <c r="Y973" s="29"/>
      <c r="Z973" s="29"/>
      <c r="AA973" s="29"/>
      <c r="AB973" s="29"/>
      <c r="AC973" s="29"/>
      <c r="AD973" s="1804"/>
      <c r="AE973" s="1804"/>
      <c r="AF973" s="1183"/>
      <c r="AG973" s="380"/>
      <c r="AH973" s="380"/>
      <c r="AI973" s="380"/>
      <c r="AJ973" s="380"/>
      <c r="AK973" s="380"/>
      <c r="AL973" s="380"/>
      <c r="AM973" s="380"/>
      <c r="AN973" s="380"/>
      <c r="AO973" s="380"/>
      <c r="AP973" s="380"/>
      <c r="AQ973" s="380"/>
      <c r="AR973" s="1144"/>
      <c r="AS973" s="380"/>
      <c r="AT973" s="380"/>
      <c r="AU973" s="380"/>
      <c r="AV973" s="380"/>
      <c r="AW973" s="380"/>
      <c r="AX973" s="380"/>
      <c r="AY973" s="380"/>
      <c r="AZ973" s="380"/>
      <c r="BA973" s="380"/>
      <c r="BB973" s="380"/>
      <c r="BC973" s="380"/>
      <c r="BD973" s="380"/>
      <c r="BE973" s="380"/>
      <c r="BF973" s="380"/>
      <c r="BG973" s="380"/>
      <c r="BH973" s="380"/>
      <c r="BI973" s="380"/>
      <c r="BJ973" s="380"/>
      <c r="BK973" s="380"/>
      <c r="BL973" s="380"/>
      <c r="BM973" s="380"/>
      <c r="BN973" s="380"/>
      <c r="BO973" s="380"/>
      <c r="BP973" s="380"/>
      <c r="BQ973" s="380"/>
      <c r="BR973" s="380"/>
      <c r="BS973" s="380"/>
      <c r="BT973" s="380"/>
      <c r="BU973" s="380"/>
      <c r="BV973" s="380"/>
      <c r="BW973" s="380"/>
      <c r="BX973" s="380"/>
      <c r="BY973" s="380"/>
      <c r="BZ973" s="380"/>
      <c r="CA973" s="380"/>
      <c r="CB973" s="380"/>
      <c r="CC973" s="380"/>
      <c r="CD973" s="380"/>
      <c r="CE973" s="380"/>
      <c r="CF973" s="380"/>
      <c r="CG973" s="380"/>
      <c r="CH973" s="380"/>
      <c r="CI973" s="380"/>
      <c r="CJ973" s="380"/>
      <c r="CK973" s="380"/>
      <c r="CL973" s="380"/>
      <c r="CM973" s="380"/>
      <c r="CN973" s="380"/>
      <c r="CO973" s="1183"/>
      <c r="CP973" s="1183"/>
      <c r="CQ973" s="1183"/>
      <c r="CR973" s="1183"/>
      <c r="CS973" s="1183"/>
      <c r="CT973" s="1183"/>
      <c r="CU973" s="1183"/>
      <c r="CV973" s="1183"/>
      <c r="CW973" s="1183"/>
      <c r="CX973" s="1183"/>
      <c r="CY973" s="1183"/>
      <c r="CZ973" s="1183"/>
      <c r="DA973" s="1183"/>
      <c r="DB973" s="1183"/>
      <c r="DC973" s="1183"/>
      <c r="DD973" s="1183"/>
      <c r="DE973" s="1183"/>
      <c r="DF973" s="1183"/>
      <c r="DG973" s="1183"/>
      <c r="DH973" s="1183"/>
      <c r="DI973" s="1183"/>
      <c r="DJ973" s="1183"/>
      <c r="DK973" s="1183"/>
      <c r="DL973" s="1183"/>
      <c r="DM973" s="1183"/>
      <c r="DN973" s="1183"/>
      <c r="DO973" s="1183"/>
      <c r="DP973" s="1183"/>
      <c r="DQ973" s="1183"/>
    </row>
    <row r="974" spans="1:121" s="12" customFormat="1" ht="12" customHeight="1" x14ac:dyDescent="0.35">
      <c r="A974" s="84"/>
      <c r="B974" s="13"/>
      <c r="C974" s="13"/>
      <c r="D974" s="13"/>
      <c r="E974" s="13"/>
      <c r="F974" s="13"/>
      <c r="G974" s="1804"/>
      <c r="H974" s="1183"/>
      <c r="I974" s="1804"/>
      <c r="J974" s="1804"/>
      <c r="K974" s="141"/>
      <c r="L974" s="141"/>
      <c r="M974" s="141"/>
      <c r="N974" s="141"/>
      <c r="O974" s="141"/>
      <c r="P974" s="141"/>
      <c r="Q974" s="141"/>
      <c r="R974" s="31"/>
      <c r="S974" s="36"/>
      <c r="T974" s="376"/>
      <c r="U974" s="29"/>
      <c r="V974" s="1804"/>
      <c r="W974" s="1804"/>
      <c r="X974" s="1804"/>
      <c r="Y974" s="29"/>
      <c r="Z974" s="29"/>
      <c r="AA974" s="29"/>
      <c r="AB974" s="29"/>
      <c r="AC974" s="29"/>
      <c r="AD974" s="1804"/>
      <c r="AE974" s="1804"/>
      <c r="AF974" s="1183"/>
      <c r="AG974" s="380"/>
      <c r="AH974" s="380"/>
      <c r="AI974" s="380"/>
      <c r="AJ974" s="380"/>
      <c r="AK974" s="380"/>
      <c r="AL974" s="380"/>
      <c r="AM974" s="380"/>
      <c r="AN974" s="380"/>
      <c r="AO974" s="380"/>
      <c r="AP974" s="380"/>
      <c r="AQ974" s="380"/>
      <c r="AR974" s="1144"/>
      <c r="AS974" s="380"/>
      <c r="AT974" s="380"/>
      <c r="AU974" s="380"/>
      <c r="AV974" s="380"/>
      <c r="AW974" s="380"/>
      <c r="AX974" s="380"/>
      <c r="AY974" s="380"/>
      <c r="AZ974" s="380"/>
      <c r="BA974" s="380"/>
      <c r="BB974" s="380"/>
      <c r="BC974" s="380"/>
      <c r="BD974" s="380"/>
      <c r="BE974" s="380"/>
      <c r="BF974" s="380"/>
      <c r="BG974" s="380"/>
      <c r="BH974" s="380"/>
      <c r="BI974" s="380"/>
      <c r="BJ974" s="380"/>
      <c r="BK974" s="380"/>
      <c r="BL974" s="380"/>
      <c r="BM974" s="380"/>
      <c r="BN974" s="380"/>
      <c r="BO974" s="380"/>
      <c r="BP974" s="380"/>
      <c r="BQ974" s="380"/>
      <c r="BR974" s="380"/>
      <c r="BS974" s="380"/>
      <c r="BT974" s="380"/>
      <c r="BU974" s="380"/>
      <c r="BV974" s="380"/>
      <c r="BW974" s="380"/>
      <c r="BX974" s="380"/>
      <c r="BY974" s="380"/>
      <c r="BZ974" s="380"/>
      <c r="CA974" s="380"/>
      <c r="CB974" s="380"/>
      <c r="CC974" s="380"/>
      <c r="CD974" s="380"/>
      <c r="CE974" s="380"/>
      <c r="CF974" s="380"/>
      <c r="CG974" s="380"/>
      <c r="CH974" s="380"/>
      <c r="CI974" s="380"/>
      <c r="CJ974" s="380"/>
      <c r="CK974" s="380"/>
      <c r="CL974" s="380"/>
      <c r="CM974" s="380"/>
      <c r="CN974" s="380"/>
      <c r="CO974" s="1183"/>
      <c r="CP974" s="1183"/>
      <c r="CQ974" s="1183"/>
      <c r="CR974" s="1183"/>
      <c r="CS974" s="1183"/>
      <c r="CT974" s="1183"/>
      <c r="CU974" s="1183"/>
      <c r="CV974" s="1183"/>
      <c r="CW974" s="1183"/>
      <c r="CX974" s="1183"/>
      <c r="CY974" s="1183"/>
      <c r="CZ974" s="1183"/>
      <c r="DA974" s="1183"/>
      <c r="DB974" s="1183"/>
      <c r="DC974" s="1183"/>
      <c r="DD974" s="1183"/>
      <c r="DE974" s="1183"/>
      <c r="DF974" s="1183"/>
      <c r="DG974" s="1183"/>
      <c r="DH974" s="1183"/>
      <c r="DI974" s="1183"/>
      <c r="DJ974" s="1183"/>
      <c r="DK974" s="1183"/>
      <c r="DL974" s="1183"/>
      <c r="DM974" s="1183"/>
      <c r="DN974" s="1183"/>
      <c r="DO974" s="1183"/>
      <c r="DP974" s="1183"/>
      <c r="DQ974" s="1183"/>
    </row>
    <row r="975" spans="1:121" s="12" customFormat="1" ht="12" customHeight="1" x14ac:dyDescent="0.35">
      <c r="A975" s="84"/>
      <c r="B975" s="13"/>
      <c r="C975" s="13"/>
      <c r="D975" s="13"/>
      <c r="E975" s="13"/>
      <c r="F975" s="13"/>
      <c r="G975" s="1804"/>
      <c r="H975" s="1183"/>
      <c r="I975" s="1804"/>
      <c r="J975" s="1804"/>
      <c r="K975" s="141"/>
      <c r="L975" s="141"/>
      <c r="M975" s="141"/>
      <c r="N975" s="141"/>
      <c r="O975" s="141"/>
      <c r="P975" s="141"/>
      <c r="Q975" s="141"/>
      <c r="R975" s="31"/>
      <c r="S975" s="36"/>
      <c r="T975" s="376"/>
      <c r="U975" s="29"/>
      <c r="V975" s="1804"/>
      <c r="W975" s="1804"/>
      <c r="X975" s="1804"/>
      <c r="Y975" s="29"/>
      <c r="Z975" s="29"/>
      <c r="AA975" s="29"/>
      <c r="AB975" s="29"/>
      <c r="AC975" s="29"/>
      <c r="AD975" s="1804"/>
      <c r="AE975" s="1804"/>
      <c r="AF975" s="1183"/>
      <c r="AG975" s="380"/>
      <c r="AH975" s="380"/>
      <c r="AI975" s="380"/>
      <c r="AJ975" s="380"/>
      <c r="AK975" s="380"/>
      <c r="AL975" s="380"/>
      <c r="AM975" s="380"/>
      <c r="AN975" s="380"/>
      <c r="AO975" s="380"/>
      <c r="AP975" s="380">
        <f>IF(OR(AP$990=0,AR$983=0),0,1)</f>
        <v>0</v>
      </c>
      <c r="AQ975" s="380"/>
      <c r="AR975" s="1144"/>
      <c r="AS975" s="380"/>
      <c r="AT975" s="380"/>
      <c r="AU975" s="380"/>
      <c r="AV975" s="380"/>
      <c r="AW975" s="380"/>
      <c r="AX975" s="380"/>
      <c r="AY975" s="380"/>
      <c r="AZ975" s="380"/>
      <c r="BA975" s="380"/>
      <c r="BB975" s="380"/>
      <c r="BC975" s="380"/>
      <c r="BD975" s="380"/>
      <c r="BE975" s="380"/>
      <c r="BF975" s="380"/>
      <c r="BG975" s="380"/>
      <c r="BH975" s="380"/>
      <c r="BI975" s="380"/>
      <c r="BJ975" s="380"/>
      <c r="BK975" s="380"/>
      <c r="BL975" s="380"/>
      <c r="BM975" s="380"/>
      <c r="BN975" s="380"/>
      <c r="BO975" s="380"/>
      <c r="BP975" s="380"/>
      <c r="BQ975" s="380"/>
      <c r="BR975" s="380"/>
      <c r="BS975" s="380"/>
      <c r="BT975" s="380"/>
      <c r="BU975" s="380"/>
      <c r="BV975" s="380"/>
      <c r="BW975" s="380"/>
      <c r="BX975" s="380"/>
      <c r="BY975" s="380"/>
      <c r="BZ975" s="380"/>
      <c r="CA975" s="380"/>
      <c r="CB975" s="380"/>
      <c r="CC975" s="380"/>
      <c r="CD975" s="380"/>
      <c r="CE975" s="380"/>
      <c r="CF975" s="380"/>
      <c r="CG975" s="380"/>
      <c r="CH975" s="380"/>
      <c r="CI975" s="380"/>
      <c r="CJ975" s="380"/>
      <c r="CK975" s="380"/>
      <c r="CL975" s="380"/>
      <c r="CM975" s="380"/>
      <c r="CN975" s="380"/>
      <c r="CO975" s="1183"/>
      <c r="CP975" s="1183"/>
      <c r="CQ975" s="1183"/>
      <c r="CR975" s="1183"/>
      <c r="CS975" s="1183"/>
      <c r="CT975" s="1183"/>
      <c r="CU975" s="1183"/>
      <c r="CV975" s="1183"/>
      <c r="CW975" s="1183"/>
      <c r="CX975" s="1183"/>
      <c r="CY975" s="1183"/>
      <c r="CZ975" s="1183"/>
      <c r="DA975" s="1183"/>
      <c r="DB975" s="1183"/>
      <c r="DC975" s="1183"/>
      <c r="DD975" s="1183"/>
      <c r="DE975" s="1183"/>
      <c r="DF975" s="1183"/>
      <c r="DG975" s="1183"/>
      <c r="DH975" s="1183"/>
      <c r="DI975" s="1183"/>
      <c r="DJ975" s="1183"/>
      <c r="DK975" s="1183"/>
      <c r="DL975" s="1183"/>
      <c r="DM975" s="1183"/>
      <c r="DN975" s="1183"/>
      <c r="DO975" s="1183"/>
      <c r="DP975" s="1183"/>
      <c r="DQ975" s="1183"/>
    </row>
    <row r="976" spans="1:121" s="12" customFormat="1" ht="12" customHeight="1" x14ac:dyDescent="0.35">
      <c r="A976" s="84"/>
      <c r="B976" s="13"/>
      <c r="C976" s="13"/>
      <c r="D976" s="13"/>
      <c r="E976" s="13"/>
      <c r="F976" s="13"/>
      <c r="G976" s="1804"/>
      <c r="H976" s="1183"/>
      <c r="I976" s="1804"/>
      <c r="J976" s="1804"/>
      <c r="K976" s="141"/>
      <c r="L976" s="141"/>
      <c r="M976" s="141"/>
      <c r="N976" s="141"/>
      <c r="O976" s="141"/>
      <c r="P976" s="141"/>
      <c r="Q976" s="141"/>
      <c r="R976" s="31"/>
      <c r="S976" s="36"/>
      <c r="T976" s="376"/>
      <c r="U976" s="29"/>
      <c r="V976" s="1804"/>
      <c r="W976" s="1804"/>
      <c r="X976" s="1804"/>
      <c r="Y976" s="29"/>
      <c r="Z976" s="29"/>
      <c r="AA976" s="29"/>
      <c r="AB976" s="29"/>
      <c r="AC976" s="29"/>
      <c r="AD976" s="1804"/>
      <c r="AE976" s="1804"/>
      <c r="AF976" s="1183"/>
      <c r="AG976" s="380"/>
      <c r="AH976" s="380"/>
      <c r="AI976" s="380"/>
      <c r="AJ976" s="380"/>
      <c r="AK976" s="380"/>
      <c r="AL976" s="380"/>
      <c r="AM976" s="380"/>
      <c r="AN976" s="380"/>
      <c r="AO976" s="380"/>
      <c r="AP976" s="380"/>
      <c r="AQ976" s="380"/>
      <c r="AR976" s="1144"/>
      <c r="AS976" s="380"/>
      <c r="AT976" s="380"/>
      <c r="AU976" s="380"/>
      <c r="AV976" s="380"/>
      <c r="AW976" s="380"/>
      <c r="AX976" s="380"/>
      <c r="AY976" s="380"/>
      <c r="AZ976" s="380"/>
      <c r="BA976" s="380"/>
      <c r="BB976" s="380"/>
      <c r="BC976" s="380"/>
      <c r="BD976" s="380"/>
      <c r="BE976" s="380"/>
      <c r="BF976" s="380"/>
      <c r="BG976" s="380"/>
      <c r="BH976" s="380"/>
      <c r="BI976" s="380"/>
      <c r="BJ976" s="380"/>
      <c r="BK976" s="380"/>
      <c r="BL976" s="380"/>
      <c r="BM976" s="380"/>
      <c r="BN976" s="380"/>
      <c r="BO976" s="380"/>
      <c r="BP976" s="380"/>
      <c r="BQ976" s="380"/>
      <c r="BR976" s="380"/>
      <c r="BS976" s="380"/>
      <c r="BT976" s="380"/>
      <c r="BU976" s="380"/>
      <c r="BV976" s="380"/>
      <c r="BW976" s="380"/>
      <c r="BX976" s="380"/>
      <c r="BY976" s="380"/>
      <c r="BZ976" s="380"/>
      <c r="CA976" s="380"/>
      <c r="CB976" s="380"/>
      <c r="CC976" s="380"/>
      <c r="CD976" s="380"/>
      <c r="CE976" s="380"/>
      <c r="CF976" s="380"/>
      <c r="CG976" s="380"/>
      <c r="CH976" s="380"/>
      <c r="CI976" s="380"/>
      <c r="CJ976" s="380"/>
      <c r="CK976" s="380"/>
      <c r="CL976" s="380"/>
      <c r="CM976" s="380"/>
      <c r="CN976" s="380"/>
      <c r="CO976" s="1183"/>
      <c r="CP976" s="1183"/>
      <c r="CQ976" s="1183"/>
      <c r="CR976" s="1183"/>
      <c r="CS976" s="1183"/>
      <c r="CT976" s="1183"/>
      <c r="CU976" s="1183"/>
      <c r="CV976" s="1183"/>
      <c r="CW976" s="1183"/>
      <c r="CX976" s="1183"/>
      <c r="CY976" s="1183"/>
      <c r="CZ976" s="1183"/>
      <c r="DA976" s="1183"/>
      <c r="DB976" s="1183"/>
      <c r="DC976" s="1183"/>
      <c r="DD976" s="1183"/>
      <c r="DE976" s="1183"/>
      <c r="DF976" s="1183"/>
      <c r="DG976" s="1183"/>
      <c r="DH976" s="1183"/>
      <c r="DI976" s="1183"/>
      <c r="DJ976" s="1183"/>
      <c r="DK976" s="1183"/>
      <c r="DL976" s="1183"/>
      <c r="DM976" s="1183"/>
      <c r="DN976" s="1183"/>
      <c r="DO976" s="1183"/>
      <c r="DP976" s="1183"/>
      <c r="DQ976" s="1183"/>
    </row>
    <row r="977" spans="1:121" s="12" customFormat="1" ht="12" customHeight="1" x14ac:dyDescent="0.35">
      <c r="A977" s="84"/>
      <c r="B977" s="13"/>
      <c r="C977" s="13"/>
      <c r="D977" s="13"/>
      <c r="E977" s="13"/>
      <c r="F977" s="13"/>
      <c r="G977" s="1804"/>
      <c r="H977" s="1183"/>
      <c r="I977" s="1804"/>
      <c r="J977" s="1804"/>
      <c r="K977" s="141"/>
      <c r="L977" s="141"/>
      <c r="M977" s="141"/>
      <c r="N977" s="141"/>
      <c r="O977" s="141"/>
      <c r="P977" s="141"/>
      <c r="Q977" s="141"/>
      <c r="R977" s="31"/>
      <c r="S977" s="36"/>
      <c r="T977" s="376"/>
      <c r="U977" s="29"/>
      <c r="V977" s="1804"/>
      <c r="W977" s="1804"/>
      <c r="X977" s="1804"/>
      <c r="Y977" s="29"/>
      <c r="Z977" s="29"/>
      <c r="AA977" s="29"/>
      <c r="AB977" s="29"/>
      <c r="AC977" s="29"/>
      <c r="AD977" s="1804"/>
      <c r="AE977" s="1804"/>
      <c r="AF977" s="1183"/>
      <c r="AG977" s="380"/>
      <c r="AH977" s="380"/>
      <c r="AI977" s="380"/>
      <c r="AJ977" s="380"/>
      <c r="AK977" s="380"/>
      <c r="AL977" s="380"/>
      <c r="AM977" s="380"/>
      <c r="AN977" s="380"/>
      <c r="AO977" s="380"/>
      <c r="AP977" s="380"/>
      <c r="AQ977" s="380"/>
      <c r="AR977" s="1144"/>
      <c r="AS977" s="380"/>
      <c r="AT977" s="380"/>
      <c r="AU977" s="380"/>
      <c r="AV977" s="380"/>
      <c r="AW977" s="380"/>
      <c r="AX977" s="380"/>
      <c r="AY977" s="380"/>
      <c r="AZ977" s="380"/>
      <c r="BA977" s="380"/>
      <c r="BB977" s="380"/>
      <c r="BC977" s="380"/>
      <c r="BD977" s="380"/>
      <c r="BE977" s="380"/>
      <c r="BF977" s="380"/>
      <c r="BG977" s="380"/>
      <c r="BH977" s="380"/>
      <c r="BI977" s="380"/>
      <c r="BJ977" s="380"/>
      <c r="BK977" s="380"/>
      <c r="BL977" s="380"/>
      <c r="BM977" s="380"/>
      <c r="BN977" s="380"/>
      <c r="BO977" s="380"/>
      <c r="BP977" s="380"/>
      <c r="BQ977" s="380"/>
      <c r="BR977" s="380"/>
      <c r="BS977" s="380"/>
      <c r="BT977" s="380"/>
      <c r="BU977" s="380"/>
      <c r="BV977" s="380"/>
      <c r="BW977" s="380"/>
      <c r="BX977" s="380"/>
      <c r="BY977" s="380"/>
      <c r="BZ977" s="380"/>
      <c r="CA977" s="380"/>
      <c r="CB977" s="380"/>
      <c r="CC977" s="380"/>
      <c r="CD977" s="380"/>
      <c r="CE977" s="380"/>
      <c r="CF977" s="380"/>
      <c r="CG977" s="380"/>
      <c r="CH977" s="380"/>
      <c r="CI977" s="380"/>
      <c r="CJ977" s="380"/>
      <c r="CK977" s="380"/>
      <c r="CL977" s="380"/>
      <c r="CM977" s="380"/>
      <c r="CN977" s="380"/>
      <c r="CO977" s="1183"/>
      <c r="CP977" s="1183"/>
      <c r="CQ977" s="1183"/>
      <c r="CR977" s="1183"/>
      <c r="CS977" s="1183"/>
      <c r="CT977" s="1183"/>
      <c r="CU977" s="1183"/>
      <c r="CV977" s="1183"/>
      <c r="CW977" s="1183"/>
      <c r="CX977" s="1183"/>
      <c r="CY977" s="1183"/>
      <c r="CZ977" s="1183"/>
      <c r="DA977" s="1183"/>
      <c r="DB977" s="1183"/>
      <c r="DC977" s="1183"/>
      <c r="DD977" s="1183"/>
      <c r="DE977" s="1183"/>
      <c r="DF977" s="1183"/>
      <c r="DG977" s="1183"/>
      <c r="DH977" s="1183"/>
      <c r="DI977" s="1183"/>
      <c r="DJ977" s="1183"/>
      <c r="DK977" s="1183"/>
      <c r="DL977" s="1183"/>
      <c r="DM977" s="1183"/>
      <c r="DN977" s="1183"/>
      <c r="DO977" s="1183"/>
      <c r="DP977" s="1183"/>
      <c r="DQ977" s="1183"/>
    </row>
    <row r="978" spans="1:121" s="12" customFormat="1" ht="12" customHeight="1" x14ac:dyDescent="0.35">
      <c r="A978" s="84"/>
      <c r="B978" s="13"/>
      <c r="C978" s="13"/>
      <c r="D978" s="13"/>
      <c r="E978" s="13"/>
      <c r="F978" s="13"/>
      <c r="G978" s="1804"/>
      <c r="H978" s="1183"/>
      <c r="I978" s="1804"/>
      <c r="J978" s="1804"/>
      <c r="K978" s="141"/>
      <c r="L978" s="141"/>
      <c r="M978" s="141"/>
      <c r="N978" s="141"/>
      <c r="O978" s="141"/>
      <c r="P978" s="141"/>
      <c r="Q978" s="141"/>
      <c r="R978" s="31"/>
      <c r="S978" s="36"/>
      <c r="T978" s="376"/>
      <c r="U978" s="29"/>
      <c r="V978" s="1804"/>
      <c r="W978" s="1804"/>
      <c r="X978" s="1804"/>
      <c r="Y978" s="29"/>
      <c r="Z978" s="29"/>
      <c r="AA978" s="29"/>
      <c r="AB978" s="29"/>
      <c r="AC978" s="29"/>
      <c r="AD978" s="1804"/>
      <c r="AE978" s="1804"/>
      <c r="AF978" s="1183"/>
      <c r="AG978" s="380"/>
      <c r="AH978" s="380"/>
      <c r="AI978" s="380"/>
      <c r="AJ978" s="380"/>
      <c r="AK978" s="380"/>
      <c r="AL978" s="380"/>
      <c r="AM978" s="380"/>
      <c r="AN978" s="380"/>
      <c r="AO978" s="380"/>
      <c r="AP978" s="380"/>
      <c r="AQ978" s="380"/>
      <c r="AR978" s="1144"/>
      <c r="AS978" s="380"/>
      <c r="AT978" s="380"/>
      <c r="AU978" s="380">
        <f>AU987</f>
        <v>0</v>
      </c>
      <c r="AV978" s="380"/>
      <c r="AW978" s="380"/>
      <c r="AX978" s="380"/>
      <c r="AY978" s="380"/>
      <c r="AZ978" s="380"/>
      <c r="BA978" s="380"/>
      <c r="BB978" s="380"/>
      <c r="BC978" s="380"/>
      <c r="BD978" s="380"/>
      <c r="BE978" s="380"/>
      <c r="BF978" s="380"/>
      <c r="BG978" s="380"/>
      <c r="BH978" s="380"/>
      <c r="BI978" s="380"/>
      <c r="BJ978" s="380"/>
      <c r="BK978" s="380"/>
      <c r="BL978" s="380"/>
      <c r="BM978" s="380"/>
      <c r="BN978" s="380"/>
      <c r="BO978" s="380"/>
      <c r="BP978" s="380"/>
      <c r="BQ978" s="380"/>
      <c r="BR978" s="380"/>
      <c r="BS978" s="380"/>
      <c r="BT978" s="380"/>
      <c r="BU978" s="380"/>
      <c r="BV978" s="380"/>
      <c r="BW978" s="380"/>
      <c r="BX978" s="380"/>
      <c r="BY978" s="380"/>
      <c r="BZ978" s="380"/>
      <c r="CA978" s="380"/>
      <c r="CB978" s="380"/>
      <c r="CC978" s="380"/>
      <c r="CD978" s="380"/>
      <c r="CE978" s="380"/>
      <c r="CF978" s="380"/>
      <c r="CG978" s="380"/>
      <c r="CH978" s="380"/>
      <c r="CI978" s="380"/>
      <c r="CJ978" s="380"/>
      <c r="CK978" s="380"/>
      <c r="CL978" s="380"/>
      <c r="CM978" s="380"/>
      <c r="CN978" s="380"/>
      <c r="CO978" s="1183"/>
      <c r="CP978" s="1183"/>
      <c r="CQ978" s="1183"/>
      <c r="CR978" s="1183"/>
      <c r="CS978" s="1183"/>
      <c r="CT978" s="1183"/>
      <c r="CU978" s="1183"/>
      <c r="CV978" s="1183"/>
      <c r="CW978" s="1183"/>
      <c r="CX978" s="1183"/>
      <c r="CY978" s="1183"/>
      <c r="CZ978" s="1183"/>
      <c r="DA978" s="1183"/>
      <c r="DB978" s="1183"/>
      <c r="DC978" s="1183"/>
      <c r="DD978" s="1183"/>
      <c r="DE978" s="1183"/>
      <c r="DF978" s="1183"/>
      <c r="DG978" s="1183"/>
      <c r="DH978" s="1183"/>
      <c r="DI978" s="1183"/>
      <c r="DJ978" s="1183"/>
      <c r="DK978" s="1183"/>
      <c r="DL978" s="1183"/>
      <c r="DM978" s="1183"/>
      <c r="DN978" s="1183"/>
      <c r="DO978" s="1183"/>
      <c r="DP978" s="1183"/>
      <c r="DQ978" s="1183"/>
    </row>
    <row r="979" spans="1:121" s="12" customFormat="1" ht="12" customHeight="1" x14ac:dyDescent="0.35">
      <c r="A979" s="84"/>
      <c r="B979" s="13"/>
      <c r="C979" s="13"/>
      <c r="D979" s="13"/>
      <c r="E979" s="13"/>
      <c r="F979" s="13"/>
      <c r="G979" s="1804"/>
      <c r="H979" s="1183"/>
      <c r="I979" s="1804"/>
      <c r="J979" s="1804"/>
      <c r="K979" s="141"/>
      <c r="L979" s="141"/>
      <c r="M979" s="141"/>
      <c r="N979" s="141"/>
      <c r="O979" s="141"/>
      <c r="P979" s="141"/>
      <c r="Q979" s="141"/>
      <c r="R979" s="31"/>
      <c r="S979" s="36"/>
      <c r="T979" s="376"/>
      <c r="U979" s="29"/>
      <c r="V979" s="1804"/>
      <c r="W979" s="1804"/>
      <c r="X979" s="1804"/>
      <c r="Y979" s="29"/>
      <c r="Z979" s="29"/>
      <c r="AA979" s="29"/>
      <c r="AB979" s="29"/>
      <c r="AC979" s="29"/>
      <c r="AD979" s="1804"/>
      <c r="AE979" s="1804"/>
      <c r="AF979" s="1183"/>
      <c r="AG979" s="380"/>
      <c r="AH979" s="380"/>
      <c r="AI979" s="380"/>
      <c r="AJ979" s="380"/>
      <c r="AK979" s="380"/>
      <c r="AL979" s="380"/>
      <c r="AM979" s="380"/>
      <c r="AN979" s="380"/>
      <c r="AO979" s="380"/>
      <c r="AP979" s="380"/>
      <c r="AQ979" s="380"/>
      <c r="AR979" s="1144"/>
      <c r="AS979" s="380"/>
      <c r="AT979" s="380"/>
      <c r="AU979" s="380"/>
      <c r="AV979" s="380"/>
      <c r="AW979" s="380"/>
      <c r="AX979" s="380"/>
      <c r="AY979" s="380"/>
      <c r="AZ979" s="380"/>
      <c r="BA979" s="380"/>
      <c r="BB979" s="380"/>
      <c r="BC979" s="380"/>
      <c r="BD979" s="380"/>
      <c r="BE979" s="380"/>
      <c r="BF979" s="380"/>
      <c r="BG979" s="380"/>
      <c r="BH979" s="380"/>
      <c r="BI979" s="380"/>
      <c r="BJ979" s="380"/>
      <c r="BK979" s="380"/>
      <c r="BL979" s="380"/>
      <c r="BM979" s="380"/>
      <c r="BN979" s="380"/>
      <c r="BO979" s="380"/>
      <c r="BP979" s="380"/>
      <c r="BQ979" s="380"/>
      <c r="BR979" s="380"/>
      <c r="BS979" s="380"/>
      <c r="BT979" s="380"/>
      <c r="BU979" s="380"/>
      <c r="BV979" s="380"/>
      <c r="BW979" s="380"/>
      <c r="BX979" s="380"/>
      <c r="BY979" s="380"/>
      <c r="BZ979" s="380"/>
      <c r="CA979" s="380"/>
      <c r="CB979" s="380"/>
      <c r="CC979" s="380"/>
      <c r="CD979" s="380"/>
      <c r="CE979" s="380"/>
      <c r="CF979" s="380"/>
      <c r="CG979" s="380"/>
      <c r="CH979" s="380"/>
      <c r="CI979" s="380"/>
      <c r="CJ979" s="380"/>
      <c r="CK979" s="380"/>
      <c r="CL979" s="380"/>
      <c r="CM979" s="380"/>
      <c r="CN979" s="380"/>
      <c r="CO979" s="1183"/>
      <c r="CP979" s="1183"/>
      <c r="CQ979" s="1183"/>
      <c r="CR979" s="1183"/>
      <c r="CS979" s="1183"/>
      <c r="CT979" s="1183"/>
      <c r="CU979" s="1183"/>
      <c r="CV979" s="1183"/>
      <c r="CW979" s="1183"/>
      <c r="CX979" s="1183"/>
      <c r="CY979" s="1183"/>
      <c r="CZ979" s="1183"/>
      <c r="DA979" s="1183"/>
      <c r="DB979" s="1183"/>
      <c r="DC979" s="1183"/>
      <c r="DD979" s="1183"/>
      <c r="DE979" s="1183"/>
      <c r="DF979" s="1183"/>
      <c r="DG979" s="1183"/>
      <c r="DH979" s="1183"/>
      <c r="DI979" s="1183"/>
      <c r="DJ979" s="1183"/>
      <c r="DK979" s="1183"/>
      <c r="DL979" s="1183"/>
      <c r="DM979" s="1183"/>
      <c r="DN979" s="1183"/>
      <c r="DO979" s="1183"/>
      <c r="DP979" s="1183"/>
      <c r="DQ979" s="1183"/>
    </row>
    <row r="980" spans="1:121" s="12" customFormat="1" ht="12" customHeight="1" x14ac:dyDescent="0.35">
      <c r="A980" s="84"/>
      <c r="B980" s="13"/>
      <c r="C980" s="13"/>
      <c r="D980" s="13"/>
      <c r="E980" s="13"/>
      <c r="F980" s="13"/>
      <c r="G980" s="1804"/>
      <c r="H980" s="1183"/>
      <c r="I980" s="1804"/>
      <c r="J980" s="1804"/>
      <c r="K980" s="141"/>
      <c r="L980" s="141"/>
      <c r="M980" s="141"/>
      <c r="N980" s="141"/>
      <c r="O980" s="141"/>
      <c r="P980" s="141"/>
      <c r="Q980" s="141"/>
      <c r="R980" s="31"/>
      <c r="S980" s="36"/>
      <c r="T980" s="376"/>
      <c r="U980" s="29"/>
      <c r="V980" s="1804"/>
      <c r="W980" s="1804"/>
      <c r="X980" s="1804"/>
      <c r="Y980" s="29"/>
      <c r="Z980" s="29"/>
      <c r="AA980" s="29"/>
      <c r="AB980" s="29"/>
      <c r="AC980" s="29"/>
      <c r="AD980" s="1804"/>
      <c r="AE980" s="308">
        <f>NPV(0.15/12,AG915:EV915)</f>
        <v>0</v>
      </c>
      <c r="AF980" s="386"/>
      <c r="AG980" s="1144"/>
      <c r="AH980" s="1144"/>
      <c r="AI980" s="1144"/>
      <c r="AJ980" s="1144"/>
      <c r="AK980" s="1144"/>
      <c r="AL980" s="1144"/>
      <c r="AM980" s="1144"/>
      <c r="AN980" s="1144"/>
      <c r="AO980" s="380"/>
      <c r="AP980" s="1144"/>
      <c r="AQ980" s="1144"/>
      <c r="AR980" s="1144"/>
      <c r="AS980" s="1144"/>
      <c r="AT980" s="154">
        <f>Financials!AH228</f>
        <v>0</v>
      </c>
      <c r="AU980" s="1144"/>
      <c r="AV980" s="1144"/>
      <c r="AW980" s="1144"/>
      <c r="AX980" s="1144"/>
      <c r="AY980" s="1144"/>
      <c r="AZ980" s="1146">
        <f>AX820-AY820</f>
        <v>0</v>
      </c>
      <c r="BA980" s="1144"/>
      <c r="BB980" s="1144"/>
      <c r="BC980" s="1144"/>
      <c r="BD980" s="1144"/>
      <c r="BE980" s="1144"/>
      <c r="BF980" s="1144"/>
      <c r="BG980" s="1144"/>
      <c r="BH980" s="1144"/>
      <c r="BI980" s="1144"/>
      <c r="BJ980" s="1144"/>
      <c r="BK980" s="1144"/>
      <c r="BL980" s="1144"/>
      <c r="BM980" s="1144"/>
      <c r="BN980" s="1144"/>
      <c r="BO980" s="1144"/>
      <c r="BP980" s="1144"/>
      <c r="BQ980" s="1144"/>
      <c r="BR980" s="1144"/>
      <c r="BS980" s="1144"/>
      <c r="BT980" s="1144"/>
      <c r="BU980" s="1144"/>
      <c r="BV980" s="1144"/>
      <c r="BW980" s="1144"/>
      <c r="BX980" s="1144"/>
      <c r="BY980" s="1144"/>
      <c r="BZ980" s="1144"/>
      <c r="CA980" s="1144"/>
      <c r="CB980" s="1144"/>
      <c r="CC980" s="1144"/>
      <c r="CD980" s="1144"/>
      <c r="CE980" s="1144"/>
      <c r="CF980" s="1144"/>
      <c r="CG980" s="1144"/>
      <c r="CH980" s="1144"/>
      <c r="CI980" s="1144"/>
      <c r="CJ980" s="1144"/>
      <c r="CK980" s="1144"/>
      <c r="CL980" s="1144"/>
      <c r="CM980" s="1144"/>
      <c r="CN980" s="1144"/>
      <c r="CO980" s="1183"/>
      <c r="CP980" s="1183"/>
      <c r="CQ980" s="1183"/>
      <c r="CR980" s="1183"/>
      <c r="CS980" s="1183"/>
      <c r="CT980" s="1183"/>
      <c r="CU980" s="1183"/>
      <c r="CV980" s="1183"/>
      <c r="CW980" s="1183"/>
      <c r="CX980" s="1183"/>
      <c r="CY980" s="1183"/>
      <c r="CZ980" s="1183"/>
      <c r="DA980" s="1183"/>
      <c r="DB980" s="1183"/>
      <c r="DC980" s="1183"/>
      <c r="DD980" s="1183"/>
      <c r="DE980" s="1183"/>
      <c r="DF980" s="1183"/>
      <c r="DG980" s="1183"/>
      <c r="DH980" s="1183"/>
      <c r="DI980" s="1183"/>
      <c r="DJ980" s="1183"/>
      <c r="DK980" s="1183"/>
      <c r="DL980" s="1183"/>
      <c r="DM980" s="1183"/>
      <c r="DN980" s="1183"/>
      <c r="DO980" s="1183"/>
      <c r="DP980" s="1183"/>
      <c r="DQ980" s="1183"/>
    </row>
    <row r="981" spans="1:121" s="12" customFormat="1" ht="12" customHeight="1" x14ac:dyDescent="0.35">
      <c r="A981" s="84"/>
      <c r="B981" s="13"/>
      <c r="C981" s="13"/>
      <c r="D981" s="13"/>
      <c r="E981" s="13"/>
      <c r="F981" s="13"/>
      <c r="G981" s="1804"/>
      <c r="H981" s="1183"/>
      <c r="I981" s="1804"/>
      <c r="J981" s="1804"/>
      <c r="K981" s="141"/>
      <c r="L981" s="141"/>
      <c r="M981" s="141"/>
      <c r="N981" s="141"/>
      <c r="O981" s="141"/>
      <c r="P981" s="141"/>
      <c r="Q981" s="141"/>
      <c r="R981" s="31">
        <f>IF(Input!D$298=L1049,Input!D$297,0)</f>
        <v>0</v>
      </c>
      <c r="S981" s="36">
        <f>Q1049</f>
        <v>0</v>
      </c>
      <c r="T981" s="376"/>
      <c r="U981" s="29"/>
      <c r="V981" s="1804"/>
      <c r="W981" s="1804"/>
      <c r="X981" s="1804"/>
      <c r="Y981" s="29"/>
      <c r="Z981" s="29"/>
      <c r="AA981" s="29"/>
      <c r="AB981" s="29"/>
      <c r="AC981" s="29"/>
      <c r="AD981" s="1804"/>
      <c r="AE981" s="308">
        <f>NPV(0.15/12,AG915:CS915)</f>
        <v>0</v>
      </c>
      <c r="AF981" s="386"/>
      <c r="AG981" s="376"/>
      <c r="AH981" s="376"/>
      <c r="AI981" s="376"/>
      <c r="AJ981" s="376"/>
      <c r="AK981" s="376"/>
      <c r="AL981" s="376"/>
      <c r="AM981" s="376"/>
      <c r="AN981" s="376"/>
      <c r="AO981" s="380"/>
      <c r="AP981" s="376"/>
      <c r="AQ981" s="376"/>
      <c r="AR981" s="376"/>
      <c r="AS981" s="376"/>
      <c r="AT981" s="376"/>
      <c r="AU981" s="376"/>
      <c r="AV981" s="376"/>
      <c r="AW981" s="376"/>
      <c r="AX981" s="376"/>
      <c r="AY981" s="376"/>
      <c r="AZ981" s="376"/>
      <c r="BA981" s="376"/>
      <c r="BB981" s="376"/>
      <c r="BC981" s="376"/>
      <c r="BD981" s="376"/>
      <c r="BE981" s="376"/>
      <c r="BF981" s="376"/>
      <c r="BG981" s="376"/>
      <c r="BH981" s="376"/>
      <c r="BI981" s="376"/>
      <c r="BJ981" s="376"/>
      <c r="BK981" s="376"/>
      <c r="BL981" s="376"/>
      <c r="BM981" s="376"/>
      <c r="BN981" s="376"/>
      <c r="BO981" s="376"/>
      <c r="BP981" s="376"/>
      <c r="BQ981" s="376"/>
      <c r="BR981" s="376"/>
      <c r="BS981" s="376"/>
      <c r="BT981" s="376"/>
      <c r="BU981" s="376"/>
      <c r="BV981" s="376"/>
      <c r="BW981" s="376"/>
      <c r="BX981" s="376"/>
      <c r="BY981" s="376"/>
      <c r="BZ981" s="376"/>
      <c r="CA981" s="376"/>
      <c r="CB981" s="376"/>
      <c r="CC981" s="376"/>
      <c r="CD981" s="376"/>
      <c r="CE981" s="376"/>
      <c r="CF981" s="376"/>
      <c r="CG981" s="376"/>
      <c r="CH981" s="376"/>
      <c r="CI981" s="376"/>
      <c r="CJ981" s="376"/>
      <c r="CK981" s="376"/>
      <c r="CL981" s="376"/>
      <c r="CM981" s="376"/>
      <c r="CN981" s="376"/>
      <c r="CO981" s="1183"/>
      <c r="CP981" s="1183"/>
      <c r="CQ981" s="1183"/>
      <c r="CR981" s="1183"/>
      <c r="CS981" s="1183"/>
      <c r="CT981" s="1183"/>
      <c r="CU981" s="1183"/>
      <c r="CV981" s="1183"/>
      <c r="CW981" s="1183"/>
      <c r="CX981" s="1183"/>
      <c r="CY981" s="1183"/>
      <c r="CZ981" s="1183"/>
      <c r="DA981" s="1183"/>
      <c r="DB981" s="1183"/>
      <c r="DC981" s="1183"/>
      <c r="DD981" s="1183"/>
      <c r="DE981" s="1183"/>
      <c r="DF981" s="1183"/>
      <c r="DG981" s="1183"/>
      <c r="DH981" s="1183"/>
      <c r="DI981" s="1183"/>
      <c r="DJ981" s="1183"/>
      <c r="DK981" s="1183"/>
      <c r="DL981" s="1183"/>
      <c r="DM981" s="1183"/>
      <c r="DN981" s="1183"/>
      <c r="DO981" s="1183"/>
      <c r="DP981" s="1183"/>
      <c r="DQ981" s="1183"/>
    </row>
    <row r="982" spans="1:121" s="12" customFormat="1" ht="12" customHeight="1" x14ac:dyDescent="0.35">
      <c r="A982" s="84"/>
      <c r="B982" s="13"/>
      <c r="C982" s="13"/>
      <c r="D982" s="13"/>
      <c r="E982" s="13"/>
      <c r="F982" s="13"/>
      <c r="G982" s="1804"/>
      <c r="H982" s="1183"/>
      <c r="I982" s="1804"/>
      <c r="J982" s="1804"/>
      <c r="K982" s="139">
        <f>IF(Input!D$298=Calcs!L1045,1,IF(OR(Input!D$298&gt;Calcs!L1045,Input!D$298+Input!D$299-1&lt;Calcs!L1045),0,0))</f>
        <v>1</v>
      </c>
      <c r="L982" s="141"/>
      <c r="M982" s="141"/>
      <c r="N982" s="141"/>
      <c r="O982" s="141"/>
      <c r="P982" s="141"/>
      <c r="Q982" s="141"/>
      <c r="R982" s="141"/>
      <c r="S982" s="141"/>
      <c r="T982" s="1814"/>
      <c r="U982" s="1801"/>
      <c r="V982" s="1804"/>
      <c r="W982" s="1804"/>
      <c r="X982" s="1804"/>
      <c r="Y982" s="1801"/>
      <c r="Z982" s="1801"/>
      <c r="AA982" s="1801"/>
      <c r="AB982" s="1801"/>
      <c r="AC982" s="1801"/>
      <c r="AD982" s="1804"/>
      <c r="AE982" s="308">
        <f>NPV(0.15/12,BS915:CS915)</f>
        <v>0</v>
      </c>
      <c r="AF982" s="386"/>
      <c r="AG982" s="376"/>
      <c r="AH982" s="376"/>
      <c r="AI982" s="376"/>
      <c r="AJ982" s="376"/>
      <c r="AK982" s="376"/>
      <c r="AL982" s="376"/>
      <c r="AM982" s="376"/>
      <c r="AN982" s="376"/>
      <c r="AO982" s="380"/>
      <c r="AP982" s="376"/>
      <c r="AQ982" s="376"/>
      <c r="AR982" s="380" t="s">
        <v>505</v>
      </c>
      <c r="AS982" s="376"/>
      <c r="AT982" s="376"/>
      <c r="AU982" s="376"/>
      <c r="AV982" s="376"/>
      <c r="AW982" s="376"/>
      <c r="AX982" s="376"/>
      <c r="AY982" s="376"/>
      <c r="AZ982" s="380" t="s">
        <v>507</v>
      </c>
      <c r="BA982" s="376"/>
      <c r="BB982" s="376"/>
      <c r="BC982" s="376"/>
      <c r="BD982" s="376"/>
      <c r="BE982" s="376"/>
      <c r="BF982" s="376"/>
      <c r="BG982" s="380" t="s">
        <v>508</v>
      </c>
      <c r="BH982" s="376"/>
      <c r="BI982" s="376"/>
      <c r="BJ982" s="376"/>
      <c r="BK982" s="376"/>
      <c r="BL982" s="376"/>
      <c r="BM982" s="376"/>
      <c r="BN982" s="376"/>
      <c r="BO982" s="376"/>
      <c r="BP982" s="376"/>
      <c r="BQ982" s="376"/>
      <c r="BR982" s="376"/>
      <c r="BS982" s="376"/>
      <c r="BT982" s="376"/>
      <c r="BU982" s="376"/>
      <c r="BV982" s="376"/>
      <c r="BW982" s="376"/>
      <c r="BX982" s="376"/>
      <c r="BY982" s="376"/>
      <c r="BZ982" s="376"/>
      <c r="CA982" s="376"/>
      <c r="CB982" s="376"/>
      <c r="CC982" s="376"/>
      <c r="CD982" s="376"/>
      <c r="CE982" s="376"/>
      <c r="CF982" s="376"/>
      <c r="CG982" s="376"/>
      <c r="CH982" s="376"/>
      <c r="CI982" s="376"/>
      <c r="CJ982" s="376"/>
      <c r="CK982" s="376"/>
      <c r="CL982" s="376"/>
      <c r="CM982" s="376"/>
      <c r="CN982" s="376"/>
      <c r="CO982" s="1183"/>
      <c r="CP982" s="1183"/>
      <c r="CQ982" s="1183"/>
      <c r="CR982" s="1183"/>
      <c r="CS982" s="1183"/>
      <c r="CT982" s="1183"/>
      <c r="CU982" s="1183"/>
      <c r="CV982" s="1183"/>
      <c r="CW982" s="1183"/>
      <c r="CX982" s="1183"/>
      <c r="CY982" s="1183"/>
      <c r="CZ982" s="1183"/>
      <c r="DA982" s="1183"/>
      <c r="DB982" s="1183"/>
      <c r="DC982" s="1183"/>
      <c r="DD982" s="1183"/>
      <c r="DE982" s="1183"/>
      <c r="DF982" s="1183"/>
      <c r="DG982" s="1183"/>
      <c r="DH982" s="1183"/>
      <c r="DI982" s="1183"/>
      <c r="DJ982" s="1183"/>
      <c r="DK982" s="1183"/>
      <c r="DL982" s="1183"/>
      <c r="DM982" s="1183"/>
      <c r="DN982" s="1183"/>
      <c r="DO982" s="1183"/>
      <c r="DP982" s="1183"/>
      <c r="DQ982" s="1183"/>
    </row>
    <row r="983" spans="1:121" s="12" customFormat="1" ht="12" customHeight="1" x14ac:dyDescent="0.35">
      <c r="A983" s="84"/>
      <c r="B983" s="13"/>
      <c r="C983" s="13"/>
      <c r="D983" s="13"/>
      <c r="E983" s="13"/>
      <c r="F983" s="13"/>
      <c r="G983" s="1804"/>
      <c r="H983" s="1183"/>
      <c r="I983" s="1804"/>
      <c r="J983" s="1804"/>
      <c r="K983" s="139">
        <f>IF(Input!D$298=Calcs!L1046,1,IF(OR(Input!D$298&gt;Calcs!L1046,Input!D$298+Input!D$299-1&lt;Calcs!L1046),0,K982+1))</f>
        <v>1</v>
      </c>
      <c r="L983" s="381"/>
      <c r="M983" s="381"/>
      <c r="N983" s="1155">
        <f>IF(AND(COUNTBLANK(Input!D$297:D$300)=0,Input!E294&gt;0),Input!$D$297,0)</f>
        <v>0</v>
      </c>
      <c r="O983" s="381"/>
      <c r="P983" s="381"/>
      <c r="Q983" s="381"/>
      <c r="R983" s="141"/>
      <c r="S983" s="141"/>
      <c r="T983" s="1814"/>
      <c r="U983" s="1814"/>
      <c r="V983" s="1804"/>
      <c r="W983" s="1804"/>
      <c r="X983" s="1804"/>
      <c r="Y983" s="1801"/>
      <c r="Z983" s="1801"/>
      <c r="AA983" s="1801"/>
      <c r="AB983" s="1801"/>
      <c r="AC983" s="1801"/>
      <c r="AD983" s="1804"/>
      <c r="AE983" s="1804"/>
      <c r="AF983" s="1183"/>
      <c r="AG983" s="158"/>
      <c r="AH983" s="158"/>
      <c r="AI983" s="158"/>
      <c r="AJ983" s="158">
        <f>IF(COUNTBLANK(Input!P295:P295)=0,Input!$D$297,0)</f>
        <v>0</v>
      </c>
      <c r="AK983" s="158"/>
      <c r="AL983" s="158"/>
      <c r="AM983" s="1144"/>
      <c r="AN983" s="376"/>
      <c r="AO983" s="380"/>
      <c r="AP983" s="158"/>
      <c r="AQ983" s="158"/>
      <c r="AR983" s="170">
        <f>IF(AND(Input!O296&gt;0,Input!H294="Yes",COUNTBLANK(Input!P297:S297)=0),Input!P297,0)</f>
        <v>0</v>
      </c>
      <c r="AS983" s="158"/>
      <c r="AT983" s="158"/>
      <c r="AU983" s="1144"/>
      <c r="AV983" s="376"/>
      <c r="AW983" s="158"/>
      <c r="AX983" s="158"/>
      <c r="AY983" s="158"/>
      <c r="AZ983" s="170">
        <f>IF(AND(Input!O296&gt;1,Input!H294="Yes",COUNTBLANK(Input!P298:S298)=0),Input!P298,0)</f>
        <v>0</v>
      </c>
      <c r="BA983" s="158"/>
      <c r="BB983" s="158"/>
      <c r="BC983" s="1144"/>
      <c r="BD983" s="376"/>
      <c r="BE983" s="376"/>
      <c r="BF983" s="158"/>
      <c r="BG983" s="158">
        <f>IF(AND(Input!O296&gt;2,Input!H294="Yes",COUNTBLANK(Input!P299:S299)=0),Input!P299,0)</f>
        <v>0</v>
      </c>
      <c r="BH983" s="158"/>
      <c r="BI983" s="158"/>
      <c r="BJ983" s="1144"/>
      <c r="BK983" s="376"/>
      <c r="BL983" s="376"/>
      <c r="BM983" s="376"/>
      <c r="BN983" s="376"/>
      <c r="BO983" s="376"/>
      <c r="BP983" s="376"/>
      <c r="BQ983" s="376"/>
      <c r="BR983" s="376"/>
      <c r="BS983" s="376"/>
      <c r="BT983" s="376"/>
      <c r="BU983" s="376"/>
      <c r="BV983" s="376"/>
      <c r="BW983" s="376"/>
      <c r="BX983" s="376"/>
      <c r="BY983" s="376"/>
      <c r="BZ983" s="376"/>
      <c r="CA983" s="376"/>
      <c r="CB983" s="376"/>
      <c r="CC983" s="376"/>
      <c r="CD983" s="376"/>
      <c r="CE983" s="376"/>
      <c r="CF983" s="376"/>
      <c r="CG983" s="376"/>
      <c r="CH983" s="376"/>
      <c r="CI983" s="376"/>
      <c r="CJ983" s="376"/>
      <c r="CK983" s="376"/>
      <c r="CL983" s="376"/>
      <c r="CM983" s="376"/>
      <c r="CN983" s="376"/>
      <c r="CO983" s="1183"/>
      <c r="CP983" s="1183"/>
      <c r="CQ983" s="1183"/>
      <c r="CR983" s="1183"/>
      <c r="CS983" s="1183"/>
      <c r="CT983" s="1183"/>
      <c r="CU983" s="1183"/>
      <c r="CV983" s="1183"/>
      <c r="CW983" s="1183"/>
      <c r="CX983" s="1183"/>
      <c r="CY983" s="1183"/>
      <c r="CZ983" s="1183"/>
      <c r="DA983" s="1183"/>
      <c r="DB983" s="1183"/>
      <c r="DC983" s="1183"/>
      <c r="DD983" s="1183"/>
      <c r="DE983" s="1183"/>
      <c r="DF983" s="1183"/>
      <c r="DG983" s="1183"/>
      <c r="DH983" s="1183"/>
      <c r="DI983" s="1183"/>
      <c r="DJ983" s="1183"/>
      <c r="DK983" s="1183"/>
      <c r="DL983" s="1183"/>
      <c r="DM983" s="1183"/>
      <c r="DN983" s="1183"/>
      <c r="DO983" s="1183"/>
      <c r="DP983" s="1183"/>
      <c r="DQ983" s="1183"/>
    </row>
    <row r="984" spans="1:121" s="12" customFormat="1" ht="12" customHeight="1" x14ac:dyDescent="0.3">
      <c r="A984" s="84"/>
      <c r="B984" s="13"/>
      <c r="C984" s="13"/>
      <c r="D984" s="13"/>
      <c r="E984" s="13"/>
      <c r="F984" s="13"/>
      <c r="G984" s="1804"/>
      <c r="H984" s="1183"/>
      <c r="I984" s="1804"/>
      <c r="J984" s="1804"/>
      <c r="K984" s="139">
        <f>IF(Input!D$298=Calcs!L1047,1,IF(OR(Input!D$298&gt;Calcs!L1047,Input!D$298+Input!D$299-1&lt;Calcs!L1047),0,K983+1))</f>
        <v>1</v>
      </c>
      <c r="L984" s="381"/>
      <c r="M984" s="208"/>
      <c r="N984" s="485">
        <f>Input!D298</f>
        <v>0</v>
      </c>
      <c r="O984" s="381"/>
      <c r="P984" s="382" t="e">
        <f>-PMT(N986/12,N985,N983,0)</f>
        <v>#NUM!</v>
      </c>
      <c r="Q984" s="381"/>
      <c r="R984" s="141"/>
      <c r="S984" s="141"/>
      <c r="T984" s="1814"/>
      <c r="U984" s="1814"/>
      <c r="V984" s="1804"/>
      <c r="W984" s="1804"/>
      <c r="X984" s="1804"/>
      <c r="Y984" s="1801"/>
      <c r="Z984" s="1801"/>
      <c r="AA984" s="1801"/>
      <c r="AB984" s="1801"/>
      <c r="AC984" s="1801"/>
      <c r="AD984" s="1804"/>
      <c r="AE984" s="1801"/>
      <c r="AF984" s="1814"/>
      <c r="AG984" s="144">
        <f>IF(Input!D$298=Calcs!AH1047,1,IF(OR(Input!D$298&gt;Calcs!AH1047,Input!D$298+Input!D$299-1&lt;Calcs!AH1047),0,AG983+1))</f>
        <v>0</v>
      </c>
      <c r="AH984" s="158"/>
      <c r="AI984" s="1147">
        <f>Input!E298</f>
        <v>0</v>
      </c>
      <c r="AJ984" s="1148">
        <f>IF(AI984&lt;&gt;0,VLOOKUP(AI984,Infrastructure!H10:I165,2,FALSE),0)</f>
        <v>0</v>
      </c>
      <c r="AK984" s="158"/>
      <c r="AL984" s="158"/>
      <c r="AM984" s="1144"/>
      <c r="AN984" s="376"/>
      <c r="AO984" s="380"/>
      <c r="AP984" s="1147">
        <f>Input!Q297</f>
        <v>0</v>
      </c>
      <c r="AQ984" s="1147">
        <f>Input!Q297</f>
        <v>0</v>
      </c>
      <c r="AR984" s="485">
        <f>Input!Q297</f>
        <v>0</v>
      </c>
      <c r="AS984" s="158"/>
      <c r="AT984" s="158"/>
      <c r="AU984" s="1144"/>
      <c r="AV984" s="376"/>
      <c r="AW984" s="144">
        <f>IF(Input!E$298=Calcs!AX1047,1,IF(OR(Input!E$298&gt;Calcs!AX1047,Input!E$298+Input!E$299-1&lt;Calcs!AX1047),0,AW983+1))</f>
        <v>1</v>
      </c>
      <c r="AX984" s="158"/>
      <c r="AY984" s="1815">
        <f>Input!Q298</f>
        <v>0</v>
      </c>
      <c r="AZ984" s="1815">
        <f>AY984</f>
        <v>0</v>
      </c>
      <c r="BA984" s="158"/>
      <c r="BB984" s="158"/>
      <c r="BC984" s="1144"/>
      <c r="BD984" s="376"/>
      <c r="BE984" s="376"/>
      <c r="BF984" s="1815">
        <f>Input!Q299</f>
        <v>0</v>
      </c>
      <c r="BG984" s="1148">
        <f>IF(BE984&lt;&gt;0,VLOOKUP(BE984,Infrastructure!$H$10:$I$165,2,FALSE),0)</f>
        <v>0</v>
      </c>
      <c r="BH984" s="158"/>
      <c r="BI984" s="158"/>
      <c r="BJ984" s="1144"/>
      <c r="BK984" s="376"/>
      <c r="BL984" s="376"/>
      <c r="BM984" s="376"/>
      <c r="BN984" s="376"/>
      <c r="BO984" s="376"/>
      <c r="BP984" s="376"/>
      <c r="BQ984" s="376"/>
      <c r="BR984" s="376"/>
      <c r="BS984" s="376"/>
      <c r="BT984" s="376"/>
      <c r="BU984" s="376"/>
      <c r="BV984" s="376"/>
      <c r="BW984" s="376"/>
      <c r="BX984" s="376"/>
      <c r="BY984" s="376"/>
      <c r="BZ984" s="376"/>
      <c r="CA984" s="376"/>
      <c r="CB984" s="376"/>
      <c r="CC984" s="376"/>
      <c r="CD984" s="376"/>
      <c r="CE984" s="376"/>
      <c r="CF984" s="376"/>
      <c r="CG984" s="376"/>
      <c r="CH984" s="376"/>
      <c r="CI984" s="376"/>
      <c r="CJ984" s="376"/>
      <c r="CK984" s="376"/>
      <c r="CL984" s="376"/>
      <c r="CM984" s="376"/>
      <c r="CN984" s="376"/>
      <c r="CO984" s="1183"/>
      <c r="CP984" s="1183"/>
      <c r="CQ984" s="1183"/>
      <c r="CR984" s="1183"/>
      <c r="CS984" s="1183"/>
      <c r="CT984" s="1183"/>
      <c r="CU984" s="1183"/>
      <c r="CV984" s="1183"/>
      <c r="CW984" s="1183"/>
      <c r="CX984" s="1183"/>
      <c r="CY984" s="1183"/>
      <c r="CZ984" s="1183"/>
      <c r="DA984" s="1183"/>
      <c r="DB984" s="1183"/>
      <c r="DC984" s="1183"/>
      <c r="DD984" s="1183"/>
      <c r="DE984" s="1183"/>
      <c r="DF984" s="1183"/>
      <c r="DG984" s="1183"/>
      <c r="DH984" s="1183"/>
      <c r="DI984" s="1183"/>
      <c r="DJ984" s="1183"/>
      <c r="DK984" s="1183"/>
      <c r="DL984" s="1183"/>
      <c r="DM984" s="1183"/>
      <c r="DN984" s="1183"/>
      <c r="DO984" s="1183"/>
      <c r="DP984" s="1183"/>
      <c r="DQ984" s="1183"/>
    </row>
    <row r="985" spans="1:121" s="12" customFormat="1" ht="12" customHeight="1" x14ac:dyDescent="0.35">
      <c r="A985" s="84"/>
      <c r="B985" s="13"/>
      <c r="C985" s="13"/>
      <c r="D985" s="13"/>
      <c r="E985" s="13"/>
      <c r="F985" s="13"/>
      <c r="G985" s="1804"/>
      <c r="H985" s="1183"/>
      <c r="I985" s="1804"/>
      <c r="J985" s="1804"/>
      <c r="K985" s="139">
        <f>IF(Input!D$298=Calcs!L1048,1,IF(OR(Input!D$298&gt;Calcs!L1048,Input!D$298+Input!D$299-1&lt;Calcs!L1048),0,K984+1))</f>
        <v>1</v>
      </c>
      <c r="L985" s="381"/>
      <c r="M985" s="215"/>
      <c r="N985" s="383">
        <f>Input!D299</f>
        <v>0</v>
      </c>
      <c r="O985" s="381"/>
      <c r="P985" s="381"/>
      <c r="Q985" s="381"/>
      <c r="R985" s="141"/>
      <c r="S985" s="141"/>
      <c r="T985" s="1814"/>
      <c r="U985" s="1814"/>
      <c r="V985" s="1804"/>
      <c r="W985" s="1804"/>
      <c r="X985" s="1804"/>
      <c r="Y985" s="1801"/>
      <c r="Z985" s="1801"/>
      <c r="AA985" s="1801"/>
      <c r="AB985" s="1801"/>
      <c r="AC985" s="1801"/>
      <c r="AD985" s="1801"/>
      <c r="AE985" s="1801"/>
      <c r="AF985" s="1814"/>
      <c r="AG985" s="144">
        <f>IF(Input!D$298=Calcs!AH1048,1,IF(OR(Input!D$298&gt;Calcs!AH1048,Input!D$298+Input!D$299-1&lt;Calcs!AH1048),0,AG984+1))</f>
        <v>0</v>
      </c>
      <c r="AH985" s="158"/>
      <c r="AI985" s="158"/>
      <c r="AJ985" s="1149">
        <f>Input!E299</f>
        <v>0</v>
      </c>
      <c r="AK985" s="158"/>
      <c r="AL985" s="158"/>
      <c r="AM985" s="1144"/>
      <c r="AN985" s="376"/>
      <c r="AO985" s="380"/>
      <c r="AP985" s="1147">
        <f>Input!R297</f>
        <v>0</v>
      </c>
      <c r="AQ985" s="1147">
        <f>Input!R297</f>
        <v>0</v>
      </c>
      <c r="AR985" s="1149"/>
      <c r="AS985" s="158"/>
      <c r="AT985" s="1147">
        <f>Input!R297</f>
        <v>0</v>
      </c>
      <c r="AU985" s="1144">
        <f>IF(AT985&lt;&gt;0,VLOOKUP(AT985,Infrastructure!H10:I165,2,FALSE),0)</f>
        <v>0</v>
      </c>
      <c r="AV985" s="376"/>
      <c r="AW985" s="144">
        <f>IF(Input!E$298=Calcs!AX1048,1,IF(OR(Input!E$298&gt;Calcs!AX1048,Input!E$298+Input!E$299-1&lt;Calcs!AX1048),0,AW984+1))</f>
        <v>1</v>
      </c>
      <c r="AX985" s="158"/>
      <c r="AY985" s="1815">
        <f>Input!R298</f>
        <v>0</v>
      </c>
      <c r="AZ985" s="1149"/>
      <c r="BA985" s="158"/>
      <c r="BB985" s="1147">
        <f>Input!R298</f>
        <v>0</v>
      </c>
      <c r="BC985" s="1144">
        <f>IF(BB985&lt;&gt;0,VLOOKUP(BB985,Infrastructure!$H$10:$I$165,2,FALSE),0)</f>
        <v>0</v>
      </c>
      <c r="BD985" s="376"/>
      <c r="BE985" s="376"/>
      <c r="BF985" s="1815">
        <f>Input!R299</f>
        <v>0</v>
      </c>
      <c r="BG985" s="1149">
        <f>BJ985-BG984</f>
        <v>0</v>
      </c>
      <c r="BH985" s="158"/>
      <c r="BI985" s="1147">
        <f>Input!R299</f>
        <v>0</v>
      </c>
      <c r="BJ985" s="1144">
        <f>IF(BI985&lt;&gt;0,VLOOKUP(BI985,Infrastructure!$H$10:$I$165,2,FALSE),0)</f>
        <v>0</v>
      </c>
      <c r="BK985" s="376"/>
      <c r="BL985" s="376"/>
      <c r="BM985" s="376"/>
      <c r="BN985" s="376"/>
      <c r="BO985" s="376"/>
      <c r="BP985" s="376"/>
      <c r="BQ985" s="376"/>
      <c r="BR985" s="376"/>
      <c r="BS985" s="376"/>
      <c r="BT985" s="376"/>
      <c r="BU985" s="376"/>
      <c r="BV985" s="376"/>
      <c r="BW985" s="376"/>
      <c r="BX985" s="376"/>
      <c r="BY985" s="376"/>
      <c r="BZ985" s="376"/>
      <c r="CA985" s="376"/>
      <c r="CB985" s="376"/>
      <c r="CC985" s="376"/>
      <c r="CD985" s="376"/>
      <c r="CE985" s="376"/>
      <c r="CF985" s="376"/>
      <c r="CG985" s="376"/>
      <c r="CH985" s="376"/>
      <c r="CI985" s="376"/>
      <c r="CJ985" s="376"/>
      <c r="CK985" s="376"/>
      <c r="CL985" s="376"/>
      <c r="CM985" s="376"/>
      <c r="CN985" s="376"/>
      <c r="CO985" s="1183"/>
      <c r="CP985" s="1183"/>
      <c r="CQ985" s="1183"/>
      <c r="CR985" s="1183"/>
      <c r="CS985" s="1183"/>
      <c r="CT985" s="1183"/>
      <c r="CU985" s="1183"/>
      <c r="CV985" s="1183"/>
      <c r="CW985" s="1183"/>
      <c r="CX985" s="1183"/>
      <c r="CY985" s="1183"/>
      <c r="CZ985" s="1183"/>
      <c r="DA985" s="1183"/>
      <c r="DB985" s="1183"/>
      <c r="DC985" s="1183"/>
      <c r="DD985" s="1183"/>
      <c r="DE985" s="1183"/>
      <c r="DF985" s="1183"/>
      <c r="DG985" s="1183"/>
      <c r="DH985" s="1183"/>
      <c r="DI985" s="1183"/>
      <c r="DJ985" s="1183"/>
      <c r="DK985" s="1183"/>
      <c r="DL985" s="1183"/>
      <c r="DM985" s="1183"/>
      <c r="DN985" s="1183"/>
      <c r="DO985" s="1183"/>
      <c r="DP985" s="1183"/>
      <c r="DQ985" s="1183"/>
    </row>
    <row r="986" spans="1:121" s="12" customFormat="1" ht="12" customHeight="1" x14ac:dyDescent="0.35">
      <c r="A986" s="84"/>
      <c r="B986" s="13"/>
      <c r="C986" s="13"/>
      <c r="D986" s="13"/>
      <c r="E986" s="13"/>
      <c r="F986" s="13"/>
      <c r="G986" s="1804"/>
      <c r="H986" s="1183"/>
      <c r="I986" s="1804"/>
      <c r="J986" s="1804"/>
      <c r="K986" s="139">
        <f>IF(Input!D$298=Calcs!L1049,1,IF(OR(Input!D$298&gt;Calcs!L1049,Input!D$298+Input!D$299-1&lt;Calcs!L1049),0,K985+1))</f>
        <v>1</v>
      </c>
      <c r="L986" s="141"/>
      <c r="M986" s="30"/>
      <c r="N986" s="211">
        <f>Input!D300</f>
        <v>0</v>
      </c>
      <c r="O986" s="30"/>
      <c r="P986" s="141"/>
      <c r="Q986" s="30"/>
      <c r="R986" s="141"/>
      <c r="S986" s="141"/>
      <c r="T986" s="1814"/>
      <c r="U986" s="1814"/>
      <c r="V986" s="1804"/>
      <c r="W986" s="1804"/>
      <c r="X986" s="1804"/>
      <c r="Y986" s="1801"/>
      <c r="Z986" s="1801"/>
      <c r="AA986" s="1801"/>
      <c r="AB986" s="1801"/>
      <c r="AC986" s="1801"/>
      <c r="AD986" s="1801"/>
      <c r="AE986" s="1801"/>
      <c r="AF986" s="1814"/>
      <c r="AG986" s="144">
        <f>IF(Input!D$298=Calcs!AH1049,1,IF(OR(Input!D$298&gt;Calcs!AH1049,Input!D$298+Input!D$299-1&lt;Calcs!AH1049),0,AG985+1))</f>
        <v>0</v>
      </c>
      <c r="AH986" s="158"/>
      <c r="AI986" s="158"/>
      <c r="AJ986" s="1150">
        <f>Input!E300</f>
        <v>0</v>
      </c>
      <c r="AK986" s="158"/>
      <c r="AL986" s="158"/>
      <c r="AM986" s="1144"/>
      <c r="AN986" s="376"/>
      <c r="AO986" s="380"/>
      <c r="AP986" s="158"/>
      <c r="AQ986" s="158"/>
      <c r="AR986" s="1150">
        <f>Input!S297</f>
        <v>0</v>
      </c>
      <c r="AS986" s="158"/>
      <c r="AT986" s="158"/>
      <c r="AU986" s="1151">
        <v>0</v>
      </c>
      <c r="AV986" s="376"/>
      <c r="AW986" s="144">
        <f>IF(Input!E$298=Calcs!AX1049,1,IF(OR(Input!E$298&gt;Calcs!AX1049,Input!E$298+Input!E$299-1&lt;Calcs!AX1049),0,AW985+1))</f>
        <v>1</v>
      </c>
      <c r="AX986" s="158"/>
      <c r="AY986" s="158"/>
      <c r="AZ986" s="1150">
        <f>Input!S298</f>
        <v>0</v>
      </c>
      <c r="BA986" s="158"/>
      <c r="BB986" s="158"/>
      <c r="BC986" s="1144"/>
      <c r="BD986" s="376"/>
      <c r="BE986" s="158"/>
      <c r="BF986" s="158"/>
      <c r="BG986" s="1150">
        <f>Input!S299</f>
        <v>0</v>
      </c>
      <c r="BH986" s="158"/>
      <c r="BI986" s="158"/>
      <c r="BJ986" s="1144"/>
      <c r="BK986" s="376"/>
      <c r="BL986" s="376"/>
      <c r="BM986" s="376"/>
      <c r="BN986" s="376"/>
      <c r="BO986" s="376"/>
      <c r="BP986" s="376"/>
      <c r="BQ986" s="376"/>
      <c r="BR986" s="376"/>
      <c r="BS986" s="376"/>
      <c r="BT986" s="376"/>
      <c r="BU986" s="376"/>
      <c r="BV986" s="376"/>
      <c r="BW986" s="376"/>
      <c r="BX986" s="376"/>
      <c r="BY986" s="376"/>
      <c r="BZ986" s="376"/>
      <c r="CA986" s="376"/>
      <c r="CB986" s="376"/>
      <c r="CC986" s="376"/>
      <c r="CD986" s="376"/>
      <c r="CE986" s="376"/>
      <c r="CF986" s="376"/>
      <c r="CG986" s="376"/>
      <c r="CH986" s="376"/>
      <c r="CI986" s="376"/>
      <c r="CJ986" s="376"/>
      <c r="CK986" s="376"/>
      <c r="CL986" s="376"/>
      <c r="CM986" s="376"/>
      <c r="CN986" s="376"/>
      <c r="CO986" s="1183"/>
      <c r="CP986" s="1183"/>
      <c r="CQ986" s="1183"/>
      <c r="CR986" s="1183"/>
      <c r="CS986" s="1183"/>
      <c r="CT986" s="1183"/>
      <c r="CU986" s="1183"/>
      <c r="CV986" s="1183"/>
      <c r="CW986" s="1183"/>
      <c r="CX986" s="1183"/>
      <c r="CY986" s="1183"/>
      <c r="CZ986" s="1183"/>
      <c r="DA986" s="1183"/>
      <c r="DB986" s="1183"/>
      <c r="DC986" s="1183"/>
      <c r="DD986" s="1183"/>
      <c r="DE986" s="1183"/>
      <c r="DF986" s="1183"/>
      <c r="DG986" s="1183"/>
      <c r="DH986" s="1183"/>
      <c r="DI986" s="1183"/>
      <c r="DJ986" s="1183"/>
      <c r="DK986" s="1183"/>
      <c r="DL986" s="1183"/>
      <c r="DM986" s="1183"/>
      <c r="DN986" s="1183"/>
      <c r="DO986" s="1183"/>
      <c r="DP986" s="1183"/>
      <c r="DQ986" s="1183"/>
    </row>
    <row r="987" spans="1:121" s="12" customFormat="1" ht="12" customHeight="1" thickBot="1" x14ac:dyDescent="0.4">
      <c r="A987" s="84"/>
      <c r="B987" s="13"/>
      <c r="C987" s="13"/>
      <c r="D987" s="13"/>
      <c r="E987" s="13"/>
      <c r="F987" s="13"/>
      <c r="G987" s="1804"/>
      <c r="H987" s="1183"/>
      <c r="I987" s="1804"/>
      <c r="J987" s="1804"/>
      <c r="K987" s="139">
        <f>IF(Input!D$298=Calcs!L1050,1,IF(OR(Input!D$298&gt;Calcs!L1050,Input!D$298+Input!D$299-1&lt;Calcs!L1050),0,K986+1))</f>
        <v>1</v>
      </c>
      <c r="L987" s="136"/>
      <c r="M987" s="384" t="s">
        <v>562</v>
      </c>
      <c r="N987" s="384" t="s">
        <v>563</v>
      </c>
      <c r="O987" s="384" t="s">
        <v>188</v>
      </c>
      <c r="P987" s="384" t="s">
        <v>493</v>
      </c>
      <c r="Q987" s="384" t="s">
        <v>138</v>
      </c>
      <c r="R987" s="204">
        <f>IF(Input!D$298=AH987,Input!D$297,0)</f>
        <v>0</v>
      </c>
      <c r="S987" s="36" t="str">
        <f>AM987</f>
        <v>End</v>
      </c>
      <c r="T987" s="1814"/>
      <c r="U987" s="1814"/>
      <c r="V987" s="1804"/>
      <c r="W987" s="1804"/>
      <c r="X987" s="1804"/>
      <c r="Y987" s="1801"/>
      <c r="Z987" s="1801"/>
      <c r="AA987" s="1801"/>
      <c r="AB987" s="1801"/>
      <c r="AC987" s="1801"/>
      <c r="AD987" s="1804"/>
      <c r="AE987" s="1801"/>
      <c r="AF987" s="1814"/>
      <c r="AG987" s="144">
        <f>IF(Input!D$298=61,1,IF(OR(Input!D$298&gt;61,Input!D$298+Input!D$299-1&lt;61),0,AG986+1))</f>
        <v>0</v>
      </c>
      <c r="AH987" s="158"/>
      <c r="AI987" s="384" t="s">
        <v>562</v>
      </c>
      <c r="AJ987" s="384" t="s">
        <v>563</v>
      </c>
      <c r="AK987" s="384" t="s">
        <v>188</v>
      </c>
      <c r="AL987" s="384" t="s">
        <v>493</v>
      </c>
      <c r="AM987" s="384" t="s">
        <v>138</v>
      </c>
      <c r="AN987" s="376"/>
      <c r="AO987" s="380"/>
      <c r="AP987" s="158"/>
      <c r="AQ987" s="384" t="s">
        <v>493</v>
      </c>
      <c r="AR987" s="384" t="s">
        <v>188</v>
      </c>
      <c r="AS987" s="384" t="s">
        <v>188</v>
      </c>
      <c r="AT987" s="384" t="s">
        <v>564</v>
      </c>
      <c r="AU987" s="1151">
        <v>0</v>
      </c>
      <c r="AV987" s="376"/>
      <c r="AW987" s="144">
        <f>IF(Input!E$298=Calcs!AX1050,1,IF(OR(Input!E$298&gt;Calcs!AX1050,Input!E$298+Input!E$299-1&lt;Calcs!AX1050),0,AW986+1))</f>
        <v>1</v>
      </c>
      <c r="AX987" s="158"/>
      <c r="AY987" s="384" t="s">
        <v>562</v>
      </c>
      <c r="AZ987" s="384" t="s">
        <v>188</v>
      </c>
      <c r="BA987" s="1144"/>
      <c r="BB987" s="158" t="s">
        <v>506</v>
      </c>
      <c r="BC987" s="1151">
        <f>-AZ984*AZ983*AZ986/12-AZ990</f>
        <v>0</v>
      </c>
      <c r="BD987" s="376"/>
      <c r="BE987" s="158"/>
      <c r="BF987" s="384" t="s">
        <v>562</v>
      </c>
      <c r="BG987" s="384" t="s">
        <v>188</v>
      </c>
      <c r="BH987" s="1144"/>
      <c r="BI987" s="158" t="s">
        <v>506</v>
      </c>
      <c r="BJ987" s="1151">
        <f>-BG984*BG983*BG986/12-BG990</f>
        <v>0</v>
      </c>
      <c r="BK987" s="376"/>
      <c r="BL987" s="376"/>
      <c r="BM987" s="376"/>
      <c r="BN987" s="376"/>
      <c r="BO987" s="376"/>
      <c r="BP987" s="376"/>
      <c r="BQ987" s="376"/>
      <c r="BR987" s="376"/>
      <c r="BS987" s="376"/>
      <c r="BT987" s="376"/>
      <c r="BU987" s="376"/>
      <c r="BV987" s="376"/>
      <c r="BW987" s="376"/>
      <c r="BX987" s="376"/>
      <c r="BY987" s="376"/>
      <c r="BZ987" s="376"/>
      <c r="CA987" s="376"/>
      <c r="CB987" s="376"/>
      <c r="CC987" s="376"/>
      <c r="CD987" s="376"/>
      <c r="CE987" s="376"/>
      <c r="CF987" s="376"/>
      <c r="CG987" s="376"/>
      <c r="CH987" s="376"/>
      <c r="CI987" s="376"/>
      <c r="CJ987" s="376"/>
      <c r="CK987" s="376"/>
      <c r="CL987" s="376"/>
      <c r="CM987" s="376"/>
      <c r="CN987" s="376"/>
      <c r="CO987" s="1183"/>
      <c r="CP987" s="1183"/>
      <c r="CQ987" s="1183"/>
      <c r="CR987" s="1183"/>
      <c r="CS987" s="1183"/>
      <c r="CT987" s="1183"/>
      <c r="CU987" s="1183"/>
      <c r="CV987" s="1183"/>
      <c r="CW987" s="1183"/>
      <c r="CX987" s="1183"/>
      <c r="CY987" s="1183"/>
      <c r="CZ987" s="1183"/>
      <c r="DA987" s="1183"/>
      <c r="DB987" s="1183"/>
      <c r="DC987" s="1183"/>
      <c r="DD987" s="1183"/>
      <c r="DE987" s="1183"/>
      <c r="DF987" s="1183"/>
      <c r="DG987" s="1183"/>
      <c r="DH987" s="1183"/>
      <c r="DI987" s="1183"/>
      <c r="DJ987" s="1183"/>
      <c r="DK987" s="1183"/>
      <c r="DL987" s="1183"/>
      <c r="DM987" s="1183"/>
      <c r="DN987" s="1183"/>
      <c r="DO987" s="1183"/>
      <c r="DP987" s="1183"/>
      <c r="DQ987" s="1183"/>
    </row>
    <row r="988" spans="1:121" s="12" customFormat="1" ht="12" customHeight="1" x14ac:dyDescent="0.35">
      <c r="A988" s="84"/>
      <c r="B988" s="13"/>
      <c r="C988" s="13"/>
      <c r="D988" s="13"/>
      <c r="E988" s="13"/>
      <c r="F988" s="13"/>
      <c r="G988" s="1804"/>
      <c r="H988" s="1183"/>
      <c r="I988" s="1804"/>
      <c r="J988" s="1804"/>
      <c r="K988" s="139">
        <f>IF(Input!D$298=Calcs!L1051,1,IF(OR(Input!D$298&gt;Calcs!L1051,Input!D$298+Input!D$299-1&lt;Calcs!L1051),0,K987+1))</f>
        <v>0</v>
      </c>
      <c r="L988" s="29"/>
      <c r="M988" s="136"/>
      <c r="N988" s="136"/>
      <c r="O988" s="136"/>
      <c r="P988" s="136"/>
      <c r="Q988" s="141"/>
      <c r="R988" s="204">
        <f>IF(Input!D$298=AH988,Input!D$297,0)</f>
        <v>0</v>
      </c>
      <c r="S988" s="36">
        <f>-SUM(O990:O1049)</f>
        <v>0</v>
      </c>
      <c r="T988" s="1814"/>
      <c r="U988" s="1814"/>
      <c r="V988" s="1804"/>
      <c r="W988" s="1804"/>
      <c r="X988" s="1804"/>
      <c r="Y988" s="1801"/>
      <c r="Z988" s="1801"/>
      <c r="AA988" s="1801"/>
      <c r="AB988" s="1801"/>
      <c r="AC988" s="1801"/>
      <c r="AD988" s="1804"/>
      <c r="AE988" s="1801"/>
      <c r="AF988" s="1814"/>
      <c r="AG988" s="376"/>
      <c r="AH988" s="376"/>
      <c r="AI988" s="158"/>
      <c r="AJ988" s="158"/>
      <c r="AK988" s="158"/>
      <c r="AL988" s="158"/>
      <c r="AM988" s="1144"/>
      <c r="AN988" s="376"/>
      <c r="AO988" s="380"/>
      <c r="AP988" s="376"/>
      <c r="AQ988" s="158"/>
      <c r="AR988" s="158"/>
      <c r="AS988" s="1144"/>
      <c r="AT988" s="1151"/>
      <c r="AU988" s="1151">
        <v>0</v>
      </c>
      <c r="AV988" s="376"/>
      <c r="AW988" s="376"/>
      <c r="AX988" s="376"/>
      <c r="AY988" s="158"/>
      <c r="AZ988" s="158"/>
      <c r="BA988" s="1144"/>
      <c r="BB988" s="1151" t="s">
        <v>189</v>
      </c>
      <c r="BC988" s="1151">
        <f>SUM(AZ990:AZ1049)</f>
        <v>0</v>
      </c>
      <c r="BD988" s="376"/>
      <c r="BE988" s="376"/>
      <c r="BF988" s="158"/>
      <c r="BG988" s="158"/>
      <c r="BH988" s="1144"/>
      <c r="BI988" s="1151" t="s">
        <v>189</v>
      </c>
      <c r="BJ988" s="1151">
        <f>SUM(BG990:BG1049)</f>
        <v>0</v>
      </c>
      <c r="BK988" s="376"/>
      <c r="BL988" s="376"/>
      <c r="BM988" s="376"/>
      <c r="BN988" s="376"/>
      <c r="BO988" s="376"/>
      <c r="BP988" s="376"/>
      <c r="BQ988" s="376"/>
      <c r="BR988" s="376"/>
      <c r="BS988" s="376"/>
      <c r="BT988" s="376"/>
      <c r="BU988" s="376"/>
      <c r="BV988" s="376"/>
      <c r="BW988" s="376"/>
      <c r="BX988" s="376"/>
      <c r="BY988" s="376"/>
      <c r="BZ988" s="376"/>
      <c r="CA988" s="376"/>
      <c r="CB988" s="376"/>
      <c r="CC988" s="376"/>
      <c r="CD988" s="376"/>
      <c r="CE988" s="376"/>
      <c r="CF988" s="376"/>
      <c r="CG988" s="376"/>
      <c r="CH988" s="376"/>
      <c r="CI988" s="376"/>
      <c r="CJ988" s="376"/>
      <c r="CK988" s="376"/>
      <c r="CL988" s="376"/>
      <c r="CM988" s="376"/>
      <c r="CN988" s="376"/>
      <c r="CO988" s="1183"/>
      <c r="CP988" s="1183"/>
      <c r="CQ988" s="1183"/>
      <c r="CR988" s="1183"/>
      <c r="CS988" s="1183"/>
      <c r="CT988" s="1183"/>
      <c r="CU988" s="1183"/>
      <c r="CV988" s="1183"/>
      <c r="CW988" s="1183"/>
      <c r="CX988" s="1183"/>
      <c r="CY988" s="1183"/>
      <c r="CZ988" s="1183"/>
      <c r="DA988" s="1183"/>
      <c r="DB988" s="1183"/>
      <c r="DC988" s="1183"/>
      <c r="DD988" s="1183"/>
      <c r="DE988" s="1183"/>
      <c r="DF988" s="1183"/>
      <c r="DG988" s="1183"/>
      <c r="DH988" s="1183"/>
      <c r="DI988" s="1183"/>
      <c r="DJ988" s="1183"/>
      <c r="DK988" s="1183"/>
      <c r="DL988" s="1183"/>
      <c r="DM988" s="1183"/>
      <c r="DN988" s="1183"/>
      <c r="DO988" s="1183"/>
      <c r="DP988" s="1183"/>
      <c r="DQ988" s="1183"/>
    </row>
    <row r="989" spans="1:121" s="12" customFormat="1" ht="12" customHeight="1" x14ac:dyDescent="0.35">
      <c r="A989" s="84"/>
      <c r="B989" s="13"/>
      <c r="C989" s="13"/>
      <c r="D989" s="13"/>
      <c r="E989" s="13"/>
      <c r="F989" s="13"/>
      <c r="G989" s="1804"/>
      <c r="H989" s="1183"/>
      <c r="I989" s="1804"/>
      <c r="J989" s="1804"/>
      <c r="K989" s="139">
        <f>IF(Input!D$298=Calcs!L1052,1,IF(OR(Input!D$298&gt;Calcs!L1052,Input!D$298+Input!D$299-1&lt;Calcs!L1052),0,K988+1))</f>
        <v>0</v>
      </c>
      <c r="L989" s="29"/>
      <c r="M989" s="136"/>
      <c r="N989" s="136"/>
      <c r="O989" s="136"/>
      <c r="P989" s="136"/>
      <c r="Q989" s="141"/>
      <c r="R989" s="204"/>
      <c r="S989" s="36"/>
      <c r="T989" s="1814"/>
      <c r="U989" s="1814"/>
      <c r="V989" s="1804"/>
      <c r="W989" s="1804"/>
      <c r="X989" s="1804"/>
      <c r="Y989" s="1801"/>
      <c r="Z989" s="1801"/>
      <c r="AA989" s="1801"/>
      <c r="AB989" s="1801"/>
      <c r="AC989" s="1801"/>
      <c r="AD989" s="1816" t="e">
        <f ca="1">IRR(OFFSET(AG8317,0,AB915,,COLUMNS(AG915:EV915)-AB915),0.01)</f>
        <v>#NUM!</v>
      </c>
      <c r="AE989" s="1801"/>
      <c r="AF989" s="1814"/>
      <c r="AG989" s="376"/>
      <c r="AH989" s="376"/>
      <c r="AI989" s="158"/>
      <c r="AJ989" s="158"/>
      <c r="AK989" s="158"/>
      <c r="AL989" s="158"/>
      <c r="AM989" s="1144"/>
      <c r="AN989" s="376"/>
      <c r="AO989" s="380"/>
      <c r="AP989" s="376"/>
      <c r="AQ989" s="158"/>
      <c r="AR989" s="158"/>
      <c r="AS989" s="1144"/>
      <c r="AT989" s="158"/>
      <c r="AU989" s="1144"/>
      <c r="AV989" s="376"/>
      <c r="AW989" s="376"/>
      <c r="AX989" s="376"/>
      <c r="AY989" s="158"/>
      <c r="AZ989" s="158"/>
      <c r="BA989" s="1144"/>
      <c r="BB989" s="1183"/>
      <c r="BC989" s="1144"/>
      <c r="BD989" s="376"/>
      <c r="BE989" s="376"/>
      <c r="BF989" s="158"/>
      <c r="BG989" s="158"/>
      <c r="BH989" s="1144"/>
      <c r="BI989" s="158"/>
      <c r="BJ989" s="1144"/>
      <c r="BK989" s="376"/>
      <c r="BL989" s="376"/>
      <c r="BM989" s="376"/>
      <c r="BN989" s="376"/>
      <c r="BO989" s="376"/>
      <c r="BP989" s="376"/>
      <c r="BQ989" s="376"/>
      <c r="BR989" s="376"/>
      <c r="BS989" s="376"/>
      <c r="BT989" s="376"/>
      <c r="BU989" s="376"/>
      <c r="BV989" s="376"/>
      <c r="BW989" s="376"/>
      <c r="BX989" s="376"/>
      <c r="BY989" s="376"/>
      <c r="BZ989" s="376"/>
      <c r="CA989" s="376"/>
      <c r="CB989" s="376"/>
      <c r="CC989" s="376"/>
      <c r="CD989" s="376"/>
      <c r="CE989" s="376"/>
      <c r="CF989" s="376"/>
      <c r="CG989" s="376"/>
      <c r="CH989" s="376"/>
      <c r="CI989" s="376"/>
      <c r="CJ989" s="376"/>
      <c r="CK989" s="376"/>
      <c r="CL989" s="376"/>
      <c r="CM989" s="376"/>
      <c r="CN989" s="376"/>
      <c r="CO989" s="1183"/>
      <c r="CP989" s="1183"/>
      <c r="CQ989" s="1183"/>
      <c r="CR989" s="1183"/>
      <c r="CS989" s="1183"/>
      <c r="CT989" s="1183"/>
      <c r="CU989" s="1183"/>
      <c r="CV989" s="1183"/>
      <c r="CW989" s="1183"/>
      <c r="CX989" s="1183"/>
      <c r="CY989" s="1183"/>
      <c r="CZ989" s="1183"/>
      <c r="DA989" s="1183"/>
      <c r="DB989" s="1183"/>
      <c r="DC989" s="1183"/>
      <c r="DD989" s="1183"/>
      <c r="DE989" s="1183"/>
      <c r="DF989" s="1183"/>
      <c r="DG989" s="1183"/>
      <c r="DH989" s="1183"/>
      <c r="DI989" s="1183"/>
      <c r="DJ989" s="1183"/>
      <c r="DK989" s="1183"/>
      <c r="DL989" s="1183"/>
      <c r="DM989" s="1183"/>
      <c r="DN989" s="1183"/>
      <c r="DO989" s="1183"/>
      <c r="DP989" s="1183"/>
      <c r="DQ989" s="1183"/>
    </row>
    <row r="990" spans="1:121" s="12" customFormat="1" ht="12" customHeight="1" x14ac:dyDescent="0.3">
      <c r="A990" s="84"/>
      <c r="B990" s="13"/>
      <c r="C990" s="13"/>
      <c r="D990" s="13"/>
      <c r="E990" s="13"/>
      <c r="F990" s="13"/>
      <c r="G990" s="1804"/>
      <c r="H990" s="1183"/>
      <c r="I990" s="1804"/>
      <c r="J990" s="1804"/>
      <c r="K990" s="29">
        <f>IF(L990&lt;N$984,0,IF(L990=N$984,1,IF(K989&lt;N$985,K989+1,0)))</f>
        <v>1</v>
      </c>
      <c r="L990" s="485">
        <f>Infrastructure!D10</f>
        <v>0</v>
      </c>
      <c r="M990" s="34">
        <f>IF(N$983=0,0,IF(L990&lt;N$984,0,IF(L990=N$984,N$983,Q989)))</f>
        <v>0</v>
      </c>
      <c r="N990" s="34">
        <f>IF(M990&lt;0.01,0,-PMT(N$986/12,N$985,N$983,0))</f>
        <v>0</v>
      </c>
      <c r="O990" s="34">
        <f>IF(M990&lt;1,0,-IPMT(N$986/12,K990,N$985,N$983,0))</f>
        <v>0</v>
      </c>
      <c r="P990" s="34">
        <f>N990-O990</f>
        <v>0</v>
      </c>
      <c r="Q990" s="34">
        <f>IF(M990&gt;0,M990-P990,0)</f>
        <v>0</v>
      </c>
      <c r="R990" s="204">
        <f>IF(Input!D$298=AH990,Input!D$297,0)</f>
        <v>0</v>
      </c>
      <c r="S990" s="36">
        <f t="shared" ref="S990:S1032" si="743">AM990</f>
        <v>0</v>
      </c>
      <c r="T990" s="1814"/>
      <c r="U990" s="1814"/>
      <c r="V990" s="1804"/>
      <c r="W990" s="1804"/>
      <c r="X990" s="1804"/>
      <c r="Y990" s="1801"/>
      <c r="Z990" s="1801"/>
      <c r="AA990" s="1801"/>
      <c r="AB990" s="1801"/>
      <c r="AC990" s="1801"/>
      <c r="AD990" s="1801"/>
      <c r="AE990" s="1801"/>
      <c r="AF990" s="1814"/>
      <c r="AG990" s="376">
        <f t="shared" ref="AG990:AG1021" si="744">IF(AJ$991=AH990,1,IF(OR(AJ$991&gt;AH990,AJ$991+AJ$992-1&lt;AH990),0,AG989+1))</f>
        <v>0</v>
      </c>
      <c r="AH990" s="376">
        <v>1</v>
      </c>
      <c r="AI990" s="1151">
        <f>IF(AJ$983=0,0,IF(AND(AJ$984&lt;&gt;AH990,AM988&lt;1),0,IF(AJ$984=AH990,AJ$983, IF(AJ$984=$AH990,AJ$983,IF(AJ$984&gt;AH990,0,AM988)))))</f>
        <v>0</v>
      </c>
      <c r="AJ990" s="1151">
        <v>0</v>
      </c>
      <c r="AK990" s="1151">
        <f t="shared" ref="AK990:AK1021" si="746">IF(AI990&lt;1,0,-IPMT(AJ$993/12,AH990,AJ$992,AJ$990,0))</f>
        <v>0</v>
      </c>
      <c r="AL990" s="1151">
        <f t="shared" ref="AL990:AL1021" si="747">AJ990-AK990</f>
        <v>0</v>
      </c>
      <c r="AM990" s="1151">
        <f t="shared" ref="AM990:AM1021" si="748">AI990-AL990</f>
        <v>0</v>
      </c>
      <c r="AN990" s="376"/>
      <c r="AO990" s="1178">
        <v>1</v>
      </c>
      <c r="AP990" s="485">
        <f>Infrastructure!D10</f>
        <v>0</v>
      </c>
      <c r="AQ990" s="763">
        <f>IF(OR(AP$990=0,AR$983=0),0,IF(AND(AP990&gt;=AQ$984,AP990&lt;AQ$985),AR$983,0))</f>
        <v>0</v>
      </c>
      <c r="AR990" s="763">
        <f>AQ990*AR$986/12</f>
        <v>0</v>
      </c>
      <c r="AS990" s="763">
        <f t="shared" ref="AS990:AS1049" si="749">AR990</f>
        <v>0</v>
      </c>
      <c r="AT990" s="170">
        <f>IF(AR990&gt;0,SUM(AS$990:AS990),0)</f>
        <v>0</v>
      </c>
      <c r="AU990" s="1144"/>
      <c r="AV990" s="376"/>
      <c r="AW990" s="376"/>
      <c r="AX990" s="1815">
        <f>AP990</f>
        <v>0</v>
      </c>
      <c r="AY990" s="763">
        <f>IF(AZ$983=0,0,IF(AND(AX990&gt;=AY$984,AX990&lt;AY$985),AZ$983,0))</f>
        <v>0</v>
      </c>
      <c r="AZ990" s="763">
        <f>AY990*AZ$986/12</f>
        <v>0</v>
      </c>
      <c r="BA990" s="763">
        <f t="shared" ref="BA990:BA1049" si="750">AZ990</f>
        <v>0</v>
      </c>
      <c r="BB990" s="170">
        <f>IF(AZ990&gt;0,SUM(BA$990:BA990),0)</f>
        <v>0</v>
      </c>
      <c r="BC990" s="1144"/>
      <c r="BD990" s="376"/>
      <c r="BE990" s="1815">
        <f>AX990</f>
        <v>0</v>
      </c>
      <c r="BF990" s="763">
        <f>IF(BG$983=0,0,IF(AND(BE990&gt;=BF$984,BE990&lt;BF$985),BG$983,0))</f>
        <v>0</v>
      </c>
      <c r="BG990" s="763">
        <f>BF990*BG$986/12</f>
        <v>0</v>
      </c>
      <c r="BH990" s="763">
        <f t="shared" ref="BH990:BH1049" si="751">BG990</f>
        <v>0</v>
      </c>
      <c r="BI990" s="170">
        <f>IF(BG990&gt;0,SUM(BH$990:BH990),0)</f>
        <v>0</v>
      </c>
      <c r="BJ990" s="1144"/>
      <c r="BK990" s="376"/>
      <c r="BL990" s="376"/>
      <c r="BM990" s="376"/>
      <c r="BN990" s="376"/>
      <c r="BO990" s="376"/>
      <c r="BP990" s="376"/>
      <c r="BQ990" s="376"/>
      <c r="BR990" s="376"/>
      <c r="BS990" s="376"/>
      <c r="BT990" s="376"/>
      <c r="BU990" s="376"/>
      <c r="BV990" s="376"/>
      <c r="BW990" s="376"/>
      <c r="BX990" s="376"/>
      <c r="BY990" s="376"/>
      <c r="BZ990" s="376"/>
      <c r="CA990" s="376"/>
      <c r="CB990" s="376"/>
      <c r="CC990" s="376"/>
      <c r="CD990" s="376"/>
      <c r="CE990" s="376"/>
      <c r="CF990" s="376"/>
      <c r="CG990" s="376"/>
      <c r="CH990" s="376"/>
      <c r="CI990" s="376"/>
      <c r="CJ990" s="376"/>
      <c r="CK990" s="376"/>
      <c r="CL990" s="376"/>
      <c r="CM990" s="376"/>
      <c r="CN990" s="376"/>
      <c r="CO990" s="1183"/>
      <c r="CP990" s="1183"/>
      <c r="CQ990" s="1183"/>
      <c r="CR990" s="1183"/>
      <c r="CS990" s="1183"/>
      <c r="CT990" s="1183"/>
      <c r="CU990" s="1183"/>
      <c r="CV990" s="1183"/>
      <c r="CW990" s="1183"/>
      <c r="CX990" s="1183"/>
      <c r="CY990" s="1183"/>
      <c r="CZ990" s="1183"/>
      <c r="DA990" s="1183"/>
      <c r="DB990" s="1183"/>
      <c r="DC990" s="1183"/>
      <c r="DD990" s="1183"/>
      <c r="DE990" s="1183"/>
      <c r="DF990" s="1183"/>
      <c r="DG990" s="1183"/>
      <c r="DH990" s="1183"/>
      <c r="DI990" s="1183"/>
      <c r="DJ990" s="1183"/>
      <c r="DK990" s="1183"/>
      <c r="DL990" s="1183"/>
      <c r="DM990" s="1183"/>
      <c r="DN990" s="1183"/>
      <c r="DO990" s="1183"/>
      <c r="DP990" s="1183"/>
      <c r="DQ990" s="1183"/>
    </row>
    <row r="991" spans="1:121" s="12" customFormat="1" ht="12" customHeight="1" x14ac:dyDescent="0.3">
      <c r="A991" s="84"/>
      <c r="B991" s="13"/>
      <c r="C991" s="13"/>
      <c r="D991" s="13"/>
      <c r="E991" s="13"/>
      <c r="F991" s="13"/>
      <c r="G991" s="1804"/>
      <c r="H991" s="1183"/>
      <c r="I991" s="1804"/>
      <c r="J991" s="1804"/>
      <c r="K991" s="29">
        <f t="shared" ref="K991:K1054" si="752">IF(L991&lt;N$984,0,IF(L991=N$984,1,IF(K990&lt;N$985,K990+1,0)))</f>
        <v>1</v>
      </c>
      <c r="L991" s="485">
        <f>Infrastructure!D11</f>
        <v>0</v>
      </c>
      <c r="M991" s="34">
        <f t="shared" ref="M991:M1054" si="753">IF(N$983=0,0,IF(L991&lt;N$984,0,IF(L991=N$984,N$983,Q990)))</f>
        <v>0</v>
      </c>
      <c r="N991" s="34">
        <f t="shared" ref="N991:N1054" si="754">IF(M991&lt;0.01,0,-PMT(N$986/12,N$985,N$983,0))</f>
        <v>0</v>
      </c>
      <c r="O991" s="34">
        <f t="shared" ref="O991:O1054" si="755">IF(M991&lt;1,0,-IPMT(N$986/12,K991,N$985,N$983,0))</f>
        <v>0</v>
      </c>
      <c r="P991" s="34">
        <f t="shared" ref="P991:P1050" si="756">N991-O991</f>
        <v>0</v>
      </c>
      <c r="Q991" s="34">
        <f t="shared" ref="Q991:Q1050" si="757">IF(M991&gt;0,M991-P991,0)</f>
        <v>0</v>
      </c>
      <c r="R991" s="204">
        <f>IF(Input!D$298=AH991,Input!D$297,0)</f>
        <v>0</v>
      </c>
      <c r="S991" s="36">
        <f t="shared" si="743"/>
        <v>0</v>
      </c>
      <c r="T991" s="1814"/>
      <c r="U991" s="1814"/>
      <c r="V991" s="1804"/>
      <c r="W991" s="1804"/>
      <c r="X991" s="1804"/>
      <c r="Y991" s="1801"/>
      <c r="Z991" s="1801"/>
      <c r="AA991" s="1801"/>
      <c r="AB991" s="1801"/>
      <c r="AC991" s="1801"/>
      <c r="AD991" s="1801"/>
      <c r="AE991" s="1801"/>
      <c r="AF991" s="1814"/>
      <c r="AG991" s="376">
        <f t="shared" si="744"/>
        <v>0</v>
      </c>
      <c r="AH991" s="376">
        <v>2</v>
      </c>
      <c r="AI991" s="1151">
        <f t="shared" ref="AI991:AI1022" si="758">IF(AM990=0,0,IF(AND(AJ$991&lt;&gt;AH991,AM990&lt;1),0,IF(AJ$991=AH991,AJ$990, IF(AJ$991=$AH991,AJ$990,IF(AJ$991&gt;AH991,0,AM990)))))</f>
        <v>0</v>
      </c>
      <c r="AJ991" s="1151">
        <v>0</v>
      </c>
      <c r="AK991" s="1151">
        <f t="shared" si="746"/>
        <v>0</v>
      </c>
      <c r="AL991" s="1151">
        <f t="shared" si="747"/>
        <v>0</v>
      </c>
      <c r="AM991" s="1151">
        <f t="shared" si="748"/>
        <v>0</v>
      </c>
      <c r="AN991" s="376"/>
      <c r="AO991" s="1178">
        <v>2</v>
      </c>
      <c r="AP991" s="485">
        <f>Infrastructure!D11</f>
        <v>0</v>
      </c>
      <c r="AQ991" s="763">
        <f t="shared" ref="AQ991:AQ1054" si="759">IF(OR(AP$990=0,AR$983=0),0,IF(AND(AP991&gt;=AQ$984,AP991&lt;AQ$985),AR$983,0))</f>
        <v>0</v>
      </c>
      <c r="AR991" s="763">
        <f t="shared" ref="AR991:AR1054" si="760">AQ991*AR$986/12</f>
        <v>0</v>
      </c>
      <c r="AS991" s="763">
        <f t="shared" si="749"/>
        <v>0</v>
      </c>
      <c r="AT991" s="170">
        <f>IF(AR991&gt;0,SUM(AS$990:AS991),0)</f>
        <v>0</v>
      </c>
      <c r="AU991" s="1144"/>
      <c r="AV991" s="1151"/>
      <c r="AW991" s="376"/>
      <c r="AX991" s="1815">
        <f>AP991</f>
        <v>0</v>
      </c>
      <c r="AY991" s="763">
        <f t="shared" ref="AY991:AY1054" si="761">IF(AZ$983=0,0,IF(AND(AX991&gt;=AY$984,AX991&lt;AY$985),AZ$983,0))</f>
        <v>0</v>
      </c>
      <c r="AZ991" s="763">
        <f t="shared" ref="AZ991:AZ1054" si="762">AY991*AZ$986/12</f>
        <v>0</v>
      </c>
      <c r="BA991" s="763">
        <f t="shared" si="750"/>
        <v>0</v>
      </c>
      <c r="BB991" s="170">
        <f>IF(AZ991&gt;0,SUM(BA$990:BA991),0)</f>
        <v>0</v>
      </c>
      <c r="BC991" s="1183"/>
      <c r="BD991" s="376"/>
      <c r="BE991" s="1815">
        <f t="shared" ref="BE991:BE1054" si="763">AX991</f>
        <v>0</v>
      </c>
      <c r="BF991" s="763">
        <f t="shared" ref="BF991:BF1054" si="764">IF(BG$983=0,0,IF(AND(BE991&gt;=BF$984,BE991&lt;BF$985),BG$983,0))</f>
        <v>0</v>
      </c>
      <c r="BG991" s="763">
        <f t="shared" ref="BG991:BG1054" si="765">BF991*BG$986/12</f>
        <v>0</v>
      </c>
      <c r="BH991" s="763">
        <f t="shared" si="751"/>
        <v>0</v>
      </c>
      <c r="BI991" s="170">
        <f>IF(BG991&gt;0,SUM(BH$990:BH991),0)</f>
        <v>0</v>
      </c>
      <c r="BJ991" s="1183"/>
      <c r="BK991" s="376"/>
      <c r="BL991" s="376"/>
      <c r="BM991" s="376"/>
      <c r="BN991" s="376"/>
      <c r="BO991" s="376"/>
      <c r="BP991" s="376"/>
      <c r="BQ991" s="376"/>
      <c r="BR991" s="376"/>
      <c r="BS991" s="376"/>
      <c r="BT991" s="376"/>
      <c r="BU991" s="376"/>
      <c r="BV991" s="376"/>
      <c r="BW991" s="376"/>
      <c r="BX991" s="376"/>
      <c r="BY991" s="376"/>
      <c r="BZ991" s="376"/>
      <c r="CA991" s="376"/>
      <c r="CB991" s="376"/>
      <c r="CC991" s="376"/>
      <c r="CD991" s="376"/>
      <c r="CE991" s="376"/>
      <c r="CF991" s="376"/>
      <c r="CG991" s="376"/>
      <c r="CH991" s="376"/>
      <c r="CI991" s="376"/>
      <c r="CJ991" s="376"/>
      <c r="CK991" s="376"/>
      <c r="CL991" s="376"/>
      <c r="CM991" s="376"/>
      <c r="CN991" s="376"/>
      <c r="CO991" s="1183"/>
      <c r="CP991" s="1183"/>
      <c r="CQ991" s="1183"/>
      <c r="CR991" s="1183"/>
      <c r="CS991" s="1183"/>
      <c r="CT991" s="1183"/>
      <c r="CU991" s="1183"/>
      <c r="CV991" s="1183"/>
      <c r="CW991" s="1183"/>
      <c r="CX991" s="1183"/>
      <c r="CY991" s="1183"/>
      <c r="CZ991" s="1183"/>
      <c r="DA991" s="1183"/>
      <c r="DB991" s="1183"/>
      <c r="DC991" s="1183"/>
      <c r="DD991" s="1183"/>
      <c r="DE991" s="1183"/>
      <c r="DF991" s="1183"/>
      <c r="DG991" s="1183"/>
      <c r="DH991" s="1183"/>
      <c r="DI991" s="1183"/>
      <c r="DJ991" s="1183"/>
      <c r="DK991" s="1183"/>
      <c r="DL991" s="1183"/>
      <c r="DM991" s="1183"/>
      <c r="DN991" s="1183"/>
      <c r="DO991" s="1183"/>
      <c r="DP991" s="1183"/>
      <c r="DQ991" s="1183"/>
    </row>
    <row r="992" spans="1:121" s="12" customFormat="1" ht="12" customHeight="1" x14ac:dyDescent="0.3">
      <c r="A992" s="84"/>
      <c r="B992" s="13"/>
      <c r="C992" s="13"/>
      <c r="D992" s="13"/>
      <c r="E992" s="13"/>
      <c r="F992" s="13"/>
      <c r="G992" s="1804"/>
      <c r="H992" s="1183"/>
      <c r="I992" s="1804"/>
      <c r="J992" s="1804"/>
      <c r="K992" s="29">
        <f t="shared" si="752"/>
        <v>1</v>
      </c>
      <c r="L992" s="485">
        <f>Infrastructure!D12</f>
        <v>0</v>
      </c>
      <c r="M992" s="34">
        <f t="shared" si="753"/>
        <v>0</v>
      </c>
      <c r="N992" s="34">
        <f t="shared" si="754"/>
        <v>0</v>
      </c>
      <c r="O992" s="34">
        <f t="shared" si="755"/>
        <v>0</v>
      </c>
      <c r="P992" s="34">
        <f t="shared" si="756"/>
        <v>0</v>
      </c>
      <c r="Q992" s="34">
        <f t="shared" si="757"/>
        <v>0</v>
      </c>
      <c r="R992" s="204">
        <f>IF(Input!D$298=AH992,Input!D$297,0)</f>
        <v>0</v>
      </c>
      <c r="S992" s="36">
        <f t="shared" si="743"/>
        <v>0</v>
      </c>
      <c r="T992" s="1814"/>
      <c r="U992" s="1814"/>
      <c r="V992" s="1804"/>
      <c r="W992" s="1804"/>
      <c r="X992" s="1804"/>
      <c r="Y992" s="1801"/>
      <c r="Z992" s="1801"/>
      <c r="AA992" s="1801"/>
      <c r="AB992" s="1801"/>
      <c r="AC992" s="1801"/>
      <c r="AD992" s="1801"/>
      <c r="AE992" s="1801"/>
      <c r="AF992" s="1814"/>
      <c r="AG992" s="376">
        <f t="shared" si="744"/>
        <v>0</v>
      </c>
      <c r="AH992" s="376">
        <v>3</v>
      </c>
      <c r="AI992" s="1151">
        <f t="shared" si="758"/>
        <v>0</v>
      </c>
      <c r="AJ992" s="1151">
        <v>0</v>
      </c>
      <c r="AK992" s="1151">
        <f t="shared" si="746"/>
        <v>0</v>
      </c>
      <c r="AL992" s="1151">
        <f t="shared" si="747"/>
        <v>0</v>
      </c>
      <c r="AM992" s="1151">
        <f t="shared" si="748"/>
        <v>0</v>
      </c>
      <c r="AN992" s="376"/>
      <c r="AO992" s="1178">
        <v>3</v>
      </c>
      <c r="AP992" s="485">
        <f>Infrastructure!D12</f>
        <v>0</v>
      </c>
      <c r="AQ992" s="763">
        <f t="shared" si="759"/>
        <v>0</v>
      </c>
      <c r="AR992" s="763">
        <f t="shared" si="760"/>
        <v>0</v>
      </c>
      <c r="AS992" s="763">
        <f t="shared" si="749"/>
        <v>0</v>
      </c>
      <c r="AT992" s="170">
        <f>IF(AR992&gt;0,SUM(AS$990:AS992),0)</f>
        <v>0</v>
      </c>
      <c r="AU992" s="1144"/>
      <c r="AV992" s="376"/>
      <c r="AW992" s="376"/>
      <c r="AX992" s="1815">
        <f t="shared" ref="AX992:AX1055" si="766">AP992</f>
        <v>0</v>
      </c>
      <c r="AY992" s="763">
        <f t="shared" si="761"/>
        <v>0</v>
      </c>
      <c r="AZ992" s="763">
        <f t="shared" si="762"/>
        <v>0</v>
      </c>
      <c r="BA992" s="763">
        <f t="shared" si="750"/>
        <v>0</v>
      </c>
      <c r="BB992" s="170">
        <f>IF(AZ992&gt;0,SUM(BA$990:BA992),0)</f>
        <v>0</v>
      </c>
      <c r="BC992" s="1144"/>
      <c r="BD992" s="376"/>
      <c r="BE992" s="1815">
        <f t="shared" si="763"/>
        <v>0</v>
      </c>
      <c r="BF992" s="763">
        <f t="shared" si="764"/>
        <v>0</v>
      </c>
      <c r="BG992" s="763">
        <f t="shared" si="765"/>
        <v>0</v>
      </c>
      <c r="BH992" s="763">
        <f t="shared" si="751"/>
        <v>0</v>
      </c>
      <c r="BI992" s="170">
        <f>IF(BG992&gt;0,SUM(BH$990:BH992),0)</f>
        <v>0</v>
      </c>
      <c r="BJ992" s="1144"/>
      <c r="BK992" s="376"/>
      <c r="BL992" s="376"/>
      <c r="BM992" s="376"/>
      <c r="BN992" s="376"/>
      <c r="BO992" s="376"/>
      <c r="BP992" s="376"/>
      <c r="BQ992" s="376"/>
      <c r="BR992" s="376"/>
      <c r="BS992" s="376"/>
      <c r="BT992" s="376"/>
      <c r="BU992" s="376"/>
      <c r="BV992" s="376"/>
      <c r="BW992" s="376"/>
      <c r="BX992" s="376"/>
      <c r="BY992" s="376"/>
      <c r="BZ992" s="376"/>
      <c r="CA992" s="376"/>
      <c r="CB992" s="376"/>
      <c r="CC992" s="376"/>
      <c r="CD992" s="376"/>
      <c r="CE992" s="376"/>
      <c r="CF992" s="376"/>
      <c r="CG992" s="376"/>
      <c r="CH992" s="376"/>
      <c r="CI992" s="376"/>
      <c r="CJ992" s="376"/>
      <c r="CK992" s="376"/>
      <c r="CL992" s="376"/>
      <c r="CM992" s="376"/>
      <c r="CN992" s="376"/>
      <c r="CO992" s="1183"/>
      <c r="CP992" s="1183"/>
      <c r="CQ992" s="1183"/>
      <c r="CR992" s="1183"/>
      <c r="CS992" s="1183"/>
      <c r="CT992" s="1183"/>
      <c r="CU992" s="1183"/>
      <c r="CV992" s="1183"/>
      <c r="CW992" s="1183"/>
      <c r="CX992" s="1183"/>
      <c r="CY992" s="1183"/>
      <c r="CZ992" s="1183"/>
      <c r="DA992" s="1183"/>
      <c r="DB992" s="1183"/>
      <c r="DC992" s="1183"/>
      <c r="DD992" s="1183"/>
      <c r="DE992" s="1183"/>
      <c r="DF992" s="1183"/>
      <c r="DG992" s="1183"/>
      <c r="DH992" s="1183"/>
      <c r="DI992" s="1183"/>
      <c r="DJ992" s="1183"/>
      <c r="DK992" s="1183"/>
      <c r="DL992" s="1183"/>
      <c r="DM992" s="1183"/>
      <c r="DN992" s="1183"/>
      <c r="DO992" s="1183"/>
      <c r="DP992" s="1183"/>
      <c r="DQ992" s="1183"/>
    </row>
    <row r="993" spans="1:121" s="12" customFormat="1" ht="12" customHeight="1" x14ac:dyDescent="0.3">
      <c r="A993" s="84"/>
      <c r="B993" s="13"/>
      <c r="C993" s="13"/>
      <c r="D993" s="13"/>
      <c r="E993" s="13"/>
      <c r="F993" s="13"/>
      <c r="G993" s="1804"/>
      <c r="H993" s="1183"/>
      <c r="I993" s="1804"/>
      <c r="J993" s="1804"/>
      <c r="K993" s="29">
        <f t="shared" si="752"/>
        <v>1</v>
      </c>
      <c r="L993" s="485">
        <f>Infrastructure!D13</f>
        <v>0</v>
      </c>
      <c r="M993" s="34">
        <f t="shared" si="753"/>
        <v>0</v>
      </c>
      <c r="N993" s="34">
        <f t="shared" si="754"/>
        <v>0</v>
      </c>
      <c r="O993" s="34">
        <f t="shared" si="755"/>
        <v>0</v>
      </c>
      <c r="P993" s="34">
        <f t="shared" si="756"/>
        <v>0</v>
      </c>
      <c r="Q993" s="34">
        <f t="shared" si="757"/>
        <v>0</v>
      </c>
      <c r="R993" s="204">
        <f>IF(Input!D$298=AH993,Input!D$297,0)</f>
        <v>0</v>
      </c>
      <c r="S993" s="36">
        <f t="shared" si="743"/>
        <v>0</v>
      </c>
      <c r="T993" s="1814"/>
      <c r="U993" s="1814"/>
      <c r="V993" s="1804"/>
      <c r="W993" s="1804"/>
      <c r="X993" s="1804"/>
      <c r="Y993" s="1801"/>
      <c r="Z993" s="1801"/>
      <c r="AA993" s="1801"/>
      <c r="AB993" s="1801"/>
      <c r="AC993" s="1801"/>
      <c r="AD993" s="1801"/>
      <c r="AE993" s="1801"/>
      <c r="AF993" s="1814"/>
      <c r="AG993" s="376">
        <f t="shared" si="744"/>
        <v>0</v>
      </c>
      <c r="AH993" s="376">
        <v>4</v>
      </c>
      <c r="AI993" s="1151">
        <f t="shared" si="758"/>
        <v>0</v>
      </c>
      <c r="AJ993" s="1151">
        <v>0</v>
      </c>
      <c r="AK993" s="1151">
        <f t="shared" si="746"/>
        <v>0</v>
      </c>
      <c r="AL993" s="1151">
        <f t="shared" si="747"/>
        <v>0</v>
      </c>
      <c r="AM993" s="1151">
        <f t="shared" si="748"/>
        <v>0</v>
      </c>
      <c r="AN993" s="376"/>
      <c r="AO993" s="1178">
        <v>4</v>
      </c>
      <c r="AP993" s="485">
        <f>Infrastructure!D13</f>
        <v>0</v>
      </c>
      <c r="AQ993" s="763">
        <f t="shared" si="759"/>
        <v>0</v>
      </c>
      <c r="AR993" s="763">
        <f t="shared" si="760"/>
        <v>0</v>
      </c>
      <c r="AS993" s="763">
        <f t="shared" si="749"/>
        <v>0</v>
      </c>
      <c r="AT993" s="170">
        <f>IF(AR993&gt;0,SUM(AS$990:AS993),0)</f>
        <v>0</v>
      </c>
      <c r="AU993" s="1144"/>
      <c r="AV993" s="376"/>
      <c r="AW993" s="376"/>
      <c r="AX993" s="1815">
        <f t="shared" si="766"/>
        <v>0</v>
      </c>
      <c r="AY993" s="763">
        <f t="shared" si="761"/>
        <v>0</v>
      </c>
      <c r="AZ993" s="763">
        <f t="shared" si="762"/>
        <v>0</v>
      </c>
      <c r="BA993" s="763">
        <f t="shared" si="750"/>
        <v>0</v>
      </c>
      <c r="BB993" s="170">
        <f>IF(AZ993&gt;0,SUM(BA$990:BA993),0)</f>
        <v>0</v>
      </c>
      <c r="BC993" s="1144"/>
      <c r="BD993" s="376"/>
      <c r="BE993" s="1815">
        <f t="shared" si="763"/>
        <v>0</v>
      </c>
      <c r="BF993" s="763">
        <f t="shared" si="764"/>
        <v>0</v>
      </c>
      <c r="BG993" s="763">
        <f t="shared" si="765"/>
        <v>0</v>
      </c>
      <c r="BH993" s="763">
        <f t="shared" si="751"/>
        <v>0</v>
      </c>
      <c r="BI993" s="170">
        <f>IF(BG993&gt;0,SUM(BH$990:BH993),0)</f>
        <v>0</v>
      </c>
      <c r="BJ993" s="1144"/>
      <c r="BK993" s="376"/>
      <c r="BL993" s="376"/>
      <c r="BM993" s="376"/>
      <c r="BN993" s="376"/>
      <c r="BO993" s="376"/>
      <c r="BP993" s="376"/>
      <c r="BQ993" s="376"/>
      <c r="BR993" s="376"/>
      <c r="BS993" s="376"/>
      <c r="BT993" s="376"/>
      <c r="BU993" s="376"/>
      <c r="BV993" s="376"/>
      <c r="BW993" s="376"/>
      <c r="BX993" s="376"/>
      <c r="BY993" s="376"/>
      <c r="BZ993" s="376"/>
      <c r="CA993" s="376"/>
      <c r="CB993" s="376"/>
      <c r="CC993" s="376"/>
      <c r="CD993" s="376"/>
      <c r="CE993" s="376"/>
      <c r="CF993" s="376"/>
      <c r="CG993" s="376"/>
      <c r="CH993" s="376"/>
      <c r="CI993" s="376"/>
      <c r="CJ993" s="376"/>
      <c r="CK993" s="376"/>
      <c r="CL993" s="376"/>
      <c r="CM993" s="376"/>
      <c r="CN993" s="376"/>
      <c r="CO993" s="1183"/>
      <c r="CP993" s="1183"/>
      <c r="CQ993" s="1183"/>
      <c r="CR993" s="1183"/>
      <c r="CS993" s="1183"/>
      <c r="CT993" s="1183"/>
      <c r="CU993" s="1183"/>
      <c r="CV993" s="1183"/>
      <c r="CW993" s="1183"/>
      <c r="CX993" s="1183"/>
      <c r="CY993" s="1183"/>
      <c r="CZ993" s="1183"/>
      <c r="DA993" s="1183"/>
      <c r="DB993" s="1183"/>
      <c r="DC993" s="1183"/>
      <c r="DD993" s="1183"/>
      <c r="DE993" s="1183"/>
      <c r="DF993" s="1183"/>
      <c r="DG993" s="1183"/>
      <c r="DH993" s="1183"/>
      <c r="DI993" s="1183"/>
      <c r="DJ993" s="1183"/>
      <c r="DK993" s="1183"/>
      <c r="DL993" s="1183"/>
      <c r="DM993" s="1183"/>
      <c r="DN993" s="1183"/>
      <c r="DO993" s="1183"/>
      <c r="DP993" s="1183"/>
      <c r="DQ993" s="1183"/>
    </row>
    <row r="994" spans="1:121" s="12" customFormat="1" ht="12" customHeight="1" x14ac:dyDescent="0.3">
      <c r="A994" s="84"/>
      <c r="B994" s="13"/>
      <c r="C994" s="13"/>
      <c r="D994" s="13"/>
      <c r="E994" s="13"/>
      <c r="F994" s="13"/>
      <c r="G994" s="1804"/>
      <c r="H994" s="1183"/>
      <c r="I994" s="1804"/>
      <c r="J994" s="1804"/>
      <c r="K994" s="29">
        <f t="shared" si="752"/>
        <v>1</v>
      </c>
      <c r="L994" s="485">
        <f>Infrastructure!D14</f>
        <v>0</v>
      </c>
      <c r="M994" s="34">
        <f t="shared" si="753"/>
        <v>0</v>
      </c>
      <c r="N994" s="34">
        <f t="shared" si="754"/>
        <v>0</v>
      </c>
      <c r="O994" s="34">
        <f t="shared" si="755"/>
        <v>0</v>
      </c>
      <c r="P994" s="34">
        <f t="shared" si="756"/>
        <v>0</v>
      </c>
      <c r="Q994" s="34">
        <f t="shared" si="757"/>
        <v>0</v>
      </c>
      <c r="R994" s="204">
        <f>IF(Input!D$298=AH994,Input!D$297,0)</f>
        <v>0</v>
      </c>
      <c r="S994" s="36">
        <f t="shared" si="743"/>
        <v>0</v>
      </c>
      <c r="T994" s="1814"/>
      <c r="U994" s="1814"/>
      <c r="V994" s="1804"/>
      <c r="W994" s="1804"/>
      <c r="X994" s="1804"/>
      <c r="Y994" s="1801"/>
      <c r="Z994" s="1801"/>
      <c r="AA994" s="1801"/>
      <c r="AB994" s="1801"/>
      <c r="AC994" s="1801"/>
      <c r="AD994" s="1801"/>
      <c r="AE994" s="1801"/>
      <c r="AF994" s="1814"/>
      <c r="AG994" s="376">
        <f t="shared" si="744"/>
        <v>0</v>
      </c>
      <c r="AH994" s="376">
        <v>5</v>
      </c>
      <c r="AI994" s="1151">
        <f t="shared" si="758"/>
        <v>0</v>
      </c>
      <c r="AJ994" s="1151">
        <f t="shared" ref="AJ994:AJ1021" si="745">IF(OR(AI994=0,AH994=0),0,-PMT(AJ$993/12,AJ$992,AJ$990,0))</f>
        <v>0</v>
      </c>
      <c r="AK994" s="1151">
        <f t="shared" si="746"/>
        <v>0</v>
      </c>
      <c r="AL994" s="1151">
        <f t="shared" si="747"/>
        <v>0</v>
      </c>
      <c r="AM994" s="1151">
        <f t="shared" si="748"/>
        <v>0</v>
      </c>
      <c r="AN994" s="376"/>
      <c r="AO994" s="1178">
        <v>5</v>
      </c>
      <c r="AP994" s="485">
        <f>Infrastructure!D14</f>
        <v>0</v>
      </c>
      <c r="AQ994" s="763">
        <f t="shared" si="759"/>
        <v>0</v>
      </c>
      <c r="AR994" s="763">
        <f t="shared" si="760"/>
        <v>0</v>
      </c>
      <c r="AS994" s="763">
        <f t="shared" si="749"/>
        <v>0</v>
      </c>
      <c r="AT994" s="170">
        <f>IF(AR994&gt;0,SUM(AS$990:AS994),0)</f>
        <v>0</v>
      </c>
      <c r="AU994" s="1144"/>
      <c r="AV994" s="376"/>
      <c r="AW994" s="376"/>
      <c r="AX994" s="1815">
        <f t="shared" si="766"/>
        <v>0</v>
      </c>
      <c r="AY994" s="763">
        <f t="shared" si="761"/>
        <v>0</v>
      </c>
      <c r="AZ994" s="763">
        <f t="shared" si="762"/>
        <v>0</v>
      </c>
      <c r="BA994" s="763">
        <f t="shared" si="750"/>
        <v>0</v>
      </c>
      <c r="BB994" s="170">
        <f>IF(AZ994&gt;0,SUM(BA$990:BA994),0)</f>
        <v>0</v>
      </c>
      <c r="BC994" s="1144"/>
      <c r="BD994" s="376"/>
      <c r="BE994" s="1815">
        <f t="shared" si="763"/>
        <v>0</v>
      </c>
      <c r="BF994" s="763">
        <f t="shared" si="764"/>
        <v>0</v>
      </c>
      <c r="BG994" s="763">
        <f t="shared" si="765"/>
        <v>0</v>
      </c>
      <c r="BH994" s="763">
        <f t="shared" si="751"/>
        <v>0</v>
      </c>
      <c r="BI994" s="170">
        <f>IF(BG994&gt;0,SUM(BH$990:BH994),0)</f>
        <v>0</v>
      </c>
      <c r="BJ994" s="1144"/>
      <c r="BK994" s="376"/>
      <c r="BL994" s="376"/>
      <c r="BM994" s="376"/>
      <c r="BN994" s="376"/>
      <c r="BO994" s="376"/>
      <c r="BP994" s="376"/>
      <c r="BQ994" s="376"/>
      <c r="BR994" s="376"/>
      <c r="BS994" s="376"/>
      <c r="BT994" s="376"/>
      <c r="BU994" s="376"/>
      <c r="BV994" s="376"/>
      <c r="BW994" s="376"/>
      <c r="BX994" s="376"/>
      <c r="BY994" s="376"/>
      <c r="BZ994" s="376"/>
      <c r="CA994" s="376"/>
      <c r="CB994" s="376"/>
      <c r="CC994" s="376"/>
      <c r="CD994" s="376"/>
      <c r="CE994" s="376"/>
      <c r="CF994" s="376"/>
      <c r="CG994" s="376"/>
      <c r="CH994" s="376"/>
      <c r="CI994" s="376"/>
      <c r="CJ994" s="376"/>
      <c r="CK994" s="376"/>
      <c r="CL994" s="376"/>
      <c r="CM994" s="376"/>
      <c r="CN994" s="376"/>
      <c r="CO994" s="1183"/>
      <c r="CP994" s="1183"/>
      <c r="CQ994" s="1183"/>
      <c r="CR994" s="1183"/>
      <c r="CS994" s="1183"/>
      <c r="CT994" s="1183"/>
      <c r="CU994" s="1183"/>
      <c r="CV994" s="1183"/>
      <c r="CW994" s="1183"/>
      <c r="CX994" s="1183"/>
      <c r="CY994" s="1183"/>
      <c r="CZ994" s="1183"/>
      <c r="DA994" s="1183"/>
      <c r="DB994" s="1183"/>
      <c r="DC994" s="1183"/>
      <c r="DD994" s="1183"/>
      <c r="DE994" s="1183"/>
      <c r="DF994" s="1183"/>
      <c r="DG994" s="1183"/>
      <c r="DH994" s="1183"/>
      <c r="DI994" s="1183"/>
      <c r="DJ994" s="1183"/>
      <c r="DK994" s="1183"/>
      <c r="DL994" s="1183"/>
      <c r="DM994" s="1183"/>
      <c r="DN994" s="1183"/>
      <c r="DO994" s="1183"/>
      <c r="DP994" s="1183"/>
      <c r="DQ994" s="1183"/>
    </row>
    <row r="995" spans="1:121" s="12" customFormat="1" ht="12" customHeight="1" x14ac:dyDescent="0.3">
      <c r="A995" s="84"/>
      <c r="B995" s="13"/>
      <c r="C995" s="13"/>
      <c r="D995" s="13"/>
      <c r="E995" s="13"/>
      <c r="F995" s="13"/>
      <c r="G995" s="1804"/>
      <c r="H995" s="1183"/>
      <c r="I995" s="1804"/>
      <c r="J995" s="1804"/>
      <c r="K995" s="29">
        <f t="shared" si="752"/>
        <v>1</v>
      </c>
      <c r="L995" s="485">
        <f>Infrastructure!D15</f>
        <v>0</v>
      </c>
      <c r="M995" s="34">
        <f t="shared" si="753"/>
        <v>0</v>
      </c>
      <c r="N995" s="34">
        <f t="shared" si="754"/>
        <v>0</v>
      </c>
      <c r="O995" s="34">
        <f t="shared" si="755"/>
        <v>0</v>
      </c>
      <c r="P995" s="34">
        <f t="shared" si="756"/>
        <v>0</v>
      </c>
      <c r="Q995" s="34">
        <f t="shared" si="757"/>
        <v>0</v>
      </c>
      <c r="R995" s="204">
        <f>IF(Input!D$298=AH995,Input!D$297,0)</f>
        <v>0</v>
      </c>
      <c r="S995" s="36">
        <f t="shared" si="743"/>
        <v>0</v>
      </c>
      <c r="T995" s="1814"/>
      <c r="U995" s="1814"/>
      <c r="V995" s="1804"/>
      <c r="W995" s="1804"/>
      <c r="X995" s="1804"/>
      <c r="Y995" s="1801"/>
      <c r="Z995" s="1801"/>
      <c r="AA995" s="1801"/>
      <c r="AB995" s="1801"/>
      <c r="AC995" s="1801"/>
      <c r="AD995" s="1801"/>
      <c r="AE995" s="1801"/>
      <c r="AF995" s="1814"/>
      <c r="AG995" s="376">
        <f t="shared" si="744"/>
        <v>0</v>
      </c>
      <c r="AH995" s="376">
        <v>6</v>
      </c>
      <c r="AI995" s="1151">
        <f t="shared" si="758"/>
        <v>0</v>
      </c>
      <c r="AJ995" s="1151">
        <f t="shared" si="745"/>
        <v>0</v>
      </c>
      <c r="AK995" s="1151">
        <f t="shared" si="746"/>
        <v>0</v>
      </c>
      <c r="AL995" s="1151">
        <f t="shared" si="747"/>
        <v>0</v>
      </c>
      <c r="AM995" s="1151">
        <f t="shared" si="748"/>
        <v>0</v>
      </c>
      <c r="AN995" s="376"/>
      <c r="AO995" s="1178">
        <v>6</v>
      </c>
      <c r="AP995" s="485">
        <f>Infrastructure!D15</f>
        <v>0</v>
      </c>
      <c r="AQ995" s="763">
        <f t="shared" si="759"/>
        <v>0</v>
      </c>
      <c r="AR995" s="763">
        <f t="shared" si="760"/>
        <v>0</v>
      </c>
      <c r="AS995" s="763">
        <f t="shared" si="749"/>
        <v>0</v>
      </c>
      <c r="AT995" s="170">
        <f>IF(AR995&gt;0,SUM(AS$990:AS995),0)</f>
        <v>0</v>
      </c>
      <c r="AU995" s="1144"/>
      <c r="AV995" s="376"/>
      <c r="AW995" s="376"/>
      <c r="AX995" s="1815">
        <f t="shared" si="766"/>
        <v>0</v>
      </c>
      <c r="AY995" s="763">
        <f t="shared" si="761"/>
        <v>0</v>
      </c>
      <c r="AZ995" s="763">
        <f t="shared" si="762"/>
        <v>0</v>
      </c>
      <c r="BA995" s="763">
        <f t="shared" si="750"/>
        <v>0</v>
      </c>
      <c r="BB995" s="170">
        <f>IF(AZ995&gt;0,SUM(BA$990:BA995),0)</f>
        <v>0</v>
      </c>
      <c r="BC995" s="1144"/>
      <c r="BD995" s="376"/>
      <c r="BE995" s="1815">
        <f t="shared" si="763"/>
        <v>0</v>
      </c>
      <c r="BF995" s="763">
        <f t="shared" si="764"/>
        <v>0</v>
      </c>
      <c r="BG995" s="763">
        <f t="shared" si="765"/>
        <v>0</v>
      </c>
      <c r="BH995" s="763">
        <f t="shared" si="751"/>
        <v>0</v>
      </c>
      <c r="BI995" s="170">
        <f>IF(BG995&gt;0,SUM(BH$990:BH995),0)</f>
        <v>0</v>
      </c>
      <c r="BJ995" s="1144"/>
      <c r="BK995" s="376"/>
      <c r="BL995" s="376"/>
      <c r="BM995" s="376"/>
      <c r="BN995" s="376"/>
      <c r="BO995" s="376"/>
      <c r="BP995" s="376"/>
      <c r="BQ995" s="376"/>
      <c r="BR995" s="376"/>
      <c r="BS995" s="376"/>
      <c r="BT995" s="376"/>
      <c r="BU995" s="376"/>
      <c r="BV995" s="376"/>
      <c r="BW995" s="376"/>
      <c r="BX995" s="376"/>
      <c r="BY995" s="376"/>
      <c r="BZ995" s="376"/>
      <c r="CA995" s="376"/>
      <c r="CB995" s="376"/>
      <c r="CC995" s="376"/>
      <c r="CD995" s="376"/>
      <c r="CE995" s="376"/>
      <c r="CF995" s="376"/>
      <c r="CG995" s="376"/>
      <c r="CH995" s="376"/>
      <c r="CI995" s="376"/>
      <c r="CJ995" s="376"/>
      <c r="CK995" s="376"/>
      <c r="CL995" s="376"/>
      <c r="CM995" s="376"/>
      <c r="CN995" s="376"/>
      <c r="CO995" s="1183"/>
      <c r="CP995" s="1183"/>
      <c r="CQ995" s="1183"/>
      <c r="CR995" s="1183"/>
      <c r="CS995" s="1183"/>
      <c r="CT995" s="1183"/>
      <c r="CU995" s="1183"/>
      <c r="CV995" s="1183"/>
      <c r="CW995" s="1183"/>
      <c r="CX995" s="1183"/>
      <c r="CY995" s="1183"/>
      <c r="CZ995" s="1183"/>
      <c r="DA995" s="1183"/>
      <c r="DB995" s="1183"/>
      <c r="DC995" s="1183"/>
      <c r="DD995" s="1183"/>
      <c r="DE995" s="1183"/>
      <c r="DF995" s="1183"/>
      <c r="DG995" s="1183"/>
      <c r="DH995" s="1183"/>
      <c r="DI995" s="1183"/>
      <c r="DJ995" s="1183"/>
      <c r="DK995" s="1183"/>
      <c r="DL995" s="1183"/>
      <c r="DM995" s="1183"/>
      <c r="DN995" s="1183"/>
      <c r="DO995" s="1183"/>
      <c r="DP995" s="1183"/>
      <c r="DQ995" s="1183"/>
    </row>
    <row r="996" spans="1:121" s="12" customFormat="1" ht="12" customHeight="1" x14ac:dyDescent="0.3">
      <c r="A996" s="84"/>
      <c r="B996" s="13"/>
      <c r="C996" s="13"/>
      <c r="D996" s="13"/>
      <c r="E996" s="13"/>
      <c r="F996" s="13"/>
      <c r="G996" s="1804"/>
      <c r="H996" s="1183"/>
      <c r="I996" s="1804"/>
      <c r="J996" s="1804"/>
      <c r="K996" s="29">
        <f t="shared" si="752"/>
        <v>1</v>
      </c>
      <c r="L996" s="485">
        <f>Infrastructure!D16</f>
        <v>0</v>
      </c>
      <c r="M996" s="34">
        <f t="shared" si="753"/>
        <v>0</v>
      </c>
      <c r="N996" s="34">
        <f t="shared" si="754"/>
        <v>0</v>
      </c>
      <c r="O996" s="34">
        <f t="shared" si="755"/>
        <v>0</v>
      </c>
      <c r="P996" s="34">
        <f t="shared" si="756"/>
        <v>0</v>
      </c>
      <c r="Q996" s="34">
        <f t="shared" si="757"/>
        <v>0</v>
      </c>
      <c r="R996" s="204">
        <f>IF(Input!D$298=AH996,Input!D$297,0)</f>
        <v>0</v>
      </c>
      <c r="S996" s="36">
        <f t="shared" si="743"/>
        <v>0</v>
      </c>
      <c r="T996" s="1814"/>
      <c r="U996" s="1814"/>
      <c r="V996" s="1814"/>
      <c r="W996" s="1817"/>
      <c r="X996" s="1814"/>
      <c r="Y996" s="1801"/>
      <c r="Z996" s="1801"/>
      <c r="AA996" s="1801"/>
      <c r="AB996" s="1801"/>
      <c r="AC996" s="1801"/>
      <c r="AD996" s="1801"/>
      <c r="AE996" s="1801"/>
      <c r="AF996" s="1814"/>
      <c r="AG996" s="376">
        <f t="shared" si="744"/>
        <v>0</v>
      </c>
      <c r="AH996" s="376">
        <v>7</v>
      </c>
      <c r="AI996" s="1151">
        <f t="shared" si="758"/>
        <v>0</v>
      </c>
      <c r="AJ996" s="1151">
        <f t="shared" si="745"/>
        <v>0</v>
      </c>
      <c r="AK996" s="1151">
        <f t="shared" si="746"/>
        <v>0</v>
      </c>
      <c r="AL996" s="1151">
        <f t="shared" si="747"/>
        <v>0</v>
      </c>
      <c r="AM996" s="1151">
        <f t="shared" si="748"/>
        <v>0</v>
      </c>
      <c r="AN996" s="376"/>
      <c r="AO996" s="1178">
        <v>7</v>
      </c>
      <c r="AP996" s="485">
        <f>Infrastructure!D16</f>
        <v>0</v>
      </c>
      <c r="AQ996" s="763">
        <f t="shared" si="759"/>
        <v>0</v>
      </c>
      <c r="AR996" s="763">
        <f t="shared" si="760"/>
        <v>0</v>
      </c>
      <c r="AS996" s="763">
        <f t="shared" si="749"/>
        <v>0</v>
      </c>
      <c r="AT996" s="170">
        <f>IF(AR996&gt;0,SUM(AS$990:AS996),0)</f>
        <v>0</v>
      </c>
      <c r="AU996" s="1144"/>
      <c r="AV996" s="376"/>
      <c r="AW996" s="376"/>
      <c r="AX996" s="1815">
        <f t="shared" si="766"/>
        <v>0</v>
      </c>
      <c r="AY996" s="763">
        <f t="shared" si="761"/>
        <v>0</v>
      </c>
      <c r="AZ996" s="763">
        <f t="shared" si="762"/>
        <v>0</v>
      </c>
      <c r="BA996" s="763">
        <f t="shared" si="750"/>
        <v>0</v>
      </c>
      <c r="BB996" s="170">
        <f>IF(AZ996&gt;0,SUM(BA$990:BA996),0)</f>
        <v>0</v>
      </c>
      <c r="BC996" s="1144"/>
      <c r="BD996" s="376"/>
      <c r="BE996" s="1815">
        <f t="shared" si="763"/>
        <v>0</v>
      </c>
      <c r="BF996" s="763">
        <f t="shared" si="764"/>
        <v>0</v>
      </c>
      <c r="BG996" s="763">
        <f t="shared" si="765"/>
        <v>0</v>
      </c>
      <c r="BH996" s="763">
        <f t="shared" si="751"/>
        <v>0</v>
      </c>
      <c r="BI996" s="170">
        <f>IF(BG996&gt;0,SUM(BH$990:BH996),0)</f>
        <v>0</v>
      </c>
      <c r="BJ996" s="1144"/>
      <c r="BK996" s="376"/>
      <c r="BL996" s="376"/>
      <c r="BM996" s="376"/>
      <c r="BN996" s="376"/>
      <c r="BO996" s="376"/>
      <c r="BP996" s="376"/>
      <c r="BQ996" s="376"/>
      <c r="BR996" s="376"/>
      <c r="BS996" s="376"/>
      <c r="BT996" s="376"/>
      <c r="BU996" s="376"/>
      <c r="BV996" s="376"/>
      <c r="BW996" s="376"/>
      <c r="BX996" s="376"/>
      <c r="BY996" s="376"/>
      <c r="BZ996" s="376"/>
      <c r="CA996" s="376"/>
      <c r="CB996" s="376"/>
      <c r="CC996" s="376"/>
      <c r="CD996" s="376"/>
      <c r="CE996" s="376"/>
      <c r="CF996" s="376"/>
      <c r="CG996" s="376"/>
      <c r="CH996" s="376"/>
      <c r="CI996" s="376"/>
      <c r="CJ996" s="376"/>
      <c r="CK996" s="376"/>
      <c r="CL996" s="376"/>
      <c r="CM996" s="376"/>
      <c r="CN996" s="376"/>
      <c r="CO996" s="1183"/>
      <c r="CP996" s="1183"/>
      <c r="CQ996" s="1183"/>
      <c r="CR996" s="1183"/>
      <c r="CS996" s="1183"/>
      <c r="CT996" s="1183"/>
      <c r="CU996" s="1183"/>
      <c r="CV996" s="1183"/>
      <c r="CW996" s="1183"/>
      <c r="CX996" s="1183"/>
      <c r="CY996" s="1183"/>
      <c r="CZ996" s="1183"/>
      <c r="DA996" s="1183"/>
      <c r="DB996" s="1183"/>
      <c r="DC996" s="1183"/>
      <c r="DD996" s="1183"/>
      <c r="DE996" s="1183"/>
      <c r="DF996" s="1183"/>
      <c r="DG996" s="1183"/>
      <c r="DH996" s="1183"/>
      <c r="DI996" s="1183"/>
      <c r="DJ996" s="1183"/>
      <c r="DK996" s="1183"/>
      <c r="DL996" s="1183"/>
      <c r="DM996" s="1183"/>
      <c r="DN996" s="1183"/>
      <c r="DO996" s="1183"/>
      <c r="DP996" s="1183"/>
      <c r="DQ996" s="1183"/>
    </row>
    <row r="997" spans="1:121" s="12" customFormat="1" ht="12" customHeight="1" x14ac:dyDescent="0.3">
      <c r="A997" s="84"/>
      <c r="B997" s="13"/>
      <c r="C997" s="13"/>
      <c r="D997" s="13"/>
      <c r="E997" s="13"/>
      <c r="F997" s="13"/>
      <c r="G997" s="1804"/>
      <c r="H997" s="1183"/>
      <c r="I997" s="1804"/>
      <c r="J997" s="1804"/>
      <c r="K997" s="29">
        <f t="shared" si="752"/>
        <v>1</v>
      </c>
      <c r="L997" s="485">
        <f>Infrastructure!D17</f>
        <v>0</v>
      </c>
      <c r="M997" s="34">
        <f t="shared" si="753"/>
        <v>0</v>
      </c>
      <c r="N997" s="34">
        <f t="shared" si="754"/>
        <v>0</v>
      </c>
      <c r="O997" s="34">
        <f t="shared" si="755"/>
        <v>0</v>
      </c>
      <c r="P997" s="34">
        <f t="shared" si="756"/>
        <v>0</v>
      </c>
      <c r="Q997" s="34">
        <f t="shared" si="757"/>
        <v>0</v>
      </c>
      <c r="R997" s="204">
        <f>IF(Input!D$298=AH997,Input!D$297,0)</f>
        <v>0</v>
      </c>
      <c r="S997" s="36">
        <f t="shared" si="743"/>
        <v>0</v>
      </c>
      <c r="T997" s="1814"/>
      <c r="U997" s="1814"/>
      <c r="V997" s="1814"/>
      <c r="W997" s="1817"/>
      <c r="X997" s="1814"/>
      <c r="Y997" s="1801"/>
      <c r="Z997" s="1801"/>
      <c r="AA997" s="1801"/>
      <c r="AB997" s="1801"/>
      <c r="AC997" s="1801"/>
      <c r="AD997" s="1801"/>
      <c r="AE997" s="1801"/>
      <c r="AF997" s="1814"/>
      <c r="AG997" s="376">
        <f t="shared" si="744"/>
        <v>0</v>
      </c>
      <c r="AH997" s="376">
        <v>8</v>
      </c>
      <c r="AI997" s="1151">
        <f t="shared" si="758"/>
        <v>0</v>
      </c>
      <c r="AJ997" s="1151">
        <f t="shared" si="745"/>
        <v>0</v>
      </c>
      <c r="AK997" s="1151">
        <f t="shared" si="746"/>
        <v>0</v>
      </c>
      <c r="AL997" s="1151">
        <f t="shared" si="747"/>
        <v>0</v>
      </c>
      <c r="AM997" s="1151">
        <f t="shared" si="748"/>
        <v>0</v>
      </c>
      <c r="AN997" s="376"/>
      <c r="AO997" s="1178">
        <v>8</v>
      </c>
      <c r="AP997" s="485">
        <f>Infrastructure!D17</f>
        <v>0</v>
      </c>
      <c r="AQ997" s="763">
        <f t="shared" si="759"/>
        <v>0</v>
      </c>
      <c r="AR997" s="763">
        <f t="shared" si="760"/>
        <v>0</v>
      </c>
      <c r="AS997" s="763">
        <f t="shared" si="749"/>
        <v>0</v>
      </c>
      <c r="AT997" s="170">
        <f>IF(AR997&gt;0,SUM(AS$990:AS997),0)</f>
        <v>0</v>
      </c>
      <c r="AU997" s="1144"/>
      <c r="AV997" s="376"/>
      <c r="AW997" s="376"/>
      <c r="AX997" s="1815">
        <f t="shared" si="766"/>
        <v>0</v>
      </c>
      <c r="AY997" s="763">
        <f t="shared" si="761"/>
        <v>0</v>
      </c>
      <c r="AZ997" s="763">
        <f t="shared" si="762"/>
        <v>0</v>
      </c>
      <c r="BA997" s="763">
        <f t="shared" si="750"/>
        <v>0</v>
      </c>
      <c r="BB997" s="170">
        <f>IF(AZ997&gt;0,SUM(BA$990:BA997),0)</f>
        <v>0</v>
      </c>
      <c r="BC997" s="1144"/>
      <c r="BD997" s="376"/>
      <c r="BE997" s="1815">
        <f t="shared" si="763"/>
        <v>0</v>
      </c>
      <c r="BF997" s="763">
        <f t="shared" si="764"/>
        <v>0</v>
      </c>
      <c r="BG997" s="763">
        <f t="shared" si="765"/>
        <v>0</v>
      </c>
      <c r="BH997" s="763">
        <f t="shared" si="751"/>
        <v>0</v>
      </c>
      <c r="BI997" s="170">
        <f>IF(BG997&gt;0,SUM(BH$990:BH997),0)</f>
        <v>0</v>
      </c>
      <c r="BJ997" s="1144"/>
      <c r="BK997" s="376"/>
      <c r="BL997" s="376"/>
      <c r="BM997" s="376"/>
      <c r="BN997" s="376"/>
      <c r="BO997" s="376"/>
      <c r="BP997" s="376"/>
      <c r="BQ997" s="376"/>
      <c r="BR997" s="376"/>
      <c r="BS997" s="376"/>
      <c r="BT997" s="376"/>
      <c r="BU997" s="376"/>
      <c r="BV997" s="376"/>
      <c r="BW997" s="376"/>
      <c r="BX997" s="376"/>
      <c r="BY997" s="376"/>
      <c r="BZ997" s="376"/>
      <c r="CA997" s="376"/>
      <c r="CB997" s="376"/>
      <c r="CC997" s="376"/>
      <c r="CD997" s="376"/>
      <c r="CE997" s="376"/>
      <c r="CF997" s="376"/>
      <c r="CG997" s="376"/>
      <c r="CH997" s="376"/>
      <c r="CI997" s="376"/>
      <c r="CJ997" s="376"/>
      <c r="CK997" s="376"/>
      <c r="CL997" s="376"/>
      <c r="CM997" s="376"/>
      <c r="CN997" s="376"/>
      <c r="CO997" s="1183"/>
      <c r="CP997" s="1183"/>
      <c r="CQ997" s="1183"/>
      <c r="CR997" s="1183"/>
      <c r="CS997" s="1183"/>
      <c r="CT997" s="1183"/>
      <c r="CU997" s="1183"/>
      <c r="CV997" s="1183"/>
      <c r="CW997" s="1183"/>
      <c r="CX997" s="1183"/>
      <c r="CY997" s="1183"/>
      <c r="CZ997" s="1183"/>
      <c r="DA997" s="1183"/>
      <c r="DB997" s="1183"/>
      <c r="DC997" s="1183"/>
      <c r="DD997" s="1183"/>
      <c r="DE997" s="1183"/>
      <c r="DF997" s="1183"/>
      <c r="DG997" s="1183"/>
      <c r="DH997" s="1183"/>
      <c r="DI997" s="1183"/>
      <c r="DJ997" s="1183"/>
      <c r="DK997" s="1183"/>
      <c r="DL997" s="1183"/>
      <c r="DM997" s="1183"/>
      <c r="DN997" s="1183"/>
      <c r="DO997" s="1183"/>
      <c r="DP997" s="1183"/>
      <c r="DQ997" s="1183"/>
    </row>
    <row r="998" spans="1:121" s="12" customFormat="1" ht="12" customHeight="1" x14ac:dyDescent="0.3">
      <c r="A998" s="84"/>
      <c r="B998" s="13"/>
      <c r="C998" s="13"/>
      <c r="D998" s="13"/>
      <c r="E998" s="13"/>
      <c r="F998" s="13"/>
      <c r="G998" s="1804"/>
      <c r="H998" s="1183"/>
      <c r="I998" s="1804"/>
      <c r="J998" s="1804"/>
      <c r="K998" s="29">
        <f t="shared" si="752"/>
        <v>1</v>
      </c>
      <c r="L998" s="485">
        <f>Infrastructure!D18</f>
        <v>0</v>
      </c>
      <c r="M998" s="34">
        <f t="shared" si="753"/>
        <v>0</v>
      </c>
      <c r="N998" s="34">
        <f t="shared" si="754"/>
        <v>0</v>
      </c>
      <c r="O998" s="34">
        <f t="shared" si="755"/>
        <v>0</v>
      </c>
      <c r="P998" s="34">
        <f t="shared" si="756"/>
        <v>0</v>
      </c>
      <c r="Q998" s="34">
        <f t="shared" si="757"/>
        <v>0</v>
      </c>
      <c r="R998" s="204">
        <f>IF(Input!D$298=AH998,Input!D$297,0)</f>
        <v>0</v>
      </c>
      <c r="S998" s="36">
        <f t="shared" si="743"/>
        <v>0</v>
      </c>
      <c r="T998" s="1814"/>
      <c r="U998" s="1814"/>
      <c r="V998" s="1814"/>
      <c r="W998" s="1817"/>
      <c r="X998" s="1814"/>
      <c r="Y998" s="1801"/>
      <c r="Z998" s="1801"/>
      <c r="AA998" s="1801"/>
      <c r="AB998" s="1801"/>
      <c r="AC998" s="1801"/>
      <c r="AD998" s="1801"/>
      <c r="AE998" s="1801"/>
      <c r="AF998" s="1814"/>
      <c r="AG998" s="376">
        <f t="shared" si="744"/>
        <v>0</v>
      </c>
      <c r="AH998" s="376">
        <v>9</v>
      </c>
      <c r="AI998" s="1151">
        <f t="shared" si="758"/>
        <v>0</v>
      </c>
      <c r="AJ998" s="1151">
        <f t="shared" si="745"/>
        <v>0</v>
      </c>
      <c r="AK998" s="1151">
        <f t="shared" si="746"/>
        <v>0</v>
      </c>
      <c r="AL998" s="1151">
        <f t="shared" si="747"/>
        <v>0</v>
      </c>
      <c r="AM998" s="1151">
        <f t="shared" si="748"/>
        <v>0</v>
      </c>
      <c r="AN998" s="376"/>
      <c r="AO998" s="1178">
        <v>9</v>
      </c>
      <c r="AP998" s="485">
        <f>Infrastructure!D18</f>
        <v>0</v>
      </c>
      <c r="AQ998" s="763">
        <f t="shared" si="759"/>
        <v>0</v>
      </c>
      <c r="AR998" s="763">
        <f t="shared" si="760"/>
        <v>0</v>
      </c>
      <c r="AS998" s="763">
        <f t="shared" si="749"/>
        <v>0</v>
      </c>
      <c r="AT998" s="170">
        <f>IF(AR998&gt;0,SUM(AS$990:AS998),0)</f>
        <v>0</v>
      </c>
      <c r="AU998" s="1144"/>
      <c r="AV998" s="376"/>
      <c r="AW998" s="376"/>
      <c r="AX998" s="1815">
        <f t="shared" si="766"/>
        <v>0</v>
      </c>
      <c r="AY998" s="763">
        <f t="shared" si="761"/>
        <v>0</v>
      </c>
      <c r="AZ998" s="763">
        <f t="shared" si="762"/>
        <v>0</v>
      </c>
      <c r="BA998" s="763">
        <f t="shared" si="750"/>
        <v>0</v>
      </c>
      <c r="BB998" s="170">
        <f>IF(AZ998&gt;0,SUM(BA$990:BA998),0)</f>
        <v>0</v>
      </c>
      <c r="BC998" s="1144"/>
      <c r="BD998" s="376"/>
      <c r="BE998" s="1815">
        <f t="shared" si="763"/>
        <v>0</v>
      </c>
      <c r="BF998" s="763">
        <f t="shared" si="764"/>
        <v>0</v>
      </c>
      <c r="BG998" s="763">
        <f t="shared" si="765"/>
        <v>0</v>
      </c>
      <c r="BH998" s="763">
        <f t="shared" si="751"/>
        <v>0</v>
      </c>
      <c r="BI998" s="170">
        <f>IF(BG998&gt;0,SUM(BH$990:BH998),0)</f>
        <v>0</v>
      </c>
      <c r="BJ998" s="1144"/>
      <c r="BK998" s="376"/>
      <c r="BL998" s="376"/>
      <c r="BM998" s="376"/>
      <c r="BN998" s="376"/>
      <c r="BO998" s="376"/>
      <c r="BP998" s="376"/>
      <c r="BQ998" s="376"/>
      <c r="BR998" s="376"/>
      <c r="BS998" s="376"/>
      <c r="BT998" s="376"/>
      <c r="BU998" s="376"/>
      <c r="BV998" s="376"/>
      <c r="BW998" s="376"/>
      <c r="BX998" s="376"/>
      <c r="BY998" s="376"/>
      <c r="BZ998" s="376"/>
      <c r="CA998" s="376"/>
      <c r="CB998" s="376"/>
      <c r="CC998" s="376"/>
      <c r="CD998" s="376"/>
      <c r="CE998" s="376"/>
      <c r="CF998" s="376"/>
      <c r="CG998" s="376"/>
      <c r="CH998" s="376"/>
      <c r="CI998" s="376"/>
      <c r="CJ998" s="376"/>
      <c r="CK998" s="376"/>
      <c r="CL998" s="376"/>
      <c r="CM998" s="376"/>
      <c r="CN998" s="376"/>
      <c r="CO998" s="1183"/>
      <c r="CP998" s="1183"/>
      <c r="CQ998" s="1183"/>
      <c r="CR998" s="1183"/>
      <c r="CS998" s="1183"/>
      <c r="CT998" s="1183"/>
      <c r="CU998" s="1183"/>
      <c r="CV998" s="1183"/>
      <c r="CW998" s="1183"/>
      <c r="CX998" s="1183"/>
      <c r="CY998" s="1183"/>
      <c r="CZ998" s="1183"/>
      <c r="DA998" s="1183"/>
      <c r="DB998" s="1183"/>
      <c r="DC998" s="1183"/>
      <c r="DD998" s="1183"/>
      <c r="DE998" s="1183"/>
      <c r="DF998" s="1183"/>
      <c r="DG998" s="1183"/>
      <c r="DH998" s="1183"/>
      <c r="DI998" s="1183"/>
      <c r="DJ998" s="1183"/>
      <c r="DK998" s="1183"/>
      <c r="DL998" s="1183"/>
      <c r="DM998" s="1183"/>
      <c r="DN998" s="1183"/>
      <c r="DO998" s="1183"/>
      <c r="DP998" s="1183"/>
      <c r="DQ998" s="1183"/>
    </row>
    <row r="999" spans="1:121" s="12" customFormat="1" ht="12" customHeight="1" x14ac:dyDescent="0.3">
      <c r="A999" s="84"/>
      <c r="B999" s="13"/>
      <c r="C999" s="13"/>
      <c r="D999" s="13"/>
      <c r="E999" s="13"/>
      <c r="F999" s="13"/>
      <c r="G999" s="1804"/>
      <c r="H999" s="1183"/>
      <c r="I999" s="1804"/>
      <c r="J999" s="1804"/>
      <c r="K999" s="29">
        <f t="shared" si="752"/>
        <v>1</v>
      </c>
      <c r="L999" s="485">
        <f>Infrastructure!D19</f>
        <v>0</v>
      </c>
      <c r="M999" s="34">
        <f t="shared" si="753"/>
        <v>0</v>
      </c>
      <c r="N999" s="34">
        <f t="shared" si="754"/>
        <v>0</v>
      </c>
      <c r="O999" s="34">
        <f t="shared" si="755"/>
        <v>0</v>
      </c>
      <c r="P999" s="34">
        <f t="shared" si="756"/>
        <v>0</v>
      </c>
      <c r="Q999" s="34">
        <f t="shared" si="757"/>
        <v>0</v>
      </c>
      <c r="R999" s="204">
        <f>IF(Input!D$298=AH999,Input!D$297,0)</f>
        <v>0</v>
      </c>
      <c r="S999" s="36">
        <f t="shared" si="743"/>
        <v>0</v>
      </c>
      <c r="T999" s="1814"/>
      <c r="U999" s="1814"/>
      <c r="V999" s="1814"/>
      <c r="W999" s="1817"/>
      <c r="X999" s="1814"/>
      <c r="Y999" s="1801"/>
      <c r="Z999" s="1801"/>
      <c r="AA999" s="1801"/>
      <c r="AB999" s="1801"/>
      <c r="AC999" s="1801"/>
      <c r="AD999" s="1801"/>
      <c r="AE999" s="1801"/>
      <c r="AF999" s="1814"/>
      <c r="AG999" s="376">
        <f t="shared" si="744"/>
        <v>0</v>
      </c>
      <c r="AH999" s="376">
        <v>10</v>
      </c>
      <c r="AI999" s="1151">
        <f t="shared" si="758"/>
        <v>0</v>
      </c>
      <c r="AJ999" s="1151">
        <f t="shared" si="745"/>
        <v>0</v>
      </c>
      <c r="AK999" s="1151">
        <f t="shared" si="746"/>
        <v>0</v>
      </c>
      <c r="AL999" s="1151">
        <f t="shared" si="747"/>
        <v>0</v>
      </c>
      <c r="AM999" s="1151">
        <f t="shared" si="748"/>
        <v>0</v>
      </c>
      <c r="AN999" s="376"/>
      <c r="AO999" s="1178">
        <v>10</v>
      </c>
      <c r="AP999" s="485">
        <f>Infrastructure!D19</f>
        <v>0</v>
      </c>
      <c r="AQ999" s="763">
        <f t="shared" si="759"/>
        <v>0</v>
      </c>
      <c r="AR999" s="763">
        <f t="shared" si="760"/>
        <v>0</v>
      </c>
      <c r="AS999" s="763">
        <f t="shared" si="749"/>
        <v>0</v>
      </c>
      <c r="AT999" s="170">
        <f>IF(AR999&gt;0,SUM(AS$990:AS999),0)</f>
        <v>0</v>
      </c>
      <c r="AU999" s="1144"/>
      <c r="AV999" s="376"/>
      <c r="AW999" s="376"/>
      <c r="AX999" s="1815">
        <f t="shared" si="766"/>
        <v>0</v>
      </c>
      <c r="AY999" s="763">
        <f t="shared" si="761"/>
        <v>0</v>
      </c>
      <c r="AZ999" s="763">
        <f t="shared" si="762"/>
        <v>0</v>
      </c>
      <c r="BA999" s="763">
        <f t="shared" si="750"/>
        <v>0</v>
      </c>
      <c r="BB999" s="170">
        <f>IF(AZ999&gt;0,SUM(BA$990:BA999),0)</f>
        <v>0</v>
      </c>
      <c r="BC999" s="1144"/>
      <c r="BD999" s="376"/>
      <c r="BE999" s="1815">
        <f t="shared" si="763"/>
        <v>0</v>
      </c>
      <c r="BF999" s="763">
        <f t="shared" si="764"/>
        <v>0</v>
      </c>
      <c r="BG999" s="763">
        <f t="shared" si="765"/>
        <v>0</v>
      </c>
      <c r="BH999" s="763">
        <f t="shared" si="751"/>
        <v>0</v>
      </c>
      <c r="BI999" s="170">
        <f>IF(BG999&gt;0,SUM(BH$990:BH999),0)</f>
        <v>0</v>
      </c>
      <c r="BJ999" s="1144"/>
      <c r="BK999" s="376"/>
      <c r="BL999" s="376"/>
      <c r="BM999" s="376"/>
      <c r="BN999" s="376"/>
      <c r="BO999" s="376"/>
      <c r="BP999" s="376"/>
      <c r="BQ999" s="376"/>
      <c r="BR999" s="376"/>
      <c r="BS999" s="376"/>
      <c r="BT999" s="376"/>
      <c r="BU999" s="376"/>
      <c r="BV999" s="376"/>
      <c r="BW999" s="376"/>
      <c r="BX999" s="376"/>
      <c r="BY999" s="376"/>
      <c r="BZ999" s="376"/>
      <c r="CA999" s="376"/>
      <c r="CB999" s="376"/>
      <c r="CC999" s="376"/>
      <c r="CD999" s="376"/>
      <c r="CE999" s="376"/>
      <c r="CF999" s="376"/>
      <c r="CG999" s="376"/>
      <c r="CH999" s="376"/>
      <c r="CI999" s="376"/>
      <c r="CJ999" s="376"/>
      <c r="CK999" s="376"/>
      <c r="CL999" s="376"/>
      <c r="CM999" s="376"/>
      <c r="CN999" s="376"/>
      <c r="CO999" s="1183"/>
      <c r="CP999" s="1183"/>
      <c r="CQ999" s="1183"/>
      <c r="CR999" s="1183"/>
      <c r="CS999" s="1183"/>
      <c r="CT999" s="1183"/>
      <c r="CU999" s="1183"/>
      <c r="CV999" s="1183"/>
      <c r="CW999" s="1183"/>
      <c r="CX999" s="1183"/>
      <c r="CY999" s="1183"/>
      <c r="CZ999" s="1183"/>
      <c r="DA999" s="1183"/>
      <c r="DB999" s="1183"/>
      <c r="DC999" s="1183"/>
      <c r="DD999" s="1183"/>
      <c r="DE999" s="1183"/>
      <c r="DF999" s="1183"/>
      <c r="DG999" s="1183"/>
      <c r="DH999" s="1183"/>
      <c r="DI999" s="1183"/>
      <c r="DJ999" s="1183"/>
      <c r="DK999" s="1183"/>
      <c r="DL999" s="1183"/>
      <c r="DM999" s="1183"/>
      <c r="DN999" s="1183"/>
      <c r="DO999" s="1183"/>
      <c r="DP999" s="1183"/>
      <c r="DQ999" s="1183"/>
    </row>
    <row r="1000" spans="1:121" s="12" customFormat="1" ht="12" customHeight="1" x14ac:dyDescent="0.3">
      <c r="A1000" s="84"/>
      <c r="B1000" s="13"/>
      <c r="C1000" s="13"/>
      <c r="D1000" s="13"/>
      <c r="E1000" s="13"/>
      <c r="F1000" s="13"/>
      <c r="G1000" s="1804"/>
      <c r="H1000" s="1183"/>
      <c r="I1000" s="1804"/>
      <c r="J1000" s="1804"/>
      <c r="K1000" s="29">
        <f t="shared" si="752"/>
        <v>1</v>
      </c>
      <c r="L1000" s="485">
        <f>Infrastructure!D20</f>
        <v>0</v>
      </c>
      <c r="M1000" s="34">
        <f t="shared" si="753"/>
        <v>0</v>
      </c>
      <c r="N1000" s="34">
        <f t="shared" si="754"/>
        <v>0</v>
      </c>
      <c r="O1000" s="34">
        <f t="shared" si="755"/>
        <v>0</v>
      </c>
      <c r="P1000" s="34">
        <f t="shared" si="756"/>
        <v>0</v>
      </c>
      <c r="Q1000" s="34">
        <f t="shared" si="757"/>
        <v>0</v>
      </c>
      <c r="R1000" s="204">
        <f>IF(Input!D$298=AH1000,Input!D$297,0)</f>
        <v>0</v>
      </c>
      <c r="S1000" s="36">
        <f t="shared" si="743"/>
        <v>0</v>
      </c>
      <c r="T1000" s="1814"/>
      <c r="U1000" s="1814"/>
      <c r="V1000" s="1814"/>
      <c r="W1000" s="1817"/>
      <c r="X1000" s="1814"/>
      <c r="Y1000" s="1801"/>
      <c r="Z1000" s="1801"/>
      <c r="AA1000" s="1801"/>
      <c r="AB1000" s="1801"/>
      <c r="AC1000" s="1801"/>
      <c r="AD1000" s="1801"/>
      <c r="AE1000" s="1801"/>
      <c r="AF1000" s="1814"/>
      <c r="AG1000" s="376">
        <f t="shared" si="744"/>
        <v>0</v>
      </c>
      <c r="AH1000" s="376">
        <v>11</v>
      </c>
      <c r="AI1000" s="1151">
        <f t="shared" si="758"/>
        <v>0</v>
      </c>
      <c r="AJ1000" s="1151">
        <f t="shared" si="745"/>
        <v>0</v>
      </c>
      <c r="AK1000" s="1151">
        <f t="shared" si="746"/>
        <v>0</v>
      </c>
      <c r="AL1000" s="1151">
        <f t="shared" si="747"/>
        <v>0</v>
      </c>
      <c r="AM1000" s="1151">
        <f t="shared" si="748"/>
        <v>0</v>
      </c>
      <c r="AN1000" s="376"/>
      <c r="AO1000" s="1178">
        <v>11</v>
      </c>
      <c r="AP1000" s="485">
        <f>Infrastructure!D20</f>
        <v>0</v>
      </c>
      <c r="AQ1000" s="763">
        <f t="shared" si="759"/>
        <v>0</v>
      </c>
      <c r="AR1000" s="763">
        <f t="shared" si="760"/>
        <v>0</v>
      </c>
      <c r="AS1000" s="763">
        <f t="shared" si="749"/>
        <v>0</v>
      </c>
      <c r="AT1000" s="170">
        <f>IF(AR1000&gt;0,SUM(AS$990:AS1000),0)</f>
        <v>0</v>
      </c>
      <c r="AU1000" s="1144"/>
      <c r="AV1000" s="376"/>
      <c r="AW1000" s="376"/>
      <c r="AX1000" s="1815">
        <f t="shared" si="766"/>
        <v>0</v>
      </c>
      <c r="AY1000" s="763">
        <f t="shared" si="761"/>
        <v>0</v>
      </c>
      <c r="AZ1000" s="763">
        <f t="shared" si="762"/>
        <v>0</v>
      </c>
      <c r="BA1000" s="763">
        <f t="shared" si="750"/>
        <v>0</v>
      </c>
      <c r="BB1000" s="170">
        <f>IF(AZ1000&gt;0,SUM(BA$990:BA1000),0)</f>
        <v>0</v>
      </c>
      <c r="BC1000" s="1144"/>
      <c r="BD1000" s="376"/>
      <c r="BE1000" s="1815">
        <f t="shared" si="763"/>
        <v>0</v>
      </c>
      <c r="BF1000" s="763">
        <f t="shared" si="764"/>
        <v>0</v>
      </c>
      <c r="BG1000" s="763">
        <f t="shared" si="765"/>
        <v>0</v>
      </c>
      <c r="BH1000" s="763">
        <f t="shared" si="751"/>
        <v>0</v>
      </c>
      <c r="BI1000" s="170">
        <f>IF(BG1000&gt;0,SUM(BH$990:BH1000),0)</f>
        <v>0</v>
      </c>
      <c r="BJ1000" s="1144"/>
      <c r="BK1000" s="376"/>
      <c r="BL1000" s="376"/>
      <c r="BM1000" s="376"/>
      <c r="BN1000" s="376"/>
      <c r="BO1000" s="376"/>
      <c r="BP1000" s="376"/>
      <c r="BQ1000" s="376"/>
      <c r="BR1000" s="376"/>
      <c r="BS1000" s="376"/>
      <c r="BT1000" s="376"/>
      <c r="BU1000" s="376"/>
      <c r="BV1000" s="376"/>
      <c r="BW1000" s="376"/>
      <c r="BX1000" s="376"/>
      <c r="BY1000" s="376"/>
      <c r="BZ1000" s="376"/>
      <c r="CA1000" s="376"/>
      <c r="CB1000" s="376"/>
      <c r="CC1000" s="376"/>
      <c r="CD1000" s="376"/>
      <c r="CE1000" s="376"/>
      <c r="CF1000" s="376"/>
      <c r="CG1000" s="376"/>
      <c r="CH1000" s="376"/>
      <c r="CI1000" s="376"/>
      <c r="CJ1000" s="376"/>
      <c r="CK1000" s="376"/>
      <c r="CL1000" s="376"/>
      <c r="CM1000" s="376"/>
      <c r="CN1000" s="376"/>
      <c r="CO1000" s="1183"/>
      <c r="CP1000" s="1183"/>
      <c r="CQ1000" s="1183"/>
      <c r="CR1000" s="1183"/>
      <c r="CS1000" s="1183"/>
      <c r="CT1000" s="1183"/>
      <c r="CU1000" s="1183"/>
      <c r="CV1000" s="1183"/>
      <c r="CW1000" s="1183"/>
      <c r="CX1000" s="1183"/>
      <c r="CY1000" s="1183"/>
      <c r="CZ1000" s="1183"/>
      <c r="DA1000" s="1183"/>
      <c r="DB1000" s="1183"/>
      <c r="DC1000" s="1183"/>
      <c r="DD1000" s="1183"/>
      <c r="DE1000" s="1183"/>
      <c r="DF1000" s="1183"/>
      <c r="DG1000" s="1183"/>
      <c r="DH1000" s="1183"/>
      <c r="DI1000" s="1183"/>
      <c r="DJ1000" s="1183"/>
      <c r="DK1000" s="1183"/>
      <c r="DL1000" s="1183"/>
      <c r="DM1000" s="1183"/>
      <c r="DN1000" s="1183"/>
      <c r="DO1000" s="1183"/>
      <c r="DP1000" s="1183"/>
      <c r="DQ1000" s="1183"/>
    </row>
    <row r="1001" spans="1:121" s="12" customFormat="1" ht="12" customHeight="1" x14ac:dyDescent="0.3">
      <c r="A1001" s="84"/>
      <c r="B1001" s="13"/>
      <c r="C1001" s="13"/>
      <c r="D1001" s="13"/>
      <c r="E1001" s="13"/>
      <c r="F1001" s="13"/>
      <c r="G1001" s="1804"/>
      <c r="H1001" s="1183"/>
      <c r="I1001" s="1804"/>
      <c r="J1001" s="1804"/>
      <c r="K1001" s="29">
        <f t="shared" si="752"/>
        <v>1</v>
      </c>
      <c r="L1001" s="485">
        <f>Infrastructure!D21</f>
        <v>0</v>
      </c>
      <c r="M1001" s="34">
        <f t="shared" si="753"/>
        <v>0</v>
      </c>
      <c r="N1001" s="34">
        <f t="shared" si="754"/>
        <v>0</v>
      </c>
      <c r="O1001" s="34">
        <f t="shared" si="755"/>
        <v>0</v>
      </c>
      <c r="P1001" s="34">
        <f t="shared" si="756"/>
        <v>0</v>
      </c>
      <c r="Q1001" s="34">
        <f t="shared" si="757"/>
        <v>0</v>
      </c>
      <c r="R1001" s="204">
        <f>IF(Input!D$298=AH1001,Input!D$297,0)</f>
        <v>0</v>
      </c>
      <c r="S1001" s="36">
        <f t="shared" si="743"/>
        <v>0</v>
      </c>
      <c r="T1001" s="1814"/>
      <c r="U1001" s="1814"/>
      <c r="V1001" s="1814"/>
      <c r="W1001" s="1817"/>
      <c r="X1001" s="1814"/>
      <c r="Y1001" s="1801"/>
      <c r="Z1001" s="1801"/>
      <c r="AA1001" s="1801"/>
      <c r="AB1001" s="1801"/>
      <c r="AC1001" s="1801"/>
      <c r="AD1001" s="1801"/>
      <c r="AE1001" s="1801"/>
      <c r="AF1001" s="1814"/>
      <c r="AG1001" s="376">
        <f t="shared" si="744"/>
        <v>0</v>
      </c>
      <c r="AH1001" s="376">
        <v>12</v>
      </c>
      <c r="AI1001" s="1151">
        <f t="shared" si="758"/>
        <v>0</v>
      </c>
      <c r="AJ1001" s="1151">
        <f t="shared" si="745"/>
        <v>0</v>
      </c>
      <c r="AK1001" s="1151">
        <f t="shared" si="746"/>
        <v>0</v>
      </c>
      <c r="AL1001" s="1151">
        <f t="shared" si="747"/>
        <v>0</v>
      </c>
      <c r="AM1001" s="1151">
        <f t="shared" si="748"/>
        <v>0</v>
      </c>
      <c r="AN1001" s="376"/>
      <c r="AO1001" s="1178">
        <v>12</v>
      </c>
      <c r="AP1001" s="485">
        <f>Infrastructure!D21</f>
        <v>0</v>
      </c>
      <c r="AQ1001" s="763">
        <f t="shared" si="759"/>
        <v>0</v>
      </c>
      <c r="AR1001" s="763">
        <f t="shared" si="760"/>
        <v>0</v>
      </c>
      <c r="AS1001" s="763">
        <f t="shared" si="749"/>
        <v>0</v>
      </c>
      <c r="AT1001" s="170">
        <f>IF(AR1001&gt;0,SUM(AS$990:AS1001),0)</f>
        <v>0</v>
      </c>
      <c r="AU1001" s="1144"/>
      <c r="AV1001" s="376"/>
      <c r="AW1001" s="376"/>
      <c r="AX1001" s="1815">
        <f t="shared" si="766"/>
        <v>0</v>
      </c>
      <c r="AY1001" s="763">
        <f t="shared" si="761"/>
        <v>0</v>
      </c>
      <c r="AZ1001" s="763">
        <f t="shared" si="762"/>
        <v>0</v>
      </c>
      <c r="BA1001" s="763">
        <f t="shared" si="750"/>
        <v>0</v>
      </c>
      <c r="BB1001" s="170">
        <f>IF(AZ1001&gt;0,SUM(BA$990:BA1001),0)</f>
        <v>0</v>
      </c>
      <c r="BC1001" s="1144"/>
      <c r="BD1001" s="376"/>
      <c r="BE1001" s="1815">
        <f t="shared" si="763"/>
        <v>0</v>
      </c>
      <c r="BF1001" s="763">
        <f t="shared" si="764"/>
        <v>0</v>
      </c>
      <c r="BG1001" s="763">
        <f t="shared" si="765"/>
        <v>0</v>
      </c>
      <c r="BH1001" s="763">
        <f t="shared" si="751"/>
        <v>0</v>
      </c>
      <c r="BI1001" s="170">
        <f>IF(BG1001&gt;0,SUM(BH$990:BH1001),0)</f>
        <v>0</v>
      </c>
      <c r="BJ1001" s="1144"/>
      <c r="BK1001" s="376"/>
      <c r="BL1001" s="376"/>
      <c r="BM1001" s="376"/>
      <c r="BN1001" s="376"/>
      <c r="BO1001" s="376"/>
      <c r="BP1001" s="376"/>
      <c r="BQ1001" s="376"/>
      <c r="BR1001" s="376"/>
      <c r="BS1001" s="376"/>
      <c r="BT1001" s="376"/>
      <c r="BU1001" s="376"/>
      <c r="BV1001" s="376"/>
      <c r="BW1001" s="376"/>
      <c r="BX1001" s="376"/>
      <c r="BY1001" s="376"/>
      <c r="BZ1001" s="376"/>
      <c r="CA1001" s="376"/>
      <c r="CB1001" s="376"/>
      <c r="CC1001" s="376"/>
      <c r="CD1001" s="376"/>
      <c r="CE1001" s="376"/>
      <c r="CF1001" s="376"/>
      <c r="CG1001" s="376"/>
      <c r="CH1001" s="376"/>
      <c r="CI1001" s="376"/>
      <c r="CJ1001" s="376"/>
      <c r="CK1001" s="376"/>
      <c r="CL1001" s="376"/>
      <c r="CM1001" s="376"/>
      <c r="CN1001" s="376"/>
      <c r="CO1001" s="1183"/>
      <c r="CP1001" s="1183"/>
      <c r="CQ1001" s="1183"/>
      <c r="CR1001" s="1183"/>
      <c r="CS1001" s="1183"/>
      <c r="CT1001" s="1183"/>
      <c r="CU1001" s="1183"/>
      <c r="CV1001" s="1183"/>
      <c r="CW1001" s="1183"/>
      <c r="CX1001" s="1183"/>
      <c r="CY1001" s="1183"/>
      <c r="CZ1001" s="1183"/>
      <c r="DA1001" s="1183"/>
      <c r="DB1001" s="1183"/>
      <c r="DC1001" s="1183"/>
      <c r="DD1001" s="1183"/>
      <c r="DE1001" s="1183"/>
      <c r="DF1001" s="1183"/>
      <c r="DG1001" s="1183"/>
      <c r="DH1001" s="1183"/>
      <c r="DI1001" s="1183"/>
      <c r="DJ1001" s="1183"/>
      <c r="DK1001" s="1183"/>
      <c r="DL1001" s="1183"/>
      <c r="DM1001" s="1183"/>
      <c r="DN1001" s="1183"/>
      <c r="DO1001" s="1183"/>
      <c r="DP1001" s="1183"/>
      <c r="DQ1001" s="1183"/>
    </row>
    <row r="1002" spans="1:121" s="12" customFormat="1" ht="12" customHeight="1" x14ac:dyDescent="0.3">
      <c r="A1002" s="84"/>
      <c r="B1002" s="13"/>
      <c r="C1002" s="13"/>
      <c r="D1002" s="13"/>
      <c r="E1002" s="13"/>
      <c r="F1002" s="13"/>
      <c r="G1002" s="1804"/>
      <c r="H1002" s="1183"/>
      <c r="I1002" s="1804"/>
      <c r="J1002" s="1804"/>
      <c r="K1002" s="29">
        <f t="shared" si="752"/>
        <v>1</v>
      </c>
      <c r="L1002" s="485">
        <f>Infrastructure!D22</f>
        <v>0</v>
      </c>
      <c r="M1002" s="34">
        <f t="shared" si="753"/>
        <v>0</v>
      </c>
      <c r="N1002" s="34">
        <f t="shared" si="754"/>
        <v>0</v>
      </c>
      <c r="O1002" s="34">
        <f t="shared" si="755"/>
        <v>0</v>
      </c>
      <c r="P1002" s="34">
        <f t="shared" si="756"/>
        <v>0</v>
      </c>
      <c r="Q1002" s="34">
        <f t="shared" si="757"/>
        <v>0</v>
      </c>
      <c r="R1002" s="204">
        <f>IF(Input!D$298=AH1002,Input!D$297,0)</f>
        <v>0</v>
      </c>
      <c r="S1002" s="36">
        <f t="shared" si="743"/>
        <v>0</v>
      </c>
      <c r="T1002" s="1814"/>
      <c r="U1002" s="1814"/>
      <c r="V1002" s="1814"/>
      <c r="W1002" s="1817"/>
      <c r="X1002" s="1814"/>
      <c r="Y1002" s="1801"/>
      <c r="Z1002" s="1801"/>
      <c r="AA1002" s="1801"/>
      <c r="AB1002" s="1801"/>
      <c r="AC1002" s="1801"/>
      <c r="AD1002" s="1801"/>
      <c r="AE1002" s="1801"/>
      <c r="AF1002" s="1814"/>
      <c r="AG1002" s="376">
        <f t="shared" si="744"/>
        <v>0</v>
      </c>
      <c r="AH1002" s="376">
        <v>13</v>
      </c>
      <c r="AI1002" s="1151">
        <f t="shared" si="758"/>
        <v>0</v>
      </c>
      <c r="AJ1002" s="1151">
        <f t="shared" si="745"/>
        <v>0</v>
      </c>
      <c r="AK1002" s="1151">
        <f t="shared" si="746"/>
        <v>0</v>
      </c>
      <c r="AL1002" s="1151">
        <f t="shared" si="747"/>
        <v>0</v>
      </c>
      <c r="AM1002" s="1151">
        <f t="shared" si="748"/>
        <v>0</v>
      </c>
      <c r="AN1002" s="376"/>
      <c r="AO1002" s="1178">
        <v>13</v>
      </c>
      <c r="AP1002" s="485">
        <f>Infrastructure!D22</f>
        <v>0</v>
      </c>
      <c r="AQ1002" s="763">
        <f t="shared" si="759"/>
        <v>0</v>
      </c>
      <c r="AR1002" s="763">
        <f t="shared" si="760"/>
        <v>0</v>
      </c>
      <c r="AS1002" s="763">
        <f t="shared" si="749"/>
        <v>0</v>
      </c>
      <c r="AT1002" s="170">
        <f>IF(AR1002&gt;0,SUM(AS$990:AS1002),0)</f>
        <v>0</v>
      </c>
      <c r="AU1002" s="1144"/>
      <c r="AV1002" s="376"/>
      <c r="AW1002" s="376"/>
      <c r="AX1002" s="1815">
        <f t="shared" si="766"/>
        <v>0</v>
      </c>
      <c r="AY1002" s="763">
        <f t="shared" si="761"/>
        <v>0</v>
      </c>
      <c r="AZ1002" s="763">
        <f t="shared" si="762"/>
        <v>0</v>
      </c>
      <c r="BA1002" s="763">
        <f t="shared" si="750"/>
        <v>0</v>
      </c>
      <c r="BB1002" s="170">
        <f>IF(AZ1002&gt;0,SUM(BA$990:BA1002),0)</f>
        <v>0</v>
      </c>
      <c r="BC1002" s="1144"/>
      <c r="BD1002" s="376"/>
      <c r="BE1002" s="1815">
        <f t="shared" si="763"/>
        <v>0</v>
      </c>
      <c r="BF1002" s="763">
        <f t="shared" si="764"/>
        <v>0</v>
      </c>
      <c r="BG1002" s="763">
        <f t="shared" si="765"/>
        <v>0</v>
      </c>
      <c r="BH1002" s="763">
        <f t="shared" si="751"/>
        <v>0</v>
      </c>
      <c r="BI1002" s="170">
        <f>IF(BG1002&gt;0,SUM(BH$990:BH1002),0)</f>
        <v>0</v>
      </c>
      <c r="BJ1002" s="1144"/>
      <c r="BK1002" s="376"/>
      <c r="BL1002" s="376"/>
      <c r="BM1002" s="376"/>
      <c r="BN1002" s="376"/>
      <c r="BO1002" s="376"/>
      <c r="BP1002" s="376"/>
      <c r="BQ1002" s="376"/>
      <c r="BR1002" s="376"/>
      <c r="BS1002" s="376"/>
      <c r="BT1002" s="376"/>
      <c r="BU1002" s="376"/>
      <c r="BV1002" s="376"/>
      <c r="BW1002" s="376"/>
      <c r="BX1002" s="376"/>
      <c r="BY1002" s="376"/>
      <c r="BZ1002" s="376"/>
      <c r="CA1002" s="376"/>
      <c r="CB1002" s="376"/>
      <c r="CC1002" s="376"/>
      <c r="CD1002" s="376"/>
      <c r="CE1002" s="376"/>
      <c r="CF1002" s="376"/>
      <c r="CG1002" s="376"/>
      <c r="CH1002" s="376"/>
      <c r="CI1002" s="376"/>
      <c r="CJ1002" s="376"/>
      <c r="CK1002" s="376"/>
      <c r="CL1002" s="376"/>
      <c r="CM1002" s="376"/>
      <c r="CN1002" s="376"/>
      <c r="CO1002" s="1183"/>
      <c r="CP1002" s="1183"/>
      <c r="CQ1002" s="1183"/>
      <c r="CR1002" s="1183"/>
      <c r="CS1002" s="1183"/>
      <c r="CT1002" s="1183"/>
      <c r="CU1002" s="1183"/>
      <c r="CV1002" s="1183"/>
      <c r="CW1002" s="1183"/>
      <c r="CX1002" s="1183"/>
      <c r="CY1002" s="1183"/>
      <c r="CZ1002" s="1183"/>
      <c r="DA1002" s="1183"/>
      <c r="DB1002" s="1183"/>
      <c r="DC1002" s="1183"/>
      <c r="DD1002" s="1183"/>
      <c r="DE1002" s="1183"/>
      <c r="DF1002" s="1183"/>
      <c r="DG1002" s="1183"/>
      <c r="DH1002" s="1183"/>
      <c r="DI1002" s="1183"/>
      <c r="DJ1002" s="1183"/>
      <c r="DK1002" s="1183"/>
      <c r="DL1002" s="1183"/>
      <c r="DM1002" s="1183"/>
      <c r="DN1002" s="1183"/>
      <c r="DO1002" s="1183"/>
      <c r="DP1002" s="1183"/>
      <c r="DQ1002" s="1183"/>
    </row>
    <row r="1003" spans="1:121" s="12" customFormat="1" ht="12" customHeight="1" x14ac:dyDescent="0.3">
      <c r="A1003" s="84"/>
      <c r="B1003" s="13"/>
      <c r="C1003" s="13"/>
      <c r="D1003" s="13"/>
      <c r="E1003" s="13"/>
      <c r="F1003" s="13"/>
      <c r="G1003" s="1804"/>
      <c r="H1003" s="1183"/>
      <c r="I1003" s="1804"/>
      <c r="J1003" s="1804"/>
      <c r="K1003" s="29">
        <f t="shared" si="752"/>
        <v>1</v>
      </c>
      <c r="L1003" s="485">
        <f>Infrastructure!D23</f>
        <v>0</v>
      </c>
      <c r="M1003" s="34">
        <f t="shared" si="753"/>
        <v>0</v>
      </c>
      <c r="N1003" s="34">
        <f t="shared" si="754"/>
        <v>0</v>
      </c>
      <c r="O1003" s="34">
        <f t="shared" si="755"/>
        <v>0</v>
      </c>
      <c r="P1003" s="34">
        <f t="shared" si="756"/>
        <v>0</v>
      </c>
      <c r="Q1003" s="34">
        <f t="shared" si="757"/>
        <v>0</v>
      </c>
      <c r="R1003" s="204">
        <f>IF(Input!D$298=AH1003,Input!D$297,0)</f>
        <v>0</v>
      </c>
      <c r="S1003" s="36">
        <f t="shared" si="743"/>
        <v>0</v>
      </c>
      <c r="T1003" s="1814"/>
      <c r="U1003" s="1814"/>
      <c r="V1003" s="1814"/>
      <c r="W1003" s="1817"/>
      <c r="X1003" s="1814"/>
      <c r="Y1003" s="1801"/>
      <c r="Z1003" s="1801"/>
      <c r="AA1003" s="1801"/>
      <c r="AB1003" s="1801"/>
      <c r="AC1003" s="1801"/>
      <c r="AD1003" s="1801"/>
      <c r="AE1003" s="1801"/>
      <c r="AF1003" s="1814"/>
      <c r="AG1003" s="376">
        <f t="shared" si="744"/>
        <v>0</v>
      </c>
      <c r="AH1003" s="376">
        <v>14</v>
      </c>
      <c r="AI1003" s="1151">
        <f t="shared" si="758"/>
        <v>0</v>
      </c>
      <c r="AJ1003" s="1151">
        <f t="shared" si="745"/>
        <v>0</v>
      </c>
      <c r="AK1003" s="1151">
        <f t="shared" si="746"/>
        <v>0</v>
      </c>
      <c r="AL1003" s="1151">
        <f t="shared" si="747"/>
        <v>0</v>
      </c>
      <c r="AM1003" s="1151">
        <f t="shared" si="748"/>
        <v>0</v>
      </c>
      <c r="AN1003" s="376"/>
      <c r="AO1003" s="1178">
        <v>14</v>
      </c>
      <c r="AP1003" s="485">
        <f>Infrastructure!D23</f>
        <v>0</v>
      </c>
      <c r="AQ1003" s="763">
        <f t="shared" si="759"/>
        <v>0</v>
      </c>
      <c r="AR1003" s="763">
        <f t="shared" si="760"/>
        <v>0</v>
      </c>
      <c r="AS1003" s="763">
        <f t="shared" si="749"/>
        <v>0</v>
      </c>
      <c r="AT1003" s="170">
        <f>IF(AR1003&gt;0,SUM(AS$990:AS1003),0)</f>
        <v>0</v>
      </c>
      <c r="AU1003" s="1144"/>
      <c r="AV1003" s="376"/>
      <c r="AW1003" s="376"/>
      <c r="AX1003" s="1815">
        <f t="shared" si="766"/>
        <v>0</v>
      </c>
      <c r="AY1003" s="763">
        <f t="shared" si="761"/>
        <v>0</v>
      </c>
      <c r="AZ1003" s="763">
        <f t="shared" si="762"/>
        <v>0</v>
      </c>
      <c r="BA1003" s="763">
        <f t="shared" si="750"/>
        <v>0</v>
      </c>
      <c r="BB1003" s="170">
        <f>IF(AZ1003&gt;0,SUM(BA$990:BA1003),0)</f>
        <v>0</v>
      </c>
      <c r="BC1003" s="1144"/>
      <c r="BD1003" s="376"/>
      <c r="BE1003" s="1815">
        <f t="shared" si="763"/>
        <v>0</v>
      </c>
      <c r="BF1003" s="763">
        <f t="shared" si="764"/>
        <v>0</v>
      </c>
      <c r="BG1003" s="763">
        <f t="shared" si="765"/>
        <v>0</v>
      </c>
      <c r="BH1003" s="763">
        <f t="shared" si="751"/>
        <v>0</v>
      </c>
      <c r="BI1003" s="170">
        <f>IF(BG1003&gt;0,SUM(BH$990:BH1003),0)</f>
        <v>0</v>
      </c>
      <c r="BJ1003" s="1144"/>
      <c r="BK1003" s="376"/>
      <c r="BL1003" s="376"/>
      <c r="BM1003" s="376"/>
      <c r="BN1003" s="376"/>
      <c r="BO1003" s="376"/>
      <c r="BP1003" s="376"/>
      <c r="BQ1003" s="376"/>
      <c r="BR1003" s="376"/>
      <c r="BS1003" s="376"/>
      <c r="BT1003" s="376"/>
      <c r="BU1003" s="376"/>
      <c r="BV1003" s="376"/>
      <c r="BW1003" s="376"/>
      <c r="BX1003" s="376"/>
      <c r="BY1003" s="376"/>
      <c r="BZ1003" s="376"/>
      <c r="CA1003" s="376"/>
      <c r="CB1003" s="376"/>
      <c r="CC1003" s="376"/>
      <c r="CD1003" s="376"/>
      <c r="CE1003" s="376"/>
      <c r="CF1003" s="376"/>
      <c r="CG1003" s="376"/>
      <c r="CH1003" s="376"/>
      <c r="CI1003" s="376"/>
      <c r="CJ1003" s="376"/>
      <c r="CK1003" s="376"/>
      <c r="CL1003" s="376"/>
      <c r="CM1003" s="376"/>
      <c r="CN1003" s="376"/>
      <c r="CO1003" s="1183"/>
      <c r="CP1003" s="1183"/>
      <c r="CQ1003" s="1183"/>
      <c r="CR1003" s="1183"/>
      <c r="CS1003" s="1183"/>
      <c r="CT1003" s="1183"/>
      <c r="CU1003" s="1183"/>
      <c r="CV1003" s="1183"/>
      <c r="CW1003" s="1183"/>
      <c r="CX1003" s="1183"/>
      <c r="CY1003" s="1183"/>
      <c r="CZ1003" s="1183"/>
      <c r="DA1003" s="1183"/>
      <c r="DB1003" s="1183"/>
      <c r="DC1003" s="1183"/>
      <c r="DD1003" s="1183"/>
      <c r="DE1003" s="1183"/>
      <c r="DF1003" s="1183"/>
      <c r="DG1003" s="1183"/>
      <c r="DH1003" s="1183"/>
      <c r="DI1003" s="1183"/>
      <c r="DJ1003" s="1183"/>
      <c r="DK1003" s="1183"/>
      <c r="DL1003" s="1183"/>
      <c r="DM1003" s="1183"/>
      <c r="DN1003" s="1183"/>
      <c r="DO1003" s="1183"/>
      <c r="DP1003" s="1183"/>
      <c r="DQ1003" s="1183"/>
    </row>
    <row r="1004" spans="1:121" s="12" customFormat="1" ht="12" customHeight="1" x14ac:dyDescent="0.3">
      <c r="A1004" s="84"/>
      <c r="B1004" s="13"/>
      <c r="C1004" s="13"/>
      <c r="D1004" s="13"/>
      <c r="E1004" s="13"/>
      <c r="F1004" s="13"/>
      <c r="G1004" s="1804"/>
      <c r="H1004" s="1183"/>
      <c r="I1004" s="1804"/>
      <c r="J1004" s="1804"/>
      <c r="K1004" s="29">
        <f t="shared" si="752"/>
        <v>1</v>
      </c>
      <c r="L1004" s="485">
        <f>Infrastructure!D24</f>
        <v>0</v>
      </c>
      <c r="M1004" s="34">
        <f t="shared" si="753"/>
        <v>0</v>
      </c>
      <c r="N1004" s="34">
        <f t="shared" si="754"/>
        <v>0</v>
      </c>
      <c r="O1004" s="34">
        <f t="shared" si="755"/>
        <v>0</v>
      </c>
      <c r="P1004" s="34">
        <f t="shared" si="756"/>
        <v>0</v>
      </c>
      <c r="Q1004" s="34">
        <f t="shared" si="757"/>
        <v>0</v>
      </c>
      <c r="R1004" s="204">
        <f>IF(Input!D$298=AH1004,Input!D$297,0)</f>
        <v>0</v>
      </c>
      <c r="S1004" s="36">
        <f t="shared" si="743"/>
        <v>0</v>
      </c>
      <c r="T1004" s="1814"/>
      <c r="U1004" s="1814"/>
      <c r="V1004" s="1814"/>
      <c r="W1004" s="1817"/>
      <c r="X1004" s="1814"/>
      <c r="Y1004" s="1801"/>
      <c r="Z1004" s="1801"/>
      <c r="AA1004" s="1801"/>
      <c r="AB1004" s="1801"/>
      <c r="AC1004" s="1801"/>
      <c r="AD1004" s="1801"/>
      <c r="AE1004" s="1801"/>
      <c r="AF1004" s="1814"/>
      <c r="AG1004" s="376">
        <f t="shared" si="744"/>
        <v>0</v>
      </c>
      <c r="AH1004" s="376">
        <v>15</v>
      </c>
      <c r="AI1004" s="1151">
        <f t="shared" si="758"/>
        <v>0</v>
      </c>
      <c r="AJ1004" s="1151">
        <f t="shared" si="745"/>
        <v>0</v>
      </c>
      <c r="AK1004" s="1151">
        <f t="shared" si="746"/>
        <v>0</v>
      </c>
      <c r="AL1004" s="1151">
        <f t="shared" si="747"/>
        <v>0</v>
      </c>
      <c r="AM1004" s="1151">
        <f t="shared" si="748"/>
        <v>0</v>
      </c>
      <c r="AN1004" s="376"/>
      <c r="AO1004" s="1178">
        <v>15</v>
      </c>
      <c r="AP1004" s="485">
        <f>Infrastructure!D24</f>
        <v>0</v>
      </c>
      <c r="AQ1004" s="763">
        <f t="shared" si="759"/>
        <v>0</v>
      </c>
      <c r="AR1004" s="763">
        <f t="shared" si="760"/>
        <v>0</v>
      </c>
      <c r="AS1004" s="763">
        <f t="shared" si="749"/>
        <v>0</v>
      </c>
      <c r="AT1004" s="170">
        <f>IF(AR1004&gt;0,SUM(AS$990:AS1004),0)</f>
        <v>0</v>
      </c>
      <c r="AU1004" s="1144"/>
      <c r="AV1004" s="376"/>
      <c r="AW1004" s="376"/>
      <c r="AX1004" s="1815">
        <f t="shared" si="766"/>
        <v>0</v>
      </c>
      <c r="AY1004" s="763">
        <f t="shared" si="761"/>
        <v>0</v>
      </c>
      <c r="AZ1004" s="763">
        <f t="shared" si="762"/>
        <v>0</v>
      </c>
      <c r="BA1004" s="763">
        <f t="shared" si="750"/>
        <v>0</v>
      </c>
      <c r="BB1004" s="170">
        <f>IF(AZ1004&gt;0,SUM(BA$990:BA1004),0)</f>
        <v>0</v>
      </c>
      <c r="BC1004" s="1144"/>
      <c r="BD1004" s="376"/>
      <c r="BE1004" s="1815">
        <f t="shared" si="763"/>
        <v>0</v>
      </c>
      <c r="BF1004" s="763">
        <f t="shared" si="764"/>
        <v>0</v>
      </c>
      <c r="BG1004" s="763">
        <f t="shared" si="765"/>
        <v>0</v>
      </c>
      <c r="BH1004" s="763">
        <f t="shared" si="751"/>
        <v>0</v>
      </c>
      <c r="BI1004" s="170">
        <f>IF(BG1004&gt;0,SUM(BH$990:BH1004),0)</f>
        <v>0</v>
      </c>
      <c r="BJ1004" s="1144"/>
      <c r="BK1004" s="376"/>
      <c r="BL1004" s="376"/>
      <c r="BM1004" s="376"/>
      <c r="BN1004" s="376"/>
      <c r="BO1004" s="376"/>
      <c r="BP1004" s="376"/>
      <c r="BQ1004" s="376"/>
      <c r="BR1004" s="376"/>
      <c r="BS1004" s="376"/>
      <c r="BT1004" s="376"/>
      <c r="BU1004" s="376"/>
      <c r="BV1004" s="376"/>
      <c r="BW1004" s="376"/>
      <c r="BX1004" s="376"/>
      <c r="BY1004" s="376"/>
      <c r="BZ1004" s="376"/>
      <c r="CA1004" s="376"/>
      <c r="CB1004" s="376"/>
      <c r="CC1004" s="376"/>
      <c r="CD1004" s="376"/>
      <c r="CE1004" s="376"/>
      <c r="CF1004" s="376"/>
      <c r="CG1004" s="376"/>
      <c r="CH1004" s="376"/>
      <c r="CI1004" s="376"/>
      <c r="CJ1004" s="376"/>
      <c r="CK1004" s="376"/>
      <c r="CL1004" s="376"/>
      <c r="CM1004" s="376"/>
      <c r="CN1004" s="376"/>
      <c r="CO1004" s="1183"/>
      <c r="CP1004" s="1183"/>
      <c r="CQ1004" s="1183"/>
      <c r="CR1004" s="1183"/>
      <c r="CS1004" s="1183"/>
      <c r="CT1004" s="1183"/>
      <c r="CU1004" s="1183"/>
      <c r="CV1004" s="1183"/>
      <c r="CW1004" s="1183"/>
      <c r="CX1004" s="1183"/>
      <c r="CY1004" s="1183"/>
      <c r="CZ1004" s="1183"/>
      <c r="DA1004" s="1183"/>
      <c r="DB1004" s="1183"/>
      <c r="DC1004" s="1183"/>
      <c r="DD1004" s="1183"/>
      <c r="DE1004" s="1183"/>
      <c r="DF1004" s="1183"/>
      <c r="DG1004" s="1183"/>
      <c r="DH1004" s="1183"/>
      <c r="DI1004" s="1183"/>
      <c r="DJ1004" s="1183"/>
      <c r="DK1004" s="1183"/>
      <c r="DL1004" s="1183"/>
      <c r="DM1004" s="1183"/>
      <c r="DN1004" s="1183"/>
      <c r="DO1004" s="1183"/>
      <c r="DP1004" s="1183"/>
      <c r="DQ1004" s="1183"/>
    </row>
    <row r="1005" spans="1:121" s="12" customFormat="1" ht="12" customHeight="1" x14ac:dyDescent="0.3">
      <c r="A1005" s="84"/>
      <c r="B1005" s="13"/>
      <c r="C1005" s="13"/>
      <c r="D1005" s="13"/>
      <c r="E1005" s="13"/>
      <c r="F1005" s="13"/>
      <c r="G1005" s="1804"/>
      <c r="H1005" s="1183"/>
      <c r="I1005" s="1804"/>
      <c r="J1005" s="1804"/>
      <c r="K1005" s="29">
        <f t="shared" si="752"/>
        <v>1</v>
      </c>
      <c r="L1005" s="485">
        <f>Infrastructure!D25</f>
        <v>0</v>
      </c>
      <c r="M1005" s="34">
        <f t="shared" si="753"/>
        <v>0</v>
      </c>
      <c r="N1005" s="34">
        <f t="shared" si="754"/>
        <v>0</v>
      </c>
      <c r="O1005" s="34">
        <f t="shared" si="755"/>
        <v>0</v>
      </c>
      <c r="P1005" s="34">
        <f t="shared" si="756"/>
        <v>0</v>
      </c>
      <c r="Q1005" s="34">
        <f t="shared" si="757"/>
        <v>0</v>
      </c>
      <c r="R1005" s="204">
        <f>IF(Input!D$298=AH1005,Input!D$297,0)</f>
        <v>0</v>
      </c>
      <c r="S1005" s="36">
        <f t="shared" si="743"/>
        <v>0</v>
      </c>
      <c r="T1005" s="1814"/>
      <c r="U1005" s="1814"/>
      <c r="V1005" s="1814"/>
      <c r="W1005" s="1817"/>
      <c r="X1005" s="1814"/>
      <c r="Y1005" s="1801"/>
      <c r="Z1005" s="1801"/>
      <c r="AA1005" s="1801"/>
      <c r="AB1005" s="1801"/>
      <c r="AC1005" s="1801"/>
      <c r="AD1005" s="1801"/>
      <c r="AE1005" s="1801"/>
      <c r="AF1005" s="1814"/>
      <c r="AG1005" s="376">
        <f t="shared" si="744"/>
        <v>0</v>
      </c>
      <c r="AH1005" s="376">
        <v>16</v>
      </c>
      <c r="AI1005" s="1151">
        <f t="shared" si="758"/>
        <v>0</v>
      </c>
      <c r="AJ1005" s="1151">
        <f t="shared" si="745"/>
        <v>0</v>
      </c>
      <c r="AK1005" s="1151">
        <f t="shared" si="746"/>
        <v>0</v>
      </c>
      <c r="AL1005" s="1151">
        <f t="shared" si="747"/>
        <v>0</v>
      </c>
      <c r="AM1005" s="1151">
        <f t="shared" si="748"/>
        <v>0</v>
      </c>
      <c r="AN1005" s="376"/>
      <c r="AO1005" s="1178">
        <v>16</v>
      </c>
      <c r="AP1005" s="485">
        <f>Infrastructure!D25</f>
        <v>0</v>
      </c>
      <c r="AQ1005" s="763">
        <f t="shared" si="759"/>
        <v>0</v>
      </c>
      <c r="AR1005" s="763">
        <f t="shared" si="760"/>
        <v>0</v>
      </c>
      <c r="AS1005" s="763">
        <f t="shared" si="749"/>
        <v>0</v>
      </c>
      <c r="AT1005" s="170">
        <f>IF(AR1005&gt;0,SUM(AS$990:AS1005),0)</f>
        <v>0</v>
      </c>
      <c r="AU1005" s="1144"/>
      <c r="AV1005" s="376"/>
      <c r="AW1005" s="376"/>
      <c r="AX1005" s="1815">
        <f t="shared" si="766"/>
        <v>0</v>
      </c>
      <c r="AY1005" s="763">
        <f t="shared" si="761"/>
        <v>0</v>
      </c>
      <c r="AZ1005" s="763">
        <f t="shared" si="762"/>
        <v>0</v>
      </c>
      <c r="BA1005" s="763">
        <f t="shared" si="750"/>
        <v>0</v>
      </c>
      <c r="BB1005" s="170">
        <f>IF(AZ1005&gt;0,SUM(BA$990:BA1005),0)</f>
        <v>0</v>
      </c>
      <c r="BC1005" s="1144"/>
      <c r="BD1005" s="376"/>
      <c r="BE1005" s="1815">
        <f t="shared" si="763"/>
        <v>0</v>
      </c>
      <c r="BF1005" s="763">
        <f t="shared" si="764"/>
        <v>0</v>
      </c>
      <c r="BG1005" s="763">
        <f t="shared" si="765"/>
        <v>0</v>
      </c>
      <c r="BH1005" s="763">
        <f t="shared" si="751"/>
        <v>0</v>
      </c>
      <c r="BI1005" s="170">
        <f>IF(BG1005&gt;0,SUM(BH$990:BH1005),0)</f>
        <v>0</v>
      </c>
      <c r="BJ1005" s="1144"/>
      <c r="BK1005" s="376"/>
      <c r="BL1005" s="376"/>
      <c r="BM1005" s="376"/>
      <c r="BN1005" s="376"/>
      <c r="BO1005" s="376"/>
      <c r="BP1005" s="376"/>
      <c r="BQ1005" s="376"/>
      <c r="BR1005" s="376"/>
      <c r="BS1005" s="376"/>
      <c r="BT1005" s="376"/>
      <c r="BU1005" s="376"/>
      <c r="BV1005" s="376"/>
      <c r="BW1005" s="376"/>
      <c r="BX1005" s="376"/>
      <c r="BY1005" s="376"/>
      <c r="BZ1005" s="376"/>
      <c r="CA1005" s="376"/>
      <c r="CB1005" s="376"/>
      <c r="CC1005" s="376"/>
      <c r="CD1005" s="376"/>
      <c r="CE1005" s="376"/>
      <c r="CF1005" s="376"/>
      <c r="CG1005" s="376"/>
      <c r="CH1005" s="376"/>
      <c r="CI1005" s="376"/>
      <c r="CJ1005" s="376"/>
      <c r="CK1005" s="376"/>
      <c r="CL1005" s="376"/>
      <c r="CM1005" s="376"/>
      <c r="CN1005" s="376"/>
      <c r="CO1005" s="1183"/>
      <c r="CP1005" s="1183"/>
      <c r="CQ1005" s="1183"/>
      <c r="CR1005" s="1183"/>
      <c r="CS1005" s="1183"/>
      <c r="CT1005" s="1183"/>
      <c r="CU1005" s="1183"/>
      <c r="CV1005" s="1183"/>
      <c r="CW1005" s="1183"/>
      <c r="CX1005" s="1183"/>
      <c r="CY1005" s="1183"/>
      <c r="CZ1005" s="1183"/>
      <c r="DA1005" s="1183"/>
      <c r="DB1005" s="1183"/>
      <c r="DC1005" s="1183"/>
      <c r="DD1005" s="1183"/>
      <c r="DE1005" s="1183"/>
      <c r="DF1005" s="1183"/>
      <c r="DG1005" s="1183"/>
      <c r="DH1005" s="1183"/>
      <c r="DI1005" s="1183"/>
      <c r="DJ1005" s="1183"/>
      <c r="DK1005" s="1183"/>
      <c r="DL1005" s="1183"/>
      <c r="DM1005" s="1183"/>
      <c r="DN1005" s="1183"/>
      <c r="DO1005" s="1183"/>
      <c r="DP1005" s="1183"/>
      <c r="DQ1005" s="1183"/>
    </row>
    <row r="1006" spans="1:121" s="12" customFormat="1" ht="12" customHeight="1" x14ac:dyDescent="0.3">
      <c r="A1006" s="84"/>
      <c r="B1006" s="13"/>
      <c r="C1006" s="13"/>
      <c r="D1006" s="13"/>
      <c r="E1006" s="13"/>
      <c r="F1006" s="13"/>
      <c r="G1006" s="1804"/>
      <c r="H1006" s="1183"/>
      <c r="I1006" s="1804"/>
      <c r="J1006" s="1804"/>
      <c r="K1006" s="29">
        <f t="shared" si="752"/>
        <v>1</v>
      </c>
      <c r="L1006" s="485">
        <f>Infrastructure!D26</f>
        <v>0</v>
      </c>
      <c r="M1006" s="34">
        <f t="shared" si="753"/>
        <v>0</v>
      </c>
      <c r="N1006" s="34">
        <f t="shared" si="754"/>
        <v>0</v>
      </c>
      <c r="O1006" s="34">
        <f t="shared" si="755"/>
        <v>0</v>
      </c>
      <c r="P1006" s="34">
        <f t="shared" si="756"/>
        <v>0</v>
      </c>
      <c r="Q1006" s="34">
        <f t="shared" si="757"/>
        <v>0</v>
      </c>
      <c r="R1006" s="204">
        <f>IF(Input!D$298=AH1006,Input!D$297,0)</f>
        <v>0</v>
      </c>
      <c r="S1006" s="36">
        <f t="shared" si="743"/>
        <v>0</v>
      </c>
      <c r="T1006" s="1814"/>
      <c r="U1006" s="1814"/>
      <c r="V1006" s="1814"/>
      <c r="W1006" s="1817"/>
      <c r="X1006" s="1814"/>
      <c r="Y1006" s="1801"/>
      <c r="Z1006" s="1801"/>
      <c r="AA1006" s="1801"/>
      <c r="AB1006" s="1801"/>
      <c r="AC1006" s="1801"/>
      <c r="AD1006" s="1801"/>
      <c r="AE1006" s="1801"/>
      <c r="AF1006" s="1814"/>
      <c r="AG1006" s="376">
        <f t="shared" si="744"/>
        <v>0</v>
      </c>
      <c r="AH1006" s="376">
        <v>17</v>
      </c>
      <c r="AI1006" s="1151">
        <f t="shared" si="758"/>
        <v>0</v>
      </c>
      <c r="AJ1006" s="1151">
        <f t="shared" si="745"/>
        <v>0</v>
      </c>
      <c r="AK1006" s="1151">
        <f t="shared" si="746"/>
        <v>0</v>
      </c>
      <c r="AL1006" s="1151">
        <f t="shared" si="747"/>
        <v>0</v>
      </c>
      <c r="AM1006" s="1151">
        <f t="shared" si="748"/>
        <v>0</v>
      </c>
      <c r="AN1006" s="376"/>
      <c r="AO1006" s="1178">
        <v>17</v>
      </c>
      <c r="AP1006" s="485">
        <f>Infrastructure!D26</f>
        <v>0</v>
      </c>
      <c r="AQ1006" s="763">
        <f t="shared" si="759"/>
        <v>0</v>
      </c>
      <c r="AR1006" s="763">
        <f t="shared" si="760"/>
        <v>0</v>
      </c>
      <c r="AS1006" s="763">
        <f t="shared" si="749"/>
        <v>0</v>
      </c>
      <c r="AT1006" s="170">
        <f>IF(AR1006&gt;0,SUM(AS$990:AS1006),0)</f>
        <v>0</v>
      </c>
      <c r="AU1006" s="1144"/>
      <c r="AV1006" s="376"/>
      <c r="AW1006" s="376"/>
      <c r="AX1006" s="1815">
        <f t="shared" si="766"/>
        <v>0</v>
      </c>
      <c r="AY1006" s="763">
        <f t="shared" si="761"/>
        <v>0</v>
      </c>
      <c r="AZ1006" s="763">
        <f t="shared" si="762"/>
        <v>0</v>
      </c>
      <c r="BA1006" s="763">
        <f t="shared" si="750"/>
        <v>0</v>
      </c>
      <c r="BB1006" s="170">
        <f>IF(AZ1006&gt;0,SUM(BA$990:BA1006),0)</f>
        <v>0</v>
      </c>
      <c r="BC1006" s="1144"/>
      <c r="BD1006" s="376"/>
      <c r="BE1006" s="1815">
        <f t="shared" si="763"/>
        <v>0</v>
      </c>
      <c r="BF1006" s="763">
        <f t="shared" si="764"/>
        <v>0</v>
      </c>
      <c r="BG1006" s="763">
        <f t="shared" si="765"/>
        <v>0</v>
      </c>
      <c r="BH1006" s="763">
        <f t="shared" si="751"/>
        <v>0</v>
      </c>
      <c r="BI1006" s="170">
        <f>IF(BG1006&gt;0,SUM(BH$990:BH1006),0)</f>
        <v>0</v>
      </c>
      <c r="BJ1006" s="1144"/>
      <c r="BK1006" s="376"/>
      <c r="BL1006" s="376"/>
      <c r="BM1006" s="376"/>
      <c r="BN1006" s="376"/>
      <c r="BO1006" s="376"/>
      <c r="BP1006" s="376"/>
      <c r="BQ1006" s="376"/>
      <c r="BR1006" s="376"/>
      <c r="BS1006" s="376"/>
      <c r="BT1006" s="376"/>
      <c r="BU1006" s="376"/>
      <c r="BV1006" s="376"/>
      <c r="BW1006" s="376"/>
      <c r="BX1006" s="376"/>
      <c r="BY1006" s="376"/>
      <c r="BZ1006" s="376"/>
      <c r="CA1006" s="376"/>
      <c r="CB1006" s="376"/>
      <c r="CC1006" s="376"/>
      <c r="CD1006" s="376"/>
      <c r="CE1006" s="376"/>
      <c r="CF1006" s="376"/>
      <c r="CG1006" s="376"/>
      <c r="CH1006" s="376"/>
      <c r="CI1006" s="376"/>
      <c r="CJ1006" s="376"/>
      <c r="CK1006" s="376"/>
      <c r="CL1006" s="376"/>
      <c r="CM1006" s="376"/>
      <c r="CN1006" s="376"/>
      <c r="CO1006" s="1183"/>
      <c r="CP1006" s="1183"/>
      <c r="CQ1006" s="1183"/>
      <c r="CR1006" s="1183"/>
      <c r="CS1006" s="1183"/>
      <c r="CT1006" s="1183"/>
      <c r="CU1006" s="1183"/>
      <c r="CV1006" s="1183"/>
      <c r="CW1006" s="1183"/>
      <c r="CX1006" s="1183"/>
      <c r="CY1006" s="1183"/>
      <c r="CZ1006" s="1183"/>
      <c r="DA1006" s="1183"/>
      <c r="DB1006" s="1183"/>
      <c r="DC1006" s="1183"/>
      <c r="DD1006" s="1183"/>
      <c r="DE1006" s="1183"/>
      <c r="DF1006" s="1183"/>
      <c r="DG1006" s="1183"/>
      <c r="DH1006" s="1183"/>
      <c r="DI1006" s="1183"/>
      <c r="DJ1006" s="1183"/>
      <c r="DK1006" s="1183"/>
      <c r="DL1006" s="1183"/>
      <c r="DM1006" s="1183"/>
      <c r="DN1006" s="1183"/>
      <c r="DO1006" s="1183"/>
      <c r="DP1006" s="1183"/>
      <c r="DQ1006" s="1183"/>
    </row>
    <row r="1007" spans="1:121" s="12" customFormat="1" ht="12" customHeight="1" x14ac:dyDescent="0.3">
      <c r="A1007" s="84"/>
      <c r="B1007" s="13"/>
      <c r="C1007" s="13"/>
      <c r="D1007" s="13"/>
      <c r="E1007" s="13"/>
      <c r="F1007" s="13"/>
      <c r="G1007" s="1804"/>
      <c r="H1007" s="1183"/>
      <c r="I1007" s="1804"/>
      <c r="J1007" s="1804"/>
      <c r="K1007" s="29">
        <f t="shared" si="752"/>
        <v>1</v>
      </c>
      <c r="L1007" s="485">
        <f>Infrastructure!D27</f>
        <v>0</v>
      </c>
      <c r="M1007" s="34">
        <f t="shared" si="753"/>
        <v>0</v>
      </c>
      <c r="N1007" s="34">
        <f t="shared" si="754"/>
        <v>0</v>
      </c>
      <c r="O1007" s="34">
        <f t="shared" si="755"/>
        <v>0</v>
      </c>
      <c r="P1007" s="34">
        <f t="shared" si="756"/>
        <v>0</v>
      </c>
      <c r="Q1007" s="34">
        <f t="shared" si="757"/>
        <v>0</v>
      </c>
      <c r="R1007" s="204">
        <f>IF(Input!D$298=AH1007,Input!D$297,0)</f>
        <v>0</v>
      </c>
      <c r="S1007" s="36">
        <f t="shared" si="743"/>
        <v>0</v>
      </c>
      <c r="T1007" s="1814"/>
      <c r="U1007" s="1814"/>
      <c r="V1007" s="1814"/>
      <c r="W1007" s="1817"/>
      <c r="X1007" s="1814"/>
      <c r="Y1007" s="1801"/>
      <c r="Z1007" s="1801"/>
      <c r="AA1007" s="1801"/>
      <c r="AB1007" s="1801"/>
      <c r="AC1007" s="1801"/>
      <c r="AD1007" s="1801"/>
      <c r="AE1007" s="1801"/>
      <c r="AF1007" s="1814"/>
      <c r="AG1007" s="376">
        <f t="shared" si="744"/>
        <v>0</v>
      </c>
      <c r="AH1007" s="376">
        <v>18</v>
      </c>
      <c r="AI1007" s="1151">
        <f t="shared" si="758"/>
        <v>0</v>
      </c>
      <c r="AJ1007" s="1151">
        <f t="shared" si="745"/>
        <v>0</v>
      </c>
      <c r="AK1007" s="1151">
        <f t="shared" si="746"/>
        <v>0</v>
      </c>
      <c r="AL1007" s="1151">
        <f t="shared" si="747"/>
        <v>0</v>
      </c>
      <c r="AM1007" s="1151">
        <f t="shared" si="748"/>
        <v>0</v>
      </c>
      <c r="AN1007" s="376"/>
      <c r="AO1007" s="1178">
        <v>18</v>
      </c>
      <c r="AP1007" s="485">
        <f>Infrastructure!D27</f>
        <v>0</v>
      </c>
      <c r="AQ1007" s="763">
        <f t="shared" si="759"/>
        <v>0</v>
      </c>
      <c r="AR1007" s="763">
        <f t="shared" si="760"/>
        <v>0</v>
      </c>
      <c r="AS1007" s="763">
        <f t="shared" si="749"/>
        <v>0</v>
      </c>
      <c r="AT1007" s="170">
        <f>IF(AR1007&gt;0,SUM(AS$990:AS1007),0)</f>
        <v>0</v>
      </c>
      <c r="AU1007" s="1144"/>
      <c r="AV1007" s="376"/>
      <c r="AW1007" s="376"/>
      <c r="AX1007" s="1815">
        <f t="shared" si="766"/>
        <v>0</v>
      </c>
      <c r="AY1007" s="763">
        <f t="shared" si="761"/>
        <v>0</v>
      </c>
      <c r="AZ1007" s="763">
        <f t="shared" si="762"/>
        <v>0</v>
      </c>
      <c r="BA1007" s="763">
        <f t="shared" si="750"/>
        <v>0</v>
      </c>
      <c r="BB1007" s="170">
        <f>IF(AZ1007&gt;0,SUM(BA$990:BA1007),0)</f>
        <v>0</v>
      </c>
      <c r="BC1007" s="1144"/>
      <c r="BD1007" s="376"/>
      <c r="BE1007" s="1815">
        <f t="shared" si="763"/>
        <v>0</v>
      </c>
      <c r="BF1007" s="763">
        <f t="shared" si="764"/>
        <v>0</v>
      </c>
      <c r="BG1007" s="763">
        <f t="shared" si="765"/>
        <v>0</v>
      </c>
      <c r="BH1007" s="763">
        <f t="shared" si="751"/>
        <v>0</v>
      </c>
      <c r="BI1007" s="170">
        <f>IF(BG1007&gt;0,SUM(BH$990:BH1007),0)</f>
        <v>0</v>
      </c>
      <c r="BJ1007" s="1144"/>
      <c r="BK1007" s="376">
        <v>40</v>
      </c>
      <c r="BL1007" s="376">
        <v>41</v>
      </c>
      <c r="BM1007" s="376">
        <v>42</v>
      </c>
      <c r="BN1007" s="376">
        <v>43</v>
      </c>
      <c r="BO1007" s="376">
        <v>44</v>
      </c>
      <c r="BP1007" s="376">
        <v>45</v>
      </c>
      <c r="BQ1007" s="376">
        <v>46</v>
      </c>
      <c r="BR1007" s="376">
        <v>47</v>
      </c>
      <c r="BS1007" s="376">
        <v>48</v>
      </c>
      <c r="BT1007" s="376"/>
      <c r="BU1007" s="376"/>
      <c r="BV1007" s="376"/>
      <c r="BW1007" s="376"/>
      <c r="BX1007" s="376"/>
      <c r="BY1007" s="376"/>
      <c r="BZ1007" s="376"/>
      <c r="CA1007" s="376"/>
      <c r="CB1007" s="376"/>
      <c r="CC1007" s="376"/>
      <c r="CD1007" s="376"/>
      <c r="CE1007" s="376"/>
      <c r="CF1007" s="376"/>
      <c r="CG1007" s="376"/>
      <c r="CH1007" s="376"/>
      <c r="CI1007" s="376"/>
      <c r="CJ1007" s="376"/>
      <c r="CK1007" s="376"/>
      <c r="CL1007" s="376"/>
      <c r="CM1007" s="376"/>
      <c r="CN1007" s="376"/>
      <c r="CO1007" s="1183"/>
      <c r="CP1007" s="1183"/>
      <c r="CQ1007" s="1183"/>
      <c r="CR1007" s="1183"/>
      <c r="CS1007" s="1183"/>
      <c r="CT1007" s="1183"/>
      <c r="CU1007" s="1183"/>
      <c r="CV1007" s="1183"/>
      <c r="CW1007" s="1183"/>
      <c r="CX1007" s="1183"/>
      <c r="CY1007" s="1183"/>
      <c r="CZ1007" s="1183"/>
      <c r="DA1007" s="1183"/>
      <c r="DB1007" s="1183"/>
      <c r="DC1007" s="1183"/>
      <c r="DD1007" s="1183"/>
      <c r="DE1007" s="1183"/>
      <c r="DF1007" s="1183"/>
      <c r="DG1007" s="1183"/>
      <c r="DH1007" s="1183"/>
      <c r="DI1007" s="1183"/>
      <c r="DJ1007" s="1183"/>
      <c r="DK1007" s="1183"/>
      <c r="DL1007" s="1183"/>
      <c r="DM1007" s="1183"/>
      <c r="DN1007" s="1183"/>
      <c r="DO1007" s="1183"/>
      <c r="DP1007" s="1183"/>
      <c r="DQ1007" s="1183"/>
    </row>
    <row r="1008" spans="1:121" s="12" customFormat="1" ht="12" customHeight="1" x14ac:dyDescent="0.3">
      <c r="A1008" s="84"/>
      <c r="B1008" s="13"/>
      <c r="C1008" s="13"/>
      <c r="D1008" s="13"/>
      <c r="E1008" s="13"/>
      <c r="F1008" s="13"/>
      <c r="G1008" s="1804"/>
      <c r="H1008" s="1183"/>
      <c r="I1008" s="1804"/>
      <c r="J1008" s="1804"/>
      <c r="K1008" s="29">
        <f t="shared" si="752"/>
        <v>1</v>
      </c>
      <c r="L1008" s="485">
        <f>Infrastructure!D28</f>
        <v>0</v>
      </c>
      <c r="M1008" s="34">
        <f t="shared" si="753"/>
        <v>0</v>
      </c>
      <c r="N1008" s="34">
        <f t="shared" si="754"/>
        <v>0</v>
      </c>
      <c r="O1008" s="34">
        <f t="shared" si="755"/>
        <v>0</v>
      </c>
      <c r="P1008" s="34">
        <f t="shared" si="756"/>
        <v>0</v>
      </c>
      <c r="Q1008" s="34">
        <f t="shared" si="757"/>
        <v>0</v>
      </c>
      <c r="R1008" s="204">
        <f>IF(Input!D$298=AH1008,Input!D$297,0)</f>
        <v>0</v>
      </c>
      <c r="S1008" s="36">
        <f t="shared" si="743"/>
        <v>0</v>
      </c>
      <c r="T1008" s="1814"/>
      <c r="U1008" s="1814"/>
      <c r="V1008" s="1814"/>
      <c r="W1008" s="1817"/>
      <c r="X1008" s="1814"/>
      <c r="Y1008" s="1801"/>
      <c r="Z1008" s="1801"/>
      <c r="AA1008" s="1801"/>
      <c r="AB1008" s="1801"/>
      <c r="AC1008" s="1801"/>
      <c r="AD1008" s="1801"/>
      <c r="AE1008" s="1801"/>
      <c r="AF1008" s="1814"/>
      <c r="AG1008" s="376">
        <f t="shared" si="744"/>
        <v>0</v>
      </c>
      <c r="AH1008" s="376">
        <v>19</v>
      </c>
      <c r="AI1008" s="1151">
        <f t="shared" si="758"/>
        <v>0</v>
      </c>
      <c r="AJ1008" s="1151">
        <f t="shared" si="745"/>
        <v>0</v>
      </c>
      <c r="AK1008" s="1151">
        <f t="shared" si="746"/>
        <v>0</v>
      </c>
      <c r="AL1008" s="1151">
        <f t="shared" si="747"/>
        <v>0</v>
      </c>
      <c r="AM1008" s="1151">
        <f t="shared" si="748"/>
        <v>0</v>
      </c>
      <c r="AN1008" s="376"/>
      <c r="AO1008" s="1178">
        <v>19</v>
      </c>
      <c r="AP1008" s="485">
        <f>Infrastructure!D28</f>
        <v>0</v>
      </c>
      <c r="AQ1008" s="763">
        <f t="shared" si="759"/>
        <v>0</v>
      </c>
      <c r="AR1008" s="763">
        <f t="shared" si="760"/>
        <v>0</v>
      </c>
      <c r="AS1008" s="763">
        <f t="shared" si="749"/>
        <v>0</v>
      </c>
      <c r="AT1008" s="170">
        <f>IF(AR1008&gt;0,SUM(AS$990:AS1008),0)</f>
        <v>0</v>
      </c>
      <c r="AU1008" s="1144"/>
      <c r="AV1008" s="376"/>
      <c r="AW1008" s="376"/>
      <c r="AX1008" s="1815">
        <f t="shared" si="766"/>
        <v>0</v>
      </c>
      <c r="AY1008" s="763">
        <f t="shared" si="761"/>
        <v>0</v>
      </c>
      <c r="AZ1008" s="763">
        <f t="shared" si="762"/>
        <v>0</v>
      </c>
      <c r="BA1008" s="763">
        <f t="shared" si="750"/>
        <v>0</v>
      </c>
      <c r="BB1008" s="170">
        <f>IF(AZ1008&gt;0,SUM(BA$990:BA1008),0)</f>
        <v>0</v>
      </c>
      <c r="BC1008" s="1144"/>
      <c r="BD1008" s="376"/>
      <c r="BE1008" s="1815">
        <f t="shared" si="763"/>
        <v>0</v>
      </c>
      <c r="BF1008" s="763">
        <f t="shared" si="764"/>
        <v>0</v>
      </c>
      <c r="BG1008" s="763">
        <f t="shared" si="765"/>
        <v>0</v>
      </c>
      <c r="BH1008" s="763">
        <f t="shared" si="751"/>
        <v>0</v>
      </c>
      <c r="BI1008" s="170">
        <f>IF(BG1008&gt;0,SUM(BH$990:BH1008),0)</f>
        <v>0</v>
      </c>
      <c r="BJ1008" s="1144"/>
      <c r="BK1008" s="376"/>
      <c r="BL1008" s="376"/>
      <c r="BM1008" s="376"/>
      <c r="BN1008" s="376"/>
      <c r="BO1008" s="376"/>
      <c r="BP1008" s="376"/>
      <c r="BQ1008" s="376"/>
      <c r="BR1008" s="376"/>
      <c r="BS1008" s="376"/>
      <c r="BT1008" s="376"/>
      <c r="BU1008" s="376"/>
      <c r="BV1008" s="376"/>
      <c r="BW1008" s="376"/>
      <c r="BX1008" s="376"/>
      <c r="BY1008" s="376"/>
      <c r="BZ1008" s="376"/>
      <c r="CA1008" s="376"/>
      <c r="CB1008" s="376"/>
      <c r="CC1008" s="376"/>
      <c r="CD1008" s="376"/>
      <c r="CE1008" s="376"/>
      <c r="CF1008" s="376"/>
      <c r="CG1008" s="376"/>
      <c r="CH1008" s="376"/>
      <c r="CI1008" s="376"/>
      <c r="CJ1008" s="376"/>
      <c r="CK1008" s="376"/>
      <c r="CL1008" s="376"/>
      <c r="CM1008" s="376"/>
      <c r="CN1008" s="376"/>
      <c r="CO1008" s="1183"/>
      <c r="CP1008" s="1183"/>
      <c r="CQ1008" s="1183"/>
      <c r="CR1008" s="1183"/>
      <c r="CS1008" s="1183"/>
      <c r="CT1008" s="1183"/>
      <c r="CU1008" s="1183"/>
      <c r="CV1008" s="1183"/>
      <c r="CW1008" s="1183"/>
      <c r="CX1008" s="1183"/>
      <c r="CY1008" s="1183"/>
      <c r="CZ1008" s="1183"/>
      <c r="DA1008" s="1183"/>
      <c r="DB1008" s="1183"/>
      <c r="DC1008" s="1183"/>
      <c r="DD1008" s="1183"/>
      <c r="DE1008" s="1183"/>
      <c r="DF1008" s="1183"/>
      <c r="DG1008" s="1183"/>
      <c r="DH1008" s="1183"/>
      <c r="DI1008" s="1183"/>
      <c r="DJ1008" s="1183"/>
      <c r="DK1008" s="1183"/>
      <c r="DL1008" s="1183"/>
      <c r="DM1008" s="1183"/>
      <c r="DN1008" s="1183"/>
      <c r="DO1008" s="1183"/>
      <c r="DP1008" s="1183"/>
      <c r="DQ1008" s="1183"/>
    </row>
    <row r="1009" spans="1:121" s="12" customFormat="1" ht="12" customHeight="1" x14ac:dyDescent="0.3">
      <c r="A1009" s="84"/>
      <c r="B1009" s="13"/>
      <c r="C1009" s="13"/>
      <c r="D1009" s="13"/>
      <c r="E1009" s="13"/>
      <c r="F1009" s="13"/>
      <c r="G1009" s="1804"/>
      <c r="H1009" s="1183"/>
      <c r="I1009" s="1804"/>
      <c r="J1009" s="1804"/>
      <c r="K1009" s="29">
        <f t="shared" si="752"/>
        <v>1</v>
      </c>
      <c r="L1009" s="485">
        <f>Infrastructure!D29</f>
        <v>0</v>
      </c>
      <c r="M1009" s="34">
        <f t="shared" si="753"/>
        <v>0</v>
      </c>
      <c r="N1009" s="34">
        <f t="shared" si="754"/>
        <v>0</v>
      </c>
      <c r="O1009" s="34">
        <f t="shared" si="755"/>
        <v>0</v>
      </c>
      <c r="P1009" s="34">
        <f t="shared" si="756"/>
        <v>0</v>
      </c>
      <c r="Q1009" s="34">
        <f t="shared" si="757"/>
        <v>0</v>
      </c>
      <c r="R1009" s="204">
        <f>IF(Input!D$298=AH1009,Input!D$297,0)</f>
        <v>0</v>
      </c>
      <c r="S1009" s="36">
        <f t="shared" si="743"/>
        <v>0</v>
      </c>
      <c r="T1009" s="1814"/>
      <c r="U1009" s="1814"/>
      <c r="V1009" s="1814"/>
      <c r="W1009" s="1817"/>
      <c r="X1009" s="1814"/>
      <c r="Y1009" s="1801"/>
      <c r="Z1009" s="1801"/>
      <c r="AA1009" s="1801"/>
      <c r="AB1009" s="1801"/>
      <c r="AC1009" s="1801"/>
      <c r="AD1009" s="1801"/>
      <c r="AE1009" s="1801"/>
      <c r="AF1009" s="1814"/>
      <c r="AG1009" s="376">
        <f t="shared" si="744"/>
        <v>0</v>
      </c>
      <c r="AH1009" s="376">
        <v>20</v>
      </c>
      <c r="AI1009" s="1151">
        <f t="shared" si="758"/>
        <v>0</v>
      </c>
      <c r="AJ1009" s="1151">
        <f t="shared" si="745"/>
        <v>0</v>
      </c>
      <c r="AK1009" s="1151">
        <f t="shared" si="746"/>
        <v>0</v>
      </c>
      <c r="AL1009" s="1151">
        <f t="shared" si="747"/>
        <v>0</v>
      </c>
      <c r="AM1009" s="1151">
        <f t="shared" si="748"/>
        <v>0</v>
      </c>
      <c r="AN1009" s="376"/>
      <c r="AO1009" s="1178">
        <v>20</v>
      </c>
      <c r="AP1009" s="485">
        <f>Infrastructure!D29</f>
        <v>0</v>
      </c>
      <c r="AQ1009" s="763">
        <f t="shared" si="759"/>
        <v>0</v>
      </c>
      <c r="AR1009" s="763">
        <f t="shared" si="760"/>
        <v>0</v>
      </c>
      <c r="AS1009" s="763">
        <f t="shared" si="749"/>
        <v>0</v>
      </c>
      <c r="AT1009" s="170">
        <f>IF(AR1009&gt;0,SUM(AS$990:AS1009),0)</f>
        <v>0</v>
      </c>
      <c r="AU1009" s="1144"/>
      <c r="AV1009" s="376"/>
      <c r="AW1009" s="376"/>
      <c r="AX1009" s="1815">
        <f t="shared" si="766"/>
        <v>0</v>
      </c>
      <c r="AY1009" s="763">
        <f t="shared" si="761"/>
        <v>0</v>
      </c>
      <c r="AZ1009" s="763">
        <f t="shared" si="762"/>
        <v>0</v>
      </c>
      <c r="BA1009" s="763">
        <f t="shared" si="750"/>
        <v>0</v>
      </c>
      <c r="BB1009" s="170">
        <f>IF(AZ1009&gt;0,SUM(BA$990:BA1009),0)</f>
        <v>0</v>
      </c>
      <c r="BC1009" s="1144"/>
      <c r="BD1009" s="376"/>
      <c r="BE1009" s="1815">
        <f t="shared" si="763"/>
        <v>0</v>
      </c>
      <c r="BF1009" s="763">
        <f t="shared" si="764"/>
        <v>0</v>
      </c>
      <c r="BG1009" s="763">
        <f t="shared" si="765"/>
        <v>0</v>
      </c>
      <c r="BH1009" s="763">
        <f t="shared" si="751"/>
        <v>0</v>
      </c>
      <c r="BI1009" s="170">
        <f>IF(BG1009&gt;0,SUM(BH$990:BH1009),0)</f>
        <v>0</v>
      </c>
      <c r="BJ1009" s="1144"/>
      <c r="BK1009" s="376"/>
      <c r="BL1009" s="376"/>
      <c r="BM1009" s="376"/>
      <c r="BN1009" s="376"/>
      <c r="BO1009" s="376"/>
      <c r="BP1009" s="376"/>
      <c r="BQ1009" s="376"/>
      <c r="BR1009" s="376"/>
      <c r="BS1009" s="376"/>
      <c r="BT1009" s="376"/>
      <c r="BU1009" s="376"/>
      <c r="BV1009" s="376"/>
      <c r="BW1009" s="376"/>
      <c r="BX1009" s="376"/>
      <c r="BY1009" s="376"/>
      <c r="BZ1009" s="376"/>
      <c r="CA1009" s="376"/>
      <c r="CB1009" s="376"/>
      <c r="CC1009" s="376"/>
      <c r="CD1009" s="376"/>
      <c r="CE1009" s="376"/>
      <c r="CF1009" s="376"/>
      <c r="CG1009" s="376"/>
      <c r="CH1009" s="376"/>
      <c r="CI1009" s="376"/>
      <c r="CJ1009" s="376"/>
      <c r="CK1009" s="376"/>
      <c r="CL1009" s="376"/>
      <c r="CM1009" s="376"/>
      <c r="CN1009" s="376"/>
      <c r="CO1009" s="1183"/>
      <c r="CP1009" s="1183"/>
      <c r="CQ1009" s="1183"/>
      <c r="CR1009" s="1183"/>
      <c r="CS1009" s="1183"/>
      <c r="CT1009" s="1183"/>
      <c r="CU1009" s="1183"/>
      <c r="CV1009" s="1183"/>
      <c r="CW1009" s="1183"/>
      <c r="CX1009" s="1183"/>
      <c r="CY1009" s="1183"/>
      <c r="CZ1009" s="1183"/>
      <c r="DA1009" s="1183"/>
      <c r="DB1009" s="1183"/>
      <c r="DC1009" s="1183"/>
      <c r="DD1009" s="1183"/>
      <c r="DE1009" s="1183"/>
      <c r="DF1009" s="1183"/>
      <c r="DG1009" s="1183"/>
      <c r="DH1009" s="1183"/>
      <c r="DI1009" s="1183"/>
      <c r="DJ1009" s="1183"/>
      <c r="DK1009" s="1183"/>
      <c r="DL1009" s="1183"/>
      <c r="DM1009" s="1183"/>
      <c r="DN1009" s="1183"/>
      <c r="DO1009" s="1183"/>
      <c r="DP1009" s="1183"/>
      <c r="DQ1009" s="1183"/>
    </row>
    <row r="1010" spans="1:121" s="12" customFormat="1" ht="12" customHeight="1" x14ac:dyDescent="0.3">
      <c r="A1010" s="84"/>
      <c r="B1010" s="13"/>
      <c r="C1010" s="13"/>
      <c r="D1010" s="13"/>
      <c r="E1010" s="13"/>
      <c r="F1010" s="13"/>
      <c r="G1010" s="1804"/>
      <c r="H1010" s="1183"/>
      <c r="I1010" s="1804"/>
      <c r="J1010" s="1804"/>
      <c r="K1010" s="29">
        <f t="shared" si="752"/>
        <v>1</v>
      </c>
      <c r="L1010" s="485">
        <f>Infrastructure!D30</f>
        <v>0</v>
      </c>
      <c r="M1010" s="34">
        <f t="shared" si="753"/>
        <v>0</v>
      </c>
      <c r="N1010" s="34">
        <f t="shared" si="754"/>
        <v>0</v>
      </c>
      <c r="O1010" s="34">
        <f t="shared" si="755"/>
        <v>0</v>
      </c>
      <c r="P1010" s="34">
        <f t="shared" si="756"/>
        <v>0</v>
      </c>
      <c r="Q1010" s="34">
        <f t="shared" si="757"/>
        <v>0</v>
      </c>
      <c r="R1010" s="204">
        <f>IF(Input!D$298=AH1010,Input!D$297,0)</f>
        <v>0</v>
      </c>
      <c r="S1010" s="36">
        <f t="shared" si="743"/>
        <v>0</v>
      </c>
      <c r="T1010" s="1814"/>
      <c r="U1010" s="1814"/>
      <c r="V1010" s="1814"/>
      <c r="W1010" s="1817"/>
      <c r="X1010" s="1814"/>
      <c r="Y1010" s="1801"/>
      <c r="Z1010" s="1801"/>
      <c r="AA1010" s="1801"/>
      <c r="AB1010" s="1801"/>
      <c r="AC1010" s="1801"/>
      <c r="AD1010" s="1801"/>
      <c r="AE1010" s="1801"/>
      <c r="AF1010" s="1814"/>
      <c r="AG1010" s="376">
        <f t="shared" si="744"/>
        <v>0</v>
      </c>
      <c r="AH1010" s="376">
        <v>21</v>
      </c>
      <c r="AI1010" s="1151">
        <f t="shared" si="758"/>
        <v>0</v>
      </c>
      <c r="AJ1010" s="1151">
        <f t="shared" si="745"/>
        <v>0</v>
      </c>
      <c r="AK1010" s="1151">
        <f t="shared" si="746"/>
        <v>0</v>
      </c>
      <c r="AL1010" s="1151">
        <f t="shared" si="747"/>
        <v>0</v>
      </c>
      <c r="AM1010" s="1151">
        <f t="shared" si="748"/>
        <v>0</v>
      </c>
      <c r="AN1010" s="376"/>
      <c r="AO1010" s="1178">
        <v>21</v>
      </c>
      <c r="AP1010" s="485">
        <f>Infrastructure!D30</f>
        <v>0</v>
      </c>
      <c r="AQ1010" s="763">
        <f t="shared" si="759"/>
        <v>0</v>
      </c>
      <c r="AR1010" s="763">
        <f t="shared" si="760"/>
        <v>0</v>
      </c>
      <c r="AS1010" s="763">
        <f t="shared" si="749"/>
        <v>0</v>
      </c>
      <c r="AT1010" s="170">
        <f>IF(AR1010&gt;0,SUM(AS$990:AS1010),0)</f>
        <v>0</v>
      </c>
      <c r="AU1010" s="1144"/>
      <c r="AV1010" s="376"/>
      <c r="AW1010" s="376"/>
      <c r="AX1010" s="1815">
        <f t="shared" si="766"/>
        <v>0</v>
      </c>
      <c r="AY1010" s="763">
        <f t="shared" si="761"/>
        <v>0</v>
      </c>
      <c r="AZ1010" s="763">
        <f t="shared" si="762"/>
        <v>0</v>
      </c>
      <c r="BA1010" s="763">
        <f t="shared" si="750"/>
        <v>0</v>
      </c>
      <c r="BB1010" s="170">
        <f>IF(AZ1010&gt;0,SUM(BA$990:BA1010),0)</f>
        <v>0</v>
      </c>
      <c r="BC1010" s="1144"/>
      <c r="BD1010" s="376"/>
      <c r="BE1010" s="1815">
        <f t="shared" si="763"/>
        <v>0</v>
      </c>
      <c r="BF1010" s="763">
        <f t="shared" si="764"/>
        <v>0</v>
      </c>
      <c r="BG1010" s="763">
        <f t="shared" si="765"/>
        <v>0</v>
      </c>
      <c r="BH1010" s="763">
        <f t="shared" si="751"/>
        <v>0</v>
      </c>
      <c r="BI1010" s="170">
        <f>IF(BG1010&gt;0,SUM(BH$990:BH1010),0)</f>
        <v>0</v>
      </c>
      <c r="BJ1010" s="1144"/>
      <c r="BK1010" s="376"/>
      <c r="BL1010" s="376"/>
      <c r="BM1010" s="376"/>
      <c r="BN1010" s="376"/>
      <c r="BO1010" s="376"/>
      <c r="BP1010" s="376"/>
      <c r="BQ1010" s="376"/>
      <c r="BR1010" s="376"/>
      <c r="BS1010" s="376"/>
      <c r="BT1010" s="376"/>
      <c r="BU1010" s="376"/>
      <c r="BV1010" s="376"/>
      <c r="BW1010" s="376"/>
      <c r="BX1010" s="376"/>
      <c r="BY1010" s="376"/>
      <c r="BZ1010" s="376"/>
      <c r="CA1010" s="376"/>
      <c r="CB1010" s="376"/>
      <c r="CC1010" s="376"/>
      <c r="CD1010" s="376"/>
      <c r="CE1010" s="376"/>
      <c r="CF1010" s="376"/>
      <c r="CG1010" s="376"/>
      <c r="CH1010" s="376"/>
      <c r="CI1010" s="376"/>
      <c r="CJ1010" s="376"/>
      <c r="CK1010" s="376"/>
      <c r="CL1010" s="376"/>
      <c r="CM1010" s="376"/>
      <c r="CN1010" s="376"/>
      <c r="CO1010" s="1183"/>
      <c r="CP1010" s="1183"/>
      <c r="CQ1010" s="1183"/>
      <c r="CR1010" s="1183"/>
      <c r="CS1010" s="1183"/>
      <c r="CT1010" s="1183"/>
      <c r="CU1010" s="1183"/>
      <c r="CV1010" s="1183"/>
      <c r="CW1010" s="1183"/>
      <c r="CX1010" s="1183"/>
      <c r="CY1010" s="1183"/>
      <c r="CZ1010" s="1183"/>
      <c r="DA1010" s="1183"/>
      <c r="DB1010" s="1183"/>
      <c r="DC1010" s="1183"/>
      <c r="DD1010" s="1183"/>
      <c r="DE1010" s="1183"/>
      <c r="DF1010" s="1183"/>
      <c r="DG1010" s="1183"/>
      <c r="DH1010" s="1183"/>
      <c r="DI1010" s="1183"/>
      <c r="DJ1010" s="1183"/>
      <c r="DK1010" s="1183"/>
      <c r="DL1010" s="1183"/>
      <c r="DM1010" s="1183"/>
      <c r="DN1010" s="1183"/>
      <c r="DO1010" s="1183"/>
      <c r="DP1010" s="1183"/>
      <c r="DQ1010" s="1183"/>
    </row>
    <row r="1011" spans="1:121" s="12" customFormat="1" ht="12" customHeight="1" x14ac:dyDescent="0.3">
      <c r="A1011" s="84"/>
      <c r="B1011" s="13"/>
      <c r="C1011" s="13"/>
      <c r="D1011" s="13"/>
      <c r="E1011" s="13"/>
      <c r="F1011" s="13"/>
      <c r="G1011" s="1804"/>
      <c r="H1011" s="1183"/>
      <c r="I1011" s="1804"/>
      <c r="J1011" s="1804"/>
      <c r="K1011" s="29">
        <f t="shared" si="752"/>
        <v>1</v>
      </c>
      <c r="L1011" s="485">
        <f>Infrastructure!D31</f>
        <v>0</v>
      </c>
      <c r="M1011" s="34">
        <f t="shared" si="753"/>
        <v>0</v>
      </c>
      <c r="N1011" s="34">
        <f t="shared" si="754"/>
        <v>0</v>
      </c>
      <c r="O1011" s="34">
        <f t="shared" si="755"/>
        <v>0</v>
      </c>
      <c r="P1011" s="34">
        <f t="shared" si="756"/>
        <v>0</v>
      </c>
      <c r="Q1011" s="34">
        <f t="shared" si="757"/>
        <v>0</v>
      </c>
      <c r="R1011" s="204">
        <f>IF(Input!D$298=AH1011,Input!D$297,0)</f>
        <v>0</v>
      </c>
      <c r="S1011" s="36">
        <f t="shared" si="743"/>
        <v>0</v>
      </c>
      <c r="T1011" s="1814"/>
      <c r="U1011" s="1814"/>
      <c r="V1011" s="1814"/>
      <c r="W1011" s="1817"/>
      <c r="X1011" s="1814"/>
      <c r="Y1011" s="1801"/>
      <c r="Z1011" s="1801"/>
      <c r="AA1011" s="1801"/>
      <c r="AB1011" s="1801"/>
      <c r="AC1011" s="1801"/>
      <c r="AD1011" s="1801"/>
      <c r="AE1011" s="1801"/>
      <c r="AF1011" s="1814"/>
      <c r="AG1011" s="376">
        <f t="shared" si="744"/>
        <v>0</v>
      </c>
      <c r="AH1011" s="376">
        <v>22</v>
      </c>
      <c r="AI1011" s="1151">
        <f t="shared" si="758"/>
        <v>0</v>
      </c>
      <c r="AJ1011" s="1151">
        <f t="shared" si="745"/>
        <v>0</v>
      </c>
      <c r="AK1011" s="1151">
        <f t="shared" si="746"/>
        <v>0</v>
      </c>
      <c r="AL1011" s="1151">
        <f t="shared" si="747"/>
        <v>0</v>
      </c>
      <c r="AM1011" s="1151">
        <f t="shared" si="748"/>
        <v>0</v>
      </c>
      <c r="AN1011" s="763"/>
      <c r="AO1011" s="1178">
        <v>22</v>
      </c>
      <c r="AP1011" s="485">
        <f>Infrastructure!D31</f>
        <v>0</v>
      </c>
      <c r="AQ1011" s="763">
        <f t="shared" si="759"/>
        <v>0</v>
      </c>
      <c r="AR1011" s="763">
        <f t="shared" si="760"/>
        <v>0</v>
      </c>
      <c r="AS1011" s="763">
        <f t="shared" si="749"/>
        <v>0</v>
      </c>
      <c r="AT1011" s="170">
        <f>IF(AR1011&gt;0,SUM(AS$990:AS1011),0)</f>
        <v>0</v>
      </c>
      <c r="AU1011" s="1144"/>
      <c r="AV1011" s="376"/>
      <c r="AW1011" s="376"/>
      <c r="AX1011" s="1815">
        <f t="shared" si="766"/>
        <v>0</v>
      </c>
      <c r="AY1011" s="763">
        <f t="shared" si="761"/>
        <v>0</v>
      </c>
      <c r="AZ1011" s="763">
        <f t="shared" si="762"/>
        <v>0</v>
      </c>
      <c r="BA1011" s="763">
        <f t="shared" si="750"/>
        <v>0</v>
      </c>
      <c r="BB1011" s="170">
        <f>IF(AZ1011&gt;0,SUM(BA$990:BA1011),0)</f>
        <v>0</v>
      </c>
      <c r="BC1011" s="1144"/>
      <c r="BD1011" s="376"/>
      <c r="BE1011" s="1815">
        <f t="shared" si="763"/>
        <v>0</v>
      </c>
      <c r="BF1011" s="763">
        <f t="shared" si="764"/>
        <v>0</v>
      </c>
      <c r="BG1011" s="763">
        <f t="shared" si="765"/>
        <v>0</v>
      </c>
      <c r="BH1011" s="763">
        <f t="shared" si="751"/>
        <v>0</v>
      </c>
      <c r="BI1011" s="170">
        <f>IF(BG1011&gt;0,SUM(BH$990:BH1011),0)</f>
        <v>0</v>
      </c>
      <c r="BJ1011" s="1144"/>
      <c r="BK1011" s="376"/>
      <c r="BL1011" s="376"/>
      <c r="BM1011" s="376"/>
      <c r="BN1011" s="376"/>
      <c r="BO1011" s="376"/>
      <c r="BP1011" s="376"/>
      <c r="BQ1011" s="376"/>
      <c r="BR1011" s="376"/>
      <c r="BS1011" s="376"/>
      <c r="BT1011" s="376"/>
      <c r="BU1011" s="376"/>
      <c r="BV1011" s="376"/>
      <c r="BW1011" s="376"/>
      <c r="BX1011" s="376"/>
      <c r="BY1011" s="376"/>
      <c r="BZ1011" s="376"/>
      <c r="CA1011" s="376"/>
      <c r="CB1011" s="376"/>
      <c r="CC1011" s="376"/>
      <c r="CD1011" s="376"/>
      <c r="CE1011" s="376"/>
      <c r="CF1011" s="376"/>
      <c r="CG1011" s="376"/>
      <c r="CH1011" s="376"/>
      <c r="CI1011" s="376"/>
      <c r="CJ1011" s="376"/>
      <c r="CK1011" s="376"/>
      <c r="CL1011" s="376"/>
      <c r="CM1011" s="376"/>
      <c r="CN1011" s="376"/>
      <c r="CO1011" s="1183"/>
      <c r="CP1011" s="1183"/>
      <c r="CQ1011" s="1183"/>
      <c r="CR1011" s="1183"/>
      <c r="CS1011" s="1183"/>
      <c r="CT1011" s="1183"/>
      <c r="CU1011" s="1183"/>
      <c r="CV1011" s="1183"/>
      <c r="CW1011" s="1183"/>
      <c r="CX1011" s="1183"/>
      <c r="CY1011" s="1183"/>
      <c r="CZ1011" s="1183"/>
      <c r="DA1011" s="1183"/>
      <c r="DB1011" s="1183"/>
      <c r="DC1011" s="1183"/>
      <c r="DD1011" s="1183"/>
      <c r="DE1011" s="1183"/>
      <c r="DF1011" s="1183"/>
      <c r="DG1011" s="1183"/>
      <c r="DH1011" s="1183"/>
      <c r="DI1011" s="1183"/>
      <c r="DJ1011" s="1183"/>
      <c r="DK1011" s="1183"/>
      <c r="DL1011" s="1183"/>
      <c r="DM1011" s="1183"/>
      <c r="DN1011" s="1183"/>
      <c r="DO1011" s="1183"/>
      <c r="DP1011" s="1183"/>
      <c r="DQ1011" s="1183"/>
    </row>
    <row r="1012" spans="1:121" s="12" customFormat="1" ht="12" customHeight="1" x14ac:dyDescent="0.3">
      <c r="A1012" s="84"/>
      <c r="B1012" s="13"/>
      <c r="C1012" s="13"/>
      <c r="D1012" s="13"/>
      <c r="E1012" s="13"/>
      <c r="F1012" s="13"/>
      <c r="G1012" s="1804"/>
      <c r="H1012" s="1183"/>
      <c r="I1012" s="1804"/>
      <c r="J1012" s="1804"/>
      <c r="K1012" s="29">
        <f t="shared" si="752"/>
        <v>1</v>
      </c>
      <c r="L1012" s="485">
        <f>Infrastructure!D32</f>
        <v>0</v>
      </c>
      <c r="M1012" s="34">
        <f t="shared" si="753"/>
        <v>0</v>
      </c>
      <c r="N1012" s="34">
        <f t="shared" si="754"/>
        <v>0</v>
      </c>
      <c r="O1012" s="34">
        <f t="shared" si="755"/>
        <v>0</v>
      </c>
      <c r="P1012" s="34">
        <f t="shared" si="756"/>
        <v>0</v>
      </c>
      <c r="Q1012" s="34">
        <f t="shared" si="757"/>
        <v>0</v>
      </c>
      <c r="R1012" s="204">
        <f>IF(Input!D$298=AH1012,Input!D$297,0)</f>
        <v>0</v>
      </c>
      <c r="S1012" s="36">
        <f t="shared" si="743"/>
        <v>0</v>
      </c>
      <c r="T1012" s="1814"/>
      <c r="U1012" s="1814"/>
      <c r="V1012" s="1814"/>
      <c r="W1012" s="1817"/>
      <c r="X1012" s="1814"/>
      <c r="Y1012" s="1801"/>
      <c r="Z1012" s="1801"/>
      <c r="AA1012" s="1801"/>
      <c r="AB1012" s="1801"/>
      <c r="AC1012" s="1801"/>
      <c r="AD1012" s="1801"/>
      <c r="AE1012" s="1801"/>
      <c r="AF1012" s="1814"/>
      <c r="AG1012" s="376">
        <f t="shared" si="744"/>
        <v>0</v>
      </c>
      <c r="AH1012" s="376">
        <v>23</v>
      </c>
      <c r="AI1012" s="1151">
        <f t="shared" si="758"/>
        <v>0</v>
      </c>
      <c r="AJ1012" s="1151">
        <f t="shared" si="745"/>
        <v>0</v>
      </c>
      <c r="AK1012" s="1151">
        <f t="shared" si="746"/>
        <v>0</v>
      </c>
      <c r="AL1012" s="1151">
        <f t="shared" si="747"/>
        <v>0</v>
      </c>
      <c r="AM1012" s="1151">
        <f t="shared" si="748"/>
        <v>0</v>
      </c>
      <c r="AN1012" s="763"/>
      <c r="AO1012" s="1178">
        <v>23</v>
      </c>
      <c r="AP1012" s="485">
        <f>Infrastructure!D32</f>
        <v>0</v>
      </c>
      <c r="AQ1012" s="763">
        <f t="shared" si="759"/>
        <v>0</v>
      </c>
      <c r="AR1012" s="763">
        <f t="shared" si="760"/>
        <v>0</v>
      </c>
      <c r="AS1012" s="763">
        <f t="shared" si="749"/>
        <v>0</v>
      </c>
      <c r="AT1012" s="170">
        <f>IF(AR1012&gt;0,SUM(AS$990:AS1012),0)</f>
        <v>0</v>
      </c>
      <c r="AU1012" s="1144"/>
      <c r="AV1012" s="376"/>
      <c r="AW1012" s="376"/>
      <c r="AX1012" s="1815">
        <f t="shared" si="766"/>
        <v>0</v>
      </c>
      <c r="AY1012" s="763">
        <f t="shared" si="761"/>
        <v>0</v>
      </c>
      <c r="AZ1012" s="763">
        <f t="shared" si="762"/>
        <v>0</v>
      </c>
      <c r="BA1012" s="763">
        <f t="shared" si="750"/>
        <v>0</v>
      </c>
      <c r="BB1012" s="170">
        <f>IF(AZ1012&gt;0,SUM(BA$990:BA1012),0)</f>
        <v>0</v>
      </c>
      <c r="BC1012" s="1144"/>
      <c r="BD1012" s="376"/>
      <c r="BE1012" s="1815">
        <f t="shared" si="763"/>
        <v>0</v>
      </c>
      <c r="BF1012" s="763">
        <f t="shared" si="764"/>
        <v>0</v>
      </c>
      <c r="BG1012" s="763">
        <f t="shared" si="765"/>
        <v>0</v>
      </c>
      <c r="BH1012" s="763">
        <f t="shared" si="751"/>
        <v>0</v>
      </c>
      <c r="BI1012" s="170">
        <f>IF(BG1012&gt;0,SUM(BH$990:BH1012),0)</f>
        <v>0</v>
      </c>
      <c r="BJ1012" s="1144"/>
      <c r="BK1012" s="376"/>
      <c r="BL1012" s="376"/>
      <c r="BM1012" s="376"/>
      <c r="BN1012" s="376"/>
      <c r="BO1012" s="376"/>
      <c r="BP1012" s="376"/>
      <c r="BQ1012" s="376"/>
      <c r="BR1012" s="376"/>
      <c r="BS1012" s="376"/>
      <c r="BT1012" s="376"/>
      <c r="BU1012" s="376"/>
      <c r="BV1012" s="376"/>
      <c r="BW1012" s="376"/>
      <c r="BX1012" s="376"/>
      <c r="BY1012" s="376"/>
      <c r="BZ1012" s="376"/>
      <c r="CA1012" s="376"/>
      <c r="CB1012" s="376"/>
      <c r="CC1012" s="376"/>
      <c r="CD1012" s="376"/>
      <c r="CE1012" s="376"/>
      <c r="CF1012" s="376"/>
      <c r="CG1012" s="376"/>
      <c r="CH1012" s="376"/>
      <c r="CI1012" s="376"/>
      <c r="CJ1012" s="376"/>
      <c r="CK1012" s="376"/>
      <c r="CL1012" s="376"/>
      <c r="CM1012" s="376"/>
      <c r="CN1012" s="376"/>
      <c r="CO1012" s="1183"/>
      <c r="CP1012" s="1183"/>
      <c r="CQ1012" s="1183"/>
      <c r="CR1012" s="1183"/>
      <c r="CS1012" s="1183"/>
      <c r="CT1012" s="1183"/>
      <c r="CU1012" s="1183"/>
      <c r="CV1012" s="1183"/>
      <c r="CW1012" s="1183"/>
      <c r="CX1012" s="1183"/>
      <c r="CY1012" s="1183"/>
      <c r="CZ1012" s="1183"/>
      <c r="DA1012" s="1183"/>
      <c r="DB1012" s="1183"/>
      <c r="DC1012" s="1183"/>
      <c r="DD1012" s="1183"/>
      <c r="DE1012" s="1183"/>
      <c r="DF1012" s="1183"/>
      <c r="DG1012" s="1183"/>
      <c r="DH1012" s="1183"/>
      <c r="DI1012" s="1183"/>
      <c r="DJ1012" s="1183"/>
      <c r="DK1012" s="1183"/>
      <c r="DL1012" s="1183"/>
      <c r="DM1012" s="1183"/>
      <c r="DN1012" s="1183"/>
      <c r="DO1012" s="1183"/>
      <c r="DP1012" s="1183"/>
      <c r="DQ1012" s="1183"/>
    </row>
    <row r="1013" spans="1:121" s="12" customFormat="1" ht="12" customHeight="1" x14ac:dyDescent="0.3">
      <c r="A1013" s="84"/>
      <c r="B1013" s="13"/>
      <c r="C1013" s="13"/>
      <c r="D1013" s="13"/>
      <c r="E1013" s="13"/>
      <c r="F1013" s="13"/>
      <c r="G1013" s="1804"/>
      <c r="H1013" s="1183"/>
      <c r="I1013" s="1804"/>
      <c r="J1013" s="1804"/>
      <c r="K1013" s="29">
        <f t="shared" si="752"/>
        <v>1</v>
      </c>
      <c r="L1013" s="485">
        <f>Infrastructure!D33</f>
        <v>0</v>
      </c>
      <c r="M1013" s="34">
        <f t="shared" si="753"/>
        <v>0</v>
      </c>
      <c r="N1013" s="34">
        <f t="shared" si="754"/>
        <v>0</v>
      </c>
      <c r="O1013" s="34">
        <f t="shared" si="755"/>
        <v>0</v>
      </c>
      <c r="P1013" s="34">
        <f t="shared" si="756"/>
        <v>0</v>
      </c>
      <c r="Q1013" s="34">
        <f t="shared" si="757"/>
        <v>0</v>
      </c>
      <c r="R1013" s="204">
        <f>IF(Input!D$298=AH1013,Input!D$297,0)</f>
        <v>0</v>
      </c>
      <c r="S1013" s="36">
        <f t="shared" si="743"/>
        <v>0</v>
      </c>
      <c r="T1013" s="1814"/>
      <c r="U1013" s="1814"/>
      <c r="V1013" s="1814"/>
      <c r="W1013" s="1817"/>
      <c r="X1013" s="1814"/>
      <c r="Y1013" s="1801"/>
      <c r="Z1013" s="1801"/>
      <c r="AA1013" s="1801"/>
      <c r="AB1013" s="1801"/>
      <c r="AC1013" s="1801"/>
      <c r="AD1013" s="1801"/>
      <c r="AE1013" s="1801"/>
      <c r="AF1013" s="1814"/>
      <c r="AG1013" s="376">
        <f t="shared" si="744"/>
        <v>0</v>
      </c>
      <c r="AH1013" s="376">
        <v>24</v>
      </c>
      <c r="AI1013" s="1151">
        <f t="shared" si="758"/>
        <v>0</v>
      </c>
      <c r="AJ1013" s="1151">
        <f t="shared" si="745"/>
        <v>0</v>
      </c>
      <c r="AK1013" s="1151">
        <f t="shared" si="746"/>
        <v>0</v>
      </c>
      <c r="AL1013" s="1151">
        <f t="shared" si="747"/>
        <v>0</v>
      </c>
      <c r="AM1013" s="1151">
        <f t="shared" si="748"/>
        <v>0</v>
      </c>
      <c r="AN1013" s="763"/>
      <c r="AO1013" s="1178">
        <v>24</v>
      </c>
      <c r="AP1013" s="485">
        <f>Infrastructure!D33</f>
        <v>0</v>
      </c>
      <c r="AQ1013" s="763">
        <f t="shared" si="759"/>
        <v>0</v>
      </c>
      <c r="AR1013" s="763">
        <f t="shared" si="760"/>
        <v>0</v>
      </c>
      <c r="AS1013" s="763">
        <f t="shared" si="749"/>
        <v>0</v>
      </c>
      <c r="AT1013" s="170">
        <f>IF(AR1013&gt;0,SUM(AS$990:AS1013),0)</f>
        <v>0</v>
      </c>
      <c r="AU1013" s="1144"/>
      <c r="AV1013" s="376"/>
      <c r="AW1013" s="376"/>
      <c r="AX1013" s="1815">
        <f t="shared" si="766"/>
        <v>0</v>
      </c>
      <c r="AY1013" s="763">
        <f t="shared" si="761"/>
        <v>0</v>
      </c>
      <c r="AZ1013" s="763">
        <f t="shared" si="762"/>
        <v>0</v>
      </c>
      <c r="BA1013" s="763">
        <f t="shared" si="750"/>
        <v>0</v>
      </c>
      <c r="BB1013" s="170">
        <f>IF(AZ1013&gt;0,SUM(BA$990:BA1013),0)</f>
        <v>0</v>
      </c>
      <c r="BC1013" s="763">
        <f t="shared" ref="BC1013:BC1049" si="767">AY1013</f>
        <v>0</v>
      </c>
      <c r="BD1013" s="376"/>
      <c r="BE1013" s="1815">
        <f t="shared" si="763"/>
        <v>0</v>
      </c>
      <c r="BF1013" s="763">
        <f t="shared" si="764"/>
        <v>0</v>
      </c>
      <c r="BG1013" s="763">
        <f t="shared" si="765"/>
        <v>0</v>
      </c>
      <c r="BH1013" s="763">
        <f t="shared" si="751"/>
        <v>0</v>
      </c>
      <c r="BI1013" s="170">
        <f>IF(BG1013&gt;0,SUM(BH$990:BH1013),0)</f>
        <v>0</v>
      </c>
      <c r="BJ1013" s="1151">
        <f t="shared" ref="BJ1013:BJ1048" si="768">BF1013</f>
        <v>0</v>
      </c>
      <c r="BK1013" s="376"/>
      <c r="BL1013" s="376"/>
      <c r="BM1013" s="376"/>
      <c r="BN1013" s="376"/>
      <c r="BO1013" s="376"/>
      <c r="BP1013" s="376"/>
      <c r="BQ1013" s="376"/>
      <c r="BR1013" s="376"/>
      <c r="BS1013" s="376"/>
      <c r="BT1013" s="376"/>
      <c r="BU1013" s="376"/>
      <c r="BV1013" s="376"/>
      <c r="BW1013" s="376"/>
      <c r="BX1013" s="376"/>
      <c r="BY1013" s="376"/>
      <c r="BZ1013" s="376"/>
      <c r="CA1013" s="376"/>
      <c r="CB1013" s="376"/>
      <c r="CC1013" s="376"/>
      <c r="CD1013" s="376"/>
      <c r="CE1013" s="376"/>
      <c r="CF1013" s="376"/>
      <c r="CG1013" s="376"/>
      <c r="CH1013" s="376"/>
      <c r="CI1013" s="376"/>
      <c r="CJ1013" s="376"/>
      <c r="CK1013" s="376"/>
      <c r="CL1013" s="376"/>
      <c r="CM1013" s="376"/>
      <c r="CN1013" s="376"/>
      <c r="CO1013" s="1183"/>
      <c r="CP1013" s="1183"/>
      <c r="CQ1013" s="1183"/>
      <c r="CR1013" s="1183"/>
      <c r="CS1013" s="1183"/>
      <c r="CT1013" s="1183"/>
      <c r="CU1013" s="1183"/>
      <c r="CV1013" s="1183"/>
      <c r="CW1013" s="1183"/>
      <c r="CX1013" s="1183"/>
      <c r="CY1013" s="1183"/>
      <c r="CZ1013" s="1183"/>
      <c r="DA1013" s="1183"/>
      <c r="DB1013" s="1183"/>
      <c r="DC1013" s="1183"/>
      <c r="DD1013" s="1183"/>
      <c r="DE1013" s="1183"/>
      <c r="DF1013" s="1183"/>
      <c r="DG1013" s="1183"/>
      <c r="DH1013" s="1183"/>
      <c r="DI1013" s="1183"/>
      <c r="DJ1013" s="1183"/>
      <c r="DK1013" s="1183"/>
      <c r="DL1013" s="1183"/>
      <c r="DM1013" s="1183"/>
      <c r="DN1013" s="1183"/>
      <c r="DO1013" s="1183"/>
      <c r="DP1013" s="1183"/>
      <c r="DQ1013" s="1183"/>
    </row>
    <row r="1014" spans="1:121" s="12" customFormat="1" ht="12" customHeight="1" x14ac:dyDescent="0.3">
      <c r="A1014" s="84"/>
      <c r="B1014" s="13"/>
      <c r="C1014" s="13"/>
      <c r="D1014" s="13"/>
      <c r="E1014" s="13"/>
      <c r="F1014" s="13"/>
      <c r="G1014" s="1804"/>
      <c r="H1014" s="1183"/>
      <c r="I1014" s="1804"/>
      <c r="J1014" s="1804"/>
      <c r="K1014" s="29">
        <f t="shared" si="752"/>
        <v>1</v>
      </c>
      <c r="L1014" s="485">
        <f>Infrastructure!D34</f>
        <v>0</v>
      </c>
      <c r="M1014" s="34">
        <f t="shared" si="753"/>
        <v>0</v>
      </c>
      <c r="N1014" s="34">
        <f t="shared" si="754"/>
        <v>0</v>
      </c>
      <c r="O1014" s="34">
        <f t="shared" si="755"/>
        <v>0</v>
      </c>
      <c r="P1014" s="34">
        <f t="shared" si="756"/>
        <v>0</v>
      </c>
      <c r="Q1014" s="34">
        <f t="shared" si="757"/>
        <v>0</v>
      </c>
      <c r="R1014" s="204">
        <f>IF(Input!D$298=AH1014,Input!D$297,0)</f>
        <v>0</v>
      </c>
      <c r="S1014" s="36">
        <f t="shared" si="743"/>
        <v>0</v>
      </c>
      <c r="T1014" s="1814"/>
      <c r="U1014" s="1814"/>
      <c r="V1014" s="1814"/>
      <c r="W1014" s="1817"/>
      <c r="X1014" s="1814"/>
      <c r="Y1014" s="1801"/>
      <c r="Z1014" s="1801"/>
      <c r="AA1014" s="1801"/>
      <c r="AB1014" s="1801"/>
      <c r="AC1014" s="1801"/>
      <c r="AD1014" s="1801"/>
      <c r="AE1014" s="1801"/>
      <c r="AF1014" s="1814"/>
      <c r="AG1014" s="376">
        <f t="shared" si="744"/>
        <v>0</v>
      </c>
      <c r="AH1014" s="376">
        <v>25</v>
      </c>
      <c r="AI1014" s="1151">
        <f t="shared" si="758"/>
        <v>0</v>
      </c>
      <c r="AJ1014" s="1151">
        <f t="shared" si="745"/>
        <v>0</v>
      </c>
      <c r="AK1014" s="1151">
        <f t="shared" si="746"/>
        <v>0</v>
      </c>
      <c r="AL1014" s="1151">
        <f t="shared" si="747"/>
        <v>0</v>
      </c>
      <c r="AM1014" s="1151">
        <f t="shared" si="748"/>
        <v>0</v>
      </c>
      <c r="AN1014" s="763"/>
      <c r="AO1014" s="1178">
        <v>25</v>
      </c>
      <c r="AP1014" s="485">
        <f>Infrastructure!D34</f>
        <v>0</v>
      </c>
      <c r="AQ1014" s="763">
        <f t="shared" si="759"/>
        <v>0</v>
      </c>
      <c r="AR1014" s="763">
        <f t="shared" si="760"/>
        <v>0</v>
      </c>
      <c r="AS1014" s="763">
        <f t="shared" si="749"/>
        <v>0</v>
      </c>
      <c r="AT1014" s="170">
        <f>IF(AR1014&gt;0,SUM(AS$990:AS1014),0)</f>
        <v>0</v>
      </c>
      <c r="AU1014" s="1144"/>
      <c r="AV1014" s="376"/>
      <c r="AW1014" s="376"/>
      <c r="AX1014" s="1815">
        <f t="shared" si="766"/>
        <v>0</v>
      </c>
      <c r="AY1014" s="763">
        <f t="shared" si="761"/>
        <v>0</v>
      </c>
      <c r="AZ1014" s="763">
        <f t="shared" si="762"/>
        <v>0</v>
      </c>
      <c r="BA1014" s="763">
        <f t="shared" si="750"/>
        <v>0</v>
      </c>
      <c r="BB1014" s="170">
        <f>IF(AZ1014&gt;0,SUM(BA$990:BA1014),0)</f>
        <v>0</v>
      </c>
      <c r="BC1014" s="763">
        <f t="shared" si="767"/>
        <v>0</v>
      </c>
      <c r="BD1014" s="376"/>
      <c r="BE1014" s="1815">
        <f t="shared" si="763"/>
        <v>0</v>
      </c>
      <c r="BF1014" s="763">
        <f t="shared" si="764"/>
        <v>0</v>
      </c>
      <c r="BG1014" s="763">
        <f t="shared" si="765"/>
        <v>0</v>
      </c>
      <c r="BH1014" s="763">
        <f t="shared" si="751"/>
        <v>0</v>
      </c>
      <c r="BI1014" s="170">
        <f>IF(BG1014&gt;0,SUM(BH$990:BH1014),0)</f>
        <v>0</v>
      </c>
      <c r="BJ1014" s="1151">
        <f t="shared" si="768"/>
        <v>0</v>
      </c>
      <c r="BK1014" s="376"/>
      <c r="BL1014" s="376"/>
      <c r="BM1014" s="376"/>
      <c r="BN1014" s="376"/>
      <c r="BO1014" s="376"/>
      <c r="BP1014" s="376"/>
      <c r="BQ1014" s="376"/>
      <c r="BR1014" s="376"/>
      <c r="BS1014" s="376"/>
      <c r="BT1014" s="376"/>
      <c r="BU1014" s="376"/>
      <c r="BV1014" s="376"/>
      <c r="BW1014" s="376"/>
      <c r="BX1014" s="376"/>
      <c r="BY1014" s="376"/>
      <c r="BZ1014" s="376"/>
      <c r="CA1014" s="376"/>
      <c r="CB1014" s="376"/>
      <c r="CC1014" s="376"/>
      <c r="CD1014" s="376"/>
      <c r="CE1014" s="376"/>
      <c r="CF1014" s="376"/>
      <c r="CG1014" s="376"/>
      <c r="CH1014" s="376"/>
      <c r="CI1014" s="376"/>
      <c r="CJ1014" s="376"/>
      <c r="CK1014" s="376"/>
      <c r="CL1014" s="376"/>
      <c r="CM1014" s="376"/>
      <c r="CN1014" s="376"/>
      <c r="CO1014" s="1183"/>
      <c r="CP1014" s="1183"/>
      <c r="CQ1014" s="1183"/>
      <c r="CR1014" s="1183"/>
      <c r="CS1014" s="1183"/>
      <c r="CT1014" s="1183"/>
      <c r="CU1014" s="1183"/>
      <c r="CV1014" s="1183"/>
      <c r="CW1014" s="1183"/>
      <c r="CX1014" s="1183"/>
      <c r="CY1014" s="1183"/>
      <c r="CZ1014" s="1183"/>
      <c r="DA1014" s="1183"/>
      <c r="DB1014" s="1183"/>
      <c r="DC1014" s="1183"/>
      <c r="DD1014" s="1183"/>
      <c r="DE1014" s="1183"/>
      <c r="DF1014" s="1183"/>
      <c r="DG1014" s="1183"/>
      <c r="DH1014" s="1183"/>
      <c r="DI1014" s="1183"/>
      <c r="DJ1014" s="1183"/>
      <c r="DK1014" s="1183"/>
      <c r="DL1014" s="1183"/>
      <c r="DM1014" s="1183"/>
      <c r="DN1014" s="1183"/>
      <c r="DO1014" s="1183"/>
      <c r="DP1014" s="1183"/>
      <c r="DQ1014" s="1183"/>
    </row>
    <row r="1015" spans="1:121" s="12" customFormat="1" ht="12" customHeight="1" x14ac:dyDescent="0.3">
      <c r="A1015" s="84"/>
      <c r="B1015" s="13"/>
      <c r="C1015" s="13"/>
      <c r="D1015" s="13"/>
      <c r="E1015" s="13"/>
      <c r="F1015" s="13"/>
      <c r="G1015" s="1804"/>
      <c r="H1015" s="1183"/>
      <c r="I1015" s="1804"/>
      <c r="J1015" s="1804"/>
      <c r="K1015" s="29">
        <f t="shared" si="752"/>
        <v>1</v>
      </c>
      <c r="L1015" s="485">
        <f>Infrastructure!D35</f>
        <v>0</v>
      </c>
      <c r="M1015" s="34">
        <f t="shared" si="753"/>
        <v>0</v>
      </c>
      <c r="N1015" s="34">
        <f t="shared" si="754"/>
        <v>0</v>
      </c>
      <c r="O1015" s="34">
        <f t="shared" si="755"/>
        <v>0</v>
      </c>
      <c r="P1015" s="34">
        <f t="shared" si="756"/>
        <v>0</v>
      </c>
      <c r="Q1015" s="34">
        <f t="shared" si="757"/>
        <v>0</v>
      </c>
      <c r="R1015" s="31">
        <f>IF(Input!D$298=AH1015,Input!D$297,0)</f>
        <v>0</v>
      </c>
      <c r="S1015" s="36">
        <f t="shared" si="743"/>
        <v>0</v>
      </c>
      <c r="T1015" s="1814"/>
      <c r="U1015" s="1814"/>
      <c r="V1015" s="1814"/>
      <c r="W1015" s="1817"/>
      <c r="X1015" s="1814"/>
      <c r="Y1015" s="1801"/>
      <c r="Z1015" s="1801"/>
      <c r="AA1015" s="1801"/>
      <c r="AB1015" s="1801"/>
      <c r="AC1015" s="1801"/>
      <c r="AD1015" s="1801"/>
      <c r="AE1015" s="1801"/>
      <c r="AF1015" s="1814"/>
      <c r="AG1015" s="376">
        <f t="shared" si="744"/>
        <v>0</v>
      </c>
      <c r="AH1015" s="376">
        <v>26</v>
      </c>
      <c r="AI1015" s="1151">
        <f t="shared" si="758"/>
        <v>0</v>
      </c>
      <c r="AJ1015" s="1151">
        <f t="shared" si="745"/>
        <v>0</v>
      </c>
      <c r="AK1015" s="1151">
        <f t="shared" si="746"/>
        <v>0</v>
      </c>
      <c r="AL1015" s="1151">
        <f t="shared" si="747"/>
        <v>0</v>
      </c>
      <c r="AM1015" s="1151">
        <f t="shared" si="748"/>
        <v>0</v>
      </c>
      <c r="AN1015" s="763"/>
      <c r="AO1015" s="1178">
        <v>26</v>
      </c>
      <c r="AP1015" s="485">
        <f>Infrastructure!D35</f>
        <v>0</v>
      </c>
      <c r="AQ1015" s="763">
        <f t="shared" si="759"/>
        <v>0</v>
      </c>
      <c r="AR1015" s="763">
        <f t="shared" si="760"/>
        <v>0</v>
      </c>
      <c r="AS1015" s="763">
        <f t="shared" si="749"/>
        <v>0</v>
      </c>
      <c r="AT1015" s="170">
        <f>IF(AR1015&gt;0,SUM(AS$990:AS1015),0)</f>
        <v>0</v>
      </c>
      <c r="AU1015" s="1144"/>
      <c r="AV1015" s="376"/>
      <c r="AW1015" s="376"/>
      <c r="AX1015" s="1815">
        <f t="shared" si="766"/>
        <v>0</v>
      </c>
      <c r="AY1015" s="763">
        <f t="shared" si="761"/>
        <v>0</v>
      </c>
      <c r="AZ1015" s="763">
        <f t="shared" si="762"/>
        <v>0</v>
      </c>
      <c r="BA1015" s="763">
        <f t="shared" si="750"/>
        <v>0</v>
      </c>
      <c r="BB1015" s="170">
        <f>IF(AZ1015&gt;0,SUM(BA$990:BA1015),0)</f>
        <v>0</v>
      </c>
      <c r="BC1015" s="763">
        <f t="shared" si="767"/>
        <v>0</v>
      </c>
      <c r="BD1015" s="376"/>
      <c r="BE1015" s="1815">
        <f t="shared" si="763"/>
        <v>0</v>
      </c>
      <c r="BF1015" s="763">
        <f t="shared" si="764"/>
        <v>0</v>
      </c>
      <c r="BG1015" s="763">
        <f t="shared" si="765"/>
        <v>0</v>
      </c>
      <c r="BH1015" s="763">
        <f t="shared" si="751"/>
        <v>0</v>
      </c>
      <c r="BI1015" s="170">
        <f>IF(BG1015&gt;0,SUM(BH$990:BH1015),0)</f>
        <v>0</v>
      </c>
      <c r="BJ1015" s="1151">
        <f t="shared" si="768"/>
        <v>0</v>
      </c>
      <c r="BK1015" s="376"/>
      <c r="BL1015" s="376"/>
      <c r="BM1015" s="376"/>
      <c r="BN1015" s="376"/>
      <c r="BO1015" s="376"/>
      <c r="BP1015" s="376"/>
      <c r="BQ1015" s="376"/>
      <c r="BR1015" s="376"/>
      <c r="BS1015" s="376"/>
      <c r="BT1015" s="376"/>
      <c r="BU1015" s="376"/>
      <c r="BV1015" s="376"/>
      <c r="BW1015" s="376"/>
      <c r="BX1015" s="376"/>
      <c r="BY1015" s="376"/>
      <c r="BZ1015" s="376"/>
      <c r="CA1015" s="376"/>
      <c r="CB1015" s="376"/>
      <c r="CC1015" s="376"/>
      <c r="CD1015" s="376"/>
      <c r="CE1015" s="376"/>
      <c r="CF1015" s="376"/>
      <c r="CG1015" s="376"/>
      <c r="CH1015" s="376"/>
      <c r="CI1015" s="376"/>
      <c r="CJ1015" s="376"/>
      <c r="CK1015" s="376"/>
      <c r="CL1015" s="376"/>
      <c r="CM1015" s="376"/>
      <c r="CN1015" s="376"/>
      <c r="CO1015" s="1183"/>
      <c r="CP1015" s="1183"/>
      <c r="CQ1015" s="1183"/>
      <c r="CR1015" s="1183"/>
      <c r="CS1015" s="1183"/>
      <c r="CT1015" s="1183"/>
      <c r="CU1015" s="1183"/>
      <c r="CV1015" s="1183"/>
      <c r="CW1015" s="1183"/>
      <c r="CX1015" s="1183"/>
      <c r="CY1015" s="1183"/>
      <c r="CZ1015" s="1183"/>
      <c r="DA1015" s="1183"/>
      <c r="DB1015" s="1183"/>
      <c r="DC1015" s="1183"/>
      <c r="DD1015" s="1183"/>
      <c r="DE1015" s="1183"/>
      <c r="DF1015" s="1183"/>
      <c r="DG1015" s="1183"/>
      <c r="DH1015" s="1183"/>
      <c r="DI1015" s="1183"/>
      <c r="DJ1015" s="1183"/>
      <c r="DK1015" s="1183"/>
      <c r="DL1015" s="1183"/>
      <c r="DM1015" s="1183"/>
      <c r="DN1015" s="1183"/>
      <c r="DO1015" s="1183"/>
      <c r="DP1015" s="1183"/>
      <c r="DQ1015" s="1183"/>
    </row>
    <row r="1016" spans="1:121" s="12" customFormat="1" ht="12" customHeight="1" x14ac:dyDescent="0.3">
      <c r="A1016" s="84"/>
      <c r="B1016" s="13"/>
      <c r="C1016" s="13"/>
      <c r="D1016" s="13"/>
      <c r="E1016" s="13"/>
      <c r="F1016" s="13"/>
      <c r="G1016" s="1804"/>
      <c r="H1016" s="1183"/>
      <c r="I1016" s="1804"/>
      <c r="J1016" s="1804"/>
      <c r="K1016" s="29">
        <f t="shared" si="752"/>
        <v>1</v>
      </c>
      <c r="L1016" s="485">
        <f>Infrastructure!D36</f>
        <v>0</v>
      </c>
      <c r="M1016" s="34">
        <f t="shared" si="753"/>
        <v>0</v>
      </c>
      <c r="N1016" s="34">
        <f t="shared" si="754"/>
        <v>0</v>
      </c>
      <c r="O1016" s="34">
        <f t="shared" si="755"/>
        <v>0</v>
      </c>
      <c r="P1016" s="34">
        <f t="shared" si="756"/>
        <v>0</v>
      </c>
      <c r="Q1016" s="34">
        <f t="shared" si="757"/>
        <v>0</v>
      </c>
      <c r="R1016" s="31">
        <f>IF(Input!D$298=AH1016,Input!D$297,0)</f>
        <v>0</v>
      </c>
      <c r="S1016" s="36">
        <f t="shared" si="743"/>
        <v>0</v>
      </c>
      <c r="T1016" s="1814"/>
      <c r="U1016" s="1814"/>
      <c r="V1016" s="1814"/>
      <c r="W1016" s="1817"/>
      <c r="X1016" s="1814"/>
      <c r="Y1016" s="1801"/>
      <c r="Z1016" s="1801"/>
      <c r="AA1016" s="1801"/>
      <c r="AB1016" s="1801"/>
      <c r="AC1016" s="1801"/>
      <c r="AD1016" s="1801"/>
      <c r="AE1016" s="1801"/>
      <c r="AF1016" s="1814"/>
      <c r="AG1016" s="376">
        <f t="shared" si="744"/>
        <v>0</v>
      </c>
      <c r="AH1016" s="376">
        <v>27</v>
      </c>
      <c r="AI1016" s="1151">
        <f t="shared" si="758"/>
        <v>0</v>
      </c>
      <c r="AJ1016" s="1151">
        <f t="shared" si="745"/>
        <v>0</v>
      </c>
      <c r="AK1016" s="1151">
        <f t="shared" si="746"/>
        <v>0</v>
      </c>
      <c r="AL1016" s="1151">
        <f t="shared" si="747"/>
        <v>0</v>
      </c>
      <c r="AM1016" s="1151">
        <f t="shared" si="748"/>
        <v>0</v>
      </c>
      <c r="AN1016" s="763"/>
      <c r="AO1016" s="1178">
        <v>27</v>
      </c>
      <c r="AP1016" s="485">
        <f>Infrastructure!D36</f>
        <v>0</v>
      </c>
      <c r="AQ1016" s="763">
        <f t="shared" si="759"/>
        <v>0</v>
      </c>
      <c r="AR1016" s="763">
        <f t="shared" si="760"/>
        <v>0</v>
      </c>
      <c r="AS1016" s="763">
        <f t="shared" si="749"/>
        <v>0</v>
      </c>
      <c r="AT1016" s="170">
        <f>IF(AR1016&gt;0,SUM(AS$990:AS1016),0)</f>
        <v>0</v>
      </c>
      <c r="AU1016" s="1144"/>
      <c r="AV1016" s="376"/>
      <c r="AW1016" s="376"/>
      <c r="AX1016" s="1815">
        <f t="shared" si="766"/>
        <v>0</v>
      </c>
      <c r="AY1016" s="763">
        <f t="shared" si="761"/>
        <v>0</v>
      </c>
      <c r="AZ1016" s="763">
        <f t="shared" si="762"/>
        <v>0</v>
      </c>
      <c r="BA1016" s="763">
        <f t="shared" si="750"/>
        <v>0</v>
      </c>
      <c r="BB1016" s="170">
        <f>IF(AZ1016&gt;0,SUM(BA$990:BA1016),0)</f>
        <v>0</v>
      </c>
      <c r="BC1016" s="763">
        <f t="shared" si="767"/>
        <v>0</v>
      </c>
      <c r="BD1016" s="376"/>
      <c r="BE1016" s="1815">
        <f t="shared" si="763"/>
        <v>0</v>
      </c>
      <c r="BF1016" s="763">
        <f t="shared" si="764"/>
        <v>0</v>
      </c>
      <c r="BG1016" s="763">
        <f t="shared" si="765"/>
        <v>0</v>
      </c>
      <c r="BH1016" s="763">
        <f t="shared" si="751"/>
        <v>0</v>
      </c>
      <c r="BI1016" s="170">
        <f>IF(BG1016&gt;0,SUM(BH$990:BH1016),0)</f>
        <v>0</v>
      </c>
      <c r="BJ1016" s="1151">
        <f t="shared" si="768"/>
        <v>0</v>
      </c>
      <c r="BK1016" s="376"/>
      <c r="BL1016" s="376"/>
      <c r="BM1016" s="376"/>
      <c r="BN1016" s="376"/>
      <c r="BO1016" s="376"/>
      <c r="BP1016" s="376"/>
      <c r="BQ1016" s="376"/>
      <c r="BR1016" s="376"/>
      <c r="BS1016" s="376"/>
      <c r="BT1016" s="376"/>
      <c r="BU1016" s="376"/>
      <c r="BV1016" s="376"/>
      <c r="BW1016" s="376"/>
      <c r="BX1016" s="376"/>
      <c r="BY1016" s="376"/>
      <c r="BZ1016" s="376"/>
      <c r="CA1016" s="376"/>
      <c r="CB1016" s="376"/>
      <c r="CC1016" s="376"/>
      <c r="CD1016" s="376"/>
      <c r="CE1016" s="376"/>
      <c r="CF1016" s="376"/>
      <c r="CG1016" s="376"/>
      <c r="CH1016" s="376"/>
      <c r="CI1016" s="376"/>
      <c r="CJ1016" s="376"/>
      <c r="CK1016" s="376"/>
      <c r="CL1016" s="376"/>
      <c r="CM1016" s="376"/>
      <c r="CN1016" s="376"/>
      <c r="CO1016" s="1183"/>
      <c r="CP1016" s="1183"/>
      <c r="CQ1016" s="1183"/>
      <c r="CR1016" s="1183"/>
      <c r="CS1016" s="1183"/>
      <c r="CT1016" s="1183"/>
      <c r="CU1016" s="1183"/>
      <c r="CV1016" s="1183"/>
      <c r="CW1016" s="1183"/>
      <c r="CX1016" s="1183"/>
      <c r="CY1016" s="1183"/>
      <c r="CZ1016" s="1183"/>
      <c r="DA1016" s="1183"/>
      <c r="DB1016" s="1183"/>
      <c r="DC1016" s="1183"/>
      <c r="DD1016" s="1183"/>
      <c r="DE1016" s="1183"/>
      <c r="DF1016" s="1183"/>
      <c r="DG1016" s="1183"/>
      <c r="DH1016" s="1183"/>
      <c r="DI1016" s="1183"/>
      <c r="DJ1016" s="1183"/>
      <c r="DK1016" s="1183"/>
      <c r="DL1016" s="1183"/>
      <c r="DM1016" s="1183"/>
      <c r="DN1016" s="1183"/>
      <c r="DO1016" s="1183"/>
      <c r="DP1016" s="1183"/>
      <c r="DQ1016" s="1183"/>
    </row>
    <row r="1017" spans="1:121" s="12" customFormat="1" ht="12" customHeight="1" x14ac:dyDescent="0.3">
      <c r="A1017" s="84"/>
      <c r="B1017" s="13"/>
      <c r="C1017" s="13"/>
      <c r="D1017" s="13"/>
      <c r="E1017" s="13"/>
      <c r="F1017" s="13"/>
      <c r="G1017" s="1804"/>
      <c r="H1017" s="1183"/>
      <c r="I1017" s="1804"/>
      <c r="J1017" s="1804"/>
      <c r="K1017" s="29">
        <f t="shared" si="752"/>
        <v>1</v>
      </c>
      <c r="L1017" s="485">
        <f>Infrastructure!D37</f>
        <v>0</v>
      </c>
      <c r="M1017" s="34">
        <f t="shared" si="753"/>
        <v>0</v>
      </c>
      <c r="N1017" s="34">
        <f t="shared" si="754"/>
        <v>0</v>
      </c>
      <c r="O1017" s="34">
        <f t="shared" si="755"/>
        <v>0</v>
      </c>
      <c r="P1017" s="34">
        <f t="shared" si="756"/>
        <v>0</v>
      </c>
      <c r="Q1017" s="34">
        <f t="shared" si="757"/>
        <v>0</v>
      </c>
      <c r="R1017" s="31">
        <f>IF(Input!D$298=AH1017,Input!D$297,0)</f>
        <v>0</v>
      </c>
      <c r="S1017" s="36">
        <f t="shared" si="743"/>
        <v>0</v>
      </c>
      <c r="T1017" s="1814"/>
      <c r="U1017" s="1814"/>
      <c r="V1017" s="1814"/>
      <c r="W1017" s="1817"/>
      <c r="X1017" s="1814"/>
      <c r="Y1017" s="1801"/>
      <c r="Z1017" s="1801"/>
      <c r="AA1017" s="1801"/>
      <c r="AB1017" s="1801"/>
      <c r="AC1017" s="1801"/>
      <c r="AD1017" s="1801"/>
      <c r="AE1017" s="1801"/>
      <c r="AF1017" s="1814"/>
      <c r="AG1017" s="376">
        <f t="shared" si="744"/>
        <v>0</v>
      </c>
      <c r="AH1017" s="376">
        <v>28</v>
      </c>
      <c r="AI1017" s="1151">
        <f t="shared" si="758"/>
        <v>0</v>
      </c>
      <c r="AJ1017" s="1151">
        <f t="shared" si="745"/>
        <v>0</v>
      </c>
      <c r="AK1017" s="1151">
        <f t="shared" si="746"/>
        <v>0</v>
      </c>
      <c r="AL1017" s="1151">
        <f t="shared" si="747"/>
        <v>0</v>
      </c>
      <c r="AM1017" s="1151">
        <f t="shared" si="748"/>
        <v>0</v>
      </c>
      <c r="AN1017" s="763"/>
      <c r="AO1017" s="1178">
        <v>28</v>
      </c>
      <c r="AP1017" s="485">
        <f>Infrastructure!D37</f>
        <v>0</v>
      </c>
      <c r="AQ1017" s="763">
        <f t="shared" si="759"/>
        <v>0</v>
      </c>
      <c r="AR1017" s="763">
        <f t="shared" si="760"/>
        <v>0</v>
      </c>
      <c r="AS1017" s="763">
        <f t="shared" si="749"/>
        <v>0</v>
      </c>
      <c r="AT1017" s="170">
        <f>IF(AR1017&gt;0,SUM(AS$990:AS1017),0)</f>
        <v>0</v>
      </c>
      <c r="AU1017" s="1144"/>
      <c r="AV1017" s="376"/>
      <c r="AW1017" s="376"/>
      <c r="AX1017" s="1815">
        <f t="shared" si="766"/>
        <v>0</v>
      </c>
      <c r="AY1017" s="763">
        <f t="shared" si="761"/>
        <v>0</v>
      </c>
      <c r="AZ1017" s="763">
        <f t="shared" si="762"/>
        <v>0</v>
      </c>
      <c r="BA1017" s="763">
        <f t="shared" si="750"/>
        <v>0</v>
      </c>
      <c r="BB1017" s="170">
        <f>IF(AZ1017&gt;0,SUM(BA$990:BA1017),0)</f>
        <v>0</v>
      </c>
      <c r="BC1017" s="763">
        <f t="shared" si="767"/>
        <v>0</v>
      </c>
      <c r="BD1017" s="376"/>
      <c r="BE1017" s="1815">
        <f t="shared" si="763"/>
        <v>0</v>
      </c>
      <c r="BF1017" s="763">
        <f t="shared" si="764"/>
        <v>0</v>
      </c>
      <c r="BG1017" s="763">
        <f t="shared" si="765"/>
        <v>0</v>
      </c>
      <c r="BH1017" s="763">
        <f t="shared" si="751"/>
        <v>0</v>
      </c>
      <c r="BI1017" s="170">
        <f>IF(BG1017&gt;0,SUM(BH$990:BH1017),0)</f>
        <v>0</v>
      </c>
      <c r="BJ1017" s="1151">
        <f t="shared" si="768"/>
        <v>0</v>
      </c>
      <c r="BK1017" s="376"/>
      <c r="BL1017" s="376"/>
      <c r="BM1017" s="376"/>
      <c r="BN1017" s="376"/>
      <c r="BO1017" s="376"/>
      <c r="BP1017" s="376"/>
      <c r="BQ1017" s="376"/>
      <c r="BR1017" s="376"/>
      <c r="BS1017" s="376"/>
      <c r="BT1017" s="376"/>
      <c r="BU1017" s="376"/>
      <c r="BV1017" s="376"/>
      <c r="BW1017" s="376"/>
      <c r="BX1017" s="376"/>
      <c r="BY1017" s="376"/>
      <c r="BZ1017" s="376"/>
      <c r="CA1017" s="376"/>
      <c r="CB1017" s="376"/>
      <c r="CC1017" s="376"/>
      <c r="CD1017" s="376"/>
      <c r="CE1017" s="376"/>
      <c r="CF1017" s="376"/>
      <c r="CG1017" s="376"/>
      <c r="CH1017" s="376"/>
      <c r="CI1017" s="376"/>
      <c r="CJ1017" s="376"/>
      <c r="CK1017" s="376"/>
      <c r="CL1017" s="376"/>
      <c r="CM1017" s="376"/>
      <c r="CN1017" s="376"/>
      <c r="CO1017" s="1183"/>
      <c r="CP1017" s="1183"/>
      <c r="CQ1017" s="1183"/>
      <c r="CR1017" s="1183"/>
      <c r="CS1017" s="1183"/>
      <c r="CT1017" s="1183"/>
      <c r="CU1017" s="1183"/>
      <c r="CV1017" s="1183"/>
      <c r="CW1017" s="1183"/>
      <c r="CX1017" s="1183"/>
      <c r="CY1017" s="1183"/>
      <c r="CZ1017" s="1183"/>
      <c r="DA1017" s="1183"/>
      <c r="DB1017" s="1183"/>
      <c r="DC1017" s="1183"/>
      <c r="DD1017" s="1183"/>
      <c r="DE1017" s="1183"/>
      <c r="DF1017" s="1183"/>
      <c r="DG1017" s="1183"/>
      <c r="DH1017" s="1183"/>
      <c r="DI1017" s="1183"/>
      <c r="DJ1017" s="1183"/>
      <c r="DK1017" s="1183"/>
      <c r="DL1017" s="1183"/>
      <c r="DM1017" s="1183"/>
      <c r="DN1017" s="1183"/>
      <c r="DO1017" s="1183"/>
      <c r="DP1017" s="1183"/>
      <c r="DQ1017" s="1183"/>
    </row>
    <row r="1018" spans="1:121" s="12" customFormat="1" ht="12" customHeight="1" x14ac:dyDescent="0.3">
      <c r="A1018" s="84"/>
      <c r="B1018" s="13"/>
      <c r="C1018" s="13"/>
      <c r="D1018" s="13"/>
      <c r="E1018" s="13"/>
      <c r="F1018" s="13"/>
      <c r="G1018" s="1804"/>
      <c r="H1018" s="1183"/>
      <c r="I1018" s="1804"/>
      <c r="J1018" s="1804"/>
      <c r="K1018" s="29">
        <f t="shared" si="752"/>
        <v>1</v>
      </c>
      <c r="L1018" s="485">
        <f>Infrastructure!D38</f>
        <v>0</v>
      </c>
      <c r="M1018" s="34">
        <f t="shared" si="753"/>
        <v>0</v>
      </c>
      <c r="N1018" s="34">
        <f t="shared" si="754"/>
        <v>0</v>
      </c>
      <c r="O1018" s="34">
        <f t="shared" si="755"/>
        <v>0</v>
      </c>
      <c r="P1018" s="34">
        <f t="shared" si="756"/>
        <v>0</v>
      </c>
      <c r="Q1018" s="34">
        <f t="shared" si="757"/>
        <v>0</v>
      </c>
      <c r="R1018" s="31">
        <f>IF(Input!D$298=AH1018,Input!D$297,0)</f>
        <v>0</v>
      </c>
      <c r="S1018" s="36">
        <f t="shared" si="743"/>
        <v>0</v>
      </c>
      <c r="T1018" s="1814"/>
      <c r="U1018" s="1814"/>
      <c r="V1018" s="1814"/>
      <c r="W1018" s="1817"/>
      <c r="X1018" s="1814"/>
      <c r="Y1018" s="1801"/>
      <c r="Z1018" s="1801"/>
      <c r="AA1018" s="1801"/>
      <c r="AB1018" s="1801"/>
      <c r="AC1018" s="1801"/>
      <c r="AD1018" s="1801"/>
      <c r="AE1018" s="1801"/>
      <c r="AF1018" s="1814"/>
      <c r="AG1018" s="376">
        <f t="shared" si="744"/>
        <v>0</v>
      </c>
      <c r="AH1018" s="376">
        <v>29</v>
      </c>
      <c r="AI1018" s="1151">
        <f t="shared" si="758"/>
        <v>0</v>
      </c>
      <c r="AJ1018" s="1151">
        <f t="shared" si="745"/>
        <v>0</v>
      </c>
      <c r="AK1018" s="1151">
        <f t="shared" si="746"/>
        <v>0</v>
      </c>
      <c r="AL1018" s="1151">
        <f t="shared" si="747"/>
        <v>0</v>
      </c>
      <c r="AM1018" s="1151">
        <f t="shared" si="748"/>
        <v>0</v>
      </c>
      <c r="AN1018" s="763"/>
      <c r="AO1018" s="1178">
        <v>29</v>
      </c>
      <c r="AP1018" s="485">
        <f>Infrastructure!D38</f>
        <v>0</v>
      </c>
      <c r="AQ1018" s="763">
        <f t="shared" si="759"/>
        <v>0</v>
      </c>
      <c r="AR1018" s="763">
        <f t="shared" si="760"/>
        <v>0</v>
      </c>
      <c r="AS1018" s="763">
        <f t="shared" si="749"/>
        <v>0</v>
      </c>
      <c r="AT1018" s="170">
        <f>IF(AR1018&gt;0,SUM(AS$990:AS1018),0)</f>
        <v>0</v>
      </c>
      <c r="AU1018" s="1144"/>
      <c r="AV1018" s="376"/>
      <c r="AW1018" s="376"/>
      <c r="AX1018" s="1815">
        <f t="shared" si="766"/>
        <v>0</v>
      </c>
      <c r="AY1018" s="763">
        <f t="shared" si="761"/>
        <v>0</v>
      </c>
      <c r="AZ1018" s="763">
        <f t="shared" si="762"/>
        <v>0</v>
      </c>
      <c r="BA1018" s="763">
        <f t="shared" si="750"/>
        <v>0</v>
      </c>
      <c r="BB1018" s="170">
        <f>IF(AZ1018&gt;0,SUM(BA$990:BA1018),0)</f>
        <v>0</v>
      </c>
      <c r="BC1018" s="763">
        <f t="shared" si="767"/>
        <v>0</v>
      </c>
      <c r="BD1018" s="376"/>
      <c r="BE1018" s="1815">
        <f t="shared" si="763"/>
        <v>0</v>
      </c>
      <c r="BF1018" s="763">
        <f t="shared" si="764"/>
        <v>0</v>
      </c>
      <c r="BG1018" s="763">
        <f t="shared" si="765"/>
        <v>0</v>
      </c>
      <c r="BH1018" s="763">
        <f t="shared" si="751"/>
        <v>0</v>
      </c>
      <c r="BI1018" s="170">
        <f>IF(BG1018&gt;0,SUM(BH$990:BH1018),0)</f>
        <v>0</v>
      </c>
      <c r="BJ1018" s="1151">
        <f t="shared" si="768"/>
        <v>0</v>
      </c>
      <c r="BK1018" s="376"/>
      <c r="BL1018" s="376"/>
      <c r="BM1018" s="376"/>
      <c r="BN1018" s="376"/>
      <c r="BO1018" s="376"/>
      <c r="BP1018" s="376"/>
      <c r="BQ1018" s="376"/>
      <c r="BR1018" s="376"/>
      <c r="BS1018" s="376"/>
      <c r="BT1018" s="376"/>
      <c r="BU1018" s="376"/>
      <c r="BV1018" s="376"/>
      <c r="BW1018" s="376"/>
      <c r="BX1018" s="376"/>
      <c r="BY1018" s="376"/>
      <c r="BZ1018" s="376"/>
      <c r="CA1018" s="376"/>
      <c r="CB1018" s="376"/>
      <c r="CC1018" s="376"/>
      <c r="CD1018" s="376"/>
      <c r="CE1018" s="376"/>
      <c r="CF1018" s="376"/>
      <c r="CG1018" s="376"/>
      <c r="CH1018" s="376"/>
      <c r="CI1018" s="376"/>
      <c r="CJ1018" s="376"/>
      <c r="CK1018" s="376"/>
      <c r="CL1018" s="376"/>
      <c r="CM1018" s="376"/>
      <c r="CN1018" s="376"/>
      <c r="CO1018" s="1183"/>
      <c r="CP1018" s="1183"/>
      <c r="CQ1018" s="1183"/>
      <c r="CR1018" s="1183"/>
      <c r="CS1018" s="1183"/>
      <c r="CT1018" s="1183"/>
      <c r="CU1018" s="1183"/>
      <c r="CV1018" s="1183"/>
      <c r="CW1018" s="1183"/>
      <c r="CX1018" s="1183"/>
      <c r="CY1018" s="1183"/>
      <c r="CZ1018" s="1183"/>
      <c r="DA1018" s="1183"/>
      <c r="DB1018" s="1183"/>
      <c r="DC1018" s="1183"/>
      <c r="DD1018" s="1183"/>
      <c r="DE1018" s="1183"/>
      <c r="DF1018" s="1183"/>
      <c r="DG1018" s="1183"/>
      <c r="DH1018" s="1183"/>
      <c r="DI1018" s="1183"/>
      <c r="DJ1018" s="1183"/>
      <c r="DK1018" s="1183"/>
      <c r="DL1018" s="1183"/>
      <c r="DM1018" s="1183"/>
      <c r="DN1018" s="1183"/>
      <c r="DO1018" s="1183"/>
      <c r="DP1018" s="1183"/>
      <c r="DQ1018" s="1183"/>
    </row>
    <row r="1019" spans="1:121" s="12" customFormat="1" ht="12" customHeight="1" x14ac:dyDescent="0.3">
      <c r="A1019" s="84"/>
      <c r="B1019" s="13"/>
      <c r="C1019" s="13"/>
      <c r="D1019" s="13"/>
      <c r="E1019" s="13"/>
      <c r="F1019" s="13"/>
      <c r="G1019" s="1804"/>
      <c r="H1019" s="1183"/>
      <c r="I1019" s="1804"/>
      <c r="J1019" s="1804"/>
      <c r="K1019" s="29">
        <f t="shared" si="752"/>
        <v>1</v>
      </c>
      <c r="L1019" s="485">
        <f>Infrastructure!D39</f>
        <v>0</v>
      </c>
      <c r="M1019" s="34">
        <f t="shared" si="753"/>
        <v>0</v>
      </c>
      <c r="N1019" s="34">
        <f t="shared" si="754"/>
        <v>0</v>
      </c>
      <c r="O1019" s="34">
        <f t="shared" si="755"/>
        <v>0</v>
      </c>
      <c r="P1019" s="34">
        <f t="shared" si="756"/>
        <v>0</v>
      </c>
      <c r="Q1019" s="34">
        <f t="shared" si="757"/>
        <v>0</v>
      </c>
      <c r="R1019" s="31">
        <f>IF(Input!D$298=AH1019,Input!D$297,0)</f>
        <v>0</v>
      </c>
      <c r="S1019" s="36">
        <f t="shared" si="743"/>
        <v>0</v>
      </c>
      <c r="T1019" s="1814"/>
      <c r="U1019" s="1814"/>
      <c r="V1019" s="1814"/>
      <c r="W1019" s="1817"/>
      <c r="X1019" s="1814"/>
      <c r="Y1019" s="1801"/>
      <c r="Z1019" s="1801"/>
      <c r="AA1019" s="1801"/>
      <c r="AB1019" s="1801"/>
      <c r="AC1019" s="1801"/>
      <c r="AD1019" s="1801"/>
      <c r="AE1019" s="1801"/>
      <c r="AF1019" s="1814"/>
      <c r="AG1019" s="376">
        <f t="shared" si="744"/>
        <v>0</v>
      </c>
      <c r="AH1019" s="376">
        <v>30</v>
      </c>
      <c r="AI1019" s="1151">
        <f t="shared" si="758"/>
        <v>0</v>
      </c>
      <c r="AJ1019" s="1151">
        <f t="shared" si="745"/>
        <v>0</v>
      </c>
      <c r="AK1019" s="1151">
        <f t="shared" si="746"/>
        <v>0</v>
      </c>
      <c r="AL1019" s="1151">
        <f t="shared" si="747"/>
        <v>0</v>
      </c>
      <c r="AM1019" s="1151">
        <f t="shared" si="748"/>
        <v>0</v>
      </c>
      <c r="AN1019" s="763"/>
      <c r="AO1019" s="1178">
        <v>30</v>
      </c>
      <c r="AP1019" s="485">
        <f>Infrastructure!D39</f>
        <v>0</v>
      </c>
      <c r="AQ1019" s="763">
        <f t="shared" si="759"/>
        <v>0</v>
      </c>
      <c r="AR1019" s="763">
        <f t="shared" si="760"/>
        <v>0</v>
      </c>
      <c r="AS1019" s="763">
        <f t="shared" si="749"/>
        <v>0</v>
      </c>
      <c r="AT1019" s="170">
        <f>IF(AR1019&gt;0,SUM(AS$990:AS1019),0)</f>
        <v>0</v>
      </c>
      <c r="AU1019" s="1144"/>
      <c r="AV1019" s="376"/>
      <c r="AW1019" s="376"/>
      <c r="AX1019" s="1815">
        <f t="shared" si="766"/>
        <v>0</v>
      </c>
      <c r="AY1019" s="763">
        <f t="shared" si="761"/>
        <v>0</v>
      </c>
      <c r="AZ1019" s="763">
        <f t="shared" si="762"/>
        <v>0</v>
      </c>
      <c r="BA1019" s="763">
        <f t="shared" si="750"/>
        <v>0</v>
      </c>
      <c r="BB1019" s="170">
        <f>IF(AZ1019&gt;0,SUM(BA$990:BA1019),0)</f>
        <v>0</v>
      </c>
      <c r="BC1019" s="763">
        <f t="shared" si="767"/>
        <v>0</v>
      </c>
      <c r="BD1019" s="376"/>
      <c r="BE1019" s="1815">
        <f t="shared" si="763"/>
        <v>0</v>
      </c>
      <c r="BF1019" s="763">
        <f t="shared" si="764"/>
        <v>0</v>
      </c>
      <c r="BG1019" s="763">
        <f t="shared" si="765"/>
        <v>0</v>
      </c>
      <c r="BH1019" s="763">
        <f t="shared" si="751"/>
        <v>0</v>
      </c>
      <c r="BI1019" s="170">
        <f>IF(BG1019&gt;0,SUM(BH$990:BH1019),0)</f>
        <v>0</v>
      </c>
      <c r="BJ1019" s="1151">
        <f t="shared" si="768"/>
        <v>0</v>
      </c>
      <c r="BK1019" s="376"/>
      <c r="BL1019" s="376"/>
      <c r="BM1019" s="376"/>
      <c r="BN1019" s="376"/>
      <c r="BO1019" s="376"/>
      <c r="BP1019" s="376"/>
      <c r="BQ1019" s="376"/>
      <c r="BR1019" s="376"/>
      <c r="BS1019" s="376"/>
      <c r="BT1019" s="376"/>
      <c r="BU1019" s="376"/>
      <c r="BV1019" s="376"/>
      <c r="BW1019" s="376"/>
      <c r="BX1019" s="376"/>
      <c r="BY1019" s="376"/>
      <c r="BZ1019" s="376"/>
      <c r="CA1019" s="376"/>
      <c r="CB1019" s="376"/>
      <c r="CC1019" s="376"/>
      <c r="CD1019" s="376"/>
      <c r="CE1019" s="376"/>
      <c r="CF1019" s="376"/>
      <c r="CG1019" s="376"/>
      <c r="CH1019" s="376"/>
      <c r="CI1019" s="376"/>
      <c r="CJ1019" s="376"/>
      <c r="CK1019" s="376"/>
      <c r="CL1019" s="376"/>
      <c r="CM1019" s="376"/>
      <c r="CN1019" s="376"/>
      <c r="CO1019" s="1183"/>
      <c r="CP1019" s="1183"/>
      <c r="CQ1019" s="1183"/>
      <c r="CR1019" s="1183"/>
      <c r="CS1019" s="1183"/>
      <c r="CT1019" s="1183"/>
      <c r="CU1019" s="1183"/>
      <c r="CV1019" s="1183"/>
      <c r="CW1019" s="1183"/>
      <c r="CX1019" s="1183"/>
      <c r="CY1019" s="1183"/>
      <c r="CZ1019" s="1183"/>
      <c r="DA1019" s="1183"/>
      <c r="DB1019" s="1183"/>
      <c r="DC1019" s="1183"/>
      <c r="DD1019" s="1183"/>
      <c r="DE1019" s="1183"/>
      <c r="DF1019" s="1183"/>
      <c r="DG1019" s="1183"/>
      <c r="DH1019" s="1183"/>
      <c r="DI1019" s="1183"/>
      <c r="DJ1019" s="1183"/>
      <c r="DK1019" s="1183"/>
      <c r="DL1019" s="1183"/>
      <c r="DM1019" s="1183"/>
      <c r="DN1019" s="1183"/>
      <c r="DO1019" s="1183"/>
      <c r="DP1019" s="1183"/>
      <c r="DQ1019" s="1183"/>
    </row>
    <row r="1020" spans="1:121" s="12" customFormat="1" ht="12" customHeight="1" x14ac:dyDescent="0.3">
      <c r="A1020" s="84"/>
      <c r="B1020" s="13"/>
      <c r="C1020" s="13"/>
      <c r="D1020" s="13"/>
      <c r="E1020" s="13"/>
      <c r="F1020" s="13"/>
      <c r="G1020" s="1804"/>
      <c r="H1020" s="1183"/>
      <c r="I1020" s="1804"/>
      <c r="J1020" s="1804"/>
      <c r="K1020" s="29">
        <f t="shared" si="752"/>
        <v>1</v>
      </c>
      <c r="L1020" s="485">
        <f>Infrastructure!D40</f>
        <v>0</v>
      </c>
      <c r="M1020" s="34">
        <f t="shared" si="753"/>
        <v>0</v>
      </c>
      <c r="N1020" s="34">
        <f t="shared" si="754"/>
        <v>0</v>
      </c>
      <c r="O1020" s="34">
        <f t="shared" si="755"/>
        <v>0</v>
      </c>
      <c r="P1020" s="34">
        <f t="shared" si="756"/>
        <v>0</v>
      </c>
      <c r="Q1020" s="34">
        <f t="shared" si="757"/>
        <v>0</v>
      </c>
      <c r="R1020" s="31">
        <f>IF(Input!D$298=AH1020,Input!D$297,0)</f>
        <v>0</v>
      </c>
      <c r="S1020" s="36">
        <f t="shared" si="743"/>
        <v>0</v>
      </c>
      <c r="T1020" s="1814"/>
      <c r="U1020" s="1814"/>
      <c r="V1020" s="1814"/>
      <c r="W1020" s="1817"/>
      <c r="X1020" s="1814"/>
      <c r="Y1020" s="1801"/>
      <c r="Z1020" s="1801"/>
      <c r="AA1020" s="1801"/>
      <c r="AB1020" s="1801"/>
      <c r="AC1020" s="1801"/>
      <c r="AD1020" s="1801"/>
      <c r="AE1020" s="1801"/>
      <c r="AF1020" s="1814"/>
      <c r="AG1020" s="376">
        <f t="shared" si="744"/>
        <v>0</v>
      </c>
      <c r="AH1020" s="376">
        <v>31</v>
      </c>
      <c r="AI1020" s="1151">
        <f t="shared" si="758"/>
        <v>0</v>
      </c>
      <c r="AJ1020" s="1151">
        <f t="shared" si="745"/>
        <v>0</v>
      </c>
      <c r="AK1020" s="1151">
        <f t="shared" si="746"/>
        <v>0</v>
      </c>
      <c r="AL1020" s="1151">
        <f t="shared" si="747"/>
        <v>0</v>
      </c>
      <c r="AM1020" s="1151">
        <f t="shared" si="748"/>
        <v>0</v>
      </c>
      <c r="AN1020" s="763"/>
      <c r="AO1020" s="1178">
        <v>31</v>
      </c>
      <c r="AP1020" s="485">
        <f>Infrastructure!D40</f>
        <v>0</v>
      </c>
      <c r="AQ1020" s="763">
        <f t="shared" si="759"/>
        <v>0</v>
      </c>
      <c r="AR1020" s="763">
        <f t="shared" si="760"/>
        <v>0</v>
      </c>
      <c r="AS1020" s="763">
        <f t="shared" si="749"/>
        <v>0</v>
      </c>
      <c r="AT1020" s="170">
        <f>IF(AR1020&gt;0,SUM(AS$990:AS1020),0)</f>
        <v>0</v>
      </c>
      <c r="AU1020" s="1144"/>
      <c r="AV1020" s="376"/>
      <c r="AW1020" s="376"/>
      <c r="AX1020" s="1815">
        <f t="shared" si="766"/>
        <v>0</v>
      </c>
      <c r="AY1020" s="763">
        <f t="shared" si="761"/>
        <v>0</v>
      </c>
      <c r="AZ1020" s="763">
        <f t="shared" si="762"/>
        <v>0</v>
      </c>
      <c r="BA1020" s="763">
        <f t="shared" si="750"/>
        <v>0</v>
      </c>
      <c r="BB1020" s="170">
        <f>IF(AZ1020&gt;0,SUM(BA$990:BA1020),0)</f>
        <v>0</v>
      </c>
      <c r="BC1020" s="763">
        <f t="shared" si="767"/>
        <v>0</v>
      </c>
      <c r="BD1020" s="376"/>
      <c r="BE1020" s="1815">
        <f t="shared" si="763"/>
        <v>0</v>
      </c>
      <c r="BF1020" s="763">
        <f t="shared" si="764"/>
        <v>0</v>
      </c>
      <c r="BG1020" s="763">
        <f t="shared" si="765"/>
        <v>0</v>
      </c>
      <c r="BH1020" s="763">
        <f t="shared" si="751"/>
        <v>0</v>
      </c>
      <c r="BI1020" s="170">
        <f>IF(BG1020&gt;0,SUM(BH$990:BH1020),0)</f>
        <v>0</v>
      </c>
      <c r="BJ1020" s="1151">
        <f t="shared" si="768"/>
        <v>0</v>
      </c>
      <c r="BK1020" s="376"/>
      <c r="BL1020" s="376"/>
      <c r="BM1020" s="376"/>
      <c r="BN1020" s="376"/>
      <c r="BO1020" s="376"/>
      <c r="BP1020" s="376"/>
      <c r="BQ1020" s="376"/>
      <c r="BR1020" s="376"/>
      <c r="BS1020" s="376"/>
      <c r="BT1020" s="376"/>
      <c r="BU1020" s="376"/>
      <c r="BV1020" s="376"/>
      <c r="BW1020" s="376"/>
      <c r="BX1020" s="376"/>
      <c r="BY1020" s="376"/>
      <c r="BZ1020" s="376"/>
      <c r="CA1020" s="376"/>
      <c r="CB1020" s="376"/>
      <c r="CC1020" s="376"/>
      <c r="CD1020" s="376"/>
      <c r="CE1020" s="376"/>
      <c r="CF1020" s="376"/>
      <c r="CG1020" s="376"/>
      <c r="CH1020" s="376"/>
      <c r="CI1020" s="376"/>
      <c r="CJ1020" s="376"/>
      <c r="CK1020" s="376"/>
      <c r="CL1020" s="376"/>
      <c r="CM1020" s="376"/>
      <c r="CN1020" s="376"/>
      <c r="CO1020" s="1183"/>
      <c r="CP1020" s="1183"/>
      <c r="CQ1020" s="1183"/>
      <c r="CR1020" s="1183"/>
      <c r="CS1020" s="1183"/>
      <c r="CT1020" s="1183"/>
      <c r="CU1020" s="1183"/>
      <c r="CV1020" s="1183"/>
      <c r="CW1020" s="1183"/>
      <c r="CX1020" s="1183"/>
      <c r="CY1020" s="1183"/>
      <c r="CZ1020" s="1183"/>
      <c r="DA1020" s="1183"/>
      <c r="DB1020" s="1183"/>
      <c r="DC1020" s="1183"/>
      <c r="DD1020" s="1183"/>
      <c r="DE1020" s="1183"/>
      <c r="DF1020" s="1183"/>
      <c r="DG1020" s="1183"/>
      <c r="DH1020" s="1183"/>
      <c r="DI1020" s="1183"/>
      <c r="DJ1020" s="1183"/>
      <c r="DK1020" s="1183"/>
      <c r="DL1020" s="1183"/>
      <c r="DM1020" s="1183"/>
      <c r="DN1020" s="1183"/>
      <c r="DO1020" s="1183"/>
      <c r="DP1020" s="1183"/>
      <c r="DQ1020" s="1183"/>
    </row>
    <row r="1021" spans="1:121" s="12" customFormat="1" ht="12" customHeight="1" x14ac:dyDescent="0.3">
      <c r="A1021" s="84"/>
      <c r="B1021" s="13"/>
      <c r="C1021" s="13"/>
      <c r="D1021" s="13"/>
      <c r="E1021" s="13"/>
      <c r="F1021" s="13"/>
      <c r="G1021" s="1804"/>
      <c r="H1021" s="1183"/>
      <c r="I1021" s="1804"/>
      <c r="J1021" s="1804"/>
      <c r="K1021" s="29">
        <f t="shared" si="752"/>
        <v>1</v>
      </c>
      <c r="L1021" s="485">
        <f>Infrastructure!D41</f>
        <v>0</v>
      </c>
      <c r="M1021" s="34">
        <f t="shared" si="753"/>
        <v>0</v>
      </c>
      <c r="N1021" s="34">
        <f t="shared" si="754"/>
        <v>0</v>
      </c>
      <c r="O1021" s="34">
        <f t="shared" si="755"/>
        <v>0</v>
      </c>
      <c r="P1021" s="34">
        <f t="shared" si="756"/>
        <v>0</v>
      </c>
      <c r="Q1021" s="34">
        <f t="shared" si="757"/>
        <v>0</v>
      </c>
      <c r="R1021" s="31">
        <f>IF(Input!D$298=AH1021,Input!D$297,0)</f>
        <v>0</v>
      </c>
      <c r="S1021" s="36">
        <f t="shared" si="743"/>
        <v>0</v>
      </c>
      <c r="T1021" s="1814"/>
      <c r="U1021" s="1814"/>
      <c r="V1021" s="1814"/>
      <c r="W1021" s="1817"/>
      <c r="X1021" s="1814"/>
      <c r="Y1021" s="1801"/>
      <c r="Z1021" s="1801"/>
      <c r="AA1021" s="1801"/>
      <c r="AB1021" s="1801"/>
      <c r="AC1021" s="1801"/>
      <c r="AD1021" s="1801"/>
      <c r="AE1021" s="1801"/>
      <c r="AF1021" s="1814"/>
      <c r="AG1021" s="376">
        <f t="shared" si="744"/>
        <v>0</v>
      </c>
      <c r="AH1021" s="376">
        <v>32</v>
      </c>
      <c r="AI1021" s="1151">
        <f t="shared" si="758"/>
        <v>0</v>
      </c>
      <c r="AJ1021" s="1151">
        <f t="shared" si="745"/>
        <v>0</v>
      </c>
      <c r="AK1021" s="1151">
        <f t="shared" si="746"/>
        <v>0</v>
      </c>
      <c r="AL1021" s="1151">
        <f t="shared" si="747"/>
        <v>0</v>
      </c>
      <c r="AM1021" s="1151">
        <f t="shared" si="748"/>
        <v>0</v>
      </c>
      <c r="AN1021" s="763"/>
      <c r="AO1021" s="1178">
        <v>32</v>
      </c>
      <c r="AP1021" s="485">
        <f>Infrastructure!D41</f>
        <v>0</v>
      </c>
      <c r="AQ1021" s="763">
        <f t="shared" si="759"/>
        <v>0</v>
      </c>
      <c r="AR1021" s="763">
        <f t="shared" si="760"/>
        <v>0</v>
      </c>
      <c r="AS1021" s="763">
        <f t="shared" si="749"/>
        <v>0</v>
      </c>
      <c r="AT1021" s="170">
        <f>IF(AR1021&gt;0,SUM(AS$990:AS1021),0)</f>
        <v>0</v>
      </c>
      <c r="AU1021" s="1144"/>
      <c r="AV1021" s="376"/>
      <c r="AW1021" s="376"/>
      <c r="AX1021" s="1815">
        <f t="shared" si="766"/>
        <v>0</v>
      </c>
      <c r="AY1021" s="763">
        <f t="shared" si="761"/>
        <v>0</v>
      </c>
      <c r="AZ1021" s="763">
        <f t="shared" si="762"/>
        <v>0</v>
      </c>
      <c r="BA1021" s="763">
        <f t="shared" si="750"/>
        <v>0</v>
      </c>
      <c r="BB1021" s="170">
        <f>IF(AZ1021&gt;0,SUM(BA$990:BA1021),0)</f>
        <v>0</v>
      </c>
      <c r="BC1021" s="763">
        <f t="shared" si="767"/>
        <v>0</v>
      </c>
      <c r="BD1021" s="376"/>
      <c r="BE1021" s="1815">
        <f t="shared" si="763"/>
        <v>0</v>
      </c>
      <c r="BF1021" s="763">
        <f t="shared" si="764"/>
        <v>0</v>
      </c>
      <c r="BG1021" s="763">
        <f t="shared" si="765"/>
        <v>0</v>
      </c>
      <c r="BH1021" s="763">
        <f t="shared" si="751"/>
        <v>0</v>
      </c>
      <c r="BI1021" s="170">
        <f>IF(BG1021&gt;0,SUM(BH$990:BH1021),0)</f>
        <v>0</v>
      </c>
      <c r="BJ1021" s="1151">
        <f t="shared" si="768"/>
        <v>0</v>
      </c>
      <c r="BK1021" s="376"/>
      <c r="BL1021" s="376"/>
      <c r="BM1021" s="376"/>
      <c r="BN1021" s="376"/>
      <c r="BO1021" s="376"/>
      <c r="BP1021" s="376"/>
      <c r="BQ1021" s="376"/>
      <c r="BR1021" s="376"/>
      <c r="BS1021" s="376"/>
      <c r="BT1021" s="376"/>
      <c r="BU1021" s="376"/>
      <c r="BV1021" s="376"/>
      <c r="BW1021" s="376"/>
      <c r="BX1021" s="376"/>
      <c r="BY1021" s="376"/>
      <c r="BZ1021" s="376"/>
      <c r="CA1021" s="376"/>
      <c r="CB1021" s="376"/>
      <c r="CC1021" s="376"/>
      <c r="CD1021" s="376"/>
      <c r="CE1021" s="376"/>
      <c r="CF1021" s="376"/>
      <c r="CG1021" s="376"/>
      <c r="CH1021" s="376"/>
      <c r="CI1021" s="376"/>
      <c r="CJ1021" s="376"/>
      <c r="CK1021" s="376"/>
      <c r="CL1021" s="376"/>
      <c r="CM1021" s="376"/>
      <c r="CN1021" s="376"/>
      <c r="CO1021" s="1183"/>
      <c r="CP1021" s="1183"/>
      <c r="CQ1021" s="1183"/>
      <c r="CR1021" s="1183"/>
      <c r="CS1021" s="1183"/>
      <c r="CT1021" s="1183"/>
      <c r="CU1021" s="1183"/>
      <c r="CV1021" s="1183"/>
      <c r="CW1021" s="1183"/>
      <c r="CX1021" s="1183"/>
      <c r="CY1021" s="1183"/>
      <c r="CZ1021" s="1183"/>
      <c r="DA1021" s="1183"/>
      <c r="DB1021" s="1183"/>
      <c r="DC1021" s="1183"/>
      <c r="DD1021" s="1183"/>
      <c r="DE1021" s="1183"/>
      <c r="DF1021" s="1183"/>
      <c r="DG1021" s="1183"/>
      <c r="DH1021" s="1183"/>
      <c r="DI1021" s="1183"/>
      <c r="DJ1021" s="1183"/>
      <c r="DK1021" s="1183"/>
      <c r="DL1021" s="1183"/>
      <c r="DM1021" s="1183"/>
      <c r="DN1021" s="1183"/>
      <c r="DO1021" s="1183"/>
      <c r="DP1021" s="1183"/>
      <c r="DQ1021" s="1183"/>
    </row>
    <row r="1022" spans="1:121" s="12" customFormat="1" ht="12" customHeight="1" x14ac:dyDescent="0.3">
      <c r="A1022" s="84"/>
      <c r="B1022" s="13"/>
      <c r="C1022" s="13"/>
      <c r="D1022" s="13"/>
      <c r="E1022" s="13"/>
      <c r="F1022" s="13"/>
      <c r="G1022" s="1804"/>
      <c r="H1022" s="1183"/>
      <c r="I1022" s="1804"/>
      <c r="J1022" s="1804"/>
      <c r="K1022" s="29">
        <f t="shared" si="752"/>
        <v>1</v>
      </c>
      <c r="L1022" s="485">
        <f>Infrastructure!D42</f>
        <v>0</v>
      </c>
      <c r="M1022" s="34">
        <f t="shared" si="753"/>
        <v>0</v>
      </c>
      <c r="N1022" s="34">
        <f t="shared" si="754"/>
        <v>0</v>
      </c>
      <c r="O1022" s="34">
        <f t="shared" si="755"/>
        <v>0</v>
      </c>
      <c r="P1022" s="34">
        <f t="shared" si="756"/>
        <v>0</v>
      </c>
      <c r="Q1022" s="34">
        <f t="shared" si="757"/>
        <v>0</v>
      </c>
      <c r="R1022" s="31">
        <f>IF(Input!D$298=AH1022,Input!D$297,0)</f>
        <v>0</v>
      </c>
      <c r="S1022" s="36">
        <f t="shared" si="743"/>
        <v>0</v>
      </c>
      <c r="T1022" s="1814"/>
      <c r="U1022" s="1814"/>
      <c r="V1022" s="1814"/>
      <c r="W1022" s="1817"/>
      <c r="X1022" s="1814"/>
      <c r="Y1022" s="1801"/>
      <c r="Z1022" s="1801"/>
      <c r="AA1022" s="1801"/>
      <c r="AB1022" s="1801"/>
      <c r="AC1022" s="1801"/>
      <c r="AD1022" s="1801"/>
      <c r="AE1022" s="1801"/>
      <c r="AF1022" s="1814"/>
      <c r="AG1022" s="376">
        <f t="shared" ref="AG1022:AG1049" si="769">IF(AJ$991=AH1022,1,IF(OR(AJ$991&gt;AH1022,AJ$991+AJ$992-1&lt;AH1022),0,AG1021+1))</f>
        <v>0</v>
      </c>
      <c r="AH1022" s="376">
        <v>33</v>
      </c>
      <c r="AI1022" s="1151">
        <f t="shared" si="758"/>
        <v>0</v>
      </c>
      <c r="AJ1022" s="1151">
        <f t="shared" ref="AJ1022:AJ1049" si="770">IF(OR(AI1022=0,AH1022=0),0,-PMT(AJ$993/12,AJ$992,AJ$990,0))</f>
        <v>0</v>
      </c>
      <c r="AK1022" s="1151">
        <f t="shared" ref="AK1022:AK1049" si="771">IF(AI1022&lt;1,0,-IPMT(AJ$993/12,AH1022,AJ$992,AJ$990,0))</f>
        <v>0</v>
      </c>
      <c r="AL1022" s="1151">
        <f t="shared" ref="AL1022:AL1049" si="772">AJ1022-AK1022</f>
        <v>0</v>
      </c>
      <c r="AM1022" s="1151">
        <f t="shared" ref="AM1022:AM1049" si="773">AI1022-AL1022</f>
        <v>0</v>
      </c>
      <c r="AN1022" s="763"/>
      <c r="AO1022" s="1178">
        <v>33</v>
      </c>
      <c r="AP1022" s="485">
        <f>Infrastructure!D42</f>
        <v>0</v>
      </c>
      <c r="AQ1022" s="763">
        <f t="shared" si="759"/>
        <v>0</v>
      </c>
      <c r="AR1022" s="763">
        <f t="shared" si="760"/>
        <v>0</v>
      </c>
      <c r="AS1022" s="763">
        <f t="shared" si="749"/>
        <v>0</v>
      </c>
      <c r="AT1022" s="170">
        <f>IF(AR1022&gt;0,SUM(AS$990:AS1022),0)</f>
        <v>0</v>
      </c>
      <c r="AU1022" s="1144"/>
      <c r="AV1022" s="376"/>
      <c r="AW1022" s="376"/>
      <c r="AX1022" s="1815">
        <f t="shared" si="766"/>
        <v>0</v>
      </c>
      <c r="AY1022" s="763">
        <f t="shared" si="761"/>
        <v>0</v>
      </c>
      <c r="AZ1022" s="763">
        <f t="shared" si="762"/>
        <v>0</v>
      </c>
      <c r="BA1022" s="763">
        <f t="shared" si="750"/>
        <v>0</v>
      </c>
      <c r="BB1022" s="170">
        <f>IF(AZ1022&gt;0,SUM(BA$990:BA1022),0)</f>
        <v>0</v>
      </c>
      <c r="BC1022" s="763">
        <f t="shared" si="767"/>
        <v>0</v>
      </c>
      <c r="BD1022" s="376"/>
      <c r="BE1022" s="1815">
        <f t="shared" si="763"/>
        <v>0</v>
      </c>
      <c r="BF1022" s="763">
        <f t="shared" si="764"/>
        <v>0</v>
      </c>
      <c r="BG1022" s="763">
        <f t="shared" si="765"/>
        <v>0</v>
      </c>
      <c r="BH1022" s="763">
        <f t="shared" si="751"/>
        <v>0</v>
      </c>
      <c r="BI1022" s="170">
        <f>IF(BG1022&gt;0,SUM(BH$990:BH1022),0)</f>
        <v>0</v>
      </c>
      <c r="BJ1022" s="1151">
        <f t="shared" si="768"/>
        <v>0</v>
      </c>
      <c r="BK1022" s="376"/>
      <c r="BL1022" s="376"/>
      <c r="BM1022" s="376"/>
      <c r="BN1022" s="376"/>
      <c r="BO1022" s="376"/>
      <c r="BP1022" s="376"/>
      <c r="BQ1022" s="376"/>
      <c r="BR1022" s="376"/>
      <c r="BS1022" s="376"/>
      <c r="BT1022" s="376"/>
      <c r="BU1022" s="376"/>
      <c r="BV1022" s="376"/>
      <c r="BW1022" s="376"/>
      <c r="BX1022" s="376"/>
      <c r="BY1022" s="376"/>
      <c r="BZ1022" s="376"/>
      <c r="CA1022" s="376"/>
      <c r="CB1022" s="376"/>
      <c r="CC1022" s="376"/>
      <c r="CD1022" s="376"/>
      <c r="CE1022" s="376"/>
      <c r="CF1022" s="376"/>
      <c r="CG1022" s="376"/>
      <c r="CH1022" s="376"/>
      <c r="CI1022" s="376"/>
      <c r="CJ1022" s="376"/>
      <c r="CK1022" s="376"/>
      <c r="CL1022" s="376"/>
      <c r="CM1022" s="376"/>
      <c r="CN1022" s="376"/>
      <c r="CO1022" s="1183"/>
      <c r="CP1022" s="1183"/>
      <c r="CQ1022" s="1183"/>
      <c r="CR1022" s="1183"/>
      <c r="CS1022" s="1183"/>
      <c r="CT1022" s="1183"/>
      <c r="CU1022" s="1183"/>
      <c r="CV1022" s="1183"/>
      <c r="CW1022" s="1183"/>
      <c r="CX1022" s="1183"/>
      <c r="CY1022" s="1183"/>
      <c r="CZ1022" s="1183"/>
      <c r="DA1022" s="1183"/>
      <c r="DB1022" s="1183"/>
      <c r="DC1022" s="1183"/>
      <c r="DD1022" s="1183"/>
      <c r="DE1022" s="1183"/>
      <c r="DF1022" s="1183"/>
      <c r="DG1022" s="1183"/>
      <c r="DH1022" s="1183"/>
      <c r="DI1022" s="1183"/>
      <c r="DJ1022" s="1183"/>
      <c r="DK1022" s="1183"/>
      <c r="DL1022" s="1183"/>
      <c r="DM1022" s="1183"/>
      <c r="DN1022" s="1183"/>
      <c r="DO1022" s="1183"/>
      <c r="DP1022" s="1183"/>
      <c r="DQ1022" s="1183"/>
    </row>
    <row r="1023" spans="1:121" s="12" customFormat="1" ht="12" customHeight="1" x14ac:dyDescent="0.3">
      <c r="A1023" s="84"/>
      <c r="B1023" s="13"/>
      <c r="C1023" s="13"/>
      <c r="D1023" s="13"/>
      <c r="E1023" s="13"/>
      <c r="F1023" s="13"/>
      <c r="G1023" s="1804"/>
      <c r="H1023" s="1183"/>
      <c r="I1023" s="1804"/>
      <c r="J1023" s="1804"/>
      <c r="K1023" s="29">
        <f t="shared" si="752"/>
        <v>1</v>
      </c>
      <c r="L1023" s="485">
        <f>Infrastructure!D43</f>
        <v>0</v>
      </c>
      <c r="M1023" s="34">
        <f t="shared" si="753"/>
        <v>0</v>
      </c>
      <c r="N1023" s="34">
        <f t="shared" si="754"/>
        <v>0</v>
      </c>
      <c r="O1023" s="34">
        <f t="shared" si="755"/>
        <v>0</v>
      </c>
      <c r="P1023" s="34">
        <f t="shared" si="756"/>
        <v>0</v>
      </c>
      <c r="Q1023" s="34">
        <f t="shared" si="757"/>
        <v>0</v>
      </c>
      <c r="R1023" s="31">
        <f>IF(Input!D$298=AH1023,Input!D$297,0)</f>
        <v>0</v>
      </c>
      <c r="S1023" s="36">
        <f t="shared" si="743"/>
        <v>0</v>
      </c>
      <c r="T1023" s="1814"/>
      <c r="U1023" s="1814"/>
      <c r="V1023" s="1814"/>
      <c r="W1023" s="1817"/>
      <c r="X1023" s="1814"/>
      <c r="Y1023" s="1801"/>
      <c r="Z1023" s="1801"/>
      <c r="AA1023" s="1801"/>
      <c r="AB1023" s="1801"/>
      <c r="AC1023" s="1801"/>
      <c r="AD1023" s="1801"/>
      <c r="AE1023" s="1801"/>
      <c r="AF1023" s="1814"/>
      <c r="AG1023" s="376">
        <f t="shared" si="769"/>
        <v>0</v>
      </c>
      <c r="AH1023" s="376">
        <v>34</v>
      </c>
      <c r="AI1023" s="1151">
        <f t="shared" ref="AI1023:AI1049" si="774">IF(AM1022=0,0,IF(AND(AJ$991&lt;&gt;AH1023,AM1022&lt;1),0,IF(AJ$991=AH1023,AJ$990, IF(AJ$991=$AH1023,AJ$990,IF(AJ$991&gt;AH1023,0,AM1022)))))</f>
        <v>0</v>
      </c>
      <c r="AJ1023" s="1151">
        <f t="shared" si="770"/>
        <v>0</v>
      </c>
      <c r="AK1023" s="1151">
        <f t="shared" si="771"/>
        <v>0</v>
      </c>
      <c r="AL1023" s="1151">
        <f t="shared" si="772"/>
        <v>0</v>
      </c>
      <c r="AM1023" s="1151">
        <f t="shared" si="773"/>
        <v>0</v>
      </c>
      <c r="AN1023" s="763"/>
      <c r="AO1023" s="1178">
        <v>34</v>
      </c>
      <c r="AP1023" s="485">
        <f>Infrastructure!D43</f>
        <v>0</v>
      </c>
      <c r="AQ1023" s="763">
        <f t="shared" si="759"/>
        <v>0</v>
      </c>
      <c r="AR1023" s="763">
        <f t="shared" si="760"/>
        <v>0</v>
      </c>
      <c r="AS1023" s="763">
        <f t="shared" si="749"/>
        <v>0</v>
      </c>
      <c r="AT1023" s="170">
        <f>IF(AR1023&gt;0,SUM(AS$990:AS1023),0)</f>
        <v>0</v>
      </c>
      <c r="AU1023" s="1144"/>
      <c r="AV1023" s="376"/>
      <c r="AW1023" s="376"/>
      <c r="AX1023" s="1815">
        <f t="shared" si="766"/>
        <v>0</v>
      </c>
      <c r="AY1023" s="763">
        <f t="shared" si="761"/>
        <v>0</v>
      </c>
      <c r="AZ1023" s="763">
        <f t="shared" si="762"/>
        <v>0</v>
      </c>
      <c r="BA1023" s="763">
        <f t="shared" si="750"/>
        <v>0</v>
      </c>
      <c r="BB1023" s="170">
        <f>IF(AZ1023&gt;0,SUM(BA$990:BA1023),0)</f>
        <v>0</v>
      </c>
      <c r="BC1023" s="763">
        <f t="shared" si="767"/>
        <v>0</v>
      </c>
      <c r="BD1023" s="376"/>
      <c r="BE1023" s="1815">
        <f t="shared" si="763"/>
        <v>0</v>
      </c>
      <c r="BF1023" s="763">
        <f t="shared" si="764"/>
        <v>0</v>
      </c>
      <c r="BG1023" s="763">
        <f t="shared" si="765"/>
        <v>0</v>
      </c>
      <c r="BH1023" s="763">
        <f t="shared" si="751"/>
        <v>0</v>
      </c>
      <c r="BI1023" s="170">
        <f>IF(BG1023&gt;0,SUM(BH$990:BH1023),0)</f>
        <v>0</v>
      </c>
      <c r="BJ1023" s="1151">
        <f t="shared" si="768"/>
        <v>0</v>
      </c>
      <c r="BK1023" s="376"/>
      <c r="BL1023" s="376"/>
      <c r="BM1023" s="376"/>
      <c r="BN1023" s="376"/>
      <c r="BO1023" s="376"/>
      <c r="BP1023" s="376"/>
      <c r="BQ1023" s="376"/>
      <c r="BR1023" s="376"/>
      <c r="BS1023" s="376"/>
      <c r="BT1023" s="376"/>
      <c r="BU1023" s="376"/>
      <c r="BV1023" s="376"/>
      <c r="BW1023" s="376"/>
      <c r="BX1023" s="376"/>
      <c r="BY1023" s="376"/>
      <c r="BZ1023" s="376"/>
      <c r="CA1023" s="376"/>
      <c r="CB1023" s="376"/>
      <c r="CC1023" s="376"/>
      <c r="CD1023" s="376"/>
      <c r="CE1023" s="376"/>
      <c r="CF1023" s="376"/>
      <c r="CG1023" s="376"/>
      <c r="CH1023" s="376"/>
      <c r="CI1023" s="376"/>
      <c r="CJ1023" s="376"/>
      <c r="CK1023" s="376"/>
      <c r="CL1023" s="376"/>
      <c r="CM1023" s="376"/>
      <c r="CN1023" s="376"/>
      <c r="CO1023" s="1183"/>
      <c r="CP1023" s="1183"/>
      <c r="CQ1023" s="1183"/>
      <c r="CR1023" s="1183"/>
      <c r="CS1023" s="1183"/>
      <c r="CT1023" s="1183"/>
      <c r="CU1023" s="1183"/>
      <c r="CV1023" s="1183"/>
      <c r="CW1023" s="1183"/>
      <c r="CX1023" s="1183"/>
      <c r="CY1023" s="1183"/>
      <c r="CZ1023" s="1183"/>
      <c r="DA1023" s="1183"/>
      <c r="DB1023" s="1183"/>
      <c r="DC1023" s="1183"/>
      <c r="DD1023" s="1183"/>
      <c r="DE1023" s="1183"/>
      <c r="DF1023" s="1183"/>
      <c r="DG1023" s="1183"/>
      <c r="DH1023" s="1183"/>
      <c r="DI1023" s="1183"/>
      <c r="DJ1023" s="1183"/>
      <c r="DK1023" s="1183"/>
      <c r="DL1023" s="1183"/>
      <c r="DM1023" s="1183"/>
      <c r="DN1023" s="1183"/>
      <c r="DO1023" s="1183"/>
      <c r="DP1023" s="1183"/>
      <c r="DQ1023" s="1183"/>
    </row>
    <row r="1024" spans="1:121" s="12" customFormat="1" ht="12" customHeight="1" x14ac:dyDescent="0.3">
      <c r="A1024" s="84"/>
      <c r="B1024" s="13"/>
      <c r="C1024" s="13"/>
      <c r="D1024" s="13"/>
      <c r="E1024" s="13"/>
      <c r="F1024" s="13"/>
      <c r="G1024" s="1804"/>
      <c r="H1024" s="1183"/>
      <c r="I1024" s="1804"/>
      <c r="J1024" s="1804"/>
      <c r="K1024" s="29">
        <f t="shared" si="752"/>
        <v>1</v>
      </c>
      <c r="L1024" s="485">
        <f>Infrastructure!D44</f>
        <v>0</v>
      </c>
      <c r="M1024" s="34">
        <f t="shared" si="753"/>
        <v>0</v>
      </c>
      <c r="N1024" s="34">
        <f t="shared" si="754"/>
        <v>0</v>
      </c>
      <c r="O1024" s="34">
        <f t="shared" si="755"/>
        <v>0</v>
      </c>
      <c r="P1024" s="34">
        <f t="shared" si="756"/>
        <v>0</v>
      </c>
      <c r="Q1024" s="34">
        <f t="shared" si="757"/>
        <v>0</v>
      </c>
      <c r="R1024" s="31">
        <f>IF(Input!D$298=AH1024,Input!D$297,0)</f>
        <v>0</v>
      </c>
      <c r="S1024" s="36">
        <f t="shared" si="743"/>
        <v>0</v>
      </c>
      <c r="T1024" s="1814"/>
      <c r="U1024" s="1814"/>
      <c r="V1024" s="1814"/>
      <c r="W1024" s="1817"/>
      <c r="X1024" s="1814"/>
      <c r="Y1024" s="1801"/>
      <c r="Z1024" s="1801"/>
      <c r="AA1024" s="1801"/>
      <c r="AB1024" s="1801"/>
      <c r="AC1024" s="1801"/>
      <c r="AD1024" s="1801"/>
      <c r="AE1024" s="1801"/>
      <c r="AF1024" s="1814"/>
      <c r="AG1024" s="376">
        <f t="shared" si="769"/>
        <v>0</v>
      </c>
      <c r="AH1024" s="376">
        <v>35</v>
      </c>
      <c r="AI1024" s="1151">
        <f t="shared" si="774"/>
        <v>0</v>
      </c>
      <c r="AJ1024" s="1151">
        <f t="shared" si="770"/>
        <v>0</v>
      </c>
      <c r="AK1024" s="1151">
        <f t="shared" si="771"/>
        <v>0</v>
      </c>
      <c r="AL1024" s="1151">
        <f t="shared" si="772"/>
        <v>0</v>
      </c>
      <c r="AM1024" s="1151">
        <f t="shared" si="773"/>
        <v>0</v>
      </c>
      <c r="AN1024" s="763"/>
      <c r="AO1024" s="1178">
        <v>35</v>
      </c>
      <c r="AP1024" s="485">
        <f>Infrastructure!D44</f>
        <v>0</v>
      </c>
      <c r="AQ1024" s="763">
        <f t="shared" si="759"/>
        <v>0</v>
      </c>
      <c r="AR1024" s="763">
        <f t="shared" si="760"/>
        <v>0</v>
      </c>
      <c r="AS1024" s="763">
        <f t="shared" si="749"/>
        <v>0</v>
      </c>
      <c r="AT1024" s="170">
        <f>IF(AR1024&gt;0,SUM(AS$990:AS1024),0)</f>
        <v>0</v>
      </c>
      <c r="AU1024" s="1144"/>
      <c r="AV1024" s="376"/>
      <c r="AW1024" s="376"/>
      <c r="AX1024" s="1815">
        <f t="shared" si="766"/>
        <v>0</v>
      </c>
      <c r="AY1024" s="763">
        <f t="shared" si="761"/>
        <v>0</v>
      </c>
      <c r="AZ1024" s="763">
        <f t="shared" si="762"/>
        <v>0</v>
      </c>
      <c r="BA1024" s="763">
        <f t="shared" si="750"/>
        <v>0</v>
      </c>
      <c r="BB1024" s="170">
        <f>IF(AZ1024&gt;0,SUM(BA$990:BA1024),0)</f>
        <v>0</v>
      </c>
      <c r="BC1024" s="763">
        <f t="shared" si="767"/>
        <v>0</v>
      </c>
      <c r="BD1024" s="376"/>
      <c r="BE1024" s="1815">
        <f t="shared" si="763"/>
        <v>0</v>
      </c>
      <c r="BF1024" s="763">
        <f t="shared" si="764"/>
        <v>0</v>
      </c>
      <c r="BG1024" s="763">
        <f t="shared" si="765"/>
        <v>0</v>
      </c>
      <c r="BH1024" s="763">
        <f t="shared" si="751"/>
        <v>0</v>
      </c>
      <c r="BI1024" s="170">
        <f>IF(BG1024&gt;0,SUM(BH$990:BH1024),0)</f>
        <v>0</v>
      </c>
      <c r="BJ1024" s="1151">
        <f t="shared" si="768"/>
        <v>0</v>
      </c>
      <c r="BK1024" s="376"/>
      <c r="BL1024" s="376"/>
      <c r="BM1024" s="376"/>
      <c r="BN1024" s="376"/>
      <c r="BO1024" s="376"/>
      <c r="BP1024" s="376"/>
      <c r="BQ1024" s="376"/>
      <c r="BR1024" s="376"/>
      <c r="BS1024" s="376"/>
      <c r="BT1024" s="376"/>
      <c r="BU1024" s="376"/>
      <c r="BV1024" s="376"/>
      <c r="BW1024" s="376"/>
      <c r="BX1024" s="376"/>
      <c r="BY1024" s="376"/>
      <c r="BZ1024" s="376"/>
      <c r="CA1024" s="376"/>
      <c r="CB1024" s="376"/>
      <c r="CC1024" s="376"/>
      <c r="CD1024" s="376"/>
      <c r="CE1024" s="376"/>
      <c r="CF1024" s="376"/>
      <c r="CG1024" s="376"/>
      <c r="CH1024" s="376"/>
      <c r="CI1024" s="376"/>
      <c r="CJ1024" s="376"/>
      <c r="CK1024" s="376"/>
      <c r="CL1024" s="376"/>
      <c r="CM1024" s="376"/>
      <c r="CN1024" s="376"/>
      <c r="CO1024" s="1183"/>
      <c r="CP1024" s="1183"/>
      <c r="CQ1024" s="1183"/>
      <c r="CR1024" s="1183"/>
      <c r="CS1024" s="1183"/>
      <c r="CT1024" s="1183"/>
      <c r="CU1024" s="1183"/>
      <c r="CV1024" s="1183"/>
      <c r="CW1024" s="1183"/>
      <c r="CX1024" s="1183"/>
      <c r="CY1024" s="1183"/>
      <c r="CZ1024" s="1183"/>
      <c r="DA1024" s="1183"/>
      <c r="DB1024" s="1183"/>
      <c r="DC1024" s="1183"/>
      <c r="DD1024" s="1183"/>
      <c r="DE1024" s="1183"/>
      <c r="DF1024" s="1183"/>
      <c r="DG1024" s="1183"/>
      <c r="DH1024" s="1183"/>
      <c r="DI1024" s="1183"/>
      <c r="DJ1024" s="1183"/>
      <c r="DK1024" s="1183"/>
      <c r="DL1024" s="1183"/>
      <c r="DM1024" s="1183"/>
      <c r="DN1024" s="1183"/>
      <c r="DO1024" s="1183"/>
      <c r="DP1024" s="1183"/>
      <c r="DQ1024" s="1183"/>
    </row>
    <row r="1025" spans="1:121" s="12" customFormat="1" ht="12" customHeight="1" x14ac:dyDescent="0.3">
      <c r="A1025" s="84"/>
      <c r="B1025" s="13"/>
      <c r="C1025" s="13"/>
      <c r="D1025" s="13"/>
      <c r="E1025" s="13"/>
      <c r="F1025" s="13"/>
      <c r="G1025" s="1804"/>
      <c r="H1025" s="1183"/>
      <c r="I1025" s="1804"/>
      <c r="J1025" s="1804"/>
      <c r="K1025" s="29">
        <f t="shared" si="752"/>
        <v>1</v>
      </c>
      <c r="L1025" s="485">
        <f>Infrastructure!D45</f>
        <v>0</v>
      </c>
      <c r="M1025" s="34">
        <f t="shared" si="753"/>
        <v>0</v>
      </c>
      <c r="N1025" s="34">
        <f t="shared" si="754"/>
        <v>0</v>
      </c>
      <c r="O1025" s="34">
        <f t="shared" si="755"/>
        <v>0</v>
      </c>
      <c r="P1025" s="34">
        <f t="shared" si="756"/>
        <v>0</v>
      </c>
      <c r="Q1025" s="34">
        <f t="shared" si="757"/>
        <v>0</v>
      </c>
      <c r="R1025" s="31">
        <f>IF(Input!D$298=AH1025,Input!D$297,0)</f>
        <v>0</v>
      </c>
      <c r="S1025" s="36">
        <f t="shared" si="743"/>
        <v>0</v>
      </c>
      <c r="T1025" s="1814"/>
      <c r="U1025" s="1814"/>
      <c r="V1025" s="1814"/>
      <c r="W1025" s="1817"/>
      <c r="X1025" s="1814"/>
      <c r="Y1025" s="1801"/>
      <c r="Z1025" s="1801"/>
      <c r="AA1025" s="1801"/>
      <c r="AB1025" s="1801"/>
      <c r="AC1025" s="1801"/>
      <c r="AD1025" s="1801"/>
      <c r="AE1025" s="1801"/>
      <c r="AF1025" s="1814"/>
      <c r="AG1025" s="376">
        <f t="shared" si="769"/>
        <v>0</v>
      </c>
      <c r="AH1025" s="376">
        <v>36</v>
      </c>
      <c r="AI1025" s="1151">
        <f t="shared" si="774"/>
        <v>0</v>
      </c>
      <c r="AJ1025" s="1151">
        <f t="shared" si="770"/>
        <v>0</v>
      </c>
      <c r="AK1025" s="1151">
        <f t="shared" si="771"/>
        <v>0</v>
      </c>
      <c r="AL1025" s="1151">
        <f t="shared" si="772"/>
        <v>0</v>
      </c>
      <c r="AM1025" s="1151">
        <f t="shared" si="773"/>
        <v>0</v>
      </c>
      <c r="AN1025" s="376"/>
      <c r="AO1025" s="1178">
        <v>36</v>
      </c>
      <c r="AP1025" s="485">
        <f>Infrastructure!D45</f>
        <v>0</v>
      </c>
      <c r="AQ1025" s="763">
        <f t="shared" si="759"/>
        <v>0</v>
      </c>
      <c r="AR1025" s="763">
        <f t="shared" si="760"/>
        <v>0</v>
      </c>
      <c r="AS1025" s="763">
        <f t="shared" si="749"/>
        <v>0</v>
      </c>
      <c r="AT1025" s="170">
        <f>IF(AR1025&gt;0,SUM(AS$990:AS1025),0)</f>
        <v>0</v>
      </c>
      <c r="AU1025" s="1144"/>
      <c r="AV1025" s="376"/>
      <c r="AW1025" s="376"/>
      <c r="AX1025" s="1815">
        <f t="shared" si="766"/>
        <v>0</v>
      </c>
      <c r="AY1025" s="763">
        <f t="shared" si="761"/>
        <v>0</v>
      </c>
      <c r="AZ1025" s="763">
        <f t="shared" si="762"/>
        <v>0</v>
      </c>
      <c r="BA1025" s="763">
        <f t="shared" si="750"/>
        <v>0</v>
      </c>
      <c r="BB1025" s="170">
        <f>IF(AZ1025&gt;0,SUM(BA$990:BA1025),0)</f>
        <v>0</v>
      </c>
      <c r="BC1025" s="763">
        <f t="shared" si="767"/>
        <v>0</v>
      </c>
      <c r="BD1025" s="376"/>
      <c r="BE1025" s="1815">
        <f t="shared" si="763"/>
        <v>0</v>
      </c>
      <c r="BF1025" s="763">
        <f t="shared" si="764"/>
        <v>0</v>
      </c>
      <c r="BG1025" s="763">
        <f t="shared" si="765"/>
        <v>0</v>
      </c>
      <c r="BH1025" s="763">
        <f t="shared" si="751"/>
        <v>0</v>
      </c>
      <c r="BI1025" s="170">
        <f>IF(BG1025&gt;0,SUM(BH$990:BH1025),0)</f>
        <v>0</v>
      </c>
      <c r="BJ1025" s="1151">
        <f t="shared" si="768"/>
        <v>0</v>
      </c>
      <c r="BK1025" s="376"/>
      <c r="BL1025" s="376"/>
      <c r="BM1025" s="376"/>
      <c r="BN1025" s="376"/>
      <c r="BO1025" s="376"/>
      <c r="BP1025" s="376"/>
      <c r="BQ1025" s="376"/>
      <c r="BR1025" s="376"/>
      <c r="BS1025" s="376"/>
      <c r="BT1025" s="376"/>
      <c r="BU1025" s="376"/>
      <c r="BV1025" s="376"/>
      <c r="BW1025" s="376"/>
      <c r="BX1025" s="376"/>
      <c r="BY1025" s="376"/>
      <c r="BZ1025" s="376"/>
      <c r="CA1025" s="376"/>
      <c r="CB1025" s="376"/>
      <c r="CC1025" s="376"/>
      <c r="CD1025" s="376"/>
      <c r="CE1025" s="376"/>
      <c r="CF1025" s="376"/>
      <c r="CG1025" s="376"/>
      <c r="CH1025" s="376"/>
      <c r="CI1025" s="376"/>
      <c r="CJ1025" s="376"/>
      <c r="CK1025" s="376"/>
      <c r="CL1025" s="376"/>
      <c r="CM1025" s="376"/>
      <c r="CN1025" s="376"/>
      <c r="CO1025" s="1183"/>
      <c r="CP1025" s="1183"/>
      <c r="CQ1025" s="1183"/>
      <c r="CR1025" s="1183"/>
      <c r="CS1025" s="1183"/>
      <c r="CT1025" s="1183"/>
      <c r="CU1025" s="1183"/>
      <c r="CV1025" s="1183"/>
      <c r="CW1025" s="1183"/>
      <c r="CX1025" s="1183"/>
      <c r="CY1025" s="1183"/>
      <c r="CZ1025" s="1183"/>
      <c r="DA1025" s="1183"/>
      <c r="DB1025" s="1183"/>
      <c r="DC1025" s="1183"/>
      <c r="DD1025" s="1183"/>
      <c r="DE1025" s="1183"/>
      <c r="DF1025" s="1183"/>
      <c r="DG1025" s="1183"/>
      <c r="DH1025" s="1183"/>
      <c r="DI1025" s="1183"/>
      <c r="DJ1025" s="1183"/>
      <c r="DK1025" s="1183"/>
      <c r="DL1025" s="1183"/>
      <c r="DM1025" s="1183"/>
      <c r="DN1025" s="1183"/>
      <c r="DO1025" s="1183"/>
      <c r="DP1025" s="1183"/>
      <c r="DQ1025" s="1183"/>
    </row>
    <row r="1026" spans="1:121" s="12" customFormat="1" ht="12" customHeight="1" x14ac:dyDescent="0.3">
      <c r="A1026" s="84"/>
      <c r="B1026" s="13"/>
      <c r="C1026" s="13"/>
      <c r="D1026" s="13"/>
      <c r="E1026" s="13"/>
      <c r="F1026" s="13"/>
      <c r="G1026" s="1804"/>
      <c r="H1026" s="1183"/>
      <c r="I1026" s="1804"/>
      <c r="J1026" s="1804"/>
      <c r="K1026" s="29">
        <f t="shared" si="752"/>
        <v>1</v>
      </c>
      <c r="L1026" s="485">
        <f>Infrastructure!D46</f>
        <v>0</v>
      </c>
      <c r="M1026" s="34">
        <f t="shared" si="753"/>
        <v>0</v>
      </c>
      <c r="N1026" s="34">
        <f t="shared" si="754"/>
        <v>0</v>
      </c>
      <c r="O1026" s="34">
        <f t="shared" si="755"/>
        <v>0</v>
      </c>
      <c r="P1026" s="34">
        <f t="shared" si="756"/>
        <v>0</v>
      </c>
      <c r="Q1026" s="34">
        <f t="shared" si="757"/>
        <v>0</v>
      </c>
      <c r="R1026" s="31">
        <f>IF(Input!D$298=AH1026,Input!D$297,0)</f>
        <v>0</v>
      </c>
      <c r="S1026" s="36">
        <f t="shared" si="743"/>
        <v>0</v>
      </c>
      <c r="T1026" s="1814"/>
      <c r="U1026" s="1814"/>
      <c r="V1026" s="1814"/>
      <c r="W1026" s="1817"/>
      <c r="X1026" s="1814"/>
      <c r="Y1026" s="1801"/>
      <c r="Z1026" s="1801"/>
      <c r="AA1026" s="1801"/>
      <c r="AB1026" s="1801"/>
      <c r="AC1026" s="1801"/>
      <c r="AD1026" s="1801"/>
      <c r="AE1026" s="1801"/>
      <c r="AF1026" s="1814"/>
      <c r="AG1026" s="376">
        <f t="shared" si="769"/>
        <v>0</v>
      </c>
      <c r="AH1026" s="376">
        <v>37</v>
      </c>
      <c r="AI1026" s="1151">
        <f t="shared" si="774"/>
        <v>0</v>
      </c>
      <c r="AJ1026" s="1151">
        <f t="shared" si="770"/>
        <v>0</v>
      </c>
      <c r="AK1026" s="1151">
        <f t="shared" si="771"/>
        <v>0</v>
      </c>
      <c r="AL1026" s="1151">
        <f t="shared" si="772"/>
        <v>0</v>
      </c>
      <c r="AM1026" s="1151">
        <f t="shared" si="773"/>
        <v>0</v>
      </c>
      <c r="AN1026" s="376"/>
      <c r="AO1026" s="1178">
        <v>37</v>
      </c>
      <c r="AP1026" s="485">
        <f>Infrastructure!D46</f>
        <v>0</v>
      </c>
      <c r="AQ1026" s="763">
        <f t="shared" si="759"/>
        <v>0</v>
      </c>
      <c r="AR1026" s="763">
        <f t="shared" si="760"/>
        <v>0</v>
      </c>
      <c r="AS1026" s="763">
        <f t="shared" si="749"/>
        <v>0</v>
      </c>
      <c r="AT1026" s="170">
        <f>IF(AR1026&gt;0,SUM(AS$990:AS1026),0)</f>
        <v>0</v>
      </c>
      <c r="AU1026" s="1144"/>
      <c r="AV1026" s="376"/>
      <c r="AW1026" s="376"/>
      <c r="AX1026" s="1815">
        <f t="shared" si="766"/>
        <v>0</v>
      </c>
      <c r="AY1026" s="763">
        <f t="shared" si="761"/>
        <v>0</v>
      </c>
      <c r="AZ1026" s="763">
        <f t="shared" si="762"/>
        <v>0</v>
      </c>
      <c r="BA1026" s="763">
        <f t="shared" si="750"/>
        <v>0</v>
      </c>
      <c r="BB1026" s="170">
        <f>IF(AZ1026&gt;0,SUM(BA$990:BA1026),0)</f>
        <v>0</v>
      </c>
      <c r="BC1026" s="763">
        <f t="shared" si="767"/>
        <v>0</v>
      </c>
      <c r="BD1026" s="376"/>
      <c r="BE1026" s="1815">
        <f t="shared" si="763"/>
        <v>0</v>
      </c>
      <c r="BF1026" s="763">
        <f t="shared" si="764"/>
        <v>0</v>
      </c>
      <c r="BG1026" s="763">
        <f t="shared" si="765"/>
        <v>0</v>
      </c>
      <c r="BH1026" s="763">
        <f t="shared" si="751"/>
        <v>0</v>
      </c>
      <c r="BI1026" s="170">
        <f>IF(BG1026&gt;0,SUM(BH$990:BH1026),0)</f>
        <v>0</v>
      </c>
      <c r="BJ1026" s="1151">
        <f t="shared" si="768"/>
        <v>0</v>
      </c>
      <c r="BK1026" s="376"/>
      <c r="BL1026" s="376"/>
      <c r="BM1026" s="376"/>
      <c r="BN1026" s="376"/>
      <c r="BO1026" s="376"/>
      <c r="BP1026" s="376"/>
      <c r="BQ1026" s="376"/>
      <c r="BR1026" s="376"/>
      <c r="BS1026" s="376"/>
      <c r="BT1026" s="376"/>
      <c r="BU1026" s="376"/>
      <c r="BV1026" s="376"/>
      <c r="BW1026" s="376"/>
      <c r="BX1026" s="376"/>
      <c r="BY1026" s="376"/>
      <c r="BZ1026" s="376"/>
      <c r="CA1026" s="376"/>
      <c r="CB1026" s="376"/>
      <c r="CC1026" s="376"/>
      <c r="CD1026" s="376"/>
      <c r="CE1026" s="376"/>
      <c r="CF1026" s="376"/>
      <c r="CG1026" s="376"/>
      <c r="CH1026" s="376"/>
      <c r="CI1026" s="376"/>
      <c r="CJ1026" s="376"/>
      <c r="CK1026" s="376"/>
      <c r="CL1026" s="376"/>
      <c r="CM1026" s="376"/>
      <c r="CN1026" s="376"/>
      <c r="CO1026" s="1183"/>
      <c r="CP1026" s="1183"/>
      <c r="CQ1026" s="1183"/>
      <c r="CR1026" s="1183"/>
      <c r="CS1026" s="1183"/>
      <c r="CT1026" s="1183"/>
      <c r="CU1026" s="1183"/>
      <c r="CV1026" s="1183"/>
      <c r="CW1026" s="1183"/>
      <c r="CX1026" s="1183"/>
      <c r="CY1026" s="1183"/>
      <c r="CZ1026" s="1183"/>
      <c r="DA1026" s="1183"/>
      <c r="DB1026" s="1183"/>
      <c r="DC1026" s="1183"/>
      <c r="DD1026" s="1183"/>
      <c r="DE1026" s="1183"/>
      <c r="DF1026" s="1183"/>
      <c r="DG1026" s="1183"/>
      <c r="DH1026" s="1183"/>
      <c r="DI1026" s="1183"/>
      <c r="DJ1026" s="1183"/>
      <c r="DK1026" s="1183"/>
      <c r="DL1026" s="1183"/>
      <c r="DM1026" s="1183"/>
      <c r="DN1026" s="1183"/>
      <c r="DO1026" s="1183"/>
      <c r="DP1026" s="1183"/>
      <c r="DQ1026" s="1183"/>
    </row>
    <row r="1027" spans="1:121" s="12" customFormat="1" ht="12" customHeight="1" x14ac:dyDescent="0.3">
      <c r="A1027" s="84"/>
      <c r="B1027" s="13"/>
      <c r="C1027" s="13"/>
      <c r="D1027" s="13"/>
      <c r="E1027" s="13"/>
      <c r="F1027" s="13"/>
      <c r="G1027" s="1804"/>
      <c r="H1027" s="1183"/>
      <c r="I1027" s="1804"/>
      <c r="J1027" s="1804"/>
      <c r="K1027" s="29">
        <f t="shared" si="752"/>
        <v>1</v>
      </c>
      <c r="L1027" s="485">
        <f>Infrastructure!D47</f>
        <v>0</v>
      </c>
      <c r="M1027" s="34">
        <f t="shared" si="753"/>
        <v>0</v>
      </c>
      <c r="N1027" s="34">
        <f t="shared" si="754"/>
        <v>0</v>
      </c>
      <c r="O1027" s="34">
        <f t="shared" si="755"/>
        <v>0</v>
      </c>
      <c r="P1027" s="34">
        <f t="shared" si="756"/>
        <v>0</v>
      </c>
      <c r="Q1027" s="34">
        <f t="shared" si="757"/>
        <v>0</v>
      </c>
      <c r="R1027" s="31">
        <f>IF(Input!D$298=AH1027,Input!D$297,0)</f>
        <v>0</v>
      </c>
      <c r="S1027" s="36">
        <f t="shared" si="743"/>
        <v>0</v>
      </c>
      <c r="T1027" s="1814"/>
      <c r="U1027" s="1814"/>
      <c r="V1027" s="1814"/>
      <c r="W1027" s="1817"/>
      <c r="X1027" s="1814"/>
      <c r="Y1027" s="1801"/>
      <c r="Z1027" s="1801"/>
      <c r="AA1027" s="1801"/>
      <c r="AB1027" s="1801"/>
      <c r="AC1027" s="1801"/>
      <c r="AD1027" s="1801"/>
      <c r="AE1027" s="1801"/>
      <c r="AF1027" s="1814"/>
      <c r="AG1027" s="376">
        <f t="shared" si="769"/>
        <v>0</v>
      </c>
      <c r="AH1027" s="376">
        <v>38</v>
      </c>
      <c r="AI1027" s="1151">
        <f t="shared" si="774"/>
        <v>0</v>
      </c>
      <c r="AJ1027" s="1151">
        <f t="shared" si="770"/>
        <v>0</v>
      </c>
      <c r="AK1027" s="1151">
        <f t="shared" si="771"/>
        <v>0</v>
      </c>
      <c r="AL1027" s="1151">
        <f t="shared" si="772"/>
        <v>0</v>
      </c>
      <c r="AM1027" s="1151">
        <f t="shared" si="773"/>
        <v>0</v>
      </c>
      <c r="AN1027" s="376"/>
      <c r="AO1027" s="1178">
        <v>38</v>
      </c>
      <c r="AP1027" s="485">
        <f>Infrastructure!D47</f>
        <v>0</v>
      </c>
      <c r="AQ1027" s="763">
        <f t="shared" si="759"/>
        <v>0</v>
      </c>
      <c r="AR1027" s="763">
        <f t="shared" si="760"/>
        <v>0</v>
      </c>
      <c r="AS1027" s="763">
        <f t="shared" si="749"/>
        <v>0</v>
      </c>
      <c r="AT1027" s="170">
        <f>IF(AR1027&gt;0,SUM(AS$990:AS1027),0)</f>
        <v>0</v>
      </c>
      <c r="AU1027" s="1144"/>
      <c r="AV1027" s="376"/>
      <c r="AW1027" s="376"/>
      <c r="AX1027" s="1815">
        <f t="shared" si="766"/>
        <v>0</v>
      </c>
      <c r="AY1027" s="763">
        <f t="shared" si="761"/>
        <v>0</v>
      </c>
      <c r="AZ1027" s="763">
        <f t="shared" si="762"/>
        <v>0</v>
      </c>
      <c r="BA1027" s="763">
        <f t="shared" si="750"/>
        <v>0</v>
      </c>
      <c r="BB1027" s="170">
        <f>IF(AZ1027&gt;0,SUM(BA$990:BA1027),0)</f>
        <v>0</v>
      </c>
      <c r="BC1027" s="763">
        <f t="shared" si="767"/>
        <v>0</v>
      </c>
      <c r="BD1027" s="376"/>
      <c r="BE1027" s="1815">
        <f t="shared" si="763"/>
        <v>0</v>
      </c>
      <c r="BF1027" s="763">
        <f t="shared" si="764"/>
        <v>0</v>
      </c>
      <c r="BG1027" s="763">
        <f t="shared" si="765"/>
        <v>0</v>
      </c>
      <c r="BH1027" s="763">
        <f t="shared" si="751"/>
        <v>0</v>
      </c>
      <c r="BI1027" s="170">
        <f>IF(BG1027&gt;0,SUM(BH$990:BH1027),0)</f>
        <v>0</v>
      </c>
      <c r="BJ1027" s="1151">
        <f t="shared" si="768"/>
        <v>0</v>
      </c>
      <c r="BK1027" s="376"/>
      <c r="BL1027" s="376"/>
      <c r="BM1027" s="376"/>
      <c r="BN1027" s="376"/>
      <c r="BO1027" s="376"/>
      <c r="BP1027" s="376"/>
      <c r="BQ1027" s="376"/>
      <c r="BR1027" s="376"/>
      <c r="BS1027" s="376"/>
      <c r="BT1027" s="376"/>
      <c r="BU1027" s="376"/>
      <c r="BV1027" s="376"/>
      <c r="BW1027" s="376"/>
      <c r="BX1027" s="376"/>
      <c r="BY1027" s="376"/>
      <c r="BZ1027" s="376"/>
      <c r="CA1027" s="376"/>
      <c r="CB1027" s="376"/>
      <c r="CC1027" s="376"/>
      <c r="CD1027" s="376"/>
      <c r="CE1027" s="376"/>
      <c r="CF1027" s="376"/>
      <c r="CG1027" s="376"/>
      <c r="CH1027" s="376"/>
      <c r="CI1027" s="376"/>
      <c r="CJ1027" s="376"/>
      <c r="CK1027" s="376"/>
      <c r="CL1027" s="376"/>
      <c r="CM1027" s="376"/>
      <c r="CN1027" s="376"/>
      <c r="CO1027" s="1183"/>
      <c r="CP1027" s="1183"/>
      <c r="CQ1027" s="1183"/>
      <c r="CR1027" s="1183"/>
      <c r="CS1027" s="1183"/>
      <c r="CT1027" s="1183"/>
      <c r="CU1027" s="1183"/>
      <c r="CV1027" s="1183"/>
      <c r="CW1027" s="1183"/>
      <c r="CX1027" s="1183"/>
      <c r="CY1027" s="1183"/>
      <c r="CZ1027" s="1183"/>
      <c r="DA1027" s="1183"/>
      <c r="DB1027" s="1183"/>
      <c r="DC1027" s="1183"/>
      <c r="DD1027" s="1183"/>
      <c r="DE1027" s="1183"/>
      <c r="DF1027" s="1183"/>
      <c r="DG1027" s="1183"/>
      <c r="DH1027" s="1183"/>
      <c r="DI1027" s="1183"/>
      <c r="DJ1027" s="1183"/>
      <c r="DK1027" s="1183"/>
      <c r="DL1027" s="1183"/>
      <c r="DM1027" s="1183"/>
      <c r="DN1027" s="1183"/>
      <c r="DO1027" s="1183"/>
      <c r="DP1027" s="1183"/>
      <c r="DQ1027" s="1183"/>
    </row>
    <row r="1028" spans="1:121" s="12" customFormat="1" ht="12" customHeight="1" x14ac:dyDescent="0.3">
      <c r="A1028" s="84"/>
      <c r="B1028" s="13"/>
      <c r="C1028" s="13"/>
      <c r="D1028" s="13"/>
      <c r="E1028" s="13"/>
      <c r="F1028" s="13"/>
      <c r="G1028" s="1804"/>
      <c r="H1028" s="1183"/>
      <c r="I1028" s="1804"/>
      <c r="J1028" s="1804"/>
      <c r="K1028" s="29">
        <f t="shared" si="752"/>
        <v>1</v>
      </c>
      <c r="L1028" s="485">
        <f>Infrastructure!D48</f>
        <v>0</v>
      </c>
      <c r="M1028" s="34">
        <f t="shared" si="753"/>
        <v>0</v>
      </c>
      <c r="N1028" s="34">
        <f t="shared" si="754"/>
        <v>0</v>
      </c>
      <c r="O1028" s="34">
        <f t="shared" si="755"/>
        <v>0</v>
      </c>
      <c r="P1028" s="34">
        <f t="shared" si="756"/>
        <v>0</v>
      </c>
      <c r="Q1028" s="34">
        <f t="shared" si="757"/>
        <v>0</v>
      </c>
      <c r="R1028" s="31">
        <f>IF(Input!D$298=AH1028,Input!D$297,0)</f>
        <v>0</v>
      </c>
      <c r="S1028" s="36">
        <f t="shared" si="743"/>
        <v>0</v>
      </c>
      <c r="T1028" s="1814"/>
      <c r="U1028" s="1814"/>
      <c r="V1028" s="1814"/>
      <c r="W1028" s="1817"/>
      <c r="X1028" s="1814"/>
      <c r="Y1028" s="1801"/>
      <c r="Z1028" s="1801"/>
      <c r="AA1028" s="1801"/>
      <c r="AB1028" s="1801"/>
      <c r="AC1028" s="1801"/>
      <c r="AD1028" s="1801"/>
      <c r="AE1028" s="1801"/>
      <c r="AF1028" s="1814"/>
      <c r="AG1028" s="376">
        <f t="shared" si="769"/>
        <v>0</v>
      </c>
      <c r="AH1028" s="376">
        <v>39</v>
      </c>
      <c r="AI1028" s="1151">
        <f t="shared" si="774"/>
        <v>0</v>
      </c>
      <c r="AJ1028" s="1151">
        <f t="shared" si="770"/>
        <v>0</v>
      </c>
      <c r="AK1028" s="1151">
        <f t="shared" si="771"/>
        <v>0</v>
      </c>
      <c r="AL1028" s="1151">
        <f t="shared" si="772"/>
        <v>0</v>
      </c>
      <c r="AM1028" s="1151">
        <f t="shared" si="773"/>
        <v>0</v>
      </c>
      <c r="AN1028" s="376"/>
      <c r="AO1028" s="1178">
        <v>39</v>
      </c>
      <c r="AP1028" s="485">
        <f>Infrastructure!D48</f>
        <v>0</v>
      </c>
      <c r="AQ1028" s="763">
        <f t="shared" si="759"/>
        <v>0</v>
      </c>
      <c r="AR1028" s="763">
        <f t="shared" si="760"/>
        <v>0</v>
      </c>
      <c r="AS1028" s="763">
        <f t="shared" si="749"/>
        <v>0</v>
      </c>
      <c r="AT1028" s="170">
        <f>IF(AR1028&gt;0,SUM(AS$990:AS1028),0)</f>
        <v>0</v>
      </c>
      <c r="AU1028" s="1144"/>
      <c r="AV1028" s="376"/>
      <c r="AW1028" s="376"/>
      <c r="AX1028" s="1815">
        <f t="shared" si="766"/>
        <v>0</v>
      </c>
      <c r="AY1028" s="763">
        <f t="shared" si="761"/>
        <v>0</v>
      </c>
      <c r="AZ1028" s="763">
        <f t="shared" si="762"/>
        <v>0</v>
      </c>
      <c r="BA1028" s="763">
        <f t="shared" si="750"/>
        <v>0</v>
      </c>
      <c r="BB1028" s="170">
        <f>IF(AZ1028&gt;0,SUM(BA$990:BA1028),0)</f>
        <v>0</v>
      </c>
      <c r="BC1028" s="763">
        <f t="shared" si="767"/>
        <v>0</v>
      </c>
      <c r="BD1028" s="376"/>
      <c r="BE1028" s="1815">
        <f t="shared" si="763"/>
        <v>0</v>
      </c>
      <c r="BF1028" s="763">
        <f t="shared" si="764"/>
        <v>0</v>
      </c>
      <c r="BG1028" s="763">
        <f t="shared" si="765"/>
        <v>0</v>
      </c>
      <c r="BH1028" s="763">
        <f t="shared" si="751"/>
        <v>0</v>
      </c>
      <c r="BI1028" s="170">
        <f>IF(BG1028&gt;0,SUM(BH$990:BH1028),0)</f>
        <v>0</v>
      </c>
      <c r="BJ1028" s="1151">
        <f t="shared" si="768"/>
        <v>0</v>
      </c>
      <c r="BK1028" s="376"/>
      <c r="BL1028" s="376"/>
      <c r="BM1028" s="376"/>
      <c r="BN1028" s="376"/>
      <c r="BO1028" s="376"/>
      <c r="BP1028" s="376"/>
      <c r="BQ1028" s="376"/>
      <c r="BR1028" s="376"/>
      <c r="BS1028" s="376"/>
      <c r="BT1028" s="376"/>
      <c r="BU1028" s="376"/>
      <c r="BV1028" s="376"/>
      <c r="BW1028" s="376"/>
      <c r="BX1028" s="376"/>
      <c r="BY1028" s="376"/>
      <c r="BZ1028" s="376"/>
      <c r="CA1028" s="376"/>
      <c r="CB1028" s="376"/>
      <c r="CC1028" s="376"/>
      <c r="CD1028" s="376"/>
      <c r="CE1028" s="376"/>
      <c r="CF1028" s="376"/>
      <c r="CG1028" s="376"/>
      <c r="CH1028" s="376"/>
      <c r="CI1028" s="376"/>
      <c r="CJ1028" s="376"/>
      <c r="CK1028" s="376"/>
      <c r="CL1028" s="376"/>
      <c r="CM1028" s="376"/>
      <c r="CN1028" s="376"/>
      <c r="CO1028" s="1183"/>
      <c r="CP1028" s="1183"/>
      <c r="CQ1028" s="1183"/>
      <c r="CR1028" s="1183"/>
      <c r="CS1028" s="1183"/>
      <c r="CT1028" s="1183"/>
      <c r="CU1028" s="1183"/>
      <c r="CV1028" s="1183"/>
      <c r="CW1028" s="1183"/>
      <c r="CX1028" s="1183"/>
      <c r="CY1028" s="1183"/>
      <c r="CZ1028" s="1183"/>
      <c r="DA1028" s="1183"/>
      <c r="DB1028" s="1183"/>
      <c r="DC1028" s="1183"/>
      <c r="DD1028" s="1183"/>
      <c r="DE1028" s="1183"/>
      <c r="DF1028" s="1183"/>
      <c r="DG1028" s="1183"/>
      <c r="DH1028" s="1183"/>
      <c r="DI1028" s="1183"/>
      <c r="DJ1028" s="1183"/>
      <c r="DK1028" s="1183"/>
      <c r="DL1028" s="1183"/>
      <c r="DM1028" s="1183"/>
      <c r="DN1028" s="1183"/>
      <c r="DO1028" s="1183"/>
      <c r="DP1028" s="1183"/>
      <c r="DQ1028" s="1183"/>
    </row>
    <row r="1029" spans="1:121" s="12" customFormat="1" ht="12" customHeight="1" x14ac:dyDescent="0.3">
      <c r="A1029" s="84"/>
      <c r="B1029" s="13"/>
      <c r="C1029" s="13"/>
      <c r="D1029" s="13"/>
      <c r="E1029" s="13"/>
      <c r="F1029" s="13"/>
      <c r="G1029" s="1804"/>
      <c r="H1029" s="1183"/>
      <c r="I1029" s="1804"/>
      <c r="J1029" s="1804"/>
      <c r="K1029" s="29">
        <f t="shared" si="752"/>
        <v>1</v>
      </c>
      <c r="L1029" s="485">
        <f>Infrastructure!D49</f>
        <v>0</v>
      </c>
      <c r="M1029" s="34">
        <f t="shared" si="753"/>
        <v>0</v>
      </c>
      <c r="N1029" s="34">
        <f t="shared" si="754"/>
        <v>0</v>
      </c>
      <c r="O1029" s="34">
        <f t="shared" si="755"/>
        <v>0</v>
      </c>
      <c r="P1029" s="34">
        <f t="shared" si="756"/>
        <v>0</v>
      </c>
      <c r="Q1029" s="34">
        <f t="shared" si="757"/>
        <v>0</v>
      </c>
      <c r="R1029" s="31">
        <f>IF(Input!D$298=AH1029,Input!D$297,0)</f>
        <v>0</v>
      </c>
      <c r="S1029" s="36">
        <f t="shared" si="743"/>
        <v>0</v>
      </c>
      <c r="T1029" s="1814"/>
      <c r="U1029" s="1814"/>
      <c r="V1029" s="1814"/>
      <c r="W1029" s="1817"/>
      <c r="X1029" s="1814"/>
      <c r="Y1029" s="1801"/>
      <c r="Z1029" s="1801"/>
      <c r="AA1029" s="1801"/>
      <c r="AB1029" s="1801"/>
      <c r="AC1029" s="1801"/>
      <c r="AD1029" s="1801"/>
      <c r="AE1029" s="1801"/>
      <c r="AF1029" s="1814"/>
      <c r="AG1029" s="376">
        <f t="shared" si="769"/>
        <v>0</v>
      </c>
      <c r="AH1029" s="376">
        <v>40</v>
      </c>
      <c r="AI1029" s="1151">
        <f t="shared" si="774"/>
        <v>0</v>
      </c>
      <c r="AJ1029" s="1151">
        <f t="shared" si="770"/>
        <v>0</v>
      </c>
      <c r="AK1029" s="1151">
        <f t="shared" si="771"/>
        <v>0</v>
      </c>
      <c r="AL1029" s="1151">
        <f t="shared" si="772"/>
        <v>0</v>
      </c>
      <c r="AM1029" s="1151">
        <f t="shared" si="773"/>
        <v>0</v>
      </c>
      <c r="AN1029" s="376"/>
      <c r="AO1029" s="1178">
        <v>40</v>
      </c>
      <c r="AP1029" s="485">
        <f>Infrastructure!D49</f>
        <v>0</v>
      </c>
      <c r="AQ1029" s="763">
        <f t="shared" si="759"/>
        <v>0</v>
      </c>
      <c r="AR1029" s="763">
        <f t="shared" si="760"/>
        <v>0</v>
      </c>
      <c r="AS1029" s="763">
        <f t="shared" si="749"/>
        <v>0</v>
      </c>
      <c r="AT1029" s="170">
        <f>IF(AR1029&gt;0,SUM(AS$990:AS1029),0)</f>
        <v>0</v>
      </c>
      <c r="AU1029" s="1144"/>
      <c r="AV1029" s="376"/>
      <c r="AW1029" s="376"/>
      <c r="AX1029" s="1815">
        <f t="shared" si="766"/>
        <v>0</v>
      </c>
      <c r="AY1029" s="763">
        <f t="shared" si="761"/>
        <v>0</v>
      </c>
      <c r="AZ1029" s="763">
        <f t="shared" si="762"/>
        <v>0</v>
      </c>
      <c r="BA1029" s="763">
        <f t="shared" si="750"/>
        <v>0</v>
      </c>
      <c r="BB1029" s="170">
        <f>IF(AZ1029&gt;0,SUM(BA$990:BA1029),0)</f>
        <v>0</v>
      </c>
      <c r="BC1029" s="763">
        <f t="shared" si="767"/>
        <v>0</v>
      </c>
      <c r="BD1029" s="376"/>
      <c r="BE1029" s="1815">
        <f t="shared" si="763"/>
        <v>0</v>
      </c>
      <c r="BF1029" s="763">
        <f t="shared" si="764"/>
        <v>0</v>
      </c>
      <c r="BG1029" s="763">
        <f t="shared" si="765"/>
        <v>0</v>
      </c>
      <c r="BH1029" s="763">
        <f t="shared" si="751"/>
        <v>0</v>
      </c>
      <c r="BI1029" s="170">
        <f>IF(BG1029&gt;0,SUM(BH$990:BH1029),0)</f>
        <v>0</v>
      </c>
      <c r="BJ1029" s="1151">
        <f t="shared" si="768"/>
        <v>0</v>
      </c>
      <c r="BK1029" s="376"/>
      <c r="BL1029" s="376"/>
      <c r="BM1029" s="376"/>
      <c r="BN1029" s="376"/>
      <c r="BO1029" s="376"/>
      <c r="BP1029" s="376"/>
      <c r="BQ1029" s="376"/>
      <c r="BR1029" s="376"/>
      <c r="BS1029" s="376"/>
      <c r="BT1029" s="376"/>
      <c r="BU1029" s="376"/>
      <c r="BV1029" s="376"/>
      <c r="BW1029" s="376"/>
      <c r="BX1029" s="376"/>
      <c r="BY1029" s="376"/>
      <c r="BZ1029" s="376"/>
      <c r="CA1029" s="376"/>
      <c r="CB1029" s="376"/>
      <c r="CC1029" s="376"/>
      <c r="CD1029" s="376"/>
      <c r="CE1029" s="376"/>
      <c r="CF1029" s="376"/>
      <c r="CG1029" s="376"/>
      <c r="CH1029" s="376"/>
      <c r="CI1029" s="376"/>
      <c r="CJ1029" s="376"/>
      <c r="CK1029" s="376"/>
      <c r="CL1029" s="376"/>
      <c r="CM1029" s="376"/>
      <c r="CN1029" s="376"/>
      <c r="CO1029" s="1183"/>
      <c r="CP1029" s="1183"/>
      <c r="CQ1029" s="1183"/>
      <c r="CR1029" s="1183"/>
      <c r="CS1029" s="1183"/>
      <c r="CT1029" s="1183"/>
      <c r="CU1029" s="1183"/>
      <c r="CV1029" s="1183"/>
      <c r="CW1029" s="1183"/>
      <c r="CX1029" s="1183"/>
      <c r="CY1029" s="1183"/>
      <c r="CZ1029" s="1183"/>
      <c r="DA1029" s="1183"/>
      <c r="DB1029" s="1183"/>
      <c r="DC1029" s="1183"/>
      <c r="DD1029" s="1183"/>
      <c r="DE1029" s="1183"/>
      <c r="DF1029" s="1183"/>
      <c r="DG1029" s="1183"/>
      <c r="DH1029" s="1183"/>
      <c r="DI1029" s="1183"/>
      <c r="DJ1029" s="1183"/>
      <c r="DK1029" s="1183"/>
      <c r="DL1029" s="1183"/>
      <c r="DM1029" s="1183"/>
      <c r="DN1029" s="1183"/>
      <c r="DO1029" s="1183"/>
      <c r="DP1029" s="1183"/>
      <c r="DQ1029" s="1183"/>
    </row>
    <row r="1030" spans="1:121" s="12" customFormat="1" ht="12" customHeight="1" x14ac:dyDescent="0.3">
      <c r="A1030" s="84"/>
      <c r="B1030" s="13"/>
      <c r="C1030" s="13"/>
      <c r="D1030" s="13"/>
      <c r="E1030" s="13"/>
      <c r="F1030" s="13"/>
      <c r="G1030" s="1804"/>
      <c r="H1030" s="1183"/>
      <c r="I1030" s="1804"/>
      <c r="J1030" s="1804"/>
      <c r="K1030" s="29">
        <f t="shared" si="752"/>
        <v>1</v>
      </c>
      <c r="L1030" s="485">
        <f>Infrastructure!D50</f>
        <v>0</v>
      </c>
      <c r="M1030" s="34">
        <f t="shared" si="753"/>
        <v>0</v>
      </c>
      <c r="N1030" s="34">
        <f t="shared" si="754"/>
        <v>0</v>
      </c>
      <c r="O1030" s="34">
        <f t="shared" si="755"/>
        <v>0</v>
      </c>
      <c r="P1030" s="34">
        <f t="shared" si="756"/>
        <v>0</v>
      </c>
      <c r="Q1030" s="34">
        <f t="shared" si="757"/>
        <v>0</v>
      </c>
      <c r="R1030" s="31">
        <f>IF(Input!D$298=AH1030,Input!D$297,0)</f>
        <v>0</v>
      </c>
      <c r="S1030" s="36">
        <f t="shared" si="743"/>
        <v>0</v>
      </c>
      <c r="T1030" s="1814"/>
      <c r="U1030" s="1814"/>
      <c r="V1030" s="1814"/>
      <c r="W1030" s="1817"/>
      <c r="X1030" s="1814"/>
      <c r="Y1030" s="1801"/>
      <c r="Z1030" s="1801"/>
      <c r="AA1030" s="1801"/>
      <c r="AB1030" s="1801"/>
      <c r="AC1030" s="1801"/>
      <c r="AD1030" s="1801"/>
      <c r="AE1030" s="1801"/>
      <c r="AF1030" s="1814"/>
      <c r="AG1030" s="376">
        <f t="shared" si="769"/>
        <v>0</v>
      </c>
      <c r="AH1030" s="376">
        <v>41</v>
      </c>
      <c r="AI1030" s="1151">
        <f t="shared" si="774"/>
        <v>0</v>
      </c>
      <c r="AJ1030" s="1151">
        <f t="shared" si="770"/>
        <v>0</v>
      </c>
      <c r="AK1030" s="1151">
        <f t="shared" si="771"/>
        <v>0</v>
      </c>
      <c r="AL1030" s="1151">
        <f t="shared" si="772"/>
        <v>0</v>
      </c>
      <c r="AM1030" s="1151">
        <f t="shared" si="773"/>
        <v>0</v>
      </c>
      <c r="AN1030" s="376"/>
      <c r="AO1030" s="1178">
        <v>41</v>
      </c>
      <c r="AP1030" s="485">
        <f>Infrastructure!D50</f>
        <v>0</v>
      </c>
      <c r="AQ1030" s="763">
        <f t="shared" si="759"/>
        <v>0</v>
      </c>
      <c r="AR1030" s="763">
        <f t="shared" si="760"/>
        <v>0</v>
      </c>
      <c r="AS1030" s="763">
        <f t="shared" si="749"/>
        <v>0</v>
      </c>
      <c r="AT1030" s="170">
        <f>IF(AR1030&gt;0,SUM(AS$990:AS1030),0)</f>
        <v>0</v>
      </c>
      <c r="AU1030" s="1144"/>
      <c r="AV1030" s="376"/>
      <c r="AW1030" s="376"/>
      <c r="AX1030" s="1815">
        <f t="shared" si="766"/>
        <v>0</v>
      </c>
      <c r="AY1030" s="763">
        <f t="shared" si="761"/>
        <v>0</v>
      </c>
      <c r="AZ1030" s="763">
        <f t="shared" si="762"/>
        <v>0</v>
      </c>
      <c r="BA1030" s="763">
        <f t="shared" si="750"/>
        <v>0</v>
      </c>
      <c r="BB1030" s="170">
        <f>IF(AZ1030&gt;0,SUM(BA$990:BA1030),0)</f>
        <v>0</v>
      </c>
      <c r="BC1030" s="763">
        <f t="shared" si="767"/>
        <v>0</v>
      </c>
      <c r="BD1030" s="376"/>
      <c r="BE1030" s="1815">
        <f t="shared" si="763"/>
        <v>0</v>
      </c>
      <c r="BF1030" s="763">
        <f t="shared" si="764"/>
        <v>0</v>
      </c>
      <c r="BG1030" s="763">
        <f t="shared" si="765"/>
        <v>0</v>
      </c>
      <c r="BH1030" s="763">
        <f t="shared" si="751"/>
        <v>0</v>
      </c>
      <c r="BI1030" s="170">
        <f>IF(BG1030&gt;0,SUM(BH$990:BH1030),0)</f>
        <v>0</v>
      </c>
      <c r="BJ1030" s="1151">
        <f t="shared" si="768"/>
        <v>0</v>
      </c>
      <c r="BK1030" s="376"/>
      <c r="BL1030" s="376"/>
      <c r="BM1030" s="376"/>
      <c r="BN1030" s="376"/>
      <c r="BO1030" s="376"/>
      <c r="BP1030" s="376"/>
      <c r="BQ1030" s="376"/>
      <c r="BR1030" s="376"/>
      <c r="BS1030" s="376"/>
      <c r="BT1030" s="376"/>
      <c r="BU1030" s="376"/>
      <c r="BV1030" s="376"/>
      <c r="BW1030" s="376"/>
      <c r="BX1030" s="376"/>
      <c r="BY1030" s="376"/>
      <c r="BZ1030" s="376"/>
      <c r="CA1030" s="376"/>
      <c r="CB1030" s="376"/>
      <c r="CC1030" s="376"/>
      <c r="CD1030" s="376"/>
      <c r="CE1030" s="376"/>
      <c r="CF1030" s="376"/>
      <c r="CG1030" s="376"/>
      <c r="CH1030" s="376"/>
      <c r="CI1030" s="376"/>
      <c r="CJ1030" s="376"/>
      <c r="CK1030" s="376"/>
      <c r="CL1030" s="376"/>
      <c r="CM1030" s="376"/>
      <c r="CN1030" s="376"/>
      <c r="CO1030" s="1183"/>
      <c r="CP1030" s="1183"/>
      <c r="CQ1030" s="1183"/>
      <c r="CR1030" s="1183"/>
      <c r="CS1030" s="1183"/>
      <c r="CT1030" s="1183"/>
      <c r="CU1030" s="1183"/>
      <c r="CV1030" s="1183"/>
      <c r="CW1030" s="1183"/>
      <c r="CX1030" s="1183"/>
      <c r="CY1030" s="1183"/>
      <c r="CZ1030" s="1183"/>
      <c r="DA1030" s="1183"/>
      <c r="DB1030" s="1183"/>
      <c r="DC1030" s="1183"/>
      <c r="DD1030" s="1183"/>
      <c r="DE1030" s="1183"/>
      <c r="DF1030" s="1183"/>
      <c r="DG1030" s="1183"/>
      <c r="DH1030" s="1183"/>
      <c r="DI1030" s="1183"/>
      <c r="DJ1030" s="1183"/>
      <c r="DK1030" s="1183"/>
      <c r="DL1030" s="1183"/>
      <c r="DM1030" s="1183"/>
      <c r="DN1030" s="1183"/>
      <c r="DO1030" s="1183"/>
      <c r="DP1030" s="1183"/>
      <c r="DQ1030" s="1183"/>
    </row>
    <row r="1031" spans="1:121" s="12" customFormat="1" ht="12" customHeight="1" x14ac:dyDescent="0.3">
      <c r="A1031" s="84"/>
      <c r="B1031" s="13"/>
      <c r="C1031" s="13"/>
      <c r="D1031" s="13"/>
      <c r="E1031" s="13"/>
      <c r="F1031" s="13"/>
      <c r="G1031" s="1804"/>
      <c r="H1031" s="1183"/>
      <c r="I1031" s="1804"/>
      <c r="J1031" s="1804"/>
      <c r="K1031" s="29">
        <f t="shared" si="752"/>
        <v>1</v>
      </c>
      <c r="L1031" s="485">
        <f>Infrastructure!D51</f>
        <v>0</v>
      </c>
      <c r="M1031" s="34">
        <f t="shared" si="753"/>
        <v>0</v>
      </c>
      <c r="N1031" s="34">
        <f t="shared" si="754"/>
        <v>0</v>
      </c>
      <c r="O1031" s="34">
        <f t="shared" si="755"/>
        <v>0</v>
      </c>
      <c r="P1031" s="34">
        <f t="shared" si="756"/>
        <v>0</v>
      </c>
      <c r="Q1031" s="34">
        <f t="shared" si="757"/>
        <v>0</v>
      </c>
      <c r="R1031" s="31">
        <f>IF(Input!D$298=AH1031,Input!D$297,0)</f>
        <v>0</v>
      </c>
      <c r="S1031" s="36">
        <f t="shared" si="743"/>
        <v>0</v>
      </c>
      <c r="T1031" s="1814"/>
      <c r="U1031" s="1814"/>
      <c r="V1031" s="1814"/>
      <c r="W1031" s="1817"/>
      <c r="X1031" s="1814"/>
      <c r="Y1031" s="1801"/>
      <c r="Z1031" s="1801"/>
      <c r="AA1031" s="1801"/>
      <c r="AB1031" s="1801"/>
      <c r="AC1031" s="1801"/>
      <c r="AD1031" s="1801"/>
      <c r="AE1031" s="1801"/>
      <c r="AF1031" s="1814"/>
      <c r="AG1031" s="376">
        <f t="shared" si="769"/>
        <v>0</v>
      </c>
      <c r="AH1031" s="376">
        <v>42</v>
      </c>
      <c r="AI1031" s="1151">
        <f t="shared" si="774"/>
        <v>0</v>
      </c>
      <c r="AJ1031" s="1151">
        <f t="shared" si="770"/>
        <v>0</v>
      </c>
      <c r="AK1031" s="1151">
        <f t="shared" si="771"/>
        <v>0</v>
      </c>
      <c r="AL1031" s="1151">
        <f t="shared" si="772"/>
        <v>0</v>
      </c>
      <c r="AM1031" s="1151">
        <f t="shared" si="773"/>
        <v>0</v>
      </c>
      <c r="AN1031" s="376"/>
      <c r="AO1031" s="1178">
        <v>42</v>
      </c>
      <c r="AP1031" s="485">
        <f>Infrastructure!D51</f>
        <v>0</v>
      </c>
      <c r="AQ1031" s="763">
        <f t="shared" si="759"/>
        <v>0</v>
      </c>
      <c r="AR1031" s="763">
        <f t="shared" si="760"/>
        <v>0</v>
      </c>
      <c r="AS1031" s="763">
        <f t="shared" si="749"/>
        <v>0</v>
      </c>
      <c r="AT1031" s="170">
        <f>IF(AR1031&gt;0,SUM(AS$990:AS1031),0)</f>
        <v>0</v>
      </c>
      <c r="AU1031" s="1144"/>
      <c r="AV1031" s="376"/>
      <c r="AW1031" s="376"/>
      <c r="AX1031" s="1815">
        <f t="shared" si="766"/>
        <v>0</v>
      </c>
      <c r="AY1031" s="763">
        <f t="shared" si="761"/>
        <v>0</v>
      </c>
      <c r="AZ1031" s="763">
        <f t="shared" si="762"/>
        <v>0</v>
      </c>
      <c r="BA1031" s="763">
        <f t="shared" si="750"/>
        <v>0</v>
      </c>
      <c r="BB1031" s="170">
        <f>IF(AZ1031&gt;0,SUM(BA$990:BA1031),0)</f>
        <v>0</v>
      </c>
      <c r="BC1031" s="763">
        <f t="shared" si="767"/>
        <v>0</v>
      </c>
      <c r="BD1031" s="376"/>
      <c r="BE1031" s="1815">
        <f t="shared" si="763"/>
        <v>0</v>
      </c>
      <c r="BF1031" s="763">
        <f t="shared" si="764"/>
        <v>0</v>
      </c>
      <c r="BG1031" s="763">
        <f t="shared" si="765"/>
        <v>0</v>
      </c>
      <c r="BH1031" s="763">
        <f t="shared" si="751"/>
        <v>0</v>
      </c>
      <c r="BI1031" s="170">
        <f>IF(BG1031&gt;0,SUM(BH$990:BH1031),0)</f>
        <v>0</v>
      </c>
      <c r="BJ1031" s="1151">
        <f t="shared" si="768"/>
        <v>0</v>
      </c>
      <c r="BK1031" s="376"/>
      <c r="BL1031" s="376"/>
      <c r="BM1031" s="376"/>
      <c r="BN1031" s="376"/>
      <c r="BO1031" s="376"/>
      <c r="BP1031" s="376"/>
      <c r="BQ1031" s="376"/>
      <c r="BR1031" s="376"/>
      <c r="BS1031" s="376"/>
      <c r="BT1031" s="376"/>
      <c r="BU1031" s="376"/>
      <c r="BV1031" s="376"/>
      <c r="BW1031" s="376"/>
      <c r="BX1031" s="376"/>
      <c r="BY1031" s="376"/>
      <c r="BZ1031" s="376"/>
      <c r="CA1031" s="376"/>
      <c r="CB1031" s="376"/>
      <c r="CC1031" s="376"/>
      <c r="CD1031" s="376"/>
      <c r="CE1031" s="376"/>
      <c r="CF1031" s="376"/>
      <c r="CG1031" s="376"/>
      <c r="CH1031" s="376"/>
      <c r="CI1031" s="376"/>
      <c r="CJ1031" s="376"/>
      <c r="CK1031" s="376"/>
      <c r="CL1031" s="376"/>
      <c r="CM1031" s="376"/>
      <c r="CN1031" s="376"/>
      <c r="CO1031" s="1183"/>
      <c r="CP1031" s="1183"/>
      <c r="CQ1031" s="1183"/>
      <c r="CR1031" s="1183"/>
      <c r="CS1031" s="1183"/>
      <c r="CT1031" s="1183"/>
      <c r="CU1031" s="1183"/>
      <c r="CV1031" s="1183"/>
      <c r="CW1031" s="1183"/>
      <c r="CX1031" s="1183"/>
      <c r="CY1031" s="1183"/>
      <c r="CZ1031" s="1183"/>
      <c r="DA1031" s="1183"/>
      <c r="DB1031" s="1183"/>
      <c r="DC1031" s="1183"/>
      <c r="DD1031" s="1183"/>
      <c r="DE1031" s="1183"/>
      <c r="DF1031" s="1183"/>
      <c r="DG1031" s="1183"/>
      <c r="DH1031" s="1183"/>
      <c r="DI1031" s="1183"/>
      <c r="DJ1031" s="1183"/>
      <c r="DK1031" s="1183"/>
      <c r="DL1031" s="1183"/>
      <c r="DM1031" s="1183"/>
      <c r="DN1031" s="1183"/>
      <c r="DO1031" s="1183"/>
      <c r="DP1031" s="1183"/>
      <c r="DQ1031" s="1183"/>
    </row>
    <row r="1032" spans="1:121" s="12" customFormat="1" ht="12" customHeight="1" x14ac:dyDescent="0.3">
      <c r="A1032" s="84"/>
      <c r="B1032" s="13"/>
      <c r="C1032" s="13"/>
      <c r="D1032" s="13"/>
      <c r="E1032" s="13"/>
      <c r="F1032" s="13"/>
      <c r="G1032" s="1804"/>
      <c r="H1032" s="1183"/>
      <c r="I1032" s="1804"/>
      <c r="J1032" s="1804"/>
      <c r="K1032" s="29">
        <f t="shared" si="752"/>
        <v>1</v>
      </c>
      <c r="L1032" s="485">
        <f>Infrastructure!D52</f>
        <v>0</v>
      </c>
      <c r="M1032" s="34">
        <f t="shared" si="753"/>
        <v>0</v>
      </c>
      <c r="N1032" s="34">
        <f t="shared" si="754"/>
        <v>0</v>
      </c>
      <c r="O1032" s="34">
        <f t="shared" si="755"/>
        <v>0</v>
      </c>
      <c r="P1032" s="34">
        <f t="shared" si="756"/>
        <v>0</v>
      </c>
      <c r="Q1032" s="34">
        <f t="shared" si="757"/>
        <v>0</v>
      </c>
      <c r="R1032" s="31">
        <f>IF(Input!D$298=AH1032,Input!D$297,0)</f>
        <v>0</v>
      </c>
      <c r="S1032" s="36">
        <f t="shared" si="743"/>
        <v>0</v>
      </c>
      <c r="T1032" s="1814"/>
      <c r="U1032" s="1814"/>
      <c r="V1032" s="1814"/>
      <c r="W1032" s="1817"/>
      <c r="X1032" s="1814"/>
      <c r="Y1032" s="1801"/>
      <c r="Z1032" s="1801"/>
      <c r="AA1032" s="1801"/>
      <c r="AB1032" s="1801"/>
      <c r="AC1032" s="1801"/>
      <c r="AD1032" s="1801"/>
      <c r="AE1032" s="1801"/>
      <c r="AF1032" s="1814"/>
      <c r="AG1032" s="376">
        <f t="shared" si="769"/>
        <v>0</v>
      </c>
      <c r="AH1032" s="376">
        <v>43</v>
      </c>
      <c r="AI1032" s="1151">
        <f t="shared" si="774"/>
        <v>0</v>
      </c>
      <c r="AJ1032" s="1151">
        <f t="shared" si="770"/>
        <v>0</v>
      </c>
      <c r="AK1032" s="1151">
        <f t="shared" si="771"/>
        <v>0</v>
      </c>
      <c r="AL1032" s="1151">
        <f t="shared" si="772"/>
        <v>0</v>
      </c>
      <c r="AM1032" s="1151">
        <f t="shared" si="773"/>
        <v>0</v>
      </c>
      <c r="AN1032" s="376"/>
      <c r="AO1032" s="1178">
        <v>43</v>
      </c>
      <c r="AP1032" s="485">
        <f>Infrastructure!D52</f>
        <v>0</v>
      </c>
      <c r="AQ1032" s="763">
        <f t="shared" si="759"/>
        <v>0</v>
      </c>
      <c r="AR1032" s="763">
        <f t="shared" si="760"/>
        <v>0</v>
      </c>
      <c r="AS1032" s="763">
        <f t="shared" si="749"/>
        <v>0</v>
      </c>
      <c r="AT1032" s="170">
        <f>IF(AR1032&gt;0,SUM(AS$990:AS1032),0)</f>
        <v>0</v>
      </c>
      <c r="AU1032" s="1144"/>
      <c r="AV1032" s="376"/>
      <c r="AW1032" s="376"/>
      <c r="AX1032" s="1815">
        <f t="shared" si="766"/>
        <v>0</v>
      </c>
      <c r="AY1032" s="763">
        <f t="shared" si="761"/>
        <v>0</v>
      </c>
      <c r="AZ1032" s="763">
        <f t="shared" si="762"/>
        <v>0</v>
      </c>
      <c r="BA1032" s="763">
        <f t="shared" si="750"/>
        <v>0</v>
      </c>
      <c r="BB1032" s="170">
        <f>IF(AZ1032&gt;0,SUM(BA$990:BA1032),0)</f>
        <v>0</v>
      </c>
      <c r="BC1032" s="763">
        <f t="shared" si="767"/>
        <v>0</v>
      </c>
      <c r="BD1032" s="376"/>
      <c r="BE1032" s="1815">
        <f t="shared" si="763"/>
        <v>0</v>
      </c>
      <c r="BF1032" s="763">
        <f t="shared" si="764"/>
        <v>0</v>
      </c>
      <c r="BG1032" s="763">
        <f t="shared" si="765"/>
        <v>0</v>
      </c>
      <c r="BH1032" s="763">
        <f t="shared" si="751"/>
        <v>0</v>
      </c>
      <c r="BI1032" s="170">
        <f>IF(BG1032&gt;0,SUM(BH$990:BH1032),0)</f>
        <v>0</v>
      </c>
      <c r="BJ1032" s="1151">
        <f t="shared" si="768"/>
        <v>0</v>
      </c>
      <c r="BK1032" s="376"/>
      <c r="BL1032" s="376"/>
      <c r="BM1032" s="376"/>
      <c r="BN1032" s="376"/>
      <c r="BO1032" s="376"/>
      <c r="BP1032" s="376"/>
      <c r="BQ1032" s="376"/>
      <c r="BR1032" s="376"/>
      <c r="BS1032" s="376"/>
      <c r="BT1032" s="376"/>
      <c r="BU1032" s="376"/>
      <c r="BV1032" s="376"/>
      <c r="BW1032" s="376"/>
      <c r="BX1032" s="376"/>
      <c r="BY1032" s="376"/>
      <c r="BZ1032" s="376"/>
      <c r="CA1032" s="376"/>
      <c r="CB1032" s="376"/>
      <c r="CC1032" s="376"/>
      <c r="CD1032" s="376"/>
      <c r="CE1032" s="376"/>
      <c r="CF1032" s="376"/>
      <c r="CG1032" s="376"/>
      <c r="CH1032" s="376"/>
      <c r="CI1032" s="376"/>
      <c r="CJ1032" s="376"/>
      <c r="CK1032" s="376"/>
      <c r="CL1032" s="376"/>
      <c r="CM1032" s="376"/>
      <c r="CN1032" s="376"/>
      <c r="CO1032" s="1183"/>
      <c r="CP1032" s="1183"/>
      <c r="CQ1032" s="1183"/>
      <c r="CR1032" s="1183"/>
      <c r="CS1032" s="1183"/>
      <c r="CT1032" s="1183"/>
      <c r="CU1032" s="1183"/>
      <c r="CV1032" s="1183"/>
      <c r="CW1032" s="1183"/>
      <c r="CX1032" s="1183"/>
      <c r="CY1032" s="1183"/>
      <c r="CZ1032" s="1183"/>
      <c r="DA1032" s="1183"/>
      <c r="DB1032" s="1183"/>
      <c r="DC1032" s="1183"/>
      <c r="DD1032" s="1183"/>
      <c r="DE1032" s="1183"/>
      <c r="DF1032" s="1183"/>
      <c r="DG1032" s="1183"/>
      <c r="DH1032" s="1183"/>
      <c r="DI1032" s="1183"/>
      <c r="DJ1032" s="1183"/>
      <c r="DK1032" s="1183"/>
      <c r="DL1032" s="1183"/>
      <c r="DM1032" s="1183"/>
      <c r="DN1032" s="1183"/>
      <c r="DO1032" s="1183"/>
      <c r="DP1032" s="1183"/>
      <c r="DQ1032" s="1183"/>
    </row>
    <row r="1033" spans="1:121" s="12" customFormat="1" ht="12" customHeight="1" x14ac:dyDescent="0.3">
      <c r="A1033" s="84"/>
      <c r="B1033" s="13"/>
      <c r="C1033" s="13"/>
      <c r="D1033" s="13"/>
      <c r="E1033" s="13"/>
      <c r="F1033" s="13"/>
      <c r="G1033" s="1804"/>
      <c r="H1033" s="1183"/>
      <c r="I1033" s="1804"/>
      <c r="J1033" s="1804"/>
      <c r="K1033" s="29">
        <f t="shared" si="752"/>
        <v>1</v>
      </c>
      <c r="L1033" s="485">
        <f>Infrastructure!D53</f>
        <v>0</v>
      </c>
      <c r="M1033" s="34">
        <f t="shared" si="753"/>
        <v>0</v>
      </c>
      <c r="N1033" s="34">
        <f t="shared" si="754"/>
        <v>0</v>
      </c>
      <c r="O1033" s="34">
        <f t="shared" si="755"/>
        <v>0</v>
      </c>
      <c r="P1033" s="34">
        <f t="shared" si="756"/>
        <v>0</v>
      </c>
      <c r="Q1033" s="34">
        <f t="shared" si="757"/>
        <v>0</v>
      </c>
      <c r="R1033" s="136"/>
      <c r="S1033" s="136"/>
      <c r="T1033" s="1814"/>
      <c r="U1033" s="1814"/>
      <c r="V1033" s="1814"/>
      <c r="W1033" s="1817"/>
      <c r="X1033" s="1814"/>
      <c r="Y1033" s="1801"/>
      <c r="Z1033" s="1801"/>
      <c r="AA1033" s="1801"/>
      <c r="AB1033" s="1801"/>
      <c r="AC1033" s="1801"/>
      <c r="AD1033" s="1801"/>
      <c r="AE1033" s="1801"/>
      <c r="AF1033" s="1814"/>
      <c r="AG1033" s="376">
        <f t="shared" si="769"/>
        <v>0</v>
      </c>
      <c r="AH1033" s="376">
        <v>44</v>
      </c>
      <c r="AI1033" s="1151">
        <f t="shared" si="774"/>
        <v>0</v>
      </c>
      <c r="AJ1033" s="1151">
        <f t="shared" si="770"/>
        <v>0</v>
      </c>
      <c r="AK1033" s="1151">
        <f t="shared" si="771"/>
        <v>0</v>
      </c>
      <c r="AL1033" s="1151">
        <f t="shared" si="772"/>
        <v>0</v>
      </c>
      <c r="AM1033" s="1151">
        <f t="shared" si="773"/>
        <v>0</v>
      </c>
      <c r="AN1033" s="376"/>
      <c r="AO1033" s="1178">
        <v>44</v>
      </c>
      <c r="AP1033" s="485">
        <f>Infrastructure!D53</f>
        <v>0</v>
      </c>
      <c r="AQ1033" s="763">
        <f t="shared" si="759"/>
        <v>0</v>
      </c>
      <c r="AR1033" s="763">
        <f t="shared" si="760"/>
        <v>0</v>
      </c>
      <c r="AS1033" s="763">
        <f t="shared" si="749"/>
        <v>0</v>
      </c>
      <c r="AT1033" s="170">
        <f>IF(AR1033&gt;0,SUM(AS$990:AS1033),0)</f>
        <v>0</v>
      </c>
      <c r="AU1033" s="1144"/>
      <c r="AV1033" s="376"/>
      <c r="AW1033" s="376"/>
      <c r="AX1033" s="1815">
        <f t="shared" si="766"/>
        <v>0</v>
      </c>
      <c r="AY1033" s="763">
        <f t="shared" si="761"/>
        <v>0</v>
      </c>
      <c r="AZ1033" s="763">
        <f t="shared" si="762"/>
        <v>0</v>
      </c>
      <c r="BA1033" s="763">
        <f t="shared" si="750"/>
        <v>0</v>
      </c>
      <c r="BB1033" s="170">
        <f>IF(AZ1033&gt;0,SUM(BA$990:BA1033),0)</f>
        <v>0</v>
      </c>
      <c r="BC1033" s="763">
        <f t="shared" si="767"/>
        <v>0</v>
      </c>
      <c r="BD1033" s="376"/>
      <c r="BE1033" s="1815">
        <f t="shared" si="763"/>
        <v>0</v>
      </c>
      <c r="BF1033" s="763">
        <f t="shared" si="764"/>
        <v>0</v>
      </c>
      <c r="BG1033" s="763">
        <f t="shared" si="765"/>
        <v>0</v>
      </c>
      <c r="BH1033" s="763">
        <f t="shared" si="751"/>
        <v>0</v>
      </c>
      <c r="BI1033" s="170">
        <f>IF(BG1033&gt;0,SUM(BH$990:BH1033),0)</f>
        <v>0</v>
      </c>
      <c r="BJ1033" s="1151">
        <f t="shared" si="768"/>
        <v>0</v>
      </c>
      <c r="BK1033" s="376"/>
      <c r="BL1033" s="376"/>
      <c r="BM1033" s="376"/>
      <c r="BN1033" s="376"/>
      <c r="BO1033" s="376"/>
      <c r="BP1033" s="376"/>
      <c r="BQ1033" s="376"/>
      <c r="BR1033" s="376"/>
      <c r="BS1033" s="376"/>
      <c r="BT1033" s="376"/>
      <c r="BU1033" s="376"/>
      <c r="BV1033" s="376"/>
      <c r="BW1033" s="376"/>
      <c r="BX1033" s="376"/>
      <c r="BY1033" s="376"/>
      <c r="BZ1033" s="376"/>
      <c r="CA1033" s="376"/>
      <c r="CB1033" s="376"/>
      <c r="CC1033" s="376"/>
      <c r="CD1033" s="376"/>
      <c r="CE1033" s="376"/>
      <c r="CF1033" s="376"/>
      <c r="CG1033" s="376"/>
      <c r="CH1033" s="376"/>
      <c r="CI1033" s="376"/>
      <c r="CJ1033" s="376"/>
      <c r="CK1033" s="376"/>
      <c r="CL1033" s="376"/>
      <c r="CM1033" s="376"/>
      <c r="CN1033" s="376"/>
      <c r="CO1033" s="1183"/>
      <c r="CP1033" s="1183"/>
      <c r="CQ1033" s="1183"/>
      <c r="CR1033" s="1183"/>
      <c r="CS1033" s="1183"/>
      <c r="CT1033" s="1183"/>
      <c r="CU1033" s="1183"/>
      <c r="CV1033" s="1183"/>
      <c r="CW1033" s="1183"/>
      <c r="CX1033" s="1183"/>
      <c r="CY1033" s="1183"/>
      <c r="CZ1033" s="1183"/>
      <c r="DA1033" s="1183"/>
      <c r="DB1033" s="1183"/>
      <c r="DC1033" s="1183"/>
      <c r="DD1033" s="1183"/>
      <c r="DE1033" s="1183"/>
      <c r="DF1033" s="1183"/>
      <c r="DG1033" s="1183"/>
      <c r="DH1033" s="1183"/>
      <c r="DI1033" s="1183"/>
      <c r="DJ1033" s="1183"/>
      <c r="DK1033" s="1183"/>
      <c r="DL1033" s="1183"/>
      <c r="DM1033" s="1183"/>
      <c r="DN1033" s="1183"/>
      <c r="DO1033" s="1183"/>
      <c r="DP1033" s="1183"/>
      <c r="DQ1033" s="1183"/>
    </row>
    <row r="1034" spans="1:121" s="12" customFormat="1" ht="12" customHeight="1" x14ac:dyDescent="0.3">
      <c r="A1034" s="84"/>
      <c r="B1034" s="13"/>
      <c r="C1034" s="13"/>
      <c r="D1034" s="13"/>
      <c r="E1034" s="13"/>
      <c r="F1034" s="13"/>
      <c r="G1034" s="1804"/>
      <c r="H1034" s="1183"/>
      <c r="I1034" s="1804"/>
      <c r="J1034" s="1804"/>
      <c r="K1034" s="29">
        <f t="shared" si="752"/>
        <v>1</v>
      </c>
      <c r="L1034" s="485">
        <f>Infrastructure!D54</f>
        <v>0</v>
      </c>
      <c r="M1034" s="34">
        <f t="shared" si="753"/>
        <v>0</v>
      </c>
      <c r="N1034" s="34">
        <f t="shared" si="754"/>
        <v>0</v>
      </c>
      <c r="O1034" s="34">
        <f t="shared" si="755"/>
        <v>0</v>
      </c>
      <c r="P1034" s="34">
        <f t="shared" si="756"/>
        <v>0</v>
      </c>
      <c r="Q1034" s="34">
        <f t="shared" si="757"/>
        <v>0</v>
      </c>
      <c r="R1034" s="31">
        <f>IF(Input!D$298=AH1034,Input!D$297,0)</f>
        <v>0</v>
      </c>
      <c r="S1034" s="36">
        <f t="shared" ref="S1034:S1047" si="775">AM1034</f>
        <v>0</v>
      </c>
      <c r="T1034" s="1814"/>
      <c r="U1034" s="1814"/>
      <c r="V1034" s="1814"/>
      <c r="W1034" s="1817"/>
      <c r="X1034" s="1814"/>
      <c r="Y1034" s="1801"/>
      <c r="Z1034" s="1801"/>
      <c r="AA1034" s="1801"/>
      <c r="AB1034" s="1801"/>
      <c r="AC1034" s="1801"/>
      <c r="AD1034" s="1801"/>
      <c r="AE1034" s="1801"/>
      <c r="AF1034" s="1814"/>
      <c r="AG1034" s="376">
        <f t="shared" si="769"/>
        <v>0</v>
      </c>
      <c r="AH1034" s="376">
        <v>45</v>
      </c>
      <c r="AI1034" s="1151">
        <f t="shared" si="774"/>
        <v>0</v>
      </c>
      <c r="AJ1034" s="1151">
        <f t="shared" si="770"/>
        <v>0</v>
      </c>
      <c r="AK1034" s="1151">
        <f t="shared" si="771"/>
        <v>0</v>
      </c>
      <c r="AL1034" s="1151">
        <f t="shared" si="772"/>
        <v>0</v>
      </c>
      <c r="AM1034" s="1151">
        <f t="shared" si="773"/>
        <v>0</v>
      </c>
      <c r="AN1034" s="376"/>
      <c r="AO1034" s="1178">
        <v>45</v>
      </c>
      <c r="AP1034" s="485">
        <f>Infrastructure!D54</f>
        <v>0</v>
      </c>
      <c r="AQ1034" s="763">
        <f t="shared" si="759"/>
        <v>0</v>
      </c>
      <c r="AR1034" s="763">
        <f t="shared" si="760"/>
        <v>0</v>
      </c>
      <c r="AS1034" s="763">
        <f t="shared" si="749"/>
        <v>0</v>
      </c>
      <c r="AT1034" s="170">
        <f>IF(AR1034&gt;0,SUM(AS$990:AS1034),0)</f>
        <v>0</v>
      </c>
      <c r="AU1034" s="1144"/>
      <c r="AV1034" s="376"/>
      <c r="AW1034" s="376"/>
      <c r="AX1034" s="1815">
        <f t="shared" si="766"/>
        <v>0</v>
      </c>
      <c r="AY1034" s="763">
        <f t="shared" si="761"/>
        <v>0</v>
      </c>
      <c r="AZ1034" s="763">
        <f t="shared" si="762"/>
        <v>0</v>
      </c>
      <c r="BA1034" s="763">
        <f t="shared" si="750"/>
        <v>0</v>
      </c>
      <c r="BB1034" s="170">
        <f>IF(AZ1034&gt;0,SUM(BA$990:BA1034),0)</f>
        <v>0</v>
      </c>
      <c r="BC1034" s="763">
        <f t="shared" si="767"/>
        <v>0</v>
      </c>
      <c r="BD1034" s="376"/>
      <c r="BE1034" s="1815">
        <f t="shared" si="763"/>
        <v>0</v>
      </c>
      <c r="BF1034" s="763">
        <f t="shared" si="764"/>
        <v>0</v>
      </c>
      <c r="BG1034" s="763">
        <f t="shared" si="765"/>
        <v>0</v>
      </c>
      <c r="BH1034" s="763">
        <f t="shared" si="751"/>
        <v>0</v>
      </c>
      <c r="BI1034" s="170">
        <f>IF(BG1034&gt;0,SUM(BH$990:BH1034),0)</f>
        <v>0</v>
      </c>
      <c r="BJ1034" s="1151">
        <f t="shared" si="768"/>
        <v>0</v>
      </c>
      <c r="BK1034" s="376"/>
      <c r="BL1034" s="376"/>
      <c r="BM1034" s="376"/>
      <c r="BN1034" s="376"/>
      <c r="BO1034" s="376"/>
      <c r="BP1034" s="376"/>
      <c r="BQ1034" s="376"/>
      <c r="BR1034" s="376"/>
      <c r="BS1034" s="376"/>
      <c r="BT1034" s="376"/>
      <c r="BU1034" s="376"/>
      <c r="BV1034" s="376"/>
      <c r="BW1034" s="376"/>
      <c r="BX1034" s="376"/>
      <c r="BY1034" s="376"/>
      <c r="BZ1034" s="376"/>
      <c r="CA1034" s="376"/>
      <c r="CB1034" s="376"/>
      <c r="CC1034" s="376"/>
      <c r="CD1034" s="376"/>
      <c r="CE1034" s="376"/>
      <c r="CF1034" s="376"/>
      <c r="CG1034" s="376"/>
      <c r="CH1034" s="376"/>
      <c r="CI1034" s="376"/>
      <c r="CJ1034" s="376"/>
      <c r="CK1034" s="376"/>
      <c r="CL1034" s="376"/>
      <c r="CM1034" s="376"/>
      <c r="CN1034" s="376"/>
      <c r="CO1034" s="1183"/>
      <c r="CP1034" s="1183"/>
      <c r="CQ1034" s="1183"/>
      <c r="CR1034" s="1183"/>
      <c r="CS1034" s="1183"/>
      <c r="CT1034" s="1183"/>
      <c r="CU1034" s="1183"/>
      <c r="CV1034" s="1183"/>
      <c r="CW1034" s="1183"/>
      <c r="CX1034" s="1183"/>
      <c r="CY1034" s="1183"/>
      <c r="CZ1034" s="1183"/>
      <c r="DA1034" s="1183"/>
      <c r="DB1034" s="1183"/>
      <c r="DC1034" s="1183"/>
      <c r="DD1034" s="1183"/>
      <c r="DE1034" s="1183"/>
      <c r="DF1034" s="1183"/>
      <c r="DG1034" s="1183"/>
      <c r="DH1034" s="1183"/>
      <c r="DI1034" s="1183"/>
      <c r="DJ1034" s="1183"/>
      <c r="DK1034" s="1183"/>
      <c r="DL1034" s="1183"/>
      <c r="DM1034" s="1183"/>
      <c r="DN1034" s="1183"/>
      <c r="DO1034" s="1183"/>
      <c r="DP1034" s="1183"/>
      <c r="DQ1034" s="1183"/>
    </row>
    <row r="1035" spans="1:121" s="12" customFormat="1" ht="12" customHeight="1" x14ac:dyDescent="0.3">
      <c r="A1035" s="84"/>
      <c r="B1035" s="13"/>
      <c r="C1035" s="13"/>
      <c r="D1035" s="13"/>
      <c r="E1035" s="13"/>
      <c r="F1035" s="13"/>
      <c r="G1035" s="1804"/>
      <c r="H1035" s="1183"/>
      <c r="I1035" s="1804"/>
      <c r="J1035" s="1804"/>
      <c r="K1035" s="29">
        <f t="shared" si="752"/>
        <v>1</v>
      </c>
      <c r="L1035" s="485">
        <f>Infrastructure!D55</f>
        <v>0</v>
      </c>
      <c r="M1035" s="34">
        <f t="shared" si="753"/>
        <v>0</v>
      </c>
      <c r="N1035" s="34">
        <f t="shared" si="754"/>
        <v>0</v>
      </c>
      <c r="O1035" s="34">
        <f t="shared" si="755"/>
        <v>0</v>
      </c>
      <c r="P1035" s="34">
        <f t="shared" si="756"/>
        <v>0</v>
      </c>
      <c r="Q1035" s="34">
        <f t="shared" si="757"/>
        <v>0</v>
      </c>
      <c r="R1035" s="31">
        <f>IF(Input!D$298=AH1035,Input!D$297,0)</f>
        <v>0</v>
      </c>
      <c r="S1035" s="36">
        <f t="shared" si="775"/>
        <v>0</v>
      </c>
      <c r="T1035" s="1814"/>
      <c r="U1035" s="1814"/>
      <c r="V1035" s="1814"/>
      <c r="W1035" s="1817"/>
      <c r="X1035" s="1814"/>
      <c r="Y1035" s="1801"/>
      <c r="Z1035" s="1801"/>
      <c r="AA1035" s="1801"/>
      <c r="AB1035" s="1801"/>
      <c r="AC1035" s="1801"/>
      <c r="AD1035" s="1801"/>
      <c r="AE1035" s="1801"/>
      <c r="AF1035" s="1814"/>
      <c r="AG1035" s="376">
        <f t="shared" si="769"/>
        <v>0</v>
      </c>
      <c r="AH1035" s="376">
        <v>46</v>
      </c>
      <c r="AI1035" s="1151">
        <f t="shared" si="774"/>
        <v>0</v>
      </c>
      <c r="AJ1035" s="1151">
        <f t="shared" si="770"/>
        <v>0</v>
      </c>
      <c r="AK1035" s="1151">
        <f t="shared" si="771"/>
        <v>0</v>
      </c>
      <c r="AL1035" s="1151">
        <f t="shared" si="772"/>
        <v>0</v>
      </c>
      <c r="AM1035" s="1151">
        <f t="shared" si="773"/>
        <v>0</v>
      </c>
      <c r="AN1035" s="376"/>
      <c r="AO1035" s="1178">
        <v>46</v>
      </c>
      <c r="AP1035" s="485">
        <f>Infrastructure!D55</f>
        <v>0</v>
      </c>
      <c r="AQ1035" s="763">
        <f t="shared" si="759"/>
        <v>0</v>
      </c>
      <c r="AR1035" s="763">
        <f t="shared" si="760"/>
        <v>0</v>
      </c>
      <c r="AS1035" s="763">
        <f t="shared" si="749"/>
        <v>0</v>
      </c>
      <c r="AT1035" s="170">
        <f>IF(AR1035&gt;0,SUM(AS$990:AS1035),0)</f>
        <v>0</v>
      </c>
      <c r="AU1035" s="1144"/>
      <c r="AV1035" s="376"/>
      <c r="AW1035" s="376"/>
      <c r="AX1035" s="1815">
        <f t="shared" si="766"/>
        <v>0</v>
      </c>
      <c r="AY1035" s="763">
        <f t="shared" si="761"/>
        <v>0</v>
      </c>
      <c r="AZ1035" s="763">
        <f t="shared" si="762"/>
        <v>0</v>
      </c>
      <c r="BA1035" s="763">
        <f t="shared" si="750"/>
        <v>0</v>
      </c>
      <c r="BB1035" s="170">
        <f>IF(AZ1035&gt;0,SUM(BA$990:BA1035),0)</f>
        <v>0</v>
      </c>
      <c r="BC1035" s="1151">
        <f t="shared" si="767"/>
        <v>0</v>
      </c>
      <c r="BD1035" s="376"/>
      <c r="BE1035" s="1815">
        <f t="shared" si="763"/>
        <v>0</v>
      </c>
      <c r="BF1035" s="763">
        <f t="shared" si="764"/>
        <v>0</v>
      </c>
      <c r="BG1035" s="763">
        <f t="shared" si="765"/>
        <v>0</v>
      </c>
      <c r="BH1035" s="763">
        <f t="shared" si="751"/>
        <v>0</v>
      </c>
      <c r="BI1035" s="170">
        <f>IF(BG1035&gt;0,SUM(BH$990:BH1035),0)</f>
        <v>0</v>
      </c>
      <c r="BJ1035" s="1151">
        <f t="shared" si="768"/>
        <v>0</v>
      </c>
      <c r="BK1035" s="376"/>
      <c r="BL1035" s="376"/>
      <c r="BM1035" s="376"/>
      <c r="BN1035" s="376"/>
      <c r="BO1035" s="376"/>
      <c r="BP1035" s="376"/>
      <c r="BQ1035" s="376"/>
      <c r="BR1035" s="376"/>
      <c r="BS1035" s="376"/>
      <c r="BT1035" s="376"/>
      <c r="BU1035" s="376"/>
      <c r="BV1035" s="376"/>
      <c r="BW1035" s="376"/>
      <c r="BX1035" s="376"/>
      <c r="BY1035" s="376"/>
      <c r="BZ1035" s="376"/>
      <c r="CA1035" s="376"/>
      <c r="CB1035" s="376"/>
      <c r="CC1035" s="376"/>
      <c r="CD1035" s="376"/>
      <c r="CE1035" s="376"/>
      <c r="CF1035" s="376"/>
      <c r="CG1035" s="376"/>
      <c r="CH1035" s="376"/>
      <c r="CI1035" s="376"/>
      <c r="CJ1035" s="376"/>
      <c r="CK1035" s="376"/>
      <c r="CL1035" s="376"/>
      <c r="CM1035" s="376"/>
      <c r="CN1035" s="376"/>
      <c r="CO1035" s="1183"/>
      <c r="CP1035" s="1183"/>
      <c r="CQ1035" s="1183"/>
      <c r="CR1035" s="1183"/>
      <c r="CS1035" s="1183"/>
      <c r="CT1035" s="1183"/>
      <c r="CU1035" s="1183"/>
      <c r="CV1035" s="1183"/>
      <c r="CW1035" s="1183"/>
      <c r="CX1035" s="1183"/>
      <c r="CY1035" s="1183"/>
      <c r="CZ1035" s="1183"/>
      <c r="DA1035" s="1183"/>
      <c r="DB1035" s="1183"/>
      <c r="DC1035" s="1183"/>
      <c r="DD1035" s="1183"/>
      <c r="DE1035" s="1183"/>
      <c r="DF1035" s="1183"/>
      <c r="DG1035" s="1183"/>
      <c r="DH1035" s="1183"/>
      <c r="DI1035" s="1183"/>
      <c r="DJ1035" s="1183"/>
      <c r="DK1035" s="1183"/>
      <c r="DL1035" s="1183"/>
      <c r="DM1035" s="1183"/>
      <c r="DN1035" s="1183"/>
      <c r="DO1035" s="1183"/>
      <c r="DP1035" s="1183"/>
      <c r="DQ1035" s="1183"/>
    </row>
    <row r="1036" spans="1:121" s="12" customFormat="1" ht="12" customHeight="1" x14ac:dyDescent="0.3">
      <c r="A1036" s="84"/>
      <c r="B1036" s="13"/>
      <c r="C1036" s="13"/>
      <c r="D1036" s="13"/>
      <c r="E1036" s="13"/>
      <c r="F1036" s="13"/>
      <c r="G1036" s="1804"/>
      <c r="H1036" s="1183"/>
      <c r="I1036" s="1804"/>
      <c r="J1036" s="1804"/>
      <c r="K1036" s="29">
        <f t="shared" si="752"/>
        <v>1</v>
      </c>
      <c r="L1036" s="485">
        <f>Infrastructure!D56</f>
        <v>0</v>
      </c>
      <c r="M1036" s="34">
        <f t="shared" si="753"/>
        <v>0</v>
      </c>
      <c r="N1036" s="34">
        <f t="shared" si="754"/>
        <v>0</v>
      </c>
      <c r="O1036" s="34">
        <f t="shared" si="755"/>
        <v>0</v>
      </c>
      <c r="P1036" s="34">
        <f t="shared" si="756"/>
        <v>0</v>
      </c>
      <c r="Q1036" s="34">
        <f t="shared" si="757"/>
        <v>0</v>
      </c>
      <c r="R1036" s="31">
        <f>IF(Input!D$298=AH1036,Input!D$297,0)</f>
        <v>0</v>
      </c>
      <c r="S1036" s="36">
        <f t="shared" si="775"/>
        <v>0</v>
      </c>
      <c r="T1036" s="1814"/>
      <c r="U1036" s="1814"/>
      <c r="V1036" s="1814"/>
      <c r="W1036" s="1817"/>
      <c r="X1036" s="1814"/>
      <c r="Y1036" s="1801"/>
      <c r="Z1036" s="1801"/>
      <c r="AA1036" s="1801"/>
      <c r="AB1036" s="1801"/>
      <c r="AC1036" s="1801"/>
      <c r="AD1036" s="1801"/>
      <c r="AE1036" s="1801"/>
      <c r="AF1036" s="1814"/>
      <c r="AG1036" s="376">
        <f t="shared" si="769"/>
        <v>0</v>
      </c>
      <c r="AH1036" s="376">
        <v>47</v>
      </c>
      <c r="AI1036" s="1151">
        <f t="shared" si="774"/>
        <v>0</v>
      </c>
      <c r="AJ1036" s="1151">
        <f t="shared" si="770"/>
        <v>0</v>
      </c>
      <c r="AK1036" s="1151">
        <f t="shared" si="771"/>
        <v>0</v>
      </c>
      <c r="AL1036" s="1151">
        <f t="shared" si="772"/>
        <v>0</v>
      </c>
      <c r="AM1036" s="1151">
        <f t="shared" si="773"/>
        <v>0</v>
      </c>
      <c r="AN1036" s="376"/>
      <c r="AO1036" s="1178">
        <v>47</v>
      </c>
      <c r="AP1036" s="485">
        <f>Infrastructure!D56</f>
        <v>0</v>
      </c>
      <c r="AQ1036" s="763">
        <f t="shared" si="759"/>
        <v>0</v>
      </c>
      <c r="AR1036" s="763">
        <f t="shared" si="760"/>
        <v>0</v>
      </c>
      <c r="AS1036" s="763">
        <f t="shared" si="749"/>
        <v>0</v>
      </c>
      <c r="AT1036" s="170">
        <f>IF(AR1036&gt;0,SUM(AS$990:AS1036),0)</f>
        <v>0</v>
      </c>
      <c r="AU1036" s="1144"/>
      <c r="AV1036" s="376"/>
      <c r="AW1036" s="376"/>
      <c r="AX1036" s="1815">
        <f t="shared" si="766"/>
        <v>0</v>
      </c>
      <c r="AY1036" s="763">
        <f t="shared" si="761"/>
        <v>0</v>
      </c>
      <c r="AZ1036" s="763">
        <f t="shared" si="762"/>
        <v>0</v>
      </c>
      <c r="BA1036" s="763">
        <f t="shared" si="750"/>
        <v>0</v>
      </c>
      <c r="BB1036" s="170">
        <f>IF(AZ1036&gt;0,SUM(BA$990:BA1036),0)</f>
        <v>0</v>
      </c>
      <c r="BC1036" s="1151">
        <f t="shared" si="767"/>
        <v>0</v>
      </c>
      <c r="BD1036" s="376"/>
      <c r="BE1036" s="1815">
        <f t="shared" si="763"/>
        <v>0</v>
      </c>
      <c r="BF1036" s="763">
        <f t="shared" si="764"/>
        <v>0</v>
      </c>
      <c r="BG1036" s="763">
        <f t="shared" si="765"/>
        <v>0</v>
      </c>
      <c r="BH1036" s="763">
        <f t="shared" si="751"/>
        <v>0</v>
      </c>
      <c r="BI1036" s="170">
        <f>IF(BG1036&gt;0,SUM(BH$990:BH1036),0)</f>
        <v>0</v>
      </c>
      <c r="BJ1036" s="1151">
        <f t="shared" si="768"/>
        <v>0</v>
      </c>
      <c r="BK1036" s="376"/>
      <c r="BL1036" s="376"/>
      <c r="BM1036" s="376"/>
      <c r="BN1036" s="376"/>
      <c r="BO1036" s="376"/>
      <c r="BP1036" s="376"/>
      <c r="BQ1036" s="376"/>
      <c r="BR1036" s="376"/>
      <c r="BS1036" s="376"/>
      <c r="BT1036" s="376"/>
      <c r="BU1036" s="376"/>
      <c r="BV1036" s="376"/>
      <c r="BW1036" s="376"/>
      <c r="BX1036" s="376"/>
      <c r="BY1036" s="376"/>
      <c r="BZ1036" s="376"/>
      <c r="CA1036" s="376"/>
      <c r="CB1036" s="376"/>
      <c r="CC1036" s="376"/>
      <c r="CD1036" s="376"/>
      <c r="CE1036" s="376"/>
      <c r="CF1036" s="376"/>
      <c r="CG1036" s="376"/>
      <c r="CH1036" s="376"/>
      <c r="CI1036" s="376"/>
      <c r="CJ1036" s="376"/>
      <c r="CK1036" s="376"/>
      <c r="CL1036" s="376"/>
      <c r="CM1036" s="376"/>
      <c r="CN1036" s="376"/>
      <c r="CO1036" s="1183"/>
      <c r="CP1036" s="1183"/>
      <c r="CQ1036" s="1183"/>
      <c r="CR1036" s="1183"/>
      <c r="CS1036" s="1183"/>
      <c r="CT1036" s="1183"/>
      <c r="CU1036" s="1183"/>
      <c r="CV1036" s="1183"/>
      <c r="CW1036" s="1183"/>
      <c r="CX1036" s="1183"/>
      <c r="CY1036" s="1183"/>
      <c r="CZ1036" s="1183"/>
      <c r="DA1036" s="1183"/>
      <c r="DB1036" s="1183"/>
      <c r="DC1036" s="1183"/>
      <c r="DD1036" s="1183"/>
      <c r="DE1036" s="1183"/>
      <c r="DF1036" s="1183"/>
      <c r="DG1036" s="1183"/>
      <c r="DH1036" s="1183"/>
      <c r="DI1036" s="1183"/>
      <c r="DJ1036" s="1183"/>
      <c r="DK1036" s="1183"/>
      <c r="DL1036" s="1183"/>
      <c r="DM1036" s="1183"/>
      <c r="DN1036" s="1183"/>
      <c r="DO1036" s="1183"/>
      <c r="DP1036" s="1183"/>
      <c r="DQ1036" s="1183"/>
    </row>
    <row r="1037" spans="1:121" s="12" customFormat="1" ht="12" customHeight="1" x14ac:dyDescent="0.3">
      <c r="A1037" s="84"/>
      <c r="B1037" s="13"/>
      <c r="C1037" s="13"/>
      <c r="D1037" s="13"/>
      <c r="E1037" s="13"/>
      <c r="F1037" s="13"/>
      <c r="G1037" s="1804"/>
      <c r="H1037" s="1183"/>
      <c r="I1037" s="1804"/>
      <c r="J1037" s="1804"/>
      <c r="K1037" s="29">
        <f t="shared" si="752"/>
        <v>1</v>
      </c>
      <c r="L1037" s="485">
        <f>Infrastructure!D57</f>
        <v>0</v>
      </c>
      <c r="M1037" s="34">
        <f t="shared" si="753"/>
        <v>0</v>
      </c>
      <c r="N1037" s="34">
        <f t="shared" si="754"/>
        <v>0</v>
      </c>
      <c r="O1037" s="34">
        <f t="shared" si="755"/>
        <v>0</v>
      </c>
      <c r="P1037" s="34">
        <f t="shared" si="756"/>
        <v>0</v>
      </c>
      <c r="Q1037" s="34">
        <f t="shared" si="757"/>
        <v>0</v>
      </c>
      <c r="R1037" s="31">
        <f>IF(Input!D$298=AH1037,Input!D$297,0)</f>
        <v>0</v>
      </c>
      <c r="S1037" s="36">
        <f t="shared" si="775"/>
        <v>0</v>
      </c>
      <c r="T1037" s="1814"/>
      <c r="U1037" s="1814"/>
      <c r="V1037" s="1814"/>
      <c r="W1037" s="1817"/>
      <c r="X1037" s="1814"/>
      <c r="Y1037" s="1801"/>
      <c r="Z1037" s="1801"/>
      <c r="AA1037" s="1801"/>
      <c r="AB1037" s="1801"/>
      <c r="AC1037" s="1801"/>
      <c r="AD1037" s="1801"/>
      <c r="AE1037" s="1801"/>
      <c r="AF1037" s="1814"/>
      <c r="AG1037" s="376">
        <f t="shared" si="769"/>
        <v>0</v>
      </c>
      <c r="AH1037" s="376">
        <v>48</v>
      </c>
      <c r="AI1037" s="1151">
        <f t="shared" si="774"/>
        <v>0</v>
      </c>
      <c r="AJ1037" s="1151">
        <f t="shared" si="770"/>
        <v>0</v>
      </c>
      <c r="AK1037" s="1151">
        <f t="shared" si="771"/>
        <v>0</v>
      </c>
      <c r="AL1037" s="1151">
        <f t="shared" si="772"/>
        <v>0</v>
      </c>
      <c r="AM1037" s="1151">
        <f t="shared" si="773"/>
        <v>0</v>
      </c>
      <c r="AN1037" s="376"/>
      <c r="AO1037" s="1178">
        <v>48</v>
      </c>
      <c r="AP1037" s="485">
        <f>Infrastructure!D57</f>
        <v>0</v>
      </c>
      <c r="AQ1037" s="763">
        <f t="shared" si="759"/>
        <v>0</v>
      </c>
      <c r="AR1037" s="763">
        <f t="shared" si="760"/>
        <v>0</v>
      </c>
      <c r="AS1037" s="763">
        <f t="shared" si="749"/>
        <v>0</v>
      </c>
      <c r="AT1037" s="170">
        <f>IF(AR1037&gt;0,SUM(AS$990:AS1037),0)</f>
        <v>0</v>
      </c>
      <c r="AU1037" s="1144"/>
      <c r="AV1037" s="376"/>
      <c r="AW1037" s="376"/>
      <c r="AX1037" s="1815">
        <f t="shared" si="766"/>
        <v>0</v>
      </c>
      <c r="AY1037" s="763">
        <f t="shared" si="761"/>
        <v>0</v>
      </c>
      <c r="AZ1037" s="763">
        <f t="shared" si="762"/>
        <v>0</v>
      </c>
      <c r="BA1037" s="763">
        <f t="shared" si="750"/>
        <v>0</v>
      </c>
      <c r="BB1037" s="170">
        <f>IF(AZ1037&gt;0,SUM(BA$990:BA1037),0)</f>
        <v>0</v>
      </c>
      <c r="BC1037" s="1151">
        <f t="shared" si="767"/>
        <v>0</v>
      </c>
      <c r="BD1037" s="376"/>
      <c r="BE1037" s="1815">
        <f t="shared" si="763"/>
        <v>0</v>
      </c>
      <c r="BF1037" s="763">
        <f t="shared" si="764"/>
        <v>0</v>
      </c>
      <c r="BG1037" s="763">
        <f t="shared" si="765"/>
        <v>0</v>
      </c>
      <c r="BH1037" s="763">
        <f t="shared" si="751"/>
        <v>0</v>
      </c>
      <c r="BI1037" s="170">
        <f>IF(BG1037&gt;0,SUM(BH$990:BH1037),0)</f>
        <v>0</v>
      </c>
      <c r="BJ1037" s="1151">
        <f t="shared" si="768"/>
        <v>0</v>
      </c>
      <c r="BK1037" s="376"/>
      <c r="BL1037" s="376"/>
      <c r="BM1037" s="376"/>
      <c r="BN1037" s="376"/>
      <c r="BO1037" s="376"/>
      <c r="BP1037" s="376"/>
      <c r="BQ1037" s="376"/>
      <c r="BR1037" s="376"/>
      <c r="BS1037" s="376"/>
      <c r="BT1037" s="376"/>
      <c r="BU1037" s="376"/>
      <c r="BV1037" s="376"/>
      <c r="BW1037" s="376"/>
      <c r="BX1037" s="376"/>
      <c r="BY1037" s="376"/>
      <c r="BZ1037" s="376"/>
      <c r="CA1037" s="376"/>
      <c r="CB1037" s="376"/>
      <c r="CC1037" s="376"/>
      <c r="CD1037" s="376"/>
      <c r="CE1037" s="376"/>
      <c r="CF1037" s="376"/>
      <c r="CG1037" s="376"/>
      <c r="CH1037" s="376"/>
      <c r="CI1037" s="376"/>
      <c r="CJ1037" s="376"/>
      <c r="CK1037" s="376"/>
      <c r="CL1037" s="376"/>
      <c r="CM1037" s="376"/>
      <c r="CN1037" s="376"/>
      <c r="CO1037" s="1183"/>
      <c r="CP1037" s="1183"/>
      <c r="CQ1037" s="1183"/>
      <c r="CR1037" s="1183"/>
      <c r="CS1037" s="1183"/>
      <c r="CT1037" s="1183"/>
      <c r="CU1037" s="1183"/>
      <c r="CV1037" s="1183"/>
      <c r="CW1037" s="1183"/>
      <c r="CX1037" s="1183"/>
      <c r="CY1037" s="1183"/>
      <c r="CZ1037" s="1183"/>
      <c r="DA1037" s="1183"/>
      <c r="DB1037" s="1183"/>
      <c r="DC1037" s="1183"/>
      <c r="DD1037" s="1183"/>
      <c r="DE1037" s="1183"/>
      <c r="DF1037" s="1183"/>
      <c r="DG1037" s="1183"/>
      <c r="DH1037" s="1183"/>
      <c r="DI1037" s="1183"/>
      <c r="DJ1037" s="1183"/>
      <c r="DK1037" s="1183"/>
      <c r="DL1037" s="1183"/>
      <c r="DM1037" s="1183"/>
      <c r="DN1037" s="1183"/>
      <c r="DO1037" s="1183"/>
      <c r="DP1037" s="1183"/>
      <c r="DQ1037" s="1183"/>
    </row>
    <row r="1038" spans="1:121" ht="12" customHeight="1" x14ac:dyDescent="0.35">
      <c r="G1038" s="1300"/>
      <c r="H1038" s="1301"/>
      <c r="I1038" s="1300"/>
      <c r="J1038" s="1300"/>
      <c r="K1038" s="29">
        <f t="shared" si="752"/>
        <v>1</v>
      </c>
      <c r="L1038" s="485">
        <f>Infrastructure!D58</f>
        <v>0</v>
      </c>
      <c r="M1038" s="34">
        <f t="shared" si="753"/>
        <v>0</v>
      </c>
      <c r="N1038" s="34">
        <f t="shared" si="754"/>
        <v>0</v>
      </c>
      <c r="O1038" s="34">
        <f t="shared" si="755"/>
        <v>0</v>
      </c>
      <c r="P1038" s="34">
        <f t="shared" si="756"/>
        <v>0</v>
      </c>
      <c r="Q1038" s="34">
        <f t="shared" si="757"/>
        <v>0</v>
      </c>
      <c r="R1038" s="31">
        <f>IF(Input!D$298=AH1038,Input!D$297,0)</f>
        <v>0</v>
      </c>
      <c r="S1038" s="36">
        <f t="shared" si="775"/>
        <v>0</v>
      </c>
      <c r="T1038" s="1818"/>
      <c r="U1038" s="1814"/>
      <c r="V1038" s="1814"/>
      <c r="W1038" s="1817"/>
      <c r="X1038" s="1814"/>
      <c r="Y1038" s="1801"/>
      <c r="Z1038" s="1801"/>
      <c r="AA1038" s="1801"/>
      <c r="AB1038" s="1801"/>
      <c r="AC1038" s="1801"/>
      <c r="AD1038" s="1801"/>
      <c r="AE1038" s="1801"/>
      <c r="AF1038" s="1814"/>
      <c r="AG1038" s="376">
        <f t="shared" si="769"/>
        <v>0</v>
      </c>
      <c r="AH1038" s="376">
        <v>49</v>
      </c>
      <c r="AI1038" s="1151">
        <f t="shared" si="774"/>
        <v>0</v>
      </c>
      <c r="AJ1038" s="1151">
        <f t="shared" si="770"/>
        <v>0</v>
      </c>
      <c r="AK1038" s="1151">
        <f t="shared" si="771"/>
        <v>0</v>
      </c>
      <c r="AL1038" s="1151">
        <f t="shared" si="772"/>
        <v>0</v>
      </c>
      <c r="AM1038" s="1151">
        <f t="shared" si="773"/>
        <v>0</v>
      </c>
      <c r="AN1038" s="376"/>
      <c r="AO1038" s="1178">
        <v>49</v>
      </c>
      <c r="AP1038" s="485">
        <f>Infrastructure!D58</f>
        <v>0</v>
      </c>
      <c r="AQ1038" s="763">
        <f t="shared" si="759"/>
        <v>0</v>
      </c>
      <c r="AR1038" s="763">
        <f t="shared" si="760"/>
        <v>0</v>
      </c>
      <c r="AS1038" s="763">
        <f t="shared" si="749"/>
        <v>0</v>
      </c>
      <c r="AT1038" s="170">
        <f>IF(AR1038&gt;0,SUM(AS$990:AS1038),0)</f>
        <v>0</v>
      </c>
      <c r="AU1038" s="1144"/>
      <c r="AV1038" s="376"/>
      <c r="AW1038" s="376"/>
      <c r="AX1038" s="1815">
        <f t="shared" si="766"/>
        <v>0</v>
      </c>
      <c r="AY1038" s="763">
        <f t="shared" si="761"/>
        <v>0</v>
      </c>
      <c r="AZ1038" s="763">
        <f t="shared" si="762"/>
        <v>0</v>
      </c>
      <c r="BA1038" s="763">
        <f t="shared" si="750"/>
        <v>0</v>
      </c>
      <c r="BB1038" s="170">
        <f>IF(AZ1038&gt;0,SUM(BA$990:BA1038),0)</f>
        <v>0</v>
      </c>
      <c r="BC1038" s="1151">
        <f t="shared" si="767"/>
        <v>0</v>
      </c>
      <c r="BD1038" s="376"/>
      <c r="BE1038" s="1815">
        <f t="shared" si="763"/>
        <v>0</v>
      </c>
      <c r="BF1038" s="763">
        <f t="shared" si="764"/>
        <v>0</v>
      </c>
      <c r="BG1038" s="763">
        <f t="shared" si="765"/>
        <v>0</v>
      </c>
      <c r="BH1038" s="763">
        <f t="shared" si="751"/>
        <v>0</v>
      </c>
      <c r="BI1038" s="170">
        <f>IF(BG1038&gt;0,SUM(BH$990:BH1038),0)</f>
        <v>0</v>
      </c>
      <c r="BJ1038" s="1151">
        <f t="shared" si="768"/>
        <v>0</v>
      </c>
      <c r="BK1038" s="376"/>
      <c r="BL1038" s="376"/>
      <c r="BM1038" s="376"/>
      <c r="BN1038" s="376"/>
      <c r="BO1038" s="376"/>
      <c r="BP1038" s="376"/>
      <c r="BQ1038" s="376"/>
      <c r="BR1038" s="376"/>
      <c r="BS1038" s="376"/>
      <c r="BT1038" s="376"/>
      <c r="BU1038" s="376"/>
      <c r="BV1038" s="376"/>
      <c r="BW1038" s="376"/>
      <c r="BX1038" s="376"/>
      <c r="BY1038" s="376"/>
      <c r="BZ1038" s="376"/>
      <c r="CA1038" s="376"/>
      <c r="CB1038" s="376"/>
      <c r="CC1038" s="376"/>
      <c r="CD1038" s="376"/>
      <c r="CE1038" s="376"/>
      <c r="CF1038" s="376"/>
      <c r="CG1038" s="376"/>
      <c r="CH1038" s="376"/>
      <c r="CI1038" s="376"/>
      <c r="CJ1038" s="376"/>
      <c r="CK1038" s="376"/>
      <c r="CL1038" s="376"/>
      <c r="CM1038" s="376"/>
      <c r="CN1038" s="376"/>
      <c r="CO1038" s="1183"/>
      <c r="CP1038" s="1183"/>
      <c r="CQ1038" s="1301"/>
      <c r="CR1038" s="1301"/>
      <c r="CS1038" s="1301"/>
      <c r="CT1038" s="1301"/>
      <c r="CU1038" s="1301"/>
      <c r="CV1038" s="1301"/>
      <c r="CW1038" s="1301"/>
      <c r="CX1038" s="1301"/>
      <c r="CY1038" s="1301"/>
      <c r="CZ1038" s="1301"/>
      <c r="DA1038" s="1301"/>
      <c r="DB1038" s="1301"/>
      <c r="DC1038" s="1301"/>
      <c r="DD1038" s="1301"/>
      <c r="DE1038" s="1301"/>
      <c r="DF1038" s="1301"/>
      <c r="DG1038" s="1301"/>
      <c r="DH1038" s="1301"/>
      <c r="DI1038" s="1301"/>
      <c r="DJ1038" s="1301"/>
      <c r="DK1038" s="1301"/>
      <c r="DL1038" s="1301"/>
      <c r="DM1038" s="1301"/>
      <c r="DN1038" s="1301"/>
      <c r="DO1038" s="1301"/>
      <c r="DP1038" s="1301"/>
      <c r="DQ1038" s="1301"/>
    </row>
    <row r="1039" spans="1:121" ht="12" customHeight="1" x14ac:dyDescent="0.35">
      <c r="G1039" s="1300"/>
      <c r="H1039" s="1301"/>
      <c r="I1039" s="1300"/>
      <c r="J1039" s="1300"/>
      <c r="K1039" s="29">
        <f t="shared" si="752"/>
        <v>1</v>
      </c>
      <c r="L1039" s="485">
        <f>Infrastructure!D59</f>
        <v>0</v>
      </c>
      <c r="M1039" s="34">
        <f t="shared" si="753"/>
        <v>0</v>
      </c>
      <c r="N1039" s="34">
        <f t="shared" si="754"/>
        <v>0</v>
      </c>
      <c r="O1039" s="34">
        <f t="shared" si="755"/>
        <v>0</v>
      </c>
      <c r="P1039" s="34">
        <f t="shared" si="756"/>
        <v>0</v>
      </c>
      <c r="Q1039" s="34">
        <f t="shared" si="757"/>
        <v>0</v>
      </c>
      <c r="R1039" s="31">
        <f>IF(Input!D$298=AH1039,Input!D$297,0)</f>
        <v>0</v>
      </c>
      <c r="S1039" s="36">
        <f t="shared" si="775"/>
        <v>0</v>
      </c>
      <c r="T1039" s="1818"/>
      <c r="U1039" s="1814"/>
      <c r="V1039" s="1814"/>
      <c r="W1039" s="1817"/>
      <c r="X1039" s="1814"/>
      <c r="Y1039" s="1801"/>
      <c r="Z1039" s="1801"/>
      <c r="AA1039" s="1801"/>
      <c r="AB1039" s="1801"/>
      <c r="AC1039" s="1801"/>
      <c r="AD1039" s="1801"/>
      <c r="AE1039" s="1801"/>
      <c r="AF1039" s="1814"/>
      <c r="AG1039" s="376">
        <f t="shared" si="769"/>
        <v>0</v>
      </c>
      <c r="AH1039" s="376">
        <v>50</v>
      </c>
      <c r="AI1039" s="1151">
        <f t="shared" si="774"/>
        <v>0</v>
      </c>
      <c r="AJ1039" s="1151">
        <f t="shared" si="770"/>
        <v>0</v>
      </c>
      <c r="AK1039" s="1151">
        <f t="shared" si="771"/>
        <v>0</v>
      </c>
      <c r="AL1039" s="1151">
        <f t="shared" si="772"/>
        <v>0</v>
      </c>
      <c r="AM1039" s="1151">
        <f t="shared" si="773"/>
        <v>0</v>
      </c>
      <c r="AN1039" s="376"/>
      <c r="AO1039" s="1178">
        <v>50</v>
      </c>
      <c r="AP1039" s="485">
        <f>Infrastructure!D59</f>
        <v>0</v>
      </c>
      <c r="AQ1039" s="763">
        <f t="shared" si="759"/>
        <v>0</v>
      </c>
      <c r="AR1039" s="763">
        <f t="shared" si="760"/>
        <v>0</v>
      </c>
      <c r="AS1039" s="763">
        <f t="shared" si="749"/>
        <v>0</v>
      </c>
      <c r="AT1039" s="170">
        <f>IF(AR1039&gt;0,SUM(AS$990:AS1039),0)</f>
        <v>0</v>
      </c>
      <c r="AU1039" s="1144"/>
      <c r="AV1039" s="376"/>
      <c r="AW1039" s="376"/>
      <c r="AX1039" s="1815">
        <f t="shared" si="766"/>
        <v>0</v>
      </c>
      <c r="AY1039" s="763">
        <f t="shared" si="761"/>
        <v>0</v>
      </c>
      <c r="AZ1039" s="763">
        <f t="shared" si="762"/>
        <v>0</v>
      </c>
      <c r="BA1039" s="763">
        <f t="shared" si="750"/>
        <v>0</v>
      </c>
      <c r="BB1039" s="170">
        <f>IF(AZ1039&gt;0,SUM(BA$990:BA1039),0)</f>
        <v>0</v>
      </c>
      <c r="BC1039" s="1151">
        <f t="shared" si="767"/>
        <v>0</v>
      </c>
      <c r="BD1039" s="376"/>
      <c r="BE1039" s="1815">
        <f t="shared" si="763"/>
        <v>0</v>
      </c>
      <c r="BF1039" s="763">
        <f t="shared" si="764"/>
        <v>0</v>
      </c>
      <c r="BG1039" s="763">
        <f t="shared" si="765"/>
        <v>0</v>
      </c>
      <c r="BH1039" s="763">
        <f t="shared" si="751"/>
        <v>0</v>
      </c>
      <c r="BI1039" s="170">
        <f>IF(BG1039&gt;0,SUM(BH$990:BH1039),0)</f>
        <v>0</v>
      </c>
      <c r="BJ1039" s="1151">
        <f t="shared" si="768"/>
        <v>0</v>
      </c>
      <c r="BK1039" s="376"/>
      <c r="BL1039" s="376"/>
      <c r="BM1039" s="376"/>
      <c r="BN1039" s="376"/>
      <c r="BO1039" s="376"/>
      <c r="BP1039" s="376"/>
      <c r="BQ1039" s="376"/>
      <c r="BR1039" s="376"/>
      <c r="BS1039" s="376"/>
      <c r="BT1039" s="376"/>
      <c r="BU1039" s="376"/>
      <c r="BV1039" s="376"/>
      <c r="BW1039" s="376"/>
      <c r="BX1039" s="376"/>
      <c r="BY1039" s="376"/>
      <c r="BZ1039" s="376"/>
      <c r="CA1039" s="376"/>
      <c r="CB1039" s="376"/>
      <c r="CC1039" s="376"/>
      <c r="CD1039" s="376"/>
      <c r="CE1039" s="376"/>
      <c r="CF1039" s="376"/>
      <c r="CG1039" s="376"/>
      <c r="CH1039" s="376"/>
      <c r="CI1039" s="376"/>
      <c r="CJ1039" s="376"/>
      <c r="CK1039" s="376"/>
      <c r="CL1039" s="376"/>
      <c r="CM1039" s="376"/>
      <c r="CN1039" s="376"/>
      <c r="CO1039" s="1183"/>
      <c r="CP1039" s="1183"/>
      <c r="CQ1039" s="1301"/>
      <c r="CR1039" s="1301"/>
      <c r="CS1039" s="1301"/>
      <c r="CT1039" s="1301"/>
      <c r="CU1039" s="1301"/>
      <c r="CV1039" s="1301"/>
      <c r="CW1039" s="1301"/>
      <c r="CX1039" s="1301"/>
      <c r="CY1039" s="1301"/>
      <c r="CZ1039" s="1301"/>
      <c r="DA1039" s="1301"/>
      <c r="DB1039" s="1301"/>
      <c r="DC1039" s="1301"/>
      <c r="DD1039" s="1301"/>
      <c r="DE1039" s="1301"/>
      <c r="DF1039" s="1301"/>
      <c r="DG1039" s="1301"/>
      <c r="DH1039" s="1301"/>
      <c r="DI1039" s="1301"/>
      <c r="DJ1039" s="1301"/>
      <c r="DK1039" s="1301"/>
      <c r="DL1039" s="1301"/>
      <c r="DM1039" s="1301"/>
      <c r="DN1039" s="1301"/>
      <c r="DO1039" s="1301"/>
      <c r="DP1039" s="1301"/>
      <c r="DQ1039" s="1301"/>
    </row>
    <row r="1040" spans="1:121" ht="12" customHeight="1" x14ac:dyDescent="0.35">
      <c r="G1040" s="1300"/>
      <c r="H1040" s="1301"/>
      <c r="I1040" s="1300"/>
      <c r="J1040" s="1300"/>
      <c r="K1040" s="29">
        <f t="shared" si="752"/>
        <v>1</v>
      </c>
      <c r="L1040" s="485">
        <f>Infrastructure!D60</f>
        <v>0</v>
      </c>
      <c r="M1040" s="34">
        <f t="shared" si="753"/>
        <v>0</v>
      </c>
      <c r="N1040" s="34">
        <f t="shared" si="754"/>
        <v>0</v>
      </c>
      <c r="O1040" s="34">
        <f t="shared" si="755"/>
        <v>0</v>
      </c>
      <c r="P1040" s="34">
        <f t="shared" si="756"/>
        <v>0</v>
      </c>
      <c r="Q1040" s="34">
        <f t="shared" si="757"/>
        <v>0</v>
      </c>
      <c r="R1040" s="31">
        <f>IF(Input!D$298=AH1040,Input!D$297,0)</f>
        <v>0</v>
      </c>
      <c r="S1040" s="36">
        <f t="shared" si="775"/>
        <v>0</v>
      </c>
      <c r="T1040" s="1818"/>
      <c r="U1040" s="1814"/>
      <c r="V1040" s="1814"/>
      <c r="W1040" s="1817"/>
      <c r="X1040" s="1814"/>
      <c r="Y1040" s="1801"/>
      <c r="Z1040" s="1801"/>
      <c r="AA1040" s="1801"/>
      <c r="AB1040" s="1801"/>
      <c r="AC1040" s="1801"/>
      <c r="AD1040" s="1801"/>
      <c r="AE1040" s="1801"/>
      <c r="AF1040" s="1814"/>
      <c r="AG1040" s="376">
        <f t="shared" si="769"/>
        <v>0</v>
      </c>
      <c r="AH1040" s="376">
        <v>51</v>
      </c>
      <c r="AI1040" s="1151">
        <f t="shared" si="774"/>
        <v>0</v>
      </c>
      <c r="AJ1040" s="1151">
        <f t="shared" si="770"/>
        <v>0</v>
      </c>
      <c r="AK1040" s="1151">
        <f t="shared" si="771"/>
        <v>0</v>
      </c>
      <c r="AL1040" s="1151">
        <f t="shared" si="772"/>
        <v>0</v>
      </c>
      <c r="AM1040" s="1151">
        <f t="shared" si="773"/>
        <v>0</v>
      </c>
      <c r="AN1040" s="376"/>
      <c r="AO1040" s="1178">
        <v>51</v>
      </c>
      <c r="AP1040" s="485">
        <f>Infrastructure!D60</f>
        <v>0</v>
      </c>
      <c r="AQ1040" s="763">
        <f t="shared" si="759"/>
        <v>0</v>
      </c>
      <c r="AR1040" s="763">
        <f t="shared" si="760"/>
        <v>0</v>
      </c>
      <c r="AS1040" s="763">
        <f t="shared" si="749"/>
        <v>0</v>
      </c>
      <c r="AT1040" s="170">
        <f>IF(AR1040&gt;0,SUM(AS$990:AS1040),0)</f>
        <v>0</v>
      </c>
      <c r="AU1040" s="1144"/>
      <c r="AV1040" s="376"/>
      <c r="AW1040" s="376"/>
      <c r="AX1040" s="1815">
        <f t="shared" si="766"/>
        <v>0</v>
      </c>
      <c r="AY1040" s="763">
        <f t="shared" si="761"/>
        <v>0</v>
      </c>
      <c r="AZ1040" s="763">
        <f t="shared" si="762"/>
        <v>0</v>
      </c>
      <c r="BA1040" s="763">
        <f t="shared" si="750"/>
        <v>0</v>
      </c>
      <c r="BB1040" s="170">
        <f>IF(AZ1040&gt;0,SUM(BA$990:BA1040),0)</f>
        <v>0</v>
      </c>
      <c r="BC1040" s="1151">
        <f t="shared" si="767"/>
        <v>0</v>
      </c>
      <c r="BD1040" s="376"/>
      <c r="BE1040" s="1815">
        <f t="shared" si="763"/>
        <v>0</v>
      </c>
      <c r="BF1040" s="763">
        <f t="shared" si="764"/>
        <v>0</v>
      </c>
      <c r="BG1040" s="763">
        <f t="shared" si="765"/>
        <v>0</v>
      </c>
      <c r="BH1040" s="763">
        <f t="shared" si="751"/>
        <v>0</v>
      </c>
      <c r="BI1040" s="170">
        <f>IF(BG1040&gt;0,SUM(BH$990:BH1040),0)</f>
        <v>0</v>
      </c>
      <c r="BJ1040" s="1151">
        <f t="shared" si="768"/>
        <v>0</v>
      </c>
      <c r="BK1040" s="376"/>
      <c r="BL1040" s="376"/>
      <c r="BM1040" s="376"/>
      <c r="BN1040" s="376"/>
      <c r="BO1040" s="376"/>
      <c r="BP1040" s="376"/>
      <c r="BQ1040" s="376"/>
      <c r="BR1040" s="376"/>
      <c r="BS1040" s="376"/>
      <c r="BT1040" s="376"/>
      <c r="BU1040" s="376"/>
      <c r="BV1040" s="376"/>
      <c r="BW1040" s="376"/>
      <c r="BX1040" s="376"/>
      <c r="BY1040" s="376"/>
      <c r="BZ1040" s="376"/>
      <c r="CA1040" s="376"/>
      <c r="CB1040" s="376"/>
      <c r="CC1040" s="376"/>
      <c r="CD1040" s="376"/>
      <c r="CE1040" s="376"/>
      <c r="CF1040" s="376"/>
      <c r="CG1040" s="376"/>
      <c r="CH1040" s="376"/>
      <c r="CI1040" s="376"/>
      <c r="CJ1040" s="376"/>
      <c r="CK1040" s="376"/>
      <c r="CL1040" s="376"/>
      <c r="CM1040" s="376"/>
      <c r="CN1040" s="376"/>
      <c r="CO1040" s="1183"/>
      <c r="CP1040" s="1183"/>
      <c r="CQ1040" s="1301"/>
      <c r="CR1040" s="1301"/>
      <c r="CS1040" s="1301"/>
      <c r="CT1040" s="1301"/>
      <c r="CU1040" s="1301"/>
      <c r="CV1040" s="1301"/>
      <c r="CW1040" s="1301"/>
      <c r="CX1040" s="1301"/>
      <c r="CY1040" s="1301"/>
      <c r="CZ1040" s="1301"/>
      <c r="DA1040" s="1301"/>
      <c r="DB1040" s="1301"/>
      <c r="DC1040" s="1301"/>
      <c r="DD1040" s="1301"/>
      <c r="DE1040" s="1301"/>
      <c r="DF1040" s="1301"/>
      <c r="DG1040" s="1301"/>
      <c r="DH1040" s="1301"/>
      <c r="DI1040" s="1301"/>
      <c r="DJ1040" s="1301"/>
      <c r="DK1040" s="1301"/>
      <c r="DL1040" s="1301"/>
      <c r="DM1040" s="1301"/>
      <c r="DN1040" s="1301"/>
      <c r="DO1040" s="1301"/>
      <c r="DP1040" s="1301"/>
      <c r="DQ1040" s="1301"/>
    </row>
    <row r="1041" spans="8:92" ht="12" customHeight="1" x14ac:dyDescent="0.35">
      <c r="H1041" s="1301"/>
      <c r="I1041" s="1300"/>
      <c r="J1041" s="1300"/>
      <c r="K1041" s="29">
        <f t="shared" si="752"/>
        <v>1</v>
      </c>
      <c r="L1041" s="485">
        <f>Infrastructure!D61</f>
        <v>0</v>
      </c>
      <c r="M1041" s="34">
        <f t="shared" si="753"/>
        <v>0</v>
      </c>
      <c r="N1041" s="34">
        <f t="shared" si="754"/>
        <v>0</v>
      </c>
      <c r="O1041" s="34">
        <f t="shared" si="755"/>
        <v>0</v>
      </c>
      <c r="P1041" s="34">
        <f t="shared" si="756"/>
        <v>0</v>
      </c>
      <c r="Q1041" s="34">
        <f t="shared" si="757"/>
        <v>0</v>
      </c>
      <c r="R1041" s="31">
        <f>IF(Input!D$298=AH1041,Input!D$297,0)</f>
        <v>0</v>
      </c>
      <c r="S1041" s="36">
        <f t="shared" si="775"/>
        <v>0</v>
      </c>
      <c r="T1041" s="1818"/>
      <c r="U1041" s="1814"/>
      <c r="V1041" s="1814"/>
      <c r="W1041" s="1817"/>
      <c r="X1041" s="1814"/>
      <c r="Y1041" s="1801"/>
      <c r="Z1041" s="1801"/>
      <c r="AA1041" s="1801"/>
      <c r="AB1041" s="1801"/>
      <c r="AC1041" s="1801"/>
      <c r="AD1041" s="1801"/>
      <c r="AE1041" s="1801"/>
      <c r="AF1041" s="1814"/>
      <c r="AG1041" s="376">
        <f t="shared" si="769"/>
        <v>0</v>
      </c>
      <c r="AH1041" s="376">
        <v>52</v>
      </c>
      <c r="AI1041" s="1151">
        <f t="shared" si="774"/>
        <v>0</v>
      </c>
      <c r="AJ1041" s="1151">
        <f t="shared" si="770"/>
        <v>0</v>
      </c>
      <c r="AK1041" s="1151">
        <f t="shared" si="771"/>
        <v>0</v>
      </c>
      <c r="AL1041" s="1151">
        <f t="shared" si="772"/>
        <v>0</v>
      </c>
      <c r="AM1041" s="1151">
        <f t="shared" si="773"/>
        <v>0</v>
      </c>
      <c r="AN1041" s="376"/>
      <c r="AO1041" s="1178">
        <v>52</v>
      </c>
      <c r="AP1041" s="485">
        <f>Infrastructure!D61</f>
        <v>0</v>
      </c>
      <c r="AQ1041" s="763">
        <f t="shared" si="759"/>
        <v>0</v>
      </c>
      <c r="AR1041" s="763">
        <f t="shared" si="760"/>
        <v>0</v>
      </c>
      <c r="AS1041" s="763">
        <f t="shared" si="749"/>
        <v>0</v>
      </c>
      <c r="AT1041" s="170">
        <f>IF(AR1041&gt;0,SUM(AS$990:AS1041),0)</f>
        <v>0</v>
      </c>
      <c r="AU1041" s="1144"/>
      <c r="AV1041" s="376"/>
      <c r="AW1041" s="376"/>
      <c r="AX1041" s="1815">
        <f t="shared" si="766"/>
        <v>0</v>
      </c>
      <c r="AY1041" s="763">
        <f t="shared" si="761"/>
        <v>0</v>
      </c>
      <c r="AZ1041" s="763">
        <f t="shared" si="762"/>
        <v>0</v>
      </c>
      <c r="BA1041" s="763">
        <f t="shared" si="750"/>
        <v>0</v>
      </c>
      <c r="BB1041" s="170">
        <f>IF(AZ1041&gt;0,SUM(BA$990:BA1041),0)</f>
        <v>0</v>
      </c>
      <c r="BC1041" s="1151">
        <f t="shared" si="767"/>
        <v>0</v>
      </c>
      <c r="BD1041" s="376"/>
      <c r="BE1041" s="1815">
        <f t="shared" si="763"/>
        <v>0</v>
      </c>
      <c r="BF1041" s="763">
        <f t="shared" si="764"/>
        <v>0</v>
      </c>
      <c r="BG1041" s="763">
        <f t="shared" si="765"/>
        <v>0</v>
      </c>
      <c r="BH1041" s="763">
        <f t="shared" si="751"/>
        <v>0</v>
      </c>
      <c r="BI1041" s="170">
        <f>IF(BG1041&gt;0,SUM(BH$990:BH1041),0)</f>
        <v>0</v>
      </c>
      <c r="BJ1041" s="1151">
        <f t="shared" si="768"/>
        <v>0</v>
      </c>
      <c r="BK1041" s="376"/>
      <c r="BL1041" s="376"/>
      <c r="BM1041" s="376"/>
      <c r="BN1041" s="376"/>
      <c r="BO1041" s="376"/>
      <c r="BP1041" s="376"/>
      <c r="BQ1041" s="376"/>
      <c r="BR1041" s="376"/>
      <c r="BS1041" s="376"/>
      <c r="BT1041" s="376"/>
      <c r="BU1041" s="376"/>
      <c r="BV1041" s="376"/>
      <c r="BW1041" s="376"/>
      <c r="BX1041" s="376"/>
      <c r="BY1041" s="376"/>
      <c r="BZ1041" s="376"/>
      <c r="CA1041" s="376"/>
      <c r="CB1041" s="376"/>
      <c r="CC1041" s="376"/>
      <c r="CD1041" s="376"/>
      <c r="CE1041" s="376"/>
      <c r="CF1041" s="376"/>
      <c r="CG1041" s="376"/>
      <c r="CH1041" s="376"/>
      <c r="CI1041" s="376"/>
      <c r="CJ1041" s="376"/>
      <c r="CK1041" s="376"/>
      <c r="CL1041" s="376"/>
      <c r="CM1041" s="376"/>
      <c r="CN1041" s="376"/>
    </row>
    <row r="1042" spans="8:92" ht="12" customHeight="1" x14ac:dyDescent="0.35">
      <c r="H1042" s="1301"/>
      <c r="I1042" s="1300"/>
      <c r="J1042" s="1300"/>
      <c r="K1042" s="29">
        <f t="shared" si="752"/>
        <v>1</v>
      </c>
      <c r="L1042" s="485">
        <f>Infrastructure!D62</f>
        <v>0</v>
      </c>
      <c r="M1042" s="34">
        <f t="shared" si="753"/>
        <v>0</v>
      </c>
      <c r="N1042" s="34">
        <f t="shared" si="754"/>
        <v>0</v>
      </c>
      <c r="O1042" s="34">
        <f t="shared" si="755"/>
        <v>0</v>
      </c>
      <c r="P1042" s="34">
        <f t="shared" si="756"/>
        <v>0</v>
      </c>
      <c r="Q1042" s="34">
        <f t="shared" si="757"/>
        <v>0</v>
      </c>
      <c r="R1042" s="31">
        <f>IF(Input!D$298=AH1042,Input!D$297,0)</f>
        <v>0</v>
      </c>
      <c r="S1042" s="36">
        <f t="shared" si="775"/>
        <v>0</v>
      </c>
      <c r="T1042" s="1818"/>
      <c r="U1042" s="1814"/>
      <c r="V1042" s="1814"/>
      <c r="W1042" s="1817"/>
      <c r="X1042" s="1814"/>
      <c r="Y1042" s="1801"/>
      <c r="Z1042" s="1801"/>
      <c r="AA1042" s="1801"/>
      <c r="AB1042" s="1801"/>
      <c r="AC1042" s="1801"/>
      <c r="AD1042" s="1801"/>
      <c r="AE1042" s="1801"/>
      <c r="AF1042" s="1814"/>
      <c r="AG1042" s="376">
        <f t="shared" si="769"/>
        <v>0</v>
      </c>
      <c r="AH1042" s="376">
        <v>53</v>
      </c>
      <c r="AI1042" s="1151">
        <f t="shared" si="774"/>
        <v>0</v>
      </c>
      <c r="AJ1042" s="1151">
        <f t="shared" si="770"/>
        <v>0</v>
      </c>
      <c r="AK1042" s="1151">
        <f t="shared" si="771"/>
        <v>0</v>
      </c>
      <c r="AL1042" s="1151">
        <f t="shared" si="772"/>
        <v>0</v>
      </c>
      <c r="AM1042" s="1151">
        <f t="shared" si="773"/>
        <v>0</v>
      </c>
      <c r="AN1042" s="376"/>
      <c r="AO1042" s="1178">
        <v>53</v>
      </c>
      <c r="AP1042" s="485">
        <f>Infrastructure!D62</f>
        <v>0</v>
      </c>
      <c r="AQ1042" s="763">
        <f t="shared" si="759"/>
        <v>0</v>
      </c>
      <c r="AR1042" s="763">
        <f t="shared" si="760"/>
        <v>0</v>
      </c>
      <c r="AS1042" s="763">
        <f t="shared" si="749"/>
        <v>0</v>
      </c>
      <c r="AT1042" s="170">
        <f>IF(AR1042&gt;0,SUM(AS$990:AS1042),0)</f>
        <v>0</v>
      </c>
      <c r="AU1042" s="1144"/>
      <c r="AV1042" s="376"/>
      <c r="AW1042" s="376"/>
      <c r="AX1042" s="1815">
        <f t="shared" si="766"/>
        <v>0</v>
      </c>
      <c r="AY1042" s="763">
        <f t="shared" si="761"/>
        <v>0</v>
      </c>
      <c r="AZ1042" s="763">
        <f t="shared" si="762"/>
        <v>0</v>
      </c>
      <c r="BA1042" s="763">
        <f t="shared" si="750"/>
        <v>0</v>
      </c>
      <c r="BB1042" s="170">
        <f>IF(AZ1042&gt;0,SUM(BA$990:BA1042),0)</f>
        <v>0</v>
      </c>
      <c r="BC1042" s="1151">
        <f t="shared" si="767"/>
        <v>0</v>
      </c>
      <c r="BD1042" s="376"/>
      <c r="BE1042" s="1815">
        <f t="shared" si="763"/>
        <v>0</v>
      </c>
      <c r="BF1042" s="763">
        <f t="shared" si="764"/>
        <v>0</v>
      </c>
      <c r="BG1042" s="763">
        <f t="shared" si="765"/>
        <v>0</v>
      </c>
      <c r="BH1042" s="763">
        <f t="shared" si="751"/>
        <v>0</v>
      </c>
      <c r="BI1042" s="170">
        <f>IF(BG1042&gt;0,SUM(BH$990:BH1042),0)</f>
        <v>0</v>
      </c>
      <c r="BJ1042" s="1151">
        <f t="shared" si="768"/>
        <v>0</v>
      </c>
      <c r="BK1042" s="376"/>
      <c r="BL1042" s="376"/>
      <c r="BM1042" s="376"/>
      <c r="BN1042" s="376"/>
      <c r="BO1042" s="376"/>
      <c r="BP1042" s="376"/>
      <c r="BQ1042" s="376"/>
      <c r="BR1042" s="376"/>
      <c r="BS1042" s="376"/>
      <c r="BT1042" s="376"/>
      <c r="BU1042" s="376"/>
      <c r="BV1042" s="376"/>
      <c r="BW1042" s="376"/>
      <c r="BX1042" s="376"/>
      <c r="BY1042" s="376"/>
      <c r="BZ1042" s="376"/>
      <c r="CA1042" s="376"/>
      <c r="CB1042" s="376"/>
      <c r="CC1042" s="376"/>
      <c r="CD1042" s="376"/>
      <c r="CE1042" s="376"/>
      <c r="CF1042" s="376"/>
      <c r="CG1042" s="376"/>
      <c r="CH1042" s="376"/>
      <c r="CI1042" s="376"/>
      <c r="CJ1042" s="376"/>
      <c r="CK1042" s="376"/>
      <c r="CL1042" s="376"/>
      <c r="CM1042" s="376"/>
      <c r="CN1042" s="376"/>
    </row>
    <row r="1043" spans="8:92" ht="12" customHeight="1" x14ac:dyDescent="0.35">
      <c r="H1043" s="1301"/>
      <c r="I1043" s="1300"/>
      <c r="J1043" s="1300"/>
      <c r="K1043" s="29">
        <f t="shared" si="752"/>
        <v>1</v>
      </c>
      <c r="L1043" s="485">
        <f>Infrastructure!D63</f>
        <v>0</v>
      </c>
      <c r="M1043" s="34">
        <f t="shared" si="753"/>
        <v>0</v>
      </c>
      <c r="N1043" s="34">
        <f t="shared" si="754"/>
        <v>0</v>
      </c>
      <c r="O1043" s="34">
        <f t="shared" si="755"/>
        <v>0</v>
      </c>
      <c r="P1043" s="34">
        <f t="shared" si="756"/>
        <v>0</v>
      </c>
      <c r="Q1043" s="34">
        <f t="shared" si="757"/>
        <v>0</v>
      </c>
      <c r="R1043" s="31">
        <f>IF(Input!D$298=AH1043,Input!D$297,0)</f>
        <v>0</v>
      </c>
      <c r="S1043" s="36">
        <f t="shared" si="775"/>
        <v>0</v>
      </c>
      <c r="T1043" s="1818"/>
      <c r="U1043" s="1814"/>
      <c r="V1043" s="1814"/>
      <c r="W1043" s="1817"/>
      <c r="X1043" s="1814"/>
      <c r="Y1043" s="1801"/>
      <c r="Z1043" s="1801"/>
      <c r="AA1043" s="1801"/>
      <c r="AB1043" s="1801"/>
      <c r="AC1043" s="1801"/>
      <c r="AD1043" s="1801"/>
      <c r="AE1043" s="1801"/>
      <c r="AF1043" s="1814"/>
      <c r="AG1043" s="376">
        <f t="shared" si="769"/>
        <v>0</v>
      </c>
      <c r="AH1043" s="376">
        <v>54</v>
      </c>
      <c r="AI1043" s="1151">
        <f t="shared" si="774"/>
        <v>0</v>
      </c>
      <c r="AJ1043" s="1151">
        <f t="shared" si="770"/>
        <v>0</v>
      </c>
      <c r="AK1043" s="1151">
        <f t="shared" si="771"/>
        <v>0</v>
      </c>
      <c r="AL1043" s="1151">
        <f t="shared" si="772"/>
        <v>0</v>
      </c>
      <c r="AM1043" s="1151">
        <f t="shared" si="773"/>
        <v>0</v>
      </c>
      <c r="AN1043" s="376"/>
      <c r="AO1043" s="1178">
        <v>54</v>
      </c>
      <c r="AP1043" s="485">
        <f>Infrastructure!D63</f>
        <v>0</v>
      </c>
      <c r="AQ1043" s="763">
        <f t="shared" si="759"/>
        <v>0</v>
      </c>
      <c r="AR1043" s="763">
        <f t="shared" si="760"/>
        <v>0</v>
      </c>
      <c r="AS1043" s="763">
        <f t="shared" si="749"/>
        <v>0</v>
      </c>
      <c r="AT1043" s="170">
        <f>IF(AR1043&gt;0,SUM(AS$990:AS1043),0)</f>
        <v>0</v>
      </c>
      <c r="AU1043" s="1144"/>
      <c r="AV1043" s="376"/>
      <c r="AW1043" s="376"/>
      <c r="AX1043" s="1815">
        <f t="shared" si="766"/>
        <v>0</v>
      </c>
      <c r="AY1043" s="763">
        <f t="shared" si="761"/>
        <v>0</v>
      </c>
      <c r="AZ1043" s="763">
        <f t="shared" si="762"/>
        <v>0</v>
      </c>
      <c r="BA1043" s="763">
        <f t="shared" si="750"/>
        <v>0</v>
      </c>
      <c r="BB1043" s="170">
        <f>IF(AZ1043&gt;0,SUM(BA$990:BA1043),0)</f>
        <v>0</v>
      </c>
      <c r="BC1043" s="1151">
        <f t="shared" si="767"/>
        <v>0</v>
      </c>
      <c r="BD1043" s="376"/>
      <c r="BE1043" s="1815">
        <f t="shared" si="763"/>
        <v>0</v>
      </c>
      <c r="BF1043" s="763">
        <f t="shared" si="764"/>
        <v>0</v>
      </c>
      <c r="BG1043" s="763">
        <f t="shared" si="765"/>
        <v>0</v>
      </c>
      <c r="BH1043" s="763">
        <f t="shared" si="751"/>
        <v>0</v>
      </c>
      <c r="BI1043" s="170">
        <f>IF(BG1043&gt;0,SUM(BH$990:BH1043),0)</f>
        <v>0</v>
      </c>
      <c r="BJ1043" s="1151">
        <f t="shared" si="768"/>
        <v>0</v>
      </c>
      <c r="BK1043" s="376"/>
      <c r="BL1043" s="376"/>
      <c r="BM1043" s="376"/>
      <c r="BN1043" s="376"/>
      <c r="BO1043" s="376"/>
      <c r="BP1043" s="376"/>
      <c r="BQ1043" s="376"/>
      <c r="BR1043" s="376"/>
      <c r="BS1043" s="376"/>
      <c r="BT1043" s="376"/>
      <c r="BU1043" s="376"/>
      <c r="BV1043" s="376"/>
      <c r="BW1043" s="376"/>
      <c r="BX1043" s="376"/>
      <c r="BY1043" s="376"/>
      <c r="BZ1043" s="376"/>
      <c r="CA1043" s="376"/>
      <c r="CB1043" s="376"/>
      <c r="CC1043" s="376"/>
      <c r="CD1043" s="376"/>
      <c r="CE1043" s="376"/>
      <c r="CF1043" s="376"/>
      <c r="CG1043" s="376"/>
      <c r="CH1043" s="376"/>
      <c r="CI1043" s="376"/>
      <c r="CJ1043" s="376"/>
      <c r="CK1043" s="376"/>
      <c r="CL1043" s="376"/>
      <c r="CM1043" s="376"/>
      <c r="CN1043" s="376"/>
    </row>
    <row r="1044" spans="8:92" ht="12" customHeight="1" x14ac:dyDescent="0.35">
      <c r="H1044" s="1301"/>
      <c r="I1044" s="1300"/>
      <c r="J1044" s="1300"/>
      <c r="K1044" s="29">
        <f t="shared" si="752"/>
        <v>1</v>
      </c>
      <c r="L1044" s="485">
        <f>Infrastructure!D64</f>
        <v>0</v>
      </c>
      <c r="M1044" s="34">
        <f t="shared" si="753"/>
        <v>0</v>
      </c>
      <c r="N1044" s="34">
        <f t="shared" si="754"/>
        <v>0</v>
      </c>
      <c r="O1044" s="34">
        <f t="shared" si="755"/>
        <v>0</v>
      </c>
      <c r="P1044" s="34">
        <f t="shared" si="756"/>
        <v>0</v>
      </c>
      <c r="Q1044" s="34">
        <f t="shared" si="757"/>
        <v>0</v>
      </c>
      <c r="R1044" s="31">
        <f>IF(Input!D$298=AH1044,Input!D$297,0)</f>
        <v>0</v>
      </c>
      <c r="S1044" s="36">
        <f t="shared" si="775"/>
        <v>0</v>
      </c>
      <c r="T1044" s="1818"/>
      <c r="U1044" s="1814"/>
      <c r="V1044" s="1814"/>
      <c r="W1044" s="1817"/>
      <c r="X1044" s="1814"/>
      <c r="Y1044" s="1801"/>
      <c r="Z1044" s="1801"/>
      <c r="AA1044" s="1801"/>
      <c r="AB1044" s="1801"/>
      <c r="AC1044" s="1801"/>
      <c r="AD1044" s="1801"/>
      <c r="AE1044" s="1801"/>
      <c r="AF1044" s="1814"/>
      <c r="AG1044" s="376">
        <f t="shared" si="769"/>
        <v>0</v>
      </c>
      <c r="AH1044" s="376">
        <v>55</v>
      </c>
      <c r="AI1044" s="1151">
        <f t="shared" si="774"/>
        <v>0</v>
      </c>
      <c r="AJ1044" s="1151">
        <f t="shared" si="770"/>
        <v>0</v>
      </c>
      <c r="AK1044" s="1151">
        <f t="shared" si="771"/>
        <v>0</v>
      </c>
      <c r="AL1044" s="1151">
        <f t="shared" si="772"/>
        <v>0</v>
      </c>
      <c r="AM1044" s="1151">
        <f t="shared" si="773"/>
        <v>0</v>
      </c>
      <c r="AN1044" s="1148"/>
      <c r="AO1044" s="1178">
        <v>55</v>
      </c>
      <c r="AP1044" s="485">
        <f>Infrastructure!D64</f>
        <v>0</v>
      </c>
      <c r="AQ1044" s="763">
        <f t="shared" si="759"/>
        <v>0</v>
      </c>
      <c r="AR1044" s="763">
        <f t="shared" si="760"/>
        <v>0</v>
      </c>
      <c r="AS1044" s="763">
        <f t="shared" si="749"/>
        <v>0</v>
      </c>
      <c r="AT1044" s="170">
        <f>IF(AR1044&gt;0,SUM(AS$990:AS1044),0)</f>
        <v>0</v>
      </c>
      <c r="AU1044" s="1144"/>
      <c r="AV1044" s="1148"/>
      <c r="AW1044" s="376"/>
      <c r="AX1044" s="1815">
        <f t="shared" si="766"/>
        <v>0</v>
      </c>
      <c r="AY1044" s="763">
        <f t="shared" si="761"/>
        <v>0</v>
      </c>
      <c r="AZ1044" s="763">
        <f t="shared" si="762"/>
        <v>0</v>
      </c>
      <c r="BA1044" s="763">
        <f t="shared" si="750"/>
        <v>0</v>
      </c>
      <c r="BB1044" s="170">
        <f>IF(AZ1044&gt;0,SUM(BA$990:BA1044),0)</f>
        <v>0</v>
      </c>
      <c r="BC1044" s="1151">
        <f t="shared" si="767"/>
        <v>0</v>
      </c>
      <c r="BD1044" s="1148"/>
      <c r="BE1044" s="1815">
        <f t="shared" si="763"/>
        <v>0</v>
      </c>
      <c r="BF1044" s="763">
        <f t="shared" si="764"/>
        <v>0</v>
      </c>
      <c r="BG1044" s="763">
        <f t="shared" si="765"/>
        <v>0</v>
      </c>
      <c r="BH1044" s="763">
        <f t="shared" si="751"/>
        <v>0</v>
      </c>
      <c r="BI1044" s="170">
        <f>IF(BG1044&gt;0,SUM(BH$990:BH1044),0)</f>
        <v>0</v>
      </c>
      <c r="BJ1044" s="1151">
        <f t="shared" si="768"/>
        <v>0</v>
      </c>
      <c r="BK1044" s="1148"/>
      <c r="BL1044" s="1144"/>
      <c r="BM1044" s="1144"/>
      <c r="BN1044" s="1144"/>
      <c r="BO1044" s="1144"/>
      <c r="BP1044" s="1144"/>
      <c r="BQ1044" s="1144"/>
      <c r="BR1044" s="1144"/>
      <c r="BS1044" s="1144"/>
      <c r="BT1044" s="1144"/>
      <c r="BU1044" s="1144"/>
      <c r="BV1044" s="1144"/>
      <c r="BW1044" s="1144"/>
      <c r="BX1044" s="1144"/>
      <c r="BY1044" s="1144"/>
      <c r="BZ1044" s="1144"/>
      <c r="CA1044" s="1144"/>
      <c r="CB1044" s="1144"/>
      <c r="CC1044" s="1144"/>
      <c r="CD1044" s="1144"/>
      <c r="CE1044" s="1144"/>
      <c r="CF1044" s="1144"/>
      <c r="CG1044" s="1144"/>
      <c r="CH1044" s="1144"/>
      <c r="CI1044" s="1144"/>
      <c r="CJ1044" s="1144"/>
      <c r="CK1044" s="1144"/>
      <c r="CL1044" s="1144"/>
      <c r="CM1044" s="1144"/>
      <c r="CN1044" s="1144"/>
    </row>
    <row r="1045" spans="8:92" ht="12" customHeight="1" x14ac:dyDescent="0.35">
      <c r="H1045" s="1301"/>
      <c r="I1045" s="1300"/>
      <c r="J1045" s="1300"/>
      <c r="K1045" s="29">
        <f t="shared" si="752"/>
        <v>1</v>
      </c>
      <c r="L1045" s="485">
        <f>Infrastructure!D65</f>
        <v>0</v>
      </c>
      <c r="M1045" s="34">
        <f t="shared" si="753"/>
        <v>0</v>
      </c>
      <c r="N1045" s="34">
        <f t="shared" si="754"/>
        <v>0</v>
      </c>
      <c r="O1045" s="34">
        <f t="shared" si="755"/>
        <v>0</v>
      </c>
      <c r="P1045" s="34">
        <f t="shared" si="756"/>
        <v>0</v>
      </c>
      <c r="Q1045" s="34">
        <f t="shared" si="757"/>
        <v>0</v>
      </c>
      <c r="R1045" s="31">
        <f>IF(Input!D$298=AH1045,Input!D$297,0)</f>
        <v>0</v>
      </c>
      <c r="S1045" s="36">
        <f t="shared" si="775"/>
        <v>0</v>
      </c>
      <c r="T1045" s="1818"/>
      <c r="U1045" s="1814"/>
      <c r="V1045" s="1814"/>
      <c r="W1045" s="1817"/>
      <c r="X1045" s="1814"/>
      <c r="Y1045" s="1801"/>
      <c r="Z1045" s="1801"/>
      <c r="AA1045" s="1801"/>
      <c r="AB1045" s="1801"/>
      <c r="AC1045" s="1801"/>
      <c r="AD1045" s="1801"/>
      <c r="AE1045" s="1801"/>
      <c r="AF1045" s="1814"/>
      <c r="AG1045" s="376">
        <f t="shared" si="769"/>
        <v>0</v>
      </c>
      <c r="AH1045" s="376">
        <v>56</v>
      </c>
      <c r="AI1045" s="1151">
        <f t="shared" si="774"/>
        <v>0</v>
      </c>
      <c r="AJ1045" s="1151">
        <f t="shared" si="770"/>
        <v>0</v>
      </c>
      <c r="AK1045" s="1151">
        <f t="shared" si="771"/>
        <v>0</v>
      </c>
      <c r="AL1045" s="1151">
        <f t="shared" si="772"/>
        <v>0</v>
      </c>
      <c r="AM1045" s="1151">
        <f t="shared" si="773"/>
        <v>0</v>
      </c>
      <c r="AN1045" s="1148"/>
      <c r="AO1045" s="1178">
        <v>56</v>
      </c>
      <c r="AP1045" s="485">
        <f>Infrastructure!D65</f>
        <v>0</v>
      </c>
      <c r="AQ1045" s="763">
        <f t="shared" si="759"/>
        <v>0</v>
      </c>
      <c r="AR1045" s="763">
        <f t="shared" si="760"/>
        <v>0</v>
      </c>
      <c r="AS1045" s="763">
        <f t="shared" si="749"/>
        <v>0</v>
      </c>
      <c r="AT1045" s="170">
        <f>IF(AR1045&gt;0,SUM(AS$990:AS1045),0)</f>
        <v>0</v>
      </c>
      <c r="AU1045" s="1144"/>
      <c r="AV1045" s="1148"/>
      <c r="AW1045" s="376"/>
      <c r="AX1045" s="1815">
        <f t="shared" si="766"/>
        <v>0</v>
      </c>
      <c r="AY1045" s="763">
        <f t="shared" si="761"/>
        <v>0</v>
      </c>
      <c r="AZ1045" s="763">
        <f t="shared" si="762"/>
        <v>0</v>
      </c>
      <c r="BA1045" s="763">
        <f t="shared" si="750"/>
        <v>0</v>
      </c>
      <c r="BB1045" s="170">
        <f>IF(AZ1045&gt;0,SUM(BA$990:BA1045),0)</f>
        <v>0</v>
      </c>
      <c r="BC1045" s="1151">
        <f t="shared" si="767"/>
        <v>0</v>
      </c>
      <c r="BD1045" s="1148"/>
      <c r="BE1045" s="1815">
        <f t="shared" si="763"/>
        <v>0</v>
      </c>
      <c r="BF1045" s="763">
        <f t="shared" si="764"/>
        <v>0</v>
      </c>
      <c r="BG1045" s="763">
        <f t="shared" si="765"/>
        <v>0</v>
      </c>
      <c r="BH1045" s="763">
        <f t="shared" si="751"/>
        <v>0</v>
      </c>
      <c r="BI1045" s="170">
        <f>IF(BG1045&gt;0,SUM(BH$990:BH1045),0)</f>
        <v>0</v>
      </c>
      <c r="BJ1045" s="1151">
        <f t="shared" si="768"/>
        <v>0</v>
      </c>
      <c r="BK1045" s="1148"/>
      <c r="BL1045" s="1144"/>
      <c r="BM1045" s="1144"/>
      <c r="BN1045" s="1144"/>
      <c r="BO1045" s="1144"/>
      <c r="BP1045" s="1144"/>
      <c r="BQ1045" s="1144"/>
      <c r="BR1045" s="1144"/>
      <c r="BS1045" s="1144"/>
      <c r="BT1045" s="1144"/>
      <c r="BU1045" s="1144"/>
      <c r="BV1045" s="1144"/>
      <c r="BW1045" s="1144"/>
      <c r="BX1045" s="1144"/>
      <c r="BY1045" s="1144"/>
      <c r="BZ1045" s="1144"/>
      <c r="CA1045" s="1144"/>
      <c r="CB1045" s="1144"/>
      <c r="CC1045" s="1144"/>
      <c r="CD1045" s="1144"/>
      <c r="CE1045" s="1144"/>
      <c r="CF1045" s="1144"/>
      <c r="CG1045" s="1144"/>
      <c r="CH1045" s="1144"/>
      <c r="CI1045" s="1144"/>
      <c r="CJ1045" s="1144"/>
      <c r="CK1045" s="1144"/>
      <c r="CL1045" s="1144"/>
      <c r="CM1045" s="1144"/>
      <c r="CN1045" s="1144"/>
    </row>
    <row r="1046" spans="8:92" ht="12" customHeight="1" x14ac:dyDescent="0.35">
      <c r="H1046" s="1301"/>
      <c r="I1046" s="1300"/>
      <c r="J1046" s="1300"/>
      <c r="K1046" s="29">
        <f t="shared" si="752"/>
        <v>1</v>
      </c>
      <c r="L1046" s="485">
        <f>Infrastructure!D66</f>
        <v>0</v>
      </c>
      <c r="M1046" s="34">
        <f t="shared" si="753"/>
        <v>0</v>
      </c>
      <c r="N1046" s="34">
        <f t="shared" si="754"/>
        <v>0</v>
      </c>
      <c r="O1046" s="34">
        <f t="shared" si="755"/>
        <v>0</v>
      </c>
      <c r="P1046" s="34">
        <f t="shared" si="756"/>
        <v>0</v>
      </c>
      <c r="Q1046" s="34">
        <f t="shared" si="757"/>
        <v>0</v>
      </c>
      <c r="R1046" s="31">
        <f>IF(Input!D$298=AH1046,Input!D$297,0)</f>
        <v>0</v>
      </c>
      <c r="S1046" s="36">
        <f t="shared" si="775"/>
        <v>0</v>
      </c>
      <c r="T1046" s="1818"/>
      <c r="U1046" s="1814"/>
      <c r="V1046" s="1814"/>
      <c r="W1046" s="1817"/>
      <c r="X1046" s="1814"/>
      <c r="Y1046" s="1801"/>
      <c r="Z1046" s="1801"/>
      <c r="AA1046" s="1801"/>
      <c r="AB1046" s="1801"/>
      <c r="AC1046" s="1801"/>
      <c r="AD1046" s="1801"/>
      <c r="AE1046" s="1801"/>
      <c r="AF1046" s="1814"/>
      <c r="AG1046" s="376">
        <f t="shared" si="769"/>
        <v>0</v>
      </c>
      <c r="AH1046" s="376">
        <v>57</v>
      </c>
      <c r="AI1046" s="1151">
        <f t="shared" si="774"/>
        <v>0</v>
      </c>
      <c r="AJ1046" s="1151">
        <f t="shared" si="770"/>
        <v>0</v>
      </c>
      <c r="AK1046" s="1151">
        <f t="shared" si="771"/>
        <v>0</v>
      </c>
      <c r="AL1046" s="1151">
        <f t="shared" si="772"/>
        <v>0</v>
      </c>
      <c r="AM1046" s="1151">
        <f t="shared" si="773"/>
        <v>0</v>
      </c>
      <c r="AN1046" s="1148"/>
      <c r="AO1046" s="1178">
        <v>57</v>
      </c>
      <c r="AP1046" s="485">
        <f>Infrastructure!D66</f>
        <v>0</v>
      </c>
      <c r="AQ1046" s="763">
        <f t="shared" si="759"/>
        <v>0</v>
      </c>
      <c r="AR1046" s="763">
        <f t="shared" si="760"/>
        <v>0</v>
      </c>
      <c r="AS1046" s="763">
        <f t="shared" si="749"/>
        <v>0</v>
      </c>
      <c r="AT1046" s="170">
        <f>IF(AR1046&gt;0,SUM(AS$990:AS1046),0)</f>
        <v>0</v>
      </c>
      <c r="AU1046" s="1144"/>
      <c r="AV1046" s="1148"/>
      <c r="AW1046" s="376"/>
      <c r="AX1046" s="1815">
        <f t="shared" si="766"/>
        <v>0</v>
      </c>
      <c r="AY1046" s="763">
        <f t="shared" si="761"/>
        <v>0</v>
      </c>
      <c r="AZ1046" s="763">
        <f t="shared" si="762"/>
        <v>0</v>
      </c>
      <c r="BA1046" s="763">
        <f t="shared" si="750"/>
        <v>0</v>
      </c>
      <c r="BB1046" s="170">
        <f>IF(AZ1046&gt;0,SUM(BA$990:BA1046),0)</f>
        <v>0</v>
      </c>
      <c r="BC1046" s="1151">
        <f t="shared" si="767"/>
        <v>0</v>
      </c>
      <c r="BD1046" s="1148"/>
      <c r="BE1046" s="1815">
        <f t="shared" si="763"/>
        <v>0</v>
      </c>
      <c r="BF1046" s="763">
        <f t="shared" si="764"/>
        <v>0</v>
      </c>
      <c r="BG1046" s="763">
        <f t="shared" si="765"/>
        <v>0</v>
      </c>
      <c r="BH1046" s="763">
        <f t="shared" si="751"/>
        <v>0</v>
      </c>
      <c r="BI1046" s="170">
        <f>IF(BG1046&gt;0,SUM(BH$990:BH1046),0)</f>
        <v>0</v>
      </c>
      <c r="BJ1046" s="1151">
        <f t="shared" si="768"/>
        <v>0</v>
      </c>
      <c r="BK1046" s="1148"/>
      <c r="BL1046" s="1144"/>
      <c r="BM1046" s="1144"/>
      <c r="BN1046" s="1144"/>
      <c r="BO1046" s="1144"/>
      <c r="BP1046" s="1144"/>
      <c r="BQ1046" s="1144"/>
      <c r="BR1046" s="1144"/>
      <c r="BS1046" s="1144"/>
      <c r="BT1046" s="1144"/>
      <c r="BU1046" s="1144"/>
      <c r="BV1046" s="1144"/>
      <c r="BW1046" s="1144"/>
      <c r="BX1046" s="1144"/>
      <c r="BY1046" s="1144"/>
      <c r="BZ1046" s="1144"/>
      <c r="CA1046" s="1144"/>
      <c r="CB1046" s="1144"/>
      <c r="CC1046" s="1144"/>
      <c r="CD1046" s="1144"/>
      <c r="CE1046" s="1144"/>
      <c r="CF1046" s="1144"/>
      <c r="CG1046" s="1144"/>
      <c r="CH1046" s="1144"/>
      <c r="CI1046" s="1144"/>
      <c r="CJ1046" s="1144"/>
      <c r="CK1046" s="1144"/>
      <c r="CL1046" s="1144"/>
      <c r="CM1046" s="1144"/>
      <c r="CN1046" s="1144"/>
    </row>
    <row r="1047" spans="8:92" ht="12" customHeight="1" x14ac:dyDescent="0.35">
      <c r="H1047" s="1301"/>
      <c r="I1047" s="1300"/>
      <c r="J1047" s="1300"/>
      <c r="K1047" s="29">
        <f t="shared" si="752"/>
        <v>1</v>
      </c>
      <c r="L1047" s="485">
        <f>Infrastructure!D67</f>
        <v>0</v>
      </c>
      <c r="M1047" s="34">
        <f t="shared" si="753"/>
        <v>0</v>
      </c>
      <c r="N1047" s="34">
        <f t="shared" si="754"/>
        <v>0</v>
      </c>
      <c r="O1047" s="34">
        <f t="shared" si="755"/>
        <v>0</v>
      </c>
      <c r="P1047" s="34">
        <f t="shared" si="756"/>
        <v>0</v>
      </c>
      <c r="Q1047" s="34">
        <f t="shared" si="757"/>
        <v>0</v>
      </c>
      <c r="R1047" s="31">
        <f>IF(Input!D$298=AH1047,Input!D$297,0)</f>
        <v>0</v>
      </c>
      <c r="S1047" s="36">
        <f t="shared" si="775"/>
        <v>0</v>
      </c>
      <c r="T1047" s="1818"/>
      <c r="U1047" s="1814"/>
      <c r="V1047" s="1814"/>
      <c r="W1047" s="1817"/>
      <c r="X1047" s="1814"/>
      <c r="Y1047" s="1801"/>
      <c r="Z1047" s="1801"/>
      <c r="AA1047" s="1801"/>
      <c r="AB1047" s="1801"/>
      <c r="AC1047" s="1801"/>
      <c r="AD1047" s="1801"/>
      <c r="AE1047" s="1801"/>
      <c r="AF1047" s="1814"/>
      <c r="AG1047" s="376">
        <f t="shared" si="769"/>
        <v>0</v>
      </c>
      <c r="AH1047" s="376">
        <v>58</v>
      </c>
      <c r="AI1047" s="1151">
        <f t="shared" si="774"/>
        <v>0</v>
      </c>
      <c r="AJ1047" s="1151">
        <f t="shared" si="770"/>
        <v>0</v>
      </c>
      <c r="AK1047" s="1151">
        <f t="shared" si="771"/>
        <v>0</v>
      </c>
      <c r="AL1047" s="1151">
        <f t="shared" si="772"/>
        <v>0</v>
      </c>
      <c r="AM1047" s="1151">
        <f t="shared" si="773"/>
        <v>0</v>
      </c>
      <c r="AN1047" s="1148"/>
      <c r="AO1047" s="1178">
        <v>58</v>
      </c>
      <c r="AP1047" s="485">
        <f>Infrastructure!D67</f>
        <v>0</v>
      </c>
      <c r="AQ1047" s="763">
        <f t="shared" si="759"/>
        <v>0</v>
      </c>
      <c r="AR1047" s="763">
        <f t="shared" si="760"/>
        <v>0</v>
      </c>
      <c r="AS1047" s="763">
        <f t="shared" si="749"/>
        <v>0</v>
      </c>
      <c r="AT1047" s="170">
        <f>IF(AR1047&gt;0,SUM(AS$990:AS1047),0)</f>
        <v>0</v>
      </c>
      <c r="AU1047" s="1144"/>
      <c r="AV1047" s="1148"/>
      <c r="AW1047" s="376"/>
      <c r="AX1047" s="1815">
        <f t="shared" si="766"/>
        <v>0</v>
      </c>
      <c r="AY1047" s="763">
        <f t="shared" si="761"/>
        <v>0</v>
      </c>
      <c r="AZ1047" s="763">
        <f t="shared" si="762"/>
        <v>0</v>
      </c>
      <c r="BA1047" s="763">
        <f t="shared" si="750"/>
        <v>0</v>
      </c>
      <c r="BB1047" s="170">
        <f>IF(AZ1047&gt;0,SUM(BA$990:BA1047),0)</f>
        <v>0</v>
      </c>
      <c r="BC1047" s="1151">
        <f t="shared" si="767"/>
        <v>0</v>
      </c>
      <c r="BD1047" s="1148"/>
      <c r="BE1047" s="1815">
        <f t="shared" si="763"/>
        <v>0</v>
      </c>
      <c r="BF1047" s="763">
        <f t="shared" si="764"/>
        <v>0</v>
      </c>
      <c r="BG1047" s="763">
        <f t="shared" si="765"/>
        <v>0</v>
      </c>
      <c r="BH1047" s="763">
        <f t="shared" si="751"/>
        <v>0</v>
      </c>
      <c r="BI1047" s="170">
        <f>IF(BG1047&gt;0,SUM(BH$990:BH1047),0)</f>
        <v>0</v>
      </c>
      <c r="BJ1047" s="1151">
        <f t="shared" si="768"/>
        <v>0</v>
      </c>
      <c r="BK1047" s="1148"/>
      <c r="BL1047" s="1144"/>
      <c r="BM1047" s="1144"/>
      <c r="BN1047" s="1144"/>
      <c r="BO1047" s="1144"/>
      <c r="BP1047" s="1144"/>
      <c r="BQ1047" s="1144"/>
      <c r="BR1047" s="1144"/>
      <c r="BS1047" s="1144"/>
      <c r="BT1047" s="1144"/>
      <c r="BU1047" s="1144"/>
      <c r="BV1047" s="1144"/>
      <c r="BW1047" s="1144"/>
      <c r="BX1047" s="1144"/>
      <c r="BY1047" s="1144"/>
      <c r="BZ1047" s="1144"/>
      <c r="CA1047" s="1144"/>
      <c r="CB1047" s="1144"/>
      <c r="CC1047" s="1144"/>
      <c r="CD1047" s="1144"/>
      <c r="CE1047" s="1144"/>
      <c r="CF1047" s="1144"/>
      <c r="CG1047" s="1144"/>
      <c r="CH1047" s="1144"/>
      <c r="CI1047" s="1144"/>
      <c r="CJ1047" s="1144"/>
      <c r="CK1047" s="1144"/>
      <c r="CL1047" s="1144"/>
      <c r="CM1047" s="1144"/>
      <c r="CN1047" s="1144"/>
    </row>
    <row r="1048" spans="8:92" ht="12" customHeight="1" x14ac:dyDescent="0.35">
      <c r="H1048" s="1818" t="s">
        <v>494</v>
      </c>
      <c r="I1048" s="1819">
        <f>Q1049</f>
        <v>0</v>
      </c>
      <c r="J1048" s="1300"/>
      <c r="K1048" s="29">
        <f t="shared" si="752"/>
        <v>1</v>
      </c>
      <c r="L1048" s="485">
        <f>Infrastructure!D68</f>
        <v>0</v>
      </c>
      <c r="M1048" s="34">
        <f t="shared" si="753"/>
        <v>0</v>
      </c>
      <c r="N1048" s="34">
        <f t="shared" si="754"/>
        <v>0</v>
      </c>
      <c r="O1048" s="34">
        <f t="shared" si="755"/>
        <v>0</v>
      </c>
      <c r="P1048" s="34">
        <f t="shared" si="756"/>
        <v>0</v>
      </c>
      <c r="Q1048" s="34">
        <f t="shared" si="757"/>
        <v>0</v>
      </c>
      <c r="R1048" s="1208" t="s">
        <v>494</v>
      </c>
      <c r="S1048" s="1209" t="s">
        <v>509</v>
      </c>
      <c r="T1048" s="1818"/>
      <c r="U1048" s="1814"/>
      <c r="V1048" s="1814"/>
      <c r="W1048" s="1817"/>
      <c r="X1048" s="1814"/>
      <c r="Y1048" s="1801"/>
      <c r="Z1048" s="1801"/>
      <c r="AA1048" s="1801"/>
      <c r="AB1048" s="1801"/>
      <c r="AC1048" s="1801"/>
      <c r="AD1048" s="1801"/>
      <c r="AE1048" s="1801"/>
      <c r="AF1048" s="1814"/>
      <c r="AG1048" s="376">
        <f t="shared" si="769"/>
        <v>0</v>
      </c>
      <c r="AH1048" s="376">
        <v>59</v>
      </c>
      <c r="AI1048" s="1151">
        <f t="shared" si="774"/>
        <v>0</v>
      </c>
      <c r="AJ1048" s="1151">
        <f t="shared" si="770"/>
        <v>0</v>
      </c>
      <c r="AK1048" s="1151">
        <f t="shared" si="771"/>
        <v>0</v>
      </c>
      <c r="AL1048" s="1151">
        <f t="shared" si="772"/>
        <v>0</v>
      </c>
      <c r="AM1048" s="1151">
        <f t="shared" si="773"/>
        <v>0</v>
      </c>
      <c r="AN1048" s="1148"/>
      <c r="AO1048" s="1178">
        <v>59</v>
      </c>
      <c r="AP1048" s="485">
        <f>Infrastructure!D68</f>
        <v>0</v>
      </c>
      <c r="AQ1048" s="763">
        <f t="shared" si="759"/>
        <v>0</v>
      </c>
      <c r="AR1048" s="763">
        <f t="shared" si="760"/>
        <v>0</v>
      </c>
      <c r="AS1048" s="763">
        <f t="shared" si="749"/>
        <v>0</v>
      </c>
      <c r="AT1048" s="170">
        <f>IF(AR1048&gt;0,SUM(AS$990:AS1048),0)</f>
        <v>0</v>
      </c>
      <c r="AU1048" s="1144"/>
      <c r="AV1048" s="1148"/>
      <c r="AW1048" s="376"/>
      <c r="AX1048" s="1815">
        <f t="shared" si="766"/>
        <v>0</v>
      </c>
      <c r="AY1048" s="763">
        <f t="shared" si="761"/>
        <v>0</v>
      </c>
      <c r="AZ1048" s="763">
        <f t="shared" si="762"/>
        <v>0</v>
      </c>
      <c r="BA1048" s="763">
        <f t="shared" si="750"/>
        <v>0</v>
      </c>
      <c r="BB1048" s="170">
        <f>IF(AZ1048&gt;0,SUM(BA$990:BA1048),0)</f>
        <v>0</v>
      </c>
      <c r="BC1048" s="1151">
        <f t="shared" si="767"/>
        <v>0</v>
      </c>
      <c r="BD1048" s="1148"/>
      <c r="BE1048" s="1815">
        <f t="shared" si="763"/>
        <v>0</v>
      </c>
      <c r="BF1048" s="763">
        <f t="shared" si="764"/>
        <v>0</v>
      </c>
      <c r="BG1048" s="763">
        <f t="shared" si="765"/>
        <v>0</v>
      </c>
      <c r="BH1048" s="763">
        <f t="shared" si="751"/>
        <v>0</v>
      </c>
      <c r="BI1048" s="170">
        <f>IF(BG1048&gt;0,SUM(BH$990:BH1048),0)</f>
        <v>0</v>
      </c>
      <c r="BJ1048" s="1151">
        <f t="shared" si="768"/>
        <v>0</v>
      </c>
      <c r="BK1048" s="1148"/>
      <c r="BL1048" s="1144"/>
      <c r="BM1048" s="1144"/>
      <c r="BN1048" s="1144"/>
      <c r="BO1048" s="1144"/>
      <c r="BP1048" s="1144"/>
      <c r="BQ1048" s="1144"/>
      <c r="BR1048" s="1144"/>
      <c r="BS1048" s="1144"/>
      <c r="BT1048" s="1144"/>
      <c r="BU1048" s="1144"/>
      <c r="BV1048" s="1144"/>
      <c r="BW1048" s="1144"/>
      <c r="BX1048" s="1144"/>
      <c r="BY1048" s="1144"/>
      <c r="BZ1048" s="1144"/>
      <c r="CA1048" s="1144"/>
      <c r="CB1048" s="1144"/>
      <c r="CC1048" s="1144"/>
      <c r="CD1048" s="1144"/>
      <c r="CE1048" s="1144"/>
      <c r="CF1048" s="1144"/>
      <c r="CG1048" s="1144"/>
      <c r="CH1048" s="1144"/>
      <c r="CI1048" s="1144"/>
      <c r="CJ1048" s="1144"/>
      <c r="CK1048" s="1144"/>
      <c r="CL1048" s="1144"/>
      <c r="CM1048" s="1144"/>
      <c r="CN1048" s="1144"/>
    </row>
    <row r="1049" spans="8:92" ht="12" customHeight="1" x14ac:dyDescent="0.35">
      <c r="H1049" s="1301"/>
      <c r="I1049" s="1300"/>
      <c r="J1049" s="1300"/>
      <c r="K1049" s="29">
        <f t="shared" si="752"/>
        <v>1</v>
      </c>
      <c r="L1049" s="485">
        <f>Infrastructure!D69</f>
        <v>0</v>
      </c>
      <c r="M1049" s="34">
        <f t="shared" si="753"/>
        <v>0</v>
      </c>
      <c r="N1049" s="34">
        <f t="shared" si="754"/>
        <v>0</v>
      </c>
      <c r="O1049" s="34">
        <f t="shared" si="755"/>
        <v>0</v>
      </c>
      <c r="P1049" s="34">
        <f t="shared" si="756"/>
        <v>0</v>
      </c>
      <c r="Q1049" s="34">
        <f t="shared" si="757"/>
        <v>0</v>
      </c>
      <c r="R1049" s="1156">
        <f>Q1049</f>
        <v>0</v>
      </c>
      <c r="S1049" s="1156">
        <f>IF(Input!D298&lt;=L1049,SUM(P1050:P1061),0)</f>
        <v>0</v>
      </c>
      <c r="T1049" s="1300"/>
      <c r="U1049" s="1804"/>
      <c r="V1049" s="1814"/>
      <c r="W1049" s="1817"/>
      <c r="X1049" s="1814"/>
      <c r="Y1049" s="1801"/>
      <c r="Z1049" s="1801"/>
      <c r="AA1049" s="1801"/>
      <c r="AB1049" s="1801"/>
      <c r="AC1049" s="1801"/>
      <c r="AD1049" s="1801"/>
      <c r="AE1049" s="1801"/>
      <c r="AF1049" s="1814"/>
      <c r="AG1049" s="376">
        <f t="shared" si="769"/>
        <v>0</v>
      </c>
      <c r="AH1049" s="376">
        <v>60</v>
      </c>
      <c r="AI1049" s="1151">
        <f t="shared" si="774"/>
        <v>0</v>
      </c>
      <c r="AJ1049" s="1151">
        <f t="shared" si="770"/>
        <v>0</v>
      </c>
      <c r="AK1049" s="1151">
        <f t="shared" si="771"/>
        <v>0</v>
      </c>
      <c r="AL1049" s="1151">
        <f t="shared" si="772"/>
        <v>0</v>
      </c>
      <c r="AM1049" s="1151">
        <f t="shared" si="773"/>
        <v>0</v>
      </c>
      <c r="AN1049" s="1148"/>
      <c r="AO1049" s="1178">
        <v>60</v>
      </c>
      <c r="AP1049" s="485">
        <f>Infrastructure!D69</f>
        <v>0</v>
      </c>
      <c r="AQ1049" s="763">
        <f t="shared" si="759"/>
        <v>0</v>
      </c>
      <c r="AR1049" s="763">
        <f t="shared" si="760"/>
        <v>0</v>
      </c>
      <c r="AS1049" s="763">
        <f t="shared" si="749"/>
        <v>0</v>
      </c>
      <c r="AT1049" s="170">
        <f>IF(AR1049&gt;0,SUM(AS$990:AS1049),0)</f>
        <v>0</v>
      </c>
      <c r="AU1049" s="170">
        <f>AT1049</f>
        <v>0</v>
      </c>
      <c r="AV1049" s="1148"/>
      <c r="AW1049" s="376"/>
      <c r="AX1049" s="1815">
        <f t="shared" si="766"/>
        <v>0</v>
      </c>
      <c r="AY1049" s="763">
        <f t="shared" si="761"/>
        <v>0</v>
      </c>
      <c r="AZ1049" s="763">
        <f t="shared" si="762"/>
        <v>0</v>
      </c>
      <c r="BA1049" s="763">
        <f t="shared" si="750"/>
        <v>0</v>
      </c>
      <c r="BB1049" s="170">
        <f>IF(AZ1049&gt;0,SUM(BA$990:BA1049),0)</f>
        <v>0</v>
      </c>
      <c r="BC1049" s="1151">
        <f t="shared" si="767"/>
        <v>0</v>
      </c>
      <c r="BD1049" s="763">
        <f>BC1049</f>
        <v>0</v>
      </c>
      <c r="BE1049" s="1815">
        <f t="shared" si="763"/>
        <v>0</v>
      </c>
      <c r="BF1049" s="763">
        <f t="shared" si="764"/>
        <v>0</v>
      </c>
      <c r="BG1049" s="763">
        <f t="shared" si="765"/>
        <v>0</v>
      </c>
      <c r="BH1049" s="763">
        <f t="shared" si="751"/>
        <v>0</v>
      </c>
      <c r="BI1049" s="170">
        <f>IF(BG1049&gt;0,SUM(BH$990:BH1049),0)</f>
        <v>0</v>
      </c>
      <c r="BJ1049" s="763">
        <f>BI1049</f>
        <v>0</v>
      </c>
      <c r="BK1049" s="1148"/>
      <c r="BL1049" s="1144"/>
      <c r="BM1049" s="1144"/>
      <c r="BN1049" s="1144"/>
      <c r="BO1049" s="1144"/>
      <c r="BP1049" s="1144"/>
      <c r="BQ1049" s="1144"/>
      <c r="BR1049" s="1144"/>
      <c r="BS1049" s="1144"/>
      <c r="BT1049" s="1144"/>
      <c r="BU1049" s="1144"/>
      <c r="BV1049" s="1144"/>
      <c r="BW1049" s="1144"/>
      <c r="BX1049" s="1144"/>
      <c r="BY1049" s="1144"/>
      <c r="BZ1049" s="1144"/>
      <c r="CA1049" s="1144"/>
      <c r="CB1049" s="1144"/>
      <c r="CC1049" s="1144"/>
      <c r="CD1049" s="1144"/>
      <c r="CE1049" s="1144"/>
      <c r="CF1049" s="1144"/>
      <c r="CG1049" s="1144"/>
      <c r="CH1049" s="1144"/>
      <c r="CI1049" s="1144"/>
      <c r="CJ1049" s="1144"/>
      <c r="CK1049" s="1144"/>
      <c r="CL1049" s="1144"/>
      <c r="CM1049" s="1144"/>
      <c r="CN1049" s="1144"/>
    </row>
    <row r="1050" spans="8:92" ht="12" customHeight="1" x14ac:dyDescent="0.35">
      <c r="H1050" s="1301"/>
      <c r="I1050" s="1300"/>
      <c r="J1050" s="1300"/>
      <c r="K1050" s="29">
        <f t="shared" si="752"/>
        <v>1</v>
      </c>
      <c r="L1050" s="485">
        <f>Infrastructure!D70</f>
        <v>0</v>
      </c>
      <c r="M1050" s="34">
        <f t="shared" si="753"/>
        <v>0</v>
      </c>
      <c r="N1050" s="34">
        <f t="shared" si="754"/>
        <v>0</v>
      </c>
      <c r="O1050" s="34">
        <f t="shared" si="755"/>
        <v>0</v>
      </c>
      <c r="P1050" s="34">
        <f t="shared" si="756"/>
        <v>0</v>
      </c>
      <c r="Q1050" s="34">
        <f t="shared" si="757"/>
        <v>0</v>
      </c>
      <c r="R1050" s="31">
        <f>IF(Input!D$298=L1129,Input!D$297,0)</f>
        <v>0</v>
      </c>
      <c r="S1050" s="36">
        <f>Q1129</f>
        <v>0</v>
      </c>
      <c r="T1050" s="1818"/>
      <c r="U1050" s="1814"/>
      <c r="V1050" s="1814"/>
      <c r="W1050" s="1817"/>
      <c r="X1050" s="1814"/>
      <c r="Y1050" s="1801"/>
      <c r="Z1050" s="1801"/>
      <c r="AA1050" s="1801"/>
      <c r="AB1050" s="1801"/>
      <c r="AC1050" s="1801"/>
      <c r="AD1050" s="1801"/>
      <c r="AE1050" s="1801"/>
      <c r="AF1050" s="1814"/>
      <c r="AG1050" s="1144"/>
      <c r="AH1050" s="1144"/>
      <c r="AI1050" s="1144"/>
      <c r="AJ1050" s="1144"/>
      <c r="AK1050" s="1144"/>
      <c r="AL1050" s="1144"/>
      <c r="AM1050" s="1144"/>
      <c r="AN1050" s="1148"/>
      <c r="AO1050" s="1178">
        <v>61</v>
      </c>
      <c r="AP1050" s="485">
        <f>Infrastructure!D70</f>
        <v>0</v>
      </c>
      <c r="AQ1050" s="763">
        <f t="shared" si="759"/>
        <v>0</v>
      </c>
      <c r="AR1050" s="763">
        <f t="shared" si="760"/>
        <v>0</v>
      </c>
      <c r="AS1050" s="763">
        <f>AR1050</f>
        <v>0</v>
      </c>
      <c r="AT1050" s="170">
        <f>IF(AR1050&gt;0,SUM(AS$990:AS1050),0)</f>
        <v>0</v>
      </c>
      <c r="AU1050" s="1144"/>
      <c r="AV1050" s="1148"/>
      <c r="AW1050" s="376"/>
      <c r="AX1050" s="1815">
        <f t="shared" si="766"/>
        <v>0</v>
      </c>
      <c r="AY1050" s="763">
        <f t="shared" si="761"/>
        <v>0</v>
      </c>
      <c r="AZ1050" s="763">
        <f t="shared" si="762"/>
        <v>0</v>
      </c>
      <c r="BA1050" s="763">
        <f>AZ1050</f>
        <v>0</v>
      </c>
      <c r="BB1050" s="170">
        <f>IF(AZ1050&gt;0,SUM(BA$990:BA1050),0)</f>
        <v>0</v>
      </c>
      <c r="BC1050" s="1148"/>
      <c r="BD1050" s="1148"/>
      <c r="BE1050" s="1815">
        <f t="shared" si="763"/>
        <v>0</v>
      </c>
      <c r="BF1050" s="763">
        <f t="shared" si="764"/>
        <v>0</v>
      </c>
      <c r="BG1050" s="763">
        <f t="shared" si="765"/>
        <v>0</v>
      </c>
      <c r="BH1050" s="763">
        <f>BG1050</f>
        <v>0</v>
      </c>
      <c r="BI1050" s="170">
        <f>IF(BG1050&gt;0,SUM(BH$990:BH1050),0)</f>
        <v>0</v>
      </c>
      <c r="BJ1050" s="1148"/>
      <c r="BK1050" s="1148"/>
      <c r="BL1050" s="1144"/>
      <c r="BM1050" s="1144"/>
      <c r="BN1050" s="1144"/>
      <c r="BO1050" s="1144"/>
      <c r="BP1050" s="1144"/>
      <c r="BQ1050" s="1144"/>
      <c r="BR1050" s="1144"/>
      <c r="BS1050" s="1144"/>
      <c r="BT1050" s="1144"/>
      <c r="BU1050" s="1144"/>
      <c r="BV1050" s="1144"/>
      <c r="BW1050" s="1144"/>
      <c r="BX1050" s="1144"/>
      <c r="BY1050" s="1144"/>
      <c r="BZ1050" s="1144"/>
      <c r="CA1050" s="1144"/>
      <c r="CB1050" s="1144"/>
      <c r="CC1050" s="1144"/>
      <c r="CD1050" s="1144"/>
      <c r="CE1050" s="1144"/>
      <c r="CF1050" s="1144"/>
      <c r="CG1050" s="1144"/>
      <c r="CH1050" s="1144"/>
      <c r="CI1050" s="1144"/>
      <c r="CJ1050" s="1144"/>
      <c r="CK1050" s="1144"/>
      <c r="CL1050" s="1144"/>
      <c r="CM1050" s="1144"/>
      <c r="CN1050" s="1144"/>
    </row>
    <row r="1051" spans="8:92" ht="12" customHeight="1" x14ac:dyDescent="0.35">
      <c r="H1051" s="1301"/>
      <c r="I1051" s="1300"/>
      <c r="J1051" s="1300"/>
      <c r="K1051" s="29">
        <f t="shared" si="752"/>
        <v>0</v>
      </c>
      <c r="L1051" s="485">
        <f>Infrastructure!D71</f>
        <v>59</v>
      </c>
      <c r="M1051" s="34">
        <f t="shared" si="753"/>
        <v>0</v>
      </c>
      <c r="N1051" s="34">
        <f t="shared" si="754"/>
        <v>0</v>
      </c>
      <c r="O1051" s="34">
        <f t="shared" si="755"/>
        <v>0</v>
      </c>
      <c r="P1051" s="34">
        <f>N1051-O1051</f>
        <v>0</v>
      </c>
      <c r="Q1051" s="34">
        <f>IF(M1051&gt;0,M1051-P1051,0)</f>
        <v>0</v>
      </c>
      <c r="R1051" s="31">
        <f>IF(Input!D$298=L1130,Input!D$297,0)</f>
        <v>0</v>
      </c>
      <c r="S1051" s="36">
        <f>Q1130</f>
        <v>0</v>
      </c>
      <c r="T1051" s="1818"/>
      <c r="U1051" s="1814"/>
      <c r="V1051" s="1814"/>
      <c r="W1051" s="1817"/>
      <c r="X1051" s="1814"/>
      <c r="Y1051" s="1801"/>
      <c r="Z1051" s="1801"/>
      <c r="AA1051" s="1801"/>
      <c r="AB1051" s="1801"/>
      <c r="AC1051" s="1801"/>
      <c r="AD1051" s="1801"/>
      <c r="AE1051" s="1804"/>
      <c r="AF1051" s="1183"/>
      <c r="AG1051" s="1183"/>
      <c r="AH1051" s="1183"/>
      <c r="AI1051" s="1183"/>
      <c r="AJ1051" s="1183"/>
      <c r="AK1051" s="1183"/>
      <c r="AL1051" s="1183"/>
      <c r="AM1051" s="1183"/>
      <c r="AN1051" s="1183"/>
      <c r="AO1051" s="1178">
        <v>62</v>
      </c>
      <c r="AP1051" s="485">
        <f>Infrastructure!D71</f>
        <v>59</v>
      </c>
      <c r="AQ1051" s="763">
        <f t="shared" si="759"/>
        <v>0</v>
      </c>
      <c r="AR1051" s="763">
        <f t="shared" si="760"/>
        <v>0</v>
      </c>
      <c r="AS1051" s="763">
        <f t="shared" ref="AS1051:AS1109" si="776">AR1051</f>
        <v>0</v>
      </c>
      <c r="AT1051" s="170">
        <f>IF(AR1051&gt;0,SUM(AS$990:AS1051),0)</f>
        <v>0</v>
      </c>
      <c r="AU1051" s="1183"/>
      <c r="AV1051" s="1183"/>
      <c r="AW1051" s="1183"/>
      <c r="AX1051" s="1815">
        <f t="shared" si="766"/>
        <v>59</v>
      </c>
      <c r="AY1051" s="763">
        <f t="shared" si="761"/>
        <v>0</v>
      </c>
      <c r="AZ1051" s="763">
        <f t="shared" si="762"/>
        <v>0</v>
      </c>
      <c r="BA1051" s="763">
        <f t="shared" ref="BA1051:BA1109" si="777">AZ1051</f>
        <v>0</v>
      </c>
      <c r="BB1051" s="170">
        <f>IF(AZ1051&gt;0,SUM(BA$990:BA1051),0)</f>
        <v>0</v>
      </c>
      <c r="BC1051" s="1183"/>
      <c r="BD1051" s="1183"/>
      <c r="BE1051" s="1815">
        <f t="shared" si="763"/>
        <v>59</v>
      </c>
      <c r="BF1051" s="763">
        <f t="shared" si="764"/>
        <v>0</v>
      </c>
      <c r="BG1051" s="763">
        <f t="shared" si="765"/>
        <v>0</v>
      </c>
      <c r="BH1051" s="763">
        <f t="shared" ref="BH1051:BH1109" si="778">BG1051</f>
        <v>0</v>
      </c>
      <c r="BI1051" s="170">
        <f>IF(BG1051&gt;0,SUM(BH$990:BH1051),0)</f>
        <v>0</v>
      </c>
      <c r="BJ1051" s="1183"/>
      <c r="BK1051" s="1183"/>
      <c r="BL1051" s="1183"/>
      <c r="BM1051" s="1183"/>
      <c r="BN1051" s="1183"/>
      <c r="BO1051" s="1183"/>
      <c r="BP1051" s="1183"/>
      <c r="BQ1051" s="1183"/>
      <c r="BR1051" s="1183"/>
      <c r="BS1051" s="1183"/>
      <c r="BT1051" s="1183"/>
      <c r="BU1051" s="1183"/>
      <c r="BV1051" s="1183"/>
      <c r="BW1051" s="1183"/>
      <c r="BX1051" s="1183"/>
      <c r="BY1051" s="1183"/>
      <c r="BZ1051" s="1183"/>
      <c r="CA1051" s="1183"/>
      <c r="CB1051" s="1183"/>
      <c r="CC1051" s="1183"/>
      <c r="CD1051" s="1183"/>
      <c r="CE1051" s="1183"/>
      <c r="CF1051" s="1144"/>
      <c r="CG1051" s="1144"/>
      <c r="CH1051" s="1144"/>
      <c r="CI1051" s="1144"/>
      <c r="CJ1051" s="1144"/>
      <c r="CK1051" s="1144"/>
      <c r="CL1051" s="1144"/>
      <c r="CM1051" s="1144"/>
      <c r="CN1051" s="1144"/>
    </row>
    <row r="1052" spans="8:92" ht="12" customHeight="1" x14ac:dyDescent="0.35">
      <c r="H1052" s="1301"/>
      <c r="I1052" s="1300"/>
      <c r="J1052" s="1300"/>
      <c r="K1052" s="29">
        <f t="shared" si="752"/>
        <v>0</v>
      </c>
      <c r="L1052" s="485">
        <f>Infrastructure!D72</f>
        <v>91</v>
      </c>
      <c r="M1052" s="34">
        <f t="shared" si="753"/>
        <v>0</v>
      </c>
      <c r="N1052" s="34">
        <f t="shared" si="754"/>
        <v>0</v>
      </c>
      <c r="O1052" s="34">
        <f t="shared" si="755"/>
        <v>0</v>
      </c>
      <c r="P1052" s="34">
        <f>N1052-O1052</f>
        <v>0</v>
      </c>
      <c r="Q1052" s="34">
        <f>IF(M1052&gt;0,M1052-P1052,0)</f>
        <v>0</v>
      </c>
      <c r="R1052" s="31">
        <f>IF(Input!D$298=L1131,Input!D$297,0)</f>
        <v>0</v>
      </c>
      <c r="S1052" s="36">
        <f t="shared" ref="S1052:S1057" si="779">Q1131</f>
        <v>0</v>
      </c>
      <c r="T1052" s="1818"/>
      <c r="U1052" s="1814"/>
      <c r="V1052" s="1814"/>
      <c r="W1052" s="1817"/>
      <c r="X1052" s="1814"/>
      <c r="Y1052" s="1801"/>
      <c r="Z1052" s="1801"/>
      <c r="AA1052" s="1801"/>
      <c r="AB1052" s="1801"/>
      <c r="AC1052" s="1801"/>
      <c r="AD1052" s="1801"/>
      <c r="AE1052" s="1804"/>
      <c r="AF1052" s="1183"/>
      <c r="AG1052" s="1183"/>
      <c r="AH1052" s="1183"/>
      <c r="AI1052" s="1183"/>
      <c r="AJ1052" s="1183"/>
      <c r="AK1052" s="1183"/>
      <c r="AL1052" s="1183"/>
      <c r="AM1052" s="1183"/>
      <c r="AN1052" s="1183"/>
      <c r="AO1052" s="1178">
        <v>63</v>
      </c>
      <c r="AP1052" s="485">
        <f>Infrastructure!D72</f>
        <v>91</v>
      </c>
      <c r="AQ1052" s="763">
        <f t="shared" si="759"/>
        <v>0</v>
      </c>
      <c r="AR1052" s="763">
        <f t="shared" si="760"/>
        <v>0</v>
      </c>
      <c r="AS1052" s="763">
        <f t="shared" si="776"/>
        <v>0</v>
      </c>
      <c r="AT1052" s="170">
        <f>IF(AR1052&gt;0,SUM(AS$990:AS1052),0)</f>
        <v>0</v>
      </c>
      <c r="AU1052" s="1183"/>
      <c r="AV1052" s="1183"/>
      <c r="AW1052" s="1183"/>
      <c r="AX1052" s="1815">
        <f t="shared" si="766"/>
        <v>91</v>
      </c>
      <c r="AY1052" s="763">
        <f t="shared" si="761"/>
        <v>0</v>
      </c>
      <c r="AZ1052" s="763">
        <f t="shared" si="762"/>
        <v>0</v>
      </c>
      <c r="BA1052" s="763">
        <f t="shared" si="777"/>
        <v>0</v>
      </c>
      <c r="BB1052" s="170">
        <f>IF(AZ1052&gt;0,SUM(BA$990:BA1052),0)</f>
        <v>0</v>
      </c>
      <c r="BC1052" s="1183"/>
      <c r="BD1052" s="1183"/>
      <c r="BE1052" s="1815">
        <f t="shared" si="763"/>
        <v>91</v>
      </c>
      <c r="BF1052" s="763">
        <f t="shared" si="764"/>
        <v>0</v>
      </c>
      <c r="BG1052" s="763">
        <f t="shared" si="765"/>
        <v>0</v>
      </c>
      <c r="BH1052" s="763">
        <f t="shared" si="778"/>
        <v>0</v>
      </c>
      <c r="BI1052" s="170">
        <f>IF(BG1052&gt;0,SUM(BH$990:BH1052),0)</f>
        <v>0</v>
      </c>
      <c r="BJ1052" s="1183"/>
      <c r="BK1052" s="1183"/>
      <c r="BL1052" s="1183"/>
      <c r="BM1052" s="1183"/>
      <c r="BN1052" s="1183"/>
      <c r="BO1052" s="1183"/>
      <c r="BP1052" s="1183"/>
      <c r="BQ1052" s="1183"/>
      <c r="BR1052" s="1183"/>
      <c r="BS1052" s="1183"/>
      <c r="BT1052" s="1183"/>
      <c r="BU1052" s="1183"/>
      <c r="BV1052" s="1183"/>
      <c r="BW1052" s="1183"/>
      <c r="BX1052" s="1183"/>
      <c r="BY1052" s="1183"/>
      <c r="BZ1052" s="1183"/>
      <c r="CA1052" s="1183"/>
      <c r="CB1052" s="1183"/>
      <c r="CC1052" s="1183"/>
      <c r="CD1052" s="1183"/>
      <c r="CE1052" s="1183"/>
      <c r="CF1052" s="1144"/>
      <c r="CG1052" s="1144"/>
      <c r="CH1052" s="1144"/>
      <c r="CI1052" s="1144"/>
      <c r="CJ1052" s="1144"/>
      <c r="CK1052" s="1144"/>
      <c r="CL1052" s="1144"/>
      <c r="CM1052" s="1144"/>
      <c r="CN1052" s="1144"/>
    </row>
    <row r="1053" spans="8:92" ht="12" customHeight="1" x14ac:dyDescent="0.35">
      <c r="H1053" s="1301"/>
      <c r="I1053" s="1300"/>
      <c r="J1053" s="1300"/>
      <c r="K1053" s="29">
        <f t="shared" si="752"/>
        <v>0</v>
      </c>
      <c r="L1053" s="485">
        <f>Infrastructure!D73</f>
        <v>121</v>
      </c>
      <c r="M1053" s="34">
        <f t="shared" si="753"/>
        <v>0</v>
      </c>
      <c r="N1053" s="34">
        <f t="shared" si="754"/>
        <v>0</v>
      </c>
      <c r="O1053" s="34">
        <f t="shared" si="755"/>
        <v>0</v>
      </c>
      <c r="P1053" s="34">
        <f>N1053-O1053</f>
        <v>0</v>
      </c>
      <c r="Q1053" s="34">
        <f>IF(M1053&gt;0,M1053-P1053,0)</f>
        <v>0</v>
      </c>
      <c r="R1053" s="31">
        <f>IF(Input!D$298=L1132,Input!D$297,0)</f>
        <v>0</v>
      </c>
      <c r="S1053" s="36">
        <f t="shared" si="779"/>
        <v>0</v>
      </c>
      <c r="T1053" s="1818"/>
      <c r="U1053" s="1814"/>
      <c r="V1053" s="1814"/>
      <c r="W1053" s="1817"/>
      <c r="X1053" s="1814"/>
      <c r="Y1053" s="1801"/>
      <c r="Z1053" s="1801"/>
      <c r="AA1053" s="1801"/>
      <c r="AB1053" s="1801"/>
      <c r="AC1053" s="1801"/>
      <c r="AD1053" s="1801"/>
      <c r="AE1053" s="1804"/>
      <c r="AF1053" s="1183"/>
      <c r="AG1053" s="1183"/>
      <c r="AH1053" s="1183"/>
      <c r="AI1053" s="1183"/>
      <c r="AJ1053" s="1183"/>
      <c r="AK1053" s="1183"/>
      <c r="AL1053" s="1183"/>
      <c r="AM1053" s="1183"/>
      <c r="AN1053" s="1183"/>
      <c r="AO1053" s="1178">
        <v>64</v>
      </c>
      <c r="AP1053" s="485">
        <f>Infrastructure!D73</f>
        <v>121</v>
      </c>
      <c r="AQ1053" s="763">
        <f t="shared" si="759"/>
        <v>0</v>
      </c>
      <c r="AR1053" s="763">
        <f t="shared" si="760"/>
        <v>0</v>
      </c>
      <c r="AS1053" s="763">
        <f t="shared" si="776"/>
        <v>0</v>
      </c>
      <c r="AT1053" s="170">
        <f>IF(AR1053&gt;0,SUM(AS$990:AS1053),0)</f>
        <v>0</v>
      </c>
      <c r="AU1053" s="1183"/>
      <c r="AV1053" s="1183"/>
      <c r="AW1053" s="1183"/>
      <c r="AX1053" s="1815">
        <f t="shared" si="766"/>
        <v>121</v>
      </c>
      <c r="AY1053" s="763">
        <f t="shared" si="761"/>
        <v>0</v>
      </c>
      <c r="AZ1053" s="763">
        <f t="shared" si="762"/>
        <v>0</v>
      </c>
      <c r="BA1053" s="763">
        <f t="shared" si="777"/>
        <v>0</v>
      </c>
      <c r="BB1053" s="170">
        <f>IF(AZ1053&gt;0,SUM(BA$990:BA1053),0)</f>
        <v>0</v>
      </c>
      <c r="BC1053" s="1183"/>
      <c r="BD1053" s="1183"/>
      <c r="BE1053" s="1815">
        <f t="shared" si="763"/>
        <v>121</v>
      </c>
      <c r="BF1053" s="763">
        <f t="shared" si="764"/>
        <v>0</v>
      </c>
      <c r="BG1053" s="763">
        <f t="shared" si="765"/>
        <v>0</v>
      </c>
      <c r="BH1053" s="763">
        <f t="shared" si="778"/>
        <v>0</v>
      </c>
      <c r="BI1053" s="170">
        <f>IF(BG1053&gt;0,SUM(BH$990:BH1053),0)</f>
        <v>0</v>
      </c>
      <c r="BJ1053" s="1183"/>
      <c r="BK1053" s="1183"/>
      <c r="BL1053" s="1183"/>
      <c r="BM1053" s="1183"/>
      <c r="BN1053" s="1183"/>
      <c r="BO1053" s="1183"/>
      <c r="BP1053" s="1183"/>
      <c r="BQ1053" s="1183"/>
      <c r="BR1053" s="1183"/>
      <c r="BS1053" s="1183"/>
      <c r="BT1053" s="1183"/>
      <c r="BU1053" s="1183"/>
      <c r="BV1053" s="1183"/>
      <c r="BW1053" s="1183"/>
      <c r="BX1053" s="1183"/>
      <c r="BY1053" s="1183"/>
      <c r="BZ1053" s="1183"/>
      <c r="CA1053" s="1183"/>
      <c r="CB1053" s="1183"/>
      <c r="CC1053" s="1183"/>
      <c r="CD1053" s="1183"/>
      <c r="CE1053" s="1183"/>
      <c r="CF1053" s="1144"/>
      <c r="CG1053" s="1144"/>
      <c r="CH1053" s="1144"/>
      <c r="CI1053" s="1144"/>
      <c r="CJ1053" s="1144"/>
      <c r="CK1053" s="1144"/>
      <c r="CL1053" s="1144"/>
      <c r="CM1053" s="1144"/>
      <c r="CN1053" s="1144"/>
    </row>
    <row r="1054" spans="8:92" ht="12" customHeight="1" x14ac:dyDescent="0.35">
      <c r="H1054" s="1301"/>
      <c r="I1054" s="1300"/>
      <c r="J1054" s="1300"/>
      <c r="K1054" s="29">
        <f t="shared" si="752"/>
        <v>0</v>
      </c>
      <c r="L1054" s="485">
        <f>Infrastructure!D74</f>
        <v>152</v>
      </c>
      <c r="M1054" s="34">
        <f t="shared" si="753"/>
        <v>0</v>
      </c>
      <c r="N1054" s="34">
        <f t="shared" si="754"/>
        <v>0</v>
      </c>
      <c r="O1054" s="34">
        <f t="shared" si="755"/>
        <v>0</v>
      </c>
      <c r="P1054" s="34">
        <f>N1054-O1054</f>
        <v>0</v>
      </c>
      <c r="Q1054" s="34">
        <f>IF(M1054&gt;0,M1054-P1054,0)</f>
        <v>0</v>
      </c>
      <c r="R1054" s="31">
        <f>IF(Input!D$298=L1133,Input!D$297,0)</f>
        <v>0</v>
      </c>
      <c r="S1054" s="36">
        <f t="shared" si="779"/>
        <v>0</v>
      </c>
      <c r="T1054" s="1818"/>
      <c r="U1054" s="1814"/>
      <c r="V1054" s="1814"/>
      <c r="W1054" s="1817"/>
      <c r="X1054" s="1814"/>
      <c r="Y1054" s="1801"/>
      <c r="Z1054" s="1801"/>
      <c r="AA1054" s="1801"/>
      <c r="AB1054" s="1801"/>
      <c r="AC1054" s="1801"/>
      <c r="AD1054" s="1801"/>
      <c r="AE1054" s="1804"/>
      <c r="AF1054" s="1183"/>
      <c r="AG1054" s="1183"/>
      <c r="AH1054" s="1183"/>
      <c r="AI1054" s="1183"/>
      <c r="AJ1054" s="1183"/>
      <c r="AK1054" s="1183"/>
      <c r="AL1054" s="1183"/>
      <c r="AM1054" s="1183"/>
      <c r="AN1054" s="1183"/>
      <c r="AO1054" s="1178">
        <v>65</v>
      </c>
      <c r="AP1054" s="485">
        <f>Infrastructure!D74</f>
        <v>152</v>
      </c>
      <c r="AQ1054" s="763">
        <f t="shared" si="759"/>
        <v>0</v>
      </c>
      <c r="AR1054" s="763">
        <f t="shared" si="760"/>
        <v>0</v>
      </c>
      <c r="AS1054" s="763">
        <f t="shared" si="776"/>
        <v>0</v>
      </c>
      <c r="AT1054" s="170">
        <f>IF(AR1054&gt;0,SUM(AS$990:AS1054),0)</f>
        <v>0</v>
      </c>
      <c r="AU1054" s="1183"/>
      <c r="AV1054" s="1183"/>
      <c r="AW1054" s="1183"/>
      <c r="AX1054" s="1815">
        <f t="shared" si="766"/>
        <v>152</v>
      </c>
      <c r="AY1054" s="763">
        <f t="shared" si="761"/>
        <v>0</v>
      </c>
      <c r="AZ1054" s="763">
        <f t="shared" si="762"/>
        <v>0</v>
      </c>
      <c r="BA1054" s="763">
        <f t="shared" si="777"/>
        <v>0</v>
      </c>
      <c r="BB1054" s="170">
        <f>IF(AZ1054&gt;0,SUM(BA$990:BA1054),0)</f>
        <v>0</v>
      </c>
      <c r="BC1054" s="1183"/>
      <c r="BD1054" s="1183"/>
      <c r="BE1054" s="1815">
        <f t="shared" si="763"/>
        <v>152</v>
      </c>
      <c r="BF1054" s="763">
        <f t="shared" si="764"/>
        <v>0</v>
      </c>
      <c r="BG1054" s="763">
        <f t="shared" si="765"/>
        <v>0</v>
      </c>
      <c r="BH1054" s="763">
        <f t="shared" si="778"/>
        <v>0</v>
      </c>
      <c r="BI1054" s="170">
        <f>IF(BG1054&gt;0,SUM(BH$990:BH1054),0)</f>
        <v>0</v>
      </c>
      <c r="BJ1054" s="1183"/>
      <c r="BK1054" s="1183"/>
      <c r="BL1054" s="1183"/>
      <c r="BM1054" s="1183"/>
      <c r="BN1054" s="1183"/>
      <c r="BO1054" s="1183"/>
      <c r="BP1054" s="1183"/>
      <c r="BQ1054" s="1183"/>
      <c r="BR1054" s="1183"/>
      <c r="BS1054" s="1183"/>
      <c r="BT1054" s="1183"/>
      <c r="BU1054" s="1183"/>
      <c r="BV1054" s="1183"/>
      <c r="BW1054" s="1183"/>
      <c r="BX1054" s="1183"/>
      <c r="BY1054" s="1183"/>
      <c r="BZ1054" s="1183"/>
      <c r="CA1054" s="1183"/>
      <c r="CB1054" s="1183"/>
      <c r="CC1054" s="1183"/>
      <c r="CD1054" s="1183"/>
      <c r="CE1054" s="1183"/>
      <c r="CF1054" s="1144"/>
      <c r="CG1054" s="1144"/>
      <c r="CH1054" s="1144"/>
      <c r="CI1054" s="1144"/>
      <c r="CJ1054" s="1144"/>
      <c r="CK1054" s="1144"/>
      <c r="CL1054" s="1144"/>
      <c r="CM1054" s="1144"/>
      <c r="CN1054" s="1144"/>
    </row>
    <row r="1055" spans="8:92" ht="12" customHeight="1" x14ac:dyDescent="0.35">
      <c r="H1055" s="1301"/>
      <c r="I1055" s="1300"/>
      <c r="J1055" s="1300"/>
      <c r="K1055" s="29">
        <f t="shared" ref="K1055:K1109" si="780">IF(L1055&lt;N$984,0,IF(L1055=N$984,1,IF(K1054&lt;N$985,K1054+1,0)))</f>
        <v>0</v>
      </c>
      <c r="L1055" s="485">
        <f>Infrastructure!D75</f>
        <v>182</v>
      </c>
      <c r="M1055" s="34">
        <f t="shared" ref="M1055:M1109" si="781">IF(N$983=0,0,IF(L1055&lt;N$984,0,IF(L1055=N$984,N$983,Q1054)))</f>
        <v>0</v>
      </c>
      <c r="N1055" s="34">
        <f t="shared" ref="N1055:N1109" si="782">IF(M1055&lt;0.01,0,-PMT(N$986/12,N$985,N$983,0))</f>
        <v>0</v>
      </c>
      <c r="O1055" s="34">
        <f t="shared" ref="O1055:O1109" si="783">IF(M1055&lt;1,0,-IPMT(N$986/12,K1055,N$985,N$983,0))</f>
        <v>0</v>
      </c>
      <c r="P1055" s="34">
        <f t="shared" ref="P1055:P1109" si="784">N1055-O1055</f>
        <v>0</v>
      </c>
      <c r="Q1055" s="34">
        <f t="shared" ref="Q1055:Q1109" si="785">IF(M1055&gt;0,M1055-P1055,0)</f>
        <v>0</v>
      </c>
      <c r="R1055" s="31">
        <f>IF(Input!D$298=L1134,Input!D$297,0)</f>
        <v>0</v>
      </c>
      <c r="S1055" s="36">
        <f t="shared" si="779"/>
        <v>0</v>
      </c>
      <c r="T1055" s="1818"/>
      <c r="U1055" s="1814"/>
      <c r="V1055" s="1814"/>
      <c r="W1055" s="1817"/>
      <c r="X1055" s="1814"/>
      <c r="Y1055" s="1801"/>
      <c r="Z1055" s="1801"/>
      <c r="AA1055" s="1801"/>
      <c r="AB1055" s="1801"/>
      <c r="AC1055" s="1801"/>
      <c r="AD1055" s="1801"/>
      <c r="AE1055" s="1804"/>
      <c r="AF1055" s="1183"/>
      <c r="AG1055" s="1183"/>
      <c r="AH1055" s="1183"/>
      <c r="AI1055" s="1183"/>
      <c r="AJ1055" s="1183"/>
      <c r="AK1055" s="1183"/>
      <c r="AL1055" s="1183"/>
      <c r="AM1055" s="1183"/>
      <c r="AN1055" s="1183"/>
      <c r="AO1055" s="1178">
        <v>66</v>
      </c>
      <c r="AP1055" s="485">
        <f>Infrastructure!D75</f>
        <v>182</v>
      </c>
      <c r="AQ1055" s="763">
        <f t="shared" ref="AQ1055:AQ1109" si="786">IF(OR(AP$990=0,AR$983=0),0,IF(AND(AP1055&gt;=AQ$984,AP1055&lt;AQ$985),AR$983,0))</f>
        <v>0</v>
      </c>
      <c r="AR1055" s="763">
        <f t="shared" ref="AR1055:AR1109" si="787">AQ1055*AR$986/12</f>
        <v>0</v>
      </c>
      <c r="AS1055" s="763">
        <f t="shared" si="776"/>
        <v>0</v>
      </c>
      <c r="AT1055" s="170">
        <f>IF(AR1055&gt;0,SUM(AS$990:AS1055),0)</f>
        <v>0</v>
      </c>
      <c r="AU1055" s="1183"/>
      <c r="AV1055" s="1183"/>
      <c r="AW1055" s="1183"/>
      <c r="AX1055" s="1815">
        <f t="shared" si="766"/>
        <v>182</v>
      </c>
      <c r="AY1055" s="763">
        <f t="shared" ref="AY1055:AY1109" si="788">IF(AZ$983=0,0,IF(AND(AX1055&gt;=AY$984,AX1055&lt;AY$985),AZ$983,0))</f>
        <v>0</v>
      </c>
      <c r="AZ1055" s="763">
        <f t="shared" ref="AZ1055:AZ1109" si="789">AY1055*AZ$986/12</f>
        <v>0</v>
      </c>
      <c r="BA1055" s="763">
        <f t="shared" si="777"/>
        <v>0</v>
      </c>
      <c r="BB1055" s="170">
        <f>IF(AZ1055&gt;0,SUM(BA$990:BA1055),0)</f>
        <v>0</v>
      </c>
      <c r="BC1055" s="1183"/>
      <c r="BD1055" s="1183"/>
      <c r="BE1055" s="1815">
        <f t="shared" ref="BE1055:BE1109" si="790">AX1055</f>
        <v>182</v>
      </c>
      <c r="BF1055" s="763">
        <f t="shared" ref="BF1055:BF1109" si="791">IF(BG$983=0,0,IF(AND(BE1055&gt;=BF$984,BE1055&lt;BF$985),BG$983,0))</f>
        <v>0</v>
      </c>
      <c r="BG1055" s="763">
        <f t="shared" ref="BG1055:BG1109" si="792">BF1055*BG$986/12</f>
        <v>0</v>
      </c>
      <c r="BH1055" s="763">
        <f t="shared" si="778"/>
        <v>0</v>
      </c>
      <c r="BI1055" s="170">
        <f>IF(BG1055&gt;0,SUM(BH$990:BH1055),0)</f>
        <v>0</v>
      </c>
      <c r="BJ1055" s="1183"/>
      <c r="BK1055" s="1183"/>
      <c r="BL1055" s="1183"/>
      <c r="BM1055" s="1183"/>
      <c r="BN1055" s="1183"/>
      <c r="BO1055" s="1183"/>
      <c r="BP1055" s="1183"/>
      <c r="BQ1055" s="1183"/>
      <c r="BR1055" s="1183"/>
      <c r="BS1055" s="1183"/>
      <c r="BT1055" s="1183"/>
      <c r="BU1055" s="1183"/>
      <c r="BV1055" s="1183"/>
      <c r="BW1055" s="1183"/>
      <c r="BX1055" s="1183"/>
      <c r="BY1055" s="1183"/>
      <c r="BZ1055" s="1183"/>
      <c r="CA1055" s="1183"/>
      <c r="CB1055" s="1183"/>
      <c r="CC1055" s="1183"/>
      <c r="CD1055" s="1183"/>
      <c r="CE1055" s="1183"/>
      <c r="CF1055" s="1144"/>
      <c r="CG1055" s="1144"/>
      <c r="CH1055" s="1144"/>
      <c r="CI1055" s="1144"/>
      <c r="CJ1055" s="1144"/>
      <c r="CK1055" s="1144"/>
      <c r="CL1055" s="1144"/>
      <c r="CM1055" s="1144"/>
      <c r="CN1055" s="1144"/>
    </row>
    <row r="1056" spans="8:92" ht="12" customHeight="1" x14ac:dyDescent="0.35">
      <c r="H1056" s="1301"/>
      <c r="I1056" s="1300"/>
      <c r="J1056" s="1300"/>
      <c r="K1056" s="29">
        <f t="shared" si="780"/>
        <v>0</v>
      </c>
      <c r="L1056" s="485">
        <f>Infrastructure!D76</f>
        <v>213</v>
      </c>
      <c r="M1056" s="34">
        <f t="shared" si="781"/>
        <v>0</v>
      </c>
      <c r="N1056" s="34">
        <f t="shared" si="782"/>
        <v>0</v>
      </c>
      <c r="O1056" s="34">
        <f t="shared" si="783"/>
        <v>0</v>
      </c>
      <c r="P1056" s="34">
        <f t="shared" si="784"/>
        <v>0</v>
      </c>
      <c r="Q1056" s="34">
        <f t="shared" si="785"/>
        <v>0</v>
      </c>
      <c r="R1056" s="31">
        <f>IF(Input!D$298=L1135,Input!D$297,0)</f>
        <v>0</v>
      </c>
      <c r="S1056" s="36" t="str">
        <f t="shared" si="779"/>
        <v>End</v>
      </c>
      <c r="T1056" s="1818"/>
      <c r="U1056" s="1814"/>
      <c r="V1056" s="1814"/>
      <c r="W1056" s="1817"/>
      <c r="X1056" s="1814"/>
      <c r="Y1056" s="1801"/>
      <c r="Z1056" s="1801"/>
      <c r="AA1056" s="1801"/>
      <c r="AB1056" s="1801"/>
      <c r="AC1056" s="1801"/>
      <c r="AD1056" s="1801"/>
      <c r="AE1056" s="1804"/>
      <c r="AF1056" s="1183"/>
      <c r="AG1056" s="1183"/>
      <c r="AH1056" s="1183"/>
      <c r="AI1056" s="1183"/>
      <c r="AJ1056" s="1183"/>
      <c r="AK1056" s="1183"/>
      <c r="AL1056" s="1183"/>
      <c r="AM1056" s="1183"/>
      <c r="AN1056" s="1183"/>
      <c r="AO1056" s="1178">
        <v>67</v>
      </c>
      <c r="AP1056" s="485">
        <f>Infrastructure!D76</f>
        <v>213</v>
      </c>
      <c r="AQ1056" s="763">
        <f t="shared" si="786"/>
        <v>0</v>
      </c>
      <c r="AR1056" s="763">
        <f t="shared" si="787"/>
        <v>0</v>
      </c>
      <c r="AS1056" s="763">
        <f t="shared" si="776"/>
        <v>0</v>
      </c>
      <c r="AT1056" s="170">
        <f>IF(AR1056&gt;0,SUM(AS$990:AS1056),0)</f>
        <v>0</v>
      </c>
      <c r="AU1056" s="1183"/>
      <c r="AV1056" s="1183"/>
      <c r="AW1056" s="1183"/>
      <c r="AX1056" s="1815">
        <f t="shared" ref="AX1056:AX1109" si="793">AP1056</f>
        <v>213</v>
      </c>
      <c r="AY1056" s="763">
        <f t="shared" si="788"/>
        <v>0</v>
      </c>
      <c r="AZ1056" s="763">
        <f t="shared" si="789"/>
        <v>0</v>
      </c>
      <c r="BA1056" s="763">
        <f t="shared" si="777"/>
        <v>0</v>
      </c>
      <c r="BB1056" s="170">
        <f>IF(AZ1056&gt;0,SUM(BA$990:BA1056),0)</f>
        <v>0</v>
      </c>
      <c r="BC1056" s="1183"/>
      <c r="BD1056" s="1183"/>
      <c r="BE1056" s="1815">
        <f t="shared" si="790"/>
        <v>213</v>
      </c>
      <c r="BF1056" s="763">
        <f t="shared" si="791"/>
        <v>0</v>
      </c>
      <c r="BG1056" s="763">
        <f t="shared" si="792"/>
        <v>0</v>
      </c>
      <c r="BH1056" s="763">
        <f t="shared" si="778"/>
        <v>0</v>
      </c>
      <c r="BI1056" s="170">
        <f>IF(BG1056&gt;0,SUM(BH$990:BH1056),0)</f>
        <v>0</v>
      </c>
      <c r="BJ1056" s="1183"/>
      <c r="BK1056" s="1183"/>
      <c r="BL1056" s="1183"/>
      <c r="BM1056" s="1183"/>
      <c r="BN1056" s="1183"/>
      <c r="BO1056" s="1183"/>
      <c r="BP1056" s="1183"/>
      <c r="BQ1056" s="1183"/>
      <c r="BR1056" s="1183"/>
      <c r="BS1056" s="1183"/>
      <c r="BT1056" s="1183"/>
      <c r="BU1056" s="1183"/>
      <c r="BV1056" s="1183"/>
      <c r="BW1056" s="1183"/>
      <c r="BX1056" s="1183"/>
      <c r="BY1056" s="1183"/>
      <c r="BZ1056" s="1183"/>
      <c r="CA1056" s="1183"/>
      <c r="CB1056" s="1183"/>
      <c r="CC1056" s="1183"/>
      <c r="CD1056" s="1183"/>
      <c r="CE1056" s="1183"/>
      <c r="CF1056" s="1144"/>
      <c r="CG1056" s="1144"/>
      <c r="CH1056" s="1144"/>
      <c r="CI1056" s="1144"/>
      <c r="CJ1056" s="1144"/>
      <c r="CK1056" s="1144"/>
      <c r="CL1056" s="1144"/>
      <c r="CM1056" s="1144"/>
      <c r="CN1056" s="1144"/>
    </row>
    <row r="1057" spans="11:92" ht="12" customHeight="1" x14ac:dyDescent="0.35">
      <c r="K1057" s="29">
        <f t="shared" si="780"/>
        <v>0</v>
      </c>
      <c r="L1057" s="485">
        <f>Infrastructure!D77</f>
        <v>244</v>
      </c>
      <c r="M1057" s="34">
        <f t="shared" si="781"/>
        <v>0</v>
      </c>
      <c r="N1057" s="34">
        <f t="shared" si="782"/>
        <v>0</v>
      </c>
      <c r="O1057" s="34">
        <f t="shared" si="783"/>
        <v>0</v>
      </c>
      <c r="P1057" s="34">
        <f t="shared" si="784"/>
        <v>0</v>
      </c>
      <c r="Q1057" s="34">
        <f t="shared" si="785"/>
        <v>0</v>
      </c>
      <c r="R1057" s="31">
        <f>IF(Input!D$298=L1136,Input!D$297,0)</f>
        <v>0</v>
      </c>
      <c r="S1057" s="36">
        <f t="shared" si="779"/>
        <v>0</v>
      </c>
      <c r="T1057" s="1818"/>
      <c r="U1057" s="1814"/>
      <c r="V1057" s="1814"/>
      <c r="W1057" s="1817"/>
      <c r="X1057" s="1814"/>
      <c r="Y1057" s="1801"/>
      <c r="Z1057" s="1801"/>
      <c r="AA1057" s="1801"/>
      <c r="AB1057" s="1801"/>
      <c r="AC1057" s="1801"/>
      <c r="AD1057" s="1801"/>
      <c r="AE1057" s="1804"/>
      <c r="AF1057" s="1183"/>
      <c r="AG1057" s="1183"/>
      <c r="AH1057" s="1183"/>
      <c r="AI1057" s="1183"/>
      <c r="AJ1057" s="1183"/>
      <c r="AK1057" s="1183"/>
      <c r="AL1057" s="1183"/>
      <c r="AM1057" s="1183"/>
      <c r="AN1057" s="1183"/>
      <c r="AO1057" s="1178">
        <v>68</v>
      </c>
      <c r="AP1057" s="485">
        <f>Infrastructure!D77</f>
        <v>244</v>
      </c>
      <c r="AQ1057" s="763">
        <f t="shared" si="786"/>
        <v>0</v>
      </c>
      <c r="AR1057" s="763">
        <f t="shared" si="787"/>
        <v>0</v>
      </c>
      <c r="AS1057" s="763">
        <f t="shared" si="776"/>
        <v>0</v>
      </c>
      <c r="AT1057" s="170">
        <f>IF(AR1057&gt;0,SUM(AS$990:AS1057),0)</f>
        <v>0</v>
      </c>
      <c r="AU1057" s="1183"/>
      <c r="AV1057" s="1183"/>
      <c r="AW1057" s="1183"/>
      <c r="AX1057" s="1815">
        <f t="shared" si="793"/>
        <v>244</v>
      </c>
      <c r="AY1057" s="763">
        <f t="shared" si="788"/>
        <v>0</v>
      </c>
      <c r="AZ1057" s="763">
        <f t="shared" si="789"/>
        <v>0</v>
      </c>
      <c r="BA1057" s="763">
        <f t="shared" si="777"/>
        <v>0</v>
      </c>
      <c r="BB1057" s="170">
        <f>IF(AZ1057&gt;0,SUM(BA$990:BA1057),0)</f>
        <v>0</v>
      </c>
      <c r="BC1057" s="1183"/>
      <c r="BD1057" s="1183"/>
      <c r="BE1057" s="1815">
        <f t="shared" si="790"/>
        <v>244</v>
      </c>
      <c r="BF1057" s="763">
        <f t="shared" si="791"/>
        <v>0</v>
      </c>
      <c r="BG1057" s="763">
        <f t="shared" si="792"/>
        <v>0</v>
      </c>
      <c r="BH1057" s="763">
        <f t="shared" si="778"/>
        <v>0</v>
      </c>
      <c r="BI1057" s="170">
        <f>IF(BG1057&gt;0,SUM(BH$990:BH1057),0)</f>
        <v>0</v>
      </c>
      <c r="BJ1057" s="1183"/>
      <c r="BK1057" s="1183"/>
      <c r="BL1057" s="1183"/>
      <c r="BM1057" s="1183"/>
      <c r="BN1057" s="1183"/>
      <c r="BO1057" s="1183"/>
      <c r="BP1057" s="1183"/>
      <c r="BQ1057" s="1183"/>
      <c r="BR1057" s="1183"/>
      <c r="BS1057" s="1183"/>
      <c r="BT1057" s="1183"/>
      <c r="BU1057" s="1183"/>
      <c r="BV1057" s="1183"/>
      <c r="BW1057" s="1183"/>
      <c r="BX1057" s="1183"/>
      <c r="BY1057" s="1183"/>
      <c r="BZ1057" s="1183"/>
      <c r="CA1057" s="1183"/>
      <c r="CB1057" s="1183"/>
      <c r="CC1057" s="1183"/>
      <c r="CD1057" s="1183"/>
      <c r="CE1057" s="1183"/>
      <c r="CF1057" s="1144"/>
      <c r="CG1057" s="1144"/>
      <c r="CH1057" s="1144"/>
      <c r="CI1057" s="1144"/>
      <c r="CJ1057" s="1144"/>
      <c r="CK1057" s="1144"/>
      <c r="CL1057" s="1144"/>
      <c r="CM1057" s="1144"/>
      <c r="CN1057" s="1144"/>
    </row>
    <row r="1058" spans="11:92" ht="12" customHeight="1" x14ac:dyDescent="0.35">
      <c r="K1058" s="29">
        <f t="shared" si="780"/>
        <v>0</v>
      </c>
      <c r="L1058" s="485">
        <f>Infrastructure!D78</f>
        <v>274</v>
      </c>
      <c r="M1058" s="34">
        <f t="shared" si="781"/>
        <v>0</v>
      </c>
      <c r="N1058" s="34">
        <f t="shared" si="782"/>
        <v>0</v>
      </c>
      <c r="O1058" s="34">
        <f t="shared" si="783"/>
        <v>0</v>
      </c>
      <c r="P1058" s="34">
        <f t="shared" si="784"/>
        <v>0</v>
      </c>
      <c r="Q1058" s="34">
        <f t="shared" si="785"/>
        <v>0</v>
      </c>
      <c r="R1058" s="31">
        <f>IF(Input!D$298=L1124,Input!D$297,0)</f>
        <v>0</v>
      </c>
      <c r="S1058" s="36">
        <f>Q1124</f>
        <v>0</v>
      </c>
      <c r="T1058" s="1818"/>
      <c r="U1058" s="1814"/>
      <c r="V1058" s="1814"/>
      <c r="W1058" s="1817"/>
      <c r="X1058" s="1814"/>
      <c r="Y1058" s="1801"/>
      <c r="Z1058" s="1801"/>
      <c r="AA1058" s="1801"/>
      <c r="AB1058" s="1801"/>
      <c r="AC1058" s="1801"/>
      <c r="AD1058" s="1801"/>
      <c r="AE1058" s="1804"/>
      <c r="AF1058" s="1183"/>
      <c r="AG1058" s="1183"/>
      <c r="AH1058" s="1183"/>
      <c r="AI1058" s="1183"/>
      <c r="AJ1058" s="1183"/>
      <c r="AK1058" s="1183"/>
      <c r="AL1058" s="1183"/>
      <c r="AM1058" s="1183"/>
      <c r="AN1058" s="1183"/>
      <c r="AO1058" s="1178">
        <v>69</v>
      </c>
      <c r="AP1058" s="485">
        <f>Infrastructure!D78</f>
        <v>274</v>
      </c>
      <c r="AQ1058" s="763">
        <f t="shared" si="786"/>
        <v>0</v>
      </c>
      <c r="AR1058" s="763">
        <f t="shared" si="787"/>
        <v>0</v>
      </c>
      <c r="AS1058" s="763">
        <f t="shared" si="776"/>
        <v>0</v>
      </c>
      <c r="AT1058" s="170">
        <f>IF(AR1058&gt;0,SUM(AS$990:AS1058),0)</f>
        <v>0</v>
      </c>
      <c r="AU1058" s="1183"/>
      <c r="AV1058" s="1183"/>
      <c r="AW1058" s="1183"/>
      <c r="AX1058" s="1815">
        <f t="shared" si="793"/>
        <v>274</v>
      </c>
      <c r="AY1058" s="763">
        <f t="shared" si="788"/>
        <v>0</v>
      </c>
      <c r="AZ1058" s="763">
        <f t="shared" si="789"/>
        <v>0</v>
      </c>
      <c r="BA1058" s="763">
        <f t="shared" si="777"/>
        <v>0</v>
      </c>
      <c r="BB1058" s="170">
        <f>IF(AZ1058&gt;0,SUM(BA$990:BA1058),0)</f>
        <v>0</v>
      </c>
      <c r="BC1058" s="1183"/>
      <c r="BD1058" s="1183"/>
      <c r="BE1058" s="1815">
        <f t="shared" si="790"/>
        <v>274</v>
      </c>
      <c r="BF1058" s="763">
        <f t="shared" si="791"/>
        <v>0</v>
      </c>
      <c r="BG1058" s="763">
        <f t="shared" si="792"/>
        <v>0</v>
      </c>
      <c r="BH1058" s="763">
        <f t="shared" si="778"/>
        <v>0</v>
      </c>
      <c r="BI1058" s="170">
        <f>IF(BG1058&gt;0,SUM(BH$990:BH1058),0)</f>
        <v>0</v>
      </c>
      <c r="BJ1058" s="1183"/>
      <c r="BK1058" s="1183"/>
      <c r="BL1058" s="1183"/>
      <c r="BM1058" s="1183"/>
      <c r="BN1058" s="1183"/>
      <c r="BO1058" s="1183"/>
      <c r="BP1058" s="1183"/>
      <c r="BQ1058" s="1183"/>
      <c r="BR1058" s="1183"/>
      <c r="BS1058" s="1183"/>
      <c r="BT1058" s="1183"/>
      <c r="BU1058" s="1183"/>
      <c r="BV1058" s="1183"/>
      <c r="BW1058" s="1183"/>
      <c r="BX1058" s="1183"/>
      <c r="BY1058" s="1183"/>
      <c r="BZ1058" s="1183"/>
      <c r="CA1058" s="1183"/>
      <c r="CB1058" s="1183"/>
      <c r="CC1058" s="1183"/>
      <c r="CD1058" s="1183"/>
      <c r="CE1058" s="1183"/>
      <c r="CF1058" s="1144"/>
      <c r="CG1058" s="1144"/>
      <c r="CH1058" s="1144"/>
      <c r="CI1058" s="1144"/>
      <c r="CJ1058" s="1144"/>
      <c r="CK1058" s="1144"/>
      <c r="CL1058" s="1144"/>
      <c r="CM1058" s="1144"/>
      <c r="CN1058" s="1144"/>
    </row>
    <row r="1059" spans="11:92" ht="12" customHeight="1" x14ac:dyDescent="0.35">
      <c r="K1059" s="29">
        <f t="shared" si="780"/>
        <v>0</v>
      </c>
      <c r="L1059" s="485">
        <f>Infrastructure!D79</f>
        <v>305</v>
      </c>
      <c r="M1059" s="34">
        <f t="shared" si="781"/>
        <v>0</v>
      </c>
      <c r="N1059" s="34">
        <f t="shared" si="782"/>
        <v>0</v>
      </c>
      <c r="O1059" s="34">
        <f t="shared" si="783"/>
        <v>0</v>
      </c>
      <c r="P1059" s="34">
        <f t="shared" si="784"/>
        <v>0</v>
      </c>
      <c r="Q1059" s="34">
        <f t="shared" si="785"/>
        <v>0</v>
      </c>
      <c r="R1059" s="31">
        <f>IF(Input!D$298=L1267,Input!D$297,0)</f>
        <v>0</v>
      </c>
      <c r="S1059" s="36">
        <f>Q1267</f>
        <v>0</v>
      </c>
      <c r="T1059" s="1818"/>
      <c r="U1059" s="1814"/>
      <c r="V1059" s="1814"/>
      <c r="W1059" s="1817"/>
      <c r="X1059" s="1814"/>
      <c r="Y1059" s="1801"/>
      <c r="Z1059" s="1801"/>
      <c r="AA1059" s="1801"/>
      <c r="AB1059" s="1801"/>
      <c r="AC1059" s="1801"/>
      <c r="AD1059" s="1801"/>
      <c r="AE1059" s="1804"/>
      <c r="AF1059" s="1183"/>
      <c r="AG1059" s="1183"/>
      <c r="AH1059" s="1183"/>
      <c r="AI1059" s="1183"/>
      <c r="AJ1059" s="1183"/>
      <c r="AK1059" s="1183"/>
      <c r="AL1059" s="1183"/>
      <c r="AM1059" s="1183"/>
      <c r="AN1059" s="1183"/>
      <c r="AO1059" s="1178">
        <v>70</v>
      </c>
      <c r="AP1059" s="485">
        <f>Infrastructure!D79</f>
        <v>305</v>
      </c>
      <c r="AQ1059" s="763">
        <f t="shared" si="786"/>
        <v>0</v>
      </c>
      <c r="AR1059" s="763">
        <f t="shared" si="787"/>
        <v>0</v>
      </c>
      <c r="AS1059" s="763">
        <f t="shared" si="776"/>
        <v>0</v>
      </c>
      <c r="AT1059" s="170">
        <f>IF(AR1059&gt;0,SUM(AS$990:AS1059),0)</f>
        <v>0</v>
      </c>
      <c r="AU1059" s="1183"/>
      <c r="AV1059" s="1183"/>
      <c r="AW1059" s="1183"/>
      <c r="AX1059" s="1815">
        <f t="shared" si="793"/>
        <v>305</v>
      </c>
      <c r="AY1059" s="763">
        <f t="shared" si="788"/>
        <v>0</v>
      </c>
      <c r="AZ1059" s="763">
        <f t="shared" si="789"/>
        <v>0</v>
      </c>
      <c r="BA1059" s="763">
        <f t="shared" si="777"/>
        <v>0</v>
      </c>
      <c r="BB1059" s="170">
        <f>IF(AZ1059&gt;0,SUM(BA$990:BA1059),0)</f>
        <v>0</v>
      </c>
      <c r="BC1059" s="1183"/>
      <c r="BD1059" s="1183"/>
      <c r="BE1059" s="1815">
        <f t="shared" si="790"/>
        <v>305</v>
      </c>
      <c r="BF1059" s="763">
        <f t="shared" si="791"/>
        <v>0</v>
      </c>
      <c r="BG1059" s="763">
        <f t="shared" si="792"/>
        <v>0</v>
      </c>
      <c r="BH1059" s="763">
        <f t="shared" si="778"/>
        <v>0</v>
      </c>
      <c r="BI1059" s="170">
        <f>IF(BG1059&gt;0,SUM(BH$990:BH1059),0)</f>
        <v>0</v>
      </c>
      <c r="BJ1059" s="1183"/>
      <c r="BK1059" s="1183"/>
      <c r="BL1059" s="1183"/>
      <c r="BM1059" s="1183"/>
      <c r="BN1059" s="1183"/>
      <c r="BO1059" s="1183"/>
      <c r="BP1059" s="1183"/>
      <c r="BQ1059" s="1183"/>
      <c r="BR1059" s="1183"/>
      <c r="BS1059" s="1183"/>
      <c r="BT1059" s="1183"/>
      <c r="BU1059" s="1183"/>
      <c r="BV1059" s="1183"/>
      <c r="BW1059" s="1183"/>
      <c r="BX1059" s="1183"/>
      <c r="BY1059" s="1183"/>
      <c r="BZ1059" s="1183"/>
      <c r="CA1059" s="1183"/>
      <c r="CB1059" s="1183"/>
      <c r="CC1059" s="1183"/>
      <c r="CD1059" s="1183"/>
      <c r="CE1059" s="1183"/>
      <c r="CF1059" s="1144"/>
      <c r="CG1059" s="1144"/>
      <c r="CH1059" s="1144"/>
      <c r="CI1059" s="1144"/>
      <c r="CJ1059" s="1144"/>
      <c r="CK1059" s="1144"/>
      <c r="CL1059" s="1144"/>
      <c r="CM1059" s="1144"/>
      <c r="CN1059" s="1144"/>
    </row>
    <row r="1060" spans="11:92" ht="12" customHeight="1" x14ac:dyDescent="0.35">
      <c r="K1060" s="29">
        <f t="shared" si="780"/>
        <v>0</v>
      </c>
      <c r="L1060" s="485">
        <f>Infrastructure!D80</f>
        <v>335</v>
      </c>
      <c r="M1060" s="34">
        <f t="shared" si="781"/>
        <v>0</v>
      </c>
      <c r="N1060" s="34">
        <f t="shared" si="782"/>
        <v>0</v>
      </c>
      <c r="O1060" s="34">
        <f t="shared" si="783"/>
        <v>0</v>
      </c>
      <c r="P1060" s="34">
        <f t="shared" si="784"/>
        <v>0</v>
      </c>
      <c r="Q1060" s="34">
        <f t="shared" si="785"/>
        <v>0</v>
      </c>
      <c r="R1060" s="31">
        <f>IF(Input!D$298=L1268,Input!D$297,0)</f>
        <v>0</v>
      </c>
      <c r="S1060" s="36">
        <f>Q1267</f>
        <v>0</v>
      </c>
      <c r="T1060" s="1818"/>
      <c r="U1060" s="1814"/>
      <c r="V1060" s="1814"/>
      <c r="W1060" s="1817"/>
      <c r="X1060" s="1814"/>
      <c r="Y1060" s="1801"/>
      <c r="Z1060" s="1801"/>
      <c r="AA1060" s="1801"/>
      <c r="AB1060" s="1801"/>
      <c r="AC1060" s="1801"/>
      <c r="AD1060" s="1801"/>
      <c r="AE1060" s="1804"/>
      <c r="AF1060" s="1183"/>
      <c r="AG1060" s="1183"/>
      <c r="AH1060" s="1183"/>
      <c r="AI1060" s="1183"/>
      <c r="AJ1060" s="1183"/>
      <c r="AK1060" s="1183"/>
      <c r="AL1060" s="1183"/>
      <c r="AM1060" s="1183"/>
      <c r="AN1060" s="1183"/>
      <c r="AO1060" s="1178">
        <v>71</v>
      </c>
      <c r="AP1060" s="485">
        <f>Infrastructure!D80</f>
        <v>335</v>
      </c>
      <c r="AQ1060" s="763">
        <f t="shared" si="786"/>
        <v>0</v>
      </c>
      <c r="AR1060" s="763">
        <f t="shared" si="787"/>
        <v>0</v>
      </c>
      <c r="AS1060" s="763">
        <f t="shared" si="776"/>
        <v>0</v>
      </c>
      <c r="AT1060" s="170">
        <f>IF(AR1060&gt;0,SUM(AS$990:AS1060),0)</f>
        <v>0</v>
      </c>
      <c r="AU1060" s="1183"/>
      <c r="AV1060" s="1183"/>
      <c r="AW1060" s="1183"/>
      <c r="AX1060" s="1815">
        <f t="shared" si="793"/>
        <v>335</v>
      </c>
      <c r="AY1060" s="763">
        <f t="shared" si="788"/>
        <v>0</v>
      </c>
      <c r="AZ1060" s="763">
        <f t="shared" si="789"/>
        <v>0</v>
      </c>
      <c r="BA1060" s="763">
        <f t="shared" si="777"/>
        <v>0</v>
      </c>
      <c r="BB1060" s="170">
        <f>IF(AZ1060&gt;0,SUM(BA$990:BA1060),0)</f>
        <v>0</v>
      </c>
      <c r="BC1060" s="1183"/>
      <c r="BD1060" s="1183"/>
      <c r="BE1060" s="1815">
        <f t="shared" si="790"/>
        <v>335</v>
      </c>
      <c r="BF1060" s="763">
        <f t="shared" si="791"/>
        <v>0</v>
      </c>
      <c r="BG1060" s="763">
        <f t="shared" si="792"/>
        <v>0</v>
      </c>
      <c r="BH1060" s="763">
        <f t="shared" si="778"/>
        <v>0</v>
      </c>
      <c r="BI1060" s="170">
        <f>IF(BG1060&gt;0,SUM(BH$990:BH1060),0)</f>
        <v>0</v>
      </c>
      <c r="BJ1060" s="1183"/>
      <c r="BK1060" s="1183"/>
      <c r="BL1060" s="1183"/>
      <c r="BM1060" s="1183"/>
      <c r="BN1060" s="1183"/>
      <c r="BO1060" s="1183"/>
      <c r="BP1060" s="1183"/>
      <c r="BQ1060" s="1183"/>
      <c r="BR1060" s="1183"/>
      <c r="BS1060" s="1183"/>
      <c r="BT1060" s="1183"/>
      <c r="BU1060" s="1183"/>
      <c r="BV1060" s="1183"/>
      <c r="BW1060" s="1183"/>
      <c r="BX1060" s="1183"/>
      <c r="BY1060" s="1183"/>
      <c r="BZ1060" s="1183"/>
      <c r="CA1060" s="1183"/>
      <c r="CB1060" s="1183"/>
      <c r="CC1060" s="1183"/>
      <c r="CD1060" s="1183"/>
      <c r="CE1060" s="1183"/>
      <c r="CF1060" s="1144"/>
      <c r="CG1060" s="1144"/>
      <c r="CH1060" s="1144"/>
      <c r="CI1060" s="1144"/>
      <c r="CJ1060" s="1144"/>
      <c r="CK1060" s="1144"/>
      <c r="CL1060" s="1144"/>
      <c r="CM1060" s="1144"/>
      <c r="CN1060" s="1144"/>
    </row>
    <row r="1061" spans="11:92" ht="12" customHeight="1" x14ac:dyDescent="0.35">
      <c r="K1061" s="29">
        <f t="shared" si="780"/>
        <v>0</v>
      </c>
      <c r="L1061" s="485">
        <f>Infrastructure!D81</f>
        <v>366</v>
      </c>
      <c r="M1061" s="34">
        <f t="shared" si="781"/>
        <v>0</v>
      </c>
      <c r="N1061" s="34">
        <f t="shared" si="782"/>
        <v>0</v>
      </c>
      <c r="O1061" s="34">
        <f t="shared" si="783"/>
        <v>0</v>
      </c>
      <c r="P1061" s="34">
        <f t="shared" si="784"/>
        <v>0</v>
      </c>
      <c r="Q1061" s="34">
        <f t="shared" si="785"/>
        <v>0</v>
      </c>
      <c r="R1061" s="31">
        <f>IF(Input!D$298=L1277,Input!D$297,0)</f>
        <v>0</v>
      </c>
      <c r="S1061" s="36">
        <f>Q1277</f>
        <v>0</v>
      </c>
      <c r="T1061" s="1818"/>
      <c r="U1061" s="1814"/>
      <c r="V1061" s="1814"/>
      <c r="W1061" s="1817"/>
      <c r="X1061" s="1814"/>
      <c r="Y1061" s="1801"/>
      <c r="Z1061" s="1801"/>
      <c r="AA1061" s="1801"/>
      <c r="AB1061" s="1801"/>
      <c r="AC1061" s="1801"/>
      <c r="AD1061" s="1801"/>
      <c r="AE1061" s="1804"/>
      <c r="AF1061" s="1183"/>
      <c r="AG1061" s="1183"/>
      <c r="AH1061" s="1183"/>
      <c r="AI1061" s="1183"/>
      <c r="AJ1061" s="1183"/>
      <c r="AK1061" s="1183"/>
      <c r="AL1061" s="1183"/>
      <c r="AM1061" s="1183"/>
      <c r="AN1061" s="1183"/>
      <c r="AO1061" s="1178">
        <v>72</v>
      </c>
      <c r="AP1061" s="485">
        <f>Infrastructure!D81</f>
        <v>366</v>
      </c>
      <c r="AQ1061" s="763">
        <f t="shared" si="786"/>
        <v>0</v>
      </c>
      <c r="AR1061" s="763">
        <f t="shared" si="787"/>
        <v>0</v>
      </c>
      <c r="AS1061" s="763">
        <f t="shared" si="776"/>
        <v>0</v>
      </c>
      <c r="AT1061" s="170">
        <f>IF(AR1061&gt;0,SUM(AS$990:AS1061),0)</f>
        <v>0</v>
      </c>
      <c r="AU1061" s="1183"/>
      <c r="AV1061" s="1183"/>
      <c r="AW1061" s="1183"/>
      <c r="AX1061" s="1815">
        <f t="shared" si="793"/>
        <v>366</v>
      </c>
      <c r="AY1061" s="763">
        <f t="shared" si="788"/>
        <v>0</v>
      </c>
      <c r="AZ1061" s="763">
        <f t="shared" si="789"/>
        <v>0</v>
      </c>
      <c r="BA1061" s="763">
        <f t="shared" si="777"/>
        <v>0</v>
      </c>
      <c r="BB1061" s="170">
        <f>IF(AZ1061&gt;0,SUM(BA$990:BA1061),0)</f>
        <v>0</v>
      </c>
      <c r="BC1061" s="1183"/>
      <c r="BD1061" s="1183"/>
      <c r="BE1061" s="1815">
        <f t="shared" si="790"/>
        <v>366</v>
      </c>
      <c r="BF1061" s="763">
        <f t="shared" si="791"/>
        <v>0</v>
      </c>
      <c r="BG1061" s="763">
        <f t="shared" si="792"/>
        <v>0</v>
      </c>
      <c r="BH1061" s="763">
        <f t="shared" si="778"/>
        <v>0</v>
      </c>
      <c r="BI1061" s="170">
        <f>IF(BG1061&gt;0,SUM(BH$990:BH1061),0)</f>
        <v>0</v>
      </c>
      <c r="BJ1061" s="1183"/>
      <c r="BK1061" s="1183"/>
      <c r="BL1061" s="1183"/>
      <c r="BM1061" s="1183"/>
      <c r="BN1061" s="1183"/>
      <c r="BO1061" s="1183"/>
      <c r="BP1061" s="1183"/>
      <c r="BQ1061" s="1183"/>
      <c r="BR1061" s="1183"/>
      <c r="BS1061" s="1183"/>
      <c r="BT1061" s="1183"/>
      <c r="BU1061" s="1183"/>
      <c r="BV1061" s="1183"/>
      <c r="BW1061" s="1183"/>
      <c r="BX1061" s="1183"/>
      <c r="BY1061" s="1183"/>
      <c r="BZ1061" s="1183"/>
      <c r="CA1061" s="1183"/>
      <c r="CB1061" s="1183"/>
      <c r="CC1061" s="1183"/>
      <c r="CD1061" s="1183"/>
      <c r="CE1061" s="1183"/>
      <c r="CF1061" s="1144"/>
      <c r="CG1061" s="1144"/>
      <c r="CH1061" s="1144"/>
      <c r="CI1061" s="1144"/>
      <c r="CJ1061" s="1144"/>
      <c r="CK1061" s="1144"/>
      <c r="CL1061" s="1144"/>
      <c r="CM1061" s="1144"/>
      <c r="CN1061" s="1144"/>
    </row>
    <row r="1062" spans="11:92" ht="12" customHeight="1" x14ac:dyDescent="0.35">
      <c r="K1062" s="29">
        <f t="shared" si="780"/>
        <v>0</v>
      </c>
      <c r="L1062" s="485">
        <f>Infrastructure!D82</f>
        <v>397</v>
      </c>
      <c r="M1062" s="34">
        <f t="shared" si="781"/>
        <v>0</v>
      </c>
      <c r="N1062" s="34">
        <f t="shared" si="782"/>
        <v>0</v>
      </c>
      <c r="O1062" s="34">
        <f t="shared" si="783"/>
        <v>0</v>
      </c>
      <c r="P1062" s="34">
        <f t="shared" si="784"/>
        <v>0</v>
      </c>
      <c r="Q1062" s="34">
        <f t="shared" si="785"/>
        <v>0</v>
      </c>
      <c r="R1062" s="31">
        <f>IF(Input!D$298=L1278,Input!D$297,0)</f>
        <v>0</v>
      </c>
      <c r="S1062" s="36">
        <f>Q1278</f>
        <v>0</v>
      </c>
      <c r="T1062" s="1818"/>
      <c r="U1062" s="1814"/>
      <c r="V1062" s="1814"/>
      <c r="W1062" s="1817"/>
      <c r="X1062" s="1814"/>
      <c r="Y1062" s="1801"/>
      <c r="Z1062" s="1801"/>
      <c r="AA1062" s="1801"/>
      <c r="AB1062" s="1801"/>
      <c r="AC1062" s="1801"/>
      <c r="AD1062" s="1801"/>
      <c r="AE1062" s="1801"/>
      <c r="AF1062" s="1814"/>
      <c r="AG1062" s="1183"/>
      <c r="AH1062" s="1814"/>
      <c r="AI1062" s="1814"/>
      <c r="AJ1062" s="1814"/>
      <c r="AK1062" s="1814"/>
      <c r="AL1062" s="1814"/>
      <c r="AM1062" s="1814"/>
      <c r="AN1062" s="1814"/>
      <c r="AO1062" s="1178">
        <v>73</v>
      </c>
      <c r="AP1062" s="485">
        <f>Infrastructure!D82</f>
        <v>397</v>
      </c>
      <c r="AQ1062" s="763">
        <f t="shared" si="786"/>
        <v>0</v>
      </c>
      <c r="AR1062" s="763">
        <f t="shared" si="787"/>
        <v>0</v>
      </c>
      <c r="AS1062" s="763">
        <f t="shared" si="776"/>
        <v>0</v>
      </c>
      <c r="AT1062" s="170">
        <f>IF(AR1062&gt;0,SUM(AS$990:AS1062),0)</f>
        <v>0</v>
      </c>
      <c r="AU1062" s="1814"/>
      <c r="AV1062" s="1814"/>
      <c r="AW1062" s="1814"/>
      <c r="AX1062" s="1815">
        <f t="shared" si="793"/>
        <v>397</v>
      </c>
      <c r="AY1062" s="763">
        <f t="shared" si="788"/>
        <v>0</v>
      </c>
      <c r="AZ1062" s="763">
        <f t="shared" si="789"/>
        <v>0</v>
      </c>
      <c r="BA1062" s="763">
        <f t="shared" si="777"/>
        <v>0</v>
      </c>
      <c r="BB1062" s="170">
        <f>IF(AZ1062&gt;0,SUM(BA$990:BA1062),0)</f>
        <v>0</v>
      </c>
      <c r="BC1062" s="1814"/>
      <c r="BD1062" s="1814"/>
      <c r="BE1062" s="1815">
        <f t="shared" si="790"/>
        <v>397</v>
      </c>
      <c r="BF1062" s="763">
        <f t="shared" si="791"/>
        <v>0</v>
      </c>
      <c r="BG1062" s="763">
        <f t="shared" si="792"/>
        <v>0</v>
      </c>
      <c r="BH1062" s="763">
        <f t="shared" si="778"/>
        <v>0</v>
      </c>
      <c r="BI1062" s="170">
        <f>IF(BG1062&gt;0,SUM(BH$990:BH1062),0)</f>
        <v>0</v>
      </c>
      <c r="BJ1062" s="1814"/>
      <c r="BK1062" s="1814"/>
      <c r="BL1062" s="1814"/>
      <c r="BM1062" s="1814"/>
      <c r="BN1062" s="1814"/>
      <c r="BO1062" s="1814"/>
      <c r="BP1062" s="1814"/>
      <c r="BQ1062" s="1814"/>
      <c r="BR1062" s="1814"/>
      <c r="BS1062" s="1814"/>
      <c r="BT1062" s="1814"/>
      <c r="BU1062" s="1814"/>
      <c r="BV1062" s="1814"/>
      <c r="BW1062" s="1814"/>
      <c r="BX1062" s="1814"/>
      <c r="BY1062" s="1814"/>
      <c r="BZ1062" s="1814"/>
      <c r="CA1062" s="1814"/>
      <c r="CB1062" s="1814"/>
      <c r="CC1062" s="1814"/>
      <c r="CD1062" s="1814"/>
      <c r="CE1062" s="1814"/>
      <c r="CF1062" s="1814"/>
      <c r="CG1062" s="1814"/>
      <c r="CH1062" s="1814"/>
      <c r="CI1062" s="1814"/>
      <c r="CJ1062" s="1814"/>
      <c r="CK1062" s="1814"/>
      <c r="CL1062" s="1144"/>
      <c r="CM1062" s="1144"/>
      <c r="CN1062" s="1144"/>
    </row>
    <row r="1063" spans="11:92" ht="12" customHeight="1" x14ac:dyDescent="0.35">
      <c r="K1063" s="29">
        <f t="shared" si="780"/>
        <v>0</v>
      </c>
      <c r="L1063" s="485">
        <f>Infrastructure!D83</f>
        <v>425</v>
      </c>
      <c r="M1063" s="34">
        <f t="shared" si="781"/>
        <v>0</v>
      </c>
      <c r="N1063" s="34">
        <f t="shared" si="782"/>
        <v>0</v>
      </c>
      <c r="O1063" s="34">
        <f t="shared" si="783"/>
        <v>0</v>
      </c>
      <c r="P1063" s="34">
        <f t="shared" si="784"/>
        <v>0</v>
      </c>
      <c r="Q1063" s="34">
        <f t="shared" si="785"/>
        <v>0</v>
      </c>
      <c r="R1063" s="31">
        <f>IF(Input!D$298=L1279,Input!D$297,0)</f>
        <v>0</v>
      </c>
      <c r="S1063" s="36">
        <f>Q1279</f>
        <v>0</v>
      </c>
      <c r="T1063" s="1818"/>
      <c r="U1063" s="1814"/>
      <c r="V1063" s="1814"/>
      <c r="W1063" s="1817"/>
      <c r="X1063" s="1814"/>
      <c r="Y1063" s="1801"/>
      <c r="Z1063" s="1801"/>
      <c r="AA1063" s="1801"/>
      <c r="AB1063" s="1801"/>
      <c r="AC1063" s="1801"/>
      <c r="AD1063" s="1801"/>
      <c r="AE1063" s="1801"/>
      <c r="AF1063" s="1814"/>
      <c r="AG1063" s="1183"/>
      <c r="AH1063" s="376"/>
      <c r="AI1063" s="376"/>
      <c r="AJ1063" s="376"/>
      <c r="AK1063" s="376"/>
      <c r="AL1063" s="1148"/>
      <c r="AM1063" s="1148"/>
      <c r="AN1063" s="1148"/>
      <c r="AO1063" s="1178">
        <v>74</v>
      </c>
      <c r="AP1063" s="485">
        <f>Infrastructure!D83</f>
        <v>425</v>
      </c>
      <c r="AQ1063" s="763">
        <f t="shared" si="786"/>
        <v>0</v>
      </c>
      <c r="AR1063" s="763">
        <f t="shared" si="787"/>
        <v>0</v>
      </c>
      <c r="AS1063" s="763">
        <f t="shared" si="776"/>
        <v>0</v>
      </c>
      <c r="AT1063" s="170">
        <f>IF(AR1063&gt;0,SUM(AS$990:AS1063),0)</f>
        <v>0</v>
      </c>
      <c r="AU1063" s="1148"/>
      <c r="AV1063" s="1148"/>
      <c r="AW1063" s="1148"/>
      <c r="AX1063" s="1815">
        <f t="shared" si="793"/>
        <v>425</v>
      </c>
      <c r="AY1063" s="763">
        <f t="shared" si="788"/>
        <v>0</v>
      </c>
      <c r="AZ1063" s="763">
        <f t="shared" si="789"/>
        <v>0</v>
      </c>
      <c r="BA1063" s="763">
        <f t="shared" si="777"/>
        <v>0</v>
      </c>
      <c r="BB1063" s="170">
        <f>IF(AZ1063&gt;0,SUM(BA$990:BA1063),0)</f>
        <v>0</v>
      </c>
      <c r="BC1063" s="1148"/>
      <c r="BD1063" s="1148"/>
      <c r="BE1063" s="1815">
        <f t="shared" si="790"/>
        <v>425</v>
      </c>
      <c r="BF1063" s="763">
        <f t="shared" si="791"/>
        <v>0</v>
      </c>
      <c r="BG1063" s="763">
        <f t="shared" si="792"/>
        <v>0</v>
      </c>
      <c r="BH1063" s="763">
        <f t="shared" si="778"/>
        <v>0</v>
      </c>
      <c r="BI1063" s="170">
        <f>IF(BG1063&gt;0,SUM(BH$990:BH1063),0)</f>
        <v>0</v>
      </c>
      <c r="BJ1063" s="1148"/>
      <c r="BK1063" s="1148"/>
      <c r="BL1063" s="1144"/>
      <c r="BM1063" s="1144"/>
      <c r="BN1063" s="1144"/>
      <c r="BO1063" s="1144"/>
      <c r="BP1063" s="1144"/>
      <c r="BQ1063" s="1144"/>
      <c r="BR1063" s="1144"/>
      <c r="BS1063" s="1144"/>
      <c r="BT1063" s="1144"/>
      <c r="BU1063" s="1144"/>
      <c r="BV1063" s="1144"/>
      <c r="BW1063" s="1144"/>
      <c r="BX1063" s="1144"/>
      <c r="BY1063" s="1144"/>
      <c r="BZ1063" s="1144"/>
      <c r="CA1063" s="1144"/>
      <c r="CB1063" s="1144"/>
      <c r="CC1063" s="1144"/>
      <c r="CD1063" s="1144"/>
      <c r="CE1063" s="1144"/>
      <c r="CF1063" s="1144"/>
      <c r="CG1063" s="1144"/>
      <c r="CH1063" s="1144"/>
      <c r="CI1063" s="1144"/>
      <c r="CJ1063" s="1144"/>
      <c r="CK1063" s="1144"/>
      <c r="CL1063" s="1144"/>
      <c r="CM1063" s="1144"/>
      <c r="CN1063" s="1144"/>
    </row>
    <row r="1064" spans="11:92" ht="12" customHeight="1" x14ac:dyDescent="0.35">
      <c r="K1064" s="29">
        <f t="shared" si="780"/>
        <v>0</v>
      </c>
      <c r="L1064" s="485">
        <f>Infrastructure!D84</f>
        <v>456</v>
      </c>
      <c r="M1064" s="34">
        <f t="shared" si="781"/>
        <v>0</v>
      </c>
      <c r="N1064" s="34">
        <f t="shared" si="782"/>
        <v>0</v>
      </c>
      <c r="O1064" s="34">
        <f t="shared" si="783"/>
        <v>0</v>
      </c>
      <c r="P1064" s="34">
        <f t="shared" si="784"/>
        <v>0</v>
      </c>
      <c r="Q1064" s="34">
        <f t="shared" si="785"/>
        <v>0</v>
      </c>
      <c r="R1064" s="31"/>
      <c r="S1064" s="36"/>
      <c r="T1064" s="1818"/>
      <c r="U1064" s="1814"/>
      <c r="V1064" s="1814"/>
      <c r="W1064" s="1817"/>
      <c r="X1064" s="1814"/>
      <c r="Y1064" s="1801"/>
      <c r="Z1064" s="1801"/>
      <c r="AA1064" s="1801"/>
      <c r="AB1064" s="1801"/>
      <c r="AC1064" s="1801"/>
      <c r="AD1064" s="1801"/>
      <c r="AE1064" s="1801"/>
      <c r="AF1064" s="1814"/>
      <c r="AG1064" s="1183"/>
      <c r="AH1064" s="376"/>
      <c r="AI1064" s="376"/>
      <c r="AJ1064" s="376"/>
      <c r="AK1064" s="376"/>
      <c r="AL1064" s="1148"/>
      <c r="AM1064" s="1148"/>
      <c r="AN1064" s="1148"/>
      <c r="AO1064" s="1178">
        <v>75</v>
      </c>
      <c r="AP1064" s="485">
        <f>Infrastructure!D84</f>
        <v>456</v>
      </c>
      <c r="AQ1064" s="763">
        <f t="shared" si="786"/>
        <v>0</v>
      </c>
      <c r="AR1064" s="763">
        <f t="shared" si="787"/>
        <v>0</v>
      </c>
      <c r="AS1064" s="763">
        <f t="shared" si="776"/>
        <v>0</v>
      </c>
      <c r="AT1064" s="170">
        <f>IF(AR1064&gt;0,SUM(AS$990:AS1064),0)</f>
        <v>0</v>
      </c>
      <c r="AU1064" s="1148"/>
      <c r="AV1064" s="1148"/>
      <c r="AW1064" s="1148"/>
      <c r="AX1064" s="1815">
        <f t="shared" si="793"/>
        <v>456</v>
      </c>
      <c r="AY1064" s="763">
        <f t="shared" si="788"/>
        <v>0</v>
      </c>
      <c r="AZ1064" s="763">
        <f t="shared" si="789"/>
        <v>0</v>
      </c>
      <c r="BA1064" s="763">
        <f t="shared" si="777"/>
        <v>0</v>
      </c>
      <c r="BB1064" s="170">
        <f>IF(AZ1064&gt;0,SUM(BA$990:BA1064),0)</f>
        <v>0</v>
      </c>
      <c r="BC1064" s="1148"/>
      <c r="BD1064" s="1148"/>
      <c r="BE1064" s="1815">
        <f t="shared" si="790"/>
        <v>456</v>
      </c>
      <c r="BF1064" s="763">
        <f t="shared" si="791"/>
        <v>0</v>
      </c>
      <c r="BG1064" s="763">
        <f t="shared" si="792"/>
        <v>0</v>
      </c>
      <c r="BH1064" s="763">
        <f t="shared" si="778"/>
        <v>0</v>
      </c>
      <c r="BI1064" s="170">
        <f>IF(BG1064&gt;0,SUM(BH$990:BH1064),0)</f>
        <v>0</v>
      </c>
      <c r="BJ1064" s="1148"/>
      <c r="BK1064" s="1148"/>
      <c r="BL1064" s="1144"/>
      <c r="BM1064" s="1144"/>
      <c r="BN1064" s="1144"/>
      <c r="BO1064" s="1144"/>
      <c r="BP1064" s="1144"/>
      <c r="BQ1064" s="1144"/>
      <c r="BR1064" s="1144"/>
      <c r="BS1064" s="1144"/>
      <c r="BT1064" s="1144"/>
      <c r="BU1064" s="1144"/>
      <c r="BV1064" s="1144"/>
      <c r="BW1064" s="1144"/>
      <c r="BX1064" s="1144"/>
      <c r="BY1064" s="1144"/>
      <c r="BZ1064" s="1144"/>
      <c r="CA1064" s="1144"/>
      <c r="CB1064" s="1144"/>
      <c r="CC1064" s="1144"/>
      <c r="CD1064" s="1144"/>
      <c r="CE1064" s="1144"/>
      <c r="CF1064" s="1144"/>
      <c r="CG1064" s="1144"/>
      <c r="CH1064" s="1144"/>
      <c r="CI1064" s="1144"/>
      <c r="CJ1064" s="1144"/>
      <c r="CK1064" s="1144"/>
      <c r="CL1064" s="1144"/>
      <c r="CM1064" s="1144"/>
      <c r="CN1064" s="1144"/>
    </row>
    <row r="1065" spans="11:92" ht="12" customHeight="1" x14ac:dyDescent="0.35">
      <c r="K1065" s="29">
        <f t="shared" si="780"/>
        <v>0</v>
      </c>
      <c r="L1065" s="485">
        <f>Infrastructure!D85</f>
        <v>486</v>
      </c>
      <c r="M1065" s="34">
        <f t="shared" si="781"/>
        <v>0</v>
      </c>
      <c r="N1065" s="34">
        <f t="shared" si="782"/>
        <v>0</v>
      </c>
      <c r="O1065" s="34">
        <f t="shared" si="783"/>
        <v>0</v>
      </c>
      <c r="P1065" s="34">
        <f t="shared" si="784"/>
        <v>0</v>
      </c>
      <c r="Q1065" s="34">
        <f t="shared" si="785"/>
        <v>0</v>
      </c>
      <c r="R1065" s="31"/>
      <c r="S1065" s="36"/>
      <c r="T1065" s="1818"/>
      <c r="U1065" s="1814"/>
      <c r="V1065" s="1814"/>
      <c r="W1065" s="1817"/>
      <c r="X1065" s="1814"/>
      <c r="Y1065" s="1801"/>
      <c r="Z1065" s="1801"/>
      <c r="AA1065" s="1801"/>
      <c r="AB1065" s="1801"/>
      <c r="AC1065" s="1801"/>
      <c r="AD1065" s="1801"/>
      <c r="AE1065" s="1801"/>
      <c r="AF1065" s="1814"/>
      <c r="AG1065" s="1183"/>
      <c r="AH1065" s="1183"/>
      <c r="AI1065" s="1183"/>
      <c r="AJ1065" s="1183"/>
      <c r="AK1065" s="1183"/>
      <c r="AL1065" s="1148"/>
      <c r="AM1065" s="1148"/>
      <c r="AN1065" s="1148"/>
      <c r="AO1065" s="1178">
        <v>76</v>
      </c>
      <c r="AP1065" s="485">
        <f>Infrastructure!D85</f>
        <v>486</v>
      </c>
      <c r="AQ1065" s="763">
        <f t="shared" si="786"/>
        <v>0</v>
      </c>
      <c r="AR1065" s="763">
        <f t="shared" si="787"/>
        <v>0</v>
      </c>
      <c r="AS1065" s="763">
        <f t="shared" si="776"/>
        <v>0</v>
      </c>
      <c r="AT1065" s="170">
        <f>IF(AR1065&gt;0,SUM(AS$990:AS1065),0)</f>
        <v>0</v>
      </c>
      <c r="AU1065" s="1148"/>
      <c r="AV1065" s="1148"/>
      <c r="AW1065" s="1148"/>
      <c r="AX1065" s="1815">
        <f t="shared" si="793"/>
        <v>486</v>
      </c>
      <c r="AY1065" s="763">
        <f t="shared" si="788"/>
        <v>0</v>
      </c>
      <c r="AZ1065" s="763">
        <f t="shared" si="789"/>
        <v>0</v>
      </c>
      <c r="BA1065" s="763">
        <f t="shared" si="777"/>
        <v>0</v>
      </c>
      <c r="BB1065" s="170">
        <f>IF(AZ1065&gt;0,SUM(BA$990:BA1065),0)</f>
        <v>0</v>
      </c>
      <c r="BC1065" s="1148"/>
      <c r="BD1065" s="1148"/>
      <c r="BE1065" s="1815">
        <f t="shared" si="790"/>
        <v>486</v>
      </c>
      <c r="BF1065" s="763">
        <f t="shared" si="791"/>
        <v>0</v>
      </c>
      <c r="BG1065" s="763">
        <f t="shared" si="792"/>
        <v>0</v>
      </c>
      <c r="BH1065" s="763">
        <f t="shared" si="778"/>
        <v>0</v>
      </c>
      <c r="BI1065" s="170">
        <f>IF(BG1065&gt;0,SUM(BH$990:BH1065),0)</f>
        <v>0</v>
      </c>
      <c r="BJ1065" s="1148"/>
      <c r="BK1065" s="1148"/>
      <c r="BL1065" s="1144"/>
      <c r="BM1065" s="1144"/>
      <c r="BN1065" s="1144"/>
      <c r="BO1065" s="1144"/>
      <c r="BP1065" s="1144"/>
      <c r="BQ1065" s="1144"/>
      <c r="BR1065" s="1144"/>
      <c r="BS1065" s="1144"/>
      <c r="BT1065" s="1144"/>
      <c r="BU1065" s="1144"/>
      <c r="BV1065" s="1144"/>
      <c r="BW1065" s="1144"/>
      <c r="BX1065" s="1144"/>
      <c r="BY1065" s="1144"/>
      <c r="BZ1065" s="1144"/>
      <c r="CA1065" s="1144"/>
      <c r="CB1065" s="1144"/>
      <c r="CC1065" s="1144"/>
      <c r="CD1065" s="1144"/>
      <c r="CE1065" s="1144"/>
      <c r="CF1065" s="1144"/>
      <c r="CG1065" s="1144"/>
      <c r="CH1065" s="1144"/>
      <c r="CI1065" s="1144"/>
      <c r="CJ1065" s="1144"/>
      <c r="CK1065" s="1144"/>
      <c r="CL1065" s="1144"/>
      <c r="CM1065" s="1144"/>
      <c r="CN1065" s="1144"/>
    </row>
    <row r="1066" spans="11:92" ht="12" customHeight="1" x14ac:dyDescent="0.35">
      <c r="K1066" s="29">
        <f t="shared" si="780"/>
        <v>0</v>
      </c>
      <c r="L1066" s="485">
        <f>Infrastructure!D86</f>
        <v>517</v>
      </c>
      <c r="M1066" s="34">
        <f t="shared" si="781"/>
        <v>0</v>
      </c>
      <c r="N1066" s="34">
        <f t="shared" si="782"/>
        <v>0</v>
      </c>
      <c r="O1066" s="34">
        <f t="shared" si="783"/>
        <v>0</v>
      </c>
      <c r="P1066" s="34">
        <f t="shared" si="784"/>
        <v>0</v>
      </c>
      <c r="Q1066" s="34">
        <f t="shared" si="785"/>
        <v>0</v>
      </c>
      <c r="R1066" s="31"/>
      <c r="S1066" s="36"/>
      <c r="T1066" s="1818"/>
      <c r="U1066" s="1814"/>
      <c r="V1066" s="1814"/>
      <c r="W1066" s="1817"/>
      <c r="X1066" s="1814"/>
      <c r="Y1066" s="1801"/>
      <c r="Z1066" s="1801"/>
      <c r="AA1066" s="1801"/>
      <c r="AB1066" s="1801"/>
      <c r="AC1066" s="1801"/>
      <c r="AD1066" s="1801"/>
      <c r="AE1066" s="1801"/>
      <c r="AF1066" s="1814"/>
      <c r="AG1066" s="376"/>
      <c r="AH1066" s="376"/>
      <c r="AI1066" s="376"/>
      <c r="AJ1066" s="376"/>
      <c r="AK1066" s="376"/>
      <c r="AL1066" s="1148"/>
      <c r="AM1066" s="1148"/>
      <c r="AN1066" s="1148"/>
      <c r="AO1066" s="1178">
        <v>77</v>
      </c>
      <c r="AP1066" s="485">
        <f>Infrastructure!D86</f>
        <v>517</v>
      </c>
      <c r="AQ1066" s="763">
        <f t="shared" si="786"/>
        <v>0</v>
      </c>
      <c r="AR1066" s="763">
        <f t="shared" si="787"/>
        <v>0</v>
      </c>
      <c r="AS1066" s="763">
        <f t="shared" si="776"/>
        <v>0</v>
      </c>
      <c r="AT1066" s="170">
        <f>IF(AR1066&gt;0,SUM(AS$990:AS1066),0)</f>
        <v>0</v>
      </c>
      <c r="AU1066" s="1148"/>
      <c r="AV1066" s="1148"/>
      <c r="AW1066" s="1148"/>
      <c r="AX1066" s="1815">
        <f t="shared" si="793"/>
        <v>517</v>
      </c>
      <c r="AY1066" s="763">
        <f t="shared" si="788"/>
        <v>0</v>
      </c>
      <c r="AZ1066" s="763">
        <f t="shared" si="789"/>
        <v>0</v>
      </c>
      <c r="BA1066" s="763">
        <f t="shared" si="777"/>
        <v>0</v>
      </c>
      <c r="BB1066" s="170">
        <f>IF(AZ1066&gt;0,SUM(BA$990:BA1066),0)</f>
        <v>0</v>
      </c>
      <c r="BC1066" s="1148"/>
      <c r="BD1066" s="1148"/>
      <c r="BE1066" s="1815">
        <f t="shared" si="790"/>
        <v>517</v>
      </c>
      <c r="BF1066" s="763">
        <f t="shared" si="791"/>
        <v>0</v>
      </c>
      <c r="BG1066" s="763">
        <f t="shared" si="792"/>
        <v>0</v>
      </c>
      <c r="BH1066" s="763">
        <f t="shared" si="778"/>
        <v>0</v>
      </c>
      <c r="BI1066" s="170">
        <f>IF(BG1066&gt;0,SUM(BH$990:BH1066),0)</f>
        <v>0</v>
      </c>
      <c r="BJ1066" s="1148"/>
      <c r="BK1066" s="1148"/>
      <c r="BL1066" s="1144"/>
      <c r="BM1066" s="1144"/>
      <c r="BN1066" s="1144"/>
      <c r="BO1066" s="1144"/>
      <c r="BP1066" s="1144"/>
      <c r="BQ1066" s="1144"/>
      <c r="BR1066" s="1144"/>
      <c r="BS1066" s="1144"/>
      <c r="BT1066" s="1144"/>
      <c r="BU1066" s="1144"/>
      <c r="BV1066" s="1144"/>
      <c r="BW1066" s="1144"/>
      <c r="BX1066" s="1144"/>
      <c r="BY1066" s="1144"/>
      <c r="BZ1066" s="1144"/>
      <c r="CA1066" s="1144"/>
      <c r="CB1066" s="1144"/>
      <c r="CC1066" s="1144"/>
      <c r="CD1066" s="1144"/>
      <c r="CE1066" s="1144"/>
      <c r="CF1066" s="1144"/>
      <c r="CG1066" s="1144"/>
      <c r="CH1066" s="1144"/>
      <c r="CI1066" s="1144"/>
      <c r="CJ1066" s="1144"/>
      <c r="CK1066" s="1144"/>
      <c r="CL1066" s="1144"/>
      <c r="CM1066" s="1144"/>
      <c r="CN1066" s="1144"/>
    </row>
    <row r="1067" spans="11:92" ht="12" customHeight="1" x14ac:dyDescent="0.35">
      <c r="K1067" s="29">
        <f t="shared" si="780"/>
        <v>0</v>
      </c>
      <c r="L1067" s="485">
        <f>Infrastructure!D87</f>
        <v>547</v>
      </c>
      <c r="M1067" s="34">
        <f t="shared" si="781"/>
        <v>0</v>
      </c>
      <c r="N1067" s="34">
        <f t="shared" si="782"/>
        <v>0</v>
      </c>
      <c r="O1067" s="34">
        <f t="shared" si="783"/>
        <v>0</v>
      </c>
      <c r="P1067" s="34">
        <f t="shared" si="784"/>
        <v>0</v>
      </c>
      <c r="Q1067" s="34">
        <f t="shared" si="785"/>
        <v>0</v>
      </c>
      <c r="R1067" s="31"/>
      <c r="S1067" s="36"/>
      <c r="T1067" s="1818"/>
      <c r="U1067" s="1814"/>
      <c r="V1067" s="1814"/>
      <c r="W1067" s="1817"/>
      <c r="X1067" s="1814"/>
      <c r="Y1067" s="1801"/>
      <c r="Z1067" s="1801"/>
      <c r="AA1067" s="1801"/>
      <c r="AB1067" s="1801"/>
      <c r="AC1067" s="1801"/>
      <c r="AD1067" s="1801"/>
      <c r="AE1067" s="1801"/>
      <c r="AF1067" s="1814"/>
      <c r="AG1067" s="376"/>
      <c r="AH1067" s="376"/>
      <c r="AI1067" s="376"/>
      <c r="AJ1067" s="376"/>
      <c r="AK1067" s="376"/>
      <c r="AL1067" s="1148"/>
      <c r="AM1067" s="1148"/>
      <c r="AN1067" s="1148"/>
      <c r="AO1067" s="1178">
        <v>78</v>
      </c>
      <c r="AP1067" s="485">
        <f>Infrastructure!D87</f>
        <v>547</v>
      </c>
      <c r="AQ1067" s="763">
        <f t="shared" si="786"/>
        <v>0</v>
      </c>
      <c r="AR1067" s="763">
        <f t="shared" si="787"/>
        <v>0</v>
      </c>
      <c r="AS1067" s="763">
        <f t="shared" si="776"/>
        <v>0</v>
      </c>
      <c r="AT1067" s="170">
        <f>IF(AR1067&gt;0,SUM(AS$990:AS1067),0)</f>
        <v>0</v>
      </c>
      <c r="AU1067" s="1148"/>
      <c r="AV1067" s="1148"/>
      <c r="AW1067" s="1148"/>
      <c r="AX1067" s="1815">
        <f t="shared" si="793"/>
        <v>547</v>
      </c>
      <c r="AY1067" s="763">
        <f t="shared" si="788"/>
        <v>0</v>
      </c>
      <c r="AZ1067" s="763">
        <f t="shared" si="789"/>
        <v>0</v>
      </c>
      <c r="BA1067" s="763">
        <f t="shared" si="777"/>
        <v>0</v>
      </c>
      <c r="BB1067" s="170">
        <f>IF(AZ1067&gt;0,SUM(BA$990:BA1067),0)</f>
        <v>0</v>
      </c>
      <c r="BC1067" s="1148"/>
      <c r="BD1067" s="1148"/>
      <c r="BE1067" s="1815">
        <f t="shared" si="790"/>
        <v>547</v>
      </c>
      <c r="BF1067" s="763">
        <f t="shared" si="791"/>
        <v>0</v>
      </c>
      <c r="BG1067" s="763">
        <f t="shared" si="792"/>
        <v>0</v>
      </c>
      <c r="BH1067" s="763">
        <f t="shared" si="778"/>
        <v>0</v>
      </c>
      <c r="BI1067" s="170">
        <f>IF(BG1067&gt;0,SUM(BH$990:BH1067),0)</f>
        <v>0</v>
      </c>
      <c r="BJ1067" s="1148"/>
      <c r="BK1067" s="1148"/>
      <c r="BL1067" s="1144"/>
      <c r="BM1067" s="1144"/>
      <c r="BN1067" s="1144"/>
      <c r="BO1067" s="1144"/>
      <c r="BP1067" s="1144"/>
      <c r="BQ1067" s="1144"/>
      <c r="BR1067" s="1144"/>
      <c r="BS1067" s="1144"/>
      <c r="BT1067" s="1144"/>
      <c r="BU1067" s="1144"/>
      <c r="BV1067" s="1144"/>
      <c r="BW1067" s="1144"/>
      <c r="BX1067" s="1144"/>
      <c r="BY1067" s="1144"/>
      <c r="BZ1067" s="1144"/>
      <c r="CA1067" s="1144"/>
      <c r="CB1067" s="1144"/>
      <c r="CC1067" s="1144"/>
      <c r="CD1067" s="1144"/>
      <c r="CE1067" s="1144"/>
      <c r="CF1067" s="1144"/>
      <c r="CG1067" s="1144"/>
      <c r="CH1067" s="1144"/>
      <c r="CI1067" s="1144"/>
      <c r="CJ1067" s="1144"/>
      <c r="CK1067" s="1144"/>
      <c r="CL1067" s="1144"/>
      <c r="CM1067" s="1144"/>
      <c r="CN1067" s="1144"/>
    </row>
    <row r="1068" spans="11:92" ht="12" customHeight="1" x14ac:dyDescent="0.35">
      <c r="K1068" s="29">
        <f t="shared" si="780"/>
        <v>0</v>
      </c>
      <c r="L1068" s="485">
        <f>Infrastructure!D88</f>
        <v>578</v>
      </c>
      <c r="M1068" s="34">
        <f t="shared" si="781"/>
        <v>0</v>
      </c>
      <c r="N1068" s="34">
        <f t="shared" si="782"/>
        <v>0</v>
      </c>
      <c r="O1068" s="34">
        <f t="shared" si="783"/>
        <v>0</v>
      </c>
      <c r="P1068" s="34">
        <f t="shared" si="784"/>
        <v>0</v>
      </c>
      <c r="Q1068" s="34">
        <f t="shared" si="785"/>
        <v>0</v>
      </c>
      <c r="R1068" s="31"/>
      <c r="S1068" s="36"/>
      <c r="T1068" s="1818"/>
      <c r="U1068" s="1814"/>
      <c r="V1068" s="1814"/>
      <c r="W1068" s="1817"/>
      <c r="X1068" s="1814"/>
      <c r="Y1068" s="1801"/>
      <c r="Z1068" s="1801"/>
      <c r="AA1068" s="1801"/>
      <c r="AB1068" s="1801"/>
      <c r="AC1068" s="1801"/>
      <c r="AD1068" s="1801"/>
      <c r="AE1068" s="1801"/>
      <c r="AF1068" s="1814"/>
      <c r="AG1068" s="376"/>
      <c r="AH1068" s="376"/>
      <c r="AI1068" s="376"/>
      <c r="AJ1068" s="376"/>
      <c r="AK1068" s="376"/>
      <c r="AL1068" s="1148"/>
      <c r="AM1068" s="1148"/>
      <c r="AN1068" s="1148"/>
      <c r="AO1068" s="1178">
        <v>79</v>
      </c>
      <c r="AP1068" s="485">
        <f>Infrastructure!D88</f>
        <v>578</v>
      </c>
      <c r="AQ1068" s="763">
        <f t="shared" si="786"/>
        <v>0</v>
      </c>
      <c r="AR1068" s="763">
        <f t="shared" si="787"/>
        <v>0</v>
      </c>
      <c r="AS1068" s="763">
        <f t="shared" si="776"/>
        <v>0</v>
      </c>
      <c r="AT1068" s="170">
        <f>IF(AR1068&gt;0,SUM(AS$990:AS1068),0)</f>
        <v>0</v>
      </c>
      <c r="AU1068" s="1148"/>
      <c r="AV1068" s="1148"/>
      <c r="AW1068" s="1148"/>
      <c r="AX1068" s="1815">
        <f t="shared" si="793"/>
        <v>578</v>
      </c>
      <c r="AY1068" s="763">
        <f t="shared" si="788"/>
        <v>0</v>
      </c>
      <c r="AZ1068" s="763">
        <f t="shared" si="789"/>
        <v>0</v>
      </c>
      <c r="BA1068" s="763">
        <f t="shared" si="777"/>
        <v>0</v>
      </c>
      <c r="BB1068" s="170">
        <f>IF(AZ1068&gt;0,SUM(BA$990:BA1068),0)</f>
        <v>0</v>
      </c>
      <c r="BC1068" s="1148"/>
      <c r="BD1068" s="1148"/>
      <c r="BE1068" s="1815">
        <f t="shared" si="790"/>
        <v>578</v>
      </c>
      <c r="BF1068" s="763">
        <f t="shared" si="791"/>
        <v>0</v>
      </c>
      <c r="BG1068" s="763">
        <f t="shared" si="792"/>
        <v>0</v>
      </c>
      <c r="BH1068" s="763">
        <f t="shared" si="778"/>
        <v>0</v>
      </c>
      <c r="BI1068" s="170">
        <f>IF(BG1068&gt;0,SUM(BH$990:BH1068),0)</f>
        <v>0</v>
      </c>
      <c r="BJ1068" s="1148"/>
      <c r="BK1068" s="1148"/>
      <c r="BL1068" s="1144"/>
      <c r="BM1068" s="1144"/>
      <c r="BN1068" s="1144"/>
      <c r="BO1068" s="1144"/>
      <c r="BP1068" s="1144"/>
      <c r="BQ1068" s="1144"/>
      <c r="BR1068" s="1144"/>
      <c r="BS1068" s="1144"/>
      <c r="BT1068" s="1144"/>
      <c r="BU1068" s="1144"/>
      <c r="BV1068" s="1144"/>
      <c r="BW1068" s="1144"/>
      <c r="BX1068" s="1144"/>
      <c r="BY1068" s="1144"/>
      <c r="BZ1068" s="1144"/>
      <c r="CA1068" s="1144"/>
      <c r="CB1068" s="1144"/>
      <c r="CC1068" s="1144"/>
      <c r="CD1068" s="1144"/>
      <c r="CE1068" s="1144"/>
      <c r="CF1068" s="1144"/>
      <c r="CG1068" s="1144"/>
      <c r="CH1068" s="1144"/>
      <c r="CI1068" s="1144"/>
      <c r="CJ1068" s="1144"/>
      <c r="CK1068" s="1144"/>
      <c r="CL1068" s="1144"/>
      <c r="CM1068" s="1144"/>
      <c r="CN1068" s="1144"/>
    </row>
    <row r="1069" spans="11:92" ht="12" customHeight="1" x14ac:dyDescent="0.35">
      <c r="K1069" s="29">
        <f t="shared" si="780"/>
        <v>0</v>
      </c>
      <c r="L1069" s="485">
        <f>Infrastructure!D89</f>
        <v>609</v>
      </c>
      <c r="M1069" s="34">
        <f t="shared" si="781"/>
        <v>0</v>
      </c>
      <c r="N1069" s="34">
        <f t="shared" si="782"/>
        <v>0</v>
      </c>
      <c r="O1069" s="34">
        <f t="shared" si="783"/>
        <v>0</v>
      </c>
      <c r="P1069" s="34">
        <f t="shared" si="784"/>
        <v>0</v>
      </c>
      <c r="Q1069" s="34">
        <f t="shared" si="785"/>
        <v>0</v>
      </c>
      <c r="R1069" s="31"/>
      <c r="S1069" s="36"/>
      <c r="T1069" s="1818"/>
      <c r="U1069" s="1814"/>
      <c r="V1069" s="1814"/>
      <c r="W1069" s="1817"/>
      <c r="X1069" s="1814"/>
      <c r="Y1069" s="1801"/>
      <c r="Z1069" s="1801"/>
      <c r="AA1069" s="1801"/>
      <c r="AB1069" s="1801"/>
      <c r="AC1069" s="1801"/>
      <c r="AD1069" s="1801"/>
      <c r="AE1069" s="1801"/>
      <c r="AF1069" s="1814"/>
      <c r="AG1069" s="376"/>
      <c r="AH1069" s="376"/>
      <c r="AI1069" s="376"/>
      <c r="AJ1069" s="376"/>
      <c r="AK1069" s="376"/>
      <c r="AL1069" s="1148"/>
      <c r="AM1069" s="1148"/>
      <c r="AN1069" s="1148"/>
      <c r="AO1069" s="1178">
        <v>80</v>
      </c>
      <c r="AP1069" s="485">
        <f>Infrastructure!D89</f>
        <v>609</v>
      </c>
      <c r="AQ1069" s="763">
        <f t="shared" si="786"/>
        <v>0</v>
      </c>
      <c r="AR1069" s="763">
        <f t="shared" si="787"/>
        <v>0</v>
      </c>
      <c r="AS1069" s="763">
        <f t="shared" si="776"/>
        <v>0</v>
      </c>
      <c r="AT1069" s="170">
        <f>IF(AR1069&gt;0,SUM(AS$990:AS1069),0)</f>
        <v>0</v>
      </c>
      <c r="AU1069" s="1148"/>
      <c r="AV1069" s="1148"/>
      <c r="AW1069" s="1148"/>
      <c r="AX1069" s="1815">
        <f t="shared" si="793"/>
        <v>609</v>
      </c>
      <c r="AY1069" s="763">
        <f t="shared" si="788"/>
        <v>0</v>
      </c>
      <c r="AZ1069" s="763">
        <f t="shared" si="789"/>
        <v>0</v>
      </c>
      <c r="BA1069" s="763">
        <f t="shared" si="777"/>
        <v>0</v>
      </c>
      <c r="BB1069" s="170">
        <f>IF(AZ1069&gt;0,SUM(BA$990:BA1069),0)</f>
        <v>0</v>
      </c>
      <c r="BC1069" s="1148"/>
      <c r="BD1069" s="1148"/>
      <c r="BE1069" s="1815">
        <f t="shared" si="790"/>
        <v>609</v>
      </c>
      <c r="BF1069" s="763">
        <f t="shared" si="791"/>
        <v>0</v>
      </c>
      <c r="BG1069" s="763">
        <f t="shared" si="792"/>
        <v>0</v>
      </c>
      <c r="BH1069" s="763">
        <f t="shared" si="778"/>
        <v>0</v>
      </c>
      <c r="BI1069" s="170">
        <f>IF(BG1069&gt;0,SUM(BH$990:BH1069),0)</f>
        <v>0</v>
      </c>
      <c r="BJ1069" s="1148"/>
      <c r="BK1069" s="1148"/>
      <c r="BL1069" s="1144"/>
      <c r="BM1069" s="1144"/>
      <c r="BN1069" s="1144"/>
      <c r="BO1069" s="1144"/>
      <c r="BP1069" s="1144"/>
      <c r="BQ1069" s="1144"/>
      <c r="BR1069" s="1144"/>
      <c r="BS1069" s="1144"/>
      <c r="BT1069" s="1144"/>
      <c r="BU1069" s="1144"/>
      <c r="BV1069" s="1144"/>
      <c r="BW1069" s="1144"/>
      <c r="BX1069" s="1144"/>
      <c r="BY1069" s="1144"/>
      <c r="BZ1069" s="1144"/>
      <c r="CA1069" s="1144"/>
      <c r="CB1069" s="1144"/>
      <c r="CC1069" s="1144"/>
      <c r="CD1069" s="1144"/>
      <c r="CE1069" s="1144"/>
      <c r="CF1069" s="1144"/>
      <c r="CG1069" s="1144"/>
      <c r="CH1069" s="1144"/>
      <c r="CI1069" s="1144"/>
      <c r="CJ1069" s="1144"/>
      <c r="CK1069" s="1144"/>
      <c r="CL1069" s="1144"/>
      <c r="CM1069" s="1144"/>
      <c r="CN1069" s="1144"/>
    </row>
    <row r="1070" spans="11:92" ht="12" customHeight="1" x14ac:dyDescent="0.35">
      <c r="K1070" s="29">
        <f t="shared" si="780"/>
        <v>0</v>
      </c>
      <c r="L1070" s="485">
        <f>Infrastructure!D90</f>
        <v>639</v>
      </c>
      <c r="M1070" s="34">
        <f t="shared" si="781"/>
        <v>0</v>
      </c>
      <c r="N1070" s="34">
        <f t="shared" si="782"/>
        <v>0</v>
      </c>
      <c r="O1070" s="34">
        <f t="shared" si="783"/>
        <v>0</v>
      </c>
      <c r="P1070" s="34">
        <f t="shared" si="784"/>
        <v>0</v>
      </c>
      <c r="Q1070" s="34">
        <f t="shared" si="785"/>
        <v>0</v>
      </c>
      <c r="R1070" s="31"/>
      <c r="S1070" s="36"/>
      <c r="T1070" s="1818"/>
      <c r="U1070" s="1814"/>
      <c r="V1070" s="1814"/>
      <c r="W1070" s="1817"/>
      <c r="X1070" s="1814"/>
      <c r="Y1070" s="1801"/>
      <c r="Z1070" s="1801"/>
      <c r="AA1070" s="1801"/>
      <c r="AB1070" s="1801"/>
      <c r="AC1070" s="1801"/>
      <c r="AD1070" s="1801"/>
      <c r="AE1070" s="1801"/>
      <c r="AF1070" s="1814"/>
      <c r="AG1070" s="376"/>
      <c r="AH1070" s="376"/>
      <c r="AI1070" s="376"/>
      <c r="AJ1070" s="376"/>
      <c r="AK1070" s="376"/>
      <c r="AL1070" s="1148"/>
      <c r="AM1070" s="1148"/>
      <c r="AN1070" s="1148"/>
      <c r="AO1070" s="1178">
        <v>81</v>
      </c>
      <c r="AP1070" s="485">
        <f>Infrastructure!D90</f>
        <v>639</v>
      </c>
      <c r="AQ1070" s="763">
        <f t="shared" si="786"/>
        <v>0</v>
      </c>
      <c r="AR1070" s="763">
        <f t="shared" si="787"/>
        <v>0</v>
      </c>
      <c r="AS1070" s="763">
        <f t="shared" si="776"/>
        <v>0</v>
      </c>
      <c r="AT1070" s="170">
        <f>IF(AR1070&gt;0,SUM(AS$990:AS1070),0)</f>
        <v>0</v>
      </c>
      <c r="AU1070" s="1148"/>
      <c r="AV1070" s="1148"/>
      <c r="AW1070" s="1148"/>
      <c r="AX1070" s="1815">
        <f t="shared" si="793"/>
        <v>639</v>
      </c>
      <c r="AY1070" s="763">
        <f t="shared" si="788"/>
        <v>0</v>
      </c>
      <c r="AZ1070" s="763">
        <f t="shared" si="789"/>
        <v>0</v>
      </c>
      <c r="BA1070" s="763">
        <f t="shared" si="777"/>
        <v>0</v>
      </c>
      <c r="BB1070" s="170">
        <f>IF(AZ1070&gt;0,SUM(BA$990:BA1070),0)</f>
        <v>0</v>
      </c>
      <c r="BC1070" s="1148"/>
      <c r="BD1070" s="1148"/>
      <c r="BE1070" s="1815">
        <f t="shared" si="790"/>
        <v>639</v>
      </c>
      <c r="BF1070" s="763">
        <f t="shared" si="791"/>
        <v>0</v>
      </c>
      <c r="BG1070" s="763">
        <f t="shared" si="792"/>
        <v>0</v>
      </c>
      <c r="BH1070" s="763">
        <f t="shared" si="778"/>
        <v>0</v>
      </c>
      <c r="BI1070" s="170">
        <f>IF(BG1070&gt;0,SUM(BH$990:BH1070),0)</f>
        <v>0</v>
      </c>
      <c r="BJ1070" s="1148"/>
      <c r="BK1070" s="1148"/>
      <c r="BL1070" s="1144"/>
      <c r="BM1070" s="1144"/>
      <c r="BN1070" s="1144"/>
      <c r="BO1070" s="1144"/>
      <c r="BP1070" s="1144"/>
      <c r="BQ1070" s="1144"/>
      <c r="BR1070" s="1144"/>
      <c r="BS1070" s="1144"/>
      <c r="BT1070" s="1144"/>
      <c r="BU1070" s="1144"/>
      <c r="BV1070" s="1144"/>
      <c r="BW1070" s="1144"/>
      <c r="BX1070" s="1144"/>
      <c r="BY1070" s="1144"/>
      <c r="BZ1070" s="1144"/>
      <c r="CA1070" s="1144"/>
      <c r="CB1070" s="1144"/>
      <c r="CC1070" s="1144"/>
      <c r="CD1070" s="1144"/>
      <c r="CE1070" s="1144"/>
      <c r="CF1070" s="1144"/>
      <c r="CG1070" s="1144"/>
      <c r="CH1070" s="1144"/>
      <c r="CI1070" s="1144"/>
      <c r="CJ1070" s="1144"/>
      <c r="CK1070" s="1144"/>
      <c r="CL1070" s="1144"/>
      <c r="CM1070" s="1144"/>
      <c r="CN1070" s="1144"/>
    </row>
    <row r="1071" spans="11:92" ht="12" customHeight="1" x14ac:dyDescent="0.35">
      <c r="K1071" s="29">
        <f t="shared" si="780"/>
        <v>0</v>
      </c>
      <c r="L1071" s="485">
        <f>Infrastructure!D91</f>
        <v>670</v>
      </c>
      <c r="M1071" s="34">
        <f t="shared" si="781"/>
        <v>0</v>
      </c>
      <c r="N1071" s="34">
        <f t="shared" si="782"/>
        <v>0</v>
      </c>
      <c r="O1071" s="34">
        <f t="shared" si="783"/>
        <v>0</v>
      </c>
      <c r="P1071" s="34">
        <f t="shared" si="784"/>
        <v>0</v>
      </c>
      <c r="Q1071" s="34">
        <f t="shared" si="785"/>
        <v>0</v>
      </c>
      <c r="R1071" s="31"/>
      <c r="S1071" s="36"/>
      <c r="T1071" s="1818"/>
      <c r="U1071" s="1814"/>
      <c r="V1071" s="1814"/>
      <c r="W1071" s="1817"/>
      <c r="X1071" s="1814"/>
      <c r="Y1071" s="1801"/>
      <c r="Z1071" s="1801"/>
      <c r="AA1071" s="1801"/>
      <c r="AB1071" s="1801"/>
      <c r="AC1071" s="1801"/>
      <c r="AD1071" s="1801"/>
      <c r="AE1071" s="1801"/>
      <c r="AF1071" s="1814"/>
      <c r="AG1071" s="376"/>
      <c r="AH1071" s="376"/>
      <c r="AI1071" s="376"/>
      <c r="AJ1071" s="376"/>
      <c r="AK1071" s="376"/>
      <c r="AL1071" s="1148"/>
      <c r="AM1071" s="1148"/>
      <c r="AN1071" s="1148"/>
      <c r="AO1071" s="1178">
        <v>82</v>
      </c>
      <c r="AP1071" s="485">
        <f>Infrastructure!D91</f>
        <v>670</v>
      </c>
      <c r="AQ1071" s="763">
        <f t="shared" si="786"/>
        <v>0</v>
      </c>
      <c r="AR1071" s="763">
        <f t="shared" si="787"/>
        <v>0</v>
      </c>
      <c r="AS1071" s="763">
        <f t="shared" si="776"/>
        <v>0</v>
      </c>
      <c r="AT1071" s="170">
        <f>IF(AR1071&gt;0,SUM(AS$990:AS1071),0)</f>
        <v>0</v>
      </c>
      <c r="AU1071" s="1148"/>
      <c r="AV1071" s="1148"/>
      <c r="AW1071" s="1148"/>
      <c r="AX1071" s="1815">
        <f t="shared" si="793"/>
        <v>670</v>
      </c>
      <c r="AY1071" s="763">
        <f t="shared" si="788"/>
        <v>0</v>
      </c>
      <c r="AZ1071" s="763">
        <f t="shared" si="789"/>
        <v>0</v>
      </c>
      <c r="BA1071" s="763">
        <f t="shared" si="777"/>
        <v>0</v>
      </c>
      <c r="BB1071" s="170">
        <f>IF(AZ1071&gt;0,SUM(BA$990:BA1071),0)</f>
        <v>0</v>
      </c>
      <c r="BC1071" s="1148"/>
      <c r="BD1071" s="1148"/>
      <c r="BE1071" s="1815">
        <f t="shared" si="790"/>
        <v>670</v>
      </c>
      <c r="BF1071" s="763">
        <f t="shared" si="791"/>
        <v>0</v>
      </c>
      <c r="BG1071" s="763">
        <f t="shared" si="792"/>
        <v>0</v>
      </c>
      <c r="BH1071" s="763">
        <f t="shared" si="778"/>
        <v>0</v>
      </c>
      <c r="BI1071" s="170">
        <f>IF(BG1071&gt;0,SUM(BH$990:BH1071),0)</f>
        <v>0</v>
      </c>
      <c r="BJ1071" s="1148"/>
      <c r="BK1071" s="1148"/>
      <c r="BL1071" s="1144"/>
      <c r="BM1071" s="1144"/>
      <c r="BN1071" s="1144"/>
      <c r="BO1071" s="1144"/>
      <c r="BP1071" s="1144"/>
      <c r="BQ1071" s="1144"/>
      <c r="BR1071" s="1144"/>
      <c r="BS1071" s="1144"/>
      <c r="BT1071" s="1144"/>
      <c r="BU1071" s="1144"/>
      <c r="BV1071" s="1144"/>
      <c r="BW1071" s="1144"/>
      <c r="BX1071" s="1144"/>
      <c r="BY1071" s="1144"/>
      <c r="BZ1071" s="1144"/>
      <c r="CA1071" s="1144"/>
      <c r="CB1071" s="1144"/>
      <c r="CC1071" s="1144"/>
      <c r="CD1071" s="1144"/>
      <c r="CE1071" s="1144"/>
      <c r="CF1071" s="1144"/>
      <c r="CG1071" s="1144"/>
      <c r="CH1071" s="1144"/>
      <c r="CI1071" s="1144"/>
      <c r="CJ1071" s="1144"/>
      <c r="CK1071" s="1144"/>
      <c r="CL1071" s="1144"/>
      <c r="CM1071" s="1144"/>
      <c r="CN1071" s="1144"/>
    </row>
    <row r="1072" spans="11:92" ht="12" customHeight="1" x14ac:dyDescent="0.35">
      <c r="K1072" s="29">
        <f t="shared" si="780"/>
        <v>0</v>
      </c>
      <c r="L1072" s="485">
        <f>Infrastructure!D92</f>
        <v>700</v>
      </c>
      <c r="M1072" s="34">
        <f t="shared" si="781"/>
        <v>0</v>
      </c>
      <c r="N1072" s="34">
        <f t="shared" si="782"/>
        <v>0</v>
      </c>
      <c r="O1072" s="34">
        <f t="shared" si="783"/>
        <v>0</v>
      </c>
      <c r="P1072" s="34">
        <f t="shared" si="784"/>
        <v>0</v>
      </c>
      <c r="Q1072" s="34">
        <f t="shared" si="785"/>
        <v>0</v>
      </c>
      <c r="R1072" s="31"/>
      <c r="S1072" s="36"/>
      <c r="T1072" s="1818"/>
      <c r="U1072" s="1814"/>
      <c r="V1072" s="1814"/>
      <c r="W1072" s="1817"/>
      <c r="X1072" s="1814"/>
      <c r="Y1072" s="1801"/>
      <c r="Z1072" s="1801"/>
      <c r="AA1072" s="1801"/>
      <c r="AB1072" s="1801"/>
      <c r="AC1072" s="1801"/>
      <c r="AD1072" s="1801"/>
      <c r="AE1072" s="1801"/>
      <c r="AF1072" s="1814"/>
      <c r="AG1072" s="376"/>
      <c r="AH1072" s="376"/>
      <c r="AI1072" s="376"/>
      <c r="AJ1072" s="376"/>
      <c r="AK1072" s="376"/>
      <c r="AL1072" s="1148"/>
      <c r="AM1072" s="1148"/>
      <c r="AN1072" s="1148"/>
      <c r="AO1072" s="1178">
        <v>83</v>
      </c>
      <c r="AP1072" s="485">
        <f>Infrastructure!D92</f>
        <v>700</v>
      </c>
      <c r="AQ1072" s="763">
        <f t="shared" si="786"/>
        <v>0</v>
      </c>
      <c r="AR1072" s="763">
        <f t="shared" si="787"/>
        <v>0</v>
      </c>
      <c r="AS1072" s="763">
        <f t="shared" si="776"/>
        <v>0</v>
      </c>
      <c r="AT1072" s="170">
        <f>IF(AR1072&gt;0,SUM(AS$990:AS1072),0)</f>
        <v>0</v>
      </c>
      <c r="AU1072" s="1148"/>
      <c r="AV1072" s="1148"/>
      <c r="AW1072" s="1148"/>
      <c r="AX1072" s="1815">
        <f t="shared" si="793"/>
        <v>700</v>
      </c>
      <c r="AY1072" s="763">
        <f t="shared" si="788"/>
        <v>0</v>
      </c>
      <c r="AZ1072" s="763">
        <f t="shared" si="789"/>
        <v>0</v>
      </c>
      <c r="BA1072" s="763">
        <f t="shared" si="777"/>
        <v>0</v>
      </c>
      <c r="BB1072" s="170">
        <f>IF(AZ1072&gt;0,SUM(BA$990:BA1072),0)</f>
        <v>0</v>
      </c>
      <c r="BC1072" s="1148"/>
      <c r="BD1072" s="1148"/>
      <c r="BE1072" s="1815">
        <f t="shared" si="790"/>
        <v>700</v>
      </c>
      <c r="BF1072" s="763">
        <f t="shared" si="791"/>
        <v>0</v>
      </c>
      <c r="BG1072" s="763">
        <f t="shared" si="792"/>
        <v>0</v>
      </c>
      <c r="BH1072" s="763">
        <f t="shared" si="778"/>
        <v>0</v>
      </c>
      <c r="BI1072" s="170">
        <f>IF(BG1072&gt;0,SUM(BH$990:BH1072),0)</f>
        <v>0</v>
      </c>
      <c r="BJ1072" s="1148"/>
      <c r="BK1072" s="1148"/>
      <c r="BL1072" s="1144"/>
      <c r="BM1072" s="1144"/>
      <c r="BN1072" s="1144"/>
      <c r="BO1072" s="1144"/>
      <c r="BP1072" s="1144"/>
      <c r="BQ1072" s="1144"/>
      <c r="BR1072" s="1144"/>
      <c r="BS1072" s="1144"/>
      <c r="BT1072" s="1144"/>
      <c r="BU1072" s="1144"/>
      <c r="BV1072" s="1144"/>
      <c r="BW1072" s="1144"/>
      <c r="BX1072" s="1144"/>
      <c r="BY1072" s="1144"/>
      <c r="BZ1072" s="1144"/>
      <c r="CA1072" s="1144"/>
      <c r="CB1072" s="1144"/>
      <c r="CC1072" s="1144"/>
      <c r="CD1072" s="1144"/>
      <c r="CE1072" s="1144"/>
      <c r="CF1072" s="1144"/>
      <c r="CG1072" s="1144"/>
      <c r="CH1072" s="1144"/>
      <c r="CI1072" s="1144"/>
      <c r="CJ1072" s="1144"/>
      <c r="CK1072" s="1144"/>
      <c r="CL1072" s="1144"/>
      <c r="CM1072" s="1144"/>
      <c r="CN1072" s="1144"/>
    </row>
    <row r="1073" spans="11:92" ht="12" customHeight="1" x14ac:dyDescent="0.35">
      <c r="K1073" s="29">
        <f t="shared" si="780"/>
        <v>0</v>
      </c>
      <c r="L1073" s="485">
        <f>Infrastructure!D93</f>
        <v>731</v>
      </c>
      <c r="M1073" s="34">
        <f t="shared" si="781"/>
        <v>0</v>
      </c>
      <c r="N1073" s="34">
        <f t="shared" si="782"/>
        <v>0</v>
      </c>
      <c r="O1073" s="34">
        <f t="shared" si="783"/>
        <v>0</v>
      </c>
      <c r="P1073" s="34">
        <f t="shared" si="784"/>
        <v>0</v>
      </c>
      <c r="Q1073" s="34">
        <f t="shared" si="785"/>
        <v>0</v>
      </c>
      <c r="R1073" s="31"/>
      <c r="S1073" s="36"/>
      <c r="T1073" s="1818"/>
      <c r="U1073" s="1814"/>
      <c r="V1073" s="1814"/>
      <c r="W1073" s="1817"/>
      <c r="X1073" s="1814"/>
      <c r="Y1073" s="1801"/>
      <c r="Z1073" s="1801"/>
      <c r="AA1073" s="1801"/>
      <c r="AB1073" s="1801"/>
      <c r="AC1073" s="1801"/>
      <c r="AD1073" s="1801"/>
      <c r="AE1073" s="1801"/>
      <c r="AF1073" s="1814"/>
      <c r="AG1073" s="376"/>
      <c r="AH1073" s="376"/>
      <c r="AI1073" s="376"/>
      <c r="AJ1073" s="376"/>
      <c r="AK1073" s="376"/>
      <c r="AL1073" s="1148"/>
      <c r="AM1073" s="1148"/>
      <c r="AN1073" s="1148"/>
      <c r="AO1073" s="1178">
        <v>84</v>
      </c>
      <c r="AP1073" s="485">
        <f>Infrastructure!D93</f>
        <v>731</v>
      </c>
      <c r="AQ1073" s="763">
        <f t="shared" si="786"/>
        <v>0</v>
      </c>
      <c r="AR1073" s="763">
        <f t="shared" si="787"/>
        <v>0</v>
      </c>
      <c r="AS1073" s="763">
        <f t="shared" si="776"/>
        <v>0</v>
      </c>
      <c r="AT1073" s="170">
        <f>IF(AR1073&gt;0,SUM(AS$990:AS1073),0)</f>
        <v>0</v>
      </c>
      <c r="AU1073" s="1148"/>
      <c r="AV1073" s="1148"/>
      <c r="AW1073" s="1148"/>
      <c r="AX1073" s="1815">
        <f t="shared" si="793"/>
        <v>731</v>
      </c>
      <c r="AY1073" s="763">
        <f t="shared" si="788"/>
        <v>0</v>
      </c>
      <c r="AZ1073" s="763">
        <f t="shared" si="789"/>
        <v>0</v>
      </c>
      <c r="BA1073" s="763">
        <f t="shared" si="777"/>
        <v>0</v>
      </c>
      <c r="BB1073" s="170">
        <f>IF(AZ1073&gt;0,SUM(BA$990:BA1073),0)</f>
        <v>0</v>
      </c>
      <c r="BC1073" s="1148"/>
      <c r="BD1073" s="1148"/>
      <c r="BE1073" s="1815">
        <f t="shared" si="790"/>
        <v>731</v>
      </c>
      <c r="BF1073" s="763">
        <f t="shared" si="791"/>
        <v>0</v>
      </c>
      <c r="BG1073" s="763">
        <f t="shared" si="792"/>
        <v>0</v>
      </c>
      <c r="BH1073" s="763">
        <f t="shared" si="778"/>
        <v>0</v>
      </c>
      <c r="BI1073" s="170">
        <f>IF(BG1073&gt;0,SUM(BH$990:BH1073),0)</f>
        <v>0</v>
      </c>
      <c r="BJ1073" s="1148"/>
      <c r="BK1073" s="1148"/>
      <c r="BL1073" s="1144"/>
      <c r="BM1073" s="1144"/>
      <c r="BN1073" s="1144"/>
      <c r="BO1073" s="1144"/>
      <c r="BP1073" s="1144"/>
      <c r="BQ1073" s="1144"/>
      <c r="BR1073" s="1144"/>
      <c r="BS1073" s="1144"/>
      <c r="BT1073" s="1144"/>
      <c r="BU1073" s="1144"/>
      <c r="BV1073" s="1144"/>
      <c r="BW1073" s="1144"/>
      <c r="BX1073" s="1144"/>
      <c r="BY1073" s="1144"/>
      <c r="BZ1073" s="1144"/>
      <c r="CA1073" s="1144"/>
      <c r="CB1073" s="1144"/>
      <c r="CC1073" s="1144"/>
      <c r="CD1073" s="1144"/>
      <c r="CE1073" s="1144"/>
      <c r="CF1073" s="1144"/>
      <c r="CG1073" s="1144"/>
      <c r="CH1073" s="1144"/>
      <c r="CI1073" s="1144"/>
      <c r="CJ1073" s="1144"/>
      <c r="CK1073" s="1144"/>
      <c r="CL1073" s="1144"/>
      <c r="CM1073" s="1144"/>
      <c r="CN1073" s="1144"/>
    </row>
    <row r="1074" spans="11:92" ht="12" customHeight="1" x14ac:dyDescent="0.35">
      <c r="K1074" s="29">
        <f t="shared" si="780"/>
        <v>0</v>
      </c>
      <c r="L1074" s="485">
        <f>Infrastructure!D94</f>
        <v>762</v>
      </c>
      <c r="M1074" s="34">
        <f t="shared" si="781"/>
        <v>0</v>
      </c>
      <c r="N1074" s="34">
        <f t="shared" si="782"/>
        <v>0</v>
      </c>
      <c r="O1074" s="34">
        <f t="shared" si="783"/>
        <v>0</v>
      </c>
      <c r="P1074" s="34">
        <f t="shared" si="784"/>
        <v>0</v>
      </c>
      <c r="Q1074" s="34">
        <f t="shared" si="785"/>
        <v>0</v>
      </c>
      <c r="R1074" s="31"/>
      <c r="S1074" s="36"/>
      <c r="T1074" s="1818"/>
      <c r="U1074" s="1814"/>
      <c r="V1074" s="1814"/>
      <c r="W1074" s="1817"/>
      <c r="X1074" s="1814"/>
      <c r="Y1074" s="1801"/>
      <c r="Z1074" s="1801"/>
      <c r="AA1074" s="1801"/>
      <c r="AB1074" s="1801"/>
      <c r="AC1074" s="1801"/>
      <c r="AD1074" s="1801"/>
      <c r="AE1074" s="1801"/>
      <c r="AF1074" s="1814"/>
      <c r="AG1074" s="376"/>
      <c r="AH1074" s="376"/>
      <c r="AI1074" s="376"/>
      <c r="AJ1074" s="376"/>
      <c r="AK1074" s="376"/>
      <c r="AL1074" s="1148"/>
      <c r="AM1074" s="1148"/>
      <c r="AN1074" s="1148"/>
      <c r="AO1074" s="1178">
        <v>85</v>
      </c>
      <c r="AP1074" s="485">
        <f>Infrastructure!D94</f>
        <v>762</v>
      </c>
      <c r="AQ1074" s="763">
        <f t="shared" si="786"/>
        <v>0</v>
      </c>
      <c r="AR1074" s="763">
        <f t="shared" si="787"/>
        <v>0</v>
      </c>
      <c r="AS1074" s="763">
        <f t="shared" si="776"/>
        <v>0</v>
      </c>
      <c r="AT1074" s="170">
        <f>IF(AR1074&gt;0,SUM(AS$990:AS1074),0)</f>
        <v>0</v>
      </c>
      <c r="AU1074" s="1148"/>
      <c r="AV1074" s="1148"/>
      <c r="AW1074" s="1148"/>
      <c r="AX1074" s="1815">
        <f t="shared" si="793"/>
        <v>762</v>
      </c>
      <c r="AY1074" s="763">
        <f t="shared" si="788"/>
        <v>0</v>
      </c>
      <c r="AZ1074" s="763">
        <f t="shared" si="789"/>
        <v>0</v>
      </c>
      <c r="BA1074" s="763">
        <f t="shared" si="777"/>
        <v>0</v>
      </c>
      <c r="BB1074" s="170">
        <f>IF(AZ1074&gt;0,SUM(BA$990:BA1074),0)</f>
        <v>0</v>
      </c>
      <c r="BC1074" s="1148"/>
      <c r="BD1074" s="1148"/>
      <c r="BE1074" s="1815">
        <f t="shared" si="790"/>
        <v>762</v>
      </c>
      <c r="BF1074" s="763">
        <f t="shared" si="791"/>
        <v>0</v>
      </c>
      <c r="BG1074" s="763">
        <f t="shared" si="792"/>
        <v>0</v>
      </c>
      <c r="BH1074" s="763">
        <f t="shared" si="778"/>
        <v>0</v>
      </c>
      <c r="BI1074" s="170">
        <f>IF(BG1074&gt;0,SUM(BH$990:BH1074),0)</f>
        <v>0</v>
      </c>
      <c r="BJ1074" s="1148"/>
      <c r="BK1074" s="1148"/>
      <c r="BL1074" s="1144"/>
      <c r="BM1074" s="1144"/>
      <c r="BN1074" s="1144"/>
      <c r="BO1074" s="1144"/>
      <c r="BP1074" s="1144"/>
      <c r="BQ1074" s="1144"/>
      <c r="BR1074" s="1144"/>
      <c r="BS1074" s="1144"/>
      <c r="BT1074" s="1144"/>
      <c r="BU1074" s="1144"/>
      <c r="BV1074" s="1144"/>
      <c r="BW1074" s="1144"/>
      <c r="BX1074" s="1144"/>
      <c r="BY1074" s="1144"/>
      <c r="BZ1074" s="1144"/>
      <c r="CA1074" s="1144"/>
      <c r="CB1074" s="1144"/>
      <c r="CC1074" s="1144"/>
      <c r="CD1074" s="1144"/>
      <c r="CE1074" s="1144"/>
      <c r="CF1074" s="1144"/>
      <c r="CG1074" s="1144"/>
      <c r="CH1074" s="1144"/>
      <c r="CI1074" s="1144"/>
      <c r="CJ1074" s="1144"/>
      <c r="CK1074" s="1144"/>
      <c r="CL1074" s="1144"/>
      <c r="CM1074" s="1144"/>
      <c r="CN1074" s="1144"/>
    </row>
    <row r="1075" spans="11:92" ht="12" customHeight="1" x14ac:dyDescent="0.35">
      <c r="K1075" s="29">
        <f t="shared" si="780"/>
        <v>0</v>
      </c>
      <c r="L1075" s="485">
        <f>Infrastructure!D95</f>
        <v>790</v>
      </c>
      <c r="M1075" s="34">
        <f t="shared" si="781"/>
        <v>0</v>
      </c>
      <c r="N1075" s="34">
        <f t="shared" si="782"/>
        <v>0</v>
      </c>
      <c r="O1075" s="34">
        <f t="shared" si="783"/>
        <v>0</v>
      </c>
      <c r="P1075" s="34">
        <f t="shared" si="784"/>
        <v>0</v>
      </c>
      <c r="Q1075" s="34">
        <f t="shared" si="785"/>
        <v>0</v>
      </c>
      <c r="R1075" s="31"/>
      <c r="S1075" s="36"/>
      <c r="T1075" s="1818"/>
      <c r="U1075" s="1814"/>
      <c r="V1075" s="1814"/>
      <c r="W1075" s="1817"/>
      <c r="X1075" s="1814"/>
      <c r="Y1075" s="1801"/>
      <c r="Z1075" s="1801"/>
      <c r="AA1075" s="1801"/>
      <c r="AB1075" s="1801"/>
      <c r="AC1075" s="1801"/>
      <c r="AD1075" s="1801"/>
      <c r="AE1075" s="1801"/>
      <c r="AF1075" s="1814"/>
      <c r="AG1075" s="376"/>
      <c r="AH1075" s="376"/>
      <c r="AI1075" s="376"/>
      <c r="AJ1075" s="376"/>
      <c r="AK1075" s="376"/>
      <c r="AL1075" s="1148"/>
      <c r="AM1075" s="1148"/>
      <c r="AN1075" s="1148"/>
      <c r="AO1075" s="1178">
        <v>86</v>
      </c>
      <c r="AP1075" s="485">
        <f>Infrastructure!D95</f>
        <v>790</v>
      </c>
      <c r="AQ1075" s="763">
        <f t="shared" si="786"/>
        <v>0</v>
      </c>
      <c r="AR1075" s="763">
        <f t="shared" si="787"/>
        <v>0</v>
      </c>
      <c r="AS1075" s="763">
        <f t="shared" si="776"/>
        <v>0</v>
      </c>
      <c r="AT1075" s="170">
        <f>IF(AR1075&gt;0,SUM(AS$990:AS1075),0)</f>
        <v>0</v>
      </c>
      <c r="AU1075" s="1148"/>
      <c r="AV1075" s="1148"/>
      <c r="AW1075" s="1148"/>
      <c r="AX1075" s="1815">
        <f t="shared" si="793"/>
        <v>790</v>
      </c>
      <c r="AY1075" s="763">
        <f t="shared" si="788"/>
        <v>0</v>
      </c>
      <c r="AZ1075" s="763">
        <f t="shared" si="789"/>
        <v>0</v>
      </c>
      <c r="BA1075" s="763">
        <f t="shared" si="777"/>
        <v>0</v>
      </c>
      <c r="BB1075" s="170">
        <f>IF(AZ1075&gt;0,SUM(BA$990:BA1075),0)</f>
        <v>0</v>
      </c>
      <c r="BC1075" s="1148"/>
      <c r="BD1075" s="1148"/>
      <c r="BE1075" s="1815">
        <f t="shared" si="790"/>
        <v>790</v>
      </c>
      <c r="BF1075" s="763">
        <f t="shared" si="791"/>
        <v>0</v>
      </c>
      <c r="BG1075" s="763">
        <f t="shared" si="792"/>
        <v>0</v>
      </c>
      <c r="BH1075" s="763">
        <f t="shared" si="778"/>
        <v>0</v>
      </c>
      <c r="BI1075" s="170">
        <f>IF(BG1075&gt;0,SUM(BH$990:BH1075),0)</f>
        <v>0</v>
      </c>
      <c r="BJ1075" s="1148"/>
      <c r="BK1075" s="1148"/>
      <c r="BL1075" s="1144"/>
      <c r="BM1075" s="1144"/>
      <c r="BN1075" s="1144"/>
      <c r="BO1075" s="1144"/>
      <c r="BP1075" s="1144"/>
      <c r="BQ1075" s="1144"/>
      <c r="BR1075" s="1144"/>
      <c r="BS1075" s="1144"/>
      <c r="BT1075" s="1144"/>
      <c r="BU1075" s="1144"/>
      <c r="BV1075" s="1144"/>
      <c r="BW1075" s="1144"/>
      <c r="BX1075" s="1144"/>
      <c r="BY1075" s="1144"/>
      <c r="BZ1075" s="1144"/>
      <c r="CA1075" s="1144"/>
      <c r="CB1075" s="1144"/>
      <c r="CC1075" s="1144"/>
      <c r="CD1075" s="1144"/>
      <c r="CE1075" s="1144"/>
      <c r="CF1075" s="1144"/>
      <c r="CG1075" s="1144"/>
      <c r="CH1075" s="1144"/>
      <c r="CI1075" s="1144"/>
      <c r="CJ1075" s="1144"/>
      <c r="CK1075" s="1144"/>
      <c r="CL1075" s="1144"/>
      <c r="CM1075" s="1144"/>
      <c r="CN1075" s="1144"/>
    </row>
    <row r="1076" spans="11:92" ht="12" customHeight="1" x14ac:dyDescent="0.35">
      <c r="K1076" s="29">
        <f t="shared" si="780"/>
        <v>0</v>
      </c>
      <c r="L1076" s="485">
        <f>Infrastructure!D96</f>
        <v>821</v>
      </c>
      <c r="M1076" s="34">
        <f t="shared" si="781"/>
        <v>0</v>
      </c>
      <c r="N1076" s="34">
        <f t="shared" si="782"/>
        <v>0</v>
      </c>
      <c r="O1076" s="34">
        <f t="shared" si="783"/>
        <v>0</v>
      </c>
      <c r="P1076" s="34">
        <f t="shared" si="784"/>
        <v>0</v>
      </c>
      <c r="Q1076" s="34">
        <f t="shared" si="785"/>
        <v>0</v>
      </c>
      <c r="R1076" s="31"/>
      <c r="S1076" s="36"/>
      <c r="T1076" s="1818"/>
      <c r="U1076" s="1814"/>
      <c r="V1076" s="1814"/>
      <c r="W1076" s="1817"/>
      <c r="X1076" s="1814"/>
      <c r="Y1076" s="1801"/>
      <c r="Z1076" s="1801"/>
      <c r="AA1076" s="1801"/>
      <c r="AB1076" s="1801"/>
      <c r="AC1076" s="1801"/>
      <c r="AD1076" s="1801"/>
      <c r="AE1076" s="1801"/>
      <c r="AF1076" s="1814"/>
      <c r="AG1076" s="376"/>
      <c r="AH1076" s="376"/>
      <c r="AI1076" s="376"/>
      <c r="AJ1076" s="376"/>
      <c r="AK1076" s="376"/>
      <c r="AL1076" s="1148"/>
      <c r="AM1076" s="1148"/>
      <c r="AN1076" s="1148"/>
      <c r="AO1076" s="1178">
        <v>87</v>
      </c>
      <c r="AP1076" s="485">
        <f>Infrastructure!D96</f>
        <v>821</v>
      </c>
      <c r="AQ1076" s="763">
        <f t="shared" si="786"/>
        <v>0</v>
      </c>
      <c r="AR1076" s="763">
        <f t="shared" si="787"/>
        <v>0</v>
      </c>
      <c r="AS1076" s="763">
        <f t="shared" si="776"/>
        <v>0</v>
      </c>
      <c r="AT1076" s="170">
        <f>IF(AR1076&gt;0,SUM(AS$990:AS1076),0)</f>
        <v>0</v>
      </c>
      <c r="AU1076" s="1148"/>
      <c r="AV1076" s="1148"/>
      <c r="AW1076" s="1148"/>
      <c r="AX1076" s="1815">
        <f t="shared" si="793"/>
        <v>821</v>
      </c>
      <c r="AY1076" s="763">
        <f t="shared" si="788"/>
        <v>0</v>
      </c>
      <c r="AZ1076" s="763">
        <f t="shared" si="789"/>
        <v>0</v>
      </c>
      <c r="BA1076" s="763">
        <f t="shared" si="777"/>
        <v>0</v>
      </c>
      <c r="BB1076" s="170">
        <f>IF(AZ1076&gt;0,SUM(BA$990:BA1076),0)</f>
        <v>0</v>
      </c>
      <c r="BC1076" s="1148"/>
      <c r="BD1076" s="1148"/>
      <c r="BE1076" s="1815">
        <f t="shared" si="790"/>
        <v>821</v>
      </c>
      <c r="BF1076" s="763">
        <f t="shared" si="791"/>
        <v>0</v>
      </c>
      <c r="BG1076" s="763">
        <f t="shared" si="792"/>
        <v>0</v>
      </c>
      <c r="BH1076" s="763">
        <f t="shared" si="778"/>
        <v>0</v>
      </c>
      <c r="BI1076" s="170">
        <f>IF(BG1076&gt;0,SUM(BH$990:BH1076),0)</f>
        <v>0</v>
      </c>
      <c r="BJ1076" s="1148"/>
      <c r="BK1076" s="1148"/>
      <c r="BL1076" s="1144"/>
      <c r="BM1076" s="1144"/>
      <c r="BN1076" s="1144"/>
      <c r="BO1076" s="1144"/>
      <c r="BP1076" s="1144"/>
      <c r="BQ1076" s="1144"/>
      <c r="BR1076" s="1144"/>
      <c r="BS1076" s="1144"/>
      <c r="BT1076" s="1144"/>
      <c r="BU1076" s="1144"/>
      <c r="BV1076" s="1144"/>
      <c r="BW1076" s="1144"/>
      <c r="BX1076" s="1144"/>
      <c r="BY1076" s="1144"/>
      <c r="BZ1076" s="1144"/>
      <c r="CA1076" s="1144"/>
      <c r="CB1076" s="1144"/>
      <c r="CC1076" s="1144"/>
      <c r="CD1076" s="1144"/>
      <c r="CE1076" s="1144"/>
      <c r="CF1076" s="1144"/>
      <c r="CG1076" s="1144"/>
      <c r="CH1076" s="1144"/>
      <c r="CI1076" s="1144"/>
      <c r="CJ1076" s="1144"/>
      <c r="CK1076" s="1144"/>
      <c r="CL1076" s="1144"/>
      <c r="CM1076" s="1144"/>
      <c r="CN1076" s="1144"/>
    </row>
    <row r="1077" spans="11:92" ht="12" customHeight="1" x14ac:dyDescent="0.35">
      <c r="K1077" s="29">
        <f t="shared" si="780"/>
        <v>0</v>
      </c>
      <c r="L1077" s="485">
        <f>Infrastructure!D97</f>
        <v>851</v>
      </c>
      <c r="M1077" s="34">
        <f t="shared" si="781"/>
        <v>0</v>
      </c>
      <c r="N1077" s="34">
        <f t="shared" si="782"/>
        <v>0</v>
      </c>
      <c r="O1077" s="34">
        <f t="shared" si="783"/>
        <v>0</v>
      </c>
      <c r="P1077" s="34">
        <f t="shared" si="784"/>
        <v>0</v>
      </c>
      <c r="Q1077" s="34">
        <f t="shared" si="785"/>
        <v>0</v>
      </c>
      <c r="R1077" s="31"/>
      <c r="S1077" s="36"/>
      <c r="T1077" s="1818"/>
      <c r="U1077" s="1814"/>
      <c r="V1077" s="1814"/>
      <c r="W1077" s="1817"/>
      <c r="X1077" s="1814"/>
      <c r="Y1077" s="1801"/>
      <c r="Z1077" s="1801"/>
      <c r="AA1077" s="1801"/>
      <c r="AB1077" s="1801"/>
      <c r="AC1077" s="1801"/>
      <c r="AD1077" s="1801"/>
      <c r="AE1077" s="1801"/>
      <c r="AF1077" s="1814"/>
      <c r="AG1077" s="376"/>
      <c r="AH1077" s="376"/>
      <c r="AI1077" s="376"/>
      <c r="AJ1077" s="376"/>
      <c r="AK1077" s="376"/>
      <c r="AL1077" s="1148"/>
      <c r="AM1077" s="1148"/>
      <c r="AN1077" s="1148"/>
      <c r="AO1077" s="1178">
        <v>88</v>
      </c>
      <c r="AP1077" s="485">
        <f>Infrastructure!D97</f>
        <v>851</v>
      </c>
      <c r="AQ1077" s="763">
        <f t="shared" si="786"/>
        <v>0</v>
      </c>
      <c r="AR1077" s="763">
        <f t="shared" si="787"/>
        <v>0</v>
      </c>
      <c r="AS1077" s="763">
        <f t="shared" si="776"/>
        <v>0</v>
      </c>
      <c r="AT1077" s="170">
        <f>IF(AR1077&gt;0,SUM(AS$990:AS1077),0)</f>
        <v>0</v>
      </c>
      <c r="AU1077" s="1148"/>
      <c r="AV1077" s="1148"/>
      <c r="AW1077" s="1148"/>
      <c r="AX1077" s="1815">
        <f t="shared" si="793"/>
        <v>851</v>
      </c>
      <c r="AY1077" s="763">
        <f t="shared" si="788"/>
        <v>0</v>
      </c>
      <c r="AZ1077" s="763">
        <f t="shared" si="789"/>
        <v>0</v>
      </c>
      <c r="BA1077" s="763">
        <f t="shared" si="777"/>
        <v>0</v>
      </c>
      <c r="BB1077" s="170">
        <f>IF(AZ1077&gt;0,SUM(BA$990:BA1077),0)</f>
        <v>0</v>
      </c>
      <c r="BC1077" s="1148"/>
      <c r="BD1077" s="1148"/>
      <c r="BE1077" s="1815">
        <f t="shared" si="790"/>
        <v>851</v>
      </c>
      <c r="BF1077" s="763">
        <f t="shared" si="791"/>
        <v>0</v>
      </c>
      <c r="BG1077" s="763">
        <f t="shared" si="792"/>
        <v>0</v>
      </c>
      <c r="BH1077" s="763">
        <f t="shared" si="778"/>
        <v>0</v>
      </c>
      <c r="BI1077" s="170">
        <f>IF(BG1077&gt;0,SUM(BH$990:BH1077),0)</f>
        <v>0</v>
      </c>
      <c r="BJ1077" s="1148"/>
      <c r="BK1077" s="1148"/>
      <c r="BL1077" s="1144"/>
      <c r="BM1077" s="1144"/>
      <c r="BN1077" s="1144"/>
      <c r="BO1077" s="1144"/>
      <c r="BP1077" s="1144"/>
      <c r="BQ1077" s="1144"/>
      <c r="BR1077" s="1144"/>
      <c r="BS1077" s="1144"/>
      <c r="BT1077" s="1144"/>
      <c r="BU1077" s="1144"/>
      <c r="BV1077" s="1144"/>
      <c r="BW1077" s="1144"/>
      <c r="BX1077" s="1144"/>
      <c r="BY1077" s="1144"/>
      <c r="BZ1077" s="1144"/>
      <c r="CA1077" s="1144"/>
      <c r="CB1077" s="1144"/>
      <c r="CC1077" s="1144"/>
      <c r="CD1077" s="1144"/>
      <c r="CE1077" s="1144"/>
      <c r="CF1077" s="1144"/>
      <c r="CG1077" s="1144"/>
      <c r="CH1077" s="1144"/>
      <c r="CI1077" s="1144"/>
      <c r="CJ1077" s="1144"/>
      <c r="CK1077" s="1144"/>
      <c r="CL1077" s="1144"/>
      <c r="CM1077" s="1144"/>
      <c r="CN1077" s="1144"/>
    </row>
    <row r="1078" spans="11:92" ht="12" customHeight="1" x14ac:dyDescent="0.35">
      <c r="K1078" s="29">
        <f t="shared" si="780"/>
        <v>0</v>
      </c>
      <c r="L1078" s="485">
        <f>Infrastructure!D98</f>
        <v>882</v>
      </c>
      <c r="M1078" s="34">
        <f t="shared" si="781"/>
        <v>0</v>
      </c>
      <c r="N1078" s="34">
        <f t="shared" si="782"/>
        <v>0</v>
      </c>
      <c r="O1078" s="34">
        <f t="shared" si="783"/>
        <v>0</v>
      </c>
      <c r="P1078" s="34">
        <f t="shared" si="784"/>
        <v>0</v>
      </c>
      <c r="Q1078" s="34">
        <f t="shared" si="785"/>
        <v>0</v>
      </c>
      <c r="R1078" s="31"/>
      <c r="S1078" s="36"/>
      <c r="T1078" s="1818"/>
      <c r="U1078" s="1814"/>
      <c r="V1078" s="1814"/>
      <c r="W1078" s="1817"/>
      <c r="X1078" s="1814"/>
      <c r="Y1078" s="1801"/>
      <c r="Z1078" s="1801"/>
      <c r="AA1078" s="1801"/>
      <c r="AB1078" s="1801"/>
      <c r="AC1078" s="1801"/>
      <c r="AD1078" s="1801"/>
      <c r="AE1078" s="1801"/>
      <c r="AF1078" s="1814"/>
      <c r="AG1078" s="376"/>
      <c r="AH1078" s="376"/>
      <c r="AI1078" s="376"/>
      <c r="AJ1078" s="376"/>
      <c r="AK1078" s="376"/>
      <c r="AL1078" s="1148"/>
      <c r="AM1078" s="1148"/>
      <c r="AN1078" s="1148"/>
      <c r="AO1078" s="1178">
        <v>89</v>
      </c>
      <c r="AP1078" s="485">
        <f>Infrastructure!D98</f>
        <v>882</v>
      </c>
      <c r="AQ1078" s="763">
        <f t="shared" si="786"/>
        <v>0</v>
      </c>
      <c r="AR1078" s="763">
        <f t="shared" si="787"/>
        <v>0</v>
      </c>
      <c r="AS1078" s="763">
        <f t="shared" si="776"/>
        <v>0</v>
      </c>
      <c r="AT1078" s="170">
        <f>IF(AR1078&gt;0,SUM(AS$990:AS1078),0)</f>
        <v>0</v>
      </c>
      <c r="AU1078" s="1148"/>
      <c r="AV1078" s="1148"/>
      <c r="AW1078" s="1148"/>
      <c r="AX1078" s="1815">
        <f t="shared" si="793"/>
        <v>882</v>
      </c>
      <c r="AY1078" s="763">
        <f t="shared" si="788"/>
        <v>0</v>
      </c>
      <c r="AZ1078" s="763">
        <f t="shared" si="789"/>
        <v>0</v>
      </c>
      <c r="BA1078" s="763">
        <f t="shared" si="777"/>
        <v>0</v>
      </c>
      <c r="BB1078" s="170">
        <f>IF(AZ1078&gt;0,SUM(BA$990:BA1078),0)</f>
        <v>0</v>
      </c>
      <c r="BC1078" s="1148"/>
      <c r="BD1078" s="1148"/>
      <c r="BE1078" s="1815">
        <f t="shared" si="790"/>
        <v>882</v>
      </c>
      <c r="BF1078" s="763">
        <f t="shared" si="791"/>
        <v>0</v>
      </c>
      <c r="BG1078" s="763">
        <f t="shared" si="792"/>
        <v>0</v>
      </c>
      <c r="BH1078" s="763">
        <f t="shared" si="778"/>
        <v>0</v>
      </c>
      <c r="BI1078" s="170">
        <f>IF(BG1078&gt;0,SUM(BH$990:BH1078),0)</f>
        <v>0</v>
      </c>
      <c r="BJ1078" s="1148"/>
      <c r="BK1078" s="1148"/>
      <c r="BL1078" s="1144"/>
      <c r="BM1078" s="1144"/>
      <c r="BN1078" s="1144"/>
      <c r="BO1078" s="1144"/>
      <c r="BP1078" s="1144"/>
      <c r="BQ1078" s="1144"/>
      <c r="BR1078" s="1144"/>
      <c r="BS1078" s="1144"/>
      <c r="BT1078" s="1144"/>
      <c r="BU1078" s="1144"/>
      <c r="BV1078" s="1144"/>
      <c r="BW1078" s="1144"/>
      <c r="BX1078" s="1144"/>
      <c r="BY1078" s="1144"/>
      <c r="BZ1078" s="1144"/>
      <c r="CA1078" s="1144"/>
      <c r="CB1078" s="1144"/>
      <c r="CC1078" s="1144"/>
      <c r="CD1078" s="1144"/>
      <c r="CE1078" s="1144"/>
      <c r="CF1078" s="1144"/>
      <c r="CG1078" s="1144"/>
      <c r="CH1078" s="1144"/>
      <c r="CI1078" s="1144"/>
      <c r="CJ1078" s="1144"/>
      <c r="CK1078" s="1144"/>
      <c r="CL1078" s="1144"/>
      <c r="CM1078" s="1144"/>
      <c r="CN1078" s="1144"/>
    </row>
    <row r="1079" spans="11:92" ht="12" customHeight="1" x14ac:dyDescent="0.35">
      <c r="K1079" s="29">
        <f t="shared" si="780"/>
        <v>0</v>
      </c>
      <c r="L1079" s="485">
        <f>Infrastructure!D99</f>
        <v>912</v>
      </c>
      <c r="M1079" s="34">
        <f t="shared" si="781"/>
        <v>0</v>
      </c>
      <c r="N1079" s="34">
        <f t="shared" si="782"/>
        <v>0</v>
      </c>
      <c r="O1079" s="34">
        <f t="shared" si="783"/>
        <v>0</v>
      </c>
      <c r="P1079" s="34">
        <f t="shared" si="784"/>
        <v>0</v>
      </c>
      <c r="Q1079" s="34">
        <f t="shared" si="785"/>
        <v>0</v>
      </c>
      <c r="R1079" s="31"/>
      <c r="S1079" s="36"/>
      <c r="T1079" s="1818"/>
      <c r="U1079" s="1814"/>
      <c r="V1079" s="1814"/>
      <c r="W1079" s="1817"/>
      <c r="X1079" s="1814"/>
      <c r="Y1079" s="1801"/>
      <c r="Z1079" s="1801"/>
      <c r="AA1079" s="1801"/>
      <c r="AB1079" s="1801"/>
      <c r="AC1079" s="1801"/>
      <c r="AD1079" s="1801"/>
      <c r="AE1079" s="1801"/>
      <c r="AF1079" s="1814"/>
      <c r="AG1079" s="376"/>
      <c r="AH1079" s="376"/>
      <c r="AI1079" s="376"/>
      <c r="AJ1079" s="376"/>
      <c r="AK1079" s="376"/>
      <c r="AL1079" s="1148"/>
      <c r="AM1079" s="1148"/>
      <c r="AN1079" s="1148"/>
      <c r="AO1079" s="1178">
        <v>90</v>
      </c>
      <c r="AP1079" s="485">
        <f>Infrastructure!D99</f>
        <v>912</v>
      </c>
      <c r="AQ1079" s="763">
        <f t="shared" si="786"/>
        <v>0</v>
      </c>
      <c r="AR1079" s="763">
        <f t="shared" si="787"/>
        <v>0</v>
      </c>
      <c r="AS1079" s="763">
        <f t="shared" si="776"/>
        <v>0</v>
      </c>
      <c r="AT1079" s="170">
        <f>IF(AR1079&gt;0,SUM(AS$990:AS1079),0)</f>
        <v>0</v>
      </c>
      <c r="AU1079" s="1148"/>
      <c r="AV1079" s="1148"/>
      <c r="AW1079" s="1148"/>
      <c r="AX1079" s="1815">
        <f t="shared" si="793"/>
        <v>912</v>
      </c>
      <c r="AY1079" s="763">
        <f t="shared" si="788"/>
        <v>0</v>
      </c>
      <c r="AZ1079" s="763">
        <f t="shared" si="789"/>
        <v>0</v>
      </c>
      <c r="BA1079" s="763">
        <f t="shared" si="777"/>
        <v>0</v>
      </c>
      <c r="BB1079" s="170">
        <f>IF(AZ1079&gt;0,SUM(BA$990:BA1079),0)</f>
        <v>0</v>
      </c>
      <c r="BC1079" s="1148"/>
      <c r="BD1079" s="1148"/>
      <c r="BE1079" s="1815">
        <f t="shared" si="790"/>
        <v>912</v>
      </c>
      <c r="BF1079" s="763">
        <f t="shared" si="791"/>
        <v>0</v>
      </c>
      <c r="BG1079" s="763">
        <f t="shared" si="792"/>
        <v>0</v>
      </c>
      <c r="BH1079" s="763">
        <f t="shared" si="778"/>
        <v>0</v>
      </c>
      <c r="BI1079" s="170">
        <f>IF(BG1079&gt;0,SUM(BH$990:BH1079),0)</f>
        <v>0</v>
      </c>
      <c r="BJ1079" s="1148"/>
      <c r="BK1079" s="1148"/>
      <c r="BL1079" s="1144"/>
      <c r="BM1079" s="1144"/>
      <c r="BN1079" s="1144"/>
      <c r="BO1079" s="1144"/>
      <c r="BP1079" s="1144"/>
      <c r="BQ1079" s="1144"/>
      <c r="BR1079" s="1144"/>
      <c r="BS1079" s="1144"/>
      <c r="BT1079" s="1144"/>
      <c r="BU1079" s="1144"/>
      <c r="BV1079" s="1144"/>
      <c r="BW1079" s="1144"/>
      <c r="BX1079" s="1144"/>
      <c r="BY1079" s="1144"/>
      <c r="BZ1079" s="1144"/>
      <c r="CA1079" s="1144"/>
      <c r="CB1079" s="1144"/>
      <c r="CC1079" s="1144"/>
      <c r="CD1079" s="1144"/>
      <c r="CE1079" s="1144"/>
      <c r="CF1079" s="1144"/>
      <c r="CG1079" s="1144"/>
      <c r="CH1079" s="1144"/>
      <c r="CI1079" s="1144"/>
      <c r="CJ1079" s="1144"/>
      <c r="CK1079" s="1144"/>
      <c r="CL1079" s="1144"/>
      <c r="CM1079" s="1144"/>
      <c r="CN1079" s="1144"/>
    </row>
    <row r="1080" spans="11:92" ht="12" customHeight="1" x14ac:dyDescent="0.35">
      <c r="K1080" s="29">
        <f t="shared" si="780"/>
        <v>0</v>
      </c>
      <c r="L1080" s="485">
        <f>Infrastructure!D100</f>
        <v>943</v>
      </c>
      <c r="M1080" s="34">
        <f t="shared" si="781"/>
        <v>0</v>
      </c>
      <c r="N1080" s="34">
        <f t="shared" si="782"/>
        <v>0</v>
      </c>
      <c r="O1080" s="34">
        <f t="shared" si="783"/>
        <v>0</v>
      </c>
      <c r="P1080" s="34">
        <f t="shared" si="784"/>
        <v>0</v>
      </c>
      <c r="Q1080" s="34">
        <f t="shared" si="785"/>
        <v>0</v>
      </c>
      <c r="R1080" s="31"/>
      <c r="S1080" s="36"/>
      <c r="T1080" s="1818"/>
      <c r="U1080" s="1814"/>
      <c r="V1080" s="1814"/>
      <c r="W1080" s="1817"/>
      <c r="X1080" s="1814"/>
      <c r="Y1080" s="1801"/>
      <c r="Z1080" s="1801"/>
      <c r="AA1080" s="1801"/>
      <c r="AB1080" s="1801"/>
      <c r="AC1080" s="1801"/>
      <c r="AD1080" s="1801"/>
      <c r="AE1080" s="1801"/>
      <c r="AF1080" s="1814"/>
      <c r="AG1080" s="376"/>
      <c r="AH1080" s="376"/>
      <c r="AI1080" s="376"/>
      <c r="AJ1080" s="376"/>
      <c r="AK1080" s="376"/>
      <c r="AL1080" s="1148"/>
      <c r="AM1080" s="1148"/>
      <c r="AN1080" s="1148"/>
      <c r="AO1080" s="1178">
        <v>91</v>
      </c>
      <c r="AP1080" s="485">
        <f>Infrastructure!D100</f>
        <v>943</v>
      </c>
      <c r="AQ1080" s="763">
        <f t="shared" si="786"/>
        <v>0</v>
      </c>
      <c r="AR1080" s="763">
        <f t="shared" si="787"/>
        <v>0</v>
      </c>
      <c r="AS1080" s="763">
        <f t="shared" si="776"/>
        <v>0</v>
      </c>
      <c r="AT1080" s="170">
        <f>IF(AR1080&gt;0,SUM(AS$990:AS1080),0)</f>
        <v>0</v>
      </c>
      <c r="AU1080" s="1148"/>
      <c r="AV1080" s="1148"/>
      <c r="AW1080" s="1148"/>
      <c r="AX1080" s="1815">
        <f t="shared" si="793"/>
        <v>943</v>
      </c>
      <c r="AY1080" s="763">
        <f t="shared" si="788"/>
        <v>0</v>
      </c>
      <c r="AZ1080" s="763">
        <f t="shared" si="789"/>
        <v>0</v>
      </c>
      <c r="BA1080" s="763">
        <f t="shared" si="777"/>
        <v>0</v>
      </c>
      <c r="BB1080" s="170">
        <f>IF(AZ1080&gt;0,SUM(BA$990:BA1080),0)</f>
        <v>0</v>
      </c>
      <c r="BC1080" s="1148"/>
      <c r="BD1080" s="1148"/>
      <c r="BE1080" s="1815">
        <f t="shared" si="790"/>
        <v>943</v>
      </c>
      <c r="BF1080" s="763">
        <f t="shared" si="791"/>
        <v>0</v>
      </c>
      <c r="BG1080" s="763">
        <f t="shared" si="792"/>
        <v>0</v>
      </c>
      <c r="BH1080" s="763">
        <f t="shared" si="778"/>
        <v>0</v>
      </c>
      <c r="BI1080" s="170">
        <f>IF(BG1080&gt;0,SUM(BH$990:BH1080),0)</f>
        <v>0</v>
      </c>
      <c r="BJ1080" s="1148"/>
      <c r="BK1080" s="1148"/>
      <c r="BL1080" s="1144"/>
      <c r="BM1080" s="1144"/>
      <c r="BN1080" s="1144"/>
      <c r="BO1080" s="1144"/>
      <c r="BP1080" s="1144"/>
      <c r="BQ1080" s="1144"/>
      <c r="BR1080" s="1144"/>
      <c r="BS1080" s="1144"/>
      <c r="BT1080" s="1144"/>
      <c r="BU1080" s="1144"/>
      <c r="BV1080" s="1144"/>
      <c r="BW1080" s="1144"/>
      <c r="BX1080" s="1144"/>
      <c r="BY1080" s="1144"/>
      <c r="BZ1080" s="1144"/>
      <c r="CA1080" s="1144"/>
      <c r="CB1080" s="1144"/>
      <c r="CC1080" s="1144"/>
      <c r="CD1080" s="1144"/>
      <c r="CE1080" s="1144"/>
      <c r="CF1080" s="1144"/>
      <c r="CG1080" s="1144"/>
      <c r="CH1080" s="1144"/>
      <c r="CI1080" s="1144"/>
      <c r="CJ1080" s="1144"/>
      <c r="CK1080" s="1144"/>
      <c r="CL1080" s="1144"/>
      <c r="CM1080" s="1144"/>
      <c r="CN1080" s="1144"/>
    </row>
    <row r="1081" spans="11:92" ht="12" customHeight="1" x14ac:dyDescent="0.35">
      <c r="K1081" s="29">
        <f t="shared" si="780"/>
        <v>0</v>
      </c>
      <c r="L1081" s="485">
        <f>Infrastructure!D101</f>
        <v>974</v>
      </c>
      <c r="M1081" s="34">
        <f t="shared" si="781"/>
        <v>0</v>
      </c>
      <c r="N1081" s="34">
        <f t="shared" si="782"/>
        <v>0</v>
      </c>
      <c r="O1081" s="34">
        <f t="shared" si="783"/>
        <v>0</v>
      </c>
      <c r="P1081" s="34">
        <f t="shared" si="784"/>
        <v>0</v>
      </c>
      <c r="Q1081" s="34">
        <f t="shared" si="785"/>
        <v>0</v>
      </c>
      <c r="R1081" s="31"/>
      <c r="S1081" s="36"/>
      <c r="T1081" s="1818"/>
      <c r="U1081" s="1814"/>
      <c r="V1081" s="1814"/>
      <c r="W1081" s="1817"/>
      <c r="X1081" s="1814"/>
      <c r="Y1081" s="1801"/>
      <c r="Z1081" s="1801"/>
      <c r="AA1081" s="1801"/>
      <c r="AB1081" s="1801"/>
      <c r="AC1081" s="1801"/>
      <c r="AD1081" s="1801"/>
      <c r="AE1081" s="1801"/>
      <c r="AF1081" s="1814"/>
      <c r="AG1081" s="376"/>
      <c r="AH1081" s="376"/>
      <c r="AI1081" s="376"/>
      <c r="AJ1081" s="376"/>
      <c r="AK1081" s="376"/>
      <c r="AL1081" s="1148"/>
      <c r="AM1081" s="1148"/>
      <c r="AN1081" s="1148"/>
      <c r="AO1081" s="1178">
        <v>92</v>
      </c>
      <c r="AP1081" s="485">
        <f>Infrastructure!D101</f>
        <v>974</v>
      </c>
      <c r="AQ1081" s="763">
        <f t="shared" si="786"/>
        <v>0</v>
      </c>
      <c r="AR1081" s="763">
        <f t="shared" si="787"/>
        <v>0</v>
      </c>
      <c r="AS1081" s="763">
        <f t="shared" si="776"/>
        <v>0</v>
      </c>
      <c r="AT1081" s="170">
        <f>IF(AR1081&gt;0,SUM(AS$990:AS1081),0)</f>
        <v>0</v>
      </c>
      <c r="AU1081" s="1148"/>
      <c r="AV1081" s="1148"/>
      <c r="AW1081" s="1148"/>
      <c r="AX1081" s="1815">
        <f t="shared" si="793"/>
        <v>974</v>
      </c>
      <c r="AY1081" s="763">
        <f t="shared" si="788"/>
        <v>0</v>
      </c>
      <c r="AZ1081" s="763">
        <f t="shared" si="789"/>
        <v>0</v>
      </c>
      <c r="BA1081" s="763">
        <f t="shared" si="777"/>
        <v>0</v>
      </c>
      <c r="BB1081" s="170">
        <f>IF(AZ1081&gt;0,SUM(BA$990:BA1081),0)</f>
        <v>0</v>
      </c>
      <c r="BC1081" s="1148"/>
      <c r="BD1081" s="1148"/>
      <c r="BE1081" s="1815">
        <f t="shared" si="790"/>
        <v>974</v>
      </c>
      <c r="BF1081" s="763">
        <f t="shared" si="791"/>
        <v>0</v>
      </c>
      <c r="BG1081" s="763">
        <f t="shared" si="792"/>
        <v>0</v>
      </c>
      <c r="BH1081" s="763">
        <f t="shared" si="778"/>
        <v>0</v>
      </c>
      <c r="BI1081" s="170">
        <f>IF(BG1081&gt;0,SUM(BH$990:BH1081),0)</f>
        <v>0</v>
      </c>
      <c r="BJ1081" s="1148"/>
      <c r="BK1081" s="1148"/>
      <c r="BL1081" s="1144"/>
      <c r="BM1081" s="1144"/>
      <c r="BN1081" s="1144"/>
      <c r="BO1081" s="1144"/>
      <c r="BP1081" s="1144"/>
      <c r="BQ1081" s="1144"/>
      <c r="BR1081" s="1144"/>
      <c r="BS1081" s="1144"/>
      <c r="BT1081" s="1144"/>
      <c r="BU1081" s="1144"/>
      <c r="BV1081" s="1144"/>
      <c r="BW1081" s="1144"/>
      <c r="BX1081" s="1144"/>
      <c r="BY1081" s="1144"/>
      <c r="BZ1081" s="1144"/>
      <c r="CA1081" s="1144"/>
      <c r="CB1081" s="1144"/>
      <c r="CC1081" s="1144"/>
      <c r="CD1081" s="1144"/>
      <c r="CE1081" s="1144"/>
      <c r="CF1081" s="1144"/>
      <c r="CG1081" s="1144"/>
      <c r="CH1081" s="1144"/>
      <c r="CI1081" s="1144"/>
      <c r="CJ1081" s="1144"/>
      <c r="CK1081" s="1144"/>
      <c r="CL1081" s="1144"/>
      <c r="CM1081" s="1144"/>
      <c r="CN1081" s="1144"/>
    </row>
    <row r="1082" spans="11:92" ht="12" customHeight="1" x14ac:dyDescent="0.35">
      <c r="K1082" s="29">
        <f t="shared" si="780"/>
        <v>0</v>
      </c>
      <c r="L1082" s="485">
        <f>Infrastructure!D102</f>
        <v>1004</v>
      </c>
      <c r="M1082" s="34">
        <f t="shared" si="781"/>
        <v>0</v>
      </c>
      <c r="N1082" s="34">
        <f t="shared" si="782"/>
        <v>0</v>
      </c>
      <c r="O1082" s="34">
        <f t="shared" si="783"/>
        <v>0</v>
      </c>
      <c r="P1082" s="34">
        <f t="shared" si="784"/>
        <v>0</v>
      </c>
      <c r="Q1082" s="34">
        <f t="shared" si="785"/>
        <v>0</v>
      </c>
      <c r="R1082" s="31"/>
      <c r="S1082" s="36"/>
      <c r="T1082" s="1818"/>
      <c r="U1082" s="1814"/>
      <c r="V1082" s="1814"/>
      <c r="W1082" s="1817"/>
      <c r="X1082" s="1814"/>
      <c r="Y1082" s="1801"/>
      <c r="Z1082" s="1801"/>
      <c r="AA1082" s="1801"/>
      <c r="AB1082" s="1801"/>
      <c r="AC1082" s="1801"/>
      <c r="AD1082" s="1801"/>
      <c r="AE1082" s="1801"/>
      <c r="AF1082" s="1814"/>
      <c r="AG1082" s="376"/>
      <c r="AH1082" s="376"/>
      <c r="AI1082" s="376"/>
      <c r="AJ1082" s="376"/>
      <c r="AK1082" s="376"/>
      <c r="AL1082" s="1148"/>
      <c r="AM1082" s="1148"/>
      <c r="AN1082" s="1148"/>
      <c r="AO1082" s="1178">
        <v>93</v>
      </c>
      <c r="AP1082" s="485">
        <f>Infrastructure!D102</f>
        <v>1004</v>
      </c>
      <c r="AQ1082" s="763">
        <f t="shared" si="786"/>
        <v>0</v>
      </c>
      <c r="AR1082" s="763">
        <f t="shared" si="787"/>
        <v>0</v>
      </c>
      <c r="AS1082" s="763">
        <f t="shared" si="776"/>
        <v>0</v>
      </c>
      <c r="AT1082" s="170">
        <f>IF(AR1082&gt;0,SUM(AS$990:AS1082),0)</f>
        <v>0</v>
      </c>
      <c r="AU1082" s="1148"/>
      <c r="AV1082" s="1148"/>
      <c r="AW1082" s="1148"/>
      <c r="AX1082" s="1815">
        <f t="shared" si="793"/>
        <v>1004</v>
      </c>
      <c r="AY1082" s="763">
        <f t="shared" si="788"/>
        <v>0</v>
      </c>
      <c r="AZ1082" s="763">
        <f t="shared" si="789"/>
        <v>0</v>
      </c>
      <c r="BA1082" s="763">
        <f t="shared" si="777"/>
        <v>0</v>
      </c>
      <c r="BB1082" s="170">
        <f>IF(AZ1082&gt;0,SUM(BA$990:BA1082),0)</f>
        <v>0</v>
      </c>
      <c r="BC1082" s="1148"/>
      <c r="BD1082" s="1148"/>
      <c r="BE1082" s="1815">
        <f t="shared" si="790"/>
        <v>1004</v>
      </c>
      <c r="BF1082" s="763">
        <f t="shared" si="791"/>
        <v>0</v>
      </c>
      <c r="BG1082" s="763">
        <f t="shared" si="792"/>
        <v>0</v>
      </c>
      <c r="BH1082" s="763">
        <f t="shared" si="778"/>
        <v>0</v>
      </c>
      <c r="BI1082" s="170">
        <f>IF(BG1082&gt;0,SUM(BH$990:BH1082),0)</f>
        <v>0</v>
      </c>
      <c r="BJ1082" s="1148"/>
      <c r="BK1082" s="1148"/>
      <c r="BL1082" s="1144"/>
      <c r="BM1082" s="1144"/>
      <c r="BN1082" s="1144"/>
      <c r="BO1082" s="1144"/>
      <c r="BP1082" s="1144"/>
      <c r="BQ1082" s="1144"/>
      <c r="BR1082" s="1144"/>
      <c r="BS1082" s="1144"/>
      <c r="BT1082" s="1144"/>
      <c r="BU1082" s="1144"/>
      <c r="BV1082" s="1144"/>
      <c r="BW1082" s="1144"/>
      <c r="BX1082" s="1144"/>
      <c r="BY1082" s="1144"/>
      <c r="BZ1082" s="1144"/>
      <c r="CA1082" s="1144"/>
      <c r="CB1082" s="1144"/>
      <c r="CC1082" s="1144"/>
      <c r="CD1082" s="1144"/>
      <c r="CE1082" s="1144"/>
      <c r="CF1082" s="1144"/>
      <c r="CG1082" s="1144"/>
      <c r="CH1082" s="1144"/>
      <c r="CI1082" s="1144"/>
      <c r="CJ1082" s="1144"/>
      <c r="CK1082" s="1144"/>
      <c r="CL1082" s="1144"/>
      <c r="CM1082" s="1144"/>
      <c r="CN1082" s="1144"/>
    </row>
    <row r="1083" spans="11:92" ht="12" customHeight="1" x14ac:dyDescent="0.35">
      <c r="K1083" s="29">
        <f t="shared" si="780"/>
        <v>0</v>
      </c>
      <c r="L1083" s="485">
        <f>Infrastructure!D103</f>
        <v>1035</v>
      </c>
      <c r="M1083" s="34">
        <f t="shared" si="781"/>
        <v>0</v>
      </c>
      <c r="N1083" s="34">
        <f t="shared" si="782"/>
        <v>0</v>
      </c>
      <c r="O1083" s="34">
        <f t="shared" si="783"/>
        <v>0</v>
      </c>
      <c r="P1083" s="34">
        <f t="shared" si="784"/>
        <v>0</v>
      </c>
      <c r="Q1083" s="34">
        <f t="shared" si="785"/>
        <v>0</v>
      </c>
      <c r="R1083" s="31"/>
      <c r="S1083" s="36"/>
      <c r="T1083" s="1818"/>
      <c r="U1083" s="1814"/>
      <c r="V1083" s="1814"/>
      <c r="W1083" s="1817"/>
      <c r="X1083" s="1814"/>
      <c r="Y1083" s="1801"/>
      <c r="Z1083" s="1801"/>
      <c r="AA1083" s="1801"/>
      <c r="AB1083" s="1801"/>
      <c r="AC1083" s="1801"/>
      <c r="AD1083" s="1801"/>
      <c r="AE1083" s="1801"/>
      <c r="AF1083" s="1814"/>
      <c r="AG1083" s="376"/>
      <c r="AH1083" s="376"/>
      <c r="AI1083" s="376"/>
      <c r="AJ1083" s="376"/>
      <c r="AK1083" s="376"/>
      <c r="AL1083" s="1148"/>
      <c r="AM1083" s="1148"/>
      <c r="AN1083" s="1148"/>
      <c r="AO1083" s="1178">
        <v>94</v>
      </c>
      <c r="AP1083" s="485">
        <f>Infrastructure!D103</f>
        <v>1035</v>
      </c>
      <c r="AQ1083" s="763">
        <f t="shared" si="786"/>
        <v>0</v>
      </c>
      <c r="AR1083" s="763">
        <f t="shared" si="787"/>
        <v>0</v>
      </c>
      <c r="AS1083" s="763">
        <f t="shared" si="776"/>
        <v>0</v>
      </c>
      <c r="AT1083" s="170">
        <f>IF(AR1083&gt;0,SUM(AS$990:AS1083),0)</f>
        <v>0</v>
      </c>
      <c r="AU1083" s="1148"/>
      <c r="AV1083" s="1148"/>
      <c r="AW1083" s="1148"/>
      <c r="AX1083" s="1815">
        <f t="shared" si="793"/>
        <v>1035</v>
      </c>
      <c r="AY1083" s="763">
        <f t="shared" si="788"/>
        <v>0</v>
      </c>
      <c r="AZ1083" s="763">
        <f t="shared" si="789"/>
        <v>0</v>
      </c>
      <c r="BA1083" s="763">
        <f t="shared" si="777"/>
        <v>0</v>
      </c>
      <c r="BB1083" s="170">
        <f>IF(AZ1083&gt;0,SUM(BA$990:BA1083),0)</f>
        <v>0</v>
      </c>
      <c r="BC1083" s="1148"/>
      <c r="BD1083" s="1148"/>
      <c r="BE1083" s="1815">
        <f t="shared" si="790"/>
        <v>1035</v>
      </c>
      <c r="BF1083" s="763">
        <f t="shared" si="791"/>
        <v>0</v>
      </c>
      <c r="BG1083" s="763">
        <f t="shared" si="792"/>
        <v>0</v>
      </c>
      <c r="BH1083" s="763">
        <f t="shared" si="778"/>
        <v>0</v>
      </c>
      <c r="BI1083" s="170">
        <f>IF(BG1083&gt;0,SUM(BH$990:BH1083),0)</f>
        <v>0</v>
      </c>
      <c r="BJ1083" s="1148"/>
      <c r="BK1083" s="1148"/>
      <c r="BL1083" s="1144"/>
      <c r="BM1083" s="1144"/>
      <c r="BN1083" s="1144"/>
      <c r="BO1083" s="1144"/>
      <c r="BP1083" s="1144"/>
      <c r="BQ1083" s="1144"/>
      <c r="BR1083" s="1144"/>
      <c r="BS1083" s="1144"/>
      <c r="BT1083" s="1144"/>
      <c r="BU1083" s="1144"/>
      <c r="BV1083" s="1144"/>
      <c r="BW1083" s="1144"/>
      <c r="BX1083" s="1144"/>
      <c r="BY1083" s="1144"/>
      <c r="BZ1083" s="1144"/>
      <c r="CA1083" s="1144"/>
      <c r="CB1083" s="1144"/>
      <c r="CC1083" s="1144"/>
      <c r="CD1083" s="1144"/>
      <c r="CE1083" s="1144"/>
      <c r="CF1083" s="1144"/>
      <c r="CG1083" s="1144"/>
      <c r="CH1083" s="1144"/>
      <c r="CI1083" s="1144"/>
      <c r="CJ1083" s="1144"/>
      <c r="CK1083" s="1144"/>
      <c r="CL1083" s="1144"/>
      <c r="CM1083" s="1144"/>
      <c r="CN1083" s="1144"/>
    </row>
    <row r="1084" spans="11:92" ht="12" customHeight="1" x14ac:dyDescent="0.35">
      <c r="K1084" s="29">
        <f t="shared" si="780"/>
        <v>0</v>
      </c>
      <c r="L1084" s="485">
        <f>Infrastructure!D104</f>
        <v>1065</v>
      </c>
      <c r="M1084" s="34">
        <f t="shared" si="781"/>
        <v>0</v>
      </c>
      <c r="N1084" s="34">
        <f t="shared" si="782"/>
        <v>0</v>
      </c>
      <c r="O1084" s="34">
        <f t="shared" si="783"/>
        <v>0</v>
      </c>
      <c r="P1084" s="34">
        <f t="shared" si="784"/>
        <v>0</v>
      </c>
      <c r="Q1084" s="34">
        <f t="shared" si="785"/>
        <v>0</v>
      </c>
      <c r="R1084" s="31"/>
      <c r="S1084" s="36"/>
      <c r="T1084" s="1818"/>
      <c r="U1084" s="1814"/>
      <c r="V1084" s="1814"/>
      <c r="W1084" s="1817"/>
      <c r="X1084" s="1814"/>
      <c r="Y1084" s="1801"/>
      <c r="Z1084" s="1801"/>
      <c r="AA1084" s="1801"/>
      <c r="AB1084" s="1801"/>
      <c r="AC1084" s="1801"/>
      <c r="AD1084" s="1801"/>
      <c r="AE1084" s="1801"/>
      <c r="AF1084" s="1814"/>
      <c r="AG1084" s="376"/>
      <c r="AH1084" s="376"/>
      <c r="AI1084" s="376"/>
      <c r="AJ1084" s="376"/>
      <c r="AK1084" s="376"/>
      <c r="AL1084" s="1148"/>
      <c r="AM1084" s="1148"/>
      <c r="AN1084" s="1148"/>
      <c r="AO1084" s="1178">
        <v>95</v>
      </c>
      <c r="AP1084" s="485">
        <f>Infrastructure!D104</f>
        <v>1065</v>
      </c>
      <c r="AQ1084" s="763">
        <f t="shared" si="786"/>
        <v>0</v>
      </c>
      <c r="AR1084" s="763">
        <f t="shared" si="787"/>
        <v>0</v>
      </c>
      <c r="AS1084" s="763">
        <f t="shared" si="776"/>
        <v>0</v>
      </c>
      <c r="AT1084" s="170">
        <f>IF(AR1084&gt;0,SUM(AS$990:AS1084),0)</f>
        <v>0</v>
      </c>
      <c r="AU1084" s="1148"/>
      <c r="AV1084" s="1148"/>
      <c r="AW1084" s="1148"/>
      <c r="AX1084" s="1815">
        <f t="shared" si="793"/>
        <v>1065</v>
      </c>
      <c r="AY1084" s="763">
        <f t="shared" si="788"/>
        <v>0</v>
      </c>
      <c r="AZ1084" s="763">
        <f t="shared" si="789"/>
        <v>0</v>
      </c>
      <c r="BA1084" s="763">
        <f t="shared" si="777"/>
        <v>0</v>
      </c>
      <c r="BB1084" s="170">
        <f>IF(AZ1084&gt;0,SUM(BA$990:BA1084),0)</f>
        <v>0</v>
      </c>
      <c r="BC1084" s="1148"/>
      <c r="BD1084" s="1148"/>
      <c r="BE1084" s="1815">
        <f t="shared" si="790"/>
        <v>1065</v>
      </c>
      <c r="BF1084" s="763">
        <f t="shared" si="791"/>
        <v>0</v>
      </c>
      <c r="BG1084" s="763">
        <f t="shared" si="792"/>
        <v>0</v>
      </c>
      <c r="BH1084" s="763">
        <f t="shared" si="778"/>
        <v>0</v>
      </c>
      <c r="BI1084" s="170">
        <f>IF(BG1084&gt;0,SUM(BH$990:BH1084),0)</f>
        <v>0</v>
      </c>
      <c r="BJ1084" s="1148"/>
      <c r="BK1084" s="1148"/>
      <c r="BL1084" s="1144"/>
      <c r="BM1084" s="1144"/>
      <c r="BN1084" s="1144"/>
      <c r="BO1084" s="1144"/>
      <c r="BP1084" s="1144"/>
      <c r="BQ1084" s="1144"/>
      <c r="BR1084" s="1144"/>
      <c r="BS1084" s="1144"/>
      <c r="BT1084" s="1144"/>
      <c r="BU1084" s="1144"/>
      <c r="BV1084" s="1144"/>
      <c r="BW1084" s="1144"/>
      <c r="BX1084" s="1144"/>
      <c r="BY1084" s="1144"/>
      <c r="BZ1084" s="1144"/>
      <c r="CA1084" s="1144"/>
      <c r="CB1084" s="1144"/>
      <c r="CC1084" s="1144"/>
      <c r="CD1084" s="1144"/>
      <c r="CE1084" s="1144"/>
      <c r="CF1084" s="1144"/>
      <c r="CG1084" s="1144"/>
      <c r="CH1084" s="1144"/>
      <c r="CI1084" s="1144"/>
      <c r="CJ1084" s="1144"/>
      <c r="CK1084" s="1144"/>
      <c r="CL1084" s="1144"/>
      <c r="CM1084" s="1144"/>
      <c r="CN1084" s="1144"/>
    </row>
    <row r="1085" spans="11:92" ht="12" customHeight="1" x14ac:dyDescent="0.35">
      <c r="K1085" s="29">
        <f t="shared" si="780"/>
        <v>0</v>
      </c>
      <c r="L1085" s="485">
        <f>Infrastructure!D105</f>
        <v>1096</v>
      </c>
      <c r="M1085" s="34">
        <f t="shared" si="781"/>
        <v>0</v>
      </c>
      <c r="N1085" s="34">
        <f t="shared" si="782"/>
        <v>0</v>
      </c>
      <c r="O1085" s="34">
        <f t="shared" si="783"/>
        <v>0</v>
      </c>
      <c r="P1085" s="34">
        <f t="shared" si="784"/>
        <v>0</v>
      </c>
      <c r="Q1085" s="34">
        <f t="shared" si="785"/>
        <v>0</v>
      </c>
      <c r="R1085" s="31"/>
      <c r="S1085" s="36"/>
      <c r="T1085" s="1818"/>
      <c r="U1085" s="1814"/>
      <c r="V1085" s="1814"/>
      <c r="W1085" s="1817"/>
      <c r="X1085" s="1814"/>
      <c r="Y1085" s="1801"/>
      <c r="Z1085" s="1801"/>
      <c r="AA1085" s="1801"/>
      <c r="AB1085" s="1801"/>
      <c r="AC1085" s="1801"/>
      <c r="AD1085" s="1801"/>
      <c r="AE1085" s="1801"/>
      <c r="AF1085" s="1814"/>
      <c r="AG1085" s="376"/>
      <c r="AH1085" s="376"/>
      <c r="AI1085" s="376"/>
      <c r="AJ1085" s="376"/>
      <c r="AK1085" s="376"/>
      <c r="AL1085" s="1148"/>
      <c r="AM1085" s="1148"/>
      <c r="AN1085" s="1148"/>
      <c r="AO1085" s="1178">
        <v>96</v>
      </c>
      <c r="AP1085" s="485">
        <f>Infrastructure!D105</f>
        <v>1096</v>
      </c>
      <c r="AQ1085" s="763">
        <f t="shared" si="786"/>
        <v>0</v>
      </c>
      <c r="AR1085" s="763">
        <f t="shared" si="787"/>
        <v>0</v>
      </c>
      <c r="AS1085" s="763">
        <f t="shared" si="776"/>
        <v>0</v>
      </c>
      <c r="AT1085" s="170">
        <f>IF(AR1085&gt;0,SUM(AS$990:AS1085),0)</f>
        <v>0</v>
      </c>
      <c r="AU1085" s="1148"/>
      <c r="AV1085" s="1148"/>
      <c r="AW1085" s="1148"/>
      <c r="AX1085" s="1815">
        <f t="shared" si="793"/>
        <v>1096</v>
      </c>
      <c r="AY1085" s="763">
        <f t="shared" si="788"/>
        <v>0</v>
      </c>
      <c r="AZ1085" s="763">
        <f t="shared" si="789"/>
        <v>0</v>
      </c>
      <c r="BA1085" s="763">
        <f t="shared" si="777"/>
        <v>0</v>
      </c>
      <c r="BB1085" s="170">
        <f>IF(AZ1085&gt;0,SUM(BA$990:BA1085),0)</f>
        <v>0</v>
      </c>
      <c r="BC1085" s="1148"/>
      <c r="BD1085" s="1148"/>
      <c r="BE1085" s="1815">
        <f t="shared" si="790"/>
        <v>1096</v>
      </c>
      <c r="BF1085" s="763">
        <f t="shared" si="791"/>
        <v>0</v>
      </c>
      <c r="BG1085" s="763">
        <f t="shared" si="792"/>
        <v>0</v>
      </c>
      <c r="BH1085" s="763">
        <f t="shared" si="778"/>
        <v>0</v>
      </c>
      <c r="BI1085" s="170">
        <f>IF(BG1085&gt;0,SUM(BH$990:BH1085),0)</f>
        <v>0</v>
      </c>
      <c r="BJ1085" s="1148"/>
      <c r="BK1085" s="1148"/>
      <c r="BL1085" s="1144"/>
      <c r="BM1085" s="1144"/>
      <c r="BN1085" s="1144"/>
      <c r="BO1085" s="1144"/>
      <c r="BP1085" s="1144"/>
      <c r="BQ1085" s="1144"/>
      <c r="BR1085" s="1144"/>
      <c r="BS1085" s="1144"/>
      <c r="BT1085" s="1144"/>
      <c r="BU1085" s="1144"/>
      <c r="BV1085" s="1144"/>
      <c r="BW1085" s="1144"/>
      <c r="BX1085" s="1144"/>
      <c r="BY1085" s="1144"/>
      <c r="BZ1085" s="1144"/>
      <c r="CA1085" s="1144"/>
      <c r="CB1085" s="1144"/>
      <c r="CC1085" s="1144"/>
      <c r="CD1085" s="1144"/>
      <c r="CE1085" s="1144"/>
      <c r="CF1085" s="1144"/>
      <c r="CG1085" s="1144"/>
      <c r="CH1085" s="1144"/>
      <c r="CI1085" s="1144"/>
      <c r="CJ1085" s="1144"/>
      <c r="CK1085" s="1144"/>
      <c r="CL1085" s="1144"/>
      <c r="CM1085" s="1144"/>
      <c r="CN1085" s="1144"/>
    </row>
    <row r="1086" spans="11:92" ht="12" customHeight="1" x14ac:dyDescent="0.35">
      <c r="K1086" s="29">
        <f t="shared" si="780"/>
        <v>0</v>
      </c>
      <c r="L1086" s="485">
        <f>Infrastructure!D106</f>
        <v>1127</v>
      </c>
      <c r="M1086" s="34">
        <f t="shared" si="781"/>
        <v>0</v>
      </c>
      <c r="N1086" s="34">
        <f t="shared" si="782"/>
        <v>0</v>
      </c>
      <c r="O1086" s="34">
        <f t="shared" si="783"/>
        <v>0</v>
      </c>
      <c r="P1086" s="34">
        <f t="shared" si="784"/>
        <v>0</v>
      </c>
      <c r="Q1086" s="34">
        <f t="shared" si="785"/>
        <v>0</v>
      </c>
      <c r="R1086" s="31"/>
      <c r="S1086" s="36"/>
      <c r="T1086" s="1818"/>
      <c r="U1086" s="1814"/>
      <c r="V1086" s="1814"/>
      <c r="W1086" s="1817"/>
      <c r="X1086" s="1814"/>
      <c r="Y1086" s="1801"/>
      <c r="Z1086" s="1801"/>
      <c r="AA1086" s="1801"/>
      <c r="AB1086" s="1801"/>
      <c r="AC1086" s="1801"/>
      <c r="AD1086" s="1801"/>
      <c r="AE1086" s="1801"/>
      <c r="AF1086" s="1814"/>
      <c r="AG1086" s="376"/>
      <c r="AH1086" s="376"/>
      <c r="AI1086" s="376"/>
      <c r="AJ1086" s="376"/>
      <c r="AK1086" s="376"/>
      <c r="AL1086" s="1148"/>
      <c r="AM1086" s="1148"/>
      <c r="AN1086" s="1148"/>
      <c r="AO1086" s="1178">
        <v>97</v>
      </c>
      <c r="AP1086" s="485">
        <f>Infrastructure!D106</f>
        <v>1127</v>
      </c>
      <c r="AQ1086" s="763">
        <f t="shared" si="786"/>
        <v>0</v>
      </c>
      <c r="AR1086" s="763">
        <f t="shared" si="787"/>
        <v>0</v>
      </c>
      <c r="AS1086" s="763">
        <f t="shared" si="776"/>
        <v>0</v>
      </c>
      <c r="AT1086" s="170">
        <f>IF(AR1086&gt;0,SUM(AS$990:AS1086),0)</f>
        <v>0</v>
      </c>
      <c r="AU1086" s="1148"/>
      <c r="AV1086" s="1148"/>
      <c r="AW1086" s="1148"/>
      <c r="AX1086" s="1815">
        <f t="shared" si="793"/>
        <v>1127</v>
      </c>
      <c r="AY1086" s="763">
        <f t="shared" si="788"/>
        <v>0</v>
      </c>
      <c r="AZ1086" s="763">
        <f t="shared" si="789"/>
        <v>0</v>
      </c>
      <c r="BA1086" s="763">
        <f t="shared" si="777"/>
        <v>0</v>
      </c>
      <c r="BB1086" s="170">
        <f>IF(AZ1086&gt;0,SUM(BA$990:BA1086),0)</f>
        <v>0</v>
      </c>
      <c r="BC1086" s="1148"/>
      <c r="BD1086" s="1148"/>
      <c r="BE1086" s="1815">
        <f t="shared" si="790"/>
        <v>1127</v>
      </c>
      <c r="BF1086" s="763">
        <f t="shared" si="791"/>
        <v>0</v>
      </c>
      <c r="BG1086" s="763">
        <f t="shared" si="792"/>
        <v>0</v>
      </c>
      <c r="BH1086" s="763">
        <f t="shared" si="778"/>
        <v>0</v>
      </c>
      <c r="BI1086" s="170">
        <f>IF(BG1086&gt;0,SUM(BH$990:BH1086),0)</f>
        <v>0</v>
      </c>
      <c r="BJ1086" s="1148"/>
      <c r="BK1086" s="1148"/>
      <c r="BL1086" s="1144"/>
      <c r="BM1086" s="1144"/>
      <c r="BN1086" s="1144"/>
      <c r="BO1086" s="1144"/>
      <c r="BP1086" s="1144"/>
      <c r="BQ1086" s="1144"/>
      <c r="BR1086" s="1144"/>
      <c r="BS1086" s="1144"/>
      <c r="BT1086" s="1144"/>
      <c r="BU1086" s="1144"/>
      <c r="BV1086" s="1144"/>
      <c r="BW1086" s="1144"/>
      <c r="BX1086" s="1144"/>
      <c r="BY1086" s="1144"/>
      <c r="BZ1086" s="1144"/>
      <c r="CA1086" s="1144"/>
      <c r="CB1086" s="1144"/>
      <c r="CC1086" s="1144"/>
      <c r="CD1086" s="1144"/>
      <c r="CE1086" s="1144"/>
      <c r="CF1086" s="1144"/>
      <c r="CG1086" s="1144"/>
      <c r="CH1086" s="1144"/>
      <c r="CI1086" s="1144"/>
      <c r="CJ1086" s="1144"/>
      <c r="CK1086" s="1144"/>
      <c r="CL1086" s="1144"/>
      <c r="CM1086" s="1144"/>
      <c r="CN1086" s="1144"/>
    </row>
    <row r="1087" spans="11:92" ht="12" customHeight="1" x14ac:dyDescent="0.35">
      <c r="K1087" s="29">
        <f t="shared" si="780"/>
        <v>0</v>
      </c>
      <c r="L1087" s="485">
        <f>Infrastructure!D107</f>
        <v>1155</v>
      </c>
      <c r="M1087" s="34">
        <f t="shared" si="781"/>
        <v>0</v>
      </c>
      <c r="N1087" s="34">
        <f t="shared" si="782"/>
        <v>0</v>
      </c>
      <c r="O1087" s="34">
        <f t="shared" si="783"/>
        <v>0</v>
      </c>
      <c r="P1087" s="34">
        <f t="shared" si="784"/>
        <v>0</v>
      </c>
      <c r="Q1087" s="34">
        <f t="shared" si="785"/>
        <v>0</v>
      </c>
      <c r="R1087" s="31"/>
      <c r="S1087" s="36"/>
      <c r="T1087" s="1818"/>
      <c r="U1087" s="1814"/>
      <c r="V1087" s="1814"/>
      <c r="W1087" s="1817"/>
      <c r="X1087" s="1814"/>
      <c r="Y1087" s="1801"/>
      <c r="Z1087" s="1801"/>
      <c r="AA1087" s="1801"/>
      <c r="AB1087" s="1801"/>
      <c r="AC1087" s="1801"/>
      <c r="AD1087" s="1801"/>
      <c r="AE1087" s="1801"/>
      <c r="AF1087" s="1814"/>
      <c r="AG1087" s="376"/>
      <c r="AH1087" s="376"/>
      <c r="AI1087" s="376"/>
      <c r="AJ1087" s="376"/>
      <c r="AK1087" s="376"/>
      <c r="AL1087" s="1148"/>
      <c r="AM1087" s="1148"/>
      <c r="AN1087" s="1148"/>
      <c r="AO1087" s="1178">
        <v>98</v>
      </c>
      <c r="AP1087" s="485">
        <f>Infrastructure!D107</f>
        <v>1155</v>
      </c>
      <c r="AQ1087" s="763">
        <f t="shared" si="786"/>
        <v>0</v>
      </c>
      <c r="AR1087" s="763">
        <f t="shared" si="787"/>
        <v>0</v>
      </c>
      <c r="AS1087" s="763">
        <f t="shared" si="776"/>
        <v>0</v>
      </c>
      <c r="AT1087" s="170">
        <f>IF(AR1087&gt;0,SUM(AS$990:AS1087),0)</f>
        <v>0</v>
      </c>
      <c r="AU1087" s="1148"/>
      <c r="AV1087" s="1148"/>
      <c r="AW1087" s="1148"/>
      <c r="AX1087" s="1815">
        <f t="shared" si="793"/>
        <v>1155</v>
      </c>
      <c r="AY1087" s="763">
        <f t="shared" si="788"/>
        <v>0</v>
      </c>
      <c r="AZ1087" s="763">
        <f t="shared" si="789"/>
        <v>0</v>
      </c>
      <c r="BA1087" s="763">
        <f t="shared" si="777"/>
        <v>0</v>
      </c>
      <c r="BB1087" s="170">
        <f>IF(AZ1087&gt;0,SUM(BA$990:BA1087),0)</f>
        <v>0</v>
      </c>
      <c r="BC1087" s="1148"/>
      <c r="BD1087" s="1148"/>
      <c r="BE1087" s="1815">
        <f t="shared" si="790"/>
        <v>1155</v>
      </c>
      <c r="BF1087" s="763">
        <f t="shared" si="791"/>
        <v>0</v>
      </c>
      <c r="BG1087" s="763">
        <f t="shared" si="792"/>
        <v>0</v>
      </c>
      <c r="BH1087" s="763">
        <f t="shared" si="778"/>
        <v>0</v>
      </c>
      <c r="BI1087" s="170">
        <f>IF(BG1087&gt;0,SUM(BH$990:BH1087),0)</f>
        <v>0</v>
      </c>
      <c r="BJ1087" s="1148"/>
      <c r="BK1087" s="1148"/>
      <c r="BL1087" s="1144"/>
      <c r="BM1087" s="1144"/>
      <c r="BN1087" s="1144"/>
      <c r="BO1087" s="1144"/>
      <c r="BP1087" s="1144"/>
      <c r="BQ1087" s="1144"/>
      <c r="BR1087" s="1144"/>
      <c r="BS1087" s="1144"/>
      <c r="BT1087" s="1144"/>
      <c r="BU1087" s="1144"/>
      <c r="BV1087" s="1144"/>
      <c r="BW1087" s="1144"/>
      <c r="BX1087" s="1144"/>
      <c r="BY1087" s="1144"/>
      <c r="BZ1087" s="1144"/>
      <c r="CA1087" s="1144"/>
      <c r="CB1087" s="1144"/>
      <c r="CC1087" s="1144"/>
      <c r="CD1087" s="1144"/>
      <c r="CE1087" s="1144"/>
      <c r="CF1087" s="1144"/>
      <c r="CG1087" s="1144"/>
      <c r="CH1087" s="1144"/>
      <c r="CI1087" s="1144"/>
      <c r="CJ1087" s="1144"/>
      <c r="CK1087" s="1144"/>
      <c r="CL1087" s="1144"/>
      <c r="CM1087" s="1144"/>
      <c r="CN1087" s="1144"/>
    </row>
    <row r="1088" spans="11:92" ht="12" customHeight="1" x14ac:dyDescent="0.35">
      <c r="K1088" s="29">
        <f t="shared" si="780"/>
        <v>0</v>
      </c>
      <c r="L1088" s="485">
        <f>Infrastructure!D108</f>
        <v>1186</v>
      </c>
      <c r="M1088" s="34">
        <f t="shared" si="781"/>
        <v>0</v>
      </c>
      <c r="N1088" s="34">
        <f t="shared" si="782"/>
        <v>0</v>
      </c>
      <c r="O1088" s="34">
        <f t="shared" si="783"/>
        <v>0</v>
      </c>
      <c r="P1088" s="34">
        <f t="shared" si="784"/>
        <v>0</v>
      </c>
      <c r="Q1088" s="34">
        <f t="shared" si="785"/>
        <v>0</v>
      </c>
      <c r="R1088" s="31"/>
      <c r="S1088" s="36"/>
      <c r="T1088" s="1818"/>
      <c r="U1088" s="1814"/>
      <c r="V1088" s="1814"/>
      <c r="W1088" s="1817"/>
      <c r="X1088" s="1814"/>
      <c r="Y1088" s="1801"/>
      <c r="Z1088" s="1801"/>
      <c r="AA1088" s="1801"/>
      <c r="AB1088" s="1801"/>
      <c r="AC1088" s="1801"/>
      <c r="AD1088" s="1801"/>
      <c r="AE1088" s="1801"/>
      <c r="AF1088" s="1814"/>
      <c r="AG1088" s="376"/>
      <c r="AH1088" s="376"/>
      <c r="AI1088" s="376"/>
      <c r="AJ1088" s="376"/>
      <c r="AK1088" s="376"/>
      <c r="AL1088" s="1148"/>
      <c r="AM1088" s="1148"/>
      <c r="AN1088" s="1148"/>
      <c r="AO1088" s="1178">
        <v>99</v>
      </c>
      <c r="AP1088" s="485">
        <f>Infrastructure!D108</f>
        <v>1186</v>
      </c>
      <c r="AQ1088" s="763">
        <f t="shared" si="786"/>
        <v>0</v>
      </c>
      <c r="AR1088" s="763">
        <f t="shared" si="787"/>
        <v>0</v>
      </c>
      <c r="AS1088" s="763">
        <f t="shared" si="776"/>
        <v>0</v>
      </c>
      <c r="AT1088" s="170">
        <f>IF(AR1088&gt;0,SUM(AS$990:AS1088),0)</f>
        <v>0</v>
      </c>
      <c r="AU1088" s="1148"/>
      <c r="AV1088" s="1148"/>
      <c r="AW1088" s="1148"/>
      <c r="AX1088" s="1815">
        <f t="shared" si="793"/>
        <v>1186</v>
      </c>
      <c r="AY1088" s="763">
        <f t="shared" si="788"/>
        <v>0</v>
      </c>
      <c r="AZ1088" s="763">
        <f t="shared" si="789"/>
        <v>0</v>
      </c>
      <c r="BA1088" s="763">
        <f t="shared" si="777"/>
        <v>0</v>
      </c>
      <c r="BB1088" s="170">
        <f>IF(AZ1088&gt;0,SUM(BA$990:BA1088),0)</f>
        <v>0</v>
      </c>
      <c r="BC1088" s="1148"/>
      <c r="BD1088" s="1148"/>
      <c r="BE1088" s="1815">
        <f t="shared" si="790"/>
        <v>1186</v>
      </c>
      <c r="BF1088" s="763">
        <f t="shared" si="791"/>
        <v>0</v>
      </c>
      <c r="BG1088" s="763">
        <f t="shared" si="792"/>
        <v>0</v>
      </c>
      <c r="BH1088" s="763">
        <f t="shared" si="778"/>
        <v>0</v>
      </c>
      <c r="BI1088" s="170">
        <f>IF(BG1088&gt;0,SUM(BH$990:BH1088),0)</f>
        <v>0</v>
      </c>
      <c r="BJ1088" s="1148"/>
      <c r="BK1088" s="1148"/>
      <c r="BL1088" s="1144"/>
      <c r="BM1088" s="1144"/>
      <c r="BN1088" s="1144"/>
      <c r="BO1088" s="1144"/>
      <c r="BP1088" s="1144"/>
      <c r="BQ1088" s="1144"/>
      <c r="BR1088" s="1144"/>
      <c r="BS1088" s="1144"/>
      <c r="BT1088" s="1144"/>
      <c r="BU1088" s="1144"/>
      <c r="BV1088" s="1144"/>
      <c r="BW1088" s="1144"/>
      <c r="BX1088" s="1144"/>
      <c r="BY1088" s="1144"/>
      <c r="BZ1088" s="1144"/>
      <c r="CA1088" s="1144"/>
      <c r="CB1088" s="1144"/>
      <c r="CC1088" s="1144"/>
      <c r="CD1088" s="1144"/>
      <c r="CE1088" s="1144"/>
      <c r="CF1088" s="1144"/>
      <c r="CG1088" s="1144"/>
      <c r="CH1088" s="1144"/>
      <c r="CI1088" s="1144"/>
      <c r="CJ1088" s="1144"/>
      <c r="CK1088" s="1144"/>
      <c r="CL1088" s="1144"/>
      <c r="CM1088" s="1144"/>
      <c r="CN1088" s="1144"/>
    </row>
    <row r="1089" spans="7:92" ht="12" customHeight="1" x14ac:dyDescent="0.35">
      <c r="G1089" s="1300"/>
      <c r="H1089" s="1301"/>
      <c r="I1089" s="1300"/>
      <c r="J1089" s="1300"/>
      <c r="K1089" s="29">
        <f t="shared" si="780"/>
        <v>0</v>
      </c>
      <c r="L1089" s="485">
        <f>Infrastructure!D109</f>
        <v>1216</v>
      </c>
      <c r="M1089" s="34">
        <f t="shared" si="781"/>
        <v>0</v>
      </c>
      <c r="N1089" s="34">
        <f t="shared" si="782"/>
        <v>0</v>
      </c>
      <c r="O1089" s="34">
        <f t="shared" si="783"/>
        <v>0</v>
      </c>
      <c r="P1089" s="34">
        <f t="shared" si="784"/>
        <v>0</v>
      </c>
      <c r="Q1089" s="34">
        <f t="shared" si="785"/>
        <v>0</v>
      </c>
      <c r="R1089" s="31"/>
      <c r="S1089" s="36"/>
      <c r="T1089" s="1818"/>
      <c r="U1089" s="1814"/>
      <c r="V1089" s="1814"/>
      <c r="W1089" s="1817"/>
      <c r="X1089" s="1814"/>
      <c r="Y1089" s="1801"/>
      <c r="Z1089" s="1801"/>
      <c r="AA1089" s="1801"/>
      <c r="AB1089" s="1801"/>
      <c r="AC1089" s="1801"/>
      <c r="AD1089" s="1801"/>
      <c r="AE1089" s="1801"/>
      <c r="AF1089" s="1814"/>
      <c r="AG1089" s="376"/>
      <c r="AH1089" s="376"/>
      <c r="AI1089" s="376"/>
      <c r="AJ1089" s="376"/>
      <c r="AK1089" s="376"/>
      <c r="AL1089" s="1148"/>
      <c r="AM1089" s="1148"/>
      <c r="AN1089" s="1148"/>
      <c r="AO1089" s="1178">
        <v>100</v>
      </c>
      <c r="AP1089" s="485">
        <f>Infrastructure!D109</f>
        <v>1216</v>
      </c>
      <c r="AQ1089" s="763">
        <f t="shared" si="786"/>
        <v>0</v>
      </c>
      <c r="AR1089" s="763">
        <f t="shared" si="787"/>
        <v>0</v>
      </c>
      <c r="AS1089" s="763">
        <f t="shared" si="776"/>
        <v>0</v>
      </c>
      <c r="AT1089" s="170">
        <f>IF(AR1089&gt;0,SUM(AS$990:AS1089),0)</f>
        <v>0</v>
      </c>
      <c r="AU1089" s="1148"/>
      <c r="AV1089" s="1148"/>
      <c r="AW1089" s="1148"/>
      <c r="AX1089" s="1815">
        <f t="shared" si="793"/>
        <v>1216</v>
      </c>
      <c r="AY1089" s="763">
        <f t="shared" si="788"/>
        <v>0</v>
      </c>
      <c r="AZ1089" s="763">
        <f t="shared" si="789"/>
        <v>0</v>
      </c>
      <c r="BA1089" s="763">
        <f t="shared" si="777"/>
        <v>0</v>
      </c>
      <c r="BB1089" s="170">
        <f>IF(AZ1089&gt;0,SUM(BA$990:BA1089),0)</f>
        <v>0</v>
      </c>
      <c r="BC1089" s="1148"/>
      <c r="BD1089" s="1148"/>
      <c r="BE1089" s="1815">
        <f t="shared" si="790"/>
        <v>1216</v>
      </c>
      <c r="BF1089" s="763">
        <f t="shared" si="791"/>
        <v>0</v>
      </c>
      <c r="BG1089" s="763">
        <f t="shared" si="792"/>
        <v>0</v>
      </c>
      <c r="BH1089" s="763">
        <f t="shared" si="778"/>
        <v>0</v>
      </c>
      <c r="BI1089" s="170">
        <f>IF(BG1089&gt;0,SUM(BH$990:BH1089),0)</f>
        <v>0</v>
      </c>
      <c r="BJ1089" s="1148"/>
      <c r="BK1089" s="1148"/>
      <c r="BL1089" s="1144"/>
      <c r="BM1089" s="1144"/>
      <c r="BN1089" s="1144"/>
      <c r="BO1089" s="1144"/>
      <c r="BP1089" s="1144"/>
      <c r="BQ1089" s="1144"/>
      <c r="BR1089" s="1144"/>
      <c r="BS1089" s="1144"/>
      <c r="BT1089" s="1144"/>
      <c r="BU1089" s="1144"/>
      <c r="BV1089" s="1144"/>
      <c r="BW1089" s="1144"/>
      <c r="BX1089" s="1144"/>
      <c r="BY1089" s="1144"/>
      <c r="BZ1089" s="1144"/>
      <c r="CA1089" s="1144"/>
      <c r="CB1089" s="1144"/>
      <c r="CC1089" s="1144"/>
      <c r="CD1089" s="1144"/>
      <c r="CE1089" s="1144"/>
      <c r="CF1089" s="1144"/>
      <c r="CG1089" s="1144"/>
      <c r="CH1089" s="1144"/>
      <c r="CI1089" s="1144"/>
      <c r="CJ1089" s="1144"/>
      <c r="CK1089" s="1144"/>
      <c r="CL1089" s="1144"/>
      <c r="CM1089" s="1144"/>
      <c r="CN1089" s="1144"/>
    </row>
    <row r="1090" spans="7:92" ht="12" customHeight="1" x14ac:dyDescent="0.35">
      <c r="G1090" s="1300"/>
      <c r="H1090" s="1301"/>
      <c r="I1090" s="1300"/>
      <c r="J1090" s="1300"/>
      <c r="K1090" s="29">
        <f t="shared" si="780"/>
        <v>0</v>
      </c>
      <c r="L1090" s="485">
        <f>Infrastructure!D110</f>
        <v>1247</v>
      </c>
      <c r="M1090" s="34">
        <f t="shared" si="781"/>
        <v>0</v>
      </c>
      <c r="N1090" s="34">
        <f t="shared" si="782"/>
        <v>0</v>
      </c>
      <c r="O1090" s="34">
        <f t="shared" si="783"/>
        <v>0</v>
      </c>
      <c r="P1090" s="34">
        <f t="shared" si="784"/>
        <v>0</v>
      </c>
      <c r="Q1090" s="34">
        <f t="shared" si="785"/>
        <v>0</v>
      </c>
      <c r="R1090" s="31"/>
      <c r="S1090" s="36"/>
      <c r="T1090" s="1818"/>
      <c r="U1090" s="1814"/>
      <c r="V1090" s="1814"/>
      <c r="W1090" s="1817"/>
      <c r="X1090" s="1814"/>
      <c r="Y1090" s="1801"/>
      <c r="Z1090" s="1801"/>
      <c r="AA1090" s="1801"/>
      <c r="AB1090" s="1801"/>
      <c r="AC1090" s="1801"/>
      <c r="AD1090" s="1801"/>
      <c r="AE1090" s="1801"/>
      <c r="AF1090" s="1814"/>
      <c r="AG1090" s="376"/>
      <c r="AH1090" s="376"/>
      <c r="AI1090" s="376"/>
      <c r="AJ1090" s="376"/>
      <c r="AK1090" s="376"/>
      <c r="AL1090" s="1148"/>
      <c r="AM1090" s="1148"/>
      <c r="AN1090" s="1148"/>
      <c r="AO1090" s="1178">
        <v>101</v>
      </c>
      <c r="AP1090" s="485">
        <f>Infrastructure!D110</f>
        <v>1247</v>
      </c>
      <c r="AQ1090" s="763">
        <f t="shared" si="786"/>
        <v>0</v>
      </c>
      <c r="AR1090" s="763">
        <f t="shared" si="787"/>
        <v>0</v>
      </c>
      <c r="AS1090" s="763">
        <f t="shared" si="776"/>
        <v>0</v>
      </c>
      <c r="AT1090" s="170">
        <f>IF(AR1090&gt;0,SUM(AS$990:AS1090),0)</f>
        <v>0</v>
      </c>
      <c r="AU1090" s="1148"/>
      <c r="AV1090" s="1148"/>
      <c r="AW1090" s="1148"/>
      <c r="AX1090" s="1815">
        <f t="shared" si="793"/>
        <v>1247</v>
      </c>
      <c r="AY1090" s="763">
        <f t="shared" si="788"/>
        <v>0</v>
      </c>
      <c r="AZ1090" s="763">
        <f t="shared" si="789"/>
        <v>0</v>
      </c>
      <c r="BA1090" s="763">
        <f t="shared" si="777"/>
        <v>0</v>
      </c>
      <c r="BB1090" s="170">
        <f>IF(AZ1090&gt;0,SUM(BA$990:BA1090),0)</f>
        <v>0</v>
      </c>
      <c r="BC1090" s="1148"/>
      <c r="BD1090" s="1148"/>
      <c r="BE1090" s="1815">
        <f t="shared" si="790"/>
        <v>1247</v>
      </c>
      <c r="BF1090" s="763">
        <f t="shared" si="791"/>
        <v>0</v>
      </c>
      <c r="BG1090" s="763">
        <f t="shared" si="792"/>
        <v>0</v>
      </c>
      <c r="BH1090" s="763">
        <f t="shared" si="778"/>
        <v>0</v>
      </c>
      <c r="BI1090" s="170">
        <f>IF(BG1090&gt;0,SUM(BH$990:BH1090),0)</f>
        <v>0</v>
      </c>
      <c r="BJ1090" s="1148"/>
      <c r="BK1090" s="1148"/>
      <c r="BL1090" s="1144"/>
      <c r="BM1090" s="1144"/>
      <c r="BN1090" s="1144"/>
      <c r="BO1090" s="1144"/>
      <c r="BP1090" s="1144"/>
      <c r="BQ1090" s="1144"/>
      <c r="BR1090" s="1144"/>
      <c r="BS1090" s="1144"/>
      <c r="BT1090" s="1144"/>
      <c r="BU1090" s="1144"/>
      <c r="BV1090" s="1144"/>
      <c r="BW1090" s="1144"/>
      <c r="BX1090" s="1144"/>
      <c r="BY1090" s="1144"/>
      <c r="BZ1090" s="1144"/>
      <c r="CA1090" s="1144"/>
      <c r="CB1090" s="1144"/>
      <c r="CC1090" s="1144"/>
      <c r="CD1090" s="1144"/>
      <c r="CE1090" s="1144"/>
      <c r="CF1090" s="1144"/>
      <c r="CG1090" s="1144"/>
      <c r="CH1090" s="1144"/>
      <c r="CI1090" s="1144"/>
      <c r="CJ1090" s="1144"/>
      <c r="CK1090" s="1144"/>
      <c r="CL1090" s="1144"/>
      <c r="CM1090" s="1144"/>
      <c r="CN1090" s="1144"/>
    </row>
    <row r="1091" spans="7:92" ht="12" customHeight="1" x14ac:dyDescent="0.35">
      <c r="G1091" s="1300"/>
      <c r="H1091" s="1301"/>
      <c r="I1091" s="1300"/>
      <c r="J1091" s="1300"/>
      <c r="K1091" s="29">
        <f t="shared" si="780"/>
        <v>0</v>
      </c>
      <c r="L1091" s="485">
        <f>Infrastructure!D111</f>
        <v>1277</v>
      </c>
      <c r="M1091" s="34">
        <f t="shared" si="781"/>
        <v>0</v>
      </c>
      <c r="N1091" s="34">
        <f t="shared" si="782"/>
        <v>0</v>
      </c>
      <c r="O1091" s="34">
        <f t="shared" si="783"/>
        <v>0</v>
      </c>
      <c r="P1091" s="34">
        <f t="shared" si="784"/>
        <v>0</v>
      </c>
      <c r="Q1091" s="34">
        <f t="shared" si="785"/>
        <v>0</v>
      </c>
      <c r="R1091" s="31"/>
      <c r="S1091" s="36"/>
      <c r="T1091" s="1818"/>
      <c r="U1091" s="1814"/>
      <c r="V1091" s="1814"/>
      <c r="W1091" s="1817"/>
      <c r="X1091" s="1814"/>
      <c r="Y1091" s="1801"/>
      <c r="Z1091" s="1801"/>
      <c r="AA1091" s="1801"/>
      <c r="AB1091" s="1801"/>
      <c r="AC1091" s="1801"/>
      <c r="AD1091" s="1801"/>
      <c r="AE1091" s="1801"/>
      <c r="AF1091" s="1814"/>
      <c r="AG1091" s="376"/>
      <c r="AH1091" s="376"/>
      <c r="AI1091" s="376"/>
      <c r="AJ1091" s="376"/>
      <c r="AK1091" s="376"/>
      <c r="AL1091" s="1148"/>
      <c r="AM1091" s="1148"/>
      <c r="AN1091" s="1148"/>
      <c r="AO1091" s="1178">
        <v>102</v>
      </c>
      <c r="AP1091" s="485">
        <f>Infrastructure!D111</f>
        <v>1277</v>
      </c>
      <c r="AQ1091" s="763">
        <f t="shared" si="786"/>
        <v>0</v>
      </c>
      <c r="AR1091" s="763">
        <f t="shared" si="787"/>
        <v>0</v>
      </c>
      <c r="AS1091" s="763">
        <f t="shared" si="776"/>
        <v>0</v>
      </c>
      <c r="AT1091" s="170">
        <f>IF(AR1091&gt;0,SUM(AS$990:AS1091),0)</f>
        <v>0</v>
      </c>
      <c r="AU1091" s="1148"/>
      <c r="AV1091" s="1148"/>
      <c r="AW1091" s="1148"/>
      <c r="AX1091" s="1815">
        <f t="shared" si="793"/>
        <v>1277</v>
      </c>
      <c r="AY1091" s="763">
        <f t="shared" si="788"/>
        <v>0</v>
      </c>
      <c r="AZ1091" s="763">
        <f t="shared" si="789"/>
        <v>0</v>
      </c>
      <c r="BA1091" s="763">
        <f t="shared" si="777"/>
        <v>0</v>
      </c>
      <c r="BB1091" s="170">
        <f>IF(AZ1091&gt;0,SUM(BA$990:BA1091),0)</f>
        <v>0</v>
      </c>
      <c r="BC1091" s="1148"/>
      <c r="BD1091" s="1148"/>
      <c r="BE1091" s="1815">
        <f t="shared" si="790"/>
        <v>1277</v>
      </c>
      <c r="BF1091" s="763">
        <f t="shared" si="791"/>
        <v>0</v>
      </c>
      <c r="BG1091" s="763">
        <f t="shared" si="792"/>
        <v>0</v>
      </c>
      <c r="BH1091" s="763">
        <f t="shared" si="778"/>
        <v>0</v>
      </c>
      <c r="BI1091" s="170">
        <f>IF(BG1091&gt;0,SUM(BH$990:BH1091),0)</f>
        <v>0</v>
      </c>
      <c r="BJ1091" s="1148"/>
      <c r="BK1091" s="1148"/>
      <c r="BL1091" s="1144"/>
      <c r="BM1091" s="1144"/>
      <c r="BN1091" s="1144"/>
      <c r="BO1091" s="1144"/>
      <c r="BP1091" s="1144"/>
      <c r="BQ1091" s="1144"/>
      <c r="BR1091" s="1144"/>
      <c r="BS1091" s="1144"/>
      <c r="BT1091" s="1144"/>
      <c r="BU1091" s="1144"/>
      <c r="BV1091" s="1144"/>
      <c r="BW1091" s="1144"/>
      <c r="BX1091" s="1144"/>
      <c r="BY1091" s="1144"/>
      <c r="BZ1091" s="1144"/>
      <c r="CA1091" s="1144"/>
      <c r="CB1091" s="1144"/>
      <c r="CC1091" s="1144"/>
      <c r="CD1091" s="1144"/>
      <c r="CE1091" s="1144"/>
      <c r="CF1091" s="1144"/>
      <c r="CG1091" s="1144"/>
      <c r="CH1091" s="1144"/>
      <c r="CI1091" s="1144"/>
      <c r="CJ1091" s="1144"/>
      <c r="CK1091" s="1144"/>
      <c r="CL1091" s="1144"/>
      <c r="CM1091" s="1144"/>
      <c r="CN1091" s="1144"/>
    </row>
    <row r="1092" spans="7:92" ht="12" customHeight="1" x14ac:dyDescent="0.35">
      <c r="G1092" s="1300"/>
      <c r="H1092" s="1301"/>
      <c r="I1092" s="1300"/>
      <c r="J1092" s="1300"/>
      <c r="K1092" s="29">
        <f t="shared" si="780"/>
        <v>0</v>
      </c>
      <c r="L1092" s="485">
        <f>Infrastructure!D112</f>
        <v>1308</v>
      </c>
      <c r="M1092" s="34">
        <f t="shared" si="781"/>
        <v>0</v>
      </c>
      <c r="N1092" s="34">
        <f t="shared" si="782"/>
        <v>0</v>
      </c>
      <c r="O1092" s="34">
        <f t="shared" si="783"/>
        <v>0</v>
      </c>
      <c r="P1092" s="34">
        <f t="shared" si="784"/>
        <v>0</v>
      </c>
      <c r="Q1092" s="34">
        <f t="shared" si="785"/>
        <v>0</v>
      </c>
      <c r="R1092" s="31"/>
      <c r="S1092" s="36"/>
      <c r="T1092" s="1818"/>
      <c r="U1092" s="1814"/>
      <c r="V1092" s="1814"/>
      <c r="W1092" s="1817"/>
      <c r="X1092" s="1814"/>
      <c r="Y1092" s="1801"/>
      <c r="Z1092" s="1801"/>
      <c r="AA1092" s="1801"/>
      <c r="AB1092" s="1801"/>
      <c r="AC1092" s="1801"/>
      <c r="AD1092" s="1801"/>
      <c r="AE1092" s="1801"/>
      <c r="AF1092" s="1814"/>
      <c r="AG1092" s="376"/>
      <c r="AH1092" s="376"/>
      <c r="AI1092" s="376"/>
      <c r="AJ1092" s="376"/>
      <c r="AK1092" s="376"/>
      <c r="AL1092" s="1148"/>
      <c r="AM1092" s="1148"/>
      <c r="AN1092" s="1148"/>
      <c r="AO1092" s="1178">
        <v>103</v>
      </c>
      <c r="AP1092" s="485">
        <f>Infrastructure!D112</f>
        <v>1308</v>
      </c>
      <c r="AQ1092" s="763">
        <f t="shared" si="786"/>
        <v>0</v>
      </c>
      <c r="AR1092" s="763">
        <f t="shared" si="787"/>
        <v>0</v>
      </c>
      <c r="AS1092" s="763">
        <f t="shared" si="776"/>
        <v>0</v>
      </c>
      <c r="AT1092" s="170">
        <f>IF(AR1092&gt;0,SUM(AS$990:AS1092),0)</f>
        <v>0</v>
      </c>
      <c r="AU1092" s="1148"/>
      <c r="AV1092" s="1148"/>
      <c r="AW1092" s="1148"/>
      <c r="AX1092" s="1815">
        <f t="shared" si="793"/>
        <v>1308</v>
      </c>
      <c r="AY1092" s="763">
        <f t="shared" si="788"/>
        <v>0</v>
      </c>
      <c r="AZ1092" s="763">
        <f t="shared" si="789"/>
        <v>0</v>
      </c>
      <c r="BA1092" s="763">
        <f t="shared" si="777"/>
        <v>0</v>
      </c>
      <c r="BB1092" s="170">
        <f>IF(AZ1092&gt;0,SUM(BA$990:BA1092),0)</f>
        <v>0</v>
      </c>
      <c r="BC1092" s="1148"/>
      <c r="BD1092" s="1148"/>
      <c r="BE1092" s="1815">
        <f t="shared" si="790"/>
        <v>1308</v>
      </c>
      <c r="BF1092" s="763">
        <f t="shared" si="791"/>
        <v>0</v>
      </c>
      <c r="BG1092" s="763">
        <f t="shared" si="792"/>
        <v>0</v>
      </c>
      <c r="BH1092" s="763">
        <f t="shared" si="778"/>
        <v>0</v>
      </c>
      <c r="BI1092" s="170">
        <f>IF(BG1092&gt;0,SUM(BH$990:BH1092),0)</f>
        <v>0</v>
      </c>
      <c r="BJ1092" s="1148"/>
      <c r="BK1092" s="1148"/>
      <c r="BL1092" s="1144"/>
      <c r="BM1092" s="1144"/>
      <c r="BN1092" s="1144"/>
      <c r="BO1092" s="1144"/>
      <c r="BP1092" s="1144"/>
      <c r="BQ1092" s="1144"/>
      <c r="BR1092" s="1144"/>
      <c r="BS1092" s="1144"/>
      <c r="BT1092" s="1144"/>
      <c r="BU1092" s="1144"/>
      <c r="BV1092" s="1144"/>
      <c r="BW1092" s="1144"/>
      <c r="BX1092" s="1144"/>
      <c r="BY1092" s="1144"/>
      <c r="BZ1092" s="1144"/>
      <c r="CA1092" s="1144"/>
      <c r="CB1092" s="1144"/>
      <c r="CC1092" s="1144"/>
      <c r="CD1092" s="1144"/>
      <c r="CE1092" s="1144"/>
      <c r="CF1092" s="1144"/>
      <c r="CG1092" s="1144"/>
      <c r="CH1092" s="1144"/>
      <c r="CI1092" s="1144"/>
      <c r="CJ1092" s="1144"/>
      <c r="CK1092" s="1144"/>
      <c r="CL1092" s="1144"/>
      <c r="CM1092" s="1144"/>
      <c r="CN1092" s="1144"/>
    </row>
    <row r="1093" spans="7:92" ht="12" customHeight="1" x14ac:dyDescent="0.35">
      <c r="G1093" s="1300"/>
      <c r="H1093" s="1301"/>
      <c r="I1093" s="1300"/>
      <c r="J1093" s="1300"/>
      <c r="K1093" s="29">
        <f t="shared" si="780"/>
        <v>0</v>
      </c>
      <c r="L1093" s="485">
        <f>Infrastructure!D113</f>
        <v>1339</v>
      </c>
      <c r="M1093" s="34">
        <f t="shared" si="781"/>
        <v>0</v>
      </c>
      <c r="N1093" s="34">
        <f t="shared" si="782"/>
        <v>0</v>
      </c>
      <c r="O1093" s="34">
        <f t="shared" si="783"/>
        <v>0</v>
      </c>
      <c r="P1093" s="34">
        <f t="shared" si="784"/>
        <v>0</v>
      </c>
      <c r="Q1093" s="34">
        <f t="shared" si="785"/>
        <v>0</v>
      </c>
      <c r="R1093" s="31"/>
      <c r="S1093" s="36"/>
      <c r="T1093" s="1818"/>
      <c r="U1093" s="1814"/>
      <c r="V1093" s="1814"/>
      <c r="W1093" s="1817"/>
      <c r="X1093" s="1814"/>
      <c r="Y1093" s="1801"/>
      <c r="Z1093" s="1801"/>
      <c r="AA1093" s="1801"/>
      <c r="AB1093" s="1801"/>
      <c r="AC1093" s="1801"/>
      <c r="AD1093" s="1801"/>
      <c r="AE1093" s="1801"/>
      <c r="AF1093" s="1814"/>
      <c r="AG1093" s="376"/>
      <c r="AH1093" s="376"/>
      <c r="AI1093" s="376"/>
      <c r="AJ1093" s="376"/>
      <c r="AK1093" s="376"/>
      <c r="AL1093" s="1148"/>
      <c r="AM1093" s="1148"/>
      <c r="AN1093" s="1148"/>
      <c r="AO1093" s="1178">
        <v>104</v>
      </c>
      <c r="AP1093" s="485">
        <f>Infrastructure!D113</f>
        <v>1339</v>
      </c>
      <c r="AQ1093" s="763">
        <f t="shared" si="786"/>
        <v>0</v>
      </c>
      <c r="AR1093" s="763">
        <f t="shared" si="787"/>
        <v>0</v>
      </c>
      <c r="AS1093" s="763">
        <f t="shared" si="776"/>
        <v>0</v>
      </c>
      <c r="AT1093" s="170">
        <f>IF(AR1093&gt;0,SUM(AS$990:AS1093),0)</f>
        <v>0</v>
      </c>
      <c r="AU1093" s="1148"/>
      <c r="AV1093" s="1148"/>
      <c r="AW1093" s="1148"/>
      <c r="AX1093" s="1815">
        <f t="shared" si="793"/>
        <v>1339</v>
      </c>
      <c r="AY1093" s="763">
        <f t="shared" si="788"/>
        <v>0</v>
      </c>
      <c r="AZ1093" s="763">
        <f t="shared" si="789"/>
        <v>0</v>
      </c>
      <c r="BA1093" s="763">
        <f t="shared" si="777"/>
        <v>0</v>
      </c>
      <c r="BB1093" s="170">
        <f>IF(AZ1093&gt;0,SUM(BA$990:BA1093),0)</f>
        <v>0</v>
      </c>
      <c r="BC1093" s="1148"/>
      <c r="BD1093" s="1148"/>
      <c r="BE1093" s="1815">
        <f t="shared" si="790"/>
        <v>1339</v>
      </c>
      <c r="BF1093" s="763">
        <f t="shared" si="791"/>
        <v>0</v>
      </c>
      <c r="BG1093" s="763">
        <f t="shared" si="792"/>
        <v>0</v>
      </c>
      <c r="BH1093" s="763">
        <f t="shared" si="778"/>
        <v>0</v>
      </c>
      <c r="BI1093" s="170">
        <f>IF(BG1093&gt;0,SUM(BH$990:BH1093),0)</f>
        <v>0</v>
      </c>
      <c r="BJ1093" s="1148"/>
      <c r="BK1093" s="1148"/>
      <c r="BL1093" s="1144"/>
      <c r="BM1093" s="1144"/>
      <c r="BN1093" s="1144"/>
      <c r="BO1093" s="1144"/>
      <c r="BP1093" s="1144"/>
      <c r="BQ1093" s="1144"/>
      <c r="BR1093" s="1144"/>
      <c r="BS1093" s="1144"/>
      <c r="BT1093" s="1144"/>
      <c r="BU1093" s="1144"/>
      <c r="BV1093" s="1144"/>
      <c r="BW1093" s="1144"/>
      <c r="BX1093" s="1144"/>
      <c r="BY1093" s="1144"/>
      <c r="BZ1093" s="1144"/>
      <c r="CA1093" s="1144"/>
      <c r="CB1093" s="1144"/>
      <c r="CC1093" s="1144"/>
      <c r="CD1093" s="1144"/>
      <c r="CE1093" s="1144"/>
      <c r="CF1093" s="1144"/>
      <c r="CG1093" s="1144"/>
      <c r="CH1093" s="1144"/>
      <c r="CI1093" s="1144"/>
      <c r="CJ1093" s="1144"/>
      <c r="CK1093" s="1144"/>
      <c r="CL1093" s="1144"/>
      <c r="CM1093" s="1144"/>
      <c r="CN1093" s="1144"/>
    </row>
    <row r="1094" spans="7:92" ht="12" customHeight="1" x14ac:dyDescent="0.35">
      <c r="G1094" s="1300">
        <v>109</v>
      </c>
      <c r="H1094" s="1301"/>
      <c r="I1094" s="1300"/>
      <c r="J1094" s="1300"/>
      <c r="K1094" s="29">
        <f t="shared" si="780"/>
        <v>0</v>
      </c>
      <c r="L1094" s="485">
        <f>Infrastructure!D114</f>
        <v>1369</v>
      </c>
      <c r="M1094" s="34">
        <f t="shared" si="781"/>
        <v>0</v>
      </c>
      <c r="N1094" s="34">
        <f t="shared" si="782"/>
        <v>0</v>
      </c>
      <c r="O1094" s="34">
        <f t="shared" si="783"/>
        <v>0</v>
      </c>
      <c r="P1094" s="34">
        <f t="shared" si="784"/>
        <v>0</v>
      </c>
      <c r="Q1094" s="34">
        <f t="shared" si="785"/>
        <v>0</v>
      </c>
      <c r="R1094" s="31"/>
      <c r="S1094" s="36"/>
      <c r="T1094" s="1818"/>
      <c r="U1094" s="1814"/>
      <c r="V1094" s="1814"/>
      <c r="W1094" s="1817"/>
      <c r="X1094" s="1814"/>
      <c r="Y1094" s="1801"/>
      <c r="Z1094" s="1801"/>
      <c r="AA1094" s="1801"/>
      <c r="AB1094" s="1801"/>
      <c r="AC1094" s="1801"/>
      <c r="AD1094" s="1801"/>
      <c r="AE1094" s="1801"/>
      <c r="AF1094" s="1814"/>
      <c r="AG1094" s="376"/>
      <c r="AH1094" s="376"/>
      <c r="AI1094" s="376"/>
      <c r="AJ1094" s="376"/>
      <c r="AK1094" s="376"/>
      <c r="AL1094" s="1148"/>
      <c r="AM1094" s="1148"/>
      <c r="AN1094" s="1148"/>
      <c r="AO1094" s="1178">
        <v>105</v>
      </c>
      <c r="AP1094" s="485">
        <f>Infrastructure!D114</f>
        <v>1369</v>
      </c>
      <c r="AQ1094" s="763">
        <f t="shared" si="786"/>
        <v>0</v>
      </c>
      <c r="AR1094" s="763">
        <f t="shared" si="787"/>
        <v>0</v>
      </c>
      <c r="AS1094" s="763">
        <f t="shared" si="776"/>
        <v>0</v>
      </c>
      <c r="AT1094" s="170">
        <f>IF(AR1094&gt;0,SUM(AS$990:AS1094),0)</f>
        <v>0</v>
      </c>
      <c r="AU1094" s="1148"/>
      <c r="AV1094" s="1148"/>
      <c r="AW1094" s="1148"/>
      <c r="AX1094" s="1815">
        <f t="shared" si="793"/>
        <v>1369</v>
      </c>
      <c r="AY1094" s="763">
        <f t="shared" si="788"/>
        <v>0</v>
      </c>
      <c r="AZ1094" s="763">
        <f t="shared" si="789"/>
        <v>0</v>
      </c>
      <c r="BA1094" s="763">
        <f t="shared" si="777"/>
        <v>0</v>
      </c>
      <c r="BB1094" s="170">
        <f>IF(AZ1094&gt;0,SUM(BA$990:BA1094),0)</f>
        <v>0</v>
      </c>
      <c r="BC1094" s="1148"/>
      <c r="BD1094" s="1148"/>
      <c r="BE1094" s="1815">
        <f t="shared" si="790"/>
        <v>1369</v>
      </c>
      <c r="BF1094" s="763">
        <f t="shared" si="791"/>
        <v>0</v>
      </c>
      <c r="BG1094" s="763">
        <f t="shared" si="792"/>
        <v>0</v>
      </c>
      <c r="BH1094" s="763">
        <f t="shared" si="778"/>
        <v>0</v>
      </c>
      <c r="BI1094" s="170">
        <f>IF(BG1094&gt;0,SUM(BH$990:BH1094),0)</f>
        <v>0</v>
      </c>
      <c r="BJ1094" s="1148"/>
      <c r="BK1094" s="1148"/>
      <c r="BL1094" s="1144"/>
      <c r="BM1094" s="1144"/>
      <c r="BN1094" s="1144"/>
      <c r="BO1094" s="1144"/>
      <c r="BP1094" s="1144"/>
      <c r="BQ1094" s="1144"/>
      <c r="BR1094" s="1144"/>
      <c r="BS1094" s="1144"/>
      <c r="BT1094" s="1144"/>
      <c r="BU1094" s="1144"/>
      <c r="BV1094" s="1144"/>
      <c r="BW1094" s="1144"/>
      <c r="BX1094" s="1144"/>
      <c r="BY1094" s="1144"/>
      <c r="BZ1094" s="1144"/>
      <c r="CA1094" s="1144"/>
      <c r="CB1094" s="1144"/>
      <c r="CC1094" s="1144"/>
      <c r="CD1094" s="1144"/>
      <c r="CE1094" s="1144"/>
      <c r="CF1094" s="1144"/>
      <c r="CG1094" s="1144"/>
      <c r="CH1094" s="1144"/>
      <c r="CI1094" s="1144"/>
      <c r="CJ1094" s="1144"/>
      <c r="CK1094" s="1144"/>
      <c r="CL1094" s="1144"/>
      <c r="CM1094" s="1144"/>
      <c r="CN1094" s="1144"/>
    </row>
    <row r="1095" spans="7:92" ht="12" customHeight="1" x14ac:dyDescent="0.35">
      <c r="G1095" s="1300">
        <f>IF(OR(MAX(G$1094:G1094)=N$985,G1094+1&gt;N$985),0,G1094+1)</f>
        <v>0</v>
      </c>
      <c r="H1095" s="1301"/>
      <c r="I1095" s="1300"/>
      <c r="J1095" s="1300"/>
      <c r="K1095" s="29">
        <f t="shared" si="780"/>
        <v>0</v>
      </c>
      <c r="L1095" s="485">
        <f>Infrastructure!D115</f>
        <v>1400</v>
      </c>
      <c r="M1095" s="34">
        <f t="shared" si="781"/>
        <v>0</v>
      </c>
      <c r="N1095" s="34">
        <f t="shared" si="782"/>
        <v>0</v>
      </c>
      <c r="O1095" s="34">
        <f t="shared" si="783"/>
        <v>0</v>
      </c>
      <c r="P1095" s="34">
        <f t="shared" si="784"/>
        <v>0</v>
      </c>
      <c r="Q1095" s="34">
        <f t="shared" si="785"/>
        <v>0</v>
      </c>
      <c r="R1095" s="31"/>
      <c r="S1095" s="36"/>
      <c r="T1095" s="1818"/>
      <c r="U1095" s="1814"/>
      <c r="V1095" s="1814"/>
      <c r="W1095" s="1817"/>
      <c r="X1095" s="1814"/>
      <c r="Y1095" s="1801"/>
      <c r="Z1095" s="1801"/>
      <c r="AA1095" s="1801"/>
      <c r="AB1095" s="1801"/>
      <c r="AC1095" s="1801"/>
      <c r="AD1095" s="1801"/>
      <c r="AE1095" s="1801"/>
      <c r="AF1095" s="1814"/>
      <c r="AG1095" s="376"/>
      <c r="AH1095" s="376"/>
      <c r="AI1095" s="376"/>
      <c r="AJ1095" s="376"/>
      <c r="AK1095" s="376"/>
      <c r="AL1095" s="1148"/>
      <c r="AM1095" s="1148"/>
      <c r="AN1095" s="1148"/>
      <c r="AO1095" s="1178">
        <v>106</v>
      </c>
      <c r="AP1095" s="485">
        <f>Infrastructure!D115</f>
        <v>1400</v>
      </c>
      <c r="AQ1095" s="763">
        <f t="shared" si="786"/>
        <v>0</v>
      </c>
      <c r="AR1095" s="763">
        <f t="shared" si="787"/>
        <v>0</v>
      </c>
      <c r="AS1095" s="763">
        <f t="shared" si="776"/>
        <v>0</v>
      </c>
      <c r="AT1095" s="170">
        <f>IF(AR1095&gt;0,SUM(AS$990:AS1095),0)</f>
        <v>0</v>
      </c>
      <c r="AU1095" s="1148"/>
      <c r="AV1095" s="1148"/>
      <c r="AW1095" s="1148"/>
      <c r="AX1095" s="1815">
        <f t="shared" si="793"/>
        <v>1400</v>
      </c>
      <c r="AY1095" s="763">
        <f t="shared" si="788"/>
        <v>0</v>
      </c>
      <c r="AZ1095" s="763">
        <f t="shared" si="789"/>
        <v>0</v>
      </c>
      <c r="BA1095" s="763">
        <f t="shared" si="777"/>
        <v>0</v>
      </c>
      <c r="BB1095" s="170">
        <f>IF(AZ1095&gt;0,SUM(BA$990:BA1095),0)</f>
        <v>0</v>
      </c>
      <c r="BC1095" s="1148"/>
      <c r="BD1095" s="1148"/>
      <c r="BE1095" s="1815">
        <f t="shared" si="790"/>
        <v>1400</v>
      </c>
      <c r="BF1095" s="763">
        <f t="shared" si="791"/>
        <v>0</v>
      </c>
      <c r="BG1095" s="763">
        <f t="shared" si="792"/>
        <v>0</v>
      </c>
      <c r="BH1095" s="763">
        <f t="shared" si="778"/>
        <v>0</v>
      </c>
      <c r="BI1095" s="170">
        <f>IF(BG1095&gt;0,SUM(BH$990:BH1095),0)</f>
        <v>0</v>
      </c>
      <c r="BJ1095" s="1148"/>
      <c r="BK1095" s="1148"/>
      <c r="BL1095" s="1144"/>
      <c r="BM1095" s="1144"/>
      <c r="BN1095" s="1144"/>
      <c r="BO1095" s="1144"/>
      <c r="BP1095" s="1144"/>
      <c r="BQ1095" s="1144"/>
      <c r="BR1095" s="1144"/>
      <c r="BS1095" s="1144"/>
      <c r="BT1095" s="1144"/>
      <c r="BU1095" s="1144"/>
      <c r="BV1095" s="1144"/>
      <c r="BW1095" s="1144"/>
      <c r="BX1095" s="1144"/>
      <c r="BY1095" s="1144"/>
      <c r="BZ1095" s="1144"/>
      <c r="CA1095" s="1144"/>
      <c r="CB1095" s="1144"/>
      <c r="CC1095" s="1144"/>
      <c r="CD1095" s="1144"/>
      <c r="CE1095" s="1144"/>
      <c r="CF1095" s="1144"/>
      <c r="CG1095" s="1144"/>
      <c r="CH1095" s="1144"/>
      <c r="CI1095" s="1144"/>
      <c r="CJ1095" s="1144"/>
      <c r="CK1095" s="1144"/>
      <c r="CL1095" s="1144"/>
      <c r="CM1095" s="1144"/>
      <c r="CN1095" s="1144"/>
    </row>
    <row r="1096" spans="7:92" ht="12" customHeight="1" x14ac:dyDescent="0.35">
      <c r="G1096" s="1300">
        <f>IF(OR(MAX(G$1094:G1095)=N$985,G1095+1&gt;N$985),0,G1095+1)</f>
        <v>0</v>
      </c>
      <c r="H1096" s="1301"/>
      <c r="I1096" s="1300"/>
      <c r="J1096" s="1300"/>
      <c r="K1096" s="29">
        <f t="shared" si="780"/>
        <v>0</v>
      </c>
      <c r="L1096" s="485">
        <f>Infrastructure!D116</f>
        <v>1430</v>
      </c>
      <c r="M1096" s="34">
        <f t="shared" si="781"/>
        <v>0</v>
      </c>
      <c r="N1096" s="34">
        <f t="shared" si="782"/>
        <v>0</v>
      </c>
      <c r="O1096" s="34">
        <f t="shared" si="783"/>
        <v>0</v>
      </c>
      <c r="P1096" s="34">
        <f t="shared" si="784"/>
        <v>0</v>
      </c>
      <c r="Q1096" s="34">
        <f t="shared" si="785"/>
        <v>0</v>
      </c>
      <c r="R1096" s="31"/>
      <c r="S1096" s="36"/>
      <c r="T1096" s="1818"/>
      <c r="U1096" s="1814"/>
      <c r="V1096" s="1814"/>
      <c r="W1096" s="1817"/>
      <c r="X1096" s="1814"/>
      <c r="Y1096" s="1801"/>
      <c r="Z1096" s="1801"/>
      <c r="AA1096" s="1801"/>
      <c r="AB1096" s="1801"/>
      <c r="AC1096" s="1801"/>
      <c r="AD1096" s="1801"/>
      <c r="AE1096" s="1801"/>
      <c r="AF1096" s="1814"/>
      <c r="AG1096" s="376"/>
      <c r="AH1096" s="376"/>
      <c r="AI1096" s="376"/>
      <c r="AJ1096" s="376"/>
      <c r="AK1096" s="376"/>
      <c r="AL1096" s="1148"/>
      <c r="AM1096" s="1148"/>
      <c r="AN1096" s="1148"/>
      <c r="AO1096" s="1178">
        <v>107</v>
      </c>
      <c r="AP1096" s="485">
        <f>Infrastructure!D116</f>
        <v>1430</v>
      </c>
      <c r="AQ1096" s="763">
        <f t="shared" si="786"/>
        <v>0</v>
      </c>
      <c r="AR1096" s="763">
        <f t="shared" si="787"/>
        <v>0</v>
      </c>
      <c r="AS1096" s="763">
        <f t="shared" si="776"/>
        <v>0</v>
      </c>
      <c r="AT1096" s="170">
        <f>IF(AR1096&gt;0,SUM(AS$990:AS1096),0)</f>
        <v>0</v>
      </c>
      <c r="AU1096" s="1148"/>
      <c r="AV1096" s="1148"/>
      <c r="AW1096" s="1148"/>
      <c r="AX1096" s="1815">
        <f t="shared" si="793"/>
        <v>1430</v>
      </c>
      <c r="AY1096" s="763">
        <f t="shared" si="788"/>
        <v>0</v>
      </c>
      <c r="AZ1096" s="763">
        <f t="shared" si="789"/>
        <v>0</v>
      </c>
      <c r="BA1096" s="763">
        <f t="shared" si="777"/>
        <v>0</v>
      </c>
      <c r="BB1096" s="170">
        <f>IF(AZ1096&gt;0,SUM(BA$990:BA1096),0)</f>
        <v>0</v>
      </c>
      <c r="BC1096" s="1148"/>
      <c r="BD1096" s="1148"/>
      <c r="BE1096" s="1815">
        <f t="shared" si="790"/>
        <v>1430</v>
      </c>
      <c r="BF1096" s="763">
        <f t="shared" si="791"/>
        <v>0</v>
      </c>
      <c r="BG1096" s="763">
        <f t="shared" si="792"/>
        <v>0</v>
      </c>
      <c r="BH1096" s="763">
        <f t="shared" si="778"/>
        <v>0</v>
      </c>
      <c r="BI1096" s="170">
        <f>IF(BG1096&gt;0,SUM(BH$990:BH1096),0)</f>
        <v>0</v>
      </c>
      <c r="BJ1096" s="1148"/>
      <c r="BK1096" s="1148"/>
      <c r="BL1096" s="1144"/>
      <c r="BM1096" s="1144"/>
      <c r="BN1096" s="1144"/>
      <c r="BO1096" s="1144"/>
      <c r="BP1096" s="1144"/>
      <c r="BQ1096" s="1144"/>
      <c r="BR1096" s="1144"/>
      <c r="BS1096" s="1144"/>
      <c r="BT1096" s="1144"/>
      <c r="BU1096" s="1144"/>
      <c r="BV1096" s="1144"/>
      <c r="BW1096" s="1144"/>
      <c r="BX1096" s="1144"/>
      <c r="BY1096" s="1144"/>
      <c r="BZ1096" s="1144"/>
      <c r="CA1096" s="1144"/>
      <c r="CB1096" s="1144"/>
      <c r="CC1096" s="1144"/>
      <c r="CD1096" s="1144"/>
      <c r="CE1096" s="1144"/>
      <c r="CF1096" s="1144"/>
      <c r="CG1096" s="1144"/>
      <c r="CH1096" s="1144"/>
      <c r="CI1096" s="1144"/>
      <c r="CJ1096" s="1144"/>
      <c r="CK1096" s="1144"/>
      <c r="CL1096" s="1144"/>
      <c r="CM1096" s="1144"/>
      <c r="CN1096" s="1144"/>
    </row>
    <row r="1097" spans="7:92" ht="12" customHeight="1" x14ac:dyDescent="0.35">
      <c r="G1097" s="1300">
        <f>IF(OR(MAX(G$1094:G1096)=N$985,G1096+1&gt;N$985),0,G1096+1)</f>
        <v>0</v>
      </c>
      <c r="H1097" s="1301"/>
      <c r="I1097" s="1300"/>
      <c r="J1097" s="1300"/>
      <c r="K1097" s="29">
        <f t="shared" si="780"/>
        <v>0</v>
      </c>
      <c r="L1097" s="485">
        <f>Infrastructure!D117</f>
        <v>1461</v>
      </c>
      <c r="M1097" s="34">
        <f t="shared" si="781"/>
        <v>0</v>
      </c>
      <c r="N1097" s="34">
        <f t="shared" si="782"/>
        <v>0</v>
      </c>
      <c r="O1097" s="34">
        <f t="shared" si="783"/>
        <v>0</v>
      </c>
      <c r="P1097" s="34">
        <f t="shared" si="784"/>
        <v>0</v>
      </c>
      <c r="Q1097" s="34">
        <f t="shared" si="785"/>
        <v>0</v>
      </c>
      <c r="R1097" s="31"/>
      <c r="S1097" s="36"/>
      <c r="T1097" s="1818"/>
      <c r="U1097" s="1814"/>
      <c r="V1097" s="1814"/>
      <c r="W1097" s="1817"/>
      <c r="X1097" s="1814"/>
      <c r="Y1097" s="1801"/>
      <c r="Z1097" s="1801"/>
      <c r="AA1097" s="1801"/>
      <c r="AB1097" s="1801"/>
      <c r="AC1097" s="1801"/>
      <c r="AD1097" s="1801"/>
      <c r="AE1097" s="1801"/>
      <c r="AF1097" s="1814"/>
      <c r="AG1097" s="376"/>
      <c r="AH1097" s="376"/>
      <c r="AI1097" s="376"/>
      <c r="AJ1097" s="376"/>
      <c r="AK1097" s="376"/>
      <c r="AL1097" s="1148"/>
      <c r="AM1097" s="1148"/>
      <c r="AN1097" s="1148"/>
      <c r="AO1097" s="1178">
        <v>108</v>
      </c>
      <c r="AP1097" s="485">
        <f>Infrastructure!D117</f>
        <v>1461</v>
      </c>
      <c r="AQ1097" s="763">
        <f t="shared" si="786"/>
        <v>0</v>
      </c>
      <c r="AR1097" s="763">
        <f t="shared" si="787"/>
        <v>0</v>
      </c>
      <c r="AS1097" s="763">
        <f t="shared" si="776"/>
        <v>0</v>
      </c>
      <c r="AT1097" s="170">
        <f>IF(AR1097&gt;0,SUM(AS$990:AS1097),0)</f>
        <v>0</v>
      </c>
      <c r="AU1097" s="1148"/>
      <c r="AV1097" s="1148"/>
      <c r="AW1097" s="1148"/>
      <c r="AX1097" s="1815">
        <f t="shared" si="793"/>
        <v>1461</v>
      </c>
      <c r="AY1097" s="763">
        <f t="shared" si="788"/>
        <v>0</v>
      </c>
      <c r="AZ1097" s="763">
        <f t="shared" si="789"/>
        <v>0</v>
      </c>
      <c r="BA1097" s="763">
        <f t="shared" si="777"/>
        <v>0</v>
      </c>
      <c r="BB1097" s="170">
        <f>IF(AZ1097&gt;0,SUM(BA$990:BA1097),0)</f>
        <v>0</v>
      </c>
      <c r="BC1097" s="1148"/>
      <c r="BD1097" s="1148"/>
      <c r="BE1097" s="1815">
        <f t="shared" si="790"/>
        <v>1461</v>
      </c>
      <c r="BF1097" s="763">
        <f t="shared" si="791"/>
        <v>0</v>
      </c>
      <c r="BG1097" s="763">
        <f t="shared" si="792"/>
        <v>0</v>
      </c>
      <c r="BH1097" s="763">
        <f t="shared" si="778"/>
        <v>0</v>
      </c>
      <c r="BI1097" s="170">
        <f>IF(BG1097&gt;0,SUM(BH$990:BH1097),0)</f>
        <v>0</v>
      </c>
      <c r="BJ1097" s="1148"/>
      <c r="BK1097" s="1148"/>
      <c r="BL1097" s="1144"/>
      <c r="BM1097" s="1144"/>
      <c r="BN1097" s="1144"/>
      <c r="BO1097" s="1144"/>
      <c r="BP1097" s="1144"/>
      <c r="BQ1097" s="1144"/>
      <c r="BR1097" s="1144"/>
      <c r="BS1097" s="1144"/>
      <c r="BT1097" s="1144"/>
      <c r="BU1097" s="1144"/>
      <c r="BV1097" s="1144"/>
      <c r="BW1097" s="1144"/>
      <c r="BX1097" s="1144"/>
      <c r="BY1097" s="1144"/>
      <c r="BZ1097" s="1144"/>
      <c r="CA1097" s="1144"/>
      <c r="CB1097" s="1144"/>
      <c r="CC1097" s="1144"/>
      <c r="CD1097" s="1144"/>
      <c r="CE1097" s="1144"/>
      <c r="CF1097" s="1144"/>
      <c r="CG1097" s="1144"/>
      <c r="CH1097" s="1144"/>
      <c r="CI1097" s="1144"/>
      <c r="CJ1097" s="1144"/>
      <c r="CK1097" s="1144"/>
      <c r="CL1097" s="1144"/>
      <c r="CM1097" s="1144"/>
      <c r="CN1097" s="1144"/>
    </row>
    <row r="1098" spans="7:92" ht="12" customHeight="1" x14ac:dyDescent="0.35">
      <c r="G1098" s="1300">
        <f>IF(OR(MAX(G$1094:G1097)=N$985,G1097+1&gt;N$985),0,G1097+1)</f>
        <v>0</v>
      </c>
      <c r="H1098" s="1301"/>
      <c r="I1098" s="1300"/>
      <c r="J1098" s="1300"/>
      <c r="K1098" s="29">
        <f t="shared" si="780"/>
        <v>0</v>
      </c>
      <c r="L1098" s="485">
        <f>Infrastructure!D118</f>
        <v>1492</v>
      </c>
      <c r="M1098" s="34">
        <f t="shared" si="781"/>
        <v>0</v>
      </c>
      <c r="N1098" s="34">
        <f t="shared" si="782"/>
        <v>0</v>
      </c>
      <c r="O1098" s="34">
        <f t="shared" si="783"/>
        <v>0</v>
      </c>
      <c r="P1098" s="34">
        <f t="shared" si="784"/>
        <v>0</v>
      </c>
      <c r="Q1098" s="34">
        <f t="shared" si="785"/>
        <v>0</v>
      </c>
      <c r="R1098" s="31"/>
      <c r="S1098" s="36"/>
      <c r="T1098" s="1818"/>
      <c r="U1098" s="1814"/>
      <c r="V1098" s="1814"/>
      <c r="W1098" s="1817"/>
      <c r="X1098" s="1814"/>
      <c r="Y1098" s="1801"/>
      <c r="Z1098" s="1801"/>
      <c r="AA1098" s="1801"/>
      <c r="AB1098" s="1801"/>
      <c r="AC1098" s="1801"/>
      <c r="AD1098" s="1801"/>
      <c r="AE1098" s="1801"/>
      <c r="AF1098" s="1814"/>
      <c r="AG1098" s="376"/>
      <c r="AH1098" s="376"/>
      <c r="AI1098" s="376"/>
      <c r="AJ1098" s="376"/>
      <c r="AK1098" s="376"/>
      <c r="AL1098" s="1148"/>
      <c r="AM1098" s="1148"/>
      <c r="AN1098" s="1148"/>
      <c r="AO1098" s="1178">
        <v>109</v>
      </c>
      <c r="AP1098" s="485">
        <f>Infrastructure!D118</f>
        <v>1492</v>
      </c>
      <c r="AQ1098" s="763">
        <f t="shared" si="786"/>
        <v>0</v>
      </c>
      <c r="AR1098" s="763">
        <f t="shared" si="787"/>
        <v>0</v>
      </c>
      <c r="AS1098" s="763">
        <f t="shared" si="776"/>
        <v>0</v>
      </c>
      <c r="AT1098" s="170">
        <f>IF(AR1098&gt;0,SUM(AS$990:AS1098),0)</f>
        <v>0</v>
      </c>
      <c r="AU1098" s="1148"/>
      <c r="AV1098" s="1148"/>
      <c r="AW1098" s="1148"/>
      <c r="AX1098" s="1815">
        <f t="shared" si="793"/>
        <v>1492</v>
      </c>
      <c r="AY1098" s="763">
        <f t="shared" si="788"/>
        <v>0</v>
      </c>
      <c r="AZ1098" s="763">
        <f t="shared" si="789"/>
        <v>0</v>
      </c>
      <c r="BA1098" s="763">
        <f t="shared" si="777"/>
        <v>0</v>
      </c>
      <c r="BB1098" s="170">
        <f>IF(AZ1098&gt;0,SUM(BA$990:BA1098),0)</f>
        <v>0</v>
      </c>
      <c r="BC1098" s="1148"/>
      <c r="BD1098" s="1148"/>
      <c r="BE1098" s="1815">
        <f t="shared" si="790"/>
        <v>1492</v>
      </c>
      <c r="BF1098" s="763">
        <f t="shared" si="791"/>
        <v>0</v>
      </c>
      <c r="BG1098" s="763">
        <f t="shared" si="792"/>
        <v>0</v>
      </c>
      <c r="BH1098" s="763">
        <f t="shared" si="778"/>
        <v>0</v>
      </c>
      <c r="BI1098" s="170">
        <f>IF(BG1098&gt;0,SUM(BH$990:BH1098),0)</f>
        <v>0</v>
      </c>
      <c r="BJ1098" s="1148"/>
      <c r="BK1098" s="1148"/>
      <c r="BL1098" s="1144"/>
      <c r="BM1098" s="1144"/>
      <c r="BN1098" s="1144"/>
      <c r="BO1098" s="1144"/>
      <c r="BP1098" s="1144"/>
      <c r="BQ1098" s="1144"/>
      <c r="BR1098" s="1144"/>
      <c r="BS1098" s="1144"/>
      <c r="BT1098" s="1144"/>
      <c r="BU1098" s="1144"/>
      <c r="BV1098" s="1144"/>
      <c r="BW1098" s="1144"/>
      <c r="BX1098" s="1144"/>
      <c r="BY1098" s="1144"/>
      <c r="BZ1098" s="1144"/>
      <c r="CA1098" s="1144"/>
      <c r="CB1098" s="1144"/>
      <c r="CC1098" s="1144"/>
      <c r="CD1098" s="1144"/>
      <c r="CE1098" s="1144"/>
      <c r="CF1098" s="1144"/>
      <c r="CG1098" s="1144"/>
      <c r="CH1098" s="1144"/>
      <c r="CI1098" s="1144"/>
      <c r="CJ1098" s="1144"/>
      <c r="CK1098" s="1144"/>
      <c r="CL1098" s="1144"/>
      <c r="CM1098" s="1144"/>
      <c r="CN1098" s="1144"/>
    </row>
    <row r="1099" spans="7:92" ht="12" customHeight="1" x14ac:dyDescent="0.35">
      <c r="G1099" s="1300">
        <f>IF(OR(MAX(G$1094:G1098)=N$985,G1098+1&gt;N$985),0,G1098+1)</f>
        <v>0</v>
      </c>
      <c r="H1099" s="1301"/>
      <c r="I1099" s="1300"/>
      <c r="J1099" s="1300"/>
      <c r="K1099" s="29">
        <f t="shared" si="780"/>
        <v>0</v>
      </c>
      <c r="L1099" s="485">
        <f>Infrastructure!D119</f>
        <v>1521</v>
      </c>
      <c r="M1099" s="34">
        <f t="shared" si="781"/>
        <v>0</v>
      </c>
      <c r="N1099" s="34">
        <f t="shared" si="782"/>
        <v>0</v>
      </c>
      <c r="O1099" s="34">
        <f t="shared" si="783"/>
        <v>0</v>
      </c>
      <c r="P1099" s="34">
        <f t="shared" si="784"/>
        <v>0</v>
      </c>
      <c r="Q1099" s="34">
        <f t="shared" si="785"/>
        <v>0</v>
      </c>
      <c r="R1099" s="31"/>
      <c r="S1099" s="36"/>
      <c r="T1099" s="1818"/>
      <c r="U1099" s="1814"/>
      <c r="V1099" s="1814"/>
      <c r="W1099" s="1817"/>
      <c r="X1099" s="1814"/>
      <c r="Y1099" s="1801"/>
      <c r="Z1099" s="1801"/>
      <c r="AA1099" s="1801"/>
      <c r="AB1099" s="1801"/>
      <c r="AC1099" s="1801"/>
      <c r="AD1099" s="1801"/>
      <c r="AE1099" s="1801"/>
      <c r="AF1099" s="1814"/>
      <c r="AG1099" s="376"/>
      <c r="AH1099" s="376"/>
      <c r="AI1099" s="376"/>
      <c r="AJ1099" s="376"/>
      <c r="AK1099" s="376"/>
      <c r="AL1099" s="1148"/>
      <c r="AM1099" s="1148"/>
      <c r="AN1099" s="1148"/>
      <c r="AO1099" s="1178">
        <v>110</v>
      </c>
      <c r="AP1099" s="485">
        <f>Infrastructure!D119</f>
        <v>1521</v>
      </c>
      <c r="AQ1099" s="763">
        <f t="shared" si="786"/>
        <v>0</v>
      </c>
      <c r="AR1099" s="763">
        <f t="shared" si="787"/>
        <v>0</v>
      </c>
      <c r="AS1099" s="763">
        <f t="shared" si="776"/>
        <v>0</v>
      </c>
      <c r="AT1099" s="170">
        <f>IF(AR1099&gt;0,SUM(AS$990:AS1099),0)</f>
        <v>0</v>
      </c>
      <c r="AU1099" s="1148"/>
      <c r="AV1099" s="1148"/>
      <c r="AW1099" s="1148"/>
      <c r="AX1099" s="1815">
        <f t="shared" si="793"/>
        <v>1521</v>
      </c>
      <c r="AY1099" s="763">
        <f t="shared" si="788"/>
        <v>0</v>
      </c>
      <c r="AZ1099" s="763">
        <f t="shared" si="789"/>
        <v>0</v>
      </c>
      <c r="BA1099" s="763">
        <f t="shared" si="777"/>
        <v>0</v>
      </c>
      <c r="BB1099" s="170">
        <f>IF(AZ1099&gt;0,SUM(BA$990:BA1099),0)</f>
        <v>0</v>
      </c>
      <c r="BC1099" s="1148"/>
      <c r="BD1099" s="1148"/>
      <c r="BE1099" s="1815">
        <f t="shared" si="790"/>
        <v>1521</v>
      </c>
      <c r="BF1099" s="763">
        <f t="shared" si="791"/>
        <v>0</v>
      </c>
      <c r="BG1099" s="763">
        <f t="shared" si="792"/>
        <v>0</v>
      </c>
      <c r="BH1099" s="763">
        <f t="shared" si="778"/>
        <v>0</v>
      </c>
      <c r="BI1099" s="170">
        <f>IF(BG1099&gt;0,SUM(BH$990:BH1099),0)</f>
        <v>0</v>
      </c>
      <c r="BJ1099" s="1148"/>
      <c r="BK1099" s="1148"/>
      <c r="BL1099" s="1144"/>
      <c r="BM1099" s="1144"/>
      <c r="BN1099" s="1144"/>
      <c r="BO1099" s="1144"/>
      <c r="BP1099" s="1144"/>
      <c r="BQ1099" s="1144"/>
      <c r="BR1099" s="1144"/>
      <c r="BS1099" s="1144"/>
      <c r="BT1099" s="1144"/>
      <c r="BU1099" s="1144"/>
      <c r="BV1099" s="1144"/>
      <c r="BW1099" s="1144"/>
      <c r="BX1099" s="1144"/>
      <c r="BY1099" s="1144"/>
      <c r="BZ1099" s="1144"/>
      <c r="CA1099" s="1144"/>
      <c r="CB1099" s="1144"/>
      <c r="CC1099" s="1144"/>
      <c r="CD1099" s="1144"/>
      <c r="CE1099" s="1144"/>
      <c r="CF1099" s="1144"/>
      <c r="CG1099" s="1144"/>
      <c r="CH1099" s="1144"/>
      <c r="CI1099" s="1144"/>
      <c r="CJ1099" s="1144"/>
      <c r="CK1099" s="1144"/>
      <c r="CL1099" s="1144"/>
      <c r="CM1099" s="1144"/>
      <c r="CN1099" s="1144"/>
    </row>
    <row r="1100" spans="7:92" ht="12" customHeight="1" x14ac:dyDescent="0.35">
      <c r="G1100" s="1300">
        <f>IF(OR(MAX(G$1094:G1099)=N$985,G1099+1&gt;N$985),0,G1099+1)</f>
        <v>0</v>
      </c>
      <c r="H1100" s="1301"/>
      <c r="I1100" s="1300"/>
      <c r="J1100" s="1300"/>
      <c r="K1100" s="29">
        <f t="shared" si="780"/>
        <v>0</v>
      </c>
      <c r="L1100" s="485">
        <f>Infrastructure!D120</f>
        <v>1552</v>
      </c>
      <c r="M1100" s="34">
        <f t="shared" si="781"/>
        <v>0</v>
      </c>
      <c r="N1100" s="34">
        <f t="shared" si="782"/>
        <v>0</v>
      </c>
      <c r="O1100" s="34">
        <f t="shared" si="783"/>
        <v>0</v>
      </c>
      <c r="P1100" s="34">
        <f t="shared" si="784"/>
        <v>0</v>
      </c>
      <c r="Q1100" s="34">
        <f t="shared" si="785"/>
        <v>0</v>
      </c>
      <c r="R1100" s="31"/>
      <c r="S1100" s="36"/>
      <c r="T1100" s="1818"/>
      <c r="U1100" s="1814"/>
      <c r="V1100" s="1814"/>
      <c r="W1100" s="1817"/>
      <c r="X1100" s="1814"/>
      <c r="Y1100" s="1801"/>
      <c r="Z1100" s="1801"/>
      <c r="AA1100" s="1801"/>
      <c r="AB1100" s="1801"/>
      <c r="AC1100" s="1801"/>
      <c r="AD1100" s="1801"/>
      <c r="AE1100" s="1801"/>
      <c r="AF1100" s="1814"/>
      <c r="AG1100" s="376"/>
      <c r="AH1100" s="376"/>
      <c r="AI1100" s="376"/>
      <c r="AJ1100" s="376"/>
      <c r="AK1100" s="376"/>
      <c r="AL1100" s="1148"/>
      <c r="AM1100" s="1148"/>
      <c r="AN1100" s="1148"/>
      <c r="AO1100" s="1178">
        <v>111</v>
      </c>
      <c r="AP1100" s="485">
        <f>Infrastructure!D120</f>
        <v>1552</v>
      </c>
      <c r="AQ1100" s="763">
        <f t="shared" si="786"/>
        <v>0</v>
      </c>
      <c r="AR1100" s="763">
        <f t="shared" si="787"/>
        <v>0</v>
      </c>
      <c r="AS1100" s="763">
        <f t="shared" si="776"/>
        <v>0</v>
      </c>
      <c r="AT1100" s="170">
        <f>IF(AR1100&gt;0,SUM(AS$990:AS1100),0)</f>
        <v>0</v>
      </c>
      <c r="AU1100" s="1148"/>
      <c r="AV1100" s="1148"/>
      <c r="AW1100" s="1148"/>
      <c r="AX1100" s="1815">
        <f t="shared" si="793"/>
        <v>1552</v>
      </c>
      <c r="AY1100" s="763">
        <f t="shared" si="788"/>
        <v>0</v>
      </c>
      <c r="AZ1100" s="763">
        <f t="shared" si="789"/>
        <v>0</v>
      </c>
      <c r="BA1100" s="763">
        <f t="shared" si="777"/>
        <v>0</v>
      </c>
      <c r="BB1100" s="170">
        <f>IF(AZ1100&gt;0,SUM(BA$990:BA1100),0)</f>
        <v>0</v>
      </c>
      <c r="BC1100" s="1148"/>
      <c r="BD1100" s="1148"/>
      <c r="BE1100" s="1815">
        <f t="shared" si="790"/>
        <v>1552</v>
      </c>
      <c r="BF1100" s="763">
        <f t="shared" si="791"/>
        <v>0</v>
      </c>
      <c r="BG1100" s="763">
        <f t="shared" si="792"/>
        <v>0</v>
      </c>
      <c r="BH1100" s="763">
        <f t="shared" si="778"/>
        <v>0</v>
      </c>
      <c r="BI1100" s="170">
        <f>IF(BG1100&gt;0,SUM(BH$990:BH1100),0)</f>
        <v>0</v>
      </c>
      <c r="BJ1100" s="1148"/>
      <c r="BK1100" s="1148"/>
      <c r="BL1100" s="1144"/>
      <c r="BM1100" s="1144"/>
      <c r="BN1100" s="1144"/>
      <c r="BO1100" s="1144"/>
      <c r="BP1100" s="1144"/>
      <c r="BQ1100" s="1144"/>
      <c r="BR1100" s="1144"/>
      <c r="BS1100" s="1144"/>
      <c r="BT1100" s="1144"/>
      <c r="BU1100" s="1144"/>
      <c r="BV1100" s="1144"/>
      <c r="BW1100" s="1144"/>
      <c r="BX1100" s="1144"/>
      <c r="BY1100" s="1144"/>
      <c r="BZ1100" s="1144"/>
      <c r="CA1100" s="1144"/>
      <c r="CB1100" s="1144"/>
      <c r="CC1100" s="1144"/>
      <c r="CD1100" s="1144"/>
      <c r="CE1100" s="1144"/>
      <c r="CF1100" s="1144"/>
      <c r="CG1100" s="1144"/>
      <c r="CH1100" s="1144"/>
      <c r="CI1100" s="1144"/>
      <c r="CJ1100" s="1144"/>
      <c r="CK1100" s="1144"/>
      <c r="CL1100" s="1144"/>
      <c r="CM1100" s="1144"/>
      <c r="CN1100" s="1144"/>
    </row>
    <row r="1101" spans="7:92" ht="12" customHeight="1" x14ac:dyDescent="0.35">
      <c r="G1101" s="1300">
        <f>IF(OR(MAX(G$1094:G1100)=N$985,G1100+1&gt;N$985),0,G1100+1)</f>
        <v>0</v>
      </c>
      <c r="H1101" s="1301"/>
      <c r="I1101" s="1300"/>
      <c r="J1101" s="1300"/>
      <c r="K1101" s="29">
        <f t="shared" si="780"/>
        <v>0</v>
      </c>
      <c r="L1101" s="485">
        <f>Infrastructure!D121</f>
        <v>1582</v>
      </c>
      <c r="M1101" s="34">
        <f t="shared" si="781"/>
        <v>0</v>
      </c>
      <c r="N1101" s="34">
        <f t="shared" si="782"/>
        <v>0</v>
      </c>
      <c r="O1101" s="34">
        <f t="shared" si="783"/>
        <v>0</v>
      </c>
      <c r="P1101" s="34">
        <f t="shared" si="784"/>
        <v>0</v>
      </c>
      <c r="Q1101" s="34">
        <f t="shared" si="785"/>
        <v>0</v>
      </c>
      <c r="R1101" s="31"/>
      <c r="S1101" s="36"/>
      <c r="T1101" s="1818"/>
      <c r="U1101" s="1814"/>
      <c r="V1101" s="1814"/>
      <c r="W1101" s="1817"/>
      <c r="X1101" s="1814"/>
      <c r="Y1101" s="1801"/>
      <c r="Z1101" s="1801"/>
      <c r="AA1101" s="1801"/>
      <c r="AB1101" s="1801"/>
      <c r="AC1101" s="1801"/>
      <c r="AD1101" s="1801"/>
      <c r="AE1101" s="1801"/>
      <c r="AF1101" s="1814"/>
      <c r="AG1101" s="376"/>
      <c r="AH1101" s="376"/>
      <c r="AI1101" s="376"/>
      <c r="AJ1101" s="376"/>
      <c r="AK1101" s="376"/>
      <c r="AL1101" s="1148"/>
      <c r="AM1101" s="1148"/>
      <c r="AN1101" s="1148"/>
      <c r="AO1101" s="1178">
        <v>112</v>
      </c>
      <c r="AP1101" s="485">
        <f>Infrastructure!D121</f>
        <v>1582</v>
      </c>
      <c r="AQ1101" s="763">
        <f t="shared" si="786"/>
        <v>0</v>
      </c>
      <c r="AR1101" s="763">
        <f t="shared" si="787"/>
        <v>0</v>
      </c>
      <c r="AS1101" s="763">
        <f t="shared" si="776"/>
        <v>0</v>
      </c>
      <c r="AT1101" s="170">
        <f>IF(AR1101&gt;0,SUM(AS$990:AS1101),0)</f>
        <v>0</v>
      </c>
      <c r="AU1101" s="1148"/>
      <c r="AV1101" s="1148"/>
      <c r="AW1101" s="1148"/>
      <c r="AX1101" s="1815">
        <f t="shared" si="793"/>
        <v>1582</v>
      </c>
      <c r="AY1101" s="763">
        <f t="shared" si="788"/>
        <v>0</v>
      </c>
      <c r="AZ1101" s="763">
        <f t="shared" si="789"/>
        <v>0</v>
      </c>
      <c r="BA1101" s="763">
        <f t="shared" si="777"/>
        <v>0</v>
      </c>
      <c r="BB1101" s="170">
        <f>IF(AZ1101&gt;0,SUM(BA$990:BA1101),0)</f>
        <v>0</v>
      </c>
      <c r="BC1101" s="1148"/>
      <c r="BD1101" s="1148"/>
      <c r="BE1101" s="1815">
        <f t="shared" si="790"/>
        <v>1582</v>
      </c>
      <c r="BF1101" s="763">
        <f t="shared" si="791"/>
        <v>0</v>
      </c>
      <c r="BG1101" s="763">
        <f t="shared" si="792"/>
        <v>0</v>
      </c>
      <c r="BH1101" s="763">
        <f t="shared" si="778"/>
        <v>0</v>
      </c>
      <c r="BI1101" s="170">
        <f>IF(BG1101&gt;0,SUM(BH$990:BH1101),0)</f>
        <v>0</v>
      </c>
      <c r="BJ1101" s="1148"/>
      <c r="BK1101" s="1148"/>
      <c r="BL1101" s="1144"/>
      <c r="BM1101" s="1144"/>
      <c r="BN1101" s="1144"/>
      <c r="BO1101" s="1144"/>
      <c r="BP1101" s="1144"/>
      <c r="BQ1101" s="1144"/>
      <c r="BR1101" s="1144"/>
      <c r="BS1101" s="1144"/>
      <c r="BT1101" s="1144"/>
      <c r="BU1101" s="1144"/>
      <c r="BV1101" s="1144"/>
      <c r="BW1101" s="1144"/>
      <c r="BX1101" s="1144"/>
      <c r="BY1101" s="1144"/>
      <c r="BZ1101" s="1144"/>
      <c r="CA1101" s="1144"/>
      <c r="CB1101" s="1144"/>
      <c r="CC1101" s="1144"/>
      <c r="CD1101" s="1144"/>
      <c r="CE1101" s="1144"/>
      <c r="CF1101" s="1144"/>
      <c r="CG1101" s="1144"/>
      <c r="CH1101" s="1144"/>
      <c r="CI1101" s="1144"/>
      <c r="CJ1101" s="1144"/>
      <c r="CK1101" s="1144"/>
      <c r="CL1101" s="1144"/>
      <c r="CM1101" s="1144"/>
      <c r="CN1101" s="1144"/>
    </row>
    <row r="1102" spans="7:92" ht="12" customHeight="1" x14ac:dyDescent="0.35">
      <c r="G1102" s="1300">
        <f>IF(OR(MAX(G$1094:G1101)=N$985,G1101+1&gt;N$985),0,G1101+1)</f>
        <v>0</v>
      </c>
      <c r="H1102" s="1301"/>
      <c r="I1102" s="1300"/>
      <c r="J1102" s="1300"/>
      <c r="K1102" s="29">
        <f t="shared" si="780"/>
        <v>0</v>
      </c>
      <c r="L1102" s="485">
        <f>Infrastructure!D122</f>
        <v>1613</v>
      </c>
      <c r="M1102" s="34">
        <f t="shared" si="781"/>
        <v>0</v>
      </c>
      <c r="N1102" s="34">
        <f t="shared" si="782"/>
        <v>0</v>
      </c>
      <c r="O1102" s="34">
        <f t="shared" si="783"/>
        <v>0</v>
      </c>
      <c r="P1102" s="34">
        <f t="shared" si="784"/>
        <v>0</v>
      </c>
      <c r="Q1102" s="34">
        <f t="shared" si="785"/>
        <v>0</v>
      </c>
      <c r="R1102" s="31"/>
      <c r="S1102" s="36"/>
      <c r="T1102" s="1818"/>
      <c r="U1102" s="1814"/>
      <c r="V1102" s="1814"/>
      <c r="W1102" s="1817"/>
      <c r="X1102" s="1814"/>
      <c r="Y1102" s="1801"/>
      <c r="Z1102" s="1801"/>
      <c r="AA1102" s="1801"/>
      <c r="AB1102" s="1801"/>
      <c r="AC1102" s="1801"/>
      <c r="AD1102" s="1801"/>
      <c r="AE1102" s="1801"/>
      <c r="AF1102" s="1814"/>
      <c r="AG1102" s="376"/>
      <c r="AH1102" s="376"/>
      <c r="AI1102" s="376"/>
      <c r="AJ1102" s="376"/>
      <c r="AK1102" s="376"/>
      <c r="AL1102" s="1148"/>
      <c r="AM1102" s="1148"/>
      <c r="AN1102" s="1148"/>
      <c r="AO1102" s="1178">
        <v>113</v>
      </c>
      <c r="AP1102" s="485">
        <f>Infrastructure!D122</f>
        <v>1613</v>
      </c>
      <c r="AQ1102" s="763">
        <f t="shared" si="786"/>
        <v>0</v>
      </c>
      <c r="AR1102" s="763">
        <f t="shared" si="787"/>
        <v>0</v>
      </c>
      <c r="AS1102" s="763">
        <f t="shared" si="776"/>
        <v>0</v>
      </c>
      <c r="AT1102" s="170">
        <f>IF(AR1102&gt;0,SUM(AS$990:AS1102),0)</f>
        <v>0</v>
      </c>
      <c r="AU1102" s="1148"/>
      <c r="AV1102" s="1148"/>
      <c r="AW1102" s="1148"/>
      <c r="AX1102" s="1815">
        <f t="shared" si="793"/>
        <v>1613</v>
      </c>
      <c r="AY1102" s="763">
        <f t="shared" si="788"/>
        <v>0</v>
      </c>
      <c r="AZ1102" s="763">
        <f t="shared" si="789"/>
        <v>0</v>
      </c>
      <c r="BA1102" s="763">
        <f t="shared" si="777"/>
        <v>0</v>
      </c>
      <c r="BB1102" s="170">
        <f>IF(AZ1102&gt;0,SUM(BA$990:BA1102),0)</f>
        <v>0</v>
      </c>
      <c r="BC1102" s="1148"/>
      <c r="BD1102" s="1148"/>
      <c r="BE1102" s="1815">
        <f t="shared" si="790"/>
        <v>1613</v>
      </c>
      <c r="BF1102" s="763">
        <f t="shared" si="791"/>
        <v>0</v>
      </c>
      <c r="BG1102" s="763">
        <f t="shared" si="792"/>
        <v>0</v>
      </c>
      <c r="BH1102" s="763">
        <f t="shared" si="778"/>
        <v>0</v>
      </c>
      <c r="BI1102" s="170">
        <f>IF(BG1102&gt;0,SUM(BH$990:BH1102),0)</f>
        <v>0</v>
      </c>
      <c r="BJ1102" s="1148"/>
      <c r="BK1102" s="1148"/>
      <c r="BL1102" s="1144"/>
      <c r="BM1102" s="1144"/>
      <c r="BN1102" s="1144"/>
      <c r="BO1102" s="1144"/>
      <c r="BP1102" s="1144"/>
      <c r="BQ1102" s="1144"/>
      <c r="BR1102" s="1144"/>
      <c r="BS1102" s="1144"/>
      <c r="BT1102" s="1144"/>
      <c r="BU1102" s="1144"/>
      <c r="BV1102" s="1144"/>
      <c r="BW1102" s="1144"/>
      <c r="BX1102" s="1144"/>
      <c r="BY1102" s="1144"/>
      <c r="BZ1102" s="1144"/>
      <c r="CA1102" s="1144"/>
      <c r="CB1102" s="1144"/>
      <c r="CC1102" s="1144"/>
      <c r="CD1102" s="1144"/>
      <c r="CE1102" s="1144"/>
      <c r="CF1102" s="1144"/>
      <c r="CG1102" s="1144"/>
      <c r="CH1102" s="1144"/>
      <c r="CI1102" s="1144"/>
      <c r="CJ1102" s="1144"/>
      <c r="CK1102" s="1144"/>
      <c r="CL1102" s="1144"/>
      <c r="CM1102" s="1144"/>
      <c r="CN1102" s="1144"/>
    </row>
    <row r="1103" spans="7:92" ht="12" customHeight="1" x14ac:dyDescent="0.35">
      <c r="G1103" s="1300">
        <f>IF(OR(MAX(G$1094:G1102)=N$985,G1102+1&gt;N$985),0,G1102+1)</f>
        <v>0</v>
      </c>
      <c r="H1103" s="1301"/>
      <c r="I1103" s="1300">
        <f>IF(ROUND(M1104,2)=ROUND(P1104,2),1,2)</f>
        <v>1</v>
      </c>
      <c r="J1103" s="1300"/>
      <c r="K1103" s="29">
        <f t="shared" si="780"/>
        <v>0</v>
      </c>
      <c r="L1103" s="485">
        <f>Infrastructure!D123</f>
        <v>1643</v>
      </c>
      <c r="M1103" s="34">
        <f t="shared" si="781"/>
        <v>0</v>
      </c>
      <c r="N1103" s="34">
        <f t="shared" si="782"/>
        <v>0</v>
      </c>
      <c r="O1103" s="34">
        <f t="shared" si="783"/>
        <v>0</v>
      </c>
      <c r="P1103" s="34">
        <f t="shared" si="784"/>
        <v>0</v>
      </c>
      <c r="Q1103" s="34">
        <f t="shared" si="785"/>
        <v>0</v>
      </c>
      <c r="R1103" s="31"/>
      <c r="S1103" s="36"/>
      <c r="T1103" s="1818"/>
      <c r="U1103" s="1814"/>
      <c r="V1103" s="1814"/>
      <c r="W1103" s="1817"/>
      <c r="X1103" s="1814"/>
      <c r="Y1103" s="1801"/>
      <c r="Z1103" s="1801"/>
      <c r="AA1103" s="1801"/>
      <c r="AB1103" s="1801"/>
      <c r="AC1103" s="1801"/>
      <c r="AD1103" s="1801"/>
      <c r="AE1103" s="1801"/>
      <c r="AF1103" s="1814"/>
      <c r="AG1103" s="376"/>
      <c r="AH1103" s="376"/>
      <c r="AI1103" s="376"/>
      <c r="AJ1103" s="376"/>
      <c r="AK1103" s="376"/>
      <c r="AL1103" s="1148"/>
      <c r="AM1103" s="1148"/>
      <c r="AN1103" s="1148"/>
      <c r="AO1103" s="1178">
        <v>114</v>
      </c>
      <c r="AP1103" s="485">
        <f>Infrastructure!D123</f>
        <v>1643</v>
      </c>
      <c r="AQ1103" s="763">
        <f t="shared" si="786"/>
        <v>0</v>
      </c>
      <c r="AR1103" s="763">
        <f t="shared" si="787"/>
        <v>0</v>
      </c>
      <c r="AS1103" s="763">
        <f t="shared" si="776"/>
        <v>0</v>
      </c>
      <c r="AT1103" s="170">
        <f>IF(AR1103&gt;0,SUM(AS$990:AS1103),0)</f>
        <v>0</v>
      </c>
      <c r="AU1103" s="1148"/>
      <c r="AV1103" s="1148"/>
      <c r="AW1103" s="1148"/>
      <c r="AX1103" s="1815">
        <f t="shared" si="793"/>
        <v>1643</v>
      </c>
      <c r="AY1103" s="763">
        <f t="shared" si="788"/>
        <v>0</v>
      </c>
      <c r="AZ1103" s="763">
        <f t="shared" si="789"/>
        <v>0</v>
      </c>
      <c r="BA1103" s="763">
        <f t="shared" si="777"/>
        <v>0</v>
      </c>
      <c r="BB1103" s="170">
        <f>IF(AZ1103&gt;0,SUM(BA$990:BA1103),0)</f>
        <v>0</v>
      </c>
      <c r="BC1103" s="1148"/>
      <c r="BD1103" s="1148"/>
      <c r="BE1103" s="1815">
        <f t="shared" si="790"/>
        <v>1643</v>
      </c>
      <c r="BF1103" s="763">
        <f t="shared" si="791"/>
        <v>0</v>
      </c>
      <c r="BG1103" s="763">
        <f t="shared" si="792"/>
        <v>0</v>
      </c>
      <c r="BH1103" s="763">
        <f t="shared" si="778"/>
        <v>0</v>
      </c>
      <c r="BI1103" s="170">
        <f>IF(BG1103&gt;0,SUM(BH$990:BH1103),0)</f>
        <v>0</v>
      </c>
      <c r="BJ1103" s="1148"/>
      <c r="BK1103" s="1148"/>
      <c r="BL1103" s="1144"/>
      <c r="BM1103" s="1144"/>
      <c r="BN1103" s="1144"/>
      <c r="BO1103" s="1144"/>
      <c r="BP1103" s="1144"/>
      <c r="BQ1103" s="1144"/>
      <c r="BR1103" s="1144"/>
      <c r="BS1103" s="1144"/>
      <c r="BT1103" s="1144"/>
      <c r="BU1103" s="1144"/>
      <c r="BV1103" s="1144"/>
      <c r="BW1103" s="1144"/>
      <c r="BX1103" s="1144"/>
      <c r="BY1103" s="1144"/>
      <c r="BZ1103" s="1144"/>
      <c r="CA1103" s="1144"/>
      <c r="CB1103" s="1144"/>
      <c r="CC1103" s="1144"/>
      <c r="CD1103" s="1144"/>
      <c r="CE1103" s="1144"/>
      <c r="CF1103" s="1144"/>
      <c r="CG1103" s="1144"/>
      <c r="CH1103" s="1144"/>
      <c r="CI1103" s="1144"/>
      <c r="CJ1103" s="1144"/>
      <c r="CK1103" s="1144"/>
      <c r="CL1103" s="1144"/>
      <c r="CM1103" s="1144"/>
      <c r="CN1103" s="1144"/>
    </row>
    <row r="1104" spans="7:92" ht="12" customHeight="1" x14ac:dyDescent="0.35">
      <c r="G1104" s="1300">
        <f>IF(OR(MAX(G$1094:G1103)=N$985,G1103+1&gt;N$985),0,G1103+1)</f>
        <v>0</v>
      </c>
      <c r="H1104" s="1301"/>
      <c r="I1104" s="1810">
        <f>M1104</f>
        <v>0</v>
      </c>
      <c r="J1104" s="1300"/>
      <c r="K1104" s="29">
        <f t="shared" si="780"/>
        <v>0</v>
      </c>
      <c r="L1104" s="485">
        <f>Infrastructure!D124</f>
        <v>1674</v>
      </c>
      <c r="M1104" s="34">
        <f t="shared" si="781"/>
        <v>0</v>
      </c>
      <c r="N1104" s="34">
        <f t="shared" si="782"/>
        <v>0</v>
      </c>
      <c r="O1104" s="34">
        <f t="shared" si="783"/>
        <v>0</v>
      </c>
      <c r="P1104" s="34">
        <f t="shared" si="784"/>
        <v>0</v>
      </c>
      <c r="Q1104" s="34">
        <f t="shared" si="785"/>
        <v>0</v>
      </c>
      <c r="R1104" s="31"/>
      <c r="S1104" s="36"/>
      <c r="T1104" s="1818"/>
      <c r="U1104" s="1814"/>
      <c r="V1104" s="1814"/>
      <c r="W1104" s="1817"/>
      <c r="X1104" s="1814"/>
      <c r="Y1104" s="1801"/>
      <c r="Z1104" s="1801"/>
      <c r="AA1104" s="1801"/>
      <c r="AB1104" s="1801"/>
      <c r="AC1104" s="1801"/>
      <c r="AD1104" s="1801"/>
      <c r="AE1104" s="1801"/>
      <c r="AF1104" s="1814"/>
      <c r="AG1104" s="376"/>
      <c r="AH1104" s="376"/>
      <c r="AI1104" s="376"/>
      <c r="AJ1104" s="376"/>
      <c r="AK1104" s="376"/>
      <c r="AL1104" s="1148"/>
      <c r="AM1104" s="1148"/>
      <c r="AN1104" s="1148"/>
      <c r="AO1104" s="1178">
        <v>115</v>
      </c>
      <c r="AP1104" s="485">
        <f>Infrastructure!D124</f>
        <v>1674</v>
      </c>
      <c r="AQ1104" s="763">
        <f t="shared" si="786"/>
        <v>0</v>
      </c>
      <c r="AR1104" s="763">
        <f t="shared" si="787"/>
        <v>0</v>
      </c>
      <c r="AS1104" s="763">
        <f t="shared" si="776"/>
        <v>0</v>
      </c>
      <c r="AT1104" s="170">
        <f>IF(AR1104&gt;0,SUM(AS$990:AS1104),0)</f>
        <v>0</v>
      </c>
      <c r="AU1104" s="1148"/>
      <c r="AV1104" s="1148"/>
      <c r="AW1104" s="1148"/>
      <c r="AX1104" s="1815">
        <f t="shared" si="793"/>
        <v>1674</v>
      </c>
      <c r="AY1104" s="763">
        <f t="shared" si="788"/>
        <v>0</v>
      </c>
      <c r="AZ1104" s="763">
        <f t="shared" si="789"/>
        <v>0</v>
      </c>
      <c r="BA1104" s="763">
        <f t="shared" si="777"/>
        <v>0</v>
      </c>
      <c r="BB1104" s="170">
        <f>IF(AZ1104&gt;0,SUM(BA$990:BA1104),0)</f>
        <v>0</v>
      </c>
      <c r="BC1104" s="1148"/>
      <c r="BD1104" s="1148"/>
      <c r="BE1104" s="1815">
        <f t="shared" si="790"/>
        <v>1674</v>
      </c>
      <c r="BF1104" s="763">
        <f t="shared" si="791"/>
        <v>0</v>
      </c>
      <c r="BG1104" s="763">
        <f t="shared" si="792"/>
        <v>0</v>
      </c>
      <c r="BH1104" s="763">
        <f t="shared" si="778"/>
        <v>0</v>
      </c>
      <c r="BI1104" s="170">
        <f>IF(BG1104&gt;0,SUM(BH$990:BH1104),0)</f>
        <v>0</v>
      </c>
      <c r="BJ1104" s="1148"/>
      <c r="BK1104" s="1148"/>
      <c r="BL1104" s="1144"/>
      <c r="BM1104" s="1144"/>
      <c r="BN1104" s="1144"/>
      <c r="BO1104" s="1144"/>
      <c r="BP1104" s="1144"/>
      <c r="BQ1104" s="1144"/>
      <c r="BR1104" s="1144"/>
      <c r="BS1104" s="1144"/>
      <c r="BT1104" s="1144"/>
      <c r="BU1104" s="1144"/>
      <c r="BV1104" s="1144"/>
      <c r="BW1104" s="1144"/>
      <c r="BX1104" s="1144"/>
      <c r="BY1104" s="1144"/>
      <c r="BZ1104" s="1144"/>
      <c r="CA1104" s="1144"/>
      <c r="CB1104" s="1144"/>
      <c r="CC1104" s="1144"/>
      <c r="CD1104" s="1144"/>
      <c r="CE1104" s="1144"/>
      <c r="CF1104" s="1144"/>
      <c r="CG1104" s="1144"/>
      <c r="CH1104" s="1144"/>
      <c r="CI1104" s="1144"/>
      <c r="CJ1104" s="1144"/>
      <c r="CK1104" s="1144"/>
      <c r="CL1104" s="1144"/>
      <c r="CM1104" s="1144"/>
      <c r="CN1104" s="1144"/>
    </row>
    <row r="1105" spans="7:92" ht="12" customHeight="1" x14ac:dyDescent="0.35">
      <c r="G1105" s="1300">
        <f>IF(OR(MAX(G$1094:G1104)=N$985,G1104+1&gt;N$985),0,G1104+1)</f>
        <v>0</v>
      </c>
      <c r="H1105" s="1301"/>
      <c r="I1105" s="1810">
        <f>P1104</f>
        <v>0</v>
      </c>
      <c r="J1105" s="1300"/>
      <c r="K1105" s="29">
        <f t="shared" si="780"/>
        <v>0</v>
      </c>
      <c r="L1105" s="485">
        <f>Infrastructure!D125</f>
        <v>1705</v>
      </c>
      <c r="M1105" s="34">
        <f t="shared" si="781"/>
        <v>0</v>
      </c>
      <c r="N1105" s="34">
        <f t="shared" si="782"/>
        <v>0</v>
      </c>
      <c r="O1105" s="34">
        <f t="shared" si="783"/>
        <v>0</v>
      </c>
      <c r="P1105" s="34">
        <f t="shared" si="784"/>
        <v>0</v>
      </c>
      <c r="Q1105" s="34">
        <f t="shared" si="785"/>
        <v>0</v>
      </c>
      <c r="R1105" s="31"/>
      <c r="S1105" s="36"/>
      <c r="T1105" s="1818"/>
      <c r="U1105" s="1814"/>
      <c r="V1105" s="1814"/>
      <c r="W1105" s="1817"/>
      <c r="X1105" s="1814"/>
      <c r="Y1105" s="1801"/>
      <c r="Z1105" s="1801"/>
      <c r="AA1105" s="1801"/>
      <c r="AB1105" s="1801"/>
      <c r="AC1105" s="1801"/>
      <c r="AD1105" s="1801"/>
      <c r="AE1105" s="1801"/>
      <c r="AF1105" s="1814"/>
      <c r="AG1105" s="376"/>
      <c r="AH1105" s="376"/>
      <c r="AI1105" s="376"/>
      <c r="AJ1105" s="376"/>
      <c r="AK1105" s="376"/>
      <c r="AL1105" s="1148"/>
      <c r="AM1105" s="1148"/>
      <c r="AN1105" s="1148"/>
      <c r="AO1105" s="1178">
        <v>116</v>
      </c>
      <c r="AP1105" s="485">
        <f>Infrastructure!D125</f>
        <v>1705</v>
      </c>
      <c r="AQ1105" s="763">
        <f t="shared" si="786"/>
        <v>0</v>
      </c>
      <c r="AR1105" s="763">
        <f t="shared" si="787"/>
        <v>0</v>
      </c>
      <c r="AS1105" s="763">
        <f t="shared" si="776"/>
        <v>0</v>
      </c>
      <c r="AT1105" s="170">
        <f>IF(AR1105&gt;0,SUM(AS$990:AS1105),0)</f>
        <v>0</v>
      </c>
      <c r="AU1105" s="1148"/>
      <c r="AV1105" s="1148"/>
      <c r="AW1105" s="1148"/>
      <c r="AX1105" s="1815">
        <f t="shared" si="793"/>
        <v>1705</v>
      </c>
      <c r="AY1105" s="763">
        <f t="shared" si="788"/>
        <v>0</v>
      </c>
      <c r="AZ1105" s="763">
        <f t="shared" si="789"/>
        <v>0</v>
      </c>
      <c r="BA1105" s="763">
        <f t="shared" si="777"/>
        <v>0</v>
      </c>
      <c r="BB1105" s="170">
        <f>IF(AZ1105&gt;0,SUM(BA$990:BA1105),0)</f>
        <v>0</v>
      </c>
      <c r="BC1105" s="1148"/>
      <c r="BD1105" s="1148"/>
      <c r="BE1105" s="1815">
        <f t="shared" si="790"/>
        <v>1705</v>
      </c>
      <c r="BF1105" s="763">
        <f t="shared" si="791"/>
        <v>0</v>
      </c>
      <c r="BG1105" s="763">
        <f t="shared" si="792"/>
        <v>0</v>
      </c>
      <c r="BH1105" s="763">
        <f t="shared" si="778"/>
        <v>0</v>
      </c>
      <c r="BI1105" s="170">
        <f>IF(BG1105&gt;0,SUM(BH$990:BH1105),0)</f>
        <v>0</v>
      </c>
      <c r="BJ1105" s="1148"/>
      <c r="BK1105" s="1148"/>
      <c r="BL1105" s="1144"/>
      <c r="BM1105" s="1144"/>
      <c r="BN1105" s="1144"/>
      <c r="BO1105" s="1144"/>
      <c r="BP1105" s="1144"/>
      <c r="BQ1105" s="1144"/>
      <c r="BR1105" s="1144"/>
      <c r="BS1105" s="1144"/>
      <c r="BT1105" s="1144"/>
      <c r="BU1105" s="1144"/>
      <c r="BV1105" s="1144"/>
      <c r="BW1105" s="1144"/>
      <c r="BX1105" s="1144"/>
      <c r="BY1105" s="1144"/>
      <c r="BZ1105" s="1144"/>
      <c r="CA1105" s="1144"/>
      <c r="CB1105" s="1144"/>
      <c r="CC1105" s="1144"/>
      <c r="CD1105" s="1144"/>
      <c r="CE1105" s="1144"/>
      <c r="CF1105" s="1144"/>
      <c r="CG1105" s="1144"/>
      <c r="CH1105" s="1144"/>
      <c r="CI1105" s="1144"/>
      <c r="CJ1105" s="1144"/>
      <c r="CK1105" s="1144"/>
      <c r="CL1105" s="1144"/>
      <c r="CM1105" s="1144"/>
      <c r="CN1105" s="1144"/>
    </row>
    <row r="1106" spans="7:92" ht="12" customHeight="1" x14ac:dyDescent="0.35">
      <c r="G1106" s="1300">
        <f>IF(OR(MAX(G$1094:G1105)=N$985,G1105+1&gt;N$985),0,G1105+1)</f>
        <v>0</v>
      </c>
      <c r="H1106" s="1301"/>
      <c r="I1106" s="1300"/>
      <c r="J1106" s="1300"/>
      <c r="K1106" s="29">
        <f t="shared" si="780"/>
        <v>0</v>
      </c>
      <c r="L1106" s="485">
        <f>Infrastructure!D126</f>
        <v>1735</v>
      </c>
      <c r="M1106" s="34">
        <f t="shared" si="781"/>
        <v>0</v>
      </c>
      <c r="N1106" s="34">
        <f t="shared" si="782"/>
        <v>0</v>
      </c>
      <c r="O1106" s="34">
        <f t="shared" si="783"/>
        <v>0</v>
      </c>
      <c r="P1106" s="34">
        <f t="shared" si="784"/>
        <v>0</v>
      </c>
      <c r="Q1106" s="34">
        <f t="shared" si="785"/>
        <v>0</v>
      </c>
      <c r="R1106" s="31"/>
      <c r="S1106" s="36"/>
      <c r="T1106" s="1818"/>
      <c r="U1106" s="1814"/>
      <c r="V1106" s="1814"/>
      <c r="W1106" s="1817"/>
      <c r="X1106" s="1814"/>
      <c r="Y1106" s="1801"/>
      <c r="Z1106" s="1801"/>
      <c r="AA1106" s="1801"/>
      <c r="AB1106" s="1801"/>
      <c r="AC1106" s="1801"/>
      <c r="AD1106" s="1801"/>
      <c r="AE1106" s="1801"/>
      <c r="AF1106" s="1814"/>
      <c r="AG1106" s="376"/>
      <c r="AH1106" s="376"/>
      <c r="AI1106" s="376"/>
      <c r="AJ1106" s="376"/>
      <c r="AK1106" s="376"/>
      <c r="AL1106" s="1148"/>
      <c r="AM1106" s="1148"/>
      <c r="AN1106" s="1148"/>
      <c r="AO1106" s="1178">
        <v>117</v>
      </c>
      <c r="AP1106" s="485">
        <f>Infrastructure!D126</f>
        <v>1735</v>
      </c>
      <c r="AQ1106" s="763">
        <f t="shared" si="786"/>
        <v>0</v>
      </c>
      <c r="AR1106" s="763">
        <f t="shared" si="787"/>
        <v>0</v>
      </c>
      <c r="AS1106" s="763">
        <f t="shared" si="776"/>
        <v>0</v>
      </c>
      <c r="AT1106" s="170">
        <f>IF(AR1106&gt;0,SUM(AS$990:AS1106),0)</f>
        <v>0</v>
      </c>
      <c r="AU1106" s="1148"/>
      <c r="AV1106" s="1148"/>
      <c r="AW1106" s="1148"/>
      <c r="AX1106" s="1815">
        <f t="shared" si="793"/>
        <v>1735</v>
      </c>
      <c r="AY1106" s="763">
        <f t="shared" si="788"/>
        <v>0</v>
      </c>
      <c r="AZ1106" s="763">
        <f t="shared" si="789"/>
        <v>0</v>
      </c>
      <c r="BA1106" s="763">
        <f t="shared" si="777"/>
        <v>0</v>
      </c>
      <c r="BB1106" s="170">
        <f>IF(AZ1106&gt;0,SUM(BA$990:BA1106),0)</f>
        <v>0</v>
      </c>
      <c r="BC1106" s="1148"/>
      <c r="BD1106" s="1148"/>
      <c r="BE1106" s="1815">
        <f t="shared" si="790"/>
        <v>1735</v>
      </c>
      <c r="BF1106" s="763">
        <f t="shared" si="791"/>
        <v>0</v>
      </c>
      <c r="BG1106" s="763">
        <f t="shared" si="792"/>
        <v>0</v>
      </c>
      <c r="BH1106" s="763">
        <f t="shared" si="778"/>
        <v>0</v>
      </c>
      <c r="BI1106" s="170">
        <f>IF(BG1106&gt;0,SUM(BH$990:BH1106),0)</f>
        <v>0</v>
      </c>
      <c r="BJ1106" s="1148"/>
      <c r="BK1106" s="1148"/>
      <c r="BL1106" s="1144"/>
      <c r="BM1106" s="1144"/>
      <c r="BN1106" s="1144"/>
      <c r="BO1106" s="1144"/>
      <c r="BP1106" s="1144"/>
      <c r="BQ1106" s="1144"/>
      <c r="BR1106" s="1144"/>
      <c r="BS1106" s="1144"/>
      <c r="BT1106" s="1144"/>
      <c r="BU1106" s="1144"/>
      <c r="BV1106" s="1144"/>
      <c r="BW1106" s="1144"/>
      <c r="BX1106" s="1144"/>
      <c r="BY1106" s="1144"/>
      <c r="BZ1106" s="1144"/>
      <c r="CA1106" s="1144"/>
      <c r="CB1106" s="1144"/>
      <c r="CC1106" s="1144"/>
      <c r="CD1106" s="1144"/>
      <c r="CE1106" s="1144"/>
      <c r="CF1106" s="1144"/>
      <c r="CG1106" s="1144"/>
      <c r="CH1106" s="1144"/>
      <c r="CI1106" s="1144"/>
      <c r="CJ1106" s="1144"/>
      <c r="CK1106" s="1144"/>
      <c r="CL1106" s="1144"/>
      <c r="CM1106" s="1144"/>
      <c r="CN1106" s="1144"/>
    </row>
    <row r="1107" spans="7:92" ht="12" customHeight="1" x14ac:dyDescent="0.35">
      <c r="G1107" s="1300">
        <f>IF(OR(MAX(G$1094:G1106)=N$985,G1106+1&gt;N$985),0,G1106+1)</f>
        <v>0</v>
      </c>
      <c r="H1107" s="1301"/>
      <c r="I1107" s="1300"/>
      <c r="J1107" s="1300"/>
      <c r="K1107" s="29">
        <f t="shared" si="780"/>
        <v>0</v>
      </c>
      <c r="L1107" s="485">
        <f>Infrastructure!D127</f>
        <v>1766</v>
      </c>
      <c r="M1107" s="34">
        <f t="shared" si="781"/>
        <v>0</v>
      </c>
      <c r="N1107" s="34">
        <f t="shared" si="782"/>
        <v>0</v>
      </c>
      <c r="O1107" s="34">
        <f t="shared" si="783"/>
        <v>0</v>
      </c>
      <c r="P1107" s="34">
        <f t="shared" si="784"/>
        <v>0</v>
      </c>
      <c r="Q1107" s="34">
        <f t="shared" si="785"/>
        <v>0</v>
      </c>
      <c r="R1107" s="31"/>
      <c r="S1107" s="36"/>
      <c r="T1107" s="1818"/>
      <c r="U1107" s="1814"/>
      <c r="V1107" s="1814"/>
      <c r="W1107" s="1817"/>
      <c r="X1107" s="1814"/>
      <c r="Y1107" s="1801"/>
      <c r="Z1107" s="1801"/>
      <c r="AA1107" s="1801"/>
      <c r="AB1107" s="1801"/>
      <c r="AC1107" s="1801"/>
      <c r="AD1107" s="1801"/>
      <c r="AE1107" s="1801"/>
      <c r="AF1107" s="1814"/>
      <c r="AG1107" s="376"/>
      <c r="AH1107" s="376"/>
      <c r="AI1107" s="376"/>
      <c r="AJ1107" s="376"/>
      <c r="AK1107" s="376"/>
      <c r="AL1107" s="1148"/>
      <c r="AM1107" s="1148"/>
      <c r="AN1107" s="1148"/>
      <c r="AO1107" s="1178">
        <v>118</v>
      </c>
      <c r="AP1107" s="485">
        <f>Infrastructure!D127</f>
        <v>1766</v>
      </c>
      <c r="AQ1107" s="763">
        <f t="shared" si="786"/>
        <v>0</v>
      </c>
      <c r="AR1107" s="763">
        <f t="shared" si="787"/>
        <v>0</v>
      </c>
      <c r="AS1107" s="763">
        <f t="shared" si="776"/>
        <v>0</v>
      </c>
      <c r="AT1107" s="170">
        <f>IF(AR1107&gt;0,SUM(AS$990:AS1107),0)</f>
        <v>0</v>
      </c>
      <c r="AU1107" s="1148"/>
      <c r="AV1107" s="1148"/>
      <c r="AW1107" s="1148"/>
      <c r="AX1107" s="1815">
        <f t="shared" si="793"/>
        <v>1766</v>
      </c>
      <c r="AY1107" s="763">
        <f t="shared" si="788"/>
        <v>0</v>
      </c>
      <c r="AZ1107" s="763">
        <f t="shared" si="789"/>
        <v>0</v>
      </c>
      <c r="BA1107" s="763">
        <f t="shared" si="777"/>
        <v>0</v>
      </c>
      <c r="BB1107" s="170">
        <f>IF(AZ1107&gt;0,SUM(BA$990:BA1107),0)</f>
        <v>0</v>
      </c>
      <c r="BC1107" s="1148"/>
      <c r="BD1107" s="1148"/>
      <c r="BE1107" s="1815">
        <f t="shared" si="790"/>
        <v>1766</v>
      </c>
      <c r="BF1107" s="763">
        <f t="shared" si="791"/>
        <v>0</v>
      </c>
      <c r="BG1107" s="763">
        <f t="shared" si="792"/>
        <v>0</v>
      </c>
      <c r="BH1107" s="763">
        <f t="shared" si="778"/>
        <v>0</v>
      </c>
      <c r="BI1107" s="170">
        <f>IF(BG1107&gt;0,SUM(BH$990:BH1107),0)</f>
        <v>0</v>
      </c>
      <c r="BJ1107" s="1148"/>
      <c r="BK1107" s="1148"/>
      <c r="BL1107" s="1144"/>
      <c r="BM1107" s="1144"/>
      <c r="BN1107" s="1144"/>
      <c r="BO1107" s="1144"/>
      <c r="BP1107" s="1144"/>
      <c r="BQ1107" s="1144"/>
      <c r="BR1107" s="1144"/>
      <c r="BS1107" s="1144"/>
      <c r="BT1107" s="1144"/>
      <c r="BU1107" s="1144"/>
      <c r="BV1107" s="1144"/>
      <c r="BW1107" s="1144"/>
      <c r="BX1107" s="1144"/>
      <c r="BY1107" s="1144"/>
      <c r="BZ1107" s="1144"/>
      <c r="CA1107" s="1144"/>
      <c r="CB1107" s="1144"/>
      <c r="CC1107" s="1144"/>
      <c r="CD1107" s="1144"/>
      <c r="CE1107" s="1144"/>
      <c r="CF1107" s="1144"/>
      <c r="CG1107" s="1144"/>
      <c r="CH1107" s="1144"/>
      <c r="CI1107" s="1144"/>
      <c r="CJ1107" s="1144"/>
      <c r="CK1107" s="1144"/>
      <c r="CL1107" s="1144"/>
      <c r="CM1107" s="1144"/>
      <c r="CN1107" s="1144"/>
    </row>
    <row r="1108" spans="7:92" ht="12" customHeight="1" x14ac:dyDescent="0.35">
      <c r="G1108" s="1300">
        <f>IF(OR(MAX(G$1094:G1107)=N$985,G1107+1&gt;N$985),0,G1107+1)</f>
        <v>0</v>
      </c>
      <c r="H1108" s="1301"/>
      <c r="I1108" s="1300">
        <f>IF(M1105=0,1,2)</f>
        <v>1</v>
      </c>
      <c r="J1108" s="1300"/>
      <c r="K1108" s="29">
        <f t="shared" si="780"/>
        <v>0</v>
      </c>
      <c r="L1108" s="485">
        <f>Infrastructure!D128</f>
        <v>1796</v>
      </c>
      <c r="M1108" s="34">
        <f t="shared" si="781"/>
        <v>0</v>
      </c>
      <c r="N1108" s="34">
        <f t="shared" si="782"/>
        <v>0</v>
      </c>
      <c r="O1108" s="34">
        <f t="shared" si="783"/>
        <v>0</v>
      </c>
      <c r="P1108" s="34">
        <f t="shared" si="784"/>
        <v>0</v>
      </c>
      <c r="Q1108" s="34">
        <f t="shared" si="785"/>
        <v>0</v>
      </c>
      <c r="R1108" s="31"/>
      <c r="S1108" s="36"/>
      <c r="T1108" s="1818"/>
      <c r="U1108" s="1814"/>
      <c r="V1108" s="1814"/>
      <c r="W1108" s="1817"/>
      <c r="X1108" s="1814"/>
      <c r="Y1108" s="1801"/>
      <c r="Z1108" s="1801"/>
      <c r="AA1108" s="1801"/>
      <c r="AB1108" s="1801"/>
      <c r="AC1108" s="1801"/>
      <c r="AD1108" s="1801"/>
      <c r="AE1108" s="1801"/>
      <c r="AF1108" s="1814"/>
      <c r="AG1108" s="376"/>
      <c r="AH1108" s="376"/>
      <c r="AI1108" s="376"/>
      <c r="AJ1108" s="376"/>
      <c r="AK1108" s="376"/>
      <c r="AL1108" s="1148"/>
      <c r="AM1108" s="1148"/>
      <c r="AN1108" s="1148"/>
      <c r="AO1108" s="1178">
        <v>119</v>
      </c>
      <c r="AP1108" s="485">
        <f>Infrastructure!D128</f>
        <v>1796</v>
      </c>
      <c r="AQ1108" s="763">
        <f t="shared" si="786"/>
        <v>0</v>
      </c>
      <c r="AR1108" s="763">
        <f t="shared" si="787"/>
        <v>0</v>
      </c>
      <c r="AS1108" s="763">
        <f t="shared" si="776"/>
        <v>0</v>
      </c>
      <c r="AT1108" s="170">
        <f>IF(AR1108&gt;0,SUM(AS$990:AS1108),0)</f>
        <v>0</v>
      </c>
      <c r="AU1108" s="1148"/>
      <c r="AV1108" s="1148"/>
      <c r="AW1108" s="1148"/>
      <c r="AX1108" s="1815">
        <f t="shared" si="793"/>
        <v>1796</v>
      </c>
      <c r="AY1108" s="763">
        <f t="shared" si="788"/>
        <v>0</v>
      </c>
      <c r="AZ1108" s="763">
        <f t="shared" si="789"/>
        <v>0</v>
      </c>
      <c r="BA1108" s="763">
        <f t="shared" si="777"/>
        <v>0</v>
      </c>
      <c r="BB1108" s="170">
        <f>IF(AZ1108&gt;0,SUM(BA$990:BA1108),0)</f>
        <v>0</v>
      </c>
      <c r="BC1108" s="1148"/>
      <c r="BD1108" s="1148"/>
      <c r="BE1108" s="1815">
        <f t="shared" si="790"/>
        <v>1796</v>
      </c>
      <c r="BF1108" s="763">
        <f t="shared" si="791"/>
        <v>0</v>
      </c>
      <c r="BG1108" s="763">
        <f t="shared" si="792"/>
        <v>0</v>
      </c>
      <c r="BH1108" s="763">
        <f t="shared" si="778"/>
        <v>0</v>
      </c>
      <c r="BI1108" s="170">
        <f>IF(BG1108&gt;0,SUM(BH$990:BH1108),0)</f>
        <v>0</v>
      </c>
      <c r="BJ1108" s="1148"/>
      <c r="BK1108" s="1148"/>
      <c r="BL1108" s="1144"/>
      <c r="BM1108" s="1144"/>
      <c r="BN1108" s="1144"/>
      <c r="BO1108" s="1144"/>
      <c r="BP1108" s="1144"/>
      <c r="BQ1108" s="1144"/>
      <c r="BR1108" s="1144"/>
      <c r="BS1108" s="1144"/>
      <c r="BT1108" s="1144"/>
      <c r="BU1108" s="1144"/>
      <c r="BV1108" s="1144"/>
      <c r="BW1108" s="1144"/>
      <c r="BX1108" s="1144"/>
      <c r="BY1108" s="1144"/>
      <c r="BZ1108" s="1144"/>
      <c r="CA1108" s="1144"/>
      <c r="CB1108" s="1144"/>
      <c r="CC1108" s="1144"/>
      <c r="CD1108" s="1144"/>
      <c r="CE1108" s="1144"/>
      <c r="CF1108" s="1144"/>
      <c r="CG1108" s="1144"/>
      <c r="CH1108" s="1144"/>
      <c r="CI1108" s="1144"/>
      <c r="CJ1108" s="1144"/>
      <c r="CK1108" s="1144"/>
      <c r="CL1108" s="1144"/>
      <c r="CM1108" s="1144"/>
      <c r="CN1108" s="1144"/>
    </row>
    <row r="1109" spans="7:92" ht="12" customHeight="1" x14ac:dyDescent="0.35">
      <c r="G1109" s="1300"/>
      <c r="H1109" s="1301"/>
      <c r="I1109" s="1300"/>
      <c r="J1109" s="1300"/>
      <c r="K1109" s="29">
        <f t="shared" si="780"/>
        <v>0</v>
      </c>
      <c r="L1109" s="485">
        <f>Infrastructure!D129</f>
        <v>1827</v>
      </c>
      <c r="M1109" s="34">
        <f t="shared" si="781"/>
        <v>0</v>
      </c>
      <c r="N1109" s="34">
        <f t="shared" si="782"/>
        <v>0</v>
      </c>
      <c r="O1109" s="34">
        <f t="shared" si="783"/>
        <v>0</v>
      </c>
      <c r="P1109" s="34">
        <f t="shared" si="784"/>
        <v>0</v>
      </c>
      <c r="Q1109" s="34">
        <f t="shared" si="785"/>
        <v>0</v>
      </c>
      <c r="R1109" s="31"/>
      <c r="S1109" s="36"/>
      <c r="T1109" s="1818"/>
      <c r="U1109" s="1814"/>
      <c r="V1109" s="1814"/>
      <c r="W1109" s="1817"/>
      <c r="X1109" s="1814"/>
      <c r="Y1109" s="1801"/>
      <c r="Z1109" s="1801"/>
      <c r="AA1109" s="1801"/>
      <c r="AB1109" s="1801"/>
      <c r="AC1109" s="1801"/>
      <c r="AD1109" s="1801"/>
      <c r="AE1109" s="1801"/>
      <c r="AF1109" s="1814"/>
      <c r="AG1109" s="376"/>
      <c r="AH1109" s="376"/>
      <c r="AI1109" s="376"/>
      <c r="AJ1109" s="376"/>
      <c r="AK1109" s="376"/>
      <c r="AL1109" s="1148"/>
      <c r="AM1109" s="1148"/>
      <c r="AN1109" s="1148"/>
      <c r="AO1109" s="1178">
        <v>120</v>
      </c>
      <c r="AP1109" s="485">
        <f>Infrastructure!D129</f>
        <v>1827</v>
      </c>
      <c r="AQ1109" s="763">
        <f t="shared" si="786"/>
        <v>0</v>
      </c>
      <c r="AR1109" s="763">
        <f t="shared" si="787"/>
        <v>0</v>
      </c>
      <c r="AS1109" s="763">
        <f t="shared" si="776"/>
        <v>0</v>
      </c>
      <c r="AT1109" s="170">
        <f>IF(AR1109&gt;0,SUM(AS$990:AS1109),0)</f>
        <v>0</v>
      </c>
      <c r="AU1109" s="1148"/>
      <c r="AV1109" s="1148"/>
      <c r="AW1109" s="1148"/>
      <c r="AX1109" s="1815">
        <f t="shared" si="793"/>
        <v>1827</v>
      </c>
      <c r="AY1109" s="763">
        <f t="shared" si="788"/>
        <v>0</v>
      </c>
      <c r="AZ1109" s="763">
        <f t="shared" si="789"/>
        <v>0</v>
      </c>
      <c r="BA1109" s="763">
        <f t="shared" si="777"/>
        <v>0</v>
      </c>
      <c r="BB1109" s="170">
        <f>IF(AZ1109&gt;0,SUM(BA$990:BA1109),0)</f>
        <v>0</v>
      </c>
      <c r="BC1109" s="1148"/>
      <c r="BD1109" s="1148"/>
      <c r="BE1109" s="1815">
        <f t="shared" si="790"/>
        <v>1827</v>
      </c>
      <c r="BF1109" s="763">
        <f t="shared" si="791"/>
        <v>0</v>
      </c>
      <c r="BG1109" s="763">
        <f t="shared" si="792"/>
        <v>0</v>
      </c>
      <c r="BH1109" s="763">
        <f t="shared" si="778"/>
        <v>0</v>
      </c>
      <c r="BI1109" s="170">
        <f>IF(BG1109&gt;0,SUM(BH$990:BH1109),0)</f>
        <v>0</v>
      </c>
      <c r="BJ1109" s="1148"/>
      <c r="BK1109" s="1148"/>
      <c r="BL1109" s="1144"/>
      <c r="BM1109" s="1144"/>
      <c r="BN1109" s="1144"/>
      <c r="BO1109" s="1144"/>
      <c r="BP1109" s="1144"/>
      <c r="BQ1109" s="1144"/>
      <c r="BR1109" s="1144"/>
      <c r="BS1109" s="1144"/>
      <c r="BT1109" s="1144"/>
      <c r="BU1109" s="1144"/>
      <c r="BV1109" s="1144"/>
      <c r="BW1109" s="1144"/>
      <c r="BX1109" s="1144"/>
      <c r="BY1109" s="1144"/>
      <c r="BZ1109" s="1144"/>
      <c r="CA1109" s="1144"/>
      <c r="CB1109" s="1144"/>
      <c r="CC1109" s="1144"/>
      <c r="CD1109" s="1144"/>
      <c r="CE1109" s="1144"/>
      <c r="CF1109" s="1144"/>
      <c r="CG1109" s="1144"/>
      <c r="CH1109" s="1144"/>
      <c r="CI1109" s="1144"/>
      <c r="CJ1109" s="1144"/>
      <c r="CK1109" s="1144"/>
      <c r="CL1109" s="1144"/>
      <c r="CM1109" s="1144"/>
      <c r="CN1109" s="1144"/>
    </row>
    <row r="1110" spans="7:92" ht="12" customHeight="1" x14ac:dyDescent="0.35">
      <c r="G1110" s="1300"/>
      <c r="H1110" s="1301"/>
      <c r="I1110" s="1300"/>
      <c r="J1110" s="1300"/>
      <c r="K1110" s="28"/>
      <c r="L1110" s="28"/>
      <c r="M1110" s="28"/>
      <c r="N1110" s="28"/>
      <c r="O1110" s="28"/>
      <c r="P1110" s="28"/>
      <c r="Q1110" s="28"/>
      <c r="R1110" s="31"/>
      <c r="S1110" s="36"/>
      <c r="T1110" s="1818"/>
      <c r="U1110" s="1814"/>
      <c r="V1110" s="1814"/>
      <c r="W1110" s="1817"/>
      <c r="X1110" s="1814"/>
      <c r="Y1110" s="1801"/>
      <c r="Z1110" s="1801"/>
      <c r="AA1110" s="1801"/>
      <c r="AB1110" s="1801"/>
      <c r="AC1110" s="1801"/>
      <c r="AD1110" s="1801"/>
      <c r="AE1110" s="1801"/>
      <c r="AF1110" s="1814"/>
      <c r="AG1110" s="376"/>
      <c r="AH1110" s="376"/>
      <c r="AI1110" s="376"/>
      <c r="AJ1110" s="376"/>
      <c r="AK1110" s="376"/>
      <c r="AL1110" s="1148"/>
      <c r="AM1110" s="1148"/>
      <c r="AN1110" s="1148"/>
      <c r="AO1110" s="144">
        <f>IF(Input!F$253=121,1,IF(OR(Input!F$253&gt;121,Input!F$253+Input!F$254-1&lt;121),0,AO1109+1))</f>
        <v>0</v>
      </c>
      <c r="AP1110" s="1820"/>
      <c r="AQ1110" s="1148"/>
      <c r="AR1110" s="1148"/>
      <c r="AS1110" s="1151"/>
      <c r="AT1110" s="1148"/>
      <c r="AU1110" s="1148"/>
      <c r="AV1110" s="1148"/>
      <c r="AW1110" s="1148"/>
      <c r="AX1110" s="1148"/>
      <c r="AY1110" s="1148"/>
      <c r="AZ1110" s="1148"/>
      <c r="BA1110" s="1148"/>
      <c r="BB1110" s="1148"/>
      <c r="BC1110" s="1148"/>
      <c r="BD1110" s="1148"/>
      <c r="BE1110" s="1148"/>
      <c r="BF1110" s="1148"/>
      <c r="BG1110" s="1148"/>
      <c r="BH1110" s="1148"/>
      <c r="BI1110" s="1148"/>
      <c r="BJ1110" s="1148"/>
      <c r="BK1110" s="1148"/>
      <c r="BL1110" s="1144"/>
      <c r="BM1110" s="1144"/>
      <c r="BN1110" s="1144"/>
      <c r="BO1110" s="1144"/>
      <c r="BP1110" s="1144"/>
      <c r="BQ1110" s="1144"/>
      <c r="BR1110" s="1144"/>
      <c r="BS1110" s="1144"/>
      <c r="BT1110" s="1144"/>
      <c r="BU1110" s="1144"/>
      <c r="BV1110" s="1144"/>
      <c r="BW1110" s="1144"/>
      <c r="BX1110" s="1144"/>
      <c r="BY1110" s="1144"/>
      <c r="BZ1110" s="1144"/>
      <c r="CA1110" s="1144"/>
      <c r="CB1110" s="1144"/>
      <c r="CC1110" s="1144"/>
      <c r="CD1110" s="1144"/>
      <c r="CE1110" s="1144"/>
      <c r="CF1110" s="1144"/>
      <c r="CG1110" s="1144"/>
      <c r="CH1110" s="1144"/>
      <c r="CI1110" s="1144"/>
      <c r="CJ1110" s="1144"/>
      <c r="CK1110" s="1144"/>
      <c r="CL1110" s="1144"/>
      <c r="CM1110" s="1144"/>
      <c r="CN1110" s="1144"/>
    </row>
    <row r="1111" spans="7:92" ht="12" customHeight="1" x14ac:dyDescent="0.35">
      <c r="G1111" s="1300"/>
      <c r="H1111" s="1301"/>
      <c r="I1111" s="1300"/>
      <c r="J1111" s="1300"/>
      <c r="K1111" s="28"/>
      <c r="L1111" s="28"/>
      <c r="M1111" s="28"/>
      <c r="N1111" s="28"/>
      <c r="O1111" s="28"/>
      <c r="P1111" s="28"/>
      <c r="Q1111" s="28"/>
      <c r="R1111" s="31"/>
      <c r="S1111" s="36"/>
      <c r="T1111" s="1818"/>
      <c r="U1111" s="1814"/>
      <c r="V1111" s="1814"/>
      <c r="W1111" s="1817"/>
      <c r="X1111" s="1814"/>
      <c r="Y1111" s="1801"/>
      <c r="Z1111" s="1801"/>
      <c r="AA1111" s="1801"/>
      <c r="AB1111" s="1801"/>
      <c r="AC1111" s="1801"/>
      <c r="AD1111" s="1801"/>
      <c r="AE1111" s="1801"/>
      <c r="AF1111" s="1814"/>
      <c r="AG1111" s="376"/>
      <c r="AH1111" s="376"/>
      <c r="AI1111" s="376"/>
      <c r="AJ1111" s="376"/>
      <c r="AK1111" s="376"/>
      <c r="AL1111" s="1148"/>
      <c r="AM1111" s="1148"/>
      <c r="AN1111" s="1148"/>
      <c r="AO1111" s="1148"/>
      <c r="AP1111" s="1820"/>
      <c r="AQ1111" s="1148"/>
      <c r="AR1111" s="1148"/>
      <c r="AS1111" s="1148"/>
      <c r="AT1111" s="1148"/>
      <c r="AU1111" s="1148"/>
      <c r="AV1111" s="1148"/>
      <c r="AW1111" s="1148"/>
      <c r="AX1111" s="1148"/>
      <c r="AY1111" s="1148"/>
      <c r="AZ1111" s="1148"/>
      <c r="BA1111" s="1148"/>
      <c r="BB1111" s="1148"/>
      <c r="BC1111" s="1148"/>
      <c r="BD1111" s="1148"/>
      <c r="BE1111" s="1148"/>
      <c r="BF1111" s="1148"/>
      <c r="BG1111" s="1148"/>
      <c r="BH1111" s="1148"/>
      <c r="BI1111" s="1148"/>
      <c r="BJ1111" s="1148"/>
      <c r="BK1111" s="1148"/>
      <c r="BL1111" s="1144"/>
      <c r="BM1111" s="1144"/>
      <c r="BN1111" s="1144"/>
      <c r="BO1111" s="1144"/>
      <c r="BP1111" s="1144"/>
      <c r="BQ1111" s="1144"/>
      <c r="BR1111" s="1144"/>
      <c r="BS1111" s="1144"/>
      <c r="BT1111" s="1144"/>
      <c r="BU1111" s="1144"/>
      <c r="BV1111" s="1144"/>
      <c r="BW1111" s="1144"/>
      <c r="BX1111" s="1144"/>
      <c r="BY1111" s="1144"/>
      <c r="BZ1111" s="1144"/>
      <c r="CA1111" s="1144"/>
      <c r="CB1111" s="1144"/>
      <c r="CC1111" s="1144"/>
      <c r="CD1111" s="1144"/>
      <c r="CE1111" s="1144"/>
      <c r="CF1111" s="1144"/>
      <c r="CG1111" s="1144"/>
      <c r="CH1111" s="1144"/>
      <c r="CI1111" s="1144"/>
      <c r="CJ1111" s="1144"/>
      <c r="CK1111" s="1144"/>
      <c r="CL1111" s="1144"/>
      <c r="CM1111" s="1144"/>
      <c r="CN1111" s="1144"/>
    </row>
    <row r="1112" spans="7:92" ht="12" customHeight="1" x14ac:dyDescent="0.35">
      <c r="G1112" s="1300"/>
      <c r="H1112" s="1301"/>
      <c r="I1112" s="1300"/>
      <c r="J1112" s="1300"/>
      <c r="K1112" s="28"/>
      <c r="L1112" s="28"/>
      <c r="M1112" s="28"/>
      <c r="N1112" s="28"/>
      <c r="O1112" s="28"/>
      <c r="P1112" s="28"/>
      <c r="Q1112" s="28"/>
      <c r="R1112" s="31"/>
      <c r="S1112" s="36"/>
      <c r="T1112" s="1818"/>
      <c r="U1112" s="1814"/>
      <c r="V1112" s="1814"/>
      <c r="W1112" s="1817"/>
      <c r="X1112" s="1814"/>
      <c r="Y1112" s="1801"/>
      <c r="Z1112" s="1801"/>
      <c r="AA1112" s="1801"/>
      <c r="AB1112" s="1801"/>
      <c r="AC1112" s="1801"/>
      <c r="AD1112" s="1801"/>
      <c r="AE1112" s="1801"/>
      <c r="AF1112" s="1814"/>
      <c r="AG1112" s="376"/>
      <c r="AH1112" s="376"/>
      <c r="AI1112" s="376"/>
      <c r="AJ1112" s="376"/>
      <c r="AK1112" s="376"/>
      <c r="AL1112" s="1148"/>
      <c r="AM1112" s="1148"/>
      <c r="AN1112" s="1148"/>
      <c r="AO1112" s="1148"/>
      <c r="AP1112" s="1820"/>
      <c r="AQ1112" s="1148"/>
      <c r="AR1112" s="1148"/>
      <c r="AS1112" s="1148"/>
      <c r="AT1112" s="1148"/>
      <c r="AU1112" s="1148"/>
      <c r="AV1112" s="1148"/>
      <c r="AW1112" s="1148"/>
      <c r="AX1112" s="1148"/>
      <c r="AY1112" s="1148"/>
      <c r="AZ1112" s="1148"/>
      <c r="BA1112" s="1148"/>
      <c r="BB1112" s="1148"/>
      <c r="BC1112" s="1148"/>
      <c r="BD1112" s="1148"/>
      <c r="BE1112" s="1148"/>
      <c r="BF1112" s="1148"/>
      <c r="BG1112" s="1148"/>
      <c r="BH1112" s="1148"/>
      <c r="BI1112" s="1148"/>
      <c r="BJ1112" s="1148"/>
      <c r="BK1112" s="1148"/>
      <c r="BL1112" s="1144"/>
      <c r="BM1112" s="1144"/>
      <c r="BN1112" s="1144"/>
      <c r="BO1112" s="1144"/>
      <c r="BP1112" s="1144"/>
      <c r="BQ1112" s="1144"/>
      <c r="BR1112" s="1144"/>
      <c r="BS1112" s="1144"/>
      <c r="BT1112" s="1144"/>
      <c r="BU1112" s="1144"/>
      <c r="BV1112" s="1144"/>
      <c r="BW1112" s="1144"/>
      <c r="BX1112" s="1144"/>
      <c r="BY1112" s="1144"/>
      <c r="BZ1112" s="1144"/>
      <c r="CA1112" s="1144"/>
      <c r="CB1112" s="1144"/>
      <c r="CC1112" s="1144"/>
      <c r="CD1112" s="1144"/>
      <c r="CE1112" s="1144"/>
      <c r="CF1112" s="1144"/>
      <c r="CG1112" s="1144"/>
      <c r="CH1112" s="1144"/>
      <c r="CI1112" s="1144"/>
      <c r="CJ1112" s="1144"/>
      <c r="CK1112" s="1144"/>
      <c r="CL1112" s="1144"/>
      <c r="CM1112" s="1144"/>
      <c r="CN1112" s="1144"/>
    </row>
    <row r="1113" spans="7:92" ht="12" customHeight="1" x14ac:dyDescent="0.35">
      <c r="G1113" s="1300"/>
      <c r="H1113" s="1301"/>
      <c r="I1113" s="1300"/>
      <c r="J1113" s="1300"/>
      <c r="K1113" s="28"/>
      <c r="L1113" s="28"/>
      <c r="M1113" s="28"/>
      <c r="N1113" s="28"/>
      <c r="O1113" s="28"/>
      <c r="P1113" s="28"/>
      <c r="Q1113" s="28"/>
      <c r="R1113" s="31"/>
      <c r="S1113" s="36"/>
      <c r="T1113" s="1818"/>
      <c r="U1113" s="1814"/>
      <c r="V1113" s="1814"/>
      <c r="W1113" s="1817"/>
      <c r="X1113" s="1814"/>
      <c r="Y1113" s="1801"/>
      <c r="Z1113" s="1801"/>
      <c r="AA1113" s="1801"/>
      <c r="AB1113" s="1801"/>
      <c r="AC1113" s="1801"/>
      <c r="AD1113" s="1801"/>
      <c r="AE1113" s="1801"/>
      <c r="AF1113" s="1814"/>
      <c r="AG1113" s="376"/>
      <c r="AH1113" s="376"/>
      <c r="AI1113" s="376"/>
      <c r="AJ1113" s="376"/>
      <c r="AK1113" s="376"/>
      <c r="AL1113" s="1148"/>
      <c r="AM1113" s="1148"/>
      <c r="AN1113" s="1148"/>
      <c r="AO1113" s="1148"/>
      <c r="AP1113" s="1820"/>
      <c r="AQ1113" s="1148"/>
      <c r="AR1113" s="1148"/>
      <c r="AS1113" s="1148"/>
      <c r="AT1113" s="1148"/>
      <c r="AU1113" s="1148"/>
      <c r="AV1113" s="1148"/>
      <c r="AW1113" s="1148"/>
      <c r="AX1113" s="1148"/>
      <c r="AY1113" s="1148"/>
      <c r="AZ1113" s="1148"/>
      <c r="BA1113" s="1148"/>
      <c r="BB1113" s="1148"/>
      <c r="BC1113" s="1148"/>
      <c r="BD1113" s="1148"/>
      <c r="BE1113" s="1148"/>
      <c r="BF1113" s="1148"/>
      <c r="BG1113" s="1148"/>
      <c r="BH1113" s="1148"/>
      <c r="BI1113" s="1148"/>
      <c r="BJ1113" s="1148"/>
      <c r="BK1113" s="1148"/>
      <c r="BL1113" s="1144"/>
      <c r="BM1113" s="1144"/>
      <c r="BN1113" s="1144"/>
      <c r="BO1113" s="1144"/>
      <c r="BP1113" s="1144"/>
      <c r="BQ1113" s="1144"/>
      <c r="BR1113" s="1144"/>
      <c r="BS1113" s="1144"/>
      <c r="BT1113" s="1144"/>
      <c r="BU1113" s="1144"/>
      <c r="BV1113" s="1144"/>
      <c r="BW1113" s="1144"/>
      <c r="BX1113" s="1144"/>
      <c r="BY1113" s="1144"/>
      <c r="BZ1113" s="1144"/>
      <c r="CA1113" s="1144"/>
      <c r="CB1113" s="1144"/>
      <c r="CC1113" s="1144"/>
      <c r="CD1113" s="1144"/>
      <c r="CE1113" s="1144"/>
      <c r="CF1113" s="1144"/>
      <c r="CG1113" s="1144"/>
      <c r="CH1113" s="1144"/>
      <c r="CI1113" s="1144"/>
      <c r="CJ1113" s="1144"/>
      <c r="CK1113" s="1144"/>
      <c r="CL1113" s="1144"/>
      <c r="CM1113" s="1144"/>
      <c r="CN1113" s="1144"/>
    </row>
    <row r="1114" spans="7:92" ht="12" customHeight="1" x14ac:dyDescent="0.35">
      <c r="G1114" s="1300"/>
      <c r="H1114" s="1301"/>
      <c r="I1114" s="1300"/>
      <c r="J1114" s="1300"/>
      <c r="K1114" s="28"/>
      <c r="L1114" s="28"/>
      <c r="M1114" s="28"/>
      <c r="N1114" s="28"/>
      <c r="O1114" s="28"/>
      <c r="P1114" s="28"/>
      <c r="Q1114" s="28"/>
      <c r="R1114" s="31"/>
      <c r="S1114" s="36"/>
      <c r="T1114" s="1818"/>
      <c r="U1114" s="1814"/>
      <c r="V1114" s="1814"/>
      <c r="W1114" s="1817"/>
      <c r="X1114" s="1814"/>
      <c r="Y1114" s="1801"/>
      <c r="Z1114" s="1801"/>
      <c r="AA1114" s="1801"/>
      <c r="AB1114" s="1801"/>
      <c r="AC1114" s="1801"/>
      <c r="AD1114" s="1801"/>
      <c r="AE1114" s="1801"/>
      <c r="AF1114" s="1814"/>
      <c r="AG1114" s="376"/>
      <c r="AH1114" s="376"/>
      <c r="AI1114" s="376"/>
      <c r="AJ1114" s="376"/>
      <c r="AK1114" s="376"/>
      <c r="AL1114" s="1148"/>
      <c r="AM1114" s="1148"/>
      <c r="AN1114" s="1148"/>
      <c r="AO1114" s="1148"/>
      <c r="AP1114" s="1820"/>
      <c r="AQ1114" s="1148"/>
      <c r="AR1114" s="1148"/>
      <c r="AS1114" s="1148"/>
      <c r="AT1114" s="1148"/>
      <c r="AU1114" s="1148"/>
      <c r="AV1114" s="1148"/>
      <c r="AW1114" s="1148"/>
      <c r="AX1114" s="1148"/>
      <c r="AY1114" s="1148"/>
      <c r="AZ1114" s="1148"/>
      <c r="BA1114" s="1148"/>
      <c r="BB1114" s="1148"/>
      <c r="BC1114" s="1148"/>
      <c r="BD1114" s="1148"/>
      <c r="BE1114" s="1148"/>
      <c r="BF1114" s="1148"/>
      <c r="BG1114" s="1148"/>
      <c r="BH1114" s="1148"/>
      <c r="BI1114" s="1148"/>
      <c r="BJ1114" s="1148"/>
      <c r="BK1114" s="1148"/>
      <c r="BL1114" s="1144"/>
      <c r="BM1114" s="1144"/>
      <c r="BN1114" s="1144"/>
      <c r="BO1114" s="1144"/>
      <c r="BP1114" s="1144"/>
      <c r="BQ1114" s="1144"/>
      <c r="BR1114" s="1144"/>
      <c r="BS1114" s="1144"/>
      <c r="BT1114" s="1144"/>
      <c r="BU1114" s="1144"/>
      <c r="BV1114" s="1144"/>
      <c r="BW1114" s="1144"/>
      <c r="BX1114" s="1144"/>
      <c r="BY1114" s="1144"/>
      <c r="BZ1114" s="1144"/>
      <c r="CA1114" s="1144"/>
      <c r="CB1114" s="1144"/>
      <c r="CC1114" s="1144"/>
      <c r="CD1114" s="1144"/>
      <c r="CE1114" s="1144"/>
      <c r="CF1114" s="1144"/>
      <c r="CG1114" s="1144"/>
      <c r="CH1114" s="1144"/>
      <c r="CI1114" s="1144"/>
      <c r="CJ1114" s="1144"/>
      <c r="CK1114" s="1144"/>
      <c r="CL1114" s="1144"/>
      <c r="CM1114" s="1144"/>
      <c r="CN1114" s="1144"/>
    </row>
    <row r="1115" spans="7:92" ht="12" customHeight="1" x14ac:dyDescent="0.35">
      <c r="G1115" s="1300"/>
      <c r="H1115" s="1301"/>
      <c r="I1115" s="1300"/>
      <c r="J1115" s="1300"/>
      <c r="K1115" s="28"/>
      <c r="L1115" s="28"/>
      <c r="M1115" s="28"/>
      <c r="N1115" s="28"/>
      <c r="O1115" s="28"/>
      <c r="P1115" s="28"/>
      <c r="Q1115" s="28"/>
      <c r="R1115" s="31"/>
      <c r="S1115" s="36"/>
      <c r="T1115" s="1818"/>
      <c r="U1115" s="1814"/>
      <c r="V1115" s="1814"/>
      <c r="W1115" s="1817"/>
      <c r="X1115" s="1814"/>
      <c r="Y1115" s="1801"/>
      <c r="Z1115" s="1801"/>
      <c r="AA1115" s="1801"/>
      <c r="AB1115" s="1801"/>
      <c r="AC1115" s="1801"/>
      <c r="AD1115" s="1801"/>
      <c r="AE1115" s="1801"/>
      <c r="AF1115" s="1814"/>
      <c r="AG1115" s="376"/>
      <c r="AH1115" s="376"/>
      <c r="AI1115" s="376"/>
      <c r="AJ1115" s="376"/>
      <c r="AK1115" s="376"/>
      <c r="AL1115" s="1148"/>
      <c r="AM1115" s="1148"/>
      <c r="AN1115" s="1148"/>
      <c r="AO1115" s="1148"/>
      <c r="AP1115" s="1148"/>
      <c r="AQ1115" s="1148"/>
      <c r="AR1115" s="1148"/>
      <c r="AS1115" s="1148"/>
      <c r="AT1115" s="1148"/>
      <c r="AU1115" s="1148"/>
      <c r="AV1115" s="1148"/>
      <c r="AW1115" s="1148"/>
      <c r="AX1115" s="1148"/>
      <c r="AY1115" s="1148"/>
      <c r="AZ1115" s="1148"/>
      <c r="BA1115" s="1148"/>
      <c r="BB1115" s="1148"/>
      <c r="BC1115" s="1148"/>
      <c r="BD1115" s="1148"/>
      <c r="BE1115" s="1148"/>
      <c r="BF1115" s="1148"/>
      <c r="BG1115" s="1148"/>
      <c r="BH1115" s="1148"/>
      <c r="BI1115" s="1148"/>
      <c r="BJ1115" s="1148"/>
      <c r="BK1115" s="1148"/>
      <c r="BL1115" s="1144"/>
      <c r="BM1115" s="1144"/>
      <c r="BN1115" s="1144"/>
      <c r="BO1115" s="1144"/>
      <c r="BP1115" s="1144"/>
      <c r="BQ1115" s="1144"/>
      <c r="BR1115" s="1144"/>
      <c r="BS1115" s="1144"/>
      <c r="BT1115" s="1144"/>
      <c r="BU1115" s="1144"/>
      <c r="BV1115" s="1144"/>
      <c r="BW1115" s="1144"/>
      <c r="BX1115" s="1144"/>
      <c r="BY1115" s="1144"/>
      <c r="BZ1115" s="1144"/>
      <c r="CA1115" s="1144"/>
      <c r="CB1115" s="1144"/>
      <c r="CC1115" s="1144"/>
      <c r="CD1115" s="1144"/>
      <c r="CE1115" s="1144"/>
      <c r="CF1115" s="1144"/>
      <c r="CG1115" s="1144"/>
      <c r="CH1115" s="1144"/>
      <c r="CI1115" s="1144"/>
      <c r="CJ1115" s="1144"/>
      <c r="CK1115" s="1144"/>
      <c r="CL1115" s="1144"/>
      <c r="CM1115" s="1144"/>
      <c r="CN1115" s="1144"/>
    </row>
    <row r="1116" spans="7:92" ht="12" customHeight="1" x14ac:dyDescent="0.35">
      <c r="G1116" s="1300"/>
      <c r="H1116" s="1301"/>
      <c r="I1116" s="1300"/>
      <c r="J1116" s="1300"/>
      <c r="K1116" s="28"/>
      <c r="L1116" s="28"/>
      <c r="M1116" s="28"/>
      <c r="N1116" s="28"/>
      <c r="O1116" s="28"/>
      <c r="P1116" s="28"/>
      <c r="Q1116" s="28"/>
      <c r="R1116" s="31"/>
      <c r="S1116" s="36"/>
      <c r="T1116" s="1818"/>
      <c r="U1116" s="1814"/>
      <c r="V1116" s="1814"/>
      <c r="W1116" s="1817"/>
      <c r="X1116" s="1814"/>
      <c r="Y1116" s="1801"/>
      <c r="Z1116" s="1801"/>
      <c r="AA1116" s="1801"/>
      <c r="AB1116" s="1801"/>
      <c r="AC1116" s="1801"/>
      <c r="AD1116" s="1801"/>
      <c r="AE1116" s="1801"/>
      <c r="AF1116" s="1814"/>
      <c r="AG1116" s="376"/>
      <c r="AH1116" s="376"/>
      <c r="AI1116" s="376"/>
      <c r="AJ1116" s="376"/>
      <c r="AK1116" s="376"/>
      <c r="AL1116" s="1148"/>
      <c r="AM1116" s="1148"/>
      <c r="AN1116" s="1148"/>
      <c r="AO1116" s="1148"/>
      <c r="AP1116" s="1148"/>
      <c r="AQ1116" s="1148"/>
      <c r="AR1116" s="1148"/>
      <c r="AS1116" s="1148"/>
      <c r="AT1116" s="1148"/>
      <c r="AU1116" s="1148"/>
      <c r="AV1116" s="1148"/>
      <c r="AW1116" s="1148"/>
      <c r="AX1116" s="1148"/>
      <c r="AY1116" s="1148"/>
      <c r="AZ1116" s="1148"/>
      <c r="BA1116" s="1148"/>
      <c r="BB1116" s="1148"/>
      <c r="BC1116" s="1148"/>
      <c r="BD1116" s="1148"/>
      <c r="BE1116" s="1148"/>
      <c r="BF1116" s="1148"/>
      <c r="BG1116" s="1148"/>
      <c r="BH1116" s="1148"/>
      <c r="BI1116" s="1148"/>
      <c r="BJ1116" s="1148"/>
      <c r="BK1116" s="1148"/>
      <c r="BL1116" s="1144"/>
      <c r="BM1116" s="1144"/>
      <c r="BN1116" s="1144"/>
      <c r="BO1116" s="1144"/>
      <c r="BP1116" s="1144"/>
      <c r="BQ1116" s="1144"/>
      <c r="BR1116" s="1144"/>
      <c r="BS1116" s="1144"/>
      <c r="BT1116" s="1144"/>
      <c r="BU1116" s="1144"/>
      <c r="BV1116" s="1144"/>
      <c r="BW1116" s="1144"/>
      <c r="BX1116" s="1144"/>
      <c r="BY1116" s="1144"/>
      <c r="BZ1116" s="1144"/>
      <c r="CA1116" s="1144"/>
      <c r="CB1116" s="1144"/>
      <c r="CC1116" s="1144"/>
      <c r="CD1116" s="1144"/>
      <c r="CE1116" s="1144"/>
      <c r="CF1116" s="1144"/>
      <c r="CG1116" s="1144"/>
      <c r="CH1116" s="1144"/>
      <c r="CI1116" s="1144"/>
      <c r="CJ1116" s="1144"/>
      <c r="CK1116" s="1144"/>
      <c r="CL1116" s="1144"/>
      <c r="CM1116" s="1144"/>
      <c r="CN1116" s="1144"/>
    </row>
    <row r="1117" spans="7:92" ht="12" customHeight="1" x14ac:dyDescent="0.35">
      <c r="G1117" s="1300"/>
      <c r="H1117" s="1301"/>
      <c r="I1117" s="1300"/>
      <c r="J1117" s="1300"/>
      <c r="K1117" s="28"/>
      <c r="L1117" s="28"/>
      <c r="M1117" s="28"/>
      <c r="N1117" s="28"/>
      <c r="O1117" s="28"/>
      <c r="P1117" s="28"/>
      <c r="Q1117" s="28"/>
      <c r="R1117" s="31"/>
      <c r="S1117" s="36"/>
      <c r="T1117" s="1818"/>
      <c r="U1117" s="1814"/>
      <c r="V1117" s="1814"/>
      <c r="W1117" s="1817"/>
      <c r="X1117" s="1814"/>
      <c r="Y1117" s="1801"/>
      <c r="Z1117" s="1801"/>
      <c r="AA1117" s="1801"/>
      <c r="AB1117" s="1801"/>
      <c r="AC1117" s="1801"/>
      <c r="AD1117" s="1801"/>
      <c r="AE1117" s="1801"/>
      <c r="AF1117" s="1814"/>
      <c r="AG1117" s="376"/>
      <c r="AH1117" s="376"/>
      <c r="AI1117" s="376"/>
      <c r="AJ1117" s="376"/>
      <c r="AK1117" s="376"/>
      <c r="AL1117" s="1148"/>
      <c r="AM1117" s="1148"/>
      <c r="AN1117" s="1148"/>
      <c r="AO1117" s="1148"/>
      <c r="AP1117" s="1148"/>
      <c r="AQ1117" s="1148"/>
      <c r="AR1117" s="1148"/>
      <c r="AS1117" s="1148"/>
      <c r="AT1117" s="1148"/>
      <c r="AU1117" s="1148"/>
      <c r="AV1117" s="1148"/>
      <c r="AW1117" s="1148"/>
      <c r="AX1117" s="1148"/>
      <c r="AY1117" s="1148"/>
      <c r="AZ1117" s="1148"/>
      <c r="BA1117" s="1148"/>
      <c r="BB1117" s="1148"/>
      <c r="BC1117" s="1148"/>
      <c r="BD1117" s="1148"/>
      <c r="BE1117" s="1148"/>
      <c r="BF1117" s="1148"/>
      <c r="BG1117" s="1148"/>
      <c r="BH1117" s="1148"/>
      <c r="BI1117" s="1148"/>
      <c r="BJ1117" s="1148"/>
      <c r="BK1117" s="1148"/>
      <c r="BL1117" s="1144"/>
      <c r="BM1117" s="1144"/>
      <c r="BN1117" s="1144"/>
      <c r="BO1117" s="1144"/>
      <c r="BP1117" s="1144"/>
      <c r="BQ1117" s="1144"/>
      <c r="BR1117" s="1144"/>
      <c r="BS1117" s="1144"/>
      <c r="BT1117" s="1144"/>
      <c r="BU1117" s="1144"/>
      <c r="BV1117" s="1144"/>
      <c r="BW1117" s="1144"/>
      <c r="BX1117" s="1144"/>
      <c r="BY1117" s="1144"/>
      <c r="BZ1117" s="1144"/>
      <c r="CA1117" s="1144"/>
      <c r="CB1117" s="1144"/>
      <c r="CC1117" s="1144"/>
      <c r="CD1117" s="1144"/>
      <c r="CE1117" s="1144"/>
      <c r="CF1117" s="1144"/>
      <c r="CG1117" s="1144"/>
      <c r="CH1117" s="1144"/>
      <c r="CI1117" s="1144"/>
      <c r="CJ1117" s="1144"/>
      <c r="CK1117" s="1144"/>
      <c r="CL1117" s="1144"/>
      <c r="CM1117" s="1144"/>
      <c r="CN1117" s="1144"/>
    </row>
    <row r="1118" spans="7:92" ht="12" customHeight="1" x14ac:dyDescent="0.35">
      <c r="G1118" s="1300"/>
      <c r="H1118" s="1301"/>
      <c r="I1118" s="1300"/>
      <c r="J1118" s="1300"/>
      <c r="K1118" s="28"/>
      <c r="L1118" s="28"/>
      <c r="M1118" s="28"/>
      <c r="N1118" s="28"/>
      <c r="O1118" s="28"/>
      <c r="P1118" s="28"/>
      <c r="Q1118" s="28"/>
      <c r="R1118" s="31"/>
      <c r="S1118" s="36"/>
      <c r="T1118" s="1818"/>
      <c r="U1118" s="1814"/>
      <c r="V1118" s="1814"/>
      <c r="W1118" s="1817"/>
      <c r="X1118" s="1814"/>
      <c r="Y1118" s="1801"/>
      <c r="Z1118" s="1801"/>
      <c r="AA1118" s="1801"/>
      <c r="AB1118" s="1801"/>
      <c r="AC1118" s="1801"/>
      <c r="AD1118" s="1801"/>
      <c r="AE1118" s="1801"/>
      <c r="AF1118" s="1814"/>
      <c r="AG1118" s="376"/>
      <c r="AH1118" s="376"/>
      <c r="AI1118" s="376"/>
      <c r="AJ1118" s="376"/>
      <c r="AK1118" s="376"/>
      <c r="AL1118" s="1148"/>
      <c r="AM1118" s="1148"/>
      <c r="AN1118" s="1148"/>
      <c r="AO1118" s="1148"/>
      <c r="AP1118" s="1148"/>
      <c r="AQ1118" s="1148"/>
      <c r="AR1118" s="1148"/>
      <c r="AS1118" s="1148"/>
      <c r="AT1118" s="1148"/>
      <c r="AU1118" s="1148"/>
      <c r="AV1118" s="1148"/>
      <c r="AW1118" s="1148"/>
      <c r="AX1118" s="1148"/>
      <c r="AY1118" s="1148"/>
      <c r="AZ1118" s="1148"/>
      <c r="BA1118" s="1148"/>
      <c r="BB1118" s="1148"/>
      <c r="BC1118" s="1148"/>
      <c r="BD1118" s="1148"/>
      <c r="BE1118" s="1148"/>
      <c r="BF1118" s="1148"/>
      <c r="BG1118" s="1148"/>
      <c r="BH1118" s="1148"/>
      <c r="BI1118" s="1148"/>
      <c r="BJ1118" s="1148"/>
      <c r="BK1118" s="1148"/>
      <c r="BL1118" s="1144"/>
      <c r="BM1118" s="1144"/>
      <c r="BN1118" s="1144"/>
      <c r="BO1118" s="1144"/>
      <c r="BP1118" s="1144"/>
      <c r="BQ1118" s="1144"/>
      <c r="BR1118" s="1144"/>
      <c r="BS1118" s="1144"/>
      <c r="BT1118" s="1144"/>
      <c r="BU1118" s="1144"/>
      <c r="BV1118" s="1144"/>
      <c r="BW1118" s="1144"/>
      <c r="BX1118" s="1144"/>
      <c r="BY1118" s="1144"/>
      <c r="BZ1118" s="1144"/>
      <c r="CA1118" s="1144"/>
      <c r="CB1118" s="1144"/>
      <c r="CC1118" s="1144"/>
      <c r="CD1118" s="1144"/>
      <c r="CE1118" s="1144"/>
      <c r="CF1118" s="1144"/>
      <c r="CG1118" s="1144"/>
      <c r="CH1118" s="1144"/>
      <c r="CI1118" s="1144"/>
      <c r="CJ1118" s="1144"/>
      <c r="CK1118" s="1144"/>
      <c r="CL1118" s="1144"/>
      <c r="CM1118" s="1144"/>
      <c r="CN1118" s="1144"/>
    </row>
    <row r="1119" spans="7:92" ht="12" customHeight="1" x14ac:dyDescent="0.35">
      <c r="G1119" s="1300"/>
      <c r="H1119" s="1301"/>
      <c r="I1119" s="1300"/>
      <c r="J1119" s="1300"/>
      <c r="K1119" s="28"/>
      <c r="L1119" s="28"/>
      <c r="M1119" s="28"/>
      <c r="N1119" s="28"/>
      <c r="O1119" s="28"/>
      <c r="P1119" s="28"/>
      <c r="Q1119" s="28"/>
      <c r="R1119" s="31"/>
      <c r="S1119" s="36"/>
      <c r="T1119" s="1818"/>
      <c r="U1119" s="1814"/>
      <c r="V1119" s="1814"/>
      <c r="W1119" s="1817"/>
      <c r="X1119" s="1814"/>
      <c r="Y1119" s="1801"/>
      <c r="Z1119" s="1801"/>
      <c r="AA1119" s="1801"/>
      <c r="AB1119" s="1801"/>
      <c r="AC1119" s="1801"/>
      <c r="AD1119" s="1801"/>
      <c r="AE1119" s="1801"/>
      <c r="AF1119" s="1814"/>
      <c r="AG1119" s="376"/>
      <c r="AH1119" s="376"/>
      <c r="AI1119" s="376"/>
      <c r="AJ1119" s="376"/>
      <c r="AK1119" s="376"/>
      <c r="AL1119" s="1148"/>
      <c r="AM1119" s="1148"/>
      <c r="AN1119" s="1148"/>
      <c r="AO1119" s="1148"/>
      <c r="AP1119" s="1148"/>
      <c r="AQ1119" s="1148"/>
      <c r="AR1119" s="1148"/>
      <c r="AS1119" s="1148"/>
      <c r="AT1119" s="1148"/>
      <c r="AU1119" s="1148"/>
      <c r="AV1119" s="1148"/>
      <c r="AW1119" s="1148"/>
      <c r="AX1119" s="1148"/>
      <c r="AY1119" s="1148"/>
      <c r="AZ1119" s="1148"/>
      <c r="BA1119" s="1148"/>
      <c r="BB1119" s="1148"/>
      <c r="BC1119" s="1148"/>
      <c r="BD1119" s="1148"/>
      <c r="BE1119" s="1148"/>
      <c r="BF1119" s="1148"/>
      <c r="BG1119" s="1148"/>
      <c r="BH1119" s="1148"/>
      <c r="BI1119" s="1148"/>
      <c r="BJ1119" s="1148"/>
      <c r="BK1119" s="1148"/>
      <c r="BL1119" s="1144"/>
      <c r="BM1119" s="1144"/>
      <c r="BN1119" s="1144"/>
      <c r="BO1119" s="1144"/>
      <c r="BP1119" s="1144"/>
      <c r="BQ1119" s="1144"/>
      <c r="BR1119" s="1144"/>
      <c r="BS1119" s="1144"/>
      <c r="BT1119" s="1144"/>
      <c r="BU1119" s="1144"/>
      <c r="BV1119" s="1144"/>
      <c r="BW1119" s="1144"/>
      <c r="BX1119" s="1144"/>
      <c r="BY1119" s="1144"/>
      <c r="BZ1119" s="1144"/>
      <c r="CA1119" s="1144"/>
      <c r="CB1119" s="1144"/>
      <c r="CC1119" s="1144"/>
      <c r="CD1119" s="1144"/>
      <c r="CE1119" s="1144"/>
      <c r="CF1119" s="1144"/>
      <c r="CG1119" s="1144"/>
      <c r="CH1119" s="1144"/>
      <c r="CI1119" s="1144"/>
      <c r="CJ1119" s="1144"/>
      <c r="CK1119" s="1144"/>
      <c r="CL1119" s="1144"/>
      <c r="CM1119" s="1144"/>
      <c r="CN1119" s="1144"/>
    </row>
    <row r="1120" spans="7:92" ht="12" customHeight="1" x14ac:dyDescent="0.35">
      <c r="G1120" s="1300"/>
      <c r="H1120" s="1301"/>
      <c r="I1120" s="1300"/>
      <c r="J1120" s="1300"/>
      <c r="K1120" s="28"/>
      <c r="L1120" s="28"/>
      <c r="M1120" s="28"/>
      <c r="N1120" s="28"/>
      <c r="O1120" s="28"/>
      <c r="P1120" s="28"/>
      <c r="Q1120" s="28"/>
      <c r="R1120" s="31"/>
      <c r="S1120" s="36"/>
      <c r="T1120" s="1818"/>
      <c r="U1120" s="1814"/>
      <c r="V1120" s="1814"/>
      <c r="W1120" s="1817"/>
      <c r="X1120" s="1814"/>
      <c r="Y1120" s="1801"/>
      <c r="Z1120" s="1801"/>
      <c r="AA1120" s="1801"/>
      <c r="AB1120" s="1801"/>
      <c r="AC1120" s="1801"/>
      <c r="AD1120" s="1801"/>
      <c r="AE1120" s="1801"/>
      <c r="AF1120" s="1814"/>
      <c r="AG1120" s="376"/>
      <c r="AH1120" s="376"/>
      <c r="AI1120" s="376"/>
      <c r="AJ1120" s="376"/>
      <c r="AK1120" s="376"/>
      <c r="AL1120" s="1148"/>
      <c r="AM1120" s="1148"/>
      <c r="AN1120" s="1148"/>
      <c r="AO1120" s="1148"/>
      <c r="AP1120" s="1148"/>
      <c r="AQ1120" s="1148"/>
      <c r="AR1120" s="1148"/>
      <c r="AS1120" s="1148"/>
      <c r="AT1120" s="1148"/>
      <c r="AU1120" s="1148"/>
      <c r="AV1120" s="1148"/>
      <c r="AW1120" s="1148"/>
      <c r="AX1120" s="1148"/>
      <c r="AY1120" s="1148"/>
      <c r="AZ1120" s="1148"/>
      <c r="BA1120" s="1148"/>
      <c r="BB1120" s="1148"/>
      <c r="BC1120" s="1148"/>
      <c r="BD1120" s="1148"/>
      <c r="BE1120" s="1148"/>
      <c r="BF1120" s="1148"/>
      <c r="BG1120" s="1148"/>
      <c r="BH1120" s="1148"/>
      <c r="BI1120" s="1148"/>
      <c r="BJ1120" s="1148"/>
      <c r="BK1120" s="1148"/>
      <c r="BL1120" s="1144"/>
      <c r="BM1120" s="1144"/>
      <c r="BN1120" s="1144"/>
      <c r="BO1120" s="1144"/>
      <c r="BP1120" s="1144"/>
      <c r="BQ1120" s="1144"/>
      <c r="BR1120" s="1144"/>
      <c r="BS1120" s="1144"/>
      <c r="BT1120" s="1144"/>
      <c r="BU1120" s="1144"/>
      <c r="BV1120" s="1144"/>
      <c r="BW1120" s="1144"/>
      <c r="BX1120" s="1144"/>
      <c r="BY1120" s="1144"/>
      <c r="BZ1120" s="1144"/>
      <c r="CA1120" s="1144"/>
      <c r="CB1120" s="1144"/>
      <c r="CC1120" s="1144"/>
      <c r="CD1120" s="1144"/>
      <c r="CE1120" s="1144"/>
      <c r="CF1120" s="1144"/>
      <c r="CG1120" s="1144"/>
      <c r="CH1120" s="1144"/>
      <c r="CI1120" s="1144"/>
      <c r="CJ1120" s="1144"/>
      <c r="CK1120" s="1144"/>
      <c r="CL1120" s="1144"/>
      <c r="CM1120" s="1144"/>
      <c r="CN1120" s="1144"/>
    </row>
    <row r="1121" spans="11:92" ht="12" customHeight="1" x14ac:dyDescent="0.35">
      <c r="K1121" s="28"/>
      <c r="L1121" s="28"/>
      <c r="M1121" s="28"/>
      <c r="N1121" s="28"/>
      <c r="O1121" s="28"/>
      <c r="P1121" s="28"/>
      <c r="Q1121" s="28"/>
      <c r="R1121" s="31"/>
      <c r="S1121" s="36"/>
      <c r="T1121" s="1818"/>
      <c r="U1121" s="1814"/>
      <c r="V1121" s="1814"/>
      <c r="W1121" s="1817"/>
      <c r="X1121" s="1814"/>
      <c r="Y1121" s="1801"/>
      <c r="Z1121" s="1801"/>
      <c r="AA1121" s="1801"/>
      <c r="AB1121" s="1801"/>
      <c r="AC1121" s="1801"/>
      <c r="AD1121" s="1801"/>
      <c r="AE1121" s="1801"/>
      <c r="AF1121" s="1814"/>
      <c r="AG1121" s="376"/>
      <c r="AH1121" s="376"/>
      <c r="AI1121" s="376"/>
      <c r="AJ1121" s="376"/>
      <c r="AK1121" s="376"/>
      <c r="AL1121" s="1148"/>
      <c r="AM1121" s="1148"/>
      <c r="AN1121" s="1148"/>
      <c r="AO1121" s="1148"/>
      <c r="AP1121" s="1148"/>
      <c r="AQ1121" s="1148"/>
      <c r="AR1121" s="1148"/>
      <c r="AS1121" s="1148"/>
      <c r="AT1121" s="1148"/>
      <c r="AU1121" s="1148"/>
      <c r="AV1121" s="1148"/>
      <c r="AW1121" s="1148"/>
      <c r="AX1121" s="1148"/>
      <c r="AY1121" s="1148"/>
      <c r="AZ1121" s="1148"/>
      <c r="BA1121" s="1148"/>
      <c r="BB1121" s="1148"/>
      <c r="BC1121" s="1148"/>
      <c r="BD1121" s="1148"/>
      <c r="BE1121" s="1148"/>
      <c r="BF1121" s="1148"/>
      <c r="BG1121" s="1148"/>
      <c r="BH1121" s="1148"/>
      <c r="BI1121" s="1148"/>
      <c r="BJ1121" s="1148"/>
      <c r="BK1121" s="1148"/>
      <c r="BL1121" s="1144"/>
      <c r="BM1121" s="1144"/>
      <c r="BN1121" s="1144"/>
      <c r="BO1121" s="1144"/>
      <c r="BP1121" s="1144"/>
      <c r="BQ1121" s="1144"/>
      <c r="BR1121" s="1144"/>
      <c r="BS1121" s="1144"/>
      <c r="BT1121" s="1144"/>
      <c r="BU1121" s="1144"/>
      <c r="BV1121" s="1144"/>
      <c r="BW1121" s="1144"/>
      <c r="BX1121" s="1144"/>
      <c r="BY1121" s="1144"/>
      <c r="BZ1121" s="1144"/>
      <c r="CA1121" s="1144"/>
      <c r="CB1121" s="1144"/>
      <c r="CC1121" s="1144"/>
      <c r="CD1121" s="1144"/>
      <c r="CE1121" s="1144"/>
      <c r="CF1121" s="1144"/>
      <c r="CG1121" s="1144"/>
      <c r="CH1121" s="1144"/>
      <c r="CI1121" s="1144"/>
      <c r="CJ1121" s="1144"/>
      <c r="CK1121" s="1144"/>
      <c r="CL1121" s="1144"/>
      <c r="CM1121" s="1144"/>
      <c r="CN1121" s="1144"/>
    </row>
    <row r="1122" spans="11:92" ht="12" customHeight="1" x14ac:dyDescent="0.35">
      <c r="K1122" s="28"/>
      <c r="L1122" s="28"/>
      <c r="M1122" s="28"/>
      <c r="N1122" s="28"/>
      <c r="O1122" s="28"/>
      <c r="P1122" s="28"/>
      <c r="Q1122" s="28"/>
      <c r="R1122" s="31"/>
      <c r="S1122" s="36"/>
      <c r="T1122" s="1818"/>
      <c r="U1122" s="1814"/>
      <c r="V1122" s="1814"/>
      <c r="W1122" s="1817"/>
      <c r="X1122" s="1814"/>
      <c r="Y1122" s="1801"/>
      <c r="Z1122" s="1801"/>
      <c r="AA1122" s="1801"/>
      <c r="AB1122" s="1801"/>
      <c r="AC1122" s="1801"/>
      <c r="AD1122" s="1801"/>
      <c r="AE1122" s="1801"/>
      <c r="AF1122" s="1814"/>
      <c r="AG1122" s="376"/>
      <c r="AH1122" s="376"/>
      <c r="AI1122" s="376"/>
      <c r="AJ1122" s="376"/>
      <c r="AK1122" s="376"/>
      <c r="AL1122" s="1148"/>
      <c r="AM1122" s="1148"/>
      <c r="AN1122" s="1148"/>
      <c r="AO1122" s="1148"/>
      <c r="AP1122" s="1148"/>
      <c r="AQ1122" s="1148"/>
      <c r="AR1122" s="1148"/>
      <c r="AS1122" s="1148"/>
      <c r="AT1122" s="1148"/>
      <c r="AU1122" s="1148"/>
      <c r="AV1122" s="1148"/>
      <c r="AW1122" s="1148"/>
      <c r="AX1122" s="1148"/>
      <c r="AY1122" s="1148"/>
      <c r="AZ1122" s="1148"/>
      <c r="BA1122" s="1148"/>
      <c r="BB1122" s="1148"/>
      <c r="BC1122" s="1148"/>
      <c r="BD1122" s="1148"/>
      <c r="BE1122" s="1148"/>
      <c r="BF1122" s="1148"/>
      <c r="BG1122" s="1148"/>
      <c r="BH1122" s="1148"/>
      <c r="BI1122" s="1148"/>
      <c r="BJ1122" s="1148"/>
      <c r="BK1122" s="1148"/>
      <c r="BL1122" s="1144"/>
      <c r="BM1122" s="1144"/>
      <c r="BN1122" s="1144"/>
      <c r="BO1122" s="1144"/>
      <c r="BP1122" s="1144"/>
      <c r="BQ1122" s="1144"/>
      <c r="BR1122" s="1144"/>
      <c r="BS1122" s="1144"/>
      <c r="BT1122" s="1144"/>
      <c r="BU1122" s="1144"/>
      <c r="BV1122" s="1144"/>
      <c r="BW1122" s="1144"/>
      <c r="BX1122" s="1144"/>
      <c r="BY1122" s="1144"/>
      <c r="BZ1122" s="1144"/>
      <c r="CA1122" s="1144"/>
      <c r="CB1122" s="1144"/>
      <c r="CC1122" s="1144"/>
      <c r="CD1122" s="1144"/>
      <c r="CE1122" s="1144"/>
      <c r="CF1122" s="1144"/>
      <c r="CG1122" s="1144"/>
      <c r="CH1122" s="1144"/>
      <c r="CI1122" s="1144"/>
      <c r="CJ1122" s="1144"/>
      <c r="CK1122" s="1144"/>
      <c r="CL1122" s="1144"/>
      <c r="CM1122" s="1144"/>
      <c r="CN1122" s="1144"/>
    </row>
    <row r="1123" spans="11:92" ht="12" customHeight="1" x14ac:dyDescent="0.35">
      <c r="K1123" s="28"/>
      <c r="L1123" s="28"/>
      <c r="M1123" s="28"/>
      <c r="N1123" s="28"/>
      <c r="O1123" s="28"/>
      <c r="P1123" s="28"/>
      <c r="Q1123" s="28"/>
      <c r="R1123" s="31">
        <f>IF(Input!D$298=L1280,Input!D$297,0)</f>
        <v>0</v>
      </c>
      <c r="S1123" s="36">
        <f t="shared" ref="S1123:S1136" si="794">Q1280</f>
        <v>0</v>
      </c>
      <c r="T1123" s="1818"/>
      <c r="U1123" s="1814"/>
      <c r="V1123" s="1814"/>
      <c r="W1123" s="1817"/>
      <c r="X1123" s="1814"/>
      <c r="Y1123" s="1801"/>
      <c r="Z1123" s="1801"/>
      <c r="AA1123" s="1801"/>
      <c r="AB1123" s="1801"/>
      <c r="AC1123" s="1801"/>
      <c r="AD1123" s="1801"/>
      <c r="AE1123" s="1801"/>
      <c r="AF1123" s="1814"/>
      <c r="AG1123" s="376"/>
      <c r="AH1123" s="376"/>
      <c r="AI1123" s="376"/>
      <c r="AJ1123" s="376"/>
      <c r="AK1123" s="376"/>
      <c r="AL1123" s="1148"/>
      <c r="AM1123" s="1148"/>
      <c r="AN1123" s="1148"/>
      <c r="AO1123" s="1148"/>
      <c r="AP1123" s="1148"/>
      <c r="AQ1123" s="1144"/>
      <c r="AR1123" s="1144"/>
      <c r="AS1123" s="1144"/>
      <c r="AT1123" s="1144"/>
      <c r="AU1123" s="1144"/>
      <c r="AV1123" s="1144"/>
      <c r="AW1123" s="1144"/>
      <c r="AX1123" s="1144"/>
      <c r="AY1123" s="1144"/>
      <c r="AZ1123" s="1144"/>
      <c r="BA1123" s="1144"/>
      <c r="BB1123" s="1144"/>
      <c r="BC1123" s="1144"/>
      <c r="BD1123" s="1144"/>
      <c r="BE1123" s="1144"/>
      <c r="BF1123" s="1144"/>
      <c r="BG1123" s="1144"/>
      <c r="BH1123" s="1144"/>
      <c r="BI1123" s="1144"/>
      <c r="BJ1123" s="1144"/>
      <c r="BK1123" s="1144"/>
      <c r="BL1123" s="1144"/>
      <c r="BM1123" s="1144"/>
      <c r="BN1123" s="1144"/>
      <c r="BO1123" s="1144"/>
      <c r="BP1123" s="1144"/>
      <c r="BQ1123" s="1144"/>
      <c r="BR1123" s="1144"/>
      <c r="BS1123" s="1144"/>
      <c r="BT1123" s="1144"/>
      <c r="BU1123" s="1144"/>
      <c r="BV1123" s="1144"/>
      <c r="BW1123" s="1144"/>
      <c r="BX1123" s="1144"/>
      <c r="BY1123" s="1144"/>
      <c r="BZ1123" s="1144"/>
      <c r="CA1123" s="1144"/>
      <c r="CB1123" s="1144"/>
      <c r="CC1123" s="1144"/>
      <c r="CD1123" s="1144"/>
      <c r="CE1123" s="1144"/>
      <c r="CF1123" s="1144"/>
      <c r="CG1123" s="1144"/>
      <c r="CH1123" s="1144"/>
      <c r="CI1123" s="1144"/>
      <c r="CJ1123" s="1144"/>
      <c r="CK1123" s="1144"/>
      <c r="CL1123" s="1144"/>
      <c r="CM1123" s="1144"/>
      <c r="CN1123" s="1144"/>
    </row>
    <row r="1124" spans="11:92" ht="12" customHeight="1" x14ac:dyDescent="0.35">
      <c r="K1124" s="29"/>
      <c r="L1124" s="29"/>
      <c r="M1124" s="29"/>
      <c r="N1124" s="29"/>
      <c r="O1124" s="29"/>
      <c r="P1124" s="29"/>
      <c r="Q1124" s="29"/>
      <c r="R1124" s="31">
        <f>IF(Input!D$298=L1281,Input!D$297,0)</f>
        <v>0</v>
      </c>
      <c r="S1124" s="36">
        <f t="shared" si="794"/>
        <v>0</v>
      </c>
      <c r="T1124" s="1818" t="s">
        <v>565</v>
      </c>
      <c r="U1124" s="1821">
        <f>SUMIF(L1138:L1333,"&lt;0",O1138:O1333)</f>
        <v>0</v>
      </c>
      <c r="V1124" s="1814"/>
      <c r="W1124" s="1817"/>
      <c r="X1124" s="1814"/>
      <c r="Y1124" s="1801"/>
      <c r="Z1124" s="1801"/>
      <c r="AA1124" s="1801"/>
      <c r="AB1124" s="1801"/>
      <c r="AC1124" s="1801"/>
      <c r="AD1124" s="1801"/>
      <c r="AE1124" s="1801"/>
      <c r="AF1124" s="1814"/>
      <c r="AG1124" s="376"/>
      <c r="AH1124" s="376"/>
      <c r="AI1124" s="376"/>
      <c r="AJ1124" s="376"/>
      <c r="AK1124" s="376"/>
      <c r="AL1124" s="1148"/>
      <c r="AM1124" s="1148"/>
      <c r="AN1124" s="1148"/>
      <c r="AO1124" s="1148"/>
      <c r="AP1124" s="1148"/>
      <c r="AQ1124" s="1144"/>
      <c r="AR1124" s="1144"/>
      <c r="AS1124" s="1144"/>
      <c r="AT1124" s="1144"/>
      <c r="AU1124" s="1144"/>
      <c r="AV1124" s="1144"/>
      <c r="AW1124" s="1144"/>
      <c r="AX1124" s="1144"/>
      <c r="AY1124" s="1144"/>
      <c r="AZ1124" s="1144"/>
      <c r="BA1124" s="1144"/>
      <c r="BB1124" s="1144"/>
      <c r="BC1124" s="1144"/>
      <c r="BD1124" s="1144"/>
      <c r="BE1124" s="1144"/>
      <c r="BF1124" s="1144"/>
      <c r="BG1124" s="1144"/>
      <c r="BH1124" s="1144"/>
      <c r="BI1124" s="1144"/>
      <c r="BJ1124" s="1144"/>
      <c r="BK1124" s="1144"/>
      <c r="BL1124" s="1144"/>
      <c r="BM1124" s="1144"/>
      <c r="BN1124" s="1144"/>
      <c r="BO1124" s="1144"/>
      <c r="BP1124" s="1144"/>
      <c r="BQ1124" s="1144"/>
      <c r="BR1124" s="1144"/>
      <c r="BS1124" s="1144"/>
      <c r="BT1124" s="1144"/>
      <c r="BU1124" s="1144"/>
      <c r="BV1124" s="1144"/>
      <c r="BW1124" s="1144"/>
      <c r="BX1124" s="1144"/>
      <c r="BY1124" s="1144"/>
      <c r="BZ1124" s="1144"/>
      <c r="CA1124" s="1144"/>
      <c r="CB1124" s="1144"/>
      <c r="CC1124" s="1144"/>
      <c r="CD1124" s="1144"/>
      <c r="CE1124" s="1144"/>
      <c r="CF1124" s="1144"/>
      <c r="CG1124" s="1144"/>
      <c r="CH1124" s="1144"/>
      <c r="CI1124" s="1144"/>
      <c r="CJ1124" s="1144"/>
      <c r="CK1124" s="1144"/>
      <c r="CL1124" s="1144"/>
      <c r="CM1124" s="1144"/>
      <c r="CN1124" s="1144"/>
    </row>
    <row r="1125" spans="11:92" ht="12" customHeight="1" x14ac:dyDescent="0.35">
      <c r="K1125" s="28"/>
      <c r="L1125" s="28"/>
      <c r="M1125" s="28"/>
      <c r="N1125" s="28"/>
      <c r="O1125" s="28"/>
      <c r="P1125" s="28"/>
      <c r="Q1125" s="28"/>
      <c r="R1125" s="31">
        <f>IF(Input!D$298=L1282,Input!D$297,0)</f>
        <v>0</v>
      </c>
      <c r="S1125" s="36">
        <f t="shared" si="794"/>
        <v>0</v>
      </c>
      <c r="T1125" s="1818" t="s">
        <v>494</v>
      </c>
      <c r="U1125" s="1821">
        <f>Q1197</f>
        <v>0</v>
      </c>
      <c r="V1125" s="1814"/>
      <c r="W1125" s="1817"/>
      <c r="X1125" s="1814"/>
      <c r="Y1125" s="1801"/>
      <c r="Z1125" s="1801"/>
      <c r="AA1125" s="1801"/>
      <c r="AB1125" s="1801"/>
      <c r="AC1125" s="1801"/>
      <c r="AD1125" s="1801"/>
      <c r="AE1125" s="1801"/>
      <c r="AF1125" s="1814"/>
      <c r="AG1125" s="376"/>
      <c r="AH1125" s="376"/>
      <c r="AI1125" s="376"/>
      <c r="AJ1125" s="376"/>
      <c r="AK1125" s="376"/>
      <c r="AL1125" s="1148"/>
      <c r="AM1125" s="1148"/>
      <c r="AN1125" s="1148"/>
      <c r="AO1125" s="1148"/>
      <c r="AP1125" s="1148"/>
      <c r="AQ1125" s="1144"/>
      <c r="AR1125" s="1144"/>
      <c r="AS1125" s="1144"/>
      <c r="AT1125" s="1144"/>
      <c r="AU1125" s="1144"/>
      <c r="AV1125" s="1144"/>
      <c r="AW1125" s="1144"/>
      <c r="AX1125" s="1144"/>
      <c r="AY1125" s="1144"/>
      <c r="AZ1125" s="1144"/>
      <c r="BA1125" s="1144"/>
      <c r="BB1125" s="1144"/>
      <c r="BC1125" s="1144"/>
      <c r="BD1125" s="1144"/>
      <c r="BE1125" s="1144"/>
      <c r="BF1125" s="1144"/>
      <c r="BG1125" s="1144"/>
      <c r="BH1125" s="1144"/>
      <c r="BI1125" s="1144"/>
      <c r="BJ1125" s="1144"/>
      <c r="BK1125" s="1144"/>
      <c r="BL1125" s="1144"/>
      <c r="BM1125" s="1144"/>
      <c r="BN1125" s="1144"/>
      <c r="BO1125" s="1144"/>
      <c r="BP1125" s="1144"/>
      <c r="BQ1125" s="1144"/>
      <c r="BR1125" s="1144"/>
      <c r="BS1125" s="1144"/>
      <c r="BT1125" s="1144"/>
      <c r="BU1125" s="1144"/>
      <c r="BV1125" s="1144"/>
      <c r="BW1125" s="1144"/>
      <c r="BX1125" s="1144"/>
      <c r="BY1125" s="1144"/>
      <c r="BZ1125" s="1144"/>
      <c r="CA1125" s="1144"/>
      <c r="CB1125" s="1144"/>
      <c r="CC1125" s="1144"/>
      <c r="CD1125" s="1144"/>
      <c r="CE1125" s="1144"/>
      <c r="CF1125" s="1144"/>
      <c r="CG1125" s="1144"/>
      <c r="CH1125" s="1144"/>
      <c r="CI1125" s="1144"/>
      <c r="CJ1125" s="1144"/>
      <c r="CK1125" s="1144"/>
      <c r="CL1125" s="1144"/>
      <c r="CM1125" s="1144"/>
      <c r="CN1125" s="1144"/>
    </row>
    <row r="1126" spans="11:92" ht="12" customHeight="1" x14ac:dyDescent="0.35">
      <c r="K1126" s="28"/>
      <c r="L1126" s="28"/>
      <c r="M1126" s="28"/>
      <c r="N1126" s="28"/>
      <c r="O1126" s="28"/>
      <c r="P1126" s="28"/>
      <c r="Q1126" s="28"/>
      <c r="R1126" s="31">
        <f>IF(Input!D$298=L1283,Input!D$297,0)</f>
        <v>0</v>
      </c>
      <c r="S1126" s="36">
        <f t="shared" si="794"/>
        <v>0</v>
      </c>
      <c r="T1126" s="1818" t="s">
        <v>566</v>
      </c>
      <c r="U1126" s="1814" t="str">
        <f>IF(N1133&gt;11,"Long-Term","Short-Term")</f>
        <v>Short-Term</v>
      </c>
      <c r="V1126" s="1814"/>
      <c r="W1126" s="1817"/>
      <c r="X1126" s="1814"/>
      <c r="Y1126" s="1801"/>
      <c r="Z1126" s="1801"/>
      <c r="AA1126" s="1801"/>
      <c r="AB1126" s="1801"/>
      <c r="AC1126" s="1801"/>
      <c r="AD1126" s="1801"/>
      <c r="AE1126" s="1801"/>
      <c r="AF1126" s="1814"/>
      <c r="AG1126" s="376"/>
      <c r="AH1126" s="376"/>
      <c r="AI1126" s="376"/>
      <c r="AJ1126" s="376"/>
      <c r="AK1126" s="376"/>
      <c r="AL1126" s="1148"/>
      <c r="AM1126" s="1148"/>
      <c r="AN1126" s="1148"/>
      <c r="AO1126" s="1148"/>
      <c r="AP1126" s="1148"/>
      <c r="AQ1126" s="1144"/>
      <c r="AR1126" s="1144"/>
      <c r="AS1126" s="1144"/>
      <c r="AT1126" s="1144"/>
      <c r="AU1126" s="1144"/>
      <c r="AV1126" s="1144"/>
      <c r="AW1126" s="1144"/>
      <c r="AX1126" s="1144"/>
      <c r="AY1126" s="1144"/>
      <c r="AZ1126" s="1144"/>
      <c r="BA1126" s="1144"/>
      <c r="BB1126" s="1144"/>
      <c r="BC1126" s="1144"/>
      <c r="BD1126" s="1144"/>
      <c r="BE1126" s="1144"/>
      <c r="BF1126" s="1144"/>
      <c r="BG1126" s="1144"/>
      <c r="BH1126" s="1144"/>
      <c r="BI1126" s="1144"/>
      <c r="BJ1126" s="1144"/>
      <c r="BK1126" s="1144"/>
      <c r="BL1126" s="1144"/>
      <c r="BM1126" s="1144"/>
      <c r="BN1126" s="1144"/>
      <c r="BO1126" s="1144"/>
      <c r="BP1126" s="1144"/>
      <c r="BQ1126" s="1144"/>
      <c r="BR1126" s="1144"/>
      <c r="BS1126" s="1144"/>
      <c r="BT1126" s="1144"/>
      <c r="BU1126" s="1144"/>
      <c r="BV1126" s="1144"/>
      <c r="BW1126" s="1144"/>
      <c r="BX1126" s="1144"/>
      <c r="BY1126" s="1144"/>
      <c r="BZ1126" s="1144"/>
      <c r="CA1126" s="1144"/>
      <c r="CB1126" s="1144"/>
      <c r="CC1126" s="1144"/>
      <c r="CD1126" s="1144"/>
      <c r="CE1126" s="1144"/>
      <c r="CF1126" s="1144"/>
      <c r="CG1126" s="1144"/>
      <c r="CH1126" s="1144"/>
      <c r="CI1126" s="1144"/>
      <c r="CJ1126" s="1144"/>
      <c r="CK1126" s="1144"/>
      <c r="CL1126" s="1144"/>
      <c r="CM1126" s="1144"/>
      <c r="CN1126" s="1144"/>
    </row>
    <row r="1127" spans="11:92" ht="12" customHeight="1" x14ac:dyDescent="0.35">
      <c r="K1127" s="28"/>
      <c r="L1127" s="28"/>
      <c r="M1127" s="28"/>
      <c r="N1127" s="28"/>
      <c r="O1127" s="28"/>
      <c r="P1127" s="28"/>
      <c r="Q1127" s="28"/>
      <c r="R1127" s="31">
        <f>IF(Input!D$298=L1284,Input!D$297,0)</f>
        <v>0</v>
      </c>
      <c r="S1127" s="36">
        <f t="shared" si="794"/>
        <v>0</v>
      </c>
      <c r="T1127" s="1818"/>
      <c r="U1127" s="1814"/>
      <c r="V1127" s="1814"/>
      <c r="W1127" s="1817"/>
      <c r="X1127" s="1814"/>
      <c r="Y1127" s="1801"/>
      <c r="Z1127" s="1801"/>
      <c r="AA1127" s="1801"/>
      <c r="AB1127" s="1801"/>
      <c r="AC1127" s="1801"/>
      <c r="AD1127" s="1801"/>
      <c r="AE1127" s="1801"/>
      <c r="AF1127" s="1814"/>
      <c r="AG1127" s="376"/>
      <c r="AH1127" s="376"/>
      <c r="AI1127" s="376"/>
      <c r="AJ1127" s="376"/>
      <c r="AK1127" s="376"/>
      <c r="AL1127" s="1148"/>
      <c r="AM1127" s="1148"/>
      <c r="AN1127" s="1148"/>
      <c r="AO1127" s="1148"/>
      <c r="AP1127" s="1148"/>
      <c r="AQ1127" s="1144"/>
      <c r="AR1127" s="1144"/>
      <c r="AS1127" s="1144"/>
      <c r="AT1127" s="1144"/>
      <c r="AU1127" s="1144"/>
      <c r="AV1127" s="1144"/>
      <c r="AW1127" s="1144"/>
      <c r="AX1127" s="1144"/>
      <c r="AY1127" s="1144"/>
      <c r="AZ1127" s="1144"/>
      <c r="BA1127" s="1144"/>
      <c r="BB1127" s="1144"/>
      <c r="BC1127" s="1144"/>
      <c r="BD1127" s="1144"/>
      <c r="BE1127" s="1144"/>
      <c r="BF1127" s="1144"/>
      <c r="BG1127" s="1144"/>
      <c r="BH1127" s="1144"/>
      <c r="BI1127" s="1144"/>
      <c r="BJ1127" s="1144"/>
      <c r="BK1127" s="1144"/>
      <c r="BL1127" s="1144"/>
      <c r="BM1127" s="1144"/>
      <c r="BN1127" s="1144"/>
      <c r="BO1127" s="1144"/>
      <c r="BP1127" s="1144"/>
      <c r="BQ1127" s="1144"/>
      <c r="BR1127" s="1144"/>
      <c r="BS1127" s="1144"/>
      <c r="BT1127" s="1144"/>
      <c r="BU1127" s="1144"/>
      <c r="BV1127" s="1144"/>
      <c r="BW1127" s="1144"/>
      <c r="BX1127" s="1144"/>
      <c r="BY1127" s="1144"/>
      <c r="BZ1127" s="1144"/>
      <c r="CA1127" s="1144"/>
      <c r="CB1127" s="1144"/>
      <c r="CC1127" s="1144"/>
      <c r="CD1127" s="1144"/>
      <c r="CE1127" s="1144"/>
      <c r="CF1127" s="1144"/>
      <c r="CG1127" s="1144"/>
      <c r="CH1127" s="1144"/>
      <c r="CI1127" s="1144"/>
      <c r="CJ1127" s="1144"/>
      <c r="CK1127" s="1144"/>
      <c r="CL1127" s="1144"/>
      <c r="CM1127" s="1144"/>
      <c r="CN1127" s="1144"/>
    </row>
    <row r="1128" spans="11:92" ht="12" customHeight="1" x14ac:dyDescent="0.35">
      <c r="K1128" s="28"/>
      <c r="L1128" s="28"/>
      <c r="M1128" s="28"/>
      <c r="N1128" s="28"/>
      <c r="O1128" s="28"/>
      <c r="P1128" s="28"/>
      <c r="Q1128" s="28"/>
      <c r="R1128" s="31">
        <f>IF(Input!D$298=L1285,Input!D$297,0)</f>
        <v>0</v>
      </c>
      <c r="S1128" s="36">
        <f t="shared" si="794"/>
        <v>0</v>
      </c>
      <c r="T1128" s="1818"/>
      <c r="U1128" s="1814"/>
      <c r="V1128" s="1814"/>
      <c r="W1128" s="1817"/>
      <c r="X1128" s="1814"/>
      <c r="Y1128" s="1801"/>
      <c r="Z1128" s="1801"/>
      <c r="AA1128" s="1801"/>
      <c r="AB1128" s="1801"/>
      <c r="AC1128" s="1801"/>
      <c r="AD1128" s="1801"/>
      <c r="AE1128" s="1801"/>
      <c r="AF1128" s="1814"/>
      <c r="AG1128" s="376"/>
      <c r="AH1128" s="376"/>
      <c r="AI1128" s="376"/>
      <c r="AJ1128" s="376"/>
      <c r="AK1128" s="376"/>
      <c r="AL1128" s="1148"/>
      <c r="AM1128" s="1148"/>
      <c r="AN1128" s="1148"/>
      <c r="AO1128" s="1148"/>
      <c r="AP1128" s="1148"/>
      <c r="AQ1128" s="1144"/>
      <c r="AR1128" s="1144"/>
      <c r="AS1128" s="1144"/>
      <c r="AT1128" s="1144"/>
      <c r="AU1128" s="1144"/>
      <c r="AV1128" s="1144"/>
      <c r="AW1128" s="1144"/>
      <c r="AX1128" s="1144"/>
      <c r="AY1128" s="1144"/>
      <c r="AZ1128" s="1144"/>
      <c r="BA1128" s="1144"/>
      <c r="BB1128" s="1144"/>
      <c r="BC1128" s="1144"/>
      <c r="BD1128" s="1144"/>
      <c r="BE1128" s="1144"/>
      <c r="BF1128" s="1144"/>
      <c r="BG1128" s="1144"/>
      <c r="BH1128" s="1144"/>
      <c r="BI1128" s="1144"/>
      <c r="BJ1128" s="1144"/>
      <c r="BK1128" s="1144"/>
      <c r="BL1128" s="1144"/>
      <c r="BM1128" s="1144"/>
      <c r="BN1128" s="1144"/>
      <c r="BO1128" s="1144"/>
      <c r="BP1128" s="1144"/>
      <c r="BQ1128" s="1144"/>
      <c r="BR1128" s="1144"/>
      <c r="BS1128" s="1144"/>
      <c r="BT1128" s="1144"/>
      <c r="BU1128" s="1144"/>
      <c r="BV1128" s="1144"/>
      <c r="BW1128" s="1144"/>
      <c r="BX1128" s="1144"/>
      <c r="BY1128" s="1144"/>
      <c r="BZ1128" s="1144"/>
      <c r="CA1128" s="1144"/>
      <c r="CB1128" s="1144"/>
      <c r="CC1128" s="1144"/>
      <c r="CD1128" s="1144"/>
      <c r="CE1128" s="1144"/>
      <c r="CF1128" s="1144"/>
      <c r="CG1128" s="1144"/>
      <c r="CH1128" s="1144"/>
      <c r="CI1128" s="1144"/>
      <c r="CJ1128" s="1144"/>
      <c r="CK1128" s="1144"/>
      <c r="CL1128" s="1144"/>
      <c r="CM1128" s="1144"/>
      <c r="CN1128" s="1144"/>
    </row>
    <row r="1129" spans="11:92" ht="12" customHeight="1" x14ac:dyDescent="0.35">
      <c r="K1129" s="28"/>
      <c r="L1129" s="28"/>
      <c r="M1129" s="28"/>
      <c r="N1129" s="28"/>
      <c r="O1129" s="28"/>
      <c r="P1129" s="28"/>
      <c r="Q1129" s="28"/>
      <c r="R1129" s="31">
        <f>IF(Input!D$298=L1286,Input!D$297,0)</f>
        <v>0</v>
      </c>
      <c r="S1129" s="36">
        <f t="shared" si="794"/>
        <v>0</v>
      </c>
      <c r="T1129" s="1818"/>
      <c r="U1129" s="1814"/>
      <c r="V1129" s="1814"/>
      <c r="W1129" s="1817"/>
      <c r="X1129" s="1814"/>
      <c r="Y1129" s="1801"/>
      <c r="Z1129" s="1801"/>
      <c r="AA1129" s="1801"/>
      <c r="AB1129" s="1801"/>
      <c r="AC1129" s="1801"/>
      <c r="AD1129" s="1801"/>
      <c r="AE1129" s="1801"/>
      <c r="AF1129" s="1814"/>
      <c r="AG1129" s="376"/>
      <c r="AH1129" s="376"/>
      <c r="AI1129" s="376"/>
      <c r="AJ1129" s="376"/>
      <c r="AK1129" s="376"/>
      <c r="AL1129" s="1148"/>
      <c r="AM1129" s="1148"/>
      <c r="AN1129" s="1148"/>
      <c r="AO1129" s="1148"/>
      <c r="AP1129" s="1148"/>
      <c r="AQ1129" s="1144"/>
      <c r="AR1129" s="1144"/>
      <c r="AS1129" s="1144"/>
      <c r="AT1129" s="1144"/>
      <c r="AU1129" s="1144"/>
      <c r="AV1129" s="1144"/>
      <c r="AW1129" s="1144"/>
      <c r="AX1129" s="1144"/>
      <c r="AY1129" s="1144"/>
      <c r="AZ1129" s="1144"/>
      <c r="BA1129" s="1144"/>
      <c r="BB1129" s="1144"/>
      <c r="BC1129" s="1144"/>
      <c r="BD1129" s="1144"/>
      <c r="BE1129" s="1144"/>
      <c r="BF1129" s="1144"/>
      <c r="BG1129" s="1144"/>
      <c r="BH1129" s="1144"/>
      <c r="BI1129" s="1144"/>
      <c r="BJ1129" s="1144"/>
      <c r="BK1129" s="1144"/>
      <c r="BL1129" s="1144"/>
      <c r="BM1129" s="1144"/>
      <c r="BN1129" s="1144"/>
      <c r="BO1129" s="1144"/>
      <c r="BP1129" s="1144"/>
      <c r="BQ1129" s="1144"/>
      <c r="BR1129" s="1144"/>
      <c r="BS1129" s="1144"/>
      <c r="BT1129" s="1144"/>
      <c r="BU1129" s="1144"/>
      <c r="BV1129" s="1144"/>
      <c r="BW1129" s="1144"/>
      <c r="BX1129" s="1144"/>
      <c r="BY1129" s="1144"/>
      <c r="BZ1129" s="1144"/>
      <c r="CA1129" s="1144"/>
      <c r="CB1129" s="1144"/>
      <c r="CC1129" s="1144"/>
      <c r="CD1129" s="1144"/>
      <c r="CE1129" s="1144"/>
      <c r="CF1129" s="1144"/>
      <c r="CG1129" s="1144"/>
      <c r="CH1129" s="1144"/>
      <c r="CI1129" s="1144"/>
      <c r="CJ1129" s="1144"/>
      <c r="CK1129" s="1144"/>
      <c r="CL1129" s="1144"/>
      <c r="CM1129" s="1144"/>
      <c r="CN1129" s="1144"/>
    </row>
    <row r="1130" spans="11:92" ht="12" customHeight="1" x14ac:dyDescent="0.35">
      <c r="K1130" s="28"/>
      <c r="L1130" s="28"/>
      <c r="M1130" s="28"/>
      <c r="N1130" s="28"/>
      <c r="O1130" s="28"/>
      <c r="P1130" s="28"/>
      <c r="Q1130" s="28"/>
      <c r="R1130" s="31">
        <f>IF(Input!D$298=L1287,Input!D$297,0)</f>
        <v>0</v>
      </c>
      <c r="S1130" s="36">
        <f t="shared" si="794"/>
        <v>0</v>
      </c>
      <c r="T1130" s="1818"/>
      <c r="U1130" s="1814"/>
      <c r="V1130" s="1814"/>
      <c r="W1130" s="1817"/>
      <c r="X1130" s="1814"/>
      <c r="Y1130" s="1801"/>
      <c r="Z1130" s="1801"/>
      <c r="AA1130" s="1801"/>
      <c r="AB1130" s="1801"/>
      <c r="AC1130" s="1801"/>
      <c r="AD1130" s="1801"/>
      <c r="AE1130" s="1801"/>
      <c r="AF1130" s="1814"/>
      <c r="AG1130" s="376"/>
      <c r="AH1130" s="376"/>
      <c r="AI1130" s="376"/>
      <c r="AJ1130" s="376"/>
      <c r="AK1130" s="376"/>
      <c r="AL1130" s="1148"/>
      <c r="AM1130" s="1148"/>
      <c r="AN1130" s="1148"/>
      <c r="AO1130" s="1148"/>
      <c r="AP1130" s="1148"/>
      <c r="AQ1130" s="1144"/>
      <c r="AR1130" s="1144"/>
      <c r="AS1130" s="1144"/>
      <c r="AT1130" s="1144"/>
      <c r="AU1130" s="1144"/>
      <c r="AV1130" s="1144"/>
      <c r="AW1130" s="1144"/>
      <c r="AX1130" s="1144"/>
      <c r="AY1130" s="1144"/>
      <c r="AZ1130" s="1144"/>
      <c r="BA1130" s="1144"/>
      <c r="BB1130" s="1144"/>
      <c r="BC1130" s="1144"/>
      <c r="BD1130" s="1144"/>
      <c r="BE1130" s="1144"/>
      <c r="BF1130" s="1144"/>
      <c r="BG1130" s="1144"/>
      <c r="BH1130" s="1144"/>
      <c r="BI1130" s="1144"/>
      <c r="BJ1130" s="1144"/>
      <c r="BK1130" s="1144"/>
      <c r="BL1130" s="1144"/>
      <c r="BM1130" s="1144"/>
      <c r="BN1130" s="1144"/>
      <c r="BO1130" s="1144"/>
      <c r="BP1130" s="1144"/>
      <c r="BQ1130" s="1144"/>
      <c r="BR1130" s="1144"/>
      <c r="BS1130" s="1144"/>
      <c r="BT1130" s="1144"/>
      <c r="BU1130" s="1144"/>
      <c r="BV1130" s="1144"/>
      <c r="BW1130" s="1144"/>
      <c r="BX1130" s="1144"/>
      <c r="BY1130" s="1144"/>
      <c r="BZ1130" s="1144"/>
      <c r="CA1130" s="1144"/>
      <c r="CB1130" s="1144"/>
      <c r="CC1130" s="1144"/>
      <c r="CD1130" s="1144"/>
      <c r="CE1130" s="1144"/>
      <c r="CF1130" s="1144"/>
      <c r="CG1130" s="1144"/>
      <c r="CH1130" s="1144"/>
      <c r="CI1130" s="1144"/>
      <c r="CJ1130" s="1144"/>
      <c r="CK1130" s="1144"/>
      <c r="CL1130" s="1144"/>
      <c r="CM1130" s="1144"/>
      <c r="CN1130" s="1144"/>
    </row>
    <row r="1131" spans="11:92" ht="12" customHeight="1" x14ac:dyDescent="0.35">
      <c r="K1131" s="27"/>
      <c r="L1131" s="38"/>
      <c r="M1131" s="38"/>
      <c r="N1131" s="279">
        <f>IF(AND(COUNTBLANK(Input!E$297:E$300)=0,Input!E294&gt;1),Input!$E$297,0)</f>
        <v>0</v>
      </c>
      <c r="O1131" s="38"/>
      <c r="P1131" s="38"/>
      <c r="Q1131" s="28"/>
      <c r="R1131" s="31">
        <f>IF(Input!D$298=L1288,Input!D$297,0)</f>
        <v>0</v>
      </c>
      <c r="S1131" s="36">
        <f t="shared" si="794"/>
        <v>0</v>
      </c>
      <c r="T1131" s="1818"/>
      <c r="U1131" s="1814"/>
      <c r="V1131" s="1814"/>
      <c r="W1131" s="1817"/>
      <c r="X1131" s="1814"/>
      <c r="Y1131" s="1801"/>
      <c r="Z1131" s="1801"/>
      <c r="AA1131" s="1801"/>
      <c r="AB1131" s="1801"/>
      <c r="AC1131" s="1801"/>
      <c r="AD1131" s="1801"/>
      <c r="AE1131" s="1801"/>
      <c r="AF1131" s="1814"/>
      <c r="AG1131" s="376"/>
      <c r="AH1131" s="376"/>
      <c r="AI1131" s="376"/>
      <c r="AJ1131" s="376"/>
      <c r="AK1131" s="376"/>
      <c r="AL1131" s="1148"/>
      <c r="AM1131" s="1148"/>
      <c r="AN1131" s="1148"/>
      <c r="AO1131" s="1148"/>
      <c r="AP1131" s="1148"/>
      <c r="AQ1131" s="1144"/>
      <c r="AR1131" s="1144"/>
      <c r="AS1131" s="1144"/>
      <c r="AT1131" s="1144"/>
      <c r="AU1131" s="1144"/>
      <c r="AV1131" s="1144"/>
      <c r="AW1131" s="1144"/>
      <c r="AX1131" s="1144"/>
      <c r="AY1131" s="1144"/>
      <c r="AZ1131" s="1144"/>
      <c r="BA1131" s="1144"/>
      <c r="BB1131" s="1144"/>
      <c r="BC1131" s="1144"/>
      <c r="BD1131" s="1144"/>
      <c r="BE1131" s="1144"/>
      <c r="BF1131" s="1144"/>
      <c r="BG1131" s="1144"/>
      <c r="BH1131" s="1144"/>
      <c r="BI1131" s="1144"/>
      <c r="BJ1131" s="1144"/>
      <c r="BK1131" s="1144"/>
      <c r="BL1131" s="1144"/>
      <c r="BM1131" s="1144"/>
      <c r="BN1131" s="1144"/>
      <c r="BO1131" s="1144"/>
      <c r="BP1131" s="1144"/>
      <c r="BQ1131" s="1144"/>
      <c r="BR1131" s="1144"/>
      <c r="BS1131" s="1144"/>
      <c r="BT1131" s="1144"/>
      <c r="BU1131" s="1144"/>
      <c r="BV1131" s="1144"/>
      <c r="BW1131" s="1144"/>
      <c r="BX1131" s="1144"/>
      <c r="BY1131" s="1144"/>
      <c r="BZ1131" s="1144"/>
      <c r="CA1131" s="1144"/>
      <c r="CB1131" s="1144"/>
      <c r="CC1131" s="1144"/>
      <c r="CD1131" s="1144"/>
      <c r="CE1131" s="1144"/>
      <c r="CF1131" s="1144"/>
      <c r="CG1131" s="1144"/>
      <c r="CH1131" s="1144"/>
      <c r="CI1131" s="1144"/>
      <c r="CJ1131" s="1144"/>
      <c r="CK1131" s="1144"/>
      <c r="CL1131" s="1144"/>
      <c r="CM1131" s="1144"/>
      <c r="CN1131" s="1144"/>
    </row>
    <row r="1132" spans="11:92" ht="12" customHeight="1" x14ac:dyDescent="0.35">
      <c r="K1132" s="27"/>
      <c r="L1132" s="38"/>
      <c r="M1132" s="38"/>
      <c r="N1132" s="1158">
        <f>Input!E298</f>
        <v>0</v>
      </c>
      <c r="O1132" s="38"/>
      <c r="P1132" s="38"/>
      <c r="Q1132" s="28"/>
      <c r="R1132" s="31">
        <f>IF(Input!D$298=L1289,Input!D$297,0)</f>
        <v>0</v>
      </c>
      <c r="S1132" s="36">
        <f t="shared" si="794"/>
        <v>0</v>
      </c>
      <c r="T1132" s="1818"/>
      <c r="U1132" s="1814"/>
      <c r="V1132" s="1814"/>
      <c r="W1132" s="1817"/>
      <c r="X1132" s="1814"/>
      <c r="Y1132" s="1801"/>
      <c r="Z1132" s="1801"/>
      <c r="AA1132" s="1801"/>
      <c r="AB1132" s="1801"/>
      <c r="AC1132" s="1801"/>
      <c r="AD1132" s="1801"/>
      <c r="AE1132" s="1801"/>
      <c r="AF1132" s="1814"/>
      <c r="AG1132" s="376"/>
      <c r="AH1132" s="376"/>
      <c r="AI1132" s="376"/>
      <c r="AJ1132" s="376"/>
      <c r="AK1132" s="376"/>
      <c r="AL1132" s="1148"/>
      <c r="AM1132" s="1148"/>
      <c r="AN1132" s="1148"/>
      <c r="AO1132" s="1148"/>
      <c r="AP1132" s="1148"/>
      <c r="AQ1132" s="1144"/>
      <c r="AR1132" s="1144"/>
      <c r="AS1132" s="1144"/>
      <c r="AT1132" s="1144"/>
      <c r="AU1132" s="1144"/>
      <c r="AV1132" s="1144"/>
      <c r="AW1132" s="1144"/>
      <c r="AX1132" s="1144"/>
      <c r="AY1132" s="1144"/>
      <c r="AZ1132" s="1144"/>
      <c r="BA1132" s="1144"/>
      <c r="BB1132" s="1144"/>
      <c r="BC1132" s="1144"/>
      <c r="BD1132" s="1144"/>
      <c r="BE1132" s="1144"/>
      <c r="BF1132" s="1144"/>
      <c r="BG1132" s="1144"/>
      <c r="BH1132" s="1144"/>
      <c r="BI1132" s="1144"/>
      <c r="BJ1132" s="1144"/>
      <c r="BK1132" s="1144"/>
      <c r="BL1132" s="1144"/>
      <c r="BM1132" s="1144"/>
      <c r="BN1132" s="1144"/>
      <c r="BO1132" s="1144"/>
      <c r="BP1132" s="1144"/>
      <c r="BQ1132" s="1144"/>
      <c r="BR1132" s="1144"/>
      <c r="BS1132" s="1144"/>
      <c r="BT1132" s="1144"/>
      <c r="BU1132" s="1144"/>
      <c r="BV1132" s="1144"/>
      <c r="BW1132" s="1144"/>
      <c r="BX1132" s="1144"/>
      <c r="BY1132" s="1144"/>
      <c r="BZ1132" s="1144"/>
      <c r="CA1132" s="1144"/>
      <c r="CB1132" s="1144"/>
      <c r="CC1132" s="1144"/>
      <c r="CD1132" s="1144"/>
      <c r="CE1132" s="1144"/>
      <c r="CF1132" s="1144"/>
      <c r="CG1132" s="1144"/>
      <c r="CH1132" s="1144"/>
      <c r="CI1132" s="1144"/>
      <c r="CJ1132" s="1144"/>
      <c r="CK1132" s="1144"/>
      <c r="CL1132" s="1144"/>
      <c r="CM1132" s="1144"/>
      <c r="CN1132" s="1144"/>
    </row>
    <row r="1133" spans="11:92" ht="12" customHeight="1" x14ac:dyDescent="0.35">
      <c r="K1133" s="27"/>
      <c r="L1133" s="38"/>
      <c r="M1133" s="38"/>
      <c r="N1133" s="212">
        <f>Input!E299</f>
        <v>0</v>
      </c>
      <c r="O1133" s="38"/>
      <c r="P1133" s="38"/>
      <c r="Q1133" s="28"/>
      <c r="R1133" s="31">
        <f>IF(Input!D$298=L1290,Input!D$297,0)</f>
        <v>0</v>
      </c>
      <c r="S1133" s="36">
        <f t="shared" si="794"/>
        <v>0</v>
      </c>
      <c r="T1133" s="1818"/>
      <c r="U1133" s="1814"/>
      <c r="V1133" s="1814"/>
      <c r="W1133" s="1817"/>
      <c r="X1133" s="1814"/>
      <c r="Y1133" s="1801"/>
      <c r="Z1133" s="1801"/>
      <c r="AA1133" s="1801"/>
      <c r="AB1133" s="1801"/>
      <c r="AC1133" s="1801"/>
      <c r="AD1133" s="1801"/>
      <c r="AE1133" s="1801"/>
      <c r="AF1133" s="1814"/>
      <c r="AG1133" s="376"/>
      <c r="AH1133" s="376"/>
      <c r="AI1133" s="376"/>
      <c r="AJ1133" s="376"/>
      <c r="AK1133" s="376"/>
      <c r="AL1133" s="1148"/>
      <c r="AM1133" s="1148"/>
      <c r="AN1133" s="1148"/>
      <c r="AO1133" s="1148"/>
      <c r="AP1133" s="1148"/>
      <c r="AQ1133" s="1144"/>
      <c r="AR1133" s="1144"/>
      <c r="AS1133" s="1144"/>
      <c r="AT1133" s="1144"/>
      <c r="AU1133" s="1144"/>
      <c r="AV1133" s="1144"/>
      <c r="AW1133" s="1144"/>
      <c r="AX1133" s="1144"/>
      <c r="AY1133" s="1144"/>
      <c r="AZ1133" s="1144"/>
      <c r="BA1133" s="1144"/>
      <c r="BB1133" s="1144"/>
      <c r="BC1133" s="1144"/>
      <c r="BD1133" s="1144"/>
      <c r="BE1133" s="1144"/>
      <c r="BF1133" s="1144"/>
      <c r="BG1133" s="1144"/>
      <c r="BH1133" s="1144"/>
      <c r="BI1133" s="1144"/>
      <c r="BJ1133" s="1144"/>
      <c r="BK1133" s="1144"/>
      <c r="BL1133" s="1144"/>
      <c r="BM1133" s="1144"/>
      <c r="BN1133" s="1144"/>
      <c r="BO1133" s="1144"/>
      <c r="BP1133" s="1144"/>
      <c r="BQ1133" s="1144"/>
      <c r="BR1133" s="1144"/>
      <c r="BS1133" s="1144"/>
      <c r="BT1133" s="1144"/>
      <c r="BU1133" s="1144"/>
      <c r="BV1133" s="1144"/>
      <c r="BW1133" s="1144"/>
      <c r="BX1133" s="1144"/>
      <c r="BY1133" s="1144"/>
      <c r="BZ1133" s="1144"/>
      <c r="CA1133" s="1144"/>
      <c r="CB1133" s="1144"/>
      <c r="CC1133" s="1144"/>
      <c r="CD1133" s="1144"/>
      <c r="CE1133" s="1144"/>
      <c r="CF1133" s="1144"/>
      <c r="CG1133" s="1144"/>
      <c r="CH1133" s="1144"/>
      <c r="CI1133" s="1144"/>
      <c r="CJ1133" s="1144"/>
      <c r="CK1133" s="1144"/>
      <c r="CL1133" s="1144"/>
      <c r="CM1133" s="1144"/>
      <c r="CN1133" s="1144"/>
    </row>
    <row r="1134" spans="11:92" ht="12" customHeight="1" x14ac:dyDescent="0.35">
      <c r="K1134" s="27"/>
      <c r="L1134" s="38"/>
      <c r="M1134" s="38"/>
      <c r="N1134" s="213">
        <f>Input!E300</f>
        <v>0</v>
      </c>
      <c r="O1134" s="38"/>
      <c r="P1134" s="38"/>
      <c r="Q1134" s="28"/>
      <c r="R1134" s="31">
        <f>IF(Input!D$298=L1291,Input!D$297,0)</f>
        <v>0</v>
      </c>
      <c r="S1134" s="36">
        <f t="shared" si="794"/>
        <v>0</v>
      </c>
      <c r="T1134" s="1818"/>
      <c r="U1134" s="1814"/>
      <c r="V1134" s="1814"/>
      <c r="W1134" s="1817"/>
      <c r="X1134" s="1814"/>
      <c r="Y1134" s="1801"/>
      <c r="Z1134" s="1801"/>
      <c r="AA1134" s="1801"/>
      <c r="AB1134" s="1801"/>
      <c r="AC1134" s="1801"/>
      <c r="AD1134" s="1801"/>
      <c r="AE1134" s="1801"/>
      <c r="AF1134" s="1814"/>
      <c r="AG1134" s="376"/>
      <c r="AH1134" s="376"/>
      <c r="AI1134" s="376"/>
      <c r="AJ1134" s="376"/>
      <c r="AK1134" s="376"/>
      <c r="AL1134" s="1148"/>
      <c r="AM1134" s="1148"/>
      <c r="AN1134" s="1148"/>
      <c r="AO1134" s="1148"/>
      <c r="AP1134" s="1148"/>
      <c r="AQ1134" s="1144"/>
      <c r="AR1134" s="1144"/>
      <c r="AS1134" s="1144"/>
      <c r="AT1134" s="1144"/>
      <c r="AU1134" s="1144"/>
      <c r="AV1134" s="1144"/>
      <c r="AW1134" s="1144"/>
      <c r="AX1134" s="1144"/>
      <c r="AY1134" s="1144"/>
      <c r="AZ1134" s="1144"/>
      <c r="BA1134" s="1144"/>
      <c r="BB1134" s="1144"/>
      <c r="BC1134" s="1144"/>
      <c r="BD1134" s="1144"/>
      <c r="BE1134" s="1144"/>
      <c r="BF1134" s="1144"/>
      <c r="BG1134" s="1144"/>
      <c r="BH1134" s="1144"/>
      <c r="BI1134" s="1144"/>
      <c r="BJ1134" s="1144"/>
      <c r="BK1134" s="1144"/>
      <c r="BL1134" s="1144"/>
      <c r="BM1134" s="1144"/>
      <c r="BN1134" s="1144"/>
      <c r="BO1134" s="1144"/>
      <c r="BP1134" s="1144"/>
      <c r="BQ1134" s="1144"/>
      <c r="BR1134" s="1144"/>
      <c r="BS1134" s="1144"/>
      <c r="BT1134" s="1144"/>
      <c r="BU1134" s="1144"/>
      <c r="BV1134" s="1144"/>
      <c r="BW1134" s="1144"/>
      <c r="BX1134" s="1144"/>
      <c r="BY1134" s="1144"/>
      <c r="BZ1134" s="1144"/>
      <c r="CA1134" s="1144"/>
      <c r="CB1134" s="1144"/>
      <c r="CC1134" s="1144"/>
      <c r="CD1134" s="1144"/>
      <c r="CE1134" s="1144"/>
      <c r="CF1134" s="1144"/>
      <c r="CG1134" s="1144"/>
      <c r="CH1134" s="1144"/>
      <c r="CI1134" s="1144"/>
      <c r="CJ1134" s="1144"/>
      <c r="CK1134" s="1144"/>
      <c r="CL1134" s="1144"/>
      <c r="CM1134" s="1144"/>
      <c r="CN1134" s="1144"/>
    </row>
    <row r="1135" spans="11:92" ht="12" customHeight="1" thickBot="1" x14ac:dyDescent="0.4">
      <c r="K1135" s="27"/>
      <c r="L1135" s="38"/>
      <c r="M1135" s="206" t="s">
        <v>562</v>
      </c>
      <c r="N1135" s="206" t="s">
        <v>563</v>
      </c>
      <c r="O1135" s="206" t="s">
        <v>188</v>
      </c>
      <c r="P1135" s="206" t="s">
        <v>493</v>
      </c>
      <c r="Q1135" s="206" t="s">
        <v>138</v>
      </c>
      <c r="R1135" s="31">
        <f>IF(Input!D$298=L1292,Input!D$297,0)</f>
        <v>0</v>
      </c>
      <c r="S1135" s="36">
        <f t="shared" si="794"/>
        <v>0</v>
      </c>
      <c r="T1135" s="1818"/>
      <c r="U1135" s="1814"/>
      <c r="V1135" s="1814"/>
      <c r="W1135" s="1817"/>
      <c r="X1135" s="1814"/>
      <c r="Y1135" s="1801"/>
      <c r="Z1135" s="1801"/>
      <c r="AA1135" s="1801"/>
      <c r="AB1135" s="1801"/>
      <c r="AC1135" s="1801"/>
      <c r="AD1135" s="1801"/>
      <c r="AE1135" s="1801"/>
      <c r="AF1135" s="1814"/>
      <c r="AG1135" s="376"/>
      <c r="AH1135" s="376"/>
      <c r="AI1135" s="376"/>
      <c r="AJ1135" s="376"/>
      <c r="AK1135" s="376"/>
      <c r="AL1135" s="1148"/>
      <c r="AM1135" s="1148"/>
      <c r="AN1135" s="1148"/>
      <c r="AO1135" s="1148"/>
      <c r="AP1135" s="1148"/>
      <c r="AQ1135" s="1144"/>
      <c r="AR1135" s="1144"/>
      <c r="AS1135" s="1144"/>
      <c r="AT1135" s="1144"/>
      <c r="AU1135" s="1144"/>
      <c r="AV1135" s="1144"/>
      <c r="AW1135" s="1144"/>
      <c r="AX1135" s="1144"/>
      <c r="AY1135" s="1144"/>
      <c r="AZ1135" s="1144"/>
      <c r="BA1135" s="1144"/>
      <c r="BB1135" s="1144"/>
      <c r="BC1135" s="1144"/>
      <c r="BD1135" s="1144"/>
      <c r="BE1135" s="1144"/>
      <c r="BF1135" s="1144"/>
      <c r="BG1135" s="1144"/>
      <c r="BH1135" s="1144"/>
      <c r="BI1135" s="1144"/>
      <c r="BJ1135" s="1144"/>
      <c r="BK1135" s="1144"/>
      <c r="BL1135" s="1144"/>
      <c r="BM1135" s="1144"/>
      <c r="BN1135" s="1144"/>
      <c r="BO1135" s="1144"/>
      <c r="BP1135" s="1144"/>
      <c r="BQ1135" s="1144"/>
      <c r="BR1135" s="1144"/>
      <c r="BS1135" s="1144"/>
      <c r="BT1135" s="1144"/>
      <c r="BU1135" s="1144"/>
      <c r="BV1135" s="1144"/>
      <c r="BW1135" s="1144"/>
      <c r="BX1135" s="1144"/>
      <c r="BY1135" s="1144"/>
      <c r="BZ1135" s="1144"/>
      <c r="CA1135" s="1144"/>
      <c r="CB1135" s="1144"/>
      <c r="CC1135" s="1144"/>
      <c r="CD1135" s="1144"/>
      <c r="CE1135" s="1144"/>
      <c r="CF1135" s="1144"/>
      <c r="CG1135" s="1144"/>
      <c r="CH1135" s="1144"/>
      <c r="CI1135" s="1144"/>
      <c r="CJ1135" s="1144"/>
      <c r="CK1135" s="1144"/>
      <c r="CL1135" s="1144"/>
      <c r="CM1135" s="1144"/>
      <c r="CN1135" s="1144"/>
    </row>
    <row r="1136" spans="11:92" ht="12" customHeight="1" x14ac:dyDescent="0.35">
      <c r="K1136" s="26"/>
      <c r="L1136" s="27"/>
      <c r="M1136" s="38"/>
      <c r="N1136" s="38"/>
      <c r="O1136" s="38"/>
      <c r="P1136" s="38"/>
      <c r="Q1136" s="28"/>
      <c r="R1136" s="31">
        <f>IF(Input!D$298=L1293,Input!D$297,0)</f>
        <v>0</v>
      </c>
      <c r="S1136" s="36">
        <f t="shared" si="794"/>
        <v>0</v>
      </c>
      <c r="T1136" s="1818"/>
      <c r="U1136" s="1814"/>
      <c r="V1136" s="1814"/>
      <c r="W1136" s="1817"/>
      <c r="X1136" s="1814"/>
      <c r="Y1136" s="1801"/>
      <c r="Z1136" s="1801"/>
      <c r="AA1136" s="1801"/>
      <c r="AB1136" s="1801"/>
      <c r="AC1136" s="1801"/>
      <c r="AD1136" s="1801"/>
      <c r="AE1136" s="1801"/>
      <c r="AF1136" s="1814"/>
      <c r="AG1136" s="376"/>
      <c r="AH1136" s="376"/>
      <c r="AI1136" s="376"/>
      <c r="AJ1136" s="376"/>
      <c r="AK1136" s="376"/>
      <c r="AL1136" s="1148"/>
      <c r="AM1136" s="1148"/>
      <c r="AN1136" s="1148"/>
      <c r="AO1136" s="1148"/>
      <c r="AP1136" s="1148"/>
      <c r="AQ1136" s="1144"/>
      <c r="AR1136" s="1144"/>
      <c r="AS1136" s="1144"/>
      <c r="AT1136" s="1144"/>
      <c r="AU1136" s="1144"/>
      <c r="AV1136" s="1144"/>
      <c r="AW1136" s="1144"/>
      <c r="AX1136" s="1144"/>
      <c r="AY1136" s="1144"/>
      <c r="AZ1136" s="1144"/>
      <c r="BA1136" s="1144"/>
      <c r="BB1136" s="1144"/>
      <c r="BC1136" s="1144"/>
      <c r="BD1136" s="1144"/>
      <c r="BE1136" s="1144"/>
      <c r="BF1136" s="1144"/>
      <c r="BG1136" s="1144"/>
      <c r="BH1136" s="1144"/>
      <c r="BI1136" s="1144"/>
      <c r="BJ1136" s="1144"/>
      <c r="BK1136" s="1144"/>
      <c r="BL1136" s="1144"/>
      <c r="BM1136" s="1144"/>
      <c r="BN1136" s="1144"/>
      <c r="BO1136" s="1144"/>
      <c r="BP1136" s="1144"/>
      <c r="BQ1136" s="1144"/>
      <c r="BR1136" s="1144"/>
      <c r="BS1136" s="1144"/>
      <c r="BT1136" s="1144"/>
      <c r="BU1136" s="1144"/>
      <c r="BV1136" s="1144"/>
      <c r="BW1136" s="1144"/>
      <c r="BX1136" s="1144"/>
      <c r="BY1136" s="1144"/>
      <c r="BZ1136" s="1144"/>
      <c r="CA1136" s="1144"/>
      <c r="CB1136" s="1144"/>
      <c r="CC1136" s="1144"/>
      <c r="CD1136" s="1144"/>
      <c r="CE1136" s="1144"/>
      <c r="CF1136" s="1144"/>
      <c r="CG1136" s="1144"/>
      <c r="CH1136" s="1144"/>
      <c r="CI1136" s="1144"/>
      <c r="CJ1136" s="1144"/>
      <c r="CK1136" s="1144"/>
      <c r="CL1136" s="1144"/>
      <c r="CM1136" s="1144"/>
      <c r="CN1136" s="1144"/>
    </row>
    <row r="1137" spans="11:92" ht="12" customHeight="1" x14ac:dyDescent="0.35">
      <c r="K1137" s="26"/>
      <c r="L1137" s="27"/>
      <c r="M1137" s="38"/>
      <c r="N1137" s="38"/>
      <c r="O1137" s="38"/>
      <c r="P1137" s="38"/>
      <c r="Q1137" s="28"/>
      <c r="R1137" s="31"/>
      <c r="S1137" s="36"/>
      <c r="T1137" s="1818"/>
      <c r="U1137" s="1814"/>
      <c r="V1137" s="1814"/>
      <c r="W1137" s="1817"/>
      <c r="X1137" s="1814"/>
      <c r="Y1137" s="1801"/>
      <c r="Z1137" s="1801"/>
      <c r="AA1137" s="1801"/>
      <c r="AB1137" s="1801"/>
      <c r="AC1137" s="1801"/>
      <c r="AD1137" s="1801"/>
      <c r="AE1137" s="1801"/>
      <c r="AF1137" s="1814"/>
      <c r="AG1137" s="376"/>
      <c r="AH1137" s="376"/>
      <c r="AI1137" s="376"/>
      <c r="AJ1137" s="376"/>
      <c r="AK1137" s="376"/>
      <c r="AL1137" s="1148"/>
      <c r="AM1137" s="1148"/>
      <c r="AN1137" s="1148"/>
      <c r="AO1137" s="1148"/>
      <c r="AP1137" s="1148"/>
      <c r="AQ1137" s="1144"/>
      <c r="AR1137" s="1144"/>
      <c r="AS1137" s="1144"/>
      <c r="AT1137" s="1144"/>
      <c r="AU1137" s="1144"/>
      <c r="AV1137" s="1144"/>
      <c r="AW1137" s="1144"/>
      <c r="AX1137" s="1144"/>
      <c r="AY1137" s="1144"/>
      <c r="AZ1137" s="1144"/>
      <c r="BA1137" s="1144"/>
      <c r="BB1137" s="1144"/>
      <c r="BC1137" s="1144"/>
      <c r="BD1137" s="1144"/>
      <c r="BE1137" s="1144"/>
      <c r="BF1137" s="1144"/>
      <c r="BG1137" s="1144"/>
      <c r="BH1137" s="1144"/>
      <c r="BI1137" s="1144"/>
      <c r="BJ1137" s="1144"/>
      <c r="BK1137" s="1144"/>
      <c r="BL1137" s="1144"/>
      <c r="BM1137" s="1144"/>
      <c r="BN1137" s="1144"/>
      <c r="BO1137" s="1144"/>
      <c r="BP1137" s="1144"/>
      <c r="BQ1137" s="1144"/>
      <c r="BR1137" s="1144"/>
      <c r="BS1137" s="1144"/>
      <c r="BT1137" s="1144"/>
      <c r="BU1137" s="1144"/>
      <c r="BV1137" s="1144"/>
      <c r="BW1137" s="1144"/>
      <c r="BX1137" s="1144"/>
      <c r="BY1137" s="1144"/>
      <c r="BZ1137" s="1144"/>
      <c r="CA1137" s="1144"/>
      <c r="CB1137" s="1144"/>
      <c r="CC1137" s="1144"/>
      <c r="CD1137" s="1144"/>
      <c r="CE1137" s="1144"/>
      <c r="CF1137" s="1144"/>
      <c r="CG1137" s="1144"/>
      <c r="CH1137" s="1144"/>
      <c r="CI1137" s="1144"/>
      <c r="CJ1137" s="1144"/>
      <c r="CK1137" s="1144"/>
      <c r="CL1137" s="1144"/>
      <c r="CM1137" s="1144"/>
      <c r="CN1137" s="1144"/>
    </row>
    <row r="1138" spans="11:92" ht="12" customHeight="1" x14ac:dyDescent="0.35">
      <c r="K1138" s="29">
        <f>IF(L1138&lt;N$1132,0,IF(L1138=N$1132,1,IF(K1137&lt;N$1133,K1137+1,0)))</f>
        <v>1</v>
      </c>
      <c r="L1138" s="1158">
        <f>L990</f>
        <v>0</v>
      </c>
      <c r="M1138" s="34">
        <f>IF(N$1131=0,0,IF(L1138&lt;N$1132,0,IF(L1138=N$1132,N$1131,Q1137)))</f>
        <v>0</v>
      </c>
      <c r="N1138" s="34">
        <f>IF(N$1131=0,0,IF(OR(M1138&lt;0.01,K1138=0),0,-PMT(N$1134/12,N$1133,N$1131,0)))</f>
        <v>0</v>
      </c>
      <c r="O1138" s="55">
        <f>IF(M1138&lt;1,0,-IPMT(N$1134/12,K1138,N$1133,N$1131,0))</f>
        <v>0</v>
      </c>
      <c r="P1138" s="55">
        <f>N1138-O1138</f>
        <v>0</v>
      </c>
      <c r="Q1138" s="55">
        <f>M1138-P1138</f>
        <v>0</v>
      </c>
      <c r="R1138" s="31">
        <f>IF(Input!D$298=L1294,Input!D$297,0)</f>
        <v>0</v>
      </c>
      <c r="S1138" s="36">
        <f t="shared" ref="S1138:S1155" si="795">Q1294</f>
        <v>0</v>
      </c>
      <c r="T1138" s="1818"/>
      <c r="U1138" s="1814"/>
      <c r="V1138" s="1814"/>
      <c r="W1138" s="1817"/>
      <c r="X1138" s="1814"/>
      <c r="Y1138" s="1801"/>
      <c r="Z1138" s="1801"/>
      <c r="AA1138" s="1801"/>
      <c r="AB1138" s="1801"/>
      <c r="AC1138" s="1801"/>
      <c r="AD1138" s="1801"/>
      <c r="AE1138" s="1801"/>
      <c r="AF1138" s="1814"/>
      <c r="AG1138" s="376"/>
      <c r="AH1138" s="376"/>
      <c r="AI1138" s="376"/>
      <c r="AJ1138" s="376"/>
      <c r="AK1138" s="376"/>
      <c r="AL1138" s="1148"/>
      <c r="AM1138" s="1148"/>
      <c r="AN1138" s="1148"/>
      <c r="AO1138" s="1148"/>
      <c r="AP1138" s="1148"/>
      <c r="AQ1138" s="1144"/>
      <c r="AR1138" s="1144"/>
      <c r="AS1138" s="1144"/>
      <c r="AT1138" s="1144"/>
      <c r="AU1138" s="1144"/>
      <c r="AV1138" s="1144"/>
      <c r="AW1138" s="1144"/>
      <c r="AX1138" s="1144"/>
      <c r="AY1138" s="1144"/>
      <c r="AZ1138" s="1144"/>
      <c r="BA1138" s="1144"/>
      <c r="BB1138" s="1144"/>
      <c r="BC1138" s="1144"/>
      <c r="BD1138" s="1144"/>
      <c r="BE1138" s="1144"/>
      <c r="BF1138" s="1144"/>
      <c r="BG1138" s="1144"/>
      <c r="BH1138" s="1144"/>
      <c r="BI1138" s="1144"/>
      <c r="BJ1138" s="1144"/>
      <c r="BK1138" s="1144"/>
      <c r="BL1138" s="1144"/>
      <c r="BM1138" s="1144"/>
      <c r="BN1138" s="1144"/>
      <c r="BO1138" s="1144"/>
      <c r="BP1138" s="1144"/>
      <c r="BQ1138" s="1144"/>
      <c r="BR1138" s="1144"/>
      <c r="BS1138" s="1144"/>
      <c r="BT1138" s="1144"/>
      <c r="BU1138" s="1144"/>
      <c r="BV1138" s="1144"/>
      <c r="BW1138" s="1144"/>
      <c r="BX1138" s="1144"/>
      <c r="BY1138" s="1144"/>
      <c r="BZ1138" s="1144"/>
      <c r="CA1138" s="1144"/>
      <c r="CB1138" s="1144"/>
      <c r="CC1138" s="1144"/>
      <c r="CD1138" s="1144"/>
      <c r="CE1138" s="1144"/>
      <c r="CF1138" s="1144"/>
      <c r="CG1138" s="1144"/>
      <c r="CH1138" s="1144"/>
      <c r="CI1138" s="1144"/>
      <c r="CJ1138" s="1144"/>
      <c r="CK1138" s="1144"/>
      <c r="CL1138" s="1144"/>
      <c r="CM1138" s="1144"/>
      <c r="CN1138" s="1144"/>
    </row>
    <row r="1139" spans="11:92" ht="12" customHeight="1" x14ac:dyDescent="0.35">
      <c r="K1139" s="29">
        <f t="shared" ref="K1139:K1202" si="796">IF(L1139&lt;N$1132,0,IF(L1139=N$1132,1,IF(K1138&lt;N$1133,K1138+1,0)))</f>
        <v>1</v>
      </c>
      <c r="L1139" s="1158">
        <f t="shared" ref="L1139:L1202" si="797">L991</f>
        <v>0</v>
      </c>
      <c r="M1139" s="34">
        <f t="shared" ref="M1139:M1202" si="798">IF(N$1131=0,0,IF(L1139&lt;N$1132,0,IF(L1139=N$1132,N$1131,Q1138)))</f>
        <v>0</v>
      </c>
      <c r="N1139" s="34">
        <f t="shared" ref="N1139:N1202" si="799">IF(N$1131=0,0,IF(OR(M1139&lt;0.01,K1139=0),0,-PMT(N$1134/12,N$1133,N$1131,0)))</f>
        <v>0</v>
      </c>
      <c r="O1139" s="55">
        <f t="shared" ref="O1139:O1165" si="800">IF(M1139&lt;1,0,-IPMT(N$1134/12,K1139,N$1133,N$1131,0))</f>
        <v>0</v>
      </c>
      <c r="P1139" s="55">
        <f t="shared" ref="P1139:P1165" si="801">N1139-O1139</f>
        <v>0</v>
      </c>
      <c r="Q1139" s="55">
        <f t="shared" ref="Q1139:Q1165" si="802">M1139-P1139</f>
        <v>0</v>
      </c>
      <c r="R1139" s="31">
        <f>IF(Input!D$298=L1295,Input!D$297,0)</f>
        <v>0</v>
      </c>
      <c r="S1139" s="36">
        <f t="shared" si="795"/>
        <v>0</v>
      </c>
      <c r="T1139" s="1818"/>
      <c r="U1139" s="1814"/>
      <c r="V1139" s="1814"/>
      <c r="W1139" s="1817"/>
      <c r="X1139" s="1814"/>
      <c r="Y1139" s="1801"/>
      <c r="Z1139" s="1801"/>
      <c r="AA1139" s="1801"/>
      <c r="AB1139" s="1801"/>
      <c r="AC1139" s="1801"/>
      <c r="AD1139" s="1801"/>
      <c r="AE1139" s="1801"/>
      <c r="AF1139" s="1814"/>
      <c r="AG1139" s="376"/>
      <c r="AH1139" s="376"/>
      <c r="AI1139" s="376"/>
      <c r="AJ1139" s="376"/>
      <c r="AK1139" s="376"/>
      <c r="AL1139" s="1148"/>
      <c r="AM1139" s="1148"/>
      <c r="AN1139" s="1148"/>
      <c r="AO1139" s="1148"/>
      <c r="AP1139" s="1148"/>
      <c r="AQ1139" s="1144"/>
      <c r="AR1139" s="1144"/>
      <c r="AS1139" s="1144"/>
      <c r="AT1139" s="1144"/>
      <c r="AU1139" s="1144"/>
      <c r="AV1139" s="1144"/>
      <c r="AW1139" s="1144"/>
      <c r="AX1139" s="1144"/>
      <c r="AY1139" s="1144"/>
      <c r="AZ1139" s="1144"/>
      <c r="BA1139" s="1144"/>
      <c r="BB1139" s="1144"/>
      <c r="BC1139" s="1144"/>
      <c r="BD1139" s="1144"/>
      <c r="BE1139" s="1144"/>
      <c r="BF1139" s="1144"/>
      <c r="BG1139" s="1144"/>
      <c r="BH1139" s="1144"/>
      <c r="BI1139" s="1144"/>
      <c r="BJ1139" s="1144"/>
      <c r="BK1139" s="1144"/>
      <c r="BL1139" s="1144"/>
      <c r="BM1139" s="1144"/>
      <c r="BN1139" s="1144"/>
      <c r="BO1139" s="1144"/>
      <c r="BP1139" s="1144"/>
      <c r="BQ1139" s="1144"/>
      <c r="BR1139" s="1144"/>
      <c r="BS1139" s="1144"/>
      <c r="BT1139" s="1144"/>
      <c r="BU1139" s="1144"/>
      <c r="BV1139" s="1144"/>
      <c r="BW1139" s="1144"/>
      <c r="BX1139" s="1144"/>
      <c r="BY1139" s="1144"/>
      <c r="BZ1139" s="1144"/>
      <c r="CA1139" s="1144"/>
      <c r="CB1139" s="1144"/>
      <c r="CC1139" s="1144"/>
      <c r="CD1139" s="1144"/>
      <c r="CE1139" s="1144"/>
      <c r="CF1139" s="1144"/>
      <c r="CG1139" s="1144"/>
      <c r="CH1139" s="1144"/>
      <c r="CI1139" s="1144"/>
      <c r="CJ1139" s="1144"/>
      <c r="CK1139" s="1144"/>
      <c r="CL1139" s="1144"/>
      <c r="CM1139" s="1144"/>
      <c r="CN1139" s="1144"/>
    </row>
    <row r="1140" spans="11:92" ht="12" customHeight="1" x14ac:dyDescent="0.35">
      <c r="K1140" s="29">
        <f t="shared" si="796"/>
        <v>1</v>
      </c>
      <c r="L1140" s="1158">
        <f t="shared" si="797"/>
        <v>0</v>
      </c>
      <c r="M1140" s="34">
        <f t="shared" si="798"/>
        <v>0</v>
      </c>
      <c r="N1140" s="34">
        <f t="shared" si="799"/>
        <v>0</v>
      </c>
      <c r="O1140" s="55">
        <f t="shared" si="800"/>
        <v>0</v>
      </c>
      <c r="P1140" s="55">
        <f t="shared" si="801"/>
        <v>0</v>
      </c>
      <c r="Q1140" s="55">
        <f t="shared" si="802"/>
        <v>0</v>
      </c>
      <c r="R1140" s="31">
        <f>IF(Input!D$298=L1296,Input!D$297,0)</f>
        <v>0</v>
      </c>
      <c r="S1140" s="36">
        <f t="shared" si="795"/>
        <v>0</v>
      </c>
      <c r="T1140" s="1818"/>
      <c r="U1140" s="1814"/>
      <c r="V1140" s="1814"/>
      <c r="W1140" s="1817"/>
      <c r="X1140" s="1814"/>
      <c r="Y1140" s="1801"/>
      <c r="Z1140" s="1801"/>
      <c r="AA1140" s="1801"/>
      <c r="AB1140" s="1801"/>
      <c r="AC1140" s="1801"/>
      <c r="AD1140" s="1801"/>
      <c r="AE1140" s="1801"/>
      <c r="AF1140" s="1814"/>
      <c r="AG1140" s="376"/>
      <c r="AH1140" s="376"/>
      <c r="AI1140" s="376"/>
      <c r="AJ1140" s="376"/>
      <c r="AK1140" s="376"/>
      <c r="AL1140" s="1148"/>
      <c r="AM1140" s="1148"/>
      <c r="AN1140" s="1148"/>
      <c r="AO1140" s="1148"/>
      <c r="AP1140" s="1148"/>
      <c r="AQ1140" s="1144"/>
      <c r="AR1140" s="1144"/>
      <c r="AS1140" s="1144"/>
      <c r="AT1140" s="1144"/>
      <c r="AU1140" s="1144"/>
      <c r="AV1140" s="1144"/>
      <c r="AW1140" s="1144"/>
      <c r="AX1140" s="1144"/>
      <c r="AY1140" s="1144"/>
      <c r="AZ1140" s="1144"/>
      <c r="BA1140" s="1144"/>
      <c r="BB1140" s="1144"/>
      <c r="BC1140" s="1144"/>
      <c r="BD1140" s="1144"/>
      <c r="BE1140" s="1144"/>
      <c r="BF1140" s="1144"/>
      <c r="BG1140" s="1144"/>
      <c r="BH1140" s="1144"/>
      <c r="BI1140" s="1144"/>
      <c r="BJ1140" s="1144"/>
      <c r="BK1140" s="1144"/>
      <c r="BL1140" s="1144"/>
      <c r="BM1140" s="1144"/>
      <c r="BN1140" s="1144"/>
      <c r="BO1140" s="1144"/>
      <c r="BP1140" s="1144"/>
      <c r="BQ1140" s="1144"/>
      <c r="BR1140" s="1144"/>
      <c r="BS1140" s="1144"/>
      <c r="BT1140" s="1144"/>
      <c r="BU1140" s="1144"/>
      <c r="BV1140" s="1144"/>
      <c r="BW1140" s="1144"/>
      <c r="BX1140" s="1144"/>
      <c r="BY1140" s="1144"/>
      <c r="BZ1140" s="1144"/>
      <c r="CA1140" s="1144"/>
      <c r="CB1140" s="1144"/>
      <c r="CC1140" s="1144"/>
      <c r="CD1140" s="1144"/>
      <c r="CE1140" s="1144"/>
      <c r="CF1140" s="1144"/>
      <c r="CG1140" s="1144"/>
      <c r="CH1140" s="1144"/>
      <c r="CI1140" s="1144"/>
      <c r="CJ1140" s="1144"/>
      <c r="CK1140" s="1144"/>
      <c r="CL1140" s="1144"/>
      <c r="CM1140" s="1144"/>
      <c r="CN1140" s="1144"/>
    </row>
    <row r="1141" spans="11:92" ht="12" customHeight="1" x14ac:dyDescent="0.35">
      <c r="K1141" s="29">
        <f t="shared" si="796"/>
        <v>1</v>
      </c>
      <c r="L1141" s="1158">
        <f t="shared" si="797"/>
        <v>0</v>
      </c>
      <c r="M1141" s="34">
        <f t="shared" si="798"/>
        <v>0</v>
      </c>
      <c r="N1141" s="34">
        <f t="shared" si="799"/>
        <v>0</v>
      </c>
      <c r="O1141" s="55">
        <f t="shared" si="800"/>
        <v>0</v>
      </c>
      <c r="P1141" s="55">
        <f t="shared" si="801"/>
        <v>0</v>
      </c>
      <c r="Q1141" s="55">
        <f t="shared" si="802"/>
        <v>0</v>
      </c>
      <c r="R1141" s="31">
        <f>IF(Input!D$298=L1297,Input!D$297,0)</f>
        <v>0</v>
      </c>
      <c r="S1141" s="36">
        <f t="shared" si="795"/>
        <v>0</v>
      </c>
      <c r="T1141" s="1818"/>
      <c r="U1141" s="1814"/>
      <c r="V1141" s="1814"/>
      <c r="W1141" s="1817"/>
      <c r="X1141" s="1814"/>
      <c r="Y1141" s="1801"/>
      <c r="Z1141" s="1801"/>
      <c r="AA1141" s="1801"/>
      <c r="AB1141" s="1801"/>
      <c r="AC1141" s="1801"/>
      <c r="AD1141" s="1801"/>
      <c r="AE1141" s="1801"/>
      <c r="AF1141" s="1814"/>
      <c r="AG1141" s="376"/>
      <c r="AH1141" s="376"/>
      <c r="AI1141" s="376"/>
      <c r="AJ1141" s="376"/>
      <c r="AK1141" s="376"/>
      <c r="AL1141" s="1148"/>
      <c r="AM1141" s="1148"/>
      <c r="AN1141" s="1148"/>
      <c r="AO1141" s="1148"/>
      <c r="AP1141" s="1148"/>
      <c r="AQ1141" s="1144"/>
      <c r="AR1141" s="1144"/>
      <c r="AS1141" s="1144"/>
      <c r="AT1141" s="1144"/>
      <c r="AU1141" s="1144"/>
      <c r="AV1141" s="1144"/>
      <c r="AW1141" s="1144"/>
      <c r="AX1141" s="1144"/>
      <c r="AY1141" s="1144"/>
      <c r="AZ1141" s="1144"/>
      <c r="BA1141" s="1144"/>
      <c r="BB1141" s="1144"/>
      <c r="BC1141" s="1144"/>
      <c r="BD1141" s="1144"/>
      <c r="BE1141" s="1144"/>
      <c r="BF1141" s="1144"/>
      <c r="BG1141" s="1144"/>
      <c r="BH1141" s="1144"/>
      <c r="BI1141" s="1144"/>
      <c r="BJ1141" s="1144"/>
      <c r="BK1141" s="1144"/>
      <c r="BL1141" s="1144"/>
      <c r="BM1141" s="1144"/>
      <c r="BN1141" s="1144"/>
      <c r="BO1141" s="1144"/>
      <c r="BP1141" s="1144"/>
      <c r="BQ1141" s="1144"/>
      <c r="BR1141" s="1144"/>
      <c r="BS1141" s="1144"/>
      <c r="BT1141" s="1144"/>
      <c r="BU1141" s="1144"/>
      <c r="BV1141" s="1144"/>
      <c r="BW1141" s="1144"/>
      <c r="BX1141" s="1144"/>
      <c r="BY1141" s="1144"/>
      <c r="BZ1141" s="1144"/>
      <c r="CA1141" s="1144"/>
      <c r="CB1141" s="1144"/>
      <c r="CC1141" s="1144"/>
      <c r="CD1141" s="1144"/>
      <c r="CE1141" s="1144"/>
      <c r="CF1141" s="1144"/>
      <c r="CG1141" s="1144"/>
      <c r="CH1141" s="1144"/>
      <c r="CI1141" s="1144"/>
      <c r="CJ1141" s="1144"/>
      <c r="CK1141" s="1144"/>
      <c r="CL1141" s="1144"/>
      <c r="CM1141" s="1144"/>
      <c r="CN1141" s="1144"/>
    </row>
    <row r="1142" spans="11:92" ht="12" customHeight="1" x14ac:dyDescent="0.35">
      <c r="K1142" s="29">
        <f t="shared" si="796"/>
        <v>1</v>
      </c>
      <c r="L1142" s="1158">
        <f t="shared" si="797"/>
        <v>0</v>
      </c>
      <c r="M1142" s="34">
        <f t="shared" si="798"/>
        <v>0</v>
      </c>
      <c r="N1142" s="34">
        <f t="shared" si="799"/>
        <v>0</v>
      </c>
      <c r="O1142" s="55">
        <f t="shared" si="800"/>
        <v>0</v>
      </c>
      <c r="P1142" s="55">
        <f t="shared" si="801"/>
        <v>0</v>
      </c>
      <c r="Q1142" s="55">
        <f t="shared" si="802"/>
        <v>0</v>
      </c>
      <c r="R1142" s="31">
        <f>IF(Input!D$298=L1298,Input!D$297,0)</f>
        <v>0</v>
      </c>
      <c r="S1142" s="36">
        <f t="shared" si="795"/>
        <v>0</v>
      </c>
      <c r="T1142" s="1818"/>
      <c r="U1142" s="1814"/>
      <c r="V1142" s="1814"/>
      <c r="W1142" s="1817"/>
      <c r="X1142" s="1814"/>
      <c r="Y1142" s="1801"/>
      <c r="Z1142" s="1801"/>
      <c r="AA1142" s="1801"/>
      <c r="AB1142" s="1801"/>
      <c r="AC1142" s="1801"/>
      <c r="AD1142" s="1801"/>
      <c r="AE1142" s="1801"/>
      <c r="AF1142" s="1814"/>
      <c r="AG1142" s="376"/>
      <c r="AH1142" s="376"/>
      <c r="AI1142" s="376"/>
      <c r="AJ1142" s="376"/>
      <c r="AK1142" s="376"/>
      <c r="AL1142" s="1148"/>
      <c r="AM1142" s="1148"/>
      <c r="AN1142" s="1148"/>
      <c r="AO1142" s="1148"/>
      <c r="AP1142" s="1148"/>
      <c r="AQ1142" s="1144"/>
      <c r="AR1142" s="1144"/>
      <c r="AS1142" s="1144"/>
      <c r="AT1142" s="1144"/>
      <c r="AU1142" s="1144"/>
      <c r="AV1142" s="1144"/>
      <c r="AW1142" s="1144"/>
      <c r="AX1142" s="1144"/>
      <c r="AY1142" s="1144"/>
      <c r="AZ1142" s="1144"/>
      <c r="BA1142" s="1144"/>
      <c r="BB1142" s="1144"/>
      <c r="BC1142" s="1144"/>
      <c r="BD1142" s="1144"/>
      <c r="BE1142" s="1144"/>
      <c r="BF1142" s="1144"/>
      <c r="BG1142" s="1144"/>
      <c r="BH1142" s="1144"/>
      <c r="BI1142" s="1144"/>
      <c r="BJ1142" s="1144"/>
      <c r="BK1142" s="1144"/>
      <c r="BL1142" s="1144"/>
      <c r="BM1142" s="1144"/>
      <c r="BN1142" s="1144"/>
      <c r="BO1142" s="1144"/>
      <c r="BP1142" s="1144"/>
      <c r="BQ1142" s="1144"/>
      <c r="BR1142" s="1144"/>
      <c r="BS1142" s="1144"/>
      <c r="BT1142" s="1144"/>
      <c r="BU1142" s="1144"/>
      <c r="BV1142" s="1144"/>
      <c r="BW1142" s="1144"/>
      <c r="BX1142" s="1144"/>
      <c r="BY1142" s="1144"/>
      <c r="BZ1142" s="1144"/>
      <c r="CA1142" s="1144"/>
      <c r="CB1142" s="1144"/>
      <c r="CC1142" s="1144"/>
      <c r="CD1142" s="1144"/>
      <c r="CE1142" s="1144"/>
      <c r="CF1142" s="1144"/>
      <c r="CG1142" s="1144"/>
      <c r="CH1142" s="1144"/>
      <c r="CI1142" s="1144"/>
      <c r="CJ1142" s="1144"/>
      <c r="CK1142" s="1144"/>
      <c r="CL1142" s="1144"/>
      <c r="CM1142" s="1144"/>
      <c r="CN1142" s="1144"/>
    </row>
    <row r="1143" spans="11:92" ht="12" customHeight="1" x14ac:dyDescent="0.35">
      <c r="K1143" s="29">
        <f t="shared" si="796"/>
        <v>1</v>
      </c>
      <c r="L1143" s="1158">
        <f t="shared" si="797"/>
        <v>0</v>
      </c>
      <c r="M1143" s="34">
        <f t="shared" si="798"/>
        <v>0</v>
      </c>
      <c r="N1143" s="34">
        <f t="shared" si="799"/>
        <v>0</v>
      </c>
      <c r="O1143" s="55">
        <f t="shared" si="800"/>
        <v>0</v>
      </c>
      <c r="P1143" s="55">
        <f t="shared" si="801"/>
        <v>0</v>
      </c>
      <c r="Q1143" s="55">
        <f t="shared" si="802"/>
        <v>0</v>
      </c>
      <c r="R1143" s="31">
        <f>IF(Input!D$298=L1299,Input!D$297,0)</f>
        <v>0</v>
      </c>
      <c r="S1143" s="36">
        <f t="shared" si="795"/>
        <v>0</v>
      </c>
      <c r="T1143" s="1818"/>
      <c r="U1143" s="1814"/>
      <c r="V1143" s="1814"/>
      <c r="W1143" s="1817"/>
      <c r="X1143" s="1814"/>
      <c r="Y1143" s="1801"/>
      <c r="Z1143" s="1801"/>
      <c r="AA1143" s="1801"/>
      <c r="AB1143" s="1801"/>
      <c r="AC1143" s="1801"/>
      <c r="AD1143" s="1801"/>
      <c r="AE1143" s="1801"/>
      <c r="AF1143" s="1814"/>
      <c r="AG1143" s="376"/>
      <c r="AH1143" s="376"/>
      <c r="AI1143" s="376"/>
      <c r="AJ1143" s="376"/>
      <c r="AK1143" s="376"/>
      <c r="AL1143" s="1148"/>
      <c r="AM1143" s="1148"/>
      <c r="AN1143" s="1148"/>
      <c r="AO1143" s="1148"/>
      <c r="AP1143" s="1148"/>
      <c r="AQ1143" s="1144"/>
      <c r="AR1143" s="1144"/>
      <c r="AS1143" s="1144"/>
      <c r="AT1143" s="1144"/>
      <c r="AU1143" s="1144"/>
      <c r="AV1143" s="1144"/>
      <c r="AW1143" s="1144"/>
      <c r="AX1143" s="1144"/>
      <c r="AY1143" s="1144"/>
      <c r="AZ1143" s="1144"/>
      <c r="BA1143" s="1144"/>
      <c r="BB1143" s="1144"/>
      <c r="BC1143" s="1144"/>
      <c r="BD1143" s="1144"/>
      <c r="BE1143" s="1144"/>
      <c r="BF1143" s="1144"/>
      <c r="BG1143" s="1144"/>
      <c r="BH1143" s="1144"/>
      <c r="BI1143" s="1144"/>
      <c r="BJ1143" s="1144"/>
      <c r="BK1143" s="1144"/>
      <c r="BL1143" s="1144"/>
      <c r="BM1143" s="1144"/>
      <c r="BN1143" s="1144"/>
      <c r="BO1143" s="1144"/>
      <c r="BP1143" s="1144"/>
      <c r="BQ1143" s="1144"/>
      <c r="BR1143" s="1144"/>
      <c r="BS1143" s="1144"/>
      <c r="BT1143" s="1144"/>
      <c r="BU1143" s="1144"/>
      <c r="BV1143" s="1144"/>
      <c r="BW1143" s="1144"/>
      <c r="BX1143" s="1144"/>
      <c r="BY1143" s="1144"/>
      <c r="BZ1143" s="1144"/>
      <c r="CA1143" s="1144"/>
      <c r="CB1143" s="1144"/>
      <c r="CC1143" s="1144"/>
      <c r="CD1143" s="1144"/>
      <c r="CE1143" s="1144"/>
      <c r="CF1143" s="1144"/>
      <c r="CG1143" s="1144"/>
      <c r="CH1143" s="1144"/>
      <c r="CI1143" s="1144"/>
      <c r="CJ1143" s="1144"/>
      <c r="CK1143" s="1144"/>
      <c r="CL1143" s="1144"/>
      <c r="CM1143" s="1144"/>
      <c r="CN1143" s="1144"/>
    </row>
    <row r="1144" spans="11:92" ht="12" customHeight="1" x14ac:dyDescent="0.35">
      <c r="K1144" s="29">
        <f t="shared" si="796"/>
        <v>1</v>
      </c>
      <c r="L1144" s="1158">
        <f t="shared" si="797"/>
        <v>0</v>
      </c>
      <c r="M1144" s="34">
        <f t="shared" si="798"/>
        <v>0</v>
      </c>
      <c r="N1144" s="34">
        <f t="shared" si="799"/>
        <v>0</v>
      </c>
      <c r="O1144" s="55">
        <f t="shared" si="800"/>
        <v>0</v>
      </c>
      <c r="P1144" s="55">
        <f t="shared" si="801"/>
        <v>0</v>
      </c>
      <c r="Q1144" s="55">
        <f t="shared" si="802"/>
        <v>0</v>
      </c>
      <c r="R1144" s="31">
        <f>IF(Input!D$298=L1300,Input!D$297,0)</f>
        <v>0</v>
      </c>
      <c r="S1144" s="36">
        <f t="shared" si="795"/>
        <v>0</v>
      </c>
      <c r="T1144" s="1818"/>
      <c r="U1144" s="1814"/>
      <c r="V1144" s="1814"/>
      <c r="W1144" s="1817"/>
      <c r="X1144" s="1814"/>
      <c r="Y1144" s="1801"/>
      <c r="Z1144" s="1801"/>
      <c r="AA1144" s="1801"/>
      <c r="AB1144" s="1801"/>
      <c r="AC1144" s="1801"/>
      <c r="AD1144" s="1801"/>
      <c r="AE1144" s="1801"/>
      <c r="AF1144" s="1814"/>
      <c r="AG1144" s="376"/>
      <c r="AH1144" s="376"/>
      <c r="AI1144" s="376"/>
      <c r="AJ1144" s="376"/>
      <c r="AK1144" s="376"/>
      <c r="AL1144" s="1148"/>
      <c r="AM1144" s="1148"/>
      <c r="AN1144" s="1148"/>
      <c r="AO1144" s="1148"/>
      <c r="AP1144" s="1148"/>
      <c r="AQ1144" s="1144"/>
      <c r="AR1144" s="1144"/>
      <c r="AS1144" s="1144"/>
      <c r="AT1144" s="1144"/>
      <c r="AU1144" s="1144"/>
      <c r="AV1144" s="1144"/>
      <c r="AW1144" s="1144"/>
      <c r="AX1144" s="1144"/>
      <c r="AY1144" s="1144"/>
      <c r="AZ1144" s="1144"/>
      <c r="BA1144" s="1144"/>
      <c r="BB1144" s="1144"/>
      <c r="BC1144" s="1144"/>
      <c r="BD1144" s="1144"/>
      <c r="BE1144" s="1144"/>
      <c r="BF1144" s="1144"/>
      <c r="BG1144" s="1144"/>
      <c r="BH1144" s="1144"/>
      <c r="BI1144" s="1144"/>
      <c r="BJ1144" s="1144"/>
      <c r="BK1144" s="1144"/>
      <c r="BL1144" s="1144"/>
      <c r="BM1144" s="1144"/>
      <c r="BN1144" s="1144"/>
      <c r="BO1144" s="1144"/>
      <c r="BP1144" s="1144"/>
      <c r="BQ1144" s="1144"/>
      <c r="BR1144" s="1144"/>
      <c r="BS1144" s="1144"/>
      <c r="BT1144" s="1144"/>
      <c r="BU1144" s="1144"/>
      <c r="BV1144" s="1144"/>
      <c r="BW1144" s="1144"/>
      <c r="BX1144" s="1144"/>
      <c r="BY1144" s="1144"/>
      <c r="BZ1144" s="1144"/>
      <c r="CA1144" s="1144"/>
      <c r="CB1144" s="1144"/>
      <c r="CC1144" s="1144"/>
      <c r="CD1144" s="1144"/>
      <c r="CE1144" s="1144"/>
      <c r="CF1144" s="1144"/>
      <c r="CG1144" s="1144"/>
      <c r="CH1144" s="1144"/>
      <c r="CI1144" s="1144"/>
      <c r="CJ1144" s="1144"/>
      <c r="CK1144" s="1144"/>
      <c r="CL1144" s="1144"/>
      <c r="CM1144" s="1144"/>
      <c r="CN1144" s="1144"/>
    </row>
    <row r="1145" spans="11:92" ht="12" customHeight="1" x14ac:dyDescent="0.35">
      <c r="K1145" s="29">
        <f t="shared" si="796"/>
        <v>1</v>
      </c>
      <c r="L1145" s="1158">
        <f t="shared" si="797"/>
        <v>0</v>
      </c>
      <c r="M1145" s="34">
        <f t="shared" si="798"/>
        <v>0</v>
      </c>
      <c r="N1145" s="34">
        <f t="shared" si="799"/>
        <v>0</v>
      </c>
      <c r="O1145" s="55">
        <f t="shared" si="800"/>
        <v>0</v>
      </c>
      <c r="P1145" s="55">
        <f t="shared" si="801"/>
        <v>0</v>
      </c>
      <c r="Q1145" s="55">
        <f t="shared" si="802"/>
        <v>0</v>
      </c>
      <c r="R1145" s="31">
        <f>IF(Input!D$298=L1301,Input!D$297,0)</f>
        <v>0</v>
      </c>
      <c r="S1145" s="36">
        <f t="shared" si="795"/>
        <v>0</v>
      </c>
      <c r="T1145" s="1818"/>
      <c r="U1145" s="1814"/>
      <c r="V1145" s="1814"/>
      <c r="W1145" s="1817"/>
      <c r="X1145" s="1814"/>
      <c r="Y1145" s="1801"/>
      <c r="Z1145" s="1801"/>
      <c r="AA1145" s="1801"/>
      <c r="AB1145" s="1801"/>
      <c r="AC1145" s="1801"/>
      <c r="AD1145" s="1801"/>
      <c r="AE1145" s="1801"/>
      <c r="AF1145" s="1814"/>
      <c r="AG1145" s="376"/>
      <c r="AH1145" s="376"/>
      <c r="AI1145" s="376"/>
      <c r="AJ1145" s="376"/>
      <c r="AK1145" s="376"/>
      <c r="AL1145" s="1148"/>
      <c r="AM1145" s="1148"/>
      <c r="AN1145" s="1148"/>
      <c r="AO1145" s="1148"/>
      <c r="AP1145" s="1148"/>
      <c r="AQ1145" s="1144"/>
      <c r="AR1145" s="1144"/>
      <c r="AS1145" s="1144"/>
      <c r="AT1145" s="1144"/>
      <c r="AU1145" s="1144"/>
      <c r="AV1145" s="1144"/>
      <c r="AW1145" s="1144"/>
      <c r="AX1145" s="1144"/>
      <c r="AY1145" s="1144"/>
      <c r="AZ1145" s="1144"/>
      <c r="BA1145" s="1144"/>
      <c r="BB1145" s="1144"/>
      <c r="BC1145" s="1144"/>
      <c r="BD1145" s="1144"/>
      <c r="BE1145" s="1144"/>
      <c r="BF1145" s="1144"/>
      <c r="BG1145" s="1144"/>
      <c r="BH1145" s="1144"/>
      <c r="BI1145" s="1144"/>
      <c r="BJ1145" s="1144"/>
      <c r="BK1145" s="1144"/>
      <c r="BL1145" s="1144"/>
      <c r="BM1145" s="1144"/>
      <c r="BN1145" s="1144"/>
      <c r="BO1145" s="1144"/>
      <c r="BP1145" s="1144"/>
      <c r="BQ1145" s="1144"/>
      <c r="BR1145" s="1144"/>
      <c r="BS1145" s="1144"/>
      <c r="BT1145" s="1144"/>
      <c r="BU1145" s="1144"/>
      <c r="BV1145" s="1144"/>
      <c r="BW1145" s="1144"/>
      <c r="BX1145" s="1144"/>
      <c r="BY1145" s="1144"/>
      <c r="BZ1145" s="1144"/>
      <c r="CA1145" s="1144"/>
      <c r="CB1145" s="1144"/>
      <c r="CC1145" s="1144"/>
      <c r="CD1145" s="1144"/>
      <c r="CE1145" s="1144"/>
      <c r="CF1145" s="1144"/>
      <c r="CG1145" s="1144"/>
      <c r="CH1145" s="1144"/>
      <c r="CI1145" s="1144"/>
      <c r="CJ1145" s="1144"/>
      <c r="CK1145" s="1144"/>
      <c r="CL1145" s="1144"/>
      <c r="CM1145" s="1144"/>
      <c r="CN1145" s="1144"/>
    </row>
    <row r="1146" spans="11:92" ht="12" customHeight="1" x14ac:dyDescent="0.35">
      <c r="K1146" s="29">
        <f t="shared" si="796"/>
        <v>1</v>
      </c>
      <c r="L1146" s="1158">
        <f t="shared" si="797"/>
        <v>0</v>
      </c>
      <c r="M1146" s="34">
        <f t="shared" si="798"/>
        <v>0</v>
      </c>
      <c r="N1146" s="34">
        <f t="shared" si="799"/>
        <v>0</v>
      </c>
      <c r="O1146" s="55">
        <f t="shared" si="800"/>
        <v>0</v>
      </c>
      <c r="P1146" s="55">
        <f t="shared" si="801"/>
        <v>0</v>
      </c>
      <c r="Q1146" s="55">
        <f t="shared" si="802"/>
        <v>0</v>
      </c>
      <c r="R1146" s="31">
        <f>IF(Input!D$298=L1302,Input!D$297,0)</f>
        <v>0</v>
      </c>
      <c r="S1146" s="36">
        <f t="shared" si="795"/>
        <v>0</v>
      </c>
      <c r="T1146" s="1818"/>
      <c r="U1146" s="1814"/>
      <c r="V1146" s="1814"/>
      <c r="W1146" s="1817"/>
      <c r="X1146" s="1814"/>
      <c r="Y1146" s="1801"/>
      <c r="Z1146" s="1801"/>
      <c r="AA1146" s="1801"/>
      <c r="AB1146" s="1801"/>
      <c r="AC1146" s="1801"/>
      <c r="AD1146" s="1801"/>
      <c r="AE1146" s="1801"/>
      <c r="AF1146" s="1814"/>
      <c r="AG1146" s="376"/>
      <c r="AH1146" s="376"/>
      <c r="AI1146" s="376"/>
      <c r="AJ1146" s="376"/>
      <c r="AK1146" s="376"/>
      <c r="AL1146" s="1148"/>
      <c r="AM1146" s="1148"/>
      <c r="AN1146" s="1148"/>
      <c r="AO1146" s="1148"/>
      <c r="AP1146" s="1148"/>
      <c r="AQ1146" s="1144"/>
      <c r="AR1146" s="1144"/>
      <c r="AS1146" s="1144"/>
      <c r="AT1146" s="1144"/>
      <c r="AU1146" s="1144"/>
      <c r="AV1146" s="1144"/>
      <c r="AW1146" s="1144"/>
      <c r="AX1146" s="1144"/>
      <c r="AY1146" s="1144"/>
      <c r="AZ1146" s="1144"/>
      <c r="BA1146" s="1144"/>
      <c r="BB1146" s="1144"/>
      <c r="BC1146" s="1144"/>
      <c r="BD1146" s="1144"/>
      <c r="BE1146" s="1144"/>
      <c r="BF1146" s="1144"/>
      <c r="BG1146" s="1144"/>
      <c r="BH1146" s="1144"/>
      <c r="BI1146" s="1144"/>
      <c r="BJ1146" s="1144"/>
      <c r="BK1146" s="1144"/>
      <c r="BL1146" s="1144"/>
      <c r="BM1146" s="1144"/>
      <c r="BN1146" s="1144"/>
      <c r="BO1146" s="1144"/>
      <c r="BP1146" s="1144"/>
      <c r="BQ1146" s="1144"/>
      <c r="BR1146" s="1144"/>
      <c r="BS1146" s="1144"/>
      <c r="BT1146" s="1144"/>
      <c r="BU1146" s="1144"/>
      <c r="BV1146" s="1144"/>
      <c r="BW1146" s="1144"/>
      <c r="BX1146" s="1144"/>
      <c r="BY1146" s="1144"/>
      <c r="BZ1146" s="1144"/>
      <c r="CA1146" s="1144"/>
      <c r="CB1146" s="1144"/>
      <c r="CC1146" s="1144"/>
      <c r="CD1146" s="1144"/>
      <c r="CE1146" s="1144"/>
      <c r="CF1146" s="1144"/>
      <c r="CG1146" s="1144"/>
      <c r="CH1146" s="1144"/>
      <c r="CI1146" s="1144"/>
      <c r="CJ1146" s="1144"/>
      <c r="CK1146" s="1144"/>
      <c r="CL1146" s="1144"/>
      <c r="CM1146" s="1144"/>
      <c r="CN1146" s="1144"/>
    </row>
    <row r="1147" spans="11:92" ht="12" customHeight="1" x14ac:dyDescent="0.35">
      <c r="K1147" s="29">
        <f t="shared" si="796"/>
        <v>1</v>
      </c>
      <c r="L1147" s="1158">
        <f t="shared" si="797"/>
        <v>0</v>
      </c>
      <c r="M1147" s="34">
        <f t="shared" si="798"/>
        <v>0</v>
      </c>
      <c r="N1147" s="34">
        <f t="shared" si="799"/>
        <v>0</v>
      </c>
      <c r="O1147" s="55">
        <f t="shared" si="800"/>
        <v>0</v>
      </c>
      <c r="P1147" s="55">
        <f t="shared" si="801"/>
        <v>0</v>
      </c>
      <c r="Q1147" s="55">
        <f t="shared" si="802"/>
        <v>0</v>
      </c>
      <c r="R1147" s="31">
        <f>IF(Input!D$298=L1303,Input!D$297,0)</f>
        <v>0</v>
      </c>
      <c r="S1147" s="36">
        <f t="shared" si="795"/>
        <v>0</v>
      </c>
      <c r="T1147" s="1818"/>
      <c r="U1147" s="1814"/>
      <c r="V1147" s="1814"/>
      <c r="W1147" s="1817"/>
      <c r="X1147" s="1814"/>
      <c r="Y1147" s="1801"/>
      <c r="Z1147" s="1801"/>
      <c r="AA1147" s="1801"/>
      <c r="AB1147" s="1801"/>
      <c r="AC1147" s="1801"/>
      <c r="AD1147" s="1801"/>
      <c r="AE1147" s="1801"/>
      <c r="AF1147" s="1814"/>
      <c r="AG1147" s="376"/>
      <c r="AH1147" s="376"/>
      <c r="AI1147" s="376"/>
      <c r="AJ1147" s="376"/>
      <c r="AK1147" s="376"/>
      <c r="AL1147" s="1148"/>
      <c r="AM1147" s="1148"/>
      <c r="AN1147" s="1148"/>
      <c r="AO1147" s="1148"/>
      <c r="AP1147" s="1148"/>
      <c r="AQ1147" s="1144"/>
      <c r="AR1147" s="1144"/>
      <c r="AS1147" s="1144"/>
      <c r="AT1147" s="1144"/>
      <c r="AU1147" s="1144"/>
      <c r="AV1147" s="1144"/>
      <c r="AW1147" s="1144"/>
      <c r="AX1147" s="1144"/>
      <c r="AY1147" s="1144"/>
      <c r="AZ1147" s="1144"/>
      <c r="BA1147" s="1144"/>
      <c r="BB1147" s="1144"/>
      <c r="BC1147" s="1144"/>
      <c r="BD1147" s="1144"/>
      <c r="BE1147" s="1144"/>
      <c r="BF1147" s="1144"/>
      <c r="BG1147" s="1144"/>
      <c r="BH1147" s="1144"/>
      <c r="BI1147" s="1144"/>
      <c r="BJ1147" s="1144"/>
      <c r="BK1147" s="1144"/>
      <c r="BL1147" s="1144"/>
      <c r="BM1147" s="1144"/>
      <c r="BN1147" s="1144"/>
      <c r="BO1147" s="1144"/>
      <c r="BP1147" s="1144"/>
      <c r="BQ1147" s="1144"/>
      <c r="BR1147" s="1144"/>
      <c r="BS1147" s="1144"/>
      <c r="BT1147" s="1144"/>
      <c r="BU1147" s="1144"/>
      <c r="BV1147" s="1144"/>
      <c r="BW1147" s="1144"/>
      <c r="BX1147" s="1144"/>
      <c r="BY1147" s="1144"/>
      <c r="BZ1147" s="1144"/>
      <c r="CA1147" s="1144"/>
      <c r="CB1147" s="1144"/>
      <c r="CC1147" s="1144"/>
      <c r="CD1147" s="1144"/>
      <c r="CE1147" s="1144"/>
      <c r="CF1147" s="1144"/>
      <c r="CG1147" s="1144"/>
      <c r="CH1147" s="1144"/>
      <c r="CI1147" s="1144"/>
      <c r="CJ1147" s="1144"/>
      <c r="CK1147" s="1144"/>
      <c r="CL1147" s="1144"/>
      <c r="CM1147" s="1144"/>
      <c r="CN1147" s="1144"/>
    </row>
    <row r="1148" spans="11:92" ht="12" customHeight="1" x14ac:dyDescent="0.35">
      <c r="K1148" s="29">
        <f t="shared" si="796"/>
        <v>1</v>
      </c>
      <c r="L1148" s="1158">
        <f t="shared" si="797"/>
        <v>0</v>
      </c>
      <c r="M1148" s="34">
        <f t="shared" si="798"/>
        <v>0</v>
      </c>
      <c r="N1148" s="34">
        <f t="shared" si="799"/>
        <v>0</v>
      </c>
      <c r="O1148" s="55">
        <f t="shared" si="800"/>
        <v>0</v>
      </c>
      <c r="P1148" s="55">
        <f t="shared" si="801"/>
        <v>0</v>
      </c>
      <c r="Q1148" s="55">
        <f t="shared" si="802"/>
        <v>0</v>
      </c>
      <c r="R1148" s="31">
        <f>IF(Input!D$298=L1304,Input!D$297,0)</f>
        <v>0</v>
      </c>
      <c r="S1148" s="36">
        <f t="shared" si="795"/>
        <v>0</v>
      </c>
      <c r="T1148" s="1818"/>
      <c r="U1148" s="1814"/>
      <c r="V1148" s="1814"/>
      <c r="W1148" s="1817"/>
      <c r="X1148" s="1814"/>
      <c r="Y1148" s="1801"/>
      <c r="Z1148" s="1801"/>
      <c r="AA1148" s="1801"/>
      <c r="AB1148" s="1801"/>
      <c r="AC1148" s="1801"/>
      <c r="AD1148" s="1801"/>
      <c r="AE1148" s="1801"/>
      <c r="AF1148" s="1814"/>
      <c r="AG1148" s="376"/>
      <c r="AH1148" s="376"/>
      <c r="AI1148" s="376"/>
      <c r="AJ1148" s="376"/>
      <c r="AK1148" s="376"/>
      <c r="AL1148" s="1148"/>
      <c r="AM1148" s="1148"/>
      <c r="AN1148" s="1148"/>
      <c r="AO1148" s="1148"/>
      <c r="AP1148" s="1148"/>
      <c r="AQ1148" s="1144"/>
      <c r="AR1148" s="1144"/>
      <c r="AS1148" s="1144"/>
      <c r="AT1148" s="1144"/>
      <c r="AU1148" s="1144"/>
      <c r="AV1148" s="1144"/>
      <c r="AW1148" s="1144"/>
      <c r="AX1148" s="1144"/>
      <c r="AY1148" s="1144"/>
      <c r="AZ1148" s="1144"/>
      <c r="BA1148" s="1144"/>
      <c r="BB1148" s="1144"/>
      <c r="BC1148" s="1144"/>
      <c r="BD1148" s="1144"/>
      <c r="BE1148" s="1144"/>
      <c r="BF1148" s="1144"/>
      <c r="BG1148" s="1144"/>
      <c r="BH1148" s="1144"/>
      <c r="BI1148" s="1144"/>
      <c r="BJ1148" s="1144"/>
      <c r="BK1148" s="1144"/>
      <c r="BL1148" s="1144"/>
      <c r="BM1148" s="1144"/>
      <c r="BN1148" s="1144"/>
      <c r="BO1148" s="1144"/>
      <c r="BP1148" s="1144"/>
      <c r="BQ1148" s="1144"/>
      <c r="BR1148" s="1144"/>
      <c r="BS1148" s="1144"/>
      <c r="BT1148" s="1144"/>
      <c r="BU1148" s="1144"/>
      <c r="BV1148" s="1144"/>
      <c r="BW1148" s="1144"/>
      <c r="BX1148" s="1144"/>
      <c r="BY1148" s="1144"/>
      <c r="BZ1148" s="1144"/>
      <c r="CA1148" s="1144"/>
      <c r="CB1148" s="1144"/>
      <c r="CC1148" s="1144"/>
      <c r="CD1148" s="1144"/>
      <c r="CE1148" s="1144"/>
      <c r="CF1148" s="1144"/>
      <c r="CG1148" s="1144"/>
      <c r="CH1148" s="1144"/>
      <c r="CI1148" s="1144"/>
      <c r="CJ1148" s="1144"/>
      <c r="CK1148" s="1144"/>
      <c r="CL1148" s="1144"/>
      <c r="CM1148" s="1144"/>
      <c r="CN1148" s="1144"/>
    </row>
    <row r="1149" spans="11:92" ht="12" customHeight="1" x14ac:dyDescent="0.35">
      <c r="K1149" s="29">
        <f t="shared" si="796"/>
        <v>1</v>
      </c>
      <c r="L1149" s="1158">
        <f t="shared" si="797"/>
        <v>0</v>
      </c>
      <c r="M1149" s="34">
        <f t="shared" si="798"/>
        <v>0</v>
      </c>
      <c r="N1149" s="34">
        <f t="shared" si="799"/>
        <v>0</v>
      </c>
      <c r="O1149" s="55">
        <f t="shared" si="800"/>
        <v>0</v>
      </c>
      <c r="P1149" s="55">
        <f t="shared" si="801"/>
        <v>0</v>
      </c>
      <c r="Q1149" s="55">
        <f t="shared" si="802"/>
        <v>0</v>
      </c>
      <c r="R1149" s="31">
        <f>IF(Input!D$298=L1305,Input!D$297,0)</f>
        <v>0</v>
      </c>
      <c r="S1149" s="36">
        <f t="shared" si="795"/>
        <v>0</v>
      </c>
      <c r="T1149" s="1818"/>
      <c r="U1149" s="1814"/>
      <c r="V1149" s="1814"/>
      <c r="W1149" s="1817"/>
      <c r="X1149" s="1814"/>
      <c r="Y1149" s="1801"/>
      <c r="Z1149" s="1801"/>
      <c r="AA1149" s="1801"/>
      <c r="AB1149" s="1801"/>
      <c r="AC1149" s="1801"/>
      <c r="AD1149" s="1801"/>
      <c r="AE1149" s="1801"/>
      <c r="AF1149" s="1814"/>
      <c r="AG1149" s="376"/>
      <c r="AH1149" s="376"/>
      <c r="AI1149" s="376"/>
      <c r="AJ1149" s="376"/>
      <c r="AK1149" s="376"/>
      <c r="AL1149" s="1148"/>
      <c r="AM1149" s="1148"/>
      <c r="AN1149" s="1148"/>
      <c r="AO1149" s="1148"/>
      <c r="AP1149" s="1148"/>
      <c r="AQ1149" s="1144"/>
      <c r="AR1149" s="1144"/>
      <c r="AS1149" s="1144"/>
      <c r="AT1149" s="1144"/>
      <c r="AU1149" s="1144"/>
      <c r="AV1149" s="1144"/>
      <c r="AW1149" s="1144"/>
      <c r="AX1149" s="1144"/>
      <c r="AY1149" s="1144"/>
      <c r="AZ1149" s="1144"/>
      <c r="BA1149" s="1144"/>
      <c r="BB1149" s="1144"/>
      <c r="BC1149" s="1144"/>
      <c r="BD1149" s="1144"/>
      <c r="BE1149" s="1144"/>
      <c r="BF1149" s="1144"/>
      <c r="BG1149" s="1144"/>
      <c r="BH1149" s="1144"/>
      <c r="BI1149" s="1144"/>
      <c r="BJ1149" s="1144"/>
      <c r="BK1149" s="1144"/>
      <c r="BL1149" s="1144"/>
      <c r="BM1149" s="1144"/>
      <c r="BN1149" s="1144"/>
      <c r="BO1149" s="1144"/>
      <c r="BP1149" s="1144"/>
      <c r="BQ1149" s="1144"/>
      <c r="BR1149" s="1144"/>
      <c r="BS1149" s="1144"/>
      <c r="BT1149" s="1144"/>
      <c r="BU1149" s="1144"/>
      <c r="BV1149" s="1144"/>
      <c r="BW1149" s="1144"/>
      <c r="BX1149" s="1144"/>
      <c r="BY1149" s="1144"/>
      <c r="BZ1149" s="1144"/>
      <c r="CA1149" s="1144"/>
      <c r="CB1149" s="1144"/>
      <c r="CC1149" s="1144"/>
      <c r="CD1149" s="1144"/>
      <c r="CE1149" s="1144"/>
      <c r="CF1149" s="1144"/>
      <c r="CG1149" s="1144"/>
      <c r="CH1149" s="1144"/>
      <c r="CI1149" s="1144"/>
      <c r="CJ1149" s="1144"/>
      <c r="CK1149" s="1144"/>
      <c r="CL1149" s="1144"/>
      <c r="CM1149" s="1144"/>
      <c r="CN1149" s="1144"/>
    </row>
    <row r="1150" spans="11:92" ht="12" customHeight="1" x14ac:dyDescent="0.35">
      <c r="K1150" s="29">
        <f t="shared" si="796"/>
        <v>1</v>
      </c>
      <c r="L1150" s="1158">
        <f t="shared" si="797"/>
        <v>0</v>
      </c>
      <c r="M1150" s="34">
        <f t="shared" si="798"/>
        <v>0</v>
      </c>
      <c r="N1150" s="34">
        <f t="shared" si="799"/>
        <v>0</v>
      </c>
      <c r="O1150" s="55">
        <f t="shared" si="800"/>
        <v>0</v>
      </c>
      <c r="P1150" s="55">
        <f t="shared" si="801"/>
        <v>0</v>
      </c>
      <c r="Q1150" s="55">
        <f t="shared" si="802"/>
        <v>0</v>
      </c>
      <c r="R1150" s="31">
        <f>IF(Input!D$298=L1306,Input!D$297,0)</f>
        <v>0</v>
      </c>
      <c r="S1150" s="36">
        <f t="shared" si="795"/>
        <v>0</v>
      </c>
      <c r="T1150" s="1818"/>
      <c r="U1150" s="1814"/>
      <c r="V1150" s="1814"/>
      <c r="W1150" s="1817"/>
      <c r="X1150" s="1814"/>
      <c r="Y1150" s="1801"/>
      <c r="Z1150" s="1801"/>
      <c r="AA1150" s="1801"/>
      <c r="AB1150" s="1801"/>
      <c r="AC1150" s="1801"/>
      <c r="AD1150" s="1801"/>
      <c r="AE1150" s="1801"/>
      <c r="AF1150" s="1814"/>
      <c r="AG1150" s="376"/>
      <c r="AH1150" s="376"/>
      <c r="AI1150" s="376"/>
      <c r="AJ1150" s="376"/>
      <c r="AK1150" s="376"/>
      <c r="AL1150" s="1148"/>
      <c r="AM1150" s="1148"/>
      <c r="AN1150" s="1148"/>
      <c r="AO1150" s="1148"/>
      <c r="AP1150" s="1148"/>
      <c r="AQ1150" s="1144"/>
      <c r="AR1150" s="1144"/>
      <c r="AS1150" s="1144"/>
      <c r="AT1150" s="1144"/>
      <c r="AU1150" s="1144"/>
      <c r="AV1150" s="1144"/>
      <c r="AW1150" s="1144"/>
      <c r="AX1150" s="1144"/>
      <c r="AY1150" s="1144"/>
      <c r="AZ1150" s="1144"/>
      <c r="BA1150" s="1144"/>
      <c r="BB1150" s="1144"/>
      <c r="BC1150" s="1144"/>
      <c r="BD1150" s="1144"/>
      <c r="BE1150" s="1144"/>
      <c r="BF1150" s="1144"/>
      <c r="BG1150" s="1144"/>
      <c r="BH1150" s="1144"/>
      <c r="BI1150" s="1144"/>
      <c r="BJ1150" s="1144"/>
      <c r="BK1150" s="1144"/>
      <c r="BL1150" s="1144"/>
      <c r="BM1150" s="1144"/>
      <c r="BN1150" s="1144"/>
      <c r="BO1150" s="1144"/>
      <c r="BP1150" s="1144"/>
      <c r="BQ1150" s="1144"/>
      <c r="BR1150" s="1144"/>
      <c r="BS1150" s="1144"/>
      <c r="BT1150" s="1144"/>
      <c r="BU1150" s="1144"/>
      <c r="BV1150" s="1144"/>
      <c r="BW1150" s="1144"/>
      <c r="BX1150" s="1144"/>
      <c r="BY1150" s="1144"/>
      <c r="BZ1150" s="1144"/>
      <c r="CA1150" s="1144"/>
      <c r="CB1150" s="1144"/>
      <c r="CC1150" s="1144"/>
      <c r="CD1150" s="1144"/>
      <c r="CE1150" s="1144"/>
      <c r="CF1150" s="1144"/>
      <c r="CG1150" s="1144"/>
      <c r="CH1150" s="1144"/>
      <c r="CI1150" s="1144"/>
      <c r="CJ1150" s="1144"/>
      <c r="CK1150" s="1144"/>
      <c r="CL1150" s="1144"/>
      <c r="CM1150" s="1144"/>
      <c r="CN1150" s="1144"/>
    </row>
    <row r="1151" spans="11:92" ht="12" customHeight="1" x14ac:dyDescent="0.35">
      <c r="K1151" s="29">
        <f t="shared" si="796"/>
        <v>1</v>
      </c>
      <c r="L1151" s="1158">
        <f t="shared" si="797"/>
        <v>0</v>
      </c>
      <c r="M1151" s="34">
        <f t="shared" si="798"/>
        <v>0</v>
      </c>
      <c r="N1151" s="34">
        <f t="shared" si="799"/>
        <v>0</v>
      </c>
      <c r="O1151" s="55">
        <f t="shared" si="800"/>
        <v>0</v>
      </c>
      <c r="P1151" s="55">
        <f t="shared" si="801"/>
        <v>0</v>
      </c>
      <c r="Q1151" s="55">
        <f t="shared" si="802"/>
        <v>0</v>
      </c>
      <c r="R1151" s="31">
        <f>IF(Input!D$298=L1307,Input!D$297,0)</f>
        <v>0</v>
      </c>
      <c r="S1151" s="36">
        <f t="shared" si="795"/>
        <v>0</v>
      </c>
      <c r="T1151" s="1818"/>
      <c r="U1151" s="1814"/>
      <c r="V1151" s="1814"/>
      <c r="W1151" s="1817"/>
      <c r="X1151" s="1814"/>
      <c r="Y1151" s="1801"/>
      <c r="Z1151" s="1801"/>
      <c r="AA1151" s="1801"/>
      <c r="AB1151" s="1801"/>
      <c r="AC1151" s="1801"/>
      <c r="AD1151" s="1801"/>
      <c r="AE1151" s="1801"/>
      <c r="AF1151" s="1814"/>
      <c r="AG1151" s="376"/>
      <c r="AH1151" s="376"/>
      <c r="AI1151" s="376"/>
      <c r="AJ1151" s="376"/>
      <c r="AK1151" s="376"/>
      <c r="AL1151" s="1148"/>
      <c r="AM1151" s="1148"/>
      <c r="AN1151" s="1148"/>
      <c r="AO1151" s="1148"/>
      <c r="AP1151" s="1148"/>
      <c r="AQ1151" s="1144"/>
      <c r="AR1151" s="1144"/>
      <c r="AS1151" s="1144"/>
      <c r="AT1151" s="1144"/>
      <c r="AU1151" s="1144"/>
      <c r="AV1151" s="1144"/>
      <c r="AW1151" s="1144"/>
      <c r="AX1151" s="1144"/>
      <c r="AY1151" s="1144"/>
      <c r="AZ1151" s="1144"/>
      <c r="BA1151" s="1144"/>
      <c r="BB1151" s="1144"/>
      <c r="BC1151" s="1144"/>
      <c r="BD1151" s="1144"/>
      <c r="BE1151" s="1144"/>
      <c r="BF1151" s="1144"/>
      <c r="BG1151" s="1144"/>
      <c r="BH1151" s="1144"/>
      <c r="BI1151" s="1144"/>
      <c r="BJ1151" s="1144"/>
      <c r="BK1151" s="1144"/>
      <c r="BL1151" s="1144"/>
      <c r="BM1151" s="1144"/>
      <c r="BN1151" s="1144"/>
      <c r="BO1151" s="1144"/>
      <c r="BP1151" s="1144"/>
      <c r="BQ1151" s="1144"/>
      <c r="BR1151" s="1144"/>
      <c r="BS1151" s="1144"/>
      <c r="BT1151" s="1144"/>
      <c r="BU1151" s="1144"/>
      <c r="BV1151" s="1144"/>
      <c r="BW1151" s="1144"/>
      <c r="BX1151" s="1144"/>
      <c r="BY1151" s="1144"/>
      <c r="BZ1151" s="1144"/>
      <c r="CA1151" s="1144"/>
      <c r="CB1151" s="1144"/>
      <c r="CC1151" s="1144"/>
      <c r="CD1151" s="1144"/>
      <c r="CE1151" s="1144"/>
      <c r="CF1151" s="1144"/>
      <c r="CG1151" s="1144"/>
      <c r="CH1151" s="1144"/>
      <c r="CI1151" s="1144"/>
      <c r="CJ1151" s="1144"/>
      <c r="CK1151" s="1144"/>
      <c r="CL1151" s="1144"/>
      <c r="CM1151" s="1144"/>
      <c r="CN1151" s="1144"/>
    </row>
    <row r="1152" spans="11:92" ht="12" customHeight="1" x14ac:dyDescent="0.35">
      <c r="K1152" s="29">
        <f t="shared" si="796"/>
        <v>1</v>
      </c>
      <c r="L1152" s="1158">
        <f t="shared" si="797"/>
        <v>0</v>
      </c>
      <c r="M1152" s="34">
        <f t="shared" si="798"/>
        <v>0</v>
      </c>
      <c r="N1152" s="34">
        <f t="shared" si="799"/>
        <v>0</v>
      </c>
      <c r="O1152" s="55">
        <f t="shared" si="800"/>
        <v>0</v>
      </c>
      <c r="P1152" s="55">
        <f t="shared" si="801"/>
        <v>0</v>
      </c>
      <c r="Q1152" s="55">
        <f t="shared" si="802"/>
        <v>0</v>
      </c>
      <c r="R1152" s="31">
        <f>IF(Input!D$298=L1308,Input!D$297,0)</f>
        <v>0</v>
      </c>
      <c r="S1152" s="36">
        <f t="shared" si="795"/>
        <v>0</v>
      </c>
      <c r="T1152" s="1818"/>
      <c r="U1152" s="1814"/>
      <c r="V1152" s="1814"/>
      <c r="W1152" s="1817"/>
      <c r="X1152" s="1814"/>
      <c r="Y1152" s="1801"/>
      <c r="Z1152" s="1801"/>
      <c r="AA1152" s="1801"/>
      <c r="AB1152" s="1801"/>
      <c r="AC1152" s="1801"/>
      <c r="AD1152" s="1801"/>
      <c r="AE1152" s="1801"/>
      <c r="AF1152" s="1814"/>
      <c r="AG1152" s="376"/>
      <c r="AH1152" s="376"/>
      <c r="AI1152" s="376"/>
      <c r="AJ1152" s="376"/>
      <c r="AK1152" s="376"/>
      <c r="AL1152" s="1148"/>
      <c r="AM1152" s="1148"/>
      <c r="AN1152" s="1148"/>
      <c r="AO1152" s="1148"/>
      <c r="AP1152" s="1148"/>
      <c r="AQ1152" s="1144"/>
      <c r="AR1152" s="1144"/>
      <c r="AS1152" s="1144"/>
      <c r="AT1152" s="1144"/>
      <c r="AU1152" s="1144"/>
      <c r="AV1152" s="1144"/>
      <c r="AW1152" s="1144"/>
      <c r="AX1152" s="1144"/>
      <c r="AY1152" s="1144"/>
      <c r="AZ1152" s="1144"/>
      <c r="BA1152" s="1144"/>
      <c r="BB1152" s="1144"/>
      <c r="BC1152" s="1144"/>
      <c r="BD1152" s="1144"/>
      <c r="BE1152" s="1144"/>
      <c r="BF1152" s="1144"/>
      <c r="BG1152" s="1144"/>
      <c r="BH1152" s="1144"/>
      <c r="BI1152" s="1144"/>
      <c r="BJ1152" s="1144"/>
      <c r="BK1152" s="1144"/>
      <c r="BL1152" s="1144"/>
      <c r="BM1152" s="1144"/>
      <c r="BN1152" s="1144"/>
      <c r="BO1152" s="1144"/>
      <c r="BP1152" s="1144"/>
      <c r="BQ1152" s="1144"/>
      <c r="BR1152" s="1144"/>
      <c r="BS1152" s="1144"/>
      <c r="BT1152" s="1144"/>
      <c r="BU1152" s="1144"/>
      <c r="BV1152" s="1144"/>
      <c r="BW1152" s="1144"/>
      <c r="BX1152" s="1144"/>
      <c r="BY1152" s="1144"/>
      <c r="BZ1152" s="1144"/>
      <c r="CA1152" s="1144"/>
      <c r="CB1152" s="1144"/>
      <c r="CC1152" s="1144"/>
      <c r="CD1152" s="1144"/>
      <c r="CE1152" s="1144"/>
      <c r="CF1152" s="1144"/>
      <c r="CG1152" s="1144"/>
      <c r="CH1152" s="1144"/>
      <c r="CI1152" s="1144"/>
      <c r="CJ1152" s="1144"/>
      <c r="CK1152" s="1144"/>
      <c r="CL1152" s="1144"/>
      <c r="CM1152" s="1144"/>
      <c r="CN1152" s="1144"/>
    </row>
    <row r="1153" spans="11:92" ht="12" customHeight="1" x14ac:dyDescent="0.35">
      <c r="K1153" s="29">
        <f t="shared" si="796"/>
        <v>1</v>
      </c>
      <c r="L1153" s="1158">
        <f t="shared" si="797"/>
        <v>0</v>
      </c>
      <c r="M1153" s="34">
        <f t="shared" si="798"/>
        <v>0</v>
      </c>
      <c r="N1153" s="34">
        <f t="shared" si="799"/>
        <v>0</v>
      </c>
      <c r="O1153" s="55">
        <f t="shared" si="800"/>
        <v>0</v>
      </c>
      <c r="P1153" s="55">
        <f t="shared" si="801"/>
        <v>0</v>
      </c>
      <c r="Q1153" s="55">
        <f t="shared" si="802"/>
        <v>0</v>
      </c>
      <c r="R1153" s="31">
        <f>IF(Input!D$298=L1309,Input!D$297,0)</f>
        <v>0</v>
      </c>
      <c r="S1153" s="36">
        <f t="shared" si="795"/>
        <v>0</v>
      </c>
      <c r="T1153" s="1818"/>
      <c r="U1153" s="1814"/>
      <c r="V1153" s="1814"/>
      <c r="W1153" s="1817"/>
      <c r="X1153" s="1814"/>
      <c r="Y1153" s="1801"/>
      <c r="Z1153" s="1801"/>
      <c r="AA1153" s="1801"/>
      <c r="AB1153" s="1801"/>
      <c r="AC1153" s="1801"/>
      <c r="AD1153" s="1801"/>
      <c r="AE1153" s="1801"/>
      <c r="AF1153" s="1814"/>
      <c r="AG1153" s="376"/>
      <c r="AH1153" s="376"/>
      <c r="AI1153" s="376"/>
      <c r="AJ1153" s="376"/>
      <c r="AK1153" s="376"/>
      <c r="AL1153" s="1148"/>
      <c r="AM1153" s="1148"/>
      <c r="AN1153" s="1148"/>
      <c r="AO1153" s="1148"/>
      <c r="AP1153" s="1148"/>
      <c r="AQ1153" s="1144"/>
      <c r="AR1153" s="1144"/>
      <c r="AS1153" s="1144"/>
      <c r="AT1153" s="1144"/>
      <c r="AU1153" s="1144"/>
      <c r="AV1153" s="1144"/>
      <c r="AW1153" s="1144"/>
      <c r="AX1153" s="1144"/>
      <c r="AY1153" s="1144"/>
      <c r="AZ1153" s="1144"/>
      <c r="BA1153" s="1144"/>
      <c r="BB1153" s="1144"/>
      <c r="BC1153" s="1144"/>
      <c r="BD1153" s="1144"/>
      <c r="BE1153" s="1144"/>
      <c r="BF1153" s="1144"/>
      <c r="BG1153" s="1144"/>
      <c r="BH1153" s="1144"/>
      <c r="BI1153" s="1144"/>
      <c r="BJ1153" s="1144"/>
      <c r="BK1153" s="1144"/>
      <c r="BL1153" s="1144"/>
      <c r="BM1153" s="1144"/>
      <c r="BN1153" s="1144"/>
      <c r="BO1153" s="1144"/>
      <c r="BP1153" s="1144"/>
      <c r="BQ1153" s="1144"/>
      <c r="BR1153" s="1144"/>
      <c r="BS1153" s="1144"/>
      <c r="BT1153" s="1144"/>
      <c r="BU1153" s="1144"/>
      <c r="BV1153" s="1144"/>
      <c r="BW1153" s="1144"/>
      <c r="BX1153" s="1144"/>
      <c r="BY1153" s="1144"/>
      <c r="BZ1153" s="1144"/>
      <c r="CA1153" s="1144"/>
      <c r="CB1153" s="1144"/>
      <c r="CC1153" s="1144"/>
      <c r="CD1153" s="1144"/>
      <c r="CE1153" s="1144"/>
      <c r="CF1153" s="1144"/>
      <c r="CG1153" s="1144"/>
      <c r="CH1153" s="1144"/>
      <c r="CI1153" s="1144"/>
      <c r="CJ1153" s="1144"/>
      <c r="CK1153" s="1144"/>
      <c r="CL1153" s="1144"/>
      <c r="CM1153" s="1144"/>
      <c r="CN1153" s="1144"/>
    </row>
    <row r="1154" spans="11:92" ht="12" customHeight="1" x14ac:dyDescent="0.35">
      <c r="K1154" s="29">
        <f t="shared" si="796"/>
        <v>1</v>
      </c>
      <c r="L1154" s="1158">
        <f t="shared" si="797"/>
        <v>0</v>
      </c>
      <c r="M1154" s="34">
        <f t="shared" si="798"/>
        <v>0</v>
      </c>
      <c r="N1154" s="34">
        <f t="shared" si="799"/>
        <v>0</v>
      </c>
      <c r="O1154" s="55">
        <f t="shared" si="800"/>
        <v>0</v>
      </c>
      <c r="P1154" s="55">
        <f t="shared" si="801"/>
        <v>0</v>
      </c>
      <c r="Q1154" s="55">
        <f t="shared" si="802"/>
        <v>0</v>
      </c>
      <c r="R1154" s="31">
        <f>IF(Input!D$298=L1310,Input!D$297,0)</f>
        <v>0</v>
      </c>
      <c r="S1154" s="36">
        <f t="shared" si="795"/>
        <v>0</v>
      </c>
      <c r="T1154" s="1818"/>
      <c r="U1154" s="1814"/>
      <c r="V1154" s="1814"/>
      <c r="W1154" s="1817"/>
      <c r="X1154" s="1814"/>
      <c r="Y1154" s="1801"/>
      <c r="Z1154" s="1801"/>
      <c r="AA1154" s="1801"/>
      <c r="AB1154" s="1801"/>
      <c r="AC1154" s="1801"/>
      <c r="AD1154" s="1801"/>
      <c r="AE1154" s="1801"/>
      <c r="AF1154" s="1814"/>
      <c r="AG1154" s="376"/>
      <c r="AH1154" s="376"/>
      <c r="AI1154" s="376"/>
      <c r="AJ1154" s="376"/>
      <c r="AK1154" s="376"/>
      <c r="AL1154" s="1148"/>
      <c r="AM1154" s="1148"/>
      <c r="AN1154" s="1148"/>
      <c r="AO1154" s="1148"/>
      <c r="AP1154" s="1148"/>
      <c r="AQ1154" s="1144"/>
      <c r="AR1154" s="1144"/>
      <c r="AS1154" s="1144"/>
      <c r="AT1154" s="1144"/>
      <c r="AU1154" s="1144"/>
      <c r="AV1154" s="1144"/>
      <c r="AW1154" s="1144"/>
      <c r="AX1154" s="1144"/>
      <c r="AY1154" s="1144"/>
      <c r="AZ1154" s="1144"/>
      <c r="BA1154" s="1144"/>
      <c r="BB1154" s="1144"/>
      <c r="BC1154" s="1144"/>
      <c r="BD1154" s="1144"/>
      <c r="BE1154" s="1144"/>
      <c r="BF1154" s="1144"/>
      <c r="BG1154" s="1144"/>
      <c r="BH1154" s="1144"/>
      <c r="BI1154" s="1144"/>
      <c r="BJ1154" s="1144"/>
      <c r="BK1154" s="1144"/>
      <c r="BL1154" s="1144"/>
      <c r="BM1154" s="1144"/>
      <c r="BN1154" s="1144"/>
      <c r="BO1154" s="1144"/>
      <c r="BP1154" s="1144"/>
      <c r="BQ1154" s="1144"/>
      <c r="BR1154" s="1144"/>
      <c r="BS1154" s="1144"/>
      <c r="BT1154" s="1144"/>
      <c r="BU1154" s="1144"/>
      <c r="BV1154" s="1144"/>
      <c r="BW1154" s="1144"/>
      <c r="BX1154" s="1144"/>
      <c r="BY1154" s="1144"/>
      <c r="BZ1154" s="1144"/>
      <c r="CA1154" s="1144"/>
      <c r="CB1154" s="1144"/>
      <c r="CC1154" s="1144"/>
      <c r="CD1154" s="1144"/>
      <c r="CE1154" s="1144"/>
      <c r="CF1154" s="1144"/>
      <c r="CG1154" s="1144"/>
      <c r="CH1154" s="1144"/>
      <c r="CI1154" s="1144"/>
      <c r="CJ1154" s="1144"/>
      <c r="CK1154" s="1144"/>
      <c r="CL1154" s="1144"/>
      <c r="CM1154" s="1144"/>
      <c r="CN1154" s="1144"/>
    </row>
    <row r="1155" spans="11:92" ht="12" customHeight="1" x14ac:dyDescent="0.35">
      <c r="K1155" s="29">
        <f t="shared" si="796"/>
        <v>1</v>
      </c>
      <c r="L1155" s="1158">
        <f t="shared" si="797"/>
        <v>0</v>
      </c>
      <c r="M1155" s="34">
        <f t="shared" si="798"/>
        <v>0</v>
      </c>
      <c r="N1155" s="34">
        <f t="shared" si="799"/>
        <v>0</v>
      </c>
      <c r="O1155" s="55">
        <f t="shared" si="800"/>
        <v>0</v>
      </c>
      <c r="P1155" s="55">
        <f t="shared" si="801"/>
        <v>0</v>
      </c>
      <c r="Q1155" s="55">
        <f t="shared" si="802"/>
        <v>0</v>
      </c>
      <c r="R1155" s="31">
        <f>IF(Input!D$298=L1311,Input!D$297,0)</f>
        <v>0</v>
      </c>
      <c r="S1155" s="36">
        <f t="shared" si="795"/>
        <v>0</v>
      </c>
      <c r="T1155" s="1818"/>
      <c r="U1155" s="1814"/>
      <c r="V1155" s="1814"/>
      <c r="W1155" s="1817"/>
      <c r="X1155" s="1814"/>
      <c r="Y1155" s="1801"/>
      <c r="Z1155" s="1801"/>
      <c r="AA1155" s="1801"/>
      <c r="AB1155" s="1801"/>
      <c r="AC1155" s="1801"/>
      <c r="AD1155" s="1801"/>
      <c r="AE1155" s="1801"/>
      <c r="AF1155" s="1814"/>
      <c r="AG1155" s="376"/>
      <c r="AH1155" s="376"/>
      <c r="AI1155" s="376"/>
      <c r="AJ1155" s="376"/>
      <c r="AK1155" s="376"/>
      <c r="AL1155" s="1148"/>
      <c r="AM1155" s="1148"/>
      <c r="AN1155" s="1148"/>
      <c r="AO1155" s="1148"/>
      <c r="AP1155" s="1148"/>
      <c r="AQ1155" s="1144"/>
      <c r="AR1155" s="1144"/>
      <c r="AS1155" s="1144"/>
      <c r="AT1155" s="1144"/>
      <c r="AU1155" s="1144"/>
      <c r="AV1155" s="1144"/>
      <c r="AW1155" s="1144"/>
      <c r="AX1155" s="1144"/>
      <c r="AY1155" s="1144"/>
      <c r="AZ1155" s="1144"/>
      <c r="BA1155" s="1144"/>
      <c r="BB1155" s="1144"/>
      <c r="BC1155" s="1144"/>
      <c r="BD1155" s="1144"/>
      <c r="BE1155" s="1144"/>
      <c r="BF1155" s="1144"/>
      <c r="BG1155" s="1144"/>
      <c r="BH1155" s="1144"/>
      <c r="BI1155" s="1144"/>
      <c r="BJ1155" s="1144"/>
      <c r="BK1155" s="1144"/>
      <c r="BL1155" s="1144"/>
      <c r="BM1155" s="1144"/>
      <c r="BN1155" s="1144"/>
      <c r="BO1155" s="1144"/>
      <c r="BP1155" s="1144"/>
      <c r="BQ1155" s="1144"/>
      <c r="BR1155" s="1144"/>
      <c r="BS1155" s="1144"/>
      <c r="BT1155" s="1144"/>
      <c r="BU1155" s="1144"/>
      <c r="BV1155" s="1144"/>
      <c r="BW1155" s="1144"/>
      <c r="BX1155" s="1144"/>
      <c r="BY1155" s="1144"/>
      <c r="BZ1155" s="1144"/>
      <c r="CA1155" s="1144"/>
      <c r="CB1155" s="1144"/>
      <c r="CC1155" s="1144"/>
      <c r="CD1155" s="1144"/>
      <c r="CE1155" s="1144"/>
      <c r="CF1155" s="1144"/>
      <c r="CG1155" s="1144"/>
      <c r="CH1155" s="1144"/>
      <c r="CI1155" s="1144"/>
      <c r="CJ1155" s="1144"/>
      <c r="CK1155" s="1144"/>
      <c r="CL1155" s="1144"/>
      <c r="CM1155" s="1144"/>
      <c r="CN1155" s="1144"/>
    </row>
    <row r="1156" spans="11:92" ht="12" customHeight="1" x14ac:dyDescent="0.35">
      <c r="K1156" s="29">
        <f t="shared" si="796"/>
        <v>1</v>
      </c>
      <c r="L1156" s="1158">
        <f t="shared" si="797"/>
        <v>0</v>
      </c>
      <c r="M1156" s="34">
        <f t="shared" si="798"/>
        <v>0</v>
      </c>
      <c r="N1156" s="34">
        <f t="shared" si="799"/>
        <v>0</v>
      </c>
      <c r="O1156" s="55">
        <f t="shared" si="800"/>
        <v>0</v>
      </c>
      <c r="P1156" s="55">
        <f t="shared" si="801"/>
        <v>0</v>
      </c>
      <c r="Q1156" s="55">
        <f t="shared" si="802"/>
        <v>0</v>
      </c>
      <c r="R1156" s="31">
        <f>IF(Input!D$298=L1312,Input!D$297,0)</f>
        <v>0</v>
      </c>
      <c r="S1156" s="36">
        <f t="shared" ref="S1156:S1177" si="803">Q1312</f>
        <v>0</v>
      </c>
      <c r="T1156" s="1818"/>
      <c r="U1156" s="1814"/>
      <c r="V1156" s="1814"/>
      <c r="W1156" s="1817"/>
      <c r="X1156" s="1814"/>
      <c r="Y1156" s="1801"/>
      <c r="Z1156" s="1801"/>
      <c r="AA1156" s="1801"/>
      <c r="AB1156" s="1801"/>
      <c r="AC1156" s="1801"/>
      <c r="AD1156" s="1801"/>
      <c r="AE1156" s="1801"/>
      <c r="AF1156" s="1814"/>
      <c r="AG1156" s="376"/>
      <c r="AH1156" s="376"/>
      <c r="AI1156" s="376"/>
      <c r="AJ1156" s="376"/>
      <c r="AK1156" s="376"/>
      <c r="AL1156" s="1148"/>
      <c r="AM1156" s="1148"/>
      <c r="AN1156" s="1148"/>
      <c r="AO1156" s="1148"/>
      <c r="AP1156" s="1148"/>
      <c r="AQ1156" s="1144"/>
      <c r="AR1156" s="1144"/>
      <c r="AS1156" s="1144"/>
      <c r="AT1156" s="1144"/>
      <c r="AU1156" s="1144"/>
      <c r="AV1156" s="1144"/>
      <c r="AW1156" s="1144"/>
      <c r="AX1156" s="1144"/>
      <c r="AY1156" s="1144"/>
      <c r="AZ1156" s="1144"/>
      <c r="BA1156" s="1144"/>
      <c r="BB1156" s="1144"/>
      <c r="BC1156" s="1144"/>
      <c r="BD1156" s="1144"/>
      <c r="BE1156" s="1144"/>
      <c r="BF1156" s="1144"/>
      <c r="BG1156" s="1144"/>
      <c r="BH1156" s="1144"/>
      <c r="BI1156" s="1144"/>
      <c r="BJ1156" s="1144"/>
      <c r="BK1156" s="1144"/>
      <c r="BL1156" s="1144"/>
      <c r="BM1156" s="1144"/>
      <c r="BN1156" s="1144"/>
      <c r="BO1156" s="1144"/>
      <c r="BP1156" s="1144"/>
      <c r="BQ1156" s="1144"/>
      <c r="BR1156" s="1144"/>
      <c r="BS1156" s="1144"/>
      <c r="BT1156" s="1144"/>
      <c r="BU1156" s="1144"/>
      <c r="BV1156" s="1144"/>
      <c r="BW1156" s="1144"/>
      <c r="BX1156" s="1144"/>
      <c r="BY1156" s="1144"/>
      <c r="BZ1156" s="1144"/>
      <c r="CA1156" s="1144"/>
      <c r="CB1156" s="1144"/>
      <c r="CC1156" s="1144"/>
      <c r="CD1156" s="1144"/>
      <c r="CE1156" s="1144"/>
      <c r="CF1156" s="1144"/>
      <c r="CG1156" s="1144"/>
      <c r="CH1156" s="1144"/>
      <c r="CI1156" s="1144"/>
      <c r="CJ1156" s="1144"/>
      <c r="CK1156" s="1144"/>
      <c r="CL1156" s="1144"/>
      <c r="CM1156" s="1144"/>
      <c r="CN1156" s="1144"/>
    </row>
    <row r="1157" spans="11:92" ht="12" customHeight="1" x14ac:dyDescent="0.35">
      <c r="K1157" s="29">
        <f t="shared" si="796"/>
        <v>1</v>
      </c>
      <c r="L1157" s="1158">
        <f t="shared" si="797"/>
        <v>0</v>
      </c>
      <c r="M1157" s="34">
        <f t="shared" si="798"/>
        <v>0</v>
      </c>
      <c r="N1157" s="34">
        <f t="shared" si="799"/>
        <v>0</v>
      </c>
      <c r="O1157" s="55">
        <f t="shared" si="800"/>
        <v>0</v>
      </c>
      <c r="P1157" s="55">
        <f t="shared" si="801"/>
        <v>0</v>
      </c>
      <c r="Q1157" s="55">
        <f t="shared" si="802"/>
        <v>0</v>
      </c>
      <c r="R1157" s="31">
        <f>IF(Input!D$298=L1313,Input!D$297,0)</f>
        <v>0</v>
      </c>
      <c r="S1157" s="36">
        <f t="shared" si="803"/>
        <v>0</v>
      </c>
      <c r="T1157" s="1818"/>
      <c r="U1157" s="1814"/>
      <c r="V1157" s="1814"/>
      <c r="W1157" s="1817"/>
      <c r="X1157" s="1814"/>
      <c r="Y1157" s="1801"/>
      <c r="Z1157" s="1801"/>
      <c r="AA1157" s="1801"/>
      <c r="AB1157" s="1801"/>
      <c r="AC1157" s="1801"/>
      <c r="AD1157" s="1801"/>
      <c r="AE1157" s="1801"/>
      <c r="AF1157" s="1814"/>
      <c r="AG1157" s="376"/>
      <c r="AH1157" s="376"/>
      <c r="AI1157" s="376"/>
      <c r="AJ1157" s="376"/>
      <c r="AK1157" s="376"/>
      <c r="AL1157" s="1148"/>
      <c r="AM1157" s="1148"/>
      <c r="AN1157" s="1148"/>
      <c r="AO1157" s="1148"/>
      <c r="AP1157" s="1148"/>
      <c r="AQ1157" s="1144"/>
      <c r="AR1157" s="1144"/>
      <c r="AS1157" s="1144"/>
      <c r="AT1157" s="1144"/>
      <c r="AU1157" s="1144"/>
      <c r="AV1157" s="1144"/>
      <c r="AW1157" s="1144"/>
      <c r="AX1157" s="1144"/>
      <c r="AY1157" s="1144"/>
      <c r="AZ1157" s="1144"/>
      <c r="BA1157" s="1144"/>
      <c r="BB1157" s="1144"/>
      <c r="BC1157" s="1144"/>
      <c r="BD1157" s="1144"/>
      <c r="BE1157" s="1144"/>
      <c r="BF1157" s="1144"/>
      <c r="BG1157" s="1144"/>
      <c r="BH1157" s="1144"/>
      <c r="BI1157" s="1144"/>
      <c r="BJ1157" s="1144"/>
      <c r="BK1157" s="1144"/>
      <c r="BL1157" s="1144"/>
      <c r="BM1157" s="1144"/>
      <c r="BN1157" s="1144"/>
      <c r="BO1157" s="1144"/>
      <c r="BP1157" s="1144"/>
      <c r="BQ1157" s="1144"/>
      <c r="BR1157" s="1144"/>
      <c r="BS1157" s="1144"/>
      <c r="BT1157" s="1144"/>
      <c r="BU1157" s="1144"/>
      <c r="BV1157" s="1144"/>
      <c r="BW1157" s="1144"/>
      <c r="BX1157" s="1144"/>
      <c r="BY1157" s="1144"/>
      <c r="BZ1157" s="1144"/>
      <c r="CA1157" s="1144"/>
      <c r="CB1157" s="1144"/>
      <c r="CC1157" s="1144"/>
      <c r="CD1157" s="1144"/>
      <c r="CE1157" s="1144"/>
      <c r="CF1157" s="1144"/>
      <c r="CG1157" s="1144"/>
      <c r="CH1157" s="1144"/>
      <c r="CI1157" s="1144"/>
      <c r="CJ1157" s="1144"/>
      <c r="CK1157" s="1144"/>
      <c r="CL1157" s="1144"/>
      <c r="CM1157" s="1144"/>
      <c r="CN1157" s="1144"/>
    </row>
    <row r="1158" spans="11:92" ht="12" customHeight="1" x14ac:dyDescent="0.35">
      <c r="K1158" s="29">
        <f t="shared" si="796"/>
        <v>1</v>
      </c>
      <c r="L1158" s="1158">
        <f t="shared" si="797"/>
        <v>0</v>
      </c>
      <c r="M1158" s="34">
        <f t="shared" si="798"/>
        <v>0</v>
      </c>
      <c r="N1158" s="34">
        <f t="shared" si="799"/>
        <v>0</v>
      </c>
      <c r="O1158" s="55">
        <f t="shared" si="800"/>
        <v>0</v>
      </c>
      <c r="P1158" s="55">
        <f t="shared" si="801"/>
        <v>0</v>
      </c>
      <c r="Q1158" s="55">
        <f t="shared" si="802"/>
        <v>0</v>
      </c>
      <c r="R1158" s="31">
        <f>IF(Input!D$298=L1314,Input!D$297,0)</f>
        <v>0</v>
      </c>
      <c r="S1158" s="36">
        <f t="shared" si="803"/>
        <v>0</v>
      </c>
      <c r="T1158" s="1818"/>
      <c r="U1158" s="1814"/>
      <c r="V1158" s="1814"/>
      <c r="W1158" s="1817"/>
      <c r="X1158" s="1814"/>
      <c r="Y1158" s="1801"/>
      <c r="Z1158" s="1801"/>
      <c r="AA1158" s="1801"/>
      <c r="AB1158" s="1801"/>
      <c r="AC1158" s="1801"/>
      <c r="AD1158" s="1801"/>
      <c r="AE1158" s="1801"/>
      <c r="AF1158" s="1814"/>
      <c r="AG1158" s="376"/>
      <c r="AH1158" s="376"/>
      <c r="AI1158" s="376"/>
      <c r="AJ1158" s="376"/>
      <c r="AK1158" s="376"/>
      <c r="AL1158" s="1148"/>
      <c r="AM1158" s="1148"/>
      <c r="AN1158" s="1148"/>
      <c r="AO1158" s="1148"/>
      <c r="AP1158" s="1148"/>
      <c r="AQ1158" s="1144"/>
      <c r="AR1158" s="1144"/>
      <c r="AS1158" s="1144"/>
      <c r="AT1158" s="1144"/>
      <c r="AU1158" s="1144"/>
      <c r="AV1158" s="1144"/>
      <c r="AW1158" s="1144"/>
      <c r="AX1158" s="1144"/>
      <c r="AY1158" s="1144"/>
      <c r="AZ1158" s="1144"/>
      <c r="BA1158" s="1144"/>
      <c r="BB1158" s="1144"/>
      <c r="BC1158" s="1144"/>
      <c r="BD1158" s="1144"/>
      <c r="BE1158" s="1144"/>
      <c r="BF1158" s="1144"/>
      <c r="BG1158" s="1144"/>
      <c r="BH1158" s="1144"/>
      <c r="BI1158" s="1144"/>
      <c r="BJ1158" s="1144"/>
      <c r="BK1158" s="1144"/>
      <c r="BL1158" s="1144"/>
      <c r="BM1158" s="1144"/>
      <c r="BN1158" s="1144"/>
      <c r="BO1158" s="1144"/>
      <c r="BP1158" s="1144"/>
      <c r="BQ1158" s="1144"/>
      <c r="BR1158" s="1144"/>
      <c r="BS1158" s="1144"/>
      <c r="BT1158" s="1144"/>
      <c r="BU1158" s="1144"/>
      <c r="BV1158" s="1144"/>
      <c r="BW1158" s="1144"/>
      <c r="BX1158" s="1144"/>
      <c r="BY1158" s="1144"/>
      <c r="BZ1158" s="1144"/>
      <c r="CA1158" s="1144"/>
      <c r="CB1158" s="1144"/>
      <c r="CC1158" s="1144"/>
      <c r="CD1158" s="1144"/>
      <c r="CE1158" s="1144"/>
      <c r="CF1158" s="1144"/>
      <c r="CG1158" s="1144"/>
      <c r="CH1158" s="1144"/>
      <c r="CI1158" s="1144"/>
      <c r="CJ1158" s="1144"/>
      <c r="CK1158" s="1144"/>
      <c r="CL1158" s="1144"/>
      <c r="CM1158" s="1144"/>
      <c r="CN1158" s="1144"/>
    </row>
    <row r="1159" spans="11:92" ht="12" customHeight="1" x14ac:dyDescent="0.35">
      <c r="K1159" s="29">
        <f t="shared" si="796"/>
        <v>1</v>
      </c>
      <c r="L1159" s="1158">
        <f t="shared" si="797"/>
        <v>0</v>
      </c>
      <c r="M1159" s="34">
        <f t="shared" si="798"/>
        <v>0</v>
      </c>
      <c r="N1159" s="34">
        <f t="shared" si="799"/>
        <v>0</v>
      </c>
      <c r="O1159" s="55">
        <f t="shared" si="800"/>
        <v>0</v>
      </c>
      <c r="P1159" s="55">
        <f t="shared" si="801"/>
        <v>0</v>
      </c>
      <c r="Q1159" s="55">
        <f t="shared" si="802"/>
        <v>0</v>
      </c>
      <c r="R1159" s="31">
        <f>IF(Input!D$298=L1315,Input!D$297,0)</f>
        <v>0</v>
      </c>
      <c r="S1159" s="36">
        <f t="shared" si="803"/>
        <v>0</v>
      </c>
      <c r="T1159" s="1818"/>
      <c r="U1159" s="1814"/>
      <c r="V1159" s="1814"/>
      <c r="W1159" s="1817"/>
      <c r="X1159" s="1814"/>
      <c r="Y1159" s="1801"/>
      <c r="Z1159" s="1801"/>
      <c r="AA1159" s="1801"/>
      <c r="AB1159" s="1801"/>
      <c r="AC1159" s="1801"/>
      <c r="AD1159" s="1801"/>
      <c r="AE1159" s="29"/>
      <c r="AF1159" s="376"/>
      <c r="AG1159" s="376">
        <v>1</v>
      </c>
      <c r="AH1159" s="376">
        <v>2</v>
      </c>
      <c r="AI1159" s="376">
        <v>3</v>
      </c>
      <c r="AJ1159" s="376">
        <v>4</v>
      </c>
      <c r="AK1159" s="376">
        <v>5</v>
      </c>
      <c r="AL1159" s="376">
        <v>6</v>
      </c>
      <c r="AM1159" s="376">
        <v>7</v>
      </c>
      <c r="AN1159" s="376">
        <v>8</v>
      </c>
      <c r="AO1159" s="376">
        <v>9</v>
      </c>
      <c r="AP1159" s="376">
        <v>10</v>
      </c>
      <c r="AQ1159" s="376">
        <v>11</v>
      </c>
      <c r="AR1159" s="376">
        <v>12</v>
      </c>
      <c r="AS1159" s="376">
        <v>13</v>
      </c>
      <c r="AT1159" s="376">
        <v>14</v>
      </c>
      <c r="AU1159" s="376">
        <v>15</v>
      </c>
      <c r="AV1159" s="376">
        <v>16</v>
      </c>
      <c r="AW1159" s="376">
        <v>17</v>
      </c>
      <c r="AX1159" s="376">
        <v>18</v>
      </c>
      <c r="AY1159" s="376">
        <v>19</v>
      </c>
      <c r="AZ1159" s="376">
        <v>20</v>
      </c>
      <c r="BA1159" s="376">
        <v>21</v>
      </c>
      <c r="BB1159" s="376">
        <v>22</v>
      </c>
      <c r="BC1159" s="376">
        <v>23</v>
      </c>
      <c r="BD1159" s="376">
        <v>24</v>
      </c>
      <c r="BE1159" s="376">
        <v>25</v>
      </c>
      <c r="BF1159" s="1148"/>
      <c r="BG1159" s="1148"/>
      <c r="BH1159" s="1148"/>
      <c r="BI1159" s="1148"/>
      <c r="BJ1159" s="1148"/>
      <c r="BK1159" s="1148"/>
      <c r="BL1159" s="1148"/>
      <c r="BM1159" s="1148"/>
      <c r="BN1159" s="1148"/>
      <c r="BO1159" s="1148"/>
      <c r="BP1159" s="1148"/>
      <c r="BQ1159" s="1148"/>
      <c r="BR1159" s="1148"/>
      <c r="BS1159" s="1148"/>
      <c r="BT1159" s="1148"/>
      <c r="BU1159" s="1148"/>
      <c r="BV1159" s="1148"/>
      <c r="BW1159" s="1148"/>
      <c r="BX1159" s="1148"/>
      <c r="BY1159" s="1148"/>
      <c r="BZ1159" s="1148"/>
      <c r="CA1159" s="1148"/>
      <c r="CB1159" s="1148"/>
      <c r="CC1159" s="1148"/>
      <c r="CD1159" s="1148"/>
      <c r="CE1159" s="1148"/>
      <c r="CF1159" s="1144"/>
      <c r="CG1159" s="1144"/>
      <c r="CH1159" s="1144"/>
      <c r="CI1159" s="1144"/>
      <c r="CJ1159" s="1144"/>
      <c r="CK1159" s="1144"/>
      <c r="CL1159" s="1144"/>
      <c r="CM1159" s="1144"/>
      <c r="CN1159" s="1144"/>
    </row>
    <row r="1160" spans="11:92" ht="12" customHeight="1" x14ac:dyDescent="0.35">
      <c r="K1160" s="29">
        <f t="shared" si="796"/>
        <v>1</v>
      </c>
      <c r="L1160" s="1158">
        <f t="shared" si="797"/>
        <v>0</v>
      </c>
      <c r="M1160" s="34">
        <f t="shared" si="798"/>
        <v>0</v>
      </c>
      <c r="N1160" s="34">
        <f t="shared" si="799"/>
        <v>0</v>
      </c>
      <c r="O1160" s="55">
        <f t="shared" si="800"/>
        <v>0</v>
      </c>
      <c r="P1160" s="55">
        <f t="shared" si="801"/>
        <v>0</v>
      </c>
      <c r="Q1160" s="55">
        <f t="shared" si="802"/>
        <v>0</v>
      </c>
      <c r="R1160" s="31">
        <f>IF(Input!D$298=L1316,Input!D$297,0)</f>
        <v>0</v>
      </c>
      <c r="S1160" s="36">
        <f t="shared" si="803"/>
        <v>0</v>
      </c>
      <c r="T1160" s="1818"/>
      <c r="U1160" s="1814"/>
      <c r="V1160" s="1814"/>
      <c r="W1160" s="1817"/>
      <c r="X1160" s="1814"/>
      <c r="Y1160" s="1801"/>
      <c r="Z1160" s="1801"/>
      <c r="AA1160" s="1801"/>
      <c r="AB1160" s="1801"/>
      <c r="AC1160" s="1801"/>
      <c r="AD1160" s="1801"/>
      <c r="AE1160" s="29" t="s">
        <v>0</v>
      </c>
      <c r="AF1160" s="376"/>
      <c r="AG1160" s="1203">
        <f>Input!D60</f>
        <v>0</v>
      </c>
      <c r="AH1160" s="1203">
        <f>Input!E60</f>
        <v>0</v>
      </c>
      <c r="AI1160" s="1203">
        <f>Input!F60</f>
        <v>0</v>
      </c>
      <c r="AJ1160" s="1203">
        <f>Input!G60</f>
        <v>0</v>
      </c>
      <c r="AK1160" s="1203">
        <f>Input!H60</f>
        <v>0</v>
      </c>
      <c r="AL1160" s="1203">
        <f>Input!I60</f>
        <v>0</v>
      </c>
      <c r="AM1160" s="1203">
        <f>Input!J60</f>
        <v>0</v>
      </c>
      <c r="AN1160" s="1203">
        <f>Input!K60</f>
        <v>0</v>
      </c>
      <c r="AO1160" s="1203">
        <f>Input!L60</f>
        <v>0</v>
      </c>
      <c r="AP1160" s="1203">
        <f>Input!M60</f>
        <v>0</v>
      </c>
      <c r="AQ1160" s="1203">
        <f>Input!N60</f>
        <v>0</v>
      </c>
      <c r="AR1160" s="1203">
        <f>Input!O60</f>
        <v>0</v>
      </c>
      <c r="AS1160" s="1203">
        <f>Input!P60</f>
        <v>0</v>
      </c>
      <c r="AT1160" s="1203">
        <f>Input!Q60</f>
        <v>0</v>
      </c>
      <c r="AU1160" s="1203">
        <f>Input!R60</f>
        <v>0</v>
      </c>
      <c r="AV1160" s="1203">
        <f>Input!S60</f>
        <v>0</v>
      </c>
      <c r="AW1160" s="1203">
        <f>Input!T60</f>
        <v>0</v>
      </c>
      <c r="AX1160" s="1203">
        <f>Input!U60</f>
        <v>0</v>
      </c>
      <c r="AY1160" s="1203">
        <f>Input!V60</f>
        <v>0</v>
      </c>
      <c r="AZ1160" s="1203">
        <f>Input!W60</f>
        <v>0</v>
      </c>
      <c r="BA1160" s="1203">
        <f>Input!X60</f>
        <v>0</v>
      </c>
      <c r="BB1160" s="1203">
        <f>Input!Y60</f>
        <v>0</v>
      </c>
      <c r="BC1160" s="1203">
        <f>Input!Z60</f>
        <v>0</v>
      </c>
      <c r="BD1160" s="1203">
        <f>Input!AA60</f>
        <v>0</v>
      </c>
      <c r="BE1160" s="1203">
        <f>Input!AB60</f>
        <v>0</v>
      </c>
      <c r="BF1160" s="1148"/>
      <c r="BG1160" s="1148"/>
      <c r="BH1160" s="1148"/>
      <c r="BI1160" s="1148"/>
      <c r="BJ1160" s="1148"/>
      <c r="BK1160" s="1148"/>
      <c r="BL1160" s="1148"/>
      <c r="BM1160" s="1148"/>
      <c r="BN1160" s="1148"/>
      <c r="BO1160" s="1148"/>
      <c r="BP1160" s="1148"/>
      <c r="BQ1160" s="1148"/>
      <c r="BR1160" s="1148"/>
      <c r="BS1160" s="1148"/>
      <c r="BT1160" s="1148"/>
      <c r="BU1160" s="1148"/>
      <c r="BV1160" s="1148"/>
      <c r="BW1160" s="1148"/>
      <c r="BX1160" s="1148"/>
      <c r="BY1160" s="1148"/>
      <c r="BZ1160" s="1148"/>
      <c r="CA1160" s="1148"/>
      <c r="CB1160" s="1148"/>
      <c r="CC1160" s="1148"/>
      <c r="CD1160" s="1148"/>
      <c r="CE1160" s="1148"/>
      <c r="CF1160" s="1144"/>
      <c r="CG1160" s="1144"/>
      <c r="CH1160" s="1144"/>
      <c r="CI1160" s="1144"/>
      <c r="CJ1160" s="1144"/>
      <c r="CK1160" s="1144"/>
      <c r="CL1160" s="1144"/>
      <c r="CM1160" s="1144"/>
      <c r="CN1160" s="1144"/>
    </row>
    <row r="1161" spans="11:92" ht="12" customHeight="1" x14ac:dyDescent="0.35">
      <c r="K1161" s="29">
        <f t="shared" si="796"/>
        <v>1</v>
      </c>
      <c r="L1161" s="1158">
        <f t="shared" si="797"/>
        <v>0</v>
      </c>
      <c r="M1161" s="34">
        <f t="shared" si="798"/>
        <v>0</v>
      </c>
      <c r="N1161" s="34">
        <f t="shared" si="799"/>
        <v>0</v>
      </c>
      <c r="O1161" s="55">
        <f t="shared" si="800"/>
        <v>0</v>
      </c>
      <c r="P1161" s="55">
        <f t="shared" si="801"/>
        <v>0</v>
      </c>
      <c r="Q1161" s="55">
        <f t="shared" si="802"/>
        <v>0</v>
      </c>
      <c r="R1161" s="31">
        <f>IF(Input!D$298=L1317,Input!D$297,0)</f>
        <v>0</v>
      </c>
      <c r="S1161" s="36">
        <f t="shared" si="803"/>
        <v>0</v>
      </c>
      <c r="T1161" s="1818"/>
      <c r="U1161" s="1814"/>
      <c r="V1161" s="1814"/>
      <c r="W1161" s="1817"/>
      <c r="X1161" s="1814"/>
      <c r="Y1161" s="1801"/>
      <c r="Z1161" s="1801"/>
      <c r="AA1161" s="1801"/>
      <c r="AB1161" s="1801"/>
      <c r="AC1161" s="1801"/>
      <c r="AD1161" s="1801"/>
      <c r="AE1161" s="29"/>
      <c r="AF1161" s="376"/>
      <c r="AG1161" s="1181">
        <f>IF(AND(AG$1160&lt;Infrastructure!$AK$12,Input!D$62&gt;0),1,0)</f>
        <v>0</v>
      </c>
      <c r="AH1161" s="1181">
        <f>IF(AND(AH$1160&lt;Infrastructure!$AK$12,Input!E$62&gt;0),1,0)</f>
        <v>0</v>
      </c>
      <c r="AI1161" s="1181">
        <f>IF(AND(AI$1160&lt;Infrastructure!$AK$12,Input!F$62&gt;0),1,0)</f>
        <v>0</v>
      </c>
      <c r="AJ1161" s="1181">
        <f>IF(AND(AJ$1160&lt;Infrastructure!$AK$12,Input!G$62&gt;0),1,0)</f>
        <v>0</v>
      </c>
      <c r="AK1161" s="1181">
        <f>IF(AND(AK$1160&lt;Infrastructure!$AK$12,Input!H$62&gt;0),1,0)</f>
        <v>0</v>
      </c>
      <c r="AL1161" s="1181">
        <f>IF(AND(AL$1160&lt;Infrastructure!$AK$12,Input!I$62&gt;0),1,0)</f>
        <v>0</v>
      </c>
      <c r="AM1161" s="1181">
        <f>IF(AND(AM$1160&lt;Infrastructure!$AK$12,Input!J$62&gt;0),1,0)</f>
        <v>0</v>
      </c>
      <c r="AN1161" s="1181">
        <f>IF(AND(AN$1160&lt;Infrastructure!$AK$12,Input!K$62&gt;0),1,0)</f>
        <v>0</v>
      </c>
      <c r="AO1161" s="1181">
        <f>IF(AND(AO$1160&lt;Infrastructure!$AK$12,Input!L$62&gt;0),1,0)</f>
        <v>0</v>
      </c>
      <c r="AP1161" s="1181">
        <f>IF(AND(AP$1160&lt;Infrastructure!$AK$12,Input!M$62&gt;0),1,0)</f>
        <v>0</v>
      </c>
      <c r="AQ1161" s="1181">
        <f>IF(AND(AQ$1160&lt;Infrastructure!$AK$12,Input!N$62&gt;0),1,0)</f>
        <v>0</v>
      </c>
      <c r="AR1161" s="1181">
        <f>IF(AND(AR$1160&lt;Infrastructure!$AK$12,Input!O$62&gt;0),1,0)</f>
        <v>0</v>
      </c>
      <c r="AS1161" s="1181">
        <f>IF(AND(AS$1160&lt;Infrastructure!$AK$12,Input!P$62&gt;0),1,0)</f>
        <v>0</v>
      </c>
      <c r="AT1161" s="1181">
        <f>IF(AND(AT$1160&lt;Infrastructure!$AK$12,Input!Q$62&gt;0),1,0)</f>
        <v>0</v>
      </c>
      <c r="AU1161" s="1181">
        <f>IF(AND(AU$1160&lt;Infrastructure!$AK$12,Input!R$62&gt;0),1,0)</f>
        <v>0</v>
      </c>
      <c r="AV1161" s="1181">
        <f>IF(AND(AV$1160&lt;Infrastructure!$AK$12,Input!S$62&gt;0),1,0)</f>
        <v>0</v>
      </c>
      <c r="AW1161" s="1181">
        <f>IF(AND(AW$1160&lt;Infrastructure!$AK$12,Input!T$62&gt;0),1,0)</f>
        <v>0</v>
      </c>
      <c r="AX1161" s="1181">
        <f>IF(AND(AX$1160&lt;Infrastructure!$AK$12,Input!U$62&gt;0),1,0)</f>
        <v>0</v>
      </c>
      <c r="AY1161" s="1181">
        <f>IF(AND(AY$1160&lt;Infrastructure!$AK$12,Input!V$62&gt;0),1,0)</f>
        <v>0</v>
      </c>
      <c r="AZ1161" s="1181">
        <f>IF(AND(AZ$1160&lt;Infrastructure!$AK$12,Input!W$62&gt;0),1,0)</f>
        <v>0</v>
      </c>
      <c r="BA1161" s="1181">
        <f>IF(AND(BA$1160&lt;Infrastructure!$AK$12,Input!X$62&gt;0),1,0)</f>
        <v>0</v>
      </c>
      <c r="BB1161" s="1181">
        <f>IF(AND(BB$1160&lt;Infrastructure!$AK$12,Input!Y$62&gt;0),1,0)</f>
        <v>0</v>
      </c>
      <c r="BC1161" s="1181">
        <f>IF(AND(BC$1160&lt;Infrastructure!$AK$12,Input!Z$62&gt;0),1,0)</f>
        <v>0</v>
      </c>
      <c r="BD1161" s="1181">
        <f>IF(AND(BD$1160&lt;Infrastructure!$AK$12,Input!AA$62&gt;0),1,0)</f>
        <v>0</v>
      </c>
      <c r="BE1161" s="1181">
        <f>IF(AND(BE$1160&lt;Infrastructure!$AK$12,Input!AB$62&gt;0),1,0)</f>
        <v>0</v>
      </c>
      <c r="BF1161" s="1148"/>
      <c r="BG1161" s="1148"/>
      <c r="BH1161" s="1148"/>
      <c r="BI1161" s="1148"/>
      <c r="BJ1161" s="1148"/>
      <c r="BK1161" s="1148"/>
      <c r="BL1161" s="1148"/>
      <c r="BM1161" s="1148"/>
      <c r="BN1161" s="1148"/>
      <c r="BO1161" s="1148"/>
      <c r="BP1161" s="1148"/>
      <c r="BQ1161" s="1148"/>
      <c r="BR1161" s="1148"/>
      <c r="BS1161" s="1148"/>
      <c r="BT1161" s="1148"/>
      <c r="BU1161" s="1148"/>
      <c r="BV1161" s="1148"/>
      <c r="BW1161" s="1148"/>
      <c r="BX1161" s="1148"/>
      <c r="BY1161" s="1148"/>
      <c r="BZ1161" s="1148"/>
      <c r="CA1161" s="1148"/>
      <c r="CB1161" s="1148"/>
      <c r="CC1161" s="1148"/>
      <c r="CD1161" s="1148"/>
      <c r="CE1161" s="1148"/>
      <c r="CF1161" s="1144"/>
      <c r="CG1161" s="1144"/>
      <c r="CH1161" s="1144"/>
      <c r="CI1161" s="1144"/>
      <c r="CJ1161" s="1144"/>
      <c r="CK1161" s="1144"/>
      <c r="CL1161" s="1144"/>
      <c r="CM1161" s="1144"/>
      <c r="CN1161" s="1144"/>
    </row>
    <row r="1162" spans="11:92" ht="12" customHeight="1" x14ac:dyDescent="0.35">
      <c r="K1162" s="29">
        <f t="shared" si="796"/>
        <v>1</v>
      </c>
      <c r="L1162" s="1158">
        <f t="shared" si="797"/>
        <v>0</v>
      </c>
      <c r="M1162" s="34">
        <f t="shared" si="798"/>
        <v>0</v>
      </c>
      <c r="N1162" s="34">
        <f t="shared" si="799"/>
        <v>0</v>
      </c>
      <c r="O1162" s="55">
        <f t="shared" si="800"/>
        <v>0</v>
      </c>
      <c r="P1162" s="55">
        <f t="shared" si="801"/>
        <v>0</v>
      </c>
      <c r="Q1162" s="55">
        <f t="shared" si="802"/>
        <v>0</v>
      </c>
      <c r="R1162" s="31">
        <f>IF(Input!D$298=L1318,Input!D$297,0)</f>
        <v>0</v>
      </c>
      <c r="S1162" s="36">
        <f t="shared" si="803"/>
        <v>0</v>
      </c>
      <c r="T1162" s="1818"/>
      <c r="U1162" s="1814"/>
      <c r="V1162" s="1814"/>
      <c r="W1162" s="1817"/>
      <c r="X1162" s="1814"/>
      <c r="Y1162" s="1801"/>
      <c r="Z1162" s="1801"/>
      <c r="AA1162" s="1801"/>
      <c r="AB1162" s="1801"/>
      <c r="AC1162" s="1801"/>
      <c r="AD1162" s="1801"/>
      <c r="AE1162" s="29"/>
      <c r="AF1162" s="376"/>
      <c r="AG1162" s="1181">
        <f>IF(AND(AG$1160&lt;Infrastructure!$AW$12,AG$1160&gt;Infrastructure!$AJ$12),1,0)</f>
        <v>0</v>
      </c>
      <c r="AH1162" s="1181">
        <f>IF(AND(AH$1160&lt;Infrastructure!$AW$12,AH$1160&gt;Infrastructure!$AJ$12),1,0)</f>
        <v>0</v>
      </c>
      <c r="AI1162" s="1181">
        <f>IF(AND(AI$1160&lt;Infrastructure!$AW$12,AI$1160&gt;Infrastructure!$AJ$12),1,0)</f>
        <v>0</v>
      </c>
      <c r="AJ1162" s="1181">
        <f>IF(AND(AJ$1160&lt;Infrastructure!$AW$12,AJ$1160&gt;Infrastructure!$AJ$12),1,0)</f>
        <v>0</v>
      </c>
      <c r="AK1162" s="1181">
        <f>IF(AND(AK$1160&lt;Infrastructure!$AW$12,AK$1160&gt;Infrastructure!$AJ$12),1,0)</f>
        <v>0</v>
      </c>
      <c r="AL1162" s="1181">
        <f>IF(AND(AL$1160&lt;Infrastructure!$AW$12,AL$1160&gt;Infrastructure!$AJ$12),1,0)</f>
        <v>0</v>
      </c>
      <c r="AM1162" s="1181">
        <f>IF(AND(AM$1160&lt;Infrastructure!$AW$12,AM$1160&gt;Infrastructure!$AJ$12),1,0)</f>
        <v>0</v>
      </c>
      <c r="AN1162" s="1181">
        <f>IF(AND(AN$1160&lt;Infrastructure!$AW$12,AN$1160&gt;Infrastructure!$AJ$12),1,0)</f>
        <v>0</v>
      </c>
      <c r="AO1162" s="1181">
        <f>IF(AND(AO$1160&lt;Infrastructure!$AW$12,AO$1160&gt;Infrastructure!$AJ$12),1,0)</f>
        <v>0</v>
      </c>
      <c r="AP1162" s="1181">
        <f>IF(AND(AP$1160&lt;Infrastructure!$AW$12,AP$1160&gt;Infrastructure!$AJ$12),1,0)</f>
        <v>0</v>
      </c>
      <c r="AQ1162" s="1181">
        <f>IF(AND(AQ$1160&lt;Infrastructure!$AW$12,AQ$1160&gt;Infrastructure!$AJ$12),1,0)</f>
        <v>0</v>
      </c>
      <c r="AR1162" s="1181">
        <f>IF(AND(AR$1160&lt;Infrastructure!$AW$12,AR$1160&gt;Infrastructure!$AJ$12),1,0)</f>
        <v>0</v>
      </c>
      <c r="AS1162" s="1181">
        <f>IF(AND(AS$1160&lt;Infrastructure!$AW$12,AS$1160&gt;Infrastructure!$AJ$12),1,0)</f>
        <v>0</v>
      </c>
      <c r="AT1162" s="1181">
        <f>IF(AND(AT$1160&lt;Infrastructure!$AW$12,AT$1160&gt;Infrastructure!$AJ$12),1,0)</f>
        <v>0</v>
      </c>
      <c r="AU1162" s="1181">
        <f>IF(AND(AU$1160&lt;Infrastructure!$AW$12,AU$1160&gt;Infrastructure!$AJ$12),1,0)</f>
        <v>0</v>
      </c>
      <c r="AV1162" s="1181">
        <f>IF(AND(AV$1160&lt;Infrastructure!$AW$12,AV$1160&gt;Infrastructure!$AJ$12),1,0)</f>
        <v>0</v>
      </c>
      <c r="AW1162" s="1181">
        <f>IF(AND(AW$1160&lt;Infrastructure!$AW$12,AW$1160&gt;Infrastructure!$AJ$12),1,0)</f>
        <v>0</v>
      </c>
      <c r="AX1162" s="1181">
        <f>IF(AND(AX$1160&lt;Infrastructure!$AW$12,AX$1160&gt;Infrastructure!$AJ$12),1,0)</f>
        <v>0</v>
      </c>
      <c r="AY1162" s="1181">
        <f>IF(AND(AY$1160&lt;Infrastructure!$AW$12,AY$1160&gt;Infrastructure!$AJ$12),1,0)</f>
        <v>0</v>
      </c>
      <c r="AZ1162" s="1181">
        <f>IF(AND(AZ$1160&lt;Infrastructure!$AW$12,AZ$1160&gt;Infrastructure!$AJ$12),1,0)</f>
        <v>0</v>
      </c>
      <c r="BA1162" s="1181">
        <f>IF(AND(BA$1160&lt;Infrastructure!$AW$12,BA$1160&gt;Infrastructure!$AJ$12),1,0)</f>
        <v>0</v>
      </c>
      <c r="BB1162" s="1181">
        <f>IF(AND(BB$1160&lt;Infrastructure!$AW$12,BB$1160&gt;Infrastructure!$AJ$12),1,0)</f>
        <v>0</v>
      </c>
      <c r="BC1162" s="1181">
        <f>IF(AND(BC$1160&lt;Infrastructure!$AW$12,BC$1160&gt;Infrastructure!$AJ$12),1,0)</f>
        <v>0</v>
      </c>
      <c r="BD1162" s="1181">
        <f>IF(AND(BD$1160&lt;Infrastructure!$AW$12,BD$1160&gt;Infrastructure!$AJ$12),1,0)</f>
        <v>0</v>
      </c>
      <c r="BE1162" s="1181">
        <f>IF(AND(BE$1160&lt;Infrastructure!$AW$12,BE$1160&gt;Infrastructure!$AJ$12),1,0)</f>
        <v>0</v>
      </c>
      <c r="BF1162" s="1148"/>
      <c r="BG1162" s="1148"/>
      <c r="BH1162" s="1148"/>
      <c r="BI1162" s="1148"/>
      <c r="BJ1162" s="1148"/>
      <c r="BK1162" s="1148"/>
      <c r="BL1162" s="1148"/>
      <c r="BM1162" s="1148"/>
      <c r="BN1162" s="1148"/>
      <c r="BO1162" s="1148"/>
      <c r="BP1162" s="1148"/>
      <c r="BQ1162" s="1148"/>
      <c r="BR1162" s="1148"/>
      <c r="BS1162" s="1148"/>
      <c r="BT1162" s="1148"/>
      <c r="BU1162" s="1148"/>
      <c r="BV1162" s="1148"/>
      <c r="BW1162" s="1148"/>
      <c r="BX1162" s="1148"/>
      <c r="BY1162" s="1148"/>
      <c r="BZ1162" s="1148"/>
      <c r="CA1162" s="1148"/>
      <c r="CB1162" s="1148"/>
      <c r="CC1162" s="1148"/>
      <c r="CD1162" s="1148"/>
      <c r="CE1162" s="1148"/>
      <c r="CF1162" s="1144"/>
      <c r="CG1162" s="1144"/>
      <c r="CH1162" s="1144"/>
      <c r="CI1162" s="1144"/>
      <c r="CJ1162" s="1144"/>
      <c r="CK1162" s="1144"/>
      <c r="CL1162" s="1144"/>
      <c r="CM1162" s="1144"/>
      <c r="CN1162" s="1144"/>
    </row>
    <row r="1163" spans="11:92" ht="12" customHeight="1" x14ac:dyDescent="0.35">
      <c r="K1163" s="29">
        <f t="shared" si="796"/>
        <v>1</v>
      </c>
      <c r="L1163" s="1158">
        <f t="shared" si="797"/>
        <v>0</v>
      </c>
      <c r="M1163" s="34">
        <f t="shared" si="798"/>
        <v>0</v>
      </c>
      <c r="N1163" s="34">
        <f t="shared" si="799"/>
        <v>0</v>
      </c>
      <c r="O1163" s="55">
        <f t="shared" si="800"/>
        <v>0</v>
      </c>
      <c r="P1163" s="55">
        <f t="shared" si="801"/>
        <v>0</v>
      </c>
      <c r="Q1163" s="55">
        <f t="shared" si="802"/>
        <v>0</v>
      </c>
      <c r="R1163" s="31">
        <f>IF(Input!D$298=L1319,Input!D$297,0)</f>
        <v>0</v>
      </c>
      <c r="S1163" s="36">
        <f t="shared" si="803"/>
        <v>0</v>
      </c>
      <c r="T1163" s="1818"/>
      <c r="U1163" s="1814"/>
      <c r="V1163" s="1814"/>
      <c r="W1163" s="1817"/>
      <c r="X1163" s="1814"/>
      <c r="Y1163" s="1801"/>
      <c r="Z1163" s="1801"/>
      <c r="AA1163" s="1801"/>
      <c r="AB1163" s="1801"/>
      <c r="AC1163" s="1801"/>
      <c r="AD1163" s="1801"/>
      <c r="AE1163" s="29"/>
      <c r="AF1163" s="376"/>
      <c r="AG1163" s="1181">
        <f>IF(AND(AG$1160&lt;Infrastructure!$BI$12,AG$1160&gt;Infrastructure!$AV$12),1,0)</f>
        <v>0</v>
      </c>
      <c r="AH1163" s="1181">
        <f>IF(AND(AH$1160&lt;Infrastructure!$BI$12,AH$1160&gt;Infrastructure!$AV$12),1,0)</f>
        <v>0</v>
      </c>
      <c r="AI1163" s="1181">
        <f>IF(AND(AI$1160&lt;Infrastructure!$BI$12,AI$1160&gt;Infrastructure!$AV$12),1,0)</f>
        <v>0</v>
      </c>
      <c r="AJ1163" s="1181">
        <f>IF(AND(AJ$1160&lt;Infrastructure!$BI$12,AJ$1160&gt;Infrastructure!$AV$12),1,0)</f>
        <v>0</v>
      </c>
      <c r="AK1163" s="1181">
        <f>IF(AND(AK$1160&lt;Infrastructure!$BI$12,AK$1160&gt;Infrastructure!$AV$12),1,0)</f>
        <v>0</v>
      </c>
      <c r="AL1163" s="1181">
        <f>IF(AND(AL$1160&lt;Infrastructure!$BI$12,AL$1160&gt;Infrastructure!$AV$12),1,0)</f>
        <v>0</v>
      </c>
      <c r="AM1163" s="1181">
        <f>IF(AND(AM$1160&lt;Infrastructure!$BI$12,AM$1160&gt;Infrastructure!$AV$12),1,0)</f>
        <v>0</v>
      </c>
      <c r="AN1163" s="1181">
        <f>IF(AND(AN$1160&lt;Infrastructure!$BI$12,AN$1160&gt;Infrastructure!$AV$12),1,0)</f>
        <v>0</v>
      </c>
      <c r="AO1163" s="1181">
        <f>IF(AND(AO$1160&lt;Infrastructure!$BI$12,AO$1160&gt;Infrastructure!$AV$12),1,0)</f>
        <v>0</v>
      </c>
      <c r="AP1163" s="1181">
        <f>IF(AND(AP$1160&lt;Infrastructure!$BI$12,AP$1160&gt;Infrastructure!$AV$12),1,0)</f>
        <v>0</v>
      </c>
      <c r="AQ1163" s="1181">
        <f>IF(AND(AQ$1160&lt;Infrastructure!$BI$12,AQ$1160&gt;Infrastructure!$AV$12),1,0)</f>
        <v>0</v>
      </c>
      <c r="AR1163" s="1181">
        <f>IF(AND(AR$1160&lt;Infrastructure!$BI$12,AR$1160&gt;Infrastructure!$AV$12),1,0)</f>
        <v>0</v>
      </c>
      <c r="AS1163" s="1181">
        <f>IF(AND(AS$1160&lt;Infrastructure!$BI$12,AS$1160&gt;Infrastructure!$AV$12),1,0)</f>
        <v>0</v>
      </c>
      <c r="AT1163" s="1181">
        <f>IF(AND(AT$1160&lt;Infrastructure!$BI$12,AT$1160&gt;Infrastructure!$AV$12),1,0)</f>
        <v>0</v>
      </c>
      <c r="AU1163" s="1181">
        <f>IF(AND(AU$1160&lt;Infrastructure!$BI$12,AU$1160&gt;Infrastructure!$AV$12),1,0)</f>
        <v>0</v>
      </c>
      <c r="AV1163" s="1181">
        <f>IF(AND(AV$1160&lt;Infrastructure!$BI$12,AV$1160&gt;Infrastructure!$AV$12),1,0)</f>
        <v>0</v>
      </c>
      <c r="AW1163" s="1181">
        <f>IF(AND(AW$1160&lt;Infrastructure!$BI$12,AW$1160&gt;Infrastructure!$AV$12),1,0)</f>
        <v>0</v>
      </c>
      <c r="AX1163" s="1181">
        <f>IF(AND(AX$1160&lt;Infrastructure!$BI$12,AX$1160&gt;Infrastructure!$AV$12),1,0)</f>
        <v>0</v>
      </c>
      <c r="AY1163" s="1181">
        <f>IF(AND(AY$1160&lt;Infrastructure!$BI$12,AY$1160&gt;Infrastructure!$AV$12),1,0)</f>
        <v>0</v>
      </c>
      <c r="AZ1163" s="1181">
        <f>IF(AND(AZ$1160&lt;Infrastructure!$BI$12,AZ$1160&gt;Infrastructure!$AV$12),1,0)</f>
        <v>0</v>
      </c>
      <c r="BA1163" s="1181">
        <f>IF(AND(BA$1160&lt;Infrastructure!$BI$12,BA$1160&gt;Infrastructure!$AV$12),1,0)</f>
        <v>0</v>
      </c>
      <c r="BB1163" s="1181">
        <f>IF(AND(BB$1160&lt;Infrastructure!$BI$12,BB$1160&gt;Infrastructure!$AV$12),1,0)</f>
        <v>0</v>
      </c>
      <c r="BC1163" s="1181">
        <f>IF(AND(BC$1160&lt;Infrastructure!$BI$12,BC$1160&gt;Infrastructure!$AV$12),1,0)</f>
        <v>0</v>
      </c>
      <c r="BD1163" s="1181">
        <f>IF(AND(BD$1160&lt;Infrastructure!$BI$12,BD$1160&gt;Infrastructure!$AV$12),1,0)</f>
        <v>0</v>
      </c>
      <c r="BE1163" s="1181">
        <f>IF(AND(BE$1160&lt;Infrastructure!$BI$12,BE$1160&gt;Infrastructure!$AV$12),1,0)</f>
        <v>0</v>
      </c>
      <c r="BF1163" s="1148"/>
      <c r="BG1163" s="1148"/>
      <c r="BH1163" s="1148"/>
      <c r="BI1163" s="1148"/>
      <c r="BJ1163" s="1148"/>
      <c r="BK1163" s="1148"/>
      <c r="BL1163" s="1148"/>
      <c r="BM1163" s="1148"/>
      <c r="BN1163" s="1148"/>
      <c r="BO1163" s="1148"/>
      <c r="BP1163" s="1148"/>
      <c r="BQ1163" s="1148"/>
      <c r="BR1163" s="1148"/>
      <c r="BS1163" s="1148"/>
      <c r="BT1163" s="1148"/>
      <c r="BU1163" s="1148"/>
      <c r="BV1163" s="1148"/>
      <c r="BW1163" s="1148"/>
      <c r="BX1163" s="1148"/>
      <c r="BY1163" s="1148"/>
      <c r="BZ1163" s="1148"/>
      <c r="CA1163" s="1148"/>
      <c r="CB1163" s="1148"/>
      <c r="CC1163" s="1148"/>
      <c r="CD1163" s="1148"/>
      <c r="CE1163" s="1148"/>
      <c r="CF1163" s="1144"/>
      <c r="CG1163" s="1144"/>
      <c r="CH1163" s="1144"/>
      <c r="CI1163" s="1144"/>
      <c r="CJ1163" s="1144"/>
      <c r="CK1163" s="1144"/>
      <c r="CL1163" s="1144"/>
      <c r="CM1163" s="1144"/>
      <c r="CN1163" s="1144"/>
    </row>
    <row r="1164" spans="11:92" ht="12" customHeight="1" x14ac:dyDescent="0.35">
      <c r="K1164" s="29">
        <f t="shared" si="796"/>
        <v>1</v>
      </c>
      <c r="L1164" s="1158">
        <f t="shared" si="797"/>
        <v>0</v>
      </c>
      <c r="M1164" s="34">
        <f t="shared" si="798"/>
        <v>0</v>
      </c>
      <c r="N1164" s="34">
        <f t="shared" si="799"/>
        <v>0</v>
      </c>
      <c r="O1164" s="55">
        <f t="shared" si="800"/>
        <v>0</v>
      </c>
      <c r="P1164" s="55">
        <f t="shared" si="801"/>
        <v>0</v>
      </c>
      <c r="Q1164" s="55">
        <f t="shared" si="802"/>
        <v>0</v>
      </c>
      <c r="R1164" s="31">
        <f>IF(Input!D$298=L1320,Input!D$297,0)</f>
        <v>0</v>
      </c>
      <c r="S1164" s="36">
        <f t="shared" si="803"/>
        <v>0</v>
      </c>
      <c r="T1164" s="1818"/>
      <c r="U1164" s="1814"/>
      <c r="V1164" s="1814"/>
      <c r="W1164" s="1817"/>
      <c r="X1164" s="1814"/>
      <c r="Y1164" s="1801"/>
      <c r="Z1164" s="1801"/>
      <c r="AA1164" s="1801"/>
      <c r="AB1164" s="1801"/>
      <c r="AC1164" s="1801"/>
      <c r="AD1164" s="1801"/>
      <c r="AE1164" s="29"/>
      <c r="AF1164" s="376"/>
      <c r="AG1164" s="1181">
        <f>IF(AND(AG$1160&lt;Infrastructure!$BU$12,AG$1160&gt;Infrastructure!$BI$12),1,0)</f>
        <v>0</v>
      </c>
      <c r="AH1164" s="1181">
        <f>IF(AND(AH$1160&lt;Infrastructure!$BU$12,AH$1160&gt;Infrastructure!$BI$12),1,0)</f>
        <v>0</v>
      </c>
      <c r="AI1164" s="1181">
        <f>IF(AND(AI$1160&lt;Infrastructure!$BU$12,AI$1160&gt;Infrastructure!$BI$12),1,0)</f>
        <v>0</v>
      </c>
      <c r="AJ1164" s="1181">
        <f>IF(AND(AJ$1160&lt;Infrastructure!$BU$12,AJ$1160&gt;Infrastructure!$BI$12),1,0)</f>
        <v>0</v>
      </c>
      <c r="AK1164" s="1181">
        <f>IF(AND(AK$1160&lt;Infrastructure!$BU$12,AK$1160&gt;Infrastructure!$BI$12),1,0)</f>
        <v>0</v>
      </c>
      <c r="AL1164" s="1181">
        <f>IF(AND(AL$1160&lt;Infrastructure!$BU$12,AL$1160&gt;Infrastructure!$BI$12),1,0)</f>
        <v>0</v>
      </c>
      <c r="AM1164" s="1181">
        <f>IF(AND(AM$1160&lt;Infrastructure!$BU$12,AM$1160&gt;Infrastructure!$BI$12),1,0)</f>
        <v>0</v>
      </c>
      <c r="AN1164" s="1181">
        <f>IF(AND(AN$1160&lt;Infrastructure!$BU$12,AN$1160&gt;Infrastructure!$BI$12),1,0)</f>
        <v>0</v>
      </c>
      <c r="AO1164" s="1181">
        <f>IF(AND(AO$1160&lt;Infrastructure!$BU$12,AO$1160&gt;Infrastructure!$BI$12),1,0)</f>
        <v>0</v>
      </c>
      <c r="AP1164" s="1181">
        <f>IF(AND(AP$1160&lt;Infrastructure!$BU$12,AP$1160&gt;Infrastructure!$BI$12),1,0)</f>
        <v>0</v>
      </c>
      <c r="AQ1164" s="1181">
        <f>IF(AND(AQ$1160&lt;Infrastructure!$BU$12,AQ$1160&gt;Infrastructure!$BI$12),1,0)</f>
        <v>0</v>
      </c>
      <c r="AR1164" s="1181">
        <f>IF(AND(AR$1160&lt;Infrastructure!$BU$12,AR$1160&gt;Infrastructure!$BI$12),1,0)</f>
        <v>0</v>
      </c>
      <c r="AS1164" s="1181">
        <f>IF(AND(AS$1160&lt;Infrastructure!$BU$12,AS$1160&gt;Infrastructure!$BI$12),1,0)</f>
        <v>0</v>
      </c>
      <c r="AT1164" s="1181">
        <f>IF(AND(AT$1160&lt;Infrastructure!$BU$12,AT$1160&gt;Infrastructure!$BI$12),1,0)</f>
        <v>0</v>
      </c>
      <c r="AU1164" s="1181">
        <f>IF(AND(AU$1160&lt;Infrastructure!$BU$12,AU$1160&gt;Infrastructure!$BI$12),1,0)</f>
        <v>0</v>
      </c>
      <c r="AV1164" s="1181">
        <f>IF(AND(AV$1160&lt;Infrastructure!$BU$12,AV$1160&gt;Infrastructure!$BI$12),1,0)</f>
        <v>0</v>
      </c>
      <c r="AW1164" s="1181">
        <f>IF(AND(AW$1160&lt;Infrastructure!$BU$12,AW$1160&gt;Infrastructure!$BI$12),1,0)</f>
        <v>0</v>
      </c>
      <c r="AX1164" s="1181">
        <f>IF(AND(AX$1160&lt;Infrastructure!$BU$12,AX$1160&gt;Infrastructure!$BI$12),1,0)</f>
        <v>0</v>
      </c>
      <c r="AY1164" s="1181">
        <f>IF(AND(AY$1160&lt;Infrastructure!$BU$12,AY$1160&gt;Infrastructure!$BI$12),1,0)</f>
        <v>0</v>
      </c>
      <c r="AZ1164" s="1181">
        <f>IF(AND(AZ$1160&lt;Infrastructure!$BU$12,AZ$1160&gt;Infrastructure!$BI$12),1,0)</f>
        <v>0</v>
      </c>
      <c r="BA1164" s="1181">
        <f>IF(AND(BA$1160&lt;Infrastructure!$BU$12,BA$1160&gt;Infrastructure!$BI$12),1,0)</f>
        <v>0</v>
      </c>
      <c r="BB1164" s="1181">
        <f>IF(AND(BB$1160&lt;Infrastructure!$BU$12,BB$1160&gt;Infrastructure!$BI$12),1,0)</f>
        <v>0</v>
      </c>
      <c r="BC1164" s="1181">
        <f>IF(AND(BC$1160&lt;Infrastructure!$BU$12,BC$1160&gt;Infrastructure!$BI$12),1,0)</f>
        <v>0</v>
      </c>
      <c r="BD1164" s="1181">
        <f>IF(AND(BD$1160&lt;Infrastructure!$BU$12,BD$1160&gt;Infrastructure!$BI$12),1,0)</f>
        <v>0</v>
      </c>
      <c r="BE1164" s="1181">
        <f>IF(AND(BE$1160&lt;Infrastructure!$BU$12,BE$1160&gt;Infrastructure!$BI$12),1,0)</f>
        <v>0</v>
      </c>
      <c r="BF1164" s="1148"/>
      <c r="BG1164" s="1148"/>
      <c r="BH1164" s="1148"/>
      <c r="BI1164" s="1148"/>
      <c r="BJ1164" s="1148"/>
      <c r="BK1164" s="1148"/>
      <c r="BL1164" s="1148"/>
      <c r="BM1164" s="1148"/>
      <c r="BN1164" s="1148"/>
      <c r="BO1164" s="1148"/>
      <c r="BP1164" s="1148"/>
      <c r="BQ1164" s="1148"/>
      <c r="BR1164" s="1148"/>
      <c r="BS1164" s="1148"/>
      <c r="BT1164" s="1148"/>
      <c r="BU1164" s="1148"/>
      <c r="BV1164" s="1148"/>
      <c r="BW1164" s="1148"/>
      <c r="BX1164" s="1148"/>
      <c r="BY1164" s="1148"/>
      <c r="BZ1164" s="1148"/>
      <c r="CA1164" s="1148"/>
      <c r="CB1164" s="1148"/>
      <c r="CC1164" s="1148"/>
      <c r="CD1164" s="1148"/>
      <c r="CE1164" s="1148"/>
      <c r="CF1164" s="1144"/>
      <c r="CG1164" s="1144"/>
      <c r="CH1164" s="1144"/>
      <c r="CI1164" s="1144"/>
      <c r="CJ1164" s="1144"/>
      <c r="CK1164" s="1144"/>
      <c r="CL1164" s="1144"/>
      <c r="CM1164" s="1144"/>
      <c r="CN1164" s="1144"/>
    </row>
    <row r="1165" spans="11:92" ht="12" customHeight="1" x14ac:dyDescent="0.35">
      <c r="K1165" s="29">
        <f t="shared" si="796"/>
        <v>1</v>
      </c>
      <c r="L1165" s="1158">
        <f t="shared" si="797"/>
        <v>0</v>
      </c>
      <c r="M1165" s="34">
        <f t="shared" si="798"/>
        <v>0</v>
      </c>
      <c r="N1165" s="34">
        <f t="shared" si="799"/>
        <v>0</v>
      </c>
      <c r="O1165" s="55">
        <f t="shared" si="800"/>
        <v>0</v>
      </c>
      <c r="P1165" s="55">
        <f t="shared" si="801"/>
        <v>0</v>
      </c>
      <c r="Q1165" s="55">
        <f t="shared" si="802"/>
        <v>0</v>
      </c>
      <c r="R1165" s="31">
        <f>IF(Input!D$298=L1321,Input!D$297,0)</f>
        <v>0</v>
      </c>
      <c r="S1165" s="36">
        <f t="shared" si="803"/>
        <v>0</v>
      </c>
      <c r="T1165" s="1818"/>
      <c r="U1165" s="1814"/>
      <c r="V1165" s="1814"/>
      <c r="W1165" s="1817"/>
      <c r="X1165" s="1814"/>
      <c r="Y1165" s="1801"/>
      <c r="Z1165" s="1801"/>
      <c r="AA1165" s="1801"/>
      <c r="AB1165" s="1801"/>
      <c r="AC1165" s="1801"/>
      <c r="AD1165" s="1801"/>
      <c r="AE1165" s="29"/>
      <c r="AF1165" s="376"/>
      <c r="AG1165" s="1181">
        <f>IF(AND(AG$1160&gt;Infrastructure!$BT$12,Input!D$62&gt;0),1,0)</f>
        <v>0</v>
      </c>
      <c r="AH1165" s="1181">
        <f>IF(AND(AH$1160&gt;Infrastructure!$BT$12,Input!E$62&gt;0),1,0)</f>
        <v>0</v>
      </c>
      <c r="AI1165" s="1181">
        <f>IF(AND(AI$1160&gt;Infrastructure!$BT$12,Input!F$62&gt;0),1,0)</f>
        <v>0</v>
      </c>
      <c r="AJ1165" s="1181">
        <f>IF(AND(AJ$1160&gt;Infrastructure!$BT$12,Input!G$62&gt;0),1,0)</f>
        <v>0</v>
      </c>
      <c r="AK1165" s="1181">
        <f>IF(AND(AK$1160&gt;Infrastructure!$BT$12,Input!H$62&gt;0),1,0)</f>
        <v>0</v>
      </c>
      <c r="AL1165" s="1181">
        <f>IF(AND(AL$1160&gt;Infrastructure!$BT$12,Input!I$62&gt;0),1,0)</f>
        <v>0</v>
      </c>
      <c r="AM1165" s="1181">
        <f>IF(AND(AM$1160&gt;Infrastructure!$BT$12,Input!J$62&gt;0),1,0)</f>
        <v>0</v>
      </c>
      <c r="AN1165" s="1181">
        <f>IF(AND(AN$1160&gt;Infrastructure!$BT$12,Input!K$62&gt;0),1,0)</f>
        <v>0</v>
      </c>
      <c r="AO1165" s="1181">
        <f>IF(AND(AO$1160&gt;Infrastructure!$BT$12,Input!L$62&gt;0),1,0)</f>
        <v>0</v>
      </c>
      <c r="AP1165" s="1181">
        <f>IF(AND(AP$1160&gt;Infrastructure!$BT$12,Input!M$62&gt;0),1,0)</f>
        <v>0</v>
      </c>
      <c r="AQ1165" s="1181">
        <f>IF(AND(AQ$1160&gt;Infrastructure!$BT$12,Input!N$62&gt;0),1,0)</f>
        <v>0</v>
      </c>
      <c r="AR1165" s="1181">
        <f>IF(AND(AR$1160&gt;Infrastructure!$BT$12,Input!O$62&gt;0),1,0)</f>
        <v>0</v>
      </c>
      <c r="AS1165" s="1181">
        <f>IF(AND(AS$1160&gt;Infrastructure!$BT$12,Input!P$62&gt;0),1,0)</f>
        <v>0</v>
      </c>
      <c r="AT1165" s="1181">
        <f>IF(AND(AT$1160&gt;Infrastructure!$BT$12,Input!Q$62&gt;0),1,0)</f>
        <v>0</v>
      </c>
      <c r="AU1165" s="1181">
        <f>IF(AND(AU$1160&gt;Infrastructure!$BT$12,Input!R$62&gt;0),1,0)</f>
        <v>0</v>
      </c>
      <c r="AV1165" s="1181">
        <f>IF(AND(AV$1160&gt;Infrastructure!$BT$12,Input!S$62&gt;0),1,0)</f>
        <v>0</v>
      </c>
      <c r="AW1165" s="1181">
        <f>IF(AND(AW$1160&gt;Infrastructure!$BT$12,Input!T$62&gt;0),1,0)</f>
        <v>0</v>
      </c>
      <c r="AX1165" s="1181">
        <f>IF(AND(AX$1160&gt;Infrastructure!$BT$12,Input!U$62&gt;0),1,0)</f>
        <v>0</v>
      </c>
      <c r="AY1165" s="1181">
        <f>IF(AND(AY$1160&gt;Infrastructure!$BT$12,Input!V$62&gt;0),1,0)</f>
        <v>0</v>
      </c>
      <c r="AZ1165" s="1181">
        <f>IF(AND(AZ$1160&gt;Infrastructure!$BT$12,Input!W$62&gt;0),1,0)</f>
        <v>0</v>
      </c>
      <c r="BA1165" s="1181">
        <f>IF(AND(BA$1160&gt;Infrastructure!$BT$12,Input!X$62&gt;0),1,0)</f>
        <v>0</v>
      </c>
      <c r="BB1165" s="1181">
        <f>IF(AND(BB$1160&gt;Infrastructure!$BT$12,Input!Y$62&gt;0),1,0)</f>
        <v>0</v>
      </c>
      <c r="BC1165" s="1181">
        <f>IF(AND(BC$1160&gt;Infrastructure!$BT$12,Input!Z$62&gt;0),1,0)</f>
        <v>0</v>
      </c>
      <c r="BD1165" s="1181">
        <f>IF(AND(BD$1160&gt;Infrastructure!$BT$12,Input!AA$62&gt;0),1,0)</f>
        <v>0</v>
      </c>
      <c r="BE1165" s="1181">
        <f>IF(AND(BE$1160&gt;Infrastructure!$BT$12,Input!AB$62&gt;0),1,0)</f>
        <v>0</v>
      </c>
      <c r="BF1165" s="1148"/>
      <c r="BG1165" s="1148"/>
      <c r="BH1165" s="1148"/>
      <c r="BI1165" s="1148"/>
      <c r="BJ1165" s="1148"/>
      <c r="BK1165" s="1148"/>
      <c r="BL1165" s="1148"/>
      <c r="BM1165" s="1148"/>
      <c r="BN1165" s="1148"/>
      <c r="BO1165" s="1148"/>
      <c r="BP1165" s="1148"/>
      <c r="BQ1165" s="1148"/>
      <c r="BR1165" s="1148"/>
      <c r="BS1165" s="1148"/>
      <c r="BT1165" s="1148"/>
      <c r="BU1165" s="1148"/>
      <c r="BV1165" s="1148"/>
      <c r="BW1165" s="1148"/>
      <c r="BX1165" s="1148"/>
      <c r="BY1165" s="1148"/>
      <c r="BZ1165" s="1148"/>
      <c r="CA1165" s="1148"/>
      <c r="CB1165" s="1148"/>
      <c r="CC1165" s="1148"/>
      <c r="CD1165" s="1148"/>
      <c r="CE1165" s="1148"/>
      <c r="CF1165" s="1144"/>
      <c r="CG1165" s="1144"/>
      <c r="CH1165" s="1144"/>
      <c r="CI1165" s="1144"/>
      <c r="CJ1165" s="1144"/>
      <c r="CK1165" s="1144"/>
      <c r="CL1165" s="1144"/>
      <c r="CM1165" s="1144"/>
      <c r="CN1165" s="1144"/>
    </row>
    <row r="1166" spans="11:92" ht="12" customHeight="1" x14ac:dyDescent="0.35">
      <c r="K1166" s="29">
        <f t="shared" si="796"/>
        <v>1</v>
      </c>
      <c r="L1166" s="1158">
        <f t="shared" si="797"/>
        <v>0</v>
      </c>
      <c r="M1166" s="34">
        <f t="shared" si="798"/>
        <v>0</v>
      </c>
      <c r="N1166" s="34">
        <f t="shared" si="799"/>
        <v>0</v>
      </c>
      <c r="O1166" s="55">
        <f t="shared" ref="O1166:O1229" si="804">IF(M1166&lt;1,0,-IPMT(N$1134/12,K1166,N$1133,N$1131,0))</f>
        <v>0</v>
      </c>
      <c r="P1166" s="55">
        <f t="shared" ref="P1166:P1229" si="805">N1166-O1166</f>
        <v>0</v>
      </c>
      <c r="Q1166" s="55">
        <f t="shared" ref="Q1166:Q1229" si="806">M1166-P1166</f>
        <v>0</v>
      </c>
      <c r="R1166" s="31">
        <f>IF(Input!D$298=L1322,Input!D$297,0)</f>
        <v>0</v>
      </c>
      <c r="S1166" s="36">
        <f t="shared" si="803"/>
        <v>0</v>
      </c>
      <c r="T1166" s="1818"/>
      <c r="U1166" s="1814"/>
      <c r="V1166" s="1814"/>
      <c r="W1166" s="1817"/>
      <c r="X1166" s="1814"/>
      <c r="Y1166" s="1801"/>
      <c r="Z1166" s="1801"/>
      <c r="AA1166" s="1801"/>
      <c r="AB1166" s="1801"/>
      <c r="AC1166" s="1801"/>
      <c r="AD1166" s="1801"/>
      <c r="AE1166" s="29"/>
      <c r="AF1166" s="376"/>
      <c r="AG1166" s="376"/>
      <c r="AH1166" s="376"/>
      <c r="AI1166" s="376"/>
      <c r="AJ1166" s="376"/>
      <c r="AK1166" s="376"/>
      <c r="AL1166" s="376"/>
      <c r="AM1166" s="376"/>
      <c r="AN1166" s="376"/>
      <c r="AO1166" s="376">
        <f>IF(Input!F$253=AP1166,1,IF(OR(Input!F$253&gt;AP1166,Input!F$253+Input!F$254-1&lt;AP1166),0,AO1165+1))</f>
        <v>0</v>
      </c>
      <c r="AP1166" s="27">
        <v>9</v>
      </c>
      <c r="AQ1166" s="376"/>
      <c r="AR1166" s="376"/>
      <c r="AS1166" s="376"/>
      <c r="AT1166" s="376"/>
      <c r="AU1166" s="376"/>
      <c r="AV1166" s="376"/>
      <c r="AW1166" s="376"/>
      <c r="AX1166" s="376"/>
      <c r="AY1166" s="376"/>
      <c r="AZ1166" s="376"/>
      <c r="BA1166" s="376"/>
      <c r="BB1166" s="376"/>
      <c r="BC1166" s="376"/>
      <c r="BD1166" s="376"/>
      <c r="BE1166" s="376"/>
      <c r="BF1166" s="1148"/>
      <c r="BG1166" s="1148"/>
      <c r="BH1166" s="1148"/>
      <c r="BI1166" s="1148"/>
      <c r="BJ1166" s="1148"/>
      <c r="BK1166" s="1148"/>
      <c r="BL1166" s="1148"/>
      <c r="BM1166" s="1148"/>
      <c r="BN1166" s="1148"/>
      <c r="BO1166" s="1148"/>
      <c r="BP1166" s="1148"/>
      <c r="BQ1166" s="1148"/>
      <c r="BR1166" s="1148"/>
      <c r="BS1166" s="1148"/>
      <c r="BT1166" s="1148"/>
      <c r="BU1166" s="1148"/>
      <c r="BV1166" s="1148"/>
      <c r="BW1166" s="1148"/>
      <c r="BX1166" s="1148"/>
      <c r="BY1166" s="1148"/>
      <c r="BZ1166" s="1148"/>
      <c r="CA1166" s="1148"/>
      <c r="CB1166" s="1148"/>
      <c r="CC1166" s="1148"/>
      <c r="CD1166" s="1148"/>
      <c r="CE1166" s="1148"/>
      <c r="CF1166" s="1144"/>
      <c r="CG1166" s="1144"/>
      <c r="CH1166" s="1144"/>
      <c r="CI1166" s="1144"/>
      <c r="CJ1166" s="1144"/>
      <c r="CK1166" s="1144"/>
      <c r="CL1166" s="1144"/>
      <c r="CM1166" s="1144"/>
      <c r="CN1166" s="1144"/>
    </row>
    <row r="1167" spans="11:92" ht="12" customHeight="1" x14ac:dyDescent="0.35">
      <c r="K1167" s="29">
        <f t="shared" si="796"/>
        <v>1</v>
      </c>
      <c r="L1167" s="1158">
        <f t="shared" si="797"/>
        <v>0</v>
      </c>
      <c r="M1167" s="34">
        <f t="shared" si="798"/>
        <v>0</v>
      </c>
      <c r="N1167" s="34">
        <f t="shared" si="799"/>
        <v>0</v>
      </c>
      <c r="O1167" s="55">
        <f t="shared" si="804"/>
        <v>0</v>
      </c>
      <c r="P1167" s="55">
        <f t="shared" si="805"/>
        <v>0</v>
      </c>
      <c r="Q1167" s="55">
        <f t="shared" si="806"/>
        <v>0</v>
      </c>
      <c r="R1167" s="31">
        <f>IF(Input!D$298=L1323,Input!D$297,0)</f>
        <v>0</v>
      </c>
      <c r="S1167" s="36">
        <f t="shared" si="803"/>
        <v>0</v>
      </c>
      <c r="T1167" s="1818"/>
      <c r="U1167" s="1814"/>
      <c r="V1167" s="1814"/>
      <c r="W1167" s="1817"/>
      <c r="X1167" s="1814"/>
      <c r="Y1167" s="1801"/>
      <c r="Z1167" s="1801"/>
      <c r="AA1167" s="1801"/>
      <c r="AB1167" s="1801"/>
      <c r="AC1167" s="1801"/>
      <c r="AD1167" s="1801"/>
      <c r="AE1167" s="29"/>
      <c r="AF1167" s="376"/>
      <c r="AG1167" s="376"/>
      <c r="AH1167" s="376"/>
      <c r="AI1167" s="376"/>
      <c r="AJ1167" s="376"/>
      <c r="AK1167" s="376"/>
      <c r="AL1167" s="1148"/>
      <c r="AM1167" s="1148"/>
      <c r="AN1167" s="1148"/>
      <c r="AO1167" s="376">
        <f>IF(Input!F$253=AP1167,1,IF(OR(Input!F$253&gt;AP1167,Input!F$253+Input!F$254-1&lt;AP1167),0,AO1166+1))</f>
        <v>0</v>
      </c>
      <c r="AP1167" s="27">
        <v>10</v>
      </c>
      <c r="AQ1167" s="1148"/>
      <c r="AR1167" s="1148"/>
      <c r="AS1167" s="1148"/>
      <c r="AT1167" s="376"/>
      <c r="AU1167" s="1148"/>
      <c r="AV1167" s="1148"/>
      <c r="AW1167" s="1148"/>
      <c r="AX1167" s="1148"/>
      <c r="AY1167" s="1148"/>
      <c r="AZ1167" s="1148"/>
      <c r="BA1167" s="1148"/>
      <c r="BB1167" s="1148"/>
      <c r="BC1167" s="1148"/>
      <c r="BD1167" s="1148"/>
      <c r="BE1167" s="1148"/>
      <c r="BF1167" s="1148"/>
      <c r="BG1167" s="1148"/>
      <c r="BH1167" s="1148"/>
      <c r="BI1167" s="1148"/>
      <c r="BJ1167" s="1148"/>
      <c r="BK1167" s="1148"/>
      <c r="BL1167" s="1148"/>
      <c r="BM1167" s="1148"/>
      <c r="BN1167" s="1148"/>
      <c r="BO1167" s="1148"/>
      <c r="BP1167" s="1148"/>
      <c r="BQ1167" s="1148"/>
      <c r="BR1167" s="1148"/>
      <c r="BS1167" s="1148"/>
      <c r="BT1167" s="1148"/>
      <c r="BU1167" s="1148"/>
      <c r="BV1167" s="1148"/>
      <c r="BW1167" s="1148"/>
      <c r="BX1167" s="1148"/>
      <c r="BY1167" s="1148"/>
      <c r="BZ1167" s="1148"/>
      <c r="CA1167" s="1148"/>
      <c r="CB1167" s="1148"/>
      <c r="CC1167" s="1148"/>
      <c r="CD1167" s="1148"/>
      <c r="CE1167" s="1148"/>
      <c r="CF1167" s="1144"/>
      <c r="CG1167" s="1144"/>
      <c r="CH1167" s="1144"/>
      <c r="CI1167" s="1144"/>
      <c r="CJ1167" s="1144"/>
      <c r="CK1167" s="1144"/>
      <c r="CL1167" s="1144"/>
      <c r="CM1167" s="1144"/>
      <c r="CN1167" s="1144"/>
    </row>
    <row r="1168" spans="11:92" ht="12" customHeight="1" x14ac:dyDescent="0.35">
      <c r="K1168" s="29">
        <f t="shared" si="796"/>
        <v>1</v>
      </c>
      <c r="L1168" s="1158">
        <f t="shared" si="797"/>
        <v>0</v>
      </c>
      <c r="M1168" s="34">
        <f t="shared" si="798"/>
        <v>0</v>
      </c>
      <c r="N1168" s="34">
        <f t="shared" si="799"/>
        <v>0</v>
      </c>
      <c r="O1168" s="55">
        <f t="shared" si="804"/>
        <v>0</v>
      </c>
      <c r="P1168" s="55">
        <f t="shared" si="805"/>
        <v>0</v>
      </c>
      <c r="Q1168" s="55">
        <f t="shared" si="806"/>
        <v>0</v>
      </c>
      <c r="R1168" s="31">
        <f>IF(Input!D$298=L1324,Input!D$297,0)</f>
        <v>0</v>
      </c>
      <c r="S1168" s="36">
        <f t="shared" si="803"/>
        <v>0</v>
      </c>
      <c r="T1168" s="1818"/>
      <c r="U1168" s="1814"/>
      <c r="V1168" s="1814"/>
      <c r="W1168" s="1817"/>
      <c r="X1168" s="1814"/>
      <c r="Y1168" s="1801"/>
      <c r="Z1168" s="1801"/>
      <c r="AA1168" s="1801"/>
      <c r="AB1168" s="1801"/>
      <c r="AC1168" s="1801"/>
      <c r="AD1168" s="1801"/>
      <c r="AE1168" s="29"/>
      <c r="AF1168" s="376"/>
      <c r="AG1168" s="387" t="str">
        <f>Infrastructure!H9</f>
        <v>Year 1</v>
      </c>
      <c r="AH1168" s="387" t="str">
        <f>Infrastructure!I9</f>
        <v>Year 2</v>
      </c>
      <c r="AI1168" s="387" t="str">
        <f>Infrastructure!J9</f>
        <v>Year 3</v>
      </c>
      <c r="AJ1168" s="387" t="str">
        <f>Infrastructure!K9</f>
        <v>Year 4</v>
      </c>
      <c r="AK1168" s="387" t="str">
        <f>Infrastructure!L9</f>
        <v>Year 5</v>
      </c>
      <c r="AL1168" s="1148"/>
      <c r="AM1168" s="1148"/>
      <c r="AN1168" s="1148"/>
      <c r="AO1168" s="376">
        <f>IF(Input!F$253=AP1168,1,IF(OR(Input!F$253&gt;AP1168,Input!F$253+Input!F$254-1&lt;AP1168),0,AO1167+1))</f>
        <v>0</v>
      </c>
      <c r="AP1168" s="27">
        <v>11</v>
      </c>
      <c r="AQ1168" s="1148"/>
      <c r="AR1168" s="1148"/>
      <c r="AS1168" s="1148"/>
      <c r="AT1168" s="376"/>
      <c r="AU1168" s="1148"/>
      <c r="AV1168" s="1148"/>
      <c r="AW1168" s="1148"/>
      <c r="AX1168" s="1148"/>
      <c r="AY1168" s="1148"/>
      <c r="AZ1168" s="1148"/>
      <c r="BA1168" s="1148"/>
      <c r="BB1168" s="1148"/>
      <c r="BC1168" s="1148"/>
      <c r="BD1168" s="1148"/>
      <c r="BE1168" s="1148"/>
      <c r="BF1168" s="1148"/>
      <c r="BG1168" s="1148"/>
      <c r="BH1168" s="1148"/>
      <c r="BI1168" s="1148"/>
      <c r="BJ1168" s="1148"/>
      <c r="BK1168" s="1148"/>
      <c r="BL1168" s="1148"/>
      <c r="BM1168" s="1148"/>
      <c r="BN1168" s="1148"/>
      <c r="BO1168" s="1148"/>
      <c r="BP1168" s="1148"/>
      <c r="BQ1168" s="1148"/>
      <c r="BR1168" s="1148"/>
      <c r="BS1168" s="1148"/>
      <c r="BT1168" s="1148"/>
      <c r="BU1168" s="1148"/>
      <c r="BV1168" s="1148"/>
      <c r="BW1168" s="1148"/>
      <c r="BX1168" s="1148"/>
      <c r="BY1168" s="1148"/>
      <c r="BZ1168" s="1148"/>
      <c r="CA1168" s="1148"/>
      <c r="CB1168" s="1148"/>
      <c r="CC1168" s="1148"/>
      <c r="CD1168" s="1148"/>
      <c r="CE1168" s="1148"/>
      <c r="CF1168" s="1144"/>
      <c r="CG1168" s="1144"/>
      <c r="CH1168" s="1144"/>
      <c r="CI1168" s="1144"/>
      <c r="CJ1168" s="1144"/>
      <c r="CK1168" s="1144"/>
      <c r="CL1168" s="1144"/>
      <c r="CM1168" s="1144"/>
      <c r="CN1168" s="1144"/>
    </row>
    <row r="1169" spans="11:92" ht="12" customHeight="1" x14ac:dyDescent="0.35">
      <c r="K1169" s="29">
        <f t="shared" si="796"/>
        <v>1</v>
      </c>
      <c r="L1169" s="1158">
        <f t="shared" si="797"/>
        <v>0</v>
      </c>
      <c r="M1169" s="34">
        <f t="shared" si="798"/>
        <v>0</v>
      </c>
      <c r="N1169" s="34">
        <f t="shared" si="799"/>
        <v>0</v>
      </c>
      <c r="O1169" s="55">
        <f t="shared" si="804"/>
        <v>0</v>
      </c>
      <c r="P1169" s="55">
        <f t="shared" si="805"/>
        <v>0</v>
      </c>
      <c r="Q1169" s="55">
        <f t="shared" si="806"/>
        <v>0</v>
      </c>
      <c r="R1169" s="31">
        <f>IF(Input!D$298=L1325,Input!D$297,0)</f>
        <v>0</v>
      </c>
      <c r="S1169" s="36">
        <f t="shared" si="803"/>
        <v>0</v>
      </c>
      <c r="T1169" s="1818"/>
      <c r="U1169" s="1814"/>
      <c r="V1169" s="1814"/>
      <c r="W1169" s="1817"/>
      <c r="X1169" s="1814"/>
      <c r="Y1169" s="1801"/>
      <c r="Z1169" s="1801"/>
      <c r="AA1169" s="1801"/>
      <c r="AB1169" s="1801"/>
      <c r="AC1169" s="1801"/>
      <c r="AD1169" s="1801"/>
      <c r="AE1169" s="29"/>
      <c r="AF1169" s="376"/>
      <c r="AG1169" s="1181">
        <f>SUM(AG1161:BE1161)</f>
        <v>0</v>
      </c>
      <c r="AH1169" s="1181">
        <f>SUM(AG1162:BE1162)</f>
        <v>0</v>
      </c>
      <c r="AI1169" s="1181">
        <f>SUM(AG1163:BE1163)</f>
        <v>0</v>
      </c>
      <c r="AJ1169" s="1181">
        <f>SUM(AG1164:BE1164)</f>
        <v>0</v>
      </c>
      <c r="AK1169" s="1181">
        <f>SUM(AG1165:BE1165)</f>
        <v>0</v>
      </c>
      <c r="AL1169" s="1148"/>
      <c r="AM1169" s="1148"/>
      <c r="AN1169" s="1148"/>
      <c r="AO1169" s="376">
        <f>IF(Input!F$253=AP1169,1,IF(OR(Input!F$253&gt;AP1169,Input!F$253+Input!F$254-1&lt;AP1169),0,AO1168+1))</f>
        <v>0</v>
      </c>
      <c r="AP1169" s="27">
        <v>12</v>
      </c>
      <c r="AQ1169" s="1148"/>
      <c r="AR1169" s="1148"/>
      <c r="AS1169" s="1148"/>
      <c r="AT1169" s="376"/>
      <c r="AU1169" s="1148"/>
      <c r="AV1169" s="1148"/>
      <c r="AW1169" s="1148"/>
      <c r="AX1169" s="1148"/>
      <c r="AY1169" s="1148"/>
      <c r="AZ1169" s="1148"/>
      <c r="BA1169" s="1148"/>
      <c r="BB1169" s="1148"/>
      <c r="BC1169" s="1148"/>
      <c r="BD1169" s="1148"/>
      <c r="BE1169" s="1148"/>
      <c r="BF1169" s="1148"/>
      <c r="BG1169" s="1148"/>
      <c r="BH1169" s="1148"/>
      <c r="BI1169" s="1148"/>
      <c r="BJ1169" s="1148"/>
      <c r="BK1169" s="1148"/>
      <c r="BL1169" s="1148"/>
      <c r="BM1169" s="1148"/>
      <c r="BN1169" s="1148"/>
      <c r="BO1169" s="1148"/>
      <c r="BP1169" s="1148"/>
      <c r="BQ1169" s="1148"/>
      <c r="BR1169" s="1148"/>
      <c r="BS1169" s="1148"/>
      <c r="BT1169" s="1148"/>
      <c r="BU1169" s="1148"/>
      <c r="BV1169" s="1148"/>
      <c r="BW1169" s="1148"/>
      <c r="BX1169" s="1148"/>
      <c r="BY1169" s="1148"/>
      <c r="BZ1169" s="1148"/>
      <c r="CA1169" s="1148"/>
      <c r="CB1169" s="1148"/>
      <c r="CC1169" s="1148"/>
      <c r="CD1169" s="1148"/>
      <c r="CE1169" s="1148"/>
      <c r="CF1169" s="1144"/>
      <c r="CG1169" s="1144"/>
      <c r="CH1169" s="1144"/>
      <c r="CI1169" s="1144"/>
      <c r="CJ1169" s="1144"/>
      <c r="CK1169" s="1144"/>
      <c r="CL1169" s="1144"/>
      <c r="CM1169" s="1144"/>
      <c r="CN1169" s="1144"/>
    </row>
    <row r="1170" spans="11:92" ht="12" customHeight="1" x14ac:dyDescent="0.35">
      <c r="K1170" s="29">
        <f t="shared" si="796"/>
        <v>1</v>
      </c>
      <c r="L1170" s="1158">
        <f t="shared" si="797"/>
        <v>0</v>
      </c>
      <c r="M1170" s="34">
        <f t="shared" si="798"/>
        <v>0</v>
      </c>
      <c r="N1170" s="34">
        <f t="shared" si="799"/>
        <v>0</v>
      </c>
      <c r="O1170" s="55">
        <f t="shared" si="804"/>
        <v>0</v>
      </c>
      <c r="P1170" s="55">
        <f t="shared" si="805"/>
        <v>0</v>
      </c>
      <c r="Q1170" s="55">
        <f t="shared" si="806"/>
        <v>0</v>
      </c>
      <c r="R1170" s="31">
        <f>IF(Input!D$298=L1326,Input!D$297,0)</f>
        <v>0</v>
      </c>
      <c r="S1170" s="36">
        <f t="shared" si="803"/>
        <v>0</v>
      </c>
      <c r="T1170" s="1818"/>
      <c r="U1170" s="1814"/>
      <c r="V1170" s="1814"/>
      <c r="W1170" s="1817"/>
      <c r="X1170" s="1814"/>
      <c r="Y1170" s="1801"/>
      <c r="Z1170" s="1801"/>
      <c r="AA1170" s="1801"/>
      <c r="AB1170" s="1801"/>
      <c r="AC1170" s="1801"/>
      <c r="AD1170" s="1801"/>
      <c r="AE1170" s="1801"/>
      <c r="AF1170" s="1814"/>
      <c r="AG1170" s="376"/>
      <c r="AH1170" s="376"/>
      <c r="AI1170" s="376"/>
      <c r="AJ1170" s="376"/>
      <c r="AK1170" s="376"/>
      <c r="AL1170" s="1148"/>
      <c r="AM1170" s="1148"/>
      <c r="AN1170" s="1148"/>
      <c r="AO1170" s="1148"/>
      <c r="AP1170" s="1148"/>
      <c r="AQ1170" s="1144"/>
      <c r="AR1170" s="1144"/>
      <c r="AS1170" s="1144"/>
      <c r="AT1170" s="1144"/>
      <c r="AU1170" s="1144"/>
      <c r="AV1170" s="1144"/>
      <c r="AW1170" s="1144"/>
      <c r="AX1170" s="1144"/>
      <c r="AY1170" s="1144"/>
      <c r="AZ1170" s="1144"/>
      <c r="BA1170" s="1144"/>
      <c r="BB1170" s="1144"/>
      <c r="BC1170" s="1144"/>
      <c r="BD1170" s="1144"/>
      <c r="BE1170" s="1144"/>
      <c r="BF1170" s="1144"/>
      <c r="BG1170" s="1144"/>
      <c r="BH1170" s="1144"/>
      <c r="BI1170" s="1144"/>
      <c r="BJ1170" s="1144"/>
      <c r="BK1170" s="1144"/>
      <c r="BL1170" s="1144"/>
      <c r="BM1170" s="1144"/>
      <c r="BN1170" s="1144"/>
      <c r="BO1170" s="1144"/>
      <c r="BP1170" s="1144"/>
      <c r="BQ1170" s="1144"/>
      <c r="BR1170" s="1144"/>
      <c r="BS1170" s="1144"/>
      <c r="BT1170" s="1144"/>
      <c r="BU1170" s="1144"/>
      <c r="BV1170" s="1144"/>
      <c r="BW1170" s="1144"/>
      <c r="BX1170" s="1144"/>
      <c r="BY1170" s="1144"/>
      <c r="BZ1170" s="1144"/>
      <c r="CA1170" s="1144"/>
      <c r="CB1170" s="1144"/>
      <c r="CC1170" s="1144"/>
      <c r="CD1170" s="1144"/>
      <c r="CE1170" s="1144"/>
      <c r="CF1170" s="1144"/>
      <c r="CG1170" s="1144"/>
      <c r="CH1170" s="1144"/>
      <c r="CI1170" s="1144"/>
      <c r="CJ1170" s="1144"/>
      <c r="CK1170" s="1144"/>
      <c r="CL1170" s="1144"/>
      <c r="CM1170" s="1144"/>
      <c r="CN1170" s="1144"/>
    </row>
    <row r="1171" spans="11:92" ht="12" customHeight="1" x14ac:dyDescent="0.35">
      <c r="K1171" s="29">
        <f t="shared" si="796"/>
        <v>1</v>
      </c>
      <c r="L1171" s="1158">
        <f t="shared" si="797"/>
        <v>0</v>
      </c>
      <c r="M1171" s="34">
        <f t="shared" si="798"/>
        <v>0</v>
      </c>
      <c r="N1171" s="34">
        <f t="shared" si="799"/>
        <v>0</v>
      </c>
      <c r="O1171" s="55">
        <f t="shared" si="804"/>
        <v>0</v>
      </c>
      <c r="P1171" s="55">
        <f t="shared" si="805"/>
        <v>0</v>
      </c>
      <c r="Q1171" s="55">
        <f t="shared" si="806"/>
        <v>0</v>
      </c>
      <c r="R1171" s="31">
        <f>IF(Input!D$298=L1327,Input!D$297,0)</f>
        <v>0</v>
      </c>
      <c r="S1171" s="36">
        <f t="shared" si="803"/>
        <v>0</v>
      </c>
      <c r="T1171" s="1818"/>
      <c r="U1171" s="1814"/>
      <c r="V1171" s="1814"/>
      <c r="W1171" s="1817"/>
      <c r="X1171" s="1814"/>
      <c r="Y1171" s="1801"/>
      <c r="Z1171" s="1801"/>
      <c r="AA1171" s="1801"/>
      <c r="AB1171" s="1801"/>
      <c r="AC1171" s="1801"/>
      <c r="AD1171" s="1801"/>
      <c r="AE1171" s="1801"/>
      <c r="AF1171" s="1814"/>
      <c r="AG1171" s="376"/>
      <c r="AH1171" s="376"/>
      <c r="AI1171" s="376"/>
      <c r="AJ1171" s="376"/>
      <c r="AK1171" s="376"/>
      <c r="AL1171" s="1148"/>
      <c r="AM1171" s="1148"/>
      <c r="AN1171" s="1148"/>
      <c r="AO1171" s="1148"/>
      <c r="AP1171" s="1148"/>
      <c r="AQ1171" s="1144"/>
      <c r="AR1171" s="1144"/>
      <c r="AS1171" s="1144"/>
      <c r="AT1171" s="1144"/>
      <c r="AU1171" s="1144"/>
      <c r="AV1171" s="1144"/>
      <c r="AW1171" s="1144"/>
      <c r="AX1171" s="1144"/>
      <c r="AY1171" s="1144"/>
      <c r="AZ1171" s="1144"/>
      <c r="BA1171" s="1144"/>
      <c r="BB1171" s="1144"/>
      <c r="BC1171" s="1144"/>
      <c r="BD1171" s="1144"/>
      <c r="BE1171" s="1144"/>
      <c r="BF1171" s="1144"/>
      <c r="BG1171" s="1144"/>
      <c r="BH1171" s="1144"/>
      <c r="BI1171" s="1144"/>
      <c r="BJ1171" s="1144"/>
      <c r="BK1171" s="1144"/>
      <c r="BL1171" s="1144"/>
      <c r="BM1171" s="1144"/>
      <c r="BN1171" s="1144"/>
      <c r="BO1171" s="1144"/>
      <c r="BP1171" s="1144"/>
      <c r="BQ1171" s="1144"/>
      <c r="BR1171" s="1144"/>
      <c r="BS1171" s="1144"/>
      <c r="BT1171" s="1144"/>
      <c r="BU1171" s="1144"/>
      <c r="BV1171" s="1144"/>
      <c r="BW1171" s="1144"/>
      <c r="BX1171" s="1144"/>
      <c r="BY1171" s="1144"/>
      <c r="BZ1171" s="1144"/>
      <c r="CA1171" s="1144"/>
      <c r="CB1171" s="1144"/>
      <c r="CC1171" s="1144"/>
      <c r="CD1171" s="1144"/>
      <c r="CE1171" s="1144"/>
      <c r="CF1171" s="1144"/>
      <c r="CG1171" s="1144"/>
      <c r="CH1171" s="1144"/>
      <c r="CI1171" s="1144"/>
      <c r="CJ1171" s="1144"/>
      <c r="CK1171" s="1144"/>
      <c r="CL1171" s="1144"/>
      <c r="CM1171" s="1144"/>
      <c r="CN1171" s="1144"/>
    </row>
    <row r="1172" spans="11:92" ht="12" customHeight="1" x14ac:dyDescent="0.35">
      <c r="K1172" s="29">
        <f t="shared" si="796"/>
        <v>1</v>
      </c>
      <c r="L1172" s="1158">
        <f t="shared" si="797"/>
        <v>0</v>
      </c>
      <c r="M1172" s="34">
        <f t="shared" si="798"/>
        <v>0</v>
      </c>
      <c r="N1172" s="34">
        <f t="shared" si="799"/>
        <v>0</v>
      </c>
      <c r="O1172" s="55">
        <f t="shared" si="804"/>
        <v>0</v>
      </c>
      <c r="P1172" s="55">
        <f t="shared" si="805"/>
        <v>0</v>
      </c>
      <c r="Q1172" s="55">
        <f t="shared" si="806"/>
        <v>0</v>
      </c>
      <c r="R1172" s="31">
        <f>IF(Input!D$298=L1328,Input!D$297,0)</f>
        <v>0</v>
      </c>
      <c r="S1172" s="36">
        <f t="shared" si="803"/>
        <v>0</v>
      </c>
      <c r="T1172" s="1818"/>
      <c r="U1172" s="1814"/>
      <c r="V1172" s="1814"/>
      <c r="W1172" s="1817"/>
      <c r="X1172" s="1814"/>
      <c r="Y1172" s="1801"/>
      <c r="Z1172" s="1801"/>
      <c r="AA1172" s="1801"/>
      <c r="AB1172" s="1801"/>
      <c r="AC1172" s="1801"/>
      <c r="AD1172" s="1801"/>
      <c r="AE1172" s="1801"/>
      <c r="AF1172" s="1814"/>
      <c r="AG1172" s="376"/>
      <c r="AH1172" s="376"/>
      <c r="AI1172" s="376"/>
      <c r="AJ1172" s="376"/>
      <c r="AK1172" s="376"/>
      <c r="AL1172" s="1148"/>
      <c r="AM1172" s="1148"/>
      <c r="AN1172" s="1148"/>
      <c r="AO1172" s="1148"/>
      <c r="AP1172" s="1148"/>
      <c r="AQ1172" s="1144"/>
      <c r="AR1172" s="1144"/>
      <c r="AS1172" s="1144"/>
      <c r="AT1172" s="1144"/>
      <c r="AU1172" s="1144"/>
      <c r="AV1172" s="1144"/>
      <c r="AW1172" s="1144"/>
      <c r="AX1172" s="1144"/>
      <c r="AY1172" s="1144"/>
      <c r="AZ1172" s="1144"/>
      <c r="BA1172" s="1144"/>
      <c r="BB1172" s="1144"/>
      <c r="BC1172" s="1144"/>
      <c r="BD1172" s="1144"/>
      <c r="BE1172" s="1144"/>
      <c r="BF1172" s="1144"/>
      <c r="BG1172" s="1144"/>
      <c r="BH1172" s="1144"/>
      <c r="BI1172" s="1144"/>
      <c r="BJ1172" s="1144"/>
      <c r="BK1172" s="1144"/>
      <c r="BL1172" s="1144"/>
      <c r="BM1172" s="1144"/>
      <c r="BN1172" s="1144"/>
      <c r="BO1172" s="1144"/>
      <c r="BP1172" s="1144"/>
      <c r="BQ1172" s="1144"/>
      <c r="BR1172" s="1144"/>
      <c r="BS1172" s="1144"/>
      <c r="BT1172" s="1144"/>
      <c r="BU1172" s="1144"/>
      <c r="BV1172" s="1144"/>
      <c r="BW1172" s="1144"/>
      <c r="BX1172" s="1144"/>
      <c r="BY1172" s="1144"/>
      <c r="BZ1172" s="1144"/>
      <c r="CA1172" s="1144"/>
      <c r="CB1172" s="1144"/>
      <c r="CC1172" s="1144"/>
      <c r="CD1172" s="1144"/>
      <c r="CE1172" s="1144"/>
      <c r="CF1172" s="1144"/>
      <c r="CG1172" s="1144"/>
      <c r="CH1172" s="1144"/>
      <c r="CI1172" s="1144"/>
      <c r="CJ1172" s="1144"/>
      <c r="CK1172" s="1144"/>
      <c r="CL1172" s="1144"/>
      <c r="CM1172" s="1144"/>
      <c r="CN1172" s="1144"/>
    </row>
    <row r="1173" spans="11:92" ht="12" customHeight="1" x14ac:dyDescent="0.35">
      <c r="K1173" s="29">
        <f t="shared" si="796"/>
        <v>1</v>
      </c>
      <c r="L1173" s="1158">
        <f t="shared" si="797"/>
        <v>0</v>
      </c>
      <c r="M1173" s="34">
        <f t="shared" si="798"/>
        <v>0</v>
      </c>
      <c r="N1173" s="34">
        <f t="shared" si="799"/>
        <v>0</v>
      </c>
      <c r="O1173" s="55">
        <f t="shared" si="804"/>
        <v>0</v>
      </c>
      <c r="P1173" s="55">
        <f t="shared" si="805"/>
        <v>0</v>
      </c>
      <c r="Q1173" s="55">
        <f t="shared" si="806"/>
        <v>0</v>
      </c>
      <c r="R1173" s="31">
        <f>IF(Input!D$298=L1329,Input!D$297,0)</f>
        <v>0</v>
      </c>
      <c r="S1173" s="36">
        <f t="shared" si="803"/>
        <v>0</v>
      </c>
      <c r="T1173" s="1818"/>
      <c r="U1173" s="1814"/>
      <c r="V1173" s="1814"/>
      <c r="W1173" s="1817"/>
      <c r="X1173" s="1814"/>
      <c r="Y1173" s="1801"/>
      <c r="Z1173" s="1801"/>
      <c r="AA1173" s="1801"/>
      <c r="AB1173" s="1801"/>
      <c r="AC1173" s="1801"/>
      <c r="AD1173" s="1801"/>
      <c r="AE1173" s="1801"/>
      <c r="AF1173" s="1814"/>
      <c r="AG1173" s="376"/>
      <c r="AH1173" s="376"/>
      <c r="AI1173" s="376"/>
      <c r="AJ1173" s="376"/>
      <c r="AK1173" s="376"/>
      <c r="AL1173" s="1148"/>
      <c r="AM1173" s="1148"/>
      <c r="AN1173" s="1148"/>
      <c r="AO1173" s="1148"/>
      <c r="AP1173" s="1148"/>
      <c r="AQ1173" s="1144"/>
      <c r="AR1173" s="1144"/>
      <c r="AS1173" s="1144"/>
      <c r="AT1173" s="1144"/>
      <c r="AU1173" s="1144"/>
      <c r="AV1173" s="1144"/>
      <c r="AW1173" s="1144"/>
      <c r="AX1173" s="1144"/>
      <c r="AY1173" s="1144"/>
      <c r="AZ1173" s="1144"/>
      <c r="BA1173" s="1144"/>
      <c r="BB1173" s="1144"/>
      <c r="BC1173" s="1144"/>
      <c r="BD1173" s="1144"/>
      <c r="BE1173" s="1144"/>
      <c r="BF1173" s="1144"/>
      <c r="BG1173" s="1144"/>
      <c r="BH1173" s="1144"/>
      <c r="BI1173" s="1144"/>
      <c r="BJ1173" s="1144"/>
      <c r="BK1173" s="1144"/>
      <c r="BL1173" s="1144"/>
      <c r="BM1173" s="1144"/>
      <c r="BN1173" s="1144"/>
      <c r="BO1173" s="1144"/>
      <c r="BP1173" s="1144"/>
      <c r="BQ1173" s="1144"/>
      <c r="BR1173" s="1144"/>
      <c r="BS1173" s="1144"/>
      <c r="BT1173" s="1144"/>
      <c r="BU1173" s="1144"/>
      <c r="BV1173" s="1144"/>
      <c r="BW1173" s="1144"/>
      <c r="BX1173" s="1144"/>
      <c r="BY1173" s="1144"/>
      <c r="BZ1173" s="1144"/>
      <c r="CA1173" s="1144"/>
      <c r="CB1173" s="1144"/>
      <c r="CC1173" s="1144"/>
      <c r="CD1173" s="1144"/>
      <c r="CE1173" s="1144"/>
      <c r="CF1173" s="1144"/>
      <c r="CG1173" s="1144"/>
      <c r="CH1173" s="1144"/>
      <c r="CI1173" s="1144"/>
      <c r="CJ1173" s="1144"/>
      <c r="CK1173" s="1144"/>
      <c r="CL1173" s="1144"/>
      <c r="CM1173" s="1144"/>
      <c r="CN1173" s="1144"/>
    </row>
    <row r="1174" spans="11:92" ht="12" customHeight="1" x14ac:dyDescent="0.35">
      <c r="K1174" s="29">
        <f t="shared" si="796"/>
        <v>1</v>
      </c>
      <c r="L1174" s="1158">
        <f t="shared" si="797"/>
        <v>0</v>
      </c>
      <c r="M1174" s="34">
        <f t="shared" si="798"/>
        <v>0</v>
      </c>
      <c r="N1174" s="34">
        <f t="shared" si="799"/>
        <v>0</v>
      </c>
      <c r="O1174" s="55">
        <f t="shared" si="804"/>
        <v>0</v>
      </c>
      <c r="P1174" s="55">
        <f t="shared" si="805"/>
        <v>0</v>
      </c>
      <c r="Q1174" s="55">
        <f t="shared" si="806"/>
        <v>0</v>
      </c>
      <c r="R1174" s="31">
        <f>IF(Input!D$298=L1330,Input!D$297,0)</f>
        <v>0</v>
      </c>
      <c r="S1174" s="36">
        <f t="shared" si="803"/>
        <v>0</v>
      </c>
      <c r="T1174" s="1818"/>
      <c r="U1174" s="1814"/>
      <c r="V1174" s="1814"/>
      <c r="W1174" s="1817"/>
      <c r="X1174" s="1814"/>
      <c r="Y1174" s="1801"/>
      <c r="Z1174" s="1801"/>
      <c r="AA1174" s="1801"/>
      <c r="AB1174" s="1801"/>
      <c r="AC1174" s="1801"/>
      <c r="AD1174" s="1801"/>
      <c r="AE1174" s="1801"/>
      <c r="AF1174" s="1814"/>
      <c r="AG1174" s="376"/>
      <c r="AH1174" s="376"/>
      <c r="AI1174" s="376"/>
      <c r="AJ1174" s="376"/>
      <c r="AK1174" s="376"/>
      <c r="AL1174" s="1148"/>
      <c r="AM1174" s="1148"/>
      <c r="AN1174" s="1148"/>
      <c r="AO1174" s="1148"/>
      <c r="AP1174" s="1148"/>
      <c r="AQ1174" s="1144"/>
      <c r="AR1174" s="1144"/>
      <c r="AS1174" s="1144"/>
      <c r="AT1174" s="1144"/>
      <c r="AU1174" s="1144"/>
      <c r="AV1174" s="1144"/>
      <c r="AW1174" s="1144"/>
      <c r="AX1174" s="1144"/>
      <c r="AY1174" s="1144"/>
      <c r="AZ1174" s="1144"/>
      <c r="BA1174" s="1144"/>
      <c r="BB1174" s="1144"/>
      <c r="BC1174" s="1144"/>
      <c r="BD1174" s="1144"/>
      <c r="BE1174" s="1144"/>
      <c r="BF1174" s="1144"/>
      <c r="BG1174" s="1144"/>
      <c r="BH1174" s="1144"/>
      <c r="BI1174" s="1144"/>
      <c r="BJ1174" s="1144"/>
      <c r="BK1174" s="1144"/>
      <c r="BL1174" s="1144"/>
      <c r="BM1174" s="1144"/>
      <c r="BN1174" s="1144"/>
      <c r="BO1174" s="1144"/>
      <c r="BP1174" s="1144"/>
      <c r="BQ1174" s="1144"/>
      <c r="BR1174" s="1144"/>
      <c r="BS1174" s="1144"/>
      <c r="BT1174" s="1144"/>
      <c r="BU1174" s="1144"/>
      <c r="BV1174" s="1144"/>
      <c r="BW1174" s="1144"/>
      <c r="BX1174" s="1144"/>
      <c r="BY1174" s="1144"/>
      <c r="BZ1174" s="1144"/>
      <c r="CA1174" s="1144"/>
      <c r="CB1174" s="1144"/>
      <c r="CC1174" s="1144"/>
      <c r="CD1174" s="1144"/>
      <c r="CE1174" s="1144"/>
      <c r="CF1174" s="1144"/>
      <c r="CG1174" s="1144"/>
      <c r="CH1174" s="1144"/>
      <c r="CI1174" s="1144"/>
      <c r="CJ1174" s="1144"/>
      <c r="CK1174" s="1144"/>
      <c r="CL1174" s="1144"/>
      <c r="CM1174" s="1144"/>
      <c r="CN1174" s="1144"/>
    </row>
    <row r="1175" spans="11:92" ht="12" customHeight="1" x14ac:dyDescent="0.35">
      <c r="K1175" s="29">
        <f t="shared" si="796"/>
        <v>1</v>
      </c>
      <c r="L1175" s="1158">
        <f t="shared" si="797"/>
        <v>0</v>
      </c>
      <c r="M1175" s="34">
        <f t="shared" si="798"/>
        <v>0</v>
      </c>
      <c r="N1175" s="34">
        <f t="shared" si="799"/>
        <v>0</v>
      </c>
      <c r="O1175" s="55">
        <f t="shared" si="804"/>
        <v>0</v>
      </c>
      <c r="P1175" s="55">
        <f t="shared" si="805"/>
        <v>0</v>
      </c>
      <c r="Q1175" s="55">
        <f t="shared" si="806"/>
        <v>0</v>
      </c>
      <c r="R1175" s="31">
        <f>IF(Input!D$298=L1331,Input!D$297,0)</f>
        <v>0</v>
      </c>
      <c r="S1175" s="36">
        <f t="shared" si="803"/>
        <v>0</v>
      </c>
      <c r="T1175" s="1818"/>
      <c r="U1175" s="1814"/>
      <c r="V1175" s="1814"/>
      <c r="W1175" s="1817"/>
      <c r="X1175" s="1814"/>
      <c r="Y1175" s="1801"/>
      <c r="Z1175" s="1801"/>
      <c r="AA1175" s="1801"/>
      <c r="AB1175" s="1801"/>
      <c r="AC1175" s="1801"/>
      <c r="AD1175" s="1801"/>
      <c r="AE1175" s="1801"/>
      <c r="AF1175" s="1814"/>
      <c r="AG1175" s="376"/>
      <c r="AH1175" s="376"/>
      <c r="AI1175" s="376"/>
      <c r="AJ1175" s="376"/>
      <c r="AK1175" s="376"/>
      <c r="AL1175" s="1148"/>
      <c r="AM1175" s="1148"/>
      <c r="AN1175" s="1148"/>
      <c r="AO1175" s="1148"/>
      <c r="AP1175" s="1148"/>
      <c r="AQ1175" s="1144"/>
      <c r="AR1175" s="1144"/>
      <c r="AS1175" s="1144"/>
      <c r="AT1175" s="1144"/>
      <c r="AU1175" s="1144"/>
      <c r="AV1175" s="1144"/>
      <c r="AW1175" s="1144"/>
      <c r="AX1175" s="1144"/>
      <c r="AY1175" s="1144"/>
      <c r="AZ1175" s="1144"/>
      <c r="BA1175" s="1144"/>
      <c r="BB1175" s="1144"/>
      <c r="BC1175" s="1144"/>
      <c r="BD1175" s="1144"/>
      <c r="BE1175" s="1144"/>
      <c r="BF1175" s="1144"/>
      <c r="BG1175" s="1144"/>
      <c r="BH1175" s="1144"/>
      <c r="BI1175" s="1144"/>
      <c r="BJ1175" s="1144"/>
      <c r="BK1175" s="1144"/>
      <c r="BL1175" s="1144"/>
      <c r="BM1175" s="1144"/>
      <c r="BN1175" s="1144"/>
      <c r="BO1175" s="1144"/>
      <c r="BP1175" s="1144"/>
      <c r="BQ1175" s="1144"/>
      <c r="BR1175" s="1144"/>
      <c r="BS1175" s="1144"/>
      <c r="BT1175" s="1144"/>
      <c r="BU1175" s="1144"/>
      <c r="BV1175" s="1144"/>
      <c r="BW1175" s="1144"/>
      <c r="BX1175" s="1144"/>
      <c r="BY1175" s="1144"/>
      <c r="BZ1175" s="1144"/>
      <c r="CA1175" s="1144"/>
      <c r="CB1175" s="1144"/>
      <c r="CC1175" s="1144"/>
      <c r="CD1175" s="1144"/>
      <c r="CE1175" s="1144"/>
      <c r="CF1175" s="1144"/>
      <c r="CG1175" s="1144"/>
      <c r="CH1175" s="1144"/>
      <c r="CI1175" s="1144"/>
      <c r="CJ1175" s="1144"/>
      <c r="CK1175" s="1144"/>
      <c r="CL1175" s="1144"/>
      <c r="CM1175" s="1144"/>
      <c r="CN1175" s="1144"/>
    </row>
    <row r="1176" spans="11:92" ht="12" customHeight="1" x14ac:dyDescent="0.35">
      <c r="K1176" s="29">
        <f t="shared" si="796"/>
        <v>1</v>
      </c>
      <c r="L1176" s="1158">
        <f t="shared" si="797"/>
        <v>0</v>
      </c>
      <c r="M1176" s="34">
        <f t="shared" si="798"/>
        <v>0</v>
      </c>
      <c r="N1176" s="34">
        <f t="shared" si="799"/>
        <v>0</v>
      </c>
      <c r="O1176" s="55">
        <f t="shared" si="804"/>
        <v>0</v>
      </c>
      <c r="P1176" s="55">
        <f t="shared" si="805"/>
        <v>0</v>
      </c>
      <c r="Q1176" s="55">
        <f t="shared" si="806"/>
        <v>0</v>
      </c>
      <c r="R1176" s="31">
        <f>IF(Input!D$298=L1332,Input!D$297,0)</f>
        <v>0</v>
      </c>
      <c r="S1176" s="36">
        <f t="shared" si="803"/>
        <v>0</v>
      </c>
      <c r="T1176" s="1818"/>
      <c r="U1176" s="1814"/>
      <c r="V1176" s="1814"/>
      <c r="W1176" s="1817"/>
      <c r="X1176" s="1814"/>
      <c r="Y1176" s="1801"/>
      <c r="Z1176" s="1801"/>
      <c r="AA1176" s="1801"/>
      <c r="AB1176" s="1801"/>
      <c r="AC1176" s="1801"/>
      <c r="AD1176" s="1801"/>
      <c r="AE1176" s="1801"/>
      <c r="AF1176" s="1814"/>
      <c r="AG1176" s="376"/>
      <c r="AH1176" s="376"/>
      <c r="AI1176" s="376"/>
      <c r="AJ1176" s="376"/>
      <c r="AK1176" s="376"/>
      <c r="AL1176" s="1148"/>
      <c r="AM1176" s="1148"/>
      <c r="AN1176" s="1148"/>
      <c r="AO1176" s="1148"/>
      <c r="AP1176" s="1148"/>
      <c r="AQ1176" s="1144"/>
      <c r="AR1176" s="1144"/>
      <c r="AS1176" s="1144"/>
      <c r="AT1176" s="1144"/>
      <c r="AU1176" s="1144"/>
      <c r="AV1176" s="1144"/>
      <c r="AW1176" s="1144"/>
      <c r="AX1176" s="1144"/>
      <c r="AY1176" s="1144"/>
      <c r="AZ1176" s="1144"/>
      <c r="BA1176" s="1144"/>
      <c r="BB1176" s="1144"/>
      <c r="BC1176" s="1144"/>
      <c r="BD1176" s="1144"/>
      <c r="BE1176" s="1144"/>
      <c r="BF1176" s="1144"/>
      <c r="BG1176" s="1144"/>
      <c r="BH1176" s="1144"/>
      <c r="BI1176" s="1144"/>
      <c r="BJ1176" s="1144"/>
      <c r="BK1176" s="1144"/>
      <c r="BL1176" s="1144"/>
      <c r="BM1176" s="1144"/>
      <c r="BN1176" s="1144"/>
      <c r="BO1176" s="1144"/>
      <c r="BP1176" s="1144"/>
      <c r="BQ1176" s="1144"/>
      <c r="BR1176" s="1144"/>
      <c r="BS1176" s="1144"/>
      <c r="BT1176" s="1144"/>
      <c r="BU1176" s="1144"/>
      <c r="BV1176" s="1144"/>
      <c r="BW1176" s="1144"/>
      <c r="BX1176" s="1144"/>
      <c r="BY1176" s="1144"/>
      <c r="BZ1176" s="1144"/>
      <c r="CA1176" s="1144"/>
      <c r="CB1176" s="1144"/>
      <c r="CC1176" s="1144"/>
      <c r="CD1176" s="1144"/>
      <c r="CE1176" s="1144"/>
      <c r="CF1176" s="1144"/>
      <c r="CG1176" s="1144"/>
      <c r="CH1176" s="1144"/>
      <c r="CI1176" s="1144"/>
      <c r="CJ1176" s="1144"/>
      <c r="CK1176" s="1144"/>
      <c r="CL1176" s="1144"/>
      <c r="CM1176" s="1144"/>
      <c r="CN1176" s="1144"/>
    </row>
    <row r="1177" spans="11:92" ht="12" customHeight="1" x14ac:dyDescent="0.35">
      <c r="K1177" s="29">
        <f t="shared" si="796"/>
        <v>1</v>
      </c>
      <c r="L1177" s="1158">
        <f t="shared" si="797"/>
        <v>0</v>
      </c>
      <c r="M1177" s="34">
        <f t="shared" si="798"/>
        <v>0</v>
      </c>
      <c r="N1177" s="34">
        <f t="shared" si="799"/>
        <v>0</v>
      </c>
      <c r="O1177" s="55">
        <f t="shared" si="804"/>
        <v>0</v>
      </c>
      <c r="P1177" s="55">
        <f t="shared" si="805"/>
        <v>0</v>
      </c>
      <c r="Q1177" s="55">
        <f t="shared" si="806"/>
        <v>0</v>
      </c>
      <c r="R1177" s="31">
        <f>IF(Input!D$298=L1333,Input!D$297,0)</f>
        <v>0</v>
      </c>
      <c r="S1177" s="36">
        <f t="shared" si="803"/>
        <v>0</v>
      </c>
      <c r="T1177" s="1818"/>
      <c r="U1177" s="1814"/>
      <c r="V1177" s="1814"/>
      <c r="W1177" s="1817"/>
      <c r="X1177" s="1814"/>
      <c r="Y1177" s="1801"/>
      <c r="Z1177" s="1801"/>
      <c r="AA1177" s="1801"/>
      <c r="AB1177" s="1801"/>
      <c r="AC1177" s="1801"/>
      <c r="AD1177" s="1801"/>
      <c r="AE1177" s="1801"/>
      <c r="AF1177" s="1814"/>
      <c r="AG1177" s="376"/>
      <c r="AH1177" s="376"/>
      <c r="AI1177" s="376"/>
      <c r="AJ1177" s="376"/>
      <c r="AK1177" s="376"/>
      <c r="AL1177" s="1148"/>
      <c r="AM1177" s="1148"/>
      <c r="AN1177" s="1148"/>
      <c r="AO1177" s="1148"/>
      <c r="AP1177" s="1148"/>
      <c r="AQ1177" s="1144"/>
      <c r="AR1177" s="1144"/>
      <c r="AS1177" s="1144"/>
      <c r="AT1177" s="1144"/>
      <c r="AU1177" s="1144"/>
      <c r="AV1177" s="1144"/>
      <c r="AW1177" s="1144"/>
      <c r="AX1177" s="1144"/>
      <c r="AY1177" s="1144"/>
      <c r="AZ1177" s="1144"/>
      <c r="BA1177" s="1144"/>
      <c r="BB1177" s="1144"/>
      <c r="BC1177" s="1144"/>
      <c r="BD1177" s="1144"/>
      <c r="BE1177" s="1144"/>
      <c r="BF1177" s="1144"/>
      <c r="BG1177" s="1144"/>
      <c r="BH1177" s="1144"/>
      <c r="BI1177" s="1144"/>
      <c r="BJ1177" s="1144"/>
      <c r="BK1177" s="1144"/>
      <c r="BL1177" s="1144"/>
      <c r="BM1177" s="1144"/>
      <c r="BN1177" s="1144"/>
      <c r="BO1177" s="1144"/>
      <c r="BP1177" s="1144"/>
      <c r="BQ1177" s="1144"/>
      <c r="BR1177" s="1144"/>
      <c r="BS1177" s="1144"/>
      <c r="BT1177" s="1144"/>
      <c r="BU1177" s="1144"/>
      <c r="BV1177" s="1144"/>
      <c r="BW1177" s="1144"/>
      <c r="BX1177" s="1144"/>
      <c r="BY1177" s="1144"/>
      <c r="BZ1177" s="1144"/>
      <c r="CA1177" s="1144"/>
      <c r="CB1177" s="1144"/>
      <c r="CC1177" s="1144"/>
      <c r="CD1177" s="1144"/>
      <c r="CE1177" s="1144"/>
      <c r="CF1177" s="1144"/>
      <c r="CG1177" s="1144"/>
      <c r="CH1177" s="1144"/>
      <c r="CI1177" s="1144"/>
      <c r="CJ1177" s="1144"/>
      <c r="CK1177" s="1144"/>
      <c r="CL1177" s="1144"/>
      <c r="CM1177" s="1144"/>
      <c r="CN1177" s="1144"/>
    </row>
    <row r="1178" spans="11:92" ht="12" customHeight="1" x14ac:dyDescent="0.35">
      <c r="K1178" s="29">
        <f t="shared" si="796"/>
        <v>1</v>
      </c>
      <c r="L1178" s="1158">
        <f t="shared" si="797"/>
        <v>0</v>
      </c>
      <c r="M1178" s="34">
        <f t="shared" si="798"/>
        <v>0</v>
      </c>
      <c r="N1178" s="34">
        <f t="shared" si="799"/>
        <v>0</v>
      </c>
      <c r="O1178" s="55">
        <f t="shared" si="804"/>
        <v>0</v>
      </c>
      <c r="P1178" s="55">
        <f t="shared" si="805"/>
        <v>0</v>
      </c>
      <c r="Q1178" s="55">
        <f t="shared" si="806"/>
        <v>0</v>
      </c>
      <c r="R1178" s="31">
        <f>IF(Input!D$298=L1334,Input!D$297,0)</f>
        <v>0</v>
      </c>
      <c r="S1178" s="36">
        <f t="shared" ref="S1178:S1209" si="807">Q1334</f>
        <v>0</v>
      </c>
      <c r="T1178" s="1818"/>
      <c r="U1178" s="1814"/>
      <c r="V1178" s="1814"/>
      <c r="W1178" s="1817"/>
      <c r="X1178" s="1814"/>
      <c r="Y1178" s="1801"/>
      <c r="Z1178" s="1801"/>
      <c r="AA1178" s="1801"/>
      <c r="AB1178" s="1801"/>
      <c r="AC1178" s="1801"/>
      <c r="AD1178" s="1801"/>
      <c r="AE1178" s="1801"/>
      <c r="AF1178" s="1814"/>
      <c r="AG1178" s="376"/>
      <c r="AH1178" s="376"/>
      <c r="AI1178" s="376"/>
      <c r="AJ1178" s="376"/>
      <c r="AK1178" s="376"/>
      <c r="AL1178" s="1148"/>
      <c r="AM1178" s="1148"/>
      <c r="AN1178" s="1148"/>
      <c r="AO1178" s="1148"/>
      <c r="AP1178" s="1148"/>
      <c r="AQ1178" s="1144"/>
      <c r="AR1178" s="1144"/>
      <c r="AS1178" s="1144"/>
      <c r="AT1178" s="1144"/>
      <c r="AU1178" s="1144"/>
      <c r="AV1178" s="1144"/>
      <c r="AW1178" s="1144"/>
      <c r="AX1178" s="1144"/>
      <c r="AY1178" s="1144"/>
      <c r="AZ1178" s="1144"/>
      <c r="BA1178" s="1144"/>
      <c r="BB1178" s="1144"/>
      <c r="BC1178" s="1144"/>
      <c r="BD1178" s="1144"/>
      <c r="BE1178" s="1144"/>
      <c r="BF1178" s="1144"/>
      <c r="BG1178" s="1144"/>
      <c r="BH1178" s="1144"/>
      <c r="BI1178" s="1144"/>
      <c r="BJ1178" s="1144"/>
      <c r="BK1178" s="1144"/>
      <c r="BL1178" s="1144"/>
      <c r="BM1178" s="1144"/>
      <c r="BN1178" s="1144"/>
      <c r="BO1178" s="1144"/>
      <c r="BP1178" s="1144"/>
      <c r="BQ1178" s="1144"/>
      <c r="BR1178" s="1144"/>
      <c r="BS1178" s="1144"/>
      <c r="BT1178" s="1144"/>
      <c r="BU1178" s="1144"/>
      <c r="BV1178" s="1144"/>
      <c r="BW1178" s="1144"/>
      <c r="BX1178" s="1144"/>
      <c r="BY1178" s="1144"/>
      <c r="BZ1178" s="1144"/>
      <c r="CA1178" s="1144"/>
      <c r="CB1178" s="1144"/>
      <c r="CC1178" s="1144"/>
      <c r="CD1178" s="1144"/>
      <c r="CE1178" s="1144"/>
      <c r="CF1178" s="1144"/>
      <c r="CG1178" s="1144"/>
      <c r="CH1178" s="1144"/>
      <c r="CI1178" s="1144"/>
      <c r="CJ1178" s="1144"/>
      <c r="CK1178" s="1144"/>
      <c r="CL1178" s="1144"/>
      <c r="CM1178" s="1144"/>
      <c r="CN1178" s="1144"/>
    </row>
    <row r="1179" spans="11:92" ht="12" customHeight="1" x14ac:dyDescent="0.35">
      <c r="K1179" s="29">
        <f t="shared" si="796"/>
        <v>1</v>
      </c>
      <c r="L1179" s="1158">
        <f t="shared" si="797"/>
        <v>0</v>
      </c>
      <c r="M1179" s="34">
        <f t="shared" si="798"/>
        <v>0</v>
      </c>
      <c r="N1179" s="34">
        <f t="shared" si="799"/>
        <v>0</v>
      </c>
      <c r="O1179" s="55">
        <f t="shared" si="804"/>
        <v>0</v>
      </c>
      <c r="P1179" s="55">
        <f t="shared" si="805"/>
        <v>0</v>
      </c>
      <c r="Q1179" s="55">
        <f t="shared" si="806"/>
        <v>0</v>
      </c>
      <c r="R1179" s="31">
        <f>IF(Input!D$298=L1335,Input!D$297,0)</f>
        <v>0</v>
      </c>
      <c r="S1179" s="36">
        <f t="shared" si="807"/>
        <v>0</v>
      </c>
      <c r="T1179" s="1818"/>
      <c r="U1179" s="1814"/>
      <c r="V1179" s="1814"/>
      <c r="W1179" s="1817"/>
      <c r="X1179" s="1814"/>
      <c r="Y1179" s="1801"/>
      <c r="Z1179" s="1801"/>
      <c r="AA1179" s="1801"/>
      <c r="AB1179" s="1801"/>
      <c r="AC1179" s="1801"/>
      <c r="AD1179" s="1801"/>
      <c r="AE1179" s="1801"/>
      <c r="AF1179" s="1814"/>
      <c r="AG1179" s="376"/>
      <c r="AH1179" s="376"/>
      <c r="AI1179" s="376"/>
      <c r="AJ1179" s="376"/>
      <c r="AK1179" s="376"/>
      <c r="AL1179" s="1148"/>
      <c r="AM1179" s="1148"/>
      <c r="AN1179" s="1148"/>
      <c r="AO1179" s="1148"/>
      <c r="AP1179" s="1148"/>
      <c r="AQ1179" s="1144"/>
      <c r="AR1179" s="1144"/>
      <c r="AS1179" s="1144"/>
      <c r="AT1179" s="1144"/>
      <c r="AU1179" s="1144"/>
      <c r="AV1179" s="1144"/>
      <c r="AW1179" s="1144"/>
      <c r="AX1179" s="1144"/>
      <c r="AY1179" s="1144"/>
      <c r="AZ1179" s="1144"/>
      <c r="BA1179" s="1144"/>
      <c r="BB1179" s="1144"/>
      <c r="BC1179" s="1144"/>
      <c r="BD1179" s="1144"/>
      <c r="BE1179" s="1144"/>
      <c r="BF1179" s="1144"/>
      <c r="BG1179" s="1144"/>
      <c r="BH1179" s="1144"/>
      <c r="BI1179" s="1144"/>
      <c r="BJ1179" s="1144"/>
      <c r="BK1179" s="1144"/>
      <c r="BL1179" s="1144"/>
      <c r="BM1179" s="1144"/>
      <c r="BN1179" s="1144"/>
      <c r="BO1179" s="1144"/>
      <c r="BP1179" s="1144"/>
      <c r="BQ1179" s="1144"/>
      <c r="BR1179" s="1144"/>
      <c r="BS1179" s="1144"/>
      <c r="BT1179" s="1144"/>
      <c r="BU1179" s="1144"/>
      <c r="BV1179" s="1144"/>
      <c r="BW1179" s="1144"/>
      <c r="BX1179" s="1144"/>
      <c r="BY1179" s="1144"/>
      <c r="BZ1179" s="1144"/>
      <c r="CA1179" s="1144"/>
      <c r="CB1179" s="1144"/>
      <c r="CC1179" s="1144"/>
      <c r="CD1179" s="1144"/>
      <c r="CE1179" s="1144"/>
      <c r="CF1179" s="1144"/>
      <c r="CG1179" s="1144"/>
      <c r="CH1179" s="1144"/>
      <c r="CI1179" s="1144"/>
      <c r="CJ1179" s="1144"/>
      <c r="CK1179" s="1144"/>
      <c r="CL1179" s="1144"/>
      <c r="CM1179" s="1144"/>
      <c r="CN1179" s="1144"/>
    </row>
    <row r="1180" spans="11:92" ht="12" customHeight="1" x14ac:dyDescent="0.35">
      <c r="K1180" s="29">
        <f t="shared" si="796"/>
        <v>1</v>
      </c>
      <c r="L1180" s="1158">
        <f t="shared" si="797"/>
        <v>0</v>
      </c>
      <c r="M1180" s="34">
        <f t="shared" si="798"/>
        <v>0</v>
      </c>
      <c r="N1180" s="34">
        <f t="shared" si="799"/>
        <v>0</v>
      </c>
      <c r="O1180" s="55">
        <f t="shared" si="804"/>
        <v>0</v>
      </c>
      <c r="P1180" s="55">
        <f t="shared" si="805"/>
        <v>0</v>
      </c>
      <c r="Q1180" s="55">
        <f t="shared" si="806"/>
        <v>0</v>
      </c>
      <c r="R1180" s="31">
        <f>IF(Input!D$298=L1336,Input!D$297,0)</f>
        <v>0</v>
      </c>
      <c r="S1180" s="36">
        <f t="shared" si="807"/>
        <v>0</v>
      </c>
      <c r="T1180" s="1818"/>
      <c r="U1180" s="1814"/>
      <c r="V1180" s="1814"/>
      <c r="W1180" s="1817"/>
      <c r="X1180" s="1814"/>
      <c r="Y1180" s="1801"/>
      <c r="Z1180" s="1801"/>
      <c r="AA1180" s="1801"/>
      <c r="AB1180" s="1801"/>
      <c r="AC1180" s="1801"/>
      <c r="AD1180" s="1801"/>
      <c r="AE1180" s="1801"/>
      <c r="AF1180" s="1814"/>
      <c r="AG1180" s="376"/>
      <c r="AH1180" s="376"/>
      <c r="AI1180" s="376"/>
      <c r="AJ1180" s="376"/>
      <c r="AK1180" s="376"/>
      <c r="AL1180" s="1148"/>
      <c r="AM1180" s="1148"/>
      <c r="AN1180" s="1148"/>
      <c r="AO1180" s="1148"/>
      <c r="AP1180" s="1148"/>
      <c r="AQ1180" s="1144"/>
      <c r="AR1180" s="1144"/>
      <c r="AS1180" s="1144"/>
      <c r="AT1180" s="1144"/>
      <c r="AU1180" s="1144"/>
      <c r="AV1180" s="1144"/>
      <c r="AW1180" s="1144"/>
      <c r="AX1180" s="1144"/>
      <c r="AY1180" s="1144"/>
      <c r="AZ1180" s="1144"/>
      <c r="BA1180" s="1144"/>
      <c r="BB1180" s="1144"/>
      <c r="BC1180" s="1144"/>
      <c r="BD1180" s="1144"/>
      <c r="BE1180" s="1144"/>
      <c r="BF1180" s="1144"/>
      <c r="BG1180" s="1144"/>
      <c r="BH1180" s="1144"/>
      <c r="BI1180" s="1144"/>
      <c r="BJ1180" s="1144"/>
      <c r="BK1180" s="1144"/>
      <c r="BL1180" s="1144"/>
      <c r="BM1180" s="1144"/>
      <c r="BN1180" s="1144"/>
      <c r="BO1180" s="1144"/>
      <c r="BP1180" s="1144"/>
      <c r="BQ1180" s="1144"/>
      <c r="BR1180" s="1144"/>
      <c r="BS1180" s="1144"/>
      <c r="BT1180" s="1144"/>
      <c r="BU1180" s="1144"/>
      <c r="BV1180" s="1144"/>
      <c r="BW1180" s="1144"/>
      <c r="BX1180" s="1144"/>
      <c r="BY1180" s="1144"/>
      <c r="BZ1180" s="1144"/>
      <c r="CA1180" s="1144"/>
      <c r="CB1180" s="1144"/>
      <c r="CC1180" s="1144"/>
      <c r="CD1180" s="1144"/>
      <c r="CE1180" s="1144"/>
      <c r="CF1180" s="1144"/>
      <c r="CG1180" s="1144"/>
      <c r="CH1180" s="1144"/>
      <c r="CI1180" s="1144"/>
      <c r="CJ1180" s="1144"/>
      <c r="CK1180" s="1144"/>
      <c r="CL1180" s="1144"/>
      <c r="CM1180" s="1144"/>
      <c r="CN1180" s="1144"/>
    </row>
    <row r="1181" spans="11:92" ht="12" customHeight="1" x14ac:dyDescent="0.35">
      <c r="K1181" s="29">
        <f t="shared" si="796"/>
        <v>1</v>
      </c>
      <c r="L1181" s="1158">
        <f t="shared" si="797"/>
        <v>0</v>
      </c>
      <c r="M1181" s="34">
        <f t="shared" si="798"/>
        <v>0</v>
      </c>
      <c r="N1181" s="34">
        <f t="shared" si="799"/>
        <v>0</v>
      </c>
      <c r="O1181" s="55">
        <f t="shared" si="804"/>
        <v>0</v>
      </c>
      <c r="P1181" s="55">
        <f t="shared" si="805"/>
        <v>0</v>
      </c>
      <c r="Q1181" s="55">
        <f t="shared" si="806"/>
        <v>0</v>
      </c>
      <c r="R1181" s="31">
        <f>IF(Input!D$298=L1337,Input!D$297,0)</f>
        <v>0</v>
      </c>
      <c r="S1181" s="36">
        <f t="shared" si="807"/>
        <v>0</v>
      </c>
      <c r="T1181" s="1818"/>
      <c r="U1181" s="1814"/>
      <c r="V1181" s="1814"/>
      <c r="W1181" s="1817"/>
      <c r="X1181" s="1814"/>
      <c r="Y1181" s="1801"/>
      <c r="Z1181" s="1801"/>
      <c r="AA1181" s="1801"/>
      <c r="AB1181" s="1801"/>
      <c r="AC1181" s="1801"/>
      <c r="AD1181" s="1801"/>
      <c r="AE1181" s="1801"/>
      <c r="AF1181" s="1814"/>
      <c r="AG1181" s="376"/>
      <c r="AH1181" s="376"/>
      <c r="AI1181" s="376"/>
      <c r="AJ1181" s="376"/>
      <c r="AK1181" s="376"/>
      <c r="AL1181" s="1148"/>
      <c r="AM1181" s="1148"/>
      <c r="AN1181" s="1148"/>
      <c r="AO1181" s="1148"/>
      <c r="AP1181" s="1148"/>
      <c r="AQ1181" s="1144"/>
      <c r="AR1181" s="1144"/>
      <c r="AS1181" s="1144"/>
      <c r="AT1181" s="1144"/>
      <c r="AU1181" s="1144"/>
      <c r="AV1181" s="1144"/>
      <c r="AW1181" s="1144"/>
      <c r="AX1181" s="1144"/>
      <c r="AY1181" s="1144"/>
      <c r="AZ1181" s="1144"/>
      <c r="BA1181" s="1144"/>
      <c r="BB1181" s="1144"/>
      <c r="BC1181" s="1144"/>
      <c r="BD1181" s="1144"/>
      <c r="BE1181" s="1144"/>
      <c r="BF1181" s="1144"/>
      <c r="BG1181" s="1144"/>
      <c r="BH1181" s="1144"/>
      <c r="BI1181" s="1144"/>
      <c r="BJ1181" s="1144"/>
      <c r="BK1181" s="1144"/>
      <c r="BL1181" s="1144"/>
      <c r="BM1181" s="1144"/>
      <c r="BN1181" s="1144"/>
      <c r="BO1181" s="1144"/>
      <c r="BP1181" s="1144"/>
      <c r="BQ1181" s="1144"/>
      <c r="BR1181" s="1144"/>
      <c r="BS1181" s="1144"/>
      <c r="BT1181" s="1144"/>
      <c r="BU1181" s="1144"/>
      <c r="BV1181" s="1144"/>
      <c r="BW1181" s="1144"/>
      <c r="BX1181" s="1144"/>
      <c r="BY1181" s="1144"/>
      <c r="BZ1181" s="1144"/>
      <c r="CA1181" s="1144"/>
      <c r="CB1181" s="1144"/>
      <c r="CC1181" s="1144"/>
      <c r="CD1181" s="1144"/>
      <c r="CE1181" s="1144"/>
      <c r="CF1181" s="1144"/>
      <c r="CG1181" s="1144"/>
      <c r="CH1181" s="1144"/>
      <c r="CI1181" s="1144"/>
      <c r="CJ1181" s="1144"/>
      <c r="CK1181" s="1144"/>
      <c r="CL1181" s="1144"/>
      <c r="CM1181" s="1144"/>
      <c r="CN1181" s="1144"/>
    </row>
    <row r="1182" spans="11:92" ht="12" customHeight="1" x14ac:dyDescent="0.35">
      <c r="K1182" s="29">
        <f t="shared" si="796"/>
        <v>1</v>
      </c>
      <c r="L1182" s="1158">
        <f t="shared" si="797"/>
        <v>0</v>
      </c>
      <c r="M1182" s="34">
        <f t="shared" si="798"/>
        <v>0</v>
      </c>
      <c r="N1182" s="34">
        <f t="shared" si="799"/>
        <v>0</v>
      </c>
      <c r="O1182" s="55">
        <f t="shared" si="804"/>
        <v>0</v>
      </c>
      <c r="P1182" s="55">
        <f t="shared" si="805"/>
        <v>0</v>
      </c>
      <c r="Q1182" s="55">
        <f t="shared" si="806"/>
        <v>0</v>
      </c>
      <c r="R1182" s="31">
        <f>IF(Input!D$298=L1338,Input!D$297,0)</f>
        <v>0</v>
      </c>
      <c r="S1182" s="36">
        <f t="shared" si="807"/>
        <v>0</v>
      </c>
      <c r="T1182" s="1818"/>
      <c r="U1182" s="1814"/>
      <c r="V1182" s="1814"/>
      <c r="W1182" s="1817"/>
      <c r="X1182" s="1814"/>
      <c r="Y1182" s="1801"/>
      <c r="Z1182" s="1801"/>
      <c r="AA1182" s="1801"/>
      <c r="AB1182" s="1801"/>
      <c r="AC1182" s="1801"/>
      <c r="AD1182" s="1801"/>
      <c r="AE1182" s="1801"/>
      <c r="AF1182" s="1814"/>
      <c r="AG1182" s="376"/>
      <c r="AH1182" s="376"/>
      <c r="AI1182" s="376"/>
      <c r="AJ1182" s="376"/>
      <c r="AK1182" s="376"/>
      <c r="AL1182" s="1148"/>
      <c r="AM1182" s="1148"/>
      <c r="AN1182" s="1148"/>
      <c r="AO1182" s="1148"/>
      <c r="AP1182" s="1148"/>
      <c r="AQ1182" s="1144"/>
      <c r="AR1182" s="1144"/>
      <c r="AS1182" s="1144"/>
      <c r="AT1182" s="1144"/>
      <c r="AU1182" s="1144"/>
      <c r="AV1182" s="1144"/>
      <c r="AW1182" s="1144"/>
      <c r="AX1182" s="1144"/>
      <c r="AY1182" s="1144"/>
      <c r="AZ1182" s="1144"/>
      <c r="BA1182" s="1144"/>
      <c r="BB1182" s="1144"/>
      <c r="BC1182" s="1144"/>
      <c r="BD1182" s="1144"/>
      <c r="BE1182" s="1144"/>
      <c r="BF1182" s="1144"/>
      <c r="BG1182" s="1144"/>
      <c r="BH1182" s="1144"/>
      <c r="BI1182" s="1144"/>
      <c r="BJ1182" s="1144"/>
      <c r="BK1182" s="1144"/>
      <c r="BL1182" s="1144"/>
      <c r="BM1182" s="1144"/>
      <c r="BN1182" s="1144"/>
      <c r="BO1182" s="1144"/>
      <c r="BP1182" s="1144"/>
      <c r="BQ1182" s="1144"/>
      <c r="BR1182" s="1144"/>
      <c r="BS1182" s="1144"/>
      <c r="BT1182" s="1144"/>
      <c r="BU1182" s="1144"/>
      <c r="BV1182" s="1144"/>
      <c r="BW1182" s="1144"/>
      <c r="BX1182" s="1144"/>
      <c r="BY1182" s="1144"/>
      <c r="BZ1182" s="1144"/>
      <c r="CA1182" s="1144"/>
      <c r="CB1182" s="1144"/>
      <c r="CC1182" s="1144"/>
      <c r="CD1182" s="1144"/>
      <c r="CE1182" s="1144"/>
      <c r="CF1182" s="1144"/>
      <c r="CG1182" s="1144"/>
      <c r="CH1182" s="1144"/>
      <c r="CI1182" s="1144"/>
      <c r="CJ1182" s="1144"/>
      <c r="CK1182" s="1144"/>
      <c r="CL1182" s="1144"/>
      <c r="CM1182" s="1144"/>
      <c r="CN1182" s="1144"/>
    </row>
    <row r="1183" spans="11:92" ht="12" customHeight="1" x14ac:dyDescent="0.35">
      <c r="K1183" s="29">
        <f t="shared" si="796"/>
        <v>1</v>
      </c>
      <c r="L1183" s="1158">
        <f t="shared" si="797"/>
        <v>0</v>
      </c>
      <c r="M1183" s="34">
        <f t="shared" si="798"/>
        <v>0</v>
      </c>
      <c r="N1183" s="34">
        <f t="shared" si="799"/>
        <v>0</v>
      </c>
      <c r="O1183" s="55">
        <f t="shared" si="804"/>
        <v>0</v>
      </c>
      <c r="P1183" s="55">
        <f t="shared" si="805"/>
        <v>0</v>
      </c>
      <c r="Q1183" s="55">
        <f t="shared" si="806"/>
        <v>0</v>
      </c>
      <c r="R1183" s="31">
        <f>IF(Input!D$298=L1339,Input!D$297,0)</f>
        <v>0</v>
      </c>
      <c r="S1183" s="36">
        <f t="shared" si="807"/>
        <v>0</v>
      </c>
      <c r="T1183" s="1818"/>
      <c r="U1183" s="1814"/>
      <c r="V1183" s="1814"/>
      <c r="W1183" s="1817"/>
      <c r="X1183" s="1814"/>
      <c r="Y1183" s="1801"/>
      <c r="Z1183" s="1801"/>
      <c r="AA1183" s="1801"/>
      <c r="AB1183" s="1801"/>
      <c r="AC1183" s="1801"/>
      <c r="AD1183" s="1801"/>
      <c r="AE1183" s="1801"/>
      <c r="AF1183" s="1814"/>
      <c r="AG1183" s="376"/>
      <c r="AH1183" s="376"/>
      <c r="AI1183" s="376"/>
      <c r="AJ1183" s="376"/>
      <c r="AK1183" s="376"/>
      <c r="AL1183" s="1148"/>
      <c r="AM1183" s="1148"/>
      <c r="AN1183" s="1148"/>
      <c r="AO1183" s="1148"/>
      <c r="AP1183" s="1148"/>
      <c r="AQ1183" s="1144"/>
      <c r="AR1183" s="1144"/>
      <c r="AS1183" s="1144"/>
      <c r="AT1183" s="1144"/>
      <c r="AU1183" s="1144"/>
      <c r="AV1183" s="1144"/>
      <c r="AW1183" s="1144"/>
      <c r="AX1183" s="1144"/>
      <c r="AY1183" s="1144"/>
      <c r="AZ1183" s="1144"/>
      <c r="BA1183" s="1144"/>
      <c r="BB1183" s="1144"/>
      <c r="BC1183" s="1144"/>
      <c r="BD1183" s="1144"/>
      <c r="BE1183" s="1144"/>
      <c r="BF1183" s="1144"/>
      <c r="BG1183" s="1144"/>
      <c r="BH1183" s="1144"/>
      <c r="BI1183" s="1144"/>
      <c r="BJ1183" s="1144"/>
      <c r="BK1183" s="1144"/>
      <c r="BL1183" s="1144"/>
      <c r="BM1183" s="1144"/>
      <c r="BN1183" s="1144"/>
      <c r="BO1183" s="1144"/>
      <c r="BP1183" s="1144"/>
      <c r="BQ1183" s="1144"/>
      <c r="BR1183" s="1144"/>
      <c r="BS1183" s="1144"/>
      <c r="BT1183" s="1144"/>
      <c r="BU1183" s="1144"/>
      <c r="BV1183" s="1144"/>
      <c r="BW1183" s="1144"/>
      <c r="BX1183" s="1144"/>
      <c r="BY1183" s="1144"/>
      <c r="BZ1183" s="1144"/>
      <c r="CA1183" s="1144"/>
      <c r="CB1183" s="1144"/>
      <c r="CC1183" s="1144"/>
      <c r="CD1183" s="1144"/>
      <c r="CE1183" s="1144"/>
      <c r="CF1183" s="1144"/>
      <c r="CG1183" s="1144"/>
      <c r="CH1183" s="1144"/>
      <c r="CI1183" s="1144"/>
      <c r="CJ1183" s="1144"/>
      <c r="CK1183" s="1144"/>
      <c r="CL1183" s="1144"/>
      <c r="CM1183" s="1144"/>
      <c r="CN1183" s="1144"/>
    </row>
    <row r="1184" spans="11:92" ht="12" customHeight="1" x14ac:dyDescent="0.35">
      <c r="K1184" s="29">
        <f t="shared" si="796"/>
        <v>1</v>
      </c>
      <c r="L1184" s="1158">
        <f t="shared" si="797"/>
        <v>0</v>
      </c>
      <c r="M1184" s="34">
        <f t="shared" si="798"/>
        <v>0</v>
      </c>
      <c r="N1184" s="34">
        <f t="shared" si="799"/>
        <v>0</v>
      </c>
      <c r="O1184" s="55">
        <f t="shared" si="804"/>
        <v>0</v>
      </c>
      <c r="P1184" s="55">
        <f t="shared" si="805"/>
        <v>0</v>
      </c>
      <c r="Q1184" s="55">
        <f t="shared" si="806"/>
        <v>0</v>
      </c>
      <c r="R1184" s="31">
        <f>IF(Input!D$298=L1340,Input!D$297,0)</f>
        <v>0</v>
      </c>
      <c r="S1184" s="36">
        <f t="shared" si="807"/>
        <v>0</v>
      </c>
      <c r="T1184" s="1818"/>
      <c r="U1184" s="1814"/>
      <c r="V1184" s="1814"/>
      <c r="W1184" s="1817"/>
      <c r="X1184" s="1814"/>
      <c r="Y1184" s="1801"/>
      <c r="Z1184" s="1801"/>
      <c r="AA1184" s="1801"/>
      <c r="AB1184" s="1801"/>
      <c r="AC1184" s="1801"/>
      <c r="AD1184" s="1801"/>
      <c r="AE1184" s="1801"/>
      <c r="AF1184" s="1814"/>
      <c r="AG1184" s="376"/>
      <c r="AH1184" s="376"/>
      <c r="AI1184" s="376"/>
      <c r="AJ1184" s="376"/>
      <c r="AK1184" s="376"/>
      <c r="AL1184" s="1148"/>
      <c r="AM1184" s="1148"/>
      <c r="AN1184" s="1148"/>
      <c r="AO1184" s="1148"/>
      <c r="AP1184" s="1148"/>
      <c r="AQ1184" s="1144"/>
      <c r="AR1184" s="1144"/>
      <c r="AS1184" s="1144"/>
      <c r="AT1184" s="1144"/>
      <c r="AU1184" s="1144"/>
      <c r="AV1184" s="1144"/>
      <c r="AW1184" s="1144"/>
      <c r="AX1184" s="1144"/>
      <c r="AY1184" s="1144"/>
      <c r="AZ1184" s="1144"/>
      <c r="BA1184" s="1144"/>
      <c r="BB1184" s="1144"/>
      <c r="BC1184" s="1144"/>
      <c r="BD1184" s="1144"/>
      <c r="BE1184" s="1144"/>
      <c r="BF1184" s="1144"/>
      <c r="BG1184" s="1144"/>
      <c r="BH1184" s="1144"/>
      <c r="BI1184" s="1144"/>
      <c r="BJ1184" s="1144"/>
      <c r="BK1184" s="1144"/>
      <c r="BL1184" s="1144"/>
      <c r="BM1184" s="1144"/>
      <c r="BN1184" s="1144"/>
      <c r="BO1184" s="1144"/>
      <c r="BP1184" s="1144"/>
      <c r="BQ1184" s="1144"/>
      <c r="BR1184" s="1144"/>
      <c r="BS1184" s="1144"/>
      <c r="BT1184" s="1144"/>
      <c r="BU1184" s="1144"/>
      <c r="BV1184" s="1144"/>
      <c r="BW1184" s="1144"/>
      <c r="BX1184" s="1144"/>
      <c r="BY1184" s="1144"/>
      <c r="BZ1184" s="1144"/>
      <c r="CA1184" s="1144"/>
      <c r="CB1184" s="1144"/>
      <c r="CC1184" s="1144"/>
      <c r="CD1184" s="1144"/>
      <c r="CE1184" s="1144"/>
      <c r="CF1184" s="1144"/>
      <c r="CG1184" s="1144"/>
      <c r="CH1184" s="1144"/>
      <c r="CI1184" s="1144"/>
      <c r="CJ1184" s="1144"/>
      <c r="CK1184" s="1144"/>
      <c r="CL1184" s="1144"/>
      <c r="CM1184" s="1144"/>
      <c r="CN1184" s="1144"/>
    </row>
    <row r="1185" spans="11:92" ht="12" customHeight="1" x14ac:dyDescent="0.35">
      <c r="K1185" s="29">
        <f t="shared" si="796"/>
        <v>1</v>
      </c>
      <c r="L1185" s="1158">
        <f t="shared" si="797"/>
        <v>0</v>
      </c>
      <c r="M1185" s="34">
        <f t="shared" si="798"/>
        <v>0</v>
      </c>
      <c r="N1185" s="34">
        <f t="shared" si="799"/>
        <v>0</v>
      </c>
      <c r="O1185" s="55">
        <f t="shared" si="804"/>
        <v>0</v>
      </c>
      <c r="P1185" s="55">
        <f t="shared" si="805"/>
        <v>0</v>
      </c>
      <c r="Q1185" s="55">
        <f t="shared" si="806"/>
        <v>0</v>
      </c>
      <c r="R1185" s="31">
        <f>IF(Input!D$298=L1341,Input!D$297,0)</f>
        <v>0</v>
      </c>
      <c r="S1185" s="36">
        <f t="shared" si="807"/>
        <v>0</v>
      </c>
      <c r="T1185" s="1818"/>
      <c r="U1185" s="1814"/>
      <c r="V1185" s="1814"/>
      <c r="W1185" s="1817"/>
      <c r="X1185" s="1814"/>
      <c r="Y1185" s="1801"/>
      <c r="Z1185" s="1801"/>
      <c r="AA1185" s="1801"/>
      <c r="AB1185" s="1801"/>
      <c r="AC1185" s="1801"/>
      <c r="AD1185" s="1801"/>
      <c r="AE1185" s="1801"/>
      <c r="AF1185" s="1814"/>
      <c r="AG1185" s="376"/>
      <c r="AH1185" s="376"/>
      <c r="AI1185" s="376"/>
      <c r="AJ1185" s="376"/>
      <c r="AK1185" s="376"/>
      <c r="AL1185" s="1148"/>
      <c r="AM1185" s="1148"/>
      <c r="AN1185" s="1148"/>
      <c r="AO1185" s="1148"/>
      <c r="AP1185" s="1148"/>
      <c r="AQ1185" s="1144"/>
      <c r="AR1185" s="1144"/>
      <c r="AS1185" s="1144"/>
      <c r="AT1185" s="1144"/>
      <c r="AU1185" s="1144"/>
      <c r="AV1185" s="1144"/>
      <c r="AW1185" s="1144"/>
      <c r="AX1185" s="1144"/>
      <c r="AY1185" s="1144"/>
      <c r="AZ1185" s="1144"/>
      <c r="BA1185" s="1144"/>
      <c r="BB1185" s="1144"/>
      <c r="BC1185" s="1144"/>
      <c r="BD1185" s="1144"/>
      <c r="BE1185" s="1144"/>
      <c r="BF1185" s="1144"/>
      <c r="BG1185" s="1144"/>
      <c r="BH1185" s="1144"/>
      <c r="BI1185" s="1144"/>
      <c r="BJ1185" s="1144"/>
      <c r="BK1185" s="1144"/>
      <c r="BL1185" s="1144"/>
      <c r="BM1185" s="1144"/>
      <c r="BN1185" s="1144"/>
      <c r="BO1185" s="1144"/>
      <c r="BP1185" s="1144"/>
      <c r="BQ1185" s="1144"/>
      <c r="BR1185" s="1144"/>
      <c r="BS1185" s="1144"/>
      <c r="BT1185" s="1144"/>
      <c r="BU1185" s="1144"/>
      <c r="BV1185" s="1144"/>
      <c r="BW1185" s="1144"/>
      <c r="BX1185" s="1144"/>
      <c r="BY1185" s="1144"/>
      <c r="BZ1185" s="1144"/>
      <c r="CA1185" s="1144"/>
      <c r="CB1185" s="1144"/>
      <c r="CC1185" s="1144"/>
      <c r="CD1185" s="1144"/>
      <c r="CE1185" s="1144"/>
      <c r="CF1185" s="1144"/>
      <c r="CG1185" s="1144"/>
      <c r="CH1185" s="1144"/>
      <c r="CI1185" s="1144"/>
      <c r="CJ1185" s="1144"/>
      <c r="CK1185" s="1144"/>
      <c r="CL1185" s="1144"/>
      <c r="CM1185" s="1144"/>
      <c r="CN1185" s="1144"/>
    </row>
    <row r="1186" spans="11:92" ht="12" customHeight="1" x14ac:dyDescent="0.35">
      <c r="K1186" s="29">
        <f t="shared" si="796"/>
        <v>1</v>
      </c>
      <c r="L1186" s="1158">
        <f t="shared" si="797"/>
        <v>0</v>
      </c>
      <c r="M1186" s="34">
        <f t="shared" si="798"/>
        <v>0</v>
      </c>
      <c r="N1186" s="34">
        <f t="shared" si="799"/>
        <v>0</v>
      </c>
      <c r="O1186" s="55">
        <f t="shared" si="804"/>
        <v>0</v>
      </c>
      <c r="P1186" s="55">
        <f t="shared" si="805"/>
        <v>0</v>
      </c>
      <c r="Q1186" s="55">
        <f t="shared" si="806"/>
        <v>0</v>
      </c>
      <c r="R1186" s="31">
        <f>IF(Input!D$298=L1342,Input!D$297,0)</f>
        <v>0</v>
      </c>
      <c r="S1186" s="36">
        <f t="shared" si="807"/>
        <v>0</v>
      </c>
      <c r="T1186" s="1818"/>
      <c r="U1186" s="1814"/>
      <c r="V1186" s="1814"/>
      <c r="W1186" s="1817"/>
      <c r="X1186" s="1814"/>
      <c r="Y1186" s="1801"/>
      <c r="Z1186" s="1801"/>
      <c r="AA1186" s="1801"/>
      <c r="AB1186" s="1801"/>
      <c r="AC1186" s="1801"/>
      <c r="AD1186" s="1801"/>
      <c r="AE1186" s="1801"/>
      <c r="AF1186" s="1814"/>
      <c r="AG1186" s="376"/>
      <c r="AH1186" s="376"/>
      <c r="AI1186" s="376"/>
      <c r="AJ1186" s="376"/>
      <c r="AK1186" s="376"/>
      <c r="AL1186" s="1148"/>
      <c r="AM1186" s="1148"/>
      <c r="AN1186" s="1148"/>
      <c r="AO1186" s="1148"/>
      <c r="AP1186" s="1148"/>
      <c r="AQ1186" s="1144"/>
      <c r="AR1186" s="1144"/>
      <c r="AS1186" s="1144"/>
      <c r="AT1186" s="1144"/>
      <c r="AU1186" s="1144"/>
      <c r="AV1186" s="1144"/>
      <c r="AW1186" s="1144"/>
      <c r="AX1186" s="1144"/>
      <c r="AY1186" s="1144"/>
      <c r="AZ1186" s="1144"/>
      <c r="BA1186" s="1144"/>
      <c r="BB1186" s="1144"/>
      <c r="BC1186" s="1144"/>
      <c r="BD1186" s="1144"/>
      <c r="BE1186" s="1144"/>
      <c r="BF1186" s="1144"/>
      <c r="BG1186" s="1144"/>
      <c r="BH1186" s="1144"/>
      <c r="BI1186" s="1144"/>
      <c r="BJ1186" s="1144"/>
      <c r="BK1186" s="1144"/>
      <c r="BL1186" s="1144"/>
      <c r="BM1186" s="1144"/>
      <c r="BN1186" s="1144"/>
      <c r="BO1186" s="1144"/>
      <c r="BP1186" s="1144"/>
      <c r="BQ1186" s="1144"/>
      <c r="BR1186" s="1144"/>
      <c r="BS1186" s="1144"/>
      <c r="BT1186" s="1144"/>
      <c r="BU1186" s="1144"/>
      <c r="BV1186" s="1144"/>
      <c r="BW1186" s="1144"/>
      <c r="BX1186" s="1144"/>
      <c r="BY1186" s="1144"/>
      <c r="BZ1186" s="1144"/>
      <c r="CA1186" s="1144"/>
      <c r="CB1186" s="1144"/>
      <c r="CC1186" s="1144"/>
      <c r="CD1186" s="1144"/>
      <c r="CE1186" s="1144"/>
      <c r="CF1186" s="1144"/>
      <c r="CG1186" s="1144"/>
      <c r="CH1186" s="1144"/>
      <c r="CI1186" s="1144"/>
      <c r="CJ1186" s="1144"/>
      <c r="CK1186" s="1144"/>
      <c r="CL1186" s="1144"/>
      <c r="CM1186" s="1144"/>
      <c r="CN1186" s="1144"/>
    </row>
    <row r="1187" spans="11:92" ht="12" customHeight="1" x14ac:dyDescent="0.35">
      <c r="K1187" s="29">
        <f t="shared" si="796"/>
        <v>1</v>
      </c>
      <c r="L1187" s="1158">
        <f t="shared" si="797"/>
        <v>0</v>
      </c>
      <c r="M1187" s="34">
        <f t="shared" si="798"/>
        <v>0</v>
      </c>
      <c r="N1187" s="34">
        <f t="shared" si="799"/>
        <v>0</v>
      </c>
      <c r="O1187" s="55">
        <f t="shared" si="804"/>
        <v>0</v>
      </c>
      <c r="P1187" s="55">
        <f t="shared" si="805"/>
        <v>0</v>
      </c>
      <c r="Q1187" s="55">
        <f t="shared" si="806"/>
        <v>0</v>
      </c>
      <c r="R1187" s="31">
        <f>IF(Input!D$298=L1343,Input!D$297,0)</f>
        <v>0</v>
      </c>
      <c r="S1187" s="36">
        <f t="shared" si="807"/>
        <v>0</v>
      </c>
      <c r="T1187" s="1818"/>
      <c r="U1187" s="1814"/>
      <c r="V1187" s="1814"/>
      <c r="W1187" s="1817"/>
      <c r="X1187" s="1814"/>
      <c r="Y1187" s="1801"/>
      <c r="Z1187" s="1801"/>
      <c r="AA1187" s="1801"/>
      <c r="AB1187" s="1801"/>
      <c r="AC1187" s="1801"/>
      <c r="AD1187" s="1801"/>
      <c r="AE1187" s="1801"/>
      <c r="AF1187" s="1814"/>
      <c r="AG1187" s="376"/>
      <c r="AH1187" s="376"/>
      <c r="AI1187" s="376"/>
      <c r="AJ1187" s="376"/>
      <c r="AK1187" s="376"/>
      <c r="AL1187" s="1148"/>
      <c r="AM1187" s="1148"/>
      <c r="AN1187" s="1148"/>
      <c r="AO1187" s="1148"/>
      <c r="AP1187" s="1148"/>
      <c r="AQ1187" s="1144"/>
      <c r="AR1187" s="1144"/>
      <c r="AS1187" s="1144"/>
      <c r="AT1187" s="1144"/>
      <c r="AU1187" s="1144"/>
      <c r="AV1187" s="1144"/>
      <c r="AW1187" s="1144"/>
      <c r="AX1187" s="1144"/>
      <c r="AY1187" s="1144"/>
      <c r="AZ1187" s="1144"/>
      <c r="BA1187" s="1144"/>
      <c r="BB1187" s="1144"/>
      <c r="BC1187" s="1144"/>
      <c r="BD1187" s="1144"/>
      <c r="BE1187" s="1144"/>
      <c r="BF1187" s="1144"/>
      <c r="BG1187" s="1144"/>
      <c r="BH1187" s="1144"/>
      <c r="BI1187" s="1144"/>
      <c r="BJ1187" s="1144"/>
      <c r="BK1187" s="1144"/>
      <c r="BL1187" s="1144"/>
      <c r="BM1187" s="1144"/>
      <c r="BN1187" s="1144"/>
      <c r="BO1187" s="1144"/>
      <c r="BP1187" s="1144"/>
      <c r="BQ1187" s="1144"/>
      <c r="BR1187" s="1144"/>
      <c r="BS1187" s="1144"/>
      <c r="BT1187" s="1144"/>
      <c r="BU1187" s="1144"/>
      <c r="BV1187" s="1144"/>
      <c r="BW1187" s="1144"/>
      <c r="BX1187" s="1144"/>
      <c r="BY1187" s="1144"/>
      <c r="BZ1187" s="1144"/>
      <c r="CA1187" s="1144"/>
      <c r="CB1187" s="1144"/>
      <c r="CC1187" s="1144"/>
      <c r="CD1187" s="1144"/>
      <c r="CE1187" s="1144"/>
      <c r="CF1187" s="1144"/>
      <c r="CG1187" s="1144"/>
      <c r="CH1187" s="1144"/>
      <c r="CI1187" s="1144"/>
      <c r="CJ1187" s="1144"/>
      <c r="CK1187" s="1144"/>
      <c r="CL1187" s="1144"/>
      <c r="CM1187" s="1144"/>
      <c r="CN1187" s="1144"/>
    </row>
    <row r="1188" spans="11:92" ht="12" customHeight="1" x14ac:dyDescent="0.35">
      <c r="K1188" s="29">
        <f t="shared" si="796"/>
        <v>1</v>
      </c>
      <c r="L1188" s="1158">
        <f t="shared" si="797"/>
        <v>0</v>
      </c>
      <c r="M1188" s="34">
        <f t="shared" si="798"/>
        <v>0</v>
      </c>
      <c r="N1188" s="34">
        <f t="shared" si="799"/>
        <v>0</v>
      </c>
      <c r="O1188" s="55">
        <f t="shared" si="804"/>
        <v>0</v>
      </c>
      <c r="P1188" s="55">
        <f t="shared" si="805"/>
        <v>0</v>
      </c>
      <c r="Q1188" s="55">
        <f t="shared" si="806"/>
        <v>0</v>
      </c>
      <c r="R1188" s="31">
        <f>IF(Input!D$298=L1344,Input!D$297,0)</f>
        <v>0</v>
      </c>
      <c r="S1188" s="36">
        <f t="shared" si="807"/>
        <v>0</v>
      </c>
      <c r="T1188" s="1818"/>
      <c r="U1188" s="1814"/>
      <c r="V1188" s="1814"/>
      <c r="W1188" s="1817"/>
      <c r="X1188" s="1814"/>
      <c r="Y1188" s="1801"/>
      <c r="Z1188" s="1801"/>
      <c r="AA1188" s="1801"/>
      <c r="AB1188" s="1801"/>
      <c r="AC1188" s="1801"/>
      <c r="AD1188" s="1801"/>
      <c r="AE1188" s="1801"/>
      <c r="AF1188" s="1814"/>
      <c r="AG1188" s="376"/>
      <c r="AH1188" s="376"/>
      <c r="AI1188" s="376"/>
      <c r="AJ1188" s="376"/>
      <c r="AK1188" s="376"/>
      <c r="AL1188" s="1148"/>
      <c r="AM1188" s="1148"/>
      <c r="AN1188" s="1148"/>
      <c r="AO1188" s="1148"/>
      <c r="AP1188" s="1148"/>
      <c r="AQ1188" s="1144"/>
      <c r="AR1188" s="1144"/>
      <c r="AS1188" s="1144"/>
      <c r="AT1188" s="1144"/>
      <c r="AU1188" s="1144"/>
      <c r="AV1188" s="1144"/>
      <c r="AW1188" s="1144"/>
      <c r="AX1188" s="1144"/>
      <c r="AY1188" s="1144"/>
      <c r="AZ1188" s="1144"/>
      <c r="BA1188" s="1144"/>
      <c r="BB1188" s="1144"/>
      <c r="BC1188" s="1144"/>
      <c r="BD1188" s="1144"/>
      <c r="BE1188" s="1144"/>
      <c r="BF1188" s="1144"/>
      <c r="BG1188" s="1144"/>
      <c r="BH1188" s="1144"/>
      <c r="BI1188" s="1144"/>
      <c r="BJ1188" s="1144"/>
      <c r="BK1188" s="1144"/>
      <c r="BL1188" s="1144"/>
      <c r="BM1188" s="1144"/>
      <c r="BN1188" s="1144"/>
      <c r="BO1188" s="1144"/>
      <c r="BP1188" s="1144"/>
      <c r="BQ1188" s="1144"/>
      <c r="BR1188" s="1144"/>
      <c r="BS1188" s="1144"/>
      <c r="BT1188" s="1144"/>
      <c r="BU1188" s="1144"/>
      <c r="BV1188" s="1144"/>
      <c r="BW1188" s="1144"/>
      <c r="BX1188" s="1144"/>
      <c r="BY1188" s="1144"/>
      <c r="BZ1188" s="1144"/>
      <c r="CA1188" s="1144"/>
      <c r="CB1188" s="1144"/>
      <c r="CC1188" s="1144"/>
      <c r="CD1188" s="1144"/>
      <c r="CE1188" s="1144"/>
      <c r="CF1188" s="1144"/>
      <c r="CG1188" s="1144"/>
      <c r="CH1188" s="1144"/>
      <c r="CI1188" s="1144"/>
      <c r="CJ1188" s="1144"/>
      <c r="CK1188" s="1144"/>
      <c r="CL1188" s="1144"/>
      <c r="CM1188" s="1144"/>
      <c r="CN1188" s="1144"/>
    </row>
    <row r="1189" spans="11:92" ht="12" customHeight="1" x14ac:dyDescent="0.35">
      <c r="K1189" s="29">
        <f t="shared" si="796"/>
        <v>1</v>
      </c>
      <c r="L1189" s="1158">
        <f t="shared" si="797"/>
        <v>0</v>
      </c>
      <c r="M1189" s="34">
        <f t="shared" si="798"/>
        <v>0</v>
      </c>
      <c r="N1189" s="34">
        <f t="shared" si="799"/>
        <v>0</v>
      </c>
      <c r="O1189" s="55">
        <f t="shared" si="804"/>
        <v>0</v>
      </c>
      <c r="P1189" s="55">
        <f t="shared" si="805"/>
        <v>0</v>
      </c>
      <c r="Q1189" s="55">
        <f t="shared" si="806"/>
        <v>0</v>
      </c>
      <c r="R1189" s="31">
        <f>IF(Input!D$298=L1345,Input!D$297,0)</f>
        <v>0</v>
      </c>
      <c r="S1189" s="36">
        <f t="shared" si="807"/>
        <v>0</v>
      </c>
      <c r="T1189" s="1818"/>
      <c r="U1189" s="1814"/>
      <c r="V1189" s="1814"/>
      <c r="W1189" s="1817"/>
      <c r="X1189" s="1814"/>
      <c r="Y1189" s="1801"/>
      <c r="Z1189" s="1801"/>
      <c r="AA1189" s="1801"/>
      <c r="AB1189" s="1801"/>
      <c r="AC1189" s="1801"/>
      <c r="AD1189" s="1801"/>
      <c r="AE1189" s="1801"/>
      <c r="AF1189" s="1814"/>
      <c r="AG1189" s="376"/>
      <c r="AH1189" s="376"/>
      <c r="AI1189" s="376"/>
      <c r="AJ1189" s="376"/>
      <c r="AK1189" s="376"/>
      <c r="AL1189" s="1148"/>
      <c r="AM1189" s="1148"/>
      <c r="AN1189" s="1148"/>
      <c r="AO1189" s="1148"/>
      <c r="AP1189" s="1148"/>
      <c r="AQ1189" s="1144"/>
      <c r="AR1189" s="1144"/>
      <c r="AS1189" s="1144"/>
      <c r="AT1189" s="1144"/>
      <c r="AU1189" s="1144"/>
      <c r="AV1189" s="1144"/>
      <c r="AW1189" s="1144"/>
      <c r="AX1189" s="1144"/>
      <c r="AY1189" s="1144"/>
      <c r="AZ1189" s="1144"/>
      <c r="BA1189" s="1144"/>
      <c r="BB1189" s="1144"/>
      <c r="BC1189" s="1144"/>
      <c r="BD1189" s="1144"/>
      <c r="BE1189" s="1144"/>
      <c r="BF1189" s="1144"/>
      <c r="BG1189" s="1144"/>
      <c r="BH1189" s="1144"/>
      <c r="BI1189" s="1144"/>
      <c r="BJ1189" s="1144"/>
      <c r="BK1189" s="1144"/>
      <c r="BL1189" s="1144"/>
      <c r="BM1189" s="1144"/>
      <c r="BN1189" s="1144"/>
      <c r="BO1189" s="1144"/>
      <c r="BP1189" s="1144"/>
      <c r="BQ1189" s="1144"/>
      <c r="BR1189" s="1144"/>
      <c r="BS1189" s="1144"/>
      <c r="BT1189" s="1144"/>
      <c r="BU1189" s="1144"/>
      <c r="BV1189" s="1144"/>
      <c r="BW1189" s="1144"/>
      <c r="BX1189" s="1144"/>
      <c r="BY1189" s="1144"/>
      <c r="BZ1189" s="1144"/>
      <c r="CA1189" s="1144"/>
      <c r="CB1189" s="1144"/>
      <c r="CC1189" s="1144"/>
      <c r="CD1189" s="1144"/>
      <c r="CE1189" s="1144"/>
      <c r="CF1189" s="1144"/>
      <c r="CG1189" s="1144"/>
      <c r="CH1189" s="1144"/>
      <c r="CI1189" s="1144"/>
      <c r="CJ1189" s="1144"/>
      <c r="CK1189" s="1144"/>
      <c r="CL1189" s="1144"/>
      <c r="CM1189" s="1144"/>
      <c r="CN1189" s="1144"/>
    </row>
    <row r="1190" spans="11:92" ht="12" customHeight="1" x14ac:dyDescent="0.35">
      <c r="K1190" s="29">
        <f t="shared" si="796"/>
        <v>1</v>
      </c>
      <c r="L1190" s="1158">
        <f t="shared" si="797"/>
        <v>0</v>
      </c>
      <c r="M1190" s="34">
        <f t="shared" si="798"/>
        <v>0</v>
      </c>
      <c r="N1190" s="34">
        <f t="shared" si="799"/>
        <v>0</v>
      </c>
      <c r="O1190" s="55">
        <f t="shared" si="804"/>
        <v>0</v>
      </c>
      <c r="P1190" s="55">
        <f t="shared" si="805"/>
        <v>0</v>
      </c>
      <c r="Q1190" s="55">
        <f t="shared" si="806"/>
        <v>0</v>
      </c>
      <c r="R1190" s="31">
        <f>IF(Input!D$298=L1346,Input!D$297,0)</f>
        <v>0</v>
      </c>
      <c r="S1190" s="36">
        <f t="shared" si="807"/>
        <v>0</v>
      </c>
      <c r="T1190" s="1818"/>
      <c r="U1190" s="1814"/>
      <c r="V1190" s="1814"/>
      <c r="W1190" s="1817"/>
      <c r="X1190" s="1814"/>
      <c r="Y1190" s="1801"/>
      <c r="Z1190" s="1801"/>
      <c r="AA1190" s="1801"/>
      <c r="AB1190" s="1801"/>
      <c r="AC1190" s="1801"/>
      <c r="AD1190" s="1801"/>
      <c r="AE1190" s="1801"/>
      <c r="AF1190" s="1814"/>
      <c r="AG1190" s="376"/>
      <c r="AH1190" s="376"/>
      <c r="AI1190" s="376"/>
      <c r="AJ1190" s="376"/>
      <c r="AK1190" s="376"/>
      <c r="AL1190" s="1148"/>
      <c r="AM1190" s="1148"/>
      <c r="AN1190" s="1148"/>
      <c r="AO1190" s="1148"/>
      <c r="AP1190" s="1148"/>
      <c r="AQ1190" s="1144"/>
      <c r="AR1190" s="1144"/>
      <c r="AS1190" s="1144"/>
      <c r="AT1190" s="1144"/>
      <c r="AU1190" s="1144"/>
      <c r="AV1190" s="1144"/>
      <c r="AW1190" s="1144"/>
      <c r="AX1190" s="1144"/>
      <c r="AY1190" s="1144"/>
      <c r="AZ1190" s="1144"/>
      <c r="BA1190" s="1144"/>
      <c r="BB1190" s="1144"/>
      <c r="BC1190" s="1144"/>
      <c r="BD1190" s="1144"/>
      <c r="BE1190" s="1144"/>
      <c r="BF1190" s="1144"/>
      <c r="BG1190" s="1144"/>
      <c r="BH1190" s="1144"/>
      <c r="BI1190" s="1144"/>
      <c r="BJ1190" s="1144"/>
      <c r="BK1190" s="1144"/>
      <c r="BL1190" s="1144"/>
      <c r="BM1190" s="1144"/>
      <c r="BN1190" s="1144"/>
      <c r="BO1190" s="1144"/>
      <c r="BP1190" s="1144"/>
      <c r="BQ1190" s="1144"/>
      <c r="BR1190" s="1144"/>
      <c r="BS1190" s="1144"/>
      <c r="BT1190" s="1144"/>
      <c r="BU1190" s="1144"/>
      <c r="BV1190" s="1144"/>
      <c r="BW1190" s="1144"/>
      <c r="BX1190" s="1144"/>
      <c r="BY1190" s="1144"/>
      <c r="BZ1190" s="1144"/>
      <c r="CA1190" s="1144"/>
      <c r="CB1190" s="1144"/>
      <c r="CC1190" s="1144"/>
      <c r="CD1190" s="1144"/>
      <c r="CE1190" s="1144"/>
      <c r="CF1190" s="1144"/>
      <c r="CG1190" s="1144"/>
      <c r="CH1190" s="1144"/>
      <c r="CI1190" s="1144"/>
      <c r="CJ1190" s="1144"/>
      <c r="CK1190" s="1144"/>
      <c r="CL1190" s="1144"/>
      <c r="CM1190" s="1144"/>
      <c r="CN1190" s="1144"/>
    </row>
    <row r="1191" spans="11:92" ht="12" customHeight="1" x14ac:dyDescent="0.35">
      <c r="K1191" s="29">
        <f t="shared" si="796"/>
        <v>1</v>
      </c>
      <c r="L1191" s="1158">
        <f t="shared" si="797"/>
        <v>0</v>
      </c>
      <c r="M1191" s="34">
        <f t="shared" si="798"/>
        <v>0</v>
      </c>
      <c r="N1191" s="34">
        <f t="shared" si="799"/>
        <v>0</v>
      </c>
      <c r="O1191" s="55">
        <f t="shared" si="804"/>
        <v>0</v>
      </c>
      <c r="P1191" s="55">
        <f t="shared" si="805"/>
        <v>0</v>
      </c>
      <c r="Q1191" s="55">
        <f t="shared" si="806"/>
        <v>0</v>
      </c>
      <c r="R1191" s="31">
        <f>IF(Input!D$298=L1347,Input!D$297,0)</f>
        <v>0</v>
      </c>
      <c r="S1191" s="36">
        <f t="shared" si="807"/>
        <v>0</v>
      </c>
      <c r="T1191" s="1818"/>
      <c r="U1191" s="1814"/>
      <c r="V1191" s="1814"/>
      <c r="W1191" s="1817"/>
      <c r="X1191" s="1814"/>
      <c r="Y1191" s="1801"/>
      <c r="Z1191" s="1801"/>
      <c r="AA1191" s="1801"/>
      <c r="AB1191" s="1801"/>
      <c r="AC1191" s="1801"/>
      <c r="AD1191" s="1801"/>
      <c r="AE1191" s="1801"/>
      <c r="AF1191" s="1814"/>
      <c r="AG1191" s="376"/>
      <c r="AH1191" s="376"/>
      <c r="AI1191" s="376"/>
      <c r="AJ1191" s="376"/>
      <c r="AK1191" s="376"/>
      <c r="AL1191" s="1148"/>
      <c r="AM1191" s="1148"/>
      <c r="AN1191" s="1148"/>
      <c r="AO1191" s="1148"/>
      <c r="AP1191" s="1148"/>
      <c r="AQ1191" s="1144"/>
      <c r="AR1191" s="1144"/>
      <c r="AS1191" s="1144"/>
      <c r="AT1191" s="1144"/>
      <c r="AU1191" s="1144"/>
      <c r="AV1191" s="1144"/>
      <c r="AW1191" s="1144"/>
      <c r="AX1191" s="1144"/>
      <c r="AY1191" s="1144"/>
      <c r="AZ1191" s="1144"/>
      <c r="BA1191" s="1144"/>
      <c r="BB1191" s="1144"/>
      <c r="BC1191" s="1144"/>
      <c r="BD1191" s="1144"/>
      <c r="BE1191" s="1144"/>
      <c r="BF1191" s="1144"/>
      <c r="BG1191" s="1144"/>
      <c r="BH1191" s="1144"/>
      <c r="BI1191" s="1144"/>
      <c r="BJ1191" s="1144"/>
      <c r="BK1191" s="1144"/>
      <c r="BL1191" s="1144"/>
      <c r="BM1191" s="1144"/>
      <c r="BN1191" s="1144"/>
      <c r="BO1191" s="1144"/>
      <c r="BP1191" s="1144"/>
      <c r="BQ1191" s="1144"/>
      <c r="BR1191" s="1144"/>
      <c r="BS1191" s="1144"/>
      <c r="BT1191" s="1144"/>
      <c r="BU1191" s="1144"/>
      <c r="BV1191" s="1144"/>
      <c r="BW1191" s="1144"/>
      <c r="BX1191" s="1144"/>
      <c r="BY1191" s="1144"/>
      <c r="BZ1191" s="1144"/>
      <c r="CA1191" s="1144"/>
      <c r="CB1191" s="1144"/>
      <c r="CC1191" s="1144"/>
      <c r="CD1191" s="1144"/>
      <c r="CE1191" s="1144"/>
      <c r="CF1191" s="1144"/>
      <c r="CG1191" s="1144"/>
      <c r="CH1191" s="1144"/>
      <c r="CI1191" s="1144"/>
      <c r="CJ1191" s="1144"/>
      <c r="CK1191" s="1144"/>
      <c r="CL1191" s="1144"/>
      <c r="CM1191" s="1144"/>
      <c r="CN1191" s="1144"/>
    </row>
    <row r="1192" spans="11:92" ht="12" customHeight="1" x14ac:dyDescent="0.35">
      <c r="K1192" s="29">
        <f t="shared" si="796"/>
        <v>1</v>
      </c>
      <c r="L1192" s="1158">
        <f t="shared" si="797"/>
        <v>0</v>
      </c>
      <c r="M1192" s="34">
        <f t="shared" si="798"/>
        <v>0</v>
      </c>
      <c r="N1192" s="34">
        <f t="shared" si="799"/>
        <v>0</v>
      </c>
      <c r="O1192" s="55">
        <f t="shared" si="804"/>
        <v>0</v>
      </c>
      <c r="P1192" s="55">
        <f t="shared" si="805"/>
        <v>0</v>
      </c>
      <c r="Q1192" s="55">
        <f t="shared" si="806"/>
        <v>0</v>
      </c>
      <c r="R1192" s="31">
        <f>IF(Input!D$298=L1348,Input!D$297,0)</f>
        <v>0</v>
      </c>
      <c r="S1192" s="36">
        <f t="shared" si="807"/>
        <v>0</v>
      </c>
      <c r="T1192" s="1818"/>
      <c r="U1192" s="1814"/>
      <c r="V1192" s="1814"/>
      <c r="W1192" s="1817"/>
      <c r="X1192" s="1814"/>
      <c r="Y1192" s="1801"/>
      <c r="Z1192" s="1801"/>
      <c r="AA1192" s="1801"/>
      <c r="AB1192" s="1801"/>
      <c r="AC1192" s="1801"/>
      <c r="AD1192" s="1801"/>
      <c r="AE1192" s="1801"/>
      <c r="AF1192" s="1814"/>
      <c r="AG1192" s="376"/>
      <c r="AH1192" s="376"/>
      <c r="AI1192" s="376"/>
      <c r="AJ1192" s="376"/>
      <c r="AK1192" s="376"/>
      <c r="AL1192" s="1148"/>
      <c r="AM1192" s="1148"/>
      <c r="AN1192" s="1148"/>
      <c r="AO1192" s="1148"/>
      <c r="AP1192" s="1148"/>
      <c r="AQ1192" s="1144"/>
      <c r="AR1192" s="1144"/>
      <c r="AS1192" s="1144"/>
      <c r="AT1192" s="1144"/>
      <c r="AU1192" s="1144"/>
      <c r="AV1192" s="1144"/>
      <c r="AW1192" s="1144"/>
      <c r="AX1192" s="1144"/>
      <c r="AY1192" s="1144"/>
      <c r="AZ1192" s="1144"/>
      <c r="BA1192" s="1144"/>
      <c r="BB1192" s="1144"/>
      <c r="BC1192" s="1144"/>
      <c r="BD1192" s="1144"/>
      <c r="BE1192" s="1144"/>
      <c r="BF1192" s="1144"/>
      <c r="BG1192" s="1144"/>
      <c r="BH1192" s="1144"/>
      <c r="BI1192" s="1144"/>
      <c r="BJ1192" s="1144"/>
      <c r="BK1192" s="1144"/>
      <c r="BL1192" s="1144"/>
      <c r="BM1192" s="1144"/>
      <c r="BN1192" s="1144"/>
      <c r="BO1192" s="1144"/>
      <c r="BP1192" s="1144"/>
      <c r="BQ1192" s="1144"/>
      <c r="BR1192" s="1144"/>
      <c r="BS1192" s="1144"/>
      <c r="BT1192" s="1144"/>
      <c r="BU1192" s="1144"/>
      <c r="BV1192" s="1144"/>
      <c r="BW1192" s="1144"/>
      <c r="BX1192" s="1144"/>
      <c r="BY1192" s="1144"/>
      <c r="BZ1192" s="1144"/>
      <c r="CA1192" s="1144"/>
      <c r="CB1192" s="1144"/>
      <c r="CC1192" s="1144"/>
      <c r="CD1192" s="1144"/>
      <c r="CE1192" s="1144"/>
      <c r="CF1192" s="1144"/>
      <c r="CG1192" s="1144"/>
      <c r="CH1192" s="1144"/>
      <c r="CI1192" s="1144"/>
      <c r="CJ1192" s="1144"/>
      <c r="CK1192" s="1144"/>
      <c r="CL1192" s="1144"/>
      <c r="CM1192" s="1144"/>
      <c r="CN1192" s="1144"/>
    </row>
    <row r="1193" spans="11:92" ht="12" customHeight="1" x14ac:dyDescent="0.35">
      <c r="K1193" s="29">
        <f t="shared" si="796"/>
        <v>1</v>
      </c>
      <c r="L1193" s="1158">
        <f t="shared" si="797"/>
        <v>0</v>
      </c>
      <c r="M1193" s="34">
        <f t="shared" si="798"/>
        <v>0</v>
      </c>
      <c r="N1193" s="34">
        <f t="shared" si="799"/>
        <v>0</v>
      </c>
      <c r="O1193" s="55">
        <f t="shared" si="804"/>
        <v>0</v>
      </c>
      <c r="P1193" s="55">
        <f t="shared" si="805"/>
        <v>0</v>
      </c>
      <c r="Q1193" s="55">
        <f t="shared" si="806"/>
        <v>0</v>
      </c>
      <c r="R1193" s="31">
        <f>IF(Input!D$298=L1349,Input!D$297,0)</f>
        <v>0</v>
      </c>
      <c r="S1193" s="36">
        <f t="shared" si="807"/>
        <v>0</v>
      </c>
      <c r="T1193" s="1818"/>
      <c r="U1193" s="1814"/>
      <c r="V1193" s="1814"/>
      <c r="W1193" s="1817"/>
      <c r="X1193" s="1814"/>
      <c r="Y1193" s="1801"/>
      <c r="Z1193" s="1801"/>
      <c r="AA1193" s="1801"/>
      <c r="AB1193" s="1801"/>
      <c r="AC1193" s="1801"/>
      <c r="AD1193" s="1801"/>
      <c r="AE1193" s="1801"/>
      <c r="AF1193" s="1814"/>
      <c r="AG1193" s="376"/>
      <c r="AH1193" s="376"/>
      <c r="AI1193" s="376"/>
      <c r="AJ1193" s="376"/>
      <c r="AK1193" s="376"/>
      <c r="AL1193" s="1148"/>
      <c r="AM1193" s="1148"/>
      <c r="AN1193" s="1148"/>
      <c r="AO1193" s="1148"/>
      <c r="AP1193" s="1148"/>
      <c r="AQ1193" s="1144"/>
      <c r="AR1193" s="1144"/>
      <c r="AS1193" s="1144"/>
      <c r="AT1193" s="1144"/>
      <c r="AU1193" s="1144"/>
      <c r="AV1193" s="1144"/>
      <c r="AW1193" s="1144"/>
      <c r="AX1193" s="1144"/>
      <c r="AY1193" s="1144"/>
      <c r="AZ1193" s="1144"/>
      <c r="BA1193" s="1144"/>
      <c r="BB1193" s="1144"/>
      <c r="BC1193" s="1144"/>
      <c r="BD1193" s="1144"/>
      <c r="BE1193" s="1144"/>
      <c r="BF1193" s="1144"/>
      <c r="BG1193" s="1144"/>
      <c r="BH1193" s="1144"/>
      <c r="BI1193" s="1144"/>
      <c r="BJ1193" s="1144"/>
      <c r="BK1193" s="1144"/>
      <c r="BL1193" s="1144"/>
      <c r="BM1193" s="1144"/>
      <c r="BN1193" s="1144"/>
      <c r="BO1193" s="1144"/>
      <c r="BP1193" s="1144"/>
      <c r="BQ1193" s="1144"/>
      <c r="BR1193" s="1144"/>
      <c r="BS1193" s="1144"/>
      <c r="BT1193" s="1144"/>
      <c r="BU1193" s="1144"/>
      <c r="BV1193" s="1144"/>
      <c r="BW1193" s="1144"/>
      <c r="BX1193" s="1144"/>
      <c r="BY1193" s="1144"/>
      <c r="BZ1193" s="1144"/>
      <c r="CA1193" s="1144"/>
      <c r="CB1193" s="1144"/>
      <c r="CC1193" s="1144"/>
      <c r="CD1193" s="1144"/>
      <c r="CE1193" s="1144"/>
      <c r="CF1193" s="1144"/>
      <c r="CG1193" s="1144"/>
      <c r="CH1193" s="1144"/>
      <c r="CI1193" s="1144"/>
      <c r="CJ1193" s="1144"/>
      <c r="CK1193" s="1144"/>
      <c r="CL1193" s="1144"/>
      <c r="CM1193" s="1144"/>
      <c r="CN1193" s="1144"/>
    </row>
    <row r="1194" spans="11:92" ht="12" customHeight="1" x14ac:dyDescent="0.35">
      <c r="K1194" s="29">
        <f t="shared" si="796"/>
        <v>1</v>
      </c>
      <c r="L1194" s="1158">
        <f t="shared" si="797"/>
        <v>0</v>
      </c>
      <c r="M1194" s="34">
        <f t="shared" si="798"/>
        <v>0</v>
      </c>
      <c r="N1194" s="34">
        <f t="shared" si="799"/>
        <v>0</v>
      </c>
      <c r="O1194" s="55">
        <f t="shared" si="804"/>
        <v>0</v>
      </c>
      <c r="P1194" s="55">
        <f t="shared" si="805"/>
        <v>0</v>
      </c>
      <c r="Q1194" s="55">
        <f t="shared" si="806"/>
        <v>0</v>
      </c>
      <c r="R1194" s="31">
        <f>IF(Input!D$298=L1350,Input!D$297,0)</f>
        <v>0</v>
      </c>
      <c r="S1194" s="36">
        <f t="shared" si="807"/>
        <v>0</v>
      </c>
      <c r="T1194" s="1818"/>
      <c r="U1194" s="1814"/>
      <c r="V1194" s="1814"/>
      <c r="W1194" s="1817"/>
      <c r="X1194" s="1814"/>
      <c r="Y1194" s="1801"/>
      <c r="Z1194" s="1801"/>
      <c r="AA1194" s="1801"/>
      <c r="AB1194" s="1801"/>
      <c r="AC1194" s="1801"/>
      <c r="AD1194" s="1801"/>
      <c r="AE1194" s="1801"/>
      <c r="AF1194" s="1814"/>
      <c r="AG1194" s="376"/>
      <c r="AH1194" s="376"/>
      <c r="AI1194" s="376"/>
      <c r="AJ1194" s="376"/>
      <c r="AK1194" s="376"/>
      <c r="AL1194" s="1148"/>
      <c r="AM1194" s="1148"/>
      <c r="AN1194" s="1148"/>
      <c r="AO1194" s="1148"/>
      <c r="AP1194" s="1148"/>
      <c r="AQ1194" s="1144"/>
      <c r="AR1194" s="1144"/>
      <c r="AS1194" s="1144"/>
      <c r="AT1194" s="1144"/>
      <c r="AU1194" s="1144"/>
      <c r="AV1194" s="1144"/>
      <c r="AW1194" s="1144"/>
      <c r="AX1194" s="1144"/>
      <c r="AY1194" s="1144"/>
      <c r="AZ1194" s="1144"/>
      <c r="BA1194" s="1144"/>
      <c r="BB1194" s="1144"/>
      <c r="BC1194" s="1144"/>
      <c r="BD1194" s="1144"/>
      <c r="BE1194" s="1144"/>
      <c r="BF1194" s="1144"/>
      <c r="BG1194" s="1144"/>
      <c r="BH1194" s="1144"/>
      <c r="BI1194" s="1144"/>
      <c r="BJ1194" s="1144"/>
      <c r="BK1194" s="1144"/>
      <c r="BL1194" s="1144"/>
      <c r="BM1194" s="1144"/>
      <c r="BN1194" s="1144"/>
      <c r="BO1194" s="1144"/>
      <c r="BP1194" s="1144"/>
      <c r="BQ1194" s="1144"/>
      <c r="BR1194" s="1144"/>
      <c r="BS1194" s="1144"/>
      <c r="BT1194" s="1144"/>
      <c r="BU1194" s="1144"/>
      <c r="BV1194" s="1144"/>
      <c r="BW1194" s="1144"/>
      <c r="BX1194" s="1144"/>
      <c r="BY1194" s="1144"/>
      <c r="BZ1194" s="1144"/>
      <c r="CA1194" s="1144"/>
      <c r="CB1194" s="1144"/>
      <c r="CC1194" s="1144"/>
      <c r="CD1194" s="1144"/>
      <c r="CE1194" s="1144"/>
      <c r="CF1194" s="1144"/>
      <c r="CG1194" s="1144"/>
      <c r="CH1194" s="1144"/>
      <c r="CI1194" s="1144"/>
      <c r="CJ1194" s="1144"/>
      <c r="CK1194" s="1144"/>
      <c r="CL1194" s="1144"/>
      <c r="CM1194" s="1144"/>
      <c r="CN1194" s="1144"/>
    </row>
    <row r="1195" spans="11:92" ht="12" customHeight="1" x14ac:dyDescent="0.35">
      <c r="K1195" s="29">
        <f t="shared" si="796"/>
        <v>1</v>
      </c>
      <c r="L1195" s="1158">
        <f t="shared" si="797"/>
        <v>0</v>
      </c>
      <c r="M1195" s="34">
        <f t="shared" si="798"/>
        <v>0</v>
      </c>
      <c r="N1195" s="34">
        <f t="shared" si="799"/>
        <v>0</v>
      </c>
      <c r="O1195" s="55">
        <f t="shared" si="804"/>
        <v>0</v>
      </c>
      <c r="P1195" s="55">
        <f t="shared" si="805"/>
        <v>0</v>
      </c>
      <c r="Q1195" s="55">
        <f t="shared" si="806"/>
        <v>0</v>
      </c>
      <c r="R1195" s="31">
        <f>IF(Input!D$298=L1351,Input!D$297,0)</f>
        <v>0</v>
      </c>
      <c r="S1195" s="36">
        <f t="shared" si="807"/>
        <v>0</v>
      </c>
      <c r="T1195" s="1818"/>
      <c r="U1195" s="1814"/>
      <c r="V1195" s="1814"/>
      <c r="W1195" s="1817"/>
      <c r="X1195" s="1814"/>
      <c r="Y1195" s="1801"/>
      <c r="Z1195" s="1801"/>
      <c r="AA1195" s="1801"/>
      <c r="AB1195" s="1801"/>
      <c r="AC1195" s="1801"/>
      <c r="AD1195" s="1801"/>
      <c r="AE1195" s="1801"/>
      <c r="AF1195" s="1814"/>
      <c r="AG1195" s="376"/>
      <c r="AH1195" s="376"/>
      <c r="AI1195" s="376"/>
      <c r="AJ1195" s="376"/>
      <c r="AK1195" s="376"/>
      <c r="AL1195" s="1148"/>
      <c r="AM1195" s="1148"/>
      <c r="AN1195" s="1148"/>
      <c r="AO1195" s="1148"/>
      <c r="AP1195" s="1148"/>
      <c r="AQ1195" s="1144"/>
      <c r="AR1195" s="1144"/>
      <c r="AS1195" s="1144"/>
      <c r="AT1195" s="1144"/>
      <c r="AU1195" s="1144"/>
      <c r="AV1195" s="1144"/>
      <c r="AW1195" s="1144"/>
      <c r="AX1195" s="1144"/>
      <c r="AY1195" s="1144"/>
      <c r="AZ1195" s="1144"/>
      <c r="BA1195" s="1144"/>
      <c r="BB1195" s="1144"/>
      <c r="BC1195" s="1144"/>
      <c r="BD1195" s="1144"/>
      <c r="BE1195" s="1144"/>
      <c r="BF1195" s="1144"/>
      <c r="BG1195" s="1144"/>
      <c r="BH1195" s="1144"/>
      <c r="BI1195" s="1144"/>
      <c r="BJ1195" s="1144"/>
      <c r="BK1195" s="1144"/>
      <c r="BL1195" s="1144"/>
      <c r="BM1195" s="1144"/>
      <c r="BN1195" s="1144"/>
      <c r="BO1195" s="1144"/>
      <c r="BP1195" s="1144"/>
      <c r="BQ1195" s="1144"/>
      <c r="BR1195" s="1144"/>
      <c r="BS1195" s="1144"/>
      <c r="BT1195" s="1144"/>
      <c r="BU1195" s="1144"/>
      <c r="BV1195" s="1144"/>
      <c r="BW1195" s="1144"/>
      <c r="BX1195" s="1144"/>
      <c r="BY1195" s="1144"/>
      <c r="BZ1195" s="1144"/>
      <c r="CA1195" s="1144"/>
      <c r="CB1195" s="1144"/>
      <c r="CC1195" s="1144"/>
      <c r="CD1195" s="1144"/>
      <c r="CE1195" s="1144"/>
      <c r="CF1195" s="1144"/>
      <c r="CG1195" s="1144"/>
      <c r="CH1195" s="1144"/>
      <c r="CI1195" s="1144"/>
      <c r="CJ1195" s="1144"/>
      <c r="CK1195" s="1144"/>
      <c r="CL1195" s="1144"/>
      <c r="CM1195" s="1144"/>
      <c r="CN1195" s="1144"/>
    </row>
    <row r="1196" spans="11:92" ht="12" customHeight="1" x14ac:dyDescent="0.35">
      <c r="K1196" s="29">
        <f t="shared" si="796"/>
        <v>1</v>
      </c>
      <c r="L1196" s="1158">
        <f t="shared" si="797"/>
        <v>0</v>
      </c>
      <c r="M1196" s="34">
        <f t="shared" si="798"/>
        <v>0</v>
      </c>
      <c r="N1196" s="34">
        <f t="shared" si="799"/>
        <v>0</v>
      </c>
      <c r="O1196" s="55">
        <f t="shared" si="804"/>
        <v>0</v>
      </c>
      <c r="P1196" s="55">
        <f t="shared" si="805"/>
        <v>0</v>
      </c>
      <c r="Q1196" s="55">
        <f t="shared" si="806"/>
        <v>0</v>
      </c>
      <c r="R1196" s="31">
        <f>IF(Input!D$298=L1352,Input!D$297,0)</f>
        <v>0</v>
      </c>
      <c r="S1196" s="36">
        <f t="shared" si="807"/>
        <v>0</v>
      </c>
      <c r="T1196" s="1818"/>
      <c r="U1196" s="1814"/>
      <c r="V1196" s="1814"/>
      <c r="W1196" s="1817"/>
      <c r="X1196" s="1814"/>
      <c r="Y1196" s="1801"/>
      <c r="Z1196" s="1801"/>
      <c r="AA1196" s="1801"/>
      <c r="AB1196" s="1801"/>
      <c r="AC1196" s="1801"/>
      <c r="AD1196" s="1801"/>
      <c r="AE1196" s="1801"/>
      <c r="AF1196" s="1814"/>
      <c r="AG1196" s="376"/>
      <c r="AH1196" s="376"/>
      <c r="AI1196" s="376"/>
      <c r="AJ1196" s="376"/>
      <c r="AK1196" s="376"/>
      <c r="AL1196" s="1148"/>
      <c r="AM1196" s="1148"/>
      <c r="AN1196" s="1148"/>
      <c r="AO1196" s="1148"/>
      <c r="AP1196" s="1148"/>
      <c r="AQ1196" s="1144"/>
      <c r="AR1196" s="1144"/>
      <c r="AS1196" s="1144"/>
      <c r="AT1196" s="1144"/>
      <c r="AU1196" s="1144"/>
      <c r="AV1196" s="1144"/>
      <c r="AW1196" s="1144"/>
      <c r="AX1196" s="1144"/>
      <c r="AY1196" s="1144"/>
      <c r="AZ1196" s="1144"/>
      <c r="BA1196" s="1144"/>
      <c r="BB1196" s="1144"/>
      <c r="BC1196" s="1144"/>
      <c r="BD1196" s="1144"/>
      <c r="BE1196" s="1144"/>
      <c r="BF1196" s="1144"/>
      <c r="BG1196" s="1144"/>
      <c r="BH1196" s="1144"/>
      <c r="BI1196" s="1144"/>
      <c r="BJ1196" s="1144"/>
      <c r="BK1196" s="1144"/>
      <c r="BL1196" s="1144"/>
      <c r="BM1196" s="1144"/>
      <c r="BN1196" s="1144"/>
      <c r="BO1196" s="1144"/>
      <c r="BP1196" s="1144"/>
      <c r="BQ1196" s="1144"/>
      <c r="BR1196" s="1144"/>
      <c r="BS1196" s="1144"/>
      <c r="BT1196" s="1144"/>
      <c r="BU1196" s="1144"/>
      <c r="BV1196" s="1144"/>
      <c r="BW1196" s="1144"/>
      <c r="BX1196" s="1144"/>
      <c r="BY1196" s="1144"/>
      <c r="BZ1196" s="1144"/>
      <c r="CA1196" s="1144"/>
      <c r="CB1196" s="1144"/>
      <c r="CC1196" s="1144"/>
      <c r="CD1196" s="1144"/>
      <c r="CE1196" s="1144"/>
      <c r="CF1196" s="1144"/>
      <c r="CG1196" s="1144"/>
      <c r="CH1196" s="1144"/>
      <c r="CI1196" s="1144"/>
      <c r="CJ1196" s="1144"/>
      <c r="CK1196" s="1144"/>
      <c r="CL1196" s="1144"/>
      <c r="CM1196" s="1144"/>
      <c r="CN1196" s="1144"/>
    </row>
    <row r="1197" spans="11:92" ht="12" customHeight="1" x14ac:dyDescent="0.35">
      <c r="K1197" s="29">
        <f t="shared" si="796"/>
        <v>1</v>
      </c>
      <c r="L1197" s="1158">
        <f t="shared" si="797"/>
        <v>0</v>
      </c>
      <c r="M1197" s="34">
        <f t="shared" si="798"/>
        <v>0</v>
      </c>
      <c r="N1197" s="34">
        <f t="shared" si="799"/>
        <v>0</v>
      </c>
      <c r="O1197" s="55">
        <f t="shared" si="804"/>
        <v>0</v>
      </c>
      <c r="P1197" s="55">
        <f t="shared" si="805"/>
        <v>0</v>
      </c>
      <c r="Q1197" s="55">
        <f t="shared" si="806"/>
        <v>0</v>
      </c>
      <c r="R1197" s="1156">
        <f>Q1197</f>
        <v>0</v>
      </c>
      <c r="S1197" s="1156">
        <f>IF(Input!E298&lt;=L1197,SUM(P1198:P1209),0)</f>
        <v>0</v>
      </c>
      <c r="T1197" s="1818" t="s">
        <v>494</v>
      </c>
      <c r="U1197" s="1821">
        <f>Q1197</f>
        <v>0</v>
      </c>
      <c r="V1197" s="1814"/>
      <c r="W1197" s="1817"/>
      <c r="X1197" s="1814"/>
      <c r="Y1197" s="1801"/>
      <c r="Z1197" s="1801"/>
      <c r="AA1197" s="1801"/>
      <c r="AB1197" s="1801"/>
      <c r="AC1197" s="1801"/>
      <c r="AD1197" s="1801"/>
      <c r="AE1197" s="1801"/>
      <c r="AF1197" s="1814"/>
      <c r="AG1197" s="376"/>
      <c r="AH1197" s="376"/>
      <c r="AI1197" s="376"/>
      <c r="AJ1197" s="376"/>
      <c r="AK1197" s="376"/>
      <c r="AL1197" s="1148"/>
      <c r="AM1197" s="1148"/>
      <c r="AN1197" s="1148"/>
      <c r="AO1197" s="1148"/>
      <c r="AP1197" s="1148"/>
      <c r="AQ1197" s="1144"/>
      <c r="AR1197" s="1144"/>
      <c r="AS1197" s="1144"/>
      <c r="AT1197" s="1144"/>
      <c r="AU1197" s="1144"/>
      <c r="AV1197" s="1144"/>
      <c r="AW1197" s="1144"/>
      <c r="AX1197" s="1144"/>
      <c r="AY1197" s="1144"/>
      <c r="AZ1197" s="1144"/>
      <c r="BA1197" s="1144"/>
      <c r="BB1197" s="1144"/>
      <c r="BC1197" s="1144"/>
      <c r="BD1197" s="1144"/>
      <c r="BE1197" s="1144"/>
      <c r="BF1197" s="1144"/>
      <c r="BG1197" s="1144"/>
      <c r="BH1197" s="1144"/>
      <c r="BI1197" s="1144"/>
      <c r="BJ1197" s="1144"/>
      <c r="BK1197" s="1144"/>
      <c r="BL1197" s="1144"/>
      <c r="BM1197" s="1144"/>
      <c r="BN1197" s="1144"/>
      <c r="BO1197" s="1144"/>
      <c r="BP1197" s="1144"/>
      <c r="BQ1197" s="1144"/>
      <c r="BR1197" s="1144"/>
      <c r="BS1197" s="1144"/>
      <c r="BT1197" s="1144"/>
      <c r="BU1197" s="1144"/>
      <c r="BV1197" s="1144"/>
      <c r="BW1197" s="1144"/>
      <c r="BX1197" s="1144"/>
      <c r="BY1197" s="1144"/>
      <c r="BZ1197" s="1144"/>
      <c r="CA1197" s="1144"/>
      <c r="CB1197" s="1144"/>
      <c r="CC1197" s="1144"/>
      <c r="CD1197" s="1144"/>
      <c r="CE1197" s="1144"/>
      <c r="CF1197" s="1144"/>
      <c r="CG1197" s="1144"/>
      <c r="CH1197" s="1144"/>
      <c r="CI1197" s="1144"/>
      <c r="CJ1197" s="1144"/>
      <c r="CK1197" s="1144"/>
      <c r="CL1197" s="1144"/>
      <c r="CM1197" s="1144"/>
      <c r="CN1197" s="1144"/>
    </row>
    <row r="1198" spans="11:92" ht="12" customHeight="1" x14ac:dyDescent="0.35">
      <c r="K1198" s="29">
        <f t="shared" si="796"/>
        <v>1</v>
      </c>
      <c r="L1198" s="1158">
        <f t="shared" si="797"/>
        <v>0</v>
      </c>
      <c r="M1198" s="34">
        <f t="shared" si="798"/>
        <v>0</v>
      </c>
      <c r="N1198" s="34">
        <f t="shared" si="799"/>
        <v>0</v>
      </c>
      <c r="O1198" s="55">
        <f t="shared" si="804"/>
        <v>0</v>
      </c>
      <c r="P1198" s="55">
        <f t="shared" si="805"/>
        <v>0</v>
      </c>
      <c r="Q1198" s="55">
        <f t="shared" si="806"/>
        <v>0</v>
      </c>
      <c r="R1198" s="31">
        <f>IF(Input!D$298=L1354,Input!D$297,0)</f>
        <v>0</v>
      </c>
      <c r="S1198" s="36">
        <f t="shared" si="807"/>
        <v>0</v>
      </c>
      <c r="T1198" s="1818"/>
      <c r="U1198" s="1814"/>
      <c r="V1198" s="1814"/>
      <c r="W1198" s="1817"/>
      <c r="X1198" s="1814"/>
      <c r="Y1198" s="1801"/>
      <c r="Z1198" s="1801"/>
      <c r="AA1198" s="1801"/>
      <c r="AB1198" s="1801"/>
      <c r="AC1198" s="1801"/>
      <c r="AD1198" s="1801"/>
      <c r="AE1198" s="1801"/>
      <c r="AF1198" s="1814"/>
      <c r="AG1198" s="376"/>
      <c r="AH1198" s="376"/>
      <c r="AI1198" s="376"/>
      <c r="AJ1198" s="376"/>
      <c r="AK1198" s="376"/>
      <c r="AL1198" s="1148"/>
      <c r="AM1198" s="1148"/>
      <c r="AN1198" s="1148"/>
      <c r="AO1198" s="1148"/>
      <c r="AP1198" s="1148"/>
      <c r="AQ1198" s="1144"/>
      <c r="AR1198" s="1144"/>
      <c r="AS1198" s="1144"/>
      <c r="AT1198" s="1144"/>
      <c r="AU1198" s="1144"/>
      <c r="AV1198" s="1144"/>
      <c r="AW1198" s="1144"/>
      <c r="AX1198" s="1144"/>
      <c r="AY1198" s="1144"/>
      <c r="AZ1198" s="1144"/>
      <c r="BA1198" s="1144"/>
      <c r="BB1198" s="1144"/>
      <c r="BC1198" s="1144"/>
      <c r="BD1198" s="1144"/>
      <c r="BE1198" s="1144"/>
      <c r="BF1198" s="1144"/>
      <c r="BG1198" s="1144"/>
      <c r="BH1198" s="1144"/>
      <c r="BI1198" s="1144"/>
      <c r="BJ1198" s="1144"/>
      <c r="BK1198" s="1144"/>
      <c r="BL1198" s="1144"/>
      <c r="BM1198" s="1144"/>
      <c r="BN1198" s="1144"/>
      <c r="BO1198" s="1144"/>
      <c r="BP1198" s="1144"/>
      <c r="BQ1198" s="1144"/>
      <c r="BR1198" s="1144"/>
      <c r="BS1198" s="1144"/>
      <c r="BT1198" s="1144"/>
      <c r="BU1198" s="1144"/>
      <c r="BV1198" s="1144"/>
      <c r="BW1198" s="1144"/>
      <c r="BX1198" s="1144"/>
      <c r="BY1198" s="1144"/>
      <c r="BZ1198" s="1144"/>
      <c r="CA1198" s="1144"/>
      <c r="CB1198" s="1144"/>
      <c r="CC1198" s="1144"/>
      <c r="CD1198" s="1144"/>
      <c r="CE1198" s="1144"/>
      <c r="CF1198" s="1144"/>
      <c r="CG1198" s="1144"/>
      <c r="CH1198" s="1144"/>
      <c r="CI1198" s="1144"/>
      <c r="CJ1198" s="1144"/>
      <c r="CK1198" s="1144"/>
      <c r="CL1198" s="1144"/>
      <c r="CM1198" s="1144"/>
      <c r="CN1198" s="1144"/>
    </row>
    <row r="1199" spans="11:92" ht="12" customHeight="1" x14ac:dyDescent="0.35">
      <c r="K1199" s="29">
        <f t="shared" si="796"/>
        <v>0</v>
      </c>
      <c r="L1199" s="1158">
        <f t="shared" si="797"/>
        <v>59</v>
      </c>
      <c r="M1199" s="34">
        <f t="shared" si="798"/>
        <v>0</v>
      </c>
      <c r="N1199" s="34">
        <f t="shared" si="799"/>
        <v>0</v>
      </c>
      <c r="O1199" s="55">
        <f t="shared" si="804"/>
        <v>0</v>
      </c>
      <c r="P1199" s="55">
        <f t="shared" si="805"/>
        <v>0</v>
      </c>
      <c r="Q1199" s="55">
        <f t="shared" si="806"/>
        <v>0</v>
      </c>
      <c r="R1199" s="31">
        <f>IF(Input!D$298=L1355,Input!D$297,0)</f>
        <v>0</v>
      </c>
      <c r="S1199" s="36">
        <f t="shared" si="807"/>
        <v>0</v>
      </c>
      <c r="T1199" s="1818"/>
      <c r="U1199" s="1814"/>
      <c r="V1199" s="1814"/>
      <c r="W1199" s="1817"/>
      <c r="X1199" s="1814"/>
      <c r="Y1199" s="1801"/>
      <c r="Z1199" s="1801"/>
      <c r="AA1199" s="1801"/>
      <c r="AB1199" s="1801"/>
      <c r="AC1199" s="1801"/>
      <c r="AD1199" s="1801"/>
      <c r="AE1199" s="1801"/>
      <c r="AF1199" s="1814"/>
      <c r="AG1199" s="376"/>
      <c r="AH1199" s="376"/>
      <c r="AI1199" s="376"/>
      <c r="AJ1199" s="376"/>
      <c r="AK1199" s="376"/>
      <c r="AL1199" s="1148"/>
      <c r="AM1199" s="1148"/>
      <c r="AN1199" s="1148"/>
      <c r="AO1199" s="1148"/>
      <c r="AP1199" s="1148"/>
      <c r="AQ1199" s="1144"/>
      <c r="AR1199" s="1144"/>
      <c r="AS1199" s="1144"/>
      <c r="AT1199" s="1144"/>
      <c r="AU1199" s="1144"/>
      <c r="AV1199" s="1144"/>
      <c r="AW1199" s="1144"/>
      <c r="AX1199" s="1144"/>
      <c r="AY1199" s="1144"/>
      <c r="AZ1199" s="1144"/>
      <c r="BA1199" s="1144"/>
      <c r="BB1199" s="1144"/>
      <c r="BC1199" s="1144"/>
      <c r="BD1199" s="1144"/>
      <c r="BE1199" s="1144"/>
      <c r="BF1199" s="1144"/>
      <c r="BG1199" s="1144"/>
      <c r="BH1199" s="1144"/>
      <c r="BI1199" s="1144"/>
      <c r="BJ1199" s="1144"/>
      <c r="BK1199" s="1144"/>
      <c r="BL1199" s="1144"/>
      <c r="BM1199" s="1144"/>
      <c r="BN1199" s="1144"/>
      <c r="BO1199" s="1144"/>
      <c r="BP1199" s="1144"/>
      <c r="BQ1199" s="1144"/>
      <c r="BR1199" s="1144"/>
      <c r="BS1199" s="1144"/>
      <c r="BT1199" s="1144"/>
      <c r="BU1199" s="1144"/>
      <c r="BV1199" s="1144"/>
      <c r="BW1199" s="1144"/>
      <c r="BX1199" s="1144"/>
      <c r="BY1199" s="1144"/>
      <c r="BZ1199" s="1144"/>
      <c r="CA1199" s="1144"/>
      <c r="CB1199" s="1144"/>
      <c r="CC1199" s="1144"/>
      <c r="CD1199" s="1144"/>
      <c r="CE1199" s="1144"/>
      <c r="CF1199" s="1144"/>
      <c r="CG1199" s="1144"/>
      <c r="CH1199" s="1144"/>
      <c r="CI1199" s="1144"/>
      <c r="CJ1199" s="1144"/>
      <c r="CK1199" s="1144"/>
      <c r="CL1199" s="1144"/>
      <c r="CM1199" s="1144"/>
      <c r="CN1199" s="1144"/>
    </row>
    <row r="1200" spans="11:92" ht="12" customHeight="1" x14ac:dyDescent="0.35">
      <c r="K1200" s="29">
        <f t="shared" si="796"/>
        <v>0</v>
      </c>
      <c r="L1200" s="1158">
        <f t="shared" si="797"/>
        <v>91</v>
      </c>
      <c r="M1200" s="34">
        <f t="shared" si="798"/>
        <v>0</v>
      </c>
      <c r="N1200" s="34">
        <f t="shared" si="799"/>
        <v>0</v>
      </c>
      <c r="O1200" s="55">
        <f t="shared" si="804"/>
        <v>0</v>
      </c>
      <c r="P1200" s="55">
        <f t="shared" si="805"/>
        <v>0</v>
      </c>
      <c r="Q1200" s="55">
        <f t="shared" si="806"/>
        <v>0</v>
      </c>
      <c r="R1200" s="31">
        <f>IF(Input!D$298=L1356,Input!D$297,0)</f>
        <v>0</v>
      </c>
      <c r="S1200" s="36">
        <f t="shared" si="807"/>
        <v>0</v>
      </c>
      <c r="T1200" s="1818"/>
      <c r="U1200" s="1814"/>
      <c r="V1200" s="1814"/>
      <c r="W1200" s="1817"/>
      <c r="X1200" s="1814"/>
      <c r="Y1200" s="1801"/>
      <c r="Z1200" s="1801"/>
      <c r="AA1200" s="1801"/>
      <c r="AB1200" s="1801"/>
      <c r="AC1200" s="1801"/>
      <c r="AD1200" s="1801"/>
      <c r="AE1200" s="1801"/>
      <c r="AF1200" s="1814"/>
      <c r="AG1200" s="376"/>
      <c r="AH1200" s="376"/>
      <c r="AI1200" s="376"/>
      <c r="AJ1200" s="376"/>
      <c r="AK1200" s="376"/>
      <c r="AL1200" s="1148"/>
      <c r="AM1200" s="1148"/>
      <c r="AN1200" s="1148"/>
      <c r="AO1200" s="1148"/>
      <c r="AP1200" s="1148"/>
      <c r="AQ1200" s="1144"/>
      <c r="AR1200" s="1144"/>
      <c r="AS1200" s="1144"/>
      <c r="AT1200" s="1144"/>
      <c r="AU1200" s="1144"/>
      <c r="AV1200" s="1144"/>
      <c r="AW1200" s="1144"/>
      <c r="AX1200" s="1144"/>
      <c r="AY1200" s="1144"/>
      <c r="AZ1200" s="1144"/>
      <c r="BA1200" s="1144"/>
      <c r="BB1200" s="1144"/>
      <c r="BC1200" s="1144"/>
      <c r="BD1200" s="1144"/>
      <c r="BE1200" s="1144"/>
      <c r="BF1200" s="1144"/>
      <c r="BG1200" s="1144"/>
      <c r="BH1200" s="1144"/>
      <c r="BI1200" s="1144"/>
      <c r="BJ1200" s="1144"/>
      <c r="BK1200" s="1144"/>
      <c r="BL1200" s="1144"/>
      <c r="BM1200" s="1144"/>
      <c r="BN1200" s="1144"/>
      <c r="BO1200" s="1144"/>
      <c r="BP1200" s="1144"/>
      <c r="BQ1200" s="1144"/>
      <c r="BR1200" s="1144"/>
      <c r="BS1200" s="1144"/>
      <c r="BT1200" s="1144"/>
      <c r="BU1200" s="1144"/>
      <c r="BV1200" s="1144"/>
      <c r="BW1200" s="1144"/>
      <c r="BX1200" s="1144"/>
      <c r="BY1200" s="1144"/>
      <c r="BZ1200" s="1144"/>
      <c r="CA1200" s="1144"/>
      <c r="CB1200" s="1144"/>
      <c r="CC1200" s="1144"/>
      <c r="CD1200" s="1144"/>
      <c r="CE1200" s="1144"/>
      <c r="CF1200" s="1144"/>
      <c r="CG1200" s="1144"/>
      <c r="CH1200" s="1144"/>
      <c r="CI1200" s="1144"/>
      <c r="CJ1200" s="1144"/>
      <c r="CK1200" s="1144"/>
      <c r="CL1200" s="1144"/>
      <c r="CM1200" s="1144"/>
      <c r="CN1200" s="1144"/>
    </row>
    <row r="1201" spans="11:92" ht="12" customHeight="1" x14ac:dyDescent="0.35">
      <c r="K1201" s="29">
        <f t="shared" si="796"/>
        <v>0</v>
      </c>
      <c r="L1201" s="1158">
        <f t="shared" si="797"/>
        <v>121</v>
      </c>
      <c r="M1201" s="34">
        <f t="shared" si="798"/>
        <v>0</v>
      </c>
      <c r="N1201" s="34">
        <f t="shared" si="799"/>
        <v>0</v>
      </c>
      <c r="O1201" s="55">
        <f t="shared" si="804"/>
        <v>0</v>
      </c>
      <c r="P1201" s="55">
        <f t="shared" si="805"/>
        <v>0</v>
      </c>
      <c r="Q1201" s="55">
        <f t="shared" si="806"/>
        <v>0</v>
      </c>
      <c r="R1201" s="31">
        <f>IF(Input!D$298=L1357,Input!D$297,0)</f>
        <v>0</v>
      </c>
      <c r="S1201" s="36">
        <f t="shared" si="807"/>
        <v>0</v>
      </c>
      <c r="T1201" s="1818"/>
      <c r="U1201" s="1814"/>
      <c r="V1201" s="1814"/>
      <c r="W1201" s="1817"/>
      <c r="X1201" s="1814"/>
      <c r="Y1201" s="1801"/>
      <c r="Z1201" s="1801"/>
      <c r="AA1201" s="1801"/>
      <c r="AB1201" s="1801"/>
      <c r="AC1201" s="1801"/>
      <c r="AD1201" s="1801"/>
      <c r="AE1201" s="1801"/>
      <c r="AF1201" s="1814"/>
      <c r="AG1201" s="376"/>
      <c r="AH1201" s="376"/>
      <c r="AI1201" s="376"/>
      <c r="AJ1201" s="376"/>
      <c r="AK1201" s="376"/>
      <c r="AL1201" s="1148"/>
      <c r="AM1201" s="1148"/>
      <c r="AN1201" s="1148"/>
      <c r="AO1201" s="1148"/>
      <c r="AP1201" s="1148"/>
      <c r="AQ1201" s="1144"/>
      <c r="AR1201" s="1144"/>
      <c r="AS1201" s="1144"/>
      <c r="AT1201" s="1144"/>
      <c r="AU1201" s="1144"/>
      <c r="AV1201" s="1144"/>
      <c r="AW1201" s="1144"/>
      <c r="AX1201" s="1144"/>
      <c r="AY1201" s="1144"/>
      <c r="AZ1201" s="1144"/>
      <c r="BA1201" s="1144"/>
      <c r="BB1201" s="1144"/>
      <c r="BC1201" s="1144"/>
      <c r="BD1201" s="1144"/>
      <c r="BE1201" s="1144"/>
      <c r="BF1201" s="1144"/>
      <c r="BG1201" s="1144"/>
      <c r="BH1201" s="1144"/>
      <c r="BI1201" s="1144"/>
      <c r="BJ1201" s="1144"/>
      <c r="BK1201" s="1144"/>
      <c r="BL1201" s="1144"/>
      <c r="BM1201" s="1144"/>
      <c r="BN1201" s="1144"/>
      <c r="BO1201" s="1144"/>
      <c r="BP1201" s="1144"/>
      <c r="BQ1201" s="1144"/>
      <c r="BR1201" s="1144"/>
      <c r="BS1201" s="1144"/>
      <c r="BT1201" s="1144"/>
      <c r="BU1201" s="1144"/>
      <c r="BV1201" s="1144"/>
      <c r="BW1201" s="1144"/>
      <c r="BX1201" s="1144"/>
      <c r="BY1201" s="1144"/>
      <c r="BZ1201" s="1144"/>
      <c r="CA1201" s="1144"/>
      <c r="CB1201" s="1144"/>
      <c r="CC1201" s="1144"/>
      <c r="CD1201" s="1144"/>
      <c r="CE1201" s="1144"/>
      <c r="CF1201" s="1144"/>
      <c r="CG1201" s="1144"/>
      <c r="CH1201" s="1144"/>
      <c r="CI1201" s="1144"/>
      <c r="CJ1201" s="1144"/>
      <c r="CK1201" s="1144"/>
      <c r="CL1201" s="1144"/>
      <c r="CM1201" s="1144"/>
      <c r="CN1201" s="1144"/>
    </row>
    <row r="1202" spans="11:92" ht="12" customHeight="1" x14ac:dyDescent="0.35">
      <c r="K1202" s="29">
        <f t="shared" si="796"/>
        <v>0</v>
      </c>
      <c r="L1202" s="1158">
        <f t="shared" si="797"/>
        <v>152</v>
      </c>
      <c r="M1202" s="34">
        <f t="shared" si="798"/>
        <v>0</v>
      </c>
      <c r="N1202" s="34">
        <f t="shared" si="799"/>
        <v>0</v>
      </c>
      <c r="O1202" s="55">
        <f t="shared" si="804"/>
        <v>0</v>
      </c>
      <c r="P1202" s="55">
        <f t="shared" si="805"/>
        <v>0</v>
      </c>
      <c r="Q1202" s="55">
        <f t="shared" si="806"/>
        <v>0</v>
      </c>
      <c r="R1202" s="31">
        <f>IF(Input!D$298=L1358,Input!D$297,0)</f>
        <v>0</v>
      </c>
      <c r="S1202" s="36">
        <f t="shared" si="807"/>
        <v>0</v>
      </c>
      <c r="T1202" s="1818"/>
      <c r="U1202" s="1814"/>
      <c r="V1202" s="1814"/>
      <c r="W1202" s="1817"/>
      <c r="X1202" s="1814"/>
      <c r="Y1202" s="1801"/>
      <c r="Z1202" s="1801"/>
      <c r="AA1202" s="1801"/>
      <c r="AB1202" s="1801"/>
      <c r="AC1202" s="1801"/>
      <c r="AD1202" s="1801"/>
      <c r="AE1202" s="1801"/>
      <c r="AF1202" s="1814"/>
      <c r="AG1202" s="376"/>
      <c r="AH1202" s="376"/>
      <c r="AI1202" s="376"/>
      <c r="AJ1202" s="376"/>
      <c r="AK1202" s="376"/>
      <c r="AL1202" s="1148"/>
      <c r="AM1202" s="1148"/>
      <c r="AN1202" s="1148"/>
      <c r="AO1202" s="1148"/>
      <c r="AP1202" s="1148"/>
      <c r="AQ1202" s="1144"/>
      <c r="AR1202" s="1144"/>
      <c r="AS1202" s="1144"/>
      <c r="AT1202" s="1144"/>
      <c r="AU1202" s="1144"/>
      <c r="AV1202" s="1144"/>
      <c r="AW1202" s="1144"/>
      <c r="AX1202" s="1144"/>
      <c r="AY1202" s="1144"/>
      <c r="AZ1202" s="1144"/>
      <c r="BA1202" s="1144"/>
      <c r="BB1202" s="1144"/>
      <c r="BC1202" s="1144"/>
      <c r="BD1202" s="1144"/>
      <c r="BE1202" s="1144"/>
      <c r="BF1202" s="1144"/>
      <c r="BG1202" s="1144"/>
      <c r="BH1202" s="1144"/>
      <c r="BI1202" s="1144"/>
      <c r="BJ1202" s="1144"/>
      <c r="BK1202" s="1144"/>
      <c r="BL1202" s="1144"/>
      <c r="BM1202" s="1144"/>
      <c r="BN1202" s="1144"/>
      <c r="BO1202" s="1144"/>
      <c r="BP1202" s="1144"/>
      <c r="BQ1202" s="1144"/>
      <c r="BR1202" s="1144"/>
      <c r="BS1202" s="1144"/>
      <c r="BT1202" s="1144"/>
      <c r="BU1202" s="1144"/>
      <c r="BV1202" s="1144"/>
      <c r="BW1202" s="1144"/>
      <c r="BX1202" s="1144"/>
      <c r="BY1202" s="1144"/>
      <c r="BZ1202" s="1144"/>
      <c r="CA1202" s="1144"/>
      <c r="CB1202" s="1144"/>
      <c r="CC1202" s="1144"/>
      <c r="CD1202" s="1144"/>
      <c r="CE1202" s="1144"/>
      <c r="CF1202" s="1144"/>
      <c r="CG1202" s="1144"/>
      <c r="CH1202" s="1144"/>
      <c r="CI1202" s="1144"/>
      <c r="CJ1202" s="1144"/>
      <c r="CK1202" s="1144"/>
      <c r="CL1202" s="1144"/>
      <c r="CM1202" s="1144"/>
      <c r="CN1202" s="1144"/>
    </row>
    <row r="1203" spans="11:92" ht="12" customHeight="1" x14ac:dyDescent="0.35">
      <c r="K1203" s="29">
        <f t="shared" ref="K1203:K1257" si="808">IF(L1203&lt;N$1132,0,IF(L1203=N$1132,1,IF(K1202&lt;N$1133,K1202+1,0)))</f>
        <v>0</v>
      </c>
      <c r="L1203" s="1158">
        <f t="shared" ref="L1203:L1257" si="809">L1055</f>
        <v>182</v>
      </c>
      <c r="M1203" s="34">
        <f t="shared" ref="M1203:M1257" si="810">IF(N$1131=0,0,IF(L1203&lt;N$1132,0,IF(L1203=N$1132,N$1131,Q1202)))</f>
        <v>0</v>
      </c>
      <c r="N1203" s="34">
        <f t="shared" ref="N1203:N1257" si="811">IF(N$1131=0,0,IF(OR(M1203&lt;0.01,K1203=0),0,-PMT(N$1134/12,N$1133,N$1131,0)))</f>
        <v>0</v>
      </c>
      <c r="O1203" s="55">
        <f t="shared" si="804"/>
        <v>0</v>
      </c>
      <c r="P1203" s="55">
        <f t="shared" si="805"/>
        <v>0</v>
      </c>
      <c r="Q1203" s="55">
        <f t="shared" si="806"/>
        <v>0</v>
      </c>
      <c r="R1203" s="31">
        <f>IF(Input!D$298=L1359,Input!D$297,0)</f>
        <v>0</v>
      </c>
      <c r="S1203" s="36">
        <f t="shared" si="807"/>
        <v>0</v>
      </c>
      <c r="T1203" s="1818"/>
      <c r="U1203" s="1814"/>
      <c r="V1203" s="1814"/>
      <c r="W1203" s="1817"/>
      <c r="X1203" s="1814"/>
      <c r="Y1203" s="1801"/>
      <c r="Z1203" s="1801"/>
      <c r="AA1203" s="1801"/>
      <c r="AB1203" s="1801"/>
      <c r="AC1203" s="1801"/>
      <c r="AD1203" s="1801"/>
      <c r="AE1203" s="1801"/>
      <c r="AF1203" s="1814"/>
      <c r="AG1203" s="376"/>
      <c r="AH1203" s="376"/>
      <c r="AI1203" s="376"/>
      <c r="AJ1203" s="376"/>
      <c r="AK1203" s="376"/>
      <c r="AL1203" s="1148"/>
      <c r="AM1203" s="1148"/>
      <c r="AN1203" s="1148"/>
      <c r="AO1203" s="1148"/>
      <c r="AP1203" s="1148"/>
      <c r="AQ1203" s="1144"/>
      <c r="AR1203" s="1144"/>
      <c r="AS1203" s="1144"/>
      <c r="AT1203" s="1144"/>
      <c r="AU1203" s="1144"/>
      <c r="AV1203" s="1144"/>
      <c r="AW1203" s="1144"/>
      <c r="AX1203" s="1144"/>
      <c r="AY1203" s="1144"/>
      <c r="AZ1203" s="1144"/>
      <c r="BA1203" s="1144"/>
      <c r="BB1203" s="1144"/>
      <c r="BC1203" s="1144"/>
      <c r="BD1203" s="1144"/>
      <c r="BE1203" s="1144"/>
      <c r="BF1203" s="1144"/>
      <c r="BG1203" s="1144"/>
      <c r="BH1203" s="1144"/>
      <c r="BI1203" s="1144"/>
      <c r="BJ1203" s="1144"/>
      <c r="BK1203" s="1144"/>
      <c r="BL1203" s="1144"/>
      <c r="BM1203" s="1144"/>
      <c r="BN1203" s="1144"/>
      <c r="BO1203" s="1144"/>
      <c r="BP1203" s="1144"/>
      <c r="BQ1203" s="1144"/>
      <c r="BR1203" s="1144"/>
      <c r="BS1203" s="1144"/>
      <c r="BT1203" s="1144"/>
      <c r="BU1203" s="1144"/>
      <c r="BV1203" s="1144"/>
      <c r="BW1203" s="1144"/>
      <c r="BX1203" s="1144"/>
      <c r="BY1203" s="1144"/>
      <c r="BZ1203" s="1144"/>
      <c r="CA1203" s="1144"/>
      <c r="CB1203" s="1144"/>
      <c r="CC1203" s="1144"/>
      <c r="CD1203" s="1144"/>
      <c r="CE1203" s="1144"/>
      <c r="CF1203" s="1144"/>
      <c r="CG1203" s="1144"/>
      <c r="CH1203" s="1144"/>
      <c r="CI1203" s="1144"/>
      <c r="CJ1203" s="1144"/>
      <c r="CK1203" s="1144"/>
      <c r="CL1203" s="1144"/>
      <c r="CM1203" s="1144"/>
      <c r="CN1203" s="1144"/>
    </row>
    <row r="1204" spans="11:92" ht="12" customHeight="1" x14ac:dyDescent="0.35">
      <c r="K1204" s="29">
        <f t="shared" si="808"/>
        <v>0</v>
      </c>
      <c r="L1204" s="1158">
        <f t="shared" si="809"/>
        <v>213</v>
      </c>
      <c r="M1204" s="34">
        <f t="shared" si="810"/>
        <v>0</v>
      </c>
      <c r="N1204" s="34">
        <f t="shared" si="811"/>
        <v>0</v>
      </c>
      <c r="O1204" s="55">
        <f t="shared" si="804"/>
        <v>0</v>
      </c>
      <c r="P1204" s="55">
        <f t="shared" si="805"/>
        <v>0</v>
      </c>
      <c r="Q1204" s="55">
        <f t="shared" si="806"/>
        <v>0</v>
      </c>
      <c r="R1204" s="31">
        <f>IF(Input!D$298=L1360,Input!D$297,0)</f>
        <v>0</v>
      </c>
      <c r="S1204" s="36">
        <f t="shared" si="807"/>
        <v>0</v>
      </c>
      <c r="T1204" s="1818"/>
      <c r="U1204" s="1814"/>
      <c r="V1204" s="1814"/>
      <c r="W1204" s="1817"/>
      <c r="X1204" s="1814"/>
      <c r="Y1204" s="1801"/>
      <c r="Z1204" s="1801"/>
      <c r="AA1204" s="1801"/>
      <c r="AB1204" s="1801"/>
      <c r="AC1204" s="1801"/>
      <c r="AD1204" s="1801"/>
      <c r="AE1204" s="1801"/>
      <c r="AF1204" s="1814"/>
      <c r="AG1204" s="376"/>
      <c r="AH1204" s="376"/>
      <c r="AI1204" s="376"/>
      <c r="AJ1204" s="376"/>
      <c r="AK1204" s="376"/>
      <c r="AL1204" s="1148"/>
      <c r="AM1204" s="1148"/>
      <c r="AN1204" s="1148"/>
      <c r="AO1204" s="1148"/>
      <c r="AP1204" s="1148"/>
      <c r="AQ1204" s="1144"/>
      <c r="AR1204" s="1144"/>
      <c r="AS1204" s="1144"/>
      <c r="AT1204" s="1144"/>
      <c r="AU1204" s="1144"/>
      <c r="AV1204" s="1144"/>
      <c r="AW1204" s="1144"/>
      <c r="AX1204" s="1144"/>
      <c r="AY1204" s="1144"/>
      <c r="AZ1204" s="1144"/>
      <c r="BA1204" s="1144"/>
      <c r="BB1204" s="1144"/>
      <c r="BC1204" s="1144"/>
      <c r="BD1204" s="1144"/>
      <c r="BE1204" s="1144"/>
      <c r="BF1204" s="1144"/>
      <c r="BG1204" s="1144"/>
      <c r="BH1204" s="1144"/>
      <c r="BI1204" s="1144"/>
      <c r="BJ1204" s="1144"/>
      <c r="BK1204" s="1144"/>
      <c r="BL1204" s="1144"/>
      <c r="BM1204" s="1144"/>
      <c r="BN1204" s="1144"/>
      <c r="BO1204" s="1144"/>
      <c r="BP1204" s="1144"/>
      <c r="BQ1204" s="1144"/>
      <c r="BR1204" s="1144"/>
      <c r="BS1204" s="1144"/>
      <c r="BT1204" s="1144"/>
      <c r="BU1204" s="1144"/>
      <c r="BV1204" s="1144"/>
      <c r="BW1204" s="1144"/>
      <c r="BX1204" s="1144"/>
      <c r="BY1204" s="1144"/>
      <c r="BZ1204" s="1144"/>
      <c r="CA1204" s="1144"/>
      <c r="CB1204" s="1144"/>
      <c r="CC1204" s="1144"/>
      <c r="CD1204" s="1144"/>
      <c r="CE1204" s="1144"/>
      <c r="CF1204" s="1144"/>
      <c r="CG1204" s="1144"/>
      <c r="CH1204" s="1144"/>
      <c r="CI1204" s="1144"/>
      <c r="CJ1204" s="1144"/>
      <c r="CK1204" s="1144"/>
      <c r="CL1204" s="1144"/>
      <c r="CM1204" s="1144"/>
      <c r="CN1204" s="1144"/>
    </row>
    <row r="1205" spans="11:92" ht="12" customHeight="1" x14ac:dyDescent="0.35">
      <c r="K1205" s="29">
        <f t="shared" si="808"/>
        <v>0</v>
      </c>
      <c r="L1205" s="1158">
        <f t="shared" si="809"/>
        <v>244</v>
      </c>
      <c r="M1205" s="34">
        <f t="shared" si="810"/>
        <v>0</v>
      </c>
      <c r="N1205" s="34">
        <f t="shared" si="811"/>
        <v>0</v>
      </c>
      <c r="O1205" s="55">
        <f t="shared" si="804"/>
        <v>0</v>
      </c>
      <c r="P1205" s="55">
        <f t="shared" si="805"/>
        <v>0</v>
      </c>
      <c r="Q1205" s="55">
        <f t="shared" si="806"/>
        <v>0</v>
      </c>
      <c r="R1205" s="31">
        <f>IF(Input!D$298=L1361,Input!D$297,0)</f>
        <v>0</v>
      </c>
      <c r="S1205" s="36">
        <f t="shared" si="807"/>
        <v>0</v>
      </c>
      <c r="T1205" s="1818"/>
      <c r="U1205" s="1814"/>
      <c r="V1205" s="1814"/>
      <c r="W1205" s="1817"/>
      <c r="X1205" s="1814"/>
      <c r="Y1205" s="1801"/>
      <c r="Z1205" s="1801"/>
      <c r="AA1205" s="1801"/>
      <c r="AB1205" s="1801"/>
      <c r="AC1205" s="1801"/>
      <c r="AD1205" s="1801"/>
      <c r="AE1205" s="1801"/>
      <c r="AF1205" s="1814"/>
      <c r="AG1205" s="376"/>
      <c r="AH1205" s="376"/>
      <c r="AI1205" s="376"/>
      <c r="AJ1205" s="376"/>
      <c r="AK1205" s="376"/>
      <c r="AL1205" s="1148"/>
      <c r="AM1205" s="1148"/>
      <c r="AN1205" s="1148"/>
      <c r="AO1205" s="1148"/>
      <c r="AP1205" s="1148"/>
      <c r="AQ1205" s="1144"/>
      <c r="AR1205" s="1144"/>
      <c r="AS1205" s="1144"/>
      <c r="AT1205" s="1144"/>
      <c r="AU1205" s="1144"/>
      <c r="AV1205" s="1144"/>
      <c r="AW1205" s="1144"/>
      <c r="AX1205" s="1144"/>
      <c r="AY1205" s="1144"/>
      <c r="AZ1205" s="1144"/>
      <c r="BA1205" s="1144"/>
      <c r="BB1205" s="1144"/>
      <c r="BC1205" s="1144"/>
      <c r="BD1205" s="1144"/>
      <c r="BE1205" s="1144"/>
      <c r="BF1205" s="1144"/>
      <c r="BG1205" s="1144"/>
      <c r="BH1205" s="1144"/>
      <c r="BI1205" s="1144"/>
      <c r="BJ1205" s="1144"/>
      <c r="BK1205" s="1144"/>
      <c r="BL1205" s="1144"/>
      <c r="BM1205" s="1144"/>
      <c r="BN1205" s="1144"/>
      <c r="BO1205" s="1144"/>
      <c r="BP1205" s="1144"/>
      <c r="BQ1205" s="1144"/>
      <c r="BR1205" s="1144"/>
      <c r="BS1205" s="1144"/>
      <c r="BT1205" s="1144"/>
      <c r="BU1205" s="1144"/>
      <c r="BV1205" s="1144"/>
      <c r="BW1205" s="1144"/>
      <c r="BX1205" s="1144"/>
      <c r="BY1205" s="1144"/>
      <c r="BZ1205" s="1144"/>
      <c r="CA1205" s="1144"/>
      <c r="CB1205" s="1144"/>
      <c r="CC1205" s="1144"/>
      <c r="CD1205" s="1144"/>
      <c r="CE1205" s="1144"/>
      <c r="CF1205" s="1144"/>
      <c r="CG1205" s="1144"/>
      <c r="CH1205" s="1144"/>
      <c r="CI1205" s="1144"/>
      <c r="CJ1205" s="1144"/>
      <c r="CK1205" s="1144"/>
      <c r="CL1205" s="1144"/>
      <c r="CM1205" s="1144"/>
      <c r="CN1205" s="1144"/>
    </row>
    <row r="1206" spans="11:92" ht="12" customHeight="1" x14ac:dyDescent="0.35">
      <c r="K1206" s="29">
        <f t="shared" si="808"/>
        <v>0</v>
      </c>
      <c r="L1206" s="1158">
        <f t="shared" si="809"/>
        <v>274</v>
      </c>
      <c r="M1206" s="34">
        <f t="shared" si="810"/>
        <v>0</v>
      </c>
      <c r="N1206" s="34">
        <f t="shared" si="811"/>
        <v>0</v>
      </c>
      <c r="O1206" s="55">
        <f t="shared" si="804"/>
        <v>0</v>
      </c>
      <c r="P1206" s="55">
        <f t="shared" si="805"/>
        <v>0</v>
      </c>
      <c r="Q1206" s="55">
        <f t="shared" si="806"/>
        <v>0</v>
      </c>
      <c r="R1206" s="31">
        <f>IF(Input!D$298=L1362,Input!D$297,0)</f>
        <v>0</v>
      </c>
      <c r="S1206" s="36">
        <f t="shared" si="807"/>
        <v>0</v>
      </c>
      <c r="T1206" s="1818"/>
      <c r="U1206" s="1814"/>
      <c r="V1206" s="1814"/>
      <c r="W1206" s="1817"/>
      <c r="X1206" s="1814"/>
      <c r="Y1206" s="1801"/>
      <c r="Z1206" s="1801"/>
      <c r="AA1206" s="1801"/>
      <c r="AB1206" s="1801"/>
      <c r="AC1206" s="1801"/>
      <c r="AD1206" s="1801"/>
      <c r="AE1206" s="1801"/>
      <c r="AF1206" s="1814"/>
      <c r="AG1206" s="376"/>
      <c r="AH1206" s="376"/>
      <c r="AI1206" s="376"/>
      <c r="AJ1206" s="376"/>
      <c r="AK1206" s="376"/>
      <c r="AL1206" s="1148"/>
      <c r="AM1206" s="1148"/>
      <c r="AN1206" s="1148"/>
      <c r="AO1206" s="1148"/>
      <c r="AP1206" s="1148"/>
      <c r="AQ1206" s="1144"/>
      <c r="AR1206" s="1144"/>
      <c r="AS1206" s="1144"/>
      <c r="AT1206" s="1144"/>
      <c r="AU1206" s="1144"/>
      <c r="AV1206" s="1144"/>
      <c r="AW1206" s="1144"/>
      <c r="AX1206" s="1144"/>
      <c r="AY1206" s="1144"/>
      <c r="AZ1206" s="1144"/>
      <c r="BA1206" s="1144"/>
      <c r="BB1206" s="1144"/>
      <c r="BC1206" s="1144"/>
      <c r="BD1206" s="1144"/>
      <c r="BE1206" s="1144"/>
      <c r="BF1206" s="1144"/>
      <c r="BG1206" s="1144"/>
      <c r="BH1206" s="1144"/>
      <c r="BI1206" s="1144"/>
      <c r="BJ1206" s="1144"/>
      <c r="BK1206" s="1144"/>
      <c r="BL1206" s="1144"/>
      <c r="BM1206" s="1144"/>
      <c r="BN1206" s="1144"/>
      <c r="BO1206" s="1144"/>
      <c r="BP1206" s="1144"/>
      <c r="BQ1206" s="1144"/>
      <c r="BR1206" s="1144"/>
      <c r="BS1206" s="1144"/>
      <c r="BT1206" s="1144"/>
      <c r="BU1206" s="1144"/>
      <c r="BV1206" s="1144"/>
      <c r="BW1206" s="1144"/>
      <c r="BX1206" s="1144"/>
      <c r="BY1206" s="1144"/>
      <c r="BZ1206" s="1144"/>
      <c r="CA1206" s="1144"/>
      <c r="CB1206" s="1144"/>
      <c r="CC1206" s="1144"/>
      <c r="CD1206" s="1144"/>
      <c r="CE1206" s="1144"/>
      <c r="CF1206" s="1144"/>
      <c r="CG1206" s="1144"/>
      <c r="CH1206" s="1144"/>
      <c r="CI1206" s="1144"/>
      <c r="CJ1206" s="1144"/>
      <c r="CK1206" s="1144"/>
      <c r="CL1206" s="1144"/>
      <c r="CM1206" s="1144"/>
      <c r="CN1206" s="1144"/>
    </row>
    <row r="1207" spans="11:92" ht="12" customHeight="1" x14ac:dyDescent="0.35">
      <c r="K1207" s="29">
        <f t="shared" si="808"/>
        <v>0</v>
      </c>
      <c r="L1207" s="1158">
        <f t="shared" si="809"/>
        <v>305</v>
      </c>
      <c r="M1207" s="34">
        <f t="shared" si="810"/>
        <v>0</v>
      </c>
      <c r="N1207" s="34">
        <f t="shared" si="811"/>
        <v>0</v>
      </c>
      <c r="O1207" s="55">
        <f t="shared" si="804"/>
        <v>0</v>
      </c>
      <c r="P1207" s="55">
        <f t="shared" si="805"/>
        <v>0</v>
      </c>
      <c r="Q1207" s="55">
        <f t="shared" si="806"/>
        <v>0</v>
      </c>
      <c r="R1207" s="31">
        <f>IF(Input!D$298=L1363,Input!D$297,0)</f>
        <v>0</v>
      </c>
      <c r="S1207" s="36">
        <f t="shared" si="807"/>
        <v>0</v>
      </c>
      <c r="T1207" s="1818"/>
      <c r="U1207" s="1814"/>
      <c r="V1207" s="1814"/>
      <c r="W1207" s="1817"/>
      <c r="X1207" s="1814"/>
      <c r="Y1207" s="1801"/>
      <c r="Z1207" s="1801"/>
      <c r="AA1207" s="1801"/>
      <c r="AB1207" s="1801"/>
      <c r="AC1207" s="1801"/>
      <c r="AD1207" s="1801"/>
      <c r="AE1207" s="1801"/>
      <c r="AF1207" s="1814"/>
      <c r="AG1207" s="376"/>
      <c r="AH1207" s="376"/>
      <c r="AI1207" s="376"/>
      <c r="AJ1207" s="376"/>
      <c r="AK1207" s="376"/>
      <c r="AL1207" s="1148"/>
      <c r="AM1207" s="1148"/>
      <c r="AN1207" s="1148"/>
      <c r="AO1207" s="1148"/>
      <c r="AP1207" s="1148"/>
      <c r="AQ1207" s="1144"/>
      <c r="AR1207" s="1144"/>
      <c r="AS1207" s="1144"/>
      <c r="AT1207" s="1144"/>
      <c r="AU1207" s="1144"/>
      <c r="AV1207" s="1144"/>
      <c r="AW1207" s="1144"/>
      <c r="AX1207" s="1144"/>
      <c r="AY1207" s="1144"/>
      <c r="AZ1207" s="1144"/>
      <c r="BA1207" s="1144"/>
      <c r="BB1207" s="1144"/>
      <c r="BC1207" s="1144"/>
      <c r="BD1207" s="1144"/>
      <c r="BE1207" s="1144"/>
      <c r="BF1207" s="1144"/>
      <c r="BG1207" s="1144"/>
      <c r="BH1207" s="1144"/>
      <c r="BI1207" s="1144"/>
      <c r="BJ1207" s="1144"/>
      <c r="BK1207" s="1144"/>
      <c r="BL1207" s="1144"/>
      <c r="BM1207" s="1144"/>
      <c r="BN1207" s="1144"/>
      <c r="BO1207" s="1144"/>
      <c r="BP1207" s="1144"/>
      <c r="BQ1207" s="1144"/>
      <c r="BR1207" s="1144"/>
      <c r="BS1207" s="1144"/>
      <c r="BT1207" s="1144"/>
      <c r="BU1207" s="1144"/>
      <c r="BV1207" s="1144"/>
      <c r="BW1207" s="1144"/>
      <c r="BX1207" s="1144"/>
      <c r="BY1207" s="1144"/>
      <c r="BZ1207" s="1144"/>
      <c r="CA1207" s="1144"/>
      <c r="CB1207" s="1144"/>
      <c r="CC1207" s="1144"/>
      <c r="CD1207" s="1144"/>
      <c r="CE1207" s="1144"/>
      <c r="CF1207" s="1144"/>
      <c r="CG1207" s="1144"/>
      <c r="CH1207" s="1144"/>
      <c r="CI1207" s="1144"/>
      <c r="CJ1207" s="1144"/>
      <c r="CK1207" s="1144"/>
      <c r="CL1207" s="1144"/>
      <c r="CM1207" s="1144"/>
      <c r="CN1207" s="1144"/>
    </row>
    <row r="1208" spans="11:92" ht="12" customHeight="1" x14ac:dyDescent="0.35">
      <c r="K1208" s="29">
        <f t="shared" si="808"/>
        <v>0</v>
      </c>
      <c r="L1208" s="1158">
        <f t="shared" si="809"/>
        <v>335</v>
      </c>
      <c r="M1208" s="34">
        <f t="shared" si="810"/>
        <v>0</v>
      </c>
      <c r="N1208" s="34">
        <f t="shared" si="811"/>
        <v>0</v>
      </c>
      <c r="O1208" s="55">
        <f t="shared" si="804"/>
        <v>0</v>
      </c>
      <c r="P1208" s="55">
        <f t="shared" si="805"/>
        <v>0</v>
      </c>
      <c r="Q1208" s="55">
        <f t="shared" si="806"/>
        <v>0</v>
      </c>
      <c r="R1208" s="31">
        <f>IF(Input!D$298=L1364,Input!D$297,0)</f>
        <v>0</v>
      </c>
      <c r="S1208" s="36">
        <f t="shared" si="807"/>
        <v>0</v>
      </c>
      <c r="T1208" s="1818"/>
      <c r="U1208" s="1814"/>
      <c r="V1208" s="1814"/>
      <c r="W1208" s="1817"/>
      <c r="X1208" s="1814"/>
      <c r="Y1208" s="1801"/>
      <c r="Z1208" s="1801"/>
      <c r="AA1208" s="1801"/>
      <c r="AB1208" s="1801"/>
      <c r="AC1208" s="1801"/>
      <c r="AD1208" s="1801"/>
      <c r="AE1208" s="1801"/>
      <c r="AF1208" s="1814"/>
      <c r="AG1208" s="376"/>
      <c r="AH1208" s="376"/>
      <c r="AI1208" s="376"/>
      <c r="AJ1208" s="376"/>
      <c r="AK1208" s="376"/>
      <c r="AL1208" s="1148"/>
      <c r="AM1208" s="1148"/>
      <c r="AN1208" s="1148"/>
      <c r="AO1208" s="1148"/>
      <c r="AP1208" s="1148"/>
      <c r="AQ1208" s="1144"/>
      <c r="AR1208" s="1144"/>
      <c r="AS1208" s="1144"/>
      <c r="AT1208" s="1144"/>
      <c r="AU1208" s="1144"/>
      <c r="AV1208" s="1144"/>
      <c r="AW1208" s="1144"/>
      <c r="AX1208" s="1144"/>
      <c r="AY1208" s="1144"/>
      <c r="AZ1208" s="1144"/>
      <c r="BA1208" s="1144"/>
      <c r="BB1208" s="1144"/>
      <c r="BC1208" s="1144"/>
      <c r="BD1208" s="1144"/>
      <c r="BE1208" s="1144"/>
      <c r="BF1208" s="1144"/>
      <c r="BG1208" s="1144"/>
      <c r="BH1208" s="1144"/>
      <c r="BI1208" s="1144"/>
      <c r="BJ1208" s="1144"/>
      <c r="BK1208" s="1144"/>
      <c r="BL1208" s="1144"/>
      <c r="BM1208" s="1144"/>
      <c r="BN1208" s="1144"/>
      <c r="BO1208" s="1144"/>
      <c r="BP1208" s="1144"/>
      <c r="BQ1208" s="1144"/>
      <c r="BR1208" s="1144"/>
      <c r="BS1208" s="1144"/>
      <c r="BT1208" s="1144"/>
      <c r="BU1208" s="1144"/>
      <c r="BV1208" s="1144"/>
      <c r="BW1208" s="1144"/>
      <c r="BX1208" s="1144"/>
      <c r="BY1208" s="1144"/>
      <c r="BZ1208" s="1144"/>
      <c r="CA1208" s="1144"/>
      <c r="CB1208" s="1144"/>
      <c r="CC1208" s="1144"/>
      <c r="CD1208" s="1144"/>
      <c r="CE1208" s="1144"/>
      <c r="CF1208" s="1144"/>
      <c r="CG1208" s="1144"/>
      <c r="CH1208" s="1144"/>
      <c r="CI1208" s="1144"/>
      <c r="CJ1208" s="1144"/>
      <c r="CK1208" s="1144"/>
      <c r="CL1208" s="1144"/>
      <c r="CM1208" s="1144"/>
      <c r="CN1208" s="1144"/>
    </row>
    <row r="1209" spans="11:92" ht="12" customHeight="1" x14ac:dyDescent="0.35">
      <c r="K1209" s="29">
        <f t="shared" si="808"/>
        <v>0</v>
      </c>
      <c r="L1209" s="1158">
        <f t="shared" si="809"/>
        <v>366</v>
      </c>
      <c r="M1209" s="34">
        <f t="shared" si="810"/>
        <v>0</v>
      </c>
      <c r="N1209" s="34">
        <f t="shared" si="811"/>
        <v>0</v>
      </c>
      <c r="O1209" s="55">
        <f t="shared" si="804"/>
        <v>0</v>
      </c>
      <c r="P1209" s="55">
        <f t="shared" si="805"/>
        <v>0</v>
      </c>
      <c r="Q1209" s="55">
        <f t="shared" si="806"/>
        <v>0</v>
      </c>
      <c r="R1209" s="31">
        <f>IF(Input!D$298=L1365,Input!D$297,0)</f>
        <v>0</v>
      </c>
      <c r="S1209" s="36">
        <f t="shared" si="807"/>
        <v>0</v>
      </c>
      <c r="T1209" s="1818"/>
      <c r="U1209" s="1814"/>
      <c r="V1209" s="1814"/>
      <c r="W1209" s="1817"/>
      <c r="X1209" s="1814"/>
      <c r="Y1209" s="1801"/>
      <c r="Z1209" s="1801"/>
      <c r="AA1209" s="1801"/>
      <c r="AB1209" s="1801"/>
      <c r="AC1209" s="1801"/>
      <c r="AD1209" s="1801"/>
      <c r="AE1209" s="1801"/>
      <c r="AF1209" s="1814"/>
      <c r="AG1209" s="376"/>
      <c r="AH1209" s="376"/>
      <c r="AI1209" s="376"/>
      <c r="AJ1209" s="376"/>
      <c r="AK1209" s="376"/>
      <c r="AL1209" s="1148"/>
      <c r="AM1209" s="1148"/>
      <c r="AN1209" s="1148"/>
      <c r="AO1209" s="1148"/>
      <c r="AP1209" s="1148"/>
      <c r="AQ1209" s="1144"/>
      <c r="AR1209" s="1144"/>
      <c r="AS1209" s="1144"/>
      <c r="AT1209" s="1144"/>
      <c r="AU1209" s="1144"/>
      <c r="AV1209" s="1144"/>
      <c r="AW1209" s="1144"/>
      <c r="AX1209" s="1144"/>
      <c r="AY1209" s="1144"/>
      <c r="AZ1209" s="1144"/>
      <c r="BA1209" s="1144"/>
      <c r="BB1209" s="1144"/>
      <c r="BC1209" s="1144"/>
      <c r="BD1209" s="1144"/>
      <c r="BE1209" s="1144"/>
      <c r="BF1209" s="1144"/>
      <c r="BG1209" s="1144"/>
      <c r="BH1209" s="1144"/>
      <c r="BI1209" s="1144"/>
      <c r="BJ1209" s="1144"/>
      <c r="BK1209" s="1144"/>
      <c r="BL1209" s="1144"/>
      <c r="BM1209" s="1144"/>
      <c r="BN1209" s="1144"/>
      <c r="BO1209" s="1144"/>
      <c r="BP1209" s="1144"/>
      <c r="BQ1209" s="1144"/>
      <c r="BR1209" s="1144"/>
      <c r="BS1209" s="1144"/>
      <c r="BT1209" s="1144"/>
      <c r="BU1209" s="1144"/>
      <c r="BV1209" s="1144"/>
      <c r="BW1209" s="1144"/>
      <c r="BX1209" s="1144"/>
      <c r="BY1209" s="1144"/>
      <c r="BZ1209" s="1144"/>
      <c r="CA1209" s="1144"/>
      <c r="CB1209" s="1144"/>
      <c r="CC1209" s="1144"/>
      <c r="CD1209" s="1144"/>
      <c r="CE1209" s="1144"/>
      <c r="CF1209" s="1144"/>
      <c r="CG1209" s="1144"/>
      <c r="CH1209" s="1144"/>
      <c r="CI1209" s="1144"/>
      <c r="CJ1209" s="1144"/>
      <c r="CK1209" s="1144"/>
      <c r="CL1209" s="1144"/>
      <c r="CM1209" s="1144"/>
      <c r="CN1209" s="1144"/>
    </row>
    <row r="1210" spans="11:92" ht="12" customHeight="1" x14ac:dyDescent="0.35">
      <c r="K1210" s="29">
        <f t="shared" si="808"/>
        <v>0</v>
      </c>
      <c r="L1210" s="1158">
        <f t="shared" si="809"/>
        <v>397</v>
      </c>
      <c r="M1210" s="34">
        <f t="shared" si="810"/>
        <v>0</v>
      </c>
      <c r="N1210" s="34">
        <f t="shared" si="811"/>
        <v>0</v>
      </c>
      <c r="O1210" s="55">
        <f t="shared" si="804"/>
        <v>0</v>
      </c>
      <c r="P1210" s="55">
        <f t="shared" si="805"/>
        <v>0</v>
      </c>
      <c r="Q1210" s="55">
        <f t="shared" si="806"/>
        <v>0</v>
      </c>
      <c r="R1210" s="31">
        <f>IF(Input!D$298=L1366,Input!D$297,0)</f>
        <v>0</v>
      </c>
      <c r="S1210" s="36">
        <f t="shared" ref="S1210:S1241" si="812">Q1366</f>
        <v>0</v>
      </c>
      <c r="T1210" s="1818"/>
      <c r="U1210" s="1814"/>
      <c r="V1210" s="1814"/>
      <c r="W1210" s="1817"/>
      <c r="X1210" s="1814"/>
      <c r="Y1210" s="1801"/>
      <c r="Z1210" s="1801"/>
      <c r="AA1210" s="1801"/>
      <c r="AB1210" s="1801"/>
      <c r="AC1210" s="1801"/>
      <c r="AD1210" s="1801"/>
      <c r="AE1210" s="1801"/>
      <c r="AF1210" s="1814"/>
      <c r="AG1210" s="376"/>
      <c r="AH1210" s="376"/>
      <c r="AI1210" s="376"/>
      <c r="AJ1210" s="376"/>
      <c r="AK1210" s="376"/>
      <c r="AL1210" s="1148"/>
      <c r="AM1210" s="1148"/>
      <c r="AN1210" s="1148"/>
      <c r="AO1210" s="1148"/>
      <c r="AP1210" s="1148"/>
      <c r="AQ1210" s="1144"/>
      <c r="AR1210" s="1144"/>
      <c r="AS1210" s="1144"/>
      <c r="AT1210" s="1144"/>
      <c r="AU1210" s="1144"/>
      <c r="AV1210" s="1144"/>
      <c r="AW1210" s="1144"/>
      <c r="AX1210" s="1144"/>
      <c r="AY1210" s="1144"/>
      <c r="AZ1210" s="1144"/>
      <c r="BA1210" s="1144"/>
      <c r="BB1210" s="1144"/>
      <c r="BC1210" s="1144"/>
      <c r="BD1210" s="1144"/>
      <c r="BE1210" s="1144"/>
      <c r="BF1210" s="1144"/>
      <c r="BG1210" s="1144"/>
      <c r="BH1210" s="1144"/>
      <c r="BI1210" s="1144"/>
      <c r="BJ1210" s="1144"/>
      <c r="BK1210" s="1144"/>
      <c r="BL1210" s="1144"/>
      <c r="BM1210" s="1144"/>
      <c r="BN1210" s="1144"/>
      <c r="BO1210" s="1144"/>
      <c r="BP1210" s="1144"/>
      <c r="BQ1210" s="1144"/>
      <c r="BR1210" s="1144"/>
      <c r="BS1210" s="1144"/>
      <c r="BT1210" s="1144"/>
      <c r="BU1210" s="1144"/>
      <c r="BV1210" s="1144"/>
      <c r="BW1210" s="1144"/>
      <c r="BX1210" s="1144"/>
      <c r="BY1210" s="1144"/>
      <c r="BZ1210" s="1144"/>
      <c r="CA1210" s="1144"/>
      <c r="CB1210" s="1144"/>
      <c r="CC1210" s="1144"/>
      <c r="CD1210" s="1144"/>
      <c r="CE1210" s="1144"/>
      <c r="CF1210" s="1144"/>
      <c r="CG1210" s="1144"/>
      <c r="CH1210" s="1144"/>
      <c r="CI1210" s="1144"/>
      <c r="CJ1210" s="1144"/>
      <c r="CK1210" s="1144"/>
      <c r="CL1210" s="1144"/>
      <c r="CM1210" s="1144"/>
      <c r="CN1210" s="1144"/>
    </row>
    <row r="1211" spans="11:92" ht="12" customHeight="1" x14ac:dyDescent="0.35">
      <c r="K1211" s="29">
        <f t="shared" si="808"/>
        <v>0</v>
      </c>
      <c r="L1211" s="1158">
        <f t="shared" si="809"/>
        <v>425</v>
      </c>
      <c r="M1211" s="34">
        <f t="shared" si="810"/>
        <v>0</v>
      </c>
      <c r="N1211" s="34">
        <f t="shared" si="811"/>
        <v>0</v>
      </c>
      <c r="O1211" s="55">
        <f t="shared" si="804"/>
        <v>0</v>
      </c>
      <c r="P1211" s="55">
        <f t="shared" si="805"/>
        <v>0</v>
      </c>
      <c r="Q1211" s="55">
        <f t="shared" si="806"/>
        <v>0</v>
      </c>
      <c r="R1211" s="31">
        <f>IF(Input!D$298=L1367,Input!D$297,0)</f>
        <v>0</v>
      </c>
      <c r="S1211" s="36">
        <f t="shared" si="812"/>
        <v>0</v>
      </c>
      <c r="T1211" s="1818"/>
      <c r="U1211" s="1814"/>
      <c r="V1211" s="1814"/>
      <c r="W1211" s="1817"/>
      <c r="X1211" s="1814"/>
      <c r="Y1211" s="1801"/>
      <c r="Z1211" s="1801"/>
      <c r="AA1211" s="1801"/>
      <c r="AB1211" s="1801"/>
      <c r="AC1211" s="1801"/>
      <c r="AD1211" s="1801"/>
      <c r="AE1211" s="1801"/>
      <c r="AF1211" s="1814"/>
      <c r="AG1211" s="376"/>
      <c r="AH1211" s="376"/>
      <c r="AI1211" s="376"/>
      <c r="AJ1211" s="376"/>
      <c r="AK1211" s="376"/>
      <c r="AL1211" s="1148"/>
      <c r="AM1211" s="1148"/>
      <c r="AN1211" s="1148"/>
      <c r="AO1211" s="1148"/>
      <c r="AP1211" s="1148"/>
      <c r="AQ1211" s="1144"/>
      <c r="AR1211" s="1144"/>
      <c r="AS1211" s="1144"/>
      <c r="AT1211" s="1144"/>
      <c r="AU1211" s="1144"/>
      <c r="AV1211" s="1144"/>
      <c r="AW1211" s="1144"/>
      <c r="AX1211" s="1144"/>
      <c r="AY1211" s="1144"/>
      <c r="AZ1211" s="1144"/>
      <c r="BA1211" s="1144"/>
      <c r="BB1211" s="1144"/>
      <c r="BC1211" s="1144"/>
      <c r="BD1211" s="1144"/>
      <c r="BE1211" s="1144"/>
      <c r="BF1211" s="1144"/>
      <c r="BG1211" s="1144"/>
      <c r="BH1211" s="1144"/>
      <c r="BI1211" s="1144"/>
      <c r="BJ1211" s="1144"/>
      <c r="BK1211" s="1144"/>
      <c r="BL1211" s="1144"/>
      <c r="BM1211" s="1144"/>
      <c r="BN1211" s="1144"/>
      <c r="BO1211" s="1144"/>
      <c r="BP1211" s="1144"/>
      <c r="BQ1211" s="1144"/>
      <c r="BR1211" s="1144"/>
      <c r="BS1211" s="1144"/>
      <c r="BT1211" s="1144"/>
      <c r="BU1211" s="1144"/>
      <c r="BV1211" s="1144"/>
      <c r="BW1211" s="1144"/>
      <c r="BX1211" s="1144"/>
      <c r="BY1211" s="1144"/>
      <c r="BZ1211" s="1144"/>
      <c r="CA1211" s="1144"/>
      <c r="CB1211" s="1144"/>
      <c r="CC1211" s="1144"/>
      <c r="CD1211" s="1144"/>
      <c r="CE1211" s="1144"/>
      <c r="CF1211" s="1144"/>
      <c r="CG1211" s="1144"/>
      <c r="CH1211" s="1144"/>
      <c r="CI1211" s="1144"/>
      <c r="CJ1211" s="1144"/>
      <c r="CK1211" s="1144"/>
      <c r="CL1211" s="1144"/>
      <c r="CM1211" s="1144"/>
      <c r="CN1211" s="1144"/>
    </row>
    <row r="1212" spans="11:92" ht="12" customHeight="1" x14ac:dyDescent="0.35">
      <c r="K1212" s="29">
        <f t="shared" si="808"/>
        <v>0</v>
      </c>
      <c r="L1212" s="1158">
        <f t="shared" si="809"/>
        <v>456</v>
      </c>
      <c r="M1212" s="34">
        <f t="shared" si="810"/>
        <v>0</v>
      </c>
      <c r="N1212" s="34">
        <f t="shared" si="811"/>
        <v>0</v>
      </c>
      <c r="O1212" s="55">
        <f t="shared" si="804"/>
        <v>0</v>
      </c>
      <c r="P1212" s="55">
        <f t="shared" si="805"/>
        <v>0</v>
      </c>
      <c r="Q1212" s="55">
        <f t="shared" si="806"/>
        <v>0</v>
      </c>
      <c r="R1212" s="31">
        <f>IF(Input!D$298=L1368,Input!D$297,0)</f>
        <v>0</v>
      </c>
      <c r="S1212" s="36">
        <f t="shared" si="812"/>
        <v>0</v>
      </c>
      <c r="T1212" s="1818"/>
      <c r="U1212" s="1814"/>
      <c r="V1212" s="1814"/>
      <c r="W1212" s="1817"/>
      <c r="X1212" s="1814"/>
      <c r="Y1212" s="1801"/>
      <c r="Z1212" s="1801"/>
      <c r="AA1212" s="1801"/>
      <c r="AB1212" s="1801"/>
      <c r="AC1212" s="1801"/>
      <c r="AD1212" s="1801"/>
      <c r="AE1212" s="1801"/>
      <c r="AF1212" s="1814"/>
      <c r="AG1212" s="376"/>
      <c r="AH1212" s="376"/>
      <c r="AI1212" s="376"/>
      <c r="AJ1212" s="376"/>
      <c r="AK1212" s="376"/>
      <c r="AL1212" s="1148"/>
      <c r="AM1212" s="1148"/>
      <c r="AN1212" s="1148"/>
      <c r="AO1212" s="1148"/>
      <c r="AP1212" s="1148"/>
      <c r="AQ1212" s="1144"/>
      <c r="AR1212" s="1144"/>
      <c r="AS1212" s="1144"/>
      <c r="AT1212" s="1144"/>
      <c r="AU1212" s="1144"/>
      <c r="AV1212" s="1144"/>
      <c r="AW1212" s="1144"/>
      <c r="AX1212" s="1144"/>
      <c r="AY1212" s="1144"/>
      <c r="AZ1212" s="1144"/>
      <c r="BA1212" s="1144"/>
      <c r="BB1212" s="1144"/>
      <c r="BC1212" s="1144"/>
      <c r="BD1212" s="1144"/>
      <c r="BE1212" s="1144"/>
      <c r="BF1212" s="1144"/>
      <c r="BG1212" s="1144"/>
      <c r="BH1212" s="1144"/>
      <c r="BI1212" s="1144"/>
      <c r="BJ1212" s="1144"/>
      <c r="BK1212" s="1144"/>
      <c r="BL1212" s="1144"/>
      <c r="BM1212" s="1144"/>
      <c r="BN1212" s="1144"/>
      <c r="BO1212" s="1144"/>
      <c r="BP1212" s="1144"/>
      <c r="BQ1212" s="1144"/>
      <c r="BR1212" s="1144"/>
      <c r="BS1212" s="1144"/>
      <c r="BT1212" s="1144"/>
      <c r="BU1212" s="1144"/>
      <c r="BV1212" s="1144"/>
      <c r="BW1212" s="1144"/>
      <c r="BX1212" s="1144"/>
      <c r="BY1212" s="1144"/>
      <c r="BZ1212" s="1144"/>
      <c r="CA1212" s="1144"/>
      <c r="CB1212" s="1144"/>
      <c r="CC1212" s="1144"/>
      <c r="CD1212" s="1144"/>
      <c r="CE1212" s="1144"/>
      <c r="CF1212" s="1144"/>
      <c r="CG1212" s="1144"/>
      <c r="CH1212" s="1144"/>
      <c r="CI1212" s="1144"/>
      <c r="CJ1212" s="1144"/>
      <c r="CK1212" s="1144"/>
      <c r="CL1212" s="1144"/>
      <c r="CM1212" s="1144"/>
      <c r="CN1212" s="1144"/>
    </row>
    <row r="1213" spans="11:92" ht="12" customHeight="1" x14ac:dyDescent="0.35">
      <c r="K1213" s="29">
        <f t="shared" si="808"/>
        <v>0</v>
      </c>
      <c r="L1213" s="1158">
        <f t="shared" si="809"/>
        <v>486</v>
      </c>
      <c r="M1213" s="34">
        <f t="shared" si="810"/>
        <v>0</v>
      </c>
      <c r="N1213" s="34">
        <f t="shared" si="811"/>
        <v>0</v>
      </c>
      <c r="O1213" s="55">
        <f t="shared" si="804"/>
        <v>0</v>
      </c>
      <c r="P1213" s="55">
        <f t="shared" si="805"/>
        <v>0</v>
      </c>
      <c r="Q1213" s="55">
        <f t="shared" si="806"/>
        <v>0</v>
      </c>
      <c r="R1213" s="31">
        <f>IF(Input!D$298=L1369,Input!D$297,0)</f>
        <v>0</v>
      </c>
      <c r="S1213" s="36">
        <f t="shared" si="812"/>
        <v>0</v>
      </c>
      <c r="T1213" s="1818"/>
      <c r="U1213" s="1814"/>
      <c r="V1213" s="1814"/>
      <c r="W1213" s="1817"/>
      <c r="X1213" s="1814"/>
      <c r="Y1213" s="1801"/>
      <c r="Z1213" s="1801"/>
      <c r="AA1213" s="1801"/>
      <c r="AB1213" s="1801"/>
      <c r="AC1213" s="1801"/>
      <c r="AD1213" s="1801"/>
      <c r="AE1213" s="1801"/>
      <c r="AF1213" s="1814"/>
      <c r="AG1213" s="376"/>
      <c r="AH1213" s="376"/>
      <c r="AI1213" s="376"/>
      <c r="AJ1213" s="376"/>
      <c r="AK1213" s="376"/>
      <c r="AL1213" s="1148"/>
      <c r="AM1213" s="1148"/>
      <c r="AN1213" s="1148"/>
      <c r="AO1213" s="1148"/>
      <c r="AP1213" s="1148"/>
      <c r="AQ1213" s="1144"/>
      <c r="AR1213" s="1144"/>
      <c r="AS1213" s="1144"/>
      <c r="AT1213" s="1144"/>
      <c r="AU1213" s="1144"/>
      <c r="AV1213" s="1144"/>
      <c r="AW1213" s="1144"/>
      <c r="AX1213" s="1144"/>
      <c r="AY1213" s="1144"/>
      <c r="AZ1213" s="1144"/>
      <c r="BA1213" s="1144"/>
      <c r="BB1213" s="1144"/>
      <c r="BC1213" s="1144"/>
      <c r="BD1213" s="1144"/>
      <c r="BE1213" s="1144"/>
      <c r="BF1213" s="1144"/>
      <c r="BG1213" s="1144"/>
      <c r="BH1213" s="1144"/>
      <c r="BI1213" s="1144"/>
      <c r="BJ1213" s="1144"/>
      <c r="BK1213" s="1144"/>
      <c r="BL1213" s="1144"/>
      <c r="BM1213" s="1144"/>
      <c r="BN1213" s="1144"/>
      <c r="BO1213" s="1144"/>
      <c r="BP1213" s="1144"/>
      <c r="BQ1213" s="1144"/>
      <c r="BR1213" s="1144"/>
      <c r="BS1213" s="1144"/>
      <c r="BT1213" s="1144"/>
      <c r="BU1213" s="1144"/>
      <c r="BV1213" s="1144"/>
      <c r="BW1213" s="1144"/>
      <c r="BX1213" s="1144"/>
      <c r="BY1213" s="1144"/>
      <c r="BZ1213" s="1144"/>
      <c r="CA1213" s="1144"/>
      <c r="CB1213" s="1144"/>
      <c r="CC1213" s="1144"/>
      <c r="CD1213" s="1144"/>
      <c r="CE1213" s="1144"/>
      <c r="CF1213" s="1144"/>
      <c r="CG1213" s="1144"/>
      <c r="CH1213" s="1144"/>
      <c r="CI1213" s="1144"/>
      <c r="CJ1213" s="1144"/>
      <c r="CK1213" s="1144"/>
      <c r="CL1213" s="1144"/>
      <c r="CM1213" s="1144"/>
      <c r="CN1213" s="1144"/>
    </row>
    <row r="1214" spans="11:92" ht="12" customHeight="1" x14ac:dyDescent="0.35">
      <c r="K1214" s="29">
        <f t="shared" si="808"/>
        <v>0</v>
      </c>
      <c r="L1214" s="1158">
        <f t="shared" si="809"/>
        <v>517</v>
      </c>
      <c r="M1214" s="34">
        <f t="shared" si="810"/>
        <v>0</v>
      </c>
      <c r="N1214" s="34">
        <f t="shared" si="811"/>
        <v>0</v>
      </c>
      <c r="O1214" s="55">
        <f t="shared" si="804"/>
        <v>0</v>
      </c>
      <c r="P1214" s="55">
        <f t="shared" si="805"/>
        <v>0</v>
      </c>
      <c r="Q1214" s="55">
        <f t="shared" si="806"/>
        <v>0</v>
      </c>
      <c r="R1214" s="31">
        <f>IF(Input!D$298=L1370,Input!D$297,0)</f>
        <v>0</v>
      </c>
      <c r="S1214" s="36">
        <f t="shared" si="812"/>
        <v>0</v>
      </c>
      <c r="T1214" s="1818"/>
      <c r="U1214" s="1814"/>
      <c r="V1214" s="1814"/>
      <c r="W1214" s="1817"/>
      <c r="X1214" s="1814"/>
      <c r="Y1214" s="1801"/>
      <c r="Z1214" s="1801"/>
      <c r="AA1214" s="1801"/>
      <c r="AB1214" s="1801"/>
      <c r="AC1214" s="1801"/>
      <c r="AD1214" s="1801"/>
      <c r="AE1214" s="1801"/>
      <c r="AF1214" s="1814"/>
      <c r="AG1214" s="376"/>
      <c r="AH1214" s="376"/>
      <c r="AI1214" s="376"/>
      <c r="AJ1214" s="376"/>
      <c r="AK1214" s="376"/>
      <c r="AL1214" s="1148"/>
      <c r="AM1214" s="1148"/>
      <c r="AN1214" s="1148"/>
      <c r="AO1214" s="1148"/>
      <c r="AP1214" s="1148"/>
      <c r="AQ1214" s="1144"/>
      <c r="AR1214" s="1144"/>
      <c r="AS1214" s="1144"/>
      <c r="AT1214" s="1144"/>
      <c r="AU1214" s="1144"/>
      <c r="AV1214" s="1144"/>
      <c r="AW1214" s="1144"/>
      <c r="AX1214" s="1144"/>
      <c r="AY1214" s="1144"/>
      <c r="AZ1214" s="1144"/>
      <c r="BA1214" s="1144"/>
      <c r="BB1214" s="1144"/>
      <c r="BC1214" s="1144"/>
      <c r="BD1214" s="1144"/>
      <c r="BE1214" s="1144"/>
      <c r="BF1214" s="1144"/>
      <c r="BG1214" s="1144"/>
      <c r="BH1214" s="1144"/>
      <c r="BI1214" s="1144"/>
      <c r="BJ1214" s="1144"/>
      <c r="BK1214" s="1144"/>
      <c r="BL1214" s="1144"/>
      <c r="BM1214" s="1144"/>
      <c r="BN1214" s="1144"/>
      <c r="BO1214" s="1144"/>
      <c r="BP1214" s="1144"/>
      <c r="BQ1214" s="1144"/>
      <c r="BR1214" s="1144"/>
      <c r="BS1214" s="1144"/>
      <c r="BT1214" s="1144"/>
      <c r="BU1214" s="1144"/>
      <c r="BV1214" s="1144"/>
      <c r="BW1214" s="1144"/>
      <c r="BX1214" s="1144"/>
      <c r="BY1214" s="1144"/>
      <c r="BZ1214" s="1144"/>
      <c r="CA1214" s="1144"/>
      <c r="CB1214" s="1144"/>
      <c r="CC1214" s="1144"/>
      <c r="CD1214" s="1144"/>
      <c r="CE1214" s="1144"/>
      <c r="CF1214" s="1144"/>
      <c r="CG1214" s="1144"/>
      <c r="CH1214" s="1144"/>
      <c r="CI1214" s="1144"/>
      <c r="CJ1214" s="1144"/>
      <c r="CK1214" s="1144"/>
      <c r="CL1214" s="1144"/>
      <c r="CM1214" s="1144"/>
      <c r="CN1214" s="1144"/>
    </row>
    <row r="1215" spans="11:92" ht="12" customHeight="1" x14ac:dyDescent="0.35">
      <c r="K1215" s="29">
        <f t="shared" si="808"/>
        <v>0</v>
      </c>
      <c r="L1215" s="1158">
        <f t="shared" si="809"/>
        <v>547</v>
      </c>
      <c r="M1215" s="34">
        <f t="shared" si="810"/>
        <v>0</v>
      </c>
      <c r="N1215" s="34">
        <f t="shared" si="811"/>
        <v>0</v>
      </c>
      <c r="O1215" s="55">
        <f t="shared" si="804"/>
        <v>0</v>
      </c>
      <c r="P1215" s="55">
        <f t="shared" si="805"/>
        <v>0</v>
      </c>
      <c r="Q1215" s="55">
        <f t="shared" si="806"/>
        <v>0</v>
      </c>
      <c r="R1215" s="31">
        <f>IF(Input!D$298=L1371,Input!D$297,0)</f>
        <v>0</v>
      </c>
      <c r="S1215" s="36">
        <f t="shared" si="812"/>
        <v>0</v>
      </c>
      <c r="T1215" s="1818"/>
      <c r="U1215" s="1814"/>
      <c r="V1215" s="1814"/>
      <c r="W1215" s="1817"/>
      <c r="X1215" s="1814"/>
      <c r="Y1215" s="1801"/>
      <c r="Z1215" s="1801"/>
      <c r="AA1215" s="1801"/>
      <c r="AB1215" s="1801"/>
      <c r="AC1215" s="1801"/>
      <c r="AD1215" s="1801"/>
      <c r="AE1215" s="1801"/>
      <c r="AF1215" s="1814"/>
      <c r="AG1215" s="376"/>
      <c r="AH1215" s="376"/>
      <c r="AI1215" s="376"/>
      <c r="AJ1215" s="376"/>
      <c r="AK1215" s="376"/>
      <c r="AL1215" s="1148"/>
      <c r="AM1215" s="1148"/>
      <c r="AN1215" s="1148"/>
      <c r="AO1215" s="1148"/>
      <c r="AP1215" s="1148"/>
      <c r="AQ1215" s="1144"/>
      <c r="AR1215" s="1144"/>
      <c r="AS1215" s="1144"/>
      <c r="AT1215" s="1144"/>
      <c r="AU1215" s="1144"/>
      <c r="AV1215" s="1144"/>
      <c r="AW1215" s="1144"/>
      <c r="AX1215" s="1144"/>
      <c r="AY1215" s="1144"/>
      <c r="AZ1215" s="1144"/>
      <c r="BA1215" s="1144"/>
      <c r="BB1215" s="1144"/>
      <c r="BC1215" s="1144"/>
      <c r="BD1215" s="1144"/>
      <c r="BE1215" s="1144"/>
      <c r="BF1215" s="1144"/>
      <c r="BG1215" s="1144"/>
      <c r="BH1215" s="1144"/>
      <c r="BI1215" s="1144"/>
      <c r="BJ1215" s="1144"/>
      <c r="BK1215" s="1144"/>
      <c r="BL1215" s="1144"/>
      <c r="BM1215" s="1144"/>
      <c r="BN1215" s="1144"/>
      <c r="BO1215" s="1144"/>
      <c r="BP1215" s="1144"/>
      <c r="BQ1215" s="1144"/>
      <c r="BR1215" s="1144"/>
      <c r="BS1215" s="1144"/>
      <c r="BT1215" s="1144"/>
      <c r="BU1215" s="1144"/>
      <c r="BV1215" s="1144"/>
      <c r="BW1215" s="1144"/>
      <c r="BX1215" s="1144"/>
      <c r="BY1215" s="1144"/>
      <c r="BZ1215" s="1144"/>
      <c r="CA1215" s="1144"/>
      <c r="CB1215" s="1144"/>
      <c r="CC1215" s="1144"/>
      <c r="CD1215" s="1144"/>
      <c r="CE1215" s="1144"/>
      <c r="CF1215" s="1144"/>
      <c r="CG1215" s="1144"/>
      <c r="CH1215" s="1144"/>
      <c r="CI1215" s="1144"/>
      <c r="CJ1215" s="1144"/>
      <c r="CK1215" s="1144"/>
      <c r="CL1215" s="1144"/>
      <c r="CM1215" s="1144"/>
      <c r="CN1215" s="1144"/>
    </row>
    <row r="1216" spans="11:92" ht="12" customHeight="1" x14ac:dyDescent="0.35">
      <c r="K1216" s="29">
        <f t="shared" si="808"/>
        <v>0</v>
      </c>
      <c r="L1216" s="1158">
        <f t="shared" si="809"/>
        <v>578</v>
      </c>
      <c r="M1216" s="34">
        <f t="shared" si="810"/>
        <v>0</v>
      </c>
      <c r="N1216" s="34">
        <f t="shared" si="811"/>
        <v>0</v>
      </c>
      <c r="O1216" s="55">
        <f t="shared" si="804"/>
        <v>0</v>
      </c>
      <c r="P1216" s="55">
        <f t="shared" si="805"/>
        <v>0</v>
      </c>
      <c r="Q1216" s="55">
        <f t="shared" si="806"/>
        <v>0</v>
      </c>
      <c r="R1216" s="31">
        <f>IF(Input!D$298=L1372,Input!D$297,0)</f>
        <v>0</v>
      </c>
      <c r="S1216" s="36">
        <f t="shared" si="812"/>
        <v>0</v>
      </c>
      <c r="T1216" s="1818"/>
      <c r="U1216" s="1814"/>
      <c r="V1216" s="1814"/>
      <c r="W1216" s="1817"/>
      <c r="X1216" s="1814"/>
      <c r="Y1216" s="1801"/>
      <c r="Z1216" s="1801"/>
      <c r="AA1216" s="1801"/>
      <c r="AB1216" s="1801"/>
      <c r="AC1216" s="1801"/>
      <c r="AD1216" s="1801"/>
      <c r="AE1216" s="1801"/>
      <c r="AF1216" s="1814"/>
      <c r="AG1216" s="376"/>
      <c r="AH1216" s="376"/>
      <c r="AI1216" s="376"/>
      <c r="AJ1216" s="376"/>
      <c r="AK1216" s="376"/>
      <c r="AL1216" s="1148"/>
      <c r="AM1216" s="1148"/>
      <c r="AN1216" s="1148"/>
      <c r="AO1216" s="1148"/>
      <c r="AP1216" s="1148"/>
      <c r="AQ1216" s="1144"/>
      <c r="AR1216" s="1144"/>
      <c r="AS1216" s="1144"/>
      <c r="AT1216" s="1144"/>
      <c r="AU1216" s="1144"/>
      <c r="AV1216" s="1144"/>
      <c r="AW1216" s="1144"/>
      <c r="AX1216" s="1144"/>
      <c r="AY1216" s="1144"/>
      <c r="AZ1216" s="1144"/>
      <c r="BA1216" s="1144"/>
      <c r="BB1216" s="1144"/>
      <c r="BC1216" s="1144"/>
      <c r="BD1216" s="1144"/>
      <c r="BE1216" s="1144"/>
      <c r="BF1216" s="1144"/>
      <c r="BG1216" s="1144"/>
      <c r="BH1216" s="1144"/>
      <c r="BI1216" s="1144"/>
      <c r="BJ1216" s="1144"/>
      <c r="BK1216" s="1144"/>
      <c r="BL1216" s="1144"/>
      <c r="BM1216" s="1144"/>
      <c r="BN1216" s="1144"/>
      <c r="BO1216" s="1144"/>
      <c r="BP1216" s="1144"/>
      <c r="BQ1216" s="1144"/>
      <c r="BR1216" s="1144"/>
      <c r="BS1216" s="1144"/>
      <c r="BT1216" s="1144"/>
      <c r="BU1216" s="1144"/>
      <c r="BV1216" s="1144"/>
      <c r="BW1216" s="1144"/>
      <c r="BX1216" s="1144"/>
      <c r="BY1216" s="1144"/>
      <c r="BZ1216" s="1144"/>
      <c r="CA1216" s="1144"/>
      <c r="CB1216" s="1144"/>
      <c r="CC1216" s="1144"/>
      <c r="CD1216" s="1144"/>
      <c r="CE1216" s="1144"/>
      <c r="CF1216" s="1144"/>
      <c r="CG1216" s="1144"/>
      <c r="CH1216" s="1144"/>
      <c r="CI1216" s="1144"/>
      <c r="CJ1216" s="1144"/>
      <c r="CK1216" s="1144"/>
      <c r="CL1216" s="1144"/>
      <c r="CM1216" s="1144"/>
      <c r="CN1216" s="1144"/>
    </row>
    <row r="1217" spans="11:92" ht="12" customHeight="1" x14ac:dyDescent="0.35">
      <c r="K1217" s="29">
        <f t="shared" si="808"/>
        <v>0</v>
      </c>
      <c r="L1217" s="1158">
        <f t="shared" si="809"/>
        <v>609</v>
      </c>
      <c r="M1217" s="34">
        <f t="shared" si="810"/>
        <v>0</v>
      </c>
      <c r="N1217" s="34">
        <f t="shared" si="811"/>
        <v>0</v>
      </c>
      <c r="O1217" s="55">
        <f t="shared" si="804"/>
        <v>0</v>
      </c>
      <c r="P1217" s="55">
        <f t="shared" si="805"/>
        <v>0</v>
      </c>
      <c r="Q1217" s="55">
        <f t="shared" si="806"/>
        <v>0</v>
      </c>
      <c r="R1217" s="31">
        <f>IF(Input!D$298=L1373,Input!D$297,0)</f>
        <v>0</v>
      </c>
      <c r="S1217" s="36">
        <f t="shared" si="812"/>
        <v>0</v>
      </c>
      <c r="T1217" s="1818"/>
      <c r="U1217" s="1814"/>
      <c r="V1217" s="1814"/>
      <c r="W1217" s="1817"/>
      <c r="X1217" s="1814"/>
      <c r="Y1217" s="1801"/>
      <c r="Z1217" s="1801"/>
      <c r="AA1217" s="1801"/>
      <c r="AB1217" s="1801"/>
      <c r="AC1217" s="1801"/>
      <c r="AD1217" s="1801"/>
      <c r="AE1217" s="1801"/>
      <c r="AF1217" s="1814"/>
      <c r="AG1217" s="376"/>
      <c r="AH1217" s="376"/>
      <c r="AI1217" s="376"/>
      <c r="AJ1217" s="376"/>
      <c r="AK1217" s="376"/>
      <c r="AL1217" s="1148"/>
      <c r="AM1217" s="1148"/>
      <c r="AN1217" s="1148"/>
      <c r="AO1217" s="1148"/>
      <c r="AP1217" s="1148"/>
      <c r="AQ1217" s="1144"/>
      <c r="AR1217" s="1144"/>
      <c r="AS1217" s="1144"/>
      <c r="AT1217" s="1144"/>
      <c r="AU1217" s="1144"/>
      <c r="AV1217" s="1144"/>
      <c r="AW1217" s="1144"/>
      <c r="AX1217" s="1144"/>
      <c r="AY1217" s="1144"/>
      <c r="AZ1217" s="1144"/>
      <c r="BA1217" s="1144"/>
      <c r="BB1217" s="1144"/>
      <c r="BC1217" s="1144"/>
      <c r="BD1217" s="1144"/>
      <c r="BE1217" s="1144"/>
      <c r="BF1217" s="1144"/>
      <c r="BG1217" s="1144"/>
      <c r="BH1217" s="1144"/>
      <c r="BI1217" s="1144"/>
      <c r="BJ1217" s="1144"/>
      <c r="BK1217" s="1144"/>
      <c r="BL1217" s="1144"/>
      <c r="BM1217" s="1144"/>
      <c r="BN1217" s="1144"/>
      <c r="BO1217" s="1144"/>
      <c r="BP1217" s="1144"/>
      <c r="BQ1217" s="1144"/>
      <c r="BR1217" s="1144"/>
      <c r="BS1217" s="1144"/>
      <c r="BT1217" s="1144"/>
      <c r="BU1217" s="1144"/>
      <c r="BV1217" s="1144"/>
      <c r="BW1217" s="1144"/>
      <c r="BX1217" s="1144"/>
      <c r="BY1217" s="1144"/>
      <c r="BZ1217" s="1144"/>
      <c r="CA1217" s="1144"/>
      <c r="CB1217" s="1144"/>
      <c r="CC1217" s="1144"/>
      <c r="CD1217" s="1144"/>
      <c r="CE1217" s="1144"/>
      <c r="CF1217" s="1144"/>
      <c r="CG1217" s="1144"/>
      <c r="CH1217" s="1144"/>
      <c r="CI1217" s="1144"/>
      <c r="CJ1217" s="1144"/>
      <c r="CK1217" s="1144"/>
      <c r="CL1217" s="1144"/>
      <c r="CM1217" s="1144"/>
      <c r="CN1217" s="1144"/>
    </row>
    <row r="1218" spans="11:92" ht="12" customHeight="1" x14ac:dyDescent="0.35">
      <c r="K1218" s="29">
        <f t="shared" si="808"/>
        <v>0</v>
      </c>
      <c r="L1218" s="1158">
        <f t="shared" si="809"/>
        <v>639</v>
      </c>
      <c r="M1218" s="34">
        <f t="shared" si="810"/>
        <v>0</v>
      </c>
      <c r="N1218" s="34">
        <f t="shared" si="811"/>
        <v>0</v>
      </c>
      <c r="O1218" s="55">
        <f t="shared" si="804"/>
        <v>0</v>
      </c>
      <c r="P1218" s="55">
        <f t="shared" si="805"/>
        <v>0</v>
      </c>
      <c r="Q1218" s="55">
        <f t="shared" si="806"/>
        <v>0</v>
      </c>
      <c r="R1218" s="31">
        <f>IF(Input!D$298=L1374,Input!D$297,0)</f>
        <v>0</v>
      </c>
      <c r="S1218" s="36">
        <f t="shared" si="812"/>
        <v>0</v>
      </c>
      <c r="T1218" s="1818"/>
      <c r="U1218" s="1814"/>
      <c r="V1218" s="1814"/>
      <c r="W1218" s="1817"/>
      <c r="X1218" s="1814"/>
      <c r="Y1218" s="1801"/>
      <c r="Z1218" s="1801"/>
      <c r="AA1218" s="1801"/>
      <c r="AB1218" s="1801"/>
      <c r="AC1218" s="1801"/>
      <c r="AD1218" s="1801"/>
      <c r="AE1218" s="1801"/>
      <c r="AF1218" s="1814"/>
      <c r="AG1218" s="376"/>
      <c r="AH1218" s="376"/>
      <c r="AI1218" s="376"/>
      <c r="AJ1218" s="376"/>
      <c r="AK1218" s="376"/>
      <c r="AL1218" s="1148"/>
      <c r="AM1218" s="1148"/>
      <c r="AN1218" s="1148"/>
      <c r="AO1218" s="1148"/>
      <c r="AP1218" s="1148"/>
      <c r="AQ1218" s="1144"/>
      <c r="AR1218" s="1144"/>
      <c r="AS1218" s="1144"/>
      <c r="AT1218" s="1144"/>
      <c r="AU1218" s="1144"/>
      <c r="AV1218" s="1144"/>
      <c r="AW1218" s="1144"/>
      <c r="AX1218" s="1144"/>
      <c r="AY1218" s="1144"/>
      <c r="AZ1218" s="1144"/>
      <c r="BA1218" s="1144"/>
      <c r="BB1218" s="1144"/>
      <c r="BC1218" s="1144"/>
      <c r="BD1218" s="1144"/>
      <c r="BE1218" s="1144"/>
      <c r="BF1218" s="1144"/>
      <c r="BG1218" s="1144"/>
      <c r="BH1218" s="1144"/>
      <c r="BI1218" s="1144"/>
      <c r="BJ1218" s="1144"/>
      <c r="BK1218" s="1144"/>
      <c r="BL1218" s="1144"/>
      <c r="BM1218" s="1144"/>
      <c r="BN1218" s="1144"/>
      <c r="BO1218" s="1144"/>
      <c r="BP1218" s="1144"/>
      <c r="BQ1218" s="1144"/>
      <c r="BR1218" s="1144"/>
      <c r="BS1218" s="1144"/>
      <c r="BT1218" s="1144"/>
      <c r="BU1218" s="1144"/>
      <c r="BV1218" s="1144"/>
      <c r="BW1218" s="1144"/>
      <c r="BX1218" s="1144"/>
      <c r="BY1218" s="1144"/>
      <c r="BZ1218" s="1144"/>
      <c r="CA1218" s="1144"/>
      <c r="CB1218" s="1144"/>
      <c r="CC1218" s="1144"/>
      <c r="CD1218" s="1144"/>
      <c r="CE1218" s="1144"/>
      <c r="CF1218" s="1144"/>
      <c r="CG1218" s="1144"/>
      <c r="CH1218" s="1144"/>
      <c r="CI1218" s="1144"/>
      <c r="CJ1218" s="1144"/>
      <c r="CK1218" s="1144"/>
      <c r="CL1218" s="1144"/>
      <c r="CM1218" s="1144"/>
      <c r="CN1218" s="1144"/>
    </row>
    <row r="1219" spans="11:92" ht="12" customHeight="1" x14ac:dyDescent="0.35">
      <c r="K1219" s="29">
        <f t="shared" si="808"/>
        <v>0</v>
      </c>
      <c r="L1219" s="1158">
        <f t="shared" si="809"/>
        <v>670</v>
      </c>
      <c r="M1219" s="34">
        <f t="shared" si="810"/>
        <v>0</v>
      </c>
      <c r="N1219" s="34">
        <f t="shared" si="811"/>
        <v>0</v>
      </c>
      <c r="O1219" s="55">
        <f t="shared" si="804"/>
        <v>0</v>
      </c>
      <c r="P1219" s="55">
        <f t="shared" si="805"/>
        <v>0</v>
      </c>
      <c r="Q1219" s="55">
        <f t="shared" si="806"/>
        <v>0</v>
      </c>
      <c r="R1219" s="31">
        <f>IF(Input!D$298=L1375,Input!D$297,0)</f>
        <v>0</v>
      </c>
      <c r="S1219" s="36">
        <f t="shared" si="812"/>
        <v>0</v>
      </c>
      <c r="T1219" s="1818"/>
      <c r="U1219" s="1814"/>
      <c r="V1219" s="1814"/>
      <c r="W1219" s="1817"/>
      <c r="X1219" s="1814"/>
      <c r="Y1219" s="1801"/>
      <c r="Z1219" s="1801"/>
      <c r="AA1219" s="1801"/>
      <c r="AB1219" s="1801"/>
      <c r="AC1219" s="1801"/>
      <c r="AD1219" s="1801"/>
      <c r="AE1219" s="1801"/>
      <c r="AF1219" s="1814"/>
      <c r="AG1219" s="376"/>
      <c r="AH1219" s="376"/>
      <c r="AI1219" s="376"/>
      <c r="AJ1219" s="376"/>
      <c r="AK1219" s="376"/>
      <c r="AL1219" s="1148"/>
      <c r="AM1219" s="1148"/>
      <c r="AN1219" s="1148"/>
      <c r="AO1219" s="1148"/>
      <c r="AP1219" s="1148"/>
      <c r="AQ1219" s="1144"/>
      <c r="AR1219" s="1144"/>
      <c r="AS1219" s="1144"/>
      <c r="AT1219" s="1144"/>
      <c r="AU1219" s="1144"/>
      <c r="AV1219" s="1144"/>
      <c r="AW1219" s="1144"/>
      <c r="AX1219" s="1144"/>
      <c r="AY1219" s="1144"/>
      <c r="AZ1219" s="1144"/>
      <c r="BA1219" s="1144"/>
      <c r="BB1219" s="1144"/>
      <c r="BC1219" s="1144"/>
      <c r="BD1219" s="1144"/>
      <c r="BE1219" s="1144"/>
      <c r="BF1219" s="1144"/>
      <c r="BG1219" s="1144"/>
      <c r="BH1219" s="1144"/>
      <c r="BI1219" s="1144"/>
      <c r="BJ1219" s="1144"/>
      <c r="BK1219" s="1144"/>
      <c r="BL1219" s="1144"/>
      <c r="BM1219" s="1144"/>
      <c r="BN1219" s="1144"/>
      <c r="BO1219" s="1144"/>
      <c r="BP1219" s="1144"/>
      <c r="BQ1219" s="1144"/>
      <c r="BR1219" s="1144"/>
      <c r="BS1219" s="1144"/>
      <c r="BT1219" s="1144"/>
      <c r="BU1219" s="1144"/>
      <c r="BV1219" s="1144"/>
      <c r="BW1219" s="1144"/>
      <c r="BX1219" s="1144"/>
      <c r="BY1219" s="1144"/>
      <c r="BZ1219" s="1144"/>
      <c r="CA1219" s="1144"/>
      <c r="CB1219" s="1144"/>
      <c r="CC1219" s="1144"/>
      <c r="CD1219" s="1144"/>
      <c r="CE1219" s="1144"/>
      <c r="CF1219" s="1144"/>
      <c r="CG1219" s="1144"/>
      <c r="CH1219" s="1144"/>
      <c r="CI1219" s="1144"/>
      <c r="CJ1219" s="1144"/>
      <c r="CK1219" s="1144"/>
      <c r="CL1219" s="1144"/>
      <c r="CM1219" s="1144"/>
      <c r="CN1219" s="1144"/>
    </row>
    <row r="1220" spans="11:92" ht="12" customHeight="1" x14ac:dyDescent="0.35">
      <c r="K1220" s="29">
        <f t="shared" si="808"/>
        <v>0</v>
      </c>
      <c r="L1220" s="1158">
        <f t="shared" si="809"/>
        <v>700</v>
      </c>
      <c r="M1220" s="34">
        <f t="shared" si="810"/>
        <v>0</v>
      </c>
      <c r="N1220" s="34">
        <f t="shared" si="811"/>
        <v>0</v>
      </c>
      <c r="O1220" s="55">
        <f t="shared" si="804"/>
        <v>0</v>
      </c>
      <c r="P1220" s="55">
        <f t="shared" si="805"/>
        <v>0</v>
      </c>
      <c r="Q1220" s="55">
        <f t="shared" si="806"/>
        <v>0</v>
      </c>
      <c r="R1220" s="31">
        <f>IF(Input!D$298=L1376,Input!D$297,0)</f>
        <v>0</v>
      </c>
      <c r="S1220" s="36">
        <f t="shared" si="812"/>
        <v>0</v>
      </c>
      <c r="T1220" s="1818"/>
      <c r="U1220" s="1814"/>
      <c r="V1220" s="1814"/>
      <c r="W1220" s="1817"/>
      <c r="X1220" s="1814"/>
      <c r="Y1220" s="1801"/>
      <c r="Z1220" s="1801"/>
      <c r="AA1220" s="1801"/>
      <c r="AB1220" s="1801"/>
      <c r="AC1220" s="1801"/>
      <c r="AD1220" s="1801"/>
      <c r="AE1220" s="1801"/>
      <c r="AF1220" s="1814"/>
      <c r="AG1220" s="376"/>
      <c r="AH1220" s="376"/>
      <c r="AI1220" s="376"/>
      <c r="AJ1220" s="376"/>
      <c r="AK1220" s="376"/>
      <c r="AL1220" s="1148"/>
      <c r="AM1220" s="1148"/>
      <c r="AN1220" s="1148"/>
      <c r="AO1220" s="1148"/>
      <c r="AP1220" s="1148"/>
      <c r="AQ1220" s="1144"/>
      <c r="AR1220" s="1144"/>
      <c r="AS1220" s="1144"/>
      <c r="AT1220" s="1144"/>
      <c r="AU1220" s="1144"/>
      <c r="AV1220" s="1144"/>
      <c r="AW1220" s="1144"/>
      <c r="AX1220" s="1144"/>
      <c r="AY1220" s="1144"/>
      <c r="AZ1220" s="1144"/>
      <c r="BA1220" s="1144"/>
      <c r="BB1220" s="1144"/>
      <c r="BC1220" s="1144"/>
      <c r="BD1220" s="1144"/>
      <c r="BE1220" s="1144"/>
      <c r="BF1220" s="1144"/>
      <c r="BG1220" s="1144"/>
      <c r="BH1220" s="1144"/>
      <c r="BI1220" s="1144"/>
      <c r="BJ1220" s="1144"/>
      <c r="BK1220" s="1144"/>
      <c r="BL1220" s="1144"/>
      <c r="BM1220" s="1144"/>
      <c r="BN1220" s="1144"/>
      <c r="BO1220" s="1144"/>
      <c r="BP1220" s="1144"/>
      <c r="BQ1220" s="1144"/>
      <c r="BR1220" s="1144"/>
      <c r="BS1220" s="1144"/>
      <c r="BT1220" s="1144"/>
      <c r="BU1220" s="1144"/>
      <c r="BV1220" s="1144"/>
      <c r="BW1220" s="1144"/>
      <c r="BX1220" s="1144"/>
      <c r="BY1220" s="1144"/>
      <c r="BZ1220" s="1144"/>
      <c r="CA1220" s="1144"/>
      <c r="CB1220" s="1144"/>
      <c r="CC1220" s="1144"/>
      <c r="CD1220" s="1144"/>
      <c r="CE1220" s="1144"/>
      <c r="CF1220" s="1144"/>
      <c r="CG1220" s="1144"/>
      <c r="CH1220" s="1144"/>
      <c r="CI1220" s="1144"/>
      <c r="CJ1220" s="1144"/>
      <c r="CK1220" s="1144"/>
      <c r="CL1220" s="1144"/>
      <c r="CM1220" s="1144"/>
      <c r="CN1220" s="1144"/>
    </row>
    <row r="1221" spans="11:92" ht="12" customHeight="1" x14ac:dyDescent="0.35">
      <c r="K1221" s="29">
        <f t="shared" si="808"/>
        <v>0</v>
      </c>
      <c r="L1221" s="1158">
        <f t="shared" si="809"/>
        <v>731</v>
      </c>
      <c r="M1221" s="34">
        <f t="shared" si="810"/>
        <v>0</v>
      </c>
      <c r="N1221" s="34">
        <f t="shared" si="811"/>
        <v>0</v>
      </c>
      <c r="O1221" s="55">
        <f t="shared" si="804"/>
        <v>0</v>
      </c>
      <c r="P1221" s="55">
        <f t="shared" si="805"/>
        <v>0</v>
      </c>
      <c r="Q1221" s="55">
        <f t="shared" si="806"/>
        <v>0</v>
      </c>
      <c r="R1221" s="31">
        <f>IF(Input!D$298=L1377,Input!D$297,0)</f>
        <v>0</v>
      </c>
      <c r="S1221" s="36">
        <f t="shared" si="812"/>
        <v>0</v>
      </c>
      <c r="T1221" s="1818"/>
      <c r="U1221" s="1814"/>
      <c r="V1221" s="1814"/>
      <c r="W1221" s="1817"/>
      <c r="X1221" s="1814"/>
      <c r="Y1221" s="1801"/>
      <c r="Z1221" s="1801"/>
      <c r="AA1221" s="1801"/>
      <c r="AB1221" s="1801"/>
      <c r="AC1221" s="1801"/>
      <c r="AD1221" s="1801"/>
      <c r="AE1221" s="1801"/>
      <c r="AF1221" s="1814"/>
      <c r="AG1221" s="376"/>
      <c r="AH1221" s="376"/>
      <c r="AI1221" s="376"/>
      <c r="AJ1221" s="376"/>
      <c r="AK1221" s="376"/>
      <c r="AL1221" s="1148"/>
      <c r="AM1221" s="1148"/>
      <c r="AN1221" s="1148"/>
      <c r="AO1221" s="1148"/>
      <c r="AP1221" s="1148"/>
      <c r="AQ1221" s="1144"/>
      <c r="AR1221" s="1144"/>
      <c r="AS1221" s="1144"/>
      <c r="AT1221" s="1144"/>
      <c r="AU1221" s="1144"/>
      <c r="AV1221" s="1144"/>
      <c r="AW1221" s="1144"/>
      <c r="AX1221" s="1144"/>
      <c r="AY1221" s="1144"/>
      <c r="AZ1221" s="1144"/>
      <c r="BA1221" s="1144"/>
      <c r="BB1221" s="1144"/>
      <c r="BC1221" s="1144"/>
      <c r="BD1221" s="1144"/>
      <c r="BE1221" s="1144"/>
      <c r="BF1221" s="1144"/>
      <c r="BG1221" s="1144"/>
      <c r="BH1221" s="1144"/>
      <c r="BI1221" s="1144"/>
      <c r="BJ1221" s="1144"/>
      <c r="BK1221" s="1144"/>
      <c r="BL1221" s="1144"/>
      <c r="BM1221" s="1144"/>
      <c r="BN1221" s="1144"/>
      <c r="BO1221" s="1144"/>
      <c r="BP1221" s="1144"/>
      <c r="BQ1221" s="1144"/>
      <c r="BR1221" s="1144"/>
      <c r="BS1221" s="1144"/>
      <c r="BT1221" s="1144"/>
      <c r="BU1221" s="1144"/>
      <c r="BV1221" s="1144"/>
      <c r="BW1221" s="1144"/>
      <c r="BX1221" s="1144"/>
      <c r="BY1221" s="1144"/>
      <c r="BZ1221" s="1144"/>
      <c r="CA1221" s="1144"/>
      <c r="CB1221" s="1144"/>
      <c r="CC1221" s="1144"/>
      <c r="CD1221" s="1144"/>
      <c r="CE1221" s="1144"/>
      <c r="CF1221" s="1144"/>
      <c r="CG1221" s="1144"/>
      <c r="CH1221" s="1144"/>
      <c r="CI1221" s="1144"/>
      <c r="CJ1221" s="1144"/>
      <c r="CK1221" s="1144"/>
      <c r="CL1221" s="1144"/>
      <c r="CM1221" s="1144"/>
      <c r="CN1221" s="1144"/>
    </row>
    <row r="1222" spans="11:92" ht="12" customHeight="1" x14ac:dyDescent="0.35">
      <c r="K1222" s="29">
        <f t="shared" si="808"/>
        <v>0</v>
      </c>
      <c r="L1222" s="1158">
        <f t="shared" si="809"/>
        <v>762</v>
      </c>
      <c r="M1222" s="34">
        <f t="shared" si="810"/>
        <v>0</v>
      </c>
      <c r="N1222" s="34">
        <f t="shared" si="811"/>
        <v>0</v>
      </c>
      <c r="O1222" s="55">
        <f t="shared" si="804"/>
        <v>0</v>
      </c>
      <c r="P1222" s="55">
        <f t="shared" si="805"/>
        <v>0</v>
      </c>
      <c r="Q1222" s="55">
        <f t="shared" si="806"/>
        <v>0</v>
      </c>
      <c r="R1222" s="31">
        <f>IF(Input!D$298=L1378,Input!D$297,0)</f>
        <v>0</v>
      </c>
      <c r="S1222" s="36">
        <f t="shared" si="812"/>
        <v>0</v>
      </c>
      <c r="T1222" s="1818"/>
      <c r="U1222" s="1814"/>
      <c r="V1222" s="1814"/>
      <c r="W1222" s="1817"/>
      <c r="X1222" s="1814"/>
      <c r="Y1222" s="1801"/>
      <c r="Z1222" s="1801"/>
      <c r="AA1222" s="1801"/>
      <c r="AB1222" s="1801"/>
      <c r="AC1222" s="1801"/>
      <c r="AD1222" s="1801"/>
      <c r="AE1222" s="1801"/>
      <c r="AF1222" s="1814"/>
      <c r="AG1222" s="376"/>
      <c r="AH1222" s="376"/>
      <c r="AI1222" s="376"/>
      <c r="AJ1222" s="376"/>
      <c r="AK1222" s="376"/>
      <c r="AL1222" s="1148"/>
      <c r="AM1222" s="1148"/>
      <c r="AN1222" s="1148"/>
      <c r="AO1222" s="1148"/>
      <c r="AP1222" s="1148"/>
      <c r="AQ1222" s="1144"/>
      <c r="AR1222" s="1144"/>
      <c r="AS1222" s="1144"/>
      <c r="AT1222" s="1144"/>
      <c r="AU1222" s="1144"/>
      <c r="AV1222" s="1144"/>
      <c r="AW1222" s="1144"/>
      <c r="AX1222" s="1144"/>
      <c r="AY1222" s="1144"/>
      <c r="AZ1222" s="1144"/>
      <c r="BA1222" s="1144"/>
      <c r="BB1222" s="1144"/>
      <c r="BC1222" s="1144"/>
      <c r="BD1222" s="1144"/>
      <c r="BE1222" s="1144"/>
      <c r="BF1222" s="1144"/>
      <c r="BG1222" s="1144"/>
      <c r="BH1222" s="1144"/>
      <c r="BI1222" s="1144"/>
      <c r="BJ1222" s="1144"/>
      <c r="BK1222" s="1144"/>
      <c r="BL1222" s="1144"/>
      <c r="BM1222" s="1144"/>
      <c r="BN1222" s="1144"/>
      <c r="BO1222" s="1144"/>
      <c r="BP1222" s="1144"/>
      <c r="BQ1222" s="1144"/>
      <c r="BR1222" s="1144"/>
      <c r="BS1222" s="1144"/>
      <c r="BT1222" s="1144"/>
      <c r="BU1222" s="1144"/>
      <c r="BV1222" s="1144"/>
      <c r="BW1222" s="1144"/>
      <c r="BX1222" s="1144"/>
      <c r="BY1222" s="1144"/>
      <c r="BZ1222" s="1144"/>
      <c r="CA1222" s="1144"/>
      <c r="CB1222" s="1144"/>
      <c r="CC1222" s="1144"/>
      <c r="CD1222" s="1144"/>
      <c r="CE1222" s="1144"/>
      <c r="CF1222" s="1144"/>
      <c r="CG1222" s="1144"/>
      <c r="CH1222" s="1144"/>
      <c r="CI1222" s="1144"/>
      <c r="CJ1222" s="1144"/>
      <c r="CK1222" s="1144"/>
      <c r="CL1222" s="1144"/>
      <c r="CM1222" s="1144"/>
      <c r="CN1222" s="1144"/>
    </row>
    <row r="1223" spans="11:92" ht="12" customHeight="1" x14ac:dyDescent="0.35">
      <c r="K1223" s="29">
        <f t="shared" si="808"/>
        <v>0</v>
      </c>
      <c r="L1223" s="1158">
        <f t="shared" si="809"/>
        <v>790</v>
      </c>
      <c r="M1223" s="34">
        <f t="shared" si="810"/>
        <v>0</v>
      </c>
      <c r="N1223" s="34">
        <f t="shared" si="811"/>
        <v>0</v>
      </c>
      <c r="O1223" s="55">
        <f t="shared" si="804"/>
        <v>0</v>
      </c>
      <c r="P1223" s="55">
        <f t="shared" si="805"/>
        <v>0</v>
      </c>
      <c r="Q1223" s="55">
        <f t="shared" si="806"/>
        <v>0</v>
      </c>
      <c r="R1223" s="31">
        <f>IF(Input!D$298=L1379,Input!D$297,0)</f>
        <v>0</v>
      </c>
      <c r="S1223" s="36">
        <f t="shared" si="812"/>
        <v>0</v>
      </c>
      <c r="T1223" s="1818"/>
      <c r="U1223" s="1814"/>
      <c r="V1223" s="1814"/>
      <c r="W1223" s="1817"/>
      <c r="X1223" s="1814"/>
      <c r="Y1223" s="1801"/>
      <c r="Z1223" s="1801"/>
      <c r="AA1223" s="1801"/>
      <c r="AB1223" s="1801"/>
      <c r="AC1223" s="1801"/>
      <c r="AD1223" s="1801"/>
      <c r="AE1223" s="1801"/>
      <c r="AF1223" s="1814"/>
      <c r="AG1223" s="376"/>
      <c r="AH1223" s="376"/>
      <c r="AI1223" s="376"/>
      <c r="AJ1223" s="376"/>
      <c r="AK1223" s="376"/>
      <c r="AL1223" s="1148"/>
      <c r="AM1223" s="1148"/>
      <c r="AN1223" s="1148"/>
      <c r="AO1223" s="1148"/>
      <c r="AP1223" s="1148"/>
      <c r="AQ1223" s="1144"/>
      <c r="AR1223" s="1144"/>
      <c r="AS1223" s="1144"/>
      <c r="AT1223" s="1144"/>
      <c r="AU1223" s="1144"/>
      <c r="AV1223" s="1144"/>
      <c r="AW1223" s="1144"/>
      <c r="AX1223" s="1144"/>
      <c r="AY1223" s="1144"/>
      <c r="AZ1223" s="1144"/>
      <c r="BA1223" s="1144"/>
      <c r="BB1223" s="1144"/>
      <c r="BC1223" s="1144"/>
      <c r="BD1223" s="1144"/>
      <c r="BE1223" s="1144"/>
      <c r="BF1223" s="1144"/>
      <c r="BG1223" s="1144"/>
      <c r="BH1223" s="1144"/>
      <c r="BI1223" s="1144"/>
      <c r="BJ1223" s="1144"/>
      <c r="BK1223" s="1144"/>
      <c r="BL1223" s="1144"/>
      <c r="BM1223" s="1144"/>
      <c r="BN1223" s="1144"/>
      <c r="BO1223" s="1144"/>
      <c r="BP1223" s="1144"/>
      <c r="BQ1223" s="1144"/>
      <c r="BR1223" s="1144"/>
      <c r="BS1223" s="1144"/>
      <c r="BT1223" s="1144"/>
      <c r="BU1223" s="1144"/>
      <c r="BV1223" s="1144"/>
      <c r="BW1223" s="1144"/>
      <c r="BX1223" s="1144"/>
      <c r="BY1223" s="1144"/>
      <c r="BZ1223" s="1144"/>
      <c r="CA1223" s="1144"/>
      <c r="CB1223" s="1144"/>
      <c r="CC1223" s="1144"/>
      <c r="CD1223" s="1144"/>
      <c r="CE1223" s="1144"/>
      <c r="CF1223" s="1144"/>
      <c r="CG1223" s="1144"/>
      <c r="CH1223" s="1144"/>
      <c r="CI1223" s="1144"/>
      <c r="CJ1223" s="1144"/>
      <c r="CK1223" s="1144"/>
      <c r="CL1223" s="1144"/>
      <c r="CM1223" s="1144"/>
      <c r="CN1223" s="1144"/>
    </row>
    <row r="1224" spans="11:92" ht="12" customHeight="1" x14ac:dyDescent="0.35">
      <c r="K1224" s="29">
        <f t="shared" si="808"/>
        <v>0</v>
      </c>
      <c r="L1224" s="1158">
        <f t="shared" si="809"/>
        <v>821</v>
      </c>
      <c r="M1224" s="34">
        <f t="shared" si="810"/>
        <v>0</v>
      </c>
      <c r="N1224" s="34">
        <f t="shared" si="811"/>
        <v>0</v>
      </c>
      <c r="O1224" s="55">
        <f t="shared" si="804"/>
        <v>0</v>
      </c>
      <c r="P1224" s="55">
        <f t="shared" si="805"/>
        <v>0</v>
      </c>
      <c r="Q1224" s="55">
        <f t="shared" si="806"/>
        <v>0</v>
      </c>
      <c r="R1224" s="31">
        <f>IF(Input!D$298=L1380,Input!D$297,0)</f>
        <v>0</v>
      </c>
      <c r="S1224" s="36">
        <f t="shared" si="812"/>
        <v>0</v>
      </c>
      <c r="T1224" s="1818"/>
      <c r="U1224" s="1814"/>
      <c r="V1224" s="1814"/>
      <c r="W1224" s="1817"/>
      <c r="X1224" s="1814"/>
      <c r="Y1224" s="1801"/>
      <c r="Z1224" s="1801"/>
      <c r="AA1224" s="1801"/>
      <c r="AB1224" s="1801"/>
      <c r="AC1224" s="1801"/>
      <c r="AD1224" s="1801"/>
      <c r="AE1224" s="1801"/>
      <c r="AF1224" s="1814"/>
      <c r="AG1224" s="376"/>
      <c r="AH1224" s="376"/>
      <c r="AI1224" s="376"/>
      <c r="AJ1224" s="376"/>
      <c r="AK1224" s="376"/>
      <c r="AL1224" s="1148"/>
      <c r="AM1224" s="1148"/>
      <c r="AN1224" s="1148"/>
      <c r="AO1224" s="1148"/>
      <c r="AP1224" s="1148"/>
      <c r="AQ1224" s="1144"/>
      <c r="AR1224" s="1144"/>
      <c r="AS1224" s="1144"/>
      <c r="AT1224" s="1144"/>
      <c r="AU1224" s="1144"/>
      <c r="AV1224" s="1144"/>
      <c r="AW1224" s="1144"/>
      <c r="AX1224" s="1144"/>
      <c r="AY1224" s="1144"/>
      <c r="AZ1224" s="1144"/>
      <c r="BA1224" s="1144"/>
      <c r="BB1224" s="1144"/>
      <c r="BC1224" s="1144"/>
      <c r="BD1224" s="1144"/>
      <c r="BE1224" s="1144"/>
      <c r="BF1224" s="1144"/>
      <c r="BG1224" s="1144"/>
      <c r="BH1224" s="1144"/>
      <c r="BI1224" s="1144"/>
      <c r="BJ1224" s="1144"/>
      <c r="BK1224" s="1144"/>
      <c r="BL1224" s="1144"/>
      <c r="BM1224" s="1144"/>
      <c r="BN1224" s="1144"/>
      <c r="BO1224" s="1144"/>
      <c r="BP1224" s="1144"/>
      <c r="BQ1224" s="1144"/>
      <c r="BR1224" s="1144"/>
      <c r="BS1224" s="1144"/>
      <c r="BT1224" s="1144"/>
      <c r="BU1224" s="1144"/>
      <c r="BV1224" s="1144"/>
      <c r="BW1224" s="1144"/>
      <c r="BX1224" s="1144"/>
      <c r="BY1224" s="1144"/>
      <c r="BZ1224" s="1144"/>
      <c r="CA1224" s="1144"/>
      <c r="CB1224" s="1144"/>
      <c r="CC1224" s="1144"/>
      <c r="CD1224" s="1144"/>
      <c r="CE1224" s="1144"/>
      <c r="CF1224" s="1144"/>
      <c r="CG1224" s="1144"/>
      <c r="CH1224" s="1144"/>
      <c r="CI1224" s="1144"/>
      <c r="CJ1224" s="1144"/>
      <c r="CK1224" s="1144"/>
      <c r="CL1224" s="1144"/>
      <c r="CM1224" s="1144"/>
      <c r="CN1224" s="1144"/>
    </row>
    <row r="1225" spans="11:92" ht="12" customHeight="1" x14ac:dyDescent="0.35">
      <c r="K1225" s="29">
        <f t="shared" si="808"/>
        <v>0</v>
      </c>
      <c r="L1225" s="1158">
        <f t="shared" si="809"/>
        <v>851</v>
      </c>
      <c r="M1225" s="34">
        <f t="shared" si="810"/>
        <v>0</v>
      </c>
      <c r="N1225" s="34">
        <f t="shared" si="811"/>
        <v>0</v>
      </c>
      <c r="O1225" s="55">
        <f t="shared" si="804"/>
        <v>0</v>
      </c>
      <c r="P1225" s="55">
        <f t="shared" si="805"/>
        <v>0</v>
      </c>
      <c r="Q1225" s="55">
        <f t="shared" si="806"/>
        <v>0</v>
      </c>
      <c r="R1225" s="31">
        <f>IF(Input!D$298=L1381,Input!D$297,0)</f>
        <v>0</v>
      </c>
      <c r="S1225" s="36">
        <f t="shared" si="812"/>
        <v>0</v>
      </c>
      <c r="T1225" s="1818"/>
      <c r="U1225" s="1814"/>
      <c r="V1225" s="1814"/>
      <c r="W1225" s="1817"/>
      <c r="X1225" s="1814"/>
      <c r="Y1225" s="1801"/>
      <c r="Z1225" s="1801"/>
      <c r="AA1225" s="1801"/>
      <c r="AB1225" s="1801"/>
      <c r="AC1225" s="1801"/>
      <c r="AD1225" s="1801"/>
      <c r="AE1225" s="1801"/>
      <c r="AF1225" s="1814"/>
      <c r="AG1225" s="376"/>
      <c r="AH1225" s="376"/>
      <c r="AI1225" s="376"/>
      <c r="AJ1225" s="376"/>
      <c r="AK1225" s="376"/>
      <c r="AL1225" s="1148"/>
      <c r="AM1225" s="1148"/>
      <c r="AN1225" s="1148"/>
      <c r="AO1225" s="1148"/>
      <c r="AP1225" s="1148"/>
      <c r="AQ1225" s="1144"/>
      <c r="AR1225" s="1144"/>
      <c r="AS1225" s="1144"/>
      <c r="AT1225" s="1144"/>
      <c r="AU1225" s="1144"/>
      <c r="AV1225" s="1144"/>
      <c r="AW1225" s="1144"/>
      <c r="AX1225" s="1144"/>
      <c r="AY1225" s="1144"/>
      <c r="AZ1225" s="1144"/>
      <c r="BA1225" s="1144"/>
      <c r="BB1225" s="1144"/>
      <c r="BC1225" s="1144"/>
      <c r="BD1225" s="1144"/>
      <c r="BE1225" s="1144"/>
      <c r="BF1225" s="1144"/>
      <c r="BG1225" s="1144"/>
      <c r="BH1225" s="1144"/>
      <c r="BI1225" s="1144"/>
      <c r="BJ1225" s="1144"/>
      <c r="BK1225" s="1144"/>
      <c r="BL1225" s="1144"/>
      <c r="BM1225" s="1144"/>
      <c r="BN1225" s="1144"/>
      <c r="BO1225" s="1144"/>
      <c r="BP1225" s="1144"/>
      <c r="BQ1225" s="1144"/>
      <c r="BR1225" s="1144"/>
      <c r="BS1225" s="1144"/>
      <c r="BT1225" s="1144"/>
      <c r="BU1225" s="1144"/>
      <c r="BV1225" s="1144"/>
      <c r="BW1225" s="1144"/>
      <c r="BX1225" s="1144"/>
      <c r="BY1225" s="1144"/>
      <c r="BZ1225" s="1144"/>
      <c r="CA1225" s="1144"/>
      <c r="CB1225" s="1144"/>
      <c r="CC1225" s="1144"/>
      <c r="CD1225" s="1144"/>
      <c r="CE1225" s="1144"/>
      <c r="CF1225" s="1144"/>
      <c r="CG1225" s="1144"/>
      <c r="CH1225" s="1144"/>
      <c r="CI1225" s="1144"/>
      <c r="CJ1225" s="1144"/>
      <c r="CK1225" s="1144"/>
      <c r="CL1225" s="1144"/>
      <c r="CM1225" s="1144"/>
      <c r="CN1225" s="1144"/>
    </row>
    <row r="1226" spans="11:92" ht="12" customHeight="1" x14ac:dyDescent="0.35">
      <c r="K1226" s="29">
        <f t="shared" si="808"/>
        <v>0</v>
      </c>
      <c r="L1226" s="1158">
        <f t="shared" si="809"/>
        <v>882</v>
      </c>
      <c r="M1226" s="34">
        <f t="shared" si="810"/>
        <v>0</v>
      </c>
      <c r="N1226" s="34">
        <f t="shared" si="811"/>
        <v>0</v>
      </c>
      <c r="O1226" s="55">
        <f t="shared" si="804"/>
        <v>0</v>
      </c>
      <c r="P1226" s="55">
        <f t="shared" si="805"/>
        <v>0</v>
      </c>
      <c r="Q1226" s="55">
        <f t="shared" si="806"/>
        <v>0</v>
      </c>
      <c r="R1226" s="31">
        <f>IF(Input!D$298=L1382,Input!D$297,0)</f>
        <v>0</v>
      </c>
      <c r="S1226" s="36">
        <f t="shared" si="812"/>
        <v>0</v>
      </c>
      <c r="T1226" s="1818"/>
      <c r="U1226" s="1814"/>
      <c r="V1226" s="1814"/>
      <c r="W1226" s="1817"/>
      <c r="X1226" s="1814"/>
      <c r="Y1226" s="1801"/>
      <c r="Z1226" s="1801"/>
      <c r="AA1226" s="1801"/>
      <c r="AB1226" s="1801"/>
      <c r="AC1226" s="1801"/>
      <c r="AD1226" s="1801"/>
      <c r="AE1226" s="1801"/>
      <c r="AF1226" s="1814"/>
      <c r="AG1226" s="376"/>
      <c r="AH1226" s="376"/>
      <c r="AI1226" s="376"/>
      <c r="AJ1226" s="376"/>
      <c r="AK1226" s="376"/>
      <c r="AL1226" s="1148"/>
      <c r="AM1226" s="1148"/>
      <c r="AN1226" s="1148"/>
      <c r="AO1226" s="1148"/>
      <c r="AP1226" s="1148"/>
      <c r="AQ1226" s="1144"/>
      <c r="AR1226" s="1144"/>
      <c r="AS1226" s="1144"/>
      <c r="AT1226" s="1144"/>
      <c r="AU1226" s="1144"/>
      <c r="AV1226" s="1144"/>
      <c r="AW1226" s="1144"/>
      <c r="AX1226" s="1144"/>
      <c r="AY1226" s="1144"/>
      <c r="AZ1226" s="1144"/>
      <c r="BA1226" s="1144"/>
      <c r="BB1226" s="1144"/>
      <c r="BC1226" s="1144"/>
      <c r="BD1226" s="1144"/>
      <c r="BE1226" s="1144"/>
      <c r="BF1226" s="1144"/>
      <c r="BG1226" s="1144"/>
      <c r="BH1226" s="1144"/>
      <c r="BI1226" s="1144"/>
      <c r="BJ1226" s="1144"/>
      <c r="BK1226" s="1144"/>
      <c r="BL1226" s="1144"/>
      <c r="BM1226" s="1144"/>
      <c r="BN1226" s="1144"/>
      <c r="BO1226" s="1144"/>
      <c r="BP1226" s="1144"/>
      <c r="BQ1226" s="1144"/>
      <c r="BR1226" s="1144"/>
      <c r="BS1226" s="1144"/>
      <c r="BT1226" s="1144"/>
      <c r="BU1226" s="1144"/>
      <c r="BV1226" s="1144"/>
      <c r="BW1226" s="1144"/>
      <c r="BX1226" s="1144"/>
      <c r="BY1226" s="1144"/>
      <c r="BZ1226" s="1144"/>
      <c r="CA1226" s="1144"/>
      <c r="CB1226" s="1144"/>
      <c r="CC1226" s="1144"/>
      <c r="CD1226" s="1144"/>
      <c r="CE1226" s="1144"/>
      <c r="CF1226" s="1144"/>
      <c r="CG1226" s="1144"/>
      <c r="CH1226" s="1144"/>
      <c r="CI1226" s="1144"/>
      <c r="CJ1226" s="1144"/>
      <c r="CK1226" s="1144"/>
      <c r="CL1226" s="1144"/>
      <c r="CM1226" s="1144"/>
      <c r="CN1226" s="1144"/>
    </row>
    <row r="1227" spans="11:92" ht="12" customHeight="1" x14ac:dyDescent="0.35">
      <c r="K1227" s="29">
        <f t="shared" si="808"/>
        <v>0</v>
      </c>
      <c r="L1227" s="1158">
        <f t="shared" si="809"/>
        <v>912</v>
      </c>
      <c r="M1227" s="34">
        <f t="shared" si="810"/>
        <v>0</v>
      </c>
      <c r="N1227" s="34">
        <f t="shared" si="811"/>
        <v>0</v>
      </c>
      <c r="O1227" s="55">
        <f t="shared" si="804"/>
        <v>0</v>
      </c>
      <c r="P1227" s="55">
        <f t="shared" si="805"/>
        <v>0</v>
      </c>
      <c r="Q1227" s="55">
        <f t="shared" si="806"/>
        <v>0</v>
      </c>
      <c r="R1227" s="31">
        <f>IF(Input!D$298=L1383,Input!D$297,0)</f>
        <v>0</v>
      </c>
      <c r="S1227" s="36">
        <f t="shared" si="812"/>
        <v>0</v>
      </c>
      <c r="T1227" s="1818"/>
      <c r="U1227" s="1814"/>
      <c r="V1227" s="1814"/>
      <c r="W1227" s="1817"/>
      <c r="X1227" s="1814"/>
      <c r="Y1227" s="1801"/>
      <c r="Z1227" s="1801"/>
      <c r="AA1227" s="1801"/>
      <c r="AB1227" s="1801"/>
      <c r="AC1227" s="1801"/>
      <c r="AD1227" s="1801"/>
      <c r="AE1227" s="1801"/>
      <c r="AF1227" s="1814"/>
      <c r="AG1227" s="376"/>
      <c r="AH1227" s="376"/>
      <c r="AI1227" s="376"/>
      <c r="AJ1227" s="376"/>
      <c r="AK1227" s="376"/>
      <c r="AL1227" s="1148"/>
      <c r="AM1227" s="1148"/>
      <c r="AN1227" s="1148"/>
      <c r="AO1227" s="1148"/>
      <c r="AP1227" s="1148"/>
      <c r="AQ1227" s="1144"/>
      <c r="AR1227" s="1144"/>
      <c r="AS1227" s="1144"/>
      <c r="AT1227" s="1144"/>
      <c r="AU1227" s="1144"/>
      <c r="AV1227" s="1144"/>
      <c r="AW1227" s="1144"/>
      <c r="AX1227" s="1144"/>
      <c r="AY1227" s="1144"/>
      <c r="AZ1227" s="1144"/>
      <c r="BA1227" s="1144"/>
      <c r="BB1227" s="1144"/>
      <c r="BC1227" s="1144"/>
      <c r="BD1227" s="1144"/>
      <c r="BE1227" s="1144"/>
      <c r="BF1227" s="1144"/>
      <c r="BG1227" s="1144"/>
      <c r="BH1227" s="1144"/>
      <c r="BI1227" s="1144"/>
      <c r="BJ1227" s="1144"/>
      <c r="BK1227" s="1144"/>
      <c r="BL1227" s="1144"/>
      <c r="BM1227" s="1144"/>
      <c r="BN1227" s="1144"/>
      <c r="BO1227" s="1144"/>
      <c r="BP1227" s="1144"/>
      <c r="BQ1227" s="1144"/>
      <c r="BR1227" s="1144"/>
      <c r="BS1227" s="1144"/>
      <c r="BT1227" s="1144"/>
      <c r="BU1227" s="1144"/>
      <c r="BV1227" s="1144"/>
      <c r="BW1227" s="1144"/>
      <c r="BX1227" s="1144"/>
      <c r="BY1227" s="1144"/>
      <c r="BZ1227" s="1144"/>
      <c r="CA1227" s="1144"/>
      <c r="CB1227" s="1144"/>
      <c r="CC1227" s="1144"/>
      <c r="CD1227" s="1144"/>
      <c r="CE1227" s="1144"/>
      <c r="CF1227" s="1144"/>
      <c r="CG1227" s="1144"/>
      <c r="CH1227" s="1144"/>
      <c r="CI1227" s="1144"/>
      <c r="CJ1227" s="1144"/>
      <c r="CK1227" s="1144"/>
      <c r="CL1227" s="1144"/>
      <c r="CM1227" s="1144"/>
      <c r="CN1227" s="1144"/>
    </row>
    <row r="1228" spans="11:92" ht="12" customHeight="1" x14ac:dyDescent="0.35">
      <c r="K1228" s="29">
        <f t="shared" si="808"/>
        <v>0</v>
      </c>
      <c r="L1228" s="1158">
        <f t="shared" si="809"/>
        <v>943</v>
      </c>
      <c r="M1228" s="34">
        <f t="shared" si="810"/>
        <v>0</v>
      </c>
      <c r="N1228" s="34">
        <f t="shared" si="811"/>
        <v>0</v>
      </c>
      <c r="O1228" s="55">
        <f t="shared" si="804"/>
        <v>0</v>
      </c>
      <c r="P1228" s="55">
        <f t="shared" si="805"/>
        <v>0</v>
      </c>
      <c r="Q1228" s="55">
        <f t="shared" si="806"/>
        <v>0</v>
      </c>
      <c r="R1228" s="31">
        <f>IF(Input!D$298=L1384,Input!D$297,0)</f>
        <v>0</v>
      </c>
      <c r="S1228" s="36">
        <f t="shared" si="812"/>
        <v>0</v>
      </c>
      <c r="T1228" s="1818"/>
      <c r="U1228" s="1814"/>
      <c r="V1228" s="1814"/>
      <c r="W1228" s="1817"/>
      <c r="X1228" s="1814"/>
      <c r="Y1228" s="1801"/>
      <c r="Z1228" s="1801"/>
      <c r="AA1228" s="1801"/>
      <c r="AB1228" s="1801"/>
      <c r="AC1228" s="1801"/>
      <c r="AD1228" s="1801"/>
      <c r="AE1228" s="1801"/>
      <c r="AF1228" s="1814"/>
      <c r="AG1228" s="376"/>
      <c r="AH1228" s="376"/>
      <c r="AI1228" s="376"/>
      <c r="AJ1228" s="376"/>
      <c r="AK1228" s="376"/>
      <c r="AL1228" s="1148"/>
      <c r="AM1228" s="1148"/>
      <c r="AN1228" s="1148"/>
      <c r="AO1228" s="1148"/>
      <c r="AP1228" s="1148"/>
      <c r="AQ1228" s="1144"/>
      <c r="AR1228" s="1144"/>
      <c r="AS1228" s="1144"/>
      <c r="AT1228" s="1144"/>
      <c r="AU1228" s="1144"/>
      <c r="AV1228" s="1144"/>
      <c r="AW1228" s="1144"/>
      <c r="AX1228" s="1144"/>
      <c r="AY1228" s="1144"/>
      <c r="AZ1228" s="1144"/>
      <c r="BA1228" s="1144"/>
      <c r="BB1228" s="1144"/>
      <c r="BC1228" s="1144"/>
      <c r="BD1228" s="1144"/>
      <c r="BE1228" s="1144"/>
      <c r="BF1228" s="1144"/>
      <c r="BG1228" s="1144"/>
      <c r="BH1228" s="1144"/>
      <c r="BI1228" s="1144"/>
      <c r="BJ1228" s="1144"/>
      <c r="BK1228" s="1144"/>
      <c r="BL1228" s="1144"/>
      <c r="BM1228" s="1144"/>
      <c r="BN1228" s="1144"/>
      <c r="BO1228" s="1144"/>
      <c r="BP1228" s="1144"/>
      <c r="BQ1228" s="1144"/>
      <c r="BR1228" s="1144"/>
      <c r="BS1228" s="1144"/>
      <c r="BT1228" s="1144"/>
      <c r="BU1228" s="1144"/>
      <c r="BV1228" s="1144"/>
      <c r="BW1228" s="1144"/>
      <c r="BX1228" s="1144"/>
      <c r="BY1228" s="1144"/>
      <c r="BZ1228" s="1144"/>
      <c r="CA1228" s="1144"/>
      <c r="CB1228" s="1144"/>
      <c r="CC1228" s="1144"/>
      <c r="CD1228" s="1144"/>
      <c r="CE1228" s="1144"/>
      <c r="CF1228" s="1144"/>
      <c r="CG1228" s="1144"/>
      <c r="CH1228" s="1144"/>
      <c r="CI1228" s="1144"/>
      <c r="CJ1228" s="1144"/>
      <c r="CK1228" s="1144"/>
      <c r="CL1228" s="1144"/>
      <c r="CM1228" s="1144"/>
      <c r="CN1228" s="1144"/>
    </row>
    <row r="1229" spans="11:92" ht="12" customHeight="1" x14ac:dyDescent="0.35">
      <c r="K1229" s="29">
        <f t="shared" si="808"/>
        <v>0</v>
      </c>
      <c r="L1229" s="1158">
        <f t="shared" si="809"/>
        <v>974</v>
      </c>
      <c r="M1229" s="34">
        <f t="shared" si="810"/>
        <v>0</v>
      </c>
      <c r="N1229" s="34">
        <f t="shared" si="811"/>
        <v>0</v>
      </c>
      <c r="O1229" s="55">
        <f t="shared" si="804"/>
        <v>0</v>
      </c>
      <c r="P1229" s="55">
        <f t="shared" si="805"/>
        <v>0</v>
      </c>
      <c r="Q1229" s="55">
        <f t="shared" si="806"/>
        <v>0</v>
      </c>
      <c r="R1229" s="31">
        <f>IF(Input!D$298=L1385,Input!D$297,0)</f>
        <v>0</v>
      </c>
      <c r="S1229" s="36">
        <f t="shared" si="812"/>
        <v>0</v>
      </c>
      <c r="T1229" s="1818"/>
      <c r="U1229" s="1814"/>
      <c r="V1229" s="1814"/>
      <c r="W1229" s="1817"/>
      <c r="X1229" s="1814"/>
      <c r="Y1229" s="1801"/>
      <c r="Z1229" s="1801"/>
      <c r="AA1229" s="1801"/>
      <c r="AB1229" s="1801"/>
      <c r="AC1229" s="1801"/>
      <c r="AD1229" s="1801"/>
      <c r="AE1229" s="1801"/>
      <c r="AF1229" s="1814"/>
      <c r="AG1229" s="376"/>
      <c r="AH1229" s="376"/>
      <c r="AI1229" s="376"/>
      <c r="AJ1229" s="376"/>
      <c r="AK1229" s="376"/>
      <c r="AL1229" s="1148"/>
      <c r="AM1229" s="1148"/>
      <c r="AN1229" s="1148"/>
      <c r="AO1229" s="1148"/>
      <c r="AP1229" s="1148"/>
      <c r="AQ1229" s="1144"/>
      <c r="AR1229" s="1144"/>
      <c r="AS1229" s="1144"/>
      <c r="AT1229" s="1144"/>
      <c r="AU1229" s="1144"/>
      <c r="AV1229" s="1144"/>
      <c r="AW1229" s="1144"/>
      <c r="AX1229" s="1144"/>
      <c r="AY1229" s="1144"/>
      <c r="AZ1229" s="1144"/>
      <c r="BA1229" s="1144"/>
      <c r="BB1229" s="1144"/>
      <c r="BC1229" s="1144"/>
      <c r="BD1229" s="1144"/>
      <c r="BE1229" s="1144"/>
      <c r="BF1229" s="1144"/>
      <c r="BG1229" s="1144"/>
      <c r="BH1229" s="1144"/>
      <c r="BI1229" s="1144"/>
      <c r="BJ1229" s="1144"/>
      <c r="BK1229" s="1144"/>
      <c r="BL1229" s="1144"/>
      <c r="BM1229" s="1144"/>
      <c r="BN1229" s="1144"/>
      <c r="BO1229" s="1144"/>
      <c r="BP1229" s="1144"/>
      <c r="BQ1229" s="1144"/>
      <c r="BR1229" s="1144"/>
      <c r="BS1229" s="1144"/>
      <c r="BT1229" s="1144"/>
      <c r="BU1229" s="1144"/>
      <c r="BV1229" s="1144"/>
      <c r="BW1229" s="1144"/>
      <c r="BX1229" s="1144"/>
      <c r="BY1229" s="1144"/>
      <c r="BZ1229" s="1144"/>
      <c r="CA1229" s="1144"/>
      <c r="CB1229" s="1144"/>
      <c r="CC1229" s="1144"/>
      <c r="CD1229" s="1144"/>
      <c r="CE1229" s="1144"/>
      <c r="CF1229" s="1144"/>
      <c r="CG1229" s="1144"/>
      <c r="CH1229" s="1144"/>
      <c r="CI1229" s="1144"/>
      <c r="CJ1229" s="1144"/>
      <c r="CK1229" s="1144"/>
      <c r="CL1229" s="1144"/>
      <c r="CM1229" s="1144"/>
      <c r="CN1229" s="1144"/>
    </row>
    <row r="1230" spans="11:92" ht="12" customHeight="1" x14ac:dyDescent="0.35">
      <c r="K1230" s="29">
        <f t="shared" si="808"/>
        <v>0</v>
      </c>
      <c r="L1230" s="1158">
        <f t="shared" si="809"/>
        <v>1004</v>
      </c>
      <c r="M1230" s="34">
        <f t="shared" si="810"/>
        <v>0</v>
      </c>
      <c r="N1230" s="34">
        <f t="shared" si="811"/>
        <v>0</v>
      </c>
      <c r="O1230" s="55">
        <f t="shared" ref="O1230:O1257" si="813">IF(M1230&lt;1,0,-IPMT(N$1134/12,K1230,N$1133,N$1131,0))</f>
        <v>0</v>
      </c>
      <c r="P1230" s="55">
        <f t="shared" ref="P1230:P1257" si="814">N1230-O1230</f>
        <v>0</v>
      </c>
      <c r="Q1230" s="55">
        <f t="shared" ref="Q1230:Q1257" si="815">M1230-P1230</f>
        <v>0</v>
      </c>
      <c r="R1230" s="31">
        <f>IF(Input!D$298=L1386,Input!D$297,0)</f>
        <v>0</v>
      </c>
      <c r="S1230" s="36">
        <f t="shared" si="812"/>
        <v>0</v>
      </c>
      <c r="T1230" s="1818"/>
      <c r="U1230" s="1814"/>
      <c r="V1230" s="1814"/>
      <c r="W1230" s="1817"/>
      <c r="X1230" s="1814"/>
      <c r="Y1230" s="1801"/>
      <c r="Z1230" s="1801"/>
      <c r="AA1230" s="1801"/>
      <c r="AB1230" s="1801"/>
      <c r="AC1230" s="1801"/>
      <c r="AD1230" s="1801"/>
      <c r="AE1230" s="1801"/>
      <c r="AF1230" s="1814"/>
      <c r="AG1230" s="376"/>
      <c r="AH1230" s="376"/>
      <c r="AI1230" s="376"/>
      <c r="AJ1230" s="376"/>
      <c r="AK1230" s="376"/>
      <c r="AL1230" s="1148"/>
      <c r="AM1230" s="1148"/>
      <c r="AN1230" s="1148"/>
      <c r="AO1230" s="1148"/>
      <c r="AP1230" s="1148"/>
      <c r="AQ1230" s="1144"/>
      <c r="AR1230" s="1144"/>
      <c r="AS1230" s="1144"/>
      <c r="AT1230" s="1144"/>
      <c r="AU1230" s="1144"/>
      <c r="AV1230" s="1144"/>
      <c r="AW1230" s="1144"/>
      <c r="AX1230" s="1144"/>
      <c r="AY1230" s="1144"/>
      <c r="AZ1230" s="1144"/>
      <c r="BA1230" s="1144"/>
      <c r="BB1230" s="1144"/>
      <c r="BC1230" s="1144"/>
      <c r="BD1230" s="1144"/>
      <c r="BE1230" s="1144"/>
      <c r="BF1230" s="1144"/>
      <c r="BG1230" s="1144"/>
      <c r="BH1230" s="1144"/>
      <c r="BI1230" s="1144"/>
      <c r="BJ1230" s="1144"/>
      <c r="BK1230" s="1144"/>
      <c r="BL1230" s="1144"/>
      <c r="BM1230" s="1144"/>
      <c r="BN1230" s="1144"/>
      <c r="BO1230" s="1144"/>
      <c r="BP1230" s="1144"/>
      <c r="BQ1230" s="1144"/>
      <c r="BR1230" s="1144"/>
      <c r="BS1230" s="1144"/>
      <c r="BT1230" s="1144"/>
      <c r="BU1230" s="1144"/>
      <c r="BV1230" s="1144"/>
      <c r="BW1230" s="1144"/>
      <c r="BX1230" s="1144"/>
      <c r="BY1230" s="1144"/>
      <c r="BZ1230" s="1144"/>
      <c r="CA1230" s="1144"/>
      <c r="CB1230" s="1144"/>
      <c r="CC1230" s="1144"/>
      <c r="CD1230" s="1144"/>
      <c r="CE1230" s="1144"/>
      <c r="CF1230" s="1144"/>
      <c r="CG1230" s="1144"/>
      <c r="CH1230" s="1144"/>
      <c r="CI1230" s="1144"/>
      <c r="CJ1230" s="1144"/>
      <c r="CK1230" s="1144"/>
      <c r="CL1230" s="1144"/>
      <c r="CM1230" s="1144"/>
      <c r="CN1230" s="1144"/>
    </row>
    <row r="1231" spans="11:92" ht="12" customHeight="1" x14ac:dyDescent="0.35">
      <c r="K1231" s="29">
        <f t="shared" si="808"/>
        <v>0</v>
      </c>
      <c r="L1231" s="1158">
        <f t="shared" si="809"/>
        <v>1035</v>
      </c>
      <c r="M1231" s="34">
        <f t="shared" si="810"/>
        <v>0</v>
      </c>
      <c r="N1231" s="34">
        <f t="shared" si="811"/>
        <v>0</v>
      </c>
      <c r="O1231" s="55">
        <f t="shared" si="813"/>
        <v>0</v>
      </c>
      <c r="P1231" s="55">
        <f t="shared" si="814"/>
        <v>0</v>
      </c>
      <c r="Q1231" s="55">
        <f t="shared" si="815"/>
        <v>0</v>
      </c>
      <c r="R1231" s="31">
        <f>IF(Input!D$298=L1387,Input!D$297,0)</f>
        <v>0</v>
      </c>
      <c r="S1231" s="36">
        <f t="shared" si="812"/>
        <v>0</v>
      </c>
      <c r="T1231" s="1818"/>
      <c r="U1231" s="1814"/>
      <c r="V1231" s="1814"/>
      <c r="W1231" s="1817"/>
      <c r="X1231" s="1814"/>
      <c r="Y1231" s="1801"/>
      <c r="Z1231" s="1801"/>
      <c r="AA1231" s="1801"/>
      <c r="AB1231" s="1801"/>
      <c r="AC1231" s="1801"/>
      <c r="AD1231" s="1801"/>
      <c r="AE1231" s="1801"/>
      <c r="AF1231" s="1814"/>
      <c r="AG1231" s="376"/>
      <c r="AH1231" s="376"/>
      <c r="AI1231" s="376"/>
      <c r="AJ1231" s="376"/>
      <c r="AK1231" s="376"/>
      <c r="AL1231" s="1148"/>
      <c r="AM1231" s="1148"/>
      <c r="AN1231" s="1148"/>
      <c r="AO1231" s="1148"/>
      <c r="AP1231" s="1148"/>
      <c r="AQ1231" s="1144"/>
      <c r="AR1231" s="1144"/>
      <c r="AS1231" s="1144"/>
      <c r="AT1231" s="1144"/>
      <c r="AU1231" s="1144"/>
      <c r="AV1231" s="1144"/>
      <c r="AW1231" s="1144"/>
      <c r="AX1231" s="1144"/>
      <c r="AY1231" s="1144"/>
      <c r="AZ1231" s="1144"/>
      <c r="BA1231" s="1144"/>
      <c r="BB1231" s="1144"/>
      <c r="BC1231" s="1144"/>
      <c r="BD1231" s="1144"/>
      <c r="BE1231" s="1144"/>
      <c r="BF1231" s="1144"/>
      <c r="BG1231" s="1144"/>
      <c r="BH1231" s="1144"/>
      <c r="BI1231" s="1144"/>
      <c r="BJ1231" s="1144"/>
      <c r="BK1231" s="1144"/>
      <c r="BL1231" s="1144"/>
      <c r="BM1231" s="1144"/>
      <c r="BN1231" s="1144"/>
      <c r="BO1231" s="1144"/>
      <c r="BP1231" s="1144"/>
      <c r="BQ1231" s="1144"/>
      <c r="BR1231" s="1144"/>
      <c r="BS1231" s="1144"/>
      <c r="BT1231" s="1144"/>
      <c r="BU1231" s="1144"/>
      <c r="BV1231" s="1144"/>
      <c r="BW1231" s="1144"/>
      <c r="BX1231" s="1144"/>
      <c r="BY1231" s="1144"/>
      <c r="BZ1231" s="1144"/>
      <c r="CA1231" s="1144"/>
      <c r="CB1231" s="1144"/>
      <c r="CC1231" s="1144"/>
      <c r="CD1231" s="1144"/>
      <c r="CE1231" s="1144"/>
      <c r="CF1231" s="1144"/>
      <c r="CG1231" s="1144"/>
      <c r="CH1231" s="1144"/>
      <c r="CI1231" s="1144"/>
      <c r="CJ1231" s="1144"/>
      <c r="CK1231" s="1144"/>
      <c r="CL1231" s="1144"/>
      <c r="CM1231" s="1144"/>
      <c r="CN1231" s="1144"/>
    </row>
    <row r="1232" spans="11:92" ht="12" customHeight="1" x14ac:dyDescent="0.35">
      <c r="K1232" s="29">
        <f t="shared" si="808"/>
        <v>0</v>
      </c>
      <c r="L1232" s="1158">
        <f t="shared" si="809"/>
        <v>1065</v>
      </c>
      <c r="M1232" s="34">
        <f t="shared" si="810"/>
        <v>0</v>
      </c>
      <c r="N1232" s="34">
        <f t="shared" si="811"/>
        <v>0</v>
      </c>
      <c r="O1232" s="55">
        <f t="shared" si="813"/>
        <v>0</v>
      </c>
      <c r="P1232" s="55">
        <f t="shared" si="814"/>
        <v>0</v>
      </c>
      <c r="Q1232" s="55">
        <f t="shared" si="815"/>
        <v>0</v>
      </c>
      <c r="R1232" s="31">
        <f>IF(Input!D$298=L1388,Input!D$297,0)</f>
        <v>0</v>
      </c>
      <c r="S1232" s="36">
        <f t="shared" si="812"/>
        <v>0</v>
      </c>
      <c r="T1232" s="1818"/>
      <c r="U1232" s="1814"/>
      <c r="V1232" s="1814"/>
      <c r="W1232" s="1817"/>
      <c r="X1232" s="1814"/>
      <c r="Y1232" s="1801"/>
      <c r="Z1232" s="1801"/>
      <c r="AA1232" s="1801"/>
      <c r="AB1232" s="1801"/>
      <c r="AC1232" s="1801"/>
      <c r="AD1232" s="1801"/>
      <c r="AE1232" s="1801"/>
      <c r="AF1232" s="1814"/>
      <c r="AG1232" s="376"/>
      <c r="AH1232" s="376"/>
      <c r="AI1232" s="376"/>
      <c r="AJ1232" s="376"/>
      <c r="AK1232" s="376"/>
      <c r="AL1232" s="1148"/>
      <c r="AM1232" s="1148"/>
      <c r="AN1232" s="1148"/>
      <c r="AO1232" s="1148"/>
      <c r="AP1232" s="1148"/>
      <c r="AQ1232" s="1144"/>
      <c r="AR1232" s="1144"/>
      <c r="AS1232" s="1144"/>
      <c r="AT1232" s="1144"/>
      <c r="AU1232" s="1144"/>
      <c r="AV1232" s="1144"/>
      <c r="AW1232" s="1144"/>
      <c r="AX1232" s="1144"/>
      <c r="AY1232" s="1144"/>
      <c r="AZ1232" s="1144"/>
      <c r="BA1232" s="1144"/>
      <c r="BB1232" s="1144"/>
      <c r="BC1232" s="1144"/>
      <c r="BD1232" s="1144"/>
      <c r="BE1232" s="1144"/>
      <c r="BF1232" s="1144"/>
      <c r="BG1232" s="1144"/>
      <c r="BH1232" s="1144"/>
      <c r="BI1232" s="1144"/>
      <c r="BJ1232" s="1144"/>
      <c r="BK1232" s="1144"/>
      <c r="BL1232" s="1144"/>
      <c r="BM1232" s="1144"/>
      <c r="BN1232" s="1144"/>
      <c r="BO1232" s="1144"/>
      <c r="BP1232" s="1144"/>
      <c r="BQ1232" s="1144"/>
      <c r="BR1232" s="1144"/>
      <c r="BS1232" s="1144"/>
      <c r="BT1232" s="1144"/>
      <c r="BU1232" s="1144"/>
      <c r="BV1232" s="1144"/>
      <c r="BW1232" s="1144"/>
      <c r="BX1232" s="1144"/>
      <c r="BY1232" s="1144"/>
      <c r="BZ1232" s="1144"/>
      <c r="CA1232" s="1144"/>
      <c r="CB1232" s="1144"/>
      <c r="CC1232" s="1144"/>
      <c r="CD1232" s="1144"/>
      <c r="CE1232" s="1144"/>
      <c r="CF1232" s="1144"/>
      <c r="CG1232" s="1144"/>
      <c r="CH1232" s="1144"/>
      <c r="CI1232" s="1144"/>
      <c r="CJ1232" s="1144"/>
      <c r="CK1232" s="1144"/>
      <c r="CL1232" s="1144"/>
      <c r="CM1232" s="1144"/>
      <c r="CN1232" s="1144"/>
    </row>
    <row r="1233" spans="11:92" ht="12" customHeight="1" x14ac:dyDescent="0.35">
      <c r="K1233" s="29">
        <f t="shared" si="808"/>
        <v>0</v>
      </c>
      <c r="L1233" s="1158">
        <f t="shared" si="809"/>
        <v>1096</v>
      </c>
      <c r="M1233" s="34">
        <f t="shared" si="810"/>
        <v>0</v>
      </c>
      <c r="N1233" s="34">
        <f t="shared" si="811"/>
        <v>0</v>
      </c>
      <c r="O1233" s="55">
        <f t="shared" si="813"/>
        <v>0</v>
      </c>
      <c r="P1233" s="55">
        <f t="shared" si="814"/>
        <v>0</v>
      </c>
      <c r="Q1233" s="55">
        <f t="shared" si="815"/>
        <v>0</v>
      </c>
      <c r="R1233" s="31">
        <f>IF(Input!D$298=L1389,Input!D$297,0)</f>
        <v>0</v>
      </c>
      <c r="S1233" s="36">
        <f t="shared" si="812"/>
        <v>0</v>
      </c>
      <c r="T1233" s="1818"/>
      <c r="U1233" s="1814"/>
      <c r="V1233" s="1814"/>
      <c r="W1233" s="1817"/>
      <c r="X1233" s="1814"/>
      <c r="Y1233" s="1801"/>
      <c r="Z1233" s="1801"/>
      <c r="AA1233" s="1801"/>
      <c r="AB1233" s="1801"/>
      <c r="AC1233" s="1801"/>
      <c r="AD1233" s="1801"/>
      <c r="AE1233" s="1801"/>
      <c r="AF1233" s="1814"/>
      <c r="AG1233" s="376"/>
      <c r="AH1233" s="376"/>
      <c r="AI1233" s="376"/>
      <c r="AJ1233" s="376"/>
      <c r="AK1233" s="376"/>
      <c r="AL1233" s="1148"/>
      <c r="AM1233" s="1148"/>
      <c r="AN1233" s="1148"/>
      <c r="AO1233" s="1148"/>
      <c r="AP1233" s="1148"/>
      <c r="AQ1233" s="1144"/>
      <c r="AR1233" s="1144"/>
      <c r="AS1233" s="1144"/>
      <c r="AT1233" s="1144"/>
      <c r="AU1233" s="1144"/>
      <c r="AV1233" s="1144"/>
      <c r="AW1233" s="1144"/>
      <c r="AX1233" s="1144"/>
      <c r="AY1233" s="1144"/>
      <c r="AZ1233" s="1144"/>
      <c r="BA1233" s="1144"/>
      <c r="BB1233" s="1144"/>
      <c r="BC1233" s="1144"/>
      <c r="BD1233" s="1144"/>
      <c r="BE1233" s="1144"/>
      <c r="BF1233" s="1144"/>
      <c r="BG1233" s="1144"/>
      <c r="BH1233" s="1144"/>
      <c r="BI1233" s="1144"/>
      <c r="BJ1233" s="1144"/>
      <c r="BK1233" s="1144"/>
      <c r="BL1233" s="1144"/>
      <c r="BM1233" s="1144"/>
      <c r="BN1233" s="1144"/>
      <c r="BO1233" s="1144"/>
      <c r="BP1233" s="1144"/>
      <c r="BQ1233" s="1144"/>
      <c r="BR1233" s="1144"/>
      <c r="BS1233" s="1144"/>
      <c r="BT1233" s="1144"/>
      <c r="BU1233" s="1144"/>
      <c r="BV1233" s="1144"/>
      <c r="BW1233" s="1144"/>
      <c r="BX1233" s="1144"/>
      <c r="BY1233" s="1144"/>
      <c r="BZ1233" s="1144"/>
      <c r="CA1233" s="1144"/>
      <c r="CB1233" s="1144"/>
      <c r="CC1233" s="1144"/>
      <c r="CD1233" s="1144"/>
      <c r="CE1233" s="1144"/>
      <c r="CF1233" s="1144"/>
      <c r="CG1233" s="1144"/>
      <c r="CH1233" s="1144"/>
      <c r="CI1233" s="1144"/>
      <c r="CJ1233" s="1144"/>
      <c r="CK1233" s="1144"/>
      <c r="CL1233" s="1144"/>
      <c r="CM1233" s="1144"/>
      <c r="CN1233" s="1144"/>
    </row>
    <row r="1234" spans="11:92" ht="12" customHeight="1" x14ac:dyDescent="0.35">
      <c r="K1234" s="29">
        <f t="shared" si="808"/>
        <v>0</v>
      </c>
      <c r="L1234" s="1158">
        <f t="shared" si="809"/>
        <v>1127</v>
      </c>
      <c r="M1234" s="34">
        <f t="shared" si="810"/>
        <v>0</v>
      </c>
      <c r="N1234" s="34">
        <f t="shared" si="811"/>
        <v>0</v>
      </c>
      <c r="O1234" s="55">
        <f t="shared" si="813"/>
        <v>0</v>
      </c>
      <c r="P1234" s="55">
        <f t="shared" si="814"/>
        <v>0</v>
      </c>
      <c r="Q1234" s="55">
        <f t="shared" si="815"/>
        <v>0</v>
      </c>
      <c r="R1234" s="31">
        <f>IF(Input!D$298=L1390,Input!D$297,0)</f>
        <v>0</v>
      </c>
      <c r="S1234" s="36">
        <f t="shared" si="812"/>
        <v>0</v>
      </c>
      <c r="T1234" s="1818"/>
      <c r="U1234" s="1814"/>
      <c r="V1234" s="1814"/>
      <c r="W1234" s="1817"/>
      <c r="X1234" s="1814"/>
      <c r="Y1234" s="1801"/>
      <c r="Z1234" s="1801"/>
      <c r="AA1234" s="1801"/>
      <c r="AB1234" s="1801"/>
      <c r="AC1234" s="1801"/>
      <c r="AD1234" s="1801"/>
      <c r="AE1234" s="1801"/>
      <c r="AF1234" s="1814"/>
      <c r="AG1234" s="376"/>
      <c r="AH1234" s="376"/>
      <c r="AI1234" s="376"/>
      <c r="AJ1234" s="376"/>
      <c r="AK1234" s="376"/>
      <c r="AL1234" s="1148"/>
      <c r="AM1234" s="1148"/>
      <c r="AN1234" s="1148"/>
      <c r="AO1234" s="1148"/>
      <c r="AP1234" s="1148"/>
      <c r="AQ1234" s="1144"/>
      <c r="AR1234" s="1144"/>
      <c r="AS1234" s="1144"/>
      <c r="AT1234" s="1144"/>
      <c r="AU1234" s="1144"/>
      <c r="AV1234" s="1144"/>
      <c r="AW1234" s="1144"/>
      <c r="AX1234" s="1144"/>
      <c r="AY1234" s="1144"/>
      <c r="AZ1234" s="1144"/>
      <c r="BA1234" s="1144"/>
      <c r="BB1234" s="1144"/>
      <c r="BC1234" s="1144"/>
      <c r="BD1234" s="1144"/>
      <c r="BE1234" s="1144"/>
      <c r="BF1234" s="1144"/>
      <c r="BG1234" s="1144"/>
      <c r="BH1234" s="1144"/>
      <c r="BI1234" s="1144"/>
      <c r="BJ1234" s="1144"/>
      <c r="BK1234" s="1144"/>
      <c r="BL1234" s="1144"/>
      <c r="BM1234" s="1144"/>
      <c r="BN1234" s="1144"/>
      <c r="BO1234" s="1144"/>
      <c r="BP1234" s="1144"/>
      <c r="BQ1234" s="1144"/>
      <c r="BR1234" s="1144"/>
      <c r="BS1234" s="1144"/>
      <c r="BT1234" s="1144"/>
      <c r="BU1234" s="1144"/>
      <c r="BV1234" s="1144"/>
      <c r="BW1234" s="1144"/>
      <c r="BX1234" s="1144"/>
      <c r="BY1234" s="1144"/>
      <c r="BZ1234" s="1144"/>
      <c r="CA1234" s="1144"/>
      <c r="CB1234" s="1144"/>
      <c r="CC1234" s="1144"/>
      <c r="CD1234" s="1144"/>
      <c r="CE1234" s="1144"/>
      <c r="CF1234" s="1144"/>
      <c r="CG1234" s="1144"/>
      <c r="CH1234" s="1144"/>
      <c r="CI1234" s="1144"/>
      <c r="CJ1234" s="1144"/>
      <c r="CK1234" s="1144"/>
      <c r="CL1234" s="1144"/>
      <c r="CM1234" s="1144"/>
      <c r="CN1234" s="1144"/>
    </row>
    <row r="1235" spans="11:92" ht="12" customHeight="1" x14ac:dyDescent="0.35">
      <c r="K1235" s="29">
        <f t="shared" si="808"/>
        <v>0</v>
      </c>
      <c r="L1235" s="1158">
        <f t="shared" si="809"/>
        <v>1155</v>
      </c>
      <c r="M1235" s="34">
        <f t="shared" si="810"/>
        <v>0</v>
      </c>
      <c r="N1235" s="34">
        <f t="shared" si="811"/>
        <v>0</v>
      </c>
      <c r="O1235" s="55">
        <f t="shared" si="813"/>
        <v>0</v>
      </c>
      <c r="P1235" s="55">
        <f t="shared" si="814"/>
        <v>0</v>
      </c>
      <c r="Q1235" s="55">
        <f t="shared" si="815"/>
        <v>0</v>
      </c>
      <c r="R1235" s="31">
        <f>IF(Input!D$298=L1391,Input!D$297,0)</f>
        <v>0</v>
      </c>
      <c r="S1235" s="36">
        <f t="shared" si="812"/>
        <v>0</v>
      </c>
      <c r="T1235" s="1818"/>
      <c r="U1235" s="1814"/>
      <c r="V1235" s="1814"/>
      <c r="W1235" s="1817"/>
      <c r="X1235" s="1814"/>
      <c r="Y1235" s="1801"/>
      <c r="Z1235" s="1801"/>
      <c r="AA1235" s="1801"/>
      <c r="AB1235" s="1801"/>
      <c r="AC1235" s="1801"/>
      <c r="AD1235" s="1801"/>
      <c r="AE1235" s="1801"/>
      <c r="AF1235" s="1814"/>
      <c r="AG1235" s="376"/>
      <c r="AH1235" s="376"/>
      <c r="AI1235" s="376"/>
      <c r="AJ1235" s="376"/>
      <c r="AK1235" s="376"/>
      <c r="AL1235" s="1148"/>
      <c r="AM1235" s="1148"/>
      <c r="AN1235" s="1148"/>
      <c r="AO1235" s="1148"/>
      <c r="AP1235" s="1148"/>
      <c r="AQ1235" s="1144"/>
      <c r="AR1235" s="1144"/>
      <c r="AS1235" s="1144"/>
      <c r="AT1235" s="1144"/>
      <c r="AU1235" s="1144"/>
      <c r="AV1235" s="1144"/>
      <c r="AW1235" s="1144"/>
      <c r="AX1235" s="1144"/>
      <c r="AY1235" s="1144"/>
      <c r="AZ1235" s="1144"/>
      <c r="BA1235" s="1144"/>
      <c r="BB1235" s="1144"/>
      <c r="BC1235" s="1144"/>
      <c r="BD1235" s="1144"/>
      <c r="BE1235" s="1144"/>
      <c r="BF1235" s="1144"/>
      <c r="BG1235" s="1144"/>
      <c r="BH1235" s="1144"/>
      <c r="BI1235" s="1144"/>
      <c r="BJ1235" s="1144"/>
      <c r="BK1235" s="1144"/>
      <c r="BL1235" s="1144"/>
      <c r="BM1235" s="1144"/>
      <c r="BN1235" s="1144"/>
      <c r="BO1235" s="1144"/>
      <c r="BP1235" s="1144"/>
      <c r="BQ1235" s="1144"/>
      <c r="BR1235" s="1144"/>
      <c r="BS1235" s="1144"/>
      <c r="BT1235" s="1144"/>
      <c r="BU1235" s="1144"/>
      <c r="BV1235" s="1144"/>
      <c r="BW1235" s="1144"/>
      <c r="BX1235" s="1144"/>
      <c r="BY1235" s="1144"/>
      <c r="BZ1235" s="1144"/>
      <c r="CA1235" s="1144"/>
      <c r="CB1235" s="1144"/>
      <c r="CC1235" s="1144"/>
      <c r="CD1235" s="1144"/>
      <c r="CE1235" s="1144"/>
      <c r="CF1235" s="1144"/>
      <c r="CG1235" s="1144"/>
      <c r="CH1235" s="1144"/>
      <c r="CI1235" s="1144"/>
      <c r="CJ1235" s="1144"/>
      <c r="CK1235" s="1144"/>
      <c r="CL1235" s="1144"/>
      <c r="CM1235" s="1144"/>
      <c r="CN1235" s="1144"/>
    </row>
    <row r="1236" spans="11:92" ht="12" customHeight="1" x14ac:dyDescent="0.35">
      <c r="K1236" s="29">
        <f t="shared" si="808"/>
        <v>0</v>
      </c>
      <c r="L1236" s="1158">
        <f t="shared" si="809"/>
        <v>1186</v>
      </c>
      <c r="M1236" s="34">
        <f t="shared" si="810"/>
        <v>0</v>
      </c>
      <c r="N1236" s="34">
        <f t="shared" si="811"/>
        <v>0</v>
      </c>
      <c r="O1236" s="55">
        <f t="shared" si="813"/>
        <v>0</v>
      </c>
      <c r="P1236" s="55">
        <f t="shared" si="814"/>
        <v>0</v>
      </c>
      <c r="Q1236" s="55">
        <f t="shared" si="815"/>
        <v>0</v>
      </c>
      <c r="R1236" s="31">
        <f>IF(Input!D$298=L1392,Input!D$297,0)</f>
        <v>0</v>
      </c>
      <c r="S1236" s="36">
        <f t="shared" si="812"/>
        <v>0</v>
      </c>
      <c r="T1236" s="1818"/>
      <c r="U1236" s="1814"/>
      <c r="V1236" s="1814"/>
      <c r="W1236" s="1817"/>
      <c r="X1236" s="1814"/>
      <c r="Y1236" s="1801"/>
      <c r="Z1236" s="1801"/>
      <c r="AA1236" s="1801"/>
      <c r="AB1236" s="1801"/>
      <c r="AC1236" s="1801"/>
      <c r="AD1236" s="1801"/>
      <c r="AE1236" s="1801"/>
      <c r="AF1236" s="1814"/>
      <c r="AG1236" s="376"/>
      <c r="AH1236" s="376"/>
      <c r="AI1236" s="376"/>
      <c r="AJ1236" s="376"/>
      <c r="AK1236" s="376"/>
      <c r="AL1236" s="1148"/>
      <c r="AM1236" s="1148"/>
      <c r="AN1236" s="1148"/>
      <c r="AO1236" s="1148"/>
      <c r="AP1236" s="1148"/>
      <c r="AQ1236" s="1144"/>
      <c r="AR1236" s="1144"/>
      <c r="AS1236" s="1144"/>
      <c r="AT1236" s="1144"/>
      <c r="AU1236" s="1144"/>
      <c r="AV1236" s="1144"/>
      <c r="AW1236" s="1144"/>
      <c r="AX1236" s="1144"/>
      <c r="AY1236" s="1144"/>
      <c r="AZ1236" s="1144"/>
      <c r="BA1236" s="1144"/>
      <c r="BB1236" s="1144"/>
      <c r="BC1236" s="1144"/>
      <c r="BD1236" s="1144"/>
      <c r="BE1236" s="1144"/>
      <c r="BF1236" s="1144"/>
      <c r="BG1236" s="1144"/>
      <c r="BH1236" s="1144"/>
      <c r="BI1236" s="1144"/>
      <c r="BJ1236" s="1144"/>
      <c r="BK1236" s="1144"/>
      <c r="BL1236" s="1144"/>
      <c r="BM1236" s="1144"/>
      <c r="BN1236" s="1144"/>
      <c r="BO1236" s="1144"/>
      <c r="BP1236" s="1144"/>
      <c r="BQ1236" s="1144"/>
      <c r="BR1236" s="1144"/>
      <c r="BS1236" s="1144"/>
      <c r="BT1236" s="1144"/>
      <c r="BU1236" s="1144"/>
      <c r="BV1236" s="1144"/>
      <c r="BW1236" s="1144"/>
      <c r="BX1236" s="1144"/>
      <c r="BY1236" s="1144"/>
      <c r="BZ1236" s="1144"/>
      <c r="CA1236" s="1144"/>
      <c r="CB1236" s="1144"/>
      <c r="CC1236" s="1144"/>
      <c r="CD1236" s="1144"/>
      <c r="CE1236" s="1144"/>
      <c r="CF1236" s="1144"/>
      <c r="CG1236" s="1144"/>
      <c r="CH1236" s="1144"/>
      <c r="CI1236" s="1144"/>
      <c r="CJ1236" s="1144"/>
      <c r="CK1236" s="1144"/>
      <c r="CL1236" s="1144"/>
      <c r="CM1236" s="1144"/>
      <c r="CN1236" s="1144"/>
    </row>
    <row r="1237" spans="11:92" ht="12" customHeight="1" x14ac:dyDescent="0.35">
      <c r="K1237" s="29">
        <f t="shared" si="808"/>
        <v>0</v>
      </c>
      <c r="L1237" s="1158">
        <f t="shared" si="809"/>
        <v>1216</v>
      </c>
      <c r="M1237" s="34">
        <f t="shared" si="810"/>
        <v>0</v>
      </c>
      <c r="N1237" s="34">
        <f t="shared" si="811"/>
        <v>0</v>
      </c>
      <c r="O1237" s="55">
        <f t="shared" si="813"/>
        <v>0</v>
      </c>
      <c r="P1237" s="55">
        <f t="shared" si="814"/>
        <v>0</v>
      </c>
      <c r="Q1237" s="55">
        <f t="shared" si="815"/>
        <v>0</v>
      </c>
      <c r="R1237" s="31">
        <f>IF(Input!D$298=L1393,Input!D$297,0)</f>
        <v>0</v>
      </c>
      <c r="S1237" s="36">
        <f t="shared" si="812"/>
        <v>0</v>
      </c>
      <c r="T1237" s="1818"/>
      <c r="U1237" s="1814"/>
      <c r="V1237" s="1814"/>
      <c r="W1237" s="1817"/>
      <c r="X1237" s="1814"/>
      <c r="Y1237" s="1801"/>
      <c r="Z1237" s="1801"/>
      <c r="AA1237" s="1801"/>
      <c r="AB1237" s="1801"/>
      <c r="AC1237" s="1801"/>
      <c r="AD1237" s="1801"/>
      <c r="AE1237" s="1801"/>
      <c r="AF1237" s="1814"/>
      <c r="AG1237" s="376"/>
      <c r="AH1237" s="376"/>
      <c r="AI1237" s="376"/>
      <c r="AJ1237" s="376"/>
      <c r="AK1237" s="376"/>
      <c r="AL1237" s="1148"/>
      <c r="AM1237" s="1148"/>
      <c r="AN1237" s="1148"/>
      <c r="AO1237" s="1148"/>
      <c r="AP1237" s="1148"/>
      <c r="AQ1237" s="1144"/>
      <c r="AR1237" s="1144"/>
      <c r="AS1237" s="1144"/>
      <c r="AT1237" s="1144"/>
      <c r="AU1237" s="1144"/>
      <c r="AV1237" s="1144"/>
      <c r="AW1237" s="1144"/>
      <c r="AX1237" s="1144"/>
      <c r="AY1237" s="1144"/>
      <c r="AZ1237" s="1144"/>
      <c r="BA1237" s="1144"/>
      <c r="BB1237" s="1144"/>
      <c r="BC1237" s="1144"/>
      <c r="BD1237" s="1144"/>
      <c r="BE1237" s="1144"/>
      <c r="BF1237" s="1144"/>
      <c r="BG1237" s="1144"/>
      <c r="BH1237" s="1144"/>
      <c r="BI1237" s="1144"/>
      <c r="BJ1237" s="1144"/>
      <c r="BK1237" s="1144"/>
      <c r="BL1237" s="1144"/>
      <c r="BM1237" s="1144"/>
      <c r="BN1237" s="1144"/>
      <c r="BO1237" s="1144"/>
      <c r="BP1237" s="1144"/>
      <c r="BQ1237" s="1144"/>
      <c r="BR1237" s="1144"/>
      <c r="BS1237" s="1144"/>
      <c r="BT1237" s="1144"/>
      <c r="BU1237" s="1144"/>
      <c r="BV1237" s="1144"/>
      <c r="BW1237" s="1144"/>
      <c r="BX1237" s="1144"/>
      <c r="BY1237" s="1144"/>
      <c r="BZ1237" s="1144"/>
      <c r="CA1237" s="1144"/>
      <c r="CB1237" s="1144"/>
      <c r="CC1237" s="1144"/>
      <c r="CD1237" s="1144"/>
      <c r="CE1237" s="1144"/>
      <c r="CF1237" s="1144"/>
      <c r="CG1237" s="1144"/>
      <c r="CH1237" s="1144"/>
      <c r="CI1237" s="1144"/>
      <c r="CJ1237" s="1144"/>
      <c r="CK1237" s="1144"/>
      <c r="CL1237" s="1144"/>
      <c r="CM1237" s="1144"/>
      <c r="CN1237" s="1144"/>
    </row>
    <row r="1238" spans="11:92" ht="12" customHeight="1" x14ac:dyDescent="0.35">
      <c r="K1238" s="29">
        <f t="shared" si="808"/>
        <v>0</v>
      </c>
      <c r="L1238" s="1158">
        <f t="shared" si="809"/>
        <v>1247</v>
      </c>
      <c r="M1238" s="34">
        <f t="shared" si="810"/>
        <v>0</v>
      </c>
      <c r="N1238" s="34">
        <f t="shared" si="811"/>
        <v>0</v>
      </c>
      <c r="O1238" s="55">
        <f t="shared" si="813"/>
        <v>0</v>
      </c>
      <c r="P1238" s="55">
        <f t="shared" si="814"/>
        <v>0</v>
      </c>
      <c r="Q1238" s="55">
        <f t="shared" si="815"/>
        <v>0</v>
      </c>
      <c r="R1238" s="31">
        <f>IF(Input!D$298=L1394,Input!D$297,0)</f>
        <v>0</v>
      </c>
      <c r="S1238" s="36">
        <f t="shared" si="812"/>
        <v>0</v>
      </c>
      <c r="T1238" s="1818"/>
      <c r="U1238" s="1814"/>
      <c r="V1238" s="1814"/>
      <c r="W1238" s="1817"/>
      <c r="X1238" s="1814"/>
      <c r="Y1238" s="1801"/>
      <c r="Z1238" s="1801"/>
      <c r="AA1238" s="1801"/>
      <c r="AB1238" s="1801"/>
      <c r="AC1238" s="1801"/>
      <c r="AD1238" s="1801"/>
      <c r="AE1238" s="1801"/>
      <c r="AF1238" s="1814"/>
      <c r="AG1238" s="376"/>
      <c r="AH1238" s="376"/>
      <c r="AI1238" s="376"/>
      <c r="AJ1238" s="376"/>
      <c r="AK1238" s="376"/>
      <c r="AL1238" s="1148"/>
      <c r="AM1238" s="1148"/>
      <c r="AN1238" s="1148"/>
      <c r="AO1238" s="1148"/>
      <c r="AP1238" s="1148"/>
      <c r="AQ1238" s="1144"/>
      <c r="AR1238" s="1144"/>
      <c r="AS1238" s="1144"/>
      <c r="AT1238" s="1144"/>
      <c r="AU1238" s="1144"/>
      <c r="AV1238" s="1144"/>
      <c r="AW1238" s="1144"/>
      <c r="AX1238" s="1144"/>
      <c r="AY1238" s="1144"/>
      <c r="AZ1238" s="1144"/>
      <c r="BA1238" s="1144"/>
      <c r="BB1238" s="1144"/>
      <c r="BC1238" s="1144"/>
      <c r="BD1238" s="1144"/>
      <c r="BE1238" s="1144"/>
      <c r="BF1238" s="1144"/>
      <c r="BG1238" s="1144"/>
      <c r="BH1238" s="1144"/>
      <c r="BI1238" s="1144"/>
      <c r="BJ1238" s="1144"/>
      <c r="BK1238" s="1144"/>
      <c r="BL1238" s="1144"/>
      <c r="BM1238" s="1144"/>
      <c r="BN1238" s="1144"/>
      <c r="BO1238" s="1144"/>
      <c r="BP1238" s="1144"/>
      <c r="BQ1238" s="1144"/>
      <c r="BR1238" s="1144"/>
      <c r="BS1238" s="1144"/>
      <c r="BT1238" s="1144"/>
      <c r="BU1238" s="1144"/>
      <c r="BV1238" s="1144"/>
      <c r="BW1238" s="1144"/>
      <c r="BX1238" s="1144"/>
      <c r="BY1238" s="1144"/>
      <c r="BZ1238" s="1144"/>
      <c r="CA1238" s="1144"/>
      <c r="CB1238" s="1144"/>
      <c r="CC1238" s="1144"/>
      <c r="CD1238" s="1144"/>
      <c r="CE1238" s="1144"/>
      <c r="CF1238" s="1144"/>
      <c r="CG1238" s="1144"/>
      <c r="CH1238" s="1144"/>
      <c r="CI1238" s="1144"/>
      <c r="CJ1238" s="1144"/>
      <c r="CK1238" s="1144"/>
      <c r="CL1238" s="1144"/>
      <c r="CM1238" s="1144"/>
      <c r="CN1238" s="1144"/>
    </row>
    <row r="1239" spans="11:92" ht="12" customHeight="1" x14ac:dyDescent="0.35">
      <c r="K1239" s="29">
        <f t="shared" si="808"/>
        <v>0</v>
      </c>
      <c r="L1239" s="1158">
        <f t="shared" si="809"/>
        <v>1277</v>
      </c>
      <c r="M1239" s="34">
        <f t="shared" si="810"/>
        <v>0</v>
      </c>
      <c r="N1239" s="34">
        <f t="shared" si="811"/>
        <v>0</v>
      </c>
      <c r="O1239" s="55">
        <f t="shared" si="813"/>
        <v>0</v>
      </c>
      <c r="P1239" s="55">
        <f t="shared" si="814"/>
        <v>0</v>
      </c>
      <c r="Q1239" s="55">
        <f t="shared" si="815"/>
        <v>0</v>
      </c>
      <c r="R1239" s="31">
        <f>IF(Input!D$298=L1395,Input!D$297,0)</f>
        <v>0</v>
      </c>
      <c r="S1239" s="36">
        <f t="shared" si="812"/>
        <v>0</v>
      </c>
      <c r="T1239" s="1818"/>
      <c r="U1239" s="1814"/>
      <c r="V1239" s="1814"/>
      <c r="W1239" s="1817"/>
      <c r="X1239" s="1814"/>
      <c r="Y1239" s="1801"/>
      <c r="Z1239" s="1801"/>
      <c r="AA1239" s="1801"/>
      <c r="AB1239" s="1801"/>
      <c r="AC1239" s="1801"/>
      <c r="AD1239" s="1801"/>
      <c r="AE1239" s="1801"/>
      <c r="AF1239" s="1814"/>
      <c r="AG1239" s="376"/>
      <c r="AH1239" s="376"/>
      <c r="AI1239" s="376"/>
      <c r="AJ1239" s="376"/>
      <c r="AK1239" s="376"/>
      <c r="AL1239" s="1148"/>
      <c r="AM1239" s="1148"/>
      <c r="AN1239" s="1148"/>
      <c r="AO1239" s="1148"/>
      <c r="AP1239" s="1148"/>
      <c r="AQ1239" s="1144"/>
      <c r="AR1239" s="1144"/>
      <c r="AS1239" s="1144"/>
      <c r="AT1239" s="1144"/>
      <c r="AU1239" s="1144"/>
      <c r="AV1239" s="1144"/>
      <c r="AW1239" s="1144"/>
      <c r="AX1239" s="1144"/>
      <c r="AY1239" s="1144"/>
      <c r="AZ1239" s="1144"/>
      <c r="BA1239" s="1144"/>
      <c r="BB1239" s="1144"/>
      <c r="BC1239" s="1144"/>
      <c r="BD1239" s="1144"/>
      <c r="BE1239" s="1144"/>
      <c r="BF1239" s="1144"/>
      <c r="BG1239" s="1144"/>
      <c r="BH1239" s="1144"/>
      <c r="BI1239" s="1144"/>
      <c r="BJ1239" s="1144"/>
      <c r="BK1239" s="1144"/>
      <c r="BL1239" s="1144"/>
      <c r="BM1239" s="1144"/>
      <c r="BN1239" s="1144"/>
      <c r="BO1239" s="1144"/>
      <c r="BP1239" s="1144"/>
      <c r="BQ1239" s="1144"/>
      <c r="BR1239" s="1144"/>
      <c r="BS1239" s="1144"/>
      <c r="BT1239" s="1144"/>
      <c r="BU1239" s="1144"/>
      <c r="BV1239" s="1144"/>
      <c r="BW1239" s="1144"/>
      <c r="BX1239" s="1144"/>
      <c r="BY1239" s="1144"/>
      <c r="BZ1239" s="1144"/>
      <c r="CA1239" s="1144"/>
      <c r="CB1239" s="1144"/>
      <c r="CC1239" s="1144"/>
      <c r="CD1239" s="1144"/>
      <c r="CE1239" s="1144"/>
      <c r="CF1239" s="1144"/>
      <c r="CG1239" s="1144"/>
      <c r="CH1239" s="1144"/>
      <c r="CI1239" s="1144"/>
      <c r="CJ1239" s="1144"/>
      <c r="CK1239" s="1144"/>
      <c r="CL1239" s="1144"/>
      <c r="CM1239" s="1144"/>
      <c r="CN1239" s="1144"/>
    </row>
    <row r="1240" spans="11:92" ht="12" customHeight="1" x14ac:dyDescent="0.35">
      <c r="K1240" s="29">
        <f t="shared" si="808"/>
        <v>0</v>
      </c>
      <c r="L1240" s="1158">
        <f t="shared" si="809"/>
        <v>1308</v>
      </c>
      <c r="M1240" s="34">
        <f t="shared" si="810"/>
        <v>0</v>
      </c>
      <c r="N1240" s="34">
        <f t="shared" si="811"/>
        <v>0</v>
      </c>
      <c r="O1240" s="55">
        <f t="shared" si="813"/>
        <v>0</v>
      </c>
      <c r="P1240" s="55">
        <f t="shared" si="814"/>
        <v>0</v>
      </c>
      <c r="Q1240" s="55">
        <f t="shared" si="815"/>
        <v>0</v>
      </c>
      <c r="R1240" s="31">
        <f>IF(Input!D$298=L1396,Input!D$297,0)</f>
        <v>0</v>
      </c>
      <c r="S1240" s="36">
        <f t="shared" si="812"/>
        <v>0</v>
      </c>
      <c r="T1240" s="1818"/>
      <c r="U1240" s="1814"/>
      <c r="V1240" s="1814"/>
      <c r="W1240" s="1817"/>
      <c r="X1240" s="1814"/>
      <c r="Y1240" s="1801"/>
      <c r="Z1240" s="1801"/>
      <c r="AA1240" s="1801"/>
      <c r="AB1240" s="1801"/>
      <c r="AC1240" s="1801"/>
      <c r="AD1240" s="1801"/>
      <c r="AE1240" s="1801"/>
      <c r="AF1240" s="1814"/>
      <c r="AG1240" s="376"/>
      <c r="AH1240" s="376"/>
      <c r="AI1240" s="376"/>
      <c r="AJ1240" s="376"/>
      <c r="AK1240" s="376"/>
      <c r="AL1240" s="1148"/>
      <c r="AM1240" s="1148"/>
      <c r="AN1240" s="1148"/>
      <c r="AO1240" s="1148"/>
      <c r="AP1240" s="1148"/>
      <c r="AQ1240" s="1144"/>
      <c r="AR1240" s="1144"/>
      <c r="AS1240" s="1144"/>
      <c r="AT1240" s="1144"/>
      <c r="AU1240" s="1144"/>
      <c r="AV1240" s="1144"/>
      <c r="AW1240" s="1144"/>
      <c r="AX1240" s="1144"/>
      <c r="AY1240" s="1144"/>
      <c r="AZ1240" s="1144"/>
      <c r="BA1240" s="1144"/>
      <c r="BB1240" s="1144"/>
      <c r="BC1240" s="1144"/>
      <c r="BD1240" s="1144"/>
      <c r="BE1240" s="1144"/>
      <c r="BF1240" s="1144"/>
      <c r="BG1240" s="1144"/>
      <c r="BH1240" s="1144"/>
      <c r="BI1240" s="1144"/>
      <c r="BJ1240" s="1144"/>
      <c r="BK1240" s="1144"/>
      <c r="BL1240" s="1144"/>
      <c r="BM1240" s="1144"/>
      <c r="BN1240" s="1144"/>
      <c r="BO1240" s="1144"/>
      <c r="BP1240" s="1144"/>
      <c r="BQ1240" s="1144"/>
      <c r="BR1240" s="1144"/>
      <c r="BS1240" s="1144"/>
      <c r="BT1240" s="1144"/>
      <c r="BU1240" s="1144"/>
      <c r="BV1240" s="1144"/>
      <c r="BW1240" s="1144"/>
      <c r="BX1240" s="1144"/>
      <c r="BY1240" s="1144"/>
      <c r="BZ1240" s="1144"/>
      <c r="CA1240" s="1144"/>
      <c r="CB1240" s="1144"/>
      <c r="CC1240" s="1144"/>
      <c r="CD1240" s="1144"/>
      <c r="CE1240" s="1144"/>
      <c r="CF1240" s="1144"/>
      <c r="CG1240" s="1144"/>
      <c r="CH1240" s="1144"/>
      <c r="CI1240" s="1144"/>
      <c r="CJ1240" s="1144"/>
      <c r="CK1240" s="1144"/>
      <c r="CL1240" s="1144"/>
      <c r="CM1240" s="1144"/>
      <c r="CN1240" s="1144"/>
    </row>
    <row r="1241" spans="11:92" ht="12" customHeight="1" x14ac:dyDescent="0.35">
      <c r="K1241" s="29">
        <f t="shared" si="808"/>
        <v>0</v>
      </c>
      <c r="L1241" s="1158">
        <f t="shared" si="809"/>
        <v>1339</v>
      </c>
      <c r="M1241" s="34">
        <f t="shared" si="810"/>
        <v>0</v>
      </c>
      <c r="N1241" s="34">
        <f t="shared" si="811"/>
        <v>0</v>
      </c>
      <c r="O1241" s="55">
        <f t="shared" si="813"/>
        <v>0</v>
      </c>
      <c r="P1241" s="55">
        <f t="shared" si="814"/>
        <v>0</v>
      </c>
      <c r="Q1241" s="55">
        <f t="shared" si="815"/>
        <v>0</v>
      </c>
      <c r="R1241" s="31">
        <f>IF(Input!D$298=L1397,Input!D$297,0)</f>
        <v>0</v>
      </c>
      <c r="S1241" s="36">
        <f t="shared" si="812"/>
        <v>0</v>
      </c>
      <c r="T1241" s="1818"/>
      <c r="U1241" s="1814"/>
      <c r="V1241" s="1814"/>
      <c r="W1241" s="1817"/>
      <c r="X1241" s="1814"/>
      <c r="Y1241" s="1801"/>
      <c r="Z1241" s="1801"/>
      <c r="AA1241" s="1801"/>
      <c r="AB1241" s="1801"/>
      <c r="AC1241" s="1801"/>
      <c r="AD1241" s="1801"/>
      <c r="AE1241" s="1801"/>
      <c r="AF1241" s="1814"/>
      <c r="AG1241" s="376"/>
      <c r="AH1241" s="376"/>
      <c r="AI1241" s="376"/>
      <c r="AJ1241" s="376"/>
      <c r="AK1241" s="376"/>
      <c r="AL1241" s="1148"/>
      <c r="AM1241" s="1148"/>
      <c r="AN1241" s="1148"/>
      <c r="AO1241" s="1148"/>
      <c r="AP1241" s="1148"/>
      <c r="AQ1241" s="1144"/>
      <c r="AR1241" s="1144"/>
      <c r="AS1241" s="1144"/>
      <c r="AT1241" s="1144"/>
      <c r="AU1241" s="1144"/>
      <c r="AV1241" s="1144"/>
      <c r="AW1241" s="1144"/>
      <c r="AX1241" s="1144"/>
      <c r="AY1241" s="1144"/>
      <c r="AZ1241" s="1144"/>
      <c r="BA1241" s="1144"/>
      <c r="BB1241" s="1144"/>
      <c r="BC1241" s="1144"/>
      <c r="BD1241" s="1144"/>
      <c r="BE1241" s="1144"/>
      <c r="BF1241" s="1144"/>
      <c r="BG1241" s="1144"/>
      <c r="BH1241" s="1144"/>
      <c r="BI1241" s="1144"/>
      <c r="BJ1241" s="1144"/>
      <c r="BK1241" s="1144"/>
      <c r="BL1241" s="1144"/>
      <c r="BM1241" s="1144"/>
      <c r="BN1241" s="1144"/>
      <c r="BO1241" s="1144"/>
      <c r="BP1241" s="1144"/>
      <c r="BQ1241" s="1144"/>
      <c r="BR1241" s="1144"/>
      <c r="BS1241" s="1144"/>
      <c r="BT1241" s="1144"/>
      <c r="BU1241" s="1144"/>
      <c r="BV1241" s="1144"/>
      <c r="BW1241" s="1144"/>
      <c r="BX1241" s="1144"/>
      <c r="BY1241" s="1144"/>
      <c r="BZ1241" s="1144"/>
      <c r="CA1241" s="1144"/>
      <c r="CB1241" s="1144"/>
      <c r="CC1241" s="1144"/>
      <c r="CD1241" s="1144"/>
      <c r="CE1241" s="1144"/>
      <c r="CF1241" s="1144"/>
      <c r="CG1241" s="1144"/>
      <c r="CH1241" s="1144"/>
      <c r="CI1241" s="1144"/>
      <c r="CJ1241" s="1144"/>
      <c r="CK1241" s="1144"/>
      <c r="CL1241" s="1144"/>
      <c r="CM1241" s="1144"/>
      <c r="CN1241" s="1144"/>
    </row>
    <row r="1242" spans="11:92" ht="12" customHeight="1" x14ac:dyDescent="0.35">
      <c r="K1242" s="29">
        <f t="shared" si="808"/>
        <v>0</v>
      </c>
      <c r="L1242" s="1158">
        <f t="shared" si="809"/>
        <v>1369</v>
      </c>
      <c r="M1242" s="34">
        <f t="shared" si="810"/>
        <v>0</v>
      </c>
      <c r="N1242" s="34">
        <f t="shared" si="811"/>
        <v>0</v>
      </c>
      <c r="O1242" s="55">
        <f t="shared" si="813"/>
        <v>0</v>
      </c>
      <c r="P1242" s="55">
        <f t="shared" si="814"/>
        <v>0</v>
      </c>
      <c r="Q1242" s="55">
        <f t="shared" si="815"/>
        <v>0</v>
      </c>
      <c r="R1242" s="31">
        <f>IF(Input!D$298=L1398,Input!D$297,0)</f>
        <v>0</v>
      </c>
      <c r="S1242" s="36">
        <f t="shared" ref="S1242:S1273" si="816">Q1398</f>
        <v>0</v>
      </c>
      <c r="T1242" s="1818"/>
      <c r="U1242" s="1814"/>
      <c r="V1242" s="1814"/>
      <c r="W1242" s="1817"/>
      <c r="X1242" s="1814"/>
      <c r="Y1242" s="1801"/>
      <c r="Z1242" s="1801"/>
      <c r="AA1242" s="1801"/>
      <c r="AB1242" s="1801"/>
      <c r="AC1242" s="1801"/>
      <c r="AD1242" s="1801"/>
      <c r="AE1242" s="1801"/>
      <c r="AF1242" s="1814"/>
      <c r="AG1242" s="376"/>
      <c r="AH1242" s="376"/>
      <c r="AI1242" s="376"/>
      <c r="AJ1242" s="376"/>
      <c r="AK1242" s="376"/>
      <c r="AL1242" s="1148"/>
      <c r="AM1242" s="1148"/>
      <c r="AN1242" s="1148"/>
      <c r="AO1242" s="1148"/>
      <c r="AP1242" s="1148"/>
      <c r="AQ1242" s="1144"/>
      <c r="AR1242" s="1144"/>
      <c r="AS1242" s="1144"/>
      <c r="AT1242" s="1144"/>
      <c r="AU1242" s="1144"/>
      <c r="AV1242" s="1144"/>
      <c r="AW1242" s="1144"/>
      <c r="AX1242" s="1144"/>
      <c r="AY1242" s="1144"/>
      <c r="AZ1242" s="1144"/>
      <c r="BA1242" s="1144"/>
      <c r="BB1242" s="1144"/>
      <c r="BC1242" s="1144"/>
      <c r="BD1242" s="1144"/>
      <c r="BE1242" s="1144"/>
      <c r="BF1242" s="1144"/>
      <c r="BG1242" s="1144"/>
      <c r="BH1242" s="1144"/>
      <c r="BI1242" s="1144"/>
      <c r="BJ1242" s="1144"/>
      <c r="BK1242" s="1144"/>
      <c r="BL1242" s="1144"/>
      <c r="BM1242" s="1144"/>
      <c r="BN1242" s="1144"/>
      <c r="BO1242" s="1144"/>
      <c r="BP1242" s="1144"/>
      <c r="BQ1242" s="1144"/>
      <c r="BR1242" s="1144"/>
      <c r="BS1242" s="1144"/>
      <c r="BT1242" s="1144"/>
      <c r="BU1242" s="1144"/>
      <c r="BV1242" s="1144"/>
      <c r="BW1242" s="1144"/>
      <c r="BX1242" s="1144"/>
      <c r="BY1242" s="1144"/>
      <c r="BZ1242" s="1144"/>
      <c r="CA1242" s="1144"/>
      <c r="CB1242" s="1144"/>
      <c r="CC1242" s="1144"/>
      <c r="CD1242" s="1144"/>
      <c r="CE1242" s="1144"/>
      <c r="CF1242" s="1144"/>
      <c r="CG1242" s="1144"/>
      <c r="CH1242" s="1144"/>
      <c r="CI1242" s="1144"/>
      <c r="CJ1242" s="1144"/>
      <c r="CK1242" s="1144"/>
      <c r="CL1242" s="1144"/>
      <c r="CM1242" s="1144"/>
      <c r="CN1242" s="1144"/>
    </row>
    <row r="1243" spans="11:92" ht="12" customHeight="1" x14ac:dyDescent="0.35">
      <c r="K1243" s="29">
        <f t="shared" si="808"/>
        <v>0</v>
      </c>
      <c r="L1243" s="1158">
        <f t="shared" si="809"/>
        <v>1400</v>
      </c>
      <c r="M1243" s="34">
        <f t="shared" si="810"/>
        <v>0</v>
      </c>
      <c r="N1243" s="34">
        <f t="shared" si="811"/>
        <v>0</v>
      </c>
      <c r="O1243" s="55">
        <f t="shared" si="813"/>
        <v>0</v>
      </c>
      <c r="P1243" s="55">
        <f t="shared" si="814"/>
        <v>0</v>
      </c>
      <c r="Q1243" s="55">
        <f t="shared" si="815"/>
        <v>0</v>
      </c>
      <c r="R1243" s="31">
        <f>IF(Input!D$298=L1399,Input!D$297,0)</f>
        <v>0</v>
      </c>
      <c r="S1243" s="36">
        <f t="shared" si="816"/>
        <v>0</v>
      </c>
      <c r="T1243" s="1818"/>
      <c r="U1243" s="1814"/>
      <c r="V1243" s="1814"/>
      <c r="W1243" s="1817"/>
      <c r="X1243" s="1814"/>
      <c r="Y1243" s="1801"/>
      <c r="Z1243" s="1801"/>
      <c r="AA1243" s="1801"/>
      <c r="AB1243" s="1801"/>
      <c r="AC1243" s="1801"/>
      <c r="AD1243" s="1801"/>
      <c r="AE1243" s="1801"/>
      <c r="AF1243" s="1814"/>
      <c r="AG1243" s="376"/>
      <c r="AH1243" s="376"/>
      <c r="AI1243" s="376"/>
      <c r="AJ1243" s="376"/>
      <c r="AK1243" s="376"/>
      <c r="AL1243" s="1148"/>
      <c r="AM1243" s="1148"/>
      <c r="AN1243" s="1148"/>
      <c r="AO1243" s="1148"/>
      <c r="AP1243" s="1148"/>
      <c r="AQ1243" s="1144"/>
      <c r="AR1243" s="1144"/>
      <c r="AS1243" s="1144"/>
      <c r="AT1243" s="1144"/>
      <c r="AU1243" s="1144"/>
      <c r="AV1243" s="1144"/>
      <c r="AW1243" s="1144"/>
      <c r="AX1243" s="1144"/>
      <c r="AY1243" s="1144"/>
      <c r="AZ1243" s="1144"/>
      <c r="BA1243" s="1144"/>
      <c r="BB1243" s="1144"/>
      <c r="BC1243" s="1144"/>
      <c r="BD1243" s="1144"/>
      <c r="BE1243" s="1144"/>
      <c r="BF1243" s="1144"/>
      <c r="BG1243" s="1144"/>
      <c r="BH1243" s="1144"/>
      <c r="BI1243" s="1144"/>
      <c r="BJ1243" s="1144"/>
      <c r="BK1243" s="1144"/>
      <c r="BL1243" s="1144"/>
      <c r="BM1243" s="1144"/>
      <c r="BN1243" s="1144"/>
      <c r="BO1243" s="1144"/>
      <c r="BP1243" s="1144"/>
      <c r="BQ1243" s="1144"/>
      <c r="BR1243" s="1144"/>
      <c r="BS1243" s="1144"/>
      <c r="BT1243" s="1144"/>
      <c r="BU1243" s="1144"/>
      <c r="BV1243" s="1144"/>
      <c r="BW1243" s="1144"/>
      <c r="BX1243" s="1144"/>
      <c r="BY1243" s="1144"/>
      <c r="BZ1243" s="1144"/>
      <c r="CA1243" s="1144"/>
      <c r="CB1243" s="1144"/>
      <c r="CC1243" s="1144"/>
      <c r="CD1243" s="1144"/>
      <c r="CE1243" s="1144"/>
      <c r="CF1243" s="1144"/>
      <c r="CG1243" s="1144"/>
      <c r="CH1243" s="1144"/>
      <c r="CI1243" s="1144"/>
      <c r="CJ1243" s="1144"/>
      <c r="CK1243" s="1144"/>
      <c r="CL1243" s="1144"/>
      <c r="CM1243" s="1144"/>
      <c r="CN1243" s="1144"/>
    </row>
    <row r="1244" spans="11:92" ht="12" customHeight="1" x14ac:dyDescent="0.35">
      <c r="K1244" s="29">
        <f t="shared" si="808"/>
        <v>0</v>
      </c>
      <c r="L1244" s="1158">
        <f t="shared" si="809"/>
        <v>1430</v>
      </c>
      <c r="M1244" s="34">
        <f t="shared" si="810"/>
        <v>0</v>
      </c>
      <c r="N1244" s="34">
        <f t="shared" si="811"/>
        <v>0</v>
      </c>
      <c r="O1244" s="55">
        <f t="shared" si="813"/>
        <v>0</v>
      </c>
      <c r="P1244" s="55">
        <f t="shared" si="814"/>
        <v>0</v>
      </c>
      <c r="Q1244" s="55">
        <f t="shared" si="815"/>
        <v>0</v>
      </c>
      <c r="R1244" s="31">
        <f>IF(Input!D$298=L1400,Input!D$297,0)</f>
        <v>0</v>
      </c>
      <c r="S1244" s="36">
        <f t="shared" si="816"/>
        <v>0</v>
      </c>
      <c r="T1244" s="1818"/>
      <c r="U1244" s="1814"/>
      <c r="V1244" s="1814"/>
      <c r="W1244" s="1817"/>
      <c r="X1244" s="1814"/>
      <c r="Y1244" s="1801"/>
      <c r="Z1244" s="1801"/>
      <c r="AA1244" s="1801"/>
      <c r="AB1244" s="1801"/>
      <c r="AC1244" s="1801"/>
      <c r="AD1244" s="1801"/>
      <c r="AE1244" s="1801"/>
      <c r="AF1244" s="1814"/>
      <c r="AG1244" s="376"/>
      <c r="AH1244" s="376"/>
      <c r="AI1244" s="376"/>
      <c r="AJ1244" s="376"/>
      <c r="AK1244" s="376"/>
      <c r="AL1244" s="1148"/>
      <c r="AM1244" s="1148"/>
      <c r="AN1244" s="1148"/>
      <c r="AO1244" s="1148"/>
      <c r="AP1244" s="1148"/>
      <c r="AQ1244" s="1144"/>
      <c r="AR1244" s="1144"/>
      <c r="AS1244" s="1144"/>
      <c r="AT1244" s="1144"/>
      <c r="AU1244" s="1144"/>
      <c r="AV1244" s="1144"/>
      <c r="AW1244" s="1144"/>
      <c r="AX1244" s="1144"/>
      <c r="AY1244" s="1144"/>
      <c r="AZ1244" s="1144"/>
      <c r="BA1244" s="1144"/>
      <c r="BB1244" s="1144"/>
      <c r="BC1244" s="1144"/>
      <c r="BD1244" s="1144"/>
      <c r="BE1244" s="1144"/>
      <c r="BF1244" s="1144"/>
      <c r="BG1244" s="1144"/>
      <c r="BH1244" s="1144"/>
      <c r="BI1244" s="1144"/>
      <c r="BJ1244" s="1144"/>
      <c r="BK1244" s="1144"/>
      <c r="BL1244" s="1144"/>
      <c r="BM1244" s="1144"/>
      <c r="BN1244" s="1144"/>
      <c r="BO1244" s="1144"/>
      <c r="BP1244" s="1144"/>
      <c r="BQ1244" s="1144"/>
      <c r="BR1244" s="1144"/>
      <c r="BS1244" s="1144"/>
      <c r="BT1244" s="1144"/>
      <c r="BU1244" s="1144"/>
      <c r="BV1244" s="1144"/>
      <c r="BW1244" s="1144"/>
      <c r="BX1244" s="1144"/>
      <c r="BY1244" s="1144"/>
      <c r="BZ1244" s="1144"/>
      <c r="CA1244" s="1144"/>
      <c r="CB1244" s="1144"/>
      <c r="CC1244" s="1144"/>
      <c r="CD1244" s="1144"/>
      <c r="CE1244" s="1144"/>
      <c r="CF1244" s="1144"/>
      <c r="CG1244" s="1144"/>
      <c r="CH1244" s="1144"/>
      <c r="CI1244" s="1144"/>
      <c r="CJ1244" s="1144"/>
      <c r="CK1244" s="1144"/>
      <c r="CL1244" s="1144"/>
      <c r="CM1244" s="1144"/>
      <c r="CN1244" s="1144"/>
    </row>
    <row r="1245" spans="11:92" ht="12" customHeight="1" x14ac:dyDescent="0.35">
      <c r="K1245" s="29">
        <f t="shared" si="808"/>
        <v>0</v>
      </c>
      <c r="L1245" s="1158">
        <f t="shared" si="809"/>
        <v>1461</v>
      </c>
      <c r="M1245" s="34">
        <f t="shared" si="810"/>
        <v>0</v>
      </c>
      <c r="N1245" s="34">
        <f t="shared" si="811"/>
        <v>0</v>
      </c>
      <c r="O1245" s="55">
        <f t="shared" si="813"/>
        <v>0</v>
      </c>
      <c r="P1245" s="55">
        <f t="shared" si="814"/>
        <v>0</v>
      </c>
      <c r="Q1245" s="55">
        <f t="shared" si="815"/>
        <v>0</v>
      </c>
      <c r="R1245" s="31">
        <f>IF(Input!D$298=L1401,Input!D$297,0)</f>
        <v>0</v>
      </c>
      <c r="S1245" s="36">
        <f t="shared" si="816"/>
        <v>0</v>
      </c>
      <c r="T1245" s="1818"/>
      <c r="U1245" s="1814"/>
      <c r="V1245" s="1814"/>
      <c r="W1245" s="1817"/>
      <c r="X1245" s="1814"/>
      <c r="Y1245" s="1801"/>
      <c r="Z1245" s="1801"/>
      <c r="AA1245" s="1801"/>
      <c r="AB1245" s="1801"/>
      <c r="AC1245" s="1801"/>
      <c r="AD1245" s="1801"/>
      <c r="AE1245" s="1801"/>
      <c r="AF1245" s="1814"/>
      <c r="AG1245" s="376"/>
      <c r="AH1245" s="376"/>
      <c r="AI1245" s="376"/>
      <c r="AJ1245" s="376"/>
      <c r="AK1245" s="376"/>
      <c r="AL1245" s="1148"/>
      <c r="AM1245" s="1148"/>
      <c r="AN1245" s="1148"/>
      <c r="AO1245" s="1148"/>
      <c r="AP1245" s="1148"/>
      <c r="AQ1245" s="1144"/>
      <c r="AR1245" s="1144"/>
      <c r="AS1245" s="1144"/>
      <c r="AT1245" s="1144"/>
      <c r="AU1245" s="1144"/>
      <c r="AV1245" s="1144"/>
      <c r="AW1245" s="1144"/>
      <c r="AX1245" s="1144"/>
      <c r="AY1245" s="1144"/>
      <c r="AZ1245" s="1144"/>
      <c r="BA1245" s="1144"/>
      <c r="BB1245" s="1144"/>
      <c r="BC1245" s="1144"/>
      <c r="BD1245" s="1144"/>
      <c r="BE1245" s="1144"/>
      <c r="BF1245" s="1144"/>
      <c r="BG1245" s="1144"/>
      <c r="BH1245" s="1144"/>
      <c r="BI1245" s="1144"/>
      <c r="BJ1245" s="1144"/>
      <c r="BK1245" s="1144"/>
      <c r="BL1245" s="1144"/>
      <c r="BM1245" s="1144"/>
      <c r="BN1245" s="1144"/>
      <c r="BO1245" s="1144"/>
      <c r="BP1245" s="1144"/>
      <c r="BQ1245" s="1144"/>
      <c r="BR1245" s="1144"/>
      <c r="BS1245" s="1144"/>
      <c r="BT1245" s="1144"/>
      <c r="BU1245" s="1144"/>
      <c r="BV1245" s="1144"/>
      <c r="BW1245" s="1144"/>
      <c r="BX1245" s="1144"/>
      <c r="BY1245" s="1144"/>
      <c r="BZ1245" s="1144"/>
      <c r="CA1245" s="1144"/>
      <c r="CB1245" s="1144"/>
      <c r="CC1245" s="1144"/>
      <c r="CD1245" s="1144"/>
      <c r="CE1245" s="1144"/>
      <c r="CF1245" s="1144"/>
      <c r="CG1245" s="1144"/>
      <c r="CH1245" s="1144"/>
      <c r="CI1245" s="1144"/>
      <c r="CJ1245" s="1144"/>
      <c r="CK1245" s="1144"/>
      <c r="CL1245" s="1144"/>
      <c r="CM1245" s="1144"/>
      <c r="CN1245" s="1144"/>
    </row>
    <row r="1246" spans="11:92" ht="12" customHeight="1" x14ac:dyDescent="0.35">
      <c r="K1246" s="29">
        <f t="shared" si="808"/>
        <v>0</v>
      </c>
      <c r="L1246" s="1158">
        <f t="shared" si="809"/>
        <v>1492</v>
      </c>
      <c r="M1246" s="34">
        <f t="shared" si="810"/>
        <v>0</v>
      </c>
      <c r="N1246" s="34">
        <f t="shared" si="811"/>
        <v>0</v>
      </c>
      <c r="O1246" s="55">
        <f t="shared" si="813"/>
        <v>0</v>
      </c>
      <c r="P1246" s="55">
        <f t="shared" si="814"/>
        <v>0</v>
      </c>
      <c r="Q1246" s="55">
        <f t="shared" si="815"/>
        <v>0</v>
      </c>
      <c r="R1246" s="31">
        <f>IF(Input!D$298=L1402,Input!D$297,0)</f>
        <v>0</v>
      </c>
      <c r="S1246" s="36">
        <f t="shared" si="816"/>
        <v>1</v>
      </c>
      <c r="T1246" s="1818"/>
      <c r="U1246" s="1814"/>
      <c r="V1246" s="1814"/>
      <c r="W1246" s="1817"/>
      <c r="X1246" s="1814"/>
      <c r="Y1246" s="1801"/>
      <c r="Z1246" s="1801"/>
      <c r="AA1246" s="1801"/>
      <c r="AB1246" s="1801"/>
      <c r="AC1246" s="1801"/>
      <c r="AD1246" s="1801"/>
      <c r="AE1246" s="1801"/>
      <c r="AF1246" s="1814"/>
      <c r="AG1246" s="376"/>
      <c r="AH1246" s="376"/>
      <c r="AI1246" s="376"/>
      <c r="AJ1246" s="376"/>
      <c r="AK1246" s="376"/>
      <c r="AL1246" s="1148"/>
      <c r="AM1246" s="1148"/>
      <c r="AN1246" s="1148"/>
      <c r="AO1246" s="1148"/>
      <c r="AP1246" s="1148"/>
      <c r="AQ1246" s="1144"/>
      <c r="AR1246" s="1144"/>
      <c r="AS1246" s="1144"/>
      <c r="AT1246" s="1144"/>
      <c r="AU1246" s="1144"/>
      <c r="AV1246" s="1144"/>
      <c r="AW1246" s="1144"/>
      <c r="AX1246" s="1144"/>
      <c r="AY1246" s="1144"/>
      <c r="AZ1246" s="1144"/>
      <c r="BA1246" s="1144"/>
      <c r="BB1246" s="1144"/>
      <c r="BC1246" s="1144"/>
      <c r="BD1246" s="1144"/>
      <c r="BE1246" s="1144"/>
      <c r="BF1246" s="1144"/>
      <c r="BG1246" s="1144"/>
      <c r="BH1246" s="1144"/>
      <c r="BI1246" s="1144"/>
      <c r="BJ1246" s="1144"/>
      <c r="BK1246" s="1144"/>
      <c r="BL1246" s="1144"/>
      <c r="BM1246" s="1144"/>
      <c r="BN1246" s="1144"/>
      <c r="BO1246" s="1144"/>
      <c r="BP1246" s="1144"/>
      <c r="BQ1246" s="1144"/>
      <c r="BR1246" s="1144"/>
      <c r="BS1246" s="1144"/>
      <c r="BT1246" s="1144"/>
      <c r="BU1246" s="1144"/>
      <c r="BV1246" s="1144"/>
      <c r="BW1246" s="1144"/>
      <c r="BX1246" s="1144"/>
      <c r="BY1246" s="1144"/>
      <c r="BZ1246" s="1144"/>
      <c r="CA1246" s="1144"/>
      <c r="CB1246" s="1144"/>
      <c r="CC1246" s="1144"/>
      <c r="CD1246" s="1144"/>
      <c r="CE1246" s="1144"/>
      <c r="CF1246" s="1144"/>
      <c r="CG1246" s="1144"/>
      <c r="CH1246" s="1144"/>
      <c r="CI1246" s="1144"/>
      <c r="CJ1246" s="1144"/>
      <c r="CK1246" s="1144"/>
      <c r="CL1246" s="1144"/>
      <c r="CM1246" s="1144"/>
      <c r="CN1246" s="1144"/>
    </row>
    <row r="1247" spans="11:92" ht="12" customHeight="1" x14ac:dyDescent="0.35">
      <c r="K1247" s="29">
        <f t="shared" si="808"/>
        <v>0</v>
      </c>
      <c r="L1247" s="1158">
        <f t="shared" si="809"/>
        <v>1521</v>
      </c>
      <c r="M1247" s="34">
        <f t="shared" si="810"/>
        <v>0</v>
      </c>
      <c r="N1247" s="34">
        <f t="shared" si="811"/>
        <v>0</v>
      </c>
      <c r="O1247" s="55">
        <f t="shared" si="813"/>
        <v>0</v>
      </c>
      <c r="P1247" s="55">
        <f t="shared" si="814"/>
        <v>0</v>
      </c>
      <c r="Q1247" s="55">
        <f t="shared" si="815"/>
        <v>0</v>
      </c>
      <c r="R1247" s="31">
        <f>IF(Input!D$298=L1403,Input!D$297,0)</f>
        <v>0</v>
      </c>
      <c r="S1247" s="36">
        <f t="shared" si="816"/>
        <v>1</v>
      </c>
      <c r="T1247" s="1818"/>
      <c r="U1247" s="1814"/>
      <c r="V1247" s="1814"/>
      <c r="W1247" s="1817"/>
      <c r="X1247" s="1814"/>
      <c r="Y1247" s="1801"/>
      <c r="Z1247" s="1801"/>
      <c r="AA1247" s="1801"/>
      <c r="AB1247" s="1801"/>
      <c r="AC1247" s="1801"/>
      <c r="AD1247" s="1801"/>
      <c r="AE1247" s="1801"/>
      <c r="AF1247" s="1814"/>
      <c r="AG1247" s="376"/>
      <c r="AH1247" s="376"/>
      <c r="AI1247" s="376"/>
      <c r="AJ1247" s="376"/>
      <c r="AK1247" s="376"/>
      <c r="AL1247" s="1148"/>
      <c r="AM1247" s="1148"/>
      <c r="AN1247" s="1148"/>
      <c r="AO1247" s="1148"/>
      <c r="AP1247" s="1148"/>
      <c r="AQ1247" s="1144"/>
      <c r="AR1247" s="1144"/>
      <c r="AS1247" s="1144"/>
      <c r="AT1247" s="1144"/>
      <c r="AU1247" s="1144"/>
      <c r="AV1247" s="1144"/>
      <c r="AW1247" s="1144"/>
      <c r="AX1247" s="1144"/>
      <c r="AY1247" s="1144"/>
      <c r="AZ1247" s="1144"/>
      <c r="BA1247" s="1144"/>
      <c r="BB1247" s="1144"/>
      <c r="BC1247" s="1144"/>
      <c r="BD1247" s="1144"/>
      <c r="BE1247" s="1144"/>
      <c r="BF1247" s="1144"/>
      <c r="BG1247" s="1144"/>
      <c r="BH1247" s="1144"/>
      <c r="BI1247" s="1144"/>
      <c r="BJ1247" s="1144"/>
      <c r="BK1247" s="1144"/>
      <c r="BL1247" s="1144"/>
      <c r="BM1247" s="1144"/>
      <c r="BN1247" s="1144"/>
      <c r="BO1247" s="1144"/>
      <c r="BP1247" s="1144"/>
      <c r="BQ1247" s="1144"/>
      <c r="BR1247" s="1144"/>
      <c r="BS1247" s="1144"/>
      <c r="BT1247" s="1144"/>
      <c r="BU1247" s="1144"/>
      <c r="BV1247" s="1144"/>
      <c r="BW1247" s="1144"/>
      <c r="BX1247" s="1144"/>
      <c r="BY1247" s="1144"/>
      <c r="BZ1247" s="1144"/>
      <c r="CA1247" s="1144"/>
      <c r="CB1247" s="1144"/>
      <c r="CC1247" s="1144"/>
      <c r="CD1247" s="1144"/>
      <c r="CE1247" s="1144"/>
      <c r="CF1247" s="1144"/>
      <c r="CG1247" s="1144"/>
      <c r="CH1247" s="1144"/>
      <c r="CI1247" s="1144"/>
      <c r="CJ1247" s="1144"/>
      <c r="CK1247" s="1144"/>
      <c r="CL1247" s="1144"/>
      <c r="CM1247" s="1144"/>
      <c r="CN1247" s="1144"/>
    </row>
    <row r="1248" spans="11:92" ht="12" customHeight="1" x14ac:dyDescent="0.35">
      <c r="K1248" s="29">
        <f t="shared" si="808"/>
        <v>0</v>
      </c>
      <c r="L1248" s="1158">
        <f t="shared" si="809"/>
        <v>1552</v>
      </c>
      <c r="M1248" s="34">
        <f t="shared" si="810"/>
        <v>0</v>
      </c>
      <c r="N1248" s="34">
        <f t="shared" si="811"/>
        <v>0</v>
      </c>
      <c r="O1248" s="55">
        <f t="shared" si="813"/>
        <v>0</v>
      </c>
      <c r="P1248" s="55">
        <f t="shared" si="814"/>
        <v>0</v>
      </c>
      <c r="Q1248" s="55">
        <f t="shared" si="815"/>
        <v>0</v>
      </c>
      <c r="R1248" s="31">
        <f>IF(Input!D$298=L1404,Input!D$297,0)</f>
        <v>0</v>
      </c>
      <c r="S1248" s="36">
        <f t="shared" si="816"/>
        <v>0</v>
      </c>
      <c r="T1248" s="1818"/>
      <c r="U1248" s="1814"/>
      <c r="V1248" s="1814"/>
      <c r="W1248" s="1817"/>
      <c r="X1248" s="1814"/>
      <c r="Y1248" s="1801"/>
      <c r="Z1248" s="1801"/>
      <c r="AA1248" s="1801"/>
      <c r="AB1248" s="1801"/>
      <c r="AC1248" s="1801"/>
      <c r="AD1248" s="1801"/>
      <c r="AE1248" s="1801"/>
      <c r="AF1248" s="1814"/>
      <c r="AG1248" s="376"/>
      <c r="AH1248" s="376"/>
      <c r="AI1248" s="376"/>
      <c r="AJ1248" s="376"/>
      <c r="AK1248" s="376"/>
      <c r="AL1248" s="1148"/>
      <c r="AM1248" s="1148"/>
      <c r="AN1248" s="1148"/>
      <c r="AO1248" s="1148"/>
      <c r="AP1248" s="1148"/>
      <c r="AQ1248" s="1144"/>
      <c r="AR1248" s="1144"/>
      <c r="AS1248" s="1144"/>
      <c r="AT1248" s="1144"/>
      <c r="AU1248" s="1144"/>
      <c r="AV1248" s="1144"/>
      <c r="AW1248" s="1144"/>
      <c r="AX1248" s="1144"/>
      <c r="AY1248" s="1144"/>
      <c r="AZ1248" s="1144"/>
      <c r="BA1248" s="1144"/>
      <c r="BB1248" s="1144"/>
      <c r="BC1248" s="1144"/>
      <c r="BD1248" s="1144"/>
      <c r="BE1248" s="1144"/>
      <c r="BF1248" s="1144"/>
      <c r="BG1248" s="1144"/>
      <c r="BH1248" s="1144"/>
      <c r="BI1248" s="1144"/>
      <c r="BJ1248" s="1144"/>
      <c r="BK1248" s="1144"/>
      <c r="BL1248" s="1144"/>
      <c r="BM1248" s="1144"/>
      <c r="BN1248" s="1144"/>
      <c r="BO1248" s="1144"/>
      <c r="BP1248" s="1144"/>
      <c r="BQ1248" s="1144"/>
      <c r="BR1248" s="1144"/>
      <c r="BS1248" s="1144"/>
      <c r="BT1248" s="1144"/>
      <c r="BU1248" s="1144"/>
      <c r="BV1248" s="1144"/>
      <c r="BW1248" s="1144"/>
      <c r="BX1248" s="1144"/>
      <c r="BY1248" s="1144"/>
      <c r="BZ1248" s="1144"/>
      <c r="CA1248" s="1144"/>
      <c r="CB1248" s="1144"/>
      <c r="CC1248" s="1144"/>
      <c r="CD1248" s="1144"/>
      <c r="CE1248" s="1144"/>
      <c r="CF1248" s="1144"/>
      <c r="CG1248" s="1144"/>
      <c r="CH1248" s="1144"/>
      <c r="CI1248" s="1144"/>
      <c r="CJ1248" s="1144"/>
      <c r="CK1248" s="1144"/>
      <c r="CL1248" s="1144"/>
      <c r="CM1248" s="1144"/>
      <c r="CN1248" s="1144"/>
    </row>
    <row r="1249" spans="11:92" ht="12" customHeight="1" x14ac:dyDescent="0.35">
      <c r="K1249" s="29">
        <f t="shared" si="808"/>
        <v>0</v>
      </c>
      <c r="L1249" s="1158">
        <f t="shared" si="809"/>
        <v>1582</v>
      </c>
      <c r="M1249" s="34">
        <f t="shared" si="810"/>
        <v>0</v>
      </c>
      <c r="N1249" s="34">
        <f t="shared" si="811"/>
        <v>0</v>
      </c>
      <c r="O1249" s="55">
        <f t="shared" si="813"/>
        <v>0</v>
      </c>
      <c r="P1249" s="55">
        <f t="shared" si="814"/>
        <v>0</v>
      </c>
      <c r="Q1249" s="55">
        <f t="shared" si="815"/>
        <v>0</v>
      </c>
      <c r="R1249" s="31">
        <f>IF(Input!D$298=L1405,Input!D$297,0)</f>
        <v>0</v>
      </c>
      <c r="S1249" s="36" t="str">
        <f t="shared" si="816"/>
        <v>Item 8</v>
      </c>
      <c r="T1249" s="1818"/>
      <c r="U1249" s="1814"/>
      <c r="V1249" s="1814"/>
      <c r="W1249" s="1817"/>
      <c r="X1249" s="1814"/>
      <c r="Y1249" s="1801"/>
      <c r="Z1249" s="1801"/>
      <c r="AA1249" s="1801"/>
      <c r="AB1249" s="1801"/>
      <c r="AC1249" s="1801"/>
      <c r="AD1249" s="1801"/>
      <c r="AE1249" s="1801"/>
      <c r="AF1249" s="1814"/>
      <c r="AG1249" s="376"/>
      <c r="AH1249" s="376"/>
      <c r="AI1249" s="376"/>
      <c r="AJ1249" s="376"/>
      <c r="AK1249" s="376"/>
      <c r="AL1249" s="1148"/>
      <c r="AM1249" s="1148"/>
      <c r="AN1249" s="1148"/>
      <c r="AO1249" s="1148"/>
      <c r="AP1249" s="1148"/>
      <c r="AQ1249" s="1144"/>
      <c r="AR1249" s="1144"/>
      <c r="AS1249" s="1144"/>
      <c r="AT1249" s="1144"/>
      <c r="AU1249" s="1144"/>
      <c r="AV1249" s="1144"/>
      <c r="AW1249" s="1144"/>
      <c r="AX1249" s="1144"/>
      <c r="AY1249" s="1144"/>
      <c r="AZ1249" s="1144"/>
      <c r="BA1249" s="1144"/>
      <c r="BB1249" s="1144"/>
      <c r="BC1249" s="1144"/>
      <c r="BD1249" s="1144"/>
      <c r="BE1249" s="1144"/>
      <c r="BF1249" s="1144"/>
      <c r="BG1249" s="1144"/>
      <c r="BH1249" s="1144"/>
      <c r="BI1249" s="1144"/>
      <c r="BJ1249" s="1144"/>
      <c r="BK1249" s="1144"/>
      <c r="BL1249" s="1144"/>
      <c r="BM1249" s="1144"/>
      <c r="BN1249" s="1144"/>
      <c r="BO1249" s="1144"/>
      <c r="BP1249" s="1144"/>
      <c r="BQ1249" s="1144"/>
      <c r="BR1249" s="1144"/>
      <c r="BS1249" s="1144"/>
      <c r="BT1249" s="1144"/>
      <c r="BU1249" s="1144"/>
      <c r="BV1249" s="1144"/>
      <c r="BW1249" s="1144"/>
      <c r="BX1249" s="1144"/>
      <c r="BY1249" s="1144"/>
      <c r="BZ1249" s="1144"/>
      <c r="CA1249" s="1144"/>
      <c r="CB1249" s="1144"/>
      <c r="CC1249" s="1144"/>
      <c r="CD1249" s="1144"/>
      <c r="CE1249" s="1144"/>
      <c r="CF1249" s="1144"/>
      <c r="CG1249" s="1144"/>
      <c r="CH1249" s="1144"/>
      <c r="CI1249" s="1144"/>
      <c r="CJ1249" s="1144"/>
      <c r="CK1249" s="1144"/>
      <c r="CL1249" s="1144"/>
      <c r="CM1249" s="1144"/>
      <c r="CN1249" s="1144"/>
    </row>
    <row r="1250" spans="11:92" ht="12" customHeight="1" x14ac:dyDescent="0.35">
      <c r="K1250" s="29">
        <f t="shared" si="808"/>
        <v>0</v>
      </c>
      <c r="L1250" s="1158">
        <f t="shared" si="809"/>
        <v>1613</v>
      </c>
      <c r="M1250" s="34">
        <f t="shared" si="810"/>
        <v>0</v>
      </c>
      <c r="N1250" s="34">
        <f t="shared" si="811"/>
        <v>0</v>
      </c>
      <c r="O1250" s="55">
        <f t="shared" si="813"/>
        <v>0</v>
      </c>
      <c r="P1250" s="55">
        <f t="shared" si="814"/>
        <v>0</v>
      </c>
      <c r="Q1250" s="55">
        <f t="shared" si="815"/>
        <v>0</v>
      </c>
      <c r="R1250" s="31">
        <f>IF(Input!D$298=L1406,Input!D$297,0)</f>
        <v>0</v>
      </c>
      <c r="S1250" s="36">
        <f t="shared" si="816"/>
        <v>0</v>
      </c>
      <c r="T1250" s="1818"/>
      <c r="U1250" s="1814"/>
      <c r="V1250" s="1814"/>
      <c r="W1250" s="1817"/>
      <c r="X1250" s="1814"/>
      <c r="Y1250" s="1801"/>
      <c r="Z1250" s="1801"/>
      <c r="AA1250" s="1801"/>
      <c r="AB1250" s="1801"/>
      <c r="AC1250" s="1801"/>
      <c r="AD1250" s="1801"/>
      <c r="AE1250" s="1801"/>
      <c r="AF1250" s="1814"/>
      <c r="AG1250" s="376"/>
      <c r="AH1250" s="376"/>
      <c r="AI1250" s="376"/>
      <c r="AJ1250" s="376"/>
      <c r="AK1250" s="376"/>
      <c r="AL1250" s="1148"/>
      <c r="AM1250" s="1148"/>
      <c r="AN1250" s="1148"/>
      <c r="AO1250" s="1148"/>
      <c r="AP1250" s="1148"/>
      <c r="AQ1250" s="1144"/>
      <c r="AR1250" s="1144"/>
      <c r="AS1250" s="1144"/>
      <c r="AT1250" s="1144"/>
      <c r="AU1250" s="1144"/>
      <c r="AV1250" s="1144"/>
      <c r="AW1250" s="1144"/>
      <c r="AX1250" s="1144"/>
      <c r="AY1250" s="1144"/>
      <c r="AZ1250" s="1144"/>
      <c r="BA1250" s="1144"/>
      <c r="BB1250" s="1144"/>
      <c r="BC1250" s="1144"/>
      <c r="BD1250" s="1144"/>
      <c r="BE1250" s="1144"/>
      <c r="BF1250" s="1144"/>
      <c r="BG1250" s="1144"/>
      <c r="BH1250" s="1144"/>
      <c r="BI1250" s="1144"/>
      <c r="BJ1250" s="1144"/>
      <c r="BK1250" s="1144"/>
      <c r="BL1250" s="1144"/>
      <c r="BM1250" s="1144"/>
      <c r="BN1250" s="1144"/>
      <c r="BO1250" s="1144"/>
      <c r="BP1250" s="1144"/>
      <c r="BQ1250" s="1144"/>
      <c r="BR1250" s="1144"/>
      <c r="BS1250" s="1144"/>
      <c r="BT1250" s="1144"/>
      <c r="BU1250" s="1144"/>
      <c r="BV1250" s="1144"/>
      <c r="BW1250" s="1144"/>
      <c r="BX1250" s="1144"/>
      <c r="BY1250" s="1144"/>
      <c r="BZ1250" s="1144"/>
      <c r="CA1250" s="1144"/>
      <c r="CB1250" s="1144"/>
      <c r="CC1250" s="1144"/>
      <c r="CD1250" s="1144"/>
      <c r="CE1250" s="1144"/>
      <c r="CF1250" s="1144"/>
      <c r="CG1250" s="1144"/>
      <c r="CH1250" s="1144"/>
      <c r="CI1250" s="1144"/>
      <c r="CJ1250" s="1144"/>
      <c r="CK1250" s="1144"/>
      <c r="CL1250" s="1144"/>
      <c r="CM1250" s="1144"/>
      <c r="CN1250" s="1144"/>
    </row>
    <row r="1251" spans="11:92" ht="12" customHeight="1" x14ac:dyDescent="0.35">
      <c r="K1251" s="29">
        <f t="shared" si="808"/>
        <v>0</v>
      </c>
      <c r="L1251" s="1158">
        <f t="shared" si="809"/>
        <v>1643</v>
      </c>
      <c r="M1251" s="34">
        <f t="shared" si="810"/>
        <v>0</v>
      </c>
      <c r="N1251" s="34">
        <f t="shared" si="811"/>
        <v>0</v>
      </c>
      <c r="O1251" s="55">
        <f t="shared" si="813"/>
        <v>0</v>
      </c>
      <c r="P1251" s="55">
        <f t="shared" si="814"/>
        <v>0</v>
      </c>
      <c r="Q1251" s="55">
        <f t="shared" si="815"/>
        <v>0</v>
      </c>
      <c r="R1251" s="31">
        <f>IF(Input!D$298=L1407,Input!D$297,0)</f>
        <v>0</v>
      </c>
      <c r="S1251" s="36">
        <f t="shared" si="816"/>
        <v>0</v>
      </c>
      <c r="T1251" s="1818"/>
      <c r="U1251" s="1814"/>
      <c r="V1251" s="1814"/>
      <c r="W1251" s="1817"/>
      <c r="X1251" s="1814"/>
      <c r="Y1251" s="1801"/>
      <c r="Z1251" s="1801"/>
      <c r="AA1251" s="1801"/>
      <c r="AB1251" s="1801"/>
      <c r="AC1251" s="1801"/>
      <c r="AD1251" s="1801"/>
      <c r="AE1251" s="1801"/>
      <c r="AF1251" s="1814"/>
      <c r="AG1251" s="376"/>
      <c r="AH1251" s="376"/>
      <c r="AI1251" s="376"/>
      <c r="AJ1251" s="376"/>
      <c r="AK1251" s="376"/>
      <c r="AL1251" s="1148"/>
      <c r="AM1251" s="1148"/>
      <c r="AN1251" s="1148"/>
      <c r="AO1251" s="1148"/>
      <c r="AP1251" s="1148"/>
      <c r="AQ1251" s="1144"/>
      <c r="AR1251" s="1144"/>
      <c r="AS1251" s="1144"/>
      <c r="AT1251" s="1144"/>
      <c r="AU1251" s="1144"/>
      <c r="AV1251" s="1144"/>
      <c r="AW1251" s="1144"/>
      <c r="AX1251" s="1144"/>
      <c r="AY1251" s="1144"/>
      <c r="AZ1251" s="1144"/>
      <c r="BA1251" s="1144"/>
      <c r="BB1251" s="1144"/>
      <c r="BC1251" s="1144"/>
      <c r="BD1251" s="1144"/>
      <c r="BE1251" s="1144"/>
      <c r="BF1251" s="1144"/>
      <c r="BG1251" s="1144"/>
      <c r="BH1251" s="1144"/>
      <c r="BI1251" s="1144"/>
      <c r="BJ1251" s="1144"/>
      <c r="BK1251" s="1144"/>
      <c r="BL1251" s="1144"/>
      <c r="BM1251" s="1144"/>
      <c r="BN1251" s="1144"/>
      <c r="BO1251" s="1144"/>
      <c r="BP1251" s="1144"/>
      <c r="BQ1251" s="1144"/>
      <c r="BR1251" s="1144"/>
      <c r="BS1251" s="1144"/>
      <c r="BT1251" s="1144"/>
      <c r="BU1251" s="1144"/>
      <c r="BV1251" s="1144"/>
      <c r="BW1251" s="1144"/>
      <c r="BX1251" s="1144"/>
      <c r="BY1251" s="1144"/>
      <c r="BZ1251" s="1144"/>
      <c r="CA1251" s="1144"/>
      <c r="CB1251" s="1144"/>
      <c r="CC1251" s="1144"/>
      <c r="CD1251" s="1144"/>
      <c r="CE1251" s="1144"/>
      <c r="CF1251" s="1144"/>
      <c r="CG1251" s="1144"/>
      <c r="CH1251" s="1144"/>
      <c r="CI1251" s="1144"/>
      <c r="CJ1251" s="1144"/>
      <c r="CK1251" s="1144"/>
      <c r="CL1251" s="1144"/>
      <c r="CM1251" s="1144"/>
      <c r="CN1251" s="1144"/>
    </row>
    <row r="1252" spans="11:92" ht="12" customHeight="1" x14ac:dyDescent="0.35">
      <c r="K1252" s="29">
        <f t="shared" si="808"/>
        <v>0</v>
      </c>
      <c r="L1252" s="1158">
        <f t="shared" si="809"/>
        <v>1674</v>
      </c>
      <c r="M1252" s="34">
        <f t="shared" si="810"/>
        <v>0</v>
      </c>
      <c r="N1252" s="34">
        <f t="shared" si="811"/>
        <v>0</v>
      </c>
      <c r="O1252" s="55">
        <f t="shared" si="813"/>
        <v>0</v>
      </c>
      <c r="P1252" s="55">
        <f t="shared" si="814"/>
        <v>0</v>
      </c>
      <c r="Q1252" s="55">
        <f t="shared" si="815"/>
        <v>0</v>
      </c>
      <c r="R1252" s="31">
        <f>IF(Input!D$298=L1408,Input!D$297,0)</f>
        <v>0</v>
      </c>
      <c r="S1252" s="36">
        <f t="shared" si="816"/>
        <v>0</v>
      </c>
      <c r="T1252" s="1818"/>
      <c r="U1252" s="1814"/>
      <c r="V1252" s="1814"/>
      <c r="W1252" s="1817"/>
      <c r="X1252" s="1814"/>
      <c r="Y1252" s="1801"/>
      <c r="Z1252" s="1801"/>
      <c r="AA1252" s="1801"/>
      <c r="AB1252" s="1801"/>
      <c r="AC1252" s="1801"/>
      <c r="AD1252" s="1801"/>
      <c r="AE1252" s="1801"/>
      <c r="AF1252" s="1814"/>
      <c r="AG1252" s="376"/>
      <c r="AH1252" s="376"/>
      <c r="AI1252" s="376"/>
      <c r="AJ1252" s="376"/>
      <c r="AK1252" s="376"/>
      <c r="AL1252" s="1148"/>
      <c r="AM1252" s="1148"/>
      <c r="AN1252" s="1148"/>
      <c r="AO1252" s="1148"/>
      <c r="AP1252" s="1148"/>
      <c r="AQ1252" s="1144"/>
      <c r="AR1252" s="1144"/>
      <c r="AS1252" s="1144"/>
      <c r="AT1252" s="1144"/>
      <c r="AU1252" s="1144"/>
      <c r="AV1252" s="1144"/>
      <c r="AW1252" s="1144"/>
      <c r="AX1252" s="1144"/>
      <c r="AY1252" s="1144"/>
      <c r="AZ1252" s="1144"/>
      <c r="BA1252" s="1144"/>
      <c r="BB1252" s="1144"/>
      <c r="BC1252" s="1144"/>
      <c r="BD1252" s="1144"/>
      <c r="BE1252" s="1144"/>
      <c r="BF1252" s="1144"/>
      <c r="BG1252" s="1144"/>
      <c r="BH1252" s="1144"/>
      <c r="BI1252" s="1144"/>
      <c r="BJ1252" s="1144"/>
      <c r="BK1252" s="1144"/>
      <c r="BL1252" s="1144"/>
      <c r="BM1252" s="1144"/>
      <c r="BN1252" s="1144"/>
      <c r="BO1252" s="1144"/>
      <c r="BP1252" s="1144"/>
      <c r="BQ1252" s="1144"/>
      <c r="BR1252" s="1144"/>
      <c r="BS1252" s="1144"/>
      <c r="BT1252" s="1144"/>
      <c r="BU1252" s="1144"/>
      <c r="BV1252" s="1144"/>
      <c r="BW1252" s="1144"/>
      <c r="BX1252" s="1144"/>
      <c r="BY1252" s="1144"/>
      <c r="BZ1252" s="1144"/>
      <c r="CA1252" s="1144"/>
      <c r="CB1252" s="1144"/>
      <c r="CC1252" s="1144"/>
      <c r="CD1252" s="1144"/>
      <c r="CE1252" s="1144"/>
      <c r="CF1252" s="1144"/>
      <c r="CG1252" s="1144"/>
      <c r="CH1252" s="1144"/>
      <c r="CI1252" s="1144"/>
      <c r="CJ1252" s="1144"/>
      <c r="CK1252" s="1144"/>
      <c r="CL1252" s="1144"/>
      <c r="CM1252" s="1144"/>
      <c r="CN1252" s="1144"/>
    </row>
    <row r="1253" spans="11:92" ht="12" customHeight="1" x14ac:dyDescent="0.35">
      <c r="K1253" s="29">
        <f t="shared" si="808"/>
        <v>0</v>
      </c>
      <c r="L1253" s="1158">
        <f t="shared" si="809"/>
        <v>1705</v>
      </c>
      <c r="M1253" s="34">
        <f t="shared" si="810"/>
        <v>0</v>
      </c>
      <c r="N1253" s="34">
        <f t="shared" si="811"/>
        <v>0</v>
      </c>
      <c r="O1253" s="55">
        <f t="shared" si="813"/>
        <v>0</v>
      </c>
      <c r="P1253" s="55">
        <f t="shared" si="814"/>
        <v>0</v>
      </c>
      <c r="Q1253" s="55">
        <f t="shared" si="815"/>
        <v>0</v>
      </c>
      <c r="R1253" s="31">
        <f>IF(Input!D$298=L1409,Input!D$297,0)</f>
        <v>0</v>
      </c>
      <c r="S1253" s="36">
        <f t="shared" si="816"/>
        <v>0</v>
      </c>
      <c r="T1253" s="1818"/>
      <c r="U1253" s="1814"/>
      <c r="V1253" s="1814"/>
      <c r="W1253" s="1817"/>
      <c r="X1253" s="1814"/>
      <c r="Y1253" s="1801"/>
      <c r="Z1253" s="1801"/>
      <c r="AA1253" s="1801"/>
      <c r="AB1253" s="1801"/>
      <c r="AC1253" s="1801"/>
      <c r="AD1253" s="1801"/>
      <c r="AE1253" s="1801"/>
      <c r="AF1253" s="1814"/>
      <c r="AG1253" s="376"/>
      <c r="AH1253" s="376"/>
      <c r="AI1253" s="376"/>
      <c r="AJ1253" s="376"/>
      <c r="AK1253" s="376"/>
      <c r="AL1253" s="1148"/>
      <c r="AM1253" s="1148"/>
      <c r="AN1253" s="1148"/>
      <c r="AO1253" s="1148"/>
      <c r="AP1253" s="1148"/>
      <c r="AQ1253" s="1144"/>
      <c r="AR1253" s="1144"/>
      <c r="AS1253" s="1144"/>
      <c r="AT1253" s="1144"/>
      <c r="AU1253" s="1144"/>
      <c r="AV1253" s="1144"/>
      <c r="AW1253" s="1144"/>
      <c r="AX1253" s="1144"/>
      <c r="AY1253" s="1144"/>
      <c r="AZ1253" s="1144"/>
      <c r="BA1253" s="1144"/>
      <c r="BB1253" s="1144"/>
      <c r="BC1253" s="1144"/>
      <c r="BD1253" s="1144"/>
      <c r="BE1253" s="1144"/>
      <c r="BF1253" s="1144"/>
      <c r="BG1253" s="1144"/>
      <c r="BH1253" s="1144"/>
      <c r="BI1253" s="1144"/>
      <c r="BJ1253" s="1144"/>
      <c r="BK1253" s="1144"/>
      <c r="BL1253" s="1144"/>
      <c r="BM1253" s="1144"/>
      <c r="BN1253" s="1144"/>
      <c r="BO1253" s="1144"/>
      <c r="BP1253" s="1144"/>
      <c r="BQ1253" s="1144"/>
      <c r="BR1253" s="1144"/>
      <c r="BS1253" s="1144"/>
      <c r="BT1253" s="1144"/>
      <c r="BU1253" s="1144"/>
      <c r="BV1253" s="1144"/>
      <c r="BW1253" s="1144"/>
      <c r="BX1253" s="1144"/>
      <c r="BY1253" s="1144"/>
      <c r="BZ1253" s="1144"/>
      <c r="CA1253" s="1144"/>
      <c r="CB1253" s="1144"/>
      <c r="CC1253" s="1144"/>
      <c r="CD1253" s="1144"/>
      <c r="CE1253" s="1144"/>
      <c r="CF1253" s="1144"/>
      <c r="CG1253" s="1144"/>
      <c r="CH1253" s="1144"/>
      <c r="CI1253" s="1144"/>
      <c r="CJ1253" s="1144"/>
      <c r="CK1253" s="1144"/>
      <c r="CL1253" s="1144"/>
      <c r="CM1253" s="1144"/>
      <c r="CN1253" s="1144"/>
    </row>
    <row r="1254" spans="11:92" ht="12" customHeight="1" x14ac:dyDescent="0.35">
      <c r="K1254" s="29">
        <f t="shared" si="808"/>
        <v>0</v>
      </c>
      <c r="L1254" s="1158">
        <f t="shared" si="809"/>
        <v>1735</v>
      </c>
      <c r="M1254" s="34">
        <f t="shared" si="810"/>
        <v>0</v>
      </c>
      <c r="N1254" s="34">
        <f t="shared" si="811"/>
        <v>0</v>
      </c>
      <c r="O1254" s="55">
        <f t="shared" si="813"/>
        <v>0</v>
      </c>
      <c r="P1254" s="55">
        <f t="shared" si="814"/>
        <v>0</v>
      </c>
      <c r="Q1254" s="55">
        <f t="shared" si="815"/>
        <v>0</v>
      </c>
      <c r="R1254" s="31">
        <f>IF(Input!D$298=L1410,Input!D$297,0)</f>
        <v>0</v>
      </c>
      <c r="S1254" s="36">
        <f t="shared" si="816"/>
        <v>0</v>
      </c>
      <c r="T1254" s="1818"/>
      <c r="U1254" s="1814"/>
      <c r="V1254" s="1814"/>
      <c r="W1254" s="1817"/>
      <c r="X1254" s="1814"/>
      <c r="Y1254" s="1801"/>
      <c r="Z1254" s="1801"/>
      <c r="AA1254" s="1801"/>
      <c r="AB1254" s="1801"/>
      <c r="AC1254" s="1801"/>
      <c r="AD1254" s="1801"/>
      <c r="AE1254" s="1801"/>
      <c r="AF1254" s="1814"/>
      <c r="AG1254" s="376"/>
      <c r="AH1254" s="376"/>
      <c r="AI1254" s="376"/>
      <c r="AJ1254" s="376"/>
      <c r="AK1254" s="376"/>
      <c r="AL1254" s="1148"/>
      <c r="AM1254" s="1148"/>
      <c r="AN1254" s="1148"/>
      <c r="AO1254" s="1148"/>
      <c r="AP1254" s="1148"/>
      <c r="AQ1254" s="1144"/>
      <c r="AR1254" s="1144"/>
      <c r="AS1254" s="1144"/>
      <c r="AT1254" s="1144"/>
      <c r="AU1254" s="1144"/>
      <c r="AV1254" s="1144"/>
      <c r="AW1254" s="1144"/>
      <c r="AX1254" s="1144"/>
      <c r="AY1254" s="1144"/>
      <c r="AZ1254" s="1144"/>
      <c r="BA1254" s="1144"/>
      <c r="BB1254" s="1144"/>
      <c r="BC1254" s="1144"/>
      <c r="BD1254" s="1144"/>
      <c r="BE1254" s="1144"/>
      <c r="BF1254" s="1144"/>
      <c r="BG1254" s="1144"/>
      <c r="BH1254" s="1144"/>
      <c r="BI1254" s="1144"/>
      <c r="BJ1254" s="1144"/>
      <c r="BK1254" s="1144"/>
      <c r="BL1254" s="1144"/>
      <c r="BM1254" s="1144"/>
      <c r="BN1254" s="1144"/>
      <c r="BO1254" s="1144"/>
      <c r="BP1254" s="1144"/>
      <c r="BQ1254" s="1144"/>
      <c r="BR1254" s="1144"/>
      <c r="BS1254" s="1144"/>
      <c r="BT1254" s="1144"/>
      <c r="BU1254" s="1144"/>
      <c r="BV1254" s="1144"/>
      <c r="BW1254" s="1144"/>
      <c r="BX1254" s="1144"/>
      <c r="BY1254" s="1144"/>
      <c r="BZ1254" s="1144"/>
      <c r="CA1254" s="1144"/>
      <c r="CB1254" s="1144"/>
      <c r="CC1254" s="1144"/>
      <c r="CD1254" s="1144"/>
      <c r="CE1254" s="1144"/>
      <c r="CF1254" s="1144"/>
      <c r="CG1254" s="1144"/>
      <c r="CH1254" s="1144"/>
      <c r="CI1254" s="1144"/>
      <c r="CJ1254" s="1144"/>
      <c r="CK1254" s="1144"/>
      <c r="CL1254" s="1144"/>
      <c r="CM1254" s="1144"/>
      <c r="CN1254" s="1144"/>
    </row>
    <row r="1255" spans="11:92" ht="12" customHeight="1" x14ac:dyDescent="0.35">
      <c r="K1255" s="29">
        <f t="shared" si="808"/>
        <v>0</v>
      </c>
      <c r="L1255" s="1158">
        <f t="shared" si="809"/>
        <v>1766</v>
      </c>
      <c r="M1255" s="34">
        <f t="shared" si="810"/>
        <v>0</v>
      </c>
      <c r="N1255" s="34">
        <f t="shared" si="811"/>
        <v>0</v>
      </c>
      <c r="O1255" s="55">
        <f t="shared" si="813"/>
        <v>0</v>
      </c>
      <c r="P1255" s="55">
        <f t="shared" si="814"/>
        <v>0</v>
      </c>
      <c r="Q1255" s="55">
        <f t="shared" si="815"/>
        <v>0</v>
      </c>
      <c r="R1255" s="31">
        <f>IF(Input!D$298=L1411,Input!D$297,0)</f>
        <v>0</v>
      </c>
      <c r="S1255" s="36">
        <f t="shared" si="816"/>
        <v>0</v>
      </c>
      <c r="T1255" s="1818"/>
      <c r="U1255" s="1814"/>
      <c r="V1255" s="1814"/>
      <c r="W1255" s="1817"/>
      <c r="X1255" s="1814"/>
      <c r="Y1255" s="1801"/>
      <c r="Z1255" s="1801"/>
      <c r="AA1255" s="1801"/>
      <c r="AB1255" s="1801"/>
      <c r="AC1255" s="1801"/>
      <c r="AD1255" s="1801"/>
      <c r="AE1255" s="1801"/>
      <c r="AF1255" s="1814"/>
      <c r="AG1255" s="376"/>
      <c r="AH1255" s="376"/>
      <c r="AI1255" s="376"/>
      <c r="AJ1255" s="376"/>
      <c r="AK1255" s="376"/>
      <c r="AL1255" s="1148"/>
      <c r="AM1255" s="1148"/>
      <c r="AN1255" s="1148"/>
      <c r="AO1255" s="1148"/>
      <c r="AP1255" s="1148"/>
      <c r="AQ1255" s="1144"/>
      <c r="AR1255" s="1144"/>
      <c r="AS1255" s="1144"/>
      <c r="AT1255" s="1144"/>
      <c r="AU1255" s="1144"/>
      <c r="AV1255" s="1144"/>
      <c r="AW1255" s="1144"/>
      <c r="AX1255" s="1144"/>
      <c r="AY1255" s="1144"/>
      <c r="AZ1255" s="1144"/>
      <c r="BA1255" s="1144"/>
      <c r="BB1255" s="1144"/>
      <c r="BC1255" s="1144"/>
      <c r="BD1255" s="1144"/>
      <c r="BE1255" s="1144"/>
      <c r="BF1255" s="1144"/>
      <c r="BG1255" s="1144"/>
      <c r="BH1255" s="1144"/>
      <c r="BI1255" s="1144"/>
      <c r="BJ1255" s="1144"/>
      <c r="BK1255" s="1144"/>
      <c r="BL1255" s="1144"/>
      <c r="BM1255" s="1144"/>
      <c r="BN1255" s="1144"/>
      <c r="BO1255" s="1144"/>
      <c r="BP1255" s="1144"/>
      <c r="BQ1255" s="1144"/>
      <c r="BR1255" s="1144"/>
      <c r="BS1255" s="1144"/>
      <c r="BT1255" s="1144"/>
      <c r="BU1255" s="1144"/>
      <c r="BV1255" s="1144"/>
      <c r="BW1255" s="1144"/>
      <c r="BX1255" s="1144"/>
      <c r="BY1255" s="1144"/>
      <c r="BZ1255" s="1144"/>
      <c r="CA1255" s="1144"/>
      <c r="CB1255" s="1144"/>
      <c r="CC1255" s="1144"/>
      <c r="CD1255" s="1144"/>
      <c r="CE1255" s="1144"/>
      <c r="CF1255" s="1144"/>
      <c r="CG1255" s="1144"/>
      <c r="CH1255" s="1144"/>
      <c r="CI1255" s="1144"/>
      <c r="CJ1255" s="1144"/>
      <c r="CK1255" s="1144"/>
      <c r="CL1255" s="1144"/>
      <c r="CM1255" s="1144"/>
      <c r="CN1255" s="1144"/>
    </row>
    <row r="1256" spans="11:92" ht="12" customHeight="1" x14ac:dyDescent="0.35">
      <c r="K1256" s="29">
        <f t="shared" si="808"/>
        <v>0</v>
      </c>
      <c r="L1256" s="1158">
        <f t="shared" si="809"/>
        <v>1796</v>
      </c>
      <c r="M1256" s="34">
        <f t="shared" si="810"/>
        <v>0</v>
      </c>
      <c r="N1256" s="34">
        <f t="shared" si="811"/>
        <v>0</v>
      </c>
      <c r="O1256" s="55">
        <f t="shared" si="813"/>
        <v>0</v>
      </c>
      <c r="P1256" s="55">
        <f t="shared" si="814"/>
        <v>0</v>
      </c>
      <c r="Q1256" s="55">
        <f t="shared" si="815"/>
        <v>0</v>
      </c>
      <c r="R1256" s="31">
        <f>IF(Input!D$298=L1412,Input!D$297,0)</f>
        <v>0</v>
      </c>
      <c r="S1256" s="36">
        <f t="shared" si="816"/>
        <v>0</v>
      </c>
      <c r="T1256" s="1818"/>
      <c r="U1256" s="1814"/>
      <c r="V1256" s="1814"/>
      <c r="W1256" s="1817"/>
      <c r="X1256" s="1814"/>
      <c r="Y1256" s="1801"/>
      <c r="Z1256" s="1801"/>
      <c r="AA1256" s="1801"/>
      <c r="AB1256" s="1801"/>
      <c r="AC1256" s="1801"/>
      <c r="AD1256" s="1801"/>
      <c r="AE1256" s="1801"/>
      <c r="AF1256" s="1814"/>
      <c r="AG1256" s="376"/>
      <c r="AH1256" s="376"/>
      <c r="AI1256" s="376"/>
      <c r="AJ1256" s="376"/>
      <c r="AK1256" s="376"/>
      <c r="AL1256" s="1148"/>
      <c r="AM1256" s="1148"/>
      <c r="AN1256" s="1148"/>
      <c r="AO1256" s="1148"/>
      <c r="AP1256" s="1148"/>
      <c r="AQ1256" s="1144"/>
      <c r="AR1256" s="1144"/>
      <c r="AS1256" s="1144"/>
      <c r="AT1256" s="1144"/>
      <c r="AU1256" s="1144"/>
      <c r="AV1256" s="1144"/>
      <c r="AW1256" s="1144"/>
      <c r="AX1256" s="1144"/>
      <c r="AY1256" s="1144"/>
      <c r="AZ1256" s="1144"/>
      <c r="BA1256" s="1144"/>
      <c r="BB1256" s="1144"/>
      <c r="BC1256" s="1144"/>
      <c r="BD1256" s="1144"/>
      <c r="BE1256" s="1144"/>
      <c r="BF1256" s="1144"/>
      <c r="BG1256" s="1144"/>
      <c r="BH1256" s="1144"/>
      <c r="BI1256" s="1144"/>
      <c r="BJ1256" s="1144"/>
      <c r="BK1256" s="1144"/>
      <c r="BL1256" s="1144"/>
      <c r="BM1256" s="1144"/>
      <c r="BN1256" s="1144"/>
      <c r="BO1256" s="1144"/>
      <c r="BP1256" s="1144"/>
      <c r="BQ1256" s="1144"/>
      <c r="BR1256" s="1144"/>
      <c r="BS1256" s="1144"/>
      <c r="BT1256" s="1144"/>
      <c r="BU1256" s="1144"/>
      <c r="BV1256" s="1144"/>
      <c r="BW1256" s="1144"/>
      <c r="BX1256" s="1144"/>
      <c r="BY1256" s="1144"/>
      <c r="BZ1256" s="1144"/>
      <c r="CA1256" s="1144"/>
      <c r="CB1256" s="1144"/>
      <c r="CC1256" s="1144"/>
      <c r="CD1256" s="1144"/>
      <c r="CE1256" s="1144"/>
      <c r="CF1256" s="1144"/>
      <c r="CG1256" s="1144"/>
      <c r="CH1256" s="1144"/>
      <c r="CI1256" s="1144"/>
      <c r="CJ1256" s="1144"/>
      <c r="CK1256" s="1144"/>
      <c r="CL1256" s="1144"/>
      <c r="CM1256" s="1144"/>
      <c r="CN1256" s="1144"/>
    </row>
    <row r="1257" spans="11:92" ht="12" customHeight="1" x14ac:dyDescent="0.35">
      <c r="K1257" s="29">
        <f t="shared" si="808"/>
        <v>0</v>
      </c>
      <c r="L1257" s="1158">
        <f t="shared" si="809"/>
        <v>1827</v>
      </c>
      <c r="M1257" s="34">
        <f t="shared" si="810"/>
        <v>0</v>
      </c>
      <c r="N1257" s="34">
        <f t="shared" si="811"/>
        <v>0</v>
      </c>
      <c r="O1257" s="55">
        <f t="shared" si="813"/>
        <v>0</v>
      </c>
      <c r="P1257" s="55">
        <f t="shared" si="814"/>
        <v>0</v>
      </c>
      <c r="Q1257" s="55">
        <f t="shared" si="815"/>
        <v>0</v>
      </c>
      <c r="R1257" s="31">
        <f>IF(Input!D$298=L1413,Input!D$297,0)</f>
        <v>0</v>
      </c>
      <c r="S1257" s="36">
        <f t="shared" si="816"/>
        <v>0</v>
      </c>
      <c r="T1257" s="1818"/>
      <c r="U1257" s="1814"/>
      <c r="V1257" s="1814"/>
      <c r="W1257" s="1817"/>
      <c r="X1257" s="1814"/>
      <c r="Y1257" s="1801"/>
      <c r="Z1257" s="1801"/>
      <c r="AA1257" s="1801"/>
      <c r="AB1257" s="1801"/>
      <c r="AC1257" s="1801"/>
      <c r="AD1257" s="1801"/>
      <c r="AE1257" s="1801"/>
      <c r="AF1257" s="1814"/>
      <c r="AG1257" s="376"/>
      <c r="AH1257" s="376"/>
      <c r="AI1257" s="376"/>
      <c r="AJ1257" s="376"/>
      <c r="AK1257" s="376"/>
      <c r="AL1257" s="1148"/>
      <c r="AM1257" s="1148"/>
      <c r="AN1257" s="1148"/>
      <c r="AO1257" s="1148"/>
      <c r="AP1257" s="1148"/>
      <c r="AQ1257" s="1144"/>
      <c r="AR1257" s="1144"/>
      <c r="AS1257" s="1144"/>
      <c r="AT1257" s="1144"/>
      <c r="AU1257" s="1144"/>
      <c r="AV1257" s="1144"/>
      <c r="AW1257" s="1144"/>
      <c r="AX1257" s="1144"/>
      <c r="AY1257" s="1144"/>
      <c r="AZ1257" s="1144"/>
      <c r="BA1257" s="1144"/>
      <c r="BB1257" s="1144"/>
      <c r="BC1257" s="1144"/>
      <c r="BD1257" s="1144"/>
      <c r="BE1257" s="1144"/>
      <c r="BF1257" s="1144"/>
      <c r="BG1257" s="1144"/>
      <c r="BH1257" s="1144"/>
      <c r="BI1257" s="1144"/>
      <c r="BJ1257" s="1144"/>
      <c r="BK1257" s="1144"/>
      <c r="BL1257" s="1144"/>
      <c r="BM1257" s="1144"/>
      <c r="BN1257" s="1144"/>
      <c r="BO1257" s="1144"/>
      <c r="BP1257" s="1144"/>
      <c r="BQ1257" s="1144"/>
      <c r="BR1257" s="1144"/>
      <c r="BS1257" s="1144"/>
      <c r="BT1257" s="1144"/>
      <c r="BU1257" s="1144"/>
      <c r="BV1257" s="1144"/>
      <c r="BW1257" s="1144"/>
      <c r="BX1257" s="1144"/>
      <c r="BY1257" s="1144"/>
      <c r="BZ1257" s="1144"/>
      <c r="CA1257" s="1144"/>
      <c r="CB1257" s="1144"/>
      <c r="CC1257" s="1144"/>
      <c r="CD1257" s="1144"/>
      <c r="CE1257" s="1144"/>
      <c r="CF1257" s="1144"/>
      <c r="CG1257" s="1144"/>
      <c r="CH1257" s="1144"/>
      <c r="CI1257" s="1144"/>
      <c r="CJ1257" s="1144"/>
      <c r="CK1257" s="1144"/>
      <c r="CL1257" s="1144"/>
      <c r="CM1257" s="1144"/>
      <c r="CN1257" s="1144"/>
    </row>
    <row r="1258" spans="11:92" ht="12" customHeight="1" x14ac:dyDescent="0.35">
      <c r="K1258" s="28"/>
      <c r="L1258" s="28"/>
      <c r="M1258" s="28"/>
      <c r="N1258" s="28"/>
      <c r="O1258" s="28"/>
      <c r="P1258" s="28"/>
      <c r="Q1258" s="28"/>
      <c r="R1258" s="31">
        <f>IF(Input!D$298=L1414,Input!D$297,0)</f>
        <v>0</v>
      </c>
      <c r="S1258" s="36">
        <f t="shared" si="816"/>
        <v>0</v>
      </c>
      <c r="T1258" s="1818"/>
      <c r="U1258" s="1814"/>
      <c r="V1258" s="1814"/>
      <c r="W1258" s="1817"/>
      <c r="X1258" s="1814"/>
      <c r="Y1258" s="1801"/>
      <c r="Z1258" s="1801"/>
      <c r="AA1258" s="1801"/>
      <c r="AB1258" s="1801"/>
      <c r="AC1258" s="1801"/>
      <c r="AD1258" s="1801"/>
      <c r="AE1258" s="1801"/>
      <c r="AF1258" s="1814"/>
      <c r="AG1258" s="376"/>
      <c r="AH1258" s="376"/>
      <c r="AI1258" s="376"/>
      <c r="AJ1258" s="376"/>
      <c r="AK1258" s="376"/>
      <c r="AL1258" s="1148"/>
      <c r="AM1258" s="1148"/>
      <c r="AN1258" s="1148"/>
      <c r="AO1258" s="1148"/>
      <c r="AP1258" s="1148"/>
      <c r="AQ1258" s="1144"/>
      <c r="AR1258" s="1144"/>
      <c r="AS1258" s="1144"/>
      <c r="AT1258" s="1144"/>
      <c r="AU1258" s="1144"/>
      <c r="AV1258" s="1144"/>
      <c r="AW1258" s="1144"/>
      <c r="AX1258" s="1144"/>
      <c r="AY1258" s="1144"/>
      <c r="AZ1258" s="1144"/>
      <c r="BA1258" s="1144"/>
      <c r="BB1258" s="1144"/>
      <c r="BC1258" s="1144"/>
      <c r="BD1258" s="1144"/>
      <c r="BE1258" s="1144"/>
      <c r="BF1258" s="1144"/>
      <c r="BG1258" s="1144"/>
      <c r="BH1258" s="1144"/>
      <c r="BI1258" s="1144"/>
      <c r="BJ1258" s="1144"/>
      <c r="BK1258" s="1144"/>
      <c r="BL1258" s="1144"/>
      <c r="BM1258" s="1144"/>
      <c r="BN1258" s="1144"/>
      <c r="BO1258" s="1144"/>
      <c r="BP1258" s="1144"/>
      <c r="BQ1258" s="1144"/>
      <c r="BR1258" s="1144"/>
      <c r="BS1258" s="1144"/>
      <c r="BT1258" s="1144"/>
      <c r="BU1258" s="1144"/>
      <c r="BV1258" s="1144"/>
      <c r="BW1258" s="1144"/>
      <c r="BX1258" s="1144"/>
      <c r="BY1258" s="1144"/>
      <c r="BZ1258" s="1144"/>
      <c r="CA1258" s="1144"/>
      <c r="CB1258" s="1144"/>
      <c r="CC1258" s="1144"/>
      <c r="CD1258" s="1144"/>
      <c r="CE1258" s="1144"/>
      <c r="CF1258" s="1144"/>
      <c r="CG1258" s="1144"/>
      <c r="CH1258" s="1144"/>
      <c r="CI1258" s="1144"/>
      <c r="CJ1258" s="1144"/>
      <c r="CK1258" s="1144"/>
      <c r="CL1258" s="1144"/>
      <c r="CM1258" s="1144"/>
      <c r="CN1258" s="1144"/>
    </row>
    <row r="1259" spans="11:92" ht="12" customHeight="1" x14ac:dyDescent="0.35">
      <c r="K1259" s="28"/>
      <c r="L1259" s="28"/>
      <c r="M1259" s="28"/>
      <c r="N1259" s="28"/>
      <c r="O1259" s="28"/>
      <c r="P1259" s="28"/>
      <c r="Q1259" s="28"/>
      <c r="R1259" s="31">
        <f>IF(Input!D$298=L1415,Input!D$297,0)</f>
        <v>0</v>
      </c>
      <c r="S1259" s="36">
        <f t="shared" si="816"/>
        <v>0</v>
      </c>
      <c r="T1259" s="1818"/>
      <c r="U1259" s="1814"/>
      <c r="V1259" s="1814"/>
      <c r="W1259" s="1817"/>
      <c r="X1259" s="1814"/>
      <c r="Y1259" s="1801"/>
      <c r="Z1259" s="1801"/>
      <c r="AA1259" s="1801"/>
      <c r="AB1259" s="1801"/>
      <c r="AC1259" s="1801"/>
      <c r="AD1259" s="1801"/>
      <c r="AE1259" s="1801"/>
      <c r="AF1259" s="1814"/>
      <c r="AG1259" s="376"/>
      <c r="AH1259" s="376"/>
      <c r="AI1259" s="376"/>
      <c r="AJ1259" s="376"/>
      <c r="AK1259" s="376"/>
      <c r="AL1259" s="1148"/>
      <c r="AM1259" s="1148"/>
      <c r="AN1259" s="1148"/>
      <c r="AO1259" s="1148"/>
      <c r="AP1259" s="1148"/>
      <c r="AQ1259" s="1144"/>
      <c r="AR1259" s="1144"/>
      <c r="AS1259" s="1144"/>
      <c r="AT1259" s="1144"/>
      <c r="AU1259" s="1144"/>
      <c r="AV1259" s="1144"/>
      <c r="AW1259" s="1144"/>
      <c r="AX1259" s="1144"/>
      <c r="AY1259" s="1144"/>
      <c r="AZ1259" s="1144"/>
      <c r="BA1259" s="1144"/>
      <c r="BB1259" s="1144"/>
      <c r="BC1259" s="1144"/>
      <c r="BD1259" s="1144"/>
      <c r="BE1259" s="1144"/>
      <c r="BF1259" s="1144"/>
      <c r="BG1259" s="1144"/>
      <c r="BH1259" s="1144"/>
      <c r="BI1259" s="1144"/>
      <c r="BJ1259" s="1144"/>
      <c r="BK1259" s="1144"/>
      <c r="BL1259" s="1144"/>
      <c r="BM1259" s="1144"/>
      <c r="BN1259" s="1144"/>
      <c r="BO1259" s="1144"/>
      <c r="BP1259" s="1144"/>
      <c r="BQ1259" s="1144"/>
      <c r="BR1259" s="1144"/>
      <c r="BS1259" s="1144"/>
      <c r="BT1259" s="1144"/>
      <c r="BU1259" s="1144"/>
      <c r="BV1259" s="1144"/>
      <c r="BW1259" s="1144"/>
      <c r="BX1259" s="1144"/>
      <c r="BY1259" s="1144"/>
      <c r="BZ1259" s="1144"/>
      <c r="CA1259" s="1144"/>
      <c r="CB1259" s="1144"/>
      <c r="CC1259" s="1144"/>
      <c r="CD1259" s="1144"/>
      <c r="CE1259" s="1144"/>
      <c r="CF1259" s="1144"/>
      <c r="CG1259" s="1144"/>
      <c r="CH1259" s="1144"/>
      <c r="CI1259" s="1144"/>
      <c r="CJ1259" s="1144"/>
      <c r="CK1259" s="1144"/>
      <c r="CL1259" s="1144"/>
      <c r="CM1259" s="1144"/>
      <c r="CN1259" s="1144"/>
    </row>
    <row r="1260" spans="11:92" ht="12" customHeight="1" x14ac:dyDescent="0.35">
      <c r="K1260" s="28"/>
      <c r="L1260" s="28"/>
      <c r="M1260" s="28"/>
      <c r="N1260" s="28"/>
      <c r="O1260" s="28"/>
      <c r="P1260" s="28"/>
      <c r="Q1260" s="28"/>
      <c r="R1260" s="31">
        <f>IF(Input!D$298=L1416,Input!D$297,0)</f>
        <v>0</v>
      </c>
      <c r="S1260" s="36">
        <f t="shared" si="816"/>
        <v>0</v>
      </c>
      <c r="T1260" s="1818"/>
      <c r="U1260" s="1814"/>
      <c r="V1260" s="1814"/>
      <c r="W1260" s="1817"/>
      <c r="X1260" s="1814"/>
      <c r="Y1260" s="1801"/>
      <c r="Z1260" s="1801"/>
      <c r="AA1260" s="1801"/>
      <c r="AB1260" s="1801"/>
      <c r="AC1260" s="1801"/>
      <c r="AD1260" s="1801"/>
      <c r="AE1260" s="1801"/>
      <c r="AF1260" s="1814"/>
      <c r="AG1260" s="376"/>
      <c r="AH1260" s="376"/>
      <c r="AI1260" s="376"/>
      <c r="AJ1260" s="376"/>
      <c r="AK1260" s="376"/>
      <c r="AL1260" s="1148"/>
      <c r="AM1260" s="1148"/>
      <c r="AN1260" s="1148"/>
      <c r="AO1260" s="1148"/>
      <c r="AP1260" s="1148"/>
      <c r="AQ1260" s="1144"/>
      <c r="AR1260" s="1144"/>
      <c r="AS1260" s="1144"/>
      <c r="AT1260" s="1144"/>
      <c r="AU1260" s="1144"/>
      <c r="AV1260" s="1144"/>
      <c r="AW1260" s="1144"/>
      <c r="AX1260" s="1144"/>
      <c r="AY1260" s="1144"/>
      <c r="AZ1260" s="1144"/>
      <c r="BA1260" s="1144"/>
      <c r="BB1260" s="1144"/>
      <c r="BC1260" s="1144"/>
      <c r="BD1260" s="1144"/>
      <c r="BE1260" s="1144"/>
      <c r="BF1260" s="1144"/>
      <c r="BG1260" s="1144"/>
      <c r="BH1260" s="1144"/>
      <c r="BI1260" s="1144"/>
      <c r="BJ1260" s="1144"/>
      <c r="BK1260" s="1144"/>
      <c r="BL1260" s="1144"/>
      <c r="BM1260" s="1144"/>
      <c r="BN1260" s="1144"/>
      <c r="BO1260" s="1144"/>
      <c r="BP1260" s="1144"/>
      <c r="BQ1260" s="1144"/>
      <c r="BR1260" s="1144"/>
      <c r="BS1260" s="1144"/>
      <c r="BT1260" s="1144"/>
      <c r="BU1260" s="1144"/>
      <c r="BV1260" s="1144"/>
      <c r="BW1260" s="1144"/>
      <c r="BX1260" s="1144"/>
      <c r="BY1260" s="1144"/>
      <c r="BZ1260" s="1144"/>
      <c r="CA1260" s="1144"/>
      <c r="CB1260" s="1144"/>
      <c r="CC1260" s="1144"/>
      <c r="CD1260" s="1144"/>
      <c r="CE1260" s="1144"/>
      <c r="CF1260" s="1144"/>
      <c r="CG1260" s="1144"/>
      <c r="CH1260" s="1144"/>
      <c r="CI1260" s="1144"/>
      <c r="CJ1260" s="1144"/>
      <c r="CK1260" s="1144"/>
      <c r="CL1260" s="1144"/>
      <c r="CM1260" s="1144"/>
      <c r="CN1260" s="1144"/>
    </row>
    <row r="1261" spans="11:92" ht="12" customHeight="1" x14ac:dyDescent="0.35">
      <c r="K1261" s="28"/>
      <c r="L1261" s="28"/>
      <c r="M1261" s="28"/>
      <c r="N1261" s="28"/>
      <c r="O1261" s="28"/>
      <c r="P1261" s="28"/>
      <c r="Q1261" s="28"/>
      <c r="R1261" s="31">
        <f>IF(Input!D$298=L1417,Input!D$297,0)</f>
        <v>0</v>
      </c>
      <c r="S1261" s="36">
        <f t="shared" si="816"/>
        <v>0</v>
      </c>
      <c r="T1261" s="1818"/>
      <c r="U1261" s="1814"/>
      <c r="V1261" s="1814"/>
      <c r="W1261" s="1817"/>
      <c r="X1261" s="1814"/>
      <c r="Y1261" s="1801"/>
      <c r="Z1261" s="1801"/>
      <c r="AA1261" s="1801"/>
      <c r="AB1261" s="1801"/>
      <c r="AC1261" s="1801"/>
      <c r="AD1261" s="1801"/>
      <c r="AE1261" s="1801"/>
      <c r="AF1261" s="1814"/>
      <c r="AG1261" s="376"/>
      <c r="AH1261" s="376"/>
      <c r="AI1261" s="376"/>
      <c r="AJ1261" s="376"/>
      <c r="AK1261" s="376"/>
      <c r="AL1261" s="1148"/>
      <c r="AM1261" s="1148"/>
      <c r="AN1261" s="1148"/>
      <c r="AO1261" s="1148"/>
      <c r="AP1261" s="1148"/>
      <c r="AQ1261" s="1144"/>
      <c r="AR1261" s="1144"/>
      <c r="AS1261" s="1144"/>
      <c r="AT1261" s="1144"/>
      <c r="AU1261" s="1144"/>
      <c r="AV1261" s="1144"/>
      <c r="AW1261" s="1144"/>
      <c r="AX1261" s="1144"/>
      <c r="AY1261" s="1144"/>
      <c r="AZ1261" s="1144"/>
      <c r="BA1261" s="1144"/>
      <c r="BB1261" s="1144"/>
      <c r="BC1261" s="1144"/>
      <c r="BD1261" s="1144"/>
      <c r="BE1261" s="1144"/>
      <c r="BF1261" s="1144"/>
      <c r="BG1261" s="1144"/>
      <c r="BH1261" s="1144"/>
      <c r="BI1261" s="1144"/>
      <c r="BJ1261" s="1144"/>
      <c r="BK1261" s="1144"/>
      <c r="BL1261" s="1144"/>
      <c r="BM1261" s="1144"/>
      <c r="BN1261" s="1144"/>
      <c r="BO1261" s="1144"/>
      <c r="BP1261" s="1144"/>
      <c r="BQ1261" s="1144"/>
      <c r="BR1261" s="1144"/>
      <c r="BS1261" s="1144"/>
      <c r="BT1261" s="1144"/>
      <c r="BU1261" s="1144"/>
      <c r="BV1261" s="1144"/>
      <c r="BW1261" s="1144"/>
      <c r="BX1261" s="1144"/>
      <c r="BY1261" s="1144"/>
      <c r="BZ1261" s="1144"/>
      <c r="CA1261" s="1144"/>
      <c r="CB1261" s="1144"/>
      <c r="CC1261" s="1144"/>
      <c r="CD1261" s="1144"/>
      <c r="CE1261" s="1144"/>
      <c r="CF1261" s="1144"/>
      <c r="CG1261" s="1144"/>
      <c r="CH1261" s="1144"/>
      <c r="CI1261" s="1144"/>
      <c r="CJ1261" s="1144"/>
      <c r="CK1261" s="1144"/>
      <c r="CL1261" s="1144"/>
      <c r="CM1261" s="1144"/>
      <c r="CN1261" s="1144"/>
    </row>
    <row r="1262" spans="11:92" ht="12" customHeight="1" x14ac:dyDescent="0.35">
      <c r="K1262" s="28"/>
      <c r="L1262" s="28"/>
      <c r="M1262" s="28"/>
      <c r="N1262" s="28"/>
      <c r="O1262" s="28"/>
      <c r="P1262" s="28"/>
      <c r="Q1262" s="28"/>
      <c r="R1262" s="31">
        <f>IF(Input!D$298=L1418,Input!D$297,0)</f>
        <v>0</v>
      </c>
      <c r="S1262" s="36">
        <f t="shared" si="816"/>
        <v>0</v>
      </c>
      <c r="T1262" s="1818"/>
      <c r="U1262" s="1814"/>
      <c r="V1262" s="1814"/>
      <c r="W1262" s="1817"/>
      <c r="X1262" s="1814"/>
      <c r="Y1262" s="1801"/>
      <c r="Z1262" s="1801"/>
      <c r="AA1262" s="1801"/>
      <c r="AB1262" s="1801"/>
      <c r="AC1262" s="1801"/>
      <c r="AD1262" s="1801"/>
      <c r="AE1262" s="1801"/>
      <c r="AF1262" s="1814"/>
      <c r="AG1262" s="376"/>
      <c r="AH1262" s="376"/>
      <c r="AI1262" s="376"/>
      <c r="AJ1262" s="376"/>
      <c r="AK1262" s="376"/>
      <c r="AL1262" s="1148"/>
      <c r="AM1262" s="1148"/>
      <c r="AN1262" s="1148"/>
      <c r="AO1262" s="1148"/>
      <c r="AP1262" s="1148"/>
      <c r="AQ1262" s="1144"/>
      <c r="AR1262" s="1144"/>
      <c r="AS1262" s="1144"/>
      <c r="AT1262" s="1144"/>
      <c r="AU1262" s="1144"/>
      <c r="AV1262" s="1144"/>
      <c r="AW1262" s="1144"/>
      <c r="AX1262" s="1144"/>
      <c r="AY1262" s="1144"/>
      <c r="AZ1262" s="1144"/>
      <c r="BA1262" s="1144"/>
      <c r="BB1262" s="1144"/>
      <c r="BC1262" s="1144"/>
      <c r="BD1262" s="1144"/>
      <c r="BE1262" s="1144"/>
      <c r="BF1262" s="1144"/>
      <c r="BG1262" s="1144"/>
      <c r="BH1262" s="1144"/>
      <c r="BI1262" s="1144"/>
      <c r="BJ1262" s="1144"/>
      <c r="BK1262" s="1144"/>
      <c r="BL1262" s="1144"/>
      <c r="BM1262" s="1144"/>
      <c r="BN1262" s="1144"/>
      <c r="BO1262" s="1144"/>
      <c r="BP1262" s="1144"/>
      <c r="BQ1262" s="1144"/>
      <c r="BR1262" s="1144"/>
      <c r="BS1262" s="1144"/>
      <c r="BT1262" s="1144"/>
      <c r="BU1262" s="1144"/>
      <c r="BV1262" s="1144"/>
      <c r="BW1262" s="1144"/>
      <c r="BX1262" s="1144"/>
      <c r="BY1262" s="1144"/>
      <c r="BZ1262" s="1144"/>
      <c r="CA1262" s="1144"/>
      <c r="CB1262" s="1144"/>
      <c r="CC1262" s="1144"/>
      <c r="CD1262" s="1144"/>
      <c r="CE1262" s="1144"/>
      <c r="CF1262" s="1144"/>
      <c r="CG1262" s="1144"/>
      <c r="CH1262" s="1144"/>
      <c r="CI1262" s="1144"/>
      <c r="CJ1262" s="1144"/>
      <c r="CK1262" s="1144"/>
      <c r="CL1262" s="1144"/>
      <c r="CM1262" s="1144"/>
      <c r="CN1262" s="1144"/>
    </row>
    <row r="1263" spans="11:92" ht="12" customHeight="1" x14ac:dyDescent="0.35">
      <c r="K1263" s="28"/>
      <c r="L1263" s="28"/>
      <c r="M1263" s="28"/>
      <c r="N1263" s="28"/>
      <c r="O1263" s="28"/>
      <c r="P1263" s="28"/>
      <c r="Q1263" s="28"/>
      <c r="R1263" s="31">
        <f>IF(Input!D$298=L1419,Input!D$297,0)</f>
        <v>0</v>
      </c>
      <c r="S1263" s="36">
        <f t="shared" si="816"/>
        <v>0</v>
      </c>
      <c r="T1263" s="1818"/>
      <c r="U1263" s="1814"/>
      <c r="V1263" s="1814"/>
      <c r="W1263" s="1817"/>
      <c r="X1263" s="1814"/>
      <c r="Y1263" s="1801"/>
      <c r="Z1263" s="1801"/>
      <c r="AA1263" s="1801"/>
      <c r="AB1263" s="1801"/>
      <c r="AC1263" s="1801"/>
      <c r="AD1263" s="1801"/>
      <c r="AE1263" s="1801"/>
      <c r="AF1263" s="1814"/>
      <c r="AG1263" s="376"/>
      <c r="AH1263" s="376"/>
      <c r="AI1263" s="376"/>
      <c r="AJ1263" s="376"/>
      <c r="AK1263" s="376"/>
      <c r="AL1263" s="1148"/>
      <c r="AM1263" s="1148"/>
      <c r="AN1263" s="1148"/>
      <c r="AO1263" s="1148"/>
      <c r="AP1263" s="1148"/>
      <c r="AQ1263" s="1144"/>
      <c r="AR1263" s="1144"/>
      <c r="AS1263" s="1144"/>
      <c r="AT1263" s="1144"/>
      <c r="AU1263" s="1144"/>
      <c r="AV1263" s="1144"/>
      <c r="AW1263" s="1144"/>
      <c r="AX1263" s="1144"/>
      <c r="AY1263" s="1144"/>
      <c r="AZ1263" s="1144"/>
      <c r="BA1263" s="1144"/>
      <c r="BB1263" s="1144"/>
      <c r="BC1263" s="1144"/>
      <c r="BD1263" s="1144"/>
      <c r="BE1263" s="1144"/>
      <c r="BF1263" s="1144"/>
      <c r="BG1263" s="1144"/>
      <c r="BH1263" s="1144"/>
      <c r="BI1263" s="1144"/>
      <c r="BJ1263" s="1144"/>
      <c r="BK1263" s="1144"/>
      <c r="BL1263" s="1144"/>
      <c r="BM1263" s="1144"/>
      <c r="BN1263" s="1144"/>
      <c r="BO1263" s="1144"/>
      <c r="BP1263" s="1144"/>
      <c r="BQ1263" s="1144"/>
      <c r="BR1263" s="1144"/>
      <c r="BS1263" s="1144"/>
      <c r="BT1263" s="1144"/>
      <c r="BU1263" s="1144"/>
      <c r="BV1263" s="1144"/>
      <c r="BW1263" s="1144"/>
      <c r="BX1263" s="1144"/>
      <c r="BY1263" s="1144"/>
      <c r="BZ1263" s="1144"/>
      <c r="CA1263" s="1144"/>
      <c r="CB1263" s="1144"/>
      <c r="CC1263" s="1144"/>
      <c r="CD1263" s="1144"/>
      <c r="CE1263" s="1144"/>
      <c r="CF1263" s="1144"/>
      <c r="CG1263" s="1144"/>
      <c r="CH1263" s="1144"/>
      <c r="CI1263" s="1144"/>
      <c r="CJ1263" s="1144"/>
      <c r="CK1263" s="1144"/>
      <c r="CL1263" s="1144"/>
      <c r="CM1263" s="1144"/>
      <c r="CN1263" s="1144"/>
    </row>
    <row r="1264" spans="11:92" ht="12" customHeight="1" x14ac:dyDescent="0.35">
      <c r="K1264" s="28"/>
      <c r="L1264" s="28"/>
      <c r="M1264" s="28"/>
      <c r="N1264" s="28"/>
      <c r="O1264" s="28"/>
      <c r="P1264" s="28"/>
      <c r="Q1264" s="28"/>
      <c r="R1264" s="31">
        <f>IF(Input!D$298=L1420,Input!D$297,0)</f>
        <v>0</v>
      </c>
      <c r="S1264" s="36">
        <f t="shared" si="816"/>
        <v>0</v>
      </c>
      <c r="T1264" s="1818"/>
      <c r="U1264" s="1814"/>
      <c r="V1264" s="1814"/>
      <c r="W1264" s="1817"/>
      <c r="X1264" s="1814"/>
      <c r="Y1264" s="1801"/>
      <c r="Z1264" s="1801"/>
      <c r="AA1264" s="1801"/>
      <c r="AB1264" s="1801"/>
      <c r="AC1264" s="1801"/>
      <c r="AD1264" s="1801"/>
      <c r="AE1264" s="1801"/>
      <c r="AF1264" s="1814"/>
      <c r="AG1264" s="376"/>
      <c r="AH1264" s="376"/>
      <c r="AI1264" s="376"/>
      <c r="AJ1264" s="376"/>
      <c r="AK1264" s="376"/>
      <c r="AL1264" s="1148"/>
      <c r="AM1264" s="1148"/>
      <c r="AN1264" s="1148"/>
      <c r="AO1264" s="1148"/>
      <c r="AP1264" s="1148"/>
      <c r="AQ1264" s="1144"/>
      <c r="AR1264" s="1144"/>
      <c r="AS1264" s="1144"/>
      <c r="AT1264" s="1144"/>
      <c r="AU1264" s="1144"/>
      <c r="AV1264" s="1144"/>
      <c r="AW1264" s="1144"/>
      <c r="AX1264" s="1144"/>
      <c r="AY1264" s="1144"/>
      <c r="AZ1264" s="1144"/>
      <c r="BA1264" s="1144"/>
      <c r="BB1264" s="1144"/>
      <c r="BC1264" s="1144"/>
      <c r="BD1264" s="1144"/>
      <c r="BE1264" s="1144"/>
      <c r="BF1264" s="1144"/>
      <c r="BG1264" s="1144"/>
      <c r="BH1264" s="1144"/>
      <c r="BI1264" s="1144"/>
      <c r="BJ1264" s="1144"/>
      <c r="BK1264" s="1144"/>
      <c r="BL1264" s="1144"/>
      <c r="BM1264" s="1144"/>
      <c r="BN1264" s="1144"/>
      <c r="BO1264" s="1144"/>
      <c r="BP1264" s="1144"/>
      <c r="BQ1264" s="1144"/>
      <c r="BR1264" s="1144"/>
      <c r="BS1264" s="1144"/>
      <c r="BT1264" s="1144"/>
      <c r="BU1264" s="1144"/>
      <c r="BV1264" s="1144"/>
      <c r="BW1264" s="1144"/>
      <c r="BX1264" s="1144"/>
      <c r="BY1264" s="1144"/>
      <c r="BZ1264" s="1144"/>
      <c r="CA1264" s="1144"/>
      <c r="CB1264" s="1144"/>
      <c r="CC1264" s="1144"/>
      <c r="CD1264" s="1144"/>
      <c r="CE1264" s="1144"/>
      <c r="CF1264" s="1144"/>
      <c r="CG1264" s="1144"/>
      <c r="CH1264" s="1144"/>
      <c r="CI1264" s="1144"/>
      <c r="CJ1264" s="1144"/>
      <c r="CK1264" s="1144"/>
      <c r="CL1264" s="1144"/>
      <c r="CM1264" s="1144"/>
      <c r="CN1264" s="1144"/>
    </row>
    <row r="1265" spans="11:92" ht="12" customHeight="1" x14ac:dyDescent="0.35">
      <c r="K1265" s="28"/>
      <c r="L1265" s="28"/>
      <c r="M1265" s="28"/>
      <c r="N1265" s="28"/>
      <c r="O1265" s="28"/>
      <c r="P1265" s="28"/>
      <c r="Q1265" s="28"/>
      <c r="R1265" s="31">
        <f>IF(Input!D$298=L1421,Input!D$297,0)</f>
        <v>0</v>
      </c>
      <c r="S1265" s="36">
        <f t="shared" si="816"/>
        <v>0</v>
      </c>
      <c r="T1265" s="1818"/>
      <c r="U1265" s="1814"/>
      <c r="V1265" s="1814"/>
      <c r="W1265" s="1817"/>
      <c r="X1265" s="1814"/>
      <c r="Y1265" s="1801"/>
      <c r="Z1265" s="1801"/>
      <c r="AA1265" s="1801"/>
      <c r="AB1265" s="1801"/>
      <c r="AC1265" s="1801"/>
      <c r="AD1265" s="1801"/>
      <c r="AE1265" s="1801"/>
      <c r="AF1265" s="1814"/>
      <c r="AG1265" s="376"/>
      <c r="AH1265" s="376"/>
      <c r="AI1265" s="376"/>
      <c r="AJ1265" s="376"/>
      <c r="AK1265" s="376"/>
      <c r="AL1265" s="1148"/>
      <c r="AM1265" s="1148"/>
      <c r="AN1265" s="1148"/>
      <c r="AO1265" s="1148"/>
      <c r="AP1265" s="1148"/>
      <c r="AQ1265" s="1144"/>
      <c r="AR1265" s="1144"/>
      <c r="AS1265" s="1144"/>
      <c r="AT1265" s="1144"/>
      <c r="AU1265" s="1144"/>
      <c r="AV1265" s="1144"/>
      <c r="AW1265" s="1144"/>
      <c r="AX1265" s="1144"/>
      <c r="AY1265" s="1144"/>
      <c r="AZ1265" s="1144"/>
      <c r="BA1265" s="1144"/>
      <c r="BB1265" s="1144"/>
      <c r="BC1265" s="1144"/>
      <c r="BD1265" s="1144"/>
      <c r="BE1265" s="1144"/>
      <c r="BF1265" s="1144"/>
      <c r="BG1265" s="1144"/>
      <c r="BH1265" s="1144"/>
      <c r="BI1265" s="1144"/>
      <c r="BJ1265" s="1144"/>
      <c r="BK1265" s="1144"/>
      <c r="BL1265" s="1144"/>
      <c r="BM1265" s="1144"/>
      <c r="BN1265" s="1144"/>
      <c r="BO1265" s="1144"/>
      <c r="BP1265" s="1144"/>
      <c r="BQ1265" s="1144"/>
      <c r="BR1265" s="1144"/>
      <c r="BS1265" s="1144"/>
      <c r="BT1265" s="1144"/>
      <c r="BU1265" s="1144"/>
      <c r="BV1265" s="1144"/>
      <c r="BW1265" s="1144"/>
      <c r="BX1265" s="1144"/>
      <c r="BY1265" s="1144"/>
      <c r="BZ1265" s="1144"/>
      <c r="CA1265" s="1144"/>
      <c r="CB1265" s="1144"/>
      <c r="CC1265" s="1144"/>
      <c r="CD1265" s="1144"/>
      <c r="CE1265" s="1144"/>
      <c r="CF1265" s="1144"/>
      <c r="CG1265" s="1144"/>
      <c r="CH1265" s="1144"/>
      <c r="CI1265" s="1144"/>
      <c r="CJ1265" s="1144"/>
      <c r="CK1265" s="1144"/>
      <c r="CL1265" s="1144"/>
      <c r="CM1265" s="1144"/>
      <c r="CN1265" s="1144"/>
    </row>
    <row r="1266" spans="11:92" ht="12" customHeight="1" x14ac:dyDescent="0.35">
      <c r="K1266" s="28"/>
      <c r="L1266" s="28"/>
      <c r="M1266" s="28"/>
      <c r="N1266" s="28"/>
      <c r="O1266" s="28"/>
      <c r="P1266" s="28"/>
      <c r="Q1266" s="28"/>
      <c r="R1266" s="31">
        <f>IF(Input!D$298=L1422,Input!D$297,0)</f>
        <v>0</v>
      </c>
      <c r="S1266" s="36">
        <f t="shared" si="816"/>
        <v>0</v>
      </c>
      <c r="T1266" s="1818"/>
      <c r="U1266" s="1814"/>
      <c r="V1266" s="1814"/>
      <c r="W1266" s="1817"/>
      <c r="X1266" s="1814"/>
      <c r="Y1266" s="1801"/>
      <c r="Z1266" s="1801"/>
      <c r="AA1266" s="1801"/>
      <c r="AB1266" s="1801"/>
      <c r="AC1266" s="1801"/>
      <c r="AD1266" s="1801"/>
      <c r="AE1266" s="1801"/>
      <c r="AF1266" s="1814"/>
      <c r="AG1266" s="376"/>
      <c r="AH1266" s="376"/>
      <c r="AI1266" s="376"/>
      <c r="AJ1266" s="376"/>
      <c r="AK1266" s="376"/>
      <c r="AL1266" s="1148"/>
      <c r="AM1266" s="1148"/>
      <c r="AN1266" s="1148"/>
      <c r="AO1266" s="1148"/>
      <c r="AP1266" s="1148"/>
      <c r="AQ1266" s="1144"/>
      <c r="AR1266" s="1144"/>
      <c r="AS1266" s="1144"/>
      <c r="AT1266" s="1144"/>
      <c r="AU1266" s="1144"/>
      <c r="AV1266" s="1144"/>
      <c r="AW1266" s="1144"/>
      <c r="AX1266" s="1144"/>
      <c r="AY1266" s="1144"/>
      <c r="AZ1266" s="1144"/>
      <c r="BA1266" s="1144"/>
      <c r="BB1266" s="1144"/>
      <c r="BC1266" s="1144"/>
      <c r="BD1266" s="1144"/>
      <c r="BE1266" s="1144"/>
      <c r="BF1266" s="1144"/>
      <c r="BG1266" s="1144"/>
      <c r="BH1266" s="1144"/>
      <c r="BI1266" s="1144"/>
      <c r="BJ1266" s="1144"/>
      <c r="BK1266" s="1144"/>
      <c r="BL1266" s="1144"/>
      <c r="BM1266" s="1144"/>
      <c r="BN1266" s="1144"/>
      <c r="BO1266" s="1144"/>
      <c r="BP1266" s="1144"/>
      <c r="BQ1266" s="1144"/>
      <c r="BR1266" s="1144"/>
      <c r="BS1266" s="1144"/>
      <c r="BT1266" s="1144"/>
      <c r="BU1266" s="1144"/>
      <c r="BV1266" s="1144"/>
      <c r="BW1266" s="1144"/>
      <c r="BX1266" s="1144"/>
      <c r="BY1266" s="1144"/>
      <c r="BZ1266" s="1144"/>
      <c r="CA1266" s="1144"/>
      <c r="CB1266" s="1144"/>
      <c r="CC1266" s="1144"/>
      <c r="CD1266" s="1144"/>
      <c r="CE1266" s="1144"/>
      <c r="CF1266" s="1144"/>
      <c r="CG1266" s="1144"/>
      <c r="CH1266" s="1144"/>
      <c r="CI1266" s="1144"/>
      <c r="CJ1266" s="1144"/>
      <c r="CK1266" s="1144"/>
      <c r="CL1266" s="1144"/>
      <c r="CM1266" s="1144"/>
      <c r="CN1266" s="1144"/>
    </row>
    <row r="1267" spans="11:92" ht="12" customHeight="1" x14ac:dyDescent="0.35">
      <c r="K1267" s="29"/>
      <c r="L1267" s="27">
        <v>3</v>
      </c>
      <c r="M1267" s="38"/>
      <c r="N1267" s="279">
        <f>IF(AND(COUNTBLANK(Input!F$297:F$300)=0,Input!E294&gt;2),Input!$F$297,0)</f>
        <v>0</v>
      </c>
      <c r="O1267" s="38"/>
      <c r="P1267" s="38"/>
      <c r="Q1267" s="28"/>
      <c r="R1267" s="31">
        <f>IF(Input!D$298=L1423,Input!D$297,0)</f>
        <v>0</v>
      </c>
      <c r="S1267" s="36">
        <f t="shared" si="816"/>
        <v>0</v>
      </c>
      <c r="T1267" s="1818"/>
      <c r="U1267" s="1814"/>
      <c r="V1267" s="1814"/>
      <c r="W1267" s="1817"/>
      <c r="X1267" s="1814"/>
      <c r="Y1267" s="1801"/>
      <c r="Z1267" s="1801"/>
      <c r="AA1267" s="1801"/>
      <c r="AB1267" s="1801"/>
      <c r="AC1267" s="1801"/>
      <c r="AD1267" s="1801"/>
      <c r="AE1267" s="1801"/>
      <c r="AF1267" s="1814"/>
      <c r="AG1267" s="376"/>
      <c r="AH1267" s="376"/>
      <c r="AI1267" s="376"/>
      <c r="AJ1267" s="376"/>
      <c r="AK1267" s="376"/>
      <c r="AL1267" s="1148"/>
      <c r="AM1267" s="1148"/>
      <c r="AN1267" s="1148"/>
      <c r="AO1267" s="1148"/>
      <c r="AP1267" s="1148"/>
      <c r="AQ1267" s="1144"/>
      <c r="AR1267" s="1144"/>
      <c r="AS1267" s="1144"/>
      <c r="AT1267" s="1144"/>
      <c r="AU1267" s="1144"/>
      <c r="AV1267" s="1144"/>
      <c r="AW1267" s="1144"/>
      <c r="AX1267" s="1144"/>
      <c r="AY1267" s="1144"/>
      <c r="AZ1267" s="1144"/>
      <c r="BA1267" s="1144"/>
      <c r="BB1267" s="1144"/>
      <c r="BC1267" s="1144"/>
      <c r="BD1267" s="1144"/>
      <c r="BE1267" s="1144"/>
      <c r="BF1267" s="1144"/>
      <c r="BG1267" s="1144"/>
      <c r="BH1267" s="1144"/>
      <c r="BI1267" s="1144"/>
      <c r="BJ1267" s="1144"/>
      <c r="BK1267" s="1144"/>
      <c r="BL1267" s="1144"/>
      <c r="BM1267" s="1144"/>
      <c r="BN1267" s="1144"/>
      <c r="BO1267" s="1144"/>
      <c r="BP1267" s="1144"/>
      <c r="BQ1267" s="1144"/>
      <c r="BR1267" s="1144"/>
      <c r="BS1267" s="1144"/>
      <c r="BT1267" s="1144"/>
      <c r="BU1267" s="1144"/>
      <c r="BV1267" s="1144"/>
      <c r="BW1267" s="1144"/>
      <c r="BX1267" s="1144"/>
      <c r="BY1267" s="1144"/>
      <c r="BZ1267" s="1144"/>
      <c r="CA1267" s="1144"/>
      <c r="CB1267" s="1144"/>
      <c r="CC1267" s="1144"/>
      <c r="CD1267" s="1144"/>
      <c r="CE1267" s="1144"/>
      <c r="CF1267" s="1144"/>
      <c r="CG1267" s="1144"/>
      <c r="CH1267" s="1144"/>
      <c r="CI1267" s="1144"/>
      <c r="CJ1267" s="1144"/>
      <c r="CK1267" s="1144"/>
      <c r="CL1267" s="1144"/>
      <c r="CM1267" s="1144"/>
      <c r="CN1267" s="1144"/>
    </row>
    <row r="1268" spans="11:92" ht="12" customHeight="1" x14ac:dyDescent="0.35">
      <c r="K1268" s="29"/>
      <c r="L1268" s="27">
        <v>3</v>
      </c>
      <c r="M1268" s="208"/>
      <c r="N1268" s="1158">
        <f>Input!F298</f>
        <v>0</v>
      </c>
      <c r="O1268" s="38"/>
      <c r="P1268" s="38"/>
      <c r="Q1268" s="28"/>
      <c r="R1268" s="31">
        <f>IF(Input!D$298=L1424,Input!D$297,0)</f>
        <v>0</v>
      </c>
      <c r="S1268" s="36">
        <f t="shared" si="816"/>
        <v>0</v>
      </c>
      <c r="T1268" s="1818"/>
      <c r="U1268" s="1814"/>
      <c r="V1268" s="1814"/>
      <c r="W1268" s="1817"/>
      <c r="X1268" s="1814"/>
      <c r="Y1268" s="1801"/>
      <c r="Z1268" s="1801"/>
      <c r="AA1268" s="1801"/>
      <c r="AB1268" s="1801"/>
      <c r="AC1268" s="1801"/>
      <c r="AD1268" s="1801"/>
      <c r="AE1268" s="1801"/>
      <c r="AF1268" s="1814"/>
      <c r="AG1268" s="376"/>
      <c r="AH1268" s="376"/>
      <c r="AI1268" s="376"/>
      <c r="AJ1268" s="376"/>
      <c r="AK1268" s="376"/>
      <c r="AL1268" s="1148"/>
      <c r="AM1268" s="1148"/>
      <c r="AN1268" s="1148"/>
      <c r="AO1268" s="1148"/>
      <c r="AP1268" s="1148"/>
      <c r="AQ1268" s="1144"/>
      <c r="AR1268" s="1144"/>
      <c r="AS1268" s="1144"/>
      <c r="AT1268" s="1144"/>
      <c r="AU1268" s="1144"/>
      <c r="AV1268" s="1144"/>
      <c r="AW1268" s="1144"/>
      <c r="AX1268" s="1144"/>
      <c r="AY1268" s="1144"/>
      <c r="AZ1268" s="1144"/>
      <c r="BA1268" s="1144"/>
      <c r="BB1268" s="1144"/>
      <c r="BC1268" s="1144"/>
      <c r="BD1268" s="1144"/>
      <c r="BE1268" s="1144"/>
      <c r="BF1268" s="1144"/>
      <c r="BG1268" s="1144"/>
      <c r="BH1268" s="1144"/>
      <c r="BI1268" s="1144"/>
      <c r="BJ1268" s="1144"/>
      <c r="BK1268" s="1144"/>
      <c r="BL1268" s="1144"/>
      <c r="BM1268" s="1144"/>
      <c r="BN1268" s="1144"/>
      <c r="BO1268" s="1144"/>
      <c r="BP1268" s="1144"/>
      <c r="BQ1268" s="1144"/>
      <c r="BR1268" s="1144"/>
      <c r="BS1268" s="1144"/>
      <c r="BT1268" s="1144"/>
      <c r="BU1268" s="1144"/>
      <c r="BV1268" s="1144"/>
      <c r="BW1268" s="1144"/>
      <c r="BX1268" s="1144"/>
      <c r="BY1268" s="1144"/>
      <c r="BZ1268" s="1144"/>
      <c r="CA1268" s="1144"/>
      <c r="CB1268" s="1144"/>
      <c r="CC1268" s="1144"/>
      <c r="CD1268" s="1144"/>
      <c r="CE1268" s="1144"/>
      <c r="CF1268" s="1144"/>
      <c r="CG1268" s="1144"/>
      <c r="CH1268" s="1144"/>
      <c r="CI1268" s="1144"/>
      <c r="CJ1268" s="1144"/>
      <c r="CK1268" s="1144"/>
      <c r="CL1268" s="1144"/>
      <c r="CM1268" s="1144"/>
      <c r="CN1268" s="1144"/>
    </row>
    <row r="1269" spans="11:92" ht="12" customHeight="1" x14ac:dyDescent="0.35">
      <c r="K1269" s="28"/>
      <c r="L1269" s="28"/>
      <c r="M1269" s="38"/>
      <c r="N1269" s="212">
        <f>Input!F299</f>
        <v>0</v>
      </c>
      <c r="O1269" s="38"/>
      <c r="P1269" s="38"/>
      <c r="Q1269" s="28"/>
      <c r="R1269" s="31">
        <f>IF(Input!D$298=L1425,Input!D$297,0)</f>
        <v>0</v>
      </c>
      <c r="S1269" s="36">
        <f t="shared" si="816"/>
        <v>0</v>
      </c>
      <c r="T1269" s="1818"/>
      <c r="U1269" s="1814"/>
      <c r="V1269" s="1814"/>
      <c r="W1269" s="1817"/>
      <c r="X1269" s="1814"/>
      <c r="Y1269" s="1801"/>
      <c r="Z1269" s="1801"/>
      <c r="AA1269" s="1801"/>
      <c r="AB1269" s="1801"/>
      <c r="AC1269" s="1801"/>
      <c r="AD1269" s="1801"/>
      <c r="AE1269" s="1801"/>
      <c r="AF1269" s="1814"/>
      <c r="AG1269" s="376"/>
      <c r="AH1269" s="376"/>
      <c r="AI1269" s="376"/>
      <c r="AJ1269" s="376"/>
      <c r="AK1269" s="376"/>
      <c r="AL1269" s="1148"/>
      <c r="AM1269" s="1148"/>
      <c r="AN1269" s="1148"/>
      <c r="AO1269" s="1148"/>
      <c r="AP1269" s="1148"/>
      <c r="AQ1269" s="1144"/>
      <c r="AR1269" s="1144"/>
      <c r="AS1269" s="1144"/>
      <c r="AT1269" s="1144"/>
      <c r="AU1269" s="1144"/>
      <c r="AV1269" s="1144"/>
      <c r="AW1269" s="1144"/>
      <c r="AX1269" s="1144"/>
      <c r="AY1269" s="1144"/>
      <c r="AZ1269" s="1144"/>
      <c r="BA1269" s="1144"/>
      <c r="BB1269" s="1144"/>
      <c r="BC1269" s="1144"/>
      <c r="BD1269" s="1144"/>
      <c r="BE1269" s="1144"/>
      <c r="BF1269" s="1144"/>
      <c r="BG1269" s="1144"/>
      <c r="BH1269" s="1144"/>
      <c r="BI1269" s="1144"/>
      <c r="BJ1269" s="1144"/>
      <c r="BK1269" s="1144"/>
      <c r="BL1269" s="1144"/>
      <c r="BM1269" s="1144"/>
      <c r="BN1269" s="1144"/>
      <c r="BO1269" s="1144"/>
      <c r="BP1269" s="1144"/>
      <c r="BQ1269" s="1144"/>
      <c r="BR1269" s="1144"/>
      <c r="BS1269" s="1144"/>
      <c r="BT1269" s="1144"/>
      <c r="BU1269" s="1144"/>
      <c r="BV1269" s="1144"/>
      <c r="BW1269" s="1144"/>
      <c r="BX1269" s="1144"/>
      <c r="BY1269" s="1144"/>
      <c r="BZ1269" s="1144"/>
      <c r="CA1269" s="1144"/>
      <c r="CB1269" s="1144"/>
      <c r="CC1269" s="1144"/>
      <c r="CD1269" s="1144"/>
      <c r="CE1269" s="1144"/>
      <c r="CF1269" s="1144"/>
      <c r="CG1269" s="1144"/>
      <c r="CH1269" s="1144"/>
      <c r="CI1269" s="1144"/>
      <c r="CJ1269" s="1144"/>
      <c r="CK1269" s="1144"/>
      <c r="CL1269" s="1144"/>
      <c r="CM1269" s="1144"/>
      <c r="CN1269" s="1144"/>
    </row>
    <row r="1270" spans="11:92" ht="12" customHeight="1" x14ac:dyDescent="0.35">
      <c r="K1270" s="28"/>
      <c r="L1270" s="28"/>
      <c r="M1270" s="38"/>
      <c r="N1270" s="213">
        <f>Input!F300</f>
        <v>0</v>
      </c>
      <c r="O1270" s="38"/>
      <c r="P1270" s="38"/>
      <c r="Q1270" s="28"/>
      <c r="R1270" s="31">
        <f>IF(Input!D$298=L1426,Input!D$297,0)</f>
        <v>0</v>
      </c>
      <c r="S1270" s="36">
        <f t="shared" si="816"/>
        <v>0</v>
      </c>
      <c r="T1270" s="1818"/>
      <c r="U1270" s="1814"/>
      <c r="V1270" s="1814"/>
      <c r="W1270" s="1817"/>
      <c r="X1270" s="1814"/>
      <c r="Y1270" s="1801"/>
      <c r="Z1270" s="1801"/>
      <c r="AA1270" s="1801"/>
      <c r="AB1270" s="1801"/>
      <c r="AC1270" s="1801"/>
      <c r="AD1270" s="1801"/>
      <c r="AE1270" s="1801"/>
      <c r="AF1270" s="1814"/>
      <c r="AG1270" s="376"/>
      <c r="AH1270" s="376"/>
      <c r="AI1270" s="376"/>
      <c r="AJ1270" s="376"/>
      <c r="AK1270" s="376"/>
      <c r="AL1270" s="1148"/>
      <c r="AM1270" s="1148"/>
      <c r="AN1270" s="1148"/>
      <c r="AO1270" s="1148"/>
      <c r="AP1270" s="1148"/>
      <c r="AQ1270" s="1144"/>
      <c r="AR1270" s="1144"/>
      <c r="AS1270" s="1144"/>
      <c r="AT1270" s="1144"/>
      <c r="AU1270" s="1144"/>
      <c r="AV1270" s="1144"/>
      <c r="AW1270" s="1144"/>
      <c r="AX1270" s="1144"/>
      <c r="AY1270" s="1144"/>
      <c r="AZ1270" s="1144"/>
      <c r="BA1270" s="1144"/>
      <c r="BB1270" s="1144"/>
      <c r="BC1270" s="1144"/>
      <c r="BD1270" s="1144"/>
      <c r="BE1270" s="1144"/>
      <c r="BF1270" s="1144"/>
      <c r="BG1270" s="1144"/>
      <c r="BH1270" s="1144"/>
      <c r="BI1270" s="1144"/>
      <c r="BJ1270" s="1144"/>
      <c r="BK1270" s="1144"/>
      <c r="BL1270" s="1144"/>
      <c r="BM1270" s="1144"/>
      <c r="BN1270" s="1144"/>
      <c r="BO1270" s="1144"/>
      <c r="BP1270" s="1144"/>
      <c r="BQ1270" s="1144"/>
      <c r="BR1270" s="1144"/>
      <c r="BS1270" s="1144"/>
      <c r="BT1270" s="1144"/>
      <c r="BU1270" s="1144"/>
      <c r="BV1270" s="1144"/>
      <c r="BW1270" s="1144"/>
      <c r="BX1270" s="1144"/>
      <c r="BY1270" s="1144"/>
      <c r="BZ1270" s="1144"/>
      <c r="CA1270" s="1144"/>
      <c r="CB1270" s="1144"/>
      <c r="CC1270" s="1144"/>
      <c r="CD1270" s="1144"/>
      <c r="CE1270" s="1144"/>
      <c r="CF1270" s="1144"/>
      <c r="CG1270" s="1144"/>
      <c r="CH1270" s="1144"/>
      <c r="CI1270" s="1144"/>
      <c r="CJ1270" s="1144"/>
      <c r="CK1270" s="1144"/>
      <c r="CL1270" s="1144"/>
      <c r="CM1270" s="1144"/>
      <c r="CN1270" s="1144"/>
    </row>
    <row r="1271" spans="11:92" ht="12" customHeight="1" thickBot="1" x14ac:dyDescent="0.4">
      <c r="K1271" s="28"/>
      <c r="L1271" s="28"/>
      <c r="M1271" s="206" t="s">
        <v>562</v>
      </c>
      <c r="N1271" s="206" t="s">
        <v>563</v>
      </c>
      <c r="O1271" s="206" t="s">
        <v>188</v>
      </c>
      <c r="P1271" s="206" t="s">
        <v>493</v>
      </c>
      <c r="Q1271" s="206" t="s">
        <v>138</v>
      </c>
      <c r="R1271" s="31">
        <f>IF(Input!D$298=L1427,Input!D$297,0)</f>
        <v>0</v>
      </c>
      <c r="S1271" s="36">
        <f t="shared" si="816"/>
        <v>0</v>
      </c>
      <c r="T1271" s="1818"/>
      <c r="U1271" s="1814"/>
      <c r="V1271" s="1814"/>
      <c r="W1271" s="1817"/>
      <c r="X1271" s="1814"/>
      <c r="Y1271" s="1801"/>
      <c r="Z1271" s="1801"/>
      <c r="AA1271" s="1801"/>
      <c r="AB1271" s="1801"/>
      <c r="AC1271" s="1801"/>
      <c r="AD1271" s="1801"/>
      <c r="AE1271" s="1801"/>
      <c r="AF1271" s="1814"/>
      <c r="AG1271" s="376"/>
      <c r="AH1271" s="376"/>
      <c r="AI1271" s="376"/>
      <c r="AJ1271" s="376"/>
      <c r="AK1271" s="376"/>
      <c r="AL1271" s="1148"/>
      <c r="AM1271" s="1148"/>
      <c r="AN1271" s="1148"/>
      <c r="AO1271" s="1148"/>
      <c r="AP1271" s="1148"/>
      <c r="AQ1271" s="1144"/>
      <c r="AR1271" s="1144"/>
      <c r="AS1271" s="1144"/>
      <c r="AT1271" s="1144"/>
      <c r="AU1271" s="1144"/>
      <c r="AV1271" s="1144"/>
      <c r="AW1271" s="1144"/>
      <c r="AX1271" s="1144"/>
      <c r="AY1271" s="1144"/>
      <c r="AZ1271" s="1144"/>
      <c r="BA1271" s="1144"/>
      <c r="BB1271" s="1144"/>
      <c r="BC1271" s="1144"/>
      <c r="BD1271" s="1144"/>
      <c r="BE1271" s="1144"/>
      <c r="BF1271" s="1144"/>
      <c r="BG1271" s="1144"/>
      <c r="BH1271" s="1144"/>
      <c r="BI1271" s="1144"/>
      <c r="BJ1271" s="1144"/>
      <c r="BK1271" s="1144"/>
      <c r="BL1271" s="1144"/>
      <c r="BM1271" s="1144"/>
      <c r="BN1271" s="1144"/>
      <c r="BO1271" s="1144"/>
      <c r="BP1271" s="1144"/>
      <c r="BQ1271" s="1144"/>
      <c r="BR1271" s="1144"/>
      <c r="BS1271" s="1144"/>
      <c r="BT1271" s="1144"/>
      <c r="BU1271" s="1144"/>
      <c r="BV1271" s="1144"/>
      <c r="BW1271" s="1144"/>
      <c r="BX1271" s="1144"/>
      <c r="BY1271" s="1144"/>
      <c r="BZ1271" s="1144"/>
      <c r="CA1271" s="1144"/>
      <c r="CB1271" s="1144"/>
      <c r="CC1271" s="1144"/>
      <c r="CD1271" s="1144"/>
      <c r="CE1271" s="1144"/>
      <c r="CF1271" s="1144"/>
      <c r="CG1271" s="1144"/>
      <c r="CH1271" s="1144"/>
      <c r="CI1271" s="1144"/>
      <c r="CJ1271" s="1144"/>
      <c r="CK1271" s="1144"/>
      <c r="CL1271" s="1144"/>
      <c r="CM1271" s="1144"/>
      <c r="CN1271" s="1144"/>
    </row>
    <row r="1272" spans="11:92" ht="12" customHeight="1" x14ac:dyDescent="0.35">
      <c r="K1272" s="28"/>
      <c r="L1272" s="28"/>
      <c r="M1272" s="28"/>
      <c r="N1272" s="28"/>
      <c r="O1272" s="28"/>
      <c r="P1272" s="28"/>
      <c r="Q1272" s="28"/>
      <c r="R1272" s="31">
        <f>IF(Input!D$298=L1428,Input!D$297,0)</f>
        <v>0</v>
      </c>
      <c r="S1272" s="36">
        <f t="shared" si="816"/>
        <v>0</v>
      </c>
      <c r="T1272" s="1818"/>
      <c r="U1272" s="1814"/>
      <c r="V1272" s="1814"/>
      <c r="W1272" s="1817"/>
      <c r="X1272" s="1814"/>
      <c r="Y1272" s="1801"/>
      <c r="Z1272" s="1801"/>
      <c r="AA1272" s="1801"/>
      <c r="AB1272" s="1801"/>
      <c r="AC1272" s="1801"/>
      <c r="AD1272" s="1801"/>
      <c r="AE1272" s="1801"/>
      <c r="AF1272" s="1814"/>
      <c r="AG1272" s="376"/>
      <c r="AH1272" s="376"/>
      <c r="AI1272" s="376"/>
      <c r="AJ1272" s="376"/>
      <c r="AK1272" s="376"/>
      <c r="AL1272" s="1148"/>
      <c r="AM1272" s="1148"/>
      <c r="AN1272" s="1148"/>
      <c r="AO1272" s="1148"/>
      <c r="AP1272" s="1148"/>
      <c r="AQ1272" s="1144"/>
      <c r="AR1272" s="1144"/>
      <c r="AS1272" s="1144"/>
      <c r="AT1272" s="1144"/>
      <c r="AU1272" s="1144"/>
      <c r="AV1272" s="1144"/>
      <c r="AW1272" s="1144"/>
      <c r="AX1272" s="1144"/>
      <c r="AY1272" s="1144"/>
      <c r="AZ1272" s="1144"/>
      <c r="BA1272" s="1144"/>
      <c r="BB1272" s="1144"/>
      <c r="BC1272" s="1144"/>
      <c r="BD1272" s="1144"/>
      <c r="BE1272" s="1144"/>
      <c r="BF1272" s="1144"/>
      <c r="BG1272" s="1144"/>
      <c r="BH1272" s="1144"/>
      <c r="BI1272" s="1144"/>
      <c r="BJ1272" s="1144"/>
      <c r="BK1272" s="1144"/>
      <c r="BL1272" s="1144"/>
      <c r="BM1272" s="1144"/>
      <c r="BN1272" s="1144"/>
      <c r="BO1272" s="1144"/>
      <c r="BP1272" s="1144"/>
      <c r="BQ1272" s="1144"/>
      <c r="BR1272" s="1144"/>
      <c r="BS1272" s="1144"/>
      <c r="BT1272" s="1144"/>
      <c r="BU1272" s="1144"/>
      <c r="BV1272" s="1144"/>
      <c r="BW1272" s="1144"/>
      <c r="BX1272" s="1144"/>
      <c r="BY1272" s="1144"/>
      <c r="BZ1272" s="1144"/>
      <c r="CA1272" s="1144"/>
      <c r="CB1272" s="1144"/>
      <c r="CC1272" s="1144"/>
      <c r="CD1272" s="1144"/>
      <c r="CE1272" s="1144"/>
      <c r="CF1272" s="1144"/>
      <c r="CG1272" s="1144"/>
      <c r="CH1272" s="1144"/>
      <c r="CI1272" s="1144"/>
      <c r="CJ1272" s="1144"/>
      <c r="CK1272" s="1144"/>
      <c r="CL1272" s="1144"/>
      <c r="CM1272" s="1144"/>
      <c r="CN1272" s="1144"/>
    </row>
    <row r="1273" spans="11:92" ht="12" customHeight="1" x14ac:dyDescent="0.35">
      <c r="K1273" s="28"/>
      <c r="L1273" s="28"/>
      <c r="M1273" s="28"/>
      <c r="N1273" s="28"/>
      <c r="O1273" s="28"/>
      <c r="P1273" s="28"/>
      <c r="Q1273" s="28"/>
      <c r="R1273" s="31">
        <f>IF(Input!D$298=L1429,Input!D$297,0)</f>
        <v>0</v>
      </c>
      <c r="S1273" s="36">
        <f t="shared" si="816"/>
        <v>0</v>
      </c>
      <c r="T1273" s="1818"/>
      <c r="U1273" s="1814"/>
      <c r="V1273" s="1814"/>
      <c r="W1273" s="1817"/>
      <c r="X1273" s="1814"/>
      <c r="Y1273" s="1801"/>
      <c r="Z1273" s="1801"/>
      <c r="AA1273" s="1801"/>
      <c r="AB1273" s="1801"/>
      <c r="AC1273" s="1801"/>
      <c r="AD1273" s="1801"/>
      <c r="AE1273" s="1801"/>
      <c r="AF1273" s="1814"/>
      <c r="AG1273" s="376"/>
      <c r="AH1273" s="376"/>
      <c r="AI1273" s="376"/>
      <c r="AJ1273" s="376"/>
      <c r="AK1273" s="376"/>
      <c r="AL1273" s="1148"/>
      <c r="AM1273" s="1148"/>
      <c r="AN1273" s="1148"/>
      <c r="AO1273" s="1148"/>
      <c r="AP1273" s="1148"/>
      <c r="AQ1273" s="1144"/>
      <c r="AR1273" s="1144"/>
      <c r="AS1273" s="1144"/>
      <c r="AT1273" s="1144"/>
      <c r="AU1273" s="1144"/>
      <c r="AV1273" s="1144"/>
      <c r="AW1273" s="1144"/>
      <c r="AX1273" s="1144"/>
      <c r="AY1273" s="1144"/>
      <c r="AZ1273" s="1144"/>
      <c r="BA1273" s="1144"/>
      <c r="BB1273" s="1144"/>
      <c r="BC1273" s="1144"/>
      <c r="BD1273" s="1144"/>
      <c r="BE1273" s="1144"/>
      <c r="BF1273" s="1144"/>
      <c r="BG1273" s="1144"/>
      <c r="BH1273" s="1144"/>
      <c r="BI1273" s="1144"/>
      <c r="BJ1273" s="1144"/>
      <c r="BK1273" s="1144"/>
      <c r="BL1273" s="1144"/>
      <c r="BM1273" s="1144"/>
      <c r="BN1273" s="1144"/>
      <c r="BO1273" s="1144"/>
      <c r="BP1273" s="1144"/>
      <c r="BQ1273" s="1144"/>
      <c r="BR1273" s="1144"/>
      <c r="BS1273" s="1144"/>
      <c r="BT1273" s="1144"/>
      <c r="BU1273" s="1144"/>
      <c r="BV1273" s="1144"/>
      <c r="BW1273" s="1144"/>
      <c r="BX1273" s="1144"/>
      <c r="BY1273" s="1144"/>
      <c r="BZ1273" s="1144"/>
      <c r="CA1273" s="1144"/>
      <c r="CB1273" s="1144"/>
      <c r="CC1273" s="1144"/>
      <c r="CD1273" s="1144"/>
      <c r="CE1273" s="1144"/>
      <c r="CF1273" s="1144"/>
      <c r="CG1273" s="1144"/>
      <c r="CH1273" s="1144"/>
      <c r="CI1273" s="1144"/>
      <c r="CJ1273" s="1144"/>
      <c r="CK1273" s="1144"/>
      <c r="CL1273" s="1144"/>
      <c r="CM1273" s="1144"/>
      <c r="CN1273" s="1144"/>
    </row>
    <row r="1274" spans="11:92" ht="12" customHeight="1" x14ac:dyDescent="0.35">
      <c r="K1274" s="29">
        <f>IF(L1274&lt;N$1268,0,IF(L1274=N$1268,1,IF(K1273&lt;N$1269,K1273+1,0)))</f>
        <v>1</v>
      </c>
      <c r="L1274" s="1158">
        <f>L1138</f>
        <v>0</v>
      </c>
      <c r="M1274" s="34">
        <f>IF(N$1267=0,0,IF(L1274&lt;N$1268,0,IF(L1274=N$1268,N$1267,Q1273)))</f>
        <v>0</v>
      </c>
      <c r="N1274" s="34">
        <f>IF(N$1267=0,0,IF(OR(M1274&lt;0.01,K1274=0),0,-PMT(N$1270/12,N$1269,N$1267,0)))</f>
        <v>0</v>
      </c>
      <c r="O1274" s="55">
        <f>IF(M1274&lt;1,0,-IPMT(N$1270/12,K1274,N$1269,N$1267,0))</f>
        <v>0</v>
      </c>
      <c r="P1274" s="55">
        <f>N1274-O1274</f>
        <v>0</v>
      </c>
      <c r="Q1274" s="55">
        <f>M1274-P1274</f>
        <v>0</v>
      </c>
      <c r="R1274" s="31">
        <f>IF(Input!D$298=L1430,Input!D$297,0)</f>
        <v>0</v>
      </c>
      <c r="S1274" s="36">
        <f t="shared" ref="S1274:S1305" si="817">Q1430</f>
        <v>0</v>
      </c>
      <c r="T1274" s="1818"/>
      <c r="U1274" s="1814"/>
      <c r="V1274" s="1814"/>
      <c r="W1274" s="1817"/>
      <c r="X1274" s="1814"/>
      <c r="Y1274" s="1801"/>
      <c r="Z1274" s="1801"/>
      <c r="AA1274" s="1801"/>
      <c r="AB1274" s="1801"/>
      <c r="AC1274" s="1801"/>
      <c r="AD1274" s="1801"/>
      <c r="AE1274" s="1801"/>
      <c r="AF1274" s="1814"/>
      <c r="AG1274" s="376"/>
      <c r="AH1274" s="376"/>
      <c r="AI1274" s="376"/>
      <c r="AJ1274" s="376"/>
      <c r="AK1274" s="376"/>
      <c r="AL1274" s="1148"/>
      <c r="AM1274" s="1148"/>
      <c r="AN1274" s="1148"/>
      <c r="AO1274" s="1148"/>
      <c r="AP1274" s="1148"/>
      <c r="AQ1274" s="1144"/>
      <c r="AR1274" s="1144"/>
      <c r="AS1274" s="1144"/>
      <c r="AT1274" s="1144"/>
      <c r="AU1274" s="1144"/>
      <c r="AV1274" s="1144"/>
      <c r="AW1274" s="1144"/>
      <c r="AX1274" s="1144"/>
      <c r="AY1274" s="1144"/>
      <c r="AZ1274" s="1144"/>
      <c r="BA1274" s="1144"/>
      <c r="BB1274" s="1144"/>
      <c r="BC1274" s="1144"/>
      <c r="BD1274" s="1144"/>
      <c r="BE1274" s="1144"/>
      <c r="BF1274" s="1144"/>
      <c r="BG1274" s="1144"/>
      <c r="BH1274" s="1144"/>
      <c r="BI1274" s="1144"/>
      <c r="BJ1274" s="1144"/>
      <c r="BK1274" s="1144"/>
      <c r="BL1274" s="1144"/>
      <c r="BM1274" s="1144"/>
      <c r="BN1274" s="1144"/>
      <c r="BO1274" s="1144"/>
      <c r="BP1274" s="1144"/>
      <c r="BQ1274" s="1144"/>
      <c r="BR1274" s="1144"/>
      <c r="BS1274" s="1144"/>
      <c r="BT1274" s="1144"/>
      <c r="BU1274" s="1144"/>
      <c r="BV1274" s="1144"/>
      <c r="BW1274" s="1144"/>
      <c r="BX1274" s="1144"/>
      <c r="BY1274" s="1144"/>
      <c r="BZ1274" s="1144"/>
      <c r="CA1274" s="1144"/>
      <c r="CB1274" s="1144"/>
      <c r="CC1274" s="1144"/>
      <c r="CD1274" s="1144"/>
      <c r="CE1274" s="1144"/>
      <c r="CF1274" s="1144"/>
      <c r="CG1274" s="1144"/>
      <c r="CH1274" s="1144"/>
      <c r="CI1274" s="1144"/>
      <c r="CJ1274" s="1144"/>
      <c r="CK1274" s="1144"/>
      <c r="CL1274" s="1144"/>
      <c r="CM1274" s="1144"/>
      <c r="CN1274" s="1144"/>
    </row>
    <row r="1275" spans="11:92" ht="12" customHeight="1" x14ac:dyDescent="0.35">
      <c r="K1275" s="29">
        <f t="shared" ref="K1275:K1338" si="818">IF(L1275&lt;N$1268,0,IF(L1275=N$1268,1,IF(K1274&lt;N$1269,K1274+1,0)))</f>
        <v>1</v>
      </c>
      <c r="L1275" s="1158">
        <f t="shared" ref="L1275:L1338" si="819">L1139</f>
        <v>0</v>
      </c>
      <c r="M1275" s="34">
        <f t="shared" ref="M1275:M1338" si="820">IF(N$1267=0,0,IF(L1275&lt;N$1268,0,IF(L1275=N$1268,N$1267,Q1274)))</f>
        <v>0</v>
      </c>
      <c r="N1275" s="34">
        <f t="shared" ref="N1275:N1338" si="821">IF(N$1267=0,0,IF(OR(M1275&lt;0.01,K1275=0),0,-PMT(N$1270/12,N$1269,N$1267,0)))</f>
        <v>0</v>
      </c>
      <c r="O1275" s="55">
        <f>IF(M1275&lt;1,0,-IPMT(N$1270/12,K1275,N$1269,N$1267,0))</f>
        <v>0</v>
      </c>
      <c r="P1275" s="210">
        <f>N1275-O1275</f>
        <v>0</v>
      </c>
      <c r="Q1275" s="210">
        <f>M1275-P1275</f>
        <v>0</v>
      </c>
      <c r="R1275" s="31">
        <f>IF(Input!D$298=L1431,Input!D$297,0)</f>
        <v>0</v>
      </c>
      <c r="S1275" s="36">
        <f t="shared" si="817"/>
        <v>0</v>
      </c>
      <c r="T1275" s="1818"/>
      <c r="U1275" s="1814"/>
      <c r="V1275" s="1814"/>
      <c r="W1275" s="1817"/>
      <c r="X1275" s="1814"/>
      <c r="Y1275" s="1801"/>
      <c r="Z1275" s="1801"/>
      <c r="AA1275" s="1801"/>
      <c r="AB1275" s="1801"/>
      <c r="AC1275" s="1801"/>
      <c r="AD1275" s="1801"/>
      <c r="AE1275" s="1801"/>
      <c r="AF1275" s="1814"/>
      <c r="AG1275" s="376"/>
      <c r="AH1275" s="376"/>
      <c r="AI1275" s="376"/>
      <c r="AJ1275" s="376"/>
      <c r="AK1275" s="376"/>
      <c r="AL1275" s="1148"/>
      <c r="AM1275" s="1148"/>
      <c r="AN1275" s="1148"/>
      <c r="AO1275" s="1148"/>
      <c r="AP1275" s="1148"/>
      <c r="AQ1275" s="1144"/>
      <c r="AR1275" s="1144"/>
      <c r="AS1275" s="1144"/>
      <c r="AT1275" s="1144"/>
      <c r="AU1275" s="1144"/>
      <c r="AV1275" s="1144"/>
      <c r="AW1275" s="1144"/>
      <c r="AX1275" s="1144"/>
      <c r="AY1275" s="1144"/>
      <c r="AZ1275" s="1144"/>
      <c r="BA1275" s="1144"/>
      <c r="BB1275" s="1144"/>
      <c r="BC1275" s="1144"/>
      <c r="BD1275" s="1144"/>
      <c r="BE1275" s="1144"/>
      <c r="BF1275" s="1144"/>
      <c r="BG1275" s="1144"/>
      <c r="BH1275" s="1144"/>
      <c r="BI1275" s="1144"/>
      <c r="BJ1275" s="1144"/>
      <c r="BK1275" s="1144"/>
      <c r="BL1275" s="1144"/>
      <c r="BM1275" s="1144"/>
      <c r="BN1275" s="1144"/>
      <c r="BO1275" s="1144"/>
      <c r="BP1275" s="1144"/>
      <c r="BQ1275" s="1144"/>
      <c r="BR1275" s="1144"/>
      <c r="BS1275" s="1144"/>
      <c r="BT1275" s="1144"/>
      <c r="BU1275" s="1144"/>
      <c r="BV1275" s="1144"/>
      <c r="BW1275" s="1144"/>
      <c r="BX1275" s="1144"/>
      <c r="BY1275" s="1144"/>
      <c r="BZ1275" s="1144"/>
      <c r="CA1275" s="1144"/>
      <c r="CB1275" s="1144"/>
      <c r="CC1275" s="1144"/>
      <c r="CD1275" s="1144"/>
      <c r="CE1275" s="1144"/>
      <c r="CF1275" s="1144"/>
      <c r="CG1275" s="1144"/>
      <c r="CH1275" s="1144"/>
      <c r="CI1275" s="1144"/>
      <c r="CJ1275" s="1144"/>
      <c r="CK1275" s="1144"/>
      <c r="CL1275" s="1144"/>
      <c r="CM1275" s="1144"/>
      <c r="CN1275" s="1144"/>
    </row>
    <row r="1276" spans="11:92" ht="12" customHeight="1" x14ac:dyDescent="0.35">
      <c r="K1276" s="29">
        <f t="shared" si="818"/>
        <v>1</v>
      </c>
      <c r="L1276" s="1158">
        <f t="shared" si="819"/>
        <v>0</v>
      </c>
      <c r="M1276" s="34">
        <f t="shared" si="820"/>
        <v>0</v>
      </c>
      <c r="N1276" s="34">
        <f t="shared" si="821"/>
        <v>0</v>
      </c>
      <c r="O1276" s="55">
        <f>IF(M1276&lt;1,0,-IPMT(N$1270/12,K1276,N$1269,N$1267,0))</f>
        <v>0</v>
      </c>
      <c r="P1276" s="210">
        <f>N1276-O1276</f>
        <v>0</v>
      </c>
      <c r="Q1276" s="210">
        <f>M1276-P1276</f>
        <v>0</v>
      </c>
      <c r="R1276" s="31">
        <f>IF(Input!D$298=L1432,Input!D$297,0)</f>
        <v>0</v>
      </c>
      <c r="S1276" s="36">
        <f t="shared" si="817"/>
        <v>0</v>
      </c>
      <c r="T1276" s="1818"/>
      <c r="U1276" s="1814"/>
      <c r="V1276" s="1814"/>
      <c r="W1276" s="1817"/>
      <c r="X1276" s="1814"/>
      <c r="Y1276" s="1801"/>
      <c r="Z1276" s="1801"/>
      <c r="AA1276" s="1801"/>
      <c r="AB1276" s="1801"/>
      <c r="AC1276" s="1801"/>
      <c r="AD1276" s="1801"/>
      <c r="AE1276" s="1801"/>
      <c r="AF1276" s="1814"/>
      <c r="AG1276" s="376"/>
      <c r="AH1276" s="376"/>
      <c r="AI1276" s="376"/>
      <c r="AJ1276" s="376"/>
      <c r="AK1276" s="376"/>
      <c r="AL1276" s="1148"/>
      <c r="AM1276" s="1148"/>
      <c r="AN1276" s="1148"/>
      <c r="AO1276" s="1148"/>
      <c r="AP1276" s="1148"/>
      <c r="AQ1276" s="1144"/>
      <c r="AR1276" s="1144"/>
      <c r="AS1276" s="1144"/>
      <c r="AT1276" s="1144"/>
      <c r="AU1276" s="1144"/>
      <c r="AV1276" s="1144"/>
      <c r="AW1276" s="1144"/>
      <c r="AX1276" s="1144"/>
      <c r="AY1276" s="1144"/>
      <c r="AZ1276" s="1144"/>
      <c r="BA1276" s="1144"/>
      <c r="BB1276" s="1144"/>
      <c r="BC1276" s="1144"/>
      <c r="BD1276" s="1144"/>
      <c r="BE1276" s="1144"/>
      <c r="BF1276" s="1144"/>
      <c r="BG1276" s="1144"/>
      <c r="BH1276" s="1144"/>
      <c r="BI1276" s="1144"/>
      <c r="BJ1276" s="1144"/>
      <c r="BK1276" s="1144"/>
      <c r="BL1276" s="1144"/>
      <c r="BM1276" s="1144"/>
      <c r="BN1276" s="1144"/>
      <c r="BO1276" s="1144"/>
      <c r="BP1276" s="1144"/>
      <c r="BQ1276" s="1144"/>
      <c r="BR1276" s="1144"/>
      <c r="BS1276" s="1144"/>
      <c r="BT1276" s="1144"/>
      <c r="BU1276" s="1144"/>
      <c r="BV1276" s="1144"/>
      <c r="BW1276" s="1144"/>
      <c r="BX1276" s="1144"/>
      <c r="BY1276" s="1144"/>
      <c r="BZ1276" s="1144"/>
      <c r="CA1276" s="1144"/>
      <c r="CB1276" s="1144"/>
      <c r="CC1276" s="1144"/>
      <c r="CD1276" s="1144"/>
      <c r="CE1276" s="1144"/>
      <c r="CF1276" s="1144"/>
      <c r="CG1276" s="1144"/>
      <c r="CH1276" s="1144"/>
      <c r="CI1276" s="1144"/>
      <c r="CJ1276" s="1144"/>
      <c r="CK1276" s="1144"/>
      <c r="CL1276" s="1144"/>
      <c r="CM1276" s="1144"/>
      <c r="CN1276" s="1144"/>
    </row>
    <row r="1277" spans="11:92" ht="12" customHeight="1" x14ac:dyDescent="0.35">
      <c r="K1277" s="29">
        <f t="shared" si="818"/>
        <v>1</v>
      </c>
      <c r="L1277" s="1158">
        <f t="shared" si="819"/>
        <v>0</v>
      </c>
      <c r="M1277" s="34">
        <f t="shared" si="820"/>
        <v>0</v>
      </c>
      <c r="N1277" s="34">
        <f t="shared" si="821"/>
        <v>0</v>
      </c>
      <c r="O1277" s="55">
        <f>IF(M1277&lt;1,0,-IPMT(N$1270/12,K1277,N$1269,N$1267,0))</f>
        <v>0</v>
      </c>
      <c r="P1277" s="210">
        <f>N1277-O1277</f>
        <v>0</v>
      </c>
      <c r="Q1277" s="210">
        <f>M1277-P1277</f>
        <v>0</v>
      </c>
      <c r="R1277" s="31">
        <f>IF(Input!D$298=L1433,Input!D$297,0)</f>
        <v>0</v>
      </c>
      <c r="S1277" s="36">
        <f t="shared" si="817"/>
        <v>0</v>
      </c>
      <c r="T1277" s="1818"/>
      <c r="U1277" s="1814"/>
      <c r="V1277" s="1814"/>
      <c r="W1277" s="1817"/>
      <c r="X1277" s="1814"/>
      <c r="Y1277" s="1801"/>
      <c r="Z1277" s="1801"/>
      <c r="AA1277" s="1801"/>
      <c r="AB1277" s="1801"/>
      <c r="AC1277" s="1801"/>
      <c r="AD1277" s="1801"/>
      <c r="AE1277" s="1801"/>
      <c r="AF1277" s="1814"/>
      <c r="AG1277" s="376"/>
      <c r="AH1277" s="376"/>
      <c r="AI1277" s="376"/>
      <c r="AJ1277" s="376"/>
      <c r="AK1277" s="376"/>
      <c r="AL1277" s="1148"/>
      <c r="AM1277" s="1148"/>
      <c r="AN1277" s="1148"/>
      <c r="AO1277" s="1148"/>
      <c r="AP1277" s="1148"/>
      <c r="AQ1277" s="1144"/>
      <c r="AR1277" s="1144"/>
      <c r="AS1277" s="1144"/>
      <c r="AT1277" s="1144"/>
      <c r="AU1277" s="1144"/>
      <c r="AV1277" s="1144"/>
      <c r="AW1277" s="1144"/>
      <c r="AX1277" s="1144"/>
      <c r="AY1277" s="1144"/>
      <c r="AZ1277" s="1144"/>
      <c r="BA1277" s="1144"/>
      <c r="BB1277" s="1144"/>
      <c r="BC1277" s="1144"/>
      <c r="BD1277" s="1144"/>
      <c r="BE1277" s="1144"/>
      <c r="BF1277" s="1144"/>
      <c r="BG1277" s="1144"/>
      <c r="BH1277" s="1144"/>
      <c r="BI1277" s="1144"/>
      <c r="BJ1277" s="1144"/>
      <c r="BK1277" s="1144"/>
      <c r="BL1277" s="1144"/>
      <c r="BM1277" s="1144"/>
      <c r="BN1277" s="1144"/>
      <c r="BO1277" s="1144"/>
      <c r="BP1277" s="1144"/>
      <c r="BQ1277" s="1144"/>
      <c r="BR1277" s="1144"/>
      <c r="BS1277" s="1144"/>
      <c r="BT1277" s="1144"/>
      <c r="BU1277" s="1144"/>
      <c r="BV1277" s="1144"/>
      <c r="BW1277" s="1144"/>
      <c r="BX1277" s="1144"/>
      <c r="BY1277" s="1144"/>
      <c r="BZ1277" s="1144"/>
      <c r="CA1277" s="1144"/>
      <c r="CB1277" s="1144"/>
      <c r="CC1277" s="1144"/>
      <c r="CD1277" s="1144"/>
      <c r="CE1277" s="1144"/>
      <c r="CF1277" s="1144"/>
      <c r="CG1277" s="1144"/>
      <c r="CH1277" s="1144"/>
      <c r="CI1277" s="1144"/>
      <c r="CJ1277" s="1144"/>
      <c r="CK1277" s="1144"/>
      <c r="CL1277" s="1144"/>
      <c r="CM1277" s="1144"/>
      <c r="CN1277" s="1144"/>
    </row>
    <row r="1278" spans="11:92" ht="12" customHeight="1" x14ac:dyDescent="0.35">
      <c r="K1278" s="29">
        <f t="shared" si="818"/>
        <v>1</v>
      </c>
      <c r="L1278" s="1158">
        <f t="shared" si="819"/>
        <v>0</v>
      </c>
      <c r="M1278" s="34">
        <f t="shared" si="820"/>
        <v>0</v>
      </c>
      <c r="N1278" s="34">
        <f t="shared" si="821"/>
        <v>0</v>
      </c>
      <c r="O1278" s="55">
        <f>IF(M1278&lt;1,0,-IPMT(N$1270/12,K1278,N$1269,N$1267,0))</f>
        <v>0</v>
      </c>
      <c r="P1278" s="55">
        <f>N1278-O1278</f>
        <v>0</v>
      </c>
      <c r="Q1278" s="55">
        <f>M1278-P1278</f>
        <v>0</v>
      </c>
      <c r="R1278" s="31">
        <f>IF(Input!D$298=L1434,Input!D$297,0)</f>
        <v>0</v>
      </c>
      <c r="S1278" s="36">
        <f t="shared" si="817"/>
        <v>0</v>
      </c>
      <c r="T1278" s="1818"/>
      <c r="U1278" s="1814"/>
      <c r="V1278" s="1814"/>
      <c r="W1278" s="1817"/>
      <c r="X1278" s="1814"/>
      <c r="Y1278" s="1801"/>
      <c r="Z1278" s="1801"/>
      <c r="AA1278" s="1801"/>
      <c r="AB1278" s="1801"/>
      <c r="AC1278" s="1801"/>
      <c r="AD1278" s="1801"/>
      <c r="AE1278" s="1801"/>
      <c r="AF1278" s="1814"/>
      <c r="AG1278" s="376"/>
      <c r="AH1278" s="376"/>
      <c r="AI1278" s="376"/>
      <c r="AJ1278" s="376"/>
      <c r="AK1278" s="376"/>
      <c r="AL1278" s="1148"/>
      <c r="AM1278" s="1148"/>
      <c r="AN1278" s="1148"/>
      <c r="AO1278" s="1148"/>
      <c r="AP1278" s="1148"/>
      <c r="AQ1278" s="1144"/>
      <c r="AR1278" s="1144"/>
      <c r="AS1278" s="1144"/>
      <c r="AT1278" s="1144"/>
      <c r="AU1278" s="1144"/>
      <c r="AV1278" s="1144"/>
      <c r="AW1278" s="1144"/>
      <c r="AX1278" s="1144"/>
      <c r="AY1278" s="1144"/>
      <c r="AZ1278" s="1144"/>
      <c r="BA1278" s="1144"/>
      <c r="BB1278" s="1144"/>
      <c r="BC1278" s="1144"/>
      <c r="BD1278" s="1144"/>
      <c r="BE1278" s="1144"/>
      <c r="BF1278" s="1144"/>
      <c r="BG1278" s="1144"/>
      <c r="BH1278" s="1144"/>
      <c r="BI1278" s="1144"/>
      <c r="BJ1278" s="1144"/>
      <c r="BK1278" s="1144"/>
      <c r="BL1278" s="1144"/>
      <c r="BM1278" s="1144"/>
      <c r="BN1278" s="1144"/>
      <c r="BO1278" s="1144"/>
      <c r="BP1278" s="1144"/>
      <c r="BQ1278" s="1144"/>
      <c r="BR1278" s="1144"/>
      <c r="BS1278" s="1144"/>
      <c r="BT1278" s="1144"/>
      <c r="BU1278" s="1144"/>
      <c r="BV1278" s="1144"/>
      <c r="BW1278" s="1144"/>
      <c r="BX1278" s="1144"/>
      <c r="BY1278" s="1144"/>
      <c r="BZ1278" s="1144"/>
      <c r="CA1278" s="1144"/>
      <c r="CB1278" s="1144"/>
      <c r="CC1278" s="1144"/>
      <c r="CD1278" s="1144"/>
      <c r="CE1278" s="1144"/>
      <c r="CF1278" s="1144"/>
      <c r="CG1278" s="1144"/>
      <c r="CH1278" s="1144"/>
      <c r="CI1278" s="1144"/>
      <c r="CJ1278" s="1144"/>
      <c r="CK1278" s="1144"/>
      <c r="CL1278" s="1144"/>
      <c r="CM1278" s="1144"/>
      <c r="CN1278" s="1144"/>
    </row>
    <row r="1279" spans="11:92" ht="12" customHeight="1" x14ac:dyDescent="0.35">
      <c r="K1279" s="29">
        <f t="shared" si="818"/>
        <v>1</v>
      </c>
      <c r="L1279" s="1158">
        <f t="shared" si="819"/>
        <v>0</v>
      </c>
      <c r="M1279" s="34">
        <f t="shared" si="820"/>
        <v>0</v>
      </c>
      <c r="N1279" s="34">
        <f t="shared" si="821"/>
        <v>0</v>
      </c>
      <c r="O1279" s="55">
        <f t="shared" ref="O1279:O1342" si="822">IF(M1279&lt;1,0,-IPMT(N$1270/12,K1279,N$1269,N$1267,0))</f>
        <v>0</v>
      </c>
      <c r="P1279" s="55">
        <f t="shared" ref="P1279:P1342" si="823">N1279-O1279</f>
        <v>0</v>
      </c>
      <c r="Q1279" s="55">
        <f t="shared" ref="Q1279:Q1342" si="824">M1279-P1279</f>
        <v>0</v>
      </c>
      <c r="R1279" s="31">
        <f>IF(Input!D$298=L1435,Input!D$297,0)</f>
        <v>0</v>
      </c>
      <c r="S1279" s="36">
        <f t="shared" si="817"/>
        <v>0</v>
      </c>
      <c r="T1279" s="1818"/>
      <c r="U1279" s="1814"/>
      <c r="V1279" s="1814"/>
      <c r="W1279" s="1817"/>
      <c r="X1279" s="1814"/>
      <c r="Y1279" s="1801"/>
      <c r="Z1279" s="1801"/>
      <c r="AA1279" s="1801"/>
      <c r="AB1279" s="1801"/>
      <c r="AC1279" s="1801"/>
      <c r="AD1279" s="1801"/>
      <c r="AE1279" s="1801"/>
      <c r="AF1279" s="1814"/>
      <c r="AG1279" s="376"/>
      <c r="AH1279" s="376"/>
      <c r="AI1279" s="376"/>
      <c r="AJ1279" s="376"/>
      <c r="AK1279" s="376"/>
      <c r="AL1279" s="1148"/>
      <c r="AM1279" s="1148"/>
      <c r="AN1279" s="1148"/>
      <c r="AO1279" s="1148"/>
      <c r="AP1279" s="1148"/>
      <c r="AQ1279" s="1144"/>
      <c r="AR1279" s="1144"/>
      <c r="AS1279" s="1144"/>
      <c r="AT1279" s="1144"/>
      <c r="AU1279" s="1144"/>
      <c r="AV1279" s="1144"/>
      <c r="AW1279" s="1144"/>
      <c r="AX1279" s="1144"/>
      <c r="AY1279" s="1144"/>
      <c r="AZ1279" s="1144"/>
      <c r="BA1279" s="1144"/>
      <c r="BB1279" s="1144"/>
      <c r="BC1279" s="1144"/>
      <c r="BD1279" s="1144"/>
      <c r="BE1279" s="1144"/>
      <c r="BF1279" s="1144"/>
      <c r="BG1279" s="1144"/>
      <c r="BH1279" s="1144"/>
      <c r="BI1279" s="1144"/>
      <c r="BJ1279" s="1144"/>
      <c r="BK1279" s="1144"/>
      <c r="BL1279" s="1144"/>
      <c r="BM1279" s="1144"/>
      <c r="BN1279" s="1144"/>
      <c r="BO1279" s="1144"/>
      <c r="BP1279" s="1144"/>
      <c r="BQ1279" s="1144"/>
      <c r="BR1279" s="1144"/>
      <c r="BS1279" s="1144"/>
      <c r="BT1279" s="1144"/>
      <c r="BU1279" s="1144"/>
      <c r="BV1279" s="1144"/>
      <c r="BW1279" s="1144"/>
      <c r="BX1279" s="1144"/>
      <c r="BY1279" s="1144"/>
      <c r="BZ1279" s="1144"/>
      <c r="CA1279" s="1144"/>
      <c r="CB1279" s="1144"/>
      <c r="CC1279" s="1144"/>
      <c r="CD1279" s="1144"/>
      <c r="CE1279" s="1144"/>
      <c r="CF1279" s="1144"/>
      <c r="CG1279" s="1144"/>
      <c r="CH1279" s="1144"/>
      <c r="CI1279" s="1144"/>
      <c r="CJ1279" s="1144"/>
      <c r="CK1279" s="1144"/>
      <c r="CL1279" s="1144"/>
      <c r="CM1279" s="1144"/>
      <c r="CN1279" s="1144"/>
    </row>
    <row r="1280" spans="11:92" ht="12" customHeight="1" x14ac:dyDescent="0.35">
      <c r="K1280" s="29">
        <f t="shared" si="818"/>
        <v>1</v>
      </c>
      <c r="L1280" s="1158">
        <f t="shared" si="819"/>
        <v>0</v>
      </c>
      <c r="M1280" s="34">
        <f t="shared" si="820"/>
        <v>0</v>
      </c>
      <c r="N1280" s="34">
        <f t="shared" si="821"/>
        <v>0</v>
      </c>
      <c r="O1280" s="55">
        <f t="shared" si="822"/>
        <v>0</v>
      </c>
      <c r="P1280" s="55">
        <f t="shared" si="823"/>
        <v>0</v>
      </c>
      <c r="Q1280" s="55">
        <f t="shared" si="824"/>
        <v>0</v>
      </c>
      <c r="R1280" s="31">
        <f>IF(Input!D$298=L1436,Input!D$297,0)</f>
        <v>0</v>
      </c>
      <c r="S1280" s="36">
        <f t="shared" si="817"/>
        <v>0</v>
      </c>
      <c r="T1280" s="1818"/>
      <c r="U1280" s="1814"/>
      <c r="V1280" s="1814"/>
      <c r="W1280" s="1817"/>
      <c r="X1280" s="1814"/>
      <c r="Y1280" s="1801"/>
      <c r="Z1280" s="1801"/>
      <c r="AA1280" s="1801"/>
      <c r="AB1280" s="1801"/>
      <c r="AC1280" s="1801"/>
      <c r="AD1280" s="1801"/>
      <c r="AE1280" s="1801"/>
      <c r="AF1280" s="1814"/>
      <c r="AG1280" s="376"/>
      <c r="AH1280" s="376"/>
      <c r="AI1280" s="376"/>
      <c r="AJ1280" s="376"/>
      <c r="AK1280" s="376"/>
      <c r="AL1280" s="1148"/>
      <c r="AM1280" s="1148"/>
      <c r="AN1280" s="1148"/>
      <c r="AO1280" s="1148"/>
      <c r="AP1280" s="1148"/>
      <c r="AQ1280" s="1144"/>
      <c r="AR1280" s="1144"/>
      <c r="AS1280" s="1144"/>
      <c r="AT1280" s="1144"/>
      <c r="AU1280" s="1144"/>
      <c r="AV1280" s="1144"/>
      <c r="AW1280" s="1144"/>
      <c r="AX1280" s="1144"/>
      <c r="AY1280" s="1144"/>
      <c r="AZ1280" s="1144"/>
      <c r="BA1280" s="1144"/>
      <c r="BB1280" s="1144"/>
      <c r="BC1280" s="1144"/>
      <c r="BD1280" s="1144"/>
      <c r="BE1280" s="1144"/>
      <c r="BF1280" s="1144"/>
      <c r="BG1280" s="1144"/>
      <c r="BH1280" s="1144"/>
      <c r="BI1280" s="1144"/>
      <c r="BJ1280" s="1144"/>
      <c r="BK1280" s="1144"/>
      <c r="BL1280" s="1144"/>
      <c r="BM1280" s="1144"/>
      <c r="BN1280" s="1144"/>
      <c r="BO1280" s="1144"/>
      <c r="BP1280" s="1144"/>
      <c r="BQ1280" s="1144"/>
      <c r="BR1280" s="1144"/>
      <c r="BS1280" s="1144"/>
      <c r="BT1280" s="1144"/>
      <c r="BU1280" s="1144"/>
      <c r="BV1280" s="1144"/>
      <c r="BW1280" s="1144"/>
      <c r="BX1280" s="1144"/>
      <c r="BY1280" s="1144"/>
      <c r="BZ1280" s="1144"/>
      <c r="CA1280" s="1144"/>
      <c r="CB1280" s="1144"/>
      <c r="CC1280" s="1144"/>
      <c r="CD1280" s="1144"/>
      <c r="CE1280" s="1144"/>
      <c r="CF1280" s="1144"/>
      <c r="CG1280" s="1144"/>
      <c r="CH1280" s="1144"/>
      <c r="CI1280" s="1144"/>
      <c r="CJ1280" s="1144"/>
      <c r="CK1280" s="1144"/>
      <c r="CL1280" s="1144"/>
      <c r="CM1280" s="1144"/>
      <c r="CN1280" s="1144"/>
    </row>
    <row r="1281" spans="11:92" ht="12" customHeight="1" x14ac:dyDescent="0.35">
      <c r="K1281" s="29">
        <f t="shared" si="818"/>
        <v>1</v>
      </c>
      <c r="L1281" s="1158">
        <f t="shared" si="819"/>
        <v>0</v>
      </c>
      <c r="M1281" s="34">
        <f t="shared" si="820"/>
        <v>0</v>
      </c>
      <c r="N1281" s="34">
        <f t="shared" si="821"/>
        <v>0</v>
      </c>
      <c r="O1281" s="55">
        <f t="shared" si="822"/>
        <v>0</v>
      </c>
      <c r="P1281" s="55">
        <f t="shared" si="823"/>
        <v>0</v>
      </c>
      <c r="Q1281" s="55">
        <f t="shared" si="824"/>
        <v>0</v>
      </c>
      <c r="R1281" s="31">
        <f>IF(Input!D$298=L1437,Input!D$297,0)</f>
        <v>0</v>
      </c>
      <c r="S1281" s="36">
        <f t="shared" si="817"/>
        <v>0</v>
      </c>
      <c r="T1281" s="1818"/>
      <c r="U1281" s="1814"/>
      <c r="V1281" s="1814"/>
      <c r="W1281" s="1817"/>
      <c r="X1281" s="1814"/>
      <c r="Y1281" s="1801"/>
      <c r="Z1281" s="1801"/>
      <c r="AA1281" s="1801"/>
      <c r="AB1281" s="1801"/>
      <c r="AC1281" s="1801"/>
      <c r="AD1281" s="1801"/>
      <c r="AE1281" s="1801"/>
      <c r="AF1281" s="1814"/>
      <c r="AG1281" s="376"/>
      <c r="AH1281" s="376"/>
      <c r="AI1281" s="376"/>
      <c r="AJ1281" s="376"/>
      <c r="AK1281" s="376"/>
      <c r="AL1281" s="1148"/>
      <c r="AM1281" s="1148"/>
      <c r="AN1281" s="1148"/>
      <c r="AO1281" s="1148"/>
      <c r="AP1281" s="1148"/>
      <c r="AQ1281" s="1144"/>
      <c r="AR1281" s="1144"/>
      <c r="AS1281" s="1144"/>
      <c r="AT1281" s="1144"/>
      <c r="AU1281" s="1144"/>
      <c r="AV1281" s="1144"/>
      <c r="AW1281" s="1144"/>
      <c r="AX1281" s="1144"/>
      <c r="AY1281" s="1144"/>
      <c r="AZ1281" s="1144"/>
      <c r="BA1281" s="1144"/>
      <c r="BB1281" s="1144"/>
      <c r="BC1281" s="1144"/>
      <c r="BD1281" s="1144"/>
      <c r="BE1281" s="1144"/>
      <c r="BF1281" s="1144"/>
      <c r="BG1281" s="1144"/>
      <c r="BH1281" s="1144"/>
      <c r="BI1281" s="1144"/>
      <c r="BJ1281" s="1144"/>
      <c r="BK1281" s="1144"/>
      <c r="BL1281" s="1144"/>
      <c r="BM1281" s="1144"/>
      <c r="BN1281" s="1144"/>
      <c r="BO1281" s="1144"/>
      <c r="BP1281" s="1144"/>
      <c r="BQ1281" s="1144"/>
      <c r="BR1281" s="1144"/>
      <c r="BS1281" s="1144"/>
      <c r="BT1281" s="1144"/>
      <c r="BU1281" s="1144"/>
      <c r="BV1281" s="1144"/>
      <c r="BW1281" s="1144"/>
      <c r="BX1281" s="1144"/>
      <c r="BY1281" s="1144"/>
      <c r="BZ1281" s="1144"/>
      <c r="CA1281" s="1144"/>
      <c r="CB1281" s="1144"/>
      <c r="CC1281" s="1144"/>
      <c r="CD1281" s="1144"/>
      <c r="CE1281" s="1144"/>
      <c r="CF1281" s="1144"/>
      <c r="CG1281" s="1144"/>
      <c r="CH1281" s="1144"/>
      <c r="CI1281" s="1144"/>
      <c r="CJ1281" s="1144"/>
      <c r="CK1281" s="1144"/>
      <c r="CL1281" s="1144"/>
      <c r="CM1281" s="1144"/>
      <c r="CN1281" s="1144"/>
    </row>
    <row r="1282" spans="11:92" ht="12" customHeight="1" x14ac:dyDescent="0.35">
      <c r="K1282" s="29">
        <f t="shared" si="818"/>
        <v>1</v>
      </c>
      <c r="L1282" s="1158">
        <f t="shared" si="819"/>
        <v>0</v>
      </c>
      <c r="M1282" s="34">
        <f t="shared" si="820"/>
        <v>0</v>
      </c>
      <c r="N1282" s="34">
        <f t="shared" si="821"/>
        <v>0</v>
      </c>
      <c r="O1282" s="55">
        <f t="shared" si="822"/>
        <v>0</v>
      </c>
      <c r="P1282" s="55">
        <f t="shared" si="823"/>
        <v>0</v>
      </c>
      <c r="Q1282" s="55">
        <f t="shared" si="824"/>
        <v>0</v>
      </c>
      <c r="R1282" s="31">
        <f>IF(Input!D$298=L1438,Input!D$297,0)</f>
        <v>0</v>
      </c>
      <c r="S1282" s="36">
        <f t="shared" si="817"/>
        <v>0</v>
      </c>
      <c r="T1282" s="1818"/>
      <c r="U1282" s="1814"/>
      <c r="V1282" s="1814"/>
      <c r="W1282" s="1817"/>
      <c r="X1282" s="1814"/>
      <c r="Y1282" s="1801"/>
      <c r="Z1282" s="1801"/>
      <c r="AA1282" s="1801"/>
      <c r="AB1282" s="1801"/>
      <c r="AC1282" s="1801"/>
      <c r="AD1282" s="1801"/>
      <c r="AE1282" s="1801"/>
      <c r="AF1282" s="1814"/>
      <c r="AG1282" s="376"/>
      <c r="AH1282" s="376"/>
      <c r="AI1282" s="376"/>
      <c r="AJ1282" s="376"/>
      <c r="AK1282" s="376"/>
      <c r="AL1282" s="1148"/>
      <c r="AM1282" s="1148"/>
      <c r="AN1282" s="1148"/>
      <c r="AO1282" s="1148"/>
      <c r="AP1282" s="1148"/>
      <c r="AQ1282" s="1144"/>
      <c r="AR1282" s="1144"/>
      <c r="AS1282" s="1144"/>
      <c r="AT1282" s="1144"/>
      <c r="AU1282" s="1144"/>
      <c r="AV1282" s="1144"/>
      <c r="AW1282" s="1144"/>
      <c r="AX1282" s="1144"/>
      <c r="AY1282" s="1144"/>
      <c r="AZ1282" s="1144"/>
      <c r="BA1282" s="1144"/>
      <c r="BB1282" s="1144"/>
      <c r="BC1282" s="1144"/>
      <c r="BD1282" s="1144"/>
      <c r="BE1282" s="1144"/>
      <c r="BF1282" s="1144"/>
      <c r="BG1282" s="1144"/>
      <c r="BH1282" s="1144"/>
      <c r="BI1282" s="1144"/>
      <c r="BJ1282" s="1144"/>
      <c r="BK1282" s="1144"/>
      <c r="BL1282" s="1144"/>
      <c r="BM1282" s="1144"/>
      <c r="BN1282" s="1144"/>
      <c r="BO1282" s="1144"/>
      <c r="BP1282" s="1144"/>
      <c r="BQ1282" s="1144"/>
      <c r="BR1282" s="1144"/>
      <c r="BS1282" s="1144"/>
      <c r="BT1282" s="1144"/>
      <c r="BU1282" s="1144"/>
      <c r="BV1282" s="1144"/>
      <c r="BW1282" s="1144"/>
      <c r="BX1282" s="1144"/>
      <c r="BY1282" s="1144"/>
      <c r="BZ1282" s="1144"/>
      <c r="CA1282" s="1144"/>
      <c r="CB1282" s="1144"/>
      <c r="CC1282" s="1144"/>
      <c r="CD1282" s="1144"/>
      <c r="CE1282" s="1144"/>
      <c r="CF1282" s="1144"/>
      <c r="CG1282" s="1144"/>
      <c r="CH1282" s="1144"/>
      <c r="CI1282" s="1144"/>
      <c r="CJ1282" s="1144"/>
      <c r="CK1282" s="1144"/>
      <c r="CL1282" s="1144"/>
      <c r="CM1282" s="1144"/>
      <c r="CN1282" s="1144"/>
    </row>
    <row r="1283" spans="11:92" ht="12" customHeight="1" x14ac:dyDescent="0.35">
      <c r="K1283" s="29">
        <f t="shared" si="818"/>
        <v>1</v>
      </c>
      <c r="L1283" s="1158">
        <f t="shared" si="819"/>
        <v>0</v>
      </c>
      <c r="M1283" s="34">
        <f t="shared" si="820"/>
        <v>0</v>
      </c>
      <c r="N1283" s="34">
        <f t="shared" si="821"/>
        <v>0</v>
      </c>
      <c r="O1283" s="55">
        <f t="shared" si="822"/>
        <v>0</v>
      </c>
      <c r="P1283" s="55">
        <f t="shared" si="823"/>
        <v>0</v>
      </c>
      <c r="Q1283" s="55">
        <f t="shared" si="824"/>
        <v>0</v>
      </c>
      <c r="R1283" s="31">
        <f>IF(Input!D$298=L1439,Input!D$297,0)</f>
        <v>0</v>
      </c>
      <c r="S1283" s="36">
        <f t="shared" si="817"/>
        <v>0</v>
      </c>
      <c r="T1283" s="1818"/>
      <c r="U1283" s="1814"/>
      <c r="V1283" s="1814"/>
      <c r="W1283" s="1817"/>
      <c r="X1283" s="1814"/>
      <c r="Y1283" s="1801"/>
      <c r="Z1283" s="1801"/>
      <c r="AA1283" s="1801"/>
      <c r="AB1283" s="1801"/>
      <c r="AC1283" s="1801"/>
      <c r="AD1283" s="1801"/>
      <c r="AE1283" s="1801"/>
      <c r="AF1283" s="1814"/>
      <c r="AG1283" s="376"/>
      <c r="AH1283" s="376"/>
      <c r="AI1283" s="376"/>
      <c r="AJ1283" s="376"/>
      <c r="AK1283" s="376"/>
      <c r="AL1283" s="1148"/>
      <c r="AM1283" s="1148"/>
      <c r="AN1283" s="1148"/>
      <c r="AO1283" s="1148"/>
      <c r="AP1283" s="1148"/>
      <c r="AQ1283" s="1144"/>
      <c r="AR1283" s="1144"/>
      <c r="AS1283" s="1144"/>
      <c r="AT1283" s="1144"/>
      <c r="AU1283" s="1144"/>
      <c r="AV1283" s="1144"/>
      <c r="AW1283" s="1144"/>
      <c r="AX1283" s="1144"/>
      <c r="AY1283" s="1144"/>
      <c r="AZ1283" s="1144"/>
      <c r="BA1283" s="1144"/>
      <c r="BB1283" s="1144"/>
      <c r="BC1283" s="1144"/>
      <c r="BD1283" s="1144"/>
      <c r="BE1283" s="1144"/>
      <c r="BF1283" s="1144"/>
      <c r="BG1283" s="1144"/>
      <c r="BH1283" s="1144"/>
      <c r="BI1283" s="1144"/>
      <c r="BJ1283" s="1144"/>
      <c r="BK1283" s="1144"/>
      <c r="BL1283" s="1144"/>
      <c r="BM1283" s="1144"/>
      <c r="BN1283" s="1144"/>
      <c r="BO1283" s="1144"/>
      <c r="BP1283" s="1144"/>
      <c r="BQ1283" s="1144"/>
      <c r="BR1283" s="1144"/>
      <c r="BS1283" s="1144"/>
      <c r="BT1283" s="1144"/>
      <c r="BU1283" s="1144"/>
      <c r="BV1283" s="1144"/>
      <c r="BW1283" s="1144"/>
      <c r="BX1283" s="1144"/>
      <c r="BY1283" s="1144"/>
      <c r="BZ1283" s="1144"/>
      <c r="CA1283" s="1144"/>
      <c r="CB1283" s="1144"/>
      <c r="CC1283" s="1144"/>
      <c r="CD1283" s="1144"/>
      <c r="CE1283" s="1144"/>
      <c r="CF1283" s="1144"/>
      <c r="CG1283" s="1144"/>
      <c r="CH1283" s="1144"/>
      <c r="CI1283" s="1144"/>
      <c r="CJ1283" s="1144"/>
      <c r="CK1283" s="1144"/>
      <c r="CL1283" s="1144"/>
      <c r="CM1283" s="1144"/>
      <c r="CN1283" s="1144"/>
    </row>
    <row r="1284" spans="11:92" ht="12" customHeight="1" x14ac:dyDescent="0.35">
      <c r="K1284" s="29">
        <f t="shared" si="818"/>
        <v>1</v>
      </c>
      <c r="L1284" s="1158">
        <f t="shared" si="819"/>
        <v>0</v>
      </c>
      <c r="M1284" s="34">
        <f t="shared" si="820"/>
        <v>0</v>
      </c>
      <c r="N1284" s="34">
        <f t="shared" si="821"/>
        <v>0</v>
      </c>
      <c r="O1284" s="55">
        <f t="shared" si="822"/>
        <v>0</v>
      </c>
      <c r="P1284" s="55">
        <f t="shared" si="823"/>
        <v>0</v>
      </c>
      <c r="Q1284" s="55">
        <f t="shared" si="824"/>
        <v>0</v>
      </c>
      <c r="R1284" s="31">
        <f>IF(Input!D$298=L1440,Input!D$297,0)</f>
        <v>0</v>
      </c>
      <c r="S1284" s="36">
        <f t="shared" si="817"/>
        <v>0</v>
      </c>
      <c r="T1284" s="1818"/>
      <c r="U1284" s="1814"/>
      <c r="V1284" s="1814"/>
      <c r="W1284" s="1817"/>
      <c r="X1284" s="1814"/>
      <c r="Y1284" s="1801"/>
      <c r="Z1284" s="1801"/>
      <c r="AA1284" s="1801"/>
      <c r="AB1284" s="1801"/>
      <c r="AC1284" s="1801"/>
      <c r="AD1284" s="1801"/>
      <c r="AE1284" s="1801"/>
      <c r="AF1284" s="1814"/>
      <c r="AG1284" s="376"/>
      <c r="AH1284" s="376"/>
      <c r="AI1284" s="376"/>
      <c r="AJ1284" s="376"/>
      <c r="AK1284" s="376"/>
      <c r="AL1284" s="1148"/>
      <c r="AM1284" s="1148"/>
      <c r="AN1284" s="1148"/>
      <c r="AO1284" s="1148"/>
      <c r="AP1284" s="1148"/>
      <c r="AQ1284" s="1144"/>
      <c r="AR1284" s="1144"/>
      <c r="AS1284" s="1144"/>
      <c r="AT1284" s="1144"/>
      <c r="AU1284" s="1144"/>
      <c r="AV1284" s="1144"/>
      <c r="AW1284" s="1144"/>
      <c r="AX1284" s="1144"/>
      <c r="AY1284" s="1144"/>
      <c r="AZ1284" s="1144"/>
      <c r="BA1284" s="1144"/>
      <c r="BB1284" s="1144"/>
      <c r="BC1284" s="1144"/>
      <c r="BD1284" s="1144"/>
      <c r="BE1284" s="1144"/>
      <c r="BF1284" s="1144"/>
      <c r="BG1284" s="1144"/>
      <c r="BH1284" s="1144"/>
      <c r="BI1284" s="1144"/>
      <c r="BJ1284" s="1144"/>
      <c r="BK1284" s="1144"/>
      <c r="BL1284" s="1144"/>
      <c r="BM1284" s="1144"/>
      <c r="BN1284" s="1144"/>
      <c r="BO1284" s="1144"/>
      <c r="BP1284" s="1144"/>
      <c r="BQ1284" s="1144"/>
      <c r="BR1284" s="1144"/>
      <c r="BS1284" s="1144"/>
      <c r="BT1284" s="1144"/>
      <c r="BU1284" s="1144"/>
      <c r="BV1284" s="1144"/>
      <c r="BW1284" s="1144"/>
      <c r="BX1284" s="1144"/>
      <c r="BY1284" s="1144"/>
      <c r="BZ1284" s="1144"/>
      <c r="CA1284" s="1144"/>
      <c r="CB1284" s="1144"/>
      <c r="CC1284" s="1144"/>
      <c r="CD1284" s="1144"/>
      <c r="CE1284" s="1144"/>
      <c r="CF1284" s="1144"/>
      <c r="CG1284" s="1144"/>
      <c r="CH1284" s="1144"/>
      <c r="CI1284" s="1144"/>
      <c r="CJ1284" s="1144"/>
      <c r="CK1284" s="1144"/>
      <c r="CL1284" s="1144"/>
      <c r="CM1284" s="1144"/>
      <c r="CN1284" s="1144"/>
    </row>
    <row r="1285" spans="11:92" ht="12" customHeight="1" x14ac:dyDescent="0.35">
      <c r="K1285" s="29">
        <f t="shared" si="818"/>
        <v>1</v>
      </c>
      <c r="L1285" s="1158">
        <f t="shared" si="819"/>
        <v>0</v>
      </c>
      <c r="M1285" s="34">
        <f t="shared" si="820"/>
        <v>0</v>
      </c>
      <c r="N1285" s="34">
        <f t="shared" si="821"/>
        <v>0</v>
      </c>
      <c r="O1285" s="55">
        <f t="shared" si="822"/>
        <v>0</v>
      </c>
      <c r="P1285" s="55">
        <f t="shared" si="823"/>
        <v>0</v>
      </c>
      <c r="Q1285" s="55">
        <f t="shared" si="824"/>
        <v>0</v>
      </c>
      <c r="R1285" s="31">
        <f>IF(Input!D$298=L1441,Input!D$297,0)</f>
        <v>0</v>
      </c>
      <c r="S1285" s="36">
        <f t="shared" si="817"/>
        <v>0</v>
      </c>
      <c r="T1285" s="1818"/>
      <c r="U1285" s="1814"/>
      <c r="V1285" s="1814"/>
      <c r="W1285" s="1817"/>
      <c r="X1285" s="1814"/>
      <c r="Y1285" s="1801"/>
      <c r="Z1285" s="1801"/>
      <c r="AA1285" s="1801"/>
      <c r="AB1285" s="1801"/>
      <c r="AC1285" s="1801"/>
      <c r="AD1285" s="1801"/>
      <c r="AE1285" s="1801"/>
      <c r="AF1285" s="1814"/>
      <c r="AG1285" s="376"/>
      <c r="AH1285" s="376"/>
      <c r="AI1285" s="376"/>
      <c r="AJ1285" s="376"/>
      <c r="AK1285" s="376"/>
      <c r="AL1285" s="1148"/>
      <c r="AM1285" s="1148"/>
      <c r="AN1285" s="1148"/>
      <c r="AO1285" s="1148"/>
      <c r="AP1285" s="1148"/>
      <c r="AQ1285" s="1144"/>
      <c r="AR1285" s="1144"/>
      <c r="AS1285" s="1144"/>
      <c r="AT1285" s="1144"/>
      <c r="AU1285" s="1144"/>
      <c r="AV1285" s="1144"/>
      <c r="AW1285" s="1144"/>
      <c r="AX1285" s="1144"/>
      <c r="AY1285" s="1144"/>
      <c r="AZ1285" s="1144"/>
      <c r="BA1285" s="1144"/>
      <c r="BB1285" s="1144"/>
      <c r="BC1285" s="1144"/>
      <c r="BD1285" s="1144"/>
      <c r="BE1285" s="1144"/>
      <c r="BF1285" s="1144"/>
      <c r="BG1285" s="1144"/>
      <c r="BH1285" s="1144"/>
      <c r="BI1285" s="1144"/>
      <c r="BJ1285" s="1144"/>
      <c r="BK1285" s="1144"/>
      <c r="BL1285" s="1144"/>
      <c r="BM1285" s="1144"/>
      <c r="BN1285" s="1144"/>
      <c r="BO1285" s="1144"/>
      <c r="BP1285" s="1144"/>
      <c r="BQ1285" s="1144"/>
      <c r="BR1285" s="1144"/>
      <c r="BS1285" s="1144"/>
      <c r="BT1285" s="1144"/>
      <c r="BU1285" s="1144"/>
      <c r="BV1285" s="1144"/>
      <c r="BW1285" s="1144"/>
      <c r="BX1285" s="1144"/>
      <c r="BY1285" s="1144"/>
      <c r="BZ1285" s="1144"/>
      <c r="CA1285" s="1144"/>
      <c r="CB1285" s="1144"/>
      <c r="CC1285" s="1144"/>
      <c r="CD1285" s="1144"/>
      <c r="CE1285" s="1144"/>
      <c r="CF1285" s="1144"/>
      <c r="CG1285" s="1144"/>
      <c r="CH1285" s="1144"/>
      <c r="CI1285" s="1144"/>
      <c r="CJ1285" s="1144"/>
      <c r="CK1285" s="1144"/>
      <c r="CL1285" s="1144"/>
      <c r="CM1285" s="1144"/>
      <c r="CN1285" s="1144"/>
    </row>
    <row r="1286" spans="11:92" ht="12" customHeight="1" x14ac:dyDescent="0.35">
      <c r="K1286" s="29">
        <f t="shared" si="818"/>
        <v>1</v>
      </c>
      <c r="L1286" s="1158">
        <f t="shared" si="819"/>
        <v>0</v>
      </c>
      <c r="M1286" s="34">
        <f t="shared" si="820"/>
        <v>0</v>
      </c>
      <c r="N1286" s="34">
        <f t="shared" si="821"/>
        <v>0</v>
      </c>
      <c r="O1286" s="55">
        <f t="shared" si="822"/>
        <v>0</v>
      </c>
      <c r="P1286" s="55">
        <f t="shared" si="823"/>
        <v>0</v>
      </c>
      <c r="Q1286" s="55">
        <f t="shared" si="824"/>
        <v>0</v>
      </c>
      <c r="R1286" s="31">
        <f>IF(Input!D$298=L1442,Input!D$297,0)</f>
        <v>0</v>
      </c>
      <c r="S1286" s="36">
        <f t="shared" si="817"/>
        <v>0</v>
      </c>
      <c r="T1286" s="1818"/>
      <c r="U1286" s="1814"/>
      <c r="V1286" s="1814"/>
      <c r="W1286" s="1817"/>
      <c r="X1286" s="1814"/>
      <c r="Y1286" s="1801"/>
      <c r="Z1286" s="1801"/>
      <c r="AA1286" s="1801"/>
      <c r="AB1286" s="1801"/>
      <c r="AC1286" s="1801"/>
      <c r="AD1286" s="1801"/>
      <c r="AE1286" s="1801"/>
      <c r="AF1286" s="1814"/>
      <c r="AG1286" s="376"/>
      <c r="AH1286" s="376"/>
      <c r="AI1286" s="376"/>
      <c r="AJ1286" s="376"/>
      <c r="AK1286" s="376"/>
      <c r="AL1286" s="1148"/>
      <c r="AM1286" s="1148"/>
      <c r="AN1286" s="1148"/>
      <c r="AO1286" s="1148"/>
      <c r="AP1286" s="1148"/>
      <c r="AQ1286" s="1144"/>
      <c r="AR1286" s="1144"/>
      <c r="AS1286" s="1144"/>
      <c r="AT1286" s="1144"/>
      <c r="AU1286" s="1144"/>
      <c r="AV1286" s="1144"/>
      <c r="AW1286" s="1144"/>
      <c r="AX1286" s="1144"/>
      <c r="AY1286" s="1144"/>
      <c r="AZ1286" s="1144"/>
      <c r="BA1286" s="1144"/>
      <c r="BB1286" s="1144"/>
      <c r="BC1286" s="1144"/>
      <c r="BD1286" s="1144"/>
      <c r="BE1286" s="1144"/>
      <c r="BF1286" s="1144"/>
      <c r="BG1286" s="1144"/>
      <c r="BH1286" s="1144"/>
      <c r="BI1286" s="1144"/>
      <c r="BJ1286" s="1144"/>
      <c r="BK1286" s="1144"/>
      <c r="BL1286" s="1144"/>
      <c r="BM1286" s="1144"/>
      <c r="BN1286" s="1144"/>
      <c r="BO1286" s="1144"/>
      <c r="BP1286" s="1144"/>
      <c r="BQ1286" s="1144"/>
      <c r="BR1286" s="1144"/>
      <c r="BS1286" s="1144"/>
      <c r="BT1286" s="1144"/>
      <c r="BU1286" s="1144"/>
      <c r="BV1286" s="1144"/>
      <c r="BW1286" s="1144"/>
      <c r="BX1286" s="1144"/>
      <c r="BY1286" s="1144"/>
      <c r="BZ1286" s="1144"/>
      <c r="CA1286" s="1144"/>
      <c r="CB1286" s="1144"/>
      <c r="CC1286" s="1144"/>
      <c r="CD1286" s="1144"/>
      <c r="CE1286" s="1144"/>
      <c r="CF1286" s="1144"/>
      <c r="CG1286" s="1144"/>
      <c r="CH1286" s="1144"/>
      <c r="CI1286" s="1144"/>
      <c r="CJ1286" s="1144"/>
      <c r="CK1286" s="1144"/>
      <c r="CL1286" s="1144"/>
      <c r="CM1286" s="1144"/>
      <c r="CN1286" s="1144"/>
    </row>
    <row r="1287" spans="11:92" ht="12" customHeight="1" x14ac:dyDescent="0.35">
      <c r="K1287" s="29">
        <f t="shared" si="818"/>
        <v>1</v>
      </c>
      <c r="L1287" s="1158">
        <f t="shared" si="819"/>
        <v>0</v>
      </c>
      <c r="M1287" s="34">
        <f t="shared" si="820"/>
        <v>0</v>
      </c>
      <c r="N1287" s="34">
        <f t="shared" si="821"/>
        <v>0</v>
      </c>
      <c r="O1287" s="55">
        <f t="shared" si="822"/>
        <v>0</v>
      </c>
      <c r="P1287" s="55">
        <f t="shared" si="823"/>
        <v>0</v>
      </c>
      <c r="Q1287" s="55">
        <f t="shared" si="824"/>
        <v>0</v>
      </c>
      <c r="R1287" s="31">
        <f>IF(Input!D$298=L1443,Input!D$297,0)</f>
        <v>0</v>
      </c>
      <c r="S1287" s="36">
        <f t="shared" si="817"/>
        <v>0</v>
      </c>
      <c r="T1287" s="1818"/>
      <c r="U1287" s="1814"/>
      <c r="V1287" s="1814"/>
      <c r="W1287" s="1817"/>
      <c r="X1287" s="1814"/>
      <c r="Y1287" s="1801"/>
      <c r="Z1287" s="1801"/>
      <c r="AA1287" s="1801"/>
      <c r="AB1287" s="1801"/>
      <c r="AC1287" s="1801"/>
      <c r="AD1287" s="1801"/>
      <c r="AE1287" s="1801"/>
      <c r="AF1287" s="1814"/>
      <c r="AG1287" s="376"/>
      <c r="AH1287" s="376"/>
      <c r="AI1287" s="376"/>
      <c r="AJ1287" s="376"/>
      <c r="AK1287" s="376"/>
      <c r="AL1287" s="1148"/>
      <c r="AM1287" s="1148"/>
      <c r="AN1287" s="1148"/>
      <c r="AO1287" s="1148"/>
      <c r="AP1287" s="1148"/>
      <c r="AQ1287" s="1144"/>
      <c r="AR1287" s="1144"/>
      <c r="AS1287" s="1144"/>
      <c r="AT1287" s="1144"/>
      <c r="AU1287" s="1144"/>
      <c r="AV1287" s="1144"/>
      <c r="AW1287" s="1144"/>
      <c r="AX1287" s="1144"/>
      <c r="AY1287" s="1144"/>
      <c r="AZ1287" s="1144"/>
      <c r="BA1287" s="1144"/>
      <c r="BB1287" s="1144"/>
      <c r="BC1287" s="1144"/>
      <c r="BD1287" s="1144"/>
      <c r="BE1287" s="1144"/>
      <c r="BF1287" s="1144"/>
      <c r="BG1287" s="1144"/>
      <c r="BH1287" s="1144"/>
      <c r="BI1287" s="1144"/>
      <c r="BJ1287" s="1144"/>
      <c r="BK1287" s="1144"/>
      <c r="BL1287" s="1144"/>
      <c r="BM1287" s="1144"/>
      <c r="BN1287" s="1144"/>
      <c r="BO1287" s="1144"/>
      <c r="BP1287" s="1144"/>
      <c r="BQ1287" s="1144"/>
      <c r="BR1287" s="1144"/>
      <c r="BS1287" s="1144"/>
      <c r="BT1287" s="1144"/>
      <c r="BU1287" s="1144"/>
      <c r="BV1287" s="1144"/>
      <c r="BW1287" s="1144"/>
      <c r="BX1287" s="1144"/>
      <c r="BY1287" s="1144"/>
      <c r="BZ1287" s="1144"/>
      <c r="CA1287" s="1144"/>
      <c r="CB1287" s="1144"/>
      <c r="CC1287" s="1144"/>
      <c r="CD1287" s="1144"/>
      <c r="CE1287" s="1144"/>
      <c r="CF1287" s="1144"/>
      <c r="CG1287" s="1144"/>
      <c r="CH1287" s="1144"/>
      <c r="CI1287" s="1144"/>
      <c r="CJ1287" s="1144"/>
      <c r="CK1287" s="1144"/>
      <c r="CL1287" s="1144"/>
      <c r="CM1287" s="1144"/>
      <c r="CN1287" s="1144"/>
    </row>
    <row r="1288" spans="11:92" ht="12" customHeight="1" x14ac:dyDescent="0.35">
      <c r="K1288" s="29">
        <f t="shared" si="818"/>
        <v>1</v>
      </c>
      <c r="L1288" s="1158">
        <f t="shared" si="819"/>
        <v>0</v>
      </c>
      <c r="M1288" s="34">
        <f t="shared" si="820"/>
        <v>0</v>
      </c>
      <c r="N1288" s="34">
        <f t="shared" si="821"/>
        <v>0</v>
      </c>
      <c r="O1288" s="55">
        <f t="shared" si="822"/>
        <v>0</v>
      </c>
      <c r="P1288" s="55">
        <f t="shared" si="823"/>
        <v>0</v>
      </c>
      <c r="Q1288" s="55">
        <f t="shared" si="824"/>
        <v>0</v>
      </c>
      <c r="R1288" s="31">
        <f>IF(Input!D$298=L1444,Input!D$297,0)</f>
        <v>0</v>
      </c>
      <c r="S1288" s="36">
        <f t="shared" si="817"/>
        <v>0</v>
      </c>
      <c r="T1288" s="1818"/>
      <c r="U1288" s="1814"/>
      <c r="V1288" s="1814"/>
      <c r="W1288" s="1817"/>
      <c r="X1288" s="1814"/>
      <c r="Y1288" s="1801"/>
      <c r="Z1288" s="1801"/>
      <c r="AA1288" s="1801"/>
      <c r="AB1288" s="1801"/>
      <c r="AC1288" s="1801"/>
      <c r="AD1288" s="1801"/>
      <c r="AE1288" s="1801"/>
      <c r="AF1288" s="1814"/>
      <c r="AG1288" s="376"/>
      <c r="AH1288" s="376"/>
      <c r="AI1288" s="376"/>
      <c r="AJ1288" s="376"/>
      <c r="AK1288" s="376"/>
      <c r="AL1288" s="1148"/>
      <c r="AM1288" s="1148"/>
      <c r="AN1288" s="1148"/>
      <c r="AO1288" s="1148"/>
      <c r="AP1288" s="1148"/>
      <c r="AQ1288" s="1144"/>
      <c r="AR1288" s="1144"/>
      <c r="AS1288" s="1144"/>
      <c r="AT1288" s="1144"/>
      <c r="AU1288" s="1144"/>
      <c r="AV1288" s="1144"/>
      <c r="AW1288" s="1144"/>
      <c r="AX1288" s="1144"/>
      <c r="AY1288" s="1144"/>
      <c r="AZ1288" s="1144"/>
      <c r="BA1288" s="1144"/>
      <c r="BB1288" s="1144"/>
      <c r="BC1288" s="1144"/>
      <c r="BD1288" s="1144"/>
      <c r="BE1288" s="1144"/>
      <c r="BF1288" s="1144"/>
      <c r="BG1288" s="1144"/>
      <c r="BH1288" s="1144"/>
      <c r="BI1288" s="1144"/>
      <c r="BJ1288" s="1144"/>
      <c r="BK1288" s="1144"/>
      <c r="BL1288" s="1144"/>
      <c r="BM1288" s="1144"/>
      <c r="BN1288" s="1144"/>
      <c r="BO1288" s="1144"/>
      <c r="BP1288" s="1144"/>
      <c r="BQ1288" s="1144"/>
      <c r="BR1288" s="1144"/>
      <c r="BS1288" s="1144"/>
      <c r="BT1288" s="1144"/>
      <c r="BU1288" s="1144"/>
      <c r="BV1288" s="1144"/>
      <c r="BW1288" s="1144"/>
      <c r="BX1288" s="1144"/>
      <c r="BY1288" s="1144"/>
      <c r="BZ1288" s="1144"/>
      <c r="CA1288" s="1144"/>
      <c r="CB1288" s="1144"/>
      <c r="CC1288" s="1144"/>
      <c r="CD1288" s="1144"/>
      <c r="CE1288" s="1144"/>
      <c r="CF1288" s="1144"/>
      <c r="CG1288" s="1144"/>
      <c r="CH1288" s="1144"/>
      <c r="CI1288" s="1144"/>
      <c r="CJ1288" s="1144"/>
      <c r="CK1288" s="1144"/>
      <c r="CL1288" s="1144"/>
      <c r="CM1288" s="1144"/>
      <c r="CN1288" s="1144"/>
    </row>
    <row r="1289" spans="11:92" ht="12" customHeight="1" x14ac:dyDescent="0.35">
      <c r="K1289" s="29">
        <f t="shared" si="818"/>
        <v>1</v>
      </c>
      <c r="L1289" s="1158">
        <f t="shared" si="819"/>
        <v>0</v>
      </c>
      <c r="M1289" s="34">
        <f t="shared" si="820"/>
        <v>0</v>
      </c>
      <c r="N1289" s="34">
        <f t="shared" si="821"/>
        <v>0</v>
      </c>
      <c r="O1289" s="55">
        <f t="shared" si="822"/>
        <v>0</v>
      </c>
      <c r="P1289" s="55">
        <f t="shared" si="823"/>
        <v>0</v>
      </c>
      <c r="Q1289" s="55">
        <f t="shared" si="824"/>
        <v>0</v>
      </c>
      <c r="R1289" s="31">
        <f>IF(Input!D$298=L1445,Input!D$297,0)</f>
        <v>0</v>
      </c>
      <c r="S1289" s="36">
        <f t="shared" si="817"/>
        <v>0</v>
      </c>
      <c r="T1289" s="1818"/>
      <c r="U1289" s="1814"/>
      <c r="V1289" s="1814"/>
      <c r="W1289" s="1817"/>
      <c r="X1289" s="1814"/>
      <c r="Y1289" s="1801"/>
      <c r="Z1289" s="1801"/>
      <c r="AA1289" s="1801"/>
      <c r="AB1289" s="1801"/>
      <c r="AC1289" s="1801"/>
      <c r="AD1289" s="1801"/>
      <c r="AE1289" s="1801"/>
      <c r="AF1289" s="1814"/>
      <c r="AG1289" s="376"/>
      <c r="AH1289" s="376"/>
      <c r="AI1289" s="376"/>
      <c r="AJ1289" s="376"/>
      <c r="AK1289" s="376"/>
      <c r="AL1289" s="1148"/>
      <c r="AM1289" s="1148"/>
      <c r="AN1289" s="1148"/>
      <c r="AO1289" s="1148"/>
      <c r="AP1289" s="1148"/>
      <c r="AQ1289" s="1144"/>
      <c r="AR1289" s="1144"/>
      <c r="AS1289" s="1144"/>
      <c r="AT1289" s="1144"/>
      <c r="AU1289" s="1144"/>
      <c r="AV1289" s="1144"/>
      <c r="AW1289" s="1144"/>
      <c r="AX1289" s="1144"/>
      <c r="AY1289" s="1144"/>
      <c r="AZ1289" s="1144"/>
      <c r="BA1289" s="1144"/>
      <c r="BB1289" s="1144"/>
      <c r="BC1289" s="1144"/>
      <c r="BD1289" s="1144"/>
      <c r="BE1289" s="1144"/>
      <c r="BF1289" s="1144"/>
      <c r="BG1289" s="1144"/>
      <c r="BH1289" s="1144"/>
      <c r="BI1289" s="1144"/>
      <c r="BJ1289" s="1144"/>
      <c r="BK1289" s="1144"/>
      <c r="BL1289" s="1144"/>
      <c r="BM1289" s="1144"/>
      <c r="BN1289" s="1144"/>
      <c r="BO1289" s="1144"/>
      <c r="BP1289" s="1144"/>
      <c r="BQ1289" s="1144"/>
      <c r="BR1289" s="1144"/>
      <c r="BS1289" s="1144"/>
      <c r="BT1289" s="1144"/>
      <c r="BU1289" s="1144"/>
      <c r="BV1289" s="1144"/>
      <c r="BW1289" s="1144"/>
      <c r="BX1289" s="1144"/>
      <c r="BY1289" s="1144"/>
      <c r="BZ1289" s="1144"/>
      <c r="CA1289" s="1144"/>
      <c r="CB1289" s="1144"/>
      <c r="CC1289" s="1144"/>
      <c r="CD1289" s="1144"/>
      <c r="CE1289" s="1144"/>
      <c r="CF1289" s="1144"/>
      <c r="CG1289" s="1144"/>
      <c r="CH1289" s="1144"/>
      <c r="CI1289" s="1144"/>
      <c r="CJ1289" s="1144"/>
      <c r="CK1289" s="1144"/>
      <c r="CL1289" s="1144"/>
      <c r="CM1289" s="1144"/>
      <c r="CN1289" s="1144"/>
    </row>
    <row r="1290" spans="11:92" ht="12" customHeight="1" x14ac:dyDescent="0.35">
      <c r="K1290" s="29">
        <f t="shared" si="818"/>
        <v>1</v>
      </c>
      <c r="L1290" s="1158">
        <f t="shared" si="819"/>
        <v>0</v>
      </c>
      <c r="M1290" s="34">
        <f t="shared" si="820"/>
        <v>0</v>
      </c>
      <c r="N1290" s="34">
        <f t="shared" si="821"/>
        <v>0</v>
      </c>
      <c r="O1290" s="55">
        <f t="shared" si="822"/>
        <v>0</v>
      </c>
      <c r="P1290" s="55">
        <f t="shared" si="823"/>
        <v>0</v>
      </c>
      <c r="Q1290" s="55">
        <f t="shared" si="824"/>
        <v>0</v>
      </c>
      <c r="R1290" s="31">
        <f>IF(Input!D$298=L1446,Input!D$297,0)</f>
        <v>0</v>
      </c>
      <c r="S1290" s="36">
        <f t="shared" si="817"/>
        <v>0</v>
      </c>
      <c r="T1290" s="1818"/>
      <c r="U1290" s="1814"/>
      <c r="V1290" s="1814"/>
      <c r="W1290" s="1817"/>
      <c r="X1290" s="1814"/>
      <c r="Y1290" s="1801"/>
      <c r="Z1290" s="1801"/>
      <c r="AA1290" s="1801"/>
      <c r="AB1290" s="1801"/>
      <c r="AC1290" s="1801"/>
      <c r="AD1290" s="1801"/>
      <c r="AE1290" s="1801"/>
      <c r="AF1290" s="1814"/>
      <c r="AG1290" s="376"/>
      <c r="AH1290" s="376"/>
      <c r="AI1290" s="376"/>
      <c r="AJ1290" s="376"/>
      <c r="AK1290" s="376"/>
      <c r="AL1290" s="1148"/>
      <c r="AM1290" s="1148"/>
      <c r="AN1290" s="1148"/>
      <c r="AO1290" s="1148"/>
      <c r="AP1290" s="1148"/>
      <c r="AQ1290" s="1144"/>
      <c r="AR1290" s="1144"/>
      <c r="AS1290" s="1144"/>
      <c r="AT1290" s="1144"/>
      <c r="AU1290" s="1144"/>
      <c r="AV1290" s="1144"/>
      <c r="AW1290" s="1144"/>
      <c r="AX1290" s="1144"/>
      <c r="AY1290" s="1144"/>
      <c r="AZ1290" s="1144"/>
      <c r="BA1290" s="1144"/>
      <c r="BB1290" s="1144"/>
      <c r="BC1290" s="1144"/>
      <c r="BD1290" s="1144"/>
      <c r="BE1290" s="1144"/>
      <c r="BF1290" s="1144"/>
      <c r="BG1290" s="1144"/>
      <c r="BH1290" s="1144"/>
      <c r="BI1290" s="1144"/>
      <c r="BJ1290" s="1144"/>
      <c r="BK1290" s="1144"/>
      <c r="BL1290" s="1144"/>
      <c r="BM1290" s="1144"/>
      <c r="BN1290" s="1144"/>
      <c r="BO1290" s="1144"/>
      <c r="BP1290" s="1144"/>
      <c r="BQ1290" s="1144"/>
      <c r="BR1290" s="1144"/>
      <c r="BS1290" s="1144"/>
      <c r="BT1290" s="1144"/>
      <c r="BU1290" s="1144"/>
      <c r="BV1290" s="1144"/>
      <c r="BW1290" s="1144"/>
      <c r="BX1290" s="1144"/>
      <c r="BY1290" s="1144"/>
      <c r="BZ1290" s="1144"/>
      <c r="CA1290" s="1144"/>
      <c r="CB1290" s="1144"/>
      <c r="CC1290" s="1144"/>
      <c r="CD1290" s="1144"/>
      <c r="CE1290" s="1144"/>
      <c r="CF1290" s="1144"/>
      <c r="CG1290" s="1144"/>
      <c r="CH1290" s="1144"/>
      <c r="CI1290" s="1144"/>
      <c r="CJ1290" s="1144"/>
      <c r="CK1290" s="1144"/>
      <c r="CL1290" s="1144"/>
      <c r="CM1290" s="1144"/>
      <c r="CN1290" s="1144"/>
    </row>
    <row r="1291" spans="11:92" ht="12" customHeight="1" x14ac:dyDescent="0.35">
      <c r="K1291" s="29">
        <f t="shared" si="818"/>
        <v>1</v>
      </c>
      <c r="L1291" s="1158">
        <f t="shared" si="819"/>
        <v>0</v>
      </c>
      <c r="M1291" s="34">
        <f t="shared" si="820"/>
        <v>0</v>
      </c>
      <c r="N1291" s="34">
        <f t="shared" si="821"/>
        <v>0</v>
      </c>
      <c r="O1291" s="55">
        <f t="shared" si="822"/>
        <v>0</v>
      </c>
      <c r="P1291" s="55">
        <f t="shared" si="823"/>
        <v>0</v>
      </c>
      <c r="Q1291" s="55">
        <f t="shared" si="824"/>
        <v>0</v>
      </c>
      <c r="R1291" s="31">
        <f>IF(Input!D$298=L1447,Input!D$297,0)</f>
        <v>0</v>
      </c>
      <c r="S1291" s="36">
        <f t="shared" si="817"/>
        <v>0</v>
      </c>
      <c r="T1291" s="1818"/>
      <c r="U1291" s="1814"/>
      <c r="V1291" s="1814"/>
      <c r="W1291" s="1817"/>
      <c r="X1291" s="1814"/>
      <c r="Y1291" s="1801"/>
      <c r="Z1291" s="1801"/>
      <c r="AA1291" s="1801"/>
      <c r="AB1291" s="1801"/>
      <c r="AC1291" s="1801"/>
      <c r="AD1291" s="1801"/>
      <c r="AE1291" s="1801"/>
      <c r="AF1291" s="1814"/>
      <c r="AG1291" s="376"/>
      <c r="AH1291" s="376"/>
      <c r="AI1291" s="376"/>
      <c r="AJ1291" s="376"/>
      <c r="AK1291" s="376"/>
      <c r="AL1291" s="1148"/>
      <c r="AM1291" s="1148"/>
      <c r="AN1291" s="1148"/>
      <c r="AO1291" s="1148"/>
      <c r="AP1291" s="1148"/>
      <c r="AQ1291" s="1144"/>
      <c r="AR1291" s="1144"/>
      <c r="AS1291" s="1144"/>
      <c r="AT1291" s="1144"/>
      <c r="AU1291" s="1144"/>
      <c r="AV1291" s="1144"/>
      <c r="AW1291" s="1144"/>
      <c r="AX1291" s="1144"/>
      <c r="AY1291" s="1144"/>
      <c r="AZ1291" s="1144"/>
      <c r="BA1291" s="1144"/>
      <c r="BB1291" s="1144"/>
      <c r="BC1291" s="1144"/>
      <c r="BD1291" s="1144"/>
      <c r="BE1291" s="1144"/>
      <c r="BF1291" s="1144"/>
      <c r="BG1291" s="1144"/>
      <c r="BH1291" s="1144"/>
      <c r="BI1291" s="1144"/>
      <c r="BJ1291" s="1144"/>
      <c r="BK1291" s="1144"/>
      <c r="BL1291" s="1144"/>
      <c r="BM1291" s="1144"/>
      <c r="BN1291" s="1144"/>
      <c r="BO1291" s="1144"/>
      <c r="BP1291" s="1144"/>
      <c r="BQ1291" s="1144"/>
      <c r="BR1291" s="1144"/>
      <c r="BS1291" s="1144"/>
      <c r="BT1291" s="1144"/>
      <c r="BU1291" s="1144"/>
      <c r="BV1291" s="1144"/>
      <c r="BW1291" s="1144"/>
      <c r="BX1291" s="1144"/>
      <c r="BY1291" s="1144"/>
      <c r="BZ1291" s="1144"/>
      <c r="CA1291" s="1144"/>
      <c r="CB1291" s="1144"/>
      <c r="CC1291" s="1144"/>
      <c r="CD1291" s="1144"/>
      <c r="CE1291" s="1144"/>
      <c r="CF1291" s="1144"/>
      <c r="CG1291" s="1144"/>
      <c r="CH1291" s="1144"/>
      <c r="CI1291" s="1144"/>
      <c r="CJ1291" s="1144"/>
      <c r="CK1291" s="1144"/>
      <c r="CL1291" s="1144"/>
      <c r="CM1291" s="1144"/>
      <c r="CN1291" s="1144"/>
    </row>
    <row r="1292" spans="11:92" ht="12" customHeight="1" x14ac:dyDescent="0.35">
      <c r="K1292" s="29">
        <f t="shared" si="818"/>
        <v>1</v>
      </c>
      <c r="L1292" s="1158">
        <f t="shared" si="819"/>
        <v>0</v>
      </c>
      <c r="M1292" s="34">
        <f t="shared" si="820"/>
        <v>0</v>
      </c>
      <c r="N1292" s="34">
        <f t="shared" si="821"/>
        <v>0</v>
      </c>
      <c r="O1292" s="55">
        <f t="shared" si="822"/>
        <v>0</v>
      </c>
      <c r="P1292" s="55">
        <f t="shared" si="823"/>
        <v>0</v>
      </c>
      <c r="Q1292" s="55">
        <f t="shared" si="824"/>
        <v>0</v>
      </c>
      <c r="R1292" s="31">
        <f>IF(Input!D$298=L1448,Input!D$297,0)</f>
        <v>0</v>
      </c>
      <c r="S1292" s="36">
        <f t="shared" si="817"/>
        <v>0</v>
      </c>
      <c r="T1292" s="1818"/>
      <c r="U1292" s="1814"/>
      <c r="V1292" s="1814"/>
      <c r="W1292" s="1817"/>
      <c r="X1292" s="1814"/>
      <c r="Y1292" s="1801"/>
      <c r="Z1292" s="1801"/>
      <c r="AA1292" s="1801"/>
      <c r="AB1292" s="1801"/>
      <c r="AC1292" s="1801"/>
      <c r="AD1292" s="1801"/>
      <c r="AE1292" s="1801"/>
      <c r="AF1292" s="1814"/>
      <c r="AG1292" s="376"/>
      <c r="AH1292" s="376"/>
      <c r="AI1292" s="376"/>
      <c r="AJ1292" s="376"/>
      <c r="AK1292" s="376"/>
      <c r="AL1292" s="1144"/>
      <c r="AM1292" s="1144"/>
      <c r="AN1292" s="1144"/>
      <c r="AO1292" s="1144"/>
      <c r="AP1292" s="1144"/>
      <c r="AQ1292" s="1144"/>
      <c r="AR1292" s="1144"/>
      <c r="AS1292" s="1144"/>
      <c r="AT1292" s="1144"/>
      <c r="AU1292" s="1144"/>
      <c r="AV1292" s="1144"/>
      <c r="AW1292" s="1144"/>
      <c r="AX1292" s="1144"/>
      <c r="AY1292" s="1144"/>
      <c r="AZ1292" s="1144"/>
      <c r="BA1292" s="1144"/>
      <c r="BB1292" s="1144"/>
      <c r="BC1292" s="1144"/>
      <c r="BD1292" s="1144"/>
      <c r="BE1292" s="1144"/>
      <c r="BF1292" s="1144"/>
      <c r="BG1292" s="1144"/>
      <c r="BH1292" s="1144"/>
      <c r="BI1292" s="1144"/>
      <c r="BJ1292" s="1144"/>
      <c r="BK1292" s="1144"/>
      <c r="BL1292" s="1144"/>
      <c r="BM1292" s="1144"/>
      <c r="BN1292" s="1144"/>
      <c r="BO1292" s="1144"/>
      <c r="BP1292" s="1144"/>
      <c r="BQ1292" s="1144"/>
      <c r="BR1292" s="1144"/>
      <c r="BS1292" s="1144"/>
      <c r="BT1292" s="1144"/>
      <c r="BU1292" s="1144"/>
      <c r="BV1292" s="1144"/>
      <c r="BW1292" s="1144"/>
      <c r="BX1292" s="1144"/>
      <c r="BY1292" s="1144"/>
      <c r="BZ1292" s="1144"/>
      <c r="CA1292" s="1144"/>
      <c r="CB1292" s="1144"/>
      <c r="CC1292" s="1144"/>
      <c r="CD1292" s="1144"/>
      <c r="CE1292" s="1144"/>
      <c r="CF1292" s="1144"/>
      <c r="CG1292" s="1144"/>
      <c r="CH1292" s="1144"/>
      <c r="CI1292" s="1144"/>
      <c r="CJ1292" s="1144"/>
      <c r="CK1292" s="1144"/>
      <c r="CL1292" s="1144"/>
      <c r="CM1292" s="1144"/>
      <c r="CN1292" s="1144"/>
    </row>
    <row r="1293" spans="11:92" ht="12" customHeight="1" x14ac:dyDescent="0.35">
      <c r="K1293" s="29">
        <f t="shared" si="818"/>
        <v>1</v>
      </c>
      <c r="L1293" s="1158">
        <f t="shared" si="819"/>
        <v>0</v>
      </c>
      <c r="M1293" s="34">
        <f t="shared" si="820"/>
        <v>0</v>
      </c>
      <c r="N1293" s="34">
        <f t="shared" si="821"/>
        <v>0</v>
      </c>
      <c r="O1293" s="55">
        <f t="shared" si="822"/>
        <v>0</v>
      </c>
      <c r="P1293" s="55">
        <f t="shared" si="823"/>
        <v>0</v>
      </c>
      <c r="Q1293" s="55">
        <f t="shared" si="824"/>
        <v>0</v>
      </c>
      <c r="R1293" s="31">
        <f>IF(Input!D$298=L1449,Input!D$297,0)</f>
        <v>0</v>
      </c>
      <c r="S1293" s="36">
        <f t="shared" si="817"/>
        <v>0</v>
      </c>
      <c r="T1293" s="1818"/>
      <c r="U1293" s="1814"/>
      <c r="V1293" s="1814"/>
      <c r="W1293" s="1817"/>
      <c r="X1293" s="1814"/>
      <c r="Y1293" s="1801"/>
      <c r="Z1293" s="1801"/>
      <c r="AA1293" s="1801"/>
      <c r="AB1293" s="1801"/>
      <c r="AC1293" s="1801"/>
      <c r="AD1293" s="1801"/>
      <c r="AE1293" s="1801"/>
      <c r="AF1293" s="1814"/>
      <c r="AG1293" s="376"/>
      <c r="AH1293" s="376"/>
      <c r="AI1293" s="376"/>
      <c r="AJ1293" s="376"/>
      <c r="AK1293" s="376"/>
      <c r="AL1293" s="1144"/>
      <c r="AM1293" s="1144"/>
      <c r="AN1293" s="1144"/>
      <c r="AO1293" s="1144"/>
      <c r="AP1293" s="1144"/>
      <c r="AQ1293" s="1144"/>
      <c r="AR1293" s="1144"/>
      <c r="AS1293" s="1144"/>
      <c r="AT1293" s="1144"/>
      <c r="AU1293" s="1144"/>
      <c r="AV1293" s="1144"/>
      <c r="AW1293" s="1144"/>
      <c r="AX1293" s="1144"/>
      <c r="AY1293" s="1144"/>
      <c r="AZ1293" s="1144"/>
      <c r="BA1293" s="1144"/>
      <c r="BB1293" s="1144"/>
      <c r="BC1293" s="1144"/>
      <c r="BD1293" s="1144"/>
      <c r="BE1293" s="1144"/>
      <c r="BF1293" s="1144"/>
      <c r="BG1293" s="1144"/>
      <c r="BH1293" s="1144"/>
      <c r="BI1293" s="1144"/>
      <c r="BJ1293" s="1144"/>
      <c r="BK1293" s="1144"/>
      <c r="BL1293" s="1144"/>
      <c r="BM1293" s="1144"/>
      <c r="BN1293" s="1144"/>
      <c r="BO1293" s="1144"/>
      <c r="BP1293" s="1144"/>
      <c r="BQ1293" s="1144"/>
      <c r="BR1293" s="1144"/>
      <c r="BS1293" s="1144"/>
      <c r="BT1293" s="1144"/>
      <c r="BU1293" s="1144"/>
      <c r="BV1293" s="1144"/>
      <c r="BW1293" s="1144"/>
      <c r="BX1293" s="1144"/>
      <c r="BY1293" s="1144"/>
      <c r="BZ1293" s="1144"/>
      <c r="CA1293" s="1144"/>
      <c r="CB1293" s="1144"/>
      <c r="CC1293" s="1144"/>
      <c r="CD1293" s="1144"/>
      <c r="CE1293" s="1144"/>
      <c r="CF1293" s="1144"/>
      <c r="CG1293" s="1144"/>
      <c r="CH1293" s="1144"/>
      <c r="CI1293" s="1144"/>
      <c r="CJ1293" s="1144"/>
      <c r="CK1293" s="1144"/>
      <c r="CL1293" s="1144"/>
      <c r="CM1293" s="1144"/>
      <c r="CN1293" s="1144"/>
    </row>
    <row r="1294" spans="11:92" ht="12" customHeight="1" x14ac:dyDescent="0.35">
      <c r="K1294" s="29">
        <f t="shared" si="818"/>
        <v>1</v>
      </c>
      <c r="L1294" s="1158">
        <f t="shared" si="819"/>
        <v>0</v>
      </c>
      <c r="M1294" s="34">
        <f t="shared" si="820"/>
        <v>0</v>
      </c>
      <c r="N1294" s="34">
        <f t="shared" si="821"/>
        <v>0</v>
      </c>
      <c r="O1294" s="55">
        <f t="shared" si="822"/>
        <v>0</v>
      </c>
      <c r="P1294" s="55">
        <f t="shared" si="823"/>
        <v>0</v>
      </c>
      <c r="Q1294" s="55">
        <f t="shared" si="824"/>
        <v>0</v>
      </c>
      <c r="R1294" s="31">
        <f>IF(Input!D$298=L1450,Input!D$297,0)</f>
        <v>0</v>
      </c>
      <c r="S1294" s="36">
        <f t="shared" si="817"/>
        <v>0</v>
      </c>
      <c r="T1294" s="1818"/>
      <c r="U1294" s="1814"/>
      <c r="V1294" s="1814"/>
      <c r="W1294" s="1817"/>
      <c r="X1294" s="1814"/>
      <c r="Y1294" s="1801"/>
      <c r="Z1294" s="1801"/>
      <c r="AA1294" s="1801"/>
      <c r="AB1294" s="1801"/>
      <c r="AC1294" s="1801"/>
      <c r="AD1294" s="1801"/>
      <c r="AE1294" s="1801"/>
      <c r="AF1294" s="1814"/>
      <c r="AG1294" s="376"/>
      <c r="AH1294" s="376"/>
      <c r="AI1294" s="376"/>
      <c r="AJ1294" s="376"/>
      <c r="AK1294" s="376"/>
      <c r="AL1294" s="1144"/>
      <c r="AM1294" s="1144"/>
      <c r="AN1294" s="1144"/>
      <c r="AO1294" s="1144"/>
      <c r="AP1294" s="1144"/>
      <c r="AQ1294" s="1144"/>
      <c r="AR1294" s="1144"/>
      <c r="AS1294" s="1144"/>
      <c r="AT1294" s="1144"/>
      <c r="AU1294" s="1144"/>
      <c r="AV1294" s="1144"/>
      <c r="AW1294" s="1144"/>
      <c r="AX1294" s="1144"/>
      <c r="AY1294" s="1144"/>
      <c r="AZ1294" s="1144"/>
      <c r="BA1294" s="1144"/>
      <c r="BB1294" s="1144"/>
      <c r="BC1294" s="1144"/>
      <c r="BD1294" s="1144"/>
      <c r="BE1294" s="1144"/>
      <c r="BF1294" s="1144"/>
      <c r="BG1294" s="1144"/>
      <c r="BH1294" s="1144"/>
      <c r="BI1294" s="1144"/>
      <c r="BJ1294" s="1144"/>
      <c r="BK1294" s="1144"/>
      <c r="BL1294" s="1144"/>
      <c r="BM1294" s="1144"/>
      <c r="BN1294" s="1144"/>
      <c r="BO1294" s="1144"/>
      <c r="BP1294" s="1144"/>
      <c r="BQ1294" s="1144"/>
      <c r="BR1294" s="1144"/>
      <c r="BS1294" s="1144"/>
      <c r="BT1294" s="1144"/>
      <c r="BU1294" s="1144"/>
      <c r="BV1294" s="1144"/>
      <c r="BW1294" s="1144"/>
      <c r="BX1294" s="1144"/>
      <c r="BY1294" s="1144"/>
      <c r="BZ1294" s="1144"/>
      <c r="CA1294" s="1144"/>
      <c r="CB1294" s="1144"/>
      <c r="CC1294" s="1144"/>
      <c r="CD1294" s="1144"/>
      <c r="CE1294" s="1144"/>
      <c r="CF1294" s="1144"/>
      <c r="CG1294" s="1144"/>
      <c r="CH1294" s="1144"/>
      <c r="CI1294" s="1144"/>
      <c r="CJ1294" s="1144"/>
      <c r="CK1294" s="1144"/>
      <c r="CL1294" s="1144"/>
      <c r="CM1294" s="1144"/>
      <c r="CN1294" s="1144"/>
    </row>
    <row r="1295" spans="11:92" ht="12" customHeight="1" x14ac:dyDescent="0.35">
      <c r="K1295" s="29">
        <f t="shared" si="818"/>
        <v>1</v>
      </c>
      <c r="L1295" s="1158">
        <f t="shared" si="819"/>
        <v>0</v>
      </c>
      <c r="M1295" s="34">
        <f t="shared" si="820"/>
        <v>0</v>
      </c>
      <c r="N1295" s="34">
        <f t="shared" si="821"/>
        <v>0</v>
      </c>
      <c r="O1295" s="55">
        <f t="shared" si="822"/>
        <v>0</v>
      </c>
      <c r="P1295" s="55">
        <f t="shared" si="823"/>
        <v>0</v>
      </c>
      <c r="Q1295" s="55">
        <f t="shared" si="824"/>
        <v>0</v>
      </c>
      <c r="R1295" s="31">
        <f>IF(Input!D$298=L1451,Input!D$297,0)</f>
        <v>0</v>
      </c>
      <c r="S1295" s="36">
        <f t="shared" si="817"/>
        <v>0</v>
      </c>
      <c r="T1295" s="1818"/>
      <c r="U1295" s="1814"/>
      <c r="V1295" s="1814"/>
      <c r="W1295" s="1817"/>
      <c r="X1295" s="1814"/>
      <c r="Y1295" s="1801"/>
      <c r="Z1295" s="1801"/>
      <c r="AA1295" s="1801"/>
      <c r="AB1295" s="1801"/>
      <c r="AC1295" s="1801"/>
      <c r="AD1295" s="1801"/>
      <c r="AE1295" s="1801"/>
      <c r="AF1295" s="1814"/>
      <c r="AG1295" s="376"/>
      <c r="AH1295" s="376"/>
      <c r="AI1295" s="376"/>
      <c r="AJ1295" s="376"/>
      <c r="AK1295" s="376"/>
      <c r="AL1295" s="1144"/>
      <c r="AM1295" s="1144"/>
      <c r="AN1295" s="1144"/>
      <c r="AO1295" s="1144"/>
      <c r="AP1295" s="1144"/>
      <c r="AQ1295" s="1144"/>
      <c r="AR1295" s="1144"/>
      <c r="AS1295" s="1144"/>
      <c r="AT1295" s="1144"/>
      <c r="AU1295" s="1144"/>
      <c r="AV1295" s="1144"/>
      <c r="AW1295" s="1144"/>
      <c r="AX1295" s="1144"/>
      <c r="AY1295" s="1144"/>
      <c r="AZ1295" s="1144"/>
      <c r="BA1295" s="1144"/>
      <c r="BB1295" s="1144"/>
      <c r="BC1295" s="1144"/>
      <c r="BD1295" s="1144"/>
      <c r="BE1295" s="1144"/>
      <c r="BF1295" s="1144"/>
      <c r="BG1295" s="1144"/>
      <c r="BH1295" s="1144"/>
      <c r="BI1295" s="1144"/>
      <c r="BJ1295" s="1144"/>
      <c r="BK1295" s="1144"/>
      <c r="BL1295" s="1144"/>
      <c r="BM1295" s="1144"/>
      <c r="BN1295" s="1144"/>
      <c r="BO1295" s="1144"/>
      <c r="BP1295" s="1144"/>
      <c r="BQ1295" s="1144"/>
      <c r="BR1295" s="1144"/>
      <c r="BS1295" s="1144"/>
      <c r="BT1295" s="1144"/>
      <c r="BU1295" s="1144"/>
      <c r="BV1295" s="1144"/>
      <c r="BW1295" s="1144"/>
      <c r="BX1295" s="1144"/>
      <c r="BY1295" s="1144"/>
      <c r="BZ1295" s="1144"/>
      <c r="CA1295" s="1144"/>
      <c r="CB1295" s="1144"/>
      <c r="CC1295" s="1144"/>
      <c r="CD1295" s="1144"/>
      <c r="CE1295" s="1144"/>
      <c r="CF1295" s="1144"/>
      <c r="CG1295" s="1144"/>
      <c r="CH1295" s="1144"/>
      <c r="CI1295" s="1144"/>
      <c r="CJ1295" s="1144"/>
      <c r="CK1295" s="1144"/>
      <c r="CL1295" s="1144"/>
      <c r="CM1295" s="1144"/>
      <c r="CN1295" s="1144"/>
    </row>
    <row r="1296" spans="11:92" ht="12" customHeight="1" x14ac:dyDescent="0.35">
      <c r="K1296" s="29">
        <f t="shared" si="818"/>
        <v>1</v>
      </c>
      <c r="L1296" s="1158">
        <f t="shared" si="819"/>
        <v>0</v>
      </c>
      <c r="M1296" s="34">
        <f t="shared" si="820"/>
        <v>0</v>
      </c>
      <c r="N1296" s="34">
        <f t="shared" si="821"/>
        <v>0</v>
      </c>
      <c r="O1296" s="55">
        <f t="shared" si="822"/>
        <v>0</v>
      </c>
      <c r="P1296" s="55">
        <f t="shared" si="823"/>
        <v>0</v>
      </c>
      <c r="Q1296" s="55">
        <f t="shared" si="824"/>
        <v>0</v>
      </c>
      <c r="R1296" s="31">
        <f>IF(Input!D$298=L1452,Input!D$297,0)</f>
        <v>0</v>
      </c>
      <c r="S1296" s="36">
        <f t="shared" si="817"/>
        <v>0</v>
      </c>
      <c r="T1296" s="1818"/>
      <c r="U1296" s="1814"/>
      <c r="V1296" s="1814"/>
      <c r="W1296" s="1817"/>
      <c r="X1296" s="1814"/>
      <c r="Y1296" s="1801"/>
      <c r="Z1296" s="1801"/>
      <c r="AA1296" s="1801"/>
      <c r="AB1296" s="1801"/>
      <c r="AC1296" s="1801"/>
      <c r="AD1296" s="1801"/>
      <c r="AE1296" s="1801"/>
      <c r="AF1296" s="1814"/>
      <c r="AG1296" s="376"/>
      <c r="AH1296" s="376"/>
      <c r="AI1296" s="376"/>
      <c r="AJ1296" s="376"/>
      <c r="AK1296" s="376"/>
      <c r="AL1296" s="1144"/>
      <c r="AM1296" s="1144"/>
      <c r="AN1296" s="1144"/>
      <c r="AO1296" s="1144"/>
      <c r="AP1296" s="1144"/>
      <c r="AQ1296" s="1144"/>
      <c r="AR1296" s="1144"/>
      <c r="AS1296" s="1144"/>
      <c r="AT1296" s="1144"/>
      <c r="AU1296" s="1144"/>
      <c r="AV1296" s="1144"/>
      <c r="AW1296" s="1144"/>
      <c r="AX1296" s="1144"/>
      <c r="AY1296" s="1144"/>
      <c r="AZ1296" s="1144"/>
      <c r="BA1296" s="1144"/>
      <c r="BB1296" s="1144"/>
      <c r="BC1296" s="1144"/>
      <c r="BD1296" s="1144"/>
      <c r="BE1296" s="1144"/>
      <c r="BF1296" s="1144"/>
      <c r="BG1296" s="1144"/>
      <c r="BH1296" s="1144"/>
      <c r="BI1296" s="1144"/>
      <c r="BJ1296" s="1144"/>
      <c r="BK1296" s="1144"/>
      <c r="BL1296" s="1144"/>
      <c r="BM1296" s="1144"/>
      <c r="BN1296" s="1144"/>
      <c r="BO1296" s="1144"/>
      <c r="BP1296" s="1144"/>
      <c r="BQ1296" s="1144"/>
      <c r="BR1296" s="1144"/>
      <c r="BS1296" s="1144"/>
      <c r="BT1296" s="1144"/>
      <c r="BU1296" s="1144"/>
      <c r="BV1296" s="1144"/>
      <c r="BW1296" s="1144"/>
      <c r="BX1296" s="1144"/>
      <c r="BY1296" s="1144"/>
      <c r="BZ1296" s="1144"/>
      <c r="CA1296" s="1144"/>
      <c r="CB1296" s="1144"/>
      <c r="CC1296" s="1144"/>
      <c r="CD1296" s="1144"/>
      <c r="CE1296" s="1144"/>
      <c r="CF1296" s="1144"/>
      <c r="CG1296" s="1144"/>
      <c r="CH1296" s="1144"/>
      <c r="CI1296" s="1144"/>
      <c r="CJ1296" s="1144"/>
      <c r="CK1296" s="1144"/>
      <c r="CL1296" s="1144"/>
      <c r="CM1296" s="1144"/>
      <c r="CN1296" s="1144"/>
    </row>
    <row r="1297" spans="11:92" ht="12" customHeight="1" x14ac:dyDescent="0.35">
      <c r="K1297" s="29">
        <f t="shared" si="818"/>
        <v>1</v>
      </c>
      <c r="L1297" s="1158">
        <f t="shared" si="819"/>
        <v>0</v>
      </c>
      <c r="M1297" s="34">
        <f t="shared" si="820"/>
        <v>0</v>
      </c>
      <c r="N1297" s="34">
        <f t="shared" si="821"/>
        <v>0</v>
      </c>
      <c r="O1297" s="55">
        <f t="shared" si="822"/>
        <v>0</v>
      </c>
      <c r="P1297" s="55">
        <f t="shared" si="823"/>
        <v>0</v>
      </c>
      <c r="Q1297" s="55">
        <f t="shared" si="824"/>
        <v>0</v>
      </c>
      <c r="R1297" s="31">
        <f>IF(Input!D$298=L1453,Input!D$297,0)</f>
        <v>0</v>
      </c>
      <c r="S1297" s="36">
        <f t="shared" si="817"/>
        <v>0</v>
      </c>
      <c r="T1297" s="1818"/>
      <c r="U1297" s="1814"/>
      <c r="V1297" s="1814"/>
      <c r="W1297" s="1817"/>
      <c r="X1297" s="1814"/>
      <c r="Y1297" s="1801"/>
      <c r="Z1297" s="1801"/>
      <c r="AA1297" s="1801"/>
      <c r="AB1297" s="1801"/>
      <c r="AC1297" s="1801"/>
      <c r="AD1297" s="1801"/>
      <c r="AE1297" s="1801"/>
      <c r="AF1297" s="1814"/>
      <c r="AG1297" s="376"/>
      <c r="AH1297" s="376"/>
      <c r="AI1297" s="376"/>
      <c r="AJ1297" s="376"/>
      <c r="AK1297" s="376"/>
      <c r="AL1297" s="1144"/>
      <c r="AM1297" s="1144"/>
      <c r="AN1297" s="1144"/>
      <c r="AO1297" s="1144"/>
      <c r="AP1297" s="1144"/>
      <c r="AQ1297" s="1144"/>
      <c r="AR1297" s="1144"/>
      <c r="AS1297" s="1144"/>
      <c r="AT1297" s="1144"/>
      <c r="AU1297" s="1144"/>
      <c r="AV1297" s="1144"/>
      <c r="AW1297" s="1144"/>
      <c r="AX1297" s="1144"/>
      <c r="AY1297" s="1144"/>
      <c r="AZ1297" s="1144"/>
      <c r="BA1297" s="1144"/>
      <c r="BB1297" s="1144"/>
      <c r="BC1297" s="1144"/>
      <c r="BD1297" s="1144"/>
      <c r="BE1297" s="1144"/>
      <c r="BF1297" s="1144"/>
      <c r="BG1297" s="1144"/>
      <c r="BH1297" s="1144"/>
      <c r="BI1297" s="1144"/>
      <c r="BJ1297" s="1144"/>
      <c r="BK1297" s="1144"/>
      <c r="BL1297" s="1144"/>
      <c r="BM1297" s="1144"/>
      <c r="BN1297" s="1144"/>
      <c r="BO1297" s="1144"/>
      <c r="BP1297" s="1144"/>
      <c r="BQ1297" s="1144"/>
      <c r="BR1297" s="1144"/>
      <c r="BS1297" s="1144"/>
      <c r="BT1297" s="1144"/>
      <c r="BU1297" s="1144"/>
      <c r="BV1297" s="1144"/>
      <c r="BW1297" s="1144"/>
      <c r="BX1297" s="1144"/>
      <c r="BY1297" s="1144"/>
      <c r="BZ1297" s="1144"/>
      <c r="CA1297" s="1144"/>
      <c r="CB1297" s="1144"/>
      <c r="CC1297" s="1144"/>
      <c r="CD1297" s="1144"/>
      <c r="CE1297" s="1144"/>
      <c r="CF1297" s="1144"/>
      <c r="CG1297" s="1144"/>
      <c r="CH1297" s="1144"/>
      <c r="CI1297" s="1144"/>
      <c r="CJ1297" s="1144"/>
      <c r="CK1297" s="1144"/>
      <c r="CL1297" s="1144"/>
      <c r="CM1297" s="1144"/>
      <c r="CN1297" s="1144"/>
    </row>
    <row r="1298" spans="11:92" ht="12" customHeight="1" x14ac:dyDescent="0.35">
      <c r="K1298" s="29">
        <f t="shared" si="818"/>
        <v>1</v>
      </c>
      <c r="L1298" s="1158">
        <f t="shared" si="819"/>
        <v>0</v>
      </c>
      <c r="M1298" s="34">
        <f t="shared" si="820"/>
        <v>0</v>
      </c>
      <c r="N1298" s="34">
        <f t="shared" si="821"/>
        <v>0</v>
      </c>
      <c r="O1298" s="55">
        <f t="shared" si="822"/>
        <v>0</v>
      </c>
      <c r="P1298" s="55">
        <f t="shared" si="823"/>
        <v>0</v>
      </c>
      <c r="Q1298" s="55">
        <f t="shared" si="824"/>
        <v>0</v>
      </c>
      <c r="R1298" s="31">
        <f>IF(Input!D$298=L1454,Input!D$297,0)</f>
        <v>0</v>
      </c>
      <c r="S1298" s="36">
        <f t="shared" si="817"/>
        <v>0</v>
      </c>
      <c r="T1298" s="1818"/>
      <c r="U1298" s="1814"/>
      <c r="V1298" s="1814"/>
      <c r="W1298" s="1817"/>
      <c r="X1298" s="1814"/>
      <c r="Y1298" s="1801"/>
      <c r="Z1298" s="1801"/>
      <c r="AA1298" s="1801"/>
      <c r="AB1298" s="1801"/>
      <c r="AC1298" s="1801"/>
      <c r="AD1298" s="1801"/>
      <c r="AE1298" s="1801"/>
      <c r="AF1298" s="1814"/>
      <c r="AG1298" s="376"/>
      <c r="AH1298" s="376"/>
      <c r="AI1298" s="376"/>
      <c r="AJ1298" s="376"/>
      <c r="AK1298" s="376"/>
      <c r="AL1298" s="1144"/>
      <c r="AM1298" s="1144"/>
      <c r="AN1298" s="1144"/>
      <c r="AO1298" s="1144"/>
      <c r="AP1298" s="1144"/>
      <c r="AQ1298" s="1144"/>
      <c r="AR1298" s="1144"/>
      <c r="AS1298" s="1144"/>
      <c r="AT1298" s="1144"/>
      <c r="AU1298" s="1144"/>
      <c r="AV1298" s="1144"/>
      <c r="AW1298" s="1144"/>
      <c r="AX1298" s="1144"/>
      <c r="AY1298" s="1144"/>
      <c r="AZ1298" s="1144"/>
      <c r="BA1298" s="1144"/>
      <c r="BB1298" s="1144"/>
      <c r="BC1298" s="1144"/>
      <c r="BD1298" s="1144"/>
      <c r="BE1298" s="1144"/>
      <c r="BF1298" s="1144"/>
      <c r="BG1298" s="1144"/>
      <c r="BH1298" s="1144"/>
      <c r="BI1298" s="1144"/>
      <c r="BJ1298" s="1144"/>
      <c r="BK1298" s="1144"/>
      <c r="BL1298" s="1144"/>
      <c r="BM1298" s="1144"/>
      <c r="BN1298" s="1144"/>
      <c r="BO1298" s="1144"/>
      <c r="BP1298" s="1144"/>
      <c r="BQ1298" s="1144"/>
      <c r="BR1298" s="1144"/>
      <c r="BS1298" s="1144"/>
      <c r="BT1298" s="1144"/>
      <c r="BU1298" s="1144"/>
      <c r="BV1298" s="1144"/>
      <c r="BW1298" s="1144"/>
      <c r="BX1298" s="1144"/>
      <c r="BY1298" s="1144"/>
      <c r="BZ1298" s="1144"/>
      <c r="CA1298" s="1144"/>
      <c r="CB1298" s="1144"/>
      <c r="CC1298" s="1144"/>
      <c r="CD1298" s="1144"/>
      <c r="CE1298" s="1144"/>
      <c r="CF1298" s="1144"/>
      <c r="CG1298" s="1144"/>
      <c r="CH1298" s="1144"/>
      <c r="CI1298" s="1144"/>
      <c r="CJ1298" s="1144"/>
      <c r="CK1298" s="1144"/>
      <c r="CL1298" s="1144"/>
      <c r="CM1298" s="1144"/>
      <c r="CN1298" s="1144"/>
    </row>
    <row r="1299" spans="11:92" ht="12" customHeight="1" x14ac:dyDescent="0.35">
      <c r="K1299" s="29">
        <f t="shared" si="818"/>
        <v>1</v>
      </c>
      <c r="L1299" s="1158">
        <f t="shared" si="819"/>
        <v>0</v>
      </c>
      <c r="M1299" s="34">
        <f t="shared" si="820"/>
        <v>0</v>
      </c>
      <c r="N1299" s="34">
        <f t="shared" si="821"/>
        <v>0</v>
      </c>
      <c r="O1299" s="55">
        <f t="shared" si="822"/>
        <v>0</v>
      </c>
      <c r="P1299" s="55">
        <f t="shared" si="823"/>
        <v>0</v>
      </c>
      <c r="Q1299" s="55">
        <f t="shared" si="824"/>
        <v>0</v>
      </c>
      <c r="R1299" s="31">
        <f>IF(Input!D$298=L1455,Input!D$297,0)</f>
        <v>0</v>
      </c>
      <c r="S1299" s="36">
        <f t="shared" si="817"/>
        <v>0</v>
      </c>
      <c r="T1299" s="1818"/>
      <c r="U1299" s="1814"/>
      <c r="V1299" s="1814"/>
      <c r="W1299" s="1817"/>
      <c r="X1299" s="1814"/>
      <c r="Y1299" s="1801"/>
      <c r="Z1299" s="1801"/>
      <c r="AA1299" s="1801"/>
      <c r="AB1299" s="1801"/>
      <c r="AC1299" s="1801"/>
      <c r="AD1299" s="1801"/>
      <c r="AE1299" s="1801"/>
      <c r="AF1299" s="1814"/>
      <c r="AG1299" s="376"/>
      <c r="AH1299" s="376"/>
      <c r="AI1299" s="376"/>
      <c r="AJ1299" s="376"/>
      <c r="AK1299" s="376"/>
      <c r="AL1299" s="1144"/>
      <c r="AM1299" s="1144"/>
      <c r="AN1299" s="1144"/>
      <c r="AO1299" s="1144"/>
      <c r="AP1299" s="1144"/>
      <c r="AQ1299" s="1144"/>
      <c r="AR1299" s="1144"/>
      <c r="AS1299" s="1144"/>
      <c r="AT1299" s="1144"/>
      <c r="AU1299" s="1144"/>
      <c r="AV1299" s="1144"/>
      <c r="AW1299" s="1144"/>
      <c r="AX1299" s="1144"/>
      <c r="AY1299" s="1144"/>
      <c r="AZ1299" s="1144"/>
      <c r="BA1299" s="1144"/>
      <c r="BB1299" s="1144"/>
      <c r="BC1299" s="1144"/>
      <c r="BD1299" s="1144"/>
      <c r="BE1299" s="1144"/>
      <c r="BF1299" s="1144"/>
      <c r="BG1299" s="1144"/>
      <c r="BH1299" s="1144"/>
      <c r="BI1299" s="1144"/>
      <c r="BJ1299" s="1144"/>
      <c r="BK1299" s="1144"/>
      <c r="BL1299" s="1144"/>
      <c r="BM1299" s="1144"/>
      <c r="BN1299" s="1144"/>
      <c r="BO1299" s="1144"/>
      <c r="BP1299" s="1144"/>
      <c r="BQ1299" s="1144"/>
      <c r="BR1299" s="1144"/>
      <c r="BS1299" s="1144"/>
      <c r="BT1299" s="1144"/>
      <c r="BU1299" s="1144"/>
      <c r="BV1299" s="1144"/>
      <c r="BW1299" s="1144"/>
      <c r="BX1299" s="1144"/>
      <c r="BY1299" s="1144"/>
      <c r="BZ1299" s="1144"/>
      <c r="CA1299" s="1144"/>
      <c r="CB1299" s="1144"/>
      <c r="CC1299" s="1144"/>
      <c r="CD1299" s="1144"/>
      <c r="CE1299" s="1144"/>
      <c r="CF1299" s="1144"/>
      <c r="CG1299" s="1144"/>
      <c r="CH1299" s="1144"/>
      <c r="CI1299" s="1144"/>
      <c r="CJ1299" s="1144"/>
      <c r="CK1299" s="1144"/>
      <c r="CL1299" s="1144"/>
      <c r="CM1299" s="1144"/>
      <c r="CN1299" s="1144"/>
    </row>
    <row r="1300" spans="11:92" ht="12" customHeight="1" x14ac:dyDescent="0.35">
      <c r="K1300" s="29">
        <f t="shared" si="818"/>
        <v>1</v>
      </c>
      <c r="L1300" s="1158">
        <f t="shared" si="819"/>
        <v>0</v>
      </c>
      <c r="M1300" s="34">
        <f t="shared" si="820"/>
        <v>0</v>
      </c>
      <c r="N1300" s="34">
        <f t="shared" si="821"/>
        <v>0</v>
      </c>
      <c r="O1300" s="55">
        <f t="shared" si="822"/>
        <v>0</v>
      </c>
      <c r="P1300" s="55">
        <f t="shared" si="823"/>
        <v>0</v>
      </c>
      <c r="Q1300" s="55">
        <f t="shared" si="824"/>
        <v>0</v>
      </c>
      <c r="R1300" s="31">
        <f>IF(Input!D$298=L1456,Input!D$297,0)</f>
        <v>0</v>
      </c>
      <c r="S1300" s="36">
        <f t="shared" si="817"/>
        <v>0</v>
      </c>
      <c r="T1300" s="1818"/>
      <c r="U1300" s="1814"/>
      <c r="V1300" s="1814"/>
      <c r="W1300" s="1817"/>
      <c r="X1300" s="1814"/>
      <c r="Y1300" s="1801"/>
      <c r="Z1300" s="1801"/>
      <c r="AA1300" s="1801"/>
      <c r="AB1300" s="1801"/>
      <c r="AC1300" s="1801"/>
      <c r="AD1300" s="1801"/>
      <c r="AE1300" s="1801"/>
      <c r="AF1300" s="1814"/>
      <c r="AG1300" s="376"/>
      <c r="AH1300" s="376"/>
      <c r="AI1300" s="376"/>
      <c r="AJ1300" s="376"/>
      <c r="AK1300" s="376"/>
      <c r="AL1300" s="1144"/>
      <c r="AM1300" s="1144"/>
      <c r="AN1300" s="1144"/>
      <c r="AO1300" s="1144"/>
      <c r="AP1300" s="1144"/>
      <c r="AQ1300" s="1144"/>
      <c r="AR1300" s="1144"/>
      <c r="AS1300" s="1144"/>
      <c r="AT1300" s="1144"/>
      <c r="AU1300" s="1144"/>
      <c r="AV1300" s="1144"/>
      <c r="AW1300" s="1144"/>
      <c r="AX1300" s="1144"/>
      <c r="AY1300" s="1144"/>
      <c r="AZ1300" s="1144"/>
      <c r="BA1300" s="1144"/>
      <c r="BB1300" s="1144"/>
      <c r="BC1300" s="1144"/>
      <c r="BD1300" s="1144"/>
      <c r="BE1300" s="1144"/>
      <c r="BF1300" s="1144"/>
      <c r="BG1300" s="1144"/>
      <c r="BH1300" s="1144"/>
      <c r="BI1300" s="1144"/>
      <c r="BJ1300" s="1144"/>
      <c r="BK1300" s="1144"/>
      <c r="BL1300" s="1144"/>
      <c r="BM1300" s="1144"/>
      <c r="BN1300" s="1144"/>
      <c r="BO1300" s="1144"/>
      <c r="BP1300" s="1144"/>
      <c r="BQ1300" s="1144"/>
      <c r="BR1300" s="1144"/>
      <c r="BS1300" s="1144"/>
      <c r="BT1300" s="1144"/>
      <c r="BU1300" s="1144"/>
      <c r="BV1300" s="1144"/>
      <c r="BW1300" s="1144"/>
      <c r="BX1300" s="1144"/>
      <c r="BY1300" s="1144"/>
      <c r="BZ1300" s="1144"/>
      <c r="CA1300" s="1144"/>
      <c r="CB1300" s="1144"/>
      <c r="CC1300" s="1144"/>
      <c r="CD1300" s="1144"/>
      <c r="CE1300" s="1144"/>
      <c r="CF1300" s="1144"/>
      <c r="CG1300" s="1144"/>
      <c r="CH1300" s="1144"/>
      <c r="CI1300" s="1144"/>
      <c r="CJ1300" s="1144"/>
      <c r="CK1300" s="1144"/>
      <c r="CL1300" s="1144"/>
      <c r="CM1300" s="1144"/>
      <c r="CN1300" s="1144"/>
    </row>
    <row r="1301" spans="11:92" ht="12" customHeight="1" x14ac:dyDescent="0.35">
      <c r="K1301" s="29">
        <f t="shared" si="818"/>
        <v>1</v>
      </c>
      <c r="L1301" s="1158">
        <f t="shared" si="819"/>
        <v>0</v>
      </c>
      <c r="M1301" s="34">
        <f t="shared" si="820"/>
        <v>0</v>
      </c>
      <c r="N1301" s="34">
        <f t="shared" si="821"/>
        <v>0</v>
      </c>
      <c r="O1301" s="55">
        <f t="shared" si="822"/>
        <v>0</v>
      </c>
      <c r="P1301" s="55">
        <f t="shared" si="823"/>
        <v>0</v>
      </c>
      <c r="Q1301" s="55">
        <f t="shared" si="824"/>
        <v>0</v>
      </c>
      <c r="R1301" s="31">
        <f>IF(Input!D$298=L1457,Input!D$297,0)</f>
        <v>0</v>
      </c>
      <c r="S1301" s="36">
        <f t="shared" si="817"/>
        <v>0</v>
      </c>
      <c r="T1301" s="1818"/>
      <c r="U1301" s="1814"/>
      <c r="V1301" s="1814"/>
      <c r="W1301" s="1817"/>
      <c r="X1301" s="1814"/>
      <c r="Y1301" s="1801"/>
      <c r="Z1301" s="1801"/>
      <c r="AA1301" s="1801"/>
      <c r="AB1301" s="1801"/>
      <c r="AC1301" s="1801"/>
      <c r="AD1301" s="1801"/>
      <c r="AE1301" s="1801"/>
      <c r="AF1301" s="1814"/>
      <c r="AG1301" s="376"/>
      <c r="AH1301" s="376"/>
      <c r="AI1301" s="376"/>
      <c r="AJ1301" s="376"/>
      <c r="AK1301" s="376"/>
      <c r="AL1301" s="1144"/>
      <c r="AM1301" s="1144"/>
      <c r="AN1301" s="1144"/>
      <c r="AO1301" s="1144"/>
      <c r="AP1301" s="1144"/>
      <c r="AQ1301" s="1144"/>
      <c r="AR1301" s="1144"/>
      <c r="AS1301" s="1144"/>
      <c r="AT1301" s="1144"/>
      <c r="AU1301" s="1144"/>
      <c r="AV1301" s="1144"/>
      <c r="AW1301" s="1144"/>
      <c r="AX1301" s="1144"/>
      <c r="AY1301" s="1144"/>
      <c r="AZ1301" s="1144"/>
      <c r="BA1301" s="1144"/>
      <c r="BB1301" s="1144"/>
      <c r="BC1301" s="1144"/>
      <c r="BD1301" s="1144"/>
      <c r="BE1301" s="1144"/>
      <c r="BF1301" s="1144"/>
      <c r="BG1301" s="1144"/>
      <c r="BH1301" s="1144"/>
      <c r="BI1301" s="1144"/>
      <c r="BJ1301" s="1144"/>
      <c r="BK1301" s="1144"/>
      <c r="BL1301" s="1144"/>
      <c r="BM1301" s="1144"/>
      <c r="BN1301" s="1144"/>
      <c r="BO1301" s="1144"/>
      <c r="BP1301" s="1144"/>
      <c r="BQ1301" s="1144"/>
      <c r="BR1301" s="1144"/>
      <c r="BS1301" s="1144"/>
      <c r="BT1301" s="1144"/>
      <c r="BU1301" s="1144"/>
      <c r="BV1301" s="1144"/>
      <c r="BW1301" s="1144"/>
      <c r="BX1301" s="1144"/>
      <c r="BY1301" s="1144"/>
      <c r="BZ1301" s="1144"/>
      <c r="CA1301" s="1144"/>
      <c r="CB1301" s="1144"/>
      <c r="CC1301" s="1144"/>
      <c r="CD1301" s="1144"/>
      <c r="CE1301" s="1144"/>
      <c r="CF1301" s="1144"/>
      <c r="CG1301" s="1144"/>
      <c r="CH1301" s="1144"/>
      <c r="CI1301" s="1144"/>
      <c r="CJ1301" s="1144"/>
      <c r="CK1301" s="1144"/>
      <c r="CL1301" s="1144"/>
      <c r="CM1301" s="1144"/>
      <c r="CN1301" s="1144"/>
    </row>
    <row r="1302" spans="11:92" ht="12" customHeight="1" x14ac:dyDescent="0.35">
      <c r="K1302" s="29">
        <f t="shared" si="818"/>
        <v>1</v>
      </c>
      <c r="L1302" s="1158">
        <f t="shared" si="819"/>
        <v>0</v>
      </c>
      <c r="M1302" s="34">
        <f t="shared" si="820"/>
        <v>0</v>
      </c>
      <c r="N1302" s="34">
        <f t="shared" si="821"/>
        <v>0</v>
      </c>
      <c r="O1302" s="55">
        <f t="shared" si="822"/>
        <v>0</v>
      </c>
      <c r="P1302" s="55">
        <f t="shared" si="823"/>
        <v>0</v>
      </c>
      <c r="Q1302" s="55">
        <f t="shared" si="824"/>
        <v>0</v>
      </c>
      <c r="R1302" s="31">
        <f>IF(Input!D$298=L1458,Input!D$297,0)</f>
        <v>0</v>
      </c>
      <c r="S1302" s="36">
        <f t="shared" si="817"/>
        <v>0</v>
      </c>
      <c r="T1302" s="1818"/>
      <c r="U1302" s="1814"/>
      <c r="V1302" s="1814"/>
      <c r="W1302" s="1817"/>
      <c r="X1302" s="1814"/>
      <c r="Y1302" s="1801"/>
      <c r="Z1302" s="1801"/>
      <c r="AA1302" s="1801"/>
      <c r="AB1302" s="1801"/>
      <c r="AC1302" s="1801"/>
      <c r="AD1302" s="1801"/>
      <c r="AE1302" s="1801"/>
      <c r="AF1302" s="1814"/>
      <c r="AG1302" s="376"/>
      <c r="AH1302" s="376"/>
      <c r="AI1302" s="376"/>
      <c r="AJ1302" s="376"/>
      <c r="AK1302" s="376"/>
      <c r="AL1302" s="1144"/>
      <c r="AM1302" s="1144"/>
      <c r="AN1302" s="1144"/>
      <c r="AO1302" s="1144"/>
      <c r="AP1302" s="1144"/>
      <c r="AQ1302" s="1144"/>
      <c r="AR1302" s="1144"/>
      <c r="AS1302" s="1144"/>
      <c r="AT1302" s="1144"/>
      <c r="AU1302" s="1144"/>
      <c r="AV1302" s="1144"/>
      <c r="AW1302" s="1144"/>
      <c r="AX1302" s="1144"/>
      <c r="AY1302" s="1144"/>
      <c r="AZ1302" s="1144"/>
      <c r="BA1302" s="1144"/>
      <c r="BB1302" s="1144"/>
      <c r="BC1302" s="1144"/>
      <c r="BD1302" s="1144"/>
      <c r="BE1302" s="1144"/>
      <c r="BF1302" s="1144"/>
      <c r="BG1302" s="1144"/>
      <c r="BH1302" s="1144"/>
      <c r="BI1302" s="1144"/>
      <c r="BJ1302" s="1144"/>
      <c r="BK1302" s="1144"/>
      <c r="BL1302" s="1144"/>
      <c r="BM1302" s="1144"/>
      <c r="BN1302" s="1144"/>
      <c r="BO1302" s="1144"/>
      <c r="BP1302" s="1144"/>
      <c r="BQ1302" s="1144"/>
      <c r="BR1302" s="1144"/>
      <c r="BS1302" s="1144"/>
      <c r="BT1302" s="1144"/>
      <c r="BU1302" s="1144"/>
      <c r="BV1302" s="1144"/>
      <c r="BW1302" s="1144"/>
      <c r="BX1302" s="1144"/>
      <c r="BY1302" s="1144"/>
      <c r="BZ1302" s="1144"/>
      <c r="CA1302" s="1144"/>
      <c r="CB1302" s="1144"/>
      <c r="CC1302" s="1144"/>
      <c r="CD1302" s="1144"/>
      <c r="CE1302" s="1144"/>
      <c r="CF1302" s="1144"/>
      <c r="CG1302" s="1144"/>
      <c r="CH1302" s="1144"/>
      <c r="CI1302" s="1144"/>
      <c r="CJ1302" s="1144"/>
      <c r="CK1302" s="1144"/>
      <c r="CL1302" s="1144"/>
      <c r="CM1302" s="1144"/>
      <c r="CN1302" s="1144"/>
    </row>
    <row r="1303" spans="11:92" ht="12" customHeight="1" x14ac:dyDescent="0.35">
      <c r="K1303" s="29">
        <f t="shared" si="818"/>
        <v>1</v>
      </c>
      <c r="L1303" s="1158">
        <f t="shared" si="819"/>
        <v>0</v>
      </c>
      <c r="M1303" s="34">
        <f t="shared" si="820"/>
        <v>0</v>
      </c>
      <c r="N1303" s="34">
        <f t="shared" si="821"/>
        <v>0</v>
      </c>
      <c r="O1303" s="55">
        <f t="shared" si="822"/>
        <v>0</v>
      </c>
      <c r="P1303" s="55">
        <f t="shared" si="823"/>
        <v>0</v>
      </c>
      <c r="Q1303" s="55">
        <f t="shared" si="824"/>
        <v>0</v>
      </c>
      <c r="R1303" s="31">
        <f>IF(Input!D$298=L1459,Input!D$297,0)</f>
        <v>0</v>
      </c>
      <c r="S1303" s="36">
        <f t="shared" si="817"/>
        <v>0</v>
      </c>
      <c r="T1303" s="1818"/>
      <c r="U1303" s="1814"/>
      <c r="V1303" s="1814"/>
      <c r="W1303" s="1817"/>
      <c r="X1303" s="1814"/>
      <c r="Y1303" s="1801"/>
      <c r="Z1303" s="1801"/>
      <c r="AA1303" s="1801"/>
      <c r="AB1303" s="1801"/>
      <c r="AC1303" s="1801"/>
      <c r="AD1303" s="1801"/>
      <c r="AE1303" s="1801"/>
      <c r="AF1303" s="1814"/>
      <c r="AG1303" s="376"/>
      <c r="AH1303" s="376"/>
      <c r="AI1303" s="376"/>
      <c r="AJ1303" s="376"/>
      <c r="AK1303" s="376"/>
      <c r="AL1303" s="1144"/>
      <c r="AM1303" s="1144"/>
      <c r="AN1303" s="1144"/>
      <c r="AO1303" s="1144"/>
      <c r="AP1303" s="1144"/>
      <c r="AQ1303" s="1144"/>
      <c r="AR1303" s="1144"/>
      <c r="AS1303" s="1144"/>
      <c r="AT1303" s="1144"/>
      <c r="AU1303" s="1144"/>
      <c r="AV1303" s="1144"/>
      <c r="AW1303" s="1144"/>
      <c r="AX1303" s="1144"/>
      <c r="AY1303" s="1144"/>
      <c r="AZ1303" s="1144"/>
      <c r="BA1303" s="1144"/>
      <c r="BB1303" s="1144"/>
      <c r="BC1303" s="1144"/>
      <c r="BD1303" s="1144"/>
      <c r="BE1303" s="1144"/>
      <c r="BF1303" s="1144"/>
      <c r="BG1303" s="1144"/>
      <c r="BH1303" s="1144"/>
      <c r="BI1303" s="1144"/>
      <c r="BJ1303" s="1144"/>
      <c r="BK1303" s="1144"/>
      <c r="BL1303" s="1144"/>
      <c r="BM1303" s="1144"/>
      <c r="BN1303" s="1144"/>
      <c r="BO1303" s="1144"/>
      <c r="BP1303" s="1144"/>
      <c r="BQ1303" s="1144"/>
      <c r="BR1303" s="1144"/>
      <c r="BS1303" s="1144"/>
      <c r="BT1303" s="1144"/>
      <c r="BU1303" s="1144"/>
      <c r="BV1303" s="1144"/>
      <c r="BW1303" s="1144"/>
      <c r="BX1303" s="1144"/>
      <c r="BY1303" s="1144"/>
      <c r="BZ1303" s="1144"/>
      <c r="CA1303" s="1144"/>
      <c r="CB1303" s="1144"/>
      <c r="CC1303" s="1144"/>
      <c r="CD1303" s="1144"/>
      <c r="CE1303" s="1144"/>
      <c r="CF1303" s="1144"/>
      <c r="CG1303" s="1144"/>
      <c r="CH1303" s="1144"/>
      <c r="CI1303" s="1144"/>
      <c r="CJ1303" s="1144"/>
      <c r="CK1303" s="1144"/>
      <c r="CL1303" s="1144"/>
      <c r="CM1303" s="1144"/>
      <c r="CN1303" s="1144"/>
    </row>
    <row r="1304" spans="11:92" ht="12" customHeight="1" x14ac:dyDescent="0.35">
      <c r="K1304" s="29">
        <f t="shared" si="818"/>
        <v>1</v>
      </c>
      <c r="L1304" s="1158">
        <f t="shared" si="819"/>
        <v>0</v>
      </c>
      <c r="M1304" s="34">
        <f t="shared" si="820"/>
        <v>0</v>
      </c>
      <c r="N1304" s="34">
        <f t="shared" si="821"/>
        <v>0</v>
      </c>
      <c r="O1304" s="55">
        <f t="shared" si="822"/>
        <v>0</v>
      </c>
      <c r="P1304" s="55">
        <f t="shared" si="823"/>
        <v>0</v>
      </c>
      <c r="Q1304" s="55">
        <f t="shared" si="824"/>
        <v>0</v>
      </c>
      <c r="R1304" s="31">
        <f>IF(Input!D$298=L1460,Input!D$297,0)</f>
        <v>0</v>
      </c>
      <c r="S1304" s="36">
        <f t="shared" si="817"/>
        <v>0</v>
      </c>
      <c r="T1304" s="1818"/>
      <c r="U1304" s="1814"/>
      <c r="V1304" s="1814"/>
      <c r="W1304" s="1817"/>
      <c r="X1304" s="1814"/>
      <c r="Y1304" s="1801"/>
      <c r="Z1304" s="1801"/>
      <c r="AA1304" s="1801"/>
      <c r="AB1304" s="1801"/>
      <c r="AC1304" s="1801"/>
      <c r="AD1304" s="1801"/>
      <c r="AE1304" s="1801"/>
      <c r="AF1304" s="1814"/>
      <c r="AG1304" s="376"/>
      <c r="AH1304" s="376"/>
      <c r="AI1304" s="376"/>
      <c r="AJ1304" s="376"/>
      <c r="AK1304" s="376"/>
      <c r="AL1304" s="1144"/>
      <c r="AM1304" s="1144"/>
      <c r="AN1304" s="1144"/>
      <c r="AO1304" s="1144"/>
      <c r="AP1304" s="1144"/>
      <c r="AQ1304" s="1144"/>
      <c r="AR1304" s="1144"/>
      <c r="AS1304" s="1144"/>
      <c r="AT1304" s="1144"/>
      <c r="AU1304" s="1144"/>
      <c r="AV1304" s="1144"/>
      <c r="AW1304" s="1144"/>
      <c r="AX1304" s="1144"/>
      <c r="AY1304" s="1144"/>
      <c r="AZ1304" s="1144"/>
      <c r="BA1304" s="1144"/>
      <c r="BB1304" s="1144"/>
      <c r="BC1304" s="1144"/>
      <c r="BD1304" s="1144"/>
      <c r="BE1304" s="1144"/>
      <c r="BF1304" s="1144"/>
      <c r="BG1304" s="1144"/>
      <c r="BH1304" s="1144"/>
      <c r="BI1304" s="1144"/>
      <c r="BJ1304" s="1144"/>
      <c r="BK1304" s="1144"/>
      <c r="BL1304" s="1144"/>
      <c r="BM1304" s="1144"/>
      <c r="BN1304" s="1144"/>
      <c r="BO1304" s="1144"/>
      <c r="BP1304" s="1144"/>
      <c r="BQ1304" s="1144"/>
      <c r="BR1304" s="1144"/>
      <c r="BS1304" s="1144"/>
      <c r="BT1304" s="1144"/>
      <c r="BU1304" s="1144"/>
      <c r="BV1304" s="1144"/>
      <c r="BW1304" s="1144"/>
      <c r="BX1304" s="1144"/>
      <c r="BY1304" s="1144"/>
      <c r="BZ1304" s="1144"/>
      <c r="CA1304" s="1144"/>
      <c r="CB1304" s="1144"/>
      <c r="CC1304" s="1144"/>
      <c r="CD1304" s="1144"/>
      <c r="CE1304" s="1144"/>
      <c r="CF1304" s="1144"/>
      <c r="CG1304" s="1144"/>
      <c r="CH1304" s="1144"/>
      <c r="CI1304" s="1144"/>
      <c r="CJ1304" s="1144"/>
      <c r="CK1304" s="1144"/>
      <c r="CL1304" s="1144"/>
      <c r="CM1304" s="1144"/>
      <c r="CN1304" s="1144"/>
    </row>
    <row r="1305" spans="11:92" ht="12" customHeight="1" x14ac:dyDescent="0.35">
      <c r="K1305" s="29">
        <f t="shared" si="818"/>
        <v>1</v>
      </c>
      <c r="L1305" s="1158">
        <f t="shared" si="819"/>
        <v>0</v>
      </c>
      <c r="M1305" s="34">
        <f t="shared" si="820"/>
        <v>0</v>
      </c>
      <c r="N1305" s="34">
        <f t="shared" si="821"/>
        <v>0</v>
      </c>
      <c r="O1305" s="55">
        <f t="shared" si="822"/>
        <v>0</v>
      </c>
      <c r="P1305" s="55">
        <f t="shared" si="823"/>
        <v>0</v>
      </c>
      <c r="Q1305" s="55">
        <f t="shared" si="824"/>
        <v>0</v>
      </c>
      <c r="R1305" s="31">
        <f>IF(Input!D$298=L1461,Input!D$297,0)</f>
        <v>0</v>
      </c>
      <c r="S1305" s="36">
        <f t="shared" si="817"/>
        <v>0</v>
      </c>
      <c r="T1305" s="1818"/>
      <c r="U1305" s="1814"/>
      <c r="V1305" s="1814"/>
      <c r="W1305" s="1817"/>
      <c r="X1305" s="1814"/>
      <c r="Y1305" s="1801"/>
      <c r="Z1305" s="1801"/>
      <c r="AA1305" s="1801"/>
      <c r="AB1305" s="1801"/>
      <c r="AC1305" s="1801"/>
      <c r="AD1305" s="1801"/>
      <c r="AE1305" s="1801"/>
      <c r="AF1305" s="1814"/>
      <c r="AG1305" s="376"/>
      <c r="AH1305" s="376"/>
      <c r="AI1305" s="376"/>
      <c r="AJ1305" s="376"/>
      <c r="AK1305" s="376"/>
      <c r="AL1305" s="1144"/>
      <c r="AM1305" s="1144"/>
      <c r="AN1305" s="1144"/>
      <c r="AO1305" s="1144"/>
      <c r="AP1305" s="1144"/>
      <c r="AQ1305" s="1144"/>
      <c r="AR1305" s="1144"/>
      <c r="AS1305" s="1144"/>
      <c r="AT1305" s="1144"/>
      <c r="AU1305" s="1144"/>
      <c r="AV1305" s="1144"/>
      <c r="AW1305" s="1144"/>
      <c r="AX1305" s="1144"/>
      <c r="AY1305" s="1144"/>
      <c r="AZ1305" s="1144"/>
      <c r="BA1305" s="1144"/>
      <c r="BB1305" s="1144"/>
      <c r="BC1305" s="1144"/>
      <c r="BD1305" s="1144"/>
      <c r="BE1305" s="1144"/>
      <c r="BF1305" s="1144"/>
      <c r="BG1305" s="1144"/>
      <c r="BH1305" s="1144"/>
      <c r="BI1305" s="1144"/>
      <c r="BJ1305" s="1144"/>
      <c r="BK1305" s="1144"/>
      <c r="BL1305" s="1144"/>
      <c r="BM1305" s="1144"/>
      <c r="BN1305" s="1144"/>
      <c r="BO1305" s="1144"/>
      <c r="BP1305" s="1144"/>
      <c r="BQ1305" s="1144"/>
      <c r="BR1305" s="1144"/>
      <c r="BS1305" s="1144"/>
      <c r="BT1305" s="1144"/>
      <c r="BU1305" s="1144"/>
      <c r="BV1305" s="1144"/>
      <c r="BW1305" s="1144"/>
      <c r="BX1305" s="1144"/>
      <c r="BY1305" s="1144"/>
      <c r="BZ1305" s="1144"/>
      <c r="CA1305" s="1144"/>
      <c r="CB1305" s="1144"/>
      <c r="CC1305" s="1144"/>
      <c r="CD1305" s="1144"/>
      <c r="CE1305" s="1144"/>
      <c r="CF1305" s="1144"/>
      <c r="CG1305" s="1144"/>
      <c r="CH1305" s="1144"/>
      <c r="CI1305" s="1144"/>
      <c r="CJ1305" s="1144"/>
      <c r="CK1305" s="1144"/>
      <c r="CL1305" s="1144"/>
      <c r="CM1305" s="1144"/>
      <c r="CN1305" s="1144"/>
    </row>
    <row r="1306" spans="11:92" ht="12" customHeight="1" x14ac:dyDescent="0.35">
      <c r="K1306" s="29">
        <f t="shared" si="818"/>
        <v>1</v>
      </c>
      <c r="L1306" s="1158">
        <f t="shared" si="819"/>
        <v>0</v>
      </c>
      <c r="M1306" s="34">
        <f t="shared" si="820"/>
        <v>0</v>
      </c>
      <c r="N1306" s="34">
        <f t="shared" si="821"/>
        <v>0</v>
      </c>
      <c r="O1306" s="55">
        <f t="shared" si="822"/>
        <v>0</v>
      </c>
      <c r="P1306" s="55">
        <f t="shared" si="823"/>
        <v>0</v>
      </c>
      <c r="Q1306" s="55">
        <f t="shared" si="824"/>
        <v>0</v>
      </c>
      <c r="R1306" s="31">
        <f>IF(Input!D$298=L1462,Input!D$297,0)</f>
        <v>0</v>
      </c>
      <c r="S1306" s="36">
        <f t="shared" ref="S1306:S1309" si="825">Q1462</f>
        <v>0</v>
      </c>
      <c r="T1306" s="1818"/>
      <c r="U1306" s="1814"/>
      <c r="V1306" s="1814"/>
      <c r="W1306" s="1817"/>
      <c r="X1306" s="1814"/>
      <c r="Y1306" s="1801"/>
      <c r="Z1306" s="1801"/>
      <c r="AA1306" s="1801"/>
      <c r="AB1306" s="1801"/>
      <c r="AC1306" s="1801"/>
      <c r="AD1306" s="1801"/>
      <c r="AE1306" s="1801"/>
      <c r="AF1306" s="1814"/>
      <c r="AG1306" s="376"/>
      <c r="AH1306" s="376"/>
      <c r="AI1306" s="376"/>
      <c r="AJ1306" s="376"/>
      <c r="AK1306" s="376"/>
      <c r="AL1306" s="1144"/>
      <c r="AM1306" s="1144"/>
      <c r="AN1306" s="1144"/>
      <c r="AO1306" s="1144"/>
      <c r="AP1306" s="1144"/>
      <c r="AQ1306" s="1144"/>
      <c r="AR1306" s="1144"/>
      <c r="AS1306" s="1144"/>
      <c r="AT1306" s="1144"/>
      <c r="AU1306" s="1144"/>
      <c r="AV1306" s="1144"/>
      <c r="AW1306" s="1144"/>
      <c r="AX1306" s="1144"/>
      <c r="AY1306" s="1144"/>
      <c r="AZ1306" s="1144"/>
      <c r="BA1306" s="1144"/>
      <c r="BB1306" s="1144"/>
      <c r="BC1306" s="1144"/>
      <c r="BD1306" s="1144"/>
      <c r="BE1306" s="1144"/>
      <c r="BF1306" s="1144"/>
      <c r="BG1306" s="1144"/>
      <c r="BH1306" s="1144"/>
      <c r="BI1306" s="1144"/>
      <c r="BJ1306" s="1144"/>
      <c r="BK1306" s="1144"/>
      <c r="BL1306" s="1144"/>
      <c r="BM1306" s="1144"/>
      <c r="BN1306" s="1144"/>
      <c r="BO1306" s="1144"/>
      <c r="BP1306" s="1144"/>
      <c r="BQ1306" s="1144"/>
      <c r="BR1306" s="1144"/>
      <c r="BS1306" s="1144"/>
      <c r="BT1306" s="1144"/>
      <c r="BU1306" s="1144"/>
      <c r="BV1306" s="1144"/>
      <c r="BW1306" s="1144"/>
      <c r="BX1306" s="1144"/>
      <c r="BY1306" s="1144"/>
      <c r="BZ1306" s="1144"/>
      <c r="CA1306" s="1144"/>
      <c r="CB1306" s="1144"/>
      <c r="CC1306" s="1144"/>
      <c r="CD1306" s="1144"/>
      <c r="CE1306" s="1144"/>
      <c r="CF1306" s="1144"/>
      <c r="CG1306" s="1144"/>
      <c r="CH1306" s="1144"/>
      <c r="CI1306" s="1144"/>
      <c r="CJ1306" s="1144"/>
      <c r="CK1306" s="1144"/>
      <c r="CL1306" s="1144"/>
      <c r="CM1306" s="1144"/>
      <c r="CN1306" s="1144"/>
    </row>
    <row r="1307" spans="11:92" ht="12" customHeight="1" x14ac:dyDescent="0.35">
      <c r="K1307" s="29">
        <f t="shared" si="818"/>
        <v>1</v>
      </c>
      <c r="L1307" s="1158">
        <f t="shared" si="819"/>
        <v>0</v>
      </c>
      <c r="M1307" s="34">
        <f t="shared" si="820"/>
        <v>0</v>
      </c>
      <c r="N1307" s="34">
        <f t="shared" si="821"/>
        <v>0</v>
      </c>
      <c r="O1307" s="55">
        <f t="shared" si="822"/>
        <v>0</v>
      </c>
      <c r="P1307" s="55">
        <f t="shared" si="823"/>
        <v>0</v>
      </c>
      <c r="Q1307" s="55">
        <f t="shared" si="824"/>
        <v>0</v>
      </c>
      <c r="R1307" s="31">
        <f>IF(Input!D$298=L1463,Input!D$297,0)</f>
        <v>0</v>
      </c>
      <c r="S1307" s="36">
        <f t="shared" si="825"/>
        <v>0</v>
      </c>
      <c r="T1307" s="1818"/>
      <c r="U1307" s="1814"/>
      <c r="V1307" s="1814"/>
      <c r="W1307" s="1817"/>
      <c r="X1307" s="1814"/>
      <c r="Y1307" s="1801"/>
      <c r="Z1307" s="1801"/>
      <c r="AA1307" s="1801"/>
      <c r="AB1307" s="1801"/>
      <c r="AC1307" s="1801"/>
      <c r="AD1307" s="1801"/>
      <c r="AE1307" s="1801"/>
      <c r="AF1307" s="1814"/>
      <c r="AG1307" s="376"/>
      <c r="AH1307" s="376"/>
      <c r="AI1307" s="376"/>
      <c r="AJ1307" s="376"/>
      <c r="AK1307" s="376"/>
      <c r="AL1307" s="1144"/>
      <c r="AM1307" s="1144"/>
      <c r="AN1307" s="1144"/>
      <c r="AO1307" s="1144"/>
      <c r="AP1307" s="1144"/>
      <c r="AQ1307" s="1144"/>
      <c r="AR1307" s="1144"/>
      <c r="AS1307" s="1144"/>
      <c r="AT1307" s="1144"/>
      <c r="AU1307" s="1144"/>
      <c r="AV1307" s="1144"/>
      <c r="AW1307" s="1144"/>
      <c r="AX1307" s="1144"/>
      <c r="AY1307" s="1144"/>
      <c r="AZ1307" s="1144"/>
      <c r="BA1307" s="1144"/>
      <c r="BB1307" s="1144"/>
      <c r="BC1307" s="1144"/>
      <c r="BD1307" s="1144"/>
      <c r="BE1307" s="1144"/>
      <c r="BF1307" s="1144"/>
      <c r="BG1307" s="1144"/>
      <c r="BH1307" s="1144"/>
      <c r="BI1307" s="1144"/>
      <c r="BJ1307" s="1144"/>
      <c r="BK1307" s="1144"/>
      <c r="BL1307" s="1144"/>
      <c r="BM1307" s="1144"/>
      <c r="BN1307" s="1144"/>
      <c r="BO1307" s="1144"/>
      <c r="BP1307" s="1144"/>
      <c r="BQ1307" s="1144"/>
      <c r="BR1307" s="1144"/>
      <c r="BS1307" s="1144"/>
      <c r="BT1307" s="1144"/>
      <c r="BU1307" s="1144"/>
      <c r="BV1307" s="1144"/>
      <c r="BW1307" s="1144"/>
      <c r="BX1307" s="1144"/>
      <c r="BY1307" s="1144"/>
      <c r="BZ1307" s="1144"/>
      <c r="CA1307" s="1144"/>
      <c r="CB1307" s="1144"/>
      <c r="CC1307" s="1144"/>
      <c r="CD1307" s="1144"/>
      <c r="CE1307" s="1144"/>
      <c r="CF1307" s="1144"/>
      <c r="CG1307" s="1144"/>
      <c r="CH1307" s="1144"/>
      <c r="CI1307" s="1144"/>
      <c r="CJ1307" s="1144"/>
      <c r="CK1307" s="1144"/>
      <c r="CL1307" s="1144"/>
      <c r="CM1307" s="1144"/>
      <c r="CN1307" s="1144"/>
    </row>
    <row r="1308" spans="11:92" ht="12" customHeight="1" x14ac:dyDescent="0.35">
      <c r="K1308" s="29">
        <f t="shared" si="818"/>
        <v>1</v>
      </c>
      <c r="L1308" s="1158">
        <f t="shared" si="819"/>
        <v>0</v>
      </c>
      <c r="M1308" s="34">
        <f t="shared" si="820"/>
        <v>0</v>
      </c>
      <c r="N1308" s="34">
        <f t="shared" si="821"/>
        <v>0</v>
      </c>
      <c r="O1308" s="55">
        <f t="shared" si="822"/>
        <v>0</v>
      </c>
      <c r="P1308" s="55">
        <f t="shared" si="823"/>
        <v>0</v>
      </c>
      <c r="Q1308" s="55">
        <f t="shared" si="824"/>
        <v>0</v>
      </c>
      <c r="R1308" s="31">
        <f>IF(Input!D$298=L1464,Input!D$297,0)</f>
        <v>0</v>
      </c>
      <c r="S1308" s="36">
        <f t="shared" si="825"/>
        <v>0</v>
      </c>
      <c r="T1308" s="1818"/>
      <c r="U1308" s="1814"/>
      <c r="V1308" s="1814"/>
      <c r="W1308" s="1817"/>
      <c r="X1308" s="1814"/>
      <c r="Y1308" s="1801"/>
      <c r="Z1308" s="1801"/>
      <c r="AA1308" s="1801"/>
      <c r="AB1308" s="1801"/>
      <c r="AC1308" s="1801"/>
      <c r="AD1308" s="1801"/>
      <c r="AE1308" s="1801"/>
      <c r="AF1308" s="1814"/>
      <c r="AG1308" s="376"/>
      <c r="AH1308" s="376"/>
      <c r="AI1308" s="376"/>
      <c r="AJ1308" s="376"/>
      <c r="AK1308" s="376"/>
      <c r="AL1308" s="1144"/>
      <c r="AM1308" s="1144"/>
      <c r="AN1308" s="1144"/>
      <c r="AO1308" s="1144"/>
      <c r="AP1308" s="1144"/>
      <c r="AQ1308" s="1144"/>
      <c r="AR1308" s="1144"/>
      <c r="AS1308" s="1144"/>
      <c r="AT1308" s="1144"/>
      <c r="AU1308" s="1144"/>
      <c r="AV1308" s="1144"/>
      <c r="AW1308" s="1144"/>
      <c r="AX1308" s="1144"/>
      <c r="AY1308" s="1144"/>
      <c r="AZ1308" s="1144"/>
      <c r="BA1308" s="1144"/>
      <c r="BB1308" s="1144"/>
      <c r="BC1308" s="1144"/>
      <c r="BD1308" s="1144"/>
      <c r="BE1308" s="1144"/>
      <c r="BF1308" s="1144"/>
      <c r="BG1308" s="1144"/>
      <c r="BH1308" s="1144"/>
      <c r="BI1308" s="1144"/>
      <c r="BJ1308" s="1144"/>
      <c r="BK1308" s="1144"/>
      <c r="BL1308" s="1144"/>
      <c r="BM1308" s="1144"/>
      <c r="BN1308" s="1144"/>
      <c r="BO1308" s="1144"/>
      <c r="BP1308" s="1144"/>
      <c r="BQ1308" s="1144"/>
      <c r="BR1308" s="1144"/>
      <c r="BS1308" s="1144"/>
      <c r="BT1308" s="1144"/>
      <c r="BU1308" s="1144"/>
      <c r="BV1308" s="1144"/>
      <c r="BW1308" s="1144"/>
      <c r="BX1308" s="1144"/>
      <c r="BY1308" s="1144"/>
      <c r="BZ1308" s="1144"/>
      <c r="CA1308" s="1144"/>
      <c r="CB1308" s="1144"/>
      <c r="CC1308" s="1144"/>
      <c r="CD1308" s="1144"/>
      <c r="CE1308" s="1144"/>
      <c r="CF1308" s="1144"/>
      <c r="CG1308" s="1144"/>
      <c r="CH1308" s="1144"/>
      <c r="CI1308" s="1144"/>
      <c r="CJ1308" s="1144"/>
      <c r="CK1308" s="1144"/>
      <c r="CL1308" s="1144"/>
      <c r="CM1308" s="1144"/>
      <c r="CN1308" s="1144"/>
    </row>
    <row r="1309" spans="11:92" ht="12" customHeight="1" x14ac:dyDescent="0.35">
      <c r="K1309" s="29">
        <f t="shared" si="818"/>
        <v>1</v>
      </c>
      <c r="L1309" s="1158">
        <f t="shared" si="819"/>
        <v>0</v>
      </c>
      <c r="M1309" s="34">
        <f t="shared" si="820"/>
        <v>0</v>
      </c>
      <c r="N1309" s="34">
        <f t="shared" si="821"/>
        <v>0</v>
      </c>
      <c r="O1309" s="55">
        <f t="shared" si="822"/>
        <v>0</v>
      </c>
      <c r="P1309" s="55">
        <f t="shared" si="823"/>
        <v>0</v>
      </c>
      <c r="Q1309" s="55">
        <f t="shared" si="824"/>
        <v>0</v>
      </c>
      <c r="R1309" s="31">
        <f>IF(Input!D$298=L1465,Input!D$297,0)</f>
        <v>0</v>
      </c>
      <c r="S1309" s="36">
        <f t="shared" si="825"/>
        <v>0</v>
      </c>
      <c r="T1309" s="1818"/>
      <c r="U1309" s="1814"/>
      <c r="V1309" s="1814"/>
      <c r="W1309" s="1817"/>
      <c r="X1309" s="1814"/>
      <c r="Y1309" s="1801"/>
      <c r="Z1309" s="1801"/>
      <c r="AA1309" s="1801"/>
      <c r="AB1309" s="1801"/>
      <c r="AC1309" s="1801"/>
      <c r="AD1309" s="1801"/>
      <c r="AE1309" s="1801"/>
      <c r="AF1309" s="1814"/>
      <c r="AG1309" s="376"/>
      <c r="AH1309" s="376"/>
      <c r="AI1309" s="376"/>
      <c r="AJ1309" s="376"/>
      <c r="AK1309" s="376"/>
      <c r="AL1309" s="1144"/>
      <c r="AM1309" s="1144"/>
      <c r="AN1309" s="1144"/>
      <c r="AO1309" s="1144"/>
      <c r="AP1309" s="1144"/>
      <c r="AQ1309" s="1144"/>
      <c r="AR1309" s="1144"/>
      <c r="AS1309" s="1144"/>
      <c r="AT1309" s="1144"/>
      <c r="AU1309" s="1144"/>
      <c r="AV1309" s="1144"/>
      <c r="AW1309" s="1144"/>
      <c r="AX1309" s="1144"/>
      <c r="AY1309" s="1144"/>
      <c r="AZ1309" s="1144"/>
      <c r="BA1309" s="1144"/>
      <c r="BB1309" s="1144"/>
      <c r="BC1309" s="1144"/>
      <c r="BD1309" s="1144"/>
      <c r="BE1309" s="1144"/>
      <c r="BF1309" s="1144"/>
      <c r="BG1309" s="1144"/>
      <c r="BH1309" s="1144"/>
      <c r="BI1309" s="1144"/>
      <c r="BJ1309" s="1144"/>
      <c r="BK1309" s="1144"/>
      <c r="BL1309" s="1144"/>
      <c r="BM1309" s="1144"/>
      <c r="BN1309" s="1144"/>
      <c r="BO1309" s="1144"/>
      <c r="BP1309" s="1144"/>
      <c r="BQ1309" s="1144"/>
      <c r="BR1309" s="1144"/>
      <c r="BS1309" s="1144"/>
      <c r="BT1309" s="1144"/>
      <c r="BU1309" s="1144"/>
      <c r="BV1309" s="1144"/>
      <c r="BW1309" s="1144"/>
      <c r="BX1309" s="1144"/>
      <c r="BY1309" s="1144"/>
      <c r="BZ1309" s="1144"/>
      <c r="CA1309" s="1144"/>
      <c r="CB1309" s="1144"/>
      <c r="CC1309" s="1144"/>
      <c r="CD1309" s="1144"/>
      <c r="CE1309" s="1144"/>
      <c r="CF1309" s="1144"/>
      <c r="CG1309" s="1144"/>
      <c r="CH1309" s="1144"/>
      <c r="CI1309" s="1144"/>
      <c r="CJ1309" s="1144"/>
      <c r="CK1309" s="1144"/>
      <c r="CL1309" s="1144"/>
      <c r="CM1309" s="1144"/>
      <c r="CN1309" s="1144"/>
    </row>
    <row r="1310" spans="11:92" ht="12" customHeight="1" x14ac:dyDescent="0.35">
      <c r="K1310" s="29">
        <f t="shared" si="818"/>
        <v>1</v>
      </c>
      <c r="L1310" s="1158">
        <f t="shared" si="819"/>
        <v>0</v>
      </c>
      <c r="M1310" s="34">
        <f t="shared" si="820"/>
        <v>0</v>
      </c>
      <c r="N1310" s="34">
        <f t="shared" si="821"/>
        <v>0</v>
      </c>
      <c r="O1310" s="55">
        <f t="shared" si="822"/>
        <v>0</v>
      </c>
      <c r="P1310" s="55">
        <f t="shared" si="823"/>
        <v>0</v>
      </c>
      <c r="Q1310" s="55">
        <f t="shared" si="824"/>
        <v>0</v>
      </c>
      <c r="R1310" s="31">
        <f>IF(Input!D$298=L1334,Input!D$297,0)</f>
        <v>0</v>
      </c>
      <c r="S1310" s="36">
        <f t="shared" ref="S1310:S1341" si="826">Q1334</f>
        <v>0</v>
      </c>
      <c r="T1310" s="1818"/>
      <c r="U1310" s="1814"/>
      <c r="V1310" s="1814"/>
      <c r="W1310" s="1817"/>
      <c r="X1310" s="1814"/>
      <c r="Y1310" s="1801"/>
      <c r="Z1310" s="1801"/>
      <c r="AA1310" s="1801"/>
      <c r="AB1310" s="1801"/>
      <c r="AC1310" s="1801"/>
      <c r="AD1310" s="1801"/>
      <c r="AE1310" s="1801"/>
      <c r="AF1310" s="1814"/>
      <c r="AG1310" s="376"/>
      <c r="AH1310" s="376"/>
      <c r="AI1310" s="376"/>
      <c r="AJ1310" s="376"/>
      <c r="AK1310" s="376"/>
      <c r="AL1310" s="1144"/>
      <c r="AM1310" s="1144"/>
      <c r="AN1310" s="1144"/>
      <c r="AO1310" s="1144"/>
      <c r="AP1310" s="1144"/>
      <c r="AQ1310" s="1144"/>
      <c r="AR1310" s="1144"/>
      <c r="AS1310" s="1144"/>
      <c r="AT1310" s="1144"/>
      <c r="AU1310" s="1144"/>
      <c r="AV1310" s="1144"/>
      <c r="AW1310" s="1144"/>
      <c r="AX1310" s="1144"/>
      <c r="AY1310" s="1144"/>
      <c r="AZ1310" s="1144"/>
      <c r="BA1310" s="1144"/>
      <c r="BB1310" s="1144"/>
      <c r="BC1310" s="1144"/>
      <c r="BD1310" s="1144"/>
      <c r="BE1310" s="1144"/>
      <c r="BF1310" s="1144"/>
      <c r="BG1310" s="1144"/>
      <c r="BH1310" s="1144"/>
      <c r="BI1310" s="1144"/>
      <c r="BJ1310" s="1144"/>
      <c r="BK1310" s="1144"/>
      <c r="BL1310" s="1144"/>
      <c r="BM1310" s="1144"/>
      <c r="BN1310" s="1144"/>
      <c r="BO1310" s="1144"/>
      <c r="BP1310" s="1144"/>
      <c r="BQ1310" s="1144"/>
      <c r="BR1310" s="1144"/>
      <c r="BS1310" s="1144"/>
      <c r="BT1310" s="1144"/>
      <c r="BU1310" s="1144"/>
      <c r="BV1310" s="1144"/>
      <c r="BW1310" s="1144"/>
      <c r="BX1310" s="1144"/>
      <c r="BY1310" s="1144"/>
      <c r="BZ1310" s="1144"/>
      <c r="CA1310" s="1144"/>
      <c r="CB1310" s="1144"/>
      <c r="CC1310" s="1144"/>
      <c r="CD1310" s="1144"/>
      <c r="CE1310" s="1144"/>
      <c r="CF1310" s="1144"/>
      <c r="CG1310" s="1144"/>
      <c r="CH1310" s="1144"/>
      <c r="CI1310" s="1144"/>
      <c r="CJ1310" s="1144"/>
      <c r="CK1310" s="1144"/>
      <c r="CL1310" s="1144"/>
      <c r="CM1310" s="1144"/>
      <c r="CN1310" s="1144"/>
    </row>
    <row r="1311" spans="11:92" ht="12" customHeight="1" x14ac:dyDescent="0.35">
      <c r="K1311" s="29">
        <f t="shared" si="818"/>
        <v>1</v>
      </c>
      <c r="L1311" s="1158">
        <f t="shared" si="819"/>
        <v>0</v>
      </c>
      <c r="M1311" s="34">
        <f t="shared" si="820"/>
        <v>0</v>
      </c>
      <c r="N1311" s="34">
        <f t="shared" si="821"/>
        <v>0</v>
      </c>
      <c r="O1311" s="55">
        <f t="shared" si="822"/>
        <v>0</v>
      </c>
      <c r="P1311" s="55">
        <f t="shared" si="823"/>
        <v>0</v>
      </c>
      <c r="Q1311" s="55">
        <f t="shared" si="824"/>
        <v>0</v>
      </c>
      <c r="R1311" s="31">
        <f>IF(Input!D$298=L1335,Input!D$297,0)</f>
        <v>0</v>
      </c>
      <c r="S1311" s="36">
        <f t="shared" si="826"/>
        <v>0</v>
      </c>
      <c r="T1311" s="1818"/>
      <c r="U1311" s="1814"/>
      <c r="V1311" s="1814"/>
      <c r="W1311" s="1817"/>
      <c r="X1311" s="1814"/>
      <c r="Y1311" s="1801"/>
      <c r="Z1311" s="1801"/>
      <c r="AA1311" s="1801"/>
      <c r="AB1311" s="1801"/>
      <c r="AC1311" s="1801"/>
      <c r="AD1311" s="1801"/>
      <c r="AE1311" s="1801"/>
      <c r="AF1311" s="1814"/>
      <c r="AG1311" s="376"/>
      <c r="AH1311" s="376"/>
      <c r="AI1311" s="376"/>
      <c r="AJ1311" s="376"/>
      <c r="AK1311" s="376"/>
      <c r="AL1311" s="1144"/>
      <c r="AM1311" s="1144"/>
      <c r="AN1311" s="1144"/>
      <c r="AO1311" s="1144"/>
      <c r="AP1311" s="1144"/>
      <c r="AQ1311" s="1144"/>
      <c r="AR1311" s="1144"/>
      <c r="AS1311" s="1144"/>
      <c r="AT1311" s="1144"/>
      <c r="AU1311" s="1144"/>
      <c r="AV1311" s="1144"/>
      <c r="AW1311" s="1144"/>
      <c r="AX1311" s="1144"/>
      <c r="AY1311" s="1144"/>
      <c r="AZ1311" s="1144"/>
      <c r="BA1311" s="1144"/>
      <c r="BB1311" s="1144"/>
      <c r="BC1311" s="1144"/>
      <c r="BD1311" s="1144"/>
      <c r="BE1311" s="1144"/>
      <c r="BF1311" s="1144"/>
      <c r="BG1311" s="1144"/>
      <c r="BH1311" s="1144"/>
      <c r="BI1311" s="1144"/>
      <c r="BJ1311" s="1144"/>
      <c r="BK1311" s="1144"/>
      <c r="BL1311" s="1144"/>
      <c r="BM1311" s="1144"/>
      <c r="BN1311" s="1144"/>
      <c r="BO1311" s="1144"/>
      <c r="BP1311" s="1144"/>
      <c r="BQ1311" s="1144"/>
      <c r="BR1311" s="1144"/>
      <c r="BS1311" s="1144"/>
      <c r="BT1311" s="1144"/>
      <c r="BU1311" s="1144"/>
      <c r="BV1311" s="1144"/>
      <c r="BW1311" s="1144"/>
      <c r="BX1311" s="1144"/>
      <c r="BY1311" s="1144"/>
      <c r="BZ1311" s="1144"/>
      <c r="CA1311" s="1144"/>
      <c r="CB1311" s="1144"/>
      <c r="CC1311" s="1144"/>
      <c r="CD1311" s="1144"/>
      <c r="CE1311" s="1144"/>
      <c r="CF1311" s="1144"/>
      <c r="CG1311" s="1144"/>
      <c r="CH1311" s="1144"/>
      <c r="CI1311" s="1144"/>
      <c r="CJ1311" s="1144"/>
      <c r="CK1311" s="1144"/>
      <c r="CL1311" s="1144"/>
      <c r="CM1311" s="1144"/>
      <c r="CN1311" s="1144"/>
    </row>
    <row r="1312" spans="11:92" ht="12" customHeight="1" x14ac:dyDescent="0.35">
      <c r="K1312" s="29">
        <f t="shared" si="818"/>
        <v>1</v>
      </c>
      <c r="L1312" s="1158">
        <f t="shared" si="819"/>
        <v>0</v>
      </c>
      <c r="M1312" s="34">
        <f t="shared" si="820"/>
        <v>0</v>
      </c>
      <c r="N1312" s="34">
        <f t="shared" si="821"/>
        <v>0</v>
      </c>
      <c r="O1312" s="55">
        <f t="shared" si="822"/>
        <v>0</v>
      </c>
      <c r="P1312" s="55">
        <f t="shared" si="823"/>
        <v>0</v>
      </c>
      <c r="Q1312" s="55">
        <f t="shared" si="824"/>
        <v>0</v>
      </c>
      <c r="R1312" s="31">
        <f>IF(Input!D$298=L1336,Input!D$297,0)</f>
        <v>0</v>
      </c>
      <c r="S1312" s="36">
        <f t="shared" si="826"/>
        <v>0</v>
      </c>
      <c r="T1312" s="1818"/>
      <c r="U1312" s="1814"/>
      <c r="V1312" s="1814"/>
      <c r="W1312" s="1817"/>
      <c r="X1312" s="1814"/>
      <c r="Y1312" s="1801"/>
      <c r="Z1312" s="1801"/>
      <c r="AA1312" s="1801"/>
      <c r="AB1312" s="1801"/>
      <c r="AC1312" s="1801"/>
      <c r="AD1312" s="1801"/>
      <c r="AE1312" s="1801"/>
      <c r="AF1312" s="1814"/>
      <c r="AG1312" s="376"/>
      <c r="AH1312" s="376"/>
      <c r="AI1312" s="376"/>
      <c r="AJ1312" s="376"/>
      <c r="AK1312" s="376"/>
      <c r="AL1312" s="1144"/>
      <c r="AM1312" s="1144"/>
      <c r="AN1312" s="1144"/>
      <c r="AO1312" s="1144"/>
      <c r="AP1312" s="1144"/>
      <c r="AQ1312" s="1144"/>
      <c r="AR1312" s="1144"/>
      <c r="AS1312" s="1144"/>
      <c r="AT1312" s="1144"/>
      <c r="AU1312" s="1144"/>
      <c r="AV1312" s="1144"/>
      <c r="AW1312" s="1144"/>
      <c r="AX1312" s="1144"/>
      <c r="AY1312" s="1144"/>
      <c r="AZ1312" s="1144"/>
      <c r="BA1312" s="1144"/>
      <c r="BB1312" s="1144"/>
      <c r="BC1312" s="1144"/>
      <c r="BD1312" s="1144"/>
      <c r="BE1312" s="1144"/>
      <c r="BF1312" s="1144"/>
      <c r="BG1312" s="1144"/>
      <c r="BH1312" s="1144"/>
      <c r="BI1312" s="1144"/>
      <c r="BJ1312" s="1144"/>
      <c r="BK1312" s="1144"/>
      <c r="BL1312" s="1144"/>
      <c r="BM1312" s="1144"/>
      <c r="BN1312" s="1144"/>
      <c r="BO1312" s="1144"/>
      <c r="BP1312" s="1144"/>
      <c r="BQ1312" s="1144"/>
      <c r="BR1312" s="1144"/>
      <c r="BS1312" s="1144"/>
      <c r="BT1312" s="1144"/>
      <c r="BU1312" s="1144"/>
      <c r="BV1312" s="1144"/>
      <c r="BW1312" s="1144"/>
      <c r="BX1312" s="1144"/>
      <c r="BY1312" s="1144"/>
      <c r="BZ1312" s="1144"/>
      <c r="CA1312" s="1144"/>
      <c r="CB1312" s="1144"/>
      <c r="CC1312" s="1144"/>
      <c r="CD1312" s="1144"/>
      <c r="CE1312" s="1144"/>
      <c r="CF1312" s="1144"/>
      <c r="CG1312" s="1144"/>
      <c r="CH1312" s="1144"/>
      <c r="CI1312" s="1144"/>
      <c r="CJ1312" s="1144"/>
      <c r="CK1312" s="1144"/>
      <c r="CL1312" s="1144"/>
      <c r="CM1312" s="1144"/>
      <c r="CN1312" s="1144"/>
    </row>
    <row r="1313" spans="11:92" ht="12" customHeight="1" x14ac:dyDescent="0.35">
      <c r="K1313" s="29">
        <f t="shared" si="818"/>
        <v>1</v>
      </c>
      <c r="L1313" s="1158">
        <f t="shared" si="819"/>
        <v>0</v>
      </c>
      <c r="M1313" s="34">
        <f t="shared" si="820"/>
        <v>0</v>
      </c>
      <c r="N1313" s="34">
        <f t="shared" si="821"/>
        <v>0</v>
      </c>
      <c r="O1313" s="55">
        <f t="shared" si="822"/>
        <v>0</v>
      </c>
      <c r="P1313" s="55">
        <f t="shared" si="823"/>
        <v>0</v>
      </c>
      <c r="Q1313" s="55">
        <f t="shared" si="824"/>
        <v>0</v>
      </c>
      <c r="R1313" s="31">
        <f>IF(Input!D$298=L1337,Input!D$297,0)</f>
        <v>0</v>
      </c>
      <c r="S1313" s="36">
        <f t="shared" si="826"/>
        <v>0</v>
      </c>
      <c r="T1313" s="1818"/>
      <c r="U1313" s="1814"/>
      <c r="V1313" s="1814"/>
      <c r="W1313" s="1817"/>
      <c r="X1313" s="1814"/>
      <c r="Y1313" s="1801"/>
      <c r="Z1313" s="1801"/>
      <c r="AA1313" s="1801"/>
      <c r="AB1313" s="1801"/>
      <c r="AC1313" s="1801"/>
      <c r="AD1313" s="1801"/>
      <c r="AE1313" s="1801"/>
      <c r="AF1313" s="1814"/>
      <c r="AG1313" s="376"/>
      <c r="AH1313" s="376"/>
      <c r="AI1313" s="376"/>
      <c r="AJ1313" s="376"/>
      <c r="AK1313" s="376"/>
      <c r="AL1313" s="1144"/>
      <c r="AM1313" s="1144"/>
      <c r="AN1313" s="1144"/>
      <c r="AO1313" s="1144"/>
      <c r="AP1313" s="1144"/>
      <c r="AQ1313" s="1144"/>
      <c r="AR1313" s="1144"/>
      <c r="AS1313" s="1144"/>
      <c r="AT1313" s="1144"/>
      <c r="AU1313" s="1144"/>
      <c r="AV1313" s="1144"/>
      <c r="AW1313" s="1144"/>
      <c r="AX1313" s="1144"/>
      <c r="AY1313" s="1144"/>
      <c r="AZ1313" s="1144"/>
      <c r="BA1313" s="1144"/>
      <c r="BB1313" s="1144"/>
      <c r="BC1313" s="1144"/>
      <c r="BD1313" s="1144"/>
      <c r="BE1313" s="1144"/>
      <c r="BF1313" s="1144"/>
      <c r="BG1313" s="1144"/>
      <c r="BH1313" s="1144"/>
      <c r="BI1313" s="1144"/>
      <c r="BJ1313" s="1144"/>
      <c r="BK1313" s="1144"/>
      <c r="BL1313" s="1144"/>
      <c r="BM1313" s="1144"/>
      <c r="BN1313" s="1144"/>
      <c r="BO1313" s="1144"/>
      <c r="BP1313" s="1144"/>
      <c r="BQ1313" s="1144"/>
      <c r="BR1313" s="1144"/>
      <c r="BS1313" s="1144"/>
      <c r="BT1313" s="1144"/>
      <c r="BU1313" s="1144"/>
      <c r="BV1313" s="1144"/>
      <c r="BW1313" s="1144"/>
      <c r="BX1313" s="1144"/>
      <c r="BY1313" s="1144"/>
      <c r="BZ1313" s="1144"/>
      <c r="CA1313" s="1144"/>
      <c r="CB1313" s="1144"/>
      <c r="CC1313" s="1144"/>
      <c r="CD1313" s="1144"/>
      <c r="CE1313" s="1144"/>
      <c r="CF1313" s="1144"/>
      <c r="CG1313" s="1144"/>
      <c r="CH1313" s="1144"/>
      <c r="CI1313" s="1144"/>
      <c r="CJ1313" s="1144"/>
      <c r="CK1313" s="1144"/>
      <c r="CL1313" s="1144"/>
      <c r="CM1313" s="1144"/>
      <c r="CN1313" s="1144"/>
    </row>
    <row r="1314" spans="11:92" ht="12" customHeight="1" x14ac:dyDescent="0.35">
      <c r="K1314" s="29">
        <f t="shared" si="818"/>
        <v>1</v>
      </c>
      <c r="L1314" s="1158">
        <f t="shared" si="819"/>
        <v>0</v>
      </c>
      <c r="M1314" s="34">
        <f t="shared" si="820"/>
        <v>0</v>
      </c>
      <c r="N1314" s="34">
        <f t="shared" si="821"/>
        <v>0</v>
      </c>
      <c r="O1314" s="55">
        <f t="shared" si="822"/>
        <v>0</v>
      </c>
      <c r="P1314" s="55">
        <f t="shared" si="823"/>
        <v>0</v>
      </c>
      <c r="Q1314" s="55">
        <f t="shared" si="824"/>
        <v>0</v>
      </c>
      <c r="R1314" s="31">
        <f>IF(Input!D$298=L1338,Input!D$297,0)</f>
        <v>0</v>
      </c>
      <c r="S1314" s="36">
        <f t="shared" si="826"/>
        <v>0</v>
      </c>
      <c r="T1314" s="1818"/>
      <c r="U1314" s="1814"/>
      <c r="V1314" s="1814"/>
      <c r="W1314" s="1817"/>
      <c r="X1314" s="1814"/>
      <c r="Y1314" s="1801"/>
      <c r="Z1314" s="1801"/>
      <c r="AA1314" s="1801"/>
      <c r="AB1314" s="1801"/>
      <c r="AC1314" s="1801"/>
      <c r="AD1314" s="1801"/>
      <c r="AE1314" s="1801"/>
      <c r="AF1314" s="1814"/>
      <c r="AG1314" s="376"/>
      <c r="AH1314" s="376"/>
      <c r="AI1314" s="376"/>
      <c r="AJ1314" s="376"/>
      <c r="AK1314" s="376"/>
      <c r="AL1314" s="1144"/>
      <c r="AM1314" s="1144"/>
      <c r="AN1314" s="1144"/>
      <c r="AO1314" s="1144"/>
      <c r="AP1314" s="1144"/>
      <c r="AQ1314" s="1144"/>
      <c r="AR1314" s="1144"/>
      <c r="AS1314" s="1144"/>
      <c r="AT1314" s="1144"/>
      <c r="AU1314" s="1144"/>
      <c r="AV1314" s="1144"/>
      <c r="AW1314" s="1144"/>
      <c r="AX1314" s="1144"/>
      <c r="AY1314" s="1144"/>
      <c r="AZ1314" s="1144"/>
      <c r="BA1314" s="1144"/>
      <c r="BB1314" s="1144"/>
      <c r="BC1314" s="1144"/>
      <c r="BD1314" s="1144"/>
      <c r="BE1314" s="1144"/>
      <c r="BF1314" s="1144"/>
      <c r="BG1314" s="1144"/>
      <c r="BH1314" s="1144"/>
      <c r="BI1314" s="1144"/>
      <c r="BJ1314" s="1144"/>
      <c r="BK1314" s="1144"/>
      <c r="BL1314" s="1144"/>
      <c r="BM1314" s="1144"/>
      <c r="BN1314" s="1144"/>
      <c r="BO1314" s="1144"/>
      <c r="BP1314" s="1144"/>
      <c r="BQ1314" s="1144"/>
      <c r="BR1314" s="1144"/>
      <c r="BS1314" s="1144"/>
      <c r="BT1314" s="1144"/>
      <c r="BU1314" s="1144"/>
      <c r="BV1314" s="1144"/>
      <c r="BW1314" s="1144"/>
      <c r="BX1314" s="1144"/>
      <c r="BY1314" s="1144"/>
      <c r="BZ1314" s="1144"/>
      <c r="CA1314" s="1144"/>
      <c r="CB1314" s="1144"/>
      <c r="CC1314" s="1144"/>
      <c r="CD1314" s="1144"/>
      <c r="CE1314" s="1144"/>
      <c r="CF1314" s="1144"/>
      <c r="CG1314" s="1144"/>
      <c r="CH1314" s="1144"/>
      <c r="CI1314" s="1144"/>
      <c r="CJ1314" s="1144"/>
      <c r="CK1314" s="1144"/>
      <c r="CL1314" s="1144"/>
      <c r="CM1314" s="1144"/>
      <c r="CN1314" s="1144"/>
    </row>
    <row r="1315" spans="11:92" ht="12" customHeight="1" x14ac:dyDescent="0.35">
      <c r="K1315" s="29">
        <f t="shared" si="818"/>
        <v>1</v>
      </c>
      <c r="L1315" s="1158">
        <f t="shared" si="819"/>
        <v>0</v>
      </c>
      <c r="M1315" s="34">
        <f t="shared" si="820"/>
        <v>0</v>
      </c>
      <c r="N1315" s="34">
        <f t="shared" si="821"/>
        <v>0</v>
      </c>
      <c r="O1315" s="55">
        <f t="shared" si="822"/>
        <v>0</v>
      </c>
      <c r="P1315" s="55">
        <f t="shared" si="823"/>
        <v>0</v>
      </c>
      <c r="Q1315" s="55">
        <f t="shared" si="824"/>
        <v>0</v>
      </c>
      <c r="R1315" s="31">
        <f>IF(Input!D$298=L1339,Input!D$297,0)</f>
        <v>0</v>
      </c>
      <c r="S1315" s="36">
        <f t="shared" si="826"/>
        <v>0</v>
      </c>
      <c r="T1315" s="1818"/>
      <c r="U1315" s="1814"/>
      <c r="V1315" s="1814"/>
      <c r="W1315" s="1817"/>
      <c r="X1315" s="1814"/>
      <c r="Y1315" s="1801"/>
      <c r="Z1315" s="1801"/>
      <c r="AA1315" s="1801"/>
      <c r="AB1315" s="1801"/>
      <c r="AC1315" s="1801"/>
      <c r="AD1315" s="1801"/>
      <c r="AE1315" s="1801"/>
      <c r="AF1315" s="1814"/>
      <c r="AG1315" s="376"/>
      <c r="AH1315" s="376"/>
      <c r="AI1315" s="376"/>
      <c r="AJ1315" s="376"/>
      <c r="AK1315" s="376"/>
      <c r="AL1315" s="1144"/>
      <c r="AM1315" s="1144"/>
      <c r="AN1315" s="1144"/>
      <c r="AO1315" s="1144"/>
      <c r="AP1315" s="1144"/>
      <c r="AQ1315" s="1144"/>
      <c r="AR1315" s="1144"/>
      <c r="AS1315" s="1144"/>
      <c r="AT1315" s="1144"/>
      <c r="AU1315" s="1144"/>
      <c r="AV1315" s="1144"/>
      <c r="AW1315" s="1144"/>
      <c r="AX1315" s="1144"/>
      <c r="AY1315" s="1144"/>
      <c r="AZ1315" s="1144"/>
      <c r="BA1315" s="1144"/>
      <c r="BB1315" s="1144"/>
      <c r="BC1315" s="1144"/>
      <c r="BD1315" s="1144"/>
      <c r="BE1315" s="1144"/>
      <c r="BF1315" s="1144"/>
      <c r="BG1315" s="1144"/>
      <c r="BH1315" s="1144"/>
      <c r="BI1315" s="1144"/>
      <c r="BJ1315" s="1144"/>
      <c r="BK1315" s="1144"/>
      <c r="BL1315" s="1144"/>
      <c r="BM1315" s="1144"/>
      <c r="BN1315" s="1144"/>
      <c r="BO1315" s="1144"/>
      <c r="BP1315" s="1144"/>
      <c r="BQ1315" s="1144"/>
      <c r="BR1315" s="1144"/>
      <c r="BS1315" s="1144"/>
      <c r="BT1315" s="1144"/>
      <c r="BU1315" s="1144"/>
      <c r="BV1315" s="1144"/>
      <c r="BW1315" s="1144"/>
      <c r="BX1315" s="1144"/>
      <c r="BY1315" s="1144"/>
      <c r="BZ1315" s="1144"/>
      <c r="CA1315" s="1144"/>
      <c r="CB1315" s="1144"/>
      <c r="CC1315" s="1144"/>
      <c r="CD1315" s="1144"/>
      <c r="CE1315" s="1144"/>
      <c r="CF1315" s="1144"/>
      <c r="CG1315" s="1144"/>
      <c r="CH1315" s="1144"/>
      <c r="CI1315" s="1144"/>
      <c r="CJ1315" s="1144"/>
      <c r="CK1315" s="1144"/>
      <c r="CL1315" s="1144"/>
      <c r="CM1315" s="1144"/>
      <c r="CN1315" s="1144"/>
    </row>
    <row r="1316" spans="11:92" ht="12" customHeight="1" x14ac:dyDescent="0.35">
      <c r="K1316" s="29">
        <f t="shared" si="818"/>
        <v>1</v>
      </c>
      <c r="L1316" s="1158">
        <f t="shared" si="819"/>
        <v>0</v>
      </c>
      <c r="M1316" s="34">
        <f t="shared" si="820"/>
        <v>0</v>
      </c>
      <c r="N1316" s="34">
        <f t="shared" si="821"/>
        <v>0</v>
      </c>
      <c r="O1316" s="55">
        <f t="shared" si="822"/>
        <v>0</v>
      </c>
      <c r="P1316" s="55">
        <f t="shared" si="823"/>
        <v>0</v>
      </c>
      <c r="Q1316" s="55">
        <f t="shared" si="824"/>
        <v>0</v>
      </c>
      <c r="R1316" s="31">
        <f>IF(Input!D$298=L1340,Input!D$297,0)</f>
        <v>0</v>
      </c>
      <c r="S1316" s="36">
        <f t="shared" si="826"/>
        <v>0</v>
      </c>
      <c r="T1316" s="1818"/>
      <c r="U1316" s="1814"/>
      <c r="V1316" s="1814"/>
      <c r="W1316" s="1817"/>
      <c r="X1316" s="1814"/>
      <c r="Y1316" s="1801"/>
      <c r="Z1316" s="1801"/>
      <c r="AA1316" s="1801"/>
      <c r="AB1316" s="1801"/>
      <c r="AC1316" s="1801"/>
      <c r="AD1316" s="1801"/>
      <c r="AE1316" s="1801"/>
      <c r="AF1316" s="1814"/>
      <c r="AG1316" s="376"/>
      <c r="AH1316" s="376"/>
      <c r="AI1316" s="376"/>
      <c r="AJ1316" s="376"/>
      <c r="AK1316" s="376"/>
      <c r="AL1316" s="1144"/>
      <c r="AM1316" s="1144"/>
      <c r="AN1316" s="1144"/>
      <c r="AO1316" s="1144"/>
      <c r="AP1316" s="1144"/>
      <c r="AQ1316" s="1144"/>
      <c r="AR1316" s="1144"/>
      <c r="AS1316" s="1144"/>
      <c r="AT1316" s="1144"/>
      <c r="AU1316" s="1144"/>
      <c r="AV1316" s="1144"/>
      <c r="AW1316" s="1144"/>
      <c r="AX1316" s="1144"/>
      <c r="AY1316" s="1144"/>
      <c r="AZ1316" s="1144"/>
      <c r="BA1316" s="1144"/>
      <c r="BB1316" s="1144"/>
      <c r="BC1316" s="1144"/>
      <c r="BD1316" s="1144"/>
      <c r="BE1316" s="1144"/>
      <c r="BF1316" s="1144"/>
      <c r="BG1316" s="1144"/>
      <c r="BH1316" s="1144"/>
      <c r="BI1316" s="1144"/>
      <c r="BJ1316" s="1144"/>
      <c r="BK1316" s="1144"/>
      <c r="BL1316" s="1144"/>
      <c r="BM1316" s="1144"/>
      <c r="BN1316" s="1144"/>
      <c r="BO1316" s="1144"/>
      <c r="BP1316" s="1144"/>
      <c r="BQ1316" s="1144"/>
      <c r="BR1316" s="1144"/>
      <c r="BS1316" s="1144"/>
      <c r="BT1316" s="1144"/>
      <c r="BU1316" s="1144"/>
      <c r="BV1316" s="1144"/>
      <c r="BW1316" s="1144"/>
      <c r="BX1316" s="1144"/>
      <c r="BY1316" s="1144"/>
      <c r="BZ1316" s="1144"/>
      <c r="CA1316" s="1144"/>
      <c r="CB1316" s="1144"/>
      <c r="CC1316" s="1144"/>
      <c r="CD1316" s="1144"/>
      <c r="CE1316" s="1144"/>
      <c r="CF1316" s="1144"/>
      <c r="CG1316" s="1144"/>
      <c r="CH1316" s="1144"/>
      <c r="CI1316" s="1144"/>
      <c r="CJ1316" s="1144"/>
      <c r="CK1316" s="1144"/>
      <c r="CL1316" s="1144"/>
      <c r="CM1316" s="1144"/>
      <c r="CN1316" s="1144"/>
    </row>
    <row r="1317" spans="11:92" ht="12" customHeight="1" x14ac:dyDescent="0.35">
      <c r="K1317" s="29">
        <f t="shared" si="818"/>
        <v>1</v>
      </c>
      <c r="L1317" s="1158">
        <f t="shared" si="819"/>
        <v>0</v>
      </c>
      <c r="M1317" s="34">
        <f t="shared" si="820"/>
        <v>0</v>
      </c>
      <c r="N1317" s="34">
        <f t="shared" si="821"/>
        <v>0</v>
      </c>
      <c r="O1317" s="55">
        <f t="shared" si="822"/>
        <v>0</v>
      </c>
      <c r="P1317" s="55">
        <f t="shared" si="823"/>
        <v>0</v>
      </c>
      <c r="Q1317" s="55">
        <f t="shared" si="824"/>
        <v>0</v>
      </c>
      <c r="R1317" s="31">
        <f>IF(Input!D$298=L1341,Input!D$297,0)</f>
        <v>0</v>
      </c>
      <c r="S1317" s="36">
        <f t="shared" si="826"/>
        <v>0</v>
      </c>
      <c r="T1317" s="1818"/>
      <c r="U1317" s="1814"/>
      <c r="V1317" s="1814"/>
      <c r="W1317" s="1817"/>
      <c r="X1317" s="1814"/>
      <c r="Y1317" s="1801"/>
      <c r="Z1317" s="1801"/>
      <c r="AA1317" s="1801"/>
      <c r="AB1317" s="1801"/>
      <c r="AC1317" s="1801"/>
      <c r="AD1317" s="1801"/>
      <c r="AE1317" s="1801"/>
      <c r="AF1317" s="1814"/>
      <c r="AG1317" s="376"/>
      <c r="AH1317" s="376"/>
      <c r="AI1317" s="376"/>
      <c r="AJ1317" s="376"/>
      <c r="AK1317" s="376"/>
      <c r="AL1317" s="1144"/>
      <c r="AM1317" s="1144"/>
      <c r="AN1317" s="1144"/>
      <c r="AO1317" s="1144"/>
      <c r="AP1317" s="1144"/>
      <c r="AQ1317" s="1144"/>
      <c r="AR1317" s="1144"/>
      <c r="AS1317" s="1144"/>
      <c r="AT1317" s="1144"/>
      <c r="AU1317" s="1144"/>
      <c r="AV1317" s="1144"/>
      <c r="AW1317" s="1144"/>
      <c r="AX1317" s="1144"/>
      <c r="AY1317" s="1144"/>
      <c r="AZ1317" s="1144"/>
      <c r="BA1317" s="1144"/>
      <c r="BB1317" s="1144"/>
      <c r="BC1317" s="1144"/>
      <c r="BD1317" s="1144"/>
      <c r="BE1317" s="1144"/>
      <c r="BF1317" s="1144"/>
      <c r="BG1317" s="1144"/>
      <c r="BH1317" s="1144"/>
      <c r="BI1317" s="1144"/>
      <c r="BJ1317" s="1144"/>
      <c r="BK1317" s="1144"/>
      <c r="BL1317" s="1144"/>
      <c r="BM1317" s="1144"/>
      <c r="BN1317" s="1144"/>
      <c r="BO1317" s="1144"/>
      <c r="BP1317" s="1144"/>
      <c r="BQ1317" s="1144"/>
      <c r="BR1317" s="1144"/>
      <c r="BS1317" s="1144"/>
      <c r="BT1317" s="1144"/>
      <c r="BU1317" s="1144"/>
      <c r="BV1317" s="1144"/>
      <c r="BW1317" s="1144"/>
      <c r="BX1317" s="1144"/>
      <c r="BY1317" s="1144"/>
      <c r="BZ1317" s="1144"/>
      <c r="CA1317" s="1144"/>
      <c r="CB1317" s="1144"/>
      <c r="CC1317" s="1144"/>
      <c r="CD1317" s="1144"/>
      <c r="CE1317" s="1144"/>
      <c r="CF1317" s="1144"/>
      <c r="CG1317" s="1144"/>
      <c r="CH1317" s="1144"/>
      <c r="CI1317" s="1144"/>
      <c r="CJ1317" s="1144"/>
      <c r="CK1317" s="1144"/>
      <c r="CL1317" s="1144"/>
      <c r="CM1317" s="1144"/>
      <c r="CN1317" s="1144"/>
    </row>
    <row r="1318" spans="11:92" ht="12" customHeight="1" x14ac:dyDescent="0.35">
      <c r="K1318" s="29">
        <f t="shared" si="818"/>
        <v>1</v>
      </c>
      <c r="L1318" s="1158">
        <f t="shared" si="819"/>
        <v>0</v>
      </c>
      <c r="M1318" s="34">
        <f t="shared" si="820"/>
        <v>0</v>
      </c>
      <c r="N1318" s="34">
        <f t="shared" si="821"/>
        <v>0</v>
      </c>
      <c r="O1318" s="55">
        <f t="shared" si="822"/>
        <v>0</v>
      </c>
      <c r="P1318" s="55">
        <f t="shared" si="823"/>
        <v>0</v>
      </c>
      <c r="Q1318" s="55">
        <f t="shared" si="824"/>
        <v>0</v>
      </c>
      <c r="R1318" s="31">
        <f>IF(Input!D$298=L1342,Input!D$297,0)</f>
        <v>0</v>
      </c>
      <c r="S1318" s="36">
        <f t="shared" si="826"/>
        <v>0</v>
      </c>
      <c r="T1318" s="1818"/>
      <c r="U1318" s="1814"/>
      <c r="V1318" s="1814"/>
      <c r="W1318" s="1817"/>
      <c r="X1318" s="1814"/>
      <c r="Y1318" s="1801"/>
      <c r="Z1318" s="1801"/>
      <c r="AA1318" s="1801"/>
      <c r="AB1318" s="1801"/>
      <c r="AC1318" s="1801"/>
      <c r="AD1318" s="1801"/>
      <c r="AE1318" s="1801"/>
      <c r="AF1318" s="1814"/>
      <c r="AG1318" s="376"/>
      <c r="AH1318" s="376"/>
      <c r="AI1318" s="376"/>
      <c r="AJ1318" s="376"/>
      <c r="AK1318" s="376"/>
      <c r="AL1318" s="1144"/>
      <c r="AM1318" s="1144"/>
      <c r="AN1318" s="1144"/>
      <c r="AO1318" s="1144"/>
      <c r="AP1318" s="1144"/>
      <c r="AQ1318" s="1144"/>
      <c r="AR1318" s="1144"/>
      <c r="AS1318" s="1144"/>
      <c r="AT1318" s="1144"/>
      <c r="AU1318" s="1144"/>
      <c r="AV1318" s="1144"/>
      <c r="AW1318" s="1144"/>
      <c r="AX1318" s="1144"/>
      <c r="AY1318" s="1144"/>
      <c r="AZ1318" s="1144"/>
      <c r="BA1318" s="1144"/>
      <c r="BB1318" s="1144"/>
      <c r="BC1318" s="1144"/>
      <c r="BD1318" s="1144"/>
      <c r="BE1318" s="1144"/>
      <c r="BF1318" s="1144"/>
      <c r="BG1318" s="1144"/>
      <c r="BH1318" s="1144"/>
      <c r="BI1318" s="1144"/>
      <c r="BJ1318" s="1144"/>
      <c r="BK1318" s="1144"/>
      <c r="BL1318" s="1144"/>
      <c r="BM1318" s="1144"/>
      <c r="BN1318" s="1144"/>
      <c r="BO1318" s="1144"/>
      <c r="BP1318" s="1144"/>
      <c r="BQ1318" s="1144"/>
      <c r="BR1318" s="1144"/>
      <c r="BS1318" s="1144"/>
      <c r="BT1318" s="1144"/>
      <c r="BU1318" s="1144"/>
      <c r="BV1318" s="1144"/>
      <c r="BW1318" s="1144"/>
      <c r="BX1318" s="1144"/>
      <c r="BY1318" s="1144"/>
      <c r="BZ1318" s="1144"/>
      <c r="CA1318" s="1144"/>
      <c r="CB1318" s="1144"/>
      <c r="CC1318" s="1144"/>
      <c r="CD1318" s="1144"/>
      <c r="CE1318" s="1144"/>
      <c r="CF1318" s="1144"/>
      <c r="CG1318" s="1144"/>
      <c r="CH1318" s="1144"/>
      <c r="CI1318" s="1144"/>
      <c r="CJ1318" s="1144"/>
      <c r="CK1318" s="1144"/>
      <c r="CL1318" s="1144"/>
      <c r="CM1318" s="1144"/>
      <c r="CN1318" s="1144"/>
    </row>
    <row r="1319" spans="11:92" ht="12" customHeight="1" x14ac:dyDescent="0.35">
      <c r="K1319" s="29">
        <f t="shared" si="818"/>
        <v>1</v>
      </c>
      <c r="L1319" s="1158">
        <f t="shared" si="819"/>
        <v>0</v>
      </c>
      <c r="M1319" s="34">
        <f t="shared" si="820"/>
        <v>0</v>
      </c>
      <c r="N1319" s="34">
        <f t="shared" si="821"/>
        <v>0</v>
      </c>
      <c r="O1319" s="55">
        <f t="shared" si="822"/>
        <v>0</v>
      </c>
      <c r="P1319" s="55">
        <f t="shared" si="823"/>
        <v>0</v>
      </c>
      <c r="Q1319" s="55">
        <f t="shared" si="824"/>
        <v>0</v>
      </c>
      <c r="R1319" s="31">
        <f>IF(Input!D$298=L1343,Input!D$297,0)</f>
        <v>0</v>
      </c>
      <c r="S1319" s="36">
        <f t="shared" si="826"/>
        <v>0</v>
      </c>
      <c r="T1319" s="1818"/>
      <c r="U1319" s="1814"/>
      <c r="V1319" s="1814"/>
      <c r="W1319" s="1817"/>
      <c r="X1319" s="1814"/>
      <c r="Y1319" s="1801"/>
      <c r="Z1319" s="1801"/>
      <c r="AA1319" s="1801"/>
      <c r="AB1319" s="1801"/>
      <c r="AC1319" s="1801"/>
      <c r="AD1319" s="1801"/>
      <c r="AE1319" s="1801"/>
      <c r="AF1319" s="1814"/>
      <c r="AG1319" s="376"/>
      <c r="AH1319" s="376"/>
      <c r="AI1319" s="376"/>
      <c r="AJ1319" s="376"/>
      <c r="AK1319" s="376"/>
      <c r="AL1319" s="1144"/>
      <c r="AM1319" s="1144"/>
      <c r="AN1319" s="1144"/>
      <c r="AO1319" s="1144"/>
      <c r="AP1319" s="1144"/>
      <c r="AQ1319" s="1144"/>
      <c r="AR1319" s="1144"/>
      <c r="AS1319" s="1144"/>
      <c r="AT1319" s="1144"/>
      <c r="AU1319" s="1144"/>
      <c r="AV1319" s="1144"/>
      <c r="AW1319" s="1144"/>
      <c r="AX1319" s="1144"/>
      <c r="AY1319" s="1144"/>
      <c r="AZ1319" s="1144"/>
      <c r="BA1319" s="1144"/>
      <c r="BB1319" s="1144"/>
      <c r="BC1319" s="1144"/>
      <c r="BD1319" s="1144"/>
      <c r="BE1319" s="1144"/>
      <c r="BF1319" s="1144"/>
      <c r="BG1319" s="1144"/>
      <c r="BH1319" s="1144"/>
      <c r="BI1319" s="1144"/>
      <c r="BJ1319" s="1144"/>
      <c r="BK1319" s="1144"/>
      <c r="BL1319" s="1144"/>
      <c r="BM1319" s="1144"/>
      <c r="BN1319" s="1144"/>
      <c r="BO1319" s="1144"/>
      <c r="BP1319" s="1144"/>
      <c r="BQ1319" s="1144"/>
      <c r="BR1319" s="1144"/>
      <c r="BS1319" s="1144"/>
      <c r="BT1319" s="1144"/>
      <c r="BU1319" s="1144"/>
      <c r="BV1319" s="1144"/>
      <c r="BW1319" s="1144"/>
      <c r="BX1319" s="1144"/>
      <c r="BY1319" s="1144"/>
      <c r="BZ1319" s="1144"/>
      <c r="CA1319" s="1144"/>
      <c r="CB1319" s="1144"/>
      <c r="CC1319" s="1144"/>
      <c r="CD1319" s="1144"/>
      <c r="CE1319" s="1144"/>
      <c r="CF1319" s="1144"/>
      <c r="CG1319" s="1144"/>
      <c r="CH1319" s="1144"/>
      <c r="CI1319" s="1144"/>
      <c r="CJ1319" s="1144"/>
      <c r="CK1319" s="1144"/>
      <c r="CL1319" s="1144"/>
      <c r="CM1319" s="1144"/>
      <c r="CN1319" s="1144"/>
    </row>
    <row r="1320" spans="11:92" ht="12" customHeight="1" x14ac:dyDescent="0.35">
      <c r="K1320" s="29">
        <f t="shared" si="818"/>
        <v>1</v>
      </c>
      <c r="L1320" s="1158">
        <f t="shared" si="819"/>
        <v>0</v>
      </c>
      <c r="M1320" s="34">
        <f t="shared" si="820"/>
        <v>0</v>
      </c>
      <c r="N1320" s="34">
        <f t="shared" si="821"/>
        <v>0</v>
      </c>
      <c r="O1320" s="55">
        <f t="shared" si="822"/>
        <v>0</v>
      </c>
      <c r="P1320" s="55">
        <f t="shared" si="823"/>
        <v>0</v>
      </c>
      <c r="Q1320" s="55">
        <f t="shared" si="824"/>
        <v>0</v>
      </c>
      <c r="R1320" s="31">
        <f>IF(Input!D$298=L1344,Input!D$297,0)</f>
        <v>0</v>
      </c>
      <c r="S1320" s="36">
        <f t="shared" si="826"/>
        <v>0</v>
      </c>
      <c r="T1320" s="1818"/>
      <c r="U1320" s="1814"/>
      <c r="V1320" s="1814"/>
      <c r="W1320" s="1817"/>
      <c r="X1320" s="1814"/>
      <c r="Y1320" s="1801"/>
      <c r="Z1320" s="1801"/>
      <c r="AA1320" s="1801"/>
      <c r="AB1320" s="1801"/>
      <c r="AC1320" s="1801"/>
      <c r="AD1320" s="1801"/>
      <c r="AE1320" s="1801"/>
      <c r="AF1320" s="1814"/>
      <c r="AG1320" s="376"/>
      <c r="AH1320" s="376"/>
      <c r="AI1320" s="376"/>
      <c r="AJ1320" s="376"/>
      <c r="AK1320" s="376"/>
      <c r="AL1320" s="1144"/>
      <c r="AM1320" s="1144"/>
      <c r="AN1320" s="1144"/>
      <c r="AO1320" s="1144"/>
      <c r="AP1320" s="1144"/>
      <c r="AQ1320" s="1144"/>
      <c r="AR1320" s="1144"/>
      <c r="AS1320" s="1144"/>
      <c r="AT1320" s="1144"/>
      <c r="AU1320" s="1144"/>
      <c r="AV1320" s="1144"/>
      <c r="AW1320" s="1144"/>
      <c r="AX1320" s="1144"/>
      <c r="AY1320" s="1144"/>
      <c r="AZ1320" s="1144"/>
      <c r="BA1320" s="1144"/>
      <c r="BB1320" s="1144"/>
      <c r="BC1320" s="1144"/>
      <c r="BD1320" s="1144"/>
      <c r="BE1320" s="1144"/>
      <c r="BF1320" s="1144"/>
      <c r="BG1320" s="1144"/>
      <c r="BH1320" s="1144"/>
      <c r="BI1320" s="1144"/>
      <c r="BJ1320" s="1144"/>
      <c r="BK1320" s="1144"/>
      <c r="BL1320" s="1144"/>
      <c r="BM1320" s="1144"/>
      <c r="BN1320" s="1144"/>
      <c r="BO1320" s="1144"/>
      <c r="BP1320" s="1144"/>
      <c r="BQ1320" s="1144"/>
      <c r="BR1320" s="1144"/>
      <c r="BS1320" s="1144"/>
      <c r="BT1320" s="1144"/>
      <c r="BU1320" s="1144"/>
      <c r="BV1320" s="1144"/>
      <c r="BW1320" s="1144"/>
      <c r="BX1320" s="1144"/>
      <c r="BY1320" s="1144"/>
      <c r="BZ1320" s="1144"/>
      <c r="CA1320" s="1144"/>
      <c r="CB1320" s="1144"/>
      <c r="CC1320" s="1144"/>
      <c r="CD1320" s="1144"/>
      <c r="CE1320" s="1144"/>
      <c r="CF1320" s="1144"/>
      <c r="CG1320" s="1144"/>
      <c r="CH1320" s="1144"/>
      <c r="CI1320" s="1144"/>
      <c r="CJ1320" s="1144"/>
      <c r="CK1320" s="1144"/>
      <c r="CL1320" s="1144"/>
      <c r="CM1320" s="1144"/>
      <c r="CN1320" s="1144"/>
    </row>
    <row r="1321" spans="11:92" ht="12" customHeight="1" x14ac:dyDescent="0.35">
      <c r="K1321" s="29">
        <f t="shared" si="818"/>
        <v>1</v>
      </c>
      <c r="L1321" s="1158">
        <f t="shared" si="819"/>
        <v>0</v>
      </c>
      <c r="M1321" s="34">
        <f t="shared" si="820"/>
        <v>0</v>
      </c>
      <c r="N1321" s="34">
        <f t="shared" si="821"/>
        <v>0</v>
      </c>
      <c r="O1321" s="55">
        <f t="shared" si="822"/>
        <v>0</v>
      </c>
      <c r="P1321" s="55">
        <f t="shared" si="823"/>
        <v>0</v>
      </c>
      <c r="Q1321" s="55">
        <f t="shared" si="824"/>
        <v>0</v>
      </c>
      <c r="R1321" s="31">
        <f>IF(Input!D$298=L1345,Input!D$297,0)</f>
        <v>0</v>
      </c>
      <c r="S1321" s="36">
        <f t="shared" si="826"/>
        <v>0</v>
      </c>
      <c r="T1321" s="1818"/>
      <c r="U1321" s="1814"/>
      <c r="V1321" s="1814"/>
      <c r="W1321" s="1817"/>
      <c r="X1321" s="1814"/>
      <c r="Y1321" s="1801"/>
      <c r="Z1321" s="1801"/>
      <c r="AA1321" s="1801"/>
      <c r="AB1321" s="1801"/>
      <c r="AC1321" s="1801"/>
      <c r="AD1321" s="1801"/>
      <c r="AE1321" s="1801"/>
      <c r="AF1321" s="1814"/>
      <c r="AG1321" s="376"/>
      <c r="AH1321" s="376"/>
      <c r="AI1321" s="376"/>
      <c r="AJ1321" s="376"/>
      <c r="AK1321" s="376"/>
      <c r="AL1321" s="1144"/>
      <c r="AM1321" s="1144"/>
      <c r="AN1321" s="1144"/>
      <c r="AO1321" s="1144"/>
      <c r="AP1321" s="1144"/>
      <c r="AQ1321" s="1144"/>
      <c r="AR1321" s="1144"/>
      <c r="AS1321" s="1144"/>
      <c r="AT1321" s="1144"/>
      <c r="AU1321" s="1144"/>
      <c r="AV1321" s="1144"/>
      <c r="AW1321" s="1144"/>
      <c r="AX1321" s="1144"/>
      <c r="AY1321" s="1144"/>
      <c r="AZ1321" s="1144"/>
      <c r="BA1321" s="1144"/>
      <c r="BB1321" s="1144"/>
      <c r="BC1321" s="1144"/>
      <c r="BD1321" s="1144"/>
      <c r="BE1321" s="1144"/>
      <c r="BF1321" s="1144"/>
      <c r="BG1321" s="1144"/>
      <c r="BH1321" s="1144"/>
      <c r="BI1321" s="1144"/>
      <c r="BJ1321" s="1144"/>
      <c r="BK1321" s="1144"/>
      <c r="BL1321" s="1144"/>
      <c r="BM1321" s="1144"/>
      <c r="BN1321" s="1144"/>
      <c r="BO1321" s="1144"/>
      <c r="BP1321" s="1144"/>
      <c r="BQ1321" s="1144"/>
      <c r="BR1321" s="1144"/>
      <c r="BS1321" s="1144"/>
      <c r="BT1321" s="1144"/>
      <c r="BU1321" s="1144"/>
      <c r="BV1321" s="1144"/>
      <c r="BW1321" s="1144"/>
      <c r="BX1321" s="1144"/>
      <c r="BY1321" s="1144"/>
      <c r="BZ1321" s="1144"/>
      <c r="CA1321" s="1144"/>
      <c r="CB1321" s="1144"/>
      <c r="CC1321" s="1144"/>
      <c r="CD1321" s="1144"/>
      <c r="CE1321" s="1144"/>
      <c r="CF1321" s="1144"/>
      <c r="CG1321" s="1144"/>
      <c r="CH1321" s="1144"/>
      <c r="CI1321" s="1144"/>
      <c r="CJ1321" s="1144"/>
      <c r="CK1321" s="1144"/>
      <c r="CL1321" s="1144"/>
      <c r="CM1321" s="1144"/>
      <c r="CN1321" s="1144"/>
    </row>
    <row r="1322" spans="11:92" ht="12" customHeight="1" x14ac:dyDescent="0.35">
      <c r="K1322" s="29">
        <f t="shared" si="818"/>
        <v>1</v>
      </c>
      <c r="L1322" s="1158">
        <f t="shared" si="819"/>
        <v>0</v>
      </c>
      <c r="M1322" s="34">
        <f t="shared" si="820"/>
        <v>0</v>
      </c>
      <c r="N1322" s="34">
        <f t="shared" si="821"/>
        <v>0</v>
      </c>
      <c r="O1322" s="55">
        <f t="shared" si="822"/>
        <v>0</v>
      </c>
      <c r="P1322" s="55">
        <f t="shared" si="823"/>
        <v>0</v>
      </c>
      <c r="Q1322" s="55">
        <f t="shared" si="824"/>
        <v>0</v>
      </c>
      <c r="R1322" s="31">
        <f>IF(Input!D$298=L1346,Input!D$297,0)</f>
        <v>0</v>
      </c>
      <c r="S1322" s="36">
        <f t="shared" si="826"/>
        <v>0</v>
      </c>
      <c r="T1322" s="1818"/>
      <c r="U1322" s="1814"/>
      <c r="V1322" s="1814"/>
      <c r="W1322" s="1817"/>
      <c r="X1322" s="1814"/>
      <c r="Y1322" s="1801"/>
      <c r="Z1322" s="1801"/>
      <c r="AA1322" s="1801"/>
      <c r="AB1322" s="1801"/>
      <c r="AC1322" s="1801"/>
      <c r="AD1322" s="1801"/>
      <c r="AE1322" s="1801"/>
      <c r="AF1322" s="1814"/>
      <c r="AG1322" s="376"/>
      <c r="AH1322" s="376"/>
      <c r="AI1322" s="376"/>
      <c r="AJ1322" s="376"/>
      <c r="AK1322" s="376"/>
      <c r="AL1322" s="1144"/>
      <c r="AM1322" s="1144"/>
      <c r="AN1322" s="1144"/>
      <c r="AO1322" s="1144"/>
      <c r="AP1322" s="1144"/>
      <c r="AQ1322" s="1144"/>
      <c r="AR1322" s="1144"/>
      <c r="AS1322" s="1144"/>
      <c r="AT1322" s="1144"/>
      <c r="AU1322" s="1144"/>
      <c r="AV1322" s="1144"/>
      <c r="AW1322" s="1144"/>
      <c r="AX1322" s="1144"/>
      <c r="AY1322" s="1144"/>
      <c r="AZ1322" s="1144"/>
      <c r="BA1322" s="1144"/>
      <c r="BB1322" s="1144"/>
      <c r="BC1322" s="1144"/>
      <c r="BD1322" s="1144"/>
      <c r="BE1322" s="1144"/>
      <c r="BF1322" s="1144"/>
      <c r="BG1322" s="1144"/>
      <c r="BH1322" s="1144"/>
      <c r="BI1322" s="1144"/>
      <c r="BJ1322" s="1144"/>
      <c r="BK1322" s="1144"/>
      <c r="BL1322" s="1144"/>
      <c r="BM1322" s="1144"/>
      <c r="BN1322" s="1144"/>
      <c r="BO1322" s="1144"/>
      <c r="BP1322" s="1144"/>
      <c r="BQ1322" s="1144"/>
      <c r="BR1322" s="1144"/>
      <c r="BS1322" s="1144"/>
      <c r="BT1322" s="1144"/>
      <c r="BU1322" s="1144"/>
      <c r="BV1322" s="1144"/>
      <c r="BW1322" s="1144"/>
      <c r="BX1322" s="1144"/>
      <c r="BY1322" s="1144"/>
      <c r="BZ1322" s="1144"/>
      <c r="CA1322" s="1144"/>
      <c r="CB1322" s="1144"/>
      <c r="CC1322" s="1144"/>
      <c r="CD1322" s="1144"/>
      <c r="CE1322" s="1144"/>
      <c r="CF1322" s="1144"/>
      <c r="CG1322" s="1144"/>
      <c r="CH1322" s="1144"/>
      <c r="CI1322" s="1144"/>
      <c r="CJ1322" s="1144"/>
      <c r="CK1322" s="1144"/>
      <c r="CL1322" s="1144"/>
      <c r="CM1322" s="1144"/>
      <c r="CN1322" s="1144"/>
    </row>
    <row r="1323" spans="11:92" ht="12" customHeight="1" x14ac:dyDescent="0.35">
      <c r="K1323" s="29">
        <f t="shared" si="818"/>
        <v>1</v>
      </c>
      <c r="L1323" s="1158">
        <f t="shared" si="819"/>
        <v>0</v>
      </c>
      <c r="M1323" s="34">
        <f t="shared" si="820"/>
        <v>0</v>
      </c>
      <c r="N1323" s="34">
        <f t="shared" si="821"/>
        <v>0</v>
      </c>
      <c r="O1323" s="55">
        <f t="shared" si="822"/>
        <v>0</v>
      </c>
      <c r="P1323" s="55">
        <f t="shared" si="823"/>
        <v>0</v>
      </c>
      <c r="Q1323" s="55">
        <f t="shared" si="824"/>
        <v>0</v>
      </c>
      <c r="R1323" s="31">
        <f>IF(Input!D$298=L1347,Input!D$297,0)</f>
        <v>0</v>
      </c>
      <c r="S1323" s="36">
        <f t="shared" si="826"/>
        <v>0</v>
      </c>
      <c r="T1323" s="1818"/>
      <c r="U1323" s="1814"/>
      <c r="V1323" s="1814"/>
      <c r="W1323" s="1817"/>
      <c r="X1323" s="1814"/>
      <c r="Y1323" s="1801"/>
      <c r="Z1323" s="1801"/>
      <c r="AA1323" s="1801"/>
      <c r="AB1323" s="1801"/>
      <c r="AC1323" s="1801"/>
      <c r="AD1323" s="1801"/>
      <c r="AE1323" s="1801"/>
      <c r="AF1323" s="1814"/>
      <c r="AG1323" s="376"/>
      <c r="AH1323" s="376"/>
      <c r="AI1323" s="376"/>
      <c r="AJ1323" s="376"/>
      <c r="AK1323" s="376"/>
      <c r="AL1323" s="1144"/>
      <c r="AM1323" s="1144"/>
      <c r="AN1323" s="1144"/>
      <c r="AO1323" s="1144"/>
      <c r="AP1323" s="1144"/>
      <c r="AQ1323" s="1144"/>
      <c r="AR1323" s="1144"/>
      <c r="AS1323" s="1144"/>
      <c r="AT1323" s="1144"/>
      <c r="AU1323" s="1144"/>
      <c r="AV1323" s="1144"/>
      <c r="AW1323" s="1144"/>
      <c r="AX1323" s="1144"/>
      <c r="AY1323" s="1144"/>
      <c r="AZ1323" s="1144"/>
      <c r="BA1323" s="1144"/>
      <c r="BB1323" s="1144"/>
      <c r="BC1323" s="1144"/>
      <c r="BD1323" s="1144"/>
      <c r="BE1323" s="1144"/>
      <c r="BF1323" s="1144"/>
      <c r="BG1323" s="1144"/>
      <c r="BH1323" s="1144"/>
      <c r="BI1323" s="1144"/>
      <c r="BJ1323" s="1144"/>
      <c r="BK1323" s="1144"/>
      <c r="BL1323" s="1144"/>
      <c r="BM1323" s="1144"/>
      <c r="BN1323" s="1144"/>
      <c r="BO1323" s="1144"/>
      <c r="BP1323" s="1144"/>
      <c r="BQ1323" s="1144"/>
      <c r="BR1323" s="1144"/>
      <c r="BS1323" s="1144"/>
      <c r="BT1323" s="1144"/>
      <c r="BU1323" s="1144"/>
      <c r="BV1323" s="1144"/>
      <c r="BW1323" s="1144"/>
      <c r="BX1323" s="1144"/>
      <c r="BY1323" s="1144"/>
      <c r="BZ1323" s="1144"/>
      <c r="CA1323" s="1144"/>
      <c r="CB1323" s="1144"/>
      <c r="CC1323" s="1144"/>
      <c r="CD1323" s="1144"/>
      <c r="CE1323" s="1144"/>
      <c r="CF1323" s="1144"/>
      <c r="CG1323" s="1144"/>
      <c r="CH1323" s="1144"/>
      <c r="CI1323" s="1144"/>
      <c r="CJ1323" s="1144"/>
      <c r="CK1323" s="1144"/>
      <c r="CL1323" s="1144"/>
      <c r="CM1323" s="1144"/>
      <c r="CN1323" s="1144"/>
    </row>
    <row r="1324" spans="11:92" ht="12" customHeight="1" x14ac:dyDescent="0.35">
      <c r="K1324" s="29">
        <f t="shared" si="818"/>
        <v>1</v>
      </c>
      <c r="L1324" s="1158">
        <f t="shared" si="819"/>
        <v>0</v>
      </c>
      <c r="M1324" s="34">
        <f t="shared" si="820"/>
        <v>0</v>
      </c>
      <c r="N1324" s="34">
        <f t="shared" si="821"/>
        <v>0</v>
      </c>
      <c r="O1324" s="55">
        <f t="shared" si="822"/>
        <v>0</v>
      </c>
      <c r="P1324" s="55">
        <f t="shared" si="823"/>
        <v>0</v>
      </c>
      <c r="Q1324" s="55">
        <f t="shared" si="824"/>
        <v>0</v>
      </c>
      <c r="R1324" s="31">
        <f>IF(Input!D$298=L1348,Input!D$297,0)</f>
        <v>0</v>
      </c>
      <c r="S1324" s="36">
        <f t="shared" si="826"/>
        <v>0</v>
      </c>
      <c r="T1324" s="1818"/>
      <c r="U1324" s="1814"/>
      <c r="V1324" s="1814"/>
      <c r="W1324" s="1817"/>
      <c r="X1324" s="1814"/>
      <c r="Y1324" s="1801"/>
      <c r="Z1324" s="1801"/>
      <c r="AA1324" s="1801"/>
      <c r="AB1324" s="1801"/>
      <c r="AC1324" s="1801"/>
      <c r="AD1324" s="1801"/>
      <c r="AE1324" s="1801"/>
      <c r="AF1324" s="1814"/>
      <c r="AG1324" s="376"/>
      <c r="AH1324" s="376"/>
      <c r="AI1324" s="376"/>
      <c r="AJ1324" s="376"/>
      <c r="AK1324" s="376"/>
      <c r="AL1324" s="1144"/>
      <c r="AM1324" s="1144"/>
      <c r="AN1324" s="1144"/>
      <c r="AO1324" s="1144"/>
      <c r="AP1324" s="1144"/>
      <c r="AQ1324" s="1144"/>
      <c r="AR1324" s="1144"/>
      <c r="AS1324" s="1144"/>
      <c r="AT1324" s="1144"/>
      <c r="AU1324" s="1144"/>
      <c r="AV1324" s="1144"/>
      <c r="AW1324" s="1144"/>
      <c r="AX1324" s="1144"/>
      <c r="AY1324" s="1144"/>
      <c r="AZ1324" s="1144"/>
      <c r="BA1324" s="1144"/>
      <c r="BB1324" s="1144"/>
      <c r="BC1324" s="1144"/>
      <c r="BD1324" s="1144"/>
      <c r="BE1324" s="1144"/>
      <c r="BF1324" s="1144"/>
      <c r="BG1324" s="1144"/>
      <c r="BH1324" s="1144"/>
      <c r="BI1324" s="1144"/>
      <c r="BJ1324" s="1144"/>
      <c r="BK1324" s="1144"/>
      <c r="BL1324" s="1144"/>
      <c r="BM1324" s="1144"/>
      <c r="BN1324" s="1144"/>
      <c r="BO1324" s="1144"/>
      <c r="BP1324" s="1144"/>
      <c r="BQ1324" s="1144"/>
      <c r="BR1324" s="1144"/>
      <c r="BS1324" s="1144"/>
      <c r="BT1324" s="1144"/>
      <c r="BU1324" s="1144"/>
      <c r="BV1324" s="1144"/>
      <c r="BW1324" s="1144"/>
      <c r="BX1324" s="1144"/>
      <c r="BY1324" s="1144"/>
      <c r="BZ1324" s="1144"/>
      <c r="CA1324" s="1144"/>
      <c r="CB1324" s="1144"/>
      <c r="CC1324" s="1144"/>
      <c r="CD1324" s="1144"/>
      <c r="CE1324" s="1144"/>
      <c r="CF1324" s="1144"/>
      <c r="CG1324" s="1144"/>
      <c r="CH1324" s="1144"/>
      <c r="CI1324" s="1144"/>
      <c r="CJ1324" s="1144"/>
      <c r="CK1324" s="1144"/>
      <c r="CL1324" s="1144"/>
      <c r="CM1324" s="1144"/>
      <c r="CN1324" s="1144"/>
    </row>
    <row r="1325" spans="11:92" ht="12" customHeight="1" x14ac:dyDescent="0.35">
      <c r="K1325" s="29">
        <f t="shared" si="818"/>
        <v>1</v>
      </c>
      <c r="L1325" s="1158">
        <f t="shared" si="819"/>
        <v>0</v>
      </c>
      <c r="M1325" s="34">
        <f t="shared" si="820"/>
        <v>0</v>
      </c>
      <c r="N1325" s="34">
        <f t="shared" si="821"/>
        <v>0</v>
      </c>
      <c r="O1325" s="55">
        <f t="shared" si="822"/>
        <v>0</v>
      </c>
      <c r="P1325" s="55">
        <f t="shared" si="823"/>
        <v>0</v>
      </c>
      <c r="Q1325" s="55">
        <f t="shared" si="824"/>
        <v>0</v>
      </c>
      <c r="R1325" s="31">
        <f>IF(Input!D$298=L1349,Input!D$297,0)</f>
        <v>0</v>
      </c>
      <c r="S1325" s="36">
        <f t="shared" si="826"/>
        <v>0</v>
      </c>
      <c r="T1325" s="1818"/>
      <c r="U1325" s="1814"/>
      <c r="V1325" s="1814"/>
      <c r="W1325" s="1817"/>
      <c r="X1325" s="1814"/>
      <c r="Y1325" s="1801"/>
      <c r="Z1325" s="1801"/>
      <c r="AA1325" s="1801"/>
      <c r="AB1325" s="1801"/>
      <c r="AC1325" s="1801"/>
      <c r="AD1325" s="1801"/>
      <c r="AE1325" s="1801"/>
      <c r="AF1325" s="1814"/>
      <c r="AG1325" s="376"/>
      <c r="AH1325" s="376"/>
      <c r="AI1325" s="376"/>
      <c r="AJ1325" s="376"/>
      <c r="AK1325" s="376"/>
      <c r="AL1325" s="1144"/>
      <c r="AM1325" s="1144"/>
      <c r="AN1325" s="1144"/>
      <c r="AO1325" s="1144"/>
      <c r="AP1325" s="1144"/>
      <c r="AQ1325" s="1144"/>
      <c r="AR1325" s="1144"/>
      <c r="AS1325" s="1144"/>
      <c r="AT1325" s="1144"/>
      <c r="AU1325" s="1144"/>
      <c r="AV1325" s="1144"/>
      <c r="AW1325" s="1144"/>
      <c r="AX1325" s="1144"/>
      <c r="AY1325" s="1144"/>
      <c r="AZ1325" s="1144"/>
      <c r="BA1325" s="1144"/>
      <c r="BB1325" s="1144"/>
      <c r="BC1325" s="1144"/>
      <c r="BD1325" s="1144"/>
      <c r="BE1325" s="1144"/>
      <c r="BF1325" s="1144"/>
      <c r="BG1325" s="1144"/>
      <c r="BH1325" s="1144"/>
      <c r="BI1325" s="1144"/>
      <c r="BJ1325" s="1144"/>
      <c r="BK1325" s="1144"/>
      <c r="BL1325" s="1144"/>
      <c r="BM1325" s="1144"/>
      <c r="BN1325" s="1144"/>
      <c r="BO1325" s="1144"/>
      <c r="BP1325" s="1144"/>
      <c r="BQ1325" s="1144"/>
      <c r="BR1325" s="1144"/>
      <c r="BS1325" s="1144"/>
      <c r="BT1325" s="1144"/>
      <c r="BU1325" s="1144"/>
      <c r="BV1325" s="1144"/>
      <c r="BW1325" s="1144"/>
      <c r="BX1325" s="1144"/>
      <c r="BY1325" s="1144"/>
      <c r="BZ1325" s="1144"/>
      <c r="CA1325" s="1144"/>
      <c r="CB1325" s="1144"/>
      <c r="CC1325" s="1144"/>
      <c r="CD1325" s="1144"/>
      <c r="CE1325" s="1144"/>
      <c r="CF1325" s="1144"/>
      <c r="CG1325" s="1144"/>
      <c r="CH1325" s="1144"/>
      <c r="CI1325" s="1144"/>
      <c r="CJ1325" s="1144"/>
      <c r="CK1325" s="1144"/>
      <c r="CL1325" s="1144"/>
      <c r="CM1325" s="1144"/>
      <c r="CN1325" s="1144"/>
    </row>
    <row r="1326" spans="11:92" ht="12" customHeight="1" x14ac:dyDescent="0.35">
      <c r="K1326" s="29">
        <f t="shared" si="818"/>
        <v>1</v>
      </c>
      <c r="L1326" s="1158">
        <f t="shared" si="819"/>
        <v>0</v>
      </c>
      <c r="M1326" s="34">
        <f t="shared" si="820"/>
        <v>0</v>
      </c>
      <c r="N1326" s="34">
        <f t="shared" si="821"/>
        <v>0</v>
      </c>
      <c r="O1326" s="55">
        <f t="shared" si="822"/>
        <v>0</v>
      </c>
      <c r="P1326" s="55">
        <f t="shared" si="823"/>
        <v>0</v>
      </c>
      <c r="Q1326" s="55">
        <f t="shared" si="824"/>
        <v>0</v>
      </c>
      <c r="R1326" s="31">
        <f>IF(Input!D$298=L1350,Input!D$297,0)</f>
        <v>0</v>
      </c>
      <c r="S1326" s="36">
        <f t="shared" si="826"/>
        <v>0</v>
      </c>
      <c r="T1326" s="1818"/>
      <c r="U1326" s="1814"/>
      <c r="V1326" s="1814"/>
      <c r="W1326" s="1817"/>
      <c r="X1326" s="1814"/>
      <c r="Y1326" s="1801"/>
      <c r="Z1326" s="1801"/>
      <c r="AA1326" s="1801"/>
      <c r="AB1326" s="1801"/>
      <c r="AC1326" s="1801"/>
      <c r="AD1326" s="1801"/>
      <c r="AE1326" s="1801"/>
      <c r="AF1326" s="1814"/>
      <c r="AG1326" s="376"/>
      <c r="AH1326" s="376"/>
      <c r="AI1326" s="376"/>
      <c r="AJ1326" s="376"/>
      <c r="AK1326" s="376"/>
      <c r="AL1326" s="1144"/>
      <c r="AM1326" s="1144"/>
      <c r="AN1326" s="1144"/>
      <c r="AO1326" s="1144"/>
      <c r="AP1326" s="1144"/>
      <c r="AQ1326" s="1144"/>
      <c r="AR1326" s="1144"/>
      <c r="AS1326" s="1144"/>
      <c r="AT1326" s="1144"/>
      <c r="AU1326" s="1144"/>
      <c r="AV1326" s="1144"/>
      <c r="AW1326" s="1144"/>
      <c r="AX1326" s="1144"/>
      <c r="AY1326" s="1144"/>
      <c r="AZ1326" s="1144"/>
      <c r="BA1326" s="1144"/>
      <c r="BB1326" s="1144"/>
      <c r="BC1326" s="1144"/>
      <c r="BD1326" s="1144"/>
      <c r="BE1326" s="1144"/>
      <c r="BF1326" s="1144"/>
      <c r="BG1326" s="1144"/>
      <c r="BH1326" s="1144"/>
      <c r="BI1326" s="1144"/>
      <c r="BJ1326" s="1144"/>
      <c r="BK1326" s="1144"/>
      <c r="BL1326" s="1144"/>
      <c r="BM1326" s="1144"/>
      <c r="BN1326" s="1144"/>
      <c r="BO1326" s="1144"/>
      <c r="BP1326" s="1144"/>
      <c r="BQ1326" s="1144"/>
      <c r="BR1326" s="1144"/>
      <c r="BS1326" s="1144"/>
      <c r="BT1326" s="1144"/>
      <c r="BU1326" s="1144"/>
      <c r="BV1326" s="1144"/>
      <c r="BW1326" s="1144"/>
      <c r="BX1326" s="1144"/>
      <c r="BY1326" s="1144"/>
      <c r="BZ1326" s="1144"/>
      <c r="CA1326" s="1144"/>
      <c r="CB1326" s="1144"/>
      <c r="CC1326" s="1144"/>
      <c r="CD1326" s="1144"/>
      <c r="CE1326" s="1144"/>
      <c r="CF1326" s="1144"/>
      <c r="CG1326" s="1144"/>
      <c r="CH1326" s="1144"/>
      <c r="CI1326" s="1144"/>
      <c r="CJ1326" s="1144"/>
      <c r="CK1326" s="1144"/>
      <c r="CL1326" s="1144"/>
      <c r="CM1326" s="1144"/>
      <c r="CN1326" s="1144"/>
    </row>
    <row r="1327" spans="11:92" ht="12" customHeight="1" x14ac:dyDescent="0.35">
      <c r="K1327" s="29">
        <f t="shared" si="818"/>
        <v>1</v>
      </c>
      <c r="L1327" s="1158">
        <f t="shared" si="819"/>
        <v>0</v>
      </c>
      <c r="M1327" s="34">
        <f t="shared" si="820"/>
        <v>0</v>
      </c>
      <c r="N1327" s="34">
        <f t="shared" si="821"/>
        <v>0</v>
      </c>
      <c r="O1327" s="55">
        <f t="shared" si="822"/>
        <v>0</v>
      </c>
      <c r="P1327" s="55">
        <f t="shared" si="823"/>
        <v>0</v>
      </c>
      <c r="Q1327" s="55">
        <f t="shared" si="824"/>
        <v>0</v>
      </c>
      <c r="R1327" s="31">
        <f>IF(Input!D$298=L1351,Input!D$297,0)</f>
        <v>0</v>
      </c>
      <c r="S1327" s="36">
        <f t="shared" si="826"/>
        <v>0</v>
      </c>
      <c r="T1327" s="1818"/>
      <c r="U1327" s="1814"/>
      <c r="V1327" s="1814"/>
      <c r="W1327" s="1817"/>
      <c r="X1327" s="1814"/>
      <c r="Y1327" s="1801"/>
      <c r="Z1327" s="1801"/>
      <c r="AA1327" s="1801"/>
      <c r="AB1327" s="1801"/>
      <c r="AC1327" s="1801"/>
      <c r="AD1327" s="1801"/>
      <c r="AE1327" s="1801"/>
      <c r="AF1327" s="1814"/>
      <c r="AG1327" s="376"/>
      <c r="AH1327" s="376"/>
      <c r="AI1327" s="376"/>
      <c r="AJ1327" s="376"/>
      <c r="AK1327" s="376"/>
      <c r="AL1327" s="1144"/>
      <c r="AM1327" s="1144"/>
      <c r="AN1327" s="1144"/>
      <c r="AO1327" s="1144"/>
      <c r="AP1327" s="1144"/>
      <c r="AQ1327" s="1144"/>
      <c r="AR1327" s="1144"/>
      <c r="AS1327" s="1144"/>
      <c r="AT1327" s="1144"/>
      <c r="AU1327" s="1144"/>
      <c r="AV1327" s="1144"/>
      <c r="AW1327" s="1144"/>
      <c r="AX1327" s="1144"/>
      <c r="AY1327" s="1144"/>
      <c r="AZ1327" s="1144"/>
      <c r="BA1327" s="1144"/>
      <c r="BB1327" s="1144"/>
      <c r="BC1327" s="1144"/>
      <c r="BD1327" s="1144"/>
      <c r="BE1327" s="1144"/>
      <c r="BF1327" s="1144"/>
      <c r="BG1327" s="1144"/>
      <c r="BH1327" s="1144"/>
      <c r="BI1327" s="1144"/>
      <c r="BJ1327" s="1144"/>
      <c r="BK1327" s="1144"/>
      <c r="BL1327" s="1144"/>
      <c r="BM1327" s="1144"/>
      <c r="BN1327" s="1144"/>
      <c r="BO1327" s="1144"/>
      <c r="BP1327" s="1144"/>
      <c r="BQ1327" s="1144"/>
      <c r="BR1327" s="1144"/>
      <c r="BS1327" s="1144"/>
      <c r="BT1327" s="1144"/>
      <c r="BU1327" s="1144"/>
      <c r="BV1327" s="1144"/>
      <c r="BW1327" s="1144"/>
      <c r="BX1327" s="1144"/>
      <c r="BY1327" s="1144"/>
      <c r="BZ1327" s="1144"/>
      <c r="CA1327" s="1144"/>
      <c r="CB1327" s="1144"/>
      <c r="CC1327" s="1144"/>
      <c r="CD1327" s="1144"/>
      <c r="CE1327" s="1144"/>
      <c r="CF1327" s="1144"/>
      <c r="CG1327" s="1144"/>
      <c r="CH1327" s="1144"/>
      <c r="CI1327" s="1144"/>
      <c r="CJ1327" s="1144"/>
      <c r="CK1327" s="1144"/>
      <c r="CL1327" s="1144"/>
      <c r="CM1327" s="1144"/>
      <c r="CN1327" s="1144"/>
    </row>
    <row r="1328" spans="11:92" ht="12" customHeight="1" x14ac:dyDescent="0.35">
      <c r="K1328" s="29">
        <f t="shared" si="818"/>
        <v>1</v>
      </c>
      <c r="L1328" s="1158">
        <f t="shared" si="819"/>
        <v>0</v>
      </c>
      <c r="M1328" s="34">
        <f t="shared" si="820"/>
        <v>0</v>
      </c>
      <c r="N1328" s="34">
        <f t="shared" si="821"/>
        <v>0</v>
      </c>
      <c r="O1328" s="55">
        <f t="shared" si="822"/>
        <v>0</v>
      </c>
      <c r="P1328" s="55">
        <f t="shared" si="823"/>
        <v>0</v>
      </c>
      <c r="Q1328" s="55">
        <f t="shared" si="824"/>
        <v>0</v>
      </c>
      <c r="R1328" s="31">
        <f>IF(Input!D$298=L1352,Input!D$297,0)</f>
        <v>0</v>
      </c>
      <c r="S1328" s="36">
        <f t="shared" si="826"/>
        <v>0</v>
      </c>
      <c r="T1328" s="1818"/>
      <c r="U1328" s="1814"/>
      <c r="V1328" s="1814"/>
      <c r="W1328" s="1817"/>
      <c r="X1328" s="1814"/>
      <c r="Y1328" s="1801"/>
      <c r="Z1328" s="1801"/>
      <c r="AA1328" s="1801"/>
      <c r="AB1328" s="1801"/>
      <c r="AC1328" s="1801"/>
      <c r="AD1328" s="1801"/>
      <c r="AE1328" s="1801"/>
      <c r="AF1328" s="1814"/>
      <c r="AG1328" s="376"/>
      <c r="AH1328" s="376"/>
      <c r="AI1328" s="376"/>
      <c r="AJ1328" s="376"/>
      <c r="AK1328" s="376"/>
      <c r="AL1328" s="1144"/>
      <c r="AM1328" s="1144"/>
      <c r="AN1328" s="1144"/>
      <c r="AO1328" s="1144"/>
      <c r="AP1328" s="1144"/>
      <c r="AQ1328" s="1144"/>
      <c r="AR1328" s="1144"/>
      <c r="AS1328" s="1144"/>
      <c r="AT1328" s="1144"/>
      <c r="AU1328" s="1144"/>
      <c r="AV1328" s="1144"/>
      <c r="AW1328" s="1144"/>
      <c r="AX1328" s="1144"/>
      <c r="AY1328" s="1144"/>
      <c r="AZ1328" s="1144"/>
      <c r="BA1328" s="1144"/>
      <c r="BB1328" s="1144"/>
      <c r="BC1328" s="1144"/>
      <c r="BD1328" s="1144"/>
      <c r="BE1328" s="1144"/>
      <c r="BF1328" s="1144"/>
      <c r="BG1328" s="1144"/>
      <c r="BH1328" s="1144"/>
      <c r="BI1328" s="1144"/>
      <c r="BJ1328" s="1144"/>
      <c r="BK1328" s="1144"/>
      <c r="BL1328" s="1144"/>
      <c r="BM1328" s="1144"/>
      <c r="BN1328" s="1144"/>
      <c r="BO1328" s="1144"/>
      <c r="BP1328" s="1144"/>
      <c r="BQ1328" s="1144"/>
      <c r="BR1328" s="1144"/>
      <c r="BS1328" s="1144"/>
      <c r="BT1328" s="1144"/>
      <c r="BU1328" s="1144"/>
      <c r="BV1328" s="1144"/>
      <c r="BW1328" s="1144"/>
      <c r="BX1328" s="1144"/>
      <c r="BY1328" s="1144"/>
      <c r="BZ1328" s="1144"/>
      <c r="CA1328" s="1144"/>
      <c r="CB1328" s="1144"/>
      <c r="CC1328" s="1144"/>
      <c r="CD1328" s="1144"/>
      <c r="CE1328" s="1144"/>
      <c r="CF1328" s="1144"/>
      <c r="CG1328" s="1144"/>
      <c r="CH1328" s="1144"/>
      <c r="CI1328" s="1144"/>
      <c r="CJ1328" s="1144"/>
      <c r="CK1328" s="1144"/>
      <c r="CL1328" s="1144"/>
      <c r="CM1328" s="1144"/>
      <c r="CN1328" s="1144"/>
    </row>
    <row r="1329" spans="11:92" ht="12" customHeight="1" x14ac:dyDescent="0.35">
      <c r="K1329" s="29">
        <f t="shared" si="818"/>
        <v>1</v>
      </c>
      <c r="L1329" s="1158">
        <f t="shared" si="819"/>
        <v>0</v>
      </c>
      <c r="M1329" s="34">
        <f t="shared" si="820"/>
        <v>0</v>
      </c>
      <c r="N1329" s="34">
        <f t="shared" si="821"/>
        <v>0</v>
      </c>
      <c r="O1329" s="55">
        <f t="shared" si="822"/>
        <v>0</v>
      </c>
      <c r="P1329" s="55">
        <f t="shared" si="823"/>
        <v>0</v>
      </c>
      <c r="Q1329" s="55">
        <f t="shared" si="824"/>
        <v>0</v>
      </c>
      <c r="R1329" s="31">
        <f>IF(Input!D$298=L1353,Input!D$297,0)</f>
        <v>0</v>
      </c>
      <c r="S1329" s="36">
        <f t="shared" si="826"/>
        <v>0</v>
      </c>
      <c r="T1329" s="1818"/>
      <c r="U1329" s="1814"/>
      <c r="V1329" s="1814"/>
      <c r="W1329" s="1817"/>
      <c r="X1329" s="1814"/>
      <c r="Y1329" s="1801"/>
      <c r="Z1329" s="1801"/>
      <c r="AA1329" s="1801"/>
      <c r="AB1329" s="1801"/>
      <c r="AC1329" s="1801"/>
      <c r="AD1329" s="1801"/>
      <c r="AE1329" s="1801"/>
      <c r="AF1329" s="1814"/>
      <c r="AG1329" s="376"/>
      <c r="AH1329" s="376"/>
      <c r="AI1329" s="376"/>
      <c r="AJ1329" s="376"/>
      <c r="AK1329" s="376"/>
      <c r="AL1329" s="1144"/>
      <c r="AM1329" s="1144"/>
      <c r="AN1329" s="1144"/>
      <c r="AO1329" s="1144"/>
      <c r="AP1329" s="1144"/>
      <c r="AQ1329" s="1144"/>
      <c r="AR1329" s="1144"/>
      <c r="AS1329" s="1144"/>
      <c r="AT1329" s="1144"/>
      <c r="AU1329" s="1144"/>
      <c r="AV1329" s="1144"/>
      <c r="AW1329" s="1144"/>
      <c r="AX1329" s="1144"/>
      <c r="AY1329" s="1144"/>
      <c r="AZ1329" s="1144"/>
      <c r="BA1329" s="1144"/>
      <c r="BB1329" s="1144"/>
      <c r="BC1329" s="1144"/>
      <c r="BD1329" s="1144"/>
      <c r="BE1329" s="1144"/>
      <c r="BF1329" s="1144"/>
      <c r="BG1329" s="1144"/>
      <c r="BH1329" s="1144"/>
      <c r="BI1329" s="1144"/>
      <c r="BJ1329" s="1144"/>
      <c r="BK1329" s="1144"/>
      <c r="BL1329" s="1144"/>
      <c r="BM1329" s="1144"/>
      <c r="BN1329" s="1144"/>
      <c r="BO1329" s="1144"/>
      <c r="BP1329" s="1144"/>
      <c r="BQ1329" s="1144"/>
      <c r="BR1329" s="1144"/>
      <c r="BS1329" s="1144"/>
      <c r="BT1329" s="1144"/>
      <c r="BU1329" s="1144"/>
      <c r="BV1329" s="1144"/>
      <c r="BW1329" s="1144"/>
      <c r="BX1329" s="1144"/>
      <c r="BY1329" s="1144"/>
      <c r="BZ1329" s="1144"/>
      <c r="CA1329" s="1144"/>
      <c r="CB1329" s="1144"/>
      <c r="CC1329" s="1144"/>
      <c r="CD1329" s="1144"/>
      <c r="CE1329" s="1144"/>
      <c r="CF1329" s="1144"/>
      <c r="CG1329" s="1144"/>
      <c r="CH1329" s="1144"/>
      <c r="CI1329" s="1144"/>
      <c r="CJ1329" s="1144"/>
      <c r="CK1329" s="1144"/>
      <c r="CL1329" s="1144"/>
      <c r="CM1329" s="1144"/>
      <c r="CN1329" s="1144"/>
    </row>
    <row r="1330" spans="11:92" ht="12" customHeight="1" x14ac:dyDescent="0.35">
      <c r="K1330" s="29">
        <f t="shared" si="818"/>
        <v>1</v>
      </c>
      <c r="L1330" s="1158">
        <f t="shared" si="819"/>
        <v>0</v>
      </c>
      <c r="M1330" s="34">
        <f t="shared" si="820"/>
        <v>0</v>
      </c>
      <c r="N1330" s="34">
        <f t="shared" si="821"/>
        <v>0</v>
      </c>
      <c r="O1330" s="55">
        <f t="shared" si="822"/>
        <v>0</v>
      </c>
      <c r="P1330" s="55">
        <f t="shared" si="823"/>
        <v>0</v>
      </c>
      <c r="Q1330" s="55">
        <f t="shared" si="824"/>
        <v>0</v>
      </c>
      <c r="R1330" s="31">
        <f>IF(Input!D$298=L1354,Input!D$297,0)</f>
        <v>0</v>
      </c>
      <c r="S1330" s="36">
        <f t="shared" si="826"/>
        <v>0</v>
      </c>
      <c r="T1330" s="1818"/>
      <c r="U1330" s="1814"/>
      <c r="V1330" s="1814"/>
      <c r="W1330" s="1817"/>
      <c r="X1330" s="1814"/>
      <c r="Y1330" s="1801"/>
      <c r="Z1330" s="1801"/>
      <c r="AA1330" s="1801"/>
      <c r="AB1330" s="1801"/>
      <c r="AC1330" s="1801"/>
      <c r="AD1330" s="1801"/>
      <c r="AE1330" s="1801"/>
      <c r="AF1330" s="1814"/>
      <c r="AG1330" s="376"/>
      <c r="AH1330" s="376"/>
      <c r="AI1330" s="376"/>
      <c r="AJ1330" s="376"/>
      <c r="AK1330" s="376"/>
      <c r="AL1330" s="1144"/>
      <c r="AM1330" s="1144"/>
      <c r="AN1330" s="1144"/>
      <c r="AO1330" s="1144"/>
      <c r="AP1330" s="1144"/>
      <c r="AQ1330" s="1144"/>
      <c r="AR1330" s="1144"/>
      <c r="AS1330" s="1144"/>
      <c r="AT1330" s="1144"/>
      <c r="AU1330" s="1144"/>
      <c r="AV1330" s="1144"/>
      <c r="AW1330" s="1144"/>
      <c r="AX1330" s="1144"/>
      <c r="AY1330" s="1144"/>
      <c r="AZ1330" s="1144"/>
      <c r="BA1330" s="1144"/>
      <c r="BB1330" s="1144"/>
      <c r="BC1330" s="1144"/>
      <c r="BD1330" s="1144"/>
      <c r="BE1330" s="1144"/>
      <c r="BF1330" s="1144"/>
      <c r="BG1330" s="1144"/>
      <c r="BH1330" s="1144"/>
      <c r="BI1330" s="1144"/>
      <c r="BJ1330" s="1144"/>
      <c r="BK1330" s="1144"/>
      <c r="BL1330" s="1144"/>
      <c r="BM1330" s="1144"/>
      <c r="BN1330" s="1144"/>
      <c r="BO1330" s="1144"/>
      <c r="BP1330" s="1144"/>
      <c r="BQ1330" s="1144"/>
      <c r="BR1330" s="1144"/>
      <c r="BS1330" s="1144"/>
      <c r="BT1330" s="1144"/>
      <c r="BU1330" s="1144"/>
      <c r="BV1330" s="1144"/>
      <c r="BW1330" s="1144"/>
      <c r="BX1330" s="1144"/>
      <c r="BY1330" s="1144"/>
      <c r="BZ1330" s="1144"/>
      <c r="CA1330" s="1144"/>
      <c r="CB1330" s="1144"/>
      <c r="CC1330" s="1144"/>
      <c r="CD1330" s="1144"/>
      <c r="CE1330" s="1144"/>
      <c r="CF1330" s="1144"/>
      <c r="CG1330" s="1144"/>
      <c r="CH1330" s="1144"/>
      <c r="CI1330" s="1144"/>
      <c r="CJ1330" s="1144"/>
      <c r="CK1330" s="1144"/>
      <c r="CL1330" s="1144"/>
      <c r="CM1330" s="1144"/>
      <c r="CN1330" s="1144"/>
    </row>
    <row r="1331" spans="11:92" ht="12" customHeight="1" x14ac:dyDescent="0.35">
      <c r="K1331" s="29">
        <f t="shared" si="818"/>
        <v>1</v>
      </c>
      <c r="L1331" s="1158">
        <f t="shared" si="819"/>
        <v>0</v>
      </c>
      <c r="M1331" s="34">
        <f t="shared" si="820"/>
        <v>0</v>
      </c>
      <c r="N1331" s="34">
        <f t="shared" si="821"/>
        <v>0</v>
      </c>
      <c r="O1331" s="55">
        <f t="shared" si="822"/>
        <v>0</v>
      </c>
      <c r="P1331" s="55">
        <f t="shared" si="823"/>
        <v>0</v>
      </c>
      <c r="Q1331" s="55">
        <f t="shared" si="824"/>
        <v>0</v>
      </c>
      <c r="R1331" s="31">
        <f>IF(Input!D$298=L1355,Input!D$297,0)</f>
        <v>0</v>
      </c>
      <c r="S1331" s="36">
        <f t="shared" si="826"/>
        <v>0</v>
      </c>
      <c r="T1331" s="1818"/>
      <c r="U1331" s="1814"/>
      <c r="V1331" s="1814"/>
      <c r="W1331" s="1817"/>
      <c r="X1331" s="1814"/>
      <c r="Y1331" s="1801"/>
      <c r="Z1331" s="1801"/>
      <c r="AA1331" s="1801"/>
      <c r="AB1331" s="1801"/>
      <c r="AC1331" s="1801"/>
      <c r="AD1331" s="1801"/>
      <c r="AE1331" s="1801"/>
      <c r="AF1331" s="1814"/>
      <c r="AG1331" s="376"/>
      <c r="AH1331" s="376"/>
      <c r="AI1331" s="376"/>
      <c r="AJ1331" s="376"/>
      <c r="AK1331" s="376"/>
      <c r="AL1331" s="1144"/>
      <c r="AM1331" s="1144"/>
      <c r="AN1331" s="1144"/>
      <c r="AO1331" s="1144"/>
      <c r="AP1331" s="1144"/>
      <c r="AQ1331" s="1144"/>
      <c r="AR1331" s="1144"/>
      <c r="AS1331" s="1144"/>
      <c r="AT1331" s="1144"/>
      <c r="AU1331" s="1144"/>
      <c r="AV1331" s="1144"/>
      <c r="AW1331" s="1144"/>
      <c r="AX1331" s="1144"/>
      <c r="AY1331" s="1144"/>
      <c r="AZ1331" s="1144"/>
      <c r="BA1331" s="1144"/>
      <c r="BB1331" s="1144"/>
      <c r="BC1331" s="1144"/>
      <c r="BD1331" s="1144"/>
      <c r="BE1331" s="1144"/>
      <c r="BF1331" s="1144"/>
      <c r="BG1331" s="1144"/>
      <c r="BH1331" s="1144"/>
      <c r="BI1331" s="1144"/>
      <c r="BJ1331" s="1144"/>
      <c r="BK1331" s="1144"/>
      <c r="BL1331" s="1144"/>
      <c r="BM1331" s="1144"/>
      <c r="BN1331" s="1144"/>
      <c r="BO1331" s="1144"/>
      <c r="BP1331" s="1144"/>
      <c r="BQ1331" s="1144"/>
      <c r="BR1331" s="1144"/>
      <c r="BS1331" s="1144"/>
      <c r="BT1331" s="1144"/>
      <c r="BU1331" s="1144"/>
      <c r="BV1331" s="1144"/>
      <c r="BW1331" s="1144"/>
      <c r="BX1331" s="1144"/>
      <c r="BY1331" s="1144"/>
      <c r="BZ1331" s="1144"/>
      <c r="CA1331" s="1144"/>
      <c r="CB1331" s="1144"/>
      <c r="CC1331" s="1144"/>
      <c r="CD1331" s="1144"/>
      <c r="CE1331" s="1144"/>
      <c r="CF1331" s="1144"/>
      <c r="CG1331" s="1144"/>
      <c r="CH1331" s="1144"/>
      <c r="CI1331" s="1144"/>
      <c r="CJ1331" s="1144"/>
      <c r="CK1331" s="1144"/>
      <c r="CL1331" s="1144"/>
      <c r="CM1331" s="1144"/>
      <c r="CN1331" s="1144"/>
    </row>
    <row r="1332" spans="11:92" ht="12" customHeight="1" x14ac:dyDescent="0.35">
      <c r="K1332" s="29">
        <f t="shared" si="818"/>
        <v>1</v>
      </c>
      <c r="L1332" s="1158">
        <f t="shared" si="819"/>
        <v>0</v>
      </c>
      <c r="M1332" s="34">
        <f t="shared" si="820"/>
        <v>0</v>
      </c>
      <c r="N1332" s="34">
        <f t="shared" si="821"/>
        <v>0</v>
      </c>
      <c r="O1332" s="55">
        <f t="shared" si="822"/>
        <v>0</v>
      </c>
      <c r="P1332" s="55">
        <f t="shared" si="823"/>
        <v>0</v>
      </c>
      <c r="Q1332" s="55">
        <f t="shared" si="824"/>
        <v>0</v>
      </c>
      <c r="R1332" s="31">
        <f>IF(Input!D$298=L1356,Input!D$297,0)</f>
        <v>0</v>
      </c>
      <c r="S1332" s="36">
        <f t="shared" si="826"/>
        <v>0</v>
      </c>
      <c r="T1332" s="1818"/>
      <c r="U1332" s="1814"/>
      <c r="V1332" s="1814"/>
      <c r="W1332" s="1817"/>
      <c r="X1332" s="1814"/>
      <c r="Y1332" s="1801"/>
      <c r="Z1332" s="1801"/>
      <c r="AA1332" s="1801"/>
      <c r="AB1332" s="1801"/>
      <c r="AC1332" s="1801"/>
      <c r="AD1332" s="1801"/>
      <c r="AE1332" s="1801"/>
      <c r="AF1332" s="1814"/>
      <c r="AG1332" s="376"/>
      <c r="AH1332" s="376"/>
      <c r="AI1332" s="376"/>
      <c r="AJ1332" s="376"/>
      <c r="AK1332" s="376"/>
      <c r="AL1332" s="1144"/>
      <c r="AM1332" s="1144"/>
      <c r="AN1332" s="1144"/>
      <c r="AO1332" s="1144"/>
      <c r="AP1332" s="1144"/>
      <c r="AQ1332" s="1144"/>
      <c r="AR1332" s="1144"/>
      <c r="AS1332" s="1144"/>
      <c r="AT1332" s="1144"/>
      <c r="AU1332" s="1144"/>
      <c r="AV1332" s="1144"/>
      <c r="AW1332" s="1144"/>
      <c r="AX1332" s="1144"/>
      <c r="AY1332" s="1144"/>
      <c r="AZ1332" s="1144"/>
      <c r="BA1332" s="1144"/>
      <c r="BB1332" s="1144"/>
      <c r="BC1332" s="1144"/>
      <c r="BD1332" s="1144"/>
      <c r="BE1332" s="1144"/>
      <c r="BF1332" s="1144"/>
      <c r="BG1332" s="1144"/>
      <c r="BH1332" s="1144"/>
      <c r="BI1332" s="1144"/>
      <c r="BJ1332" s="1144"/>
      <c r="BK1332" s="1144"/>
      <c r="BL1332" s="1144"/>
      <c r="BM1332" s="1144"/>
      <c r="BN1332" s="1144"/>
      <c r="BO1332" s="1144"/>
      <c r="BP1332" s="1144"/>
      <c r="BQ1332" s="1144"/>
      <c r="BR1332" s="1144"/>
      <c r="BS1332" s="1144"/>
      <c r="BT1332" s="1144"/>
      <c r="BU1332" s="1144"/>
      <c r="BV1332" s="1144"/>
      <c r="BW1332" s="1144"/>
      <c r="BX1332" s="1144"/>
      <c r="BY1332" s="1144"/>
      <c r="BZ1332" s="1144"/>
      <c r="CA1332" s="1144"/>
      <c r="CB1332" s="1144"/>
      <c r="CC1332" s="1144"/>
      <c r="CD1332" s="1144"/>
      <c r="CE1332" s="1144"/>
      <c r="CF1332" s="1144"/>
      <c r="CG1332" s="1144"/>
      <c r="CH1332" s="1144"/>
      <c r="CI1332" s="1144"/>
      <c r="CJ1332" s="1144"/>
      <c r="CK1332" s="1144"/>
      <c r="CL1332" s="1144"/>
      <c r="CM1332" s="1144"/>
      <c r="CN1332" s="1144"/>
    </row>
    <row r="1333" spans="11:92" ht="12" customHeight="1" x14ac:dyDescent="0.35">
      <c r="K1333" s="29">
        <f t="shared" si="818"/>
        <v>1</v>
      </c>
      <c r="L1333" s="1158">
        <f t="shared" si="819"/>
        <v>0</v>
      </c>
      <c r="M1333" s="34">
        <f t="shared" si="820"/>
        <v>0</v>
      </c>
      <c r="N1333" s="34">
        <f t="shared" si="821"/>
        <v>0</v>
      </c>
      <c r="O1333" s="55">
        <f t="shared" si="822"/>
        <v>0</v>
      </c>
      <c r="P1333" s="55">
        <f t="shared" si="823"/>
        <v>0</v>
      </c>
      <c r="Q1333" s="55">
        <f t="shared" si="824"/>
        <v>0</v>
      </c>
      <c r="R1333" s="1156">
        <f>Q1333</f>
        <v>0</v>
      </c>
      <c r="S1333" s="1156">
        <f>IF(Input!F298&lt;=L1333,SUM(P1334:P1345),0)</f>
        <v>0</v>
      </c>
      <c r="T1333" s="1818" t="s">
        <v>494</v>
      </c>
      <c r="U1333" s="1821">
        <f>Q1333</f>
        <v>0</v>
      </c>
      <c r="V1333" s="1814"/>
      <c r="W1333" s="1817"/>
      <c r="X1333" s="1814"/>
      <c r="Y1333" s="1801"/>
      <c r="Z1333" s="1801"/>
      <c r="AA1333" s="1801"/>
      <c r="AB1333" s="1801"/>
      <c r="AC1333" s="1801"/>
      <c r="AD1333" s="1801"/>
      <c r="AE1333" s="1801"/>
      <c r="AF1333" s="1814"/>
      <c r="AG1333" s="376"/>
      <c r="AH1333" s="376"/>
      <c r="AI1333" s="376"/>
      <c r="AJ1333" s="376"/>
      <c r="AK1333" s="376"/>
      <c r="AL1333" s="1144"/>
      <c r="AM1333" s="1144"/>
      <c r="AN1333" s="1144"/>
      <c r="AO1333" s="1144"/>
      <c r="AP1333" s="1144"/>
      <c r="AQ1333" s="1144"/>
      <c r="AR1333" s="1144"/>
      <c r="AS1333" s="1144"/>
      <c r="AT1333" s="1144"/>
      <c r="AU1333" s="1144"/>
      <c r="AV1333" s="1144"/>
      <c r="AW1333" s="1144"/>
      <c r="AX1333" s="1144"/>
      <c r="AY1333" s="1144"/>
      <c r="AZ1333" s="1144"/>
      <c r="BA1333" s="1144"/>
      <c r="BB1333" s="1144"/>
      <c r="BC1333" s="1144"/>
      <c r="BD1333" s="1144"/>
      <c r="BE1333" s="1144"/>
      <c r="BF1333" s="1144"/>
      <c r="BG1333" s="1144"/>
      <c r="BH1333" s="1144"/>
      <c r="BI1333" s="1144"/>
      <c r="BJ1333" s="1144"/>
      <c r="BK1333" s="1144"/>
      <c r="BL1333" s="1144"/>
      <c r="BM1333" s="1144"/>
      <c r="BN1333" s="1144"/>
      <c r="BO1333" s="1144"/>
      <c r="BP1333" s="1144"/>
      <c r="BQ1333" s="1144"/>
      <c r="BR1333" s="1144"/>
      <c r="BS1333" s="1144"/>
      <c r="BT1333" s="1144"/>
      <c r="BU1333" s="1144"/>
      <c r="BV1333" s="1144"/>
      <c r="BW1333" s="1144"/>
      <c r="BX1333" s="1144"/>
      <c r="BY1333" s="1144"/>
      <c r="BZ1333" s="1144"/>
      <c r="CA1333" s="1144"/>
      <c r="CB1333" s="1144"/>
      <c r="CC1333" s="1144"/>
      <c r="CD1333" s="1144"/>
      <c r="CE1333" s="1144"/>
      <c r="CF1333" s="1144"/>
      <c r="CG1333" s="1144"/>
      <c r="CH1333" s="1144"/>
      <c r="CI1333" s="1144"/>
      <c r="CJ1333" s="1144"/>
      <c r="CK1333" s="1144"/>
      <c r="CL1333" s="1144"/>
      <c r="CM1333" s="1144"/>
      <c r="CN1333" s="1144"/>
    </row>
    <row r="1334" spans="11:92" ht="12" customHeight="1" x14ac:dyDescent="0.35">
      <c r="K1334" s="29">
        <f t="shared" si="818"/>
        <v>1</v>
      </c>
      <c r="L1334" s="1158">
        <f t="shared" si="819"/>
        <v>0</v>
      </c>
      <c r="M1334" s="34">
        <f t="shared" si="820"/>
        <v>0</v>
      </c>
      <c r="N1334" s="34">
        <f t="shared" si="821"/>
        <v>0</v>
      </c>
      <c r="O1334" s="55">
        <f t="shared" si="822"/>
        <v>0</v>
      </c>
      <c r="P1334" s="55">
        <f t="shared" si="823"/>
        <v>0</v>
      </c>
      <c r="Q1334" s="55">
        <f t="shared" si="824"/>
        <v>0</v>
      </c>
      <c r="R1334" s="31">
        <f>IF(Input!D$298=L1358,Input!D$297,0)</f>
        <v>0</v>
      </c>
      <c r="S1334" s="36">
        <f t="shared" si="826"/>
        <v>0</v>
      </c>
      <c r="T1334" s="1818"/>
      <c r="U1334" s="1814"/>
      <c r="V1334" s="1814"/>
      <c r="W1334" s="1817"/>
      <c r="X1334" s="1814"/>
      <c r="Y1334" s="1801"/>
      <c r="Z1334" s="1801"/>
      <c r="AA1334" s="1801"/>
      <c r="AB1334" s="1801"/>
      <c r="AC1334" s="1801"/>
      <c r="AD1334" s="1801"/>
      <c r="AE1334" s="1801"/>
      <c r="AF1334" s="1814"/>
      <c r="AG1334" s="376"/>
      <c r="AH1334" s="376"/>
      <c r="AI1334" s="376"/>
      <c r="AJ1334" s="376"/>
      <c r="AK1334" s="376"/>
      <c r="AL1334" s="1144"/>
      <c r="AM1334" s="1144"/>
      <c r="AN1334" s="1144"/>
      <c r="AO1334" s="1144"/>
      <c r="AP1334" s="1144"/>
      <c r="AQ1334" s="1144"/>
      <c r="AR1334" s="1144"/>
      <c r="AS1334" s="1144"/>
      <c r="AT1334" s="1144"/>
      <c r="AU1334" s="1144"/>
      <c r="AV1334" s="1144"/>
      <c r="AW1334" s="1144"/>
      <c r="AX1334" s="1144"/>
      <c r="AY1334" s="1144"/>
      <c r="AZ1334" s="1144"/>
      <c r="BA1334" s="1144"/>
      <c r="BB1334" s="1144"/>
      <c r="BC1334" s="1144"/>
      <c r="BD1334" s="1144"/>
      <c r="BE1334" s="1144"/>
      <c r="BF1334" s="1144"/>
      <c r="BG1334" s="1144"/>
      <c r="BH1334" s="1144"/>
      <c r="BI1334" s="1144"/>
      <c r="BJ1334" s="1144"/>
      <c r="BK1334" s="1144"/>
      <c r="BL1334" s="1144"/>
      <c r="BM1334" s="1144"/>
      <c r="BN1334" s="1144"/>
      <c r="BO1334" s="1144"/>
      <c r="BP1334" s="1144"/>
      <c r="BQ1334" s="1144"/>
      <c r="BR1334" s="1144"/>
      <c r="BS1334" s="1144"/>
      <c r="BT1334" s="1144"/>
      <c r="BU1334" s="1144"/>
      <c r="BV1334" s="1144"/>
      <c r="BW1334" s="1144"/>
      <c r="BX1334" s="1144"/>
      <c r="BY1334" s="1144"/>
      <c r="BZ1334" s="1144"/>
      <c r="CA1334" s="1144"/>
      <c r="CB1334" s="1144"/>
      <c r="CC1334" s="1144"/>
      <c r="CD1334" s="1144"/>
      <c r="CE1334" s="1144"/>
      <c r="CF1334" s="1144"/>
      <c r="CG1334" s="1144"/>
      <c r="CH1334" s="1144"/>
      <c r="CI1334" s="1144"/>
      <c r="CJ1334" s="1144"/>
      <c r="CK1334" s="1144"/>
      <c r="CL1334" s="1144"/>
      <c r="CM1334" s="1144"/>
      <c r="CN1334" s="1144"/>
    </row>
    <row r="1335" spans="11:92" ht="12" customHeight="1" x14ac:dyDescent="0.35">
      <c r="K1335" s="29">
        <f t="shared" si="818"/>
        <v>0</v>
      </c>
      <c r="L1335" s="1158">
        <f t="shared" si="819"/>
        <v>59</v>
      </c>
      <c r="M1335" s="34">
        <f t="shared" si="820"/>
        <v>0</v>
      </c>
      <c r="N1335" s="34">
        <f t="shared" si="821"/>
        <v>0</v>
      </c>
      <c r="O1335" s="55">
        <f t="shared" si="822"/>
        <v>0</v>
      </c>
      <c r="P1335" s="55">
        <f t="shared" si="823"/>
        <v>0</v>
      </c>
      <c r="Q1335" s="55">
        <f t="shared" si="824"/>
        <v>0</v>
      </c>
      <c r="R1335" s="31">
        <f>IF(Input!D$298=L1359,Input!D$297,0)</f>
        <v>0</v>
      </c>
      <c r="S1335" s="36">
        <f t="shared" si="826"/>
        <v>0</v>
      </c>
      <c r="T1335" s="1818"/>
      <c r="U1335" s="1814"/>
      <c r="V1335" s="1814"/>
      <c r="W1335" s="1817"/>
      <c r="X1335" s="1814"/>
      <c r="Y1335" s="1801"/>
      <c r="Z1335" s="1801"/>
      <c r="AA1335" s="1801"/>
      <c r="AB1335" s="1801"/>
      <c r="AC1335" s="1801"/>
      <c r="AD1335" s="1801"/>
      <c r="AE1335" s="1801"/>
      <c r="AF1335" s="1814"/>
      <c r="AG1335" s="376"/>
      <c r="AH1335" s="376"/>
      <c r="AI1335" s="376"/>
      <c r="AJ1335" s="376"/>
      <c r="AK1335" s="376"/>
      <c r="AL1335" s="1144"/>
      <c r="AM1335" s="1144"/>
      <c r="AN1335" s="1144"/>
      <c r="AO1335" s="1144"/>
      <c r="AP1335" s="1144"/>
      <c r="AQ1335" s="1144"/>
      <c r="AR1335" s="1144"/>
      <c r="AS1335" s="1144"/>
      <c r="AT1335" s="1144"/>
      <c r="AU1335" s="1144"/>
      <c r="AV1335" s="1144"/>
      <c r="AW1335" s="1144"/>
      <c r="AX1335" s="1144"/>
      <c r="AY1335" s="1144"/>
      <c r="AZ1335" s="1144"/>
      <c r="BA1335" s="1144"/>
      <c r="BB1335" s="1144"/>
      <c r="BC1335" s="1144"/>
      <c r="BD1335" s="1144"/>
      <c r="BE1335" s="1144"/>
      <c r="BF1335" s="1144"/>
      <c r="BG1335" s="1144"/>
      <c r="BH1335" s="1144"/>
      <c r="BI1335" s="1144"/>
      <c r="BJ1335" s="1144"/>
      <c r="BK1335" s="1144"/>
      <c r="BL1335" s="1144"/>
      <c r="BM1335" s="1144"/>
      <c r="BN1335" s="1144"/>
      <c r="BO1335" s="1144"/>
      <c r="BP1335" s="1144"/>
      <c r="BQ1335" s="1144"/>
      <c r="BR1335" s="1144"/>
      <c r="BS1335" s="1144"/>
      <c r="BT1335" s="1144"/>
      <c r="BU1335" s="1144"/>
      <c r="BV1335" s="1144"/>
      <c r="BW1335" s="1144"/>
      <c r="BX1335" s="1144"/>
      <c r="BY1335" s="1144"/>
      <c r="BZ1335" s="1144"/>
      <c r="CA1335" s="1144"/>
      <c r="CB1335" s="1144"/>
      <c r="CC1335" s="1144"/>
      <c r="CD1335" s="1144"/>
      <c r="CE1335" s="1144"/>
      <c r="CF1335" s="1144"/>
      <c r="CG1335" s="1144"/>
      <c r="CH1335" s="1144"/>
      <c r="CI1335" s="1144"/>
      <c r="CJ1335" s="1144"/>
      <c r="CK1335" s="1144"/>
      <c r="CL1335" s="1144"/>
      <c r="CM1335" s="1144"/>
      <c r="CN1335" s="1144"/>
    </row>
    <row r="1336" spans="11:92" ht="12" customHeight="1" x14ac:dyDescent="0.35">
      <c r="K1336" s="29">
        <f t="shared" si="818"/>
        <v>0</v>
      </c>
      <c r="L1336" s="1158">
        <f t="shared" si="819"/>
        <v>91</v>
      </c>
      <c r="M1336" s="34">
        <f t="shared" si="820"/>
        <v>0</v>
      </c>
      <c r="N1336" s="34">
        <f t="shared" si="821"/>
        <v>0</v>
      </c>
      <c r="O1336" s="55">
        <f t="shared" si="822"/>
        <v>0</v>
      </c>
      <c r="P1336" s="55">
        <f t="shared" si="823"/>
        <v>0</v>
      </c>
      <c r="Q1336" s="55">
        <f t="shared" si="824"/>
        <v>0</v>
      </c>
      <c r="R1336" s="31">
        <f>IF(Input!D$298=L1360,Input!D$297,0)</f>
        <v>0</v>
      </c>
      <c r="S1336" s="36">
        <f t="shared" si="826"/>
        <v>0</v>
      </c>
      <c r="T1336" s="1818"/>
      <c r="U1336" s="1814"/>
      <c r="V1336" s="1814"/>
      <c r="W1336" s="1817"/>
      <c r="X1336" s="1814"/>
      <c r="Y1336" s="1801"/>
      <c r="Z1336" s="1801"/>
      <c r="AA1336" s="1801"/>
      <c r="AB1336" s="1801"/>
      <c r="AC1336" s="1801"/>
      <c r="AD1336" s="1801"/>
      <c r="AE1336" s="1801"/>
      <c r="AF1336" s="1814"/>
      <c r="AG1336" s="376"/>
      <c r="AH1336" s="376"/>
      <c r="AI1336" s="376"/>
      <c r="AJ1336" s="376"/>
      <c r="AK1336" s="376"/>
      <c r="AL1336" s="1144"/>
      <c r="AM1336" s="1144"/>
      <c r="AN1336" s="1144"/>
      <c r="AO1336" s="1144"/>
      <c r="AP1336" s="1144"/>
      <c r="AQ1336" s="1144"/>
      <c r="AR1336" s="1144"/>
      <c r="AS1336" s="1144"/>
      <c r="AT1336" s="1144"/>
      <c r="AU1336" s="1144"/>
      <c r="AV1336" s="1144"/>
      <c r="AW1336" s="1144"/>
      <c r="AX1336" s="1144"/>
      <c r="AY1336" s="1144"/>
      <c r="AZ1336" s="1144"/>
      <c r="BA1336" s="1144"/>
      <c r="BB1336" s="1144"/>
      <c r="BC1336" s="1144"/>
      <c r="BD1336" s="1144"/>
      <c r="BE1336" s="1144"/>
      <c r="BF1336" s="1144"/>
      <c r="BG1336" s="1144"/>
      <c r="BH1336" s="1144"/>
      <c r="BI1336" s="1144"/>
      <c r="BJ1336" s="1144"/>
      <c r="BK1336" s="1144"/>
      <c r="BL1336" s="1144"/>
      <c r="BM1336" s="1144"/>
      <c r="BN1336" s="1144"/>
      <c r="BO1336" s="1144"/>
      <c r="BP1336" s="1144"/>
      <c r="BQ1336" s="1144"/>
      <c r="BR1336" s="1144"/>
      <c r="BS1336" s="1144"/>
      <c r="BT1336" s="1144"/>
      <c r="BU1336" s="1144"/>
      <c r="BV1336" s="1144"/>
      <c r="BW1336" s="1144"/>
      <c r="BX1336" s="1144"/>
      <c r="BY1336" s="1144"/>
      <c r="BZ1336" s="1144"/>
      <c r="CA1336" s="1144"/>
      <c r="CB1336" s="1144"/>
      <c r="CC1336" s="1144"/>
      <c r="CD1336" s="1144"/>
      <c r="CE1336" s="1144"/>
      <c r="CF1336" s="1144"/>
      <c r="CG1336" s="1144"/>
      <c r="CH1336" s="1144"/>
      <c r="CI1336" s="1144"/>
      <c r="CJ1336" s="1144"/>
      <c r="CK1336" s="1144"/>
      <c r="CL1336" s="1144"/>
      <c r="CM1336" s="1144"/>
      <c r="CN1336" s="1144"/>
    </row>
    <row r="1337" spans="11:92" ht="12" customHeight="1" x14ac:dyDescent="0.35">
      <c r="K1337" s="29">
        <f t="shared" si="818"/>
        <v>0</v>
      </c>
      <c r="L1337" s="1158">
        <f t="shared" si="819"/>
        <v>121</v>
      </c>
      <c r="M1337" s="34">
        <f t="shared" si="820"/>
        <v>0</v>
      </c>
      <c r="N1337" s="34">
        <f t="shared" si="821"/>
        <v>0</v>
      </c>
      <c r="O1337" s="55">
        <f t="shared" si="822"/>
        <v>0</v>
      </c>
      <c r="P1337" s="55">
        <f t="shared" si="823"/>
        <v>0</v>
      </c>
      <c r="Q1337" s="55">
        <f t="shared" si="824"/>
        <v>0</v>
      </c>
      <c r="R1337" s="31">
        <f>IF(Input!D$298=L1361,Input!D$297,0)</f>
        <v>0</v>
      </c>
      <c r="S1337" s="36">
        <f t="shared" si="826"/>
        <v>0</v>
      </c>
      <c r="T1337" s="1818"/>
      <c r="U1337" s="1814"/>
      <c r="V1337" s="1814"/>
      <c r="W1337" s="1817"/>
      <c r="X1337" s="1814"/>
      <c r="Y1337" s="1801"/>
      <c r="Z1337" s="1801"/>
      <c r="AA1337" s="1801"/>
      <c r="AB1337" s="1801"/>
      <c r="AC1337" s="1801"/>
      <c r="AD1337" s="1801"/>
      <c r="AE1337" s="1801"/>
      <c r="AF1337" s="1814"/>
      <c r="AG1337" s="376"/>
      <c r="AH1337" s="376"/>
      <c r="AI1337" s="376"/>
      <c r="AJ1337" s="376"/>
      <c r="AK1337" s="376"/>
      <c r="AL1337" s="1144"/>
      <c r="AM1337" s="1144"/>
      <c r="AN1337" s="1144"/>
      <c r="AO1337" s="1144"/>
      <c r="AP1337" s="1144"/>
      <c r="AQ1337" s="1144"/>
      <c r="AR1337" s="1144"/>
      <c r="AS1337" s="1144"/>
      <c r="AT1337" s="1144"/>
      <c r="AU1337" s="1144"/>
      <c r="AV1337" s="1144"/>
      <c r="AW1337" s="1144"/>
      <c r="AX1337" s="1144"/>
      <c r="AY1337" s="1144"/>
      <c r="AZ1337" s="1144"/>
      <c r="BA1337" s="1144"/>
      <c r="BB1337" s="1144"/>
      <c r="BC1337" s="1144"/>
      <c r="BD1337" s="1144"/>
      <c r="BE1337" s="1144"/>
      <c r="BF1337" s="1144"/>
      <c r="BG1337" s="1144"/>
      <c r="BH1337" s="1144"/>
      <c r="BI1337" s="1144"/>
      <c r="BJ1337" s="1144"/>
      <c r="BK1337" s="1144"/>
      <c r="BL1337" s="1144"/>
      <c r="BM1337" s="1144"/>
      <c r="BN1337" s="1144"/>
      <c r="BO1337" s="1144"/>
      <c r="BP1337" s="1144"/>
      <c r="BQ1337" s="1144"/>
      <c r="BR1337" s="1144"/>
      <c r="BS1337" s="1144"/>
      <c r="BT1337" s="1144"/>
      <c r="BU1337" s="1144"/>
      <c r="BV1337" s="1144"/>
      <c r="BW1337" s="1144"/>
      <c r="BX1337" s="1144"/>
      <c r="BY1337" s="1144"/>
      <c r="BZ1337" s="1144"/>
      <c r="CA1337" s="1144"/>
      <c r="CB1337" s="1144"/>
      <c r="CC1337" s="1144"/>
      <c r="CD1337" s="1144"/>
      <c r="CE1337" s="1144"/>
      <c r="CF1337" s="1144"/>
      <c r="CG1337" s="1144"/>
      <c r="CH1337" s="1144"/>
      <c r="CI1337" s="1144"/>
      <c r="CJ1337" s="1144"/>
      <c r="CK1337" s="1144"/>
      <c r="CL1337" s="1144"/>
      <c r="CM1337" s="1144"/>
      <c r="CN1337" s="1144"/>
    </row>
    <row r="1338" spans="11:92" ht="12" customHeight="1" x14ac:dyDescent="0.35">
      <c r="K1338" s="29">
        <f t="shared" si="818"/>
        <v>0</v>
      </c>
      <c r="L1338" s="1158">
        <f t="shared" si="819"/>
        <v>152</v>
      </c>
      <c r="M1338" s="34">
        <f t="shared" si="820"/>
        <v>0</v>
      </c>
      <c r="N1338" s="34">
        <f t="shared" si="821"/>
        <v>0</v>
      </c>
      <c r="O1338" s="55">
        <f t="shared" si="822"/>
        <v>0</v>
      </c>
      <c r="P1338" s="55">
        <f t="shared" si="823"/>
        <v>0</v>
      </c>
      <c r="Q1338" s="55">
        <f t="shared" si="824"/>
        <v>0</v>
      </c>
      <c r="R1338" s="31">
        <f>IF(Input!D$298=L1362,Input!D$297,0)</f>
        <v>0</v>
      </c>
      <c r="S1338" s="36">
        <f t="shared" si="826"/>
        <v>0</v>
      </c>
      <c r="T1338" s="1818"/>
      <c r="U1338" s="1814"/>
      <c r="V1338" s="1814"/>
      <c r="W1338" s="1817"/>
      <c r="X1338" s="1814"/>
      <c r="Y1338" s="1801"/>
      <c r="Z1338" s="1801"/>
      <c r="AA1338" s="1801"/>
      <c r="AB1338" s="1801"/>
      <c r="AC1338" s="1801"/>
      <c r="AD1338" s="1801"/>
      <c r="AE1338" s="1801"/>
      <c r="AF1338" s="1814"/>
      <c r="AG1338" s="376"/>
      <c r="AH1338" s="376"/>
      <c r="AI1338" s="376"/>
      <c r="AJ1338" s="376"/>
      <c r="AK1338" s="376"/>
      <c r="AL1338" s="1144"/>
      <c r="AM1338" s="1144"/>
      <c r="AN1338" s="1144"/>
      <c r="AO1338" s="1144"/>
      <c r="AP1338" s="1144"/>
      <c r="AQ1338" s="1144"/>
      <c r="AR1338" s="1144"/>
      <c r="AS1338" s="1144"/>
      <c r="AT1338" s="1144"/>
      <c r="AU1338" s="1144"/>
      <c r="AV1338" s="1144"/>
      <c r="AW1338" s="1144"/>
      <c r="AX1338" s="1144"/>
      <c r="AY1338" s="1144"/>
      <c r="AZ1338" s="1144"/>
      <c r="BA1338" s="1144"/>
      <c r="BB1338" s="1144"/>
      <c r="BC1338" s="1144"/>
      <c r="BD1338" s="1144"/>
      <c r="BE1338" s="1144"/>
      <c r="BF1338" s="1144"/>
      <c r="BG1338" s="1144"/>
      <c r="BH1338" s="1144"/>
      <c r="BI1338" s="1144"/>
      <c r="BJ1338" s="1144"/>
      <c r="BK1338" s="1144"/>
      <c r="BL1338" s="1144"/>
      <c r="BM1338" s="1144"/>
      <c r="BN1338" s="1144"/>
      <c r="BO1338" s="1144"/>
      <c r="BP1338" s="1144"/>
      <c r="BQ1338" s="1144"/>
      <c r="BR1338" s="1144"/>
      <c r="BS1338" s="1144"/>
      <c r="BT1338" s="1144"/>
      <c r="BU1338" s="1144"/>
      <c r="BV1338" s="1144"/>
      <c r="BW1338" s="1144"/>
      <c r="BX1338" s="1144"/>
      <c r="BY1338" s="1144"/>
      <c r="BZ1338" s="1144"/>
      <c r="CA1338" s="1144"/>
      <c r="CB1338" s="1144"/>
      <c r="CC1338" s="1144"/>
      <c r="CD1338" s="1144"/>
      <c r="CE1338" s="1144"/>
      <c r="CF1338" s="1144"/>
      <c r="CG1338" s="1144"/>
      <c r="CH1338" s="1144"/>
      <c r="CI1338" s="1144"/>
      <c r="CJ1338" s="1144"/>
      <c r="CK1338" s="1144"/>
      <c r="CL1338" s="1144"/>
      <c r="CM1338" s="1144"/>
      <c r="CN1338" s="1144"/>
    </row>
    <row r="1339" spans="11:92" ht="12" customHeight="1" x14ac:dyDescent="0.35">
      <c r="K1339" s="29">
        <f t="shared" ref="K1339:K1393" si="827">IF(L1339&lt;N$1268,0,IF(L1339=N$1268,1,IF(K1338&lt;N$1269,K1338+1,0)))</f>
        <v>0</v>
      </c>
      <c r="L1339" s="1158">
        <f t="shared" ref="L1339:L1393" si="828">L1203</f>
        <v>182</v>
      </c>
      <c r="M1339" s="34">
        <f t="shared" ref="M1339:M1393" si="829">IF(N$1267=0,0,IF(L1339&lt;N$1268,0,IF(L1339=N$1268,N$1267,Q1338)))</f>
        <v>0</v>
      </c>
      <c r="N1339" s="34">
        <f t="shared" ref="N1339:N1393" si="830">IF(N$1267=0,0,IF(OR(M1339&lt;0.01,K1339=0),0,-PMT(N$1270/12,N$1269,N$1267,0)))</f>
        <v>0</v>
      </c>
      <c r="O1339" s="55">
        <f t="shared" si="822"/>
        <v>0</v>
      </c>
      <c r="P1339" s="55">
        <f t="shared" si="823"/>
        <v>0</v>
      </c>
      <c r="Q1339" s="55">
        <f t="shared" si="824"/>
        <v>0</v>
      </c>
      <c r="R1339" s="31">
        <f>IF(Input!D$298=L1363,Input!D$297,0)</f>
        <v>0</v>
      </c>
      <c r="S1339" s="36">
        <f t="shared" si="826"/>
        <v>0</v>
      </c>
      <c r="T1339" s="1818"/>
      <c r="U1339" s="1814"/>
      <c r="V1339" s="1814"/>
      <c r="W1339" s="1817"/>
      <c r="X1339" s="1814"/>
      <c r="Y1339" s="1801"/>
      <c r="Z1339" s="1801"/>
      <c r="AA1339" s="1801"/>
      <c r="AB1339" s="1801"/>
      <c r="AC1339" s="1801"/>
      <c r="AD1339" s="1801"/>
      <c r="AE1339" s="1801"/>
      <c r="AF1339" s="1814"/>
      <c r="AG1339" s="376"/>
      <c r="AH1339" s="376"/>
      <c r="AI1339" s="376"/>
      <c r="AJ1339" s="376"/>
      <c r="AK1339" s="376"/>
      <c r="AL1339" s="1144"/>
      <c r="AM1339" s="1144"/>
      <c r="AN1339" s="1144"/>
      <c r="AO1339" s="1144"/>
      <c r="AP1339" s="1144"/>
      <c r="AQ1339" s="1144"/>
      <c r="AR1339" s="1144"/>
      <c r="AS1339" s="1144"/>
      <c r="AT1339" s="1144"/>
      <c r="AU1339" s="1144"/>
      <c r="AV1339" s="1144"/>
      <c r="AW1339" s="1144"/>
      <c r="AX1339" s="1144"/>
      <c r="AY1339" s="1144"/>
      <c r="AZ1339" s="1144"/>
      <c r="BA1339" s="1144"/>
      <c r="BB1339" s="1144"/>
      <c r="BC1339" s="1144"/>
      <c r="BD1339" s="1144"/>
      <c r="BE1339" s="1144"/>
      <c r="BF1339" s="1144"/>
      <c r="BG1339" s="1144"/>
      <c r="BH1339" s="1144"/>
      <c r="BI1339" s="1144"/>
      <c r="BJ1339" s="1144"/>
      <c r="BK1339" s="1144"/>
      <c r="BL1339" s="1144"/>
      <c r="BM1339" s="1144"/>
      <c r="BN1339" s="1144"/>
      <c r="BO1339" s="1144"/>
      <c r="BP1339" s="1144"/>
      <c r="BQ1339" s="1144"/>
      <c r="BR1339" s="1144"/>
      <c r="BS1339" s="1144"/>
      <c r="BT1339" s="1144"/>
      <c r="BU1339" s="1144"/>
      <c r="BV1339" s="1144"/>
      <c r="BW1339" s="1144"/>
      <c r="BX1339" s="1144"/>
      <c r="BY1339" s="1144"/>
      <c r="BZ1339" s="1144"/>
      <c r="CA1339" s="1144"/>
      <c r="CB1339" s="1144"/>
      <c r="CC1339" s="1144"/>
      <c r="CD1339" s="1144"/>
      <c r="CE1339" s="1144"/>
      <c r="CF1339" s="1144"/>
      <c r="CG1339" s="1144"/>
      <c r="CH1339" s="1144"/>
      <c r="CI1339" s="1144"/>
      <c r="CJ1339" s="1144"/>
      <c r="CK1339" s="1144"/>
      <c r="CL1339" s="1144"/>
      <c r="CM1339" s="1144"/>
      <c r="CN1339" s="1144"/>
    </row>
    <row r="1340" spans="11:92" ht="12" customHeight="1" x14ac:dyDescent="0.35">
      <c r="K1340" s="29">
        <f t="shared" si="827"/>
        <v>0</v>
      </c>
      <c r="L1340" s="1158">
        <f t="shared" si="828"/>
        <v>213</v>
      </c>
      <c r="M1340" s="34">
        <f t="shared" si="829"/>
        <v>0</v>
      </c>
      <c r="N1340" s="34">
        <f t="shared" si="830"/>
        <v>0</v>
      </c>
      <c r="O1340" s="55">
        <f t="shared" si="822"/>
        <v>0</v>
      </c>
      <c r="P1340" s="55">
        <f t="shared" si="823"/>
        <v>0</v>
      </c>
      <c r="Q1340" s="55">
        <f t="shared" si="824"/>
        <v>0</v>
      </c>
      <c r="R1340" s="31">
        <f>IF(Input!D$298=L1364,Input!D$297,0)</f>
        <v>0</v>
      </c>
      <c r="S1340" s="36">
        <f t="shared" si="826"/>
        <v>0</v>
      </c>
      <c r="T1340" s="1818"/>
      <c r="U1340" s="1814"/>
      <c r="V1340" s="1814"/>
      <c r="W1340" s="1817"/>
      <c r="X1340" s="1814"/>
      <c r="Y1340" s="1801"/>
      <c r="Z1340" s="1801"/>
      <c r="AA1340" s="1801"/>
      <c r="AB1340" s="1801"/>
      <c r="AC1340" s="1801"/>
      <c r="AD1340" s="1801"/>
      <c r="AE1340" s="1801"/>
      <c r="AF1340" s="1814"/>
      <c r="AG1340" s="376"/>
      <c r="AH1340" s="376"/>
      <c r="AI1340" s="376"/>
      <c r="AJ1340" s="376"/>
      <c r="AK1340" s="376"/>
      <c r="AL1340" s="1144"/>
      <c r="AM1340" s="1144"/>
      <c r="AN1340" s="1144"/>
      <c r="AO1340" s="1144"/>
      <c r="AP1340" s="1144"/>
      <c r="AQ1340" s="1144"/>
      <c r="AR1340" s="1144"/>
      <c r="AS1340" s="1144"/>
      <c r="AT1340" s="1144"/>
      <c r="AU1340" s="1144"/>
      <c r="AV1340" s="1144"/>
      <c r="AW1340" s="1144"/>
      <c r="AX1340" s="1144"/>
      <c r="AY1340" s="1144"/>
      <c r="AZ1340" s="1144"/>
      <c r="BA1340" s="1144"/>
      <c r="BB1340" s="1144"/>
      <c r="BC1340" s="1144"/>
      <c r="BD1340" s="1144"/>
      <c r="BE1340" s="1144"/>
      <c r="BF1340" s="1144"/>
      <c r="BG1340" s="1144"/>
      <c r="BH1340" s="1144"/>
      <c r="BI1340" s="1144"/>
      <c r="BJ1340" s="1144"/>
      <c r="BK1340" s="1144"/>
      <c r="BL1340" s="1144"/>
      <c r="BM1340" s="1144"/>
      <c r="BN1340" s="1144"/>
      <c r="BO1340" s="1144"/>
      <c r="BP1340" s="1144"/>
      <c r="BQ1340" s="1144"/>
      <c r="BR1340" s="1144"/>
      <c r="BS1340" s="1144"/>
      <c r="BT1340" s="1144"/>
      <c r="BU1340" s="1144"/>
      <c r="BV1340" s="1144"/>
      <c r="BW1340" s="1144"/>
      <c r="BX1340" s="1144"/>
      <c r="BY1340" s="1144"/>
      <c r="BZ1340" s="1144"/>
      <c r="CA1340" s="1144"/>
      <c r="CB1340" s="1144"/>
      <c r="CC1340" s="1144"/>
      <c r="CD1340" s="1144"/>
      <c r="CE1340" s="1144"/>
      <c r="CF1340" s="1144"/>
      <c r="CG1340" s="1144"/>
      <c r="CH1340" s="1144"/>
      <c r="CI1340" s="1144"/>
      <c r="CJ1340" s="1144"/>
      <c r="CK1340" s="1144"/>
      <c r="CL1340" s="1144"/>
      <c r="CM1340" s="1144"/>
      <c r="CN1340" s="1144"/>
    </row>
    <row r="1341" spans="11:92" ht="12" customHeight="1" x14ac:dyDescent="0.35">
      <c r="K1341" s="29">
        <f t="shared" si="827"/>
        <v>0</v>
      </c>
      <c r="L1341" s="1158">
        <f t="shared" si="828"/>
        <v>244</v>
      </c>
      <c r="M1341" s="34">
        <f t="shared" si="829"/>
        <v>0</v>
      </c>
      <c r="N1341" s="34">
        <f t="shared" si="830"/>
        <v>0</v>
      </c>
      <c r="O1341" s="55">
        <f t="shared" si="822"/>
        <v>0</v>
      </c>
      <c r="P1341" s="55">
        <f t="shared" si="823"/>
        <v>0</v>
      </c>
      <c r="Q1341" s="55">
        <f t="shared" si="824"/>
        <v>0</v>
      </c>
      <c r="R1341" s="31">
        <f>IF(Input!D$298=L1365,Input!D$297,0)</f>
        <v>0</v>
      </c>
      <c r="S1341" s="36">
        <f t="shared" si="826"/>
        <v>0</v>
      </c>
      <c r="T1341" s="1818"/>
      <c r="U1341" s="1814"/>
      <c r="V1341" s="1814"/>
      <c r="W1341" s="1817"/>
      <c r="X1341" s="1814"/>
      <c r="Y1341" s="1801"/>
      <c r="Z1341" s="1801"/>
      <c r="AA1341" s="1801"/>
      <c r="AB1341" s="1801"/>
      <c r="AC1341" s="1801"/>
      <c r="AD1341" s="1801"/>
      <c r="AE1341" s="1801"/>
      <c r="AF1341" s="1814"/>
      <c r="AG1341" s="376"/>
      <c r="AH1341" s="376"/>
      <c r="AI1341" s="376"/>
      <c r="AJ1341" s="376"/>
      <c r="AK1341" s="376"/>
      <c r="AL1341" s="1144"/>
      <c r="AM1341" s="1144"/>
      <c r="AN1341" s="1144"/>
      <c r="AO1341" s="1144"/>
      <c r="AP1341" s="1144"/>
      <c r="AQ1341" s="1144"/>
      <c r="AR1341" s="1144"/>
      <c r="AS1341" s="1144"/>
      <c r="AT1341" s="1144"/>
      <c r="AU1341" s="1144"/>
      <c r="AV1341" s="1144"/>
      <c r="AW1341" s="1144"/>
      <c r="AX1341" s="1144"/>
      <c r="AY1341" s="1144"/>
      <c r="AZ1341" s="1144"/>
      <c r="BA1341" s="1144"/>
      <c r="BB1341" s="1144"/>
      <c r="BC1341" s="1144"/>
      <c r="BD1341" s="1144"/>
      <c r="BE1341" s="1144"/>
      <c r="BF1341" s="1144"/>
      <c r="BG1341" s="1144"/>
      <c r="BH1341" s="1144"/>
      <c r="BI1341" s="1144"/>
      <c r="BJ1341" s="1144"/>
      <c r="BK1341" s="1144"/>
      <c r="BL1341" s="1144"/>
      <c r="BM1341" s="1144"/>
      <c r="BN1341" s="1144"/>
      <c r="BO1341" s="1144"/>
      <c r="BP1341" s="1144"/>
      <c r="BQ1341" s="1144"/>
      <c r="BR1341" s="1144"/>
      <c r="BS1341" s="1144"/>
      <c r="BT1341" s="1144"/>
      <c r="BU1341" s="1144"/>
      <c r="BV1341" s="1144"/>
      <c r="BW1341" s="1144"/>
      <c r="BX1341" s="1144"/>
      <c r="BY1341" s="1144"/>
      <c r="BZ1341" s="1144"/>
      <c r="CA1341" s="1144"/>
      <c r="CB1341" s="1144"/>
      <c r="CC1341" s="1144"/>
      <c r="CD1341" s="1144"/>
      <c r="CE1341" s="1144"/>
      <c r="CF1341" s="1144"/>
      <c r="CG1341" s="1144"/>
      <c r="CH1341" s="1144"/>
      <c r="CI1341" s="1144"/>
      <c r="CJ1341" s="1144"/>
      <c r="CK1341" s="1144"/>
      <c r="CL1341" s="1144"/>
      <c r="CM1341" s="1144"/>
      <c r="CN1341" s="1144"/>
    </row>
    <row r="1342" spans="11:92" ht="12" customHeight="1" x14ac:dyDescent="0.35">
      <c r="K1342" s="29">
        <f t="shared" si="827"/>
        <v>0</v>
      </c>
      <c r="L1342" s="1158">
        <f t="shared" si="828"/>
        <v>274</v>
      </c>
      <c r="M1342" s="34">
        <f t="shared" si="829"/>
        <v>0</v>
      </c>
      <c r="N1342" s="34">
        <f t="shared" si="830"/>
        <v>0</v>
      </c>
      <c r="O1342" s="55">
        <f t="shared" si="822"/>
        <v>0</v>
      </c>
      <c r="P1342" s="55">
        <f t="shared" si="823"/>
        <v>0</v>
      </c>
      <c r="Q1342" s="55">
        <f t="shared" si="824"/>
        <v>0</v>
      </c>
      <c r="R1342" s="31">
        <f>IF(Input!D$298=L1366,Input!D$297,0)</f>
        <v>0</v>
      </c>
      <c r="S1342" s="36">
        <f t="shared" ref="S1342:S1373" si="831">Q1366</f>
        <v>0</v>
      </c>
      <c r="T1342" s="1818"/>
      <c r="U1342" s="1814"/>
      <c r="V1342" s="1814"/>
      <c r="W1342" s="1817"/>
      <c r="X1342" s="1814"/>
      <c r="Y1342" s="1801"/>
      <c r="Z1342" s="1801"/>
      <c r="AA1342" s="1801"/>
      <c r="AB1342" s="1801"/>
      <c r="AC1342" s="1801"/>
      <c r="AD1342" s="1801"/>
      <c r="AE1342" s="1801"/>
      <c r="AF1342" s="1814"/>
      <c r="AG1342" s="376"/>
      <c r="AH1342" s="376"/>
      <c r="AI1342" s="376"/>
      <c r="AJ1342" s="376"/>
      <c r="AK1342" s="376"/>
      <c r="AL1342" s="1144"/>
      <c r="AM1342" s="1144"/>
      <c r="AN1342" s="1144"/>
      <c r="AO1342" s="1144"/>
      <c r="AP1342" s="1144"/>
      <c r="AQ1342" s="1144"/>
      <c r="AR1342" s="1144"/>
      <c r="AS1342" s="1144"/>
      <c r="AT1342" s="1144"/>
      <c r="AU1342" s="1144"/>
      <c r="AV1342" s="1144"/>
      <c r="AW1342" s="1144"/>
      <c r="AX1342" s="1144"/>
      <c r="AY1342" s="1144"/>
      <c r="AZ1342" s="1144"/>
      <c r="BA1342" s="1144"/>
      <c r="BB1342" s="1144"/>
      <c r="BC1342" s="1144"/>
      <c r="BD1342" s="1144"/>
      <c r="BE1342" s="1144"/>
      <c r="BF1342" s="1144"/>
      <c r="BG1342" s="1144"/>
      <c r="BH1342" s="1144"/>
      <c r="BI1342" s="1144"/>
      <c r="BJ1342" s="1144"/>
      <c r="BK1342" s="1144"/>
      <c r="BL1342" s="1144"/>
      <c r="BM1342" s="1144"/>
      <c r="BN1342" s="1144"/>
      <c r="BO1342" s="1144"/>
      <c r="BP1342" s="1144"/>
      <c r="BQ1342" s="1144"/>
      <c r="BR1342" s="1144"/>
      <c r="BS1342" s="1144"/>
      <c r="BT1342" s="1144"/>
      <c r="BU1342" s="1144"/>
      <c r="BV1342" s="1144"/>
      <c r="BW1342" s="1144"/>
      <c r="BX1342" s="1144"/>
      <c r="BY1342" s="1144"/>
      <c r="BZ1342" s="1144"/>
      <c r="CA1342" s="1144"/>
      <c r="CB1342" s="1144"/>
      <c r="CC1342" s="1144"/>
      <c r="CD1342" s="1144"/>
      <c r="CE1342" s="1144"/>
      <c r="CF1342" s="1144"/>
      <c r="CG1342" s="1144"/>
      <c r="CH1342" s="1144"/>
      <c r="CI1342" s="1144"/>
      <c r="CJ1342" s="1144"/>
      <c r="CK1342" s="1144"/>
      <c r="CL1342" s="1144"/>
      <c r="CM1342" s="1144"/>
      <c r="CN1342" s="1144"/>
    </row>
    <row r="1343" spans="11:92" ht="12" customHeight="1" x14ac:dyDescent="0.35">
      <c r="K1343" s="29">
        <f t="shared" si="827"/>
        <v>0</v>
      </c>
      <c r="L1343" s="1158">
        <f t="shared" si="828"/>
        <v>305</v>
      </c>
      <c r="M1343" s="34">
        <f t="shared" si="829"/>
        <v>0</v>
      </c>
      <c r="N1343" s="34">
        <f t="shared" si="830"/>
        <v>0</v>
      </c>
      <c r="O1343" s="55">
        <f t="shared" ref="O1343:O1393" si="832">IF(M1343&lt;1,0,-IPMT(N$1270/12,K1343,N$1269,N$1267,0))</f>
        <v>0</v>
      </c>
      <c r="P1343" s="55">
        <f t="shared" ref="P1343:P1393" si="833">N1343-O1343</f>
        <v>0</v>
      </c>
      <c r="Q1343" s="55">
        <f t="shared" ref="Q1343:Q1393" si="834">M1343-P1343</f>
        <v>0</v>
      </c>
      <c r="R1343" s="31">
        <f>IF(Input!D$298=L1367,Input!D$297,0)</f>
        <v>0</v>
      </c>
      <c r="S1343" s="36">
        <f t="shared" si="831"/>
        <v>0</v>
      </c>
      <c r="T1343" s="1818"/>
      <c r="U1343" s="1814"/>
      <c r="V1343" s="1814"/>
      <c r="W1343" s="1817"/>
      <c r="X1343" s="1814"/>
      <c r="Y1343" s="1801"/>
      <c r="Z1343" s="1801"/>
      <c r="AA1343" s="1801"/>
      <c r="AB1343" s="1801"/>
      <c r="AC1343" s="1801"/>
      <c r="AD1343" s="1801"/>
      <c r="AE1343" s="1801"/>
      <c r="AF1343" s="1814"/>
      <c r="AG1343" s="376"/>
      <c r="AH1343" s="376"/>
      <c r="AI1343" s="376"/>
      <c r="AJ1343" s="376"/>
      <c r="AK1343" s="376"/>
      <c r="AL1343" s="1144"/>
      <c r="AM1343" s="1144"/>
      <c r="AN1343" s="1144"/>
      <c r="AO1343" s="1144"/>
      <c r="AP1343" s="1144"/>
      <c r="AQ1343" s="1144"/>
      <c r="AR1343" s="1144"/>
      <c r="AS1343" s="1144"/>
      <c r="AT1343" s="1144"/>
      <c r="AU1343" s="1144"/>
      <c r="AV1343" s="1144"/>
      <c r="AW1343" s="1144"/>
      <c r="AX1343" s="1144"/>
      <c r="AY1343" s="1144"/>
      <c r="AZ1343" s="1144"/>
      <c r="BA1343" s="1144"/>
      <c r="BB1343" s="1144"/>
      <c r="BC1343" s="1144"/>
      <c r="BD1343" s="1144"/>
      <c r="BE1343" s="1144"/>
      <c r="BF1343" s="1144"/>
      <c r="BG1343" s="1144"/>
      <c r="BH1343" s="1144"/>
      <c r="BI1343" s="1144"/>
      <c r="BJ1343" s="1144"/>
      <c r="BK1343" s="1144"/>
      <c r="BL1343" s="1144"/>
      <c r="BM1343" s="1144"/>
      <c r="BN1343" s="1144"/>
      <c r="BO1343" s="1144"/>
      <c r="BP1343" s="1144"/>
      <c r="BQ1343" s="1144"/>
      <c r="BR1343" s="1144"/>
      <c r="BS1343" s="1144"/>
      <c r="BT1343" s="1144"/>
      <c r="BU1343" s="1144"/>
      <c r="BV1343" s="1144"/>
      <c r="BW1343" s="1144"/>
      <c r="BX1343" s="1144"/>
      <c r="BY1343" s="1144"/>
      <c r="BZ1343" s="1144"/>
      <c r="CA1343" s="1144"/>
      <c r="CB1343" s="1144"/>
      <c r="CC1343" s="1144"/>
      <c r="CD1343" s="1144"/>
      <c r="CE1343" s="1144"/>
      <c r="CF1343" s="1144"/>
      <c r="CG1343" s="1144"/>
      <c r="CH1343" s="1144"/>
      <c r="CI1343" s="1144"/>
      <c r="CJ1343" s="1144"/>
      <c r="CK1343" s="1144"/>
      <c r="CL1343" s="1144"/>
      <c r="CM1343" s="1144"/>
      <c r="CN1343" s="1144"/>
    </row>
    <row r="1344" spans="11:92" ht="12" customHeight="1" x14ac:dyDescent="0.35">
      <c r="K1344" s="29">
        <f t="shared" si="827"/>
        <v>0</v>
      </c>
      <c r="L1344" s="1158">
        <f t="shared" si="828"/>
        <v>335</v>
      </c>
      <c r="M1344" s="34">
        <f t="shared" si="829"/>
        <v>0</v>
      </c>
      <c r="N1344" s="34">
        <f t="shared" si="830"/>
        <v>0</v>
      </c>
      <c r="O1344" s="55">
        <f t="shared" si="832"/>
        <v>0</v>
      </c>
      <c r="P1344" s="55">
        <f t="shared" si="833"/>
        <v>0</v>
      </c>
      <c r="Q1344" s="55">
        <f t="shared" si="834"/>
        <v>0</v>
      </c>
      <c r="R1344" s="31">
        <f>IF(Input!D$298=L1368,Input!D$297,0)</f>
        <v>0</v>
      </c>
      <c r="S1344" s="36">
        <f t="shared" si="831"/>
        <v>0</v>
      </c>
      <c r="T1344" s="1818"/>
      <c r="U1344" s="1814"/>
      <c r="V1344" s="1814"/>
      <c r="W1344" s="1817"/>
      <c r="X1344" s="1814"/>
      <c r="Y1344" s="1801"/>
      <c r="Z1344" s="1801"/>
      <c r="AA1344" s="1801"/>
      <c r="AB1344" s="1801"/>
      <c r="AC1344" s="1801"/>
      <c r="AD1344" s="1801"/>
      <c r="AE1344" s="1801"/>
      <c r="AF1344" s="1814"/>
      <c r="AG1344" s="376"/>
      <c r="AH1344" s="376"/>
      <c r="AI1344" s="376"/>
      <c r="AJ1344" s="376"/>
      <c r="AK1344" s="376"/>
      <c r="AL1344" s="1144"/>
      <c r="AM1344" s="1144"/>
      <c r="AN1344" s="1144"/>
      <c r="AO1344" s="1144"/>
      <c r="AP1344" s="1144"/>
      <c r="AQ1344" s="1144"/>
      <c r="AR1344" s="1144"/>
      <c r="AS1344" s="1144"/>
      <c r="AT1344" s="1144"/>
      <c r="AU1344" s="1144"/>
      <c r="AV1344" s="1144"/>
      <c r="AW1344" s="1144"/>
      <c r="AX1344" s="1144"/>
      <c r="AY1344" s="1144"/>
      <c r="AZ1344" s="1144"/>
      <c r="BA1344" s="1144"/>
      <c r="BB1344" s="1144"/>
      <c r="BC1344" s="1144"/>
      <c r="BD1344" s="1144"/>
      <c r="BE1344" s="1144"/>
      <c r="BF1344" s="1144"/>
      <c r="BG1344" s="1144"/>
      <c r="BH1344" s="1144"/>
      <c r="BI1344" s="1144"/>
      <c r="BJ1344" s="1144"/>
      <c r="BK1344" s="1144"/>
      <c r="BL1344" s="1144"/>
      <c r="BM1344" s="1144"/>
      <c r="BN1344" s="1144"/>
      <c r="BO1344" s="1144"/>
      <c r="BP1344" s="1144"/>
      <c r="BQ1344" s="1144"/>
      <c r="BR1344" s="1144"/>
      <c r="BS1344" s="1144"/>
      <c r="BT1344" s="1144"/>
      <c r="BU1344" s="1144"/>
      <c r="BV1344" s="1144"/>
      <c r="BW1344" s="1144"/>
      <c r="BX1344" s="1144"/>
      <c r="BY1344" s="1144"/>
      <c r="BZ1344" s="1144"/>
      <c r="CA1344" s="1144"/>
      <c r="CB1344" s="1144"/>
      <c r="CC1344" s="1144"/>
      <c r="CD1344" s="1144"/>
      <c r="CE1344" s="1144"/>
      <c r="CF1344" s="1144"/>
      <c r="CG1344" s="1144"/>
      <c r="CH1344" s="1144"/>
      <c r="CI1344" s="1144"/>
      <c r="CJ1344" s="1144"/>
      <c r="CK1344" s="1144"/>
      <c r="CL1344" s="1144"/>
      <c r="CM1344" s="1144"/>
      <c r="CN1344" s="1144"/>
    </row>
    <row r="1345" spans="11:92" ht="12" customHeight="1" x14ac:dyDescent="0.35">
      <c r="K1345" s="29">
        <f t="shared" si="827"/>
        <v>0</v>
      </c>
      <c r="L1345" s="1158">
        <f t="shared" si="828"/>
        <v>366</v>
      </c>
      <c r="M1345" s="34">
        <f t="shared" si="829"/>
        <v>0</v>
      </c>
      <c r="N1345" s="34">
        <f t="shared" si="830"/>
        <v>0</v>
      </c>
      <c r="O1345" s="55">
        <f t="shared" si="832"/>
        <v>0</v>
      </c>
      <c r="P1345" s="55">
        <f t="shared" si="833"/>
        <v>0</v>
      </c>
      <c r="Q1345" s="55">
        <f t="shared" si="834"/>
        <v>0</v>
      </c>
      <c r="R1345" s="31">
        <f>IF(Input!D$298=L1369,Input!D$297,0)</f>
        <v>0</v>
      </c>
      <c r="S1345" s="36">
        <f t="shared" si="831"/>
        <v>0</v>
      </c>
      <c r="T1345" s="1818"/>
      <c r="U1345" s="1814"/>
      <c r="V1345" s="1814"/>
      <c r="W1345" s="1817"/>
      <c r="X1345" s="1814"/>
      <c r="Y1345" s="1801"/>
      <c r="Z1345" s="1801"/>
      <c r="AA1345" s="1801"/>
      <c r="AB1345" s="1801"/>
      <c r="AC1345" s="1801"/>
      <c r="AD1345" s="1801"/>
      <c r="AE1345" s="1801"/>
      <c r="AF1345" s="1814"/>
      <c r="AG1345" s="376"/>
      <c r="AH1345" s="376"/>
      <c r="AI1345" s="376"/>
      <c r="AJ1345" s="376"/>
      <c r="AK1345" s="376"/>
      <c r="AL1345" s="1144"/>
      <c r="AM1345" s="1144"/>
      <c r="AN1345" s="1144"/>
      <c r="AO1345" s="1144"/>
      <c r="AP1345" s="1144"/>
      <c r="AQ1345" s="1144"/>
      <c r="AR1345" s="1144"/>
      <c r="AS1345" s="1144"/>
      <c r="AT1345" s="1144"/>
      <c r="AU1345" s="1144"/>
      <c r="AV1345" s="1144"/>
      <c r="AW1345" s="1144"/>
      <c r="AX1345" s="1144"/>
      <c r="AY1345" s="1144"/>
      <c r="AZ1345" s="1144"/>
      <c r="BA1345" s="1144"/>
      <c r="BB1345" s="1144"/>
      <c r="BC1345" s="1144"/>
      <c r="BD1345" s="1144"/>
      <c r="BE1345" s="1144"/>
      <c r="BF1345" s="1144"/>
      <c r="BG1345" s="1144"/>
      <c r="BH1345" s="1144"/>
      <c r="BI1345" s="1144"/>
      <c r="BJ1345" s="1144"/>
      <c r="BK1345" s="1144"/>
      <c r="BL1345" s="1144"/>
      <c r="BM1345" s="1144"/>
      <c r="BN1345" s="1144"/>
      <c r="BO1345" s="1144"/>
      <c r="BP1345" s="1144"/>
      <c r="BQ1345" s="1144"/>
      <c r="BR1345" s="1144"/>
      <c r="BS1345" s="1144"/>
      <c r="BT1345" s="1144"/>
      <c r="BU1345" s="1144"/>
      <c r="BV1345" s="1144"/>
      <c r="BW1345" s="1144"/>
      <c r="BX1345" s="1144"/>
      <c r="BY1345" s="1144"/>
      <c r="BZ1345" s="1144"/>
      <c r="CA1345" s="1144"/>
      <c r="CB1345" s="1144"/>
      <c r="CC1345" s="1144"/>
      <c r="CD1345" s="1144"/>
      <c r="CE1345" s="1144"/>
      <c r="CF1345" s="1144"/>
      <c r="CG1345" s="1144"/>
      <c r="CH1345" s="1144"/>
      <c r="CI1345" s="1144"/>
      <c r="CJ1345" s="1144"/>
      <c r="CK1345" s="1144"/>
      <c r="CL1345" s="1144"/>
      <c r="CM1345" s="1144"/>
      <c r="CN1345" s="1144"/>
    </row>
    <row r="1346" spans="11:92" ht="12" customHeight="1" x14ac:dyDescent="0.35">
      <c r="K1346" s="29">
        <f t="shared" si="827"/>
        <v>0</v>
      </c>
      <c r="L1346" s="1158">
        <f t="shared" si="828"/>
        <v>397</v>
      </c>
      <c r="M1346" s="34">
        <f t="shared" si="829"/>
        <v>0</v>
      </c>
      <c r="N1346" s="34">
        <f t="shared" si="830"/>
        <v>0</v>
      </c>
      <c r="O1346" s="55">
        <f t="shared" si="832"/>
        <v>0</v>
      </c>
      <c r="P1346" s="55">
        <f t="shared" si="833"/>
        <v>0</v>
      </c>
      <c r="Q1346" s="55">
        <f t="shared" si="834"/>
        <v>0</v>
      </c>
      <c r="R1346" s="31">
        <f>IF(Input!D$298=L1370,Input!D$297,0)</f>
        <v>0</v>
      </c>
      <c r="S1346" s="36">
        <f t="shared" si="831"/>
        <v>0</v>
      </c>
      <c r="T1346" s="1818"/>
      <c r="U1346" s="1814"/>
      <c r="V1346" s="1814"/>
      <c r="W1346" s="1817"/>
      <c r="X1346" s="1814"/>
      <c r="Y1346" s="1801"/>
      <c r="Z1346" s="1801"/>
      <c r="AA1346" s="1801"/>
      <c r="AB1346" s="1801"/>
      <c r="AC1346" s="1801"/>
      <c r="AD1346" s="1801"/>
      <c r="AE1346" s="1801"/>
      <c r="AF1346" s="1814"/>
      <c r="AG1346" s="376"/>
      <c r="AH1346" s="376"/>
      <c r="AI1346" s="376"/>
      <c r="AJ1346" s="376"/>
      <c r="AK1346" s="376"/>
      <c r="AL1346" s="1144"/>
      <c r="AM1346" s="1144"/>
      <c r="AN1346" s="1144"/>
      <c r="AO1346" s="1144"/>
      <c r="AP1346" s="1144"/>
      <c r="AQ1346" s="1144"/>
      <c r="AR1346" s="1144"/>
      <c r="AS1346" s="1144"/>
      <c r="AT1346" s="1144"/>
      <c r="AU1346" s="1144"/>
      <c r="AV1346" s="1144"/>
      <c r="AW1346" s="1144"/>
      <c r="AX1346" s="1144"/>
      <c r="AY1346" s="1144"/>
      <c r="AZ1346" s="1144"/>
      <c r="BA1346" s="1144"/>
      <c r="BB1346" s="1144"/>
      <c r="BC1346" s="1144"/>
      <c r="BD1346" s="1144"/>
      <c r="BE1346" s="1144"/>
      <c r="BF1346" s="1144"/>
      <c r="BG1346" s="1144"/>
      <c r="BH1346" s="1144"/>
      <c r="BI1346" s="1144"/>
      <c r="BJ1346" s="1144"/>
      <c r="BK1346" s="1144"/>
      <c r="BL1346" s="1144"/>
      <c r="BM1346" s="1144"/>
      <c r="BN1346" s="1144"/>
      <c r="BO1346" s="1144"/>
      <c r="BP1346" s="1144"/>
      <c r="BQ1346" s="1144"/>
      <c r="BR1346" s="1144"/>
      <c r="BS1346" s="1144"/>
      <c r="BT1346" s="1144"/>
      <c r="BU1346" s="1144"/>
      <c r="BV1346" s="1144"/>
      <c r="BW1346" s="1144"/>
      <c r="BX1346" s="1144"/>
      <c r="BY1346" s="1144"/>
      <c r="BZ1346" s="1144"/>
      <c r="CA1346" s="1144"/>
      <c r="CB1346" s="1144"/>
      <c r="CC1346" s="1144"/>
      <c r="CD1346" s="1144"/>
      <c r="CE1346" s="1144"/>
      <c r="CF1346" s="1144"/>
      <c r="CG1346" s="1144"/>
      <c r="CH1346" s="1144"/>
      <c r="CI1346" s="1144"/>
      <c r="CJ1346" s="1144"/>
      <c r="CK1346" s="1144"/>
      <c r="CL1346" s="1144"/>
      <c r="CM1346" s="1144"/>
      <c r="CN1346" s="1144"/>
    </row>
    <row r="1347" spans="11:92" ht="12" customHeight="1" x14ac:dyDescent="0.35">
      <c r="K1347" s="29">
        <f t="shared" si="827"/>
        <v>0</v>
      </c>
      <c r="L1347" s="1158">
        <f t="shared" si="828"/>
        <v>425</v>
      </c>
      <c r="M1347" s="34">
        <f t="shared" si="829"/>
        <v>0</v>
      </c>
      <c r="N1347" s="34">
        <f t="shared" si="830"/>
        <v>0</v>
      </c>
      <c r="O1347" s="55">
        <f t="shared" si="832"/>
        <v>0</v>
      </c>
      <c r="P1347" s="55">
        <f t="shared" si="833"/>
        <v>0</v>
      </c>
      <c r="Q1347" s="55">
        <f t="shared" si="834"/>
        <v>0</v>
      </c>
      <c r="R1347" s="31">
        <f>IF(Input!D$298=L1371,Input!D$297,0)</f>
        <v>0</v>
      </c>
      <c r="S1347" s="36">
        <f t="shared" si="831"/>
        <v>0</v>
      </c>
      <c r="T1347" s="1818"/>
      <c r="U1347" s="1814"/>
      <c r="V1347" s="1814"/>
      <c r="W1347" s="1817"/>
      <c r="X1347" s="1814"/>
      <c r="Y1347" s="1801"/>
      <c r="Z1347" s="1801"/>
      <c r="AA1347" s="1801"/>
      <c r="AB1347" s="1801"/>
      <c r="AC1347" s="1801"/>
      <c r="AD1347" s="1801"/>
      <c r="AE1347" s="1801"/>
      <c r="AF1347" s="1814"/>
      <c r="AG1347" s="376"/>
      <c r="AH1347" s="376"/>
      <c r="AI1347" s="376"/>
      <c r="AJ1347" s="376"/>
      <c r="AK1347" s="376"/>
      <c r="AL1347" s="1144"/>
      <c r="AM1347" s="1144"/>
      <c r="AN1347" s="1144"/>
      <c r="AO1347" s="1144"/>
      <c r="AP1347" s="1144"/>
      <c r="AQ1347" s="1144"/>
      <c r="AR1347" s="1144"/>
      <c r="AS1347" s="1144"/>
      <c r="AT1347" s="1144"/>
      <c r="AU1347" s="1144"/>
      <c r="AV1347" s="1144"/>
      <c r="AW1347" s="1144"/>
      <c r="AX1347" s="1144"/>
      <c r="AY1347" s="1144"/>
      <c r="AZ1347" s="1144"/>
      <c r="BA1347" s="1144"/>
      <c r="BB1347" s="1144"/>
      <c r="BC1347" s="1144"/>
      <c r="BD1347" s="1144"/>
      <c r="BE1347" s="1144"/>
      <c r="BF1347" s="1144"/>
      <c r="BG1347" s="1144"/>
      <c r="BH1347" s="1144"/>
      <c r="BI1347" s="1144"/>
      <c r="BJ1347" s="1144"/>
      <c r="BK1347" s="1144"/>
      <c r="BL1347" s="1144"/>
      <c r="BM1347" s="1144"/>
      <c r="BN1347" s="1144"/>
      <c r="BO1347" s="1144"/>
      <c r="BP1347" s="1144"/>
      <c r="BQ1347" s="1144"/>
      <c r="BR1347" s="1144"/>
      <c r="BS1347" s="1144"/>
      <c r="BT1347" s="1144"/>
      <c r="BU1347" s="1144"/>
      <c r="BV1347" s="1144"/>
      <c r="BW1347" s="1144"/>
      <c r="BX1347" s="1144"/>
      <c r="BY1347" s="1144"/>
      <c r="BZ1347" s="1144"/>
      <c r="CA1347" s="1144"/>
      <c r="CB1347" s="1144"/>
      <c r="CC1347" s="1144"/>
      <c r="CD1347" s="1144"/>
      <c r="CE1347" s="1144"/>
      <c r="CF1347" s="1144"/>
      <c r="CG1347" s="1144"/>
      <c r="CH1347" s="1144"/>
      <c r="CI1347" s="1144"/>
      <c r="CJ1347" s="1144"/>
      <c r="CK1347" s="1144"/>
      <c r="CL1347" s="1144"/>
      <c r="CM1347" s="1144"/>
      <c r="CN1347" s="1144"/>
    </row>
    <row r="1348" spans="11:92" ht="12" customHeight="1" x14ac:dyDescent="0.35">
      <c r="K1348" s="29">
        <f t="shared" si="827"/>
        <v>0</v>
      </c>
      <c r="L1348" s="1158">
        <f t="shared" si="828"/>
        <v>456</v>
      </c>
      <c r="M1348" s="34">
        <f t="shared" si="829"/>
        <v>0</v>
      </c>
      <c r="N1348" s="34">
        <f t="shared" si="830"/>
        <v>0</v>
      </c>
      <c r="O1348" s="55">
        <f t="shared" si="832"/>
        <v>0</v>
      </c>
      <c r="P1348" s="55">
        <f t="shared" si="833"/>
        <v>0</v>
      </c>
      <c r="Q1348" s="55">
        <f t="shared" si="834"/>
        <v>0</v>
      </c>
      <c r="R1348" s="31">
        <f>IF(Input!D$298=L1372,Input!D$297,0)</f>
        <v>0</v>
      </c>
      <c r="S1348" s="36">
        <f t="shared" si="831"/>
        <v>0</v>
      </c>
      <c r="T1348" s="1818"/>
      <c r="U1348" s="1814"/>
      <c r="V1348" s="1814"/>
      <c r="W1348" s="1817"/>
      <c r="X1348" s="1814"/>
      <c r="Y1348" s="1801"/>
      <c r="Z1348" s="1801"/>
      <c r="AA1348" s="1801"/>
      <c r="AB1348" s="1801"/>
      <c r="AC1348" s="1801"/>
      <c r="AD1348" s="1801"/>
      <c r="AE1348" s="1801"/>
      <c r="AF1348" s="1814"/>
      <c r="AG1348" s="376"/>
      <c r="AH1348" s="376"/>
      <c r="AI1348" s="376"/>
      <c r="AJ1348" s="376"/>
      <c r="AK1348" s="376"/>
      <c r="AL1348" s="1144"/>
      <c r="AM1348" s="1144"/>
      <c r="AN1348" s="1144"/>
      <c r="AO1348" s="1144"/>
      <c r="AP1348" s="1144"/>
      <c r="AQ1348" s="1144"/>
      <c r="AR1348" s="1144"/>
      <c r="AS1348" s="1144"/>
      <c r="AT1348" s="1144"/>
      <c r="AU1348" s="1144"/>
      <c r="AV1348" s="1144"/>
      <c r="AW1348" s="1144"/>
      <c r="AX1348" s="1144"/>
      <c r="AY1348" s="1144"/>
      <c r="AZ1348" s="1144"/>
      <c r="BA1348" s="1144"/>
      <c r="BB1348" s="1144"/>
      <c r="BC1348" s="1144"/>
      <c r="BD1348" s="1144"/>
      <c r="BE1348" s="1144"/>
      <c r="BF1348" s="1144"/>
      <c r="BG1348" s="1144"/>
      <c r="BH1348" s="1144"/>
      <c r="BI1348" s="1144"/>
      <c r="BJ1348" s="1144"/>
      <c r="BK1348" s="1144"/>
      <c r="BL1348" s="1144"/>
      <c r="BM1348" s="1144"/>
      <c r="BN1348" s="1144"/>
      <c r="BO1348" s="1144"/>
      <c r="BP1348" s="1144"/>
      <c r="BQ1348" s="1144"/>
      <c r="BR1348" s="1144"/>
      <c r="BS1348" s="1144"/>
      <c r="BT1348" s="1144"/>
      <c r="BU1348" s="1144"/>
      <c r="BV1348" s="1144"/>
      <c r="BW1348" s="1144"/>
      <c r="BX1348" s="1144"/>
      <c r="BY1348" s="1144"/>
      <c r="BZ1348" s="1144"/>
      <c r="CA1348" s="1144"/>
      <c r="CB1348" s="1144"/>
      <c r="CC1348" s="1144"/>
      <c r="CD1348" s="1144"/>
      <c r="CE1348" s="1144"/>
      <c r="CF1348" s="1144"/>
      <c r="CG1348" s="1144"/>
      <c r="CH1348" s="1144"/>
      <c r="CI1348" s="1144"/>
      <c r="CJ1348" s="1144"/>
      <c r="CK1348" s="1144"/>
      <c r="CL1348" s="1144"/>
      <c r="CM1348" s="1144"/>
      <c r="CN1348" s="1144"/>
    </row>
    <row r="1349" spans="11:92" ht="12" customHeight="1" x14ac:dyDescent="0.35">
      <c r="K1349" s="29">
        <f t="shared" si="827"/>
        <v>0</v>
      </c>
      <c r="L1349" s="1158">
        <f t="shared" si="828"/>
        <v>486</v>
      </c>
      <c r="M1349" s="34">
        <f t="shared" si="829"/>
        <v>0</v>
      </c>
      <c r="N1349" s="34">
        <f t="shared" si="830"/>
        <v>0</v>
      </c>
      <c r="O1349" s="55">
        <f t="shared" si="832"/>
        <v>0</v>
      </c>
      <c r="P1349" s="55">
        <f t="shared" si="833"/>
        <v>0</v>
      </c>
      <c r="Q1349" s="55">
        <f t="shared" si="834"/>
        <v>0</v>
      </c>
      <c r="R1349" s="31">
        <f>IF(Input!D$298=L1373,Input!D$297,0)</f>
        <v>0</v>
      </c>
      <c r="S1349" s="36">
        <f t="shared" si="831"/>
        <v>0</v>
      </c>
      <c r="T1349" s="1818"/>
      <c r="U1349" s="1814"/>
      <c r="V1349" s="1814"/>
      <c r="W1349" s="1817"/>
      <c r="X1349" s="1814"/>
      <c r="Y1349" s="1801"/>
      <c r="Z1349" s="1801"/>
      <c r="AA1349" s="1801"/>
      <c r="AB1349" s="1801"/>
      <c r="AC1349" s="1801"/>
      <c r="AD1349" s="1801"/>
      <c r="AE1349" s="1801"/>
      <c r="AF1349" s="1814"/>
      <c r="AG1349" s="376"/>
      <c r="AH1349" s="376"/>
      <c r="AI1349" s="376"/>
      <c r="AJ1349" s="376"/>
      <c r="AK1349" s="376"/>
      <c r="AL1349" s="1144"/>
      <c r="AM1349" s="1144"/>
      <c r="AN1349" s="1144"/>
      <c r="AO1349" s="1144"/>
      <c r="AP1349" s="1144"/>
      <c r="AQ1349" s="1144"/>
      <c r="AR1349" s="1144"/>
      <c r="AS1349" s="1144"/>
      <c r="AT1349" s="1144"/>
      <c r="AU1349" s="1144"/>
      <c r="AV1349" s="1144"/>
      <c r="AW1349" s="1144"/>
      <c r="AX1349" s="1144"/>
      <c r="AY1349" s="1144"/>
      <c r="AZ1349" s="1144"/>
      <c r="BA1349" s="1144"/>
      <c r="BB1349" s="1144"/>
      <c r="BC1349" s="1144"/>
      <c r="BD1349" s="1144"/>
      <c r="BE1349" s="1144"/>
      <c r="BF1349" s="1144"/>
      <c r="BG1349" s="1144"/>
      <c r="BH1349" s="1144"/>
      <c r="BI1349" s="1144"/>
      <c r="BJ1349" s="1144"/>
      <c r="BK1349" s="1144"/>
      <c r="BL1349" s="1144"/>
      <c r="BM1349" s="1144"/>
      <c r="BN1349" s="1144"/>
      <c r="BO1349" s="1144"/>
      <c r="BP1349" s="1144"/>
      <c r="BQ1349" s="1144"/>
      <c r="BR1349" s="1144"/>
      <c r="BS1349" s="1144"/>
      <c r="BT1349" s="1144"/>
      <c r="BU1349" s="1144"/>
      <c r="BV1349" s="1144"/>
      <c r="BW1349" s="1144"/>
      <c r="BX1349" s="1144"/>
      <c r="BY1349" s="1144"/>
      <c r="BZ1349" s="1144"/>
      <c r="CA1349" s="1144"/>
      <c r="CB1349" s="1144"/>
      <c r="CC1349" s="1144"/>
      <c r="CD1349" s="1144"/>
      <c r="CE1349" s="1144"/>
      <c r="CF1349" s="1144"/>
      <c r="CG1349" s="1144"/>
      <c r="CH1349" s="1144"/>
      <c r="CI1349" s="1144"/>
      <c r="CJ1349" s="1144"/>
      <c r="CK1349" s="1144"/>
      <c r="CL1349" s="1144"/>
      <c r="CM1349" s="1144"/>
      <c r="CN1349" s="1144"/>
    </row>
    <row r="1350" spans="11:92" ht="12" customHeight="1" x14ac:dyDescent="0.35">
      <c r="K1350" s="29">
        <f t="shared" si="827"/>
        <v>0</v>
      </c>
      <c r="L1350" s="1158">
        <f t="shared" si="828"/>
        <v>517</v>
      </c>
      <c r="M1350" s="34">
        <f t="shared" si="829"/>
        <v>0</v>
      </c>
      <c r="N1350" s="34">
        <f t="shared" si="830"/>
        <v>0</v>
      </c>
      <c r="O1350" s="55">
        <f t="shared" si="832"/>
        <v>0</v>
      </c>
      <c r="P1350" s="55">
        <f t="shared" si="833"/>
        <v>0</v>
      </c>
      <c r="Q1350" s="55">
        <f t="shared" si="834"/>
        <v>0</v>
      </c>
      <c r="R1350" s="31">
        <f>IF(Input!D$298=L1374,Input!D$297,0)</f>
        <v>0</v>
      </c>
      <c r="S1350" s="36">
        <f t="shared" si="831"/>
        <v>0</v>
      </c>
      <c r="T1350" s="1818"/>
      <c r="U1350" s="1814"/>
      <c r="V1350" s="1814"/>
      <c r="W1350" s="1817"/>
      <c r="X1350" s="1814"/>
      <c r="Y1350" s="1801"/>
      <c r="Z1350" s="1801"/>
      <c r="AA1350" s="1801"/>
      <c r="AB1350" s="1801"/>
      <c r="AC1350" s="1801"/>
      <c r="AD1350" s="1801"/>
      <c r="AE1350" s="1801"/>
      <c r="AF1350" s="1814"/>
      <c r="AG1350" s="376"/>
      <c r="AH1350" s="376"/>
      <c r="AI1350" s="376"/>
      <c r="AJ1350" s="376"/>
      <c r="AK1350" s="376"/>
      <c r="AL1350" s="1144"/>
      <c r="AM1350" s="1144"/>
      <c r="AN1350" s="1144"/>
      <c r="AO1350" s="1144"/>
      <c r="AP1350" s="1144"/>
      <c r="AQ1350" s="1144"/>
      <c r="AR1350" s="1144"/>
      <c r="AS1350" s="1144"/>
      <c r="AT1350" s="1144"/>
      <c r="AU1350" s="1144"/>
      <c r="AV1350" s="1144"/>
      <c r="AW1350" s="1144"/>
      <c r="AX1350" s="1144"/>
      <c r="AY1350" s="1144"/>
      <c r="AZ1350" s="1144"/>
      <c r="BA1350" s="1144"/>
      <c r="BB1350" s="1144"/>
      <c r="BC1350" s="1144"/>
      <c r="BD1350" s="1144"/>
      <c r="BE1350" s="1144"/>
      <c r="BF1350" s="1144"/>
      <c r="BG1350" s="1144"/>
      <c r="BH1350" s="1144"/>
      <c r="BI1350" s="1144"/>
      <c r="BJ1350" s="1144"/>
      <c r="BK1350" s="1144"/>
      <c r="BL1350" s="1144"/>
      <c r="BM1350" s="1144"/>
      <c r="BN1350" s="1144"/>
      <c r="BO1350" s="1144"/>
      <c r="BP1350" s="1144"/>
      <c r="BQ1350" s="1144"/>
      <c r="BR1350" s="1144"/>
      <c r="BS1350" s="1144"/>
      <c r="BT1350" s="1144"/>
      <c r="BU1350" s="1144"/>
      <c r="BV1350" s="1144"/>
      <c r="BW1350" s="1144"/>
      <c r="BX1350" s="1144"/>
      <c r="BY1350" s="1144"/>
      <c r="BZ1350" s="1144"/>
      <c r="CA1350" s="1144"/>
      <c r="CB1350" s="1144"/>
      <c r="CC1350" s="1144"/>
      <c r="CD1350" s="1144"/>
      <c r="CE1350" s="1144"/>
      <c r="CF1350" s="1144"/>
      <c r="CG1350" s="1144"/>
      <c r="CH1350" s="1144"/>
      <c r="CI1350" s="1144"/>
      <c r="CJ1350" s="1144"/>
      <c r="CK1350" s="1144"/>
      <c r="CL1350" s="1144"/>
      <c r="CM1350" s="1144"/>
      <c r="CN1350" s="1144"/>
    </row>
    <row r="1351" spans="11:92" ht="12" customHeight="1" x14ac:dyDescent="0.35">
      <c r="K1351" s="29">
        <f t="shared" si="827"/>
        <v>0</v>
      </c>
      <c r="L1351" s="1158">
        <f t="shared" si="828"/>
        <v>547</v>
      </c>
      <c r="M1351" s="34">
        <f t="shared" si="829"/>
        <v>0</v>
      </c>
      <c r="N1351" s="34">
        <f t="shared" si="830"/>
        <v>0</v>
      </c>
      <c r="O1351" s="55">
        <f t="shared" si="832"/>
        <v>0</v>
      </c>
      <c r="P1351" s="55">
        <f t="shared" si="833"/>
        <v>0</v>
      </c>
      <c r="Q1351" s="55">
        <f t="shared" si="834"/>
        <v>0</v>
      </c>
      <c r="R1351" s="31">
        <f>IF(Input!D$298=L1375,Input!D$297,0)</f>
        <v>0</v>
      </c>
      <c r="S1351" s="36">
        <f t="shared" si="831"/>
        <v>0</v>
      </c>
      <c r="T1351" s="1818"/>
      <c r="U1351" s="1814"/>
      <c r="V1351" s="1814"/>
      <c r="W1351" s="1817"/>
      <c r="X1351" s="1814"/>
      <c r="Y1351" s="1801"/>
      <c r="Z1351" s="1801"/>
      <c r="AA1351" s="1801"/>
      <c r="AB1351" s="1801"/>
      <c r="AC1351" s="1801"/>
      <c r="AD1351" s="1801"/>
      <c r="AE1351" s="1801"/>
      <c r="AF1351" s="1814"/>
      <c r="AG1351" s="376"/>
      <c r="AH1351" s="376"/>
      <c r="AI1351" s="376"/>
      <c r="AJ1351" s="376"/>
      <c r="AK1351" s="376"/>
      <c r="AL1351" s="1144"/>
      <c r="AM1351" s="1144"/>
      <c r="AN1351" s="1144"/>
      <c r="AO1351" s="1144"/>
      <c r="AP1351" s="1144"/>
      <c r="AQ1351" s="1144"/>
      <c r="AR1351" s="1144"/>
      <c r="AS1351" s="1144"/>
      <c r="AT1351" s="1144"/>
      <c r="AU1351" s="1144"/>
      <c r="AV1351" s="1144"/>
      <c r="AW1351" s="1144"/>
      <c r="AX1351" s="1144"/>
      <c r="AY1351" s="1144"/>
      <c r="AZ1351" s="1144"/>
      <c r="BA1351" s="1144"/>
      <c r="BB1351" s="1144"/>
      <c r="BC1351" s="1144"/>
      <c r="BD1351" s="1144"/>
      <c r="BE1351" s="1144"/>
      <c r="BF1351" s="1144"/>
      <c r="BG1351" s="1144"/>
      <c r="BH1351" s="1144"/>
      <c r="BI1351" s="1144"/>
      <c r="BJ1351" s="1144"/>
      <c r="BK1351" s="1144"/>
      <c r="BL1351" s="1144"/>
      <c r="BM1351" s="1144"/>
      <c r="BN1351" s="1144"/>
      <c r="BO1351" s="1144"/>
      <c r="BP1351" s="1144"/>
      <c r="BQ1351" s="1144"/>
      <c r="BR1351" s="1144"/>
      <c r="BS1351" s="1144"/>
      <c r="BT1351" s="1144"/>
      <c r="BU1351" s="1144"/>
      <c r="BV1351" s="1144"/>
      <c r="BW1351" s="1144"/>
      <c r="BX1351" s="1144"/>
      <c r="BY1351" s="1144"/>
      <c r="BZ1351" s="1144"/>
      <c r="CA1351" s="1144"/>
      <c r="CB1351" s="1144"/>
      <c r="CC1351" s="1144"/>
      <c r="CD1351" s="1144"/>
      <c r="CE1351" s="1144"/>
      <c r="CF1351" s="1144"/>
      <c r="CG1351" s="1144"/>
      <c r="CH1351" s="1144"/>
      <c r="CI1351" s="1144"/>
      <c r="CJ1351" s="1144"/>
      <c r="CK1351" s="1144"/>
      <c r="CL1351" s="1144"/>
      <c r="CM1351" s="1144"/>
      <c r="CN1351" s="1144"/>
    </row>
    <row r="1352" spans="11:92" ht="12" customHeight="1" x14ac:dyDescent="0.35">
      <c r="K1352" s="29">
        <f t="shared" si="827"/>
        <v>0</v>
      </c>
      <c r="L1352" s="1158">
        <f t="shared" si="828"/>
        <v>578</v>
      </c>
      <c r="M1352" s="34">
        <f t="shared" si="829"/>
        <v>0</v>
      </c>
      <c r="N1352" s="34">
        <f t="shared" si="830"/>
        <v>0</v>
      </c>
      <c r="O1352" s="55">
        <f t="shared" si="832"/>
        <v>0</v>
      </c>
      <c r="P1352" s="55">
        <f t="shared" si="833"/>
        <v>0</v>
      </c>
      <c r="Q1352" s="55">
        <f t="shared" si="834"/>
        <v>0</v>
      </c>
      <c r="R1352" s="31">
        <f>IF(Input!D$298=L1376,Input!D$297,0)</f>
        <v>0</v>
      </c>
      <c r="S1352" s="36">
        <f t="shared" si="831"/>
        <v>0</v>
      </c>
      <c r="T1352" s="1818"/>
      <c r="U1352" s="1814"/>
      <c r="V1352" s="1814"/>
      <c r="W1352" s="1817"/>
      <c r="X1352" s="1814"/>
      <c r="Y1352" s="1801"/>
      <c r="Z1352" s="1801"/>
      <c r="AA1352" s="1801"/>
      <c r="AB1352" s="1801"/>
      <c r="AC1352" s="1801"/>
      <c r="AD1352" s="1801"/>
      <c r="AE1352" s="1801"/>
      <c r="AF1352" s="1814"/>
      <c r="AG1352" s="376"/>
      <c r="AH1352" s="376"/>
      <c r="AI1352" s="376"/>
      <c r="AJ1352" s="376"/>
      <c r="AK1352" s="376"/>
      <c r="AL1352" s="1144"/>
      <c r="AM1352" s="1144"/>
      <c r="AN1352" s="1144"/>
      <c r="AO1352" s="1144"/>
      <c r="AP1352" s="1144"/>
      <c r="AQ1352" s="1144"/>
      <c r="AR1352" s="1144"/>
      <c r="AS1352" s="1144"/>
      <c r="AT1352" s="1144"/>
      <c r="AU1352" s="1144"/>
      <c r="AV1352" s="1144"/>
      <c r="AW1352" s="1144"/>
      <c r="AX1352" s="1144"/>
      <c r="AY1352" s="1144"/>
      <c r="AZ1352" s="1144"/>
      <c r="BA1352" s="1144"/>
      <c r="BB1352" s="1144"/>
      <c r="BC1352" s="1144"/>
      <c r="BD1352" s="1144"/>
      <c r="BE1352" s="1144"/>
      <c r="BF1352" s="1144"/>
      <c r="BG1352" s="1144"/>
      <c r="BH1352" s="1144"/>
      <c r="BI1352" s="1144"/>
      <c r="BJ1352" s="1144"/>
      <c r="BK1352" s="1144"/>
      <c r="BL1352" s="1144"/>
      <c r="BM1352" s="1144"/>
      <c r="BN1352" s="1144"/>
      <c r="BO1352" s="1144"/>
      <c r="BP1352" s="1144"/>
      <c r="BQ1352" s="1144"/>
      <c r="BR1352" s="1144"/>
      <c r="BS1352" s="1144"/>
      <c r="BT1352" s="1144"/>
      <c r="BU1352" s="1144"/>
      <c r="BV1352" s="1144"/>
      <c r="BW1352" s="1144"/>
      <c r="BX1352" s="1144"/>
      <c r="BY1352" s="1144"/>
      <c r="BZ1352" s="1144"/>
      <c r="CA1352" s="1144"/>
      <c r="CB1352" s="1144"/>
      <c r="CC1352" s="1144"/>
      <c r="CD1352" s="1144"/>
      <c r="CE1352" s="1144"/>
      <c r="CF1352" s="1144"/>
      <c r="CG1352" s="1144"/>
      <c r="CH1352" s="1144"/>
      <c r="CI1352" s="1144"/>
      <c r="CJ1352" s="1144"/>
      <c r="CK1352" s="1144"/>
      <c r="CL1352" s="1144"/>
      <c r="CM1352" s="1144"/>
      <c r="CN1352" s="1144"/>
    </row>
    <row r="1353" spans="11:92" ht="12" customHeight="1" x14ac:dyDescent="0.35">
      <c r="K1353" s="29">
        <f t="shared" si="827"/>
        <v>0</v>
      </c>
      <c r="L1353" s="1158">
        <f t="shared" si="828"/>
        <v>609</v>
      </c>
      <c r="M1353" s="34">
        <f t="shared" si="829"/>
        <v>0</v>
      </c>
      <c r="N1353" s="34">
        <f t="shared" si="830"/>
        <v>0</v>
      </c>
      <c r="O1353" s="55">
        <f t="shared" si="832"/>
        <v>0</v>
      </c>
      <c r="P1353" s="55">
        <f t="shared" si="833"/>
        <v>0</v>
      </c>
      <c r="Q1353" s="55">
        <f t="shared" si="834"/>
        <v>0</v>
      </c>
      <c r="R1353" s="31">
        <f>IF(Input!D$298=L1377,Input!D$297,0)</f>
        <v>0</v>
      </c>
      <c r="S1353" s="36">
        <f t="shared" si="831"/>
        <v>0</v>
      </c>
      <c r="T1353" s="1818"/>
      <c r="U1353" s="1814"/>
      <c r="V1353" s="1814"/>
      <c r="W1353" s="1817"/>
      <c r="X1353" s="1814"/>
      <c r="Y1353" s="1801"/>
      <c r="Z1353" s="1801"/>
      <c r="AA1353" s="1801"/>
      <c r="AB1353" s="1801"/>
      <c r="AC1353" s="1801"/>
      <c r="AD1353" s="1801"/>
      <c r="AE1353" s="1801"/>
      <c r="AF1353" s="1814"/>
      <c r="AG1353" s="376"/>
      <c r="AH1353" s="376"/>
      <c r="AI1353" s="376"/>
      <c r="AJ1353" s="376"/>
      <c r="AK1353" s="376"/>
      <c r="AL1353" s="1144"/>
      <c r="AM1353" s="1144"/>
      <c r="AN1353" s="1144"/>
      <c r="AO1353" s="1144"/>
      <c r="AP1353" s="1144"/>
      <c r="AQ1353" s="1144"/>
      <c r="AR1353" s="1144"/>
      <c r="AS1353" s="1144"/>
      <c r="AT1353" s="1144"/>
      <c r="AU1353" s="1144"/>
      <c r="AV1353" s="1144"/>
      <c r="AW1353" s="1144"/>
      <c r="AX1353" s="1144"/>
      <c r="AY1353" s="1144"/>
      <c r="AZ1353" s="1144"/>
      <c r="BA1353" s="1144"/>
      <c r="BB1353" s="1144"/>
      <c r="BC1353" s="1144"/>
      <c r="BD1353" s="1144"/>
      <c r="BE1353" s="1144"/>
      <c r="BF1353" s="1144"/>
      <c r="BG1353" s="1144"/>
      <c r="BH1353" s="1144"/>
      <c r="BI1353" s="1144"/>
      <c r="BJ1353" s="1144"/>
      <c r="BK1353" s="1144"/>
      <c r="BL1353" s="1144"/>
      <c r="BM1353" s="1144"/>
      <c r="BN1353" s="1144"/>
      <c r="BO1353" s="1144"/>
      <c r="BP1353" s="1144"/>
      <c r="BQ1353" s="1144"/>
      <c r="BR1353" s="1144"/>
      <c r="BS1353" s="1144"/>
      <c r="BT1353" s="1144"/>
      <c r="BU1353" s="1144"/>
      <c r="BV1353" s="1144"/>
      <c r="BW1353" s="1144"/>
      <c r="BX1353" s="1144"/>
      <c r="BY1353" s="1144"/>
      <c r="BZ1353" s="1144"/>
      <c r="CA1353" s="1144"/>
      <c r="CB1353" s="1144"/>
      <c r="CC1353" s="1144"/>
      <c r="CD1353" s="1144"/>
      <c r="CE1353" s="1144"/>
      <c r="CF1353" s="1144"/>
      <c r="CG1353" s="1144"/>
      <c r="CH1353" s="1144"/>
      <c r="CI1353" s="1144"/>
      <c r="CJ1353" s="1144"/>
      <c r="CK1353" s="1144"/>
      <c r="CL1353" s="1144"/>
      <c r="CM1353" s="1144"/>
      <c r="CN1353" s="1144"/>
    </row>
    <row r="1354" spans="11:92" ht="12" customHeight="1" x14ac:dyDescent="0.35">
      <c r="K1354" s="29">
        <f t="shared" si="827"/>
        <v>0</v>
      </c>
      <c r="L1354" s="1158">
        <f t="shared" si="828"/>
        <v>639</v>
      </c>
      <c r="M1354" s="34">
        <f t="shared" si="829"/>
        <v>0</v>
      </c>
      <c r="N1354" s="34">
        <f t="shared" si="830"/>
        <v>0</v>
      </c>
      <c r="O1354" s="55">
        <f t="shared" si="832"/>
        <v>0</v>
      </c>
      <c r="P1354" s="55">
        <f t="shared" si="833"/>
        <v>0</v>
      </c>
      <c r="Q1354" s="55">
        <f t="shared" si="834"/>
        <v>0</v>
      </c>
      <c r="R1354" s="31">
        <f>IF(Input!D$298=L1378,Input!D$297,0)</f>
        <v>0</v>
      </c>
      <c r="S1354" s="36">
        <f t="shared" si="831"/>
        <v>0</v>
      </c>
      <c r="T1354" s="1818"/>
      <c r="U1354" s="1814"/>
      <c r="V1354" s="1814"/>
      <c r="W1354" s="1817"/>
      <c r="X1354" s="1814"/>
      <c r="Y1354" s="1801"/>
      <c r="Z1354" s="1801"/>
      <c r="AA1354" s="1801"/>
      <c r="AB1354" s="1801"/>
      <c r="AC1354" s="1801"/>
      <c r="AD1354" s="1801"/>
      <c r="AE1354" s="1801"/>
      <c r="AF1354" s="1814"/>
      <c r="AG1354" s="376"/>
      <c r="AH1354" s="376"/>
      <c r="AI1354" s="376"/>
      <c r="AJ1354" s="376"/>
      <c r="AK1354" s="376"/>
      <c r="AL1354" s="1144"/>
      <c r="AM1354" s="1144"/>
      <c r="AN1354" s="1144"/>
      <c r="AO1354" s="1144"/>
      <c r="AP1354" s="1144"/>
      <c r="AQ1354" s="1144"/>
      <c r="AR1354" s="1144"/>
      <c r="AS1354" s="1144"/>
      <c r="AT1354" s="1144"/>
      <c r="AU1354" s="1144"/>
      <c r="AV1354" s="1144"/>
      <c r="AW1354" s="1144"/>
      <c r="AX1354" s="1144"/>
      <c r="AY1354" s="1144"/>
      <c r="AZ1354" s="1144"/>
      <c r="BA1354" s="1144"/>
      <c r="BB1354" s="1144"/>
      <c r="BC1354" s="1144"/>
      <c r="BD1354" s="1144"/>
      <c r="BE1354" s="1144"/>
      <c r="BF1354" s="1144"/>
      <c r="BG1354" s="1144"/>
      <c r="BH1354" s="1144"/>
      <c r="BI1354" s="1144"/>
      <c r="BJ1354" s="1144"/>
      <c r="BK1354" s="1144"/>
      <c r="BL1354" s="1144"/>
      <c r="BM1354" s="1144"/>
      <c r="BN1354" s="1144"/>
      <c r="BO1354" s="1144"/>
      <c r="BP1354" s="1144"/>
      <c r="BQ1354" s="1144"/>
      <c r="BR1354" s="1144"/>
      <c r="BS1354" s="1144"/>
      <c r="BT1354" s="1144"/>
      <c r="BU1354" s="1144"/>
      <c r="BV1354" s="1144"/>
      <c r="BW1354" s="1144"/>
      <c r="BX1354" s="1144"/>
      <c r="BY1354" s="1144"/>
      <c r="BZ1354" s="1144"/>
      <c r="CA1354" s="1144"/>
      <c r="CB1354" s="1144"/>
      <c r="CC1354" s="1144"/>
      <c r="CD1354" s="1144"/>
      <c r="CE1354" s="1144"/>
      <c r="CF1354" s="1144"/>
      <c r="CG1354" s="1144"/>
      <c r="CH1354" s="1144"/>
      <c r="CI1354" s="1144"/>
      <c r="CJ1354" s="1144"/>
      <c r="CK1354" s="1144"/>
      <c r="CL1354" s="1144"/>
      <c r="CM1354" s="1144"/>
      <c r="CN1354" s="1144"/>
    </row>
    <row r="1355" spans="11:92" ht="12" customHeight="1" x14ac:dyDescent="0.35">
      <c r="K1355" s="29">
        <f t="shared" si="827"/>
        <v>0</v>
      </c>
      <c r="L1355" s="1158">
        <f t="shared" si="828"/>
        <v>670</v>
      </c>
      <c r="M1355" s="34">
        <f t="shared" si="829"/>
        <v>0</v>
      </c>
      <c r="N1355" s="34">
        <f t="shared" si="830"/>
        <v>0</v>
      </c>
      <c r="O1355" s="55">
        <f t="shared" si="832"/>
        <v>0</v>
      </c>
      <c r="P1355" s="55">
        <f t="shared" si="833"/>
        <v>0</v>
      </c>
      <c r="Q1355" s="55">
        <f t="shared" si="834"/>
        <v>0</v>
      </c>
      <c r="R1355" s="31">
        <f>IF(Input!D$298=L1379,Input!D$297,0)</f>
        <v>0</v>
      </c>
      <c r="S1355" s="36">
        <f t="shared" si="831"/>
        <v>0</v>
      </c>
      <c r="T1355" s="1818"/>
      <c r="U1355" s="1814"/>
      <c r="V1355" s="1814"/>
      <c r="W1355" s="1817"/>
      <c r="X1355" s="1814"/>
      <c r="Y1355" s="1801"/>
      <c r="Z1355" s="1801"/>
      <c r="AA1355" s="1801"/>
      <c r="AB1355" s="1801"/>
      <c r="AC1355" s="1801"/>
      <c r="AD1355" s="1801"/>
      <c r="AE1355" s="1801"/>
      <c r="AF1355" s="1814"/>
      <c r="AG1355" s="376"/>
      <c r="AH1355" s="376"/>
      <c r="AI1355" s="376"/>
      <c r="AJ1355" s="376"/>
      <c r="AK1355" s="376"/>
      <c r="AL1355" s="1144"/>
      <c r="AM1355" s="1144"/>
      <c r="AN1355" s="1144"/>
      <c r="AO1355" s="1144"/>
      <c r="AP1355" s="1144"/>
      <c r="AQ1355" s="1144"/>
      <c r="AR1355" s="1144"/>
      <c r="AS1355" s="1144"/>
      <c r="AT1355" s="1144"/>
      <c r="AU1355" s="1144"/>
      <c r="AV1355" s="1144"/>
      <c r="AW1355" s="1144"/>
      <c r="AX1355" s="1144"/>
      <c r="AY1355" s="1144"/>
      <c r="AZ1355" s="1144"/>
      <c r="BA1355" s="1144"/>
      <c r="BB1355" s="1144"/>
      <c r="BC1355" s="1144"/>
      <c r="BD1355" s="1144"/>
      <c r="BE1355" s="1144"/>
      <c r="BF1355" s="1144"/>
      <c r="BG1355" s="1144"/>
      <c r="BH1355" s="1144"/>
      <c r="BI1355" s="1144"/>
      <c r="BJ1355" s="1144"/>
      <c r="BK1355" s="1144"/>
      <c r="BL1355" s="1144"/>
      <c r="BM1355" s="1144"/>
      <c r="BN1355" s="1144"/>
      <c r="BO1355" s="1144"/>
      <c r="BP1355" s="1144"/>
      <c r="BQ1355" s="1144"/>
      <c r="BR1355" s="1144"/>
      <c r="BS1355" s="1144"/>
      <c r="BT1355" s="1144"/>
      <c r="BU1355" s="1144"/>
      <c r="BV1355" s="1144"/>
      <c r="BW1355" s="1144"/>
      <c r="BX1355" s="1144"/>
      <c r="BY1355" s="1144"/>
      <c r="BZ1355" s="1144"/>
      <c r="CA1355" s="1144"/>
      <c r="CB1355" s="1144"/>
      <c r="CC1355" s="1144"/>
      <c r="CD1355" s="1144"/>
      <c r="CE1355" s="1144"/>
      <c r="CF1355" s="1144"/>
      <c r="CG1355" s="1144"/>
      <c r="CH1355" s="1144"/>
      <c r="CI1355" s="1144"/>
      <c r="CJ1355" s="1144"/>
      <c r="CK1355" s="1144"/>
      <c r="CL1355" s="1144"/>
      <c r="CM1355" s="1144"/>
      <c r="CN1355" s="1144"/>
    </row>
    <row r="1356" spans="11:92" ht="12" customHeight="1" x14ac:dyDescent="0.35">
      <c r="K1356" s="29">
        <f t="shared" si="827"/>
        <v>0</v>
      </c>
      <c r="L1356" s="1158">
        <f t="shared" si="828"/>
        <v>700</v>
      </c>
      <c r="M1356" s="34">
        <f t="shared" si="829"/>
        <v>0</v>
      </c>
      <c r="N1356" s="34">
        <f t="shared" si="830"/>
        <v>0</v>
      </c>
      <c r="O1356" s="55">
        <f t="shared" si="832"/>
        <v>0</v>
      </c>
      <c r="P1356" s="55">
        <f t="shared" si="833"/>
        <v>0</v>
      </c>
      <c r="Q1356" s="55">
        <f t="shared" si="834"/>
        <v>0</v>
      </c>
      <c r="R1356" s="31">
        <f>IF(Input!D$298=L1380,Input!D$297,0)</f>
        <v>0</v>
      </c>
      <c r="S1356" s="36">
        <f t="shared" si="831"/>
        <v>0</v>
      </c>
      <c r="T1356" s="1818"/>
      <c r="U1356" s="1814"/>
      <c r="V1356" s="1814"/>
      <c r="W1356" s="1817"/>
      <c r="X1356" s="1814"/>
      <c r="Y1356" s="1801"/>
      <c r="Z1356" s="1801"/>
      <c r="AA1356" s="1801"/>
      <c r="AB1356" s="1801"/>
      <c r="AC1356" s="1801"/>
      <c r="AD1356" s="1801"/>
      <c r="AE1356" s="1801"/>
      <c r="AF1356" s="1814"/>
      <c r="AG1356" s="376"/>
      <c r="AH1356" s="376"/>
      <c r="AI1356" s="376"/>
      <c r="AJ1356" s="376"/>
      <c r="AK1356" s="376"/>
      <c r="AL1356" s="1144"/>
      <c r="AM1356" s="1144"/>
      <c r="AN1356" s="1144"/>
      <c r="AO1356" s="1144"/>
      <c r="AP1356" s="1144"/>
      <c r="AQ1356" s="1144"/>
      <c r="AR1356" s="1144"/>
      <c r="AS1356" s="1144"/>
      <c r="AT1356" s="1144"/>
      <c r="AU1356" s="1144"/>
      <c r="AV1356" s="1144"/>
      <c r="AW1356" s="1144"/>
      <c r="AX1356" s="1144"/>
      <c r="AY1356" s="1144"/>
      <c r="AZ1356" s="1144"/>
      <c r="BA1356" s="1144"/>
      <c r="BB1356" s="1144"/>
      <c r="BC1356" s="1144"/>
      <c r="BD1356" s="1144"/>
      <c r="BE1356" s="1144"/>
      <c r="BF1356" s="1144"/>
      <c r="BG1356" s="1144"/>
      <c r="BH1356" s="1144"/>
      <c r="BI1356" s="1144"/>
      <c r="BJ1356" s="1144"/>
      <c r="BK1356" s="1144"/>
      <c r="BL1356" s="1144"/>
      <c r="BM1356" s="1144"/>
      <c r="BN1356" s="1144"/>
      <c r="BO1356" s="1144"/>
      <c r="BP1356" s="1144"/>
      <c r="BQ1356" s="1144"/>
      <c r="BR1356" s="1144"/>
      <c r="BS1356" s="1144"/>
      <c r="BT1356" s="1144"/>
      <c r="BU1356" s="1144"/>
      <c r="BV1356" s="1144"/>
      <c r="BW1356" s="1144"/>
      <c r="BX1356" s="1144"/>
      <c r="BY1356" s="1144"/>
      <c r="BZ1356" s="1144"/>
      <c r="CA1356" s="1144"/>
      <c r="CB1356" s="1144"/>
      <c r="CC1356" s="1144"/>
      <c r="CD1356" s="1144"/>
      <c r="CE1356" s="1144"/>
      <c r="CF1356" s="1144"/>
      <c r="CG1356" s="1144"/>
      <c r="CH1356" s="1144"/>
      <c r="CI1356" s="1144"/>
      <c r="CJ1356" s="1144"/>
      <c r="CK1356" s="1144"/>
      <c r="CL1356" s="1144"/>
      <c r="CM1356" s="1144"/>
      <c r="CN1356" s="1144"/>
    </row>
    <row r="1357" spans="11:92" ht="12" customHeight="1" x14ac:dyDescent="0.35">
      <c r="K1357" s="29">
        <f t="shared" si="827"/>
        <v>0</v>
      </c>
      <c r="L1357" s="1158">
        <f t="shared" si="828"/>
        <v>731</v>
      </c>
      <c r="M1357" s="34">
        <f t="shared" si="829"/>
        <v>0</v>
      </c>
      <c r="N1357" s="34">
        <f t="shared" si="830"/>
        <v>0</v>
      </c>
      <c r="O1357" s="55">
        <f t="shared" si="832"/>
        <v>0</v>
      </c>
      <c r="P1357" s="55">
        <f t="shared" si="833"/>
        <v>0</v>
      </c>
      <c r="Q1357" s="55">
        <f t="shared" si="834"/>
        <v>0</v>
      </c>
      <c r="R1357" s="31">
        <f>IF(Input!D$298=L1381,Input!D$297,0)</f>
        <v>0</v>
      </c>
      <c r="S1357" s="36">
        <f t="shared" si="831"/>
        <v>0</v>
      </c>
      <c r="T1357" s="1818"/>
      <c r="U1357" s="1814"/>
      <c r="V1357" s="1814"/>
      <c r="W1357" s="1817"/>
      <c r="X1357" s="1814"/>
      <c r="Y1357" s="1801"/>
      <c r="Z1357" s="1801"/>
      <c r="AA1357" s="1801"/>
      <c r="AB1357" s="1801"/>
      <c r="AC1357" s="1801"/>
      <c r="AD1357" s="1801"/>
      <c r="AE1357" s="1801"/>
      <c r="AF1357" s="1814"/>
      <c r="AG1357" s="376"/>
      <c r="AH1357" s="376"/>
      <c r="AI1357" s="376"/>
      <c r="AJ1357" s="376"/>
      <c r="AK1357" s="376"/>
      <c r="AL1357" s="1144"/>
      <c r="AM1357" s="1144"/>
      <c r="AN1357" s="1144"/>
      <c r="AO1357" s="1144"/>
      <c r="AP1357" s="1144"/>
      <c r="AQ1357" s="1144"/>
      <c r="AR1357" s="1144"/>
      <c r="AS1357" s="1144"/>
      <c r="AT1357" s="1144"/>
      <c r="AU1357" s="1144"/>
      <c r="AV1357" s="1144"/>
      <c r="AW1357" s="1144"/>
      <c r="AX1357" s="1144"/>
      <c r="AY1357" s="1144"/>
      <c r="AZ1357" s="1144"/>
      <c r="BA1357" s="1144"/>
      <c r="BB1357" s="1144"/>
      <c r="BC1357" s="1144"/>
      <c r="BD1357" s="1144"/>
      <c r="BE1357" s="1144"/>
      <c r="BF1357" s="1144"/>
      <c r="BG1357" s="1144"/>
      <c r="BH1357" s="1144"/>
      <c r="BI1357" s="1144"/>
      <c r="BJ1357" s="1144"/>
      <c r="BK1357" s="1144"/>
      <c r="BL1357" s="1144"/>
      <c r="BM1357" s="1144"/>
      <c r="BN1357" s="1144"/>
      <c r="BO1357" s="1144"/>
      <c r="BP1357" s="1144"/>
      <c r="BQ1357" s="1144"/>
      <c r="BR1357" s="1144"/>
      <c r="BS1357" s="1144"/>
      <c r="BT1357" s="1144"/>
      <c r="BU1357" s="1144"/>
      <c r="BV1357" s="1144"/>
      <c r="BW1357" s="1144"/>
      <c r="BX1357" s="1144"/>
      <c r="BY1357" s="1144"/>
      <c r="BZ1357" s="1144"/>
      <c r="CA1357" s="1144"/>
      <c r="CB1357" s="1144"/>
      <c r="CC1357" s="1144"/>
      <c r="CD1357" s="1144"/>
      <c r="CE1357" s="1144"/>
      <c r="CF1357" s="1144"/>
      <c r="CG1357" s="1144"/>
      <c r="CH1357" s="1144"/>
      <c r="CI1357" s="1144"/>
      <c r="CJ1357" s="1144"/>
      <c r="CK1357" s="1144"/>
      <c r="CL1357" s="1144"/>
      <c r="CM1357" s="1144"/>
      <c r="CN1357" s="1144"/>
    </row>
    <row r="1358" spans="11:92" ht="12" customHeight="1" x14ac:dyDescent="0.35">
      <c r="K1358" s="29">
        <f t="shared" si="827"/>
        <v>0</v>
      </c>
      <c r="L1358" s="1158">
        <f t="shared" si="828"/>
        <v>762</v>
      </c>
      <c r="M1358" s="34">
        <f t="shared" si="829"/>
        <v>0</v>
      </c>
      <c r="N1358" s="34">
        <f t="shared" si="830"/>
        <v>0</v>
      </c>
      <c r="O1358" s="55">
        <f t="shared" si="832"/>
        <v>0</v>
      </c>
      <c r="P1358" s="55">
        <f t="shared" si="833"/>
        <v>0</v>
      </c>
      <c r="Q1358" s="55">
        <f t="shared" si="834"/>
        <v>0</v>
      </c>
      <c r="R1358" s="31">
        <f>IF(Input!D$298=L1382,Input!D$297,0)</f>
        <v>0</v>
      </c>
      <c r="S1358" s="36">
        <f t="shared" si="831"/>
        <v>0</v>
      </c>
      <c r="T1358" s="1818"/>
      <c r="U1358" s="1814"/>
      <c r="V1358" s="1814"/>
      <c r="W1358" s="1817"/>
      <c r="X1358" s="1814"/>
      <c r="Y1358" s="1801"/>
      <c r="Z1358" s="1801"/>
      <c r="AA1358" s="1801"/>
      <c r="AB1358" s="1801"/>
      <c r="AC1358" s="1801"/>
      <c r="AD1358" s="1801"/>
      <c r="AE1358" s="1801"/>
      <c r="AF1358" s="1814"/>
      <c r="AG1358" s="376"/>
      <c r="AH1358" s="376"/>
      <c r="AI1358" s="376"/>
      <c r="AJ1358" s="376"/>
      <c r="AK1358" s="376"/>
      <c r="AL1358" s="1144"/>
      <c r="AM1358" s="1144"/>
      <c r="AN1358" s="1144"/>
      <c r="AO1358" s="1144"/>
      <c r="AP1358" s="1144"/>
      <c r="AQ1358" s="1144"/>
      <c r="AR1358" s="1144"/>
      <c r="AS1358" s="1144"/>
      <c r="AT1358" s="1144"/>
      <c r="AU1358" s="1144"/>
      <c r="AV1358" s="1144"/>
      <c r="AW1358" s="1144"/>
      <c r="AX1358" s="1144"/>
      <c r="AY1358" s="1144"/>
      <c r="AZ1358" s="1144"/>
      <c r="BA1358" s="1144"/>
      <c r="BB1358" s="1144"/>
      <c r="BC1358" s="1144"/>
      <c r="BD1358" s="1144"/>
      <c r="BE1358" s="1144"/>
      <c r="BF1358" s="1144"/>
      <c r="BG1358" s="1144"/>
      <c r="BH1358" s="1144"/>
      <c r="BI1358" s="1144"/>
      <c r="BJ1358" s="1144"/>
      <c r="BK1358" s="1144"/>
      <c r="BL1358" s="1144"/>
      <c r="BM1358" s="1144"/>
      <c r="BN1358" s="1144"/>
      <c r="BO1358" s="1144"/>
      <c r="BP1358" s="1144"/>
      <c r="BQ1358" s="1144"/>
      <c r="BR1358" s="1144"/>
      <c r="BS1358" s="1144"/>
      <c r="BT1358" s="1144"/>
      <c r="BU1358" s="1144"/>
      <c r="BV1358" s="1144"/>
      <c r="BW1358" s="1144"/>
      <c r="BX1358" s="1144"/>
      <c r="BY1358" s="1144"/>
      <c r="BZ1358" s="1144"/>
      <c r="CA1358" s="1144"/>
      <c r="CB1358" s="1144"/>
      <c r="CC1358" s="1144"/>
      <c r="CD1358" s="1144"/>
      <c r="CE1358" s="1144"/>
      <c r="CF1358" s="1144"/>
      <c r="CG1358" s="1144"/>
      <c r="CH1358" s="1144"/>
      <c r="CI1358" s="1144"/>
      <c r="CJ1358" s="1144"/>
      <c r="CK1358" s="1144"/>
      <c r="CL1358" s="1144"/>
      <c r="CM1358" s="1144"/>
      <c r="CN1358" s="1144"/>
    </row>
    <row r="1359" spans="11:92" ht="12" customHeight="1" x14ac:dyDescent="0.35">
      <c r="K1359" s="29">
        <f t="shared" si="827"/>
        <v>0</v>
      </c>
      <c r="L1359" s="1158">
        <f t="shared" si="828"/>
        <v>790</v>
      </c>
      <c r="M1359" s="34">
        <f t="shared" si="829"/>
        <v>0</v>
      </c>
      <c r="N1359" s="34">
        <f t="shared" si="830"/>
        <v>0</v>
      </c>
      <c r="O1359" s="55">
        <f t="shared" si="832"/>
        <v>0</v>
      </c>
      <c r="P1359" s="55">
        <f t="shared" si="833"/>
        <v>0</v>
      </c>
      <c r="Q1359" s="55">
        <f t="shared" si="834"/>
        <v>0</v>
      </c>
      <c r="R1359" s="31">
        <f>IF(Input!D$298=L1383,Input!D$297,0)</f>
        <v>0</v>
      </c>
      <c r="S1359" s="36">
        <f t="shared" si="831"/>
        <v>0</v>
      </c>
      <c r="T1359" s="1818"/>
      <c r="U1359" s="1814"/>
      <c r="V1359" s="1814"/>
      <c r="W1359" s="1817"/>
      <c r="X1359" s="1814"/>
      <c r="Y1359" s="1801"/>
      <c r="Z1359" s="1801"/>
      <c r="AA1359" s="1801"/>
      <c r="AB1359" s="1801"/>
      <c r="AC1359" s="1801"/>
      <c r="AD1359" s="1801"/>
      <c r="AE1359" s="1801"/>
      <c r="AF1359" s="1814"/>
      <c r="AG1359" s="376"/>
      <c r="AH1359" s="376"/>
      <c r="AI1359" s="376"/>
      <c r="AJ1359" s="376"/>
      <c r="AK1359" s="376"/>
      <c r="AL1359" s="1144"/>
      <c r="AM1359" s="1144"/>
      <c r="AN1359" s="1144"/>
      <c r="AO1359" s="1144"/>
      <c r="AP1359" s="1144"/>
      <c r="AQ1359" s="1144"/>
      <c r="AR1359" s="1144"/>
      <c r="AS1359" s="1144"/>
      <c r="AT1359" s="1144"/>
      <c r="AU1359" s="1144"/>
      <c r="AV1359" s="1144"/>
      <c r="AW1359" s="1144"/>
      <c r="AX1359" s="1144"/>
      <c r="AY1359" s="1144"/>
      <c r="AZ1359" s="1144"/>
      <c r="BA1359" s="1144"/>
      <c r="BB1359" s="1144"/>
      <c r="BC1359" s="1144"/>
      <c r="BD1359" s="1144"/>
      <c r="BE1359" s="1144"/>
      <c r="BF1359" s="1144"/>
      <c r="BG1359" s="1144"/>
      <c r="BH1359" s="1144"/>
      <c r="BI1359" s="1144"/>
      <c r="BJ1359" s="1144"/>
      <c r="BK1359" s="1144"/>
      <c r="BL1359" s="1144"/>
      <c r="BM1359" s="1144"/>
      <c r="BN1359" s="1144"/>
      <c r="BO1359" s="1144"/>
      <c r="BP1359" s="1144"/>
      <c r="BQ1359" s="1144"/>
      <c r="BR1359" s="1144"/>
      <c r="BS1359" s="1144"/>
      <c r="BT1359" s="1144"/>
      <c r="BU1359" s="1144"/>
      <c r="BV1359" s="1144"/>
      <c r="BW1359" s="1144"/>
      <c r="BX1359" s="1144"/>
      <c r="BY1359" s="1144"/>
      <c r="BZ1359" s="1144"/>
      <c r="CA1359" s="1144"/>
      <c r="CB1359" s="1144"/>
      <c r="CC1359" s="1144"/>
      <c r="CD1359" s="1144"/>
      <c r="CE1359" s="1144"/>
      <c r="CF1359" s="1144"/>
      <c r="CG1359" s="1144"/>
      <c r="CH1359" s="1144"/>
      <c r="CI1359" s="1144"/>
      <c r="CJ1359" s="1144"/>
      <c r="CK1359" s="1144"/>
      <c r="CL1359" s="1144"/>
      <c r="CM1359" s="1144"/>
      <c r="CN1359" s="1144"/>
    </row>
    <row r="1360" spans="11:92" ht="12" customHeight="1" x14ac:dyDescent="0.35">
      <c r="K1360" s="29">
        <f t="shared" si="827"/>
        <v>0</v>
      </c>
      <c r="L1360" s="1158">
        <f t="shared" si="828"/>
        <v>821</v>
      </c>
      <c r="M1360" s="34">
        <f t="shared" si="829"/>
        <v>0</v>
      </c>
      <c r="N1360" s="34">
        <f t="shared" si="830"/>
        <v>0</v>
      </c>
      <c r="O1360" s="55">
        <f t="shared" si="832"/>
        <v>0</v>
      </c>
      <c r="P1360" s="55">
        <f t="shared" si="833"/>
        <v>0</v>
      </c>
      <c r="Q1360" s="55">
        <f t="shared" si="834"/>
        <v>0</v>
      </c>
      <c r="R1360" s="31">
        <f>IF(Input!D$298=L1384,Input!D$297,0)</f>
        <v>0</v>
      </c>
      <c r="S1360" s="36">
        <f t="shared" si="831"/>
        <v>0</v>
      </c>
      <c r="T1360" s="1818"/>
      <c r="U1360" s="1814"/>
      <c r="V1360" s="1814"/>
      <c r="W1360" s="1817"/>
      <c r="X1360" s="1814"/>
      <c r="Y1360" s="1801"/>
      <c r="Z1360" s="1801"/>
      <c r="AA1360" s="1801"/>
      <c r="AB1360" s="1801"/>
      <c r="AC1360" s="1801"/>
      <c r="AD1360" s="1801"/>
      <c r="AE1360" s="1801"/>
      <c r="AF1360" s="1814"/>
      <c r="AG1360" s="376"/>
      <c r="AH1360" s="376"/>
      <c r="AI1360" s="376"/>
      <c r="AJ1360" s="376"/>
      <c r="AK1360" s="376"/>
      <c r="AL1360" s="1144"/>
      <c r="AM1360" s="1144"/>
      <c r="AN1360" s="1144"/>
      <c r="AO1360" s="1144"/>
      <c r="AP1360" s="1144"/>
      <c r="AQ1360" s="1144"/>
      <c r="AR1360" s="1144"/>
      <c r="AS1360" s="1144"/>
      <c r="AT1360" s="1144"/>
      <c r="AU1360" s="1144"/>
      <c r="AV1360" s="1144"/>
      <c r="AW1360" s="1144"/>
      <c r="AX1360" s="1144"/>
      <c r="AY1360" s="1144"/>
      <c r="AZ1360" s="1144"/>
      <c r="BA1360" s="1144"/>
      <c r="BB1360" s="1144"/>
      <c r="BC1360" s="1144"/>
      <c r="BD1360" s="1144"/>
      <c r="BE1360" s="1144"/>
      <c r="BF1360" s="1144"/>
      <c r="BG1360" s="1144"/>
      <c r="BH1360" s="1144"/>
      <c r="BI1360" s="1144"/>
      <c r="BJ1360" s="1144"/>
      <c r="BK1360" s="1144"/>
      <c r="BL1360" s="1144"/>
      <c r="BM1360" s="1144"/>
      <c r="BN1360" s="1144"/>
      <c r="BO1360" s="1144"/>
      <c r="BP1360" s="1144"/>
      <c r="BQ1360" s="1144"/>
      <c r="BR1360" s="1144"/>
      <c r="BS1360" s="1144"/>
      <c r="BT1360" s="1144"/>
      <c r="BU1360" s="1144"/>
      <c r="BV1360" s="1144"/>
      <c r="BW1360" s="1144"/>
      <c r="BX1360" s="1144"/>
      <c r="BY1360" s="1144"/>
      <c r="BZ1360" s="1144"/>
      <c r="CA1360" s="1144"/>
      <c r="CB1360" s="1144"/>
      <c r="CC1360" s="1144"/>
      <c r="CD1360" s="1144"/>
      <c r="CE1360" s="1144"/>
      <c r="CF1360" s="1144"/>
      <c r="CG1360" s="1144"/>
      <c r="CH1360" s="1144"/>
      <c r="CI1360" s="1144"/>
      <c r="CJ1360" s="1144"/>
      <c r="CK1360" s="1144"/>
      <c r="CL1360" s="1144"/>
      <c r="CM1360" s="1144"/>
      <c r="CN1360" s="1144"/>
    </row>
    <row r="1361" spans="11:92" ht="12" customHeight="1" x14ac:dyDescent="0.35">
      <c r="K1361" s="29">
        <f t="shared" si="827"/>
        <v>0</v>
      </c>
      <c r="L1361" s="1158">
        <f t="shared" si="828"/>
        <v>851</v>
      </c>
      <c r="M1361" s="34">
        <f t="shared" si="829"/>
        <v>0</v>
      </c>
      <c r="N1361" s="34">
        <f t="shared" si="830"/>
        <v>0</v>
      </c>
      <c r="O1361" s="55">
        <f t="shared" si="832"/>
        <v>0</v>
      </c>
      <c r="P1361" s="55">
        <f t="shared" si="833"/>
        <v>0</v>
      </c>
      <c r="Q1361" s="55">
        <f t="shared" si="834"/>
        <v>0</v>
      </c>
      <c r="R1361" s="31">
        <f>IF(Input!D$298=L1385,Input!D$297,0)</f>
        <v>0</v>
      </c>
      <c r="S1361" s="36">
        <f t="shared" si="831"/>
        <v>0</v>
      </c>
      <c r="T1361" s="1818"/>
      <c r="U1361" s="1814"/>
      <c r="V1361" s="1814"/>
      <c r="W1361" s="1817"/>
      <c r="X1361" s="1814"/>
      <c r="Y1361" s="1801"/>
      <c r="Z1361" s="1801"/>
      <c r="AA1361" s="1801"/>
      <c r="AB1361" s="1801"/>
      <c r="AC1361" s="1801"/>
      <c r="AD1361" s="1801"/>
      <c r="AE1361" s="1801"/>
      <c r="AF1361" s="1814"/>
      <c r="AG1361" s="376"/>
      <c r="AH1361" s="376"/>
      <c r="AI1361" s="376"/>
      <c r="AJ1361" s="376"/>
      <c r="AK1361" s="376"/>
      <c r="AL1361" s="1144"/>
      <c r="AM1361" s="1144"/>
      <c r="AN1361" s="1144"/>
      <c r="AO1361" s="1144"/>
      <c r="AP1361" s="1144"/>
      <c r="AQ1361" s="1144"/>
      <c r="AR1361" s="1144"/>
      <c r="AS1361" s="1144"/>
      <c r="AT1361" s="1144"/>
      <c r="AU1361" s="1144"/>
      <c r="AV1361" s="1144"/>
      <c r="AW1361" s="1144"/>
      <c r="AX1361" s="1144"/>
      <c r="AY1361" s="1144"/>
      <c r="AZ1361" s="1144"/>
      <c r="BA1361" s="1144"/>
      <c r="BB1361" s="1144"/>
      <c r="BC1361" s="1144"/>
      <c r="BD1361" s="1144"/>
      <c r="BE1361" s="1144"/>
      <c r="BF1361" s="1144"/>
      <c r="BG1361" s="1144"/>
      <c r="BH1361" s="1144"/>
      <c r="BI1361" s="1144"/>
      <c r="BJ1361" s="1144"/>
      <c r="BK1361" s="1144"/>
      <c r="BL1361" s="1144"/>
      <c r="BM1361" s="1144"/>
      <c r="BN1361" s="1144"/>
      <c r="BO1361" s="1144"/>
      <c r="BP1361" s="1144"/>
      <c r="BQ1361" s="1144"/>
      <c r="BR1361" s="1144"/>
      <c r="BS1361" s="1144"/>
      <c r="BT1361" s="1144"/>
      <c r="BU1361" s="1144"/>
      <c r="BV1361" s="1144"/>
      <c r="BW1361" s="1144"/>
      <c r="BX1361" s="1144"/>
      <c r="BY1361" s="1144"/>
      <c r="BZ1361" s="1144"/>
      <c r="CA1361" s="1144"/>
      <c r="CB1361" s="1144"/>
      <c r="CC1361" s="1144"/>
      <c r="CD1361" s="1144"/>
      <c r="CE1361" s="1144"/>
      <c r="CF1361" s="1144"/>
      <c r="CG1361" s="1144"/>
      <c r="CH1361" s="1144"/>
      <c r="CI1361" s="1144"/>
      <c r="CJ1361" s="1144"/>
      <c r="CK1361" s="1144"/>
      <c r="CL1361" s="1144"/>
      <c r="CM1361" s="1144"/>
      <c r="CN1361" s="1144"/>
    </row>
    <row r="1362" spans="11:92" ht="12" customHeight="1" x14ac:dyDescent="0.35">
      <c r="K1362" s="29">
        <f t="shared" si="827"/>
        <v>0</v>
      </c>
      <c r="L1362" s="1158">
        <f t="shared" si="828"/>
        <v>882</v>
      </c>
      <c r="M1362" s="34">
        <f t="shared" si="829"/>
        <v>0</v>
      </c>
      <c r="N1362" s="34">
        <f t="shared" si="830"/>
        <v>0</v>
      </c>
      <c r="O1362" s="55">
        <f t="shared" si="832"/>
        <v>0</v>
      </c>
      <c r="P1362" s="55">
        <f t="shared" si="833"/>
        <v>0</v>
      </c>
      <c r="Q1362" s="55">
        <f t="shared" si="834"/>
        <v>0</v>
      </c>
      <c r="R1362" s="31">
        <f>IF(Input!D$298=L1386,Input!D$297,0)</f>
        <v>0</v>
      </c>
      <c r="S1362" s="36">
        <f t="shared" si="831"/>
        <v>0</v>
      </c>
      <c r="T1362" s="1818"/>
      <c r="U1362" s="1814"/>
      <c r="V1362" s="1814"/>
      <c r="W1362" s="1817"/>
      <c r="X1362" s="1814"/>
      <c r="Y1362" s="1801"/>
      <c r="Z1362" s="1801"/>
      <c r="AA1362" s="1801"/>
      <c r="AB1362" s="1801"/>
      <c r="AC1362" s="1801"/>
      <c r="AD1362" s="1801"/>
      <c r="AE1362" s="1801"/>
      <c r="AF1362" s="1814"/>
      <c r="AG1362" s="376"/>
      <c r="AH1362" s="376"/>
      <c r="AI1362" s="376"/>
      <c r="AJ1362" s="376"/>
      <c r="AK1362" s="376"/>
      <c r="AL1362" s="1144"/>
      <c r="AM1362" s="1144"/>
      <c r="AN1362" s="1144"/>
      <c r="AO1362" s="1144"/>
      <c r="AP1362" s="1144"/>
      <c r="AQ1362" s="1144"/>
      <c r="AR1362" s="1144"/>
      <c r="AS1362" s="1144"/>
      <c r="AT1362" s="1144"/>
      <c r="AU1362" s="1144"/>
      <c r="AV1362" s="1144"/>
      <c r="AW1362" s="1144"/>
      <c r="AX1362" s="1144"/>
      <c r="AY1362" s="1144"/>
      <c r="AZ1362" s="1144"/>
      <c r="BA1362" s="1144"/>
      <c r="BB1362" s="1144"/>
      <c r="BC1362" s="1144"/>
      <c r="BD1362" s="1144"/>
      <c r="BE1362" s="1144"/>
      <c r="BF1362" s="1144"/>
      <c r="BG1362" s="1144"/>
      <c r="BH1362" s="1144"/>
      <c r="BI1362" s="1144"/>
      <c r="BJ1362" s="1144"/>
      <c r="BK1362" s="1144"/>
      <c r="BL1362" s="1144"/>
      <c r="BM1362" s="1144"/>
      <c r="BN1362" s="1144"/>
      <c r="BO1362" s="1144"/>
      <c r="BP1362" s="1144"/>
      <c r="BQ1362" s="1144"/>
      <c r="BR1362" s="1144"/>
      <c r="BS1362" s="1144"/>
      <c r="BT1362" s="1144"/>
      <c r="BU1362" s="1144"/>
      <c r="BV1362" s="1144"/>
      <c r="BW1362" s="1144"/>
      <c r="BX1362" s="1144"/>
      <c r="BY1362" s="1144"/>
      <c r="BZ1362" s="1144"/>
      <c r="CA1362" s="1144"/>
      <c r="CB1362" s="1144"/>
      <c r="CC1362" s="1144"/>
      <c r="CD1362" s="1144"/>
      <c r="CE1362" s="1144"/>
      <c r="CF1362" s="1144"/>
      <c r="CG1362" s="1144"/>
      <c r="CH1362" s="1144"/>
      <c r="CI1362" s="1144"/>
      <c r="CJ1362" s="1144"/>
      <c r="CK1362" s="1144"/>
      <c r="CL1362" s="1144"/>
      <c r="CM1362" s="1144"/>
      <c r="CN1362" s="1144"/>
    </row>
    <row r="1363" spans="11:92" ht="12" customHeight="1" x14ac:dyDescent="0.35">
      <c r="K1363" s="29">
        <f t="shared" si="827"/>
        <v>0</v>
      </c>
      <c r="L1363" s="1158">
        <f t="shared" si="828"/>
        <v>912</v>
      </c>
      <c r="M1363" s="34">
        <f t="shared" si="829"/>
        <v>0</v>
      </c>
      <c r="N1363" s="34">
        <f t="shared" si="830"/>
        <v>0</v>
      </c>
      <c r="O1363" s="55">
        <f t="shared" si="832"/>
        <v>0</v>
      </c>
      <c r="P1363" s="55">
        <f t="shared" si="833"/>
        <v>0</v>
      </c>
      <c r="Q1363" s="55">
        <f t="shared" si="834"/>
        <v>0</v>
      </c>
      <c r="R1363" s="31">
        <f>IF(Input!D$298=L1387,Input!D$297,0)</f>
        <v>0</v>
      </c>
      <c r="S1363" s="36">
        <f t="shared" si="831"/>
        <v>0</v>
      </c>
      <c r="T1363" s="1818"/>
      <c r="U1363" s="1814"/>
      <c r="V1363" s="1814"/>
      <c r="W1363" s="1817"/>
      <c r="X1363" s="1814"/>
      <c r="Y1363" s="1801"/>
      <c r="Z1363" s="1801"/>
      <c r="AA1363" s="1801"/>
      <c r="AB1363" s="1801"/>
      <c r="AC1363" s="1801"/>
      <c r="AD1363" s="1801"/>
      <c r="AE1363" s="1801"/>
      <c r="AF1363" s="1814"/>
      <c r="AG1363" s="376"/>
      <c r="AH1363" s="376"/>
      <c r="AI1363" s="376"/>
      <c r="AJ1363" s="376"/>
      <c r="AK1363" s="376"/>
      <c r="AL1363" s="1144"/>
      <c r="AM1363" s="1144"/>
      <c r="AN1363" s="1144"/>
      <c r="AO1363" s="1144"/>
      <c r="AP1363" s="1144"/>
      <c r="AQ1363" s="1144"/>
      <c r="AR1363" s="1144"/>
      <c r="AS1363" s="1144"/>
      <c r="AT1363" s="1144"/>
      <c r="AU1363" s="1144"/>
      <c r="AV1363" s="1144"/>
      <c r="AW1363" s="1144"/>
      <c r="AX1363" s="1144"/>
      <c r="AY1363" s="1144"/>
      <c r="AZ1363" s="1144"/>
      <c r="BA1363" s="1144"/>
      <c r="BB1363" s="1144"/>
      <c r="BC1363" s="1144"/>
      <c r="BD1363" s="1144"/>
      <c r="BE1363" s="1144"/>
      <c r="BF1363" s="1144"/>
      <c r="BG1363" s="1144"/>
      <c r="BH1363" s="1144"/>
      <c r="BI1363" s="1144"/>
      <c r="BJ1363" s="1144"/>
      <c r="BK1363" s="1144"/>
      <c r="BL1363" s="1144"/>
      <c r="BM1363" s="1144"/>
      <c r="BN1363" s="1144"/>
      <c r="BO1363" s="1144"/>
      <c r="BP1363" s="1144"/>
      <c r="BQ1363" s="1144"/>
      <c r="BR1363" s="1144"/>
      <c r="BS1363" s="1144"/>
      <c r="BT1363" s="1144"/>
      <c r="BU1363" s="1144"/>
      <c r="BV1363" s="1144"/>
      <c r="BW1363" s="1144"/>
      <c r="BX1363" s="1144"/>
      <c r="BY1363" s="1144"/>
      <c r="BZ1363" s="1144"/>
      <c r="CA1363" s="1144"/>
      <c r="CB1363" s="1144"/>
      <c r="CC1363" s="1144"/>
      <c r="CD1363" s="1144"/>
      <c r="CE1363" s="1144"/>
      <c r="CF1363" s="1144"/>
      <c r="CG1363" s="1144"/>
      <c r="CH1363" s="1144"/>
      <c r="CI1363" s="1144"/>
      <c r="CJ1363" s="1144"/>
      <c r="CK1363" s="1144"/>
      <c r="CL1363" s="1144"/>
      <c r="CM1363" s="1144"/>
      <c r="CN1363" s="1144"/>
    </row>
    <row r="1364" spans="11:92" ht="12" customHeight="1" x14ac:dyDescent="0.35">
      <c r="K1364" s="29">
        <f t="shared" si="827"/>
        <v>0</v>
      </c>
      <c r="L1364" s="1158">
        <f t="shared" si="828"/>
        <v>943</v>
      </c>
      <c r="M1364" s="34">
        <f t="shared" si="829"/>
        <v>0</v>
      </c>
      <c r="N1364" s="34">
        <f t="shared" si="830"/>
        <v>0</v>
      </c>
      <c r="O1364" s="55">
        <f t="shared" si="832"/>
        <v>0</v>
      </c>
      <c r="P1364" s="55">
        <f t="shared" si="833"/>
        <v>0</v>
      </c>
      <c r="Q1364" s="55">
        <f t="shared" si="834"/>
        <v>0</v>
      </c>
      <c r="R1364" s="31">
        <f>IF(Input!D$298=L1388,Input!D$297,0)</f>
        <v>0</v>
      </c>
      <c r="S1364" s="36">
        <f t="shared" si="831"/>
        <v>0</v>
      </c>
      <c r="T1364" s="1818"/>
      <c r="U1364" s="1814"/>
      <c r="V1364" s="1814"/>
      <c r="W1364" s="1817"/>
      <c r="X1364" s="1814"/>
      <c r="Y1364" s="1801"/>
      <c r="Z1364" s="1801"/>
      <c r="AA1364" s="1801"/>
      <c r="AB1364" s="1801"/>
      <c r="AC1364" s="1801"/>
      <c r="AD1364" s="1801"/>
      <c r="AE1364" s="1801"/>
      <c r="AF1364" s="1814"/>
      <c r="AG1364" s="376"/>
      <c r="AH1364" s="376"/>
      <c r="AI1364" s="376"/>
      <c r="AJ1364" s="376"/>
      <c r="AK1364" s="376"/>
      <c r="AL1364" s="1144"/>
      <c r="AM1364" s="1144"/>
      <c r="AN1364" s="1144"/>
      <c r="AO1364" s="1144"/>
      <c r="AP1364" s="1144"/>
      <c r="AQ1364" s="1144"/>
      <c r="AR1364" s="1144"/>
      <c r="AS1364" s="1144"/>
      <c r="AT1364" s="1144"/>
      <c r="AU1364" s="1144"/>
      <c r="AV1364" s="1144"/>
      <c r="AW1364" s="1144"/>
      <c r="AX1364" s="1144"/>
      <c r="AY1364" s="1144"/>
      <c r="AZ1364" s="1144"/>
      <c r="BA1364" s="1144"/>
      <c r="BB1364" s="1144"/>
      <c r="BC1364" s="1144"/>
      <c r="BD1364" s="1144"/>
      <c r="BE1364" s="1144"/>
      <c r="BF1364" s="1144"/>
      <c r="BG1364" s="1144"/>
      <c r="BH1364" s="1144"/>
      <c r="BI1364" s="1144"/>
      <c r="BJ1364" s="1144"/>
      <c r="BK1364" s="1144"/>
      <c r="BL1364" s="1144"/>
      <c r="BM1364" s="1144"/>
      <c r="BN1364" s="1144"/>
      <c r="BO1364" s="1144"/>
      <c r="BP1364" s="1144"/>
      <c r="BQ1364" s="1144"/>
      <c r="BR1364" s="1144"/>
      <c r="BS1364" s="1144"/>
      <c r="BT1364" s="1144"/>
      <c r="BU1364" s="1144"/>
      <c r="BV1364" s="1144"/>
      <c r="BW1364" s="1144"/>
      <c r="BX1364" s="1144"/>
      <c r="BY1364" s="1144"/>
      <c r="BZ1364" s="1144"/>
      <c r="CA1364" s="1144"/>
      <c r="CB1364" s="1144"/>
      <c r="CC1364" s="1144"/>
      <c r="CD1364" s="1144"/>
      <c r="CE1364" s="1144"/>
      <c r="CF1364" s="1144"/>
      <c r="CG1364" s="1144"/>
      <c r="CH1364" s="1144"/>
      <c r="CI1364" s="1144"/>
      <c r="CJ1364" s="1144"/>
      <c r="CK1364" s="1144"/>
      <c r="CL1364" s="1144"/>
      <c r="CM1364" s="1144"/>
      <c r="CN1364" s="1144"/>
    </row>
    <row r="1365" spans="11:92" ht="12" customHeight="1" x14ac:dyDescent="0.35">
      <c r="K1365" s="29">
        <f t="shared" si="827"/>
        <v>0</v>
      </c>
      <c r="L1365" s="1158">
        <f t="shared" si="828"/>
        <v>974</v>
      </c>
      <c r="M1365" s="34">
        <f t="shared" si="829"/>
        <v>0</v>
      </c>
      <c r="N1365" s="34">
        <f t="shared" si="830"/>
        <v>0</v>
      </c>
      <c r="O1365" s="55">
        <f t="shared" si="832"/>
        <v>0</v>
      </c>
      <c r="P1365" s="55">
        <f t="shared" si="833"/>
        <v>0</v>
      </c>
      <c r="Q1365" s="55">
        <f t="shared" si="834"/>
        <v>0</v>
      </c>
      <c r="R1365" s="31">
        <f>IF(Input!D$298=L1389,Input!D$297,0)</f>
        <v>0</v>
      </c>
      <c r="S1365" s="36">
        <f t="shared" si="831"/>
        <v>0</v>
      </c>
      <c r="T1365" s="1818"/>
      <c r="U1365" s="1814"/>
      <c r="V1365" s="1814"/>
      <c r="W1365" s="1817"/>
      <c r="X1365" s="1814"/>
      <c r="Y1365" s="1801"/>
      <c r="Z1365" s="1801"/>
      <c r="AA1365" s="1801"/>
      <c r="AB1365" s="1801"/>
      <c r="AC1365" s="1801"/>
      <c r="AD1365" s="1801"/>
      <c r="AE1365" s="1801"/>
      <c r="AF1365" s="1814"/>
      <c r="AG1365" s="376"/>
      <c r="AH1365" s="376"/>
      <c r="AI1365" s="376"/>
      <c r="AJ1365" s="376"/>
      <c r="AK1365" s="376"/>
      <c r="AL1365" s="1144"/>
      <c r="AM1365" s="1144"/>
      <c r="AN1365" s="1144"/>
      <c r="AO1365" s="1144"/>
      <c r="AP1365" s="1144"/>
      <c r="AQ1365" s="1144"/>
      <c r="AR1365" s="1144"/>
      <c r="AS1365" s="1144"/>
      <c r="AT1365" s="1144"/>
      <c r="AU1365" s="1144"/>
      <c r="AV1365" s="1144"/>
      <c r="AW1365" s="1144"/>
      <c r="AX1365" s="1144"/>
      <c r="AY1365" s="1144"/>
      <c r="AZ1365" s="1144"/>
      <c r="BA1365" s="1144"/>
      <c r="BB1365" s="1144"/>
      <c r="BC1365" s="1144"/>
      <c r="BD1365" s="1144"/>
      <c r="BE1365" s="1144"/>
      <c r="BF1365" s="1144"/>
      <c r="BG1365" s="1144"/>
      <c r="BH1365" s="1144"/>
      <c r="BI1365" s="1144"/>
      <c r="BJ1365" s="1144"/>
      <c r="BK1365" s="1144"/>
      <c r="BL1365" s="1144"/>
      <c r="BM1365" s="1144"/>
      <c r="BN1365" s="1144"/>
      <c r="BO1365" s="1144"/>
      <c r="BP1365" s="1144"/>
      <c r="BQ1365" s="1144"/>
      <c r="BR1365" s="1144"/>
      <c r="BS1365" s="1144"/>
      <c r="BT1365" s="1144"/>
      <c r="BU1365" s="1144"/>
      <c r="BV1365" s="1144"/>
      <c r="BW1365" s="1144"/>
      <c r="BX1365" s="1144"/>
      <c r="BY1365" s="1144"/>
      <c r="BZ1365" s="1144"/>
      <c r="CA1365" s="1144"/>
      <c r="CB1365" s="1144"/>
      <c r="CC1365" s="1144"/>
      <c r="CD1365" s="1144"/>
      <c r="CE1365" s="1144"/>
      <c r="CF1365" s="1144"/>
      <c r="CG1365" s="1144"/>
      <c r="CH1365" s="1144"/>
      <c r="CI1365" s="1144"/>
      <c r="CJ1365" s="1144"/>
      <c r="CK1365" s="1144"/>
      <c r="CL1365" s="1144"/>
      <c r="CM1365" s="1144"/>
      <c r="CN1365" s="1144"/>
    </row>
    <row r="1366" spans="11:92" ht="12" customHeight="1" x14ac:dyDescent="0.35">
      <c r="K1366" s="29">
        <f t="shared" si="827"/>
        <v>0</v>
      </c>
      <c r="L1366" s="1158">
        <f t="shared" si="828"/>
        <v>1004</v>
      </c>
      <c r="M1366" s="34">
        <f t="shared" si="829"/>
        <v>0</v>
      </c>
      <c r="N1366" s="34">
        <f t="shared" si="830"/>
        <v>0</v>
      </c>
      <c r="O1366" s="55">
        <f t="shared" si="832"/>
        <v>0</v>
      </c>
      <c r="P1366" s="55">
        <f t="shared" si="833"/>
        <v>0</v>
      </c>
      <c r="Q1366" s="55">
        <f t="shared" si="834"/>
        <v>0</v>
      </c>
      <c r="R1366" s="31">
        <f>IF(Input!D$298=L1390,Input!D$297,0)</f>
        <v>0</v>
      </c>
      <c r="S1366" s="36">
        <f t="shared" si="831"/>
        <v>0</v>
      </c>
      <c r="T1366" s="1818"/>
      <c r="U1366" s="1814"/>
      <c r="V1366" s="1814"/>
      <c r="W1366" s="1817"/>
      <c r="X1366" s="1814"/>
      <c r="Y1366" s="1801"/>
      <c r="Z1366" s="1801"/>
      <c r="AA1366" s="1801"/>
      <c r="AB1366" s="1801"/>
      <c r="AC1366" s="1801"/>
      <c r="AD1366" s="1801"/>
      <c r="AE1366" s="1801"/>
      <c r="AF1366" s="1814"/>
      <c r="AG1366" s="376"/>
      <c r="AH1366" s="376"/>
      <c r="AI1366" s="376"/>
      <c r="AJ1366" s="376"/>
      <c r="AK1366" s="376"/>
      <c r="AL1366" s="1144"/>
      <c r="AM1366" s="1144"/>
      <c r="AN1366" s="1144"/>
      <c r="AO1366" s="1144"/>
      <c r="AP1366" s="1144"/>
      <c r="AQ1366" s="1144"/>
      <c r="AR1366" s="1144"/>
      <c r="AS1366" s="1144"/>
      <c r="AT1366" s="1144"/>
      <c r="AU1366" s="1144"/>
      <c r="AV1366" s="1144"/>
      <c r="AW1366" s="1144"/>
      <c r="AX1366" s="1144"/>
      <c r="AY1366" s="1144"/>
      <c r="AZ1366" s="1144"/>
      <c r="BA1366" s="1144"/>
      <c r="BB1366" s="1144"/>
      <c r="BC1366" s="1144"/>
      <c r="BD1366" s="1144"/>
      <c r="BE1366" s="1144"/>
      <c r="BF1366" s="1144"/>
      <c r="BG1366" s="1144"/>
      <c r="BH1366" s="1144"/>
      <c r="BI1366" s="1144"/>
      <c r="BJ1366" s="1144"/>
      <c r="BK1366" s="1144"/>
      <c r="BL1366" s="1144"/>
      <c r="BM1366" s="1144"/>
      <c r="BN1366" s="1144"/>
      <c r="BO1366" s="1144"/>
      <c r="BP1366" s="1144"/>
      <c r="BQ1366" s="1144"/>
      <c r="BR1366" s="1144"/>
      <c r="BS1366" s="1144"/>
      <c r="BT1366" s="1144"/>
      <c r="BU1366" s="1144"/>
      <c r="BV1366" s="1144"/>
      <c r="BW1366" s="1144"/>
      <c r="BX1366" s="1144"/>
      <c r="BY1366" s="1144"/>
      <c r="BZ1366" s="1144"/>
      <c r="CA1366" s="1144"/>
      <c r="CB1366" s="1144"/>
      <c r="CC1366" s="1144"/>
      <c r="CD1366" s="1144"/>
      <c r="CE1366" s="1144"/>
      <c r="CF1366" s="1144"/>
      <c r="CG1366" s="1144"/>
      <c r="CH1366" s="1144"/>
      <c r="CI1366" s="1144"/>
      <c r="CJ1366" s="1144"/>
      <c r="CK1366" s="1144"/>
      <c r="CL1366" s="1144"/>
      <c r="CM1366" s="1144"/>
      <c r="CN1366" s="1144"/>
    </row>
    <row r="1367" spans="11:92" ht="12" customHeight="1" x14ac:dyDescent="0.35">
      <c r="K1367" s="29">
        <f t="shared" si="827"/>
        <v>0</v>
      </c>
      <c r="L1367" s="1158">
        <f t="shared" si="828"/>
        <v>1035</v>
      </c>
      <c r="M1367" s="34">
        <f t="shared" si="829"/>
        <v>0</v>
      </c>
      <c r="N1367" s="34">
        <f t="shared" si="830"/>
        <v>0</v>
      </c>
      <c r="O1367" s="55">
        <f t="shared" si="832"/>
        <v>0</v>
      </c>
      <c r="P1367" s="55">
        <f t="shared" si="833"/>
        <v>0</v>
      </c>
      <c r="Q1367" s="55">
        <f t="shared" si="834"/>
        <v>0</v>
      </c>
      <c r="R1367" s="31">
        <f>IF(Input!D$298=L1391,Input!D$297,0)</f>
        <v>0</v>
      </c>
      <c r="S1367" s="36">
        <f t="shared" si="831"/>
        <v>0</v>
      </c>
      <c r="T1367" s="1818"/>
      <c r="U1367" s="1814"/>
      <c r="V1367" s="1814"/>
      <c r="W1367" s="1817"/>
      <c r="X1367" s="1814"/>
      <c r="Y1367" s="1801"/>
      <c r="Z1367" s="1801"/>
      <c r="AA1367" s="1801"/>
      <c r="AB1367" s="1801"/>
      <c r="AC1367" s="1801"/>
      <c r="AD1367" s="1801"/>
      <c r="AE1367" s="1801"/>
      <c r="AF1367" s="1814"/>
      <c r="AG1367" s="376"/>
      <c r="AH1367" s="376"/>
      <c r="AI1367" s="376"/>
      <c r="AJ1367" s="376"/>
      <c r="AK1367" s="376"/>
      <c r="AL1367" s="1144"/>
      <c r="AM1367" s="1144"/>
      <c r="AN1367" s="1144"/>
      <c r="AO1367" s="1144"/>
      <c r="AP1367" s="1144"/>
      <c r="AQ1367" s="1144"/>
      <c r="AR1367" s="1144"/>
      <c r="AS1367" s="1144"/>
      <c r="AT1367" s="1144"/>
      <c r="AU1367" s="1144"/>
      <c r="AV1367" s="1144"/>
      <c r="AW1367" s="1144"/>
      <c r="AX1367" s="1144"/>
      <c r="AY1367" s="1144"/>
      <c r="AZ1367" s="1144"/>
      <c r="BA1367" s="1144"/>
      <c r="BB1367" s="1144"/>
      <c r="BC1367" s="1144"/>
      <c r="BD1367" s="1144"/>
      <c r="BE1367" s="1144"/>
      <c r="BF1367" s="1144"/>
      <c r="BG1367" s="1144"/>
      <c r="BH1367" s="1144"/>
      <c r="BI1367" s="1144"/>
      <c r="BJ1367" s="1144"/>
      <c r="BK1367" s="1144"/>
      <c r="BL1367" s="1144"/>
      <c r="BM1367" s="1144"/>
      <c r="BN1367" s="1144"/>
      <c r="BO1367" s="1144"/>
      <c r="BP1367" s="1144"/>
      <c r="BQ1367" s="1144"/>
      <c r="BR1367" s="1144"/>
      <c r="BS1367" s="1144"/>
      <c r="BT1367" s="1144"/>
      <c r="BU1367" s="1144"/>
      <c r="BV1367" s="1144"/>
      <c r="BW1367" s="1144"/>
      <c r="BX1367" s="1144"/>
      <c r="BY1367" s="1144"/>
      <c r="BZ1367" s="1144"/>
      <c r="CA1367" s="1144"/>
      <c r="CB1367" s="1144"/>
      <c r="CC1367" s="1144"/>
      <c r="CD1367" s="1144"/>
      <c r="CE1367" s="1144"/>
      <c r="CF1367" s="1144"/>
      <c r="CG1367" s="1144"/>
      <c r="CH1367" s="1144"/>
      <c r="CI1367" s="1144"/>
      <c r="CJ1367" s="1144"/>
      <c r="CK1367" s="1144"/>
      <c r="CL1367" s="1144"/>
      <c r="CM1367" s="1144"/>
      <c r="CN1367" s="1144"/>
    </row>
    <row r="1368" spans="11:92" ht="12" customHeight="1" x14ac:dyDescent="0.35">
      <c r="K1368" s="29">
        <f t="shared" si="827"/>
        <v>0</v>
      </c>
      <c r="L1368" s="1158">
        <f t="shared" si="828"/>
        <v>1065</v>
      </c>
      <c r="M1368" s="34">
        <f t="shared" si="829"/>
        <v>0</v>
      </c>
      <c r="N1368" s="34">
        <f t="shared" si="830"/>
        <v>0</v>
      </c>
      <c r="O1368" s="55">
        <f t="shared" si="832"/>
        <v>0</v>
      </c>
      <c r="P1368" s="55">
        <f t="shared" si="833"/>
        <v>0</v>
      </c>
      <c r="Q1368" s="55">
        <f t="shared" si="834"/>
        <v>0</v>
      </c>
      <c r="R1368" s="31">
        <f>IF(Input!D$298=L1392,Input!D$297,0)</f>
        <v>0</v>
      </c>
      <c r="S1368" s="36">
        <f t="shared" si="831"/>
        <v>0</v>
      </c>
      <c r="T1368" s="1818"/>
      <c r="U1368" s="1814"/>
      <c r="V1368" s="1814"/>
      <c r="W1368" s="1817"/>
      <c r="X1368" s="1814"/>
      <c r="Y1368" s="1801"/>
      <c r="Z1368" s="1801"/>
      <c r="AA1368" s="1801"/>
      <c r="AB1368" s="1801"/>
      <c r="AC1368" s="1801"/>
      <c r="AD1368" s="1801"/>
      <c r="AE1368" s="1801"/>
      <c r="AF1368" s="1814"/>
      <c r="AG1368" s="376"/>
      <c r="AH1368" s="376"/>
      <c r="AI1368" s="376"/>
      <c r="AJ1368" s="376"/>
      <c r="AK1368" s="376"/>
      <c r="AL1368" s="1144"/>
      <c r="AM1368" s="1144"/>
      <c r="AN1368" s="1144"/>
      <c r="AO1368" s="1144"/>
      <c r="AP1368" s="1144"/>
      <c r="AQ1368" s="1144"/>
      <c r="AR1368" s="1144"/>
      <c r="AS1368" s="1144"/>
      <c r="AT1368" s="1144"/>
      <c r="AU1368" s="1144"/>
      <c r="AV1368" s="1144"/>
      <c r="AW1368" s="1144"/>
      <c r="AX1368" s="1144"/>
      <c r="AY1368" s="1144"/>
      <c r="AZ1368" s="1144"/>
      <c r="BA1368" s="1144"/>
      <c r="BB1368" s="1144"/>
      <c r="BC1368" s="1144"/>
      <c r="BD1368" s="1144"/>
      <c r="BE1368" s="1144"/>
      <c r="BF1368" s="1144"/>
      <c r="BG1368" s="1144"/>
      <c r="BH1368" s="1144"/>
      <c r="BI1368" s="1144"/>
      <c r="BJ1368" s="1144"/>
      <c r="BK1368" s="1144"/>
      <c r="BL1368" s="1144"/>
      <c r="BM1368" s="1144"/>
      <c r="BN1368" s="1144"/>
      <c r="BO1368" s="1144"/>
      <c r="BP1368" s="1144"/>
      <c r="BQ1368" s="1144"/>
      <c r="BR1368" s="1144"/>
      <c r="BS1368" s="1144"/>
      <c r="BT1368" s="1144"/>
      <c r="BU1368" s="1144"/>
      <c r="BV1368" s="1144"/>
      <c r="BW1368" s="1144"/>
      <c r="BX1368" s="1144"/>
      <c r="BY1368" s="1144"/>
      <c r="BZ1368" s="1144"/>
      <c r="CA1368" s="1144"/>
      <c r="CB1368" s="1144"/>
      <c r="CC1368" s="1144"/>
      <c r="CD1368" s="1144"/>
      <c r="CE1368" s="1144"/>
      <c r="CF1368" s="1144"/>
      <c r="CG1368" s="1144"/>
      <c r="CH1368" s="1144"/>
      <c r="CI1368" s="1144"/>
      <c r="CJ1368" s="1144"/>
      <c r="CK1368" s="1144"/>
      <c r="CL1368" s="1144"/>
      <c r="CM1368" s="1144"/>
      <c r="CN1368" s="1144"/>
    </row>
    <row r="1369" spans="11:92" ht="12" customHeight="1" x14ac:dyDescent="0.35">
      <c r="K1369" s="29">
        <f t="shared" si="827"/>
        <v>0</v>
      </c>
      <c r="L1369" s="1158">
        <f t="shared" si="828"/>
        <v>1096</v>
      </c>
      <c r="M1369" s="34">
        <f t="shared" si="829"/>
        <v>0</v>
      </c>
      <c r="N1369" s="34">
        <f t="shared" si="830"/>
        <v>0</v>
      </c>
      <c r="O1369" s="55">
        <f t="shared" si="832"/>
        <v>0</v>
      </c>
      <c r="P1369" s="55">
        <f t="shared" si="833"/>
        <v>0</v>
      </c>
      <c r="Q1369" s="55">
        <f t="shared" si="834"/>
        <v>0</v>
      </c>
      <c r="R1369" s="31">
        <f>IF(Input!D$298=L1393,Input!D$297,0)</f>
        <v>0</v>
      </c>
      <c r="S1369" s="36">
        <f t="shared" si="831"/>
        <v>0</v>
      </c>
      <c r="T1369" s="1818"/>
      <c r="U1369" s="1814"/>
      <c r="V1369" s="1814"/>
      <c r="W1369" s="1817"/>
      <c r="X1369" s="1814"/>
      <c r="Y1369" s="1801"/>
      <c r="Z1369" s="1801"/>
      <c r="AA1369" s="1801"/>
      <c r="AB1369" s="1801"/>
      <c r="AC1369" s="1801"/>
      <c r="AD1369" s="1801"/>
      <c r="AE1369" s="1801"/>
      <c r="AF1369" s="1814"/>
      <c r="AG1369" s="376"/>
      <c r="AH1369" s="376"/>
      <c r="AI1369" s="376"/>
      <c r="AJ1369" s="376"/>
      <c r="AK1369" s="376"/>
      <c r="AL1369" s="1144"/>
      <c r="AM1369" s="1144"/>
      <c r="AN1369" s="1144"/>
      <c r="AO1369" s="1144"/>
      <c r="AP1369" s="1144"/>
      <c r="AQ1369" s="1144"/>
      <c r="AR1369" s="1144"/>
      <c r="AS1369" s="1144"/>
      <c r="AT1369" s="1144"/>
      <c r="AU1369" s="1144"/>
      <c r="AV1369" s="1144"/>
      <c r="AW1369" s="1144"/>
      <c r="AX1369" s="1144"/>
      <c r="AY1369" s="1144"/>
      <c r="AZ1369" s="1144"/>
      <c r="BA1369" s="1144"/>
      <c r="BB1369" s="1144"/>
      <c r="BC1369" s="1144"/>
      <c r="BD1369" s="1144"/>
      <c r="BE1369" s="1144"/>
      <c r="BF1369" s="1144"/>
      <c r="BG1369" s="1144"/>
      <c r="BH1369" s="1144"/>
      <c r="BI1369" s="1144"/>
      <c r="BJ1369" s="1144"/>
      <c r="BK1369" s="1144"/>
      <c r="BL1369" s="1144"/>
      <c r="BM1369" s="1144"/>
      <c r="BN1369" s="1144"/>
      <c r="BO1369" s="1144"/>
      <c r="BP1369" s="1144"/>
      <c r="BQ1369" s="1144"/>
      <c r="BR1369" s="1144"/>
      <c r="BS1369" s="1144"/>
      <c r="BT1369" s="1144"/>
      <c r="BU1369" s="1144"/>
      <c r="BV1369" s="1144"/>
      <c r="BW1369" s="1144"/>
      <c r="BX1369" s="1144"/>
      <c r="BY1369" s="1144"/>
      <c r="BZ1369" s="1144"/>
      <c r="CA1369" s="1144"/>
      <c r="CB1369" s="1144"/>
      <c r="CC1369" s="1144"/>
      <c r="CD1369" s="1144"/>
      <c r="CE1369" s="1144"/>
      <c r="CF1369" s="1144"/>
      <c r="CG1369" s="1144"/>
      <c r="CH1369" s="1144"/>
      <c r="CI1369" s="1144"/>
      <c r="CJ1369" s="1144"/>
      <c r="CK1369" s="1144"/>
      <c r="CL1369" s="1144"/>
      <c r="CM1369" s="1144"/>
      <c r="CN1369" s="1144"/>
    </row>
    <row r="1370" spans="11:92" ht="12" customHeight="1" x14ac:dyDescent="0.35">
      <c r="K1370" s="29">
        <f t="shared" si="827"/>
        <v>0</v>
      </c>
      <c r="L1370" s="1158">
        <f t="shared" si="828"/>
        <v>1127</v>
      </c>
      <c r="M1370" s="34">
        <f t="shared" si="829"/>
        <v>0</v>
      </c>
      <c r="N1370" s="34">
        <f t="shared" si="830"/>
        <v>0</v>
      </c>
      <c r="O1370" s="55">
        <f t="shared" si="832"/>
        <v>0</v>
      </c>
      <c r="P1370" s="55">
        <f t="shared" si="833"/>
        <v>0</v>
      </c>
      <c r="Q1370" s="55">
        <f t="shared" si="834"/>
        <v>0</v>
      </c>
      <c r="R1370" s="31">
        <f>IF(Input!D$298=L1394,Input!D$297,0)</f>
        <v>0</v>
      </c>
      <c r="S1370" s="36">
        <f t="shared" si="831"/>
        <v>0</v>
      </c>
      <c r="T1370" s="1818"/>
      <c r="U1370" s="1814"/>
      <c r="V1370" s="1814"/>
      <c r="W1370" s="1817"/>
      <c r="X1370" s="1814"/>
      <c r="Y1370" s="1801"/>
      <c r="Z1370" s="1801"/>
      <c r="AA1370" s="1801"/>
      <c r="AB1370" s="1801"/>
      <c r="AC1370" s="1801"/>
      <c r="AD1370" s="1801"/>
      <c r="AE1370" s="1801"/>
      <c r="AF1370" s="1814"/>
      <c r="AG1370" s="376"/>
      <c r="AH1370" s="376"/>
      <c r="AI1370" s="376"/>
      <c r="AJ1370" s="376"/>
      <c r="AK1370" s="376"/>
      <c r="AL1370" s="1144"/>
      <c r="AM1370" s="1144"/>
      <c r="AN1370" s="1144"/>
      <c r="AO1370" s="1144"/>
      <c r="AP1370" s="1144"/>
      <c r="AQ1370" s="1144"/>
      <c r="AR1370" s="1144"/>
      <c r="AS1370" s="1144"/>
      <c r="AT1370" s="1144"/>
      <c r="AU1370" s="1144"/>
      <c r="AV1370" s="1144"/>
      <c r="AW1370" s="1144"/>
      <c r="AX1370" s="1144"/>
      <c r="AY1370" s="1144"/>
      <c r="AZ1370" s="1144"/>
      <c r="BA1370" s="1144"/>
      <c r="BB1370" s="1144"/>
      <c r="BC1370" s="1144"/>
      <c r="BD1370" s="1144"/>
      <c r="BE1370" s="1144"/>
      <c r="BF1370" s="1144"/>
      <c r="BG1370" s="1144"/>
      <c r="BH1370" s="1144"/>
      <c r="BI1370" s="1144"/>
      <c r="BJ1370" s="1144"/>
      <c r="BK1370" s="1144"/>
      <c r="BL1370" s="1144"/>
      <c r="BM1370" s="1144"/>
      <c r="BN1370" s="1144"/>
      <c r="BO1370" s="1144"/>
      <c r="BP1370" s="1144"/>
      <c r="BQ1370" s="1144"/>
      <c r="BR1370" s="1144"/>
      <c r="BS1370" s="1144"/>
      <c r="BT1370" s="1144"/>
      <c r="BU1370" s="1144"/>
      <c r="BV1370" s="1144"/>
      <c r="BW1370" s="1144"/>
      <c r="BX1370" s="1144"/>
      <c r="BY1370" s="1144"/>
      <c r="BZ1370" s="1144"/>
      <c r="CA1370" s="1144"/>
      <c r="CB1370" s="1144"/>
      <c r="CC1370" s="1144"/>
      <c r="CD1370" s="1144"/>
      <c r="CE1370" s="1144"/>
      <c r="CF1370" s="1144"/>
      <c r="CG1370" s="1144"/>
      <c r="CH1370" s="1144"/>
      <c r="CI1370" s="1144"/>
      <c r="CJ1370" s="1144"/>
      <c r="CK1370" s="1144"/>
      <c r="CL1370" s="1144"/>
      <c r="CM1370" s="1144"/>
      <c r="CN1370" s="1144"/>
    </row>
    <row r="1371" spans="11:92" ht="12" customHeight="1" x14ac:dyDescent="0.35">
      <c r="K1371" s="29">
        <f t="shared" si="827"/>
        <v>0</v>
      </c>
      <c r="L1371" s="1158">
        <f t="shared" si="828"/>
        <v>1155</v>
      </c>
      <c r="M1371" s="34">
        <f t="shared" si="829"/>
        <v>0</v>
      </c>
      <c r="N1371" s="34">
        <f t="shared" si="830"/>
        <v>0</v>
      </c>
      <c r="O1371" s="55">
        <f t="shared" si="832"/>
        <v>0</v>
      </c>
      <c r="P1371" s="55">
        <f t="shared" si="833"/>
        <v>0</v>
      </c>
      <c r="Q1371" s="55">
        <f t="shared" si="834"/>
        <v>0</v>
      </c>
      <c r="R1371" s="31">
        <f>IF(Input!D$298=L1395,Input!D$297,0)</f>
        <v>0</v>
      </c>
      <c r="S1371" s="36">
        <f t="shared" si="831"/>
        <v>0</v>
      </c>
      <c r="T1371" s="1818"/>
      <c r="U1371" s="1814"/>
      <c r="V1371" s="1814"/>
      <c r="W1371" s="1817"/>
      <c r="X1371" s="1814"/>
      <c r="Y1371" s="1801"/>
      <c r="Z1371" s="1801"/>
      <c r="AA1371" s="1801"/>
      <c r="AB1371" s="1801"/>
      <c r="AC1371" s="1801"/>
      <c r="AD1371" s="1801"/>
      <c r="AE1371" s="1801"/>
      <c r="AF1371" s="1814"/>
      <c r="AG1371" s="376"/>
      <c r="AH1371" s="376"/>
      <c r="AI1371" s="376"/>
      <c r="AJ1371" s="376"/>
      <c r="AK1371" s="376"/>
      <c r="AL1371" s="1144"/>
      <c r="AM1371" s="1144"/>
      <c r="AN1371" s="1144"/>
      <c r="AO1371" s="1144"/>
      <c r="AP1371" s="1144"/>
      <c r="AQ1371" s="1144"/>
      <c r="AR1371" s="1144"/>
      <c r="AS1371" s="1144"/>
      <c r="AT1371" s="1144"/>
      <c r="AU1371" s="1144"/>
      <c r="AV1371" s="1144"/>
      <c r="AW1371" s="1144"/>
      <c r="AX1371" s="1144"/>
      <c r="AY1371" s="1144"/>
      <c r="AZ1371" s="1144"/>
      <c r="BA1371" s="1144"/>
      <c r="BB1371" s="1144"/>
      <c r="BC1371" s="1144"/>
      <c r="BD1371" s="1144"/>
      <c r="BE1371" s="1144"/>
      <c r="BF1371" s="1144"/>
      <c r="BG1371" s="1144"/>
      <c r="BH1371" s="1144"/>
      <c r="BI1371" s="1144"/>
      <c r="BJ1371" s="1144"/>
      <c r="BK1371" s="1144"/>
      <c r="BL1371" s="1144"/>
      <c r="BM1371" s="1144"/>
      <c r="BN1371" s="1144"/>
      <c r="BO1371" s="1144"/>
      <c r="BP1371" s="1144"/>
      <c r="BQ1371" s="1144"/>
      <c r="BR1371" s="1144"/>
      <c r="BS1371" s="1144"/>
      <c r="BT1371" s="1144"/>
      <c r="BU1371" s="1144"/>
      <c r="BV1371" s="1144"/>
      <c r="BW1371" s="1144"/>
      <c r="BX1371" s="1144"/>
      <c r="BY1371" s="1144"/>
      <c r="BZ1371" s="1144"/>
      <c r="CA1371" s="1144"/>
      <c r="CB1371" s="1144"/>
      <c r="CC1371" s="1144"/>
      <c r="CD1371" s="1144"/>
      <c r="CE1371" s="1144"/>
      <c r="CF1371" s="1144"/>
      <c r="CG1371" s="1144"/>
      <c r="CH1371" s="1144"/>
      <c r="CI1371" s="1144"/>
      <c r="CJ1371" s="1144"/>
      <c r="CK1371" s="1144"/>
      <c r="CL1371" s="1144"/>
      <c r="CM1371" s="1144"/>
      <c r="CN1371" s="1144"/>
    </row>
    <row r="1372" spans="11:92" ht="12" customHeight="1" x14ac:dyDescent="0.35">
      <c r="K1372" s="29">
        <f t="shared" si="827"/>
        <v>0</v>
      </c>
      <c r="L1372" s="1158">
        <f t="shared" si="828"/>
        <v>1186</v>
      </c>
      <c r="M1372" s="34">
        <f t="shared" si="829"/>
        <v>0</v>
      </c>
      <c r="N1372" s="34">
        <f t="shared" si="830"/>
        <v>0</v>
      </c>
      <c r="O1372" s="55">
        <f t="shared" si="832"/>
        <v>0</v>
      </c>
      <c r="P1372" s="55">
        <f t="shared" si="833"/>
        <v>0</v>
      </c>
      <c r="Q1372" s="55">
        <f t="shared" si="834"/>
        <v>0</v>
      </c>
      <c r="R1372" s="31">
        <f>IF(Input!D$298=L1396,Input!D$297,0)</f>
        <v>0</v>
      </c>
      <c r="S1372" s="36">
        <f t="shared" si="831"/>
        <v>0</v>
      </c>
      <c r="T1372" s="1818"/>
      <c r="U1372" s="1814"/>
      <c r="V1372" s="1814"/>
      <c r="W1372" s="1817"/>
      <c r="X1372" s="1814"/>
      <c r="Y1372" s="1801"/>
      <c r="Z1372" s="1801"/>
      <c r="AA1372" s="1801"/>
      <c r="AB1372" s="1801"/>
      <c r="AC1372" s="1801"/>
      <c r="AD1372" s="1801"/>
      <c r="AE1372" s="1801"/>
      <c r="AF1372" s="1814"/>
      <c r="AG1372" s="376"/>
      <c r="AH1372" s="376"/>
      <c r="AI1372" s="376"/>
      <c r="AJ1372" s="376"/>
      <c r="AK1372" s="376"/>
      <c r="AL1372" s="1144"/>
      <c r="AM1372" s="1144"/>
      <c r="AN1372" s="1144"/>
      <c r="AO1372" s="1144"/>
      <c r="AP1372" s="1144"/>
      <c r="AQ1372" s="1144"/>
      <c r="AR1372" s="1144"/>
      <c r="AS1372" s="1144"/>
      <c r="AT1372" s="1144"/>
      <c r="AU1372" s="1144"/>
      <c r="AV1372" s="1144"/>
      <c r="AW1372" s="1144"/>
      <c r="AX1372" s="1144"/>
      <c r="AY1372" s="1144"/>
      <c r="AZ1372" s="1144"/>
      <c r="BA1372" s="1144"/>
      <c r="BB1372" s="1144"/>
      <c r="BC1372" s="1144"/>
      <c r="BD1372" s="1144"/>
      <c r="BE1372" s="1144"/>
      <c r="BF1372" s="1144"/>
      <c r="BG1372" s="1144"/>
      <c r="BH1372" s="1144"/>
      <c r="BI1372" s="1144"/>
      <c r="BJ1372" s="1144"/>
      <c r="BK1372" s="1144"/>
      <c r="BL1372" s="1144"/>
      <c r="BM1372" s="1144"/>
      <c r="BN1372" s="1144"/>
      <c r="BO1372" s="1144"/>
      <c r="BP1372" s="1144"/>
      <c r="BQ1372" s="1144"/>
      <c r="BR1372" s="1144"/>
      <c r="BS1372" s="1144"/>
      <c r="BT1372" s="1144"/>
      <c r="BU1372" s="1144"/>
      <c r="BV1372" s="1144"/>
      <c r="BW1372" s="1144"/>
      <c r="BX1372" s="1144"/>
      <c r="BY1372" s="1144"/>
      <c r="BZ1372" s="1144"/>
      <c r="CA1372" s="1144"/>
      <c r="CB1372" s="1144"/>
      <c r="CC1372" s="1144"/>
      <c r="CD1372" s="1144"/>
      <c r="CE1372" s="1144"/>
      <c r="CF1372" s="1144"/>
      <c r="CG1372" s="1144"/>
      <c r="CH1372" s="1144"/>
      <c r="CI1372" s="1144"/>
      <c r="CJ1372" s="1144"/>
      <c r="CK1372" s="1144"/>
      <c r="CL1372" s="1144"/>
      <c r="CM1372" s="1144"/>
      <c r="CN1372" s="1144"/>
    </row>
    <row r="1373" spans="11:92" ht="12" customHeight="1" x14ac:dyDescent="0.35">
      <c r="K1373" s="29">
        <f t="shared" si="827"/>
        <v>0</v>
      </c>
      <c r="L1373" s="1158">
        <f t="shared" si="828"/>
        <v>1216</v>
      </c>
      <c r="M1373" s="34">
        <f t="shared" si="829"/>
        <v>0</v>
      </c>
      <c r="N1373" s="34">
        <f t="shared" si="830"/>
        <v>0</v>
      </c>
      <c r="O1373" s="55">
        <f t="shared" si="832"/>
        <v>0</v>
      </c>
      <c r="P1373" s="55">
        <f t="shared" si="833"/>
        <v>0</v>
      </c>
      <c r="Q1373" s="55">
        <f t="shared" si="834"/>
        <v>0</v>
      </c>
      <c r="R1373" s="31">
        <f>IF(Input!D$298=L1397,Input!D$297,0)</f>
        <v>0</v>
      </c>
      <c r="S1373" s="36">
        <f t="shared" si="831"/>
        <v>0</v>
      </c>
      <c r="T1373" s="1818"/>
      <c r="U1373" s="1814"/>
      <c r="V1373" s="1814"/>
      <c r="W1373" s="1817"/>
      <c r="X1373" s="1814"/>
      <c r="Y1373" s="1801"/>
      <c r="Z1373" s="1801"/>
      <c r="AA1373" s="1801"/>
      <c r="AB1373" s="1801"/>
      <c r="AC1373" s="1801"/>
      <c r="AD1373" s="1801"/>
      <c r="AE1373" s="1801"/>
      <c r="AF1373" s="1814"/>
      <c r="AG1373" s="376"/>
      <c r="AH1373" s="376"/>
      <c r="AI1373" s="376"/>
      <c r="AJ1373" s="376"/>
      <c r="AK1373" s="376"/>
      <c r="AL1373" s="1144"/>
      <c r="AM1373" s="1144"/>
      <c r="AN1373" s="1144"/>
      <c r="AO1373" s="1144"/>
      <c r="AP1373" s="1144"/>
      <c r="AQ1373" s="1144"/>
      <c r="AR1373" s="1144"/>
      <c r="AS1373" s="1144"/>
      <c r="AT1373" s="1144"/>
      <c r="AU1373" s="1144"/>
      <c r="AV1373" s="1144"/>
      <c r="AW1373" s="1144"/>
      <c r="AX1373" s="1144"/>
      <c r="AY1373" s="1144"/>
      <c r="AZ1373" s="1144"/>
      <c r="BA1373" s="1144"/>
      <c r="BB1373" s="1144"/>
      <c r="BC1373" s="1144"/>
      <c r="BD1373" s="1144"/>
      <c r="BE1373" s="1144"/>
      <c r="BF1373" s="1144"/>
      <c r="BG1373" s="1144"/>
      <c r="BH1373" s="1144"/>
      <c r="BI1373" s="1144"/>
      <c r="BJ1373" s="1144"/>
      <c r="BK1373" s="1144"/>
      <c r="BL1373" s="1144"/>
      <c r="BM1373" s="1144"/>
      <c r="BN1373" s="1144"/>
      <c r="BO1373" s="1144"/>
      <c r="BP1373" s="1144"/>
      <c r="BQ1373" s="1144"/>
      <c r="BR1373" s="1144"/>
      <c r="BS1373" s="1144"/>
      <c r="BT1373" s="1144"/>
      <c r="BU1373" s="1144"/>
      <c r="BV1373" s="1144"/>
      <c r="BW1373" s="1144"/>
      <c r="BX1373" s="1144"/>
      <c r="BY1373" s="1144"/>
      <c r="BZ1373" s="1144"/>
      <c r="CA1373" s="1144"/>
      <c r="CB1373" s="1144"/>
      <c r="CC1373" s="1144"/>
      <c r="CD1373" s="1144"/>
      <c r="CE1373" s="1144"/>
      <c r="CF1373" s="1144"/>
      <c r="CG1373" s="1144"/>
      <c r="CH1373" s="1144"/>
      <c r="CI1373" s="1144"/>
      <c r="CJ1373" s="1144"/>
      <c r="CK1373" s="1144"/>
      <c r="CL1373" s="1144"/>
      <c r="CM1373" s="1144"/>
      <c r="CN1373" s="1144"/>
    </row>
    <row r="1374" spans="11:92" ht="12" customHeight="1" x14ac:dyDescent="0.35">
      <c r="K1374" s="29">
        <f t="shared" si="827"/>
        <v>0</v>
      </c>
      <c r="L1374" s="1158">
        <f t="shared" si="828"/>
        <v>1247</v>
      </c>
      <c r="M1374" s="34">
        <f t="shared" si="829"/>
        <v>0</v>
      </c>
      <c r="N1374" s="34">
        <f t="shared" si="830"/>
        <v>0</v>
      </c>
      <c r="O1374" s="55">
        <f t="shared" si="832"/>
        <v>0</v>
      </c>
      <c r="P1374" s="55">
        <f t="shared" si="833"/>
        <v>0</v>
      </c>
      <c r="Q1374" s="55">
        <f t="shared" si="834"/>
        <v>0</v>
      </c>
      <c r="R1374" s="31">
        <f>IF(Input!D$298=L1398,Input!D$297,0)</f>
        <v>0</v>
      </c>
      <c r="S1374" s="36">
        <f t="shared" ref="S1374:S1404" si="835">Q1398</f>
        <v>0</v>
      </c>
      <c r="T1374" s="1818"/>
      <c r="U1374" s="1814"/>
      <c r="V1374" s="1814"/>
      <c r="W1374" s="1817"/>
      <c r="X1374" s="1814"/>
      <c r="Y1374" s="1801"/>
      <c r="Z1374" s="1801"/>
      <c r="AA1374" s="1801"/>
      <c r="AB1374" s="1801"/>
      <c r="AC1374" s="1801"/>
      <c r="AD1374" s="1801"/>
      <c r="AE1374" s="1801"/>
      <c r="AF1374" s="1814"/>
      <c r="AG1374" s="376"/>
      <c r="AH1374" s="376"/>
      <c r="AI1374" s="376"/>
      <c r="AJ1374" s="376"/>
      <c r="AK1374" s="376"/>
      <c r="AL1374" s="1144"/>
      <c r="AM1374" s="1144"/>
      <c r="AN1374" s="1144"/>
      <c r="AO1374" s="1144"/>
      <c r="AP1374" s="1144"/>
      <c r="AQ1374" s="1144"/>
      <c r="AR1374" s="1144"/>
      <c r="AS1374" s="1144"/>
      <c r="AT1374" s="1144"/>
      <c r="AU1374" s="1144"/>
      <c r="AV1374" s="1144"/>
      <c r="AW1374" s="1144"/>
      <c r="AX1374" s="1144"/>
      <c r="AY1374" s="1144"/>
      <c r="AZ1374" s="1144"/>
      <c r="BA1374" s="1144"/>
      <c r="BB1374" s="1144"/>
      <c r="BC1374" s="1144"/>
      <c r="BD1374" s="1144"/>
      <c r="BE1374" s="1144"/>
      <c r="BF1374" s="1144"/>
      <c r="BG1374" s="1144"/>
      <c r="BH1374" s="1144"/>
      <c r="BI1374" s="1144"/>
      <c r="BJ1374" s="1144"/>
      <c r="BK1374" s="1144"/>
      <c r="BL1374" s="1144"/>
      <c r="BM1374" s="1144"/>
      <c r="BN1374" s="1144"/>
      <c r="BO1374" s="1144"/>
      <c r="BP1374" s="1144"/>
      <c r="BQ1374" s="1144"/>
      <c r="BR1374" s="1144"/>
      <c r="BS1374" s="1144"/>
      <c r="BT1374" s="1144"/>
      <c r="BU1374" s="1144"/>
      <c r="BV1374" s="1144"/>
      <c r="BW1374" s="1144"/>
      <c r="BX1374" s="1144"/>
      <c r="BY1374" s="1144"/>
      <c r="BZ1374" s="1144"/>
      <c r="CA1374" s="1144"/>
      <c r="CB1374" s="1144"/>
      <c r="CC1374" s="1144"/>
      <c r="CD1374" s="1144"/>
      <c r="CE1374" s="1144"/>
      <c r="CF1374" s="1144"/>
      <c r="CG1374" s="1144"/>
      <c r="CH1374" s="1144"/>
      <c r="CI1374" s="1144"/>
      <c r="CJ1374" s="1144"/>
      <c r="CK1374" s="1144"/>
      <c r="CL1374" s="1144"/>
      <c r="CM1374" s="1144"/>
      <c r="CN1374" s="1144"/>
    </row>
    <row r="1375" spans="11:92" ht="12" customHeight="1" x14ac:dyDescent="0.35">
      <c r="K1375" s="29">
        <f t="shared" si="827"/>
        <v>0</v>
      </c>
      <c r="L1375" s="1158">
        <f t="shared" si="828"/>
        <v>1277</v>
      </c>
      <c r="M1375" s="34">
        <f t="shared" si="829"/>
        <v>0</v>
      </c>
      <c r="N1375" s="34">
        <f t="shared" si="830"/>
        <v>0</v>
      </c>
      <c r="O1375" s="55">
        <f t="shared" si="832"/>
        <v>0</v>
      </c>
      <c r="P1375" s="55">
        <f t="shared" si="833"/>
        <v>0</v>
      </c>
      <c r="Q1375" s="55">
        <f t="shared" si="834"/>
        <v>0</v>
      </c>
      <c r="R1375" s="31">
        <f>IF(Input!D$298=L1399,Input!D$297,0)</f>
        <v>0</v>
      </c>
      <c r="S1375" s="36">
        <f t="shared" si="835"/>
        <v>0</v>
      </c>
      <c r="T1375" s="1818"/>
      <c r="U1375" s="1814"/>
      <c r="V1375" s="1814"/>
      <c r="W1375" s="1817"/>
      <c r="X1375" s="1814"/>
      <c r="Y1375" s="1801"/>
      <c r="Z1375" s="1801"/>
      <c r="AA1375" s="1801"/>
      <c r="AB1375" s="1801"/>
      <c r="AC1375" s="1801"/>
      <c r="AD1375" s="1801"/>
      <c r="AE1375" s="1801"/>
      <c r="AF1375" s="1814"/>
      <c r="AG1375" s="376"/>
      <c r="AH1375" s="376"/>
      <c r="AI1375" s="376"/>
      <c r="AJ1375" s="376"/>
      <c r="AK1375" s="376"/>
      <c r="AL1375" s="1144"/>
      <c r="AM1375" s="1144"/>
      <c r="AN1375" s="1144"/>
      <c r="AO1375" s="1144"/>
      <c r="AP1375" s="1144"/>
      <c r="AQ1375" s="1144"/>
      <c r="AR1375" s="1144"/>
      <c r="AS1375" s="1144"/>
      <c r="AT1375" s="1144"/>
      <c r="AU1375" s="1144"/>
      <c r="AV1375" s="1144"/>
      <c r="AW1375" s="1144"/>
      <c r="AX1375" s="1144"/>
      <c r="AY1375" s="1144"/>
      <c r="AZ1375" s="1144"/>
      <c r="BA1375" s="1144"/>
      <c r="BB1375" s="1144"/>
      <c r="BC1375" s="1144"/>
      <c r="BD1375" s="1144"/>
      <c r="BE1375" s="1144"/>
      <c r="BF1375" s="1144"/>
      <c r="BG1375" s="1144"/>
      <c r="BH1375" s="1144"/>
      <c r="BI1375" s="1144"/>
      <c r="BJ1375" s="1144"/>
      <c r="BK1375" s="1144"/>
      <c r="BL1375" s="1144"/>
      <c r="BM1375" s="1144"/>
      <c r="BN1375" s="1144"/>
      <c r="BO1375" s="1144"/>
      <c r="BP1375" s="1144"/>
      <c r="BQ1375" s="1144"/>
      <c r="BR1375" s="1144"/>
      <c r="BS1375" s="1144"/>
      <c r="BT1375" s="1144"/>
      <c r="BU1375" s="1144"/>
      <c r="BV1375" s="1144"/>
      <c r="BW1375" s="1144"/>
      <c r="BX1375" s="1144"/>
      <c r="BY1375" s="1144"/>
      <c r="BZ1375" s="1144"/>
      <c r="CA1375" s="1144"/>
      <c r="CB1375" s="1144"/>
      <c r="CC1375" s="1144"/>
      <c r="CD1375" s="1144"/>
      <c r="CE1375" s="1144"/>
      <c r="CF1375" s="1144"/>
      <c r="CG1375" s="1144"/>
      <c r="CH1375" s="1144"/>
      <c r="CI1375" s="1144"/>
      <c r="CJ1375" s="1144"/>
      <c r="CK1375" s="1144"/>
      <c r="CL1375" s="1144"/>
      <c r="CM1375" s="1144"/>
      <c r="CN1375" s="1144"/>
    </row>
    <row r="1376" spans="11:92" ht="12" customHeight="1" x14ac:dyDescent="0.35">
      <c r="K1376" s="29">
        <f t="shared" si="827"/>
        <v>0</v>
      </c>
      <c r="L1376" s="1158">
        <f t="shared" si="828"/>
        <v>1308</v>
      </c>
      <c r="M1376" s="34">
        <f t="shared" si="829"/>
        <v>0</v>
      </c>
      <c r="N1376" s="34">
        <f t="shared" si="830"/>
        <v>0</v>
      </c>
      <c r="O1376" s="55">
        <f t="shared" si="832"/>
        <v>0</v>
      </c>
      <c r="P1376" s="55">
        <f t="shared" si="833"/>
        <v>0</v>
      </c>
      <c r="Q1376" s="55">
        <f t="shared" si="834"/>
        <v>0</v>
      </c>
      <c r="R1376" s="31">
        <f>IF(Input!D$298=L1400,Input!D$297,0)</f>
        <v>0</v>
      </c>
      <c r="S1376" s="36">
        <f t="shared" si="835"/>
        <v>0</v>
      </c>
      <c r="T1376" s="1818"/>
      <c r="U1376" s="1814"/>
      <c r="V1376" s="1814"/>
      <c r="W1376" s="1817"/>
      <c r="X1376" s="1814"/>
      <c r="Y1376" s="1801"/>
      <c r="Z1376" s="1801"/>
      <c r="AA1376" s="1801"/>
      <c r="AB1376" s="1801"/>
      <c r="AC1376" s="1801"/>
      <c r="AD1376" s="1801"/>
      <c r="AE1376" s="1801"/>
      <c r="AF1376" s="1814"/>
      <c r="AG1376" s="376"/>
      <c r="AH1376" s="376"/>
      <c r="AI1376" s="376"/>
      <c r="AJ1376" s="376"/>
      <c r="AK1376" s="376"/>
      <c r="AL1376" s="1144"/>
      <c r="AM1376" s="1144"/>
      <c r="AN1376" s="1144"/>
      <c r="AO1376" s="1144"/>
      <c r="AP1376" s="1144"/>
      <c r="AQ1376" s="1144"/>
      <c r="AR1376" s="1144"/>
      <c r="AS1376" s="1144"/>
      <c r="AT1376" s="1144"/>
      <c r="AU1376" s="1144"/>
      <c r="AV1376" s="1144"/>
      <c r="AW1376" s="1144"/>
      <c r="AX1376" s="1144"/>
      <c r="AY1376" s="1144"/>
      <c r="AZ1376" s="1144"/>
      <c r="BA1376" s="1144"/>
      <c r="BB1376" s="1144"/>
      <c r="BC1376" s="1144"/>
      <c r="BD1376" s="1144"/>
      <c r="BE1376" s="1144"/>
      <c r="BF1376" s="1144"/>
      <c r="BG1376" s="1144"/>
      <c r="BH1376" s="1144"/>
      <c r="BI1376" s="1144"/>
      <c r="BJ1376" s="1144"/>
      <c r="BK1376" s="1144"/>
      <c r="BL1376" s="1144"/>
      <c r="BM1376" s="1144"/>
      <c r="BN1376" s="1144"/>
      <c r="BO1376" s="1144"/>
      <c r="BP1376" s="1144"/>
      <c r="BQ1376" s="1144"/>
      <c r="BR1376" s="1144"/>
      <c r="BS1376" s="1144"/>
      <c r="BT1376" s="1144"/>
      <c r="BU1376" s="1144"/>
      <c r="BV1376" s="1144"/>
      <c r="BW1376" s="1144"/>
      <c r="BX1376" s="1144"/>
      <c r="BY1376" s="1144"/>
      <c r="BZ1376" s="1144"/>
      <c r="CA1376" s="1144"/>
      <c r="CB1376" s="1144"/>
      <c r="CC1376" s="1144"/>
      <c r="CD1376" s="1144"/>
      <c r="CE1376" s="1144"/>
      <c r="CF1376" s="1144"/>
      <c r="CG1376" s="1144"/>
      <c r="CH1376" s="1144"/>
      <c r="CI1376" s="1144"/>
      <c r="CJ1376" s="1144"/>
      <c r="CK1376" s="1144"/>
      <c r="CL1376" s="1144"/>
      <c r="CM1376" s="1144"/>
      <c r="CN1376" s="1144"/>
    </row>
    <row r="1377" spans="11:92" ht="12" customHeight="1" x14ac:dyDescent="0.35">
      <c r="K1377" s="29">
        <f t="shared" si="827"/>
        <v>0</v>
      </c>
      <c r="L1377" s="1158">
        <f t="shared" si="828"/>
        <v>1339</v>
      </c>
      <c r="M1377" s="34">
        <f t="shared" si="829"/>
        <v>0</v>
      </c>
      <c r="N1377" s="34">
        <f t="shared" si="830"/>
        <v>0</v>
      </c>
      <c r="O1377" s="55">
        <f t="shared" si="832"/>
        <v>0</v>
      </c>
      <c r="P1377" s="55">
        <f t="shared" si="833"/>
        <v>0</v>
      </c>
      <c r="Q1377" s="55">
        <f t="shared" si="834"/>
        <v>0</v>
      </c>
      <c r="R1377" s="31">
        <f>IF(Input!D$298=L1401,Input!D$297,0)</f>
        <v>0</v>
      </c>
      <c r="S1377" s="36">
        <f t="shared" si="835"/>
        <v>0</v>
      </c>
      <c r="T1377" s="1818"/>
      <c r="U1377" s="1814"/>
      <c r="V1377" s="1814"/>
      <c r="W1377" s="1817"/>
      <c r="X1377" s="1814"/>
      <c r="Y1377" s="1801"/>
      <c r="Z1377" s="1801"/>
      <c r="AA1377" s="1801"/>
      <c r="AB1377" s="1801"/>
      <c r="AC1377" s="1801"/>
      <c r="AD1377" s="1801"/>
      <c r="AE1377" s="1801"/>
      <c r="AF1377" s="1814"/>
      <c r="AG1377" s="376"/>
      <c r="AH1377" s="376"/>
      <c r="AI1377" s="376"/>
      <c r="AJ1377" s="376"/>
      <c r="AK1377" s="376"/>
      <c r="AL1377" s="1144"/>
      <c r="AM1377" s="1144"/>
      <c r="AN1377" s="1144"/>
      <c r="AO1377" s="1144"/>
      <c r="AP1377" s="1144"/>
      <c r="AQ1377" s="1144"/>
      <c r="AR1377" s="1144"/>
      <c r="AS1377" s="1144"/>
      <c r="AT1377" s="1144"/>
      <c r="AU1377" s="1144"/>
      <c r="AV1377" s="1144"/>
      <c r="AW1377" s="1144"/>
      <c r="AX1377" s="1144"/>
      <c r="AY1377" s="1144"/>
      <c r="AZ1377" s="1144"/>
      <c r="BA1377" s="1144"/>
      <c r="BB1377" s="1144"/>
      <c r="BC1377" s="1144"/>
      <c r="BD1377" s="1144"/>
      <c r="BE1377" s="1144"/>
      <c r="BF1377" s="1144"/>
      <c r="BG1377" s="1144"/>
      <c r="BH1377" s="1144"/>
      <c r="BI1377" s="1144"/>
      <c r="BJ1377" s="1144"/>
      <c r="BK1377" s="1144"/>
      <c r="BL1377" s="1144"/>
      <c r="BM1377" s="1144"/>
      <c r="BN1377" s="1144"/>
      <c r="BO1377" s="1144"/>
      <c r="BP1377" s="1144"/>
      <c r="BQ1377" s="1144"/>
      <c r="BR1377" s="1144"/>
      <c r="BS1377" s="1144"/>
      <c r="BT1377" s="1144"/>
      <c r="BU1377" s="1144"/>
      <c r="BV1377" s="1144"/>
      <c r="BW1377" s="1144"/>
      <c r="BX1377" s="1144"/>
      <c r="BY1377" s="1144"/>
      <c r="BZ1377" s="1144"/>
      <c r="CA1377" s="1144"/>
      <c r="CB1377" s="1144"/>
      <c r="CC1377" s="1144"/>
      <c r="CD1377" s="1144"/>
      <c r="CE1377" s="1144"/>
      <c r="CF1377" s="1144"/>
      <c r="CG1377" s="1144"/>
      <c r="CH1377" s="1144"/>
      <c r="CI1377" s="1144"/>
      <c r="CJ1377" s="1144"/>
      <c r="CK1377" s="1144"/>
      <c r="CL1377" s="1144"/>
      <c r="CM1377" s="1144"/>
      <c r="CN1377" s="1144"/>
    </row>
    <row r="1378" spans="11:92" ht="12" customHeight="1" x14ac:dyDescent="0.35">
      <c r="K1378" s="29">
        <f t="shared" si="827"/>
        <v>0</v>
      </c>
      <c r="L1378" s="1158">
        <f t="shared" si="828"/>
        <v>1369</v>
      </c>
      <c r="M1378" s="34">
        <f t="shared" si="829"/>
        <v>0</v>
      </c>
      <c r="N1378" s="34">
        <f t="shared" si="830"/>
        <v>0</v>
      </c>
      <c r="O1378" s="55">
        <f t="shared" si="832"/>
        <v>0</v>
      </c>
      <c r="P1378" s="55">
        <f t="shared" si="833"/>
        <v>0</v>
      </c>
      <c r="Q1378" s="55">
        <f t="shared" si="834"/>
        <v>0</v>
      </c>
      <c r="R1378" s="31">
        <f>IF(Input!D$298=L1402,Input!D$297,0)</f>
        <v>0</v>
      </c>
      <c r="S1378" s="36">
        <f t="shared" si="835"/>
        <v>1</v>
      </c>
      <c r="T1378" s="1818"/>
      <c r="U1378" s="1814"/>
      <c r="V1378" s="1814"/>
      <c r="W1378" s="1817"/>
      <c r="X1378" s="1814"/>
      <c r="Y1378" s="1801"/>
      <c r="Z1378" s="1801"/>
      <c r="AA1378" s="1801"/>
      <c r="AB1378" s="1801"/>
      <c r="AC1378" s="1801"/>
      <c r="AD1378" s="1801"/>
      <c r="AE1378" s="1801"/>
      <c r="AF1378" s="1814"/>
      <c r="AG1378" s="376"/>
      <c r="AH1378" s="376"/>
      <c r="AI1378" s="376"/>
      <c r="AJ1378" s="376"/>
      <c r="AK1378" s="376"/>
      <c r="AL1378" s="1144"/>
      <c r="AM1378" s="1144"/>
      <c r="AN1378" s="1144"/>
      <c r="AO1378" s="1144"/>
      <c r="AP1378" s="1144"/>
      <c r="AQ1378" s="1144"/>
      <c r="AR1378" s="1144"/>
      <c r="AS1378" s="1144"/>
      <c r="AT1378" s="1144"/>
      <c r="AU1378" s="1144"/>
      <c r="AV1378" s="1144"/>
      <c r="AW1378" s="1144"/>
      <c r="AX1378" s="1144"/>
      <c r="AY1378" s="1144"/>
      <c r="AZ1378" s="1144"/>
      <c r="BA1378" s="1144"/>
      <c r="BB1378" s="1144"/>
      <c r="BC1378" s="1144"/>
      <c r="BD1378" s="1144"/>
      <c r="BE1378" s="1144"/>
      <c r="BF1378" s="1144"/>
      <c r="BG1378" s="1144"/>
      <c r="BH1378" s="1144"/>
      <c r="BI1378" s="1144"/>
      <c r="BJ1378" s="1144"/>
      <c r="BK1378" s="1144"/>
      <c r="BL1378" s="1144"/>
      <c r="BM1378" s="1144"/>
      <c r="BN1378" s="1144"/>
      <c r="BO1378" s="1144"/>
      <c r="BP1378" s="1144"/>
      <c r="BQ1378" s="1144"/>
      <c r="BR1378" s="1144"/>
      <c r="BS1378" s="1144"/>
      <c r="BT1378" s="1144"/>
      <c r="BU1378" s="1144"/>
      <c r="BV1378" s="1144"/>
      <c r="BW1378" s="1144"/>
      <c r="BX1378" s="1144"/>
      <c r="BY1378" s="1144"/>
      <c r="BZ1378" s="1144"/>
      <c r="CA1378" s="1144"/>
      <c r="CB1378" s="1144"/>
      <c r="CC1378" s="1144"/>
      <c r="CD1378" s="1144"/>
      <c r="CE1378" s="1144"/>
      <c r="CF1378" s="1144"/>
      <c r="CG1378" s="1144"/>
      <c r="CH1378" s="1144"/>
      <c r="CI1378" s="1144"/>
      <c r="CJ1378" s="1144"/>
      <c r="CK1378" s="1144"/>
      <c r="CL1378" s="1144"/>
      <c r="CM1378" s="1144"/>
      <c r="CN1378" s="1144"/>
    </row>
    <row r="1379" spans="11:92" ht="12" customHeight="1" x14ac:dyDescent="0.35">
      <c r="K1379" s="29">
        <f t="shared" si="827"/>
        <v>0</v>
      </c>
      <c r="L1379" s="1158">
        <f t="shared" si="828"/>
        <v>1400</v>
      </c>
      <c r="M1379" s="34">
        <f t="shared" si="829"/>
        <v>0</v>
      </c>
      <c r="N1379" s="34">
        <f t="shared" si="830"/>
        <v>0</v>
      </c>
      <c r="O1379" s="55">
        <f t="shared" si="832"/>
        <v>0</v>
      </c>
      <c r="P1379" s="55">
        <f t="shared" si="833"/>
        <v>0</v>
      </c>
      <c r="Q1379" s="55">
        <f t="shared" si="834"/>
        <v>0</v>
      </c>
      <c r="R1379" s="31">
        <f>IF(Input!D$298=L1403,Input!D$297,0)</f>
        <v>0</v>
      </c>
      <c r="S1379" s="36">
        <f t="shared" si="835"/>
        <v>1</v>
      </c>
      <c r="T1379" s="1818"/>
      <c r="U1379" s="1814"/>
      <c r="V1379" s="1814"/>
      <c r="W1379" s="1817"/>
      <c r="X1379" s="1814"/>
      <c r="Y1379" s="1801"/>
      <c r="Z1379" s="1801"/>
      <c r="AA1379" s="1801"/>
      <c r="AB1379" s="1801"/>
      <c r="AC1379" s="1801"/>
      <c r="AD1379" s="1801"/>
      <c r="AE1379" s="1801"/>
      <c r="AF1379" s="1814"/>
      <c r="AG1379" s="376"/>
      <c r="AH1379" s="376"/>
      <c r="AI1379" s="376"/>
      <c r="AJ1379" s="376"/>
      <c r="AK1379" s="376"/>
      <c r="AL1379" s="1144"/>
      <c r="AM1379" s="1144"/>
      <c r="AN1379" s="1144"/>
      <c r="AO1379" s="1144"/>
      <c r="AP1379" s="1144"/>
      <c r="AQ1379" s="1144"/>
      <c r="AR1379" s="1144"/>
      <c r="AS1379" s="1144"/>
      <c r="AT1379" s="1144"/>
      <c r="AU1379" s="1144"/>
      <c r="AV1379" s="1144"/>
      <c r="AW1379" s="1144"/>
      <c r="AX1379" s="1144"/>
      <c r="AY1379" s="1144"/>
      <c r="AZ1379" s="1144"/>
      <c r="BA1379" s="1144"/>
      <c r="BB1379" s="1144"/>
      <c r="BC1379" s="1144"/>
      <c r="BD1379" s="1144"/>
      <c r="BE1379" s="1144"/>
      <c r="BF1379" s="1144"/>
      <c r="BG1379" s="1144"/>
      <c r="BH1379" s="1144"/>
      <c r="BI1379" s="1144"/>
      <c r="BJ1379" s="1144"/>
      <c r="BK1379" s="1144"/>
      <c r="BL1379" s="1144"/>
      <c r="BM1379" s="1144"/>
      <c r="BN1379" s="1144"/>
      <c r="BO1379" s="1144"/>
      <c r="BP1379" s="1144"/>
      <c r="BQ1379" s="1144"/>
      <c r="BR1379" s="1144"/>
      <c r="BS1379" s="1144"/>
      <c r="BT1379" s="1144"/>
      <c r="BU1379" s="1144"/>
      <c r="BV1379" s="1144"/>
      <c r="BW1379" s="1144"/>
      <c r="BX1379" s="1144"/>
      <c r="BY1379" s="1144"/>
      <c r="BZ1379" s="1144"/>
      <c r="CA1379" s="1144"/>
      <c r="CB1379" s="1144"/>
      <c r="CC1379" s="1144"/>
      <c r="CD1379" s="1144"/>
      <c r="CE1379" s="1144"/>
      <c r="CF1379" s="1144"/>
      <c r="CG1379" s="1144"/>
      <c r="CH1379" s="1144"/>
      <c r="CI1379" s="1144"/>
      <c r="CJ1379" s="1144"/>
      <c r="CK1379" s="1144"/>
      <c r="CL1379" s="1144"/>
      <c r="CM1379" s="1144"/>
      <c r="CN1379" s="1144"/>
    </row>
    <row r="1380" spans="11:92" ht="12" customHeight="1" x14ac:dyDescent="0.35">
      <c r="K1380" s="29">
        <f t="shared" si="827"/>
        <v>0</v>
      </c>
      <c r="L1380" s="1158">
        <f t="shared" si="828"/>
        <v>1430</v>
      </c>
      <c r="M1380" s="34">
        <f t="shared" si="829"/>
        <v>0</v>
      </c>
      <c r="N1380" s="34">
        <f t="shared" si="830"/>
        <v>0</v>
      </c>
      <c r="O1380" s="55">
        <f t="shared" si="832"/>
        <v>0</v>
      </c>
      <c r="P1380" s="55">
        <f t="shared" si="833"/>
        <v>0</v>
      </c>
      <c r="Q1380" s="55">
        <f t="shared" si="834"/>
        <v>0</v>
      </c>
      <c r="R1380" s="31">
        <f>IF(Input!D$298=L1404,Input!D$297,0)</f>
        <v>0</v>
      </c>
      <c r="S1380" s="36">
        <f t="shared" si="835"/>
        <v>0</v>
      </c>
      <c r="T1380" s="1818"/>
      <c r="U1380" s="1814"/>
      <c r="V1380" s="1814"/>
      <c r="W1380" s="1817"/>
      <c r="X1380" s="1814"/>
      <c r="Y1380" s="1801"/>
      <c r="Z1380" s="1801"/>
      <c r="AA1380" s="1801"/>
      <c r="AB1380" s="1801"/>
      <c r="AC1380" s="1801"/>
      <c r="AD1380" s="1801"/>
      <c r="AE1380" s="1801"/>
      <c r="AF1380" s="1814"/>
      <c r="AG1380" s="376"/>
      <c r="AH1380" s="376"/>
      <c r="AI1380" s="376"/>
      <c r="AJ1380" s="376"/>
      <c r="AK1380" s="376"/>
      <c r="AL1380" s="1144"/>
      <c r="AM1380" s="1144"/>
      <c r="AN1380" s="1144"/>
      <c r="AO1380" s="1144"/>
      <c r="AP1380" s="1144"/>
      <c r="AQ1380" s="1144"/>
      <c r="AR1380" s="1144"/>
      <c r="AS1380" s="1144"/>
      <c r="AT1380" s="1144"/>
      <c r="AU1380" s="1144"/>
      <c r="AV1380" s="1144"/>
      <c r="AW1380" s="1144"/>
      <c r="AX1380" s="1144"/>
      <c r="AY1380" s="1144"/>
      <c r="AZ1380" s="1144"/>
      <c r="BA1380" s="1144"/>
      <c r="BB1380" s="1144"/>
      <c r="BC1380" s="1144"/>
      <c r="BD1380" s="1144"/>
      <c r="BE1380" s="1144"/>
      <c r="BF1380" s="1144"/>
      <c r="BG1380" s="1144"/>
      <c r="BH1380" s="1144"/>
      <c r="BI1380" s="1144"/>
      <c r="BJ1380" s="1144"/>
      <c r="BK1380" s="1144"/>
      <c r="BL1380" s="1144"/>
      <c r="BM1380" s="1144"/>
      <c r="BN1380" s="1144"/>
      <c r="BO1380" s="1144"/>
      <c r="BP1380" s="1144"/>
      <c r="BQ1380" s="1144"/>
      <c r="BR1380" s="1144"/>
      <c r="BS1380" s="1144"/>
      <c r="BT1380" s="1144"/>
      <c r="BU1380" s="1144"/>
      <c r="BV1380" s="1144"/>
      <c r="BW1380" s="1144"/>
      <c r="BX1380" s="1144"/>
      <c r="BY1380" s="1144"/>
      <c r="BZ1380" s="1144"/>
      <c r="CA1380" s="1144"/>
      <c r="CB1380" s="1144"/>
      <c r="CC1380" s="1144"/>
      <c r="CD1380" s="1144"/>
      <c r="CE1380" s="1144"/>
      <c r="CF1380" s="1144"/>
      <c r="CG1380" s="1144"/>
      <c r="CH1380" s="1144"/>
      <c r="CI1380" s="1144"/>
      <c r="CJ1380" s="1144"/>
      <c r="CK1380" s="1144"/>
      <c r="CL1380" s="1144"/>
      <c r="CM1380" s="1144"/>
      <c r="CN1380" s="1144"/>
    </row>
    <row r="1381" spans="11:92" ht="12" customHeight="1" x14ac:dyDescent="0.35">
      <c r="K1381" s="29">
        <f t="shared" si="827"/>
        <v>0</v>
      </c>
      <c r="L1381" s="1158">
        <f t="shared" si="828"/>
        <v>1461</v>
      </c>
      <c r="M1381" s="34">
        <f t="shared" si="829"/>
        <v>0</v>
      </c>
      <c r="N1381" s="34">
        <f t="shared" si="830"/>
        <v>0</v>
      </c>
      <c r="O1381" s="55">
        <f t="shared" si="832"/>
        <v>0</v>
      </c>
      <c r="P1381" s="55">
        <f t="shared" si="833"/>
        <v>0</v>
      </c>
      <c r="Q1381" s="55">
        <f t="shared" si="834"/>
        <v>0</v>
      </c>
      <c r="R1381" s="31">
        <f>IF(Input!D$298=L1405,Input!D$297,0)</f>
        <v>0</v>
      </c>
      <c r="S1381" s="36" t="str">
        <f t="shared" si="835"/>
        <v>Item 8</v>
      </c>
      <c r="T1381" s="1818"/>
      <c r="U1381" s="1814"/>
      <c r="V1381" s="1814"/>
      <c r="W1381" s="1817"/>
      <c r="X1381" s="1814"/>
      <c r="Y1381" s="1801"/>
      <c r="Z1381" s="1801"/>
      <c r="AA1381" s="1801"/>
      <c r="AB1381" s="1801"/>
      <c r="AC1381" s="1801"/>
      <c r="AD1381" s="1801"/>
      <c r="AE1381" s="1801"/>
      <c r="AF1381" s="1814"/>
      <c r="AG1381" s="376"/>
      <c r="AH1381" s="376"/>
      <c r="AI1381" s="376"/>
      <c r="AJ1381" s="376"/>
      <c r="AK1381" s="376"/>
      <c r="AL1381" s="1144"/>
      <c r="AM1381" s="1144"/>
      <c r="AN1381" s="1144"/>
      <c r="AO1381" s="1144"/>
      <c r="AP1381" s="1144"/>
      <c r="AQ1381" s="1144"/>
      <c r="AR1381" s="1144"/>
      <c r="AS1381" s="1144"/>
      <c r="AT1381" s="1144"/>
      <c r="AU1381" s="1144"/>
      <c r="AV1381" s="1144"/>
      <c r="AW1381" s="1144"/>
      <c r="AX1381" s="1144"/>
      <c r="AY1381" s="1144"/>
      <c r="AZ1381" s="1144"/>
      <c r="BA1381" s="1144"/>
      <c r="BB1381" s="1144"/>
      <c r="BC1381" s="1144"/>
      <c r="BD1381" s="1144"/>
      <c r="BE1381" s="1144"/>
      <c r="BF1381" s="1144"/>
      <c r="BG1381" s="1144"/>
      <c r="BH1381" s="1144"/>
      <c r="BI1381" s="1144"/>
      <c r="BJ1381" s="1144"/>
      <c r="BK1381" s="1144"/>
      <c r="BL1381" s="1144"/>
      <c r="BM1381" s="1144"/>
      <c r="BN1381" s="1144"/>
      <c r="BO1381" s="1144"/>
      <c r="BP1381" s="1144"/>
      <c r="BQ1381" s="1144"/>
      <c r="BR1381" s="1144"/>
      <c r="BS1381" s="1144"/>
      <c r="BT1381" s="1144"/>
      <c r="BU1381" s="1144"/>
      <c r="BV1381" s="1144"/>
      <c r="BW1381" s="1144"/>
      <c r="BX1381" s="1144"/>
      <c r="BY1381" s="1144"/>
      <c r="BZ1381" s="1144"/>
      <c r="CA1381" s="1144"/>
      <c r="CB1381" s="1144"/>
      <c r="CC1381" s="1144"/>
      <c r="CD1381" s="1144"/>
      <c r="CE1381" s="1144"/>
      <c r="CF1381" s="1144"/>
      <c r="CG1381" s="1144"/>
      <c r="CH1381" s="1144"/>
      <c r="CI1381" s="1144"/>
      <c r="CJ1381" s="1144"/>
      <c r="CK1381" s="1144"/>
      <c r="CL1381" s="1144"/>
      <c r="CM1381" s="1144"/>
      <c r="CN1381" s="1144"/>
    </row>
    <row r="1382" spans="11:92" ht="12" customHeight="1" x14ac:dyDescent="0.35">
      <c r="K1382" s="29">
        <f t="shared" si="827"/>
        <v>0</v>
      </c>
      <c r="L1382" s="1158">
        <f t="shared" si="828"/>
        <v>1492</v>
      </c>
      <c r="M1382" s="34">
        <f t="shared" si="829"/>
        <v>0</v>
      </c>
      <c r="N1382" s="34">
        <f t="shared" si="830"/>
        <v>0</v>
      </c>
      <c r="O1382" s="55">
        <f t="shared" si="832"/>
        <v>0</v>
      </c>
      <c r="P1382" s="55">
        <f t="shared" si="833"/>
        <v>0</v>
      </c>
      <c r="Q1382" s="55">
        <f t="shared" si="834"/>
        <v>0</v>
      </c>
      <c r="R1382" s="31">
        <f>IF(Input!D$298=L1406,Input!D$297,0)</f>
        <v>0</v>
      </c>
      <c r="S1382" s="36">
        <f t="shared" si="835"/>
        <v>0</v>
      </c>
      <c r="T1382" s="1818"/>
      <c r="U1382" s="1814"/>
      <c r="V1382" s="1814"/>
      <c r="W1382" s="1817"/>
      <c r="X1382" s="1814"/>
      <c r="Y1382" s="1801"/>
      <c r="Z1382" s="1801"/>
      <c r="AA1382" s="1801"/>
      <c r="AB1382" s="1801"/>
      <c r="AC1382" s="1801"/>
      <c r="AD1382" s="1801"/>
      <c r="AE1382" s="1801"/>
      <c r="AF1382" s="1814"/>
      <c r="AG1382" s="376"/>
      <c r="AH1382" s="376"/>
      <c r="AI1382" s="376"/>
      <c r="AJ1382" s="376"/>
      <c r="AK1382" s="376"/>
      <c r="AL1382" s="1144"/>
      <c r="AM1382" s="1144"/>
      <c r="AN1382" s="1144"/>
      <c r="AO1382" s="1144"/>
      <c r="AP1382" s="1144"/>
      <c r="AQ1382" s="1144"/>
      <c r="AR1382" s="1144"/>
      <c r="AS1382" s="1144"/>
      <c r="AT1382" s="1144"/>
      <c r="AU1382" s="1144"/>
      <c r="AV1382" s="1144"/>
      <c r="AW1382" s="1144"/>
      <c r="AX1382" s="1144"/>
      <c r="AY1382" s="1144"/>
      <c r="AZ1382" s="1144"/>
      <c r="BA1382" s="1144"/>
      <c r="BB1382" s="1144"/>
      <c r="BC1382" s="1144"/>
      <c r="BD1382" s="1144"/>
      <c r="BE1382" s="1144"/>
      <c r="BF1382" s="1144"/>
      <c r="BG1382" s="1144"/>
      <c r="BH1382" s="1144"/>
      <c r="BI1382" s="1144"/>
      <c r="BJ1382" s="1144"/>
      <c r="BK1382" s="1144"/>
      <c r="BL1382" s="1144"/>
      <c r="BM1382" s="1144"/>
      <c r="BN1382" s="1144"/>
      <c r="BO1382" s="1144"/>
      <c r="BP1382" s="1144"/>
      <c r="BQ1382" s="1144"/>
      <c r="BR1382" s="1144"/>
      <c r="BS1382" s="1144"/>
      <c r="BT1382" s="1144"/>
      <c r="BU1382" s="1144"/>
      <c r="BV1382" s="1144"/>
      <c r="BW1382" s="1144"/>
      <c r="BX1382" s="1144"/>
      <c r="BY1382" s="1144"/>
      <c r="BZ1382" s="1144"/>
      <c r="CA1382" s="1144"/>
      <c r="CB1382" s="1144"/>
      <c r="CC1382" s="1144"/>
      <c r="CD1382" s="1144"/>
      <c r="CE1382" s="1144"/>
      <c r="CF1382" s="1144"/>
      <c r="CG1382" s="1144"/>
      <c r="CH1382" s="1144"/>
      <c r="CI1382" s="1144"/>
      <c r="CJ1382" s="1144"/>
      <c r="CK1382" s="1144"/>
      <c r="CL1382" s="1144"/>
      <c r="CM1382" s="1144"/>
      <c r="CN1382" s="1144"/>
    </row>
    <row r="1383" spans="11:92" ht="12" customHeight="1" x14ac:dyDescent="0.35">
      <c r="K1383" s="29">
        <f t="shared" si="827"/>
        <v>0</v>
      </c>
      <c r="L1383" s="1158">
        <f t="shared" si="828"/>
        <v>1521</v>
      </c>
      <c r="M1383" s="34">
        <f t="shared" si="829"/>
        <v>0</v>
      </c>
      <c r="N1383" s="34">
        <f t="shared" si="830"/>
        <v>0</v>
      </c>
      <c r="O1383" s="55">
        <f t="shared" si="832"/>
        <v>0</v>
      </c>
      <c r="P1383" s="55">
        <f t="shared" si="833"/>
        <v>0</v>
      </c>
      <c r="Q1383" s="55">
        <f t="shared" si="834"/>
        <v>0</v>
      </c>
      <c r="R1383" s="31">
        <f>IF(Input!D$298=L1407,Input!D$297,0)</f>
        <v>0</v>
      </c>
      <c r="S1383" s="36">
        <f t="shared" si="835"/>
        <v>0</v>
      </c>
      <c r="T1383" s="1818"/>
      <c r="U1383" s="1814"/>
      <c r="V1383" s="1814"/>
      <c r="W1383" s="1817"/>
      <c r="X1383" s="1814"/>
      <c r="Y1383" s="1801"/>
      <c r="Z1383" s="1801"/>
      <c r="AA1383" s="1801"/>
      <c r="AB1383" s="1801"/>
      <c r="AC1383" s="1801"/>
      <c r="AD1383" s="1801"/>
      <c r="AE1383" s="1801"/>
      <c r="AF1383" s="1814"/>
      <c r="AG1383" s="376"/>
      <c r="AH1383" s="376"/>
      <c r="AI1383" s="376"/>
      <c r="AJ1383" s="376"/>
      <c r="AK1383" s="376"/>
      <c r="AL1383" s="1144"/>
      <c r="AM1383" s="1144"/>
      <c r="AN1383" s="1144"/>
      <c r="AO1383" s="1144"/>
      <c r="AP1383" s="1144"/>
      <c r="AQ1383" s="1144"/>
      <c r="AR1383" s="1144"/>
      <c r="AS1383" s="1144"/>
      <c r="AT1383" s="1144"/>
      <c r="AU1383" s="1144"/>
      <c r="AV1383" s="1144"/>
      <c r="AW1383" s="1144"/>
      <c r="AX1383" s="1144"/>
      <c r="AY1383" s="1144"/>
      <c r="AZ1383" s="1144"/>
      <c r="BA1383" s="1144"/>
      <c r="BB1383" s="1144"/>
      <c r="BC1383" s="1144"/>
      <c r="BD1383" s="1144"/>
      <c r="BE1383" s="1144"/>
      <c r="BF1383" s="1144"/>
      <c r="BG1383" s="1144"/>
      <c r="BH1383" s="1144"/>
      <c r="BI1383" s="1144"/>
      <c r="BJ1383" s="1144"/>
      <c r="BK1383" s="1144"/>
      <c r="BL1383" s="1144"/>
      <c r="BM1383" s="1144"/>
      <c r="BN1383" s="1144"/>
      <c r="BO1383" s="1144"/>
      <c r="BP1383" s="1144"/>
      <c r="BQ1383" s="1144"/>
      <c r="BR1383" s="1144"/>
      <c r="BS1383" s="1144"/>
      <c r="BT1383" s="1144"/>
      <c r="BU1383" s="1144"/>
      <c r="BV1383" s="1144"/>
      <c r="BW1383" s="1144"/>
      <c r="BX1383" s="1144"/>
      <c r="BY1383" s="1144"/>
      <c r="BZ1383" s="1144"/>
      <c r="CA1383" s="1144"/>
      <c r="CB1383" s="1144"/>
      <c r="CC1383" s="1144"/>
      <c r="CD1383" s="1144"/>
      <c r="CE1383" s="1144"/>
      <c r="CF1383" s="1144"/>
      <c r="CG1383" s="1144"/>
      <c r="CH1383" s="1144"/>
      <c r="CI1383" s="1144"/>
      <c r="CJ1383" s="1144"/>
      <c r="CK1383" s="1144"/>
      <c r="CL1383" s="1144"/>
      <c r="CM1383" s="1144"/>
      <c r="CN1383" s="1144"/>
    </row>
    <row r="1384" spans="11:92" ht="12" customHeight="1" x14ac:dyDescent="0.35">
      <c r="K1384" s="29">
        <f t="shared" si="827"/>
        <v>0</v>
      </c>
      <c r="L1384" s="1158">
        <f t="shared" si="828"/>
        <v>1552</v>
      </c>
      <c r="M1384" s="34">
        <f t="shared" si="829"/>
        <v>0</v>
      </c>
      <c r="N1384" s="34">
        <f t="shared" si="830"/>
        <v>0</v>
      </c>
      <c r="O1384" s="55">
        <f t="shared" si="832"/>
        <v>0</v>
      </c>
      <c r="P1384" s="55">
        <f t="shared" si="833"/>
        <v>0</v>
      </c>
      <c r="Q1384" s="55">
        <f t="shared" si="834"/>
        <v>0</v>
      </c>
      <c r="R1384" s="31">
        <f>IF(Input!D$298=L1408,Input!D$297,0)</f>
        <v>0</v>
      </c>
      <c r="S1384" s="36">
        <f t="shared" si="835"/>
        <v>0</v>
      </c>
      <c r="T1384" s="1818"/>
      <c r="U1384" s="1814"/>
      <c r="V1384" s="1814"/>
      <c r="W1384" s="1817"/>
      <c r="X1384" s="1814"/>
      <c r="Y1384" s="1801"/>
      <c r="Z1384" s="1801"/>
      <c r="AA1384" s="1801"/>
      <c r="AB1384" s="1801"/>
      <c r="AC1384" s="1801"/>
      <c r="AD1384" s="1801"/>
      <c r="AE1384" s="1801"/>
      <c r="AF1384" s="1814"/>
      <c r="AG1384" s="376"/>
      <c r="AH1384" s="376"/>
      <c r="AI1384" s="376"/>
      <c r="AJ1384" s="376"/>
      <c r="AK1384" s="376"/>
      <c r="AL1384" s="1144"/>
      <c r="AM1384" s="1144"/>
      <c r="AN1384" s="1144"/>
      <c r="AO1384" s="1144"/>
      <c r="AP1384" s="1144"/>
      <c r="AQ1384" s="1144"/>
      <c r="AR1384" s="1144"/>
      <c r="AS1384" s="1144"/>
      <c r="AT1384" s="1144"/>
      <c r="AU1384" s="1144"/>
      <c r="AV1384" s="1144"/>
      <c r="AW1384" s="1144"/>
      <c r="AX1384" s="1144"/>
      <c r="AY1384" s="1144"/>
      <c r="AZ1384" s="1144"/>
      <c r="BA1384" s="1144"/>
      <c r="BB1384" s="1144"/>
      <c r="BC1384" s="1144"/>
      <c r="BD1384" s="1144"/>
      <c r="BE1384" s="1144"/>
      <c r="BF1384" s="1144"/>
      <c r="BG1384" s="1144"/>
      <c r="BH1384" s="1144"/>
      <c r="BI1384" s="1144"/>
      <c r="BJ1384" s="1144"/>
      <c r="BK1384" s="1144"/>
      <c r="BL1384" s="1144"/>
      <c r="BM1384" s="1144"/>
      <c r="BN1384" s="1144"/>
      <c r="BO1384" s="1144"/>
      <c r="BP1384" s="1144"/>
      <c r="BQ1384" s="1144"/>
      <c r="BR1384" s="1144"/>
      <c r="BS1384" s="1144"/>
      <c r="BT1384" s="1144"/>
      <c r="BU1384" s="1144"/>
      <c r="BV1384" s="1144"/>
      <c r="BW1384" s="1144"/>
      <c r="BX1384" s="1144"/>
      <c r="BY1384" s="1144"/>
      <c r="BZ1384" s="1144"/>
      <c r="CA1384" s="1144"/>
      <c r="CB1384" s="1144"/>
      <c r="CC1384" s="1144"/>
      <c r="CD1384" s="1144"/>
      <c r="CE1384" s="1144"/>
      <c r="CF1384" s="1144"/>
      <c r="CG1384" s="1144"/>
      <c r="CH1384" s="1144"/>
      <c r="CI1384" s="1144"/>
      <c r="CJ1384" s="1144"/>
      <c r="CK1384" s="1144"/>
      <c r="CL1384" s="1144"/>
      <c r="CM1384" s="1144"/>
      <c r="CN1384" s="1144"/>
    </row>
    <row r="1385" spans="11:92" ht="12" customHeight="1" x14ac:dyDescent="0.35">
      <c r="K1385" s="29">
        <f t="shared" si="827"/>
        <v>0</v>
      </c>
      <c r="L1385" s="1158">
        <f t="shared" si="828"/>
        <v>1582</v>
      </c>
      <c r="M1385" s="34">
        <f t="shared" si="829"/>
        <v>0</v>
      </c>
      <c r="N1385" s="34">
        <f t="shared" si="830"/>
        <v>0</v>
      </c>
      <c r="O1385" s="55">
        <f t="shared" si="832"/>
        <v>0</v>
      </c>
      <c r="P1385" s="55">
        <f t="shared" si="833"/>
        <v>0</v>
      </c>
      <c r="Q1385" s="55">
        <f t="shared" si="834"/>
        <v>0</v>
      </c>
      <c r="R1385" s="31">
        <f>IF(Input!D$298=L1409,Input!D$297,0)</f>
        <v>0</v>
      </c>
      <c r="S1385" s="36">
        <f t="shared" si="835"/>
        <v>0</v>
      </c>
      <c r="T1385" s="1818"/>
      <c r="U1385" s="1814"/>
      <c r="V1385" s="1814"/>
      <c r="W1385" s="1817"/>
      <c r="X1385" s="1814"/>
      <c r="Y1385" s="1801"/>
      <c r="Z1385" s="1801"/>
      <c r="AA1385" s="1801"/>
      <c r="AB1385" s="1801"/>
      <c r="AC1385" s="1801"/>
      <c r="AD1385" s="1801"/>
      <c r="AE1385" s="1801"/>
      <c r="AF1385" s="1814"/>
      <c r="AG1385" s="376"/>
      <c r="AH1385" s="376"/>
      <c r="AI1385" s="376"/>
      <c r="AJ1385" s="376"/>
      <c r="AK1385" s="376"/>
      <c r="AL1385" s="1144"/>
      <c r="AM1385" s="1144"/>
      <c r="AN1385" s="1144"/>
      <c r="AO1385" s="1144"/>
      <c r="AP1385" s="1144"/>
      <c r="AQ1385" s="1144"/>
      <c r="AR1385" s="1144"/>
      <c r="AS1385" s="1144"/>
      <c r="AT1385" s="1144"/>
      <c r="AU1385" s="1144"/>
      <c r="AV1385" s="1144"/>
      <c r="AW1385" s="1144"/>
      <c r="AX1385" s="1144"/>
      <c r="AY1385" s="1144"/>
      <c r="AZ1385" s="1144"/>
      <c r="BA1385" s="1144"/>
      <c r="BB1385" s="1144"/>
      <c r="BC1385" s="1144"/>
      <c r="BD1385" s="1144"/>
      <c r="BE1385" s="1144"/>
      <c r="BF1385" s="1144"/>
      <c r="BG1385" s="1144"/>
      <c r="BH1385" s="1144"/>
      <c r="BI1385" s="1144"/>
      <c r="BJ1385" s="1144"/>
      <c r="BK1385" s="1144"/>
      <c r="BL1385" s="1144"/>
      <c r="BM1385" s="1144"/>
      <c r="BN1385" s="1144"/>
      <c r="BO1385" s="1144"/>
      <c r="BP1385" s="1144"/>
      <c r="BQ1385" s="1144"/>
      <c r="BR1385" s="1144"/>
      <c r="BS1385" s="1144"/>
      <c r="BT1385" s="1144"/>
      <c r="BU1385" s="1144"/>
      <c r="BV1385" s="1144"/>
      <c r="BW1385" s="1144"/>
      <c r="BX1385" s="1144"/>
      <c r="BY1385" s="1144"/>
      <c r="BZ1385" s="1144"/>
      <c r="CA1385" s="1144"/>
      <c r="CB1385" s="1144"/>
      <c r="CC1385" s="1144"/>
      <c r="CD1385" s="1144"/>
      <c r="CE1385" s="1144"/>
      <c r="CF1385" s="1144"/>
      <c r="CG1385" s="1144"/>
      <c r="CH1385" s="1144"/>
      <c r="CI1385" s="1144"/>
      <c r="CJ1385" s="1144"/>
      <c r="CK1385" s="1144"/>
      <c r="CL1385" s="1144"/>
      <c r="CM1385" s="1144"/>
      <c r="CN1385" s="1144"/>
    </row>
    <row r="1386" spans="11:92" ht="12" customHeight="1" x14ac:dyDescent="0.35">
      <c r="K1386" s="29">
        <f t="shared" si="827"/>
        <v>0</v>
      </c>
      <c r="L1386" s="1158">
        <f t="shared" si="828"/>
        <v>1613</v>
      </c>
      <c r="M1386" s="34">
        <f t="shared" si="829"/>
        <v>0</v>
      </c>
      <c r="N1386" s="34">
        <f t="shared" si="830"/>
        <v>0</v>
      </c>
      <c r="O1386" s="55">
        <f t="shared" si="832"/>
        <v>0</v>
      </c>
      <c r="P1386" s="55">
        <f t="shared" si="833"/>
        <v>0</v>
      </c>
      <c r="Q1386" s="55">
        <f t="shared" si="834"/>
        <v>0</v>
      </c>
      <c r="R1386" s="31">
        <f>IF(Input!D$298=L1410,Input!D$297,0)</f>
        <v>0</v>
      </c>
      <c r="S1386" s="36">
        <f t="shared" si="835"/>
        <v>0</v>
      </c>
      <c r="T1386" s="1818"/>
      <c r="U1386" s="1814"/>
      <c r="V1386" s="1814"/>
      <c r="W1386" s="1817"/>
      <c r="X1386" s="1814"/>
      <c r="Y1386" s="1801"/>
      <c r="Z1386" s="1801"/>
      <c r="AA1386" s="1801"/>
      <c r="AB1386" s="1801"/>
      <c r="AC1386" s="1801"/>
      <c r="AD1386" s="1801"/>
      <c r="AE1386" s="1801"/>
      <c r="AF1386" s="1814"/>
      <c r="AG1386" s="376"/>
      <c r="AH1386" s="376"/>
      <c r="AI1386" s="376"/>
      <c r="AJ1386" s="376"/>
      <c r="AK1386" s="376"/>
      <c r="AL1386" s="1144"/>
      <c r="AM1386" s="1144"/>
      <c r="AN1386" s="1144"/>
      <c r="AO1386" s="1144"/>
      <c r="AP1386" s="1144"/>
      <c r="AQ1386" s="1144"/>
      <c r="AR1386" s="1144"/>
      <c r="AS1386" s="1144"/>
      <c r="AT1386" s="1144"/>
      <c r="AU1386" s="1144"/>
      <c r="AV1386" s="1144"/>
      <c r="AW1386" s="1144"/>
      <c r="AX1386" s="1144"/>
      <c r="AY1386" s="1144"/>
      <c r="AZ1386" s="1144"/>
      <c r="BA1386" s="1144"/>
      <c r="BB1386" s="1144"/>
      <c r="BC1386" s="1144"/>
      <c r="BD1386" s="1144"/>
      <c r="BE1386" s="1144"/>
      <c r="BF1386" s="1144"/>
      <c r="BG1386" s="1144"/>
      <c r="BH1386" s="1144"/>
      <c r="BI1386" s="1144"/>
      <c r="BJ1386" s="1144"/>
      <c r="BK1386" s="1144"/>
      <c r="BL1386" s="1144"/>
      <c r="BM1386" s="1144"/>
      <c r="BN1386" s="1144"/>
      <c r="BO1386" s="1144"/>
      <c r="BP1386" s="1144"/>
      <c r="BQ1386" s="1144"/>
      <c r="BR1386" s="1144"/>
      <c r="BS1386" s="1144"/>
      <c r="BT1386" s="1144"/>
      <c r="BU1386" s="1144"/>
      <c r="BV1386" s="1144"/>
      <c r="BW1386" s="1144"/>
      <c r="BX1386" s="1144"/>
      <c r="BY1386" s="1144"/>
      <c r="BZ1386" s="1144"/>
      <c r="CA1386" s="1144"/>
      <c r="CB1386" s="1144"/>
      <c r="CC1386" s="1144"/>
      <c r="CD1386" s="1144"/>
      <c r="CE1386" s="1144"/>
      <c r="CF1386" s="1144"/>
      <c r="CG1386" s="1144"/>
      <c r="CH1386" s="1144"/>
      <c r="CI1386" s="1144"/>
      <c r="CJ1386" s="1144"/>
      <c r="CK1386" s="1144"/>
      <c r="CL1386" s="1144"/>
      <c r="CM1386" s="1144"/>
      <c r="CN1386" s="1144"/>
    </row>
    <row r="1387" spans="11:92" ht="12" customHeight="1" x14ac:dyDescent="0.35">
      <c r="K1387" s="29">
        <f t="shared" si="827"/>
        <v>0</v>
      </c>
      <c r="L1387" s="1158">
        <f t="shared" si="828"/>
        <v>1643</v>
      </c>
      <c r="M1387" s="34">
        <f t="shared" si="829"/>
        <v>0</v>
      </c>
      <c r="N1387" s="34">
        <f t="shared" si="830"/>
        <v>0</v>
      </c>
      <c r="O1387" s="55">
        <f t="shared" si="832"/>
        <v>0</v>
      </c>
      <c r="P1387" s="55">
        <f t="shared" si="833"/>
        <v>0</v>
      </c>
      <c r="Q1387" s="55">
        <f t="shared" si="834"/>
        <v>0</v>
      </c>
      <c r="R1387" s="31">
        <f>IF(Input!D$298=L1411,Input!D$297,0)</f>
        <v>0</v>
      </c>
      <c r="S1387" s="36">
        <f t="shared" si="835"/>
        <v>0</v>
      </c>
      <c r="T1387" s="1818"/>
      <c r="U1387" s="1814"/>
      <c r="V1387" s="1814"/>
      <c r="W1387" s="1817"/>
      <c r="X1387" s="1814"/>
      <c r="Y1387" s="1801"/>
      <c r="Z1387" s="1801"/>
      <c r="AA1387" s="1801"/>
      <c r="AB1387" s="1801"/>
      <c r="AC1387" s="1801"/>
      <c r="AD1387" s="1801"/>
      <c r="AE1387" s="1801"/>
      <c r="AF1387" s="1814"/>
      <c r="AG1387" s="376"/>
      <c r="AH1387" s="376"/>
      <c r="AI1387" s="376"/>
      <c r="AJ1387" s="376"/>
      <c r="AK1387" s="376"/>
      <c r="AL1387" s="1144"/>
      <c r="AM1387" s="1144"/>
      <c r="AN1387" s="1144"/>
      <c r="AO1387" s="1144"/>
      <c r="AP1387" s="1144"/>
      <c r="AQ1387" s="1144"/>
      <c r="AR1387" s="1144"/>
      <c r="AS1387" s="1144"/>
      <c r="AT1387" s="1144"/>
      <c r="AU1387" s="1144"/>
      <c r="AV1387" s="1144"/>
      <c r="AW1387" s="1144"/>
      <c r="AX1387" s="1144"/>
      <c r="AY1387" s="1144"/>
      <c r="AZ1387" s="1144"/>
      <c r="BA1387" s="1144"/>
      <c r="BB1387" s="1144"/>
      <c r="BC1387" s="1144"/>
      <c r="BD1387" s="1144"/>
      <c r="BE1387" s="1144"/>
      <c r="BF1387" s="1144"/>
      <c r="BG1387" s="1144"/>
      <c r="BH1387" s="1144"/>
      <c r="BI1387" s="1144"/>
      <c r="BJ1387" s="1144"/>
      <c r="BK1387" s="1144"/>
      <c r="BL1387" s="1144"/>
      <c r="BM1387" s="1144"/>
      <c r="BN1387" s="1144"/>
      <c r="BO1387" s="1144"/>
      <c r="BP1387" s="1144"/>
      <c r="BQ1387" s="1144"/>
      <c r="BR1387" s="1144"/>
      <c r="BS1387" s="1144"/>
      <c r="BT1387" s="1144"/>
      <c r="BU1387" s="1144"/>
      <c r="BV1387" s="1144"/>
      <c r="BW1387" s="1144"/>
      <c r="BX1387" s="1144"/>
      <c r="BY1387" s="1144"/>
      <c r="BZ1387" s="1144"/>
      <c r="CA1387" s="1144"/>
      <c r="CB1387" s="1144"/>
      <c r="CC1387" s="1144"/>
      <c r="CD1387" s="1144"/>
      <c r="CE1387" s="1144"/>
      <c r="CF1387" s="1144"/>
      <c r="CG1387" s="1144"/>
      <c r="CH1387" s="1144"/>
      <c r="CI1387" s="1144"/>
      <c r="CJ1387" s="1144"/>
      <c r="CK1387" s="1144"/>
      <c r="CL1387" s="1144"/>
      <c r="CM1387" s="1144"/>
      <c r="CN1387" s="1144"/>
    </row>
    <row r="1388" spans="11:92" ht="12" customHeight="1" x14ac:dyDescent="0.35">
      <c r="K1388" s="29">
        <f t="shared" si="827"/>
        <v>0</v>
      </c>
      <c r="L1388" s="1158">
        <f t="shared" si="828"/>
        <v>1674</v>
      </c>
      <c r="M1388" s="34">
        <f t="shared" si="829"/>
        <v>0</v>
      </c>
      <c r="N1388" s="34">
        <f t="shared" si="830"/>
        <v>0</v>
      </c>
      <c r="O1388" s="55">
        <f t="shared" si="832"/>
        <v>0</v>
      </c>
      <c r="P1388" s="55">
        <f t="shared" si="833"/>
        <v>0</v>
      </c>
      <c r="Q1388" s="55">
        <f t="shared" si="834"/>
        <v>0</v>
      </c>
      <c r="R1388" s="31">
        <f>IF(Input!D$298=L1412,Input!D$297,0)</f>
        <v>0</v>
      </c>
      <c r="S1388" s="36">
        <f t="shared" si="835"/>
        <v>0</v>
      </c>
      <c r="T1388" s="1818"/>
      <c r="U1388" s="1814"/>
      <c r="V1388" s="1814"/>
      <c r="W1388" s="1817"/>
      <c r="X1388" s="1814"/>
      <c r="Y1388" s="1801"/>
      <c r="Z1388" s="1801"/>
      <c r="AA1388" s="1801"/>
      <c r="AB1388" s="1801"/>
      <c r="AC1388" s="1801"/>
      <c r="AD1388" s="1801"/>
      <c r="AE1388" s="1801"/>
      <c r="AF1388" s="1814"/>
      <c r="AG1388" s="376"/>
      <c r="AH1388" s="376"/>
      <c r="AI1388" s="376"/>
      <c r="AJ1388" s="376"/>
      <c r="AK1388" s="376"/>
      <c r="AL1388" s="1144"/>
      <c r="AM1388" s="1144"/>
      <c r="AN1388" s="1144"/>
      <c r="AO1388" s="1144"/>
      <c r="AP1388" s="1144"/>
      <c r="AQ1388" s="1144"/>
      <c r="AR1388" s="1144"/>
      <c r="AS1388" s="1144"/>
      <c r="AT1388" s="1144"/>
      <c r="AU1388" s="1144"/>
      <c r="AV1388" s="1144"/>
      <c r="AW1388" s="1144"/>
      <c r="AX1388" s="1144"/>
      <c r="AY1388" s="1144"/>
      <c r="AZ1388" s="1144"/>
      <c r="BA1388" s="1144"/>
      <c r="BB1388" s="1144"/>
      <c r="BC1388" s="1144"/>
      <c r="BD1388" s="1144"/>
      <c r="BE1388" s="1144"/>
      <c r="BF1388" s="1144"/>
      <c r="BG1388" s="1144"/>
      <c r="BH1388" s="1144"/>
      <c r="BI1388" s="1144"/>
      <c r="BJ1388" s="1144"/>
      <c r="BK1388" s="1144"/>
      <c r="BL1388" s="1144"/>
      <c r="BM1388" s="1144"/>
      <c r="BN1388" s="1144"/>
      <c r="BO1388" s="1144"/>
      <c r="BP1388" s="1144"/>
      <c r="BQ1388" s="1144"/>
      <c r="BR1388" s="1144"/>
      <c r="BS1388" s="1144"/>
      <c r="BT1388" s="1144"/>
      <c r="BU1388" s="1144"/>
      <c r="BV1388" s="1144"/>
      <c r="BW1388" s="1144"/>
      <c r="BX1388" s="1144"/>
      <c r="BY1388" s="1144"/>
      <c r="BZ1388" s="1144"/>
      <c r="CA1388" s="1144"/>
      <c r="CB1388" s="1144"/>
      <c r="CC1388" s="1144"/>
      <c r="CD1388" s="1144"/>
      <c r="CE1388" s="1144"/>
      <c r="CF1388" s="1144"/>
      <c r="CG1388" s="1144"/>
      <c r="CH1388" s="1144"/>
      <c r="CI1388" s="1144"/>
      <c r="CJ1388" s="1144"/>
      <c r="CK1388" s="1144"/>
      <c r="CL1388" s="1144"/>
      <c r="CM1388" s="1144"/>
      <c r="CN1388" s="1144"/>
    </row>
    <row r="1389" spans="11:92" ht="12" customHeight="1" x14ac:dyDescent="0.35">
      <c r="K1389" s="29">
        <f t="shared" si="827"/>
        <v>0</v>
      </c>
      <c r="L1389" s="1158">
        <f t="shared" si="828"/>
        <v>1705</v>
      </c>
      <c r="M1389" s="34">
        <f t="shared" si="829"/>
        <v>0</v>
      </c>
      <c r="N1389" s="34">
        <f t="shared" si="830"/>
        <v>0</v>
      </c>
      <c r="O1389" s="55">
        <f t="shared" si="832"/>
        <v>0</v>
      </c>
      <c r="P1389" s="55">
        <f t="shared" si="833"/>
        <v>0</v>
      </c>
      <c r="Q1389" s="55">
        <f t="shared" si="834"/>
        <v>0</v>
      </c>
      <c r="R1389" s="31">
        <f>IF(Input!D$298=L1413,Input!D$297,0)</f>
        <v>0</v>
      </c>
      <c r="S1389" s="36">
        <f t="shared" si="835"/>
        <v>0</v>
      </c>
      <c r="T1389" s="1818"/>
      <c r="U1389" s="1814"/>
      <c r="V1389" s="1814"/>
      <c r="W1389" s="1817"/>
      <c r="X1389" s="1814"/>
      <c r="Y1389" s="1801"/>
      <c r="Z1389" s="1801"/>
      <c r="AA1389" s="1801"/>
      <c r="AB1389" s="1801"/>
      <c r="AC1389" s="1801"/>
      <c r="AD1389" s="1801"/>
      <c r="AE1389" s="1801"/>
      <c r="AF1389" s="1814"/>
      <c r="AG1389" s="376"/>
      <c r="AH1389" s="376"/>
      <c r="AI1389" s="376"/>
      <c r="AJ1389" s="376"/>
      <c r="AK1389" s="376"/>
      <c r="AL1389" s="1144"/>
      <c r="AM1389" s="1144"/>
      <c r="AN1389" s="1144"/>
      <c r="AO1389" s="1144"/>
      <c r="AP1389" s="1144"/>
      <c r="AQ1389" s="1144"/>
      <c r="AR1389" s="1144"/>
      <c r="AS1389" s="1144"/>
      <c r="AT1389" s="1144"/>
      <c r="AU1389" s="1144"/>
      <c r="AV1389" s="1144"/>
      <c r="AW1389" s="1144"/>
      <c r="AX1389" s="1144"/>
      <c r="AY1389" s="1144"/>
      <c r="AZ1389" s="1144"/>
      <c r="BA1389" s="1144"/>
      <c r="BB1389" s="1144"/>
      <c r="BC1389" s="1144"/>
      <c r="BD1389" s="1144"/>
      <c r="BE1389" s="1144"/>
      <c r="BF1389" s="1144"/>
      <c r="BG1389" s="1144"/>
      <c r="BH1389" s="1144"/>
      <c r="BI1389" s="1144"/>
      <c r="BJ1389" s="1144"/>
      <c r="BK1389" s="1144"/>
      <c r="BL1389" s="1144"/>
      <c r="BM1389" s="1144"/>
      <c r="BN1389" s="1144"/>
      <c r="BO1389" s="1144"/>
      <c r="BP1389" s="1144"/>
      <c r="BQ1389" s="1144"/>
      <c r="BR1389" s="1144"/>
      <c r="BS1389" s="1144"/>
      <c r="BT1389" s="1144"/>
      <c r="BU1389" s="1144"/>
      <c r="BV1389" s="1144"/>
      <c r="BW1389" s="1144"/>
      <c r="BX1389" s="1144"/>
      <c r="BY1389" s="1144"/>
      <c r="BZ1389" s="1144"/>
      <c r="CA1389" s="1144"/>
      <c r="CB1389" s="1144"/>
      <c r="CC1389" s="1144"/>
      <c r="CD1389" s="1144"/>
      <c r="CE1389" s="1144"/>
      <c r="CF1389" s="1144"/>
      <c r="CG1389" s="1144"/>
      <c r="CH1389" s="1144"/>
      <c r="CI1389" s="1144"/>
      <c r="CJ1389" s="1144"/>
      <c r="CK1389" s="1144"/>
      <c r="CL1389" s="1144"/>
      <c r="CM1389" s="1144"/>
      <c r="CN1389" s="1144"/>
    </row>
    <row r="1390" spans="11:92" ht="12" customHeight="1" x14ac:dyDescent="0.35">
      <c r="K1390" s="29">
        <f t="shared" si="827"/>
        <v>0</v>
      </c>
      <c r="L1390" s="1158">
        <f t="shared" si="828"/>
        <v>1735</v>
      </c>
      <c r="M1390" s="34">
        <f t="shared" si="829"/>
        <v>0</v>
      </c>
      <c r="N1390" s="34">
        <f t="shared" si="830"/>
        <v>0</v>
      </c>
      <c r="O1390" s="55">
        <f t="shared" si="832"/>
        <v>0</v>
      </c>
      <c r="P1390" s="55">
        <f t="shared" si="833"/>
        <v>0</v>
      </c>
      <c r="Q1390" s="55">
        <f t="shared" si="834"/>
        <v>0</v>
      </c>
      <c r="R1390" s="31">
        <f>IF(Input!D$298=L1414,Input!D$297,0)</f>
        <v>0</v>
      </c>
      <c r="S1390" s="36">
        <f t="shared" si="835"/>
        <v>0</v>
      </c>
      <c r="T1390" s="1818"/>
      <c r="U1390" s="1814"/>
      <c r="V1390" s="1814"/>
      <c r="W1390" s="1817"/>
      <c r="X1390" s="1814"/>
      <c r="Y1390" s="1801"/>
      <c r="Z1390" s="1801"/>
      <c r="AA1390" s="1801"/>
      <c r="AB1390" s="1801"/>
      <c r="AC1390" s="1801"/>
      <c r="AD1390" s="1801"/>
      <c r="AE1390" s="1801"/>
      <c r="AF1390" s="1814"/>
      <c r="AG1390" s="376"/>
      <c r="AH1390" s="376"/>
      <c r="AI1390" s="376"/>
      <c r="AJ1390" s="376"/>
      <c r="AK1390" s="376"/>
      <c r="AL1390" s="1144"/>
      <c r="AM1390" s="1144"/>
      <c r="AN1390" s="1144"/>
      <c r="AO1390" s="1144"/>
      <c r="AP1390" s="1144"/>
      <c r="AQ1390" s="1144"/>
      <c r="AR1390" s="1144"/>
      <c r="AS1390" s="1144"/>
      <c r="AT1390" s="1144"/>
      <c r="AU1390" s="1144"/>
      <c r="AV1390" s="1144"/>
      <c r="AW1390" s="1144"/>
      <c r="AX1390" s="1144"/>
      <c r="AY1390" s="1144"/>
      <c r="AZ1390" s="1144"/>
      <c r="BA1390" s="1144"/>
      <c r="BB1390" s="1144"/>
      <c r="BC1390" s="1144"/>
      <c r="BD1390" s="1144"/>
      <c r="BE1390" s="1144"/>
      <c r="BF1390" s="1144"/>
      <c r="BG1390" s="1144"/>
      <c r="BH1390" s="1144"/>
      <c r="BI1390" s="1144"/>
      <c r="BJ1390" s="1144"/>
      <c r="BK1390" s="1144"/>
      <c r="BL1390" s="1144"/>
      <c r="BM1390" s="1144"/>
      <c r="BN1390" s="1144"/>
      <c r="BO1390" s="1144"/>
      <c r="BP1390" s="1144"/>
      <c r="BQ1390" s="1144"/>
      <c r="BR1390" s="1144"/>
      <c r="BS1390" s="1144"/>
      <c r="BT1390" s="1144"/>
      <c r="BU1390" s="1144"/>
      <c r="BV1390" s="1144"/>
      <c r="BW1390" s="1144"/>
      <c r="BX1390" s="1144"/>
      <c r="BY1390" s="1144"/>
      <c r="BZ1390" s="1144"/>
      <c r="CA1390" s="1144"/>
      <c r="CB1390" s="1144"/>
      <c r="CC1390" s="1144"/>
      <c r="CD1390" s="1144"/>
      <c r="CE1390" s="1144"/>
      <c r="CF1390" s="1144"/>
      <c r="CG1390" s="1144"/>
      <c r="CH1390" s="1144"/>
      <c r="CI1390" s="1144"/>
      <c r="CJ1390" s="1144"/>
      <c r="CK1390" s="1144"/>
      <c r="CL1390" s="1144"/>
      <c r="CM1390" s="1144"/>
      <c r="CN1390" s="1144"/>
    </row>
    <row r="1391" spans="11:92" ht="12" customHeight="1" x14ac:dyDescent="0.35">
      <c r="K1391" s="29">
        <f t="shared" si="827"/>
        <v>0</v>
      </c>
      <c r="L1391" s="1158">
        <f t="shared" si="828"/>
        <v>1766</v>
      </c>
      <c r="M1391" s="34">
        <f t="shared" si="829"/>
        <v>0</v>
      </c>
      <c r="N1391" s="34">
        <f t="shared" si="830"/>
        <v>0</v>
      </c>
      <c r="O1391" s="55">
        <f t="shared" si="832"/>
        <v>0</v>
      </c>
      <c r="P1391" s="55">
        <f t="shared" si="833"/>
        <v>0</v>
      </c>
      <c r="Q1391" s="55">
        <f t="shared" si="834"/>
        <v>0</v>
      </c>
      <c r="R1391" s="31">
        <f>IF(Input!D$298=L1415,Input!D$297,0)</f>
        <v>0</v>
      </c>
      <c r="S1391" s="36">
        <f t="shared" si="835"/>
        <v>0</v>
      </c>
      <c r="T1391" s="1818"/>
      <c r="U1391" s="1814"/>
      <c r="V1391" s="1814"/>
      <c r="W1391" s="1817"/>
      <c r="X1391" s="1814"/>
      <c r="Y1391" s="1801"/>
      <c r="Z1391" s="1801"/>
      <c r="AA1391" s="1801"/>
      <c r="AB1391" s="1801"/>
      <c r="AC1391" s="1801"/>
      <c r="AD1391" s="1801"/>
      <c r="AE1391" s="1801"/>
      <c r="AF1391" s="1814"/>
      <c r="AG1391" s="376"/>
      <c r="AH1391" s="376"/>
      <c r="AI1391" s="376"/>
      <c r="AJ1391" s="376"/>
      <c r="AK1391" s="376"/>
      <c r="AL1391" s="1144"/>
      <c r="AM1391" s="1144"/>
      <c r="AN1391" s="1144"/>
      <c r="AO1391" s="1144"/>
      <c r="AP1391" s="1144"/>
      <c r="AQ1391" s="1144"/>
      <c r="AR1391" s="1144"/>
      <c r="AS1391" s="1144"/>
      <c r="AT1391" s="1144"/>
      <c r="AU1391" s="1144"/>
      <c r="AV1391" s="1144"/>
      <c r="AW1391" s="1144"/>
      <c r="AX1391" s="1144"/>
      <c r="AY1391" s="1144"/>
      <c r="AZ1391" s="1144"/>
      <c r="BA1391" s="1144"/>
      <c r="BB1391" s="1144"/>
      <c r="BC1391" s="1144"/>
      <c r="BD1391" s="1144"/>
      <c r="BE1391" s="1144"/>
      <c r="BF1391" s="1144"/>
      <c r="BG1391" s="1144"/>
      <c r="BH1391" s="1144"/>
      <c r="BI1391" s="1144"/>
      <c r="BJ1391" s="1144"/>
      <c r="BK1391" s="1144"/>
      <c r="BL1391" s="1144"/>
      <c r="BM1391" s="1144"/>
      <c r="BN1391" s="1144"/>
      <c r="BO1391" s="1144"/>
      <c r="BP1391" s="1144"/>
      <c r="BQ1391" s="1144"/>
      <c r="BR1391" s="1144"/>
      <c r="BS1391" s="1144"/>
      <c r="BT1391" s="1144"/>
      <c r="BU1391" s="1144"/>
      <c r="BV1391" s="1144"/>
      <c r="BW1391" s="1144"/>
      <c r="BX1391" s="1144"/>
      <c r="BY1391" s="1144"/>
      <c r="BZ1391" s="1144"/>
      <c r="CA1391" s="1144"/>
      <c r="CB1391" s="1144"/>
      <c r="CC1391" s="1144"/>
      <c r="CD1391" s="1144"/>
      <c r="CE1391" s="1144"/>
      <c r="CF1391" s="1144"/>
      <c r="CG1391" s="1144"/>
      <c r="CH1391" s="1144"/>
      <c r="CI1391" s="1144"/>
      <c r="CJ1391" s="1144"/>
      <c r="CK1391" s="1144"/>
      <c r="CL1391" s="1144"/>
      <c r="CM1391" s="1144"/>
      <c r="CN1391" s="1144"/>
    </row>
    <row r="1392" spans="11:92" ht="12" customHeight="1" x14ac:dyDescent="0.35">
      <c r="K1392" s="29">
        <f t="shared" si="827"/>
        <v>0</v>
      </c>
      <c r="L1392" s="1158">
        <f t="shared" si="828"/>
        <v>1796</v>
      </c>
      <c r="M1392" s="34">
        <f t="shared" si="829"/>
        <v>0</v>
      </c>
      <c r="N1392" s="34">
        <f t="shared" si="830"/>
        <v>0</v>
      </c>
      <c r="O1392" s="55">
        <f t="shared" si="832"/>
        <v>0</v>
      </c>
      <c r="P1392" s="55">
        <f t="shared" si="833"/>
        <v>0</v>
      </c>
      <c r="Q1392" s="55">
        <f t="shared" si="834"/>
        <v>0</v>
      </c>
      <c r="R1392" s="31">
        <f>IF(Input!D$298=L1416,Input!D$297,0)</f>
        <v>0</v>
      </c>
      <c r="S1392" s="36">
        <f t="shared" si="835"/>
        <v>0</v>
      </c>
      <c r="T1392" s="1818"/>
      <c r="U1392" s="1814"/>
      <c r="V1392" s="1814"/>
      <c r="W1392" s="1817"/>
      <c r="X1392" s="1814"/>
      <c r="Y1392" s="1801"/>
      <c r="Z1392" s="1801"/>
      <c r="AA1392" s="1801"/>
      <c r="AB1392" s="1801"/>
      <c r="AC1392" s="1801"/>
      <c r="AD1392" s="1801"/>
      <c r="AE1392" s="1801"/>
      <c r="AF1392" s="1814"/>
      <c r="AG1392" s="376"/>
      <c r="AH1392" s="376"/>
      <c r="AI1392" s="376"/>
      <c r="AJ1392" s="376"/>
      <c r="AK1392" s="376"/>
      <c r="AL1392" s="1144"/>
      <c r="AM1392" s="1144"/>
      <c r="AN1392" s="1144"/>
      <c r="AO1392" s="1144"/>
      <c r="AP1392" s="1144"/>
      <c r="AQ1392" s="1144"/>
      <c r="AR1392" s="1144"/>
      <c r="AS1392" s="1144"/>
      <c r="AT1392" s="1144"/>
      <c r="AU1392" s="1144"/>
      <c r="AV1392" s="1144"/>
      <c r="AW1392" s="1144"/>
      <c r="AX1392" s="1144"/>
      <c r="AY1392" s="1144"/>
      <c r="AZ1392" s="1144"/>
      <c r="BA1392" s="1144"/>
      <c r="BB1392" s="1144"/>
      <c r="BC1392" s="1144"/>
      <c r="BD1392" s="1144"/>
      <c r="BE1392" s="1144"/>
      <c r="BF1392" s="1144"/>
      <c r="BG1392" s="1144"/>
      <c r="BH1392" s="1144"/>
      <c r="BI1392" s="1144"/>
      <c r="BJ1392" s="1144"/>
      <c r="BK1392" s="1144"/>
      <c r="BL1392" s="1144"/>
      <c r="BM1392" s="1144"/>
      <c r="BN1392" s="1144"/>
      <c r="BO1392" s="1144"/>
      <c r="BP1392" s="1144"/>
      <c r="BQ1392" s="1144"/>
      <c r="BR1392" s="1144"/>
      <c r="BS1392" s="1144"/>
      <c r="BT1392" s="1144"/>
      <c r="BU1392" s="1144"/>
      <c r="BV1392" s="1144"/>
      <c r="BW1392" s="1144"/>
      <c r="BX1392" s="1144"/>
      <c r="BY1392" s="1144"/>
      <c r="BZ1392" s="1144"/>
      <c r="CA1392" s="1144"/>
      <c r="CB1392" s="1144"/>
      <c r="CC1392" s="1144"/>
      <c r="CD1392" s="1144"/>
      <c r="CE1392" s="1144"/>
      <c r="CF1392" s="1144"/>
      <c r="CG1392" s="1144"/>
      <c r="CH1392" s="1144"/>
      <c r="CI1392" s="1144"/>
      <c r="CJ1392" s="1144"/>
      <c r="CK1392" s="1144"/>
      <c r="CL1392" s="1144"/>
      <c r="CM1392" s="1144"/>
      <c r="CN1392" s="1144"/>
    </row>
    <row r="1393" spans="1:121" ht="12" customHeight="1" x14ac:dyDescent="0.35">
      <c r="G1393" s="1300"/>
      <c r="H1393" s="1301"/>
      <c r="I1393" s="1300"/>
      <c r="J1393" s="1300"/>
      <c r="K1393" s="29">
        <f t="shared" si="827"/>
        <v>0</v>
      </c>
      <c r="L1393" s="1158">
        <f t="shared" si="828"/>
        <v>1827</v>
      </c>
      <c r="M1393" s="34">
        <f t="shared" si="829"/>
        <v>0</v>
      </c>
      <c r="N1393" s="34">
        <f t="shared" si="830"/>
        <v>0</v>
      </c>
      <c r="O1393" s="55">
        <f t="shared" si="832"/>
        <v>0</v>
      </c>
      <c r="P1393" s="55">
        <f t="shared" si="833"/>
        <v>0</v>
      </c>
      <c r="Q1393" s="55">
        <f t="shared" si="834"/>
        <v>0</v>
      </c>
      <c r="R1393" s="31">
        <f>IF(Input!D$298=L1417,Input!D$297,0)</f>
        <v>0</v>
      </c>
      <c r="S1393" s="36">
        <f t="shared" si="835"/>
        <v>0</v>
      </c>
      <c r="T1393" s="1818"/>
      <c r="U1393" s="1814"/>
      <c r="V1393" s="1814"/>
      <c r="W1393" s="1817"/>
      <c r="X1393" s="1814"/>
      <c r="Y1393" s="1801"/>
      <c r="Z1393" s="1801"/>
      <c r="AA1393" s="1801"/>
      <c r="AB1393" s="1801"/>
      <c r="AC1393" s="1801"/>
      <c r="AD1393" s="1801"/>
      <c r="AE1393" s="1801"/>
      <c r="AF1393" s="1814"/>
      <c r="AG1393" s="376"/>
      <c r="AH1393" s="376"/>
      <c r="AI1393" s="376"/>
      <c r="AJ1393" s="376"/>
      <c r="AK1393" s="376"/>
      <c r="AL1393" s="1144"/>
      <c r="AM1393" s="1144"/>
      <c r="AN1393" s="1144"/>
      <c r="AO1393" s="1144"/>
      <c r="AP1393" s="1144"/>
      <c r="AQ1393" s="1144"/>
      <c r="AR1393" s="1144"/>
      <c r="AS1393" s="1144"/>
      <c r="AT1393" s="1144"/>
      <c r="AU1393" s="1144"/>
      <c r="AV1393" s="1144"/>
      <c r="AW1393" s="1144"/>
      <c r="AX1393" s="1144"/>
      <c r="AY1393" s="1144"/>
      <c r="AZ1393" s="1144"/>
      <c r="BA1393" s="1144"/>
      <c r="BB1393" s="1144"/>
      <c r="BC1393" s="1144"/>
      <c r="BD1393" s="1144"/>
      <c r="BE1393" s="1144"/>
      <c r="BF1393" s="1144"/>
      <c r="BG1393" s="1144"/>
      <c r="BH1393" s="1144"/>
      <c r="BI1393" s="1144"/>
      <c r="BJ1393" s="1144"/>
      <c r="BK1393" s="1144"/>
      <c r="BL1393" s="1144"/>
      <c r="BM1393" s="1144"/>
      <c r="BN1393" s="1144"/>
      <c r="BO1393" s="1144"/>
      <c r="BP1393" s="1144"/>
      <c r="BQ1393" s="1144"/>
      <c r="BR1393" s="1144"/>
      <c r="BS1393" s="1144"/>
      <c r="BT1393" s="1144"/>
      <c r="BU1393" s="1144"/>
      <c r="BV1393" s="1144"/>
      <c r="BW1393" s="1144"/>
      <c r="BX1393" s="1144"/>
      <c r="BY1393" s="1144"/>
      <c r="BZ1393" s="1144"/>
      <c r="CA1393" s="1144"/>
      <c r="CB1393" s="1144"/>
      <c r="CC1393" s="1144"/>
      <c r="CD1393" s="1144"/>
      <c r="CE1393" s="1144"/>
      <c r="CF1393" s="1144"/>
      <c r="CG1393" s="1144"/>
      <c r="CH1393" s="1144"/>
      <c r="CI1393" s="1144"/>
      <c r="CJ1393" s="1144"/>
      <c r="CK1393" s="1144"/>
      <c r="CL1393" s="1144"/>
      <c r="CM1393" s="1144"/>
      <c r="CN1393" s="1144"/>
      <c r="CO1393" s="1183"/>
      <c r="CP1393" s="1183"/>
      <c r="CQ1393" s="1301"/>
      <c r="CR1393" s="1301"/>
      <c r="CS1393" s="1301"/>
      <c r="CT1393" s="1301"/>
      <c r="CU1393" s="1301"/>
      <c r="CV1393" s="1301"/>
      <c r="CW1393" s="1301"/>
      <c r="CX1393" s="1301"/>
      <c r="CY1393" s="1301"/>
      <c r="CZ1393" s="1301"/>
      <c r="DA1393" s="1301"/>
      <c r="DB1393" s="1301"/>
      <c r="DC1393" s="1301"/>
      <c r="DD1393" s="1301"/>
      <c r="DE1393" s="1301"/>
      <c r="DF1393" s="1301"/>
      <c r="DG1393" s="1301"/>
      <c r="DH1393" s="1301"/>
      <c r="DI1393" s="1301"/>
      <c r="DJ1393" s="1301"/>
      <c r="DK1393" s="1301"/>
      <c r="DL1393" s="1301"/>
      <c r="DM1393" s="1301"/>
      <c r="DN1393" s="1301"/>
      <c r="DO1393" s="1301"/>
      <c r="DP1393" s="1301"/>
      <c r="DQ1393" s="1301"/>
    </row>
    <row r="1394" spans="1:121" ht="12" customHeight="1" x14ac:dyDescent="0.35">
      <c r="G1394" s="1300"/>
      <c r="H1394" s="1301"/>
      <c r="I1394" s="1300"/>
      <c r="J1394" s="1300"/>
      <c r="K1394" s="38"/>
      <c r="L1394" s="38"/>
      <c r="M1394" s="38"/>
      <c r="N1394" s="38"/>
      <c r="O1394" s="38"/>
      <c r="P1394" s="38"/>
      <c r="Q1394" s="35">
        <f t="shared" ref="Q1394:Q1401" si="836">M1394-P1394</f>
        <v>0</v>
      </c>
      <c r="R1394" s="31">
        <f>IF(Input!D$298=L1418,Input!D$297,0)</f>
        <v>0</v>
      </c>
      <c r="S1394" s="36">
        <f t="shared" si="835"/>
        <v>0</v>
      </c>
      <c r="T1394" s="1818"/>
      <c r="U1394" s="1814"/>
      <c r="V1394" s="1814"/>
      <c r="W1394" s="1817"/>
      <c r="X1394" s="1814"/>
      <c r="Y1394" s="1801"/>
      <c r="Z1394" s="1801"/>
      <c r="AA1394" s="1801"/>
      <c r="AB1394" s="1801"/>
      <c r="AC1394" s="1801"/>
      <c r="AD1394" s="1801"/>
      <c r="AE1394" s="1801"/>
      <c r="AF1394" s="1814"/>
      <c r="AG1394" s="376"/>
      <c r="AH1394" s="376"/>
      <c r="AI1394" s="376"/>
      <c r="AJ1394" s="376"/>
      <c r="AK1394" s="376"/>
      <c r="AL1394" s="1144"/>
      <c r="AM1394" s="1144"/>
      <c r="AN1394" s="1144"/>
      <c r="AO1394" s="1144"/>
      <c r="AP1394" s="1144"/>
      <c r="AQ1394" s="1144"/>
      <c r="AR1394" s="1144"/>
      <c r="AS1394" s="1144"/>
      <c r="AT1394" s="1144"/>
      <c r="AU1394" s="1144"/>
      <c r="AV1394" s="1144"/>
      <c r="AW1394" s="1144"/>
      <c r="AX1394" s="1144"/>
      <c r="AY1394" s="1144"/>
      <c r="AZ1394" s="1144"/>
      <c r="BA1394" s="1144"/>
      <c r="BB1394" s="1144"/>
      <c r="BC1394" s="1144"/>
      <c r="BD1394" s="1144"/>
      <c r="BE1394" s="1144"/>
      <c r="BF1394" s="1144"/>
      <c r="BG1394" s="1144"/>
      <c r="BH1394" s="1144"/>
      <c r="BI1394" s="1144"/>
      <c r="BJ1394" s="1144"/>
      <c r="BK1394" s="1144"/>
      <c r="BL1394" s="1144"/>
      <c r="BM1394" s="1144"/>
      <c r="BN1394" s="1144"/>
      <c r="BO1394" s="1144"/>
      <c r="BP1394" s="1144"/>
      <c r="BQ1394" s="1144"/>
      <c r="BR1394" s="1144"/>
      <c r="BS1394" s="1144"/>
      <c r="BT1394" s="1144"/>
      <c r="BU1394" s="1144"/>
      <c r="BV1394" s="1144"/>
      <c r="BW1394" s="1144"/>
      <c r="BX1394" s="1144"/>
      <c r="BY1394" s="1144"/>
      <c r="BZ1394" s="1144"/>
      <c r="CA1394" s="1144"/>
      <c r="CB1394" s="1144"/>
      <c r="CC1394" s="1144"/>
      <c r="CD1394" s="1144"/>
      <c r="CE1394" s="1144"/>
      <c r="CF1394" s="1144"/>
      <c r="CG1394" s="1144"/>
      <c r="CH1394" s="1144"/>
      <c r="CI1394" s="1144"/>
      <c r="CJ1394" s="1144"/>
      <c r="CK1394" s="1144"/>
      <c r="CL1394" s="1144"/>
      <c r="CM1394" s="1144"/>
      <c r="CN1394" s="1144"/>
      <c r="CO1394" s="1183"/>
      <c r="CP1394" s="1183"/>
      <c r="CQ1394" s="1301"/>
      <c r="CR1394" s="1301"/>
      <c r="CS1394" s="1301"/>
      <c r="CT1394" s="1301"/>
      <c r="CU1394" s="1301"/>
      <c r="CV1394" s="1301"/>
      <c r="CW1394" s="1301"/>
      <c r="CX1394" s="1301"/>
      <c r="CY1394" s="1301"/>
      <c r="CZ1394" s="1301"/>
      <c r="DA1394" s="1301"/>
      <c r="DB1394" s="1301"/>
      <c r="DC1394" s="1301"/>
      <c r="DD1394" s="1301"/>
      <c r="DE1394" s="1301"/>
      <c r="DF1394" s="1301"/>
      <c r="DG1394" s="1301"/>
      <c r="DH1394" s="1301"/>
      <c r="DI1394" s="1301"/>
      <c r="DJ1394" s="1301"/>
      <c r="DK1394" s="1301"/>
      <c r="DL1394" s="1301"/>
      <c r="DM1394" s="1301"/>
      <c r="DN1394" s="1301"/>
      <c r="DO1394" s="1301"/>
      <c r="DP1394" s="1301"/>
      <c r="DQ1394" s="1301"/>
    </row>
    <row r="1395" spans="1:121" ht="12" customHeight="1" x14ac:dyDescent="0.35">
      <c r="G1395" s="1300"/>
      <c r="H1395" s="1301"/>
      <c r="I1395" s="1300"/>
      <c r="J1395" s="1300"/>
      <c r="K1395" s="38"/>
      <c r="L1395" s="38"/>
      <c r="M1395" s="38"/>
      <c r="N1395" s="38"/>
      <c r="O1395" s="38"/>
      <c r="P1395" s="38"/>
      <c r="Q1395" s="35">
        <f t="shared" si="836"/>
        <v>0</v>
      </c>
      <c r="R1395" s="31">
        <f>IF(Input!D$298=L1419,Input!D$297,0)</f>
        <v>0</v>
      </c>
      <c r="S1395" s="36">
        <f t="shared" si="835"/>
        <v>0</v>
      </c>
      <c r="T1395" s="1818"/>
      <c r="U1395" s="1814"/>
      <c r="V1395" s="1814"/>
      <c r="W1395" s="1817"/>
      <c r="X1395" s="1814"/>
      <c r="Y1395" s="1801"/>
      <c r="Z1395" s="1801"/>
      <c r="AA1395" s="1801"/>
      <c r="AB1395" s="1801"/>
      <c r="AC1395" s="1801"/>
      <c r="AD1395" s="1801"/>
      <c r="AE1395" s="1801"/>
      <c r="AF1395" s="1814"/>
      <c r="AG1395" s="376"/>
      <c r="AH1395" s="376"/>
      <c r="AI1395" s="376"/>
      <c r="AJ1395" s="376"/>
      <c r="AK1395" s="376"/>
      <c r="AL1395" s="1144"/>
      <c r="AM1395" s="1144"/>
      <c r="AN1395" s="1144"/>
      <c r="AO1395" s="1144"/>
      <c r="AP1395" s="1144"/>
      <c r="AQ1395" s="1144"/>
      <c r="AR1395" s="1144"/>
      <c r="AS1395" s="1144"/>
      <c r="AT1395" s="1144"/>
      <c r="AU1395" s="1144"/>
      <c r="AV1395" s="1144"/>
      <c r="AW1395" s="1144"/>
      <c r="AX1395" s="1144"/>
      <c r="AY1395" s="1144"/>
      <c r="AZ1395" s="1144"/>
      <c r="BA1395" s="1144"/>
      <c r="BB1395" s="1144"/>
      <c r="BC1395" s="1144"/>
      <c r="BD1395" s="1144"/>
      <c r="BE1395" s="1144"/>
      <c r="BF1395" s="1144"/>
      <c r="BG1395" s="1144"/>
      <c r="BH1395" s="1144"/>
      <c r="BI1395" s="1144"/>
      <c r="BJ1395" s="1144"/>
      <c r="BK1395" s="1144"/>
      <c r="BL1395" s="1144"/>
      <c r="BM1395" s="1144"/>
      <c r="BN1395" s="1144"/>
      <c r="BO1395" s="1144"/>
      <c r="BP1395" s="1144"/>
      <c r="BQ1395" s="1144"/>
      <c r="BR1395" s="1144"/>
      <c r="BS1395" s="1144"/>
      <c r="BT1395" s="1144"/>
      <c r="BU1395" s="1144"/>
      <c r="BV1395" s="1144"/>
      <c r="BW1395" s="1144"/>
      <c r="BX1395" s="1144"/>
      <c r="BY1395" s="1144"/>
      <c r="BZ1395" s="1144"/>
      <c r="CA1395" s="1144"/>
      <c r="CB1395" s="1144"/>
      <c r="CC1395" s="1144"/>
      <c r="CD1395" s="1144"/>
      <c r="CE1395" s="1144"/>
      <c r="CF1395" s="1144"/>
      <c r="CG1395" s="1144"/>
      <c r="CH1395" s="1144"/>
      <c r="CI1395" s="1144"/>
      <c r="CJ1395" s="1144"/>
      <c r="CK1395" s="1144"/>
      <c r="CL1395" s="1144"/>
      <c r="CM1395" s="1144"/>
      <c r="CN1395" s="1144"/>
      <c r="CO1395" s="1183"/>
      <c r="CP1395" s="1183"/>
      <c r="CQ1395" s="1301"/>
      <c r="CR1395" s="1301"/>
      <c r="CS1395" s="1301"/>
      <c r="CT1395" s="1301"/>
      <c r="CU1395" s="1301"/>
      <c r="CV1395" s="1301"/>
      <c r="CW1395" s="1301"/>
      <c r="CX1395" s="1301"/>
      <c r="CY1395" s="1301"/>
      <c r="CZ1395" s="1301"/>
      <c r="DA1395" s="1301"/>
      <c r="DB1395" s="1301"/>
      <c r="DC1395" s="1301"/>
      <c r="DD1395" s="1301"/>
      <c r="DE1395" s="1301"/>
      <c r="DF1395" s="1301"/>
      <c r="DG1395" s="1301"/>
      <c r="DH1395" s="1301"/>
      <c r="DI1395" s="1301"/>
      <c r="DJ1395" s="1301"/>
      <c r="DK1395" s="1301"/>
      <c r="DL1395" s="1301"/>
      <c r="DM1395" s="1301"/>
      <c r="DN1395" s="1301"/>
      <c r="DO1395" s="1301"/>
      <c r="DP1395" s="1301"/>
      <c r="DQ1395" s="1301"/>
    </row>
    <row r="1396" spans="1:121" ht="12" customHeight="1" x14ac:dyDescent="0.35">
      <c r="G1396" s="1300"/>
      <c r="H1396" s="1301"/>
      <c r="I1396" s="1300"/>
      <c r="J1396" s="1300"/>
      <c r="K1396" s="38"/>
      <c r="L1396" s="38"/>
      <c r="M1396" s="38"/>
      <c r="N1396" s="38"/>
      <c r="O1396" s="38"/>
      <c r="P1396" s="38"/>
      <c r="Q1396" s="35">
        <f t="shared" si="836"/>
        <v>0</v>
      </c>
      <c r="R1396" s="31">
        <f>IF(Input!D$298=L1420,Input!D$297,0)</f>
        <v>0</v>
      </c>
      <c r="S1396" s="36">
        <f t="shared" si="835"/>
        <v>0</v>
      </c>
      <c r="T1396" s="1818"/>
      <c r="U1396" s="1814"/>
      <c r="V1396" s="1814"/>
      <c r="W1396" s="1817"/>
      <c r="X1396" s="1814"/>
      <c r="Y1396" s="1801"/>
      <c r="Z1396" s="1801"/>
      <c r="AA1396" s="1801"/>
      <c r="AB1396" s="1801"/>
      <c r="AC1396" s="1801"/>
      <c r="AD1396" s="1801"/>
      <c r="AE1396" s="1801"/>
      <c r="AF1396" s="1814"/>
      <c r="AG1396" s="376"/>
      <c r="AH1396" s="376"/>
      <c r="AI1396" s="376"/>
      <c r="AJ1396" s="376"/>
      <c r="AK1396" s="376"/>
      <c r="AL1396" s="1144"/>
      <c r="AM1396" s="1144"/>
      <c r="AN1396" s="1144"/>
      <c r="AO1396" s="1144"/>
      <c r="AP1396" s="1144"/>
      <c r="AQ1396" s="1144"/>
      <c r="AR1396" s="1144"/>
      <c r="AS1396" s="1144"/>
      <c r="AT1396" s="1144"/>
      <c r="AU1396" s="1144"/>
      <c r="AV1396" s="1144"/>
      <c r="AW1396" s="1144"/>
      <c r="AX1396" s="1144"/>
      <c r="AY1396" s="1144"/>
      <c r="AZ1396" s="1144"/>
      <c r="BA1396" s="1144"/>
      <c r="BB1396" s="1144"/>
      <c r="BC1396" s="1144"/>
      <c r="BD1396" s="1144"/>
      <c r="BE1396" s="1144"/>
      <c r="BF1396" s="1144"/>
      <c r="BG1396" s="1144"/>
      <c r="BH1396" s="1144"/>
      <c r="BI1396" s="1144"/>
      <c r="BJ1396" s="1144"/>
      <c r="BK1396" s="1144"/>
      <c r="BL1396" s="1144"/>
      <c r="BM1396" s="1144"/>
      <c r="BN1396" s="1144"/>
      <c r="BO1396" s="1144"/>
      <c r="BP1396" s="1144"/>
      <c r="BQ1396" s="1144"/>
      <c r="BR1396" s="1144"/>
      <c r="BS1396" s="1144"/>
      <c r="BT1396" s="1144"/>
      <c r="BU1396" s="1144"/>
      <c r="BV1396" s="1144"/>
      <c r="BW1396" s="1144"/>
      <c r="BX1396" s="1144"/>
      <c r="BY1396" s="1144"/>
      <c r="BZ1396" s="1144"/>
      <c r="CA1396" s="1144"/>
      <c r="CB1396" s="1144"/>
      <c r="CC1396" s="1144"/>
      <c r="CD1396" s="1144"/>
      <c r="CE1396" s="1144"/>
      <c r="CF1396" s="1144"/>
      <c r="CG1396" s="1144"/>
      <c r="CH1396" s="1144"/>
      <c r="CI1396" s="1144"/>
      <c r="CJ1396" s="1144"/>
      <c r="CK1396" s="1144"/>
      <c r="CL1396" s="1144"/>
      <c r="CM1396" s="1144"/>
      <c r="CN1396" s="1144"/>
      <c r="CO1396" s="1183"/>
      <c r="CP1396" s="1183"/>
      <c r="CQ1396" s="1301"/>
      <c r="CR1396" s="1301"/>
      <c r="CS1396" s="1301"/>
      <c r="CT1396" s="1301"/>
      <c r="CU1396" s="1301"/>
      <c r="CV1396" s="1301"/>
      <c r="CW1396" s="1301"/>
      <c r="CX1396" s="1301"/>
      <c r="CY1396" s="1301"/>
      <c r="CZ1396" s="1301"/>
      <c r="DA1396" s="1301"/>
      <c r="DB1396" s="1301"/>
      <c r="DC1396" s="1301"/>
      <c r="DD1396" s="1301"/>
      <c r="DE1396" s="1301"/>
      <c r="DF1396" s="1301"/>
      <c r="DG1396" s="1301"/>
      <c r="DH1396" s="1301"/>
      <c r="DI1396" s="1301"/>
      <c r="DJ1396" s="1301"/>
      <c r="DK1396" s="1301"/>
      <c r="DL1396" s="1301"/>
      <c r="DM1396" s="1301"/>
      <c r="DN1396" s="1301"/>
      <c r="DO1396" s="1301"/>
      <c r="DP1396" s="1301"/>
      <c r="DQ1396" s="1301"/>
    </row>
    <row r="1397" spans="1:121" ht="12" customHeight="1" x14ac:dyDescent="0.35">
      <c r="G1397" s="1300"/>
      <c r="H1397" s="1301"/>
      <c r="I1397" s="1300"/>
      <c r="J1397" s="1300"/>
      <c r="K1397" s="38"/>
      <c r="L1397" s="38"/>
      <c r="M1397" s="38"/>
      <c r="N1397" s="38"/>
      <c r="O1397" s="38"/>
      <c r="P1397" s="38"/>
      <c r="Q1397" s="35">
        <f t="shared" si="836"/>
        <v>0</v>
      </c>
      <c r="R1397" s="31">
        <f>IF(Input!D$298=L1421,Input!D$297,0)</f>
        <v>0</v>
      </c>
      <c r="S1397" s="36">
        <f t="shared" si="835"/>
        <v>0</v>
      </c>
      <c r="T1397" s="1818"/>
      <c r="U1397" s="1814"/>
      <c r="V1397" s="1814"/>
      <c r="W1397" s="1817"/>
      <c r="X1397" s="1814"/>
      <c r="Y1397" s="1801"/>
      <c r="Z1397" s="1801"/>
      <c r="AA1397" s="1801"/>
      <c r="AB1397" s="1801"/>
      <c r="AC1397" s="1801"/>
      <c r="AD1397" s="1801"/>
      <c r="AE1397" s="1801"/>
      <c r="AF1397" s="1814"/>
      <c r="AG1397" s="376"/>
      <c r="AH1397" s="376"/>
      <c r="AI1397" s="376"/>
      <c r="AJ1397" s="376"/>
      <c r="AK1397" s="376"/>
      <c r="AL1397" s="1144"/>
      <c r="AM1397" s="1144"/>
      <c r="AN1397" s="1144"/>
      <c r="AO1397" s="1144"/>
      <c r="AP1397" s="1144"/>
      <c r="AQ1397" s="1144"/>
      <c r="AR1397" s="1144"/>
      <c r="AS1397" s="1144"/>
      <c r="AT1397" s="1144"/>
      <c r="AU1397" s="1144"/>
      <c r="AV1397" s="1144"/>
      <c r="AW1397" s="1144"/>
      <c r="AX1397" s="1144"/>
      <c r="AY1397" s="1144"/>
      <c r="AZ1397" s="1144"/>
      <c r="BA1397" s="1144"/>
      <c r="BB1397" s="1144"/>
      <c r="BC1397" s="1144"/>
      <c r="BD1397" s="1144"/>
      <c r="BE1397" s="1144"/>
      <c r="BF1397" s="1144"/>
      <c r="BG1397" s="1144"/>
      <c r="BH1397" s="1144"/>
      <c r="BI1397" s="1144"/>
      <c r="BJ1397" s="1144"/>
      <c r="BK1397" s="1144"/>
      <c r="BL1397" s="1144"/>
      <c r="BM1397" s="1144"/>
      <c r="BN1397" s="1144"/>
      <c r="BO1397" s="1144"/>
      <c r="BP1397" s="1144"/>
      <c r="BQ1397" s="1144"/>
      <c r="BR1397" s="1144"/>
      <c r="BS1397" s="1144"/>
      <c r="BT1397" s="1144"/>
      <c r="BU1397" s="1144"/>
      <c r="BV1397" s="1144"/>
      <c r="BW1397" s="1144"/>
      <c r="BX1397" s="1144"/>
      <c r="BY1397" s="1144"/>
      <c r="BZ1397" s="1144"/>
      <c r="CA1397" s="1144"/>
      <c r="CB1397" s="1144"/>
      <c r="CC1397" s="1144"/>
      <c r="CD1397" s="1144"/>
      <c r="CE1397" s="1144"/>
      <c r="CF1397" s="1144"/>
      <c r="CG1397" s="1144"/>
      <c r="CH1397" s="1144"/>
      <c r="CI1397" s="1144"/>
      <c r="CJ1397" s="1144"/>
      <c r="CK1397" s="1144"/>
      <c r="CL1397" s="1144"/>
      <c r="CM1397" s="1144"/>
      <c r="CN1397" s="1144"/>
      <c r="CO1397" s="1183"/>
      <c r="CP1397" s="1183"/>
      <c r="CQ1397" s="1301"/>
      <c r="CR1397" s="1301"/>
      <c r="CS1397" s="1301"/>
      <c r="CT1397" s="1301"/>
      <c r="CU1397" s="1301"/>
      <c r="CV1397" s="1301"/>
      <c r="CW1397" s="1301"/>
      <c r="CX1397" s="1301"/>
      <c r="CY1397" s="1301"/>
      <c r="CZ1397" s="1301"/>
      <c r="DA1397" s="1301"/>
      <c r="DB1397" s="1301"/>
      <c r="DC1397" s="1301"/>
      <c r="DD1397" s="1301"/>
      <c r="DE1397" s="1301"/>
      <c r="DF1397" s="1301"/>
      <c r="DG1397" s="1301"/>
      <c r="DH1397" s="1301"/>
      <c r="DI1397" s="1301"/>
      <c r="DJ1397" s="1301"/>
      <c r="DK1397" s="1301"/>
      <c r="DL1397" s="1301"/>
      <c r="DM1397" s="1301"/>
      <c r="DN1397" s="1301"/>
      <c r="DO1397" s="1301"/>
      <c r="DP1397" s="1301"/>
      <c r="DQ1397" s="1301"/>
    </row>
    <row r="1398" spans="1:121" ht="12" customHeight="1" x14ac:dyDescent="0.35">
      <c r="G1398" s="1300"/>
      <c r="H1398" s="1301"/>
      <c r="I1398" s="1300"/>
      <c r="J1398" s="1300"/>
      <c r="K1398" s="38"/>
      <c r="L1398" s="38"/>
      <c r="M1398" s="38"/>
      <c r="N1398" s="38"/>
      <c r="O1398" s="38"/>
      <c r="P1398" s="38"/>
      <c r="Q1398" s="35">
        <f t="shared" si="836"/>
        <v>0</v>
      </c>
      <c r="R1398" s="31">
        <f>IF(Input!D$298=L1422,Input!D$297,0)</f>
        <v>0</v>
      </c>
      <c r="S1398" s="36">
        <f t="shared" si="835"/>
        <v>0</v>
      </c>
      <c r="T1398" s="1818"/>
      <c r="U1398" s="1814"/>
      <c r="V1398" s="1814"/>
      <c r="W1398" s="1817"/>
      <c r="X1398" s="1814"/>
      <c r="Y1398" s="1801"/>
      <c r="Z1398" s="1801"/>
      <c r="AA1398" s="1801"/>
      <c r="AB1398" s="1801"/>
      <c r="AC1398" s="1801"/>
      <c r="AD1398" s="1801"/>
      <c r="AE1398" s="1801"/>
      <c r="AF1398" s="1814"/>
      <c r="AG1398" s="376"/>
      <c r="AH1398" s="376"/>
      <c r="AI1398" s="376"/>
      <c r="AJ1398" s="376"/>
      <c r="AK1398" s="376"/>
      <c r="AL1398" s="1144"/>
      <c r="AM1398" s="1144"/>
      <c r="AN1398" s="1144"/>
      <c r="AO1398" s="1144"/>
      <c r="AP1398" s="1144"/>
      <c r="AQ1398" s="1144"/>
      <c r="AR1398" s="1144"/>
      <c r="AS1398" s="1144"/>
      <c r="AT1398" s="1144"/>
      <c r="AU1398" s="1144"/>
      <c r="AV1398" s="1144"/>
      <c r="AW1398" s="1144"/>
      <c r="AX1398" s="1144"/>
      <c r="AY1398" s="1144"/>
      <c r="AZ1398" s="1144"/>
      <c r="BA1398" s="1144"/>
      <c r="BB1398" s="1144"/>
      <c r="BC1398" s="1144"/>
      <c r="BD1398" s="1144"/>
      <c r="BE1398" s="1144"/>
      <c r="BF1398" s="1144"/>
      <c r="BG1398" s="1144"/>
      <c r="BH1398" s="1144"/>
      <c r="BI1398" s="1144"/>
      <c r="BJ1398" s="1144"/>
      <c r="BK1398" s="1144"/>
      <c r="BL1398" s="1144"/>
      <c r="BM1398" s="1144"/>
      <c r="BN1398" s="1144"/>
      <c r="BO1398" s="1144"/>
      <c r="BP1398" s="1144"/>
      <c r="BQ1398" s="1144"/>
      <c r="BR1398" s="1144"/>
      <c r="BS1398" s="1144"/>
      <c r="BT1398" s="1144"/>
      <c r="BU1398" s="1144"/>
      <c r="BV1398" s="1144"/>
      <c r="BW1398" s="1144"/>
      <c r="BX1398" s="1144"/>
      <c r="BY1398" s="1144"/>
      <c r="BZ1398" s="1144"/>
      <c r="CA1398" s="1144"/>
      <c r="CB1398" s="1144"/>
      <c r="CC1398" s="1144"/>
      <c r="CD1398" s="1144"/>
      <c r="CE1398" s="1144"/>
      <c r="CF1398" s="1144"/>
      <c r="CG1398" s="1144"/>
      <c r="CH1398" s="1144"/>
      <c r="CI1398" s="1144"/>
      <c r="CJ1398" s="1144"/>
      <c r="CK1398" s="1144"/>
      <c r="CL1398" s="1144"/>
      <c r="CM1398" s="1144"/>
      <c r="CN1398" s="1144"/>
      <c r="CO1398" s="1183"/>
      <c r="CP1398" s="1183"/>
      <c r="CQ1398" s="1301"/>
      <c r="CR1398" s="1301"/>
      <c r="CS1398" s="1301"/>
      <c r="CT1398" s="1301"/>
      <c r="CU1398" s="1301"/>
      <c r="CV1398" s="1301"/>
      <c r="CW1398" s="1301"/>
      <c r="CX1398" s="1301"/>
      <c r="CY1398" s="1301"/>
      <c r="CZ1398" s="1301"/>
      <c r="DA1398" s="1301"/>
      <c r="DB1398" s="1301"/>
      <c r="DC1398" s="1301"/>
      <c r="DD1398" s="1301"/>
      <c r="DE1398" s="1301"/>
      <c r="DF1398" s="1301"/>
      <c r="DG1398" s="1301"/>
      <c r="DH1398" s="1301"/>
      <c r="DI1398" s="1301"/>
      <c r="DJ1398" s="1301"/>
      <c r="DK1398" s="1301"/>
      <c r="DL1398" s="1301"/>
      <c r="DM1398" s="1301"/>
      <c r="DN1398" s="1301"/>
      <c r="DO1398" s="1301"/>
      <c r="DP1398" s="1301"/>
      <c r="DQ1398" s="1301"/>
    </row>
    <row r="1399" spans="1:121" ht="12" customHeight="1" x14ac:dyDescent="0.35">
      <c r="G1399" s="1300"/>
      <c r="H1399" s="1301"/>
      <c r="I1399" s="1300"/>
      <c r="J1399" s="1300"/>
      <c r="K1399" s="28"/>
      <c r="L1399" s="28"/>
      <c r="M1399" s="28"/>
      <c r="N1399" s="28"/>
      <c r="O1399" s="28"/>
      <c r="P1399" s="28"/>
      <c r="Q1399" s="35">
        <f t="shared" si="836"/>
        <v>0</v>
      </c>
      <c r="R1399" s="31">
        <f>IF(Input!D$298=L1423,Input!D$297,0)</f>
        <v>0</v>
      </c>
      <c r="S1399" s="36">
        <f t="shared" si="835"/>
        <v>0</v>
      </c>
      <c r="T1399" s="1818"/>
      <c r="U1399" s="1814"/>
      <c r="V1399" s="1814"/>
      <c r="W1399" s="1817"/>
      <c r="X1399" s="1814"/>
      <c r="Y1399" s="1801"/>
      <c r="Z1399" s="1801"/>
      <c r="AA1399" s="1801"/>
      <c r="AB1399" s="1801"/>
      <c r="AC1399" s="1801"/>
      <c r="AD1399" s="1801"/>
      <c r="AE1399" s="1801"/>
      <c r="AF1399" s="1814"/>
      <c r="AG1399" s="376"/>
      <c r="AH1399" s="376"/>
      <c r="AI1399" s="376"/>
      <c r="AJ1399" s="376"/>
      <c r="AK1399" s="376"/>
      <c r="AL1399" s="1144"/>
      <c r="AM1399" s="1144"/>
      <c r="AN1399" s="1144"/>
      <c r="AO1399" s="1144"/>
      <c r="AP1399" s="1144"/>
      <c r="AQ1399" s="1144"/>
      <c r="AR1399" s="1144"/>
      <c r="AS1399" s="1144"/>
      <c r="AT1399" s="1144"/>
      <c r="AU1399" s="1144"/>
      <c r="AV1399" s="1144"/>
      <c r="AW1399" s="1144"/>
      <c r="AX1399" s="1144"/>
      <c r="AY1399" s="1144"/>
      <c r="AZ1399" s="1144"/>
      <c r="BA1399" s="1144"/>
      <c r="BB1399" s="1144"/>
      <c r="BC1399" s="1144"/>
      <c r="BD1399" s="1144"/>
      <c r="BE1399" s="1144"/>
      <c r="BF1399" s="1144"/>
      <c r="BG1399" s="1144"/>
      <c r="BH1399" s="1144"/>
      <c r="BI1399" s="1144"/>
      <c r="BJ1399" s="1144"/>
      <c r="BK1399" s="1144"/>
      <c r="BL1399" s="1144"/>
      <c r="BM1399" s="1144"/>
      <c r="BN1399" s="1144"/>
      <c r="BO1399" s="1144"/>
      <c r="BP1399" s="1144"/>
      <c r="BQ1399" s="1144"/>
      <c r="BR1399" s="1144"/>
      <c r="BS1399" s="1144"/>
      <c r="BT1399" s="1144"/>
      <c r="BU1399" s="1144"/>
      <c r="BV1399" s="1144"/>
      <c r="BW1399" s="1144"/>
      <c r="BX1399" s="1144"/>
      <c r="BY1399" s="1144"/>
      <c r="BZ1399" s="1144"/>
      <c r="CA1399" s="1144"/>
      <c r="CB1399" s="1144"/>
      <c r="CC1399" s="1144"/>
      <c r="CD1399" s="1144"/>
      <c r="CE1399" s="1144"/>
      <c r="CF1399" s="1144"/>
      <c r="CG1399" s="1144"/>
      <c r="CH1399" s="1144"/>
      <c r="CI1399" s="1144"/>
      <c r="CJ1399" s="1144"/>
      <c r="CK1399" s="1144"/>
      <c r="CL1399" s="1144"/>
      <c r="CM1399" s="1144"/>
      <c r="CN1399" s="1144"/>
      <c r="CO1399" s="1183"/>
      <c r="CP1399" s="1183"/>
      <c r="CQ1399" s="1301"/>
      <c r="CR1399" s="1301"/>
      <c r="CS1399" s="1301"/>
      <c r="CT1399" s="1301"/>
      <c r="CU1399" s="1301"/>
      <c r="CV1399" s="1301"/>
      <c r="CW1399" s="1301"/>
      <c r="CX1399" s="1301"/>
      <c r="CY1399" s="1301"/>
      <c r="CZ1399" s="1301"/>
      <c r="DA1399" s="1301"/>
      <c r="DB1399" s="1301"/>
      <c r="DC1399" s="1301"/>
      <c r="DD1399" s="1301"/>
      <c r="DE1399" s="1301"/>
      <c r="DF1399" s="1301"/>
      <c r="DG1399" s="1301"/>
      <c r="DH1399" s="1301"/>
      <c r="DI1399" s="1301"/>
      <c r="DJ1399" s="1301"/>
      <c r="DK1399" s="1301"/>
      <c r="DL1399" s="1301"/>
      <c r="DM1399" s="1301"/>
      <c r="DN1399" s="1301"/>
      <c r="DO1399" s="1301"/>
      <c r="DP1399" s="1301"/>
      <c r="DQ1399" s="1301"/>
    </row>
    <row r="1400" spans="1:121" ht="12" customHeight="1" x14ac:dyDescent="0.35">
      <c r="G1400" s="1300"/>
      <c r="H1400" s="1301"/>
      <c r="I1400" s="1300"/>
      <c r="J1400" s="1300"/>
      <c r="K1400" s="28"/>
      <c r="L1400" s="28"/>
      <c r="M1400" s="28"/>
      <c r="N1400" s="28"/>
      <c r="O1400" s="28"/>
      <c r="P1400" s="28"/>
      <c r="Q1400" s="35">
        <f t="shared" si="836"/>
        <v>0</v>
      </c>
      <c r="R1400" s="31">
        <f>IF(Input!D$298=L1424,Input!D$297,0)</f>
        <v>0</v>
      </c>
      <c r="S1400" s="36">
        <f t="shared" si="835"/>
        <v>0</v>
      </c>
      <c r="T1400" s="1818"/>
      <c r="U1400" s="1814"/>
      <c r="V1400" s="1814"/>
      <c r="W1400" s="1817"/>
      <c r="X1400" s="1814"/>
      <c r="Y1400" s="1801"/>
      <c r="Z1400" s="1801"/>
      <c r="AA1400" s="1801"/>
      <c r="AB1400" s="1801"/>
      <c r="AC1400" s="1801"/>
      <c r="AD1400" s="1801"/>
      <c r="AE1400" s="1801"/>
      <c r="AF1400" s="1814"/>
      <c r="AG1400" s="376"/>
      <c r="AH1400" s="376"/>
      <c r="AI1400" s="376"/>
      <c r="AJ1400" s="376"/>
      <c r="AK1400" s="376"/>
      <c r="AL1400" s="1144"/>
      <c r="AM1400" s="1144"/>
      <c r="AN1400" s="1144"/>
      <c r="AO1400" s="1144"/>
      <c r="AP1400" s="1144"/>
      <c r="AQ1400" s="1144"/>
      <c r="AR1400" s="1144"/>
      <c r="AS1400" s="1144"/>
      <c r="AT1400" s="1144"/>
      <c r="AU1400" s="1144"/>
      <c r="AV1400" s="1144"/>
      <c r="AW1400" s="1144"/>
      <c r="AX1400" s="1144"/>
      <c r="AY1400" s="1144"/>
      <c r="AZ1400" s="1144"/>
      <c r="BA1400" s="1144"/>
      <c r="BB1400" s="1144"/>
      <c r="BC1400" s="1144"/>
      <c r="BD1400" s="1144"/>
      <c r="BE1400" s="1144"/>
      <c r="BF1400" s="1144"/>
      <c r="BG1400" s="1144"/>
      <c r="BH1400" s="1144"/>
      <c r="BI1400" s="1144"/>
      <c r="BJ1400" s="1144"/>
      <c r="BK1400" s="1144"/>
      <c r="BL1400" s="1144"/>
      <c r="BM1400" s="1144"/>
      <c r="BN1400" s="1144"/>
      <c r="BO1400" s="1144"/>
      <c r="BP1400" s="1144"/>
      <c r="BQ1400" s="1144"/>
      <c r="BR1400" s="1144"/>
      <c r="BS1400" s="1144"/>
      <c r="BT1400" s="1144"/>
      <c r="BU1400" s="1144"/>
      <c r="BV1400" s="1144"/>
      <c r="BW1400" s="1144"/>
      <c r="BX1400" s="1144"/>
      <c r="BY1400" s="1144"/>
      <c r="BZ1400" s="1144"/>
      <c r="CA1400" s="1144"/>
      <c r="CB1400" s="1144"/>
      <c r="CC1400" s="1144"/>
      <c r="CD1400" s="1144"/>
      <c r="CE1400" s="1144"/>
      <c r="CF1400" s="1144"/>
      <c r="CG1400" s="1144"/>
      <c r="CH1400" s="1144"/>
      <c r="CI1400" s="1144"/>
      <c r="CJ1400" s="1144"/>
      <c r="CK1400" s="1144"/>
      <c r="CL1400" s="1144"/>
      <c r="CM1400" s="1144"/>
      <c r="CN1400" s="1144"/>
      <c r="CO1400" s="1183"/>
      <c r="CP1400" s="1183"/>
      <c r="CQ1400" s="1301"/>
      <c r="CR1400" s="1301"/>
      <c r="CS1400" s="1301"/>
      <c r="CT1400" s="1301"/>
      <c r="CU1400" s="1301"/>
      <c r="CV1400" s="1301"/>
      <c r="CW1400" s="1301"/>
      <c r="CX1400" s="1301"/>
      <c r="CY1400" s="1301"/>
      <c r="CZ1400" s="1301"/>
      <c r="DA1400" s="1301"/>
      <c r="DB1400" s="1301"/>
      <c r="DC1400" s="1301"/>
      <c r="DD1400" s="1301"/>
      <c r="DE1400" s="1301"/>
      <c r="DF1400" s="1301"/>
      <c r="DG1400" s="1301"/>
      <c r="DH1400" s="1301"/>
      <c r="DI1400" s="1301"/>
      <c r="DJ1400" s="1301"/>
      <c r="DK1400" s="1301"/>
      <c r="DL1400" s="1301"/>
      <c r="DM1400" s="1301"/>
      <c r="DN1400" s="1301"/>
      <c r="DO1400" s="1301"/>
      <c r="DP1400" s="1301"/>
      <c r="DQ1400" s="1301"/>
    </row>
    <row r="1401" spans="1:121" ht="12" customHeight="1" x14ac:dyDescent="0.35">
      <c r="G1401" s="1300"/>
      <c r="H1401" s="1301"/>
      <c r="I1401" s="1300"/>
      <c r="J1401" s="1300"/>
      <c r="K1401" s="28"/>
      <c r="L1401" s="28"/>
      <c r="M1401" s="28"/>
      <c r="N1401" s="28"/>
      <c r="O1401" s="28"/>
      <c r="P1401" s="28"/>
      <c r="Q1401" s="35">
        <f t="shared" si="836"/>
        <v>0</v>
      </c>
      <c r="R1401" s="31">
        <f>IF(Input!D$298=L1425,Input!D$297,0)</f>
        <v>0</v>
      </c>
      <c r="S1401" s="36">
        <f t="shared" si="835"/>
        <v>0</v>
      </c>
      <c r="T1401" s="1818"/>
      <c r="U1401" s="1814"/>
      <c r="V1401" s="1814"/>
      <c r="W1401" s="1817"/>
      <c r="X1401" s="1814"/>
      <c r="Y1401" s="1801"/>
      <c r="Z1401" s="1801"/>
      <c r="AA1401" s="1801"/>
      <c r="AB1401" s="1801"/>
      <c r="AC1401" s="1801"/>
      <c r="AD1401" s="1801"/>
      <c r="AE1401" s="1801"/>
      <c r="AF1401" s="1814"/>
      <c r="AG1401" s="376"/>
      <c r="AH1401" s="376"/>
      <c r="AI1401" s="376"/>
      <c r="AJ1401" s="376"/>
      <c r="AK1401" s="376"/>
      <c r="AL1401" s="1144"/>
      <c r="AM1401" s="1144"/>
      <c r="AN1401" s="1144"/>
      <c r="AO1401" s="1144"/>
      <c r="AP1401" s="1144"/>
      <c r="AQ1401" s="1144"/>
      <c r="AR1401" s="1144"/>
      <c r="AS1401" s="1144"/>
      <c r="AT1401" s="1144"/>
      <c r="AU1401" s="1144"/>
      <c r="AV1401" s="1144"/>
      <c r="AW1401" s="1144"/>
      <c r="AX1401" s="1144"/>
      <c r="AY1401" s="1144"/>
      <c r="AZ1401" s="1144"/>
      <c r="BA1401" s="1144"/>
      <c r="BB1401" s="1144"/>
      <c r="BC1401" s="1144"/>
      <c r="BD1401" s="1144"/>
      <c r="BE1401" s="1144"/>
      <c r="BF1401" s="1144"/>
      <c r="BG1401" s="1144"/>
      <c r="BH1401" s="1144"/>
      <c r="BI1401" s="1144"/>
      <c r="BJ1401" s="1144"/>
      <c r="BK1401" s="1144"/>
      <c r="BL1401" s="1144"/>
      <c r="BM1401" s="1144"/>
      <c r="BN1401" s="1144"/>
      <c r="BO1401" s="1144"/>
      <c r="BP1401" s="1144"/>
      <c r="BQ1401" s="1144"/>
      <c r="BR1401" s="1144"/>
      <c r="BS1401" s="1144"/>
      <c r="BT1401" s="1144"/>
      <c r="BU1401" s="1144"/>
      <c r="BV1401" s="1144"/>
      <c r="BW1401" s="1144"/>
      <c r="BX1401" s="1144"/>
      <c r="BY1401" s="1144"/>
      <c r="BZ1401" s="1144"/>
      <c r="CA1401" s="1144"/>
      <c r="CB1401" s="1144"/>
      <c r="CC1401" s="1144"/>
      <c r="CD1401" s="1144"/>
      <c r="CE1401" s="1144"/>
      <c r="CF1401" s="1144"/>
      <c r="CG1401" s="1144"/>
      <c r="CH1401" s="1144"/>
      <c r="CI1401" s="1144"/>
      <c r="CJ1401" s="1144"/>
      <c r="CK1401" s="1144"/>
      <c r="CL1401" s="1144"/>
      <c r="CM1401" s="1144"/>
      <c r="CN1401" s="1144"/>
      <c r="CO1401" s="1183"/>
      <c r="CP1401" s="1183"/>
      <c r="CQ1401" s="1301"/>
      <c r="CR1401" s="1301"/>
      <c r="CS1401" s="1301"/>
      <c r="CT1401" s="1301"/>
      <c r="CU1401" s="1301"/>
      <c r="CV1401" s="1301"/>
      <c r="CW1401" s="1301"/>
      <c r="CX1401" s="1301"/>
      <c r="CY1401" s="1301"/>
      <c r="CZ1401" s="1301"/>
      <c r="DA1401" s="1301"/>
      <c r="DB1401" s="1301"/>
      <c r="DC1401" s="1301"/>
      <c r="DD1401" s="1301"/>
      <c r="DE1401" s="1301"/>
      <c r="DF1401" s="1301"/>
      <c r="DG1401" s="1301"/>
      <c r="DH1401" s="1301"/>
      <c r="DI1401" s="1301"/>
      <c r="DJ1401" s="1301"/>
      <c r="DK1401" s="1301"/>
      <c r="DL1401" s="1301"/>
      <c r="DM1401" s="1301"/>
      <c r="DN1401" s="1301"/>
      <c r="DO1401" s="1301"/>
      <c r="DP1401" s="1301"/>
      <c r="DQ1401" s="1301"/>
    </row>
    <row r="1402" spans="1:121" ht="12" customHeight="1" x14ac:dyDescent="0.35">
      <c r="G1402" s="1300"/>
      <c r="H1402" s="1301"/>
      <c r="I1402" s="1300"/>
      <c r="J1402" s="1300">
        <f>IFERROR(VLOOKUP(Input!D60,Infrastructure!$D$70:$F$129,3,FALSE),0)</f>
        <v>1</v>
      </c>
      <c r="K1402" s="1300">
        <f>IFERROR(VLOOKUP(Input!E60,Infrastructure!$D$70:$F$129,3,FALSE),0)</f>
        <v>1</v>
      </c>
      <c r="L1402" s="1300">
        <f>IFERROR(VLOOKUP(Input!F60,Infrastructure!$D$70:$F$129,3,FALSE),0)</f>
        <v>1</v>
      </c>
      <c r="M1402" s="1300">
        <f>IFERROR(VLOOKUP(Input!G60,Infrastructure!$D$70:$F$129,3,FALSE),0)</f>
        <v>1</v>
      </c>
      <c r="N1402" s="1300">
        <f>IFERROR(VLOOKUP(Input!H60,Infrastructure!$D$70:$F$129,3,FALSE),0)</f>
        <v>1</v>
      </c>
      <c r="O1402" s="1300">
        <f>IFERROR(VLOOKUP(Input!I60,Infrastructure!$D$70:$F$129,3,FALSE),0)</f>
        <v>1</v>
      </c>
      <c r="P1402" s="1300">
        <f>IFERROR(VLOOKUP(Input!J60,Infrastructure!$D$70:$F$129,3,FALSE),0)</f>
        <v>1</v>
      </c>
      <c r="Q1402" s="1300">
        <f>IFERROR(VLOOKUP(Input!K60,Infrastructure!$D$70:$F$129,3,FALSE),0)</f>
        <v>1</v>
      </c>
      <c r="R1402" s="1300">
        <f>IFERROR(VLOOKUP(Input!L60,Infrastructure!$D$70:$F$129,3,FALSE),0)</f>
        <v>1</v>
      </c>
      <c r="S1402" s="1300">
        <f>IFERROR(VLOOKUP(Input!M60,Infrastructure!$D$70:$F$129,3,FALSE),0)</f>
        <v>1</v>
      </c>
      <c r="T1402" s="1300">
        <f>IFERROR(VLOOKUP(Input!N60,Infrastructure!$D$70:$F$129,3,FALSE),0)</f>
        <v>1</v>
      </c>
      <c r="U1402" s="1300">
        <f>IFERROR(VLOOKUP(Input!O60,Infrastructure!$D$70:$F$129,3,FALSE),0)</f>
        <v>1</v>
      </c>
      <c r="V1402" s="1300">
        <f>IFERROR(VLOOKUP(Input!P60,Infrastructure!$D$70:$F$129,3,FALSE),0)</f>
        <v>1</v>
      </c>
      <c r="W1402" s="1300">
        <f>IFERROR(VLOOKUP(Input!Q60,Infrastructure!$D$70:$F$129,3,FALSE),0)</f>
        <v>1</v>
      </c>
      <c r="X1402" s="1300">
        <f>IFERROR(VLOOKUP(Input!R60,Infrastructure!$D$70:$F$129,3,FALSE),0)</f>
        <v>1</v>
      </c>
      <c r="Y1402" s="1300">
        <f>IFERROR(VLOOKUP(Input!S60,Infrastructure!$D$70:$F$129,3,FALSE),0)</f>
        <v>1</v>
      </c>
      <c r="Z1402" s="1300">
        <f>IFERROR(VLOOKUP(Input!T60,Infrastructure!$D$70:$F$129,3,FALSE),0)</f>
        <v>1</v>
      </c>
      <c r="AA1402" s="1300">
        <f>IFERROR(VLOOKUP(Input!U60,Infrastructure!$D$70:$F$129,3,FALSE),0)</f>
        <v>1</v>
      </c>
      <c r="AB1402" s="1300">
        <f>IFERROR(VLOOKUP(Input!V60,Infrastructure!$D$70:$F$129,3,FALSE),0)</f>
        <v>1</v>
      </c>
      <c r="AC1402" s="1300">
        <f>IFERROR(VLOOKUP(Input!W60,Infrastructure!$D$70:$F$129,3,FALSE),0)</f>
        <v>1</v>
      </c>
      <c r="AD1402" s="1300">
        <f>IFERROR(VLOOKUP(Input!X60,Infrastructure!$D$70:$F$129,3,FALSE),0)</f>
        <v>1</v>
      </c>
      <c r="AE1402" s="1300">
        <f>IFERROR(VLOOKUP(Input!Y60,Infrastructure!$D$70:$F$129,3,FALSE),0)</f>
        <v>1</v>
      </c>
      <c r="AF1402" s="1300">
        <f>IFERROR(VLOOKUP(Input!Z60,Infrastructure!$D$70:$F$129,3,FALSE),0)</f>
        <v>1</v>
      </c>
      <c r="AG1402" s="1300">
        <f>IFERROR(VLOOKUP(Input!AA60,Infrastructure!$D$70:$F$129,3,FALSE),0)</f>
        <v>1</v>
      </c>
      <c r="AH1402" s="1300">
        <f>IFERROR(VLOOKUP(Input!AB60,Infrastructure!$D$70:$F$129,3,FALSE),0)</f>
        <v>1</v>
      </c>
      <c r="AI1402" s="376"/>
      <c r="AJ1402" s="376"/>
      <c r="AK1402" s="376"/>
      <c r="AL1402" s="1144"/>
      <c r="AM1402" s="1144"/>
      <c r="AN1402" s="1144"/>
      <c r="AO1402" s="1144"/>
      <c r="AP1402" s="1144"/>
      <c r="AQ1402" s="1144"/>
      <c r="AR1402" s="1144"/>
      <c r="AS1402" s="1144"/>
      <c r="AT1402" s="1144"/>
      <c r="AU1402" s="1144"/>
      <c r="AV1402" s="1144"/>
      <c r="AW1402" s="1144"/>
      <c r="AX1402" s="1144"/>
      <c r="AY1402" s="1144"/>
      <c r="AZ1402" s="1144"/>
      <c r="BA1402" s="1144"/>
      <c r="BB1402" s="1144"/>
      <c r="BC1402" s="1144"/>
      <c r="BD1402" s="1144"/>
      <c r="BE1402" s="1144"/>
      <c r="BF1402" s="1144"/>
      <c r="BG1402" s="1144"/>
      <c r="BH1402" s="1144"/>
      <c r="BI1402" s="1144"/>
      <c r="BJ1402" s="1144"/>
      <c r="BK1402" s="1144"/>
      <c r="BL1402" s="1144"/>
      <c r="BM1402" s="1144"/>
      <c r="BN1402" s="1144"/>
      <c r="BO1402" s="1144"/>
      <c r="BP1402" s="1144"/>
      <c r="BQ1402" s="1144"/>
      <c r="BR1402" s="1144"/>
      <c r="BS1402" s="1144"/>
      <c r="BT1402" s="1144"/>
      <c r="BU1402" s="1144"/>
      <c r="BV1402" s="1144"/>
      <c r="BW1402" s="1144"/>
      <c r="BX1402" s="1144"/>
      <c r="BY1402" s="1144"/>
      <c r="BZ1402" s="1144"/>
      <c r="CA1402" s="1144"/>
      <c r="CB1402" s="1144"/>
      <c r="CC1402" s="1144"/>
      <c r="CD1402" s="1144"/>
      <c r="CE1402" s="1144"/>
      <c r="CF1402" s="1144"/>
      <c r="CG1402" s="1144"/>
      <c r="CH1402" s="1144"/>
      <c r="CI1402" s="1144"/>
      <c r="CJ1402" s="1144"/>
      <c r="CK1402" s="1144"/>
      <c r="CL1402" s="1144"/>
      <c r="CM1402" s="1144"/>
      <c r="CN1402" s="1144"/>
      <c r="CO1402" s="1183"/>
      <c r="CP1402" s="1183"/>
      <c r="CQ1402" s="1301"/>
      <c r="CR1402" s="1301"/>
      <c r="CS1402" s="1301"/>
      <c r="CT1402" s="1301"/>
      <c r="CU1402" s="1301"/>
      <c r="CV1402" s="1301"/>
      <c r="CW1402" s="1301"/>
      <c r="CX1402" s="1301"/>
      <c r="CY1402" s="1301"/>
      <c r="CZ1402" s="1301"/>
      <c r="DA1402" s="1301"/>
      <c r="DB1402" s="1301"/>
      <c r="DC1402" s="1301"/>
      <c r="DD1402" s="1301"/>
      <c r="DE1402" s="1301"/>
      <c r="DF1402" s="1301"/>
      <c r="DG1402" s="1301"/>
      <c r="DH1402" s="1301"/>
      <c r="DI1402" s="1301"/>
      <c r="DJ1402" s="1301"/>
      <c r="DK1402" s="1301"/>
      <c r="DL1402" s="1301"/>
      <c r="DM1402" s="1301"/>
      <c r="DN1402" s="1301"/>
      <c r="DO1402" s="1301"/>
      <c r="DP1402" s="1301"/>
      <c r="DQ1402" s="1301"/>
    </row>
    <row r="1403" spans="1:121" ht="12" customHeight="1" x14ac:dyDescent="0.35">
      <c r="F1403" s="40">
        <f>VLOOKUP(Input!D20,Infrastructure!D$70:F$129,3,FALSE)</f>
        <v>1</v>
      </c>
      <c r="G1403" s="1300"/>
      <c r="H1403" s="40"/>
      <c r="I1403" s="1300"/>
      <c r="J1403" s="1300">
        <f>IFERROR(VLOOKUP(Input!D61,Infrastructure!$D$70:$F$129,3,FALSE),0)</f>
        <v>1</v>
      </c>
      <c r="K1403" s="1300">
        <f>IFERROR(VLOOKUP(Input!E61,Infrastructure!$D$70:$F$129,3,FALSE),0)</f>
        <v>1</v>
      </c>
      <c r="L1403" s="1300">
        <f>IFERROR(VLOOKUP(Input!F61,Infrastructure!$D$70:$F$129,3,FALSE),0)</f>
        <v>1</v>
      </c>
      <c r="M1403" s="1300">
        <f>IFERROR(VLOOKUP(Input!G61,Infrastructure!$D$70:$F$129,3,FALSE),0)</f>
        <v>1</v>
      </c>
      <c r="N1403" s="1300">
        <f>IFERROR(VLOOKUP(Input!H61,Infrastructure!$D$70:$F$129,3,FALSE),0)</f>
        <v>1</v>
      </c>
      <c r="O1403" s="1300">
        <f>IFERROR(VLOOKUP(Input!I61,Infrastructure!$D$70:$F$129,3,FALSE),0)</f>
        <v>1</v>
      </c>
      <c r="P1403" s="1300">
        <f>IFERROR(VLOOKUP(Input!J61,Infrastructure!$D$70:$F$129,3,FALSE),0)</f>
        <v>1</v>
      </c>
      <c r="Q1403" s="1300">
        <f>IFERROR(VLOOKUP(Input!K61,Infrastructure!$D$70:$F$129,3,FALSE),0)</f>
        <v>1</v>
      </c>
      <c r="R1403" s="1300">
        <f>IFERROR(VLOOKUP(Input!L61,Infrastructure!$D$70:$F$129,3,FALSE),0)</f>
        <v>1</v>
      </c>
      <c r="S1403" s="1300">
        <f>IFERROR(VLOOKUP(Input!M61,Infrastructure!$D$70:$F$129,3,FALSE),0)</f>
        <v>1</v>
      </c>
      <c r="T1403" s="1300">
        <f>IFERROR(VLOOKUP(Input!N61,Infrastructure!$D$70:$F$129,3,FALSE),0)</f>
        <v>1</v>
      </c>
      <c r="U1403" s="1300">
        <f>IFERROR(VLOOKUP(Input!O61,Infrastructure!$D$70:$F$129,3,FALSE),0)</f>
        <v>1</v>
      </c>
      <c r="V1403" s="1300">
        <f>IFERROR(VLOOKUP(Input!P61,Infrastructure!$D$70:$F$129,3,FALSE),0)</f>
        <v>1</v>
      </c>
      <c r="W1403" s="1300">
        <f>IFERROR(VLOOKUP(Input!Q61,Infrastructure!$D$70:$F$129,3,FALSE),0)</f>
        <v>1</v>
      </c>
      <c r="X1403" s="1300">
        <f>IFERROR(VLOOKUP(Input!R61,Infrastructure!$D$70:$F$129,3,FALSE),0)</f>
        <v>1</v>
      </c>
      <c r="Y1403" s="1300">
        <f>IFERROR(VLOOKUP(Input!S61,Infrastructure!$D$70:$F$129,3,FALSE),0)</f>
        <v>1</v>
      </c>
      <c r="Z1403" s="1300">
        <f>IFERROR(VLOOKUP(Input!T61,Infrastructure!$D$70:$F$129,3,FALSE),0)</f>
        <v>1</v>
      </c>
      <c r="AA1403" s="1300">
        <f>IFERROR(VLOOKUP(Input!U61,Infrastructure!$D$70:$F$129,3,FALSE),0)</f>
        <v>1</v>
      </c>
      <c r="AB1403" s="1300">
        <f>IFERROR(VLOOKUP(Input!V61,Infrastructure!$D$70:$F$129,3,FALSE),0)</f>
        <v>1</v>
      </c>
      <c r="AC1403" s="1300">
        <f>IFERROR(VLOOKUP(Input!W61,Infrastructure!$D$70:$F$129,3,FALSE),0)</f>
        <v>1</v>
      </c>
      <c r="AD1403" s="1300">
        <f>IFERROR(VLOOKUP(Input!X61,Infrastructure!$D$70:$F$129,3,FALSE),0)</f>
        <v>1</v>
      </c>
      <c r="AE1403" s="1300">
        <f>IFERROR(VLOOKUP(Input!Y61,Infrastructure!$D$70:$F$129,3,FALSE),0)</f>
        <v>1</v>
      </c>
      <c r="AF1403" s="1300">
        <f>IFERROR(VLOOKUP(Input!Z61,Infrastructure!$D$70:$F$129,3,FALSE),0)</f>
        <v>1</v>
      </c>
      <c r="AG1403" s="1300">
        <f>IFERROR(VLOOKUP(Input!AA61,Infrastructure!$D$70:$F$129,3,FALSE),0)</f>
        <v>1</v>
      </c>
      <c r="AH1403" s="1300">
        <f>IFERROR(VLOOKUP(Input!AB61,Infrastructure!$D$70:$F$129,3,FALSE),0)</f>
        <v>1</v>
      </c>
      <c r="AI1403" s="376"/>
      <c r="AJ1403" s="376"/>
      <c r="AK1403" s="376"/>
      <c r="AL1403" s="1144"/>
      <c r="AM1403" s="1144"/>
      <c r="AN1403" s="1144"/>
      <c r="AO1403" s="1144"/>
      <c r="AP1403" s="1144"/>
      <c r="AQ1403" s="1144"/>
      <c r="AR1403" s="1144"/>
      <c r="AS1403" s="1144"/>
      <c r="AT1403" s="1144"/>
      <c r="AU1403" s="1144"/>
      <c r="AV1403" s="1144"/>
      <c r="AW1403" s="1144"/>
      <c r="AX1403" s="1144"/>
      <c r="AY1403" s="1144"/>
      <c r="AZ1403" s="1144"/>
      <c r="BA1403" s="1144"/>
      <c r="BB1403" s="1144"/>
      <c r="BC1403" s="1144"/>
      <c r="BD1403" s="1144"/>
      <c r="BE1403" s="1144"/>
      <c r="BF1403" s="1144"/>
      <c r="BG1403" s="1144"/>
      <c r="BH1403" s="1144"/>
      <c r="BI1403" s="1144"/>
      <c r="BJ1403" s="1144"/>
      <c r="BK1403" s="1144"/>
      <c r="BL1403" s="1144"/>
      <c r="BM1403" s="1144"/>
      <c r="BN1403" s="1144"/>
      <c r="BO1403" s="1144"/>
      <c r="BP1403" s="1144"/>
      <c r="BQ1403" s="1144"/>
      <c r="BR1403" s="1144"/>
      <c r="BS1403" s="1144"/>
      <c r="BT1403" s="1144"/>
      <c r="BU1403" s="1144"/>
      <c r="BV1403" s="1144"/>
      <c r="BW1403" s="1144"/>
      <c r="BX1403" s="1144"/>
      <c r="BY1403" s="1144"/>
      <c r="BZ1403" s="1144"/>
      <c r="CA1403" s="1144"/>
      <c r="CB1403" s="1144"/>
      <c r="CC1403" s="1144"/>
      <c r="CD1403" s="1144"/>
      <c r="CE1403" s="1144"/>
      <c r="CF1403" s="1144"/>
      <c r="CG1403" s="1144"/>
      <c r="CH1403" s="1144"/>
      <c r="CI1403" s="1144"/>
      <c r="CJ1403" s="1144"/>
      <c r="CK1403" s="1144"/>
      <c r="CL1403" s="1144"/>
      <c r="CM1403" s="1144"/>
      <c r="CN1403" s="1144"/>
      <c r="CO1403" s="1183"/>
      <c r="CP1403" s="1183"/>
      <c r="CQ1403" s="1301"/>
      <c r="CR1403" s="1301"/>
      <c r="CS1403" s="1301"/>
      <c r="CT1403" s="1301"/>
      <c r="CU1403" s="1301"/>
      <c r="CV1403" s="1301"/>
      <c r="CW1403" s="1301"/>
      <c r="CX1403" s="1301"/>
      <c r="CY1403" s="1301"/>
      <c r="CZ1403" s="1301"/>
      <c r="DA1403" s="1301"/>
      <c r="DB1403" s="1301"/>
      <c r="DC1403" s="1301"/>
      <c r="DD1403" s="1301"/>
      <c r="DE1403" s="1301"/>
      <c r="DF1403" s="1301"/>
      <c r="DG1403" s="1301"/>
      <c r="DH1403" s="1301"/>
      <c r="DI1403" s="1301"/>
      <c r="DJ1403" s="1301"/>
      <c r="DK1403" s="1301"/>
      <c r="DL1403" s="1301"/>
      <c r="DM1403" s="1301"/>
      <c r="DN1403" s="1301"/>
      <c r="DO1403" s="1301"/>
      <c r="DP1403" s="1301"/>
      <c r="DQ1403" s="1301"/>
    </row>
    <row r="1404" spans="1:121" ht="12" customHeight="1" x14ac:dyDescent="0.35">
      <c r="G1404" s="1300"/>
      <c r="H1404" s="1301"/>
      <c r="I1404" s="1300"/>
      <c r="J1404" s="1300"/>
      <c r="K1404" s="28"/>
      <c r="L1404" s="28"/>
      <c r="M1404" s="28"/>
      <c r="N1404" s="28"/>
      <c r="O1404" s="28"/>
      <c r="P1404" s="28"/>
      <c r="Q1404" s="35">
        <f t="shared" ref="Q1404" si="837">M1404-P1404</f>
        <v>0</v>
      </c>
      <c r="R1404" s="31">
        <f>IF(Input!D$298=L1428,Input!D$297,0)</f>
        <v>0</v>
      </c>
      <c r="S1404" s="36">
        <f t="shared" si="835"/>
        <v>0</v>
      </c>
      <c r="T1404" s="1818"/>
      <c r="U1404" s="1814"/>
      <c r="V1404" s="1814"/>
      <c r="W1404" s="1817"/>
      <c r="X1404" s="1814"/>
      <c r="Y1404" s="1801"/>
      <c r="Z1404" s="1801"/>
      <c r="AA1404" s="1801"/>
      <c r="AB1404" s="1801"/>
      <c r="AC1404" s="1801"/>
      <c r="AD1404" s="1801"/>
      <c r="AE1404" s="1801"/>
      <c r="AF1404" s="1814"/>
      <c r="AG1404" s="376"/>
      <c r="AH1404" s="376"/>
      <c r="AI1404" s="376"/>
      <c r="AJ1404" s="376"/>
      <c r="AK1404" s="376"/>
      <c r="AL1404" s="1144"/>
      <c r="AM1404" s="1144"/>
      <c r="AN1404" s="1144"/>
      <c r="AO1404" s="1144"/>
      <c r="AP1404" s="1144"/>
      <c r="AQ1404" s="1144"/>
      <c r="AR1404" s="1144"/>
      <c r="AS1404" s="1144"/>
      <c r="AT1404" s="1144"/>
      <c r="AU1404" s="1144"/>
      <c r="AV1404" s="1144"/>
      <c r="AW1404" s="1144"/>
      <c r="AX1404" s="1144"/>
      <c r="AY1404" s="1144"/>
      <c r="AZ1404" s="1144"/>
      <c r="BA1404" s="1144"/>
      <c r="BB1404" s="1144"/>
      <c r="BC1404" s="1144"/>
      <c r="BD1404" s="1144"/>
      <c r="BE1404" s="1144"/>
      <c r="BF1404" s="1144"/>
      <c r="BG1404" s="1144"/>
      <c r="BH1404" s="1144"/>
      <c r="BI1404" s="1144"/>
      <c r="BJ1404" s="1144"/>
      <c r="BK1404" s="1144"/>
      <c r="BL1404" s="1144"/>
      <c r="BM1404" s="1144"/>
      <c r="BN1404" s="1144"/>
      <c r="BO1404" s="1144"/>
      <c r="BP1404" s="1144"/>
      <c r="BQ1404" s="1144"/>
      <c r="BR1404" s="1144"/>
      <c r="BS1404" s="1144"/>
      <c r="BT1404" s="1144"/>
      <c r="BU1404" s="1144"/>
      <c r="BV1404" s="1144"/>
      <c r="BW1404" s="1144"/>
      <c r="BX1404" s="1144"/>
      <c r="BY1404" s="1144"/>
      <c r="BZ1404" s="1144"/>
      <c r="CA1404" s="1144"/>
      <c r="CB1404" s="1144"/>
      <c r="CC1404" s="1144"/>
      <c r="CD1404" s="1144"/>
      <c r="CE1404" s="1144"/>
      <c r="CF1404" s="1144"/>
      <c r="CG1404" s="1144"/>
      <c r="CH1404" s="1144"/>
      <c r="CI1404" s="1144"/>
      <c r="CJ1404" s="1144"/>
      <c r="CK1404" s="1144"/>
      <c r="CL1404" s="1144"/>
      <c r="CM1404" s="1144"/>
      <c r="CN1404" s="1144"/>
      <c r="CO1404" s="1183"/>
      <c r="CP1404" s="1183"/>
      <c r="CQ1404" s="1301"/>
      <c r="CR1404" s="1301"/>
      <c r="CS1404" s="1301"/>
      <c r="CT1404" s="1301"/>
      <c r="CU1404" s="1301"/>
      <c r="CV1404" s="1301"/>
      <c r="CW1404" s="1301"/>
      <c r="CX1404" s="1301"/>
      <c r="CY1404" s="1301"/>
      <c r="CZ1404" s="1301"/>
      <c r="DA1404" s="1301"/>
      <c r="DB1404" s="1301"/>
      <c r="DC1404" s="1301"/>
      <c r="DD1404" s="1301"/>
      <c r="DE1404" s="1301"/>
      <c r="DF1404" s="1301"/>
      <c r="DG1404" s="1301"/>
      <c r="DH1404" s="1301"/>
      <c r="DI1404" s="1301"/>
      <c r="DJ1404" s="1301"/>
      <c r="DK1404" s="1301"/>
      <c r="DL1404" s="1301"/>
      <c r="DM1404" s="1301"/>
      <c r="DN1404" s="1301"/>
      <c r="DO1404" s="1301"/>
      <c r="DP1404" s="1301"/>
      <c r="DQ1404" s="1301"/>
    </row>
    <row r="1405" spans="1:121" ht="12" customHeight="1" x14ac:dyDescent="0.35">
      <c r="G1405" s="1300"/>
      <c r="H1405" s="1301"/>
      <c r="I1405" s="1300"/>
      <c r="J1405" s="399" t="str">
        <f>Input!D535</f>
        <v>Item 1</v>
      </c>
      <c r="K1405" s="399" t="str">
        <f>Input!E535</f>
        <v>Item 2</v>
      </c>
      <c r="L1405" s="399" t="str">
        <f>Input!F535</f>
        <v>Item 3</v>
      </c>
      <c r="M1405" s="399" t="str">
        <f>Input!G535</f>
        <v>Item 4</v>
      </c>
      <c r="N1405" s="399" t="str">
        <f>Input!H535</f>
        <v>Item 5</v>
      </c>
      <c r="O1405" s="399" t="str">
        <f>Input!I535</f>
        <v>Item 6</v>
      </c>
      <c r="P1405" s="399" t="str">
        <f>Input!J535</f>
        <v>Item 7</v>
      </c>
      <c r="Q1405" s="399" t="str">
        <f>Input!K535</f>
        <v>Item 8</v>
      </c>
      <c r="R1405" s="399" t="str">
        <f>Input!L535</f>
        <v>Item 9</v>
      </c>
      <c r="S1405" s="399" t="str">
        <f>Input!M535</f>
        <v>Item 10</v>
      </c>
      <c r="T1405" s="399" t="str">
        <f>Input!N535</f>
        <v>Item 11</v>
      </c>
      <c r="U1405" s="399" t="str">
        <f>Input!O535</f>
        <v>Item 12</v>
      </c>
      <c r="V1405" s="399" t="str">
        <f>Input!P535</f>
        <v>Item 13</v>
      </c>
      <c r="W1405" s="399" t="str">
        <f>Input!Q535</f>
        <v>Item 14</v>
      </c>
      <c r="X1405" s="399" t="str">
        <f>Input!R535</f>
        <v>Item 15</v>
      </c>
      <c r="Y1405" s="399" t="str">
        <f>Input!S535</f>
        <v>Item 16</v>
      </c>
      <c r="Z1405" s="399" t="str">
        <f>Input!T535</f>
        <v>Item 17</v>
      </c>
      <c r="AA1405" s="399" t="str">
        <f>Input!U535</f>
        <v>Item 18</v>
      </c>
      <c r="AB1405" s="399" t="str">
        <f>Input!V535</f>
        <v>Item 19</v>
      </c>
      <c r="AC1405" s="399" t="str">
        <f>Input!W535</f>
        <v>Item 20</v>
      </c>
      <c r="AD1405" s="399" t="str">
        <f>Input!X535</f>
        <v>Item 21</v>
      </c>
      <c r="AE1405" s="399" t="str">
        <f>Input!Y535</f>
        <v>Item 22</v>
      </c>
      <c r="AF1405" s="399" t="str">
        <f>Input!Z535</f>
        <v>Item 23</v>
      </c>
      <c r="AG1405" s="399" t="str">
        <f>Input!AA535</f>
        <v>Item 24</v>
      </c>
      <c r="AH1405" s="399" t="str">
        <f>Input!AB535</f>
        <v>Item 25</v>
      </c>
      <c r="AI1405" s="376"/>
      <c r="AJ1405" s="376"/>
      <c r="AK1405" s="376"/>
      <c r="AL1405" s="1144"/>
      <c r="AM1405" s="1144"/>
      <c r="AN1405" s="1144"/>
      <c r="AO1405" s="1144"/>
      <c r="AP1405" s="1144"/>
      <c r="AQ1405" s="1144"/>
      <c r="AR1405" s="1144"/>
      <c r="AS1405" s="1144"/>
      <c r="AT1405" s="1144"/>
      <c r="AU1405" s="1144"/>
      <c r="AV1405" s="1144"/>
      <c r="AW1405" s="1144"/>
      <c r="AX1405" s="1144"/>
      <c r="AY1405" s="1144"/>
      <c r="AZ1405" s="1144"/>
      <c r="BA1405" s="1144"/>
      <c r="BB1405" s="1144"/>
      <c r="BC1405" s="1144"/>
      <c r="BD1405" s="1144"/>
      <c r="BE1405" s="1144"/>
      <c r="BF1405" s="1144"/>
      <c r="BG1405" s="1144"/>
      <c r="BH1405" s="1144"/>
      <c r="BI1405" s="1144"/>
      <c r="BJ1405" s="1144"/>
      <c r="BK1405" s="1144"/>
      <c r="BL1405" s="1144"/>
      <c r="BM1405" s="1144"/>
      <c r="BN1405" s="1144"/>
      <c r="BO1405" s="1144"/>
      <c r="BP1405" s="1144"/>
      <c r="BQ1405" s="1144"/>
      <c r="BR1405" s="1144"/>
      <c r="BS1405" s="1144"/>
      <c r="BT1405" s="1144"/>
      <c r="BU1405" s="1144"/>
      <c r="BV1405" s="1144"/>
      <c r="BW1405" s="1144"/>
      <c r="BX1405" s="1144"/>
      <c r="BY1405" s="1144"/>
      <c r="BZ1405" s="1144"/>
      <c r="CA1405" s="1144"/>
      <c r="CB1405" s="1144"/>
      <c r="CC1405" s="1144"/>
      <c r="CD1405" s="1144"/>
      <c r="CE1405" s="1144"/>
      <c r="CF1405" s="1144"/>
      <c r="CG1405" s="1144"/>
      <c r="CH1405" s="1144"/>
      <c r="CI1405" s="1144"/>
      <c r="CJ1405" s="1144"/>
      <c r="CK1405" s="1144"/>
      <c r="CL1405" s="1144"/>
      <c r="CM1405" s="1144"/>
      <c r="CN1405" s="1144"/>
      <c r="CO1405" s="1183"/>
      <c r="CP1405" s="1183"/>
      <c r="CQ1405" s="1301"/>
      <c r="CR1405" s="1301"/>
      <c r="CS1405" s="1301"/>
      <c r="CT1405" s="1301"/>
      <c r="CU1405" s="1301"/>
      <c r="CV1405" s="1301"/>
      <c r="CW1405" s="1301"/>
      <c r="CX1405" s="1301"/>
      <c r="CY1405" s="1301"/>
      <c r="CZ1405" s="1301"/>
      <c r="DA1405" s="1301"/>
      <c r="DB1405" s="1301"/>
      <c r="DC1405" s="1301"/>
      <c r="DD1405" s="1301"/>
      <c r="DE1405" s="1301"/>
      <c r="DF1405" s="1301"/>
      <c r="DG1405" s="1301"/>
      <c r="DH1405" s="1301"/>
      <c r="DI1405" s="1301"/>
      <c r="DJ1405" s="1301"/>
      <c r="DK1405" s="1301"/>
      <c r="DL1405" s="1301"/>
      <c r="DM1405" s="1301"/>
      <c r="DN1405" s="1301"/>
      <c r="DO1405" s="1301"/>
      <c r="DP1405" s="1301"/>
      <c r="DQ1405" s="1301"/>
    </row>
    <row r="1406" spans="1:121" s="40" customFormat="1" ht="12" customHeight="1" x14ac:dyDescent="0.3">
      <c r="A1406" s="101"/>
      <c r="F1406" s="485">
        <f t="shared" ref="F1406:F1437" si="838">G1406</f>
        <v>0</v>
      </c>
      <c r="G1406" s="485">
        <f>Infrastructure!D70</f>
        <v>0</v>
      </c>
      <c r="I1406" s="40">
        <v>1</v>
      </c>
      <c r="J1406" s="977"/>
      <c r="K1406" s="977"/>
      <c r="L1406" s="977"/>
      <c r="M1406" s="977"/>
      <c r="N1406" s="977"/>
      <c r="O1406" s="977"/>
      <c r="P1406" s="977"/>
      <c r="Q1406" s="977"/>
      <c r="R1406" s="977"/>
      <c r="S1406" s="977"/>
      <c r="T1406" s="977"/>
      <c r="U1406" s="977"/>
      <c r="V1406" s="977"/>
      <c r="W1406" s="977"/>
      <c r="X1406" s="977"/>
      <c r="Y1406" s="977"/>
      <c r="Z1406" s="977"/>
      <c r="AA1406" s="977"/>
      <c r="AB1406" s="977"/>
      <c r="AC1406" s="977"/>
      <c r="AD1406" s="977"/>
      <c r="AE1406" s="977"/>
      <c r="AF1406" s="977"/>
      <c r="AG1406" s="977"/>
      <c r="AH1406" s="977"/>
      <c r="AI1406" s="376"/>
      <c r="AJ1406" s="376"/>
      <c r="AK1406" s="376"/>
      <c r="AL1406" s="1144"/>
      <c r="AM1406" s="1144"/>
      <c r="AN1406" s="1144"/>
      <c r="AO1406" s="1144"/>
      <c r="AP1406" s="1144"/>
      <c r="AQ1406" s="1144"/>
      <c r="AR1406" s="1144"/>
      <c r="AS1406" s="1144"/>
      <c r="AT1406" s="1144"/>
      <c r="AU1406" s="1144"/>
      <c r="AV1406" s="1144"/>
      <c r="AW1406" s="1144"/>
      <c r="AX1406" s="1144"/>
      <c r="AY1406" s="1144"/>
      <c r="AZ1406" s="1144"/>
      <c r="BA1406" s="1144"/>
      <c r="BB1406" s="1144"/>
      <c r="BC1406" s="1144"/>
      <c r="BD1406" s="1144"/>
      <c r="BE1406" s="1144"/>
      <c r="BF1406" s="1144"/>
      <c r="BG1406" s="1144"/>
      <c r="BH1406" s="1144"/>
      <c r="BI1406" s="1144"/>
      <c r="BJ1406" s="1144"/>
      <c r="BK1406" s="1144"/>
      <c r="BL1406" s="1144"/>
      <c r="BM1406" s="1144"/>
      <c r="BN1406" s="1144"/>
      <c r="BO1406" s="1144"/>
      <c r="BP1406" s="1144"/>
      <c r="BQ1406" s="1144"/>
      <c r="BR1406" s="1144"/>
      <c r="BS1406" s="1144"/>
      <c r="BT1406" s="1144"/>
      <c r="BU1406" s="1144"/>
      <c r="BV1406" s="1144"/>
      <c r="BW1406" s="1144"/>
      <c r="BX1406" s="1144"/>
      <c r="BY1406" s="1144"/>
      <c r="BZ1406" s="1144"/>
      <c r="CA1406" s="1144"/>
      <c r="CB1406" s="1144"/>
      <c r="CC1406" s="1144"/>
      <c r="CD1406" s="1144"/>
      <c r="CE1406" s="1144"/>
      <c r="CF1406" s="1144"/>
      <c r="CG1406" s="1144"/>
      <c r="CH1406" s="1144"/>
      <c r="CI1406" s="1144"/>
      <c r="CJ1406" s="1144"/>
      <c r="CK1406" s="1144"/>
      <c r="CL1406" s="1144"/>
      <c r="CM1406" s="1144"/>
      <c r="CN1406" s="1144"/>
      <c r="CO1406" s="84"/>
      <c r="CP1406" s="84"/>
      <c r="CQ1406" s="101"/>
      <c r="CR1406" s="101"/>
      <c r="CS1406" s="101"/>
      <c r="CT1406" s="101"/>
      <c r="CU1406" s="101"/>
      <c r="CV1406" s="101"/>
      <c r="CW1406" s="101"/>
      <c r="CX1406" s="101"/>
      <c r="CY1406" s="101"/>
      <c r="CZ1406" s="101"/>
      <c r="DA1406" s="101"/>
      <c r="DB1406" s="101"/>
      <c r="DC1406" s="101"/>
      <c r="DD1406" s="101"/>
      <c r="DE1406" s="101"/>
      <c r="DF1406" s="101"/>
      <c r="DG1406" s="101"/>
      <c r="DH1406" s="101"/>
      <c r="DI1406" s="101"/>
      <c r="DJ1406" s="101"/>
      <c r="DK1406" s="101"/>
      <c r="DL1406" s="101"/>
      <c r="DM1406" s="101"/>
      <c r="DN1406" s="101"/>
      <c r="DO1406" s="101"/>
      <c r="DP1406" s="101"/>
      <c r="DQ1406" s="101"/>
    </row>
    <row r="1407" spans="1:121" s="40" customFormat="1" ht="12" customHeight="1" x14ac:dyDescent="0.3">
      <c r="A1407" s="101"/>
      <c r="F1407" s="485">
        <f t="shared" si="838"/>
        <v>59</v>
      </c>
      <c r="G1407" s="485">
        <f>Infrastructure!D71</f>
        <v>59</v>
      </c>
      <c r="I1407" s="40">
        <v>2</v>
      </c>
      <c r="J1407" s="977">
        <f>Input!D64</f>
        <v>0</v>
      </c>
      <c r="K1407" s="977">
        <f>Input!E64</f>
        <v>0</v>
      </c>
      <c r="L1407" s="977">
        <f>Input!F64</f>
        <v>0</v>
      </c>
      <c r="M1407" s="977">
        <f>Input!G64</f>
        <v>0</v>
      </c>
      <c r="N1407" s="977">
        <f>Input!H64</f>
        <v>0</v>
      </c>
      <c r="O1407" s="977">
        <f>Input!I64</f>
        <v>0</v>
      </c>
      <c r="P1407" s="977">
        <f>Input!J64</f>
        <v>0</v>
      </c>
      <c r="Q1407" s="977">
        <f>Input!K64</f>
        <v>0</v>
      </c>
      <c r="R1407" s="977">
        <f>Input!L64</f>
        <v>0</v>
      </c>
      <c r="S1407" s="977">
        <f>Input!M64</f>
        <v>0</v>
      </c>
      <c r="T1407" s="977">
        <f>Input!N64</f>
        <v>0</v>
      </c>
      <c r="U1407" s="977">
        <f>Input!O64</f>
        <v>0</v>
      </c>
      <c r="V1407" s="977">
        <f>Input!P64</f>
        <v>0</v>
      </c>
      <c r="W1407" s="977">
        <f>Input!Q64</f>
        <v>0</v>
      </c>
      <c r="X1407" s="977">
        <f>Input!R64</f>
        <v>0</v>
      </c>
      <c r="Y1407" s="977">
        <f>Input!S64</f>
        <v>0</v>
      </c>
      <c r="Z1407" s="977">
        <f>Input!T64</f>
        <v>0</v>
      </c>
      <c r="AA1407" s="977">
        <f>Input!U64</f>
        <v>0</v>
      </c>
      <c r="AB1407" s="977">
        <f>Input!V64</f>
        <v>0</v>
      </c>
      <c r="AC1407" s="977">
        <f>Input!W64</f>
        <v>0</v>
      </c>
      <c r="AD1407" s="977">
        <f>Input!X64</f>
        <v>0</v>
      </c>
      <c r="AE1407" s="977">
        <f>Input!Y64</f>
        <v>0</v>
      </c>
      <c r="AF1407" s="977">
        <f>Input!Z64</f>
        <v>0</v>
      </c>
      <c r="AG1407" s="977">
        <f>Input!AA64</f>
        <v>0</v>
      </c>
      <c r="AH1407" s="977">
        <f>Input!AB64</f>
        <v>0</v>
      </c>
      <c r="AI1407" s="376"/>
      <c r="AJ1407" s="376"/>
      <c r="AK1407" s="376"/>
      <c r="AL1407" s="1144"/>
      <c r="AM1407" s="1144"/>
      <c r="AN1407" s="1144"/>
      <c r="AO1407" s="1144"/>
      <c r="AP1407" s="1144"/>
      <c r="AQ1407" s="1144"/>
      <c r="AR1407" s="1144"/>
      <c r="AS1407" s="1144"/>
      <c r="AT1407" s="1144"/>
      <c r="AU1407" s="1144"/>
      <c r="AV1407" s="1144"/>
      <c r="AW1407" s="1144"/>
      <c r="AX1407" s="1144"/>
      <c r="AY1407" s="1144"/>
      <c r="AZ1407" s="1144"/>
      <c r="BA1407" s="1144"/>
      <c r="BB1407" s="1144"/>
      <c r="BC1407" s="1144"/>
      <c r="BD1407" s="1144"/>
      <c r="BE1407" s="1144"/>
      <c r="BF1407" s="1144"/>
      <c r="BG1407" s="1144"/>
      <c r="BH1407" s="1144"/>
      <c r="BI1407" s="1144"/>
      <c r="BJ1407" s="1144"/>
      <c r="BK1407" s="1144"/>
      <c r="BL1407" s="1144"/>
      <c r="BM1407" s="1144"/>
      <c r="BN1407" s="1144"/>
      <c r="BO1407" s="1144"/>
      <c r="BP1407" s="1144"/>
      <c r="BQ1407" s="1144"/>
      <c r="BR1407" s="1144"/>
      <c r="BS1407" s="1144"/>
      <c r="BT1407" s="1144"/>
      <c r="BU1407" s="1144"/>
      <c r="BV1407" s="1144"/>
      <c r="BW1407" s="1144"/>
      <c r="BX1407" s="1144"/>
      <c r="BY1407" s="1144"/>
      <c r="BZ1407" s="1144"/>
      <c r="CA1407" s="1144"/>
      <c r="CB1407" s="1144"/>
      <c r="CC1407" s="1144"/>
      <c r="CD1407" s="1144"/>
      <c r="CE1407" s="1144"/>
      <c r="CF1407" s="1144"/>
      <c r="CG1407" s="1144"/>
      <c r="CH1407" s="1144"/>
      <c r="CI1407" s="1144"/>
      <c r="CJ1407" s="1144"/>
      <c r="CK1407" s="1144"/>
      <c r="CL1407" s="1144"/>
      <c r="CM1407" s="1144"/>
      <c r="CN1407" s="1144"/>
      <c r="CO1407" s="84"/>
      <c r="CP1407" s="84"/>
      <c r="CQ1407" s="101"/>
      <c r="CR1407" s="101"/>
      <c r="CS1407" s="101"/>
      <c r="CT1407" s="101"/>
      <c r="CU1407" s="101"/>
      <c r="CV1407" s="101"/>
      <c r="CW1407" s="101"/>
      <c r="CX1407" s="101"/>
      <c r="CY1407" s="101"/>
      <c r="CZ1407" s="101"/>
      <c r="DA1407" s="101"/>
      <c r="DB1407" s="101"/>
      <c r="DC1407" s="101"/>
      <c r="DD1407" s="101"/>
      <c r="DE1407" s="101"/>
      <c r="DF1407" s="101"/>
      <c r="DG1407" s="101"/>
      <c r="DH1407" s="101"/>
      <c r="DI1407" s="101"/>
      <c r="DJ1407" s="101"/>
      <c r="DK1407" s="101"/>
      <c r="DL1407" s="101"/>
      <c r="DM1407" s="101"/>
      <c r="DN1407" s="101"/>
      <c r="DO1407" s="101"/>
      <c r="DP1407" s="101"/>
      <c r="DQ1407" s="101"/>
    </row>
    <row r="1408" spans="1:121" s="40" customFormat="1" ht="12" customHeight="1" x14ac:dyDescent="0.3">
      <c r="A1408" s="101"/>
      <c r="F1408" s="485">
        <f t="shared" si="838"/>
        <v>91</v>
      </c>
      <c r="G1408" s="485">
        <f>Infrastructure!D72</f>
        <v>91</v>
      </c>
      <c r="I1408" s="40">
        <v>3</v>
      </c>
      <c r="J1408" s="977">
        <f t="shared" ref="J1408:J1417" si="839">J1407</f>
        <v>0</v>
      </c>
      <c r="K1408" s="977">
        <f t="shared" ref="K1408:AH1417" si="840">K1407</f>
        <v>0</v>
      </c>
      <c r="L1408" s="977">
        <f t="shared" si="840"/>
        <v>0</v>
      </c>
      <c r="M1408" s="977">
        <f t="shared" si="840"/>
        <v>0</v>
      </c>
      <c r="N1408" s="977">
        <f t="shared" si="840"/>
        <v>0</v>
      </c>
      <c r="O1408" s="977">
        <f t="shared" si="840"/>
        <v>0</v>
      </c>
      <c r="P1408" s="977">
        <f t="shared" si="840"/>
        <v>0</v>
      </c>
      <c r="Q1408" s="977">
        <f t="shared" si="840"/>
        <v>0</v>
      </c>
      <c r="R1408" s="977">
        <f t="shared" si="840"/>
        <v>0</v>
      </c>
      <c r="S1408" s="977">
        <f t="shared" si="840"/>
        <v>0</v>
      </c>
      <c r="T1408" s="977">
        <f t="shared" si="840"/>
        <v>0</v>
      </c>
      <c r="U1408" s="977">
        <f t="shared" si="840"/>
        <v>0</v>
      </c>
      <c r="V1408" s="977">
        <f t="shared" si="840"/>
        <v>0</v>
      </c>
      <c r="W1408" s="977">
        <f t="shared" si="840"/>
        <v>0</v>
      </c>
      <c r="X1408" s="977">
        <f t="shared" si="840"/>
        <v>0</v>
      </c>
      <c r="Y1408" s="977">
        <f t="shared" si="840"/>
        <v>0</v>
      </c>
      <c r="Z1408" s="977">
        <f t="shared" si="840"/>
        <v>0</v>
      </c>
      <c r="AA1408" s="977">
        <f t="shared" si="840"/>
        <v>0</v>
      </c>
      <c r="AB1408" s="977">
        <f t="shared" si="840"/>
        <v>0</v>
      </c>
      <c r="AC1408" s="977">
        <f t="shared" si="840"/>
        <v>0</v>
      </c>
      <c r="AD1408" s="977">
        <f t="shared" si="840"/>
        <v>0</v>
      </c>
      <c r="AE1408" s="977">
        <f t="shared" si="840"/>
        <v>0</v>
      </c>
      <c r="AF1408" s="977">
        <f t="shared" si="840"/>
        <v>0</v>
      </c>
      <c r="AG1408" s="977">
        <f t="shared" si="840"/>
        <v>0</v>
      </c>
      <c r="AH1408" s="977">
        <f t="shared" si="840"/>
        <v>0</v>
      </c>
      <c r="AI1408" s="376"/>
      <c r="AJ1408" s="376"/>
      <c r="AK1408" s="376"/>
      <c r="AL1408" s="1144"/>
      <c r="AM1408" s="1144"/>
      <c r="AN1408" s="1144"/>
      <c r="AO1408" s="1144"/>
      <c r="AP1408" s="1144"/>
      <c r="AQ1408" s="1144"/>
      <c r="AR1408" s="1144"/>
      <c r="AS1408" s="1144"/>
      <c r="AT1408" s="1144"/>
      <c r="AU1408" s="1144"/>
      <c r="AV1408" s="1144"/>
      <c r="AW1408" s="1144"/>
      <c r="AX1408" s="1144"/>
      <c r="AY1408" s="1144"/>
      <c r="AZ1408" s="1144"/>
      <c r="BA1408" s="1144"/>
      <c r="BB1408" s="1144"/>
      <c r="BC1408" s="1144"/>
      <c r="BD1408" s="1144"/>
      <c r="BE1408" s="1144"/>
      <c r="BF1408" s="1144"/>
      <c r="BG1408" s="1144"/>
      <c r="BH1408" s="1144"/>
      <c r="BI1408" s="1144"/>
      <c r="BJ1408" s="1144"/>
      <c r="BK1408" s="1144"/>
      <c r="BL1408" s="1144"/>
      <c r="BM1408" s="1144"/>
      <c r="BN1408" s="1144"/>
      <c r="BO1408" s="1144"/>
      <c r="BP1408" s="1144"/>
      <c r="BQ1408" s="1144"/>
      <c r="BR1408" s="1144"/>
      <c r="BS1408" s="1144"/>
      <c r="BT1408" s="1144"/>
      <c r="BU1408" s="1144"/>
      <c r="BV1408" s="1144"/>
      <c r="BW1408" s="1144"/>
      <c r="BX1408" s="1144"/>
      <c r="BY1408" s="1144"/>
      <c r="BZ1408" s="1144"/>
      <c r="CA1408" s="1144"/>
      <c r="CB1408" s="1144"/>
      <c r="CC1408" s="1144"/>
      <c r="CD1408" s="1144"/>
      <c r="CE1408" s="1144"/>
      <c r="CF1408" s="1144"/>
      <c r="CG1408" s="1144"/>
      <c r="CH1408" s="1144"/>
      <c r="CI1408" s="1144"/>
      <c r="CJ1408" s="1144"/>
      <c r="CK1408" s="1144"/>
      <c r="CL1408" s="1144"/>
      <c r="CM1408" s="1144"/>
      <c r="CN1408" s="1144"/>
      <c r="CO1408" s="84"/>
      <c r="CP1408" s="84"/>
      <c r="CQ1408" s="101"/>
      <c r="CR1408" s="101"/>
      <c r="CS1408" s="101"/>
      <c r="CT1408" s="101"/>
      <c r="CU1408" s="101"/>
      <c r="CV1408" s="101"/>
      <c r="CW1408" s="101"/>
      <c r="CX1408" s="101"/>
      <c r="CY1408" s="101"/>
      <c r="CZ1408" s="101"/>
      <c r="DA1408" s="101"/>
      <c r="DB1408" s="101"/>
      <c r="DC1408" s="101"/>
      <c r="DD1408" s="101"/>
      <c r="DE1408" s="101"/>
      <c r="DF1408" s="101"/>
      <c r="DG1408" s="101"/>
      <c r="DH1408" s="101"/>
      <c r="DI1408" s="101"/>
      <c r="DJ1408" s="101"/>
      <c r="DK1408" s="101"/>
      <c r="DL1408" s="101"/>
      <c r="DM1408" s="101"/>
      <c r="DN1408" s="101"/>
      <c r="DO1408" s="101"/>
      <c r="DP1408" s="101"/>
      <c r="DQ1408" s="101"/>
    </row>
    <row r="1409" spans="1:121" s="40" customFormat="1" ht="12" customHeight="1" x14ac:dyDescent="0.3">
      <c r="A1409" s="101"/>
      <c r="F1409" s="485">
        <f t="shared" si="838"/>
        <v>121</v>
      </c>
      <c r="G1409" s="485">
        <f>Infrastructure!D73</f>
        <v>121</v>
      </c>
      <c r="I1409" s="40">
        <v>4</v>
      </c>
      <c r="J1409" s="977">
        <f t="shared" si="839"/>
        <v>0</v>
      </c>
      <c r="K1409" s="977">
        <f t="shared" si="840"/>
        <v>0</v>
      </c>
      <c r="L1409" s="977">
        <f t="shared" si="840"/>
        <v>0</v>
      </c>
      <c r="M1409" s="977">
        <f t="shared" si="840"/>
        <v>0</v>
      </c>
      <c r="N1409" s="977">
        <f t="shared" si="840"/>
        <v>0</v>
      </c>
      <c r="O1409" s="977">
        <f t="shared" si="840"/>
        <v>0</v>
      </c>
      <c r="P1409" s="977">
        <f t="shared" si="840"/>
        <v>0</v>
      </c>
      <c r="Q1409" s="977">
        <f t="shared" si="840"/>
        <v>0</v>
      </c>
      <c r="R1409" s="977">
        <f t="shared" si="840"/>
        <v>0</v>
      </c>
      <c r="S1409" s="977">
        <f t="shared" si="840"/>
        <v>0</v>
      </c>
      <c r="T1409" s="977">
        <f t="shared" si="840"/>
        <v>0</v>
      </c>
      <c r="U1409" s="977">
        <f t="shared" si="840"/>
        <v>0</v>
      </c>
      <c r="V1409" s="977">
        <f t="shared" si="840"/>
        <v>0</v>
      </c>
      <c r="W1409" s="977">
        <f t="shared" si="840"/>
        <v>0</v>
      </c>
      <c r="X1409" s="977">
        <f t="shared" si="840"/>
        <v>0</v>
      </c>
      <c r="Y1409" s="977">
        <f t="shared" si="840"/>
        <v>0</v>
      </c>
      <c r="Z1409" s="977">
        <f t="shared" si="840"/>
        <v>0</v>
      </c>
      <c r="AA1409" s="977">
        <f t="shared" si="840"/>
        <v>0</v>
      </c>
      <c r="AB1409" s="977">
        <f t="shared" si="840"/>
        <v>0</v>
      </c>
      <c r="AC1409" s="977">
        <f t="shared" si="840"/>
        <v>0</v>
      </c>
      <c r="AD1409" s="977">
        <f t="shared" si="840"/>
        <v>0</v>
      </c>
      <c r="AE1409" s="977">
        <f t="shared" si="840"/>
        <v>0</v>
      </c>
      <c r="AF1409" s="977">
        <f t="shared" si="840"/>
        <v>0</v>
      </c>
      <c r="AG1409" s="977">
        <f t="shared" si="840"/>
        <v>0</v>
      </c>
      <c r="AH1409" s="977">
        <f t="shared" si="840"/>
        <v>0</v>
      </c>
      <c r="AI1409" s="376"/>
      <c r="AJ1409" s="376"/>
      <c r="AK1409" s="376"/>
      <c r="AL1409" s="1144"/>
      <c r="AM1409" s="1144"/>
      <c r="AN1409" s="1144"/>
      <c r="AO1409" s="1144"/>
      <c r="AP1409" s="1144"/>
      <c r="AQ1409" s="1144"/>
      <c r="AR1409" s="1144"/>
      <c r="AS1409" s="1144"/>
      <c r="AT1409" s="1144"/>
      <c r="AU1409" s="1144"/>
      <c r="AV1409" s="1144"/>
      <c r="AW1409" s="1144"/>
      <c r="AX1409" s="1144"/>
      <c r="AY1409" s="1144"/>
      <c r="AZ1409" s="1144"/>
      <c r="BA1409" s="1144"/>
      <c r="BB1409" s="1144"/>
      <c r="BC1409" s="1144"/>
      <c r="BD1409" s="1144"/>
      <c r="BE1409" s="1144"/>
      <c r="BF1409" s="1144"/>
      <c r="BG1409" s="1144"/>
      <c r="BH1409" s="1144"/>
      <c r="BI1409" s="1144"/>
      <c r="BJ1409" s="1144"/>
      <c r="BK1409" s="1144"/>
      <c r="BL1409" s="1144"/>
      <c r="BM1409" s="1144"/>
      <c r="BN1409" s="1144"/>
      <c r="BO1409" s="1144"/>
      <c r="BP1409" s="1144"/>
      <c r="BQ1409" s="1144"/>
      <c r="BR1409" s="1144"/>
      <c r="BS1409" s="1144"/>
      <c r="BT1409" s="1144"/>
      <c r="BU1409" s="1144"/>
      <c r="BV1409" s="1144"/>
      <c r="BW1409" s="1144"/>
      <c r="BX1409" s="1144"/>
      <c r="BY1409" s="1144"/>
      <c r="BZ1409" s="1144"/>
      <c r="CA1409" s="1144"/>
      <c r="CB1409" s="1144"/>
      <c r="CC1409" s="1144"/>
      <c r="CD1409" s="1144"/>
      <c r="CE1409" s="1144"/>
      <c r="CF1409" s="1144"/>
      <c r="CG1409" s="1144"/>
      <c r="CH1409" s="1144"/>
      <c r="CI1409" s="1144"/>
      <c r="CJ1409" s="1144"/>
      <c r="CK1409" s="1144"/>
      <c r="CL1409" s="1144"/>
      <c r="CM1409" s="1144"/>
      <c r="CN1409" s="1144"/>
      <c r="CO1409" s="84"/>
      <c r="CP1409" s="84"/>
      <c r="CQ1409" s="101"/>
      <c r="CR1409" s="101"/>
      <c r="CS1409" s="101"/>
      <c r="CT1409" s="101"/>
      <c r="CU1409" s="101"/>
      <c r="CV1409" s="101"/>
      <c r="CW1409" s="101"/>
      <c r="CX1409" s="101"/>
      <c r="CY1409" s="101"/>
      <c r="CZ1409" s="101"/>
      <c r="DA1409" s="101"/>
      <c r="DB1409" s="101"/>
      <c r="DC1409" s="101"/>
      <c r="DD1409" s="101"/>
      <c r="DE1409" s="101"/>
      <c r="DF1409" s="101"/>
      <c r="DG1409" s="101"/>
      <c r="DH1409" s="101"/>
      <c r="DI1409" s="101"/>
      <c r="DJ1409" s="101"/>
      <c r="DK1409" s="101"/>
      <c r="DL1409" s="101"/>
      <c r="DM1409" s="101"/>
      <c r="DN1409" s="101"/>
      <c r="DO1409" s="101"/>
      <c r="DP1409" s="101"/>
      <c r="DQ1409" s="101"/>
    </row>
    <row r="1410" spans="1:121" s="40" customFormat="1" ht="12" customHeight="1" x14ac:dyDescent="0.3">
      <c r="A1410" s="101"/>
      <c r="F1410" s="485">
        <f t="shared" si="838"/>
        <v>152</v>
      </c>
      <c r="G1410" s="485">
        <f>Infrastructure!D74</f>
        <v>152</v>
      </c>
      <c r="I1410" s="40">
        <v>5</v>
      </c>
      <c r="J1410" s="977">
        <f t="shared" si="839"/>
        <v>0</v>
      </c>
      <c r="K1410" s="977">
        <f t="shared" si="840"/>
        <v>0</v>
      </c>
      <c r="L1410" s="977">
        <f t="shared" si="840"/>
        <v>0</v>
      </c>
      <c r="M1410" s="977">
        <f t="shared" si="840"/>
        <v>0</v>
      </c>
      <c r="N1410" s="977">
        <f t="shared" si="840"/>
        <v>0</v>
      </c>
      <c r="O1410" s="977">
        <f t="shared" si="840"/>
        <v>0</v>
      </c>
      <c r="P1410" s="977">
        <f t="shared" si="840"/>
        <v>0</v>
      </c>
      <c r="Q1410" s="977">
        <f t="shared" si="840"/>
        <v>0</v>
      </c>
      <c r="R1410" s="977">
        <f t="shared" si="840"/>
        <v>0</v>
      </c>
      <c r="S1410" s="977">
        <f t="shared" si="840"/>
        <v>0</v>
      </c>
      <c r="T1410" s="977">
        <f t="shared" si="840"/>
        <v>0</v>
      </c>
      <c r="U1410" s="977">
        <f t="shared" si="840"/>
        <v>0</v>
      </c>
      <c r="V1410" s="977">
        <f t="shared" si="840"/>
        <v>0</v>
      </c>
      <c r="W1410" s="977">
        <f t="shared" si="840"/>
        <v>0</v>
      </c>
      <c r="X1410" s="977">
        <f t="shared" si="840"/>
        <v>0</v>
      </c>
      <c r="Y1410" s="977">
        <f t="shared" si="840"/>
        <v>0</v>
      </c>
      <c r="Z1410" s="977">
        <f t="shared" si="840"/>
        <v>0</v>
      </c>
      <c r="AA1410" s="977">
        <f t="shared" si="840"/>
        <v>0</v>
      </c>
      <c r="AB1410" s="977">
        <f t="shared" si="840"/>
        <v>0</v>
      </c>
      <c r="AC1410" s="977">
        <f t="shared" si="840"/>
        <v>0</v>
      </c>
      <c r="AD1410" s="977">
        <f t="shared" si="840"/>
        <v>0</v>
      </c>
      <c r="AE1410" s="977">
        <f t="shared" si="840"/>
        <v>0</v>
      </c>
      <c r="AF1410" s="977">
        <f t="shared" si="840"/>
        <v>0</v>
      </c>
      <c r="AG1410" s="977">
        <f t="shared" si="840"/>
        <v>0</v>
      </c>
      <c r="AH1410" s="977">
        <f t="shared" si="840"/>
        <v>0</v>
      </c>
      <c r="AI1410" s="376"/>
      <c r="AJ1410" s="376"/>
      <c r="AK1410" s="376"/>
      <c r="AL1410" s="1144"/>
      <c r="AM1410" s="1144"/>
      <c r="AN1410" s="1144"/>
      <c r="AO1410" s="1144"/>
      <c r="AP1410" s="1144"/>
      <c r="AQ1410" s="1144"/>
      <c r="AR1410" s="1144"/>
      <c r="AS1410" s="1144"/>
      <c r="AT1410" s="1144"/>
      <c r="AU1410" s="1144"/>
      <c r="AV1410" s="1144"/>
      <c r="AW1410" s="1144"/>
      <c r="AX1410" s="1144"/>
      <c r="AY1410" s="1144"/>
      <c r="AZ1410" s="1144"/>
      <c r="BA1410" s="1144"/>
      <c r="BB1410" s="1144"/>
      <c r="BC1410" s="1144"/>
      <c r="BD1410" s="1144"/>
      <c r="BE1410" s="1144"/>
      <c r="BF1410" s="1144"/>
      <c r="BG1410" s="1144"/>
      <c r="BH1410" s="1144"/>
      <c r="BI1410" s="1144"/>
      <c r="BJ1410" s="1144"/>
      <c r="BK1410" s="1144"/>
      <c r="BL1410" s="1144"/>
      <c r="BM1410" s="1144"/>
      <c r="BN1410" s="1144"/>
      <c r="BO1410" s="1144"/>
      <c r="BP1410" s="1144"/>
      <c r="BQ1410" s="1144"/>
      <c r="BR1410" s="1144"/>
      <c r="BS1410" s="1144"/>
      <c r="BT1410" s="1144"/>
      <c r="BU1410" s="1144"/>
      <c r="BV1410" s="1144"/>
      <c r="BW1410" s="1144"/>
      <c r="BX1410" s="1144"/>
      <c r="BY1410" s="1144"/>
      <c r="BZ1410" s="1144"/>
      <c r="CA1410" s="1144"/>
      <c r="CB1410" s="1144"/>
      <c r="CC1410" s="1144"/>
      <c r="CD1410" s="1144"/>
      <c r="CE1410" s="1144"/>
      <c r="CF1410" s="1144"/>
      <c r="CG1410" s="1144"/>
      <c r="CH1410" s="1144"/>
      <c r="CI1410" s="1144"/>
      <c r="CJ1410" s="1144"/>
      <c r="CK1410" s="1144"/>
      <c r="CL1410" s="1144"/>
      <c r="CM1410" s="1144"/>
      <c r="CN1410" s="1144"/>
      <c r="CO1410" s="84"/>
      <c r="CP1410" s="84"/>
      <c r="CQ1410" s="101"/>
      <c r="CR1410" s="101"/>
      <c r="CS1410" s="101"/>
      <c r="CT1410" s="101"/>
      <c r="CU1410" s="101"/>
      <c r="CV1410" s="101"/>
      <c r="CW1410" s="101"/>
      <c r="CX1410" s="101"/>
      <c r="CY1410" s="101"/>
      <c r="CZ1410" s="101"/>
      <c r="DA1410" s="101"/>
      <c r="DB1410" s="101"/>
      <c r="DC1410" s="101"/>
      <c r="DD1410" s="101"/>
      <c r="DE1410" s="101"/>
      <c r="DF1410" s="101"/>
      <c r="DG1410" s="101"/>
      <c r="DH1410" s="101"/>
      <c r="DI1410" s="101"/>
      <c r="DJ1410" s="101"/>
      <c r="DK1410" s="101"/>
      <c r="DL1410" s="101"/>
      <c r="DM1410" s="101"/>
      <c r="DN1410" s="101"/>
      <c r="DO1410" s="101"/>
      <c r="DP1410" s="101"/>
      <c r="DQ1410" s="101"/>
    </row>
    <row r="1411" spans="1:121" s="40" customFormat="1" ht="12" customHeight="1" x14ac:dyDescent="0.3">
      <c r="A1411" s="101"/>
      <c r="F1411" s="485">
        <f t="shared" si="838"/>
        <v>182</v>
      </c>
      <c r="G1411" s="485">
        <f>Infrastructure!D75</f>
        <v>182</v>
      </c>
      <c r="I1411" s="40">
        <v>6</v>
      </c>
      <c r="J1411" s="977">
        <f t="shared" si="839"/>
        <v>0</v>
      </c>
      <c r="K1411" s="977">
        <f t="shared" si="840"/>
        <v>0</v>
      </c>
      <c r="L1411" s="977">
        <f t="shared" si="840"/>
        <v>0</v>
      </c>
      <c r="M1411" s="977">
        <f t="shared" si="840"/>
        <v>0</v>
      </c>
      <c r="N1411" s="977">
        <f t="shared" si="840"/>
        <v>0</v>
      </c>
      <c r="O1411" s="977">
        <f t="shared" si="840"/>
        <v>0</v>
      </c>
      <c r="P1411" s="977">
        <f t="shared" si="840"/>
        <v>0</v>
      </c>
      <c r="Q1411" s="977">
        <f t="shared" si="840"/>
        <v>0</v>
      </c>
      <c r="R1411" s="977">
        <f t="shared" si="840"/>
        <v>0</v>
      </c>
      <c r="S1411" s="977">
        <f t="shared" si="840"/>
        <v>0</v>
      </c>
      <c r="T1411" s="977">
        <f t="shared" si="840"/>
        <v>0</v>
      </c>
      <c r="U1411" s="977">
        <f t="shared" si="840"/>
        <v>0</v>
      </c>
      <c r="V1411" s="977">
        <f t="shared" si="840"/>
        <v>0</v>
      </c>
      <c r="W1411" s="977">
        <f t="shared" si="840"/>
        <v>0</v>
      </c>
      <c r="X1411" s="977">
        <f t="shared" si="840"/>
        <v>0</v>
      </c>
      <c r="Y1411" s="977">
        <f t="shared" si="840"/>
        <v>0</v>
      </c>
      <c r="Z1411" s="977">
        <f t="shared" si="840"/>
        <v>0</v>
      </c>
      <c r="AA1411" s="977">
        <f t="shared" si="840"/>
        <v>0</v>
      </c>
      <c r="AB1411" s="977">
        <f t="shared" si="840"/>
        <v>0</v>
      </c>
      <c r="AC1411" s="977">
        <f t="shared" si="840"/>
        <v>0</v>
      </c>
      <c r="AD1411" s="977">
        <f t="shared" si="840"/>
        <v>0</v>
      </c>
      <c r="AE1411" s="977">
        <f t="shared" si="840"/>
        <v>0</v>
      </c>
      <c r="AF1411" s="977">
        <f t="shared" si="840"/>
        <v>0</v>
      </c>
      <c r="AG1411" s="977">
        <f t="shared" si="840"/>
        <v>0</v>
      </c>
      <c r="AH1411" s="977">
        <f t="shared" si="840"/>
        <v>0</v>
      </c>
      <c r="AI1411" s="376"/>
      <c r="AJ1411" s="376"/>
      <c r="AK1411" s="376"/>
      <c r="AL1411" s="1144"/>
      <c r="AM1411" s="1144"/>
      <c r="AN1411" s="1144"/>
      <c r="AO1411" s="1144"/>
      <c r="AP1411" s="1144"/>
      <c r="AQ1411" s="1144"/>
      <c r="AR1411" s="1144"/>
      <c r="AS1411" s="1144"/>
      <c r="AT1411" s="1144"/>
      <c r="AU1411" s="1144"/>
      <c r="AV1411" s="1144"/>
      <c r="AW1411" s="1144"/>
      <c r="AX1411" s="1144"/>
      <c r="AY1411" s="1144"/>
      <c r="AZ1411" s="1144"/>
      <c r="BA1411" s="1144"/>
      <c r="BB1411" s="1144"/>
      <c r="BC1411" s="1144"/>
      <c r="BD1411" s="1144"/>
      <c r="BE1411" s="1144"/>
      <c r="BF1411" s="1144"/>
      <c r="BG1411" s="1144"/>
      <c r="BH1411" s="1144"/>
      <c r="BI1411" s="1144"/>
      <c r="BJ1411" s="1144"/>
      <c r="BK1411" s="1144"/>
      <c r="BL1411" s="1144"/>
      <c r="BM1411" s="1144"/>
      <c r="BN1411" s="1144"/>
      <c r="BO1411" s="1144"/>
      <c r="BP1411" s="1144"/>
      <c r="BQ1411" s="1144"/>
      <c r="BR1411" s="1144"/>
      <c r="BS1411" s="1144"/>
      <c r="BT1411" s="1144"/>
      <c r="BU1411" s="1144"/>
      <c r="BV1411" s="1144"/>
      <c r="BW1411" s="1144"/>
      <c r="BX1411" s="1144"/>
      <c r="BY1411" s="1144"/>
      <c r="BZ1411" s="1144"/>
      <c r="CA1411" s="1144"/>
      <c r="CB1411" s="1144"/>
      <c r="CC1411" s="1144"/>
      <c r="CD1411" s="1144"/>
      <c r="CE1411" s="1144"/>
      <c r="CF1411" s="1144"/>
      <c r="CG1411" s="1144"/>
      <c r="CH1411" s="1144"/>
      <c r="CI1411" s="1144"/>
      <c r="CJ1411" s="1144"/>
      <c r="CK1411" s="1144"/>
      <c r="CL1411" s="1144"/>
      <c r="CM1411" s="1144"/>
      <c r="CN1411" s="1144"/>
      <c r="CO1411" s="84"/>
      <c r="CP1411" s="84"/>
      <c r="CQ1411" s="101"/>
      <c r="CR1411" s="101"/>
      <c r="CS1411" s="101"/>
      <c r="CT1411" s="101"/>
      <c r="CU1411" s="101"/>
      <c r="CV1411" s="101"/>
      <c r="CW1411" s="101"/>
      <c r="CX1411" s="101"/>
      <c r="CY1411" s="101"/>
      <c r="CZ1411" s="101"/>
      <c r="DA1411" s="101"/>
      <c r="DB1411" s="101"/>
      <c r="DC1411" s="101"/>
      <c r="DD1411" s="101"/>
      <c r="DE1411" s="101"/>
      <c r="DF1411" s="101"/>
      <c r="DG1411" s="101"/>
      <c r="DH1411" s="101"/>
      <c r="DI1411" s="101"/>
      <c r="DJ1411" s="101"/>
      <c r="DK1411" s="101"/>
      <c r="DL1411" s="101"/>
      <c r="DM1411" s="101"/>
      <c r="DN1411" s="101"/>
      <c r="DO1411" s="101"/>
      <c r="DP1411" s="101"/>
      <c r="DQ1411" s="101"/>
    </row>
    <row r="1412" spans="1:121" s="40" customFormat="1" ht="12" customHeight="1" x14ac:dyDescent="0.3">
      <c r="A1412" s="101"/>
      <c r="F1412" s="485">
        <f t="shared" si="838"/>
        <v>213</v>
      </c>
      <c r="G1412" s="485">
        <f>Infrastructure!D76</f>
        <v>213</v>
      </c>
      <c r="I1412" s="40">
        <v>7</v>
      </c>
      <c r="J1412" s="977">
        <f t="shared" si="839"/>
        <v>0</v>
      </c>
      <c r="K1412" s="977">
        <f t="shared" si="840"/>
        <v>0</v>
      </c>
      <c r="L1412" s="977">
        <f t="shared" si="840"/>
        <v>0</v>
      </c>
      <c r="M1412" s="977">
        <f t="shared" si="840"/>
        <v>0</v>
      </c>
      <c r="N1412" s="977">
        <f t="shared" si="840"/>
        <v>0</v>
      </c>
      <c r="O1412" s="977">
        <f t="shared" si="840"/>
        <v>0</v>
      </c>
      <c r="P1412" s="977">
        <f t="shared" si="840"/>
        <v>0</v>
      </c>
      <c r="Q1412" s="977">
        <f t="shared" si="840"/>
        <v>0</v>
      </c>
      <c r="R1412" s="977">
        <f t="shared" si="840"/>
        <v>0</v>
      </c>
      <c r="S1412" s="977">
        <f t="shared" si="840"/>
        <v>0</v>
      </c>
      <c r="T1412" s="977">
        <f t="shared" si="840"/>
        <v>0</v>
      </c>
      <c r="U1412" s="977">
        <f t="shared" si="840"/>
        <v>0</v>
      </c>
      <c r="V1412" s="977">
        <f t="shared" si="840"/>
        <v>0</v>
      </c>
      <c r="W1412" s="977">
        <f t="shared" si="840"/>
        <v>0</v>
      </c>
      <c r="X1412" s="977">
        <f t="shared" si="840"/>
        <v>0</v>
      </c>
      <c r="Y1412" s="977">
        <f t="shared" si="840"/>
        <v>0</v>
      </c>
      <c r="Z1412" s="977">
        <f t="shared" si="840"/>
        <v>0</v>
      </c>
      <c r="AA1412" s="977">
        <f t="shared" si="840"/>
        <v>0</v>
      </c>
      <c r="AB1412" s="977">
        <f t="shared" si="840"/>
        <v>0</v>
      </c>
      <c r="AC1412" s="977">
        <f t="shared" si="840"/>
        <v>0</v>
      </c>
      <c r="AD1412" s="977">
        <f t="shared" si="840"/>
        <v>0</v>
      </c>
      <c r="AE1412" s="977">
        <f t="shared" si="840"/>
        <v>0</v>
      </c>
      <c r="AF1412" s="977">
        <f t="shared" si="840"/>
        <v>0</v>
      </c>
      <c r="AG1412" s="977">
        <f t="shared" si="840"/>
        <v>0</v>
      </c>
      <c r="AH1412" s="977">
        <f t="shared" si="840"/>
        <v>0</v>
      </c>
      <c r="AI1412" s="376"/>
      <c r="AJ1412" s="376"/>
      <c r="AK1412" s="376"/>
      <c r="AL1412" s="1144"/>
      <c r="AM1412" s="1144"/>
      <c r="AN1412" s="1144"/>
      <c r="AO1412" s="1144"/>
      <c r="AP1412" s="1144"/>
      <c r="AQ1412" s="1144"/>
      <c r="AR1412" s="1144"/>
      <c r="AS1412" s="1144"/>
      <c r="AT1412" s="1144"/>
      <c r="AU1412" s="1144"/>
      <c r="AV1412" s="1144"/>
      <c r="AW1412" s="1144"/>
      <c r="AX1412" s="1144"/>
      <c r="AY1412" s="1144"/>
      <c r="AZ1412" s="1144"/>
      <c r="BA1412" s="1144"/>
      <c r="BB1412" s="1144"/>
      <c r="BC1412" s="1144"/>
      <c r="BD1412" s="1144"/>
      <c r="BE1412" s="1144"/>
      <c r="BF1412" s="1144"/>
      <c r="BG1412" s="1144"/>
      <c r="BH1412" s="1144"/>
      <c r="BI1412" s="1144"/>
      <c r="BJ1412" s="1144"/>
      <c r="BK1412" s="1144"/>
      <c r="BL1412" s="1144"/>
      <c r="BM1412" s="1144"/>
      <c r="BN1412" s="1144"/>
      <c r="BO1412" s="1144"/>
      <c r="BP1412" s="1144"/>
      <c r="BQ1412" s="1144"/>
      <c r="BR1412" s="1144"/>
      <c r="BS1412" s="1144"/>
      <c r="BT1412" s="1144"/>
      <c r="BU1412" s="1144"/>
      <c r="BV1412" s="1144"/>
      <c r="BW1412" s="1144"/>
      <c r="BX1412" s="1144"/>
      <c r="BY1412" s="1144"/>
      <c r="BZ1412" s="1144"/>
      <c r="CA1412" s="1144"/>
      <c r="CB1412" s="1144"/>
      <c r="CC1412" s="1144"/>
      <c r="CD1412" s="1144"/>
      <c r="CE1412" s="1144"/>
      <c r="CF1412" s="1144"/>
      <c r="CG1412" s="1144"/>
      <c r="CH1412" s="1144"/>
      <c r="CI1412" s="1144"/>
      <c r="CJ1412" s="1144"/>
      <c r="CK1412" s="1144"/>
      <c r="CL1412" s="1144"/>
      <c r="CM1412" s="1144"/>
      <c r="CN1412" s="1144"/>
      <c r="CO1412" s="84"/>
      <c r="CP1412" s="84"/>
      <c r="CQ1412" s="101"/>
      <c r="CR1412" s="101"/>
      <c r="CS1412" s="101"/>
      <c r="CT1412" s="101"/>
      <c r="CU1412" s="101"/>
      <c r="CV1412" s="101"/>
      <c r="CW1412" s="101"/>
      <c r="CX1412" s="101"/>
      <c r="CY1412" s="101"/>
      <c r="CZ1412" s="101"/>
      <c r="DA1412" s="101"/>
      <c r="DB1412" s="101"/>
      <c r="DC1412" s="101"/>
      <c r="DD1412" s="101"/>
      <c r="DE1412" s="101"/>
      <c r="DF1412" s="101"/>
      <c r="DG1412" s="101"/>
      <c r="DH1412" s="101"/>
      <c r="DI1412" s="101"/>
      <c r="DJ1412" s="101"/>
      <c r="DK1412" s="101"/>
      <c r="DL1412" s="101"/>
      <c r="DM1412" s="101"/>
      <c r="DN1412" s="101"/>
      <c r="DO1412" s="101"/>
      <c r="DP1412" s="101"/>
      <c r="DQ1412" s="101"/>
    </row>
    <row r="1413" spans="1:121" s="40" customFormat="1" ht="12" customHeight="1" x14ac:dyDescent="0.3">
      <c r="A1413" s="101"/>
      <c r="F1413" s="485">
        <f t="shared" si="838"/>
        <v>244</v>
      </c>
      <c r="G1413" s="485">
        <f>Infrastructure!D77</f>
        <v>244</v>
      </c>
      <c r="I1413" s="40">
        <v>8</v>
      </c>
      <c r="J1413" s="977">
        <f t="shared" si="839"/>
        <v>0</v>
      </c>
      <c r="K1413" s="977">
        <f t="shared" si="840"/>
        <v>0</v>
      </c>
      <c r="L1413" s="977">
        <f t="shared" si="840"/>
        <v>0</v>
      </c>
      <c r="M1413" s="977">
        <f t="shared" si="840"/>
        <v>0</v>
      </c>
      <c r="N1413" s="977">
        <f t="shared" si="840"/>
        <v>0</v>
      </c>
      <c r="O1413" s="977">
        <f t="shared" si="840"/>
        <v>0</v>
      </c>
      <c r="P1413" s="977">
        <f t="shared" si="840"/>
        <v>0</v>
      </c>
      <c r="Q1413" s="977">
        <f t="shared" si="840"/>
        <v>0</v>
      </c>
      <c r="R1413" s="977">
        <f t="shared" si="840"/>
        <v>0</v>
      </c>
      <c r="S1413" s="977">
        <f t="shared" si="840"/>
        <v>0</v>
      </c>
      <c r="T1413" s="977">
        <f t="shared" si="840"/>
        <v>0</v>
      </c>
      <c r="U1413" s="977">
        <f t="shared" si="840"/>
        <v>0</v>
      </c>
      <c r="V1413" s="977">
        <f t="shared" si="840"/>
        <v>0</v>
      </c>
      <c r="W1413" s="977">
        <f t="shared" si="840"/>
        <v>0</v>
      </c>
      <c r="X1413" s="977">
        <f t="shared" si="840"/>
        <v>0</v>
      </c>
      <c r="Y1413" s="977">
        <f t="shared" si="840"/>
        <v>0</v>
      </c>
      <c r="Z1413" s="977">
        <f t="shared" si="840"/>
        <v>0</v>
      </c>
      <c r="AA1413" s="977">
        <f t="shared" si="840"/>
        <v>0</v>
      </c>
      <c r="AB1413" s="977">
        <f t="shared" si="840"/>
        <v>0</v>
      </c>
      <c r="AC1413" s="977">
        <f t="shared" si="840"/>
        <v>0</v>
      </c>
      <c r="AD1413" s="977">
        <f t="shared" si="840"/>
        <v>0</v>
      </c>
      <c r="AE1413" s="977">
        <f t="shared" si="840"/>
        <v>0</v>
      </c>
      <c r="AF1413" s="977">
        <f t="shared" si="840"/>
        <v>0</v>
      </c>
      <c r="AG1413" s="977">
        <f t="shared" si="840"/>
        <v>0</v>
      </c>
      <c r="AH1413" s="977">
        <f t="shared" si="840"/>
        <v>0</v>
      </c>
      <c r="AI1413" s="376"/>
      <c r="AJ1413" s="376"/>
      <c r="AK1413" s="376"/>
      <c r="AL1413" s="1144"/>
      <c r="AM1413" s="1144"/>
      <c r="AN1413" s="1144"/>
      <c r="AO1413" s="1144"/>
      <c r="AP1413" s="1144"/>
      <c r="AQ1413" s="1144"/>
      <c r="AR1413" s="1144"/>
      <c r="AS1413" s="1144"/>
      <c r="AT1413" s="1144"/>
      <c r="AU1413" s="1144"/>
      <c r="AV1413" s="1144"/>
      <c r="AW1413" s="1144"/>
      <c r="AX1413" s="1144"/>
      <c r="AY1413" s="1144"/>
      <c r="AZ1413" s="1144"/>
      <c r="BA1413" s="1144"/>
      <c r="BB1413" s="1144"/>
      <c r="BC1413" s="1144"/>
      <c r="BD1413" s="1144"/>
      <c r="BE1413" s="1144"/>
      <c r="BF1413" s="1144"/>
      <c r="BG1413" s="1144"/>
      <c r="BH1413" s="1144"/>
      <c r="BI1413" s="1144"/>
      <c r="BJ1413" s="1144"/>
      <c r="BK1413" s="1144"/>
      <c r="BL1413" s="1144"/>
      <c r="BM1413" s="1144"/>
      <c r="BN1413" s="1144"/>
      <c r="BO1413" s="1144"/>
      <c r="BP1413" s="1144"/>
      <c r="BQ1413" s="1144"/>
      <c r="BR1413" s="1144"/>
      <c r="BS1413" s="1144"/>
      <c r="BT1413" s="1144"/>
      <c r="BU1413" s="1144"/>
      <c r="BV1413" s="1144"/>
      <c r="BW1413" s="1144"/>
      <c r="BX1413" s="1144"/>
      <c r="BY1413" s="1144"/>
      <c r="BZ1413" s="1144"/>
      <c r="CA1413" s="1144"/>
      <c r="CB1413" s="1144"/>
      <c r="CC1413" s="1144"/>
      <c r="CD1413" s="1144"/>
      <c r="CE1413" s="1144"/>
      <c r="CF1413" s="1144"/>
      <c r="CG1413" s="1144"/>
      <c r="CH1413" s="1144"/>
      <c r="CI1413" s="1144"/>
      <c r="CJ1413" s="1144"/>
      <c r="CK1413" s="1144"/>
      <c r="CL1413" s="1144"/>
      <c r="CM1413" s="1144"/>
      <c r="CN1413" s="1144"/>
      <c r="CO1413" s="84"/>
      <c r="CP1413" s="84"/>
      <c r="CQ1413" s="101"/>
      <c r="CR1413" s="101"/>
      <c r="CS1413" s="101"/>
      <c r="CT1413" s="101"/>
      <c r="CU1413" s="101"/>
      <c r="CV1413" s="101"/>
      <c r="CW1413" s="101"/>
      <c r="CX1413" s="101"/>
      <c r="CY1413" s="101"/>
      <c r="CZ1413" s="101"/>
      <c r="DA1413" s="101"/>
      <c r="DB1413" s="101"/>
      <c r="DC1413" s="101"/>
      <c r="DD1413" s="101"/>
      <c r="DE1413" s="101"/>
      <c r="DF1413" s="101"/>
      <c r="DG1413" s="101"/>
      <c r="DH1413" s="101"/>
      <c r="DI1413" s="101"/>
      <c r="DJ1413" s="101"/>
      <c r="DK1413" s="101"/>
      <c r="DL1413" s="101"/>
      <c r="DM1413" s="101"/>
      <c r="DN1413" s="101"/>
      <c r="DO1413" s="101"/>
      <c r="DP1413" s="101"/>
      <c r="DQ1413" s="101"/>
    </row>
    <row r="1414" spans="1:121" s="40" customFormat="1" ht="12" customHeight="1" x14ac:dyDescent="0.3">
      <c r="A1414" s="101"/>
      <c r="F1414" s="485">
        <f t="shared" si="838"/>
        <v>274</v>
      </c>
      <c r="G1414" s="485">
        <f>Infrastructure!D78</f>
        <v>274</v>
      </c>
      <c r="I1414" s="40">
        <v>9</v>
      </c>
      <c r="J1414" s="977">
        <f t="shared" si="839"/>
        <v>0</v>
      </c>
      <c r="K1414" s="977">
        <f t="shared" si="840"/>
        <v>0</v>
      </c>
      <c r="L1414" s="977">
        <f t="shared" si="840"/>
        <v>0</v>
      </c>
      <c r="M1414" s="977">
        <f t="shared" si="840"/>
        <v>0</v>
      </c>
      <c r="N1414" s="977">
        <f t="shared" si="840"/>
        <v>0</v>
      </c>
      <c r="O1414" s="977">
        <f t="shared" si="840"/>
        <v>0</v>
      </c>
      <c r="P1414" s="977">
        <f t="shared" si="840"/>
        <v>0</v>
      </c>
      <c r="Q1414" s="977">
        <f t="shared" si="840"/>
        <v>0</v>
      </c>
      <c r="R1414" s="977">
        <f t="shared" si="840"/>
        <v>0</v>
      </c>
      <c r="S1414" s="977">
        <f t="shared" si="840"/>
        <v>0</v>
      </c>
      <c r="T1414" s="977">
        <f t="shared" si="840"/>
        <v>0</v>
      </c>
      <c r="U1414" s="977">
        <f t="shared" si="840"/>
        <v>0</v>
      </c>
      <c r="V1414" s="977">
        <f t="shared" si="840"/>
        <v>0</v>
      </c>
      <c r="W1414" s="977">
        <f t="shared" si="840"/>
        <v>0</v>
      </c>
      <c r="X1414" s="977">
        <f t="shared" si="840"/>
        <v>0</v>
      </c>
      <c r="Y1414" s="977">
        <f t="shared" si="840"/>
        <v>0</v>
      </c>
      <c r="Z1414" s="977">
        <f t="shared" si="840"/>
        <v>0</v>
      </c>
      <c r="AA1414" s="977">
        <f t="shared" si="840"/>
        <v>0</v>
      </c>
      <c r="AB1414" s="977">
        <f t="shared" si="840"/>
        <v>0</v>
      </c>
      <c r="AC1414" s="977">
        <f t="shared" si="840"/>
        <v>0</v>
      </c>
      <c r="AD1414" s="977">
        <f t="shared" si="840"/>
        <v>0</v>
      </c>
      <c r="AE1414" s="977">
        <f t="shared" si="840"/>
        <v>0</v>
      </c>
      <c r="AF1414" s="977">
        <f t="shared" si="840"/>
        <v>0</v>
      </c>
      <c r="AG1414" s="977">
        <f t="shared" si="840"/>
        <v>0</v>
      </c>
      <c r="AH1414" s="977">
        <f t="shared" si="840"/>
        <v>0</v>
      </c>
      <c r="AI1414" s="376"/>
      <c r="AJ1414" s="376"/>
      <c r="AK1414" s="376"/>
      <c r="AL1414" s="1144"/>
      <c r="AM1414" s="1144"/>
      <c r="AN1414" s="1144"/>
      <c r="AO1414" s="1144"/>
      <c r="AP1414" s="1144"/>
      <c r="AQ1414" s="1144"/>
      <c r="AR1414" s="1144"/>
      <c r="AS1414" s="1144"/>
      <c r="AT1414" s="1144"/>
      <c r="AU1414" s="1144"/>
      <c r="AV1414" s="1144"/>
      <c r="AW1414" s="1144"/>
      <c r="AX1414" s="1144"/>
      <c r="AY1414" s="1144"/>
      <c r="AZ1414" s="1144"/>
      <c r="BA1414" s="1144"/>
      <c r="BB1414" s="1144"/>
      <c r="BC1414" s="1144"/>
      <c r="BD1414" s="1144"/>
      <c r="BE1414" s="1144"/>
      <c r="BF1414" s="1144"/>
      <c r="BG1414" s="1144"/>
      <c r="BH1414" s="1144"/>
      <c r="BI1414" s="1144"/>
      <c r="BJ1414" s="1144"/>
      <c r="BK1414" s="1144"/>
      <c r="BL1414" s="1144"/>
      <c r="BM1414" s="1144"/>
      <c r="BN1414" s="1144"/>
      <c r="BO1414" s="1144"/>
      <c r="BP1414" s="1144"/>
      <c r="BQ1414" s="1144"/>
      <c r="BR1414" s="1144"/>
      <c r="BS1414" s="1144"/>
      <c r="BT1414" s="1144"/>
      <c r="BU1414" s="1144"/>
      <c r="BV1414" s="1144"/>
      <c r="BW1414" s="1144"/>
      <c r="BX1414" s="1144"/>
      <c r="BY1414" s="1144"/>
      <c r="BZ1414" s="1144"/>
      <c r="CA1414" s="1144"/>
      <c r="CB1414" s="1144"/>
      <c r="CC1414" s="1144"/>
      <c r="CD1414" s="1144"/>
      <c r="CE1414" s="1144"/>
      <c r="CF1414" s="1144"/>
      <c r="CG1414" s="1144"/>
      <c r="CH1414" s="1144"/>
      <c r="CI1414" s="1144"/>
      <c r="CJ1414" s="1144"/>
      <c r="CK1414" s="1144"/>
      <c r="CL1414" s="1144"/>
      <c r="CM1414" s="1144"/>
      <c r="CN1414" s="1144"/>
      <c r="CO1414" s="84"/>
      <c r="CP1414" s="84"/>
      <c r="CQ1414" s="101"/>
      <c r="CR1414" s="101"/>
      <c r="CS1414" s="101"/>
      <c r="CT1414" s="101"/>
      <c r="CU1414" s="101"/>
      <c r="CV1414" s="101"/>
      <c r="CW1414" s="101"/>
      <c r="CX1414" s="101"/>
      <c r="CY1414" s="101"/>
      <c r="CZ1414" s="101"/>
      <c r="DA1414" s="101"/>
      <c r="DB1414" s="101"/>
      <c r="DC1414" s="101"/>
      <c r="DD1414" s="101"/>
      <c r="DE1414" s="101"/>
      <c r="DF1414" s="101"/>
      <c r="DG1414" s="101"/>
      <c r="DH1414" s="101"/>
      <c r="DI1414" s="101"/>
      <c r="DJ1414" s="101"/>
      <c r="DK1414" s="101"/>
      <c r="DL1414" s="101"/>
      <c r="DM1414" s="101"/>
      <c r="DN1414" s="101"/>
      <c r="DO1414" s="101"/>
      <c r="DP1414" s="101"/>
      <c r="DQ1414" s="101"/>
    </row>
    <row r="1415" spans="1:121" s="40" customFormat="1" ht="12" customHeight="1" x14ac:dyDescent="0.3">
      <c r="A1415" s="101"/>
      <c r="F1415" s="485">
        <f t="shared" si="838"/>
        <v>305</v>
      </c>
      <c r="G1415" s="485">
        <f>Infrastructure!D79</f>
        <v>305</v>
      </c>
      <c r="I1415" s="40">
        <v>10</v>
      </c>
      <c r="J1415" s="977">
        <f t="shared" si="839"/>
        <v>0</v>
      </c>
      <c r="K1415" s="977">
        <f t="shared" si="840"/>
        <v>0</v>
      </c>
      <c r="L1415" s="977">
        <f t="shared" si="840"/>
        <v>0</v>
      </c>
      <c r="M1415" s="977">
        <f t="shared" si="840"/>
        <v>0</v>
      </c>
      <c r="N1415" s="977">
        <f t="shared" si="840"/>
        <v>0</v>
      </c>
      <c r="O1415" s="977">
        <f t="shared" si="840"/>
        <v>0</v>
      </c>
      <c r="P1415" s="977">
        <f t="shared" si="840"/>
        <v>0</v>
      </c>
      <c r="Q1415" s="977">
        <f t="shared" si="840"/>
        <v>0</v>
      </c>
      <c r="R1415" s="977">
        <f t="shared" si="840"/>
        <v>0</v>
      </c>
      <c r="S1415" s="977">
        <f t="shared" si="840"/>
        <v>0</v>
      </c>
      <c r="T1415" s="977">
        <f t="shared" si="840"/>
        <v>0</v>
      </c>
      <c r="U1415" s="977">
        <f t="shared" si="840"/>
        <v>0</v>
      </c>
      <c r="V1415" s="977">
        <f t="shared" si="840"/>
        <v>0</v>
      </c>
      <c r="W1415" s="977">
        <f t="shared" si="840"/>
        <v>0</v>
      </c>
      <c r="X1415" s="977">
        <f t="shared" si="840"/>
        <v>0</v>
      </c>
      <c r="Y1415" s="977">
        <f t="shared" si="840"/>
        <v>0</v>
      </c>
      <c r="Z1415" s="977">
        <f t="shared" si="840"/>
        <v>0</v>
      </c>
      <c r="AA1415" s="977">
        <f t="shared" si="840"/>
        <v>0</v>
      </c>
      <c r="AB1415" s="977">
        <f t="shared" si="840"/>
        <v>0</v>
      </c>
      <c r="AC1415" s="977">
        <f t="shared" si="840"/>
        <v>0</v>
      </c>
      <c r="AD1415" s="977">
        <f t="shared" si="840"/>
        <v>0</v>
      </c>
      <c r="AE1415" s="977">
        <f t="shared" si="840"/>
        <v>0</v>
      </c>
      <c r="AF1415" s="977">
        <f t="shared" si="840"/>
        <v>0</v>
      </c>
      <c r="AG1415" s="977">
        <f t="shared" si="840"/>
        <v>0</v>
      </c>
      <c r="AH1415" s="977">
        <f t="shared" si="840"/>
        <v>0</v>
      </c>
      <c r="AI1415" s="376"/>
      <c r="AJ1415" s="376"/>
      <c r="AK1415" s="376"/>
      <c r="AL1415" s="1144"/>
      <c r="AM1415" s="1144"/>
      <c r="AN1415" s="1144"/>
      <c r="AO1415" s="1144"/>
      <c r="AP1415" s="1144"/>
      <c r="AQ1415" s="1144"/>
      <c r="AR1415" s="1144"/>
      <c r="AS1415" s="1144"/>
      <c r="AT1415" s="1144"/>
      <c r="AU1415" s="1144"/>
      <c r="AV1415" s="1144"/>
      <c r="AW1415" s="1144"/>
      <c r="AX1415" s="1144"/>
      <c r="AY1415" s="1144"/>
      <c r="AZ1415" s="1144"/>
      <c r="BA1415" s="1144"/>
      <c r="BB1415" s="1144"/>
      <c r="BC1415" s="1144"/>
      <c r="BD1415" s="1144"/>
      <c r="BE1415" s="1144"/>
      <c r="BF1415" s="1144"/>
      <c r="BG1415" s="1144"/>
      <c r="BH1415" s="1144"/>
      <c r="BI1415" s="1144"/>
      <c r="BJ1415" s="1144"/>
      <c r="BK1415" s="1144"/>
      <c r="BL1415" s="1144"/>
      <c r="BM1415" s="1144"/>
      <c r="BN1415" s="1144"/>
      <c r="BO1415" s="1144"/>
      <c r="BP1415" s="1144"/>
      <c r="BQ1415" s="1144"/>
      <c r="BR1415" s="1144"/>
      <c r="BS1415" s="1144"/>
      <c r="BT1415" s="1144"/>
      <c r="BU1415" s="1144"/>
      <c r="BV1415" s="1144"/>
      <c r="BW1415" s="1144"/>
      <c r="BX1415" s="1144"/>
      <c r="BY1415" s="1144"/>
      <c r="BZ1415" s="1144"/>
      <c r="CA1415" s="1144"/>
      <c r="CB1415" s="1144"/>
      <c r="CC1415" s="1144"/>
      <c r="CD1415" s="1144"/>
      <c r="CE1415" s="1144"/>
      <c r="CF1415" s="1144"/>
      <c r="CG1415" s="1144"/>
      <c r="CH1415" s="1144"/>
      <c r="CI1415" s="1144"/>
      <c r="CJ1415" s="1144"/>
      <c r="CK1415" s="1144"/>
      <c r="CL1415" s="1144"/>
      <c r="CM1415" s="1144"/>
      <c r="CN1415" s="1144"/>
      <c r="CO1415" s="84"/>
      <c r="CP1415" s="84"/>
      <c r="CQ1415" s="101"/>
      <c r="CR1415" s="101"/>
      <c r="CS1415" s="101"/>
      <c r="CT1415" s="101"/>
      <c r="CU1415" s="101"/>
      <c r="CV1415" s="101"/>
      <c r="CW1415" s="101"/>
      <c r="CX1415" s="101"/>
      <c r="CY1415" s="101"/>
      <c r="CZ1415" s="101"/>
      <c r="DA1415" s="101"/>
      <c r="DB1415" s="101"/>
      <c r="DC1415" s="101"/>
      <c r="DD1415" s="101"/>
      <c r="DE1415" s="101"/>
      <c r="DF1415" s="101"/>
      <c r="DG1415" s="101"/>
      <c r="DH1415" s="101"/>
      <c r="DI1415" s="101"/>
      <c r="DJ1415" s="101"/>
      <c r="DK1415" s="101"/>
      <c r="DL1415" s="101"/>
      <c r="DM1415" s="101"/>
      <c r="DN1415" s="101"/>
      <c r="DO1415" s="101"/>
      <c r="DP1415" s="101"/>
      <c r="DQ1415" s="101"/>
    </row>
    <row r="1416" spans="1:121" s="40" customFormat="1" ht="12" customHeight="1" x14ac:dyDescent="0.3">
      <c r="A1416" s="101"/>
      <c r="F1416" s="485">
        <f t="shared" si="838"/>
        <v>335</v>
      </c>
      <c r="G1416" s="485">
        <f>Infrastructure!D80</f>
        <v>335</v>
      </c>
      <c r="I1416" s="40">
        <v>11</v>
      </c>
      <c r="J1416" s="977">
        <f t="shared" si="839"/>
        <v>0</v>
      </c>
      <c r="K1416" s="977">
        <f t="shared" si="840"/>
        <v>0</v>
      </c>
      <c r="L1416" s="977">
        <f t="shared" si="840"/>
        <v>0</v>
      </c>
      <c r="M1416" s="977">
        <f t="shared" si="840"/>
        <v>0</v>
      </c>
      <c r="N1416" s="977">
        <f t="shared" si="840"/>
        <v>0</v>
      </c>
      <c r="O1416" s="977">
        <f t="shared" si="840"/>
        <v>0</v>
      </c>
      <c r="P1416" s="977">
        <f t="shared" si="840"/>
        <v>0</v>
      </c>
      <c r="Q1416" s="977">
        <f t="shared" si="840"/>
        <v>0</v>
      </c>
      <c r="R1416" s="977">
        <f t="shared" si="840"/>
        <v>0</v>
      </c>
      <c r="S1416" s="977">
        <f t="shared" si="840"/>
        <v>0</v>
      </c>
      <c r="T1416" s="977">
        <f t="shared" si="840"/>
        <v>0</v>
      </c>
      <c r="U1416" s="977">
        <f t="shared" si="840"/>
        <v>0</v>
      </c>
      <c r="V1416" s="977">
        <f t="shared" si="840"/>
        <v>0</v>
      </c>
      <c r="W1416" s="977">
        <f t="shared" si="840"/>
        <v>0</v>
      </c>
      <c r="X1416" s="977">
        <f t="shared" si="840"/>
        <v>0</v>
      </c>
      <c r="Y1416" s="977">
        <f t="shared" si="840"/>
        <v>0</v>
      </c>
      <c r="Z1416" s="977">
        <f t="shared" si="840"/>
        <v>0</v>
      </c>
      <c r="AA1416" s="977">
        <f t="shared" si="840"/>
        <v>0</v>
      </c>
      <c r="AB1416" s="977">
        <f t="shared" si="840"/>
        <v>0</v>
      </c>
      <c r="AC1416" s="977">
        <f t="shared" si="840"/>
        <v>0</v>
      </c>
      <c r="AD1416" s="977">
        <f t="shared" si="840"/>
        <v>0</v>
      </c>
      <c r="AE1416" s="977">
        <f t="shared" si="840"/>
        <v>0</v>
      </c>
      <c r="AF1416" s="977">
        <f t="shared" si="840"/>
        <v>0</v>
      </c>
      <c r="AG1416" s="977">
        <f t="shared" si="840"/>
        <v>0</v>
      </c>
      <c r="AH1416" s="977">
        <f t="shared" si="840"/>
        <v>0</v>
      </c>
      <c r="AI1416" s="376"/>
      <c r="AJ1416" s="376"/>
      <c r="AK1416" s="376"/>
      <c r="AL1416" s="1144"/>
      <c r="AM1416" s="1144"/>
      <c r="AN1416" s="1144"/>
      <c r="AO1416" s="1144"/>
      <c r="AP1416" s="1144"/>
      <c r="AQ1416" s="1144"/>
      <c r="AR1416" s="1144"/>
      <c r="AS1416" s="1144"/>
      <c r="AT1416" s="1144"/>
      <c r="AU1416" s="1144"/>
      <c r="AV1416" s="1144"/>
      <c r="AW1416" s="1144"/>
      <c r="AX1416" s="1144"/>
      <c r="AY1416" s="1144"/>
      <c r="AZ1416" s="1144"/>
      <c r="BA1416" s="1144"/>
      <c r="BB1416" s="1144"/>
      <c r="BC1416" s="1144"/>
      <c r="BD1416" s="1144"/>
      <c r="BE1416" s="1144"/>
      <c r="BF1416" s="1144"/>
      <c r="BG1416" s="1144"/>
      <c r="BH1416" s="1144"/>
      <c r="BI1416" s="1144"/>
      <c r="BJ1416" s="1144"/>
      <c r="BK1416" s="1144"/>
      <c r="BL1416" s="1144"/>
      <c r="BM1416" s="1144"/>
      <c r="BN1416" s="1144"/>
      <c r="BO1416" s="1144"/>
      <c r="BP1416" s="1144"/>
      <c r="BQ1416" s="1144"/>
      <c r="BR1416" s="1144"/>
      <c r="BS1416" s="1144"/>
      <c r="BT1416" s="1144"/>
      <c r="BU1416" s="1144"/>
      <c r="BV1416" s="1144"/>
      <c r="BW1416" s="1144"/>
      <c r="BX1416" s="1144"/>
      <c r="BY1416" s="1144"/>
      <c r="BZ1416" s="1144"/>
      <c r="CA1416" s="1144"/>
      <c r="CB1416" s="1144"/>
      <c r="CC1416" s="1144"/>
      <c r="CD1416" s="1144"/>
      <c r="CE1416" s="1144"/>
      <c r="CF1416" s="1144"/>
      <c r="CG1416" s="1144"/>
      <c r="CH1416" s="1144"/>
      <c r="CI1416" s="1144"/>
      <c r="CJ1416" s="1144"/>
      <c r="CK1416" s="1144"/>
      <c r="CL1416" s="1144"/>
      <c r="CM1416" s="1144"/>
      <c r="CN1416" s="1144"/>
      <c r="CO1416" s="84"/>
      <c r="CP1416" s="84"/>
      <c r="CQ1416" s="101"/>
      <c r="CR1416" s="101"/>
      <c r="CS1416" s="101"/>
      <c r="CT1416" s="101"/>
      <c r="CU1416" s="101"/>
      <c r="CV1416" s="101"/>
      <c r="CW1416" s="101"/>
      <c r="CX1416" s="101"/>
      <c r="CY1416" s="101"/>
      <c r="CZ1416" s="101"/>
      <c r="DA1416" s="101"/>
      <c r="DB1416" s="101"/>
      <c r="DC1416" s="101"/>
      <c r="DD1416" s="101"/>
      <c r="DE1416" s="101"/>
      <c r="DF1416" s="101"/>
      <c r="DG1416" s="101"/>
      <c r="DH1416" s="101"/>
      <c r="DI1416" s="101"/>
      <c r="DJ1416" s="101"/>
      <c r="DK1416" s="101"/>
      <c r="DL1416" s="101"/>
      <c r="DM1416" s="101"/>
      <c r="DN1416" s="101"/>
      <c r="DO1416" s="101"/>
      <c r="DP1416" s="101"/>
      <c r="DQ1416" s="101"/>
    </row>
    <row r="1417" spans="1:121" s="40" customFormat="1" ht="12" customHeight="1" x14ac:dyDescent="0.3">
      <c r="A1417" s="101"/>
      <c r="F1417" s="485">
        <f t="shared" si="838"/>
        <v>366</v>
      </c>
      <c r="G1417" s="485">
        <f>Infrastructure!D81</f>
        <v>366</v>
      </c>
      <c r="I1417" s="40">
        <v>12</v>
      </c>
      <c r="J1417" s="977">
        <f t="shared" si="839"/>
        <v>0</v>
      </c>
      <c r="K1417" s="977">
        <f t="shared" si="840"/>
        <v>0</v>
      </c>
      <c r="L1417" s="977">
        <f t="shared" si="840"/>
        <v>0</v>
      </c>
      <c r="M1417" s="977">
        <f t="shared" si="840"/>
        <v>0</v>
      </c>
      <c r="N1417" s="977">
        <f t="shared" si="840"/>
        <v>0</v>
      </c>
      <c r="O1417" s="977">
        <f t="shared" si="840"/>
        <v>0</v>
      </c>
      <c r="P1417" s="977">
        <f t="shared" si="840"/>
        <v>0</v>
      </c>
      <c r="Q1417" s="977">
        <f t="shared" si="840"/>
        <v>0</v>
      </c>
      <c r="R1417" s="977">
        <f t="shared" si="840"/>
        <v>0</v>
      </c>
      <c r="S1417" s="977">
        <f t="shared" si="840"/>
        <v>0</v>
      </c>
      <c r="T1417" s="977">
        <f t="shared" si="840"/>
        <v>0</v>
      </c>
      <c r="U1417" s="977">
        <f t="shared" si="840"/>
        <v>0</v>
      </c>
      <c r="V1417" s="977">
        <f t="shared" si="840"/>
        <v>0</v>
      </c>
      <c r="W1417" s="977">
        <f t="shared" si="840"/>
        <v>0</v>
      </c>
      <c r="X1417" s="977">
        <f t="shared" si="840"/>
        <v>0</v>
      </c>
      <c r="Y1417" s="977">
        <f t="shared" si="840"/>
        <v>0</v>
      </c>
      <c r="Z1417" s="977">
        <f t="shared" ref="Z1417" si="841">Z1416</f>
        <v>0</v>
      </c>
      <c r="AA1417" s="977">
        <f t="shared" ref="AA1417" si="842">AA1416</f>
        <v>0</v>
      </c>
      <c r="AB1417" s="977">
        <f t="shared" ref="AB1417" si="843">AB1416</f>
        <v>0</v>
      </c>
      <c r="AC1417" s="977">
        <f t="shared" ref="AC1417" si="844">AC1416</f>
        <v>0</v>
      </c>
      <c r="AD1417" s="977">
        <f t="shared" ref="AD1417" si="845">AD1416</f>
        <v>0</v>
      </c>
      <c r="AE1417" s="977">
        <f t="shared" ref="AE1417" si="846">AE1416</f>
        <v>0</v>
      </c>
      <c r="AF1417" s="977">
        <f t="shared" ref="AF1417" si="847">AF1416</f>
        <v>0</v>
      </c>
      <c r="AG1417" s="977">
        <f t="shared" ref="AG1417" si="848">AG1416</f>
        <v>0</v>
      </c>
      <c r="AH1417" s="977">
        <f t="shared" ref="AH1417" si="849">AH1416</f>
        <v>0</v>
      </c>
      <c r="AI1417" s="376"/>
      <c r="AJ1417" s="376"/>
      <c r="AK1417" s="376"/>
      <c r="AL1417" s="1144"/>
      <c r="AM1417" s="1144"/>
      <c r="AN1417" s="1144"/>
      <c r="AO1417" s="1144"/>
      <c r="AP1417" s="1144"/>
      <c r="AQ1417" s="1144"/>
      <c r="AR1417" s="1144"/>
      <c r="AS1417" s="1144"/>
      <c r="AT1417" s="1144"/>
      <c r="AU1417" s="1144"/>
      <c r="AV1417" s="1144"/>
      <c r="AW1417" s="1144"/>
      <c r="AX1417" s="1144"/>
      <c r="AY1417" s="1144"/>
      <c r="AZ1417" s="1144"/>
      <c r="BA1417" s="1144"/>
      <c r="BB1417" s="1144"/>
      <c r="BC1417" s="1144"/>
      <c r="BD1417" s="1144"/>
      <c r="BE1417" s="1144"/>
      <c r="BF1417" s="1144"/>
      <c r="BG1417" s="1144"/>
      <c r="BH1417" s="1144"/>
      <c r="BI1417" s="1144"/>
      <c r="BJ1417" s="1144"/>
      <c r="BK1417" s="1144"/>
      <c r="BL1417" s="1144"/>
      <c r="BM1417" s="1144"/>
      <c r="BN1417" s="1144"/>
      <c r="BO1417" s="1144"/>
      <c r="BP1417" s="1144"/>
      <c r="BQ1417" s="1144"/>
      <c r="BR1417" s="1144"/>
      <c r="BS1417" s="1144"/>
      <c r="BT1417" s="1144"/>
      <c r="BU1417" s="1144"/>
      <c r="BV1417" s="1144"/>
      <c r="BW1417" s="1144"/>
      <c r="BX1417" s="1144"/>
      <c r="BY1417" s="1144"/>
      <c r="BZ1417" s="1144"/>
      <c r="CA1417" s="1144"/>
      <c r="CB1417" s="1144"/>
      <c r="CC1417" s="1144"/>
      <c r="CD1417" s="1144"/>
      <c r="CE1417" s="1144"/>
      <c r="CF1417" s="1144"/>
      <c r="CG1417" s="1144"/>
      <c r="CH1417" s="1144"/>
      <c r="CI1417" s="1144"/>
      <c r="CJ1417" s="1144"/>
      <c r="CK1417" s="1144"/>
      <c r="CL1417" s="1144"/>
      <c r="CM1417" s="1144"/>
      <c r="CN1417" s="1144"/>
      <c r="CO1417" s="84"/>
      <c r="CP1417" s="84"/>
      <c r="CQ1417" s="101"/>
      <c r="CR1417" s="101"/>
      <c r="CS1417" s="101"/>
      <c r="CT1417" s="101"/>
      <c r="CU1417" s="101"/>
      <c r="CV1417" s="101"/>
      <c r="CW1417" s="101"/>
      <c r="CX1417" s="101"/>
      <c r="CY1417" s="101"/>
      <c r="CZ1417" s="101"/>
      <c r="DA1417" s="101"/>
      <c r="DB1417" s="101"/>
      <c r="DC1417" s="101"/>
      <c r="DD1417" s="101"/>
      <c r="DE1417" s="101"/>
      <c r="DF1417" s="101"/>
      <c r="DG1417" s="101"/>
      <c r="DH1417" s="101"/>
      <c r="DI1417" s="101"/>
      <c r="DJ1417" s="101"/>
      <c r="DK1417" s="101"/>
      <c r="DL1417" s="101"/>
      <c r="DM1417" s="101"/>
      <c r="DN1417" s="101"/>
      <c r="DO1417" s="101"/>
      <c r="DP1417" s="101"/>
      <c r="DQ1417" s="101"/>
    </row>
    <row r="1418" spans="1:121" s="40" customFormat="1" ht="12" customHeight="1" x14ac:dyDescent="0.3">
      <c r="A1418" s="101"/>
      <c r="F1418" s="485">
        <f t="shared" si="838"/>
        <v>397</v>
      </c>
      <c r="G1418" s="485">
        <f>Infrastructure!D82</f>
        <v>397</v>
      </c>
      <c r="I1418" s="40">
        <v>13</v>
      </c>
      <c r="J1418" s="977">
        <f>Input!D65</f>
        <v>0</v>
      </c>
      <c r="K1418" s="977">
        <f>Input!E65</f>
        <v>0</v>
      </c>
      <c r="L1418" s="977">
        <f>Input!F65</f>
        <v>0</v>
      </c>
      <c r="M1418" s="977">
        <f>Input!G65</f>
        <v>0</v>
      </c>
      <c r="N1418" s="977">
        <f>Input!H65</f>
        <v>0</v>
      </c>
      <c r="O1418" s="977">
        <f>Input!I65</f>
        <v>0</v>
      </c>
      <c r="P1418" s="977">
        <f>Input!J65</f>
        <v>0</v>
      </c>
      <c r="Q1418" s="977">
        <f>Input!K65</f>
        <v>0</v>
      </c>
      <c r="R1418" s="977">
        <f>Input!L65</f>
        <v>0</v>
      </c>
      <c r="S1418" s="977">
        <f>Input!M65</f>
        <v>0</v>
      </c>
      <c r="T1418" s="977">
        <f>Input!N65</f>
        <v>0</v>
      </c>
      <c r="U1418" s="977">
        <f>Input!O65</f>
        <v>0</v>
      </c>
      <c r="V1418" s="977">
        <f>Input!P65</f>
        <v>0</v>
      </c>
      <c r="W1418" s="977">
        <f>Input!Q65</f>
        <v>0</v>
      </c>
      <c r="X1418" s="977">
        <f>Input!R65</f>
        <v>0</v>
      </c>
      <c r="Y1418" s="977">
        <f>Input!S65</f>
        <v>0</v>
      </c>
      <c r="Z1418" s="977">
        <f>Input!T65</f>
        <v>0</v>
      </c>
      <c r="AA1418" s="977">
        <f>Input!U65</f>
        <v>0</v>
      </c>
      <c r="AB1418" s="977">
        <f>Input!V65</f>
        <v>0</v>
      </c>
      <c r="AC1418" s="977">
        <f>Input!W65</f>
        <v>0</v>
      </c>
      <c r="AD1418" s="977">
        <f>Input!X65</f>
        <v>0</v>
      </c>
      <c r="AE1418" s="977">
        <f>Input!Y65</f>
        <v>0</v>
      </c>
      <c r="AF1418" s="977">
        <f>Input!Z65</f>
        <v>0</v>
      </c>
      <c r="AG1418" s="977">
        <f>Input!AA65</f>
        <v>0</v>
      </c>
      <c r="AH1418" s="977">
        <f>Input!AB65</f>
        <v>0</v>
      </c>
      <c r="AI1418" s="376"/>
      <c r="AJ1418" s="376"/>
      <c r="AK1418" s="376"/>
      <c r="AL1418" s="1144"/>
      <c r="AM1418" s="1144"/>
      <c r="AN1418" s="1144"/>
      <c r="AO1418" s="1144"/>
      <c r="AP1418" s="1144"/>
      <c r="AQ1418" s="1144"/>
      <c r="AR1418" s="1144"/>
      <c r="AS1418" s="1144"/>
      <c r="AT1418" s="1144"/>
      <c r="AU1418" s="1144"/>
      <c r="AV1418" s="1144"/>
      <c r="AW1418" s="1144"/>
      <c r="AX1418" s="1144"/>
      <c r="AY1418" s="1144"/>
      <c r="AZ1418" s="1144"/>
      <c r="BA1418" s="1144"/>
      <c r="BB1418" s="1144"/>
      <c r="BC1418" s="1144"/>
      <c r="BD1418" s="1144"/>
      <c r="BE1418" s="1144"/>
      <c r="BF1418" s="1144"/>
      <c r="BG1418" s="1144"/>
      <c r="BH1418" s="1144"/>
      <c r="BI1418" s="1144"/>
      <c r="BJ1418" s="1144"/>
      <c r="BK1418" s="1144"/>
      <c r="BL1418" s="1144"/>
      <c r="BM1418" s="1144"/>
      <c r="BN1418" s="1144"/>
      <c r="BO1418" s="1144"/>
      <c r="BP1418" s="1144"/>
      <c r="BQ1418" s="1144"/>
      <c r="BR1418" s="1144"/>
      <c r="BS1418" s="1144"/>
      <c r="BT1418" s="1144"/>
      <c r="BU1418" s="1144"/>
      <c r="BV1418" s="1144"/>
      <c r="BW1418" s="1144"/>
      <c r="BX1418" s="1144"/>
      <c r="BY1418" s="1144"/>
      <c r="BZ1418" s="1144"/>
      <c r="CA1418" s="1144"/>
      <c r="CB1418" s="1144"/>
      <c r="CC1418" s="1144"/>
      <c r="CD1418" s="1144"/>
      <c r="CE1418" s="1144"/>
      <c r="CF1418" s="1144"/>
      <c r="CG1418" s="1144"/>
      <c r="CH1418" s="1144"/>
      <c r="CI1418" s="1144"/>
      <c r="CJ1418" s="1144"/>
      <c r="CK1418" s="1144"/>
      <c r="CL1418" s="1144"/>
      <c r="CM1418" s="1144"/>
      <c r="CN1418" s="1144"/>
      <c r="CO1418" s="84"/>
      <c r="CP1418" s="84"/>
      <c r="CQ1418" s="101"/>
      <c r="CR1418" s="101"/>
      <c r="CS1418" s="101"/>
      <c r="CT1418" s="101"/>
      <c r="CU1418" s="101"/>
      <c r="CV1418" s="101"/>
      <c r="CW1418" s="101"/>
      <c r="CX1418" s="101"/>
      <c r="CY1418" s="101"/>
      <c r="CZ1418" s="101"/>
      <c r="DA1418" s="101"/>
      <c r="DB1418" s="101"/>
      <c r="DC1418" s="101"/>
      <c r="DD1418" s="101"/>
      <c r="DE1418" s="101"/>
      <c r="DF1418" s="101"/>
      <c r="DG1418" s="101"/>
      <c r="DH1418" s="101"/>
      <c r="DI1418" s="101"/>
      <c r="DJ1418" s="101"/>
      <c r="DK1418" s="101"/>
      <c r="DL1418" s="101"/>
      <c r="DM1418" s="101"/>
      <c r="DN1418" s="101"/>
      <c r="DO1418" s="101"/>
      <c r="DP1418" s="101"/>
      <c r="DQ1418" s="101"/>
    </row>
    <row r="1419" spans="1:121" s="40" customFormat="1" ht="12" customHeight="1" x14ac:dyDescent="0.3">
      <c r="A1419" s="101"/>
      <c r="F1419" s="485">
        <f t="shared" si="838"/>
        <v>425</v>
      </c>
      <c r="G1419" s="485">
        <f>Infrastructure!D83</f>
        <v>425</v>
      </c>
      <c r="I1419" s="40">
        <v>14</v>
      </c>
      <c r="J1419" s="977">
        <f>J1418</f>
        <v>0</v>
      </c>
      <c r="K1419" s="977">
        <f t="shared" ref="K1419:AH1429" si="850">K1418</f>
        <v>0</v>
      </c>
      <c r="L1419" s="977">
        <f t="shared" si="850"/>
        <v>0</v>
      </c>
      <c r="M1419" s="977">
        <f t="shared" si="850"/>
        <v>0</v>
      </c>
      <c r="N1419" s="977">
        <f t="shared" si="850"/>
        <v>0</v>
      </c>
      <c r="O1419" s="977">
        <f t="shared" si="850"/>
        <v>0</v>
      </c>
      <c r="P1419" s="977">
        <f t="shared" si="850"/>
        <v>0</v>
      </c>
      <c r="Q1419" s="977">
        <f t="shared" si="850"/>
        <v>0</v>
      </c>
      <c r="R1419" s="977">
        <f t="shared" si="850"/>
        <v>0</v>
      </c>
      <c r="S1419" s="977">
        <f t="shared" si="850"/>
        <v>0</v>
      </c>
      <c r="T1419" s="977">
        <f t="shared" si="850"/>
        <v>0</v>
      </c>
      <c r="U1419" s="977">
        <f t="shared" si="850"/>
        <v>0</v>
      </c>
      <c r="V1419" s="977">
        <f t="shared" si="850"/>
        <v>0</v>
      </c>
      <c r="W1419" s="977">
        <f t="shared" si="850"/>
        <v>0</v>
      </c>
      <c r="X1419" s="977">
        <f t="shared" si="850"/>
        <v>0</v>
      </c>
      <c r="Y1419" s="977">
        <f t="shared" si="850"/>
        <v>0</v>
      </c>
      <c r="Z1419" s="977">
        <f t="shared" si="850"/>
        <v>0</v>
      </c>
      <c r="AA1419" s="977">
        <f t="shared" si="850"/>
        <v>0</v>
      </c>
      <c r="AB1419" s="977">
        <f t="shared" si="850"/>
        <v>0</v>
      </c>
      <c r="AC1419" s="977">
        <f t="shared" si="850"/>
        <v>0</v>
      </c>
      <c r="AD1419" s="977">
        <f t="shared" si="850"/>
        <v>0</v>
      </c>
      <c r="AE1419" s="977">
        <f t="shared" si="850"/>
        <v>0</v>
      </c>
      <c r="AF1419" s="977">
        <f t="shared" si="850"/>
        <v>0</v>
      </c>
      <c r="AG1419" s="977">
        <f t="shared" si="850"/>
        <v>0</v>
      </c>
      <c r="AH1419" s="977">
        <f t="shared" si="850"/>
        <v>0</v>
      </c>
      <c r="AI1419" s="376"/>
      <c r="AJ1419" s="376"/>
      <c r="AK1419" s="376"/>
      <c r="AL1419" s="1144"/>
      <c r="AM1419" s="1144"/>
      <c r="AN1419" s="1144"/>
      <c r="AO1419" s="1144"/>
      <c r="AP1419" s="1144"/>
      <c r="AQ1419" s="1144"/>
      <c r="AR1419" s="1144"/>
      <c r="AS1419" s="1144"/>
      <c r="AT1419" s="1144"/>
      <c r="AU1419" s="1144"/>
      <c r="AV1419" s="1144"/>
      <c r="AW1419" s="1144"/>
      <c r="AX1419" s="1144"/>
      <c r="AY1419" s="1144"/>
      <c r="AZ1419" s="1144"/>
      <c r="BA1419" s="1144"/>
      <c r="BB1419" s="1144"/>
      <c r="BC1419" s="1144"/>
      <c r="BD1419" s="1144"/>
      <c r="BE1419" s="1144"/>
      <c r="BF1419" s="1144"/>
      <c r="BG1419" s="1144"/>
      <c r="BH1419" s="1144"/>
      <c r="BI1419" s="1144"/>
      <c r="BJ1419" s="1144"/>
      <c r="BK1419" s="1144"/>
      <c r="BL1419" s="1144"/>
      <c r="BM1419" s="1144"/>
      <c r="BN1419" s="1144"/>
      <c r="BO1419" s="1144"/>
      <c r="BP1419" s="1144"/>
      <c r="BQ1419" s="1144"/>
      <c r="BR1419" s="1144"/>
      <c r="BS1419" s="1144"/>
      <c r="BT1419" s="1144"/>
      <c r="BU1419" s="1144"/>
      <c r="BV1419" s="1144"/>
      <c r="BW1419" s="1144"/>
      <c r="BX1419" s="1144"/>
      <c r="BY1419" s="1144"/>
      <c r="BZ1419" s="1144"/>
      <c r="CA1419" s="1144"/>
      <c r="CB1419" s="1144"/>
      <c r="CC1419" s="1144"/>
      <c r="CD1419" s="1144"/>
      <c r="CE1419" s="1144"/>
      <c r="CF1419" s="1144"/>
      <c r="CG1419" s="1144"/>
      <c r="CH1419" s="1144"/>
      <c r="CI1419" s="1144"/>
      <c r="CJ1419" s="1144"/>
      <c r="CK1419" s="1144"/>
      <c r="CL1419" s="1144"/>
      <c r="CM1419" s="1144"/>
      <c r="CN1419" s="1144"/>
      <c r="CO1419" s="84"/>
      <c r="CP1419" s="84"/>
      <c r="CQ1419" s="101"/>
      <c r="CR1419" s="101"/>
      <c r="CS1419" s="101"/>
      <c r="CT1419" s="101"/>
      <c r="CU1419" s="101"/>
      <c r="CV1419" s="101"/>
      <c r="CW1419" s="101"/>
      <c r="CX1419" s="101"/>
      <c r="CY1419" s="101"/>
      <c r="CZ1419" s="101"/>
      <c r="DA1419" s="101"/>
      <c r="DB1419" s="101"/>
      <c r="DC1419" s="101"/>
      <c r="DD1419" s="101"/>
      <c r="DE1419" s="101"/>
      <c r="DF1419" s="101"/>
      <c r="DG1419" s="101"/>
      <c r="DH1419" s="101"/>
      <c r="DI1419" s="101"/>
      <c r="DJ1419" s="101"/>
      <c r="DK1419" s="101"/>
      <c r="DL1419" s="101"/>
      <c r="DM1419" s="101"/>
      <c r="DN1419" s="101"/>
      <c r="DO1419" s="101"/>
      <c r="DP1419" s="101"/>
      <c r="DQ1419" s="101"/>
    </row>
    <row r="1420" spans="1:121" s="40" customFormat="1" ht="12" customHeight="1" x14ac:dyDescent="0.3">
      <c r="A1420" s="101"/>
      <c r="F1420" s="485">
        <f t="shared" si="838"/>
        <v>456</v>
      </c>
      <c r="G1420" s="485">
        <f>Infrastructure!D84</f>
        <v>456</v>
      </c>
      <c r="I1420" s="40">
        <v>15</v>
      </c>
      <c r="J1420" s="977">
        <f t="shared" ref="J1420:J1429" si="851">J1419</f>
        <v>0</v>
      </c>
      <c r="K1420" s="977">
        <f t="shared" si="850"/>
        <v>0</v>
      </c>
      <c r="L1420" s="977">
        <f t="shared" si="850"/>
        <v>0</v>
      </c>
      <c r="M1420" s="977">
        <f t="shared" si="850"/>
        <v>0</v>
      </c>
      <c r="N1420" s="977">
        <f t="shared" si="850"/>
        <v>0</v>
      </c>
      <c r="O1420" s="977">
        <f t="shared" si="850"/>
        <v>0</v>
      </c>
      <c r="P1420" s="977">
        <f t="shared" si="850"/>
        <v>0</v>
      </c>
      <c r="Q1420" s="977">
        <f t="shared" si="850"/>
        <v>0</v>
      </c>
      <c r="R1420" s="977">
        <f t="shared" si="850"/>
        <v>0</v>
      </c>
      <c r="S1420" s="977">
        <f t="shared" si="850"/>
        <v>0</v>
      </c>
      <c r="T1420" s="977">
        <f t="shared" si="850"/>
        <v>0</v>
      </c>
      <c r="U1420" s="977">
        <f t="shared" si="850"/>
        <v>0</v>
      </c>
      <c r="V1420" s="977">
        <f t="shared" si="850"/>
        <v>0</v>
      </c>
      <c r="W1420" s="977">
        <f t="shared" si="850"/>
        <v>0</v>
      </c>
      <c r="X1420" s="977">
        <f t="shared" si="850"/>
        <v>0</v>
      </c>
      <c r="Y1420" s="977">
        <f t="shared" si="850"/>
        <v>0</v>
      </c>
      <c r="Z1420" s="977">
        <f t="shared" si="850"/>
        <v>0</v>
      </c>
      <c r="AA1420" s="977">
        <f t="shared" si="850"/>
        <v>0</v>
      </c>
      <c r="AB1420" s="977">
        <f t="shared" si="850"/>
        <v>0</v>
      </c>
      <c r="AC1420" s="977">
        <f t="shared" si="850"/>
        <v>0</v>
      </c>
      <c r="AD1420" s="977">
        <f t="shared" si="850"/>
        <v>0</v>
      </c>
      <c r="AE1420" s="977">
        <f t="shared" si="850"/>
        <v>0</v>
      </c>
      <c r="AF1420" s="977">
        <f t="shared" si="850"/>
        <v>0</v>
      </c>
      <c r="AG1420" s="977">
        <f t="shared" si="850"/>
        <v>0</v>
      </c>
      <c r="AH1420" s="977">
        <f t="shared" si="850"/>
        <v>0</v>
      </c>
      <c r="AI1420" s="376"/>
      <c r="AJ1420" s="376"/>
      <c r="AK1420" s="376"/>
      <c r="AL1420" s="1144"/>
      <c r="AM1420" s="1144"/>
      <c r="AN1420" s="1144"/>
      <c r="AO1420" s="1144"/>
      <c r="AP1420" s="1144"/>
      <c r="AQ1420" s="1144"/>
      <c r="AR1420" s="1144"/>
      <c r="AS1420" s="1144"/>
      <c r="AT1420" s="1144"/>
      <c r="AU1420" s="1144"/>
      <c r="AV1420" s="1144"/>
      <c r="AW1420" s="1144"/>
      <c r="AX1420" s="1144"/>
      <c r="AY1420" s="1144"/>
      <c r="AZ1420" s="1144"/>
      <c r="BA1420" s="1144"/>
      <c r="BB1420" s="1144"/>
      <c r="BC1420" s="1144"/>
      <c r="BD1420" s="1144"/>
      <c r="BE1420" s="1144"/>
      <c r="BF1420" s="1144"/>
      <c r="BG1420" s="1144"/>
      <c r="BH1420" s="1144"/>
      <c r="BI1420" s="1144"/>
      <c r="BJ1420" s="1144"/>
      <c r="BK1420" s="1144"/>
      <c r="BL1420" s="1144"/>
      <c r="BM1420" s="1144"/>
      <c r="BN1420" s="1144"/>
      <c r="BO1420" s="1144"/>
      <c r="BP1420" s="1144"/>
      <c r="BQ1420" s="1144"/>
      <c r="BR1420" s="1144"/>
      <c r="BS1420" s="1144"/>
      <c r="BT1420" s="1144"/>
      <c r="BU1420" s="1144"/>
      <c r="BV1420" s="1144"/>
      <c r="BW1420" s="1144"/>
      <c r="BX1420" s="1144"/>
      <c r="BY1420" s="1144"/>
      <c r="BZ1420" s="1144"/>
      <c r="CA1420" s="1144"/>
      <c r="CB1420" s="1144"/>
      <c r="CC1420" s="1144"/>
      <c r="CD1420" s="1144"/>
      <c r="CE1420" s="1144"/>
      <c r="CF1420" s="1144"/>
      <c r="CG1420" s="1144"/>
      <c r="CH1420" s="1144"/>
      <c r="CI1420" s="1144"/>
      <c r="CJ1420" s="1144"/>
      <c r="CK1420" s="1144"/>
      <c r="CL1420" s="1144"/>
      <c r="CM1420" s="1144"/>
      <c r="CN1420" s="1144"/>
      <c r="CO1420" s="84"/>
      <c r="CP1420" s="84"/>
      <c r="CQ1420" s="101"/>
      <c r="CR1420" s="101"/>
      <c r="CS1420" s="101"/>
      <c r="CT1420" s="101"/>
      <c r="CU1420" s="101"/>
      <c r="CV1420" s="101"/>
      <c r="CW1420" s="101"/>
      <c r="CX1420" s="101"/>
      <c r="CY1420" s="101"/>
      <c r="CZ1420" s="101"/>
      <c r="DA1420" s="101"/>
      <c r="DB1420" s="101"/>
      <c r="DC1420" s="101"/>
      <c r="DD1420" s="101"/>
      <c r="DE1420" s="101"/>
      <c r="DF1420" s="101"/>
      <c r="DG1420" s="101"/>
      <c r="DH1420" s="101"/>
      <c r="DI1420" s="101"/>
      <c r="DJ1420" s="101"/>
      <c r="DK1420" s="101"/>
      <c r="DL1420" s="101"/>
      <c r="DM1420" s="101"/>
      <c r="DN1420" s="101"/>
      <c r="DO1420" s="101"/>
      <c r="DP1420" s="101"/>
      <c r="DQ1420" s="101"/>
    </row>
    <row r="1421" spans="1:121" s="40" customFormat="1" ht="12" customHeight="1" x14ac:dyDescent="0.3">
      <c r="A1421" s="101"/>
      <c r="F1421" s="485">
        <f t="shared" si="838"/>
        <v>486</v>
      </c>
      <c r="G1421" s="485">
        <f>Infrastructure!D85</f>
        <v>486</v>
      </c>
      <c r="I1421" s="40">
        <v>16</v>
      </c>
      <c r="J1421" s="977">
        <f t="shared" si="851"/>
        <v>0</v>
      </c>
      <c r="K1421" s="977">
        <f t="shared" si="850"/>
        <v>0</v>
      </c>
      <c r="L1421" s="977">
        <f t="shared" si="850"/>
        <v>0</v>
      </c>
      <c r="M1421" s="977">
        <f t="shared" si="850"/>
        <v>0</v>
      </c>
      <c r="N1421" s="977">
        <f t="shared" si="850"/>
        <v>0</v>
      </c>
      <c r="O1421" s="977">
        <f t="shared" si="850"/>
        <v>0</v>
      </c>
      <c r="P1421" s="977">
        <f t="shared" si="850"/>
        <v>0</v>
      </c>
      <c r="Q1421" s="977">
        <f t="shared" si="850"/>
        <v>0</v>
      </c>
      <c r="R1421" s="977">
        <f t="shared" si="850"/>
        <v>0</v>
      </c>
      <c r="S1421" s="977">
        <f t="shared" si="850"/>
        <v>0</v>
      </c>
      <c r="T1421" s="977">
        <f t="shared" si="850"/>
        <v>0</v>
      </c>
      <c r="U1421" s="977">
        <f t="shared" si="850"/>
        <v>0</v>
      </c>
      <c r="V1421" s="977">
        <f t="shared" si="850"/>
        <v>0</v>
      </c>
      <c r="W1421" s="977">
        <f t="shared" si="850"/>
        <v>0</v>
      </c>
      <c r="X1421" s="977">
        <f t="shared" si="850"/>
        <v>0</v>
      </c>
      <c r="Y1421" s="977">
        <f t="shared" si="850"/>
        <v>0</v>
      </c>
      <c r="Z1421" s="977">
        <f t="shared" si="850"/>
        <v>0</v>
      </c>
      <c r="AA1421" s="977">
        <f t="shared" si="850"/>
        <v>0</v>
      </c>
      <c r="AB1421" s="977">
        <f t="shared" si="850"/>
        <v>0</v>
      </c>
      <c r="AC1421" s="977">
        <f t="shared" si="850"/>
        <v>0</v>
      </c>
      <c r="AD1421" s="977">
        <f t="shared" si="850"/>
        <v>0</v>
      </c>
      <c r="AE1421" s="977">
        <f t="shared" si="850"/>
        <v>0</v>
      </c>
      <c r="AF1421" s="977">
        <f t="shared" si="850"/>
        <v>0</v>
      </c>
      <c r="AG1421" s="977">
        <f t="shared" si="850"/>
        <v>0</v>
      </c>
      <c r="AH1421" s="977">
        <f t="shared" si="850"/>
        <v>0</v>
      </c>
      <c r="AI1421" s="376"/>
      <c r="AJ1421" s="376"/>
      <c r="AK1421" s="376"/>
      <c r="AL1421" s="1144"/>
      <c r="AM1421" s="1144"/>
      <c r="AN1421" s="1144"/>
      <c r="AO1421" s="1144"/>
      <c r="AP1421" s="1144"/>
      <c r="AQ1421" s="1144"/>
      <c r="AR1421" s="1144"/>
      <c r="AS1421" s="1144"/>
      <c r="AT1421" s="1144"/>
      <c r="AU1421" s="1144"/>
      <c r="AV1421" s="1144"/>
      <c r="AW1421" s="1144"/>
      <c r="AX1421" s="1144"/>
      <c r="AY1421" s="1144"/>
      <c r="AZ1421" s="1144"/>
      <c r="BA1421" s="1144"/>
      <c r="BB1421" s="1144"/>
      <c r="BC1421" s="1144"/>
      <c r="BD1421" s="1144"/>
      <c r="BE1421" s="1144"/>
      <c r="BF1421" s="1144"/>
      <c r="BG1421" s="1144"/>
      <c r="BH1421" s="1144"/>
      <c r="BI1421" s="1144"/>
      <c r="BJ1421" s="1144"/>
      <c r="BK1421" s="1144"/>
      <c r="BL1421" s="1144"/>
      <c r="BM1421" s="1144"/>
      <c r="BN1421" s="1144"/>
      <c r="BO1421" s="1144"/>
      <c r="BP1421" s="1144"/>
      <c r="BQ1421" s="1144"/>
      <c r="BR1421" s="1144"/>
      <c r="BS1421" s="1144"/>
      <c r="BT1421" s="1144"/>
      <c r="BU1421" s="1144"/>
      <c r="BV1421" s="1144"/>
      <c r="BW1421" s="1144"/>
      <c r="BX1421" s="1144"/>
      <c r="BY1421" s="1144"/>
      <c r="BZ1421" s="1144"/>
      <c r="CA1421" s="1144"/>
      <c r="CB1421" s="1144"/>
      <c r="CC1421" s="1144"/>
      <c r="CD1421" s="1144"/>
      <c r="CE1421" s="1144"/>
      <c r="CF1421" s="1144"/>
      <c r="CG1421" s="1144"/>
      <c r="CH1421" s="1144"/>
      <c r="CI1421" s="1144"/>
      <c r="CJ1421" s="1144"/>
      <c r="CK1421" s="1144"/>
      <c r="CL1421" s="1144"/>
      <c r="CM1421" s="1144"/>
      <c r="CN1421" s="1144"/>
      <c r="CO1421" s="84"/>
      <c r="CP1421" s="84"/>
      <c r="CQ1421" s="101"/>
      <c r="CR1421" s="101"/>
      <c r="CS1421" s="101"/>
      <c r="CT1421" s="101"/>
      <c r="CU1421" s="101"/>
      <c r="CV1421" s="101"/>
      <c r="CW1421" s="101"/>
      <c r="CX1421" s="101"/>
      <c r="CY1421" s="101"/>
      <c r="CZ1421" s="101"/>
      <c r="DA1421" s="101"/>
      <c r="DB1421" s="101"/>
      <c r="DC1421" s="101"/>
      <c r="DD1421" s="101"/>
      <c r="DE1421" s="101"/>
      <c r="DF1421" s="101"/>
      <c r="DG1421" s="101"/>
      <c r="DH1421" s="101"/>
      <c r="DI1421" s="101"/>
      <c r="DJ1421" s="101"/>
      <c r="DK1421" s="101"/>
      <c r="DL1421" s="101"/>
      <c r="DM1421" s="101"/>
      <c r="DN1421" s="101"/>
      <c r="DO1421" s="101"/>
      <c r="DP1421" s="101"/>
      <c r="DQ1421" s="101"/>
    </row>
    <row r="1422" spans="1:121" s="40" customFormat="1" ht="12" customHeight="1" x14ac:dyDescent="0.3">
      <c r="A1422" s="101"/>
      <c r="F1422" s="485">
        <f t="shared" si="838"/>
        <v>517</v>
      </c>
      <c r="G1422" s="485">
        <f>Infrastructure!D86</f>
        <v>517</v>
      </c>
      <c r="I1422" s="40">
        <v>17</v>
      </c>
      <c r="J1422" s="977">
        <f t="shared" si="851"/>
        <v>0</v>
      </c>
      <c r="K1422" s="977">
        <f t="shared" si="850"/>
        <v>0</v>
      </c>
      <c r="L1422" s="977">
        <f t="shared" si="850"/>
        <v>0</v>
      </c>
      <c r="M1422" s="977">
        <f t="shared" si="850"/>
        <v>0</v>
      </c>
      <c r="N1422" s="977">
        <f t="shared" si="850"/>
        <v>0</v>
      </c>
      <c r="O1422" s="977">
        <f t="shared" si="850"/>
        <v>0</v>
      </c>
      <c r="P1422" s="977">
        <f t="shared" si="850"/>
        <v>0</v>
      </c>
      <c r="Q1422" s="977">
        <f t="shared" si="850"/>
        <v>0</v>
      </c>
      <c r="R1422" s="977">
        <f t="shared" si="850"/>
        <v>0</v>
      </c>
      <c r="S1422" s="977">
        <f t="shared" si="850"/>
        <v>0</v>
      </c>
      <c r="T1422" s="977">
        <f t="shared" si="850"/>
        <v>0</v>
      </c>
      <c r="U1422" s="977">
        <f t="shared" si="850"/>
        <v>0</v>
      </c>
      <c r="V1422" s="977">
        <f t="shared" si="850"/>
        <v>0</v>
      </c>
      <c r="W1422" s="977">
        <f t="shared" si="850"/>
        <v>0</v>
      </c>
      <c r="X1422" s="977">
        <f t="shared" si="850"/>
        <v>0</v>
      </c>
      <c r="Y1422" s="977">
        <f t="shared" si="850"/>
        <v>0</v>
      </c>
      <c r="Z1422" s="977">
        <f t="shared" si="850"/>
        <v>0</v>
      </c>
      <c r="AA1422" s="977">
        <f t="shared" si="850"/>
        <v>0</v>
      </c>
      <c r="AB1422" s="977">
        <f t="shared" si="850"/>
        <v>0</v>
      </c>
      <c r="AC1422" s="977">
        <f t="shared" si="850"/>
        <v>0</v>
      </c>
      <c r="AD1422" s="977">
        <f t="shared" si="850"/>
        <v>0</v>
      </c>
      <c r="AE1422" s="977">
        <f t="shared" si="850"/>
        <v>0</v>
      </c>
      <c r="AF1422" s="977">
        <f t="shared" si="850"/>
        <v>0</v>
      </c>
      <c r="AG1422" s="977">
        <f t="shared" si="850"/>
        <v>0</v>
      </c>
      <c r="AH1422" s="977">
        <f t="shared" si="850"/>
        <v>0</v>
      </c>
      <c r="AI1422" s="376"/>
      <c r="AJ1422" s="376"/>
      <c r="AK1422" s="376"/>
      <c r="AL1422" s="1144"/>
      <c r="AM1422" s="1144"/>
      <c r="AN1422" s="1144"/>
      <c r="AO1422" s="1144"/>
      <c r="AP1422" s="1144"/>
      <c r="AQ1422" s="1144"/>
      <c r="AR1422" s="1144"/>
      <c r="AS1422" s="1144"/>
      <c r="AT1422" s="1144"/>
      <c r="AU1422" s="1144"/>
      <c r="AV1422" s="1144"/>
      <c r="AW1422" s="1144"/>
      <c r="AX1422" s="1144"/>
      <c r="AY1422" s="1144"/>
      <c r="AZ1422" s="1144"/>
      <c r="BA1422" s="1144"/>
      <c r="BB1422" s="1144"/>
      <c r="BC1422" s="1144"/>
      <c r="BD1422" s="1144"/>
      <c r="BE1422" s="1144"/>
      <c r="BF1422" s="1144"/>
      <c r="BG1422" s="1144"/>
      <c r="BH1422" s="1144"/>
      <c r="BI1422" s="1144"/>
      <c r="BJ1422" s="1144"/>
      <c r="BK1422" s="1144"/>
      <c r="BL1422" s="1144"/>
      <c r="BM1422" s="1144"/>
      <c r="BN1422" s="1144"/>
      <c r="BO1422" s="1144"/>
      <c r="BP1422" s="1144"/>
      <c r="BQ1422" s="1144"/>
      <c r="BR1422" s="1144"/>
      <c r="BS1422" s="1144"/>
      <c r="BT1422" s="1144"/>
      <c r="BU1422" s="1144"/>
      <c r="BV1422" s="1144"/>
      <c r="BW1422" s="1144"/>
      <c r="BX1422" s="1144"/>
      <c r="BY1422" s="1144"/>
      <c r="BZ1422" s="1144"/>
      <c r="CA1422" s="1144"/>
      <c r="CB1422" s="1144"/>
      <c r="CC1422" s="1144"/>
      <c r="CD1422" s="1144"/>
      <c r="CE1422" s="1144"/>
      <c r="CF1422" s="1144"/>
      <c r="CG1422" s="1144"/>
      <c r="CH1422" s="1144"/>
      <c r="CI1422" s="1144"/>
      <c r="CJ1422" s="1144"/>
      <c r="CK1422" s="1144"/>
      <c r="CL1422" s="1144"/>
      <c r="CM1422" s="1144"/>
      <c r="CN1422" s="1144"/>
      <c r="CO1422" s="84"/>
      <c r="CP1422" s="84"/>
      <c r="CQ1422" s="101"/>
      <c r="CR1422" s="101"/>
      <c r="CS1422" s="101"/>
      <c r="CT1422" s="101"/>
      <c r="CU1422" s="101"/>
      <c r="CV1422" s="101"/>
      <c r="CW1422" s="101"/>
      <c r="CX1422" s="101"/>
      <c r="CY1422" s="101"/>
      <c r="CZ1422" s="101"/>
      <c r="DA1422" s="101"/>
      <c r="DB1422" s="101"/>
      <c r="DC1422" s="101"/>
      <c r="DD1422" s="101"/>
      <c r="DE1422" s="101"/>
      <c r="DF1422" s="101"/>
      <c r="DG1422" s="101"/>
      <c r="DH1422" s="101"/>
      <c r="DI1422" s="101"/>
      <c r="DJ1422" s="101"/>
      <c r="DK1422" s="101"/>
      <c r="DL1422" s="101"/>
      <c r="DM1422" s="101"/>
      <c r="DN1422" s="101"/>
      <c r="DO1422" s="101"/>
      <c r="DP1422" s="101"/>
      <c r="DQ1422" s="101"/>
    </row>
    <row r="1423" spans="1:121" s="40" customFormat="1" ht="12" customHeight="1" x14ac:dyDescent="0.3">
      <c r="A1423" s="101"/>
      <c r="F1423" s="485">
        <f t="shared" si="838"/>
        <v>547</v>
      </c>
      <c r="G1423" s="485">
        <f>Infrastructure!D87</f>
        <v>547</v>
      </c>
      <c r="I1423" s="40">
        <v>18</v>
      </c>
      <c r="J1423" s="977">
        <f t="shared" si="851"/>
        <v>0</v>
      </c>
      <c r="K1423" s="977">
        <f t="shared" si="850"/>
        <v>0</v>
      </c>
      <c r="L1423" s="977">
        <f t="shared" si="850"/>
        <v>0</v>
      </c>
      <c r="M1423" s="977">
        <f t="shared" si="850"/>
        <v>0</v>
      </c>
      <c r="N1423" s="977">
        <f t="shared" si="850"/>
        <v>0</v>
      </c>
      <c r="O1423" s="977">
        <f t="shared" si="850"/>
        <v>0</v>
      </c>
      <c r="P1423" s="977">
        <f t="shared" si="850"/>
        <v>0</v>
      </c>
      <c r="Q1423" s="977">
        <f t="shared" si="850"/>
        <v>0</v>
      </c>
      <c r="R1423" s="977">
        <f t="shared" si="850"/>
        <v>0</v>
      </c>
      <c r="S1423" s="977">
        <f t="shared" si="850"/>
        <v>0</v>
      </c>
      <c r="T1423" s="977">
        <f t="shared" si="850"/>
        <v>0</v>
      </c>
      <c r="U1423" s="977">
        <f t="shared" si="850"/>
        <v>0</v>
      </c>
      <c r="V1423" s="977">
        <f t="shared" si="850"/>
        <v>0</v>
      </c>
      <c r="W1423" s="977">
        <f t="shared" si="850"/>
        <v>0</v>
      </c>
      <c r="X1423" s="977">
        <f t="shared" si="850"/>
        <v>0</v>
      </c>
      <c r="Y1423" s="977">
        <f t="shared" si="850"/>
        <v>0</v>
      </c>
      <c r="Z1423" s="977">
        <f t="shared" si="850"/>
        <v>0</v>
      </c>
      <c r="AA1423" s="977">
        <f t="shared" si="850"/>
        <v>0</v>
      </c>
      <c r="AB1423" s="977">
        <f t="shared" si="850"/>
        <v>0</v>
      </c>
      <c r="AC1423" s="977">
        <f t="shared" si="850"/>
        <v>0</v>
      </c>
      <c r="AD1423" s="977">
        <f t="shared" si="850"/>
        <v>0</v>
      </c>
      <c r="AE1423" s="977">
        <f t="shared" si="850"/>
        <v>0</v>
      </c>
      <c r="AF1423" s="977">
        <f t="shared" si="850"/>
        <v>0</v>
      </c>
      <c r="AG1423" s="977">
        <f t="shared" si="850"/>
        <v>0</v>
      </c>
      <c r="AH1423" s="977">
        <f t="shared" si="850"/>
        <v>0</v>
      </c>
      <c r="AI1423" s="376"/>
      <c r="AJ1423" s="376"/>
      <c r="AK1423" s="376"/>
      <c r="AL1423" s="1144"/>
      <c r="AM1423" s="1144"/>
      <c r="AN1423" s="1144"/>
      <c r="AO1423" s="1144"/>
      <c r="AP1423" s="1144"/>
      <c r="AQ1423" s="1144"/>
      <c r="AR1423" s="1144"/>
      <c r="AS1423" s="1144"/>
      <c r="AT1423" s="1144"/>
      <c r="AU1423" s="1144"/>
      <c r="AV1423" s="1144"/>
      <c r="AW1423" s="1144"/>
      <c r="AX1423" s="1144"/>
      <c r="AY1423" s="1144"/>
      <c r="AZ1423" s="1144"/>
      <c r="BA1423" s="1144"/>
      <c r="BB1423" s="1144"/>
      <c r="BC1423" s="1144"/>
      <c r="BD1423" s="1144"/>
      <c r="BE1423" s="1144"/>
      <c r="BF1423" s="1144"/>
      <c r="BG1423" s="1144"/>
      <c r="BH1423" s="1144"/>
      <c r="BI1423" s="1144"/>
      <c r="BJ1423" s="1144"/>
      <c r="BK1423" s="1144"/>
      <c r="BL1423" s="1144"/>
      <c r="BM1423" s="1144"/>
      <c r="BN1423" s="1144"/>
      <c r="BO1423" s="1144"/>
      <c r="BP1423" s="1144"/>
      <c r="BQ1423" s="1144"/>
      <c r="BR1423" s="1144"/>
      <c r="BS1423" s="1144"/>
      <c r="BT1423" s="1144"/>
      <c r="BU1423" s="1144"/>
      <c r="BV1423" s="1144"/>
      <c r="BW1423" s="1144"/>
      <c r="BX1423" s="1144"/>
      <c r="BY1423" s="1144"/>
      <c r="BZ1423" s="1144"/>
      <c r="CA1423" s="1144"/>
      <c r="CB1423" s="1144"/>
      <c r="CC1423" s="1144"/>
      <c r="CD1423" s="1144"/>
      <c r="CE1423" s="1144"/>
      <c r="CF1423" s="1144"/>
      <c r="CG1423" s="1144"/>
      <c r="CH1423" s="1144"/>
      <c r="CI1423" s="1144"/>
      <c r="CJ1423" s="1144"/>
      <c r="CK1423" s="1144"/>
      <c r="CL1423" s="1144"/>
      <c r="CM1423" s="1144"/>
      <c r="CN1423" s="1144"/>
      <c r="CO1423" s="84"/>
      <c r="CP1423" s="84"/>
      <c r="CQ1423" s="101"/>
      <c r="CR1423" s="101"/>
      <c r="CS1423" s="101"/>
      <c r="CT1423" s="101"/>
      <c r="CU1423" s="101"/>
      <c r="CV1423" s="101"/>
      <c r="CW1423" s="101"/>
      <c r="CX1423" s="101"/>
      <c r="CY1423" s="101"/>
      <c r="CZ1423" s="101"/>
      <c r="DA1423" s="101"/>
      <c r="DB1423" s="101"/>
      <c r="DC1423" s="101"/>
      <c r="DD1423" s="101"/>
      <c r="DE1423" s="101"/>
      <c r="DF1423" s="101"/>
      <c r="DG1423" s="101"/>
      <c r="DH1423" s="101"/>
      <c r="DI1423" s="101"/>
      <c r="DJ1423" s="101"/>
      <c r="DK1423" s="101"/>
      <c r="DL1423" s="101"/>
      <c r="DM1423" s="101"/>
      <c r="DN1423" s="101"/>
      <c r="DO1423" s="101"/>
      <c r="DP1423" s="101"/>
      <c r="DQ1423" s="101"/>
    </row>
    <row r="1424" spans="1:121" s="40" customFormat="1" ht="12" customHeight="1" x14ac:dyDescent="0.3">
      <c r="A1424" s="101"/>
      <c r="F1424" s="485">
        <f t="shared" si="838"/>
        <v>578</v>
      </c>
      <c r="G1424" s="485">
        <f>Infrastructure!D88</f>
        <v>578</v>
      </c>
      <c r="I1424" s="40">
        <v>19</v>
      </c>
      <c r="J1424" s="977">
        <f t="shared" si="851"/>
        <v>0</v>
      </c>
      <c r="K1424" s="977">
        <f t="shared" si="850"/>
        <v>0</v>
      </c>
      <c r="L1424" s="977">
        <f t="shared" si="850"/>
        <v>0</v>
      </c>
      <c r="M1424" s="977">
        <f t="shared" si="850"/>
        <v>0</v>
      </c>
      <c r="N1424" s="977">
        <f t="shared" si="850"/>
        <v>0</v>
      </c>
      <c r="O1424" s="977">
        <f t="shared" si="850"/>
        <v>0</v>
      </c>
      <c r="P1424" s="977">
        <f t="shared" si="850"/>
        <v>0</v>
      </c>
      <c r="Q1424" s="977">
        <f t="shared" si="850"/>
        <v>0</v>
      </c>
      <c r="R1424" s="977">
        <f t="shared" si="850"/>
        <v>0</v>
      </c>
      <c r="S1424" s="977">
        <f t="shared" si="850"/>
        <v>0</v>
      </c>
      <c r="T1424" s="977">
        <f t="shared" si="850"/>
        <v>0</v>
      </c>
      <c r="U1424" s="977">
        <f t="shared" si="850"/>
        <v>0</v>
      </c>
      <c r="V1424" s="977">
        <f t="shared" si="850"/>
        <v>0</v>
      </c>
      <c r="W1424" s="977">
        <f t="shared" si="850"/>
        <v>0</v>
      </c>
      <c r="X1424" s="977">
        <f t="shared" si="850"/>
        <v>0</v>
      </c>
      <c r="Y1424" s="977">
        <f t="shared" si="850"/>
        <v>0</v>
      </c>
      <c r="Z1424" s="977">
        <f t="shared" si="850"/>
        <v>0</v>
      </c>
      <c r="AA1424" s="977">
        <f t="shared" si="850"/>
        <v>0</v>
      </c>
      <c r="AB1424" s="977">
        <f t="shared" si="850"/>
        <v>0</v>
      </c>
      <c r="AC1424" s="977">
        <f t="shared" si="850"/>
        <v>0</v>
      </c>
      <c r="AD1424" s="977">
        <f t="shared" si="850"/>
        <v>0</v>
      </c>
      <c r="AE1424" s="977">
        <f t="shared" si="850"/>
        <v>0</v>
      </c>
      <c r="AF1424" s="977">
        <f t="shared" si="850"/>
        <v>0</v>
      </c>
      <c r="AG1424" s="977">
        <f t="shared" si="850"/>
        <v>0</v>
      </c>
      <c r="AH1424" s="977">
        <f t="shared" si="850"/>
        <v>0</v>
      </c>
      <c r="AI1424" s="376"/>
      <c r="AJ1424" s="376"/>
      <c r="AK1424" s="376"/>
      <c r="AL1424" s="1144"/>
      <c r="AM1424" s="1144"/>
      <c r="AN1424" s="1144"/>
      <c r="AO1424" s="1144"/>
      <c r="AP1424" s="1144"/>
      <c r="AQ1424" s="1144"/>
      <c r="AR1424" s="1144"/>
      <c r="AS1424" s="1144"/>
      <c r="AT1424" s="1144"/>
      <c r="AU1424" s="1144"/>
      <c r="AV1424" s="1144"/>
      <c r="AW1424" s="1144"/>
      <c r="AX1424" s="1144"/>
      <c r="AY1424" s="1144"/>
      <c r="AZ1424" s="1144"/>
      <c r="BA1424" s="1144"/>
      <c r="BB1424" s="1144"/>
      <c r="BC1424" s="1144"/>
      <c r="BD1424" s="1144"/>
      <c r="BE1424" s="1144"/>
      <c r="BF1424" s="1144"/>
      <c r="BG1424" s="1144"/>
      <c r="BH1424" s="1144"/>
      <c r="BI1424" s="1144"/>
      <c r="BJ1424" s="1144"/>
      <c r="BK1424" s="1144"/>
      <c r="BL1424" s="1144"/>
      <c r="BM1424" s="1144"/>
      <c r="BN1424" s="1144"/>
      <c r="BO1424" s="1144"/>
      <c r="BP1424" s="1144"/>
      <c r="BQ1424" s="1144"/>
      <c r="BR1424" s="1144"/>
      <c r="BS1424" s="1144"/>
      <c r="BT1424" s="1144"/>
      <c r="BU1424" s="1144"/>
      <c r="BV1424" s="1144"/>
      <c r="BW1424" s="1144"/>
      <c r="BX1424" s="1144"/>
      <c r="BY1424" s="1144"/>
      <c r="BZ1424" s="1144"/>
      <c r="CA1424" s="1144"/>
      <c r="CB1424" s="1144"/>
      <c r="CC1424" s="1144"/>
      <c r="CD1424" s="1144"/>
      <c r="CE1424" s="1144"/>
      <c r="CF1424" s="1144"/>
      <c r="CG1424" s="1144"/>
      <c r="CH1424" s="1144"/>
      <c r="CI1424" s="1144"/>
      <c r="CJ1424" s="1144"/>
      <c r="CK1424" s="1144"/>
      <c r="CL1424" s="1144"/>
      <c r="CM1424" s="1144"/>
      <c r="CN1424" s="1144"/>
      <c r="CO1424" s="84"/>
      <c r="CP1424" s="84"/>
      <c r="CQ1424" s="101"/>
      <c r="CR1424" s="101"/>
      <c r="CS1424" s="101"/>
      <c r="CT1424" s="101"/>
      <c r="CU1424" s="101"/>
      <c r="CV1424" s="101"/>
      <c r="CW1424" s="101"/>
      <c r="CX1424" s="101"/>
      <c r="CY1424" s="101"/>
      <c r="CZ1424" s="101"/>
      <c r="DA1424" s="101"/>
      <c r="DB1424" s="101"/>
      <c r="DC1424" s="101"/>
      <c r="DD1424" s="101"/>
      <c r="DE1424" s="101"/>
      <c r="DF1424" s="101"/>
      <c r="DG1424" s="101"/>
      <c r="DH1424" s="101"/>
      <c r="DI1424" s="101"/>
      <c r="DJ1424" s="101"/>
      <c r="DK1424" s="101"/>
      <c r="DL1424" s="101"/>
      <c r="DM1424" s="101"/>
      <c r="DN1424" s="101"/>
      <c r="DO1424" s="101"/>
      <c r="DP1424" s="101"/>
      <c r="DQ1424" s="101"/>
    </row>
    <row r="1425" spans="1:121" s="40" customFormat="1" ht="12" customHeight="1" x14ac:dyDescent="0.3">
      <c r="A1425" s="101"/>
      <c r="F1425" s="485">
        <f t="shared" si="838"/>
        <v>609</v>
      </c>
      <c r="G1425" s="485">
        <f>Infrastructure!D89</f>
        <v>609</v>
      </c>
      <c r="I1425" s="40">
        <v>20</v>
      </c>
      <c r="J1425" s="977">
        <f t="shared" si="851"/>
        <v>0</v>
      </c>
      <c r="K1425" s="977">
        <f t="shared" si="850"/>
        <v>0</v>
      </c>
      <c r="L1425" s="977">
        <f t="shared" si="850"/>
        <v>0</v>
      </c>
      <c r="M1425" s="977">
        <f t="shared" si="850"/>
        <v>0</v>
      </c>
      <c r="N1425" s="977">
        <f t="shared" si="850"/>
        <v>0</v>
      </c>
      <c r="O1425" s="977">
        <f t="shared" si="850"/>
        <v>0</v>
      </c>
      <c r="P1425" s="977">
        <f t="shared" si="850"/>
        <v>0</v>
      </c>
      <c r="Q1425" s="977">
        <f t="shared" si="850"/>
        <v>0</v>
      </c>
      <c r="R1425" s="977">
        <f t="shared" si="850"/>
        <v>0</v>
      </c>
      <c r="S1425" s="977">
        <f t="shared" si="850"/>
        <v>0</v>
      </c>
      <c r="T1425" s="977">
        <f t="shared" si="850"/>
        <v>0</v>
      </c>
      <c r="U1425" s="977">
        <f t="shared" si="850"/>
        <v>0</v>
      </c>
      <c r="V1425" s="977">
        <f t="shared" si="850"/>
        <v>0</v>
      </c>
      <c r="W1425" s="977">
        <f t="shared" si="850"/>
        <v>0</v>
      </c>
      <c r="X1425" s="977">
        <f t="shared" si="850"/>
        <v>0</v>
      </c>
      <c r="Y1425" s="977">
        <f t="shared" si="850"/>
        <v>0</v>
      </c>
      <c r="Z1425" s="977">
        <f t="shared" si="850"/>
        <v>0</v>
      </c>
      <c r="AA1425" s="977">
        <f t="shared" si="850"/>
        <v>0</v>
      </c>
      <c r="AB1425" s="977">
        <f t="shared" si="850"/>
        <v>0</v>
      </c>
      <c r="AC1425" s="977">
        <f t="shared" si="850"/>
        <v>0</v>
      </c>
      <c r="AD1425" s="977">
        <f t="shared" si="850"/>
        <v>0</v>
      </c>
      <c r="AE1425" s="977">
        <f t="shared" si="850"/>
        <v>0</v>
      </c>
      <c r="AF1425" s="977">
        <f t="shared" si="850"/>
        <v>0</v>
      </c>
      <c r="AG1425" s="977">
        <f t="shared" si="850"/>
        <v>0</v>
      </c>
      <c r="AH1425" s="977">
        <f t="shared" si="850"/>
        <v>0</v>
      </c>
      <c r="AI1425" s="376"/>
      <c r="AJ1425" s="376"/>
      <c r="AK1425" s="376"/>
      <c r="AL1425" s="1144"/>
      <c r="AM1425" s="1144"/>
      <c r="AN1425" s="1144"/>
      <c r="AO1425" s="1144"/>
      <c r="AP1425" s="1144"/>
      <c r="AQ1425" s="1144"/>
      <c r="AR1425" s="1144"/>
      <c r="AS1425" s="1144"/>
      <c r="AT1425" s="1144"/>
      <c r="AU1425" s="1144"/>
      <c r="AV1425" s="1144"/>
      <c r="AW1425" s="1144"/>
      <c r="AX1425" s="1144"/>
      <c r="AY1425" s="1144"/>
      <c r="AZ1425" s="1144"/>
      <c r="BA1425" s="1144"/>
      <c r="BB1425" s="1144"/>
      <c r="BC1425" s="1144"/>
      <c r="BD1425" s="1144"/>
      <c r="BE1425" s="1144"/>
      <c r="BF1425" s="1144"/>
      <c r="BG1425" s="1144"/>
      <c r="BH1425" s="1144"/>
      <c r="BI1425" s="1144"/>
      <c r="BJ1425" s="1144"/>
      <c r="BK1425" s="1144"/>
      <c r="BL1425" s="1144"/>
      <c r="BM1425" s="1144"/>
      <c r="BN1425" s="1144"/>
      <c r="BO1425" s="1144"/>
      <c r="BP1425" s="1144"/>
      <c r="BQ1425" s="1144"/>
      <c r="BR1425" s="1144"/>
      <c r="BS1425" s="1144"/>
      <c r="BT1425" s="1144"/>
      <c r="BU1425" s="1144"/>
      <c r="BV1425" s="1144"/>
      <c r="BW1425" s="1144"/>
      <c r="BX1425" s="1144"/>
      <c r="BY1425" s="1144"/>
      <c r="BZ1425" s="1144"/>
      <c r="CA1425" s="1144"/>
      <c r="CB1425" s="1144"/>
      <c r="CC1425" s="1144"/>
      <c r="CD1425" s="1144"/>
      <c r="CE1425" s="1144"/>
      <c r="CF1425" s="1144"/>
      <c r="CG1425" s="1144"/>
      <c r="CH1425" s="1144"/>
      <c r="CI1425" s="1144"/>
      <c r="CJ1425" s="1144"/>
      <c r="CK1425" s="1144"/>
      <c r="CL1425" s="1144"/>
      <c r="CM1425" s="1144"/>
      <c r="CN1425" s="1144"/>
      <c r="CO1425" s="84"/>
      <c r="CP1425" s="84"/>
      <c r="CQ1425" s="101"/>
      <c r="CR1425" s="101"/>
      <c r="CS1425" s="101"/>
      <c r="CT1425" s="101"/>
      <c r="CU1425" s="101"/>
      <c r="CV1425" s="101"/>
      <c r="CW1425" s="101"/>
      <c r="CX1425" s="101"/>
      <c r="CY1425" s="101"/>
      <c r="CZ1425" s="101"/>
      <c r="DA1425" s="101"/>
      <c r="DB1425" s="101"/>
      <c r="DC1425" s="101"/>
      <c r="DD1425" s="101"/>
      <c r="DE1425" s="101"/>
      <c r="DF1425" s="101"/>
      <c r="DG1425" s="101"/>
      <c r="DH1425" s="101"/>
      <c r="DI1425" s="101"/>
      <c r="DJ1425" s="101"/>
      <c r="DK1425" s="101"/>
      <c r="DL1425" s="101"/>
      <c r="DM1425" s="101"/>
      <c r="DN1425" s="101"/>
      <c r="DO1425" s="101"/>
      <c r="DP1425" s="101"/>
      <c r="DQ1425" s="101"/>
    </row>
    <row r="1426" spans="1:121" s="40" customFormat="1" ht="12" customHeight="1" x14ac:dyDescent="0.3">
      <c r="A1426" s="101"/>
      <c r="F1426" s="485">
        <f t="shared" si="838"/>
        <v>639</v>
      </c>
      <c r="G1426" s="485">
        <f>Infrastructure!D90</f>
        <v>639</v>
      </c>
      <c r="I1426" s="40">
        <v>21</v>
      </c>
      <c r="J1426" s="977">
        <f t="shared" si="851"/>
        <v>0</v>
      </c>
      <c r="K1426" s="977">
        <f t="shared" si="850"/>
        <v>0</v>
      </c>
      <c r="L1426" s="977">
        <f t="shared" si="850"/>
        <v>0</v>
      </c>
      <c r="M1426" s="977">
        <f t="shared" si="850"/>
        <v>0</v>
      </c>
      <c r="N1426" s="977">
        <f t="shared" si="850"/>
        <v>0</v>
      </c>
      <c r="O1426" s="977">
        <f t="shared" si="850"/>
        <v>0</v>
      </c>
      <c r="P1426" s="977">
        <f t="shared" si="850"/>
        <v>0</v>
      </c>
      <c r="Q1426" s="977">
        <f t="shared" si="850"/>
        <v>0</v>
      </c>
      <c r="R1426" s="977">
        <f t="shared" si="850"/>
        <v>0</v>
      </c>
      <c r="S1426" s="977">
        <f t="shared" si="850"/>
        <v>0</v>
      </c>
      <c r="T1426" s="977">
        <f t="shared" si="850"/>
        <v>0</v>
      </c>
      <c r="U1426" s="977">
        <f t="shared" si="850"/>
        <v>0</v>
      </c>
      <c r="V1426" s="977">
        <f t="shared" si="850"/>
        <v>0</v>
      </c>
      <c r="W1426" s="977">
        <f t="shared" si="850"/>
        <v>0</v>
      </c>
      <c r="X1426" s="977">
        <f t="shared" si="850"/>
        <v>0</v>
      </c>
      <c r="Y1426" s="977">
        <f t="shared" si="850"/>
        <v>0</v>
      </c>
      <c r="Z1426" s="977">
        <f t="shared" si="850"/>
        <v>0</v>
      </c>
      <c r="AA1426" s="977">
        <f t="shared" si="850"/>
        <v>0</v>
      </c>
      <c r="AB1426" s="977">
        <f t="shared" si="850"/>
        <v>0</v>
      </c>
      <c r="AC1426" s="977">
        <f t="shared" si="850"/>
        <v>0</v>
      </c>
      <c r="AD1426" s="977">
        <f t="shared" si="850"/>
        <v>0</v>
      </c>
      <c r="AE1426" s="977">
        <f t="shared" si="850"/>
        <v>0</v>
      </c>
      <c r="AF1426" s="977">
        <f t="shared" si="850"/>
        <v>0</v>
      </c>
      <c r="AG1426" s="977">
        <f t="shared" si="850"/>
        <v>0</v>
      </c>
      <c r="AH1426" s="977">
        <f t="shared" si="850"/>
        <v>0</v>
      </c>
      <c r="AI1426" s="376"/>
      <c r="AJ1426" s="376"/>
      <c r="AK1426" s="376"/>
      <c r="AL1426" s="1144"/>
      <c r="AM1426" s="1144"/>
      <c r="AN1426" s="1144"/>
      <c r="AO1426" s="1144"/>
      <c r="AP1426" s="1144"/>
      <c r="AQ1426" s="1144"/>
      <c r="AR1426" s="1144"/>
      <c r="AS1426" s="1144"/>
      <c r="AT1426" s="1144"/>
      <c r="AU1426" s="1144"/>
      <c r="AV1426" s="1144"/>
      <c r="AW1426" s="1144"/>
      <c r="AX1426" s="1144"/>
      <c r="AY1426" s="1144"/>
      <c r="AZ1426" s="1144"/>
      <c r="BA1426" s="1144"/>
      <c r="BB1426" s="1144"/>
      <c r="BC1426" s="1144"/>
      <c r="BD1426" s="1144"/>
      <c r="BE1426" s="1144"/>
      <c r="BF1426" s="1144"/>
      <c r="BG1426" s="1144"/>
      <c r="BH1426" s="1144"/>
      <c r="BI1426" s="1144"/>
      <c r="BJ1426" s="1144"/>
      <c r="BK1426" s="1144"/>
      <c r="BL1426" s="1144"/>
      <c r="BM1426" s="1144"/>
      <c r="BN1426" s="1144"/>
      <c r="BO1426" s="1144"/>
      <c r="BP1426" s="1144"/>
      <c r="BQ1426" s="1144"/>
      <c r="BR1426" s="1144"/>
      <c r="BS1426" s="1144"/>
      <c r="BT1426" s="1144"/>
      <c r="BU1426" s="1144"/>
      <c r="BV1426" s="1144"/>
      <c r="BW1426" s="1144"/>
      <c r="BX1426" s="1144"/>
      <c r="BY1426" s="1144"/>
      <c r="BZ1426" s="1144"/>
      <c r="CA1426" s="1144"/>
      <c r="CB1426" s="1144"/>
      <c r="CC1426" s="1144"/>
      <c r="CD1426" s="1144"/>
      <c r="CE1426" s="1144"/>
      <c r="CF1426" s="1144"/>
      <c r="CG1426" s="1144"/>
      <c r="CH1426" s="1144"/>
      <c r="CI1426" s="1144"/>
      <c r="CJ1426" s="1144"/>
      <c r="CK1426" s="1144"/>
      <c r="CL1426" s="1144"/>
      <c r="CM1426" s="1144"/>
      <c r="CN1426" s="1144"/>
      <c r="CO1426" s="84"/>
      <c r="CP1426" s="84"/>
      <c r="CQ1426" s="101"/>
      <c r="CR1426" s="101"/>
      <c r="CS1426" s="101"/>
      <c r="CT1426" s="101"/>
      <c r="CU1426" s="101"/>
      <c r="CV1426" s="101"/>
      <c r="CW1426" s="101"/>
      <c r="CX1426" s="101"/>
      <c r="CY1426" s="101"/>
      <c r="CZ1426" s="101"/>
      <c r="DA1426" s="101"/>
      <c r="DB1426" s="101"/>
      <c r="DC1426" s="101"/>
      <c r="DD1426" s="101"/>
      <c r="DE1426" s="101"/>
      <c r="DF1426" s="101"/>
      <c r="DG1426" s="101"/>
      <c r="DH1426" s="101"/>
      <c r="DI1426" s="101"/>
      <c r="DJ1426" s="101"/>
      <c r="DK1426" s="101"/>
      <c r="DL1426" s="101"/>
      <c r="DM1426" s="101"/>
      <c r="DN1426" s="101"/>
      <c r="DO1426" s="101"/>
      <c r="DP1426" s="101"/>
      <c r="DQ1426" s="101"/>
    </row>
    <row r="1427" spans="1:121" s="40" customFormat="1" ht="12" customHeight="1" x14ac:dyDescent="0.3">
      <c r="A1427" s="101"/>
      <c r="F1427" s="485">
        <f t="shared" si="838"/>
        <v>670</v>
      </c>
      <c r="G1427" s="485">
        <f>Infrastructure!D91</f>
        <v>670</v>
      </c>
      <c r="I1427" s="40">
        <v>22</v>
      </c>
      <c r="J1427" s="977">
        <f t="shared" si="851"/>
        <v>0</v>
      </c>
      <c r="K1427" s="977">
        <f t="shared" si="850"/>
        <v>0</v>
      </c>
      <c r="L1427" s="977">
        <f t="shared" si="850"/>
        <v>0</v>
      </c>
      <c r="M1427" s="977">
        <f t="shared" si="850"/>
        <v>0</v>
      </c>
      <c r="N1427" s="977">
        <f t="shared" si="850"/>
        <v>0</v>
      </c>
      <c r="O1427" s="977">
        <f t="shared" si="850"/>
        <v>0</v>
      </c>
      <c r="P1427" s="977">
        <f t="shared" si="850"/>
        <v>0</v>
      </c>
      <c r="Q1427" s="977">
        <f t="shared" si="850"/>
        <v>0</v>
      </c>
      <c r="R1427" s="977">
        <f t="shared" si="850"/>
        <v>0</v>
      </c>
      <c r="S1427" s="977">
        <f t="shared" si="850"/>
        <v>0</v>
      </c>
      <c r="T1427" s="977">
        <f t="shared" si="850"/>
        <v>0</v>
      </c>
      <c r="U1427" s="977">
        <f t="shared" si="850"/>
        <v>0</v>
      </c>
      <c r="V1427" s="977">
        <f t="shared" si="850"/>
        <v>0</v>
      </c>
      <c r="W1427" s="977">
        <f t="shared" si="850"/>
        <v>0</v>
      </c>
      <c r="X1427" s="977">
        <f t="shared" si="850"/>
        <v>0</v>
      </c>
      <c r="Y1427" s="977">
        <f t="shared" si="850"/>
        <v>0</v>
      </c>
      <c r="Z1427" s="977">
        <f t="shared" si="850"/>
        <v>0</v>
      </c>
      <c r="AA1427" s="977">
        <f t="shared" si="850"/>
        <v>0</v>
      </c>
      <c r="AB1427" s="977">
        <f t="shared" si="850"/>
        <v>0</v>
      </c>
      <c r="AC1427" s="977">
        <f t="shared" si="850"/>
        <v>0</v>
      </c>
      <c r="AD1427" s="977">
        <f t="shared" si="850"/>
        <v>0</v>
      </c>
      <c r="AE1427" s="977">
        <f t="shared" si="850"/>
        <v>0</v>
      </c>
      <c r="AF1427" s="977">
        <f t="shared" si="850"/>
        <v>0</v>
      </c>
      <c r="AG1427" s="977">
        <f t="shared" si="850"/>
        <v>0</v>
      </c>
      <c r="AH1427" s="977">
        <f t="shared" si="850"/>
        <v>0</v>
      </c>
      <c r="AI1427" s="376"/>
      <c r="AJ1427" s="376"/>
      <c r="AK1427" s="376"/>
      <c r="AL1427" s="1144"/>
      <c r="AM1427" s="1144"/>
      <c r="AN1427" s="1144"/>
      <c r="AO1427" s="1144"/>
      <c r="AP1427" s="1144"/>
      <c r="AQ1427" s="1144"/>
      <c r="AR1427" s="1144"/>
      <c r="AS1427" s="1144"/>
      <c r="AT1427" s="1144"/>
      <c r="AU1427" s="1144"/>
      <c r="AV1427" s="1144"/>
      <c r="AW1427" s="1144"/>
      <c r="AX1427" s="1144"/>
      <c r="AY1427" s="1144"/>
      <c r="AZ1427" s="1144"/>
      <c r="BA1427" s="1144"/>
      <c r="BB1427" s="1144"/>
      <c r="BC1427" s="1144"/>
      <c r="BD1427" s="1144"/>
      <c r="BE1427" s="1144"/>
      <c r="BF1427" s="1144"/>
      <c r="BG1427" s="1144"/>
      <c r="BH1427" s="1144"/>
      <c r="BI1427" s="1144"/>
      <c r="BJ1427" s="1144"/>
      <c r="BK1427" s="1144"/>
      <c r="BL1427" s="1144"/>
      <c r="BM1427" s="1144"/>
      <c r="BN1427" s="1144"/>
      <c r="BO1427" s="1144"/>
      <c r="BP1427" s="1144"/>
      <c r="BQ1427" s="1144"/>
      <c r="BR1427" s="1144"/>
      <c r="BS1427" s="1144"/>
      <c r="BT1427" s="1144"/>
      <c r="BU1427" s="1144"/>
      <c r="BV1427" s="1144"/>
      <c r="BW1427" s="1144"/>
      <c r="BX1427" s="1144"/>
      <c r="BY1427" s="1144"/>
      <c r="BZ1427" s="1144"/>
      <c r="CA1427" s="1144"/>
      <c r="CB1427" s="1144"/>
      <c r="CC1427" s="1144"/>
      <c r="CD1427" s="1144"/>
      <c r="CE1427" s="1144"/>
      <c r="CF1427" s="1144"/>
      <c r="CG1427" s="1144"/>
      <c r="CH1427" s="1144"/>
      <c r="CI1427" s="1144"/>
      <c r="CJ1427" s="1144"/>
      <c r="CK1427" s="1144"/>
      <c r="CL1427" s="1144"/>
      <c r="CM1427" s="1144"/>
      <c r="CN1427" s="1144"/>
      <c r="CO1427" s="84"/>
      <c r="CP1427" s="84"/>
      <c r="CQ1427" s="101"/>
      <c r="CR1427" s="101"/>
      <c r="CS1427" s="101"/>
      <c r="CT1427" s="101"/>
      <c r="CU1427" s="101"/>
      <c r="CV1427" s="101"/>
      <c r="CW1427" s="101"/>
      <c r="CX1427" s="101"/>
      <c r="CY1427" s="101"/>
      <c r="CZ1427" s="101"/>
      <c r="DA1427" s="101"/>
      <c r="DB1427" s="101"/>
      <c r="DC1427" s="101"/>
      <c r="DD1427" s="101"/>
      <c r="DE1427" s="101"/>
      <c r="DF1427" s="101"/>
      <c r="DG1427" s="101"/>
      <c r="DH1427" s="101"/>
      <c r="DI1427" s="101"/>
      <c r="DJ1427" s="101"/>
      <c r="DK1427" s="101"/>
      <c r="DL1427" s="101"/>
      <c r="DM1427" s="101"/>
      <c r="DN1427" s="101"/>
      <c r="DO1427" s="101"/>
      <c r="DP1427" s="101"/>
      <c r="DQ1427" s="101"/>
    </row>
    <row r="1428" spans="1:121" s="40" customFormat="1" ht="12" customHeight="1" x14ac:dyDescent="0.3">
      <c r="A1428" s="101"/>
      <c r="F1428" s="485">
        <f t="shared" si="838"/>
        <v>700</v>
      </c>
      <c r="G1428" s="485">
        <f>Infrastructure!D92</f>
        <v>700</v>
      </c>
      <c r="I1428" s="40">
        <v>23</v>
      </c>
      <c r="J1428" s="977">
        <f t="shared" si="851"/>
        <v>0</v>
      </c>
      <c r="K1428" s="977">
        <f t="shared" si="850"/>
        <v>0</v>
      </c>
      <c r="L1428" s="977">
        <f t="shared" si="850"/>
        <v>0</v>
      </c>
      <c r="M1428" s="977">
        <f t="shared" si="850"/>
        <v>0</v>
      </c>
      <c r="N1428" s="977">
        <f t="shared" si="850"/>
        <v>0</v>
      </c>
      <c r="O1428" s="977">
        <f t="shared" si="850"/>
        <v>0</v>
      </c>
      <c r="P1428" s="977">
        <f t="shared" si="850"/>
        <v>0</v>
      </c>
      <c r="Q1428" s="977">
        <f t="shared" si="850"/>
        <v>0</v>
      </c>
      <c r="R1428" s="977">
        <f t="shared" si="850"/>
        <v>0</v>
      </c>
      <c r="S1428" s="977">
        <f t="shared" si="850"/>
        <v>0</v>
      </c>
      <c r="T1428" s="977">
        <f t="shared" si="850"/>
        <v>0</v>
      </c>
      <c r="U1428" s="977">
        <f t="shared" si="850"/>
        <v>0</v>
      </c>
      <c r="V1428" s="977">
        <f t="shared" si="850"/>
        <v>0</v>
      </c>
      <c r="W1428" s="977">
        <f t="shared" si="850"/>
        <v>0</v>
      </c>
      <c r="X1428" s="977">
        <f t="shared" si="850"/>
        <v>0</v>
      </c>
      <c r="Y1428" s="977">
        <f t="shared" si="850"/>
        <v>0</v>
      </c>
      <c r="Z1428" s="977">
        <f t="shared" si="850"/>
        <v>0</v>
      </c>
      <c r="AA1428" s="977">
        <f t="shared" si="850"/>
        <v>0</v>
      </c>
      <c r="AB1428" s="977">
        <f t="shared" si="850"/>
        <v>0</v>
      </c>
      <c r="AC1428" s="977">
        <f t="shared" si="850"/>
        <v>0</v>
      </c>
      <c r="AD1428" s="977">
        <f t="shared" si="850"/>
        <v>0</v>
      </c>
      <c r="AE1428" s="977">
        <f t="shared" si="850"/>
        <v>0</v>
      </c>
      <c r="AF1428" s="977">
        <f t="shared" si="850"/>
        <v>0</v>
      </c>
      <c r="AG1428" s="977">
        <f t="shared" si="850"/>
        <v>0</v>
      </c>
      <c r="AH1428" s="977">
        <f t="shared" si="850"/>
        <v>0</v>
      </c>
      <c r="AI1428" s="376"/>
      <c r="AJ1428" s="376"/>
      <c r="AK1428" s="376"/>
      <c r="AL1428" s="1144"/>
      <c r="AM1428" s="1144"/>
      <c r="AN1428" s="1144"/>
      <c r="AO1428" s="1144"/>
      <c r="AP1428" s="1144"/>
      <c r="AQ1428" s="1144"/>
      <c r="AR1428" s="1144"/>
      <c r="AS1428" s="1144"/>
      <c r="AT1428" s="1144"/>
      <c r="AU1428" s="1144"/>
      <c r="AV1428" s="1144"/>
      <c r="AW1428" s="1144"/>
      <c r="AX1428" s="1144"/>
      <c r="AY1428" s="1144"/>
      <c r="AZ1428" s="1144"/>
      <c r="BA1428" s="1144"/>
      <c r="BB1428" s="1144"/>
      <c r="BC1428" s="1144"/>
      <c r="BD1428" s="1144"/>
      <c r="BE1428" s="1144"/>
      <c r="BF1428" s="1144"/>
      <c r="BG1428" s="1144"/>
      <c r="BH1428" s="1144"/>
      <c r="BI1428" s="1144"/>
      <c r="BJ1428" s="1144"/>
      <c r="BK1428" s="1144"/>
      <c r="BL1428" s="1144"/>
      <c r="BM1428" s="1144"/>
      <c r="BN1428" s="1144"/>
      <c r="BO1428" s="1144"/>
      <c r="BP1428" s="1144"/>
      <c r="BQ1428" s="1144"/>
      <c r="BR1428" s="1144"/>
      <c r="BS1428" s="1144"/>
      <c r="BT1428" s="1144"/>
      <c r="BU1428" s="1144"/>
      <c r="BV1428" s="1144"/>
      <c r="BW1428" s="1144"/>
      <c r="BX1428" s="1144"/>
      <c r="BY1428" s="1144"/>
      <c r="BZ1428" s="1144"/>
      <c r="CA1428" s="1144"/>
      <c r="CB1428" s="1144"/>
      <c r="CC1428" s="1144"/>
      <c r="CD1428" s="1144"/>
      <c r="CE1428" s="1144"/>
      <c r="CF1428" s="1144"/>
      <c r="CG1428" s="1144"/>
      <c r="CH1428" s="1144"/>
      <c r="CI1428" s="1144"/>
      <c r="CJ1428" s="1144"/>
      <c r="CK1428" s="1144"/>
      <c r="CL1428" s="1144"/>
      <c r="CM1428" s="1144"/>
      <c r="CN1428" s="1144"/>
      <c r="CO1428" s="84"/>
      <c r="CP1428" s="84"/>
      <c r="CQ1428" s="101"/>
      <c r="CR1428" s="101"/>
      <c r="CS1428" s="101"/>
      <c r="CT1428" s="101"/>
      <c r="CU1428" s="101"/>
      <c r="CV1428" s="101"/>
      <c r="CW1428" s="101"/>
      <c r="CX1428" s="101"/>
      <c r="CY1428" s="101"/>
      <c r="CZ1428" s="101"/>
      <c r="DA1428" s="101"/>
      <c r="DB1428" s="101"/>
      <c r="DC1428" s="101"/>
      <c r="DD1428" s="101"/>
      <c r="DE1428" s="101"/>
      <c r="DF1428" s="101"/>
      <c r="DG1428" s="101"/>
      <c r="DH1428" s="101"/>
      <c r="DI1428" s="101"/>
      <c r="DJ1428" s="101"/>
      <c r="DK1428" s="101"/>
      <c r="DL1428" s="101"/>
      <c r="DM1428" s="101"/>
      <c r="DN1428" s="101"/>
      <c r="DO1428" s="101"/>
      <c r="DP1428" s="101"/>
      <c r="DQ1428" s="101"/>
    </row>
    <row r="1429" spans="1:121" s="40" customFormat="1" ht="12" customHeight="1" x14ac:dyDescent="0.3">
      <c r="A1429" s="101"/>
      <c r="F1429" s="485">
        <f t="shared" si="838"/>
        <v>731</v>
      </c>
      <c r="G1429" s="485">
        <f>Infrastructure!D93</f>
        <v>731</v>
      </c>
      <c r="I1429" s="40">
        <v>24</v>
      </c>
      <c r="J1429" s="977">
        <f t="shared" si="851"/>
        <v>0</v>
      </c>
      <c r="K1429" s="977">
        <f t="shared" si="850"/>
        <v>0</v>
      </c>
      <c r="L1429" s="977">
        <f t="shared" si="850"/>
        <v>0</v>
      </c>
      <c r="M1429" s="977">
        <f t="shared" si="850"/>
        <v>0</v>
      </c>
      <c r="N1429" s="977">
        <f t="shared" si="850"/>
        <v>0</v>
      </c>
      <c r="O1429" s="977">
        <f t="shared" si="850"/>
        <v>0</v>
      </c>
      <c r="P1429" s="977">
        <f t="shared" si="850"/>
        <v>0</v>
      </c>
      <c r="Q1429" s="977">
        <f t="shared" si="850"/>
        <v>0</v>
      </c>
      <c r="R1429" s="977">
        <f t="shared" si="850"/>
        <v>0</v>
      </c>
      <c r="S1429" s="977">
        <f t="shared" si="850"/>
        <v>0</v>
      </c>
      <c r="T1429" s="977">
        <f t="shared" si="850"/>
        <v>0</v>
      </c>
      <c r="U1429" s="977">
        <f t="shared" si="850"/>
        <v>0</v>
      </c>
      <c r="V1429" s="977">
        <f t="shared" si="850"/>
        <v>0</v>
      </c>
      <c r="W1429" s="977">
        <f t="shared" si="850"/>
        <v>0</v>
      </c>
      <c r="X1429" s="977">
        <f t="shared" si="850"/>
        <v>0</v>
      </c>
      <c r="Y1429" s="977">
        <f t="shared" si="850"/>
        <v>0</v>
      </c>
      <c r="Z1429" s="977">
        <f t="shared" ref="Z1429" si="852">Z1428</f>
        <v>0</v>
      </c>
      <c r="AA1429" s="977">
        <f t="shared" ref="AA1429" si="853">AA1428</f>
        <v>0</v>
      </c>
      <c r="AB1429" s="977">
        <f t="shared" ref="AB1429" si="854">AB1428</f>
        <v>0</v>
      </c>
      <c r="AC1429" s="977">
        <f t="shared" ref="AC1429" si="855">AC1428</f>
        <v>0</v>
      </c>
      <c r="AD1429" s="977">
        <f t="shared" ref="AD1429" si="856">AD1428</f>
        <v>0</v>
      </c>
      <c r="AE1429" s="977">
        <f t="shared" ref="AE1429" si="857">AE1428</f>
        <v>0</v>
      </c>
      <c r="AF1429" s="977">
        <f t="shared" ref="AF1429" si="858">AF1428</f>
        <v>0</v>
      </c>
      <c r="AG1429" s="977">
        <f t="shared" ref="AG1429" si="859">AG1428</f>
        <v>0</v>
      </c>
      <c r="AH1429" s="977">
        <f t="shared" ref="AH1429" si="860">AH1428</f>
        <v>0</v>
      </c>
      <c r="AI1429" s="376"/>
      <c r="AJ1429" s="376"/>
      <c r="AK1429" s="376"/>
      <c r="AL1429" s="1144"/>
      <c r="AM1429" s="1144"/>
      <c r="AN1429" s="1144"/>
      <c r="AO1429" s="1144"/>
      <c r="AP1429" s="1144"/>
      <c r="AQ1429" s="1144"/>
      <c r="AR1429" s="1144"/>
      <c r="AS1429" s="1144"/>
      <c r="AT1429" s="1144"/>
      <c r="AU1429" s="1144"/>
      <c r="AV1429" s="1144"/>
      <c r="AW1429" s="1144"/>
      <c r="AX1429" s="1144"/>
      <c r="AY1429" s="1144"/>
      <c r="AZ1429" s="1144"/>
      <c r="BA1429" s="1144"/>
      <c r="BB1429" s="1144"/>
      <c r="BC1429" s="1144"/>
      <c r="BD1429" s="1144"/>
      <c r="BE1429" s="1144"/>
      <c r="BF1429" s="1144"/>
      <c r="BG1429" s="1144"/>
      <c r="BH1429" s="1144"/>
      <c r="BI1429" s="1144"/>
      <c r="BJ1429" s="1144"/>
      <c r="BK1429" s="1144"/>
      <c r="BL1429" s="1144"/>
      <c r="BM1429" s="1144"/>
      <c r="BN1429" s="1144"/>
      <c r="BO1429" s="1144"/>
      <c r="BP1429" s="1144"/>
      <c r="BQ1429" s="1144"/>
      <c r="BR1429" s="1144"/>
      <c r="BS1429" s="1144"/>
      <c r="BT1429" s="1144"/>
      <c r="BU1429" s="1144"/>
      <c r="BV1429" s="1144"/>
      <c r="BW1429" s="1144"/>
      <c r="BX1429" s="1144"/>
      <c r="BY1429" s="1144"/>
      <c r="BZ1429" s="1144"/>
      <c r="CA1429" s="1144"/>
      <c r="CB1429" s="1144"/>
      <c r="CC1429" s="1144"/>
      <c r="CD1429" s="1144"/>
      <c r="CE1429" s="1144"/>
      <c r="CF1429" s="1144"/>
      <c r="CG1429" s="1144"/>
      <c r="CH1429" s="1144"/>
      <c r="CI1429" s="1144"/>
      <c r="CJ1429" s="1144"/>
      <c r="CK1429" s="1144"/>
      <c r="CL1429" s="1144"/>
      <c r="CM1429" s="1144"/>
      <c r="CN1429" s="1144"/>
      <c r="CO1429" s="84"/>
      <c r="CP1429" s="84"/>
      <c r="CQ1429" s="101"/>
      <c r="CR1429" s="101"/>
      <c r="CS1429" s="101"/>
      <c r="CT1429" s="101"/>
      <c r="CU1429" s="101"/>
      <c r="CV1429" s="101"/>
      <c r="CW1429" s="101"/>
      <c r="CX1429" s="101"/>
      <c r="CY1429" s="101"/>
      <c r="CZ1429" s="101"/>
      <c r="DA1429" s="101"/>
      <c r="DB1429" s="101"/>
      <c r="DC1429" s="101"/>
      <c r="DD1429" s="101"/>
      <c r="DE1429" s="101"/>
      <c r="DF1429" s="101"/>
      <c r="DG1429" s="101"/>
      <c r="DH1429" s="101"/>
      <c r="DI1429" s="101"/>
      <c r="DJ1429" s="101"/>
      <c r="DK1429" s="101"/>
      <c r="DL1429" s="101"/>
      <c r="DM1429" s="101"/>
      <c r="DN1429" s="101"/>
      <c r="DO1429" s="101"/>
      <c r="DP1429" s="101"/>
      <c r="DQ1429" s="101"/>
    </row>
    <row r="1430" spans="1:121" s="40" customFormat="1" ht="12" customHeight="1" x14ac:dyDescent="0.3">
      <c r="A1430" s="101"/>
      <c r="F1430" s="485">
        <f t="shared" si="838"/>
        <v>762</v>
      </c>
      <c r="G1430" s="485">
        <f>Infrastructure!D94</f>
        <v>762</v>
      </c>
      <c r="I1430" s="40">
        <v>25</v>
      </c>
      <c r="J1430" s="977">
        <f>Input!D66</f>
        <v>0</v>
      </c>
      <c r="K1430" s="977">
        <f>Input!E66</f>
        <v>0</v>
      </c>
      <c r="L1430" s="977">
        <f>Input!F66</f>
        <v>0</v>
      </c>
      <c r="M1430" s="977">
        <f>Input!G66</f>
        <v>0</v>
      </c>
      <c r="N1430" s="977">
        <f>Input!H66</f>
        <v>0</v>
      </c>
      <c r="O1430" s="977">
        <f>Input!I66</f>
        <v>0</v>
      </c>
      <c r="P1430" s="977">
        <f>Input!J66</f>
        <v>0</v>
      </c>
      <c r="Q1430" s="977">
        <f>Input!K66</f>
        <v>0</v>
      </c>
      <c r="R1430" s="977">
        <f>Input!L66</f>
        <v>0</v>
      </c>
      <c r="S1430" s="977">
        <f>Input!M66</f>
        <v>0</v>
      </c>
      <c r="T1430" s="977">
        <f>Input!N66</f>
        <v>0</v>
      </c>
      <c r="U1430" s="977">
        <f>Input!O66</f>
        <v>0</v>
      </c>
      <c r="V1430" s="977">
        <f>Input!P66</f>
        <v>0</v>
      </c>
      <c r="W1430" s="977">
        <f>Input!Q66</f>
        <v>0</v>
      </c>
      <c r="X1430" s="977">
        <f>Input!R66</f>
        <v>0</v>
      </c>
      <c r="Y1430" s="977">
        <f>Input!S66</f>
        <v>0</v>
      </c>
      <c r="Z1430" s="977">
        <f>Input!T66</f>
        <v>0</v>
      </c>
      <c r="AA1430" s="977">
        <f>Input!U66</f>
        <v>0</v>
      </c>
      <c r="AB1430" s="977">
        <f>Input!V66</f>
        <v>0</v>
      </c>
      <c r="AC1430" s="977">
        <f>Input!W66</f>
        <v>0</v>
      </c>
      <c r="AD1430" s="977">
        <f>Input!X66</f>
        <v>0</v>
      </c>
      <c r="AE1430" s="977">
        <f>Input!Y66</f>
        <v>0</v>
      </c>
      <c r="AF1430" s="977">
        <f>Input!Z66</f>
        <v>0</v>
      </c>
      <c r="AG1430" s="977">
        <f>Input!AA66</f>
        <v>0</v>
      </c>
      <c r="AH1430" s="977">
        <f>Input!AB66</f>
        <v>0</v>
      </c>
      <c r="AI1430" s="376"/>
      <c r="AJ1430" s="376"/>
      <c r="AK1430" s="376"/>
      <c r="AL1430" s="1144"/>
      <c r="AM1430" s="1144"/>
      <c r="AN1430" s="1144"/>
      <c r="AO1430" s="1144"/>
      <c r="AP1430" s="1144"/>
      <c r="AQ1430" s="1144"/>
      <c r="AR1430" s="1144"/>
      <c r="AS1430" s="1144"/>
      <c r="AT1430" s="1144"/>
      <c r="AU1430" s="1144"/>
      <c r="AV1430" s="1144"/>
      <c r="AW1430" s="1144"/>
      <c r="AX1430" s="1144"/>
      <c r="AY1430" s="1144"/>
      <c r="AZ1430" s="1144"/>
      <c r="BA1430" s="1144"/>
      <c r="BB1430" s="1144"/>
      <c r="BC1430" s="1144"/>
      <c r="BD1430" s="1144"/>
      <c r="BE1430" s="1144"/>
      <c r="BF1430" s="1144"/>
      <c r="BG1430" s="1144"/>
      <c r="BH1430" s="1144"/>
      <c r="BI1430" s="1144"/>
      <c r="BJ1430" s="1144"/>
      <c r="BK1430" s="1144"/>
      <c r="BL1430" s="1144"/>
      <c r="BM1430" s="1144"/>
      <c r="BN1430" s="1144"/>
      <c r="BO1430" s="1144"/>
      <c r="BP1430" s="1144"/>
      <c r="BQ1430" s="1144"/>
      <c r="BR1430" s="1144"/>
      <c r="BS1430" s="1144"/>
      <c r="BT1430" s="1144"/>
      <c r="BU1430" s="1144"/>
      <c r="BV1430" s="1144"/>
      <c r="BW1430" s="1144"/>
      <c r="BX1430" s="1144"/>
      <c r="BY1430" s="1144"/>
      <c r="BZ1430" s="1144"/>
      <c r="CA1430" s="1144"/>
      <c r="CB1430" s="1144"/>
      <c r="CC1430" s="1144"/>
      <c r="CD1430" s="1144"/>
      <c r="CE1430" s="1144"/>
      <c r="CF1430" s="1144"/>
      <c r="CG1430" s="1144"/>
      <c r="CH1430" s="1144"/>
      <c r="CI1430" s="1144"/>
      <c r="CJ1430" s="1144"/>
      <c r="CK1430" s="1144"/>
      <c r="CL1430" s="1144"/>
      <c r="CM1430" s="1144"/>
      <c r="CN1430" s="1144"/>
      <c r="CO1430" s="84"/>
      <c r="CP1430" s="84"/>
      <c r="CQ1430" s="101"/>
      <c r="CR1430" s="101"/>
      <c r="CS1430" s="101"/>
      <c r="CT1430" s="101"/>
      <c r="CU1430" s="101"/>
      <c r="CV1430" s="101"/>
      <c r="CW1430" s="101"/>
      <c r="CX1430" s="101"/>
      <c r="CY1430" s="101"/>
      <c r="CZ1430" s="101"/>
      <c r="DA1430" s="101"/>
      <c r="DB1430" s="101"/>
      <c r="DC1430" s="101"/>
      <c r="DD1430" s="101"/>
      <c r="DE1430" s="101"/>
      <c r="DF1430" s="101"/>
      <c r="DG1430" s="101"/>
      <c r="DH1430" s="101"/>
      <c r="DI1430" s="101"/>
      <c r="DJ1430" s="101"/>
      <c r="DK1430" s="101"/>
      <c r="DL1430" s="101"/>
      <c r="DM1430" s="101"/>
      <c r="DN1430" s="101"/>
      <c r="DO1430" s="101"/>
      <c r="DP1430" s="101"/>
      <c r="DQ1430" s="101"/>
    </row>
    <row r="1431" spans="1:121" s="40" customFormat="1" ht="12" customHeight="1" x14ac:dyDescent="0.3">
      <c r="A1431" s="101"/>
      <c r="F1431" s="485">
        <f t="shared" si="838"/>
        <v>790</v>
      </c>
      <c r="G1431" s="485">
        <f>Infrastructure!D95</f>
        <v>790</v>
      </c>
      <c r="I1431" s="40">
        <v>26</v>
      </c>
      <c r="J1431" s="977">
        <f>J1430</f>
        <v>0</v>
      </c>
      <c r="K1431" s="977">
        <f t="shared" ref="K1431:AH1441" si="861">K1430</f>
        <v>0</v>
      </c>
      <c r="L1431" s="977">
        <f t="shared" si="861"/>
        <v>0</v>
      </c>
      <c r="M1431" s="977">
        <f t="shared" si="861"/>
        <v>0</v>
      </c>
      <c r="N1431" s="977">
        <f t="shared" si="861"/>
        <v>0</v>
      </c>
      <c r="O1431" s="977">
        <f t="shared" si="861"/>
        <v>0</v>
      </c>
      <c r="P1431" s="977">
        <f t="shared" si="861"/>
        <v>0</v>
      </c>
      <c r="Q1431" s="977">
        <f t="shared" si="861"/>
        <v>0</v>
      </c>
      <c r="R1431" s="977">
        <f t="shared" si="861"/>
        <v>0</v>
      </c>
      <c r="S1431" s="977">
        <f t="shared" si="861"/>
        <v>0</v>
      </c>
      <c r="T1431" s="977">
        <f t="shared" si="861"/>
        <v>0</v>
      </c>
      <c r="U1431" s="977">
        <f t="shared" si="861"/>
        <v>0</v>
      </c>
      <c r="V1431" s="977">
        <f t="shared" si="861"/>
        <v>0</v>
      </c>
      <c r="W1431" s="977">
        <f t="shared" si="861"/>
        <v>0</v>
      </c>
      <c r="X1431" s="977">
        <f t="shared" si="861"/>
        <v>0</v>
      </c>
      <c r="Y1431" s="977">
        <f t="shared" si="861"/>
        <v>0</v>
      </c>
      <c r="Z1431" s="977">
        <f t="shared" si="861"/>
        <v>0</v>
      </c>
      <c r="AA1431" s="977">
        <f t="shared" si="861"/>
        <v>0</v>
      </c>
      <c r="AB1431" s="977">
        <f t="shared" si="861"/>
        <v>0</v>
      </c>
      <c r="AC1431" s="977">
        <f t="shared" si="861"/>
        <v>0</v>
      </c>
      <c r="AD1431" s="977">
        <f t="shared" si="861"/>
        <v>0</v>
      </c>
      <c r="AE1431" s="977">
        <f t="shared" si="861"/>
        <v>0</v>
      </c>
      <c r="AF1431" s="977">
        <f t="shared" si="861"/>
        <v>0</v>
      </c>
      <c r="AG1431" s="977">
        <f t="shared" si="861"/>
        <v>0</v>
      </c>
      <c r="AH1431" s="977">
        <f t="shared" si="861"/>
        <v>0</v>
      </c>
      <c r="AI1431" s="376"/>
      <c r="AJ1431" s="376"/>
      <c r="AK1431" s="376"/>
      <c r="AL1431" s="1144"/>
      <c r="AM1431" s="1144"/>
      <c r="AN1431" s="1144"/>
      <c r="AO1431" s="1144"/>
      <c r="AP1431" s="1144"/>
      <c r="AQ1431" s="1144"/>
      <c r="AR1431" s="1144"/>
      <c r="AS1431" s="1144"/>
      <c r="AT1431" s="1144"/>
      <c r="AU1431" s="1144"/>
      <c r="AV1431" s="1144"/>
      <c r="AW1431" s="1144"/>
      <c r="AX1431" s="1144"/>
      <c r="AY1431" s="1144"/>
      <c r="AZ1431" s="1144"/>
      <c r="BA1431" s="1144"/>
      <c r="BB1431" s="1144"/>
      <c r="BC1431" s="1144"/>
      <c r="BD1431" s="1144"/>
      <c r="BE1431" s="1144"/>
      <c r="BF1431" s="1144"/>
      <c r="BG1431" s="1144"/>
      <c r="BH1431" s="1144"/>
      <c r="BI1431" s="1144"/>
      <c r="BJ1431" s="1144"/>
      <c r="BK1431" s="1144"/>
      <c r="BL1431" s="1144"/>
      <c r="BM1431" s="1144"/>
      <c r="BN1431" s="1144"/>
      <c r="BO1431" s="1144"/>
      <c r="BP1431" s="1144"/>
      <c r="BQ1431" s="1144"/>
      <c r="BR1431" s="1144"/>
      <c r="BS1431" s="1144"/>
      <c r="BT1431" s="1144"/>
      <c r="BU1431" s="1144"/>
      <c r="BV1431" s="1144"/>
      <c r="BW1431" s="1144"/>
      <c r="BX1431" s="1144"/>
      <c r="BY1431" s="1144"/>
      <c r="BZ1431" s="1144"/>
      <c r="CA1431" s="1144"/>
      <c r="CB1431" s="1144"/>
      <c r="CC1431" s="1144"/>
      <c r="CD1431" s="1144"/>
      <c r="CE1431" s="1144"/>
      <c r="CF1431" s="1144"/>
      <c r="CG1431" s="1144"/>
      <c r="CH1431" s="1144"/>
      <c r="CI1431" s="1144"/>
      <c r="CJ1431" s="1144"/>
      <c r="CK1431" s="1144"/>
      <c r="CL1431" s="1144"/>
      <c r="CM1431" s="1144"/>
      <c r="CN1431" s="1144"/>
      <c r="CO1431" s="84"/>
      <c r="CP1431" s="84"/>
      <c r="CQ1431" s="101"/>
      <c r="CR1431" s="101"/>
      <c r="CS1431" s="101"/>
      <c r="CT1431" s="101"/>
      <c r="CU1431" s="101"/>
      <c r="CV1431" s="101"/>
      <c r="CW1431" s="101"/>
      <c r="CX1431" s="101"/>
      <c r="CY1431" s="101"/>
      <c r="CZ1431" s="101"/>
      <c r="DA1431" s="101"/>
      <c r="DB1431" s="101"/>
      <c r="DC1431" s="101"/>
      <c r="DD1431" s="101"/>
      <c r="DE1431" s="101"/>
      <c r="DF1431" s="101"/>
      <c r="DG1431" s="101"/>
      <c r="DH1431" s="101"/>
      <c r="DI1431" s="101"/>
      <c r="DJ1431" s="101"/>
      <c r="DK1431" s="101"/>
      <c r="DL1431" s="101"/>
      <c r="DM1431" s="101"/>
      <c r="DN1431" s="101"/>
      <c r="DO1431" s="101"/>
      <c r="DP1431" s="101"/>
      <c r="DQ1431" s="101"/>
    </row>
    <row r="1432" spans="1:121" s="40" customFormat="1" ht="12" customHeight="1" x14ac:dyDescent="0.3">
      <c r="A1432" s="101"/>
      <c r="F1432" s="485">
        <f t="shared" si="838"/>
        <v>821</v>
      </c>
      <c r="G1432" s="485">
        <f>Infrastructure!D96</f>
        <v>821</v>
      </c>
      <c r="I1432" s="40">
        <v>27</v>
      </c>
      <c r="J1432" s="977">
        <f t="shared" ref="J1432:J1441" si="862">J1431</f>
        <v>0</v>
      </c>
      <c r="K1432" s="977">
        <f t="shared" si="861"/>
        <v>0</v>
      </c>
      <c r="L1432" s="977">
        <f t="shared" si="861"/>
        <v>0</v>
      </c>
      <c r="M1432" s="977">
        <f t="shared" si="861"/>
        <v>0</v>
      </c>
      <c r="N1432" s="977">
        <f t="shared" si="861"/>
        <v>0</v>
      </c>
      <c r="O1432" s="977">
        <f t="shared" si="861"/>
        <v>0</v>
      </c>
      <c r="P1432" s="977">
        <f t="shared" si="861"/>
        <v>0</v>
      </c>
      <c r="Q1432" s="977">
        <f t="shared" si="861"/>
        <v>0</v>
      </c>
      <c r="R1432" s="977">
        <f t="shared" si="861"/>
        <v>0</v>
      </c>
      <c r="S1432" s="977">
        <f t="shared" si="861"/>
        <v>0</v>
      </c>
      <c r="T1432" s="977">
        <f t="shared" si="861"/>
        <v>0</v>
      </c>
      <c r="U1432" s="977">
        <f t="shared" si="861"/>
        <v>0</v>
      </c>
      <c r="V1432" s="977">
        <f t="shared" si="861"/>
        <v>0</v>
      </c>
      <c r="W1432" s="977">
        <f t="shared" si="861"/>
        <v>0</v>
      </c>
      <c r="X1432" s="977">
        <f t="shared" si="861"/>
        <v>0</v>
      </c>
      <c r="Y1432" s="977">
        <f t="shared" si="861"/>
        <v>0</v>
      </c>
      <c r="Z1432" s="977">
        <f t="shared" si="861"/>
        <v>0</v>
      </c>
      <c r="AA1432" s="977">
        <f t="shared" si="861"/>
        <v>0</v>
      </c>
      <c r="AB1432" s="977">
        <f t="shared" si="861"/>
        <v>0</v>
      </c>
      <c r="AC1432" s="977">
        <f t="shared" si="861"/>
        <v>0</v>
      </c>
      <c r="AD1432" s="977">
        <f t="shared" si="861"/>
        <v>0</v>
      </c>
      <c r="AE1432" s="977">
        <f t="shared" si="861"/>
        <v>0</v>
      </c>
      <c r="AF1432" s="977">
        <f t="shared" si="861"/>
        <v>0</v>
      </c>
      <c r="AG1432" s="977">
        <f t="shared" si="861"/>
        <v>0</v>
      </c>
      <c r="AH1432" s="977">
        <f t="shared" si="861"/>
        <v>0</v>
      </c>
      <c r="AI1432" s="376"/>
      <c r="AJ1432" s="376"/>
      <c r="AK1432" s="376"/>
      <c r="AL1432" s="1144"/>
      <c r="AM1432" s="1144"/>
      <c r="AN1432" s="1144"/>
      <c r="AO1432" s="1144"/>
      <c r="AP1432" s="1144"/>
      <c r="AQ1432" s="1144"/>
      <c r="AR1432" s="1144"/>
      <c r="AS1432" s="1144"/>
      <c r="AT1432" s="1144"/>
      <c r="AU1432" s="1144"/>
      <c r="AV1432" s="1144"/>
      <c r="AW1432" s="1144"/>
      <c r="AX1432" s="1144"/>
      <c r="AY1432" s="1144"/>
      <c r="AZ1432" s="1144"/>
      <c r="BA1432" s="1144"/>
      <c r="BB1432" s="1144"/>
      <c r="BC1432" s="1144"/>
      <c r="BD1432" s="1144"/>
      <c r="BE1432" s="1144"/>
      <c r="BF1432" s="1144"/>
      <c r="BG1432" s="1144"/>
      <c r="BH1432" s="1144"/>
      <c r="BI1432" s="1144"/>
      <c r="BJ1432" s="1144"/>
      <c r="BK1432" s="1144"/>
      <c r="BL1432" s="1144"/>
      <c r="BM1432" s="1144"/>
      <c r="BN1432" s="1144"/>
      <c r="BO1432" s="1144"/>
      <c r="BP1432" s="1144"/>
      <c r="BQ1432" s="1144"/>
      <c r="BR1432" s="1144"/>
      <c r="BS1432" s="1144"/>
      <c r="BT1432" s="1144"/>
      <c r="BU1432" s="1144"/>
      <c r="BV1432" s="1144"/>
      <c r="BW1432" s="1144"/>
      <c r="BX1432" s="1144"/>
      <c r="BY1432" s="1144"/>
      <c r="BZ1432" s="1144"/>
      <c r="CA1432" s="1144"/>
      <c r="CB1432" s="1144"/>
      <c r="CC1432" s="1144"/>
      <c r="CD1432" s="1144"/>
      <c r="CE1432" s="1144"/>
      <c r="CF1432" s="1144"/>
      <c r="CG1432" s="1144"/>
      <c r="CH1432" s="1144"/>
      <c r="CI1432" s="1144"/>
      <c r="CJ1432" s="1144"/>
      <c r="CK1432" s="1144"/>
      <c r="CL1432" s="1144"/>
      <c r="CM1432" s="1144"/>
      <c r="CN1432" s="1144"/>
      <c r="CO1432" s="84"/>
      <c r="CP1432" s="84"/>
      <c r="CQ1432" s="101"/>
      <c r="CR1432" s="101"/>
      <c r="CS1432" s="101"/>
      <c r="CT1432" s="101"/>
      <c r="CU1432" s="101"/>
      <c r="CV1432" s="101"/>
      <c r="CW1432" s="101"/>
      <c r="CX1432" s="101"/>
      <c r="CY1432" s="101"/>
      <c r="CZ1432" s="101"/>
      <c r="DA1432" s="101"/>
      <c r="DB1432" s="101"/>
      <c r="DC1432" s="101"/>
      <c r="DD1432" s="101"/>
      <c r="DE1432" s="101"/>
      <c r="DF1432" s="101"/>
      <c r="DG1432" s="101"/>
      <c r="DH1432" s="101"/>
      <c r="DI1432" s="101"/>
      <c r="DJ1432" s="101"/>
      <c r="DK1432" s="101"/>
      <c r="DL1432" s="101"/>
      <c r="DM1432" s="101"/>
      <c r="DN1432" s="101"/>
      <c r="DO1432" s="101"/>
      <c r="DP1432" s="101"/>
      <c r="DQ1432" s="101"/>
    </row>
    <row r="1433" spans="1:121" s="40" customFormat="1" ht="12" customHeight="1" x14ac:dyDescent="0.3">
      <c r="A1433" s="101"/>
      <c r="F1433" s="485">
        <f t="shared" si="838"/>
        <v>851</v>
      </c>
      <c r="G1433" s="485">
        <f>Infrastructure!D97</f>
        <v>851</v>
      </c>
      <c r="I1433" s="40">
        <v>28</v>
      </c>
      <c r="J1433" s="977">
        <f t="shared" si="862"/>
        <v>0</v>
      </c>
      <c r="K1433" s="977">
        <f t="shared" si="861"/>
        <v>0</v>
      </c>
      <c r="L1433" s="977">
        <f t="shared" si="861"/>
        <v>0</v>
      </c>
      <c r="M1433" s="977">
        <f t="shared" si="861"/>
        <v>0</v>
      </c>
      <c r="N1433" s="977">
        <f t="shared" si="861"/>
        <v>0</v>
      </c>
      <c r="O1433" s="977">
        <f t="shared" si="861"/>
        <v>0</v>
      </c>
      <c r="P1433" s="977">
        <f t="shared" si="861"/>
        <v>0</v>
      </c>
      <c r="Q1433" s="977">
        <f t="shared" si="861"/>
        <v>0</v>
      </c>
      <c r="R1433" s="977">
        <f t="shared" si="861"/>
        <v>0</v>
      </c>
      <c r="S1433" s="977">
        <f t="shared" si="861"/>
        <v>0</v>
      </c>
      <c r="T1433" s="977">
        <f t="shared" si="861"/>
        <v>0</v>
      </c>
      <c r="U1433" s="977">
        <f t="shared" si="861"/>
        <v>0</v>
      </c>
      <c r="V1433" s="977">
        <f t="shared" si="861"/>
        <v>0</v>
      </c>
      <c r="W1433" s="977">
        <f t="shared" si="861"/>
        <v>0</v>
      </c>
      <c r="X1433" s="977">
        <f t="shared" si="861"/>
        <v>0</v>
      </c>
      <c r="Y1433" s="977">
        <f t="shared" si="861"/>
        <v>0</v>
      </c>
      <c r="Z1433" s="977">
        <f t="shared" si="861"/>
        <v>0</v>
      </c>
      <c r="AA1433" s="977">
        <f t="shared" si="861"/>
        <v>0</v>
      </c>
      <c r="AB1433" s="977">
        <f t="shared" si="861"/>
        <v>0</v>
      </c>
      <c r="AC1433" s="977">
        <f t="shared" si="861"/>
        <v>0</v>
      </c>
      <c r="AD1433" s="977">
        <f t="shared" si="861"/>
        <v>0</v>
      </c>
      <c r="AE1433" s="977">
        <f t="shared" si="861"/>
        <v>0</v>
      </c>
      <c r="AF1433" s="977">
        <f t="shared" si="861"/>
        <v>0</v>
      </c>
      <c r="AG1433" s="977">
        <f t="shared" si="861"/>
        <v>0</v>
      </c>
      <c r="AH1433" s="977">
        <f t="shared" si="861"/>
        <v>0</v>
      </c>
      <c r="AI1433" s="376"/>
      <c r="AJ1433" s="376"/>
      <c r="AK1433" s="376"/>
      <c r="AL1433" s="1144"/>
      <c r="AM1433" s="1144"/>
      <c r="AN1433" s="1144"/>
      <c r="AO1433" s="1144"/>
      <c r="AP1433" s="1144"/>
      <c r="AQ1433" s="1144"/>
      <c r="AR1433" s="1144"/>
      <c r="AS1433" s="1144"/>
      <c r="AT1433" s="1144"/>
      <c r="AU1433" s="1144"/>
      <c r="AV1433" s="1144"/>
      <c r="AW1433" s="1144"/>
      <c r="AX1433" s="1144"/>
      <c r="AY1433" s="1144"/>
      <c r="AZ1433" s="1144"/>
      <c r="BA1433" s="1144"/>
      <c r="BB1433" s="1144"/>
      <c r="BC1433" s="1144"/>
      <c r="BD1433" s="1144"/>
      <c r="BE1433" s="1144"/>
      <c r="BF1433" s="1144"/>
      <c r="BG1433" s="1144"/>
      <c r="BH1433" s="1144"/>
      <c r="BI1433" s="1144"/>
      <c r="BJ1433" s="1144"/>
      <c r="BK1433" s="1144"/>
      <c r="BL1433" s="1144"/>
      <c r="BM1433" s="1144"/>
      <c r="BN1433" s="1144"/>
      <c r="BO1433" s="1144"/>
      <c r="BP1433" s="1144"/>
      <c r="BQ1433" s="1144"/>
      <c r="BR1433" s="1144"/>
      <c r="BS1433" s="1144"/>
      <c r="BT1433" s="1144"/>
      <c r="BU1433" s="1144"/>
      <c r="BV1433" s="1144"/>
      <c r="BW1433" s="1144"/>
      <c r="BX1433" s="1144"/>
      <c r="BY1433" s="1144"/>
      <c r="BZ1433" s="1144"/>
      <c r="CA1433" s="1144"/>
      <c r="CB1433" s="1144"/>
      <c r="CC1433" s="1144"/>
      <c r="CD1433" s="1144"/>
      <c r="CE1433" s="1144"/>
      <c r="CF1433" s="1144"/>
      <c r="CG1433" s="1144"/>
      <c r="CH1433" s="1144"/>
      <c r="CI1433" s="1144"/>
      <c r="CJ1433" s="1144"/>
      <c r="CK1433" s="1144"/>
      <c r="CL1433" s="1144"/>
      <c r="CM1433" s="1144"/>
      <c r="CN1433" s="1144"/>
      <c r="CO1433" s="84"/>
      <c r="CP1433" s="84"/>
      <c r="CQ1433" s="101"/>
      <c r="CR1433" s="101"/>
      <c r="CS1433" s="101"/>
      <c r="CT1433" s="101"/>
      <c r="CU1433" s="101"/>
      <c r="CV1433" s="101"/>
      <c r="CW1433" s="101"/>
      <c r="CX1433" s="101"/>
      <c r="CY1433" s="101"/>
      <c r="CZ1433" s="101"/>
      <c r="DA1433" s="101"/>
      <c r="DB1433" s="101"/>
      <c r="DC1433" s="101"/>
      <c r="DD1433" s="101"/>
      <c r="DE1433" s="101"/>
      <c r="DF1433" s="101"/>
      <c r="DG1433" s="101"/>
      <c r="DH1433" s="101"/>
      <c r="DI1433" s="101"/>
      <c r="DJ1433" s="101"/>
      <c r="DK1433" s="101"/>
      <c r="DL1433" s="101"/>
      <c r="DM1433" s="101"/>
      <c r="DN1433" s="101"/>
      <c r="DO1433" s="101"/>
      <c r="DP1433" s="101"/>
      <c r="DQ1433" s="101"/>
    </row>
    <row r="1434" spans="1:121" s="40" customFormat="1" ht="12" customHeight="1" x14ac:dyDescent="0.3">
      <c r="A1434" s="101"/>
      <c r="F1434" s="485">
        <f t="shared" si="838"/>
        <v>882</v>
      </c>
      <c r="G1434" s="485">
        <f>Infrastructure!D98</f>
        <v>882</v>
      </c>
      <c r="I1434" s="40">
        <v>29</v>
      </c>
      <c r="J1434" s="977">
        <f t="shared" si="862"/>
        <v>0</v>
      </c>
      <c r="K1434" s="977">
        <f t="shared" si="861"/>
        <v>0</v>
      </c>
      <c r="L1434" s="977">
        <f t="shared" si="861"/>
        <v>0</v>
      </c>
      <c r="M1434" s="977">
        <f t="shared" si="861"/>
        <v>0</v>
      </c>
      <c r="N1434" s="977">
        <f t="shared" si="861"/>
        <v>0</v>
      </c>
      <c r="O1434" s="977">
        <f t="shared" si="861"/>
        <v>0</v>
      </c>
      <c r="P1434" s="977">
        <f t="shared" si="861"/>
        <v>0</v>
      </c>
      <c r="Q1434" s="977">
        <f t="shared" si="861"/>
        <v>0</v>
      </c>
      <c r="R1434" s="977">
        <f t="shared" si="861"/>
        <v>0</v>
      </c>
      <c r="S1434" s="977">
        <f t="shared" si="861"/>
        <v>0</v>
      </c>
      <c r="T1434" s="977">
        <f t="shared" si="861"/>
        <v>0</v>
      </c>
      <c r="U1434" s="977">
        <f t="shared" si="861"/>
        <v>0</v>
      </c>
      <c r="V1434" s="977">
        <f t="shared" si="861"/>
        <v>0</v>
      </c>
      <c r="W1434" s="977">
        <f t="shared" si="861"/>
        <v>0</v>
      </c>
      <c r="X1434" s="977">
        <f t="shared" si="861"/>
        <v>0</v>
      </c>
      <c r="Y1434" s="977">
        <f t="shared" si="861"/>
        <v>0</v>
      </c>
      <c r="Z1434" s="977">
        <f t="shared" si="861"/>
        <v>0</v>
      </c>
      <c r="AA1434" s="977">
        <f t="shared" si="861"/>
        <v>0</v>
      </c>
      <c r="AB1434" s="977">
        <f t="shared" si="861"/>
        <v>0</v>
      </c>
      <c r="AC1434" s="977">
        <f t="shared" si="861"/>
        <v>0</v>
      </c>
      <c r="AD1434" s="977">
        <f t="shared" si="861"/>
        <v>0</v>
      </c>
      <c r="AE1434" s="977">
        <f t="shared" si="861"/>
        <v>0</v>
      </c>
      <c r="AF1434" s="977">
        <f t="shared" si="861"/>
        <v>0</v>
      </c>
      <c r="AG1434" s="977">
        <f t="shared" si="861"/>
        <v>0</v>
      </c>
      <c r="AH1434" s="977">
        <f t="shared" si="861"/>
        <v>0</v>
      </c>
      <c r="AI1434" s="376"/>
      <c r="AJ1434" s="376"/>
      <c r="AK1434" s="376"/>
      <c r="AL1434" s="1144"/>
      <c r="AM1434" s="1144"/>
      <c r="AN1434" s="1144"/>
      <c r="AO1434" s="1144"/>
      <c r="AP1434" s="1144"/>
      <c r="AQ1434" s="1144"/>
      <c r="AR1434" s="1144"/>
      <c r="AS1434" s="1144"/>
      <c r="AT1434" s="1144"/>
      <c r="AU1434" s="1144"/>
      <c r="AV1434" s="1144"/>
      <c r="AW1434" s="1144"/>
      <c r="AX1434" s="1144"/>
      <c r="AY1434" s="1144"/>
      <c r="AZ1434" s="1144"/>
      <c r="BA1434" s="1144"/>
      <c r="BB1434" s="1144"/>
      <c r="BC1434" s="1144"/>
      <c r="BD1434" s="1144"/>
      <c r="BE1434" s="1144"/>
      <c r="BF1434" s="1144"/>
      <c r="BG1434" s="1144"/>
      <c r="BH1434" s="1144"/>
      <c r="BI1434" s="1144"/>
      <c r="BJ1434" s="1144"/>
      <c r="BK1434" s="1144"/>
      <c r="BL1434" s="1144"/>
      <c r="BM1434" s="1144"/>
      <c r="BN1434" s="1144"/>
      <c r="BO1434" s="1144"/>
      <c r="BP1434" s="1144"/>
      <c r="BQ1434" s="1144"/>
      <c r="BR1434" s="1144"/>
      <c r="BS1434" s="1144"/>
      <c r="BT1434" s="1144"/>
      <c r="BU1434" s="1144"/>
      <c r="BV1434" s="1144"/>
      <c r="BW1434" s="1144"/>
      <c r="BX1434" s="1144"/>
      <c r="BY1434" s="1144"/>
      <c r="BZ1434" s="1144"/>
      <c r="CA1434" s="1144"/>
      <c r="CB1434" s="1144"/>
      <c r="CC1434" s="1144"/>
      <c r="CD1434" s="1144"/>
      <c r="CE1434" s="1144"/>
      <c r="CF1434" s="1144"/>
      <c r="CG1434" s="1144"/>
      <c r="CH1434" s="1144"/>
      <c r="CI1434" s="1144"/>
      <c r="CJ1434" s="1144"/>
      <c r="CK1434" s="1144"/>
      <c r="CL1434" s="1144"/>
      <c r="CM1434" s="1144"/>
      <c r="CN1434" s="1144"/>
      <c r="CO1434" s="84"/>
      <c r="CP1434" s="84"/>
      <c r="CQ1434" s="101"/>
      <c r="CR1434" s="101"/>
      <c r="CS1434" s="101"/>
      <c r="CT1434" s="101"/>
      <c r="CU1434" s="101"/>
      <c r="CV1434" s="101"/>
      <c r="CW1434" s="101"/>
      <c r="CX1434" s="101"/>
      <c r="CY1434" s="101"/>
      <c r="CZ1434" s="101"/>
      <c r="DA1434" s="101"/>
      <c r="DB1434" s="101"/>
      <c r="DC1434" s="101"/>
      <c r="DD1434" s="101"/>
      <c r="DE1434" s="101"/>
      <c r="DF1434" s="101"/>
      <c r="DG1434" s="101"/>
      <c r="DH1434" s="101"/>
      <c r="DI1434" s="101"/>
      <c r="DJ1434" s="101"/>
      <c r="DK1434" s="101"/>
      <c r="DL1434" s="101"/>
      <c r="DM1434" s="101"/>
      <c r="DN1434" s="101"/>
      <c r="DO1434" s="101"/>
      <c r="DP1434" s="101"/>
      <c r="DQ1434" s="101"/>
    </row>
    <row r="1435" spans="1:121" s="40" customFormat="1" ht="12" customHeight="1" x14ac:dyDescent="0.3">
      <c r="A1435" s="101"/>
      <c r="F1435" s="485">
        <f t="shared" si="838"/>
        <v>912</v>
      </c>
      <c r="G1435" s="485">
        <f>Infrastructure!D99</f>
        <v>912</v>
      </c>
      <c r="I1435" s="40">
        <v>30</v>
      </c>
      <c r="J1435" s="977">
        <f t="shared" si="862"/>
        <v>0</v>
      </c>
      <c r="K1435" s="977">
        <f t="shared" si="861"/>
        <v>0</v>
      </c>
      <c r="L1435" s="977">
        <f t="shared" si="861"/>
        <v>0</v>
      </c>
      <c r="M1435" s="977">
        <f t="shared" si="861"/>
        <v>0</v>
      </c>
      <c r="N1435" s="977">
        <f t="shared" si="861"/>
        <v>0</v>
      </c>
      <c r="O1435" s="977">
        <f t="shared" si="861"/>
        <v>0</v>
      </c>
      <c r="P1435" s="977">
        <f t="shared" si="861"/>
        <v>0</v>
      </c>
      <c r="Q1435" s="977">
        <f t="shared" si="861"/>
        <v>0</v>
      </c>
      <c r="R1435" s="977">
        <f t="shared" si="861"/>
        <v>0</v>
      </c>
      <c r="S1435" s="977">
        <f t="shared" si="861"/>
        <v>0</v>
      </c>
      <c r="T1435" s="977">
        <f t="shared" si="861"/>
        <v>0</v>
      </c>
      <c r="U1435" s="977">
        <f t="shared" si="861"/>
        <v>0</v>
      </c>
      <c r="V1435" s="977">
        <f t="shared" si="861"/>
        <v>0</v>
      </c>
      <c r="W1435" s="977">
        <f t="shared" si="861"/>
        <v>0</v>
      </c>
      <c r="X1435" s="977">
        <f t="shared" si="861"/>
        <v>0</v>
      </c>
      <c r="Y1435" s="977">
        <f t="shared" si="861"/>
        <v>0</v>
      </c>
      <c r="Z1435" s="977">
        <f t="shared" si="861"/>
        <v>0</v>
      </c>
      <c r="AA1435" s="977">
        <f t="shared" si="861"/>
        <v>0</v>
      </c>
      <c r="AB1435" s="977">
        <f t="shared" si="861"/>
        <v>0</v>
      </c>
      <c r="AC1435" s="977">
        <f t="shared" si="861"/>
        <v>0</v>
      </c>
      <c r="AD1435" s="977">
        <f t="shared" si="861"/>
        <v>0</v>
      </c>
      <c r="AE1435" s="977">
        <f t="shared" si="861"/>
        <v>0</v>
      </c>
      <c r="AF1435" s="977">
        <f t="shared" si="861"/>
        <v>0</v>
      </c>
      <c r="AG1435" s="977">
        <f t="shared" si="861"/>
        <v>0</v>
      </c>
      <c r="AH1435" s="977">
        <f t="shared" si="861"/>
        <v>0</v>
      </c>
      <c r="AI1435" s="376"/>
      <c r="AJ1435" s="376"/>
      <c r="AK1435" s="376"/>
      <c r="AL1435" s="1144"/>
      <c r="AM1435" s="1144"/>
      <c r="AN1435" s="1144"/>
      <c r="AO1435" s="1144"/>
      <c r="AP1435" s="1144"/>
      <c r="AQ1435" s="1144"/>
      <c r="AR1435" s="1144"/>
      <c r="AS1435" s="1144"/>
      <c r="AT1435" s="1144"/>
      <c r="AU1435" s="1144"/>
      <c r="AV1435" s="1144"/>
      <c r="AW1435" s="1144"/>
      <c r="AX1435" s="1144"/>
      <c r="AY1435" s="1144"/>
      <c r="AZ1435" s="1144"/>
      <c r="BA1435" s="1144"/>
      <c r="BB1435" s="1144"/>
      <c r="BC1435" s="1144"/>
      <c r="BD1435" s="1144"/>
      <c r="BE1435" s="1144"/>
      <c r="BF1435" s="1144"/>
      <c r="BG1435" s="1144"/>
      <c r="BH1435" s="1144"/>
      <c r="BI1435" s="1144"/>
      <c r="BJ1435" s="1144"/>
      <c r="BK1435" s="1144"/>
      <c r="BL1435" s="1144"/>
      <c r="BM1435" s="1144"/>
      <c r="BN1435" s="1144"/>
      <c r="BO1435" s="1144"/>
      <c r="BP1435" s="1144"/>
      <c r="BQ1435" s="1144"/>
      <c r="BR1435" s="1144"/>
      <c r="BS1435" s="1144"/>
      <c r="BT1435" s="1144"/>
      <c r="BU1435" s="1144"/>
      <c r="BV1435" s="1144"/>
      <c r="BW1435" s="1144"/>
      <c r="BX1435" s="1144"/>
      <c r="BY1435" s="1144"/>
      <c r="BZ1435" s="1144"/>
      <c r="CA1435" s="1144"/>
      <c r="CB1435" s="1144"/>
      <c r="CC1435" s="1144"/>
      <c r="CD1435" s="1144"/>
      <c r="CE1435" s="1144"/>
      <c r="CF1435" s="1144"/>
      <c r="CG1435" s="1144"/>
      <c r="CH1435" s="1144"/>
      <c r="CI1435" s="1144"/>
      <c r="CJ1435" s="1144"/>
      <c r="CK1435" s="1144"/>
      <c r="CL1435" s="1144"/>
      <c r="CM1435" s="1144"/>
      <c r="CN1435" s="1144"/>
      <c r="CO1435" s="84"/>
      <c r="CP1435" s="84"/>
      <c r="CQ1435" s="101"/>
      <c r="CR1435" s="101"/>
      <c r="CS1435" s="101"/>
      <c r="CT1435" s="101"/>
      <c r="CU1435" s="101"/>
      <c r="CV1435" s="101"/>
      <c r="CW1435" s="101"/>
      <c r="CX1435" s="101"/>
      <c r="CY1435" s="101"/>
      <c r="CZ1435" s="101"/>
      <c r="DA1435" s="101"/>
      <c r="DB1435" s="101"/>
      <c r="DC1435" s="101"/>
      <c r="DD1435" s="101"/>
      <c r="DE1435" s="101"/>
      <c r="DF1435" s="101"/>
      <c r="DG1435" s="101"/>
      <c r="DH1435" s="101"/>
      <c r="DI1435" s="101"/>
      <c r="DJ1435" s="101"/>
      <c r="DK1435" s="101"/>
      <c r="DL1435" s="101"/>
      <c r="DM1435" s="101"/>
      <c r="DN1435" s="101"/>
      <c r="DO1435" s="101"/>
      <c r="DP1435" s="101"/>
      <c r="DQ1435" s="101"/>
    </row>
    <row r="1436" spans="1:121" s="40" customFormat="1" ht="12" customHeight="1" x14ac:dyDescent="0.3">
      <c r="A1436" s="101"/>
      <c r="F1436" s="485">
        <f t="shared" si="838"/>
        <v>943</v>
      </c>
      <c r="G1436" s="485">
        <f>Infrastructure!D100</f>
        <v>943</v>
      </c>
      <c r="I1436" s="40">
        <v>31</v>
      </c>
      <c r="J1436" s="977">
        <f t="shared" si="862"/>
        <v>0</v>
      </c>
      <c r="K1436" s="977">
        <f t="shared" si="861"/>
        <v>0</v>
      </c>
      <c r="L1436" s="977">
        <f t="shared" si="861"/>
        <v>0</v>
      </c>
      <c r="M1436" s="977">
        <f t="shared" si="861"/>
        <v>0</v>
      </c>
      <c r="N1436" s="977">
        <f t="shared" si="861"/>
        <v>0</v>
      </c>
      <c r="O1436" s="977">
        <f t="shared" si="861"/>
        <v>0</v>
      </c>
      <c r="P1436" s="977">
        <f t="shared" si="861"/>
        <v>0</v>
      </c>
      <c r="Q1436" s="977">
        <f t="shared" si="861"/>
        <v>0</v>
      </c>
      <c r="R1436" s="977">
        <f t="shared" si="861"/>
        <v>0</v>
      </c>
      <c r="S1436" s="977">
        <f t="shared" si="861"/>
        <v>0</v>
      </c>
      <c r="T1436" s="977">
        <f t="shared" si="861"/>
        <v>0</v>
      </c>
      <c r="U1436" s="977">
        <f t="shared" si="861"/>
        <v>0</v>
      </c>
      <c r="V1436" s="977">
        <f t="shared" si="861"/>
        <v>0</v>
      </c>
      <c r="W1436" s="977">
        <f t="shared" si="861"/>
        <v>0</v>
      </c>
      <c r="X1436" s="977">
        <f t="shared" si="861"/>
        <v>0</v>
      </c>
      <c r="Y1436" s="977">
        <f t="shared" si="861"/>
        <v>0</v>
      </c>
      <c r="Z1436" s="977">
        <f t="shared" si="861"/>
        <v>0</v>
      </c>
      <c r="AA1436" s="977">
        <f t="shared" si="861"/>
        <v>0</v>
      </c>
      <c r="AB1436" s="977">
        <f t="shared" si="861"/>
        <v>0</v>
      </c>
      <c r="AC1436" s="977">
        <f t="shared" si="861"/>
        <v>0</v>
      </c>
      <c r="AD1436" s="977">
        <f t="shared" si="861"/>
        <v>0</v>
      </c>
      <c r="AE1436" s="977">
        <f t="shared" si="861"/>
        <v>0</v>
      </c>
      <c r="AF1436" s="977">
        <f t="shared" si="861"/>
        <v>0</v>
      </c>
      <c r="AG1436" s="977">
        <f t="shared" si="861"/>
        <v>0</v>
      </c>
      <c r="AH1436" s="977">
        <f t="shared" si="861"/>
        <v>0</v>
      </c>
      <c r="AI1436" s="376"/>
      <c r="AJ1436" s="376"/>
      <c r="AK1436" s="376"/>
      <c r="AL1436" s="1144"/>
      <c r="AM1436" s="1144"/>
      <c r="AN1436" s="1144"/>
      <c r="AO1436" s="1144"/>
      <c r="AP1436" s="1144"/>
      <c r="AQ1436" s="1144"/>
      <c r="AR1436" s="1144"/>
      <c r="AS1436" s="1144"/>
      <c r="AT1436" s="1144"/>
      <c r="AU1436" s="1144"/>
      <c r="AV1436" s="1144"/>
      <c r="AW1436" s="1144"/>
      <c r="AX1436" s="1144"/>
      <c r="AY1436" s="1144"/>
      <c r="AZ1436" s="1144"/>
      <c r="BA1436" s="1144"/>
      <c r="BB1436" s="1144"/>
      <c r="BC1436" s="1144"/>
      <c r="BD1436" s="1144"/>
      <c r="BE1436" s="1144"/>
      <c r="BF1436" s="1144"/>
      <c r="BG1436" s="1144"/>
      <c r="BH1436" s="1144"/>
      <c r="BI1436" s="1144"/>
      <c r="BJ1436" s="1144"/>
      <c r="BK1436" s="1144"/>
      <c r="BL1436" s="1144"/>
      <c r="BM1436" s="1144"/>
      <c r="BN1436" s="1144"/>
      <c r="BO1436" s="1144"/>
      <c r="BP1436" s="1144"/>
      <c r="BQ1436" s="1144"/>
      <c r="BR1436" s="1144"/>
      <c r="BS1436" s="1144"/>
      <c r="BT1436" s="1144"/>
      <c r="BU1436" s="1144"/>
      <c r="BV1436" s="1144"/>
      <c r="BW1436" s="1144"/>
      <c r="BX1436" s="1144"/>
      <c r="BY1436" s="1144"/>
      <c r="BZ1436" s="1144"/>
      <c r="CA1436" s="1144"/>
      <c r="CB1436" s="1144"/>
      <c r="CC1436" s="1144"/>
      <c r="CD1436" s="1144"/>
      <c r="CE1436" s="1144"/>
      <c r="CF1436" s="1144"/>
      <c r="CG1436" s="1144"/>
      <c r="CH1436" s="1144"/>
      <c r="CI1436" s="1144"/>
      <c r="CJ1436" s="1144"/>
      <c r="CK1436" s="1144"/>
      <c r="CL1436" s="1144"/>
      <c r="CM1436" s="1144"/>
      <c r="CN1436" s="1144"/>
      <c r="CO1436" s="84"/>
      <c r="CP1436" s="84"/>
      <c r="CQ1436" s="101"/>
      <c r="CR1436" s="101"/>
      <c r="CS1436" s="101"/>
      <c r="CT1436" s="101"/>
      <c r="CU1436" s="101"/>
      <c r="CV1436" s="101"/>
      <c r="CW1436" s="101"/>
      <c r="CX1436" s="101"/>
      <c r="CY1436" s="101"/>
      <c r="CZ1436" s="101"/>
      <c r="DA1436" s="101"/>
      <c r="DB1436" s="101"/>
      <c r="DC1436" s="101"/>
      <c r="DD1436" s="101"/>
      <c r="DE1436" s="101"/>
      <c r="DF1436" s="101"/>
      <c r="DG1436" s="101"/>
      <c r="DH1436" s="101"/>
      <c r="DI1436" s="101"/>
      <c r="DJ1436" s="101"/>
      <c r="DK1436" s="101"/>
      <c r="DL1436" s="101"/>
      <c r="DM1436" s="101"/>
      <c r="DN1436" s="101"/>
      <c r="DO1436" s="101"/>
      <c r="DP1436" s="101"/>
      <c r="DQ1436" s="101"/>
    </row>
    <row r="1437" spans="1:121" s="40" customFormat="1" ht="12" customHeight="1" x14ac:dyDescent="0.3">
      <c r="A1437" s="101"/>
      <c r="F1437" s="485">
        <f t="shared" si="838"/>
        <v>974</v>
      </c>
      <c r="G1437" s="485">
        <f>Infrastructure!D101</f>
        <v>974</v>
      </c>
      <c r="I1437" s="40">
        <v>32</v>
      </c>
      <c r="J1437" s="977">
        <f t="shared" si="862"/>
        <v>0</v>
      </c>
      <c r="K1437" s="977">
        <f t="shared" si="861"/>
        <v>0</v>
      </c>
      <c r="L1437" s="977">
        <f t="shared" si="861"/>
        <v>0</v>
      </c>
      <c r="M1437" s="977">
        <f t="shared" si="861"/>
        <v>0</v>
      </c>
      <c r="N1437" s="977">
        <f t="shared" si="861"/>
        <v>0</v>
      </c>
      <c r="O1437" s="977">
        <f t="shared" si="861"/>
        <v>0</v>
      </c>
      <c r="P1437" s="977">
        <f t="shared" si="861"/>
        <v>0</v>
      </c>
      <c r="Q1437" s="977">
        <f t="shared" si="861"/>
        <v>0</v>
      </c>
      <c r="R1437" s="977">
        <f t="shared" si="861"/>
        <v>0</v>
      </c>
      <c r="S1437" s="977">
        <f t="shared" si="861"/>
        <v>0</v>
      </c>
      <c r="T1437" s="977">
        <f t="shared" si="861"/>
        <v>0</v>
      </c>
      <c r="U1437" s="977">
        <f t="shared" si="861"/>
        <v>0</v>
      </c>
      <c r="V1437" s="977">
        <f t="shared" si="861"/>
        <v>0</v>
      </c>
      <c r="W1437" s="977">
        <f t="shared" si="861"/>
        <v>0</v>
      </c>
      <c r="X1437" s="977">
        <f t="shared" si="861"/>
        <v>0</v>
      </c>
      <c r="Y1437" s="977">
        <f t="shared" si="861"/>
        <v>0</v>
      </c>
      <c r="Z1437" s="977">
        <f t="shared" si="861"/>
        <v>0</v>
      </c>
      <c r="AA1437" s="977">
        <f t="shared" si="861"/>
        <v>0</v>
      </c>
      <c r="AB1437" s="977">
        <f t="shared" si="861"/>
        <v>0</v>
      </c>
      <c r="AC1437" s="977">
        <f t="shared" si="861"/>
        <v>0</v>
      </c>
      <c r="AD1437" s="977">
        <f t="shared" si="861"/>
        <v>0</v>
      </c>
      <c r="AE1437" s="977">
        <f t="shared" si="861"/>
        <v>0</v>
      </c>
      <c r="AF1437" s="977">
        <f t="shared" si="861"/>
        <v>0</v>
      </c>
      <c r="AG1437" s="977">
        <f t="shared" si="861"/>
        <v>0</v>
      </c>
      <c r="AH1437" s="977">
        <f t="shared" si="861"/>
        <v>0</v>
      </c>
      <c r="AI1437" s="376"/>
      <c r="AJ1437" s="376"/>
      <c r="AK1437" s="376"/>
      <c r="AL1437" s="1144"/>
      <c r="AM1437" s="1144"/>
      <c r="AN1437" s="1144"/>
      <c r="AO1437" s="1144"/>
      <c r="AP1437" s="1144"/>
      <c r="AQ1437" s="1144"/>
      <c r="AR1437" s="1144"/>
      <c r="AS1437" s="1144"/>
      <c r="AT1437" s="1144"/>
      <c r="AU1437" s="1144"/>
      <c r="AV1437" s="1144"/>
      <c r="AW1437" s="1144"/>
      <c r="AX1437" s="1144"/>
      <c r="AY1437" s="1144"/>
      <c r="AZ1437" s="1144"/>
      <c r="BA1437" s="1144"/>
      <c r="BB1437" s="1144"/>
      <c r="BC1437" s="1144"/>
      <c r="BD1437" s="1144"/>
      <c r="BE1437" s="1144"/>
      <c r="BF1437" s="1144"/>
      <c r="BG1437" s="1144"/>
      <c r="BH1437" s="1144"/>
      <c r="BI1437" s="1144"/>
      <c r="BJ1437" s="1144"/>
      <c r="BK1437" s="1144"/>
      <c r="BL1437" s="1144"/>
      <c r="BM1437" s="1144"/>
      <c r="BN1437" s="1144"/>
      <c r="BO1437" s="1144"/>
      <c r="BP1437" s="1144"/>
      <c r="BQ1437" s="1144"/>
      <c r="BR1437" s="1144"/>
      <c r="BS1437" s="1144"/>
      <c r="BT1437" s="1144"/>
      <c r="BU1437" s="1144"/>
      <c r="BV1437" s="1144"/>
      <c r="BW1437" s="1144"/>
      <c r="BX1437" s="1144"/>
      <c r="BY1437" s="1144"/>
      <c r="BZ1437" s="1144"/>
      <c r="CA1437" s="1144"/>
      <c r="CB1437" s="1144"/>
      <c r="CC1437" s="1144"/>
      <c r="CD1437" s="1144"/>
      <c r="CE1437" s="1144"/>
      <c r="CF1437" s="1144"/>
      <c r="CG1437" s="1144"/>
      <c r="CH1437" s="1144"/>
      <c r="CI1437" s="1144"/>
      <c r="CJ1437" s="1144"/>
      <c r="CK1437" s="1144"/>
      <c r="CL1437" s="1144"/>
      <c r="CM1437" s="1144"/>
      <c r="CN1437" s="1144"/>
      <c r="CO1437" s="84"/>
      <c r="CP1437" s="84"/>
      <c r="CQ1437" s="101"/>
      <c r="CR1437" s="101"/>
      <c r="CS1437" s="101"/>
      <c r="CT1437" s="101"/>
      <c r="CU1437" s="101"/>
      <c r="CV1437" s="101"/>
      <c r="CW1437" s="101"/>
      <c r="CX1437" s="101"/>
      <c r="CY1437" s="101"/>
      <c r="CZ1437" s="101"/>
      <c r="DA1437" s="101"/>
      <c r="DB1437" s="101"/>
      <c r="DC1437" s="101"/>
      <c r="DD1437" s="101"/>
      <c r="DE1437" s="101"/>
      <c r="DF1437" s="101"/>
      <c r="DG1437" s="101"/>
      <c r="DH1437" s="101"/>
      <c r="DI1437" s="101"/>
      <c r="DJ1437" s="101"/>
      <c r="DK1437" s="101"/>
      <c r="DL1437" s="101"/>
      <c r="DM1437" s="101"/>
      <c r="DN1437" s="101"/>
      <c r="DO1437" s="101"/>
      <c r="DP1437" s="101"/>
      <c r="DQ1437" s="101"/>
    </row>
    <row r="1438" spans="1:121" s="40" customFormat="1" ht="12" customHeight="1" x14ac:dyDescent="0.3">
      <c r="A1438" s="101"/>
      <c r="F1438" s="485">
        <f t="shared" ref="F1438:F1465" si="863">G1438</f>
        <v>1004</v>
      </c>
      <c r="G1438" s="485">
        <f>Infrastructure!D102</f>
        <v>1004</v>
      </c>
      <c r="I1438" s="40">
        <v>33</v>
      </c>
      <c r="J1438" s="977">
        <f t="shared" si="862"/>
        <v>0</v>
      </c>
      <c r="K1438" s="977">
        <f t="shared" si="861"/>
        <v>0</v>
      </c>
      <c r="L1438" s="977">
        <f t="shared" si="861"/>
        <v>0</v>
      </c>
      <c r="M1438" s="977">
        <f t="shared" si="861"/>
        <v>0</v>
      </c>
      <c r="N1438" s="977">
        <f t="shared" si="861"/>
        <v>0</v>
      </c>
      <c r="O1438" s="977">
        <f t="shared" si="861"/>
        <v>0</v>
      </c>
      <c r="P1438" s="977">
        <f t="shared" si="861"/>
        <v>0</v>
      </c>
      <c r="Q1438" s="977">
        <f t="shared" si="861"/>
        <v>0</v>
      </c>
      <c r="R1438" s="977">
        <f t="shared" si="861"/>
        <v>0</v>
      </c>
      <c r="S1438" s="977">
        <f t="shared" si="861"/>
        <v>0</v>
      </c>
      <c r="T1438" s="977">
        <f t="shared" si="861"/>
        <v>0</v>
      </c>
      <c r="U1438" s="977">
        <f t="shared" si="861"/>
        <v>0</v>
      </c>
      <c r="V1438" s="977">
        <f t="shared" si="861"/>
        <v>0</v>
      </c>
      <c r="W1438" s="977">
        <f t="shared" si="861"/>
        <v>0</v>
      </c>
      <c r="X1438" s="977">
        <f t="shared" si="861"/>
        <v>0</v>
      </c>
      <c r="Y1438" s="977">
        <f t="shared" si="861"/>
        <v>0</v>
      </c>
      <c r="Z1438" s="977">
        <f t="shared" si="861"/>
        <v>0</v>
      </c>
      <c r="AA1438" s="977">
        <f t="shared" si="861"/>
        <v>0</v>
      </c>
      <c r="AB1438" s="977">
        <f t="shared" si="861"/>
        <v>0</v>
      </c>
      <c r="AC1438" s="977">
        <f t="shared" si="861"/>
        <v>0</v>
      </c>
      <c r="AD1438" s="977">
        <f t="shared" si="861"/>
        <v>0</v>
      </c>
      <c r="AE1438" s="977">
        <f t="shared" si="861"/>
        <v>0</v>
      </c>
      <c r="AF1438" s="977">
        <f t="shared" si="861"/>
        <v>0</v>
      </c>
      <c r="AG1438" s="977">
        <f t="shared" si="861"/>
        <v>0</v>
      </c>
      <c r="AH1438" s="977">
        <f t="shared" si="861"/>
        <v>0</v>
      </c>
      <c r="AI1438" s="376"/>
      <c r="AJ1438" s="376"/>
      <c r="AK1438" s="376"/>
      <c r="AL1438" s="1144"/>
      <c r="AM1438" s="1144"/>
      <c r="AN1438" s="1144"/>
      <c r="AO1438" s="1144"/>
      <c r="AP1438" s="1144"/>
      <c r="AQ1438" s="1144"/>
      <c r="AR1438" s="1144"/>
      <c r="AS1438" s="1144"/>
      <c r="AT1438" s="1144"/>
      <c r="AU1438" s="1144"/>
      <c r="AV1438" s="1144"/>
      <c r="AW1438" s="1144"/>
      <c r="AX1438" s="1144"/>
      <c r="AY1438" s="1144"/>
      <c r="AZ1438" s="1144"/>
      <c r="BA1438" s="1144"/>
      <c r="BB1438" s="1144"/>
      <c r="BC1438" s="1144"/>
      <c r="BD1438" s="1144"/>
      <c r="BE1438" s="1144"/>
      <c r="BF1438" s="1144"/>
      <c r="BG1438" s="1144"/>
      <c r="BH1438" s="1144"/>
      <c r="BI1438" s="1144"/>
      <c r="BJ1438" s="1144"/>
      <c r="BK1438" s="1144"/>
      <c r="BL1438" s="1144"/>
      <c r="BM1438" s="1144"/>
      <c r="BN1438" s="1144"/>
      <c r="BO1438" s="1144"/>
      <c r="BP1438" s="1144"/>
      <c r="BQ1438" s="1144"/>
      <c r="BR1438" s="1144"/>
      <c r="BS1438" s="1144"/>
      <c r="BT1438" s="1144"/>
      <c r="BU1438" s="1144"/>
      <c r="BV1438" s="1144"/>
      <c r="BW1438" s="1144"/>
      <c r="BX1438" s="1144"/>
      <c r="BY1438" s="1144"/>
      <c r="BZ1438" s="1144"/>
      <c r="CA1438" s="1144"/>
      <c r="CB1438" s="1144"/>
      <c r="CC1438" s="1144"/>
      <c r="CD1438" s="1144"/>
      <c r="CE1438" s="1144"/>
      <c r="CF1438" s="1144"/>
      <c r="CG1438" s="1144"/>
      <c r="CH1438" s="1144"/>
      <c r="CI1438" s="1144"/>
      <c r="CJ1438" s="1144"/>
      <c r="CK1438" s="1144"/>
      <c r="CL1438" s="1144"/>
      <c r="CM1438" s="1144"/>
      <c r="CN1438" s="1144"/>
      <c r="CO1438" s="84"/>
      <c r="CP1438" s="84"/>
      <c r="CQ1438" s="101"/>
      <c r="CR1438" s="101"/>
      <c r="CS1438" s="101"/>
      <c r="CT1438" s="101"/>
      <c r="CU1438" s="101"/>
      <c r="CV1438" s="101"/>
      <c r="CW1438" s="101"/>
      <c r="CX1438" s="101"/>
      <c r="CY1438" s="101"/>
      <c r="CZ1438" s="101"/>
      <c r="DA1438" s="101"/>
      <c r="DB1438" s="101"/>
      <c r="DC1438" s="101"/>
      <c r="DD1438" s="101"/>
      <c r="DE1438" s="101"/>
      <c r="DF1438" s="101"/>
      <c r="DG1438" s="101"/>
      <c r="DH1438" s="101"/>
      <c r="DI1438" s="101"/>
      <c r="DJ1438" s="101"/>
      <c r="DK1438" s="101"/>
      <c r="DL1438" s="101"/>
      <c r="DM1438" s="101"/>
      <c r="DN1438" s="101"/>
      <c r="DO1438" s="101"/>
      <c r="DP1438" s="101"/>
      <c r="DQ1438" s="101"/>
    </row>
    <row r="1439" spans="1:121" s="40" customFormat="1" ht="12" customHeight="1" x14ac:dyDescent="0.3">
      <c r="A1439" s="101"/>
      <c r="F1439" s="485">
        <f t="shared" si="863"/>
        <v>1035</v>
      </c>
      <c r="G1439" s="485">
        <f>Infrastructure!D103</f>
        <v>1035</v>
      </c>
      <c r="I1439" s="40">
        <v>34</v>
      </c>
      <c r="J1439" s="977">
        <f t="shared" si="862"/>
        <v>0</v>
      </c>
      <c r="K1439" s="977">
        <f t="shared" si="861"/>
        <v>0</v>
      </c>
      <c r="L1439" s="977">
        <f t="shared" si="861"/>
        <v>0</v>
      </c>
      <c r="M1439" s="977">
        <f t="shared" si="861"/>
        <v>0</v>
      </c>
      <c r="N1439" s="977">
        <f t="shared" si="861"/>
        <v>0</v>
      </c>
      <c r="O1439" s="977">
        <f t="shared" si="861"/>
        <v>0</v>
      </c>
      <c r="P1439" s="977">
        <f t="shared" si="861"/>
        <v>0</v>
      </c>
      <c r="Q1439" s="977">
        <f t="shared" si="861"/>
        <v>0</v>
      </c>
      <c r="R1439" s="977">
        <f t="shared" si="861"/>
        <v>0</v>
      </c>
      <c r="S1439" s="977">
        <f t="shared" si="861"/>
        <v>0</v>
      </c>
      <c r="T1439" s="977">
        <f t="shared" si="861"/>
        <v>0</v>
      </c>
      <c r="U1439" s="977">
        <f t="shared" si="861"/>
        <v>0</v>
      </c>
      <c r="V1439" s="977">
        <f t="shared" si="861"/>
        <v>0</v>
      </c>
      <c r="W1439" s="977">
        <f t="shared" si="861"/>
        <v>0</v>
      </c>
      <c r="X1439" s="977">
        <f t="shared" si="861"/>
        <v>0</v>
      </c>
      <c r="Y1439" s="977">
        <f t="shared" si="861"/>
        <v>0</v>
      </c>
      <c r="Z1439" s="977">
        <f t="shared" si="861"/>
        <v>0</v>
      </c>
      <c r="AA1439" s="977">
        <f t="shared" si="861"/>
        <v>0</v>
      </c>
      <c r="AB1439" s="977">
        <f t="shared" si="861"/>
        <v>0</v>
      </c>
      <c r="AC1439" s="977">
        <f t="shared" si="861"/>
        <v>0</v>
      </c>
      <c r="AD1439" s="977">
        <f t="shared" si="861"/>
        <v>0</v>
      </c>
      <c r="AE1439" s="977">
        <f t="shared" si="861"/>
        <v>0</v>
      </c>
      <c r="AF1439" s="977">
        <f t="shared" si="861"/>
        <v>0</v>
      </c>
      <c r="AG1439" s="977">
        <f t="shared" si="861"/>
        <v>0</v>
      </c>
      <c r="AH1439" s="977">
        <f t="shared" si="861"/>
        <v>0</v>
      </c>
      <c r="AI1439" s="376"/>
      <c r="AJ1439" s="376"/>
      <c r="AK1439" s="376"/>
      <c r="AL1439" s="1144"/>
      <c r="AM1439" s="1144"/>
      <c r="AN1439" s="1144"/>
      <c r="AO1439" s="1144"/>
      <c r="AP1439" s="1144"/>
      <c r="AQ1439" s="1144"/>
      <c r="AR1439" s="1144"/>
      <c r="AS1439" s="1144"/>
      <c r="AT1439" s="1144"/>
      <c r="AU1439" s="1144"/>
      <c r="AV1439" s="1144"/>
      <c r="AW1439" s="1144"/>
      <c r="AX1439" s="1144"/>
      <c r="AY1439" s="1144"/>
      <c r="AZ1439" s="1144"/>
      <c r="BA1439" s="1144"/>
      <c r="BB1439" s="1144"/>
      <c r="BC1439" s="1144"/>
      <c r="BD1439" s="1144"/>
      <c r="BE1439" s="1144"/>
      <c r="BF1439" s="1144"/>
      <c r="BG1439" s="1144"/>
      <c r="BH1439" s="1144"/>
      <c r="BI1439" s="1144"/>
      <c r="BJ1439" s="1144"/>
      <c r="BK1439" s="1144"/>
      <c r="BL1439" s="1144"/>
      <c r="BM1439" s="1144"/>
      <c r="BN1439" s="1144"/>
      <c r="BO1439" s="1144"/>
      <c r="BP1439" s="1144"/>
      <c r="BQ1439" s="1144"/>
      <c r="BR1439" s="1144"/>
      <c r="BS1439" s="1144"/>
      <c r="BT1439" s="1144"/>
      <c r="BU1439" s="1144"/>
      <c r="BV1439" s="1144"/>
      <c r="BW1439" s="1144"/>
      <c r="BX1439" s="1144"/>
      <c r="BY1439" s="1144"/>
      <c r="BZ1439" s="1144"/>
      <c r="CA1439" s="1144"/>
      <c r="CB1439" s="1144"/>
      <c r="CC1439" s="1144"/>
      <c r="CD1439" s="1144"/>
      <c r="CE1439" s="1144"/>
      <c r="CF1439" s="1144"/>
      <c r="CG1439" s="1144"/>
      <c r="CH1439" s="1144"/>
      <c r="CI1439" s="1144"/>
      <c r="CJ1439" s="1144"/>
      <c r="CK1439" s="1144"/>
      <c r="CL1439" s="1144"/>
      <c r="CM1439" s="1144"/>
      <c r="CN1439" s="1144"/>
      <c r="CO1439" s="84"/>
      <c r="CP1439" s="84"/>
      <c r="CQ1439" s="101"/>
      <c r="CR1439" s="101"/>
      <c r="CS1439" s="101"/>
      <c r="CT1439" s="101"/>
      <c r="CU1439" s="101"/>
      <c r="CV1439" s="101"/>
      <c r="CW1439" s="101"/>
      <c r="CX1439" s="101"/>
      <c r="CY1439" s="101"/>
      <c r="CZ1439" s="101"/>
      <c r="DA1439" s="101"/>
      <c r="DB1439" s="101"/>
      <c r="DC1439" s="101"/>
      <c r="DD1439" s="101"/>
      <c r="DE1439" s="101"/>
      <c r="DF1439" s="101"/>
      <c r="DG1439" s="101"/>
      <c r="DH1439" s="101"/>
      <c r="DI1439" s="101"/>
      <c r="DJ1439" s="101"/>
      <c r="DK1439" s="101"/>
      <c r="DL1439" s="101"/>
      <c r="DM1439" s="101"/>
      <c r="DN1439" s="101"/>
      <c r="DO1439" s="101"/>
      <c r="DP1439" s="101"/>
      <c r="DQ1439" s="101"/>
    </row>
    <row r="1440" spans="1:121" s="40" customFormat="1" ht="12" customHeight="1" x14ac:dyDescent="0.3">
      <c r="A1440" s="101"/>
      <c r="F1440" s="485">
        <f t="shared" si="863"/>
        <v>1065</v>
      </c>
      <c r="G1440" s="485">
        <f>Infrastructure!D104</f>
        <v>1065</v>
      </c>
      <c r="I1440" s="40">
        <v>35</v>
      </c>
      <c r="J1440" s="977">
        <f t="shared" si="862"/>
        <v>0</v>
      </c>
      <c r="K1440" s="977">
        <f t="shared" si="861"/>
        <v>0</v>
      </c>
      <c r="L1440" s="977">
        <f t="shared" si="861"/>
        <v>0</v>
      </c>
      <c r="M1440" s="977">
        <f t="shared" si="861"/>
        <v>0</v>
      </c>
      <c r="N1440" s="977">
        <f t="shared" si="861"/>
        <v>0</v>
      </c>
      <c r="O1440" s="977">
        <f t="shared" si="861"/>
        <v>0</v>
      </c>
      <c r="P1440" s="977">
        <f t="shared" si="861"/>
        <v>0</v>
      </c>
      <c r="Q1440" s="977">
        <f t="shared" si="861"/>
        <v>0</v>
      </c>
      <c r="R1440" s="977">
        <f t="shared" si="861"/>
        <v>0</v>
      </c>
      <c r="S1440" s="977">
        <f t="shared" si="861"/>
        <v>0</v>
      </c>
      <c r="T1440" s="977">
        <f t="shared" si="861"/>
        <v>0</v>
      </c>
      <c r="U1440" s="977">
        <f t="shared" si="861"/>
        <v>0</v>
      </c>
      <c r="V1440" s="977">
        <f t="shared" si="861"/>
        <v>0</v>
      </c>
      <c r="W1440" s="977">
        <f t="shared" si="861"/>
        <v>0</v>
      </c>
      <c r="X1440" s="977">
        <f t="shared" si="861"/>
        <v>0</v>
      </c>
      <c r="Y1440" s="977">
        <f t="shared" si="861"/>
        <v>0</v>
      </c>
      <c r="Z1440" s="977">
        <f t="shared" si="861"/>
        <v>0</v>
      </c>
      <c r="AA1440" s="977">
        <f t="shared" si="861"/>
        <v>0</v>
      </c>
      <c r="AB1440" s="977">
        <f t="shared" si="861"/>
        <v>0</v>
      </c>
      <c r="AC1440" s="977">
        <f t="shared" si="861"/>
        <v>0</v>
      </c>
      <c r="AD1440" s="977">
        <f t="shared" si="861"/>
        <v>0</v>
      </c>
      <c r="AE1440" s="977">
        <f t="shared" si="861"/>
        <v>0</v>
      </c>
      <c r="AF1440" s="977">
        <f t="shared" si="861"/>
        <v>0</v>
      </c>
      <c r="AG1440" s="977">
        <f t="shared" si="861"/>
        <v>0</v>
      </c>
      <c r="AH1440" s="977">
        <f t="shared" si="861"/>
        <v>0</v>
      </c>
      <c r="AI1440" s="376"/>
      <c r="AJ1440" s="376"/>
      <c r="AK1440" s="376"/>
      <c r="AL1440" s="1144"/>
      <c r="AM1440" s="1144"/>
      <c r="AN1440" s="1144"/>
      <c r="AO1440" s="1144"/>
      <c r="AP1440" s="1144"/>
      <c r="AQ1440" s="1144"/>
      <c r="AR1440" s="1144"/>
      <c r="AS1440" s="1144"/>
      <c r="AT1440" s="1144"/>
      <c r="AU1440" s="1144"/>
      <c r="AV1440" s="1144"/>
      <c r="AW1440" s="1144"/>
      <c r="AX1440" s="1144"/>
      <c r="AY1440" s="1144"/>
      <c r="AZ1440" s="1144"/>
      <c r="BA1440" s="1144"/>
      <c r="BB1440" s="1144"/>
      <c r="BC1440" s="1144"/>
      <c r="BD1440" s="1144"/>
      <c r="BE1440" s="1144"/>
      <c r="BF1440" s="1144"/>
      <c r="BG1440" s="1144"/>
      <c r="BH1440" s="1144"/>
      <c r="BI1440" s="1144"/>
      <c r="BJ1440" s="1144"/>
      <c r="BK1440" s="1144"/>
      <c r="BL1440" s="1144"/>
      <c r="BM1440" s="1144"/>
      <c r="BN1440" s="1144"/>
      <c r="BO1440" s="1144"/>
      <c r="BP1440" s="1144"/>
      <c r="BQ1440" s="1144"/>
      <c r="BR1440" s="1144"/>
      <c r="BS1440" s="1144"/>
      <c r="BT1440" s="1144"/>
      <c r="BU1440" s="1144"/>
      <c r="BV1440" s="1144"/>
      <c r="BW1440" s="1144"/>
      <c r="BX1440" s="1144"/>
      <c r="BY1440" s="1144"/>
      <c r="BZ1440" s="1144"/>
      <c r="CA1440" s="1144"/>
      <c r="CB1440" s="1144"/>
      <c r="CC1440" s="1144"/>
      <c r="CD1440" s="1144"/>
      <c r="CE1440" s="1144"/>
      <c r="CF1440" s="1144"/>
      <c r="CG1440" s="1144"/>
      <c r="CH1440" s="1144"/>
      <c r="CI1440" s="1144"/>
      <c r="CJ1440" s="1144"/>
      <c r="CK1440" s="1144"/>
      <c r="CL1440" s="1144"/>
      <c r="CM1440" s="1144"/>
      <c r="CN1440" s="1144"/>
      <c r="CO1440" s="84"/>
      <c r="CP1440" s="84"/>
      <c r="CQ1440" s="101"/>
      <c r="CR1440" s="101"/>
      <c r="CS1440" s="101"/>
      <c r="CT1440" s="101"/>
      <c r="CU1440" s="101"/>
      <c r="CV1440" s="101"/>
      <c r="CW1440" s="101"/>
      <c r="CX1440" s="101"/>
      <c r="CY1440" s="101"/>
      <c r="CZ1440" s="101"/>
      <c r="DA1440" s="101"/>
      <c r="DB1440" s="101"/>
      <c r="DC1440" s="101"/>
      <c r="DD1440" s="101"/>
      <c r="DE1440" s="101"/>
      <c r="DF1440" s="101"/>
      <c r="DG1440" s="101"/>
      <c r="DH1440" s="101"/>
      <c r="DI1440" s="101"/>
      <c r="DJ1440" s="101"/>
      <c r="DK1440" s="101"/>
      <c r="DL1440" s="101"/>
      <c r="DM1440" s="101"/>
      <c r="DN1440" s="101"/>
      <c r="DO1440" s="101"/>
      <c r="DP1440" s="101"/>
      <c r="DQ1440" s="101"/>
    </row>
    <row r="1441" spans="1:121" s="40" customFormat="1" ht="13" x14ac:dyDescent="0.3">
      <c r="A1441" s="101"/>
      <c r="F1441" s="485">
        <f t="shared" si="863"/>
        <v>1096</v>
      </c>
      <c r="G1441" s="485">
        <f>Infrastructure!D105</f>
        <v>1096</v>
      </c>
      <c r="I1441" s="40">
        <v>36</v>
      </c>
      <c r="J1441" s="977">
        <f t="shared" si="862"/>
        <v>0</v>
      </c>
      <c r="K1441" s="977">
        <f t="shared" si="861"/>
        <v>0</v>
      </c>
      <c r="L1441" s="977">
        <f t="shared" si="861"/>
        <v>0</v>
      </c>
      <c r="M1441" s="977">
        <f t="shared" si="861"/>
        <v>0</v>
      </c>
      <c r="N1441" s="977">
        <f t="shared" si="861"/>
        <v>0</v>
      </c>
      <c r="O1441" s="977">
        <f t="shared" si="861"/>
        <v>0</v>
      </c>
      <c r="P1441" s="977">
        <f t="shared" si="861"/>
        <v>0</v>
      </c>
      <c r="Q1441" s="977">
        <f t="shared" si="861"/>
        <v>0</v>
      </c>
      <c r="R1441" s="977">
        <f t="shared" si="861"/>
        <v>0</v>
      </c>
      <c r="S1441" s="977">
        <f t="shared" si="861"/>
        <v>0</v>
      </c>
      <c r="T1441" s="977">
        <f t="shared" si="861"/>
        <v>0</v>
      </c>
      <c r="U1441" s="977">
        <f t="shared" si="861"/>
        <v>0</v>
      </c>
      <c r="V1441" s="977">
        <f t="shared" si="861"/>
        <v>0</v>
      </c>
      <c r="W1441" s="977">
        <f t="shared" si="861"/>
        <v>0</v>
      </c>
      <c r="X1441" s="977">
        <f t="shared" si="861"/>
        <v>0</v>
      </c>
      <c r="Y1441" s="977">
        <f t="shared" si="861"/>
        <v>0</v>
      </c>
      <c r="Z1441" s="977">
        <f t="shared" ref="Z1441" si="864">Z1440</f>
        <v>0</v>
      </c>
      <c r="AA1441" s="977">
        <f t="shared" ref="AA1441" si="865">AA1440</f>
        <v>0</v>
      </c>
      <c r="AB1441" s="977">
        <f t="shared" ref="AB1441" si="866">AB1440</f>
        <v>0</v>
      </c>
      <c r="AC1441" s="977">
        <f t="shared" ref="AC1441" si="867">AC1440</f>
        <v>0</v>
      </c>
      <c r="AD1441" s="977">
        <f t="shared" ref="AD1441" si="868">AD1440</f>
        <v>0</v>
      </c>
      <c r="AE1441" s="977">
        <f t="shared" ref="AE1441" si="869">AE1440</f>
        <v>0</v>
      </c>
      <c r="AF1441" s="977">
        <f t="shared" ref="AF1441" si="870">AF1440</f>
        <v>0</v>
      </c>
      <c r="AG1441" s="977">
        <f t="shared" ref="AG1441" si="871">AG1440</f>
        <v>0</v>
      </c>
      <c r="AH1441" s="977">
        <f t="shared" ref="AH1441" si="872">AH1440</f>
        <v>0</v>
      </c>
      <c r="AI1441" s="376"/>
      <c r="AJ1441" s="376"/>
      <c r="AK1441" s="376"/>
      <c r="AL1441" s="1144"/>
      <c r="AM1441" s="1144"/>
      <c r="AN1441" s="1144"/>
      <c r="AO1441" s="1144"/>
      <c r="AP1441" s="1144"/>
      <c r="AQ1441" s="1144"/>
      <c r="AR1441" s="1144"/>
      <c r="AS1441" s="1144"/>
      <c r="AT1441" s="1144"/>
      <c r="AU1441" s="1144"/>
      <c r="AV1441" s="1144"/>
      <c r="AW1441" s="1144"/>
      <c r="AX1441" s="1144"/>
      <c r="AY1441" s="1144"/>
      <c r="AZ1441" s="1144"/>
      <c r="BA1441" s="1144"/>
      <c r="BB1441" s="1144"/>
      <c r="BC1441" s="1144"/>
      <c r="BD1441" s="1144"/>
      <c r="BE1441" s="1144"/>
      <c r="BF1441" s="1144"/>
      <c r="BG1441" s="1144"/>
      <c r="BH1441" s="1144"/>
      <c r="BI1441" s="1144"/>
      <c r="BJ1441" s="1144"/>
      <c r="BK1441" s="1144"/>
      <c r="BL1441" s="1144"/>
      <c r="BM1441" s="1144"/>
      <c r="BN1441" s="1144"/>
      <c r="BO1441" s="1144"/>
      <c r="BP1441" s="1144"/>
      <c r="BQ1441" s="1144"/>
      <c r="BR1441" s="1144"/>
      <c r="BS1441" s="1144"/>
      <c r="BT1441" s="1144"/>
      <c r="BU1441" s="1144"/>
      <c r="BV1441" s="1144"/>
      <c r="BW1441" s="1144"/>
      <c r="BX1441" s="1144"/>
      <c r="BY1441" s="1144"/>
      <c r="BZ1441" s="1144"/>
      <c r="CA1441" s="1144"/>
      <c r="CB1441" s="1144"/>
      <c r="CC1441" s="1144"/>
      <c r="CD1441" s="1144"/>
      <c r="CE1441" s="1144"/>
      <c r="CF1441" s="1144"/>
      <c r="CG1441" s="1144"/>
      <c r="CH1441" s="1144"/>
      <c r="CI1441" s="1144"/>
      <c r="CJ1441" s="1144"/>
      <c r="CK1441" s="1144"/>
      <c r="CL1441" s="1144"/>
      <c r="CM1441" s="1144"/>
      <c r="CN1441" s="1144"/>
      <c r="CO1441" s="84"/>
      <c r="CP1441" s="84"/>
      <c r="CQ1441" s="101"/>
      <c r="CR1441" s="101"/>
      <c r="CS1441" s="101"/>
      <c r="CT1441" s="101"/>
      <c r="CU1441" s="101"/>
      <c r="CV1441" s="101"/>
      <c r="CW1441" s="101"/>
      <c r="CX1441" s="101"/>
      <c r="CY1441" s="101"/>
      <c r="CZ1441" s="101"/>
      <c r="DA1441" s="101"/>
      <c r="DB1441" s="101"/>
      <c r="DC1441" s="101"/>
      <c r="DD1441" s="101"/>
      <c r="DE1441" s="101"/>
      <c r="DF1441" s="101"/>
      <c r="DG1441" s="101"/>
      <c r="DH1441" s="101"/>
      <c r="DI1441" s="101"/>
      <c r="DJ1441" s="101"/>
      <c r="DK1441" s="101"/>
      <c r="DL1441" s="101"/>
      <c r="DM1441" s="101"/>
      <c r="DN1441" s="101"/>
      <c r="DO1441" s="101"/>
      <c r="DP1441" s="101"/>
      <c r="DQ1441" s="101"/>
    </row>
    <row r="1442" spans="1:121" s="40" customFormat="1" ht="13" x14ac:dyDescent="0.3">
      <c r="A1442" s="101"/>
      <c r="F1442" s="485">
        <f t="shared" si="863"/>
        <v>1127</v>
      </c>
      <c r="G1442" s="485">
        <f>Infrastructure!D106</f>
        <v>1127</v>
      </c>
      <c r="I1442" s="40">
        <v>37</v>
      </c>
      <c r="J1442" s="977">
        <f>Input!D67</f>
        <v>0</v>
      </c>
      <c r="K1442" s="977">
        <f>Input!E67</f>
        <v>0</v>
      </c>
      <c r="L1442" s="977">
        <f>Input!F67</f>
        <v>0</v>
      </c>
      <c r="M1442" s="977">
        <f>Input!G67</f>
        <v>0</v>
      </c>
      <c r="N1442" s="977">
        <f>Input!H67</f>
        <v>0</v>
      </c>
      <c r="O1442" s="977">
        <f>Input!I67</f>
        <v>0</v>
      </c>
      <c r="P1442" s="977">
        <f>Input!J67</f>
        <v>0</v>
      </c>
      <c r="Q1442" s="977">
        <f>Input!K67</f>
        <v>0</v>
      </c>
      <c r="R1442" s="977">
        <f>Input!L67</f>
        <v>0</v>
      </c>
      <c r="S1442" s="977">
        <f>Input!M67</f>
        <v>0</v>
      </c>
      <c r="T1442" s="977">
        <f>Input!N67</f>
        <v>0</v>
      </c>
      <c r="U1442" s="977">
        <f>Input!O67</f>
        <v>0</v>
      </c>
      <c r="V1442" s="977">
        <f>Input!P67</f>
        <v>0</v>
      </c>
      <c r="W1442" s="977">
        <f>Input!Q67</f>
        <v>0</v>
      </c>
      <c r="X1442" s="977">
        <f>Input!R67</f>
        <v>0</v>
      </c>
      <c r="Y1442" s="977">
        <f>Input!S67</f>
        <v>0</v>
      </c>
      <c r="Z1442" s="977">
        <f>Input!T67</f>
        <v>0</v>
      </c>
      <c r="AA1442" s="977">
        <f>Input!U67</f>
        <v>0</v>
      </c>
      <c r="AB1442" s="977">
        <f>Input!V67</f>
        <v>0</v>
      </c>
      <c r="AC1442" s="977">
        <f>Input!W67</f>
        <v>0</v>
      </c>
      <c r="AD1442" s="977">
        <f>Input!X67</f>
        <v>0</v>
      </c>
      <c r="AE1442" s="977">
        <f>Input!Y67</f>
        <v>0</v>
      </c>
      <c r="AF1442" s="977">
        <f>Input!Z67</f>
        <v>0</v>
      </c>
      <c r="AG1442" s="977">
        <f>Input!AA67</f>
        <v>0</v>
      </c>
      <c r="AH1442" s="977">
        <f>Input!AB67</f>
        <v>0</v>
      </c>
      <c r="AI1442" s="84"/>
      <c r="AJ1442" s="84"/>
      <c r="AK1442" s="84"/>
      <c r="AL1442" s="84"/>
      <c r="AM1442" s="84"/>
      <c r="AN1442" s="84"/>
      <c r="AO1442" s="84"/>
      <c r="AP1442" s="84"/>
      <c r="AQ1442" s="84"/>
      <c r="AR1442" s="84"/>
      <c r="AS1442" s="84"/>
      <c r="AT1442" s="84"/>
      <c r="AU1442" s="84"/>
      <c r="AV1442" s="84"/>
      <c r="AW1442" s="84"/>
      <c r="AX1442" s="84"/>
      <c r="AY1442" s="84"/>
      <c r="AZ1442" s="84"/>
      <c r="BA1442" s="84"/>
      <c r="BB1442" s="84"/>
      <c r="BC1442" s="84"/>
      <c r="BD1442" s="84"/>
      <c r="BE1442" s="84"/>
      <c r="BF1442" s="84"/>
      <c r="BG1442" s="84"/>
      <c r="BH1442" s="84"/>
      <c r="BI1442" s="84"/>
      <c r="BJ1442" s="84"/>
      <c r="BK1442" s="84"/>
      <c r="BL1442" s="84"/>
      <c r="BM1442" s="84"/>
      <c r="BN1442" s="84"/>
      <c r="BO1442" s="84"/>
      <c r="BP1442" s="84"/>
      <c r="BQ1442" s="84"/>
      <c r="BR1442" s="84"/>
      <c r="BS1442" s="84"/>
      <c r="BT1442" s="84"/>
      <c r="BU1442" s="84"/>
      <c r="BV1442" s="84"/>
      <c r="BW1442" s="84"/>
      <c r="BX1442" s="84"/>
      <c r="BY1442" s="84"/>
      <c r="BZ1442" s="84"/>
      <c r="CA1442" s="84"/>
      <c r="CB1442" s="84"/>
      <c r="CC1442" s="84"/>
      <c r="CD1442" s="84"/>
      <c r="CE1442" s="84"/>
      <c r="CF1442" s="84"/>
      <c r="CG1442" s="84"/>
      <c r="CH1442" s="84"/>
      <c r="CI1442" s="84"/>
      <c r="CJ1442" s="84"/>
      <c r="CK1442" s="84"/>
      <c r="CL1442" s="84"/>
      <c r="CM1442" s="84"/>
      <c r="CN1442" s="84"/>
      <c r="CO1442" s="84"/>
      <c r="CP1442" s="84"/>
      <c r="CQ1442" s="101"/>
      <c r="CR1442" s="101"/>
      <c r="CS1442" s="101"/>
      <c r="CT1442" s="101"/>
      <c r="CU1442" s="101"/>
      <c r="CV1442" s="101"/>
      <c r="CW1442" s="101"/>
      <c r="CX1442" s="101"/>
      <c r="CY1442" s="101"/>
      <c r="CZ1442" s="101"/>
      <c r="DA1442" s="101"/>
      <c r="DB1442" s="101"/>
      <c r="DC1442" s="101"/>
      <c r="DD1442" s="101"/>
      <c r="DE1442" s="101"/>
      <c r="DF1442" s="101"/>
      <c r="DG1442" s="101"/>
      <c r="DH1442" s="101"/>
      <c r="DI1442" s="101"/>
      <c r="DJ1442" s="101"/>
      <c r="DK1442" s="101"/>
      <c r="DL1442" s="101"/>
      <c r="DM1442" s="101"/>
      <c r="DN1442" s="101"/>
      <c r="DO1442" s="101"/>
      <c r="DP1442" s="101"/>
      <c r="DQ1442" s="101"/>
    </row>
    <row r="1443" spans="1:121" s="40" customFormat="1" ht="13" x14ac:dyDescent="0.3">
      <c r="A1443" s="101"/>
      <c r="F1443" s="485">
        <f t="shared" si="863"/>
        <v>1155</v>
      </c>
      <c r="G1443" s="485">
        <f>Infrastructure!D107</f>
        <v>1155</v>
      </c>
      <c r="I1443" s="40">
        <v>38</v>
      </c>
      <c r="J1443" s="977">
        <f>J1442</f>
        <v>0</v>
      </c>
      <c r="K1443" s="977">
        <f t="shared" ref="K1443:AH1453" si="873">K1442</f>
        <v>0</v>
      </c>
      <c r="L1443" s="977">
        <f t="shared" si="873"/>
        <v>0</v>
      </c>
      <c r="M1443" s="977">
        <f t="shared" si="873"/>
        <v>0</v>
      </c>
      <c r="N1443" s="977">
        <f t="shared" si="873"/>
        <v>0</v>
      </c>
      <c r="O1443" s="977">
        <f t="shared" si="873"/>
        <v>0</v>
      </c>
      <c r="P1443" s="977">
        <f t="shared" si="873"/>
        <v>0</v>
      </c>
      <c r="Q1443" s="977">
        <f t="shared" si="873"/>
        <v>0</v>
      </c>
      <c r="R1443" s="977">
        <f t="shared" si="873"/>
        <v>0</v>
      </c>
      <c r="S1443" s="977">
        <f t="shared" si="873"/>
        <v>0</v>
      </c>
      <c r="T1443" s="977">
        <f t="shared" si="873"/>
        <v>0</v>
      </c>
      <c r="U1443" s="977">
        <f t="shared" si="873"/>
        <v>0</v>
      </c>
      <c r="V1443" s="977">
        <f t="shared" si="873"/>
        <v>0</v>
      </c>
      <c r="W1443" s="977">
        <f t="shared" si="873"/>
        <v>0</v>
      </c>
      <c r="X1443" s="977">
        <f t="shared" si="873"/>
        <v>0</v>
      </c>
      <c r="Y1443" s="977">
        <f t="shared" si="873"/>
        <v>0</v>
      </c>
      <c r="Z1443" s="977">
        <f t="shared" si="873"/>
        <v>0</v>
      </c>
      <c r="AA1443" s="977">
        <f t="shared" si="873"/>
        <v>0</v>
      </c>
      <c r="AB1443" s="977">
        <f t="shared" si="873"/>
        <v>0</v>
      </c>
      <c r="AC1443" s="977">
        <f t="shared" si="873"/>
        <v>0</v>
      </c>
      <c r="AD1443" s="977">
        <f t="shared" si="873"/>
        <v>0</v>
      </c>
      <c r="AE1443" s="977">
        <f t="shared" si="873"/>
        <v>0</v>
      </c>
      <c r="AF1443" s="977">
        <f t="shared" si="873"/>
        <v>0</v>
      </c>
      <c r="AG1443" s="977">
        <f t="shared" si="873"/>
        <v>0</v>
      </c>
      <c r="AH1443" s="977">
        <f t="shared" si="873"/>
        <v>0</v>
      </c>
      <c r="AI1443" s="84"/>
      <c r="AJ1443" s="84"/>
      <c r="AK1443" s="84"/>
      <c r="AL1443" s="84"/>
      <c r="AM1443" s="84"/>
      <c r="AN1443" s="84"/>
      <c r="AO1443" s="84"/>
      <c r="AP1443" s="84"/>
      <c r="AQ1443" s="84"/>
      <c r="AR1443" s="84"/>
      <c r="AS1443" s="84"/>
      <c r="AT1443" s="84"/>
      <c r="AU1443" s="84"/>
      <c r="AV1443" s="84"/>
      <c r="AW1443" s="84"/>
      <c r="AX1443" s="84"/>
      <c r="AY1443" s="84"/>
      <c r="AZ1443" s="84"/>
      <c r="BA1443" s="84"/>
      <c r="BB1443" s="84"/>
      <c r="BC1443" s="84"/>
      <c r="BD1443" s="84"/>
      <c r="BE1443" s="84"/>
      <c r="BF1443" s="84"/>
      <c r="BG1443" s="84"/>
      <c r="BH1443" s="84"/>
      <c r="BI1443" s="84"/>
      <c r="BJ1443" s="84"/>
      <c r="BK1443" s="84"/>
      <c r="BL1443" s="84"/>
      <c r="BM1443" s="84"/>
      <c r="BN1443" s="84"/>
      <c r="BO1443" s="84"/>
      <c r="BP1443" s="84"/>
      <c r="BQ1443" s="84"/>
      <c r="BR1443" s="84"/>
      <c r="BS1443" s="84"/>
      <c r="BT1443" s="84"/>
      <c r="BU1443" s="84"/>
      <c r="BV1443" s="84"/>
      <c r="BW1443" s="84"/>
      <c r="BX1443" s="84"/>
      <c r="BY1443" s="84"/>
      <c r="BZ1443" s="84"/>
      <c r="CA1443" s="84"/>
      <c r="CB1443" s="84"/>
      <c r="CC1443" s="84"/>
      <c r="CD1443" s="84"/>
      <c r="CE1443" s="84"/>
      <c r="CF1443" s="84"/>
      <c r="CG1443" s="84"/>
      <c r="CH1443" s="84"/>
      <c r="CI1443" s="84"/>
      <c r="CJ1443" s="84"/>
      <c r="CK1443" s="84"/>
      <c r="CL1443" s="84"/>
      <c r="CM1443" s="84"/>
      <c r="CN1443" s="84"/>
      <c r="CO1443" s="84"/>
      <c r="CP1443" s="84"/>
      <c r="CQ1443" s="101"/>
      <c r="CR1443" s="101"/>
      <c r="CS1443" s="101"/>
      <c r="CT1443" s="101"/>
      <c r="CU1443" s="101"/>
      <c r="CV1443" s="101"/>
      <c r="CW1443" s="101"/>
      <c r="CX1443" s="101"/>
      <c r="CY1443" s="101"/>
      <c r="CZ1443" s="101"/>
      <c r="DA1443" s="101"/>
      <c r="DB1443" s="101"/>
      <c r="DC1443" s="101"/>
      <c r="DD1443" s="101"/>
      <c r="DE1443" s="101"/>
      <c r="DF1443" s="101"/>
      <c r="DG1443" s="101"/>
      <c r="DH1443" s="101"/>
      <c r="DI1443" s="101"/>
      <c r="DJ1443" s="101"/>
      <c r="DK1443" s="101"/>
      <c r="DL1443" s="101"/>
      <c r="DM1443" s="101"/>
      <c r="DN1443" s="101"/>
      <c r="DO1443" s="101"/>
      <c r="DP1443" s="101"/>
      <c r="DQ1443" s="101"/>
    </row>
    <row r="1444" spans="1:121" s="40" customFormat="1" ht="13" x14ac:dyDescent="0.3">
      <c r="A1444" s="101"/>
      <c r="F1444" s="485">
        <f t="shared" si="863"/>
        <v>1186</v>
      </c>
      <c r="G1444" s="485">
        <f>Infrastructure!D108</f>
        <v>1186</v>
      </c>
      <c r="I1444" s="40">
        <v>39</v>
      </c>
      <c r="J1444" s="977">
        <f t="shared" ref="J1444:J1453" si="874">J1443</f>
        <v>0</v>
      </c>
      <c r="K1444" s="977">
        <f t="shared" si="873"/>
        <v>0</v>
      </c>
      <c r="L1444" s="977">
        <f t="shared" si="873"/>
        <v>0</v>
      </c>
      <c r="M1444" s="977">
        <f t="shared" si="873"/>
        <v>0</v>
      </c>
      <c r="N1444" s="977">
        <f t="shared" si="873"/>
        <v>0</v>
      </c>
      <c r="O1444" s="977">
        <f t="shared" si="873"/>
        <v>0</v>
      </c>
      <c r="P1444" s="977">
        <f t="shared" si="873"/>
        <v>0</v>
      </c>
      <c r="Q1444" s="977">
        <f t="shared" si="873"/>
        <v>0</v>
      </c>
      <c r="R1444" s="977">
        <f t="shared" si="873"/>
        <v>0</v>
      </c>
      <c r="S1444" s="977">
        <f t="shared" si="873"/>
        <v>0</v>
      </c>
      <c r="T1444" s="977">
        <f t="shared" si="873"/>
        <v>0</v>
      </c>
      <c r="U1444" s="977">
        <f t="shared" si="873"/>
        <v>0</v>
      </c>
      <c r="V1444" s="977">
        <f t="shared" si="873"/>
        <v>0</v>
      </c>
      <c r="W1444" s="977">
        <f t="shared" si="873"/>
        <v>0</v>
      </c>
      <c r="X1444" s="977">
        <f t="shared" si="873"/>
        <v>0</v>
      </c>
      <c r="Y1444" s="977">
        <f t="shared" si="873"/>
        <v>0</v>
      </c>
      <c r="Z1444" s="977">
        <f t="shared" si="873"/>
        <v>0</v>
      </c>
      <c r="AA1444" s="977">
        <f t="shared" si="873"/>
        <v>0</v>
      </c>
      <c r="AB1444" s="977">
        <f t="shared" si="873"/>
        <v>0</v>
      </c>
      <c r="AC1444" s="977">
        <f t="shared" si="873"/>
        <v>0</v>
      </c>
      <c r="AD1444" s="977">
        <f t="shared" si="873"/>
        <v>0</v>
      </c>
      <c r="AE1444" s="977">
        <f t="shared" si="873"/>
        <v>0</v>
      </c>
      <c r="AF1444" s="977">
        <f t="shared" si="873"/>
        <v>0</v>
      </c>
      <c r="AG1444" s="977">
        <f t="shared" si="873"/>
        <v>0</v>
      </c>
      <c r="AH1444" s="977">
        <f t="shared" si="873"/>
        <v>0</v>
      </c>
      <c r="AI1444" s="84"/>
      <c r="AJ1444" s="84"/>
      <c r="AK1444" s="84"/>
      <c r="AL1444" s="84"/>
      <c r="AM1444" s="84"/>
      <c r="AN1444" s="84"/>
      <c r="AO1444" s="84"/>
      <c r="AP1444" s="84"/>
      <c r="AQ1444" s="84"/>
      <c r="AR1444" s="84"/>
      <c r="AS1444" s="84"/>
      <c r="AT1444" s="84"/>
      <c r="AU1444" s="84"/>
      <c r="AV1444" s="84"/>
      <c r="AW1444" s="84"/>
      <c r="AX1444" s="84"/>
      <c r="AY1444" s="84"/>
      <c r="AZ1444" s="84"/>
      <c r="BA1444" s="84"/>
      <c r="BB1444" s="84"/>
      <c r="BC1444" s="84"/>
      <c r="BD1444" s="84"/>
      <c r="BE1444" s="84"/>
      <c r="BF1444" s="84"/>
      <c r="BG1444" s="84"/>
      <c r="BH1444" s="84"/>
      <c r="BI1444" s="84"/>
      <c r="BJ1444" s="84"/>
      <c r="BK1444" s="84"/>
      <c r="BL1444" s="84"/>
      <c r="BM1444" s="84"/>
      <c r="BN1444" s="84"/>
      <c r="BO1444" s="84"/>
      <c r="BP1444" s="84"/>
      <c r="BQ1444" s="84"/>
      <c r="BR1444" s="84"/>
      <c r="BS1444" s="84"/>
      <c r="BT1444" s="84"/>
      <c r="BU1444" s="84"/>
      <c r="BV1444" s="84"/>
      <c r="BW1444" s="84"/>
      <c r="BX1444" s="84"/>
      <c r="BY1444" s="84"/>
      <c r="BZ1444" s="84"/>
      <c r="CA1444" s="84"/>
      <c r="CB1444" s="84"/>
      <c r="CC1444" s="84"/>
      <c r="CD1444" s="84"/>
      <c r="CE1444" s="84"/>
      <c r="CF1444" s="84"/>
      <c r="CG1444" s="84"/>
      <c r="CH1444" s="84"/>
      <c r="CI1444" s="84"/>
      <c r="CJ1444" s="84"/>
      <c r="CK1444" s="84"/>
      <c r="CL1444" s="84"/>
      <c r="CM1444" s="84"/>
      <c r="CN1444" s="84"/>
      <c r="CO1444" s="84"/>
      <c r="CP1444" s="84"/>
      <c r="CQ1444" s="101"/>
      <c r="CR1444" s="101"/>
      <c r="CS1444" s="101"/>
      <c r="CT1444" s="101"/>
      <c r="CU1444" s="101"/>
      <c r="CV1444" s="101"/>
      <c r="CW1444" s="101"/>
      <c r="CX1444" s="101"/>
      <c r="CY1444" s="101"/>
      <c r="CZ1444" s="101"/>
      <c r="DA1444" s="101"/>
      <c r="DB1444" s="101"/>
      <c r="DC1444" s="101"/>
      <c r="DD1444" s="101"/>
      <c r="DE1444" s="101"/>
      <c r="DF1444" s="101"/>
      <c r="DG1444" s="101"/>
      <c r="DH1444" s="101"/>
      <c r="DI1444" s="101"/>
      <c r="DJ1444" s="101"/>
      <c r="DK1444" s="101"/>
      <c r="DL1444" s="101"/>
      <c r="DM1444" s="101"/>
      <c r="DN1444" s="101"/>
      <c r="DO1444" s="101"/>
      <c r="DP1444" s="101"/>
      <c r="DQ1444" s="101"/>
    </row>
    <row r="1445" spans="1:121" s="40" customFormat="1" ht="13" x14ac:dyDescent="0.3">
      <c r="A1445" s="101"/>
      <c r="F1445" s="485">
        <f t="shared" si="863"/>
        <v>1216</v>
      </c>
      <c r="G1445" s="485">
        <f>Infrastructure!D109</f>
        <v>1216</v>
      </c>
      <c r="I1445" s="40">
        <v>40</v>
      </c>
      <c r="J1445" s="977">
        <f t="shared" si="874"/>
        <v>0</v>
      </c>
      <c r="K1445" s="977">
        <f t="shared" si="873"/>
        <v>0</v>
      </c>
      <c r="L1445" s="977">
        <f t="shared" si="873"/>
        <v>0</v>
      </c>
      <c r="M1445" s="977">
        <f t="shared" si="873"/>
        <v>0</v>
      </c>
      <c r="N1445" s="977">
        <f t="shared" si="873"/>
        <v>0</v>
      </c>
      <c r="O1445" s="977">
        <f t="shared" si="873"/>
        <v>0</v>
      </c>
      <c r="P1445" s="977">
        <f t="shared" si="873"/>
        <v>0</v>
      </c>
      <c r="Q1445" s="977">
        <f t="shared" si="873"/>
        <v>0</v>
      </c>
      <c r="R1445" s="977">
        <f t="shared" si="873"/>
        <v>0</v>
      </c>
      <c r="S1445" s="977">
        <f t="shared" si="873"/>
        <v>0</v>
      </c>
      <c r="T1445" s="977">
        <f t="shared" si="873"/>
        <v>0</v>
      </c>
      <c r="U1445" s="977">
        <f t="shared" si="873"/>
        <v>0</v>
      </c>
      <c r="V1445" s="977">
        <f t="shared" si="873"/>
        <v>0</v>
      </c>
      <c r="W1445" s="977">
        <f t="shared" si="873"/>
        <v>0</v>
      </c>
      <c r="X1445" s="977">
        <f t="shared" si="873"/>
        <v>0</v>
      </c>
      <c r="Y1445" s="977">
        <f t="shared" si="873"/>
        <v>0</v>
      </c>
      <c r="Z1445" s="977">
        <f t="shared" si="873"/>
        <v>0</v>
      </c>
      <c r="AA1445" s="977">
        <f t="shared" si="873"/>
        <v>0</v>
      </c>
      <c r="AB1445" s="977">
        <f t="shared" si="873"/>
        <v>0</v>
      </c>
      <c r="AC1445" s="977">
        <f t="shared" si="873"/>
        <v>0</v>
      </c>
      <c r="AD1445" s="977">
        <f t="shared" si="873"/>
        <v>0</v>
      </c>
      <c r="AE1445" s="977">
        <f t="shared" si="873"/>
        <v>0</v>
      </c>
      <c r="AF1445" s="977">
        <f t="shared" si="873"/>
        <v>0</v>
      </c>
      <c r="AG1445" s="977">
        <f t="shared" si="873"/>
        <v>0</v>
      </c>
      <c r="AH1445" s="977">
        <f t="shared" si="873"/>
        <v>0</v>
      </c>
      <c r="AI1445" s="84"/>
      <c r="AJ1445" s="84"/>
      <c r="AK1445" s="84"/>
      <c r="AL1445" s="84"/>
      <c r="AM1445" s="84"/>
      <c r="AN1445" s="84"/>
      <c r="AO1445" s="84"/>
      <c r="AP1445" s="84"/>
      <c r="AQ1445" s="84"/>
      <c r="AR1445" s="84"/>
      <c r="AS1445" s="84"/>
      <c r="AT1445" s="84"/>
      <c r="AU1445" s="84"/>
      <c r="AV1445" s="84"/>
      <c r="AW1445" s="84"/>
      <c r="AX1445" s="84"/>
      <c r="AY1445" s="84"/>
      <c r="AZ1445" s="84"/>
      <c r="BA1445" s="84"/>
      <c r="BB1445" s="84"/>
      <c r="BC1445" s="84"/>
      <c r="BD1445" s="84"/>
      <c r="BE1445" s="84"/>
      <c r="BF1445" s="84"/>
      <c r="BG1445" s="84"/>
      <c r="BH1445" s="84"/>
      <c r="BI1445" s="84"/>
      <c r="BJ1445" s="84"/>
      <c r="BK1445" s="84"/>
      <c r="BL1445" s="84"/>
      <c r="BM1445" s="84"/>
      <c r="BN1445" s="84"/>
      <c r="BO1445" s="84"/>
      <c r="BP1445" s="84"/>
      <c r="BQ1445" s="84"/>
      <c r="BR1445" s="84"/>
      <c r="BS1445" s="84"/>
      <c r="BT1445" s="84"/>
      <c r="BU1445" s="84"/>
      <c r="BV1445" s="84"/>
      <c r="BW1445" s="84"/>
      <c r="BX1445" s="84"/>
      <c r="BY1445" s="84"/>
      <c r="BZ1445" s="84"/>
      <c r="CA1445" s="84"/>
      <c r="CB1445" s="84"/>
      <c r="CC1445" s="84"/>
      <c r="CD1445" s="84"/>
      <c r="CE1445" s="84"/>
      <c r="CF1445" s="84"/>
      <c r="CG1445" s="84"/>
      <c r="CH1445" s="84"/>
      <c r="CI1445" s="84"/>
      <c r="CJ1445" s="84"/>
      <c r="CK1445" s="84"/>
      <c r="CL1445" s="84"/>
      <c r="CM1445" s="84"/>
      <c r="CN1445" s="84"/>
      <c r="CO1445" s="84"/>
      <c r="CP1445" s="84"/>
      <c r="CQ1445" s="101"/>
      <c r="CR1445" s="101"/>
      <c r="CS1445" s="101"/>
      <c r="CT1445" s="101"/>
      <c r="CU1445" s="101"/>
      <c r="CV1445" s="101"/>
      <c r="CW1445" s="101"/>
      <c r="CX1445" s="101"/>
      <c r="CY1445" s="101"/>
      <c r="CZ1445" s="101"/>
      <c r="DA1445" s="101"/>
      <c r="DB1445" s="101"/>
      <c r="DC1445" s="101"/>
      <c r="DD1445" s="101"/>
      <c r="DE1445" s="101"/>
      <c r="DF1445" s="101"/>
      <c r="DG1445" s="101"/>
      <c r="DH1445" s="101"/>
      <c r="DI1445" s="101"/>
      <c r="DJ1445" s="101"/>
      <c r="DK1445" s="101"/>
      <c r="DL1445" s="101"/>
      <c r="DM1445" s="101"/>
      <c r="DN1445" s="101"/>
      <c r="DO1445" s="101"/>
      <c r="DP1445" s="101"/>
      <c r="DQ1445" s="101"/>
    </row>
    <row r="1446" spans="1:121" s="40" customFormat="1" ht="13" x14ac:dyDescent="0.3">
      <c r="A1446" s="101"/>
      <c r="F1446" s="485">
        <f t="shared" si="863"/>
        <v>1247</v>
      </c>
      <c r="G1446" s="485">
        <f>Infrastructure!D110</f>
        <v>1247</v>
      </c>
      <c r="I1446" s="40">
        <v>41</v>
      </c>
      <c r="J1446" s="977">
        <f t="shared" si="874"/>
        <v>0</v>
      </c>
      <c r="K1446" s="977">
        <f t="shared" si="873"/>
        <v>0</v>
      </c>
      <c r="L1446" s="977">
        <f t="shared" si="873"/>
        <v>0</v>
      </c>
      <c r="M1446" s="977">
        <f t="shared" si="873"/>
        <v>0</v>
      </c>
      <c r="N1446" s="977">
        <f t="shared" si="873"/>
        <v>0</v>
      </c>
      <c r="O1446" s="977">
        <f t="shared" si="873"/>
        <v>0</v>
      </c>
      <c r="P1446" s="977">
        <f t="shared" si="873"/>
        <v>0</v>
      </c>
      <c r="Q1446" s="977">
        <f t="shared" si="873"/>
        <v>0</v>
      </c>
      <c r="R1446" s="977">
        <f t="shared" si="873"/>
        <v>0</v>
      </c>
      <c r="S1446" s="977">
        <f t="shared" si="873"/>
        <v>0</v>
      </c>
      <c r="T1446" s="977">
        <f t="shared" si="873"/>
        <v>0</v>
      </c>
      <c r="U1446" s="977">
        <f t="shared" si="873"/>
        <v>0</v>
      </c>
      <c r="V1446" s="977">
        <f t="shared" si="873"/>
        <v>0</v>
      </c>
      <c r="W1446" s="977">
        <f t="shared" si="873"/>
        <v>0</v>
      </c>
      <c r="X1446" s="977">
        <f t="shared" si="873"/>
        <v>0</v>
      </c>
      <c r="Y1446" s="977">
        <f t="shared" si="873"/>
        <v>0</v>
      </c>
      <c r="Z1446" s="977">
        <f t="shared" si="873"/>
        <v>0</v>
      </c>
      <c r="AA1446" s="977">
        <f t="shared" si="873"/>
        <v>0</v>
      </c>
      <c r="AB1446" s="977">
        <f t="shared" si="873"/>
        <v>0</v>
      </c>
      <c r="AC1446" s="977">
        <f t="shared" si="873"/>
        <v>0</v>
      </c>
      <c r="AD1446" s="977">
        <f t="shared" si="873"/>
        <v>0</v>
      </c>
      <c r="AE1446" s="977">
        <f t="shared" si="873"/>
        <v>0</v>
      </c>
      <c r="AF1446" s="977">
        <f t="shared" si="873"/>
        <v>0</v>
      </c>
      <c r="AG1446" s="977">
        <f t="shared" si="873"/>
        <v>0</v>
      </c>
      <c r="AH1446" s="977">
        <f t="shared" si="873"/>
        <v>0</v>
      </c>
      <c r="AI1446" s="84"/>
      <c r="AJ1446" s="84"/>
      <c r="AK1446" s="84"/>
      <c r="AL1446" s="84"/>
      <c r="AM1446" s="84"/>
      <c r="AN1446" s="84"/>
      <c r="AO1446" s="84"/>
      <c r="AP1446" s="84"/>
      <c r="AQ1446" s="84"/>
      <c r="AR1446" s="84"/>
      <c r="AS1446" s="84"/>
      <c r="AT1446" s="84"/>
      <c r="AU1446" s="84"/>
      <c r="AV1446" s="84"/>
      <c r="AW1446" s="84"/>
      <c r="AX1446" s="84"/>
      <c r="AY1446" s="84"/>
      <c r="AZ1446" s="84"/>
      <c r="BA1446" s="84"/>
      <c r="BB1446" s="84"/>
      <c r="BC1446" s="84"/>
      <c r="BD1446" s="84"/>
      <c r="BE1446" s="84"/>
      <c r="BF1446" s="84"/>
      <c r="BG1446" s="84"/>
      <c r="BH1446" s="84"/>
      <c r="BI1446" s="84"/>
      <c r="BJ1446" s="84"/>
      <c r="BK1446" s="84"/>
      <c r="BL1446" s="84"/>
      <c r="BM1446" s="84"/>
      <c r="BN1446" s="84"/>
      <c r="BO1446" s="84"/>
      <c r="BP1446" s="84"/>
      <c r="BQ1446" s="84"/>
      <c r="BR1446" s="84"/>
      <c r="BS1446" s="84"/>
      <c r="BT1446" s="84"/>
      <c r="BU1446" s="84"/>
      <c r="BV1446" s="84"/>
      <c r="BW1446" s="84"/>
      <c r="BX1446" s="84"/>
      <c r="BY1446" s="84"/>
      <c r="BZ1446" s="84"/>
      <c r="CA1446" s="84"/>
      <c r="CB1446" s="84"/>
      <c r="CC1446" s="84"/>
      <c r="CD1446" s="84"/>
      <c r="CE1446" s="84"/>
      <c r="CF1446" s="84"/>
      <c r="CG1446" s="84"/>
      <c r="CH1446" s="84"/>
      <c r="CI1446" s="84"/>
      <c r="CJ1446" s="84"/>
      <c r="CK1446" s="84"/>
      <c r="CL1446" s="84"/>
      <c r="CM1446" s="84"/>
      <c r="CN1446" s="84"/>
      <c r="CO1446" s="84"/>
      <c r="CP1446" s="84"/>
      <c r="CQ1446" s="101"/>
      <c r="CR1446" s="101"/>
      <c r="CS1446" s="101"/>
      <c r="CT1446" s="101"/>
      <c r="CU1446" s="101"/>
      <c r="CV1446" s="101"/>
      <c r="CW1446" s="101"/>
      <c r="CX1446" s="101"/>
      <c r="CY1446" s="101"/>
      <c r="CZ1446" s="101"/>
      <c r="DA1446" s="101"/>
      <c r="DB1446" s="101"/>
      <c r="DC1446" s="101"/>
      <c r="DD1446" s="101"/>
      <c r="DE1446" s="101"/>
      <c r="DF1446" s="101"/>
      <c r="DG1446" s="101"/>
      <c r="DH1446" s="101"/>
      <c r="DI1446" s="101"/>
      <c r="DJ1446" s="101"/>
      <c r="DK1446" s="101"/>
      <c r="DL1446" s="101"/>
      <c r="DM1446" s="101"/>
      <c r="DN1446" s="101"/>
      <c r="DO1446" s="101"/>
      <c r="DP1446" s="101"/>
      <c r="DQ1446" s="101"/>
    </row>
    <row r="1447" spans="1:121" s="40" customFormat="1" ht="13" x14ac:dyDescent="0.3">
      <c r="A1447" s="101"/>
      <c r="F1447" s="485">
        <f t="shared" si="863"/>
        <v>1277</v>
      </c>
      <c r="G1447" s="485">
        <f>Infrastructure!D111</f>
        <v>1277</v>
      </c>
      <c r="I1447" s="40">
        <v>42</v>
      </c>
      <c r="J1447" s="977">
        <f t="shared" si="874"/>
        <v>0</v>
      </c>
      <c r="K1447" s="977">
        <f t="shared" si="873"/>
        <v>0</v>
      </c>
      <c r="L1447" s="977">
        <f t="shared" si="873"/>
        <v>0</v>
      </c>
      <c r="M1447" s="977">
        <f t="shared" si="873"/>
        <v>0</v>
      </c>
      <c r="N1447" s="977">
        <f t="shared" si="873"/>
        <v>0</v>
      </c>
      <c r="O1447" s="977">
        <f t="shared" si="873"/>
        <v>0</v>
      </c>
      <c r="P1447" s="977">
        <f t="shared" si="873"/>
        <v>0</v>
      </c>
      <c r="Q1447" s="977">
        <f t="shared" si="873"/>
        <v>0</v>
      </c>
      <c r="R1447" s="977">
        <f t="shared" si="873"/>
        <v>0</v>
      </c>
      <c r="S1447" s="977">
        <f t="shared" si="873"/>
        <v>0</v>
      </c>
      <c r="T1447" s="977">
        <f t="shared" si="873"/>
        <v>0</v>
      </c>
      <c r="U1447" s="977">
        <f t="shared" si="873"/>
        <v>0</v>
      </c>
      <c r="V1447" s="977">
        <f t="shared" si="873"/>
        <v>0</v>
      </c>
      <c r="W1447" s="977">
        <f t="shared" si="873"/>
        <v>0</v>
      </c>
      <c r="X1447" s="977">
        <f t="shared" si="873"/>
        <v>0</v>
      </c>
      <c r="Y1447" s="977">
        <f t="shared" si="873"/>
        <v>0</v>
      </c>
      <c r="Z1447" s="977">
        <f t="shared" si="873"/>
        <v>0</v>
      </c>
      <c r="AA1447" s="977">
        <f t="shared" si="873"/>
        <v>0</v>
      </c>
      <c r="AB1447" s="977">
        <f t="shared" si="873"/>
        <v>0</v>
      </c>
      <c r="AC1447" s="977">
        <f t="shared" si="873"/>
        <v>0</v>
      </c>
      <c r="AD1447" s="977">
        <f t="shared" si="873"/>
        <v>0</v>
      </c>
      <c r="AE1447" s="977">
        <f t="shared" si="873"/>
        <v>0</v>
      </c>
      <c r="AF1447" s="977">
        <f t="shared" si="873"/>
        <v>0</v>
      </c>
      <c r="AG1447" s="977">
        <f t="shared" si="873"/>
        <v>0</v>
      </c>
      <c r="AH1447" s="977">
        <f t="shared" si="873"/>
        <v>0</v>
      </c>
      <c r="AI1447" s="84"/>
      <c r="AJ1447" s="84"/>
      <c r="AK1447" s="84"/>
      <c r="AL1447" s="84"/>
      <c r="AM1447" s="84"/>
      <c r="AN1447" s="84"/>
      <c r="AO1447" s="84"/>
      <c r="AP1447" s="84"/>
      <c r="AQ1447" s="84"/>
      <c r="AR1447" s="84"/>
      <c r="AS1447" s="84"/>
      <c r="AT1447" s="84"/>
      <c r="AU1447" s="84"/>
      <c r="AV1447" s="84"/>
      <c r="AW1447" s="84"/>
      <c r="AX1447" s="84"/>
      <c r="AY1447" s="84"/>
      <c r="AZ1447" s="84"/>
      <c r="BA1447" s="84"/>
      <c r="BB1447" s="84"/>
      <c r="BC1447" s="84"/>
      <c r="BD1447" s="84"/>
      <c r="BE1447" s="84"/>
      <c r="BF1447" s="84"/>
      <c r="BG1447" s="84"/>
      <c r="BH1447" s="84"/>
      <c r="BI1447" s="84"/>
      <c r="BJ1447" s="84"/>
      <c r="BK1447" s="84"/>
      <c r="BL1447" s="84"/>
      <c r="BM1447" s="84"/>
      <c r="BN1447" s="84"/>
      <c r="BO1447" s="84"/>
      <c r="BP1447" s="84"/>
      <c r="BQ1447" s="84"/>
      <c r="BR1447" s="84"/>
      <c r="BS1447" s="84"/>
      <c r="BT1447" s="84"/>
      <c r="BU1447" s="84"/>
      <c r="BV1447" s="84"/>
      <c r="BW1447" s="84"/>
      <c r="BX1447" s="84"/>
      <c r="BY1447" s="84"/>
      <c r="BZ1447" s="84"/>
      <c r="CA1447" s="84"/>
      <c r="CB1447" s="84"/>
      <c r="CC1447" s="84"/>
      <c r="CD1447" s="84"/>
      <c r="CE1447" s="84"/>
      <c r="CF1447" s="84"/>
      <c r="CG1447" s="84"/>
      <c r="CH1447" s="84"/>
      <c r="CI1447" s="84"/>
      <c r="CJ1447" s="84"/>
      <c r="CK1447" s="84"/>
      <c r="CL1447" s="84"/>
      <c r="CM1447" s="84"/>
      <c r="CN1447" s="84"/>
      <c r="CO1447" s="84"/>
      <c r="CP1447" s="84"/>
      <c r="CQ1447" s="101"/>
      <c r="CR1447" s="101"/>
      <c r="CS1447" s="101"/>
      <c r="CT1447" s="101"/>
      <c r="CU1447" s="101"/>
      <c r="CV1447" s="101"/>
      <c r="CW1447" s="101"/>
      <c r="CX1447" s="101"/>
      <c r="CY1447" s="101"/>
      <c r="CZ1447" s="101"/>
      <c r="DA1447" s="101"/>
      <c r="DB1447" s="101"/>
      <c r="DC1447" s="101"/>
      <c r="DD1447" s="101"/>
      <c r="DE1447" s="101"/>
      <c r="DF1447" s="101"/>
      <c r="DG1447" s="101"/>
      <c r="DH1447" s="101"/>
      <c r="DI1447" s="101"/>
      <c r="DJ1447" s="101"/>
      <c r="DK1447" s="101"/>
      <c r="DL1447" s="101"/>
      <c r="DM1447" s="101"/>
      <c r="DN1447" s="101"/>
      <c r="DO1447" s="101"/>
      <c r="DP1447" s="101"/>
      <c r="DQ1447" s="101"/>
    </row>
    <row r="1448" spans="1:121" s="40" customFormat="1" ht="13" x14ac:dyDescent="0.3">
      <c r="A1448" s="101"/>
      <c r="F1448" s="485">
        <f t="shared" si="863"/>
        <v>1308</v>
      </c>
      <c r="G1448" s="485">
        <f>Infrastructure!D112</f>
        <v>1308</v>
      </c>
      <c r="I1448" s="40">
        <v>43</v>
      </c>
      <c r="J1448" s="977">
        <f t="shared" si="874"/>
        <v>0</v>
      </c>
      <c r="K1448" s="977">
        <f t="shared" si="873"/>
        <v>0</v>
      </c>
      <c r="L1448" s="977">
        <f t="shared" si="873"/>
        <v>0</v>
      </c>
      <c r="M1448" s="977">
        <f t="shared" si="873"/>
        <v>0</v>
      </c>
      <c r="N1448" s="977">
        <f t="shared" si="873"/>
        <v>0</v>
      </c>
      <c r="O1448" s="977">
        <f t="shared" si="873"/>
        <v>0</v>
      </c>
      <c r="P1448" s="977">
        <f t="shared" si="873"/>
        <v>0</v>
      </c>
      <c r="Q1448" s="977">
        <f t="shared" si="873"/>
        <v>0</v>
      </c>
      <c r="R1448" s="977">
        <f t="shared" si="873"/>
        <v>0</v>
      </c>
      <c r="S1448" s="977">
        <f t="shared" si="873"/>
        <v>0</v>
      </c>
      <c r="T1448" s="977">
        <f t="shared" si="873"/>
        <v>0</v>
      </c>
      <c r="U1448" s="977">
        <f t="shared" si="873"/>
        <v>0</v>
      </c>
      <c r="V1448" s="977">
        <f t="shared" si="873"/>
        <v>0</v>
      </c>
      <c r="W1448" s="977">
        <f t="shared" si="873"/>
        <v>0</v>
      </c>
      <c r="X1448" s="977">
        <f t="shared" si="873"/>
        <v>0</v>
      </c>
      <c r="Y1448" s="977">
        <f t="shared" si="873"/>
        <v>0</v>
      </c>
      <c r="Z1448" s="977">
        <f t="shared" si="873"/>
        <v>0</v>
      </c>
      <c r="AA1448" s="977">
        <f t="shared" si="873"/>
        <v>0</v>
      </c>
      <c r="AB1448" s="977">
        <f t="shared" si="873"/>
        <v>0</v>
      </c>
      <c r="AC1448" s="977">
        <f t="shared" si="873"/>
        <v>0</v>
      </c>
      <c r="AD1448" s="977">
        <f t="shared" si="873"/>
        <v>0</v>
      </c>
      <c r="AE1448" s="977">
        <f t="shared" si="873"/>
        <v>0</v>
      </c>
      <c r="AF1448" s="977">
        <f t="shared" si="873"/>
        <v>0</v>
      </c>
      <c r="AG1448" s="977">
        <f t="shared" si="873"/>
        <v>0</v>
      </c>
      <c r="AH1448" s="977">
        <f t="shared" si="873"/>
        <v>0</v>
      </c>
      <c r="AI1448" s="84"/>
      <c r="AJ1448" s="84"/>
      <c r="AK1448" s="84"/>
      <c r="AL1448" s="84"/>
      <c r="AM1448" s="84"/>
      <c r="AN1448" s="84"/>
      <c r="AO1448" s="84"/>
      <c r="AP1448" s="84"/>
      <c r="AQ1448" s="84"/>
      <c r="AR1448" s="84"/>
      <c r="AS1448" s="84"/>
      <c r="AT1448" s="84"/>
      <c r="AU1448" s="84"/>
      <c r="AV1448" s="84"/>
      <c r="AW1448" s="84"/>
      <c r="AX1448" s="84"/>
      <c r="AY1448" s="84"/>
      <c r="AZ1448" s="84"/>
      <c r="BA1448" s="84"/>
      <c r="BB1448" s="84"/>
      <c r="BC1448" s="84"/>
      <c r="BD1448" s="84"/>
      <c r="BE1448" s="84"/>
      <c r="BF1448" s="84"/>
      <c r="BG1448" s="84"/>
      <c r="BH1448" s="84"/>
      <c r="BI1448" s="84"/>
      <c r="BJ1448" s="84"/>
      <c r="BK1448" s="84"/>
      <c r="BL1448" s="84"/>
      <c r="BM1448" s="84"/>
      <c r="BN1448" s="84"/>
      <c r="BO1448" s="84"/>
      <c r="BP1448" s="84"/>
      <c r="BQ1448" s="84"/>
      <c r="BR1448" s="84"/>
      <c r="BS1448" s="84"/>
      <c r="BT1448" s="84"/>
      <c r="BU1448" s="84"/>
      <c r="BV1448" s="84"/>
      <c r="BW1448" s="84"/>
      <c r="BX1448" s="84"/>
      <c r="BY1448" s="84"/>
      <c r="BZ1448" s="84"/>
      <c r="CA1448" s="84"/>
      <c r="CB1448" s="84"/>
      <c r="CC1448" s="84"/>
      <c r="CD1448" s="84"/>
      <c r="CE1448" s="84"/>
      <c r="CF1448" s="84"/>
      <c r="CG1448" s="84"/>
      <c r="CH1448" s="84"/>
      <c r="CI1448" s="84"/>
      <c r="CJ1448" s="84"/>
      <c r="CK1448" s="84"/>
      <c r="CL1448" s="84"/>
      <c r="CM1448" s="84"/>
      <c r="CN1448" s="84"/>
      <c r="CO1448" s="84"/>
      <c r="CP1448" s="84"/>
      <c r="CQ1448" s="101"/>
      <c r="CR1448" s="101"/>
      <c r="CS1448" s="101"/>
      <c r="CT1448" s="101"/>
      <c r="CU1448" s="101"/>
      <c r="CV1448" s="101"/>
      <c r="CW1448" s="101"/>
      <c r="CX1448" s="101"/>
      <c r="CY1448" s="101"/>
      <c r="CZ1448" s="101"/>
      <c r="DA1448" s="101"/>
      <c r="DB1448" s="101"/>
      <c r="DC1448" s="101"/>
      <c r="DD1448" s="101"/>
      <c r="DE1448" s="101"/>
      <c r="DF1448" s="101"/>
      <c r="DG1448" s="101"/>
      <c r="DH1448" s="101"/>
      <c r="DI1448" s="101"/>
      <c r="DJ1448" s="101"/>
      <c r="DK1448" s="101"/>
      <c r="DL1448" s="101"/>
      <c r="DM1448" s="101"/>
      <c r="DN1448" s="101"/>
      <c r="DO1448" s="101"/>
      <c r="DP1448" s="101"/>
      <c r="DQ1448" s="101"/>
    </row>
    <row r="1449" spans="1:121" s="40" customFormat="1" ht="13" x14ac:dyDescent="0.3">
      <c r="A1449" s="101"/>
      <c r="F1449" s="485">
        <f t="shared" si="863"/>
        <v>1339</v>
      </c>
      <c r="G1449" s="485">
        <f>Infrastructure!D113</f>
        <v>1339</v>
      </c>
      <c r="I1449" s="40">
        <v>44</v>
      </c>
      <c r="J1449" s="977">
        <f t="shared" si="874"/>
        <v>0</v>
      </c>
      <c r="K1449" s="977">
        <f t="shared" si="873"/>
        <v>0</v>
      </c>
      <c r="L1449" s="977">
        <f t="shared" si="873"/>
        <v>0</v>
      </c>
      <c r="M1449" s="977">
        <f t="shared" si="873"/>
        <v>0</v>
      </c>
      <c r="N1449" s="977">
        <f t="shared" si="873"/>
        <v>0</v>
      </c>
      <c r="O1449" s="977">
        <f t="shared" si="873"/>
        <v>0</v>
      </c>
      <c r="P1449" s="977">
        <f t="shared" si="873"/>
        <v>0</v>
      </c>
      <c r="Q1449" s="977">
        <f t="shared" si="873"/>
        <v>0</v>
      </c>
      <c r="R1449" s="977">
        <f t="shared" si="873"/>
        <v>0</v>
      </c>
      <c r="S1449" s="977">
        <f t="shared" si="873"/>
        <v>0</v>
      </c>
      <c r="T1449" s="977">
        <f t="shared" si="873"/>
        <v>0</v>
      </c>
      <c r="U1449" s="977">
        <f t="shared" si="873"/>
        <v>0</v>
      </c>
      <c r="V1449" s="977">
        <f t="shared" si="873"/>
        <v>0</v>
      </c>
      <c r="W1449" s="977">
        <f t="shared" si="873"/>
        <v>0</v>
      </c>
      <c r="X1449" s="977">
        <f t="shared" si="873"/>
        <v>0</v>
      </c>
      <c r="Y1449" s="977">
        <f t="shared" si="873"/>
        <v>0</v>
      </c>
      <c r="Z1449" s="977">
        <f t="shared" si="873"/>
        <v>0</v>
      </c>
      <c r="AA1449" s="977">
        <f t="shared" si="873"/>
        <v>0</v>
      </c>
      <c r="AB1449" s="977">
        <f t="shared" si="873"/>
        <v>0</v>
      </c>
      <c r="AC1449" s="977">
        <f t="shared" si="873"/>
        <v>0</v>
      </c>
      <c r="AD1449" s="977">
        <f t="shared" si="873"/>
        <v>0</v>
      </c>
      <c r="AE1449" s="977">
        <f t="shared" si="873"/>
        <v>0</v>
      </c>
      <c r="AF1449" s="977">
        <f t="shared" si="873"/>
        <v>0</v>
      </c>
      <c r="AG1449" s="977">
        <f t="shared" si="873"/>
        <v>0</v>
      </c>
      <c r="AH1449" s="977">
        <f t="shared" si="873"/>
        <v>0</v>
      </c>
      <c r="AI1449" s="84"/>
      <c r="AJ1449" s="84"/>
      <c r="AK1449" s="84"/>
      <c r="AL1449" s="84"/>
      <c r="AM1449" s="84"/>
      <c r="AN1449" s="84"/>
      <c r="AO1449" s="84"/>
      <c r="AP1449" s="84"/>
      <c r="AQ1449" s="84"/>
      <c r="AR1449" s="84"/>
      <c r="AS1449" s="84"/>
      <c r="AT1449" s="84"/>
      <c r="AU1449" s="84"/>
      <c r="AV1449" s="84"/>
      <c r="AW1449" s="84"/>
      <c r="AX1449" s="84"/>
      <c r="AY1449" s="84"/>
      <c r="AZ1449" s="84"/>
      <c r="BA1449" s="84"/>
      <c r="BB1449" s="84"/>
      <c r="BC1449" s="84"/>
      <c r="BD1449" s="84"/>
      <c r="BE1449" s="84"/>
      <c r="BF1449" s="84"/>
      <c r="BG1449" s="84"/>
      <c r="BH1449" s="84"/>
      <c r="BI1449" s="84"/>
      <c r="BJ1449" s="84"/>
      <c r="BK1449" s="84"/>
      <c r="BL1449" s="84"/>
      <c r="BM1449" s="84"/>
      <c r="BN1449" s="84"/>
      <c r="BO1449" s="84"/>
      <c r="BP1449" s="84"/>
      <c r="BQ1449" s="84"/>
      <c r="BR1449" s="84"/>
      <c r="BS1449" s="84"/>
      <c r="BT1449" s="84"/>
      <c r="BU1449" s="84"/>
      <c r="BV1449" s="84"/>
      <c r="BW1449" s="84"/>
      <c r="BX1449" s="84"/>
      <c r="BY1449" s="84"/>
      <c r="BZ1449" s="84"/>
      <c r="CA1449" s="84"/>
      <c r="CB1449" s="84"/>
      <c r="CC1449" s="84"/>
      <c r="CD1449" s="84"/>
      <c r="CE1449" s="84"/>
      <c r="CF1449" s="84"/>
      <c r="CG1449" s="84"/>
      <c r="CH1449" s="84"/>
      <c r="CI1449" s="84"/>
      <c r="CJ1449" s="84"/>
      <c r="CK1449" s="84"/>
      <c r="CL1449" s="84"/>
      <c r="CM1449" s="84"/>
      <c r="CN1449" s="84"/>
      <c r="CO1449" s="84"/>
      <c r="CP1449" s="84"/>
      <c r="CQ1449" s="101"/>
      <c r="CR1449" s="101"/>
      <c r="CS1449" s="101"/>
      <c r="CT1449" s="101"/>
      <c r="CU1449" s="101"/>
      <c r="CV1449" s="101"/>
      <c r="CW1449" s="101"/>
      <c r="CX1449" s="101"/>
      <c r="CY1449" s="101"/>
      <c r="CZ1449" s="101"/>
      <c r="DA1449" s="101"/>
      <c r="DB1449" s="101"/>
      <c r="DC1449" s="101"/>
      <c r="DD1449" s="101"/>
      <c r="DE1449" s="101"/>
      <c r="DF1449" s="101"/>
      <c r="DG1449" s="101"/>
      <c r="DH1449" s="101"/>
      <c r="DI1449" s="101"/>
      <c r="DJ1449" s="101"/>
      <c r="DK1449" s="101"/>
      <c r="DL1449" s="101"/>
      <c r="DM1449" s="101"/>
      <c r="DN1449" s="101"/>
      <c r="DO1449" s="101"/>
      <c r="DP1449" s="101"/>
      <c r="DQ1449" s="101"/>
    </row>
    <row r="1450" spans="1:121" s="40" customFormat="1" ht="13" x14ac:dyDescent="0.3">
      <c r="A1450" s="101"/>
      <c r="F1450" s="485">
        <f t="shared" si="863"/>
        <v>1369</v>
      </c>
      <c r="G1450" s="485">
        <f>Infrastructure!D114</f>
        <v>1369</v>
      </c>
      <c r="I1450" s="40">
        <v>45</v>
      </c>
      <c r="J1450" s="977">
        <f t="shared" si="874"/>
        <v>0</v>
      </c>
      <c r="K1450" s="977">
        <f t="shared" si="873"/>
        <v>0</v>
      </c>
      <c r="L1450" s="977">
        <f t="shared" si="873"/>
        <v>0</v>
      </c>
      <c r="M1450" s="977">
        <f t="shared" si="873"/>
        <v>0</v>
      </c>
      <c r="N1450" s="977">
        <f t="shared" si="873"/>
        <v>0</v>
      </c>
      <c r="O1450" s="977">
        <f t="shared" si="873"/>
        <v>0</v>
      </c>
      <c r="P1450" s="977">
        <f t="shared" si="873"/>
        <v>0</v>
      </c>
      <c r="Q1450" s="977">
        <f t="shared" si="873"/>
        <v>0</v>
      </c>
      <c r="R1450" s="977">
        <f t="shared" si="873"/>
        <v>0</v>
      </c>
      <c r="S1450" s="977">
        <f t="shared" si="873"/>
        <v>0</v>
      </c>
      <c r="T1450" s="977">
        <f t="shared" si="873"/>
        <v>0</v>
      </c>
      <c r="U1450" s="977">
        <f t="shared" si="873"/>
        <v>0</v>
      </c>
      <c r="V1450" s="977">
        <f t="shared" si="873"/>
        <v>0</v>
      </c>
      <c r="W1450" s="977">
        <f t="shared" si="873"/>
        <v>0</v>
      </c>
      <c r="X1450" s="977">
        <f t="shared" si="873"/>
        <v>0</v>
      </c>
      <c r="Y1450" s="977">
        <f t="shared" si="873"/>
        <v>0</v>
      </c>
      <c r="Z1450" s="977">
        <f t="shared" si="873"/>
        <v>0</v>
      </c>
      <c r="AA1450" s="977">
        <f t="shared" si="873"/>
        <v>0</v>
      </c>
      <c r="AB1450" s="977">
        <f t="shared" si="873"/>
        <v>0</v>
      </c>
      <c r="AC1450" s="977">
        <f t="shared" si="873"/>
        <v>0</v>
      </c>
      <c r="AD1450" s="977">
        <f t="shared" si="873"/>
        <v>0</v>
      </c>
      <c r="AE1450" s="977">
        <f t="shared" si="873"/>
        <v>0</v>
      </c>
      <c r="AF1450" s="977">
        <f t="shared" si="873"/>
        <v>0</v>
      </c>
      <c r="AG1450" s="977">
        <f t="shared" si="873"/>
        <v>0</v>
      </c>
      <c r="AH1450" s="977">
        <f t="shared" si="873"/>
        <v>0</v>
      </c>
      <c r="AI1450" s="84"/>
      <c r="AJ1450" s="84"/>
      <c r="AK1450" s="84"/>
      <c r="AL1450" s="84"/>
      <c r="AM1450" s="84"/>
      <c r="AN1450" s="84"/>
      <c r="AO1450" s="84"/>
      <c r="AP1450" s="84"/>
      <c r="AQ1450" s="84"/>
      <c r="AR1450" s="84"/>
      <c r="AS1450" s="84"/>
      <c r="AT1450" s="84"/>
      <c r="AU1450" s="84"/>
      <c r="AV1450" s="84"/>
      <c r="AW1450" s="84"/>
      <c r="AX1450" s="84"/>
      <c r="AY1450" s="84"/>
      <c r="AZ1450" s="84"/>
      <c r="BA1450" s="84"/>
      <c r="BB1450" s="84"/>
      <c r="BC1450" s="84"/>
      <c r="BD1450" s="84"/>
      <c r="BE1450" s="84"/>
      <c r="BF1450" s="84"/>
      <c r="BG1450" s="84"/>
      <c r="BH1450" s="84"/>
      <c r="BI1450" s="84"/>
      <c r="BJ1450" s="84"/>
      <c r="BK1450" s="84"/>
      <c r="BL1450" s="84"/>
      <c r="BM1450" s="84"/>
      <c r="BN1450" s="84"/>
      <c r="BO1450" s="84"/>
      <c r="BP1450" s="84"/>
      <c r="BQ1450" s="84"/>
      <c r="BR1450" s="84"/>
      <c r="BS1450" s="84"/>
      <c r="BT1450" s="84"/>
      <c r="BU1450" s="84"/>
      <c r="BV1450" s="84"/>
      <c r="BW1450" s="84"/>
      <c r="BX1450" s="84"/>
      <c r="BY1450" s="84"/>
      <c r="BZ1450" s="84"/>
      <c r="CA1450" s="84"/>
      <c r="CB1450" s="84"/>
      <c r="CC1450" s="84"/>
      <c r="CD1450" s="84"/>
      <c r="CE1450" s="84"/>
      <c r="CF1450" s="84"/>
      <c r="CG1450" s="84"/>
      <c r="CH1450" s="84"/>
      <c r="CI1450" s="84"/>
      <c r="CJ1450" s="84"/>
      <c r="CK1450" s="84"/>
      <c r="CL1450" s="84"/>
      <c r="CM1450" s="84"/>
      <c r="CN1450" s="84"/>
      <c r="CO1450" s="84"/>
      <c r="CP1450" s="84"/>
      <c r="CQ1450" s="101"/>
      <c r="CR1450" s="101"/>
      <c r="CS1450" s="101"/>
      <c r="CT1450" s="101"/>
      <c r="CU1450" s="101"/>
      <c r="CV1450" s="101"/>
      <c r="CW1450" s="101"/>
      <c r="CX1450" s="101"/>
      <c r="CY1450" s="101"/>
      <c r="CZ1450" s="101"/>
      <c r="DA1450" s="101"/>
      <c r="DB1450" s="101"/>
      <c r="DC1450" s="101"/>
      <c r="DD1450" s="101"/>
      <c r="DE1450" s="101"/>
      <c r="DF1450" s="101"/>
      <c r="DG1450" s="101"/>
      <c r="DH1450" s="101"/>
      <c r="DI1450" s="101"/>
      <c r="DJ1450" s="101"/>
      <c r="DK1450" s="101"/>
      <c r="DL1450" s="101"/>
      <c r="DM1450" s="101"/>
      <c r="DN1450" s="101"/>
      <c r="DO1450" s="101"/>
      <c r="DP1450" s="101"/>
      <c r="DQ1450" s="101"/>
    </row>
    <row r="1451" spans="1:121" s="40" customFormat="1" ht="13" x14ac:dyDescent="0.3">
      <c r="A1451" s="101"/>
      <c r="F1451" s="485">
        <f t="shared" si="863"/>
        <v>1400</v>
      </c>
      <c r="G1451" s="485">
        <f>Infrastructure!D115</f>
        <v>1400</v>
      </c>
      <c r="I1451" s="40">
        <v>46</v>
      </c>
      <c r="J1451" s="977">
        <f t="shared" si="874"/>
        <v>0</v>
      </c>
      <c r="K1451" s="977">
        <f t="shared" si="873"/>
        <v>0</v>
      </c>
      <c r="L1451" s="977">
        <f t="shared" si="873"/>
        <v>0</v>
      </c>
      <c r="M1451" s="977">
        <f t="shared" si="873"/>
        <v>0</v>
      </c>
      <c r="N1451" s="977">
        <f t="shared" si="873"/>
        <v>0</v>
      </c>
      <c r="O1451" s="977">
        <f t="shared" si="873"/>
        <v>0</v>
      </c>
      <c r="P1451" s="977">
        <f t="shared" si="873"/>
        <v>0</v>
      </c>
      <c r="Q1451" s="977">
        <f t="shared" si="873"/>
        <v>0</v>
      </c>
      <c r="R1451" s="977">
        <f t="shared" si="873"/>
        <v>0</v>
      </c>
      <c r="S1451" s="977">
        <f t="shared" si="873"/>
        <v>0</v>
      </c>
      <c r="T1451" s="977">
        <f t="shared" si="873"/>
        <v>0</v>
      </c>
      <c r="U1451" s="977">
        <f t="shared" si="873"/>
        <v>0</v>
      </c>
      <c r="V1451" s="977">
        <f t="shared" si="873"/>
        <v>0</v>
      </c>
      <c r="W1451" s="977">
        <f t="shared" si="873"/>
        <v>0</v>
      </c>
      <c r="X1451" s="977">
        <f t="shared" si="873"/>
        <v>0</v>
      </c>
      <c r="Y1451" s="977">
        <f t="shared" si="873"/>
        <v>0</v>
      </c>
      <c r="Z1451" s="977">
        <f t="shared" si="873"/>
        <v>0</v>
      </c>
      <c r="AA1451" s="977">
        <f t="shared" si="873"/>
        <v>0</v>
      </c>
      <c r="AB1451" s="977">
        <f t="shared" si="873"/>
        <v>0</v>
      </c>
      <c r="AC1451" s="977">
        <f t="shared" si="873"/>
        <v>0</v>
      </c>
      <c r="AD1451" s="977">
        <f t="shared" si="873"/>
        <v>0</v>
      </c>
      <c r="AE1451" s="977">
        <f t="shared" si="873"/>
        <v>0</v>
      </c>
      <c r="AF1451" s="977">
        <f t="shared" si="873"/>
        <v>0</v>
      </c>
      <c r="AG1451" s="977">
        <f t="shared" si="873"/>
        <v>0</v>
      </c>
      <c r="AH1451" s="977">
        <f t="shared" si="873"/>
        <v>0</v>
      </c>
      <c r="AI1451" s="84"/>
      <c r="AJ1451" s="84"/>
      <c r="AK1451" s="84"/>
      <c r="AL1451" s="84"/>
      <c r="AM1451" s="84"/>
      <c r="AN1451" s="84"/>
      <c r="AO1451" s="84"/>
      <c r="AP1451" s="84"/>
      <c r="AQ1451" s="84"/>
      <c r="AR1451" s="84"/>
      <c r="AS1451" s="84"/>
      <c r="AT1451" s="84"/>
      <c r="AU1451" s="84"/>
      <c r="AV1451" s="84"/>
      <c r="AW1451" s="84"/>
      <c r="AX1451" s="84"/>
      <c r="AY1451" s="84"/>
      <c r="AZ1451" s="84"/>
      <c r="BA1451" s="84"/>
      <c r="BB1451" s="84"/>
      <c r="BC1451" s="84"/>
      <c r="BD1451" s="84"/>
      <c r="BE1451" s="84"/>
      <c r="BF1451" s="84"/>
      <c r="BG1451" s="84"/>
      <c r="BH1451" s="84"/>
      <c r="BI1451" s="84"/>
      <c r="BJ1451" s="84"/>
      <c r="BK1451" s="84"/>
      <c r="BL1451" s="84"/>
      <c r="BM1451" s="84"/>
      <c r="BN1451" s="84"/>
      <c r="BO1451" s="84"/>
      <c r="BP1451" s="84"/>
      <c r="BQ1451" s="84"/>
      <c r="BR1451" s="84"/>
      <c r="BS1451" s="84"/>
      <c r="BT1451" s="84"/>
      <c r="BU1451" s="84"/>
      <c r="BV1451" s="84"/>
      <c r="BW1451" s="84"/>
      <c r="BX1451" s="84"/>
      <c r="BY1451" s="84"/>
      <c r="BZ1451" s="84"/>
      <c r="CA1451" s="84"/>
      <c r="CB1451" s="84"/>
      <c r="CC1451" s="84"/>
      <c r="CD1451" s="84"/>
      <c r="CE1451" s="84"/>
      <c r="CF1451" s="84"/>
      <c r="CG1451" s="84"/>
      <c r="CH1451" s="84"/>
      <c r="CI1451" s="84"/>
      <c r="CJ1451" s="84"/>
      <c r="CK1451" s="84"/>
      <c r="CL1451" s="84"/>
      <c r="CM1451" s="84"/>
      <c r="CN1451" s="84"/>
      <c r="CO1451" s="84"/>
      <c r="CP1451" s="84"/>
      <c r="CQ1451" s="101"/>
      <c r="CR1451" s="101"/>
      <c r="CS1451" s="101"/>
      <c r="CT1451" s="101"/>
      <c r="CU1451" s="101"/>
      <c r="CV1451" s="101"/>
      <c r="CW1451" s="101"/>
      <c r="CX1451" s="101"/>
      <c r="CY1451" s="101"/>
      <c r="CZ1451" s="101"/>
      <c r="DA1451" s="101"/>
      <c r="DB1451" s="101"/>
      <c r="DC1451" s="101"/>
      <c r="DD1451" s="101"/>
      <c r="DE1451" s="101"/>
      <c r="DF1451" s="101"/>
      <c r="DG1451" s="101"/>
      <c r="DH1451" s="101"/>
      <c r="DI1451" s="101"/>
      <c r="DJ1451" s="101"/>
      <c r="DK1451" s="101"/>
      <c r="DL1451" s="101"/>
      <c r="DM1451" s="101"/>
      <c r="DN1451" s="101"/>
      <c r="DO1451" s="101"/>
      <c r="DP1451" s="101"/>
      <c r="DQ1451" s="101"/>
    </row>
    <row r="1452" spans="1:121" s="40" customFormat="1" ht="13" x14ac:dyDescent="0.3">
      <c r="A1452" s="101"/>
      <c r="F1452" s="485">
        <f t="shared" si="863"/>
        <v>1430</v>
      </c>
      <c r="G1452" s="485">
        <f>Infrastructure!D116</f>
        <v>1430</v>
      </c>
      <c r="I1452" s="40">
        <v>47</v>
      </c>
      <c r="J1452" s="977">
        <f t="shared" si="874"/>
        <v>0</v>
      </c>
      <c r="K1452" s="977">
        <f t="shared" si="873"/>
        <v>0</v>
      </c>
      <c r="L1452" s="977">
        <f t="shared" si="873"/>
        <v>0</v>
      </c>
      <c r="M1452" s="977">
        <f t="shared" si="873"/>
        <v>0</v>
      </c>
      <c r="N1452" s="977">
        <f t="shared" si="873"/>
        <v>0</v>
      </c>
      <c r="O1452" s="977">
        <f t="shared" si="873"/>
        <v>0</v>
      </c>
      <c r="P1452" s="977">
        <f t="shared" si="873"/>
        <v>0</v>
      </c>
      <c r="Q1452" s="977">
        <f t="shared" si="873"/>
        <v>0</v>
      </c>
      <c r="R1452" s="977">
        <f t="shared" si="873"/>
        <v>0</v>
      </c>
      <c r="S1452" s="977">
        <f t="shared" si="873"/>
        <v>0</v>
      </c>
      <c r="T1452" s="977">
        <f t="shared" si="873"/>
        <v>0</v>
      </c>
      <c r="U1452" s="977">
        <f t="shared" si="873"/>
        <v>0</v>
      </c>
      <c r="V1452" s="977">
        <f t="shared" si="873"/>
        <v>0</v>
      </c>
      <c r="W1452" s="977">
        <f t="shared" si="873"/>
        <v>0</v>
      </c>
      <c r="X1452" s="977">
        <f t="shared" si="873"/>
        <v>0</v>
      </c>
      <c r="Y1452" s="977">
        <f t="shared" si="873"/>
        <v>0</v>
      </c>
      <c r="Z1452" s="977">
        <f t="shared" si="873"/>
        <v>0</v>
      </c>
      <c r="AA1452" s="977">
        <f t="shared" si="873"/>
        <v>0</v>
      </c>
      <c r="AB1452" s="977">
        <f t="shared" si="873"/>
        <v>0</v>
      </c>
      <c r="AC1452" s="977">
        <f t="shared" si="873"/>
        <v>0</v>
      </c>
      <c r="AD1452" s="977">
        <f t="shared" si="873"/>
        <v>0</v>
      </c>
      <c r="AE1452" s="977">
        <f t="shared" si="873"/>
        <v>0</v>
      </c>
      <c r="AF1452" s="977">
        <f t="shared" si="873"/>
        <v>0</v>
      </c>
      <c r="AG1452" s="977">
        <f t="shared" si="873"/>
        <v>0</v>
      </c>
      <c r="AH1452" s="977">
        <f t="shared" si="873"/>
        <v>0</v>
      </c>
      <c r="AI1452" s="84"/>
      <c r="AJ1452" s="84"/>
      <c r="AK1452" s="84"/>
      <c r="AL1452" s="84"/>
      <c r="AM1452" s="84"/>
      <c r="AN1452" s="84"/>
      <c r="AO1452" s="84"/>
      <c r="AP1452" s="84"/>
      <c r="AQ1452" s="84"/>
      <c r="AR1452" s="84"/>
      <c r="AS1452" s="84"/>
      <c r="AT1452" s="84"/>
      <c r="AU1452" s="84"/>
      <c r="AV1452" s="84"/>
      <c r="AW1452" s="84"/>
      <c r="AX1452" s="84"/>
      <c r="AY1452" s="84"/>
      <c r="AZ1452" s="84"/>
      <c r="BA1452" s="84"/>
      <c r="BB1452" s="84"/>
      <c r="BC1452" s="84"/>
      <c r="BD1452" s="84"/>
      <c r="BE1452" s="84"/>
      <c r="BF1452" s="84"/>
      <c r="BG1452" s="84"/>
      <c r="BH1452" s="84"/>
      <c r="BI1452" s="84"/>
      <c r="BJ1452" s="84"/>
      <c r="BK1452" s="84"/>
      <c r="BL1452" s="84"/>
      <c r="BM1452" s="84"/>
      <c r="BN1452" s="84"/>
      <c r="BO1452" s="84"/>
      <c r="BP1452" s="84"/>
      <c r="BQ1452" s="84"/>
      <c r="BR1452" s="84"/>
      <c r="BS1452" s="84"/>
      <c r="BT1452" s="84"/>
      <c r="BU1452" s="84"/>
      <c r="BV1452" s="84"/>
      <c r="BW1452" s="84"/>
      <c r="BX1452" s="84"/>
      <c r="BY1452" s="84"/>
      <c r="BZ1452" s="84"/>
      <c r="CA1452" s="84"/>
      <c r="CB1452" s="84"/>
      <c r="CC1452" s="84"/>
      <c r="CD1452" s="84"/>
      <c r="CE1452" s="84"/>
      <c r="CF1452" s="84"/>
      <c r="CG1452" s="84"/>
      <c r="CH1452" s="84"/>
      <c r="CI1452" s="84"/>
      <c r="CJ1452" s="84"/>
      <c r="CK1452" s="84"/>
      <c r="CL1452" s="84"/>
      <c r="CM1452" s="84"/>
      <c r="CN1452" s="84"/>
      <c r="CO1452" s="84"/>
      <c r="CP1452" s="84"/>
      <c r="CQ1452" s="101"/>
      <c r="CR1452" s="101"/>
      <c r="CS1452" s="101"/>
      <c r="CT1452" s="101"/>
      <c r="CU1452" s="101"/>
      <c r="CV1452" s="101"/>
      <c r="CW1452" s="101"/>
      <c r="CX1452" s="101"/>
      <c r="CY1452" s="101"/>
      <c r="CZ1452" s="101"/>
      <c r="DA1452" s="101"/>
      <c r="DB1452" s="101"/>
      <c r="DC1452" s="101"/>
      <c r="DD1452" s="101"/>
      <c r="DE1452" s="101"/>
      <c r="DF1452" s="101"/>
      <c r="DG1452" s="101"/>
      <c r="DH1452" s="101"/>
      <c r="DI1452" s="101"/>
      <c r="DJ1452" s="101"/>
      <c r="DK1452" s="101"/>
      <c r="DL1452" s="101"/>
      <c r="DM1452" s="101"/>
      <c r="DN1452" s="101"/>
      <c r="DO1452" s="101"/>
      <c r="DP1452" s="101"/>
      <c r="DQ1452" s="101"/>
    </row>
    <row r="1453" spans="1:121" s="40" customFormat="1" ht="13" x14ac:dyDescent="0.3">
      <c r="A1453" s="101"/>
      <c r="F1453" s="485">
        <f t="shared" si="863"/>
        <v>1461</v>
      </c>
      <c r="G1453" s="485">
        <f>Infrastructure!D117</f>
        <v>1461</v>
      </c>
      <c r="I1453" s="40">
        <v>48</v>
      </c>
      <c r="J1453" s="977">
        <f t="shared" si="874"/>
        <v>0</v>
      </c>
      <c r="K1453" s="977">
        <f t="shared" si="873"/>
        <v>0</v>
      </c>
      <c r="L1453" s="977">
        <f t="shared" si="873"/>
        <v>0</v>
      </c>
      <c r="M1453" s="977">
        <f t="shared" si="873"/>
        <v>0</v>
      </c>
      <c r="N1453" s="977">
        <f t="shared" si="873"/>
        <v>0</v>
      </c>
      <c r="O1453" s="977">
        <f t="shared" si="873"/>
        <v>0</v>
      </c>
      <c r="P1453" s="977">
        <f t="shared" si="873"/>
        <v>0</v>
      </c>
      <c r="Q1453" s="977">
        <f t="shared" si="873"/>
        <v>0</v>
      </c>
      <c r="R1453" s="977">
        <f t="shared" si="873"/>
        <v>0</v>
      </c>
      <c r="S1453" s="977">
        <f t="shared" si="873"/>
        <v>0</v>
      </c>
      <c r="T1453" s="977">
        <f t="shared" si="873"/>
        <v>0</v>
      </c>
      <c r="U1453" s="977">
        <f t="shared" si="873"/>
        <v>0</v>
      </c>
      <c r="V1453" s="977">
        <f t="shared" si="873"/>
        <v>0</v>
      </c>
      <c r="W1453" s="977">
        <f t="shared" si="873"/>
        <v>0</v>
      </c>
      <c r="X1453" s="977">
        <f t="shared" si="873"/>
        <v>0</v>
      </c>
      <c r="Y1453" s="977">
        <f t="shared" si="873"/>
        <v>0</v>
      </c>
      <c r="Z1453" s="977">
        <f t="shared" ref="Z1453" si="875">Z1452</f>
        <v>0</v>
      </c>
      <c r="AA1453" s="977">
        <f t="shared" ref="AA1453" si="876">AA1452</f>
        <v>0</v>
      </c>
      <c r="AB1453" s="977">
        <f t="shared" ref="AB1453" si="877">AB1452</f>
        <v>0</v>
      </c>
      <c r="AC1453" s="977">
        <f t="shared" ref="AC1453" si="878">AC1452</f>
        <v>0</v>
      </c>
      <c r="AD1453" s="977">
        <f t="shared" ref="AD1453" si="879">AD1452</f>
        <v>0</v>
      </c>
      <c r="AE1453" s="977">
        <f t="shared" ref="AE1453" si="880">AE1452</f>
        <v>0</v>
      </c>
      <c r="AF1453" s="977">
        <f t="shared" ref="AF1453" si="881">AF1452</f>
        <v>0</v>
      </c>
      <c r="AG1453" s="977">
        <f t="shared" ref="AG1453" si="882">AG1452</f>
        <v>0</v>
      </c>
      <c r="AH1453" s="977">
        <f t="shared" ref="AH1453" si="883">AH1452</f>
        <v>0</v>
      </c>
      <c r="AI1453" s="84"/>
      <c r="AJ1453" s="84"/>
      <c r="AK1453" s="84"/>
      <c r="AL1453" s="84"/>
      <c r="AM1453" s="84"/>
      <c r="AN1453" s="84"/>
      <c r="AO1453" s="84"/>
      <c r="AP1453" s="84"/>
      <c r="AQ1453" s="84"/>
      <c r="AR1453" s="84"/>
      <c r="AS1453" s="84"/>
      <c r="AT1453" s="84"/>
      <c r="AU1453" s="84"/>
      <c r="AV1453" s="84"/>
      <c r="AW1453" s="84"/>
      <c r="AX1453" s="84"/>
      <c r="AY1453" s="84"/>
      <c r="AZ1453" s="84"/>
      <c r="BA1453" s="84"/>
      <c r="BB1453" s="84"/>
      <c r="BC1453" s="84"/>
      <c r="BD1453" s="84"/>
      <c r="BE1453" s="84"/>
      <c r="BF1453" s="84"/>
      <c r="BG1453" s="84"/>
      <c r="BH1453" s="84"/>
      <c r="BI1453" s="84"/>
      <c r="BJ1453" s="84"/>
      <c r="BK1453" s="84"/>
      <c r="BL1453" s="84"/>
      <c r="BM1453" s="84"/>
      <c r="BN1453" s="84"/>
      <c r="BO1453" s="84"/>
      <c r="BP1453" s="84"/>
      <c r="BQ1453" s="84"/>
      <c r="BR1453" s="84"/>
      <c r="BS1453" s="84"/>
      <c r="BT1453" s="84"/>
      <c r="BU1453" s="84"/>
      <c r="BV1453" s="84"/>
      <c r="BW1453" s="84"/>
      <c r="BX1453" s="84"/>
      <c r="BY1453" s="84"/>
      <c r="BZ1453" s="84"/>
      <c r="CA1453" s="84"/>
      <c r="CB1453" s="84"/>
      <c r="CC1453" s="84"/>
      <c r="CD1453" s="84"/>
      <c r="CE1453" s="84"/>
      <c r="CF1453" s="84"/>
      <c r="CG1453" s="84"/>
      <c r="CH1453" s="84"/>
      <c r="CI1453" s="84"/>
      <c r="CJ1453" s="84"/>
      <c r="CK1453" s="84"/>
      <c r="CL1453" s="84"/>
      <c r="CM1453" s="84"/>
      <c r="CN1453" s="84"/>
      <c r="CO1453" s="84"/>
      <c r="CP1453" s="84"/>
      <c r="CQ1453" s="101"/>
      <c r="CR1453" s="101"/>
      <c r="CS1453" s="101"/>
      <c r="CT1453" s="101"/>
      <c r="CU1453" s="101"/>
      <c r="CV1453" s="101"/>
      <c r="CW1453" s="101"/>
      <c r="CX1453" s="101"/>
      <c r="CY1453" s="101"/>
      <c r="CZ1453" s="101"/>
      <c r="DA1453" s="101"/>
      <c r="DB1453" s="101"/>
      <c r="DC1453" s="101"/>
      <c r="DD1453" s="101"/>
      <c r="DE1453" s="101"/>
      <c r="DF1453" s="101"/>
      <c r="DG1453" s="101"/>
      <c r="DH1453" s="101"/>
      <c r="DI1453" s="101"/>
      <c r="DJ1453" s="101"/>
      <c r="DK1453" s="101"/>
      <c r="DL1453" s="101"/>
      <c r="DM1453" s="101"/>
      <c r="DN1453" s="101"/>
      <c r="DO1453" s="101"/>
      <c r="DP1453" s="101"/>
      <c r="DQ1453" s="101"/>
    </row>
    <row r="1454" spans="1:121" s="40" customFormat="1" ht="13" x14ac:dyDescent="0.3">
      <c r="A1454" s="101"/>
      <c r="F1454" s="485">
        <f t="shared" si="863"/>
        <v>1492</v>
      </c>
      <c r="G1454" s="485">
        <f>Infrastructure!D118</f>
        <v>1492</v>
      </c>
      <c r="I1454" s="40">
        <v>49</v>
      </c>
      <c r="J1454" s="977">
        <f>Input!D68</f>
        <v>0</v>
      </c>
      <c r="K1454" s="977">
        <f>Input!E68</f>
        <v>0</v>
      </c>
      <c r="L1454" s="977">
        <f>Input!F68</f>
        <v>0</v>
      </c>
      <c r="M1454" s="977">
        <f>Input!G68</f>
        <v>0</v>
      </c>
      <c r="N1454" s="977">
        <f>Input!H68</f>
        <v>0</v>
      </c>
      <c r="O1454" s="977">
        <f>Input!I68</f>
        <v>0</v>
      </c>
      <c r="P1454" s="977">
        <f>Input!J68</f>
        <v>0</v>
      </c>
      <c r="Q1454" s="977">
        <f>Input!K68</f>
        <v>0</v>
      </c>
      <c r="R1454" s="977">
        <f>Input!L68</f>
        <v>0</v>
      </c>
      <c r="S1454" s="977">
        <f>Input!M68</f>
        <v>0</v>
      </c>
      <c r="T1454" s="977">
        <f>Input!N68</f>
        <v>0</v>
      </c>
      <c r="U1454" s="977">
        <f>Input!O68</f>
        <v>0</v>
      </c>
      <c r="V1454" s="977">
        <f>Input!P68</f>
        <v>0</v>
      </c>
      <c r="W1454" s="977">
        <f>Input!Q68</f>
        <v>0</v>
      </c>
      <c r="X1454" s="977">
        <f>Input!R68</f>
        <v>0</v>
      </c>
      <c r="Y1454" s="977">
        <f>Input!S68</f>
        <v>0</v>
      </c>
      <c r="Z1454" s="977">
        <f>Input!T68</f>
        <v>0</v>
      </c>
      <c r="AA1454" s="977">
        <f>Input!U68</f>
        <v>0</v>
      </c>
      <c r="AB1454" s="977">
        <f>Input!V68</f>
        <v>0</v>
      </c>
      <c r="AC1454" s="977">
        <f>Input!W68</f>
        <v>0</v>
      </c>
      <c r="AD1454" s="977">
        <f>Input!X68</f>
        <v>0</v>
      </c>
      <c r="AE1454" s="977">
        <f>Input!Y68</f>
        <v>0</v>
      </c>
      <c r="AF1454" s="977">
        <f>Input!Z68</f>
        <v>0</v>
      </c>
      <c r="AG1454" s="977">
        <f>Input!AA68</f>
        <v>0</v>
      </c>
      <c r="AH1454" s="977">
        <f>Input!AB68</f>
        <v>0</v>
      </c>
      <c r="AI1454" s="84"/>
      <c r="AJ1454" s="84"/>
      <c r="AK1454" s="84"/>
      <c r="AL1454" s="84"/>
      <c r="AM1454" s="84"/>
      <c r="AN1454" s="84"/>
      <c r="AO1454" s="84"/>
      <c r="AP1454" s="84"/>
      <c r="AQ1454" s="84"/>
      <c r="AR1454" s="84"/>
      <c r="AS1454" s="84"/>
      <c r="AT1454" s="84"/>
      <c r="AU1454" s="84"/>
      <c r="AV1454" s="84"/>
      <c r="AW1454" s="84"/>
      <c r="AX1454" s="84"/>
      <c r="AY1454" s="84"/>
      <c r="AZ1454" s="84"/>
      <c r="BA1454" s="84"/>
      <c r="BB1454" s="84"/>
      <c r="BC1454" s="84"/>
      <c r="BD1454" s="84"/>
      <c r="BE1454" s="84"/>
      <c r="BF1454" s="84"/>
      <c r="BG1454" s="84"/>
      <c r="BH1454" s="84"/>
      <c r="BI1454" s="84"/>
      <c r="BJ1454" s="84"/>
      <c r="BK1454" s="84"/>
      <c r="BL1454" s="84"/>
      <c r="BM1454" s="84"/>
      <c r="BN1454" s="84"/>
      <c r="BO1454" s="84"/>
      <c r="BP1454" s="84"/>
      <c r="BQ1454" s="84"/>
      <c r="BR1454" s="84"/>
      <c r="BS1454" s="84"/>
      <c r="BT1454" s="84"/>
      <c r="BU1454" s="84"/>
      <c r="BV1454" s="84"/>
      <c r="BW1454" s="84"/>
      <c r="BX1454" s="84"/>
      <c r="BY1454" s="84"/>
      <c r="BZ1454" s="84"/>
      <c r="CA1454" s="84"/>
      <c r="CB1454" s="84"/>
      <c r="CC1454" s="84"/>
      <c r="CD1454" s="84"/>
      <c r="CE1454" s="84"/>
      <c r="CF1454" s="84"/>
      <c r="CG1454" s="84"/>
      <c r="CH1454" s="84"/>
      <c r="CI1454" s="84"/>
      <c r="CJ1454" s="84"/>
      <c r="CK1454" s="84"/>
      <c r="CL1454" s="84"/>
      <c r="CM1454" s="84"/>
      <c r="CN1454" s="84"/>
      <c r="CO1454" s="84"/>
      <c r="CP1454" s="84"/>
      <c r="CQ1454" s="101"/>
      <c r="CR1454" s="101"/>
      <c r="CS1454" s="101"/>
      <c r="CT1454" s="101"/>
      <c r="CU1454" s="101"/>
      <c r="CV1454" s="101"/>
      <c r="CW1454" s="101"/>
      <c r="CX1454" s="101"/>
      <c r="CY1454" s="101"/>
      <c r="CZ1454" s="101"/>
      <c r="DA1454" s="101"/>
      <c r="DB1454" s="101"/>
      <c r="DC1454" s="101"/>
      <c r="DD1454" s="101"/>
      <c r="DE1454" s="101"/>
      <c r="DF1454" s="101"/>
      <c r="DG1454" s="101"/>
      <c r="DH1454" s="101"/>
      <c r="DI1454" s="101"/>
      <c r="DJ1454" s="101"/>
      <c r="DK1454" s="101"/>
      <c r="DL1454" s="101"/>
      <c r="DM1454" s="101"/>
      <c r="DN1454" s="101"/>
      <c r="DO1454" s="101"/>
      <c r="DP1454" s="101"/>
      <c r="DQ1454" s="101"/>
    </row>
    <row r="1455" spans="1:121" s="40" customFormat="1" ht="13" x14ac:dyDescent="0.3">
      <c r="A1455" s="101"/>
      <c r="F1455" s="485">
        <f t="shared" si="863"/>
        <v>1521</v>
      </c>
      <c r="G1455" s="485">
        <f>Infrastructure!D119</f>
        <v>1521</v>
      </c>
      <c r="I1455" s="40">
        <v>50</v>
      </c>
      <c r="J1455" s="977">
        <f>J1454</f>
        <v>0</v>
      </c>
      <c r="K1455" s="977">
        <f t="shared" ref="K1455:AH1465" si="884">K1454</f>
        <v>0</v>
      </c>
      <c r="L1455" s="977">
        <f t="shared" si="884"/>
        <v>0</v>
      </c>
      <c r="M1455" s="977">
        <f t="shared" si="884"/>
        <v>0</v>
      </c>
      <c r="N1455" s="977">
        <f t="shared" si="884"/>
        <v>0</v>
      </c>
      <c r="O1455" s="977">
        <f t="shared" si="884"/>
        <v>0</v>
      </c>
      <c r="P1455" s="977">
        <f t="shared" si="884"/>
        <v>0</v>
      </c>
      <c r="Q1455" s="977">
        <f t="shared" si="884"/>
        <v>0</v>
      </c>
      <c r="R1455" s="977">
        <f t="shared" si="884"/>
        <v>0</v>
      </c>
      <c r="S1455" s="977">
        <f t="shared" si="884"/>
        <v>0</v>
      </c>
      <c r="T1455" s="977">
        <f t="shared" si="884"/>
        <v>0</v>
      </c>
      <c r="U1455" s="977">
        <f t="shared" si="884"/>
        <v>0</v>
      </c>
      <c r="V1455" s="977">
        <f t="shared" si="884"/>
        <v>0</v>
      </c>
      <c r="W1455" s="977">
        <f t="shared" si="884"/>
        <v>0</v>
      </c>
      <c r="X1455" s="977">
        <f t="shared" si="884"/>
        <v>0</v>
      </c>
      <c r="Y1455" s="977">
        <f t="shared" si="884"/>
        <v>0</v>
      </c>
      <c r="Z1455" s="977">
        <f t="shared" si="884"/>
        <v>0</v>
      </c>
      <c r="AA1455" s="977">
        <f t="shared" si="884"/>
        <v>0</v>
      </c>
      <c r="AB1455" s="977">
        <f t="shared" si="884"/>
        <v>0</v>
      </c>
      <c r="AC1455" s="977">
        <f t="shared" si="884"/>
        <v>0</v>
      </c>
      <c r="AD1455" s="977">
        <f t="shared" si="884"/>
        <v>0</v>
      </c>
      <c r="AE1455" s="977">
        <f t="shared" si="884"/>
        <v>0</v>
      </c>
      <c r="AF1455" s="977">
        <f t="shared" si="884"/>
        <v>0</v>
      </c>
      <c r="AG1455" s="977">
        <f t="shared" si="884"/>
        <v>0</v>
      </c>
      <c r="AH1455" s="977">
        <f t="shared" si="884"/>
        <v>0</v>
      </c>
      <c r="AI1455" s="84"/>
      <c r="AJ1455" s="84"/>
      <c r="AK1455" s="84"/>
      <c r="AL1455" s="84"/>
      <c r="AM1455" s="84"/>
      <c r="AN1455" s="84"/>
      <c r="AO1455" s="84"/>
      <c r="AP1455" s="84"/>
      <c r="AQ1455" s="84"/>
      <c r="AR1455" s="84"/>
      <c r="AS1455" s="84"/>
      <c r="AT1455" s="84"/>
      <c r="AU1455" s="84"/>
      <c r="AV1455" s="84"/>
      <c r="AW1455" s="84"/>
      <c r="AX1455" s="84"/>
      <c r="AY1455" s="84"/>
      <c r="AZ1455" s="84"/>
      <c r="BA1455" s="84"/>
      <c r="BB1455" s="84"/>
      <c r="BC1455" s="84"/>
      <c r="BD1455" s="84"/>
      <c r="BE1455" s="84"/>
      <c r="BF1455" s="84"/>
      <c r="BG1455" s="84"/>
      <c r="BH1455" s="84"/>
      <c r="BI1455" s="84"/>
      <c r="BJ1455" s="84"/>
      <c r="BK1455" s="84"/>
      <c r="BL1455" s="84"/>
      <c r="BM1455" s="84"/>
      <c r="BN1455" s="84"/>
      <c r="BO1455" s="84"/>
      <c r="BP1455" s="84"/>
      <c r="BQ1455" s="84"/>
      <c r="BR1455" s="84"/>
      <c r="BS1455" s="84"/>
      <c r="BT1455" s="84"/>
      <c r="BU1455" s="84"/>
      <c r="BV1455" s="84"/>
      <c r="BW1455" s="84"/>
      <c r="BX1455" s="84"/>
      <c r="BY1455" s="84"/>
      <c r="BZ1455" s="84"/>
      <c r="CA1455" s="84"/>
      <c r="CB1455" s="84"/>
      <c r="CC1455" s="84"/>
      <c r="CD1455" s="84"/>
      <c r="CE1455" s="84"/>
      <c r="CF1455" s="84"/>
      <c r="CG1455" s="84"/>
      <c r="CH1455" s="84"/>
      <c r="CI1455" s="84"/>
      <c r="CJ1455" s="84"/>
      <c r="CK1455" s="84"/>
      <c r="CL1455" s="84"/>
      <c r="CM1455" s="84"/>
      <c r="CN1455" s="84"/>
      <c r="CO1455" s="84"/>
      <c r="CP1455" s="84"/>
      <c r="CQ1455" s="101"/>
      <c r="CR1455" s="101"/>
      <c r="CS1455" s="101"/>
      <c r="CT1455" s="101"/>
      <c r="CU1455" s="101"/>
      <c r="CV1455" s="101"/>
      <c r="CW1455" s="101"/>
      <c r="CX1455" s="101"/>
      <c r="CY1455" s="101"/>
      <c r="CZ1455" s="101"/>
      <c r="DA1455" s="101"/>
      <c r="DB1455" s="101"/>
      <c r="DC1455" s="101"/>
      <c r="DD1455" s="101"/>
      <c r="DE1455" s="101"/>
      <c r="DF1455" s="101"/>
      <c r="DG1455" s="101"/>
      <c r="DH1455" s="101"/>
      <c r="DI1455" s="101"/>
      <c r="DJ1455" s="101"/>
      <c r="DK1455" s="101"/>
      <c r="DL1455" s="101"/>
      <c r="DM1455" s="101"/>
      <c r="DN1455" s="101"/>
      <c r="DO1455" s="101"/>
      <c r="DP1455" s="101"/>
      <c r="DQ1455" s="101"/>
    </row>
    <row r="1456" spans="1:121" s="40" customFormat="1" ht="13" x14ac:dyDescent="0.3">
      <c r="A1456" s="101"/>
      <c r="F1456" s="485">
        <f t="shared" si="863"/>
        <v>1552</v>
      </c>
      <c r="G1456" s="485">
        <f>Infrastructure!D120</f>
        <v>1552</v>
      </c>
      <c r="I1456" s="40">
        <v>51</v>
      </c>
      <c r="J1456" s="977">
        <f t="shared" ref="J1456:J1465" si="885">J1455</f>
        <v>0</v>
      </c>
      <c r="K1456" s="977">
        <f t="shared" si="884"/>
        <v>0</v>
      </c>
      <c r="L1456" s="977">
        <f t="shared" si="884"/>
        <v>0</v>
      </c>
      <c r="M1456" s="977">
        <f t="shared" si="884"/>
        <v>0</v>
      </c>
      <c r="N1456" s="977">
        <f t="shared" si="884"/>
        <v>0</v>
      </c>
      <c r="O1456" s="977">
        <f t="shared" si="884"/>
        <v>0</v>
      </c>
      <c r="P1456" s="977">
        <f t="shared" si="884"/>
        <v>0</v>
      </c>
      <c r="Q1456" s="977">
        <f t="shared" si="884"/>
        <v>0</v>
      </c>
      <c r="R1456" s="977">
        <f t="shared" si="884"/>
        <v>0</v>
      </c>
      <c r="S1456" s="977">
        <f t="shared" si="884"/>
        <v>0</v>
      </c>
      <c r="T1456" s="977">
        <f t="shared" si="884"/>
        <v>0</v>
      </c>
      <c r="U1456" s="977">
        <f t="shared" si="884"/>
        <v>0</v>
      </c>
      <c r="V1456" s="977">
        <f t="shared" si="884"/>
        <v>0</v>
      </c>
      <c r="W1456" s="977">
        <f t="shared" si="884"/>
        <v>0</v>
      </c>
      <c r="X1456" s="977">
        <f t="shared" si="884"/>
        <v>0</v>
      </c>
      <c r="Y1456" s="977">
        <f t="shared" si="884"/>
        <v>0</v>
      </c>
      <c r="Z1456" s="977">
        <f t="shared" si="884"/>
        <v>0</v>
      </c>
      <c r="AA1456" s="977">
        <f t="shared" si="884"/>
        <v>0</v>
      </c>
      <c r="AB1456" s="977">
        <f t="shared" si="884"/>
        <v>0</v>
      </c>
      <c r="AC1456" s="977">
        <f t="shared" si="884"/>
        <v>0</v>
      </c>
      <c r="AD1456" s="977">
        <f t="shared" si="884"/>
        <v>0</v>
      </c>
      <c r="AE1456" s="977">
        <f t="shared" si="884"/>
        <v>0</v>
      </c>
      <c r="AF1456" s="977">
        <f t="shared" si="884"/>
        <v>0</v>
      </c>
      <c r="AG1456" s="977">
        <f t="shared" si="884"/>
        <v>0</v>
      </c>
      <c r="AH1456" s="977">
        <f t="shared" si="884"/>
        <v>0</v>
      </c>
      <c r="AI1456" s="84"/>
      <c r="AJ1456" s="84"/>
      <c r="AK1456" s="84"/>
      <c r="AL1456" s="84"/>
      <c r="AM1456" s="84"/>
      <c r="AN1456" s="84"/>
      <c r="AO1456" s="84"/>
      <c r="AP1456" s="84"/>
      <c r="AQ1456" s="84"/>
      <c r="AR1456" s="84"/>
      <c r="AS1456" s="84"/>
      <c r="AT1456" s="84"/>
      <c r="AU1456" s="84"/>
      <c r="AV1456" s="84"/>
      <c r="AW1456" s="84"/>
      <c r="AX1456" s="84"/>
      <c r="AY1456" s="84"/>
      <c r="AZ1456" s="84"/>
      <c r="BA1456" s="84"/>
      <c r="BB1456" s="84"/>
      <c r="BC1456" s="84"/>
      <c r="BD1456" s="84"/>
      <c r="BE1456" s="84"/>
      <c r="BF1456" s="84"/>
      <c r="BG1456" s="84"/>
      <c r="BH1456" s="84"/>
      <c r="BI1456" s="84"/>
      <c r="BJ1456" s="84"/>
      <c r="BK1456" s="84"/>
      <c r="BL1456" s="84"/>
      <c r="BM1456" s="84"/>
      <c r="BN1456" s="84"/>
      <c r="BO1456" s="84"/>
      <c r="BP1456" s="84"/>
      <c r="BQ1456" s="84"/>
      <c r="BR1456" s="84"/>
      <c r="BS1456" s="84"/>
      <c r="BT1456" s="84"/>
      <c r="BU1456" s="84"/>
      <c r="BV1456" s="84"/>
      <c r="BW1456" s="84"/>
      <c r="BX1456" s="84"/>
      <c r="BY1456" s="84"/>
      <c r="BZ1456" s="84"/>
      <c r="CA1456" s="84"/>
      <c r="CB1456" s="84"/>
      <c r="CC1456" s="84"/>
      <c r="CD1456" s="84"/>
      <c r="CE1456" s="84"/>
      <c r="CF1456" s="84"/>
      <c r="CG1456" s="84"/>
      <c r="CH1456" s="84"/>
      <c r="CI1456" s="84"/>
      <c r="CJ1456" s="84"/>
      <c r="CK1456" s="84"/>
      <c r="CL1456" s="84"/>
      <c r="CM1456" s="84"/>
      <c r="CN1456" s="84"/>
      <c r="CO1456" s="84"/>
      <c r="CP1456" s="84"/>
      <c r="CQ1456" s="101"/>
      <c r="CR1456" s="101"/>
      <c r="CS1456" s="101"/>
      <c r="CT1456" s="101"/>
      <c r="CU1456" s="101"/>
      <c r="CV1456" s="101"/>
      <c r="CW1456" s="101"/>
      <c r="CX1456" s="101"/>
      <c r="CY1456" s="101"/>
      <c r="CZ1456" s="101"/>
      <c r="DA1456" s="101"/>
      <c r="DB1456" s="101"/>
      <c r="DC1456" s="101"/>
      <c r="DD1456" s="101"/>
      <c r="DE1456" s="101"/>
      <c r="DF1456" s="101"/>
      <c r="DG1456" s="101"/>
      <c r="DH1456" s="101"/>
      <c r="DI1456" s="101"/>
      <c r="DJ1456" s="101"/>
      <c r="DK1456" s="101"/>
      <c r="DL1456" s="101"/>
      <c r="DM1456" s="101"/>
      <c r="DN1456" s="101"/>
      <c r="DO1456" s="101"/>
      <c r="DP1456" s="101"/>
      <c r="DQ1456" s="101"/>
    </row>
    <row r="1457" spans="1:121" s="40" customFormat="1" ht="13" x14ac:dyDescent="0.3">
      <c r="A1457" s="101"/>
      <c r="F1457" s="485">
        <f t="shared" si="863"/>
        <v>1582</v>
      </c>
      <c r="G1457" s="485">
        <f>Infrastructure!D121</f>
        <v>1582</v>
      </c>
      <c r="I1457" s="40">
        <v>52</v>
      </c>
      <c r="J1457" s="977">
        <f t="shared" si="885"/>
        <v>0</v>
      </c>
      <c r="K1457" s="977">
        <f t="shared" si="884"/>
        <v>0</v>
      </c>
      <c r="L1457" s="977">
        <f t="shared" si="884"/>
        <v>0</v>
      </c>
      <c r="M1457" s="977">
        <f t="shared" si="884"/>
        <v>0</v>
      </c>
      <c r="N1457" s="977">
        <f t="shared" si="884"/>
        <v>0</v>
      </c>
      <c r="O1457" s="977">
        <f t="shared" si="884"/>
        <v>0</v>
      </c>
      <c r="P1457" s="977">
        <f t="shared" si="884"/>
        <v>0</v>
      </c>
      <c r="Q1457" s="977">
        <f t="shared" si="884"/>
        <v>0</v>
      </c>
      <c r="R1457" s="977">
        <f t="shared" si="884"/>
        <v>0</v>
      </c>
      <c r="S1457" s="977">
        <f t="shared" si="884"/>
        <v>0</v>
      </c>
      <c r="T1457" s="977">
        <f t="shared" si="884"/>
        <v>0</v>
      </c>
      <c r="U1457" s="977">
        <f t="shared" si="884"/>
        <v>0</v>
      </c>
      <c r="V1457" s="977">
        <f t="shared" si="884"/>
        <v>0</v>
      </c>
      <c r="W1457" s="977">
        <f t="shared" si="884"/>
        <v>0</v>
      </c>
      <c r="X1457" s="977">
        <f t="shared" si="884"/>
        <v>0</v>
      </c>
      <c r="Y1457" s="977">
        <f t="shared" si="884"/>
        <v>0</v>
      </c>
      <c r="Z1457" s="977">
        <f t="shared" si="884"/>
        <v>0</v>
      </c>
      <c r="AA1457" s="977">
        <f t="shared" si="884"/>
        <v>0</v>
      </c>
      <c r="AB1457" s="977">
        <f t="shared" si="884"/>
        <v>0</v>
      </c>
      <c r="AC1457" s="977">
        <f t="shared" si="884"/>
        <v>0</v>
      </c>
      <c r="AD1457" s="977">
        <f t="shared" si="884"/>
        <v>0</v>
      </c>
      <c r="AE1457" s="977">
        <f t="shared" si="884"/>
        <v>0</v>
      </c>
      <c r="AF1457" s="977">
        <f t="shared" si="884"/>
        <v>0</v>
      </c>
      <c r="AG1457" s="977">
        <f t="shared" si="884"/>
        <v>0</v>
      </c>
      <c r="AH1457" s="977">
        <f t="shared" si="884"/>
        <v>0</v>
      </c>
      <c r="AI1457" s="84"/>
      <c r="AJ1457" s="84"/>
      <c r="AK1457" s="84"/>
      <c r="AL1457" s="84"/>
      <c r="AM1457" s="84"/>
      <c r="AN1457" s="84"/>
      <c r="AO1457" s="84"/>
      <c r="AP1457" s="84"/>
      <c r="AQ1457" s="84"/>
      <c r="AR1457" s="84"/>
      <c r="AS1457" s="84"/>
      <c r="AT1457" s="84"/>
      <c r="AU1457" s="84"/>
      <c r="AV1457" s="84"/>
      <c r="AW1457" s="84"/>
      <c r="AX1457" s="84"/>
      <c r="AY1457" s="84"/>
      <c r="AZ1457" s="84"/>
      <c r="BA1457" s="84"/>
      <c r="BB1457" s="84"/>
      <c r="BC1457" s="84"/>
      <c r="BD1457" s="84"/>
      <c r="BE1457" s="84"/>
      <c r="BF1457" s="84"/>
      <c r="BG1457" s="84"/>
      <c r="BH1457" s="84"/>
      <c r="BI1457" s="84"/>
      <c r="BJ1457" s="84"/>
      <c r="BK1457" s="84"/>
      <c r="BL1457" s="84"/>
      <c r="BM1457" s="84"/>
      <c r="BN1457" s="84"/>
      <c r="BO1457" s="84"/>
      <c r="BP1457" s="84"/>
      <c r="BQ1457" s="84"/>
      <c r="BR1457" s="84"/>
      <c r="BS1457" s="84"/>
      <c r="BT1457" s="84"/>
      <c r="BU1457" s="84"/>
      <c r="BV1457" s="84"/>
      <c r="BW1457" s="84"/>
      <c r="BX1457" s="84"/>
      <c r="BY1457" s="84"/>
      <c r="BZ1457" s="84"/>
      <c r="CA1457" s="84"/>
      <c r="CB1457" s="84"/>
      <c r="CC1457" s="84"/>
      <c r="CD1457" s="84"/>
      <c r="CE1457" s="84"/>
      <c r="CF1457" s="84"/>
      <c r="CG1457" s="84"/>
      <c r="CH1457" s="84"/>
      <c r="CI1457" s="84"/>
      <c r="CJ1457" s="84"/>
      <c r="CK1457" s="84"/>
      <c r="CL1457" s="84"/>
      <c r="CM1457" s="84"/>
      <c r="CN1457" s="84"/>
      <c r="CO1457" s="84"/>
      <c r="CP1457" s="84"/>
      <c r="CQ1457" s="101"/>
      <c r="CR1457" s="101"/>
      <c r="CS1457" s="101"/>
      <c r="CT1457" s="101"/>
      <c r="CU1457" s="101"/>
      <c r="CV1457" s="101"/>
      <c r="CW1457" s="101"/>
      <c r="CX1457" s="101"/>
      <c r="CY1457" s="101"/>
      <c r="CZ1457" s="101"/>
      <c r="DA1457" s="101"/>
      <c r="DB1457" s="101"/>
      <c r="DC1457" s="101"/>
      <c r="DD1457" s="101"/>
      <c r="DE1457" s="101"/>
      <c r="DF1457" s="101"/>
      <c r="DG1457" s="101"/>
      <c r="DH1457" s="101"/>
      <c r="DI1457" s="101"/>
      <c r="DJ1457" s="101"/>
      <c r="DK1457" s="101"/>
      <c r="DL1457" s="101"/>
      <c r="DM1457" s="101"/>
      <c r="DN1457" s="101"/>
      <c r="DO1457" s="101"/>
      <c r="DP1457" s="101"/>
      <c r="DQ1457" s="101"/>
    </row>
    <row r="1458" spans="1:121" s="40" customFormat="1" ht="13" x14ac:dyDescent="0.3">
      <c r="A1458" s="101"/>
      <c r="F1458" s="485">
        <f t="shared" si="863"/>
        <v>1613</v>
      </c>
      <c r="G1458" s="485">
        <f>Infrastructure!D122</f>
        <v>1613</v>
      </c>
      <c r="I1458" s="40">
        <v>53</v>
      </c>
      <c r="J1458" s="977">
        <f t="shared" si="885"/>
        <v>0</v>
      </c>
      <c r="K1458" s="977">
        <f t="shared" si="884"/>
        <v>0</v>
      </c>
      <c r="L1458" s="977">
        <f t="shared" si="884"/>
        <v>0</v>
      </c>
      <c r="M1458" s="977">
        <f t="shared" si="884"/>
        <v>0</v>
      </c>
      <c r="N1458" s="977">
        <f t="shared" si="884"/>
        <v>0</v>
      </c>
      <c r="O1458" s="977">
        <f t="shared" si="884"/>
        <v>0</v>
      </c>
      <c r="P1458" s="977">
        <f t="shared" si="884"/>
        <v>0</v>
      </c>
      <c r="Q1458" s="977">
        <f t="shared" si="884"/>
        <v>0</v>
      </c>
      <c r="R1458" s="977">
        <f t="shared" si="884"/>
        <v>0</v>
      </c>
      <c r="S1458" s="977">
        <f t="shared" si="884"/>
        <v>0</v>
      </c>
      <c r="T1458" s="977">
        <f t="shared" si="884"/>
        <v>0</v>
      </c>
      <c r="U1458" s="977">
        <f t="shared" si="884"/>
        <v>0</v>
      </c>
      <c r="V1458" s="977">
        <f t="shared" si="884"/>
        <v>0</v>
      </c>
      <c r="W1458" s="977">
        <f t="shared" si="884"/>
        <v>0</v>
      </c>
      <c r="X1458" s="977">
        <f t="shared" si="884"/>
        <v>0</v>
      </c>
      <c r="Y1458" s="977">
        <f t="shared" si="884"/>
        <v>0</v>
      </c>
      <c r="Z1458" s="977">
        <f t="shared" si="884"/>
        <v>0</v>
      </c>
      <c r="AA1458" s="977">
        <f t="shared" si="884"/>
        <v>0</v>
      </c>
      <c r="AB1458" s="977">
        <f t="shared" si="884"/>
        <v>0</v>
      </c>
      <c r="AC1458" s="977">
        <f t="shared" si="884"/>
        <v>0</v>
      </c>
      <c r="AD1458" s="977">
        <f t="shared" si="884"/>
        <v>0</v>
      </c>
      <c r="AE1458" s="977">
        <f t="shared" si="884"/>
        <v>0</v>
      </c>
      <c r="AF1458" s="977">
        <f t="shared" si="884"/>
        <v>0</v>
      </c>
      <c r="AG1458" s="977">
        <f t="shared" si="884"/>
        <v>0</v>
      </c>
      <c r="AH1458" s="977">
        <f t="shared" si="884"/>
        <v>0</v>
      </c>
      <c r="AI1458" s="84"/>
      <c r="AJ1458" s="84"/>
      <c r="AK1458" s="84"/>
      <c r="AL1458" s="84"/>
      <c r="AM1458" s="84"/>
      <c r="AN1458" s="84"/>
      <c r="AO1458" s="84"/>
      <c r="AP1458" s="84"/>
      <c r="AQ1458" s="84"/>
      <c r="AR1458" s="84"/>
      <c r="AS1458" s="84"/>
      <c r="AT1458" s="84"/>
      <c r="AU1458" s="84"/>
      <c r="AV1458" s="84"/>
      <c r="AW1458" s="84"/>
      <c r="AX1458" s="84"/>
      <c r="AY1458" s="84"/>
      <c r="AZ1458" s="84"/>
      <c r="BA1458" s="84"/>
      <c r="BB1458" s="84"/>
      <c r="BC1458" s="84"/>
      <c r="BD1458" s="84"/>
      <c r="BE1458" s="84"/>
      <c r="BF1458" s="84"/>
      <c r="BG1458" s="84"/>
      <c r="BH1458" s="84"/>
      <c r="BI1458" s="84"/>
      <c r="BJ1458" s="84"/>
      <c r="BK1458" s="84"/>
      <c r="BL1458" s="84"/>
      <c r="BM1458" s="84"/>
      <c r="BN1458" s="84"/>
      <c r="BO1458" s="84"/>
      <c r="BP1458" s="84"/>
      <c r="BQ1458" s="84"/>
      <c r="BR1458" s="84"/>
      <c r="BS1458" s="84"/>
      <c r="BT1458" s="84"/>
      <c r="BU1458" s="84"/>
      <c r="BV1458" s="84"/>
      <c r="BW1458" s="84"/>
      <c r="BX1458" s="84"/>
      <c r="BY1458" s="84"/>
      <c r="BZ1458" s="84"/>
      <c r="CA1458" s="84"/>
      <c r="CB1458" s="84"/>
      <c r="CC1458" s="84"/>
      <c r="CD1458" s="84"/>
      <c r="CE1458" s="84"/>
      <c r="CF1458" s="84"/>
      <c r="CG1458" s="84"/>
      <c r="CH1458" s="84"/>
      <c r="CI1458" s="84"/>
      <c r="CJ1458" s="84"/>
      <c r="CK1458" s="84"/>
      <c r="CL1458" s="84"/>
      <c r="CM1458" s="84"/>
      <c r="CN1458" s="84"/>
      <c r="CO1458" s="84"/>
      <c r="CP1458" s="84"/>
      <c r="CQ1458" s="101"/>
      <c r="CR1458" s="101"/>
      <c r="CS1458" s="101"/>
      <c r="CT1458" s="101"/>
      <c r="CU1458" s="101"/>
      <c r="CV1458" s="101"/>
      <c r="CW1458" s="101"/>
      <c r="CX1458" s="101"/>
      <c r="CY1458" s="101"/>
      <c r="CZ1458" s="101"/>
      <c r="DA1458" s="101"/>
      <c r="DB1458" s="101"/>
      <c r="DC1458" s="101"/>
      <c r="DD1458" s="101"/>
      <c r="DE1458" s="101"/>
      <c r="DF1458" s="101"/>
      <c r="DG1458" s="101"/>
      <c r="DH1458" s="101"/>
      <c r="DI1458" s="101"/>
      <c r="DJ1458" s="101"/>
      <c r="DK1458" s="101"/>
      <c r="DL1458" s="101"/>
      <c r="DM1458" s="101"/>
      <c r="DN1458" s="101"/>
      <c r="DO1458" s="101"/>
      <c r="DP1458" s="101"/>
      <c r="DQ1458" s="101"/>
    </row>
    <row r="1459" spans="1:121" s="40" customFormat="1" ht="13" x14ac:dyDescent="0.3">
      <c r="A1459" s="101"/>
      <c r="F1459" s="485">
        <f t="shared" si="863"/>
        <v>1643</v>
      </c>
      <c r="G1459" s="485">
        <f>Infrastructure!D123</f>
        <v>1643</v>
      </c>
      <c r="I1459" s="40">
        <v>54</v>
      </c>
      <c r="J1459" s="977">
        <f t="shared" si="885"/>
        <v>0</v>
      </c>
      <c r="K1459" s="977">
        <f t="shared" si="884"/>
        <v>0</v>
      </c>
      <c r="L1459" s="977">
        <f t="shared" si="884"/>
        <v>0</v>
      </c>
      <c r="M1459" s="977">
        <f t="shared" si="884"/>
        <v>0</v>
      </c>
      <c r="N1459" s="977">
        <f t="shared" si="884"/>
        <v>0</v>
      </c>
      <c r="O1459" s="977">
        <f t="shared" si="884"/>
        <v>0</v>
      </c>
      <c r="P1459" s="977">
        <f t="shared" si="884"/>
        <v>0</v>
      </c>
      <c r="Q1459" s="977">
        <f t="shared" si="884"/>
        <v>0</v>
      </c>
      <c r="R1459" s="977">
        <f t="shared" si="884"/>
        <v>0</v>
      </c>
      <c r="S1459" s="977">
        <f t="shared" si="884"/>
        <v>0</v>
      </c>
      <c r="T1459" s="977">
        <f t="shared" si="884"/>
        <v>0</v>
      </c>
      <c r="U1459" s="977">
        <f t="shared" si="884"/>
        <v>0</v>
      </c>
      <c r="V1459" s="977">
        <f t="shared" si="884"/>
        <v>0</v>
      </c>
      <c r="W1459" s="977">
        <f t="shared" si="884"/>
        <v>0</v>
      </c>
      <c r="X1459" s="977">
        <f t="shared" si="884"/>
        <v>0</v>
      </c>
      <c r="Y1459" s="977">
        <f t="shared" si="884"/>
        <v>0</v>
      </c>
      <c r="Z1459" s="977">
        <f t="shared" si="884"/>
        <v>0</v>
      </c>
      <c r="AA1459" s="977">
        <f t="shared" si="884"/>
        <v>0</v>
      </c>
      <c r="AB1459" s="977">
        <f t="shared" si="884"/>
        <v>0</v>
      </c>
      <c r="AC1459" s="977">
        <f t="shared" si="884"/>
        <v>0</v>
      </c>
      <c r="AD1459" s="977">
        <f t="shared" si="884"/>
        <v>0</v>
      </c>
      <c r="AE1459" s="977">
        <f t="shared" si="884"/>
        <v>0</v>
      </c>
      <c r="AF1459" s="977">
        <f t="shared" si="884"/>
        <v>0</v>
      </c>
      <c r="AG1459" s="977">
        <f t="shared" si="884"/>
        <v>0</v>
      </c>
      <c r="AH1459" s="977">
        <f t="shared" si="884"/>
        <v>0</v>
      </c>
      <c r="AI1459" s="84"/>
      <c r="AJ1459" s="84"/>
      <c r="AK1459" s="84"/>
      <c r="AL1459" s="84"/>
      <c r="AM1459" s="84"/>
      <c r="AN1459" s="84"/>
      <c r="AO1459" s="84"/>
      <c r="AP1459" s="84"/>
      <c r="AQ1459" s="84"/>
      <c r="AR1459" s="84"/>
      <c r="AS1459" s="84"/>
      <c r="AT1459" s="84"/>
      <c r="AU1459" s="84"/>
      <c r="AV1459" s="84"/>
      <c r="AW1459" s="84"/>
      <c r="AX1459" s="84"/>
      <c r="AY1459" s="84"/>
      <c r="AZ1459" s="84"/>
      <c r="BA1459" s="84"/>
      <c r="BB1459" s="84"/>
      <c r="BC1459" s="84"/>
      <c r="BD1459" s="84"/>
      <c r="BE1459" s="84"/>
      <c r="BF1459" s="84"/>
      <c r="BG1459" s="84"/>
      <c r="BH1459" s="84"/>
      <c r="BI1459" s="84"/>
      <c r="BJ1459" s="84"/>
      <c r="BK1459" s="84"/>
      <c r="BL1459" s="84"/>
      <c r="BM1459" s="84"/>
      <c r="BN1459" s="84"/>
      <c r="BO1459" s="84"/>
      <c r="BP1459" s="84"/>
      <c r="BQ1459" s="84"/>
      <c r="BR1459" s="84"/>
      <c r="BS1459" s="84"/>
      <c r="BT1459" s="84"/>
      <c r="BU1459" s="84"/>
      <c r="BV1459" s="84"/>
      <c r="BW1459" s="84"/>
      <c r="BX1459" s="84"/>
      <c r="BY1459" s="84"/>
      <c r="BZ1459" s="84"/>
      <c r="CA1459" s="84"/>
      <c r="CB1459" s="84"/>
      <c r="CC1459" s="84"/>
      <c r="CD1459" s="84"/>
      <c r="CE1459" s="84"/>
      <c r="CF1459" s="84"/>
      <c r="CG1459" s="84"/>
      <c r="CH1459" s="84"/>
      <c r="CI1459" s="84"/>
      <c r="CJ1459" s="84"/>
      <c r="CK1459" s="84"/>
      <c r="CL1459" s="84"/>
      <c r="CM1459" s="84"/>
      <c r="CN1459" s="84"/>
      <c r="CO1459" s="84"/>
      <c r="CP1459" s="84"/>
      <c r="CQ1459" s="101"/>
      <c r="CR1459" s="101"/>
      <c r="CS1459" s="101"/>
      <c r="CT1459" s="101"/>
      <c r="CU1459" s="101"/>
      <c r="CV1459" s="101"/>
      <c r="CW1459" s="101"/>
      <c r="CX1459" s="101"/>
      <c r="CY1459" s="101"/>
      <c r="CZ1459" s="101"/>
      <c r="DA1459" s="101"/>
      <c r="DB1459" s="101"/>
      <c r="DC1459" s="101"/>
      <c r="DD1459" s="101"/>
      <c r="DE1459" s="101"/>
      <c r="DF1459" s="101"/>
      <c r="DG1459" s="101"/>
      <c r="DH1459" s="101"/>
      <c r="DI1459" s="101"/>
      <c r="DJ1459" s="101"/>
      <c r="DK1459" s="101"/>
      <c r="DL1459" s="101"/>
      <c r="DM1459" s="101"/>
      <c r="DN1459" s="101"/>
      <c r="DO1459" s="101"/>
      <c r="DP1459" s="101"/>
      <c r="DQ1459" s="101"/>
    </row>
    <row r="1460" spans="1:121" s="40" customFormat="1" ht="13" x14ac:dyDescent="0.3">
      <c r="A1460" s="101"/>
      <c r="F1460" s="485">
        <f t="shared" si="863"/>
        <v>1674</v>
      </c>
      <c r="G1460" s="485">
        <f>Infrastructure!D124</f>
        <v>1674</v>
      </c>
      <c r="I1460" s="40">
        <v>55</v>
      </c>
      <c r="J1460" s="977">
        <f t="shared" si="885"/>
        <v>0</v>
      </c>
      <c r="K1460" s="977">
        <f t="shared" si="884"/>
        <v>0</v>
      </c>
      <c r="L1460" s="977">
        <f t="shared" si="884"/>
        <v>0</v>
      </c>
      <c r="M1460" s="977">
        <f t="shared" si="884"/>
        <v>0</v>
      </c>
      <c r="N1460" s="977">
        <f t="shared" si="884"/>
        <v>0</v>
      </c>
      <c r="O1460" s="977">
        <f t="shared" si="884"/>
        <v>0</v>
      </c>
      <c r="P1460" s="977">
        <f t="shared" si="884"/>
        <v>0</v>
      </c>
      <c r="Q1460" s="977">
        <f t="shared" si="884"/>
        <v>0</v>
      </c>
      <c r="R1460" s="977">
        <f t="shared" si="884"/>
        <v>0</v>
      </c>
      <c r="S1460" s="977">
        <f t="shared" si="884"/>
        <v>0</v>
      </c>
      <c r="T1460" s="977">
        <f t="shared" si="884"/>
        <v>0</v>
      </c>
      <c r="U1460" s="977">
        <f t="shared" si="884"/>
        <v>0</v>
      </c>
      <c r="V1460" s="977">
        <f t="shared" si="884"/>
        <v>0</v>
      </c>
      <c r="W1460" s="977">
        <f t="shared" si="884"/>
        <v>0</v>
      </c>
      <c r="X1460" s="977">
        <f t="shared" si="884"/>
        <v>0</v>
      </c>
      <c r="Y1460" s="977">
        <f t="shared" si="884"/>
        <v>0</v>
      </c>
      <c r="Z1460" s="977">
        <f t="shared" si="884"/>
        <v>0</v>
      </c>
      <c r="AA1460" s="977">
        <f t="shared" si="884"/>
        <v>0</v>
      </c>
      <c r="AB1460" s="977">
        <f t="shared" si="884"/>
        <v>0</v>
      </c>
      <c r="AC1460" s="977">
        <f t="shared" si="884"/>
        <v>0</v>
      </c>
      <c r="AD1460" s="977">
        <f t="shared" si="884"/>
        <v>0</v>
      </c>
      <c r="AE1460" s="977">
        <f t="shared" si="884"/>
        <v>0</v>
      </c>
      <c r="AF1460" s="977">
        <f t="shared" si="884"/>
        <v>0</v>
      </c>
      <c r="AG1460" s="977">
        <f t="shared" si="884"/>
        <v>0</v>
      </c>
      <c r="AH1460" s="977">
        <f t="shared" si="884"/>
        <v>0</v>
      </c>
      <c r="AI1460" s="84"/>
      <c r="AJ1460" s="84"/>
      <c r="AK1460" s="84"/>
      <c r="AL1460" s="84"/>
      <c r="AM1460" s="84"/>
      <c r="AN1460" s="84"/>
      <c r="AO1460" s="84"/>
      <c r="AP1460" s="84"/>
      <c r="AQ1460" s="84"/>
      <c r="AR1460" s="84"/>
      <c r="AS1460" s="84"/>
      <c r="AT1460" s="84"/>
      <c r="AU1460" s="84"/>
      <c r="AV1460" s="84"/>
      <c r="AW1460" s="84"/>
      <c r="AX1460" s="84"/>
      <c r="AY1460" s="84"/>
      <c r="AZ1460" s="84"/>
      <c r="BA1460" s="84"/>
      <c r="BB1460" s="84"/>
      <c r="BC1460" s="84"/>
      <c r="BD1460" s="84"/>
      <c r="BE1460" s="84"/>
      <c r="BF1460" s="84"/>
      <c r="BG1460" s="84"/>
      <c r="BH1460" s="84"/>
      <c r="BI1460" s="84"/>
      <c r="BJ1460" s="84"/>
      <c r="BK1460" s="84"/>
      <c r="BL1460" s="84"/>
      <c r="BM1460" s="84"/>
      <c r="BN1460" s="84"/>
      <c r="BO1460" s="84"/>
      <c r="BP1460" s="84"/>
      <c r="BQ1460" s="84"/>
      <c r="BR1460" s="84"/>
      <c r="BS1460" s="84"/>
      <c r="BT1460" s="84"/>
      <c r="BU1460" s="84"/>
      <c r="BV1460" s="84"/>
      <c r="BW1460" s="84"/>
      <c r="BX1460" s="84"/>
      <c r="BY1460" s="84"/>
      <c r="BZ1460" s="84"/>
      <c r="CA1460" s="84"/>
      <c r="CB1460" s="84"/>
      <c r="CC1460" s="84"/>
      <c r="CD1460" s="84"/>
      <c r="CE1460" s="84"/>
      <c r="CF1460" s="84"/>
      <c r="CG1460" s="84"/>
      <c r="CH1460" s="84"/>
      <c r="CI1460" s="84"/>
      <c r="CJ1460" s="84"/>
      <c r="CK1460" s="84"/>
      <c r="CL1460" s="84"/>
      <c r="CM1460" s="84"/>
      <c r="CN1460" s="84"/>
      <c r="CO1460" s="84"/>
      <c r="CP1460" s="84"/>
      <c r="CQ1460" s="101"/>
      <c r="CR1460" s="101"/>
      <c r="CS1460" s="101"/>
      <c r="CT1460" s="101"/>
      <c r="CU1460" s="101"/>
      <c r="CV1460" s="101"/>
      <c r="CW1460" s="101"/>
      <c r="CX1460" s="101"/>
      <c r="CY1460" s="101"/>
      <c r="CZ1460" s="101"/>
      <c r="DA1460" s="101"/>
      <c r="DB1460" s="101"/>
      <c r="DC1460" s="101"/>
      <c r="DD1460" s="101"/>
      <c r="DE1460" s="101"/>
      <c r="DF1460" s="101"/>
      <c r="DG1460" s="101"/>
      <c r="DH1460" s="101"/>
      <c r="DI1460" s="101"/>
      <c r="DJ1460" s="101"/>
      <c r="DK1460" s="101"/>
      <c r="DL1460" s="101"/>
      <c r="DM1460" s="101"/>
      <c r="DN1460" s="101"/>
      <c r="DO1460" s="101"/>
      <c r="DP1460" s="101"/>
      <c r="DQ1460" s="101"/>
    </row>
    <row r="1461" spans="1:121" s="40" customFormat="1" ht="13" x14ac:dyDescent="0.3">
      <c r="A1461" s="101"/>
      <c r="F1461" s="485">
        <f t="shared" si="863"/>
        <v>1705</v>
      </c>
      <c r="G1461" s="485">
        <f>Infrastructure!D125</f>
        <v>1705</v>
      </c>
      <c r="I1461" s="40">
        <v>56</v>
      </c>
      <c r="J1461" s="977">
        <f t="shared" si="885"/>
        <v>0</v>
      </c>
      <c r="K1461" s="977">
        <f t="shared" si="884"/>
        <v>0</v>
      </c>
      <c r="L1461" s="977">
        <f t="shared" si="884"/>
        <v>0</v>
      </c>
      <c r="M1461" s="977">
        <f t="shared" si="884"/>
        <v>0</v>
      </c>
      <c r="N1461" s="977">
        <f t="shared" si="884"/>
        <v>0</v>
      </c>
      <c r="O1461" s="977">
        <f t="shared" si="884"/>
        <v>0</v>
      </c>
      <c r="P1461" s="977">
        <f t="shared" si="884"/>
        <v>0</v>
      </c>
      <c r="Q1461" s="977">
        <f t="shared" si="884"/>
        <v>0</v>
      </c>
      <c r="R1461" s="977">
        <f t="shared" si="884"/>
        <v>0</v>
      </c>
      <c r="S1461" s="977">
        <f t="shared" si="884"/>
        <v>0</v>
      </c>
      <c r="T1461" s="977">
        <f t="shared" si="884"/>
        <v>0</v>
      </c>
      <c r="U1461" s="977">
        <f t="shared" si="884"/>
        <v>0</v>
      </c>
      <c r="V1461" s="977">
        <f t="shared" si="884"/>
        <v>0</v>
      </c>
      <c r="W1461" s="977">
        <f t="shared" si="884"/>
        <v>0</v>
      </c>
      <c r="X1461" s="977">
        <f t="shared" si="884"/>
        <v>0</v>
      </c>
      <c r="Y1461" s="977">
        <f t="shared" si="884"/>
        <v>0</v>
      </c>
      <c r="Z1461" s="977">
        <f t="shared" si="884"/>
        <v>0</v>
      </c>
      <c r="AA1461" s="977">
        <f t="shared" si="884"/>
        <v>0</v>
      </c>
      <c r="AB1461" s="977">
        <f t="shared" si="884"/>
        <v>0</v>
      </c>
      <c r="AC1461" s="977">
        <f t="shared" si="884"/>
        <v>0</v>
      </c>
      <c r="AD1461" s="977">
        <f t="shared" si="884"/>
        <v>0</v>
      </c>
      <c r="AE1461" s="977">
        <f t="shared" si="884"/>
        <v>0</v>
      </c>
      <c r="AF1461" s="977">
        <f t="shared" si="884"/>
        <v>0</v>
      </c>
      <c r="AG1461" s="977">
        <f t="shared" si="884"/>
        <v>0</v>
      </c>
      <c r="AH1461" s="977">
        <f t="shared" si="884"/>
        <v>0</v>
      </c>
      <c r="AI1461" s="84"/>
      <c r="AJ1461" s="84"/>
      <c r="AK1461" s="84"/>
      <c r="AL1461" s="84"/>
      <c r="AM1461" s="84"/>
      <c r="AN1461" s="84"/>
      <c r="AO1461" s="84"/>
      <c r="AP1461" s="84"/>
      <c r="AQ1461" s="84"/>
      <c r="AR1461" s="84"/>
      <c r="AS1461" s="84"/>
      <c r="AT1461" s="84"/>
      <c r="AU1461" s="84"/>
      <c r="AV1461" s="84"/>
      <c r="AW1461" s="84"/>
      <c r="AX1461" s="84"/>
      <c r="AY1461" s="84"/>
      <c r="AZ1461" s="84"/>
      <c r="BA1461" s="84"/>
      <c r="BB1461" s="84"/>
      <c r="BC1461" s="84"/>
      <c r="BD1461" s="84"/>
      <c r="BE1461" s="84"/>
      <c r="BF1461" s="84"/>
      <c r="BG1461" s="84"/>
      <c r="BH1461" s="84"/>
      <c r="BI1461" s="84"/>
      <c r="BJ1461" s="84"/>
      <c r="BK1461" s="84"/>
      <c r="BL1461" s="84"/>
      <c r="BM1461" s="84"/>
      <c r="BN1461" s="84"/>
      <c r="BO1461" s="84"/>
      <c r="BP1461" s="84"/>
      <c r="BQ1461" s="84"/>
      <c r="BR1461" s="84"/>
      <c r="BS1461" s="84"/>
      <c r="BT1461" s="84"/>
      <c r="BU1461" s="84"/>
      <c r="BV1461" s="84"/>
      <c r="BW1461" s="84"/>
      <c r="BX1461" s="84"/>
      <c r="BY1461" s="84"/>
      <c r="BZ1461" s="84"/>
      <c r="CA1461" s="84"/>
      <c r="CB1461" s="84"/>
      <c r="CC1461" s="84"/>
      <c r="CD1461" s="84"/>
      <c r="CE1461" s="84"/>
      <c r="CF1461" s="84"/>
      <c r="CG1461" s="84"/>
      <c r="CH1461" s="84"/>
      <c r="CI1461" s="84"/>
      <c r="CJ1461" s="84"/>
      <c r="CK1461" s="84"/>
      <c r="CL1461" s="84"/>
      <c r="CM1461" s="84"/>
      <c r="CN1461" s="84"/>
      <c r="CO1461" s="84"/>
      <c r="CP1461" s="84"/>
      <c r="CQ1461" s="101"/>
      <c r="CR1461" s="101"/>
      <c r="CS1461" s="101"/>
      <c r="CT1461" s="101"/>
      <c r="CU1461" s="101"/>
      <c r="CV1461" s="101"/>
      <c r="CW1461" s="101"/>
      <c r="CX1461" s="101"/>
      <c r="CY1461" s="101"/>
      <c r="CZ1461" s="101"/>
      <c r="DA1461" s="101"/>
      <c r="DB1461" s="101"/>
      <c r="DC1461" s="101"/>
      <c r="DD1461" s="101"/>
      <c r="DE1461" s="101"/>
      <c r="DF1461" s="101"/>
      <c r="DG1461" s="101"/>
      <c r="DH1461" s="101"/>
      <c r="DI1461" s="101"/>
      <c r="DJ1461" s="101"/>
      <c r="DK1461" s="101"/>
      <c r="DL1461" s="101"/>
      <c r="DM1461" s="101"/>
      <c r="DN1461" s="101"/>
      <c r="DO1461" s="101"/>
      <c r="DP1461" s="101"/>
      <c r="DQ1461" s="101"/>
    </row>
    <row r="1462" spans="1:121" s="40" customFormat="1" ht="13" x14ac:dyDescent="0.3">
      <c r="A1462" s="101"/>
      <c r="F1462" s="485">
        <f t="shared" si="863"/>
        <v>1735</v>
      </c>
      <c r="G1462" s="485">
        <f>Infrastructure!D126</f>
        <v>1735</v>
      </c>
      <c r="I1462" s="40">
        <v>57</v>
      </c>
      <c r="J1462" s="977">
        <f t="shared" si="885"/>
        <v>0</v>
      </c>
      <c r="K1462" s="977">
        <f t="shared" si="884"/>
        <v>0</v>
      </c>
      <c r="L1462" s="977">
        <f t="shared" si="884"/>
        <v>0</v>
      </c>
      <c r="M1462" s="977">
        <f t="shared" si="884"/>
        <v>0</v>
      </c>
      <c r="N1462" s="977">
        <f t="shared" si="884"/>
        <v>0</v>
      </c>
      <c r="O1462" s="977">
        <f t="shared" si="884"/>
        <v>0</v>
      </c>
      <c r="P1462" s="977">
        <f t="shared" si="884"/>
        <v>0</v>
      </c>
      <c r="Q1462" s="977">
        <f t="shared" si="884"/>
        <v>0</v>
      </c>
      <c r="R1462" s="977">
        <f t="shared" si="884"/>
        <v>0</v>
      </c>
      <c r="S1462" s="977">
        <f t="shared" si="884"/>
        <v>0</v>
      </c>
      <c r="T1462" s="977">
        <f t="shared" si="884"/>
        <v>0</v>
      </c>
      <c r="U1462" s="977">
        <f t="shared" si="884"/>
        <v>0</v>
      </c>
      <c r="V1462" s="977">
        <f t="shared" si="884"/>
        <v>0</v>
      </c>
      <c r="W1462" s="977">
        <f t="shared" si="884"/>
        <v>0</v>
      </c>
      <c r="X1462" s="977">
        <f t="shared" si="884"/>
        <v>0</v>
      </c>
      <c r="Y1462" s="977">
        <f t="shared" si="884"/>
        <v>0</v>
      </c>
      <c r="Z1462" s="977">
        <f t="shared" si="884"/>
        <v>0</v>
      </c>
      <c r="AA1462" s="977">
        <f t="shared" si="884"/>
        <v>0</v>
      </c>
      <c r="AB1462" s="977">
        <f t="shared" si="884"/>
        <v>0</v>
      </c>
      <c r="AC1462" s="977">
        <f t="shared" si="884"/>
        <v>0</v>
      </c>
      <c r="AD1462" s="977">
        <f t="shared" si="884"/>
        <v>0</v>
      </c>
      <c r="AE1462" s="977">
        <f t="shared" si="884"/>
        <v>0</v>
      </c>
      <c r="AF1462" s="977">
        <f t="shared" si="884"/>
        <v>0</v>
      </c>
      <c r="AG1462" s="977">
        <f t="shared" si="884"/>
        <v>0</v>
      </c>
      <c r="AH1462" s="977">
        <f t="shared" si="884"/>
        <v>0</v>
      </c>
      <c r="AI1462" s="84"/>
      <c r="AJ1462" s="84"/>
      <c r="AK1462" s="84"/>
      <c r="AL1462" s="84"/>
      <c r="AM1462" s="84"/>
      <c r="AN1462" s="84"/>
      <c r="AO1462" s="84"/>
      <c r="AP1462" s="84"/>
      <c r="AQ1462" s="84"/>
      <c r="AR1462" s="84"/>
      <c r="AS1462" s="84"/>
      <c r="AT1462" s="84"/>
      <c r="AU1462" s="84"/>
      <c r="AV1462" s="84"/>
      <c r="AW1462" s="84"/>
      <c r="AX1462" s="84"/>
      <c r="AY1462" s="84"/>
      <c r="AZ1462" s="84"/>
      <c r="BA1462" s="84"/>
      <c r="BB1462" s="84"/>
      <c r="BC1462" s="84"/>
      <c r="BD1462" s="84"/>
      <c r="BE1462" s="84"/>
      <c r="BF1462" s="84"/>
      <c r="BG1462" s="84"/>
      <c r="BH1462" s="84"/>
      <c r="BI1462" s="84"/>
      <c r="BJ1462" s="84"/>
      <c r="BK1462" s="84"/>
      <c r="BL1462" s="84"/>
      <c r="BM1462" s="84"/>
      <c r="BN1462" s="84"/>
      <c r="BO1462" s="84"/>
      <c r="BP1462" s="84"/>
      <c r="BQ1462" s="84"/>
      <c r="BR1462" s="84"/>
      <c r="BS1462" s="84"/>
      <c r="BT1462" s="84"/>
      <c r="BU1462" s="84"/>
      <c r="BV1462" s="84"/>
      <c r="BW1462" s="84"/>
      <c r="BX1462" s="84"/>
      <c r="BY1462" s="84"/>
      <c r="BZ1462" s="84"/>
      <c r="CA1462" s="84"/>
      <c r="CB1462" s="84"/>
      <c r="CC1462" s="84"/>
      <c r="CD1462" s="84"/>
      <c r="CE1462" s="84"/>
      <c r="CF1462" s="84"/>
      <c r="CG1462" s="84"/>
      <c r="CH1462" s="84"/>
      <c r="CI1462" s="84"/>
      <c r="CJ1462" s="84"/>
      <c r="CK1462" s="84"/>
      <c r="CL1462" s="84"/>
      <c r="CM1462" s="84"/>
      <c r="CN1462" s="84"/>
      <c r="CO1462" s="84"/>
      <c r="CP1462" s="84"/>
      <c r="CQ1462" s="101"/>
      <c r="CR1462" s="101"/>
      <c r="CS1462" s="101"/>
      <c r="CT1462" s="101"/>
      <c r="CU1462" s="101"/>
      <c r="CV1462" s="101"/>
      <c r="CW1462" s="101"/>
      <c r="CX1462" s="101"/>
      <c r="CY1462" s="101"/>
      <c r="CZ1462" s="101"/>
      <c r="DA1462" s="101"/>
      <c r="DB1462" s="101"/>
      <c r="DC1462" s="101"/>
      <c r="DD1462" s="101"/>
      <c r="DE1462" s="101"/>
      <c r="DF1462" s="101"/>
      <c r="DG1462" s="101"/>
      <c r="DH1462" s="101"/>
      <c r="DI1462" s="101"/>
      <c r="DJ1462" s="101"/>
      <c r="DK1462" s="101"/>
      <c r="DL1462" s="101"/>
      <c r="DM1462" s="101"/>
      <c r="DN1462" s="101"/>
      <c r="DO1462" s="101"/>
      <c r="DP1462" s="101"/>
      <c r="DQ1462" s="101"/>
    </row>
    <row r="1463" spans="1:121" s="40" customFormat="1" ht="13" x14ac:dyDescent="0.3">
      <c r="A1463" s="101"/>
      <c r="F1463" s="485">
        <f t="shared" si="863"/>
        <v>1766</v>
      </c>
      <c r="G1463" s="485">
        <f>Infrastructure!D127</f>
        <v>1766</v>
      </c>
      <c r="I1463" s="40">
        <v>58</v>
      </c>
      <c r="J1463" s="977">
        <f t="shared" si="885"/>
        <v>0</v>
      </c>
      <c r="K1463" s="977">
        <f t="shared" si="884"/>
        <v>0</v>
      </c>
      <c r="L1463" s="977">
        <f t="shared" si="884"/>
        <v>0</v>
      </c>
      <c r="M1463" s="977">
        <f t="shared" si="884"/>
        <v>0</v>
      </c>
      <c r="N1463" s="977">
        <f t="shared" si="884"/>
        <v>0</v>
      </c>
      <c r="O1463" s="977">
        <f t="shared" si="884"/>
        <v>0</v>
      </c>
      <c r="P1463" s="977">
        <f t="shared" si="884"/>
        <v>0</v>
      </c>
      <c r="Q1463" s="977">
        <f t="shared" si="884"/>
        <v>0</v>
      </c>
      <c r="R1463" s="977">
        <f t="shared" si="884"/>
        <v>0</v>
      </c>
      <c r="S1463" s="977">
        <f t="shared" si="884"/>
        <v>0</v>
      </c>
      <c r="T1463" s="977">
        <f t="shared" si="884"/>
        <v>0</v>
      </c>
      <c r="U1463" s="977">
        <f t="shared" si="884"/>
        <v>0</v>
      </c>
      <c r="V1463" s="977">
        <f t="shared" si="884"/>
        <v>0</v>
      </c>
      <c r="W1463" s="977">
        <f t="shared" si="884"/>
        <v>0</v>
      </c>
      <c r="X1463" s="977">
        <f t="shared" si="884"/>
        <v>0</v>
      </c>
      <c r="Y1463" s="977">
        <f t="shared" si="884"/>
        <v>0</v>
      </c>
      <c r="Z1463" s="977">
        <f t="shared" si="884"/>
        <v>0</v>
      </c>
      <c r="AA1463" s="977">
        <f t="shared" si="884"/>
        <v>0</v>
      </c>
      <c r="AB1463" s="977">
        <f t="shared" si="884"/>
        <v>0</v>
      </c>
      <c r="AC1463" s="977">
        <f t="shared" si="884"/>
        <v>0</v>
      </c>
      <c r="AD1463" s="977">
        <f t="shared" si="884"/>
        <v>0</v>
      </c>
      <c r="AE1463" s="977">
        <f t="shared" si="884"/>
        <v>0</v>
      </c>
      <c r="AF1463" s="977">
        <f t="shared" si="884"/>
        <v>0</v>
      </c>
      <c r="AG1463" s="977">
        <f t="shared" si="884"/>
        <v>0</v>
      </c>
      <c r="AH1463" s="977">
        <f t="shared" si="884"/>
        <v>0</v>
      </c>
      <c r="AI1463" s="84"/>
      <c r="AJ1463" s="84"/>
      <c r="AK1463" s="84"/>
      <c r="AL1463" s="84"/>
      <c r="AM1463" s="84"/>
      <c r="AN1463" s="84"/>
      <c r="AO1463" s="84"/>
      <c r="AP1463" s="84"/>
      <c r="AQ1463" s="84"/>
      <c r="AR1463" s="84"/>
      <c r="AS1463" s="84"/>
      <c r="AT1463" s="84"/>
      <c r="AU1463" s="84"/>
      <c r="AV1463" s="84"/>
      <c r="AW1463" s="84"/>
      <c r="AX1463" s="84"/>
      <c r="AY1463" s="84"/>
      <c r="AZ1463" s="84"/>
      <c r="BA1463" s="84"/>
      <c r="BB1463" s="84"/>
      <c r="BC1463" s="84"/>
      <c r="BD1463" s="84"/>
      <c r="BE1463" s="84"/>
      <c r="BF1463" s="84"/>
      <c r="BG1463" s="84"/>
      <c r="BH1463" s="84"/>
      <c r="BI1463" s="84"/>
      <c r="BJ1463" s="84"/>
      <c r="BK1463" s="84"/>
      <c r="BL1463" s="84"/>
      <c r="BM1463" s="84"/>
      <c r="BN1463" s="84"/>
      <c r="BO1463" s="84"/>
      <c r="BP1463" s="84"/>
      <c r="BQ1463" s="84"/>
      <c r="BR1463" s="84"/>
      <c r="BS1463" s="84"/>
      <c r="BT1463" s="84"/>
      <c r="BU1463" s="84"/>
      <c r="BV1463" s="84"/>
      <c r="BW1463" s="84"/>
      <c r="BX1463" s="84"/>
      <c r="BY1463" s="84"/>
      <c r="BZ1463" s="84"/>
      <c r="CA1463" s="84"/>
      <c r="CB1463" s="84"/>
      <c r="CC1463" s="84"/>
      <c r="CD1463" s="84"/>
      <c r="CE1463" s="84"/>
      <c r="CF1463" s="84"/>
      <c r="CG1463" s="84"/>
      <c r="CH1463" s="84"/>
      <c r="CI1463" s="84"/>
      <c r="CJ1463" s="84"/>
      <c r="CK1463" s="84"/>
      <c r="CL1463" s="84"/>
      <c r="CM1463" s="84"/>
      <c r="CN1463" s="84"/>
      <c r="CO1463" s="84"/>
      <c r="CP1463" s="84"/>
      <c r="CQ1463" s="101"/>
      <c r="CR1463" s="101"/>
      <c r="CS1463" s="101"/>
      <c r="CT1463" s="101"/>
      <c r="CU1463" s="101"/>
      <c r="CV1463" s="101"/>
      <c r="CW1463" s="101"/>
      <c r="CX1463" s="101"/>
      <c r="CY1463" s="101"/>
      <c r="CZ1463" s="101"/>
      <c r="DA1463" s="101"/>
      <c r="DB1463" s="101"/>
      <c r="DC1463" s="101"/>
      <c r="DD1463" s="101"/>
      <c r="DE1463" s="101"/>
      <c r="DF1463" s="101"/>
      <c r="DG1463" s="101"/>
      <c r="DH1463" s="101"/>
      <c r="DI1463" s="101"/>
      <c r="DJ1463" s="101"/>
      <c r="DK1463" s="101"/>
      <c r="DL1463" s="101"/>
      <c r="DM1463" s="101"/>
      <c r="DN1463" s="101"/>
      <c r="DO1463" s="101"/>
      <c r="DP1463" s="101"/>
      <c r="DQ1463" s="101"/>
    </row>
    <row r="1464" spans="1:121" s="40" customFormat="1" ht="13" x14ac:dyDescent="0.3">
      <c r="A1464" s="101"/>
      <c r="F1464" s="485">
        <f t="shared" si="863"/>
        <v>1796</v>
      </c>
      <c r="G1464" s="485">
        <f>Infrastructure!D128</f>
        <v>1796</v>
      </c>
      <c r="I1464" s="40">
        <v>59</v>
      </c>
      <c r="J1464" s="977">
        <f t="shared" si="885"/>
        <v>0</v>
      </c>
      <c r="K1464" s="977">
        <f t="shared" si="884"/>
        <v>0</v>
      </c>
      <c r="L1464" s="977">
        <f t="shared" si="884"/>
        <v>0</v>
      </c>
      <c r="M1464" s="977">
        <f t="shared" si="884"/>
        <v>0</v>
      </c>
      <c r="N1464" s="977">
        <f t="shared" si="884"/>
        <v>0</v>
      </c>
      <c r="O1464" s="977">
        <f t="shared" si="884"/>
        <v>0</v>
      </c>
      <c r="P1464" s="977">
        <f t="shared" si="884"/>
        <v>0</v>
      </c>
      <c r="Q1464" s="977">
        <f t="shared" si="884"/>
        <v>0</v>
      </c>
      <c r="R1464" s="977">
        <f t="shared" si="884"/>
        <v>0</v>
      </c>
      <c r="S1464" s="977">
        <f t="shared" si="884"/>
        <v>0</v>
      </c>
      <c r="T1464" s="977">
        <f t="shared" si="884"/>
        <v>0</v>
      </c>
      <c r="U1464" s="977">
        <f t="shared" si="884"/>
        <v>0</v>
      </c>
      <c r="V1464" s="977">
        <f t="shared" si="884"/>
        <v>0</v>
      </c>
      <c r="W1464" s="977">
        <f t="shared" si="884"/>
        <v>0</v>
      </c>
      <c r="X1464" s="977">
        <f t="shared" si="884"/>
        <v>0</v>
      </c>
      <c r="Y1464" s="977">
        <f t="shared" si="884"/>
        <v>0</v>
      </c>
      <c r="Z1464" s="977">
        <f t="shared" si="884"/>
        <v>0</v>
      </c>
      <c r="AA1464" s="977">
        <f t="shared" si="884"/>
        <v>0</v>
      </c>
      <c r="AB1464" s="977">
        <f t="shared" si="884"/>
        <v>0</v>
      </c>
      <c r="AC1464" s="977">
        <f t="shared" si="884"/>
        <v>0</v>
      </c>
      <c r="AD1464" s="977">
        <f t="shared" si="884"/>
        <v>0</v>
      </c>
      <c r="AE1464" s="977">
        <f t="shared" si="884"/>
        <v>0</v>
      </c>
      <c r="AF1464" s="977">
        <f t="shared" si="884"/>
        <v>0</v>
      </c>
      <c r="AG1464" s="977">
        <f t="shared" si="884"/>
        <v>0</v>
      </c>
      <c r="AH1464" s="977">
        <f t="shared" si="884"/>
        <v>0</v>
      </c>
      <c r="AI1464" s="84"/>
      <c r="AJ1464" s="84"/>
      <c r="AK1464" s="84"/>
      <c r="AL1464" s="84"/>
      <c r="AM1464" s="84"/>
      <c r="AN1464" s="84"/>
      <c r="AO1464" s="84"/>
      <c r="AP1464" s="84"/>
      <c r="AQ1464" s="84"/>
      <c r="AR1464" s="84"/>
      <c r="AS1464" s="84"/>
      <c r="AT1464" s="84"/>
      <c r="AU1464" s="84"/>
      <c r="AV1464" s="84"/>
      <c r="AW1464" s="84"/>
      <c r="AX1464" s="84"/>
      <c r="AY1464" s="84"/>
      <c r="AZ1464" s="84"/>
      <c r="BA1464" s="84"/>
      <c r="BB1464" s="84"/>
      <c r="BC1464" s="84"/>
      <c r="BD1464" s="84"/>
      <c r="BE1464" s="84"/>
      <c r="BF1464" s="84"/>
      <c r="BG1464" s="84"/>
      <c r="BH1464" s="84"/>
      <c r="BI1464" s="84"/>
      <c r="BJ1464" s="84"/>
      <c r="BK1464" s="84"/>
      <c r="BL1464" s="84"/>
      <c r="BM1464" s="84"/>
      <c r="BN1464" s="84"/>
      <c r="BO1464" s="84"/>
      <c r="BP1464" s="84"/>
      <c r="BQ1464" s="84"/>
      <c r="BR1464" s="84"/>
      <c r="BS1464" s="84"/>
      <c r="BT1464" s="84"/>
      <c r="BU1464" s="84"/>
      <c r="BV1464" s="84"/>
      <c r="BW1464" s="84"/>
      <c r="BX1464" s="84"/>
      <c r="BY1464" s="84"/>
      <c r="BZ1464" s="84"/>
      <c r="CA1464" s="84"/>
      <c r="CB1464" s="84"/>
      <c r="CC1464" s="84"/>
      <c r="CD1464" s="84"/>
      <c r="CE1464" s="84"/>
      <c r="CF1464" s="84"/>
      <c r="CG1464" s="84"/>
      <c r="CH1464" s="84"/>
      <c r="CI1464" s="84"/>
      <c r="CJ1464" s="84"/>
      <c r="CK1464" s="84"/>
      <c r="CL1464" s="84"/>
      <c r="CM1464" s="84"/>
      <c r="CN1464" s="84"/>
      <c r="CO1464" s="84"/>
      <c r="CP1464" s="84"/>
      <c r="CQ1464" s="101"/>
      <c r="CR1464" s="101"/>
      <c r="CS1464" s="101"/>
      <c r="CT1464" s="101"/>
      <c r="CU1464" s="101"/>
      <c r="CV1464" s="101"/>
      <c r="CW1464" s="101"/>
      <c r="CX1464" s="101"/>
      <c r="CY1464" s="101"/>
      <c r="CZ1464" s="101"/>
      <c r="DA1464" s="101"/>
      <c r="DB1464" s="101"/>
      <c r="DC1464" s="101"/>
      <c r="DD1464" s="101"/>
      <c r="DE1464" s="101"/>
      <c r="DF1464" s="101"/>
      <c r="DG1464" s="101"/>
      <c r="DH1464" s="101"/>
      <c r="DI1464" s="101"/>
      <c r="DJ1464" s="101"/>
      <c r="DK1464" s="101"/>
      <c r="DL1464" s="101"/>
      <c r="DM1464" s="101"/>
      <c r="DN1464" s="101"/>
      <c r="DO1464" s="101"/>
      <c r="DP1464" s="101"/>
      <c r="DQ1464" s="101"/>
    </row>
    <row r="1465" spans="1:121" s="40" customFormat="1" ht="13" x14ac:dyDescent="0.3">
      <c r="A1465" s="101"/>
      <c r="F1465" s="485">
        <f t="shared" si="863"/>
        <v>1827</v>
      </c>
      <c r="G1465" s="485">
        <f>Infrastructure!D129</f>
        <v>1827</v>
      </c>
      <c r="I1465" s="40">
        <v>60</v>
      </c>
      <c r="J1465" s="977">
        <f t="shared" si="885"/>
        <v>0</v>
      </c>
      <c r="K1465" s="977">
        <f t="shared" si="884"/>
        <v>0</v>
      </c>
      <c r="L1465" s="977">
        <f t="shared" si="884"/>
        <v>0</v>
      </c>
      <c r="M1465" s="977">
        <f t="shared" si="884"/>
        <v>0</v>
      </c>
      <c r="N1465" s="977">
        <f t="shared" si="884"/>
        <v>0</v>
      </c>
      <c r="O1465" s="977">
        <f t="shared" si="884"/>
        <v>0</v>
      </c>
      <c r="P1465" s="977">
        <f t="shared" si="884"/>
        <v>0</v>
      </c>
      <c r="Q1465" s="977">
        <f t="shared" si="884"/>
        <v>0</v>
      </c>
      <c r="R1465" s="977">
        <f t="shared" si="884"/>
        <v>0</v>
      </c>
      <c r="S1465" s="977">
        <f t="shared" si="884"/>
        <v>0</v>
      </c>
      <c r="T1465" s="977">
        <f t="shared" si="884"/>
        <v>0</v>
      </c>
      <c r="U1465" s="977">
        <f t="shared" si="884"/>
        <v>0</v>
      </c>
      <c r="V1465" s="977">
        <f t="shared" si="884"/>
        <v>0</v>
      </c>
      <c r="W1465" s="977">
        <f t="shared" si="884"/>
        <v>0</v>
      </c>
      <c r="X1465" s="977">
        <f t="shared" si="884"/>
        <v>0</v>
      </c>
      <c r="Y1465" s="977">
        <f t="shared" si="884"/>
        <v>0</v>
      </c>
      <c r="Z1465" s="977">
        <f t="shared" ref="Z1465" si="886">Z1464</f>
        <v>0</v>
      </c>
      <c r="AA1465" s="977">
        <f t="shared" ref="AA1465" si="887">AA1464</f>
        <v>0</v>
      </c>
      <c r="AB1465" s="977">
        <f t="shared" ref="AB1465" si="888">AB1464</f>
        <v>0</v>
      </c>
      <c r="AC1465" s="977">
        <f t="shared" ref="AC1465" si="889">AC1464</f>
        <v>0</v>
      </c>
      <c r="AD1465" s="977">
        <f t="shared" ref="AD1465" si="890">AD1464</f>
        <v>0</v>
      </c>
      <c r="AE1465" s="977">
        <f t="shared" ref="AE1465" si="891">AE1464</f>
        <v>0</v>
      </c>
      <c r="AF1465" s="977">
        <f t="shared" ref="AF1465" si="892">AF1464</f>
        <v>0</v>
      </c>
      <c r="AG1465" s="977">
        <f t="shared" ref="AG1465" si="893">AG1464</f>
        <v>0</v>
      </c>
      <c r="AH1465" s="977">
        <f t="shared" ref="AH1465" si="894">AH1464</f>
        <v>0</v>
      </c>
      <c r="AI1465" s="84"/>
      <c r="AJ1465" s="84"/>
      <c r="AK1465" s="84"/>
      <c r="AL1465" s="84"/>
      <c r="AM1465" s="84"/>
      <c r="AN1465" s="84"/>
      <c r="AO1465" s="84"/>
      <c r="AP1465" s="84"/>
      <c r="AQ1465" s="84"/>
      <c r="AR1465" s="84"/>
      <c r="AS1465" s="84"/>
      <c r="AT1465" s="84"/>
      <c r="AU1465" s="84"/>
      <c r="AV1465" s="84"/>
      <c r="AW1465" s="84"/>
      <c r="AX1465" s="84"/>
      <c r="AY1465" s="84"/>
      <c r="AZ1465" s="84"/>
      <c r="BA1465" s="84"/>
      <c r="BB1465" s="84"/>
      <c r="BC1465" s="84"/>
      <c r="BD1465" s="84"/>
      <c r="BE1465" s="84"/>
      <c r="BF1465" s="84"/>
      <c r="BG1465" s="84"/>
      <c r="BH1465" s="84"/>
      <c r="BI1465" s="84"/>
      <c r="BJ1465" s="84"/>
      <c r="BK1465" s="84"/>
      <c r="BL1465" s="84"/>
      <c r="BM1465" s="84"/>
      <c r="BN1465" s="84"/>
      <c r="BO1465" s="84"/>
      <c r="BP1465" s="84"/>
      <c r="BQ1465" s="84"/>
      <c r="BR1465" s="84"/>
      <c r="BS1465" s="84"/>
      <c r="BT1465" s="84"/>
      <c r="BU1465" s="84"/>
      <c r="BV1465" s="84"/>
      <c r="BW1465" s="84"/>
      <c r="BX1465" s="84"/>
      <c r="BY1465" s="84"/>
      <c r="BZ1465" s="84"/>
      <c r="CA1465" s="84"/>
      <c r="CB1465" s="84"/>
      <c r="CC1465" s="84"/>
      <c r="CD1465" s="84"/>
      <c r="CE1465" s="84"/>
      <c r="CF1465" s="84"/>
      <c r="CG1465" s="84"/>
      <c r="CH1465" s="84"/>
      <c r="CI1465" s="84"/>
      <c r="CJ1465" s="84"/>
      <c r="CK1465" s="84"/>
      <c r="CL1465" s="84"/>
      <c r="CM1465" s="84"/>
      <c r="CN1465" s="84"/>
      <c r="CO1465" s="84"/>
      <c r="CP1465" s="84"/>
      <c r="CQ1465" s="101"/>
      <c r="CR1465" s="101"/>
      <c r="CS1465" s="101"/>
      <c r="CT1465" s="101"/>
      <c r="CU1465" s="101"/>
      <c r="CV1465" s="101"/>
      <c r="CW1465" s="101"/>
      <c r="CX1465" s="101"/>
      <c r="CY1465" s="101"/>
      <c r="CZ1465" s="101"/>
      <c r="DA1465" s="101"/>
      <c r="DB1465" s="101"/>
      <c r="DC1465" s="101"/>
      <c r="DD1465" s="101"/>
      <c r="DE1465" s="101"/>
      <c r="DF1465" s="101"/>
      <c r="DG1465" s="101"/>
      <c r="DH1465" s="101"/>
      <c r="DI1465" s="101"/>
      <c r="DJ1465" s="101"/>
      <c r="DK1465" s="101"/>
      <c r="DL1465" s="101"/>
      <c r="DM1465" s="101"/>
      <c r="DN1465" s="101"/>
      <c r="DO1465" s="101"/>
      <c r="DP1465" s="101"/>
      <c r="DQ1465" s="101"/>
    </row>
    <row r="1466" spans="1:121" s="40" customFormat="1" ht="13" x14ac:dyDescent="0.3">
      <c r="A1466" s="101"/>
      <c r="H1466" s="101"/>
      <c r="I1466" s="101"/>
      <c r="U1466" s="13"/>
      <c r="V1466" s="13"/>
      <c r="W1466" s="13"/>
      <c r="X1466" s="13"/>
      <c r="Y1466" s="13"/>
      <c r="Z1466" s="13"/>
      <c r="AA1466" s="13"/>
      <c r="AB1466" s="13"/>
      <c r="AC1466" s="13"/>
      <c r="AD1466" s="13"/>
      <c r="AE1466" s="13"/>
      <c r="AF1466" s="84"/>
      <c r="AG1466" s="84"/>
      <c r="AH1466" s="84"/>
      <c r="AI1466" s="84"/>
      <c r="AJ1466" s="84"/>
      <c r="AK1466" s="84"/>
      <c r="AL1466" s="84"/>
      <c r="AM1466" s="84"/>
      <c r="AN1466" s="84"/>
      <c r="AO1466" s="84"/>
      <c r="AP1466" s="84"/>
      <c r="AQ1466" s="84"/>
      <c r="AR1466" s="84"/>
      <c r="AS1466" s="84"/>
      <c r="AT1466" s="84"/>
      <c r="AU1466" s="84"/>
      <c r="AV1466" s="84"/>
      <c r="AW1466" s="84"/>
      <c r="AX1466" s="84"/>
      <c r="AY1466" s="84"/>
      <c r="AZ1466" s="84"/>
      <c r="BA1466" s="84"/>
      <c r="BB1466" s="84"/>
      <c r="BC1466" s="84"/>
      <c r="BD1466" s="84"/>
      <c r="BE1466" s="84"/>
      <c r="BF1466" s="84"/>
      <c r="BG1466" s="84"/>
      <c r="BH1466" s="84"/>
      <c r="BI1466" s="84"/>
      <c r="BJ1466" s="84"/>
      <c r="BK1466" s="84"/>
      <c r="BL1466" s="84"/>
      <c r="BM1466" s="84"/>
      <c r="BN1466" s="84"/>
      <c r="BO1466" s="84"/>
      <c r="BP1466" s="84"/>
      <c r="BQ1466" s="84"/>
      <c r="BR1466" s="84"/>
      <c r="BS1466" s="84"/>
      <c r="BT1466" s="84"/>
      <c r="BU1466" s="84"/>
      <c r="BV1466" s="84"/>
      <c r="BW1466" s="84"/>
      <c r="BX1466" s="84"/>
      <c r="BY1466" s="84"/>
      <c r="BZ1466" s="84"/>
      <c r="CA1466" s="84"/>
      <c r="CB1466" s="84"/>
      <c r="CC1466" s="84"/>
      <c r="CD1466" s="84"/>
      <c r="CE1466" s="84"/>
      <c r="CF1466" s="84"/>
      <c r="CG1466" s="84"/>
      <c r="CH1466" s="84"/>
      <c r="CI1466" s="84"/>
      <c r="CJ1466" s="84"/>
      <c r="CK1466" s="84"/>
      <c r="CL1466" s="84"/>
      <c r="CM1466" s="84"/>
      <c r="CN1466" s="84"/>
      <c r="CO1466" s="84"/>
      <c r="CP1466" s="84"/>
      <c r="CQ1466" s="101"/>
      <c r="CR1466" s="101"/>
      <c r="CS1466" s="101"/>
      <c r="CT1466" s="101"/>
      <c r="CU1466" s="101"/>
      <c r="CV1466" s="101"/>
      <c r="CW1466" s="101"/>
      <c r="CX1466" s="101"/>
      <c r="CY1466" s="101"/>
      <c r="CZ1466" s="101"/>
      <c r="DA1466" s="101"/>
      <c r="DB1466" s="101"/>
      <c r="DC1466" s="101"/>
      <c r="DD1466" s="101"/>
      <c r="DE1466" s="101"/>
      <c r="DF1466" s="101"/>
      <c r="DG1466" s="101"/>
      <c r="DH1466" s="101"/>
      <c r="DI1466" s="101"/>
      <c r="DJ1466" s="101"/>
      <c r="DK1466" s="101"/>
      <c r="DL1466" s="101"/>
      <c r="DM1466" s="101"/>
      <c r="DN1466" s="101"/>
      <c r="DO1466" s="101"/>
      <c r="DP1466" s="101"/>
      <c r="DQ1466" s="101"/>
    </row>
    <row r="1467" spans="1:121" s="40" customFormat="1" ht="13" x14ac:dyDescent="0.3">
      <c r="A1467" s="101"/>
      <c r="H1467" s="101"/>
      <c r="I1467" s="101"/>
      <c r="U1467" s="13"/>
      <c r="V1467" s="13"/>
      <c r="W1467" s="13"/>
      <c r="X1467" s="13"/>
      <c r="Y1467" s="13"/>
      <c r="Z1467" s="13"/>
      <c r="AA1467" s="13"/>
      <c r="AB1467" s="13"/>
      <c r="AC1467" s="13"/>
      <c r="AD1467" s="13"/>
      <c r="AE1467" s="13"/>
      <c r="AF1467" s="84"/>
      <c r="AG1467" s="84"/>
      <c r="AH1467" s="84"/>
      <c r="AI1467" s="84"/>
      <c r="AJ1467" s="84"/>
      <c r="AK1467" s="84"/>
      <c r="AL1467" s="84"/>
      <c r="AM1467" s="84"/>
      <c r="AN1467" s="84"/>
      <c r="AO1467" s="84"/>
      <c r="AP1467" s="84"/>
      <c r="AQ1467" s="84"/>
      <c r="AR1467" s="84"/>
      <c r="AS1467" s="84"/>
      <c r="AT1467" s="84"/>
      <c r="AU1467" s="84"/>
      <c r="AV1467" s="84"/>
      <c r="AW1467" s="84"/>
      <c r="AX1467" s="84"/>
      <c r="AY1467" s="84"/>
      <c r="AZ1467" s="84"/>
      <c r="BA1467" s="84"/>
      <c r="BB1467" s="84"/>
      <c r="BC1467" s="84"/>
      <c r="BD1467" s="84"/>
      <c r="BE1467" s="84"/>
      <c r="BF1467" s="84"/>
      <c r="BG1467" s="84"/>
      <c r="BH1467" s="84"/>
      <c r="BI1467" s="84"/>
      <c r="BJ1467" s="84"/>
      <c r="BK1467" s="84"/>
      <c r="BL1467" s="84"/>
      <c r="BM1467" s="84"/>
      <c r="BN1467" s="84"/>
      <c r="BO1467" s="84"/>
      <c r="BP1467" s="84"/>
      <c r="BQ1467" s="84"/>
      <c r="BR1467" s="84"/>
      <c r="BS1467" s="84"/>
      <c r="BT1467" s="84"/>
      <c r="BU1467" s="84"/>
      <c r="BV1467" s="84"/>
      <c r="BW1467" s="84"/>
      <c r="BX1467" s="84"/>
      <c r="BY1467" s="84"/>
      <c r="BZ1467" s="84"/>
      <c r="CA1467" s="84"/>
      <c r="CB1467" s="84"/>
      <c r="CC1467" s="84"/>
      <c r="CD1467" s="84"/>
      <c r="CE1467" s="84"/>
      <c r="CF1467" s="84"/>
      <c r="CG1467" s="84"/>
      <c r="CH1467" s="84"/>
      <c r="CI1467" s="84"/>
      <c r="CJ1467" s="84"/>
      <c r="CK1467" s="84"/>
      <c r="CL1467" s="84"/>
      <c r="CM1467" s="84"/>
      <c r="CN1467" s="84"/>
      <c r="CO1467" s="84"/>
      <c r="CP1467" s="84"/>
      <c r="CQ1467" s="101"/>
      <c r="CR1467" s="101"/>
      <c r="CS1467" s="101"/>
      <c r="CT1467" s="101"/>
      <c r="CU1467" s="101"/>
      <c r="CV1467" s="101"/>
      <c r="CW1467" s="101"/>
      <c r="CX1467" s="101"/>
      <c r="CY1467" s="101"/>
      <c r="CZ1467" s="101"/>
      <c r="DA1467" s="101"/>
      <c r="DB1467" s="101"/>
      <c r="DC1467" s="101"/>
      <c r="DD1467" s="101"/>
      <c r="DE1467" s="101"/>
      <c r="DF1467" s="101"/>
      <c r="DG1467" s="101"/>
      <c r="DH1467" s="101"/>
      <c r="DI1467" s="101"/>
      <c r="DJ1467" s="101"/>
      <c r="DK1467" s="101"/>
      <c r="DL1467" s="101"/>
      <c r="DM1467" s="101"/>
      <c r="DN1467" s="101"/>
      <c r="DO1467" s="101"/>
      <c r="DP1467" s="101"/>
      <c r="DQ1467" s="101"/>
    </row>
    <row r="1468" spans="1:121" s="40" customFormat="1" ht="13" x14ac:dyDescent="0.3">
      <c r="A1468" s="101"/>
      <c r="H1468" s="101"/>
      <c r="I1468" s="101"/>
      <c r="U1468" s="13"/>
      <c r="V1468" s="13"/>
      <c r="W1468" s="13"/>
      <c r="X1468" s="13"/>
      <c r="Y1468" s="13"/>
      <c r="Z1468" s="13"/>
      <c r="AA1468" s="13"/>
      <c r="AB1468" s="13"/>
      <c r="AC1468" s="13"/>
      <c r="AD1468" s="13"/>
      <c r="AE1468" s="13"/>
      <c r="AF1468" s="84"/>
      <c r="AG1468" s="84"/>
      <c r="AH1468" s="84"/>
      <c r="AI1468" s="84"/>
      <c r="AJ1468" s="84"/>
      <c r="AK1468" s="84"/>
      <c r="AL1468" s="84"/>
      <c r="AM1468" s="84"/>
      <c r="AN1468" s="84"/>
      <c r="AO1468" s="84"/>
      <c r="AP1468" s="84"/>
      <c r="AQ1468" s="84"/>
      <c r="AR1468" s="84"/>
      <c r="AS1468" s="84"/>
      <c r="AT1468" s="84"/>
      <c r="AU1468" s="84"/>
      <c r="AV1468" s="84"/>
      <c r="AW1468" s="84"/>
      <c r="AX1468" s="84"/>
      <c r="AY1468" s="84"/>
      <c r="AZ1468" s="84"/>
      <c r="BA1468" s="84"/>
      <c r="BB1468" s="84"/>
      <c r="BC1468" s="84"/>
      <c r="BD1468" s="84"/>
      <c r="BE1468" s="84"/>
      <c r="BF1468" s="84"/>
      <c r="BG1468" s="84"/>
      <c r="BH1468" s="84"/>
      <c r="BI1468" s="84"/>
      <c r="BJ1468" s="84"/>
      <c r="BK1468" s="84"/>
      <c r="BL1468" s="84"/>
      <c r="BM1468" s="84"/>
      <c r="BN1468" s="84"/>
      <c r="BO1468" s="84"/>
      <c r="BP1468" s="84"/>
      <c r="BQ1468" s="84"/>
      <c r="BR1468" s="84"/>
      <c r="BS1468" s="84"/>
      <c r="BT1468" s="84"/>
      <c r="BU1468" s="84"/>
      <c r="BV1468" s="84"/>
      <c r="BW1468" s="84"/>
      <c r="BX1468" s="84"/>
      <c r="BY1468" s="84"/>
      <c r="BZ1468" s="84"/>
      <c r="CA1468" s="84"/>
      <c r="CB1468" s="84"/>
      <c r="CC1468" s="84"/>
      <c r="CD1468" s="84"/>
      <c r="CE1468" s="84"/>
      <c r="CF1468" s="84"/>
      <c r="CG1468" s="84"/>
      <c r="CH1468" s="84"/>
      <c r="CI1468" s="84"/>
      <c r="CJ1468" s="84"/>
      <c r="CK1468" s="84"/>
      <c r="CL1468" s="84"/>
      <c r="CM1468" s="84"/>
      <c r="CN1468" s="84"/>
      <c r="CO1468" s="84"/>
      <c r="CP1468" s="84"/>
      <c r="CQ1468" s="101"/>
      <c r="CR1468" s="101"/>
      <c r="CS1468" s="101"/>
      <c r="CT1468" s="101"/>
      <c r="CU1468" s="101"/>
      <c r="CV1468" s="101"/>
      <c r="CW1468" s="101"/>
      <c r="CX1468" s="101"/>
      <c r="CY1468" s="101"/>
      <c r="CZ1468" s="101"/>
      <c r="DA1468" s="101"/>
      <c r="DB1468" s="101"/>
      <c r="DC1468" s="101"/>
      <c r="DD1468" s="101"/>
      <c r="DE1468" s="101"/>
      <c r="DF1468" s="101"/>
      <c r="DG1468" s="101"/>
      <c r="DH1468" s="101"/>
      <c r="DI1468" s="101"/>
      <c r="DJ1468" s="101"/>
      <c r="DK1468" s="101"/>
      <c r="DL1468" s="101"/>
      <c r="DM1468" s="101"/>
      <c r="DN1468" s="101"/>
      <c r="DO1468" s="101"/>
      <c r="DP1468" s="101"/>
      <c r="DQ1468" s="101"/>
    </row>
    <row r="1469" spans="1:121" s="40" customFormat="1" ht="13" x14ac:dyDescent="0.3">
      <c r="A1469" s="101"/>
      <c r="H1469" s="101"/>
      <c r="I1469" s="101"/>
      <c r="U1469" s="13"/>
      <c r="V1469" s="13"/>
      <c r="W1469" s="13"/>
      <c r="X1469" s="13"/>
      <c r="Y1469" s="13"/>
      <c r="Z1469" s="13"/>
      <c r="AA1469" s="13"/>
      <c r="AB1469" s="13"/>
      <c r="AC1469" s="13"/>
      <c r="AD1469" s="13"/>
      <c r="AE1469" s="13"/>
      <c r="AF1469" s="84"/>
      <c r="AG1469" s="84"/>
      <c r="AH1469" s="84"/>
      <c r="AI1469" s="84"/>
      <c r="AJ1469" s="84"/>
      <c r="AK1469" s="84"/>
      <c r="AL1469" s="84"/>
      <c r="AM1469" s="84"/>
      <c r="AN1469" s="84"/>
      <c r="AO1469" s="84"/>
      <c r="AP1469" s="84"/>
      <c r="AQ1469" s="84"/>
      <c r="AR1469" s="84"/>
      <c r="AS1469" s="84"/>
      <c r="AT1469" s="84"/>
      <c r="AU1469" s="84"/>
      <c r="AV1469" s="84"/>
      <c r="AW1469" s="84"/>
      <c r="AX1469" s="84"/>
      <c r="AY1469" s="84"/>
      <c r="AZ1469" s="84"/>
      <c r="BA1469" s="84"/>
      <c r="BB1469" s="84"/>
      <c r="BC1469" s="84"/>
      <c r="BD1469" s="84"/>
      <c r="BE1469" s="84"/>
      <c r="BF1469" s="84"/>
      <c r="BG1469" s="84"/>
      <c r="BH1469" s="84"/>
      <c r="BI1469" s="84"/>
      <c r="BJ1469" s="84"/>
      <c r="BK1469" s="84"/>
      <c r="BL1469" s="84"/>
      <c r="BM1469" s="84"/>
      <c r="BN1469" s="84"/>
      <c r="BO1469" s="84"/>
      <c r="BP1469" s="84"/>
      <c r="BQ1469" s="84"/>
      <c r="BR1469" s="84"/>
      <c r="BS1469" s="84"/>
      <c r="BT1469" s="84"/>
      <c r="BU1469" s="84"/>
      <c r="BV1469" s="84"/>
      <c r="BW1469" s="84"/>
      <c r="BX1469" s="84"/>
      <c r="BY1469" s="84"/>
      <c r="BZ1469" s="84"/>
      <c r="CA1469" s="84"/>
      <c r="CB1469" s="84"/>
      <c r="CC1469" s="84"/>
      <c r="CD1469" s="84"/>
      <c r="CE1469" s="84"/>
      <c r="CF1469" s="84"/>
      <c r="CG1469" s="84"/>
      <c r="CH1469" s="84"/>
      <c r="CI1469" s="84"/>
      <c r="CJ1469" s="84"/>
      <c r="CK1469" s="84"/>
      <c r="CL1469" s="84"/>
      <c r="CM1469" s="84"/>
      <c r="CN1469" s="84"/>
      <c r="CO1469" s="84"/>
      <c r="CP1469" s="84"/>
      <c r="CQ1469" s="101"/>
      <c r="CR1469" s="101"/>
      <c r="CS1469" s="101"/>
      <c r="CT1469" s="101"/>
      <c r="CU1469" s="101"/>
      <c r="CV1469" s="101"/>
      <c r="CW1469" s="101"/>
      <c r="CX1469" s="101"/>
      <c r="CY1469" s="101"/>
      <c r="CZ1469" s="101"/>
      <c r="DA1469" s="101"/>
      <c r="DB1469" s="101"/>
      <c r="DC1469" s="101"/>
      <c r="DD1469" s="101"/>
      <c r="DE1469" s="101"/>
      <c r="DF1469" s="101"/>
      <c r="DG1469" s="101"/>
      <c r="DH1469" s="101"/>
      <c r="DI1469" s="101"/>
      <c r="DJ1469" s="101"/>
      <c r="DK1469" s="101"/>
      <c r="DL1469" s="101"/>
      <c r="DM1469" s="101"/>
      <c r="DN1469" s="101"/>
      <c r="DO1469" s="101"/>
      <c r="DP1469" s="101"/>
      <c r="DQ1469" s="101"/>
    </row>
    <row r="1470" spans="1:121" s="40" customFormat="1" ht="13" x14ac:dyDescent="0.3">
      <c r="A1470" s="101"/>
      <c r="H1470" s="101"/>
      <c r="I1470" s="101"/>
      <c r="U1470" s="13"/>
      <c r="V1470" s="13"/>
      <c r="W1470" s="13"/>
      <c r="X1470" s="13"/>
      <c r="Y1470" s="13"/>
      <c r="Z1470" s="13"/>
      <c r="AA1470" s="13"/>
      <c r="AB1470" s="13"/>
      <c r="AC1470" s="13"/>
      <c r="AD1470" s="13"/>
      <c r="AE1470" s="13"/>
      <c r="AF1470" s="84"/>
      <c r="AG1470" s="84"/>
      <c r="AH1470" s="84"/>
      <c r="AI1470" s="84"/>
      <c r="AJ1470" s="84"/>
      <c r="AK1470" s="84"/>
      <c r="AL1470" s="84"/>
      <c r="AM1470" s="84"/>
      <c r="AN1470" s="84"/>
      <c r="AO1470" s="84"/>
      <c r="AP1470" s="84"/>
      <c r="AQ1470" s="84"/>
      <c r="AR1470" s="84"/>
      <c r="AS1470" s="84"/>
      <c r="AT1470" s="84"/>
      <c r="AU1470" s="84"/>
      <c r="AV1470" s="84"/>
      <c r="AW1470" s="84"/>
      <c r="AX1470" s="84"/>
      <c r="AY1470" s="84"/>
      <c r="AZ1470" s="84"/>
      <c r="BA1470" s="84"/>
      <c r="BB1470" s="84"/>
      <c r="BC1470" s="84"/>
      <c r="BD1470" s="84"/>
      <c r="BE1470" s="84"/>
      <c r="BF1470" s="84"/>
      <c r="BG1470" s="84"/>
      <c r="BH1470" s="84"/>
      <c r="BI1470" s="84"/>
      <c r="BJ1470" s="84"/>
      <c r="BK1470" s="84"/>
      <c r="BL1470" s="84"/>
      <c r="BM1470" s="84"/>
      <c r="BN1470" s="84"/>
      <c r="BO1470" s="84"/>
      <c r="BP1470" s="84"/>
      <c r="BQ1470" s="84"/>
      <c r="BR1470" s="84"/>
      <c r="BS1470" s="84"/>
      <c r="BT1470" s="84"/>
      <c r="BU1470" s="84"/>
      <c r="BV1470" s="84"/>
      <c r="BW1470" s="84"/>
      <c r="BX1470" s="84"/>
      <c r="BY1470" s="84"/>
      <c r="BZ1470" s="84"/>
      <c r="CA1470" s="84"/>
      <c r="CB1470" s="84"/>
      <c r="CC1470" s="84"/>
      <c r="CD1470" s="84"/>
      <c r="CE1470" s="84"/>
      <c r="CF1470" s="84"/>
      <c r="CG1470" s="84"/>
      <c r="CH1470" s="84"/>
      <c r="CI1470" s="84"/>
      <c r="CJ1470" s="84"/>
      <c r="CK1470" s="84"/>
      <c r="CL1470" s="84"/>
      <c r="CM1470" s="84"/>
      <c r="CN1470" s="84"/>
      <c r="CO1470" s="84"/>
      <c r="CP1470" s="84"/>
      <c r="CQ1470" s="101"/>
      <c r="CR1470" s="101"/>
      <c r="CS1470" s="101"/>
      <c r="CT1470" s="101"/>
      <c r="CU1470" s="101"/>
      <c r="CV1470" s="101"/>
      <c r="CW1470" s="101"/>
      <c r="CX1470" s="101"/>
      <c r="CY1470" s="101"/>
      <c r="CZ1470" s="101"/>
      <c r="DA1470" s="101"/>
      <c r="DB1470" s="101"/>
      <c r="DC1470" s="101"/>
      <c r="DD1470" s="101"/>
      <c r="DE1470" s="101"/>
      <c r="DF1470" s="101"/>
      <c r="DG1470" s="101"/>
      <c r="DH1470" s="101"/>
      <c r="DI1470" s="101"/>
      <c r="DJ1470" s="101"/>
      <c r="DK1470" s="101"/>
      <c r="DL1470" s="101"/>
      <c r="DM1470" s="101"/>
      <c r="DN1470" s="101"/>
      <c r="DO1470" s="101"/>
      <c r="DP1470" s="101"/>
      <c r="DQ1470" s="101"/>
    </row>
    <row r="1471" spans="1:121" s="40" customFormat="1" ht="13" x14ac:dyDescent="0.3">
      <c r="A1471" s="101"/>
      <c r="H1471" s="101"/>
      <c r="I1471" s="101"/>
      <c r="U1471" s="13"/>
      <c r="V1471" s="13"/>
      <c r="W1471" s="13"/>
      <c r="X1471" s="13"/>
      <c r="Y1471" s="13"/>
      <c r="Z1471" s="13"/>
      <c r="AA1471" s="13"/>
      <c r="AB1471" s="13"/>
      <c r="AC1471" s="13"/>
      <c r="AD1471" s="13"/>
      <c r="AE1471" s="13"/>
      <c r="AF1471" s="84"/>
      <c r="AG1471" s="84"/>
      <c r="AH1471" s="84"/>
      <c r="AI1471" s="84"/>
      <c r="AJ1471" s="84"/>
      <c r="AK1471" s="84"/>
      <c r="AL1471" s="84"/>
      <c r="AM1471" s="84"/>
      <c r="AN1471" s="84"/>
      <c r="AO1471" s="84"/>
      <c r="AP1471" s="84"/>
      <c r="AQ1471" s="84"/>
      <c r="AR1471" s="84"/>
      <c r="AS1471" s="84"/>
      <c r="AT1471" s="84"/>
      <c r="AU1471" s="84"/>
      <c r="AV1471" s="84"/>
      <c r="AW1471" s="84"/>
      <c r="AX1471" s="84"/>
      <c r="AY1471" s="84"/>
      <c r="AZ1471" s="84"/>
      <c r="BA1471" s="84"/>
      <c r="BB1471" s="84"/>
      <c r="BC1471" s="84"/>
      <c r="BD1471" s="84"/>
      <c r="BE1471" s="84"/>
      <c r="BF1471" s="84"/>
      <c r="BG1471" s="84"/>
      <c r="BH1471" s="84"/>
      <c r="BI1471" s="84"/>
      <c r="BJ1471" s="84"/>
      <c r="BK1471" s="84"/>
      <c r="BL1471" s="84"/>
      <c r="BM1471" s="84"/>
      <c r="BN1471" s="84"/>
      <c r="BO1471" s="84"/>
      <c r="BP1471" s="84"/>
      <c r="BQ1471" s="84"/>
      <c r="BR1471" s="84"/>
      <c r="BS1471" s="84"/>
      <c r="BT1471" s="84"/>
      <c r="BU1471" s="84"/>
      <c r="BV1471" s="84"/>
      <c r="BW1471" s="84"/>
      <c r="BX1471" s="84"/>
      <c r="BY1471" s="84"/>
      <c r="BZ1471" s="84"/>
      <c r="CA1471" s="84"/>
      <c r="CB1471" s="84"/>
      <c r="CC1471" s="84"/>
      <c r="CD1471" s="84"/>
      <c r="CE1471" s="84"/>
      <c r="CF1471" s="84"/>
      <c r="CG1471" s="84"/>
      <c r="CH1471" s="84"/>
      <c r="CI1471" s="84"/>
      <c r="CJ1471" s="84"/>
      <c r="CK1471" s="84"/>
      <c r="CL1471" s="84"/>
      <c r="CM1471" s="84"/>
      <c r="CN1471" s="84"/>
      <c r="CO1471" s="84"/>
      <c r="CP1471" s="84"/>
      <c r="CQ1471" s="101"/>
      <c r="CR1471" s="101"/>
      <c r="CS1471" s="101"/>
      <c r="CT1471" s="101"/>
      <c r="CU1471" s="101"/>
      <c r="CV1471" s="101"/>
      <c r="CW1471" s="101"/>
      <c r="CX1471" s="101"/>
      <c r="CY1471" s="101"/>
      <c r="CZ1471" s="101"/>
      <c r="DA1471" s="101"/>
      <c r="DB1471" s="101"/>
      <c r="DC1471" s="101"/>
      <c r="DD1471" s="101"/>
      <c r="DE1471" s="101"/>
      <c r="DF1471" s="101"/>
      <c r="DG1471" s="101"/>
      <c r="DH1471" s="101"/>
      <c r="DI1471" s="101"/>
      <c r="DJ1471" s="101"/>
      <c r="DK1471" s="101"/>
      <c r="DL1471" s="101"/>
      <c r="DM1471" s="101"/>
      <c r="DN1471" s="101"/>
      <c r="DO1471" s="101"/>
      <c r="DP1471" s="101"/>
      <c r="DQ1471" s="101"/>
    </row>
    <row r="1472" spans="1:121" s="40" customFormat="1" ht="13" x14ac:dyDescent="0.3">
      <c r="A1472" s="101"/>
      <c r="H1472" s="101"/>
      <c r="I1472" s="101"/>
      <c r="U1472" s="13"/>
      <c r="V1472" s="13"/>
      <c r="W1472" s="13"/>
      <c r="X1472" s="13"/>
      <c r="Y1472" s="13"/>
      <c r="Z1472" s="13"/>
      <c r="AA1472" s="13"/>
      <c r="AB1472" s="13"/>
      <c r="AC1472" s="13"/>
      <c r="AD1472" s="13"/>
      <c r="AE1472" s="13"/>
      <c r="AF1472" s="84"/>
      <c r="AG1472" s="84"/>
      <c r="AH1472" s="84"/>
      <c r="AI1472" s="84"/>
      <c r="AJ1472" s="84"/>
      <c r="AK1472" s="84"/>
      <c r="AL1472" s="84"/>
      <c r="AM1472" s="84"/>
      <c r="AN1472" s="84"/>
      <c r="AO1472" s="84"/>
      <c r="AP1472" s="84"/>
      <c r="AQ1472" s="84"/>
      <c r="AR1472" s="84"/>
      <c r="AS1472" s="84"/>
      <c r="AT1472" s="84"/>
      <c r="AU1472" s="84"/>
      <c r="AV1472" s="84"/>
      <c r="AW1472" s="84"/>
      <c r="AX1472" s="84"/>
      <c r="AY1472" s="84"/>
      <c r="AZ1472" s="84"/>
      <c r="BA1472" s="84"/>
      <c r="BB1472" s="84"/>
      <c r="BC1472" s="84"/>
      <c r="BD1472" s="84"/>
      <c r="BE1472" s="84"/>
      <c r="BF1472" s="84"/>
      <c r="BG1472" s="84"/>
      <c r="BH1472" s="84"/>
      <c r="BI1472" s="84"/>
      <c r="BJ1472" s="84"/>
      <c r="BK1472" s="84"/>
      <c r="BL1472" s="84"/>
      <c r="BM1472" s="84"/>
      <c r="BN1472" s="84"/>
      <c r="BO1472" s="84"/>
      <c r="BP1472" s="84"/>
      <c r="BQ1472" s="84"/>
      <c r="BR1472" s="84"/>
      <c r="BS1472" s="84"/>
      <c r="BT1472" s="84"/>
      <c r="BU1472" s="84"/>
      <c r="BV1472" s="84"/>
      <c r="BW1472" s="84"/>
      <c r="BX1472" s="84"/>
      <c r="BY1472" s="84"/>
      <c r="BZ1472" s="84"/>
      <c r="CA1472" s="84"/>
      <c r="CB1472" s="84"/>
      <c r="CC1472" s="84"/>
      <c r="CD1472" s="84"/>
      <c r="CE1472" s="84"/>
      <c r="CF1472" s="84"/>
      <c r="CG1472" s="84"/>
      <c r="CH1472" s="84"/>
      <c r="CI1472" s="84"/>
      <c r="CJ1472" s="84"/>
      <c r="CK1472" s="84"/>
      <c r="CL1472" s="84"/>
      <c r="CM1472" s="84"/>
      <c r="CN1472" s="84"/>
      <c r="CO1472" s="84"/>
      <c r="CP1472" s="84"/>
      <c r="CQ1472" s="101"/>
      <c r="CR1472" s="101"/>
      <c r="CS1472" s="101"/>
      <c r="CT1472" s="101"/>
      <c r="CU1472" s="101"/>
      <c r="CV1472" s="101"/>
      <c r="CW1472" s="101"/>
      <c r="CX1472" s="101"/>
      <c r="CY1472" s="101"/>
      <c r="CZ1472" s="101"/>
      <c r="DA1472" s="101"/>
      <c r="DB1472" s="101"/>
      <c r="DC1472" s="101"/>
      <c r="DD1472" s="101"/>
      <c r="DE1472" s="101"/>
      <c r="DF1472" s="101"/>
      <c r="DG1472" s="101"/>
      <c r="DH1472" s="101"/>
      <c r="DI1472" s="101"/>
      <c r="DJ1472" s="101"/>
      <c r="DK1472" s="101"/>
      <c r="DL1472" s="101"/>
      <c r="DM1472" s="101"/>
      <c r="DN1472" s="101"/>
      <c r="DO1472" s="101"/>
      <c r="DP1472" s="101"/>
      <c r="DQ1472" s="101"/>
    </row>
    <row r="1473" spans="1:121" s="40" customFormat="1" ht="13" x14ac:dyDescent="0.3">
      <c r="A1473" s="101"/>
      <c r="H1473" s="101"/>
      <c r="U1473" s="13"/>
      <c r="V1473" s="13"/>
      <c r="W1473" s="13"/>
      <c r="X1473" s="13"/>
      <c r="Y1473" s="13"/>
      <c r="Z1473" s="13"/>
      <c r="AA1473" s="13"/>
      <c r="AB1473" s="13"/>
      <c r="AC1473" s="13"/>
      <c r="AD1473" s="13"/>
      <c r="AE1473" s="13"/>
      <c r="AF1473" s="84"/>
      <c r="AG1473" s="84"/>
      <c r="AH1473" s="84"/>
      <c r="AI1473" s="84"/>
      <c r="AJ1473" s="84"/>
      <c r="AK1473" s="84"/>
      <c r="AL1473" s="84"/>
      <c r="AM1473" s="84"/>
      <c r="AN1473" s="84"/>
      <c r="AO1473" s="84"/>
      <c r="AP1473" s="84"/>
      <c r="AQ1473" s="84"/>
      <c r="AR1473" s="84"/>
      <c r="AS1473" s="84"/>
      <c r="AT1473" s="84"/>
      <c r="AU1473" s="84"/>
      <c r="AV1473" s="84"/>
      <c r="AW1473" s="84"/>
      <c r="AX1473" s="84"/>
      <c r="AY1473" s="84"/>
      <c r="AZ1473" s="84"/>
      <c r="BA1473" s="84"/>
      <c r="BB1473" s="84"/>
      <c r="BC1473" s="84"/>
      <c r="BD1473" s="84"/>
      <c r="BE1473" s="84"/>
      <c r="BF1473" s="84"/>
      <c r="BG1473" s="84"/>
      <c r="BH1473" s="84"/>
      <c r="BI1473" s="84"/>
      <c r="BJ1473" s="84"/>
      <c r="BK1473" s="84"/>
      <c r="BL1473" s="84"/>
      <c r="BM1473" s="84"/>
      <c r="BN1473" s="84"/>
      <c r="BO1473" s="84"/>
      <c r="BP1473" s="84"/>
      <c r="BQ1473" s="84"/>
      <c r="BR1473" s="84"/>
      <c r="BS1473" s="84"/>
      <c r="BT1473" s="84"/>
      <c r="BU1473" s="84"/>
      <c r="BV1473" s="84"/>
      <c r="BW1473" s="84"/>
      <c r="BX1473" s="84"/>
      <c r="BY1473" s="84"/>
      <c r="BZ1473" s="84"/>
      <c r="CA1473" s="84"/>
      <c r="CB1473" s="84"/>
      <c r="CC1473" s="84"/>
      <c r="CD1473" s="84"/>
      <c r="CE1473" s="84"/>
      <c r="CF1473" s="84"/>
      <c r="CG1473" s="84"/>
      <c r="CH1473" s="84"/>
      <c r="CI1473" s="84"/>
      <c r="CJ1473" s="84"/>
      <c r="CK1473" s="84"/>
      <c r="CL1473" s="84"/>
      <c r="CM1473" s="84"/>
      <c r="CN1473" s="84"/>
      <c r="CO1473" s="84"/>
      <c r="CP1473" s="84"/>
      <c r="CQ1473" s="101"/>
      <c r="CR1473" s="101"/>
      <c r="CS1473" s="101"/>
      <c r="CT1473" s="101"/>
      <c r="CU1473" s="101"/>
      <c r="CV1473" s="101"/>
      <c r="CW1473" s="101"/>
      <c r="CX1473" s="101"/>
      <c r="CY1473" s="101"/>
      <c r="CZ1473" s="101"/>
      <c r="DA1473" s="101"/>
      <c r="DB1473" s="101"/>
      <c r="DC1473" s="101"/>
      <c r="DD1473" s="101"/>
      <c r="DE1473" s="101"/>
      <c r="DF1473" s="101"/>
      <c r="DG1473" s="101"/>
      <c r="DH1473" s="101"/>
      <c r="DI1473" s="101"/>
      <c r="DJ1473" s="101"/>
      <c r="DK1473" s="101"/>
      <c r="DL1473" s="101"/>
      <c r="DM1473" s="101"/>
      <c r="DN1473" s="101"/>
      <c r="DO1473" s="101"/>
      <c r="DP1473" s="101"/>
      <c r="DQ1473" s="101"/>
    </row>
    <row r="1474" spans="1:121" s="40" customFormat="1" ht="13" x14ac:dyDescent="0.3">
      <c r="A1474" s="101"/>
      <c r="H1474" s="101"/>
      <c r="U1474" s="13"/>
      <c r="V1474" s="13"/>
      <c r="W1474" s="13"/>
      <c r="X1474" s="13"/>
      <c r="Y1474" s="13"/>
      <c r="Z1474" s="13"/>
      <c r="AA1474" s="13"/>
      <c r="AB1474" s="13"/>
      <c r="AC1474" s="13"/>
      <c r="AD1474" s="13"/>
      <c r="AE1474" s="13"/>
      <c r="AF1474" s="84"/>
      <c r="AG1474" s="84"/>
      <c r="AH1474" s="84"/>
      <c r="AI1474" s="84"/>
      <c r="AJ1474" s="84"/>
      <c r="AK1474" s="84"/>
      <c r="AL1474" s="84"/>
      <c r="AM1474" s="84"/>
      <c r="AN1474" s="84"/>
      <c r="AO1474" s="84"/>
      <c r="AP1474" s="84"/>
      <c r="AQ1474" s="84"/>
      <c r="AR1474" s="84"/>
      <c r="AS1474" s="84"/>
      <c r="AT1474" s="84"/>
      <c r="AU1474" s="84"/>
      <c r="AV1474" s="84"/>
      <c r="AW1474" s="84"/>
      <c r="AX1474" s="84"/>
      <c r="AY1474" s="84"/>
      <c r="AZ1474" s="84"/>
      <c r="BA1474" s="84"/>
      <c r="BB1474" s="84"/>
      <c r="BC1474" s="84"/>
      <c r="BD1474" s="84"/>
      <c r="BE1474" s="84"/>
      <c r="BF1474" s="84"/>
      <c r="BG1474" s="84"/>
      <c r="BH1474" s="84"/>
      <c r="BI1474" s="84"/>
      <c r="BJ1474" s="84"/>
      <c r="BK1474" s="84"/>
      <c r="BL1474" s="84"/>
      <c r="BM1474" s="84"/>
      <c r="BN1474" s="84"/>
      <c r="BO1474" s="84"/>
      <c r="BP1474" s="84"/>
      <c r="BQ1474" s="84"/>
      <c r="BR1474" s="84"/>
      <c r="BS1474" s="84"/>
      <c r="BT1474" s="84"/>
      <c r="BU1474" s="84"/>
      <c r="BV1474" s="84"/>
      <c r="BW1474" s="84"/>
      <c r="BX1474" s="84"/>
      <c r="BY1474" s="84"/>
      <c r="BZ1474" s="84"/>
      <c r="CA1474" s="84"/>
      <c r="CB1474" s="84"/>
      <c r="CC1474" s="84"/>
      <c r="CD1474" s="84"/>
      <c r="CE1474" s="84"/>
      <c r="CF1474" s="84"/>
      <c r="CG1474" s="84"/>
      <c r="CH1474" s="84"/>
      <c r="CI1474" s="84"/>
      <c r="CJ1474" s="84"/>
      <c r="CK1474" s="84"/>
      <c r="CL1474" s="84"/>
      <c r="CM1474" s="84"/>
      <c r="CN1474" s="84"/>
      <c r="CO1474" s="84"/>
      <c r="CP1474" s="84"/>
      <c r="CQ1474" s="101"/>
      <c r="CR1474" s="101"/>
      <c r="CS1474" s="101"/>
      <c r="CT1474" s="101"/>
      <c r="CU1474" s="101"/>
      <c r="CV1474" s="101"/>
      <c r="CW1474" s="101"/>
      <c r="CX1474" s="101"/>
      <c r="CY1474" s="101"/>
      <c r="CZ1474" s="101"/>
      <c r="DA1474" s="101"/>
      <c r="DB1474" s="101"/>
      <c r="DC1474" s="101"/>
      <c r="DD1474" s="101"/>
      <c r="DE1474" s="101"/>
      <c r="DF1474" s="101"/>
      <c r="DG1474" s="101"/>
      <c r="DH1474" s="101"/>
      <c r="DI1474" s="101"/>
      <c r="DJ1474" s="101"/>
      <c r="DK1474" s="101"/>
      <c r="DL1474" s="101"/>
      <c r="DM1474" s="101"/>
      <c r="DN1474" s="101"/>
      <c r="DO1474" s="101"/>
      <c r="DP1474" s="101"/>
      <c r="DQ1474" s="101"/>
    </row>
    <row r="1475" spans="1:121" s="40" customFormat="1" ht="13" x14ac:dyDescent="0.3">
      <c r="A1475" s="101"/>
      <c r="H1475" s="101"/>
      <c r="U1475" s="13"/>
      <c r="V1475" s="13"/>
      <c r="W1475" s="13"/>
      <c r="X1475" s="13"/>
      <c r="Y1475" s="13"/>
      <c r="Z1475" s="13"/>
      <c r="AA1475" s="13"/>
      <c r="AB1475" s="13"/>
      <c r="AC1475" s="13"/>
      <c r="AD1475" s="13"/>
      <c r="AE1475" s="13"/>
      <c r="AF1475" s="84"/>
      <c r="AG1475" s="84"/>
      <c r="AH1475" s="84"/>
      <c r="AI1475" s="84"/>
      <c r="AJ1475" s="84"/>
      <c r="AK1475" s="84"/>
      <c r="AL1475" s="84"/>
      <c r="AM1475" s="84"/>
      <c r="AN1475" s="84"/>
      <c r="AO1475" s="84"/>
      <c r="AP1475" s="84"/>
      <c r="AQ1475" s="84"/>
      <c r="AR1475" s="84"/>
      <c r="AS1475" s="84"/>
      <c r="AT1475" s="84"/>
      <c r="AU1475" s="84"/>
      <c r="AV1475" s="84"/>
      <c r="AW1475" s="84"/>
      <c r="AX1475" s="84"/>
      <c r="AY1475" s="84"/>
      <c r="AZ1475" s="84"/>
      <c r="BA1475" s="84"/>
      <c r="BB1475" s="84"/>
      <c r="BC1475" s="84"/>
      <c r="BD1475" s="84"/>
      <c r="BE1475" s="84"/>
      <c r="BF1475" s="84"/>
      <c r="BG1475" s="84"/>
      <c r="BH1475" s="84"/>
      <c r="BI1475" s="84"/>
      <c r="BJ1475" s="84"/>
      <c r="BK1475" s="84"/>
      <c r="BL1475" s="84"/>
      <c r="BM1475" s="84"/>
      <c r="BN1475" s="84"/>
      <c r="BO1475" s="84"/>
      <c r="BP1475" s="84"/>
      <c r="BQ1475" s="84"/>
      <c r="BR1475" s="84"/>
      <c r="BS1475" s="84"/>
      <c r="BT1475" s="84"/>
      <c r="BU1475" s="84"/>
      <c r="BV1475" s="84"/>
      <c r="BW1475" s="84"/>
      <c r="BX1475" s="84"/>
      <c r="BY1475" s="84"/>
      <c r="BZ1475" s="84"/>
      <c r="CA1475" s="84"/>
      <c r="CB1475" s="84"/>
      <c r="CC1475" s="84"/>
      <c r="CD1475" s="84"/>
      <c r="CE1475" s="84"/>
      <c r="CF1475" s="84"/>
      <c r="CG1475" s="84"/>
      <c r="CH1475" s="84"/>
      <c r="CI1475" s="84"/>
      <c r="CJ1475" s="84"/>
      <c r="CK1475" s="84"/>
      <c r="CL1475" s="84"/>
      <c r="CM1475" s="84"/>
      <c r="CN1475" s="84"/>
      <c r="CO1475" s="84"/>
      <c r="CP1475" s="84"/>
      <c r="CQ1475" s="101"/>
      <c r="CR1475" s="101"/>
      <c r="CS1475" s="101"/>
      <c r="CT1475" s="101"/>
      <c r="CU1475" s="101"/>
      <c r="CV1475" s="101"/>
      <c r="CW1475" s="101"/>
      <c r="CX1475" s="101"/>
      <c r="CY1475" s="101"/>
      <c r="CZ1475" s="101"/>
      <c r="DA1475" s="101"/>
      <c r="DB1475" s="101"/>
      <c r="DC1475" s="101"/>
      <c r="DD1475" s="101"/>
      <c r="DE1475" s="101"/>
      <c r="DF1475" s="101"/>
      <c r="DG1475" s="101"/>
      <c r="DH1475" s="101"/>
      <c r="DI1475" s="101"/>
      <c r="DJ1475" s="101"/>
      <c r="DK1475" s="101"/>
      <c r="DL1475" s="101"/>
      <c r="DM1475" s="101"/>
      <c r="DN1475" s="101"/>
      <c r="DO1475" s="101"/>
      <c r="DP1475" s="101"/>
      <c r="DQ1475" s="101"/>
    </row>
    <row r="1476" spans="1:121" s="40" customFormat="1" ht="13" x14ac:dyDescent="0.3">
      <c r="A1476" s="101"/>
      <c r="H1476" s="101"/>
      <c r="U1476" s="13"/>
      <c r="V1476" s="13"/>
      <c r="W1476" s="13"/>
      <c r="X1476" s="13"/>
      <c r="Y1476" s="13"/>
      <c r="Z1476" s="13"/>
      <c r="AA1476" s="13"/>
      <c r="AB1476" s="13"/>
      <c r="AC1476" s="13"/>
      <c r="AD1476" s="13"/>
      <c r="AE1476" s="13"/>
      <c r="AF1476" s="84"/>
      <c r="AG1476" s="84"/>
      <c r="AH1476" s="84"/>
      <c r="AI1476" s="84"/>
      <c r="AJ1476" s="84"/>
      <c r="AK1476" s="84"/>
      <c r="AL1476" s="84"/>
      <c r="AM1476" s="84"/>
      <c r="AN1476" s="84"/>
      <c r="AO1476" s="84"/>
      <c r="AP1476" s="84"/>
      <c r="AQ1476" s="84"/>
      <c r="AR1476" s="84"/>
      <c r="AS1476" s="84"/>
      <c r="AT1476" s="84"/>
      <c r="AU1476" s="84"/>
      <c r="AV1476" s="84"/>
      <c r="AW1476" s="84"/>
      <c r="AX1476" s="84"/>
      <c r="AY1476" s="84"/>
      <c r="AZ1476" s="84"/>
      <c r="BA1476" s="84"/>
      <c r="BB1476" s="84"/>
      <c r="BC1476" s="84"/>
      <c r="BD1476" s="84"/>
      <c r="BE1476" s="84"/>
      <c r="BF1476" s="84"/>
      <c r="BG1476" s="84"/>
      <c r="BH1476" s="84"/>
      <c r="BI1476" s="84"/>
      <c r="BJ1476" s="84"/>
      <c r="BK1476" s="84"/>
      <c r="BL1476" s="84"/>
      <c r="BM1476" s="84"/>
      <c r="BN1476" s="84"/>
      <c r="BO1476" s="84"/>
      <c r="BP1476" s="84"/>
      <c r="BQ1476" s="84"/>
      <c r="BR1476" s="84"/>
      <c r="BS1476" s="84"/>
      <c r="BT1476" s="84"/>
      <c r="BU1476" s="84"/>
      <c r="BV1476" s="84"/>
      <c r="BW1476" s="84"/>
      <c r="BX1476" s="84"/>
      <c r="BY1476" s="84"/>
      <c r="BZ1476" s="84"/>
      <c r="CA1476" s="84"/>
      <c r="CB1476" s="84"/>
      <c r="CC1476" s="84"/>
      <c r="CD1476" s="84"/>
      <c r="CE1476" s="84"/>
      <c r="CF1476" s="84"/>
      <c r="CG1476" s="84"/>
      <c r="CH1476" s="84"/>
      <c r="CI1476" s="84"/>
      <c r="CJ1476" s="84"/>
      <c r="CK1476" s="84"/>
      <c r="CL1476" s="84"/>
      <c r="CM1476" s="84"/>
      <c r="CN1476" s="84"/>
      <c r="CO1476" s="84"/>
      <c r="CP1476" s="84"/>
      <c r="CQ1476" s="101"/>
      <c r="CR1476" s="101"/>
      <c r="CS1476" s="101"/>
      <c r="CT1476" s="101"/>
      <c r="CU1476" s="101"/>
      <c r="CV1476" s="101"/>
      <c r="CW1476" s="101"/>
      <c r="CX1476" s="101"/>
      <c r="CY1476" s="101"/>
      <c r="CZ1476" s="101"/>
      <c r="DA1476" s="101"/>
      <c r="DB1476" s="101"/>
      <c r="DC1476" s="101"/>
      <c r="DD1476" s="101"/>
      <c r="DE1476" s="101"/>
      <c r="DF1476" s="101"/>
      <c r="DG1476" s="101"/>
      <c r="DH1476" s="101"/>
      <c r="DI1476" s="101"/>
      <c r="DJ1476" s="101"/>
      <c r="DK1476" s="101"/>
      <c r="DL1476" s="101"/>
      <c r="DM1476" s="101"/>
      <c r="DN1476" s="101"/>
      <c r="DO1476" s="101"/>
      <c r="DP1476" s="101"/>
      <c r="DQ1476" s="101"/>
    </row>
    <row r="1477" spans="1:121" s="40" customFormat="1" ht="13" x14ac:dyDescent="0.3">
      <c r="A1477" s="101"/>
      <c r="H1477" s="101"/>
      <c r="U1477" s="13"/>
      <c r="V1477" s="13"/>
      <c r="W1477" s="13"/>
      <c r="X1477" s="13"/>
      <c r="Y1477" s="13"/>
      <c r="Z1477" s="13"/>
      <c r="AA1477" s="13"/>
      <c r="AB1477" s="13"/>
      <c r="AC1477" s="13"/>
      <c r="AD1477" s="13"/>
      <c r="AE1477" s="13"/>
      <c r="AF1477" s="84"/>
      <c r="AG1477" s="84"/>
      <c r="AH1477" s="84"/>
      <c r="AI1477" s="84"/>
      <c r="AJ1477" s="84"/>
      <c r="AK1477" s="84"/>
      <c r="AL1477" s="84"/>
      <c r="AM1477" s="84"/>
      <c r="AN1477" s="84"/>
      <c r="AO1477" s="84"/>
      <c r="AP1477" s="84"/>
      <c r="AQ1477" s="84"/>
      <c r="AR1477" s="84"/>
      <c r="AS1477" s="84"/>
      <c r="AT1477" s="84"/>
      <c r="AU1477" s="84"/>
      <c r="AV1477" s="84"/>
      <c r="AW1477" s="84"/>
      <c r="AX1477" s="84"/>
      <c r="AY1477" s="84"/>
      <c r="AZ1477" s="84"/>
      <c r="BA1477" s="84"/>
      <c r="BB1477" s="84"/>
      <c r="BC1477" s="84"/>
      <c r="BD1477" s="84"/>
      <c r="BE1477" s="84"/>
      <c r="BF1477" s="84"/>
      <c r="BG1477" s="84"/>
      <c r="BH1477" s="84"/>
      <c r="BI1477" s="84"/>
      <c r="BJ1477" s="84"/>
      <c r="BK1477" s="84"/>
      <c r="BL1477" s="84"/>
      <c r="BM1477" s="84"/>
      <c r="BN1477" s="84"/>
      <c r="BO1477" s="84"/>
      <c r="BP1477" s="84"/>
      <c r="BQ1477" s="84"/>
      <c r="BR1477" s="84"/>
      <c r="BS1477" s="84"/>
      <c r="BT1477" s="84"/>
      <c r="BU1477" s="84"/>
      <c r="BV1477" s="84"/>
      <c r="BW1477" s="84"/>
      <c r="BX1477" s="84"/>
      <c r="BY1477" s="84"/>
      <c r="BZ1477" s="84"/>
      <c r="CA1477" s="84"/>
      <c r="CB1477" s="84"/>
      <c r="CC1477" s="84"/>
      <c r="CD1477" s="84"/>
      <c r="CE1477" s="84"/>
      <c r="CF1477" s="84"/>
      <c r="CG1477" s="84"/>
      <c r="CH1477" s="84"/>
      <c r="CI1477" s="84"/>
      <c r="CJ1477" s="84"/>
      <c r="CK1477" s="84"/>
      <c r="CL1477" s="84"/>
      <c r="CM1477" s="84"/>
      <c r="CN1477" s="84"/>
      <c r="CO1477" s="84"/>
      <c r="CP1477" s="84"/>
      <c r="CQ1477" s="101"/>
      <c r="CR1477" s="101"/>
      <c r="CS1477" s="101"/>
      <c r="CT1477" s="101"/>
      <c r="CU1477" s="101"/>
      <c r="CV1477" s="101"/>
      <c r="CW1477" s="101"/>
      <c r="CX1477" s="101"/>
      <c r="CY1477" s="101"/>
      <c r="CZ1477" s="101"/>
      <c r="DA1477" s="101"/>
      <c r="DB1477" s="101"/>
      <c r="DC1477" s="101"/>
      <c r="DD1477" s="101"/>
      <c r="DE1477" s="101"/>
      <c r="DF1477" s="101"/>
      <c r="DG1477" s="101"/>
      <c r="DH1477" s="101"/>
      <c r="DI1477" s="101"/>
      <c r="DJ1477" s="101"/>
      <c r="DK1477" s="101"/>
      <c r="DL1477" s="101"/>
      <c r="DM1477" s="101"/>
      <c r="DN1477" s="101"/>
      <c r="DO1477" s="101"/>
      <c r="DP1477" s="101"/>
      <c r="DQ1477" s="101"/>
    </row>
    <row r="1478" spans="1:121" s="40" customFormat="1" ht="13" x14ac:dyDescent="0.3">
      <c r="A1478" s="101"/>
      <c r="H1478" s="101"/>
      <c r="U1478" s="13"/>
      <c r="V1478" s="13"/>
      <c r="W1478" s="13"/>
      <c r="X1478" s="13"/>
      <c r="Y1478" s="13"/>
      <c r="Z1478" s="13"/>
      <c r="AA1478" s="13"/>
      <c r="AB1478" s="13"/>
      <c r="AC1478" s="13"/>
      <c r="AD1478" s="13"/>
      <c r="AE1478" s="13"/>
      <c r="AF1478" s="84"/>
      <c r="AG1478" s="84"/>
      <c r="AH1478" s="84"/>
      <c r="AI1478" s="84"/>
      <c r="AJ1478" s="84"/>
      <c r="AK1478" s="84"/>
      <c r="AL1478" s="84"/>
      <c r="AM1478" s="84"/>
      <c r="AN1478" s="84"/>
      <c r="AO1478" s="84"/>
      <c r="AP1478" s="84"/>
      <c r="AQ1478" s="84"/>
      <c r="AR1478" s="84"/>
      <c r="AS1478" s="84"/>
      <c r="AT1478" s="84"/>
      <c r="AU1478" s="84"/>
      <c r="AV1478" s="84"/>
      <c r="AW1478" s="84"/>
      <c r="AX1478" s="84"/>
      <c r="AY1478" s="84"/>
      <c r="AZ1478" s="84"/>
      <c r="BA1478" s="84"/>
      <c r="BB1478" s="84"/>
      <c r="BC1478" s="84"/>
      <c r="BD1478" s="84"/>
      <c r="BE1478" s="84"/>
      <c r="BF1478" s="84"/>
      <c r="BG1478" s="84"/>
      <c r="BH1478" s="84"/>
      <c r="BI1478" s="84"/>
      <c r="BJ1478" s="84"/>
      <c r="BK1478" s="84"/>
      <c r="BL1478" s="84"/>
      <c r="BM1478" s="84"/>
      <c r="BN1478" s="84"/>
      <c r="BO1478" s="84"/>
      <c r="BP1478" s="84"/>
      <c r="BQ1478" s="84"/>
      <c r="BR1478" s="84"/>
      <c r="BS1478" s="84"/>
      <c r="BT1478" s="84"/>
      <c r="BU1478" s="84"/>
      <c r="BV1478" s="84"/>
      <c r="BW1478" s="84"/>
      <c r="BX1478" s="84"/>
      <c r="BY1478" s="84"/>
      <c r="BZ1478" s="84"/>
      <c r="CA1478" s="84"/>
      <c r="CB1478" s="84"/>
      <c r="CC1478" s="84"/>
      <c r="CD1478" s="84"/>
      <c r="CE1478" s="84"/>
      <c r="CF1478" s="84"/>
      <c r="CG1478" s="84"/>
      <c r="CH1478" s="84"/>
      <c r="CI1478" s="84"/>
      <c r="CJ1478" s="84"/>
      <c r="CK1478" s="84"/>
      <c r="CL1478" s="84"/>
      <c r="CM1478" s="84"/>
      <c r="CN1478" s="84"/>
      <c r="CO1478" s="84"/>
      <c r="CP1478" s="84"/>
      <c r="CQ1478" s="101"/>
      <c r="CR1478" s="101"/>
      <c r="CS1478" s="101"/>
      <c r="CT1478" s="101"/>
      <c r="CU1478" s="101"/>
      <c r="CV1478" s="101"/>
      <c r="CW1478" s="101"/>
      <c r="CX1478" s="101"/>
      <c r="CY1478" s="101"/>
      <c r="CZ1478" s="101"/>
      <c r="DA1478" s="101"/>
      <c r="DB1478" s="101"/>
      <c r="DC1478" s="101"/>
      <c r="DD1478" s="101"/>
      <c r="DE1478" s="101"/>
      <c r="DF1478" s="101"/>
      <c r="DG1478" s="101"/>
      <c r="DH1478" s="101"/>
      <c r="DI1478" s="101"/>
      <c r="DJ1478" s="101"/>
      <c r="DK1478" s="101"/>
      <c r="DL1478" s="101"/>
      <c r="DM1478" s="101"/>
      <c r="DN1478" s="101"/>
      <c r="DO1478" s="101"/>
      <c r="DP1478" s="101"/>
      <c r="DQ1478" s="101"/>
    </row>
    <row r="1479" spans="1:121" s="40" customFormat="1" ht="13" x14ac:dyDescent="0.3">
      <c r="A1479" s="101"/>
      <c r="H1479" s="101"/>
      <c r="U1479" s="13"/>
      <c r="V1479" s="13"/>
      <c r="W1479" s="13"/>
      <c r="X1479" s="13"/>
      <c r="Y1479" s="13"/>
      <c r="Z1479" s="13"/>
      <c r="AA1479" s="13"/>
      <c r="AB1479" s="13"/>
      <c r="AC1479" s="13"/>
      <c r="AD1479" s="13"/>
      <c r="AE1479" s="13"/>
      <c r="AF1479" s="84"/>
      <c r="AG1479" s="84"/>
      <c r="AH1479" s="84"/>
      <c r="AI1479" s="84"/>
      <c r="AJ1479" s="84"/>
      <c r="AK1479" s="84"/>
      <c r="AL1479" s="84"/>
      <c r="AM1479" s="84"/>
      <c r="AN1479" s="84"/>
      <c r="AO1479" s="84"/>
      <c r="AP1479" s="84"/>
      <c r="AQ1479" s="84"/>
      <c r="AR1479" s="84"/>
      <c r="AS1479" s="84"/>
      <c r="AT1479" s="84"/>
      <c r="AU1479" s="84"/>
      <c r="AV1479" s="84"/>
      <c r="AW1479" s="84"/>
      <c r="AX1479" s="84"/>
      <c r="AY1479" s="84"/>
      <c r="AZ1479" s="84"/>
      <c r="BA1479" s="84"/>
      <c r="BB1479" s="84"/>
      <c r="BC1479" s="84"/>
      <c r="BD1479" s="84"/>
      <c r="BE1479" s="84"/>
      <c r="BF1479" s="84"/>
      <c r="BG1479" s="84"/>
      <c r="BH1479" s="84"/>
      <c r="BI1479" s="84"/>
      <c r="BJ1479" s="84"/>
      <c r="BK1479" s="84"/>
      <c r="BL1479" s="84"/>
      <c r="BM1479" s="84"/>
      <c r="BN1479" s="84"/>
      <c r="BO1479" s="84"/>
      <c r="BP1479" s="84"/>
      <c r="BQ1479" s="84"/>
      <c r="BR1479" s="84"/>
      <c r="BS1479" s="84"/>
      <c r="BT1479" s="84"/>
      <c r="BU1479" s="84"/>
      <c r="BV1479" s="84"/>
      <c r="BW1479" s="84"/>
      <c r="BX1479" s="84"/>
      <c r="BY1479" s="84"/>
      <c r="BZ1479" s="84"/>
      <c r="CA1479" s="84"/>
      <c r="CB1479" s="84"/>
      <c r="CC1479" s="84"/>
      <c r="CD1479" s="84"/>
      <c r="CE1479" s="84"/>
      <c r="CF1479" s="84"/>
      <c r="CG1479" s="84"/>
      <c r="CH1479" s="84"/>
      <c r="CI1479" s="84"/>
      <c r="CJ1479" s="84"/>
      <c r="CK1479" s="84"/>
      <c r="CL1479" s="84"/>
      <c r="CM1479" s="84"/>
      <c r="CN1479" s="84"/>
      <c r="CO1479" s="84"/>
      <c r="CP1479" s="84"/>
      <c r="CQ1479" s="101"/>
      <c r="CR1479" s="101"/>
      <c r="CS1479" s="101"/>
      <c r="CT1479" s="101"/>
      <c r="CU1479" s="101"/>
      <c r="CV1479" s="101"/>
      <c r="CW1479" s="101"/>
      <c r="CX1479" s="101"/>
      <c r="CY1479" s="101"/>
      <c r="CZ1479" s="101"/>
      <c r="DA1479" s="101"/>
      <c r="DB1479" s="101"/>
      <c r="DC1479" s="101"/>
      <c r="DD1479" s="101"/>
      <c r="DE1479" s="101"/>
      <c r="DF1479" s="101"/>
      <c r="DG1479" s="101"/>
      <c r="DH1479" s="101"/>
      <c r="DI1479" s="101"/>
      <c r="DJ1479" s="101"/>
      <c r="DK1479" s="101"/>
      <c r="DL1479" s="101"/>
      <c r="DM1479" s="101"/>
      <c r="DN1479" s="101"/>
      <c r="DO1479" s="101"/>
      <c r="DP1479" s="101"/>
      <c r="DQ1479" s="101"/>
    </row>
    <row r="1480" spans="1:121" s="40" customFormat="1" ht="13" x14ac:dyDescent="0.3">
      <c r="A1480" s="101"/>
      <c r="H1480" s="101"/>
      <c r="U1480" s="13"/>
      <c r="V1480" s="13"/>
      <c r="W1480" s="13"/>
      <c r="X1480" s="13"/>
      <c r="Y1480" s="13"/>
      <c r="Z1480" s="13"/>
      <c r="AA1480" s="13"/>
      <c r="AB1480" s="13"/>
      <c r="AC1480" s="13"/>
      <c r="AD1480" s="13"/>
      <c r="AE1480" s="13"/>
      <c r="AF1480" s="84"/>
      <c r="AG1480" s="84"/>
      <c r="AH1480" s="84"/>
      <c r="AI1480" s="84"/>
      <c r="AJ1480" s="84"/>
      <c r="AK1480" s="84"/>
      <c r="AL1480" s="84"/>
      <c r="AM1480" s="84"/>
      <c r="AN1480" s="84"/>
      <c r="AO1480" s="84"/>
      <c r="AP1480" s="84"/>
      <c r="AQ1480" s="84"/>
      <c r="AR1480" s="84"/>
      <c r="AS1480" s="84"/>
      <c r="AT1480" s="84"/>
      <c r="AU1480" s="84"/>
      <c r="AV1480" s="84"/>
      <c r="AW1480" s="84"/>
      <c r="AX1480" s="84"/>
      <c r="AY1480" s="84"/>
      <c r="AZ1480" s="84"/>
      <c r="BA1480" s="84"/>
      <c r="BB1480" s="84"/>
      <c r="BC1480" s="84"/>
      <c r="BD1480" s="84"/>
      <c r="BE1480" s="84"/>
      <c r="BF1480" s="84"/>
      <c r="BG1480" s="84"/>
      <c r="BH1480" s="84"/>
      <c r="BI1480" s="84"/>
      <c r="BJ1480" s="84"/>
      <c r="BK1480" s="84"/>
      <c r="BL1480" s="84"/>
      <c r="BM1480" s="84"/>
      <c r="BN1480" s="84"/>
      <c r="BO1480" s="84"/>
      <c r="BP1480" s="84"/>
      <c r="BQ1480" s="84"/>
      <c r="BR1480" s="84"/>
      <c r="BS1480" s="84"/>
      <c r="BT1480" s="84"/>
      <c r="BU1480" s="84"/>
      <c r="BV1480" s="84"/>
      <c r="BW1480" s="84"/>
      <c r="BX1480" s="84"/>
      <c r="BY1480" s="84"/>
      <c r="BZ1480" s="84"/>
      <c r="CA1480" s="84"/>
      <c r="CB1480" s="84"/>
      <c r="CC1480" s="84"/>
      <c r="CD1480" s="84"/>
      <c r="CE1480" s="84"/>
      <c r="CF1480" s="84"/>
      <c r="CG1480" s="84"/>
      <c r="CH1480" s="84"/>
      <c r="CI1480" s="84"/>
      <c r="CJ1480" s="84"/>
      <c r="CK1480" s="84"/>
      <c r="CL1480" s="84"/>
      <c r="CM1480" s="84"/>
      <c r="CN1480" s="84"/>
      <c r="CO1480" s="84"/>
      <c r="CP1480" s="84"/>
      <c r="CQ1480" s="101"/>
      <c r="CR1480" s="101"/>
      <c r="CS1480" s="101"/>
      <c r="CT1480" s="101"/>
      <c r="CU1480" s="101"/>
      <c r="CV1480" s="101"/>
      <c r="CW1480" s="101"/>
      <c r="CX1480" s="101"/>
      <c r="CY1480" s="101"/>
      <c r="CZ1480" s="101"/>
      <c r="DA1480" s="101"/>
      <c r="DB1480" s="101"/>
      <c r="DC1480" s="101"/>
      <c r="DD1480" s="101"/>
      <c r="DE1480" s="101"/>
      <c r="DF1480" s="101"/>
      <c r="DG1480" s="101"/>
      <c r="DH1480" s="101"/>
      <c r="DI1480" s="101"/>
      <c r="DJ1480" s="101"/>
      <c r="DK1480" s="101"/>
      <c r="DL1480" s="101"/>
      <c r="DM1480" s="101"/>
      <c r="DN1480" s="101"/>
      <c r="DO1480" s="101"/>
      <c r="DP1480" s="101"/>
      <c r="DQ1480" s="101"/>
    </row>
    <row r="1481" spans="1:121" s="40" customFormat="1" ht="13" x14ac:dyDescent="0.3">
      <c r="A1481" s="101"/>
      <c r="H1481" s="101"/>
      <c r="U1481" s="13"/>
      <c r="V1481" s="13"/>
      <c r="W1481" s="13"/>
      <c r="X1481" s="13"/>
      <c r="Y1481" s="13"/>
      <c r="Z1481" s="13"/>
      <c r="AA1481" s="13"/>
      <c r="AB1481" s="13"/>
      <c r="AC1481" s="13"/>
      <c r="AD1481" s="13"/>
      <c r="AE1481" s="13"/>
      <c r="AF1481" s="84"/>
      <c r="AG1481" s="84"/>
      <c r="AH1481" s="84"/>
      <c r="AI1481" s="84"/>
      <c r="AJ1481" s="84"/>
      <c r="AK1481" s="84"/>
      <c r="AL1481" s="84"/>
      <c r="AM1481" s="84"/>
      <c r="AN1481" s="84"/>
      <c r="AO1481" s="84"/>
      <c r="AP1481" s="84"/>
      <c r="AQ1481" s="84"/>
      <c r="AR1481" s="84"/>
      <c r="AS1481" s="84"/>
      <c r="AT1481" s="84"/>
      <c r="AU1481" s="84"/>
      <c r="AV1481" s="84"/>
      <c r="AW1481" s="84"/>
      <c r="AX1481" s="84"/>
      <c r="AY1481" s="84"/>
      <c r="AZ1481" s="84"/>
      <c r="BA1481" s="84"/>
      <c r="BB1481" s="84"/>
      <c r="BC1481" s="84"/>
      <c r="BD1481" s="84"/>
      <c r="BE1481" s="84"/>
      <c r="BF1481" s="84"/>
      <c r="BG1481" s="84"/>
      <c r="BH1481" s="84"/>
      <c r="BI1481" s="84"/>
      <c r="BJ1481" s="84"/>
      <c r="BK1481" s="84"/>
      <c r="BL1481" s="84"/>
      <c r="BM1481" s="84"/>
      <c r="BN1481" s="84"/>
      <c r="BO1481" s="84"/>
      <c r="BP1481" s="84"/>
      <c r="BQ1481" s="84"/>
      <c r="BR1481" s="84"/>
      <c r="BS1481" s="84"/>
      <c r="BT1481" s="84"/>
      <c r="BU1481" s="84"/>
      <c r="BV1481" s="84"/>
      <c r="BW1481" s="84"/>
      <c r="BX1481" s="84"/>
      <c r="BY1481" s="84"/>
      <c r="BZ1481" s="84"/>
      <c r="CA1481" s="84"/>
      <c r="CB1481" s="84"/>
      <c r="CC1481" s="84"/>
      <c r="CD1481" s="84"/>
      <c r="CE1481" s="84"/>
      <c r="CF1481" s="84"/>
      <c r="CG1481" s="84"/>
      <c r="CH1481" s="84"/>
      <c r="CI1481" s="84"/>
      <c r="CJ1481" s="84"/>
      <c r="CK1481" s="84"/>
      <c r="CL1481" s="84"/>
      <c r="CM1481" s="84"/>
      <c r="CN1481" s="84"/>
      <c r="CO1481" s="84"/>
      <c r="CP1481" s="84"/>
      <c r="CQ1481" s="101"/>
      <c r="CR1481" s="101"/>
      <c r="CS1481" s="101"/>
      <c r="CT1481" s="101"/>
      <c r="CU1481" s="101"/>
      <c r="CV1481" s="101"/>
      <c r="CW1481" s="101"/>
      <c r="CX1481" s="101"/>
      <c r="CY1481" s="101"/>
      <c r="CZ1481" s="101"/>
      <c r="DA1481" s="101"/>
      <c r="DB1481" s="101"/>
      <c r="DC1481" s="101"/>
      <c r="DD1481" s="101"/>
      <c r="DE1481" s="101"/>
      <c r="DF1481" s="101"/>
      <c r="DG1481" s="101"/>
      <c r="DH1481" s="101"/>
      <c r="DI1481" s="101"/>
      <c r="DJ1481" s="101"/>
      <c r="DK1481" s="101"/>
      <c r="DL1481" s="101"/>
      <c r="DM1481" s="101"/>
      <c r="DN1481" s="101"/>
      <c r="DO1481" s="101"/>
      <c r="DP1481" s="101"/>
      <c r="DQ1481" s="101"/>
    </row>
    <row r="1482" spans="1:121" s="40" customFormat="1" ht="13" x14ac:dyDescent="0.3">
      <c r="A1482" s="101"/>
      <c r="H1482" s="101"/>
      <c r="U1482" s="13"/>
      <c r="V1482" s="13"/>
      <c r="W1482" s="13"/>
      <c r="X1482" s="13"/>
      <c r="Y1482" s="13"/>
      <c r="Z1482" s="13"/>
      <c r="AA1482" s="13"/>
      <c r="AB1482" s="13"/>
      <c r="AC1482" s="13"/>
      <c r="AD1482" s="13"/>
      <c r="AE1482" s="13"/>
      <c r="AF1482" s="84"/>
      <c r="AG1482" s="84"/>
      <c r="AH1482" s="84"/>
      <c r="AI1482" s="84"/>
      <c r="AJ1482" s="84"/>
      <c r="AK1482" s="84"/>
      <c r="AL1482" s="84"/>
      <c r="AM1482" s="84"/>
      <c r="AN1482" s="84"/>
      <c r="AO1482" s="84"/>
      <c r="AP1482" s="84"/>
      <c r="AQ1482" s="84"/>
      <c r="AR1482" s="84"/>
      <c r="AS1482" s="84"/>
      <c r="AT1482" s="84"/>
      <c r="AU1482" s="84"/>
      <c r="AV1482" s="84"/>
      <c r="AW1482" s="84"/>
      <c r="AX1482" s="84"/>
      <c r="AY1482" s="84"/>
      <c r="AZ1482" s="84"/>
      <c r="BA1482" s="84"/>
      <c r="BB1482" s="84"/>
      <c r="BC1482" s="84"/>
      <c r="BD1482" s="84"/>
      <c r="BE1482" s="84"/>
      <c r="BF1482" s="84"/>
      <c r="BG1482" s="84"/>
      <c r="BH1482" s="84"/>
      <c r="BI1482" s="84"/>
      <c r="BJ1482" s="84"/>
      <c r="BK1482" s="84"/>
      <c r="BL1482" s="84"/>
      <c r="BM1482" s="84"/>
      <c r="BN1482" s="84"/>
      <c r="BO1482" s="84"/>
      <c r="BP1482" s="84"/>
      <c r="BQ1482" s="84"/>
      <c r="BR1482" s="84"/>
      <c r="BS1482" s="84"/>
      <c r="BT1482" s="84"/>
      <c r="BU1482" s="84"/>
      <c r="BV1482" s="84"/>
      <c r="BW1482" s="84"/>
      <c r="BX1482" s="84"/>
      <c r="BY1482" s="84"/>
      <c r="BZ1482" s="84"/>
      <c r="CA1482" s="84"/>
      <c r="CB1482" s="84"/>
      <c r="CC1482" s="84"/>
      <c r="CD1482" s="84"/>
      <c r="CE1482" s="84"/>
      <c r="CF1482" s="84"/>
      <c r="CG1482" s="84"/>
      <c r="CH1482" s="84"/>
      <c r="CI1482" s="84"/>
      <c r="CJ1482" s="84"/>
      <c r="CK1482" s="84"/>
      <c r="CL1482" s="84"/>
      <c r="CM1482" s="84"/>
      <c r="CN1482" s="84"/>
      <c r="CO1482" s="84"/>
      <c r="CP1482" s="84"/>
      <c r="CQ1482" s="101"/>
      <c r="CR1482" s="101"/>
      <c r="CS1482" s="101"/>
      <c r="CT1482" s="101"/>
      <c r="CU1482" s="101"/>
      <c r="CV1482" s="101"/>
      <c r="CW1482" s="101"/>
      <c r="CX1482" s="101"/>
      <c r="CY1482" s="101"/>
      <c r="CZ1482" s="101"/>
      <c r="DA1482" s="101"/>
      <c r="DB1482" s="101"/>
      <c r="DC1482" s="101"/>
      <c r="DD1482" s="101"/>
      <c r="DE1482" s="101"/>
      <c r="DF1482" s="101"/>
      <c r="DG1482" s="101"/>
      <c r="DH1482" s="101"/>
      <c r="DI1482" s="101"/>
      <c r="DJ1482" s="101"/>
      <c r="DK1482" s="101"/>
      <c r="DL1482" s="101"/>
      <c r="DM1482" s="101"/>
      <c r="DN1482" s="101"/>
      <c r="DO1482" s="101"/>
      <c r="DP1482" s="101"/>
      <c r="DQ1482" s="101"/>
    </row>
    <row r="1483" spans="1:121" s="40" customFormat="1" ht="13" x14ac:dyDescent="0.3">
      <c r="A1483" s="101"/>
      <c r="H1483" s="101"/>
      <c r="U1483" s="13"/>
      <c r="V1483" s="13"/>
      <c r="W1483" s="13"/>
      <c r="X1483" s="13"/>
      <c r="Y1483" s="13"/>
      <c r="Z1483" s="13"/>
      <c r="AA1483" s="13"/>
      <c r="AB1483" s="13"/>
      <c r="AC1483" s="13"/>
      <c r="AD1483" s="13"/>
      <c r="AE1483" s="13"/>
      <c r="AF1483" s="84"/>
      <c r="AG1483" s="84"/>
      <c r="AH1483" s="84"/>
      <c r="AI1483" s="84"/>
      <c r="AJ1483" s="84"/>
      <c r="AK1483" s="84"/>
      <c r="AL1483" s="84"/>
      <c r="AM1483" s="84"/>
      <c r="AN1483" s="84"/>
      <c r="AO1483" s="84"/>
      <c r="AP1483" s="84"/>
      <c r="AQ1483" s="84"/>
      <c r="AR1483" s="84"/>
      <c r="AS1483" s="84"/>
      <c r="AT1483" s="84"/>
      <c r="AU1483" s="84"/>
      <c r="AV1483" s="84"/>
      <c r="AW1483" s="84"/>
      <c r="AX1483" s="84"/>
      <c r="AY1483" s="84"/>
      <c r="AZ1483" s="84"/>
      <c r="BA1483" s="84"/>
      <c r="BB1483" s="84"/>
      <c r="BC1483" s="84"/>
      <c r="BD1483" s="84"/>
      <c r="BE1483" s="84"/>
      <c r="BF1483" s="84"/>
      <c r="BG1483" s="84"/>
      <c r="BH1483" s="84"/>
      <c r="BI1483" s="84"/>
      <c r="BJ1483" s="84"/>
      <c r="BK1483" s="84"/>
      <c r="BL1483" s="84"/>
      <c r="BM1483" s="84"/>
      <c r="BN1483" s="84"/>
      <c r="BO1483" s="84"/>
      <c r="BP1483" s="84"/>
      <c r="BQ1483" s="84"/>
      <c r="BR1483" s="84"/>
      <c r="BS1483" s="84"/>
      <c r="BT1483" s="84"/>
      <c r="BU1483" s="84"/>
      <c r="BV1483" s="84"/>
      <c r="BW1483" s="84"/>
      <c r="BX1483" s="84"/>
      <c r="BY1483" s="84"/>
      <c r="BZ1483" s="84"/>
      <c r="CA1483" s="84"/>
      <c r="CB1483" s="84"/>
      <c r="CC1483" s="84"/>
      <c r="CD1483" s="84"/>
      <c r="CE1483" s="84"/>
      <c r="CF1483" s="84"/>
      <c r="CG1483" s="84"/>
      <c r="CH1483" s="84"/>
      <c r="CI1483" s="84"/>
      <c r="CJ1483" s="84"/>
      <c r="CK1483" s="84"/>
      <c r="CL1483" s="84"/>
      <c r="CM1483" s="84"/>
      <c r="CN1483" s="84"/>
      <c r="CO1483" s="84"/>
      <c r="CP1483" s="84"/>
      <c r="CQ1483" s="101"/>
      <c r="CR1483" s="101"/>
      <c r="CS1483" s="101"/>
      <c r="CT1483" s="101"/>
      <c r="CU1483" s="101"/>
      <c r="CV1483" s="101"/>
      <c r="CW1483" s="101"/>
      <c r="CX1483" s="101"/>
      <c r="CY1483" s="101"/>
      <c r="CZ1483" s="101"/>
      <c r="DA1483" s="101"/>
      <c r="DB1483" s="101"/>
      <c r="DC1483" s="101"/>
      <c r="DD1483" s="101"/>
      <c r="DE1483" s="101"/>
      <c r="DF1483" s="101"/>
      <c r="DG1483" s="101"/>
      <c r="DH1483" s="101"/>
      <c r="DI1483" s="101"/>
      <c r="DJ1483" s="101"/>
      <c r="DK1483" s="101"/>
      <c r="DL1483" s="101"/>
      <c r="DM1483" s="101"/>
      <c r="DN1483" s="101"/>
      <c r="DO1483" s="101"/>
      <c r="DP1483" s="101"/>
      <c r="DQ1483" s="101"/>
    </row>
    <row r="1484" spans="1:121" s="40" customFormat="1" ht="13" x14ac:dyDescent="0.3">
      <c r="A1484" s="101"/>
      <c r="H1484" s="101"/>
      <c r="U1484" s="13"/>
      <c r="V1484" s="13"/>
      <c r="W1484" s="13"/>
      <c r="X1484" s="13"/>
      <c r="Y1484" s="13"/>
      <c r="Z1484" s="13"/>
      <c r="AA1484" s="13"/>
      <c r="AB1484" s="13"/>
      <c r="AC1484" s="13"/>
      <c r="AD1484" s="13"/>
      <c r="AE1484" s="13"/>
      <c r="AF1484" s="84"/>
      <c r="AG1484" s="84"/>
      <c r="AH1484" s="84"/>
      <c r="AI1484" s="84"/>
      <c r="AJ1484" s="84"/>
      <c r="AK1484" s="84"/>
      <c r="AL1484" s="84"/>
      <c r="AM1484" s="84"/>
      <c r="AN1484" s="84"/>
      <c r="AO1484" s="84"/>
      <c r="AP1484" s="84"/>
      <c r="AQ1484" s="84"/>
      <c r="AR1484" s="84"/>
      <c r="AS1484" s="84"/>
      <c r="AT1484" s="84"/>
      <c r="AU1484" s="84"/>
      <c r="AV1484" s="84"/>
      <c r="AW1484" s="84"/>
      <c r="AX1484" s="84"/>
      <c r="AY1484" s="84"/>
      <c r="AZ1484" s="84"/>
      <c r="BA1484" s="84"/>
      <c r="BB1484" s="84"/>
      <c r="BC1484" s="84"/>
      <c r="BD1484" s="84"/>
      <c r="BE1484" s="84"/>
      <c r="BF1484" s="84"/>
      <c r="BG1484" s="84"/>
      <c r="BH1484" s="84"/>
      <c r="BI1484" s="84"/>
      <c r="BJ1484" s="84"/>
      <c r="BK1484" s="84"/>
      <c r="BL1484" s="84"/>
      <c r="BM1484" s="84"/>
      <c r="BN1484" s="84"/>
      <c r="BO1484" s="84"/>
      <c r="BP1484" s="84"/>
      <c r="BQ1484" s="84"/>
      <c r="BR1484" s="84"/>
      <c r="BS1484" s="84"/>
      <c r="BT1484" s="84"/>
      <c r="BU1484" s="84"/>
      <c r="BV1484" s="84"/>
      <c r="BW1484" s="84"/>
      <c r="BX1484" s="84"/>
      <c r="BY1484" s="84"/>
      <c r="BZ1484" s="84"/>
      <c r="CA1484" s="84"/>
      <c r="CB1484" s="84"/>
      <c r="CC1484" s="84"/>
      <c r="CD1484" s="84"/>
      <c r="CE1484" s="84"/>
      <c r="CF1484" s="84"/>
      <c r="CG1484" s="84"/>
      <c r="CH1484" s="84"/>
      <c r="CI1484" s="84"/>
      <c r="CJ1484" s="84"/>
      <c r="CK1484" s="84"/>
      <c r="CL1484" s="84"/>
      <c r="CM1484" s="84"/>
      <c r="CN1484" s="84"/>
      <c r="CO1484" s="84"/>
      <c r="CP1484" s="84"/>
      <c r="CQ1484" s="101"/>
      <c r="CR1484" s="101"/>
      <c r="CS1484" s="101"/>
      <c r="CT1484" s="101"/>
      <c r="CU1484" s="101"/>
      <c r="CV1484" s="101"/>
      <c r="CW1484" s="101"/>
      <c r="CX1484" s="101"/>
      <c r="CY1484" s="101"/>
      <c r="CZ1484" s="101"/>
      <c r="DA1484" s="101"/>
      <c r="DB1484" s="101"/>
      <c r="DC1484" s="101"/>
      <c r="DD1484" s="101"/>
      <c r="DE1484" s="101"/>
      <c r="DF1484" s="101"/>
      <c r="DG1484" s="101"/>
      <c r="DH1484" s="101"/>
      <c r="DI1484" s="101"/>
      <c r="DJ1484" s="101"/>
      <c r="DK1484" s="101"/>
      <c r="DL1484" s="101"/>
      <c r="DM1484" s="101"/>
      <c r="DN1484" s="101"/>
      <c r="DO1484" s="101"/>
      <c r="DP1484" s="101"/>
      <c r="DQ1484" s="101"/>
    </row>
    <row r="1485" spans="1:121" s="40" customFormat="1" ht="13" x14ac:dyDescent="0.3">
      <c r="A1485" s="101"/>
      <c r="H1485" s="101"/>
      <c r="U1485" s="13"/>
      <c r="V1485" s="13"/>
      <c r="W1485" s="13"/>
      <c r="X1485" s="13"/>
      <c r="Y1485" s="13"/>
      <c r="Z1485" s="13"/>
      <c r="AA1485" s="13"/>
      <c r="AB1485" s="13"/>
      <c r="AC1485" s="13"/>
      <c r="AD1485" s="13"/>
      <c r="AE1485" s="13"/>
      <c r="AF1485" s="84"/>
      <c r="AG1485" s="84"/>
      <c r="AH1485" s="84"/>
      <c r="AI1485" s="84"/>
      <c r="AJ1485" s="84"/>
      <c r="AK1485" s="84"/>
      <c r="AL1485" s="84"/>
      <c r="AM1485" s="84"/>
      <c r="AN1485" s="84"/>
      <c r="AO1485" s="84"/>
      <c r="AP1485" s="84"/>
      <c r="AQ1485" s="84"/>
      <c r="AR1485" s="84"/>
      <c r="AS1485" s="84"/>
      <c r="AT1485" s="84"/>
      <c r="AU1485" s="84"/>
      <c r="AV1485" s="84"/>
      <c r="AW1485" s="84"/>
      <c r="AX1485" s="84"/>
      <c r="AY1485" s="84"/>
      <c r="AZ1485" s="84"/>
      <c r="BA1485" s="84"/>
      <c r="BB1485" s="84"/>
      <c r="BC1485" s="84"/>
      <c r="BD1485" s="84"/>
      <c r="BE1485" s="84"/>
      <c r="BF1485" s="84"/>
      <c r="BG1485" s="84"/>
      <c r="BH1485" s="84"/>
      <c r="BI1485" s="84"/>
      <c r="BJ1485" s="84"/>
      <c r="BK1485" s="84"/>
      <c r="BL1485" s="84"/>
      <c r="BM1485" s="84"/>
      <c r="BN1485" s="84"/>
      <c r="BO1485" s="84"/>
      <c r="BP1485" s="84"/>
      <c r="BQ1485" s="84"/>
      <c r="BR1485" s="84"/>
      <c r="BS1485" s="84"/>
      <c r="BT1485" s="84"/>
      <c r="BU1485" s="84"/>
      <c r="BV1485" s="84"/>
      <c r="BW1485" s="84"/>
      <c r="BX1485" s="84"/>
      <c r="BY1485" s="84"/>
      <c r="BZ1485" s="84"/>
      <c r="CA1485" s="84"/>
      <c r="CB1485" s="84"/>
      <c r="CC1485" s="84"/>
      <c r="CD1485" s="84"/>
      <c r="CE1485" s="84"/>
      <c r="CF1485" s="84"/>
      <c r="CG1485" s="84"/>
      <c r="CH1485" s="84"/>
      <c r="CI1485" s="84"/>
      <c r="CJ1485" s="84"/>
      <c r="CK1485" s="84"/>
      <c r="CL1485" s="84"/>
      <c r="CM1485" s="84"/>
      <c r="CN1485" s="84"/>
      <c r="CO1485" s="84"/>
      <c r="CP1485" s="84"/>
      <c r="CQ1485" s="101"/>
      <c r="CR1485" s="101"/>
      <c r="CS1485" s="101"/>
      <c r="CT1485" s="101"/>
      <c r="CU1485" s="101"/>
      <c r="CV1485" s="101"/>
      <c r="CW1485" s="101"/>
      <c r="CX1485" s="101"/>
      <c r="CY1485" s="101"/>
      <c r="CZ1485" s="101"/>
      <c r="DA1485" s="101"/>
      <c r="DB1485" s="101"/>
      <c r="DC1485" s="101"/>
      <c r="DD1485" s="101"/>
      <c r="DE1485" s="101"/>
      <c r="DF1485" s="101"/>
      <c r="DG1485" s="101"/>
      <c r="DH1485" s="101"/>
      <c r="DI1485" s="101"/>
      <c r="DJ1485" s="101"/>
      <c r="DK1485" s="101"/>
      <c r="DL1485" s="101"/>
      <c r="DM1485" s="101"/>
      <c r="DN1485" s="101"/>
      <c r="DO1485" s="101"/>
      <c r="DP1485" s="101"/>
      <c r="DQ1485" s="101"/>
    </row>
    <row r="1486" spans="1:121" s="40" customFormat="1" ht="13" x14ac:dyDescent="0.3">
      <c r="A1486" s="101"/>
      <c r="H1486" s="101"/>
      <c r="U1486" s="13"/>
      <c r="V1486" s="13"/>
      <c r="W1486" s="13"/>
      <c r="X1486" s="13"/>
      <c r="Y1486" s="13"/>
      <c r="Z1486" s="13"/>
      <c r="AA1486" s="13"/>
      <c r="AB1486" s="13"/>
      <c r="AC1486" s="13"/>
      <c r="AD1486" s="13"/>
      <c r="AE1486" s="13"/>
      <c r="AF1486" s="84"/>
      <c r="AG1486" s="84"/>
      <c r="AH1486" s="84"/>
      <c r="AI1486" s="84"/>
      <c r="AJ1486" s="84"/>
      <c r="AK1486" s="84"/>
      <c r="AL1486" s="84"/>
      <c r="AM1486" s="84"/>
      <c r="AN1486" s="84"/>
      <c r="AO1486" s="84"/>
      <c r="AP1486" s="84"/>
      <c r="AQ1486" s="84"/>
      <c r="AR1486" s="84"/>
      <c r="AS1486" s="84"/>
      <c r="AT1486" s="84"/>
      <c r="AU1486" s="84"/>
      <c r="AV1486" s="84"/>
      <c r="AW1486" s="84"/>
      <c r="AX1486" s="84"/>
      <c r="AY1486" s="84"/>
      <c r="AZ1486" s="84"/>
      <c r="BA1486" s="84"/>
      <c r="BB1486" s="84"/>
      <c r="BC1486" s="84"/>
      <c r="BD1486" s="84"/>
      <c r="BE1486" s="84"/>
      <c r="BF1486" s="84"/>
      <c r="BG1486" s="84"/>
      <c r="BH1486" s="84"/>
      <c r="BI1486" s="84"/>
      <c r="BJ1486" s="84"/>
      <c r="BK1486" s="84"/>
      <c r="BL1486" s="84"/>
      <c r="BM1486" s="84"/>
      <c r="BN1486" s="84"/>
      <c r="BO1486" s="84"/>
      <c r="BP1486" s="84"/>
      <c r="BQ1486" s="84"/>
      <c r="BR1486" s="84"/>
      <c r="BS1486" s="84"/>
      <c r="BT1486" s="84"/>
      <c r="BU1486" s="84"/>
      <c r="BV1486" s="84"/>
      <c r="BW1486" s="84"/>
      <c r="BX1486" s="84"/>
      <c r="BY1486" s="84"/>
      <c r="BZ1486" s="84"/>
      <c r="CA1486" s="84"/>
      <c r="CB1486" s="84"/>
      <c r="CC1486" s="84"/>
      <c r="CD1486" s="84"/>
      <c r="CE1486" s="84"/>
      <c r="CF1486" s="84"/>
      <c r="CG1486" s="84"/>
      <c r="CH1486" s="84"/>
      <c r="CI1486" s="84"/>
      <c r="CJ1486" s="84"/>
      <c r="CK1486" s="84"/>
      <c r="CL1486" s="84"/>
      <c r="CM1486" s="84"/>
      <c r="CN1486" s="84"/>
      <c r="CO1486" s="84"/>
      <c r="CP1486" s="84"/>
      <c r="CQ1486" s="101"/>
      <c r="CR1486" s="101"/>
      <c r="CS1486" s="101"/>
      <c r="CT1486" s="101"/>
      <c r="CU1486" s="101"/>
      <c r="CV1486" s="101"/>
      <c r="CW1486" s="101"/>
      <c r="CX1486" s="101"/>
      <c r="CY1486" s="101"/>
      <c r="CZ1486" s="101"/>
      <c r="DA1486" s="101"/>
      <c r="DB1486" s="101"/>
      <c r="DC1486" s="101"/>
      <c r="DD1486" s="101"/>
      <c r="DE1486" s="101"/>
      <c r="DF1486" s="101"/>
      <c r="DG1486" s="101"/>
      <c r="DH1486" s="101"/>
      <c r="DI1486" s="101"/>
      <c r="DJ1486" s="101"/>
      <c r="DK1486" s="101"/>
      <c r="DL1486" s="101"/>
      <c r="DM1486" s="101"/>
      <c r="DN1486" s="101"/>
      <c r="DO1486" s="101"/>
      <c r="DP1486" s="101"/>
      <c r="DQ1486" s="101"/>
    </row>
    <row r="1487" spans="1:121" s="40" customFormat="1" ht="13" x14ac:dyDescent="0.3">
      <c r="A1487" s="101"/>
      <c r="H1487" s="101"/>
      <c r="U1487" s="13"/>
      <c r="V1487" s="13"/>
      <c r="W1487" s="13"/>
      <c r="X1487" s="13"/>
      <c r="Y1487" s="13"/>
      <c r="Z1487" s="13"/>
      <c r="AA1487" s="13"/>
      <c r="AB1487" s="13"/>
      <c r="AC1487" s="13"/>
      <c r="AD1487" s="13"/>
      <c r="AE1487" s="13"/>
      <c r="AF1487" s="84"/>
      <c r="AG1487" s="84"/>
      <c r="AH1487" s="84"/>
      <c r="AI1487" s="84"/>
      <c r="AJ1487" s="84"/>
      <c r="AK1487" s="84"/>
      <c r="AL1487" s="84"/>
      <c r="AM1487" s="84"/>
      <c r="AN1487" s="84"/>
      <c r="AO1487" s="84"/>
      <c r="AP1487" s="84"/>
      <c r="AQ1487" s="84"/>
      <c r="AR1487" s="84"/>
      <c r="AS1487" s="84"/>
      <c r="AT1487" s="84"/>
      <c r="AU1487" s="84"/>
      <c r="AV1487" s="84"/>
      <c r="AW1487" s="84"/>
      <c r="AX1487" s="84"/>
      <c r="AY1487" s="84"/>
      <c r="AZ1487" s="84"/>
      <c r="BA1487" s="84"/>
      <c r="BB1487" s="84"/>
      <c r="BC1487" s="84"/>
      <c r="BD1487" s="84"/>
      <c r="BE1487" s="84"/>
      <c r="BF1487" s="84"/>
      <c r="BG1487" s="84"/>
      <c r="BH1487" s="84"/>
      <c r="BI1487" s="84"/>
      <c r="BJ1487" s="84"/>
      <c r="BK1487" s="84"/>
      <c r="BL1487" s="84"/>
      <c r="BM1487" s="84"/>
      <c r="BN1487" s="84"/>
      <c r="BO1487" s="84"/>
      <c r="BP1487" s="84"/>
      <c r="BQ1487" s="84"/>
      <c r="BR1487" s="84"/>
      <c r="BS1487" s="84"/>
      <c r="BT1487" s="84"/>
      <c r="BU1487" s="84"/>
      <c r="BV1487" s="84"/>
      <c r="BW1487" s="84"/>
      <c r="BX1487" s="84"/>
      <c r="BY1487" s="84"/>
      <c r="BZ1487" s="84"/>
      <c r="CA1487" s="84"/>
      <c r="CB1487" s="84"/>
      <c r="CC1487" s="84"/>
      <c r="CD1487" s="84"/>
      <c r="CE1487" s="84"/>
      <c r="CF1487" s="84"/>
      <c r="CG1487" s="84"/>
      <c r="CH1487" s="84"/>
      <c r="CI1487" s="84"/>
      <c r="CJ1487" s="84"/>
      <c r="CK1487" s="84"/>
      <c r="CL1487" s="84"/>
      <c r="CM1487" s="84"/>
      <c r="CN1487" s="84"/>
      <c r="CO1487" s="84"/>
      <c r="CP1487" s="84"/>
      <c r="CQ1487" s="101"/>
      <c r="CR1487" s="101"/>
      <c r="CS1487" s="101"/>
      <c r="CT1487" s="101"/>
      <c r="CU1487" s="101"/>
      <c r="CV1487" s="101"/>
      <c r="CW1487" s="101"/>
      <c r="CX1487" s="101"/>
      <c r="CY1487" s="101"/>
      <c r="CZ1487" s="101"/>
      <c r="DA1487" s="101"/>
      <c r="DB1487" s="101"/>
      <c r="DC1487" s="101"/>
      <c r="DD1487" s="101"/>
      <c r="DE1487" s="101"/>
      <c r="DF1487" s="101"/>
      <c r="DG1487" s="101"/>
      <c r="DH1487" s="101"/>
      <c r="DI1487" s="101"/>
      <c r="DJ1487" s="101"/>
      <c r="DK1487" s="101"/>
      <c r="DL1487" s="101"/>
      <c r="DM1487" s="101"/>
      <c r="DN1487" s="101"/>
      <c r="DO1487" s="101"/>
      <c r="DP1487" s="101"/>
      <c r="DQ1487" s="101"/>
    </row>
    <row r="1488" spans="1:121" s="40" customFormat="1" ht="13" x14ac:dyDescent="0.3">
      <c r="A1488" s="101"/>
      <c r="H1488" s="101"/>
      <c r="U1488" s="13"/>
      <c r="V1488" s="13"/>
      <c r="W1488" s="13"/>
      <c r="X1488" s="13"/>
      <c r="Y1488" s="13"/>
      <c r="Z1488" s="13"/>
      <c r="AA1488" s="13"/>
      <c r="AB1488" s="13"/>
      <c r="AC1488" s="13"/>
      <c r="AD1488" s="13"/>
      <c r="AE1488" s="13"/>
      <c r="AF1488" s="84"/>
      <c r="AG1488" s="84"/>
      <c r="AH1488" s="84"/>
      <c r="AI1488" s="84"/>
      <c r="AJ1488" s="84"/>
      <c r="AK1488" s="84"/>
      <c r="AL1488" s="84"/>
      <c r="AM1488" s="84"/>
      <c r="AN1488" s="84"/>
      <c r="AO1488" s="84"/>
      <c r="AP1488" s="84"/>
      <c r="AQ1488" s="84"/>
      <c r="AR1488" s="84"/>
      <c r="AS1488" s="84"/>
      <c r="AT1488" s="84"/>
      <c r="AU1488" s="84"/>
      <c r="AV1488" s="84"/>
      <c r="AW1488" s="84"/>
      <c r="AX1488" s="84"/>
      <c r="AY1488" s="84"/>
      <c r="AZ1488" s="84"/>
      <c r="BA1488" s="84"/>
      <c r="BB1488" s="84"/>
      <c r="BC1488" s="84"/>
      <c r="BD1488" s="84"/>
      <c r="BE1488" s="84"/>
      <c r="BF1488" s="84"/>
      <c r="BG1488" s="84"/>
      <c r="BH1488" s="84"/>
      <c r="BI1488" s="84"/>
      <c r="BJ1488" s="84"/>
      <c r="BK1488" s="84"/>
      <c r="BL1488" s="84"/>
      <c r="BM1488" s="84"/>
      <c r="BN1488" s="84"/>
      <c r="BO1488" s="84"/>
      <c r="BP1488" s="84"/>
      <c r="BQ1488" s="84"/>
      <c r="BR1488" s="84"/>
      <c r="BS1488" s="84"/>
      <c r="BT1488" s="84"/>
      <c r="BU1488" s="84"/>
      <c r="BV1488" s="84"/>
      <c r="BW1488" s="84"/>
      <c r="BX1488" s="84"/>
      <c r="BY1488" s="84"/>
      <c r="BZ1488" s="84"/>
      <c r="CA1488" s="84"/>
      <c r="CB1488" s="84"/>
      <c r="CC1488" s="84"/>
      <c r="CD1488" s="84"/>
      <c r="CE1488" s="84"/>
      <c r="CF1488" s="84"/>
      <c r="CG1488" s="84"/>
      <c r="CH1488" s="84"/>
      <c r="CI1488" s="84"/>
      <c r="CJ1488" s="84"/>
      <c r="CK1488" s="84"/>
      <c r="CL1488" s="84"/>
      <c r="CM1488" s="84"/>
      <c r="CN1488" s="84"/>
      <c r="CO1488" s="84"/>
      <c r="CP1488" s="84"/>
      <c r="CQ1488" s="101"/>
      <c r="CR1488" s="101"/>
      <c r="CS1488" s="101"/>
      <c r="CT1488" s="101"/>
      <c r="CU1488" s="101"/>
      <c r="CV1488" s="101"/>
      <c r="CW1488" s="101"/>
      <c r="CX1488" s="101"/>
      <c r="CY1488" s="101"/>
      <c r="CZ1488" s="101"/>
      <c r="DA1488" s="101"/>
      <c r="DB1488" s="101"/>
      <c r="DC1488" s="101"/>
      <c r="DD1488" s="101"/>
      <c r="DE1488" s="101"/>
      <c r="DF1488" s="101"/>
      <c r="DG1488" s="101"/>
      <c r="DH1488" s="101"/>
      <c r="DI1488" s="101"/>
      <c r="DJ1488" s="101"/>
      <c r="DK1488" s="101"/>
      <c r="DL1488" s="101"/>
      <c r="DM1488" s="101"/>
      <c r="DN1488" s="101"/>
      <c r="DO1488" s="101"/>
      <c r="DP1488" s="101"/>
      <c r="DQ1488" s="101"/>
    </row>
    <row r="1489" spans="1:121" s="40" customFormat="1" ht="13" x14ac:dyDescent="0.3">
      <c r="A1489" s="101"/>
      <c r="H1489" s="101"/>
      <c r="U1489" s="13"/>
      <c r="V1489" s="13"/>
      <c r="W1489" s="13"/>
      <c r="X1489" s="13"/>
      <c r="Y1489" s="13"/>
      <c r="Z1489" s="13"/>
      <c r="AA1489" s="13"/>
      <c r="AB1489" s="13"/>
      <c r="AC1489" s="13"/>
      <c r="AD1489" s="13"/>
      <c r="AE1489" s="13"/>
      <c r="AF1489" s="84"/>
      <c r="AG1489" s="84"/>
      <c r="AH1489" s="84"/>
      <c r="AI1489" s="84"/>
      <c r="AJ1489" s="84"/>
      <c r="AK1489" s="84"/>
      <c r="AL1489" s="84"/>
      <c r="AM1489" s="84"/>
      <c r="AN1489" s="84"/>
      <c r="AO1489" s="84"/>
      <c r="AP1489" s="84"/>
      <c r="AQ1489" s="84"/>
      <c r="AR1489" s="84"/>
      <c r="AS1489" s="84"/>
      <c r="AT1489" s="84"/>
      <c r="AU1489" s="84"/>
      <c r="AV1489" s="84"/>
      <c r="AW1489" s="84"/>
      <c r="AX1489" s="84"/>
      <c r="AY1489" s="84"/>
      <c r="AZ1489" s="84"/>
      <c r="BA1489" s="84"/>
      <c r="BB1489" s="84"/>
      <c r="BC1489" s="84"/>
      <c r="BD1489" s="84"/>
      <c r="BE1489" s="84"/>
      <c r="BF1489" s="84"/>
      <c r="BG1489" s="84"/>
      <c r="BH1489" s="84"/>
      <c r="BI1489" s="84"/>
      <c r="BJ1489" s="84"/>
      <c r="BK1489" s="84"/>
      <c r="BL1489" s="84"/>
      <c r="BM1489" s="84"/>
      <c r="BN1489" s="84"/>
      <c r="BO1489" s="84"/>
      <c r="BP1489" s="84"/>
      <c r="BQ1489" s="84"/>
      <c r="BR1489" s="84"/>
      <c r="BS1489" s="84"/>
      <c r="BT1489" s="84"/>
      <c r="BU1489" s="84"/>
      <c r="BV1489" s="84"/>
      <c r="BW1489" s="84"/>
      <c r="BX1489" s="84"/>
      <c r="BY1489" s="84"/>
      <c r="BZ1489" s="84"/>
      <c r="CA1489" s="84"/>
      <c r="CB1489" s="84"/>
      <c r="CC1489" s="84"/>
      <c r="CD1489" s="84"/>
      <c r="CE1489" s="84"/>
      <c r="CF1489" s="84"/>
      <c r="CG1489" s="84"/>
      <c r="CH1489" s="84"/>
      <c r="CI1489" s="84"/>
      <c r="CJ1489" s="84"/>
      <c r="CK1489" s="84"/>
      <c r="CL1489" s="84"/>
      <c r="CM1489" s="84"/>
      <c r="CN1489" s="84"/>
      <c r="CO1489" s="84"/>
      <c r="CP1489" s="84"/>
      <c r="CQ1489" s="101"/>
      <c r="CR1489" s="101"/>
      <c r="CS1489" s="101"/>
      <c r="CT1489" s="101"/>
      <c r="CU1489" s="101"/>
      <c r="CV1489" s="101"/>
      <c r="CW1489" s="101"/>
      <c r="CX1489" s="101"/>
      <c r="CY1489" s="101"/>
      <c r="CZ1489" s="101"/>
      <c r="DA1489" s="101"/>
      <c r="DB1489" s="101"/>
      <c r="DC1489" s="101"/>
      <c r="DD1489" s="101"/>
      <c r="DE1489" s="101"/>
      <c r="DF1489" s="101"/>
      <c r="DG1489" s="101"/>
      <c r="DH1489" s="101"/>
      <c r="DI1489" s="101"/>
      <c r="DJ1489" s="101"/>
      <c r="DK1489" s="101"/>
      <c r="DL1489" s="101"/>
      <c r="DM1489" s="101"/>
      <c r="DN1489" s="101"/>
      <c r="DO1489" s="101"/>
      <c r="DP1489" s="101"/>
      <c r="DQ1489" s="101"/>
    </row>
    <row r="1490" spans="1:121" s="40" customFormat="1" ht="13" x14ac:dyDescent="0.3">
      <c r="A1490" s="101"/>
      <c r="H1490" s="101"/>
      <c r="U1490" s="13"/>
      <c r="V1490" s="13"/>
      <c r="W1490" s="13"/>
      <c r="X1490" s="13"/>
      <c r="Y1490" s="13"/>
      <c r="Z1490" s="13"/>
      <c r="AA1490" s="13"/>
      <c r="AB1490" s="13"/>
      <c r="AC1490" s="13"/>
      <c r="AD1490" s="13"/>
      <c r="AE1490" s="13"/>
      <c r="AF1490" s="84"/>
      <c r="AG1490" s="84"/>
      <c r="AH1490" s="84"/>
      <c r="AI1490" s="84"/>
      <c r="AJ1490" s="84"/>
      <c r="AK1490" s="84"/>
      <c r="AL1490" s="84"/>
      <c r="AM1490" s="84"/>
      <c r="AN1490" s="84"/>
      <c r="AO1490" s="84"/>
      <c r="AP1490" s="84"/>
      <c r="AQ1490" s="84"/>
      <c r="AR1490" s="84"/>
      <c r="AS1490" s="84"/>
      <c r="AT1490" s="84"/>
      <c r="AU1490" s="84"/>
      <c r="AV1490" s="84"/>
      <c r="AW1490" s="84"/>
      <c r="AX1490" s="84"/>
      <c r="AY1490" s="84"/>
      <c r="AZ1490" s="84"/>
      <c r="BA1490" s="84"/>
      <c r="BB1490" s="84"/>
      <c r="BC1490" s="84"/>
      <c r="BD1490" s="84"/>
      <c r="BE1490" s="84"/>
      <c r="BF1490" s="84"/>
      <c r="BG1490" s="84"/>
      <c r="BH1490" s="84"/>
      <c r="BI1490" s="84"/>
      <c r="BJ1490" s="84"/>
      <c r="BK1490" s="84"/>
      <c r="BL1490" s="84"/>
      <c r="BM1490" s="84"/>
      <c r="BN1490" s="84"/>
      <c r="BO1490" s="84"/>
      <c r="BP1490" s="84"/>
      <c r="BQ1490" s="84"/>
      <c r="BR1490" s="84"/>
      <c r="BS1490" s="84"/>
      <c r="BT1490" s="84"/>
      <c r="BU1490" s="84"/>
      <c r="BV1490" s="84"/>
      <c r="BW1490" s="84"/>
      <c r="BX1490" s="84"/>
      <c r="BY1490" s="84"/>
      <c r="BZ1490" s="84"/>
      <c r="CA1490" s="84"/>
      <c r="CB1490" s="84"/>
      <c r="CC1490" s="84"/>
      <c r="CD1490" s="84"/>
      <c r="CE1490" s="84"/>
      <c r="CF1490" s="84"/>
      <c r="CG1490" s="84"/>
      <c r="CH1490" s="84"/>
      <c r="CI1490" s="84"/>
      <c r="CJ1490" s="84"/>
      <c r="CK1490" s="84"/>
      <c r="CL1490" s="84"/>
      <c r="CM1490" s="84"/>
      <c r="CN1490" s="84"/>
      <c r="CO1490" s="84"/>
      <c r="CP1490" s="84"/>
      <c r="CQ1490" s="101"/>
      <c r="CR1490" s="101"/>
      <c r="CS1490" s="101"/>
      <c r="CT1490" s="101"/>
      <c r="CU1490" s="101"/>
      <c r="CV1490" s="101"/>
      <c r="CW1490" s="101"/>
      <c r="CX1490" s="101"/>
      <c r="CY1490" s="101"/>
      <c r="CZ1490" s="101"/>
      <c r="DA1490" s="101"/>
      <c r="DB1490" s="101"/>
      <c r="DC1490" s="101"/>
      <c r="DD1490" s="101"/>
      <c r="DE1490" s="101"/>
      <c r="DF1490" s="101"/>
      <c r="DG1490" s="101"/>
      <c r="DH1490" s="101"/>
      <c r="DI1490" s="101"/>
      <c r="DJ1490" s="101"/>
      <c r="DK1490" s="101"/>
      <c r="DL1490" s="101"/>
      <c r="DM1490" s="101"/>
      <c r="DN1490" s="101"/>
      <c r="DO1490" s="101"/>
      <c r="DP1490" s="101"/>
      <c r="DQ1490" s="101"/>
    </row>
    <row r="1491" spans="1:121" s="40" customFormat="1" ht="13" x14ac:dyDescent="0.3">
      <c r="A1491" s="101"/>
      <c r="H1491" s="101"/>
      <c r="U1491" s="13"/>
      <c r="V1491" s="13"/>
      <c r="W1491" s="13"/>
      <c r="X1491" s="13"/>
      <c r="Y1491" s="13"/>
      <c r="Z1491" s="13"/>
      <c r="AA1491" s="13"/>
      <c r="AB1491" s="13"/>
      <c r="AC1491" s="13"/>
      <c r="AD1491" s="13"/>
      <c r="AE1491" s="13"/>
      <c r="AF1491" s="84"/>
      <c r="AG1491" s="84"/>
      <c r="AH1491" s="84"/>
      <c r="AI1491" s="84"/>
      <c r="AJ1491" s="84"/>
      <c r="AK1491" s="84"/>
      <c r="AL1491" s="84"/>
      <c r="AM1491" s="84"/>
      <c r="AN1491" s="84"/>
      <c r="AO1491" s="84"/>
      <c r="AP1491" s="84"/>
      <c r="AQ1491" s="84"/>
      <c r="AR1491" s="84"/>
      <c r="AS1491" s="84"/>
      <c r="AT1491" s="84"/>
      <c r="AU1491" s="84"/>
      <c r="AV1491" s="84"/>
      <c r="AW1491" s="84"/>
      <c r="AX1491" s="84"/>
      <c r="AY1491" s="84"/>
      <c r="AZ1491" s="84"/>
      <c r="BA1491" s="84"/>
      <c r="BB1491" s="84"/>
      <c r="BC1491" s="84"/>
      <c r="BD1491" s="84"/>
      <c r="BE1491" s="84"/>
      <c r="BF1491" s="84"/>
      <c r="BG1491" s="84"/>
      <c r="BH1491" s="84"/>
      <c r="BI1491" s="84"/>
      <c r="BJ1491" s="84"/>
      <c r="BK1491" s="84"/>
      <c r="BL1491" s="84"/>
      <c r="BM1491" s="84"/>
      <c r="BN1491" s="84"/>
      <c r="BO1491" s="84"/>
      <c r="BP1491" s="84"/>
      <c r="BQ1491" s="84"/>
      <c r="BR1491" s="84"/>
      <c r="BS1491" s="84"/>
      <c r="BT1491" s="84"/>
      <c r="BU1491" s="84"/>
      <c r="BV1491" s="84"/>
      <c r="BW1491" s="84"/>
      <c r="BX1491" s="84"/>
      <c r="BY1491" s="84"/>
      <c r="BZ1491" s="84"/>
      <c r="CA1491" s="84"/>
      <c r="CB1491" s="84"/>
      <c r="CC1491" s="84"/>
      <c r="CD1491" s="84"/>
      <c r="CE1491" s="84"/>
      <c r="CF1491" s="84"/>
      <c r="CG1491" s="84"/>
      <c r="CH1491" s="84"/>
      <c r="CI1491" s="84"/>
      <c r="CJ1491" s="84"/>
      <c r="CK1491" s="84"/>
      <c r="CL1491" s="84"/>
      <c r="CM1491" s="84"/>
      <c r="CN1491" s="84"/>
      <c r="CO1491" s="84"/>
      <c r="CP1491" s="84"/>
      <c r="CQ1491" s="101"/>
      <c r="CR1491" s="101"/>
      <c r="CS1491" s="101"/>
      <c r="CT1491" s="101"/>
      <c r="CU1491" s="101"/>
      <c r="CV1491" s="101"/>
      <c r="CW1491" s="101"/>
      <c r="CX1491" s="101"/>
      <c r="CY1491" s="101"/>
      <c r="CZ1491" s="101"/>
      <c r="DA1491" s="101"/>
      <c r="DB1491" s="101"/>
      <c r="DC1491" s="101"/>
      <c r="DD1491" s="101"/>
      <c r="DE1491" s="101"/>
      <c r="DF1491" s="101"/>
      <c r="DG1491" s="101"/>
      <c r="DH1491" s="101"/>
      <c r="DI1491" s="101"/>
      <c r="DJ1491" s="101"/>
      <c r="DK1491" s="101"/>
      <c r="DL1491" s="101"/>
      <c r="DM1491" s="101"/>
      <c r="DN1491" s="101"/>
      <c r="DO1491" s="101"/>
      <c r="DP1491" s="101"/>
      <c r="DQ1491" s="101"/>
    </row>
    <row r="1492" spans="1:121" s="40" customFormat="1" ht="13" x14ac:dyDescent="0.3">
      <c r="A1492" s="101"/>
      <c r="H1492" s="101"/>
      <c r="U1492" s="13"/>
      <c r="V1492" s="13"/>
      <c r="W1492" s="13"/>
      <c r="X1492" s="13"/>
      <c r="Y1492" s="13"/>
      <c r="Z1492" s="13"/>
      <c r="AA1492" s="13"/>
      <c r="AB1492" s="13"/>
      <c r="AC1492" s="13"/>
      <c r="AD1492" s="13"/>
      <c r="AE1492" s="13"/>
      <c r="AF1492" s="84"/>
      <c r="AG1492" s="84"/>
      <c r="AH1492" s="84"/>
      <c r="AI1492" s="84"/>
      <c r="AJ1492" s="84"/>
      <c r="AK1492" s="84"/>
      <c r="AL1492" s="84"/>
      <c r="AM1492" s="84"/>
      <c r="AN1492" s="84"/>
      <c r="AO1492" s="84"/>
      <c r="AP1492" s="84"/>
      <c r="AQ1492" s="84"/>
      <c r="AR1492" s="84"/>
      <c r="AS1492" s="84"/>
      <c r="AT1492" s="84"/>
      <c r="AU1492" s="84"/>
      <c r="AV1492" s="84"/>
      <c r="AW1492" s="84"/>
      <c r="AX1492" s="84"/>
      <c r="AY1492" s="84"/>
      <c r="AZ1492" s="84"/>
      <c r="BA1492" s="84"/>
      <c r="BB1492" s="84"/>
      <c r="BC1492" s="84"/>
      <c r="BD1492" s="84"/>
      <c r="BE1492" s="84"/>
      <c r="BF1492" s="84"/>
      <c r="BG1492" s="84"/>
      <c r="BH1492" s="84"/>
      <c r="BI1492" s="84"/>
      <c r="BJ1492" s="84"/>
      <c r="BK1492" s="84"/>
      <c r="BL1492" s="84"/>
      <c r="BM1492" s="84"/>
      <c r="BN1492" s="84"/>
      <c r="BO1492" s="84"/>
      <c r="BP1492" s="84"/>
      <c r="BQ1492" s="84"/>
      <c r="BR1492" s="84"/>
      <c r="BS1492" s="84"/>
      <c r="BT1492" s="84"/>
      <c r="BU1492" s="84"/>
      <c r="BV1492" s="84"/>
      <c r="BW1492" s="84"/>
      <c r="BX1492" s="84"/>
      <c r="BY1492" s="84"/>
      <c r="BZ1492" s="84"/>
      <c r="CA1492" s="84"/>
      <c r="CB1492" s="84"/>
      <c r="CC1492" s="84"/>
      <c r="CD1492" s="84"/>
      <c r="CE1492" s="84"/>
      <c r="CF1492" s="84"/>
      <c r="CG1492" s="84"/>
      <c r="CH1492" s="84"/>
      <c r="CI1492" s="84"/>
      <c r="CJ1492" s="84"/>
      <c r="CK1492" s="84"/>
      <c r="CL1492" s="84"/>
      <c r="CM1492" s="84"/>
      <c r="CN1492" s="84"/>
      <c r="CO1492" s="84"/>
      <c r="CP1492" s="84"/>
      <c r="CQ1492" s="101"/>
      <c r="CR1492" s="101"/>
      <c r="CS1492" s="101"/>
      <c r="CT1492" s="101"/>
      <c r="CU1492" s="101"/>
      <c r="CV1492" s="101"/>
      <c r="CW1492" s="101"/>
      <c r="CX1492" s="101"/>
      <c r="CY1492" s="101"/>
      <c r="CZ1492" s="101"/>
      <c r="DA1492" s="101"/>
      <c r="DB1492" s="101"/>
      <c r="DC1492" s="101"/>
      <c r="DD1492" s="101"/>
      <c r="DE1492" s="101"/>
      <c r="DF1492" s="101"/>
      <c r="DG1492" s="101"/>
      <c r="DH1492" s="101"/>
      <c r="DI1492" s="101"/>
      <c r="DJ1492" s="101"/>
      <c r="DK1492" s="101"/>
      <c r="DL1492" s="101"/>
      <c r="DM1492" s="101"/>
      <c r="DN1492" s="101"/>
      <c r="DO1492" s="101"/>
      <c r="DP1492" s="101"/>
      <c r="DQ1492" s="101"/>
    </row>
    <row r="1493" spans="1:121" s="40" customFormat="1" ht="13" x14ac:dyDescent="0.3">
      <c r="A1493" s="101"/>
      <c r="H1493" s="101"/>
      <c r="U1493" s="13"/>
      <c r="V1493" s="13"/>
      <c r="W1493" s="13"/>
      <c r="X1493" s="13"/>
      <c r="Y1493" s="13"/>
      <c r="Z1493" s="13"/>
      <c r="AA1493" s="13"/>
      <c r="AB1493" s="13"/>
      <c r="AC1493" s="13"/>
      <c r="AD1493" s="13"/>
      <c r="AE1493" s="13"/>
      <c r="AF1493" s="84"/>
      <c r="AG1493" s="84"/>
      <c r="AH1493" s="84"/>
      <c r="AI1493" s="84"/>
      <c r="AJ1493" s="84"/>
      <c r="AK1493" s="84"/>
      <c r="AL1493" s="84"/>
      <c r="AM1493" s="84"/>
      <c r="AN1493" s="84"/>
      <c r="AO1493" s="84"/>
      <c r="AP1493" s="84"/>
      <c r="AQ1493" s="84"/>
      <c r="AR1493" s="84"/>
      <c r="AS1493" s="84"/>
      <c r="AT1493" s="84"/>
      <c r="AU1493" s="84"/>
      <c r="AV1493" s="84"/>
      <c r="AW1493" s="84"/>
      <c r="AX1493" s="84"/>
      <c r="AY1493" s="84"/>
      <c r="AZ1493" s="84"/>
      <c r="BA1493" s="84"/>
      <c r="BB1493" s="84"/>
      <c r="BC1493" s="84"/>
      <c r="BD1493" s="84"/>
      <c r="BE1493" s="84"/>
      <c r="BF1493" s="84"/>
      <c r="BG1493" s="84"/>
      <c r="BH1493" s="84"/>
      <c r="BI1493" s="84"/>
      <c r="BJ1493" s="84"/>
      <c r="BK1493" s="84"/>
      <c r="BL1493" s="84"/>
      <c r="BM1493" s="84"/>
      <c r="BN1493" s="84"/>
      <c r="BO1493" s="84"/>
      <c r="BP1493" s="84"/>
      <c r="BQ1493" s="84"/>
      <c r="BR1493" s="84"/>
      <c r="BS1493" s="84"/>
      <c r="BT1493" s="84"/>
      <c r="BU1493" s="84"/>
      <c r="BV1493" s="84"/>
      <c r="BW1493" s="84"/>
      <c r="BX1493" s="84"/>
      <c r="BY1493" s="84"/>
      <c r="BZ1493" s="84"/>
      <c r="CA1493" s="84"/>
      <c r="CB1493" s="84"/>
      <c r="CC1493" s="84"/>
      <c r="CD1493" s="84"/>
      <c r="CE1493" s="84"/>
      <c r="CF1493" s="84"/>
      <c r="CG1493" s="84"/>
      <c r="CH1493" s="84"/>
      <c r="CI1493" s="84"/>
      <c r="CJ1493" s="84"/>
      <c r="CK1493" s="84"/>
      <c r="CL1493" s="84"/>
      <c r="CM1493" s="84"/>
      <c r="CN1493" s="84"/>
      <c r="CO1493" s="84"/>
      <c r="CP1493" s="84"/>
      <c r="CQ1493" s="101"/>
      <c r="CR1493" s="101"/>
      <c r="CS1493" s="101"/>
      <c r="CT1493" s="101"/>
      <c r="CU1493" s="101"/>
      <c r="CV1493" s="101"/>
      <c r="CW1493" s="101"/>
      <c r="CX1493" s="101"/>
      <c r="CY1493" s="101"/>
      <c r="CZ1493" s="101"/>
      <c r="DA1493" s="101"/>
      <c r="DB1493" s="101"/>
      <c r="DC1493" s="101"/>
      <c r="DD1493" s="101"/>
      <c r="DE1493" s="101"/>
      <c r="DF1493" s="101"/>
      <c r="DG1493" s="101"/>
      <c r="DH1493" s="101"/>
      <c r="DI1493" s="101"/>
      <c r="DJ1493" s="101"/>
      <c r="DK1493" s="101"/>
      <c r="DL1493" s="101"/>
      <c r="DM1493" s="101"/>
      <c r="DN1493" s="101"/>
      <c r="DO1493" s="101"/>
      <c r="DP1493" s="101"/>
      <c r="DQ1493" s="101"/>
    </row>
    <row r="1494" spans="1:121" s="40" customFormat="1" ht="13" x14ac:dyDescent="0.3">
      <c r="A1494" s="101"/>
      <c r="H1494" s="101"/>
      <c r="U1494" s="13"/>
      <c r="V1494" s="13"/>
      <c r="W1494" s="13"/>
      <c r="X1494" s="13"/>
      <c r="Y1494" s="13"/>
      <c r="Z1494" s="13"/>
      <c r="AA1494" s="13"/>
      <c r="AB1494" s="13"/>
      <c r="AC1494" s="13"/>
      <c r="AD1494" s="13"/>
      <c r="AE1494" s="13"/>
      <c r="AF1494" s="84"/>
      <c r="AG1494" s="84"/>
      <c r="AH1494" s="84"/>
      <c r="AI1494" s="84"/>
      <c r="AJ1494" s="84"/>
      <c r="AK1494" s="84"/>
      <c r="AL1494" s="84"/>
      <c r="AM1494" s="84"/>
      <c r="AN1494" s="84"/>
      <c r="AO1494" s="84"/>
      <c r="AP1494" s="84"/>
      <c r="AQ1494" s="84"/>
      <c r="AR1494" s="84"/>
      <c r="AS1494" s="84"/>
      <c r="AT1494" s="84"/>
      <c r="AU1494" s="84"/>
      <c r="AV1494" s="84"/>
      <c r="AW1494" s="84"/>
      <c r="AX1494" s="84"/>
      <c r="AY1494" s="84"/>
      <c r="AZ1494" s="84"/>
      <c r="BA1494" s="84"/>
      <c r="BB1494" s="84"/>
      <c r="BC1494" s="84"/>
      <c r="BD1494" s="84"/>
      <c r="BE1494" s="84"/>
      <c r="BF1494" s="84"/>
      <c r="BG1494" s="84"/>
      <c r="BH1494" s="84"/>
      <c r="BI1494" s="84"/>
      <c r="BJ1494" s="84"/>
      <c r="BK1494" s="84"/>
      <c r="BL1494" s="84"/>
      <c r="BM1494" s="84"/>
      <c r="BN1494" s="84"/>
      <c r="BO1494" s="84"/>
      <c r="BP1494" s="84"/>
      <c r="BQ1494" s="84"/>
      <c r="BR1494" s="84"/>
      <c r="BS1494" s="84"/>
      <c r="BT1494" s="84"/>
      <c r="BU1494" s="84"/>
      <c r="BV1494" s="84"/>
      <c r="BW1494" s="84"/>
      <c r="BX1494" s="84"/>
      <c r="BY1494" s="84"/>
      <c r="BZ1494" s="84"/>
      <c r="CA1494" s="84"/>
      <c r="CB1494" s="84"/>
      <c r="CC1494" s="84"/>
      <c r="CD1494" s="84"/>
      <c r="CE1494" s="84"/>
      <c r="CF1494" s="84"/>
      <c r="CG1494" s="84"/>
      <c r="CH1494" s="84"/>
      <c r="CI1494" s="84"/>
      <c r="CJ1494" s="84"/>
      <c r="CK1494" s="84"/>
      <c r="CL1494" s="84"/>
      <c r="CM1494" s="84"/>
      <c r="CN1494" s="84"/>
      <c r="CO1494" s="84"/>
      <c r="CP1494" s="84"/>
      <c r="CQ1494" s="101"/>
      <c r="CR1494" s="101"/>
      <c r="CS1494" s="101"/>
      <c r="CT1494" s="101"/>
      <c r="CU1494" s="101"/>
      <c r="CV1494" s="101"/>
      <c r="CW1494" s="101"/>
      <c r="CX1494" s="101"/>
      <c r="CY1494" s="101"/>
      <c r="CZ1494" s="101"/>
      <c r="DA1494" s="101"/>
      <c r="DB1494" s="101"/>
      <c r="DC1494" s="101"/>
      <c r="DD1494" s="101"/>
      <c r="DE1494" s="101"/>
      <c r="DF1494" s="101"/>
      <c r="DG1494" s="101"/>
      <c r="DH1494" s="101"/>
      <c r="DI1494" s="101"/>
      <c r="DJ1494" s="101"/>
      <c r="DK1494" s="101"/>
      <c r="DL1494" s="101"/>
      <c r="DM1494" s="101"/>
      <c r="DN1494" s="101"/>
      <c r="DO1494" s="101"/>
      <c r="DP1494" s="101"/>
      <c r="DQ1494" s="101"/>
    </row>
    <row r="1495" spans="1:121" s="40" customFormat="1" ht="13" x14ac:dyDescent="0.3">
      <c r="A1495" s="101"/>
      <c r="H1495" s="101"/>
      <c r="U1495" s="13"/>
      <c r="V1495" s="13"/>
      <c r="W1495" s="13"/>
      <c r="X1495" s="13"/>
      <c r="Y1495" s="13"/>
      <c r="Z1495" s="13"/>
      <c r="AA1495" s="13"/>
      <c r="AB1495" s="13"/>
      <c r="AC1495" s="13"/>
      <c r="AD1495" s="13"/>
      <c r="AE1495" s="13"/>
      <c r="AF1495" s="84"/>
      <c r="AG1495" s="84"/>
      <c r="AH1495" s="84"/>
      <c r="AI1495" s="84"/>
      <c r="AJ1495" s="84"/>
      <c r="AK1495" s="84"/>
      <c r="AL1495" s="84"/>
      <c r="AM1495" s="84"/>
      <c r="AN1495" s="84"/>
      <c r="AO1495" s="84"/>
      <c r="AP1495" s="84"/>
      <c r="AQ1495" s="84"/>
      <c r="AR1495" s="84"/>
      <c r="AS1495" s="84"/>
      <c r="AT1495" s="84"/>
      <c r="AU1495" s="84"/>
      <c r="AV1495" s="84"/>
      <c r="AW1495" s="84"/>
      <c r="AX1495" s="84"/>
      <c r="AY1495" s="84"/>
      <c r="AZ1495" s="84"/>
      <c r="BA1495" s="84"/>
      <c r="BB1495" s="84"/>
      <c r="BC1495" s="84"/>
      <c r="BD1495" s="84"/>
      <c r="BE1495" s="84"/>
      <c r="BF1495" s="84"/>
      <c r="BG1495" s="84"/>
      <c r="BH1495" s="84"/>
      <c r="BI1495" s="84"/>
      <c r="BJ1495" s="84"/>
      <c r="BK1495" s="84"/>
      <c r="BL1495" s="84"/>
      <c r="BM1495" s="84"/>
      <c r="BN1495" s="84"/>
      <c r="BO1495" s="84"/>
      <c r="BP1495" s="84"/>
      <c r="BQ1495" s="84"/>
      <c r="BR1495" s="84"/>
      <c r="BS1495" s="84"/>
      <c r="BT1495" s="84"/>
      <c r="BU1495" s="84"/>
      <c r="BV1495" s="84"/>
      <c r="BW1495" s="84"/>
      <c r="BX1495" s="84"/>
      <c r="BY1495" s="84"/>
      <c r="BZ1495" s="84"/>
      <c r="CA1495" s="84"/>
      <c r="CB1495" s="84"/>
      <c r="CC1495" s="84"/>
      <c r="CD1495" s="84"/>
      <c r="CE1495" s="84"/>
      <c r="CF1495" s="84"/>
      <c r="CG1495" s="84"/>
      <c r="CH1495" s="84"/>
      <c r="CI1495" s="84"/>
      <c r="CJ1495" s="84"/>
      <c r="CK1495" s="84"/>
      <c r="CL1495" s="84"/>
      <c r="CM1495" s="84"/>
      <c r="CN1495" s="84"/>
      <c r="CO1495" s="84"/>
      <c r="CP1495" s="84"/>
      <c r="CQ1495" s="101"/>
      <c r="CR1495" s="101"/>
      <c r="CS1495" s="101"/>
      <c r="CT1495" s="101"/>
      <c r="CU1495" s="101"/>
      <c r="CV1495" s="101"/>
      <c r="CW1495" s="101"/>
      <c r="CX1495" s="101"/>
      <c r="CY1495" s="101"/>
      <c r="CZ1495" s="101"/>
      <c r="DA1495" s="101"/>
      <c r="DB1495" s="101"/>
      <c r="DC1495" s="101"/>
      <c r="DD1495" s="101"/>
      <c r="DE1495" s="101"/>
      <c r="DF1495" s="101"/>
      <c r="DG1495" s="101"/>
      <c r="DH1495" s="101"/>
      <c r="DI1495" s="101"/>
      <c r="DJ1495" s="101"/>
      <c r="DK1495" s="101"/>
      <c r="DL1495" s="101"/>
      <c r="DM1495" s="101"/>
      <c r="DN1495" s="101"/>
      <c r="DO1495" s="101"/>
      <c r="DP1495" s="101"/>
      <c r="DQ1495" s="101"/>
    </row>
    <row r="1496" spans="1:121" s="40" customFormat="1" ht="13" x14ac:dyDescent="0.3">
      <c r="A1496" s="101"/>
      <c r="H1496" s="101"/>
      <c r="U1496" s="13"/>
      <c r="V1496" s="13"/>
      <c r="W1496" s="13"/>
      <c r="X1496" s="13"/>
      <c r="Y1496" s="13"/>
      <c r="Z1496" s="13"/>
      <c r="AA1496" s="13"/>
      <c r="AB1496" s="13"/>
      <c r="AC1496" s="13"/>
      <c r="AD1496" s="13"/>
      <c r="AE1496" s="13"/>
      <c r="AF1496" s="84"/>
      <c r="AG1496" s="84"/>
      <c r="AH1496" s="84"/>
      <c r="AI1496" s="84"/>
      <c r="AJ1496" s="84"/>
      <c r="AK1496" s="84"/>
      <c r="AL1496" s="84"/>
      <c r="AM1496" s="84"/>
      <c r="AN1496" s="84"/>
      <c r="AO1496" s="84"/>
      <c r="AP1496" s="84"/>
      <c r="AQ1496" s="84"/>
      <c r="AR1496" s="84"/>
      <c r="AS1496" s="84"/>
      <c r="AT1496" s="84"/>
      <c r="AU1496" s="84"/>
      <c r="AV1496" s="84"/>
      <c r="AW1496" s="84"/>
      <c r="AX1496" s="84"/>
      <c r="AY1496" s="84"/>
      <c r="AZ1496" s="84"/>
      <c r="BA1496" s="84"/>
      <c r="BB1496" s="84"/>
      <c r="BC1496" s="84"/>
      <c r="BD1496" s="84"/>
      <c r="BE1496" s="84"/>
      <c r="BF1496" s="84"/>
      <c r="BG1496" s="84"/>
      <c r="BH1496" s="84"/>
      <c r="BI1496" s="84"/>
      <c r="BJ1496" s="84"/>
      <c r="BK1496" s="84"/>
      <c r="BL1496" s="84"/>
      <c r="BM1496" s="84"/>
      <c r="BN1496" s="84"/>
      <c r="BO1496" s="84"/>
      <c r="BP1496" s="84"/>
      <c r="BQ1496" s="84"/>
      <c r="BR1496" s="84"/>
      <c r="BS1496" s="84"/>
      <c r="BT1496" s="84"/>
      <c r="BU1496" s="84"/>
      <c r="BV1496" s="84"/>
      <c r="BW1496" s="84"/>
      <c r="BX1496" s="84"/>
      <c r="BY1496" s="84"/>
      <c r="BZ1496" s="84"/>
      <c r="CA1496" s="84"/>
      <c r="CB1496" s="84"/>
      <c r="CC1496" s="84"/>
      <c r="CD1496" s="84"/>
      <c r="CE1496" s="84"/>
      <c r="CF1496" s="84"/>
      <c r="CG1496" s="84"/>
      <c r="CH1496" s="84"/>
      <c r="CI1496" s="84"/>
      <c r="CJ1496" s="84"/>
      <c r="CK1496" s="84"/>
      <c r="CL1496" s="84"/>
      <c r="CM1496" s="84"/>
      <c r="CN1496" s="84"/>
      <c r="CO1496" s="84"/>
      <c r="CP1496" s="84"/>
      <c r="CQ1496" s="101"/>
      <c r="CR1496" s="101"/>
      <c r="CS1496" s="101"/>
      <c r="CT1496" s="101"/>
      <c r="CU1496" s="101"/>
      <c r="CV1496" s="101"/>
      <c r="CW1496" s="101"/>
      <c r="CX1496" s="101"/>
      <c r="CY1496" s="101"/>
      <c r="CZ1496" s="101"/>
      <c r="DA1496" s="101"/>
      <c r="DB1496" s="101"/>
      <c r="DC1496" s="101"/>
      <c r="DD1496" s="101"/>
      <c r="DE1496" s="101"/>
      <c r="DF1496" s="101"/>
      <c r="DG1496" s="101"/>
      <c r="DH1496" s="101"/>
      <c r="DI1496" s="101"/>
      <c r="DJ1496" s="101"/>
      <c r="DK1496" s="101"/>
      <c r="DL1496" s="101"/>
      <c r="DM1496" s="101"/>
      <c r="DN1496" s="101"/>
      <c r="DO1496" s="101"/>
      <c r="DP1496" s="101"/>
      <c r="DQ1496" s="101"/>
    </row>
    <row r="1497" spans="1:121" s="40" customFormat="1" ht="13" x14ac:dyDescent="0.3">
      <c r="A1497" s="101"/>
      <c r="H1497" s="101"/>
      <c r="U1497" s="13"/>
      <c r="V1497" s="13"/>
      <c r="W1497" s="13"/>
      <c r="X1497" s="13"/>
      <c r="Y1497" s="13"/>
      <c r="Z1497" s="13"/>
      <c r="AA1497" s="13"/>
      <c r="AB1497" s="13"/>
      <c r="AC1497" s="13"/>
      <c r="AD1497" s="13"/>
      <c r="AE1497" s="13"/>
      <c r="AF1497" s="84"/>
      <c r="AG1497" s="84"/>
      <c r="AH1497" s="84"/>
      <c r="AI1497" s="84"/>
      <c r="AJ1497" s="84"/>
      <c r="AK1497" s="84"/>
      <c r="AL1497" s="84"/>
      <c r="AM1497" s="84"/>
      <c r="AN1497" s="84"/>
      <c r="AO1497" s="84"/>
      <c r="AP1497" s="84"/>
      <c r="AQ1497" s="84"/>
      <c r="AR1497" s="84"/>
      <c r="AS1497" s="84"/>
      <c r="AT1497" s="84"/>
      <c r="AU1497" s="84"/>
      <c r="AV1497" s="84"/>
      <c r="AW1497" s="84"/>
      <c r="AX1497" s="84"/>
      <c r="AY1497" s="84"/>
      <c r="AZ1497" s="84"/>
      <c r="BA1497" s="84"/>
      <c r="BB1497" s="84"/>
      <c r="BC1497" s="84"/>
      <c r="BD1497" s="84"/>
      <c r="BE1497" s="84"/>
      <c r="BF1497" s="84"/>
      <c r="BG1497" s="84"/>
      <c r="BH1497" s="84"/>
      <c r="BI1497" s="84"/>
      <c r="BJ1497" s="84"/>
      <c r="BK1497" s="84"/>
      <c r="BL1497" s="84"/>
      <c r="BM1497" s="84"/>
      <c r="BN1497" s="84"/>
      <c r="BO1497" s="84"/>
      <c r="BP1497" s="84"/>
      <c r="BQ1497" s="84"/>
      <c r="BR1497" s="84"/>
      <c r="BS1497" s="84"/>
      <c r="BT1497" s="84"/>
      <c r="BU1497" s="84"/>
      <c r="BV1497" s="84"/>
      <c r="BW1497" s="84"/>
      <c r="BX1497" s="84"/>
      <c r="BY1497" s="84"/>
      <c r="BZ1497" s="84"/>
      <c r="CA1497" s="84"/>
      <c r="CB1497" s="84"/>
      <c r="CC1497" s="84"/>
      <c r="CD1497" s="84"/>
      <c r="CE1497" s="84"/>
      <c r="CF1497" s="84"/>
      <c r="CG1497" s="84"/>
      <c r="CH1497" s="84"/>
      <c r="CI1497" s="84"/>
      <c r="CJ1497" s="84"/>
      <c r="CK1497" s="84"/>
      <c r="CL1497" s="84"/>
      <c r="CM1497" s="84"/>
      <c r="CN1497" s="84"/>
      <c r="CO1497" s="84"/>
      <c r="CP1497" s="84"/>
      <c r="CQ1497" s="101"/>
      <c r="CR1497" s="101"/>
      <c r="CS1497" s="101"/>
      <c r="CT1497" s="101"/>
      <c r="CU1497" s="101"/>
      <c r="CV1497" s="101"/>
      <c r="CW1497" s="101"/>
      <c r="CX1497" s="101"/>
      <c r="CY1497" s="101"/>
      <c r="CZ1497" s="101"/>
      <c r="DA1497" s="101"/>
      <c r="DB1497" s="101"/>
      <c r="DC1497" s="101"/>
      <c r="DD1497" s="101"/>
      <c r="DE1497" s="101"/>
      <c r="DF1497" s="101"/>
      <c r="DG1497" s="101"/>
      <c r="DH1497" s="101"/>
      <c r="DI1497" s="101"/>
      <c r="DJ1497" s="101"/>
      <c r="DK1497" s="101"/>
      <c r="DL1497" s="101"/>
      <c r="DM1497" s="101"/>
      <c r="DN1497" s="101"/>
      <c r="DO1497" s="101"/>
      <c r="DP1497" s="101"/>
      <c r="DQ1497" s="101"/>
    </row>
    <row r="1498" spans="1:121" s="40" customFormat="1" ht="13" x14ac:dyDescent="0.3">
      <c r="A1498" s="101"/>
      <c r="H1498" s="101"/>
      <c r="U1498" s="13"/>
      <c r="V1498" s="13"/>
      <c r="W1498" s="13"/>
      <c r="X1498" s="13"/>
      <c r="Y1498" s="13"/>
      <c r="Z1498" s="13"/>
      <c r="AA1498" s="13"/>
      <c r="AB1498" s="13"/>
      <c r="AC1498" s="13"/>
      <c r="AD1498" s="13"/>
      <c r="AE1498" s="13"/>
      <c r="AF1498" s="84"/>
      <c r="AG1498" s="84"/>
      <c r="AH1498" s="84"/>
      <c r="AI1498" s="84"/>
      <c r="AJ1498" s="84"/>
      <c r="AK1498" s="84"/>
      <c r="AL1498" s="84"/>
      <c r="AM1498" s="84"/>
      <c r="AN1498" s="84"/>
      <c r="AO1498" s="84"/>
      <c r="AP1498" s="84"/>
      <c r="AQ1498" s="84"/>
      <c r="AR1498" s="84"/>
      <c r="AS1498" s="84"/>
      <c r="AT1498" s="84"/>
      <c r="AU1498" s="84"/>
      <c r="AV1498" s="84"/>
      <c r="AW1498" s="84"/>
      <c r="AX1498" s="84"/>
      <c r="AY1498" s="84"/>
      <c r="AZ1498" s="84"/>
      <c r="BA1498" s="84"/>
      <c r="BB1498" s="84"/>
      <c r="BC1498" s="84"/>
      <c r="BD1498" s="84"/>
      <c r="BE1498" s="84"/>
      <c r="BF1498" s="84"/>
      <c r="BG1498" s="84"/>
      <c r="BH1498" s="84"/>
      <c r="BI1498" s="84"/>
      <c r="BJ1498" s="84"/>
      <c r="BK1498" s="84"/>
      <c r="BL1498" s="84"/>
      <c r="BM1498" s="84"/>
      <c r="BN1498" s="84"/>
      <c r="BO1498" s="84"/>
      <c r="BP1498" s="84"/>
      <c r="BQ1498" s="84"/>
      <c r="BR1498" s="84"/>
      <c r="BS1498" s="84"/>
      <c r="BT1498" s="84"/>
      <c r="BU1498" s="84"/>
      <c r="BV1498" s="84"/>
      <c r="BW1498" s="84"/>
      <c r="BX1498" s="84"/>
      <c r="BY1498" s="84"/>
      <c r="BZ1498" s="84"/>
      <c r="CA1498" s="84"/>
      <c r="CB1498" s="84"/>
      <c r="CC1498" s="84"/>
      <c r="CD1498" s="84"/>
      <c r="CE1498" s="84"/>
      <c r="CF1498" s="84"/>
      <c r="CG1498" s="84"/>
      <c r="CH1498" s="84"/>
      <c r="CI1498" s="84"/>
      <c r="CJ1498" s="84"/>
      <c r="CK1498" s="84"/>
      <c r="CL1498" s="84"/>
      <c r="CM1498" s="84"/>
      <c r="CN1498" s="84"/>
      <c r="CO1498" s="84"/>
      <c r="CP1498" s="84"/>
      <c r="CQ1498" s="101"/>
      <c r="CR1498" s="101"/>
      <c r="CS1498" s="101"/>
      <c r="CT1498" s="101"/>
      <c r="CU1498" s="101"/>
      <c r="CV1498" s="101"/>
      <c r="CW1498" s="101"/>
      <c r="CX1498" s="101"/>
      <c r="CY1498" s="101"/>
      <c r="CZ1498" s="101"/>
      <c r="DA1498" s="101"/>
      <c r="DB1498" s="101"/>
      <c r="DC1498" s="101"/>
      <c r="DD1498" s="101"/>
      <c r="DE1498" s="101"/>
      <c r="DF1498" s="101"/>
      <c r="DG1498" s="101"/>
      <c r="DH1498" s="101"/>
      <c r="DI1498" s="101"/>
      <c r="DJ1498" s="101"/>
      <c r="DK1498" s="101"/>
      <c r="DL1498" s="101"/>
      <c r="DM1498" s="101"/>
      <c r="DN1498" s="101"/>
      <c r="DO1498" s="101"/>
      <c r="DP1498" s="101"/>
      <c r="DQ1498" s="101"/>
    </row>
    <row r="1499" spans="1:121" s="40" customFormat="1" ht="13" x14ac:dyDescent="0.3">
      <c r="A1499" s="101"/>
      <c r="H1499" s="101"/>
      <c r="U1499" s="13"/>
      <c r="V1499" s="13"/>
      <c r="W1499" s="13"/>
      <c r="X1499" s="13"/>
      <c r="Y1499" s="13"/>
      <c r="Z1499" s="13"/>
      <c r="AA1499" s="13"/>
      <c r="AB1499" s="13"/>
      <c r="AC1499" s="13"/>
      <c r="AD1499" s="13"/>
      <c r="AE1499" s="13"/>
      <c r="AF1499" s="84"/>
      <c r="AG1499" s="84"/>
      <c r="AH1499" s="84"/>
      <c r="AI1499" s="84"/>
      <c r="AJ1499" s="84"/>
      <c r="AK1499" s="84"/>
      <c r="AL1499" s="84"/>
      <c r="AM1499" s="84"/>
      <c r="AN1499" s="84"/>
      <c r="AO1499" s="84"/>
      <c r="AP1499" s="84"/>
      <c r="AQ1499" s="84"/>
      <c r="AR1499" s="84"/>
      <c r="AS1499" s="84"/>
      <c r="AT1499" s="84"/>
      <c r="AU1499" s="84"/>
      <c r="AV1499" s="84"/>
      <c r="AW1499" s="84"/>
      <c r="AX1499" s="84"/>
      <c r="AY1499" s="84"/>
      <c r="AZ1499" s="84"/>
      <c r="BA1499" s="84"/>
      <c r="BB1499" s="84"/>
      <c r="BC1499" s="84"/>
      <c r="BD1499" s="84"/>
      <c r="BE1499" s="84"/>
      <c r="BF1499" s="84"/>
      <c r="BG1499" s="84"/>
      <c r="BH1499" s="84"/>
      <c r="BI1499" s="84"/>
      <c r="BJ1499" s="84"/>
      <c r="BK1499" s="84"/>
      <c r="BL1499" s="84"/>
      <c r="BM1499" s="84"/>
      <c r="BN1499" s="84"/>
      <c r="BO1499" s="84"/>
      <c r="BP1499" s="84"/>
      <c r="BQ1499" s="84"/>
      <c r="BR1499" s="84"/>
      <c r="BS1499" s="84"/>
      <c r="BT1499" s="84"/>
      <c r="BU1499" s="84"/>
      <c r="BV1499" s="84"/>
      <c r="BW1499" s="84"/>
      <c r="BX1499" s="84"/>
      <c r="BY1499" s="84"/>
      <c r="BZ1499" s="84"/>
      <c r="CA1499" s="84"/>
      <c r="CB1499" s="84"/>
      <c r="CC1499" s="84"/>
      <c r="CD1499" s="84"/>
      <c r="CE1499" s="84"/>
      <c r="CF1499" s="84"/>
      <c r="CG1499" s="84"/>
      <c r="CH1499" s="84"/>
      <c r="CI1499" s="84"/>
      <c r="CJ1499" s="84"/>
      <c r="CK1499" s="84"/>
      <c r="CL1499" s="84"/>
      <c r="CM1499" s="84"/>
      <c r="CN1499" s="84"/>
      <c r="CO1499" s="84"/>
      <c r="CP1499" s="84"/>
      <c r="CQ1499" s="101"/>
      <c r="CR1499" s="101"/>
      <c r="CS1499" s="101"/>
      <c r="CT1499" s="101"/>
      <c r="CU1499" s="101"/>
      <c r="CV1499" s="101"/>
      <c r="CW1499" s="101"/>
      <c r="CX1499" s="101"/>
      <c r="CY1499" s="101"/>
      <c r="CZ1499" s="101"/>
      <c r="DA1499" s="101"/>
      <c r="DB1499" s="101"/>
      <c r="DC1499" s="101"/>
      <c r="DD1499" s="101"/>
      <c r="DE1499" s="101"/>
      <c r="DF1499" s="101"/>
      <c r="DG1499" s="101"/>
      <c r="DH1499" s="101"/>
      <c r="DI1499" s="101"/>
      <c r="DJ1499" s="101"/>
      <c r="DK1499" s="101"/>
      <c r="DL1499" s="101"/>
      <c r="DM1499" s="101"/>
      <c r="DN1499" s="101"/>
      <c r="DO1499" s="101"/>
      <c r="DP1499" s="101"/>
      <c r="DQ1499" s="101"/>
    </row>
    <row r="1500" spans="1:121" s="40" customFormat="1" ht="13" x14ac:dyDescent="0.3">
      <c r="A1500" s="101"/>
      <c r="H1500" s="101"/>
      <c r="U1500" s="13"/>
      <c r="V1500" s="13"/>
      <c r="W1500" s="13"/>
      <c r="X1500" s="13"/>
      <c r="Y1500" s="13"/>
      <c r="Z1500" s="13"/>
      <c r="AA1500" s="13"/>
      <c r="AB1500" s="13"/>
      <c r="AC1500" s="13"/>
      <c r="AD1500" s="13"/>
      <c r="AE1500" s="13"/>
      <c r="AF1500" s="84"/>
      <c r="AG1500" s="84"/>
      <c r="AH1500" s="84"/>
      <c r="AI1500" s="84"/>
      <c r="AJ1500" s="84"/>
      <c r="AK1500" s="84"/>
      <c r="AL1500" s="84"/>
      <c r="AM1500" s="84"/>
      <c r="AN1500" s="84"/>
      <c r="AO1500" s="84"/>
      <c r="AP1500" s="84"/>
      <c r="AQ1500" s="84"/>
      <c r="AR1500" s="84"/>
      <c r="AS1500" s="84"/>
      <c r="AT1500" s="84"/>
      <c r="AU1500" s="84"/>
      <c r="AV1500" s="84"/>
      <c r="AW1500" s="84"/>
      <c r="AX1500" s="84"/>
      <c r="AY1500" s="84"/>
      <c r="AZ1500" s="84"/>
      <c r="BA1500" s="84"/>
      <c r="BB1500" s="84"/>
      <c r="BC1500" s="84"/>
      <c r="BD1500" s="84"/>
      <c r="BE1500" s="84"/>
      <c r="BF1500" s="84"/>
      <c r="BG1500" s="84"/>
      <c r="BH1500" s="84"/>
      <c r="BI1500" s="84"/>
      <c r="BJ1500" s="84"/>
      <c r="BK1500" s="84"/>
      <c r="BL1500" s="84"/>
      <c r="BM1500" s="84"/>
      <c r="BN1500" s="84"/>
      <c r="BO1500" s="84"/>
      <c r="BP1500" s="84"/>
      <c r="BQ1500" s="84"/>
      <c r="BR1500" s="84"/>
      <c r="BS1500" s="84"/>
      <c r="BT1500" s="84"/>
      <c r="BU1500" s="84"/>
      <c r="BV1500" s="84"/>
      <c r="BW1500" s="84"/>
      <c r="BX1500" s="84"/>
      <c r="BY1500" s="84"/>
      <c r="BZ1500" s="84"/>
      <c r="CA1500" s="84"/>
      <c r="CB1500" s="84"/>
      <c r="CC1500" s="84"/>
      <c r="CD1500" s="84"/>
      <c r="CE1500" s="84"/>
      <c r="CF1500" s="84"/>
      <c r="CG1500" s="84"/>
      <c r="CH1500" s="84"/>
      <c r="CI1500" s="84"/>
      <c r="CJ1500" s="84"/>
      <c r="CK1500" s="84"/>
      <c r="CL1500" s="84"/>
      <c r="CM1500" s="84"/>
      <c r="CN1500" s="84"/>
      <c r="CO1500" s="84"/>
      <c r="CP1500" s="84"/>
      <c r="CQ1500" s="101"/>
      <c r="CR1500" s="101"/>
      <c r="CS1500" s="101"/>
      <c r="CT1500" s="101"/>
      <c r="CU1500" s="101"/>
      <c r="CV1500" s="101"/>
      <c r="CW1500" s="101"/>
      <c r="CX1500" s="101"/>
      <c r="CY1500" s="101"/>
      <c r="CZ1500" s="101"/>
      <c r="DA1500" s="101"/>
      <c r="DB1500" s="101"/>
      <c r="DC1500" s="101"/>
      <c r="DD1500" s="101"/>
      <c r="DE1500" s="101"/>
      <c r="DF1500" s="101"/>
      <c r="DG1500" s="101"/>
      <c r="DH1500" s="101"/>
      <c r="DI1500" s="101"/>
      <c r="DJ1500" s="101"/>
      <c r="DK1500" s="101"/>
      <c r="DL1500" s="101"/>
      <c r="DM1500" s="101"/>
      <c r="DN1500" s="101"/>
      <c r="DO1500" s="101"/>
      <c r="DP1500" s="101"/>
      <c r="DQ1500" s="101"/>
    </row>
    <row r="1501" spans="1:121" s="40" customFormat="1" ht="13" x14ac:dyDescent="0.3">
      <c r="A1501" s="101"/>
      <c r="H1501" s="101"/>
      <c r="U1501" s="13"/>
      <c r="V1501" s="13"/>
      <c r="W1501" s="13"/>
      <c r="X1501" s="13"/>
      <c r="Y1501" s="13"/>
      <c r="Z1501" s="13"/>
      <c r="AA1501" s="13"/>
      <c r="AB1501" s="13"/>
      <c r="AC1501" s="13"/>
      <c r="AD1501" s="13"/>
      <c r="AE1501" s="13"/>
      <c r="AF1501" s="84"/>
      <c r="AG1501" s="84"/>
      <c r="AH1501" s="84"/>
      <c r="AI1501" s="84"/>
      <c r="AJ1501" s="84"/>
      <c r="AK1501" s="84"/>
      <c r="AL1501" s="84"/>
      <c r="AM1501" s="84"/>
      <c r="AN1501" s="84"/>
      <c r="AO1501" s="84"/>
      <c r="AP1501" s="84"/>
      <c r="AQ1501" s="84"/>
      <c r="AR1501" s="84"/>
      <c r="AS1501" s="84"/>
      <c r="AT1501" s="84"/>
      <c r="AU1501" s="84"/>
      <c r="AV1501" s="84"/>
      <c r="AW1501" s="84"/>
      <c r="AX1501" s="84"/>
      <c r="AY1501" s="84"/>
      <c r="AZ1501" s="84"/>
      <c r="BA1501" s="84"/>
      <c r="BB1501" s="84"/>
      <c r="BC1501" s="84"/>
      <c r="BD1501" s="84"/>
      <c r="BE1501" s="84"/>
      <c r="BF1501" s="84"/>
      <c r="BG1501" s="84"/>
      <c r="BH1501" s="84"/>
      <c r="BI1501" s="84"/>
      <c r="BJ1501" s="84"/>
      <c r="BK1501" s="84"/>
      <c r="BL1501" s="84"/>
      <c r="BM1501" s="84"/>
      <c r="BN1501" s="84"/>
      <c r="BO1501" s="84"/>
      <c r="BP1501" s="84"/>
      <c r="BQ1501" s="84"/>
      <c r="BR1501" s="84"/>
      <c r="BS1501" s="84"/>
      <c r="BT1501" s="84"/>
      <c r="BU1501" s="84"/>
      <c r="BV1501" s="84"/>
      <c r="BW1501" s="84"/>
      <c r="BX1501" s="84"/>
      <c r="BY1501" s="84"/>
      <c r="BZ1501" s="84"/>
      <c r="CA1501" s="84"/>
      <c r="CB1501" s="84"/>
      <c r="CC1501" s="84"/>
      <c r="CD1501" s="84"/>
      <c r="CE1501" s="84"/>
      <c r="CF1501" s="84"/>
      <c r="CG1501" s="84"/>
      <c r="CH1501" s="84"/>
      <c r="CI1501" s="84"/>
      <c r="CJ1501" s="84"/>
      <c r="CK1501" s="84"/>
      <c r="CL1501" s="84"/>
      <c r="CM1501" s="84"/>
      <c r="CN1501" s="84"/>
      <c r="CO1501" s="84"/>
      <c r="CP1501" s="84"/>
      <c r="CQ1501" s="101"/>
      <c r="CR1501" s="101"/>
      <c r="CS1501" s="101"/>
      <c r="CT1501" s="101"/>
      <c r="CU1501" s="101"/>
      <c r="CV1501" s="101"/>
      <c r="CW1501" s="101"/>
      <c r="CX1501" s="101"/>
      <c r="CY1501" s="101"/>
      <c r="CZ1501" s="101"/>
      <c r="DA1501" s="101"/>
      <c r="DB1501" s="101"/>
      <c r="DC1501" s="101"/>
      <c r="DD1501" s="101"/>
      <c r="DE1501" s="101"/>
      <c r="DF1501" s="101"/>
      <c r="DG1501" s="101"/>
      <c r="DH1501" s="101"/>
      <c r="DI1501" s="101"/>
      <c r="DJ1501" s="101"/>
      <c r="DK1501" s="101"/>
      <c r="DL1501" s="101"/>
      <c r="DM1501" s="101"/>
      <c r="DN1501" s="101"/>
      <c r="DO1501" s="101"/>
      <c r="DP1501" s="101"/>
      <c r="DQ1501" s="101"/>
    </row>
    <row r="1502" spans="1:121" s="40" customFormat="1" ht="13" x14ac:dyDescent="0.3">
      <c r="A1502" s="101"/>
      <c r="H1502" s="101"/>
      <c r="U1502" s="13"/>
      <c r="V1502" s="13"/>
      <c r="W1502" s="13"/>
      <c r="X1502" s="13"/>
      <c r="Y1502" s="13"/>
      <c r="Z1502" s="13"/>
      <c r="AA1502" s="13"/>
      <c r="AB1502" s="13"/>
      <c r="AC1502" s="13"/>
      <c r="AD1502" s="13"/>
      <c r="AE1502" s="13"/>
      <c r="AF1502" s="84"/>
      <c r="AG1502" s="84"/>
      <c r="AH1502" s="84"/>
      <c r="AI1502" s="84"/>
      <c r="AJ1502" s="84"/>
      <c r="AK1502" s="84"/>
      <c r="AL1502" s="84"/>
      <c r="AM1502" s="84"/>
      <c r="AN1502" s="84"/>
      <c r="AO1502" s="84"/>
      <c r="AP1502" s="84"/>
      <c r="AQ1502" s="84"/>
      <c r="AR1502" s="84"/>
      <c r="AS1502" s="84"/>
      <c r="AT1502" s="84"/>
      <c r="AU1502" s="84"/>
      <c r="AV1502" s="84"/>
      <c r="AW1502" s="84"/>
      <c r="AX1502" s="84"/>
      <c r="AY1502" s="84"/>
      <c r="AZ1502" s="84"/>
      <c r="BA1502" s="84"/>
      <c r="BB1502" s="84"/>
      <c r="BC1502" s="84"/>
      <c r="BD1502" s="84"/>
      <c r="BE1502" s="84"/>
      <c r="BF1502" s="84"/>
      <c r="BG1502" s="84"/>
      <c r="BH1502" s="84"/>
      <c r="BI1502" s="84"/>
      <c r="BJ1502" s="84"/>
      <c r="BK1502" s="84"/>
      <c r="BL1502" s="84"/>
      <c r="BM1502" s="84"/>
      <c r="BN1502" s="84"/>
      <c r="BO1502" s="84"/>
      <c r="BP1502" s="84"/>
      <c r="BQ1502" s="84"/>
      <c r="BR1502" s="84"/>
      <c r="BS1502" s="84"/>
      <c r="BT1502" s="84"/>
      <c r="BU1502" s="84"/>
      <c r="BV1502" s="84"/>
      <c r="BW1502" s="84"/>
      <c r="BX1502" s="84"/>
      <c r="BY1502" s="84"/>
      <c r="BZ1502" s="84"/>
      <c r="CA1502" s="84"/>
      <c r="CB1502" s="84"/>
      <c r="CC1502" s="84"/>
      <c r="CD1502" s="84"/>
      <c r="CE1502" s="84"/>
      <c r="CF1502" s="84"/>
      <c r="CG1502" s="84"/>
      <c r="CH1502" s="84"/>
      <c r="CI1502" s="84"/>
      <c r="CJ1502" s="84"/>
      <c r="CK1502" s="84"/>
      <c r="CL1502" s="84"/>
      <c r="CM1502" s="84"/>
      <c r="CN1502" s="84"/>
      <c r="CO1502" s="84"/>
      <c r="CP1502" s="84"/>
      <c r="CQ1502" s="101"/>
      <c r="CR1502" s="101"/>
      <c r="CS1502" s="101"/>
      <c r="CT1502" s="101"/>
      <c r="CU1502" s="101"/>
      <c r="CV1502" s="101"/>
      <c r="CW1502" s="101"/>
      <c r="CX1502" s="101"/>
      <c r="CY1502" s="101"/>
      <c r="CZ1502" s="101"/>
      <c r="DA1502" s="101"/>
      <c r="DB1502" s="101"/>
      <c r="DC1502" s="101"/>
      <c r="DD1502" s="101"/>
      <c r="DE1502" s="101"/>
      <c r="DF1502" s="101"/>
      <c r="DG1502" s="101"/>
      <c r="DH1502" s="101"/>
      <c r="DI1502" s="101"/>
      <c r="DJ1502" s="101"/>
      <c r="DK1502" s="101"/>
      <c r="DL1502" s="101"/>
      <c r="DM1502" s="101"/>
      <c r="DN1502" s="101"/>
      <c r="DO1502" s="101"/>
      <c r="DP1502" s="101"/>
      <c r="DQ1502" s="101"/>
    </row>
    <row r="1503" spans="1:121" s="40" customFormat="1" ht="13" x14ac:dyDescent="0.3">
      <c r="A1503" s="101"/>
      <c r="H1503" s="101"/>
      <c r="U1503" s="13"/>
      <c r="V1503" s="13"/>
      <c r="W1503" s="13"/>
      <c r="X1503" s="13"/>
      <c r="Y1503" s="13"/>
      <c r="Z1503" s="13"/>
      <c r="AA1503" s="13"/>
      <c r="AB1503" s="13"/>
      <c r="AC1503" s="13"/>
      <c r="AD1503" s="13"/>
      <c r="AE1503" s="13"/>
      <c r="AF1503" s="84"/>
      <c r="AG1503" s="84"/>
      <c r="AH1503" s="84"/>
      <c r="AI1503" s="84"/>
      <c r="AJ1503" s="84"/>
      <c r="AK1503" s="84"/>
      <c r="AL1503" s="84"/>
      <c r="AM1503" s="84"/>
      <c r="AN1503" s="84"/>
      <c r="AO1503" s="84"/>
      <c r="AP1503" s="84"/>
      <c r="AQ1503" s="84"/>
      <c r="AR1503" s="84"/>
      <c r="AS1503" s="84"/>
      <c r="AT1503" s="84"/>
      <c r="AU1503" s="84"/>
      <c r="AV1503" s="84"/>
      <c r="AW1503" s="84"/>
      <c r="AX1503" s="84"/>
      <c r="AY1503" s="84"/>
      <c r="AZ1503" s="84"/>
      <c r="BA1503" s="84"/>
      <c r="BB1503" s="84"/>
      <c r="BC1503" s="84"/>
      <c r="BD1503" s="84"/>
      <c r="BE1503" s="84"/>
      <c r="BF1503" s="84"/>
      <c r="BG1503" s="84"/>
      <c r="BH1503" s="84"/>
      <c r="BI1503" s="84"/>
      <c r="BJ1503" s="84"/>
      <c r="BK1503" s="84"/>
      <c r="BL1503" s="84"/>
      <c r="BM1503" s="84"/>
      <c r="BN1503" s="84"/>
      <c r="BO1503" s="84"/>
      <c r="BP1503" s="84"/>
      <c r="BQ1503" s="84"/>
      <c r="BR1503" s="84"/>
      <c r="BS1503" s="84"/>
      <c r="BT1503" s="84"/>
      <c r="BU1503" s="84"/>
      <c r="BV1503" s="84"/>
      <c r="BW1503" s="84"/>
      <c r="BX1503" s="84"/>
      <c r="BY1503" s="84"/>
      <c r="BZ1503" s="84"/>
      <c r="CA1503" s="84"/>
      <c r="CB1503" s="84"/>
      <c r="CC1503" s="84"/>
      <c r="CD1503" s="84"/>
      <c r="CE1503" s="84"/>
      <c r="CF1503" s="84"/>
      <c r="CG1503" s="84"/>
      <c r="CH1503" s="84"/>
      <c r="CI1503" s="84"/>
      <c r="CJ1503" s="84"/>
      <c r="CK1503" s="84"/>
      <c r="CL1503" s="84"/>
      <c r="CM1503" s="84"/>
      <c r="CN1503" s="84"/>
      <c r="CO1503" s="84"/>
      <c r="CP1503" s="84"/>
      <c r="CQ1503" s="101"/>
      <c r="CR1503" s="101"/>
      <c r="CS1503" s="101"/>
      <c r="CT1503" s="101"/>
      <c r="CU1503" s="101"/>
      <c r="CV1503" s="101"/>
      <c r="CW1503" s="101"/>
      <c r="CX1503" s="101"/>
      <c r="CY1503" s="101"/>
      <c r="CZ1503" s="101"/>
      <c r="DA1503" s="101"/>
      <c r="DB1503" s="101"/>
      <c r="DC1503" s="101"/>
      <c r="DD1503" s="101"/>
      <c r="DE1503" s="101"/>
      <c r="DF1503" s="101"/>
      <c r="DG1503" s="101"/>
      <c r="DH1503" s="101"/>
      <c r="DI1503" s="101"/>
      <c r="DJ1503" s="101"/>
      <c r="DK1503" s="101"/>
      <c r="DL1503" s="101"/>
      <c r="DM1503" s="101"/>
      <c r="DN1503" s="101"/>
      <c r="DO1503" s="101"/>
      <c r="DP1503" s="101"/>
      <c r="DQ1503" s="101"/>
    </row>
    <row r="1504" spans="1:121" s="40" customFormat="1" ht="13" x14ac:dyDescent="0.3">
      <c r="A1504" s="101"/>
      <c r="H1504" s="101"/>
      <c r="U1504" s="13"/>
      <c r="V1504" s="13"/>
      <c r="W1504" s="13"/>
      <c r="X1504" s="13"/>
      <c r="Y1504" s="13"/>
      <c r="Z1504" s="13"/>
      <c r="AA1504" s="13"/>
      <c r="AB1504" s="13"/>
      <c r="AC1504" s="13"/>
      <c r="AD1504" s="13"/>
      <c r="AE1504" s="13"/>
      <c r="AF1504" s="84"/>
      <c r="AG1504" s="84"/>
      <c r="AH1504" s="84"/>
      <c r="AI1504" s="84"/>
      <c r="AJ1504" s="84"/>
      <c r="AK1504" s="84"/>
      <c r="AL1504" s="84"/>
      <c r="AM1504" s="84"/>
      <c r="AN1504" s="84"/>
      <c r="AO1504" s="84"/>
      <c r="AP1504" s="84"/>
      <c r="AQ1504" s="84"/>
      <c r="AR1504" s="84"/>
      <c r="AS1504" s="84"/>
      <c r="AT1504" s="84"/>
      <c r="AU1504" s="84"/>
      <c r="AV1504" s="84"/>
      <c r="AW1504" s="84"/>
      <c r="AX1504" s="84"/>
      <c r="AY1504" s="84"/>
      <c r="AZ1504" s="84"/>
      <c r="BA1504" s="84"/>
      <c r="BB1504" s="84"/>
      <c r="BC1504" s="84"/>
      <c r="BD1504" s="84"/>
      <c r="BE1504" s="84"/>
      <c r="BF1504" s="84"/>
      <c r="BG1504" s="84"/>
      <c r="BH1504" s="84"/>
      <c r="BI1504" s="84"/>
      <c r="BJ1504" s="84"/>
      <c r="BK1504" s="84"/>
      <c r="BL1504" s="84"/>
      <c r="BM1504" s="84"/>
      <c r="BN1504" s="84"/>
      <c r="BO1504" s="84"/>
      <c r="BP1504" s="84"/>
      <c r="BQ1504" s="84"/>
      <c r="BR1504" s="84"/>
      <c r="BS1504" s="84"/>
      <c r="BT1504" s="84"/>
      <c r="BU1504" s="84"/>
      <c r="BV1504" s="84"/>
      <c r="BW1504" s="84"/>
      <c r="BX1504" s="84"/>
      <c r="BY1504" s="84"/>
      <c r="BZ1504" s="84"/>
      <c r="CA1504" s="84"/>
      <c r="CB1504" s="84"/>
      <c r="CC1504" s="84"/>
      <c r="CD1504" s="84"/>
      <c r="CE1504" s="84"/>
      <c r="CF1504" s="84"/>
      <c r="CG1504" s="84"/>
      <c r="CH1504" s="84"/>
      <c r="CI1504" s="84"/>
      <c r="CJ1504" s="84"/>
      <c r="CK1504" s="84"/>
      <c r="CL1504" s="84"/>
      <c r="CM1504" s="84"/>
      <c r="CN1504" s="84"/>
      <c r="CO1504" s="84"/>
      <c r="CP1504" s="84"/>
      <c r="CQ1504" s="101"/>
      <c r="CR1504" s="101"/>
      <c r="CS1504" s="101"/>
      <c r="CT1504" s="101"/>
      <c r="CU1504" s="101"/>
      <c r="CV1504" s="101"/>
      <c r="CW1504" s="101"/>
      <c r="CX1504" s="101"/>
      <c r="CY1504" s="101"/>
      <c r="CZ1504" s="101"/>
      <c r="DA1504" s="101"/>
      <c r="DB1504" s="101"/>
      <c r="DC1504" s="101"/>
      <c r="DD1504" s="101"/>
      <c r="DE1504" s="101"/>
      <c r="DF1504" s="101"/>
      <c r="DG1504" s="101"/>
      <c r="DH1504" s="101"/>
      <c r="DI1504" s="101"/>
      <c r="DJ1504" s="101"/>
      <c r="DK1504" s="101"/>
      <c r="DL1504" s="101"/>
      <c r="DM1504" s="101"/>
      <c r="DN1504" s="101"/>
      <c r="DO1504" s="101"/>
      <c r="DP1504" s="101"/>
      <c r="DQ1504" s="101"/>
    </row>
    <row r="1505" spans="1:121" s="40" customFormat="1" ht="13" x14ac:dyDescent="0.3">
      <c r="A1505" s="101"/>
      <c r="H1505" s="101"/>
      <c r="U1505" s="13"/>
      <c r="V1505" s="13"/>
      <c r="W1505" s="13"/>
      <c r="X1505" s="13"/>
      <c r="Y1505" s="13"/>
      <c r="Z1505" s="13"/>
      <c r="AA1505" s="13"/>
      <c r="AB1505" s="13"/>
      <c r="AC1505" s="13"/>
      <c r="AD1505" s="13"/>
      <c r="AE1505" s="13"/>
      <c r="AF1505" s="84"/>
      <c r="AG1505" s="84"/>
      <c r="AH1505" s="84"/>
      <c r="AI1505" s="84"/>
      <c r="AJ1505" s="84"/>
      <c r="AK1505" s="84"/>
      <c r="AL1505" s="84"/>
      <c r="AM1505" s="84"/>
      <c r="AN1505" s="84"/>
      <c r="AO1505" s="84"/>
      <c r="AP1505" s="84"/>
      <c r="AQ1505" s="84"/>
      <c r="AR1505" s="84"/>
      <c r="AS1505" s="84"/>
      <c r="AT1505" s="84"/>
      <c r="AU1505" s="84"/>
      <c r="AV1505" s="84"/>
      <c r="AW1505" s="84"/>
      <c r="AX1505" s="84"/>
      <c r="AY1505" s="84"/>
      <c r="AZ1505" s="84"/>
      <c r="BA1505" s="84"/>
      <c r="BB1505" s="84"/>
      <c r="BC1505" s="84"/>
      <c r="BD1505" s="84"/>
      <c r="BE1505" s="84"/>
      <c r="BF1505" s="84"/>
      <c r="BG1505" s="84"/>
      <c r="BH1505" s="84"/>
      <c r="BI1505" s="84"/>
      <c r="BJ1505" s="84"/>
      <c r="BK1505" s="84"/>
      <c r="BL1505" s="84"/>
      <c r="BM1505" s="84"/>
      <c r="BN1505" s="84"/>
      <c r="BO1505" s="84"/>
      <c r="BP1505" s="84"/>
      <c r="BQ1505" s="84"/>
      <c r="BR1505" s="84"/>
      <c r="BS1505" s="84"/>
      <c r="BT1505" s="84"/>
      <c r="BU1505" s="84"/>
      <c r="BV1505" s="84"/>
      <c r="BW1505" s="84"/>
      <c r="BX1505" s="84"/>
      <c r="BY1505" s="84"/>
      <c r="BZ1505" s="84"/>
      <c r="CA1505" s="84"/>
      <c r="CB1505" s="84"/>
      <c r="CC1505" s="84"/>
      <c r="CD1505" s="84"/>
      <c r="CE1505" s="84"/>
      <c r="CF1505" s="84"/>
      <c r="CG1505" s="84"/>
      <c r="CH1505" s="84"/>
      <c r="CI1505" s="84"/>
      <c r="CJ1505" s="84"/>
      <c r="CK1505" s="84"/>
      <c r="CL1505" s="84"/>
      <c r="CM1505" s="84"/>
      <c r="CN1505" s="84"/>
      <c r="CO1505" s="84"/>
      <c r="CP1505" s="84"/>
      <c r="CQ1505" s="101"/>
      <c r="CR1505" s="101"/>
      <c r="CS1505" s="101"/>
      <c r="CT1505" s="101"/>
      <c r="CU1505" s="101"/>
      <c r="CV1505" s="101"/>
      <c r="CW1505" s="101"/>
      <c r="CX1505" s="101"/>
      <c r="CY1505" s="101"/>
      <c r="CZ1505" s="101"/>
      <c r="DA1505" s="101"/>
      <c r="DB1505" s="101"/>
      <c r="DC1505" s="101"/>
      <c r="DD1505" s="101"/>
      <c r="DE1505" s="101"/>
      <c r="DF1505" s="101"/>
      <c r="DG1505" s="101"/>
      <c r="DH1505" s="101"/>
      <c r="DI1505" s="101"/>
      <c r="DJ1505" s="101"/>
      <c r="DK1505" s="101"/>
      <c r="DL1505" s="101"/>
      <c r="DM1505" s="101"/>
      <c r="DN1505" s="101"/>
      <c r="DO1505" s="101"/>
      <c r="DP1505" s="101"/>
      <c r="DQ1505" s="101"/>
    </row>
    <row r="1506" spans="1:121" s="40" customFormat="1" ht="13" x14ac:dyDescent="0.3">
      <c r="A1506" s="101"/>
      <c r="H1506" s="101"/>
      <c r="U1506" s="13"/>
      <c r="V1506" s="13"/>
      <c r="W1506" s="13"/>
      <c r="X1506" s="13"/>
      <c r="Y1506" s="13"/>
      <c r="Z1506" s="13"/>
      <c r="AA1506" s="13"/>
      <c r="AB1506" s="13"/>
      <c r="AC1506" s="13"/>
      <c r="AD1506" s="13"/>
      <c r="AE1506" s="13"/>
      <c r="AF1506" s="84"/>
      <c r="AG1506" s="84"/>
      <c r="AH1506" s="84"/>
      <c r="AI1506" s="84"/>
      <c r="AJ1506" s="84"/>
      <c r="AK1506" s="84"/>
      <c r="AL1506" s="84"/>
      <c r="AM1506" s="84"/>
      <c r="AN1506" s="84"/>
      <c r="AO1506" s="84"/>
      <c r="AP1506" s="84"/>
      <c r="AQ1506" s="84"/>
      <c r="AR1506" s="84"/>
      <c r="AS1506" s="84"/>
      <c r="AT1506" s="84"/>
      <c r="AU1506" s="84"/>
      <c r="AV1506" s="84"/>
      <c r="AW1506" s="84"/>
      <c r="AX1506" s="84"/>
      <c r="AY1506" s="84"/>
      <c r="AZ1506" s="84"/>
      <c r="BA1506" s="84"/>
      <c r="BB1506" s="84"/>
      <c r="BC1506" s="84"/>
      <c r="BD1506" s="84"/>
      <c r="BE1506" s="84"/>
      <c r="BF1506" s="84"/>
      <c r="BG1506" s="84"/>
      <c r="BH1506" s="84"/>
      <c r="BI1506" s="84"/>
      <c r="BJ1506" s="84"/>
      <c r="BK1506" s="84"/>
      <c r="BL1506" s="84"/>
      <c r="BM1506" s="84"/>
      <c r="BN1506" s="84"/>
      <c r="BO1506" s="84"/>
      <c r="BP1506" s="84"/>
      <c r="BQ1506" s="84"/>
      <c r="BR1506" s="84"/>
      <c r="BS1506" s="84"/>
      <c r="BT1506" s="84"/>
      <c r="BU1506" s="84"/>
      <c r="BV1506" s="84"/>
      <c r="BW1506" s="84"/>
      <c r="BX1506" s="84"/>
      <c r="BY1506" s="84"/>
      <c r="BZ1506" s="84"/>
      <c r="CA1506" s="84"/>
      <c r="CB1506" s="84"/>
      <c r="CC1506" s="84"/>
      <c r="CD1506" s="84"/>
      <c r="CE1506" s="84"/>
      <c r="CF1506" s="84"/>
      <c r="CG1506" s="84"/>
      <c r="CH1506" s="84"/>
      <c r="CI1506" s="84"/>
      <c r="CJ1506" s="84"/>
      <c r="CK1506" s="84"/>
      <c r="CL1506" s="84"/>
      <c r="CM1506" s="84"/>
      <c r="CN1506" s="84"/>
      <c r="CO1506" s="84"/>
      <c r="CP1506" s="84"/>
      <c r="CQ1506" s="101"/>
      <c r="CR1506" s="101"/>
      <c r="CS1506" s="101"/>
      <c r="CT1506" s="101"/>
      <c r="CU1506" s="101"/>
      <c r="CV1506" s="101"/>
      <c r="CW1506" s="101"/>
      <c r="CX1506" s="101"/>
      <c r="CY1506" s="101"/>
      <c r="CZ1506" s="101"/>
      <c r="DA1506" s="101"/>
      <c r="DB1506" s="101"/>
      <c r="DC1506" s="101"/>
      <c r="DD1506" s="101"/>
      <c r="DE1506" s="101"/>
      <c r="DF1506" s="101"/>
      <c r="DG1506" s="101"/>
      <c r="DH1506" s="101"/>
      <c r="DI1506" s="101"/>
      <c r="DJ1506" s="101"/>
      <c r="DK1506" s="101"/>
      <c r="DL1506" s="101"/>
      <c r="DM1506" s="101"/>
      <c r="DN1506" s="101"/>
      <c r="DO1506" s="101"/>
      <c r="DP1506" s="101"/>
      <c r="DQ1506" s="101"/>
    </row>
    <row r="1507" spans="1:121" s="40" customFormat="1" ht="13" x14ac:dyDescent="0.3">
      <c r="A1507" s="101"/>
      <c r="H1507" s="101"/>
      <c r="U1507" s="13"/>
      <c r="V1507" s="13"/>
      <c r="W1507" s="13"/>
      <c r="X1507" s="13"/>
      <c r="Y1507" s="13"/>
      <c r="Z1507" s="13"/>
      <c r="AA1507" s="13"/>
      <c r="AB1507" s="13"/>
      <c r="AC1507" s="13"/>
      <c r="AD1507" s="13"/>
      <c r="AE1507" s="13"/>
      <c r="AF1507" s="84"/>
      <c r="AG1507" s="84"/>
      <c r="AH1507" s="84"/>
      <c r="AI1507" s="84"/>
      <c r="AJ1507" s="84"/>
      <c r="AK1507" s="84"/>
      <c r="AL1507" s="84"/>
      <c r="AM1507" s="84"/>
      <c r="AN1507" s="84"/>
      <c r="AO1507" s="84"/>
      <c r="AP1507" s="84"/>
      <c r="AQ1507" s="84"/>
      <c r="AR1507" s="84"/>
      <c r="AS1507" s="84"/>
      <c r="AT1507" s="84"/>
      <c r="AU1507" s="84"/>
      <c r="AV1507" s="84"/>
      <c r="AW1507" s="84"/>
      <c r="AX1507" s="84"/>
      <c r="AY1507" s="84"/>
      <c r="AZ1507" s="84"/>
      <c r="BA1507" s="84"/>
      <c r="BB1507" s="84"/>
      <c r="BC1507" s="84"/>
      <c r="BD1507" s="84"/>
      <c r="BE1507" s="84"/>
      <c r="BF1507" s="84"/>
      <c r="BG1507" s="84"/>
      <c r="BH1507" s="84"/>
      <c r="BI1507" s="84"/>
      <c r="BJ1507" s="84"/>
      <c r="BK1507" s="84"/>
      <c r="BL1507" s="84"/>
      <c r="BM1507" s="84"/>
      <c r="BN1507" s="84"/>
      <c r="BO1507" s="84"/>
      <c r="BP1507" s="84"/>
      <c r="BQ1507" s="84"/>
      <c r="BR1507" s="84"/>
      <c r="BS1507" s="84"/>
      <c r="BT1507" s="84"/>
      <c r="BU1507" s="84"/>
      <c r="BV1507" s="84"/>
      <c r="BW1507" s="84"/>
      <c r="BX1507" s="84"/>
      <c r="BY1507" s="84"/>
      <c r="BZ1507" s="84"/>
      <c r="CA1507" s="84"/>
      <c r="CB1507" s="84"/>
      <c r="CC1507" s="84"/>
      <c r="CD1507" s="84"/>
      <c r="CE1507" s="84"/>
      <c r="CF1507" s="84"/>
      <c r="CG1507" s="84"/>
      <c r="CH1507" s="84"/>
      <c r="CI1507" s="84"/>
      <c r="CJ1507" s="84"/>
      <c r="CK1507" s="84"/>
      <c r="CL1507" s="84"/>
      <c r="CM1507" s="84"/>
      <c r="CN1507" s="84"/>
      <c r="CO1507" s="84"/>
      <c r="CP1507" s="84"/>
      <c r="CQ1507" s="101"/>
      <c r="CR1507" s="101"/>
      <c r="CS1507" s="101"/>
      <c r="CT1507" s="101"/>
      <c r="CU1507" s="101"/>
      <c r="CV1507" s="101"/>
      <c r="CW1507" s="101"/>
      <c r="CX1507" s="101"/>
      <c r="CY1507" s="101"/>
      <c r="CZ1507" s="101"/>
      <c r="DA1507" s="101"/>
      <c r="DB1507" s="101"/>
      <c r="DC1507" s="101"/>
      <c r="DD1507" s="101"/>
      <c r="DE1507" s="101"/>
      <c r="DF1507" s="101"/>
      <c r="DG1507" s="101"/>
      <c r="DH1507" s="101"/>
      <c r="DI1507" s="101"/>
      <c r="DJ1507" s="101"/>
      <c r="DK1507" s="101"/>
      <c r="DL1507" s="101"/>
      <c r="DM1507" s="101"/>
      <c r="DN1507" s="101"/>
      <c r="DO1507" s="101"/>
      <c r="DP1507" s="101"/>
      <c r="DQ1507" s="101"/>
    </row>
    <row r="1508" spans="1:121" s="40" customFormat="1" ht="13" x14ac:dyDescent="0.3">
      <c r="A1508" s="101"/>
      <c r="H1508" s="101"/>
      <c r="U1508" s="13"/>
      <c r="V1508" s="13"/>
      <c r="W1508" s="13"/>
      <c r="X1508" s="13"/>
      <c r="Y1508" s="13"/>
      <c r="Z1508" s="13"/>
      <c r="AA1508" s="13"/>
      <c r="AB1508" s="13"/>
      <c r="AC1508" s="13"/>
      <c r="AD1508" s="13"/>
      <c r="AE1508" s="13"/>
      <c r="AF1508" s="84"/>
      <c r="AG1508" s="84"/>
      <c r="AH1508" s="84"/>
      <c r="AI1508" s="84"/>
      <c r="AJ1508" s="84"/>
      <c r="AK1508" s="84"/>
      <c r="AL1508" s="84"/>
      <c r="AM1508" s="84"/>
      <c r="AN1508" s="84"/>
      <c r="AO1508" s="84"/>
      <c r="AP1508" s="84"/>
      <c r="AQ1508" s="84"/>
      <c r="AR1508" s="84"/>
      <c r="AS1508" s="84"/>
      <c r="AT1508" s="84"/>
      <c r="AU1508" s="84"/>
      <c r="AV1508" s="84"/>
      <c r="AW1508" s="84"/>
      <c r="AX1508" s="84"/>
      <c r="AY1508" s="84"/>
      <c r="AZ1508" s="84"/>
      <c r="BA1508" s="84"/>
      <c r="BB1508" s="84"/>
      <c r="BC1508" s="84"/>
      <c r="BD1508" s="84"/>
      <c r="BE1508" s="84"/>
      <c r="BF1508" s="84"/>
      <c r="BG1508" s="84"/>
      <c r="BH1508" s="84"/>
      <c r="BI1508" s="84"/>
      <c r="BJ1508" s="84"/>
      <c r="BK1508" s="84"/>
      <c r="BL1508" s="84"/>
      <c r="BM1508" s="84"/>
      <c r="BN1508" s="84"/>
      <c r="BO1508" s="84"/>
      <c r="BP1508" s="84"/>
      <c r="BQ1508" s="84"/>
      <c r="BR1508" s="84"/>
      <c r="BS1508" s="84"/>
      <c r="BT1508" s="84"/>
      <c r="BU1508" s="84"/>
      <c r="BV1508" s="84"/>
      <c r="BW1508" s="84"/>
      <c r="BX1508" s="84"/>
      <c r="BY1508" s="84"/>
      <c r="BZ1508" s="84"/>
      <c r="CA1508" s="84"/>
      <c r="CB1508" s="84"/>
      <c r="CC1508" s="84"/>
      <c r="CD1508" s="84"/>
      <c r="CE1508" s="84"/>
      <c r="CF1508" s="84"/>
      <c r="CG1508" s="84"/>
      <c r="CH1508" s="84"/>
      <c r="CI1508" s="84"/>
      <c r="CJ1508" s="84"/>
      <c r="CK1508" s="84"/>
      <c r="CL1508" s="84"/>
      <c r="CM1508" s="84"/>
      <c r="CN1508" s="84"/>
      <c r="CO1508" s="84"/>
      <c r="CP1508" s="84"/>
      <c r="CQ1508" s="101"/>
      <c r="CR1508" s="101"/>
      <c r="CS1508" s="101"/>
      <c r="CT1508" s="101"/>
      <c r="CU1508" s="101"/>
      <c r="CV1508" s="101"/>
      <c r="CW1508" s="101"/>
      <c r="CX1508" s="101"/>
      <c r="CY1508" s="101"/>
      <c r="CZ1508" s="101"/>
      <c r="DA1508" s="101"/>
      <c r="DB1508" s="101"/>
      <c r="DC1508" s="101"/>
      <c r="DD1508" s="101"/>
      <c r="DE1508" s="101"/>
      <c r="DF1508" s="101"/>
      <c r="DG1508" s="101"/>
      <c r="DH1508" s="101"/>
      <c r="DI1508" s="101"/>
      <c r="DJ1508" s="101"/>
      <c r="DK1508" s="101"/>
      <c r="DL1508" s="101"/>
      <c r="DM1508" s="101"/>
      <c r="DN1508" s="101"/>
      <c r="DO1508" s="101"/>
      <c r="DP1508" s="101"/>
      <c r="DQ1508" s="101"/>
    </row>
    <row r="1509" spans="1:121" s="40" customFormat="1" ht="13" x14ac:dyDescent="0.3">
      <c r="A1509" s="101"/>
      <c r="H1509" s="101"/>
      <c r="U1509" s="13"/>
      <c r="V1509" s="13"/>
      <c r="W1509" s="13"/>
      <c r="X1509" s="13"/>
      <c r="Y1509" s="13"/>
      <c r="Z1509" s="13"/>
      <c r="AA1509" s="13"/>
      <c r="AB1509" s="13"/>
      <c r="AC1509" s="13"/>
      <c r="AD1509" s="13"/>
      <c r="AE1509" s="13"/>
      <c r="AF1509" s="84"/>
      <c r="AG1509" s="84"/>
      <c r="AH1509" s="84"/>
      <c r="AI1509" s="84"/>
      <c r="AJ1509" s="84"/>
      <c r="AK1509" s="84"/>
      <c r="AL1509" s="84"/>
      <c r="AM1509" s="84"/>
      <c r="AN1509" s="84"/>
      <c r="AO1509" s="84"/>
      <c r="AP1509" s="84"/>
      <c r="AQ1509" s="84"/>
      <c r="AR1509" s="84"/>
      <c r="AS1509" s="84"/>
      <c r="AT1509" s="84"/>
      <c r="AU1509" s="84"/>
      <c r="AV1509" s="84"/>
      <c r="AW1509" s="84"/>
      <c r="AX1509" s="84"/>
      <c r="AY1509" s="84"/>
      <c r="AZ1509" s="84"/>
      <c r="BA1509" s="84"/>
      <c r="BB1509" s="84"/>
      <c r="BC1509" s="84"/>
      <c r="BD1509" s="84"/>
      <c r="BE1509" s="84"/>
      <c r="BF1509" s="84"/>
      <c r="BG1509" s="84"/>
      <c r="BH1509" s="84"/>
      <c r="BI1509" s="84"/>
      <c r="BJ1509" s="84"/>
      <c r="BK1509" s="84"/>
      <c r="BL1509" s="84"/>
      <c r="BM1509" s="84"/>
      <c r="BN1509" s="84"/>
      <c r="BO1509" s="84"/>
      <c r="BP1509" s="84"/>
      <c r="BQ1509" s="84"/>
      <c r="BR1509" s="84"/>
      <c r="BS1509" s="84"/>
      <c r="BT1509" s="84"/>
      <c r="BU1509" s="84"/>
      <c r="BV1509" s="84"/>
      <c r="BW1509" s="84"/>
      <c r="BX1509" s="84"/>
      <c r="BY1509" s="84"/>
      <c r="BZ1509" s="84"/>
      <c r="CA1509" s="84"/>
      <c r="CB1509" s="84"/>
      <c r="CC1509" s="84"/>
      <c r="CD1509" s="84"/>
      <c r="CE1509" s="84"/>
      <c r="CF1509" s="84"/>
      <c r="CG1509" s="84"/>
      <c r="CH1509" s="84"/>
      <c r="CI1509" s="84"/>
      <c r="CJ1509" s="84"/>
      <c r="CK1509" s="84"/>
      <c r="CL1509" s="84"/>
      <c r="CM1509" s="84"/>
      <c r="CN1509" s="84"/>
      <c r="CO1509" s="84"/>
      <c r="CP1509" s="84"/>
      <c r="CQ1509" s="101"/>
      <c r="CR1509" s="101"/>
      <c r="CS1509" s="101"/>
      <c r="CT1509" s="101"/>
      <c r="CU1509" s="101"/>
      <c r="CV1509" s="101"/>
      <c r="CW1509" s="101"/>
      <c r="CX1509" s="101"/>
      <c r="CY1509" s="101"/>
      <c r="CZ1509" s="101"/>
      <c r="DA1509" s="101"/>
      <c r="DB1509" s="101"/>
      <c r="DC1509" s="101"/>
      <c r="DD1509" s="101"/>
      <c r="DE1509" s="101"/>
      <c r="DF1509" s="101"/>
      <c r="DG1509" s="101"/>
      <c r="DH1509" s="101"/>
      <c r="DI1509" s="101"/>
      <c r="DJ1509" s="101"/>
      <c r="DK1509" s="101"/>
      <c r="DL1509" s="101"/>
      <c r="DM1509" s="101"/>
      <c r="DN1509" s="101"/>
      <c r="DO1509" s="101"/>
      <c r="DP1509" s="101"/>
      <c r="DQ1509" s="101"/>
    </row>
    <row r="1510" spans="1:121" s="40" customFormat="1" ht="13" x14ac:dyDescent="0.3">
      <c r="A1510" s="101"/>
      <c r="H1510" s="101"/>
      <c r="U1510" s="13"/>
      <c r="V1510" s="13"/>
      <c r="W1510" s="13"/>
      <c r="X1510" s="13"/>
      <c r="Y1510" s="13"/>
      <c r="Z1510" s="13"/>
      <c r="AA1510" s="13"/>
      <c r="AB1510" s="13"/>
      <c r="AC1510" s="13"/>
      <c r="AD1510" s="13"/>
      <c r="AE1510" s="13"/>
      <c r="AF1510" s="84"/>
      <c r="AG1510" s="84"/>
      <c r="AH1510" s="84"/>
      <c r="AI1510" s="84"/>
      <c r="AJ1510" s="84"/>
      <c r="AK1510" s="84"/>
      <c r="AL1510" s="84"/>
      <c r="AM1510" s="84"/>
      <c r="AN1510" s="84"/>
      <c r="AO1510" s="84"/>
      <c r="AP1510" s="84"/>
      <c r="AQ1510" s="84"/>
      <c r="AR1510" s="84"/>
      <c r="AS1510" s="84"/>
      <c r="AT1510" s="84"/>
      <c r="AU1510" s="84"/>
      <c r="AV1510" s="84"/>
      <c r="AW1510" s="84"/>
      <c r="AX1510" s="84"/>
      <c r="AY1510" s="84"/>
      <c r="AZ1510" s="84"/>
      <c r="BA1510" s="84"/>
      <c r="BB1510" s="84"/>
      <c r="BC1510" s="84"/>
      <c r="BD1510" s="84"/>
      <c r="BE1510" s="84"/>
      <c r="BF1510" s="84"/>
      <c r="BG1510" s="84"/>
      <c r="BH1510" s="84"/>
      <c r="BI1510" s="84"/>
      <c r="BJ1510" s="84"/>
      <c r="BK1510" s="84"/>
      <c r="BL1510" s="84"/>
      <c r="BM1510" s="84"/>
      <c r="BN1510" s="84"/>
      <c r="BO1510" s="84"/>
      <c r="BP1510" s="84"/>
      <c r="BQ1510" s="84"/>
      <c r="BR1510" s="84"/>
      <c r="BS1510" s="84"/>
      <c r="BT1510" s="84"/>
      <c r="BU1510" s="84"/>
      <c r="BV1510" s="84"/>
      <c r="BW1510" s="84"/>
      <c r="BX1510" s="84"/>
      <c r="BY1510" s="84"/>
      <c r="BZ1510" s="84"/>
      <c r="CA1510" s="84"/>
      <c r="CB1510" s="84"/>
      <c r="CC1510" s="84"/>
      <c r="CD1510" s="84"/>
      <c r="CE1510" s="84"/>
      <c r="CF1510" s="84"/>
      <c r="CG1510" s="84"/>
      <c r="CH1510" s="84"/>
      <c r="CI1510" s="84"/>
      <c r="CJ1510" s="84"/>
      <c r="CK1510" s="84"/>
      <c r="CL1510" s="84"/>
      <c r="CM1510" s="84"/>
      <c r="CN1510" s="84"/>
      <c r="CO1510" s="84"/>
      <c r="CP1510" s="84"/>
      <c r="CQ1510" s="101"/>
      <c r="CR1510" s="101"/>
      <c r="CS1510" s="101"/>
      <c r="CT1510" s="101"/>
      <c r="CU1510" s="101"/>
      <c r="CV1510" s="101"/>
      <c r="CW1510" s="101"/>
      <c r="CX1510" s="101"/>
      <c r="CY1510" s="101"/>
      <c r="CZ1510" s="101"/>
      <c r="DA1510" s="101"/>
      <c r="DB1510" s="101"/>
      <c r="DC1510" s="101"/>
      <c r="DD1510" s="101"/>
      <c r="DE1510" s="101"/>
      <c r="DF1510" s="101"/>
      <c r="DG1510" s="101"/>
      <c r="DH1510" s="101"/>
      <c r="DI1510" s="101"/>
      <c r="DJ1510" s="101"/>
      <c r="DK1510" s="101"/>
      <c r="DL1510" s="101"/>
      <c r="DM1510" s="101"/>
      <c r="DN1510" s="101"/>
      <c r="DO1510" s="101"/>
      <c r="DP1510" s="101"/>
      <c r="DQ1510" s="101"/>
    </row>
    <row r="1511" spans="1:121" s="40" customFormat="1" ht="13" x14ac:dyDescent="0.3">
      <c r="A1511" s="101"/>
      <c r="H1511" s="101"/>
      <c r="U1511" s="13"/>
      <c r="V1511" s="13"/>
      <c r="W1511" s="13"/>
      <c r="X1511" s="13"/>
      <c r="Y1511" s="13"/>
      <c r="Z1511" s="13"/>
      <c r="AA1511" s="13"/>
      <c r="AB1511" s="13"/>
      <c r="AC1511" s="13"/>
      <c r="AD1511" s="13"/>
      <c r="AE1511" s="13"/>
      <c r="AF1511" s="84"/>
      <c r="AG1511" s="84"/>
      <c r="AH1511" s="84"/>
      <c r="AI1511" s="84"/>
      <c r="AJ1511" s="84"/>
      <c r="AK1511" s="84"/>
      <c r="AL1511" s="84"/>
      <c r="AM1511" s="84"/>
      <c r="AN1511" s="84"/>
      <c r="AO1511" s="84"/>
      <c r="AP1511" s="84"/>
      <c r="AQ1511" s="84"/>
      <c r="AR1511" s="84"/>
      <c r="AS1511" s="84"/>
      <c r="AT1511" s="84"/>
      <c r="AU1511" s="84"/>
      <c r="AV1511" s="84"/>
      <c r="AW1511" s="84"/>
      <c r="AX1511" s="84"/>
      <c r="AY1511" s="84"/>
      <c r="AZ1511" s="84"/>
      <c r="BA1511" s="84"/>
      <c r="BB1511" s="84"/>
      <c r="BC1511" s="84"/>
      <c r="BD1511" s="84"/>
      <c r="BE1511" s="84"/>
      <c r="BF1511" s="84"/>
      <c r="BG1511" s="84"/>
      <c r="BH1511" s="84"/>
      <c r="BI1511" s="84"/>
      <c r="BJ1511" s="84"/>
      <c r="BK1511" s="84"/>
      <c r="BL1511" s="84"/>
      <c r="BM1511" s="84"/>
      <c r="BN1511" s="84"/>
      <c r="BO1511" s="84"/>
      <c r="BP1511" s="84"/>
      <c r="BQ1511" s="84"/>
      <c r="BR1511" s="84"/>
      <c r="BS1511" s="84"/>
      <c r="BT1511" s="84"/>
      <c r="BU1511" s="84"/>
      <c r="BV1511" s="84"/>
      <c r="BW1511" s="84"/>
      <c r="BX1511" s="84"/>
      <c r="BY1511" s="84"/>
      <c r="BZ1511" s="84"/>
      <c r="CA1511" s="84"/>
      <c r="CB1511" s="84"/>
      <c r="CC1511" s="84"/>
      <c r="CD1511" s="84"/>
      <c r="CE1511" s="84"/>
      <c r="CF1511" s="84"/>
      <c r="CG1511" s="84"/>
      <c r="CH1511" s="84"/>
      <c r="CI1511" s="84"/>
      <c r="CJ1511" s="84"/>
      <c r="CK1511" s="84"/>
      <c r="CL1511" s="84"/>
      <c r="CM1511" s="84"/>
      <c r="CN1511" s="84"/>
      <c r="CO1511" s="84"/>
      <c r="CP1511" s="84"/>
      <c r="CQ1511" s="101"/>
      <c r="CR1511" s="101"/>
      <c r="CS1511" s="101"/>
      <c r="CT1511" s="101"/>
      <c r="CU1511" s="101"/>
      <c r="CV1511" s="101"/>
      <c r="CW1511" s="101"/>
      <c r="CX1511" s="101"/>
      <c r="CY1511" s="101"/>
      <c r="CZ1511" s="101"/>
      <c r="DA1511" s="101"/>
      <c r="DB1511" s="101"/>
      <c r="DC1511" s="101"/>
      <c r="DD1511" s="101"/>
      <c r="DE1511" s="101"/>
      <c r="DF1511" s="101"/>
      <c r="DG1511" s="101"/>
      <c r="DH1511" s="101"/>
      <c r="DI1511" s="101"/>
      <c r="DJ1511" s="101"/>
      <c r="DK1511" s="101"/>
      <c r="DL1511" s="101"/>
      <c r="DM1511" s="101"/>
      <c r="DN1511" s="101"/>
      <c r="DO1511" s="101"/>
      <c r="DP1511" s="101"/>
      <c r="DQ1511" s="101"/>
    </row>
    <row r="1512" spans="1:121" s="40" customFormat="1" ht="13" x14ac:dyDescent="0.3">
      <c r="A1512" s="101"/>
      <c r="H1512" s="101"/>
      <c r="U1512" s="13"/>
      <c r="V1512" s="13"/>
      <c r="W1512" s="13"/>
      <c r="X1512" s="13"/>
      <c r="Y1512" s="13"/>
      <c r="Z1512" s="13"/>
      <c r="AA1512" s="13"/>
      <c r="AB1512" s="13"/>
      <c r="AC1512" s="13"/>
      <c r="AD1512" s="13"/>
      <c r="AE1512" s="13"/>
      <c r="AF1512" s="84"/>
      <c r="AG1512" s="84"/>
      <c r="AH1512" s="84"/>
      <c r="AI1512" s="84"/>
      <c r="AJ1512" s="84"/>
      <c r="AK1512" s="84"/>
      <c r="AL1512" s="84"/>
      <c r="AM1512" s="84"/>
      <c r="AN1512" s="84"/>
      <c r="AO1512" s="84"/>
      <c r="AP1512" s="84"/>
      <c r="AQ1512" s="84"/>
      <c r="AR1512" s="84"/>
      <c r="AS1512" s="84"/>
      <c r="AT1512" s="84"/>
      <c r="AU1512" s="84"/>
      <c r="AV1512" s="84"/>
      <c r="AW1512" s="84"/>
      <c r="AX1512" s="84"/>
      <c r="AY1512" s="84"/>
      <c r="AZ1512" s="84"/>
      <c r="BA1512" s="84"/>
      <c r="BB1512" s="84"/>
      <c r="BC1512" s="84"/>
      <c r="BD1512" s="84"/>
      <c r="BE1512" s="84"/>
      <c r="BF1512" s="84"/>
      <c r="BG1512" s="84"/>
      <c r="BH1512" s="84"/>
      <c r="BI1512" s="84"/>
      <c r="BJ1512" s="84"/>
      <c r="BK1512" s="84"/>
      <c r="BL1512" s="84"/>
      <c r="BM1512" s="84"/>
      <c r="BN1512" s="84"/>
      <c r="BO1512" s="84"/>
      <c r="BP1512" s="84"/>
      <c r="BQ1512" s="84"/>
      <c r="BR1512" s="84"/>
      <c r="BS1512" s="84"/>
      <c r="BT1512" s="84"/>
      <c r="BU1512" s="84"/>
      <c r="BV1512" s="84"/>
      <c r="BW1512" s="84"/>
      <c r="BX1512" s="84"/>
      <c r="BY1512" s="84"/>
      <c r="BZ1512" s="84"/>
      <c r="CA1512" s="84"/>
      <c r="CB1512" s="84"/>
      <c r="CC1512" s="84"/>
      <c r="CD1512" s="84"/>
      <c r="CE1512" s="84"/>
      <c r="CF1512" s="84"/>
      <c r="CG1512" s="84"/>
      <c r="CH1512" s="84"/>
      <c r="CI1512" s="84"/>
      <c r="CJ1512" s="84"/>
      <c r="CK1512" s="84"/>
      <c r="CL1512" s="84"/>
      <c r="CM1512" s="84"/>
      <c r="CN1512" s="84"/>
      <c r="CO1512" s="84"/>
      <c r="CP1512" s="84"/>
      <c r="CQ1512" s="101"/>
      <c r="CR1512" s="101"/>
      <c r="CS1512" s="101"/>
      <c r="CT1512" s="101"/>
      <c r="CU1512" s="101"/>
      <c r="CV1512" s="101"/>
      <c r="CW1512" s="101"/>
      <c r="CX1512" s="101"/>
      <c r="CY1512" s="101"/>
      <c r="CZ1512" s="101"/>
      <c r="DA1512" s="101"/>
      <c r="DB1512" s="101"/>
      <c r="DC1512" s="101"/>
      <c r="DD1512" s="101"/>
      <c r="DE1512" s="101"/>
      <c r="DF1512" s="101"/>
      <c r="DG1512" s="101"/>
      <c r="DH1512" s="101"/>
      <c r="DI1512" s="101"/>
      <c r="DJ1512" s="101"/>
      <c r="DK1512" s="101"/>
      <c r="DL1512" s="101"/>
      <c r="DM1512" s="101"/>
      <c r="DN1512" s="101"/>
      <c r="DO1512" s="101"/>
      <c r="DP1512" s="101"/>
      <c r="DQ1512" s="101"/>
    </row>
    <row r="1513" spans="1:121" s="40" customFormat="1" ht="13" x14ac:dyDescent="0.3">
      <c r="A1513" s="101"/>
      <c r="H1513" s="101"/>
      <c r="U1513" s="13"/>
      <c r="V1513" s="13"/>
      <c r="W1513" s="13"/>
      <c r="X1513" s="13"/>
      <c r="Y1513" s="13"/>
      <c r="Z1513" s="13"/>
      <c r="AA1513" s="13"/>
      <c r="AB1513" s="13"/>
      <c r="AC1513" s="13"/>
      <c r="AD1513" s="13"/>
      <c r="AE1513" s="13"/>
      <c r="AF1513" s="84"/>
      <c r="AG1513" s="84"/>
      <c r="AH1513" s="84"/>
      <c r="AI1513" s="84"/>
      <c r="AJ1513" s="84"/>
      <c r="AK1513" s="84"/>
      <c r="AL1513" s="84"/>
      <c r="AM1513" s="84"/>
      <c r="AN1513" s="84"/>
      <c r="AO1513" s="84"/>
      <c r="AP1513" s="84"/>
      <c r="AQ1513" s="84"/>
      <c r="AR1513" s="84"/>
      <c r="AS1513" s="84"/>
      <c r="AT1513" s="84"/>
      <c r="AU1513" s="84"/>
      <c r="AV1513" s="84"/>
      <c r="AW1513" s="84"/>
      <c r="AX1513" s="84"/>
      <c r="AY1513" s="84"/>
      <c r="AZ1513" s="84"/>
      <c r="BA1513" s="84"/>
      <c r="BB1513" s="84"/>
      <c r="BC1513" s="84"/>
      <c r="BD1513" s="84"/>
      <c r="BE1513" s="84"/>
      <c r="BF1513" s="84"/>
      <c r="BG1513" s="84"/>
      <c r="BH1513" s="84"/>
      <c r="BI1513" s="84"/>
      <c r="BJ1513" s="84"/>
      <c r="BK1513" s="84"/>
      <c r="BL1513" s="84"/>
      <c r="BM1513" s="84"/>
      <c r="BN1513" s="84"/>
      <c r="BO1513" s="84"/>
      <c r="BP1513" s="84"/>
      <c r="BQ1513" s="84"/>
      <c r="BR1513" s="84"/>
      <c r="BS1513" s="84"/>
      <c r="BT1513" s="84"/>
      <c r="BU1513" s="84"/>
      <c r="BV1513" s="84"/>
      <c r="BW1513" s="84"/>
      <c r="BX1513" s="84"/>
      <c r="BY1513" s="84"/>
      <c r="BZ1513" s="84"/>
      <c r="CA1513" s="84"/>
      <c r="CB1513" s="84"/>
      <c r="CC1513" s="84"/>
      <c r="CD1513" s="84"/>
      <c r="CE1513" s="84"/>
      <c r="CF1513" s="84"/>
      <c r="CG1513" s="84"/>
      <c r="CH1513" s="84"/>
      <c r="CI1513" s="84"/>
      <c r="CJ1513" s="84"/>
      <c r="CK1513" s="84"/>
      <c r="CL1513" s="84"/>
      <c r="CM1513" s="84"/>
      <c r="CN1513" s="84"/>
      <c r="CO1513" s="84"/>
      <c r="CP1513" s="84"/>
      <c r="CQ1513" s="101"/>
      <c r="CR1513" s="101"/>
      <c r="CS1513" s="101"/>
      <c r="CT1513" s="101"/>
      <c r="CU1513" s="101"/>
      <c r="CV1513" s="101"/>
      <c r="CW1513" s="101"/>
      <c r="CX1513" s="101"/>
      <c r="CY1513" s="101"/>
      <c r="CZ1513" s="101"/>
      <c r="DA1513" s="101"/>
      <c r="DB1513" s="101"/>
      <c r="DC1513" s="101"/>
      <c r="DD1513" s="101"/>
      <c r="DE1513" s="101"/>
      <c r="DF1513" s="101"/>
      <c r="DG1513" s="101"/>
      <c r="DH1513" s="101"/>
      <c r="DI1513" s="101"/>
      <c r="DJ1513" s="101"/>
      <c r="DK1513" s="101"/>
      <c r="DL1513" s="101"/>
      <c r="DM1513" s="101"/>
      <c r="DN1513" s="101"/>
      <c r="DO1513" s="101"/>
      <c r="DP1513" s="101"/>
      <c r="DQ1513" s="101"/>
    </row>
    <row r="1514" spans="1:121" s="40" customFormat="1" ht="13" x14ac:dyDescent="0.3">
      <c r="A1514" s="101"/>
      <c r="H1514" s="101"/>
      <c r="U1514" s="13"/>
      <c r="V1514" s="13"/>
      <c r="W1514" s="13"/>
      <c r="X1514" s="13"/>
      <c r="Y1514" s="13"/>
      <c r="Z1514" s="13"/>
      <c r="AA1514" s="13"/>
      <c r="AB1514" s="13"/>
      <c r="AC1514" s="13"/>
      <c r="AD1514" s="13"/>
      <c r="AE1514" s="13"/>
      <c r="AF1514" s="84"/>
      <c r="AG1514" s="84"/>
      <c r="AH1514" s="84"/>
      <c r="AI1514" s="84"/>
      <c r="AJ1514" s="84"/>
      <c r="AK1514" s="84"/>
      <c r="AL1514" s="84"/>
      <c r="AM1514" s="84"/>
      <c r="AN1514" s="84"/>
      <c r="AO1514" s="84"/>
      <c r="AP1514" s="84"/>
      <c r="AQ1514" s="84"/>
      <c r="AR1514" s="84"/>
      <c r="AS1514" s="84"/>
      <c r="AT1514" s="84"/>
      <c r="AU1514" s="84"/>
      <c r="AV1514" s="84"/>
      <c r="AW1514" s="84"/>
      <c r="AX1514" s="84"/>
      <c r="AY1514" s="84"/>
      <c r="AZ1514" s="84"/>
      <c r="BA1514" s="84"/>
      <c r="BB1514" s="84"/>
      <c r="BC1514" s="84"/>
      <c r="BD1514" s="84"/>
      <c r="BE1514" s="84"/>
      <c r="BF1514" s="84"/>
      <c r="BG1514" s="84"/>
      <c r="BH1514" s="84"/>
      <c r="BI1514" s="84"/>
      <c r="BJ1514" s="84"/>
      <c r="BK1514" s="84"/>
      <c r="BL1514" s="84"/>
      <c r="BM1514" s="84"/>
      <c r="BN1514" s="84"/>
      <c r="BO1514" s="84"/>
      <c r="BP1514" s="84"/>
      <c r="BQ1514" s="84"/>
      <c r="BR1514" s="84"/>
      <c r="BS1514" s="84"/>
      <c r="BT1514" s="84"/>
      <c r="BU1514" s="84"/>
      <c r="BV1514" s="84"/>
      <c r="BW1514" s="84"/>
      <c r="BX1514" s="84"/>
      <c r="BY1514" s="84"/>
      <c r="BZ1514" s="84"/>
      <c r="CA1514" s="84"/>
      <c r="CB1514" s="84"/>
      <c r="CC1514" s="84"/>
      <c r="CD1514" s="84"/>
      <c r="CE1514" s="84"/>
      <c r="CF1514" s="84"/>
      <c r="CG1514" s="84"/>
      <c r="CH1514" s="84"/>
      <c r="CI1514" s="84"/>
      <c r="CJ1514" s="84"/>
      <c r="CK1514" s="84"/>
      <c r="CL1514" s="84"/>
      <c r="CM1514" s="84"/>
      <c r="CN1514" s="84"/>
      <c r="CO1514" s="84"/>
      <c r="CP1514" s="84"/>
      <c r="CQ1514" s="101"/>
      <c r="CR1514" s="101"/>
      <c r="CS1514" s="101"/>
      <c r="CT1514" s="101"/>
      <c r="CU1514" s="101"/>
      <c r="CV1514" s="101"/>
      <c r="CW1514" s="101"/>
      <c r="CX1514" s="101"/>
      <c r="CY1514" s="101"/>
      <c r="CZ1514" s="101"/>
      <c r="DA1514" s="101"/>
      <c r="DB1514" s="101"/>
      <c r="DC1514" s="101"/>
      <c r="DD1514" s="101"/>
      <c r="DE1514" s="101"/>
      <c r="DF1514" s="101"/>
      <c r="DG1514" s="101"/>
      <c r="DH1514" s="101"/>
      <c r="DI1514" s="101"/>
      <c r="DJ1514" s="101"/>
      <c r="DK1514" s="101"/>
      <c r="DL1514" s="101"/>
      <c r="DM1514" s="101"/>
      <c r="DN1514" s="101"/>
      <c r="DO1514" s="101"/>
      <c r="DP1514" s="101"/>
      <c r="DQ1514" s="101"/>
    </row>
    <row r="1515" spans="1:121" s="40" customFormat="1" ht="13" x14ac:dyDescent="0.3">
      <c r="A1515" s="101"/>
      <c r="H1515" s="101"/>
      <c r="U1515" s="13"/>
      <c r="V1515" s="13"/>
      <c r="W1515" s="13"/>
      <c r="X1515" s="13"/>
      <c r="Y1515" s="13"/>
      <c r="Z1515" s="13"/>
      <c r="AA1515" s="13"/>
      <c r="AB1515" s="13"/>
      <c r="AC1515" s="13"/>
      <c r="AD1515" s="13"/>
      <c r="AE1515" s="13"/>
      <c r="AF1515" s="84"/>
      <c r="AG1515" s="84"/>
      <c r="AH1515" s="84"/>
      <c r="AI1515" s="84"/>
      <c r="AJ1515" s="84"/>
      <c r="AK1515" s="84"/>
      <c r="AL1515" s="84"/>
      <c r="AM1515" s="84"/>
      <c r="AN1515" s="84"/>
      <c r="AO1515" s="84"/>
      <c r="AP1515" s="84"/>
      <c r="AQ1515" s="84"/>
      <c r="AR1515" s="84"/>
      <c r="AS1515" s="84"/>
      <c r="AT1515" s="84"/>
      <c r="AU1515" s="84"/>
      <c r="AV1515" s="84"/>
      <c r="AW1515" s="84"/>
      <c r="AX1515" s="84"/>
      <c r="AY1515" s="84"/>
      <c r="AZ1515" s="84"/>
      <c r="BA1515" s="84"/>
      <c r="BB1515" s="84"/>
      <c r="BC1515" s="84"/>
      <c r="BD1515" s="84"/>
      <c r="BE1515" s="84"/>
      <c r="BF1515" s="84"/>
      <c r="BG1515" s="84"/>
      <c r="BH1515" s="84"/>
      <c r="BI1515" s="84"/>
      <c r="BJ1515" s="84"/>
      <c r="BK1515" s="84"/>
      <c r="BL1515" s="84"/>
      <c r="BM1515" s="84"/>
      <c r="BN1515" s="84"/>
      <c r="BO1515" s="84"/>
      <c r="BP1515" s="84"/>
      <c r="BQ1515" s="84"/>
      <c r="BR1515" s="84"/>
      <c r="BS1515" s="84"/>
      <c r="BT1515" s="84"/>
      <c r="BU1515" s="84"/>
      <c r="BV1515" s="84"/>
      <c r="BW1515" s="84"/>
      <c r="BX1515" s="84"/>
      <c r="BY1515" s="84"/>
      <c r="BZ1515" s="84"/>
      <c r="CA1515" s="84"/>
      <c r="CB1515" s="84"/>
      <c r="CC1515" s="84"/>
      <c r="CD1515" s="84"/>
      <c r="CE1515" s="84"/>
      <c r="CF1515" s="84"/>
      <c r="CG1515" s="84"/>
      <c r="CH1515" s="84"/>
      <c r="CI1515" s="84"/>
      <c r="CJ1515" s="84"/>
      <c r="CK1515" s="84"/>
      <c r="CL1515" s="84"/>
      <c r="CM1515" s="84"/>
      <c r="CN1515" s="84"/>
      <c r="CO1515" s="84"/>
      <c r="CP1515" s="84"/>
      <c r="CQ1515" s="101"/>
      <c r="CR1515" s="101"/>
      <c r="CS1515" s="101"/>
      <c r="CT1515" s="101"/>
      <c r="CU1515" s="101"/>
      <c r="CV1515" s="101"/>
      <c r="CW1515" s="101"/>
      <c r="CX1515" s="101"/>
      <c r="CY1515" s="101"/>
      <c r="CZ1515" s="101"/>
      <c r="DA1515" s="101"/>
      <c r="DB1515" s="101"/>
      <c r="DC1515" s="101"/>
      <c r="DD1515" s="101"/>
      <c r="DE1515" s="101"/>
      <c r="DF1515" s="101"/>
      <c r="DG1515" s="101"/>
      <c r="DH1515" s="101"/>
      <c r="DI1515" s="101"/>
      <c r="DJ1515" s="101"/>
      <c r="DK1515" s="101"/>
      <c r="DL1515" s="101"/>
      <c r="DM1515" s="101"/>
      <c r="DN1515" s="101"/>
      <c r="DO1515" s="101"/>
      <c r="DP1515" s="101"/>
      <c r="DQ1515" s="101"/>
    </row>
    <row r="1516" spans="1:121" s="40" customFormat="1" ht="13" x14ac:dyDescent="0.3">
      <c r="A1516" s="101"/>
      <c r="H1516" s="101"/>
      <c r="U1516" s="13"/>
      <c r="V1516" s="13"/>
      <c r="W1516" s="13"/>
      <c r="X1516" s="13"/>
      <c r="Y1516" s="13"/>
      <c r="Z1516" s="13"/>
      <c r="AA1516" s="13"/>
      <c r="AB1516" s="13"/>
      <c r="AC1516" s="13"/>
      <c r="AD1516" s="13"/>
      <c r="AE1516" s="13"/>
      <c r="AF1516" s="84"/>
      <c r="AG1516" s="84"/>
      <c r="AH1516" s="84"/>
      <c r="AI1516" s="84"/>
      <c r="AJ1516" s="84"/>
      <c r="AK1516" s="84"/>
      <c r="AL1516" s="84"/>
      <c r="AM1516" s="84"/>
      <c r="AN1516" s="84"/>
      <c r="AO1516" s="84"/>
      <c r="AP1516" s="84"/>
      <c r="AQ1516" s="84"/>
      <c r="AR1516" s="84"/>
      <c r="AS1516" s="84"/>
      <c r="AT1516" s="84"/>
      <c r="AU1516" s="84"/>
      <c r="AV1516" s="84"/>
      <c r="AW1516" s="84"/>
      <c r="AX1516" s="84"/>
      <c r="AY1516" s="84"/>
      <c r="AZ1516" s="84"/>
      <c r="BA1516" s="84"/>
      <c r="BB1516" s="84"/>
      <c r="BC1516" s="84"/>
      <c r="BD1516" s="84"/>
      <c r="BE1516" s="84"/>
      <c r="BF1516" s="84"/>
      <c r="BG1516" s="84"/>
      <c r="BH1516" s="84"/>
      <c r="BI1516" s="84"/>
      <c r="BJ1516" s="84"/>
      <c r="BK1516" s="84"/>
      <c r="BL1516" s="84"/>
      <c r="BM1516" s="84"/>
      <c r="BN1516" s="84"/>
      <c r="BO1516" s="84"/>
      <c r="BP1516" s="84"/>
      <c r="BQ1516" s="84"/>
      <c r="BR1516" s="84"/>
      <c r="BS1516" s="84"/>
      <c r="BT1516" s="84"/>
      <c r="BU1516" s="84"/>
      <c r="BV1516" s="84"/>
      <c r="BW1516" s="84"/>
      <c r="BX1516" s="84"/>
      <c r="BY1516" s="84"/>
      <c r="BZ1516" s="84"/>
      <c r="CA1516" s="84"/>
      <c r="CB1516" s="84"/>
      <c r="CC1516" s="84"/>
      <c r="CD1516" s="84"/>
      <c r="CE1516" s="84"/>
      <c r="CF1516" s="84"/>
      <c r="CG1516" s="84"/>
      <c r="CH1516" s="84"/>
      <c r="CI1516" s="84"/>
      <c r="CJ1516" s="84"/>
      <c r="CK1516" s="84"/>
      <c r="CL1516" s="84"/>
      <c r="CM1516" s="84"/>
      <c r="CN1516" s="84"/>
      <c r="CO1516" s="84"/>
      <c r="CP1516" s="84"/>
      <c r="CQ1516" s="101"/>
      <c r="CR1516" s="101"/>
      <c r="CS1516" s="101"/>
      <c r="CT1516" s="101"/>
      <c r="CU1516" s="101"/>
      <c r="CV1516" s="101"/>
      <c r="CW1516" s="101"/>
      <c r="CX1516" s="101"/>
      <c r="CY1516" s="101"/>
      <c r="CZ1516" s="101"/>
      <c r="DA1516" s="101"/>
      <c r="DB1516" s="101"/>
      <c r="DC1516" s="101"/>
      <c r="DD1516" s="101"/>
      <c r="DE1516" s="101"/>
      <c r="DF1516" s="101"/>
      <c r="DG1516" s="101"/>
      <c r="DH1516" s="101"/>
      <c r="DI1516" s="101"/>
      <c r="DJ1516" s="101"/>
      <c r="DK1516" s="101"/>
      <c r="DL1516" s="101"/>
      <c r="DM1516" s="101"/>
      <c r="DN1516" s="101"/>
      <c r="DO1516" s="101"/>
      <c r="DP1516" s="101"/>
      <c r="DQ1516" s="101"/>
    </row>
    <row r="1517" spans="1:121" s="40" customFormat="1" ht="13" x14ac:dyDescent="0.3">
      <c r="A1517" s="101"/>
      <c r="H1517" s="101"/>
      <c r="U1517" s="13"/>
      <c r="V1517" s="13"/>
      <c r="W1517" s="13"/>
      <c r="X1517" s="13"/>
      <c r="Y1517" s="13"/>
      <c r="Z1517" s="13"/>
      <c r="AA1517" s="13"/>
      <c r="AB1517" s="13"/>
      <c r="AC1517" s="13"/>
      <c r="AD1517" s="13"/>
      <c r="AE1517" s="13"/>
      <c r="AF1517" s="84"/>
      <c r="AG1517" s="84"/>
      <c r="AH1517" s="84"/>
      <c r="AI1517" s="84"/>
      <c r="AJ1517" s="84"/>
      <c r="AK1517" s="84"/>
      <c r="AL1517" s="84"/>
      <c r="AM1517" s="84"/>
      <c r="AN1517" s="84"/>
      <c r="AO1517" s="84"/>
      <c r="AP1517" s="84"/>
      <c r="AQ1517" s="84"/>
      <c r="AR1517" s="84"/>
      <c r="AS1517" s="84"/>
      <c r="AT1517" s="84"/>
      <c r="AU1517" s="84"/>
      <c r="AV1517" s="84"/>
      <c r="AW1517" s="84"/>
      <c r="AX1517" s="84"/>
      <c r="AY1517" s="84"/>
      <c r="AZ1517" s="84"/>
      <c r="BA1517" s="84"/>
      <c r="BB1517" s="84"/>
      <c r="BC1517" s="84"/>
      <c r="BD1517" s="84"/>
      <c r="BE1517" s="84"/>
      <c r="BF1517" s="84"/>
      <c r="BG1517" s="84"/>
      <c r="BH1517" s="84"/>
      <c r="BI1517" s="84"/>
      <c r="BJ1517" s="84"/>
      <c r="BK1517" s="84"/>
      <c r="BL1517" s="84"/>
      <c r="BM1517" s="84"/>
      <c r="BN1517" s="84"/>
      <c r="BO1517" s="84"/>
      <c r="BP1517" s="84"/>
      <c r="BQ1517" s="84"/>
      <c r="BR1517" s="84"/>
      <c r="BS1517" s="84"/>
      <c r="BT1517" s="84"/>
      <c r="BU1517" s="84"/>
      <c r="BV1517" s="84"/>
      <c r="BW1517" s="84"/>
      <c r="BX1517" s="84"/>
      <c r="BY1517" s="84"/>
      <c r="BZ1517" s="84"/>
      <c r="CA1517" s="84"/>
      <c r="CB1517" s="84"/>
      <c r="CC1517" s="84"/>
      <c r="CD1517" s="84"/>
      <c r="CE1517" s="84"/>
      <c r="CF1517" s="84"/>
      <c r="CG1517" s="84"/>
      <c r="CH1517" s="84"/>
      <c r="CI1517" s="84"/>
      <c r="CJ1517" s="84"/>
      <c r="CK1517" s="84"/>
      <c r="CL1517" s="84"/>
      <c r="CM1517" s="84"/>
      <c r="CN1517" s="84"/>
      <c r="CO1517" s="84"/>
      <c r="CP1517" s="84"/>
      <c r="CQ1517" s="101"/>
      <c r="CR1517" s="101"/>
      <c r="CS1517" s="101"/>
      <c r="CT1517" s="101"/>
      <c r="CU1517" s="101"/>
      <c r="CV1517" s="101"/>
      <c r="CW1517" s="101"/>
      <c r="CX1517" s="101"/>
      <c r="CY1517" s="101"/>
      <c r="CZ1517" s="101"/>
      <c r="DA1517" s="101"/>
      <c r="DB1517" s="101"/>
      <c r="DC1517" s="101"/>
      <c r="DD1517" s="101"/>
      <c r="DE1517" s="101"/>
      <c r="DF1517" s="101"/>
      <c r="DG1517" s="101"/>
      <c r="DH1517" s="101"/>
      <c r="DI1517" s="101"/>
      <c r="DJ1517" s="101"/>
      <c r="DK1517" s="101"/>
      <c r="DL1517" s="101"/>
      <c r="DM1517" s="101"/>
      <c r="DN1517" s="101"/>
      <c r="DO1517" s="101"/>
      <c r="DP1517" s="101"/>
      <c r="DQ1517" s="101"/>
    </row>
    <row r="1518" spans="1:121" s="40" customFormat="1" ht="13" x14ac:dyDescent="0.3">
      <c r="A1518" s="101"/>
      <c r="H1518" s="101"/>
      <c r="U1518" s="13"/>
      <c r="V1518" s="13"/>
      <c r="W1518" s="13"/>
      <c r="X1518" s="13"/>
      <c r="Y1518" s="13"/>
      <c r="Z1518" s="13"/>
      <c r="AA1518" s="13"/>
      <c r="AB1518" s="13"/>
      <c r="AC1518" s="13"/>
      <c r="AD1518" s="13"/>
      <c r="AE1518" s="13"/>
      <c r="AF1518" s="84"/>
      <c r="AG1518" s="84"/>
      <c r="AH1518" s="84"/>
      <c r="AI1518" s="84"/>
      <c r="AJ1518" s="84"/>
      <c r="AK1518" s="84"/>
      <c r="AL1518" s="84"/>
      <c r="AM1518" s="84"/>
      <c r="AN1518" s="84"/>
      <c r="AO1518" s="84"/>
      <c r="AP1518" s="84"/>
      <c r="AQ1518" s="84"/>
      <c r="AR1518" s="84"/>
      <c r="AS1518" s="84"/>
      <c r="AT1518" s="84"/>
      <c r="AU1518" s="84"/>
      <c r="AV1518" s="84"/>
      <c r="AW1518" s="84"/>
      <c r="AX1518" s="84"/>
      <c r="AY1518" s="84"/>
      <c r="AZ1518" s="84"/>
      <c r="BA1518" s="84"/>
      <c r="BB1518" s="84"/>
      <c r="BC1518" s="84"/>
      <c r="BD1518" s="84"/>
      <c r="BE1518" s="84"/>
      <c r="BF1518" s="84"/>
      <c r="BG1518" s="84"/>
      <c r="BH1518" s="84"/>
      <c r="BI1518" s="84"/>
      <c r="BJ1518" s="84"/>
      <c r="BK1518" s="84"/>
      <c r="BL1518" s="84"/>
      <c r="BM1518" s="84"/>
      <c r="BN1518" s="84"/>
      <c r="BO1518" s="84"/>
      <c r="BP1518" s="84"/>
      <c r="BQ1518" s="84"/>
      <c r="BR1518" s="84"/>
      <c r="BS1518" s="84"/>
      <c r="BT1518" s="84"/>
      <c r="BU1518" s="84"/>
      <c r="BV1518" s="84"/>
      <c r="BW1518" s="84"/>
      <c r="BX1518" s="84"/>
      <c r="BY1518" s="84"/>
      <c r="BZ1518" s="84"/>
      <c r="CA1518" s="84"/>
      <c r="CB1518" s="84"/>
      <c r="CC1518" s="84"/>
      <c r="CD1518" s="84"/>
      <c r="CE1518" s="84"/>
      <c r="CF1518" s="84"/>
      <c r="CG1518" s="84"/>
      <c r="CH1518" s="84"/>
      <c r="CI1518" s="84"/>
      <c r="CJ1518" s="84"/>
      <c r="CK1518" s="84"/>
      <c r="CL1518" s="84"/>
      <c r="CM1518" s="84"/>
      <c r="CN1518" s="84"/>
      <c r="CO1518" s="84"/>
      <c r="CP1518" s="84"/>
      <c r="CQ1518" s="101"/>
      <c r="CR1518" s="101"/>
      <c r="CS1518" s="101"/>
      <c r="CT1518" s="101"/>
      <c r="CU1518" s="101"/>
      <c r="CV1518" s="101"/>
      <c r="CW1518" s="101"/>
      <c r="CX1518" s="101"/>
      <c r="CY1518" s="101"/>
      <c r="CZ1518" s="101"/>
      <c r="DA1518" s="101"/>
      <c r="DB1518" s="101"/>
      <c r="DC1518" s="101"/>
      <c r="DD1518" s="101"/>
      <c r="DE1518" s="101"/>
      <c r="DF1518" s="101"/>
      <c r="DG1518" s="101"/>
      <c r="DH1518" s="101"/>
      <c r="DI1518" s="101"/>
      <c r="DJ1518" s="101"/>
      <c r="DK1518" s="101"/>
      <c r="DL1518" s="101"/>
      <c r="DM1518" s="101"/>
      <c r="DN1518" s="101"/>
      <c r="DO1518" s="101"/>
      <c r="DP1518" s="101"/>
      <c r="DQ1518" s="101"/>
    </row>
    <row r="1519" spans="1:121" s="40" customFormat="1" ht="13" x14ac:dyDescent="0.3">
      <c r="A1519" s="101"/>
      <c r="H1519" s="101"/>
      <c r="U1519" s="13"/>
      <c r="V1519" s="13"/>
      <c r="W1519" s="13"/>
      <c r="X1519" s="13"/>
      <c r="Y1519" s="13"/>
      <c r="Z1519" s="13"/>
      <c r="AA1519" s="13"/>
      <c r="AB1519" s="13"/>
      <c r="AC1519" s="13"/>
      <c r="AD1519" s="13"/>
      <c r="AE1519" s="13"/>
      <c r="AF1519" s="84"/>
      <c r="AG1519" s="84"/>
      <c r="AH1519" s="84"/>
      <c r="AI1519" s="84"/>
      <c r="AJ1519" s="84"/>
      <c r="AK1519" s="84"/>
      <c r="AL1519" s="84"/>
      <c r="AM1519" s="84"/>
      <c r="AN1519" s="84"/>
      <c r="AO1519" s="84"/>
      <c r="AP1519" s="84"/>
      <c r="AQ1519" s="84"/>
      <c r="AR1519" s="84"/>
      <c r="AS1519" s="84"/>
      <c r="AT1519" s="84"/>
      <c r="AU1519" s="84"/>
      <c r="AV1519" s="84"/>
      <c r="AW1519" s="84"/>
      <c r="AX1519" s="84"/>
      <c r="AY1519" s="84"/>
      <c r="AZ1519" s="84"/>
      <c r="BA1519" s="84"/>
      <c r="BB1519" s="84"/>
      <c r="BC1519" s="84"/>
      <c r="BD1519" s="84"/>
      <c r="BE1519" s="84"/>
      <c r="BF1519" s="84"/>
      <c r="BG1519" s="84"/>
      <c r="BH1519" s="84"/>
      <c r="BI1519" s="84"/>
      <c r="BJ1519" s="84"/>
      <c r="BK1519" s="84"/>
      <c r="BL1519" s="84"/>
      <c r="BM1519" s="84"/>
      <c r="BN1519" s="84"/>
      <c r="BO1519" s="84"/>
      <c r="BP1519" s="84"/>
      <c r="BQ1519" s="84"/>
      <c r="BR1519" s="84"/>
      <c r="BS1519" s="84"/>
      <c r="BT1519" s="84"/>
      <c r="BU1519" s="84"/>
      <c r="BV1519" s="84"/>
      <c r="BW1519" s="84"/>
      <c r="BX1519" s="84"/>
      <c r="BY1519" s="84"/>
      <c r="BZ1519" s="84"/>
      <c r="CA1519" s="84"/>
      <c r="CB1519" s="84"/>
      <c r="CC1519" s="84"/>
      <c r="CD1519" s="84"/>
      <c r="CE1519" s="84"/>
      <c r="CF1519" s="84"/>
      <c r="CG1519" s="84"/>
      <c r="CH1519" s="84"/>
      <c r="CI1519" s="84"/>
      <c r="CJ1519" s="84"/>
      <c r="CK1519" s="84"/>
      <c r="CL1519" s="84"/>
      <c r="CM1519" s="84"/>
      <c r="CN1519" s="84"/>
      <c r="CO1519" s="84"/>
      <c r="CP1519" s="84"/>
      <c r="CQ1519" s="101"/>
      <c r="CR1519" s="101"/>
      <c r="CS1519" s="101"/>
      <c r="CT1519" s="101"/>
      <c r="CU1519" s="101"/>
      <c r="CV1519" s="101"/>
      <c r="CW1519" s="101"/>
      <c r="CX1519" s="101"/>
      <c r="CY1519" s="101"/>
      <c r="CZ1519" s="101"/>
      <c r="DA1519" s="101"/>
      <c r="DB1519" s="101"/>
      <c r="DC1519" s="101"/>
      <c r="DD1519" s="101"/>
      <c r="DE1519" s="101"/>
      <c r="DF1519" s="101"/>
      <c r="DG1519" s="101"/>
      <c r="DH1519" s="101"/>
      <c r="DI1519" s="101"/>
      <c r="DJ1519" s="101"/>
      <c r="DK1519" s="101"/>
      <c r="DL1519" s="101"/>
      <c r="DM1519" s="101"/>
      <c r="DN1519" s="101"/>
      <c r="DO1519" s="101"/>
      <c r="DP1519" s="101"/>
      <c r="DQ1519" s="101"/>
    </row>
    <row r="1520" spans="1:121" s="40" customFormat="1" ht="13" x14ac:dyDescent="0.3">
      <c r="A1520" s="101"/>
      <c r="H1520" s="101"/>
      <c r="U1520" s="13"/>
      <c r="V1520" s="13"/>
      <c r="W1520" s="13"/>
      <c r="X1520" s="13"/>
      <c r="Y1520" s="13"/>
      <c r="Z1520" s="13"/>
      <c r="AA1520" s="13"/>
      <c r="AB1520" s="13"/>
      <c r="AC1520" s="13"/>
      <c r="AD1520" s="13"/>
      <c r="AE1520" s="13"/>
      <c r="AF1520" s="84"/>
      <c r="AG1520" s="84"/>
      <c r="AH1520" s="84"/>
      <c r="AI1520" s="84"/>
      <c r="AJ1520" s="84"/>
      <c r="AK1520" s="84"/>
      <c r="AL1520" s="84"/>
      <c r="AM1520" s="84"/>
      <c r="AN1520" s="84"/>
      <c r="AO1520" s="84"/>
      <c r="AP1520" s="84"/>
      <c r="AQ1520" s="84"/>
      <c r="AR1520" s="84"/>
      <c r="AS1520" s="84"/>
      <c r="AT1520" s="84"/>
      <c r="AU1520" s="84"/>
      <c r="AV1520" s="84"/>
      <c r="AW1520" s="84"/>
      <c r="AX1520" s="84"/>
      <c r="AY1520" s="84"/>
      <c r="AZ1520" s="84"/>
      <c r="BA1520" s="84"/>
      <c r="BB1520" s="84"/>
      <c r="BC1520" s="84"/>
      <c r="BD1520" s="84"/>
      <c r="BE1520" s="84"/>
      <c r="BF1520" s="84"/>
      <c r="BG1520" s="84"/>
      <c r="BH1520" s="84"/>
      <c r="BI1520" s="84"/>
      <c r="BJ1520" s="84"/>
      <c r="BK1520" s="84"/>
      <c r="BL1520" s="84"/>
      <c r="BM1520" s="84"/>
      <c r="BN1520" s="84"/>
      <c r="BO1520" s="84"/>
      <c r="BP1520" s="84"/>
      <c r="BQ1520" s="84"/>
      <c r="BR1520" s="84"/>
      <c r="BS1520" s="84"/>
      <c r="BT1520" s="84"/>
      <c r="BU1520" s="84"/>
      <c r="BV1520" s="84"/>
      <c r="BW1520" s="84"/>
      <c r="BX1520" s="84"/>
      <c r="BY1520" s="84"/>
      <c r="BZ1520" s="84"/>
      <c r="CA1520" s="84"/>
      <c r="CB1520" s="84"/>
      <c r="CC1520" s="84"/>
      <c r="CD1520" s="84"/>
      <c r="CE1520" s="84"/>
      <c r="CF1520" s="84"/>
      <c r="CG1520" s="84"/>
      <c r="CH1520" s="84"/>
      <c r="CI1520" s="84"/>
      <c r="CJ1520" s="84"/>
      <c r="CK1520" s="84"/>
      <c r="CL1520" s="84"/>
      <c r="CM1520" s="84"/>
      <c r="CN1520" s="84"/>
      <c r="CO1520" s="84"/>
      <c r="CP1520" s="84"/>
      <c r="CQ1520" s="101"/>
      <c r="CR1520" s="101"/>
      <c r="CS1520" s="101"/>
      <c r="CT1520" s="101"/>
      <c r="CU1520" s="101"/>
      <c r="CV1520" s="101"/>
      <c r="CW1520" s="101"/>
      <c r="CX1520" s="101"/>
      <c r="CY1520" s="101"/>
      <c r="CZ1520" s="101"/>
      <c r="DA1520" s="101"/>
      <c r="DB1520" s="101"/>
      <c r="DC1520" s="101"/>
      <c r="DD1520" s="101"/>
      <c r="DE1520" s="101"/>
      <c r="DF1520" s="101"/>
      <c r="DG1520" s="101"/>
      <c r="DH1520" s="101"/>
      <c r="DI1520" s="101"/>
      <c r="DJ1520" s="101"/>
      <c r="DK1520" s="101"/>
      <c r="DL1520" s="101"/>
      <c r="DM1520" s="101"/>
      <c r="DN1520" s="101"/>
      <c r="DO1520" s="101"/>
      <c r="DP1520" s="101"/>
      <c r="DQ1520" s="101"/>
    </row>
    <row r="1521" spans="1:121" s="40" customFormat="1" ht="13" x14ac:dyDescent="0.3">
      <c r="A1521" s="101"/>
      <c r="H1521" s="101"/>
      <c r="U1521" s="13"/>
      <c r="V1521" s="13"/>
      <c r="W1521" s="13"/>
      <c r="X1521" s="13"/>
      <c r="Y1521" s="13"/>
      <c r="Z1521" s="13"/>
      <c r="AA1521" s="13"/>
      <c r="AB1521" s="13"/>
      <c r="AC1521" s="13"/>
      <c r="AD1521" s="13"/>
      <c r="AE1521" s="13"/>
      <c r="AF1521" s="84"/>
      <c r="AG1521" s="84"/>
      <c r="AH1521" s="84"/>
      <c r="AI1521" s="84"/>
      <c r="AJ1521" s="84"/>
      <c r="AK1521" s="84"/>
      <c r="AL1521" s="84"/>
      <c r="AM1521" s="84"/>
      <c r="AN1521" s="84"/>
      <c r="AO1521" s="84"/>
      <c r="AP1521" s="84"/>
      <c r="AQ1521" s="84"/>
      <c r="AR1521" s="84"/>
      <c r="AS1521" s="84"/>
      <c r="AT1521" s="84"/>
      <c r="AU1521" s="84"/>
      <c r="AV1521" s="84"/>
      <c r="AW1521" s="84"/>
      <c r="AX1521" s="84"/>
      <c r="AY1521" s="84"/>
      <c r="AZ1521" s="84"/>
      <c r="BA1521" s="84"/>
      <c r="BB1521" s="84"/>
      <c r="BC1521" s="84"/>
      <c r="BD1521" s="84"/>
      <c r="BE1521" s="84"/>
      <c r="BF1521" s="84"/>
      <c r="BG1521" s="84"/>
      <c r="BH1521" s="84"/>
      <c r="BI1521" s="84"/>
      <c r="BJ1521" s="84"/>
      <c r="BK1521" s="84"/>
      <c r="BL1521" s="84"/>
      <c r="BM1521" s="84"/>
      <c r="BN1521" s="84"/>
      <c r="BO1521" s="84"/>
      <c r="BP1521" s="84"/>
      <c r="BQ1521" s="84"/>
      <c r="BR1521" s="84"/>
      <c r="BS1521" s="84"/>
      <c r="BT1521" s="84"/>
      <c r="BU1521" s="84"/>
      <c r="BV1521" s="84"/>
      <c r="BW1521" s="84"/>
      <c r="BX1521" s="84"/>
      <c r="BY1521" s="84"/>
      <c r="BZ1521" s="84"/>
      <c r="CA1521" s="84"/>
      <c r="CB1521" s="84"/>
      <c r="CC1521" s="84"/>
      <c r="CD1521" s="84"/>
      <c r="CE1521" s="84"/>
      <c r="CF1521" s="84"/>
      <c r="CG1521" s="84"/>
      <c r="CH1521" s="84"/>
      <c r="CI1521" s="84"/>
      <c r="CJ1521" s="84"/>
      <c r="CK1521" s="84"/>
      <c r="CL1521" s="84"/>
      <c r="CM1521" s="84"/>
      <c r="CN1521" s="84"/>
      <c r="CO1521" s="84"/>
      <c r="CP1521" s="84"/>
      <c r="CQ1521" s="101"/>
      <c r="CR1521" s="101"/>
      <c r="CS1521" s="101"/>
      <c r="CT1521" s="101"/>
      <c r="CU1521" s="101"/>
      <c r="CV1521" s="101"/>
      <c r="CW1521" s="101"/>
      <c r="CX1521" s="101"/>
      <c r="CY1521" s="101"/>
      <c r="CZ1521" s="101"/>
      <c r="DA1521" s="101"/>
      <c r="DB1521" s="101"/>
      <c r="DC1521" s="101"/>
      <c r="DD1521" s="101"/>
      <c r="DE1521" s="101"/>
      <c r="DF1521" s="101"/>
      <c r="DG1521" s="101"/>
      <c r="DH1521" s="101"/>
      <c r="DI1521" s="101"/>
      <c r="DJ1521" s="101"/>
      <c r="DK1521" s="101"/>
      <c r="DL1521" s="101"/>
      <c r="DM1521" s="101"/>
      <c r="DN1521" s="101"/>
      <c r="DO1521" s="101"/>
      <c r="DP1521" s="101"/>
      <c r="DQ1521" s="101"/>
    </row>
    <row r="1522" spans="1:121" s="40" customFormat="1" ht="13" x14ac:dyDescent="0.3">
      <c r="A1522" s="101"/>
      <c r="H1522" s="101"/>
      <c r="U1522" s="13"/>
      <c r="V1522" s="13"/>
      <c r="W1522" s="13"/>
      <c r="X1522" s="13"/>
      <c r="Y1522" s="13"/>
      <c r="Z1522" s="13"/>
      <c r="AA1522" s="13"/>
      <c r="AB1522" s="13"/>
      <c r="AC1522" s="13"/>
      <c r="AD1522" s="13"/>
      <c r="AE1522" s="13"/>
      <c r="AF1522" s="84"/>
      <c r="AG1522" s="84"/>
      <c r="AH1522" s="84"/>
      <c r="AI1522" s="84"/>
      <c r="AJ1522" s="84"/>
      <c r="AK1522" s="84"/>
      <c r="AL1522" s="84"/>
      <c r="AM1522" s="84"/>
      <c r="AN1522" s="84"/>
      <c r="AO1522" s="84"/>
      <c r="AP1522" s="84"/>
      <c r="AQ1522" s="84"/>
      <c r="AR1522" s="84"/>
      <c r="AS1522" s="84"/>
      <c r="AT1522" s="84"/>
      <c r="AU1522" s="84"/>
      <c r="AV1522" s="84"/>
      <c r="AW1522" s="84"/>
      <c r="AX1522" s="84"/>
      <c r="AY1522" s="84"/>
      <c r="AZ1522" s="84"/>
      <c r="BA1522" s="84"/>
      <c r="BB1522" s="84"/>
      <c r="BC1522" s="84"/>
      <c r="BD1522" s="84"/>
      <c r="BE1522" s="84"/>
      <c r="BF1522" s="84"/>
      <c r="BG1522" s="84"/>
      <c r="BH1522" s="84"/>
      <c r="BI1522" s="84"/>
      <c r="BJ1522" s="84"/>
      <c r="BK1522" s="84"/>
      <c r="BL1522" s="84"/>
      <c r="BM1522" s="84"/>
      <c r="BN1522" s="84"/>
      <c r="BO1522" s="84"/>
      <c r="BP1522" s="84"/>
      <c r="BQ1522" s="84"/>
      <c r="BR1522" s="84"/>
      <c r="BS1522" s="84"/>
      <c r="BT1522" s="84"/>
      <c r="BU1522" s="84"/>
      <c r="BV1522" s="84"/>
      <c r="BW1522" s="84"/>
      <c r="BX1522" s="84"/>
      <c r="BY1522" s="84"/>
      <c r="BZ1522" s="84"/>
      <c r="CA1522" s="84"/>
      <c r="CB1522" s="84"/>
      <c r="CC1522" s="84"/>
      <c r="CD1522" s="84"/>
      <c r="CE1522" s="84"/>
      <c r="CF1522" s="84"/>
      <c r="CG1522" s="84"/>
      <c r="CH1522" s="84"/>
      <c r="CI1522" s="84"/>
      <c r="CJ1522" s="84"/>
      <c r="CK1522" s="84"/>
      <c r="CL1522" s="84"/>
      <c r="CM1522" s="84"/>
      <c r="CN1522" s="84"/>
      <c r="CO1522" s="84"/>
      <c r="CP1522" s="84"/>
      <c r="CQ1522" s="101"/>
      <c r="CR1522" s="101"/>
      <c r="CS1522" s="101"/>
      <c r="CT1522" s="101"/>
      <c r="CU1522" s="101"/>
      <c r="CV1522" s="101"/>
      <c r="CW1522" s="101"/>
      <c r="CX1522" s="101"/>
      <c r="CY1522" s="101"/>
      <c r="CZ1522" s="101"/>
      <c r="DA1522" s="101"/>
      <c r="DB1522" s="101"/>
      <c r="DC1522" s="101"/>
      <c r="DD1522" s="101"/>
      <c r="DE1522" s="101"/>
      <c r="DF1522" s="101"/>
      <c r="DG1522" s="101"/>
      <c r="DH1522" s="101"/>
      <c r="DI1522" s="101"/>
      <c r="DJ1522" s="101"/>
      <c r="DK1522" s="101"/>
      <c r="DL1522" s="101"/>
      <c r="DM1522" s="101"/>
      <c r="DN1522" s="101"/>
      <c r="DO1522" s="101"/>
      <c r="DP1522" s="101"/>
      <c r="DQ1522" s="101"/>
    </row>
    <row r="1523" spans="1:121" s="40" customFormat="1" ht="13" x14ac:dyDescent="0.3">
      <c r="A1523" s="101"/>
      <c r="H1523" s="101"/>
      <c r="U1523" s="13"/>
      <c r="V1523" s="13"/>
      <c r="W1523" s="13"/>
      <c r="X1523" s="13"/>
      <c r="Y1523" s="13"/>
      <c r="Z1523" s="13"/>
      <c r="AA1523" s="13"/>
      <c r="AB1523" s="13"/>
      <c r="AC1523" s="13"/>
      <c r="AD1523" s="13"/>
      <c r="AE1523" s="13"/>
      <c r="AF1523" s="84"/>
      <c r="AG1523" s="84"/>
      <c r="AH1523" s="84"/>
      <c r="AI1523" s="84"/>
      <c r="AJ1523" s="84"/>
      <c r="AK1523" s="84"/>
      <c r="AL1523" s="84"/>
      <c r="AM1523" s="84"/>
      <c r="AN1523" s="84"/>
      <c r="AO1523" s="84"/>
      <c r="AP1523" s="84"/>
      <c r="AQ1523" s="84"/>
      <c r="AR1523" s="84"/>
      <c r="AS1523" s="84"/>
      <c r="AT1523" s="84"/>
      <c r="AU1523" s="84"/>
      <c r="AV1523" s="84"/>
      <c r="AW1523" s="84"/>
      <c r="AX1523" s="84"/>
      <c r="AY1523" s="84"/>
      <c r="AZ1523" s="84"/>
      <c r="BA1523" s="84"/>
      <c r="BB1523" s="84"/>
      <c r="BC1523" s="84"/>
      <c r="BD1523" s="84"/>
      <c r="BE1523" s="84"/>
      <c r="BF1523" s="84"/>
      <c r="BG1523" s="84"/>
      <c r="BH1523" s="84"/>
      <c r="BI1523" s="84"/>
      <c r="BJ1523" s="84"/>
      <c r="BK1523" s="84"/>
      <c r="BL1523" s="84"/>
      <c r="BM1523" s="84"/>
      <c r="BN1523" s="84"/>
      <c r="BO1523" s="84"/>
      <c r="BP1523" s="84"/>
      <c r="BQ1523" s="84"/>
      <c r="BR1523" s="84"/>
      <c r="BS1523" s="84"/>
      <c r="BT1523" s="84"/>
      <c r="BU1523" s="84"/>
      <c r="BV1523" s="84"/>
      <c r="BW1523" s="84"/>
      <c r="BX1523" s="84"/>
      <c r="BY1523" s="84"/>
      <c r="BZ1523" s="84"/>
      <c r="CA1523" s="84"/>
      <c r="CB1523" s="84"/>
      <c r="CC1523" s="84"/>
      <c r="CD1523" s="84"/>
      <c r="CE1523" s="84"/>
      <c r="CF1523" s="84"/>
      <c r="CG1523" s="84"/>
      <c r="CH1523" s="84"/>
      <c r="CI1523" s="84"/>
      <c r="CJ1523" s="84"/>
      <c r="CK1523" s="84"/>
      <c r="CL1523" s="84"/>
      <c r="CM1523" s="84"/>
      <c r="CN1523" s="84"/>
      <c r="CO1523" s="84"/>
      <c r="CP1523" s="84"/>
      <c r="CQ1523" s="101"/>
      <c r="CR1523" s="101"/>
      <c r="CS1523" s="101"/>
      <c r="CT1523" s="101"/>
      <c r="CU1523" s="101"/>
      <c r="CV1523" s="101"/>
      <c r="CW1523" s="101"/>
      <c r="CX1523" s="101"/>
      <c r="CY1523" s="101"/>
      <c r="CZ1523" s="101"/>
      <c r="DA1523" s="101"/>
      <c r="DB1523" s="101"/>
      <c r="DC1523" s="101"/>
      <c r="DD1523" s="101"/>
      <c r="DE1523" s="101"/>
      <c r="DF1523" s="101"/>
      <c r="DG1523" s="101"/>
      <c r="DH1523" s="101"/>
      <c r="DI1523" s="101"/>
      <c r="DJ1523" s="101"/>
      <c r="DK1523" s="101"/>
      <c r="DL1523" s="101"/>
      <c r="DM1523" s="101"/>
      <c r="DN1523" s="101"/>
      <c r="DO1523" s="101"/>
      <c r="DP1523" s="101"/>
      <c r="DQ1523" s="101"/>
    </row>
    <row r="1524" spans="1:121" s="40" customFormat="1" ht="13" x14ac:dyDescent="0.3">
      <c r="A1524" s="101"/>
      <c r="H1524" s="101"/>
      <c r="U1524" s="13"/>
      <c r="V1524" s="13"/>
      <c r="W1524" s="13"/>
      <c r="X1524" s="13"/>
      <c r="Y1524" s="13"/>
      <c r="Z1524" s="13"/>
      <c r="AA1524" s="13"/>
      <c r="AB1524" s="13"/>
      <c r="AC1524" s="13"/>
      <c r="AD1524" s="13"/>
      <c r="AE1524" s="13"/>
      <c r="AF1524" s="84"/>
      <c r="AG1524" s="84"/>
      <c r="AH1524" s="84"/>
      <c r="AI1524" s="84"/>
      <c r="AJ1524" s="84"/>
      <c r="AK1524" s="84"/>
      <c r="AL1524" s="84"/>
      <c r="AM1524" s="84"/>
      <c r="AN1524" s="84"/>
      <c r="AO1524" s="84"/>
      <c r="AP1524" s="84"/>
      <c r="AQ1524" s="84"/>
      <c r="AR1524" s="84"/>
      <c r="AS1524" s="84"/>
      <c r="AT1524" s="84"/>
      <c r="AU1524" s="84"/>
      <c r="AV1524" s="84"/>
      <c r="AW1524" s="84"/>
      <c r="AX1524" s="84"/>
      <c r="AY1524" s="84"/>
      <c r="AZ1524" s="84"/>
      <c r="BA1524" s="84"/>
      <c r="BB1524" s="84"/>
      <c r="BC1524" s="84"/>
      <c r="BD1524" s="84"/>
      <c r="BE1524" s="84"/>
      <c r="BF1524" s="84"/>
      <c r="BG1524" s="84"/>
      <c r="BH1524" s="84"/>
      <c r="BI1524" s="84"/>
      <c r="BJ1524" s="84"/>
      <c r="BK1524" s="84"/>
      <c r="BL1524" s="84"/>
      <c r="BM1524" s="84"/>
      <c r="BN1524" s="84"/>
      <c r="BO1524" s="84"/>
      <c r="BP1524" s="84"/>
      <c r="BQ1524" s="84"/>
      <c r="BR1524" s="84"/>
      <c r="BS1524" s="84"/>
      <c r="BT1524" s="84"/>
      <c r="BU1524" s="84"/>
      <c r="BV1524" s="84"/>
      <c r="BW1524" s="84"/>
      <c r="BX1524" s="84"/>
      <c r="BY1524" s="84"/>
      <c r="BZ1524" s="84"/>
      <c r="CA1524" s="84"/>
      <c r="CB1524" s="84"/>
      <c r="CC1524" s="84"/>
      <c r="CD1524" s="84"/>
      <c r="CE1524" s="84"/>
      <c r="CF1524" s="84"/>
      <c r="CG1524" s="84"/>
      <c r="CH1524" s="84"/>
      <c r="CI1524" s="84"/>
      <c r="CJ1524" s="84"/>
      <c r="CK1524" s="84"/>
      <c r="CL1524" s="84"/>
      <c r="CM1524" s="84"/>
      <c r="CN1524" s="84"/>
      <c r="CO1524" s="84"/>
      <c r="CP1524" s="84"/>
      <c r="CQ1524" s="101"/>
      <c r="CR1524" s="101"/>
      <c r="CS1524" s="101"/>
      <c r="CT1524" s="101"/>
      <c r="CU1524" s="101"/>
      <c r="CV1524" s="101"/>
      <c r="CW1524" s="101"/>
      <c r="CX1524" s="101"/>
      <c r="CY1524" s="101"/>
      <c r="CZ1524" s="101"/>
      <c r="DA1524" s="101"/>
      <c r="DB1524" s="101"/>
      <c r="DC1524" s="101"/>
      <c r="DD1524" s="101"/>
      <c r="DE1524" s="101"/>
      <c r="DF1524" s="101"/>
      <c r="DG1524" s="101"/>
      <c r="DH1524" s="101"/>
      <c r="DI1524" s="101"/>
      <c r="DJ1524" s="101"/>
      <c r="DK1524" s="101"/>
      <c r="DL1524" s="101"/>
      <c r="DM1524" s="101"/>
      <c r="DN1524" s="101"/>
      <c r="DO1524" s="101"/>
      <c r="DP1524" s="101"/>
      <c r="DQ1524" s="101"/>
    </row>
    <row r="1525" spans="1:121" s="40" customFormat="1" ht="13" x14ac:dyDescent="0.3">
      <c r="A1525" s="101"/>
      <c r="H1525" s="101"/>
      <c r="U1525" s="13"/>
      <c r="V1525" s="13"/>
      <c r="W1525" s="13"/>
      <c r="X1525" s="13"/>
      <c r="Y1525" s="13"/>
      <c r="Z1525" s="13"/>
      <c r="AA1525" s="13"/>
      <c r="AB1525" s="13"/>
      <c r="AC1525" s="13"/>
      <c r="AD1525" s="13"/>
      <c r="AE1525" s="13"/>
      <c r="AF1525" s="84"/>
      <c r="AG1525" s="84"/>
      <c r="AH1525" s="84"/>
      <c r="AI1525" s="84"/>
      <c r="AJ1525" s="84"/>
      <c r="AK1525" s="84"/>
      <c r="AL1525" s="84"/>
      <c r="AM1525" s="84"/>
      <c r="AN1525" s="84"/>
      <c r="AO1525" s="84"/>
      <c r="AP1525" s="84"/>
      <c r="AQ1525" s="84"/>
      <c r="AR1525" s="84"/>
      <c r="AS1525" s="84"/>
      <c r="AT1525" s="84"/>
      <c r="AU1525" s="84"/>
      <c r="AV1525" s="84"/>
      <c r="AW1525" s="84"/>
      <c r="AX1525" s="84"/>
      <c r="AY1525" s="84"/>
      <c r="AZ1525" s="84"/>
      <c r="BA1525" s="84"/>
      <c r="BB1525" s="84"/>
      <c r="BC1525" s="84"/>
      <c r="BD1525" s="84"/>
      <c r="BE1525" s="84"/>
      <c r="BF1525" s="84"/>
      <c r="BG1525" s="84"/>
      <c r="BH1525" s="84"/>
      <c r="BI1525" s="84"/>
      <c r="BJ1525" s="84"/>
      <c r="BK1525" s="84"/>
      <c r="BL1525" s="84"/>
      <c r="BM1525" s="84"/>
      <c r="BN1525" s="84"/>
      <c r="BO1525" s="84"/>
      <c r="BP1525" s="84"/>
      <c r="BQ1525" s="84"/>
      <c r="BR1525" s="84"/>
      <c r="BS1525" s="84"/>
      <c r="BT1525" s="84"/>
      <c r="BU1525" s="84"/>
      <c r="BV1525" s="84"/>
      <c r="BW1525" s="84"/>
      <c r="BX1525" s="84"/>
      <c r="BY1525" s="84"/>
      <c r="BZ1525" s="84"/>
      <c r="CA1525" s="84"/>
      <c r="CB1525" s="84"/>
      <c r="CC1525" s="84"/>
      <c r="CD1525" s="84"/>
      <c r="CE1525" s="84"/>
      <c r="CF1525" s="84"/>
      <c r="CG1525" s="84"/>
      <c r="CH1525" s="84"/>
      <c r="CI1525" s="84"/>
      <c r="CJ1525" s="84"/>
      <c r="CK1525" s="84"/>
      <c r="CL1525" s="84"/>
      <c r="CM1525" s="84"/>
      <c r="CN1525" s="84"/>
      <c r="CO1525" s="84"/>
      <c r="CP1525" s="84"/>
      <c r="CQ1525" s="101"/>
      <c r="CR1525" s="101"/>
      <c r="CS1525" s="101"/>
      <c r="CT1525" s="101"/>
      <c r="CU1525" s="101"/>
      <c r="CV1525" s="101"/>
      <c r="CW1525" s="101"/>
      <c r="CX1525" s="101"/>
      <c r="CY1525" s="101"/>
      <c r="CZ1525" s="101"/>
      <c r="DA1525" s="101"/>
      <c r="DB1525" s="101"/>
      <c r="DC1525" s="101"/>
      <c r="DD1525" s="101"/>
      <c r="DE1525" s="101"/>
      <c r="DF1525" s="101"/>
      <c r="DG1525" s="101"/>
      <c r="DH1525" s="101"/>
      <c r="DI1525" s="101"/>
      <c r="DJ1525" s="101"/>
      <c r="DK1525" s="101"/>
      <c r="DL1525" s="101"/>
      <c r="DM1525" s="101"/>
      <c r="DN1525" s="101"/>
      <c r="DO1525" s="101"/>
      <c r="DP1525" s="101"/>
      <c r="DQ1525" s="101"/>
    </row>
    <row r="1526" spans="1:121" s="40" customFormat="1" ht="13" x14ac:dyDescent="0.3">
      <c r="A1526" s="101"/>
      <c r="H1526" s="101"/>
      <c r="U1526" s="13"/>
      <c r="V1526" s="13"/>
      <c r="W1526" s="13"/>
      <c r="X1526" s="13"/>
      <c r="Y1526" s="13"/>
      <c r="Z1526" s="13"/>
      <c r="AA1526" s="13"/>
      <c r="AB1526" s="13"/>
      <c r="AC1526" s="13"/>
      <c r="AD1526" s="13"/>
      <c r="AE1526" s="13"/>
      <c r="AF1526" s="84"/>
      <c r="AG1526" s="84"/>
      <c r="AH1526" s="84"/>
      <c r="AI1526" s="84"/>
      <c r="AJ1526" s="84"/>
      <c r="AK1526" s="84"/>
      <c r="AL1526" s="84"/>
      <c r="AM1526" s="84"/>
      <c r="AN1526" s="84"/>
      <c r="AO1526" s="84"/>
      <c r="AP1526" s="84"/>
      <c r="AQ1526" s="84"/>
      <c r="AR1526" s="84"/>
      <c r="AS1526" s="84"/>
      <c r="AT1526" s="84"/>
      <c r="AU1526" s="84"/>
      <c r="AV1526" s="84"/>
      <c r="AW1526" s="84"/>
      <c r="AX1526" s="84"/>
      <c r="AY1526" s="84"/>
      <c r="AZ1526" s="84"/>
      <c r="BA1526" s="84"/>
      <c r="BB1526" s="84"/>
      <c r="BC1526" s="84"/>
      <c r="BD1526" s="84"/>
      <c r="BE1526" s="84"/>
      <c r="BF1526" s="84"/>
      <c r="BG1526" s="84"/>
      <c r="BH1526" s="84"/>
      <c r="BI1526" s="84"/>
      <c r="BJ1526" s="84"/>
      <c r="BK1526" s="84"/>
      <c r="BL1526" s="84"/>
      <c r="BM1526" s="84"/>
      <c r="BN1526" s="84"/>
      <c r="BO1526" s="84"/>
      <c r="BP1526" s="84"/>
      <c r="BQ1526" s="84"/>
      <c r="BR1526" s="84"/>
      <c r="BS1526" s="84"/>
      <c r="BT1526" s="84"/>
      <c r="BU1526" s="84"/>
      <c r="BV1526" s="84"/>
      <c r="BW1526" s="84"/>
      <c r="BX1526" s="84"/>
      <c r="BY1526" s="84"/>
      <c r="BZ1526" s="84"/>
      <c r="CA1526" s="84"/>
      <c r="CB1526" s="84"/>
      <c r="CC1526" s="84"/>
      <c r="CD1526" s="84"/>
      <c r="CE1526" s="84"/>
      <c r="CF1526" s="84"/>
      <c r="CG1526" s="84"/>
      <c r="CH1526" s="84"/>
      <c r="CI1526" s="84"/>
      <c r="CJ1526" s="84"/>
      <c r="CK1526" s="84"/>
      <c r="CL1526" s="84"/>
      <c r="CM1526" s="84"/>
      <c r="CN1526" s="84"/>
      <c r="CO1526" s="84"/>
      <c r="CP1526" s="84"/>
      <c r="CQ1526" s="101"/>
      <c r="CR1526" s="101"/>
      <c r="CS1526" s="101"/>
      <c r="CT1526" s="101"/>
      <c r="CU1526" s="101"/>
      <c r="CV1526" s="101"/>
      <c r="CW1526" s="101"/>
      <c r="CX1526" s="101"/>
      <c r="CY1526" s="101"/>
      <c r="CZ1526" s="101"/>
      <c r="DA1526" s="101"/>
      <c r="DB1526" s="101"/>
      <c r="DC1526" s="101"/>
      <c r="DD1526" s="101"/>
      <c r="DE1526" s="101"/>
      <c r="DF1526" s="101"/>
      <c r="DG1526" s="101"/>
      <c r="DH1526" s="101"/>
      <c r="DI1526" s="101"/>
      <c r="DJ1526" s="101"/>
      <c r="DK1526" s="101"/>
      <c r="DL1526" s="101"/>
      <c r="DM1526" s="101"/>
      <c r="DN1526" s="101"/>
      <c r="DO1526" s="101"/>
      <c r="DP1526" s="101"/>
      <c r="DQ1526" s="101"/>
    </row>
    <row r="1527" spans="1:121" s="40" customFormat="1" ht="13" x14ac:dyDescent="0.3">
      <c r="A1527" s="101"/>
      <c r="H1527" s="101"/>
      <c r="U1527" s="13"/>
      <c r="V1527" s="13"/>
      <c r="W1527" s="13"/>
      <c r="X1527" s="13"/>
      <c r="Y1527" s="13"/>
      <c r="Z1527" s="13"/>
      <c r="AA1527" s="13"/>
      <c r="AB1527" s="13"/>
      <c r="AC1527" s="13"/>
      <c r="AD1527" s="13"/>
      <c r="AE1527" s="13"/>
      <c r="AF1527" s="84"/>
      <c r="AG1527" s="84"/>
      <c r="AH1527" s="84"/>
      <c r="AI1527" s="84"/>
      <c r="AJ1527" s="84"/>
      <c r="AK1527" s="84"/>
      <c r="AL1527" s="84"/>
      <c r="AM1527" s="84"/>
      <c r="AN1527" s="84"/>
      <c r="AO1527" s="84"/>
      <c r="AP1527" s="84"/>
      <c r="AQ1527" s="84"/>
      <c r="AR1527" s="84"/>
      <c r="AS1527" s="84"/>
      <c r="AT1527" s="84"/>
      <c r="AU1527" s="84"/>
      <c r="AV1527" s="84"/>
      <c r="AW1527" s="84"/>
      <c r="AX1527" s="84"/>
      <c r="AY1527" s="84"/>
      <c r="AZ1527" s="84"/>
      <c r="BA1527" s="84"/>
      <c r="BB1527" s="84"/>
      <c r="BC1527" s="84"/>
      <c r="BD1527" s="84"/>
      <c r="BE1527" s="84"/>
      <c r="BF1527" s="84"/>
      <c r="BG1527" s="84"/>
      <c r="BH1527" s="84"/>
      <c r="BI1527" s="84"/>
      <c r="BJ1527" s="84"/>
      <c r="BK1527" s="84"/>
      <c r="BL1527" s="84"/>
      <c r="BM1527" s="84"/>
      <c r="BN1527" s="84"/>
      <c r="BO1527" s="84"/>
      <c r="BP1527" s="84"/>
      <c r="BQ1527" s="84"/>
      <c r="BR1527" s="84"/>
      <c r="BS1527" s="84"/>
      <c r="BT1527" s="84"/>
      <c r="BU1527" s="84"/>
      <c r="BV1527" s="84"/>
      <c r="BW1527" s="84"/>
      <c r="BX1527" s="84"/>
      <c r="BY1527" s="84"/>
      <c r="BZ1527" s="84"/>
      <c r="CA1527" s="84"/>
      <c r="CB1527" s="84"/>
      <c r="CC1527" s="84"/>
      <c r="CD1527" s="84"/>
      <c r="CE1527" s="84"/>
      <c r="CF1527" s="84"/>
      <c r="CG1527" s="84"/>
      <c r="CH1527" s="84"/>
      <c r="CI1527" s="84"/>
      <c r="CJ1527" s="84"/>
      <c r="CK1527" s="84"/>
      <c r="CL1527" s="84"/>
      <c r="CM1527" s="84"/>
      <c r="CN1527" s="84"/>
      <c r="CO1527" s="84"/>
      <c r="CP1527" s="84"/>
      <c r="CQ1527" s="101"/>
      <c r="CR1527" s="101"/>
      <c r="CS1527" s="101"/>
      <c r="CT1527" s="101"/>
      <c r="CU1527" s="101"/>
      <c r="CV1527" s="101"/>
      <c r="CW1527" s="101"/>
      <c r="CX1527" s="101"/>
      <c r="CY1527" s="101"/>
      <c r="CZ1527" s="101"/>
      <c r="DA1527" s="101"/>
      <c r="DB1527" s="101"/>
      <c r="DC1527" s="101"/>
      <c r="DD1527" s="101"/>
      <c r="DE1527" s="101"/>
      <c r="DF1527" s="101"/>
      <c r="DG1527" s="101"/>
      <c r="DH1527" s="101"/>
      <c r="DI1527" s="101"/>
      <c r="DJ1527" s="101"/>
      <c r="DK1527" s="101"/>
      <c r="DL1527" s="101"/>
      <c r="DM1527" s="101"/>
      <c r="DN1527" s="101"/>
      <c r="DO1527" s="101"/>
      <c r="DP1527" s="101"/>
      <c r="DQ1527" s="101"/>
    </row>
    <row r="1528" spans="1:121" s="40" customFormat="1" ht="13" x14ac:dyDescent="0.3">
      <c r="A1528" s="101"/>
      <c r="H1528" s="101"/>
      <c r="U1528" s="13"/>
      <c r="V1528" s="13"/>
      <c r="W1528" s="13"/>
      <c r="X1528" s="13"/>
      <c r="Y1528" s="13"/>
      <c r="Z1528" s="13"/>
      <c r="AA1528" s="13"/>
      <c r="AB1528" s="13"/>
      <c r="AC1528" s="13"/>
      <c r="AD1528" s="13"/>
      <c r="AE1528" s="13"/>
      <c r="AF1528" s="84"/>
      <c r="AG1528" s="84"/>
      <c r="AH1528" s="84"/>
      <c r="AI1528" s="84"/>
      <c r="AJ1528" s="84"/>
      <c r="AK1528" s="84"/>
      <c r="AL1528" s="84"/>
      <c r="AM1528" s="84"/>
      <c r="AN1528" s="84"/>
      <c r="AO1528" s="84"/>
      <c r="AP1528" s="84"/>
      <c r="AQ1528" s="84"/>
      <c r="AR1528" s="84"/>
      <c r="AS1528" s="84"/>
      <c r="AT1528" s="84"/>
      <c r="AU1528" s="84"/>
      <c r="AV1528" s="84"/>
      <c r="AW1528" s="84"/>
      <c r="AX1528" s="84"/>
      <c r="AY1528" s="84"/>
      <c r="AZ1528" s="84"/>
      <c r="BA1528" s="84"/>
      <c r="BB1528" s="84"/>
      <c r="BC1528" s="84"/>
      <c r="BD1528" s="84"/>
      <c r="BE1528" s="84"/>
      <c r="BF1528" s="84"/>
      <c r="BG1528" s="84"/>
      <c r="BH1528" s="84"/>
      <c r="BI1528" s="84"/>
      <c r="BJ1528" s="84"/>
      <c r="BK1528" s="84"/>
      <c r="BL1528" s="84"/>
      <c r="BM1528" s="84"/>
      <c r="BN1528" s="84"/>
      <c r="BO1528" s="84"/>
      <c r="BP1528" s="84"/>
      <c r="BQ1528" s="84"/>
      <c r="BR1528" s="84"/>
      <c r="BS1528" s="84"/>
      <c r="BT1528" s="84"/>
      <c r="BU1528" s="84"/>
      <c r="BV1528" s="84"/>
      <c r="BW1528" s="84"/>
      <c r="BX1528" s="84"/>
      <c r="BY1528" s="84"/>
      <c r="BZ1528" s="84"/>
      <c r="CA1528" s="84"/>
      <c r="CB1528" s="84"/>
      <c r="CC1528" s="84"/>
      <c r="CD1528" s="84"/>
      <c r="CE1528" s="84"/>
      <c r="CF1528" s="84"/>
      <c r="CG1528" s="84"/>
      <c r="CH1528" s="84"/>
      <c r="CI1528" s="84"/>
      <c r="CJ1528" s="84"/>
      <c r="CK1528" s="84"/>
      <c r="CL1528" s="84"/>
      <c r="CM1528" s="84"/>
      <c r="CN1528" s="84"/>
      <c r="CO1528" s="84"/>
      <c r="CP1528" s="84"/>
      <c r="CQ1528" s="101"/>
      <c r="CR1528" s="101"/>
      <c r="CS1528" s="101"/>
      <c r="CT1528" s="101"/>
      <c r="CU1528" s="101"/>
      <c r="CV1528" s="101"/>
      <c r="CW1528" s="101"/>
      <c r="CX1528" s="101"/>
      <c r="CY1528" s="101"/>
      <c r="CZ1528" s="101"/>
      <c r="DA1528" s="101"/>
      <c r="DB1528" s="101"/>
      <c r="DC1528" s="101"/>
      <c r="DD1528" s="101"/>
      <c r="DE1528" s="101"/>
      <c r="DF1528" s="101"/>
      <c r="DG1528" s="101"/>
      <c r="DH1528" s="101"/>
      <c r="DI1528" s="101"/>
      <c r="DJ1528" s="101"/>
      <c r="DK1528" s="101"/>
      <c r="DL1528" s="101"/>
      <c r="DM1528" s="101"/>
      <c r="DN1528" s="101"/>
      <c r="DO1528" s="101"/>
      <c r="DP1528" s="101"/>
      <c r="DQ1528" s="101"/>
    </row>
    <row r="1529" spans="1:121" s="40" customFormat="1" ht="13" x14ac:dyDescent="0.3">
      <c r="A1529" s="101"/>
      <c r="H1529" s="101"/>
      <c r="U1529" s="13"/>
      <c r="V1529" s="13"/>
      <c r="W1529" s="13"/>
      <c r="X1529" s="13"/>
      <c r="Y1529" s="13"/>
      <c r="Z1529" s="13"/>
      <c r="AA1529" s="13"/>
      <c r="AB1529" s="13"/>
      <c r="AC1529" s="13"/>
      <c r="AD1529" s="13"/>
      <c r="AE1529" s="13"/>
      <c r="AF1529" s="84"/>
      <c r="AG1529" s="84"/>
      <c r="AH1529" s="84"/>
      <c r="AI1529" s="84"/>
      <c r="AJ1529" s="84"/>
      <c r="AK1529" s="84"/>
      <c r="AL1529" s="84"/>
      <c r="AM1529" s="84"/>
      <c r="AN1529" s="84"/>
      <c r="AO1529" s="84"/>
      <c r="AP1529" s="84"/>
      <c r="AQ1529" s="84"/>
      <c r="AR1529" s="84"/>
      <c r="AS1529" s="84"/>
      <c r="AT1529" s="84"/>
      <c r="AU1529" s="84"/>
      <c r="AV1529" s="84"/>
      <c r="AW1529" s="84"/>
      <c r="AX1529" s="84"/>
      <c r="AY1529" s="84"/>
      <c r="AZ1529" s="84"/>
      <c r="BA1529" s="84"/>
      <c r="BB1529" s="84"/>
      <c r="BC1529" s="84"/>
      <c r="BD1529" s="84"/>
      <c r="BE1529" s="84"/>
      <c r="BF1529" s="84"/>
      <c r="BG1529" s="84"/>
      <c r="BH1529" s="84"/>
      <c r="BI1529" s="84"/>
      <c r="BJ1529" s="84"/>
      <c r="BK1529" s="84"/>
      <c r="BL1529" s="84"/>
      <c r="BM1529" s="84"/>
      <c r="BN1529" s="84"/>
      <c r="BO1529" s="84"/>
      <c r="BP1529" s="84"/>
      <c r="BQ1529" s="84"/>
      <c r="BR1529" s="84"/>
      <c r="BS1529" s="84"/>
      <c r="BT1529" s="84"/>
      <c r="BU1529" s="84"/>
      <c r="BV1529" s="84"/>
      <c r="BW1529" s="84"/>
      <c r="BX1529" s="84"/>
      <c r="BY1529" s="84"/>
      <c r="BZ1529" s="84"/>
      <c r="CA1529" s="84"/>
      <c r="CB1529" s="84"/>
      <c r="CC1529" s="84"/>
      <c r="CD1529" s="84"/>
      <c r="CE1529" s="84"/>
      <c r="CF1529" s="84"/>
      <c r="CG1529" s="84"/>
      <c r="CH1529" s="84"/>
      <c r="CI1529" s="84"/>
      <c r="CJ1529" s="84"/>
      <c r="CK1529" s="84"/>
      <c r="CL1529" s="84"/>
      <c r="CM1529" s="84"/>
      <c r="CN1529" s="84"/>
      <c r="CO1529" s="84"/>
      <c r="CP1529" s="84"/>
      <c r="CQ1529" s="101"/>
      <c r="CR1529" s="101"/>
      <c r="CS1529" s="101"/>
      <c r="CT1529" s="101"/>
      <c r="CU1529" s="101"/>
      <c r="CV1529" s="101"/>
      <c r="CW1529" s="101"/>
      <c r="CX1529" s="101"/>
      <c r="CY1529" s="101"/>
      <c r="CZ1529" s="101"/>
      <c r="DA1529" s="101"/>
      <c r="DB1529" s="101"/>
      <c r="DC1529" s="101"/>
      <c r="DD1529" s="101"/>
      <c r="DE1529" s="101"/>
      <c r="DF1529" s="101"/>
      <c r="DG1529" s="101"/>
      <c r="DH1529" s="101"/>
      <c r="DI1529" s="101"/>
      <c r="DJ1529" s="101"/>
      <c r="DK1529" s="101"/>
      <c r="DL1529" s="101"/>
      <c r="DM1529" s="101"/>
      <c r="DN1529" s="101"/>
      <c r="DO1529" s="101"/>
      <c r="DP1529" s="101"/>
      <c r="DQ1529" s="101"/>
    </row>
    <row r="1530" spans="1:121" s="40" customFormat="1" ht="13" x14ac:dyDescent="0.3">
      <c r="A1530" s="101"/>
      <c r="H1530" s="101"/>
      <c r="U1530" s="13"/>
      <c r="V1530" s="13"/>
      <c r="W1530" s="13"/>
      <c r="X1530" s="13"/>
      <c r="Y1530" s="13"/>
      <c r="Z1530" s="13"/>
      <c r="AA1530" s="13"/>
      <c r="AB1530" s="13"/>
      <c r="AC1530" s="13"/>
      <c r="AD1530" s="13"/>
      <c r="AE1530" s="13"/>
      <c r="AF1530" s="84"/>
      <c r="AG1530" s="84"/>
      <c r="AH1530" s="84"/>
      <c r="AI1530" s="84"/>
      <c r="AJ1530" s="84"/>
      <c r="AK1530" s="84"/>
      <c r="AL1530" s="84"/>
      <c r="AM1530" s="84"/>
      <c r="AN1530" s="84"/>
      <c r="AO1530" s="84"/>
      <c r="AP1530" s="84"/>
      <c r="AQ1530" s="84"/>
      <c r="AR1530" s="84"/>
      <c r="AS1530" s="84"/>
      <c r="AT1530" s="84"/>
      <c r="AU1530" s="84"/>
      <c r="AV1530" s="84"/>
      <c r="AW1530" s="84"/>
      <c r="AX1530" s="84"/>
      <c r="AY1530" s="84"/>
      <c r="AZ1530" s="84"/>
      <c r="BA1530" s="84"/>
      <c r="BB1530" s="84"/>
      <c r="BC1530" s="84"/>
      <c r="BD1530" s="84"/>
      <c r="BE1530" s="84"/>
      <c r="BF1530" s="84"/>
      <c r="BG1530" s="84"/>
      <c r="BH1530" s="84"/>
      <c r="BI1530" s="84"/>
      <c r="BJ1530" s="84"/>
      <c r="BK1530" s="84"/>
      <c r="BL1530" s="84"/>
      <c r="BM1530" s="84"/>
      <c r="BN1530" s="84"/>
      <c r="BO1530" s="84"/>
      <c r="BP1530" s="84"/>
      <c r="BQ1530" s="84"/>
      <c r="BR1530" s="84"/>
      <c r="BS1530" s="84"/>
      <c r="BT1530" s="84"/>
      <c r="BU1530" s="84"/>
      <c r="BV1530" s="84"/>
      <c r="BW1530" s="84"/>
      <c r="BX1530" s="84"/>
      <c r="BY1530" s="84"/>
      <c r="BZ1530" s="84"/>
      <c r="CA1530" s="84"/>
      <c r="CB1530" s="84"/>
      <c r="CC1530" s="84"/>
      <c r="CD1530" s="84"/>
      <c r="CE1530" s="84"/>
      <c r="CF1530" s="84"/>
      <c r="CG1530" s="84"/>
      <c r="CH1530" s="84"/>
      <c r="CI1530" s="84"/>
      <c r="CJ1530" s="84"/>
      <c r="CK1530" s="84"/>
      <c r="CL1530" s="84"/>
      <c r="CM1530" s="84"/>
      <c r="CN1530" s="84"/>
      <c r="CO1530" s="84"/>
      <c r="CP1530" s="84"/>
      <c r="CQ1530" s="101"/>
      <c r="CR1530" s="101"/>
      <c r="CS1530" s="101"/>
      <c r="CT1530" s="101"/>
      <c r="CU1530" s="101"/>
      <c r="CV1530" s="101"/>
      <c r="CW1530" s="101"/>
      <c r="CX1530" s="101"/>
      <c r="CY1530" s="101"/>
      <c r="CZ1530" s="101"/>
      <c r="DA1530" s="101"/>
      <c r="DB1530" s="101"/>
      <c r="DC1530" s="101"/>
      <c r="DD1530" s="101"/>
      <c r="DE1530" s="101"/>
      <c r="DF1530" s="101"/>
      <c r="DG1530" s="101"/>
      <c r="DH1530" s="101"/>
      <c r="DI1530" s="101"/>
      <c r="DJ1530" s="101"/>
      <c r="DK1530" s="101"/>
      <c r="DL1530" s="101"/>
      <c r="DM1530" s="101"/>
      <c r="DN1530" s="101"/>
      <c r="DO1530" s="101"/>
      <c r="DP1530" s="101"/>
      <c r="DQ1530" s="101"/>
    </row>
    <row r="1531" spans="1:121" s="40" customFormat="1" ht="13" x14ac:dyDescent="0.3">
      <c r="A1531" s="101"/>
      <c r="H1531" s="101"/>
      <c r="U1531" s="13"/>
      <c r="V1531" s="13"/>
      <c r="W1531" s="13"/>
      <c r="X1531" s="13"/>
      <c r="Y1531" s="13"/>
      <c r="Z1531" s="13"/>
      <c r="AA1531" s="13"/>
      <c r="AB1531" s="13"/>
      <c r="AC1531" s="13"/>
      <c r="AD1531" s="13"/>
      <c r="AE1531" s="13"/>
      <c r="AF1531" s="84"/>
      <c r="AG1531" s="84"/>
      <c r="AH1531" s="84"/>
      <c r="AI1531" s="84"/>
      <c r="AJ1531" s="84"/>
      <c r="AK1531" s="84"/>
      <c r="AL1531" s="84"/>
      <c r="AM1531" s="84"/>
      <c r="AN1531" s="84"/>
      <c r="AO1531" s="84"/>
      <c r="AP1531" s="84"/>
      <c r="AQ1531" s="84"/>
      <c r="AR1531" s="84"/>
      <c r="AS1531" s="84"/>
      <c r="AT1531" s="84"/>
      <c r="AU1531" s="84"/>
      <c r="AV1531" s="84"/>
      <c r="AW1531" s="84"/>
      <c r="AX1531" s="84"/>
      <c r="AY1531" s="84"/>
      <c r="AZ1531" s="84"/>
      <c r="BA1531" s="84"/>
      <c r="BB1531" s="84"/>
      <c r="BC1531" s="84"/>
      <c r="BD1531" s="84"/>
      <c r="BE1531" s="84"/>
      <c r="BF1531" s="84"/>
      <c r="BG1531" s="84"/>
      <c r="BH1531" s="84"/>
      <c r="BI1531" s="84"/>
      <c r="BJ1531" s="84"/>
      <c r="BK1531" s="84"/>
      <c r="BL1531" s="84"/>
      <c r="BM1531" s="84"/>
      <c r="BN1531" s="84"/>
      <c r="BO1531" s="84"/>
      <c r="BP1531" s="84"/>
      <c r="BQ1531" s="84"/>
      <c r="BR1531" s="84"/>
      <c r="BS1531" s="84"/>
      <c r="BT1531" s="84"/>
      <c r="BU1531" s="84"/>
      <c r="BV1531" s="84"/>
      <c r="BW1531" s="84"/>
      <c r="BX1531" s="84"/>
      <c r="BY1531" s="84"/>
      <c r="BZ1531" s="84"/>
      <c r="CA1531" s="84"/>
      <c r="CB1531" s="84"/>
      <c r="CC1531" s="84"/>
      <c r="CD1531" s="84"/>
      <c r="CE1531" s="84"/>
      <c r="CF1531" s="84"/>
      <c r="CG1531" s="84"/>
      <c r="CH1531" s="84"/>
      <c r="CI1531" s="84"/>
      <c r="CJ1531" s="84"/>
      <c r="CK1531" s="84"/>
      <c r="CL1531" s="84"/>
      <c r="CM1531" s="84"/>
      <c r="CN1531" s="84"/>
      <c r="CO1531" s="84"/>
      <c r="CP1531" s="84"/>
      <c r="CQ1531" s="101"/>
      <c r="CR1531" s="101"/>
      <c r="CS1531" s="101"/>
      <c r="CT1531" s="101"/>
      <c r="CU1531" s="101"/>
      <c r="CV1531" s="101"/>
      <c r="CW1531" s="101"/>
      <c r="CX1531" s="101"/>
      <c r="CY1531" s="101"/>
      <c r="CZ1531" s="101"/>
      <c r="DA1531" s="101"/>
      <c r="DB1531" s="101"/>
      <c r="DC1531" s="101"/>
      <c r="DD1531" s="101"/>
      <c r="DE1531" s="101"/>
      <c r="DF1531" s="101"/>
      <c r="DG1531" s="101"/>
      <c r="DH1531" s="101"/>
      <c r="DI1531" s="101"/>
      <c r="DJ1531" s="101"/>
      <c r="DK1531" s="101"/>
      <c r="DL1531" s="101"/>
      <c r="DM1531" s="101"/>
      <c r="DN1531" s="101"/>
      <c r="DO1531" s="101"/>
      <c r="DP1531" s="101"/>
      <c r="DQ1531" s="101"/>
    </row>
    <row r="1532" spans="1:121" s="40" customFormat="1" ht="13" x14ac:dyDescent="0.3">
      <c r="A1532" s="101"/>
      <c r="H1532" s="101"/>
      <c r="U1532" s="13"/>
      <c r="V1532" s="13"/>
      <c r="W1532" s="13"/>
      <c r="X1532" s="13"/>
      <c r="Y1532" s="13"/>
      <c r="Z1532" s="13"/>
      <c r="AA1532" s="13"/>
      <c r="AB1532" s="13"/>
      <c r="AC1532" s="13"/>
      <c r="AD1532" s="13"/>
      <c r="AE1532" s="13"/>
      <c r="AF1532" s="84"/>
      <c r="AG1532" s="84"/>
      <c r="AH1532" s="84"/>
      <c r="AI1532" s="84"/>
      <c r="AJ1532" s="84"/>
      <c r="AK1532" s="84"/>
      <c r="AL1532" s="84"/>
      <c r="AM1532" s="84"/>
      <c r="AN1532" s="84"/>
      <c r="AO1532" s="84"/>
      <c r="AP1532" s="84"/>
      <c r="AQ1532" s="84"/>
      <c r="AR1532" s="84"/>
      <c r="AS1532" s="84"/>
      <c r="AT1532" s="84"/>
      <c r="AU1532" s="84"/>
      <c r="AV1532" s="84"/>
      <c r="AW1532" s="84"/>
      <c r="AX1532" s="84"/>
      <c r="AY1532" s="84"/>
      <c r="AZ1532" s="84"/>
      <c r="BA1532" s="84"/>
      <c r="BB1532" s="84"/>
      <c r="BC1532" s="84"/>
      <c r="BD1532" s="84"/>
      <c r="BE1532" s="84"/>
      <c r="BF1532" s="84"/>
      <c r="BG1532" s="84"/>
      <c r="BH1532" s="84"/>
      <c r="BI1532" s="84"/>
      <c r="BJ1532" s="84"/>
      <c r="BK1532" s="84"/>
      <c r="BL1532" s="84"/>
      <c r="BM1532" s="84"/>
      <c r="BN1532" s="84"/>
      <c r="BO1532" s="84"/>
      <c r="BP1532" s="84"/>
      <c r="BQ1532" s="84"/>
      <c r="BR1532" s="84"/>
      <c r="BS1532" s="84"/>
      <c r="BT1532" s="84"/>
      <c r="BU1532" s="84"/>
      <c r="BV1532" s="84"/>
      <c r="BW1532" s="84"/>
      <c r="BX1532" s="84"/>
      <c r="BY1532" s="84"/>
      <c r="BZ1532" s="84"/>
      <c r="CA1532" s="84"/>
      <c r="CB1532" s="84"/>
      <c r="CC1532" s="84"/>
      <c r="CD1532" s="84"/>
      <c r="CE1532" s="84"/>
      <c r="CF1532" s="84"/>
      <c r="CG1532" s="84"/>
      <c r="CH1532" s="84"/>
      <c r="CI1532" s="84"/>
      <c r="CJ1532" s="84"/>
      <c r="CK1532" s="84"/>
      <c r="CL1532" s="84"/>
      <c r="CM1532" s="84"/>
      <c r="CN1532" s="84"/>
      <c r="CO1532" s="84"/>
      <c r="CP1532" s="84"/>
      <c r="CQ1532" s="101"/>
      <c r="CR1532" s="101"/>
      <c r="CS1532" s="101"/>
      <c r="CT1532" s="101"/>
      <c r="CU1532" s="101"/>
      <c r="CV1532" s="101"/>
      <c r="CW1532" s="101"/>
      <c r="CX1532" s="101"/>
      <c r="CY1532" s="101"/>
      <c r="CZ1532" s="101"/>
      <c r="DA1532" s="101"/>
      <c r="DB1532" s="101"/>
      <c r="DC1532" s="101"/>
      <c r="DD1532" s="101"/>
      <c r="DE1532" s="101"/>
      <c r="DF1532" s="101"/>
      <c r="DG1532" s="101"/>
      <c r="DH1532" s="101"/>
      <c r="DI1532" s="101"/>
      <c r="DJ1532" s="101"/>
      <c r="DK1532" s="101"/>
      <c r="DL1532" s="101"/>
      <c r="DM1532" s="101"/>
      <c r="DN1532" s="101"/>
      <c r="DO1532" s="101"/>
      <c r="DP1532" s="101"/>
      <c r="DQ1532" s="101"/>
    </row>
    <row r="1533" spans="1:121" s="40" customFormat="1" ht="13" x14ac:dyDescent="0.3">
      <c r="A1533" s="101"/>
      <c r="H1533" s="101"/>
      <c r="U1533" s="13"/>
      <c r="V1533" s="13"/>
      <c r="W1533" s="13"/>
      <c r="X1533" s="13"/>
      <c r="Y1533" s="13"/>
      <c r="Z1533" s="13"/>
      <c r="AA1533" s="13"/>
      <c r="AB1533" s="13"/>
      <c r="AC1533" s="13"/>
      <c r="AD1533" s="13"/>
      <c r="AE1533" s="13"/>
      <c r="AF1533" s="84"/>
      <c r="AG1533" s="84"/>
      <c r="AH1533" s="84"/>
      <c r="AI1533" s="84"/>
      <c r="AJ1533" s="84"/>
      <c r="AK1533" s="84"/>
      <c r="AL1533" s="84"/>
      <c r="AM1533" s="84"/>
      <c r="AN1533" s="84"/>
      <c r="AO1533" s="84"/>
      <c r="AP1533" s="84"/>
      <c r="AQ1533" s="84"/>
      <c r="AR1533" s="84"/>
      <c r="AS1533" s="84"/>
      <c r="AT1533" s="84"/>
      <c r="AU1533" s="84"/>
      <c r="AV1533" s="84"/>
      <c r="AW1533" s="84"/>
      <c r="AX1533" s="84"/>
      <c r="AY1533" s="84"/>
      <c r="AZ1533" s="84"/>
      <c r="BA1533" s="84"/>
      <c r="BB1533" s="84"/>
      <c r="BC1533" s="84"/>
      <c r="BD1533" s="84"/>
      <c r="BE1533" s="84"/>
      <c r="BF1533" s="84"/>
      <c r="BG1533" s="84"/>
      <c r="BH1533" s="84"/>
      <c r="BI1533" s="84"/>
      <c r="BJ1533" s="84"/>
      <c r="BK1533" s="84"/>
      <c r="BL1533" s="84"/>
      <c r="BM1533" s="84"/>
      <c r="BN1533" s="84"/>
      <c r="BO1533" s="84"/>
      <c r="BP1533" s="84"/>
      <c r="BQ1533" s="84"/>
      <c r="BR1533" s="84"/>
      <c r="BS1533" s="84"/>
      <c r="BT1533" s="84"/>
      <c r="BU1533" s="84"/>
      <c r="BV1533" s="84"/>
      <c r="BW1533" s="84"/>
      <c r="BX1533" s="84"/>
      <c r="BY1533" s="84"/>
      <c r="BZ1533" s="84"/>
      <c r="CA1533" s="84"/>
      <c r="CB1533" s="84"/>
      <c r="CC1533" s="84"/>
      <c r="CD1533" s="84"/>
      <c r="CE1533" s="84"/>
      <c r="CF1533" s="84"/>
      <c r="CG1533" s="84"/>
      <c r="CH1533" s="84"/>
      <c r="CI1533" s="84"/>
      <c r="CJ1533" s="84"/>
      <c r="CK1533" s="84"/>
      <c r="CL1533" s="84"/>
      <c r="CM1533" s="84"/>
      <c r="CN1533" s="84"/>
      <c r="CO1533" s="84"/>
      <c r="CP1533" s="84"/>
      <c r="CQ1533" s="101"/>
      <c r="CR1533" s="101"/>
      <c r="CS1533" s="101"/>
      <c r="CT1533" s="101"/>
      <c r="CU1533" s="101"/>
      <c r="CV1533" s="101"/>
      <c r="CW1533" s="101"/>
      <c r="CX1533" s="101"/>
      <c r="CY1533" s="101"/>
      <c r="CZ1533" s="101"/>
      <c r="DA1533" s="101"/>
      <c r="DB1533" s="101"/>
      <c r="DC1533" s="101"/>
      <c r="DD1533" s="101"/>
      <c r="DE1533" s="101"/>
      <c r="DF1533" s="101"/>
      <c r="DG1533" s="101"/>
      <c r="DH1533" s="101"/>
      <c r="DI1533" s="101"/>
      <c r="DJ1533" s="101"/>
      <c r="DK1533" s="101"/>
      <c r="DL1533" s="101"/>
      <c r="DM1533" s="101"/>
      <c r="DN1533" s="101"/>
      <c r="DO1533" s="101"/>
      <c r="DP1533" s="101"/>
      <c r="DQ1533" s="101"/>
    </row>
    <row r="1534" spans="1:121" s="40" customFormat="1" ht="13" x14ac:dyDescent="0.3">
      <c r="A1534" s="101"/>
      <c r="H1534" s="101"/>
      <c r="U1534" s="13"/>
      <c r="V1534" s="13"/>
      <c r="W1534" s="13"/>
      <c r="X1534" s="13"/>
      <c r="Y1534" s="13"/>
      <c r="Z1534" s="13"/>
      <c r="AA1534" s="13"/>
      <c r="AB1534" s="13"/>
      <c r="AC1534" s="13"/>
      <c r="AD1534" s="13"/>
      <c r="AE1534" s="13"/>
      <c r="AF1534" s="84"/>
      <c r="AG1534" s="84"/>
      <c r="AH1534" s="84"/>
      <c r="AI1534" s="84"/>
      <c r="AJ1534" s="84"/>
      <c r="AK1534" s="84"/>
      <c r="AL1534" s="84"/>
      <c r="AM1534" s="84"/>
      <c r="AN1534" s="84"/>
      <c r="AO1534" s="84"/>
      <c r="AP1534" s="84"/>
      <c r="AQ1534" s="84"/>
      <c r="AR1534" s="84"/>
      <c r="AS1534" s="84"/>
      <c r="AT1534" s="84"/>
      <c r="AU1534" s="84"/>
      <c r="AV1534" s="84"/>
      <c r="AW1534" s="84"/>
      <c r="AX1534" s="84"/>
      <c r="AY1534" s="84"/>
      <c r="AZ1534" s="84"/>
      <c r="BA1534" s="84"/>
      <c r="BB1534" s="84"/>
      <c r="BC1534" s="84"/>
      <c r="BD1534" s="84"/>
      <c r="BE1534" s="84"/>
      <c r="BF1534" s="84"/>
      <c r="BG1534" s="84"/>
      <c r="BH1534" s="84"/>
      <c r="BI1534" s="84"/>
      <c r="BJ1534" s="84"/>
      <c r="BK1534" s="84"/>
      <c r="BL1534" s="84"/>
      <c r="BM1534" s="84"/>
      <c r="BN1534" s="84"/>
      <c r="BO1534" s="84"/>
      <c r="BP1534" s="84"/>
      <c r="BQ1534" s="84"/>
      <c r="BR1534" s="84"/>
      <c r="BS1534" s="84"/>
      <c r="BT1534" s="84"/>
      <c r="BU1534" s="84"/>
      <c r="BV1534" s="84"/>
      <c r="BW1534" s="84"/>
      <c r="BX1534" s="84"/>
      <c r="BY1534" s="84"/>
      <c r="BZ1534" s="84"/>
      <c r="CA1534" s="84"/>
      <c r="CB1534" s="84"/>
      <c r="CC1534" s="84"/>
      <c r="CD1534" s="84"/>
      <c r="CE1534" s="84"/>
      <c r="CF1534" s="84"/>
      <c r="CG1534" s="84"/>
      <c r="CH1534" s="84"/>
      <c r="CI1534" s="84"/>
      <c r="CJ1534" s="84"/>
      <c r="CK1534" s="84"/>
      <c r="CL1534" s="84"/>
      <c r="CM1534" s="84"/>
      <c r="CN1534" s="84"/>
      <c r="CO1534" s="84"/>
      <c r="CP1534" s="84"/>
      <c r="CQ1534" s="101"/>
      <c r="CR1534" s="101"/>
      <c r="CS1534" s="101"/>
      <c r="CT1534" s="101"/>
      <c r="CU1534" s="101"/>
      <c r="CV1534" s="101"/>
      <c r="CW1534" s="101"/>
      <c r="CX1534" s="101"/>
      <c r="CY1534" s="101"/>
      <c r="CZ1534" s="101"/>
      <c r="DA1534" s="101"/>
      <c r="DB1534" s="101"/>
      <c r="DC1534" s="101"/>
      <c r="DD1534" s="101"/>
      <c r="DE1534" s="101"/>
      <c r="DF1534" s="101"/>
      <c r="DG1534" s="101"/>
      <c r="DH1534" s="101"/>
      <c r="DI1534" s="101"/>
      <c r="DJ1534" s="101"/>
      <c r="DK1534" s="101"/>
      <c r="DL1534" s="101"/>
      <c r="DM1534" s="101"/>
      <c r="DN1534" s="101"/>
      <c r="DO1534" s="101"/>
      <c r="DP1534" s="101"/>
      <c r="DQ1534" s="101"/>
    </row>
    <row r="1535" spans="1:121" s="40" customFormat="1" ht="13" x14ac:dyDescent="0.3">
      <c r="A1535" s="101"/>
      <c r="H1535" s="101"/>
      <c r="U1535" s="13"/>
      <c r="V1535" s="13"/>
      <c r="W1535" s="13"/>
      <c r="X1535" s="13"/>
      <c r="Y1535" s="13"/>
      <c r="Z1535" s="13"/>
      <c r="AA1535" s="13"/>
      <c r="AB1535" s="13"/>
      <c r="AC1535" s="13"/>
      <c r="AD1535" s="13"/>
      <c r="AE1535" s="13"/>
      <c r="AF1535" s="84"/>
      <c r="AG1535" s="84"/>
      <c r="AH1535" s="84"/>
      <c r="AI1535" s="84"/>
      <c r="AJ1535" s="84"/>
      <c r="AK1535" s="84"/>
      <c r="AL1535" s="84"/>
      <c r="AM1535" s="84"/>
      <c r="AN1535" s="84"/>
      <c r="AO1535" s="84"/>
      <c r="AP1535" s="84"/>
      <c r="AQ1535" s="84"/>
      <c r="AR1535" s="84"/>
      <c r="AS1535" s="84"/>
      <c r="AT1535" s="84"/>
      <c r="AU1535" s="84"/>
      <c r="AV1535" s="84"/>
      <c r="AW1535" s="84"/>
      <c r="AX1535" s="84"/>
      <c r="AY1535" s="84"/>
      <c r="AZ1535" s="84"/>
      <c r="BA1535" s="84"/>
      <c r="BB1535" s="84"/>
      <c r="BC1535" s="84"/>
      <c r="BD1535" s="84"/>
      <c r="BE1535" s="84"/>
      <c r="BF1535" s="84"/>
      <c r="BG1535" s="84"/>
      <c r="BH1535" s="84"/>
      <c r="BI1535" s="84"/>
      <c r="BJ1535" s="84"/>
      <c r="BK1535" s="84"/>
      <c r="BL1535" s="84"/>
      <c r="BM1535" s="84"/>
      <c r="BN1535" s="84"/>
      <c r="BO1535" s="84"/>
      <c r="BP1535" s="84"/>
      <c r="BQ1535" s="84"/>
      <c r="BR1535" s="84"/>
      <c r="BS1535" s="84"/>
      <c r="BT1535" s="84"/>
      <c r="BU1535" s="84"/>
      <c r="BV1535" s="84"/>
      <c r="BW1535" s="84"/>
      <c r="BX1535" s="84"/>
      <c r="BY1535" s="84"/>
      <c r="BZ1535" s="84"/>
      <c r="CA1535" s="84"/>
      <c r="CB1535" s="84"/>
      <c r="CC1535" s="84"/>
      <c r="CD1535" s="84"/>
      <c r="CE1535" s="84"/>
      <c r="CF1535" s="84"/>
      <c r="CG1535" s="84"/>
      <c r="CH1535" s="84"/>
      <c r="CI1535" s="84"/>
      <c r="CJ1535" s="84"/>
      <c r="CK1535" s="84"/>
      <c r="CL1535" s="84"/>
      <c r="CM1535" s="84"/>
      <c r="CN1535" s="84"/>
      <c r="CO1535" s="84"/>
      <c r="CP1535" s="84"/>
      <c r="CQ1535" s="101"/>
      <c r="CR1535" s="101"/>
      <c r="CS1535" s="101"/>
      <c r="CT1535" s="101"/>
      <c r="CU1535" s="101"/>
      <c r="CV1535" s="101"/>
      <c r="CW1535" s="101"/>
      <c r="CX1535" s="101"/>
      <c r="CY1535" s="101"/>
      <c r="CZ1535" s="101"/>
      <c r="DA1535" s="101"/>
      <c r="DB1535" s="101"/>
      <c r="DC1535" s="101"/>
      <c r="DD1535" s="101"/>
      <c r="DE1535" s="101"/>
      <c r="DF1535" s="101"/>
      <c r="DG1535" s="101"/>
      <c r="DH1535" s="101"/>
      <c r="DI1535" s="101"/>
      <c r="DJ1535" s="101"/>
      <c r="DK1535" s="101"/>
      <c r="DL1535" s="101"/>
      <c r="DM1535" s="101"/>
      <c r="DN1535" s="101"/>
      <c r="DO1535" s="101"/>
      <c r="DP1535" s="101"/>
      <c r="DQ1535" s="101"/>
    </row>
    <row r="1536" spans="1:121" s="40" customFormat="1" ht="13" x14ac:dyDescent="0.3">
      <c r="A1536" s="101"/>
      <c r="H1536" s="101"/>
      <c r="U1536" s="13"/>
      <c r="V1536" s="13"/>
      <c r="W1536" s="13"/>
      <c r="X1536" s="13"/>
      <c r="Y1536" s="13"/>
      <c r="Z1536" s="13"/>
      <c r="AA1536" s="13"/>
      <c r="AB1536" s="13"/>
      <c r="AC1536" s="13"/>
      <c r="AD1536" s="13"/>
      <c r="AE1536" s="13"/>
      <c r="AF1536" s="84"/>
      <c r="AG1536" s="84"/>
      <c r="AH1536" s="84"/>
      <c r="AI1536" s="84"/>
      <c r="AJ1536" s="84"/>
      <c r="AK1536" s="84"/>
      <c r="AL1536" s="84"/>
      <c r="AM1536" s="84"/>
      <c r="AN1536" s="84"/>
      <c r="AO1536" s="84"/>
      <c r="AP1536" s="84"/>
      <c r="AQ1536" s="84"/>
      <c r="AR1536" s="84"/>
      <c r="AS1536" s="84"/>
      <c r="AT1536" s="84"/>
      <c r="AU1536" s="84"/>
      <c r="AV1536" s="84"/>
      <c r="AW1536" s="84"/>
      <c r="AX1536" s="84"/>
      <c r="AY1536" s="84"/>
      <c r="AZ1536" s="84"/>
      <c r="BA1536" s="84"/>
      <c r="BB1536" s="84"/>
      <c r="BC1536" s="84"/>
      <c r="BD1536" s="84"/>
      <c r="BE1536" s="84"/>
      <c r="BF1536" s="84"/>
      <c r="BG1536" s="84"/>
      <c r="BH1536" s="84"/>
      <c r="BI1536" s="84"/>
      <c r="BJ1536" s="84"/>
      <c r="BK1536" s="84"/>
      <c r="BL1536" s="84"/>
      <c r="BM1536" s="84"/>
      <c r="BN1536" s="84"/>
      <c r="BO1536" s="84"/>
      <c r="BP1536" s="84"/>
      <c r="BQ1536" s="84"/>
      <c r="BR1536" s="84"/>
      <c r="BS1536" s="84"/>
      <c r="BT1536" s="84"/>
      <c r="BU1536" s="84"/>
      <c r="BV1536" s="84"/>
      <c r="BW1536" s="84"/>
      <c r="BX1536" s="84"/>
      <c r="BY1536" s="84"/>
      <c r="BZ1536" s="84"/>
      <c r="CA1536" s="84"/>
      <c r="CB1536" s="84"/>
      <c r="CC1536" s="84"/>
      <c r="CD1536" s="84"/>
      <c r="CE1536" s="84"/>
      <c r="CF1536" s="84"/>
      <c r="CG1536" s="84"/>
      <c r="CH1536" s="84"/>
      <c r="CI1536" s="84"/>
      <c r="CJ1536" s="84"/>
      <c r="CK1536" s="84"/>
      <c r="CL1536" s="84"/>
      <c r="CM1536" s="84"/>
      <c r="CN1536" s="84"/>
      <c r="CO1536" s="84"/>
      <c r="CP1536" s="84"/>
      <c r="CQ1536" s="101"/>
      <c r="CR1536" s="101"/>
      <c r="CS1536" s="101"/>
      <c r="CT1536" s="101"/>
      <c r="CU1536" s="101"/>
      <c r="CV1536" s="101"/>
      <c r="CW1536" s="101"/>
      <c r="CX1536" s="101"/>
      <c r="CY1536" s="101"/>
      <c r="CZ1536" s="101"/>
      <c r="DA1536" s="101"/>
      <c r="DB1536" s="101"/>
      <c r="DC1536" s="101"/>
      <c r="DD1536" s="101"/>
      <c r="DE1536" s="101"/>
      <c r="DF1536" s="101"/>
      <c r="DG1536" s="101"/>
      <c r="DH1536" s="101"/>
      <c r="DI1536" s="101"/>
      <c r="DJ1536" s="101"/>
      <c r="DK1536" s="101"/>
      <c r="DL1536" s="101"/>
      <c r="DM1536" s="101"/>
      <c r="DN1536" s="101"/>
      <c r="DO1536" s="101"/>
      <c r="DP1536" s="101"/>
      <c r="DQ1536" s="101"/>
    </row>
    <row r="1537" spans="1:121" s="40" customFormat="1" ht="13" x14ac:dyDescent="0.3">
      <c r="A1537" s="101"/>
      <c r="H1537" s="101"/>
      <c r="U1537" s="13"/>
      <c r="V1537" s="13"/>
      <c r="W1537" s="13"/>
      <c r="X1537" s="13"/>
      <c r="Y1537" s="13"/>
      <c r="Z1537" s="13"/>
      <c r="AA1537" s="13"/>
      <c r="AB1537" s="13"/>
      <c r="AC1537" s="13"/>
      <c r="AD1537" s="13"/>
      <c r="AE1537" s="13"/>
      <c r="AF1537" s="84"/>
      <c r="AG1537" s="84"/>
      <c r="AH1537" s="84"/>
      <c r="AI1537" s="84"/>
      <c r="AJ1537" s="84"/>
      <c r="AK1537" s="84"/>
      <c r="AL1537" s="84"/>
      <c r="AM1537" s="84"/>
      <c r="AN1537" s="84"/>
      <c r="AO1537" s="84"/>
      <c r="AP1537" s="84"/>
      <c r="AQ1537" s="84"/>
      <c r="AR1537" s="84"/>
      <c r="AS1537" s="84"/>
      <c r="AT1537" s="84"/>
      <c r="AU1537" s="84"/>
      <c r="AV1537" s="84"/>
      <c r="AW1537" s="84"/>
      <c r="AX1537" s="84"/>
      <c r="AY1537" s="84"/>
      <c r="AZ1537" s="84"/>
      <c r="BA1537" s="84"/>
      <c r="BB1537" s="84"/>
      <c r="BC1537" s="84"/>
      <c r="BD1537" s="84"/>
      <c r="BE1537" s="84"/>
      <c r="BF1537" s="84"/>
      <c r="BG1537" s="84"/>
      <c r="BH1537" s="84"/>
      <c r="BI1537" s="84"/>
      <c r="BJ1537" s="84"/>
      <c r="BK1537" s="84"/>
      <c r="BL1537" s="84"/>
      <c r="BM1537" s="84"/>
      <c r="BN1537" s="84"/>
      <c r="BO1537" s="84"/>
      <c r="BP1537" s="84"/>
      <c r="BQ1537" s="84"/>
      <c r="BR1537" s="84"/>
      <c r="BS1537" s="84"/>
      <c r="BT1537" s="84"/>
      <c r="BU1537" s="84"/>
      <c r="BV1537" s="84"/>
      <c r="BW1537" s="84"/>
      <c r="BX1537" s="84"/>
      <c r="BY1537" s="84"/>
      <c r="BZ1537" s="84"/>
      <c r="CA1537" s="84"/>
      <c r="CB1537" s="84"/>
      <c r="CC1537" s="84"/>
      <c r="CD1537" s="84"/>
      <c r="CE1537" s="84"/>
      <c r="CF1537" s="84"/>
      <c r="CG1537" s="84"/>
      <c r="CH1537" s="84"/>
      <c r="CI1537" s="84"/>
      <c r="CJ1537" s="84"/>
      <c r="CK1537" s="84"/>
      <c r="CL1537" s="84"/>
      <c r="CM1537" s="84"/>
      <c r="CN1537" s="84"/>
      <c r="CO1537" s="84"/>
      <c r="CP1537" s="84"/>
      <c r="CQ1537" s="101"/>
      <c r="CR1537" s="101"/>
      <c r="CS1537" s="101"/>
      <c r="CT1537" s="101"/>
      <c r="CU1537" s="101"/>
      <c r="CV1537" s="101"/>
      <c r="CW1537" s="101"/>
      <c r="CX1537" s="101"/>
      <c r="CY1537" s="101"/>
      <c r="CZ1537" s="101"/>
      <c r="DA1537" s="101"/>
      <c r="DB1537" s="101"/>
      <c r="DC1537" s="101"/>
      <c r="DD1537" s="101"/>
      <c r="DE1537" s="101"/>
      <c r="DF1537" s="101"/>
      <c r="DG1537" s="101"/>
      <c r="DH1537" s="101"/>
      <c r="DI1537" s="101"/>
      <c r="DJ1537" s="101"/>
      <c r="DK1537" s="101"/>
      <c r="DL1537" s="101"/>
      <c r="DM1537" s="101"/>
      <c r="DN1537" s="101"/>
      <c r="DO1537" s="101"/>
      <c r="DP1537" s="101"/>
      <c r="DQ1537" s="101"/>
    </row>
    <row r="1538" spans="1:121" s="40" customFormat="1" ht="13" x14ac:dyDescent="0.3">
      <c r="A1538" s="101"/>
      <c r="H1538" s="101"/>
      <c r="U1538" s="13"/>
      <c r="V1538" s="13"/>
      <c r="W1538" s="13"/>
      <c r="X1538" s="13"/>
      <c r="Y1538" s="13"/>
      <c r="Z1538" s="13"/>
      <c r="AA1538" s="13"/>
      <c r="AB1538" s="13"/>
      <c r="AC1538" s="13"/>
      <c r="AD1538" s="13"/>
      <c r="AE1538" s="13"/>
      <c r="AF1538" s="84"/>
      <c r="AG1538" s="84"/>
      <c r="AH1538" s="84"/>
      <c r="AI1538" s="84"/>
      <c r="AJ1538" s="84"/>
      <c r="AK1538" s="84"/>
      <c r="AL1538" s="84"/>
      <c r="AM1538" s="84"/>
      <c r="AN1538" s="84"/>
      <c r="AO1538" s="84"/>
      <c r="AP1538" s="84"/>
      <c r="AQ1538" s="84"/>
      <c r="AR1538" s="84"/>
      <c r="AS1538" s="84"/>
      <c r="AT1538" s="84"/>
      <c r="AU1538" s="84"/>
      <c r="AV1538" s="84"/>
      <c r="AW1538" s="84"/>
      <c r="AX1538" s="84"/>
      <c r="AY1538" s="84"/>
      <c r="AZ1538" s="84"/>
      <c r="BA1538" s="84"/>
      <c r="BB1538" s="84"/>
      <c r="BC1538" s="84"/>
      <c r="BD1538" s="84"/>
      <c r="BE1538" s="84"/>
      <c r="BF1538" s="84"/>
      <c r="BG1538" s="84"/>
      <c r="BH1538" s="84"/>
      <c r="BI1538" s="84"/>
      <c r="BJ1538" s="84"/>
      <c r="BK1538" s="84"/>
      <c r="BL1538" s="84"/>
      <c r="BM1538" s="84"/>
      <c r="BN1538" s="84"/>
      <c r="BO1538" s="84"/>
      <c r="BP1538" s="84"/>
      <c r="BQ1538" s="84"/>
      <c r="BR1538" s="84"/>
      <c r="BS1538" s="84"/>
      <c r="BT1538" s="84"/>
      <c r="BU1538" s="84"/>
      <c r="BV1538" s="84"/>
      <c r="BW1538" s="84"/>
      <c r="BX1538" s="84"/>
      <c r="BY1538" s="84"/>
      <c r="BZ1538" s="84"/>
      <c r="CA1538" s="84"/>
      <c r="CB1538" s="84"/>
      <c r="CC1538" s="84"/>
      <c r="CD1538" s="84"/>
      <c r="CE1538" s="84"/>
      <c r="CF1538" s="84"/>
      <c r="CG1538" s="84"/>
      <c r="CH1538" s="84"/>
      <c r="CI1538" s="84"/>
      <c r="CJ1538" s="84"/>
      <c r="CK1538" s="84"/>
      <c r="CL1538" s="84"/>
      <c r="CM1538" s="84"/>
      <c r="CN1538" s="84"/>
      <c r="CO1538" s="84"/>
      <c r="CP1538" s="84"/>
      <c r="CQ1538" s="101"/>
      <c r="CR1538" s="101"/>
      <c r="CS1538" s="101"/>
      <c r="CT1538" s="101"/>
      <c r="CU1538" s="101"/>
      <c r="CV1538" s="101"/>
      <c r="CW1538" s="101"/>
      <c r="CX1538" s="101"/>
      <c r="CY1538" s="101"/>
      <c r="CZ1538" s="101"/>
      <c r="DA1538" s="101"/>
      <c r="DB1538" s="101"/>
      <c r="DC1538" s="101"/>
      <c r="DD1538" s="101"/>
      <c r="DE1538" s="101"/>
      <c r="DF1538" s="101"/>
      <c r="DG1538" s="101"/>
      <c r="DH1538" s="101"/>
      <c r="DI1538" s="101"/>
      <c r="DJ1538" s="101"/>
      <c r="DK1538" s="101"/>
      <c r="DL1538" s="101"/>
      <c r="DM1538" s="101"/>
      <c r="DN1538" s="101"/>
      <c r="DO1538" s="101"/>
      <c r="DP1538" s="101"/>
      <c r="DQ1538" s="101"/>
    </row>
    <row r="1539" spans="1:121" s="40" customFormat="1" ht="13" x14ac:dyDescent="0.3">
      <c r="A1539" s="101"/>
      <c r="H1539" s="101"/>
      <c r="U1539" s="13"/>
      <c r="V1539" s="13"/>
      <c r="W1539" s="13"/>
      <c r="X1539" s="13"/>
      <c r="Y1539" s="13"/>
      <c r="Z1539" s="13"/>
      <c r="AA1539" s="13"/>
      <c r="AB1539" s="13"/>
      <c r="AC1539" s="13"/>
      <c r="AD1539" s="13"/>
      <c r="AE1539" s="13"/>
      <c r="AF1539" s="84"/>
      <c r="AG1539" s="84"/>
      <c r="AH1539" s="84"/>
      <c r="AI1539" s="84"/>
      <c r="AJ1539" s="84"/>
      <c r="AK1539" s="84"/>
      <c r="AL1539" s="84"/>
      <c r="AM1539" s="84"/>
      <c r="AN1539" s="84"/>
      <c r="AO1539" s="84"/>
      <c r="AP1539" s="84"/>
      <c r="AQ1539" s="84"/>
      <c r="AR1539" s="84"/>
      <c r="AS1539" s="84"/>
      <c r="AT1539" s="84"/>
      <c r="AU1539" s="84"/>
      <c r="AV1539" s="84"/>
      <c r="AW1539" s="84"/>
      <c r="AX1539" s="84"/>
      <c r="AY1539" s="84"/>
      <c r="AZ1539" s="84"/>
      <c r="BA1539" s="84"/>
      <c r="BB1539" s="84"/>
      <c r="BC1539" s="84"/>
      <c r="BD1539" s="84"/>
      <c r="BE1539" s="84"/>
      <c r="BF1539" s="84"/>
      <c r="BG1539" s="84"/>
      <c r="BH1539" s="84"/>
      <c r="BI1539" s="84"/>
      <c r="BJ1539" s="84"/>
      <c r="BK1539" s="84"/>
      <c r="BL1539" s="84"/>
      <c r="BM1539" s="84"/>
      <c r="BN1539" s="84"/>
      <c r="BO1539" s="84"/>
      <c r="BP1539" s="84"/>
      <c r="BQ1539" s="84"/>
      <c r="BR1539" s="84"/>
      <c r="BS1539" s="84"/>
      <c r="BT1539" s="84"/>
      <c r="BU1539" s="84"/>
      <c r="BV1539" s="84"/>
      <c r="BW1539" s="84"/>
      <c r="BX1539" s="84"/>
      <c r="BY1539" s="84"/>
      <c r="BZ1539" s="84"/>
      <c r="CA1539" s="84"/>
      <c r="CB1539" s="84"/>
      <c r="CC1539" s="84"/>
      <c r="CD1539" s="84"/>
      <c r="CE1539" s="84"/>
      <c r="CF1539" s="84"/>
      <c r="CG1539" s="84"/>
      <c r="CH1539" s="84"/>
      <c r="CI1539" s="84"/>
      <c r="CJ1539" s="84"/>
      <c r="CK1539" s="84"/>
      <c r="CL1539" s="84"/>
      <c r="CM1539" s="84"/>
      <c r="CN1539" s="84"/>
      <c r="CO1539" s="84"/>
      <c r="CP1539" s="84"/>
      <c r="CQ1539" s="101"/>
      <c r="CR1539" s="101"/>
      <c r="CS1539" s="101"/>
      <c r="CT1539" s="101"/>
      <c r="CU1539" s="101"/>
      <c r="CV1539" s="101"/>
      <c r="CW1539" s="101"/>
      <c r="CX1539" s="101"/>
      <c r="CY1539" s="101"/>
      <c r="CZ1539" s="101"/>
      <c r="DA1539" s="101"/>
      <c r="DB1539" s="101"/>
      <c r="DC1539" s="101"/>
      <c r="DD1539" s="101"/>
      <c r="DE1539" s="101"/>
      <c r="DF1539" s="101"/>
      <c r="DG1539" s="101"/>
      <c r="DH1539" s="101"/>
      <c r="DI1539" s="101"/>
      <c r="DJ1539" s="101"/>
      <c r="DK1539" s="101"/>
      <c r="DL1539" s="101"/>
      <c r="DM1539" s="101"/>
      <c r="DN1539" s="101"/>
      <c r="DO1539" s="101"/>
      <c r="DP1539" s="101"/>
      <c r="DQ1539" s="101"/>
    </row>
    <row r="1540" spans="1:121" s="40" customFormat="1" ht="13" x14ac:dyDescent="0.3">
      <c r="A1540" s="101"/>
      <c r="H1540" s="101"/>
      <c r="U1540" s="13"/>
      <c r="V1540" s="13"/>
      <c r="W1540" s="13"/>
      <c r="X1540" s="13"/>
      <c r="Y1540" s="13"/>
      <c r="Z1540" s="13"/>
      <c r="AA1540" s="13"/>
      <c r="AB1540" s="13"/>
      <c r="AC1540" s="13"/>
      <c r="AD1540" s="13"/>
      <c r="AE1540" s="13"/>
      <c r="AF1540" s="84"/>
      <c r="AG1540" s="84"/>
      <c r="AH1540" s="84"/>
      <c r="AI1540" s="84"/>
      <c r="AJ1540" s="84"/>
      <c r="AK1540" s="84"/>
      <c r="AL1540" s="84"/>
      <c r="AM1540" s="84"/>
      <c r="AN1540" s="84"/>
      <c r="AO1540" s="84"/>
      <c r="AP1540" s="84"/>
      <c r="AQ1540" s="84"/>
      <c r="AR1540" s="84"/>
      <c r="AS1540" s="84"/>
      <c r="AT1540" s="84"/>
      <c r="AU1540" s="84"/>
      <c r="AV1540" s="84"/>
      <c r="AW1540" s="84"/>
      <c r="AX1540" s="84"/>
      <c r="AY1540" s="84"/>
      <c r="AZ1540" s="84"/>
      <c r="BA1540" s="84"/>
      <c r="BB1540" s="84"/>
      <c r="BC1540" s="84"/>
      <c r="BD1540" s="84"/>
      <c r="BE1540" s="84"/>
      <c r="BF1540" s="84"/>
      <c r="BG1540" s="84"/>
      <c r="BH1540" s="84"/>
      <c r="BI1540" s="84"/>
      <c r="BJ1540" s="84"/>
      <c r="BK1540" s="84"/>
      <c r="BL1540" s="84"/>
      <c r="BM1540" s="84"/>
      <c r="BN1540" s="84"/>
      <c r="BO1540" s="84"/>
      <c r="BP1540" s="84"/>
      <c r="BQ1540" s="84"/>
      <c r="BR1540" s="84"/>
      <c r="BS1540" s="84"/>
      <c r="BT1540" s="84"/>
      <c r="BU1540" s="84"/>
      <c r="BV1540" s="84"/>
      <c r="BW1540" s="84"/>
      <c r="BX1540" s="84"/>
      <c r="BY1540" s="84"/>
      <c r="BZ1540" s="84"/>
      <c r="CA1540" s="84"/>
      <c r="CB1540" s="84"/>
      <c r="CC1540" s="84"/>
      <c r="CD1540" s="84"/>
      <c r="CE1540" s="84"/>
      <c r="CF1540" s="84"/>
      <c r="CG1540" s="84"/>
      <c r="CH1540" s="84"/>
      <c r="CI1540" s="84"/>
      <c r="CJ1540" s="84"/>
      <c r="CK1540" s="84"/>
      <c r="CL1540" s="84"/>
      <c r="CM1540" s="84"/>
      <c r="CN1540" s="84"/>
      <c r="CO1540" s="84"/>
      <c r="CP1540" s="84"/>
      <c r="CQ1540" s="101"/>
      <c r="CR1540" s="101"/>
      <c r="CS1540" s="101"/>
      <c r="CT1540" s="101"/>
      <c r="CU1540" s="101"/>
      <c r="CV1540" s="101"/>
      <c r="CW1540" s="101"/>
      <c r="CX1540" s="101"/>
      <c r="CY1540" s="101"/>
      <c r="CZ1540" s="101"/>
      <c r="DA1540" s="101"/>
      <c r="DB1540" s="101"/>
      <c r="DC1540" s="101"/>
      <c r="DD1540" s="101"/>
      <c r="DE1540" s="101"/>
      <c r="DF1540" s="101"/>
      <c r="DG1540" s="101"/>
      <c r="DH1540" s="101"/>
      <c r="DI1540" s="101"/>
      <c r="DJ1540" s="101"/>
      <c r="DK1540" s="101"/>
      <c r="DL1540" s="101"/>
      <c r="DM1540" s="101"/>
      <c r="DN1540" s="101"/>
      <c r="DO1540" s="101"/>
      <c r="DP1540" s="101"/>
      <c r="DQ1540" s="101"/>
    </row>
    <row r="1541" spans="1:121" s="40" customFormat="1" ht="13" x14ac:dyDescent="0.3">
      <c r="A1541" s="101"/>
      <c r="H1541" s="101"/>
      <c r="U1541" s="13"/>
      <c r="V1541" s="13"/>
      <c r="W1541" s="13"/>
      <c r="X1541" s="13"/>
      <c r="Y1541" s="13"/>
      <c r="Z1541" s="13"/>
      <c r="AA1541" s="13"/>
      <c r="AB1541" s="13"/>
      <c r="AC1541" s="13"/>
      <c r="AD1541" s="13"/>
      <c r="AE1541" s="13"/>
      <c r="AF1541" s="84"/>
      <c r="AG1541" s="84"/>
      <c r="AH1541" s="84"/>
      <c r="AI1541" s="84"/>
      <c r="AJ1541" s="84"/>
      <c r="AK1541" s="84"/>
      <c r="AL1541" s="84"/>
      <c r="AM1541" s="84"/>
      <c r="AN1541" s="84"/>
      <c r="AO1541" s="84"/>
      <c r="AP1541" s="84"/>
      <c r="AQ1541" s="84"/>
      <c r="AR1541" s="84"/>
      <c r="AS1541" s="84"/>
      <c r="AT1541" s="84"/>
      <c r="AU1541" s="84"/>
      <c r="AV1541" s="84"/>
      <c r="AW1541" s="84"/>
      <c r="AX1541" s="84"/>
      <c r="AY1541" s="84"/>
      <c r="AZ1541" s="84"/>
      <c r="BA1541" s="84"/>
      <c r="BB1541" s="84"/>
      <c r="BC1541" s="84"/>
      <c r="BD1541" s="84"/>
      <c r="BE1541" s="84"/>
      <c r="BF1541" s="84"/>
      <c r="BG1541" s="84"/>
      <c r="BH1541" s="84"/>
      <c r="BI1541" s="84"/>
      <c r="BJ1541" s="84"/>
      <c r="BK1541" s="84"/>
      <c r="BL1541" s="84"/>
      <c r="BM1541" s="84"/>
      <c r="BN1541" s="84"/>
      <c r="BO1541" s="84"/>
      <c r="BP1541" s="84"/>
      <c r="BQ1541" s="84"/>
      <c r="BR1541" s="84"/>
      <c r="BS1541" s="84"/>
      <c r="BT1541" s="84"/>
      <c r="BU1541" s="84"/>
      <c r="BV1541" s="84"/>
      <c r="BW1541" s="84"/>
      <c r="BX1541" s="84"/>
      <c r="BY1541" s="84"/>
      <c r="BZ1541" s="84"/>
      <c r="CA1541" s="84"/>
      <c r="CB1541" s="84"/>
      <c r="CC1541" s="84"/>
      <c r="CD1541" s="84"/>
      <c r="CE1541" s="84"/>
      <c r="CF1541" s="84"/>
      <c r="CG1541" s="84"/>
      <c r="CH1541" s="84"/>
      <c r="CI1541" s="84"/>
      <c r="CJ1541" s="84"/>
      <c r="CK1541" s="84"/>
      <c r="CL1541" s="84"/>
      <c r="CM1541" s="84"/>
      <c r="CN1541" s="84"/>
      <c r="CO1541" s="84"/>
      <c r="CP1541" s="84"/>
      <c r="CQ1541" s="101"/>
      <c r="CR1541" s="101"/>
      <c r="CS1541" s="101"/>
      <c r="CT1541" s="101"/>
      <c r="CU1541" s="101"/>
      <c r="CV1541" s="101"/>
      <c r="CW1541" s="101"/>
      <c r="CX1541" s="101"/>
      <c r="CY1541" s="101"/>
      <c r="CZ1541" s="101"/>
      <c r="DA1541" s="101"/>
      <c r="DB1541" s="101"/>
      <c r="DC1541" s="101"/>
      <c r="DD1541" s="101"/>
      <c r="DE1541" s="101"/>
      <c r="DF1541" s="101"/>
      <c r="DG1541" s="101"/>
      <c r="DH1541" s="101"/>
      <c r="DI1541" s="101"/>
      <c r="DJ1541" s="101"/>
      <c r="DK1541" s="101"/>
      <c r="DL1541" s="101"/>
      <c r="DM1541" s="101"/>
      <c r="DN1541" s="101"/>
      <c r="DO1541" s="101"/>
      <c r="DP1541" s="101"/>
      <c r="DQ1541" s="101"/>
    </row>
    <row r="1542" spans="1:121" s="40" customFormat="1" ht="13" x14ac:dyDescent="0.3">
      <c r="A1542" s="101"/>
      <c r="H1542" s="101"/>
      <c r="U1542" s="13"/>
      <c r="V1542" s="13"/>
      <c r="W1542" s="13"/>
      <c r="X1542" s="13"/>
      <c r="Y1542" s="13"/>
      <c r="Z1542" s="13"/>
      <c r="AA1542" s="13"/>
      <c r="AB1542" s="13"/>
      <c r="AC1542" s="13"/>
      <c r="AD1542" s="13"/>
      <c r="AE1542" s="13"/>
      <c r="AF1542" s="84"/>
      <c r="AG1542" s="84"/>
      <c r="AH1542" s="84"/>
      <c r="AI1542" s="84"/>
      <c r="AJ1542" s="84"/>
      <c r="AK1542" s="84"/>
      <c r="AL1542" s="84"/>
      <c r="AM1542" s="84"/>
      <c r="AN1542" s="84"/>
      <c r="AO1542" s="84"/>
      <c r="AP1542" s="84"/>
      <c r="AQ1542" s="84"/>
      <c r="AR1542" s="84"/>
      <c r="AS1542" s="84"/>
      <c r="AT1542" s="84"/>
      <c r="AU1542" s="84"/>
      <c r="AV1542" s="84"/>
      <c r="AW1542" s="84"/>
      <c r="AX1542" s="84"/>
      <c r="AY1542" s="84"/>
      <c r="AZ1542" s="84"/>
      <c r="BA1542" s="84"/>
      <c r="BB1542" s="84"/>
      <c r="BC1542" s="84"/>
      <c r="BD1542" s="84"/>
      <c r="BE1542" s="84"/>
      <c r="BF1542" s="84"/>
      <c r="BG1542" s="84"/>
      <c r="BH1542" s="84"/>
      <c r="BI1542" s="84"/>
      <c r="BJ1542" s="84"/>
      <c r="BK1542" s="84"/>
      <c r="BL1542" s="84"/>
      <c r="BM1542" s="84"/>
      <c r="BN1542" s="84"/>
      <c r="BO1542" s="84"/>
      <c r="BP1542" s="84"/>
      <c r="BQ1542" s="84"/>
      <c r="BR1542" s="84"/>
      <c r="BS1542" s="84"/>
      <c r="BT1542" s="84"/>
      <c r="BU1542" s="84"/>
      <c r="BV1542" s="84"/>
      <c r="BW1542" s="84"/>
      <c r="BX1542" s="84"/>
      <c r="BY1542" s="84"/>
      <c r="BZ1542" s="84"/>
      <c r="CA1542" s="84"/>
      <c r="CB1542" s="84"/>
      <c r="CC1542" s="84"/>
      <c r="CD1542" s="84"/>
      <c r="CE1542" s="84"/>
      <c r="CF1542" s="84"/>
      <c r="CG1542" s="84"/>
      <c r="CH1542" s="84"/>
      <c r="CI1542" s="84"/>
      <c r="CJ1542" s="84"/>
      <c r="CK1542" s="84"/>
      <c r="CL1542" s="84"/>
      <c r="CM1542" s="84"/>
      <c r="CN1542" s="84"/>
      <c r="CO1542" s="84"/>
      <c r="CP1542" s="84"/>
      <c r="CQ1542" s="101"/>
      <c r="CR1542" s="101"/>
      <c r="CS1542" s="101"/>
      <c r="CT1542" s="101"/>
      <c r="CU1542" s="101"/>
      <c r="CV1542" s="101"/>
      <c r="CW1542" s="101"/>
      <c r="CX1542" s="101"/>
      <c r="CY1542" s="101"/>
      <c r="CZ1542" s="101"/>
      <c r="DA1542" s="101"/>
      <c r="DB1542" s="101"/>
      <c r="DC1542" s="101"/>
      <c r="DD1542" s="101"/>
      <c r="DE1542" s="101"/>
      <c r="DF1542" s="101"/>
      <c r="DG1542" s="101"/>
      <c r="DH1542" s="101"/>
      <c r="DI1542" s="101"/>
      <c r="DJ1542" s="101"/>
      <c r="DK1542" s="101"/>
      <c r="DL1542" s="101"/>
      <c r="DM1542" s="101"/>
      <c r="DN1542" s="101"/>
      <c r="DO1542" s="101"/>
      <c r="DP1542" s="101"/>
      <c r="DQ1542" s="101"/>
    </row>
    <row r="1543" spans="1:121" s="40" customFormat="1" ht="13" x14ac:dyDescent="0.3">
      <c r="A1543" s="101"/>
      <c r="H1543" s="101"/>
      <c r="U1543" s="13"/>
      <c r="V1543" s="13"/>
      <c r="W1543" s="13"/>
      <c r="X1543" s="13"/>
      <c r="Y1543" s="13"/>
      <c r="Z1543" s="13"/>
      <c r="AA1543" s="13"/>
      <c r="AB1543" s="13"/>
      <c r="AC1543" s="13"/>
      <c r="AD1543" s="13"/>
      <c r="AE1543" s="13"/>
      <c r="AF1543" s="84"/>
      <c r="AG1543" s="84"/>
      <c r="AH1543" s="84"/>
      <c r="AI1543" s="84"/>
      <c r="AJ1543" s="84"/>
      <c r="AK1543" s="84"/>
      <c r="AL1543" s="84"/>
      <c r="AM1543" s="84"/>
      <c r="AN1543" s="84"/>
      <c r="AO1543" s="84"/>
      <c r="AP1543" s="84"/>
      <c r="AQ1543" s="84"/>
      <c r="AR1543" s="84"/>
      <c r="AS1543" s="84"/>
      <c r="AT1543" s="84"/>
      <c r="AU1543" s="84"/>
      <c r="AV1543" s="84"/>
      <c r="AW1543" s="84"/>
      <c r="AX1543" s="84"/>
      <c r="AY1543" s="84"/>
      <c r="AZ1543" s="84"/>
      <c r="BA1543" s="84"/>
      <c r="BB1543" s="84"/>
      <c r="BC1543" s="84"/>
      <c r="BD1543" s="84"/>
      <c r="BE1543" s="84"/>
      <c r="BF1543" s="84"/>
      <c r="BG1543" s="84"/>
      <c r="BH1543" s="84"/>
      <c r="BI1543" s="84"/>
      <c r="BJ1543" s="84"/>
      <c r="BK1543" s="84"/>
      <c r="BL1543" s="84"/>
      <c r="BM1543" s="84"/>
      <c r="BN1543" s="84"/>
      <c r="BO1543" s="84"/>
      <c r="BP1543" s="84"/>
      <c r="BQ1543" s="84"/>
      <c r="BR1543" s="84"/>
      <c r="BS1543" s="84"/>
      <c r="BT1543" s="84"/>
      <c r="BU1543" s="84"/>
      <c r="BV1543" s="84"/>
      <c r="BW1543" s="84"/>
      <c r="BX1543" s="84"/>
      <c r="BY1543" s="84"/>
      <c r="BZ1543" s="84"/>
      <c r="CA1543" s="84"/>
      <c r="CB1543" s="84"/>
      <c r="CC1543" s="84"/>
      <c r="CD1543" s="84"/>
      <c r="CE1543" s="84"/>
      <c r="CF1543" s="84"/>
      <c r="CG1543" s="84"/>
      <c r="CH1543" s="84"/>
      <c r="CI1543" s="84"/>
      <c r="CJ1543" s="84"/>
      <c r="CK1543" s="84"/>
      <c r="CL1543" s="84"/>
      <c r="CM1543" s="84"/>
      <c r="CN1543" s="84"/>
      <c r="CO1543" s="84"/>
      <c r="CP1543" s="84"/>
      <c r="CQ1543" s="101"/>
      <c r="CR1543" s="101"/>
      <c r="CS1543" s="101"/>
      <c r="CT1543" s="101"/>
      <c r="CU1543" s="101"/>
      <c r="CV1543" s="101"/>
      <c r="CW1543" s="101"/>
      <c r="CX1543" s="101"/>
      <c r="CY1543" s="101"/>
      <c r="CZ1543" s="101"/>
      <c r="DA1543" s="101"/>
      <c r="DB1543" s="101"/>
      <c r="DC1543" s="101"/>
      <c r="DD1543" s="101"/>
      <c r="DE1543" s="101"/>
      <c r="DF1543" s="101"/>
      <c r="DG1543" s="101"/>
      <c r="DH1543" s="101"/>
      <c r="DI1543" s="101"/>
      <c r="DJ1543" s="101"/>
      <c r="DK1543" s="101"/>
      <c r="DL1543" s="101"/>
      <c r="DM1543" s="101"/>
      <c r="DN1543" s="101"/>
      <c r="DO1543" s="101"/>
      <c r="DP1543" s="101"/>
      <c r="DQ1543" s="101"/>
    </row>
    <row r="1544" spans="1:121" s="40" customFormat="1" ht="13" x14ac:dyDescent="0.3">
      <c r="A1544" s="101"/>
      <c r="H1544" s="101"/>
      <c r="U1544" s="13"/>
      <c r="V1544" s="13"/>
      <c r="W1544" s="13"/>
      <c r="X1544" s="13"/>
      <c r="Y1544" s="13"/>
      <c r="Z1544" s="13"/>
      <c r="AA1544" s="13"/>
      <c r="AB1544" s="13"/>
      <c r="AC1544" s="13"/>
      <c r="AD1544" s="13"/>
      <c r="AE1544" s="13"/>
      <c r="AF1544" s="84"/>
      <c r="AG1544" s="84"/>
      <c r="AH1544" s="84"/>
      <c r="AI1544" s="84"/>
      <c r="AJ1544" s="84"/>
      <c r="AK1544" s="84"/>
      <c r="AL1544" s="84"/>
      <c r="AM1544" s="84"/>
      <c r="AN1544" s="84"/>
      <c r="AO1544" s="84"/>
      <c r="AP1544" s="84"/>
      <c r="AQ1544" s="84"/>
      <c r="AR1544" s="84"/>
      <c r="AS1544" s="84"/>
      <c r="AT1544" s="84"/>
      <c r="AU1544" s="84"/>
      <c r="AV1544" s="84"/>
      <c r="AW1544" s="84"/>
      <c r="AX1544" s="84"/>
      <c r="AY1544" s="84"/>
      <c r="AZ1544" s="84"/>
      <c r="BA1544" s="84"/>
      <c r="BB1544" s="84"/>
      <c r="BC1544" s="84"/>
      <c r="BD1544" s="84"/>
      <c r="BE1544" s="84"/>
      <c r="BF1544" s="84"/>
      <c r="BG1544" s="84"/>
      <c r="BH1544" s="84"/>
      <c r="BI1544" s="84"/>
      <c r="BJ1544" s="84"/>
      <c r="BK1544" s="84"/>
      <c r="BL1544" s="84"/>
      <c r="BM1544" s="84"/>
      <c r="BN1544" s="84"/>
      <c r="BO1544" s="84"/>
      <c r="BP1544" s="84"/>
      <c r="BQ1544" s="84"/>
      <c r="BR1544" s="84"/>
      <c r="BS1544" s="84"/>
      <c r="BT1544" s="84"/>
      <c r="BU1544" s="84"/>
      <c r="BV1544" s="84"/>
      <c r="BW1544" s="84"/>
      <c r="BX1544" s="84"/>
      <c r="BY1544" s="84"/>
      <c r="BZ1544" s="84"/>
      <c r="CA1544" s="84"/>
      <c r="CB1544" s="84"/>
      <c r="CC1544" s="84"/>
      <c r="CD1544" s="84"/>
      <c r="CE1544" s="84"/>
      <c r="CF1544" s="84"/>
      <c r="CG1544" s="84"/>
      <c r="CH1544" s="84"/>
      <c r="CI1544" s="84"/>
      <c r="CJ1544" s="84"/>
      <c r="CK1544" s="84"/>
      <c r="CL1544" s="84"/>
      <c r="CM1544" s="84"/>
      <c r="CN1544" s="84"/>
      <c r="CO1544" s="84"/>
      <c r="CP1544" s="84"/>
      <c r="CQ1544" s="101"/>
      <c r="CR1544" s="101"/>
      <c r="CS1544" s="101"/>
      <c r="CT1544" s="101"/>
      <c r="CU1544" s="101"/>
      <c r="CV1544" s="101"/>
      <c r="CW1544" s="101"/>
      <c r="CX1544" s="101"/>
      <c r="CY1544" s="101"/>
      <c r="CZ1544" s="101"/>
      <c r="DA1544" s="101"/>
      <c r="DB1544" s="101"/>
      <c r="DC1544" s="101"/>
      <c r="DD1544" s="101"/>
      <c r="DE1544" s="101"/>
      <c r="DF1544" s="101"/>
      <c r="DG1544" s="101"/>
      <c r="DH1544" s="101"/>
      <c r="DI1544" s="101"/>
      <c r="DJ1544" s="101"/>
      <c r="DK1544" s="101"/>
      <c r="DL1544" s="101"/>
      <c r="DM1544" s="101"/>
      <c r="DN1544" s="101"/>
      <c r="DO1544" s="101"/>
      <c r="DP1544" s="101"/>
      <c r="DQ1544" s="101"/>
    </row>
    <row r="1545" spans="1:121" s="40" customFormat="1" ht="13" x14ac:dyDescent="0.3">
      <c r="A1545" s="101"/>
      <c r="H1545" s="101"/>
      <c r="U1545" s="13"/>
      <c r="V1545" s="13"/>
      <c r="W1545" s="13"/>
      <c r="X1545" s="13"/>
      <c r="Y1545" s="13"/>
      <c r="Z1545" s="13"/>
      <c r="AA1545" s="13"/>
      <c r="AB1545" s="13"/>
      <c r="AC1545" s="13"/>
      <c r="AD1545" s="13"/>
      <c r="AE1545" s="13"/>
      <c r="AF1545" s="84"/>
      <c r="AG1545" s="84"/>
      <c r="AH1545" s="84"/>
      <c r="AI1545" s="84"/>
      <c r="AJ1545" s="84"/>
      <c r="AK1545" s="84"/>
      <c r="AL1545" s="84"/>
      <c r="AM1545" s="84"/>
      <c r="AN1545" s="84"/>
      <c r="AO1545" s="84"/>
      <c r="AP1545" s="84"/>
      <c r="AQ1545" s="84"/>
      <c r="AR1545" s="84"/>
      <c r="AS1545" s="84"/>
      <c r="AT1545" s="84"/>
      <c r="AU1545" s="84"/>
      <c r="AV1545" s="84"/>
      <c r="AW1545" s="84"/>
      <c r="AX1545" s="84"/>
      <c r="AY1545" s="84"/>
      <c r="AZ1545" s="84"/>
      <c r="BA1545" s="84"/>
      <c r="BB1545" s="84"/>
      <c r="BC1545" s="84"/>
      <c r="BD1545" s="84"/>
      <c r="BE1545" s="84"/>
      <c r="BF1545" s="84"/>
      <c r="BG1545" s="84"/>
      <c r="BH1545" s="84"/>
      <c r="BI1545" s="84"/>
      <c r="BJ1545" s="84"/>
      <c r="BK1545" s="84"/>
      <c r="BL1545" s="84"/>
      <c r="BM1545" s="84"/>
      <c r="BN1545" s="84"/>
      <c r="BO1545" s="84"/>
      <c r="BP1545" s="84"/>
      <c r="BQ1545" s="84"/>
      <c r="BR1545" s="84"/>
      <c r="BS1545" s="84"/>
      <c r="BT1545" s="84"/>
      <c r="BU1545" s="84"/>
      <c r="BV1545" s="84"/>
      <c r="BW1545" s="84"/>
      <c r="BX1545" s="84"/>
      <c r="BY1545" s="84"/>
      <c r="BZ1545" s="84"/>
      <c r="CA1545" s="84"/>
      <c r="CB1545" s="84"/>
      <c r="CC1545" s="84"/>
      <c r="CD1545" s="84"/>
      <c r="CE1545" s="84"/>
      <c r="CF1545" s="84"/>
      <c r="CG1545" s="84"/>
      <c r="CH1545" s="84"/>
      <c r="CI1545" s="84"/>
      <c r="CJ1545" s="84"/>
      <c r="CK1545" s="84"/>
      <c r="CL1545" s="84"/>
      <c r="CM1545" s="84"/>
      <c r="CN1545" s="84"/>
      <c r="CO1545" s="84"/>
      <c r="CP1545" s="84"/>
      <c r="CQ1545" s="101"/>
      <c r="CR1545" s="101"/>
      <c r="CS1545" s="101"/>
      <c r="CT1545" s="101"/>
      <c r="CU1545" s="101"/>
      <c r="CV1545" s="101"/>
      <c r="CW1545" s="101"/>
      <c r="CX1545" s="101"/>
      <c r="CY1545" s="101"/>
      <c r="CZ1545" s="101"/>
      <c r="DA1545" s="101"/>
      <c r="DB1545" s="101"/>
      <c r="DC1545" s="101"/>
      <c r="DD1545" s="101"/>
      <c r="DE1545" s="101"/>
      <c r="DF1545" s="101"/>
      <c r="DG1545" s="101"/>
      <c r="DH1545" s="101"/>
      <c r="DI1545" s="101"/>
      <c r="DJ1545" s="101"/>
      <c r="DK1545" s="101"/>
      <c r="DL1545" s="101"/>
      <c r="DM1545" s="101"/>
      <c r="DN1545" s="101"/>
      <c r="DO1545" s="101"/>
      <c r="DP1545" s="101"/>
      <c r="DQ1545" s="101"/>
    </row>
    <row r="1546" spans="1:121" s="40" customFormat="1" ht="13" x14ac:dyDescent="0.3">
      <c r="A1546" s="101"/>
      <c r="H1546" s="101"/>
      <c r="U1546" s="13"/>
      <c r="V1546" s="13"/>
      <c r="W1546" s="13"/>
      <c r="X1546" s="13"/>
      <c r="Y1546" s="13"/>
      <c r="Z1546" s="13"/>
      <c r="AA1546" s="13"/>
      <c r="AB1546" s="13"/>
      <c r="AC1546" s="13"/>
      <c r="AD1546" s="13"/>
      <c r="AE1546" s="13"/>
      <c r="AF1546" s="84"/>
      <c r="AG1546" s="84"/>
      <c r="AH1546" s="84"/>
      <c r="AI1546" s="84"/>
      <c r="AJ1546" s="84"/>
      <c r="AK1546" s="84"/>
      <c r="AL1546" s="84"/>
      <c r="AM1546" s="84"/>
      <c r="AN1546" s="84"/>
      <c r="AO1546" s="84"/>
      <c r="AP1546" s="84"/>
      <c r="AQ1546" s="84"/>
      <c r="AR1546" s="84"/>
      <c r="AS1546" s="84"/>
      <c r="AT1546" s="84"/>
      <c r="AU1546" s="84"/>
      <c r="AV1546" s="84"/>
      <c r="AW1546" s="84"/>
      <c r="AX1546" s="84"/>
      <c r="AY1546" s="84"/>
      <c r="AZ1546" s="84"/>
      <c r="BA1546" s="84"/>
      <c r="BB1546" s="84"/>
      <c r="BC1546" s="84"/>
      <c r="BD1546" s="84"/>
      <c r="BE1546" s="84"/>
      <c r="BF1546" s="84"/>
      <c r="BG1546" s="84"/>
      <c r="BH1546" s="84"/>
      <c r="BI1546" s="84"/>
      <c r="BJ1546" s="84"/>
      <c r="BK1546" s="84"/>
      <c r="BL1546" s="84"/>
      <c r="BM1546" s="84"/>
      <c r="BN1546" s="84"/>
      <c r="BO1546" s="84"/>
      <c r="BP1546" s="84"/>
      <c r="BQ1546" s="84"/>
      <c r="BR1546" s="84"/>
      <c r="BS1546" s="84"/>
      <c r="BT1546" s="84"/>
      <c r="BU1546" s="84"/>
      <c r="BV1546" s="84"/>
      <c r="BW1546" s="84"/>
      <c r="BX1546" s="84"/>
      <c r="BY1546" s="84"/>
      <c r="BZ1546" s="84"/>
      <c r="CA1546" s="84"/>
      <c r="CB1546" s="84"/>
      <c r="CC1546" s="84"/>
      <c r="CD1546" s="84"/>
      <c r="CE1546" s="84"/>
      <c r="CF1546" s="84"/>
      <c r="CG1546" s="84"/>
      <c r="CH1546" s="84"/>
      <c r="CI1546" s="84"/>
      <c r="CJ1546" s="84"/>
      <c r="CK1546" s="84"/>
      <c r="CL1546" s="84"/>
      <c r="CM1546" s="84"/>
      <c r="CN1546" s="84"/>
      <c r="CO1546" s="84"/>
      <c r="CP1546" s="84"/>
      <c r="CQ1546" s="101"/>
      <c r="CR1546" s="101"/>
      <c r="CS1546" s="101"/>
      <c r="CT1546" s="101"/>
      <c r="CU1546" s="101"/>
      <c r="CV1546" s="101"/>
      <c r="CW1546" s="101"/>
      <c r="CX1546" s="101"/>
      <c r="CY1546" s="101"/>
      <c r="CZ1546" s="101"/>
      <c r="DA1546" s="101"/>
      <c r="DB1546" s="101"/>
      <c r="DC1546" s="101"/>
      <c r="DD1546" s="101"/>
      <c r="DE1546" s="101"/>
      <c r="DF1546" s="101"/>
      <c r="DG1546" s="101"/>
      <c r="DH1546" s="101"/>
      <c r="DI1546" s="101"/>
      <c r="DJ1546" s="101"/>
      <c r="DK1546" s="101"/>
      <c r="DL1546" s="101"/>
      <c r="DM1546" s="101"/>
      <c r="DN1546" s="101"/>
      <c r="DO1546" s="101"/>
      <c r="DP1546" s="101"/>
      <c r="DQ1546" s="101"/>
    </row>
    <row r="1547" spans="1:121" s="40" customFormat="1" ht="13" x14ac:dyDescent="0.3">
      <c r="A1547" s="101"/>
      <c r="H1547" s="101"/>
      <c r="U1547" s="13"/>
      <c r="V1547" s="13"/>
      <c r="W1547" s="13"/>
      <c r="X1547" s="13"/>
      <c r="Y1547" s="13"/>
      <c r="Z1547" s="13"/>
      <c r="AA1547" s="13"/>
      <c r="AB1547" s="13"/>
      <c r="AC1547" s="13"/>
      <c r="AD1547" s="13"/>
      <c r="AE1547" s="13"/>
      <c r="AF1547" s="84"/>
      <c r="AG1547" s="84"/>
      <c r="AH1547" s="84"/>
      <c r="AI1547" s="84"/>
      <c r="AJ1547" s="84"/>
      <c r="AK1547" s="84"/>
      <c r="AL1547" s="84"/>
      <c r="AM1547" s="84"/>
      <c r="AN1547" s="84"/>
      <c r="AO1547" s="84"/>
      <c r="AP1547" s="84"/>
      <c r="AQ1547" s="84"/>
      <c r="AR1547" s="84"/>
      <c r="AS1547" s="84"/>
      <c r="AT1547" s="84"/>
      <c r="AU1547" s="84"/>
      <c r="AV1547" s="84"/>
      <c r="AW1547" s="84"/>
      <c r="AX1547" s="84"/>
      <c r="AY1547" s="84"/>
      <c r="AZ1547" s="84"/>
      <c r="BA1547" s="84"/>
      <c r="BB1547" s="84"/>
      <c r="BC1547" s="84"/>
      <c r="BD1547" s="84"/>
      <c r="BE1547" s="84"/>
      <c r="BF1547" s="84"/>
      <c r="BG1547" s="84"/>
      <c r="BH1547" s="84"/>
      <c r="BI1547" s="84"/>
      <c r="BJ1547" s="84"/>
      <c r="BK1547" s="84"/>
      <c r="BL1547" s="84"/>
      <c r="BM1547" s="84"/>
      <c r="BN1547" s="84"/>
      <c r="BO1547" s="84"/>
      <c r="BP1547" s="84"/>
      <c r="BQ1547" s="84"/>
      <c r="BR1547" s="84"/>
      <c r="BS1547" s="84"/>
      <c r="BT1547" s="84"/>
      <c r="BU1547" s="84"/>
      <c r="BV1547" s="84"/>
      <c r="BW1547" s="84"/>
      <c r="BX1547" s="84"/>
      <c r="BY1547" s="84"/>
      <c r="BZ1547" s="84"/>
      <c r="CA1547" s="84"/>
      <c r="CB1547" s="84"/>
      <c r="CC1547" s="84"/>
      <c r="CD1547" s="84"/>
      <c r="CE1547" s="84"/>
      <c r="CF1547" s="84"/>
      <c r="CG1547" s="84"/>
      <c r="CH1547" s="84"/>
      <c r="CI1547" s="84"/>
      <c r="CJ1547" s="84"/>
      <c r="CK1547" s="84"/>
      <c r="CL1547" s="84"/>
      <c r="CM1547" s="84"/>
      <c r="CN1547" s="84"/>
      <c r="CO1547" s="84"/>
      <c r="CP1547" s="84"/>
      <c r="CQ1547" s="101"/>
      <c r="CR1547" s="101"/>
      <c r="CS1547" s="101"/>
      <c r="CT1547" s="101"/>
      <c r="CU1547" s="101"/>
      <c r="CV1547" s="101"/>
      <c r="CW1547" s="101"/>
      <c r="CX1547" s="101"/>
      <c r="CY1547" s="101"/>
      <c r="CZ1547" s="101"/>
      <c r="DA1547" s="101"/>
      <c r="DB1547" s="101"/>
      <c r="DC1547" s="101"/>
      <c r="DD1547" s="101"/>
      <c r="DE1547" s="101"/>
      <c r="DF1547" s="101"/>
      <c r="DG1547" s="101"/>
      <c r="DH1547" s="101"/>
      <c r="DI1547" s="101"/>
      <c r="DJ1547" s="101"/>
      <c r="DK1547" s="101"/>
      <c r="DL1547" s="101"/>
      <c r="DM1547" s="101"/>
      <c r="DN1547" s="101"/>
      <c r="DO1547" s="101"/>
      <c r="DP1547" s="101"/>
      <c r="DQ1547" s="101"/>
    </row>
    <row r="1548" spans="1:121" s="40" customFormat="1" ht="13" x14ac:dyDescent="0.3">
      <c r="A1548" s="101"/>
      <c r="H1548" s="101"/>
      <c r="U1548" s="13"/>
      <c r="V1548" s="13"/>
      <c r="W1548" s="13"/>
      <c r="X1548" s="13"/>
      <c r="Y1548" s="13"/>
      <c r="Z1548" s="13"/>
      <c r="AA1548" s="13"/>
      <c r="AB1548" s="13"/>
      <c r="AC1548" s="13"/>
      <c r="AD1548" s="13"/>
      <c r="AE1548" s="13"/>
      <c r="AF1548" s="84"/>
      <c r="AG1548" s="84"/>
      <c r="AH1548" s="84"/>
      <c r="AI1548" s="84"/>
      <c r="AJ1548" s="84"/>
      <c r="AK1548" s="84"/>
      <c r="AL1548" s="84"/>
      <c r="AM1548" s="84"/>
      <c r="AN1548" s="84"/>
      <c r="AO1548" s="84"/>
      <c r="AP1548" s="84"/>
      <c r="AQ1548" s="84"/>
      <c r="AR1548" s="84"/>
      <c r="AS1548" s="84"/>
      <c r="AT1548" s="84"/>
      <c r="AU1548" s="84"/>
      <c r="AV1548" s="84"/>
      <c r="AW1548" s="84"/>
      <c r="AX1548" s="84"/>
      <c r="AY1548" s="84"/>
      <c r="AZ1548" s="84"/>
      <c r="BA1548" s="84"/>
      <c r="BB1548" s="84"/>
      <c r="BC1548" s="84"/>
      <c r="BD1548" s="84"/>
      <c r="BE1548" s="84"/>
      <c r="BF1548" s="84"/>
      <c r="BG1548" s="84"/>
      <c r="BH1548" s="84"/>
      <c r="BI1548" s="84"/>
      <c r="BJ1548" s="84"/>
      <c r="BK1548" s="84"/>
      <c r="BL1548" s="84"/>
      <c r="BM1548" s="84"/>
      <c r="BN1548" s="84"/>
      <c r="BO1548" s="84"/>
      <c r="BP1548" s="84"/>
      <c r="BQ1548" s="84"/>
      <c r="BR1548" s="84"/>
      <c r="BS1548" s="84"/>
      <c r="BT1548" s="84"/>
      <c r="BU1548" s="84"/>
      <c r="BV1548" s="84"/>
      <c r="BW1548" s="84"/>
      <c r="BX1548" s="84"/>
      <c r="BY1548" s="84"/>
      <c r="BZ1548" s="84"/>
      <c r="CA1548" s="84"/>
      <c r="CB1548" s="84"/>
      <c r="CC1548" s="84"/>
      <c r="CD1548" s="84"/>
      <c r="CE1548" s="84"/>
      <c r="CF1548" s="84"/>
      <c r="CG1548" s="84"/>
      <c r="CH1548" s="84"/>
      <c r="CI1548" s="84"/>
      <c r="CJ1548" s="84"/>
      <c r="CK1548" s="84"/>
      <c r="CL1548" s="84"/>
      <c r="CM1548" s="84"/>
      <c r="CN1548" s="84"/>
      <c r="CO1548" s="84"/>
      <c r="CP1548" s="84"/>
      <c r="CQ1548" s="101"/>
      <c r="CR1548" s="101"/>
      <c r="CS1548" s="101"/>
      <c r="CT1548" s="101"/>
      <c r="CU1548" s="101"/>
      <c r="CV1548" s="101"/>
      <c r="CW1548" s="101"/>
      <c r="CX1548" s="101"/>
      <c r="CY1548" s="101"/>
      <c r="CZ1548" s="101"/>
      <c r="DA1548" s="101"/>
      <c r="DB1548" s="101"/>
      <c r="DC1548" s="101"/>
      <c r="DD1548" s="101"/>
      <c r="DE1548" s="101"/>
      <c r="DF1548" s="101"/>
      <c r="DG1548" s="101"/>
      <c r="DH1548" s="101"/>
      <c r="DI1548" s="101"/>
      <c r="DJ1548" s="101"/>
      <c r="DK1548" s="101"/>
      <c r="DL1548" s="101"/>
      <c r="DM1548" s="101"/>
      <c r="DN1548" s="101"/>
      <c r="DO1548" s="101"/>
      <c r="DP1548" s="101"/>
      <c r="DQ1548" s="101"/>
    </row>
    <row r="1549" spans="1:121" s="40" customFormat="1" ht="13" x14ac:dyDescent="0.3">
      <c r="A1549" s="101"/>
      <c r="H1549" s="101"/>
      <c r="U1549" s="13"/>
      <c r="V1549" s="13"/>
      <c r="W1549" s="13"/>
      <c r="X1549" s="13"/>
      <c r="Y1549" s="13"/>
      <c r="Z1549" s="13"/>
      <c r="AA1549" s="13"/>
      <c r="AB1549" s="13"/>
      <c r="AC1549" s="13"/>
      <c r="AD1549" s="13"/>
      <c r="AE1549" s="13"/>
      <c r="AF1549" s="84"/>
      <c r="AG1549" s="84"/>
      <c r="AH1549" s="84"/>
      <c r="AI1549" s="84"/>
      <c r="AJ1549" s="84"/>
      <c r="AK1549" s="84"/>
      <c r="AL1549" s="84"/>
      <c r="AM1549" s="84"/>
      <c r="AN1549" s="84"/>
      <c r="AO1549" s="84"/>
      <c r="AP1549" s="84"/>
      <c r="AQ1549" s="84"/>
      <c r="AR1549" s="84"/>
      <c r="AS1549" s="84"/>
      <c r="AT1549" s="84"/>
      <c r="AU1549" s="84"/>
      <c r="AV1549" s="84"/>
      <c r="AW1549" s="84"/>
      <c r="AX1549" s="84"/>
      <c r="AY1549" s="84"/>
      <c r="AZ1549" s="84"/>
      <c r="BA1549" s="84"/>
      <c r="BB1549" s="84"/>
      <c r="BC1549" s="84"/>
      <c r="BD1549" s="84"/>
      <c r="BE1549" s="84"/>
      <c r="BF1549" s="84"/>
      <c r="BG1549" s="84"/>
      <c r="BH1549" s="84"/>
      <c r="BI1549" s="84"/>
      <c r="BJ1549" s="84"/>
      <c r="BK1549" s="84"/>
      <c r="BL1549" s="84"/>
      <c r="BM1549" s="84"/>
      <c r="BN1549" s="84"/>
      <c r="BO1549" s="84"/>
      <c r="BP1549" s="84"/>
      <c r="BQ1549" s="84"/>
      <c r="BR1549" s="84"/>
      <c r="BS1549" s="84"/>
      <c r="BT1549" s="84"/>
      <c r="BU1549" s="84"/>
      <c r="BV1549" s="84"/>
      <c r="BW1549" s="84"/>
      <c r="BX1549" s="84"/>
      <c r="BY1549" s="84"/>
      <c r="BZ1549" s="84"/>
      <c r="CA1549" s="84"/>
      <c r="CB1549" s="84"/>
      <c r="CC1549" s="84"/>
      <c r="CD1549" s="84"/>
      <c r="CE1549" s="84"/>
      <c r="CF1549" s="84"/>
      <c r="CG1549" s="84"/>
      <c r="CH1549" s="84"/>
      <c r="CI1549" s="84"/>
      <c r="CJ1549" s="84"/>
      <c r="CK1549" s="84"/>
      <c r="CL1549" s="84"/>
      <c r="CM1549" s="84"/>
      <c r="CN1549" s="84"/>
      <c r="CO1549" s="84"/>
      <c r="CP1549" s="84"/>
      <c r="CQ1549" s="101"/>
      <c r="CR1549" s="101"/>
      <c r="CS1549" s="101"/>
      <c r="CT1549" s="101"/>
      <c r="CU1549" s="101"/>
      <c r="CV1549" s="101"/>
      <c r="CW1549" s="101"/>
      <c r="CX1549" s="101"/>
      <c r="CY1549" s="101"/>
      <c r="CZ1549" s="101"/>
      <c r="DA1549" s="101"/>
      <c r="DB1549" s="101"/>
      <c r="DC1549" s="101"/>
      <c r="DD1549" s="101"/>
      <c r="DE1549" s="101"/>
      <c r="DF1549" s="101"/>
      <c r="DG1549" s="101"/>
      <c r="DH1549" s="101"/>
      <c r="DI1549" s="101"/>
      <c r="DJ1549" s="101"/>
      <c r="DK1549" s="101"/>
      <c r="DL1549" s="101"/>
      <c r="DM1549" s="101"/>
      <c r="DN1549" s="101"/>
      <c r="DO1549" s="101"/>
      <c r="DP1549" s="101"/>
      <c r="DQ1549" s="101"/>
    </row>
    <row r="1550" spans="1:121" s="40" customFormat="1" ht="13" x14ac:dyDescent="0.3">
      <c r="A1550" s="101"/>
      <c r="H1550" s="101"/>
      <c r="U1550" s="13"/>
      <c r="V1550" s="13"/>
      <c r="W1550" s="13"/>
      <c r="X1550" s="13"/>
      <c r="Y1550" s="13"/>
      <c r="Z1550" s="13"/>
      <c r="AA1550" s="13"/>
      <c r="AB1550" s="13"/>
      <c r="AC1550" s="13"/>
      <c r="AD1550" s="13"/>
      <c r="AE1550" s="13"/>
      <c r="AF1550" s="84"/>
      <c r="AG1550" s="84"/>
      <c r="AH1550" s="84"/>
      <c r="AI1550" s="84"/>
      <c r="AJ1550" s="84"/>
      <c r="AK1550" s="84"/>
      <c r="AL1550" s="84"/>
      <c r="AM1550" s="84"/>
      <c r="AN1550" s="84"/>
      <c r="AO1550" s="84"/>
      <c r="AP1550" s="84"/>
      <c r="AQ1550" s="84"/>
      <c r="AR1550" s="84"/>
      <c r="AS1550" s="84"/>
      <c r="AT1550" s="84"/>
      <c r="AU1550" s="84"/>
      <c r="AV1550" s="84"/>
      <c r="AW1550" s="84"/>
      <c r="AX1550" s="84"/>
      <c r="AY1550" s="84"/>
      <c r="AZ1550" s="84"/>
      <c r="BA1550" s="84"/>
      <c r="BB1550" s="84"/>
      <c r="BC1550" s="84"/>
      <c r="BD1550" s="84"/>
      <c r="BE1550" s="84"/>
      <c r="BF1550" s="84"/>
      <c r="BG1550" s="84"/>
      <c r="BH1550" s="84"/>
      <c r="BI1550" s="84"/>
      <c r="BJ1550" s="84"/>
      <c r="BK1550" s="84"/>
      <c r="BL1550" s="84"/>
      <c r="BM1550" s="84"/>
      <c r="BN1550" s="84"/>
      <c r="BO1550" s="84"/>
      <c r="BP1550" s="84"/>
      <c r="BQ1550" s="84"/>
      <c r="BR1550" s="84"/>
      <c r="BS1550" s="84"/>
      <c r="BT1550" s="84"/>
      <c r="BU1550" s="84"/>
      <c r="BV1550" s="84"/>
      <c r="BW1550" s="84"/>
      <c r="BX1550" s="84"/>
      <c r="BY1550" s="84"/>
      <c r="BZ1550" s="84"/>
      <c r="CA1550" s="84"/>
      <c r="CB1550" s="84"/>
      <c r="CC1550" s="84"/>
      <c r="CD1550" s="84"/>
      <c r="CE1550" s="84"/>
      <c r="CF1550" s="84"/>
      <c r="CG1550" s="84"/>
      <c r="CH1550" s="84"/>
      <c r="CI1550" s="84"/>
      <c r="CJ1550" s="84"/>
      <c r="CK1550" s="84"/>
      <c r="CL1550" s="84"/>
      <c r="CM1550" s="84"/>
      <c r="CN1550" s="84"/>
      <c r="CO1550" s="84"/>
      <c r="CP1550" s="84"/>
      <c r="CQ1550" s="101"/>
      <c r="CR1550" s="101"/>
      <c r="CS1550" s="101"/>
      <c r="CT1550" s="101"/>
      <c r="CU1550" s="101"/>
      <c r="CV1550" s="101"/>
      <c r="CW1550" s="101"/>
      <c r="CX1550" s="101"/>
      <c r="CY1550" s="101"/>
      <c r="CZ1550" s="101"/>
      <c r="DA1550" s="101"/>
      <c r="DB1550" s="101"/>
      <c r="DC1550" s="101"/>
      <c r="DD1550" s="101"/>
      <c r="DE1550" s="101"/>
      <c r="DF1550" s="101"/>
      <c r="DG1550" s="101"/>
      <c r="DH1550" s="101"/>
      <c r="DI1550" s="101"/>
      <c r="DJ1550" s="101"/>
      <c r="DK1550" s="101"/>
      <c r="DL1550" s="101"/>
      <c r="DM1550" s="101"/>
      <c r="DN1550" s="101"/>
      <c r="DO1550" s="101"/>
      <c r="DP1550" s="101"/>
      <c r="DQ1550" s="101"/>
    </row>
    <row r="1551" spans="1:121" s="40" customFormat="1" ht="13" x14ac:dyDescent="0.3">
      <c r="A1551" s="101"/>
      <c r="H1551" s="101"/>
      <c r="U1551" s="13"/>
      <c r="V1551" s="13"/>
      <c r="W1551" s="13"/>
      <c r="X1551" s="13"/>
      <c r="Y1551" s="13"/>
      <c r="Z1551" s="13"/>
      <c r="AA1551" s="13"/>
      <c r="AB1551" s="13"/>
      <c r="AC1551" s="13"/>
      <c r="AD1551" s="13"/>
      <c r="AE1551" s="13"/>
      <c r="AF1551" s="84"/>
      <c r="AG1551" s="84"/>
      <c r="AH1551" s="84"/>
      <c r="AI1551" s="84"/>
      <c r="AJ1551" s="84"/>
      <c r="AK1551" s="84"/>
      <c r="AL1551" s="84"/>
      <c r="AM1551" s="84"/>
      <c r="AN1551" s="84"/>
      <c r="AO1551" s="84"/>
      <c r="AP1551" s="84"/>
      <c r="AQ1551" s="84"/>
      <c r="AR1551" s="84"/>
      <c r="AS1551" s="84"/>
      <c r="AT1551" s="84"/>
      <c r="AU1551" s="84"/>
      <c r="AV1551" s="84"/>
      <c r="AW1551" s="84"/>
      <c r="AX1551" s="84"/>
      <c r="AY1551" s="84"/>
      <c r="AZ1551" s="84"/>
      <c r="BA1551" s="84"/>
      <c r="BB1551" s="84"/>
      <c r="BC1551" s="84"/>
      <c r="BD1551" s="84"/>
      <c r="BE1551" s="84"/>
      <c r="BF1551" s="84"/>
      <c r="BG1551" s="84"/>
      <c r="BH1551" s="84"/>
      <c r="BI1551" s="84"/>
      <c r="BJ1551" s="84"/>
      <c r="BK1551" s="84"/>
      <c r="BL1551" s="84"/>
      <c r="BM1551" s="84"/>
      <c r="BN1551" s="84"/>
      <c r="BO1551" s="84"/>
      <c r="BP1551" s="84"/>
      <c r="BQ1551" s="84"/>
      <c r="BR1551" s="84"/>
      <c r="BS1551" s="84"/>
      <c r="BT1551" s="84"/>
      <c r="BU1551" s="84"/>
      <c r="BV1551" s="84"/>
      <c r="BW1551" s="84"/>
      <c r="BX1551" s="84"/>
      <c r="BY1551" s="84"/>
      <c r="BZ1551" s="84"/>
      <c r="CA1551" s="84"/>
      <c r="CB1551" s="84"/>
      <c r="CC1551" s="84"/>
      <c r="CD1551" s="84"/>
      <c r="CE1551" s="84"/>
      <c r="CF1551" s="84"/>
      <c r="CG1551" s="84"/>
      <c r="CH1551" s="84"/>
      <c r="CI1551" s="84"/>
      <c r="CJ1551" s="84"/>
      <c r="CK1551" s="84"/>
      <c r="CL1551" s="84"/>
      <c r="CM1551" s="84"/>
      <c r="CN1551" s="84"/>
      <c r="CO1551" s="84"/>
      <c r="CP1551" s="84"/>
      <c r="CQ1551" s="101"/>
      <c r="CR1551" s="101"/>
      <c r="CS1551" s="101"/>
      <c r="CT1551" s="101"/>
      <c r="CU1551" s="101"/>
      <c r="CV1551" s="101"/>
      <c r="CW1551" s="101"/>
      <c r="CX1551" s="101"/>
      <c r="CY1551" s="101"/>
      <c r="CZ1551" s="101"/>
      <c r="DA1551" s="101"/>
      <c r="DB1551" s="101"/>
      <c r="DC1551" s="101"/>
      <c r="DD1551" s="101"/>
      <c r="DE1551" s="101"/>
      <c r="DF1551" s="101"/>
      <c r="DG1551" s="101"/>
      <c r="DH1551" s="101"/>
      <c r="DI1551" s="101"/>
      <c r="DJ1551" s="101"/>
      <c r="DK1551" s="101"/>
      <c r="DL1551" s="101"/>
      <c r="DM1551" s="101"/>
      <c r="DN1551" s="101"/>
      <c r="DO1551" s="101"/>
      <c r="DP1551" s="101"/>
      <c r="DQ1551" s="101"/>
    </row>
    <row r="1552" spans="1:121" s="40" customFormat="1" ht="13" x14ac:dyDescent="0.3">
      <c r="A1552" s="101"/>
      <c r="H1552" s="101"/>
      <c r="U1552" s="13"/>
      <c r="V1552" s="13"/>
      <c r="W1552" s="13"/>
      <c r="X1552" s="13"/>
      <c r="Y1552" s="13"/>
      <c r="Z1552" s="13"/>
      <c r="AA1552" s="13"/>
      <c r="AB1552" s="13"/>
      <c r="AC1552" s="13"/>
      <c r="AD1552" s="13"/>
      <c r="AE1552" s="13"/>
      <c r="AF1552" s="84"/>
      <c r="AG1552" s="84"/>
      <c r="AH1552" s="84"/>
      <c r="AI1552" s="84"/>
      <c r="AJ1552" s="84"/>
      <c r="AK1552" s="84"/>
      <c r="AL1552" s="84"/>
      <c r="AM1552" s="84"/>
      <c r="AN1552" s="84"/>
      <c r="AO1552" s="84"/>
      <c r="AP1552" s="84"/>
      <c r="AQ1552" s="84"/>
      <c r="AR1552" s="84"/>
      <c r="AS1552" s="84"/>
      <c r="AT1552" s="84"/>
      <c r="AU1552" s="84"/>
      <c r="AV1552" s="84"/>
      <c r="AW1552" s="84"/>
      <c r="AX1552" s="84"/>
      <c r="AY1552" s="84"/>
      <c r="AZ1552" s="84"/>
      <c r="BA1552" s="84"/>
      <c r="BB1552" s="84"/>
      <c r="BC1552" s="84"/>
      <c r="BD1552" s="84"/>
      <c r="BE1552" s="84"/>
      <c r="BF1552" s="84"/>
      <c r="BG1552" s="84"/>
      <c r="BH1552" s="84"/>
      <c r="BI1552" s="84"/>
      <c r="BJ1552" s="84"/>
      <c r="BK1552" s="84"/>
      <c r="BL1552" s="84"/>
      <c r="BM1552" s="84"/>
      <c r="BN1552" s="84"/>
      <c r="BO1552" s="84"/>
      <c r="BP1552" s="84"/>
      <c r="BQ1552" s="84"/>
      <c r="BR1552" s="84"/>
      <c r="BS1552" s="84"/>
      <c r="BT1552" s="84"/>
      <c r="BU1552" s="84"/>
      <c r="BV1552" s="84"/>
      <c r="BW1552" s="84"/>
      <c r="BX1552" s="84"/>
      <c r="BY1552" s="84"/>
      <c r="BZ1552" s="84"/>
      <c r="CA1552" s="84"/>
      <c r="CB1552" s="84"/>
      <c r="CC1552" s="84"/>
      <c r="CD1552" s="84"/>
      <c r="CE1552" s="84"/>
      <c r="CF1552" s="84"/>
      <c r="CG1552" s="84"/>
      <c r="CH1552" s="84"/>
      <c r="CI1552" s="84"/>
      <c r="CJ1552" s="84"/>
      <c r="CK1552" s="84"/>
      <c r="CL1552" s="84"/>
      <c r="CM1552" s="84"/>
      <c r="CN1552" s="84"/>
      <c r="CO1552" s="84"/>
      <c r="CP1552" s="84"/>
      <c r="CQ1552" s="101"/>
      <c r="CR1552" s="101"/>
      <c r="CS1552" s="101"/>
      <c r="CT1552" s="101"/>
      <c r="CU1552" s="101"/>
      <c r="CV1552" s="101"/>
      <c r="CW1552" s="101"/>
      <c r="CX1552" s="101"/>
      <c r="CY1552" s="101"/>
      <c r="CZ1552" s="101"/>
      <c r="DA1552" s="101"/>
      <c r="DB1552" s="101"/>
      <c r="DC1552" s="101"/>
      <c r="DD1552" s="101"/>
      <c r="DE1552" s="101"/>
      <c r="DF1552" s="101"/>
      <c r="DG1552" s="101"/>
      <c r="DH1552" s="101"/>
      <c r="DI1552" s="101"/>
      <c r="DJ1552" s="101"/>
      <c r="DK1552" s="101"/>
      <c r="DL1552" s="101"/>
      <c r="DM1552" s="101"/>
      <c r="DN1552" s="101"/>
      <c r="DO1552" s="101"/>
      <c r="DP1552" s="101"/>
      <c r="DQ1552" s="101"/>
    </row>
    <row r="1553" spans="1:121" s="40" customFormat="1" ht="13" x14ac:dyDescent="0.3">
      <c r="A1553" s="101"/>
      <c r="H1553" s="101"/>
      <c r="U1553" s="13"/>
      <c r="V1553" s="13"/>
      <c r="W1553" s="13"/>
      <c r="X1553" s="13"/>
      <c r="Y1553" s="13"/>
      <c r="Z1553" s="13"/>
      <c r="AA1553" s="13"/>
      <c r="AB1553" s="13"/>
      <c r="AC1553" s="13"/>
      <c r="AD1553" s="13"/>
      <c r="AE1553" s="13"/>
      <c r="AF1553" s="84"/>
      <c r="AG1553" s="84"/>
      <c r="AH1553" s="84"/>
      <c r="AI1553" s="84"/>
      <c r="AJ1553" s="84"/>
      <c r="AK1553" s="84"/>
      <c r="AL1553" s="84"/>
      <c r="AM1553" s="84"/>
      <c r="AN1553" s="84"/>
      <c r="AO1553" s="84"/>
      <c r="AP1553" s="84"/>
      <c r="AQ1553" s="84"/>
      <c r="AR1553" s="84"/>
      <c r="AS1553" s="84"/>
      <c r="AT1553" s="84"/>
      <c r="AU1553" s="84"/>
      <c r="AV1553" s="84"/>
      <c r="AW1553" s="84"/>
      <c r="AX1553" s="84"/>
      <c r="AY1553" s="84"/>
      <c r="AZ1553" s="84"/>
      <c r="BA1553" s="84"/>
      <c r="BB1553" s="84"/>
      <c r="BC1553" s="84"/>
      <c r="BD1553" s="84"/>
      <c r="BE1553" s="84"/>
      <c r="BF1553" s="84"/>
      <c r="BG1553" s="84"/>
      <c r="BH1553" s="84"/>
      <c r="BI1553" s="84"/>
      <c r="BJ1553" s="84"/>
      <c r="BK1553" s="84"/>
      <c r="BL1553" s="84"/>
      <c r="BM1553" s="84"/>
      <c r="BN1553" s="84"/>
      <c r="BO1553" s="84"/>
      <c r="BP1553" s="84"/>
      <c r="BQ1553" s="84"/>
      <c r="BR1553" s="84"/>
      <c r="BS1553" s="84"/>
      <c r="BT1553" s="84"/>
      <c r="BU1553" s="84"/>
      <c r="BV1553" s="84"/>
      <c r="BW1553" s="84"/>
      <c r="BX1553" s="84"/>
      <c r="BY1553" s="84"/>
      <c r="BZ1553" s="84"/>
      <c r="CA1553" s="84"/>
      <c r="CB1553" s="84"/>
      <c r="CC1553" s="84"/>
      <c r="CD1553" s="84"/>
      <c r="CE1553" s="84"/>
      <c r="CF1553" s="84"/>
      <c r="CG1553" s="84"/>
      <c r="CH1553" s="84"/>
      <c r="CI1553" s="84"/>
      <c r="CJ1553" s="84"/>
      <c r="CK1553" s="84"/>
      <c r="CL1553" s="84"/>
      <c r="CM1553" s="84"/>
      <c r="CN1553" s="84"/>
      <c r="CO1553" s="84"/>
      <c r="CP1553" s="84"/>
      <c r="CQ1553" s="101"/>
      <c r="CR1553" s="101"/>
      <c r="CS1553" s="101"/>
      <c r="CT1553" s="101"/>
      <c r="CU1553" s="101"/>
      <c r="CV1553" s="101"/>
      <c r="CW1553" s="101"/>
      <c r="CX1553" s="101"/>
      <c r="CY1553" s="101"/>
      <c r="CZ1553" s="101"/>
      <c r="DA1553" s="101"/>
      <c r="DB1553" s="101"/>
      <c r="DC1553" s="101"/>
      <c r="DD1553" s="101"/>
      <c r="DE1553" s="101"/>
      <c r="DF1553" s="101"/>
      <c r="DG1553" s="101"/>
      <c r="DH1553" s="101"/>
      <c r="DI1553" s="101"/>
      <c r="DJ1553" s="101"/>
      <c r="DK1553" s="101"/>
      <c r="DL1553" s="101"/>
      <c r="DM1553" s="101"/>
      <c r="DN1553" s="101"/>
      <c r="DO1553" s="101"/>
      <c r="DP1553" s="101"/>
      <c r="DQ1553" s="101"/>
    </row>
    <row r="1554" spans="1:121" s="40" customFormat="1" ht="13" x14ac:dyDescent="0.3">
      <c r="A1554" s="101"/>
      <c r="H1554" s="101"/>
      <c r="U1554" s="13"/>
      <c r="V1554" s="13"/>
      <c r="W1554" s="13"/>
      <c r="X1554" s="13"/>
      <c r="Y1554" s="13"/>
      <c r="Z1554" s="13"/>
      <c r="AA1554" s="13"/>
      <c r="AB1554" s="13"/>
      <c r="AC1554" s="13"/>
      <c r="AD1554" s="13"/>
      <c r="AE1554" s="13"/>
      <c r="AF1554" s="84"/>
      <c r="AG1554" s="84"/>
      <c r="AH1554" s="84"/>
      <c r="AI1554" s="84"/>
      <c r="AJ1554" s="84"/>
      <c r="AK1554" s="84"/>
      <c r="AL1554" s="84"/>
      <c r="AM1554" s="84"/>
      <c r="AN1554" s="84"/>
      <c r="AO1554" s="84"/>
      <c r="AP1554" s="84"/>
      <c r="AQ1554" s="84"/>
      <c r="AR1554" s="84"/>
      <c r="AS1554" s="84"/>
      <c r="AT1554" s="84"/>
      <c r="AU1554" s="84"/>
      <c r="AV1554" s="84"/>
      <c r="AW1554" s="84"/>
      <c r="AX1554" s="84"/>
      <c r="AY1554" s="84"/>
      <c r="AZ1554" s="84"/>
      <c r="BA1554" s="84"/>
      <c r="BB1554" s="84"/>
      <c r="BC1554" s="84"/>
      <c r="BD1554" s="84"/>
      <c r="BE1554" s="84"/>
      <c r="BF1554" s="84"/>
      <c r="BG1554" s="84"/>
      <c r="BH1554" s="84"/>
      <c r="BI1554" s="84"/>
      <c r="BJ1554" s="84"/>
      <c r="BK1554" s="84"/>
      <c r="BL1554" s="84"/>
      <c r="BM1554" s="84"/>
      <c r="BN1554" s="84"/>
      <c r="BO1554" s="84"/>
      <c r="BP1554" s="84"/>
      <c r="BQ1554" s="84"/>
      <c r="BR1554" s="84"/>
      <c r="BS1554" s="84"/>
      <c r="BT1554" s="84"/>
      <c r="BU1554" s="84"/>
      <c r="BV1554" s="84"/>
      <c r="BW1554" s="84"/>
      <c r="BX1554" s="84"/>
      <c r="BY1554" s="84"/>
      <c r="BZ1554" s="84"/>
      <c r="CA1554" s="84"/>
      <c r="CB1554" s="84"/>
      <c r="CC1554" s="84"/>
      <c r="CD1554" s="84"/>
      <c r="CE1554" s="84"/>
      <c r="CF1554" s="84"/>
      <c r="CG1554" s="84"/>
      <c r="CH1554" s="84"/>
      <c r="CI1554" s="84"/>
      <c r="CJ1554" s="84"/>
      <c r="CK1554" s="84"/>
      <c r="CL1554" s="84"/>
      <c r="CM1554" s="84"/>
      <c r="CN1554" s="84"/>
      <c r="CO1554" s="84"/>
      <c r="CP1554" s="84"/>
      <c r="CQ1554" s="101"/>
      <c r="CR1554" s="101"/>
      <c r="CS1554" s="101"/>
      <c r="CT1554" s="101"/>
      <c r="CU1554" s="101"/>
      <c r="CV1554" s="101"/>
      <c r="CW1554" s="101"/>
      <c r="CX1554" s="101"/>
      <c r="CY1554" s="101"/>
      <c r="CZ1554" s="101"/>
      <c r="DA1554" s="101"/>
      <c r="DB1554" s="101"/>
      <c r="DC1554" s="101"/>
      <c r="DD1554" s="101"/>
      <c r="DE1554" s="101"/>
      <c r="DF1554" s="101"/>
      <c r="DG1554" s="101"/>
      <c r="DH1554" s="101"/>
      <c r="DI1554" s="101"/>
      <c r="DJ1554" s="101"/>
      <c r="DK1554" s="101"/>
      <c r="DL1554" s="101"/>
      <c r="DM1554" s="101"/>
      <c r="DN1554" s="101"/>
      <c r="DO1554" s="101"/>
      <c r="DP1554" s="101"/>
      <c r="DQ1554" s="101"/>
    </row>
    <row r="1555" spans="1:121" s="40" customFormat="1" ht="13" x14ac:dyDescent="0.3">
      <c r="A1555" s="101"/>
      <c r="H1555" s="101"/>
      <c r="U1555" s="13"/>
      <c r="V1555" s="13"/>
      <c r="W1555" s="13"/>
      <c r="X1555" s="13"/>
      <c r="Y1555" s="13"/>
      <c r="Z1555" s="13"/>
      <c r="AA1555" s="13"/>
      <c r="AB1555" s="13"/>
      <c r="AC1555" s="13"/>
      <c r="AD1555" s="13"/>
      <c r="AE1555" s="13"/>
      <c r="AF1555" s="84"/>
      <c r="AG1555" s="84"/>
      <c r="AH1555" s="84"/>
      <c r="AI1555" s="84"/>
      <c r="AJ1555" s="84"/>
      <c r="AK1555" s="84"/>
      <c r="AL1555" s="84"/>
      <c r="AM1555" s="84"/>
      <c r="AN1555" s="84"/>
      <c r="AO1555" s="84"/>
      <c r="AP1555" s="84"/>
      <c r="AQ1555" s="84"/>
      <c r="AR1555" s="84"/>
      <c r="AS1555" s="84"/>
      <c r="AT1555" s="84"/>
      <c r="AU1555" s="84"/>
      <c r="AV1555" s="84"/>
      <c r="AW1555" s="84"/>
      <c r="AX1555" s="84"/>
      <c r="AY1555" s="84"/>
      <c r="AZ1555" s="84"/>
      <c r="BA1555" s="84"/>
      <c r="BB1555" s="84"/>
      <c r="BC1555" s="84"/>
      <c r="BD1555" s="84"/>
      <c r="BE1555" s="84"/>
      <c r="BF1555" s="84"/>
      <c r="BG1555" s="84"/>
      <c r="BH1555" s="84"/>
      <c r="BI1555" s="84"/>
      <c r="BJ1555" s="84"/>
      <c r="BK1555" s="84"/>
      <c r="BL1555" s="84"/>
      <c r="BM1555" s="84"/>
      <c r="BN1555" s="84"/>
      <c r="BO1555" s="84"/>
      <c r="BP1555" s="84"/>
      <c r="BQ1555" s="84"/>
      <c r="BR1555" s="84"/>
      <c r="BS1555" s="84"/>
      <c r="BT1555" s="84"/>
      <c r="BU1555" s="84"/>
      <c r="BV1555" s="84"/>
      <c r="BW1555" s="84"/>
      <c r="BX1555" s="84"/>
      <c r="BY1555" s="84"/>
      <c r="BZ1555" s="84"/>
      <c r="CA1555" s="84"/>
      <c r="CB1555" s="84"/>
      <c r="CC1555" s="84"/>
      <c r="CD1555" s="84"/>
      <c r="CE1555" s="84"/>
      <c r="CF1555" s="84"/>
      <c r="CG1555" s="84"/>
      <c r="CH1555" s="84"/>
      <c r="CI1555" s="84"/>
      <c r="CJ1555" s="84"/>
      <c r="CK1555" s="84"/>
      <c r="CL1555" s="84"/>
      <c r="CM1555" s="84"/>
      <c r="CN1555" s="84"/>
      <c r="CO1555" s="84"/>
      <c r="CP1555" s="84"/>
      <c r="CQ1555" s="101"/>
      <c r="CR1555" s="101"/>
      <c r="CS1555" s="101"/>
      <c r="CT1555" s="101"/>
      <c r="CU1555" s="101"/>
      <c r="CV1555" s="101"/>
      <c r="CW1555" s="101"/>
      <c r="CX1555" s="101"/>
      <c r="CY1555" s="101"/>
      <c r="CZ1555" s="101"/>
      <c r="DA1555" s="101"/>
      <c r="DB1555" s="101"/>
      <c r="DC1555" s="101"/>
      <c r="DD1555" s="101"/>
      <c r="DE1555" s="101"/>
      <c r="DF1555" s="101"/>
      <c r="DG1555" s="101"/>
      <c r="DH1555" s="101"/>
      <c r="DI1555" s="101"/>
      <c r="DJ1555" s="101"/>
      <c r="DK1555" s="101"/>
      <c r="DL1555" s="101"/>
      <c r="DM1555" s="101"/>
      <c r="DN1555" s="101"/>
      <c r="DO1555" s="101"/>
      <c r="DP1555" s="101"/>
      <c r="DQ1555" s="101"/>
    </row>
    <row r="1556" spans="1:121" s="40" customFormat="1" ht="13" x14ac:dyDescent="0.3">
      <c r="A1556" s="101"/>
      <c r="H1556" s="101"/>
      <c r="U1556" s="13"/>
      <c r="V1556" s="13"/>
      <c r="W1556" s="13"/>
      <c r="X1556" s="13"/>
      <c r="Y1556" s="13"/>
      <c r="Z1556" s="13"/>
      <c r="AA1556" s="13"/>
      <c r="AB1556" s="13"/>
      <c r="AC1556" s="13"/>
      <c r="AD1556" s="13"/>
      <c r="AE1556" s="13"/>
      <c r="AF1556" s="84"/>
      <c r="AG1556" s="84"/>
      <c r="AH1556" s="84"/>
      <c r="AI1556" s="84"/>
      <c r="AJ1556" s="84"/>
      <c r="AK1556" s="84"/>
      <c r="AL1556" s="84"/>
      <c r="AM1556" s="84"/>
      <c r="AN1556" s="84"/>
      <c r="AO1556" s="84"/>
      <c r="AP1556" s="84"/>
      <c r="AQ1556" s="84"/>
      <c r="AR1556" s="84"/>
      <c r="AS1556" s="84"/>
      <c r="AT1556" s="84"/>
      <c r="AU1556" s="84"/>
      <c r="AV1556" s="84"/>
      <c r="AW1556" s="84"/>
      <c r="AX1556" s="84"/>
      <c r="AY1556" s="84"/>
      <c r="AZ1556" s="84"/>
      <c r="BA1556" s="84"/>
      <c r="BB1556" s="84"/>
      <c r="BC1556" s="84"/>
      <c r="BD1556" s="84"/>
      <c r="BE1556" s="84"/>
      <c r="BF1556" s="84"/>
      <c r="BG1556" s="84"/>
      <c r="BH1556" s="84"/>
      <c r="BI1556" s="84"/>
      <c r="BJ1556" s="84"/>
      <c r="BK1556" s="84"/>
      <c r="BL1556" s="84"/>
      <c r="BM1556" s="84"/>
      <c r="BN1556" s="84"/>
      <c r="BO1556" s="84"/>
      <c r="BP1556" s="84"/>
      <c r="BQ1556" s="84"/>
      <c r="BR1556" s="84"/>
      <c r="BS1556" s="84"/>
      <c r="BT1556" s="84"/>
      <c r="BU1556" s="84"/>
      <c r="BV1556" s="84"/>
      <c r="BW1556" s="84"/>
      <c r="BX1556" s="84"/>
      <c r="BY1556" s="84"/>
      <c r="BZ1556" s="84"/>
      <c r="CA1556" s="84"/>
      <c r="CB1556" s="84"/>
      <c r="CC1556" s="84"/>
      <c r="CD1556" s="84"/>
      <c r="CE1556" s="84"/>
      <c r="CF1556" s="84"/>
      <c r="CG1556" s="84"/>
      <c r="CH1556" s="84"/>
      <c r="CI1556" s="84"/>
      <c r="CJ1556" s="84"/>
      <c r="CK1556" s="84"/>
      <c r="CL1556" s="84"/>
      <c r="CM1556" s="84"/>
      <c r="CN1556" s="84"/>
      <c r="CO1556" s="84"/>
      <c r="CP1556" s="84"/>
      <c r="CQ1556" s="101"/>
      <c r="CR1556" s="101"/>
      <c r="CS1556" s="101"/>
      <c r="CT1556" s="101"/>
      <c r="CU1556" s="101"/>
      <c r="CV1556" s="101"/>
      <c r="CW1556" s="101"/>
      <c r="CX1556" s="101"/>
      <c r="CY1556" s="101"/>
      <c r="CZ1556" s="101"/>
      <c r="DA1556" s="101"/>
      <c r="DB1556" s="101"/>
      <c r="DC1556" s="101"/>
      <c r="DD1556" s="101"/>
      <c r="DE1556" s="101"/>
      <c r="DF1556" s="101"/>
      <c r="DG1556" s="101"/>
      <c r="DH1556" s="101"/>
      <c r="DI1556" s="101"/>
      <c r="DJ1556" s="101"/>
      <c r="DK1556" s="101"/>
      <c r="DL1556" s="101"/>
      <c r="DM1556" s="101"/>
      <c r="DN1556" s="101"/>
      <c r="DO1556" s="101"/>
      <c r="DP1556" s="101"/>
      <c r="DQ1556" s="101"/>
    </row>
    <row r="1557" spans="1:121" s="40" customFormat="1" ht="13" x14ac:dyDescent="0.3">
      <c r="A1557" s="101"/>
      <c r="H1557" s="101"/>
      <c r="U1557" s="13"/>
      <c r="V1557" s="13"/>
      <c r="W1557" s="13"/>
      <c r="X1557" s="13"/>
      <c r="Y1557" s="13"/>
      <c r="Z1557" s="13"/>
      <c r="AA1557" s="13"/>
      <c r="AB1557" s="13"/>
      <c r="AC1557" s="13"/>
      <c r="AD1557" s="13"/>
      <c r="AE1557" s="13"/>
      <c r="AF1557" s="84"/>
      <c r="AG1557" s="84"/>
      <c r="AH1557" s="84"/>
      <c r="AI1557" s="84"/>
      <c r="AJ1557" s="84"/>
      <c r="AK1557" s="84"/>
      <c r="AL1557" s="84"/>
      <c r="AM1557" s="84"/>
      <c r="AN1557" s="84"/>
      <c r="AO1557" s="84"/>
      <c r="AP1557" s="84"/>
      <c r="AQ1557" s="84"/>
      <c r="AR1557" s="84"/>
      <c r="AS1557" s="84"/>
      <c r="AT1557" s="84"/>
      <c r="AU1557" s="84"/>
      <c r="AV1557" s="84"/>
      <c r="AW1557" s="84"/>
      <c r="AX1557" s="84"/>
      <c r="AY1557" s="84"/>
      <c r="AZ1557" s="84"/>
      <c r="BA1557" s="84"/>
      <c r="BB1557" s="84"/>
      <c r="BC1557" s="84"/>
      <c r="BD1557" s="84"/>
      <c r="BE1557" s="84"/>
      <c r="BF1557" s="84"/>
      <c r="BG1557" s="84"/>
      <c r="BH1557" s="84"/>
      <c r="BI1557" s="84"/>
      <c r="BJ1557" s="84"/>
      <c r="BK1557" s="84"/>
      <c r="BL1557" s="84"/>
      <c r="BM1557" s="84"/>
      <c r="BN1557" s="84"/>
      <c r="BO1557" s="84"/>
      <c r="BP1557" s="84"/>
      <c r="BQ1557" s="84"/>
      <c r="BR1557" s="84"/>
      <c r="BS1557" s="84"/>
      <c r="BT1557" s="84"/>
      <c r="BU1557" s="84"/>
      <c r="BV1557" s="84"/>
      <c r="BW1557" s="84"/>
      <c r="BX1557" s="84"/>
      <c r="BY1557" s="84"/>
      <c r="BZ1557" s="84"/>
      <c r="CA1557" s="84"/>
      <c r="CB1557" s="84"/>
      <c r="CC1557" s="84"/>
      <c r="CD1557" s="84"/>
      <c r="CE1557" s="84"/>
      <c r="CF1557" s="84"/>
      <c r="CG1557" s="84"/>
      <c r="CH1557" s="84"/>
      <c r="CI1557" s="84"/>
      <c r="CJ1557" s="84"/>
      <c r="CK1557" s="84"/>
      <c r="CL1557" s="84"/>
      <c r="CM1557" s="84"/>
      <c r="CN1557" s="84"/>
      <c r="CO1557" s="84"/>
      <c r="CP1557" s="84"/>
      <c r="CQ1557" s="101"/>
      <c r="CR1557" s="101"/>
      <c r="CS1557" s="101"/>
      <c r="CT1557" s="101"/>
      <c r="CU1557" s="101"/>
      <c r="CV1557" s="101"/>
      <c r="CW1557" s="101"/>
      <c r="CX1557" s="101"/>
      <c r="CY1557" s="101"/>
      <c r="CZ1557" s="101"/>
      <c r="DA1557" s="101"/>
      <c r="DB1557" s="101"/>
      <c r="DC1557" s="101"/>
      <c r="DD1557" s="101"/>
      <c r="DE1557" s="101"/>
      <c r="DF1557" s="101"/>
      <c r="DG1557" s="101"/>
      <c r="DH1557" s="101"/>
      <c r="DI1557" s="101"/>
      <c r="DJ1557" s="101"/>
      <c r="DK1557" s="101"/>
      <c r="DL1557" s="101"/>
      <c r="DM1557" s="101"/>
      <c r="DN1557" s="101"/>
      <c r="DO1557" s="101"/>
      <c r="DP1557" s="101"/>
      <c r="DQ1557" s="101"/>
    </row>
    <row r="1558" spans="1:121" s="40" customFormat="1" ht="13" x14ac:dyDescent="0.3">
      <c r="A1558" s="101"/>
      <c r="H1558" s="101"/>
      <c r="U1558" s="13"/>
      <c r="V1558" s="13"/>
      <c r="W1558" s="13"/>
      <c r="X1558" s="13"/>
      <c r="Y1558" s="13"/>
      <c r="Z1558" s="13"/>
      <c r="AA1558" s="13"/>
      <c r="AB1558" s="13"/>
      <c r="AC1558" s="13"/>
      <c r="AD1558" s="13"/>
      <c r="AE1558" s="13"/>
      <c r="AF1558" s="84"/>
      <c r="AG1558" s="84"/>
      <c r="AH1558" s="84"/>
      <c r="AI1558" s="84"/>
      <c r="AJ1558" s="84"/>
      <c r="AK1558" s="84"/>
      <c r="AL1558" s="84"/>
      <c r="AM1558" s="84"/>
      <c r="AN1558" s="84"/>
      <c r="AO1558" s="84"/>
      <c r="AP1558" s="84"/>
      <c r="AQ1558" s="84"/>
      <c r="AR1558" s="84"/>
      <c r="AS1558" s="84"/>
      <c r="AT1558" s="84"/>
      <c r="AU1558" s="84"/>
      <c r="AV1558" s="84"/>
      <c r="AW1558" s="84"/>
      <c r="AX1558" s="84"/>
      <c r="AY1558" s="84"/>
      <c r="AZ1558" s="84"/>
      <c r="BA1558" s="84"/>
      <c r="BB1558" s="84"/>
      <c r="BC1558" s="84"/>
      <c r="BD1558" s="84"/>
      <c r="BE1558" s="84"/>
      <c r="BF1558" s="84"/>
      <c r="BG1558" s="84"/>
      <c r="BH1558" s="84"/>
      <c r="BI1558" s="84"/>
      <c r="BJ1558" s="84"/>
      <c r="BK1558" s="84"/>
      <c r="BL1558" s="84"/>
      <c r="BM1558" s="84"/>
      <c r="BN1558" s="84"/>
      <c r="BO1558" s="84"/>
      <c r="BP1558" s="84"/>
      <c r="BQ1558" s="84"/>
      <c r="BR1558" s="84"/>
      <c r="BS1558" s="84"/>
      <c r="BT1558" s="84"/>
      <c r="BU1558" s="84"/>
      <c r="BV1558" s="84"/>
      <c r="BW1558" s="84"/>
      <c r="BX1558" s="84"/>
      <c r="BY1558" s="84"/>
      <c r="BZ1558" s="84"/>
      <c r="CA1558" s="84"/>
      <c r="CB1558" s="84"/>
      <c r="CC1558" s="84"/>
      <c r="CD1558" s="84"/>
      <c r="CE1558" s="84"/>
      <c r="CF1558" s="84"/>
      <c r="CG1558" s="84"/>
      <c r="CH1558" s="84"/>
      <c r="CI1558" s="84"/>
      <c r="CJ1558" s="84"/>
      <c r="CK1558" s="84"/>
      <c r="CL1558" s="84"/>
      <c r="CM1558" s="84"/>
      <c r="CN1558" s="84"/>
      <c r="CO1558" s="84"/>
      <c r="CP1558" s="84"/>
      <c r="CQ1558" s="101"/>
      <c r="CR1558" s="101"/>
      <c r="CS1558" s="101"/>
      <c r="CT1558" s="101"/>
      <c r="CU1558" s="101"/>
      <c r="CV1558" s="101"/>
      <c r="CW1558" s="101"/>
      <c r="CX1558" s="101"/>
      <c r="CY1558" s="101"/>
      <c r="CZ1558" s="101"/>
      <c r="DA1558" s="101"/>
      <c r="DB1558" s="101"/>
      <c r="DC1558" s="101"/>
      <c r="DD1558" s="101"/>
      <c r="DE1558" s="101"/>
      <c r="DF1558" s="101"/>
      <c r="DG1558" s="101"/>
      <c r="DH1558" s="101"/>
      <c r="DI1558" s="101"/>
      <c r="DJ1558" s="101"/>
      <c r="DK1558" s="101"/>
      <c r="DL1558" s="101"/>
      <c r="DM1558" s="101"/>
      <c r="DN1558" s="101"/>
      <c r="DO1558" s="101"/>
      <c r="DP1558" s="101"/>
      <c r="DQ1558" s="101"/>
    </row>
    <row r="1559" spans="1:121" s="40" customFormat="1" ht="13" x14ac:dyDescent="0.3">
      <c r="A1559" s="101"/>
      <c r="H1559" s="101"/>
      <c r="U1559" s="13"/>
      <c r="V1559" s="13"/>
      <c r="W1559" s="13"/>
      <c r="X1559" s="13"/>
      <c r="Y1559" s="13"/>
      <c r="Z1559" s="13"/>
      <c r="AA1559" s="13"/>
      <c r="AB1559" s="13"/>
      <c r="AC1559" s="13"/>
      <c r="AD1559" s="13"/>
      <c r="AE1559" s="13"/>
      <c r="AF1559" s="84"/>
      <c r="AG1559" s="84"/>
      <c r="AH1559" s="84"/>
      <c r="AI1559" s="84"/>
      <c r="AJ1559" s="84"/>
      <c r="AK1559" s="84"/>
      <c r="AL1559" s="84"/>
      <c r="AM1559" s="84"/>
      <c r="AN1559" s="84"/>
      <c r="AO1559" s="84"/>
      <c r="AP1559" s="84"/>
      <c r="AQ1559" s="84"/>
      <c r="AR1559" s="84"/>
      <c r="AS1559" s="84"/>
      <c r="AT1559" s="84"/>
      <c r="AU1559" s="84"/>
      <c r="AV1559" s="84"/>
      <c r="AW1559" s="84"/>
      <c r="AX1559" s="84"/>
      <c r="AY1559" s="84"/>
      <c r="AZ1559" s="84"/>
      <c r="BA1559" s="84"/>
      <c r="BB1559" s="84"/>
      <c r="BC1559" s="84"/>
      <c r="BD1559" s="84"/>
      <c r="BE1559" s="84"/>
      <c r="BF1559" s="84"/>
      <c r="BG1559" s="84"/>
      <c r="BH1559" s="84"/>
      <c r="BI1559" s="84"/>
      <c r="BJ1559" s="84"/>
      <c r="BK1559" s="84"/>
      <c r="BL1559" s="84"/>
      <c r="BM1559" s="84"/>
      <c r="BN1559" s="84"/>
      <c r="BO1559" s="84"/>
      <c r="BP1559" s="84"/>
      <c r="BQ1559" s="84"/>
      <c r="BR1559" s="84"/>
      <c r="BS1559" s="84"/>
      <c r="BT1559" s="84"/>
      <c r="BU1559" s="84"/>
      <c r="BV1559" s="84"/>
      <c r="BW1559" s="84"/>
      <c r="BX1559" s="84"/>
      <c r="BY1559" s="84"/>
      <c r="BZ1559" s="84"/>
      <c r="CA1559" s="84"/>
      <c r="CB1559" s="84"/>
      <c r="CC1559" s="84"/>
      <c r="CD1559" s="84"/>
      <c r="CE1559" s="84"/>
      <c r="CF1559" s="84"/>
      <c r="CG1559" s="84"/>
      <c r="CH1559" s="84"/>
      <c r="CI1559" s="84"/>
      <c r="CJ1559" s="84"/>
      <c r="CK1559" s="84"/>
      <c r="CL1559" s="84"/>
      <c r="CM1559" s="84"/>
      <c r="CN1559" s="84"/>
      <c r="CO1559" s="84"/>
      <c r="CP1559" s="84"/>
      <c r="CQ1559" s="101"/>
      <c r="CR1559" s="101"/>
      <c r="CS1559" s="101"/>
      <c r="CT1559" s="101"/>
      <c r="CU1559" s="101"/>
      <c r="CV1559" s="101"/>
      <c r="CW1559" s="101"/>
      <c r="CX1559" s="101"/>
      <c r="CY1559" s="101"/>
      <c r="CZ1559" s="101"/>
      <c r="DA1559" s="101"/>
      <c r="DB1559" s="101"/>
      <c r="DC1559" s="101"/>
      <c r="DD1559" s="101"/>
      <c r="DE1559" s="101"/>
      <c r="DF1559" s="101"/>
      <c r="DG1559" s="101"/>
      <c r="DH1559" s="101"/>
      <c r="DI1559" s="101"/>
      <c r="DJ1559" s="101"/>
      <c r="DK1559" s="101"/>
      <c r="DL1559" s="101"/>
      <c r="DM1559" s="101"/>
      <c r="DN1559" s="101"/>
      <c r="DO1559" s="101"/>
      <c r="DP1559" s="101"/>
      <c r="DQ1559" s="101"/>
    </row>
    <row r="1560" spans="1:121" s="40" customFormat="1" ht="13" x14ac:dyDescent="0.3">
      <c r="A1560" s="101"/>
      <c r="H1560" s="101"/>
      <c r="U1560" s="13"/>
      <c r="V1560" s="13"/>
      <c r="W1560" s="13"/>
      <c r="X1560" s="13"/>
      <c r="Y1560" s="13"/>
      <c r="Z1560" s="13"/>
      <c r="AA1560" s="13"/>
      <c r="AB1560" s="13"/>
      <c r="AC1560" s="13"/>
      <c r="AD1560" s="13"/>
      <c r="AE1560" s="13"/>
      <c r="AF1560" s="84"/>
      <c r="AG1560" s="84"/>
      <c r="AH1560" s="84"/>
      <c r="AI1560" s="84"/>
      <c r="AJ1560" s="84"/>
      <c r="AK1560" s="84"/>
      <c r="AL1560" s="84"/>
      <c r="AM1560" s="84"/>
      <c r="AN1560" s="84"/>
      <c r="AO1560" s="84"/>
      <c r="AP1560" s="84"/>
      <c r="AQ1560" s="84"/>
      <c r="AR1560" s="84"/>
      <c r="AS1560" s="84"/>
      <c r="AT1560" s="84"/>
      <c r="AU1560" s="84"/>
      <c r="AV1560" s="84"/>
      <c r="AW1560" s="84"/>
      <c r="AX1560" s="84"/>
      <c r="AY1560" s="84"/>
      <c r="AZ1560" s="84"/>
      <c r="BA1560" s="84"/>
      <c r="BB1560" s="84"/>
      <c r="BC1560" s="84"/>
      <c r="BD1560" s="84"/>
      <c r="BE1560" s="84"/>
      <c r="BF1560" s="84"/>
      <c r="BG1560" s="84"/>
      <c r="BH1560" s="84"/>
      <c r="BI1560" s="84"/>
      <c r="BJ1560" s="84"/>
      <c r="BK1560" s="84"/>
      <c r="BL1560" s="84"/>
      <c r="BM1560" s="84"/>
      <c r="BN1560" s="84"/>
      <c r="BO1560" s="84"/>
      <c r="BP1560" s="84"/>
      <c r="BQ1560" s="84"/>
      <c r="BR1560" s="84"/>
      <c r="BS1560" s="84"/>
      <c r="BT1560" s="84"/>
      <c r="BU1560" s="84"/>
      <c r="BV1560" s="84"/>
      <c r="BW1560" s="84"/>
      <c r="BX1560" s="84"/>
      <c r="BY1560" s="84"/>
      <c r="BZ1560" s="84"/>
      <c r="CA1560" s="84"/>
      <c r="CB1560" s="84"/>
      <c r="CC1560" s="84"/>
      <c r="CD1560" s="84"/>
      <c r="CE1560" s="84"/>
      <c r="CF1560" s="84"/>
      <c r="CG1560" s="84"/>
      <c r="CH1560" s="84"/>
      <c r="CI1560" s="84"/>
      <c r="CJ1560" s="84"/>
      <c r="CK1560" s="84"/>
      <c r="CL1560" s="84"/>
      <c r="CM1560" s="84"/>
      <c r="CN1560" s="84"/>
      <c r="CO1560" s="84"/>
      <c r="CP1560" s="84"/>
      <c r="CQ1560" s="101"/>
      <c r="CR1560" s="101"/>
      <c r="CS1560" s="101"/>
      <c r="CT1560" s="101"/>
      <c r="CU1560" s="101"/>
      <c r="CV1560" s="101"/>
      <c r="CW1560" s="101"/>
      <c r="CX1560" s="101"/>
      <c r="CY1560" s="101"/>
      <c r="CZ1560" s="101"/>
      <c r="DA1560" s="101"/>
      <c r="DB1560" s="101"/>
      <c r="DC1560" s="101"/>
      <c r="DD1560" s="101"/>
      <c r="DE1560" s="101"/>
      <c r="DF1560" s="101"/>
      <c r="DG1560" s="101"/>
      <c r="DH1560" s="101"/>
      <c r="DI1560" s="101"/>
      <c r="DJ1560" s="101"/>
      <c r="DK1560" s="101"/>
      <c r="DL1560" s="101"/>
      <c r="DM1560" s="101"/>
      <c r="DN1560" s="101"/>
      <c r="DO1560" s="101"/>
      <c r="DP1560" s="101"/>
      <c r="DQ1560" s="101"/>
    </row>
    <row r="1561" spans="1:121" s="40" customFormat="1" ht="13" x14ac:dyDescent="0.3">
      <c r="A1561" s="101"/>
      <c r="H1561" s="101"/>
      <c r="U1561" s="13"/>
      <c r="V1561" s="13"/>
      <c r="W1561" s="13"/>
      <c r="X1561" s="13"/>
      <c r="Y1561" s="13"/>
      <c r="Z1561" s="13"/>
      <c r="AA1561" s="13"/>
      <c r="AB1561" s="13"/>
      <c r="AC1561" s="13"/>
      <c r="AD1561" s="13"/>
      <c r="AE1561" s="13"/>
      <c r="AF1561" s="84"/>
      <c r="AG1561" s="84"/>
      <c r="AH1561" s="84"/>
      <c r="AI1561" s="84"/>
      <c r="AJ1561" s="84"/>
      <c r="AK1561" s="84"/>
      <c r="AL1561" s="84"/>
      <c r="AM1561" s="84"/>
      <c r="AN1561" s="84"/>
      <c r="AO1561" s="84"/>
      <c r="AP1561" s="84"/>
      <c r="AQ1561" s="84"/>
      <c r="AR1561" s="84"/>
      <c r="AS1561" s="84"/>
      <c r="AT1561" s="84"/>
      <c r="AU1561" s="84"/>
      <c r="AV1561" s="84"/>
      <c r="AW1561" s="84"/>
      <c r="AX1561" s="84"/>
      <c r="AY1561" s="84"/>
      <c r="AZ1561" s="84"/>
      <c r="BA1561" s="84"/>
      <c r="BB1561" s="84"/>
      <c r="BC1561" s="84"/>
      <c r="BD1561" s="84"/>
      <c r="BE1561" s="84"/>
      <c r="BF1561" s="84"/>
      <c r="BG1561" s="84"/>
      <c r="BH1561" s="84"/>
      <c r="BI1561" s="84"/>
      <c r="BJ1561" s="84"/>
      <c r="BK1561" s="84"/>
      <c r="BL1561" s="84"/>
      <c r="BM1561" s="84"/>
      <c r="BN1561" s="84"/>
      <c r="BO1561" s="84"/>
      <c r="BP1561" s="84"/>
      <c r="BQ1561" s="84"/>
      <c r="BR1561" s="84"/>
      <c r="BS1561" s="84"/>
      <c r="BT1561" s="84"/>
      <c r="BU1561" s="84"/>
      <c r="BV1561" s="84"/>
      <c r="BW1561" s="84"/>
      <c r="BX1561" s="84"/>
      <c r="BY1561" s="84"/>
      <c r="BZ1561" s="84"/>
      <c r="CA1561" s="84"/>
      <c r="CB1561" s="84"/>
      <c r="CC1561" s="84"/>
      <c r="CD1561" s="84"/>
      <c r="CE1561" s="84"/>
      <c r="CF1561" s="84"/>
      <c r="CG1561" s="84"/>
      <c r="CH1561" s="84"/>
      <c r="CI1561" s="84"/>
      <c r="CJ1561" s="84"/>
      <c r="CK1561" s="84"/>
      <c r="CL1561" s="84"/>
      <c r="CM1561" s="84"/>
      <c r="CN1561" s="84"/>
      <c r="CO1561" s="84"/>
      <c r="CP1561" s="84"/>
      <c r="CQ1561" s="101"/>
      <c r="CR1561" s="101"/>
      <c r="CS1561" s="101"/>
      <c r="CT1561" s="101"/>
      <c r="CU1561" s="101"/>
      <c r="CV1561" s="101"/>
      <c r="CW1561" s="101"/>
      <c r="CX1561" s="101"/>
      <c r="CY1561" s="101"/>
      <c r="CZ1561" s="101"/>
      <c r="DA1561" s="101"/>
      <c r="DB1561" s="101"/>
      <c r="DC1561" s="101"/>
      <c r="DD1561" s="101"/>
      <c r="DE1561" s="101"/>
      <c r="DF1561" s="101"/>
      <c r="DG1561" s="101"/>
      <c r="DH1561" s="101"/>
      <c r="DI1561" s="101"/>
      <c r="DJ1561" s="101"/>
      <c r="DK1561" s="101"/>
      <c r="DL1561" s="101"/>
      <c r="DM1561" s="101"/>
      <c r="DN1561" s="101"/>
      <c r="DO1561" s="101"/>
      <c r="DP1561" s="101"/>
      <c r="DQ1561" s="101"/>
    </row>
    <row r="1562" spans="1:121" s="40" customFormat="1" ht="13" x14ac:dyDescent="0.3">
      <c r="A1562" s="101"/>
      <c r="H1562" s="101"/>
      <c r="U1562" s="13"/>
      <c r="V1562" s="13"/>
      <c r="W1562" s="13"/>
      <c r="X1562" s="13"/>
      <c r="Y1562" s="13"/>
      <c r="Z1562" s="13"/>
      <c r="AA1562" s="13"/>
      <c r="AB1562" s="13"/>
      <c r="AC1562" s="13"/>
      <c r="AD1562" s="13"/>
      <c r="AE1562" s="13"/>
      <c r="AF1562" s="84"/>
      <c r="AG1562" s="84"/>
      <c r="AH1562" s="84"/>
      <c r="AI1562" s="84"/>
      <c r="AJ1562" s="84"/>
      <c r="AK1562" s="84"/>
      <c r="AL1562" s="84"/>
      <c r="AM1562" s="84"/>
      <c r="AN1562" s="84"/>
      <c r="AO1562" s="84"/>
      <c r="AP1562" s="84"/>
      <c r="AQ1562" s="84"/>
      <c r="AR1562" s="84"/>
      <c r="AS1562" s="84"/>
      <c r="AT1562" s="84"/>
      <c r="AU1562" s="84"/>
      <c r="AV1562" s="84"/>
      <c r="AW1562" s="84"/>
      <c r="AX1562" s="84"/>
      <c r="AY1562" s="84"/>
      <c r="AZ1562" s="84"/>
      <c r="BA1562" s="84"/>
      <c r="BB1562" s="84"/>
      <c r="BC1562" s="84"/>
      <c r="BD1562" s="84"/>
      <c r="BE1562" s="84"/>
      <c r="BF1562" s="84"/>
      <c r="BG1562" s="84"/>
      <c r="BH1562" s="84"/>
      <c r="BI1562" s="84"/>
      <c r="BJ1562" s="84"/>
      <c r="BK1562" s="84"/>
      <c r="BL1562" s="84"/>
      <c r="BM1562" s="84"/>
      <c r="BN1562" s="84"/>
      <c r="BO1562" s="84"/>
      <c r="BP1562" s="84"/>
      <c r="BQ1562" s="84"/>
      <c r="BR1562" s="84"/>
      <c r="BS1562" s="84"/>
      <c r="BT1562" s="84"/>
      <c r="BU1562" s="84"/>
      <c r="BV1562" s="84"/>
      <c r="BW1562" s="84"/>
      <c r="BX1562" s="84"/>
      <c r="BY1562" s="84"/>
      <c r="BZ1562" s="84"/>
      <c r="CA1562" s="84"/>
      <c r="CB1562" s="84"/>
      <c r="CC1562" s="84"/>
      <c r="CD1562" s="84"/>
      <c r="CE1562" s="84"/>
      <c r="CF1562" s="84"/>
      <c r="CG1562" s="84"/>
      <c r="CH1562" s="84"/>
      <c r="CI1562" s="84"/>
      <c r="CJ1562" s="84"/>
      <c r="CK1562" s="84"/>
      <c r="CL1562" s="84"/>
      <c r="CM1562" s="84"/>
      <c r="CN1562" s="84"/>
      <c r="CO1562" s="84"/>
      <c r="CP1562" s="84"/>
      <c r="CQ1562" s="101"/>
      <c r="CR1562" s="101"/>
      <c r="CS1562" s="101"/>
      <c r="CT1562" s="101"/>
      <c r="CU1562" s="101"/>
      <c r="CV1562" s="101"/>
      <c r="CW1562" s="101"/>
      <c r="CX1562" s="101"/>
      <c r="CY1562" s="101"/>
      <c r="CZ1562" s="101"/>
      <c r="DA1562" s="101"/>
      <c r="DB1562" s="101"/>
      <c r="DC1562" s="101"/>
      <c r="DD1562" s="101"/>
      <c r="DE1562" s="101"/>
      <c r="DF1562" s="101"/>
      <c r="DG1562" s="101"/>
      <c r="DH1562" s="101"/>
      <c r="DI1562" s="101"/>
      <c r="DJ1562" s="101"/>
      <c r="DK1562" s="101"/>
      <c r="DL1562" s="101"/>
      <c r="DM1562" s="101"/>
      <c r="DN1562" s="101"/>
      <c r="DO1562" s="101"/>
      <c r="DP1562" s="101"/>
      <c r="DQ1562" s="101"/>
    </row>
    <row r="1563" spans="1:121" s="40" customFormat="1" ht="13" x14ac:dyDescent="0.3">
      <c r="A1563" s="101"/>
      <c r="H1563" s="101"/>
      <c r="U1563" s="13"/>
      <c r="V1563" s="13"/>
      <c r="W1563" s="13"/>
      <c r="X1563" s="13"/>
      <c r="Y1563" s="13"/>
      <c r="Z1563" s="13"/>
      <c r="AA1563" s="13"/>
      <c r="AB1563" s="13"/>
      <c r="AC1563" s="13"/>
      <c r="AD1563" s="13"/>
      <c r="AE1563" s="13"/>
      <c r="AF1563" s="84"/>
      <c r="AG1563" s="84"/>
      <c r="AH1563" s="84"/>
      <c r="AI1563" s="84"/>
      <c r="AJ1563" s="84"/>
      <c r="AK1563" s="84"/>
      <c r="AL1563" s="84"/>
      <c r="AM1563" s="84"/>
      <c r="AN1563" s="84"/>
      <c r="AO1563" s="84"/>
      <c r="AP1563" s="84"/>
      <c r="AQ1563" s="84"/>
      <c r="AR1563" s="84"/>
      <c r="AS1563" s="84"/>
      <c r="AT1563" s="84"/>
      <c r="AU1563" s="84"/>
      <c r="AV1563" s="84"/>
      <c r="AW1563" s="84"/>
      <c r="AX1563" s="84"/>
      <c r="AY1563" s="84"/>
      <c r="AZ1563" s="84"/>
      <c r="BA1563" s="84"/>
      <c r="BB1563" s="84"/>
      <c r="BC1563" s="84"/>
      <c r="BD1563" s="84"/>
      <c r="BE1563" s="84"/>
      <c r="BF1563" s="84"/>
      <c r="BG1563" s="84"/>
      <c r="BH1563" s="84"/>
      <c r="BI1563" s="84"/>
      <c r="BJ1563" s="84"/>
      <c r="BK1563" s="84"/>
      <c r="BL1563" s="84"/>
      <c r="BM1563" s="84"/>
      <c r="BN1563" s="84"/>
      <c r="BO1563" s="84"/>
      <c r="BP1563" s="84"/>
      <c r="BQ1563" s="84"/>
      <c r="BR1563" s="84"/>
      <c r="BS1563" s="84"/>
      <c r="BT1563" s="84"/>
      <c r="BU1563" s="84"/>
      <c r="BV1563" s="84"/>
      <c r="BW1563" s="84"/>
      <c r="BX1563" s="84"/>
      <c r="BY1563" s="84"/>
      <c r="BZ1563" s="84"/>
      <c r="CA1563" s="84"/>
      <c r="CB1563" s="84"/>
      <c r="CC1563" s="84"/>
      <c r="CD1563" s="84"/>
      <c r="CE1563" s="84"/>
      <c r="CF1563" s="84"/>
      <c r="CG1563" s="84"/>
      <c r="CH1563" s="84"/>
      <c r="CI1563" s="84"/>
      <c r="CJ1563" s="84"/>
      <c r="CK1563" s="84"/>
      <c r="CL1563" s="84"/>
      <c r="CM1563" s="84"/>
      <c r="CN1563" s="84"/>
      <c r="CO1563" s="84"/>
      <c r="CP1563" s="84"/>
      <c r="CQ1563" s="101"/>
      <c r="CR1563" s="101"/>
      <c r="CS1563" s="101"/>
      <c r="CT1563" s="101"/>
      <c r="CU1563" s="101"/>
      <c r="CV1563" s="101"/>
      <c r="CW1563" s="101"/>
      <c r="CX1563" s="101"/>
      <c r="CY1563" s="101"/>
      <c r="CZ1563" s="101"/>
      <c r="DA1563" s="101"/>
      <c r="DB1563" s="101"/>
      <c r="DC1563" s="101"/>
      <c r="DD1563" s="101"/>
      <c r="DE1563" s="101"/>
      <c r="DF1563" s="101"/>
      <c r="DG1563" s="101"/>
      <c r="DH1563" s="101"/>
      <c r="DI1563" s="101"/>
      <c r="DJ1563" s="101"/>
      <c r="DK1563" s="101"/>
      <c r="DL1563" s="101"/>
      <c r="DM1563" s="101"/>
      <c r="DN1563" s="101"/>
      <c r="DO1563" s="101"/>
      <c r="DP1563" s="101"/>
      <c r="DQ1563" s="101"/>
    </row>
    <row r="1564" spans="1:121" s="40" customFormat="1" ht="13" x14ac:dyDescent="0.3">
      <c r="A1564" s="101"/>
      <c r="H1564" s="101"/>
      <c r="U1564" s="13"/>
      <c r="V1564" s="13"/>
      <c r="W1564" s="13"/>
      <c r="X1564" s="13"/>
      <c r="Y1564" s="13"/>
      <c r="Z1564" s="13"/>
      <c r="AA1564" s="13"/>
      <c r="AB1564" s="13"/>
      <c r="AC1564" s="13"/>
      <c r="AD1564" s="13"/>
      <c r="AE1564" s="13"/>
      <c r="AF1564" s="84"/>
      <c r="AG1564" s="84"/>
      <c r="AH1564" s="84"/>
      <c r="AI1564" s="84"/>
      <c r="AJ1564" s="84"/>
      <c r="AK1564" s="84"/>
      <c r="AL1564" s="84"/>
      <c r="AM1564" s="84"/>
      <c r="AN1564" s="84"/>
      <c r="AO1564" s="84"/>
      <c r="AP1564" s="84"/>
      <c r="AQ1564" s="84"/>
      <c r="AR1564" s="84"/>
      <c r="AS1564" s="84"/>
      <c r="AT1564" s="84"/>
      <c r="AU1564" s="84"/>
      <c r="AV1564" s="84"/>
      <c r="AW1564" s="84"/>
      <c r="AX1564" s="84"/>
      <c r="AY1564" s="84"/>
      <c r="AZ1564" s="84"/>
      <c r="BA1564" s="84"/>
      <c r="BB1564" s="84"/>
      <c r="BC1564" s="84"/>
      <c r="BD1564" s="84"/>
      <c r="BE1564" s="84"/>
      <c r="BF1564" s="84"/>
      <c r="BG1564" s="84"/>
      <c r="BH1564" s="84"/>
      <c r="BI1564" s="84"/>
      <c r="BJ1564" s="84"/>
      <c r="BK1564" s="84"/>
      <c r="BL1564" s="84"/>
      <c r="BM1564" s="84"/>
      <c r="BN1564" s="84"/>
      <c r="BO1564" s="84"/>
      <c r="BP1564" s="84"/>
      <c r="BQ1564" s="84"/>
      <c r="BR1564" s="84"/>
      <c r="BS1564" s="84"/>
      <c r="BT1564" s="84"/>
      <c r="BU1564" s="84"/>
      <c r="BV1564" s="84"/>
      <c r="BW1564" s="84"/>
      <c r="BX1564" s="84"/>
      <c r="BY1564" s="84"/>
      <c r="BZ1564" s="84"/>
      <c r="CA1564" s="84"/>
      <c r="CB1564" s="84"/>
      <c r="CC1564" s="84"/>
      <c r="CD1564" s="84"/>
      <c r="CE1564" s="84"/>
      <c r="CF1564" s="84"/>
      <c r="CG1564" s="84"/>
      <c r="CH1564" s="84"/>
      <c r="CI1564" s="84"/>
      <c r="CJ1564" s="84"/>
      <c r="CK1564" s="84"/>
      <c r="CL1564" s="84"/>
      <c r="CM1564" s="84"/>
      <c r="CN1564" s="84"/>
      <c r="CO1564" s="84"/>
      <c r="CP1564" s="84"/>
      <c r="CQ1564" s="101"/>
      <c r="CR1564" s="101"/>
      <c r="CS1564" s="101"/>
      <c r="CT1564" s="101"/>
      <c r="CU1564" s="101"/>
      <c r="CV1564" s="101"/>
      <c r="CW1564" s="101"/>
      <c r="CX1564" s="101"/>
      <c r="CY1564" s="101"/>
      <c r="CZ1564" s="101"/>
      <c r="DA1564" s="101"/>
      <c r="DB1564" s="101"/>
      <c r="DC1564" s="101"/>
      <c r="DD1564" s="101"/>
      <c r="DE1564" s="101"/>
      <c r="DF1564" s="101"/>
      <c r="DG1564" s="101"/>
      <c r="DH1564" s="101"/>
      <c r="DI1564" s="101"/>
      <c r="DJ1564" s="101"/>
      <c r="DK1564" s="101"/>
      <c r="DL1564" s="101"/>
      <c r="DM1564" s="101"/>
      <c r="DN1564" s="101"/>
      <c r="DO1564" s="101"/>
      <c r="DP1564" s="101"/>
      <c r="DQ1564" s="101"/>
    </row>
    <row r="1565" spans="1:121" s="40" customFormat="1" ht="13" x14ac:dyDescent="0.3">
      <c r="A1565" s="101"/>
      <c r="H1565" s="101"/>
      <c r="U1565" s="13"/>
      <c r="V1565" s="13"/>
      <c r="W1565" s="13"/>
      <c r="X1565" s="13"/>
      <c r="Y1565" s="13"/>
      <c r="Z1565" s="13"/>
      <c r="AA1565" s="13"/>
      <c r="AB1565" s="13"/>
      <c r="AC1565" s="13"/>
      <c r="AD1565" s="13"/>
      <c r="AE1565" s="13"/>
      <c r="AF1565" s="84"/>
      <c r="AG1565" s="84"/>
      <c r="AH1565" s="84"/>
      <c r="AI1565" s="84"/>
      <c r="AJ1565" s="84"/>
      <c r="AK1565" s="84"/>
      <c r="AL1565" s="84"/>
      <c r="AM1565" s="84"/>
      <c r="AN1565" s="84"/>
      <c r="AO1565" s="84"/>
      <c r="AP1565" s="84"/>
      <c r="AQ1565" s="84"/>
      <c r="AR1565" s="84"/>
      <c r="AS1565" s="84"/>
      <c r="AT1565" s="84"/>
      <c r="AU1565" s="84"/>
      <c r="AV1565" s="84"/>
      <c r="AW1565" s="84"/>
      <c r="AX1565" s="84"/>
      <c r="AY1565" s="84"/>
      <c r="AZ1565" s="84"/>
      <c r="BA1565" s="84"/>
      <c r="BB1565" s="84"/>
      <c r="BC1565" s="84"/>
      <c r="BD1565" s="84"/>
      <c r="BE1565" s="84"/>
      <c r="BF1565" s="84"/>
      <c r="BG1565" s="84"/>
      <c r="BH1565" s="84"/>
      <c r="BI1565" s="84"/>
      <c r="BJ1565" s="84"/>
      <c r="BK1565" s="84"/>
      <c r="BL1565" s="84"/>
      <c r="BM1565" s="84"/>
      <c r="BN1565" s="84"/>
      <c r="BO1565" s="84"/>
      <c r="BP1565" s="84"/>
      <c r="BQ1565" s="84"/>
      <c r="BR1565" s="84"/>
      <c r="BS1565" s="84"/>
      <c r="BT1565" s="84"/>
      <c r="BU1565" s="84"/>
      <c r="BV1565" s="84"/>
      <c r="BW1565" s="84"/>
      <c r="BX1565" s="84"/>
      <c r="BY1565" s="84"/>
      <c r="BZ1565" s="84"/>
      <c r="CA1565" s="84"/>
      <c r="CB1565" s="84"/>
      <c r="CC1565" s="84"/>
      <c r="CD1565" s="84"/>
      <c r="CE1565" s="84"/>
      <c r="CF1565" s="84"/>
      <c r="CG1565" s="84"/>
      <c r="CH1565" s="84"/>
      <c r="CI1565" s="84"/>
      <c r="CJ1565" s="84"/>
      <c r="CK1565" s="84"/>
      <c r="CL1565" s="84"/>
      <c r="CM1565" s="84"/>
      <c r="CN1565" s="84"/>
      <c r="CO1565" s="84"/>
      <c r="CP1565" s="84"/>
      <c r="CQ1565" s="101"/>
      <c r="CR1565" s="101"/>
      <c r="CS1565" s="101"/>
      <c r="CT1565" s="101"/>
      <c r="CU1565" s="101"/>
      <c r="CV1565" s="101"/>
      <c r="CW1565" s="101"/>
      <c r="CX1565" s="101"/>
      <c r="CY1565" s="101"/>
      <c r="CZ1565" s="101"/>
      <c r="DA1565" s="101"/>
      <c r="DB1565" s="101"/>
      <c r="DC1565" s="101"/>
      <c r="DD1565" s="101"/>
      <c r="DE1565" s="101"/>
      <c r="DF1565" s="101"/>
      <c r="DG1565" s="101"/>
      <c r="DH1565" s="101"/>
      <c r="DI1565" s="101"/>
      <c r="DJ1565" s="101"/>
      <c r="DK1565" s="101"/>
      <c r="DL1565" s="101"/>
      <c r="DM1565" s="101"/>
      <c r="DN1565" s="101"/>
      <c r="DO1565" s="101"/>
      <c r="DP1565" s="101"/>
      <c r="DQ1565" s="101"/>
    </row>
    <row r="1566" spans="1:121" s="40" customFormat="1" ht="13" x14ac:dyDescent="0.3">
      <c r="A1566" s="101"/>
      <c r="H1566" s="101"/>
      <c r="U1566" s="13"/>
      <c r="V1566" s="13"/>
      <c r="W1566" s="13"/>
      <c r="X1566" s="13"/>
      <c r="Y1566" s="13"/>
      <c r="Z1566" s="13"/>
      <c r="AA1566" s="13"/>
      <c r="AB1566" s="13"/>
      <c r="AC1566" s="13"/>
      <c r="AD1566" s="13"/>
      <c r="AE1566" s="13"/>
      <c r="AF1566" s="84"/>
      <c r="AG1566" s="84"/>
      <c r="AH1566" s="84"/>
      <c r="AI1566" s="84"/>
      <c r="AJ1566" s="84"/>
      <c r="AK1566" s="84"/>
      <c r="AL1566" s="84"/>
      <c r="AM1566" s="84"/>
      <c r="AN1566" s="84"/>
      <c r="AO1566" s="84"/>
      <c r="AP1566" s="84"/>
      <c r="AQ1566" s="84"/>
      <c r="AR1566" s="84"/>
      <c r="AS1566" s="84"/>
      <c r="AT1566" s="84"/>
      <c r="AU1566" s="84"/>
      <c r="AV1566" s="84"/>
      <c r="AW1566" s="84"/>
      <c r="AX1566" s="84"/>
      <c r="AY1566" s="84"/>
      <c r="AZ1566" s="84"/>
      <c r="BA1566" s="84"/>
      <c r="BB1566" s="84"/>
      <c r="BC1566" s="84"/>
      <c r="BD1566" s="84"/>
      <c r="BE1566" s="84"/>
      <c r="BF1566" s="84"/>
      <c r="BG1566" s="84"/>
      <c r="BH1566" s="84"/>
      <c r="BI1566" s="84"/>
      <c r="BJ1566" s="84"/>
      <c r="BK1566" s="84"/>
      <c r="BL1566" s="84"/>
      <c r="BM1566" s="84"/>
      <c r="BN1566" s="84"/>
      <c r="BO1566" s="84"/>
      <c r="BP1566" s="84"/>
      <c r="BQ1566" s="84"/>
      <c r="BR1566" s="84"/>
      <c r="BS1566" s="84"/>
      <c r="BT1566" s="84"/>
      <c r="BU1566" s="84"/>
      <c r="BV1566" s="84"/>
      <c r="BW1566" s="84"/>
      <c r="BX1566" s="84"/>
      <c r="BY1566" s="84"/>
      <c r="BZ1566" s="84"/>
      <c r="CA1566" s="84"/>
      <c r="CB1566" s="84"/>
      <c r="CC1566" s="84"/>
      <c r="CD1566" s="84"/>
      <c r="CE1566" s="84"/>
      <c r="CF1566" s="84"/>
      <c r="CG1566" s="84"/>
      <c r="CH1566" s="84"/>
      <c r="CI1566" s="84"/>
      <c r="CJ1566" s="84"/>
      <c r="CK1566" s="84"/>
      <c r="CL1566" s="84"/>
      <c r="CM1566" s="84"/>
      <c r="CN1566" s="84"/>
      <c r="CO1566" s="84"/>
      <c r="CP1566" s="84"/>
      <c r="CQ1566" s="101"/>
      <c r="CR1566" s="101"/>
      <c r="CS1566" s="101"/>
      <c r="CT1566" s="101"/>
      <c r="CU1566" s="101"/>
      <c r="CV1566" s="101"/>
      <c r="CW1566" s="101"/>
      <c r="CX1566" s="101"/>
      <c r="CY1566" s="101"/>
      <c r="CZ1566" s="101"/>
      <c r="DA1566" s="101"/>
      <c r="DB1566" s="101"/>
      <c r="DC1566" s="101"/>
      <c r="DD1566" s="101"/>
      <c r="DE1566" s="101"/>
      <c r="DF1566" s="101"/>
      <c r="DG1566" s="101"/>
      <c r="DH1566" s="101"/>
      <c r="DI1566" s="101"/>
      <c r="DJ1566" s="101"/>
      <c r="DK1566" s="101"/>
      <c r="DL1566" s="101"/>
      <c r="DM1566" s="101"/>
      <c r="DN1566" s="101"/>
      <c r="DO1566" s="101"/>
      <c r="DP1566" s="101"/>
      <c r="DQ1566" s="101"/>
    </row>
    <row r="1567" spans="1:121" s="40" customFormat="1" ht="13" x14ac:dyDescent="0.3">
      <c r="A1567" s="101"/>
      <c r="H1567" s="101"/>
      <c r="U1567" s="13"/>
      <c r="V1567" s="13"/>
      <c r="W1567" s="13"/>
      <c r="X1567" s="13"/>
      <c r="Y1567" s="13"/>
      <c r="Z1567" s="13"/>
      <c r="AA1567" s="13"/>
      <c r="AB1567" s="13"/>
      <c r="AC1567" s="13"/>
      <c r="AD1567" s="13"/>
      <c r="AE1567" s="13"/>
      <c r="AF1567" s="84"/>
      <c r="AG1567" s="84"/>
      <c r="AH1567" s="84"/>
      <c r="AI1567" s="84"/>
      <c r="AJ1567" s="84"/>
      <c r="AK1567" s="84"/>
      <c r="AL1567" s="84"/>
      <c r="AM1567" s="84"/>
      <c r="AN1567" s="84"/>
      <c r="AO1567" s="84"/>
      <c r="AP1567" s="84"/>
      <c r="AQ1567" s="84"/>
      <c r="AR1567" s="84"/>
      <c r="AS1567" s="84"/>
      <c r="AT1567" s="84"/>
      <c r="AU1567" s="84"/>
      <c r="AV1567" s="84"/>
      <c r="AW1567" s="84"/>
      <c r="AX1567" s="84"/>
      <c r="AY1567" s="84"/>
      <c r="AZ1567" s="84"/>
      <c r="BA1567" s="84"/>
      <c r="BB1567" s="84"/>
      <c r="BC1567" s="84"/>
      <c r="BD1567" s="84"/>
      <c r="BE1567" s="84"/>
      <c r="BF1567" s="84"/>
      <c r="BG1567" s="84"/>
      <c r="BH1567" s="84"/>
      <c r="BI1567" s="84"/>
      <c r="BJ1567" s="84"/>
      <c r="BK1567" s="84"/>
      <c r="BL1567" s="84"/>
      <c r="BM1567" s="84"/>
      <c r="BN1567" s="84"/>
      <c r="BO1567" s="84"/>
      <c r="BP1567" s="84"/>
      <c r="BQ1567" s="84"/>
      <c r="BR1567" s="84"/>
      <c r="BS1567" s="84"/>
      <c r="BT1567" s="84"/>
      <c r="BU1567" s="84"/>
      <c r="BV1567" s="84"/>
      <c r="BW1567" s="84"/>
      <c r="BX1567" s="84"/>
      <c r="BY1567" s="84"/>
      <c r="BZ1567" s="84"/>
      <c r="CA1567" s="84"/>
      <c r="CB1567" s="84"/>
      <c r="CC1567" s="84"/>
      <c r="CD1567" s="84"/>
      <c r="CE1567" s="84"/>
      <c r="CF1567" s="84"/>
      <c r="CG1567" s="84"/>
      <c r="CH1567" s="84"/>
      <c r="CI1567" s="84"/>
      <c r="CJ1567" s="84"/>
      <c r="CK1567" s="84"/>
      <c r="CL1567" s="84"/>
      <c r="CM1567" s="84"/>
      <c r="CN1567" s="84"/>
      <c r="CO1567" s="84"/>
      <c r="CP1567" s="84"/>
      <c r="CQ1567" s="101"/>
      <c r="CR1567" s="101"/>
      <c r="CS1567" s="101"/>
      <c r="CT1567" s="101"/>
      <c r="CU1567" s="101"/>
      <c r="CV1567" s="101"/>
      <c r="CW1567" s="101"/>
      <c r="CX1567" s="101"/>
      <c r="CY1567" s="101"/>
      <c r="CZ1567" s="101"/>
      <c r="DA1567" s="101"/>
      <c r="DB1567" s="101"/>
      <c r="DC1567" s="101"/>
      <c r="DD1567" s="101"/>
      <c r="DE1567" s="101"/>
      <c r="DF1567" s="101"/>
      <c r="DG1567" s="101"/>
      <c r="DH1567" s="101"/>
      <c r="DI1567" s="101"/>
      <c r="DJ1567" s="101"/>
      <c r="DK1567" s="101"/>
      <c r="DL1567" s="101"/>
      <c r="DM1567" s="101"/>
      <c r="DN1567" s="101"/>
      <c r="DO1567" s="101"/>
      <c r="DP1567" s="101"/>
      <c r="DQ1567" s="101"/>
    </row>
    <row r="1568" spans="1:121" s="40" customFormat="1" ht="13" x14ac:dyDescent="0.3">
      <c r="A1568" s="101"/>
      <c r="H1568" s="101"/>
      <c r="U1568" s="13"/>
      <c r="V1568" s="13"/>
      <c r="W1568" s="13"/>
      <c r="X1568" s="13"/>
      <c r="Y1568" s="13"/>
      <c r="Z1568" s="13"/>
      <c r="AA1568" s="13"/>
      <c r="AB1568" s="13"/>
      <c r="AC1568" s="13"/>
      <c r="AD1568" s="13"/>
      <c r="AE1568" s="13"/>
      <c r="AF1568" s="84"/>
      <c r="AG1568" s="84"/>
      <c r="AH1568" s="84"/>
      <c r="AI1568" s="84"/>
      <c r="AJ1568" s="84"/>
      <c r="AK1568" s="84"/>
      <c r="AL1568" s="84"/>
      <c r="AM1568" s="84"/>
      <c r="AN1568" s="84"/>
      <c r="AO1568" s="84"/>
      <c r="AP1568" s="84"/>
      <c r="AQ1568" s="84"/>
      <c r="AR1568" s="84"/>
      <c r="AS1568" s="84"/>
      <c r="AT1568" s="84"/>
      <c r="AU1568" s="84"/>
      <c r="AV1568" s="84"/>
      <c r="AW1568" s="84"/>
      <c r="AX1568" s="84"/>
      <c r="AY1568" s="84"/>
      <c r="AZ1568" s="84"/>
      <c r="BA1568" s="84"/>
      <c r="BB1568" s="84"/>
      <c r="BC1568" s="84"/>
      <c r="BD1568" s="84"/>
      <c r="BE1568" s="84"/>
      <c r="BF1568" s="84"/>
      <c r="BG1568" s="84"/>
      <c r="BH1568" s="84"/>
      <c r="BI1568" s="84"/>
      <c r="BJ1568" s="84"/>
      <c r="BK1568" s="84"/>
      <c r="BL1568" s="84"/>
      <c r="BM1568" s="84"/>
      <c r="BN1568" s="84"/>
      <c r="BO1568" s="84"/>
      <c r="BP1568" s="84"/>
      <c r="BQ1568" s="84"/>
      <c r="BR1568" s="84"/>
      <c r="BS1568" s="84"/>
      <c r="BT1568" s="84"/>
      <c r="BU1568" s="84"/>
      <c r="BV1568" s="84"/>
      <c r="BW1568" s="84"/>
      <c r="BX1568" s="84"/>
      <c r="BY1568" s="84"/>
      <c r="BZ1568" s="84"/>
      <c r="CA1568" s="84"/>
      <c r="CB1568" s="84"/>
      <c r="CC1568" s="84"/>
      <c r="CD1568" s="84"/>
      <c r="CE1568" s="84"/>
      <c r="CF1568" s="84"/>
      <c r="CG1568" s="84"/>
      <c r="CH1568" s="84"/>
      <c r="CI1568" s="84"/>
      <c r="CJ1568" s="84"/>
      <c r="CK1568" s="84"/>
      <c r="CL1568" s="84"/>
      <c r="CM1568" s="84"/>
      <c r="CN1568" s="84"/>
      <c r="CO1568" s="84"/>
      <c r="CP1568" s="84"/>
      <c r="CQ1568" s="101"/>
      <c r="CR1568" s="101"/>
      <c r="CS1568" s="101"/>
      <c r="CT1568" s="101"/>
      <c r="CU1568" s="101"/>
      <c r="CV1568" s="101"/>
      <c r="CW1568" s="101"/>
      <c r="CX1568" s="101"/>
      <c r="CY1568" s="101"/>
      <c r="CZ1568" s="101"/>
      <c r="DA1568" s="101"/>
      <c r="DB1568" s="101"/>
      <c r="DC1568" s="101"/>
      <c r="DD1568" s="101"/>
      <c r="DE1568" s="101"/>
      <c r="DF1568" s="101"/>
      <c r="DG1568" s="101"/>
      <c r="DH1568" s="101"/>
      <c r="DI1568" s="101"/>
      <c r="DJ1568" s="101"/>
      <c r="DK1568" s="101"/>
      <c r="DL1568" s="101"/>
      <c r="DM1568" s="101"/>
      <c r="DN1568" s="101"/>
      <c r="DO1568" s="101"/>
      <c r="DP1568" s="101"/>
      <c r="DQ1568" s="101"/>
    </row>
    <row r="1569" spans="1:121" s="40" customFormat="1" ht="13" x14ac:dyDescent="0.3">
      <c r="A1569" s="101"/>
      <c r="H1569" s="101"/>
      <c r="U1569" s="13"/>
      <c r="V1569" s="13"/>
      <c r="W1569" s="13"/>
      <c r="X1569" s="13"/>
      <c r="Y1569" s="13"/>
      <c r="Z1569" s="13"/>
      <c r="AA1569" s="13"/>
      <c r="AB1569" s="13"/>
      <c r="AC1569" s="13"/>
      <c r="AD1569" s="13"/>
      <c r="AE1569" s="13"/>
      <c r="AF1569" s="84"/>
      <c r="AG1569" s="84"/>
      <c r="AH1569" s="84"/>
      <c r="AI1569" s="84"/>
      <c r="AJ1569" s="84"/>
      <c r="AK1569" s="84"/>
      <c r="AL1569" s="84"/>
      <c r="AM1569" s="84"/>
      <c r="AN1569" s="84"/>
      <c r="AO1569" s="84"/>
      <c r="AP1569" s="84"/>
      <c r="AQ1569" s="84"/>
      <c r="AR1569" s="84"/>
      <c r="AS1569" s="84"/>
      <c r="AT1569" s="84"/>
      <c r="AU1569" s="84"/>
      <c r="AV1569" s="84"/>
      <c r="AW1569" s="84"/>
      <c r="AX1569" s="84"/>
      <c r="AY1569" s="84"/>
      <c r="AZ1569" s="84"/>
      <c r="BA1569" s="84"/>
      <c r="BB1569" s="84"/>
      <c r="BC1569" s="84"/>
      <c r="BD1569" s="84"/>
      <c r="BE1569" s="84"/>
      <c r="BF1569" s="84"/>
      <c r="BG1569" s="84"/>
      <c r="BH1569" s="84"/>
      <c r="BI1569" s="84"/>
      <c r="BJ1569" s="84"/>
      <c r="BK1569" s="84"/>
      <c r="BL1569" s="84"/>
      <c r="BM1569" s="84"/>
      <c r="BN1569" s="84"/>
      <c r="BO1569" s="84"/>
      <c r="BP1569" s="84"/>
      <c r="BQ1569" s="84"/>
      <c r="BR1569" s="84"/>
      <c r="BS1569" s="84"/>
      <c r="BT1569" s="84"/>
      <c r="BU1569" s="84"/>
      <c r="BV1569" s="84"/>
      <c r="BW1569" s="84"/>
      <c r="BX1569" s="84"/>
      <c r="BY1569" s="84"/>
      <c r="BZ1569" s="84"/>
      <c r="CA1569" s="84"/>
      <c r="CB1569" s="84"/>
      <c r="CC1569" s="84"/>
      <c r="CD1569" s="84"/>
      <c r="CE1569" s="84"/>
      <c r="CF1569" s="84"/>
      <c r="CG1569" s="84"/>
      <c r="CH1569" s="84"/>
      <c r="CI1569" s="84"/>
      <c r="CJ1569" s="84"/>
      <c r="CK1569" s="84"/>
      <c r="CL1569" s="84"/>
      <c r="CM1569" s="84"/>
      <c r="CN1569" s="84"/>
      <c r="CO1569" s="84"/>
      <c r="CP1569" s="84"/>
      <c r="CQ1569" s="101"/>
      <c r="CR1569" s="101"/>
      <c r="CS1569" s="101"/>
      <c r="CT1569" s="101"/>
      <c r="CU1569" s="101"/>
      <c r="CV1569" s="101"/>
      <c r="CW1569" s="101"/>
      <c r="CX1569" s="101"/>
      <c r="CY1569" s="101"/>
      <c r="CZ1569" s="101"/>
      <c r="DA1569" s="101"/>
      <c r="DB1569" s="101"/>
      <c r="DC1569" s="101"/>
      <c r="DD1569" s="101"/>
      <c r="DE1569" s="101"/>
      <c r="DF1569" s="101"/>
      <c r="DG1569" s="101"/>
      <c r="DH1569" s="101"/>
      <c r="DI1569" s="101"/>
      <c r="DJ1569" s="101"/>
      <c r="DK1569" s="101"/>
      <c r="DL1569" s="101"/>
      <c r="DM1569" s="101"/>
      <c r="DN1569" s="101"/>
      <c r="DO1569" s="101"/>
      <c r="DP1569" s="101"/>
      <c r="DQ1569" s="101"/>
    </row>
    <row r="1570" spans="1:121" s="40" customFormat="1" ht="13" x14ac:dyDescent="0.3">
      <c r="A1570" s="101"/>
      <c r="H1570" s="101"/>
      <c r="U1570" s="13"/>
      <c r="V1570" s="13"/>
      <c r="W1570" s="13"/>
      <c r="X1570" s="13"/>
      <c r="Y1570" s="13"/>
      <c r="Z1570" s="13"/>
      <c r="AA1570" s="13"/>
      <c r="AB1570" s="13"/>
      <c r="AC1570" s="13"/>
      <c r="AD1570" s="13"/>
      <c r="AE1570" s="13"/>
      <c r="AF1570" s="84"/>
      <c r="AG1570" s="84"/>
      <c r="AH1570" s="84"/>
      <c r="AI1570" s="84"/>
      <c r="AJ1570" s="84"/>
      <c r="AK1570" s="84"/>
      <c r="AL1570" s="84"/>
      <c r="AM1570" s="84"/>
      <c r="AN1570" s="84"/>
      <c r="AO1570" s="84"/>
      <c r="AP1570" s="84"/>
      <c r="AQ1570" s="84"/>
      <c r="AR1570" s="84"/>
      <c r="AS1570" s="84"/>
      <c r="AT1570" s="84"/>
      <c r="AU1570" s="84"/>
      <c r="AV1570" s="84"/>
      <c r="AW1570" s="84"/>
      <c r="AX1570" s="84"/>
      <c r="AY1570" s="84"/>
      <c r="AZ1570" s="84"/>
      <c r="BA1570" s="84"/>
      <c r="BB1570" s="84"/>
      <c r="BC1570" s="84"/>
      <c r="BD1570" s="84"/>
      <c r="BE1570" s="84"/>
      <c r="BF1570" s="84"/>
      <c r="BG1570" s="84"/>
      <c r="BH1570" s="84"/>
      <c r="BI1570" s="84"/>
      <c r="BJ1570" s="84"/>
      <c r="BK1570" s="84"/>
      <c r="BL1570" s="84"/>
      <c r="BM1570" s="84"/>
      <c r="BN1570" s="84"/>
      <c r="BO1570" s="84"/>
      <c r="BP1570" s="84"/>
      <c r="BQ1570" s="84"/>
      <c r="BR1570" s="84"/>
      <c r="BS1570" s="84"/>
      <c r="BT1570" s="84"/>
      <c r="BU1570" s="84"/>
      <c r="BV1570" s="84"/>
      <c r="BW1570" s="84"/>
      <c r="BX1570" s="84"/>
      <c r="BY1570" s="84"/>
      <c r="BZ1570" s="84"/>
      <c r="CA1570" s="84"/>
      <c r="CB1570" s="84"/>
      <c r="CC1570" s="84"/>
      <c r="CD1570" s="84"/>
      <c r="CE1570" s="84"/>
      <c r="CF1570" s="84"/>
      <c r="CG1570" s="84"/>
      <c r="CH1570" s="84"/>
      <c r="CI1570" s="84"/>
      <c r="CJ1570" s="84"/>
      <c r="CK1570" s="84"/>
      <c r="CL1570" s="84"/>
      <c r="CM1570" s="84"/>
      <c r="CN1570" s="84"/>
      <c r="CO1570" s="84"/>
      <c r="CP1570" s="84"/>
      <c r="CQ1570" s="101"/>
      <c r="CR1570" s="101"/>
      <c r="CS1570" s="101"/>
      <c r="CT1570" s="101"/>
      <c r="CU1570" s="101"/>
      <c r="CV1570" s="101"/>
      <c r="CW1570" s="101"/>
      <c r="CX1570" s="101"/>
      <c r="CY1570" s="101"/>
      <c r="CZ1570" s="101"/>
      <c r="DA1570" s="101"/>
      <c r="DB1570" s="101"/>
      <c r="DC1570" s="101"/>
      <c r="DD1570" s="101"/>
      <c r="DE1570" s="101"/>
      <c r="DF1570" s="101"/>
      <c r="DG1570" s="101"/>
      <c r="DH1570" s="101"/>
      <c r="DI1570" s="101"/>
      <c r="DJ1570" s="101"/>
      <c r="DK1570" s="101"/>
      <c r="DL1570" s="101"/>
      <c r="DM1570" s="101"/>
      <c r="DN1570" s="101"/>
      <c r="DO1570" s="101"/>
      <c r="DP1570" s="101"/>
      <c r="DQ1570" s="101"/>
    </row>
    <row r="1571" spans="1:121" s="40" customFormat="1" ht="13" x14ac:dyDescent="0.3">
      <c r="A1571" s="101"/>
      <c r="H1571" s="101"/>
      <c r="U1571" s="13"/>
      <c r="V1571" s="13"/>
      <c r="W1571" s="13"/>
      <c r="X1571" s="13"/>
      <c r="Y1571" s="13"/>
      <c r="Z1571" s="13"/>
      <c r="AA1571" s="13"/>
      <c r="AB1571" s="13"/>
      <c r="AC1571" s="13"/>
      <c r="AD1571" s="13"/>
      <c r="AE1571" s="13"/>
      <c r="AF1571" s="84"/>
      <c r="AG1571" s="84"/>
      <c r="AH1571" s="84"/>
      <c r="AI1571" s="84"/>
      <c r="AJ1571" s="84"/>
      <c r="AK1571" s="84"/>
      <c r="AL1571" s="84"/>
      <c r="AM1571" s="84"/>
      <c r="AN1571" s="84"/>
      <c r="AO1571" s="84"/>
      <c r="AP1571" s="84"/>
      <c r="AQ1571" s="84"/>
      <c r="AR1571" s="84"/>
      <c r="AS1571" s="84"/>
      <c r="AT1571" s="84"/>
      <c r="AU1571" s="84"/>
      <c r="AV1571" s="84"/>
      <c r="AW1571" s="84"/>
      <c r="AX1571" s="84"/>
      <c r="AY1571" s="84"/>
      <c r="AZ1571" s="84"/>
      <c r="BA1571" s="84"/>
      <c r="BB1571" s="84"/>
      <c r="BC1571" s="84"/>
      <c r="BD1571" s="84"/>
      <c r="BE1571" s="84"/>
      <c r="BF1571" s="84"/>
      <c r="BG1571" s="84"/>
      <c r="BH1571" s="84"/>
      <c r="BI1571" s="84"/>
      <c r="BJ1571" s="84"/>
      <c r="BK1571" s="84"/>
      <c r="BL1571" s="84"/>
      <c r="BM1571" s="84"/>
      <c r="BN1571" s="84"/>
      <c r="BO1571" s="84"/>
      <c r="BP1571" s="84"/>
      <c r="BQ1571" s="84"/>
      <c r="BR1571" s="84"/>
      <c r="BS1571" s="84"/>
      <c r="BT1571" s="84"/>
      <c r="BU1571" s="84"/>
      <c r="BV1571" s="84"/>
      <c r="BW1571" s="84"/>
      <c r="BX1571" s="84"/>
      <c r="BY1571" s="84"/>
      <c r="BZ1571" s="84"/>
      <c r="CA1571" s="84"/>
      <c r="CB1571" s="84"/>
      <c r="CC1571" s="84"/>
      <c r="CD1571" s="84"/>
      <c r="CE1571" s="84"/>
      <c r="CF1571" s="84"/>
      <c r="CG1571" s="84"/>
      <c r="CH1571" s="84"/>
      <c r="CI1571" s="84"/>
      <c r="CJ1571" s="84"/>
      <c r="CK1571" s="84"/>
      <c r="CL1571" s="84"/>
      <c r="CM1571" s="84"/>
      <c r="CN1571" s="84"/>
      <c r="CO1571" s="84"/>
      <c r="CP1571" s="84"/>
      <c r="CQ1571" s="101"/>
      <c r="CR1571" s="101"/>
      <c r="CS1571" s="101"/>
      <c r="CT1571" s="101"/>
      <c r="CU1571" s="101"/>
      <c r="CV1571" s="101"/>
      <c r="CW1571" s="101"/>
      <c r="CX1571" s="101"/>
      <c r="CY1571" s="101"/>
      <c r="CZ1571" s="101"/>
      <c r="DA1571" s="101"/>
      <c r="DB1571" s="101"/>
      <c r="DC1571" s="101"/>
      <c r="DD1571" s="101"/>
      <c r="DE1571" s="101"/>
      <c r="DF1571" s="101"/>
      <c r="DG1571" s="101"/>
      <c r="DH1571" s="101"/>
      <c r="DI1571" s="101"/>
      <c r="DJ1571" s="101"/>
      <c r="DK1571" s="101"/>
      <c r="DL1571" s="101"/>
      <c r="DM1571" s="101"/>
      <c r="DN1571" s="101"/>
      <c r="DO1571" s="101"/>
      <c r="DP1571" s="101"/>
      <c r="DQ1571" s="101"/>
    </row>
    <row r="1572" spans="1:121" s="40" customFormat="1" ht="13" x14ac:dyDescent="0.3">
      <c r="A1572" s="101"/>
      <c r="H1572" s="101"/>
      <c r="U1572" s="13"/>
      <c r="V1572" s="13"/>
      <c r="W1572" s="13"/>
      <c r="X1572" s="13"/>
      <c r="Y1572" s="13"/>
      <c r="Z1572" s="13"/>
      <c r="AA1572" s="13"/>
      <c r="AB1572" s="13"/>
      <c r="AC1572" s="13"/>
      <c r="AD1572" s="13"/>
      <c r="AE1572" s="13"/>
      <c r="AF1572" s="84"/>
      <c r="AG1572" s="84"/>
      <c r="AH1572" s="84"/>
      <c r="AI1572" s="84"/>
      <c r="AJ1572" s="84"/>
      <c r="AK1572" s="84"/>
      <c r="AL1572" s="84"/>
      <c r="AM1572" s="84"/>
      <c r="AN1572" s="84"/>
      <c r="AO1572" s="84"/>
      <c r="AP1572" s="84"/>
      <c r="AQ1572" s="84"/>
      <c r="AR1572" s="84"/>
      <c r="AS1572" s="84"/>
      <c r="AT1572" s="84"/>
      <c r="AU1572" s="84"/>
      <c r="AV1572" s="84"/>
      <c r="AW1572" s="84"/>
      <c r="AX1572" s="84"/>
      <c r="AY1572" s="84"/>
      <c r="AZ1572" s="84"/>
      <c r="BA1572" s="84"/>
      <c r="BB1572" s="84"/>
      <c r="BC1572" s="84"/>
      <c r="BD1572" s="84"/>
      <c r="BE1572" s="84"/>
      <c r="BF1572" s="84"/>
      <c r="BG1572" s="84"/>
      <c r="BH1572" s="84"/>
      <c r="BI1572" s="84"/>
      <c r="BJ1572" s="84"/>
      <c r="BK1572" s="84"/>
      <c r="BL1572" s="84"/>
      <c r="BM1572" s="84"/>
      <c r="BN1572" s="84"/>
      <c r="BO1572" s="84"/>
      <c r="BP1572" s="84"/>
      <c r="BQ1572" s="84"/>
      <c r="BR1572" s="84"/>
      <c r="BS1572" s="84"/>
      <c r="BT1572" s="84"/>
      <c r="BU1572" s="84"/>
      <c r="BV1572" s="84"/>
      <c r="BW1572" s="84"/>
      <c r="BX1572" s="84"/>
      <c r="BY1572" s="84"/>
      <c r="BZ1572" s="84"/>
      <c r="CA1572" s="84"/>
      <c r="CB1572" s="84"/>
      <c r="CC1572" s="84"/>
      <c r="CD1572" s="84"/>
      <c r="CE1572" s="84"/>
      <c r="CF1572" s="84"/>
      <c r="CG1572" s="84"/>
      <c r="CH1572" s="84"/>
      <c r="CI1572" s="84"/>
      <c r="CJ1572" s="84"/>
      <c r="CK1572" s="84"/>
      <c r="CL1572" s="84"/>
      <c r="CM1572" s="84"/>
      <c r="CN1572" s="84"/>
      <c r="CO1572" s="84"/>
      <c r="CP1572" s="84"/>
      <c r="CQ1572" s="101"/>
      <c r="CR1572" s="101"/>
      <c r="CS1572" s="101"/>
      <c r="CT1572" s="101"/>
      <c r="CU1572" s="101"/>
      <c r="CV1572" s="101"/>
      <c r="CW1572" s="101"/>
      <c r="CX1572" s="101"/>
      <c r="CY1572" s="101"/>
      <c r="CZ1572" s="101"/>
      <c r="DA1572" s="101"/>
      <c r="DB1572" s="101"/>
      <c r="DC1572" s="101"/>
      <c r="DD1572" s="101"/>
      <c r="DE1572" s="101"/>
      <c r="DF1572" s="101"/>
      <c r="DG1572" s="101"/>
      <c r="DH1572" s="101"/>
      <c r="DI1572" s="101"/>
      <c r="DJ1572" s="101"/>
      <c r="DK1572" s="101"/>
      <c r="DL1572" s="101"/>
      <c r="DM1572" s="101"/>
      <c r="DN1572" s="101"/>
      <c r="DO1572" s="101"/>
      <c r="DP1572" s="101"/>
      <c r="DQ1572" s="101"/>
    </row>
    <row r="1573" spans="1:121" s="40" customFormat="1" ht="13" x14ac:dyDescent="0.3">
      <c r="A1573" s="101"/>
      <c r="H1573" s="101"/>
      <c r="U1573" s="13"/>
      <c r="V1573" s="13"/>
      <c r="W1573" s="13"/>
      <c r="X1573" s="13"/>
      <c r="Y1573" s="13"/>
      <c r="Z1573" s="13"/>
      <c r="AA1573" s="13"/>
      <c r="AB1573" s="13"/>
      <c r="AC1573" s="13"/>
      <c r="AD1573" s="13"/>
      <c r="AE1573" s="13"/>
      <c r="AF1573" s="84"/>
      <c r="AG1573" s="84"/>
      <c r="AH1573" s="84"/>
      <c r="AI1573" s="84"/>
      <c r="AJ1573" s="84"/>
      <c r="AK1573" s="84"/>
      <c r="AL1573" s="84"/>
      <c r="AM1573" s="84"/>
      <c r="AN1573" s="84"/>
      <c r="AO1573" s="84"/>
      <c r="AP1573" s="84"/>
      <c r="AQ1573" s="84"/>
      <c r="AR1573" s="84"/>
      <c r="AS1573" s="84"/>
      <c r="AT1573" s="84"/>
      <c r="AU1573" s="84"/>
      <c r="AV1573" s="84"/>
      <c r="AW1573" s="84"/>
      <c r="AX1573" s="84"/>
      <c r="AY1573" s="84"/>
      <c r="AZ1573" s="84"/>
      <c r="BA1573" s="84"/>
      <c r="BB1573" s="84"/>
      <c r="BC1573" s="84"/>
      <c r="BD1573" s="84"/>
      <c r="BE1573" s="84"/>
      <c r="BF1573" s="84"/>
      <c r="BG1573" s="84"/>
      <c r="BH1573" s="84"/>
      <c r="BI1573" s="84"/>
      <c r="BJ1573" s="84"/>
      <c r="BK1573" s="84"/>
      <c r="BL1573" s="84"/>
      <c r="BM1573" s="84"/>
      <c r="BN1573" s="84"/>
      <c r="BO1573" s="84"/>
      <c r="BP1573" s="84"/>
      <c r="BQ1573" s="84"/>
      <c r="BR1573" s="84"/>
      <c r="BS1573" s="84"/>
      <c r="BT1573" s="84"/>
      <c r="BU1573" s="84"/>
      <c r="BV1573" s="84"/>
      <c r="BW1573" s="84"/>
      <c r="BX1573" s="84"/>
      <c r="BY1573" s="84"/>
      <c r="BZ1573" s="84"/>
      <c r="CA1573" s="84"/>
      <c r="CB1573" s="84"/>
      <c r="CC1573" s="84"/>
      <c r="CD1573" s="84"/>
      <c r="CE1573" s="84"/>
      <c r="CF1573" s="84"/>
      <c r="CG1573" s="84"/>
      <c r="CH1573" s="84"/>
      <c r="CI1573" s="84"/>
      <c r="CJ1573" s="84"/>
      <c r="CK1573" s="84"/>
      <c r="CL1573" s="84"/>
      <c r="CM1573" s="84"/>
      <c r="CN1573" s="84"/>
      <c r="CO1573" s="84"/>
      <c r="CP1573" s="84"/>
      <c r="CQ1573" s="101"/>
      <c r="CR1573" s="101"/>
      <c r="CS1573" s="101"/>
      <c r="CT1573" s="101"/>
      <c r="CU1573" s="101"/>
      <c r="CV1573" s="101"/>
      <c r="CW1573" s="101"/>
      <c r="CX1573" s="101"/>
      <c r="CY1573" s="101"/>
      <c r="CZ1573" s="101"/>
      <c r="DA1573" s="101"/>
      <c r="DB1573" s="101"/>
      <c r="DC1573" s="101"/>
      <c r="DD1573" s="101"/>
      <c r="DE1573" s="101"/>
      <c r="DF1573" s="101"/>
      <c r="DG1573" s="101"/>
      <c r="DH1573" s="101"/>
      <c r="DI1573" s="101"/>
      <c r="DJ1573" s="101"/>
      <c r="DK1573" s="101"/>
      <c r="DL1573" s="101"/>
      <c r="DM1573" s="101"/>
      <c r="DN1573" s="101"/>
      <c r="DO1573" s="101"/>
      <c r="DP1573" s="101"/>
      <c r="DQ1573" s="101"/>
    </row>
    <row r="1574" spans="1:121" s="40" customFormat="1" ht="13" x14ac:dyDescent="0.3">
      <c r="A1574" s="101"/>
      <c r="H1574" s="101"/>
      <c r="U1574" s="13"/>
      <c r="V1574" s="13"/>
      <c r="W1574" s="13"/>
      <c r="X1574" s="13"/>
      <c r="Y1574" s="13"/>
      <c r="Z1574" s="13"/>
      <c r="AA1574" s="13"/>
      <c r="AB1574" s="13"/>
      <c r="AC1574" s="13"/>
      <c r="AD1574" s="13"/>
      <c r="AE1574" s="13"/>
      <c r="AF1574" s="84"/>
      <c r="AG1574" s="84"/>
      <c r="AH1574" s="84"/>
      <c r="AI1574" s="84"/>
      <c r="AJ1574" s="84"/>
      <c r="AK1574" s="84"/>
      <c r="AL1574" s="84"/>
      <c r="AM1574" s="84"/>
      <c r="AN1574" s="84"/>
      <c r="AO1574" s="84"/>
      <c r="AP1574" s="84"/>
      <c r="AQ1574" s="84"/>
      <c r="AR1574" s="84"/>
      <c r="AS1574" s="84"/>
      <c r="AT1574" s="84"/>
      <c r="AU1574" s="84"/>
      <c r="AV1574" s="84"/>
      <c r="AW1574" s="84"/>
      <c r="AX1574" s="84"/>
      <c r="AY1574" s="84"/>
      <c r="AZ1574" s="84"/>
      <c r="BA1574" s="84"/>
      <c r="BB1574" s="84"/>
      <c r="BC1574" s="84"/>
      <c r="BD1574" s="84"/>
      <c r="BE1574" s="84"/>
      <c r="BF1574" s="84"/>
      <c r="BG1574" s="84"/>
      <c r="BH1574" s="84"/>
      <c r="BI1574" s="84"/>
      <c r="BJ1574" s="84"/>
      <c r="BK1574" s="84"/>
      <c r="BL1574" s="84"/>
      <c r="BM1574" s="84"/>
      <c r="BN1574" s="84"/>
      <c r="BO1574" s="84"/>
      <c r="BP1574" s="84"/>
      <c r="BQ1574" s="84"/>
      <c r="BR1574" s="84"/>
      <c r="BS1574" s="84"/>
      <c r="BT1574" s="84"/>
      <c r="BU1574" s="84"/>
      <c r="BV1574" s="84"/>
      <c r="BW1574" s="84"/>
      <c r="BX1574" s="84"/>
      <c r="BY1574" s="84"/>
      <c r="BZ1574" s="84"/>
      <c r="CA1574" s="84"/>
      <c r="CB1574" s="84"/>
      <c r="CC1574" s="84"/>
      <c r="CD1574" s="84"/>
      <c r="CE1574" s="84"/>
      <c r="CF1574" s="84"/>
      <c r="CG1574" s="84"/>
      <c r="CH1574" s="84"/>
      <c r="CI1574" s="84"/>
      <c r="CJ1574" s="84"/>
      <c r="CK1574" s="84"/>
      <c r="CL1574" s="84"/>
      <c r="CM1574" s="84"/>
      <c r="CN1574" s="84"/>
      <c r="CO1574" s="84"/>
      <c r="CP1574" s="84"/>
      <c r="CQ1574" s="101"/>
      <c r="CR1574" s="101"/>
      <c r="CS1574" s="101"/>
      <c r="CT1574" s="101"/>
      <c r="CU1574" s="101"/>
      <c r="CV1574" s="101"/>
      <c r="CW1574" s="101"/>
      <c r="CX1574" s="101"/>
      <c r="CY1574" s="101"/>
      <c r="CZ1574" s="101"/>
      <c r="DA1574" s="101"/>
      <c r="DB1574" s="101"/>
      <c r="DC1574" s="101"/>
      <c r="DD1574" s="101"/>
      <c r="DE1574" s="101"/>
      <c r="DF1574" s="101"/>
      <c r="DG1574" s="101"/>
      <c r="DH1574" s="101"/>
      <c r="DI1574" s="101"/>
      <c r="DJ1574" s="101"/>
      <c r="DK1574" s="101"/>
      <c r="DL1574" s="101"/>
      <c r="DM1574" s="101"/>
      <c r="DN1574" s="101"/>
      <c r="DO1574" s="101"/>
      <c r="DP1574" s="101"/>
      <c r="DQ1574" s="101"/>
    </row>
    <row r="1575" spans="1:121" s="40" customFormat="1" ht="13" x14ac:dyDescent="0.3">
      <c r="A1575" s="101"/>
      <c r="H1575" s="101"/>
      <c r="U1575" s="13"/>
      <c r="V1575" s="13"/>
      <c r="W1575" s="13"/>
      <c r="X1575" s="13"/>
      <c r="Y1575" s="13"/>
      <c r="Z1575" s="13"/>
      <c r="AA1575" s="13"/>
      <c r="AB1575" s="13"/>
      <c r="AC1575" s="13"/>
      <c r="AD1575" s="13"/>
      <c r="AE1575" s="13"/>
      <c r="AF1575" s="84"/>
      <c r="AG1575" s="84"/>
      <c r="AH1575" s="84"/>
      <c r="AI1575" s="84"/>
      <c r="AJ1575" s="84"/>
      <c r="AK1575" s="84"/>
      <c r="AL1575" s="84"/>
      <c r="AM1575" s="84"/>
      <c r="AN1575" s="84"/>
      <c r="AO1575" s="84"/>
      <c r="AP1575" s="84"/>
      <c r="AQ1575" s="84"/>
      <c r="AR1575" s="84"/>
      <c r="AS1575" s="84"/>
      <c r="AT1575" s="84"/>
      <c r="AU1575" s="84"/>
      <c r="AV1575" s="84"/>
      <c r="AW1575" s="84"/>
      <c r="AX1575" s="84"/>
      <c r="AY1575" s="84"/>
      <c r="AZ1575" s="84"/>
      <c r="BA1575" s="84"/>
      <c r="BB1575" s="84"/>
      <c r="BC1575" s="84"/>
      <c r="BD1575" s="84"/>
      <c r="BE1575" s="84"/>
      <c r="BF1575" s="84"/>
      <c r="BG1575" s="84"/>
      <c r="BH1575" s="84"/>
      <c r="BI1575" s="84"/>
      <c r="BJ1575" s="84"/>
      <c r="BK1575" s="84"/>
      <c r="BL1575" s="84"/>
      <c r="BM1575" s="84"/>
      <c r="BN1575" s="84"/>
      <c r="BO1575" s="84"/>
      <c r="BP1575" s="84"/>
      <c r="BQ1575" s="84"/>
      <c r="BR1575" s="84"/>
      <c r="BS1575" s="84"/>
      <c r="BT1575" s="84"/>
      <c r="BU1575" s="84"/>
      <c r="BV1575" s="84"/>
      <c r="BW1575" s="84"/>
      <c r="BX1575" s="84"/>
      <c r="BY1575" s="84"/>
      <c r="BZ1575" s="84"/>
      <c r="CA1575" s="84"/>
      <c r="CB1575" s="84"/>
      <c r="CC1575" s="84"/>
      <c r="CD1575" s="84"/>
      <c r="CE1575" s="84"/>
      <c r="CF1575" s="84"/>
      <c r="CG1575" s="84"/>
      <c r="CH1575" s="84"/>
      <c r="CI1575" s="84"/>
      <c r="CJ1575" s="84"/>
      <c r="CK1575" s="84"/>
      <c r="CL1575" s="84"/>
      <c r="CM1575" s="84"/>
      <c r="CN1575" s="84"/>
      <c r="CO1575" s="84"/>
      <c r="CP1575" s="84"/>
      <c r="CQ1575" s="101"/>
      <c r="CR1575" s="101"/>
      <c r="CS1575" s="101"/>
      <c r="CT1575" s="101"/>
      <c r="CU1575" s="101"/>
      <c r="CV1575" s="101"/>
      <c r="CW1575" s="101"/>
      <c r="CX1575" s="101"/>
      <c r="CY1575" s="101"/>
      <c r="CZ1575" s="101"/>
      <c r="DA1575" s="101"/>
      <c r="DB1575" s="101"/>
      <c r="DC1575" s="101"/>
      <c r="DD1575" s="101"/>
      <c r="DE1575" s="101"/>
      <c r="DF1575" s="101"/>
      <c r="DG1575" s="101"/>
      <c r="DH1575" s="101"/>
      <c r="DI1575" s="101"/>
      <c r="DJ1575" s="101"/>
      <c r="DK1575" s="101"/>
      <c r="DL1575" s="101"/>
      <c r="DM1575" s="101"/>
      <c r="DN1575" s="101"/>
      <c r="DO1575" s="101"/>
      <c r="DP1575" s="101"/>
      <c r="DQ1575" s="101"/>
    </row>
    <row r="1576" spans="1:121" s="40" customFormat="1" ht="13" x14ac:dyDescent="0.3">
      <c r="A1576" s="101"/>
      <c r="H1576" s="101"/>
      <c r="U1576" s="13"/>
      <c r="V1576" s="13"/>
      <c r="W1576" s="13"/>
      <c r="X1576" s="13"/>
      <c r="Y1576" s="13"/>
      <c r="Z1576" s="13"/>
      <c r="AA1576" s="13"/>
      <c r="AB1576" s="13"/>
      <c r="AC1576" s="13"/>
      <c r="AD1576" s="13"/>
      <c r="AE1576" s="13"/>
      <c r="AF1576" s="84"/>
      <c r="AG1576" s="84"/>
      <c r="AH1576" s="84"/>
      <c r="AI1576" s="84"/>
      <c r="AJ1576" s="84"/>
      <c r="AK1576" s="84"/>
      <c r="AL1576" s="84"/>
      <c r="AM1576" s="84"/>
      <c r="AN1576" s="84"/>
      <c r="AO1576" s="84"/>
      <c r="AP1576" s="84"/>
      <c r="AQ1576" s="84"/>
      <c r="AR1576" s="84"/>
      <c r="AS1576" s="84"/>
      <c r="AT1576" s="84"/>
      <c r="AU1576" s="84"/>
      <c r="AV1576" s="84"/>
      <c r="AW1576" s="84"/>
      <c r="AX1576" s="84"/>
      <c r="AY1576" s="84"/>
      <c r="AZ1576" s="84"/>
      <c r="BA1576" s="84"/>
      <c r="BB1576" s="84"/>
      <c r="BC1576" s="84"/>
      <c r="BD1576" s="84"/>
      <c r="BE1576" s="84"/>
      <c r="BF1576" s="84"/>
      <c r="BG1576" s="84"/>
      <c r="BH1576" s="84"/>
      <c r="BI1576" s="84"/>
      <c r="BJ1576" s="84"/>
      <c r="BK1576" s="84"/>
      <c r="BL1576" s="84"/>
      <c r="BM1576" s="84"/>
      <c r="BN1576" s="84"/>
      <c r="BO1576" s="84"/>
      <c r="BP1576" s="84"/>
      <c r="BQ1576" s="84"/>
      <c r="BR1576" s="84"/>
      <c r="BS1576" s="84"/>
      <c r="BT1576" s="84"/>
      <c r="BU1576" s="84"/>
      <c r="BV1576" s="84"/>
      <c r="BW1576" s="84"/>
      <c r="BX1576" s="84"/>
      <c r="BY1576" s="84"/>
      <c r="BZ1576" s="84"/>
      <c r="CA1576" s="84"/>
      <c r="CB1576" s="84"/>
      <c r="CC1576" s="84"/>
      <c r="CD1576" s="84"/>
      <c r="CE1576" s="84"/>
      <c r="CF1576" s="84"/>
      <c r="CG1576" s="84"/>
      <c r="CH1576" s="84"/>
      <c r="CI1576" s="84"/>
      <c r="CJ1576" s="84"/>
      <c r="CK1576" s="84"/>
      <c r="CL1576" s="84"/>
      <c r="CM1576" s="84"/>
      <c r="CN1576" s="84"/>
      <c r="CO1576" s="84"/>
      <c r="CP1576" s="84"/>
      <c r="CQ1576" s="101"/>
      <c r="CR1576" s="101"/>
      <c r="CS1576" s="101"/>
      <c r="CT1576" s="101"/>
      <c r="CU1576" s="101"/>
      <c r="CV1576" s="101"/>
      <c r="CW1576" s="101"/>
      <c r="CX1576" s="101"/>
      <c r="CY1576" s="101"/>
      <c r="CZ1576" s="101"/>
      <c r="DA1576" s="101"/>
      <c r="DB1576" s="101"/>
      <c r="DC1576" s="101"/>
      <c r="DD1576" s="101"/>
      <c r="DE1576" s="101"/>
      <c r="DF1576" s="101"/>
      <c r="DG1576" s="101"/>
      <c r="DH1576" s="101"/>
      <c r="DI1576" s="101"/>
      <c r="DJ1576" s="101"/>
      <c r="DK1576" s="101"/>
      <c r="DL1576" s="101"/>
      <c r="DM1576" s="101"/>
      <c r="DN1576" s="101"/>
      <c r="DO1576" s="101"/>
      <c r="DP1576" s="101"/>
      <c r="DQ1576" s="101"/>
    </row>
    <row r="1577" spans="1:121" s="40" customFormat="1" ht="13" x14ac:dyDescent="0.3">
      <c r="A1577" s="101"/>
      <c r="H1577" s="101"/>
      <c r="U1577" s="13"/>
      <c r="V1577" s="13"/>
      <c r="W1577" s="13"/>
      <c r="X1577" s="13"/>
      <c r="Y1577" s="13"/>
      <c r="Z1577" s="13"/>
      <c r="AA1577" s="13"/>
      <c r="AB1577" s="13"/>
      <c r="AC1577" s="13"/>
      <c r="AD1577" s="13"/>
      <c r="AE1577" s="13"/>
      <c r="AF1577" s="84"/>
      <c r="AG1577" s="84"/>
      <c r="AH1577" s="84"/>
      <c r="AI1577" s="84"/>
      <c r="AJ1577" s="84"/>
      <c r="AK1577" s="84"/>
      <c r="AL1577" s="84"/>
      <c r="AM1577" s="84"/>
      <c r="AN1577" s="84"/>
      <c r="AO1577" s="84"/>
      <c r="AP1577" s="84"/>
      <c r="AQ1577" s="84"/>
      <c r="AR1577" s="84"/>
      <c r="AS1577" s="84"/>
      <c r="AT1577" s="84"/>
      <c r="AU1577" s="84"/>
      <c r="AV1577" s="84"/>
      <c r="AW1577" s="84"/>
      <c r="AX1577" s="84"/>
      <c r="AY1577" s="84"/>
      <c r="AZ1577" s="84"/>
      <c r="BA1577" s="84"/>
      <c r="BB1577" s="84"/>
      <c r="BC1577" s="84"/>
      <c r="BD1577" s="84"/>
      <c r="BE1577" s="84"/>
      <c r="BF1577" s="84"/>
      <c r="BG1577" s="84"/>
      <c r="BH1577" s="84"/>
      <c r="BI1577" s="84"/>
      <c r="BJ1577" s="84"/>
      <c r="BK1577" s="84"/>
      <c r="BL1577" s="84"/>
      <c r="BM1577" s="84"/>
      <c r="BN1577" s="84"/>
      <c r="BO1577" s="84"/>
      <c r="BP1577" s="84"/>
      <c r="BQ1577" s="84"/>
      <c r="BR1577" s="84"/>
      <c r="BS1577" s="84"/>
      <c r="BT1577" s="84"/>
      <c r="BU1577" s="84"/>
      <c r="BV1577" s="84"/>
      <c r="BW1577" s="84"/>
      <c r="BX1577" s="84"/>
      <c r="BY1577" s="84"/>
      <c r="BZ1577" s="84"/>
      <c r="CA1577" s="84"/>
      <c r="CB1577" s="84"/>
      <c r="CC1577" s="84"/>
      <c r="CD1577" s="84"/>
      <c r="CE1577" s="84"/>
      <c r="CF1577" s="84"/>
      <c r="CG1577" s="84"/>
      <c r="CH1577" s="84"/>
      <c r="CI1577" s="84"/>
      <c r="CJ1577" s="84"/>
      <c r="CK1577" s="84"/>
      <c r="CL1577" s="84"/>
      <c r="CM1577" s="84"/>
      <c r="CN1577" s="84"/>
      <c r="CO1577" s="84"/>
      <c r="CP1577" s="84"/>
      <c r="CQ1577" s="101"/>
      <c r="CR1577" s="101"/>
      <c r="CS1577" s="101"/>
      <c r="CT1577" s="101"/>
      <c r="CU1577" s="101"/>
      <c r="CV1577" s="101"/>
      <c r="CW1577" s="101"/>
      <c r="CX1577" s="101"/>
      <c r="CY1577" s="101"/>
      <c r="CZ1577" s="101"/>
      <c r="DA1577" s="101"/>
      <c r="DB1577" s="101"/>
      <c r="DC1577" s="101"/>
      <c r="DD1577" s="101"/>
      <c r="DE1577" s="101"/>
      <c r="DF1577" s="101"/>
      <c r="DG1577" s="101"/>
      <c r="DH1577" s="101"/>
      <c r="DI1577" s="101"/>
      <c r="DJ1577" s="101"/>
      <c r="DK1577" s="101"/>
      <c r="DL1577" s="101"/>
      <c r="DM1577" s="101"/>
      <c r="DN1577" s="101"/>
      <c r="DO1577" s="101"/>
      <c r="DP1577" s="101"/>
      <c r="DQ1577" s="101"/>
    </row>
    <row r="1578" spans="1:121" s="40" customFormat="1" ht="13" x14ac:dyDescent="0.3">
      <c r="A1578" s="101"/>
      <c r="H1578" s="101"/>
      <c r="U1578" s="13"/>
      <c r="V1578" s="13"/>
      <c r="W1578" s="13"/>
      <c r="X1578" s="13"/>
      <c r="Y1578" s="13"/>
      <c r="Z1578" s="13"/>
      <c r="AA1578" s="13"/>
      <c r="AB1578" s="13"/>
      <c r="AC1578" s="13"/>
      <c r="AD1578" s="13"/>
      <c r="AE1578" s="13"/>
      <c r="AF1578" s="84"/>
      <c r="AG1578" s="84"/>
      <c r="AH1578" s="84"/>
      <c r="AI1578" s="84"/>
      <c r="AJ1578" s="84"/>
      <c r="AK1578" s="84"/>
      <c r="AL1578" s="84"/>
      <c r="AM1578" s="84"/>
      <c r="AN1578" s="84"/>
      <c r="AO1578" s="84"/>
      <c r="AP1578" s="84"/>
      <c r="AQ1578" s="84"/>
      <c r="AR1578" s="84"/>
      <c r="AS1578" s="84"/>
      <c r="AT1578" s="84"/>
      <c r="AU1578" s="84"/>
      <c r="AV1578" s="84"/>
      <c r="AW1578" s="84"/>
      <c r="AX1578" s="84"/>
      <c r="AY1578" s="84"/>
      <c r="AZ1578" s="84"/>
      <c r="BA1578" s="84"/>
      <c r="BB1578" s="84"/>
      <c r="BC1578" s="84"/>
      <c r="BD1578" s="84"/>
      <c r="BE1578" s="84"/>
      <c r="BF1578" s="84"/>
      <c r="BG1578" s="84"/>
      <c r="BH1578" s="84"/>
      <c r="BI1578" s="84"/>
      <c r="BJ1578" s="84"/>
      <c r="BK1578" s="84"/>
      <c r="BL1578" s="84"/>
      <c r="BM1578" s="84"/>
      <c r="BN1578" s="84"/>
      <c r="BO1578" s="84"/>
      <c r="BP1578" s="84"/>
      <c r="BQ1578" s="84"/>
      <c r="BR1578" s="84"/>
      <c r="BS1578" s="84"/>
      <c r="BT1578" s="84"/>
      <c r="BU1578" s="84"/>
      <c r="BV1578" s="84"/>
      <c r="BW1578" s="84"/>
      <c r="BX1578" s="84"/>
      <c r="BY1578" s="84"/>
      <c r="BZ1578" s="84"/>
      <c r="CA1578" s="84"/>
      <c r="CB1578" s="84"/>
      <c r="CC1578" s="84"/>
      <c r="CD1578" s="84"/>
      <c r="CE1578" s="84"/>
      <c r="CF1578" s="84"/>
      <c r="CG1578" s="84"/>
      <c r="CH1578" s="84"/>
      <c r="CI1578" s="84"/>
      <c r="CJ1578" s="84"/>
      <c r="CK1578" s="84"/>
      <c r="CL1578" s="84"/>
      <c r="CM1578" s="84"/>
      <c r="CN1578" s="84"/>
      <c r="CO1578" s="84"/>
      <c r="CP1578" s="84"/>
      <c r="CQ1578" s="101"/>
      <c r="CR1578" s="101"/>
      <c r="CS1578" s="101"/>
      <c r="CT1578" s="101"/>
      <c r="CU1578" s="101"/>
      <c r="CV1578" s="101"/>
      <c r="CW1578" s="101"/>
      <c r="CX1578" s="101"/>
      <c r="CY1578" s="101"/>
      <c r="CZ1578" s="101"/>
      <c r="DA1578" s="101"/>
      <c r="DB1578" s="101"/>
      <c r="DC1578" s="101"/>
      <c r="DD1578" s="101"/>
      <c r="DE1578" s="101"/>
      <c r="DF1578" s="101"/>
      <c r="DG1578" s="101"/>
      <c r="DH1578" s="101"/>
      <c r="DI1578" s="101"/>
      <c r="DJ1578" s="101"/>
      <c r="DK1578" s="101"/>
      <c r="DL1578" s="101"/>
      <c r="DM1578" s="101"/>
      <c r="DN1578" s="101"/>
      <c r="DO1578" s="101"/>
      <c r="DP1578" s="101"/>
      <c r="DQ1578" s="101"/>
    </row>
    <row r="1579" spans="1:121" s="40" customFormat="1" ht="13" x14ac:dyDescent="0.3">
      <c r="A1579" s="101"/>
      <c r="H1579" s="101"/>
      <c r="U1579" s="13"/>
      <c r="V1579" s="13"/>
      <c r="W1579" s="13"/>
      <c r="X1579" s="13"/>
      <c r="Y1579" s="13"/>
      <c r="Z1579" s="13"/>
      <c r="AA1579" s="13"/>
      <c r="AB1579" s="13"/>
      <c r="AC1579" s="13"/>
      <c r="AD1579" s="13"/>
      <c r="AE1579" s="13"/>
      <c r="AF1579" s="84"/>
      <c r="AG1579" s="84"/>
      <c r="AH1579" s="84"/>
      <c r="AI1579" s="84"/>
      <c r="AJ1579" s="84"/>
      <c r="AK1579" s="84"/>
      <c r="AL1579" s="84"/>
      <c r="AM1579" s="84"/>
      <c r="AN1579" s="84"/>
      <c r="AO1579" s="84"/>
      <c r="AP1579" s="84"/>
      <c r="AQ1579" s="84"/>
      <c r="AR1579" s="84"/>
      <c r="AS1579" s="84"/>
      <c r="AT1579" s="84"/>
      <c r="AU1579" s="84"/>
      <c r="AV1579" s="84"/>
      <c r="AW1579" s="84"/>
      <c r="AX1579" s="84"/>
      <c r="AY1579" s="84"/>
      <c r="AZ1579" s="84"/>
      <c r="BA1579" s="84"/>
      <c r="BB1579" s="84"/>
      <c r="BC1579" s="84"/>
      <c r="BD1579" s="84"/>
      <c r="BE1579" s="84"/>
      <c r="BF1579" s="84"/>
      <c r="BG1579" s="84"/>
      <c r="BH1579" s="84"/>
      <c r="BI1579" s="84"/>
      <c r="BJ1579" s="84"/>
      <c r="BK1579" s="84"/>
      <c r="BL1579" s="84"/>
      <c r="BM1579" s="84"/>
      <c r="BN1579" s="84"/>
      <c r="BO1579" s="84"/>
      <c r="BP1579" s="84"/>
      <c r="BQ1579" s="84"/>
      <c r="BR1579" s="84"/>
      <c r="BS1579" s="84"/>
      <c r="BT1579" s="84"/>
      <c r="BU1579" s="84"/>
      <c r="BV1579" s="84"/>
      <c r="BW1579" s="84"/>
      <c r="BX1579" s="84"/>
      <c r="BY1579" s="84"/>
      <c r="BZ1579" s="84"/>
      <c r="CA1579" s="84"/>
      <c r="CB1579" s="84"/>
      <c r="CC1579" s="84"/>
      <c r="CD1579" s="84"/>
      <c r="CE1579" s="84"/>
      <c r="CF1579" s="84"/>
      <c r="CG1579" s="84"/>
      <c r="CH1579" s="84"/>
      <c r="CI1579" s="84"/>
      <c r="CJ1579" s="84"/>
      <c r="CK1579" s="84"/>
      <c r="CL1579" s="84"/>
      <c r="CM1579" s="84"/>
      <c r="CN1579" s="84"/>
      <c r="CO1579" s="84"/>
      <c r="CP1579" s="84"/>
      <c r="CQ1579" s="101"/>
      <c r="CR1579" s="101"/>
      <c r="CS1579" s="101"/>
      <c r="CT1579" s="101"/>
      <c r="CU1579" s="101"/>
      <c r="CV1579" s="101"/>
      <c r="CW1579" s="101"/>
      <c r="CX1579" s="101"/>
      <c r="CY1579" s="101"/>
      <c r="CZ1579" s="101"/>
      <c r="DA1579" s="101"/>
      <c r="DB1579" s="101"/>
      <c r="DC1579" s="101"/>
      <c r="DD1579" s="101"/>
      <c r="DE1579" s="101"/>
      <c r="DF1579" s="101"/>
      <c r="DG1579" s="101"/>
      <c r="DH1579" s="101"/>
      <c r="DI1579" s="101"/>
      <c r="DJ1579" s="101"/>
      <c r="DK1579" s="101"/>
      <c r="DL1579" s="101"/>
      <c r="DM1579" s="101"/>
      <c r="DN1579" s="101"/>
      <c r="DO1579" s="101"/>
      <c r="DP1579" s="101"/>
      <c r="DQ1579" s="101"/>
    </row>
    <row r="1580" spans="1:121" s="40" customFormat="1" ht="13" x14ac:dyDescent="0.3">
      <c r="A1580" s="101"/>
      <c r="H1580" s="101"/>
      <c r="U1580" s="13"/>
      <c r="V1580" s="13"/>
      <c r="W1580" s="13"/>
      <c r="X1580" s="13"/>
      <c r="Y1580" s="13"/>
      <c r="Z1580" s="13"/>
      <c r="AA1580" s="13"/>
      <c r="AB1580" s="13"/>
      <c r="AC1580" s="13"/>
      <c r="AD1580" s="13"/>
      <c r="AE1580" s="13"/>
      <c r="AF1580" s="84"/>
      <c r="AG1580" s="84"/>
      <c r="AH1580" s="84"/>
      <c r="AI1580" s="84"/>
      <c r="AJ1580" s="84"/>
      <c r="AK1580" s="84"/>
      <c r="AL1580" s="84"/>
      <c r="AM1580" s="84"/>
      <c r="AN1580" s="84"/>
      <c r="AO1580" s="84"/>
      <c r="AP1580" s="84"/>
      <c r="AQ1580" s="84"/>
      <c r="AR1580" s="84"/>
      <c r="AS1580" s="84"/>
      <c r="AT1580" s="84"/>
      <c r="AU1580" s="84"/>
      <c r="AV1580" s="84"/>
      <c r="AW1580" s="84"/>
      <c r="AX1580" s="84"/>
      <c r="AY1580" s="84"/>
      <c r="AZ1580" s="84"/>
      <c r="BA1580" s="84"/>
      <c r="BB1580" s="84"/>
      <c r="BC1580" s="84"/>
      <c r="BD1580" s="84"/>
      <c r="BE1580" s="84"/>
      <c r="BF1580" s="84"/>
      <c r="BG1580" s="84"/>
      <c r="BH1580" s="84"/>
      <c r="BI1580" s="84"/>
      <c r="BJ1580" s="84"/>
      <c r="BK1580" s="84"/>
      <c r="BL1580" s="84"/>
      <c r="BM1580" s="84"/>
      <c r="BN1580" s="84"/>
      <c r="BO1580" s="84"/>
      <c r="BP1580" s="84"/>
      <c r="BQ1580" s="84"/>
      <c r="BR1580" s="84"/>
      <c r="BS1580" s="84"/>
      <c r="BT1580" s="84"/>
      <c r="BU1580" s="84"/>
      <c r="BV1580" s="84"/>
      <c r="BW1580" s="84"/>
      <c r="BX1580" s="84"/>
      <c r="BY1580" s="84"/>
      <c r="BZ1580" s="84"/>
      <c r="CA1580" s="84"/>
      <c r="CB1580" s="84"/>
      <c r="CC1580" s="84"/>
      <c r="CD1580" s="84"/>
      <c r="CE1580" s="84"/>
      <c r="CF1580" s="84"/>
      <c r="CG1580" s="84"/>
      <c r="CH1580" s="84"/>
      <c r="CI1580" s="84"/>
      <c r="CJ1580" s="84"/>
      <c r="CK1580" s="84"/>
      <c r="CL1580" s="84"/>
      <c r="CM1580" s="84"/>
      <c r="CN1580" s="84"/>
      <c r="CO1580" s="84"/>
      <c r="CP1580" s="84"/>
      <c r="CQ1580" s="101"/>
      <c r="CR1580" s="101"/>
      <c r="CS1580" s="101"/>
      <c r="CT1580" s="101"/>
      <c r="CU1580" s="101"/>
      <c r="CV1580" s="101"/>
      <c r="CW1580" s="101"/>
      <c r="CX1580" s="101"/>
      <c r="CY1580" s="101"/>
      <c r="CZ1580" s="101"/>
      <c r="DA1580" s="101"/>
      <c r="DB1580" s="101"/>
      <c r="DC1580" s="101"/>
      <c r="DD1580" s="101"/>
      <c r="DE1580" s="101"/>
      <c r="DF1580" s="101"/>
      <c r="DG1580" s="101"/>
      <c r="DH1580" s="101"/>
      <c r="DI1580" s="101"/>
      <c r="DJ1580" s="101"/>
      <c r="DK1580" s="101"/>
      <c r="DL1580" s="101"/>
      <c r="DM1580" s="101"/>
      <c r="DN1580" s="101"/>
      <c r="DO1580" s="101"/>
      <c r="DP1580" s="101"/>
      <c r="DQ1580" s="101"/>
    </row>
    <row r="1581" spans="1:121" s="40" customFormat="1" ht="13" x14ac:dyDescent="0.3">
      <c r="A1581" s="101"/>
      <c r="H1581" s="101"/>
      <c r="U1581" s="13"/>
      <c r="V1581" s="13"/>
      <c r="W1581" s="13"/>
      <c r="X1581" s="13"/>
      <c r="Y1581" s="13"/>
      <c r="Z1581" s="13"/>
      <c r="AA1581" s="13"/>
      <c r="AB1581" s="13"/>
      <c r="AC1581" s="13"/>
      <c r="AD1581" s="13"/>
      <c r="AE1581" s="13"/>
      <c r="AF1581" s="84"/>
      <c r="AG1581" s="84"/>
      <c r="AH1581" s="84"/>
      <c r="AI1581" s="84"/>
      <c r="AJ1581" s="84"/>
      <c r="AK1581" s="84"/>
      <c r="AL1581" s="84"/>
      <c r="AM1581" s="84"/>
      <c r="AN1581" s="84"/>
      <c r="AO1581" s="84"/>
      <c r="AP1581" s="84"/>
      <c r="AQ1581" s="84"/>
      <c r="AR1581" s="84"/>
      <c r="AS1581" s="84"/>
      <c r="AT1581" s="84"/>
      <c r="AU1581" s="84"/>
      <c r="AV1581" s="84"/>
      <c r="AW1581" s="84"/>
      <c r="AX1581" s="84"/>
      <c r="AY1581" s="84"/>
      <c r="AZ1581" s="84"/>
      <c r="BA1581" s="84"/>
      <c r="BB1581" s="84"/>
      <c r="BC1581" s="84"/>
      <c r="BD1581" s="84"/>
      <c r="BE1581" s="84"/>
      <c r="BF1581" s="84"/>
      <c r="BG1581" s="84"/>
      <c r="BH1581" s="84"/>
      <c r="BI1581" s="84"/>
      <c r="BJ1581" s="84"/>
      <c r="BK1581" s="84"/>
      <c r="BL1581" s="84"/>
      <c r="BM1581" s="84"/>
      <c r="BN1581" s="84"/>
      <c r="BO1581" s="84"/>
      <c r="BP1581" s="84"/>
      <c r="BQ1581" s="84"/>
      <c r="BR1581" s="84"/>
      <c r="BS1581" s="84"/>
      <c r="BT1581" s="84"/>
      <c r="BU1581" s="84"/>
      <c r="BV1581" s="84"/>
      <c r="BW1581" s="84"/>
      <c r="BX1581" s="84"/>
      <c r="BY1581" s="84"/>
      <c r="BZ1581" s="84"/>
      <c r="CA1581" s="84"/>
      <c r="CB1581" s="84"/>
      <c r="CC1581" s="84"/>
      <c r="CD1581" s="84"/>
      <c r="CE1581" s="84"/>
      <c r="CF1581" s="84"/>
      <c r="CG1581" s="84"/>
      <c r="CH1581" s="84"/>
      <c r="CI1581" s="84"/>
      <c r="CJ1581" s="84"/>
      <c r="CK1581" s="84"/>
      <c r="CL1581" s="84"/>
      <c r="CM1581" s="84"/>
      <c r="CN1581" s="84"/>
      <c r="CO1581" s="84"/>
      <c r="CP1581" s="84"/>
      <c r="CQ1581" s="101"/>
      <c r="CR1581" s="101"/>
      <c r="CS1581" s="101"/>
      <c r="CT1581" s="101"/>
      <c r="CU1581" s="101"/>
      <c r="CV1581" s="101"/>
      <c r="CW1581" s="101"/>
      <c r="CX1581" s="101"/>
      <c r="CY1581" s="101"/>
      <c r="CZ1581" s="101"/>
      <c r="DA1581" s="101"/>
      <c r="DB1581" s="101"/>
      <c r="DC1581" s="101"/>
      <c r="DD1581" s="101"/>
      <c r="DE1581" s="101"/>
      <c r="DF1581" s="101"/>
      <c r="DG1581" s="101"/>
      <c r="DH1581" s="101"/>
      <c r="DI1581" s="101"/>
      <c r="DJ1581" s="101"/>
      <c r="DK1581" s="101"/>
      <c r="DL1581" s="101"/>
      <c r="DM1581" s="101"/>
      <c r="DN1581" s="101"/>
      <c r="DO1581" s="101"/>
      <c r="DP1581" s="101"/>
      <c r="DQ1581" s="101"/>
    </row>
    <row r="1582" spans="1:121" s="40" customFormat="1" ht="13" x14ac:dyDescent="0.3">
      <c r="A1582" s="101"/>
      <c r="H1582" s="101"/>
      <c r="U1582" s="13"/>
      <c r="V1582" s="13"/>
      <c r="W1582" s="13"/>
      <c r="X1582" s="13"/>
      <c r="Y1582" s="13"/>
      <c r="Z1582" s="13"/>
      <c r="AA1582" s="13"/>
      <c r="AB1582" s="13"/>
      <c r="AC1582" s="13"/>
      <c r="AD1582" s="13"/>
      <c r="AE1582" s="13"/>
      <c r="AF1582" s="84"/>
      <c r="AG1582" s="84"/>
      <c r="AH1582" s="84"/>
      <c r="AI1582" s="84"/>
      <c r="AJ1582" s="84"/>
      <c r="AK1582" s="84"/>
      <c r="AL1582" s="84"/>
      <c r="AM1582" s="84"/>
      <c r="AN1582" s="84"/>
      <c r="AO1582" s="84"/>
      <c r="AP1582" s="84"/>
      <c r="AQ1582" s="84"/>
      <c r="AR1582" s="84"/>
      <c r="AS1582" s="84"/>
      <c r="AT1582" s="84"/>
      <c r="AU1582" s="84"/>
      <c r="AV1582" s="84"/>
      <c r="AW1582" s="84"/>
      <c r="AX1582" s="84"/>
      <c r="AY1582" s="84"/>
      <c r="AZ1582" s="84"/>
      <c r="BA1582" s="84"/>
      <c r="BB1582" s="84"/>
      <c r="BC1582" s="84"/>
      <c r="BD1582" s="84"/>
      <c r="BE1582" s="84"/>
      <c r="BF1582" s="84"/>
      <c r="BG1582" s="84"/>
      <c r="BH1582" s="84"/>
      <c r="BI1582" s="84"/>
      <c r="BJ1582" s="84"/>
      <c r="BK1582" s="84"/>
      <c r="BL1582" s="84"/>
      <c r="BM1582" s="84"/>
      <c r="BN1582" s="84"/>
      <c r="BO1582" s="84"/>
      <c r="BP1582" s="84"/>
      <c r="BQ1582" s="84"/>
      <c r="BR1582" s="84"/>
      <c r="BS1582" s="84"/>
      <c r="BT1582" s="84"/>
      <c r="BU1582" s="84"/>
      <c r="BV1582" s="84"/>
      <c r="BW1582" s="84"/>
      <c r="BX1582" s="84"/>
      <c r="BY1582" s="84"/>
      <c r="BZ1582" s="84"/>
      <c r="CA1582" s="84"/>
      <c r="CB1582" s="84"/>
      <c r="CC1582" s="84"/>
      <c r="CD1582" s="84"/>
      <c r="CE1582" s="84"/>
      <c r="CF1582" s="84"/>
      <c r="CG1582" s="84"/>
      <c r="CH1582" s="84"/>
      <c r="CI1582" s="84"/>
      <c r="CJ1582" s="84"/>
      <c r="CK1582" s="84"/>
      <c r="CL1582" s="84"/>
      <c r="CM1582" s="84"/>
      <c r="CN1582" s="84"/>
      <c r="CO1582" s="84"/>
      <c r="CP1582" s="84"/>
      <c r="CQ1582" s="101"/>
      <c r="CR1582" s="101"/>
      <c r="CS1582" s="101"/>
      <c r="CT1582" s="101"/>
      <c r="CU1582" s="101"/>
      <c r="CV1582" s="101"/>
      <c r="CW1582" s="101"/>
      <c r="CX1582" s="101"/>
      <c r="CY1582" s="101"/>
      <c r="CZ1582" s="101"/>
      <c r="DA1582" s="101"/>
      <c r="DB1582" s="101"/>
      <c r="DC1582" s="101"/>
      <c r="DD1582" s="101"/>
      <c r="DE1582" s="101"/>
      <c r="DF1582" s="101"/>
      <c r="DG1582" s="101"/>
      <c r="DH1582" s="101"/>
      <c r="DI1582" s="101"/>
      <c r="DJ1582" s="101"/>
      <c r="DK1582" s="101"/>
      <c r="DL1582" s="101"/>
      <c r="DM1582" s="101"/>
      <c r="DN1582" s="101"/>
      <c r="DO1582" s="101"/>
      <c r="DP1582" s="101"/>
      <c r="DQ1582" s="101"/>
    </row>
    <row r="1583" spans="1:121" s="40" customFormat="1" ht="13" x14ac:dyDescent="0.3">
      <c r="A1583" s="101"/>
      <c r="H1583" s="101"/>
      <c r="U1583" s="13"/>
      <c r="V1583" s="13"/>
      <c r="W1583" s="13"/>
      <c r="X1583" s="13"/>
      <c r="Y1583" s="13"/>
      <c r="Z1583" s="13"/>
      <c r="AA1583" s="13"/>
      <c r="AB1583" s="13"/>
      <c r="AC1583" s="13"/>
      <c r="AD1583" s="13"/>
      <c r="AE1583" s="13"/>
      <c r="AF1583" s="84"/>
      <c r="AG1583" s="84"/>
      <c r="AH1583" s="84"/>
      <c r="AI1583" s="84"/>
      <c r="AJ1583" s="84"/>
      <c r="AK1583" s="84"/>
      <c r="AL1583" s="84"/>
      <c r="AM1583" s="84"/>
      <c r="AN1583" s="84"/>
      <c r="AO1583" s="84"/>
      <c r="AP1583" s="84"/>
      <c r="AQ1583" s="84"/>
      <c r="AR1583" s="84"/>
      <c r="AS1583" s="84"/>
      <c r="AT1583" s="84"/>
      <c r="AU1583" s="84"/>
      <c r="AV1583" s="84"/>
      <c r="AW1583" s="84"/>
      <c r="AX1583" s="84"/>
      <c r="AY1583" s="84"/>
      <c r="AZ1583" s="84"/>
      <c r="BA1583" s="84"/>
      <c r="BB1583" s="84"/>
      <c r="BC1583" s="84"/>
      <c r="BD1583" s="84"/>
      <c r="BE1583" s="84"/>
      <c r="BF1583" s="84"/>
      <c r="BG1583" s="84"/>
      <c r="BH1583" s="84"/>
      <c r="BI1583" s="84"/>
      <c r="BJ1583" s="84"/>
      <c r="BK1583" s="84"/>
      <c r="BL1583" s="84"/>
      <c r="BM1583" s="84"/>
      <c r="BN1583" s="84"/>
      <c r="BO1583" s="84"/>
      <c r="BP1583" s="84"/>
      <c r="BQ1583" s="84"/>
      <c r="BR1583" s="84"/>
      <c r="BS1583" s="84"/>
      <c r="BT1583" s="84"/>
      <c r="BU1583" s="84"/>
      <c r="BV1583" s="84"/>
      <c r="BW1583" s="84"/>
      <c r="BX1583" s="84"/>
      <c r="BY1583" s="84"/>
      <c r="BZ1583" s="84"/>
      <c r="CA1583" s="84"/>
      <c r="CB1583" s="84"/>
      <c r="CC1583" s="84"/>
      <c r="CD1583" s="84"/>
      <c r="CE1583" s="84"/>
      <c r="CF1583" s="84"/>
      <c r="CG1583" s="84"/>
      <c r="CH1583" s="84"/>
      <c r="CI1583" s="84"/>
      <c r="CJ1583" s="84"/>
      <c r="CK1583" s="84"/>
      <c r="CL1583" s="84"/>
      <c r="CM1583" s="84"/>
      <c r="CN1583" s="84"/>
      <c r="CO1583" s="84"/>
      <c r="CP1583" s="84"/>
      <c r="CQ1583" s="101"/>
      <c r="CR1583" s="101"/>
      <c r="CS1583" s="101"/>
      <c r="CT1583" s="101"/>
      <c r="CU1583" s="101"/>
      <c r="CV1583" s="101"/>
      <c r="CW1583" s="101"/>
      <c r="CX1583" s="101"/>
      <c r="CY1583" s="101"/>
      <c r="CZ1583" s="101"/>
      <c r="DA1583" s="101"/>
      <c r="DB1583" s="101"/>
      <c r="DC1583" s="101"/>
      <c r="DD1583" s="101"/>
      <c r="DE1583" s="101"/>
      <c r="DF1583" s="101"/>
      <c r="DG1583" s="101"/>
      <c r="DH1583" s="101"/>
      <c r="DI1583" s="101"/>
      <c r="DJ1583" s="101"/>
      <c r="DK1583" s="101"/>
      <c r="DL1583" s="101"/>
      <c r="DM1583" s="101"/>
      <c r="DN1583" s="101"/>
      <c r="DO1583" s="101"/>
      <c r="DP1583" s="101"/>
      <c r="DQ1583" s="101"/>
    </row>
    <row r="1584" spans="1:121" s="40" customFormat="1" ht="13" x14ac:dyDescent="0.3">
      <c r="A1584" s="101"/>
      <c r="H1584" s="101"/>
      <c r="U1584" s="13"/>
      <c r="V1584" s="13"/>
      <c r="W1584" s="13"/>
      <c r="X1584" s="13"/>
      <c r="Y1584" s="13"/>
      <c r="Z1584" s="13"/>
      <c r="AA1584" s="13"/>
      <c r="AB1584" s="13"/>
      <c r="AC1584" s="13"/>
      <c r="AD1584" s="13"/>
      <c r="AE1584" s="13"/>
      <c r="AF1584" s="84"/>
      <c r="AG1584" s="84"/>
      <c r="AH1584" s="84"/>
      <c r="AI1584" s="84"/>
      <c r="AJ1584" s="84"/>
      <c r="AK1584" s="84"/>
      <c r="AL1584" s="84"/>
      <c r="AM1584" s="84"/>
      <c r="AN1584" s="84"/>
      <c r="AO1584" s="84"/>
      <c r="AP1584" s="84"/>
      <c r="AQ1584" s="84"/>
      <c r="AR1584" s="84"/>
      <c r="AS1584" s="84"/>
      <c r="AT1584" s="84"/>
      <c r="AU1584" s="84"/>
      <c r="AV1584" s="84"/>
      <c r="AW1584" s="84"/>
      <c r="AX1584" s="84"/>
      <c r="AY1584" s="84"/>
      <c r="AZ1584" s="84"/>
      <c r="BA1584" s="84"/>
      <c r="BB1584" s="84"/>
      <c r="BC1584" s="84"/>
      <c r="BD1584" s="84"/>
      <c r="BE1584" s="84"/>
      <c r="BF1584" s="84"/>
      <c r="BG1584" s="84"/>
      <c r="BH1584" s="84"/>
      <c r="BI1584" s="84"/>
      <c r="BJ1584" s="84"/>
      <c r="BK1584" s="84"/>
      <c r="BL1584" s="84"/>
      <c r="BM1584" s="84"/>
      <c r="BN1584" s="84"/>
      <c r="BO1584" s="84"/>
      <c r="BP1584" s="84"/>
      <c r="BQ1584" s="84"/>
      <c r="BR1584" s="84"/>
      <c r="BS1584" s="84"/>
      <c r="BT1584" s="84"/>
      <c r="BU1584" s="84"/>
      <c r="BV1584" s="84"/>
      <c r="BW1584" s="84"/>
      <c r="BX1584" s="84"/>
      <c r="BY1584" s="84"/>
      <c r="BZ1584" s="84"/>
      <c r="CA1584" s="84"/>
      <c r="CB1584" s="84"/>
      <c r="CC1584" s="84"/>
      <c r="CD1584" s="84"/>
      <c r="CE1584" s="84"/>
      <c r="CF1584" s="84"/>
      <c r="CG1584" s="84"/>
      <c r="CH1584" s="84"/>
      <c r="CI1584" s="84"/>
      <c r="CJ1584" s="84"/>
      <c r="CK1584" s="84"/>
      <c r="CL1584" s="84"/>
      <c r="CM1584" s="84"/>
      <c r="CN1584" s="84"/>
      <c r="CO1584" s="84"/>
      <c r="CP1584" s="84"/>
      <c r="CQ1584" s="101"/>
      <c r="CR1584" s="101"/>
      <c r="CS1584" s="101"/>
      <c r="CT1584" s="101"/>
      <c r="CU1584" s="101"/>
      <c r="CV1584" s="101"/>
      <c r="CW1584" s="101"/>
      <c r="CX1584" s="101"/>
      <c r="CY1584" s="101"/>
      <c r="CZ1584" s="101"/>
      <c r="DA1584" s="101"/>
      <c r="DB1584" s="101"/>
      <c r="DC1584" s="101"/>
      <c r="DD1584" s="101"/>
      <c r="DE1584" s="101"/>
      <c r="DF1584" s="101"/>
      <c r="DG1584" s="101"/>
      <c r="DH1584" s="101"/>
      <c r="DI1584" s="101"/>
      <c r="DJ1584" s="101"/>
      <c r="DK1584" s="101"/>
      <c r="DL1584" s="101"/>
      <c r="DM1584" s="101"/>
      <c r="DN1584" s="101"/>
      <c r="DO1584" s="101"/>
      <c r="DP1584" s="101"/>
      <c r="DQ1584" s="101"/>
    </row>
    <row r="1585" spans="1:121" s="40" customFormat="1" ht="13" x14ac:dyDescent="0.3">
      <c r="A1585" s="101"/>
      <c r="H1585" s="101"/>
      <c r="U1585" s="13"/>
      <c r="V1585" s="13"/>
      <c r="W1585" s="13"/>
      <c r="X1585" s="13"/>
      <c r="Y1585" s="13"/>
      <c r="Z1585" s="13"/>
      <c r="AA1585" s="13"/>
      <c r="AB1585" s="13"/>
      <c r="AC1585" s="13"/>
      <c r="AD1585" s="13"/>
      <c r="AE1585" s="13"/>
      <c r="AF1585" s="84"/>
      <c r="AG1585" s="84"/>
      <c r="AH1585" s="84"/>
      <c r="AI1585" s="84"/>
      <c r="AJ1585" s="84"/>
      <c r="AK1585" s="84"/>
      <c r="AL1585" s="84"/>
      <c r="AM1585" s="84"/>
      <c r="AN1585" s="84"/>
      <c r="AO1585" s="84"/>
      <c r="AP1585" s="84"/>
      <c r="AQ1585" s="84"/>
      <c r="AR1585" s="84"/>
      <c r="AS1585" s="84"/>
      <c r="AT1585" s="84"/>
      <c r="AU1585" s="84"/>
      <c r="AV1585" s="84"/>
      <c r="AW1585" s="84"/>
      <c r="AX1585" s="84"/>
      <c r="AY1585" s="84"/>
      <c r="AZ1585" s="84"/>
      <c r="BA1585" s="84"/>
      <c r="BB1585" s="84"/>
      <c r="BC1585" s="84"/>
      <c r="BD1585" s="84"/>
      <c r="BE1585" s="84"/>
      <c r="BF1585" s="84"/>
      <c r="BG1585" s="84"/>
      <c r="BH1585" s="84"/>
      <c r="BI1585" s="84"/>
      <c r="BJ1585" s="84"/>
      <c r="BK1585" s="84"/>
      <c r="BL1585" s="84"/>
      <c r="BM1585" s="84"/>
      <c r="BN1585" s="84"/>
      <c r="BO1585" s="84"/>
      <c r="BP1585" s="84"/>
      <c r="BQ1585" s="84"/>
      <c r="BR1585" s="84"/>
      <c r="BS1585" s="84"/>
      <c r="BT1585" s="84"/>
      <c r="BU1585" s="84"/>
      <c r="BV1585" s="84"/>
      <c r="BW1585" s="84"/>
      <c r="BX1585" s="84"/>
      <c r="BY1585" s="84"/>
      <c r="BZ1585" s="84"/>
      <c r="CA1585" s="84"/>
      <c r="CB1585" s="84"/>
      <c r="CC1585" s="84"/>
      <c r="CD1585" s="84"/>
      <c r="CE1585" s="84"/>
      <c r="CF1585" s="84"/>
      <c r="CG1585" s="84"/>
      <c r="CH1585" s="84"/>
      <c r="CI1585" s="84"/>
      <c r="CJ1585" s="84"/>
      <c r="CK1585" s="84"/>
      <c r="CL1585" s="84"/>
      <c r="CM1585" s="84"/>
      <c r="CN1585" s="84"/>
      <c r="CO1585" s="84"/>
      <c r="CP1585" s="84"/>
      <c r="CQ1585" s="101"/>
      <c r="CR1585" s="101"/>
      <c r="CS1585" s="101"/>
      <c r="CT1585" s="101"/>
      <c r="CU1585" s="101"/>
      <c r="CV1585" s="101"/>
      <c r="CW1585" s="101"/>
      <c r="CX1585" s="101"/>
      <c r="CY1585" s="101"/>
      <c r="CZ1585" s="101"/>
      <c r="DA1585" s="101"/>
      <c r="DB1585" s="101"/>
      <c r="DC1585" s="101"/>
      <c r="DD1585" s="101"/>
      <c r="DE1585" s="101"/>
      <c r="DF1585" s="101"/>
      <c r="DG1585" s="101"/>
      <c r="DH1585" s="101"/>
      <c r="DI1585" s="101"/>
      <c r="DJ1585" s="101"/>
      <c r="DK1585" s="101"/>
      <c r="DL1585" s="101"/>
      <c r="DM1585" s="101"/>
      <c r="DN1585" s="101"/>
      <c r="DO1585" s="101"/>
      <c r="DP1585" s="101"/>
      <c r="DQ1585" s="101"/>
    </row>
    <row r="1586" spans="1:121" s="40" customFormat="1" ht="13" x14ac:dyDescent="0.3">
      <c r="A1586" s="101"/>
      <c r="H1586" s="101"/>
      <c r="U1586" s="13"/>
      <c r="V1586" s="13"/>
      <c r="W1586" s="13"/>
      <c r="X1586" s="13"/>
      <c r="Y1586" s="13"/>
      <c r="Z1586" s="13"/>
      <c r="AA1586" s="13"/>
      <c r="AB1586" s="13"/>
      <c r="AC1586" s="13"/>
      <c r="AD1586" s="13"/>
      <c r="AE1586" s="13"/>
      <c r="AF1586" s="84"/>
      <c r="AG1586" s="84"/>
      <c r="AH1586" s="84"/>
      <c r="AI1586" s="84"/>
      <c r="AJ1586" s="84"/>
      <c r="AK1586" s="84"/>
      <c r="AL1586" s="84"/>
      <c r="AM1586" s="84"/>
      <c r="AN1586" s="84"/>
      <c r="AO1586" s="84"/>
      <c r="AP1586" s="84"/>
      <c r="AQ1586" s="84"/>
      <c r="AR1586" s="84"/>
      <c r="AS1586" s="84"/>
      <c r="AT1586" s="84"/>
      <c r="AU1586" s="84"/>
      <c r="AV1586" s="84"/>
      <c r="AW1586" s="84"/>
      <c r="AX1586" s="84"/>
      <c r="AY1586" s="84"/>
      <c r="AZ1586" s="84"/>
      <c r="BA1586" s="84"/>
      <c r="BB1586" s="84"/>
      <c r="BC1586" s="84"/>
      <c r="BD1586" s="84"/>
      <c r="BE1586" s="84"/>
      <c r="BF1586" s="84"/>
      <c r="BG1586" s="84"/>
      <c r="BH1586" s="84"/>
      <c r="BI1586" s="84"/>
      <c r="BJ1586" s="84"/>
      <c r="BK1586" s="84"/>
      <c r="BL1586" s="84"/>
      <c r="BM1586" s="84"/>
      <c r="BN1586" s="84"/>
      <c r="BO1586" s="84"/>
      <c r="BP1586" s="84"/>
      <c r="BQ1586" s="84"/>
      <c r="BR1586" s="84"/>
      <c r="BS1586" s="84"/>
      <c r="BT1586" s="84"/>
      <c r="BU1586" s="84"/>
      <c r="BV1586" s="84"/>
      <c r="BW1586" s="84"/>
      <c r="BX1586" s="84"/>
      <c r="BY1586" s="84"/>
      <c r="BZ1586" s="84"/>
      <c r="CA1586" s="84"/>
      <c r="CB1586" s="84"/>
      <c r="CC1586" s="84"/>
      <c r="CD1586" s="84"/>
      <c r="CE1586" s="84"/>
      <c r="CF1586" s="84"/>
      <c r="CG1586" s="84"/>
      <c r="CH1586" s="84"/>
      <c r="CI1586" s="84"/>
      <c r="CJ1586" s="84"/>
      <c r="CK1586" s="84"/>
      <c r="CL1586" s="84"/>
      <c r="CM1586" s="84"/>
      <c r="CN1586" s="84"/>
      <c r="CO1586" s="84"/>
      <c r="CP1586" s="84"/>
      <c r="CQ1586" s="101"/>
      <c r="CR1586" s="101"/>
      <c r="CS1586" s="101"/>
      <c r="CT1586" s="101"/>
      <c r="CU1586" s="101"/>
      <c r="CV1586" s="101"/>
      <c r="CW1586" s="101"/>
      <c r="CX1586" s="101"/>
      <c r="CY1586" s="101"/>
      <c r="CZ1586" s="101"/>
      <c r="DA1586" s="101"/>
      <c r="DB1586" s="101"/>
      <c r="DC1586" s="101"/>
      <c r="DD1586" s="101"/>
      <c r="DE1586" s="101"/>
      <c r="DF1586" s="101"/>
      <c r="DG1586" s="101"/>
      <c r="DH1586" s="101"/>
      <c r="DI1586" s="101"/>
      <c r="DJ1586" s="101"/>
      <c r="DK1586" s="101"/>
      <c r="DL1586" s="101"/>
      <c r="DM1586" s="101"/>
      <c r="DN1586" s="101"/>
      <c r="DO1586" s="101"/>
      <c r="DP1586" s="101"/>
      <c r="DQ1586" s="101"/>
    </row>
    <row r="1587" spans="1:121" s="40" customFormat="1" ht="13" x14ac:dyDescent="0.3">
      <c r="A1587" s="101"/>
      <c r="H1587" s="101"/>
      <c r="U1587" s="13"/>
      <c r="V1587" s="13"/>
      <c r="W1587" s="13"/>
      <c r="X1587" s="13"/>
      <c r="Y1587" s="13"/>
      <c r="Z1587" s="13"/>
      <c r="AA1587" s="13"/>
      <c r="AB1587" s="13"/>
      <c r="AC1587" s="13"/>
      <c r="AD1587" s="13"/>
      <c r="AE1587" s="13"/>
      <c r="AF1587" s="84"/>
      <c r="AG1587" s="84"/>
      <c r="AH1587" s="84"/>
      <c r="AI1587" s="84"/>
      <c r="AJ1587" s="84"/>
      <c r="AK1587" s="84"/>
      <c r="AL1587" s="84"/>
      <c r="AM1587" s="84"/>
      <c r="AN1587" s="84"/>
      <c r="AO1587" s="84"/>
      <c r="AP1587" s="84"/>
      <c r="AQ1587" s="84"/>
      <c r="AR1587" s="84"/>
      <c r="AS1587" s="84"/>
      <c r="AT1587" s="84"/>
      <c r="AU1587" s="84"/>
      <c r="AV1587" s="84"/>
      <c r="AW1587" s="84"/>
      <c r="AX1587" s="84"/>
      <c r="AY1587" s="84"/>
      <c r="AZ1587" s="84"/>
      <c r="BA1587" s="84"/>
      <c r="BB1587" s="84"/>
      <c r="BC1587" s="84"/>
      <c r="BD1587" s="84"/>
      <c r="BE1587" s="84"/>
      <c r="BF1587" s="84"/>
      <c r="BG1587" s="84"/>
      <c r="BH1587" s="84"/>
      <c r="BI1587" s="84"/>
      <c r="BJ1587" s="84"/>
      <c r="BK1587" s="84"/>
      <c r="BL1587" s="84"/>
      <c r="BM1587" s="84"/>
      <c r="BN1587" s="84"/>
      <c r="BO1587" s="84"/>
      <c r="BP1587" s="84"/>
      <c r="BQ1587" s="84"/>
      <c r="BR1587" s="84"/>
      <c r="BS1587" s="84"/>
      <c r="BT1587" s="84"/>
      <c r="BU1587" s="84"/>
      <c r="BV1587" s="84"/>
      <c r="BW1587" s="84"/>
      <c r="BX1587" s="84"/>
      <c r="BY1587" s="84"/>
      <c r="BZ1587" s="84"/>
      <c r="CA1587" s="84"/>
      <c r="CB1587" s="84"/>
      <c r="CC1587" s="84"/>
      <c r="CD1587" s="84"/>
      <c r="CE1587" s="84"/>
      <c r="CF1587" s="84"/>
      <c r="CG1587" s="84"/>
      <c r="CH1587" s="84"/>
      <c r="CI1587" s="84"/>
      <c r="CJ1587" s="84"/>
      <c r="CK1587" s="84"/>
      <c r="CL1587" s="84"/>
      <c r="CM1587" s="84"/>
      <c r="CN1587" s="84"/>
      <c r="CO1587" s="84"/>
      <c r="CP1587" s="84"/>
      <c r="CQ1587" s="101"/>
      <c r="CR1587" s="101"/>
      <c r="CS1587" s="101"/>
      <c r="CT1587" s="101"/>
      <c r="CU1587" s="101"/>
      <c r="CV1587" s="101"/>
      <c r="CW1587" s="101"/>
      <c r="CX1587" s="101"/>
      <c r="CY1587" s="101"/>
      <c r="CZ1587" s="101"/>
      <c r="DA1587" s="101"/>
      <c r="DB1587" s="101"/>
      <c r="DC1587" s="101"/>
      <c r="DD1587" s="101"/>
      <c r="DE1587" s="101"/>
      <c r="DF1587" s="101"/>
      <c r="DG1587" s="101"/>
      <c r="DH1587" s="101"/>
      <c r="DI1587" s="101"/>
      <c r="DJ1587" s="101"/>
      <c r="DK1587" s="101"/>
      <c r="DL1587" s="101"/>
      <c r="DM1587" s="101"/>
      <c r="DN1587" s="101"/>
      <c r="DO1587" s="101"/>
      <c r="DP1587" s="101"/>
      <c r="DQ1587" s="101"/>
    </row>
    <row r="1588" spans="1:121" s="40" customFormat="1" ht="13" x14ac:dyDescent="0.3">
      <c r="A1588" s="101"/>
      <c r="H1588" s="101"/>
      <c r="U1588" s="13"/>
      <c r="V1588" s="13"/>
      <c r="W1588" s="13"/>
      <c r="X1588" s="13"/>
      <c r="Y1588" s="13"/>
      <c r="Z1588" s="13"/>
      <c r="AA1588" s="13"/>
      <c r="AB1588" s="13"/>
      <c r="AC1588" s="13"/>
      <c r="AD1588" s="13"/>
      <c r="AE1588" s="13"/>
      <c r="AF1588" s="84"/>
      <c r="AG1588" s="84"/>
      <c r="AH1588" s="84"/>
      <c r="AI1588" s="84"/>
      <c r="AJ1588" s="84"/>
      <c r="AK1588" s="84"/>
      <c r="AL1588" s="84"/>
      <c r="AM1588" s="84"/>
      <c r="AN1588" s="84"/>
      <c r="AO1588" s="84"/>
      <c r="AP1588" s="84"/>
      <c r="AQ1588" s="84"/>
      <c r="AR1588" s="84"/>
      <c r="AS1588" s="84"/>
      <c r="AT1588" s="84"/>
      <c r="AU1588" s="84"/>
      <c r="AV1588" s="84"/>
      <c r="AW1588" s="84"/>
      <c r="AX1588" s="84"/>
      <c r="AY1588" s="84"/>
      <c r="AZ1588" s="84"/>
      <c r="BA1588" s="84"/>
      <c r="BB1588" s="84"/>
      <c r="BC1588" s="84"/>
      <c r="BD1588" s="84"/>
      <c r="BE1588" s="84"/>
      <c r="BF1588" s="84"/>
      <c r="BG1588" s="84"/>
      <c r="BH1588" s="84"/>
      <c r="BI1588" s="84"/>
      <c r="BJ1588" s="84"/>
      <c r="BK1588" s="84"/>
      <c r="BL1588" s="84"/>
      <c r="BM1588" s="84"/>
      <c r="BN1588" s="84"/>
      <c r="BO1588" s="84"/>
      <c r="BP1588" s="84"/>
      <c r="BQ1588" s="84"/>
      <c r="BR1588" s="84"/>
      <c r="BS1588" s="84"/>
      <c r="BT1588" s="84"/>
      <c r="BU1588" s="84"/>
      <c r="BV1588" s="84"/>
      <c r="BW1588" s="84"/>
      <c r="BX1588" s="84"/>
      <c r="BY1588" s="84"/>
      <c r="BZ1588" s="84"/>
      <c r="CA1588" s="84"/>
      <c r="CB1588" s="84"/>
      <c r="CC1588" s="84"/>
      <c r="CD1588" s="84"/>
      <c r="CE1588" s="84"/>
      <c r="CF1588" s="84"/>
      <c r="CG1588" s="84"/>
      <c r="CH1588" s="84"/>
      <c r="CI1588" s="84"/>
      <c r="CJ1588" s="84"/>
      <c r="CK1588" s="84"/>
      <c r="CL1588" s="84"/>
      <c r="CM1588" s="84"/>
      <c r="CN1588" s="84"/>
      <c r="CO1588" s="84"/>
      <c r="CP1588" s="84"/>
      <c r="CQ1588" s="101"/>
      <c r="CR1588" s="101"/>
      <c r="CS1588" s="101"/>
      <c r="CT1588" s="101"/>
      <c r="CU1588" s="101"/>
      <c r="CV1588" s="101"/>
      <c r="CW1588" s="101"/>
      <c r="CX1588" s="101"/>
      <c r="CY1588" s="101"/>
      <c r="CZ1588" s="101"/>
      <c r="DA1588" s="101"/>
      <c r="DB1588" s="101"/>
      <c r="DC1588" s="101"/>
      <c r="DD1588" s="101"/>
      <c r="DE1588" s="101"/>
      <c r="DF1588" s="101"/>
      <c r="DG1588" s="101"/>
      <c r="DH1588" s="101"/>
      <c r="DI1588" s="101"/>
      <c r="DJ1588" s="101"/>
      <c r="DK1588" s="101"/>
      <c r="DL1588" s="101"/>
      <c r="DM1588" s="101"/>
      <c r="DN1588" s="101"/>
      <c r="DO1588" s="101"/>
      <c r="DP1588" s="101"/>
      <c r="DQ1588" s="101"/>
    </row>
    <row r="1589" spans="1:121" s="40" customFormat="1" ht="13" x14ac:dyDescent="0.3">
      <c r="A1589" s="101"/>
      <c r="H1589" s="101"/>
      <c r="U1589" s="13"/>
      <c r="V1589" s="13"/>
      <c r="W1589" s="13"/>
      <c r="X1589" s="13"/>
      <c r="Y1589" s="13"/>
      <c r="Z1589" s="13"/>
      <c r="AA1589" s="13"/>
      <c r="AB1589" s="13"/>
      <c r="AC1589" s="13"/>
      <c r="AD1589" s="13"/>
      <c r="AE1589" s="13"/>
      <c r="AF1589" s="84"/>
      <c r="AG1589" s="84"/>
      <c r="AH1589" s="84"/>
      <c r="AI1589" s="84"/>
      <c r="AJ1589" s="84"/>
      <c r="AK1589" s="84"/>
      <c r="AL1589" s="84"/>
      <c r="AM1589" s="84"/>
      <c r="AN1589" s="84"/>
      <c r="AO1589" s="84"/>
      <c r="AP1589" s="84"/>
      <c r="AQ1589" s="84"/>
      <c r="AR1589" s="84"/>
      <c r="AS1589" s="84"/>
      <c r="AT1589" s="84"/>
      <c r="AU1589" s="84"/>
      <c r="AV1589" s="84"/>
      <c r="AW1589" s="84"/>
      <c r="AX1589" s="84"/>
      <c r="AY1589" s="84"/>
      <c r="AZ1589" s="84"/>
      <c r="BA1589" s="84"/>
      <c r="BB1589" s="84"/>
      <c r="BC1589" s="84"/>
      <c r="BD1589" s="84"/>
      <c r="BE1589" s="84"/>
      <c r="BF1589" s="84"/>
      <c r="BG1589" s="84"/>
      <c r="BH1589" s="84"/>
      <c r="BI1589" s="84"/>
      <c r="BJ1589" s="84"/>
      <c r="BK1589" s="84"/>
      <c r="BL1589" s="84"/>
      <c r="BM1589" s="84"/>
      <c r="BN1589" s="84"/>
      <c r="BO1589" s="84"/>
      <c r="BP1589" s="84"/>
      <c r="BQ1589" s="84"/>
      <c r="BR1589" s="84"/>
      <c r="BS1589" s="84"/>
      <c r="BT1589" s="84"/>
      <c r="BU1589" s="84"/>
      <c r="BV1589" s="84"/>
      <c r="BW1589" s="84"/>
      <c r="BX1589" s="84"/>
      <c r="BY1589" s="84"/>
      <c r="BZ1589" s="84"/>
      <c r="CA1589" s="84"/>
      <c r="CB1589" s="84"/>
      <c r="CC1589" s="84"/>
      <c r="CD1589" s="84"/>
      <c r="CE1589" s="84"/>
      <c r="CF1589" s="84"/>
      <c r="CG1589" s="84"/>
      <c r="CH1589" s="84"/>
      <c r="CI1589" s="84"/>
      <c r="CJ1589" s="84"/>
      <c r="CK1589" s="84"/>
      <c r="CL1589" s="84"/>
      <c r="CM1589" s="84"/>
      <c r="CN1589" s="84"/>
      <c r="CO1589" s="84"/>
      <c r="CP1589" s="84"/>
      <c r="CQ1589" s="101"/>
      <c r="CR1589" s="101"/>
      <c r="CS1589" s="101"/>
      <c r="CT1589" s="101"/>
      <c r="CU1589" s="101"/>
      <c r="CV1589" s="101"/>
      <c r="CW1589" s="101"/>
      <c r="CX1589" s="101"/>
      <c r="CY1589" s="101"/>
      <c r="CZ1589" s="101"/>
      <c r="DA1589" s="101"/>
      <c r="DB1589" s="101"/>
      <c r="DC1589" s="101"/>
      <c r="DD1589" s="101"/>
      <c r="DE1589" s="101"/>
      <c r="DF1589" s="101"/>
      <c r="DG1589" s="101"/>
      <c r="DH1589" s="101"/>
      <c r="DI1589" s="101"/>
      <c r="DJ1589" s="101"/>
      <c r="DK1589" s="101"/>
      <c r="DL1589" s="101"/>
      <c r="DM1589" s="101"/>
      <c r="DN1589" s="101"/>
      <c r="DO1589" s="101"/>
      <c r="DP1589" s="101"/>
      <c r="DQ1589" s="101"/>
    </row>
    <row r="1590" spans="1:121" s="40" customFormat="1" ht="13" x14ac:dyDescent="0.3">
      <c r="A1590" s="101"/>
      <c r="H1590" s="101"/>
      <c r="U1590" s="13"/>
      <c r="V1590" s="13"/>
      <c r="W1590" s="13"/>
      <c r="X1590" s="13"/>
      <c r="Y1590" s="13"/>
      <c r="Z1590" s="13"/>
      <c r="AA1590" s="13"/>
      <c r="AB1590" s="13"/>
      <c r="AC1590" s="13"/>
      <c r="AD1590" s="13"/>
      <c r="AE1590" s="13"/>
      <c r="AF1590" s="84"/>
      <c r="AG1590" s="84"/>
      <c r="AH1590" s="84"/>
      <c r="AI1590" s="84"/>
      <c r="AJ1590" s="84"/>
      <c r="AK1590" s="84"/>
      <c r="AL1590" s="84"/>
      <c r="AM1590" s="84"/>
      <c r="AN1590" s="84"/>
      <c r="AO1590" s="84"/>
      <c r="AP1590" s="84"/>
      <c r="AQ1590" s="84"/>
      <c r="AR1590" s="84"/>
      <c r="AS1590" s="84"/>
      <c r="AT1590" s="84"/>
      <c r="AU1590" s="84"/>
      <c r="AV1590" s="84"/>
      <c r="AW1590" s="84"/>
      <c r="AX1590" s="84"/>
      <c r="AY1590" s="84"/>
      <c r="AZ1590" s="84"/>
      <c r="BA1590" s="84"/>
      <c r="BB1590" s="84"/>
      <c r="BC1590" s="84"/>
      <c r="BD1590" s="84"/>
      <c r="BE1590" s="84"/>
      <c r="BF1590" s="84"/>
      <c r="BG1590" s="84"/>
      <c r="BH1590" s="84"/>
      <c r="BI1590" s="84"/>
      <c r="BJ1590" s="84"/>
      <c r="BK1590" s="84"/>
      <c r="BL1590" s="84"/>
      <c r="BM1590" s="84"/>
      <c r="BN1590" s="84"/>
      <c r="BO1590" s="84"/>
      <c r="BP1590" s="84"/>
      <c r="BQ1590" s="84"/>
      <c r="BR1590" s="84"/>
      <c r="BS1590" s="84"/>
      <c r="BT1590" s="84"/>
      <c r="BU1590" s="84"/>
      <c r="BV1590" s="84"/>
      <c r="BW1590" s="84"/>
      <c r="BX1590" s="84"/>
      <c r="BY1590" s="84"/>
      <c r="BZ1590" s="84"/>
      <c r="CA1590" s="84"/>
      <c r="CB1590" s="84"/>
      <c r="CC1590" s="84"/>
      <c r="CD1590" s="84"/>
      <c r="CE1590" s="84"/>
      <c r="CF1590" s="84"/>
      <c r="CG1590" s="84"/>
      <c r="CH1590" s="84"/>
      <c r="CI1590" s="84"/>
      <c r="CJ1590" s="84"/>
      <c r="CK1590" s="84"/>
      <c r="CL1590" s="84"/>
      <c r="CM1590" s="84"/>
      <c r="CN1590" s="84"/>
      <c r="CO1590" s="84"/>
      <c r="CP1590" s="84"/>
      <c r="CQ1590" s="101"/>
      <c r="CR1590" s="101"/>
      <c r="CS1590" s="101"/>
      <c r="CT1590" s="101"/>
      <c r="CU1590" s="101"/>
      <c r="CV1590" s="101"/>
      <c r="CW1590" s="101"/>
      <c r="CX1590" s="101"/>
      <c r="CY1590" s="101"/>
      <c r="CZ1590" s="101"/>
      <c r="DA1590" s="101"/>
      <c r="DB1590" s="101"/>
      <c r="DC1590" s="101"/>
      <c r="DD1590" s="101"/>
      <c r="DE1590" s="101"/>
      <c r="DF1590" s="101"/>
      <c r="DG1590" s="101"/>
      <c r="DH1590" s="101"/>
      <c r="DI1590" s="101"/>
      <c r="DJ1590" s="101"/>
      <c r="DK1590" s="101"/>
      <c r="DL1590" s="101"/>
      <c r="DM1590" s="101"/>
      <c r="DN1590" s="101"/>
      <c r="DO1590" s="101"/>
      <c r="DP1590" s="101"/>
      <c r="DQ1590" s="101"/>
    </row>
    <row r="1591" spans="1:121" s="40" customFormat="1" ht="13" x14ac:dyDescent="0.3">
      <c r="A1591" s="101"/>
      <c r="H1591" s="101"/>
      <c r="U1591" s="13"/>
      <c r="V1591" s="13"/>
      <c r="W1591" s="13"/>
      <c r="X1591" s="13"/>
      <c r="Y1591" s="13"/>
      <c r="Z1591" s="13"/>
      <c r="AA1591" s="13"/>
      <c r="AB1591" s="13"/>
      <c r="AC1591" s="13"/>
      <c r="AD1591" s="13"/>
      <c r="AE1591" s="13"/>
      <c r="AF1591" s="84"/>
      <c r="AG1591" s="84"/>
      <c r="AH1591" s="84"/>
      <c r="AI1591" s="84"/>
      <c r="AJ1591" s="84"/>
      <c r="AK1591" s="84"/>
      <c r="AL1591" s="84"/>
      <c r="AM1591" s="84"/>
      <c r="AN1591" s="84"/>
      <c r="AO1591" s="84"/>
      <c r="AP1591" s="84"/>
      <c r="AQ1591" s="84"/>
      <c r="AR1591" s="84"/>
      <c r="AS1591" s="84"/>
      <c r="AT1591" s="84"/>
      <c r="AU1591" s="84"/>
      <c r="AV1591" s="84"/>
      <c r="AW1591" s="84"/>
      <c r="AX1591" s="84"/>
      <c r="AY1591" s="84"/>
      <c r="AZ1591" s="84"/>
      <c r="BA1591" s="84"/>
      <c r="BB1591" s="84"/>
      <c r="BC1591" s="84"/>
      <c r="BD1591" s="84"/>
      <c r="BE1591" s="84"/>
      <c r="BF1591" s="84"/>
      <c r="BG1591" s="84"/>
      <c r="BH1591" s="84"/>
      <c r="BI1591" s="84"/>
      <c r="BJ1591" s="84"/>
      <c r="BK1591" s="84"/>
      <c r="BL1591" s="84"/>
      <c r="BM1591" s="84"/>
      <c r="BN1591" s="84"/>
      <c r="BO1591" s="84"/>
      <c r="BP1591" s="84"/>
      <c r="BQ1591" s="84"/>
      <c r="BR1591" s="84"/>
      <c r="BS1591" s="84"/>
      <c r="BT1591" s="84"/>
      <c r="BU1591" s="84"/>
      <c r="BV1591" s="84"/>
      <c r="BW1591" s="84"/>
      <c r="BX1591" s="84"/>
      <c r="BY1591" s="84"/>
      <c r="BZ1591" s="84"/>
      <c r="CA1591" s="84"/>
      <c r="CB1591" s="84"/>
      <c r="CC1591" s="84"/>
      <c r="CD1591" s="84"/>
      <c r="CE1591" s="84"/>
      <c r="CF1591" s="84"/>
      <c r="CG1591" s="84"/>
      <c r="CH1591" s="84"/>
      <c r="CI1591" s="84"/>
      <c r="CJ1591" s="84"/>
      <c r="CK1591" s="84"/>
      <c r="CL1591" s="84"/>
      <c r="CM1591" s="84"/>
      <c r="CN1591" s="84"/>
      <c r="CO1591" s="84"/>
      <c r="CP1591" s="84"/>
      <c r="CQ1591" s="101"/>
      <c r="CR1591" s="101"/>
      <c r="CS1591" s="101"/>
      <c r="CT1591" s="101"/>
      <c r="CU1591" s="101"/>
      <c r="CV1591" s="101"/>
      <c r="CW1591" s="101"/>
      <c r="CX1591" s="101"/>
      <c r="CY1591" s="101"/>
      <c r="CZ1591" s="101"/>
      <c r="DA1591" s="101"/>
      <c r="DB1591" s="101"/>
      <c r="DC1591" s="101"/>
      <c r="DD1591" s="101"/>
      <c r="DE1591" s="101"/>
      <c r="DF1591" s="101"/>
      <c r="DG1591" s="101"/>
      <c r="DH1591" s="101"/>
      <c r="DI1591" s="101"/>
      <c r="DJ1591" s="101"/>
      <c r="DK1591" s="101"/>
      <c r="DL1591" s="101"/>
      <c r="DM1591" s="101"/>
      <c r="DN1591" s="101"/>
      <c r="DO1591" s="101"/>
      <c r="DP1591" s="101"/>
      <c r="DQ1591" s="101"/>
    </row>
    <row r="1592" spans="1:121" s="40" customFormat="1" ht="13" x14ac:dyDescent="0.3">
      <c r="A1592" s="101"/>
      <c r="H1592" s="101"/>
      <c r="U1592" s="13"/>
      <c r="V1592" s="13"/>
      <c r="W1592" s="13"/>
      <c r="X1592" s="13"/>
      <c r="Y1592" s="13"/>
      <c r="Z1592" s="13"/>
      <c r="AA1592" s="13"/>
      <c r="AB1592" s="13"/>
      <c r="AC1592" s="13"/>
      <c r="AD1592" s="13"/>
      <c r="AE1592" s="13"/>
      <c r="AF1592" s="84"/>
      <c r="AG1592" s="84"/>
      <c r="AH1592" s="84"/>
      <c r="AI1592" s="84"/>
      <c r="AJ1592" s="84"/>
      <c r="AK1592" s="84"/>
      <c r="AL1592" s="84"/>
      <c r="AM1592" s="84"/>
      <c r="AN1592" s="84"/>
      <c r="AO1592" s="84"/>
      <c r="AP1592" s="84"/>
      <c r="AQ1592" s="84"/>
      <c r="AR1592" s="84"/>
      <c r="AS1592" s="84"/>
      <c r="AT1592" s="84"/>
      <c r="AU1592" s="84"/>
      <c r="AV1592" s="84"/>
      <c r="AW1592" s="84"/>
      <c r="AX1592" s="84"/>
      <c r="AY1592" s="84"/>
      <c r="AZ1592" s="84"/>
      <c r="BA1592" s="84"/>
      <c r="BB1592" s="84"/>
      <c r="BC1592" s="84"/>
      <c r="BD1592" s="84"/>
      <c r="BE1592" s="84"/>
      <c r="BF1592" s="84"/>
      <c r="BG1592" s="84"/>
      <c r="BH1592" s="84"/>
      <c r="BI1592" s="84"/>
      <c r="BJ1592" s="84"/>
      <c r="BK1592" s="84"/>
      <c r="BL1592" s="84"/>
      <c r="BM1592" s="84"/>
      <c r="BN1592" s="84"/>
      <c r="BO1592" s="84"/>
      <c r="BP1592" s="84"/>
      <c r="BQ1592" s="84"/>
      <c r="BR1592" s="84"/>
      <c r="BS1592" s="84"/>
      <c r="BT1592" s="84"/>
      <c r="BU1592" s="84"/>
      <c r="BV1592" s="84"/>
      <c r="BW1592" s="84"/>
      <c r="BX1592" s="84"/>
      <c r="BY1592" s="84"/>
      <c r="BZ1592" s="84"/>
      <c r="CA1592" s="84"/>
      <c r="CB1592" s="84"/>
      <c r="CC1592" s="84"/>
      <c r="CD1592" s="84"/>
      <c r="CE1592" s="84"/>
      <c r="CF1592" s="84"/>
      <c r="CG1592" s="84"/>
      <c r="CH1592" s="84"/>
      <c r="CI1592" s="84"/>
      <c r="CJ1592" s="84"/>
      <c r="CK1592" s="84"/>
      <c r="CL1592" s="84"/>
      <c r="CM1592" s="84"/>
      <c r="CN1592" s="84"/>
      <c r="CO1592" s="84"/>
      <c r="CP1592" s="84"/>
      <c r="CQ1592" s="101"/>
      <c r="CR1592" s="101"/>
      <c r="CS1592" s="101"/>
      <c r="CT1592" s="101"/>
      <c r="CU1592" s="101"/>
      <c r="CV1592" s="101"/>
      <c r="CW1592" s="101"/>
      <c r="CX1592" s="101"/>
      <c r="CY1592" s="101"/>
      <c r="CZ1592" s="101"/>
      <c r="DA1592" s="101"/>
      <c r="DB1592" s="101"/>
      <c r="DC1592" s="101"/>
      <c r="DD1592" s="101"/>
      <c r="DE1592" s="101"/>
      <c r="DF1592" s="101"/>
      <c r="DG1592" s="101"/>
      <c r="DH1592" s="101"/>
      <c r="DI1592" s="101"/>
      <c r="DJ1592" s="101"/>
      <c r="DK1592" s="101"/>
      <c r="DL1592" s="101"/>
      <c r="DM1592" s="101"/>
      <c r="DN1592" s="101"/>
      <c r="DO1592" s="101"/>
      <c r="DP1592" s="101"/>
      <c r="DQ1592" s="101"/>
    </row>
    <row r="1593" spans="1:121" s="40" customFormat="1" ht="13" x14ac:dyDescent="0.3">
      <c r="A1593" s="101"/>
      <c r="H1593" s="101"/>
      <c r="U1593" s="13"/>
      <c r="V1593" s="13"/>
      <c r="W1593" s="13"/>
      <c r="X1593" s="13"/>
      <c r="Y1593" s="13"/>
      <c r="Z1593" s="13"/>
      <c r="AA1593" s="13"/>
      <c r="AB1593" s="13"/>
      <c r="AC1593" s="13"/>
      <c r="AD1593" s="13"/>
      <c r="AE1593" s="13"/>
      <c r="AF1593" s="84"/>
      <c r="AG1593" s="84"/>
      <c r="AH1593" s="84"/>
      <c r="AI1593" s="84"/>
      <c r="AJ1593" s="84"/>
      <c r="AK1593" s="84"/>
      <c r="AL1593" s="84"/>
      <c r="AM1593" s="84"/>
      <c r="AN1593" s="84"/>
      <c r="AO1593" s="84"/>
      <c r="AP1593" s="84"/>
      <c r="AQ1593" s="84"/>
      <c r="AR1593" s="84"/>
      <c r="AS1593" s="84"/>
      <c r="AT1593" s="84"/>
      <c r="AU1593" s="84"/>
      <c r="AV1593" s="84"/>
      <c r="AW1593" s="84"/>
      <c r="AX1593" s="84"/>
      <c r="AY1593" s="84"/>
      <c r="AZ1593" s="84"/>
      <c r="BA1593" s="84"/>
      <c r="BB1593" s="84"/>
      <c r="BC1593" s="84"/>
      <c r="BD1593" s="84"/>
      <c r="BE1593" s="84"/>
      <c r="BF1593" s="84"/>
      <c r="BG1593" s="84"/>
      <c r="BH1593" s="84"/>
      <c r="BI1593" s="84"/>
      <c r="BJ1593" s="84"/>
      <c r="BK1593" s="84"/>
      <c r="BL1593" s="84"/>
      <c r="BM1593" s="84"/>
      <c r="BN1593" s="84"/>
      <c r="BO1593" s="84"/>
      <c r="BP1593" s="84"/>
      <c r="BQ1593" s="84"/>
      <c r="BR1593" s="84"/>
      <c r="BS1593" s="84"/>
      <c r="BT1593" s="84"/>
      <c r="BU1593" s="84"/>
      <c r="BV1593" s="84"/>
      <c r="BW1593" s="84"/>
      <c r="BX1593" s="84"/>
      <c r="BY1593" s="84"/>
      <c r="BZ1593" s="84"/>
      <c r="CA1593" s="84"/>
      <c r="CB1593" s="84"/>
      <c r="CC1593" s="84"/>
      <c r="CD1593" s="84"/>
      <c r="CE1593" s="84"/>
      <c r="CF1593" s="84"/>
      <c r="CG1593" s="84"/>
      <c r="CH1593" s="84"/>
      <c r="CI1593" s="84"/>
      <c r="CJ1593" s="84"/>
      <c r="CK1593" s="84"/>
      <c r="CL1593" s="84"/>
      <c r="CM1593" s="84"/>
      <c r="CN1593" s="84"/>
      <c r="CO1593" s="84"/>
      <c r="CP1593" s="84"/>
      <c r="CQ1593" s="101"/>
      <c r="CR1593" s="101"/>
      <c r="CS1593" s="101"/>
      <c r="CT1593" s="101"/>
      <c r="CU1593" s="101"/>
      <c r="CV1593" s="101"/>
      <c r="CW1593" s="101"/>
      <c r="CX1593" s="101"/>
      <c r="CY1593" s="101"/>
      <c r="CZ1593" s="101"/>
      <c r="DA1593" s="101"/>
      <c r="DB1593" s="101"/>
      <c r="DC1593" s="101"/>
      <c r="DD1593" s="101"/>
      <c r="DE1593" s="101"/>
      <c r="DF1593" s="101"/>
      <c r="DG1593" s="101"/>
      <c r="DH1593" s="101"/>
      <c r="DI1593" s="101"/>
      <c r="DJ1593" s="101"/>
      <c r="DK1593" s="101"/>
      <c r="DL1593" s="101"/>
      <c r="DM1593" s="101"/>
      <c r="DN1593" s="101"/>
      <c r="DO1593" s="101"/>
      <c r="DP1593" s="101"/>
      <c r="DQ1593" s="101"/>
    </row>
    <row r="1594" spans="1:121" s="40" customFormat="1" ht="13" x14ac:dyDescent="0.3">
      <c r="A1594" s="101"/>
      <c r="H1594" s="101"/>
      <c r="U1594" s="13"/>
      <c r="V1594" s="13"/>
      <c r="W1594" s="13"/>
      <c r="X1594" s="13"/>
      <c r="Y1594" s="13"/>
      <c r="Z1594" s="13"/>
      <c r="AA1594" s="13"/>
      <c r="AB1594" s="13"/>
      <c r="AC1594" s="13"/>
      <c r="AD1594" s="13"/>
      <c r="AE1594" s="13"/>
      <c r="AF1594" s="84"/>
      <c r="AG1594" s="84"/>
      <c r="AH1594" s="84"/>
      <c r="AI1594" s="84"/>
      <c r="AJ1594" s="84"/>
      <c r="AK1594" s="84"/>
      <c r="AL1594" s="84"/>
      <c r="AM1594" s="84"/>
      <c r="AN1594" s="84"/>
      <c r="AO1594" s="84"/>
      <c r="AP1594" s="84"/>
      <c r="AQ1594" s="84"/>
      <c r="AR1594" s="84"/>
      <c r="AS1594" s="84"/>
      <c r="AT1594" s="84"/>
      <c r="AU1594" s="84"/>
      <c r="AV1594" s="84"/>
      <c r="AW1594" s="84"/>
      <c r="AX1594" s="84"/>
      <c r="AY1594" s="84"/>
      <c r="AZ1594" s="84"/>
      <c r="BA1594" s="84"/>
      <c r="BB1594" s="84"/>
      <c r="BC1594" s="84"/>
      <c r="BD1594" s="84"/>
      <c r="BE1594" s="84"/>
      <c r="BF1594" s="84"/>
      <c r="BG1594" s="84"/>
      <c r="BH1594" s="84"/>
      <c r="BI1594" s="84"/>
      <c r="BJ1594" s="84"/>
      <c r="BK1594" s="84"/>
      <c r="BL1594" s="84"/>
      <c r="BM1594" s="84"/>
      <c r="BN1594" s="84"/>
      <c r="BO1594" s="84"/>
      <c r="BP1594" s="84"/>
      <c r="BQ1594" s="84"/>
      <c r="BR1594" s="84"/>
      <c r="BS1594" s="84"/>
      <c r="BT1594" s="84"/>
      <c r="BU1594" s="84"/>
      <c r="BV1594" s="84"/>
      <c r="BW1594" s="84"/>
      <c r="BX1594" s="84"/>
      <c r="BY1594" s="84"/>
      <c r="BZ1594" s="84"/>
      <c r="CA1594" s="84"/>
      <c r="CB1594" s="84"/>
      <c r="CC1594" s="84"/>
      <c r="CD1594" s="84"/>
      <c r="CE1594" s="84"/>
      <c r="CF1594" s="84"/>
      <c r="CG1594" s="84"/>
      <c r="CH1594" s="84"/>
      <c r="CI1594" s="84"/>
      <c r="CJ1594" s="84"/>
      <c r="CK1594" s="84"/>
      <c r="CL1594" s="84"/>
      <c r="CM1594" s="84"/>
      <c r="CN1594" s="84"/>
      <c r="CO1594" s="84"/>
      <c r="CP1594" s="84"/>
      <c r="CQ1594" s="101"/>
      <c r="CR1594" s="101"/>
      <c r="CS1594" s="101"/>
      <c r="CT1594" s="101"/>
      <c r="CU1594" s="101"/>
      <c r="CV1594" s="101"/>
      <c r="CW1594" s="101"/>
      <c r="CX1594" s="101"/>
      <c r="CY1594" s="101"/>
      <c r="CZ1594" s="101"/>
      <c r="DA1594" s="101"/>
      <c r="DB1594" s="101"/>
      <c r="DC1594" s="101"/>
      <c r="DD1594" s="101"/>
      <c r="DE1594" s="101"/>
      <c r="DF1594" s="101"/>
      <c r="DG1594" s="101"/>
      <c r="DH1594" s="101"/>
      <c r="DI1594" s="101"/>
      <c r="DJ1594" s="101"/>
      <c r="DK1594" s="101"/>
      <c r="DL1594" s="101"/>
      <c r="DM1594" s="101"/>
      <c r="DN1594" s="101"/>
      <c r="DO1594" s="101"/>
      <c r="DP1594" s="101"/>
      <c r="DQ1594" s="101"/>
    </row>
    <row r="1595" spans="1:121" x14ac:dyDescent="0.35">
      <c r="G1595" s="1300"/>
      <c r="H1595" s="1301"/>
      <c r="I1595" s="40"/>
      <c r="J1595" s="40"/>
      <c r="K1595" s="1300"/>
      <c r="L1595" s="1300"/>
      <c r="M1595" s="1300"/>
      <c r="N1595" s="1300"/>
      <c r="O1595" s="1300"/>
      <c r="P1595" s="1300"/>
      <c r="Q1595" s="1300"/>
      <c r="R1595" s="1300"/>
      <c r="S1595" s="1300"/>
      <c r="T1595" s="1300"/>
      <c r="U1595" s="1804"/>
      <c r="V1595" s="1804"/>
      <c r="W1595" s="1804"/>
      <c r="X1595" s="1804"/>
      <c r="Y1595" s="1804"/>
      <c r="Z1595" s="1804"/>
      <c r="AA1595" s="1804"/>
      <c r="AB1595" s="1804"/>
      <c r="AC1595" s="1804"/>
      <c r="AD1595" s="1804"/>
      <c r="AE1595" s="1804"/>
      <c r="AF1595" s="1183"/>
      <c r="AG1595" s="1183"/>
      <c r="AH1595" s="1183"/>
      <c r="AI1595" s="1183"/>
      <c r="AJ1595" s="1183"/>
      <c r="AK1595" s="1183"/>
      <c r="AL1595" s="1183"/>
      <c r="AM1595" s="1183"/>
      <c r="AN1595" s="1183"/>
      <c r="AO1595" s="1183"/>
      <c r="AP1595" s="1183"/>
      <c r="AQ1595" s="1183"/>
      <c r="AR1595" s="1183"/>
      <c r="AS1595" s="1183"/>
      <c r="AT1595" s="1183"/>
      <c r="AU1595" s="1183"/>
      <c r="AV1595" s="1183"/>
      <c r="AW1595" s="1183"/>
      <c r="AX1595" s="1183"/>
      <c r="AY1595" s="1183"/>
      <c r="AZ1595" s="1183"/>
      <c r="BA1595" s="1183"/>
      <c r="BB1595" s="1183"/>
      <c r="BC1595" s="1183"/>
      <c r="BD1595" s="1183"/>
      <c r="BE1595" s="1183"/>
      <c r="BF1595" s="1183"/>
      <c r="BG1595" s="1183"/>
      <c r="BH1595" s="1183"/>
      <c r="BI1595" s="1183"/>
      <c r="BJ1595" s="1183"/>
      <c r="BK1595" s="1183"/>
      <c r="BL1595" s="1183"/>
      <c r="BM1595" s="1183"/>
      <c r="BN1595" s="1183"/>
      <c r="BO1595" s="1183"/>
      <c r="BP1595" s="1183"/>
      <c r="BQ1595" s="1183"/>
      <c r="BR1595" s="1183"/>
      <c r="BS1595" s="1183"/>
      <c r="BT1595" s="1183"/>
      <c r="BU1595" s="1183"/>
      <c r="BV1595" s="1183"/>
      <c r="BW1595" s="1183"/>
      <c r="BX1595" s="1183"/>
      <c r="BY1595" s="1183"/>
      <c r="BZ1595" s="1183"/>
      <c r="CA1595" s="1183"/>
      <c r="CB1595" s="1183"/>
      <c r="CC1595" s="1183"/>
      <c r="CD1595" s="1183"/>
      <c r="CE1595" s="1183"/>
      <c r="CF1595" s="1183"/>
      <c r="CG1595" s="1183"/>
      <c r="CH1595" s="1183"/>
      <c r="CI1595" s="1183"/>
      <c r="CJ1595" s="1183"/>
      <c r="CK1595" s="1183"/>
      <c r="CL1595" s="1183"/>
      <c r="CM1595" s="1183"/>
      <c r="CN1595" s="1183"/>
      <c r="CO1595" s="1183"/>
      <c r="CP1595" s="1183"/>
      <c r="CQ1595" s="1301"/>
      <c r="CR1595" s="1301"/>
      <c r="CS1595" s="1301"/>
      <c r="CT1595" s="1301"/>
      <c r="CU1595" s="1301"/>
      <c r="CV1595" s="1301"/>
      <c r="CW1595" s="1301"/>
      <c r="CX1595" s="1301"/>
      <c r="CY1595" s="1301"/>
      <c r="CZ1595" s="1301"/>
      <c r="DA1595" s="1301"/>
      <c r="DB1595" s="1301"/>
      <c r="DC1595" s="1301"/>
      <c r="DD1595" s="1301"/>
      <c r="DE1595" s="1301"/>
      <c r="DF1595" s="1301"/>
      <c r="DG1595" s="1301"/>
      <c r="DH1595" s="1301"/>
      <c r="DI1595" s="1301"/>
      <c r="DJ1595" s="1301"/>
      <c r="DK1595" s="1301"/>
      <c r="DL1595" s="1301"/>
      <c r="DM1595" s="1301"/>
      <c r="DN1595" s="1301"/>
      <c r="DO1595" s="1301"/>
      <c r="DP1595" s="1301"/>
      <c r="DQ1595" s="1301"/>
    </row>
    <row r="1596" spans="1:121" x14ac:dyDescent="0.35">
      <c r="G1596" s="1300"/>
      <c r="H1596" s="1301"/>
      <c r="I1596" s="40"/>
      <c r="J1596" s="40"/>
      <c r="K1596" s="1300"/>
      <c r="L1596" s="1300"/>
      <c r="M1596" s="1300"/>
      <c r="N1596" s="1300"/>
      <c r="O1596" s="1300"/>
      <c r="P1596" s="1300"/>
      <c r="Q1596" s="1300"/>
      <c r="R1596" s="1300"/>
      <c r="S1596" s="1300"/>
      <c r="T1596" s="1300"/>
      <c r="U1596" s="1804"/>
      <c r="V1596" s="1804"/>
      <c r="W1596" s="1804"/>
      <c r="X1596" s="1804"/>
      <c r="Y1596" s="1804"/>
      <c r="Z1596" s="1804"/>
      <c r="AA1596" s="1804"/>
      <c r="AB1596" s="1804"/>
      <c r="AC1596" s="1804"/>
      <c r="AD1596" s="1804"/>
      <c r="AE1596" s="1804"/>
      <c r="AF1596" s="1183"/>
      <c r="AG1596" s="1183"/>
      <c r="AH1596" s="1183"/>
      <c r="AI1596" s="1183"/>
      <c r="AJ1596" s="1183"/>
      <c r="AK1596" s="1183"/>
      <c r="AL1596" s="1183"/>
      <c r="AM1596" s="1183"/>
      <c r="AN1596" s="1183"/>
      <c r="AO1596" s="1183"/>
      <c r="AP1596" s="1183"/>
      <c r="AQ1596" s="1183"/>
      <c r="AR1596" s="1183"/>
      <c r="AS1596" s="1183"/>
      <c r="AT1596" s="1183"/>
      <c r="AU1596" s="1183"/>
      <c r="AV1596" s="1183"/>
      <c r="AW1596" s="1183"/>
      <c r="AX1596" s="1183"/>
      <c r="AY1596" s="1183"/>
      <c r="AZ1596" s="1183"/>
      <c r="BA1596" s="1183"/>
      <c r="BB1596" s="1183"/>
      <c r="BC1596" s="1183"/>
      <c r="BD1596" s="1183"/>
      <c r="BE1596" s="1183"/>
      <c r="BF1596" s="1183"/>
      <c r="BG1596" s="1183"/>
      <c r="BH1596" s="1183"/>
      <c r="BI1596" s="1183"/>
      <c r="BJ1596" s="1183"/>
      <c r="BK1596" s="1183"/>
      <c r="BL1596" s="1183"/>
      <c r="BM1596" s="1183"/>
      <c r="BN1596" s="1183"/>
      <c r="BO1596" s="1183"/>
      <c r="BP1596" s="1183"/>
      <c r="BQ1596" s="1183"/>
      <c r="BR1596" s="1183"/>
      <c r="BS1596" s="1183"/>
      <c r="BT1596" s="1183"/>
      <c r="BU1596" s="1183"/>
      <c r="BV1596" s="1183"/>
      <c r="BW1596" s="1183"/>
      <c r="BX1596" s="1183"/>
      <c r="BY1596" s="1183"/>
      <c r="BZ1596" s="1183"/>
      <c r="CA1596" s="1183"/>
      <c r="CB1596" s="1183"/>
      <c r="CC1596" s="1183"/>
      <c r="CD1596" s="1183"/>
      <c r="CE1596" s="1183"/>
      <c r="CF1596" s="1183"/>
      <c r="CG1596" s="1183"/>
      <c r="CH1596" s="1183"/>
      <c r="CI1596" s="1183"/>
      <c r="CJ1596" s="1183"/>
      <c r="CK1596" s="1183"/>
      <c r="CL1596" s="1183"/>
      <c r="CM1596" s="1183"/>
      <c r="CN1596" s="1183"/>
      <c r="CO1596" s="1183"/>
      <c r="CP1596" s="1183"/>
      <c r="CQ1596" s="1301"/>
      <c r="CR1596" s="1301"/>
      <c r="CS1596" s="1301"/>
      <c r="CT1596" s="1301"/>
      <c r="CU1596" s="1301"/>
      <c r="CV1596" s="1301"/>
      <c r="CW1596" s="1301"/>
      <c r="CX1596" s="1301"/>
      <c r="CY1596" s="1301"/>
      <c r="CZ1596" s="1301"/>
      <c r="DA1596" s="1301"/>
      <c r="DB1596" s="1301"/>
      <c r="DC1596" s="1301"/>
      <c r="DD1596" s="1301"/>
      <c r="DE1596" s="1301"/>
      <c r="DF1596" s="1301"/>
      <c r="DG1596" s="1301"/>
      <c r="DH1596" s="1301"/>
      <c r="DI1596" s="1301"/>
      <c r="DJ1596" s="1301"/>
      <c r="DK1596" s="1301"/>
      <c r="DL1596" s="1301"/>
      <c r="DM1596" s="1301"/>
      <c r="DN1596" s="1301"/>
      <c r="DO1596" s="1301"/>
      <c r="DP1596" s="1301"/>
      <c r="DQ1596" s="1301"/>
    </row>
    <row r="1597" spans="1:121" x14ac:dyDescent="0.35">
      <c r="G1597" s="1300"/>
      <c r="H1597" s="1301"/>
      <c r="I1597" s="40"/>
      <c r="J1597" s="40"/>
      <c r="K1597" s="1300"/>
      <c r="L1597" s="1300"/>
      <c r="M1597" s="1300"/>
      <c r="N1597" s="1300"/>
      <c r="O1597" s="1300"/>
      <c r="P1597" s="1300"/>
      <c r="Q1597" s="1300"/>
      <c r="R1597" s="1300"/>
      <c r="S1597" s="1300"/>
      <c r="T1597" s="1300"/>
      <c r="U1597" s="1804"/>
      <c r="V1597" s="1804"/>
      <c r="W1597" s="1804"/>
      <c r="X1597" s="1804"/>
      <c r="Y1597" s="1804"/>
      <c r="Z1597" s="1804"/>
      <c r="AA1597" s="1804"/>
      <c r="AB1597" s="1804"/>
      <c r="AC1597" s="1804"/>
      <c r="AD1597" s="1804"/>
      <c r="AE1597" s="1804"/>
      <c r="AF1597" s="1183"/>
      <c r="AG1597" s="1183"/>
      <c r="AH1597" s="1183"/>
      <c r="AI1597" s="1183"/>
      <c r="AJ1597" s="1183"/>
      <c r="AK1597" s="1183"/>
      <c r="AL1597" s="1183"/>
      <c r="AM1597" s="1183"/>
      <c r="AN1597" s="1183"/>
      <c r="AO1597" s="1183"/>
      <c r="AP1597" s="1183"/>
      <c r="AQ1597" s="1183"/>
      <c r="AR1597" s="1183"/>
      <c r="AS1597" s="1183"/>
      <c r="AT1597" s="1183"/>
      <c r="AU1597" s="1183"/>
      <c r="AV1597" s="1183"/>
      <c r="AW1597" s="1183"/>
      <c r="AX1597" s="1183"/>
      <c r="AY1597" s="1183"/>
      <c r="AZ1597" s="1183"/>
      <c r="BA1597" s="1183"/>
      <c r="BB1597" s="1183"/>
      <c r="BC1597" s="1183"/>
      <c r="BD1597" s="1183"/>
      <c r="BE1597" s="1183"/>
      <c r="BF1597" s="1183"/>
      <c r="BG1597" s="1183"/>
      <c r="BH1597" s="1183"/>
      <c r="BI1597" s="1183"/>
      <c r="BJ1597" s="1183"/>
      <c r="BK1597" s="1183"/>
      <c r="BL1597" s="1183"/>
      <c r="BM1597" s="1183"/>
      <c r="BN1597" s="1183"/>
      <c r="BO1597" s="1183"/>
      <c r="BP1597" s="1183"/>
      <c r="BQ1597" s="1183"/>
      <c r="BR1597" s="1183"/>
      <c r="BS1597" s="1183"/>
      <c r="BT1597" s="1183"/>
      <c r="BU1597" s="1183"/>
      <c r="BV1597" s="1183"/>
      <c r="BW1597" s="1183"/>
      <c r="BX1597" s="1183"/>
      <c r="BY1597" s="1183"/>
      <c r="BZ1597" s="1183"/>
      <c r="CA1597" s="1183"/>
      <c r="CB1597" s="1183"/>
      <c r="CC1597" s="1183"/>
      <c r="CD1597" s="1183"/>
      <c r="CE1597" s="1183"/>
      <c r="CF1597" s="1183"/>
      <c r="CG1597" s="1183"/>
      <c r="CH1597" s="1183"/>
      <c r="CI1597" s="1183"/>
      <c r="CJ1597" s="1183"/>
      <c r="CK1597" s="1183"/>
      <c r="CL1597" s="1183"/>
      <c r="CM1597" s="1183"/>
      <c r="CN1597" s="1183"/>
      <c r="CO1597" s="1183"/>
      <c r="CP1597" s="1183"/>
      <c r="CQ1597" s="1301"/>
      <c r="CR1597" s="1301"/>
      <c r="CS1597" s="1301"/>
      <c r="CT1597" s="1301"/>
      <c r="CU1597" s="1301"/>
      <c r="CV1597" s="1301"/>
      <c r="CW1597" s="1301"/>
      <c r="CX1597" s="1301"/>
      <c r="CY1597" s="1301"/>
      <c r="CZ1597" s="1301"/>
      <c r="DA1597" s="1301"/>
      <c r="DB1597" s="1301"/>
      <c r="DC1597" s="1301"/>
      <c r="DD1597" s="1301"/>
      <c r="DE1597" s="1301"/>
      <c r="DF1597" s="1301"/>
      <c r="DG1597" s="1301"/>
      <c r="DH1597" s="1301"/>
      <c r="DI1597" s="1301"/>
      <c r="DJ1597" s="1301"/>
      <c r="DK1597" s="1301"/>
      <c r="DL1597" s="1301"/>
      <c r="DM1597" s="1301"/>
      <c r="DN1597" s="1301"/>
      <c r="DO1597" s="1301"/>
      <c r="DP1597" s="1301"/>
      <c r="DQ1597" s="1301"/>
    </row>
    <row r="1598" spans="1:121" x14ac:dyDescent="0.35">
      <c r="G1598" s="1300"/>
      <c r="H1598" s="1301"/>
      <c r="I1598" s="40"/>
      <c r="J1598" s="40"/>
      <c r="K1598" s="1300"/>
      <c r="L1598" s="1300"/>
      <c r="M1598" s="1300"/>
      <c r="N1598" s="1300"/>
      <c r="O1598" s="1300"/>
      <c r="P1598" s="1300"/>
      <c r="Q1598" s="1300"/>
      <c r="R1598" s="1300"/>
      <c r="S1598" s="1300"/>
      <c r="T1598" s="1300"/>
      <c r="U1598" s="1804"/>
      <c r="V1598" s="1804"/>
      <c r="W1598" s="1804"/>
      <c r="X1598" s="1804"/>
      <c r="Y1598" s="1804"/>
      <c r="Z1598" s="1804"/>
      <c r="AA1598" s="1804"/>
      <c r="AB1598" s="1804"/>
      <c r="AC1598" s="1804"/>
      <c r="AD1598" s="1804"/>
      <c r="AE1598" s="1804"/>
      <c r="AF1598" s="1183"/>
      <c r="AG1598" s="1183"/>
      <c r="AH1598" s="1183"/>
      <c r="AI1598" s="1183"/>
      <c r="AJ1598" s="1183"/>
      <c r="AK1598" s="1183"/>
      <c r="AL1598" s="1183"/>
      <c r="AM1598" s="1183"/>
      <c r="AN1598" s="1183"/>
      <c r="AO1598" s="1183"/>
      <c r="AP1598" s="1183"/>
      <c r="AQ1598" s="1183"/>
      <c r="AR1598" s="1183"/>
      <c r="AS1598" s="1183"/>
      <c r="AT1598" s="1183"/>
      <c r="AU1598" s="1183"/>
      <c r="AV1598" s="1183"/>
      <c r="AW1598" s="1183"/>
      <c r="AX1598" s="1183"/>
      <c r="AY1598" s="1183"/>
      <c r="AZ1598" s="1183"/>
      <c r="BA1598" s="1183"/>
      <c r="BB1598" s="1183"/>
      <c r="BC1598" s="1183"/>
      <c r="BD1598" s="1183"/>
      <c r="BE1598" s="1183"/>
      <c r="BF1598" s="1183"/>
      <c r="BG1598" s="1183"/>
      <c r="BH1598" s="1183"/>
      <c r="BI1598" s="1183"/>
      <c r="BJ1598" s="1183"/>
      <c r="BK1598" s="1183"/>
      <c r="BL1598" s="1183"/>
      <c r="BM1598" s="1183"/>
      <c r="BN1598" s="1183"/>
      <c r="BO1598" s="1183"/>
      <c r="BP1598" s="1183"/>
      <c r="BQ1598" s="1183"/>
      <c r="BR1598" s="1183"/>
      <c r="BS1598" s="1183"/>
      <c r="BT1598" s="1183"/>
      <c r="BU1598" s="1183"/>
      <c r="BV1598" s="1183"/>
      <c r="BW1598" s="1183"/>
      <c r="BX1598" s="1183"/>
      <c r="BY1598" s="1183"/>
      <c r="BZ1598" s="1183"/>
      <c r="CA1598" s="1183"/>
      <c r="CB1598" s="1183"/>
      <c r="CC1598" s="1183"/>
      <c r="CD1598" s="1183"/>
      <c r="CE1598" s="1183"/>
      <c r="CF1598" s="1183"/>
      <c r="CG1598" s="1183"/>
      <c r="CH1598" s="1183"/>
      <c r="CI1598" s="1183"/>
      <c r="CJ1598" s="1183"/>
      <c r="CK1598" s="1183"/>
      <c r="CL1598" s="1183"/>
      <c r="CM1598" s="1183"/>
      <c r="CN1598" s="1183"/>
      <c r="CO1598" s="1183"/>
      <c r="CP1598" s="1183"/>
      <c r="CQ1598" s="1301"/>
      <c r="CR1598" s="1301"/>
      <c r="CS1598" s="1301"/>
      <c r="CT1598" s="1301"/>
      <c r="CU1598" s="1301"/>
      <c r="CV1598" s="1301"/>
      <c r="CW1598" s="1301"/>
      <c r="CX1598" s="1301"/>
      <c r="CY1598" s="1301"/>
      <c r="CZ1598" s="1301"/>
      <c r="DA1598" s="1301"/>
      <c r="DB1598" s="1301"/>
      <c r="DC1598" s="1301"/>
      <c r="DD1598" s="1301"/>
      <c r="DE1598" s="1301"/>
      <c r="DF1598" s="1301"/>
      <c r="DG1598" s="1301"/>
      <c r="DH1598" s="1301"/>
      <c r="DI1598" s="1301"/>
      <c r="DJ1598" s="1301"/>
      <c r="DK1598" s="1301"/>
      <c r="DL1598" s="1301"/>
      <c r="DM1598" s="1301"/>
      <c r="DN1598" s="1301"/>
      <c r="DO1598" s="1301"/>
      <c r="DP1598" s="1301"/>
      <c r="DQ1598" s="1301"/>
    </row>
    <row r="1599" spans="1:121" x14ac:dyDescent="0.35">
      <c r="G1599" s="1300"/>
      <c r="H1599" s="1301"/>
      <c r="I1599" s="40"/>
      <c r="J1599" s="40"/>
      <c r="K1599" s="1300"/>
      <c r="L1599" s="1300"/>
      <c r="M1599" s="1300"/>
      <c r="N1599" s="1300"/>
      <c r="O1599" s="1300"/>
      <c r="P1599" s="1300"/>
      <c r="Q1599" s="1300"/>
      <c r="R1599" s="1300"/>
      <c r="S1599" s="1300"/>
      <c r="T1599" s="1300"/>
      <c r="U1599" s="1804"/>
      <c r="V1599" s="1804"/>
      <c r="W1599" s="1804"/>
      <c r="X1599" s="1804"/>
      <c r="Y1599" s="1804"/>
      <c r="Z1599" s="1804"/>
      <c r="AA1599" s="1804"/>
      <c r="AB1599" s="1804"/>
      <c r="AC1599" s="1804"/>
      <c r="AD1599" s="1804"/>
      <c r="AE1599" s="1804"/>
      <c r="AF1599" s="1183"/>
      <c r="AG1599" s="1183"/>
      <c r="AH1599" s="1183"/>
      <c r="AI1599" s="1183"/>
      <c r="AJ1599" s="1183"/>
      <c r="AK1599" s="1183"/>
      <c r="AL1599" s="1183"/>
      <c r="AM1599" s="1183"/>
      <c r="AN1599" s="1183"/>
      <c r="AO1599" s="1183"/>
      <c r="AP1599" s="1183"/>
      <c r="AQ1599" s="1183"/>
      <c r="AR1599" s="1183"/>
      <c r="AS1599" s="1183"/>
      <c r="AT1599" s="1183"/>
      <c r="AU1599" s="1183"/>
      <c r="AV1599" s="1183"/>
      <c r="AW1599" s="1183"/>
      <c r="AX1599" s="1183"/>
      <c r="AY1599" s="1183"/>
      <c r="AZ1599" s="1183"/>
      <c r="BA1599" s="1183"/>
      <c r="BB1599" s="1183"/>
      <c r="BC1599" s="1183"/>
      <c r="BD1599" s="1183"/>
      <c r="BE1599" s="1183"/>
      <c r="BF1599" s="1183"/>
      <c r="BG1599" s="1183"/>
      <c r="BH1599" s="1183"/>
      <c r="BI1599" s="1183"/>
      <c r="BJ1599" s="1183"/>
      <c r="BK1599" s="1183"/>
      <c r="BL1599" s="1183"/>
      <c r="BM1599" s="1183"/>
      <c r="BN1599" s="1183"/>
      <c r="BO1599" s="1183"/>
      <c r="BP1599" s="1183"/>
      <c r="BQ1599" s="1183"/>
      <c r="BR1599" s="1183"/>
      <c r="BS1599" s="1183"/>
      <c r="BT1599" s="1183"/>
      <c r="BU1599" s="1183"/>
      <c r="BV1599" s="1183"/>
      <c r="BW1599" s="1183"/>
      <c r="BX1599" s="1183"/>
      <c r="BY1599" s="1183"/>
      <c r="BZ1599" s="1183"/>
      <c r="CA1599" s="1183"/>
      <c r="CB1599" s="1183"/>
      <c r="CC1599" s="1183"/>
      <c r="CD1599" s="1183"/>
      <c r="CE1599" s="1183"/>
      <c r="CF1599" s="1183"/>
      <c r="CG1599" s="1183"/>
      <c r="CH1599" s="1183"/>
      <c r="CI1599" s="1183"/>
      <c r="CJ1599" s="1183"/>
      <c r="CK1599" s="1183"/>
      <c r="CL1599" s="1183"/>
      <c r="CM1599" s="1183"/>
      <c r="CN1599" s="1183"/>
      <c r="CO1599" s="1183"/>
      <c r="CP1599" s="1183"/>
      <c r="CQ1599" s="1301"/>
      <c r="CR1599" s="1301"/>
      <c r="CS1599" s="1301"/>
      <c r="CT1599" s="1301"/>
      <c r="CU1599" s="1301"/>
      <c r="CV1599" s="1301"/>
      <c r="CW1599" s="1301"/>
      <c r="CX1599" s="1301"/>
      <c r="CY1599" s="1301"/>
      <c r="CZ1599" s="1301"/>
      <c r="DA1599" s="1301"/>
      <c r="DB1599" s="1301"/>
      <c r="DC1599" s="1301"/>
      <c r="DD1599" s="1301"/>
      <c r="DE1599" s="1301"/>
      <c r="DF1599" s="1301"/>
      <c r="DG1599" s="1301"/>
      <c r="DH1599" s="1301"/>
      <c r="DI1599" s="1301"/>
      <c r="DJ1599" s="1301"/>
      <c r="DK1599" s="1301"/>
      <c r="DL1599" s="1301"/>
      <c r="DM1599" s="1301"/>
      <c r="DN1599" s="1301"/>
      <c r="DO1599" s="1301"/>
      <c r="DP1599" s="1301"/>
      <c r="DQ1599" s="1301"/>
    </row>
    <row r="1600" spans="1:121" x14ac:dyDescent="0.35">
      <c r="G1600" s="1300"/>
      <c r="H1600" s="1301"/>
      <c r="I1600" s="40"/>
      <c r="J1600" s="40"/>
      <c r="K1600" s="1300"/>
      <c r="L1600" s="1300"/>
      <c r="M1600" s="1300"/>
      <c r="N1600" s="1300"/>
      <c r="O1600" s="1300"/>
      <c r="P1600" s="1300"/>
      <c r="Q1600" s="1300"/>
      <c r="R1600" s="1300"/>
      <c r="S1600" s="1300"/>
      <c r="T1600" s="1300"/>
      <c r="U1600" s="1804"/>
      <c r="V1600" s="1804"/>
      <c r="W1600" s="1804"/>
      <c r="X1600" s="1804"/>
      <c r="Y1600" s="1804"/>
      <c r="Z1600" s="1804"/>
      <c r="AA1600" s="1804"/>
      <c r="AB1600" s="1804"/>
      <c r="AC1600" s="1804"/>
      <c r="AD1600" s="1804"/>
      <c r="AE1600" s="1804"/>
      <c r="AF1600" s="1183"/>
      <c r="AG1600" s="1183"/>
      <c r="AH1600" s="1183"/>
      <c r="AI1600" s="1183"/>
      <c r="AJ1600" s="1183"/>
      <c r="AK1600" s="1183"/>
      <c r="AL1600" s="1183"/>
      <c r="AM1600" s="1183"/>
      <c r="AN1600" s="1183"/>
      <c r="AO1600" s="1183"/>
      <c r="AP1600" s="1183"/>
      <c r="AQ1600" s="1183"/>
      <c r="AR1600" s="1183"/>
      <c r="AS1600" s="1183"/>
      <c r="AT1600" s="1183"/>
      <c r="AU1600" s="1183"/>
      <c r="AV1600" s="1183"/>
      <c r="AW1600" s="1183"/>
      <c r="AX1600" s="1183"/>
      <c r="AY1600" s="1183"/>
      <c r="AZ1600" s="1183"/>
      <c r="BA1600" s="1183"/>
      <c r="BB1600" s="1183"/>
      <c r="BC1600" s="1183"/>
      <c r="BD1600" s="1183"/>
      <c r="BE1600" s="1183"/>
      <c r="BF1600" s="1183"/>
      <c r="BG1600" s="1183"/>
      <c r="BH1600" s="1183"/>
      <c r="BI1600" s="1183"/>
      <c r="BJ1600" s="1183"/>
      <c r="BK1600" s="1183"/>
      <c r="BL1600" s="1183"/>
      <c r="BM1600" s="1183"/>
      <c r="BN1600" s="1183"/>
      <c r="BO1600" s="1183"/>
      <c r="BP1600" s="1183"/>
      <c r="BQ1600" s="1183"/>
      <c r="BR1600" s="1183"/>
      <c r="BS1600" s="1183"/>
      <c r="BT1600" s="1183"/>
      <c r="BU1600" s="1183"/>
      <c r="BV1600" s="1183"/>
      <c r="BW1600" s="1183"/>
      <c r="BX1600" s="1183"/>
      <c r="BY1600" s="1183"/>
      <c r="BZ1600" s="1183"/>
      <c r="CA1600" s="1183"/>
      <c r="CB1600" s="1183"/>
      <c r="CC1600" s="1183"/>
      <c r="CD1600" s="1183"/>
      <c r="CE1600" s="1183"/>
      <c r="CF1600" s="1183"/>
      <c r="CG1600" s="1183"/>
      <c r="CH1600" s="1183"/>
      <c r="CI1600" s="1183"/>
      <c r="CJ1600" s="1183"/>
      <c r="CK1600" s="1183"/>
      <c r="CL1600" s="1183"/>
      <c r="CM1600" s="1183"/>
      <c r="CN1600" s="1183"/>
      <c r="CO1600" s="1183"/>
      <c r="CP1600" s="1183"/>
      <c r="CQ1600" s="1301"/>
      <c r="CR1600" s="1301"/>
      <c r="CS1600" s="1301"/>
      <c r="CT1600" s="1301"/>
      <c r="CU1600" s="1301"/>
      <c r="CV1600" s="1301"/>
      <c r="CW1600" s="1301"/>
      <c r="CX1600" s="1301"/>
      <c r="CY1600" s="1301"/>
      <c r="CZ1600" s="1301"/>
      <c r="DA1600" s="1301"/>
      <c r="DB1600" s="1301"/>
      <c r="DC1600" s="1301"/>
      <c r="DD1600" s="1301"/>
      <c r="DE1600" s="1301"/>
      <c r="DF1600" s="1301"/>
      <c r="DG1600" s="1301"/>
      <c r="DH1600" s="1301"/>
      <c r="DI1600" s="1301"/>
      <c r="DJ1600" s="1301"/>
      <c r="DK1600" s="1301"/>
      <c r="DL1600" s="1301"/>
      <c r="DM1600" s="1301"/>
      <c r="DN1600" s="1301"/>
      <c r="DO1600" s="1301"/>
      <c r="DP1600" s="1301"/>
      <c r="DQ1600" s="1301"/>
    </row>
    <row r="1601" spans="9:10" x14ac:dyDescent="0.35">
      <c r="I1601" s="40"/>
      <c r="J1601" s="40"/>
    </row>
    <row r="1602" spans="9:10" x14ac:dyDescent="0.35">
      <c r="I1602" s="40"/>
      <c r="J1602" s="40"/>
    </row>
    <row r="1603" spans="9:10" x14ac:dyDescent="0.35">
      <c r="I1603" s="40"/>
      <c r="J1603" s="40"/>
    </row>
    <row r="1604" spans="9:10" x14ac:dyDescent="0.35">
      <c r="I1604" s="40"/>
      <c r="J1604" s="40"/>
    </row>
    <row r="1605" spans="9:10" x14ac:dyDescent="0.35">
      <c r="I1605" s="40"/>
      <c r="J1605" s="40"/>
    </row>
    <row r="1606" spans="9:10" x14ac:dyDescent="0.35">
      <c r="I1606" s="40"/>
      <c r="J1606" s="40"/>
    </row>
    <row r="1607" spans="9:10" x14ac:dyDescent="0.35">
      <c r="I1607" s="40"/>
      <c r="J1607" s="40"/>
    </row>
    <row r="1608" spans="9:10" x14ac:dyDescent="0.35">
      <c r="I1608" s="40"/>
      <c r="J1608" s="40"/>
    </row>
    <row r="1609" spans="9:10" x14ac:dyDescent="0.35">
      <c r="I1609" s="40"/>
      <c r="J1609" s="40"/>
    </row>
    <row r="1610" spans="9:10" x14ac:dyDescent="0.35">
      <c r="I1610" s="40"/>
      <c r="J1610" s="40"/>
    </row>
    <row r="1611" spans="9:10" x14ac:dyDescent="0.35">
      <c r="I1611" s="40"/>
      <c r="J1611" s="40"/>
    </row>
    <row r="1612" spans="9:10" x14ac:dyDescent="0.35">
      <c r="I1612" s="40"/>
      <c r="J1612" s="40"/>
    </row>
    <row r="1613" spans="9:10" x14ac:dyDescent="0.35">
      <c r="I1613" s="40"/>
      <c r="J1613" s="40"/>
    </row>
    <row r="1614" spans="9:10" x14ac:dyDescent="0.35">
      <c r="I1614" s="40"/>
      <c r="J1614" s="40"/>
    </row>
    <row r="1615" spans="9:10" x14ac:dyDescent="0.35">
      <c r="I1615" s="40"/>
      <c r="J1615" s="40"/>
    </row>
    <row r="1616" spans="9:10" x14ac:dyDescent="0.35">
      <c r="I1616" s="40"/>
      <c r="J1616" s="40"/>
    </row>
    <row r="1617" spans="9:10" x14ac:dyDescent="0.35">
      <c r="I1617" s="40"/>
      <c r="J1617" s="40"/>
    </row>
    <row r="1618" spans="9:10" x14ac:dyDescent="0.35">
      <c r="I1618" s="40"/>
      <c r="J1618" s="40"/>
    </row>
    <row r="1619" spans="9:10" x14ac:dyDescent="0.35">
      <c r="I1619" s="40"/>
      <c r="J1619" s="40"/>
    </row>
    <row r="1620" spans="9:10" x14ac:dyDescent="0.35">
      <c r="I1620" s="40"/>
      <c r="J1620" s="40"/>
    </row>
    <row r="1621" spans="9:10" x14ac:dyDescent="0.35">
      <c r="I1621" s="40"/>
      <c r="J1621" s="40"/>
    </row>
    <row r="1622" spans="9:10" x14ac:dyDescent="0.35">
      <c r="I1622" s="40"/>
      <c r="J1622" s="40"/>
    </row>
    <row r="1623" spans="9:10" x14ac:dyDescent="0.35">
      <c r="I1623" s="40"/>
      <c r="J1623" s="40"/>
    </row>
    <row r="1624" spans="9:10" x14ac:dyDescent="0.35">
      <c r="I1624" s="40"/>
      <c r="J1624" s="40"/>
    </row>
    <row r="1625" spans="9:10" x14ac:dyDescent="0.35">
      <c r="I1625" s="40"/>
      <c r="J1625" s="40"/>
    </row>
    <row r="1626" spans="9:10" x14ac:dyDescent="0.35">
      <c r="I1626" s="40"/>
      <c r="J1626" s="40"/>
    </row>
    <row r="1627" spans="9:10" x14ac:dyDescent="0.35">
      <c r="I1627" s="40"/>
      <c r="J1627" s="40"/>
    </row>
    <row r="1628" spans="9:10" x14ac:dyDescent="0.35">
      <c r="I1628" s="40"/>
      <c r="J1628" s="40"/>
    </row>
    <row r="1629" spans="9:10" x14ac:dyDescent="0.35">
      <c r="I1629" s="40"/>
      <c r="J1629" s="40"/>
    </row>
    <row r="1630" spans="9:10" x14ac:dyDescent="0.35">
      <c r="I1630" s="40"/>
      <c r="J1630" s="40"/>
    </row>
    <row r="1631" spans="9:10" x14ac:dyDescent="0.35">
      <c r="I1631" s="40"/>
      <c r="J1631" s="40"/>
    </row>
    <row r="1632" spans="9:10" x14ac:dyDescent="0.35">
      <c r="I1632" s="40"/>
      <c r="J1632" s="40"/>
    </row>
    <row r="1633" spans="9:10" x14ac:dyDescent="0.35">
      <c r="I1633" s="40"/>
      <c r="J1633" s="40"/>
    </row>
    <row r="1634" spans="9:10" x14ac:dyDescent="0.35">
      <c r="I1634" s="40"/>
      <c r="J1634" s="40"/>
    </row>
    <row r="1635" spans="9:10" x14ac:dyDescent="0.35">
      <c r="I1635" s="40"/>
      <c r="J1635" s="40"/>
    </row>
    <row r="1636" spans="9:10" x14ac:dyDescent="0.35">
      <c r="I1636" s="40"/>
      <c r="J1636" s="40"/>
    </row>
    <row r="1637" spans="9:10" x14ac:dyDescent="0.35">
      <c r="I1637" s="40"/>
      <c r="J1637" s="40"/>
    </row>
    <row r="1638" spans="9:10" x14ac:dyDescent="0.35">
      <c r="I1638" s="40"/>
      <c r="J1638" s="40"/>
    </row>
    <row r="1639" spans="9:10" x14ac:dyDescent="0.35">
      <c r="I1639" s="40"/>
      <c r="J1639" s="40"/>
    </row>
    <row r="1640" spans="9:10" x14ac:dyDescent="0.35">
      <c r="I1640" s="40"/>
      <c r="J1640" s="40"/>
    </row>
    <row r="1641" spans="9:10" x14ac:dyDescent="0.35">
      <c r="I1641" s="40"/>
      <c r="J1641" s="40"/>
    </row>
    <row r="1642" spans="9:10" x14ac:dyDescent="0.35">
      <c r="I1642" s="40"/>
      <c r="J1642" s="40"/>
    </row>
    <row r="1643" spans="9:10" x14ac:dyDescent="0.35">
      <c r="I1643" s="40"/>
      <c r="J1643" s="40"/>
    </row>
    <row r="1644" spans="9:10" x14ac:dyDescent="0.35">
      <c r="I1644" s="40"/>
      <c r="J1644" s="40"/>
    </row>
    <row r="1645" spans="9:10" x14ac:dyDescent="0.35">
      <c r="I1645" s="40"/>
      <c r="J1645" s="40"/>
    </row>
    <row r="1646" spans="9:10" x14ac:dyDescent="0.35">
      <c r="I1646" s="40"/>
      <c r="J1646" s="40"/>
    </row>
    <row r="1647" spans="9:10" x14ac:dyDescent="0.35">
      <c r="I1647" s="40"/>
      <c r="J1647" s="40"/>
    </row>
    <row r="1648" spans="9:10" x14ac:dyDescent="0.35">
      <c r="I1648" s="40"/>
      <c r="J1648" s="40"/>
    </row>
    <row r="1649" spans="9:10" x14ac:dyDescent="0.35">
      <c r="I1649" s="40"/>
      <c r="J1649" s="40"/>
    </row>
    <row r="1650" spans="9:10" x14ac:dyDescent="0.35">
      <c r="I1650" s="40"/>
      <c r="J1650" s="40"/>
    </row>
    <row r="1651" spans="9:10" x14ac:dyDescent="0.35">
      <c r="I1651" s="40"/>
      <c r="J1651" s="40"/>
    </row>
    <row r="1652" spans="9:10" x14ac:dyDescent="0.35">
      <c r="I1652" s="40"/>
      <c r="J1652" s="40"/>
    </row>
    <row r="1653" spans="9:10" x14ac:dyDescent="0.35">
      <c r="I1653" s="40"/>
      <c r="J1653" s="40"/>
    </row>
    <row r="1654" spans="9:10" x14ac:dyDescent="0.35">
      <c r="I1654" s="40"/>
      <c r="J1654" s="40"/>
    </row>
    <row r="1655" spans="9:10" x14ac:dyDescent="0.35">
      <c r="I1655" s="40"/>
      <c r="J1655" s="40"/>
    </row>
    <row r="1656" spans="9:10" x14ac:dyDescent="0.35">
      <c r="I1656" s="40"/>
      <c r="J1656" s="40"/>
    </row>
    <row r="1657" spans="9:10" x14ac:dyDescent="0.35">
      <c r="I1657" s="40"/>
      <c r="J1657" s="40"/>
    </row>
    <row r="1658" spans="9:10" x14ac:dyDescent="0.35">
      <c r="I1658" s="40"/>
      <c r="J1658" s="40"/>
    </row>
    <row r="1659" spans="9:10" x14ac:dyDescent="0.35">
      <c r="I1659" s="40"/>
      <c r="J1659" s="40"/>
    </row>
    <row r="1660" spans="9:10" x14ac:dyDescent="0.35">
      <c r="I1660" s="40"/>
      <c r="J1660" s="40"/>
    </row>
    <row r="1661" spans="9:10" x14ac:dyDescent="0.35">
      <c r="I1661" s="40"/>
      <c r="J1661" s="40"/>
    </row>
    <row r="1662" spans="9:10" x14ac:dyDescent="0.35">
      <c r="I1662" s="40"/>
      <c r="J1662" s="40"/>
    </row>
    <row r="1663" spans="9:10" x14ac:dyDescent="0.35">
      <c r="I1663" s="40"/>
      <c r="J1663" s="40"/>
    </row>
    <row r="1664" spans="9:10" x14ac:dyDescent="0.35">
      <c r="I1664" s="40"/>
      <c r="J1664" s="40"/>
    </row>
    <row r="1665" spans="9:10" x14ac:dyDescent="0.35">
      <c r="I1665" s="40"/>
      <c r="J1665" s="40"/>
    </row>
    <row r="1666" spans="9:10" x14ac:dyDescent="0.35">
      <c r="I1666" s="40"/>
      <c r="J1666" s="40"/>
    </row>
    <row r="1667" spans="9:10" x14ac:dyDescent="0.35">
      <c r="I1667" s="40"/>
      <c r="J1667" s="40"/>
    </row>
    <row r="1668" spans="9:10" x14ac:dyDescent="0.35">
      <c r="I1668" s="40"/>
      <c r="J1668" s="40"/>
    </row>
    <row r="1669" spans="9:10" x14ac:dyDescent="0.35">
      <c r="I1669" s="40"/>
      <c r="J1669" s="40"/>
    </row>
    <row r="1670" spans="9:10" x14ac:dyDescent="0.35">
      <c r="I1670" s="40"/>
      <c r="J1670" s="40"/>
    </row>
    <row r="1671" spans="9:10" x14ac:dyDescent="0.35">
      <c r="I1671" s="40"/>
      <c r="J1671" s="40"/>
    </row>
    <row r="1672" spans="9:10" x14ac:dyDescent="0.35">
      <c r="I1672" s="40"/>
      <c r="J1672" s="40"/>
    </row>
    <row r="1673" spans="9:10" x14ac:dyDescent="0.35">
      <c r="I1673" s="40"/>
      <c r="J1673" s="40"/>
    </row>
    <row r="1674" spans="9:10" x14ac:dyDescent="0.35">
      <c r="I1674" s="40"/>
      <c r="J1674" s="40"/>
    </row>
    <row r="1675" spans="9:10" x14ac:dyDescent="0.35">
      <c r="I1675" s="40"/>
      <c r="J1675" s="40"/>
    </row>
    <row r="1676" spans="9:10" x14ac:dyDescent="0.35">
      <c r="I1676" s="40"/>
      <c r="J1676" s="40"/>
    </row>
    <row r="1677" spans="9:10" x14ac:dyDescent="0.35">
      <c r="I1677" s="40"/>
      <c r="J1677" s="40"/>
    </row>
    <row r="1678" spans="9:10" x14ac:dyDescent="0.35">
      <c r="I1678" s="40"/>
      <c r="J1678" s="40"/>
    </row>
    <row r="1679" spans="9:10" x14ac:dyDescent="0.35">
      <c r="I1679" s="40"/>
      <c r="J1679" s="40"/>
    </row>
    <row r="1680" spans="9:10" x14ac:dyDescent="0.35">
      <c r="I1680" s="40"/>
      <c r="J1680" s="40"/>
    </row>
    <row r="1681" spans="9:10" x14ac:dyDescent="0.35">
      <c r="I1681" s="40"/>
      <c r="J1681" s="40"/>
    </row>
    <row r="1682" spans="9:10" x14ac:dyDescent="0.35">
      <c r="I1682" s="40"/>
      <c r="J1682" s="40"/>
    </row>
    <row r="1683" spans="9:10" x14ac:dyDescent="0.35">
      <c r="I1683" s="40"/>
      <c r="J1683" s="40"/>
    </row>
    <row r="1684" spans="9:10" x14ac:dyDescent="0.35">
      <c r="I1684" s="40"/>
      <c r="J1684" s="40"/>
    </row>
    <row r="1685" spans="9:10" x14ac:dyDescent="0.35">
      <c r="I1685" s="40"/>
      <c r="J1685" s="40"/>
    </row>
    <row r="1686" spans="9:10" x14ac:dyDescent="0.35">
      <c r="I1686" s="40"/>
      <c r="J1686" s="40"/>
    </row>
    <row r="1687" spans="9:10" x14ac:dyDescent="0.35">
      <c r="I1687" s="40"/>
      <c r="J1687" s="40"/>
    </row>
    <row r="1688" spans="9:10" x14ac:dyDescent="0.35">
      <c r="I1688" s="40"/>
      <c r="J1688" s="40"/>
    </row>
    <row r="1689" spans="9:10" x14ac:dyDescent="0.35">
      <c r="I1689" s="40"/>
      <c r="J1689" s="40"/>
    </row>
    <row r="1690" spans="9:10" x14ac:dyDescent="0.35">
      <c r="I1690" s="40"/>
      <c r="J1690" s="40"/>
    </row>
    <row r="1691" spans="9:10" x14ac:dyDescent="0.35">
      <c r="I1691" s="40"/>
      <c r="J1691" s="40"/>
    </row>
    <row r="1692" spans="9:10" x14ac:dyDescent="0.35">
      <c r="I1692" s="40"/>
      <c r="J1692" s="40"/>
    </row>
    <row r="1693" spans="9:10" x14ac:dyDescent="0.35">
      <c r="I1693" s="40"/>
      <c r="J1693" s="40"/>
    </row>
    <row r="1694" spans="9:10" x14ac:dyDescent="0.35">
      <c r="I1694" s="40"/>
      <c r="J1694" s="40"/>
    </row>
    <row r="1695" spans="9:10" x14ac:dyDescent="0.35">
      <c r="I1695" s="40"/>
      <c r="J1695" s="40"/>
    </row>
    <row r="1696" spans="9:10" x14ac:dyDescent="0.35">
      <c r="I1696" s="40"/>
      <c r="J1696" s="40"/>
    </row>
    <row r="1697" spans="9:10" x14ac:dyDescent="0.35">
      <c r="I1697" s="40"/>
      <c r="J1697" s="40"/>
    </row>
    <row r="1698" spans="9:10" x14ac:dyDescent="0.35">
      <c r="I1698" s="40"/>
      <c r="J1698" s="40"/>
    </row>
    <row r="1699" spans="9:10" x14ac:dyDescent="0.35">
      <c r="I1699" s="40"/>
      <c r="J1699" s="40"/>
    </row>
    <row r="1700" spans="9:10" x14ac:dyDescent="0.35">
      <c r="I1700" s="40"/>
      <c r="J1700" s="40"/>
    </row>
    <row r="1701" spans="9:10" x14ac:dyDescent="0.35">
      <c r="I1701" s="40"/>
      <c r="J1701" s="40"/>
    </row>
    <row r="1702" spans="9:10" x14ac:dyDescent="0.35">
      <c r="I1702" s="40"/>
      <c r="J1702" s="40"/>
    </row>
    <row r="1703" spans="9:10" x14ac:dyDescent="0.35">
      <c r="I1703" s="40"/>
      <c r="J1703" s="40"/>
    </row>
    <row r="1704" spans="9:10" x14ac:dyDescent="0.35">
      <c r="I1704" s="40"/>
      <c r="J1704" s="40"/>
    </row>
    <row r="1705" spans="9:10" x14ac:dyDescent="0.35">
      <c r="I1705" s="40"/>
      <c r="J1705" s="40"/>
    </row>
    <row r="1706" spans="9:10" x14ac:dyDescent="0.35">
      <c r="I1706" s="40"/>
      <c r="J1706" s="40"/>
    </row>
    <row r="1707" spans="9:10" x14ac:dyDescent="0.35">
      <c r="I1707" s="40"/>
      <c r="J1707" s="40"/>
    </row>
    <row r="1708" spans="9:10" x14ac:dyDescent="0.35">
      <c r="I1708" s="40"/>
      <c r="J1708" s="40"/>
    </row>
    <row r="1709" spans="9:10" x14ac:dyDescent="0.35">
      <c r="I1709" s="40"/>
      <c r="J1709" s="40"/>
    </row>
    <row r="1710" spans="9:10" x14ac:dyDescent="0.35">
      <c r="I1710" s="40"/>
      <c r="J1710" s="40"/>
    </row>
    <row r="1711" spans="9:10" x14ac:dyDescent="0.35">
      <c r="I1711" s="40"/>
      <c r="J1711" s="40"/>
    </row>
    <row r="1712" spans="9:10" x14ac:dyDescent="0.35">
      <c r="I1712" s="40"/>
      <c r="J1712" s="40"/>
    </row>
    <row r="1713" spans="9:10" x14ac:dyDescent="0.35">
      <c r="I1713" s="40"/>
      <c r="J1713" s="40"/>
    </row>
    <row r="1714" spans="9:10" x14ac:dyDescent="0.35">
      <c r="I1714" s="40"/>
      <c r="J1714" s="40"/>
    </row>
    <row r="1715" spans="9:10" x14ac:dyDescent="0.35">
      <c r="I1715" s="40"/>
      <c r="J1715" s="40"/>
    </row>
    <row r="1716" spans="9:10" x14ac:dyDescent="0.35">
      <c r="I1716" s="40"/>
      <c r="J1716" s="40"/>
    </row>
    <row r="1717" spans="9:10" x14ac:dyDescent="0.35">
      <c r="I1717" s="40"/>
      <c r="J1717" s="40"/>
    </row>
    <row r="1718" spans="9:10" x14ac:dyDescent="0.35">
      <c r="I1718" s="40"/>
      <c r="J1718" s="40"/>
    </row>
    <row r="1719" spans="9:10" x14ac:dyDescent="0.35">
      <c r="I1719" s="40"/>
      <c r="J1719" s="40"/>
    </row>
    <row r="1720" spans="9:10" x14ac:dyDescent="0.35">
      <c r="I1720" s="40"/>
      <c r="J1720" s="40"/>
    </row>
    <row r="1721" spans="9:10" x14ac:dyDescent="0.35">
      <c r="I1721" s="40"/>
      <c r="J1721" s="40"/>
    </row>
    <row r="1722" spans="9:10" x14ac:dyDescent="0.35">
      <c r="I1722" s="40"/>
      <c r="J1722" s="40"/>
    </row>
    <row r="1723" spans="9:10" x14ac:dyDescent="0.35">
      <c r="I1723" s="40"/>
      <c r="J1723" s="40"/>
    </row>
    <row r="1724" spans="9:10" x14ac:dyDescent="0.35">
      <c r="I1724" s="40"/>
      <c r="J1724" s="40"/>
    </row>
    <row r="1725" spans="9:10" x14ac:dyDescent="0.35">
      <c r="I1725" s="40"/>
      <c r="J1725" s="40"/>
    </row>
    <row r="1726" spans="9:10" x14ac:dyDescent="0.35">
      <c r="I1726" s="40"/>
      <c r="J1726" s="40"/>
    </row>
    <row r="1727" spans="9:10" x14ac:dyDescent="0.35">
      <c r="I1727" s="40"/>
      <c r="J1727" s="40"/>
    </row>
    <row r="1728" spans="9:10" x14ac:dyDescent="0.35">
      <c r="I1728" s="40"/>
      <c r="J1728" s="40"/>
    </row>
    <row r="1729" spans="9:10" x14ac:dyDescent="0.35">
      <c r="I1729" s="40"/>
      <c r="J1729" s="40"/>
    </row>
    <row r="1730" spans="9:10" x14ac:dyDescent="0.35">
      <c r="I1730" s="40"/>
      <c r="J1730" s="40"/>
    </row>
    <row r="1731" spans="9:10" x14ac:dyDescent="0.35">
      <c r="I1731" s="40"/>
      <c r="J1731" s="40"/>
    </row>
    <row r="1732" spans="9:10" x14ac:dyDescent="0.35">
      <c r="I1732" s="40"/>
      <c r="J1732" s="40"/>
    </row>
    <row r="1733" spans="9:10" x14ac:dyDescent="0.35">
      <c r="I1733" s="40"/>
      <c r="J1733" s="40"/>
    </row>
    <row r="1734" spans="9:10" x14ac:dyDescent="0.35">
      <c r="I1734" s="40"/>
      <c r="J1734" s="40"/>
    </row>
    <row r="1735" spans="9:10" x14ac:dyDescent="0.35">
      <c r="I1735" s="40"/>
      <c r="J1735" s="40"/>
    </row>
    <row r="1736" spans="9:10" x14ac:dyDescent="0.35">
      <c r="I1736" s="40"/>
      <c r="J1736" s="40"/>
    </row>
    <row r="1737" spans="9:10" x14ac:dyDescent="0.35">
      <c r="I1737" s="40"/>
      <c r="J1737" s="40"/>
    </row>
    <row r="1738" spans="9:10" x14ac:dyDescent="0.35">
      <c r="I1738" s="40"/>
      <c r="J1738" s="40"/>
    </row>
    <row r="1739" spans="9:10" x14ac:dyDescent="0.35">
      <c r="I1739" s="40"/>
      <c r="J1739" s="40"/>
    </row>
    <row r="1740" spans="9:10" x14ac:dyDescent="0.35">
      <c r="I1740" s="40"/>
      <c r="J1740" s="40"/>
    </row>
    <row r="1741" spans="9:10" x14ac:dyDescent="0.35">
      <c r="I1741" s="40"/>
      <c r="J1741" s="40"/>
    </row>
    <row r="1742" spans="9:10" x14ac:dyDescent="0.35">
      <c r="I1742" s="40"/>
      <c r="J1742" s="40"/>
    </row>
    <row r="1743" spans="9:10" x14ac:dyDescent="0.35">
      <c r="I1743" s="40"/>
      <c r="J1743" s="40"/>
    </row>
    <row r="1744" spans="9:10" x14ac:dyDescent="0.35">
      <c r="I1744" s="40"/>
      <c r="J1744" s="40"/>
    </row>
    <row r="1745" spans="9:10" x14ac:dyDescent="0.35">
      <c r="I1745" s="40"/>
      <c r="J1745" s="40"/>
    </row>
    <row r="1746" spans="9:10" x14ac:dyDescent="0.35">
      <c r="I1746" s="40"/>
      <c r="J1746" s="40"/>
    </row>
    <row r="1747" spans="9:10" x14ac:dyDescent="0.35">
      <c r="I1747" s="40"/>
      <c r="J1747" s="40"/>
    </row>
    <row r="1748" spans="9:10" x14ac:dyDescent="0.35">
      <c r="I1748" s="40"/>
      <c r="J1748" s="40"/>
    </row>
    <row r="1749" spans="9:10" x14ac:dyDescent="0.35">
      <c r="I1749" s="40"/>
      <c r="J1749" s="40"/>
    </row>
    <row r="1750" spans="9:10" x14ac:dyDescent="0.35">
      <c r="I1750" s="40"/>
      <c r="J1750" s="40"/>
    </row>
    <row r="1751" spans="9:10" x14ac:dyDescent="0.35">
      <c r="I1751" s="40"/>
      <c r="J1751" s="40"/>
    </row>
    <row r="1752" spans="9:10" x14ac:dyDescent="0.35">
      <c r="I1752" s="40"/>
      <c r="J1752" s="40"/>
    </row>
    <row r="1753" spans="9:10" x14ac:dyDescent="0.35">
      <c r="I1753" s="40"/>
      <c r="J1753" s="40"/>
    </row>
    <row r="1754" spans="9:10" x14ac:dyDescent="0.35">
      <c r="I1754" s="40"/>
      <c r="J1754" s="40"/>
    </row>
    <row r="1755" spans="9:10" x14ac:dyDescent="0.35">
      <c r="I1755" s="40"/>
      <c r="J1755" s="40"/>
    </row>
    <row r="1756" spans="9:10" x14ac:dyDescent="0.35">
      <c r="I1756" s="40"/>
      <c r="J1756" s="40"/>
    </row>
    <row r="1757" spans="9:10" x14ac:dyDescent="0.35">
      <c r="I1757" s="40"/>
      <c r="J1757" s="40"/>
    </row>
    <row r="1758" spans="9:10" x14ac:dyDescent="0.35">
      <c r="I1758" s="40"/>
      <c r="J1758" s="40"/>
    </row>
    <row r="1759" spans="9:10" x14ac:dyDescent="0.35">
      <c r="I1759" s="40"/>
      <c r="J1759" s="40"/>
    </row>
    <row r="1760" spans="9:10" x14ac:dyDescent="0.35">
      <c r="I1760" s="40"/>
      <c r="J1760" s="40"/>
    </row>
    <row r="1761" spans="9:10" x14ac:dyDescent="0.35">
      <c r="I1761" s="40"/>
      <c r="J1761" s="40"/>
    </row>
    <row r="1762" spans="9:10" x14ac:dyDescent="0.35">
      <c r="I1762" s="40"/>
      <c r="J1762" s="40"/>
    </row>
    <row r="1763" spans="9:10" x14ac:dyDescent="0.35">
      <c r="I1763" s="40"/>
      <c r="J1763" s="40"/>
    </row>
    <row r="1764" spans="9:10" x14ac:dyDescent="0.35">
      <c r="I1764" s="40"/>
      <c r="J1764" s="40"/>
    </row>
    <row r="1765" spans="9:10" x14ac:dyDescent="0.35">
      <c r="I1765" s="40"/>
      <c r="J1765" s="40"/>
    </row>
    <row r="1766" spans="9:10" x14ac:dyDescent="0.35">
      <c r="I1766" s="40"/>
      <c r="J1766" s="40"/>
    </row>
    <row r="1767" spans="9:10" x14ac:dyDescent="0.35">
      <c r="I1767" s="40"/>
      <c r="J1767" s="40"/>
    </row>
    <row r="1768" spans="9:10" x14ac:dyDescent="0.35">
      <c r="I1768" s="40"/>
      <c r="J1768" s="40"/>
    </row>
    <row r="1769" spans="9:10" x14ac:dyDescent="0.35">
      <c r="I1769" s="40"/>
      <c r="J1769" s="40"/>
    </row>
    <row r="1770" spans="9:10" x14ac:dyDescent="0.35">
      <c r="I1770" s="40"/>
      <c r="J1770" s="40"/>
    </row>
    <row r="1771" spans="9:10" x14ac:dyDescent="0.35">
      <c r="I1771" s="40"/>
      <c r="J1771" s="40"/>
    </row>
    <row r="1772" spans="9:10" x14ac:dyDescent="0.35">
      <c r="I1772" s="40"/>
      <c r="J1772" s="40"/>
    </row>
    <row r="1773" spans="9:10" x14ac:dyDescent="0.35">
      <c r="I1773" s="40"/>
      <c r="J1773" s="40"/>
    </row>
    <row r="1774" spans="9:10" x14ac:dyDescent="0.35">
      <c r="I1774" s="40"/>
      <c r="J1774" s="40"/>
    </row>
    <row r="1775" spans="9:10" x14ac:dyDescent="0.35">
      <c r="I1775" s="40"/>
      <c r="J1775" s="40"/>
    </row>
    <row r="1776" spans="9:10" x14ac:dyDescent="0.35">
      <c r="I1776" s="40"/>
      <c r="J1776" s="40"/>
    </row>
    <row r="1777" spans="9:10" x14ac:dyDescent="0.35">
      <c r="I1777" s="40"/>
      <c r="J1777" s="40"/>
    </row>
    <row r="1778" spans="9:10" x14ac:dyDescent="0.35">
      <c r="I1778" s="40"/>
      <c r="J1778" s="40"/>
    </row>
    <row r="1779" spans="9:10" x14ac:dyDescent="0.35">
      <c r="I1779" s="40"/>
      <c r="J1779" s="40"/>
    </row>
    <row r="1780" spans="9:10" x14ac:dyDescent="0.35">
      <c r="I1780" s="40"/>
      <c r="J1780" s="40"/>
    </row>
    <row r="1781" spans="9:10" x14ac:dyDescent="0.35">
      <c r="I1781" s="40"/>
      <c r="J1781" s="40"/>
    </row>
    <row r="1782" spans="9:10" x14ac:dyDescent="0.35">
      <c r="I1782" s="40"/>
      <c r="J1782" s="40"/>
    </row>
    <row r="1783" spans="9:10" x14ac:dyDescent="0.35">
      <c r="I1783" s="40"/>
      <c r="J1783" s="40"/>
    </row>
    <row r="1784" spans="9:10" x14ac:dyDescent="0.35">
      <c r="I1784" s="40"/>
      <c r="J1784" s="40"/>
    </row>
    <row r="1785" spans="9:10" x14ac:dyDescent="0.35">
      <c r="I1785" s="40"/>
      <c r="J1785" s="40"/>
    </row>
    <row r="1786" spans="9:10" x14ac:dyDescent="0.35">
      <c r="I1786" s="40"/>
      <c r="J1786" s="40"/>
    </row>
    <row r="1787" spans="9:10" x14ac:dyDescent="0.35">
      <c r="I1787" s="40"/>
      <c r="J1787" s="40"/>
    </row>
    <row r="1788" spans="9:10" x14ac:dyDescent="0.35">
      <c r="I1788" s="40"/>
      <c r="J1788" s="40"/>
    </row>
    <row r="1789" spans="9:10" x14ac:dyDescent="0.35">
      <c r="I1789" s="40"/>
      <c r="J1789" s="40"/>
    </row>
    <row r="1790" spans="9:10" x14ac:dyDescent="0.35">
      <c r="I1790" s="40"/>
      <c r="J1790" s="40"/>
    </row>
    <row r="1791" spans="9:10" x14ac:dyDescent="0.35">
      <c r="I1791" s="40"/>
      <c r="J1791" s="40"/>
    </row>
    <row r="1792" spans="9:10" x14ac:dyDescent="0.35">
      <c r="I1792" s="40"/>
      <c r="J1792" s="40"/>
    </row>
    <row r="1793" spans="9:10" x14ac:dyDescent="0.35">
      <c r="I1793" s="40"/>
      <c r="J1793" s="40"/>
    </row>
    <row r="1794" spans="9:10" x14ac:dyDescent="0.35">
      <c r="I1794" s="40"/>
      <c r="J1794" s="40"/>
    </row>
    <row r="1795" spans="9:10" x14ac:dyDescent="0.35">
      <c r="I1795" s="40"/>
      <c r="J1795" s="40"/>
    </row>
    <row r="1796" spans="9:10" x14ac:dyDescent="0.35">
      <c r="I1796" s="40"/>
      <c r="J1796" s="40"/>
    </row>
    <row r="1797" spans="9:10" x14ac:dyDescent="0.35">
      <c r="I1797" s="40"/>
      <c r="J1797" s="40"/>
    </row>
    <row r="1798" spans="9:10" x14ac:dyDescent="0.35">
      <c r="I1798" s="40"/>
      <c r="J1798" s="40"/>
    </row>
    <row r="1799" spans="9:10" x14ac:dyDescent="0.35">
      <c r="I1799" s="40"/>
      <c r="J1799" s="40"/>
    </row>
    <row r="1800" spans="9:10" x14ac:dyDescent="0.35">
      <c r="I1800" s="40"/>
      <c r="J1800" s="40"/>
    </row>
    <row r="1801" spans="9:10" x14ac:dyDescent="0.35">
      <c r="I1801" s="40"/>
      <c r="J1801" s="40"/>
    </row>
    <row r="1802" spans="9:10" x14ac:dyDescent="0.35">
      <c r="I1802" s="40"/>
      <c r="J1802" s="40"/>
    </row>
    <row r="1803" spans="9:10" x14ac:dyDescent="0.35">
      <c r="I1803" s="40"/>
      <c r="J1803" s="40"/>
    </row>
    <row r="1804" spans="9:10" x14ac:dyDescent="0.35">
      <c r="I1804" s="40"/>
      <c r="J1804" s="40"/>
    </row>
    <row r="1805" spans="9:10" x14ac:dyDescent="0.35">
      <c r="I1805" s="40"/>
      <c r="J1805" s="40"/>
    </row>
    <row r="1806" spans="9:10" x14ac:dyDescent="0.35">
      <c r="I1806" s="40"/>
      <c r="J1806" s="40"/>
    </row>
    <row r="1807" spans="9:10" x14ac:dyDescent="0.35">
      <c r="I1807" s="40"/>
      <c r="J1807" s="40"/>
    </row>
    <row r="1808" spans="9:10" x14ac:dyDescent="0.35">
      <c r="I1808" s="40"/>
      <c r="J1808" s="40"/>
    </row>
    <row r="1809" spans="9:10" x14ac:dyDescent="0.35">
      <c r="I1809" s="40"/>
      <c r="J1809" s="40"/>
    </row>
    <row r="1810" spans="9:10" x14ac:dyDescent="0.35">
      <c r="I1810" s="40"/>
      <c r="J1810" s="40"/>
    </row>
    <row r="1811" spans="9:10" x14ac:dyDescent="0.35">
      <c r="I1811" s="40"/>
      <c r="J1811" s="40"/>
    </row>
    <row r="1812" spans="9:10" x14ac:dyDescent="0.35">
      <c r="I1812" s="40"/>
      <c r="J1812" s="40"/>
    </row>
    <row r="1813" spans="9:10" x14ac:dyDescent="0.35">
      <c r="I1813" s="40"/>
      <c r="J1813" s="40"/>
    </row>
    <row r="1814" spans="9:10" x14ac:dyDescent="0.35">
      <c r="I1814" s="40"/>
      <c r="J1814" s="40"/>
    </row>
    <row r="1815" spans="9:10" x14ac:dyDescent="0.35">
      <c r="I1815" s="40"/>
      <c r="J1815" s="40"/>
    </row>
    <row r="1816" spans="9:10" x14ac:dyDescent="0.35">
      <c r="I1816" s="40"/>
      <c r="J1816" s="40"/>
    </row>
    <row r="1817" spans="9:10" x14ac:dyDescent="0.35">
      <c r="I1817" s="40"/>
      <c r="J1817" s="40"/>
    </row>
    <row r="1818" spans="9:10" x14ac:dyDescent="0.35">
      <c r="I1818" s="40"/>
      <c r="J1818" s="40"/>
    </row>
    <row r="1819" spans="9:10" x14ac:dyDescent="0.35">
      <c r="I1819" s="40"/>
      <c r="J1819" s="40"/>
    </row>
    <row r="1820" spans="9:10" x14ac:dyDescent="0.35">
      <c r="I1820" s="40"/>
      <c r="J1820" s="40"/>
    </row>
    <row r="1821" spans="9:10" x14ac:dyDescent="0.35">
      <c r="I1821" s="40"/>
      <c r="J1821" s="40"/>
    </row>
    <row r="1822" spans="9:10" x14ac:dyDescent="0.35">
      <c r="I1822" s="40"/>
      <c r="J1822" s="40"/>
    </row>
    <row r="1823" spans="9:10" x14ac:dyDescent="0.35">
      <c r="I1823" s="40"/>
      <c r="J1823" s="40"/>
    </row>
    <row r="1824" spans="9:10" x14ac:dyDescent="0.35">
      <c r="I1824" s="40"/>
      <c r="J1824" s="40"/>
    </row>
    <row r="1825" spans="9:10" x14ac:dyDescent="0.35">
      <c r="I1825" s="40"/>
      <c r="J1825" s="40"/>
    </row>
    <row r="1826" spans="9:10" x14ac:dyDescent="0.35">
      <c r="I1826" s="40"/>
      <c r="J1826" s="40"/>
    </row>
    <row r="1827" spans="9:10" x14ac:dyDescent="0.35">
      <c r="I1827" s="40"/>
      <c r="J1827" s="40"/>
    </row>
    <row r="1828" spans="9:10" x14ac:dyDescent="0.35">
      <c r="I1828" s="40"/>
      <c r="J1828" s="40"/>
    </row>
    <row r="1829" spans="9:10" x14ac:dyDescent="0.35">
      <c r="I1829" s="40"/>
      <c r="J1829" s="40"/>
    </row>
    <row r="1830" spans="9:10" x14ac:dyDescent="0.35">
      <c r="I1830" s="40"/>
      <c r="J1830" s="40"/>
    </row>
    <row r="1831" spans="9:10" x14ac:dyDescent="0.35">
      <c r="I1831" s="40"/>
      <c r="J1831" s="40"/>
    </row>
    <row r="1832" spans="9:10" x14ac:dyDescent="0.35">
      <c r="I1832" s="40"/>
      <c r="J1832" s="40"/>
    </row>
    <row r="1833" spans="9:10" x14ac:dyDescent="0.35">
      <c r="I1833" s="40"/>
      <c r="J1833" s="40"/>
    </row>
    <row r="1834" spans="9:10" x14ac:dyDescent="0.35">
      <c r="I1834" s="40"/>
      <c r="J1834" s="40"/>
    </row>
    <row r="1835" spans="9:10" x14ac:dyDescent="0.35">
      <c r="I1835" s="40"/>
      <c r="J1835" s="40"/>
    </row>
    <row r="1836" spans="9:10" x14ac:dyDescent="0.35">
      <c r="I1836" s="40"/>
      <c r="J1836" s="40"/>
    </row>
    <row r="1837" spans="9:10" x14ac:dyDescent="0.35">
      <c r="I1837" s="40"/>
      <c r="J1837" s="40"/>
    </row>
    <row r="1838" spans="9:10" x14ac:dyDescent="0.35">
      <c r="I1838" s="40"/>
      <c r="J1838" s="40"/>
    </row>
    <row r="1839" spans="9:10" x14ac:dyDescent="0.35">
      <c r="I1839" s="40"/>
      <c r="J1839" s="40"/>
    </row>
    <row r="1840" spans="9:10" x14ac:dyDescent="0.35">
      <c r="I1840" s="40"/>
      <c r="J1840" s="40"/>
    </row>
    <row r="1841" spans="9:10" x14ac:dyDescent="0.35">
      <c r="I1841" s="40"/>
      <c r="J1841" s="40"/>
    </row>
    <row r="1842" spans="9:10" x14ac:dyDescent="0.35">
      <c r="I1842" s="40"/>
      <c r="J1842" s="40"/>
    </row>
    <row r="1843" spans="9:10" x14ac:dyDescent="0.35">
      <c r="I1843" s="40"/>
      <c r="J1843" s="40"/>
    </row>
    <row r="1844" spans="9:10" x14ac:dyDescent="0.35">
      <c r="I1844" s="40"/>
      <c r="J1844" s="40"/>
    </row>
    <row r="1845" spans="9:10" x14ac:dyDescent="0.35">
      <c r="I1845" s="40"/>
      <c r="J1845" s="40"/>
    </row>
    <row r="1846" spans="9:10" x14ac:dyDescent="0.35">
      <c r="I1846" s="40"/>
      <c r="J1846" s="40"/>
    </row>
    <row r="1847" spans="9:10" x14ac:dyDescent="0.35">
      <c r="I1847" s="40"/>
      <c r="J1847" s="40"/>
    </row>
    <row r="1848" spans="9:10" x14ac:dyDescent="0.35">
      <c r="I1848" s="40"/>
      <c r="J1848" s="40"/>
    </row>
    <row r="1849" spans="9:10" x14ac:dyDescent="0.35">
      <c r="I1849" s="40"/>
      <c r="J1849" s="40"/>
    </row>
    <row r="1850" spans="9:10" x14ac:dyDescent="0.35">
      <c r="I1850" s="40"/>
      <c r="J1850" s="40"/>
    </row>
    <row r="1851" spans="9:10" x14ac:dyDescent="0.35">
      <c r="I1851" s="40"/>
      <c r="J1851" s="40"/>
    </row>
    <row r="1852" spans="9:10" x14ac:dyDescent="0.35">
      <c r="I1852" s="40"/>
      <c r="J1852" s="40"/>
    </row>
    <row r="1853" spans="9:10" x14ac:dyDescent="0.35">
      <c r="I1853" s="40"/>
      <c r="J1853" s="40"/>
    </row>
    <row r="1854" spans="9:10" x14ac:dyDescent="0.35">
      <c r="I1854" s="40"/>
      <c r="J1854" s="40"/>
    </row>
    <row r="1855" spans="9:10" x14ac:dyDescent="0.35">
      <c r="I1855" s="40"/>
      <c r="J1855" s="40"/>
    </row>
    <row r="1856" spans="9:10" x14ac:dyDescent="0.35">
      <c r="I1856" s="40"/>
      <c r="J1856" s="40"/>
    </row>
    <row r="1857" spans="9:10" x14ac:dyDescent="0.35">
      <c r="I1857" s="40"/>
      <c r="J1857" s="40"/>
    </row>
    <row r="1858" spans="9:10" x14ac:dyDescent="0.35">
      <c r="I1858" s="40"/>
      <c r="J1858" s="40"/>
    </row>
    <row r="1859" spans="9:10" x14ac:dyDescent="0.35">
      <c r="I1859" s="40"/>
      <c r="J1859" s="40"/>
    </row>
    <row r="1860" spans="9:10" x14ac:dyDescent="0.35">
      <c r="I1860" s="40"/>
      <c r="J1860" s="40"/>
    </row>
    <row r="1861" spans="9:10" x14ac:dyDescent="0.35">
      <c r="I1861" s="40"/>
      <c r="J1861" s="40"/>
    </row>
    <row r="1862" spans="9:10" x14ac:dyDescent="0.35">
      <c r="I1862" s="40"/>
      <c r="J1862" s="40"/>
    </row>
    <row r="1863" spans="9:10" x14ac:dyDescent="0.35">
      <c r="I1863" s="40"/>
      <c r="J1863" s="40"/>
    </row>
    <row r="1864" spans="9:10" x14ac:dyDescent="0.35">
      <c r="I1864" s="40"/>
      <c r="J1864" s="40"/>
    </row>
    <row r="1865" spans="9:10" x14ac:dyDescent="0.35">
      <c r="I1865" s="40"/>
      <c r="J1865" s="40"/>
    </row>
    <row r="1866" spans="9:10" x14ac:dyDescent="0.35">
      <c r="I1866" s="40"/>
      <c r="J1866" s="40"/>
    </row>
    <row r="1867" spans="9:10" x14ac:dyDescent="0.35">
      <c r="I1867" s="40"/>
      <c r="J1867" s="40"/>
    </row>
    <row r="1868" spans="9:10" x14ac:dyDescent="0.35">
      <c r="I1868" s="40"/>
      <c r="J1868" s="40"/>
    </row>
    <row r="1869" spans="9:10" x14ac:dyDescent="0.35">
      <c r="I1869" s="40"/>
      <c r="J1869" s="40"/>
    </row>
    <row r="1870" spans="9:10" x14ac:dyDescent="0.35">
      <c r="I1870" s="40"/>
      <c r="J1870" s="40"/>
    </row>
    <row r="1871" spans="9:10" x14ac:dyDescent="0.35">
      <c r="I1871" s="40"/>
      <c r="J1871" s="40"/>
    </row>
    <row r="1872" spans="9:10" x14ac:dyDescent="0.35">
      <c r="I1872" s="40"/>
      <c r="J1872" s="40"/>
    </row>
    <row r="1873" spans="9:10" x14ac:dyDescent="0.35">
      <c r="I1873" s="40"/>
      <c r="J1873" s="40"/>
    </row>
    <row r="1874" spans="9:10" x14ac:dyDescent="0.35">
      <c r="I1874" s="40"/>
      <c r="J1874" s="40"/>
    </row>
    <row r="1875" spans="9:10" x14ac:dyDescent="0.35">
      <c r="I1875" s="40"/>
      <c r="J1875" s="40"/>
    </row>
    <row r="1876" spans="9:10" x14ac:dyDescent="0.35">
      <c r="I1876" s="40"/>
      <c r="J1876" s="40"/>
    </row>
    <row r="1877" spans="9:10" x14ac:dyDescent="0.35">
      <c r="I1877" s="40"/>
      <c r="J1877" s="40"/>
    </row>
    <row r="1878" spans="9:10" x14ac:dyDescent="0.35">
      <c r="I1878" s="40"/>
      <c r="J1878" s="40"/>
    </row>
    <row r="1879" spans="9:10" x14ac:dyDescent="0.35">
      <c r="I1879" s="40"/>
      <c r="J1879" s="40"/>
    </row>
    <row r="1880" spans="9:10" x14ac:dyDescent="0.35">
      <c r="I1880" s="40"/>
      <c r="J1880" s="40"/>
    </row>
    <row r="1881" spans="9:10" x14ac:dyDescent="0.35">
      <c r="I1881" s="40"/>
      <c r="J1881" s="40"/>
    </row>
    <row r="1882" spans="9:10" x14ac:dyDescent="0.35">
      <c r="I1882" s="40"/>
      <c r="J1882" s="40"/>
    </row>
    <row r="1883" spans="9:10" x14ac:dyDescent="0.35">
      <c r="I1883" s="40"/>
      <c r="J1883" s="40"/>
    </row>
    <row r="1884" spans="9:10" x14ac:dyDescent="0.35">
      <c r="I1884" s="40"/>
      <c r="J1884" s="40"/>
    </row>
    <row r="1885" spans="9:10" x14ac:dyDescent="0.35">
      <c r="I1885" s="40"/>
      <c r="J1885" s="40"/>
    </row>
    <row r="1886" spans="9:10" x14ac:dyDescent="0.35">
      <c r="I1886" s="40"/>
      <c r="J1886" s="40"/>
    </row>
    <row r="1887" spans="9:10" x14ac:dyDescent="0.35">
      <c r="I1887" s="40"/>
      <c r="J1887" s="40"/>
    </row>
    <row r="1888" spans="9:10" x14ac:dyDescent="0.35">
      <c r="I1888" s="40"/>
      <c r="J1888" s="40"/>
    </row>
    <row r="1889" spans="9:10" x14ac:dyDescent="0.35">
      <c r="I1889" s="40"/>
      <c r="J1889" s="40"/>
    </row>
    <row r="1890" spans="9:10" x14ac:dyDescent="0.35">
      <c r="I1890" s="40"/>
      <c r="J1890" s="40"/>
    </row>
    <row r="1891" spans="9:10" x14ac:dyDescent="0.35">
      <c r="I1891" s="40"/>
      <c r="J1891" s="40"/>
    </row>
    <row r="1892" spans="9:10" x14ac:dyDescent="0.35">
      <c r="I1892" s="40"/>
      <c r="J1892" s="40"/>
    </row>
    <row r="1893" spans="9:10" x14ac:dyDescent="0.35">
      <c r="I1893" s="40"/>
      <c r="J1893" s="40"/>
    </row>
    <row r="1894" spans="9:10" x14ac:dyDescent="0.35">
      <c r="I1894" s="40"/>
      <c r="J1894" s="40"/>
    </row>
    <row r="1895" spans="9:10" x14ac:dyDescent="0.35">
      <c r="I1895" s="40"/>
      <c r="J1895" s="40"/>
    </row>
    <row r="1896" spans="9:10" x14ac:dyDescent="0.35">
      <c r="I1896" s="40"/>
      <c r="J1896" s="40"/>
    </row>
    <row r="1897" spans="9:10" x14ac:dyDescent="0.35">
      <c r="I1897" s="40"/>
      <c r="J1897" s="40"/>
    </row>
    <row r="1898" spans="9:10" x14ac:dyDescent="0.35">
      <c r="I1898" s="40"/>
      <c r="J1898" s="40"/>
    </row>
    <row r="1899" spans="9:10" x14ac:dyDescent="0.35">
      <c r="I1899" s="40"/>
      <c r="J1899" s="40"/>
    </row>
    <row r="1900" spans="9:10" x14ac:dyDescent="0.35">
      <c r="I1900" s="40"/>
      <c r="J1900" s="40"/>
    </row>
    <row r="1901" spans="9:10" x14ac:dyDescent="0.35">
      <c r="I1901" s="40"/>
      <c r="J1901" s="40"/>
    </row>
    <row r="1902" spans="9:10" x14ac:dyDescent="0.35">
      <c r="I1902" s="40"/>
      <c r="J1902" s="40"/>
    </row>
    <row r="1903" spans="9:10" x14ac:dyDescent="0.35">
      <c r="I1903" s="40"/>
      <c r="J1903" s="40"/>
    </row>
    <row r="1904" spans="9:10" x14ac:dyDescent="0.35">
      <c r="I1904" s="40"/>
      <c r="J1904" s="40"/>
    </row>
    <row r="1905" spans="9:10" x14ac:dyDescent="0.35">
      <c r="I1905" s="40"/>
      <c r="J1905" s="40"/>
    </row>
    <row r="1906" spans="9:10" x14ac:dyDescent="0.35">
      <c r="I1906" s="40"/>
      <c r="J1906" s="40"/>
    </row>
    <row r="1907" spans="9:10" x14ac:dyDescent="0.35">
      <c r="I1907" s="40"/>
      <c r="J1907" s="40"/>
    </row>
    <row r="1908" spans="9:10" x14ac:dyDescent="0.35">
      <c r="I1908" s="40"/>
      <c r="J1908" s="40"/>
    </row>
    <row r="1909" spans="9:10" x14ac:dyDescent="0.35">
      <c r="I1909" s="40"/>
      <c r="J1909" s="40"/>
    </row>
    <row r="1910" spans="9:10" x14ac:dyDescent="0.35">
      <c r="I1910" s="40"/>
      <c r="J1910" s="40"/>
    </row>
    <row r="1911" spans="9:10" x14ac:dyDescent="0.35">
      <c r="I1911" s="40"/>
      <c r="J1911" s="40"/>
    </row>
    <row r="1912" spans="9:10" x14ac:dyDescent="0.35">
      <c r="I1912" s="40"/>
      <c r="J1912" s="40"/>
    </row>
    <row r="1913" spans="9:10" x14ac:dyDescent="0.35">
      <c r="I1913" s="40"/>
      <c r="J1913" s="40"/>
    </row>
    <row r="1914" spans="9:10" x14ac:dyDescent="0.35">
      <c r="I1914" s="40"/>
      <c r="J1914" s="40"/>
    </row>
    <row r="1915" spans="9:10" x14ac:dyDescent="0.35">
      <c r="I1915" s="40"/>
      <c r="J1915" s="40"/>
    </row>
    <row r="1916" spans="9:10" x14ac:dyDescent="0.35">
      <c r="I1916" s="40"/>
      <c r="J1916" s="40"/>
    </row>
    <row r="1917" spans="9:10" x14ac:dyDescent="0.35">
      <c r="I1917" s="40"/>
      <c r="J1917" s="40"/>
    </row>
    <row r="1918" spans="9:10" x14ac:dyDescent="0.35">
      <c r="I1918" s="40"/>
      <c r="J1918" s="40"/>
    </row>
    <row r="1919" spans="9:10" x14ac:dyDescent="0.35">
      <c r="I1919" s="40"/>
      <c r="J1919" s="40"/>
    </row>
    <row r="1920" spans="9:10" x14ac:dyDescent="0.35">
      <c r="I1920" s="40"/>
      <c r="J1920" s="40"/>
    </row>
    <row r="1921" spans="9:10" x14ac:dyDescent="0.35">
      <c r="I1921" s="40"/>
      <c r="J1921" s="40"/>
    </row>
    <row r="1922" spans="9:10" x14ac:dyDescent="0.35">
      <c r="I1922" s="40"/>
      <c r="J1922" s="40"/>
    </row>
    <row r="1923" spans="9:10" x14ac:dyDescent="0.35">
      <c r="I1923" s="40"/>
      <c r="J1923" s="40"/>
    </row>
    <row r="1924" spans="9:10" x14ac:dyDescent="0.35">
      <c r="I1924" s="40"/>
      <c r="J1924" s="40"/>
    </row>
    <row r="1925" spans="9:10" x14ac:dyDescent="0.35">
      <c r="I1925" s="40"/>
      <c r="J1925" s="40"/>
    </row>
    <row r="1926" spans="9:10" x14ac:dyDescent="0.35">
      <c r="I1926" s="40"/>
      <c r="J1926" s="40"/>
    </row>
    <row r="1927" spans="9:10" x14ac:dyDescent="0.35">
      <c r="I1927" s="40"/>
      <c r="J1927" s="40"/>
    </row>
    <row r="1928" spans="9:10" x14ac:dyDescent="0.35">
      <c r="I1928" s="40"/>
      <c r="J1928" s="40"/>
    </row>
    <row r="1929" spans="9:10" x14ac:dyDescent="0.35">
      <c r="I1929" s="40"/>
      <c r="J1929" s="40"/>
    </row>
    <row r="1930" spans="9:10" x14ac:dyDescent="0.35">
      <c r="I1930" s="40"/>
      <c r="J1930" s="40"/>
    </row>
    <row r="1931" spans="9:10" x14ac:dyDescent="0.35">
      <c r="I1931" s="40"/>
      <c r="J1931" s="40"/>
    </row>
    <row r="1932" spans="9:10" x14ac:dyDescent="0.35">
      <c r="I1932" s="40"/>
      <c r="J1932" s="40"/>
    </row>
    <row r="1933" spans="9:10" x14ac:dyDescent="0.35">
      <c r="I1933" s="40"/>
      <c r="J1933" s="40"/>
    </row>
    <row r="1934" spans="9:10" x14ac:dyDescent="0.35">
      <c r="I1934" s="40"/>
      <c r="J1934" s="40"/>
    </row>
    <row r="1935" spans="9:10" x14ac:dyDescent="0.35">
      <c r="I1935" s="40"/>
      <c r="J1935" s="40"/>
    </row>
    <row r="1936" spans="9:10" x14ac:dyDescent="0.35">
      <c r="I1936" s="40"/>
      <c r="J1936" s="40"/>
    </row>
    <row r="1937" spans="9:10" x14ac:dyDescent="0.35">
      <c r="I1937" s="40"/>
      <c r="J1937" s="40"/>
    </row>
    <row r="1938" spans="9:10" x14ac:dyDescent="0.35">
      <c r="I1938" s="40"/>
      <c r="J1938" s="40"/>
    </row>
    <row r="1939" spans="9:10" x14ac:dyDescent="0.35">
      <c r="I1939" s="40"/>
      <c r="J1939" s="40"/>
    </row>
    <row r="1940" spans="9:10" x14ac:dyDescent="0.35">
      <c r="I1940" s="40"/>
      <c r="J1940" s="40"/>
    </row>
    <row r="1941" spans="9:10" x14ac:dyDescent="0.35">
      <c r="I1941" s="40"/>
      <c r="J1941" s="40"/>
    </row>
    <row r="1942" spans="9:10" x14ac:dyDescent="0.35">
      <c r="I1942" s="40"/>
      <c r="J1942" s="40"/>
    </row>
    <row r="1943" spans="9:10" x14ac:dyDescent="0.35">
      <c r="I1943" s="40"/>
      <c r="J1943" s="40"/>
    </row>
    <row r="1944" spans="9:10" x14ac:dyDescent="0.35">
      <c r="I1944" s="40"/>
      <c r="J1944" s="40"/>
    </row>
    <row r="1945" spans="9:10" x14ac:dyDescent="0.35">
      <c r="I1945" s="40"/>
      <c r="J1945" s="40"/>
    </row>
    <row r="1946" spans="9:10" x14ac:dyDescent="0.35">
      <c r="I1946" s="40"/>
      <c r="J1946" s="40"/>
    </row>
    <row r="1947" spans="9:10" x14ac:dyDescent="0.35">
      <c r="I1947" s="40"/>
      <c r="J1947" s="40"/>
    </row>
    <row r="1948" spans="9:10" x14ac:dyDescent="0.35">
      <c r="I1948" s="40"/>
      <c r="J1948" s="40"/>
    </row>
    <row r="1949" spans="9:10" x14ac:dyDescent="0.35">
      <c r="I1949" s="40"/>
      <c r="J1949" s="40"/>
    </row>
    <row r="1950" spans="9:10" x14ac:dyDescent="0.35">
      <c r="I1950" s="40"/>
      <c r="J1950" s="40"/>
    </row>
    <row r="1951" spans="9:10" x14ac:dyDescent="0.35">
      <c r="I1951" s="40"/>
      <c r="J1951" s="40"/>
    </row>
    <row r="1952" spans="9:10" x14ac:dyDescent="0.35">
      <c r="I1952" s="40"/>
      <c r="J1952" s="40"/>
    </row>
    <row r="1953" spans="9:10" x14ac:dyDescent="0.35">
      <c r="I1953" s="40"/>
      <c r="J1953" s="40"/>
    </row>
    <row r="1954" spans="9:10" x14ac:dyDescent="0.35">
      <c r="I1954" s="40"/>
      <c r="J1954" s="40"/>
    </row>
    <row r="1955" spans="9:10" x14ac:dyDescent="0.35">
      <c r="I1955" s="40"/>
      <c r="J1955" s="40"/>
    </row>
    <row r="1956" spans="9:10" x14ac:dyDescent="0.35">
      <c r="I1956" s="40"/>
      <c r="J1956" s="40"/>
    </row>
    <row r="1957" spans="9:10" x14ac:dyDescent="0.35">
      <c r="I1957" s="40"/>
      <c r="J1957" s="40"/>
    </row>
    <row r="1958" spans="9:10" x14ac:dyDescent="0.35">
      <c r="I1958" s="40"/>
      <c r="J1958" s="40"/>
    </row>
    <row r="1959" spans="9:10" x14ac:dyDescent="0.35">
      <c r="I1959" s="40"/>
      <c r="J1959" s="40"/>
    </row>
    <row r="1960" spans="9:10" x14ac:dyDescent="0.35">
      <c r="I1960" s="40"/>
      <c r="J1960" s="40"/>
    </row>
    <row r="1961" spans="9:10" x14ac:dyDescent="0.35">
      <c r="I1961" s="40"/>
      <c r="J1961" s="40"/>
    </row>
    <row r="1962" spans="9:10" x14ac:dyDescent="0.35">
      <c r="I1962" s="40"/>
      <c r="J1962" s="40"/>
    </row>
    <row r="1963" spans="9:10" x14ac:dyDescent="0.35">
      <c r="I1963" s="40"/>
      <c r="J1963" s="40"/>
    </row>
    <row r="1964" spans="9:10" x14ac:dyDescent="0.35">
      <c r="I1964" s="40"/>
      <c r="J1964" s="40"/>
    </row>
    <row r="1965" spans="9:10" x14ac:dyDescent="0.35">
      <c r="I1965" s="40"/>
      <c r="J1965" s="40"/>
    </row>
    <row r="1966" spans="9:10" x14ac:dyDescent="0.35">
      <c r="I1966" s="40"/>
      <c r="J1966" s="40"/>
    </row>
    <row r="1967" spans="9:10" x14ac:dyDescent="0.35">
      <c r="I1967" s="40"/>
      <c r="J1967" s="40"/>
    </row>
    <row r="1968" spans="9:10" x14ac:dyDescent="0.35">
      <c r="I1968" s="40"/>
      <c r="J1968" s="40"/>
    </row>
    <row r="1969" spans="9:10" x14ac:dyDescent="0.35">
      <c r="I1969" s="40"/>
      <c r="J1969" s="40"/>
    </row>
    <row r="1970" spans="9:10" x14ac:dyDescent="0.35">
      <c r="I1970" s="40"/>
      <c r="J1970" s="40"/>
    </row>
    <row r="1971" spans="9:10" x14ac:dyDescent="0.35">
      <c r="I1971" s="40"/>
      <c r="J1971" s="40"/>
    </row>
    <row r="1972" spans="9:10" x14ac:dyDescent="0.35">
      <c r="I1972" s="40"/>
      <c r="J1972" s="40"/>
    </row>
    <row r="1973" spans="9:10" x14ac:dyDescent="0.35">
      <c r="I1973" s="40"/>
      <c r="J1973" s="40"/>
    </row>
    <row r="1974" spans="9:10" x14ac:dyDescent="0.35">
      <c r="I1974" s="40"/>
      <c r="J1974" s="40"/>
    </row>
    <row r="1975" spans="9:10" x14ac:dyDescent="0.35">
      <c r="I1975" s="40"/>
      <c r="J1975" s="40"/>
    </row>
    <row r="1976" spans="9:10" x14ac:dyDescent="0.35">
      <c r="I1976" s="40"/>
      <c r="J1976" s="40"/>
    </row>
    <row r="1977" spans="9:10" x14ac:dyDescent="0.35">
      <c r="I1977" s="40"/>
      <c r="J1977" s="40"/>
    </row>
    <row r="1978" spans="9:10" x14ac:dyDescent="0.35">
      <c r="I1978" s="40"/>
      <c r="J1978" s="40"/>
    </row>
    <row r="1979" spans="9:10" x14ac:dyDescent="0.35">
      <c r="I1979" s="40"/>
      <c r="J1979" s="40"/>
    </row>
    <row r="1980" spans="9:10" x14ac:dyDescent="0.35">
      <c r="I1980" s="40"/>
      <c r="J1980" s="40"/>
    </row>
    <row r="1981" spans="9:10" x14ac:dyDescent="0.35">
      <c r="I1981" s="40"/>
      <c r="J1981" s="40"/>
    </row>
    <row r="1982" spans="9:10" x14ac:dyDescent="0.35">
      <c r="I1982" s="40"/>
      <c r="J1982" s="40"/>
    </row>
    <row r="1983" spans="9:10" x14ac:dyDescent="0.35">
      <c r="I1983" s="40"/>
      <c r="J1983" s="40"/>
    </row>
    <row r="1984" spans="9:10" x14ac:dyDescent="0.35">
      <c r="I1984" s="40"/>
      <c r="J1984" s="40"/>
    </row>
    <row r="1985" spans="9:10" x14ac:dyDescent="0.35">
      <c r="I1985" s="40"/>
      <c r="J1985" s="40"/>
    </row>
    <row r="1986" spans="9:10" x14ac:dyDescent="0.35">
      <c r="I1986" s="40"/>
      <c r="J1986" s="40"/>
    </row>
    <row r="1987" spans="9:10" x14ac:dyDescent="0.35">
      <c r="I1987" s="40"/>
      <c r="J1987" s="40"/>
    </row>
    <row r="1988" spans="9:10" x14ac:dyDescent="0.35">
      <c r="I1988" s="40"/>
      <c r="J1988" s="40"/>
    </row>
    <row r="1989" spans="9:10" x14ac:dyDescent="0.35">
      <c r="I1989" s="40"/>
      <c r="J1989" s="40"/>
    </row>
    <row r="1990" spans="9:10" x14ac:dyDescent="0.35">
      <c r="I1990" s="40"/>
      <c r="J1990" s="40"/>
    </row>
    <row r="1991" spans="9:10" x14ac:dyDescent="0.35">
      <c r="I1991" s="40"/>
      <c r="J1991" s="40"/>
    </row>
    <row r="1992" spans="9:10" x14ac:dyDescent="0.35">
      <c r="I1992" s="40"/>
      <c r="J1992" s="40"/>
    </row>
    <row r="1993" spans="9:10" x14ac:dyDescent="0.35">
      <c r="I1993" s="40"/>
      <c r="J1993" s="40"/>
    </row>
    <row r="1994" spans="9:10" x14ac:dyDescent="0.35">
      <c r="I1994" s="40"/>
      <c r="J1994" s="40"/>
    </row>
    <row r="1995" spans="9:10" x14ac:dyDescent="0.35">
      <c r="I1995" s="40"/>
      <c r="J1995" s="40"/>
    </row>
    <row r="1996" spans="9:10" x14ac:dyDescent="0.35">
      <c r="I1996" s="40"/>
      <c r="J1996" s="40"/>
    </row>
  </sheetData>
  <sheetProtection selectLockedCells="1" selectUnlockedCells="1"/>
  <mergeCells count="10">
    <mergeCell ref="L476:M477"/>
    <mergeCell ref="AA786:AB786"/>
    <mergeCell ref="K269:L270"/>
    <mergeCell ref="Q269:R270"/>
    <mergeCell ref="L398:N399"/>
    <mergeCell ref="L400:M401"/>
    <mergeCell ref="W417:Z418"/>
    <mergeCell ref="W400:AA401"/>
    <mergeCell ref="L415:M416"/>
    <mergeCell ref="L417:M418"/>
  </mergeCells>
  <phoneticPr fontId="66" type="noConversion"/>
  <conditionalFormatting sqref="D292">
    <cfRule type="expression" dxfId="154" priority="31">
      <formula>$K$257&lt;&gt;"Yes"</formula>
    </cfRule>
  </conditionalFormatting>
  <conditionalFormatting sqref="D291:E293">
    <cfRule type="expression" dxfId="153" priority="30">
      <formula>$K$257&lt;&gt;"Yes"</formula>
    </cfRule>
  </conditionalFormatting>
  <conditionalFormatting sqref="D294:E294">
    <cfRule type="expression" dxfId="152" priority="29">
      <formula>$J$257&lt;&gt;"Yes"</formula>
    </cfRule>
  </conditionalFormatting>
  <conditionalFormatting sqref="I53:K53">
    <cfRule type="iconSet" priority="25">
      <iconSet>
        <cfvo type="percent" val="0"/>
        <cfvo type="percent" val="33"/>
        <cfvo type="percent" val="67"/>
      </iconSet>
    </cfRule>
  </conditionalFormatting>
  <conditionalFormatting sqref="I29:BP29">
    <cfRule type="colorScale" priority="2922">
      <colorScale>
        <cfvo type="min"/>
        <cfvo type="percentile" val="50"/>
        <cfvo type="max"/>
        <color rgb="FFF8696B"/>
        <color rgb="FFFFEB84"/>
        <color rgb="FF63BE7B"/>
      </colorScale>
    </cfRule>
  </conditionalFormatting>
  <conditionalFormatting sqref="I36:BP36">
    <cfRule type="colorScale" priority="2924">
      <colorScale>
        <cfvo type="min"/>
        <cfvo type="percentile" val="50"/>
        <cfvo type="max"/>
        <color rgb="FFF8696B"/>
        <color rgb="FFFFEB84"/>
        <color rgb="FF63BE7B"/>
      </colorScale>
    </cfRule>
  </conditionalFormatting>
  <conditionalFormatting sqref="L1267">
    <cfRule type="expression" dxfId="151" priority="46">
      <formula>$G1242=0</formula>
    </cfRule>
  </conditionalFormatting>
  <conditionalFormatting sqref="L1268">
    <cfRule type="expression" dxfId="150" priority="45">
      <formula>$G1267=0</formula>
    </cfRule>
  </conditionalFormatting>
  <conditionalFormatting sqref="M1274:Q1393">
    <cfRule type="cellIs" dxfId="149" priority="5" operator="lessThan">
      <formula>0.1</formula>
    </cfRule>
  </conditionalFormatting>
  <conditionalFormatting sqref="Y278:EN298 Y311:EN331 Y332:AH332 Y344:EN364 Y368:EN388">
    <cfRule type="cellIs" dxfId="148" priority="56" operator="equal">
      <formula>0</formula>
    </cfRule>
  </conditionalFormatting>
  <conditionalFormatting sqref="AF703:CM733">
    <cfRule type="cellIs" dxfId="147" priority="43" operator="equal">
      <formula>0</formula>
    </cfRule>
  </conditionalFormatting>
  <conditionalFormatting sqref="AH990:AH1049">
    <cfRule type="expression" dxfId="146" priority="44">
      <formula>$AB990=0</formula>
    </cfRule>
  </conditionalFormatting>
  <conditionalFormatting sqref="AS990:AS1110">
    <cfRule type="cellIs" dxfId="145" priority="21" operator="lessThan">
      <formula>0.1</formula>
    </cfRule>
  </conditionalFormatting>
  <conditionalFormatting sqref="AT988:AT1109">
    <cfRule type="cellIs" dxfId="144" priority="16" operator="equal">
      <formula>0</formula>
    </cfRule>
  </conditionalFormatting>
  <conditionalFormatting sqref="AT988:AU988 AU986:AU987 BB988:BC988 BI988:BJ988 AI990:AM1049 M990:Q1109 AQ990:AR1109 AV991 M1138:Q1257 Q1394:Q1401 Q1404">
    <cfRule type="cellIs" dxfId="143" priority="42" operator="lessThan">
      <formula>0.1</formula>
    </cfRule>
  </conditionalFormatting>
  <conditionalFormatting sqref="AU1049">
    <cfRule type="cellIs" dxfId="142" priority="4" operator="equal">
      <formula>0</formula>
    </cfRule>
  </conditionalFormatting>
  <conditionalFormatting sqref="AY990:BA1109">
    <cfRule type="cellIs" dxfId="141" priority="14" operator="lessThan">
      <formula>0.1</formula>
    </cfRule>
  </conditionalFormatting>
  <conditionalFormatting sqref="BB990:BB1109">
    <cfRule type="cellIs" dxfId="140" priority="13" operator="equal">
      <formula>0</formula>
    </cfRule>
  </conditionalFormatting>
  <conditionalFormatting sqref="BC987">
    <cfRule type="cellIs" dxfId="139" priority="23" operator="lessThan">
      <formula>0.1</formula>
    </cfRule>
  </conditionalFormatting>
  <conditionalFormatting sqref="BC1013:BC1049">
    <cfRule type="cellIs" dxfId="138" priority="40" operator="lessThan">
      <formula>0.1</formula>
    </cfRule>
  </conditionalFormatting>
  <conditionalFormatting sqref="BF990:BH1109">
    <cfRule type="cellIs" dxfId="137" priority="7" operator="lessThan">
      <formula>0.1</formula>
    </cfRule>
  </conditionalFormatting>
  <conditionalFormatting sqref="BG158:BP158">
    <cfRule type="colorScale" priority="1">
      <colorScale>
        <cfvo type="min"/>
        <cfvo type="percentile" val="50"/>
        <cfvo type="max"/>
        <color rgb="FFF8696B"/>
        <color rgb="FFFFEB84"/>
        <color rgb="FF63BE7B"/>
      </colorScale>
    </cfRule>
  </conditionalFormatting>
  <conditionalFormatting sqref="BG165:BP165">
    <cfRule type="colorScale" priority="2">
      <colorScale>
        <cfvo type="min"/>
        <cfvo type="percentile" val="50"/>
        <cfvo type="max"/>
        <color rgb="FFF8696B"/>
        <color rgb="FFFFEB84"/>
        <color rgb="FF63BE7B"/>
      </colorScale>
    </cfRule>
  </conditionalFormatting>
  <conditionalFormatting sqref="BI990:BI1109">
    <cfRule type="cellIs" dxfId="136" priority="6" operator="equal">
      <formula>0</formula>
    </cfRule>
  </conditionalFormatting>
  <conditionalFormatting sqref="BJ987">
    <cfRule type="cellIs" dxfId="135" priority="22" operator="lessThan">
      <formula>0.1</formula>
    </cfRule>
  </conditionalFormatting>
  <conditionalFormatting sqref="BJ1013:BJ1048">
    <cfRule type="cellIs" dxfId="134" priority="9" operator="lessThan">
      <formula>0.1</formula>
    </cfRule>
  </conditionalFormatting>
  <conditionalFormatting sqref="CF404:EM413">
    <cfRule type="cellIs" dxfId="133" priority="53" operator="equal">
      <formula>0</formula>
    </cfRule>
  </conditionalFormatting>
  <conditionalFormatting sqref="CF421:EM471 W471:CD471 W480:CD490 W492:CD492 W552:CD602">
    <cfRule type="cellIs" dxfId="132" priority="55" operator="equal">
      <formula>0</formula>
    </cfRule>
  </conditionalFormatting>
  <dataValidations disablePrompts="1" count="3">
    <dataValidation type="list" allowBlank="1" sqref="W703:W728" xr:uid="{00000000-0002-0000-1300-000000000000}">
      <formula1>"Preferred,Common"</formula1>
    </dataValidation>
    <dataValidation type="list" allowBlank="1" showInputMessage="1" showErrorMessage="1" sqref="S288:S297 V713:V728" xr:uid="{1308154C-CEED-4C49-9C7C-714945E60023}">
      <formula1>$B$278:$B$337</formula1>
    </dataValidation>
    <dataValidation type="list" allowBlank="1" sqref="O278:O297" xr:uid="{00000000-0002-0000-1000-000000000000}">
      <formula1>$D$76:$D$78</formula1>
    </dataValidation>
  </dataValidations>
  <pageMargins left="0.7" right="0.7" top="0.75" bottom="0.75" header="0.3" footer="0.3"/>
  <pageSetup orientation="portrait" r:id="rId1"/>
  <drawing r:id="rId2"/>
  <extLst>
    <ext xmlns:x14="http://schemas.microsoft.com/office/spreadsheetml/2009/9/main" uri="{05C60535-1F16-4fd2-B633-F4F36F0B64E0}">
      <x14:sparklineGroups xmlns:xm="http://schemas.microsoft.com/office/excel/2006/main">
        <x14:sparklineGroup manualMax="0" manualMin="0" type="stacked" displayEmptyCellsAs="gap" negative="1" xr2:uid="{B1AA4FBD-7E8D-4984-A653-329C0384F13F}">
          <x14:colorSeries rgb="FF008E00"/>
          <x14:colorNegative rgb="FFFF0000"/>
          <x14:colorAxis rgb="FF000000"/>
          <x14:colorMarkers rgb="FF0070C0"/>
          <x14:colorFirst rgb="FFFFC000"/>
          <x14:colorLast rgb="FFFFC000"/>
          <x14:colorHigh rgb="FF00B050"/>
          <x14:colorLow rgb="FFFF0000"/>
          <x14:sparklines>
            <x14:sparkline>
              <xm:f>Calcs!I53:I53</xm:f>
              <xm:sqref>I54</xm:sqref>
            </x14:sparkline>
            <x14:sparkline>
              <xm:f>Calcs!J53:J53</xm:f>
              <xm:sqref>J54</xm:sqref>
            </x14:sparkline>
            <x14:sparkline>
              <xm:f>Calcs!K53:K53</xm:f>
              <xm:sqref>K54</xm:sqref>
            </x14:sparkline>
            <x14:sparkline>
              <xm:f>Calcs!L53:L53</xm:f>
              <xm:sqref>L54</xm:sqref>
            </x14:sparkline>
            <x14:sparkline>
              <xm:f>Calcs!M53:M53</xm:f>
              <xm:sqref>M54</xm:sqref>
            </x14:sparkline>
            <x14:sparkline>
              <xm:f>Calcs!N53:N53</xm:f>
              <xm:sqref>N54</xm:sqref>
            </x14:sparkline>
            <x14:sparkline>
              <xm:f>Calcs!O53:O53</xm:f>
              <xm:sqref>O54</xm:sqref>
            </x14:sparkline>
            <x14:sparkline>
              <xm:f>Calcs!P53:P53</xm:f>
              <xm:sqref>P54</xm:sqref>
            </x14:sparkline>
            <x14:sparkline>
              <xm:f>Calcs!Q53:Q53</xm:f>
              <xm:sqref>Q54</xm:sqref>
            </x14:sparkline>
            <x14:sparkline>
              <xm:f>Calcs!R53:R53</xm:f>
              <xm:sqref>R54</xm:sqref>
            </x14:sparkline>
            <x14:sparkline>
              <xm:f>Calcs!S53:S53</xm:f>
              <xm:sqref>S54</xm:sqref>
            </x14:sparkline>
            <x14:sparkline>
              <xm:f>Calcs!T53:T53</xm:f>
              <xm:sqref>T54</xm:sqref>
            </x14:sparkline>
            <x14:sparkline>
              <xm:f>Calcs!U53:U53</xm:f>
              <xm:sqref>U54</xm:sqref>
            </x14:sparkline>
            <x14:sparkline>
              <xm:f>Calcs!V53:V53</xm:f>
              <xm:sqref>V54</xm:sqref>
            </x14:sparkline>
            <x14:sparkline>
              <xm:f>Calcs!W53:W53</xm:f>
              <xm:sqref>W54</xm:sqref>
            </x14:sparkline>
            <x14:sparkline>
              <xm:f>Calcs!X53:X53</xm:f>
              <xm:sqref>X54</xm:sqref>
            </x14:sparkline>
            <x14:sparkline>
              <xm:f>Calcs!Y53:Y53</xm:f>
              <xm:sqref>Y54</xm:sqref>
            </x14:sparkline>
            <x14:sparkline>
              <xm:f>Calcs!Z53:Z53</xm:f>
              <xm:sqref>Z54</xm:sqref>
            </x14:sparkline>
            <x14:sparkline>
              <xm:f>Calcs!AA53:AA53</xm:f>
              <xm:sqref>AA54</xm:sqref>
            </x14:sparkline>
            <x14:sparkline>
              <xm:f>Calcs!AB53:AB53</xm:f>
              <xm:sqref>AB54</xm:sqref>
            </x14:sparkline>
            <x14:sparkline>
              <xm:f>Calcs!AC53:AC53</xm:f>
              <xm:sqref>AC54</xm:sqref>
            </x14:sparkline>
            <x14:sparkline>
              <xm:f>Calcs!AD53:AD53</xm:f>
              <xm:sqref>AD54</xm:sqref>
            </x14:sparkline>
            <x14:sparkline>
              <xm:f>Calcs!AE53:AE53</xm:f>
              <xm:sqref>AE54</xm:sqref>
            </x14:sparkline>
            <x14:sparkline>
              <xm:f>Calcs!AF53:AF53</xm:f>
              <xm:sqref>AF54</xm:sqref>
            </x14:sparkline>
            <x14:sparkline>
              <xm:f>Calcs!AG53:AG53</xm:f>
              <xm:sqref>AG54</xm:sqref>
            </x14:sparkline>
            <x14:sparkline>
              <xm:f>Calcs!AH53:AH53</xm:f>
              <xm:sqref>AH54</xm:sqref>
            </x14:sparkline>
            <x14:sparkline>
              <xm:f>Calcs!AI53:AI53</xm:f>
              <xm:sqref>AI54</xm:sqref>
            </x14:sparkline>
            <x14:sparkline>
              <xm:f>Calcs!AJ53:AJ53</xm:f>
              <xm:sqref>AJ54</xm:sqref>
            </x14:sparkline>
            <x14:sparkline>
              <xm:f>Calcs!AK53:AK53</xm:f>
              <xm:sqref>AK54</xm:sqref>
            </x14:sparkline>
            <x14:sparkline>
              <xm:f>Calcs!AL53:AL53</xm:f>
              <xm:sqref>AL54</xm:sqref>
            </x14:sparkline>
            <x14:sparkline>
              <xm:f>Calcs!AM53:AM53</xm:f>
              <xm:sqref>AM54</xm:sqref>
            </x14:sparkline>
            <x14:sparkline>
              <xm:f>Calcs!AN53:AN53</xm:f>
              <xm:sqref>AN54</xm:sqref>
            </x14:sparkline>
            <x14:sparkline>
              <xm:f>Calcs!AO53:AO53</xm:f>
              <xm:sqref>AO54</xm:sqref>
            </x14:sparkline>
            <x14:sparkline>
              <xm:f>Calcs!AP53:AP53</xm:f>
              <xm:sqref>AP54</xm:sqref>
            </x14:sparkline>
            <x14:sparkline>
              <xm:f>Calcs!AQ53:AQ53</xm:f>
              <xm:sqref>AQ54</xm:sqref>
            </x14:sparkline>
            <x14:sparkline>
              <xm:f>Calcs!AR53:AR53</xm:f>
              <xm:sqref>AR54</xm:sqref>
            </x14:sparkline>
            <x14:sparkline>
              <xm:f>Calcs!AS53:AS53</xm:f>
              <xm:sqref>AS54</xm:sqref>
            </x14:sparkline>
            <x14:sparkline>
              <xm:f>Calcs!AT53:AT53</xm:f>
              <xm:sqref>AT54</xm:sqref>
            </x14:sparkline>
            <x14:sparkline>
              <xm:f>Calcs!AU53:AU53</xm:f>
              <xm:sqref>AU54</xm:sqref>
            </x14:sparkline>
            <x14:sparkline>
              <xm:f>Calcs!AV53:AV53</xm:f>
              <xm:sqref>AV54</xm:sqref>
            </x14:sparkline>
            <x14:sparkline>
              <xm:f>Calcs!AW53:AW53</xm:f>
              <xm:sqref>AW54</xm:sqref>
            </x14:sparkline>
            <x14:sparkline>
              <xm:f>Calcs!AX53:AX53</xm:f>
              <xm:sqref>AX54</xm:sqref>
            </x14:sparkline>
            <x14:sparkline>
              <xm:f>Calcs!AY53:AY53</xm:f>
              <xm:sqref>AY54</xm:sqref>
            </x14:sparkline>
            <x14:sparkline>
              <xm:f>Calcs!AZ53:AZ53</xm:f>
              <xm:sqref>AZ54</xm:sqref>
            </x14:sparkline>
            <x14:sparkline>
              <xm:f>Calcs!BA53:BA53</xm:f>
              <xm:sqref>BA54</xm:sqref>
            </x14:sparkline>
            <x14:sparkline>
              <xm:f>Calcs!BB53:BB53</xm:f>
              <xm:sqref>BB54</xm:sqref>
            </x14:sparkline>
            <x14:sparkline>
              <xm:f>Calcs!BC53:BC53</xm:f>
              <xm:sqref>BC54</xm:sqref>
            </x14:sparkline>
            <x14:sparkline>
              <xm:f>Calcs!BD53:BD53</xm:f>
              <xm:sqref>BD54</xm:sqref>
            </x14:sparkline>
            <x14:sparkline>
              <xm:f>Calcs!BE53:BE53</xm:f>
              <xm:sqref>BE54</xm:sqref>
            </x14:sparkline>
            <x14:sparkline>
              <xm:f>Calcs!BF53:BF53</xm:f>
              <xm:sqref>BF54</xm:sqref>
            </x14:sparkline>
            <x14:sparkline>
              <xm:f>Calcs!BG53:BG53</xm:f>
              <xm:sqref>BG54</xm:sqref>
            </x14:sparkline>
            <x14:sparkline>
              <xm:f>Calcs!BH53:BH53</xm:f>
              <xm:sqref>BH54</xm:sqref>
            </x14:sparkline>
            <x14:sparkline>
              <xm:f>Calcs!BI53:BI53</xm:f>
              <xm:sqref>BI54</xm:sqref>
            </x14:sparkline>
            <x14:sparkline>
              <xm:f>Calcs!BJ53:BJ53</xm:f>
              <xm:sqref>BJ54</xm:sqref>
            </x14:sparkline>
            <x14:sparkline>
              <xm:f>Calcs!BK53:BK53</xm:f>
              <xm:sqref>BK54</xm:sqref>
            </x14:sparkline>
            <x14:sparkline>
              <xm:f>Calcs!BL53:BL53</xm:f>
              <xm:sqref>BL54</xm:sqref>
            </x14:sparkline>
            <x14:sparkline>
              <xm:f>Calcs!BM53:BM53</xm:f>
              <xm:sqref>BM54</xm:sqref>
            </x14:sparkline>
            <x14:sparkline>
              <xm:f>Calcs!BN53:BN53</xm:f>
              <xm:sqref>BN54</xm:sqref>
            </x14:sparkline>
            <x14:sparkline>
              <xm:f>Calcs!BO53:BO53</xm:f>
              <xm:sqref>BO54</xm:sqref>
            </x14:sparkline>
            <x14:sparkline>
              <xm:f>Calcs!BP53:BP53</xm:f>
              <xm:sqref>BP54</xm:sqref>
            </x14:sparkline>
          </x14:sparklines>
        </x14:sparklineGroup>
      </x14:sparklineGroup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1"/>
  <dimension ref="A1:CR315"/>
  <sheetViews>
    <sheetView showGridLines="0" topLeftCell="A99" workbookViewId="0">
      <selection activeCell="D129" sqref="D129"/>
    </sheetView>
  </sheetViews>
  <sheetFormatPr defaultColWidth="8.75" defaultRowHeight="13" x14ac:dyDescent="0.3"/>
  <cols>
    <col min="1" max="1" width="8.83203125" style="40" bestFit="1" customWidth="1"/>
    <col min="2" max="8" width="10.5" style="40" customWidth="1"/>
    <col min="9" max="15" width="8.83203125" style="40" bestFit="1" customWidth="1"/>
    <col min="16" max="16" width="9.08203125" style="40" bestFit="1" customWidth="1"/>
    <col min="17" max="17" width="8.83203125" style="40" bestFit="1" customWidth="1"/>
    <col min="18" max="18" width="9.33203125" style="40" bestFit="1" customWidth="1"/>
    <col min="19" max="27" width="8.83203125" style="40" bestFit="1" customWidth="1"/>
    <col min="28" max="28" width="8.75" style="40" customWidth="1"/>
    <col min="29" max="30" width="9.58203125" style="40" bestFit="1" customWidth="1"/>
    <col min="31" max="32" width="9.08203125" style="40" bestFit="1" customWidth="1"/>
    <col min="33" max="34" width="8.83203125" style="40" bestFit="1" customWidth="1"/>
    <col min="35" max="35" width="9.08203125" style="40" bestFit="1" customWidth="1"/>
    <col min="36" max="37" width="10.5" style="40" customWidth="1"/>
    <col min="38" max="38" width="13.58203125" style="40" customWidth="1"/>
    <col min="39" max="39" width="9.08203125" style="40" bestFit="1" customWidth="1"/>
    <col min="40" max="41" width="11.25" style="40" customWidth="1"/>
    <col min="42" max="56" width="9.08203125" style="40" bestFit="1" customWidth="1"/>
    <col min="57" max="62" width="13.33203125" style="40" customWidth="1"/>
    <col min="63" max="63" width="12.25" style="40" customWidth="1"/>
    <col min="64" max="64" width="11.08203125" style="40" customWidth="1"/>
    <col min="65" max="68" width="8.75" style="40"/>
    <col min="69" max="71" width="10.75" style="40" bestFit="1" customWidth="1"/>
    <col min="72" max="72" width="9.08203125" style="40" bestFit="1" customWidth="1"/>
    <col min="73" max="73" width="8.83203125" style="40" bestFit="1" customWidth="1"/>
    <col min="74" max="76" width="8.75" style="40"/>
    <col min="77" max="81" width="11.75" style="40" customWidth="1"/>
    <col min="82" max="16384" width="8.75" style="40"/>
  </cols>
  <sheetData>
    <row r="1" spans="1:67" ht="13.5" thickBot="1" x14ac:dyDescent="0.35">
      <c r="A1" s="101" t="s">
        <v>567</v>
      </c>
      <c r="B1" s="101" t="s">
        <v>3</v>
      </c>
      <c r="C1" s="101" t="s">
        <v>67</v>
      </c>
      <c r="D1" s="101" t="s">
        <v>7</v>
      </c>
      <c r="F1" s="1549" t="s">
        <v>568</v>
      </c>
      <c r="G1" s="101"/>
      <c r="H1" s="101"/>
      <c r="O1" s="40">
        <f>Input!D20</f>
        <v>0</v>
      </c>
      <c r="P1" s="1550">
        <f>Input!AD21</f>
        <v>0</v>
      </c>
    </row>
    <row r="2" spans="1:67" ht="13.5" thickBot="1" x14ac:dyDescent="0.35">
      <c r="A2" s="101" t="str">
        <f>BQ27</f>
        <v/>
      </c>
      <c r="B2" s="405">
        <f>BQ28</f>
        <v>0</v>
      </c>
      <c r="C2" s="405">
        <f>BQ29</f>
        <v>0</v>
      </c>
      <c r="D2" s="405">
        <f>BQ30</f>
        <v>0</v>
      </c>
      <c r="F2" s="405"/>
      <c r="H2" s="405"/>
      <c r="K2" s="40" t="s">
        <v>569</v>
      </c>
      <c r="L2" s="1551" t="s">
        <v>570</v>
      </c>
      <c r="O2" s="485">
        <f>Input!D60</f>
        <v>0</v>
      </c>
      <c r="Q2" s="40" t="s">
        <v>72</v>
      </c>
      <c r="R2" s="40" t="s">
        <v>72</v>
      </c>
      <c r="T2" s="1552"/>
    </row>
    <row r="3" spans="1:67" x14ac:dyDescent="0.3">
      <c r="A3" s="101" t="str">
        <f>BR27</f>
        <v/>
      </c>
      <c r="B3" s="405">
        <f>BR28</f>
        <v>0</v>
      </c>
      <c r="C3" s="405">
        <f>BR29</f>
        <v>0</v>
      </c>
      <c r="D3" s="405">
        <f>BR30</f>
        <v>0</v>
      </c>
      <c r="F3" s="405">
        <f>IF(Input!D20="",M9,Input!D20)</f>
        <v>0</v>
      </c>
      <c r="G3" s="405"/>
      <c r="H3" s="405"/>
      <c r="M3" s="40" t="s">
        <v>571</v>
      </c>
      <c r="O3" s="485">
        <f>Input!D61</f>
        <v>0</v>
      </c>
      <c r="Q3" s="40" t="s">
        <v>76</v>
      </c>
      <c r="R3" s="40" t="s">
        <v>76</v>
      </c>
    </row>
    <row r="4" spans="1:67" x14ac:dyDescent="0.3">
      <c r="A4" s="101" t="str">
        <f>BS27</f>
        <v/>
      </c>
      <c r="B4" s="405">
        <f>BS28</f>
        <v>0</v>
      </c>
      <c r="C4" s="405">
        <f>BS29</f>
        <v>0</v>
      </c>
      <c r="D4" s="405">
        <f>BS30</f>
        <v>0</v>
      </c>
      <c r="F4" s="405"/>
      <c r="G4" s="405"/>
      <c r="H4" s="405"/>
      <c r="K4" s="40" t="s">
        <v>64</v>
      </c>
      <c r="M4" s="40" t="b">
        <f>ISNUMBER(SEARCH(M3,O2))</f>
        <v>0</v>
      </c>
      <c r="N4" s="40">
        <f>COUNTA(Input!AC21:AD21)</f>
        <v>0</v>
      </c>
      <c r="O4" s="485"/>
      <c r="Q4" s="40" t="s">
        <v>570</v>
      </c>
    </row>
    <row r="5" spans="1:67" x14ac:dyDescent="0.3">
      <c r="A5" s="101">
        <f>BT27</f>
        <v>0</v>
      </c>
      <c r="B5" s="405">
        <f>BT28</f>
        <v>0</v>
      </c>
      <c r="C5" s="405">
        <f>BT29</f>
        <v>0</v>
      </c>
      <c r="D5" s="405">
        <f>BT30</f>
        <v>0</v>
      </c>
      <c r="F5" s="405"/>
      <c r="G5" s="1553" t="str">
        <f>'Sources &amp; Uses'!F3&amp;": " &amp;'Sources &amp; Uses'!F4</f>
        <v>Breakeven: No Breakeven</v>
      </c>
      <c r="O5" s="485"/>
    </row>
    <row r="6" spans="1:67" x14ac:dyDescent="0.3">
      <c r="A6" s="101">
        <f>BU27</f>
        <v>0</v>
      </c>
      <c r="B6" s="405">
        <f>BU28</f>
        <v>0</v>
      </c>
      <c r="C6" s="405">
        <f>BU29</f>
        <v>0</v>
      </c>
      <c r="D6" s="405">
        <f>BU30</f>
        <v>0</v>
      </c>
      <c r="F6" s="405"/>
      <c r="G6" s="405"/>
      <c r="H6" s="405"/>
      <c r="K6" s="1554" t="s">
        <v>572</v>
      </c>
      <c r="L6" s="1555">
        <f>Calcs!D50</f>
        <v>0</v>
      </c>
      <c r="M6" s="40">
        <f>IF(M4=TRUE,1,2)</f>
        <v>2</v>
      </c>
      <c r="O6" s="485"/>
      <c r="Y6" s="485">
        <f>B9</f>
        <v>0</v>
      </c>
    </row>
    <row r="7" spans="1:67" x14ac:dyDescent="0.3">
      <c r="K7" s="61" t="s">
        <v>62</v>
      </c>
      <c r="L7" s="1555">
        <f>Calcs!D54</f>
        <v>0</v>
      </c>
      <c r="M7" s="40">
        <f>IF(M9&lt;M10,1,2)</f>
        <v>2</v>
      </c>
      <c r="O7" s="485"/>
      <c r="R7" s="207"/>
    </row>
    <row r="8" spans="1:67" ht="13.5" thickBot="1" x14ac:dyDescent="0.35">
      <c r="O8" s="485"/>
      <c r="R8" s="207"/>
    </row>
    <row r="9" spans="1:67" ht="13.5" thickBot="1" x14ac:dyDescent="0.35">
      <c r="B9" s="1556">
        <f>Input!D20</f>
        <v>0</v>
      </c>
      <c r="F9" s="1550">
        <f>B9</f>
        <v>0</v>
      </c>
      <c r="G9" s="40">
        <f>IFERROR(MATCH(F9,F10:F15,0),0)</f>
        <v>0</v>
      </c>
      <c r="H9" s="1557" t="str">
        <f>IF($G$9&gt;0,H11,H10)</f>
        <v>Year 1</v>
      </c>
      <c r="I9" s="1557" t="str">
        <f>IF($G$9&gt;0,I11,I10)</f>
        <v>Year 2</v>
      </c>
      <c r="J9" s="1557" t="str">
        <f>IF($G$9&gt;0,J11,J10)</f>
        <v>Year 3</v>
      </c>
      <c r="K9" s="1557" t="str">
        <f>IF(Years="Three","",IF($G$9&gt;0,K11,K10))</f>
        <v>Year 4</v>
      </c>
      <c r="L9" s="1557" t="str">
        <f>IF(Years="Three","",IF($G$9&gt;0,L11,L10))</f>
        <v>Year 5</v>
      </c>
      <c r="R9" s="207"/>
    </row>
    <row r="10" spans="1:67" x14ac:dyDescent="0.3">
      <c r="A10" s="40">
        <v>1</v>
      </c>
      <c r="B10" s="485">
        <v>44957</v>
      </c>
      <c r="C10" s="40">
        <v>-60</v>
      </c>
      <c r="D10" s="485">
        <f t="shared" ref="D10:D59" si="0">IF(D$70=0,0,EOMONTH(D11,-1))</f>
        <v>0</v>
      </c>
      <c r="E10" s="485">
        <f>B10</f>
        <v>44957</v>
      </c>
      <c r="F10" s="1550">
        <f>E10</f>
        <v>44957</v>
      </c>
      <c r="G10" s="1558">
        <f>IF(G9&gt;0,F9,0)</f>
        <v>0</v>
      </c>
      <c r="H10" s="101" t="s">
        <v>573</v>
      </c>
      <c r="I10" s="101" t="s">
        <v>574</v>
      </c>
      <c r="J10" s="101" t="s">
        <v>575</v>
      </c>
      <c r="K10" s="101" t="s">
        <v>576</v>
      </c>
      <c r="L10" s="101" t="s">
        <v>577</v>
      </c>
      <c r="R10" s="207"/>
    </row>
    <row r="11" spans="1:67" x14ac:dyDescent="0.3">
      <c r="A11" s="40">
        <v>2</v>
      </c>
      <c r="B11" s="485">
        <f>EOMONTH(B10,1)</f>
        <v>44985</v>
      </c>
      <c r="C11" s="40">
        <v>-59</v>
      </c>
      <c r="D11" s="485">
        <f t="shared" si="0"/>
        <v>0</v>
      </c>
      <c r="E11" s="485">
        <f t="shared" ref="E11:E74" si="1">B11</f>
        <v>44985</v>
      </c>
      <c r="F11" s="1550">
        <f>E22</f>
        <v>45322</v>
      </c>
      <c r="H11" s="1559">
        <f>G10</f>
        <v>0</v>
      </c>
      <c r="I11" s="1560">
        <f>H11+365</f>
        <v>365</v>
      </c>
      <c r="J11" s="1560">
        <f>I11+365</f>
        <v>730</v>
      </c>
      <c r="K11" s="1560">
        <f>J11+365</f>
        <v>1095</v>
      </c>
      <c r="L11" s="1560">
        <f>K11+365</f>
        <v>1460</v>
      </c>
      <c r="R11" s="207"/>
    </row>
    <row r="12" spans="1:67" x14ac:dyDescent="0.3">
      <c r="A12" s="40">
        <v>3</v>
      </c>
      <c r="B12" s="485">
        <f t="shared" ref="B12:B75" si="2">EOMONTH(B11,1)</f>
        <v>45016</v>
      </c>
      <c r="C12" s="40">
        <v>-58</v>
      </c>
      <c r="D12" s="485">
        <f t="shared" si="0"/>
        <v>0</v>
      </c>
      <c r="E12" s="485">
        <f t="shared" si="1"/>
        <v>45016</v>
      </c>
      <c r="F12" s="1550">
        <f>E34</f>
        <v>45688</v>
      </c>
      <c r="R12" s="207"/>
    </row>
    <row r="13" spans="1:67" x14ac:dyDescent="0.3">
      <c r="A13" s="40">
        <v>4</v>
      </c>
      <c r="B13" s="485">
        <f t="shared" si="2"/>
        <v>45046</v>
      </c>
      <c r="C13" s="40">
        <v>-57</v>
      </c>
      <c r="D13" s="485">
        <f t="shared" si="0"/>
        <v>0</v>
      </c>
      <c r="E13" s="485">
        <f t="shared" si="1"/>
        <v>45046</v>
      </c>
      <c r="F13" s="1550">
        <f>E46</f>
        <v>46053</v>
      </c>
      <c r="H13" s="40">
        <v>1</v>
      </c>
      <c r="I13" s="40">
        <v>2</v>
      </c>
      <c r="J13" s="40">
        <v>3</v>
      </c>
      <c r="K13" s="40">
        <v>4</v>
      </c>
      <c r="L13" s="40">
        <v>5</v>
      </c>
      <c r="M13" s="40">
        <v>6</v>
      </c>
      <c r="N13" s="40">
        <v>7</v>
      </c>
      <c r="O13" s="40">
        <v>8</v>
      </c>
      <c r="P13" s="40">
        <v>9</v>
      </c>
      <c r="Q13" s="40">
        <v>10</v>
      </c>
      <c r="R13" s="40">
        <v>11</v>
      </c>
      <c r="S13" s="40">
        <v>12</v>
      </c>
      <c r="T13" s="40">
        <v>13</v>
      </c>
      <c r="U13" s="40">
        <v>14</v>
      </c>
      <c r="V13" s="40">
        <v>15</v>
      </c>
      <c r="W13" s="40">
        <v>16</v>
      </c>
      <c r="X13" s="40">
        <v>17</v>
      </c>
      <c r="Y13" s="40">
        <v>18</v>
      </c>
      <c r="Z13" s="40">
        <v>19</v>
      </c>
      <c r="AA13" s="40">
        <v>20</v>
      </c>
      <c r="AB13" s="40">
        <v>21</v>
      </c>
      <c r="AC13" s="40">
        <v>22</v>
      </c>
      <c r="AD13" s="40">
        <v>23</v>
      </c>
      <c r="AE13" s="40">
        <v>24</v>
      </c>
      <c r="AF13" s="40">
        <v>25</v>
      </c>
      <c r="AG13" s="40">
        <v>26</v>
      </c>
      <c r="AH13" s="40">
        <v>27</v>
      </c>
      <c r="AI13" s="40">
        <v>28</v>
      </c>
      <c r="AJ13" s="40">
        <v>29</v>
      </c>
      <c r="AK13" s="40">
        <v>30</v>
      </c>
      <c r="AL13" s="40">
        <v>31</v>
      </c>
      <c r="AM13" s="40">
        <v>32</v>
      </c>
      <c r="AN13" s="40">
        <v>33</v>
      </c>
      <c r="AO13" s="40">
        <v>34</v>
      </c>
      <c r="AP13" s="40">
        <v>35</v>
      </c>
      <c r="AQ13" s="40">
        <v>36</v>
      </c>
      <c r="AR13" s="40">
        <v>37</v>
      </c>
      <c r="AS13" s="40">
        <v>38</v>
      </c>
      <c r="AT13" s="40">
        <v>39</v>
      </c>
      <c r="AU13" s="40">
        <v>40</v>
      </c>
      <c r="AV13" s="40">
        <v>41</v>
      </c>
      <c r="AW13" s="40">
        <v>42</v>
      </c>
      <c r="AX13" s="40">
        <v>43</v>
      </c>
      <c r="AY13" s="40">
        <v>44</v>
      </c>
      <c r="AZ13" s="40">
        <v>45</v>
      </c>
      <c r="BA13" s="40">
        <v>46</v>
      </c>
      <c r="BB13" s="40">
        <v>47</v>
      </c>
      <c r="BC13" s="40">
        <v>48</v>
      </c>
      <c r="BD13" s="40">
        <v>49</v>
      </c>
      <c r="BE13" s="40">
        <v>50</v>
      </c>
      <c r="BF13" s="40">
        <v>51</v>
      </c>
      <c r="BG13" s="40">
        <v>52</v>
      </c>
      <c r="BH13" s="40">
        <v>53</v>
      </c>
      <c r="BI13" s="40">
        <v>54</v>
      </c>
      <c r="BJ13" s="40">
        <v>55</v>
      </c>
      <c r="BK13" s="40">
        <v>56</v>
      </c>
      <c r="BL13" s="40">
        <v>57</v>
      </c>
      <c r="BM13" s="40">
        <v>58</v>
      </c>
      <c r="BN13" s="40">
        <v>59</v>
      </c>
      <c r="BO13" s="40">
        <v>60</v>
      </c>
    </row>
    <row r="14" spans="1:67" x14ac:dyDescent="0.3">
      <c r="A14" s="40">
        <v>5</v>
      </c>
      <c r="B14" s="485">
        <f t="shared" si="2"/>
        <v>45077</v>
      </c>
      <c r="C14" s="40">
        <v>-56</v>
      </c>
      <c r="D14" s="485">
        <f t="shared" si="0"/>
        <v>0</v>
      </c>
      <c r="E14" s="485">
        <f t="shared" si="1"/>
        <v>45077</v>
      </c>
      <c r="F14" s="1550">
        <f>E58</f>
        <v>46418</v>
      </c>
      <c r="H14" s="485">
        <f>D70</f>
        <v>0</v>
      </c>
      <c r="I14" s="485">
        <f>EOMONTH(H14,1)</f>
        <v>59</v>
      </c>
      <c r="J14" s="485">
        <f t="shared" ref="J14:BO14" si="3">EOMONTH(I14,1)</f>
        <v>91</v>
      </c>
      <c r="K14" s="485">
        <f t="shared" si="3"/>
        <v>121</v>
      </c>
      <c r="L14" s="485">
        <f t="shared" si="3"/>
        <v>152</v>
      </c>
      <c r="M14" s="485">
        <f t="shared" si="3"/>
        <v>182</v>
      </c>
      <c r="N14" s="485">
        <f t="shared" si="3"/>
        <v>213</v>
      </c>
      <c r="O14" s="485">
        <f t="shared" si="3"/>
        <v>244</v>
      </c>
      <c r="P14" s="485">
        <f t="shared" si="3"/>
        <v>274</v>
      </c>
      <c r="Q14" s="485">
        <f t="shared" si="3"/>
        <v>305</v>
      </c>
      <c r="R14" s="485">
        <f t="shared" si="3"/>
        <v>335</v>
      </c>
      <c r="S14" s="485">
        <f t="shared" si="3"/>
        <v>366</v>
      </c>
      <c r="T14" s="485">
        <f t="shared" si="3"/>
        <v>397</v>
      </c>
      <c r="U14" s="485">
        <f t="shared" si="3"/>
        <v>425</v>
      </c>
      <c r="V14" s="485">
        <f t="shared" si="3"/>
        <v>456</v>
      </c>
      <c r="W14" s="485">
        <f t="shared" si="3"/>
        <v>486</v>
      </c>
      <c r="X14" s="485">
        <f t="shared" si="3"/>
        <v>517</v>
      </c>
      <c r="Y14" s="485">
        <f t="shared" si="3"/>
        <v>547</v>
      </c>
      <c r="Z14" s="485">
        <f t="shared" si="3"/>
        <v>578</v>
      </c>
      <c r="AA14" s="485">
        <f t="shared" si="3"/>
        <v>609</v>
      </c>
      <c r="AB14" s="485">
        <f t="shared" si="3"/>
        <v>639</v>
      </c>
      <c r="AC14" s="485">
        <f t="shared" si="3"/>
        <v>670</v>
      </c>
      <c r="AD14" s="485">
        <f t="shared" si="3"/>
        <v>700</v>
      </c>
      <c r="AE14" s="485">
        <f t="shared" si="3"/>
        <v>731</v>
      </c>
      <c r="AF14" s="485">
        <f t="shared" si="3"/>
        <v>762</v>
      </c>
      <c r="AG14" s="485">
        <f t="shared" si="3"/>
        <v>790</v>
      </c>
      <c r="AH14" s="485">
        <f t="shared" si="3"/>
        <v>821</v>
      </c>
      <c r="AI14" s="485">
        <f t="shared" si="3"/>
        <v>851</v>
      </c>
      <c r="AJ14" s="485">
        <f t="shared" si="3"/>
        <v>882</v>
      </c>
      <c r="AK14" s="485">
        <f t="shared" si="3"/>
        <v>912</v>
      </c>
      <c r="AL14" s="485">
        <f t="shared" si="3"/>
        <v>943</v>
      </c>
      <c r="AM14" s="485">
        <f t="shared" si="3"/>
        <v>974</v>
      </c>
      <c r="AN14" s="485">
        <f t="shared" si="3"/>
        <v>1004</v>
      </c>
      <c r="AO14" s="485">
        <f t="shared" si="3"/>
        <v>1035</v>
      </c>
      <c r="AP14" s="485">
        <f t="shared" si="3"/>
        <v>1065</v>
      </c>
      <c r="AQ14" s="485">
        <f t="shared" si="3"/>
        <v>1096</v>
      </c>
      <c r="AR14" s="485">
        <f t="shared" si="3"/>
        <v>1127</v>
      </c>
      <c r="AS14" s="485">
        <f t="shared" si="3"/>
        <v>1155</v>
      </c>
      <c r="AT14" s="485">
        <f t="shared" si="3"/>
        <v>1186</v>
      </c>
      <c r="AU14" s="485">
        <f t="shared" si="3"/>
        <v>1216</v>
      </c>
      <c r="AV14" s="485">
        <f t="shared" si="3"/>
        <v>1247</v>
      </c>
      <c r="AW14" s="485">
        <f t="shared" si="3"/>
        <v>1277</v>
      </c>
      <c r="AX14" s="485">
        <f t="shared" si="3"/>
        <v>1308</v>
      </c>
      <c r="AY14" s="485">
        <f t="shared" si="3"/>
        <v>1339</v>
      </c>
      <c r="AZ14" s="485">
        <f t="shared" si="3"/>
        <v>1369</v>
      </c>
      <c r="BA14" s="485">
        <f t="shared" si="3"/>
        <v>1400</v>
      </c>
      <c r="BB14" s="485">
        <f t="shared" si="3"/>
        <v>1430</v>
      </c>
      <c r="BC14" s="485">
        <f t="shared" si="3"/>
        <v>1461</v>
      </c>
      <c r="BD14" s="485">
        <f t="shared" si="3"/>
        <v>1492</v>
      </c>
      <c r="BE14" s="485">
        <f t="shared" si="3"/>
        <v>1521</v>
      </c>
      <c r="BF14" s="485">
        <f t="shared" si="3"/>
        <v>1552</v>
      </c>
      <c r="BG14" s="485">
        <f t="shared" si="3"/>
        <v>1582</v>
      </c>
      <c r="BH14" s="485">
        <f t="shared" si="3"/>
        <v>1613</v>
      </c>
      <c r="BI14" s="485">
        <f t="shared" si="3"/>
        <v>1643</v>
      </c>
      <c r="BJ14" s="485">
        <f t="shared" si="3"/>
        <v>1674</v>
      </c>
      <c r="BK14" s="485">
        <f t="shared" si="3"/>
        <v>1705</v>
      </c>
      <c r="BL14" s="485">
        <f t="shared" si="3"/>
        <v>1735</v>
      </c>
      <c r="BM14" s="485">
        <f t="shared" si="3"/>
        <v>1766</v>
      </c>
      <c r="BN14" s="485">
        <f t="shared" si="3"/>
        <v>1796</v>
      </c>
      <c r="BO14" s="485">
        <f t="shared" si="3"/>
        <v>1827</v>
      </c>
    </row>
    <row r="15" spans="1:67" x14ac:dyDescent="0.3">
      <c r="A15" s="40">
        <v>6</v>
      </c>
      <c r="B15" s="485">
        <f t="shared" si="2"/>
        <v>45107</v>
      </c>
      <c r="C15" s="40">
        <v>-55</v>
      </c>
      <c r="D15" s="485">
        <f t="shared" si="0"/>
        <v>0</v>
      </c>
      <c r="E15" s="485">
        <f t="shared" si="1"/>
        <v>45107</v>
      </c>
      <c r="F15" s="1550">
        <f>E70</f>
        <v>46783</v>
      </c>
      <c r="H15" s="40">
        <v>1</v>
      </c>
      <c r="I15" s="40">
        <v>2</v>
      </c>
      <c r="J15" s="40">
        <v>3</v>
      </c>
      <c r="K15" s="40">
        <v>4</v>
      </c>
      <c r="L15" s="40">
        <v>5</v>
      </c>
      <c r="M15" s="40">
        <v>6</v>
      </c>
      <c r="N15" s="40">
        <v>7</v>
      </c>
      <c r="O15" s="40">
        <v>8</v>
      </c>
      <c r="P15" s="40">
        <v>9</v>
      </c>
      <c r="Q15" s="40">
        <v>10</v>
      </c>
      <c r="R15" s="40">
        <v>11</v>
      </c>
      <c r="S15" s="40">
        <v>12</v>
      </c>
      <c r="T15" s="40">
        <v>13</v>
      </c>
      <c r="U15" s="40">
        <v>14</v>
      </c>
      <c r="V15" s="40">
        <v>15</v>
      </c>
      <c r="W15" s="40">
        <v>16</v>
      </c>
      <c r="X15" s="40">
        <v>17</v>
      </c>
      <c r="Y15" s="40">
        <v>18</v>
      </c>
      <c r="Z15" s="40">
        <v>19</v>
      </c>
      <c r="AA15" s="40">
        <v>20</v>
      </c>
      <c r="AB15" s="40">
        <v>21</v>
      </c>
      <c r="AC15" s="40">
        <v>22</v>
      </c>
      <c r="AD15" s="40">
        <v>23</v>
      </c>
      <c r="AE15" s="40">
        <v>24</v>
      </c>
      <c r="AF15" s="40">
        <v>25</v>
      </c>
      <c r="AG15" s="40">
        <v>26</v>
      </c>
      <c r="AH15" s="40">
        <v>27</v>
      </c>
      <c r="AI15" s="40">
        <v>28</v>
      </c>
      <c r="AJ15" s="40">
        <v>29</v>
      </c>
      <c r="AK15" s="40">
        <v>30</v>
      </c>
      <c r="AL15" s="40">
        <v>31</v>
      </c>
      <c r="AM15" s="40">
        <v>32</v>
      </c>
      <c r="AN15" s="40">
        <v>33</v>
      </c>
      <c r="AO15" s="40">
        <v>34</v>
      </c>
      <c r="AP15" s="40">
        <v>35</v>
      </c>
      <c r="AQ15" s="40">
        <v>36</v>
      </c>
      <c r="AR15" s="40">
        <v>37</v>
      </c>
      <c r="AS15" s="40">
        <v>38</v>
      </c>
      <c r="AT15" s="40">
        <v>39</v>
      </c>
      <c r="AU15" s="40">
        <v>40</v>
      </c>
      <c r="AV15" s="40">
        <v>41</v>
      </c>
      <c r="AW15" s="40">
        <v>42</v>
      </c>
      <c r="AX15" s="40">
        <v>43</v>
      </c>
      <c r="AY15" s="40">
        <v>44</v>
      </c>
      <c r="AZ15" s="40">
        <v>45</v>
      </c>
      <c r="BA15" s="40">
        <v>46</v>
      </c>
      <c r="BB15" s="40">
        <v>47</v>
      </c>
      <c r="BC15" s="40">
        <v>48</v>
      </c>
      <c r="BD15" s="40">
        <v>49</v>
      </c>
      <c r="BE15" s="40">
        <v>50</v>
      </c>
      <c r="BF15" s="40">
        <v>51</v>
      </c>
      <c r="BG15" s="40">
        <v>52</v>
      </c>
      <c r="BH15" s="40">
        <v>53</v>
      </c>
      <c r="BI15" s="40">
        <v>54</v>
      </c>
      <c r="BJ15" s="40">
        <v>55</v>
      </c>
      <c r="BK15" s="40">
        <v>56</v>
      </c>
      <c r="BL15" s="40">
        <v>57</v>
      </c>
      <c r="BM15" s="40">
        <v>58</v>
      </c>
      <c r="BN15" s="40">
        <v>59</v>
      </c>
      <c r="BO15" s="40">
        <v>60</v>
      </c>
    </row>
    <row r="16" spans="1:67" x14ac:dyDescent="0.3">
      <c r="A16" s="40">
        <v>7</v>
      </c>
      <c r="B16" s="485">
        <f t="shared" si="2"/>
        <v>45138</v>
      </c>
      <c r="C16" s="40">
        <v>-54</v>
      </c>
      <c r="D16" s="485">
        <f t="shared" si="0"/>
        <v>0</v>
      </c>
      <c r="E16" s="485">
        <f t="shared" si="1"/>
        <v>45138</v>
      </c>
      <c r="R16" s="207"/>
    </row>
    <row r="17" spans="1:81" ht="14.25" customHeight="1" x14ac:dyDescent="0.3">
      <c r="A17" s="40">
        <v>8</v>
      </c>
      <c r="B17" s="485">
        <f t="shared" si="2"/>
        <v>45169</v>
      </c>
      <c r="C17" s="40">
        <v>-53</v>
      </c>
      <c r="D17" s="485">
        <f t="shared" si="0"/>
        <v>0</v>
      </c>
      <c r="E17" s="485">
        <f t="shared" si="1"/>
        <v>45169</v>
      </c>
      <c r="G17" s="1558">
        <f>G10</f>
        <v>0</v>
      </c>
      <c r="H17" s="40" t="str">
        <f>H10</f>
        <v>Year 1</v>
      </c>
      <c r="I17" s="1558" t="str">
        <f>IF($G$9&gt;0,G17,H17)</f>
        <v>Year 1</v>
      </c>
      <c r="R17" s="207"/>
    </row>
    <row r="18" spans="1:81" x14ac:dyDescent="0.3">
      <c r="A18" s="40">
        <v>9</v>
      </c>
      <c r="B18" s="485">
        <f t="shared" si="2"/>
        <v>45199</v>
      </c>
      <c r="C18" s="40">
        <v>-52</v>
      </c>
      <c r="D18" s="485">
        <f t="shared" si="0"/>
        <v>0</v>
      </c>
      <c r="E18" s="485">
        <f t="shared" si="1"/>
        <v>45199</v>
      </c>
      <c r="G18" s="1558">
        <f>G17+365</f>
        <v>365</v>
      </c>
      <c r="H18" s="40" t="str">
        <f>I10</f>
        <v>Year 2</v>
      </c>
      <c r="I18" s="1558" t="str">
        <f>IF($G$9&gt;0,G18,H18)</f>
        <v>Year 2</v>
      </c>
      <c r="R18" s="207"/>
    </row>
    <row r="19" spans="1:81" ht="15.5" x14ac:dyDescent="0.3">
      <c r="A19" s="40">
        <v>10</v>
      </c>
      <c r="B19" s="485">
        <f t="shared" si="2"/>
        <v>45230</v>
      </c>
      <c r="C19" s="40">
        <v>-51</v>
      </c>
      <c r="D19" s="485">
        <f t="shared" si="0"/>
        <v>0</v>
      </c>
      <c r="E19" s="485">
        <f t="shared" si="1"/>
        <v>45230</v>
      </c>
      <c r="G19" s="1558">
        <f>G18+365</f>
        <v>730</v>
      </c>
      <c r="H19" s="40" t="str">
        <f>J10</f>
        <v>Year 3</v>
      </c>
      <c r="I19" s="1558" t="str">
        <f>IF($G$9&gt;0,G19,H19)</f>
        <v>Year 3</v>
      </c>
      <c r="N19" s="5"/>
      <c r="O19" s="1561">
        <f>IFERROR(EOMONTH(Infrastructure!K175,-12),0)</f>
        <v>46356</v>
      </c>
      <c r="P19" s="1561">
        <f>IFERROR(EOMONTH(O19,1),0)</f>
        <v>46387</v>
      </c>
      <c r="Q19" s="1561">
        <f>IFERROR(EOMONTH(P19,1),0)</f>
        <v>46418</v>
      </c>
      <c r="R19" s="1561">
        <f>IFERROR(EOMONTH(Q19,1),0)</f>
        <v>46446</v>
      </c>
      <c r="S19" s="1561">
        <f>IFERROR(EOMONTH(R19,1),0)</f>
        <v>46477</v>
      </c>
      <c r="T19" s="1561">
        <f>IFERROR(EOMONTH(S19,1),0)</f>
        <v>46507</v>
      </c>
      <c r="U19" s="1561">
        <f>IFERROR(EOMONTH(T19,1),0)</f>
        <v>46538</v>
      </c>
      <c r="V19" s="1561">
        <f>IFERROR(EOMONTH(U19,1),0)</f>
        <v>46568</v>
      </c>
      <c r="W19" s="1561">
        <f>IFERROR(EOMONTH(V19,1),0)</f>
        <v>46599</v>
      </c>
      <c r="X19" s="1561">
        <f>IFERROR(EOMONTH(W19,1),0)</f>
        <v>46630</v>
      </c>
      <c r="Y19" s="1561">
        <f>IFERROR(EOMONTH(X19,1),0)</f>
        <v>46660</v>
      </c>
      <c r="Z19" s="1562">
        <f>IFERROR(EOMONTH(Y19,1),0)</f>
        <v>46691</v>
      </c>
      <c r="AA19" s="1561" t="s">
        <v>131</v>
      </c>
      <c r="AB19" s="1"/>
      <c r="BE19" s="1398" t="s">
        <v>578</v>
      </c>
    </row>
    <row r="20" spans="1:81" ht="15.5" x14ac:dyDescent="0.3">
      <c r="A20" s="40">
        <v>11</v>
      </c>
      <c r="B20" s="485">
        <f t="shared" si="2"/>
        <v>45260</v>
      </c>
      <c r="C20" s="40">
        <v>-50</v>
      </c>
      <c r="D20" s="485">
        <f t="shared" si="0"/>
        <v>0</v>
      </c>
      <c r="E20" s="485">
        <f t="shared" si="1"/>
        <v>45260</v>
      </c>
      <c r="G20" s="1558">
        <f>G19+365</f>
        <v>1095</v>
      </c>
      <c r="H20" s="40" t="str">
        <f>K10</f>
        <v>Year 4</v>
      </c>
      <c r="I20" s="1558" t="str">
        <f>IF(Years="Three","",IF($G$9&gt;0,G20,H20))</f>
        <v>Year 4</v>
      </c>
      <c r="N20" s="6" t="str">
        <f>IF(Investors!C5&lt;&gt;"",Investors!C5,"Revenue or EBITDA")</f>
        <v>Revenue or EBITDA</v>
      </c>
      <c r="O20" s="476">
        <f>IFERROR(IF(Investors!P45&gt;Investors!$AV$16,0,IF(Investors!$C$5="Revenue",HLOOKUP(O19,Calcs!$I$2:$BP$8,2,FALSE),HLOOKUP(O19,Calcs!$I$2:$BP$8,7,FALSE))),0)</f>
        <v>0</v>
      </c>
      <c r="P20" s="476">
        <f>IFERROR(IF(Investors!Q45&gt;Investors!$AV$16,0,IF(Investors!$C$5="Revenue",HLOOKUP(P19,Calcs!$I$2:$BP$8,2,FALSE),HLOOKUP(P19,Calcs!$I$2:$BP$8,7,FALSE))),0)</f>
        <v>0</v>
      </c>
      <c r="Q20" s="476">
        <f>IFERROR(IF(Investors!R45&gt;Investors!$AV$16,0,IF(Investors!$C$5="Revenue",HLOOKUP(Q19,Calcs!$I$2:$BP$8,2,FALSE),HLOOKUP(Q19,Calcs!$I$2:$BP$8,7,FALSE))),0)</f>
        <v>0</v>
      </c>
      <c r="R20" s="476">
        <f>IFERROR(IF(Investors!S45&gt;Investors!$AV$16,0,IF(Investors!$C$5="Revenue",HLOOKUP(R19,Calcs!$I$2:$BP$8,2,FALSE),HLOOKUP(R19,Calcs!$I$2:$BP$8,7,FALSE))),0)</f>
        <v>0</v>
      </c>
      <c r="S20" s="476">
        <f>IFERROR(IF(Investors!T45&gt;Investors!$AV$16,0,IF(Investors!$C$5="Revenue",HLOOKUP(S19,Calcs!$I$2:$BP$8,2,FALSE),HLOOKUP(S19,Calcs!$I$2:$BP$8,7,FALSE))),0)</f>
        <v>0</v>
      </c>
      <c r="T20" s="476">
        <f>IFERROR(IF(Investors!U45&gt;Investors!$AV$16,0,IF(Investors!$C$5="Revenue",HLOOKUP(T19,Calcs!$I$2:$BP$8,2,FALSE),HLOOKUP(T19,Calcs!$I$2:$BP$8,7,FALSE))),0)</f>
        <v>0</v>
      </c>
      <c r="U20" s="476">
        <f>IFERROR(IF(Investors!V45&gt;Investors!$AV$16,0,IF(Investors!$C$5="Revenue",HLOOKUP(U19,Calcs!$I$2:$BP$8,2,FALSE),HLOOKUP(U19,Calcs!$I$2:$BP$8,7,FALSE))),0)</f>
        <v>0</v>
      </c>
      <c r="V20" s="476">
        <f>IFERROR(IF(Investors!W45&gt;Investors!$AV$16,0,IF(Investors!$C$5="Revenue",HLOOKUP(V19,Calcs!$I$2:$BP$8,2,FALSE),HLOOKUP(V19,Calcs!$I$2:$BP$8,7,FALSE))),0)</f>
        <v>0</v>
      </c>
      <c r="W20" s="476">
        <f>IFERROR(IF(Investors!X45&gt;Investors!$AV$16,0,IF(Investors!$C$5="Revenue",HLOOKUP(W19,Calcs!$I$2:$BP$8,2,FALSE),HLOOKUP(W19,Calcs!$I$2:$BP$8,7,FALSE))),0)</f>
        <v>0</v>
      </c>
      <c r="X20" s="476">
        <f>IFERROR(IF(Investors!Y45&gt;Investors!$AV$16,0,IF(Investors!$C$5="Revenue",HLOOKUP(X19,Calcs!$I$2:$BP$8,2,FALSE),HLOOKUP(X19,Calcs!$I$2:$BP$8,7,FALSE))),0)</f>
        <v>0</v>
      </c>
      <c r="Y20" s="476">
        <f>IFERROR(IF(Investors!Z45&gt;Investors!$AV$16,0,IF(Investors!$C$5="Revenue",HLOOKUP(Y19,Calcs!$I$2:$BP$8,2,FALSE),HLOOKUP(Y19,Calcs!$I$2:$BP$8,7,FALSE))),0)</f>
        <v>0</v>
      </c>
      <c r="Z20" s="1563">
        <f>IFERROR(IF(Investors!AA45&gt;Investors!$AV$16,0,IF(Investors!$C$5="Revenue",HLOOKUP(Z19,Calcs!$I$2:$BP$8,2,FALSE),HLOOKUP(Z19,Calcs!$I$2:$BP$8,7,FALSE))),0)</f>
        <v>0</v>
      </c>
      <c r="AA20" s="1564">
        <f>SUM(O20:Z20)</f>
        <v>0</v>
      </c>
      <c r="AB20" s="1"/>
      <c r="AM20" s="697" t="s">
        <v>579</v>
      </c>
      <c r="BE20" s="1399" t="s">
        <v>578</v>
      </c>
    </row>
    <row r="21" spans="1:81" ht="15.5" x14ac:dyDescent="0.3">
      <c r="A21" s="40">
        <v>12</v>
      </c>
      <c r="B21" s="485">
        <f t="shared" si="2"/>
        <v>45291</v>
      </c>
      <c r="C21" s="40">
        <v>-49</v>
      </c>
      <c r="D21" s="485">
        <f t="shared" si="0"/>
        <v>0</v>
      </c>
      <c r="E21" s="485">
        <f t="shared" si="1"/>
        <v>45291</v>
      </c>
      <c r="G21" s="1558">
        <f>G20+365</f>
        <v>1460</v>
      </c>
      <c r="H21" s="40" t="str">
        <f>L10</f>
        <v>Year 5</v>
      </c>
      <c r="I21" s="1558" t="str">
        <f>IF(Years="Three","",IF($G$9&gt;0,G21,H21))</f>
        <v>Year 5</v>
      </c>
      <c r="N21" s="5"/>
      <c r="O21" s="5"/>
      <c r="P21" s="5"/>
      <c r="Q21" s="5"/>
      <c r="R21" s="5"/>
      <c r="S21" s="5"/>
      <c r="T21" s="5"/>
      <c r="U21" s="5"/>
      <c r="V21" s="5"/>
      <c r="W21" s="5"/>
      <c r="X21" s="5"/>
      <c r="Y21" s="5"/>
      <c r="Z21" s="5"/>
      <c r="AA21" s="5"/>
      <c r="AB21" s="1"/>
      <c r="AM21" s="40" t="s">
        <v>580</v>
      </c>
      <c r="BE21" s="1400" t="s">
        <v>578</v>
      </c>
    </row>
    <row r="22" spans="1:81" ht="16" thickBot="1" x14ac:dyDescent="0.35">
      <c r="A22" s="40">
        <v>13</v>
      </c>
      <c r="B22" s="485">
        <f t="shared" si="2"/>
        <v>45322</v>
      </c>
      <c r="C22" s="40">
        <v>-48</v>
      </c>
      <c r="D22" s="485">
        <f t="shared" si="0"/>
        <v>0</v>
      </c>
      <c r="E22" s="485">
        <f t="shared" si="1"/>
        <v>45322</v>
      </c>
      <c r="N22" s="475"/>
      <c r="O22" s="5"/>
      <c r="P22" s="5"/>
      <c r="Q22" s="5"/>
      <c r="R22" s="5"/>
      <c r="S22" s="5"/>
      <c r="T22" s="5"/>
      <c r="U22" s="5"/>
      <c r="V22" s="5"/>
      <c r="W22" s="5"/>
      <c r="X22" s="5"/>
      <c r="Y22" s="5"/>
      <c r="Z22" s="475" t="str">
        <f>IF(AND(Investors!AV13&gt;0,AA20/Investors!AV13&gt;AA20),"Extrapolated to full 12 months","")</f>
        <v/>
      </c>
      <c r="AA22" s="1565">
        <f>IF(AND(Investors!AV13&gt;0,AA20/Investors!AV13&gt;AA20),AA20/Investors!AV13,0)</f>
        <v>0</v>
      </c>
      <c r="AB22" s="1"/>
      <c r="BJ22" s="1331" t="str">
        <f>IF(Years="Three",BH24,BJ24)</f>
        <v/>
      </c>
    </row>
    <row r="23" spans="1:81" ht="16" thickTop="1" x14ac:dyDescent="0.3">
      <c r="A23" s="40">
        <v>14</v>
      </c>
      <c r="B23" s="485">
        <f t="shared" si="2"/>
        <v>45351</v>
      </c>
      <c r="C23" s="40">
        <v>-47</v>
      </c>
      <c r="D23" s="485">
        <f t="shared" si="0"/>
        <v>0</v>
      </c>
      <c r="E23" s="485">
        <f t="shared" si="1"/>
        <v>45351</v>
      </c>
      <c r="G23" s="40" t="s">
        <v>581</v>
      </c>
      <c r="K23" s="1566" t="s">
        <v>569</v>
      </c>
      <c r="N23" s="5"/>
      <c r="O23" s="5"/>
      <c r="P23" s="5"/>
      <c r="Q23" s="1"/>
      <c r="R23" s="1"/>
      <c r="S23" s="1"/>
      <c r="T23" s="1"/>
      <c r="U23" s="1"/>
      <c r="V23" s="1"/>
      <c r="W23" s="1"/>
      <c r="X23" s="1"/>
      <c r="Y23" s="1"/>
      <c r="Z23" s="1"/>
      <c r="AA23" s="1"/>
      <c r="AB23" s="1"/>
      <c r="AO23" s="1567">
        <f>SUM(AN26:AN29)-SUM(AO26:AO29)</f>
        <v>0</v>
      </c>
      <c r="BE23" s="494">
        <f>IFERROR(SUM(BF28:BJ40),0)+ABS(Financials!AQ223)</f>
        <v>0</v>
      </c>
      <c r="BF23" s="1567"/>
      <c r="BG23" s="1567"/>
      <c r="BH23" s="1567"/>
    </row>
    <row r="24" spans="1:81" x14ac:dyDescent="0.3">
      <c r="A24" s="40">
        <v>15</v>
      </c>
      <c r="B24" s="485">
        <f t="shared" si="2"/>
        <v>45382</v>
      </c>
      <c r="C24" s="40">
        <v>-46</v>
      </c>
      <c r="D24" s="485">
        <f t="shared" si="0"/>
        <v>0</v>
      </c>
      <c r="E24" s="485">
        <f t="shared" si="1"/>
        <v>45382</v>
      </c>
      <c r="G24" s="40" t="s">
        <v>582</v>
      </c>
      <c r="K24" s="1568" t="s">
        <v>570</v>
      </c>
      <c r="R24" s="207"/>
      <c r="BH24" s="1331" t="str">
        <f>IF(AND($BF28&gt;0,BH28&gt;0),((BH28/$BF28)^(1/BH26))-1,"")</f>
        <v/>
      </c>
      <c r="BI24" s="1331" t="str">
        <f>IF(AND($BF28&gt;0,BI28&gt;0),((BI28/$BF28)^(1/BI26))-1,"")</f>
        <v/>
      </c>
      <c r="BJ24" s="1331" t="str">
        <f>IF(AND($BF28&gt;0,BJ28&gt;0),((BJ28/$BF28)^(1/BJ26))-1,"")</f>
        <v/>
      </c>
    </row>
    <row r="25" spans="1:81" x14ac:dyDescent="0.3">
      <c r="A25" s="40">
        <v>16</v>
      </c>
      <c r="B25" s="485">
        <f t="shared" si="2"/>
        <v>45412</v>
      </c>
      <c r="C25" s="40">
        <v>-45</v>
      </c>
      <c r="D25" s="485">
        <f t="shared" si="0"/>
        <v>0</v>
      </c>
      <c r="E25" s="485">
        <f t="shared" si="1"/>
        <v>45412</v>
      </c>
      <c r="G25" s="40" t="s">
        <v>583</v>
      </c>
      <c r="R25" s="207"/>
      <c r="BE25" s="40" t="str">
        <f>IF(AND(BE24&lt;&gt;"Error",SUM(BF28:BJ40)&gt;0),"Off to the races","Larval")</f>
        <v>Larval</v>
      </c>
    </row>
    <row r="26" spans="1:81" x14ac:dyDescent="0.3">
      <c r="A26" s="40">
        <v>17</v>
      </c>
      <c r="B26" s="485">
        <f t="shared" si="2"/>
        <v>45443</v>
      </c>
      <c r="C26" s="40">
        <v>-44</v>
      </c>
      <c r="D26" s="485">
        <f t="shared" si="0"/>
        <v>0</v>
      </c>
      <c r="E26" s="485">
        <f t="shared" si="1"/>
        <v>45443</v>
      </c>
      <c r="G26" s="40" t="s">
        <v>584</v>
      </c>
      <c r="R26" s="207"/>
      <c r="AN26" s="1569">
        <f>SUBTOTAL(109,Financials!Q5:Q32)+SUBTOTAL(109,Financials!AD5:AD32)+SUBTOTAL(109,Financials!AQ5:AQ32)+SUBTOTAL(109,Financials!BD5:BD32)+SUBTOTAL(109,Financials!BQ5:BQ32)</f>
        <v>0</v>
      </c>
      <c r="AO26" s="1567">
        <f>Financials!Q33+Financials!AD33+Financials!AQ33+Financials!BD33+Financials!BQ33</f>
        <v>0</v>
      </c>
      <c r="AP26" s="180" t="str">
        <f>IF(AN26&lt;&gt;AO26,"There are one or more hidden rows with values in the Revenue section","")</f>
        <v/>
      </c>
      <c r="AQ26" s="1567" t="s">
        <v>488</v>
      </c>
      <c r="AR26" s="40" t="s">
        <v>3</v>
      </c>
      <c r="BG26" s="40">
        <v>1</v>
      </c>
      <c r="BH26" s="40">
        <v>2</v>
      </c>
      <c r="BI26" s="40">
        <v>3</v>
      </c>
      <c r="BJ26" s="40">
        <v>4</v>
      </c>
      <c r="BP26" s="13"/>
      <c r="BQ26" s="13"/>
      <c r="BR26" s="13"/>
      <c r="BS26" s="13"/>
      <c r="BT26" s="13"/>
      <c r="BU26" s="13"/>
      <c r="BV26" s="13"/>
      <c r="BW26" s="13"/>
      <c r="BX26" s="13"/>
    </row>
    <row r="27" spans="1:81" x14ac:dyDescent="0.3">
      <c r="A27" s="40">
        <v>18</v>
      </c>
      <c r="B27" s="485">
        <f t="shared" si="2"/>
        <v>45473</v>
      </c>
      <c r="C27" s="40">
        <v>-43</v>
      </c>
      <c r="D27" s="485">
        <f t="shared" si="0"/>
        <v>0</v>
      </c>
      <c r="E27" s="485">
        <f t="shared" si="1"/>
        <v>45473</v>
      </c>
      <c r="R27" s="207"/>
      <c r="AN27" s="1567">
        <f>SUBTOTAL(109,Financials!Q36:Q60)+SUBTOTAL(109,Financials!AD36:AD60)+SUBTOTAL(109,Financials!AQ36:AQ60)+SUBTOTAL(109,Financials!BD36:BD60)+SUBTOTAL(109,Financials!BQ36:BQ60)</f>
        <v>0</v>
      </c>
      <c r="AO27" s="1567">
        <f>Financials!Q61+Financials!AD61+Financials!AQ61+Financials!BD61+Financials!BQ61</f>
        <v>0</v>
      </c>
      <c r="AR27" s="40" t="s">
        <v>12</v>
      </c>
      <c r="BQ27" s="61" t="str">
        <f>IF(OR(Financials!$BQ178&lt;=Input!$D$1576,$AH6=0,$AL$45&gt;0),"",Input!D2)</f>
        <v/>
      </c>
      <c r="BR27" s="61" t="str">
        <f>IF(OR(Financials!$BQ178&lt;=Input!$D$1576,$AH6=0,$AL$45&gt;0),"",Input!E2)</f>
        <v/>
      </c>
      <c r="BS27" s="61" t="str">
        <f>IF(OR(Financials!$BQ178&lt;=Input!$D$1576,$AH6=0,$AL$45&gt;0),"",Input!F2)</f>
        <v/>
      </c>
      <c r="BT27" s="61">
        <f>IF(OR(Financials!$BQ178&lt;=Input!$D$1576,$AH6=0,$AL$45&gt;0),0,Input!G2)</f>
        <v>0</v>
      </c>
      <c r="BU27" s="61">
        <f>IF(OR(Financials!$BQ178&lt;=Input!$D$1576,$AH6=0,$AL$45&gt;0),0,Input!H2)</f>
        <v>0</v>
      </c>
      <c r="BV27" s="13"/>
      <c r="BW27" s="13"/>
      <c r="BX27" s="13"/>
      <c r="BY27" s="61" t="str">
        <f>BQ27</f>
        <v/>
      </c>
      <c r="BZ27" s="61" t="str">
        <f>BR27</f>
        <v/>
      </c>
      <c r="CA27" s="61" t="str">
        <f>BS27</f>
        <v/>
      </c>
      <c r="CB27" s="61">
        <f>BT27</f>
        <v>0</v>
      </c>
      <c r="CC27" s="61">
        <f>BU27</f>
        <v>0</v>
      </c>
    </row>
    <row r="28" spans="1:81" x14ac:dyDescent="0.3">
      <c r="A28" s="40">
        <v>19</v>
      </c>
      <c r="B28" s="485">
        <f t="shared" si="2"/>
        <v>45504</v>
      </c>
      <c r="C28" s="40">
        <v>-42</v>
      </c>
      <c r="D28" s="485">
        <f t="shared" si="0"/>
        <v>0</v>
      </c>
      <c r="E28" s="485">
        <f t="shared" si="1"/>
        <v>45504</v>
      </c>
      <c r="R28" s="207"/>
      <c r="AN28" s="1567">
        <f>SUBTOTAL(109,Financials!Q66:Q77)+SUBTOTAL(109,Financials!AD66:AD77)+SUBTOTAL(109,Financials!AQ66:AQ77)+SUBTOTAL(109,Financials!BD66:BD77)+SUBTOTAL(109,Financials!BQ66:BQ77)</f>
        <v>0</v>
      </c>
      <c r="AO28" s="1567">
        <f>Financials!Q78+Financials!AD78+Financials!AQ78+Financials!BD78+Financials!BQ78</f>
        <v>0</v>
      </c>
      <c r="AR28" s="40" t="s">
        <v>18</v>
      </c>
      <c r="BC28" s="61" t="s">
        <v>585</v>
      </c>
      <c r="BE28" s="61" t="str">
        <f>BC28</f>
        <v xml:space="preserve">Revenue </v>
      </c>
      <c r="BF28" s="691">
        <f>Financials!Q33</f>
        <v>0</v>
      </c>
      <c r="BG28" s="691">
        <f>Financials!AD33</f>
        <v>0</v>
      </c>
      <c r="BH28" s="691">
        <f>Financials!AQ33</f>
        <v>0</v>
      </c>
      <c r="BI28" s="691">
        <f>IF(Years="Three",0,Financials!BD33)</f>
        <v>0</v>
      </c>
      <c r="BJ28" s="691">
        <f>IF(Years="Three",0,Financials!BQ33)</f>
        <v>0</v>
      </c>
      <c r="BK28" s="494">
        <f>SUM(BL28:BP28)</f>
        <v>0</v>
      </c>
      <c r="BL28" s="494">
        <f>Financials!Q33</f>
        <v>0</v>
      </c>
      <c r="BM28" s="494">
        <f>Financials!AD33</f>
        <v>0</v>
      </c>
      <c r="BN28" s="494">
        <f>Financials!AQ33</f>
        <v>0</v>
      </c>
      <c r="BO28" s="494">
        <f>Financials!BD33</f>
        <v>0</v>
      </c>
      <c r="BP28" s="494">
        <f>Financials!BQ33</f>
        <v>0</v>
      </c>
      <c r="BQ28" s="214">
        <f>Infrastructure!BF28</f>
        <v>0</v>
      </c>
      <c r="BR28" s="214">
        <f>Infrastructure!BG28</f>
        <v>0</v>
      </c>
      <c r="BS28" s="214">
        <f>Infrastructure!BH28</f>
        <v>0</v>
      </c>
      <c r="BT28" s="214">
        <f>Infrastructure!BI28</f>
        <v>0</v>
      </c>
      <c r="BU28" s="214">
        <f>Infrastructure!BJ28</f>
        <v>0</v>
      </c>
      <c r="BV28" s="13"/>
      <c r="BW28" s="13"/>
      <c r="BX28" s="84" t="s">
        <v>17</v>
      </c>
      <c r="BY28" s="214">
        <f>Financials!Q188</f>
        <v>0</v>
      </c>
      <c r="BZ28" s="214">
        <f>Financials!AD188</f>
        <v>0</v>
      </c>
      <c r="CA28" s="214">
        <f>Financials!AQ188</f>
        <v>0</v>
      </c>
      <c r="CB28" s="214">
        <f>Financials!BD188</f>
        <v>0</v>
      </c>
      <c r="CC28" s="214">
        <f>Financials!BQ188</f>
        <v>0</v>
      </c>
    </row>
    <row r="29" spans="1:81" ht="13.5" thickBot="1" x14ac:dyDescent="0.35">
      <c r="A29" s="40">
        <v>20</v>
      </c>
      <c r="B29" s="485">
        <f t="shared" si="2"/>
        <v>45535</v>
      </c>
      <c r="C29" s="40">
        <v>-41</v>
      </c>
      <c r="D29" s="485">
        <f t="shared" si="0"/>
        <v>0</v>
      </c>
      <c r="E29" s="485">
        <f t="shared" si="1"/>
        <v>45535</v>
      </c>
      <c r="K29" s="1570" t="s">
        <v>586</v>
      </c>
      <c r="R29" s="207"/>
      <c r="AN29" s="1567">
        <f>SUBTOTAL(109,Financials!Q82:Q133)+SUBTOTAL(109,Financials!AD82:AD133)+SUBTOTAL(109,Financials!AQ82:AQ133)+SUBTOTAL(109,Financials!BD82:BD133)+SUBTOTAL(109,Financials!BQ82:BQ133)</f>
        <v>0</v>
      </c>
      <c r="AO29" s="1567">
        <f>Financials!Q134+Financials!AD134+Financials!AQ134+Financials!BD134+Financials!BQ134</f>
        <v>0</v>
      </c>
      <c r="AR29" s="40" t="s">
        <v>19</v>
      </c>
      <c r="BC29" s="84" t="str">
        <f>IF(Input!O21="Services","Cost of Sales ","COGS ")</f>
        <v xml:space="preserve">COGS </v>
      </c>
      <c r="BE29" s="61" t="str">
        <f>BC29</f>
        <v xml:space="preserve">COGS </v>
      </c>
      <c r="BF29" s="1029">
        <f>Financials!Q61</f>
        <v>0</v>
      </c>
      <c r="BG29" s="1029">
        <f>Financials!AD61</f>
        <v>0</v>
      </c>
      <c r="BH29" s="1029">
        <f>Financials!AQ61</f>
        <v>0</v>
      </c>
      <c r="BI29" s="1029">
        <f>IF(Years="Three",0,Financials!BD61)</f>
        <v>0</v>
      </c>
      <c r="BJ29" s="1029">
        <f>IF(Years="Three",0,Financials!BQ61)</f>
        <v>0</v>
      </c>
      <c r="BP29" s="13" t="str">
        <f>IF(OR(Financials!$BQ178&lt;=Input!$D$1576,AH6=0,$AL$45&gt;0),"","Expenses")</f>
        <v/>
      </c>
      <c r="BQ29" s="214">
        <f>BQ28-BQ30</f>
        <v>0</v>
      </c>
      <c r="BR29" s="214">
        <f>BR28-BR30</f>
        <v>0</v>
      </c>
      <c r="BS29" s="214">
        <f>BS28-BS30</f>
        <v>0</v>
      </c>
      <c r="BT29" s="214">
        <f>IF(Years="Three",0,BT28-BT30)</f>
        <v>0</v>
      </c>
      <c r="BU29" s="214">
        <f>IF(Years="Three",0,BU28-BU30)</f>
        <v>0</v>
      </c>
      <c r="BV29" s="13"/>
      <c r="BW29" s="13"/>
      <c r="BX29" s="84" t="s">
        <v>237</v>
      </c>
      <c r="BY29" s="214">
        <f>Financials!Q187</f>
        <v>0</v>
      </c>
      <c r="BZ29" s="214">
        <f>Financials!AD187</f>
        <v>0</v>
      </c>
      <c r="CA29" s="214">
        <f>Financials!AQ187</f>
        <v>0</v>
      </c>
      <c r="CB29" s="214">
        <f>Financials!BD187</f>
        <v>0</v>
      </c>
      <c r="CC29" s="214">
        <f>Financials!BQ187</f>
        <v>0</v>
      </c>
    </row>
    <row r="30" spans="1:81" ht="13.5" thickBot="1" x14ac:dyDescent="0.35">
      <c r="A30" s="40">
        <v>21</v>
      </c>
      <c r="B30" s="485">
        <f t="shared" si="2"/>
        <v>45565</v>
      </c>
      <c r="C30" s="40">
        <v>-40</v>
      </c>
      <c r="D30" s="485">
        <f t="shared" si="0"/>
        <v>0</v>
      </c>
      <c r="E30" s="485">
        <f t="shared" si="1"/>
        <v>45565</v>
      </c>
      <c r="K30" s="1571" t="s">
        <v>587</v>
      </c>
      <c r="R30" s="207"/>
      <c r="AN30" s="1567">
        <f>SUBTOTAL(109,Financials!Q140:Q143)+SUBTOTAL(109,Financials!AD140:AD143)+SUBTOTAL(109,Financials!AQ140:AQ143)+SUBTOTAL(109,Financials!BD140:BD143)+SUBTOTAL(109,Financials!BQ140:BQ143)</f>
        <v>0</v>
      </c>
      <c r="AO30" s="1567">
        <f>Financials!Q144+Financials!AD144+Financials!AQ144+Financials!BD144+Financials!BQ144</f>
        <v>0</v>
      </c>
      <c r="AR30" s="40" t="s">
        <v>355</v>
      </c>
      <c r="BC30" s="61" t="s">
        <v>588</v>
      </c>
      <c r="BE30" s="61" t="str">
        <f>BC30</f>
        <v xml:space="preserve">Gross Profit </v>
      </c>
      <c r="BF30" s="691">
        <f>BF28-BF29</f>
        <v>0</v>
      </c>
      <c r="BG30" s="691">
        <f>BG28-BG29</f>
        <v>0</v>
      </c>
      <c r="BH30" s="691">
        <f>BH28-BH29</f>
        <v>0</v>
      </c>
      <c r="BI30" s="691">
        <f>IF(Years="Three",0,BI28-BI29)</f>
        <v>0</v>
      </c>
      <c r="BJ30" s="691">
        <f>IF(Years="Three",0,BJ28-BJ29)</f>
        <v>0</v>
      </c>
      <c r="BP30" s="13" t="str">
        <f>IF(OR(Financials!$BQ178&lt;=Input!$D$1576,AH6=0,$AL$45&gt;0),"","Net Income")</f>
        <v/>
      </c>
      <c r="BQ30" s="214">
        <f>Infrastructure!BF37</f>
        <v>0</v>
      </c>
      <c r="BR30" s="214">
        <f>Infrastructure!BG37</f>
        <v>0</v>
      </c>
      <c r="BS30" s="214">
        <f>Infrastructure!BH37</f>
        <v>0</v>
      </c>
      <c r="BT30" s="214">
        <f>Infrastructure!BI37</f>
        <v>0</v>
      </c>
      <c r="BU30" s="214">
        <f>Infrastructure!BJ37</f>
        <v>0</v>
      </c>
      <c r="BV30" s="13"/>
      <c r="BW30" s="13"/>
      <c r="BX30" s="84" t="s">
        <v>340</v>
      </c>
      <c r="BY30" s="214">
        <f>Financials!Q211</f>
        <v>0</v>
      </c>
      <c r="BZ30" s="214">
        <f>Financials!AD211</f>
        <v>0</v>
      </c>
      <c r="CA30" s="214">
        <f>Financials!AQ211</f>
        <v>0</v>
      </c>
      <c r="CB30" s="214">
        <f>Financials!BD211</f>
        <v>0</v>
      </c>
      <c r="CC30" s="214">
        <f>Financials!BQ211</f>
        <v>0</v>
      </c>
    </row>
    <row r="31" spans="1:81" x14ac:dyDescent="0.3">
      <c r="A31" s="40">
        <v>22</v>
      </c>
      <c r="B31" s="485">
        <f t="shared" si="2"/>
        <v>45596</v>
      </c>
      <c r="C31" s="40">
        <v>-39</v>
      </c>
      <c r="D31" s="485">
        <f t="shared" si="0"/>
        <v>0</v>
      </c>
      <c r="E31" s="485">
        <f t="shared" si="1"/>
        <v>45596</v>
      </c>
      <c r="R31" s="207"/>
      <c r="AL31" s="84" t="s">
        <v>176</v>
      </c>
      <c r="AN31" s="1567">
        <f>SUBTOTAL(109,Financials!Q151:Q159)+SUBTOTAL(109,Financials!AD151:AD159)+SUBTOTAL(109,Financials!AQ151:AQ159)+SUBTOTAL(109,Financials!BD151:BD159)+SUBTOTAL(109,Financials!BQ151:BQ159)</f>
        <v>0</v>
      </c>
      <c r="AO31" s="1567">
        <f>Financials!Q160+Financials!AD160+Financials!AQ160+Financials!BD160+Financials!BQ160</f>
        <v>0</v>
      </c>
      <c r="AR31" s="40" t="s">
        <v>20</v>
      </c>
      <c r="BC31" s="61"/>
      <c r="BE31" s="61"/>
      <c r="BF31" s="427"/>
      <c r="BG31" s="427"/>
      <c r="BH31" s="427"/>
      <c r="BI31" s="427"/>
      <c r="BJ31" s="427"/>
      <c r="BP31" s="13"/>
      <c r="BQ31" s="13"/>
      <c r="BR31" s="13"/>
      <c r="BS31" s="13"/>
      <c r="BT31" s="13"/>
      <c r="BU31" s="13"/>
      <c r="BV31" s="13"/>
      <c r="BW31" s="13"/>
      <c r="BX31" s="84" t="s">
        <v>321</v>
      </c>
      <c r="BY31" s="214">
        <f>Financials!Q210</f>
        <v>0</v>
      </c>
      <c r="BZ31" s="214">
        <f>Financials!AD210</f>
        <v>0</v>
      </c>
      <c r="CA31" s="214">
        <f>Financials!AQ210</f>
        <v>0</v>
      </c>
      <c r="CB31" s="214">
        <f>Financials!BD210</f>
        <v>0</v>
      </c>
      <c r="CC31" s="214">
        <f>Financials!BQ210</f>
        <v>0</v>
      </c>
    </row>
    <row r="32" spans="1:81" x14ac:dyDescent="0.3">
      <c r="A32" s="40">
        <v>23</v>
      </c>
      <c r="B32" s="485">
        <f t="shared" si="2"/>
        <v>45626</v>
      </c>
      <c r="C32" s="40">
        <v>-38</v>
      </c>
      <c r="D32" s="485">
        <f t="shared" si="0"/>
        <v>0</v>
      </c>
      <c r="E32" s="485">
        <f t="shared" si="1"/>
        <v>45626</v>
      </c>
      <c r="R32" s="207"/>
      <c r="AL32" s="84" t="s">
        <v>385</v>
      </c>
      <c r="AN32" s="1567">
        <f>SUBTOTAL(109,Financials!Q168:Q172)+SUBTOTAL(109,Financials!AD168:AD172)+SUBTOTAL(109,Financials!AQ168:AQ172)+SUBTOTAL(109,Financials!BD168:BD172)+SUBTOTAL(109,Financials!BQ168:BQ172)</f>
        <v>0</v>
      </c>
      <c r="AO32" s="1567">
        <f>Financials!Q173+Financials!AD173+Financials!AQ173+Financials!BD173+Financials!BQ173</f>
        <v>0</v>
      </c>
      <c r="AR32" s="40" t="s">
        <v>24</v>
      </c>
      <c r="BC32" s="84" t="s">
        <v>589</v>
      </c>
      <c r="BE32" s="61" t="str">
        <f>BC32</f>
        <v xml:space="preserve">S&amp;M Expenses </v>
      </c>
      <c r="BF32" s="214">
        <f>Financials!Q78</f>
        <v>0</v>
      </c>
      <c r="BG32" s="214">
        <f>Financials!AD78</f>
        <v>0</v>
      </c>
      <c r="BH32" s="214">
        <f>Financials!AQ78</f>
        <v>0</v>
      </c>
      <c r="BI32" s="214">
        <f>IF(Years="Three",0,Financials!BD78)</f>
        <v>0</v>
      </c>
      <c r="BJ32" s="214">
        <f>IF(Years="Three",0,Financials!BQ78)</f>
        <v>0</v>
      </c>
      <c r="BP32" s="13"/>
      <c r="BQ32" s="13"/>
      <c r="BR32" s="13"/>
      <c r="BS32" s="13"/>
      <c r="BT32" s="13"/>
      <c r="BU32" s="13"/>
      <c r="BV32" s="13"/>
      <c r="BW32" s="13"/>
      <c r="BX32" s="13"/>
    </row>
    <row r="33" spans="1:76" x14ac:dyDescent="0.3">
      <c r="A33" s="40">
        <v>24</v>
      </c>
      <c r="B33" s="485">
        <f t="shared" si="2"/>
        <v>45657</v>
      </c>
      <c r="C33" s="40">
        <v>-37</v>
      </c>
      <c r="D33" s="485">
        <f t="shared" si="0"/>
        <v>0</v>
      </c>
      <c r="E33" s="485">
        <f t="shared" si="1"/>
        <v>45657</v>
      </c>
      <c r="G33" s="1572">
        <f>D32</f>
        <v>0</v>
      </c>
      <c r="R33" s="207"/>
      <c r="U33" s="40" t="str">
        <f>Input!DC5</f>
        <v>C Corp</v>
      </c>
      <c r="AL33" s="84"/>
      <c r="AN33" s="1567">
        <f>SUBTOTAL(109,Financials!Q206:Q210)+SUBTOTAL(109,Financials!AD206:AD210)+SUBTOTAL(109,Financials!AQ206:AQ210)+SUBTOTAL(109,Financials!BD206:BD210)+SUBTOTAL(109,Financials!BQ206:BQ210)</f>
        <v>0</v>
      </c>
      <c r="AO33" s="1567">
        <f>Financials!Q211+Financials!AD211+Financials!AQ211+Financials!BD211+Financials!BQ211</f>
        <v>0</v>
      </c>
      <c r="AR33" s="40" t="s">
        <v>340</v>
      </c>
      <c r="BC33" s="84" t="s">
        <v>590</v>
      </c>
      <c r="BE33" s="61" t="str">
        <f>BC33</f>
        <v xml:space="preserve">Oper. Expenses </v>
      </c>
      <c r="BF33" s="1029">
        <f>Financials!Q134</f>
        <v>0</v>
      </c>
      <c r="BG33" s="1029">
        <f>Financials!AD134</f>
        <v>0</v>
      </c>
      <c r="BH33" s="1029">
        <f>Financials!AQ134</f>
        <v>0</v>
      </c>
      <c r="BI33" s="1029">
        <f>IF(Years="Three",0,Financials!BD134)</f>
        <v>0</v>
      </c>
      <c r="BJ33" s="1029">
        <f>IF(Years="Three",0,Financials!BQ134)</f>
        <v>0</v>
      </c>
      <c r="BP33" s="13"/>
      <c r="BQ33" s="13"/>
      <c r="BR33" s="13"/>
      <c r="BS33" s="13"/>
      <c r="BT33" s="13"/>
      <c r="BU33" s="13"/>
      <c r="BV33" s="13"/>
      <c r="BW33" s="13"/>
      <c r="BX33" s="13"/>
    </row>
    <row r="34" spans="1:76" x14ac:dyDescent="0.3">
      <c r="A34" s="40">
        <v>25</v>
      </c>
      <c r="B34" s="485">
        <f t="shared" si="2"/>
        <v>45688</v>
      </c>
      <c r="C34" s="40">
        <v>-36</v>
      </c>
      <c r="D34" s="485">
        <f t="shared" si="0"/>
        <v>0</v>
      </c>
      <c r="E34" s="485">
        <f t="shared" si="1"/>
        <v>45688</v>
      </c>
      <c r="R34" s="207"/>
      <c r="Y34" s="84" t="str">
        <f>IF(AN34=AO34,"Stockholders' Equity","Stockholders' Equity - Hidden Rows with Values")</f>
        <v>Stockholders' Equity</v>
      </c>
      <c r="AG34" s="1573" t="s">
        <v>591</v>
      </c>
      <c r="AH34" s="1573" t="s">
        <v>592</v>
      </c>
      <c r="AI34" s="1573" t="s">
        <v>593</v>
      </c>
      <c r="AK34" s="1573" t="s">
        <v>594</v>
      </c>
      <c r="AL34" s="84"/>
      <c r="AN34" s="1567">
        <f>SUBTOTAL(109,Financials!Q220:Q223)+SUBTOTAL(109,Financials!AD220:AD223)+SUBTOTAL(109,Financials!AQ220:AQ223)+SUBTOTAL(109,Financials!BD220:BD223)+SUBTOTAL(109,Financials!BQ220:BQ223)</f>
        <v>0</v>
      </c>
      <c r="AO34" s="1567">
        <f>Financials!Q224+Financials!AD224+Financials!AQ224+Financials!BD224+Financials!BQ224</f>
        <v>0</v>
      </c>
      <c r="AR34" s="40" t="s">
        <v>30</v>
      </c>
      <c r="AT34" s="180"/>
      <c r="AU34" s="1574" t="str">
        <f>"There are one or more hidden rows in the sections with red titles."</f>
        <v>There are one or more hidden rows in the sections with red titles.</v>
      </c>
      <c r="AV34" s="1567"/>
      <c r="AW34" s="1567"/>
      <c r="AX34" s="1567"/>
      <c r="AY34" s="1567"/>
      <c r="BB34" s="180"/>
      <c r="BC34" s="61" t="s">
        <v>595</v>
      </c>
      <c r="BD34" s="1567"/>
      <c r="BE34" s="61" t="str">
        <f>BC34</f>
        <v xml:space="preserve">EBITDA </v>
      </c>
      <c r="BF34" s="691">
        <f>BF30-BF32-BF33</f>
        <v>0</v>
      </c>
      <c r="BG34" s="691">
        <f>BG30-BG32-BG33</f>
        <v>0</v>
      </c>
      <c r="BH34" s="691">
        <f>BH30-BH32-BH33</f>
        <v>0</v>
      </c>
      <c r="BI34" s="691">
        <f>IF(Years="Three",0,BI30-BI32-BI33)</f>
        <v>0</v>
      </c>
      <c r="BJ34" s="691">
        <f>IF(Years="Three",0,BJ30-BJ32-BJ33)</f>
        <v>0</v>
      </c>
      <c r="BP34" s="13"/>
      <c r="BQ34" s="13"/>
      <c r="BR34" s="13"/>
      <c r="BS34" s="13"/>
      <c r="BT34" s="13"/>
      <c r="BU34" s="13"/>
      <c r="BV34" s="13"/>
      <c r="BW34" s="13"/>
      <c r="BX34" s="13"/>
    </row>
    <row r="35" spans="1:76" x14ac:dyDescent="0.3">
      <c r="A35" s="40">
        <v>26</v>
      </c>
      <c r="B35" s="485">
        <f t="shared" si="2"/>
        <v>45716</v>
      </c>
      <c r="C35" s="40">
        <v>-35</v>
      </c>
      <c r="D35" s="485">
        <f t="shared" si="0"/>
        <v>0</v>
      </c>
      <c r="E35" s="485">
        <f t="shared" si="1"/>
        <v>45716</v>
      </c>
      <c r="R35" s="207"/>
      <c r="Y35" s="84" t="str">
        <f>IF(AN34=AO34,"Shareholders' Equity","Shareholders' Equity - Hidden Rows with Values")</f>
        <v>Shareholders' Equity</v>
      </c>
      <c r="AA35" s="13">
        <v>1</v>
      </c>
      <c r="AB35" s="13">
        <f>SUM(AA$35:AA35)</f>
        <v>1</v>
      </c>
      <c r="AC35" s="40">
        <f>AA35</f>
        <v>1</v>
      </c>
      <c r="AF35" s="101" t="s">
        <v>58</v>
      </c>
      <c r="AG35" s="1550">
        <f>Input!F88</f>
        <v>5</v>
      </c>
      <c r="AH35" s="40">
        <f>VLOOKUP(SUBTOTAL(109,Input!A89:A98),$AB$35:$AC$84,2)</f>
        <v>5</v>
      </c>
      <c r="AI35" s="101" t="str">
        <f>IF(AG35&gt;AH35,"Yes","No")</f>
        <v>No</v>
      </c>
      <c r="AK35" s="40">
        <f t="shared" ref="AK35:AK36" si="4">VLOOKUP(AG35,$AB$35:$AC$44,2)</f>
        <v>2</v>
      </c>
      <c r="AL35" s="84" t="s">
        <v>45</v>
      </c>
      <c r="AN35" s="494">
        <f>SUM(AN26:AN34)</f>
        <v>0</v>
      </c>
      <c r="AO35" s="494">
        <f>SUM(AO26:AO34)</f>
        <v>0</v>
      </c>
      <c r="BC35" s="61"/>
      <c r="BE35" s="61"/>
      <c r="BF35" s="1030"/>
      <c r="BG35" s="427"/>
      <c r="BH35" s="427"/>
      <c r="BI35" s="1030"/>
      <c r="BJ35" s="427"/>
      <c r="BP35" s="13"/>
      <c r="BQ35" s="1207" t="str">
        <f>H9</f>
        <v>Year 1</v>
      </c>
      <c r="BR35" s="1207" t="str">
        <f>I9</f>
        <v>Year 2</v>
      </c>
      <c r="BS35" s="1207" t="str">
        <f>J9</f>
        <v>Year 3</v>
      </c>
      <c r="BT35" s="1207" t="str">
        <f>K9</f>
        <v>Year 4</v>
      </c>
      <c r="BU35" s="1207" t="str">
        <f>L9</f>
        <v>Year 5</v>
      </c>
      <c r="BV35" s="13"/>
      <c r="BW35" s="13"/>
      <c r="BX35" s="13"/>
    </row>
    <row r="36" spans="1:76" x14ac:dyDescent="0.3">
      <c r="A36" s="40">
        <v>27</v>
      </c>
      <c r="B36" s="485">
        <f t="shared" si="2"/>
        <v>45747</v>
      </c>
      <c r="C36" s="40">
        <v>-34</v>
      </c>
      <c r="D36" s="485">
        <f t="shared" si="0"/>
        <v>0</v>
      </c>
      <c r="E36" s="485">
        <f t="shared" si="1"/>
        <v>45747</v>
      </c>
      <c r="R36" s="207"/>
      <c r="Y36" s="84" t="str">
        <f>IF(AN34=AO34,"Members' Capital","Members' Capital - Hidden Rows with Values")</f>
        <v>Members' Capital</v>
      </c>
      <c r="AA36" s="13">
        <v>2</v>
      </c>
      <c r="AB36" s="13">
        <f>SUM(AA$35:AA36)</f>
        <v>3</v>
      </c>
      <c r="AC36" s="40">
        <f t="shared" ref="AC36:AC84" si="5">AA36</f>
        <v>2</v>
      </c>
      <c r="AF36" s="101" t="s">
        <v>150</v>
      </c>
      <c r="AG36" s="1550">
        <f>Input!F107</f>
        <v>30</v>
      </c>
      <c r="AH36" s="40">
        <f>VLOOKUP(SUBTOTAL(109,Input!A108:A157),$AB$35:$AC$84,2)</f>
        <v>30</v>
      </c>
      <c r="AI36" s="101" t="str">
        <f t="shared" ref="AI36:AI41" si="6">IF(AG36&gt;AH36,"Yes","No")</f>
        <v>No</v>
      </c>
      <c r="AK36" s="40">
        <f t="shared" si="4"/>
        <v>7</v>
      </c>
      <c r="AL36" s="84" t="s">
        <v>79</v>
      </c>
      <c r="AT36" s="40" t="s">
        <v>86</v>
      </c>
      <c r="AU36" s="697">
        <f>Input!D20</f>
        <v>0</v>
      </c>
      <c r="BC36" s="84" t="s">
        <v>596</v>
      </c>
      <c r="BE36" s="61" t="str">
        <f>BC36</f>
        <v xml:space="preserve">Int. Tax. Dep. Amo. </v>
      </c>
      <c r="BF36" s="214">
        <f>Financials!Q144</f>
        <v>0</v>
      </c>
      <c r="BG36" s="214">
        <f>Financials!AD144</f>
        <v>0</v>
      </c>
      <c r="BH36" s="214">
        <f>Financials!AQ144</f>
        <v>0</v>
      </c>
      <c r="BI36" s="214">
        <f>IF(Years="Three",0,Financials!BD144)</f>
        <v>0</v>
      </c>
      <c r="BJ36" s="214">
        <f>IF(Years="Three",0,Financials!BQ144)</f>
        <v>0</v>
      </c>
      <c r="BP36" s="13" t="s">
        <v>3</v>
      </c>
      <c r="BQ36" s="214">
        <f t="shared" ref="BQ36:BT38" si="7">BQ28</f>
        <v>0</v>
      </c>
      <c r="BR36" s="214">
        <f t="shared" si="7"/>
        <v>0</v>
      </c>
      <c r="BS36" s="214">
        <f t="shared" si="7"/>
        <v>0</v>
      </c>
      <c r="BT36" s="13">
        <f t="shared" si="7"/>
        <v>0</v>
      </c>
      <c r="BU36" s="13">
        <f>BU28</f>
        <v>0</v>
      </c>
      <c r="BV36" s="13"/>
      <c r="BW36" s="13"/>
      <c r="BX36" s="13"/>
    </row>
    <row r="37" spans="1:76" ht="13.5" thickBot="1" x14ac:dyDescent="0.35">
      <c r="A37" s="40">
        <v>28</v>
      </c>
      <c r="B37" s="485">
        <f t="shared" si="2"/>
        <v>45777</v>
      </c>
      <c r="C37" s="40">
        <v>-33</v>
      </c>
      <c r="D37" s="485">
        <f t="shared" si="0"/>
        <v>0</v>
      </c>
      <c r="E37" s="485">
        <f t="shared" si="1"/>
        <v>45777</v>
      </c>
      <c r="R37" s="207"/>
      <c r="Y37" s="101" t="s">
        <v>30</v>
      </c>
      <c r="AA37" s="40">
        <v>3</v>
      </c>
      <c r="AB37" s="13">
        <f>SUM(AA$35:AA37)</f>
        <v>6</v>
      </c>
      <c r="AC37" s="40">
        <f t="shared" si="5"/>
        <v>3</v>
      </c>
      <c r="AF37" s="101" t="s">
        <v>18</v>
      </c>
      <c r="AG37" s="1550">
        <f>Input!F166</f>
        <v>5</v>
      </c>
      <c r="AH37" s="40">
        <f>VLOOKUP(SUBTOTAL(109,Input!A167:A176),$AB$35:$AC$84,2)</f>
        <v>5</v>
      </c>
      <c r="AI37" s="101" t="str">
        <f t="shared" si="6"/>
        <v>No</v>
      </c>
      <c r="AK37" s="40">
        <f>VLOOKUP(AG37,$AB$35:$AC$44,2)</f>
        <v>2</v>
      </c>
      <c r="AT37" s="40" t="s">
        <v>0</v>
      </c>
      <c r="BC37" s="61" t="s">
        <v>597</v>
      </c>
      <c r="BE37" s="61" t="str">
        <f>BC37</f>
        <v xml:space="preserve">Net  Income </v>
      </c>
      <c r="BF37" s="1031">
        <f>BF34-BF36</f>
        <v>0</v>
      </c>
      <c r="BG37" s="1031">
        <f>BG34-BG36</f>
        <v>0</v>
      </c>
      <c r="BH37" s="1031">
        <f>BH34-BH36</f>
        <v>0</v>
      </c>
      <c r="BI37" s="1031">
        <f>IF(Years="Three",0,BI34-BI36)</f>
        <v>0</v>
      </c>
      <c r="BJ37" s="1031">
        <f>IF(Years="Three",0,BJ34-BJ36)</f>
        <v>0</v>
      </c>
      <c r="BP37" s="13" t="s">
        <v>67</v>
      </c>
      <c r="BQ37" s="214">
        <f t="shared" ref="BQ37:BS38" si="8">BQ29</f>
        <v>0</v>
      </c>
      <c r="BR37" s="214">
        <f t="shared" si="8"/>
        <v>0</v>
      </c>
      <c r="BS37" s="214">
        <f t="shared" si="8"/>
        <v>0</v>
      </c>
      <c r="BT37" s="13">
        <f t="shared" si="7"/>
        <v>0</v>
      </c>
      <c r="BU37" s="13">
        <f>BU29</f>
        <v>0</v>
      </c>
      <c r="BV37" s="13"/>
      <c r="BW37" s="13"/>
      <c r="BX37" s="13"/>
    </row>
    <row r="38" spans="1:76" ht="13.5" thickTop="1" x14ac:dyDescent="0.3">
      <c r="A38" s="40">
        <v>29</v>
      </c>
      <c r="B38" s="485">
        <f t="shared" si="2"/>
        <v>45808</v>
      </c>
      <c r="C38" s="40">
        <v>-32</v>
      </c>
      <c r="D38" s="485">
        <f t="shared" si="0"/>
        <v>0</v>
      </c>
      <c r="E38" s="485">
        <f t="shared" si="1"/>
        <v>45808</v>
      </c>
      <c r="R38" s="207"/>
      <c r="Y38" s="61" t="str">
        <f>IF(U$33="S Corp",Y35,IF(U$33="LLC",Y36,IF(U$33="Non-Profit",Y37,Y34)))</f>
        <v>Stockholders' Equity</v>
      </c>
      <c r="AA38" s="13">
        <v>4</v>
      </c>
      <c r="AB38" s="13">
        <f>SUM(AA$35:AA38)</f>
        <v>10</v>
      </c>
      <c r="AC38" s="40">
        <f t="shared" si="5"/>
        <v>4</v>
      </c>
      <c r="AF38" s="101" t="s">
        <v>61</v>
      </c>
      <c r="AG38" s="1550">
        <f>Input!F183</f>
        <v>10</v>
      </c>
      <c r="AH38" s="40">
        <f>VLOOKUP(SUBTOTAL(109,Input!A184:A233),$AB$35:$AC$84,2)</f>
        <v>10</v>
      </c>
      <c r="AI38" s="101" t="str">
        <f t="shared" si="6"/>
        <v>No</v>
      </c>
      <c r="AK38" s="40">
        <f>VLOOKUP(AG38,AB35:AC84,2)</f>
        <v>4</v>
      </c>
      <c r="AT38" s="40" t="s">
        <v>134</v>
      </c>
      <c r="BC38" s="84"/>
      <c r="BE38" s="84"/>
      <c r="BF38" s="1032"/>
      <c r="BG38" s="1032"/>
      <c r="BH38" s="866"/>
      <c r="BI38" s="866"/>
      <c r="BJ38" s="866"/>
      <c r="BP38" s="13" t="s">
        <v>298</v>
      </c>
      <c r="BQ38" s="214">
        <f t="shared" si="8"/>
        <v>0</v>
      </c>
      <c r="BR38" s="214">
        <f t="shared" si="8"/>
        <v>0</v>
      </c>
      <c r="BS38" s="214">
        <f t="shared" si="8"/>
        <v>0</v>
      </c>
      <c r="BT38" s="13">
        <f t="shared" si="7"/>
        <v>0</v>
      </c>
      <c r="BU38" s="13">
        <f>BU30</f>
        <v>0</v>
      </c>
      <c r="BV38" s="13"/>
      <c r="BW38" s="13"/>
      <c r="BX38" s="13"/>
    </row>
    <row r="39" spans="1:76" x14ac:dyDescent="0.3">
      <c r="A39" s="40">
        <v>30</v>
      </c>
      <c r="B39" s="485">
        <f t="shared" si="2"/>
        <v>45838</v>
      </c>
      <c r="C39" s="40">
        <v>-31</v>
      </c>
      <c r="D39" s="485">
        <f t="shared" si="0"/>
        <v>0</v>
      </c>
      <c r="E39" s="485">
        <f t="shared" si="1"/>
        <v>45838</v>
      </c>
      <c r="R39" s="207"/>
      <c r="AA39" s="13">
        <v>5</v>
      </c>
      <c r="AB39" s="13">
        <f>SUM(AA$35:AA39)</f>
        <v>15</v>
      </c>
      <c r="AC39" s="40">
        <f t="shared" si="5"/>
        <v>5</v>
      </c>
      <c r="AF39" s="101" t="s">
        <v>389</v>
      </c>
      <c r="AG39" s="1550">
        <f>Input!F238</f>
        <v>5</v>
      </c>
      <c r="AH39" s="40">
        <f>VLOOKUP(SUBTOTAL(109,Input!A239:A258),$AB$35:$AC$84,2)</f>
        <v>5</v>
      </c>
      <c r="AI39" s="101" t="str">
        <f t="shared" si="6"/>
        <v>No</v>
      </c>
      <c r="AK39" s="40">
        <f>VLOOKUP(AG39,AB35:AC54,2)</f>
        <v>2</v>
      </c>
      <c r="AT39" s="40" t="s">
        <v>67</v>
      </c>
      <c r="BC39" s="84" t="s">
        <v>598</v>
      </c>
      <c r="BE39" s="61" t="str">
        <f>BC39</f>
        <v xml:space="preserve">Least Cash </v>
      </c>
      <c r="BF39" s="866" t="str">
        <f>IF(BL39=0,"",MIN(Financials!E178:P178))</f>
        <v/>
      </c>
      <c r="BG39" s="866" t="str">
        <f>IF(BL39=0,"",MIN(Financials!R178:AC178))</f>
        <v/>
      </c>
      <c r="BH39" s="866" t="str">
        <f>IF(BL39=0,"",MIN(Financials!AE178:AP178))</f>
        <v/>
      </c>
      <c r="BI39" s="866" t="str">
        <f>IF(BL39=0,"",IF(Years="Three",0,MIN(Financials!AR178:BC178)))</f>
        <v/>
      </c>
      <c r="BJ39" s="866" t="str">
        <f>IF(BL39=0,"",IF(Years="Three",0,MIN(Financials!BE178:BP178)))</f>
        <v/>
      </c>
      <c r="BL39" s="494">
        <f>SUM(Financials!Q178:BQ178)+ABS(Financials!AQ223)</f>
        <v>0</v>
      </c>
      <c r="BP39" s="13"/>
      <c r="BQ39" s="13"/>
      <c r="BR39" s="13"/>
      <c r="BS39" s="13"/>
      <c r="BT39" s="13"/>
      <c r="BU39" s="13"/>
      <c r="BV39" s="13"/>
      <c r="BW39" s="13"/>
      <c r="BX39" s="13"/>
    </row>
    <row r="40" spans="1:76" x14ac:dyDescent="0.3">
      <c r="A40" s="40">
        <v>31</v>
      </c>
      <c r="B40" s="485">
        <f t="shared" si="2"/>
        <v>45869</v>
      </c>
      <c r="C40" s="40">
        <v>-30</v>
      </c>
      <c r="D40" s="485">
        <f t="shared" si="0"/>
        <v>0</v>
      </c>
      <c r="E40" s="485">
        <f t="shared" si="1"/>
        <v>45869</v>
      </c>
      <c r="R40" s="207"/>
      <c r="Y40" s="84" t="s">
        <v>30</v>
      </c>
      <c r="AA40" s="40">
        <v>6</v>
      </c>
      <c r="AB40" s="13">
        <f>SUM(AA$35:AA40)</f>
        <v>21</v>
      </c>
      <c r="AC40" s="40">
        <f t="shared" si="5"/>
        <v>6</v>
      </c>
      <c r="AF40" s="101" t="s">
        <v>390</v>
      </c>
      <c r="AG40" s="1550">
        <f>Input!F261</f>
        <v>3</v>
      </c>
      <c r="AH40" s="40">
        <f>VLOOKUP(SUBTOTAL(109,Input!A262:A271),$AB$35:$AC$84,2)</f>
        <v>3</v>
      </c>
      <c r="AI40" s="101" t="str">
        <f t="shared" si="6"/>
        <v>No</v>
      </c>
      <c r="AK40" s="40">
        <f>VLOOKUP(AG40,$AB$35:$AC$44,2)</f>
        <v>2</v>
      </c>
      <c r="AL40" s="399" t="s">
        <v>599</v>
      </c>
      <c r="AM40" s="399" t="s">
        <v>600</v>
      </c>
      <c r="AT40" s="40" t="s">
        <v>162</v>
      </c>
      <c r="BC40" s="84" t="s">
        <v>601</v>
      </c>
      <c r="BE40" s="61" t="str">
        <f>BC40</f>
        <v xml:space="preserve">Year End Cash </v>
      </c>
      <c r="BF40" s="866" t="str">
        <f>IF(BL39=0,"",Financials!Q178)</f>
        <v/>
      </c>
      <c r="BG40" s="866" t="str">
        <f>IF(BL39=0,"",Financials!AD178)</f>
        <v/>
      </c>
      <c r="BH40" s="866" t="str">
        <f>IF(BL39=0,"",Financials!AQ178)</f>
        <v/>
      </c>
      <c r="BI40" s="866" t="str">
        <f>IF(BL39=0,"",IF(Years="Three","",Financials!BD178))</f>
        <v/>
      </c>
      <c r="BJ40" s="866" t="str">
        <f>IF(BL39=0,"",IF(Years="Three","",Financials!BQ178))</f>
        <v/>
      </c>
      <c r="BL40" s="494">
        <f>SUM(Financials!Q178:BQ178)</f>
        <v>0</v>
      </c>
    </row>
    <row r="41" spans="1:76" x14ac:dyDescent="0.3">
      <c r="A41" s="40">
        <v>32</v>
      </c>
      <c r="B41" s="485">
        <f t="shared" si="2"/>
        <v>45900</v>
      </c>
      <c r="C41" s="40">
        <v>-29</v>
      </c>
      <c r="D41" s="485">
        <f t="shared" si="0"/>
        <v>0</v>
      </c>
      <c r="E41" s="485">
        <f t="shared" si="1"/>
        <v>45900</v>
      </c>
      <c r="R41" s="207"/>
      <c r="U41" s="40" t="s">
        <v>602</v>
      </c>
      <c r="Y41" s="84" t="s">
        <v>30</v>
      </c>
      <c r="AA41" s="13">
        <v>7</v>
      </c>
      <c r="AB41" s="13">
        <f>SUM(AA$35:AA41)</f>
        <v>28</v>
      </c>
      <c r="AC41" s="40">
        <f t="shared" si="5"/>
        <v>7</v>
      </c>
      <c r="AF41" s="101" t="s">
        <v>53</v>
      </c>
      <c r="AG41" s="1550">
        <f>Input!F278</f>
        <v>5</v>
      </c>
      <c r="AH41" s="40">
        <f>VLOOKUP(SUBTOTAL(109,Input!A279:A288),$AB$35:$AC$84,2)</f>
        <v>5</v>
      </c>
      <c r="AI41" s="101" t="str">
        <f t="shared" si="6"/>
        <v>No</v>
      </c>
      <c r="AK41" s="40">
        <f>VLOOKUP(AG41,$AB$35:$AC$44,2)</f>
        <v>2</v>
      </c>
      <c r="AL41" s="100">
        <f>SUBTOTAL(109,Input!G279:G288)</f>
        <v>0</v>
      </c>
      <c r="AM41" s="100">
        <f>SUMIF(Input!A279:A288,"&lt;="&amp;Input!F278,Input!G279:G288)</f>
        <v>0</v>
      </c>
      <c r="AO41" s="101" t="s">
        <v>86</v>
      </c>
      <c r="AP41" s="697">
        <f>Input!D20</f>
        <v>0</v>
      </c>
      <c r="AR41" s="40" t="str">
        <f>IF(AL397,"",IF(AM44="Sales",AM44,"")&amp;IF(AR44="Personnel","Personnel","")&amp;IF(AW44="Expenses","Expenses",""))</f>
        <v/>
      </c>
      <c r="AT41" s="40" t="str">
        <f>IF(OR(Input!$D$20="",Input!$AD$21="",SUM('Street View'!X22:X81)=0),"",IF(AL45&gt;0,"Note: You have at least one start month in "&amp;AR32&amp;" that is earlier than your overall start month of "&amp;TEXT(Y6, "mmm-yy"),IF(BE23=0,"A summary of your financials will appear here" &amp;CHAR(10)&amp;" once you begin entering data","")))</f>
        <v/>
      </c>
      <c r="BG41" s="977"/>
      <c r="BH41" s="977"/>
      <c r="BI41" s="977"/>
      <c r="BJ41" s="977"/>
    </row>
    <row r="42" spans="1:76" x14ac:dyDescent="0.3">
      <c r="A42" s="40">
        <v>33</v>
      </c>
      <c r="B42" s="485">
        <f t="shared" si="2"/>
        <v>45930</v>
      </c>
      <c r="C42" s="40">
        <v>-28</v>
      </c>
      <c r="D42" s="485">
        <f t="shared" si="0"/>
        <v>0</v>
      </c>
      <c r="E42" s="485">
        <f t="shared" si="1"/>
        <v>45930</v>
      </c>
      <c r="R42" s="207"/>
      <c r="U42" s="40" t="s">
        <v>207</v>
      </c>
      <c r="Y42" s="84" t="s">
        <v>603</v>
      </c>
      <c r="AA42" s="40">
        <v>8</v>
      </c>
      <c r="AB42" s="13">
        <f>SUM(AA$35:AA42)</f>
        <v>36</v>
      </c>
      <c r="AC42" s="40">
        <f t="shared" si="5"/>
        <v>8</v>
      </c>
      <c r="AF42" s="101"/>
      <c r="AR42" s="40" t="str">
        <f>IF(AL45=1,"",IF(AM44="Sales",AM44,"")&amp;IF(AR44="Personnel"," / Personnel","")&amp;IF(AW44="Expenses"," / Expenses",""))</f>
        <v/>
      </c>
      <c r="BG42" s="977" t="e">
        <f>BG28/BF28</f>
        <v>#DIV/0!</v>
      </c>
      <c r="BH42" s="977" t="e">
        <f>BH28/BG28</f>
        <v>#DIV/0!</v>
      </c>
      <c r="BI42" s="977" t="e">
        <f>BI28/BH28</f>
        <v>#DIV/0!</v>
      </c>
      <c r="BJ42" s="977" t="e">
        <f>BJ28/BI28</f>
        <v>#DIV/0!</v>
      </c>
      <c r="BL42" s="494">
        <f>SUM(BF28:BJ40)</f>
        <v>0</v>
      </c>
    </row>
    <row r="43" spans="1:76" x14ac:dyDescent="0.3">
      <c r="A43" s="40">
        <v>34</v>
      </c>
      <c r="B43" s="485">
        <f t="shared" si="2"/>
        <v>45961</v>
      </c>
      <c r="C43" s="40">
        <v>-27</v>
      </c>
      <c r="D43" s="485">
        <f t="shared" si="0"/>
        <v>0</v>
      </c>
      <c r="E43" s="485">
        <f t="shared" si="1"/>
        <v>45961</v>
      </c>
      <c r="R43" s="207"/>
      <c r="Y43" s="61" t="str">
        <f>IF(U$33="S Corp",Y41,IF(U$33="LLC",Y42,Y40))</f>
        <v>Equity</v>
      </c>
      <c r="AA43" s="13">
        <v>9</v>
      </c>
      <c r="AB43" s="13">
        <f>SUM(AA$35:AA43)</f>
        <v>45</v>
      </c>
      <c r="AC43" s="40">
        <f t="shared" si="5"/>
        <v>9</v>
      </c>
      <c r="AF43" s="101" t="s">
        <v>207</v>
      </c>
      <c r="AG43" s="40" t="s">
        <v>604</v>
      </c>
      <c r="AI43" s="40">
        <f>SUBTOTAL(109,Input!A1343:A1402)</f>
        <v>0</v>
      </c>
      <c r="AK43" s="1575">
        <f>AK45</f>
        <v>0</v>
      </c>
      <c r="AM43" s="1576" t="str">
        <f>IF(AND(AM45&gt;0,Input!$D$20="",Input!$AD$21=""),"Sales","")</f>
        <v/>
      </c>
      <c r="AR43" s="1576" t="str">
        <f>IF(AND(AR45&gt;0,Input!$D$20="",Input!$AD$21=""),"Personnel","")</f>
        <v/>
      </c>
      <c r="AW43" s="1576" t="str">
        <f>IF(AND(AW45&gt;0,Input!$D$20="",Input!$AD$21=""),"Expenses","")</f>
        <v/>
      </c>
      <c r="BB43" s="1576" t="str">
        <f>IF(AND(BB45&gt;0,Input!$D$20="",Input!$AD$21=""),"CapEx","")</f>
        <v/>
      </c>
      <c r="BG43" s="1576" t="str">
        <f>IF(AND(BG45&gt;0,Input!$D$20="",Input!$AD$21=""),"Financing","")</f>
        <v/>
      </c>
      <c r="BI43" s="1028" t="s">
        <v>605</v>
      </c>
    </row>
    <row r="44" spans="1:76" x14ac:dyDescent="0.3">
      <c r="A44" s="40">
        <v>35</v>
      </c>
      <c r="B44" s="485">
        <f t="shared" si="2"/>
        <v>45991</v>
      </c>
      <c r="C44" s="40">
        <v>-26</v>
      </c>
      <c r="D44" s="485">
        <f t="shared" si="0"/>
        <v>0</v>
      </c>
      <c r="E44" s="485">
        <f t="shared" si="1"/>
        <v>45991</v>
      </c>
      <c r="R44" s="207"/>
      <c r="AA44" s="40">
        <v>10</v>
      </c>
      <c r="AB44" s="13">
        <f>SUM(AA$35:AA44)</f>
        <v>55</v>
      </c>
      <c r="AC44" s="40">
        <f t="shared" si="5"/>
        <v>10</v>
      </c>
      <c r="AF44" s="101"/>
      <c r="AM44" s="68">
        <f>IF(AND(AM45&gt;0,AM45&lt;$Y$6),"Sales",0)</f>
        <v>0</v>
      </c>
      <c r="AN44" s="14"/>
      <c r="AO44" s="14"/>
      <c r="AP44" s="14"/>
      <c r="AQ44" s="14"/>
      <c r="AR44" s="14">
        <f>IF(AND(AR45&gt;0,AR45&lt;$Y$6),"Personnel",0)</f>
        <v>0</v>
      </c>
      <c r="AS44" s="14"/>
      <c r="AT44" s="14"/>
      <c r="AU44" s="14"/>
      <c r="AV44" s="14"/>
      <c r="AW44" s="14">
        <f>IF(AND(AW45&gt;0,AW45&lt;$Y$6),"Expenses",0)</f>
        <v>0</v>
      </c>
      <c r="BB44" s="14">
        <f>IF(AND(BB45&gt;0,BB45&lt;$Y$6),"CapEx",0)</f>
        <v>0</v>
      </c>
      <c r="BG44" s="14">
        <f>IF(AND(BG45&gt;0,BG45&lt;$Y$6),"Financing",0)</f>
        <v>0</v>
      </c>
      <c r="BI44" s="40" t="str">
        <f>IF(BL39=0,"Once you start entering your info, your numbers will appear here.","")</f>
        <v>Once you start entering your info, your numbers will appear here.</v>
      </c>
    </row>
    <row r="45" spans="1:76" x14ac:dyDescent="0.3">
      <c r="A45" s="40">
        <v>36</v>
      </c>
      <c r="B45" s="485">
        <f t="shared" si="2"/>
        <v>46022</v>
      </c>
      <c r="C45" s="40">
        <v>-25</v>
      </c>
      <c r="D45" s="485">
        <f t="shared" si="0"/>
        <v>0</v>
      </c>
      <c r="E45" s="485">
        <f t="shared" si="1"/>
        <v>46022</v>
      </c>
      <c r="R45" s="207"/>
      <c r="AA45" s="13">
        <v>11</v>
      </c>
      <c r="AB45" s="13">
        <f>SUM(AA$35:AA45)</f>
        <v>66</v>
      </c>
      <c r="AC45" s="40">
        <f t="shared" si="5"/>
        <v>11</v>
      </c>
      <c r="AF45" s="101"/>
      <c r="AK45" s="697">
        <f>IFERROR(SMALL(AM45:AW45,COUNTIF(AM45:AW45,0)+1),0)</f>
        <v>0</v>
      </c>
      <c r="AL45" s="40">
        <f>IF(AND(COUNTIF(AM45:AW45,"&gt;0"),AK45&lt;Y6),COUNTIF(AM45:AW45,"&gt;0"),0)</f>
        <v>0</v>
      </c>
      <c r="AM45" s="207">
        <f>IFERROR(SMALL(AM48:AM72,COUNTIF(AM48:AM72,0)+1),0)</f>
        <v>0</v>
      </c>
      <c r="AR45" s="207">
        <f>IFERROR(SMALL(AR48:AR107,COUNTIF(AR48:AR107,0)+1),0)</f>
        <v>0</v>
      </c>
      <c r="AW45" s="207">
        <f>IFERROR(SMALL(AW48:AW107,COUNTIF(AW48:AW107,0)+1),0)</f>
        <v>0</v>
      </c>
      <c r="BB45" s="207">
        <f>IFERROR(SMALL(BB48:BB77,COUNTIF(BB48:BB77,0)+1),0)</f>
        <v>0</v>
      </c>
      <c r="BG45" s="207">
        <f>IFERROR(SMALL(BG48:BG66,COUNTIF(BG48:BG66,0)+1),0)</f>
        <v>0</v>
      </c>
    </row>
    <row r="46" spans="1:76" x14ac:dyDescent="0.3">
      <c r="A46" s="40">
        <v>37</v>
      </c>
      <c r="B46" s="485">
        <f t="shared" si="2"/>
        <v>46053</v>
      </c>
      <c r="C46" s="40">
        <v>-24</v>
      </c>
      <c r="D46" s="485">
        <f t="shared" si="0"/>
        <v>0</v>
      </c>
      <c r="E46" s="485">
        <f t="shared" si="1"/>
        <v>46053</v>
      </c>
      <c r="R46" s="207"/>
      <c r="AA46" s="13">
        <v>12</v>
      </c>
      <c r="AB46" s="13">
        <f>SUM(AA$35:AA46)</f>
        <v>78</v>
      </c>
      <c r="AC46" s="40">
        <f t="shared" si="5"/>
        <v>12</v>
      </c>
      <c r="AG46" s="399" t="s">
        <v>136</v>
      </c>
      <c r="AH46" s="399" t="s">
        <v>210</v>
      </c>
    </row>
    <row r="47" spans="1:76" x14ac:dyDescent="0.3">
      <c r="A47" s="40">
        <v>38</v>
      </c>
      <c r="B47" s="485">
        <f t="shared" si="2"/>
        <v>46081</v>
      </c>
      <c r="C47" s="40">
        <v>-23</v>
      </c>
      <c r="D47" s="485">
        <f t="shared" si="0"/>
        <v>0</v>
      </c>
      <c r="E47" s="485">
        <f t="shared" si="1"/>
        <v>46081</v>
      </c>
      <c r="R47" s="207"/>
      <c r="AA47" s="40">
        <v>13</v>
      </c>
      <c r="AB47" s="13">
        <f>SUM(AA$35:AA47)</f>
        <v>91</v>
      </c>
      <c r="AC47" s="40">
        <f t="shared" si="5"/>
        <v>13</v>
      </c>
      <c r="AF47" s="68" t="s">
        <v>207</v>
      </c>
      <c r="AJ47" s="14" t="s">
        <v>0</v>
      </c>
      <c r="AK47" s="399" t="s">
        <v>137</v>
      </c>
      <c r="AL47" s="399" t="s">
        <v>3</v>
      </c>
      <c r="AM47" s="399" t="s">
        <v>606</v>
      </c>
      <c r="AO47" s="14" t="s">
        <v>134</v>
      </c>
      <c r="AP47" s="399" t="s">
        <v>137</v>
      </c>
      <c r="AQ47" s="399" t="s">
        <v>227</v>
      </c>
      <c r="AR47" s="399" t="s">
        <v>606</v>
      </c>
      <c r="AT47" s="14" t="s">
        <v>67</v>
      </c>
      <c r="AU47" s="399" t="s">
        <v>137</v>
      </c>
      <c r="AV47" s="399" t="s">
        <v>161</v>
      </c>
      <c r="AW47" s="399" t="s">
        <v>606</v>
      </c>
      <c r="AY47" s="14" t="s">
        <v>162</v>
      </c>
      <c r="AZ47" s="399" t="s">
        <v>137</v>
      </c>
      <c r="BA47" s="399" t="s">
        <v>161</v>
      </c>
      <c r="BB47" s="399" t="s">
        <v>606</v>
      </c>
      <c r="BD47" s="14" t="s">
        <v>173</v>
      </c>
      <c r="BE47" s="399" t="s">
        <v>137</v>
      </c>
      <c r="BF47" s="399" t="s">
        <v>161</v>
      </c>
      <c r="BG47" s="399" t="s">
        <v>606</v>
      </c>
    </row>
    <row r="48" spans="1:76" x14ac:dyDescent="0.3">
      <c r="A48" s="40">
        <v>39</v>
      </c>
      <c r="B48" s="485">
        <f t="shared" si="2"/>
        <v>46112</v>
      </c>
      <c r="C48" s="40">
        <v>-22</v>
      </c>
      <c r="D48" s="485">
        <f t="shared" si="0"/>
        <v>0</v>
      </c>
      <c r="E48" s="485">
        <f t="shared" si="1"/>
        <v>46112</v>
      </c>
      <c r="R48" s="207"/>
      <c r="AA48" s="13">
        <v>14</v>
      </c>
      <c r="AB48" s="13">
        <f>SUM(AA$35:AA48)</f>
        <v>105</v>
      </c>
      <c r="AC48" s="40">
        <f t="shared" si="5"/>
        <v>14</v>
      </c>
      <c r="AJ48" s="40">
        <v>1</v>
      </c>
      <c r="AK48" s="207">
        <f>Input!$D$60</f>
        <v>0</v>
      </c>
      <c r="AL48" s="62">
        <f>Input!D$41*Input!D$60*Input!D$62</f>
        <v>0</v>
      </c>
      <c r="AM48" s="207">
        <f>IF(AL48&gt;0,AK48,0)</f>
        <v>0</v>
      </c>
      <c r="AO48" s="40">
        <v>1</v>
      </c>
      <c r="AP48" s="207">
        <f>Input!H89</f>
        <v>0</v>
      </c>
      <c r="AQ48" s="62">
        <f>Input!G89</f>
        <v>0</v>
      </c>
      <c r="AR48" s="207">
        <f t="shared" ref="AR48:AR107" si="9">IF(AQ48&gt;0,AP48,0)</f>
        <v>0</v>
      </c>
      <c r="AT48" s="40">
        <v>1</v>
      </c>
      <c r="AU48" s="207">
        <f>Input!I167</f>
        <v>0</v>
      </c>
      <c r="AV48" s="62">
        <f>Input!H167</f>
        <v>0</v>
      </c>
      <c r="AW48" s="207">
        <f t="shared" ref="AW48:AW107" si="10">IF(AV48&gt;0,AU48,0)</f>
        <v>0</v>
      </c>
      <c r="AY48" s="40">
        <v>1</v>
      </c>
      <c r="AZ48" s="207">
        <f>Input!H239</f>
        <v>0</v>
      </c>
      <c r="BA48" s="62">
        <f>Input!G239</f>
        <v>0</v>
      </c>
      <c r="BB48" s="207">
        <f t="shared" ref="BB48:BB77" si="11">IF(BA48&gt;0,AZ48,0)</f>
        <v>0</v>
      </c>
      <c r="BD48" s="40">
        <v>1</v>
      </c>
      <c r="BE48" s="207">
        <f>Input!H279</f>
        <v>0</v>
      </c>
      <c r="BF48" s="62">
        <f>Input!G279</f>
        <v>0</v>
      </c>
      <c r="BG48" s="207">
        <f t="shared" ref="BG48:BG66" si="12">IF(BF48&gt;0,BE48,0)</f>
        <v>0</v>
      </c>
    </row>
    <row r="49" spans="1:63" ht="13.5" thickBot="1" x14ac:dyDescent="0.35">
      <c r="A49" s="40">
        <v>40</v>
      </c>
      <c r="B49" s="485">
        <f t="shared" si="2"/>
        <v>46142</v>
      </c>
      <c r="C49" s="40">
        <v>-21</v>
      </c>
      <c r="D49" s="485">
        <f t="shared" si="0"/>
        <v>0</v>
      </c>
      <c r="E49" s="485">
        <f t="shared" si="1"/>
        <v>46142</v>
      </c>
      <c r="R49" s="207"/>
      <c r="AA49" s="13">
        <v>15</v>
      </c>
      <c r="AB49" s="13">
        <f>SUM(AA$35:AA49)</f>
        <v>120</v>
      </c>
      <c r="AC49" s="40">
        <f t="shared" si="5"/>
        <v>15</v>
      </c>
      <c r="AJ49" s="40">
        <v>2</v>
      </c>
      <c r="AK49" s="207">
        <f>Input!$E$60</f>
        <v>0</v>
      </c>
      <c r="AL49" s="62">
        <f>Input!E$41*Input!E$60*Input!E$62</f>
        <v>0</v>
      </c>
      <c r="AM49" s="207">
        <f t="shared" ref="AM49:AM72" si="13">IF(AL49&gt;0,AK49,0)</f>
        <v>0</v>
      </c>
      <c r="AO49" s="40">
        <v>2</v>
      </c>
      <c r="AP49" s="207">
        <f>Input!H90</f>
        <v>0</v>
      </c>
      <c r="AQ49" s="62">
        <f>Input!G90</f>
        <v>0</v>
      </c>
      <c r="AR49" s="207">
        <f t="shared" si="9"/>
        <v>0</v>
      </c>
      <c r="AT49" s="40">
        <v>2</v>
      </c>
      <c r="AU49" s="207">
        <f>Input!I168</f>
        <v>0</v>
      </c>
      <c r="AV49" s="62">
        <f>Input!H168</f>
        <v>0</v>
      </c>
      <c r="AW49" s="207">
        <f t="shared" si="10"/>
        <v>0</v>
      </c>
      <c r="AY49" s="40">
        <v>2</v>
      </c>
      <c r="AZ49" s="207">
        <f>Input!H240</f>
        <v>0</v>
      </c>
      <c r="BA49" s="62">
        <f>Input!G240</f>
        <v>0</v>
      </c>
      <c r="BB49" s="207">
        <f t="shared" si="11"/>
        <v>0</v>
      </c>
      <c r="BD49" s="40">
        <v>2</v>
      </c>
      <c r="BE49" s="207">
        <f>Input!H280</f>
        <v>0</v>
      </c>
      <c r="BF49" s="62">
        <f>Input!G280</f>
        <v>0</v>
      </c>
      <c r="BG49" s="207">
        <f t="shared" si="12"/>
        <v>0</v>
      </c>
    </row>
    <row r="50" spans="1:63" x14ac:dyDescent="0.3">
      <c r="A50" s="40">
        <v>41</v>
      </c>
      <c r="B50" s="485">
        <f t="shared" si="2"/>
        <v>46173</v>
      </c>
      <c r="C50" s="40">
        <v>-20</v>
      </c>
      <c r="D50" s="485">
        <f t="shared" si="0"/>
        <v>0</v>
      </c>
      <c r="E50" s="485">
        <f t="shared" si="1"/>
        <v>46173</v>
      </c>
      <c r="R50" s="207"/>
      <c r="AA50" s="40">
        <v>16</v>
      </c>
      <c r="AB50" s="13">
        <f>SUM(AA$35:AA50)</f>
        <v>136</v>
      </c>
      <c r="AC50" s="40">
        <f t="shared" si="5"/>
        <v>16</v>
      </c>
      <c r="AJ50" s="40">
        <v>3</v>
      </c>
      <c r="AK50" s="207">
        <f>Input!$F$60</f>
        <v>0</v>
      </c>
      <c r="AL50" s="62">
        <f>Input!F$41*Input!F$60*Input!F$62</f>
        <v>0</v>
      </c>
      <c r="AM50" s="207">
        <f t="shared" si="13"/>
        <v>0</v>
      </c>
      <c r="AO50" s="40">
        <v>3</v>
      </c>
      <c r="AP50" s="207">
        <f>Input!H91</f>
        <v>0</v>
      </c>
      <c r="AQ50" s="62">
        <f>Input!G91</f>
        <v>0</v>
      </c>
      <c r="AR50" s="207">
        <f t="shared" si="9"/>
        <v>0</v>
      </c>
      <c r="AT50" s="40">
        <v>3</v>
      </c>
      <c r="AU50" s="207">
        <f>Input!I169</f>
        <v>0</v>
      </c>
      <c r="AV50" s="62">
        <f>Input!H169</f>
        <v>0</v>
      </c>
      <c r="AW50" s="207">
        <f t="shared" si="10"/>
        <v>0</v>
      </c>
      <c r="AY50" s="40">
        <v>3</v>
      </c>
      <c r="AZ50" s="207">
        <f>Input!H241</f>
        <v>0</v>
      </c>
      <c r="BA50" s="62">
        <f>Input!G241</f>
        <v>0</v>
      </c>
      <c r="BB50" s="207">
        <f t="shared" si="11"/>
        <v>0</v>
      </c>
      <c r="BD50" s="40">
        <v>3</v>
      </c>
      <c r="BE50" s="207">
        <f>Input!H281</f>
        <v>0</v>
      </c>
      <c r="BF50" s="62">
        <f>Input!G281</f>
        <v>0</v>
      </c>
      <c r="BG50" s="207">
        <f t="shared" si="12"/>
        <v>0</v>
      </c>
      <c r="BK50" s="1577"/>
    </row>
    <row r="51" spans="1:63" x14ac:dyDescent="0.3">
      <c r="A51" s="40">
        <v>42</v>
      </c>
      <c r="B51" s="485">
        <f t="shared" si="2"/>
        <v>46203</v>
      </c>
      <c r="C51" s="40">
        <v>-19</v>
      </c>
      <c r="D51" s="485">
        <f t="shared" si="0"/>
        <v>0</v>
      </c>
      <c r="E51" s="485">
        <f t="shared" si="1"/>
        <v>46203</v>
      </c>
      <c r="R51" s="207"/>
      <c r="AA51" s="13">
        <v>17</v>
      </c>
      <c r="AB51" s="13">
        <f>SUM(AA$35:AA51)</f>
        <v>153</v>
      </c>
      <c r="AC51" s="40">
        <f t="shared" si="5"/>
        <v>17</v>
      </c>
      <c r="AJ51" s="40">
        <v>4</v>
      </c>
      <c r="AK51" s="207">
        <f>Input!$G$60</f>
        <v>0</v>
      </c>
      <c r="AL51" s="62">
        <f>Input!G$41*Input!G$60*Input!G$62</f>
        <v>0</v>
      </c>
      <c r="AM51" s="207">
        <f t="shared" si="13"/>
        <v>0</v>
      </c>
      <c r="AO51" s="40">
        <v>4</v>
      </c>
      <c r="AP51" s="207">
        <f>Input!H92</f>
        <v>0</v>
      </c>
      <c r="AQ51" s="62">
        <f>Input!G92</f>
        <v>0</v>
      </c>
      <c r="AR51" s="207">
        <f t="shared" si="9"/>
        <v>0</v>
      </c>
      <c r="AT51" s="40">
        <v>4</v>
      </c>
      <c r="AU51" s="207">
        <f>Input!I170</f>
        <v>0</v>
      </c>
      <c r="AV51" s="62">
        <f>Input!H170</f>
        <v>0</v>
      </c>
      <c r="AW51" s="207">
        <f t="shared" si="10"/>
        <v>0</v>
      </c>
      <c r="AY51" s="40">
        <v>4</v>
      </c>
      <c r="AZ51" s="207">
        <f>Input!H242</f>
        <v>0</v>
      </c>
      <c r="BA51" s="62">
        <f>Input!G242</f>
        <v>0</v>
      </c>
      <c r="BB51" s="207">
        <f t="shared" si="11"/>
        <v>0</v>
      </c>
      <c r="BD51" s="40">
        <v>4</v>
      </c>
      <c r="BE51" s="207">
        <f>Input!H282</f>
        <v>0</v>
      </c>
      <c r="BF51" s="62">
        <f>Input!G282</f>
        <v>0</v>
      </c>
      <c r="BG51" s="207">
        <f t="shared" si="12"/>
        <v>0</v>
      </c>
    </row>
    <row r="52" spans="1:63" x14ac:dyDescent="0.3">
      <c r="A52" s="40">
        <v>43</v>
      </c>
      <c r="B52" s="485">
        <f t="shared" si="2"/>
        <v>46234</v>
      </c>
      <c r="C52" s="40">
        <v>-18</v>
      </c>
      <c r="D52" s="485">
        <f t="shared" si="0"/>
        <v>0</v>
      </c>
      <c r="E52" s="485">
        <f t="shared" si="1"/>
        <v>46234</v>
      </c>
      <c r="R52" s="207"/>
      <c r="AA52" s="40">
        <v>18</v>
      </c>
      <c r="AB52" s="13">
        <f>SUM(AA$35:AA52)</f>
        <v>171</v>
      </c>
      <c r="AC52" s="40">
        <f t="shared" si="5"/>
        <v>18</v>
      </c>
      <c r="AJ52" s="40">
        <v>5</v>
      </c>
      <c r="AK52" s="207">
        <f>Input!$H$60</f>
        <v>0</v>
      </c>
      <c r="AL52" s="62">
        <f>Input!H$41*Input!H$60*Input!H$62</f>
        <v>0</v>
      </c>
      <c r="AM52" s="207">
        <f t="shared" si="13"/>
        <v>0</v>
      </c>
      <c r="AO52" s="40">
        <v>5</v>
      </c>
      <c r="AP52" s="207">
        <f>Input!H93</f>
        <v>0</v>
      </c>
      <c r="AQ52" s="62">
        <f>Input!G93</f>
        <v>0</v>
      </c>
      <c r="AR52" s="207">
        <f t="shared" si="9"/>
        <v>0</v>
      </c>
      <c r="AT52" s="40">
        <v>5</v>
      </c>
      <c r="AU52" s="207">
        <f>Input!I171</f>
        <v>0</v>
      </c>
      <c r="AV52" s="62">
        <f>Input!H171</f>
        <v>0</v>
      </c>
      <c r="AW52" s="207">
        <f t="shared" si="10"/>
        <v>0</v>
      </c>
      <c r="AY52" s="40">
        <v>5</v>
      </c>
      <c r="AZ52" s="207">
        <f>Input!H243</f>
        <v>0</v>
      </c>
      <c r="BA52" s="62">
        <f>Input!G243</f>
        <v>0</v>
      </c>
      <c r="BB52" s="207">
        <f t="shared" si="11"/>
        <v>0</v>
      </c>
      <c r="BD52" s="40">
        <v>5</v>
      </c>
      <c r="BE52" s="207">
        <f>Input!H283</f>
        <v>0</v>
      </c>
      <c r="BF52" s="62">
        <f>Input!G283</f>
        <v>0</v>
      </c>
      <c r="BG52" s="207">
        <f t="shared" si="12"/>
        <v>0</v>
      </c>
    </row>
    <row r="53" spans="1:63" x14ac:dyDescent="0.3">
      <c r="A53" s="40">
        <v>44</v>
      </c>
      <c r="B53" s="485">
        <f t="shared" si="2"/>
        <v>46265</v>
      </c>
      <c r="C53" s="40">
        <v>-17</v>
      </c>
      <c r="D53" s="485">
        <f t="shared" si="0"/>
        <v>0</v>
      </c>
      <c r="E53" s="485">
        <f t="shared" si="1"/>
        <v>46265</v>
      </c>
      <c r="R53" s="207"/>
      <c r="AA53" s="13">
        <v>19</v>
      </c>
      <c r="AB53" s="13">
        <f>SUM(AA$35:AA53)</f>
        <v>190</v>
      </c>
      <c r="AC53" s="40">
        <f t="shared" si="5"/>
        <v>19</v>
      </c>
      <c r="AJ53" s="40">
        <v>6</v>
      </c>
      <c r="AK53" s="207">
        <f>Input!$I$60</f>
        <v>0</v>
      </c>
      <c r="AL53" s="62">
        <f>Input!I$41*Input!I$60*Input!I$62</f>
        <v>0</v>
      </c>
      <c r="AM53" s="207">
        <f t="shared" si="13"/>
        <v>0</v>
      </c>
      <c r="AO53" s="40">
        <v>6</v>
      </c>
      <c r="AP53" s="207">
        <f>Input!H94</f>
        <v>0</v>
      </c>
      <c r="AQ53" s="62">
        <f>Input!G94</f>
        <v>0</v>
      </c>
      <c r="AR53" s="207">
        <f t="shared" si="9"/>
        <v>0</v>
      </c>
      <c r="AT53" s="40">
        <v>6</v>
      </c>
      <c r="AU53" s="207">
        <f>Input!I172</f>
        <v>0</v>
      </c>
      <c r="AV53" s="62">
        <f>Input!H172</f>
        <v>0</v>
      </c>
      <c r="AW53" s="207">
        <f t="shared" si="10"/>
        <v>0</v>
      </c>
      <c r="AY53" s="40">
        <v>6</v>
      </c>
      <c r="AZ53" s="207">
        <f>Input!H244</f>
        <v>0</v>
      </c>
      <c r="BA53" s="62">
        <f>Input!G244</f>
        <v>0</v>
      </c>
      <c r="BB53" s="207">
        <f t="shared" si="11"/>
        <v>0</v>
      </c>
      <c r="BD53" s="40">
        <v>6</v>
      </c>
      <c r="BE53" s="207">
        <f>Input!H284</f>
        <v>0</v>
      </c>
      <c r="BF53" s="62">
        <f>Input!G284</f>
        <v>0</v>
      </c>
      <c r="BG53" s="207">
        <f t="shared" si="12"/>
        <v>0</v>
      </c>
    </row>
    <row r="54" spans="1:63" x14ac:dyDescent="0.3">
      <c r="A54" s="40">
        <v>45</v>
      </c>
      <c r="B54" s="485">
        <f t="shared" si="2"/>
        <v>46295</v>
      </c>
      <c r="C54" s="40">
        <v>-16</v>
      </c>
      <c r="D54" s="485">
        <f t="shared" si="0"/>
        <v>0</v>
      </c>
      <c r="E54" s="485">
        <f t="shared" si="1"/>
        <v>46295</v>
      </c>
      <c r="R54" s="207"/>
      <c r="AA54" s="40">
        <v>20</v>
      </c>
      <c r="AB54" s="13">
        <f>SUM(AA$35:AA54)</f>
        <v>210</v>
      </c>
      <c r="AC54" s="40">
        <f t="shared" si="5"/>
        <v>20</v>
      </c>
      <c r="AJ54" s="40">
        <v>7</v>
      </c>
      <c r="AK54" s="207">
        <f>Input!$J$60</f>
        <v>0</v>
      </c>
      <c r="AL54" s="62">
        <f>Input!J$41*Input!J$60*Input!J$62</f>
        <v>0</v>
      </c>
      <c r="AM54" s="207">
        <f t="shared" si="13"/>
        <v>0</v>
      </c>
      <c r="AO54" s="40">
        <v>7</v>
      </c>
      <c r="AP54" s="207">
        <f>Input!H95</f>
        <v>0</v>
      </c>
      <c r="AQ54" s="62">
        <f>Input!G95</f>
        <v>0</v>
      </c>
      <c r="AR54" s="207">
        <f t="shared" si="9"/>
        <v>0</v>
      </c>
      <c r="AT54" s="40">
        <v>7</v>
      </c>
      <c r="AU54" s="207">
        <f>Input!I173</f>
        <v>0</v>
      </c>
      <c r="AV54" s="62">
        <f>Input!H173</f>
        <v>0</v>
      </c>
      <c r="AW54" s="207">
        <f t="shared" si="10"/>
        <v>0</v>
      </c>
      <c r="AY54" s="40">
        <v>7</v>
      </c>
      <c r="AZ54" s="207">
        <f>Input!H245</f>
        <v>0</v>
      </c>
      <c r="BA54" s="62">
        <f>Input!G245</f>
        <v>0</v>
      </c>
      <c r="BB54" s="207">
        <f t="shared" si="11"/>
        <v>0</v>
      </c>
      <c r="BD54" s="40">
        <v>7</v>
      </c>
      <c r="BE54" s="207">
        <f>Input!H285</f>
        <v>0</v>
      </c>
      <c r="BF54" s="62">
        <f>Input!G285</f>
        <v>0</v>
      </c>
      <c r="BG54" s="207">
        <f t="shared" si="12"/>
        <v>0</v>
      </c>
    </row>
    <row r="55" spans="1:63" x14ac:dyDescent="0.3">
      <c r="A55" s="40">
        <v>46</v>
      </c>
      <c r="B55" s="485">
        <f t="shared" si="2"/>
        <v>46326</v>
      </c>
      <c r="C55" s="40">
        <v>-15</v>
      </c>
      <c r="D55" s="485">
        <f t="shared" si="0"/>
        <v>0</v>
      </c>
      <c r="E55" s="485">
        <f t="shared" si="1"/>
        <v>46326</v>
      </c>
      <c r="R55" s="207"/>
      <c r="AA55" s="13">
        <v>21</v>
      </c>
      <c r="AB55" s="13">
        <f>SUM(AA$35:AA55)</f>
        <v>231</v>
      </c>
      <c r="AC55" s="40">
        <f t="shared" si="5"/>
        <v>21</v>
      </c>
      <c r="AJ55" s="40">
        <v>8</v>
      </c>
      <c r="AK55" s="207">
        <f>Input!$K$60</f>
        <v>0</v>
      </c>
      <c r="AL55" s="62">
        <f>Input!K$41*Input!K$60*Input!K$62</f>
        <v>0</v>
      </c>
      <c r="AM55" s="207">
        <f t="shared" si="13"/>
        <v>0</v>
      </c>
      <c r="AO55" s="40">
        <v>8</v>
      </c>
      <c r="AP55" s="207">
        <f>Input!H96</f>
        <v>0</v>
      </c>
      <c r="AQ55" s="62">
        <f>Input!G96</f>
        <v>0</v>
      </c>
      <c r="AR55" s="207">
        <f t="shared" si="9"/>
        <v>0</v>
      </c>
      <c r="AT55" s="40">
        <v>8</v>
      </c>
      <c r="AU55" s="207">
        <f>Input!I174</f>
        <v>0</v>
      </c>
      <c r="AV55" s="62">
        <f>Input!H174</f>
        <v>0</v>
      </c>
      <c r="AW55" s="207">
        <f t="shared" si="10"/>
        <v>0</v>
      </c>
      <c r="AY55" s="40">
        <v>8</v>
      </c>
      <c r="AZ55" s="207">
        <f>Input!H246</f>
        <v>0</v>
      </c>
      <c r="BA55" s="62">
        <f>Input!G246</f>
        <v>0</v>
      </c>
      <c r="BB55" s="207">
        <f t="shared" si="11"/>
        <v>0</v>
      </c>
      <c r="BD55" s="40">
        <v>8</v>
      </c>
      <c r="BE55" s="207">
        <f>Input!H286</f>
        <v>0</v>
      </c>
      <c r="BF55" s="62">
        <f>Input!G286</f>
        <v>0</v>
      </c>
      <c r="BG55" s="207">
        <f t="shared" si="12"/>
        <v>0</v>
      </c>
    </row>
    <row r="56" spans="1:63" x14ac:dyDescent="0.3">
      <c r="A56" s="40">
        <v>47</v>
      </c>
      <c r="B56" s="485">
        <f t="shared" si="2"/>
        <v>46356</v>
      </c>
      <c r="C56" s="40">
        <v>-14</v>
      </c>
      <c r="D56" s="485">
        <f t="shared" si="0"/>
        <v>0</v>
      </c>
      <c r="E56" s="485">
        <f t="shared" si="1"/>
        <v>46356</v>
      </c>
      <c r="R56" s="207"/>
      <c r="AA56" s="13">
        <v>22</v>
      </c>
      <c r="AB56" s="13">
        <f>SUM(AA$35:AA56)</f>
        <v>253</v>
      </c>
      <c r="AC56" s="40">
        <f t="shared" si="5"/>
        <v>22</v>
      </c>
      <c r="AJ56" s="40">
        <v>9</v>
      </c>
      <c r="AK56" s="207">
        <f>Input!$L$60</f>
        <v>0</v>
      </c>
      <c r="AL56" s="62">
        <f>Input!L$41*Input!L$60*Input!L$62</f>
        <v>0</v>
      </c>
      <c r="AM56" s="207">
        <f t="shared" si="13"/>
        <v>0</v>
      </c>
      <c r="AO56" s="40">
        <v>9</v>
      </c>
      <c r="AP56" s="207">
        <f>Input!H97</f>
        <v>0</v>
      </c>
      <c r="AQ56" s="62">
        <f>Input!G97</f>
        <v>0</v>
      </c>
      <c r="AR56" s="207">
        <f t="shared" si="9"/>
        <v>0</v>
      </c>
      <c r="AT56" s="40">
        <v>9</v>
      </c>
      <c r="AU56" s="207">
        <f>Input!I175</f>
        <v>0</v>
      </c>
      <c r="AV56" s="62">
        <f>Input!H175</f>
        <v>0</v>
      </c>
      <c r="AW56" s="207">
        <f t="shared" si="10"/>
        <v>0</v>
      </c>
      <c r="AY56" s="40">
        <v>9</v>
      </c>
      <c r="AZ56" s="207">
        <f>Input!H247</f>
        <v>0</v>
      </c>
      <c r="BA56" s="62">
        <f>Input!G247</f>
        <v>0</v>
      </c>
      <c r="BB56" s="207">
        <f t="shared" si="11"/>
        <v>0</v>
      </c>
      <c r="BD56" s="40">
        <v>9</v>
      </c>
      <c r="BE56" s="207">
        <f>Input!H287</f>
        <v>0</v>
      </c>
      <c r="BF56" s="62">
        <f>Input!G287</f>
        <v>0</v>
      </c>
      <c r="BG56" s="207">
        <f t="shared" si="12"/>
        <v>0</v>
      </c>
    </row>
    <row r="57" spans="1:63" x14ac:dyDescent="0.3">
      <c r="A57" s="40">
        <v>48</v>
      </c>
      <c r="B57" s="485">
        <f t="shared" si="2"/>
        <v>46387</v>
      </c>
      <c r="C57" s="40">
        <v>-13</v>
      </c>
      <c r="D57" s="485">
        <f t="shared" si="0"/>
        <v>0</v>
      </c>
      <c r="E57" s="485">
        <f t="shared" si="1"/>
        <v>46387</v>
      </c>
      <c r="R57" s="207"/>
      <c r="AA57" s="40">
        <v>23</v>
      </c>
      <c r="AB57" s="13">
        <f>SUM(AA$35:AA57)</f>
        <v>276</v>
      </c>
      <c r="AC57" s="40">
        <f t="shared" si="5"/>
        <v>23</v>
      </c>
      <c r="AJ57" s="40">
        <v>10</v>
      </c>
      <c r="AK57" s="207">
        <f>Input!$M$60</f>
        <v>0</v>
      </c>
      <c r="AL57" s="62">
        <f>Input!M$41*Input!M$60*Input!M$62</f>
        <v>0</v>
      </c>
      <c r="AM57" s="207">
        <f t="shared" si="13"/>
        <v>0</v>
      </c>
      <c r="AO57" s="40">
        <v>10</v>
      </c>
      <c r="AP57" s="207">
        <f>Input!H98</f>
        <v>0</v>
      </c>
      <c r="AQ57" s="62">
        <f>Input!G98</f>
        <v>0</v>
      </c>
      <c r="AR57" s="207">
        <f t="shared" si="9"/>
        <v>0</v>
      </c>
      <c r="AT57" s="40">
        <v>10</v>
      </c>
      <c r="AU57" s="207">
        <f>Input!I176</f>
        <v>0</v>
      </c>
      <c r="AV57" s="62">
        <f>Input!H176</f>
        <v>0</v>
      </c>
      <c r="AW57" s="207">
        <f t="shared" si="10"/>
        <v>0</v>
      </c>
      <c r="AY57" s="40">
        <v>10</v>
      </c>
      <c r="AZ57" s="207">
        <f>Input!H248</f>
        <v>0</v>
      </c>
      <c r="BA57" s="62">
        <f>Input!G248</f>
        <v>0</v>
      </c>
      <c r="BB57" s="207">
        <f t="shared" si="11"/>
        <v>0</v>
      </c>
      <c r="BD57" s="40">
        <v>10</v>
      </c>
      <c r="BE57" s="207">
        <f>Input!H288</f>
        <v>0</v>
      </c>
      <c r="BF57" s="62">
        <f>Input!G288</f>
        <v>0</v>
      </c>
      <c r="BG57" s="207">
        <f t="shared" si="12"/>
        <v>0</v>
      </c>
    </row>
    <row r="58" spans="1:63" x14ac:dyDescent="0.3">
      <c r="A58" s="40">
        <v>49</v>
      </c>
      <c r="B58" s="485">
        <f t="shared" si="2"/>
        <v>46418</v>
      </c>
      <c r="C58" s="40">
        <v>-12</v>
      </c>
      <c r="D58" s="485">
        <f t="shared" si="0"/>
        <v>0</v>
      </c>
      <c r="E58" s="485">
        <f t="shared" si="1"/>
        <v>46418</v>
      </c>
      <c r="R58" s="207"/>
      <c r="AA58" s="13">
        <v>24</v>
      </c>
      <c r="AB58" s="13">
        <f>SUM(AA$35:AA58)</f>
        <v>300</v>
      </c>
      <c r="AC58" s="40">
        <f t="shared" si="5"/>
        <v>24</v>
      </c>
      <c r="AJ58" s="40">
        <v>11</v>
      </c>
      <c r="AK58" s="207">
        <f>Input!$N$60</f>
        <v>0</v>
      </c>
      <c r="AL58" s="62">
        <f>Input!N$41*Input!N$60*Input!N$62</f>
        <v>0</v>
      </c>
      <c r="AM58" s="207">
        <f t="shared" si="13"/>
        <v>0</v>
      </c>
      <c r="AO58" s="40">
        <v>11</v>
      </c>
      <c r="AP58" s="207">
        <f>Input!H108</f>
        <v>0</v>
      </c>
      <c r="AQ58" s="62">
        <f>Input!G108</f>
        <v>0</v>
      </c>
      <c r="AR58" s="207">
        <f t="shared" si="9"/>
        <v>0</v>
      </c>
      <c r="AT58" s="40">
        <v>11</v>
      </c>
      <c r="AU58" s="207">
        <f>Input!H184</f>
        <v>0</v>
      </c>
      <c r="AV58" s="62">
        <f>Input!G184</f>
        <v>0</v>
      </c>
      <c r="AW58" s="207">
        <f t="shared" si="10"/>
        <v>0</v>
      </c>
      <c r="AY58" s="40">
        <v>11</v>
      </c>
      <c r="AZ58" s="207">
        <f>Input!H249</f>
        <v>0</v>
      </c>
      <c r="BA58" s="62">
        <f>Input!G249</f>
        <v>0</v>
      </c>
      <c r="BB58" s="207">
        <f t="shared" si="11"/>
        <v>0</v>
      </c>
      <c r="BD58" s="40">
        <v>11</v>
      </c>
      <c r="BE58" s="207">
        <f>Input!Q279</f>
        <v>0</v>
      </c>
      <c r="BF58" s="62">
        <f>Input!P279</f>
        <v>0</v>
      </c>
      <c r="BG58" s="207">
        <f t="shared" si="12"/>
        <v>0</v>
      </c>
    </row>
    <row r="59" spans="1:63" x14ac:dyDescent="0.3">
      <c r="A59" s="40">
        <v>50</v>
      </c>
      <c r="B59" s="485">
        <f t="shared" si="2"/>
        <v>46446</v>
      </c>
      <c r="C59" s="40">
        <v>-11</v>
      </c>
      <c r="D59" s="485">
        <f t="shared" si="0"/>
        <v>0</v>
      </c>
      <c r="E59" s="485">
        <f t="shared" si="1"/>
        <v>46446</v>
      </c>
      <c r="R59" s="207"/>
      <c r="AA59" s="13">
        <v>25</v>
      </c>
      <c r="AB59" s="13">
        <f>SUM(AA$35:AA59)</f>
        <v>325</v>
      </c>
      <c r="AC59" s="40">
        <f t="shared" si="5"/>
        <v>25</v>
      </c>
      <c r="AJ59" s="40">
        <v>12</v>
      </c>
      <c r="AK59" s="207">
        <f>Input!$O$60</f>
        <v>0</v>
      </c>
      <c r="AL59" s="62">
        <f>Input!O$41*Input!O$60*Input!O$62</f>
        <v>0</v>
      </c>
      <c r="AM59" s="207">
        <f t="shared" si="13"/>
        <v>0</v>
      </c>
      <c r="AO59" s="40">
        <v>12</v>
      </c>
      <c r="AP59" s="207">
        <f>Input!H109</f>
        <v>0</v>
      </c>
      <c r="AQ59" s="62">
        <f>Input!G109</f>
        <v>0</v>
      </c>
      <c r="AR59" s="207">
        <f t="shared" si="9"/>
        <v>0</v>
      </c>
      <c r="AT59" s="40">
        <v>12</v>
      </c>
      <c r="AU59" s="207">
        <f>Input!H185</f>
        <v>0</v>
      </c>
      <c r="AV59" s="62">
        <f>Input!G185</f>
        <v>0</v>
      </c>
      <c r="AW59" s="207">
        <f t="shared" si="10"/>
        <v>0</v>
      </c>
      <c r="AY59" s="40">
        <v>12</v>
      </c>
      <c r="AZ59" s="207">
        <f>Input!H250</f>
        <v>0</v>
      </c>
      <c r="BA59" s="62">
        <f>Input!G250</f>
        <v>0</v>
      </c>
      <c r="BB59" s="207">
        <f t="shared" si="11"/>
        <v>0</v>
      </c>
      <c r="BD59" s="40">
        <v>12</v>
      </c>
      <c r="BE59" s="207">
        <f>Input!Q280</f>
        <v>0</v>
      </c>
      <c r="BF59" s="62">
        <f>Input!P280</f>
        <v>0</v>
      </c>
      <c r="BG59" s="207">
        <f t="shared" si="12"/>
        <v>0</v>
      </c>
    </row>
    <row r="60" spans="1:63" x14ac:dyDescent="0.3">
      <c r="A60" s="40">
        <v>51</v>
      </c>
      <c r="B60" s="485">
        <f t="shared" si="2"/>
        <v>46477</v>
      </c>
      <c r="C60" s="40">
        <v>-10</v>
      </c>
      <c r="D60" s="485">
        <f t="shared" ref="D60:D68" si="14">IF(D$70=0,0,EOMONTH(D61,-1))</f>
        <v>0</v>
      </c>
      <c r="E60" s="485">
        <f t="shared" si="1"/>
        <v>46477</v>
      </c>
      <c r="R60" s="207"/>
      <c r="AA60" s="40">
        <v>26</v>
      </c>
      <c r="AB60" s="13">
        <f>SUM(AA$35:AA60)</f>
        <v>351</v>
      </c>
      <c r="AC60" s="40">
        <f t="shared" si="5"/>
        <v>26</v>
      </c>
      <c r="AJ60" s="40">
        <v>13</v>
      </c>
      <c r="AK60" s="207">
        <f>Input!$P$60</f>
        <v>0</v>
      </c>
      <c r="AL60" s="62">
        <f>Input!P$41*Input!P$60*Input!P$62</f>
        <v>0</v>
      </c>
      <c r="AM60" s="207">
        <f t="shared" si="13"/>
        <v>0</v>
      </c>
      <c r="AO60" s="40">
        <v>13</v>
      </c>
      <c r="AP60" s="207">
        <f>Input!H110</f>
        <v>0</v>
      </c>
      <c r="AQ60" s="62">
        <f>Input!G110</f>
        <v>0</v>
      </c>
      <c r="AR60" s="207">
        <f t="shared" si="9"/>
        <v>0</v>
      </c>
      <c r="AT60" s="40">
        <v>13</v>
      </c>
      <c r="AU60" s="207">
        <f>Input!H186</f>
        <v>0</v>
      </c>
      <c r="AV60" s="62">
        <f>Input!G186</f>
        <v>0</v>
      </c>
      <c r="AW60" s="207">
        <f t="shared" si="10"/>
        <v>0</v>
      </c>
      <c r="AY60" s="40">
        <v>13</v>
      </c>
      <c r="AZ60" s="207">
        <f>Input!H251</f>
        <v>0</v>
      </c>
      <c r="BA60" s="62">
        <f>Input!G251</f>
        <v>0</v>
      </c>
      <c r="BB60" s="207">
        <f t="shared" si="11"/>
        <v>0</v>
      </c>
      <c r="BD60" s="40">
        <v>13</v>
      </c>
      <c r="BE60" s="207">
        <f>Input!Q281</f>
        <v>0</v>
      </c>
      <c r="BF60" s="62">
        <f>Input!P281</f>
        <v>0</v>
      </c>
      <c r="BG60" s="207">
        <f t="shared" si="12"/>
        <v>0</v>
      </c>
    </row>
    <row r="61" spans="1:63" x14ac:dyDescent="0.3">
      <c r="A61" s="40">
        <v>52</v>
      </c>
      <c r="B61" s="485">
        <f t="shared" si="2"/>
        <v>46507</v>
      </c>
      <c r="C61" s="40">
        <v>-9</v>
      </c>
      <c r="D61" s="485">
        <f t="shared" si="14"/>
        <v>0</v>
      </c>
      <c r="E61" s="485">
        <f t="shared" si="1"/>
        <v>46507</v>
      </c>
      <c r="R61" s="207"/>
      <c r="AA61" s="13">
        <v>27</v>
      </c>
      <c r="AB61" s="13">
        <f>SUM(AA$35:AA61)</f>
        <v>378</v>
      </c>
      <c r="AC61" s="40">
        <f t="shared" si="5"/>
        <v>27</v>
      </c>
      <c r="AJ61" s="40">
        <v>14</v>
      </c>
      <c r="AK61" s="207">
        <f>Input!$Q$60</f>
        <v>0</v>
      </c>
      <c r="AL61" s="62">
        <f>Input!Q$41*Input!Q$60*Input!Q$62</f>
        <v>0</v>
      </c>
      <c r="AM61" s="207">
        <f t="shared" si="13"/>
        <v>0</v>
      </c>
      <c r="AO61" s="40">
        <v>14</v>
      </c>
      <c r="AP61" s="207">
        <f>Input!H111</f>
        <v>0</v>
      </c>
      <c r="AQ61" s="62">
        <f>Input!G111</f>
        <v>0</v>
      </c>
      <c r="AR61" s="207">
        <f t="shared" si="9"/>
        <v>0</v>
      </c>
      <c r="AT61" s="40">
        <v>14</v>
      </c>
      <c r="AU61" s="207">
        <f>Input!H187</f>
        <v>0</v>
      </c>
      <c r="AV61" s="62">
        <f>Input!G187</f>
        <v>0</v>
      </c>
      <c r="AW61" s="207">
        <f t="shared" si="10"/>
        <v>0</v>
      </c>
      <c r="AY61" s="40">
        <v>14</v>
      </c>
      <c r="AZ61" s="207">
        <f>Input!H252</f>
        <v>0</v>
      </c>
      <c r="BA61" s="62">
        <f>Input!G252</f>
        <v>0</v>
      </c>
      <c r="BB61" s="207">
        <f t="shared" si="11"/>
        <v>0</v>
      </c>
      <c r="BD61" s="40">
        <v>14</v>
      </c>
      <c r="BE61" s="207">
        <f>Input!D298</f>
        <v>0</v>
      </c>
      <c r="BF61" s="62">
        <f>Input!D297</f>
        <v>0</v>
      </c>
      <c r="BG61" s="207">
        <f t="shared" si="12"/>
        <v>0</v>
      </c>
    </row>
    <row r="62" spans="1:63" x14ac:dyDescent="0.3">
      <c r="A62" s="40">
        <v>53</v>
      </c>
      <c r="B62" s="485">
        <f t="shared" si="2"/>
        <v>46538</v>
      </c>
      <c r="C62" s="40">
        <v>-8</v>
      </c>
      <c r="D62" s="485">
        <f t="shared" si="14"/>
        <v>0</v>
      </c>
      <c r="E62" s="485">
        <f t="shared" si="1"/>
        <v>46538</v>
      </c>
      <c r="R62" s="207"/>
      <c r="AA62" s="40">
        <v>28</v>
      </c>
      <c r="AB62" s="13">
        <f>SUM(AA$35:AA62)</f>
        <v>406</v>
      </c>
      <c r="AC62" s="40">
        <f t="shared" si="5"/>
        <v>28</v>
      </c>
      <c r="AJ62" s="40">
        <v>15</v>
      </c>
      <c r="AK62" s="207">
        <f>Input!$R$60</f>
        <v>0</v>
      </c>
      <c r="AL62" s="62">
        <f>Input!R$41*Input!R$60*Input!R$62</f>
        <v>0</v>
      </c>
      <c r="AM62" s="207">
        <f t="shared" si="13"/>
        <v>0</v>
      </c>
      <c r="AO62" s="40">
        <v>15</v>
      </c>
      <c r="AP62" s="207">
        <f>Input!H112</f>
        <v>0</v>
      </c>
      <c r="AQ62" s="62">
        <f>Input!G112</f>
        <v>0</v>
      </c>
      <c r="AR62" s="207">
        <f t="shared" si="9"/>
        <v>0</v>
      </c>
      <c r="AT62" s="40">
        <v>15</v>
      </c>
      <c r="AU62" s="207">
        <f>Input!H188</f>
        <v>0</v>
      </c>
      <c r="AV62" s="62">
        <f>Input!G188</f>
        <v>0</v>
      </c>
      <c r="AW62" s="207">
        <f t="shared" si="10"/>
        <v>0</v>
      </c>
      <c r="AY62" s="40">
        <v>15</v>
      </c>
      <c r="AZ62" s="207">
        <f>Input!H253</f>
        <v>0</v>
      </c>
      <c r="BA62" s="62">
        <f>Input!G253</f>
        <v>0</v>
      </c>
      <c r="BB62" s="207">
        <f t="shared" si="11"/>
        <v>0</v>
      </c>
      <c r="BD62" s="40">
        <v>15</v>
      </c>
      <c r="BE62" s="207">
        <f>Input!E298</f>
        <v>0</v>
      </c>
      <c r="BF62" s="62">
        <f>Input!E297</f>
        <v>0</v>
      </c>
      <c r="BG62" s="207">
        <f t="shared" si="12"/>
        <v>0</v>
      </c>
    </row>
    <row r="63" spans="1:63" x14ac:dyDescent="0.3">
      <c r="A63" s="40">
        <v>54</v>
      </c>
      <c r="B63" s="485">
        <f t="shared" si="2"/>
        <v>46568</v>
      </c>
      <c r="C63" s="40">
        <v>-7</v>
      </c>
      <c r="D63" s="485">
        <f t="shared" si="14"/>
        <v>0</v>
      </c>
      <c r="E63" s="485">
        <f t="shared" si="1"/>
        <v>46568</v>
      </c>
      <c r="R63" s="207"/>
      <c r="AA63" s="13">
        <v>29</v>
      </c>
      <c r="AB63" s="13">
        <f>SUM(AA$35:AA63)</f>
        <v>435</v>
      </c>
      <c r="AC63" s="40">
        <f t="shared" si="5"/>
        <v>29</v>
      </c>
      <c r="AJ63" s="40">
        <v>16</v>
      </c>
      <c r="AK63" s="207">
        <f>Input!$S$60</f>
        <v>0</v>
      </c>
      <c r="AL63" s="62">
        <f>Input!S$41*Input!S$60*Input!S$62</f>
        <v>0</v>
      </c>
      <c r="AM63" s="207">
        <f t="shared" si="13"/>
        <v>0</v>
      </c>
      <c r="AO63" s="40">
        <v>16</v>
      </c>
      <c r="AP63" s="207">
        <f>Input!H113</f>
        <v>0</v>
      </c>
      <c r="AQ63" s="62">
        <f>Input!G113</f>
        <v>0</v>
      </c>
      <c r="AR63" s="207">
        <f t="shared" si="9"/>
        <v>0</v>
      </c>
      <c r="AT63" s="40">
        <v>16</v>
      </c>
      <c r="AU63" s="207">
        <f>Input!H189</f>
        <v>0</v>
      </c>
      <c r="AV63" s="62">
        <f>Input!G189</f>
        <v>0</v>
      </c>
      <c r="AW63" s="207">
        <f t="shared" si="10"/>
        <v>0</v>
      </c>
      <c r="AY63" s="40">
        <v>16</v>
      </c>
      <c r="AZ63" s="207">
        <f>Input!H254</f>
        <v>0</v>
      </c>
      <c r="BA63" s="62">
        <f>Input!G254</f>
        <v>0</v>
      </c>
      <c r="BB63" s="207">
        <f t="shared" si="11"/>
        <v>0</v>
      </c>
      <c r="BD63" s="40">
        <v>16</v>
      </c>
      <c r="BE63" s="207">
        <f>Input!F298</f>
        <v>0</v>
      </c>
      <c r="BF63" s="62">
        <f>Input!F297</f>
        <v>0</v>
      </c>
      <c r="BG63" s="207">
        <f t="shared" si="12"/>
        <v>0</v>
      </c>
    </row>
    <row r="64" spans="1:63" x14ac:dyDescent="0.3">
      <c r="A64" s="40">
        <v>55</v>
      </c>
      <c r="B64" s="485">
        <f t="shared" si="2"/>
        <v>46599</v>
      </c>
      <c r="C64" s="40">
        <v>-6</v>
      </c>
      <c r="D64" s="485">
        <f t="shared" si="14"/>
        <v>0</v>
      </c>
      <c r="E64" s="485">
        <f t="shared" si="1"/>
        <v>46599</v>
      </c>
      <c r="R64" s="207"/>
      <c r="AA64" s="40">
        <v>30</v>
      </c>
      <c r="AB64" s="13">
        <f>SUM(AA$35:AA64)</f>
        <v>465</v>
      </c>
      <c r="AC64" s="40">
        <f t="shared" si="5"/>
        <v>30</v>
      </c>
      <c r="AJ64" s="40">
        <v>17</v>
      </c>
      <c r="AK64" s="207">
        <f>Input!$T$60</f>
        <v>0</v>
      </c>
      <c r="AL64" s="62">
        <f>Input!T$41*Input!T$60*Input!T$62</f>
        <v>0</v>
      </c>
      <c r="AM64" s="207">
        <f t="shared" si="13"/>
        <v>0</v>
      </c>
      <c r="AO64" s="40">
        <v>17</v>
      </c>
      <c r="AP64" s="207">
        <f>Input!H114</f>
        <v>0</v>
      </c>
      <c r="AQ64" s="62">
        <f>Input!G114</f>
        <v>0</v>
      </c>
      <c r="AR64" s="207">
        <f t="shared" si="9"/>
        <v>0</v>
      </c>
      <c r="AT64" s="40">
        <v>17</v>
      </c>
      <c r="AU64" s="207">
        <f>Input!H190</f>
        <v>0</v>
      </c>
      <c r="AV64" s="62">
        <f>Input!G190</f>
        <v>0</v>
      </c>
      <c r="AW64" s="207">
        <f t="shared" si="10"/>
        <v>0</v>
      </c>
      <c r="AY64" s="40">
        <v>17</v>
      </c>
      <c r="AZ64" s="207">
        <f>Input!H255</f>
        <v>0</v>
      </c>
      <c r="BA64" s="62">
        <f>Input!G255</f>
        <v>0</v>
      </c>
      <c r="BB64" s="207">
        <f t="shared" si="11"/>
        <v>0</v>
      </c>
      <c r="BD64" s="40">
        <v>17</v>
      </c>
      <c r="BE64" s="207">
        <f>Input!Q297</f>
        <v>0</v>
      </c>
      <c r="BF64" s="62">
        <f>Input!P297</f>
        <v>0</v>
      </c>
      <c r="BG64" s="207">
        <f t="shared" si="12"/>
        <v>0</v>
      </c>
    </row>
    <row r="65" spans="1:59" x14ac:dyDescent="0.3">
      <c r="A65" s="40">
        <v>56</v>
      </c>
      <c r="B65" s="485">
        <f t="shared" si="2"/>
        <v>46630</v>
      </c>
      <c r="C65" s="40">
        <v>-5</v>
      </c>
      <c r="D65" s="485">
        <f t="shared" si="14"/>
        <v>0</v>
      </c>
      <c r="E65" s="485">
        <f t="shared" si="1"/>
        <v>46630</v>
      </c>
      <c r="R65" s="207"/>
      <c r="AA65" s="13">
        <v>31</v>
      </c>
      <c r="AB65" s="13">
        <f>SUM(AA$35:AA65)</f>
        <v>496</v>
      </c>
      <c r="AC65" s="40">
        <f t="shared" si="5"/>
        <v>31</v>
      </c>
      <c r="AJ65" s="40">
        <v>18</v>
      </c>
      <c r="AK65" s="207">
        <f>Input!$U$60</f>
        <v>0</v>
      </c>
      <c r="AL65" s="62">
        <f>Input!U$41*Input!U$60*Input!U$62</f>
        <v>0</v>
      </c>
      <c r="AM65" s="207">
        <f t="shared" si="13"/>
        <v>0</v>
      </c>
      <c r="AO65" s="40">
        <v>18</v>
      </c>
      <c r="AP65" s="207">
        <f>Input!H115</f>
        <v>0</v>
      </c>
      <c r="AQ65" s="62">
        <f>Input!G115</f>
        <v>0</v>
      </c>
      <c r="AR65" s="207">
        <f t="shared" si="9"/>
        <v>0</v>
      </c>
      <c r="AT65" s="40">
        <v>18</v>
      </c>
      <c r="AU65" s="207">
        <f>Input!H191</f>
        <v>0</v>
      </c>
      <c r="AV65" s="62">
        <f>Input!G191</f>
        <v>0</v>
      </c>
      <c r="AW65" s="207">
        <f t="shared" si="10"/>
        <v>0</v>
      </c>
      <c r="AY65" s="40">
        <v>18</v>
      </c>
      <c r="AZ65" s="207">
        <f>Input!H256</f>
        <v>0</v>
      </c>
      <c r="BA65" s="62">
        <f>Input!G256</f>
        <v>0</v>
      </c>
      <c r="BB65" s="207">
        <f t="shared" si="11"/>
        <v>0</v>
      </c>
      <c r="BD65" s="40">
        <v>18</v>
      </c>
      <c r="BE65" s="207">
        <f>Input!Q298</f>
        <v>0</v>
      </c>
      <c r="BF65" s="62">
        <f>Input!P298</f>
        <v>0</v>
      </c>
      <c r="BG65" s="207">
        <f t="shared" si="12"/>
        <v>0</v>
      </c>
    </row>
    <row r="66" spans="1:59" x14ac:dyDescent="0.3">
      <c r="A66" s="40">
        <v>57</v>
      </c>
      <c r="B66" s="485">
        <f t="shared" si="2"/>
        <v>46660</v>
      </c>
      <c r="C66" s="40">
        <v>-4</v>
      </c>
      <c r="D66" s="485">
        <f t="shared" si="14"/>
        <v>0</v>
      </c>
      <c r="E66" s="485">
        <f t="shared" si="1"/>
        <v>46660</v>
      </c>
      <c r="R66" s="207"/>
      <c r="AA66" s="13">
        <v>32</v>
      </c>
      <c r="AB66" s="13">
        <f>SUM(AA$35:AA66)</f>
        <v>528</v>
      </c>
      <c r="AC66" s="40">
        <f t="shared" si="5"/>
        <v>32</v>
      </c>
      <c r="AJ66" s="40">
        <v>19</v>
      </c>
      <c r="AK66" s="207">
        <f>Input!$V$60</f>
        <v>0</v>
      </c>
      <c r="AL66" s="62">
        <f>Input!V$41*Input!V$60*Input!V$62</f>
        <v>0</v>
      </c>
      <c r="AM66" s="207">
        <f t="shared" si="13"/>
        <v>0</v>
      </c>
      <c r="AO66" s="40">
        <v>19</v>
      </c>
      <c r="AP66" s="207">
        <f>Input!H116</f>
        <v>0</v>
      </c>
      <c r="AQ66" s="62">
        <f>Input!G116</f>
        <v>0</v>
      </c>
      <c r="AR66" s="207">
        <f t="shared" si="9"/>
        <v>0</v>
      </c>
      <c r="AT66" s="40">
        <v>19</v>
      </c>
      <c r="AU66" s="207">
        <f>Input!H192</f>
        <v>0</v>
      </c>
      <c r="AV66" s="62">
        <f>Input!G192</f>
        <v>0</v>
      </c>
      <c r="AW66" s="207">
        <f t="shared" si="10"/>
        <v>0</v>
      </c>
      <c r="AY66" s="40">
        <v>19</v>
      </c>
      <c r="AZ66" s="207">
        <f>Input!H257</f>
        <v>0</v>
      </c>
      <c r="BA66" s="62">
        <f>Input!G257</f>
        <v>0</v>
      </c>
      <c r="BB66" s="207">
        <f t="shared" si="11"/>
        <v>0</v>
      </c>
      <c r="BD66" s="40">
        <v>19</v>
      </c>
      <c r="BE66" s="207">
        <f>Input!Q299</f>
        <v>0</v>
      </c>
      <c r="BF66" s="62">
        <f>Input!P299</f>
        <v>0</v>
      </c>
      <c r="BG66" s="207">
        <f t="shared" si="12"/>
        <v>0</v>
      </c>
    </row>
    <row r="67" spans="1:59" x14ac:dyDescent="0.3">
      <c r="A67" s="40">
        <v>58</v>
      </c>
      <c r="B67" s="485">
        <f t="shared" si="2"/>
        <v>46691</v>
      </c>
      <c r="C67" s="40">
        <v>-3</v>
      </c>
      <c r="D67" s="485">
        <f t="shared" si="14"/>
        <v>0</v>
      </c>
      <c r="E67" s="485">
        <f t="shared" si="1"/>
        <v>46691</v>
      </c>
      <c r="R67" s="207"/>
      <c r="AA67" s="40">
        <v>33</v>
      </c>
      <c r="AB67" s="13">
        <f>SUM(AA$35:AA67)</f>
        <v>561</v>
      </c>
      <c r="AC67" s="40">
        <f t="shared" si="5"/>
        <v>33</v>
      </c>
      <c r="AJ67" s="40">
        <v>20</v>
      </c>
      <c r="AK67" s="207">
        <f>Input!$W$60</f>
        <v>0</v>
      </c>
      <c r="AL67" s="62">
        <f>Input!W$41*Input!W$60*Input!W$62</f>
        <v>0</v>
      </c>
      <c r="AM67" s="207">
        <f t="shared" si="13"/>
        <v>0</v>
      </c>
      <c r="AO67" s="40">
        <v>20</v>
      </c>
      <c r="AP67" s="207">
        <f>Input!H117</f>
        <v>0</v>
      </c>
      <c r="AQ67" s="62">
        <f>Input!G117</f>
        <v>0</v>
      </c>
      <c r="AR67" s="207">
        <f t="shared" si="9"/>
        <v>0</v>
      </c>
      <c r="AT67" s="40">
        <v>20</v>
      </c>
      <c r="AU67" s="207">
        <f>Input!H193</f>
        <v>0</v>
      </c>
      <c r="AV67" s="62">
        <f>Input!G193</f>
        <v>0</v>
      </c>
      <c r="AW67" s="207">
        <f t="shared" si="10"/>
        <v>0</v>
      </c>
      <c r="AY67" s="40">
        <v>20</v>
      </c>
      <c r="AZ67" s="207">
        <f>Input!H258</f>
        <v>0</v>
      </c>
      <c r="BA67" s="62">
        <f>Input!G258</f>
        <v>0</v>
      </c>
      <c r="BB67" s="207">
        <f t="shared" si="11"/>
        <v>0</v>
      </c>
    </row>
    <row r="68" spans="1:59" x14ac:dyDescent="0.3">
      <c r="A68" s="40">
        <v>59</v>
      </c>
      <c r="B68" s="485">
        <f t="shared" si="2"/>
        <v>46721</v>
      </c>
      <c r="C68" s="40">
        <v>-2</v>
      </c>
      <c r="D68" s="485">
        <f t="shared" si="14"/>
        <v>0</v>
      </c>
      <c r="E68" s="485">
        <f t="shared" si="1"/>
        <v>46721</v>
      </c>
      <c r="R68" s="207"/>
      <c r="AA68" s="13">
        <v>34</v>
      </c>
      <c r="AB68" s="13">
        <f>SUM(AA$35:AA68)</f>
        <v>595</v>
      </c>
      <c r="AC68" s="40">
        <f t="shared" si="5"/>
        <v>34</v>
      </c>
      <c r="AJ68" s="40">
        <v>21</v>
      </c>
      <c r="AK68" s="207">
        <f>Input!$X$60</f>
        <v>0</v>
      </c>
      <c r="AL68" s="62">
        <f>Input!X$41*Input!X$60*Input!X$62</f>
        <v>0</v>
      </c>
      <c r="AM68" s="207">
        <f t="shared" si="13"/>
        <v>0</v>
      </c>
      <c r="AO68" s="40">
        <v>21</v>
      </c>
      <c r="AP68" s="207">
        <f>Input!H118</f>
        <v>0</v>
      </c>
      <c r="AQ68" s="62">
        <f>Input!G118</f>
        <v>0</v>
      </c>
      <c r="AR68" s="207">
        <f t="shared" si="9"/>
        <v>0</v>
      </c>
      <c r="AT68" s="40">
        <v>21</v>
      </c>
      <c r="AU68" s="207">
        <f>Input!H194</f>
        <v>0</v>
      </c>
      <c r="AV68" s="62">
        <f>Input!G194</f>
        <v>0</v>
      </c>
      <c r="AW68" s="207">
        <f t="shared" si="10"/>
        <v>0</v>
      </c>
      <c r="AY68" s="40">
        <v>21</v>
      </c>
      <c r="AZ68" s="207">
        <f>Input!H262</f>
        <v>0</v>
      </c>
      <c r="BA68" s="62">
        <f>Input!G262</f>
        <v>0</v>
      </c>
      <c r="BB68" s="207">
        <f t="shared" si="11"/>
        <v>0</v>
      </c>
    </row>
    <row r="69" spans="1:59" x14ac:dyDescent="0.3">
      <c r="A69" s="40">
        <v>60</v>
      </c>
      <c r="B69" s="485">
        <f t="shared" si="2"/>
        <v>46752</v>
      </c>
      <c r="C69" s="40">
        <v>-1</v>
      </c>
      <c r="D69" s="485">
        <f>IF(D$70=0,0,EOMONTH(D70,-1))</f>
        <v>0</v>
      </c>
      <c r="E69" s="485">
        <f t="shared" si="1"/>
        <v>46752</v>
      </c>
      <c r="R69" s="207"/>
      <c r="AA69" s="13">
        <v>35</v>
      </c>
      <c r="AB69" s="13">
        <f>SUM(AA$35:AA69)</f>
        <v>630</v>
      </c>
      <c r="AC69" s="40">
        <f t="shared" si="5"/>
        <v>35</v>
      </c>
      <c r="AJ69" s="40">
        <v>22</v>
      </c>
      <c r="AK69" s="207">
        <f>Input!$Y$60</f>
        <v>0</v>
      </c>
      <c r="AL69" s="62">
        <f>Input!Y$41*Input!Y$60*Input!Y$62</f>
        <v>0</v>
      </c>
      <c r="AM69" s="207">
        <f t="shared" si="13"/>
        <v>0</v>
      </c>
      <c r="AO69" s="40">
        <v>22</v>
      </c>
      <c r="AP69" s="207">
        <f>Input!H119</f>
        <v>0</v>
      </c>
      <c r="AQ69" s="62">
        <f>Input!G119</f>
        <v>0</v>
      </c>
      <c r="AR69" s="207">
        <f t="shared" si="9"/>
        <v>0</v>
      </c>
      <c r="AT69" s="40">
        <v>22</v>
      </c>
      <c r="AU69" s="207">
        <f>Input!H195</f>
        <v>0</v>
      </c>
      <c r="AV69" s="62">
        <f>Input!G195</f>
        <v>0</v>
      </c>
      <c r="AW69" s="207">
        <f t="shared" si="10"/>
        <v>0</v>
      </c>
      <c r="AY69" s="40">
        <v>22</v>
      </c>
      <c r="AZ69" s="207">
        <f>Input!H263</f>
        <v>0</v>
      </c>
      <c r="BA69" s="62">
        <f>Input!G263</f>
        <v>0</v>
      </c>
      <c r="BB69" s="207">
        <f t="shared" si="11"/>
        <v>0</v>
      </c>
    </row>
    <row r="70" spans="1:59" x14ac:dyDescent="0.3">
      <c r="B70" s="485">
        <f t="shared" si="2"/>
        <v>46783</v>
      </c>
      <c r="C70" s="40">
        <v>1</v>
      </c>
      <c r="D70" s="485">
        <f>Input!D20</f>
        <v>0</v>
      </c>
      <c r="E70" s="485">
        <f t="shared" si="1"/>
        <v>46783</v>
      </c>
      <c r="F70" s="40">
        <v>1</v>
      </c>
      <c r="R70" s="207"/>
      <c r="AA70" s="40">
        <v>36</v>
      </c>
      <c r="AB70" s="13">
        <f>SUM(AA$35:AA70)</f>
        <v>666</v>
      </c>
      <c r="AC70" s="40">
        <f t="shared" si="5"/>
        <v>36</v>
      </c>
      <c r="AJ70" s="40">
        <v>23</v>
      </c>
      <c r="AK70" s="207">
        <f>Input!$Z$60</f>
        <v>0</v>
      </c>
      <c r="AL70" s="62">
        <f>Input!Z$41*Input!Z$60*Input!Z$62</f>
        <v>0</v>
      </c>
      <c r="AM70" s="207">
        <f t="shared" si="13"/>
        <v>0</v>
      </c>
      <c r="AO70" s="40">
        <v>23</v>
      </c>
      <c r="AP70" s="207">
        <f>Input!H120</f>
        <v>0</v>
      </c>
      <c r="AQ70" s="62">
        <f>Input!G120</f>
        <v>0</v>
      </c>
      <c r="AR70" s="207">
        <f t="shared" si="9"/>
        <v>0</v>
      </c>
      <c r="AT70" s="40">
        <v>23</v>
      </c>
      <c r="AU70" s="207">
        <f>Input!H196</f>
        <v>0</v>
      </c>
      <c r="AV70" s="62">
        <f>Input!G196</f>
        <v>0</v>
      </c>
      <c r="AW70" s="207">
        <f t="shared" si="10"/>
        <v>0</v>
      </c>
      <c r="AY70" s="40">
        <v>23</v>
      </c>
      <c r="AZ70" s="207">
        <f>Input!H264</f>
        <v>0</v>
      </c>
      <c r="BA70" s="62">
        <f>Input!G264</f>
        <v>0</v>
      </c>
      <c r="BB70" s="207">
        <f t="shared" si="11"/>
        <v>0</v>
      </c>
    </row>
    <row r="71" spans="1:59" x14ac:dyDescent="0.3">
      <c r="B71" s="485">
        <f t="shared" si="2"/>
        <v>46812</v>
      </c>
      <c r="C71" s="40">
        <v>2</v>
      </c>
      <c r="D71" s="485">
        <f t="shared" ref="D71:D102" si="15">EOMONTH(D70,1)</f>
        <v>59</v>
      </c>
      <c r="E71" s="485">
        <f t="shared" si="1"/>
        <v>46812</v>
      </c>
      <c r="F71" s="40">
        <v>2</v>
      </c>
      <c r="R71" s="207"/>
      <c r="AA71" s="13">
        <v>37</v>
      </c>
      <c r="AB71" s="13">
        <f>SUM(AA$35:AA71)</f>
        <v>703</v>
      </c>
      <c r="AC71" s="40">
        <f t="shared" si="5"/>
        <v>37</v>
      </c>
      <c r="AJ71" s="40">
        <v>24</v>
      </c>
      <c r="AK71" s="207">
        <f>Input!$AA$60</f>
        <v>0</v>
      </c>
      <c r="AL71" s="62">
        <f>Input!AA$41*Input!AA$60*Input!AA$62</f>
        <v>0</v>
      </c>
      <c r="AM71" s="207">
        <f t="shared" si="13"/>
        <v>0</v>
      </c>
      <c r="AO71" s="40">
        <v>24</v>
      </c>
      <c r="AP71" s="207">
        <f>Input!H121</f>
        <v>0</v>
      </c>
      <c r="AQ71" s="62">
        <f>Input!G121</f>
        <v>0</v>
      </c>
      <c r="AR71" s="207">
        <f t="shared" si="9"/>
        <v>0</v>
      </c>
      <c r="AT71" s="40">
        <v>24</v>
      </c>
      <c r="AU71" s="207">
        <f>Input!H197</f>
        <v>0</v>
      </c>
      <c r="AV71" s="62">
        <f>Input!G197</f>
        <v>0</v>
      </c>
      <c r="AW71" s="207">
        <f t="shared" si="10"/>
        <v>0</v>
      </c>
      <c r="AY71" s="40">
        <v>24</v>
      </c>
      <c r="AZ71" s="207">
        <f>Input!H265</f>
        <v>0</v>
      </c>
      <c r="BA71" s="62">
        <f>Input!G265</f>
        <v>0</v>
      </c>
      <c r="BB71" s="207">
        <f t="shared" si="11"/>
        <v>0</v>
      </c>
    </row>
    <row r="72" spans="1:59" x14ac:dyDescent="0.3">
      <c r="B72" s="485">
        <f t="shared" si="2"/>
        <v>46843</v>
      </c>
      <c r="C72" s="40">
        <v>3</v>
      </c>
      <c r="D72" s="485">
        <f t="shared" si="15"/>
        <v>91</v>
      </c>
      <c r="E72" s="485">
        <f t="shared" si="1"/>
        <v>46843</v>
      </c>
      <c r="F72" s="40">
        <v>3</v>
      </c>
      <c r="R72" s="207"/>
      <c r="AA72" s="13">
        <v>38</v>
      </c>
      <c r="AB72" s="13">
        <f>SUM(AA$35:AA72)</f>
        <v>741</v>
      </c>
      <c r="AC72" s="40">
        <f t="shared" si="5"/>
        <v>38</v>
      </c>
      <c r="AJ72" s="40">
        <v>25</v>
      </c>
      <c r="AK72" s="207">
        <f>Input!$AB$60</f>
        <v>0</v>
      </c>
      <c r="AL72" s="62">
        <f>Input!AB$41*Input!AB$60*Input!AB$62</f>
        <v>0</v>
      </c>
      <c r="AM72" s="207">
        <f t="shared" si="13"/>
        <v>0</v>
      </c>
      <c r="AO72" s="40">
        <v>25</v>
      </c>
      <c r="AP72" s="207">
        <f>Input!H122</f>
        <v>0</v>
      </c>
      <c r="AQ72" s="62">
        <f>Input!G122</f>
        <v>0</v>
      </c>
      <c r="AR72" s="207">
        <f t="shared" si="9"/>
        <v>0</v>
      </c>
      <c r="AT72" s="40">
        <v>25</v>
      </c>
      <c r="AU72" s="207">
        <f>Input!H198</f>
        <v>0</v>
      </c>
      <c r="AV72" s="62">
        <f>Input!G198</f>
        <v>0</v>
      </c>
      <c r="AW72" s="207">
        <f t="shared" si="10"/>
        <v>0</v>
      </c>
      <c r="AY72" s="40">
        <v>25</v>
      </c>
      <c r="AZ72" s="207">
        <f>Input!H266</f>
        <v>0</v>
      </c>
      <c r="BA72" s="62">
        <f>Input!G266</f>
        <v>0</v>
      </c>
      <c r="BB72" s="207">
        <f t="shared" si="11"/>
        <v>0</v>
      </c>
    </row>
    <row r="73" spans="1:59" x14ac:dyDescent="0.3">
      <c r="B73" s="485">
        <f t="shared" si="2"/>
        <v>46873</v>
      </c>
      <c r="C73" s="40">
        <v>4</v>
      </c>
      <c r="D73" s="485">
        <f t="shared" si="15"/>
        <v>121</v>
      </c>
      <c r="E73" s="485">
        <f t="shared" si="1"/>
        <v>46873</v>
      </c>
      <c r="F73" s="40">
        <v>4</v>
      </c>
      <c r="R73" s="207"/>
      <c r="AA73" s="40">
        <v>39</v>
      </c>
      <c r="AB73" s="13">
        <f>SUM(AA$35:AA73)</f>
        <v>780</v>
      </c>
      <c r="AC73" s="40">
        <f t="shared" si="5"/>
        <v>39</v>
      </c>
      <c r="AM73" s="207"/>
      <c r="AO73" s="40">
        <v>26</v>
      </c>
      <c r="AP73" s="207">
        <f>Input!H123</f>
        <v>0</v>
      </c>
      <c r="AQ73" s="62">
        <f>Input!G123</f>
        <v>0</v>
      </c>
      <c r="AR73" s="207">
        <f t="shared" si="9"/>
        <v>0</v>
      </c>
      <c r="AT73" s="40">
        <v>26</v>
      </c>
      <c r="AU73" s="207">
        <f>Input!H199</f>
        <v>0</v>
      </c>
      <c r="AV73" s="62">
        <f>Input!G199</f>
        <v>0</v>
      </c>
      <c r="AW73" s="207">
        <f t="shared" si="10"/>
        <v>0</v>
      </c>
      <c r="AY73" s="40">
        <v>26</v>
      </c>
      <c r="AZ73" s="207">
        <f>Input!H267</f>
        <v>0</v>
      </c>
      <c r="BA73" s="62">
        <f>Input!G267</f>
        <v>0</v>
      </c>
      <c r="BB73" s="207">
        <f t="shared" si="11"/>
        <v>0</v>
      </c>
    </row>
    <row r="74" spans="1:59" x14ac:dyDescent="0.3">
      <c r="B74" s="485">
        <f t="shared" si="2"/>
        <v>46904</v>
      </c>
      <c r="C74" s="40">
        <v>5</v>
      </c>
      <c r="D74" s="485">
        <f t="shared" si="15"/>
        <v>152</v>
      </c>
      <c r="E74" s="485">
        <f t="shared" si="1"/>
        <v>46904</v>
      </c>
      <c r="F74" s="40">
        <v>5</v>
      </c>
      <c r="R74" s="207"/>
      <c r="AA74" s="13">
        <v>40</v>
      </c>
      <c r="AB74" s="13">
        <f>SUM(AA$35:AA74)</f>
        <v>820</v>
      </c>
      <c r="AC74" s="40">
        <f t="shared" si="5"/>
        <v>40</v>
      </c>
      <c r="AM74" s="207"/>
      <c r="AO74" s="40">
        <v>27</v>
      </c>
      <c r="AP74" s="207">
        <f>Input!H124</f>
        <v>0</v>
      </c>
      <c r="AQ74" s="62">
        <f>Input!G124</f>
        <v>0</v>
      </c>
      <c r="AR74" s="207">
        <f t="shared" si="9"/>
        <v>0</v>
      </c>
      <c r="AT74" s="40">
        <v>27</v>
      </c>
      <c r="AU74" s="207">
        <f>Input!H200</f>
        <v>0</v>
      </c>
      <c r="AV74" s="62">
        <f>Input!G200</f>
        <v>0</v>
      </c>
      <c r="AW74" s="207">
        <f t="shared" si="10"/>
        <v>0</v>
      </c>
      <c r="AY74" s="40">
        <v>27</v>
      </c>
      <c r="AZ74" s="207">
        <f>Input!H268</f>
        <v>0</v>
      </c>
      <c r="BA74" s="62">
        <f>Input!G268</f>
        <v>0</v>
      </c>
      <c r="BB74" s="207">
        <f t="shared" si="11"/>
        <v>0</v>
      </c>
    </row>
    <row r="75" spans="1:59" x14ac:dyDescent="0.3">
      <c r="B75" s="485">
        <f t="shared" si="2"/>
        <v>46934</v>
      </c>
      <c r="C75" s="40">
        <v>6</v>
      </c>
      <c r="D75" s="485">
        <f t="shared" si="15"/>
        <v>182</v>
      </c>
      <c r="E75" s="485">
        <f t="shared" ref="E75:E93" si="16">B75</f>
        <v>46934</v>
      </c>
      <c r="F75" s="40">
        <v>6</v>
      </c>
      <c r="R75" s="207"/>
      <c r="AA75" s="40">
        <v>41</v>
      </c>
      <c r="AB75" s="13">
        <f>SUM(AA$35:AA75)</f>
        <v>861</v>
      </c>
      <c r="AC75" s="40">
        <f t="shared" si="5"/>
        <v>41</v>
      </c>
      <c r="AO75" s="40">
        <v>28</v>
      </c>
      <c r="AP75" s="207">
        <f>Input!H125</f>
        <v>0</v>
      </c>
      <c r="AQ75" s="62">
        <f>Input!G125</f>
        <v>0</v>
      </c>
      <c r="AR75" s="207">
        <f t="shared" si="9"/>
        <v>0</v>
      </c>
      <c r="AT75" s="40">
        <v>28</v>
      </c>
      <c r="AU75" s="207">
        <f>Input!H201</f>
        <v>0</v>
      </c>
      <c r="AV75" s="62">
        <f>Input!G201</f>
        <v>0</v>
      </c>
      <c r="AW75" s="207">
        <f t="shared" si="10"/>
        <v>0</v>
      </c>
      <c r="AY75" s="40">
        <v>28</v>
      </c>
      <c r="AZ75" s="207">
        <f>Input!H269</f>
        <v>0</v>
      </c>
      <c r="BA75" s="62">
        <f>Input!G269</f>
        <v>0</v>
      </c>
      <c r="BB75" s="207">
        <f t="shared" si="11"/>
        <v>0</v>
      </c>
    </row>
    <row r="76" spans="1:59" x14ac:dyDescent="0.3">
      <c r="B76" s="485">
        <f t="shared" ref="B76:B139" si="17">EOMONTH(B75,1)</f>
        <v>46965</v>
      </c>
      <c r="C76" s="40">
        <v>7</v>
      </c>
      <c r="D76" s="485">
        <f t="shared" si="15"/>
        <v>213</v>
      </c>
      <c r="E76" s="485">
        <f t="shared" si="16"/>
        <v>46965</v>
      </c>
      <c r="F76" s="40">
        <v>7</v>
      </c>
      <c r="R76" s="207"/>
      <c r="AA76" s="13">
        <v>42</v>
      </c>
      <c r="AB76" s="13">
        <f>SUM(AA$35:AA76)</f>
        <v>903</v>
      </c>
      <c r="AC76" s="40">
        <f t="shared" si="5"/>
        <v>42</v>
      </c>
      <c r="AO76" s="40">
        <v>29</v>
      </c>
      <c r="AP76" s="207">
        <f>Input!H126</f>
        <v>0</v>
      </c>
      <c r="AQ76" s="62">
        <f>Input!G126</f>
        <v>0</v>
      </c>
      <c r="AR76" s="207">
        <f t="shared" si="9"/>
        <v>0</v>
      </c>
      <c r="AT76" s="40">
        <v>29</v>
      </c>
      <c r="AU76" s="207">
        <f>Input!H202</f>
        <v>0</v>
      </c>
      <c r="AV76" s="62">
        <f>Input!G202</f>
        <v>0</v>
      </c>
      <c r="AW76" s="207">
        <f t="shared" si="10"/>
        <v>0</v>
      </c>
      <c r="AY76" s="40">
        <v>29</v>
      </c>
      <c r="AZ76" s="207">
        <f>Input!H270</f>
        <v>0</v>
      </c>
      <c r="BA76" s="62">
        <f>Input!G270</f>
        <v>0</v>
      </c>
      <c r="BB76" s="207">
        <f t="shared" si="11"/>
        <v>0</v>
      </c>
    </row>
    <row r="77" spans="1:59" x14ac:dyDescent="0.3">
      <c r="B77" s="485">
        <f t="shared" si="17"/>
        <v>46996</v>
      </c>
      <c r="C77" s="40">
        <v>8</v>
      </c>
      <c r="D77" s="485">
        <f t="shared" si="15"/>
        <v>244</v>
      </c>
      <c r="E77" s="485">
        <f t="shared" si="16"/>
        <v>46996</v>
      </c>
      <c r="F77" s="40">
        <v>8</v>
      </c>
      <c r="R77" s="207"/>
      <c r="AA77" s="40">
        <v>43</v>
      </c>
      <c r="AB77" s="13">
        <f>SUM(AA$35:AA77)</f>
        <v>946</v>
      </c>
      <c r="AC77" s="40">
        <f t="shared" si="5"/>
        <v>43</v>
      </c>
      <c r="AO77" s="40">
        <v>30</v>
      </c>
      <c r="AP77" s="207">
        <f>Input!H127</f>
        <v>0</v>
      </c>
      <c r="AQ77" s="62">
        <f>Input!G127</f>
        <v>0</v>
      </c>
      <c r="AR77" s="207">
        <f t="shared" si="9"/>
        <v>0</v>
      </c>
      <c r="AT77" s="40">
        <v>30</v>
      </c>
      <c r="AU77" s="207">
        <f>Input!H203</f>
        <v>0</v>
      </c>
      <c r="AV77" s="62">
        <f>Input!G203</f>
        <v>0</v>
      </c>
      <c r="AW77" s="207">
        <f t="shared" si="10"/>
        <v>0</v>
      </c>
      <c r="AY77" s="40">
        <v>30</v>
      </c>
      <c r="AZ77" s="207">
        <f>Input!H271</f>
        <v>0</v>
      </c>
      <c r="BA77" s="62">
        <f>Input!G271</f>
        <v>0</v>
      </c>
      <c r="BB77" s="207">
        <f t="shared" si="11"/>
        <v>0</v>
      </c>
    </row>
    <row r="78" spans="1:59" x14ac:dyDescent="0.3">
      <c r="B78" s="485">
        <f t="shared" si="17"/>
        <v>47026</v>
      </c>
      <c r="C78" s="40">
        <v>9</v>
      </c>
      <c r="D78" s="485">
        <f t="shared" si="15"/>
        <v>274</v>
      </c>
      <c r="E78" s="485">
        <f t="shared" si="16"/>
        <v>47026</v>
      </c>
      <c r="F78" s="40">
        <v>9</v>
      </c>
      <c r="R78" s="207"/>
      <c r="AA78" s="13">
        <v>44</v>
      </c>
      <c r="AB78" s="13">
        <f>SUM(AA$35:AA78)</f>
        <v>990</v>
      </c>
      <c r="AC78" s="40">
        <f t="shared" si="5"/>
        <v>44</v>
      </c>
      <c r="AO78" s="40">
        <v>31</v>
      </c>
      <c r="AP78" s="207">
        <f>Input!H128</f>
        <v>0</v>
      </c>
      <c r="AQ78" s="62">
        <f>Input!G128</f>
        <v>0</v>
      </c>
      <c r="AR78" s="207">
        <f t="shared" si="9"/>
        <v>0</v>
      </c>
      <c r="AT78" s="40">
        <v>31</v>
      </c>
      <c r="AU78" s="207">
        <f>Input!H204</f>
        <v>0</v>
      </c>
      <c r="AV78" s="62">
        <f>Input!G204</f>
        <v>0</v>
      </c>
      <c r="AW78" s="207">
        <f t="shared" si="10"/>
        <v>0</v>
      </c>
    </row>
    <row r="79" spans="1:59" x14ac:dyDescent="0.3">
      <c r="B79" s="485">
        <f t="shared" si="17"/>
        <v>47057</v>
      </c>
      <c r="C79" s="40">
        <v>10</v>
      </c>
      <c r="D79" s="485">
        <f t="shared" si="15"/>
        <v>305</v>
      </c>
      <c r="E79" s="485">
        <f t="shared" si="16"/>
        <v>47057</v>
      </c>
      <c r="F79" s="40">
        <v>10</v>
      </c>
      <c r="R79" s="207"/>
      <c r="AA79" s="13">
        <v>45</v>
      </c>
      <c r="AB79" s="13">
        <f>SUM(AA$35:AA79)</f>
        <v>1035</v>
      </c>
      <c r="AC79" s="40">
        <f t="shared" si="5"/>
        <v>45</v>
      </c>
      <c r="AO79" s="40">
        <v>32</v>
      </c>
      <c r="AP79" s="207">
        <f>Input!H129</f>
        <v>0</v>
      </c>
      <c r="AQ79" s="62">
        <f>Input!G129</f>
        <v>0</v>
      </c>
      <c r="AR79" s="207">
        <f t="shared" si="9"/>
        <v>0</v>
      </c>
      <c r="AT79" s="40">
        <v>32</v>
      </c>
      <c r="AU79" s="207">
        <f>Input!H205</f>
        <v>0</v>
      </c>
      <c r="AV79" s="62">
        <f>Input!G205</f>
        <v>0</v>
      </c>
      <c r="AW79" s="207">
        <f t="shared" si="10"/>
        <v>0</v>
      </c>
    </row>
    <row r="80" spans="1:59" x14ac:dyDescent="0.3">
      <c r="B80" s="485">
        <f t="shared" si="17"/>
        <v>47087</v>
      </c>
      <c r="C80" s="40">
        <v>11</v>
      </c>
      <c r="D80" s="485">
        <f t="shared" si="15"/>
        <v>335</v>
      </c>
      <c r="E80" s="485">
        <f t="shared" si="16"/>
        <v>47087</v>
      </c>
      <c r="F80" s="40">
        <v>11</v>
      </c>
      <c r="R80" s="207"/>
      <c r="AA80" s="13">
        <v>46</v>
      </c>
      <c r="AB80" s="13">
        <f>SUM(AA$35:AA80)</f>
        <v>1081</v>
      </c>
      <c r="AC80" s="40">
        <f t="shared" si="5"/>
        <v>46</v>
      </c>
      <c r="AO80" s="40">
        <v>33</v>
      </c>
      <c r="AP80" s="207">
        <f>Input!H130</f>
        <v>0</v>
      </c>
      <c r="AQ80" s="62">
        <f>Input!G130</f>
        <v>0</v>
      </c>
      <c r="AR80" s="207">
        <f t="shared" si="9"/>
        <v>0</v>
      </c>
      <c r="AT80" s="40">
        <v>33</v>
      </c>
      <c r="AU80" s="207">
        <f>Input!H206</f>
        <v>0</v>
      </c>
      <c r="AV80" s="62">
        <f>Input!G206</f>
        <v>0</v>
      </c>
      <c r="AW80" s="207">
        <f t="shared" si="10"/>
        <v>0</v>
      </c>
    </row>
    <row r="81" spans="2:49" x14ac:dyDescent="0.3">
      <c r="B81" s="485">
        <f t="shared" si="17"/>
        <v>47118</v>
      </c>
      <c r="C81" s="40">
        <v>12</v>
      </c>
      <c r="D81" s="485">
        <f t="shared" si="15"/>
        <v>366</v>
      </c>
      <c r="E81" s="485">
        <f t="shared" si="16"/>
        <v>47118</v>
      </c>
      <c r="F81" s="40">
        <v>12</v>
      </c>
      <c r="R81" s="207"/>
      <c r="AA81" s="13">
        <v>47</v>
      </c>
      <c r="AB81" s="13">
        <f>SUM(AA$35:AA81)</f>
        <v>1128</v>
      </c>
      <c r="AC81" s="40">
        <f t="shared" si="5"/>
        <v>47</v>
      </c>
      <c r="AO81" s="40">
        <v>34</v>
      </c>
      <c r="AP81" s="207">
        <f>Input!H131</f>
        <v>0</v>
      </c>
      <c r="AQ81" s="62">
        <f>Input!G131</f>
        <v>0</v>
      </c>
      <c r="AR81" s="207">
        <f t="shared" si="9"/>
        <v>0</v>
      </c>
      <c r="AT81" s="40">
        <v>34</v>
      </c>
      <c r="AU81" s="207">
        <f>Input!H207</f>
        <v>0</v>
      </c>
      <c r="AV81" s="62">
        <f>Input!G207</f>
        <v>0</v>
      </c>
      <c r="AW81" s="207">
        <f t="shared" si="10"/>
        <v>0</v>
      </c>
    </row>
    <row r="82" spans="2:49" x14ac:dyDescent="0.3">
      <c r="B82" s="485">
        <f t="shared" si="17"/>
        <v>47149</v>
      </c>
      <c r="C82" s="40">
        <v>13</v>
      </c>
      <c r="D82" s="485">
        <f t="shared" si="15"/>
        <v>397</v>
      </c>
      <c r="E82" s="485">
        <f t="shared" si="16"/>
        <v>47149</v>
      </c>
      <c r="F82" s="40">
        <v>13</v>
      </c>
      <c r="R82" s="207"/>
      <c r="AA82" s="13">
        <v>48</v>
      </c>
      <c r="AB82" s="13">
        <f>SUM(AA$35:AA82)</f>
        <v>1176</v>
      </c>
      <c r="AC82" s="40">
        <f t="shared" si="5"/>
        <v>48</v>
      </c>
      <c r="AO82" s="40">
        <v>35</v>
      </c>
      <c r="AP82" s="207">
        <f>Input!H132</f>
        <v>0</v>
      </c>
      <c r="AQ82" s="62">
        <f>Input!G132</f>
        <v>0</v>
      </c>
      <c r="AR82" s="207">
        <f t="shared" si="9"/>
        <v>0</v>
      </c>
      <c r="AT82" s="40">
        <v>35</v>
      </c>
      <c r="AU82" s="207">
        <f>Input!H208</f>
        <v>0</v>
      </c>
      <c r="AV82" s="62">
        <f>Input!G208</f>
        <v>0</v>
      </c>
      <c r="AW82" s="207">
        <f t="shared" si="10"/>
        <v>0</v>
      </c>
    </row>
    <row r="83" spans="2:49" x14ac:dyDescent="0.3">
      <c r="B83" s="485">
        <f t="shared" si="17"/>
        <v>47177</v>
      </c>
      <c r="C83" s="40">
        <v>14</v>
      </c>
      <c r="D83" s="485">
        <f t="shared" si="15"/>
        <v>425</v>
      </c>
      <c r="E83" s="485">
        <f t="shared" si="16"/>
        <v>47177</v>
      </c>
      <c r="F83" s="40">
        <v>14</v>
      </c>
      <c r="R83" s="207"/>
      <c r="AA83" s="13">
        <v>49</v>
      </c>
      <c r="AB83" s="13">
        <f>SUM(AA$35:AA83)</f>
        <v>1225</v>
      </c>
      <c r="AC83" s="40">
        <f t="shared" si="5"/>
        <v>49</v>
      </c>
      <c r="AO83" s="40">
        <v>36</v>
      </c>
      <c r="AP83" s="207">
        <f>Input!H133</f>
        <v>0</v>
      </c>
      <c r="AQ83" s="62">
        <f>Input!G133</f>
        <v>0</v>
      </c>
      <c r="AR83" s="207">
        <f t="shared" si="9"/>
        <v>0</v>
      </c>
      <c r="AT83" s="40">
        <v>36</v>
      </c>
      <c r="AU83" s="207">
        <f>Input!H209</f>
        <v>0</v>
      </c>
      <c r="AV83" s="62">
        <f>Input!G209</f>
        <v>0</v>
      </c>
      <c r="AW83" s="207">
        <f t="shared" si="10"/>
        <v>0</v>
      </c>
    </row>
    <row r="84" spans="2:49" x14ac:dyDescent="0.3">
      <c r="B84" s="485">
        <f t="shared" si="17"/>
        <v>47208</v>
      </c>
      <c r="C84" s="40">
        <v>15</v>
      </c>
      <c r="D84" s="485">
        <f t="shared" si="15"/>
        <v>456</v>
      </c>
      <c r="E84" s="485">
        <f t="shared" si="16"/>
        <v>47208</v>
      </c>
      <c r="F84" s="40">
        <v>15</v>
      </c>
      <c r="R84" s="207"/>
      <c r="AA84" s="13">
        <v>50</v>
      </c>
      <c r="AB84" s="13">
        <f>SUM(AA$35:AA84)</f>
        <v>1275</v>
      </c>
      <c r="AC84" s="40">
        <f t="shared" si="5"/>
        <v>50</v>
      </c>
      <c r="AO84" s="40">
        <v>37</v>
      </c>
      <c r="AP84" s="207">
        <f>Input!H134</f>
        <v>0</v>
      </c>
      <c r="AQ84" s="62">
        <f>Input!G134</f>
        <v>0</v>
      </c>
      <c r="AR84" s="207">
        <f t="shared" si="9"/>
        <v>0</v>
      </c>
      <c r="AT84" s="40">
        <v>37</v>
      </c>
      <c r="AU84" s="207">
        <f>Input!H210</f>
        <v>0</v>
      </c>
      <c r="AV84" s="62">
        <f>Input!G210</f>
        <v>0</v>
      </c>
      <c r="AW84" s="207">
        <f t="shared" si="10"/>
        <v>0</v>
      </c>
    </row>
    <row r="85" spans="2:49" x14ac:dyDescent="0.3">
      <c r="B85" s="485">
        <f t="shared" si="17"/>
        <v>47238</v>
      </c>
      <c r="C85" s="40">
        <v>16</v>
      </c>
      <c r="D85" s="485">
        <f t="shared" si="15"/>
        <v>486</v>
      </c>
      <c r="E85" s="485">
        <f t="shared" si="16"/>
        <v>47238</v>
      </c>
      <c r="F85" s="40">
        <v>16</v>
      </c>
      <c r="R85" s="207"/>
      <c r="AO85" s="40">
        <v>38</v>
      </c>
      <c r="AP85" s="207">
        <f>Input!H135</f>
        <v>0</v>
      </c>
      <c r="AQ85" s="62">
        <f>Input!G135</f>
        <v>0</v>
      </c>
      <c r="AR85" s="207">
        <f t="shared" si="9"/>
        <v>0</v>
      </c>
      <c r="AT85" s="40">
        <v>38</v>
      </c>
      <c r="AU85" s="207">
        <f>Input!H211</f>
        <v>0</v>
      </c>
      <c r="AV85" s="62">
        <f>Input!G211</f>
        <v>0</v>
      </c>
      <c r="AW85" s="207">
        <f t="shared" si="10"/>
        <v>0</v>
      </c>
    </row>
    <row r="86" spans="2:49" x14ac:dyDescent="0.3">
      <c r="B86" s="485">
        <f t="shared" si="17"/>
        <v>47269</v>
      </c>
      <c r="C86" s="40">
        <v>17</v>
      </c>
      <c r="D86" s="485">
        <f t="shared" si="15"/>
        <v>517</v>
      </c>
      <c r="E86" s="485">
        <f t="shared" si="16"/>
        <v>47269</v>
      </c>
      <c r="F86" s="40">
        <v>17</v>
      </c>
      <c r="R86" s="207"/>
      <c r="AO86" s="40">
        <v>39</v>
      </c>
      <c r="AP86" s="207">
        <f>Input!H136</f>
        <v>0</v>
      </c>
      <c r="AQ86" s="62">
        <f>Input!G136</f>
        <v>0</v>
      </c>
      <c r="AR86" s="207">
        <f t="shared" si="9"/>
        <v>0</v>
      </c>
      <c r="AT86" s="40">
        <v>39</v>
      </c>
      <c r="AU86" s="207">
        <f>Input!H212</f>
        <v>0</v>
      </c>
      <c r="AV86" s="62">
        <f>Input!G212</f>
        <v>0</v>
      </c>
      <c r="AW86" s="207">
        <f t="shared" si="10"/>
        <v>0</v>
      </c>
    </row>
    <row r="87" spans="2:49" x14ac:dyDescent="0.3">
      <c r="B87" s="485">
        <f t="shared" si="17"/>
        <v>47299</v>
      </c>
      <c r="C87" s="40">
        <v>18</v>
      </c>
      <c r="D87" s="485">
        <f t="shared" si="15"/>
        <v>547</v>
      </c>
      <c r="E87" s="485">
        <f t="shared" si="16"/>
        <v>47299</v>
      </c>
      <c r="F87" s="40">
        <v>18</v>
      </c>
      <c r="R87" s="207"/>
      <c r="AO87" s="40">
        <v>40</v>
      </c>
      <c r="AP87" s="207">
        <f>Input!H137</f>
        <v>0</v>
      </c>
      <c r="AQ87" s="62">
        <f>Input!G137</f>
        <v>0</v>
      </c>
      <c r="AR87" s="207">
        <f t="shared" si="9"/>
        <v>0</v>
      </c>
      <c r="AT87" s="40">
        <v>40</v>
      </c>
      <c r="AU87" s="207">
        <f>Input!H213</f>
        <v>0</v>
      </c>
      <c r="AV87" s="62">
        <f>Input!G213</f>
        <v>0</v>
      </c>
      <c r="AW87" s="207">
        <f t="shared" si="10"/>
        <v>0</v>
      </c>
    </row>
    <row r="88" spans="2:49" x14ac:dyDescent="0.3">
      <c r="B88" s="485">
        <f t="shared" si="17"/>
        <v>47330</v>
      </c>
      <c r="C88" s="40">
        <v>19</v>
      </c>
      <c r="D88" s="485">
        <f t="shared" si="15"/>
        <v>578</v>
      </c>
      <c r="E88" s="485">
        <f t="shared" si="16"/>
        <v>47330</v>
      </c>
      <c r="F88" s="40">
        <v>19</v>
      </c>
      <c r="R88" s="207"/>
      <c r="AO88" s="40">
        <v>41</v>
      </c>
      <c r="AP88" s="207">
        <f>Input!H163</f>
        <v>0</v>
      </c>
      <c r="AQ88" s="62">
        <f>Input!G163</f>
        <v>0</v>
      </c>
      <c r="AR88" s="207">
        <f t="shared" si="9"/>
        <v>0</v>
      </c>
      <c r="AT88" s="40">
        <v>41</v>
      </c>
      <c r="AU88" s="207">
        <f>Input!H214</f>
        <v>0</v>
      </c>
      <c r="AV88" s="62">
        <f>Input!G214</f>
        <v>0</v>
      </c>
      <c r="AW88" s="207">
        <f t="shared" si="10"/>
        <v>0</v>
      </c>
    </row>
    <row r="89" spans="2:49" x14ac:dyDescent="0.3">
      <c r="B89" s="485">
        <f t="shared" si="17"/>
        <v>47361</v>
      </c>
      <c r="C89" s="40">
        <v>20</v>
      </c>
      <c r="D89" s="485">
        <f t="shared" si="15"/>
        <v>609</v>
      </c>
      <c r="E89" s="485">
        <f t="shared" si="16"/>
        <v>47361</v>
      </c>
      <c r="F89" s="40">
        <v>20</v>
      </c>
      <c r="R89" s="207"/>
      <c r="AO89" s="40">
        <v>42</v>
      </c>
      <c r="AP89" s="207">
        <f>Input!H139</f>
        <v>0</v>
      </c>
      <c r="AQ89" s="62">
        <f>Input!G139</f>
        <v>0</v>
      </c>
      <c r="AR89" s="207">
        <f t="shared" si="9"/>
        <v>0</v>
      </c>
      <c r="AT89" s="40">
        <v>42</v>
      </c>
      <c r="AU89" s="207">
        <f>Input!H215</f>
        <v>0</v>
      </c>
      <c r="AV89" s="62">
        <f>Input!G215</f>
        <v>0</v>
      </c>
      <c r="AW89" s="207">
        <f t="shared" si="10"/>
        <v>0</v>
      </c>
    </row>
    <row r="90" spans="2:49" x14ac:dyDescent="0.3">
      <c r="B90" s="485">
        <f t="shared" si="17"/>
        <v>47391</v>
      </c>
      <c r="C90" s="40">
        <v>21</v>
      </c>
      <c r="D90" s="485">
        <f t="shared" si="15"/>
        <v>639</v>
      </c>
      <c r="E90" s="485">
        <f t="shared" si="16"/>
        <v>47391</v>
      </c>
      <c r="F90" s="40">
        <v>21</v>
      </c>
      <c r="R90" s="207"/>
      <c r="AO90" s="40">
        <v>43</v>
      </c>
      <c r="AP90" s="207">
        <f>Input!H140</f>
        <v>0</v>
      </c>
      <c r="AQ90" s="62">
        <f>Input!G140</f>
        <v>0</v>
      </c>
      <c r="AR90" s="207">
        <f t="shared" si="9"/>
        <v>0</v>
      </c>
      <c r="AT90" s="40">
        <v>43</v>
      </c>
      <c r="AU90" s="207">
        <f>Input!H216</f>
        <v>0</v>
      </c>
      <c r="AV90" s="62">
        <f>Input!G216</f>
        <v>0</v>
      </c>
      <c r="AW90" s="207">
        <f t="shared" si="10"/>
        <v>0</v>
      </c>
    </row>
    <row r="91" spans="2:49" x14ac:dyDescent="0.3">
      <c r="B91" s="485">
        <f t="shared" si="17"/>
        <v>47422</v>
      </c>
      <c r="C91" s="40">
        <v>22</v>
      </c>
      <c r="D91" s="485">
        <f t="shared" si="15"/>
        <v>670</v>
      </c>
      <c r="E91" s="485">
        <f t="shared" si="16"/>
        <v>47422</v>
      </c>
      <c r="F91" s="40">
        <v>22</v>
      </c>
      <c r="R91" s="207"/>
      <c r="AO91" s="40">
        <v>44</v>
      </c>
      <c r="AP91" s="207">
        <f>Input!H141</f>
        <v>0</v>
      </c>
      <c r="AQ91" s="62">
        <f>Input!G141</f>
        <v>0</v>
      </c>
      <c r="AR91" s="207">
        <f t="shared" si="9"/>
        <v>0</v>
      </c>
      <c r="AT91" s="40">
        <v>44</v>
      </c>
      <c r="AU91" s="207">
        <f>Input!H217</f>
        <v>0</v>
      </c>
      <c r="AV91" s="62">
        <f>Input!G217</f>
        <v>0</v>
      </c>
      <c r="AW91" s="207">
        <f t="shared" si="10"/>
        <v>0</v>
      </c>
    </row>
    <row r="92" spans="2:49" x14ac:dyDescent="0.3">
      <c r="B92" s="485">
        <f t="shared" si="17"/>
        <v>47452</v>
      </c>
      <c r="C92" s="40">
        <v>23</v>
      </c>
      <c r="D92" s="485">
        <f t="shared" si="15"/>
        <v>700</v>
      </c>
      <c r="E92" s="485">
        <f t="shared" si="16"/>
        <v>47452</v>
      </c>
      <c r="F92" s="40">
        <v>23</v>
      </c>
      <c r="R92" s="207"/>
      <c r="AO92" s="40">
        <v>45</v>
      </c>
      <c r="AP92" s="207">
        <f>Input!H142</f>
        <v>0</v>
      </c>
      <c r="AQ92" s="62">
        <f>Input!G142</f>
        <v>0</v>
      </c>
      <c r="AR92" s="207">
        <f t="shared" si="9"/>
        <v>0</v>
      </c>
      <c r="AT92" s="40">
        <v>45</v>
      </c>
      <c r="AU92" s="207">
        <f>Input!H218</f>
        <v>0</v>
      </c>
      <c r="AV92" s="62">
        <f>Input!G218</f>
        <v>0</v>
      </c>
      <c r="AW92" s="207">
        <f t="shared" si="10"/>
        <v>0</v>
      </c>
    </row>
    <row r="93" spans="2:49" x14ac:dyDescent="0.3">
      <c r="B93" s="485">
        <f t="shared" si="17"/>
        <v>47483</v>
      </c>
      <c r="C93" s="40">
        <v>24</v>
      </c>
      <c r="D93" s="485">
        <f t="shared" si="15"/>
        <v>731</v>
      </c>
      <c r="E93" s="485">
        <f t="shared" si="16"/>
        <v>47483</v>
      </c>
      <c r="F93" s="40">
        <v>24</v>
      </c>
      <c r="R93" s="207"/>
      <c r="AO93" s="40">
        <v>46</v>
      </c>
      <c r="AP93" s="207">
        <f>Input!H143</f>
        <v>0</v>
      </c>
      <c r="AQ93" s="62">
        <f>Input!G143</f>
        <v>0</v>
      </c>
      <c r="AR93" s="207">
        <f t="shared" si="9"/>
        <v>0</v>
      </c>
      <c r="AT93" s="40">
        <v>46</v>
      </c>
      <c r="AU93" s="207">
        <f>Input!H219</f>
        <v>0</v>
      </c>
      <c r="AV93" s="62">
        <f>Input!G219</f>
        <v>0</v>
      </c>
      <c r="AW93" s="207">
        <f t="shared" si="10"/>
        <v>0</v>
      </c>
    </row>
    <row r="94" spans="2:49" x14ac:dyDescent="0.3">
      <c r="B94" s="485">
        <f t="shared" si="17"/>
        <v>47514</v>
      </c>
      <c r="C94" s="40">
        <v>25</v>
      </c>
      <c r="D94" s="485">
        <f t="shared" si="15"/>
        <v>762</v>
      </c>
      <c r="E94" s="1550"/>
      <c r="F94" s="40">
        <v>25</v>
      </c>
      <c r="R94" s="207"/>
      <c r="AO94" s="40">
        <v>47</v>
      </c>
      <c r="AP94" s="207">
        <f>Input!H144</f>
        <v>0</v>
      </c>
      <c r="AQ94" s="62">
        <f>Input!G144</f>
        <v>0</v>
      </c>
      <c r="AR94" s="207">
        <f t="shared" si="9"/>
        <v>0</v>
      </c>
      <c r="AT94" s="40">
        <v>47</v>
      </c>
      <c r="AU94" s="207">
        <f>Input!H220</f>
        <v>0</v>
      </c>
      <c r="AV94" s="62">
        <f>Input!G220</f>
        <v>0</v>
      </c>
      <c r="AW94" s="207">
        <f t="shared" si="10"/>
        <v>0</v>
      </c>
    </row>
    <row r="95" spans="2:49" x14ac:dyDescent="0.3">
      <c r="B95" s="485">
        <f t="shared" si="17"/>
        <v>47542</v>
      </c>
      <c r="C95" s="40">
        <v>26</v>
      </c>
      <c r="D95" s="485">
        <f t="shared" si="15"/>
        <v>790</v>
      </c>
      <c r="E95" s="1550"/>
      <c r="F95" s="40">
        <v>26</v>
      </c>
      <c r="R95" s="207"/>
      <c r="AO95" s="40">
        <v>48</v>
      </c>
      <c r="AP95" s="207">
        <f>Input!H145</f>
        <v>0</v>
      </c>
      <c r="AQ95" s="62">
        <f>Input!G145</f>
        <v>0</v>
      </c>
      <c r="AR95" s="207">
        <f t="shared" si="9"/>
        <v>0</v>
      </c>
      <c r="AT95" s="40">
        <v>48</v>
      </c>
      <c r="AU95" s="207">
        <f>Input!H221</f>
        <v>0</v>
      </c>
      <c r="AV95" s="62">
        <f>Input!G221</f>
        <v>0</v>
      </c>
      <c r="AW95" s="207">
        <f t="shared" si="10"/>
        <v>0</v>
      </c>
    </row>
    <row r="96" spans="2:49" x14ac:dyDescent="0.3">
      <c r="B96" s="485">
        <f t="shared" si="17"/>
        <v>47573</v>
      </c>
      <c r="C96" s="40">
        <v>27</v>
      </c>
      <c r="D96" s="485">
        <f t="shared" si="15"/>
        <v>821</v>
      </c>
      <c r="E96" s="1550"/>
      <c r="F96" s="40">
        <v>27</v>
      </c>
      <c r="R96" s="207"/>
      <c r="AO96" s="40">
        <v>49</v>
      </c>
      <c r="AP96" s="207">
        <f>Input!H146</f>
        <v>0</v>
      </c>
      <c r="AQ96" s="62">
        <f>Input!G146</f>
        <v>0</v>
      </c>
      <c r="AR96" s="207">
        <f t="shared" si="9"/>
        <v>0</v>
      </c>
      <c r="AT96" s="40">
        <v>49</v>
      </c>
      <c r="AU96" s="207">
        <f>Input!H222</f>
        <v>0</v>
      </c>
      <c r="AV96" s="62">
        <f>Input!G222</f>
        <v>0</v>
      </c>
      <c r="AW96" s="207">
        <f t="shared" si="10"/>
        <v>0</v>
      </c>
    </row>
    <row r="97" spans="2:49" x14ac:dyDescent="0.3">
      <c r="B97" s="485">
        <f t="shared" si="17"/>
        <v>47603</v>
      </c>
      <c r="C97" s="40">
        <v>28</v>
      </c>
      <c r="D97" s="485">
        <f t="shared" si="15"/>
        <v>851</v>
      </c>
      <c r="E97" s="1550"/>
      <c r="F97" s="40">
        <v>28</v>
      </c>
      <c r="R97" s="207"/>
      <c r="AO97" s="40">
        <v>50</v>
      </c>
      <c r="AP97" s="207">
        <f>Input!H147</f>
        <v>0</v>
      </c>
      <c r="AQ97" s="62">
        <f>Input!G147</f>
        <v>0</v>
      </c>
      <c r="AR97" s="207">
        <f t="shared" si="9"/>
        <v>0</v>
      </c>
      <c r="AT97" s="40">
        <v>50</v>
      </c>
      <c r="AU97" s="207">
        <f>Input!H223</f>
        <v>0</v>
      </c>
      <c r="AV97" s="62">
        <f>Input!G223</f>
        <v>0</v>
      </c>
      <c r="AW97" s="207">
        <f t="shared" si="10"/>
        <v>0</v>
      </c>
    </row>
    <row r="98" spans="2:49" x14ac:dyDescent="0.3">
      <c r="B98" s="485">
        <f t="shared" si="17"/>
        <v>47634</v>
      </c>
      <c r="C98" s="40">
        <v>29</v>
      </c>
      <c r="D98" s="485">
        <f t="shared" si="15"/>
        <v>882</v>
      </c>
      <c r="E98" s="1550"/>
      <c r="F98" s="40">
        <v>29</v>
      </c>
      <c r="R98" s="207"/>
      <c r="AO98" s="40">
        <v>51</v>
      </c>
      <c r="AP98" s="207">
        <f>Input!H148</f>
        <v>0</v>
      </c>
      <c r="AQ98" s="62">
        <f>Input!G148</f>
        <v>0</v>
      </c>
      <c r="AR98" s="207">
        <f t="shared" si="9"/>
        <v>0</v>
      </c>
      <c r="AT98" s="40">
        <v>51</v>
      </c>
      <c r="AU98" s="207">
        <f>Input!H224</f>
        <v>0</v>
      </c>
      <c r="AV98" s="62">
        <f>Input!G224</f>
        <v>0</v>
      </c>
      <c r="AW98" s="207">
        <f t="shared" si="10"/>
        <v>0</v>
      </c>
    </row>
    <row r="99" spans="2:49" x14ac:dyDescent="0.3">
      <c r="B99" s="485">
        <f t="shared" si="17"/>
        <v>47664</v>
      </c>
      <c r="C99" s="40">
        <v>30</v>
      </c>
      <c r="D99" s="485">
        <f t="shared" si="15"/>
        <v>912</v>
      </c>
      <c r="E99" s="1550"/>
      <c r="F99" s="40">
        <v>30</v>
      </c>
      <c r="R99" s="207"/>
      <c r="AO99" s="40">
        <v>52</v>
      </c>
      <c r="AP99" s="207">
        <f>Input!H149</f>
        <v>0</v>
      </c>
      <c r="AQ99" s="62">
        <f>Input!G149</f>
        <v>0</v>
      </c>
      <c r="AR99" s="207">
        <f t="shared" si="9"/>
        <v>0</v>
      </c>
      <c r="AT99" s="40">
        <v>52</v>
      </c>
      <c r="AU99" s="207">
        <f>Input!H225</f>
        <v>0</v>
      </c>
      <c r="AV99" s="62">
        <f>Input!G225</f>
        <v>0</v>
      </c>
      <c r="AW99" s="207">
        <f t="shared" si="10"/>
        <v>0</v>
      </c>
    </row>
    <row r="100" spans="2:49" x14ac:dyDescent="0.3">
      <c r="B100" s="485">
        <f t="shared" si="17"/>
        <v>47695</v>
      </c>
      <c r="C100" s="40">
        <v>31</v>
      </c>
      <c r="D100" s="485">
        <f t="shared" si="15"/>
        <v>943</v>
      </c>
      <c r="E100" s="1550"/>
      <c r="F100" s="40">
        <v>31</v>
      </c>
      <c r="R100" s="207"/>
      <c r="AO100" s="40">
        <v>53</v>
      </c>
      <c r="AP100" s="207">
        <f>Input!H150</f>
        <v>0</v>
      </c>
      <c r="AQ100" s="62">
        <f>Input!G150</f>
        <v>0</v>
      </c>
      <c r="AR100" s="207">
        <f t="shared" si="9"/>
        <v>0</v>
      </c>
      <c r="AT100" s="40">
        <v>53</v>
      </c>
      <c r="AU100" s="207">
        <f>Input!H226</f>
        <v>0</v>
      </c>
      <c r="AV100" s="62">
        <f>Input!G226</f>
        <v>0</v>
      </c>
      <c r="AW100" s="207">
        <f t="shared" si="10"/>
        <v>0</v>
      </c>
    </row>
    <row r="101" spans="2:49" x14ac:dyDescent="0.3">
      <c r="B101" s="485">
        <f t="shared" si="17"/>
        <v>47726</v>
      </c>
      <c r="C101" s="40">
        <v>32</v>
      </c>
      <c r="D101" s="485">
        <f t="shared" si="15"/>
        <v>974</v>
      </c>
      <c r="E101" s="1550"/>
      <c r="F101" s="40">
        <v>32</v>
      </c>
      <c r="R101" s="207"/>
      <c r="AO101" s="40">
        <v>54</v>
      </c>
      <c r="AP101" s="207">
        <f>Input!H151</f>
        <v>0</v>
      </c>
      <c r="AQ101" s="62">
        <f>Input!G151</f>
        <v>0</v>
      </c>
      <c r="AR101" s="207">
        <f t="shared" si="9"/>
        <v>0</v>
      </c>
      <c r="AT101" s="40">
        <v>54</v>
      </c>
      <c r="AU101" s="207">
        <f>Input!H227</f>
        <v>0</v>
      </c>
      <c r="AV101" s="62">
        <f>Input!G227</f>
        <v>0</v>
      </c>
      <c r="AW101" s="207">
        <f t="shared" si="10"/>
        <v>0</v>
      </c>
    </row>
    <row r="102" spans="2:49" x14ac:dyDescent="0.3">
      <c r="B102" s="485">
        <f t="shared" si="17"/>
        <v>47756</v>
      </c>
      <c r="C102" s="40">
        <v>33</v>
      </c>
      <c r="D102" s="485">
        <f t="shared" si="15"/>
        <v>1004</v>
      </c>
      <c r="E102" s="1550"/>
      <c r="F102" s="40">
        <v>33</v>
      </c>
      <c r="R102" s="207"/>
      <c r="AO102" s="40">
        <v>55</v>
      </c>
      <c r="AP102" s="207">
        <f>Input!H152</f>
        <v>0</v>
      </c>
      <c r="AQ102" s="62">
        <f>Input!G152</f>
        <v>0</v>
      </c>
      <c r="AR102" s="207">
        <f t="shared" si="9"/>
        <v>0</v>
      </c>
      <c r="AT102" s="40">
        <v>55</v>
      </c>
      <c r="AU102" s="207">
        <f>Input!H228</f>
        <v>0</v>
      </c>
      <c r="AV102" s="62">
        <f>Input!G228</f>
        <v>0</v>
      </c>
      <c r="AW102" s="207">
        <f t="shared" si="10"/>
        <v>0</v>
      </c>
    </row>
    <row r="103" spans="2:49" x14ac:dyDescent="0.3">
      <c r="B103" s="485">
        <f t="shared" si="17"/>
        <v>47787</v>
      </c>
      <c r="C103" s="40">
        <v>34</v>
      </c>
      <c r="D103" s="485">
        <f t="shared" ref="D103:D129" si="18">EOMONTH(D102,1)</f>
        <v>1035</v>
      </c>
      <c r="E103" s="1550"/>
      <c r="F103" s="40">
        <v>34</v>
      </c>
      <c r="R103" s="207"/>
      <c r="AO103" s="40">
        <v>56</v>
      </c>
      <c r="AP103" s="207">
        <f>Input!H153</f>
        <v>0</v>
      </c>
      <c r="AQ103" s="62">
        <f>Input!G153</f>
        <v>0</v>
      </c>
      <c r="AR103" s="207">
        <f t="shared" si="9"/>
        <v>0</v>
      </c>
      <c r="AT103" s="40">
        <v>56</v>
      </c>
      <c r="AU103" s="207">
        <f>Input!H229</f>
        <v>0</v>
      </c>
      <c r="AV103" s="62">
        <f>Input!G229</f>
        <v>0</v>
      </c>
      <c r="AW103" s="207">
        <f t="shared" si="10"/>
        <v>0</v>
      </c>
    </row>
    <row r="104" spans="2:49" x14ac:dyDescent="0.3">
      <c r="B104" s="485">
        <f t="shared" si="17"/>
        <v>47817</v>
      </c>
      <c r="C104" s="40">
        <v>35</v>
      </c>
      <c r="D104" s="485">
        <f t="shared" si="18"/>
        <v>1065</v>
      </c>
      <c r="E104" s="1550"/>
      <c r="F104" s="40">
        <v>35</v>
      </c>
      <c r="R104" s="207"/>
      <c r="AO104" s="40">
        <v>57</v>
      </c>
      <c r="AP104" s="207">
        <f>Input!H154</f>
        <v>0</v>
      </c>
      <c r="AQ104" s="62">
        <f>Input!G154</f>
        <v>0</v>
      </c>
      <c r="AR104" s="207">
        <f t="shared" si="9"/>
        <v>0</v>
      </c>
      <c r="AT104" s="40">
        <v>57</v>
      </c>
      <c r="AU104" s="207">
        <f>Input!H230</f>
        <v>0</v>
      </c>
      <c r="AV104" s="62">
        <f>Input!G230</f>
        <v>0</v>
      </c>
      <c r="AW104" s="207">
        <f t="shared" si="10"/>
        <v>0</v>
      </c>
    </row>
    <row r="105" spans="2:49" x14ac:dyDescent="0.3">
      <c r="B105" s="485">
        <f t="shared" si="17"/>
        <v>47848</v>
      </c>
      <c r="C105" s="40">
        <v>36</v>
      </c>
      <c r="D105" s="485">
        <f t="shared" si="18"/>
        <v>1096</v>
      </c>
      <c r="E105" s="1550"/>
      <c r="F105" s="40">
        <v>36</v>
      </c>
      <c r="R105" s="207"/>
      <c r="AO105" s="40">
        <v>58</v>
      </c>
      <c r="AP105" s="207">
        <f>Input!H155</f>
        <v>0</v>
      </c>
      <c r="AQ105" s="62">
        <f>Input!G155</f>
        <v>0</v>
      </c>
      <c r="AR105" s="207">
        <f t="shared" si="9"/>
        <v>0</v>
      </c>
      <c r="AT105" s="40">
        <v>58</v>
      </c>
      <c r="AU105" s="207">
        <f>Input!H231</f>
        <v>0</v>
      </c>
      <c r="AV105" s="62">
        <f>Input!G231</f>
        <v>0</v>
      </c>
      <c r="AW105" s="207">
        <f t="shared" si="10"/>
        <v>0</v>
      </c>
    </row>
    <row r="106" spans="2:49" x14ac:dyDescent="0.3">
      <c r="B106" s="485">
        <f t="shared" si="17"/>
        <v>47879</v>
      </c>
      <c r="C106" s="40">
        <v>37</v>
      </c>
      <c r="D106" s="485">
        <f t="shared" si="18"/>
        <v>1127</v>
      </c>
      <c r="E106" s="1550"/>
      <c r="F106" s="40">
        <v>37</v>
      </c>
      <c r="R106" s="207"/>
      <c r="AO106" s="40">
        <v>59</v>
      </c>
      <c r="AP106" s="207">
        <f>Input!H156</f>
        <v>0</v>
      </c>
      <c r="AQ106" s="62">
        <f>Input!G156</f>
        <v>0</v>
      </c>
      <c r="AR106" s="207">
        <f t="shared" si="9"/>
        <v>0</v>
      </c>
      <c r="AT106" s="40">
        <v>59</v>
      </c>
      <c r="AU106" s="207">
        <f>Input!H232</f>
        <v>0</v>
      </c>
      <c r="AV106" s="62">
        <f>Input!G232</f>
        <v>0</v>
      </c>
      <c r="AW106" s="207">
        <f t="shared" si="10"/>
        <v>0</v>
      </c>
    </row>
    <row r="107" spans="2:49" x14ac:dyDescent="0.3">
      <c r="B107" s="485">
        <f t="shared" si="17"/>
        <v>47907</v>
      </c>
      <c r="C107" s="40">
        <v>38</v>
      </c>
      <c r="D107" s="485">
        <f t="shared" si="18"/>
        <v>1155</v>
      </c>
      <c r="E107" s="1550"/>
      <c r="F107" s="40">
        <v>38</v>
      </c>
      <c r="R107" s="207"/>
      <c r="AO107" s="40">
        <v>60</v>
      </c>
      <c r="AP107" s="207">
        <f>Input!H157</f>
        <v>0</v>
      </c>
      <c r="AQ107" s="62">
        <f>Input!G157</f>
        <v>0</v>
      </c>
      <c r="AR107" s="207">
        <f t="shared" si="9"/>
        <v>0</v>
      </c>
      <c r="AT107" s="40">
        <v>60</v>
      </c>
      <c r="AU107" s="207">
        <f>Input!H233</f>
        <v>0</v>
      </c>
      <c r="AV107" s="62">
        <f>Input!G233</f>
        <v>0</v>
      </c>
      <c r="AW107" s="207">
        <f t="shared" si="10"/>
        <v>0</v>
      </c>
    </row>
    <row r="108" spans="2:49" x14ac:dyDescent="0.3">
      <c r="B108" s="485">
        <f t="shared" si="17"/>
        <v>47938</v>
      </c>
      <c r="C108" s="40">
        <v>39</v>
      </c>
      <c r="D108" s="485">
        <f t="shared" si="18"/>
        <v>1186</v>
      </c>
      <c r="E108" s="1550"/>
      <c r="F108" s="40">
        <v>39</v>
      </c>
      <c r="R108" s="207"/>
    </row>
    <row r="109" spans="2:49" x14ac:dyDescent="0.3">
      <c r="B109" s="485">
        <f t="shared" si="17"/>
        <v>47968</v>
      </c>
      <c r="C109" s="40">
        <v>40</v>
      </c>
      <c r="D109" s="485">
        <f t="shared" si="18"/>
        <v>1216</v>
      </c>
      <c r="E109" s="1550"/>
      <c r="F109" s="40">
        <v>40</v>
      </c>
      <c r="R109" s="207"/>
    </row>
    <row r="110" spans="2:49" x14ac:dyDescent="0.3">
      <c r="B110" s="485">
        <f t="shared" si="17"/>
        <v>47999</v>
      </c>
      <c r="C110" s="40">
        <v>41</v>
      </c>
      <c r="D110" s="485">
        <f t="shared" si="18"/>
        <v>1247</v>
      </c>
      <c r="E110" s="1550"/>
      <c r="F110" s="40">
        <v>41</v>
      </c>
      <c r="R110" s="207"/>
    </row>
    <row r="111" spans="2:49" x14ac:dyDescent="0.3">
      <c r="B111" s="485">
        <f t="shared" si="17"/>
        <v>48029</v>
      </c>
      <c r="C111" s="40">
        <v>42</v>
      </c>
      <c r="D111" s="485">
        <f t="shared" si="18"/>
        <v>1277</v>
      </c>
      <c r="E111" s="1550"/>
      <c r="F111" s="40">
        <v>42</v>
      </c>
      <c r="R111" s="207"/>
    </row>
    <row r="112" spans="2:49" x14ac:dyDescent="0.3">
      <c r="B112" s="485">
        <f t="shared" si="17"/>
        <v>48060</v>
      </c>
      <c r="C112" s="40">
        <v>43</v>
      </c>
      <c r="D112" s="485">
        <f t="shared" si="18"/>
        <v>1308</v>
      </c>
      <c r="E112" s="1550"/>
      <c r="F112" s="40">
        <v>43</v>
      </c>
      <c r="R112" s="207"/>
    </row>
    <row r="113" spans="2:18" x14ac:dyDescent="0.3">
      <c r="B113" s="485">
        <f t="shared" si="17"/>
        <v>48091</v>
      </c>
      <c r="C113" s="40">
        <v>44</v>
      </c>
      <c r="D113" s="485">
        <f t="shared" si="18"/>
        <v>1339</v>
      </c>
      <c r="E113" s="1550"/>
      <c r="F113" s="40">
        <v>44</v>
      </c>
      <c r="R113" s="207"/>
    </row>
    <row r="114" spans="2:18" x14ac:dyDescent="0.3">
      <c r="B114" s="485">
        <f t="shared" si="17"/>
        <v>48121</v>
      </c>
      <c r="C114" s="40">
        <v>45</v>
      </c>
      <c r="D114" s="485">
        <f t="shared" si="18"/>
        <v>1369</v>
      </c>
      <c r="E114" s="1550"/>
      <c r="F114" s="40">
        <v>45</v>
      </c>
      <c r="R114" s="207"/>
    </row>
    <row r="115" spans="2:18" x14ac:dyDescent="0.3">
      <c r="B115" s="485">
        <f t="shared" si="17"/>
        <v>48152</v>
      </c>
      <c r="C115" s="40">
        <v>46</v>
      </c>
      <c r="D115" s="485">
        <f t="shared" si="18"/>
        <v>1400</v>
      </c>
      <c r="E115" s="1550"/>
      <c r="F115" s="40">
        <v>46</v>
      </c>
      <c r="R115" s="207"/>
    </row>
    <row r="116" spans="2:18" x14ac:dyDescent="0.3">
      <c r="B116" s="485">
        <f t="shared" si="17"/>
        <v>48182</v>
      </c>
      <c r="C116" s="40">
        <v>47</v>
      </c>
      <c r="D116" s="485">
        <f t="shared" si="18"/>
        <v>1430</v>
      </c>
      <c r="E116" s="1550"/>
      <c r="F116" s="40">
        <v>47</v>
      </c>
      <c r="R116" s="207"/>
    </row>
    <row r="117" spans="2:18" x14ac:dyDescent="0.3">
      <c r="B117" s="485">
        <f t="shared" si="17"/>
        <v>48213</v>
      </c>
      <c r="C117" s="40">
        <v>48</v>
      </c>
      <c r="D117" s="485">
        <f t="shared" si="18"/>
        <v>1461</v>
      </c>
      <c r="E117" s="1550"/>
      <c r="F117" s="40">
        <v>48</v>
      </c>
      <c r="R117" s="207"/>
    </row>
    <row r="118" spans="2:18" x14ac:dyDescent="0.3">
      <c r="B118" s="485">
        <f t="shared" si="17"/>
        <v>48244</v>
      </c>
      <c r="C118" s="40">
        <v>49</v>
      </c>
      <c r="D118" s="485">
        <f t="shared" si="18"/>
        <v>1492</v>
      </c>
      <c r="E118" s="1550"/>
      <c r="F118" s="40">
        <v>49</v>
      </c>
      <c r="R118" s="207"/>
    </row>
    <row r="119" spans="2:18" x14ac:dyDescent="0.3">
      <c r="B119" s="485">
        <f t="shared" si="17"/>
        <v>48273</v>
      </c>
      <c r="C119" s="40">
        <v>50</v>
      </c>
      <c r="D119" s="485">
        <f t="shared" si="18"/>
        <v>1521</v>
      </c>
      <c r="E119" s="1550"/>
      <c r="F119" s="40">
        <v>50</v>
      </c>
      <c r="R119" s="207"/>
    </row>
    <row r="120" spans="2:18" x14ac:dyDescent="0.3">
      <c r="B120" s="485">
        <f t="shared" si="17"/>
        <v>48304</v>
      </c>
      <c r="C120" s="40">
        <v>51</v>
      </c>
      <c r="D120" s="485">
        <f t="shared" si="18"/>
        <v>1552</v>
      </c>
      <c r="E120" s="1550"/>
      <c r="F120" s="40">
        <v>51</v>
      </c>
      <c r="R120" s="207"/>
    </row>
    <row r="121" spans="2:18" x14ac:dyDescent="0.3">
      <c r="B121" s="485">
        <f t="shared" si="17"/>
        <v>48334</v>
      </c>
      <c r="C121" s="40">
        <v>52</v>
      </c>
      <c r="D121" s="485">
        <f t="shared" si="18"/>
        <v>1582</v>
      </c>
      <c r="E121" s="1550"/>
      <c r="F121" s="40">
        <v>52</v>
      </c>
      <c r="R121" s="207"/>
    </row>
    <row r="122" spans="2:18" x14ac:dyDescent="0.3">
      <c r="B122" s="485">
        <f t="shared" si="17"/>
        <v>48365</v>
      </c>
      <c r="C122" s="40">
        <v>53</v>
      </c>
      <c r="D122" s="485">
        <f t="shared" si="18"/>
        <v>1613</v>
      </c>
      <c r="E122" s="1550"/>
      <c r="F122" s="40">
        <v>53</v>
      </c>
      <c r="R122" s="207"/>
    </row>
    <row r="123" spans="2:18" x14ac:dyDescent="0.3">
      <c r="B123" s="485">
        <f t="shared" si="17"/>
        <v>48395</v>
      </c>
      <c r="C123" s="40">
        <v>54</v>
      </c>
      <c r="D123" s="485">
        <f t="shared" si="18"/>
        <v>1643</v>
      </c>
      <c r="E123" s="1550"/>
      <c r="F123" s="40">
        <v>54</v>
      </c>
      <c r="R123" s="207"/>
    </row>
    <row r="124" spans="2:18" x14ac:dyDescent="0.3">
      <c r="B124" s="485">
        <f t="shared" si="17"/>
        <v>48426</v>
      </c>
      <c r="C124" s="40">
        <v>55</v>
      </c>
      <c r="D124" s="485">
        <f t="shared" si="18"/>
        <v>1674</v>
      </c>
      <c r="E124" s="1550"/>
      <c r="F124" s="40">
        <v>55</v>
      </c>
      <c r="R124" s="207"/>
    </row>
    <row r="125" spans="2:18" x14ac:dyDescent="0.3">
      <c r="B125" s="485">
        <f t="shared" si="17"/>
        <v>48457</v>
      </c>
      <c r="C125" s="40">
        <v>56</v>
      </c>
      <c r="D125" s="485">
        <f t="shared" si="18"/>
        <v>1705</v>
      </c>
      <c r="E125" s="1550"/>
      <c r="F125" s="40">
        <v>56</v>
      </c>
      <c r="R125" s="207"/>
    </row>
    <row r="126" spans="2:18" x14ac:dyDescent="0.3">
      <c r="B126" s="485">
        <f t="shared" si="17"/>
        <v>48487</v>
      </c>
      <c r="C126" s="40">
        <v>57</v>
      </c>
      <c r="D126" s="485">
        <f t="shared" si="18"/>
        <v>1735</v>
      </c>
      <c r="E126" s="1550"/>
      <c r="F126" s="40">
        <v>57</v>
      </c>
      <c r="R126" s="207"/>
    </row>
    <row r="127" spans="2:18" x14ac:dyDescent="0.3">
      <c r="B127" s="485">
        <f t="shared" si="17"/>
        <v>48518</v>
      </c>
      <c r="C127" s="40">
        <v>58</v>
      </c>
      <c r="D127" s="485">
        <f t="shared" si="18"/>
        <v>1766</v>
      </c>
      <c r="E127" s="1550"/>
      <c r="F127" s="40">
        <v>58</v>
      </c>
      <c r="R127" s="207"/>
    </row>
    <row r="128" spans="2:18" x14ac:dyDescent="0.3">
      <c r="B128" s="485">
        <f t="shared" si="17"/>
        <v>48548</v>
      </c>
      <c r="C128" s="40">
        <v>59</v>
      </c>
      <c r="D128" s="485">
        <f t="shared" si="18"/>
        <v>1796</v>
      </c>
      <c r="E128" s="1550"/>
      <c r="F128" s="40">
        <v>59</v>
      </c>
      <c r="R128" s="207"/>
    </row>
    <row r="129" spans="2:18" x14ac:dyDescent="0.3">
      <c r="B129" s="485">
        <f t="shared" si="17"/>
        <v>48579</v>
      </c>
      <c r="C129" s="40">
        <v>60</v>
      </c>
      <c r="D129" s="485">
        <f t="shared" si="18"/>
        <v>1827</v>
      </c>
      <c r="E129" s="1550"/>
      <c r="F129" s="40">
        <v>60</v>
      </c>
      <c r="R129" s="207"/>
    </row>
    <row r="130" spans="2:18" x14ac:dyDescent="0.3">
      <c r="B130" s="485">
        <f t="shared" si="17"/>
        <v>48610</v>
      </c>
      <c r="R130" s="207"/>
    </row>
    <row r="131" spans="2:18" x14ac:dyDescent="0.3">
      <c r="B131" s="485">
        <f t="shared" si="17"/>
        <v>48638</v>
      </c>
      <c r="R131" s="207"/>
    </row>
    <row r="132" spans="2:18" x14ac:dyDescent="0.3">
      <c r="B132" s="485">
        <f t="shared" si="17"/>
        <v>48669</v>
      </c>
      <c r="R132" s="207"/>
    </row>
    <row r="133" spans="2:18" x14ac:dyDescent="0.3">
      <c r="B133" s="485">
        <f t="shared" si="17"/>
        <v>48699</v>
      </c>
      <c r="R133" s="207"/>
    </row>
    <row r="134" spans="2:18" x14ac:dyDescent="0.3">
      <c r="B134" s="485">
        <f t="shared" si="17"/>
        <v>48730</v>
      </c>
      <c r="R134" s="207"/>
    </row>
    <row r="135" spans="2:18" x14ac:dyDescent="0.3">
      <c r="B135" s="485">
        <f t="shared" si="17"/>
        <v>48760</v>
      </c>
      <c r="R135" s="207"/>
    </row>
    <row r="136" spans="2:18" x14ac:dyDescent="0.3">
      <c r="B136" s="485">
        <f t="shared" si="17"/>
        <v>48791</v>
      </c>
      <c r="R136" s="207"/>
    </row>
    <row r="137" spans="2:18" x14ac:dyDescent="0.3">
      <c r="B137" s="485">
        <f t="shared" si="17"/>
        <v>48822</v>
      </c>
      <c r="R137" s="207"/>
    </row>
    <row r="138" spans="2:18" x14ac:dyDescent="0.3">
      <c r="B138" s="485">
        <f t="shared" si="17"/>
        <v>48852</v>
      </c>
      <c r="R138" s="207"/>
    </row>
    <row r="139" spans="2:18" x14ac:dyDescent="0.3">
      <c r="B139" s="485">
        <f t="shared" si="17"/>
        <v>48883</v>
      </c>
      <c r="R139" s="207"/>
    </row>
    <row r="140" spans="2:18" x14ac:dyDescent="0.3">
      <c r="B140" s="485">
        <f t="shared" ref="B140:B154" si="19">EOMONTH(B139,1)</f>
        <v>48913</v>
      </c>
      <c r="R140" s="207"/>
    </row>
    <row r="141" spans="2:18" x14ac:dyDescent="0.3">
      <c r="B141" s="485">
        <f t="shared" si="19"/>
        <v>48944</v>
      </c>
      <c r="R141" s="207"/>
    </row>
    <row r="142" spans="2:18" x14ac:dyDescent="0.3">
      <c r="B142" s="485">
        <f t="shared" si="19"/>
        <v>48975</v>
      </c>
      <c r="R142" s="207"/>
    </row>
    <row r="143" spans="2:18" x14ac:dyDescent="0.3">
      <c r="B143" s="485">
        <f t="shared" si="19"/>
        <v>49003</v>
      </c>
      <c r="R143" s="207"/>
    </row>
    <row r="144" spans="2:18" x14ac:dyDescent="0.3">
      <c r="B144" s="485">
        <f t="shared" si="19"/>
        <v>49034</v>
      </c>
      <c r="R144" s="207"/>
    </row>
    <row r="145" spans="2:18" x14ac:dyDescent="0.3">
      <c r="B145" s="485">
        <f t="shared" si="19"/>
        <v>49064</v>
      </c>
      <c r="R145" s="207"/>
    </row>
    <row r="146" spans="2:18" x14ac:dyDescent="0.3">
      <c r="B146" s="485">
        <f t="shared" si="19"/>
        <v>49095</v>
      </c>
      <c r="R146" s="207"/>
    </row>
    <row r="147" spans="2:18" x14ac:dyDescent="0.3">
      <c r="B147" s="485">
        <f t="shared" si="19"/>
        <v>49125</v>
      </c>
      <c r="R147" s="207"/>
    </row>
    <row r="148" spans="2:18" x14ac:dyDescent="0.3">
      <c r="B148" s="485">
        <f t="shared" si="19"/>
        <v>49156</v>
      </c>
      <c r="R148" s="207"/>
    </row>
    <row r="149" spans="2:18" x14ac:dyDescent="0.3">
      <c r="B149" s="485">
        <f t="shared" si="19"/>
        <v>49187</v>
      </c>
      <c r="R149" s="207"/>
    </row>
    <row r="150" spans="2:18" x14ac:dyDescent="0.3">
      <c r="B150" s="485">
        <f t="shared" si="19"/>
        <v>49217</v>
      </c>
      <c r="R150" s="207"/>
    </row>
    <row r="151" spans="2:18" x14ac:dyDescent="0.3">
      <c r="B151" s="485">
        <f t="shared" si="19"/>
        <v>49248</v>
      </c>
      <c r="R151" s="207"/>
    </row>
    <row r="152" spans="2:18" x14ac:dyDescent="0.3">
      <c r="B152" s="485">
        <f t="shared" si="19"/>
        <v>49278</v>
      </c>
      <c r="R152" s="207"/>
    </row>
    <row r="153" spans="2:18" x14ac:dyDescent="0.3">
      <c r="B153" s="485">
        <f t="shared" si="19"/>
        <v>49309</v>
      </c>
      <c r="R153" s="207"/>
    </row>
    <row r="154" spans="2:18" x14ac:dyDescent="0.3">
      <c r="B154" s="485">
        <f t="shared" si="19"/>
        <v>49340</v>
      </c>
      <c r="R154" s="207"/>
    </row>
    <row r="155" spans="2:18" x14ac:dyDescent="0.3">
      <c r="R155" s="207"/>
    </row>
    <row r="156" spans="2:18" x14ac:dyDescent="0.3">
      <c r="R156" s="207"/>
    </row>
    <row r="157" spans="2:18" x14ac:dyDescent="0.3">
      <c r="R157" s="485">
        <f>IF(AND(Input!$D$20=N157,Input!$AD$21=O157),Infrastructure!Q157,"")</f>
        <v>0</v>
      </c>
    </row>
    <row r="158" spans="2:18" x14ac:dyDescent="0.3">
      <c r="R158" s="485">
        <f>IF(AND(Input!$D$20=N158,Input!$AD$21=O158),Infrastructure!Q158,"")</f>
        <v>0</v>
      </c>
    </row>
    <row r="159" spans="2:18" x14ac:dyDescent="0.3">
      <c r="R159" s="485">
        <f>IF(AND(Input!$D$20=N159,Input!$AD$21=O159),Infrastructure!Q159,"")</f>
        <v>0</v>
      </c>
    </row>
    <row r="160" spans="2:18" x14ac:dyDescent="0.3">
      <c r="R160" s="485">
        <f>IF(AND(Input!$D$20=N160,Input!$AD$21=O160),Infrastructure!Q160,"")</f>
        <v>0</v>
      </c>
    </row>
    <row r="161" spans="7:79" x14ac:dyDescent="0.3">
      <c r="R161" s="485">
        <f>IF(AND(Input!$D$20=N161,Input!$AD$21=O161),Infrastructure!Q161,"")</f>
        <v>0</v>
      </c>
    </row>
    <row r="162" spans="7:79" x14ac:dyDescent="0.3">
      <c r="R162" s="485">
        <f>IF(AND(Input!$D$20=N162,Input!$AD$21=O162),Infrastructure!Q162,"")</f>
        <v>0</v>
      </c>
    </row>
    <row r="163" spans="7:79" x14ac:dyDescent="0.3">
      <c r="R163" s="485">
        <f>IF(AND(Input!$D$20=N163,Input!$AD$21=O163),Infrastructure!Q163,"")</f>
        <v>0</v>
      </c>
    </row>
    <row r="164" spans="7:79" x14ac:dyDescent="0.3">
      <c r="R164" s="485">
        <f>IF(AND(Input!$D$20=N164,Input!$AD$21=O164),Infrastructure!Q164,"")</f>
        <v>0</v>
      </c>
    </row>
    <row r="165" spans="7:79" x14ac:dyDescent="0.3">
      <c r="R165" s="485">
        <f>IF(AND(Input!$D$20=N165,Input!$AD$21=O165),Infrastructure!Q165,"")</f>
        <v>0</v>
      </c>
    </row>
    <row r="166" spans="7:79" ht="15.5" x14ac:dyDescent="0.3">
      <c r="G166" s="1267">
        <f>Calcs!V926</f>
        <v>0</v>
      </c>
      <c r="H166" s="1265">
        <f>Calcs!W926</f>
        <v>0</v>
      </c>
      <c r="I166" s="1265">
        <f>Calcs!X926</f>
        <v>0</v>
      </c>
      <c r="J166" s="1578">
        <f>Calcs!Y926</f>
        <v>0</v>
      </c>
      <c r="K166" s="1265">
        <f ca="1">Calcs!Z965</f>
        <v>0</v>
      </c>
      <c r="L166" s="1269">
        <f>Calcs!AB945</f>
        <v>0</v>
      </c>
      <c r="M166" s="6"/>
      <c r="N166" s="1"/>
      <c r="O166" s="1"/>
      <c r="P166" s="5"/>
      <c r="Q166" s="5"/>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row>
    <row r="167" spans="7:79" ht="15.5" x14ac:dyDescent="0.3">
      <c r="G167" s="1267">
        <f>Calcs!V927</f>
        <v>0</v>
      </c>
      <c r="H167" s="1265">
        <f>Calcs!W927</f>
        <v>0</v>
      </c>
      <c r="I167" s="1265">
        <f>Calcs!X927</f>
        <v>0</v>
      </c>
      <c r="J167" s="1578">
        <f>Calcs!Y927</f>
        <v>0</v>
      </c>
      <c r="K167" s="1265">
        <f ca="1">Calcs!Z966</f>
        <v>0</v>
      </c>
      <c r="L167" s="1269">
        <f>Calcs!AB946</f>
        <v>0</v>
      </c>
      <c r="M167" s="6"/>
      <c r="N167" s="1"/>
      <c r="O167" s="1"/>
      <c r="P167" s="5"/>
      <c r="Q167" s="5"/>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row>
    <row r="168" spans="7:79" ht="15.5" x14ac:dyDescent="0.3">
      <c r="G168" s="1267">
        <f>Calcs!V928</f>
        <v>0</v>
      </c>
      <c r="H168" s="1265">
        <f>Calcs!W928</f>
        <v>0</v>
      </c>
      <c r="I168" s="1265">
        <f>Calcs!X928</f>
        <v>0</v>
      </c>
      <c r="J168" s="1578">
        <f>Calcs!Y928</f>
        <v>0</v>
      </c>
      <c r="K168" s="1265">
        <f ca="1">Calcs!Z967</f>
        <v>0</v>
      </c>
      <c r="L168" s="1269">
        <f>Calcs!AB947</f>
        <v>0</v>
      </c>
      <c r="M168" s="6"/>
      <c r="N168" s="1"/>
      <c r="O168" s="1"/>
      <c r="P168" s="5"/>
      <c r="Q168" s="5"/>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row>
    <row r="169" spans="7:79" ht="15.5" x14ac:dyDescent="0.3">
      <c r="G169" s="1267">
        <f>Calcs!V929</f>
        <v>0</v>
      </c>
      <c r="H169" s="1265">
        <f>Calcs!W929</f>
        <v>0</v>
      </c>
      <c r="I169" s="1265">
        <f>Calcs!X929</f>
        <v>0</v>
      </c>
      <c r="J169" s="1578">
        <f>Calcs!Y929</f>
        <v>0</v>
      </c>
      <c r="K169" s="1265">
        <f ca="1">Calcs!Z968</f>
        <v>0</v>
      </c>
      <c r="L169" s="1269">
        <f>Calcs!AB948</f>
        <v>0</v>
      </c>
      <c r="M169" s="6"/>
      <c r="N169" s="1"/>
      <c r="O169" s="1"/>
      <c r="P169" s="5"/>
      <c r="Q169" s="5"/>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row>
    <row r="170" spans="7:79" ht="15.5" x14ac:dyDescent="0.3">
      <c r="G170" s="874">
        <f>Calcs!V930</f>
        <v>0</v>
      </c>
      <c r="H170" s="875">
        <f>Calcs!W930</f>
        <v>0</v>
      </c>
      <c r="I170" s="875">
        <f>Calcs!X930</f>
        <v>0</v>
      </c>
      <c r="J170" s="1579">
        <f>Calcs!Y930</f>
        <v>0</v>
      </c>
      <c r="K170" s="875">
        <f ca="1">Calcs!Z969</f>
        <v>0</v>
      </c>
      <c r="L170" s="1222">
        <f>Calcs!AB949</f>
        <v>0</v>
      </c>
      <c r="M170" s="6"/>
      <c r="N170" s="1"/>
      <c r="O170" s="1"/>
      <c r="P170" s="5"/>
      <c r="Q170" s="5"/>
      <c r="R170" s="5"/>
      <c r="S170" s="13">
        <v>1</v>
      </c>
      <c r="T170" s="13">
        <v>2</v>
      </c>
      <c r="U170" s="13">
        <v>3</v>
      </c>
      <c r="V170" s="13">
        <v>4</v>
      </c>
      <c r="W170" s="13">
        <v>5</v>
      </c>
      <c r="X170" s="13">
        <v>6</v>
      </c>
      <c r="Y170" s="13">
        <v>7</v>
      </c>
      <c r="Z170" s="13">
        <v>8</v>
      </c>
      <c r="AA170" s="13">
        <v>9</v>
      </c>
      <c r="AB170" s="13">
        <v>10</v>
      </c>
      <c r="AC170" s="13">
        <v>11</v>
      </c>
      <c r="AD170" s="13">
        <v>12</v>
      </c>
      <c r="AE170" s="13">
        <v>13</v>
      </c>
      <c r="AF170" s="13">
        <v>14</v>
      </c>
      <c r="AG170" s="13">
        <v>15</v>
      </c>
      <c r="AH170" s="13">
        <v>16</v>
      </c>
      <c r="AI170" s="13">
        <v>17</v>
      </c>
      <c r="AJ170" s="13">
        <v>18</v>
      </c>
      <c r="AK170" s="13">
        <v>19</v>
      </c>
      <c r="AL170" s="13">
        <v>20</v>
      </c>
      <c r="AM170" s="13">
        <v>21</v>
      </c>
      <c r="AN170" s="13">
        <v>22</v>
      </c>
      <c r="AO170" s="13">
        <v>23</v>
      </c>
      <c r="AP170" s="13">
        <v>24</v>
      </c>
      <c r="AQ170" s="13">
        <v>25</v>
      </c>
      <c r="AR170" s="13">
        <v>26</v>
      </c>
      <c r="AS170" s="13">
        <v>27</v>
      </c>
      <c r="AT170" s="13">
        <v>28</v>
      </c>
      <c r="AU170" s="13">
        <v>29</v>
      </c>
      <c r="AV170" s="13">
        <v>30</v>
      </c>
      <c r="AW170" s="13">
        <v>31</v>
      </c>
      <c r="AX170" s="13">
        <v>32</v>
      </c>
      <c r="AY170" s="13">
        <v>33</v>
      </c>
      <c r="AZ170" s="13">
        <v>34</v>
      </c>
      <c r="BA170" s="13">
        <v>35</v>
      </c>
      <c r="BB170" s="13">
        <v>36</v>
      </c>
      <c r="BC170" s="13">
        <v>37</v>
      </c>
      <c r="BD170" s="13">
        <v>38</v>
      </c>
      <c r="BE170" s="13">
        <v>39</v>
      </c>
      <c r="BF170" s="13">
        <v>40</v>
      </c>
      <c r="BG170" s="13">
        <v>41</v>
      </c>
      <c r="BH170" s="13">
        <v>42</v>
      </c>
      <c r="BI170" s="13">
        <v>43</v>
      </c>
      <c r="BJ170" s="13">
        <v>44</v>
      </c>
      <c r="BK170" s="13">
        <v>45</v>
      </c>
      <c r="BL170" s="13">
        <v>46</v>
      </c>
      <c r="BM170" s="13">
        <v>47</v>
      </c>
      <c r="BN170" s="13">
        <v>48</v>
      </c>
      <c r="BO170" s="13">
        <v>49</v>
      </c>
      <c r="BP170" s="13">
        <v>50</v>
      </c>
      <c r="BQ170" s="13">
        <v>51</v>
      </c>
      <c r="BR170" s="13">
        <v>52</v>
      </c>
      <c r="BS170" s="13">
        <v>53</v>
      </c>
      <c r="BT170" s="13">
        <v>54</v>
      </c>
      <c r="BU170" s="13">
        <v>55</v>
      </c>
      <c r="BV170" s="13">
        <v>56</v>
      </c>
      <c r="BW170" s="13">
        <v>57</v>
      </c>
      <c r="BX170" s="13">
        <v>58</v>
      </c>
      <c r="BY170" s="13">
        <v>59</v>
      </c>
      <c r="BZ170" s="13">
        <v>60</v>
      </c>
      <c r="CA170" s="1"/>
    </row>
    <row r="171" spans="7:79" ht="15.5" x14ac:dyDescent="0.3">
      <c r="G171" s="1580">
        <f>SUM(G166:G170)</f>
        <v>0</v>
      </c>
      <c r="H171" s="1581">
        <f>SUM(H166:H170)</f>
        <v>0</v>
      </c>
      <c r="I171" s="1581">
        <f>SUM(I166:I170)</f>
        <v>0</v>
      </c>
      <c r="J171" s="1312">
        <f>Calcs!Y931</f>
        <v>0</v>
      </c>
      <c r="K171" s="1581" t="e">
        <f>Calcs!Z931</f>
        <v>#N/A</v>
      </c>
      <c r="L171" s="1312">
        <f>Calcs!AA931</f>
        <v>0.1</v>
      </c>
      <c r="M171" s="6"/>
      <c r="N171" s="1"/>
      <c r="O171" s="1"/>
      <c r="P171" s="5"/>
      <c r="Q171" s="5"/>
      <c r="R171" s="5"/>
      <c r="S171" s="476">
        <f>Calcs!I3</f>
        <v>0</v>
      </c>
      <c r="T171" s="476">
        <f>Calcs!J3</f>
        <v>0</v>
      </c>
      <c r="U171" s="476">
        <f>Calcs!K3</f>
        <v>0</v>
      </c>
      <c r="V171" s="476">
        <f>Calcs!L3</f>
        <v>0</v>
      </c>
      <c r="W171" s="476">
        <f>Calcs!M3</f>
        <v>0</v>
      </c>
      <c r="X171" s="476">
        <f>Calcs!N3</f>
        <v>0</v>
      </c>
      <c r="Y171" s="476">
        <f>Calcs!O3</f>
        <v>0</v>
      </c>
      <c r="Z171" s="476">
        <f>Calcs!P3</f>
        <v>0</v>
      </c>
      <c r="AA171" s="476">
        <f>Calcs!Q3</f>
        <v>0</v>
      </c>
      <c r="AB171" s="476">
        <f>Calcs!R3</f>
        <v>0</v>
      </c>
      <c r="AC171" s="476">
        <f>Calcs!S3</f>
        <v>0</v>
      </c>
      <c r="AD171" s="476">
        <f>Calcs!T3</f>
        <v>0</v>
      </c>
      <c r="AE171" s="476">
        <f>Calcs!U3</f>
        <v>0</v>
      </c>
      <c r="AF171" s="476">
        <f>Calcs!V3</f>
        <v>0</v>
      </c>
      <c r="AG171" s="476">
        <f>Calcs!W3</f>
        <v>0</v>
      </c>
      <c r="AH171" s="476">
        <f>Calcs!X3</f>
        <v>0</v>
      </c>
      <c r="AI171" s="476">
        <f>Calcs!Y3</f>
        <v>0</v>
      </c>
      <c r="AJ171" s="476">
        <f>Calcs!Z3</f>
        <v>0</v>
      </c>
      <c r="AK171" s="476">
        <f>Calcs!AA3</f>
        <v>0</v>
      </c>
      <c r="AL171" s="476">
        <f>Calcs!AB3</f>
        <v>0</v>
      </c>
      <c r="AM171" s="476">
        <f>Calcs!AC3</f>
        <v>0</v>
      </c>
      <c r="AN171" s="476">
        <f>Calcs!AD3</f>
        <v>0</v>
      </c>
      <c r="AO171" s="476">
        <f>Calcs!AE3</f>
        <v>0</v>
      </c>
      <c r="AP171" s="476">
        <f>Calcs!AF3</f>
        <v>0</v>
      </c>
      <c r="AQ171" s="476">
        <f>Calcs!AG3</f>
        <v>0</v>
      </c>
      <c r="AR171" s="476">
        <f>Calcs!AH3</f>
        <v>0</v>
      </c>
      <c r="AS171" s="476">
        <f>Calcs!AI3</f>
        <v>0</v>
      </c>
      <c r="AT171" s="476">
        <f>Calcs!AJ3</f>
        <v>0</v>
      </c>
      <c r="AU171" s="476">
        <f>Calcs!AK3</f>
        <v>0</v>
      </c>
      <c r="AV171" s="476">
        <f>Calcs!AL3</f>
        <v>0</v>
      </c>
      <c r="AW171" s="476">
        <f>Calcs!AM3</f>
        <v>0</v>
      </c>
      <c r="AX171" s="476">
        <f>Calcs!AN3</f>
        <v>0</v>
      </c>
      <c r="AY171" s="476">
        <f>Calcs!AO3</f>
        <v>0</v>
      </c>
      <c r="AZ171" s="476">
        <f>Calcs!AP3</f>
        <v>0</v>
      </c>
      <c r="BA171" s="476">
        <f>Calcs!AQ3</f>
        <v>0</v>
      </c>
      <c r="BB171" s="476">
        <f>Calcs!AR3</f>
        <v>0</v>
      </c>
      <c r="BC171" s="476">
        <f>Calcs!AS3</f>
        <v>0</v>
      </c>
      <c r="BD171" s="476">
        <f>Calcs!AT3</f>
        <v>0</v>
      </c>
      <c r="BE171" s="476">
        <f>Calcs!AU3</f>
        <v>0</v>
      </c>
      <c r="BF171" s="476">
        <f>Calcs!AV3</f>
        <v>0</v>
      </c>
      <c r="BG171" s="476">
        <f>Calcs!AW3</f>
        <v>0</v>
      </c>
      <c r="BH171" s="476">
        <f>Calcs!AX3</f>
        <v>0</v>
      </c>
      <c r="BI171" s="476">
        <f>Calcs!AY3</f>
        <v>0</v>
      </c>
      <c r="BJ171" s="476">
        <f>Calcs!AZ3</f>
        <v>0</v>
      </c>
      <c r="BK171" s="476">
        <f>Calcs!BA3</f>
        <v>0</v>
      </c>
      <c r="BL171" s="476">
        <f>Calcs!BB3</f>
        <v>0</v>
      </c>
      <c r="BM171" s="476">
        <f>Calcs!BC3</f>
        <v>0</v>
      </c>
      <c r="BN171" s="476">
        <f>Calcs!BD3</f>
        <v>0</v>
      </c>
      <c r="BO171" s="476">
        <f>Calcs!BE3</f>
        <v>0</v>
      </c>
      <c r="BP171" s="476">
        <f>Calcs!BF3</f>
        <v>0</v>
      </c>
      <c r="BQ171" s="476">
        <f>Calcs!BG3</f>
        <v>0</v>
      </c>
      <c r="BR171" s="476">
        <f>Calcs!BH3</f>
        <v>0</v>
      </c>
      <c r="BS171" s="476">
        <f>Calcs!BI3</f>
        <v>0</v>
      </c>
      <c r="BT171" s="476">
        <f>Calcs!BJ3</f>
        <v>0</v>
      </c>
      <c r="BU171" s="476">
        <f>Calcs!BK3</f>
        <v>0</v>
      </c>
      <c r="BV171" s="476">
        <f>Calcs!BL3</f>
        <v>0</v>
      </c>
      <c r="BW171" s="476">
        <f>Calcs!BM3</f>
        <v>0</v>
      </c>
      <c r="BX171" s="476">
        <f>Calcs!BN3</f>
        <v>0</v>
      </c>
      <c r="BY171" s="476">
        <f>Calcs!BO3</f>
        <v>0</v>
      </c>
      <c r="BZ171" s="476">
        <f>Calcs!BP3</f>
        <v>0</v>
      </c>
      <c r="CA171" s="1"/>
    </row>
    <row r="172" spans="7:79" ht="15.5" x14ac:dyDescent="0.3">
      <c r="G172" s="5"/>
      <c r="H172" s="6"/>
      <c r="I172" s="6"/>
      <c r="J172" s="6"/>
      <c r="K172" s="6"/>
      <c r="L172" s="6"/>
      <c r="M172" s="429"/>
      <c r="N172" s="1"/>
      <c r="O172" s="1"/>
      <c r="P172" s="1"/>
      <c r="Q172" s="1"/>
      <c r="R172" s="1"/>
      <c r="S172" s="476">
        <f>Calcs!I8</f>
        <v>0</v>
      </c>
      <c r="T172" s="476">
        <f>Calcs!J8</f>
        <v>0</v>
      </c>
      <c r="U172" s="476">
        <f>Calcs!K8</f>
        <v>0</v>
      </c>
      <c r="V172" s="476">
        <f>Calcs!L8</f>
        <v>0</v>
      </c>
      <c r="W172" s="476">
        <f>Calcs!M8</f>
        <v>0</v>
      </c>
      <c r="X172" s="476">
        <f>Calcs!N8</f>
        <v>0</v>
      </c>
      <c r="Y172" s="476">
        <f>Calcs!O8</f>
        <v>0</v>
      </c>
      <c r="Z172" s="476">
        <f>Calcs!P8</f>
        <v>0</v>
      </c>
      <c r="AA172" s="476">
        <f>Calcs!Q8</f>
        <v>0</v>
      </c>
      <c r="AB172" s="476">
        <f>Calcs!R8</f>
        <v>0</v>
      </c>
      <c r="AC172" s="476">
        <f>Calcs!S8</f>
        <v>0</v>
      </c>
      <c r="AD172" s="476">
        <f>Calcs!T8</f>
        <v>0</v>
      </c>
      <c r="AE172" s="476">
        <f>Calcs!U8</f>
        <v>0</v>
      </c>
      <c r="AF172" s="476">
        <f>Calcs!V8</f>
        <v>0</v>
      </c>
      <c r="AG172" s="476">
        <f>Calcs!W8</f>
        <v>0</v>
      </c>
      <c r="AH172" s="476">
        <f>Calcs!X8</f>
        <v>0</v>
      </c>
      <c r="AI172" s="476">
        <f>Calcs!Y8</f>
        <v>0</v>
      </c>
      <c r="AJ172" s="476">
        <f>Calcs!Z8</f>
        <v>0</v>
      </c>
      <c r="AK172" s="476">
        <f>Calcs!AA8</f>
        <v>0</v>
      </c>
      <c r="AL172" s="476">
        <f>Calcs!AB8</f>
        <v>0</v>
      </c>
      <c r="AM172" s="476">
        <f>Calcs!AC8</f>
        <v>0</v>
      </c>
      <c r="AN172" s="476">
        <f>Calcs!AD8</f>
        <v>0</v>
      </c>
      <c r="AO172" s="476">
        <f>Calcs!AE8</f>
        <v>0</v>
      </c>
      <c r="AP172" s="476">
        <f>Calcs!AF8</f>
        <v>0</v>
      </c>
      <c r="AQ172" s="476">
        <f>Calcs!AG8</f>
        <v>0</v>
      </c>
      <c r="AR172" s="476">
        <f>Calcs!AH8</f>
        <v>0</v>
      </c>
      <c r="AS172" s="476">
        <f>Calcs!AI8</f>
        <v>0</v>
      </c>
      <c r="AT172" s="476">
        <f>Calcs!AJ8</f>
        <v>0</v>
      </c>
      <c r="AU172" s="476">
        <f>Calcs!AK8</f>
        <v>0</v>
      </c>
      <c r="AV172" s="476">
        <f>Calcs!AL8</f>
        <v>0</v>
      </c>
      <c r="AW172" s="476">
        <f>Calcs!AM8</f>
        <v>0</v>
      </c>
      <c r="AX172" s="476">
        <f>Calcs!AN8</f>
        <v>0</v>
      </c>
      <c r="AY172" s="476">
        <f>Calcs!AO8</f>
        <v>0</v>
      </c>
      <c r="AZ172" s="476">
        <f>Calcs!AP8</f>
        <v>0</v>
      </c>
      <c r="BA172" s="476">
        <f>Calcs!AQ8</f>
        <v>0</v>
      </c>
      <c r="BB172" s="476">
        <f>Calcs!AR8</f>
        <v>0</v>
      </c>
      <c r="BC172" s="476">
        <f>Calcs!AS8</f>
        <v>0</v>
      </c>
      <c r="BD172" s="476">
        <f>Calcs!AT8</f>
        <v>0</v>
      </c>
      <c r="BE172" s="476">
        <f>Calcs!AU8</f>
        <v>0</v>
      </c>
      <c r="BF172" s="476">
        <f>Calcs!AV8</f>
        <v>0</v>
      </c>
      <c r="BG172" s="476">
        <f>Calcs!AW8</f>
        <v>0</v>
      </c>
      <c r="BH172" s="476">
        <f>Calcs!AX8</f>
        <v>0</v>
      </c>
      <c r="BI172" s="476">
        <f>Calcs!AY8</f>
        <v>0</v>
      </c>
      <c r="BJ172" s="476">
        <f>Calcs!AZ8</f>
        <v>0</v>
      </c>
      <c r="BK172" s="476">
        <f>Calcs!BA8</f>
        <v>0</v>
      </c>
      <c r="BL172" s="476">
        <f>Calcs!BB8</f>
        <v>0</v>
      </c>
      <c r="BM172" s="476">
        <f>Calcs!BC8</f>
        <v>0</v>
      </c>
      <c r="BN172" s="476">
        <f>Calcs!BD8</f>
        <v>0</v>
      </c>
      <c r="BO172" s="476">
        <f>Calcs!BE8</f>
        <v>0</v>
      </c>
      <c r="BP172" s="476">
        <f>Calcs!BF8</f>
        <v>0</v>
      </c>
      <c r="BQ172" s="476">
        <f>Calcs!BG8</f>
        <v>0</v>
      </c>
      <c r="BR172" s="476">
        <f>Calcs!BH8</f>
        <v>0</v>
      </c>
      <c r="BS172" s="476">
        <f>Calcs!BI8</f>
        <v>0</v>
      </c>
      <c r="BT172" s="476">
        <f>Calcs!BJ8</f>
        <v>0</v>
      </c>
      <c r="BU172" s="476">
        <f>Calcs!BK8</f>
        <v>0</v>
      </c>
      <c r="BV172" s="476">
        <f>Calcs!BL8</f>
        <v>0</v>
      </c>
      <c r="BW172" s="476">
        <f>Calcs!BM8</f>
        <v>0</v>
      </c>
      <c r="BX172" s="476">
        <f>Calcs!BN8</f>
        <v>0</v>
      </c>
      <c r="BY172" s="476">
        <f>Calcs!BO8</f>
        <v>0</v>
      </c>
      <c r="BZ172" s="476">
        <f>Calcs!BP8</f>
        <v>0</v>
      </c>
      <c r="CA172" s="1"/>
    </row>
    <row r="173" spans="7:79" ht="15.5" x14ac:dyDescent="0.3">
      <c r="G173" s="1"/>
      <c r="H173" s="429"/>
      <c r="I173" s="429"/>
      <c r="J173" s="429"/>
      <c r="K173" s="429"/>
      <c r="L173" s="429"/>
      <c r="M173" s="429"/>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row>
    <row r="174" spans="7:79" ht="16" thickBot="1" x14ac:dyDescent="0.4">
      <c r="G174" s="1300"/>
      <c r="H174" s="1301"/>
      <c r="I174" s="1301"/>
      <c r="J174" s="1301"/>
      <c r="K174" s="1301"/>
      <c r="L174" s="1301"/>
      <c r="M174" s="1301"/>
      <c r="N174"/>
      <c r="O174"/>
      <c r="P174" s="214">
        <f>MAX(S174:BZ174)</f>
        <v>0</v>
      </c>
      <c r="Q174"/>
      <c r="R174"/>
      <c r="S174" s="214">
        <f>SUM($S171:S171)</f>
        <v>0</v>
      </c>
      <c r="T174" s="214">
        <f>SUM($S171:T171)</f>
        <v>0</v>
      </c>
      <c r="U174" s="214">
        <f>SUM($S171:U171)</f>
        <v>0</v>
      </c>
      <c r="V174" s="214">
        <f>SUM($S171:V171)</f>
        <v>0</v>
      </c>
      <c r="W174" s="214">
        <f>SUM($S171:W171)</f>
        <v>0</v>
      </c>
      <c r="X174" s="214">
        <f>SUM($S171:X171)</f>
        <v>0</v>
      </c>
      <c r="Y174" s="214">
        <f>SUM($S171:Y171)</f>
        <v>0</v>
      </c>
      <c r="Z174" s="214">
        <f>SUM($S171:Z171)</f>
        <v>0</v>
      </c>
      <c r="AA174" s="214">
        <f>SUM($S171:AA171)</f>
        <v>0</v>
      </c>
      <c r="AB174" s="214">
        <f>SUM($S171:AB171)</f>
        <v>0</v>
      </c>
      <c r="AC174" s="214">
        <f>SUM($S171:AC171)</f>
        <v>0</v>
      </c>
      <c r="AD174" s="214">
        <f>SUM($S171:AD171)</f>
        <v>0</v>
      </c>
      <c r="AE174" s="214">
        <f t="shared" ref="AE174:BZ174" si="20">SUM(T171:AE171)</f>
        <v>0</v>
      </c>
      <c r="AF174" s="214">
        <f t="shared" si="20"/>
        <v>0</v>
      </c>
      <c r="AG174" s="214">
        <f t="shared" si="20"/>
        <v>0</v>
      </c>
      <c r="AH174" s="214">
        <f t="shared" si="20"/>
        <v>0</v>
      </c>
      <c r="AI174" s="214">
        <f t="shared" si="20"/>
        <v>0</v>
      </c>
      <c r="AJ174" s="214">
        <f t="shared" si="20"/>
        <v>0</v>
      </c>
      <c r="AK174" s="214">
        <f t="shared" si="20"/>
        <v>0</v>
      </c>
      <c r="AL174" s="214">
        <f t="shared" si="20"/>
        <v>0</v>
      </c>
      <c r="AM174" s="214">
        <f t="shared" si="20"/>
        <v>0</v>
      </c>
      <c r="AN174" s="214">
        <f t="shared" si="20"/>
        <v>0</v>
      </c>
      <c r="AO174" s="214">
        <f t="shared" si="20"/>
        <v>0</v>
      </c>
      <c r="AP174" s="214">
        <f t="shared" si="20"/>
        <v>0</v>
      </c>
      <c r="AQ174" s="214">
        <f t="shared" si="20"/>
        <v>0</v>
      </c>
      <c r="AR174" s="214">
        <f t="shared" si="20"/>
        <v>0</v>
      </c>
      <c r="AS174" s="214">
        <f t="shared" si="20"/>
        <v>0</v>
      </c>
      <c r="AT174" s="214">
        <f t="shared" si="20"/>
        <v>0</v>
      </c>
      <c r="AU174" s="214">
        <f t="shared" si="20"/>
        <v>0</v>
      </c>
      <c r="AV174" s="214">
        <f t="shared" si="20"/>
        <v>0</v>
      </c>
      <c r="AW174" s="214">
        <f t="shared" si="20"/>
        <v>0</v>
      </c>
      <c r="AX174" s="214">
        <f t="shared" si="20"/>
        <v>0</v>
      </c>
      <c r="AY174" s="214">
        <f t="shared" si="20"/>
        <v>0</v>
      </c>
      <c r="AZ174" s="214">
        <f t="shared" si="20"/>
        <v>0</v>
      </c>
      <c r="BA174" s="214">
        <f t="shared" si="20"/>
        <v>0</v>
      </c>
      <c r="BB174" s="214">
        <f t="shared" si="20"/>
        <v>0</v>
      </c>
      <c r="BC174" s="214">
        <f t="shared" si="20"/>
        <v>0</v>
      </c>
      <c r="BD174" s="214">
        <f t="shared" si="20"/>
        <v>0</v>
      </c>
      <c r="BE174" s="214">
        <f t="shared" si="20"/>
        <v>0</v>
      </c>
      <c r="BF174" s="214">
        <f t="shared" si="20"/>
        <v>0</v>
      </c>
      <c r="BG174" s="214">
        <f t="shared" si="20"/>
        <v>0</v>
      </c>
      <c r="BH174" s="214">
        <f t="shared" si="20"/>
        <v>0</v>
      </c>
      <c r="BI174" s="214">
        <f t="shared" si="20"/>
        <v>0</v>
      </c>
      <c r="BJ174" s="214">
        <f t="shared" si="20"/>
        <v>0</v>
      </c>
      <c r="BK174" s="214">
        <f t="shared" si="20"/>
        <v>0</v>
      </c>
      <c r="BL174" s="214">
        <f t="shared" si="20"/>
        <v>0</v>
      </c>
      <c r="BM174" s="214">
        <f t="shared" si="20"/>
        <v>0</v>
      </c>
      <c r="BN174" s="214">
        <f t="shared" si="20"/>
        <v>0</v>
      </c>
      <c r="BO174" s="214">
        <f t="shared" si="20"/>
        <v>0</v>
      </c>
      <c r="BP174" s="214">
        <f t="shared" si="20"/>
        <v>0</v>
      </c>
      <c r="BQ174" s="214">
        <f t="shared" si="20"/>
        <v>0</v>
      </c>
      <c r="BR174" s="214">
        <f t="shared" si="20"/>
        <v>0</v>
      </c>
      <c r="BS174" s="214">
        <f t="shared" si="20"/>
        <v>0</v>
      </c>
      <c r="BT174" s="214">
        <f t="shared" si="20"/>
        <v>0</v>
      </c>
      <c r="BU174" s="214">
        <f t="shared" si="20"/>
        <v>0</v>
      </c>
      <c r="BV174" s="214">
        <f t="shared" si="20"/>
        <v>0</v>
      </c>
      <c r="BW174" s="214">
        <f t="shared" si="20"/>
        <v>0</v>
      </c>
      <c r="BX174" s="214">
        <f t="shared" si="20"/>
        <v>0</v>
      </c>
      <c r="BY174" s="214">
        <f t="shared" si="20"/>
        <v>0</v>
      </c>
      <c r="BZ174" s="214">
        <f t="shared" si="20"/>
        <v>0</v>
      </c>
      <c r="CA174"/>
    </row>
    <row r="175" spans="7:79" ht="16" thickBot="1" x14ac:dyDescent="0.4">
      <c r="G175" s="1300"/>
      <c r="H175" s="1301"/>
      <c r="I175" s="1301"/>
      <c r="J175" s="1301"/>
      <c r="K175" s="1227">
        <f>Investors!$C$6</f>
      </c>
      <c r="L175" s="1301"/>
      <c r="M175" s="1301"/>
      <c r="N175"/>
      <c r="O175"/>
      <c r="P175" s="1303">
        <v>45107</v>
      </c>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row>
    <row r="176" spans="7:79" ht="15.5" x14ac:dyDescent="0.35">
      <c r="H176" s="101"/>
      <c r="I176" s="101"/>
      <c r="J176" s="101"/>
      <c r="K176" s="101"/>
      <c r="L176" s="101"/>
      <c r="M176" s="101"/>
      <c r="N176"/>
      <c r="O176"/>
      <c r="P176"/>
      <c r="Q176"/>
      <c r="R176"/>
      <c r="S176" s="494">
        <f>$S$172</f>
        <v>0</v>
      </c>
      <c r="T176" s="494">
        <f>$T$172</f>
        <v>0</v>
      </c>
      <c r="U176" s="494">
        <f>$U$172</f>
        <v>0</v>
      </c>
      <c r="V176" s="494">
        <f>$V$172</f>
        <v>0</v>
      </c>
      <c r="W176" s="494">
        <f>$W$172</f>
        <v>0</v>
      </c>
      <c r="X176" s="494">
        <f>$X$172</f>
        <v>0</v>
      </c>
      <c r="Y176" s="494">
        <f>$Y$172</f>
        <v>0</v>
      </c>
      <c r="Z176" s="494">
        <f>$Z$172</f>
        <v>0</v>
      </c>
      <c r="AA176" s="494">
        <f>$AA$172</f>
        <v>0</v>
      </c>
      <c r="AB176" s="494">
        <f>$AB$172</f>
        <v>0</v>
      </c>
      <c r="AC176" s="494">
        <f>$AC$172</f>
        <v>0</v>
      </c>
      <c r="AD176" s="494">
        <f>$AD$172</f>
        <v>0</v>
      </c>
      <c r="AE176" s="494">
        <f>$AE$172</f>
        <v>0</v>
      </c>
      <c r="AF176" s="494">
        <f>$AF$172</f>
        <v>0</v>
      </c>
      <c r="AG176" s="494">
        <f>$AG$172</f>
        <v>0</v>
      </c>
      <c r="AH176" s="494">
        <f>$AH$172</f>
        <v>0</v>
      </c>
      <c r="AI176" s="494">
        <f>$AI$172</f>
        <v>0</v>
      </c>
      <c r="AJ176" s="494">
        <f>$AJ$172</f>
        <v>0</v>
      </c>
      <c r="AK176" s="494">
        <f>$AK$172</f>
        <v>0</v>
      </c>
      <c r="AL176" s="494">
        <f>$AL$172</f>
        <v>0</v>
      </c>
      <c r="AM176" s="494">
        <f>$AM$172</f>
        <v>0</v>
      </c>
      <c r="AN176" s="494">
        <f>$AN$172</f>
        <v>0</v>
      </c>
      <c r="AO176" s="494">
        <f>$AO$172</f>
        <v>0</v>
      </c>
      <c r="AP176" s="494">
        <f>$AP$172</f>
        <v>0</v>
      </c>
      <c r="AQ176" s="494">
        <f>$AQ$172</f>
        <v>0</v>
      </c>
      <c r="AR176" s="494">
        <f>$AR$172</f>
        <v>0</v>
      </c>
      <c r="AS176" s="494">
        <f>$AS$172</f>
        <v>0</v>
      </c>
      <c r="AT176" s="494">
        <f>$AT$172</f>
        <v>0</v>
      </c>
      <c r="AU176" s="494">
        <f>$AU$172</f>
        <v>0</v>
      </c>
      <c r="AV176" s="494">
        <f>$AV$172</f>
        <v>0</v>
      </c>
      <c r="AW176" s="494">
        <f>$AW$172</f>
        <v>0</v>
      </c>
      <c r="AX176" s="494">
        <f>$AX$172</f>
        <v>0</v>
      </c>
      <c r="AY176" s="494">
        <f>$AY$172</f>
        <v>0</v>
      </c>
      <c r="AZ176" s="494">
        <f>$AZ$172</f>
        <v>0</v>
      </c>
      <c r="BA176" s="494">
        <f>$BA$172</f>
        <v>0</v>
      </c>
      <c r="BB176" s="494">
        <f>$BB$172</f>
        <v>0</v>
      </c>
      <c r="BC176" s="494">
        <f>$BC$172</f>
        <v>0</v>
      </c>
      <c r="BD176" s="494">
        <f>$BD$172</f>
        <v>0</v>
      </c>
      <c r="BE176" s="494">
        <f>$BE$172</f>
        <v>0</v>
      </c>
      <c r="BF176" s="494">
        <f>$BF$172</f>
        <v>0</v>
      </c>
      <c r="BG176" s="494">
        <f>$BG$172</f>
        <v>0</v>
      </c>
      <c r="BH176" s="494">
        <f>$BH$172</f>
        <v>0</v>
      </c>
      <c r="BI176" s="494">
        <f>$BI$172</f>
        <v>0</v>
      </c>
      <c r="BJ176" s="494">
        <f>$BJ$172</f>
        <v>0</v>
      </c>
      <c r="BK176" s="494">
        <f>$BK$172</f>
        <v>0</v>
      </c>
      <c r="BL176" s="494">
        <f>$BL$172</f>
        <v>0</v>
      </c>
      <c r="BM176" s="494">
        <f>$BM$172</f>
        <v>0</v>
      </c>
      <c r="BN176" s="494">
        <f>$BN$172</f>
        <v>0</v>
      </c>
      <c r="BO176" s="494">
        <f>$BO$172</f>
        <v>0</v>
      </c>
      <c r="BP176" s="494">
        <f>$BP$172</f>
        <v>0</v>
      </c>
      <c r="BQ176" s="494">
        <f>$BQ$172</f>
        <v>0</v>
      </c>
      <c r="BR176" s="494">
        <f>$BR$172</f>
        <v>0</v>
      </c>
      <c r="BS176" s="494">
        <f>$BS$172</f>
        <v>0</v>
      </c>
      <c r="BT176" s="494">
        <f>$BT$172</f>
        <v>0</v>
      </c>
      <c r="BU176" s="494">
        <f>$BU$172</f>
        <v>0</v>
      </c>
      <c r="BV176" s="494">
        <f>$BV$172</f>
        <v>0</v>
      </c>
      <c r="BW176" s="494">
        <f>$BW$172</f>
        <v>0</v>
      </c>
      <c r="BX176" s="494">
        <f>$BX$172</f>
        <v>0</v>
      </c>
      <c r="BY176" s="494">
        <f>$BY$172</f>
        <v>0</v>
      </c>
      <c r="BZ176" s="494">
        <f>$BZ$172</f>
        <v>0</v>
      </c>
      <c r="CA176"/>
    </row>
    <row r="177" spans="7:96" ht="15.5" x14ac:dyDescent="0.35">
      <c r="H177" s="101"/>
      <c r="N177" s="209"/>
      <c r="O177" s="209"/>
      <c r="P177" s="209"/>
      <c r="Q177" s="209"/>
      <c r="R177" s="209"/>
      <c r="CA177"/>
    </row>
    <row r="178" spans="7:96" ht="15.5" x14ac:dyDescent="0.35">
      <c r="H178" s="101"/>
      <c r="N178" s="209"/>
      <c r="O178" s="209"/>
      <c r="P178" s="209"/>
      <c r="Q178" s="209"/>
      <c r="R178" s="209"/>
      <c r="S178" s="209"/>
      <c r="T178" s="209"/>
      <c r="U178" s="209"/>
      <c r="V178" s="209"/>
      <c r="W178" s="209"/>
      <c r="X178" s="209"/>
      <c r="Y178" s="209"/>
      <c r="Z178" s="209"/>
      <c r="AA178" s="209"/>
      <c r="AB178" s="209"/>
      <c r="AC178" s="209"/>
      <c r="AD178" s="209"/>
      <c r="AE178" s="209"/>
      <c r="AF178" s="209"/>
      <c r="AG178" s="209"/>
      <c r="AH178" s="209"/>
      <c r="AI178" s="209"/>
      <c r="AJ178" s="209"/>
      <c r="AK178" s="209"/>
      <c r="AL178" s="209"/>
      <c r="AM178" s="209"/>
      <c r="AN178" s="209"/>
      <c r="AO178" s="209"/>
      <c r="AP178" s="209"/>
      <c r="AQ178" s="209"/>
      <c r="AR178" s="209"/>
      <c r="AS178" s="209"/>
      <c r="AT178" s="209"/>
      <c r="AU178" s="209"/>
      <c r="AV178" s="209"/>
      <c r="AW178" s="209"/>
      <c r="AX178" s="209"/>
      <c r="AY178" s="209"/>
      <c r="AZ178" s="209"/>
      <c r="BA178" s="209"/>
      <c r="BB178" s="209"/>
      <c r="BC178" s="209"/>
      <c r="BD178" s="209"/>
      <c r="BE178" s="209"/>
      <c r="BF178" s="209"/>
      <c r="BG178" s="209"/>
      <c r="BH178" s="209"/>
      <c r="BI178" s="209"/>
      <c r="BJ178" s="209"/>
      <c r="BK178" s="209"/>
      <c r="BL178" s="209"/>
      <c r="BM178" s="209"/>
      <c r="BN178" s="209"/>
      <c r="BO178" s="209"/>
      <c r="BP178" s="209"/>
      <c r="BQ178" s="209"/>
      <c r="BR178" s="209"/>
      <c r="BS178" s="209"/>
      <c r="BT178" s="209"/>
      <c r="BU178" s="209"/>
      <c r="BV178" s="209"/>
      <c r="BW178" s="209"/>
      <c r="BX178" s="209"/>
      <c r="BY178" s="209"/>
      <c r="BZ178" s="209"/>
      <c r="CA178" s="209"/>
      <c r="CB178" s="209"/>
    </row>
    <row r="179" spans="7:96" ht="15.5" x14ac:dyDescent="0.35">
      <c r="H179" s="101"/>
      <c r="N179" s="209"/>
      <c r="O179" s="209"/>
      <c r="P179" s="209"/>
      <c r="Q179" s="209"/>
      <c r="R179" s="209"/>
      <c r="S179" s="40">
        <f>MATCH(S180,P180:P239,0)</f>
        <v>1</v>
      </c>
      <c r="T179" s="40">
        <f>MATCH(Investors!$C$6,Q180:Q239,0)</f>
      </c>
      <c r="U179"/>
      <c r="V179"/>
      <c r="W179"/>
      <c r="X179"/>
      <c r="Y179" s="40">
        <f>MATCH(Y180,W180:W239,0)</f>
        <v>1</v>
      </c>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row>
    <row r="180" spans="7:96" ht="15.5" x14ac:dyDescent="0.35">
      <c r="G180" s="1299">
        <f>N180</f>
        <v>0</v>
      </c>
      <c r="H180" s="100">
        <f>O180</f>
        <v>0</v>
      </c>
      <c r="I180" s="100">
        <f t="shared" ref="I180:I191" si="21">O192</f>
        <v>0</v>
      </c>
      <c r="J180" s="100">
        <f t="shared" ref="J180:J191" si="22">O204</f>
        <v>0</v>
      </c>
      <c r="K180" s="100">
        <f t="shared" ref="K180:K191" si="23">O216</f>
        <v>0</v>
      </c>
      <c r="L180" s="100">
        <f t="shared" ref="L180:L191" si="24">O228</f>
        <v>0</v>
      </c>
      <c r="N180" s="1298">
        <f>Infrastructure!D70</f>
        <v>0</v>
      </c>
      <c r="O180" s="62">
        <f t="shared" ref="O180:O211" si="25">R180</f>
        <v>0</v>
      </c>
      <c r="P180" s="1582">
        <f t="shared" ref="P180:P211" si="26">SUM(O169:O180)</f>
        <v>0</v>
      </c>
      <c r="Q180" s="1299">
        <f t="shared" ref="Q180:Q211" si="27">N180</f>
        <v>0</v>
      </c>
      <c r="R180" s="100">
        <f>$S$171</f>
        <v>0</v>
      </c>
      <c r="S180" s="100">
        <f>MAX(P180:P239)</f>
        <v>0</v>
      </c>
      <c r="T180" s="100">
        <f>VLOOKUP(Investors!C6,Q180:R239,2,FALSE)</f>
        <v>0</v>
      </c>
      <c r="U180" s="100">
        <f>$S$172</f>
        <v>0</v>
      </c>
      <c r="V180" s="1299">
        <f t="shared" ref="V180:V211" si="28">Q180</f>
        <v>0</v>
      </c>
      <c r="W180" s="100">
        <f>SUM(U$180:U180)</f>
        <v>3</v>
      </c>
      <c r="X180" s="1299">
        <f t="shared" ref="X180:X211" si="29">Q180</f>
        <v>0</v>
      </c>
      <c r="Y180" s="100">
        <f>MAX(W180:W239)</f>
        <v>3</v>
      </c>
      <c r="AA180"/>
      <c r="AB180" s="494">
        <f>$AK$182</f>
        <v>0</v>
      </c>
      <c r="AC180" s="494">
        <f>$AW$182</f>
        <v>0</v>
      </c>
      <c r="AD180" s="494">
        <f>$BI$182</f>
        <v>0</v>
      </c>
      <c r="AE180" s="494">
        <f>$BU$182</f>
        <v>0</v>
      </c>
      <c r="AF180" s="494">
        <f>$CG$182</f>
        <v>0</v>
      </c>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row>
    <row r="181" spans="7:96" ht="15.5" x14ac:dyDescent="0.35">
      <c r="H181" s="100">
        <f t="shared" ref="H181:H191" si="30">O181</f>
        <v>0</v>
      </c>
      <c r="I181" s="100">
        <f t="shared" si="21"/>
        <v>0</v>
      </c>
      <c r="J181" s="100">
        <f t="shared" si="22"/>
        <v>0</v>
      </c>
      <c r="K181" s="100">
        <f t="shared" si="23"/>
        <v>0</v>
      </c>
      <c r="L181" s="100">
        <f t="shared" si="24"/>
        <v>0</v>
      </c>
      <c r="N181" s="1298">
        <f>Infrastructure!D71</f>
        <v>59</v>
      </c>
      <c r="O181" s="62">
        <f t="shared" si="25"/>
        <v>0</v>
      </c>
      <c r="P181" s="1582">
        <f t="shared" si="26"/>
        <v>0</v>
      </c>
      <c r="Q181" s="1299">
        <f t="shared" si="27"/>
        <v>59</v>
      </c>
      <c r="R181" s="100">
        <f>$T$171</f>
        <v>0</v>
      </c>
      <c r="T181"/>
      <c r="U181" s="100">
        <f>$T$172</f>
        <v>0</v>
      </c>
      <c r="V181" s="1299">
        <f t="shared" si="28"/>
        <v>59</v>
      </c>
      <c r="W181" s="100">
        <f>SUM(U$180:U181)</f>
        <v>3</v>
      </c>
      <c r="X181" s="1299">
        <f t="shared" si="29"/>
        <v>59</v>
      </c>
      <c r="AA181"/>
      <c r="AB181" s="494">
        <f>$AL$182</f>
        <v>0</v>
      </c>
      <c r="AC181" s="494">
        <f>$AX$182</f>
        <v>0</v>
      </c>
      <c r="AD181" s="494">
        <f>$BJ$182</f>
        <v>0</v>
      </c>
      <c r="AE181" s="494">
        <f>$BV$182</f>
        <v>0</v>
      </c>
      <c r="AF181" s="494">
        <f>$CH$182</f>
        <v>0</v>
      </c>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row>
    <row r="182" spans="7:96" ht="15.5" x14ac:dyDescent="0.35">
      <c r="H182" s="100">
        <f t="shared" si="30"/>
        <v>0</v>
      </c>
      <c r="I182" s="100">
        <f t="shared" si="21"/>
        <v>0</v>
      </c>
      <c r="J182" s="100">
        <f t="shared" si="22"/>
        <v>0</v>
      </c>
      <c r="K182" s="100">
        <f t="shared" si="23"/>
        <v>0</v>
      </c>
      <c r="L182" s="100">
        <f t="shared" si="24"/>
        <v>0</v>
      </c>
      <c r="N182" s="1298">
        <f>Infrastructure!D72</f>
        <v>91</v>
      </c>
      <c r="O182" s="62">
        <f t="shared" si="25"/>
        <v>0</v>
      </c>
      <c r="P182" s="1582">
        <f t="shared" si="26"/>
        <v>0</v>
      </c>
      <c r="Q182" s="1299">
        <f t="shared" si="27"/>
        <v>91</v>
      </c>
      <c r="R182" s="100">
        <f>$U$171</f>
        <v>0</v>
      </c>
      <c r="S182" s="1299" t="e" cm="1">
        <f t="array" ref="S182">INDEX(Q180:Q239,S179-11)</f>
        <v>#VALUE!</v>
      </c>
      <c r="T182"/>
      <c r="U182" s="100">
        <f>$U$172</f>
        <v>0</v>
      </c>
      <c r="V182" s="1299">
        <f t="shared" si="28"/>
        <v>91</v>
      </c>
      <c r="W182" s="100">
        <f>SUM(U$180:U182)</f>
        <v>0</v>
      </c>
      <c r="X182" s="1299">
        <f t="shared" si="29"/>
        <v>91</v>
      </c>
      <c r="Y182" s="1299" t="e" cm="1">
        <f t="array" ref="Y182">INDEX(X180:X239,Y179-11)</f>
        <v>#VALUE!</v>
      </c>
      <c r="AA182"/>
      <c r="AB182" s="494">
        <f>$AM$182</f>
        <v>0</v>
      </c>
      <c r="AC182" s="494">
        <f>$AY$182</f>
        <v>0</v>
      </c>
      <c r="AD182" s="494">
        <f>$BK$182</f>
        <v>0</v>
      </c>
      <c r="AE182" s="494">
        <f>$BW$182</f>
        <v>0</v>
      </c>
      <c r="AF182" s="494">
        <f>$CI$182</f>
        <v>0</v>
      </c>
      <c r="AK182" s="494">
        <f>Calcs!I29</f>
        <v>0</v>
      </c>
      <c r="AL182" s="494">
        <f>Calcs!J29</f>
        <v>0</v>
      </c>
      <c r="AM182" s="494">
        <f>Calcs!K29</f>
        <v>0</v>
      </c>
      <c r="AN182" s="494">
        <f>Calcs!L29</f>
        <v>0</v>
      </c>
      <c r="AO182" s="494">
        <f>Calcs!M29</f>
        <v>0</v>
      </c>
      <c r="AP182" s="494">
        <f>Calcs!N29</f>
        <v>0</v>
      </c>
      <c r="AQ182" s="494">
        <f>Calcs!O29</f>
        <v>0</v>
      </c>
      <c r="AR182" s="494">
        <f>Calcs!P29</f>
        <v>0</v>
      </c>
      <c r="AS182" s="494">
        <f>Calcs!Q29</f>
        <v>0</v>
      </c>
      <c r="AT182" s="494">
        <f>Calcs!R29</f>
        <v>0</v>
      </c>
      <c r="AU182" s="494">
        <f>Calcs!S29</f>
        <v>0</v>
      </c>
      <c r="AV182" s="494">
        <f>Calcs!T29</f>
        <v>0</v>
      </c>
      <c r="AW182" s="494">
        <f>Calcs!U29</f>
        <v>0</v>
      </c>
      <c r="AX182" s="494">
        <f>Calcs!V29</f>
        <v>0</v>
      </c>
      <c r="AY182" s="494">
        <f>Calcs!W29</f>
        <v>0</v>
      </c>
      <c r="AZ182" s="494">
        <f>Calcs!X29</f>
        <v>0</v>
      </c>
      <c r="BA182" s="494">
        <f>Calcs!Y29</f>
        <v>0</v>
      </c>
      <c r="BB182" s="494">
        <f>Calcs!Z29</f>
        <v>0</v>
      </c>
      <c r="BC182" s="494">
        <f>Calcs!AA29</f>
        <v>0</v>
      </c>
      <c r="BD182" s="494">
        <f>Calcs!AB29</f>
        <v>0</v>
      </c>
      <c r="BE182" s="494">
        <f>Calcs!AC29</f>
        <v>0</v>
      </c>
      <c r="BF182" s="494">
        <f>Calcs!AD29</f>
        <v>0</v>
      </c>
      <c r="BG182" s="494">
        <f>Calcs!AE29</f>
        <v>0</v>
      </c>
      <c r="BH182" s="494">
        <f>Calcs!AF29</f>
        <v>0</v>
      </c>
      <c r="BI182" s="494">
        <f>Calcs!AG29</f>
        <v>0</v>
      </c>
      <c r="BJ182" s="494">
        <f>Calcs!AH29</f>
        <v>0</v>
      </c>
      <c r="BK182" s="494">
        <f>Calcs!AI29</f>
        <v>0</v>
      </c>
      <c r="BL182" s="494">
        <f>Calcs!AJ29</f>
        <v>0</v>
      </c>
      <c r="BM182" s="494">
        <f>Calcs!AK29</f>
        <v>0</v>
      </c>
      <c r="BN182" s="494">
        <f>Calcs!AL29</f>
        <v>0</v>
      </c>
      <c r="BO182" s="494">
        <f>Calcs!AM29</f>
        <v>0</v>
      </c>
      <c r="BP182" s="494">
        <f>Calcs!AN29</f>
        <v>0</v>
      </c>
      <c r="BQ182" s="494">
        <f>Calcs!AO29</f>
        <v>0</v>
      </c>
      <c r="BR182" s="494">
        <f>Calcs!AP29</f>
        <v>0</v>
      </c>
      <c r="BS182" s="494">
        <f>Calcs!AQ29</f>
        <v>0</v>
      </c>
      <c r="BT182" s="494">
        <f>Calcs!AR29</f>
        <v>0</v>
      </c>
      <c r="BU182" s="494">
        <f>Calcs!AS29</f>
        <v>0</v>
      </c>
      <c r="BV182" s="494">
        <f>Calcs!AT29</f>
        <v>0</v>
      </c>
      <c r="BW182" s="494">
        <f>Calcs!AU29</f>
        <v>0</v>
      </c>
      <c r="BX182" s="494">
        <f>Calcs!AV29</f>
        <v>0</v>
      </c>
      <c r="BY182" s="494">
        <f>Calcs!AW29</f>
        <v>0</v>
      </c>
      <c r="BZ182" s="494">
        <f>Calcs!AX29</f>
        <v>0</v>
      </c>
      <c r="CA182" s="494">
        <f>Calcs!AY29</f>
        <v>0</v>
      </c>
      <c r="CB182" s="494">
        <f>Calcs!AZ29</f>
        <v>0</v>
      </c>
      <c r="CC182" s="494">
        <f>Calcs!BA29</f>
        <v>0</v>
      </c>
      <c r="CD182" s="494">
        <f>Calcs!BB29</f>
        <v>0</v>
      </c>
      <c r="CE182" s="494">
        <f>Calcs!BC29</f>
        <v>0</v>
      </c>
      <c r="CF182" s="494">
        <f>Calcs!BD29</f>
        <v>0</v>
      </c>
      <c r="CG182" s="494">
        <f>Calcs!BE29</f>
        <v>0</v>
      </c>
      <c r="CH182" s="494">
        <f>Calcs!BF29</f>
        <v>0</v>
      </c>
      <c r="CI182" s="494">
        <f>Calcs!BG29</f>
        <v>0</v>
      </c>
      <c r="CJ182" s="494">
        <f>Calcs!BH29</f>
        <v>0</v>
      </c>
      <c r="CK182" s="494">
        <f>Calcs!BI29</f>
        <v>0</v>
      </c>
      <c r="CL182" s="494">
        <f>Calcs!BJ29</f>
        <v>0</v>
      </c>
      <c r="CM182" s="494">
        <f>Calcs!BK29</f>
        <v>0</v>
      </c>
      <c r="CN182" s="494">
        <f>Calcs!BL29</f>
        <v>0</v>
      </c>
      <c r="CO182" s="494">
        <f>Calcs!BM29</f>
        <v>0</v>
      </c>
      <c r="CP182" s="494">
        <f>Calcs!BN29</f>
        <v>0</v>
      </c>
      <c r="CQ182" s="494">
        <f>Calcs!BO29</f>
        <v>0</v>
      </c>
      <c r="CR182" s="494">
        <f>Calcs!BP29</f>
        <v>0</v>
      </c>
    </row>
    <row r="183" spans="7:96" ht="15.5" x14ac:dyDescent="0.35">
      <c r="H183" s="100">
        <f t="shared" si="30"/>
        <v>0</v>
      </c>
      <c r="I183" s="100">
        <f t="shared" si="21"/>
        <v>0</v>
      </c>
      <c r="J183" s="100">
        <f t="shared" si="22"/>
        <v>0</v>
      </c>
      <c r="K183" s="100">
        <f t="shared" si="23"/>
        <v>0</v>
      </c>
      <c r="L183" s="100">
        <f t="shared" si="24"/>
        <v>0</v>
      </c>
      <c r="N183" s="1298">
        <f>Infrastructure!D73</f>
        <v>121</v>
      </c>
      <c r="O183" s="62">
        <f t="shared" si="25"/>
        <v>0</v>
      </c>
      <c r="P183" s="1582">
        <f t="shared" si="26"/>
        <v>0</v>
      </c>
      <c r="Q183" s="1299">
        <f t="shared" si="27"/>
        <v>121</v>
      </c>
      <c r="R183" s="100">
        <f>$V$171</f>
        <v>0</v>
      </c>
      <c r="S183" s="1299">
        <f>VLOOKUP(S180,P180:Q239,2,FALSE)</f>
        <v>0</v>
      </c>
      <c r="T183"/>
      <c r="U183" s="100">
        <f>$V$172</f>
        <v>0</v>
      </c>
      <c r="V183" s="1299">
        <f t="shared" si="28"/>
        <v>121</v>
      </c>
      <c r="W183" s="100">
        <f>SUM(U$180:U183)</f>
        <v>0</v>
      </c>
      <c r="X183" s="1299">
        <f t="shared" si="29"/>
        <v>121</v>
      </c>
      <c r="Y183" s="1299">
        <f>VLOOKUP(Y180,W180:X239,2,FALSE)</f>
        <v>0</v>
      </c>
      <c r="AA183"/>
      <c r="AB183" s="494">
        <f>$AN$182</f>
        <v>0</v>
      </c>
      <c r="AC183" s="494">
        <f>$AZ$182</f>
        <v>0</v>
      </c>
      <c r="AD183" s="494">
        <f>$BL$182</f>
        <v>0</v>
      </c>
      <c r="AE183" s="494">
        <f>$BX$182</f>
        <v>0</v>
      </c>
      <c r="AF183" s="494">
        <f>$CJ$182</f>
        <v>0</v>
      </c>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row>
    <row r="184" spans="7:96" ht="15.5" x14ac:dyDescent="0.35">
      <c r="H184" s="100">
        <f t="shared" si="30"/>
        <v>0</v>
      </c>
      <c r="I184" s="100">
        <f t="shared" si="21"/>
        <v>0</v>
      </c>
      <c r="J184" s="100">
        <f t="shared" si="22"/>
        <v>0</v>
      </c>
      <c r="K184" s="100">
        <f t="shared" si="23"/>
        <v>0</v>
      </c>
      <c r="L184" s="100">
        <f t="shared" si="24"/>
        <v>0</v>
      </c>
      <c r="N184" s="1298">
        <f>Infrastructure!D74</f>
        <v>152</v>
      </c>
      <c r="O184" s="62">
        <f t="shared" si="25"/>
        <v>0</v>
      </c>
      <c r="P184" s="1582">
        <f t="shared" si="26"/>
        <v>0</v>
      </c>
      <c r="Q184" s="1299">
        <f t="shared" si="27"/>
        <v>152</v>
      </c>
      <c r="R184" s="100">
        <f>$W$171</f>
        <v>0</v>
      </c>
      <c r="T184"/>
      <c r="U184" s="100">
        <f>$W$172</f>
        <v>0</v>
      </c>
      <c r="V184" s="1299">
        <f t="shared" si="28"/>
        <v>152</v>
      </c>
      <c r="W184" s="100">
        <f>SUM(U$180:U184)</f>
        <v>0</v>
      </c>
      <c r="X184" s="1299">
        <f t="shared" si="29"/>
        <v>152</v>
      </c>
      <c r="AA184"/>
      <c r="AB184" s="494">
        <f>$AO$182</f>
        <v>0</v>
      </c>
      <c r="AC184" s="494">
        <f>$BA$182</f>
        <v>0</v>
      </c>
      <c r="AD184" s="494">
        <f>$BM$182</f>
        <v>0</v>
      </c>
      <c r="AE184" s="494">
        <f>$BY$182</f>
        <v>0</v>
      </c>
      <c r="AF184" s="494">
        <f>$CK$182</f>
        <v>0</v>
      </c>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row>
    <row r="185" spans="7:96" ht="15.5" x14ac:dyDescent="0.35">
      <c r="H185" s="100">
        <f t="shared" si="30"/>
        <v>0</v>
      </c>
      <c r="I185" s="100">
        <f t="shared" si="21"/>
        <v>0</v>
      </c>
      <c r="J185" s="100">
        <f t="shared" si="22"/>
        <v>0</v>
      </c>
      <c r="K185" s="100">
        <f t="shared" si="23"/>
        <v>0</v>
      </c>
      <c r="L185" s="100">
        <f t="shared" si="24"/>
        <v>0</v>
      </c>
      <c r="N185" s="1298">
        <f>Infrastructure!D75</f>
        <v>182</v>
      </c>
      <c r="O185" s="62">
        <f t="shared" si="25"/>
        <v>0</v>
      </c>
      <c r="P185" s="1582">
        <f t="shared" si="26"/>
        <v>0</v>
      </c>
      <c r="Q185" s="1299">
        <f t="shared" si="27"/>
        <v>182</v>
      </c>
      <c r="R185" s="100">
        <f>$X$171</f>
        <v>0</v>
      </c>
      <c r="S185" s="101"/>
      <c r="T185"/>
      <c r="U185" s="100">
        <f>$X$172</f>
        <v>0</v>
      </c>
      <c r="V185" s="1299">
        <f t="shared" si="28"/>
        <v>182</v>
      </c>
      <c r="W185" s="100">
        <f>SUM(U$180:U185)</f>
        <v>0</v>
      </c>
      <c r="X185" s="1299">
        <f t="shared" si="29"/>
        <v>182</v>
      </c>
      <c r="AA185"/>
      <c r="AB185" s="494">
        <f>$AP$182</f>
        <v>0</v>
      </c>
      <c r="AC185" s="494">
        <f>$BB$182</f>
        <v>0</v>
      </c>
      <c r="AD185" s="494">
        <f>$BN$182</f>
        <v>0</v>
      </c>
      <c r="AE185" s="494">
        <f>$BZ$182</f>
        <v>0</v>
      </c>
      <c r="AF185" s="494">
        <f>$CL$182</f>
        <v>0</v>
      </c>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row>
    <row r="186" spans="7:96" ht="15.5" x14ac:dyDescent="0.35">
      <c r="H186" s="100">
        <f t="shared" si="30"/>
        <v>0</v>
      </c>
      <c r="I186" s="100">
        <f t="shared" si="21"/>
        <v>0</v>
      </c>
      <c r="J186" s="100">
        <f t="shared" si="22"/>
        <v>0</v>
      </c>
      <c r="K186" s="100">
        <f t="shared" si="23"/>
        <v>0</v>
      </c>
      <c r="L186" s="100">
        <f t="shared" si="24"/>
        <v>0</v>
      </c>
      <c r="N186" s="1298">
        <f>Infrastructure!D76</f>
        <v>213</v>
      </c>
      <c r="O186" s="62">
        <f t="shared" si="25"/>
        <v>0</v>
      </c>
      <c r="P186" s="1582">
        <f t="shared" si="26"/>
        <v>0</v>
      </c>
      <c r="Q186" s="1299">
        <f t="shared" si="27"/>
        <v>213</v>
      </c>
      <c r="R186" s="100">
        <f>$Y$171</f>
        <v>0</v>
      </c>
      <c r="S186" s="101" t="s">
        <v>607</v>
      </c>
      <c r="T186"/>
      <c r="U186" s="100">
        <f>$Y$172</f>
        <v>0</v>
      </c>
      <c r="V186" s="1299">
        <f t="shared" si="28"/>
        <v>213</v>
      </c>
      <c r="W186" s="100">
        <f>SUM(U$180:U186)</f>
        <v>0</v>
      </c>
      <c r="X186" s="1299">
        <f t="shared" si="29"/>
        <v>213</v>
      </c>
      <c r="AA186"/>
      <c r="AB186" s="494">
        <f>$AQ$182</f>
        <v>0</v>
      </c>
      <c r="AC186" s="494">
        <f>$BC$182</f>
        <v>0</v>
      </c>
      <c r="AD186" s="494">
        <f>$BO$182</f>
        <v>0</v>
      </c>
      <c r="AE186" s="494">
        <f>$CA$182</f>
        <v>0</v>
      </c>
      <c r="AF186" s="494">
        <f>$CM$182</f>
        <v>0</v>
      </c>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row>
    <row r="187" spans="7:96" ht="15.5" x14ac:dyDescent="0.35">
      <c r="H187" s="100">
        <f t="shared" si="30"/>
        <v>0</v>
      </c>
      <c r="I187" s="100">
        <f t="shared" si="21"/>
        <v>0</v>
      </c>
      <c r="J187" s="100">
        <f t="shared" si="22"/>
        <v>0</v>
      </c>
      <c r="K187" s="100">
        <f t="shared" si="23"/>
        <v>0</v>
      </c>
      <c r="L187" s="100">
        <f t="shared" si="24"/>
        <v>0</v>
      </c>
      <c r="N187" s="1298">
        <f>Infrastructure!D77</f>
        <v>244</v>
      </c>
      <c r="O187" s="62">
        <f t="shared" si="25"/>
        <v>0</v>
      </c>
      <c r="P187" s="1582">
        <f t="shared" si="26"/>
        <v>0</v>
      </c>
      <c r="Q187" s="1299">
        <f t="shared" si="27"/>
        <v>244</v>
      </c>
      <c r="R187" s="100">
        <f>$Z$171</f>
        <v>0</v>
      </c>
      <c r="S187" s="101" t="s">
        <v>393</v>
      </c>
      <c r="T187"/>
      <c r="U187" s="100">
        <f>$Z$172</f>
        <v>0</v>
      </c>
      <c r="V187" s="1299">
        <f t="shared" si="28"/>
        <v>244</v>
      </c>
      <c r="W187" s="100">
        <f>SUM(U$180:U187)</f>
        <v>0</v>
      </c>
      <c r="X187" s="1299">
        <f t="shared" si="29"/>
        <v>244</v>
      </c>
      <c r="AA187"/>
      <c r="AB187" s="494">
        <f>$AR$182</f>
        <v>0</v>
      </c>
      <c r="AC187" s="494">
        <f>$BD$182</f>
        <v>0</v>
      </c>
      <c r="AD187" s="494">
        <f>$BP$182</f>
        <v>0</v>
      </c>
      <c r="AE187" s="494">
        <f>$CB$182</f>
        <v>0</v>
      </c>
      <c r="AF187" s="494">
        <f>$CN$182</f>
        <v>0</v>
      </c>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row>
    <row r="188" spans="7:96" ht="15.5" x14ac:dyDescent="0.35">
      <c r="H188" s="100">
        <f t="shared" si="30"/>
        <v>0</v>
      </c>
      <c r="I188" s="100">
        <f t="shared" si="21"/>
        <v>0</v>
      </c>
      <c r="J188" s="100">
        <f t="shared" si="22"/>
        <v>0</v>
      </c>
      <c r="K188" s="100">
        <f t="shared" si="23"/>
        <v>0</v>
      </c>
      <c r="L188" s="100">
        <f t="shared" si="24"/>
        <v>0</v>
      </c>
      <c r="N188" s="1298">
        <f>Infrastructure!D78</f>
        <v>274</v>
      </c>
      <c r="O188" s="62">
        <f t="shared" si="25"/>
        <v>0</v>
      </c>
      <c r="P188" s="1582">
        <f t="shared" si="26"/>
        <v>0</v>
      </c>
      <c r="Q188" s="1299">
        <f t="shared" si="27"/>
        <v>274</v>
      </c>
      <c r="R188" s="100">
        <f>$AA$171</f>
        <v>0</v>
      </c>
      <c r="S188" s="101"/>
      <c r="T188"/>
      <c r="U188" s="100">
        <f>$AA$172</f>
        <v>0</v>
      </c>
      <c r="V188" s="1299">
        <f t="shared" si="28"/>
        <v>274</v>
      </c>
      <c r="W188" s="100">
        <f>SUM(U$180:U188)</f>
        <v>0</v>
      </c>
      <c r="X188" s="1299">
        <f t="shared" si="29"/>
        <v>274</v>
      </c>
      <c r="AA188"/>
      <c r="AB188" s="494">
        <f>$AS$182</f>
        <v>0</v>
      </c>
      <c r="AC188" s="494">
        <f>$BE$182</f>
        <v>0</v>
      </c>
      <c r="AD188" s="494">
        <f>$BQ$182</f>
        <v>0</v>
      </c>
      <c r="AE188" s="494">
        <f>$CC$182</f>
        <v>0</v>
      </c>
      <c r="AF188" s="494">
        <f>$CO$182</f>
        <v>0</v>
      </c>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row>
    <row r="189" spans="7:96" ht="15.5" x14ac:dyDescent="0.35">
      <c r="H189" s="100">
        <f t="shared" si="30"/>
        <v>0</v>
      </c>
      <c r="I189" s="100">
        <f t="shared" si="21"/>
        <v>0</v>
      </c>
      <c r="J189" s="100">
        <f t="shared" si="22"/>
        <v>0</v>
      </c>
      <c r="K189" s="100">
        <f t="shared" si="23"/>
        <v>0</v>
      </c>
      <c r="L189" s="100">
        <f t="shared" si="24"/>
        <v>0</v>
      </c>
      <c r="N189" s="1298">
        <f>Infrastructure!D79</f>
        <v>305</v>
      </c>
      <c r="O189" s="62">
        <f t="shared" si="25"/>
        <v>0</v>
      </c>
      <c r="P189" s="1582">
        <f t="shared" si="26"/>
        <v>0</v>
      </c>
      <c r="Q189" s="1299">
        <f t="shared" si="27"/>
        <v>305</v>
      </c>
      <c r="R189" s="100">
        <f>$AB$171</f>
        <v>0</v>
      </c>
      <c r="S189" s="101" t="s">
        <v>607</v>
      </c>
      <c r="T189"/>
      <c r="U189" s="100">
        <f>$AB$172</f>
        <v>0</v>
      </c>
      <c r="V189" s="1299">
        <f t="shared" si="28"/>
        <v>305</v>
      </c>
      <c r="W189" s="100">
        <f>SUM(U$180:U189)</f>
        <v>0</v>
      </c>
      <c r="X189" s="1299">
        <f t="shared" si="29"/>
        <v>305</v>
      </c>
      <c r="AA189"/>
      <c r="AB189" s="494">
        <f>$AT$182</f>
        <v>0</v>
      </c>
      <c r="AC189" s="494">
        <f>$BF$182</f>
        <v>0</v>
      </c>
      <c r="AD189" s="494">
        <f>$BR$182</f>
        <v>0</v>
      </c>
      <c r="AE189" s="494">
        <f>$CD$182</f>
        <v>0</v>
      </c>
      <c r="AF189" s="494">
        <f>$CP$182</f>
        <v>0</v>
      </c>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row>
    <row r="190" spans="7:96" ht="15.5" x14ac:dyDescent="0.35">
      <c r="H190" s="100">
        <f t="shared" si="30"/>
        <v>0</v>
      </c>
      <c r="I190" s="100">
        <f t="shared" si="21"/>
        <v>0</v>
      </c>
      <c r="J190" s="100">
        <f t="shared" si="22"/>
        <v>0</v>
      </c>
      <c r="K190" s="100">
        <f t="shared" si="23"/>
        <v>0</v>
      </c>
      <c r="L190" s="100">
        <f t="shared" si="24"/>
        <v>0</v>
      </c>
      <c r="N190" s="1298">
        <f>Infrastructure!D80</f>
        <v>335</v>
      </c>
      <c r="O190" s="62">
        <f t="shared" si="25"/>
        <v>0</v>
      </c>
      <c r="P190" s="1582">
        <f t="shared" si="26"/>
        <v>0</v>
      </c>
      <c r="Q190" s="1299">
        <f t="shared" si="27"/>
        <v>335</v>
      </c>
      <c r="R190" s="100">
        <f>$AC$171</f>
        <v>0</v>
      </c>
      <c r="S190" s="101"/>
      <c r="T190"/>
      <c r="U190" s="100">
        <f>$AC$172</f>
        <v>0</v>
      </c>
      <c r="V190" s="1299">
        <f t="shared" si="28"/>
        <v>335</v>
      </c>
      <c r="W190" s="100">
        <f>SUM(U$180:U190)</f>
        <v>0</v>
      </c>
      <c r="X190" s="1299">
        <f t="shared" si="29"/>
        <v>335</v>
      </c>
      <c r="AA190"/>
      <c r="AB190" s="494">
        <f>$AU$182</f>
        <v>0</v>
      </c>
      <c r="AC190" s="494">
        <f>$BG$182</f>
        <v>0</v>
      </c>
      <c r="AD190" s="494">
        <f>$BS$182</f>
        <v>0</v>
      </c>
      <c r="AE190" s="494">
        <f>$CE$182</f>
        <v>0</v>
      </c>
      <c r="AF190" s="494">
        <f>$CQ$182</f>
        <v>0</v>
      </c>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row>
    <row r="191" spans="7:96" ht="15.5" x14ac:dyDescent="0.35">
      <c r="H191" s="100">
        <f t="shared" si="30"/>
        <v>0</v>
      </c>
      <c r="I191" s="100">
        <f t="shared" si="21"/>
        <v>0</v>
      </c>
      <c r="J191" s="100">
        <f t="shared" si="22"/>
        <v>0</v>
      </c>
      <c r="K191" s="100">
        <f t="shared" si="23"/>
        <v>0</v>
      </c>
      <c r="L191" s="100">
        <f t="shared" si="24"/>
        <v>0</v>
      </c>
      <c r="N191" s="1298">
        <f>Infrastructure!D81</f>
        <v>366</v>
      </c>
      <c r="O191" s="62">
        <f t="shared" si="25"/>
        <v>0</v>
      </c>
      <c r="P191" s="1582">
        <f t="shared" si="26"/>
        <v>0</v>
      </c>
      <c r="Q191" s="1299">
        <f t="shared" si="27"/>
        <v>366</v>
      </c>
      <c r="R191" s="100">
        <f>$AD$171</f>
        <v>0</v>
      </c>
      <c r="S191" s="1299" t="e" cm="1">
        <f t="array" ref="S191">INDEX(Q180:Q239,T179-11)</f>
        <v>#VALUE!</v>
      </c>
      <c r="T191"/>
      <c r="U191" s="100">
        <f>$AD$172</f>
        <v>0</v>
      </c>
      <c r="V191" s="1299">
        <f t="shared" si="28"/>
        <v>366</v>
      </c>
      <c r="W191" s="100">
        <f t="shared" ref="W191:W212" si="31">SUM(U180:U191)</f>
        <v>0</v>
      </c>
      <c r="X191" s="1299">
        <f t="shared" si="29"/>
        <v>366</v>
      </c>
      <c r="AA191"/>
      <c r="AB191" s="494">
        <f>$AV$182</f>
        <v>0</v>
      </c>
      <c r="AC191" s="494">
        <f>$BH$182</f>
        <v>0</v>
      </c>
      <c r="AD191" s="494">
        <f>$BT$182</f>
        <v>0</v>
      </c>
      <c r="AE191" s="494">
        <f>$CF$182</f>
        <v>0</v>
      </c>
      <c r="AF191" s="494">
        <f>$CR$182</f>
        <v>0</v>
      </c>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row>
    <row r="192" spans="7:96" ht="15.5" x14ac:dyDescent="0.35">
      <c r="N192" s="1298">
        <f>Infrastructure!D82</f>
        <v>397</v>
      </c>
      <c r="O192" s="62">
        <f t="shared" si="25"/>
        <v>0</v>
      </c>
      <c r="P192" s="1582">
        <f t="shared" si="26"/>
        <v>0</v>
      </c>
      <c r="Q192" s="1299">
        <f t="shared" si="27"/>
        <v>397</v>
      </c>
      <c r="R192" s="100">
        <f>$AE$171</f>
        <v>0</v>
      </c>
      <c r="S192"/>
      <c r="T192"/>
      <c r="U192" s="100">
        <f>$AE$172</f>
        <v>0</v>
      </c>
      <c r="V192" s="1299">
        <f t="shared" si="28"/>
        <v>397</v>
      </c>
      <c r="W192" s="100">
        <f t="shared" si="31"/>
        <v>0</v>
      </c>
      <c r="X192" s="1299">
        <f t="shared" si="29"/>
        <v>397</v>
      </c>
      <c r="AA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row>
    <row r="193" spans="7:79" ht="15.5" x14ac:dyDescent="0.35">
      <c r="G193"/>
      <c r="H193"/>
      <c r="I193"/>
      <c r="J193"/>
      <c r="K193"/>
      <c r="L193"/>
      <c r="N193" s="1298">
        <f>Infrastructure!D83</f>
        <v>425</v>
      </c>
      <c r="O193" s="62">
        <f t="shared" si="25"/>
        <v>0</v>
      </c>
      <c r="P193" s="1582">
        <f t="shared" si="26"/>
        <v>0</v>
      </c>
      <c r="Q193" s="1299">
        <f t="shared" si="27"/>
        <v>425</v>
      </c>
      <c r="R193" s="100">
        <f>$AF$171</f>
        <v>0</v>
      </c>
      <c r="S193" s="101"/>
      <c r="T193"/>
      <c r="U193" s="100">
        <f>$AF$172</f>
        <v>0</v>
      </c>
      <c r="V193" s="1299">
        <f t="shared" si="28"/>
        <v>425</v>
      </c>
      <c r="W193" s="100">
        <f t="shared" si="31"/>
        <v>0</v>
      </c>
      <c r="X193" s="1299">
        <f t="shared" si="29"/>
        <v>425</v>
      </c>
      <c r="AA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row>
    <row r="194" spans="7:79" ht="15.5" x14ac:dyDescent="0.35">
      <c r="G194" s="40">
        <v>1</v>
      </c>
      <c r="H194" s="40" t="e">
        <f>IF(AND($N180&gt;=$S$191,$N180&lt;=Investors!$C$6),1,0)</f>
        <v>#VALUE!</v>
      </c>
      <c r="I194" s="40" t="e">
        <f>IF(AND($N192&gt;=$S$191,$N192&lt;=Investors!$C$6),1,0)</f>
        <v>#VALUE!</v>
      </c>
      <c r="J194" s="40" t="e">
        <f>IF(AND($N204&gt;=$S$191,$N204&lt;=Investors!$C$6),1,0)</f>
        <v>#VALUE!</v>
      </c>
      <c r="K194" s="40" t="e">
        <f>IF(AND($N216&gt;=$S$191,$N216&lt;=Investors!$C$6),1,0)</f>
        <v>#VALUE!</v>
      </c>
      <c r="L194" s="40" t="e">
        <f>IF(AND($N228&gt;=$S$191,$N228&lt;=Investors!$C$6),1,0)</f>
        <v>#VALUE!</v>
      </c>
      <c r="N194" s="1298">
        <f>Infrastructure!D84</f>
        <v>456</v>
      </c>
      <c r="O194" s="62">
        <f t="shared" si="25"/>
        <v>0</v>
      </c>
      <c r="P194" s="1582">
        <f t="shared" si="26"/>
        <v>0</v>
      </c>
      <c r="Q194" s="1299">
        <f t="shared" si="27"/>
        <v>456</v>
      </c>
      <c r="R194" s="100">
        <f>$AG$171</f>
        <v>0</v>
      </c>
      <c r="S194" s="101"/>
      <c r="T194"/>
      <c r="U194" s="100">
        <f>$AG$172</f>
        <v>0</v>
      </c>
      <c r="V194" s="1299">
        <f t="shared" si="28"/>
        <v>456</v>
      </c>
      <c r="W194" s="100">
        <f t="shared" si="31"/>
        <v>0</v>
      </c>
      <c r="X194" s="1299">
        <f t="shared" si="29"/>
        <v>456</v>
      </c>
      <c r="AA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row>
    <row r="195" spans="7:79" ht="15.5" x14ac:dyDescent="0.35">
      <c r="G195" s="40">
        <v>2</v>
      </c>
      <c r="H195" s="40" t="e">
        <f>IF(AND($N181&gt;=$S$191,$N181&lt;=Investors!$C$6),1,0)</f>
        <v>#VALUE!</v>
      </c>
      <c r="I195" s="40" t="e">
        <f>IF(AND($N193&gt;=$S$191,$N193&lt;=Investors!$C$6),1,0)</f>
        <v>#VALUE!</v>
      </c>
      <c r="J195" s="40" t="e">
        <f>IF(AND($N205&gt;=$S$191,$N205&lt;=Investors!$C$6),1,0)</f>
        <v>#VALUE!</v>
      </c>
      <c r="K195" s="40" t="e">
        <f>IF(AND($N217&gt;=$S$191,$N217&lt;=Investors!$C$6),1,0)</f>
        <v>#VALUE!</v>
      </c>
      <c r="L195" s="40" t="e">
        <f>IF(AND($N229&gt;=$S$191,$N229&lt;=Investors!$C$6),1,0)</f>
        <v>#VALUE!</v>
      </c>
      <c r="N195" s="1298">
        <f>Infrastructure!D85</f>
        <v>486</v>
      </c>
      <c r="O195" s="62">
        <f t="shared" si="25"/>
        <v>0</v>
      </c>
      <c r="P195" s="1582">
        <f t="shared" si="26"/>
        <v>0</v>
      </c>
      <c r="Q195" s="1299">
        <f t="shared" si="27"/>
        <v>486</v>
      </c>
      <c r="R195" s="100">
        <f>$AH$171</f>
        <v>0</v>
      </c>
      <c r="S195" s="101"/>
      <c r="T195"/>
      <c r="U195" s="100">
        <f>$AH$172</f>
        <v>0</v>
      </c>
      <c r="V195" s="1299">
        <f t="shared" si="28"/>
        <v>486</v>
      </c>
      <c r="W195" s="100">
        <f t="shared" si="31"/>
        <v>0</v>
      </c>
      <c r="X195" s="1299">
        <f t="shared" si="29"/>
        <v>486</v>
      </c>
      <c r="AA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row>
    <row r="196" spans="7:79" ht="15.5" x14ac:dyDescent="0.35">
      <c r="G196" s="40">
        <v>3</v>
      </c>
      <c r="H196" s="40" t="e">
        <f>IF(AND($N182&gt;=$S$191,$N182&lt;=Investors!$C$6),1,0)</f>
        <v>#VALUE!</v>
      </c>
      <c r="I196" s="40" t="e">
        <f>IF(AND($N194&gt;=$S$191,$N194&lt;=Investors!$C$6),1,0)</f>
        <v>#VALUE!</v>
      </c>
      <c r="J196" s="40" t="e">
        <f>IF(AND($N206&gt;=$S$191,$N206&lt;=Investors!$C$6),1,0)</f>
        <v>#VALUE!</v>
      </c>
      <c r="K196" s="40" t="e">
        <f>IF(AND($N218&gt;=$S$191,$N218&lt;=Investors!$C$6),1,0)</f>
        <v>#VALUE!</v>
      </c>
      <c r="L196" s="40" t="e">
        <f>IF(AND($N230&gt;=$S$191,$N230&lt;=Investors!$C$6),1,0)</f>
        <v>#VALUE!</v>
      </c>
      <c r="N196" s="1298">
        <f>Infrastructure!D86</f>
        <v>517</v>
      </c>
      <c r="O196" s="62">
        <f t="shared" si="25"/>
        <v>0</v>
      </c>
      <c r="P196" s="1582">
        <f t="shared" si="26"/>
        <v>0</v>
      </c>
      <c r="Q196" s="1299">
        <f t="shared" si="27"/>
        <v>517</v>
      </c>
      <c r="R196" s="100">
        <f>$AI$171</f>
        <v>0</v>
      </c>
      <c r="S196" s="101"/>
      <c r="T196"/>
      <c r="U196" s="100">
        <f>$AI$172</f>
        <v>0</v>
      </c>
      <c r="V196" s="1299">
        <f t="shared" si="28"/>
        <v>517</v>
      </c>
      <c r="W196" s="100">
        <f t="shared" si="31"/>
        <v>0</v>
      </c>
      <c r="X196" s="1299">
        <f t="shared" si="29"/>
        <v>517</v>
      </c>
      <c r="AA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row>
    <row r="197" spans="7:79" ht="15.5" x14ac:dyDescent="0.35">
      <c r="G197" s="40">
        <v>4</v>
      </c>
      <c r="H197" s="40" t="e">
        <f>IF(AND($N183&gt;=$S$191,$N183&lt;=Investors!$C$6),1,0)</f>
        <v>#VALUE!</v>
      </c>
      <c r="I197" s="40" t="e">
        <f>IF(AND($N195&gt;=$S$191,$N195&lt;=Investors!$C$6),1,0)</f>
        <v>#VALUE!</v>
      </c>
      <c r="J197" s="40" t="e">
        <f>IF(AND($N207&gt;=$S$191,$N207&lt;=Investors!$C$6),1,0)</f>
        <v>#VALUE!</v>
      </c>
      <c r="K197" s="40" t="e">
        <f>IF(AND($N219&gt;=$S$191,$N219&lt;=Investors!$C$6),1,0)</f>
        <v>#VALUE!</v>
      </c>
      <c r="L197" s="40" t="e">
        <f>IF(AND($N231&gt;=$S$191,$N231&lt;=Investors!$C$6),1,0)</f>
        <v>#VALUE!</v>
      </c>
      <c r="N197" s="1298">
        <f>Infrastructure!D87</f>
        <v>547</v>
      </c>
      <c r="O197" s="62">
        <f t="shared" si="25"/>
        <v>0</v>
      </c>
      <c r="P197" s="1582">
        <f t="shared" si="26"/>
        <v>0</v>
      </c>
      <c r="Q197" s="1299">
        <f t="shared" si="27"/>
        <v>547</v>
      </c>
      <c r="R197" s="100">
        <f>$AJ$171</f>
        <v>0</v>
      </c>
      <c r="S197" s="101"/>
      <c r="T197"/>
      <c r="U197" s="100">
        <f>$AJ$172</f>
        <v>0</v>
      </c>
      <c r="V197" s="1299">
        <f t="shared" si="28"/>
        <v>547</v>
      </c>
      <c r="W197" s="100">
        <f t="shared" si="31"/>
        <v>0</v>
      </c>
      <c r="X197" s="1299">
        <f t="shared" si="29"/>
        <v>547</v>
      </c>
      <c r="AA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row>
    <row r="198" spans="7:79" ht="15.5" x14ac:dyDescent="0.35">
      <c r="G198" s="40">
        <v>5</v>
      </c>
      <c r="H198" s="40" t="e">
        <f>IF(AND($N184&gt;=$S$191,$N184&lt;=Investors!$C$6),1,0)</f>
        <v>#VALUE!</v>
      </c>
      <c r="I198" s="40" t="e">
        <f>IF(AND($N196&gt;=$S$191,$N196&lt;=Investors!$C$6),1,0)</f>
        <v>#VALUE!</v>
      </c>
      <c r="J198" s="40" t="e">
        <f>IF(AND($N208&gt;=$S$191,$N208&lt;=Investors!$C$6),1,0)</f>
        <v>#VALUE!</v>
      </c>
      <c r="K198" s="40" t="e">
        <f>IF(AND($N220&gt;=$S$191,$N220&lt;=Investors!$C$6),1,0)</f>
        <v>#VALUE!</v>
      </c>
      <c r="L198" s="40" t="e">
        <f>IF(AND($N232&gt;=$S$191,$N232&lt;=Investors!$C$6),1,0)</f>
        <v>#VALUE!</v>
      </c>
      <c r="N198" s="1298">
        <f>Infrastructure!D88</f>
        <v>578</v>
      </c>
      <c r="O198" s="62">
        <f t="shared" si="25"/>
        <v>0</v>
      </c>
      <c r="P198" s="1582">
        <f t="shared" si="26"/>
        <v>0</v>
      </c>
      <c r="Q198" s="1299">
        <f t="shared" si="27"/>
        <v>578</v>
      </c>
      <c r="R198" s="100">
        <f>$AK$171</f>
        <v>0</v>
      </c>
      <c r="S198" s="101"/>
      <c r="T198"/>
      <c r="U198" s="100">
        <f>$AK$172</f>
        <v>0</v>
      </c>
      <c r="V198" s="1299">
        <f t="shared" si="28"/>
        <v>578</v>
      </c>
      <c r="W198" s="100">
        <f t="shared" si="31"/>
        <v>0</v>
      </c>
      <c r="X198" s="1299">
        <f t="shared" si="29"/>
        <v>578</v>
      </c>
      <c r="AA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row>
    <row r="199" spans="7:79" ht="15.5" x14ac:dyDescent="0.35">
      <c r="G199" s="40">
        <v>6</v>
      </c>
      <c r="H199" s="40" t="e">
        <f>IF(AND($N185&gt;=$S$191,$N185&lt;=Investors!$C$6),1,0)</f>
        <v>#VALUE!</v>
      </c>
      <c r="I199" s="40" t="e">
        <f>IF(AND($N197&gt;=$S$191,$N197&lt;=Investors!$C$6),1,0)</f>
        <v>#VALUE!</v>
      </c>
      <c r="J199" s="40" t="e">
        <f>IF(AND($N209&gt;=$S$191,$N209&lt;=Investors!$C$6),1,0)</f>
        <v>#VALUE!</v>
      </c>
      <c r="K199" s="40" t="e">
        <f>IF(AND($N221&gt;=$S$191,$N221&lt;=Investors!$C$6),1,0)</f>
        <v>#VALUE!</v>
      </c>
      <c r="L199" s="40" t="e">
        <f>IF(AND($N233&gt;=$S$191,$N233&lt;=Investors!$C$6),1,0)</f>
        <v>#VALUE!</v>
      </c>
      <c r="N199" s="1298">
        <f>Infrastructure!D89</f>
        <v>609</v>
      </c>
      <c r="O199" s="62">
        <f t="shared" si="25"/>
        <v>0</v>
      </c>
      <c r="P199" s="1582">
        <f t="shared" si="26"/>
        <v>0</v>
      </c>
      <c r="Q199" s="1299">
        <f t="shared" si="27"/>
        <v>609</v>
      </c>
      <c r="R199" s="100">
        <f>$AL$171</f>
        <v>0</v>
      </c>
      <c r="S199" s="101"/>
      <c r="T199"/>
      <c r="U199" s="100">
        <f>$AL$172</f>
        <v>0</v>
      </c>
      <c r="V199" s="1299">
        <f t="shared" si="28"/>
        <v>609</v>
      </c>
      <c r="W199" s="100">
        <f t="shared" si="31"/>
        <v>0</v>
      </c>
      <c r="X199" s="1299">
        <f t="shared" si="29"/>
        <v>609</v>
      </c>
      <c r="AA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row>
    <row r="200" spans="7:79" ht="15.5" x14ac:dyDescent="0.35">
      <c r="G200" s="40">
        <v>7</v>
      </c>
      <c r="H200" s="40" t="e">
        <f>IF(AND($N186&gt;=$S$191,$N186&lt;=Investors!$C$6),1,0)</f>
        <v>#VALUE!</v>
      </c>
      <c r="I200" s="40" t="e">
        <f>IF(AND($N198&gt;=$S$191,$N198&lt;=Investors!$C$6),1,0)</f>
        <v>#VALUE!</v>
      </c>
      <c r="J200" s="40" t="e">
        <f>IF(AND($N210&gt;=$S$191,$N210&lt;=Investors!$C$6),1,0)</f>
        <v>#VALUE!</v>
      </c>
      <c r="K200" s="40" t="e">
        <f>IF(AND($N222&gt;=$S$191,$N222&lt;=Investors!$C$6),1,0)</f>
        <v>#VALUE!</v>
      </c>
      <c r="L200" s="40" t="e">
        <f>IF(AND($N234&gt;=$S$191,$N234&lt;=Investors!$C$6),1,0)</f>
        <v>#VALUE!</v>
      </c>
      <c r="N200" s="1298">
        <f>Infrastructure!D90</f>
        <v>639</v>
      </c>
      <c r="O200" s="62">
        <f t="shared" si="25"/>
        <v>0</v>
      </c>
      <c r="P200" s="1582">
        <f t="shared" si="26"/>
        <v>0</v>
      </c>
      <c r="Q200" s="1299">
        <f t="shared" si="27"/>
        <v>639</v>
      </c>
      <c r="R200" s="100">
        <f>$AM$171</f>
        <v>0</v>
      </c>
      <c r="T200"/>
      <c r="U200" s="100">
        <f>$AM$172</f>
        <v>0</v>
      </c>
      <c r="V200" s="1299">
        <f t="shared" si="28"/>
        <v>639</v>
      </c>
      <c r="W200" s="100">
        <f t="shared" si="31"/>
        <v>0</v>
      </c>
      <c r="X200" s="1299">
        <f t="shared" si="29"/>
        <v>639</v>
      </c>
      <c r="AA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row>
    <row r="201" spans="7:79" ht="15.5" x14ac:dyDescent="0.35">
      <c r="G201" s="40">
        <v>8</v>
      </c>
      <c r="H201" s="40" t="e">
        <f>IF(AND($N187&gt;=$S$191,$N187&lt;=Investors!$C$6),1,0)</f>
        <v>#VALUE!</v>
      </c>
      <c r="I201" s="40" t="e">
        <f>IF(AND($N199&gt;=$S$191,$N199&lt;=Investors!$C$6),1,0)</f>
        <v>#VALUE!</v>
      </c>
      <c r="J201" s="40" t="e">
        <f>IF(AND($N211&gt;=$S$191,$N211&lt;=Investors!$C$6),1,0)</f>
        <v>#VALUE!</v>
      </c>
      <c r="K201" s="40" t="e">
        <f>IF(AND($N223&gt;=$S$191,$N223&lt;=Investors!$C$6),1,0)</f>
        <v>#VALUE!</v>
      </c>
      <c r="L201" s="40" t="e">
        <f>IF(AND($N235&gt;=$S$191,$N235&lt;=Investors!$C$6),1,0)</f>
        <v>#VALUE!</v>
      </c>
      <c r="N201" s="1298">
        <f>Infrastructure!D91</f>
        <v>670</v>
      </c>
      <c r="O201" s="62">
        <f t="shared" si="25"/>
        <v>0</v>
      </c>
      <c r="P201" s="1582">
        <f t="shared" si="26"/>
        <v>0</v>
      </c>
      <c r="Q201" s="1299">
        <f t="shared" si="27"/>
        <v>670</v>
      </c>
      <c r="R201" s="100">
        <f>$AN$171</f>
        <v>0</v>
      </c>
      <c r="T201"/>
      <c r="U201" s="100">
        <f>$AN$172</f>
        <v>0</v>
      </c>
      <c r="V201" s="1299">
        <f t="shared" si="28"/>
        <v>670</v>
      </c>
      <c r="W201" s="100">
        <f t="shared" si="31"/>
        <v>0</v>
      </c>
      <c r="X201" s="1299">
        <f t="shared" si="29"/>
        <v>670</v>
      </c>
      <c r="AA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row>
    <row r="202" spans="7:79" ht="15.5" x14ac:dyDescent="0.35">
      <c r="G202" s="40">
        <v>9</v>
      </c>
      <c r="H202" s="40" t="e">
        <f>IF(AND($N188&gt;=$S$191,$N188&lt;=Investors!$C$6),1,0)</f>
        <v>#VALUE!</v>
      </c>
      <c r="I202" s="40" t="e">
        <f>IF(AND($N200&gt;=$S$191,$N200&lt;=Investors!$C$6),1,0)</f>
        <v>#VALUE!</v>
      </c>
      <c r="J202" s="40" t="e">
        <f>IF(AND($N212&gt;=$S$191,$N212&lt;=Investors!$C$6),1,0)</f>
        <v>#VALUE!</v>
      </c>
      <c r="K202" s="40" t="e">
        <f>IF(AND($N224&gt;=$S$191,$N224&lt;=Investors!$C$6),1,0)</f>
        <v>#VALUE!</v>
      </c>
      <c r="L202" s="40" t="e">
        <f>IF(AND($N236&gt;=$S$191,$N236&lt;=Investors!$C$6),1,0)</f>
        <v>#VALUE!</v>
      </c>
      <c r="N202" s="1298">
        <f>Infrastructure!D92</f>
        <v>700</v>
      </c>
      <c r="O202" s="62">
        <f t="shared" si="25"/>
        <v>0</v>
      </c>
      <c r="P202" s="1582">
        <f t="shared" si="26"/>
        <v>0</v>
      </c>
      <c r="Q202" s="1299">
        <f t="shared" si="27"/>
        <v>700</v>
      </c>
      <c r="R202" s="100">
        <f>$AO$171</f>
        <v>0</v>
      </c>
      <c r="T202"/>
      <c r="U202" s="100">
        <f>$AO$172</f>
        <v>0</v>
      </c>
      <c r="V202" s="1299">
        <f t="shared" si="28"/>
        <v>700</v>
      </c>
      <c r="W202" s="100">
        <f t="shared" si="31"/>
        <v>0</v>
      </c>
      <c r="X202" s="1299">
        <f t="shared" si="29"/>
        <v>700</v>
      </c>
      <c r="AA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row>
    <row r="203" spans="7:79" ht="15.5" x14ac:dyDescent="0.35">
      <c r="G203" s="40">
        <v>10</v>
      </c>
      <c r="H203" s="40" t="e">
        <f>IF(AND($N189&gt;=$S$191,$N189&lt;=Investors!$C$6),1,0)</f>
        <v>#VALUE!</v>
      </c>
      <c r="I203" s="40" t="e">
        <f>IF(AND($N201&gt;=$S$191,$N201&lt;=Investors!$C$6),1,0)</f>
        <v>#VALUE!</v>
      </c>
      <c r="J203" s="40" t="e">
        <f>IF(AND($N213&gt;=$S$191,$N213&lt;=Investors!$C$6),1,0)</f>
        <v>#VALUE!</v>
      </c>
      <c r="K203" s="40" t="e">
        <f>IF(AND($N225&gt;=$S$191,$N225&lt;=Investors!$C$6),1,0)</f>
        <v>#VALUE!</v>
      </c>
      <c r="L203" s="40" t="e">
        <f>IF(AND($N237&gt;=$S$191,$N237&lt;=Investors!$C$6),1,0)</f>
        <v>#VALUE!</v>
      </c>
      <c r="N203" s="1298">
        <f>Infrastructure!D93</f>
        <v>731</v>
      </c>
      <c r="O203" s="62">
        <f t="shared" si="25"/>
        <v>0</v>
      </c>
      <c r="P203" s="1582">
        <f t="shared" si="26"/>
        <v>0</v>
      </c>
      <c r="Q203" s="1299">
        <f t="shared" si="27"/>
        <v>731</v>
      </c>
      <c r="R203" s="100">
        <f>$AP$171</f>
        <v>0</v>
      </c>
      <c r="T203"/>
      <c r="U203" s="100">
        <f>$AP$172</f>
        <v>0</v>
      </c>
      <c r="V203" s="1299">
        <f t="shared" si="28"/>
        <v>731</v>
      </c>
      <c r="W203" s="100">
        <f t="shared" si="31"/>
        <v>0</v>
      </c>
      <c r="X203" s="1299">
        <f t="shared" si="29"/>
        <v>731</v>
      </c>
      <c r="AA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row>
    <row r="204" spans="7:79" ht="15.5" x14ac:dyDescent="0.35">
      <c r="G204" s="40">
        <v>11</v>
      </c>
      <c r="H204" s="40" t="e">
        <f>IF(AND($N190&gt;=$S$191,$N190&lt;=Investors!$C$6),1,0)</f>
        <v>#VALUE!</v>
      </c>
      <c r="I204" s="40" t="e">
        <f>IF(AND($N202&gt;=$S$191,$N202&lt;=Investors!$C$6),1,0)</f>
        <v>#VALUE!</v>
      </c>
      <c r="J204" s="40" t="e">
        <f>IF(AND($N214&gt;=$S$191,$N214&lt;=Investors!$C$6),1,0)</f>
        <v>#VALUE!</v>
      </c>
      <c r="K204" s="40" t="e">
        <f>IF(AND($N226&gt;=$S$191,$N226&lt;=Investors!$C$6),1,0)</f>
        <v>#VALUE!</v>
      </c>
      <c r="L204" s="40" t="e">
        <f>IF(AND($N238&gt;=$S$191,$N238&lt;=Investors!$C$6),1,0)</f>
        <v>#VALUE!</v>
      </c>
      <c r="N204" s="1298">
        <f>Infrastructure!D94</f>
        <v>762</v>
      </c>
      <c r="O204" s="62">
        <f t="shared" si="25"/>
        <v>0</v>
      </c>
      <c r="P204" s="1582">
        <f t="shared" si="26"/>
        <v>0</v>
      </c>
      <c r="Q204" s="1299">
        <f t="shared" si="27"/>
        <v>762</v>
      </c>
      <c r="R204" s="100">
        <f>$AQ$171</f>
        <v>0</v>
      </c>
      <c r="T204"/>
      <c r="U204" s="100">
        <f>$AQ$172</f>
        <v>0</v>
      </c>
      <c r="V204" s="1299">
        <f t="shared" si="28"/>
        <v>762</v>
      </c>
      <c r="W204" s="100">
        <f t="shared" si="31"/>
        <v>0</v>
      </c>
      <c r="X204" s="1299">
        <f t="shared" si="29"/>
        <v>762</v>
      </c>
      <c r="AA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row>
    <row r="205" spans="7:79" ht="15.5" x14ac:dyDescent="0.35">
      <c r="G205" s="40">
        <v>12</v>
      </c>
      <c r="H205" s="40" t="e">
        <f>IF(AND($N191&gt;=$S$191,$N191&lt;=Investors!$C$6),1,0)</f>
        <v>#VALUE!</v>
      </c>
      <c r="I205" s="40" t="e">
        <f>IF(AND($N203&gt;=$S$191,$N203&lt;=Investors!$C$6),1,0)</f>
        <v>#VALUE!</v>
      </c>
      <c r="J205" s="40" t="e">
        <f>IF(AND($N215&gt;=$S$191,$N215&lt;=Investors!$C$6),1,0)</f>
        <v>#VALUE!</v>
      </c>
      <c r="K205" s="40" t="e">
        <f>IF(AND($N227&gt;=$S$191,$N227&lt;=Investors!$C$6),1,0)</f>
        <v>#VALUE!</v>
      </c>
      <c r="L205" s="40" t="e">
        <f>IF(AND($N239&gt;=$S$191,$N239&lt;=Investors!$C$6),1,0)</f>
        <v>#VALUE!</v>
      </c>
      <c r="N205" s="1298">
        <f>Infrastructure!D95</f>
        <v>790</v>
      </c>
      <c r="O205" s="62">
        <f t="shared" si="25"/>
        <v>0</v>
      </c>
      <c r="P205" s="1582">
        <f t="shared" si="26"/>
        <v>0</v>
      </c>
      <c r="Q205" s="1299">
        <f t="shared" si="27"/>
        <v>790</v>
      </c>
      <c r="R205" s="100">
        <f>$AR$171</f>
        <v>0</v>
      </c>
      <c r="T205"/>
      <c r="U205" s="100">
        <f>$AR$172</f>
        <v>0</v>
      </c>
      <c r="V205" s="1299">
        <f t="shared" si="28"/>
        <v>790</v>
      </c>
      <c r="W205" s="100">
        <f t="shared" si="31"/>
        <v>0</v>
      </c>
      <c r="X205" s="1299">
        <f t="shared" si="29"/>
        <v>790</v>
      </c>
      <c r="AA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row>
    <row r="206" spans="7:79" ht="15.5" x14ac:dyDescent="0.35">
      <c r="G206"/>
      <c r="H206"/>
      <c r="I206"/>
      <c r="J206"/>
      <c r="K206"/>
      <c r="L206"/>
      <c r="N206" s="1298">
        <f>Infrastructure!D96</f>
        <v>821</v>
      </c>
      <c r="O206" s="62">
        <f t="shared" si="25"/>
        <v>0</v>
      </c>
      <c r="P206" s="1582">
        <f t="shared" si="26"/>
        <v>0</v>
      </c>
      <c r="Q206" s="1299">
        <f t="shared" si="27"/>
        <v>821</v>
      </c>
      <c r="R206" s="100">
        <f>$AS$171</f>
        <v>0</v>
      </c>
      <c r="T206"/>
      <c r="U206" s="100">
        <f>$AS$172</f>
        <v>0</v>
      </c>
      <c r="V206" s="1299">
        <f t="shared" si="28"/>
        <v>821</v>
      </c>
      <c r="W206" s="100">
        <f t="shared" si="31"/>
        <v>0</v>
      </c>
      <c r="X206" s="1299">
        <f t="shared" si="29"/>
        <v>821</v>
      </c>
      <c r="AA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row>
    <row r="207" spans="7:79" ht="15.5" x14ac:dyDescent="0.35">
      <c r="G207"/>
      <c r="H207"/>
      <c r="I207"/>
      <c r="J207"/>
      <c r="K207"/>
      <c r="L207"/>
      <c r="N207" s="1298">
        <f>Infrastructure!D97</f>
        <v>851</v>
      </c>
      <c r="O207" s="62">
        <f t="shared" si="25"/>
        <v>0</v>
      </c>
      <c r="P207" s="1582">
        <f t="shared" si="26"/>
        <v>0</v>
      </c>
      <c r="Q207" s="1299">
        <f t="shared" si="27"/>
        <v>851</v>
      </c>
      <c r="R207" s="100">
        <f>$AT$171</f>
        <v>0</v>
      </c>
      <c r="T207"/>
      <c r="U207" s="100">
        <f>$AT$172</f>
        <v>0</v>
      </c>
      <c r="V207" s="1299">
        <f t="shared" si="28"/>
        <v>851</v>
      </c>
      <c r="W207" s="100">
        <f t="shared" si="31"/>
        <v>0</v>
      </c>
      <c r="X207" s="1299">
        <f t="shared" si="29"/>
        <v>851</v>
      </c>
      <c r="AA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row>
    <row r="208" spans="7:79" ht="15.5" x14ac:dyDescent="0.35">
      <c r="G208"/>
      <c r="H208"/>
      <c r="I208"/>
      <c r="J208"/>
      <c r="K208"/>
      <c r="L208"/>
      <c r="N208" s="1298">
        <f>Infrastructure!D98</f>
        <v>882</v>
      </c>
      <c r="O208" s="62">
        <f t="shared" si="25"/>
        <v>0</v>
      </c>
      <c r="P208" s="1582">
        <f t="shared" si="26"/>
        <v>0</v>
      </c>
      <c r="Q208" s="1299">
        <f t="shared" si="27"/>
        <v>882</v>
      </c>
      <c r="R208" s="100">
        <f>$AU$171</f>
        <v>0</v>
      </c>
      <c r="S208"/>
      <c r="T208"/>
      <c r="U208" s="100">
        <f>$AU$172</f>
        <v>0</v>
      </c>
      <c r="V208" s="1299">
        <f t="shared" si="28"/>
        <v>882</v>
      </c>
      <c r="W208" s="100">
        <f t="shared" si="31"/>
        <v>0</v>
      </c>
      <c r="X208" s="1299">
        <f t="shared" si="29"/>
        <v>882</v>
      </c>
      <c r="AA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row>
    <row r="209" spans="7:79" ht="15.5" x14ac:dyDescent="0.35">
      <c r="G209"/>
      <c r="H209" s="100">
        <f t="shared" ref="H209:H220" si="32">U180</f>
        <v>0</v>
      </c>
      <c r="I209" s="100">
        <f t="shared" ref="I209:I220" si="33">U192</f>
        <v>0</v>
      </c>
      <c r="J209" s="100">
        <f t="shared" ref="J209:J220" si="34">U204</f>
        <v>0</v>
      </c>
      <c r="K209" s="100">
        <f t="shared" ref="K209:K220" si="35">U216</f>
        <v>0</v>
      </c>
      <c r="L209" s="100">
        <f t="shared" ref="L209:L220" si="36">U228</f>
        <v>0</v>
      </c>
      <c r="N209" s="1298">
        <f>Infrastructure!D99</f>
        <v>912</v>
      </c>
      <c r="O209" s="62">
        <f t="shared" si="25"/>
        <v>0</v>
      </c>
      <c r="P209" s="1582">
        <f t="shared" si="26"/>
        <v>0</v>
      </c>
      <c r="Q209" s="1299">
        <f t="shared" si="27"/>
        <v>912</v>
      </c>
      <c r="R209" s="100">
        <f>$AV$171</f>
        <v>0</v>
      </c>
      <c r="S209"/>
      <c r="T209"/>
      <c r="U209" s="100">
        <f>$AV$172</f>
        <v>0</v>
      </c>
      <c r="V209" s="1299">
        <f t="shared" si="28"/>
        <v>912</v>
      </c>
      <c r="W209" s="100">
        <f t="shared" si="31"/>
        <v>0</v>
      </c>
      <c r="X209" s="1299">
        <f t="shared" si="29"/>
        <v>912</v>
      </c>
      <c r="AA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row>
    <row r="210" spans="7:79" ht="15.5" x14ac:dyDescent="0.35">
      <c r="G210"/>
      <c r="H210" s="100">
        <f t="shared" si="32"/>
        <v>0</v>
      </c>
      <c r="I210" s="100">
        <f t="shared" si="33"/>
        <v>0</v>
      </c>
      <c r="J210" s="100">
        <f t="shared" si="34"/>
        <v>0</v>
      </c>
      <c r="K210" s="100">
        <f t="shared" si="35"/>
        <v>0</v>
      </c>
      <c r="L210" s="100">
        <f t="shared" si="36"/>
        <v>0</v>
      </c>
      <c r="N210" s="1298">
        <f>Infrastructure!D100</f>
        <v>943</v>
      </c>
      <c r="O210" s="62">
        <f t="shared" si="25"/>
        <v>0</v>
      </c>
      <c r="P210" s="1582">
        <f t="shared" si="26"/>
        <v>0</v>
      </c>
      <c r="Q210" s="1299">
        <f t="shared" si="27"/>
        <v>943</v>
      </c>
      <c r="R210" s="100">
        <f>$AW$171</f>
        <v>0</v>
      </c>
      <c r="S210"/>
      <c r="T210"/>
      <c r="U210" s="100">
        <f>$AW$172</f>
        <v>0</v>
      </c>
      <c r="V210" s="1299">
        <f t="shared" si="28"/>
        <v>943</v>
      </c>
      <c r="W210" s="100">
        <f t="shared" si="31"/>
        <v>0</v>
      </c>
      <c r="X210" s="1299">
        <f t="shared" si="29"/>
        <v>943</v>
      </c>
      <c r="AA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row>
    <row r="211" spans="7:79" ht="15.5" x14ac:dyDescent="0.35">
      <c r="G211"/>
      <c r="H211" s="100">
        <f t="shared" si="32"/>
        <v>0</v>
      </c>
      <c r="I211" s="100">
        <f t="shared" si="33"/>
        <v>0</v>
      </c>
      <c r="J211" s="100">
        <f t="shared" si="34"/>
        <v>0</v>
      </c>
      <c r="K211" s="100">
        <f t="shared" si="35"/>
        <v>0</v>
      </c>
      <c r="L211" s="100">
        <f t="shared" si="36"/>
        <v>0</v>
      </c>
      <c r="N211" s="1298">
        <f>Infrastructure!D101</f>
        <v>974</v>
      </c>
      <c r="O211" s="62">
        <f t="shared" si="25"/>
        <v>0</v>
      </c>
      <c r="P211" s="1582">
        <f t="shared" si="26"/>
        <v>0</v>
      </c>
      <c r="Q211" s="1299">
        <f t="shared" si="27"/>
        <v>974</v>
      </c>
      <c r="R211" s="100">
        <f>$AX$171</f>
        <v>0</v>
      </c>
      <c r="S211"/>
      <c r="T211"/>
      <c r="U211" s="100">
        <f>$AX$172</f>
        <v>0</v>
      </c>
      <c r="V211" s="1299">
        <f t="shared" si="28"/>
        <v>974</v>
      </c>
      <c r="W211" s="100">
        <f t="shared" si="31"/>
        <v>0</v>
      </c>
      <c r="X211" s="1299">
        <f t="shared" si="29"/>
        <v>974</v>
      </c>
      <c r="AA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row>
    <row r="212" spans="7:79" ht="15.5" x14ac:dyDescent="0.35">
      <c r="G212"/>
      <c r="H212" s="100">
        <f t="shared" si="32"/>
        <v>0</v>
      </c>
      <c r="I212" s="100">
        <f t="shared" si="33"/>
        <v>0</v>
      </c>
      <c r="J212" s="100">
        <f t="shared" si="34"/>
        <v>0</v>
      </c>
      <c r="K212" s="100">
        <f t="shared" si="35"/>
        <v>0</v>
      </c>
      <c r="L212" s="100">
        <f t="shared" si="36"/>
        <v>0</v>
      </c>
      <c r="N212" s="1298">
        <f>Infrastructure!D102</f>
        <v>1004</v>
      </c>
      <c r="O212" s="62">
        <f t="shared" ref="O212:O239" si="37">R212</f>
        <v>0</v>
      </c>
      <c r="P212" s="1582">
        <f t="shared" ref="P212:P239" si="38">SUM(O201:O212)</f>
        <v>0</v>
      </c>
      <c r="Q212" s="1299">
        <f t="shared" ref="Q212:Q239" si="39">N212</f>
        <v>1004</v>
      </c>
      <c r="R212" s="100">
        <f>$AY$171</f>
        <v>0</v>
      </c>
      <c r="S212"/>
      <c r="T212"/>
      <c r="U212" s="100">
        <f>$AY$172</f>
        <v>0</v>
      </c>
      <c r="V212" s="1299">
        <f t="shared" ref="V212:V239" si="40">Q212</f>
        <v>1004</v>
      </c>
      <c r="W212" s="100">
        <f t="shared" si="31"/>
        <v>0</v>
      </c>
      <c r="X212" s="1299">
        <f t="shared" ref="X212:X239" si="41">Q212</f>
        <v>1004</v>
      </c>
      <c r="AA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row>
    <row r="213" spans="7:79" ht="15.5" x14ac:dyDescent="0.35">
      <c r="G213"/>
      <c r="H213" s="100">
        <f t="shared" si="32"/>
        <v>0</v>
      </c>
      <c r="I213" s="100">
        <f t="shared" si="33"/>
        <v>0</v>
      </c>
      <c r="J213" s="100">
        <f t="shared" si="34"/>
        <v>0</v>
      </c>
      <c r="K213" s="100">
        <f t="shared" si="35"/>
        <v>0</v>
      </c>
      <c r="L213" s="100">
        <f t="shared" si="36"/>
        <v>0</v>
      </c>
      <c r="N213" s="1298">
        <f>Infrastructure!D103</f>
        <v>1035</v>
      </c>
      <c r="O213" s="62">
        <f t="shared" si="37"/>
        <v>0</v>
      </c>
      <c r="P213" s="1582">
        <f t="shared" si="38"/>
        <v>0</v>
      </c>
      <c r="Q213" s="1299">
        <f t="shared" si="39"/>
        <v>1035</v>
      </c>
      <c r="R213" s="100">
        <f>$AZ$171</f>
        <v>0</v>
      </c>
      <c r="S213"/>
      <c r="T213"/>
      <c r="U213" s="100">
        <f>$AZ$172</f>
        <v>0</v>
      </c>
      <c r="V213" s="1299">
        <f t="shared" si="40"/>
        <v>1035</v>
      </c>
      <c r="W213" s="100">
        <f t="shared" ref="W213:W239" si="42">SUM(U202:U213)</f>
        <v>0</v>
      </c>
      <c r="X213" s="1299">
        <f t="shared" si="41"/>
        <v>1035</v>
      </c>
      <c r="AA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row>
    <row r="214" spans="7:79" ht="15.5" x14ac:dyDescent="0.35">
      <c r="G214"/>
      <c r="H214" s="100">
        <f t="shared" si="32"/>
        <v>0</v>
      </c>
      <c r="I214" s="100">
        <f t="shared" si="33"/>
        <v>0</v>
      </c>
      <c r="J214" s="100">
        <f t="shared" si="34"/>
        <v>0</v>
      </c>
      <c r="K214" s="100">
        <f t="shared" si="35"/>
        <v>0</v>
      </c>
      <c r="L214" s="100">
        <f t="shared" si="36"/>
        <v>0</v>
      </c>
      <c r="N214" s="1298">
        <f>Infrastructure!D104</f>
        <v>1065</v>
      </c>
      <c r="O214" s="62">
        <f t="shared" si="37"/>
        <v>0</v>
      </c>
      <c r="P214" s="1582">
        <f t="shared" si="38"/>
        <v>0</v>
      </c>
      <c r="Q214" s="1299">
        <f t="shared" si="39"/>
        <v>1065</v>
      </c>
      <c r="R214" s="100">
        <f>$BA$171</f>
        <v>0</v>
      </c>
      <c r="S214"/>
      <c r="T214"/>
      <c r="U214" s="100">
        <f>$BA$172</f>
        <v>0</v>
      </c>
      <c r="V214" s="1299">
        <f t="shared" si="40"/>
        <v>1065</v>
      </c>
      <c r="W214" s="100">
        <f t="shared" si="42"/>
        <v>0</v>
      </c>
      <c r="X214" s="1299">
        <f t="shared" si="41"/>
        <v>1065</v>
      </c>
      <c r="AA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row>
    <row r="215" spans="7:79" ht="15.5" x14ac:dyDescent="0.35">
      <c r="G215"/>
      <c r="H215" s="100">
        <f t="shared" si="32"/>
        <v>0</v>
      </c>
      <c r="I215" s="100">
        <f t="shared" si="33"/>
        <v>0</v>
      </c>
      <c r="J215" s="100">
        <f t="shared" si="34"/>
        <v>0</v>
      </c>
      <c r="K215" s="100">
        <f t="shared" si="35"/>
        <v>0</v>
      </c>
      <c r="L215" s="100">
        <f t="shared" si="36"/>
        <v>0</v>
      </c>
      <c r="N215" s="1298">
        <f>Infrastructure!D105</f>
        <v>1096</v>
      </c>
      <c r="O215" s="62">
        <f t="shared" si="37"/>
        <v>0</v>
      </c>
      <c r="P215" s="1582">
        <f t="shared" si="38"/>
        <v>0</v>
      </c>
      <c r="Q215" s="1299">
        <f t="shared" si="39"/>
        <v>1096</v>
      </c>
      <c r="R215" s="100">
        <f>$BB$171</f>
        <v>0</v>
      </c>
      <c r="S215"/>
      <c r="T215"/>
      <c r="U215" s="100">
        <f>$BB$172</f>
        <v>0</v>
      </c>
      <c r="V215" s="1299">
        <f t="shared" si="40"/>
        <v>1096</v>
      </c>
      <c r="W215" s="100">
        <f t="shared" si="42"/>
        <v>0</v>
      </c>
      <c r="X215" s="1299">
        <f t="shared" si="41"/>
        <v>1096</v>
      </c>
      <c r="AA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row>
    <row r="216" spans="7:79" ht="15.5" x14ac:dyDescent="0.35">
      <c r="G216"/>
      <c r="H216" s="100">
        <f t="shared" si="32"/>
        <v>0</v>
      </c>
      <c r="I216" s="100">
        <f t="shared" si="33"/>
        <v>0</v>
      </c>
      <c r="J216" s="100">
        <f t="shared" si="34"/>
        <v>0</v>
      </c>
      <c r="K216" s="100">
        <f t="shared" si="35"/>
        <v>0</v>
      </c>
      <c r="L216" s="100">
        <f t="shared" si="36"/>
        <v>0</v>
      </c>
      <c r="N216" s="1298">
        <f>Infrastructure!D106</f>
        <v>1127</v>
      </c>
      <c r="O216" s="62">
        <f t="shared" si="37"/>
        <v>0</v>
      </c>
      <c r="P216" s="1582">
        <f t="shared" si="38"/>
        <v>0</v>
      </c>
      <c r="Q216" s="1299">
        <f t="shared" si="39"/>
        <v>1127</v>
      </c>
      <c r="R216" s="100">
        <f>$BC$171</f>
        <v>0</v>
      </c>
      <c r="S216"/>
      <c r="T216"/>
      <c r="U216" s="100">
        <f>$BC$172</f>
        <v>0</v>
      </c>
      <c r="V216" s="1299">
        <f t="shared" si="40"/>
        <v>1127</v>
      </c>
      <c r="W216" s="100">
        <f t="shared" si="42"/>
        <v>0</v>
      </c>
      <c r="X216" s="1299">
        <f t="shared" si="41"/>
        <v>1127</v>
      </c>
      <c r="AA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row>
    <row r="217" spans="7:79" ht="15.5" x14ac:dyDescent="0.35">
      <c r="G217"/>
      <c r="H217" s="100">
        <f t="shared" si="32"/>
        <v>0</v>
      </c>
      <c r="I217" s="100">
        <f t="shared" si="33"/>
        <v>0</v>
      </c>
      <c r="J217" s="100">
        <f t="shared" si="34"/>
        <v>0</v>
      </c>
      <c r="K217" s="100">
        <f t="shared" si="35"/>
        <v>0</v>
      </c>
      <c r="L217" s="100">
        <f t="shared" si="36"/>
        <v>0</v>
      </c>
      <c r="N217" s="1298">
        <f>Infrastructure!D107</f>
        <v>1155</v>
      </c>
      <c r="O217" s="62">
        <f t="shared" si="37"/>
        <v>0</v>
      </c>
      <c r="P217" s="1582">
        <f t="shared" si="38"/>
        <v>0</v>
      </c>
      <c r="Q217" s="1299">
        <f t="shared" si="39"/>
        <v>1155</v>
      </c>
      <c r="R217" s="100">
        <f>$BD$171</f>
        <v>0</v>
      </c>
      <c r="S217"/>
      <c r="T217"/>
      <c r="U217" s="100">
        <f>$BD$172</f>
        <v>0</v>
      </c>
      <c r="V217" s="1299">
        <f t="shared" si="40"/>
        <v>1155</v>
      </c>
      <c r="W217" s="100">
        <f t="shared" si="42"/>
        <v>0</v>
      </c>
      <c r="X217" s="1299">
        <f t="shared" si="41"/>
        <v>1155</v>
      </c>
      <c r="AA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row>
    <row r="218" spans="7:79" ht="15.5" x14ac:dyDescent="0.35">
      <c r="G218"/>
      <c r="H218" s="100">
        <f t="shared" si="32"/>
        <v>0</v>
      </c>
      <c r="I218" s="100">
        <f t="shared" si="33"/>
        <v>0</v>
      </c>
      <c r="J218" s="100">
        <f t="shared" si="34"/>
        <v>0</v>
      </c>
      <c r="K218" s="100">
        <f t="shared" si="35"/>
        <v>0</v>
      </c>
      <c r="L218" s="100">
        <f t="shared" si="36"/>
        <v>0</v>
      </c>
      <c r="N218" s="1298">
        <f>Infrastructure!D108</f>
        <v>1186</v>
      </c>
      <c r="O218" s="62">
        <f t="shared" si="37"/>
        <v>0</v>
      </c>
      <c r="P218" s="1582">
        <f t="shared" si="38"/>
        <v>0</v>
      </c>
      <c r="Q218" s="1299">
        <f t="shared" si="39"/>
        <v>1186</v>
      </c>
      <c r="R218" s="100">
        <f>$BE$171</f>
        <v>0</v>
      </c>
      <c r="S218"/>
      <c r="T218"/>
      <c r="U218" s="100">
        <f>$BE$172</f>
        <v>0</v>
      </c>
      <c r="V218" s="1299">
        <f t="shared" si="40"/>
        <v>1186</v>
      </c>
      <c r="W218" s="100">
        <f t="shared" si="42"/>
        <v>0</v>
      </c>
      <c r="X218" s="1299">
        <f t="shared" si="41"/>
        <v>1186</v>
      </c>
      <c r="AA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row>
    <row r="219" spans="7:79" ht="15.5" x14ac:dyDescent="0.35">
      <c r="G219"/>
      <c r="H219" s="100">
        <f t="shared" si="32"/>
        <v>0</v>
      </c>
      <c r="I219" s="100">
        <f t="shared" si="33"/>
        <v>0</v>
      </c>
      <c r="J219" s="100">
        <f t="shared" si="34"/>
        <v>0</v>
      </c>
      <c r="K219" s="100">
        <f t="shared" si="35"/>
        <v>0</v>
      </c>
      <c r="L219" s="100">
        <f t="shared" si="36"/>
        <v>0</v>
      </c>
      <c r="N219" s="1298">
        <f>Infrastructure!D109</f>
        <v>1216</v>
      </c>
      <c r="O219" s="62">
        <f t="shared" si="37"/>
        <v>0</v>
      </c>
      <c r="P219" s="1582">
        <f t="shared" si="38"/>
        <v>0</v>
      </c>
      <c r="Q219" s="1299">
        <f t="shared" si="39"/>
        <v>1216</v>
      </c>
      <c r="R219" s="100">
        <f>$BF$171</f>
        <v>0</v>
      </c>
      <c r="S219"/>
      <c r="T219"/>
      <c r="U219" s="100">
        <f>$BF$172</f>
        <v>0</v>
      </c>
      <c r="V219" s="1299">
        <f t="shared" si="40"/>
        <v>1216</v>
      </c>
      <c r="W219" s="100">
        <f t="shared" si="42"/>
        <v>0</v>
      </c>
      <c r="X219" s="1299">
        <f t="shared" si="41"/>
        <v>1216</v>
      </c>
      <c r="AA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row>
    <row r="220" spans="7:79" ht="15.5" x14ac:dyDescent="0.35">
      <c r="G220"/>
      <c r="H220" s="100">
        <f t="shared" si="32"/>
        <v>0</v>
      </c>
      <c r="I220" s="100">
        <f t="shared" si="33"/>
        <v>0</v>
      </c>
      <c r="J220" s="100">
        <f t="shared" si="34"/>
        <v>0</v>
      </c>
      <c r="K220" s="100">
        <f t="shared" si="35"/>
        <v>0</v>
      </c>
      <c r="L220" s="100">
        <f t="shared" si="36"/>
        <v>0</v>
      </c>
      <c r="N220" s="1298">
        <f>Infrastructure!D110</f>
        <v>1247</v>
      </c>
      <c r="O220" s="62">
        <f t="shared" si="37"/>
        <v>0</v>
      </c>
      <c r="P220" s="1582">
        <f t="shared" si="38"/>
        <v>0</v>
      </c>
      <c r="Q220" s="1299">
        <f t="shared" si="39"/>
        <v>1247</v>
      </c>
      <c r="R220" s="100">
        <f>$BG$171</f>
        <v>0</v>
      </c>
      <c r="S220"/>
      <c r="T220"/>
      <c r="U220" s="100">
        <f>$BG$172</f>
        <v>0</v>
      </c>
      <c r="V220" s="1299">
        <f t="shared" si="40"/>
        <v>1247</v>
      </c>
      <c r="W220" s="100">
        <f t="shared" si="42"/>
        <v>0</v>
      </c>
      <c r="X220" s="1299">
        <f t="shared" si="41"/>
        <v>1247</v>
      </c>
      <c r="AA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row>
    <row r="221" spans="7:79" ht="15.5" x14ac:dyDescent="0.35">
      <c r="G221"/>
      <c r="H221"/>
      <c r="I221"/>
      <c r="J221"/>
      <c r="K221"/>
      <c r="L221"/>
      <c r="N221" s="1298">
        <f>Infrastructure!D111</f>
        <v>1277</v>
      </c>
      <c r="O221" s="62">
        <f t="shared" si="37"/>
        <v>0</v>
      </c>
      <c r="P221" s="1582">
        <f t="shared" si="38"/>
        <v>0</v>
      </c>
      <c r="Q221" s="1299">
        <f t="shared" si="39"/>
        <v>1277</v>
      </c>
      <c r="R221" s="100">
        <f>$BH$171</f>
        <v>0</v>
      </c>
      <c r="S221"/>
      <c r="T221"/>
      <c r="U221" s="100">
        <f>$BH$172</f>
        <v>0</v>
      </c>
      <c r="V221" s="1299">
        <f t="shared" si="40"/>
        <v>1277</v>
      </c>
      <c r="W221" s="100">
        <f t="shared" si="42"/>
        <v>0</v>
      </c>
      <c r="X221" s="1299">
        <f t="shared" si="41"/>
        <v>1277</v>
      </c>
      <c r="AA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row>
    <row r="222" spans="7:79" ht="15.5" x14ac:dyDescent="0.35">
      <c r="G222"/>
      <c r="H222"/>
      <c r="I222"/>
      <c r="J222"/>
      <c r="K222"/>
      <c r="L222"/>
      <c r="N222" s="1298">
        <f>Infrastructure!D112</f>
        <v>1308</v>
      </c>
      <c r="O222" s="62">
        <f t="shared" si="37"/>
        <v>0</v>
      </c>
      <c r="P222" s="1582">
        <f t="shared" si="38"/>
        <v>0</v>
      </c>
      <c r="Q222" s="1299">
        <f t="shared" si="39"/>
        <v>1308</v>
      </c>
      <c r="R222" s="100">
        <f>$BI$171</f>
        <v>0</v>
      </c>
      <c r="S222"/>
      <c r="T222"/>
      <c r="U222" s="100">
        <f>$BI$172</f>
        <v>0</v>
      </c>
      <c r="V222" s="1299">
        <f t="shared" si="40"/>
        <v>1308</v>
      </c>
      <c r="W222" s="100">
        <f t="shared" si="42"/>
        <v>0</v>
      </c>
      <c r="X222" s="1299">
        <f t="shared" si="41"/>
        <v>1308</v>
      </c>
      <c r="AA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row>
    <row r="223" spans="7:79" ht="15.5" x14ac:dyDescent="0.35">
      <c r="G223"/>
      <c r="H223" s="40" t="e">
        <f t="shared" ref="H223:H234" si="43">IF(AND(V180&gt;=$Y$182,V180&lt;=$Y$183),1,0)</f>
        <v>#VALUE!</v>
      </c>
      <c r="I223" s="40" t="e">
        <f t="shared" ref="I223:I234" si="44">IF(AND(V192&gt;=$Y$182,V192&lt;=$Y$183),1,0)</f>
        <v>#VALUE!</v>
      </c>
      <c r="J223" s="40" t="e">
        <f t="shared" ref="J223:J234" si="45">IF(AND(V204&gt;=$Y$182,V204&lt;=$Y$183),1,0)</f>
        <v>#VALUE!</v>
      </c>
      <c r="K223" s="40" t="e">
        <f t="shared" ref="K223:K234" si="46">IF(AND(V216&gt;=$Y$182,V216&lt;=$Y$183),1,0)</f>
        <v>#VALUE!</v>
      </c>
      <c r="L223" s="40" t="e">
        <f t="shared" ref="L223:L234" si="47">IF(AND(V228&gt;=$Y$182,V228&lt;=$Y$183),1,0)</f>
        <v>#VALUE!</v>
      </c>
      <c r="N223" s="1298">
        <f>Infrastructure!D113</f>
        <v>1339</v>
      </c>
      <c r="O223" s="62">
        <f t="shared" si="37"/>
        <v>0</v>
      </c>
      <c r="P223" s="1582">
        <f t="shared" si="38"/>
        <v>0</v>
      </c>
      <c r="Q223" s="1299">
        <f t="shared" si="39"/>
        <v>1339</v>
      </c>
      <c r="R223" s="100">
        <f>$BJ$171</f>
        <v>0</v>
      </c>
      <c r="S223"/>
      <c r="T223"/>
      <c r="U223" s="100">
        <f>$BJ$172</f>
        <v>0</v>
      </c>
      <c r="V223" s="1299">
        <f t="shared" si="40"/>
        <v>1339</v>
      </c>
      <c r="W223" s="100">
        <f t="shared" si="42"/>
        <v>0</v>
      </c>
      <c r="X223" s="1299">
        <f t="shared" si="41"/>
        <v>1339</v>
      </c>
      <c r="AA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row>
    <row r="224" spans="7:79" ht="15.5" x14ac:dyDescent="0.35">
      <c r="G224"/>
      <c r="H224" s="40" t="e">
        <f t="shared" si="43"/>
        <v>#VALUE!</v>
      </c>
      <c r="I224" s="40" t="e">
        <f t="shared" si="44"/>
        <v>#VALUE!</v>
      </c>
      <c r="J224" s="40" t="e">
        <f t="shared" si="45"/>
        <v>#VALUE!</v>
      </c>
      <c r="K224" s="40" t="e">
        <f t="shared" si="46"/>
        <v>#VALUE!</v>
      </c>
      <c r="L224" s="40" t="e">
        <f t="shared" si="47"/>
        <v>#VALUE!</v>
      </c>
      <c r="N224" s="1298">
        <f>Infrastructure!D114</f>
        <v>1369</v>
      </c>
      <c r="O224" s="62">
        <f t="shared" si="37"/>
        <v>0</v>
      </c>
      <c r="P224" s="1582">
        <f t="shared" si="38"/>
        <v>0</v>
      </c>
      <c r="Q224" s="1299">
        <f t="shared" si="39"/>
        <v>1369</v>
      </c>
      <c r="R224" s="100">
        <f>$BK$171</f>
        <v>0</v>
      </c>
      <c r="S224"/>
      <c r="T224"/>
      <c r="U224" s="100">
        <f>$BK$172</f>
        <v>0</v>
      </c>
      <c r="V224" s="1299">
        <f t="shared" si="40"/>
        <v>1369</v>
      </c>
      <c r="W224" s="100">
        <f t="shared" si="42"/>
        <v>0</v>
      </c>
      <c r="X224" s="1299">
        <f t="shared" si="41"/>
        <v>1369</v>
      </c>
      <c r="AA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row>
    <row r="225" spans="7:79" ht="15.5" x14ac:dyDescent="0.35">
      <c r="G225"/>
      <c r="H225" s="40" t="e">
        <f t="shared" si="43"/>
        <v>#VALUE!</v>
      </c>
      <c r="I225" s="40" t="e">
        <f t="shared" si="44"/>
        <v>#VALUE!</v>
      </c>
      <c r="J225" s="40" t="e">
        <f t="shared" si="45"/>
        <v>#VALUE!</v>
      </c>
      <c r="K225" s="40" t="e">
        <f t="shared" si="46"/>
        <v>#VALUE!</v>
      </c>
      <c r="L225" s="40" t="e">
        <f t="shared" si="47"/>
        <v>#VALUE!</v>
      </c>
      <c r="N225" s="1298">
        <f>Infrastructure!D115</f>
        <v>1400</v>
      </c>
      <c r="O225" s="62">
        <f t="shared" si="37"/>
        <v>0</v>
      </c>
      <c r="P225" s="1582">
        <f t="shared" si="38"/>
        <v>0</v>
      </c>
      <c r="Q225" s="1299">
        <f t="shared" si="39"/>
        <v>1400</v>
      </c>
      <c r="R225" s="100">
        <f>$BL$171</f>
        <v>0</v>
      </c>
      <c r="S225"/>
      <c r="T225"/>
      <c r="U225" s="100">
        <f>$BL$172</f>
        <v>0</v>
      </c>
      <c r="V225" s="1299">
        <f t="shared" si="40"/>
        <v>1400</v>
      </c>
      <c r="W225" s="100">
        <f t="shared" si="42"/>
        <v>0</v>
      </c>
      <c r="X225" s="1299">
        <f t="shared" si="41"/>
        <v>1400</v>
      </c>
      <c r="AA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row>
    <row r="226" spans="7:79" ht="15.5" x14ac:dyDescent="0.35">
      <c r="G226"/>
      <c r="H226" s="40" t="e">
        <f t="shared" si="43"/>
        <v>#VALUE!</v>
      </c>
      <c r="I226" s="40" t="e">
        <f t="shared" si="44"/>
        <v>#VALUE!</v>
      </c>
      <c r="J226" s="40" t="e">
        <f t="shared" si="45"/>
        <v>#VALUE!</v>
      </c>
      <c r="K226" s="40" t="e">
        <f t="shared" si="46"/>
        <v>#VALUE!</v>
      </c>
      <c r="L226" s="40" t="e">
        <f t="shared" si="47"/>
        <v>#VALUE!</v>
      </c>
      <c r="N226" s="1298">
        <f>Infrastructure!D116</f>
        <v>1430</v>
      </c>
      <c r="O226" s="62">
        <f t="shared" si="37"/>
        <v>0</v>
      </c>
      <c r="P226" s="1582">
        <f t="shared" si="38"/>
        <v>0</v>
      </c>
      <c r="Q226" s="1299">
        <f t="shared" si="39"/>
        <v>1430</v>
      </c>
      <c r="R226" s="100">
        <f>$BM$171</f>
        <v>0</v>
      </c>
      <c r="S226"/>
      <c r="T226"/>
      <c r="U226" s="100">
        <f>$BM$172</f>
        <v>0</v>
      </c>
      <c r="V226" s="1299">
        <f t="shared" si="40"/>
        <v>1430</v>
      </c>
      <c r="W226" s="100">
        <f t="shared" si="42"/>
        <v>0</v>
      </c>
      <c r="X226" s="1299">
        <f t="shared" si="41"/>
        <v>1430</v>
      </c>
      <c r="AA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row>
    <row r="227" spans="7:79" ht="15.5" x14ac:dyDescent="0.35">
      <c r="G227"/>
      <c r="H227" s="40" t="e">
        <f t="shared" si="43"/>
        <v>#VALUE!</v>
      </c>
      <c r="I227" s="40" t="e">
        <f t="shared" si="44"/>
        <v>#VALUE!</v>
      </c>
      <c r="J227" s="40" t="e">
        <f t="shared" si="45"/>
        <v>#VALUE!</v>
      </c>
      <c r="K227" s="40" t="e">
        <f t="shared" si="46"/>
        <v>#VALUE!</v>
      </c>
      <c r="L227" s="40" t="e">
        <f t="shared" si="47"/>
        <v>#VALUE!</v>
      </c>
      <c r="N227" s="1298">
        <f>Infrastructure!D117</f>
        <v>1461</v>
      </c>
      <c r="O227" s="62">
        <f t="shared" si="37"/>
        <v>0</v>
      </c>
      <c r="P227" s="1582">
        <f t="shared" si="38"/>
        <v>0</v>
      </c>
      <c r="Q227" s="1299">
        <f t="shared" si="39"/>
        <v>1461</v>
      </c>
      <c r="R227" s="100">
        <f>$BN$171</f>
        <v>0</v>
      </c>
      <c r="S227"/>
      <c r="T227"/>
      <c r="U227" s="100">
        <f>$BN$172</f>
        <v>0</v>
      </c>
      <c r="V227" s="1299">
        <f t="shared" si="40"/>
        <v>1461</v>
      </c>
      <c r="W227" s="100">
        <f t="shared" si="42"/>
        <v>0</v>
      </c>
      <c r="X227" s="1299">
        <f t="shared" si="41"/>
        <v>1461</v>
      </c>
      <c r="AA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row>
    <row r="228" spans="7:79" ht="15.5" x14ac:dyDescent="0.35">
      <c r="G228"/>
      <c r="H228" s="40" t="e">
        <f t="shared" si="43"/>
        <v>#VALUE!</v>
      </c>
      <c r="I228" s="40" t="e">
        <f t="shared" si="44"/>
        <v>#VALUE!</v>
      </c>
      <c r="J228" s="40" t="e">
        <f t="shared" si="45"/>
        <v>#VALUE!</v>
      </c>
      <c r="K228" s="40" t="e">
        <f t="shared" si="46"/>
        <v>#VALUE!</v>
      </c>
      <c r="L228" s="40" t="e">
        <f t="shared" si="47"/>
        <v>#VALUE!</v>
      </c>
      <c r="N228" s="1298">
        <f>Infrastructure!D118</f>
        <v>1492</v>
      </c>
      <c r="O228" s="62">
        <f t="shared" si="37"/>
        <v>0</v>
      </c>
      <c r="P228" s="1582">
        <f t="shared" si="38"/>
        <v>0</v>
      </c>
      <c r="Q228" s="1299">
        <f t="shared" si="39"/>
        <v>1492</v>
      </c>
      <c r="R228" s="100">
        <f>$BO$171</f>
        <v>0</v>
      </c>
      <c r="S228"/>
      <c r="T228"/>
      <c r="U228" s="100">
        <f>$BO$172</f>
        <v>0</v>
      </c>
      <c r="V228" s="1299">
        <f t="shared" si="40"/>
        <v>1492</v>
      </c>
      <c r="W228" s="100">
        <f t="shared" si="42"/>
        <v>0</v>
      </c>
      <c r="X228" s="1299">
        <f t="shared" si="41"/>
        <v>1492</v>
      </c>
      <c r="AA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row>
    <row r="229" spans="7:79" ht="15.5" x14ac:dyDescent="0.35">
      <c r="H229" s="40" t="e">
        <f t="shared" si="43"/>
        <v>#VALUE!</v>
      </c>
      <c r="I229" s="40" t="e">
        <f t="shared" si="44"/>
        <v>#VALUE!</v>
      </c>
      <c r="J229" s="40" t="e">
        <f t="shared" si="45"/>
        <v>#VALUE!</v>
      </c>
      <c r="K229" s="40" t="e">
        <f t="shared" si="46"/>
        <v>#VALUE!</v>
      </c>
      <c r="L229" s="40" t="e">
        <f t="shared" si="47"/>
        <v>#VALUE!</v>
      </c>
      <c r="N229" s="1298">
        <f>Infrastructure!D119</f>
        <v>1521</v>
      </c>
      <c r="O229" s="62">
        <f t="shared" si="37"/>
        <v>0</v>
      </c>
      <c r="P229" s="1582">
        <f t="shared" si="38"/>
        <v>0</v>
      </c>
      <c r="Q229" s="1299">
        <f t="shared" si="39"/>
        <v>1521</v>
      </c>
      <c r="R229" s="100">
        <f>$BP$171</f>
        <v>0</v>
      </c>
      <c r="S229"/>
      <c r="T229"/>
      <c r="U229" s="100">
        <f>$BP$172</f>
        <v>0</v>
      </c>
      <c r="V229" s="1299">
        <f t="shared" si="40"/>
        <v>1521</v>
      </c>
      <c r="W229" s="100">
        <f t="shared" si="42"/>
        <v>0</v>
      </c>
      <c r="X229" s="1299">
        <f t="shared" si="41"/>
        <v>1521</v>
      </c>
      <c r="AA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row>
    <row r="230" spans="7:79" ht="15.5" x14ac:dyDescent="0.35">
      <c r="H230" s="40" t="e">
        <f t="shared" si="43"/>
        <v>#VALUE!</v>
      </c>
      <c r="I230" s="40" t="e">
        <f t="shared" si="44"/>
        <v>#VALUE!</v>
      </c>
      <c r="J230" s="40" t="e">
        <f t="shared" si="45"/>
        <v>#VALUE!</v>
      </c>
      <c r="K230" s="40" t="e">
        <f t="shared" si="46"/>
        <v>#VALUE!</v>
      </c>
      <c r="L230" s="40" t="e">
        <f t="shared" si="47"/>
        <v>#VALUE!</v>
      </c>
      <c r="N230" s="1298">
        <f>Infrastructure!D120</f>
        <v>1552</v>
      </c>
      <c r="O230" s="62">
        <f t="shared" si="37"/>
        <v>0</v>
      </c>
      <c r="P230" s="1582">
        <f t="shared" si="38"/>
        <v>0</v>
      </c>
      <c r="Q230" s="1299">
        <f t="shared" si="39"/>
        <v>1552</v>
      </c>
      <c r="R230" s="100">
        <f>$BQ$171</f>
        <v>0</v>
      </c>
      <c r="S230"/>
      <c r="T230"/>
      <c r="U230" s="100">
        <f>$BQ$172</f>
        <v>0</v>
      </c>
      <c r="V230" s="1299">
        <f t="shared" si="40"/>
        <v>1552</v>
      </c>
      <c r="W230" s="100">
        <f t="shared" si="42"/>
        <v>0</v>
      </c>
      <c r="X230" s="1299">
        <f t="shared" si="41"/>
        <v>1552</v>
      </c>
      <c r="AA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row>
    <row r="231" spans="7:79" ht="15.5" x14ac:dyDescent="0.35">
      <c r="H231" s="40" t="e">
        <f t="shared" si="43"/>
        <v>#VALUE!</v>
      </c>
      <c r="I231" s="40" t="e">
        <f t="shared" si="44"/>
        <v>#VALUE!</v>
      </c>
      <c r="J231" s="40" t="e">
        <f t="shared" si="45"/>
        <v>#VALUE!</v>
      </c>
      <c r="K231" s="40" t="e">
        <f t="shared" si="46"/>
        <v>#VALUE!</v>
      </c>
      <c r="L231" s="40" t="e">
        <f t="shared" si="47"/>
        <v>#VALUE!</v>
      </c>
      <c r="N231" s="1298">
        <f>Infrastructure!D121</f>
        <v>1582</v>
      </c>
      <c r="O231" s="62">
        <f t="shared" si="37"/>
        <v>0</v>
      </c>
      <c r="P231" s="1582">
        <f t="shared" si="38"/>
        <v>0</v>
      </c>
      <c r="Q231" s="1299">
        <f t="shared" si="39"/>
        <v>1582</v>
      </c>
      <c r="R231" s="100">
        <f>$BR$171</f>
        <v>0</v>
      </c>
      <c r="S231"/>
      <c r="T231"/>
      <c r="U231" s="100">
        <f>$BR$172</f>
        <v>0</v>
      </c>
      <c r="V231" s="1299">
        <f t="shared" si="40"/>
        <v>1582</v>
      </c>
      <c r="W231" s="100">
        <f t="shared" si="42"/>
        <v>0</v>
      </c>
      <c r="X231" s="1299">
        <f t="shared" si="41"/>
        <v>1582</v>
      </c>
      <c r="AA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row>
    <row r="232" spans="7:79" ht="15.5" x14ac:dyDescent="0.35">
      <c r="H232" s="40" t="e">
        <f t="shared" si="43"/>
        <v>#VALUE!</v>
      </c>
      <c r="I232" s="40" t="e">
        <f t="shared" si="44"/>
        <v>#VALUE!</v>
      </c>
      <c r="J232" s="40" t="e">
        <f t="shared" si="45"/>
        <v>#VALUE!</v>
      </c>
      <c r="K232" s="40" t="e">
        <f t="shared" si="46"/>
        <v>#VALUE!</v>
      </c>
      <c r="L232" s="40" t="e">
        <f t="shared" si="47"/>
        <v>#VALUE!</v>
      </c>
      <c r="N232" s="1298">
        <f>Infrastructure!D122</f>
        <v>1613</v>
      </c>
      <c r="O232" s="62">
        <f t="shared" si="37"/>
        <v>0</v>
      </c>
      <c r="P232" s="1582">
        <f t="shared" si="38"/>
        <v>0</v>
      </c>
      <c r="Q232" s="1299">
        <f t="shared" si="39"/>
        <v>1613</v>
      </c>
      <c r="R232" s="100">
        <f>$BS$171</f>
        <v>0</v>
      </c>
      <c r="S232"/>
      <c r="T232"/>
      <c r="U232" s="100">
        <f>$BS$172</f>
        <v>0</v>
      </c>
      <c r="V232" s="1299">
        <f t="shared" si="40"/>
        <v>1613</v>
      </c>
      <c r="W232" s="100">
        <f t="shared" si="42"/>
        <v>0</v>
      </c>
      <c r="X232" s="1299">
        <f t="shared" si="41"/>
        <v>1613</v>
      </c>
      <c r="AA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row>
    <row r="233" spans="7:79" ht="15.5" x14ac:dyDescent="0.35">
      <c r="H233" s="40" t="e">
        <f t="shared" si="43"/>
        <v>#VALUE!</v>
      </c>
      <c r="I233" s="40" t="e">
        <f t="shared" si="44"/>
        <v>#VALUE!</v>
      </c>
      <c r="J233" s="40" t="e">
        <f t="shared" si="45"/>
        <v>#VALUE!</v>
      </c>
      <c r="K233" s="40" t="e">
        <f t="shared" si="46"/>
        <v>#VALUE!</v>
      </c>
      <c r="L233" s="40" t="e">
        <f t="shared" si="47"/>
        <v>#VALUE!</v>
      </c>
      <c r="N233" s="1298">
        <f>Infrastructure!D123</f>
        <v>1643</v>
      </c>
      <c r="O233" s="62">
        <f t="shared" si="37"/>
        <v>0</v>
      </c>
      <c r="P233" s="1582">
        <f t="shared" si="38"/>
        <v>0</v>
      </c>
      <c r="Q233" s="1299">
        <f t="shared" si="39"/>
        <v>1643</v>
      </c>
      <c r="R233" s="100">
        <f>$BT$171</f>
        <v>0</v>
      </c>
      <c r="S233"/>
      <c r="T233"/>
      <c r="U233" s="100">
        <f>$BT$172</f>
        <v>0</v>
      </c>
      <c r="V233" s="1299">
        <f t="shared" si="40"/>
        <v>1643</v>
      </c>
      <c r="W233" s="100">
        <f t="shared" si="42"/>
        <v>0</v>
      </c>
      <c r="X233" s="1299">
        <f t="shared" si="41"/>
        <v>1643</v>
      </c>
      <c r="AA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row>
    <row r="234" spans="7:79" ht="15.5" x14ac:dyDescent="0.35">
      <c r="H234" s="40" t="e">
        <f t="shared" si="43"/>
        <v>#VALUE!</v>
      </c>
      <c r="I234" s="40" t="e">
        <f t="shared" si="44"/>
        <v>#VALUE!</v>
      </c>
      <c r="J234" s="40" t="e">
        <f t="shared" si="45"/>
        <v>#VALUE!</v>
      </c>
      <c r="K234" s="40" t="e">
        <f t="shared" si="46"/>
        <v>#VALUE!</v>
      </c>
      <c r="L234" s="40" t="e">
        <f t="shared" si="47"/>
        <v>#VALUE!</v>
      </c>
      <c r="N234" s="1298">
        <f>Infrastructure!D124</f>
        <v>1674</v>
      </c>
      <c r="O234" s="62">
        <f t="shared" si="37"/>
        <v>0</v>
      </c>
      <c r="P234" s="1582">
        <f t="shared" si="38"/>
        <v>0</v>
      </c>
      <c r="Q234" s="1299">
        <f t="shared" si="39"/>
        <v>1674</v>
      </c>
      <c r="R234" s="100">
        <f>$BU$171</f>
        <v>0</v>
      </c>
      <c r="S234"/>
      <c r="T234"/>
      <c r="U234" s="100">
        <f>$BU$172</f>
        <v>0</v>
      </c>
      <c r="V234" s="1299">
        <f t="shared" si="40"/>
        <v>1674</v>
      </c>
      <c r="W234" s="100">
        <f t="shared" si="42"/>
        <v>0</v>
      </c>
      <c r="X234" s="1299">
        <f t="shared" si="41"/>
        <v>1674</v>
      </c>
      <c r="AA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row>
    <row r="235" spans="7:79" ht="15.5" x14ac:dyDescent="0.35">
      <c r="H235"/>
      <c r="N235" s="1298">
        <f>Infrastructure!D125</f>
        <v>1705</v>
      </c>
      <c r="O235" s="62">
        <f t="shared" si="37"/>
        <v>0</v>
      </c>
      <c r="P235" s="1582">
        <f t="shared" si="38"/>
        <v>0</v>
      </c>
      <c r="Q235" s="1299">
        <f t="shared" si="39"/>
        <v>1705</v>
      </c>
      <c r="R235" s="100">
        <f>$BV$171</f>
        <v>0</v>
      </c>
      <c r="S235"/>
      <c r="T235"/>
      <c r="U235" s="100">
        <f>$BV$172</f>
        <v>0</v>
      </c>
      <c r="V235" s="1299">
        <f t="shared" si="40"/>
        <v>1705</v>
      </c>
      <c r="W235" s="100">
        <f t="shared" si="42"/>
        <v>0</v>
      </c>
      <c r="X235" s="1299">
        <f t="shared" si="41"/>
        <v>1705</v>
      </c>
      <c r="AA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row>
    <row r="236" spans="7:79" ht="15.5" x14ac:dyDescent="0.35">
      <c r="H236"/>
      <c r="N236" s="1298">
        <f>Infrastructure!D126</f>
        <v>1735</v>
      </c>
      <c r="O236" s="62">
        <f t="shared" si="37"/>
        <v>0</v>
      </c>
      <c r="P236" s="1582">
        <f t="shared" si="38"/>
        <v>0</v>
      </c>
      <c r="Q236" s="1299">
        <f t="shared" si="39"/>
        <v>1735</v>
      </c>
      <c r="R236" s="100">
        <f>$BW$171</f>
        <v>0</v>
      </c>
      <c r="S236"/>
      <c r="T236"/>
      <c r="U236" s="100">
        <f>$BW$172</f>
        <v>0</v>
      </c>
      <c r="V236" s="1299">
        <f t="shared" si="40"/>
        <v>1735</v>
      </c>
      <c r="W236" s="100">
        <f t="shared" si="42"/>
        <v>0</v>
      </c>
      <c r="X236" s="1299">
        <f t="shared" si="41"/>
        <v>1735</v>
      </c>
      <c r="Y236"/>
      <c r="AA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row>
    <row r="237" spans="7:79" ht="15.5" x14ac:dyDescent="0.35">
      <c r="H237"/>
      <c r="N237" s="1298">
        <f>Infrastructure!D127</f>
        <v>1766</v>
      </c>
      <c r="O237" s="62">
        <f t="shared" si="37"/>
        <v>0</v>
      </c>
      <c r="P237" s="1582">
        <f t="shared" si="38"/>
        <v>0</v>
      </c>
      <c r="Q237" s="1299">
        <f t="shared" si="39"/>
        <v>1766</v>
      </c>
      <c r="R237" s="100">
        <f>$BX$171</f>
        <v>0</v>
      </c>
      <c r="S237"/>
      <c r="T237"/>
      <c r="U237" s="100">
        <f>$BX$172</f>
        <v>0</v>
      </c>
      <c r="V237" s="1299">
        <f t="shared" si="40"/>
        <v>1766</v>
      </c>
      <c r="W237" s="100">
        <f t="shared" si="42"/>
        <v>0</v>
      </c>
      <c r="X237" s="1299">
        <f t="shared" si="41"/>
        <v>1766</v>
      </c>
      <c r="Y237"/>
      <c r="AA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row>
    <row r="238" spans="7:79" ht="15.5" x14ac:dyDescent="0.35">
      <c r="H238"/>
      <c r="N238" s="1298">
        <f>Infrastructure!D128</f>
        <v>1796</v>
      </c>
      <c r="O238" s="62">
        <f t="shared" si="37"/>
        <v>0</v>
      </c>
      <c r="P238" s="1582">
        <f t="shared" si="38"/>
        <v>0</v>
      </c>
      <c r="Q238" s="1299">
        <f t="shared" si="39"/>
        <v>1796</v>
      </c>
      <c r="R238" s="100">
        <f>$BY$171</f>
        <v>0</v>
      </c>
      <c r="S238"/>
      <c r="T238"/>
      <c r="U238" s="100">
        <f>$BY$172</f>
        <v>0</v>
      </c>
      <c r="V238" s="1299">
        <f t="shared" si="40"/>
        <v>1796</v>
      </c>
      <c r="W238" s="100">
        <f t="shared" si="42"/>
        <v>0</v>
      </c>
      <c r="X238" s="1299">
        <f t="shared" si="41"/>
        <v>1796</v>
      </c>
      <c r="Y238"/>
      <c r="AA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row>
    <row r="239" spans="7:79" ht="15.5" x14ac:dyDescent="0.35">
      <c r="H239"/>
      <c r="N239" s="1298">
        <f>Infrastructure!D129</f>
        <v>1827</v>
      </c>
      <c r="O239" s="62">
        <f t="shared" si="37"/>
        <v>0</v>
      </c>
      <c r="P239" s="1582">
        <f t="shared" si="38"/>
        <v>0</v>
      </c>
      <c r="Q239" s="1299">
        <f t="shared" si="39"/>
        <v>1827</v>
      </c>
      <c r="R239" s="100">
        <f>$BZ$171</f>
        <v>0</v>
      </c>
      <c r="S239"/>
      <c r="T239"/>
      <c r="U239" s="100">
        <f>$BZ$172</f>
        <v>0</v>
      </c>
      <c r="V239" s="1299">
        <f t="shared" si="40"/>
        <v>1827</v>
      </c>
      <c r="W239" s="100">
        <f t="shared" si="42"/>
        <v>0</v>
      </c>
      <c r="X239" s="1299">
        <f t="shared" si="41"/>
        <v>1827</v>
      </c>
      <c r="Y239"/>
      <c r="AA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row>
    <row r="240" spans="7:79" ht="15.5" x14ac:dyDescent="0.35">
      <c r="H240"/>
      <c r="N240"/>
      <c r="O240"/>
      <c r="P240" s="209"/>
      <c r="Q240"/>
      <c r="R240"/>
      <c r="S240"/>
      <c r="T240"/>
      <c r="U240"/>
      <c r="V240"/>
      <c r="W240"/>
      <c r="X240"/>
      <c r="Y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row>
    <row r="241" spans="8:79" ht="15.5" x14ac:dyDescent="0.35">
      <c r="H241"/>
      <c r="N241"/>
      <c r="O241"/>
      <c r="P241" s="209"/>
      <c r="Q241"/>
      <c r="R241"/>
      <c r="S241"/>
      <c r="T241"/>
      <c r="U241"/>
      <c r="V241"/>
      <c r="W241"/>
      <c r="X241"/>
      <c r="Y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row>
    <row r="242" spans="8:79" ht="15.5" x14ac:dyDescent="0.35">
      <c r="H242"/>
      <c r="N242"/>
      <c r="O242"/>
      <c r="P242" s="209"/>
      <c r="Q242"/>
      <c r="R242"/>
      <c r="S242"/>
      <c r="T242"/>
      <c r="U242"/>
      <c r="V242"/>
      <c r="W242"/>
      <c r="X242"/>
      <c r="Y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row>
    <row r="243" spans="8:79" ht="15.5" x14ac:dyDescent="0.35">
      <c r="H243"/>
      <c r="N243"/>
      <c r="O243"/>
      <c r="P243" s="209"/>
      <c r="Q243"/>
      <c r="R243"/>
      <c r="S243"/>
      <c r="T243"/>
      <c r="U243"/>
      <c r="V243"/>
      <c r="W243"/>
      <c r="X243"/>
      <c r="Y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row>
    <row r="244" spans="8:79" ht="15.5" x14ac:dyDescent="0.35">
      <c r="H244"/>
      <c r="N244"/>
      <c r="O244"/>
      <c r="P244" s="209"/>
      <c r="Q244"/>
      <c r="R244"/>
      <c r="S244"/>
      <c r="T244"/>
      <c r="U244"/>
      <c r="V244"/>
      <c r="W244"/>
      <c r="X244"/>
      <c r="Y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row>
    <row r="245" spans="8:79" ht="15.5" x14ac:dyDescent="0.35">
      <c r="H245"/>
      <c r="N245"/>
      <c r="O245"/>
      <c r="P245" s="209"/>
      <c r="Q245"/>
      <c r="R245"/>
      <c r="S245"/>
      <c r="T245"/>
      <c r="U245"/>
      <c r="V245"/>
      <c r="W245"/>
      <c r="X245"/>
      <c r="Y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row>
    <row r="246" spans="8:79" ht="15.5" x14ac:dyDescent="0.35">
      <c r="H246"/>
      <c r="N246"/>
      <c r="O246"/>
      <c r="P246" s="209"/>
      <c r="Q246"/>
      <c r="R246"/>
      <c r="S246"/>
      <c r="T246"/>
      <c r="U246"/>
      <c r="V246"/>
      <c r="W246"/>
      <c r="X246"/>
      <c r="Y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row>
    <row r="247" spans="8:79" ht="15.5" x14ac:dyDescent="0.35">
      <c r="H247"/>
      <c r="N247"/>
      <c r="O247"/>
      <c r="P247" s="209"/>
      <c r="Q247"/>
      <c r="R247"/>
      <c r="S247"/>
      <c r="T247"/>
      <c r="U247"/>
      <c r="V247"/>
      <c r="W247"/>
      <c r="X247"/>
      <c r="Y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row>
    <row r="248" spans="8:79" ht="15.5" x14ac:dyDescent="0.35">
      <c r="H248"/>
      <c r="N248"/>
      <c r="O248"/>
      <c r="P248" s="209"/>
      <c r="Q248"/>
      <c r="R248"/>
      <c r="S248"/>
      <c r="T248"/>
      <c r="U248"/>
      <c r="V248"/>
      <c r="W248"/>
      <c r="X248"/>
      <c r="Y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row>
    <row r="249" spans="8:79" ht="15.5" x14ac:dyDescent="0.35">
      <c r="H249"/>
      <c r="N249"/>
      <c r="O249"/>
      <c r="P249" s="209"/>
      <c r="Q249"/>
      <c r="R249"/>
      <c r="S249"/>
      <c r="T249"/>
      <c r="U249"/>
      <c r="V249"/>
      <c r="W249"/>
      <c r="X249"/>
      <c r="Y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row>
    <row r="250" spans="8:79" ht="15.5" x14ac:dyDescent="0.35">
      <c r="H250"/>
      <c r="K250" s="101"/>
      <c r="N250"/>
      <c r="O250"/>
      <c r="P250"/>
      <c r="Q250"/>
      <c r="R250"/>
      <c r="S250"/>
      <c r="T250"/>
      <c r="U250"/>
      <c r="V250"/>
      <c r="W250"/>
      <c r="X250"/>
      <c r="Y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row>
    <row r="251" spans="8:79" ht="15.5" x14ac:dyDescent="0.35">
      <c r="H251"/>
      <c r="K251" s="101"/>
      <c r="N251"/>
      <c r="O251"/>
      <c r="P251"/>
      <c r="Q251"/>
      <c r="R251"/>
      <c r="S251"/>
      <c r="T251"/>
      <c r="U251"/>
      <c r="V251"/>
      <c r="W251"/>
      <c r="X251"/>
      <c r="Y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row>
    <row r="252" spans="8:79" ht="15.5" x14ac:dyDescent="0.35">
      <c r="H252"/>
      <c r="K252" s="101"/>
      <c r="N252"/>
      <c r="O252"/>
      <c r="P252"/>
      <c r="Q252"/>
      <c r="R252"/>
      <c r="S252"/>
      <c r="T252"/>
      <c r="U252"/>
      <c r="V252"/>
      <c r="W252"/>
      <c r="X252"/>
      <c r="Y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row>
    <row r="253" spans="8:79" ht="15.5" x14ac:dyDescent="0.35">
      <c r="H253"/>
      <c r="K253" s="101"/>
      <c r="N253"/>
      <c r="O253"/>
      <c r="P253"/>
      <c r="Q253"/>
      <c r="R253"/>
      <c r="S253"/>
      <c r="T253"/>
      <c r="U253"/>
      <c r="V253"/>
      <c r="W253"/>
      <c r="X253"/>
      <c r="Y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row>
    <row r="254" spans="8:79" ht="15.5" x14ac:dyDescent="0.35">
      <c r="H254"/>
      <c r="K254" s="101"/>
      <c r="N254"/>
      <c r="O254"/>
      <c r="P254"/>
      <c r="Q254"/>
      <c r="R254"/>
      <c r="S254"/>
      <c r="T254"/>
      <c r="U254"/>
      <c r="V254"/>
      <c r="W254"/>
      <c r="X254"/>
      <c r="Y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row>
    <row r="255" spans="8:79" ht="15.5" x14ac:dyDescent="0.35">
      <c r="H255"/>
      <c r="K255" s="101"/>
      <c r="N255"/>
      <c r="O255"/>
      <c r="P255"/>
      <c r="Q255"/>
      <c r="R255"/>
      <c r="S255"/>
      <c r="T255"/>
      <c r="U255"/>
      <c r="V255"/>
      <c r="W255"/>
      <c r="X255"/>
      <c r="Y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row>
    <row r="256" spans="8:79" ht="15.5" x14ac:dyDescent="0.35">
      <c r="H256"/>
      <c r="K256" s="101"/>
      <c r="N256"/>
      <c r="O256"/>
      <c r="P256"/>
      <c r="Q256"/>
      <c r="R256"/>
      <c r="S256"/>
      <c r="T256"/>
      <c r="U256"/>
      <c r="V256"/>
      <c r="W256"/>
      <c r="X256"/>
      <c r="Y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row>
    <row r="257" spans="8:79" ht="15.5" x14ac:dyDescent="0.35">
      <c r="H257"/>
      <c r="K257" s="101"/>
      <c r="N257"/>
      <c r="O257"/>
      <c r="P257"/>
      <c r="Q257"/>
      <c r="R257"/>
      <c r="S257"/>
      <c r="T257"/>
      <c r="U257"/>
      <c r="V257"/>
      <c r="W257"/>
      <c r="X257"/>
      <c r="Y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row>
    <row r="258" spans="8:79" ht="15.5" x14ac:dyDescent="0.35">
      <c r="H258"/>
      <c r="K258" s="101"/>
      <c r="N258"/>
      <c r="O258"/>
      <c r="P258"/>
      <c r="Q258"/>
      <c r="R258"/>
      <c r="S258"/>
      <c r="T258"/>
      <c r="U258"/>
      <c r="V258"/>
      <c r="W258"/>
      <c r="X258"/>
      <c r="Y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row>
    <row r="259" spans="8:79" ht="15.5" x14ac:dyDescent="0.35">
      <c r="H259"/>
      <c r="K259" s="101"/>
      <c r="N259"/>
      <c r="O259"/>
      <c r="P259"/>
      <c r="Q259"/>
      <c r="R259"/>
      <c r="S259"/>
      <c r="T259"/>
      <c r="U259"/>
      <c r="V259"/>
      <c r="W259"/>
      <c r="X259"/>
      <c r="Y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row>
    <row r="260" spans="8:79" ht="15.5" x14ac:dyDescent="0.35">
      <c r="H260"/>
      <c r="K260" s="101"/>
      <c r="N260"/>
      <c r="O260"/>
      <c r="P260"/>
      <c r="Q260"/>
      <c r="R260"/>
      <c r="S260"/>
      <c r="T260"/>
      <c r="U260"/>
      <c r="V260"/>
      <c r="W260"/>
      <c r="X260"/>
      <c r="Y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row>
    <row r="261" spans="8:79" ht="15.5" x14ac:dyDescent="0.35">
      <c r="H261"/>
      <c r="K261" s="101"/>
      <c r="N261"/>
      <c r="O261"/>
      <c r="P261"/>
      <c r="Q261"/>
      <c r="R261"/>
      <c r="S261"/>
      <c r="T261"/>
      <c r="U261"/>
      <c r="V261"/>
      <c r="W261"/>
      <c r="X261"/>
      <c r="Y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row>
    <row r="262" spans="8:79" ht="15.5" x14ac:dyDescent="0.35">
      <c r="H262"/>
      <c r="K262" s="101"/>
      <c r="N262"/>
      <c r="O262"/>
      <c r="P262"/>
      <c r="Q262"/>
      <c r="R262"/>
      <c r="S262"/>
      <c r="T262"/>
      <c r="U262"/>
      <c r="V262"/>
      <c r="W262"/>
      <c r="X262"/>
      <c r="Y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row>
    <row r="263" spans="8:79" ht="15.5" x14ac:dyDescent="0.35">
      <c r="H263"/>
      <c r="K263" s="101"/>
      <c r="N263"/>
      <c r="O263"/>
      <c r="P263"/>
      <c r="Q263"/>
      <c r="R263"/>
      <c r="S263"/>
      <c r="T263"/>
      <c r="U263"/>
      <c r="V263"/>
      <c r="W263"/>
      <c r="X263"/>
      <c r="Y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row>
    <row r="264" spans="8:79" ht="15.5" x14ac:dyDescent="0.35">
      <c r="H264"/>
      <c r="K264" s="101"/>
      <c r="N264"/>
      <c r="O264"/>
      <c r="P264"/>
      <c r="Q264"/>
      <c r="R264"/>
      <c r="S264"/>
      <c r="T264"/>
      <c r="U264"/>
      <c r="V264"/>
      <c r="W264"/>
      <c r="X264"/>
      <c r="Y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row>
    <row r="265" spans="8:79" ht="15.5" x14ac:dyDescent="0.35">
      <c r="H265"/>
      <c r="K265" s="101"/>
      <c r="N265"/>
      <c r="O265"/>
      <c r="P265"/>
      <c r="Q265"/>
      <c r="R265"/>
      <c r="S265"/>
      <c r="T265"/>
      <c r="U265"/>
      <c r="V265"/>
      <c r="W265"/>
      <c r="X265"/>
      <c r="Y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row>
    <row r="266" spans="8:79" ht="15.5" x14ac:dyDescent="0.35">
      <c r="K266" s="101"/>
      <c r="N266"/>
      <c r="O266"/>
      <c r="P266"/>
      <c r="Q266"/>
      <c r="R266"/>
      <c r="S266"/>
      <c r="T266"/>
      <c r="U266"/>
      <c r="V266"/>
      <c r="W266"/>
      <c r="X266"/>
      <c r="Y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row>
    <row r="267" spans="8:79" ht="15.5" x14ac:dyDescent="0.35">
      <c r="K267" s="101"/>
      <c r="N267"/>
      <c r="O267"/>
      <c r="P267"/>
      <c r="Q267"/>
      <c r="R267"/>
      <c r="S267"/>
      <c r="T267"/>
      <c r="U267"/>
      <c r="V267"/>
      <c r="W267"/>
      <c r="X267"/>
      <c r="Y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row>
    <row r="268" spans="8:79" ht="15.5" x14ac:dyDescent="0.35">
      <c r="K268" s="101"/>
      <c r="N268"/>
      <c r="O268"/>
      <c r="P268"/>
      <c r="Q268"/>
      <c r="R268"/>
      <c r="S268"/>
      <c r="T268"/>
      <c r="U268"/>
      <c r="V268"/>
      <c r="W268"/>
      <c r="X268"/>
      <c r="Y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row>
    <row r="269" spans="8:79" ht="15.5" x14ac:dyDescent="0.35">
      <c r="K269" s="101"/>
      <c r="N269"/>
      <c r="O269"/>
      <c r="P269"/>
      <c r="Q269"/>
      <c r="R269"/>
      <c r="S269"/>
      <c r="T269"/>
      <c r="U269"/>
      <c r="V269"/>
      <c r="W269"/>
      <c r="X269"/>
      <c r="Y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row>
    <row r="270" spans="8:79" ht="15.5" x14ac:dyDescent="0.35">
      <c r="K270" s="101"/>
      <c r="N270"/>
      <c r="O270"/>
      <c r="P270"/>
      <c r="Q270"/>
      <c r="R270"/>
      <c r="S270"/>
      <c r="T270"/>
      <c r="U270"/>
      <c r="V270"/>
      <c r="W270"/>
      <c r="X270"/>
      <c r="Y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row>
    <row r="271" spans="8:79" ht="15.5" x14ac:dyDescent="0.35">
      <c r="K271" s="101"/>
      <c r="N271"/>
      <c r="O271"/>
      <c r="P271"/>
      <c r="Q271"/>
      <c r="R271"/>
      <c r="S271"/>
      <c r="T271"/>
      <c r="U271"/>
      <c r="V271"/>
      <c r="W271"/>
      <c r="X271"/>
      <c r="Y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row>
    <row r="272" spans="8:79" ht="15.5" x14ac:dyDescent="0.35">
      <c r="K272" s="101"/>
      <c r="N272"/>
      <c r="O272"/>
      <c r="P272"/>
      <c r="Q272"/>
      <c r="R272"/>
      <c r="S272"/>
      <c r="T272"/>
      <c r="U272"/>
      <c r="V272"/>
      <c r="W272"/>
      <c r="X272"/>
      <c r="Y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row>
    <row r="273" spans="14:79" ht="15.5" x14ac:dyDescent="0.35">
      <c r="N273"/>
      <c r="O273"/>
      <c r="P273"/>
      <c r="Q273"/>
      <c r="R273"/>
      <c r="S273"/>
      <c r="T273"/>
      <c r="U273"/>
      <c r="V273"/>
      <c r="W273"/>
      <c r="X273"/>
      <c r="Y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row>
    <row r="274" spans="14:79" ht="15.5" x14ac:dyDescent="0.35">
      <c r="N274"/>
      <c r="O274"/>
      <c r="P274"/>
      <c r="Q274"/>
      <c r="R274"/>
      <c r="S274"/>
      <c r="T274"/>
      <c r="U274"/>
      <c r="V274"/>
      <c r="W274"/>
      <c r="X274"/>
      <c r="Y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row>
    <row r="275" spans="14:79" ht="15.5" x14ac:dyDescent="0.35">
      <c r="N275"/>
      <c r="O275"/>
      <c r="P275"/>
      <c r="Q275"/>
      <c r="R275"/>
      <c r="S275"/>
      <c r="T275"/>
      <c r="U275"/>
      <c r="V275"/>
      <c r="W275"/>
      <c r="X275"/>
      <c r="Y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row>
    <row r="276" spans="14:79" ht="15.5" x14ac:dyDescent="0.35">
      <c r="N276"/>
      <c r="O276"/>
      <c r="P276"/>
      <c r="Q276"/>
      <c r="R276"/>
      <c r="S276"/>
      <c r="T276"/>
      <c r="U276"/>
      <c r="V276"/>
      <c r="W276"/>
      <c r="X276"/>
      <c r="Y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row>
    <row r="277" spans="14:79" ht="15.5" x14ac:dyDescent="0.35">
      <c r="N277"/>
      <c r="O277"/>
      <c r="P277"/>
      <c r="Q277"/>
      <c r="R277"/>
      <c r="S277"/>
      <c r="T277"/>
      <c r="U277"/>
      <c r="V277"/>
      <c r="W277"/>
      <c r="X277"/>
      <c r="Y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row>
    <row r="278" spans="14:79" ht="15.5" x14ac:dyDescent="0.35">
      <c r="N278"/>
      <c r="O278"/>
      <c r="P278"/>
      <c r="Q278"/>
      <c r="R278"/>
      <c r="S278"/>
      <c r="T278"/>
      <c r="U278"/>
      <c r="V278"/>
      <c r="W278"/>
      <c r="X278"/>
      <c r="Y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row>
    <row r="279" spans="14:79" ht="15.5" x14ac:dyDescent="0.35">
      <c r="N279"/>
      <c r="O279"/>
      <c r="P279"/>
      <c r="Q279"/>
      <c r="R279"/>
      <c r="S279"/>
      <c r="T279"/>
      <c r="U279"/>
      <c r="V279"/>
      <c r="W279"/>
      <c r="X279"/>
      <c r="Y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row>
    <row r="280" spans="14:79" ht="15.5" x14ac:dyDescent="0.35">
      <c r="N280"/>
      <c r="O280"/>
      <c r="P280"/>
      <c r="Q280"/>
      <c r="R280"/>
      <c r="S280"/>
      <c r="T280"/>
      <c r="U280"/>
      <c r="V280"/>
      <c r="W280"/>
      <c r="X280"/>
      <c r="Y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row>
    <row r="281" spans="14:79" ht="15.5" x14ac:dyDescent="0.35">
      <c r="N281"/>
      <c r="O281"/>
      <c r="P281"/>
      <c r="Q281"/>
      <c r="R281"/>
      <c r="S281"/>
      <c r="T281"/>
      <c r="U281"/>
      <c r="V281"/>
      <c r="W281"/>
      <c r="X281"/>
      <c r="Y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row>
    <row r="282" spans="14:79" ht="15.5" x14ac:dyDescent="0.35">
      <c r="N282"/>
      <c r="O282"/>
      <c r="P282"/>
      <c r="Q282"/>
      <c r="R282"/>
      <c r="S282"/>
      <c r="T282"/>
      <c r="U282"/>
      <c r="V282"/>
      <c r="W282"/>
      <c r="X282"/>
      <c r="Y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row>
    <row r="283" spans="14:79" ht="15.5" x14ac:dyDescent="0.35">
      <c r="N283"/>
      <c r="O283"/>
      <c r="P283"/>
      <c r="Q283"/>
      <c r="R283"/>
      <c r="S283"/>
      <c r="T283"/>
      <c r="U283"/>
      <c r="V283"/>
      <c r="W283"/>
      <c r="X283"/>
      <c r="Y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row>
    <row r="284" spans="14:79" ht="15.5" x14ac:dyDescent="0.35">
      <c r="N284"/>
      <c r="O284"/>
      <c r="P284"/>
      <c r="Q284"/>
      <c r="R284"/>
      <c r="S284"/>
      <c r="T284"/>
      <c r="U284"/>
      <c r="V284"/>
      <c r="W284"/>
      <c r="X284"/>
      <c r="Y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row>
    <row r="285" spans="14:79" ht="15.5" x14ac:dyDescent="0.35">
      <c r="N285"/>
      <c r="O285"/>
      <c r="P285"/>
      <c r="Q285"/>
      <c r="R285"/>
      <c r="S285"/>
      <c r="T285"/>
      <c r="U285"/>
      <c r="V285"/>
      <c r="W285"/>
      <c r="X285"/>
      <c r="Y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row>
    <row r="286" spans="14:79" ht="15.5" x14ac:dyDescent="0.35">
      <c r="N286"/>
      <c r="O286"/>
      <c r="P286"/>
      <c r="Q286"/>
      <c r="R286"/>
      <c r="S286"/>
      <c r="T286"/>
      <c r="U286"/>
      <c r="V286"/>
      <c r="W286"/>
      <c r="X286"/>
      <c r="Y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row>
    <row r="287" spans="14:79" ht="15.5" x14ac:dyDescent="0.35">
      <c r="N287"/>
      <c r="O287"/>
      <c r="P287"/>
      <c r="Q287"/>
      <c r="R287"/>
      <c r="S287"/>
      <c r="T287"/>
      <c r="U287"/>
      <c r="V287"/>
      <c r="W287"/>
      <c r="X287"/>
      <c r="Y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row>
    <row r="288" spans="14:79" ht="15.5" x14ac:dyDescent="0.35">
      <c r="N288"/>
      <c r="O288"/>
      <c r="P288"/>
      <c r="Q288"/>
      <c r="R288"/>
      <c r="S288"/>
      <c r="T288"/>
      <c r="U288"/>
      <c r="V288"/>
      <c r="W288"/>
      <c r="X288"/>
      <c r="Y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row>
    <row r="289" spans="14:79" ht="15.5" x14ac:dyDescent="0.35">
      <c r="N289"/>
      <c r="O289"/>
      <c r="P289"/>
      <c r="Q289"/>
      <c r="R289"/>
      <c r="S289"/>
      <c r="T289"/>
      <c r="U289"/>
      <c r="V289"/>
      <c r="W289"/>
      <c r="X289"/>
      <c r="Y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row>
    <row r="290" spans="14:79" ht="15.5" x14ac:dyDescent="0.35">
      <c r="N290"/>
      <c r="O290"/>
      <c r="P290"/>
      <c r="Q290"/>
      <c r="R290"/>
      <c r="S290"/>
      <c r="T290"/>
      <c r="U290"/>
      <c r="V290"/>
      <c r="W290"/>
      <c r="X290"/>
      <c r="Y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row>
    <row r="291" spans="14:79" ht="15.5" x14ac:dyDescent="0.35">
      <c r="N291"/>
      <c r="O291"/>
      <c r="P291"/>
      <c r="Q291"/>
      <c r="R291"/>
      <c r="S291"/>
      <c r="T291"/>
      <c r="U291"/>
      <c r="V291"/>
      <c r="W291"/>
      <c r="X291"/>
      <c r="Y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row>
    <row r="292" spans="14:79" ht="15.5" x14ac:dyDescent="0.35">
      <c r="N292"/>
      <c r="O292"/>
      <c r="P292"/>
      <c r="Q292"/>
      <c r="R292"/>
      <c r="S292"/>
      <c r="T292"/>
      <c r="U292"/>
      <c r="V292"/>
      <c r="W292"/>
      <c r="X292"/>
      <c r="Y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c r="BT292"/>
      <c r="BU292"/>
      <c r="BV292"/>
      <c r="BW292"/>
      <c r="BX292"/>
      <c r="BY292"/>
      <c r="BZ292"/>
      <c r="CA292"/>
    </row>
    <row r="293" spans="14:79" ht="15.5" x14ac:dyDescent="0.35">
      <c r="N293"/>
      <c r="O293"/>
      <c r="P293"/>
      <c r="Q293"/>
      <c r="R293"/>
      <c r="S293"/>
      <c r="T293"/>
      <c r="U293"/>
      <c r="V293"/>
      <c r="W293"/>
      <c r="X293"/>
      <c r="Y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row>
    <row r="294" spans="14:79" ht="15.5" x14ac:dyDescent="0.35">
      <c r="N294"/>
      <c r="O294"/>
      <c r="P294"/>
      <c r="Q294"/>
      <c r="R294"/>
      <c r="S294"/>
      <c r="T294"/>
      <c r="U294"/>
      <c r="V294"/>
      <c r="W294"/>
      <c r="X294"/>
      <c r="Y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row>
    <row r="295" spans="14:79" ht="15.5" x14ac:dyDescent="0.35">
      <c r="N295"/>
      <c r="O295"/>
      <c r="P295"/>
      <c r="Q295"/>
      <c r="R295"/>
      <c r="S295"/>
      <c r="T295"/>
      <c r="U295"/>
      <c r="V295"/>
      <c r="W295"/>
      <c r="X295"/>
      <c r="Y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row>
    <row r="296" spans="14:79" ht="15.5" x14ac:dyDescent="0.35">
      <c r="N296"/>
      <c r="O296"/>
      <c r="P296"/>
      <c r="Q296"/>
      <c r="R296"/>
      <c r="S296"/>
      <c r="T296"/>
      <c r="U296"/>
      <c r="V296"/>
      <c r="W296"/>
      <c r="X296"/>
      <c r="Y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row>
    <row r="297" spans="14:79" ht="15.5" x14ac:dyDescent="0.35">
      <c r="N297"/>
      <c r="O297"/>
      <c r="P297"/>
      <c r="Q297"/>
      <c r="R297"/>
      <c r="S297"/>
      <c r="T297"/>
      <c r="U297"/>
      <c r="V297"/>
      <c r="W297"/>
      <c r="X297"/>
      <c r="Y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row>
    <row r="298" spans="14:79" ht="15.5" x14ac:dyDescent="0.35">
      <c r="N298"/>
      <c r="O298"/>
      <c r="P298"/>
      <c r="Q298"/>
      <c r="R298"/>
      <c r="S298"/>
      <c r="T298"/>
      <c r="U298"/>
      <c r="V298"/>
      <c r="W298"/>
      <c r="X298"/>
      <c r="Y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row>
    <row r="299" spans="14:79" ht="15.5" x14ac:dyDescent="0.35">
      <c r="N299"/>
      <c r="O299"/>
      <c r="P299"/>
      <c r="Q299"/>
      <c r="R299"/>
      <c r="S299"/>
      <c r="T299"/>
      <c r="U299"/>
      <c r="V299"/>
      <c r="W299"/>
      <c r="X299"/>
      <c r="Y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row>
    <row r="300" spans="14:79" ht="15.5" x14ac:dyDescent="0.35">
      <c r="N300"/>
      <c r="O300"/>
      <c r="P300"/>
      <c r="Q300"/>
      <c r="R300"/>
      <c r="S300"/>
      <c r="T300"/>
      <c r="U300"/>
      <c r="V300"/>
      <c r="W300"/>
      <c r="X300"/>
      <c r="Y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row>
    <row r="301" spans="14:79" ht="15.5" x14ac:dyDescent="0.35">
      <c r="N301"/>
      <c r="O301"/>
      <c r="P301"/>
      <c r="Q301"/>
      <c r="R301"/>
      <c r="S301"/>
      <c r="T301"/>
      <c r="U301"/>
      <c r="V301"/>
      <c r="W301"/>
      <c r="X301"/>
      <c r="Y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row>
    <row r="302" spans="14:79" ht="15.5" x14ac:dyDescent="0.35">
      <c r="N302"/>
      <c r="O302"/>
      <c r="P302"/>
      <c r="Q302"/>
      <c r="R302"/>
      <c r="S302"/>
      <c r="T302"/>
      <c r="U302"/>
      <c r="V302"/>
      <c r="W302"/>
      <c r="X302"/>
      <c r="Y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row>
    <row r="303" spans="14:79" ht="15.5" x14ac:dyDescent="0.35">
      <c r="N303"/>
      <c r="O303"/>
      <c r="P303"/>
      <c r="Q303"/>
      <c r="R303"/>
      <c r="S303"/>
      <c r="T303"/>
      <c r="U303"/>
      <c r="V303"/>
      <c r="W303"/>
      <c r="X303"/>
      <c r="Y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row>
    <row r="304" spans="14:79" ht="15.5" x14ac:dyDescent="0.35">
      <c r="N304"/>
      <c r="O304"/>
      <c r="P304"/>
      <c r="Q304"/>
      <c r="R304"/>
      <c r="S304"/>
      <c r="T304"/>
      <c r="U304"/>
      <c r="V304"/>
      <c r="W304"/>
      <c r="X304"/>
      <c r="Y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row>
    <row r="305" spans="7:79" ht="15.5" x14ac:dyDescent="0.35">
      <c r="N305"/>
      <c r="O305"/>
      <c r="P305"/>
      <c r="Q305"/>
      <c r="R305"/>
      <c r="S305"/>
      <c r="T305"/>
      <c r="U305"/>
      <c r="V305"/>
      <c r="W305"/>
      <c r="X305"/>
      <c r="Y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row>
    <row r="306" spans="7:79" ht="15.5" x14ac:dyDescent="0.35">
      <c r="N306"/>
      <c r="O306"/>
      <c r="P306"/>
      <c r="Q306"/>
      <c r="R306"/>
      <c r="S306"/>
      <c r="T306"/>
      <c r="U306"/>
      <c r="V306"/>
      <c r="W306"/>
      <c r="X306"/>
      <c r="Y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row>
    <row r="307" spans="7:79" ht="15.5" x14ac:dyDescent="0.35">
      <c r="N307"/>
      <c r="O307"/>
      <c r="P307"/>
      <c r="Q307"/>
      <c r="R307"/>
      <c r="S307"/>
      <c r="T307"/>
      <c r="U307"/>
      <c r="V307"/>
      <c r="W307"/>
      <c r="X307"/>
      <c r="Y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row>
    <row r="308" spans="7:79" ht="15.5" x14ac:dyDescent="0.35">
      <c r="N308"/>
      <c r="O308"/>
      <c r="P308"/>
      <c r="Q308"/>
      <c r="R308"/>
      <c r="S308"/>
      <c r="T308"/>
      <c r="U308"/>
      <c r="V308"/>
      <c r="W308"/>
      <c r="X308"/>
      <c r="Y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row>
    <row r="309" spans="7:79" ht="15.5" x14ac:dyDescent="0.35">
      <c r="N309"/>
      <c r="O309"/>
      <c r="P309"/>
      <c r="Q309"/>
      <c r="R309"/>
      <c r="S309"/>
      <c r="T309"/>
      <c r="U309"/>
      <c r="V309"/>
      <c r="W309"/>
      <c r="X309"/>
      <c r="Y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row>
    <row r="310" spans="7:79" ht="15.5" x14ac:dyDescent="0.35">
      <c r="N310"/>
      <c r="O310"/>
      <c r="P310"/>
      <c r="Q310"/>
      <c r="R310"/>
      <c r="S310"/>
      <c r="T310"/>
      <c r="U310"/>
      <c r="V310"/>
      <c r="W310"/>
      <c r="X310"/>
      <c r="Y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row>
    <row r="311" spans="7:79" ht="15.5" x14ac:dyDescent="0.35">
      <c r="N311"/>
      <c r="O311"/>
      <c r="P311"/>
      <c r="Q311"/>
      <c r="R311"/>
      <c r="S311"/>
      <c r="T311"/>
      <c r="U311"/>
      <c r="V311"/>
      <c r="W311"/>
      <c r="X311"/>
      <c r="Y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row>
    <row r="312" spans="7:79" ht="15.5" x14ac:dyDescent="0.35">
      <c r="N312"/>
      <c r="O312"/>
      <c r="P312"/>
      <c r="Q312"/>
      <c r="R312"/>
      <c r="S312"/>
      <c r="T312"/>
      <c r="U312"/>
      <c r="V312"/>
      <c r="W312"/>
      <c r="X312"/>
      <c r="Y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row>
    <row r="313" spans="7:79" ht="15.5" x14ac:dyDescent="0.35">
      <c r="N313"/>
      <c r="O313"/>
      <c r="P313"/>
      <c r="Q313"/>
      <c r="R313"/>
      <c r="S313"/>
      <c r="T313"/>
      <c r="U313"/>
      <c r="V313"/>
      <c r="W313"/>
      <c r="X313"/>
      <c r="Y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row>
    <row r="314" spans="7:79" ht="15.5" x14ac:dyDescent="0.35">
      <c r="G314"/>
      <c r="H314"/>
      <c r="I314"/>
      <c r="J314"/>
      <c r="K314"/>
      <c r="L314"/>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row>
    <row r="315" spans="7:79" ht="15.5" x14ac:dyDescent="0.35">
      <c r="G315"/>
      <c r="H315"/>
      <c r="I315"/>
      <c r="J315"/>
      <c r="K315"/>
      <c r="L315"/>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row>
  </sheetData>
  <sheetProtection algorithmName="SHA-512" hashValue="KJ9+xE/78ob+TXGqvj5SvvwT0hfSCuAiyNZ9MIbbP/trqMvnoUPEqNHlPHhtDL88C91rLmKJuk8yLLfTf/HFdQ==" saltValue="FVLZIAg/a9WRzI48tSf6/g==" spinCount="100000" sheet="1" objects="1" scenarios="1" selectLockedCells="1" selectUnlockedCells="1"/>
  <phoneticPr fontId="66" type="noConversion"/>
  <conditionalFormatting sqref="G166:H170">
    <cfRule type="expression" dxfId="131" priority="12">
      <formula>$AZ$15=0</formula>
    </cfRule>
  </conditionalFormatting>
  <conditionalFormatting sqref="G166:L170">
    <cfRule type="expression" dxfId="129" priority="11">
      <formula>$B166="Total"</formula>
    </cfRule>
  </conditionalFormatting>
  <conditionalFormatting sqref="G166:L171">
    <cfRule type="expression" dxfId="128" priority="6">
      <formula>$A166&gt;$A$34+1</formula>
    </cfRule>
  </conditionalFormatting>
  <conditionalFormatting sqref="H180:L191">
    <cfRule type="expression" dxfId="127" priority="3">
      <formula>H194=1</formula>
    </cfRule>
  </conditionalFormatting>
  <conditionalFormatting sqref="H209:L220">
    <cfRule type="expression" dxfId="126" priority="4">
      <formula>H223=1</formula>
    </cfRule>
  </conditionalFormatting>
  <conditionalFormatting sqref="J166:L170">
    <cfRule type="expression" dxfId="125" priority="10">
      <formula>SUM($E$35:$E$50)=0</formula>
    </cfRule>
  </conditionalFormatting>
  <conditionalFormatting sqref="K23">
    <cfRule type="expression" dxfId="124" priority="2">
      <formula>(Mode="Dark")</formula>
    </cfRule>
  </conditionalFormatting>
  <conditionalFormatting sqref="K24">
    <cfRule type="expression" dxfId="123" priority="1">
      <formula>(Mode="Dark")</formula>
    </cfRule>
  </conditionalFormatting>
  <conditionalFormatting sqref="N19:N22">
    <cfRule type="expression" dxfId="122" priority="18">
      <formula>$C$15&gt;0</formula>
    </cfRule>
  </conditionalFormatting>
  <conditionalFormatting sqref="N180:O239">
    <cfRule type="expression" dxfId="121" priority="13">
      <formula>AND($K180&gt;=$P$62,$K180&lt;=$P$63)</formula>
    </cfRule>
  </conditionalFormatting>
  <conditionalFormatting sqref="V180:W239">
    <cfRule type="expression" dxfId="120" priority="5">
      <formula>AND($S180&gt;=$V$62,$S180&lt;=$V$63)</formula>
    </cfRule>
  </conditionalFormatting>
  <conditionalFormatting sqref="BF28:BJ40">
    <cfRule type="expression" dxfId="119" priority="26">
      <formula>$AE$9&gt;0</formula>
    </cfRule>
  </conditionalFormatting>
  <dataValidations count="4">
    <dataValidation type="list" allowBlank="1" showInputMessage="1" showErrorMessage="1" sqref="L2" xr:uid="{5A96A5CF-B01D-43AB-9D7C-3D685E88552F}">
      <formula1>$Q$2:$Q$4</formula1>
    </dataValidation>
    <dataValidation type="list" allowBlank="1" showInputMessage="1" showErrorMessage="1" sqref="T2" xr:uid="{16BB2755-BC73-43A9-8AAC-E0453D788AB3}">
      <formula1>Months</formula1>
    </dataValidation>
    <dataValidation type="list" allowBlank="1" showInputMessage="1" showErrorMessage="1" sqref="S187" xr:uid="{E999AFE7-D3A4-44F5-A7E3-70D2E767CFA8}">
      <formula1>$P$64:$P$65</formula1>
    </dataValidation>
    <dataValidation type="list" allowBlank="1" showInputMessage="1" showErrorMessage="1" sqref="K173" xr:uid="{812C714B-CC66-4177-92A0-328302A43CBE}">
      <formula1>IF(Years="Three",$D$70:$D$104,$D$70:$D$129)</formula1>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Scroll Bar 1">
              <controlPr defaultSize="0" autoPict="0">
                <anchor moveWithCells="1">
                  <from>
                    <xdr:col>12</xdr:col>
                    <xdr:colOff>647700</xdr:colOff>
                    <xdr:row>33</xdr:row>
                    <xdr:rowOff>0</xdr:rowOff>
                  </from>
                  <to>
                    <xdr:col>13</xdr:col>
                    <xdr:colOff>355600</xdr:colOff>
                    <xdr:row>39</xdr:row>
                    <xdr:rowOff>152400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9" id="{CAAEDB8A-2B49-42CA-B6C1-6163F233109D}">
            <xm:f>Calcs!$W$931=0</xm:f>
            <x14:dxf>
              <font>
                <color theme="0"/>
              </font>
              <fill>
                <patternFill>
                  <bgColor theme="0"/>
                </patternFill>
              </fill>
              <border>
                <left/>
                <right/>
                <top/>
                <bottom/>
                <vertical/>
                <horizontal/>
              </border>
            </x14:dxf>
          </x14:cfRule>
          <xm:sqref>G166:L170</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3F14C-0534-4A06-B5B7-D42BE35E9D23}">
  <sheetPr codeName="Sheet4"/>
  <dimension ref="A1:AV102"/>
  <sheetViews>
    <sheetView showGridLines="0" showRowColHeaders="0" zoomScale="80" zoomScaleNormal="80" workbookViewId="0">
      <selection activeCell="R19" sqref="R19:T19"/>
    </sheetView>
  </sheetViews>
  <sheetFormatPr defaultColWidth="8.58203125" defaultRowHeight="15.5" x14ac:dyDescent="0.35"/>
  <cols>
    <col min="1" max="1" width="0.58203125" customWidth="1"/>
    <col min="2" max="2" width="11.08203125" customWidth="1"/>
    <col min="3" max="6" width="11.25" customWidth="1"/>
    <col min="7" max="7" width="1.75" customWidth="1"/>
    <col min="8" max="9" width="11.25" customWidth="1"/>
    <col min="10" max="10" width="1.75" customWidth="1"/>
    <col min="11" max="15" width="11.25" customWidth="1"/>
    <col min="16" max="16" width="10.58203125" hidden="1" customWidth="1"/>
    <col min="17" max="17" width="1.75" customWidth="1"/>
    <col min="18" max="20" width="11.25" customWidth="1"/>
    <col min="21" max="21" width="1.75" customWidth="1"/>
    <col min="22" max="23" width="10.58203125" customWidth="1"/>
    <col min="24" max="25" width="11.25" customWidth="1"/>
    <col min="26" max="26" width="5.25" customWidth="1"/>
    <col min="28" max="28" width="10.58203125" customWidth="1"/>
    <col min="29" max="46" width="10.58203125" style="40" customWidth="1"/>
    <col min="47" max="160" width="10.58203125" customWidth="1"/>
  </cols>
  <sheetData>
    <row r="1" spans="1:48" ht="12" customHeight="1" x14ac:dyDescent="0.35">
      <c r="A1" s="869"/>
      <c r="B1" s="869"/>
      <c r="C1" s="869"/>
      <c r="D1" s="869"/>
      <c r="E1" s="869"/>
      <c r="F1" s="869"/>
      <c r="G1" s="869"/>
      <c r="H1" s="869"/>
      <c r="I1" s="869"/>
      <c r="J1" s="869"/>
      <c r="K1" s="869"/>
      <c r="L1" s="869"/>
      <c r="M1" s="869"/>
      <c r="N1" s="869"/>
      <c r="O1" s="869"/>
      <c r="P1" s="869"/>
      <c r="Q1" s="869"/>
      <c r="R1" s="869"/>
      <c r="S1" s="869"/>
      <c r="T1" s="869"/>
      <c r="U1" s="869"/>
      <c r="V1" s="869"/>
      <c r="W1" s="869"/>
      <c r="X1" s="869"/>
      <c r="Y1" s="869"/>
      <c r="Z1" s="869"/>
      <c r="AV1" s="82" t="str">
        <f>Input!D18&amp;" Cash Flow"</f>
        <v xml:space="preserve"> Cash Flow</v>
      </c>
    </row>
    <row r="2" spans="1:48" ht="12" customHeight="1" x14ac:dyDescent="0.35">
      <c r="A2" s="869"/>
      <c r="B2" s="869"/>
      <c r="C2" s="869"/>
      <c r="D2" s="869"/>
      <c r="E2" s="869"/>
      <c r="F2" s="869"/>
      <c r="G2" s="869"/>
      <c r="H2" s="869"/>
      <c r="I2" s="869"/>
      <c r="J2" s="869"/>
      <c r="K2" s="869"/>
      <c r="L2" s="869"/>
      <c r="M2" s="869"/>
      <c r="N2" s="869"/>
      <c r="O2" s="869"/>
      <c r="P2" s="869"/>
      <c r="Q2" s="869"/>
      <c r="R2" s="869"/>
      <c r="S2" s="869"/>
      <c r="T2" s="869"/>
      <c r="U2" s="869"/>
      <c r="V2" s="869"/>
      <c r="W2" s="869"/>
      <c r="X2" s="869"/>
      <c r="Y2" s="869"/>
      <c r="Z2" s="869"/>
    </row>
    <row r="3" spans="1:48" ht="12" customHeight="1" x14ac:dyDescent="0.35">
      <c r="A3" s="869"/>
      <c r="B3" s="869"/>
      <c r="C3" s="869"/>
      <c r="D3" s="869"/>
      <c r="E3" s="869"/>
      <c r="F3" s="869"/>
      <c r="G3" s="869"/>
      <c r="H3" s="869"/>
      <c r="I3" s="869"/>
      <c r="J3" s="869"/>
      <c r="K3" s="869"/>
      <c r="L3" s="869"/>
      <c r="M3" s="869"/>
      <c r="N3" s="869"/>
      <c r="O3" s="869"/>
      <c r="P3" s="869"/>
      <c r="Q3" s="869"/>
      <c r="R3" s="869"/>
      <c r="S3" s="869"/>
      <c r="T3" s="869"/>
      <c r="U3" s="869"/>
      <c r="V3" s="869"/>
      <c r="W3" s="869"/>
      <c r="X3" s="869"/>
      <c r="Y3" s="869"/>
      <c r="Z3" s="869"/>
    </row>
    <row r="4" spans="1:48" ht="12" customHeight="1" x14ac:dyDescent="0.35">
      <c r="A4" s="869"/>
      <c r="B4" s="869"/>
      <c r="C4" s="869"/>
      <c r="D4" s="869"/>
      <c r="E4" s="869"/>
      <c r="F4" s="869"/>
      <c r="G4" s="869"/>
      <c r="H4" s="869"/>
      <c r="I4" s="869"/>
      <c r="J4" s="869"/>
      <c r="K4" s="869"/>
      <c r="L4" s="869"/>
      <c r="M4" s="869"/>
      <c r="N4" s="869"/>
      <c r="O4" s="869"/>
      <c r="P4" s="869"/>
      <c r="Q4" s="869"/>
      <c r="R4" s="869"/>
      <c r="S4" s="869"/>
      <c r="T4" s="869"/>
      <c r="U4" s="869"/>
      <c r="V4" s="869"/>
      <c r="W4" s="869"/>
      <c r="X4" s="869"/>
      <c r="Y4" s="869"/>
      <c r="Z4" s="869"/>
    </row>
    <row r="5" spans="1:48" ht="12" customHeight="1" x14ac:dyDescent="0.35">
      <c r="A5" s="869"/>
      <c r="B5" s="869"/>
      <c r="C5" s="869"/>
      <c r="D5" s="869"/>
      <c r="E5" s="869"/>
      <c r="F5" s="869"/>
      <c r="G5" s="869"/>
      <c r="H5" s="869"/>
      <c r="I5" s="869"/>
      <c r="J5" s="869"/>
      <c r="K5" s="869"/>
      <c r="L5" s="869"/>
      <c r="M5" s="869"/>
      <c r="N5" s="869"/>
      <c r="O5" s="869"/>
      <c r="P5" s="869"/>
      <c r="Q5" s="869"/>
      <c r="R5" s="869"/>
      <c r="S5" s="869"/>
      <c r="T5" s="869"/>
      <c r="U5" s="869"/>
      <c r="V5" s="869"/>
      <c r="W5" s="869"/>
      <c r="X5" s="869"/>
      <c r="Y5" s="869"/>
      <c r="Z5" s="869"/>
    </row>
    <row r="6" spans="1:48" ht="68.25" customHeight="1" x14ac:dyDescent="0.35">
      <c r="A6" s="869"/>
      <c r="B6" s="869"/>
      <c r="C6" s="869"/>
      <c r="D6" s="869"/>
      <c r="E6" s="869"/>
      <c r="F6" s="869"/>
      <c r="G6" s="869"/>
      <c r="H6" s="869"/>
      <c r="I6" s="869"/>
      <c r="J6" s="869"/>
      <c r="K6" s="869"/>
      <c r="L6" s="869"/>
      <c r="M6" s="869"/>
      <c r="N6" s="869"/>
      <c r="O6" s="869"/>
      <c r="P6" s="869"/>
      <c r="Q6" s="869"/>
      <c r="R6" s="869"/>
      <c r="S6" s="869"/>
      <c r="T6" s="869"/>
      <c r="U6" s="869"/>
      <c r="V6" s="869"/>
      <c r="W6" s="869"/>
      <c r="X6" s="869"/>
      <c r="Y6" s="869"/>
      <c r="Z6" s="869"/>
      <c r="AH6" s="40" t="s">
        <v>90</v>
      </c>
    </row>
    <row r="7" spans="1:48" ht="12" customHeight="1" x14ac:dyDescent="0.35">
      <c r="A7" s="869"/>
      <c r="B7" s="869"/>
      <c r="C7" s="869"/>
      <c r="D7" s="869"/>
      <c r="E7" s="869"/>
      <c r="F7" s="869"/>
      <c r="G7" s="869"/>
      <c r="H7" s="869"/>
      <c r="I7" s="869"/>
      <c r="J7" s="869"/>
      <c r="K7" s="869"/>
      <c r="L7" s="869"/>
      <c r="M7" s="869"/>
      <c r="N7" s="869"/>
      <c r="O7" s="869"/>
      <c r="P7" s="869"/>
      <c r="Q7" s="869"/>
      <c r="R7" s="869"/>
      <c r="S7" s="869"/>
      <c r="T7" s="869"/>
      <c r="U7" s="869"/>
      <c r="V7" s="869"/>
      <c r="W7" s="869"/>
      <c r="X7" s="869"/>
      <c r="Y7" s="869"/>
      <c r="Z7" s="869"/>
      <c r="AH7" s="40" t="s">
        <v>90</v>
      </c>
    </row>
    <row r="8" spans="1:48" ht="12" customHeight="1" x14ac:dyDescent="0.35">
      <c r="A8" s="869"/>
      <c r="B8" s="869"/>
      <c r="C8" s="869"/>
      <c r="D8" s="869"/>
      <c r="E8" s="869"/>
      <c r="F8" s="869"/>
      <c r="G8" s="869"/>
      <c r="H8" s="869"/>
      <c r="I8" s="869"/>
      <c r="J8" s="869"/>
      <c r="K8" s="869"/>
      <c r="L8" s="869"/>
      <c r="M8" s="869"/>
      <c r="N8" s="869"/>
      <c r="O8" s="869"/>
      <c r="P8" s="869"/>
      <c r="Q8" s="869"/>
      <c r="R8" s="869"/>
      <c r="S8" s="869"/>
      <c r="T8" s="869"/>
      <c r="U8" s="869"/>
      <c r="V8" s="869"/>
      <c r="W8" s="869"/>
      <c r="X8" s="869"/>
      <c r="Y8" s="869"/>
      <c r="Z8" s="869"/>
    </row>
    <row r="9" spans="1:48" ht="12" customHeight="1" x14ac:dyDescent="0.35">
      <c r="A9" s="869"/>
      <c r="B9" s="869"/>
      <c r="C9" s="869"/>
      <c r="D9" s="869"/>
      <c r="E9" s="869"/>
      <c r="F9" s="869"/>
      <c r="G9" s="869"/>
      <c r="H9" s="869"/>
      <c r="I9" s="869"/>
      <c r="J9" s="869"/>
      <c r="K9" s="869"/>
      <c r="L9" s="869"/>
      <c r="M9" s="869"/>
      <c r="N9" s="869"/>
      <c r="O9" s="869"/>
      <c r="P9" s="869"/>
      <c r="Q9" s="869"/>
      <c r="R9" s="869"/>
      <c r="S9" s="869"/>
      <c r="T9" s="869"/>
      <c r="U9" s="869"/>
      <c r="V9" s="869"/>
      <c r="W9" s="869"/>
      <c r="X9" s="869"/>
      <c r="Y9" s="869"/>
      <c r="Z9" s="869"/>
    </row>
    <row r="10" spans="1:48" ht="12" customHeight="1" x14ac:dyDescent="0.35">
      <c r="A10" s="869"/>
      <c r="B10" s="869"/>
      <c r="C10" s="869"/>
      <c r="D10" s="869"/>
      <c r="E10" s="869"/>
      <c r="F10" s="869"/>
      <c r="G10" s="869"/>
      <c r="H10" s="869"/>
      <c r="I10" s="869"/>
      <c r="J10" s="869"/>
      <c r="K10" s="869"/>
      <c r="L10" s="869"/>
      <c r="M10" s="869"/>
      <c r="N10" s="869"/>
      <c r="O10" s="869"/>
      <c r="P10" s="869"/>
      <c r="Q10" s="869"/>
      <c r="R10" s="869"/>
      <c r="S10" s="869"/>
      <c r="T10" s="869"/>
      <c r="U10" s="869"/>
      <c r="V10" s="869"/>
      <c r="W10" s="869"/>
      <c r="X10" s="869"/>
      <c r="Y10" s="869"/>
      <c r="Z10" s="869"/>
    </row>
    <row r="11" spans="1:48" ht="12" customHeight="1" x14ac:dyDescent="0.35">
      <c r="A11" s="869"/>
      <c r="B11" s="869"/>
      <c r="C11" s="869"/>
      <c r="D11" s="869"/>
      <c r="E11" s="869"/>
      <c r="F11" s="869"/>
      <c r="G11" s="869"/>
      <c r="H11" s="869"/>
      <c r="I11" s="869"/>
      <c r="J11" s="869"/>
      <c r="K11" s="869"/>
      <c r="L11" s="869"/>
      <c r="M11" s="869"/>
      <c r="N11" s="869"/>
      <c r="O11" s="869"/>
      <c r="P11" s="869"/>
      <c r="Q11" s="869"/>
      <c r="R11" s="869"/>
      <c r="S11" s="869"/>
      <c r="T11" s="869"/>
      <c r="U11" s="869"/>
      <c r="V11" s="869"/>
      <c r="W11" s="869"/>
      <c r="X11" s="869"/>
      <c r="Y11" s="869"/>
      <c r="Z11" s="869"/>
    </row>
    <row r="12" spans="1:48" ht="12" customHeight="1" x14ac:dyDescent="0.35">
      <c r="A12" s="869"/>
      <c r="B12" s="869"/>
      <c r="C12" s="869"/>
      <c r="D12" s="869"/>
      <c r="E12" s="869"/>
      <c r="F12" s="869"/>
      <c r="G12" s="869"/>
      <c r="H12" s="869"/>
      <c r="I12" s="869"/>
      <c r="J12" s="869"/>
      <c r="K12" s="869"/>
      <c r="L12" s="869"/>
      <c r="M12" s="869"/>
      <c r="N12" s="869"/>
      <c r="O12" s="869"/>
      <c r="P12" s="869"/>
      <c r="Q12" s="869"/>
      <c r="R12" s="869"/>
      <c r="S12" s="869"/>
      <c r="T12" s="869"/>
      <c r="U12" s="869"/>
      <c r="V12" s="869"/>
      <c r="W12" s="869"/>
      <c r="X12" s="869"/>
      <c r="Y12" s="869"/>
      <c r="Z12" s="869"/>
    </row>
    <row r="13" spans="1:48" ht="12" customHeight="1" x14ac:dyDescent="0.35">
      <c r="A13" s="869"/>
      <c r="B13" s="869"/>
      <c r="C13" s="869"/>
      <c r="D13" s="869"/>
      <c r="E13" s="869"/>
      <c r="F13" s="869"/>
      <c r="G13" s="869"/>
      <c r="H13" s="869"/>
      <c r="I13" s="869"/>
      <c r="J13" s="869"/>
      <c r="K13" s="869"/>
      <c r="L13" s="869"/>
      <c r="M13" s="869"/>
      <c r="N13" s="869"/>
      <c r="O13" s="869"/>
      <c r="P13" s="869"/>
      <c r="Q13" s="869"/>
      <c r="R13" s="869"/>
      <c r="S13" s="869"/>
      <c r="T13" s="869"/>
      <c r="U13" s="869"/>
      <c r="V13" s="869"/>
      <c r="W13" s="869"/>
      <c r="X13" s="869"/>
      <c r="Y13" s="869"/>
      <c r="Z13" s="869"/>
    </row>
    <row r="14" spans="1:48" ht="12" customHeight="1" x14ac:dyDescent="0.35">
      <c r="A14" s="869"/>
      <c r="B14" s="869"/>
      <c r="C14" s="869"/>
      <c r="D14" s="869"/>
      <c r="E14" s="869"/>
      <c r="F14" s="869"/>
      <c r="G14" s="869"/>
      <c r="H14" s="869"/>
      <c r="I14" s="869"/>
      <c r="J14" s="869"/>
      <c r="K14" s="869"/>
      <c r="L14" s="869"/>
      <c r="M14" s="869"/>
      <c r="N14" s="869"/>
      <c r="O14" s="869"/>
      <c r="P14" s="869"/>
      <c r="Q14" s="869"/>
      <c r="R14" s="869"/>
      <c r="S14" s="869"/>
      <c r="T14" s="869"/>
      <c r="U14" s="869"/>
      <c r="V14" s="869"/>
      <c r="W14" s="869"/>
      <c r="X14" s="869"/>
      <c r="Y14" s="869"/>
      <c r="Z14" s="869"/>
    </row>
    <row r="15" spans="1:48" ht="12" customHeight="1" x14ac:dyDescent="0.35">
      <c r="A15" s="869"/>
      <c r="B15" s="869"/>
      <c r="C15" s="869"/>
      <c r="D15" s="869"/>
      <c r="E15" s="869"/>
      <c r="F15" s="869"/>
      <c r="G15" s="869"/>
      <c r="H15" s="869"/>
      <c r="I15" s="869"/>
      <c r="J15" s="869"/>
      <c r="K15" s="869"/>
      <c r="L15" s="869"/>
      <c r="M15" s="869"/>
      <c r="N15" s="869"/>
      <c r="O15" s="869"/>
      <c r="P15" s="869"/>
      <c r="Q15" s="869"/>
      <c r="R15" s="869"/>
      <c r="S15" s="869"/>
      <c r="T15" s="869"/>
      <c r="U15" s="869"/>
      <c r="V15" s="869"/>
      <c r="W15" s="869"/>
      <c r="X15" s="869"/>
      <c r="Y15" s="869"/>
      <c r="Z15" s="869"/>
      <c r="AB15" t="s">
        <v>90</v>
      </c>
    </row>
    <row r="16" spans="1:48" ht="6.75" customHeight="1" x14ac:dyDescent="0.35"/>
    <row r="17" spans="1:46" s="1" customFormat="1" ht="15.75" customHeight="1" x14ac:dyDescent="0.3">
      <c r="C17" s="1893" t="s">
        <v>9</v>
      </c>
      <c r="D17" s="1894"/>
      <c r="E17" s="1894"/>
      <c r="F17" s="1894"/>
      <c r="G17" s="1894"/>
      <c r="H17" s="1894"/>
      <c r="I17" s="1894"/>
      <c r="J17" s="1894"/>
      <c r="K17" s="1894"/>
      <c r="L17" s="1894"/>
      <c r="M17" s="1894"/>
      <c r="N17" s="1894"/>
      <c r="O17" s="1895"/>
      <c r="R17" s="1896" t="s">
        <v>608</v>
      </c>
      <c r="S17" s="1897"/>
      <c r="T17" s="1897"/>
      <c r="U17" s="1897"/>
      <c r="V17" s="1897"/>
      <c r="W17" s="1897"/>
      <c r="X17" s="1897"/>
      <c r="Y17" s="1897"/>
      <c r="Z17" s="1898"/>
      <c r="AC17" s="13"/>
      <c r="AD17" s="13"/>
      <c r="AE17" s="13"/>
      <c r="AF17" s="40"/>
      <c r="AG17" s="13"/>
      <c r="AH17" s="13"/>
      <c r="AI17" s="13"/>
      <c r="AJ17" s="13"/>
      <c r="AK17" s="13"/>
      <c r="AL17" s="13"/>
      <c r="AM17" s="13"/>
      <c r="AN17" s="13"/>
      <c r="AO17" s="13"/>
      <c r="AP17" s="13"/>
      <c r="AQ17" s="13"/>
      <c r="AR17" s="13"/>
      <c r="AS17" s="13"/>
      <c r="AT17" s="13"/>
    </row>
    <row r="18" spans="1:46" ht="7.5" customHeight="1" x14ac:dyDescent="0.35"/>
    <row r="19" spans="1:46" s="1" customFormat="1" ht="15.75" customHeight="1" x14ac:dyDescent="0.3">
      <c r="C19" s="1905" t="s">
        <v>609</v>
      </c>
      <c r="D19" s="1907"/>
      <c r="E19" s="1907"/>
      <c r="F19" s="1906"/>
      <c r="H19" s="1905" t="s">
        <v>3</v>
      </c>
      <c r="I19" s="1906"/>
      <c r="K19" s="1899" t="s">
        <v>610</v>
      </c>
      <c r="L19" s="1900"/>
      <c r="M19" s="1900"/>
      <c r="N19" s="1901"/>
      <c r="O19" s="312" t="s">
        <v>162</v>
      </c>
      <c r="R19" s="1902" t="s">
        <v>8</v>
      </c>
      <c r="S19" s="1903"/>
      <c r="T19" s="1904"/>
      <c r="V19" s="1902" t="s">
        <v>611</v>
      </c>
      <c r="W19" s="1904"/>
      <c r="X19" s="1902" t="s">
        <v>612</v>
      </c>
      <c r="Y19" s="1903"/>
      <c r="Z19" s="1904"/>
      <c r="AC19" s="13"/>
      <c r="AD19" s="13"/>
      <c r="AE19" s="13"/>
      <c r="AF19" s="40"/>
      <c r="AG19" s="13"/>
      <c r="AH19" s="13"/>
      <c r="AI19" s="13"/>
      <c r="AJ19" s="13"/>
      <c r="AK19" s="13"/>
      <c r="AL19" s="13"/>
      <c r="AM19" s="13"/>
      <c r="AN19" s="13"/>
      <c r="AO19" s="13"/>
      <c r="AP19" s="13"/>
      <c r="AQ19" s="13"/>
      <c r="AR19" s="13"/>
      <c r="AS19" s="13"/>
      <c r="AT19" s="13"/>
    </row>
    <row r="20" spans="1:46" ht="5.25" customHeight="1" x14ac:dyDescent="0.35">
      <c r="B20" s="1228"/>
      <c r="D20" s="1228"/>
      <c r="F20" s="1228"/>
      <c r="G20" s="1228"/>
      <c r="I20" s="1228"/>
      <c r="J20" s="1228"/>
      <c r="N20" s="1228"/>
      <c r="O20" s="1228"/>
      <c r="Q20" s="1228"/>
      <c r="T20" s="1228"/>
      <c r="U20" s="1228"/>
      <c r="W20" s="1228"/>
      <c r="Z20" s="1228"/>
      <c r="AG20" s="68"/>
      <c r="AH20" s="68"/>
      <c r="AI20" s="68"/>
      <c r="AK20" s="13"/>
      <c r="AL20" s="13"/>
      <c r="AM20" s="13"/>
      <c r="AN20" s="13"/>
    </row>
    <row r="21" spans="1:46" ht="12" customHeight="1" thickBot="1" x14ac:dyDescent="0.4">
      <c r="C21" s="315" t="s">
        <v>30</v>
      </c>
      <c r="D21" s="317" t="s">
        <v>62</v>
      </c>
      <c r="E21" s="316" t="s">
        <v>182</v>
      </c>
      <c r="F21" s="317" t="s">
        <v>572</v>
      </c>
      <c r="H21" s="320" t="s">
        <v>0</v>
      </c>
      <c r="I21" s="321" t="s">
        <v>207</v>
      </c>
      <c r="K21" s="320" t="s">
        <v>12</v>
      </c>
      <c r="L21" s="868" t="s">
        <v>60</v>
      </c>
      <c r="M21" s="868" t="s">
        <v>613</v>
      </c>
      <c r="N21" s="321" t="s">
        <v>355</v>
      </c>
      <c r="O21" s="318" t="s">
        <v>162</v>
      </c>
      <c r="P21" s="317" t="s">
        <v>614</v>
      </c>
      <c r="Q21" s="319"/>
      <c r="R21" s="315" t="s">
        <v>5</v>
      </c>
      <c r="S21" s="316" t="s">
        <v>6</v>
      </c>
      <c r="T21" s="321" t="s">
        <v>7</v>
      </c>
      <c r="U21" s="319"/>
      <c r="V21" s="320" t="s">
        <v>372</v>
      </c>
      <c r="W21" s="321" t="s">
        <v>615</v>
      </c>
      <c r="X21" s="317" t="s">
        <v>374</v>
      </c>
      <c r="Y21" s="316" t="s">
        <v>371</v>
      </c>
      <c r="Z21" s="322"/>
      <c r="AC21" s="399" t="s">
        <v>616</v>
      </c>
      <c r="AD21" s="399" t="s">
        <v>617</v>
      </c>
      <c r="AE21" s="399" t="s">
        <v>618</v>
      </c>
      <c r="AG21" s="399" t="s">
        <v>619</v>
      </c>
      <c r="AH21" s="399" t="s">
        <v>620</v>
      </c>
      <c r="AI21" s="399" t="s">
        <v>621</v>
      </c>
      <c r="AK21" s="67" t="s">
        <v>17</v>
      </c>
      <c r="AL21" s="67" t="s">
        <v>15</v>
      </c>
      <c r="AM21" s="67" t="s">
        <v>622</v>
      </c>
      <c r="AN21" s="67" t="s">
        <v>623</v>
      </c>
    </row>
    <row r="22" spans="1:46" s="1" customFormat="1" ht="12" customHeight="1" x14ac:dyDescent="0.3">
      <c r="B22" s="485">
        <f>Infrastructure!D70</f>
        <v>0</v>
      </c>
      <c r="C22" s="323">
        <f>Calcs!$I$15</f>
        <v>0</v>
      </c>
      <c r="D22" s="1272">
        <f>Calcs!$I$16</f>
        <v>0</v>
      </c>
      <c r="E22" s="325">
        <f>Calcs!$I$17</f>
        <v>0</v>
      </c>
      <c r="F22" s="324">
        <f>Calcs!$I$18</f>
        <v>0</v>
      </c>
      <c r="H22" s="310">
        <f>Calcs!$I$3</f>
        <v>0</v>
      </c>
      <c r="I22" s="313">
        <f>Calcs!$I$25</f>
        <v>0</v>
      </c>
      <c r="K22" s="310">
        <f>-Calcs!$I$4</f>
        <v>0</v>
      </c>
      <c r="L22" s="308">
        <f>-Calcs!$I$6</f>
        <v>0</v>
      </c>
      <c r="M22" s="308">
        <f>-Calcs!$I$7</f>
        <v>0</v>
      </c>
      <c r="N22" s="313">
        <f>-Calcs!$I$9</f>
        <v>0</v>
      </c>
      <c r="O22" s="326">
        <f>Calcs!$I$14</f>
        <v>0</v>
      </c>
      <c r="P22" s="324">
        <v>0</v>
      </c>
      <c r="R22" s="323">
        <f>Calcs!$I$5</f>
        <v>0</v>
      </c>
      <c r="S22" s="325">
        <f>Calcs!$I$8</f>
        <v>0</v>
      </c>
      <c r="T22" s="324">
        <f>Calcs!$I$12</f>
        <v>0</v>
      </c>
      <c r="V22" s="310">
        <f>Calcs!$I$35</f>
        <v>0</v>
      </c>
      <c r="W22" s="308">
        <f>Calcs!D216</f>
        <v>0</v>
      </c>
      <c r="X22" s="327">
        <f>Calcs!$I$30</f>
        <v>0</v>
      </c>
      <c r="Y22" s="328">
        <f>Calcs!$I$29</f>
        <v>0</v>
      </c>
      <c r="Z22" s="329"/>
      <c r="AB22" s="493">
        <f>B22</f>
        <v>0</v>
      </c>
      <c r="AC22" s="796">
        <f>IF(H22&lt;&gt;0,R22/H22,0)</f>
        <v>0</v>
      </c>
      <c r="AD22" s="796">
        <f>IF(H22&lt;&gt;0,S22/H22,0)</f>
        <v>0</v>
      </c>
      <c r="AE22" s="796">
        <f>IF(H22&lt;&gt;0,T22/H22,0)</f>
        <v>0</v>
      </c>
      <c r="AF22" s="40"/>
      <c r="AG22" s="796">
        <f>IF(AN22&lt;&gt;0,AK22/AN22,0)</f>
        <v>0</v>
      </c>
      <c r="AH22" s="796">
        <f>IF(AN22&lt;&gt;0,(AK22-AL22)/AN22,0)</f>
        <v>0</v>
      </c>
      <c r="AI22" s="796">
        <f>IF((AN22-AM22)&lt;&gt;0,(AK22-AL22)/(AN22-AM22),0)</f>
        <v>0</v>
      </c>
      <c r="AK22" s="67">
        <f>Calcs!$I$31</f>
        <v>0</v>
      </c>
      <c r="AL22" s="67">
        <f>Calcs!$I$32</f>
        <v>0</v>
      </c>
      <c r="AM22" s="67">
        <f>Calcs!$I$33</f>
        <v>0</v>
      </c>
      <c r="AN22" s="67">
        <f>Calcs!$I$34</f>
        <v>0</v>
      </c>
      <c r="AO22" s="13"/>
      <c r="AP22" s="13"/>
      <c r="AQ22" s="13"/>
      <c r="AR22" s="13"/>
      <c r="AS22" s="13"/>
      <c r="AT22" s="13"/>
    </row>
    <row r="23" spans="1:46" s="1" customFormat="1" ht="12" customHeight="1" x14ac:dyDescent="0.3">
      <c r="B23" s="485">
        <f>Infrastructure!D71</f>
        <v>59</v>
      </c>
      <c r="C23" s="310">
        <f>Calcs!$J$15</f>
        <v>0</v>
      </c>
      <c r="D23" s="1273">
        <f>Calcs!$J$16</f>
        <v>0</v>
      </c>
      <c r="E23" s="308">
        <f>Calcs!$J$17</f>
        <v>0</v>
      </c>
      <c r="F23" s="313">
        <f>Calcs!$J$18</f>
        <v>0</v>
      </c>
      <c r="H23" s="310">
        <f>Calcs!$J$3</f>
        <v>0</v>
      </c>
      <c r="I23" s="313">
        <f>Calcs!$J$25</f>
        <v>0</v>
      </c>
      <c r="K23" s="310">
        <f>-Calcs!$J$4</f>
        <v>0</v>
      </c>
      <c r="L23" s="308">
        <f>-Calcs!$J$6</f>
        <v>0</v>
      </c>
      <c r="M23" s="308">
        <f>-Calcs!$J$7</f>
        <v>0</v>
      </c>
      <c r="N23" s="313">
        <f>-Calcs!$J$9</f>
        <v>0</v>
      </c>
      <c r="O23" s="331">
        <f>Calcs!$J$14</f>
        <v>0</v>
      </c>
      <c r="P23" s="313">
        <v>0</v>
      </c>
      <c r="R23" s="310">
        <f>Calcs!$J$5</f>
        <v>0</v>
      </c>
      <c r="S23" s="308">
        <f>Calcs!$J$8</f>
        <v>0</v>
      </c>
      <c r="T23" s="313">
        <f>Calcs!$J$12</f>
        <v>0</v>
      </c>
      <c r="V23" s="310">
        <f>Calcs!$J$35</f>
        <v>0</v>
      </c>
      <c r="W23" s="308">
        <f>Calcs!D217</f>
        <v>0</v>
      </c>
      <c r="X23" s="332">
        <f>Calcs!$J$30</f>
        <v>0</v>
      </c>
      <c r="Y23" s="333">
        <f>Calcs!$J$29</f>
        <v>0</v>
      </c>
      <c r="Z23" s="334"/>
      <c r="AB23" s="493">
        <f t="shared" ref="AB23:AB81" si="0">B23</f>
        <v>59</v>
      </c>
      <c r="AC23" s="796">
        <f t="shared" ref="AC23:AC81" si="1">IF(H23&lt;&gt;0,R23/H23,0)</f>
        <v>0</v>
      </c>
      <c r="AD23" s="796">
        <f t="shared" ref="AD23:AD81" si="2">IF(H23&lt;&gt;0,S23/H23,0)</f>
        <v>0</v>
      </c>
      <c r="AE23" s="796">
        <f t="shared" ref="AE23:AE81" si="3">IF(H23&lt;&gt;0,T23/H23,0)</f>
        <v>0</v>
      </c>
      <c r="AF23" s="40"/>
      <c r="AG23" s="796">
        <f t="shared" ref="AG23:AG81" si="4">IF(AN23&lt;&gt;0,AK23/AN23,0)</f>
        <v>0</v>
      </c>
      <c r="AH23" s="796">
        <f t="shared" ref="AH23:AH81" si="5">IF(AN23&lt;&gt;0,(AK23-AL23)/AN23,0)</f>
        <v>0</v>
      </c>
      <c r="AI23" s="796">
        <f t="shared" ref="AI23:AI81" si="6">IF((AN23-AM23)&lt;&gt;0,(AK23-AL23)/(AN23-AM23),0)</f>
        <v>0</v>
      </c>
      <c r="AK23" s="67">
        <f>Calcs!$J$31</f>
        <v>0</v>
      </c>
      <c r="AL23" s="67">
        <f>Calcs!$J$32</f>
        <v>0</v>
      </c>
      <c r="AM23" s="67">
        <f>Calcs!$J$33</f>
        <v>0</v>
      </c>
      <c r="AN23" s="67">
        <f>Calcs!$J$34</f>
        <v>0</v>
      </c>
      <c r="AO23" s="13"/>
      <c r="AP23" s="13"/>
      <c r="AQ23" s="13"/>
      <c r="AR23" s="13"/>
      <c r="AS23" s="13"/>
      <c r="AT23" s="13"/>
    </row>
    <row r="24" spans="1:46" s="1" customFormat="1" ht="12" customHeight="1" x14ac:dyDescent="0.3">
      <c r="A24" s="1">
        <f t="shared" ref="A24:A55" si="7">EOMONTH(A23,1)</f>
        <v>59</v>
      </c>
      <c r="B24" s="485">
        <f>Infrastructure!D72</f>
        <v>91</v>
      </c>
      <c r="C24" s="310">
        <f>Calcs!$K$15</f>
        <v>0</v>
      </c>
      <c r="D24" s="313">
        <f>Calcs!$K$16</f>
        <v>0</v>
      </c>
      <c r="E24" s="308">
        <f>Calcs!$K$17</f>
        <v>0</v>
      </c>
      <c r="F24" s="313">
        <f>Calcs!$K$18</f>
        <v>0</v>
      </c>
      <c r="H24" s="310">
        <f>Calcs!$K$3</f>
        <v>0</v>
      </c>
      <c r="I24" s="313">
        <f>Calcs!$K$25</f>
        <v>0</v>
      </c>
      <c r="K24" s="310">
        <f>-Calcs!$K$4</f>
        <v>0</v>
      </c>
      <c r="L24" s="308">
        <f>-Calcs!$K$6</f>
        <v>0</v>
      </c>
      <c r="M24" s="308">
        <f>-Calcs!$K$7</f>
        <v>0</v>
      </c>
      <c r="N24" s="313">
        <f>-Calcs!$K$9</f>
        <v>0</v>
      </c>
      <c r="O24" s="331">
        <f>Calcs!$K$14</f>
        <v>0</v>
      </c>
      <c r="P24" s="313">
        <v>0</v>
      </c>
      <c r="R24" s="310">
        <f>Calcs!$K$5</f>
        <v>0</v>
      </c>
      <c r="S24" s="308">
        <f>Calcs!$K$8</f>
        <v>0</v>
      </c>
      <c r="T24" s="313">
        <f>Calcs!$K$12</f>
        <v>0</v>
      </c>
      <c r="V24" s="310">
        <f>Calcs!$K$35</f>
        <v>0</v>
      </c>
      <c r="W24" s="308">
        <f>Calcs!D218</f>
        <v>0</v>
      </c>
      <c r="X24" s="332">
        <f>Calcs!$K$30</f>
        <v>0</v>
      </c>
      <c r="Y24" s="333">
        <f>Calcs!$K$29</f>
        <v>0</v>
      </c>
      <c r="Z24" s="334"/>
      <c r="AB24" s="493">
        <f t="shared" si="0"/>
        <v>91</v>
      </c>
      <c r="AC24" s="796">
        <f t="shared" si="1"/>
        <v>0</v>
      </c>
      <c r="AD24" s="796">
        <f t="shared" si="2"/>
        <v>0</v>
      </c>
      <c r="AE24" s="796">
        <f t="shared" si="3"/>
        <v>0</v>
      </c>
      <c r="AF24" s="797"/>
      <c r="AG24" s="796">
        <f t="shared" si="4"/>
        <v>0</v>
      </c>
      <c r="AH24" s="796">
        <f t="shared" si="5"/>
        <v>0</v>
      </c>
      <c r="AI24" s="796">
        <f t="shared" si="6"/>
        <v>0</v>
      </c>
      <c r="AK24" s="67">
        <f>Calcs!$K$31</f>
        <v>0</v>
      </c>
      <c r="AL24" s="67">
        <f>Calcs!$K$32</f>
        <v>0</v>
      </c>
      <c r="AM24" s="67">
        <f>Calcs!$K$33</f>
        <v>0</v>
      </c>
      <c r="AN24" s="67">
        <f>Calcs!$K$34</f>
        <v>0</v>
      </c>
      <c r="AO24" s="13"/>
      <c r="AP24" s="13"/>
      <c r="AQ24" s="13"/>
      <c r="AR24" s="13"/>
      <c r="AS24" s="13"/>
      <c r="AT24" s="13"/>
    </row>
    <row r="25" spans="1:46" s="1" customFormat="1" ht="12" customHeight="1" x14ac:dyDescent="0.3">
      <c r="A25" s="1">
        <f t="shared" si="7"/>
        <v>91</v>
      </c>
      <c r="B25" s="485">
        <f>Infrastructure!D73</f>
        <v>121</v>
      </c>
      <c r="C25" s="310">
        <f>Calcs!$L$15</f>
        <v>0</v>
      </c>
      <c r="D25" s="313">
        <f>Calcs!$L$16</f>
        <v>0</v>
      </c>
      <c r="E25" s="308">
        <f>Calcs!$L$17</f>
        <v>0</v>
      </c>
      <c r="F25" s="313">
        <f>Calcs!$L$18</f>
        <v>0</v>
      </c>
      <c r="H25" s="310">
        <f>Calcs!$L$3</f>
        <v>0</v>
      </c>
      <c r="I25" s="313">
        <f>Calcs!$L$25</f>
        <v>0</v>
      </c>
      <c r="K25" s="310">
        <f>-Calcs!$L$4</f>
        <v>0</v>
      </c>
      <c r="L25" s="308">
        <f>-Calcs!$L$6</f>
        <v>0</v>
      </c>
      <c r="M25" s="308">
        <f>-Calcs!$L$7</f>
        <v>0</v>
      </c>
      <c r="N25" s="313">
        <f>-Calcs!$L$9</f>
        <v>0</v>
      </c>
      <c r="O25" s="331">
        <f>Calcs!$L$14</f>
        <v>0</v>
      </c>
      <c r="P25" s="313">
        <v>0</v>
      </c>
      <c r="R25" s="310">
        <f>Calcs!$L$5</f>
        <v>0</v>
      </c>
      <c r="S25" s="308">
        <f>Calcs!$L$8</f>
        <v>0</v>
      </c>
      <c r="T25" s="313">
        <f>Calcs!$L$12</f>
        <v>0</v>
      </c>
      <c r="V25" s="310">
        <f>Calcs!$L$35</f>
        <v>0</v>
      </c>
      <c r="W25" s="308">
        <f>Calcs!D219</f>
        <v>0</v>
      </c>
      <c r="X25" s="332">
        <f>Calcs!$L$30</f>
        <v>0</v>
      </c>
      <c r="Y25" s="333">
        <f>Calcs!$L$29</f>
        <v>0</v>
      </c>
      <c r="Z25" s="334"/>
      <c r="AB25" s="493">
        <f t="shared" si="0"/>
        <v>121</v>
      </c>
      <c r="AC25" s="796">
        <f t="shared" si="1"/>
        <v>0</v>
      </c>
      <c r="AD25" s="796">
        <f t="shared" si="2"/>
        <v>0</v>
      </c>
      <c r="AE25" s="796">
        <f t="shared" si="3"/>
        <v>0</v>
      </c>
      <c r="AF25" s="797"/>
      <c r="AG25" s="796">
        <f t="shared" si="4"/>
        <v>0</v>
      </c>
      <c r="AH25" s="796">
        <f t="shared" si="5"/>
        <v>0</v>
      </c>
      <c r="AI25" s="796">
        <f t="shared" si="6"/>
        <v>0</v>
      </c>
      <c r="AK25" s="67">
        <f>Calcs!$L$31</f>
        <v>0</v>
      </c>
      <c r="AL25" s="67">
        <f>Calcs!$L$32</f>
        <v>0</v>
      </c>
      <c r="AM25" s="67">
        <f>Calcs!$L$33</f>
        <v>0</v>
      </c>
      <c r="AN25" s="67">
        <f>Calcs!$L$34</f>
        <v>0</v>
      </c>
      <c r="AO25" s="13"/>
      <c r="AP25" s="13"/>
      <c r="AQ25" s="13"/>
      <c r="AR25" s="13"/>
      <c r="AS25" s="13"/>
      <c r="AT25" s="13"/>
    </row>
    <row r="26" spans="1:46" s="1" customFormat="1" ht="12" customHeight="1" x14ac:dyDescent="0.3">
      <c r="A26" s="1">
        <f t="shared" si="7"/>
        <v>121</v>
      </c>
      <c r="B26" s="485">
        <f>Infrastructure!D74</f>
        <v>152</v>
      </c>
      <c r="C26" s="310">
        <f>Calcs!$M$15</f>
        <v>0</v>
      </c>
      <c r="D26" s="313">
        <f>Calcs!$M$16</f>
        <v>0</v>
      </c>
      <c r="E26" s="308">
        <f>Calcs!$M$17</f>
        <v>0</v>
      </c>
      <c r="F26" s="313">
        <f>Calcs!$M$18</f>
        <v>0</v>
      </c>
      <c r="H26" s="310">
        <f>Calcs!$M$3</f>
        <v>0</v>
      </c>
      <c r="I26" s="313">
        <f>Calcs!$M$25</f>
        <v>0</v>
      </c>
      <c r="K26" s="310">
        <f>-Calcs!$M$4</f>
        <v>0</v>
      </c>
      <c r="L26" s="308">
        <f>-Calcs!$M$6</f>
        <v>0</v>
      </c>
      <c r="M26" s="308">
        <f>-Calcs!$M$7</f>
        <v>0</v>
      </c>
      <c r="N26" s="313">
        <f>-Calcs!$M$9</f>
        <v>0</v>
      </c>
      <c r="O26" s="331">
        <f>Calcs!$M$14</f>
        <v>0</v>
      </c>
      <c r="P26" s="313">
        <v>0</v>
      </c>
      <c r="R26" s="310">
        <f>Calcs!$M$5</f>
        <v>0</v>
      </c>
      <c r="S26" s="308">
        <f>Calcs!$M$8</f>
        <v>0</v>
      </c>
      <c r="T26" s="313">
        <f>Calcs!$M$12</f>
        <v>0</v>
      </c>
      <c r="V26" s="310">
        <f>Calcs!$M$35</f>
        <v>0</v>
      </c>
      <c r="W26" s="308">
        <f>Calcs!D220</f>
        <v>0</v>
      </c>
      <c r="X26" s="332">
        <f>Calcs!$M$30</f>
        <v>0</v>
      </c>
      <c r="Y26" s="333">
        <f>Calcs!$M$29</f>
        <v>0</v>
      </c>
      <c r="Z26" s="334"/>
      <c r="AB26" s="493">
        <f t="shared" si="0"/>
        <v>152</v>
      </c>
      <c r="AC26" s="796">
        <f t="shared" si="1"/>
        <v>0</v>
      </c>
      <c r="AD26" s="796">
        <f t="shared" si="2"/>
        <v>0</v>
      </c>
      <c r="AE26" s="796">
        <f t="shared" si="3"/>
        <v>0</v>
      </c>
      <c r="AF26" s="797"/>
      <c r="AG26" s="796">
        <f t="shared" si="4"/>
        <v>0</v>
      </c>
      <c r="AH26" s="796">
        <f t="shared" si="5"/>
        <v>0</v>
      </c>
      <c r="AI26" s="796">
        <f t="shared" si="6"/>
        <v>0</v>
      </c>
      <c r="AK26" s="67">
        <f>Calcs!$M$31</f>
        <v>0</v>
      </c>
      <c r="AL26" s="67">
        <f>Calcs!$M$32</f>
        <v>0</v>
      </c>
      <c r="AM26" s="67">
        <f>Calcs!$M$33</f>
        <v>0</v>
      </c>
      <c r="AN26" s="67">
        <f>Calcs!$M$34</f>
        <v>0</v>
      </c>
      <c r="AO26" s="13"/>
      <c r="AP26" s="13"/>
      <c r="AQ26" s="13"/>
      <c r="AR26" s="13"/>
      <c r="AS26" s="13"/>
      <c r="AT26" s="13"/>
    </row>
    <row r="27" spans="1:46" s="1" customFormat="1" ht="12" customHeight="1" x14ac:dyDescent="0.3">
      <c r="A27" s="1">
        <f t="shared" si="7"/>
        <v>152</v>
      </c>
      <c r="B27" s="485">
        <f>Infrastructure!D75</f>
        <v>182</v>
      </c>
      <c r="C27" s="310">
        <f>Calcs!$N$15</f>
        <v>0</v>
      </c>
      <c r="D27" s="313">
        <f>Calcs!$N$16</f>
        <v>0</v>
      </c>
      <c r="E27" s="308">
        <f>Calcs!$N$17</f>
        <v>0</v>
      </c>
      <c r="F27" s="313">
        <f>Calcs!$N$18</f>
        <v>0</v>
      </c>
      <c r="H27" s="310">
        <f>Calcs!$N$3</f>
        <v>0</v>
      </c>
      <c r="I27" s="313">
        <f>Calcs!$N$25</f>
        <v>0</v>
      </c>
      <c r="K27" s="310">
        <f>-Calcs!$N$4</f>
        <v>0</v>
      </c>
      <c r="L27" s="308">
        <f>-Calcs!$N$6</f>
        <v>0</v>
      </c>
      <c r="M27" s="308">
        <f>-Calcs!$N$7</f>
        <v>0</v>
      </c>
      <c r="N27" s="313">
        <f>-Calcs!$N$9</f>
        <v>0</v>
      </c>
      <c r="O27" s="331">
        <f>Calcs!$N$14</f>
        <v>0</v>
      </c>
      <c r="P27" s="313">
        <v>0</v>
      </c>
      <c r="R27" s="310">
        <f>Calcs!$N$5</f>
        <v>0</v>
      </c>
      <c r="S27" s="308">
        <f>Calcs!$N$8</f>
        <v>0</v>
      </c>
      <c r="T27" s="313">
        <f>Calcs!$N$12</f>
        <v>0</v>
      </c>
      <c r="V27" s="310">
        <f>Calcs!$N$35</f>
        <v>0</v>
      </c>
      <c r="W27" s="308">
        <f>Calcs!D221</f>
        <v>0</v>
      </c>
      <c r="X27" s="332">
        <f>Calcs!$N$30</f>
        <v>0</v>
      </c>
      <c r="Y27" s="333">
        <f>Calcs!$N$29</f>
        <v>0</v>
      </c>
      <c r="Z27" s="334"/>
      <c r="AB27" s="493">
        <f t="shared" si="0"/>
        <v>182</v>
      </c>
      <c r="AC27" s="796">
        <f t="shared" si="1"/>
        <v>0</v>
      </c>
      <c r="AD27" s="796">
        <f t="shared" si="2"/>
        <v>0</v>
      </c>
      <c r="AE27" s="796">
        <f t="shared" si="3"/>
        <v>0</v>
      </c>
      <c r="AF27" s="797"/>
      <c r="AG27" s="796">
        <f t="shared" si="4"/>
        <v>0</v>
      </c>
      <c r="AH27" s="796">
        <f t="shared" si="5"/>
        <v>0</v>
      </c>
      <c r="AI27" s="796">
        <f t="shared" si="6"/>
        <v>0</v>
      </c>
      <c r="AK27" s="67">
        <f>Calcs!$N$31</f>
        <v>0</v>
      </c>
      <c r="AL27" s="67">
        <f>Calcs!$N$32</f>
        <v>0</v>
      </c>
      <c r="AM27" s="67">
        <f>Calcs!$N$33</f>
        <v>0</v>
      </c>
      <c r="AN27" s="67">
        <f>Calcs!$N$34</f>
        <v>0</v>
      </c>
      <c r="AO27" s="13"/>
      <c r="AP27" s="13"/>
      <c r="AQ27" s="13"/>
      <c r="AR27" s="13"/>
      <c r="AS27" s="13"/>
      <c r="AT27" s="13"/>
    </row>
    <row r="28" spans="1:46" s="1" customFormat="1" ht="12" customHeight="1" x14ac:dyDescent="0.3">
      <c r="A28" s="1">
        <f t="shared" si="7"/>
        <v>182</v>
      </c>
      <c r="B28" s="485">
        <f>Infrastructure!D76</f>
        <v>213</v>
      </c>
      <c r="C28" s="310">
        <f>Calcs!$O$15</f>
        <v>0</v>
      </c>
      <c r="D28" s="313">
        <f>Calcs!$O$16</f>
        <v>0</v>
      </c>
      <c r="E28" s="308">
        <f>Calcs!$O$17</f>
        <v>0</v>
      </c>
      <c r="F28" s="313">
        <f>Calcs!$O$18</f>
        <v>0</v>
      </c>
      <c r="H28" s="310">
        <f>Calcs!$O$3</f>
        <v>0</v>
      </c>
      <c r="I28" s="313">
        <f>Calcs!$O$25</f>
        <v>0</v>
      </c>
      <c r="K28" s="310">
        <f>-Calcs!$O$4</f>
        <v>0</v>
      </c>
      <c r="L28" s="308">
        <f>-Calcs!$O$6</f>
        <v>0</v>
      </c>
      <c r="M28" s="308">
        <f>-Calcs!$O$7</f>
        <v>0</v>
      </c>
      <c r="N28" s="313">
        <f>-Calcs!$O$9</f>
        <v>0</v>
      </c>
      <c r="O28" s="331">
        <f>Calcs!$O$14</f>
        <v>0</v>
      </c>
      <c r="P28" s="313">
        <v>0</v>
      </c>
      <c r="R28" s="310">
        <f>Calcs!$O$5</f>
        <v>0</v>
      </c>
      <c r="S28" s="308">
        <f>Calcs!$O$8</f>
        <v>0</v>
      </c>
      <c r="T28" s="313">
        <f>Calcs!$O$12</f>
        <v>0</v>
      </c>
      <c r="V28" s="310">
        <f>Calcs!$O$35</f>
        <v>0</v>
      </c>
      <c r="W28" s="308">
        <f>Calcs!D222</f>
        <v>0</v>
      </c>
      <c r="X28" s="332">
        <f>Calcs!$O$30</f>
        <v>0</v>
      </c>
      <c r="Y28" s="333">
        <f>Calcs!$O$29</f>
        <v>0</v>
      </c>
      <c r="Z28" s="334"/>
      <c r="AB28" s="493">
        <f t="shared" si="0"/>
        <v>213</v>
      </c>
      <c r="AC28" s="796">
        <f t="shared" si="1"/>
        <v>0</v>
      </c>
      <c r="AD28" s="796">
        <f t="shared" si="2"/>
        <v>0</v>
      </c>
      <c r="AE28" s="796">
        <f t="shared" si="3"/>
        <v>0</v>
      </c>
      <c r="AF28" s="797"/>
      <c r="AG28" s="796">
        <f t="shared" si="4"/>
        <v>0</v>
      </c>
      <c r="AH28" s="796">
        <f t="shared" si="5"/>
        <v>0</v>
      </c>
      <c r="AI28" s="796">
        <f t="shared" si="6"/>
        <v>0</v>
      </c>
      <c r="AK28" s="67">
        <f>Calcs!$O$31</f>
        <v>0</v>
      </c>
      <c r="AL28" s="67">
        <f>Calcs!$O$32</f>
        <v>0</v>
      </c>
      <c r="AM28" s="67">
        <f>Calcs!$O$33</f>
        <v>0</v>
      </c>
      <c r="AN28" s="67">
        <f>Calcs!$O$34</f>
        <v>0</v>
      </c>
      <c r="AO28" s="13"/>
      <c r="AP28" s="13"/>
      <c r="AQ28" s="13"/>
      <c r="AR28" s="13"/>
      <c r="AS28" s="13"/>
      <c r="AT28" s="13"/>
    </row>
    <row r="29" spans="1:46" s="1" customFormat="1" ht="12" customHeight="1" x14ac:dyDescent="0.3">
      <c r="A29" s="1">
        <f t="shared" si="7"/>
        <v>213</v>
      </c>
      <c r="B29" s="485">
        <f>Infrastructure!D77</f>
        <v>244</v>
      </c>
      <c r="C29" s="310">
        <f>Calcs!$P$15</f>
        <v>0</v>
      </c>
      <c r="D29" s="313">
        <f>Calcs!$P$16</f>
        <v>0</v>
      </c>
      <c r="E29" s="308">
        <f>Calcs!$P$17</f>
        <v>0</v>
      </c>
      <c r="F29" s="313">
        <f>Calcs!$P$18</f>
        <v>0</v>
      </c>
      <c r="H29" s="310">
        <f>Calcs!$P$3</f>
        <v>0</v>
      </c>
      <c r="I29" s="313">
        <f>Calcs!$P$25</f>
        <v>0</v>
      </c>
      <c r="K29" s="310">
        <f>-Calcs!$P$4</f>
        <v>0</v>
      </c>
      <c r="L29" s="308">
        <f>-Calcs!$P$6</f>
        <v>0</v>
      </c>
      <c r="M29" s="308">
        <f>-Calcs!$P$7</f>
        <v>0</v>
      </c>
      <c r="N29" s="313">
        <f>-Calcs!$P$9</f>
        <v>0</v>
      </c>
      <c r="O29" s="331">
        <f>Calcs!$P$14</f>
        <v>0</v>
      </c>
      <c r="P29" s="313">
        <v>0</v>
      </c>
      <c r="R29" s="310">
        <f>Calcs!$P$5</f>
        <v>0</v>
      </c>
      <c r="S29" s="308">
        <f>Calcs!$P$8</f>
        <v>0</v>
      </c>
      <c r="T29" s="313">
        <f>Calcs!$P$12</f>
        <v>0</v>
      </c>
      <c r="V29" s="310">
        <f>Calcs!$P$35</f>
        <v>0</v>
      </c>
      <c r="W29" s="308">
        <f>Calcs!D223</f>
        <v>0</v>
      </c>
      <c r="X29" s="332">
        <f>Calcs!$P$30</f>
        <v>0</v>
      </c>
      <c r="Y29" s="333">
        <f>Calcs!$P$29</f>
        <v>0</v>
      </c>
      <c r="Z29" s="334"/>
      <c r="AB29" s="493">
        <f t="shared" si="0"/>
        <v>244</v>
      </c>
      <c r="AC29" s="796">
        <f t="shared" si="1"/>
        <v>0</v>
      </c>
      <c r="AD29" s="796">
        <f t="shared" si="2"/>
        <v>0</v>
      </c>
      <c r="AE29" s="796">
        <f t="shared" si="3"/>
        <v>0</v>
      </c>
      <c r="AF29" s="797"/>
      <c r="AG29" s="796">
        <f t="shared" si="4"/>
        <v>0</v>
      </c>
      <c r="AH29" s="796">
        <f t="shared" si="5"/>
        <v>0</v>
      </c>
      <c r="AI29" s="796">
        <f>IF((AN29-AM29)&lt;&gt;0,(AK29-AL29)/(AN29-AM29),0)</f>
        <v>0</v>
      </c>
      <c r="AK29" s="67">
        <f>Calcs!$P$31</f>
        <v>0</v>
      </c>
      <c r="AL29" s="67">
        <f>Calcs!$P$32</f>
        <v>0</v>
      </c>
      <c r="AM29" s="67">
        <f>Calcs!$P$33</f>
        <v>0</v>
      </c>
      <c r="AN29" s="67">
        <f>Calcs!$P$34</f>
        <v>0</v>
      </c>
      <c r="AO29" s="13"/>
      <c r="AP29" s="13"/>
      <c r="AQ29" s="13"/>
      <c r="AR29" s="13"/>
      <c r="AS29" s="13"/>
      <c r="AT29" s="13"/>
    </row>
    <row r="30" spans="1:46" s="1" customFormat="1" ht="12" customHeight="1" x14ac:dyDescent="0.3">
      <c r="A30" s="1">
        <f t="shared" si="7"/>
        <v>244</v>
      </c>
      <c r="B30" s="485">
        <f>Infrastructure!D78</f>
        <v>274</v>
      </c>
      <c r="C30" s="310">
        <f>Calcs!$Q$15</f>
        <v>0</v>
      </c>
      <c r="D30" s="313">
        <f>Calcs!$Q$16</f>
        <v>0</v>
      </c>
      <c r="E30" s="308">
        <f>Calcs!$Q$17</f>
        <v>0</v>
      </c>
      <c r="F30" s="313">
        <f>Calcs!$Q$18</f>
        <v>0</v>
      </c>
      <c r="H30" s="310">
        <f>Calcs!$Q$3</f>
        <v>0</v>
      </c>
      <c r="I30" s="313">
        <f>Calcs!$Q$25</f>
        <v>0</v>
      </c>
      <c r="K30" s="310">
        <f>-Calcs!$Q$4</f>
        <v>0</v>
      </c>
      <c r="L30" s="308">
        <f>-Calcs!$Q$6</f>
        <v>0</v>
      </c>
      <c r="M30" s="308">
        <f>-Calcs!$Q$7</f>
        <v>0</v>
      </c>
      <c r="N30" s="313">
        <f>-Calcs!$Q$9</f>
        <v>0</v>
      </c>
      <c r="O30" s="331">
        <f>Calcs!$Q$14</f>
        <v>0</v>
      </c>
      <c r="P30" s="313">
        <v>0</v>
      </c>
      <c r="R30" s="310">
        <f>Calcs!$Q$5</f>
        <v>0</v>
      </c>
      <c r="S30" s="308">
        <f>Calcs!$Q$8</f>
        <v>0</v>
      </c>
      <c r="T30" s="313">
        <f>Calcs!$Q$12</f>
        <v>0</v>
      </c>
      <c r="V30" s="310">
        <f>Calcs!$Q$35</f>
        <v>0</v>
      </c>
      <c r="W30" s="308">
        <f>Calcs!D224</f>
        <v>0</v>
      </c>
      <c r="X30" s="332">
        <f>Calcs!$Q$30</f>
        <v>0</v>
      </c>
      <c r="Y30" s="333">
        <f>Calcs!$Q$29</f>
        <v>0</v>
      </c>
      <c r="Z30" s="334"/>
      <c r="AB30" s="493">
        <f t="shared" si="0"/>
        <v>274</v>
      </c>
      <c r="AC30" s="796">
        <f t="shared" si="1"/>
        <v>0</v>
      </c>
      <c r="AD30" s="796">
        <f t="shared" si="2"/>
        <v>0</v>
      </c>
      <c r="AE30" s="796">
        <f t="shared" si="3"/>
        <v>0</v>
      </c>
      <c r="AF30" s="797"/>
      <c r="AG30" s="796">
        <f t="shared" si="4"/>
        <v>0</v>
      </c>
      <c r="AH30" s="796">
        <f t="shared" si="5"/>
        <v>0</v>
      </c>
      <c r="AI30" s="796">
        <f t="shared" si="6"/>
        <v>0</v>
      </c>
      <c r="AK30" s="67">
        <f>Calcs!$Q$31</f>
        <v>0</v>
      </c>
      <c r="AL30" s="67">
        <f>Calcs!$Q$32</f>
        <v>0</v>
      </c>
      <c r="AM30" s="67">
        <f>Calcs!$Q$33</f>
        <v>0</v>
      </c>
      <c r="AN30" s="67">
        <f>Calcs!$Q$34</f>
        <v>0</v>
      </c>
      <c r="AO30" s="13"/>
      <c r="AP30" s="13"/>
      <c r="AQ30" s="13"/>
      <c r="AR30" s="13"/>
      <c r="AS30" s="13"/>
      <c r="AT30" s="13"/>
    </row>
    <row r="31" spans="1:46" s="1" customFormat="1" ht="12" customHeight="1" x14ac:dyDescent="0.3">
      <c r="A31" s="1">
        <f t="shared" si="7"/>
        <v>274</v>
      </c>
      <c r="B31" s="485">
        <f>Infrastructure!D79</f>
        <v>305</v>
      </c>
      <c r="C31" s="310">
        <f>Calcs!$R$15</f>
        <v>0</v>
      </c>
      <c r="D31" s="313">
        <f>Calcs!$R$16</f>
        <v>0</v>
      </c>
      <c r="E31" s="308">
        <f>Calcs!$R$17</f>
        <v>0</v>
      </c>
      <c r="F31" s="313">
        <f>Calcs!$R$18</f>
        <v>0</v>
      </c>
      <c r="H31" s="310">
        <f>Calcs!$R$3</f>
        <v>0</v>
      </c>
      <c r="I31" s="313">
        <f>Calcs!$R$25</f>
        <v>0</v>
      </c>
      <c r="K31" s="310">
        <f>-Calcs!$R$4</f>
        <v>0</v>
      </c>
      <c r="L31" s="308">
        <f>-Calcs!$R$6</f>
        <v>0</v>
      </c>
      <c r="M31" s="308">
        <f>-Calcs!$R$7</f>
        <v>0</v>
      </c>
      <c r="N31" s="313">
        <f>-Calcs!$R$9</f>
        <v>0</v>
      </c>
      <c r="O31" s="331">
        <f>Calcs!$R$14</f>
        <v>0</v>
      </c>
      <c r="P31" s="313">
        <v>0</v>
      </c>
      <c r="R31" s="310">
        <f>Calcs!$R$5</f>
        <v>0</v>
      </c>
      <c r="S31" s="308">
        <f>Calcs!$R$8</f>
        <v>0</v>
      </c>
      <c r="T31" s="313">
        <f>Calcs!$R$12</f>
        <v>0</v>
      </c>
      <c r="V31" s="310">
        <f>Calcs!$R$35</f>
        <v>0</v>
      </c>
      <c r="W31" s="308">
        <f>Calcs!D225</f>
        <v>0</v>
      </c>
      <c r="X31" s="332">
        <f>Calcs!$R$30</f>
        <v>0</v>
      </c>
      <c r="Y31" s="333">
        <f>Calcs!$R$29</f>
        <v>0</v>
      </c>
      <c r="Z31" s="334"/>
      <c r="AB31" s="493">
        <f t="shared" si="0"/>
        <v>305</v>
      </c>
      <c r="AC31" s="796">
        <f t="shared" si="1"/>
        <v>0</v>
      </c>
      <c r="AD31" s="796">
        <f t="shared" si="2"/>
        <v>0</v>
      </c>
      <c r="AE31" s="796">
        <f t="shared" si="3"/>
        <v>0</v>
      </c>
      <c r="AF31" s="797"/>
      <c r="AG31" s="796">
        <f t="shared" si="4"/>
        <v>0</v>
      </c>
      <c r="AH31" s="796">
        <f t="shared" si="5"/>
        <v>0</v>
      </c>
      <c r="AI31" s="796">
        <f t="shared" si="6"/>
        <v>0</v>
      </c>
      <c r="AK31" s="67">
        <f>Calcs!$R$31</f>
        <v>0</v>
      </c>
      <c r="AL31" s="67">
        <f>Calcs!$R$32</f>
        <v>0</v>
      </c>
      <c r="AM31" s="67">
        <f>Calcs!$R$33</f>
        <v>0</v>
      </c>
      <c r="AN31" s="67">
        <f>Calcs!$R$34</f>
        <v>0</v>
      </c>
      <c r="AO31" s="13"/>
      <c r="AP31" s="13"/>
      <c r="AQ31" s="13"/>
      <c r="AR31" s="13"/>
      <c r="AS31" s="13"/>
      <c r="AT31" s="13"/>
    </row>
    <row r="32" spans="1:46" s="1" customFormat="1" ht="12" customHeight="1" x14ac:dyDescent="0.3">
      <c r="A32" s="1">
        <f t="shared" si="7"/>
        <v>305</v>
      </c>
      <c r="B32" s="485">
        <f>Infrastructure!D80</f>
        <v>335</v>
      </c>
      <c r="C32" s="310">
        <f>Calcs!$S$15</f>
        <v>0</v>
      </c>
      <c r="D32" s="313">
        <f>Calcs!$S$16</f>
        <v>0</v>
      </c>
      <c r="E32" s="308">
        <f>Calcs!$S$17</f>
        <v>0</v>
      </c>
      <c r="F32" s="313">
        <f>Calcs!$S$18</f>
        <v>0</v>
      </c>
      <c r="H32" s="310">
        <f>Calcs!$S$3</f>
        <v>0</v>
      </c>
      <c r="I32" s="313">
        <f>Calcs!$S$25</f>
        <v>0</v>
      </c>
      <c r="K32" s="310">
        <f>-Calcs!$S$4</f>
        <v>0</v>
      </c>
      <c r="L32" s="308">
        <f>-Calcs!$S$6</f>
        <v>0</v>
      </c>
      <c r="M32" s="308">
        <f>-Calcs!$S$7</f>
        <v>0</v>
      </c>
      <c r="N32" s="313">
        <f>-Calcs!$S$9</f>
        <v>0</v>
      </c>
      <c r="O32" s="331">
        <f>Calcs!$S$14</f>
        <v>0</v>
      </c>
      <c r="P32" s="313">
        <v>0</v>
      </c>
      <c r="R32" s="310">
        <f>Calcs!$S$5</f>
        <v>0</v>
      </c>
      <c r="S32" s="308">
        <f>Calcs!$S$8</f>
        <v>0</v>
      </c>
      <c r="T32" s="313">
        <f>Calcs!$S$12</f>
        <v>0</v>
      </c>
      <c r="V32" s="310">
        <f>Calcs!$S$35</f>
        <v>0</v>
      </c>
      <c r="W32" s="308">
        <f>Calcs!D226</f>
        <v>0</v>
      </c>
      <c r="X32" s="332">
        <f>Calcs!$S$30</f>
        <v>0</v>
      </c>
      <c r="Y32" s="333">
        <f>Calcs!$S$29</f>
        <v>0</v>
      </c>
      <c r="Z32" s="334"/>
      <c r="AB32" s="493">
        <f t="shared" si="0"/>
        <v>335</v>
      </c>
      <c r="AC32" s="796">
        <f t="shared" si="1"/>
        <v>0</v>
      </c>
      <c r="AD32" s="796">
        <f t="shared" si="2"/>
        <v>0</v>
      </c>
      <c r="AE32" s="796">
        <f t="shared" si="3"/>
        <v>0</v>
      </c>
      <c r="AF32" s="797"/>
      <c r="AG32" s="796">
        <f t="shared" si="4"/>
        <v>0</v>
      </c>
      <c r="AH32" s="796">
        <f t="shared" si="5"/>
        <v>0</v>
      </c>
      <c r="AI32" s="796">
        <f t="shared" si="6"/>
        <v>0</v>
      </c>
      <c r="AK32" s="67">
        <f>Calcs!$S$31</f>
        <v>0</v>
      </c>
      <c r="AL32" s="67">
        <f>Calcs!$S$32</f>
        <v>0</v>
      </c>
      <c r="AM32" s="67">
        <f>Calcs!$S$33</f>
        <v>0</v>
      </c>
      <c r="AN32" s="67">
        <f>Calcs!$S$34</f>
        <v>0</v>
      </c>
      <c r="AO32" s="13"/>
      <c r="AP32" s="13"/>
      <c r="AQ32" s="13"/>
      <c r="AR32" s="13"/>
      <c r="AS32" s="13"/>
      <c r="AT32" s="13"/>
    </row>
    <row r="33" spans="1:46" s="1" customFormat="1" ht="12" customHeight="1" thickBot="1" x14ac:dyDescent="0.35">
      <c r="A33" s="1">
        <f t="shared" si="7"/>
        <v>335</v>
      </c>
      <c r="B33" s="485">
        <f>Infrastructure!D81</f>
        <v>366</v>
      </c>
      <c r="C33" s="311">
        <f>Calcs!$T$15</f>
        <v>0</v>
      </c>
      <c r="D33" s="314">
        <f>Calcs!$T$16</f>
        <v>0</v>
      </c>
      <c r="E33" s="309">
        <f>Calcs!$T$17</f>
        <v>0</v>
      </c>
      <c r="F33" s="314">
        <f>Calcs!$T$18</f>
        <v>0</v>
      </c>
      <c r="H33" s="311">
        <f>Calcs!$T$3</f>
        <v>0</v>
      </c>
      <c r="I33" s="314">
        <f>Calcs!$T$25</f>
        <v>0</v>
      </c>
      <c r="K33" s="311">
        <f>-Calcs!$T$4</f>
        <v>0</v>
      </c>
      <c r="L33" s="309">
        <f>-Calcs!$T$6</f>
        <v>0</v>
      </c>
      <c r="M33" s="309">
        <f>-Calcs!$T$7</f>
        <v>0</v>
      </c>
      <c r="N33" s="314">
        <f>-Calcs!$T$9</f>
        <v>0</v>
      </c>
      <c r="O33" s="335">
        <f>Calcs!$T$14</f>
        <v>0</v>
      </c>
      <c r="P33" s="314">
        <v>0</v>
      </c>
      <c r="R33" s="311">
        <f>Calcs!$T$5</f>
        <v>0</v>
      </c>
      <c r="S33" s="309">
        <f>Calcs!$T$8</f>
        <v>0</v>
      </c>
      <c r="T33" s="314">
        <f>Calcs!$T$12</f>
        <v>0</v>
      </c>
      <c r="V33" s="311">
        <f>Calcs!$T$35</f>
        <v>0</v>
      </c>
      <c r="W33" s="309">
        <f>Calcs!D227</f>
        <v>0</v>
      </c>
      <c r="X33" s="336">
        <f>Calcs!$T$30</f>
        <v>0</v>
      </c>
      <c r="Y33" s="337">
        <f>Calcs!$T$29</f>
        <v>0</v>
      </c>
      <c r="Z33" s="1274"/>
      <c r="AB33" s="795">
        <f t="shared" si="0"/>
        <v>366</v>
      </c>
      <c r="AC33" s="798">
        <f t="shared" si="1"/>
        <v>0</v>
      </c>
      <c r="AD33" s="798">
        <f t="shared" si="2"/>
        <v>0</v>
      </c>
      <c r="AE33" s="798">
        <f t="shared" si="3"/>
        <v>0</v>
      </c>
      <c r="AF33" s="797"/>
      <c r="AG33" s="796">
        <f t="shared" si="4"/>
        <v>0</v>
      </c>
      <c r="AH33" s="796">
        <f t="shared" si="5"/>
        <v>0</v>
      </c>
      <c r="AI33" s="796">
        <f t="shared" si="6"/>
        <v>0</v>
      </c>
      <c r="AK33" s="67">
        <f>Calcs!$T$31</f>
        <v>0</v>
      </c>
      <c r="AL33" s="67">
        <f>Calcs!$T$32</f>
        <v>0</v>
      </c>
      <c r="AM33" s="67">
        <f>Calcs!$T$33</f>
        <v>0</v>
      </c>
      <c r="AN33" s="67">
        <f>Calcs!$T$34</f>
        <v>0</v>
      </c>
      <c r="AO33" s="13"/>
      <c r="AP33" s="13"/>
      <c r="AQ33" s="13"/>
      <c r="AR33" s="13"/>
      <c r="AS33" s="13"/>
      <c r="AT33" s="13"/>
    </row>
    <row r="34" spans="1:46" s="1" customFormat="1" ht="12" customHeight="1" x14ac:dyDescent="0.3">
      <c r="A34" s="1">
        <f t="shared" si="7"/>
        <v>366</v>
      </c>
      <c r="B34" s="485">
        <f>Infrastructure!D82</f>
        <v>397</v>
      </c>
      <c r="C34" s="310">
        <f>Calcs!$U$15</f>
        <v>0</v>
      </c>
      <c r="D34" s="313">
        <f>Calcs!$U$16</f>
        <v>0</v>
      </c>
      <c r="E34" s="308">
        <f>Calcs!$U$17</f>
        <v>0</v>
      </c>
      <c r="F34" s="313">
        <f>Calcs!$U$18</f>
        <v>0</v>
      </c>
      <c r="H34" s="310">
        <f>Calcs!$U$3</f>
        <v>0</v>
      </c>
      <c r="I34" s="313">
        <f>Calcs!$U$25</f>
        <v>0</v>
      </c>
      <c r="K34" s="310">
        <f>-Calcs!$U$4</f>
        <v>0</v>
      </c>
      <c r="L34" s="308">
        <f>-Calcs!$U$6</f>
        <v>0</v>
      </c>
      <c r="M34" s="308">
        <f>-Calcs!$U$7</f>
        <v>0</v>
      </c>
      <c r="N34" s="313">
        <f>-Calcs!$U$9</f>
        <v>0</v>
      </c>
      <c r="O34" s="331">
        <f>Calcs!$U$14</f>
        <v>0</v>
      </c>
      <c r="P34" s="313">
        <v>0</v>
      </c>
      <c r="R34" s="310">
        <f>Calcs!$U$5</f>
        <v>0</v>
      </c>
      <c r="S34" s="325">
        <f>Calcs!$U$8</f>
        <v>0</v>
      </c>
      <c r="T34" s="313">
        <f>Calcs!$U$12</f>
        <v>0</v>
      </c>
      <c r="V34" s="310">
        <f>Calcs!$U$35</f>
        <v>0</v>
      </c>
      <c r="W34" s="308">
        <f>Calcs!D228</f>
        <v>0</v>
      </c>
      <c r="X34" s="332">
        <f>Calcs!$U$30</f>
        <v>0</v>
      </c>
      <c r="Y34" s="333">
        <f>Calcs!$U$29</f>
        <v>0</v>
      </c>
      <c r="Z34" s="334"/>
      <c r="AB34" s="493">
        <f t="shared" si="0"/>
        <v>397</v>
      </c>
      <c r="AC34" s="796">
        <f t="shared" si="1"/>
        <v>0</v>
      </c>
      <c r="AD34" s="796">
        <f t="shared" si="2"/>
        <v>0</v>
      </c>
      <c r="AE34" s="796">
        <f t="shared" si="3"/>
        <v>0</v>
      </c>
      <c r="AF34" s="797"/>
      <c r="AG34" s="796">
        <f t="shared" si="4"/>
        <v>0</v>
      </c>
      <c r="AH34" s="796">
        <f t="shared" si="5"/>
        <v>0</v>
      </c>
      <c r="AI34" s="796">
        <f t="shared" si="6"/>
        <v>0</v>
      </c>
      <c r="AK34" s="67">
        <f>Calcs!$U$31</f>
        <v>0</v>
      </c>
      <c r="AL34" s="67">
        <f>Calcs!$U$32</f>
        <v>0</v>
      </c>
      <c r="AM34" s="67">
        <f>Calcs!$U$33</f>
        <v>0</v>
      </c>
      <c r="AN34" s="67">
        <f>Calcs!$U$34</f>
        <v>0</v>
      </c>
      <c r="AO34" s="13"/>
      <c r="AP34" s="13"/>
      <c r="AQ34" s="13"/>
      <c r="AR34" s="13"/>
      <c r="AS34" s="13"/>
      <c r="AT34" s="13"/>
    </row>
    <row r="35" spans="1:46" s="1" customFormat="1" ht="12" customHeight="1" x14ac:dyDescent="0.3">
      <c r="A35" s="1">
        <f t="shared" si="7"/>
        <v>397</v>
      </c>
      <c r="B35" s="485">
        <f>Infrastructure!D83</f>
        <v>425</v>
      </c>
      <c r="C35" s="310">
        <f>Calcs!$V$15</f>
        <v>0</v>
      </c>
      <c r="D35" s="313">
        <f>Calcs!$V$16</f>
        <v>0</v>
      </c>
      <c r="E35" s="308">
        <f>Calcs!$V$17</f>
        <v>0</v>
      </c>
      <c r="F35" s="313">
        <f>Calcs!$V$18</f>
        <v>0</v>
      </c>
      <c r="H35" s="310">
        <f>Calcs!$V$3</f>
        <v>0</v>
      </c>
      <c r="I35" s="313">
        <f>Calcs!$V$25</f>
        <v>0</v>
      </c>
      <c r="K35" s="310">
        <f>-Calcs!$V$4</f>
        <v>0</v>
      </c>
      <c r="L35" s="308">
        <f>-Calcs!$V$6</f>
        <v>0</v>
      </c>
      <c r="M35" s="308">
        <f>-Calcs!$V$7</f>
        <v>0</v>
      </c>
      <c r="N35" s="313">
        <f>-Calcs!$V$9</f>
        <v>0</v>
      </c>
      <c r="O35" s="331">
        <f>Calcs!$V$14</f>
        <v>0</v>
      </c>
      <c r="P35" s="313">
        <v>0</v>
      </c>
      <c r="R35" s="310">
        <f>Calcs!$V$5</f>
        <v>0</v>
      </c>
      <c r="S35" s="308">
        <f>Calcs!$V$8</f>
        <v>0</v>
      </c>
      <c r="T35" s="313">
        <f>Calcs!$V$12</f>
        <v>0</v>
      </c>
      <c r="V35" s="310">
        <f>Calcs!$V$35</f>
        <v>0</v>
      </c>
      <c r="W35" s="308">
        <f>Calcs!D229</f>
        <v>0</v>
      </c>
      <c r="X35" s="332">
        <f>Calcs!$V$30</f>
        <v>0</v>
      </c>
      <c r="Y35" s="333">
        <f>Calcs!$V$29</f>
        <v>0</v>
      </c>
      <c r="Z35" s="334"/>
      <c r="AB35" s="493">
        <f t="shared" si="0"/>
        <v>425</v>
      </c>
      <c r="AC35" s="796">
        <f t="shared" si="1"/>
        <v>0</v>
      </c>
      <c r="AD35" s="796">
        <f t="shared" si="2"/>
        <v>0</v>
      </c>
      <c r="AE35" s="796">
        <f t="shared" si="3"/>
        <v>0</v>
      </c>
      <c r="AF35" s="797"/>
      <c r="AG35" s="796">
        <f t="shared" si="4"/>
        <v>0</v>
      </c>
      <c r="AH35" s="796">
        <f t="shared" si="5"/>
        <v>0</v>
      </c>
      <c r="AI35" s="796">
        <f t="shared" si="6"/>
        <v>0</v>
      </c>
      <c r="AK35" s="67">
        <f>Calcs!$V$31</f>
        <v>0</v>
      </c>
      <c r="AL35" s="67">
        <f>Calcs!$V$32</f>
        <v>0</v>
      </c>
      <c r="AM35" s="67">
        <f>Calcs!$V$33</f>
        <v>0</v>
      </c>
      <c r="AN35" s="67">
        <f>Calcs!$V$34</f>
        <v>0</v>
      </c>
      <c r="AO35" s="13"/>
      <c r="AP35" s="13"/>
      <c r="AQ35" s="13"/>
      <c r="AR35" s="13"/>
      <c r="AS35" s="13"/>
      <c r="AT35" s="13"/>
    </row>
    <row r="36" spans="1:46" s="1" customFormat="1" ht="12" customHeight="1" x14ac:dyDescent="0.3">
      <c r="A36" s="1">
        <f t="shared" si="7"/>
        <v>425</v>
      </c>
      <c r="B36" s="485">
        <f>Infrastructure!D84</f>
        <v>456</v>
      </c>
      <c r="C36" s="310">
        <f>Calcs!$W$15</f>
        <v>0</v>
      </c>
      <c r="D36" s="313">
        <f>Calcs!$W$16</f>
        <v>0</v>
      </c>
      <c r="E36" s="308">
        <f>Calcs!$W$17</f>
        <v>0</v>
      </c>
      <c r="F36" s="313">
        <f>Calcs!$W$18</f>
        <v>0</v>
      </c>
      <c r="H36" s="310">
        <f>Calcs!$W$3</f>
        <v>0</v>
      </c>
      <c r="I36" s="313">
        <f>Calcs!$W$25</f>
        <v>0</v>
      </c>
      <c r="K36" s="310">
        <f>-Calcs!$W$4</f>
        <v>0</v>
      </c>
      <c r="L36" s="308">
        <f>-Calcs!$W$6</f>
        <v>0</v>
      </c>
      <c r="M36" s="308">
        <f>-Calcs!$W$7</f>
        <v>0</v>
      </c>
      <c r="N36" s="313">
        <f>-Calcs!$W$9</f>
        <v>0</v>
      </c>
      <c r="O36" s="331">
        <f>Calcs!$W$14</f>
        <v>0</v>
      </c>
      <c r="P36" s="313">
        <v>0</v>
      </c>
      <c r="R36" s="310">
        <f>Calcs!$W$5</f>
        <v>0</v>
      </c>
      <c r="S36" s="308">
        <f>Calcs!$W$8</f>
        <v>0</v>
      </c>
      <c r="T36" s="313">
        <f>Calcs!$W$12</f>
        <v>0</v>
      </c>
      <c r="V36" s="310">
        <f>Calcs!$W$35</f>
        <v>0</v>
      </c>
      <c r="W36" s="308">
        <f>Calcs!D230</f>
        <v>0</v>
      </c>
      <c r="X36" s="332">
        <f>Calcs!$W$30</f>
        <v>0</v>
      </c>
      <c r="Y36" s="333">
        <f>Calcs!$W$29</f>
        <v>0</v>
      </c>
      <c r="Z36" s="334"/>
      <c r="AB36" s="493">
        <f t="shared" si="0"/>
        <v>456</v>
      </c>
      <c r="AC36" s="796">
        <f t="shared" si="1"/>
        <v>0</v>
      </c>
      <c r="AD36" s="796">
        <f t="shared" si="2"/>
        <v>0</v>
      </c>
      <c r="AE36" s="796">
        <f t="shared" si="3"/>
        <v>0</v>
      </c>
      <c r="AF36" s="797"/>
      <c r="AG36" s="796">
        <f t="shared" si="4"/>
        <v>0</v>
      </c>
      <c r="AH36" s="796">
        <f t="shared" si="5"/>
        <v>0</v>
      </c>
      <c r="AI36" s="796">
        <f t="shared" si="6"/>
        <v>0</v>
      </c>
      <c r="AK36" s="67">
        <f>Calcs!$W$31</f>
        <v>0</v>
      </c>
      <c r="AL36" s="67">
        <f>Calcs!$W$32</f>
        <v>0</v>
      </c>
      <c r="AM36" s="67">
        <f>Calcs!$W$33</f>
        <v>0</v>
      </c>
      <c r="AN36" s="67">
        <f>Calcs!$W$34</f>
        <v>0</v>
      </c>
      <c r="AO36" s="13"/>
      <c r="AP36" s="13"/>
      <c r="AQ36" s="13"/>
      <c r="AR36" s="13"/>
      <c r="AS36" s="13"/>
      <c r="AT36" s="13"/>
    </row>
    <row r="37" spans="1:46" s="1" customFormat="1" ht="12" customHeight="1" x14ac:dyDescent="0.3">
      <c r="A37" s="1">
        <f t="shared" si="7"/>
        <v>456</v>
      </c>
      <c r="B37" s="485">
        <f>Infrastructure!D85</f>
        <v>486</v>
      </c>
      <c r="C37" s="310">
        <f>Calcs!$X$15</f>
        <v>0</v>
      </c>
      <c r="D37" s="313">
        <f>Calcs!$X$16</f>
        <v>0</v>
      </c>
      <c r="E37" s="308">
        <f>Calcs!$X$17</f>
        <v>0</v>
      </c>
      <c r="F37" s="313">
        <f>Calcs!$X$18</f>
        <v>0</v>
      </c>
      <c r="H37" s="310">
        <f>Calcs!$X$3</f>
        <v>0</v>
      </c>
      <c r="I37" s="313">
        <f>Calcs!$X$25</f>
        <v>0</v>
      </c>
      <c r="K37" s="310">
        <f>-Calcs!$X$4</f>
        <v>0</v>
      </c>
      <c r="L37" s="308">
        <f>-Calcs!$X$6</f>
        <v>0</v>
      </c>
      <c r="M37" s="308">
        <f>-Calcs!$X$7</f>
        <v>0</v>
      </c>
      <c r="N37" s="313">
        <f>-Calcs!$X$9</f>
        <v>0</v>
      </c>
      <c r="O37" s="331">
        <f>Calcs!$X$14</f>
        <v>0</v>
      </c>
      <c r="P37" s="313">
        <v>0</v>
      </c>
      <c r="R37" s="310">
        <f>Calcs!$X$5</f>
        <v>0</v>
      </c>
      <c r="S37" s="308">
        <f>Calcs!$X$8</f>
        <v>0</v>
      </c>
      <c r="T37" s="313">
        <f>Calcs!$X$12</f>
        <v>0</v>
      </c>
      <c r="V37" s="310">
        <f>Calcs!$X$35</f>
        <v>0</v>
      </c>
      <c r="W37" s="308">
        <f>Calcs!D231</f>
        <v>0</v>
      </c>
      <c r="X37" s="332">
        <f>Calcs!$X$30</f>
        <v>0</v>
      </c>
      <c r="Y37" s="333">
        <f>Calcs!$X$29</f>
        <v>0</v>
      </c>
      <c r="Z37" s="334"/>
      <c r="AB37" s="493">
        <f t="shared" si="0"/>
        <v>486</v>
      </c>
      <c r="AC37" s="796">
        <f t="shared" si="1"/>
        <v>0</v>
      </c>
      <c r="AD37" s="796">
        <f t="shared" si="2"/>
        <v>0</v>
      </c>
      <c r="AE37" s="796">
        <f t="shared" si="3"/>
        <v>0</v>
      </c>
      <c r="AF37" s="797"/>
      <c r="AG37" s="796">
        <f t="shared" si="4"/>
        <v>0</v>
      </c>
      <c r="AH37" s="796">
        <f t="shared" si="5"/>
        <v>0</v>
      </c>
      <c r="AI37" s="796">
        <f t="shared" si="6"/>
        <v>0</v>
      </c>
      <c r="AK37" s="67">
        <f>Calcs!$X$31</f>
        <v>0</v>
      </c>
      <c r="AL37" s="67">
        <f>Calcs!$X$32</f>
        <v>0</v>
      </c>
      <c r="AM37" s="67">
        <f>Calcs!$X$33</f>
        <v>0</v>
      </c>
      <c r="AN37" s="67">
        <f>Calcs!$X$34</f>
        <v>0</v>
      </c>
      <c r="AO37" s="13"/>
      <c r="AP37" s="13"/>
      <c r="AQ37" s="13"/>
      <c r="AR37" s="13"/>
      <c r="AS37" s="13"/>
      <c r="AT37" s="13"/>
    </row>
    <row r="38" spans="1:46" s="1" customFormat="1" ht="12" customHeight="1" x14ac:dyDescent="0.3">
      <c r="A38" s="1">
        <f t="shared" si="7"/>
        <v>486</v>
      </c>
      <c r="B38" s="485">
        <f>Infrastructure!D86</f>
        <v>517</v>
      </c>
      <c r="C38" s="310">
        <f>Calcs!$Y$15</f>
        <v>0</v>
      </c>
      <c r="D38" s="313">
        <f>Calcs!$Y$16</f>
        <v>0</v>
      </c>
      <c r="E38" s="308">
        <f>Calcs!$Y$17</f>
        <v>0</v>
      </c>
      <c r="F38" s="313">
        <f>Calcs!$Y$18</f>
        <v>0</v>
      </c>
      <c r="H38" s="310">
        <f>Calcs!$Y$3</f>
        <v>0</v>
      </c>
      <c r="I38" s="313">
        <f>Calcs!$Y$25</f>
        <v>0</v>
      </c>
      <c r="K38" s="310">
        <f>-Calcs!$Y$4</f>
        <v>0</v>
      </c>
      <c r="L38" s="308">
        <f>-Calcs!$Y$6</f>
        <v>0</v>
      </c>
      <c r="M38" s="308">
        <f>-Calcs!$Y$7</f>
        <v>0</v>
      </c>
      <c r="N38" s="313">
        <f>-Calcs!$Y$9</f>
        <v>0</v>
      </c>
      <c r="O38" s="331">
        <f>Calcs!$Y$14</f>
        <v>0</v>
      </c>
      <c r="P38" s="313">
        <v>0</v>
      </c>
      <c r="R38" s="310">
        <f>Calcs!$Y$5</f>
        <v>0</v>
      </c>
      <c r="S38" s="308">
        <f>Calcs!$Y$8</f>
        <v>0</v>
      </c>
      <c r="T38" s="313">
        <f>Calcs!$Y$12</f>
        <v>0</v>
      </c>
      <c r="V38" s="310">
        <f>Calcs!$Y$35</f>
        <v>0</v>
      </c>
      <c r="W38" s="308">
        <f>Calcs!D232</f>
        <v>0</v>
      </c>
      <c r="X38" s="332">
        <f>Calcs!$Y$30</f>
        <v>0</v>
      </c>
      <c r="Y38" s="333">
        <f>Calcs!$Y$29</f>
        <v>0</v>
      </c>
      <c r="Z38" s="334"/>
      <c r="AB38" s="493">
        <f t="shared" si="0"/>
        <v>517</v>
      </c>
      <c r="AC38" s="796">
        <f t="shared" si="1"/>
        <v>0</v>
      </c>
      <c r="AD38" s="796">
        <f t="shared" si="2"/>
        <v>0</v>
      </c>
      <c r="AE38" s="796">
        <f t="shared" si="3"/>
        <v>0</v>
      </c>
      <c r="AF38" s="797"/>
      <c r="AG38" s="796">
        <f t="shared" si="4"/>
        <v>0</v>
      </c>
      <c r="AH38" s="796">
        <f t="shared" si="5"/>
        <v>0</v>
      </c>
      <c r="AI38" s="796">
        <f t="shared" si="6"/>
        <v>0</v>
      </c>
      <c r="AK38" s="67">
        <f>Calcs!$Y$31</f>
        <v>0</v>
      </c>
      <c r="AL38" s="67">
        <f>Calcs!$Y$32</f>
        <v>0</v>
      </c>
      <c r="AM38" s="67">
        <f>Calcs!$Y$33</f>
        <v>0</v>
      </c>
      <c r="AN38" s="67">
        <f>Calcs!$Y$34</f>
        <v>0</v>
      </c>
      <c r="AO38" s="13"/>
      <c r="AP38" s="13"/>
      <c r="AQ38" s="13"/>
      <c r="AR38" s="13"/>
      <c r="AS38" s="13"/>
      <c r="AT38" s="13"/>
    </row>
    <row r="39" spans="1:46" s="1" customFormat="1" ht="12" customHeight="1" x14ac:dyDescent="0.3">
      <c r="A39" s="1">
        <f t="shared" si="7"/>
        <v>517</v>
      </c>
      <c r="B39" s="485">
        <f>Infrastructure!D87</f>
        <v>547</v>
      </c>
      <c r="C39" s="310">
        <f>Calcs!$Z$15</f>
        <v>0</v>
      </c>
      <c r="D39" s="313">
        <f>Calcs!$Z$16</f>
        <v>0</v>
      </c>
      <c r="E39" s="308">
        <f>Calcs!$Z$17</f>
        <v>0</v>
      </c>
      <c r="F39" s="313">
        <f>Calcs!$Z$18</f>
        <v>0</v>
      </c>
      <c r="H39" s="310">
        <f>Calcs!$Z$3</f>
        <v>0</v>
      </c>
      <c r="I39" s="313">
        <f>Calcs!$Z$25</f>
        <v>0</v>
      </c>
      <c r="K39" s="310">
        <f>-Calcs!$Z$4</f>
        <v>0</v>
      </c>
      <c r="L39" s="308">
        <f>-Calcs!$Z$6</f>
        <v>0</v>
      </c>
      <c r="M39" s="308">
        <f>-Calcs!$Z$7</f>
        <v>0</v>
      </c>
      <c r="N39" s="313">
        <f>-Calcs!$Z$9</f>
        <v>0</v>
      </c>
      <c r="O39" s="331">
        <f>Calcs!$Z$14</f>
        <v>0</v>
      </c>
      <c r="P39" s="313">
        <v>0</v>
      </c>
      <c r="R39" s="310">
        <f>Calcs!$Z$5</f>
        <v>0</v>
      </c>
      <c r="S39" s="308">
        <f>Calcs!$Z$8</f>
        <v>0</v>
      </c>
      <c r="T39" s="313">
        <f>Calcs!$Z$12</f>
        <v>0</v>
      </c>
      <c r="V39" s="310">
        <f>Calcs!$Z$35</f>
        <v>0</v>
      </c>
      <c r="W39" s="308">
        <f>Calcs!D233</f>
        <v>0</v>
      </c>
      <c r="X39" s="332">
        <f>Calcs!$Z$30</f>
        <v>0</v>
      </c>
      <c r="Y39" s="333">
        <f>Calcs!$Z$29</f>
        <v>0</v>
      </c>
      <c r="Z39" s="334"/>
      <c r="AB39" s="493">
        <f t="shared" si="0"/>
        <v>547</v>
      </c>
      <c r="AC39" s="796">
        <f t="shared" si="1"/>
        <v>0</v>
      </c>
      <c r="AD39" s="796">
        <f t="shared" si="2"/>
        <v>0</v>
      </c>
      <c r="AE39" s="796">
        <f t="shared" si="3"/>
        <v>0</v>
      </c>
      <c r="AF39" s="797"/>
      <c r="AG39" s="796">
        <f t="shared" si="4"/>
        <v>0</v>
      </c>
      <c r="AH39" s="796">
        <f t="shared" si="5"/>
        <v>0</v>
      </c>
      <c r="AI39" s="796">
        <f t="shared" si="6"/>
        <v>0</v>
      </c>
      <c r="AK39" s="67">
        <f>Calcs!$Z$31</f>
        <v>0</v>
      </c>
      <c r="AL39" s="67">
        <f>Calcs!$Z$32</f>
        <v>0</v>
      </c>
      <c r="AM39" s="67">
        <f>Calcs!$Z$33</f>
        <v>0</v>
      </c>
      <c r="AN39" s="67">
        <f>Calcs!$Z$34</f>
        <v>0</v>
      </c>
      <c r="AO39" s="13"/>
      <c r="AP39" s="13"/>
      <c r="AQ39" s="13"/>
      <c r="AR39" s="13"/>
      <c r="AS39" s="13"/>
      <c r="AT39" s="13"/>
    </row>
    <row r="40" spans="1:46" s="1" customFormat="1" ht="12" customHeight="1" x14ac:dyDescent="0.3">
      <c r="A40" s="1">
        <f t="shared" si="7"/>
        <v>547</v>
      </c>
      <c r="B40" s="485">
        <f>Infrastructure!D88</f>
        <v>578</v>
      </c>
      <c r="C40" s="310">
        <f>Calcs!$AA$15</f>
        <v>0</v>
      </c>
      <c r="D40" s="313">
        <f>Calcs!$AA$16</f>
        <v>0</v>
      </c>
      <c r="E40" s="308">
        <f>Calcs!$AA$17</f>
        <v>0</v>
      </c>
      <c r="F40" s="313">
        <f>Calcs!$AA$18</f>
        <v>0</v>
      </c>
      <c r="H40" s="310">
        <f>Calcs!$AA$3</f>
        <v>0</v>
      </c>
      <c r="I40" s="313">
        <f>Calcs!$AA$25</f>
        <v>0</v>
      </c>
      <c r="K40" s="310">
        <f>-Calcs!$AA$4</f>
        <v>0</v>
      </c>
      <c r="L40" s="308">
        <f>-Calcs!$AA$6</f>
        <v>0</v>
      </c>
      <c r="M40" s="308">
        <f>-Calcs!$AA$7</f>
        <v>0</v>
      </c>
      <c r="N40" s="313">
        <f>-Calcs!$AA$9</f>
        <v>0</v>
      </c>
      <c r="O40" s="331">
        <f>Calcs!$AA$14</f>
        <v>0</v>
      </c>
      <c r="P40" s="313">
        <v>0</v>
      </c>
      <c r="R40" s="310">
        <f>Calcs!$AA$5</f>
        <v>0</v>
      </c>
      <c r="S40" s="308">
        <f>Calcs!$AA$8</f>
        <v>0</v>
      </c>
      <c r="T40" s="313">
        <f>Calcs!$AA$12</f>
        <v>0</v>
      </c>
      <c r="V40" s="310">
        <f>Calcs!$AA$35</f>
        <v>0</v>
      </c>
      <c r="W40" s="308">
        <f>Calcs!D234</f>
        <v>0</v>
      </c>
      <c r="X40" s="332">
        <f>Calcs!$AA$30</f>
        <v>0</v>
      </c>
      <c r="Y40" s="333">
        <f>Calcs!$AA$29</f>
        <v>0</v>
      </c>
      <c r="Z40" s="334"/>
      <c r="AB40" s="493">
        <f t="shared" si="0"/>
        <v>578</v>
      </c>
      <c r="AC40" s="796">
        <f t="shared" si="1"/>
        <v>0</v>
      </c>
      <c r="AD40" s="796">
        <f t="shared" si="2"/>
        <v>0</v>
      </c>
      <c r="AE40" s="796">
        <f t="shared" si="3"/>
        <v>0</v>
      </c>
      <c r="AF40" s="797"/>
      <c r="AG40" s="796">
        <f t="shared" si="4"/>
        <v>0</v>
      </c>
      <c r="AH40" s="796">
        <f t="shared" si="5"/>
        <v>0</v>
      </c>
      <c r="AI40" s="796">
        <f t="shared" si="6"/>
        <v>0</v>
      </c>
      <c r="AK40" s="67">
        <f>Calcs!$AA$31</f>
        <v>0</v>
      </c>
      <c r="AL40" s="67">
        <f>Calcs!$AA$32</f>
        <v>0</v>
      </c>
      <c r="AM40" s="67">
        <f>Calcs!$AA$33</f>
        <v>0</v>
      </c>
      <c r="AN40" s="67">
        <f>Calcs!$AA$34</f>
        <v>0</v>
      </c>
      <c r="AO40" s="13"/>
      <c r="AP40" s="13"/>
      <c r="AQ40" s="13"/>
      <c r="AR40" s="13"/>
      <c r="AS40" s="13"/>
      <c r="AT40" s="13"/>
    </row>
    <row r="41" spans="1:46" s="1" customFormat="1" ht="12" customHeight="1" x14ac:dyDescent="0.3">
      <c r="A41" s="1">
        <f t="shared" si="7"/>
        <v>578</v>
      </c>
      <c r="B41" s="485">
        <f>Infrastructure!D89</f>
        <v>609</v>
      </c>
      <c r="C41" s="310">
        <f>Calcs!$AB$15</f>
        <v>0</v>
      </c>
      <c r="D41" s="313">
        <f>Calcs!$AB$16</f>
        <v>0</v>
      </c>
      <c r="E41" s="308">
        <f>Calcs!$AB$17</f>
        <v>0</v>
      </c>
      <c r="F41" s="313">
        <f>Calcs!$AB$18</f>
        <v>0</v>
      </c>
      <c r="H41" s="310">
        <f>Calcs!$AB$3</f>
        <v>0</v>
      </c>
      <c r="I41" s="313">
        <f>Calcs!$AB$25</f>
        <v>0</v>
      </c>
      <c r="K41" s="310">
        <f>-Calcs!$AB$4</f>
        <v>0</v>
      </c>
      <c r="L41" s="308">
        <f>-Calcs!$AB$6</f>
        <v>0</v>
      </c>
      <c r="M41" s="308">
        <f>-Calcs!$AB$7</f>
        <v>0</v>
      </c>
      <c r="N41" s="313">
        <f>-Calcs!$AB$9</f>
        <v>0</v>
      </c>
      <c r="O41" s="331">
        <f>Calcs!$AB$14</f>
        <v>0</v>
      </c>
      <c r="P41" s="313">
        <v>0</v>
      </c>
      <c r="R41" s="310">
        <f>Calcs!$AB$5</f>
        <v>0</v>
      </c>
      <c r="S41" s="308">
        <f>Calcs!$AB$8</f>
        <v>0</v>
      </c>
      <c r="T41" s="313">
        <f>Calcs!$AB$12</f>
        <v>0</v>
      </c>
      <c r="V41" s="310">
        <f>Calcs!$AB$35</f>
        <v>0</v>
      </c>
      <c r="W41" s="308">
        <f>Calcs!D235</f>
        <v>0</v>
      </c>
      <c r="X41" s="332">
        <f>Calcs!$AB$30</f>
        <v>0</v>
      </c>
      <c r="Y41" s="333">
        <f>Calcs!$AB$29</f>
        <v>0</v>
      </c>
      <c r="Z41" s="334"/>
      <c r="AB41" s="493">
        <f t="shared" si="0"/>
        <v>609</v>
      </c>
      <c r="AC41" s="796">
        <f t="shared" si="1"/>
        <v>0</v>
      </c>
      <c r="AD41" s="796">
        <f t="shared" si="2"/>
        <v>0</v>
      </c>
      <c r="AE41" s="796">
        <f t="shared" si="3"/>
        <v>0</v>
      </c>
      <c r="AF41" s="797"/>
      <c r="AG41" s="796">
        <f t="shared" si="4"/>
        <v>0</v>
      </c>
      <c r="AH41" s="796">
        <f t="shared" si="5"/>
        <v>0</v>
      </c>
      <c r="AI41" s="796">
        <f t="shared" si="6"/>
        <v>0</v>
      </c>
      <c r="AK41" s="67">
        <f>Calcs!$AB$31</f>
        <v>0</v>
      </c>
      <c r="AL41" s="67">
        <f>Calcs!$AB$32</f>
        <v>0</v>
      </c>
      <c r="AM41" s="67">
        <f>Calcs!$AB$33</f>
        <v>0</v>
      </c>
      <c r="AN41" s="67">
        <f>Calcs!$AB$34</f>
        <v>0</v>
      </c>
      <c r="AO41" s="13"/>
      <c r="AP41" s="13"/>
      <c r="AQ41" s="13"/>
      <c r="AR41" s="13"/>
      <c r="AS41" s="13"/>
      <c r="AT41" s="13"/>
    </row>
    <row r="42" spans="1:46" s="1" customFormat="1" ht="12" customHeight="1" x14ac:dyDescent="0.3">
      <c r="A42" s="1">
        <f t="shared" si="7"/>
        <v>609</v>
      </c>
      <c r="B42" s="485">
        <f>Infrastructure!D90</f>
        <v>639</v>
      </c>
      <c r="C42" s="310">
        <f>Calcs!$AC$15</f>
        <v>0</v>
      </c>
      <c r="D42" s="313">
        <f>Calcs!$AC$16</f>
        <v>0</v>
      </c>
      <c r="E42" s="308">
        <f>Calcs!$AC$17</f>
        <v>0</v>
      </c>
      <c r="F42" s="313">
        <f>Calcs!$AC$18</f>
        <v>0</v>
      </c>
      <c r="H42" s="310">
        <f>Calcs!$AC$3</f>
        <v>0</v>
      </c>
      <c r="I42" s="313">
        <f>Calcs!$AC$25</f>
        <v>0</v>
      </c>
      <c r="K42" s="310">
        <f>-Calcs!$AC$4</f>
        <v>0</v>
      </c>
      <c r="L42" s="308">
        <f>-Calcs!$AC$6</f>
        <v>0</v>
      </c>
      <c r="M42" s="308">
        <f>-Calcs!$AC$7</f>
        <v>0</v>
      </c>
      <c r="N42" s="313">
        <f>-Calcs!$AC$9</f>
        <v>0</v>
      </c>
      <c r="O42" s="331">
        <f>Calcs!$AC$14</f>
        <v>0</v>
      </c>
      <c r="P42" s="313">
        <v>0</v>
      </c>
      <c r="R42" s="310">
        <f>Calcs!$AC$5</f>
        <v>0</v>
      </c>
      <c r="S42" s="308">
        <f>Calcs!$AC$8</f>
        <v>0</v>
      </c>
      <c r="T42" s="313">
        <f>Calcs!$AC$12</f>
        <v>0</v>
      </c>
      <c r="V42" s="310">
        <f>Calcs!$AC$35</f>
        <v>0</v>
      </c>
      <c r="W42" s="308">
        <f>Calcs!D236</f>
        <v>0</v>
      </c>
      <c r="X42" s="332">
        <f>Calcs!$AC$30</f>
        <v>0</v>
      </c>
      <c r="Y42" s="333">
        <f>Calcs!$AC$29</f>
        <v>0</v>
      </c>
      <c r="Z42" s="334"/>
      <c r="AB42" s="493">
        <f t="shared" si="0"/>
        <v>639</v>
      </c>
      <c r="AC42" s="796">
        <f t="shared" si="1"/>
        <v>0</v>
      </c>
      <c r="AD42" s="796">
        <f t="shared" si="2"/>
        <v>0</v>
      </c>
      <c r="AE42" s="796">
        <f t="shared" si="3"/>
        <v>0</v>
      </c>
      <c r="AF42" s="797"/>
      <c r="AG42" s="796">
        <f t="shared" si="4"/>
        <v>0</v>
      </c>
      <c r="AH42" s="796">
        <f t="shared" si="5"/>
        <v>0</v>
      </c>
      <c r="AI42" s="796">
        <f t="shared" si="6"/>
        <v>0</v>
      </c>
      <c r="AK42" s="67">
        <f>Calcs!$AC$31</f>
        <v>0</v>
      </c>
      <c r="AL42" s="67">
        <f>Calcs!$AC$32</f>
        <v>0</v>
      </c>
      <c r="AM42" s="67">
        <f>Calcs!$AC$33</f>
        <v>0</v>
      </c>
      <c r="AN42" s="67">
        <f>Calcs!$AC$34</f>
        <v>0</v>
      </c>
      <c r="AO42" s="13"/>
      <c r="AP42" s="13"/>
      <c r="AQ42" s="13"/>
      <c r="AR42" s="13"/>
      <c r="AS42" s="13"/>
      <c r="AT42" s="13"/>
    </row>
    <row r="43" spans="1:46" s="1" customFormat="1" ht="12" customHeight="1" x14ac:dyDescent="0.3">
      <c r="A43" s="1">
        <f t="shared" si="7"/>
        <v>639</v>
      </c>
      <c r="B43" s="485">
        <f>Infrastructure!D91</f>
        <v>670</v>
      </c>
      <c r="C43" s="310">
        <f>Calcs!$AD$15</f>
        <v>0</v>
      </c>
      <c r="D43" s="313">
        <f>Calcs!$AD$16</f>
        <v>0</v>
      </c>
      <c r="E43" s="308">
        <f>Calcs!$AD$17</f>
        <v>0</v>
      </c>
      <c r="F43" s="313">
        <f>Calcs!$AD$18</f>
        <v>0</v>
      </c>
      <c r="H43" s="310">
        <f>Calcs!$AD$3</f>
        <v>0</v>
      </c>
      <c r="I43" s="313">
        <f>Calcs!$AD$25</f>
        <v>0</v>
      </c>
      <c r="K43" s="310">
        <f>-Calcs!$AD$4</f>
        <v>0</v>
      </c>
      <c r="L43" s="308">
        <f>-Calcs!$AD$6</f>
        <v>0</v>
      </c>
      <c r="M43" s="308">
        <f>-Calcs!$AD$7</f>
        <v>0</v>
      </c>
      <c r="N43" s="313">
        <f>-Calcs!$AD$9</f>
        <v>0</v>
      </c>
      <c r="O43" s="331">
        <f>Calcs!$AD$14</f>
        <v>0</v>
      </c>
      <c r="P43" s="313">
        <v>0</v>
      </c>
      <c r="R43" s="310">
        <f>Calcs!$AD$5</f>
        <v>0</v>
      </c>
      <c r="S43" s="308">
        <f>Calcs!$AD$8</f>
        <v>0</v>
      </c>
      <c r="T43" s="313">
        <f>Calcs!$AD$12</f>
        <v>0</v>
      </c>
      <c r="V43" s="310">
        <f>Calcs!$AD$35</f>
        <v>0</v>
      </c>
      <c r="W43" s="308">
        <f>Calcs!D237</f>
        <v>0</v>
      </c>
      <c r="X43" s="332">
        <f>Calcs!$AD$30</f>
        <v>0</v>
      </c>
      <c r="Y43" s="333">
        <f>Calcs!$AD$29</f>
        <v>0</v>
      </c>
      <c r="Z43" s="334"/>
      <c r="AB43" s="493">
        <f t="shared" si="0"/>
        <v>670</v>
      </c>
      <c r="AC43" s="796">
        <f t="shared" si="1"/>
        <v>0</v>
      </c>
      <c r="AD43" s="796">
        <f t="shared" si="2"/>
        <v>0</v>
      </c>
      <c r="AE43" s="796">
        <f t="shared" si="3"/>
        <v>0</v>
      </c>
      <c r="AF43" s="797"/>
      <c r="AG43" s="796">
        <f t="shared" si="4"/>
        <v>0</v>
      </c>
      <c r="AH43" s="796">
        <f t="shared" si="5"/>
        <v>0</v>
      </c>
      <c r="AI43" s="796">
        <f t="shared" si="6"/>
        <v>0</v>
      </c>
      <c r="AK43" s="67">
        <f>Calcs!$AD$31</f>
        <v>0</v>
      </c>
      <c r="AL43" s="67">
        <f>Calcs!$AD$32</f>
        <v>0</v>
      </c>
      <c r="AM43" s="67">
        <f>Calcs!$AD$33</f>
        <v>0</v>
      </c>
      <c r="AN43" s="67">
        <f>Calcs!$AD$34</f>
        <v>0</v>
      </c>
      <c r="AO43" s="13"/>
      <c r="AP43" s="13"/>
      <c r="AQ43" s="13"/>
      <c r="AR43" s="13"/>
      <c r="AS43" s="13"/>
      <c r="AT43" s="13"/>
    </row>
    <row r="44" spans="1:46" s="1" customFormat="1" ht="12" customHeight="1" x14ac:dyDescent="0.3">
      <c r="A44" s="1">
        <f t="shared" si="7"/>
        <v>670</v>
      </c>
      <c r="B44" s="485">
        <f>Infrastructure!D92</f>
        <v>700</v>
      </c>
      <c r="C44" s="310">
        <f>Calcs!$AE$15</f>
        <v>0</v>
      </c>
      <c r="D44" s="313">
        <f>Calcs!$AE$16</f>
        <v>0</v>
      </c>
      <c r="E44" s="308">
        <f>Calcs!$AE$17</f>
        <v>0</v>
      </c>
      <c r="F44" s="313">
        <f>Calcs!$AE$18</f>
        <v>0</v>
      </c>
      <c r="H44" s="310">
        <f>Calcs!$AE$3</f>
        <v>0</v>
      </c>
      <c r="I44" s="313">
        <f>Calcs!$AE$25</f>
        <v>0</v>
      </c>
      <c r="K44" s="310">
        <f>-Calcs!$AE$4</f>
        <v>0</v>
      </c>
      <c r="L44" s="308">
        <f>-Calcs!$AE$6</f>
        <v>0</v>
      </c>
      <c r="M44" s="308">
        <f>-Calcs!$AE$7</f>
        <v>0</v>
      </c>
      <c r="N44" s="313">
        <f>-Calcs!$AE$9</f>
        <v>0</v>
      </c>
      <c r="O44" s="331">
        <f>Calcs!$AE$14</f>
        <v>0</v>
      </c>
      <c r="P44" s="313">
        <v>0</v>
      </c>
      <c r="R44" s="310">
        <f>Calcs!$AE$5</f>
        <v>0</v>
      </c>
      <c r="S44" s="308">
        <f>Calcs!$AE$8</f>
        <v>0</v>
      </c>
      <c r="T44" s="313">
        <f>Calcs!$AE$12</f>
        <v>0</v>
      </c>
      <c r="V44" s="310">
        <f>Calcs!$AE$35</f>
        <v>0</v>
      </c>
      <c r="W44" s="308">
        <f>Calcs!D238</f>
        <v>0</v>
      </c>
      <c r="X44" s="332">
        <f>Calcs!$AE$30</f>
        <v>0</v>
      </c>
      <c r="Y44" s="333">
        <f>Calcs!$AE$29</f>
        <v>0</v>
      </c>
      <c r="Z44" s="334"/>
      <c r="AB44" s="493">
        <f t="shared" si="0"/>
        <v>700</v>
      </c>
      <c r="AC44" s="796">
        <f t="shared" si="1"/>
        <v>0</v>
      </c>
      <c r="AD44" s="796">
        <f t="shared" si="2"/>
        <v>0</v>
      </c>
      <c r="AE44" s="796">
        <f t="shared" si="3"/>
        <v>0</v>
      </c>
      <c r="AF44" s="797"/>
      <c r="AG44" s="796">
        <f t="shared" si="4"/>
        <v>0</v>
      </c>
      <c r="AH44" s="796">
        <f t="shared" si="5"/>
        <v>0</v>
      </c>
      <c r="AI44" s="796">
        <f t="shared" si="6"/>
        <v>0</v>
      </c>
      <c r="AK44" s="67">
        <f>Calcs!$AE$31</f>
        <v>0</v>
      </c>
      <c r="AL44" s="67">
        <f>Calcs!$AE$32</f>
        <v>0</v>
      </c>
      <c r="AM44" s="67">
        <f>Calcs!$AE$33</f>
        <v>0</v>
      </c>
      <c r="AN44" s="67">
        <f>Calcs!$AE$34</f>
        <v>0</v>
      </c>
      <c r="AO44" s="13"/>
      <c r="AP44" s="13"/>
      <c r="AQ44" s="13"/>
      <c r="AR44" s="13"/>
      <c r="AS44" s="13"/>
      <c r="AT44" s="13"/>
    </row>
    <row r="45" spans="1:46" s="1" customFormat="1" ht="12" customHeight="1" thickBot="1" x14ac:dyDescent="0.35">
      <c r="A45" s="1">
        <f t="shared" si="7"/>
        <v>700</v>
      </c>
      <c r="B45" s="485">
        <f>Infrastructure!D93</f>
        <v>731</v>
      </c>
      <c r="C45" s="311">
        <f>Calcs!$AF$15</f>
        <v>0</v>
      </c>
      <c r="D45" s="314">
        <f>Calcs!$AF$16</f>
        <v>0</v>
      </c>
      <c r="E45" s="309">
        <f>Calcs!$AF$17</f>
        <v>0</v>
      </c>
      <c r="F45" s="314">
        <f>Calcs!$AF$18</f>
        <v>0</v>
      </c>
      <c r="H45" s="311">
        <f>Calcs!$AF$3</f>
        <v>0</v>
      </c>
      <c r="I45" s="314">
        <f>Calcs!$AF$25</f>
        <v>0</v>
      </c>
      <c r="K45" s="311">
        <f>-Calcs!$AF$4</f>
        <v>0</v>
      </c>
      <c r="L45" s="309">
        <f>-Calcs!$AF$6</f>
        <v>0</v>
      </c>
      <c r="M45" s="309">
        <f>-Calcs!$AF$7</f>
        <v>0</v>
      </c>
      <c r="N45" s="314">
        <f>-Calcs!$AF$9</f>
        <v>0</v>
      </c>
      <c r="O45" s="335">
        <f>Calcs!$AF$14</f>
        <v>0</v>
      </c>
      <c r="P45" s="314">
        <v>0</v>
      </c>
      <c r="R45" s="311">
        <f>Calcs!$AF$5</f>
        <v>0</v>
      </c>
      <c r="S45" s="309">
        <f>Calcs!$AF$8</f>
        <v>0</v>
      </c>
      <c r="T45" s="314">
        <f>Calcs!$AF$12</f>
        <v>0</v>
      </c>
      <c r="V45" s="311">
        <f>Calcs!$AF$35</f>
        <v>0</v>
      </c>
      <c r="W45" s="309">
        <f>Calcs!D239</f>
        <v>0</v>
      </c>
      <c r="X45" s="336">
        <f>Calcs!$AF$30</f>
        <v>0</v>
      </c>
      <c r="Y45" s="337">
        <f>Calcs!$AF$29</f>
        <v>0</v>
      </c>
      <c r="Z45" s="1274"/>
      <c r="AB45" s="795">
        <f t="shared" si="0"/>
        <v>731</v>
      </c>
      <c r="AC45" s="798">
        <f t="shared" si="1"/>
        <v>0</v>
      </c>
      <c r="AD45" s="798">
        <f t="shared" si="2"/>
        <v>0</v>
      </c>
      <c r="AE45" s="798">
        <f t="shared" si="3"/>
        <v>0</v>
      </c>
      <c r="AF45" s="797"/>
      <c r="AG45" s="796">
        <f t="shared" si="4"/>
        <v>0</v>
      </c>
      <c r="AH45" s="796">
        <f t="shared" si="5"/>
        <v>0</v>
      </c>
      <c r="AI45" s="796">
        <f t="shared" si="6"/>
        <v>0</v>
      </c>
      <c r="AK45" s="67">
        <f>Calcs!$AF$31</f>
        <v>0</v>
      </c>
      <c r="AL45" s="67">
        <f>Calcs!$AF$32</f>
        <v>0</v>
      </c>
      <c r="AM45" s="67">
        <f>Calcs!$AF$33</f>
        <v>0</v>
      </c>
      <c r="AN45" s="67">
        <f>Calcs!$AF$34</f>
        <v>0</v>
      </c>
      <c r="AO45" s="13"/>
      <c r="AP45" s="13"/>
      <c r="AQ45" s="13"/>
      <c r="AR45" s="13"/>
      <c r="AS45" s="13"/>
      <c r="AT45" s="13"/>
    </row>
    <row r="46" spans="1:46" s="1" customFormat="1" ht="12" customHeight="1" x14ac:dyDescent="0.3">
      <c r="A46" s="1">
        <f t="shared" si="7"/>
        <v>731</v>
      </c>
      <c r="B46" s="485">
        <f>Infrastructure!D94</f>
        <v>762</v>
      </c>
      <c r="C46" s="310">
        <f>Calcs!$AG$15</f>
        <v>0</v>
      </c>
      <c r="D46" s="313">
        <f>Calcs!$AG$16</f>
        <v>0</v>
      </c>
      <c r="E46" s="308">
        <f>Calcs!$AG$17</f>
        <v>0</v>
      </c>
      <c r="F46" s="313">
        <f>Calcs!$AG$18</f>
        <v>0</v>
      </c>
      <c r="H46" s="310">
        <f>Calcs!$AG$3</f>
        <v>0</v>
      </c>
      <c r="I46" s="313">
        <f>Calcs!$AG$25</f>
        <v>0</v>
      </c>
      <c r="K46" s="310">
        <f>-Calcs!$AG$4</f>
        <v>0</v>
      </c>
      <c r="L46" s="308">
        <f>-Calcs!$AG$6</f>
        <v>0</v>
      </c>
      <c r="M46" s="308">
        <f>-Calcs!$AG$7</f>
        <v>0</v>
      </c>
      <c r="N46" s="313">
        <f>-Calcs!$AG$9</f>
        <v>0</v>
      </c>
      <c r="O46" s="331">
        <f>Calcs!$AG$14</f>
        <v>0</v>
      </c>
      <c r="P46" s="313">
        <v>0</v>
      </c>
      <c r="R46" s="310">
        <f>Calcs!$AG$5</f>
        <v>0</v>
      </c>
      <c r="S46" s="308">
        <f>Calcs!$AG$8</f>
        <v>0</v>
      </c>
      <c r="T46" s="313">
        <f>Calcs!$AG$12</f>
        <v>0</v>
      </c>
      <c r="V46" s="310">
        <f>Calcs!$AG$35</f>
        <v>0</v>
      </c>
      <c r="W46" s="308">
        <f>Calcs!D240</f>
        <v>0</v>
      </c>
      <c r="X46" s="332">
        <f>Calcs!$AG$30</f>
        <v>0</v>
      </c>
      <c r="Y46" s="333">
        <f>Calcs!$AG$29</f>
        <v>0</v>
      </c>
      <c r="Z46" s="334"/>
      <c r="AB46" s="493">
        <f t="shared" si="0"/>
        <v>762</v>
      </c>
      <c r="AC46" s="796">
        <f t="shared" si="1"/>
        <v>0</v>
      </c>
      <c r="AD46" s="796">
        <f t="shared" si="2"/>
        <v>0</v>
      </c>
      <c r="AE46" s="796">
        <f t="shared" si="3"/>
        <v>0</v>
      </c>
      <c r="AF46" s="797"/>
      <c r="AG46" s="796">
        <f t="shared" si="4"/>
        <v>0</v>
      </c>
      <c r="AH46" s="796">
        <f t="shared" si="5"/>
        <v>0</v>
      </c>
      <c r="AI46" s="796">
        <f t="shared" si="6"/>
        <v>0</v>
      </c>
      <c r="AK46" s="67">
        <f>Calcs!$AG$31</f>
        <v>0</v>
      </c>
      <c r="AL46" s="67">
        <f>Calcs!$AG$32</f>
        <v>0</v>
      </c>
      <c r="AM46" s="67">
        <f>Calcs!$AG$33</f>
        <v>0</v>
      </c>
      <c r="AN46" s="67">
        <f>Calcs!$AG$34</f>
        <v>0</v>
      </c>
      <c r="AO46" s="13"/>
      <c r="AP46" s="13"/>
      <c r="AQ46" s="13"/>
      <c r="AR46" s="13"/>
      <c r="AS46" s="13"/>
      <c r="AT46" s="13"/>
    </row>
    <row r="47" spans="1:46" s="1" customFormat="1" ht="12" customHeight="1" x14ac:dyDescent="0.3">
      <c r="A47" s="1">
        <f t="shared" si="7"/>
        <v>762</v>
      </c>
      <c r="B47" s="485">
        <f>Infrastructure!D95</f>
        <v>790</v>
      </c>
      <c r="C47" s="310">
        <f>Calcs!$AH$15</f>
        <v>0</v>
      </c>
      <c r="D47" s="313">
        <f>Calcs!$AH$16</f>
        <v>0</v>
      </c>
      <c r="E47" s="308">
        <f>Calcs!$AH$17</f>
        <v>0</v>
      </c>
      <c r="F47" s="313">
        <f>Calcs!$AH$18</f>
        <v>0</v>
      </c>
      <c r="H47" s="310">
        <f>Calcs!$AH$3</f>
        <v>0</v>
      </c>
      <c r="I47" s="313">
        <f>Calcs!$AH$25</f>
        <v>0</v>
      </c>
      <c r="K47" s="310">
        <f>-Calcs!$AH$4</f>
        <v>0</v>
      </c>
      <c r="L47" s="308">
        <f>-Calcs!$AH$6</f>
        <v>0</v>
      </c>
      <c r="M47" s="308">
        <f>-Calcs!$AH$7</f>
        <v>0</v>
      </c>
      <c r="N47" s="313">
        <f>-Calcs!$AH$9</f>
        <v>0</v>
      </c>
      <c r="O47" s="331">
        <f>Calcs!$AH$14</f>
        <v>0</v>
      </c>
      <c r="P47" s="313">
        <v>0</v>
      </c>
      <c r="R47" s="310">
        <f>Calcs!$AH$5</f>
        <v>0</v>
      </c>
      <c r="S47" s="308">
        <f>Calcs!$AH$8</f>
        <v>0</v>
      </c>
      <c r="T47" s="313">
        <f>Calcs!$AH$12</f>
        <v>0</v>
      </c>
      <c r="V47" s="310">
        <f>Calcs!$AH$35</f>
        <v>0</v>
      </c>
      <c r="W47" s="308">
        <f>Calcs!D241</f>
        <v>0</v>
      </c>
      <c r="X47" s="332">
        <f>Calcs!$AH$30</f>
        <v>0</v>
      </c>
      <c r="Y47" s="333">
        <f>Calcs!$AH$29</f>
        <v>0</v>
      </c>
      <c r="Z47" s="334"/>
      <c r="AB47" s="493">
        <f t="shared" si="0"/>
        <v>790</v>
      </c>
      <c r="AC47" s="796">
        <f t="shared" si="1"/>
        <v>0</v>
      </c>
      <c r="AD47" s="796">
        <f t="shared" si="2"/>
        <v>0</v>
      </c>
      <c r="AE47" s="796">
        <f t="shared" si="3"/>
        <v>0</v>
      </c>
      <c r="AF47" s="797"/>
      <c r="AG47" s="796">
        <f t="shared" si="4"/>
        <v>0</v>
      </c>
      <c r="AH47" s="796">
        <f t="shared" si="5"/>
        <v>0</v>
      </c>
      <c r="AI47" s="796">
        <f t="shared" si="6"/>
        <v>0</v>
      </c>
      <c r="AK47" s="67">
        <f>Calcs!$AH$31</f>
        <v>0</v>
      </c>
      <c r="AL47" s="67">
        <f>Calcs!$AH$32</f>
        <v>0</v>
      </c>
      <c r="AM47" s="67">
        <f>Calcs!$AH$33</f>
        <v>0</v>
      </c>
      <c r="AN47" s="67">
        <f>Calcs!$AH$34</f>
        <v>0</v>
      </c>
      <c r="AO47" s="13"/>
      <c r="AP47" s="13"/>
      <c r="AQ47" s="13"/>
      <c r="AR47" s="13"/>
      <c r="AS47" s="13"/>
      <c r="AT47" s="13"/>
    </row>
    <row r="48" spans="1:46" s="1" customFormat="1" ht="12" customHeight="1" x14ac:dyDescent="0.3">
      <c r="A48" s="1">
        <f t="shared" si="7"/>
        <v>790</v>
      </c>
      <c r="B48" s="485">
        <f>Infrastructure!D96</f>
        <v>821</v>
      </c>
      <c r="C48" s="310">
        <f>Calcs!$AI$15</f>
        <v>0</v>
      </c>
      <c r="D48" s="313">
        <f>Calcs!$AI$16</f>
        <v>0</v>
      </c>
      <c r="E48" s="308">
        <f>Calcs!$AI$17</f>
        <v>0</v>
      </c>
      <c r="F48" s="313">
        <f>Calcs!$AI$18</f>
        <v>0</v>
      </c>
      <c r="H48" s="310">
        <f>Calcs!$AI$3</f>
        <v>0</v>
      </c>
      <c r="I48" s="313">
        <f>Calcs!$AI$25</f>
        <v>0</v>
      </c>
      <c r="K48" s="310">
        <f>-Calcs!$AI$4</f>
        <v>0</v>
      </c>
      <c r="L48" s="308">
        <f>-Calcs!$AI$6</f>
        <v>0</v>
      </c>
      <c r="M48" s="308">
        <f>-Calcs!$AI$7</f>
        <v>0</v>
      </c>
      <c r="N48" s="313">
        <f>-Calcs!$AI$9</f>
        <v>0</v>
      </c>
      <c r="O48" s="331">
        <f>Calcs!$AI$14</f>
        <v>0</v>
      </c>
      <c r="P48" s="313">
        <v>0</v>
      </c>
      <c r="R48" s="310">
        <f>Calcs!$AI$5</f>
        <v>0</v>
      </c>
      <c r="S48" s="308">
        <f>Calcs!$AI$8</f>
        <v>0</v>
      </c>
      <c r="T48" s="313">
        <f>Calcs!$AI$12</f>
        <v>0</v>
      </c>
      <c r="V48" s="310">
        <f>Calcs!$AI$35</f>
        <v>0</v>
      </c>
      <c r="W48" s="308">
        <f>Calcs!D242</f>
        <v>0</v>
      </c>
      <c r="X48" s="332">
        <f>Calcs!$AI$30</f>
        <v>0</v>
      </c>
      <c r="Y48" s="333">
        <f>Calcs!$AI$29</f>
        <v>0</v>
      </c>
      <c r="Z48" s="334"/>
      <c r="AB48" s="493">
        <f t="shared" si="0"/>
        <v>821</v>
      </c>
      <c r="AC48" s="796">
        <f t="shared" si="1"/>
        <v>0</v>
      </c>
      <c r="AD48" s="796">
        <f t="shared" si="2"/>
        <v>0</v>
      </c>
      <c r="AE48" s="796">
        <f t="shared" si="3"/>
        <v>0</v>
      </c>
      <c r="AF48" s="797"/>
      <c r="AG48" s="796">
        <f t="shared" si="4"/>
        <v>0</v>
      </c>
      <c r="AH48" s="796">
        <f t="shared" si="5"/>
        <v>0</v>
      </c>
      <c r="AI48" s="796">
        <f t="shared" si="6"/>
        <v>0</v>
      </c>
      <c r="AK48" s="67">
        <f>Calcs!$AI$31</f>
        <v>0</v>
      </c>
      <c r="AL48" s="67">
        <f>Calcs!$AI$32</f>
        <v>0</v>
      </c>
      <c r="AM48" s="67">
        <f>Calcs!$AI$33</f>
        <v>0</v>
      </c>
      <c r="AN48" s="67">
        <f>Calcs!$AI$34</f>
        <v>0</v>
      </c>
      <c r="AO48" s="13"/>
      <c r="AP48" s="13"/>
      <c r="AQ48" s="13"/>
      <c r="AR48" s="13"/>
      <c r="AS48" s="13"/>
      <c r="AT48" s="13"/>
    </row>
    <row r="49" spans="1:46" s="1" customFormat="1" ht="12" customHeight="1" x14ac:dyDescent="0.3">
      <c r="A49" s="1">
        <f t="shared" si="7"/>
        <v>821</v>
      </c>
      <c r="B49" s="485">
        <f>Infrastructure!D97</f>
        <v>851</v>
      </c>
      <c r="C49" s="310">
        <f>Calcs!$AJ$15</f>
        <v>0</v>
      </c>
      <c r="D49" s="313">
        <f>Calcs!$AJ$16</f>
        <v>0</v>
      </c>
      <c r="E49" s="308">
        <f>Calcs!$AJ$17</f>
        <v>0</v>
      </c>
      <c r="F49" s="313">
        <f>Calcs!$AJ$18</f>
        <v>0</v>
      </c>
      <c r="H49" s="310">
        <f>Calcs!$AJ$3</f>
        <v>0</v>
      </c>
      <c r="I49" s="313">
        <f>Calcs!$AJ$25</f>
        <v>0</v>
      </c>
      <c r="K49" s="310">
        <f>-Calcs!$AJ$4</f>
        <v>0</v>
      </c>
      <c r="L49" s="308">
        <f>-Calcs!$AJ$6</f>
        <v>0</v>
      </c>
      <c r="M49" s="308">
        <f>-Calcs!$AJ$7</f>
        <v>0</v>
      </c>
      <c r="N49" s="313">
        <f>-Calcs!$AJ$9</f>
        <v>0</v>
      </c>
      <c r="O49" s="331">
        <f>Calcs!$AJ$14</f>
        <v>0</v>
      </c>
      <c r="P49" s="313">
        <v>0</v>
      </c>
      <c r="R49" s="310">
        <f>Calcs!$AJ$5</f>
        <v>0</v>
      </c>
      <c r="S49" s="308">
        <f>Calcs!$AJ$8</f>
        <v>0</v>
      </c>
      <c r="T49" s="313">
        <f>Calcs!$AJ$12</f>
        <v>0</v>
      </c>
      <c r="V49" s="310">
        <f>Calcs!$AJ$35</f>
        <v>0</v>
      </c>
      <c r="W49" s="308">
        <f>Calcs!D243</f>
        <v>0</v>
      </c>
      <c r="X49" s="332">
        <f>Calcs!$AJ$30</f>
        <v>0</v>
      </c>
      <c r="Y49" s="333">
        <f>Calcs!$AJ$29</f>
        <v>0</v>
      </c>
      <c r="Z49" s="334"/>
      <c r="AB49" s="493">
        <f t="shared" si="0"/>
        <v>851</v>
      </c>
      <c r="AC49" s="796">
        <f t="shared" si="1"/>
        <v>0</v>
      </c>
      <c r="AD49" s="796">
        <f t="shared" si="2"/>
        <v>0</v>
      </c>
      <c r="AE49" s="796">
        <f t="shared" si="3"/>
        <v>0</v>
      </c>
      <c r="AF49" s="797"/>
      <c r="AG49" s="796">
        <f t="shared" si="4"/>
        <v>0</v>
      </c>
      <c r="AH49" s="796">
        <f t="shared" si="5"/>
        <v>0</v>
      </c>
      <c r="AI49" s="796">
        <f t="shared" si="6"/>
        <v>0</v>
      </c>
      <c r="AK49" s="67">
        <f>Calcs!$AJ$31</f>
        <v>0</v>
      </c>
      <c r="AL49" s="67">
        <f>Calcs!$AJ$32</f>
        <v>0</v>
      </c>
      <c r="AM49" s="67">
        <f>Calcs!$AJ$33</f>
        <v>0</v>
      </c>
      <c r="AN49" s="67">
        <f>Calcs!$AJ$34</f>
        <v>0</v>
      </c>
      <c r="AO49" s="13"/>
      <c r="AP49" s="13"/>
      <c r="AQ49" s="13"/>
      <c r="AR49" s="13"/>
      <c r="AS49" s="13"/>
      <c r="AT49" s="13"/>
    </row>
    <row r="50" spans="1:46" s="1" customFormat="1" ht="12" customHeight="1" x14ac:dyDescent="0.3">
      <c r="A50" s="1">
        <f t="shared" si="7"/>
        <v>851</v>
      </c>
      <c r="B50" s="485">
        <f>Infrastructure!D98</f>
        <v>882</v>
      </c>
      <c r="C50" s="310">
        <f>Calcs!$AK$15</f>
        <v>0</v>
      </c>
      <c r="D50" s="313">
        <f>Calcs!$AK$16</f>
        <v>0</v>
      </c>
      <c r="E50" s="308">
        <f>Calcs!$AK$17</f>
        <v>0</v>
      </c>
      <c r="F50" s="313">
        <f>Calcs!$AK$18</f>
        <v>0</v>
      </c>
      <c r="H50" s="310">
        <f>Calcs!$AK$3</f>
        <v>0</v>
      </c>
      <c r="I50" s="313">
        <f>Calcs!$AK$25</f>
        <v>0</v>
      </c>
      <c r="K50" s="310">
        <f>-Calcs!$AK$4</f>
        <v>0</v>
      </c>
      <c r="L50" s="308">
        <f>-Calcs!$AK$6</f>
        <v>0</v>
      </c>
      <c r="M50" s="308">
        <f>-Calcs!$AK$7</f>
        <v>0</v>
      </c>
      <c r="N50" s="313">
        <f>-Calcs!$AK$9</f>
        <v>0</v>
      </c>
      <c r="O50" s="331">
        <f>Calcs!$AK$14</f>
        <v>0</v>
      </c>
      <c r="P50" s="313">
        <v>0</v>
      </c>
      <c r="R50" s="310">
        <f>Calcs!$AK$5</f>
        <v>0</v>
      </c>
      <c r="S50" s="308">
        <f>Calcs!$AK$8</f>
        <v>0</v>
      </c>
      <c r="T50" s="313">
        <f>Calcs!$AK$12</f>
        <v>0</v>
      </c>
      <c r="V50" s="310">
        <f>Calcs!$AK$35</f>
        <v>0</v>
      </c>
      <c r="W50" s="308">
        <f>Calcs!D244</f>
        <v>0</v>
      </c>
      <c r="X50" s="332">
        <f>Calcs!$AK$30</f>
        <v>0</v>
      </c>
      <c r="Y50" s="333">
        <f>Calcs!$AK$29</f>
        <v>0</v>
      </c>
      <c r="Z50" s="334"/>
      <c r="AB50" s="493">
        <f t="shared" si="0"/>
        <v>882</v>
      </c>
      <c r="AC50" s="796">
        <f t="shared" si="1"/>
        <v>0</v>
      </c>
      <c r="AD50" s="796">
        <f t="shared" si="2"/>
        <v>0</v>
      </c>
      <c r="AE50" s="796">
        <f t="shared" si="3"/>
        <v>0</v>
      </c>
      <c r="AF50" s="797"/>
      <c r="AG50" s="796">
        <f t="shared" si="4"/>
        <v>0</v>
      </c>
      <c r="AH50" s="796">
        <f t="shared" si="5"/>
        <v>0</v>
      </c>
      <c r="AI50" s="796">
        <f t="shared" si="6"/>
        <v>0</v>
      </c>
      <c r="AK50" s="67">
        <f>Calcs!$AK$31</f>
        <v>0</v>
      </c>
      <c r="AL50" s="67">
        <f>Calcs!$AK$32</f>
        <v>0</v>
      </c>
      <c r="AM50" s="67">
        <f>Calcs!$AK$33</f>
        <v>0</v>
      </c>
      <c r="AN50" s="67">
        <f>Calcs!$AK$34</f>
        <v>0</v>
      </c>
      <c r="AO50" s="13"/>
      <c r="AP50" s="13"/>
      <c r="AQ50" s="13"/>
      <c r="AR50" s="13"/>
      <c r="AS50" s="13"/>
      <c r="AT50" s="13"/>
    </row>
    <row r="51" spans="1:46" s="1" customFormat="1" ht="12" customHeight="1" x14ac:dyDescent="0.3">
      <c r="A51" s="1">
        <f t="shared" si="7"/>
        <v>882</v>
      </c>
      <c r="B51" s="485">
        <f>Infrastructure!D99</f>
        <v>912</v>
      </c>
      <c r="C51" s="310">
        <f>Calcs!$AL$15</f>
        <v>0</v>
      </c>
      <c r="D51" s="313">
        <f>Calcs!$AL$16</f>
        <v>0</v>
      </c>
      <c r="E51" s="308">
        <f>Calcs!$AL$17</f>
        <v>0</v>
      </c>
      <c r="F51" s="313">
        <f>Calcs!$AL$18</f>
        <v>0</v>
      </c>
      <c r="H51" s="310">
        <f>Calcs!$AL$3</f>
        <v>0</v>
      </c>
      <c r="I51" s="313">
        <f>Calcs!$AL$25</f>
        <v>0</v>
      </c>
      <c r="K51" s="310">
        <f>-Calcs!$AL$4</f>
        <v>0</v>
      </c>
      <c r="L51" s="308">
        <f>-Calcs!$AL$6</f>
        <v>0</v>
      </c>
      <c r="M51" s="308">
        <f>-Calcs!$AL$7</f>
        <v>0</v>
      </c>
      <c r="N51" s="313">
        <f>-Calcs!$AL$9</f>
        <v>0</v>
      </c>
      <c r="O51" s="331">
        <f>Calcs!$AL$14</f>
        <v>0</v>
      </c>
      <c r="P51" s="313">
        <v>0</v>
      </c>
      <c r="R51" s="310">
        <f>Calcs!$AL$5</f>
        <v>0</v>
      </c>
      <c r="S51" s="308">
        <f>Calcs!$AL$8</f>
        <v>0</v>
      </c>
      <c r="T51" s="313">
        <f>Calcs!$AL$12</f>
        <v>0</v>
      </c>
      <c r="V51" s="310">
        <f>Calcs!$AL$35</f>
        <v>0</v>
      </c>
      <c r="W51" s="308">
        <f>Calcs!D245</f>
        <v>0</v>
      </c>
      <c r="X51" s="332">
        <f>Calcs!$AL$30</f>
        <v>0</v>
      </c>
      <c r="Y51" s="333">
        <f>Calcs!$AL$29</f>
        <v>0</v>
      </c>
      <c r="Z51" s="334"/>
      <c r="AB51" s="493">
        <f t="shared" si="0"/>
        <v>912</v>
      </c>
      <c r="AC51" s="796">
        <f t="shared" si="1"/>
        <v>0</v>
      </c>
      <c r="AD51" s="796">
        <f t="shared" si="2"/>
        <v>0</v>
      </c>
      <c r="AE51" s="796">
        <f t="shared" si="3"/>
        <v>0</v>
      </c>
      <c r="AF51" s="797"/>
      <c r="AG51" s="796">
        <f t="shared" si="4"/>
        <v>0</v>
      </c>
      <c r="AH51" s="796">
        <f t="shared" si="5"/>
        <v>0</v>
      </c>
      <c r="AI51" s="796">
        <f t="shared" si="6"/>
        <v>0</v>
      </c>
      <c r="AK51" s="67">
        <f>Calcs!$AL$31</f>
        <v>0</v>
      </c>
      <c r="AL51" s="67">
        <f>Calcs!$AL$32</f>
        <v>0</v>
      </c>
      <c r="AM51" s="67">
        <f>Calcs!$AL$33</f>
        <v>0</v>
      </c>
      <c r="AN51" s="67">
        <f>Calcs!$AL$34</f>
        <v>0</v>
      </c>
      <c r="AO51" s="13"/>
      <c r="AP51" s="13"/>
      <c r="AQ51" s="13"/>
      <c r="AR51" s="13"/>
      <c r="AS51" s="13"/>
      <c r="AT51" s="13"/>
    </row>
    <row r="52" spans="1:46" s="1" customFormat="1" ht="12" customHeight="1" x14ac:dyDescent="0.3">
      <c r="A52" s="1">
        <f t="shared" si="7"/>
        <v>912</v>
      </c>
      <c r="B52" s="485">
        <f>Infrastructure!D100</f>
        <v>943</v>
      </c>
      <c r="C52" s="310">
        <f>Calcs!$AM$15</f>
        <v>0</v>
      </c>
      <c r="D52" s="313">
        <f>Calcs!$AM$16</f>
        <v>0</v>
      </c>
      <c r="E52" s="308">
        <f>Calcs!$AM$17</f>
        <v>0</v>
      </c>
      <c r="F52" s="313">
        <f>Calcs!$AM$18</f>
        <v>0</v>
      </c>
      <c r="H52" s="310">
        <f>Calcs!$AM$3</f>
        <v>0</v>
      </c>
      <c r="I52" s="313">
        <f>Calcs!$AM$25</f>
        <v>0</v>
      </c>
      <c r="K52" s="310">
        <f>-Calcs!$AM$4</f>
        <v>0</v>
      </c>
      <c r="L52" s="308">
        <f>-Calcs!$AM$6</f>
        <v>0</v>
      </c>
      <c r="M52" s="308">
        <f>-Calcs!$AM$7</f>
        <v>0</v>
      </c>
      <c r="N52" s="313">
        <f>-Calcs!$AM$9</f>
        <v>0</v>
      </c>
      <c r="O52" s="331">
        <f>Calcs!$AM$14</f>
        <v>0</v>
      </c>
      <c r="P52" s="313">
        <v>0</v>
      </c>
      <c r="R52" s="310">
        <f>Calcs!$AM$5</f>
        <v>0</v>
      </c>
      <c r="S52" s="308">
        <f>Calcs!$AM$8</f>
        <v>0</v>
      </c>
      <c r="T52" s="313">
        <f>Calcs!$AM$12</f>
        <v>0</v>
      </c>
      <c r="V52" s="310">
        <f>Calcs!$AM$35</f>
        <v>0</v>
      </c>
      <c r="W52" s="308">
        <f>Calcs!D246</f>
        <v>0</v>
      </c>
      <c r="X52" s="332">
        <f>Calcs!$AM$30</f>
        <v>0</v>
      </c>
      <c r="Y52" s="333">
        <f>Calcs!$AM$29</f>
        <v>0</v>
      </c>
      <c r="Z52" s="334"/>
      <c r="AB52" s="493">
        <f t="shared" si="0"/>
        <v>943</v>
      </c>
      <c r="AC52" s="796">
        <f t="shared" si="1"/>
        <v>0</v>
      </c>
      <c r="AD52" s="796">
        <f t="shared" si="2"/>
        <v>0</v>
      </c>
      <c r="AE52" s="796">
        <f t="shared" si="3"/>
        <v>0</v>
      </c>
      <c r="AF52" s="797"/>
      <c r="AG52" s="796">
        <f t="shared" si="4"/>
        <v>0</v>
      </c>
      <c r="AH52" s="796">
        <f t="shared" si="5"/>
        <v>0</v>
      </c>
      <c r="AI52" s="796">
        <f t="shared" si="6"/>
        <v>0</v>
      </c>
      <c r="AK52" s="67">
        <f>Calcs!$AM$31</f>
        <v>0</v>
      </c>
      <c r="AL52" s="67">
        <f>Calcs!$AM$32</f>
        <v>0</v>
      </c>
      <c r="AM52" s="67">
        <f>Calcs!$AM$33</f>
        <v>0</v>
      </c>
      <c r="AN52" s="67">
        <f>Calcs!$AM$34</f>
        <v>0</v>
      </c>
      <c r="AO52" s="13"/>
      <c r="AP52" s="13"/>
      <c r="AQ52" s="13"/>
      <c r="AR52" s="13"/>
      <c r="AS52" s="13"/>
      <c r="AT52" s="13"/>
    </row>
    <row r="53" spans="1:46" s="1" customFormat="1" ht="12" customHeight="1" x14ac:dyDescent="0.3">
      <c r="A53" s="1">
        <f t="shared" si="7"/>
        <v>943</v>
      </c>
      <c r="B53" s="485">
        <f>Infrastructure!D101</f>
        <v>974</v>
      </c>
      <c r="C53" s="310">
        <f>Calcs!$AN$15</f>
        <v>0</v>
      </c>
      <c r="D53" s="313">
        <f>Calcs!$AN$16</f>
        <v>0</v>
      </c>
      <c r="E53" s="308">
        <f>Calcs!$AN$17</f>
        <v>0</v>
      </c>
      <c r="F53" s="313">
        <f>Calcs!$AN$18</f>
        <v>0</v>
      </c>
      <c r="H53" s="310">
        <f>Calcs!$AN$3</f>
        <v>0</v>
      </c>
      <c r="I53" s="313">
        <f>Calcs!$AN$25</f>
        <v>0</v>
      </c>
      <c r="K53" s="310">
        <f>-Calcs!$AN$4</f>
        <v>0</v>
      </c>
      <c r="L53" s="308">
        <f>-Calcs!$AN$6</f>
        <v>0</v>
      </c>
      <c r="M53" s="308">
        <f>-Calcs!$AN$7</f>
        <v>0</v>
      </c>
      <c r="N53" s="313">
        <f>-Calcs!$AN$9</f>
        <v>0</v>
      </c>
      <c r="O53" s="331">
        <f>Calcs!$AN$14</f>
        <v>0</v>
      </c>
      <c r="P53" s="313">
        <v>0</v>
      </c>
      <c r="R53" s="310">
        <f>Calcs!$AN$5</f>
        <v>0</v>
      </c>
      <c r="S53" s="308">
        <f>Calcs!$AN$8</f>
        <v>0</v>
      </c>
      <c r="T53" s="313">
        <f>Calcs!$AN$12</f>
        <v>0</v>
      </c>
      <c r="V53" s="310">
        <f>Calcs!$AN$35</f>
        <v>0</v>
      </c>
      <c r="W53" s="308">
        <f>Calcs!D247</f>
        <v>0</v>
      </c>
      <c r="X53" s="332">
        <f>Calcs!$AN$30</f>
        <v>0</v>
      </c>
      <c r="Y53" s="333">
        <f>Calcs!$AN$29</f>
        <v>0</v>
      </c>
      <c r="Z53" s="334"/>
      <c r="AB53" s="493">
        <f t="shared" si="0"/>
        <v>974</v>
      </c>
      <c r="AC53" s="796">
        <f t="shared" si="1"/>
        <v>0</v>
      </c>
      <c r="AD53" s="796">
        <f t="shared" si="2"/>
        <v>0</v>
      </c>
      <c r="AE53" s="796">
        <f t="shared" si="3"/>
        <v>0</v>
      </c>
      <c r="AF53" s="797"/>
      <c r="AG53" s="796">
        <f t="shared" si="4"/>
        <v>0</v>
      </c>
      <c r="AH53" s="796">
        <f t="shared" si="5"/>
        <v>0</v>
      </c>
      <c r="AI53" s="796">
        <f t="shared" si="6"/>
        <v>0</v>
      </c>
      <c r="AK53" s="67">
        <f>Calcs!$AN$31</f>
        <v>0</v>
      </c>
      <c r="AL53" s="67">
        <f>Calcs!$AN$32</f>
        <v>0</v>
      </c>
      <c r="AM53" s="67">
        <f>Calcs!$AN$33</f>
        <v>0</v>
      </c>
      <c r="AN53" s="67">
        <f>Calcs!$AN$34</f>
        <v>0</v>
      </c>
      <c r="AO53" s="13"/>
      <c r="AP53" s="13"/>
      <c r="AQ53" s="13"/>
      <c r="AR53" s="13"/>
      <c r="AS53" s="13"/>
      <c r="AT53" s="13"/>
    </row>
    <row r="54" spans="1:46" s="1" customFormat="1" ht="12" customHeight="1" x14ac:dyDescent="0.3">
      <c r="A54" s="1">
        <f t="shared" si="7"/>
        <v>974</v>
      </c>
      <c r="B54" s="485">
        <f>Infrastructure!D102</f>
        <v>1004</v>
      </c>
      <c r="C54" s="310">
        <f>Calcs!$AO$15</f>
        <v>0</v>
      </c>
      <c r="D54" s="313">
        <f>Calcs!$AO$16</f>
        <v>0</v>
      </c>
      <c r="E54" s="308">
        <f>Calcs!$AO$17</f>
        <v>0</v>
      </c>
      <c r="F54" s="313">
        <f>Calcs!$AO$18</f>
        <v>0</v>
      </c>
      <c r="H54" s="310">
        <f>Calcs!$AO$3</f>
        <v>0</v>
      </c>
      <c r="I54" s="313">
        <f>Calcs!$AO$25</f>
        <v>0</v>
      </c>
      <c r="K54" s="310">
        <f>-Calcs!$AO$4</f>
        <v>0</v>
      </c>
      <c r="L54" s="308">
        <f>-Calcs!$AO$6</f>
        <v>0</v>
      </c>
      <c r="M54" s="308">
        <f>-Calcs!$AO$7</f>
        <v>0</v>
      </c>
      <c r="N54" s="313">
        <f>-Calcs!$AO$9</f>
        <v>0</v>
      </c>
      <c r="O54" s="331">
        <f>Calcs!$AO$14</f>
        <v>0</v>
      </c>
      <c r="P54" s="313">
        <v>0</v>
      </c>
      <c r="R54" s="310">
        <f>Calcs!$AO$5</f>
        <v>0</v>
      </c>
      <c r="S54" s="308">
        <f>Calcs!$AO$8</f>
        <v>0</v>
      </c>
      <c r="T54" s="313">
        <f>Calcs!$AO$12</f>
        <v>0</v>
      </c>
      <c r="V54" s="310">
        <f>Calcs!$AO$35</f>
        <v>0</v>
      </c>
      <c r="W54" s="308">
        <f>Calcs!D248</f>
        <v>0</v>
      </c>
      <c r="X54" s="332">
        <f>Calcs!$AO$30</f>
        <v>0</v>
      </c>
      <c r="Y54" s="333">
        <f>Calcs!$AO$29</f>
        <v>0</v>
      </c>
      <c r="Z54" s="334"/>
      <c r="AB54" s="493">
        <f t="shared" si="0"/>
        <v>1004</v>
      </c>
      <c r="AC54" s="796">
        <f t="shared" si="1"/>
        <v>0</v>
      </c>
      <c r="AD54" s="796">
        <f t="shared" si="2"/>
        <v>0</v>
      </c>
      <c r="AE54" s="796">
        <f t="shared" si="3"/>
        <v>0</v>
      </c>
      <c r="AF54" s="797"/>
      <c r="AG54" s="796">
        <f t="shared" si="4"/>
        <v>0</v>
      </c>
      <c r="AH54" s="796">
        <f t="shared" si="5"/>
        <v>0</v>
      </c>
      <c r="AI54" s="796">
        <f t="shared" si="6"/>
        <v>0</v>
      </c>
      <c r="AK54" s="67">
        <f>Calcs!$AO$31</f>
        <v>0</v>
      </c>
      <c r="AL54" s="67">
        <f>Calcs!$AO$32</f>
        <v>0</v>
      </c>
      <c r="AM54" s="67">
        <f>Calcs!$AO$33</f>
        <v>0</v>
      </c>
      <c r="AN54" s="67">
        <f>Calcs!$AO$34</f>
        <v>0</v>
      </c>
      <c r="AO54" s="13"/>
      <c r="AP54" s="13"/>
      <c r="AQ54" s="13"/>
      <c r="AR54" s="13"/>
      <c r="AS54" s="13"/>
      <c r="AT54" s="13"/>
    </row>
    <row r="55" spans="1:46" s="1" customFormat="1" ht="12" customHeight="1" x14ac:dyDescent="0.3">
      <c r="A55" s="1">
        <f t="shared" si="7"/>
        <v>1004</v>
      </c>
      <c r="B55" s="485">
        <f>Infrastructure!D103</f>
        <v>1035</v>
      </c>
      <c r="C55" s="310">
        <f>Calcs!$AP$15</f>
        <v>0</v>
      </c>
      <c r="D55" s="313">
        <f>Calcs!$AP$16</f>
        <v>0</v>
      </c>
      <c r="E55" s="308">
        <f>Calcs!$AP$17</f>
        <v>0</v>
      </c>
      <c r="F55" s="313">
        <f>Calcs!$AP$18</f>
        <v>0</v>
      </c>
      <c r="H55" s="310">
        <f>Calcs!$AP$3</f>
        <v>0</v>
      </c>
      <c r="I55" s="313">
        <f>Calcs!$AP$25</f>
        <v>0</v>
      </c>
      <c r="K55" s="310">
        <f>-Calcs!$AP$4</f>
        <v>0</v>
      </c>
      <c r="L55" s="308">
        <f>-Calcs!$AP$6</f>
        <v>0</v>
      </c>
      <c r="M55" s="308">
        <f>-Calcs!$AP$7</f>
        <v>0</v>
      </c>
      <c r="N55" s="313">
        <f>-Calcs!$AP$9</f>
        <v>0</v>
      </c>
      <c r="O55" s="331">
        <f>Calcs!$AP$14</f>
        <v>0</v>
      </c>
      <c r="P55" s="313">
        <v>0</v>
      </c>
      <c r="R55" s="310">
        <f>Calcs!$AP$5</f>
        <v>0</v>
      </c>
      <c r="S55" s="308">
        <f>Calcs!$AP$8</f>
        <v>0</v>
      </c>
      <c r="T55" s="313">
        <f>Calcs!$AP$12</f>
        <v>0</v>
      </c>
      <c r="V55" s="310">
        <f>Calcs!$AP$35</f>
        <v>0</v>
      </c>
      <c r="W55" s="308">
        <f>Calcs!D249</f>
        <v>0</v>
      </c>
      <c r="X55" s="332">
        <f>Calcs!$AP$30</f>
        <v>0</v>
      </c>
      <c r="Y55" s="333">
        <f>Calcs!$AP$29</f>
        <v>0</v>
      </c>
      <c r="Z55" s="334"/>
      <c r="AB55" s="493">
        <f t="shared" si="0"/>
        <v>1035</v>
      </c>
      <c r="AC55" s="796">
        <f t="shared" si="1"/>
        <v>0</v>
      </c>
      <c r="AD55" s="796">
        <f t="shared" si="2"/>
        <v>0</v>
      </c>
      <c r="AE55" s="796">
        <f t="shared" si="3"/>
        <v>0</v>
      </c>
      <c r="AF55" s="797"/>
      <c r="AG55" s="796">
        <f t="shared" si="4"/>
        <v>0</v>
      </c>
      <c r="AH55" s="796">
        <f t="shared" si="5"/>
        <v>0</v>
      </c>
      <c r="AI55" s="796">
        <f t="shared" si="6"/>
        <v>0</v>
      </c>
      <c r="AK55" s="67">
        <f>Calcs!$AP$31</f>
        <v>0</v>
      </c>
      <c r="AL55" s="67">
        <f>Calcs!$AP$32</f>
        <v>0</v>
      </c>
      <c r="AM55" s="67">
        <f>Calcs!$AP$33</f>
        <v>0</v>
      </c>
      <c r="AN55" s="67">
        <f>Calcs!$AP$34</f>
        <v>0</v>
      </c>
      <c r="AO55" s="13"/>
      <c r="AP55" s="13"/>
      <c r="AQ55" s="13"/>
      <c r="AR55" s="13"/>
      <c r="AS55" s="13"/>
      <c r="AT55" s="13"/>
    </row>
    <row r="56" spans="1:46" s="1" customFormat="1" ht="12" customHeight="1" x14ac:dyDescent="0.3">
      <c r="A56" s="1">
        <f t="shared" ref="A56:A80" si="8">EOMONTH(A55,1)</f>
        <v>1035</v>
      </c>
      <c r="B56" s="485">
        <f>Infrastructure!D104</f>
        <v>1065</v>
      </c>
      <c r="C56" s="310">
        <f>Calcs!$AQ$15</f>
        <v>0</v>
      </c>
      <c r="D56" s="313">
        <f>Calcs!$AQ$16</f>
        <v>0</v>
      </c>
      <c r="E56" s="308">
        <f>Calcs!$AQ$17</f>
        <v>0</v>
      </c>
      <c r="F56" s="313">
        <f>Calcs!$AQ$18</f>
        <v>0</v>
      </c>
      <c r="H56" s="310">
        <f>Calcs!$AQ$3</f>
        <v>0</v>
      </c>
      <c r="I56" s="313">
        <f>Calcs!$AQ$25</f>
        <v>0</v>
      </c>
      <c r="K56" s="310">
        <f>-Calcs!$AQ$4</f>
        <v>0</v>
      </c>
      <c r="L56" s="308">
        <f>-Calcs!$AQ$6</f>
        <v>0</v>
      </c>
      <c r="M56" s="308">
        <f>-Calcs!$AQ$7</f>
        <v>0</v>
      </c>
      <c r="N56" s="313">
        <f>-Calcs!$AQ$9</f>
        <v>0</v>
      </c>
      <c r="O56" s="331">
        <f>Calcs!$AQ$14</f>
        <v>0</v>
      </c>
      <c r="P56" s="313">
        <v>0</v>
      </c>
      <c r="R56" s="310">
        <f>Calcs!$AQ$5</f>
        <v>0</v>
      </c>
      <c r="S56" s="308">
        <f>Calcs!$AQ$8</f>
        <v>0</v>
      </c>
      <c r="T56" s="313">
        <f>Calcs!$AQ$12</f>
        <v>0</v>
      </c>
      <c r="V56" s="310">
        <f>Calcs!$AQ$35</f>
        <v>0</v>
      </c>
      <c r="W56" s="308">
        <f>Calcs!D250</f>
        <v>0</v>
      </c>
      <c r="X56" s="332">
        <f>Calcs!$AQ$30</f>
        <v>0</v>
      </c>
      <c r="Y56" s="333">
        <f>Calcs!$AQ$29</f>
        <v>0</v>
      </c>
      <c r="Z56" s="334"/>
      <c r="AB56" s="493">
        <f t="shared" si="0"/>
        <v>1065</v>
      </c>
      <c r="AC56" s="796">
        <f t="shared" si="1"/>
        <v>0</v>
      </c>
      <c r="AD56" s="796">
        <f t="shared" si="2"/>
        <v>0</v>
      </c>
      <c r="AE56" s="796">
        <f t="shared" si="3"/>
        <v>0</v>
      </c>
      <c r="AF56" s="797"/>
      <c r="AG56" s="796">
        <f t="shared" si="4"/>
        <v>0</v>
      </c>
      <c r="AH56" s="796">
        <f t="shared" si="5"/>
        <v>0</v>
      </c>
      <c r="AI56" s="796">
        <f t="shared" si="6"/>
        <v>0</v>
      </c>
      <c r="AK56" s="67">
        <f>Calcs!$AQ$31</f>
        <v>0</v>
      </c>
      <c r="AL56" s="67">
        <f>Calcs!$AQ$32</f>
        <v>0</v>
      </c>
      <c r="AM56" s="67">
        <f>Calcs!$AQ$33</f>
        <v>0</v>
      </c>
      <c r="AN56" s="67">
        <f>Calcs!$AQ$34</f>
        <v>0</v>
      </c>
      <c r="AO56" s="13"/>
      <c r="AP56" s="13"/>
      <c r="AQ56" s="13"/>
      <c r="AR56" s="13"/>
      <c r="AS56" s="13"/>
      <c r="AT56" s="13"/>
    </row>
    <row r="57" spans="1:46" s="1" customFormat="1" ht="12" customHeight="1" thickBot="1" x14ac:dyDescent="0.35">
      <c r="A57" s="1">
        <f t="shared" si="8"/>
        <v>1065</v>
      </c>
      <c r="B57" s="485">
        <f>Infrastructure!D105</f>
        <v>1096</v>
      </c>
      <c r="C57" s="311">
        <f>Calcs!$AR$15</f>
        <v>0</v>
      </c>
      <c r="D57" s="314">
        <f>Calcs!$AR$16</f>
        <v>0</v>
      </c>
      <c r="E57" s="309">
        <f>Calcs!$AR$17</f>
        <v>0</v>
      </c>
      <c r="F57" s="314">
        <f>Calcs!$AR$18</f>
        <v>0</v>
      </c>
      <c r="H57" s="311">
        <f>Calcs!$AR$3</f>
        <v>0</v>
      </c>
      <c r="I57" s="314">
        <f>Calcs!$AR$25</f>
        <v>0</v>
      </c>
      <c r="K57" s="311">
        <f>-Calcs!$AR$4</f>
        <v>0</v>
      </c>
      <c r="L57" s="309">
        <f>-Calcs!$AR$6</f>
        <v>0</v>
      </c>
      <c r="M57" s="309">
        <f>-Calcs!$AR$7</f>
        <v>0</v>
      </c>
      <c r="N57" s="314">
        <f>-Calcs!$AR$9</f>
        <v>0</v>
      </c>
      <c r="O57" s="335">
        <f>Calcs!$AR$14</f>
        <v>0</v>
      </c>
      <c r="P57" s="314">
        <v>0</v>
      </c>
      <c r="R57" s="311">
        <f>Calcs!$AR$5</f>
        <v>0</v>
      </c>
      <c r="S57" s="309">
        <f>Calcs!$AR$8</f>
        <v>0</v>
      </c>
      <c r="T57" s="314">
        <f>Calcs!$AR$12</f>
        <v>0</v>
      </c>
      <c r="V57" s="311">
        <f>Calcs!$AR$35</f>
        <v>0</v>
      </c>
      <c r="W57" s="309">
        <f>Calcs!D251</f>
        <v>0</v>
      </c>
      <c r="X57" s="336">
        <f>Calcs!$AR$30</f>
        <v>0</v>
      </c>
      <c r="Y57" s="337">
        <f>Calcs!$AR$29</f>
        <v>0</v>
      </c>
      <c r="Z57" s="1274"/>
      <c r="AB57" s="795">
        <f t="shared" si="0"/>
        <v>1096</v>
      </c>
      <c r="AC57" s="798">
        <f t="shared" si="1"/>
        <v>0</v>
      </c>
      <c r="AD57" s="798">
        <f t="shared" si="2"/>
        <v>0</v>
      </c>
      <c r="AE57" s="798">
        <f t="shared" si="3"/>
        <v>0</v>
      </c>
      <c r="AF57" s="797"/>
      <c r="AG57" s="796">
        <f t="shared" si="4"/>
        <v>0</v>
      </c>
      <c r="AH57" s="796">
        <f t="shared" si="5"/>
        <v>0</v>
      </c>
      <c r="AI57" s="796">
        <f t="shared" si="6"/>
        <v>0</v>
      </c>
      <c r="AK57" s="67">
        <f>Calcs!$AR$31</f>
        <v>0</v>
      </c>
      <c r="AL57" s="67">
        <f>Calcs!$AR$32</f>
        <v>0</v>
      </c>
      <c r="AM57" s="67">
        <f>Calcs!$AR$33</f>
        <v>0</v>
      </c>
      <c r="AN57" s="67">
        <f>Calcs!$AR$34</f>
        <v>0</v>
      </c>
      <c r="AO57" s="13"/>
      <c r="AP57" s="13"/>
      <c r="AQ57" s="13"/>
      <c r="AR57" s="13"/>
      <c r="AS57" s="13"/>
      <c r="AT57" s="13"/>
    </row>
    <row r="58" spans="1:46" s="1" customFormat="1" ht="12" customHeight="1" x14ac:dyDescent="0.3">
      <c r="A58" s="1">
        <f t="shared" si="8"/>
        <v>1096</v>
      </c>
      <c r="B58" s="1245">
        <f>IF(Years="Five",Infrastructure!D106,"Totals")</f>
        <v>1127</v>
      </c>
      <c r="C58" s="310">
        <f>IF(Years="Five",Calcs!$AS$15,SUM(C22:C57))</f>
        <v>0</v>
      </c>
      <c r="D58" s="313">
        <f>Calcs!$AS$16</f>
        <v>0</v>
      </c>
      <c r="E58" s="308">
        <f>IF(Years="Five",Calcs!$AS$17,SUM(E22:E57))</f>
        <v>0</v>
      </c>
      <c r="F58" s="313">
        <f>IF(Years="Five",Calcs!$AS$18,SUM(F22:F57))</f>
        <v>0</v>
      </c>
      <c r="H58" s="310">
        <f>IF(Years="Five",Calcs!$AS$3,SUM(H22:H57))</f>
        <v>0</v>
      </c>
      <c r="I58" s="313">
        <f>IF(Years="Five",Calcs!$AS$25,SUM(I22:I57))</f>
        <v>0</v>
      </c>
      <c r="K58" s="310">
        <f>IF(Years="Five",-Calcs!$AS$4,SUM(K22:K57))</f>
        <v>0</v>
      </c>
      <c r="L58" s="308">
        <f>IF(Years="Five",-Calcs!$AS$6,SUM(L22:L57))</f>
        <v>0</v>
      </c>
      <c r="M58" s="308">
        <f>IF(Years="Five",-Calcs!$AS$7,SUM(M22:M57))</f>
        <v>0</v>
      </c>
      <c r="N58" s="313">
        <f>IF(Years="Five",-Calcs!$AS$9,SUM(N22:N57))</f>
        <v>0</v>
      </c>
      <c r="O58" s="331">
        <f>IF(Years="Five",Calcs!$AS$14,SUM(O22:O57))</f>
        <v>0</v>
      </c>
      <c r="P58" s="313">
        <v>0</v>
      </c>
      <c r="R58" s="310">
        <f>IF(Years="Five",Calcs!$AS$5,SUM(R22:R57))</f>
        <v>0</v>
      </c>
      <c r="S58" s="308">
        <f>IF(Years="Five",Calcs!$AS$8,SUM(S22:S57))</f>
        <v>0</v>
      </c>
      <c r="T58" s="313">
        <f>IF(Years="Five",Calcs!$AS$12,SUM(T22:T57))</f>
        <v>0</v>
      </c>
      <c r="V58" s="310">
        <f>Calcs!$AS$35</f>
        <v>0</v>
      </c>
      <c r="W58" s="308">
        <f>IF(Years="Five",Calcs!D252,"")</f>
        <v>0</v>
      </c>
      <c r="X58" s="332">
        <f>IF(Years="Five",Calcs!$AS$30,SUM(X22:X57))</f>
        <v>0</v>
      </c>
      <c r="Y58" s="333">
        <f>Calcs!$AS$29</f>
        <v>0</v>
      </c>
      <c r="Z58" s="334"/>
      <c r="AB58" s="493">
        <f>IF(Years="Five",B58,"")</f>
        <v>1127</v>
      </c>
      <c r="AC58" s="796">
        <f t="shared" si="1"/>
        <v>0</v>
      </c>
      <c r="AD58" s="796">
        <f t="shared" si="2"/>
        <v>0</v>
      </c>
      <c r="AE58" s="796">
        <f t="shared" si="3"/>
        <v>0</v>
      </c>
      <c r="AF58" s="797"/>
      <c r="AG58" s="796">
        <f t="shared" si="4"/>
        <v>0</v>
      </c>
      <c r="AH58" s="796">
        <f t="shared" si="5"/>
        <v>0</v>
      </c>
      <c r="AI58" s="796">
        <f t="shared" si="6"/>
        <v>0</v>
      </c>
      <c r="AK58" s="67">
        <f>Calcs!$AS$31</f>
        <v>0</v>
      </c>
      <c r="AL58" s="67">
        <f>Calcs!$AS$32</f>
        <v>0</v>
      </c>
      <c r="AM58" s="67">
        <f>Calcs!$AS$33</f>
        <v>0</v>
      </c>
      <c r="AN58" s="67">
        <f>Calcs!$AS$34</f>
        <v>0</v>
      </c>
      <c r="AO58" s="13"/>
      <c r="AP58" s="13"/>
      <c r="AQ58" s="13"/>
      <c r="AR58" s="13"/>
      <c r="AS58" s="13"/>
      <c r="AT58" s="13"/>
    </row>
    <row r="59" spans="1:46" s="1" customFormat="1" ht="12" customHeight="1" x14ac:dyDescent="0.3">
      <c r="A59" s="1">
        <f t="shared" si="8"/>
        <v>1127</v>
      </c>
      <c r="B59" s="485">
        <f>Infrastructure!D107</f>
        <v>1155</v>
      </c>
      <c r="C59" s="310">
        <f>Calcs!$AT$15</f>
        <v>0</v>
      </c>
      <c r="D59" s="313">
        <f>Calcs!$AT$16</f>
        <v>0</v>
      </c>
      <c r="E59" s="308">
        <f>Calcs!$AT$17</f>
        <v>0</v>
      </c>
      <c r="F59" s="313">
        <f>Calcs!$AT$18</f>
        <v>0</v>
      </c>
      <c r="H59" s="310">
        <f>Calcs!$AT$3</f>
        <v>0</v>
      </c>
      <c r="I59" s="313">
        <f>Calcs!$AT$25</f>
        <v>0</v>
      </c>
      <c r="K59" s="310">
        <f>-Calcs!$AT$4</f>
        <v>0</v>
      </c>
      <c r="L59" s="308">
        <f>-Calcs!$AT$6</f>
        <v>0</v>
      </c>
      <c r="M59" s="308">
        <f>-Calcs!$AT$7</f>
        <v>0</v>
      </c>
      <c r="N59" s="313">
        <f>-Calcs!$AT$9</f>
        <v>0</v>
      </c>
      <c r="O59" s="331">
        <f>Calcs!$AT$14</f>
        <v>0</v>
      </c>
      <c r="P59" s="313">
        <v>0</v>
      </c>
      <c r="R59" s="310">
        <f>Calcs!$AT$5</f>
        <v>0</v>
      </c>
      <c r="S59" s="308">
        <f>Calcs!$AT$8</f>
        <v>0</v>
      </c>
      <c r="T59" s="313">
        <f>Calcs!$AT$12</f>
        <v>0</v>
      </c>
      <c r="V59" s="310">
        <f>Calcs!$AT$35</f>
        <v>0</v>
      </c>
      <c r="W59" s="308">
        <f>Calcs!D253</f>
        <v>0</v>
      </c>
      <c r="X59" s="332">
        <f>Calcs!$AT$30</f>
        <v>0</v>
      </c>
      <c r="Y59" s="333">
        <f>Calcs!$AT$29</f>
        <v>0</v>
      </c>
      <c r="Z59" s="334"/>
      <c r="AB59" s="493">
        <f t="shared" si="0"/>
        <v>1155</v>
      </c>
      <c r="AC59" s="796">
        <f t="shared" si="1"/>
        <v>0</v>
      </c>
      <c r="AD59" s="796">
        <f t="shared" si="2"/>
        <v>0</v>
      </c>
      <c r="AE59" s="796">
        <f t="shared" si="3"/>
        <v>0</v>
      </c>
      <c r="AF59" s="797"/>
      <c r="AG59" s="796">
        <f t="shared" si="4"/>
        <v>0</v>
      </c>
      <c r="AH59" s="796">
        <f t="shared" si="5"/>
        <v>0</v>
      </c>
      <c r="AI59" s="796">
        <f t="shared" si="6"/>
        <v>0</v>
      </c>
      <c r="AK59" s="67">
        <f>Calcs!$AT$31</f>
        <v>0</v>
      </c>
      <c r="AL59" s="67">
        <f>Calcs!$AT$32</f>
        <v>0</v>
      </c>
      <c r="AM59" s="67">
        <f>Calcs!$AT$33</f>
        <v>0</v>
      </c>
      <c r="AN59" s="67">
        <f>Calcs!$AT$34</f>
        <v>0</v>
      </c>
      <c r="AO59" s="13"/>
      <c r="AP59" s="13"/>
      <c r="AQ59" s="13"/>
      <c r="AR59" s="13"/>
      <c r="AS59" s="13"/>
      <c r="AT59" s="13"/>
    </row>
    <row r="60" spans="1:46" s="1" customFormat="1" ht="12" customHeight="1" x14ac:dyDescent="0.3">
      <c r="A60" s="1">
        <f t="shared" si="8"/>
        <v>1155</v>
      </c>
      <c r="B60" s="485">
        <f>Infrastructure!D108</f>
        <v>1186</v>
      </c>
      <c r="C60" s="310">
        <f>Calcs!$AU$15</f>
        <v>0</v>
      </c>
      <c r="D60" s="313">
        <f>Calcs!$AU$16</f>
        <v>0</v>
      </c>
      <c r="E60" s="308">
        <f>Calcs!$AU$17</f>
        <v>0</v>
      </c>
      <c r="F60" s="313">
        <f>Calcs!$AU$18</f>
        <v>0</v>
      </c>
      <c r="H60" s="310">
        <f>Calcs!$AU$3</f>
        <v>0</v>
      </c>
      <c r="I60" s="313">
        <f>Calcs!$AU$25</f>
        <v>0</v>
      </c>
      <c r="K60" s="310">
        <f>-Calcs!$AU$4</f>
        <v>0</v>
      </c>
      <c r="L60" s="308">
        <f>-Calcs!$AU$6</f>
        <v>0</v>
      </c>
      <c r="M60" s="308">
        <f>-Calcs!$AU$7</f>
        <v>0</v>
      </c>
      <c r="N60" s="313">
        <f>-Calcs!$AU$9</f>
        <v>0</v>
      </c>
      <c r="O60" s="331">
        <f>Calcs!$AU$14</f>
        <v>0</v>
      </c>
      <c r="P60" s="313">
        <v>0</v>
      </c>
      <c r="R60" s="310">
        <f>Calcs!$AU$5</f>
        <v>0</v>
      </c>
      <c r="S60" s="308">
        <f>Calcs!$AU$8</f>
        <v>0</v>
      </c>
      <c r="T60" s="313">
        <f>Calcs!$AU$12</f>
        <v>0</v>
      </c>
      <c r="V60" s="310">
        <f>Calcs!$AU$35</f>
        <v>0</v>
      </c>
      <c r="W60" s="308">
        <f>Calcs!D254</f>
        <v>0</v>
      </c>
      <c r="X60" s="332">
        <f>Calcs!$AU$30</f>
        <v>0</v>
      </c>
      <c r="Y60" s="333">
        <f>Calcs!$AU$29</f>
        <v>0</v>
      </c>
      <c r="Z60" s="334"/>
      <c r="AB60" s="493">
        <f t="shared" si="0"/>
        <v>1186</v>
      </c>
      <c r="AC60" s="796">
        <f t="shared" si="1"/>
        <v>0</v>
      </c>
      <c r="AD60" s="796">
        <f t="shared" si="2"/>
        <v>0</v>
      </c>
      <c r="AE60" s="796">
        <f t="shared" si="3"/>
        <v>0</v>
      </c>
      <c r="AF60" s="797"/>
      <c r="AG60" s="796">
        <f t="shared" si="4"/>
        <v>0</v>
      </c>
      <c r="AH60" s="796">
        <f t="shared" si="5"/>
        <v>0</v>
      </c>
      <c r="AI60" s="796">
        <f t="shared" si="6"/>
        <v>0</v>
      </c>
      <c r="AK60" s="67">
        <f>Calcs!$AU$31</f>
        <v>0</v>
      </c>
      <c r="AL60" s="67">
        <f>Calcs!$AU$32</f>
        <v>0</v>
      </c>
      <c r="AM60" s="67">
        <f>Calcs!$AU$33</f>
        <v>0</v>
      </c>
      <c r="AN60" s="67">
        <f>Calcs!$AU$34</f>
        <v>0</v>
      </c>
      <c r="AO60" s="13"/>
      <c r="AP60" s="13"/>
      <c r="AQ60" s="13"/>
      <c r="AR60" s="13"/>
      <c r="AS60" s="13"/>
      <c r="AT60" s="13"/>
    </row>
    <row r="61" spans="1:46" s="1" customFormat="1" ht="12" customHeight="1" x14ac:dyDescent="0.3">
      <c r="A61" s="1">
        <f t="shared" si="8"/>
        <v>1186</v>
      </c>
      <c r="B61" s="485">
        <f>Infrastructure!D109</f>
        <v>1216</v>
      </c>
      <c r="C61" s="310">
        <f>Calcs!$AV$15</f>
        <v>0</v>
      </c>
      <c r="D61" s="313">
        <f>Calcs!$AV$16</f>
        <v>0</v>
      </c>
      <c r="E61" s="308">
        <f>Calcs!$AV$17</f>
        <v>0</v>
      </c>
      <c r="F61" s="313">
        <f>Calcs!$AV$18</f>
        <v>0</v>
      </c>
      <c r="H61" s="310">
        <f>Calcs!$AV$3</f>
        <v>0</v>
      </c>
      <c r="I61" s="313">
        <f>Calcs!$AV$25</f>
        <v>0</v>
      </c>
      <c r="K61" s="310">
        <f>-Calcs!$AV$4</f>
        <v>0</v>
      </c>
      <c r="L61" s="308">
        <f>-Calcs!$AV$6</f>
        <v>0</v>
      </c>
      <c r="M61" s="308">
        <f>-Calcs!$AV$7</f>
        <v>0</v>
      </c>
      <c r="N61" s="313">
        <f>-Calcs!$AV$9</f>
        <v>0</v>
      </c>
      <c r="O61" s="331">
        <f>Calcs!$AV$14</f>
        <v>0</v>
      </c>
      <c r="P61" s="313">
        <v>0</v>
      </c>
      <c r="R61" s="310">
        <f>Calcs!$AV$5</f>
        <v>0</v>
      </c>
      <c r="S61" s="308">
        <f>Calcs!$AV$8</f>
        <v>0</v>
      </c>
      <c r="T61" s="313">
        <f>Calcs!$AV$12</f>
        <v>0</v>
      </c>
      <c r="V61" s="310">
        <f>Calcs!$AV$35</f>
        <v>0</v>
      </c>
      <c r="W61" s="308">
        <f>Calcs!D255</f>
        <v>0</v>
      </c>
      <c r="X61" s="332">
        <f>Calcs!$AV$30</f>
        <v>0</v>
      </c>
      <c r="Y61" s="333">
        <f>Calcs!$AV$29</f>
        <v>0</v>
      </c>
      <c r="Z61" s="334"/>
      <c r="AB61" s="493">
        <f t="shared" si="0"/>
        <v>1216</v>
      </c>
      <c r="AC61" s="796">
        <f t="shared" si="1"/>
        <v>0</v>
      </c>
      <c r="AD61" s="796">
        <f t="shared" si="2"/>
        <v>0</v>
      </c>
      <c r="AE61" s="796">
        <f t="shared" si="3"/>
        <v>0</v>
      </c>
      <c r="AF61" s="797"/>
      <c r="AG61" s="796">
        <f t="shared" si="4"/>
        <v>0</v>
      </c>
      <c r="AH61" s="796">
        <f t="shared" si="5"/>
        <v>0</v>
      </c>
      <c r="AI61" s="796">
        <f t="shared" si="6"/>
        <v>0</v>
      </c>
      <c r="AK61" s="67">
        <f>Calcs!$AV$31</f>
        <v>0</v>
      </c>
      <c r="AL61" s="67">
        <f>Calcs!$AV$32</f>
        <v>0</v>
      </c>
      <c r="AM61" s="67">
        <f>Calcs!$AV$33</f>
        <v>0</v>
      </c>
      <c r="AN61" s="67">
        <f>Calcs!$AV$34</f>
        <v>0</v>
      </c>
      <c r="AO61" s="13"/>
      <c r="AP61" s="13"/>
      <c r="AQ61" s="13"/>
      <c r="AR61" s="13"/>
      <c r="AS61" s="13"/>
      <c r="AT61" s="13"/>
    </row>
    <row r="62" spans="1:46" s="1" customFormat="1" ht="12" customHeight="1" x14ac:dyDescent="0.3">
      <c r="A62" s="1">
        <f t="shared" si="8"/>
        <v>1216</v>
      </c>
      <c r="B62" s="485">
        <f>Infrastructure!D110</f>
        <v>1247</v>
      </c>
      <c r="C62" s="310">
        <f>Calcs!$AW$15</f>
        <v>0</v>
      </c>
      <c r="D62" s="313">
        <f>Calcs!$AW$16</f>
        <v>0</v>
      </c>
      <c r="E62" s="308">
        <f>Calcs!$AW$17</f>
        <v>0</v>
      </c>
      <c r="F62" s="313">
        <f>Calcs!$AW$18</f>
        <v>0</v>
      </c>
      <c r="H62" s="310">
        <f>Calcs!$AW$3</f>
        <v>0</v>
      </c>
      <c r="I62" s="313">
        <f>Calcs!$AW$25</f>
        <v>0</v>
      </c>
      <c r="K62" s="310">
        <f>-Calcs!$AW$4</f>
        <v>0</v>
      </c>
      <c r="L62" s="308">
        <f>-Calcs!$AW$6</f>
        <v>0</v>
      </c>
      <c r="M62" s="308">
        <f>-Calcs!$AW$7</f>
        <v>0</v>
      </c>
      <c r="N62" s="313">
        <f>-Calcs!$AW$9</f>
        <v>0</v>
      </c>
      <c r="O62" s="331">
        <f>Calcs!$AW$14</f>
        <v>0</v>
      </c>
      <c r="P62" s="313">
        <v>0</v>
      </c>
      <c r="R62" s="310">
        <f>Calcs!$AW$5</f>
        <v>0</v>
      </c>
      <c r="S62" s="308">
        <f>Calcs!$AW$8</f>
        <v>0</v>
      </c>
      <c r="T62" s="313">
        <f>Calcs!$AW$12</f>
        <v>0</v>
      </c>
      <c r="V62" s="310">
        <f>Calcs!$AW$35</f>
        <v>0</v>
      </c>
      <c r="W62" s="308">
        <f>Calcs!D256</f>
        <v>0</v>
      </c>
      <c r="X62" s="332">
        <f>Calcs!$AW$30</f>
        <v>0</v>
      </c>
      <c r="Y62" s="333">
        <f>Calcs!$AW$29</f>
        <v>0</v>
      </c>
      <c r="Z62" s="334"/>
      <c r="AB62" s="493">
        <f t="shared" si="0"/>
        <v>1247</v>
      </c>
      <c r="AC62" s="796">
        <f t="shared" si="1"/>
        <v>0</v>
      </c>
      <c r="AD62" s="796">
        <f t="shared" si="2"/>
        <v>0</v>
      </c>
      <c r="AE62" s="796">
        <f t="shared" si="3"/>
        <v>0</v>
      </c>
      <c r="AF62" s="797"/>
      <c r="AG62" s="796">
        <f t="shared" si="4"/>
        <v>0</v>
      </c>
      <c r="AH62" s="796">
        <f t="shared" si="5"/>
        <v>0</v>
      </c>
      <c r="AI62" s="796">
        <f t="shared" si="6"/>
        <v>0</v>
      </c>
      <c r="AK62" s="67">
        <f>Calcs!$AW$31</f>
        <v>0</v>
      </c>
      <c r="AL62" s="67">
        <f>Calcs!$AW$32</f>
        <v>0</v>
      </c>
      <c r="AM62" s="67">
        <f>Calcs!$AW$33</f>
        <v>0</v>
      </c>
      <c r="AN62" s="67">
        <f>Calcs!$AW$34</f>
        <v>0</v>
      </c>
      <c r="AO62" s="13"/>
      <c r="AP62" s="13"/>
      <c r="AQ62" s="13"/>
      <c r="AR62" s="13"/>
      <c r="AS62" s="13"/>
      <c r="AT62" s="13"/>
    </row>
    <row r="63" spans="1:46" s="1" customFormat="1" ht="12" customHeight="1" x14ac:dyDescent="0.3">
      <c r="A63" s="1">
        <f t="shared" si="8"/>
        <v>1247</v>
      </c>
      <c r="B63" s="485">
        <f>Infrastructure!D111</f>
        <v>1277</v>
      </c>
      <c r="C63" s="310">
        <f>Calcs!$AX$15</f>
        <v>0</v>
      </c>
      <c r="D63" s="313">
        <f>Calcs!$AX$16</f>
        <v>0</v>
      </c>
      <c r="E63" s="308">
        <f>Calcs!$AX$17</f>
        <v>0</v>
      </c>
      <c r="F63" s="313">
        <f>Calcs!$AX$18</f>
        <v>0</v>
      </c>
      <c r="H63" s="310">
        <f>Calcs!$AX$3</f>
        <v>0</v>
      </c>
      <c r="I63" s="313">
        <f>Calcs!$AX$25</f>
        <v>0</v>
      </c>
      <c r="K63" s="310">
        <f>-Calcs!$AX$4</f>
        <v>0</v>
      </c>
      <c r="L63" s="308">
        <f>-Calcs!$AX$6</f>
        <v>0</v>
      </c>
      <c r="M63" s="308">
        <f>-Calcs!$AX$7</f>
        <v>0</v>
      </c>
      <c r="N63" s="313">
        <f>-Calcs!$AX$9</f>
        <v>0</v>
      </c>
      <c r="O63" s="331">
        <f>Calcs!$AX$14</f>
        <v>0</v>
      </c>
      <c r="P63" s="313">
        <v>0</v>
      </c>
      <c r="R63" s="310">
        <f>Calcs!$AX$5</f>
        <v>0</v>
      </c>
      <c r="S63" s="308">
        <f>Calcs!$AX$8</f>
        <v>0</v>
      </c>
      <c r="T63" s="313">
        <f>Calcs!$AX$12</f>
        <v>0</v>
      </c>
      <c r="V63" s="310">
        <f>Calcs!$AX$35</f>
        <v>0</v>
      </c>
      <c r="W63" s="308">
        <f>Calcs!D257</f>
        <v>0</v>
      </c>
      <c r="X63" s="332">
        <f>Calcs!$AX$30</f>
        <v>0</v>
      </c>
      <c r="Y63" s="333">
        <f>Calcs!$AX$29</f>
        <v>0</v>
      </c>
      <c r="Z63" s="334"/>
      <c r="AB63" s="493">
        <f t="shared" si="0"/>
        <v>1277</v>
      </c>
      <c r="AC63" s="796">
        <f t="shared" si="1"/>
        <v>0</v>
      </c>
      <c r="AD63" s="796">
        <f t="shared" si="2"/>
        <v>0</v>
      </c>
      <c r="AE63" s="796">
        <f t="shared" si="3"/>
        <v>0</v>
      </c>
      <c r="AF63" s="797"/>
      <c r="AG63" s="796">
        <f t="shared" si="4"/>
        <v>0</v>
      </c>
      <c r="AH63" s="796">
        <f t="shared" si="5"/>
        <v>0</v>
      </c>
      <c r="AI63" s="796">
        <f t="shared" si="6"/>
        <v>0</v>
      </c>
      <c r="AK63" s="67">
        <f>Calcs!$AX$31</f>
        <v>0</v>
      </c>
      <c r="AL63" s="67">
        <f>Calcs!$AX$32</f>
        <v>0</v>
      </c>
      <c r="AM63" s="67">
        <f>Calcs!$AX$33</f>
        <v>0</v>
      </c>
      <c r="AN63" s="67">
        <f>Calcs!$AX$34</f>
        <v>0</v>
      </c>
      <c r="AO63" s="13"/>
      <c r="AP63" s="13"/>
      <c r="AQ63" s="13"/>
      <c r="AR63" s="13"/>
      <c r="AS63" s="13"/>
      <c r="AT63" s="13"/>
    </row>
    <row r="64" spans="1:46" s="1" customFormat="1" ht="12" customHeight="1" x14ac:dyDescent="0.3">
      <c r="A64" s="1">
        <f t="shared" si="8"/>
        <v>1277</v>
      </c>
      <c r="B64" s="485">
        <f>Infrastructure!D112</f>
        <v>1308</v>
      </c>
      <c r="C64" s="310">
        <f>Calcs!$AY$15</f>
        <v>0</v>
      </c>
      <c r="D64" s="313">
        <f>Calcs!$AY$16</f>
        <v>0</v>
      </c>
      <c r="E64" s="308">
        <f>Calcs!$AY$17</f>
        <v>0</v>
      </c>
      <c r="F64" s="313">
        <f>Calcs!$AY$18</f>
        <v>0</v>
      </c>
      <c r="H64" s="310">
        <f>Calcs!$AY$3</f>
        <v>0</v>
      </c>
      <c r="I64" s="313">
        <f>Calcs!$AY$25</f>
        <v>0</v>
      </c>
      <c r="K64" s="310">
        <f>-Calcs!$AY$4</f>
        <v>0</v>
      </c>
      <c r="L64" s="308">
        <f>-Calcs!$AY$6</f>
        <v>0</v>
      </c>
      <c r="M64" s="308">
        <f>-Calcs!$AY$7</f>
        <v>0</v>
      </c>
      <c r="N64" s="313">
        <f>-Calcs!$AY$9</f>
        <v>0</v>
      </c>
      <c r="O64" s="331">
        <f>Calcs!$AY$14</f>
        <v>0</v>
      </c>
      <c r="P64" s="313">
        <v>0</v>
      </c>
      <c r="R64" s="310">
        <f>Calcs!$AY$5</f>
        <v>0</v>
      </c>
      <c r="S64" s="308">
        <f>Calcs!$AY$8</f>
        <v>0</v>
      </c>
      <c r="T64" s="313">
        <f>Calcs!$AY$12</f>
        <v>0</v>
      </c>
      <c r="V64" s="310">
        <f>Calcs!$AY$35</f>
        <v>0</v>
      </c>
      <c r="W64" s="308">
        <f>Calcs!D258</f>
        <v>0</v>
      </c>
      <c r="X64" s="332">
        <f>Calcs!$AY$30</f>
        <v>0</v>
      </c>
      <c r="Y64" s="333">
        <f>Calcs!$AY$29</f>
        <v>0</v>
      </c>
      <c r="Z64" s="334"/>
      <c r="AB64" s="493">
        <f t="shared" si="0"/>
        <v>1308</v>
      </c>
      <c r="AC64" s="796">
        <f t="shared" si="1"/>
        <v>0</v>
      </c>
      <c r="AD64" s="796">
        <f t="shared" si="2"/>
        <v>0</v>
      </c>
      <c r="AE64" s="796">
        <f t="shared" si="3"/>
        <v>0</v>
      </c>
      <c r="AF64" s="797"/>
      <c r="AG64" s="796">
        <f t="shared" si="4"/>
        <v>0</v>
      </c>
      <c r="AH64" s="796">
        <f t="shared" si="5"/>
        <v>0</v>
      </c>
      <c r="AI64" s="796">
        <f t="shared" si="6"/>
        <v>0</v>
      </c>
      <c r="AK64" s="67">
        <f>Calcs!$AY$31</f>
        <v>0</v>
      </c>
      <c r="AL64" s="67">
        <f>Calcs!$AY$32</f>
        <v>0</v>
      </c>
      <c r="AM64" s="67">
        <f>Calcs!$AY$33</f>
        <v>0</v>
      </c>
      <c r="AN64" s="67">
        <f>Calcs!$AY$34</f>
        <v>0</v>
      </c>
      <c r="AO64" s="13"/>
      <c r="AP64" s="13"/>
      <c r="AQ64" s="13"/>
      <c r="AR64" s="13"/>
      <c r="AS64" s="13"/>
      <c r="AT64" s="13"/>
    </row>
    <row r="65" spans="1:46" s="1" customFormat="1" ht="12" customHeight="1" x14ac:dyDescent="0.3">
      <c r="A65" s="1">
        <f t="shared" si="8"/>
        <v>1308</v>
      </c>
      <c r="B65" s="485">
        <f>Infrastructure!D113</f>
        <v>1339</v>
      </c>
      <c r="C65" s="310">
        <f>Calcs!$AZ$15</f>
        <v>0</v>
      </c>
      <c r="D65" s="313">
        <f>Calcs!$AZ$16</f>
        <v>0</v>
      </c>
      <c r="E65" s="308">
        <f>Calcs!$AZ$17</f>
        <v>0</v>
      </c>
      <c r="F65" s="313">
        <f>Calcs!$AZ$18</f>
        <v>0</v>
      </c>
      <c r="H65" s="310">
        <f>Calcs!$AZ$3</f>
        <v>0</v>
      </c>
      <c r="I65" s="313">
        <f>Calcs!$AZ$25</f>
        <v>0</v>
      </c>
      <c r="K65" s="310">
        <f>-Calcs!$AZ$4</f>
        <v>0</v>
      </c>
      <c r="L65" s="308">
        <f>-Calcs!$AZ$6</f>
        <v>0</v>
      </c>
      <c r="M65" s="308">
        <f>-Calcs!$AZ$7</f>
        <v>0</v>
      </c>
      <c r="N65" s="313">
        <f>-Calcs!$AZ$9</f>
        <v>0</v>
      </c>
      <c r="O65" s="331">
        <f>Calcs!$AZ$14</f>
        <v>0</v>
      </c>
      <c r="P65" s="313">
        <v>0</v>
      </c>
      <c r="R65" s="310">
        <f>Calcs!$AZ$5</f>
        <v>0</v>
      </c>
      <c r="S65" s="308">
        <f>Calcs!$AZ$8</f>
        <v>0</v>
      </c>
      <c r="T65" s="313">
        <f>Calcs!$AZ$12</f>
        <v>0</v>
      </c>
      <c r="V65" s="310">
        <f>Calcs!$AZ$35</f>
        <v>0</v>
      </c>
      <c r="W65" s="308">
        <f>Calcs!D259</f>
        <v>0</v>
      </c>
      <c r="X65" s="332">
        <f>Calcs!$AZ$30</f>
        <v>0</v>
      </c>
      <c r="Y65" s="333">
        <f>Calcs!$AZ$29</f>
        <v>0</v>
      </c>
      <c r="Z65" s="334"/>
      <c r="AB65" s="493">
        <f t="shared" si="0"/>
        <v>1339</v>
      </c>
      <c r="AC65" s="796">
        <f t="shared" si="1"/>
        <v>0</v>
      </c>
      <c r="AD65" s="796">
        <f t="shared" si="2"/>
        <v>0</v>
      </c>
      <c r="AE65" s="796">
        <f t="shared" si="3"/>
        <v>0</v>
      </c>
      <c r="AF65" s="797"/>
      <c r="AG65" s="796">
        <f t="shared" si="4"/>
        <v>0</v>
      </c>
      <c r="AH65" s="796">
        <f t="shared" si="5"/>
        <v>0</v>
      </c>
      <c r="AI65" s="796">
        <f t="shared" si="6"/>
        <v>0</v>
      </c>
      <c r="AK65" s="67">
        <f>Calcs!$AZ$31</f>
        <v>0</v>
      </c>
      <c r="AL65" s="67">
        <f>Calcs!$AZ$32</f>
        <v>0</v>
      </c>
      <c r="AM65" s="67">
        <f>Calcs!$AZ$33</f>
        <v>0</v>
      </c>
      <c r="AN65" s="67">
        <f>Calcs!$AZ$34</f>
        <v>0</v>
      </c>
      <c r="AO65" s="13"/>
      <c r="AP65" s="13"/>
      <c r="AQ65" s="13"/>
      <c r="AR65" s="13"/>
      <c r="AS65" s="13"/>
      <c r="AT65" s="13"/>
    </row>
    <row r="66" spans="1:46" s="1" customFormat="1" ht="12" customHeight="1" x14ac:dyDescent="0.3">
      <c r="A66" s="1">
        <f t="shared" si="8"/>
        <v>1339</v>
      </c>
      <c r="B66" s="485">
        <f>Infrastructure!D114</f>
        <v>1369</v>
      </c>
      <c r="C66" s="310">
        <f>Calcs!$BA$15</f>
        <v>0</v>
      </c>
      <c r="D66" s="313">
        <f>Calcs!$BA$16</f>
        <v>0</v>
      </c>
      <c r="E66" s="308">
        <f>Calcs!$BA$17</f>
        <v>0</v>
      </c>
      <c r="F66" s="313">
        <f>Calcs!$BA$18</f>
        <v>0</v>
      </c>
      <c r="H66" s="310">
        <f>Calcs!$BA$3</f>
        <v>0</v>
      </c>
      <c r="I66" s="313">
        <f>Calcs!$BA$25</f>
        <v>0</v>
      </c>
      <c r="K66" s="310">
        <f>-Calcs!$BA$4</f>
        <v>0</v>
      </c>
      <c r="L66" s="308">
        <f>-Calcs!$BA$6</f>
        <v>0</v>
      </c>
      <c r="M66" s="308">
        <f>-Calcs!$BA$7</f>
        <v>0</v>
      </c>
      <c r="N66" s="313">
        <f>-Calcs!$BA$9</f>
        <v>0</v>
      </c>
      <c r="O66" s="331">
        <f>Calcs!$BA$14</f>
        <v>0</v>
      </c>
      <c r="P66" s="313">
        <v>0</v>
      </c>
      <c r="R66" s="310">
        <f>Calcs!$BA$5</f>
        <v>0</v>
      </c>
      <c r="S66" s="308">
        <f>Calcs!$BA$8</f>
        <v>0</v>
      </c>
      <c r="T66" s="313">
        <f>Calcs!$BA$12</f>
        <v>0</v>
      </c>
      <c r="V66" s="310">
        <f>Calcs!$BA$35</f>
        <v>0</v>
      </c>
      <c r="W66" s="308">
        <f>Calcs!D260</f>
        <v>0</v>
      </c>
      <c r="X66" s="332">
        <f>Calcs!$BA$30</f>
        <v>0</v>
      </c>
      <c r="Y66" s="333">
        <f>Calcs!$BA$29</f>
        <v>0</v>
      </c>
      <c r="Z66" s="334"/>
      <c r="AB66" s="493">
        <f t="shared" si="0"/>
        <v>1369</v>
      </c>
      <c r="AC66" s="796">
        <f t="shared" si="1"/>
        <v>0</v>
      </c>
      <c r="AD66" s="796">
        <f t="shared" si="2"/>
        <v>0</v>
      </c>
      <c r="AE66" s="796">
        <f t="shared" si="3"/>
        <v>0</v>
      </c>
      <c r="AF66" s="797"/>
      <c r="AG66" s="796">
        <f t="shared" si="4"/>
        <v>0</v>
      </c>
      <c r="AH66" s="796">
        <f t="shared" si="5"/>
        <v>0</v>
      </c>
      <c r="AI66" s="796">
        <f t="shared" si="6"/>
        <v>0</v>
      </c>
      <c r="AK66" s="67">
        <f>Calcs!$BA$31</f>
        <v>0</v>
      </c>
      <c r="AL66" s="67">
        <f>Calcs!$BA$32</f>
        <v>0</v>
      </c>
      <c r="AM66" s="67">
        <f>Calcs!$BA$33</f>
        <v>0</v>
      </c>
      <c r="AN66" s="67">
        <f>Calcs!$BA$34</f>
        <v>0</v>
      </c>
      <c r="AO66" s="13"/>
      <c r="AP66" s="13"/>
      <c r="AQ66" s="13"/>
      <c r="AR66" s="13"/>
      <c r="AS66" s="13"/>
      <c r="AT66" s="13"/>
    </row>
    <row r="67" spans="1:46" s="1" customFormat="1" ht="12" customHeight="1" x14ac:dyDescent="0.3">
      <c r="A67" s="1">
        <f t="shared" si="8"/>
        <v>1369</v>
      </c>
      <c r="B67" s="485">
        <f>Infrastructure!D115</f>
        <v>1400</v>
      </c>
      <c r="C67" s="310">
        <f>Calcs!$BB$15</f>
        <v>0</v>
      </c>
      <c r="D67" s="313">
        <f>Calcs!$BB$16</f>
        <v>0</v>
      </c>
      <c r="E67" s="308">
        <f>Calcs!$BB$17</f>
        <v>0</v>
      </c>
      <c r="F67" s="313">
        <f>Calcs!$BB$18</f>
        <v>0</v>
      </c>
      <c r="H67" s="310">
        <f>Calcs!$BB$3</f>
        <v>0</v>
      </c>
      <c r="I67" s="313">
        <f>Calcs!$BB$25</f>
        <v>0</v>
      </c>
      <c r="K67" s="310">
        <f>-Calcs!$BB$4</f>
        <v>0</v>
      </c>
      <c r="L67" s="308">
        <f>-Calcs!$BB$6</f>
        <v>0</v>
      </c>
      <c r="M67" s="308">
        <f>-Calcs!$BB$7</f>
        <v>0</v>
      </c>
      <c r="N67" s="313">
        <f>-Calcs!$BB$9</f>
        <v>0</v>
      </c>
      <c r="O67" s="331">
        <f>Calcs!$BB$14</f>
        <v>0</v>
      </c>
      <c r="P67" s="313">
        <v>0</v>
      </c>
      <c r="R67" s="310">
        <f>Calcs!$BB$5</f>
        <v>0</v>
      </c>
      <c r="S67" s="308">
        <f>Calcs!$BB$8</f>
        <v>0</v>
      </c>
      <c r="T67" s="313">
        <f>Calcs!$BB$12</f>
        <v>0</v>
      </c>
      <c r="V67" s="310">
        <f>Calcs!$BB$35</f>
        <v>0</v>
      </c>
      <c r="W67" s="308">
        <f>Calcs!D261</f>
        <v>0</v>
      </c>
      <c r="X67" s="332">
        <f>Calcs!$BB$30</f>
        <v>0</v>
      </c>
      <c r="Y67" s="333">
        <f>Calcs!$BB$29</f>
        <v>0</v>
      </c>
      <c r="Z67" s="334"/>
      <c r="AB67" s="493">
        <f t="shared" si="0"/>
        <v>1400</v>
      </c>
      <c r="AC67" s="796">
        <f t="shared" si="1"/>
        <v>0</v>
      </c>
      <c r="AD67" s="796">
        <f t="shared" si="2"/>
        <v>0</v>
      </c>
      <c r="AE67" s="796">
        <f t="shared" si="3"/>
        <v>0</v>
      </c>
      <c r="AF67" s="797"/>
      <c r="AG67" s="796">
        <f t="shared" si="4"/>
        <v>0</v>
      </c>
      <c r="AH67" s="796">
        <f t="shared" si="5"/>
        <v>0</v>
      </c>
      <c r="AI67" s="796">
        <f t="shared" si="6"/>
        <v>0</v>
      </c>
      <c r="AK67" s="67">
        <f>Calcs!$BB$31</f>
        <v>0</v>
      </c>
      <c r="AL67" s="67">
        <f>Calcs!$BB$32</f>
        <v>0</v>
      </c>
      <c r="AM67" s="67">
        <f>Calcs!$BB$33</f>
        <v>0</v>
      </c>
      <c r="AN67" s="67">
        <f>Calcs!$BB$34</f>
        <v>0</v>
      </c>
      <c r="AO67" s="13"/>
      <c r="AP67" s="13"/>
      <c r="AQ67" s="13"/>
      <c r="AR67" s="13"/>
      <c r="AS67" s="13"/>
      <c r="AT67" s="13"/>
    </row>
    <row r="68" spans="1:46" s="1" customFormat="1" ht="12" customHeight="1" x14ac:dyDescent="0.3">
      <c r="A68" s="1">
        <f t="shared" si="8"/>
        <v>1400</v>
      </c>
      <c r="B68" s="485">
        <f>Infrastructure!D116</f>
        <v>1430</v>
      </c>
      <c r="C68" s="310">
        <f>Calcs!$BC$15</f>
        <v>0</v>
      </c>
      <c r="D68" s="313">
        <f>Calcs!$BC$16</f>
        <v>0</v>
      </c>
      <c r="E68" s="308">
        <f>Calcs!$BC$17</f>
        <v>0</v>
      </c>
      <c r="F68" s="313">
        <f>Calcs!$BC$18</f>
        <v>0</v>
      </c>
      <c r="H68" s="310">
        <f>Calcs!$BC$3</f>
        <v>0</v>
      </c>
      <c r="I68" s="313">
        <f>Calcs!$BC$25</f>
        <v>0</v>
      </c>
      <c r="K68" s="310">
        <f>-Calcs!$BC$4</f>
        <v>0</v>
      </c>
      <c r="L68" s="308">
        <f>-Calcs!$BC$6</f>
        <v>0</v>
      </c>
      <c r="M68" s="308">
        <f>-Calcs!$BC$7</f>
        <v>0</v>
      </c>
      <c r="N68" s="313">
        <f>-Calcs!$BC$9</f>
        <v>0</v>
      </c>
      <c r="O68" s="331">
        <f>Calcs!$BC$14</f>
        <v>0</v>
      </c>
      <c r="P68" s="313">
        <v>0</v>
      </c>
      <c r="R68" s="310">
        <f>Calcs!$BC$5</f>
        <v>0</v>
      </c>
      <c r="S68" s="308">
        <f>Calcs!$BC$8</f>
        <v>0</v>
      </c>
      <c r="T68" s="313">
        <f>Calcs!$BC$12</f>
        <v>0</v>
      </c>
      <c r="V68" s="310">
        <f>Calcs!$BC$35</f>
        <v>0</v>
      </c>
      <c r="W68" s="308">
        <f>Calcs!D262</f>
        <v>0</v>
      </c>
      <c r="X68" s="332">
        <f>Calcs!$BC$30</f>
        <v>0</v>
      </c>
      <c r="Y68" s="333">
        <f>Calcs!$BC$29</f>
        <v>0</v>
      </c>
      <c r="Z68" s="334"/>
      <c r="AB68" s="493">
        <f t="shared" si="0"/>
        <v>1430</v>
      </c>
      <c r="AC68" s="796">
        <f t="shared" si="1"/>
        <v>0</v>
      </c>
      <c r="AD68" s="796">
        <f t="shared" si="2"/>
        <v>0</v>
      </c>
      <c r="AE68" s="796">
        <f t="shared" si="3"/>
        <v>0</v>
      </c>
      <c r="AF68" s="797"/>
      <c r="AG68" s="796">
        <f t="shared" si="4"/>
        <v>0</v>
      </c>
      <c r="AH68" s="796">
        <f t="shared" si="5"/>
        <v>0</v>
      </c>
      <c r="AI68" s="796">
        <f t="shared" si="6"/>
        <v>0</v>
      </c>
      <c r="AK68" s="67">
        <f>Calcs!$BC$31</f>
        <v>0</v>
      </c>
      <c r="AL68" s="67">
        <f>Calcs!$BC$32</f>
        <v>0</v>
      </c>
      <c r="AM68" s="67">
        <f>Calcs!$BC$33</f>
        <v>0</v>
      </c>
      <c r="AN68" s="67">
        <f>Calcs!$BC$34</f>
        <v>0</v>
      </c>
      <c r="AO68" s="13"/>
      <c r="AP68" s="13"/>
      <c r="AQ68" s="13"/>
      <c r="AR68" s="13"/>
      <c r="AS68" s="13"/>
      <c r="AT68" s="13"/>
    </row>
    <row r="69" spans="1:46" s="1" customFormat="1" ht="12" customHeight="1" thickBot="1" x14ac:dyDescent="0.35">
      <c r="A69" s="1">
        <f t="shared" si="8"/>
        <v>1430</v>
      </c>
      <c r="B69" s="485">
        <f>Infrastructure!D117</f>
        <v>1461</v>
      </c>
      <c r="C69" s="311">
        <f>Calcs!$BD$15</f>
        <v>0</v>
      </c>
      <c r="D69" s="314">
        <f>Calcs!$BD$16</f>
        <v>0</v>
      </c>
      <c r="E69" s="309">
        <f>Calcs!$BD$17</f>
        <v>0</v>
      </c>
      <c r="F69" s="314">
        <f>Calcs!$BD$18</f>
        <v>0</v>
      </c>
      <c r="H69" s="311">
        <f>Calcs!$BD$3</f>
        <v>0</v>
      </c>
      <c r="I69" s="314">
        <f>Calcs!$BD$25</f>
        <v>0</v>
      </c>
      <c r="K69" s="311">
        <f>-Calcs!$BD$4</f>
        <v>0</v>
      </c>
      <c r="L69" s="309">
        <f>-Calcs!$BD$6</f>
        <v>0</v>
      </c>
      <c r="M69" s="309">
        <f>-Calcs!$BD$7</f>
        <v>0</v>
      </c>
      <c r="N69" s="314">
        <f>-Calcs!$BD$9</f>
        <v>0</v>
      </c>
      <c r="O69" s="335">
        <f>Calcs!$BD$14</f>
        <v>0</v>
      </c>
      <c r="P69" s="314">
        <v>0</v>
      </c>
      <c r="R69" s="311">
        <f>Calcs!$BD$5</f>
        <v>0</v>
      </c>
      <c r="S69" s="309">
        <f>Calcs!$BD$8</f>
        <v>0</v>
      </c>
      <c r="T69" s="314">
        <f>Calcs!$BD$12</f>
        <v>0</v>
      </c>
      <c r="V69" s="311">
        <f>Calcs!$BD$35</f>
        <v>0</v>
      </c>
      <c r="W69" s="309">
        <f>Calcs!D263</f>
        <v>0</v>
      </c>
      <c r="X69" s="336">
        <f>Calcs!$BD$30</f>
        <v>0</v>
      </c>
      <c r="Y69" s="337">
        <f>Calcs!$BD$29</f>
        <v>0</v>
      </c>
      <c r="Z69" s="1274"/>
      <c r="AB69" s="795">
        <f t="shared" si="0"/>
        <v>1461</v>
      </c>
      <c r="AC69" s="798">
        <f t="shared" si="1"/>
        <v>0</v>
      </c>
      <c r="AD69" s="798">
        <f t="shared" si="2"/>
        <v>0</v>
      </c>
      <c r="AE69" s="798">
        <f t="shared" si="3"/>
        <v>0</v>
      </c>
      <c r="AF69" s="797"/>
      <c r="AG69" s="796">
        <f t="shared" si="4"/>
        <v>0</v>
      </c>
      <c r="AH69" s="796">
        <f t="shared" si="5"/>
        <v>0</v>
      </c>
      <c r="AI69" s="796">
        <f t="shared" si="6"/>
        <v>0</v>
      </c>
      <c r="AK69" s="67">
        <f>Calcs!$BD$31</f>
        <v>0</v>
      </c>
      <c r="AL69" s="67">
        <f>Calcs!$BD$32</f>
        <v>0</v>
      </c>
      <c r="AM69" s="67">
        <f>Calcs!$BD$33</f>
        <v>0</v>
      </c>
      <c r="AN69" s="67">
        <f>Calcs!$BD$34</f>
        <v>0</v>
      </c>
      <c r="AO69" s="13"/>
      <c r="AP69" s="13"/>
      <c r="AQ69" s="13"/>
      <c r="AR69" s="13"/>
      <c r="AS69" s="13"/>
      <c r="AT69" s="13"/>
    </row>
    <row r="70" spans="1:46" s="1" customFormat="1" ht="12" customHeight="1" x14ac:dyDescent="0.3">
      <c r="A70" s="1">
        <f t="shared" si="8"/>
        <v>1461</v>
      </c>
      <c r="B70" s="485">
        <f>Infrastructure!D118</f>
        <v>1492</v>
      </c>
      <c r="C70" s="310">
        <f>Calcs!$BE$15</f>
        <v>0</v>
      </c>
      <c r="D70" s="313">
        <f>Calcs!$BE$16</f>
        <v>0</v>
      </c>
      <c r="E70" s="308">
        <f>Calcs!$BE$17</f>
        <v>0</v>
      </c>
      <c r="F70" s="313">
        <f>Calcs!$BE$18</f>
        <v>0</v>
      </c>
      <c r="H70" s="310">
        <f>Calcs!$BE$3</f>
        <v>0</v>
      </c>
      <c r="I70" s="313">
        <f>Calcs!$BE$25</f>
        <v>0</v>
      </c>
      <c r="K70" s="310">
        <f>-Calcs!$BE$4</f>
        <v>0</v>
      </c>
      <c r="L70" s="308">
        <f>-Calcs!$BE$6</f>
        <v>0</v>
      </c>
      <c r="M70" s="308">
        <f>-Calcs!$BE$7</f>
        <v>0</v>
      </c>
      <c r="N70" s="313">
        <f>-Calcs!$BE$9</f>
        <v>0</v>
      </c>
      <c r="O70" s="331">
        <f>Calcs!$BE$14</f>
        <v>0</v>
      </c>
      <c r="P70" s="313">
        <v>0</v>
      </c>
      <c r="R70" s="310">
        <f>Calcs!$BE$5</f>
        <v>0</v>
      </c>
      <c r="S70" s="308">
        <f>Calcs!$BE$8</f>
        <v>0</v>
      </c>
      <c r="T70" s="313">
        <f>Calcs!$BE$12</f>
        <v>0</v>
      </c>
      <c r="V70" s="310">
        <f>Calcs!$BE$35</f>
        <v>0</v>
      </c>
      <c r="W70" s="308">
        <f>Calcs!D264</f>
        <v>0</v>
      </c>
      <c r="X70" s="332">
        <f>Calcs!$BE$30</f>
        <v>0</v>
      </c>
      <c r="Y70" s="333">
        <f>Calcs!$BE$29</f>
        <v>0</v>
      </c>
      <c r="Z70" s="334"/>
      <c r="AB70" s="493">
        <f t="shared" si="0"/>
        <v>1492</v>
      </c>
      <c r="AC70" s="796">
        <f t="shared" si="1"/>
        <v>0</v>
      </c>
      <c r="AD70" s="796">
        <f t="shared" si="2"/>
        <v>0</v>
      </c>
      <c r="AE70" s="796">
        <f t="shared" si="3"/>
        <v>0</v>
      </c>
      <c r="AF70" s="797"/>
      <c r="AG70" s="796">
        <f t="shared" si="4"/>
        <v>0</v>
      </c>
      <c r="AH70" s="796">
        <f t="shared" si="5"/>
        <v>0</v>
      </c>
      <c r="AI70" s="796">
        <f t="shared" si="6"/>
        <v>0</v>
      </c>
      <c r="AK70" s="67">
        <f>Calcs!$BE$31</f>
        <v>0</v>
      </c>
      <c r="AL70" s="67">
        <f>Calcs!$BE$32</f>
        <v>0</v>
      </c>
      <c r="AM70" s="67">
        <f>Calcs!$BE$33</f>
        <v>0</v>
      </c>
      <c r="AN70" s="67">
        <f>Calcs!$BE$34</f>
        <v>0</v>
      </c>
      <c r="AO70" s="13"/>
      <c r="AP70" s="13"/>
      <c r="AQ70" s="13"/>
      <c r="AR70" s="13"/>
      <c r="AS70" s="13"/>
      <c r="AT70" s="13"/>
    </row>
    <row r="71" spans="1:46" s="1" customFormat="1" ht="12" customHeight="1" x14ac:dyDescent="0.3">
      <c r="A71" s="1">
        <f t="shared" si="8"/>
        <v>1492</v>
      </c>
      <c r="B71" s="485">
        <f>Infrastructure!D119</f>
        <v>1521</v>
      </c>
      <c r="C71" s="310">
        <f>Calcs!$BF$15</f>
        <v>0</v>
      </c>
      <c r="D71" s="313">
        <f>Calcs!$BF$16</f>
        <v>0</v>
      </c>
      <c r="E71" s="308">
        <f>Calcs!$BF$17</f>
        <v>0</v>
      </c>
      <c r="F71" s="313">
        <f>Calcs!$BF$18</f>
        <v>0</v>
      </c>
      <c r="H71" s="310">
        <f>Calcs!$BF$3</f>
        <v>0</v>
      </c>
      <c r="I71" s="313">
        <f>Calcs!$BF$25</f>
        <v>0</v>
      </c>
      <c r="K71" s="310">
        <f>-Calcs!$BF$4</f>
        <v>0</v>
      </c>
      <c r="L71" s="308">
        <f>-Calcs!$BF$6</f>
        <v>0</v>
      </c>
      <c r="M71" s="308">
        <f>-Calcs!$BF$7</f>
        <v>0</v>
      </c>
      <c r="N71" s="313">
        <f>-Calcs!$BF$9</f>
        <v>0</v>
      </c>
      <c r="O71" s="331">
        <f>Calcs!$BF$14</f>
        <v>0</v>
      </c>
      <c r="P71" s="313">
        <v>0</v>
      </c>
      <c r="R71" s="310">
        <f>Calcs!$BF$5</f>
        <v>0</v>
      </c>
      <c r="S71" s="308">
        <f>Calcs!$BF$8</f>
        <v>0</v>
      </c>
      <c r="T71" s="313">
        <f>Calcs!$BF$12</f>
        <v>0</v>
      </c>
      <c r="V71" s="310">
        <f>Calcs!$BF$35</f>
        <v>0</v>
      </c>
      <c r="W71" s="308">
        <f>Calcs!D265</f>
        <v>0</v>
      </c>
      <c r="X71" s="332">
        <f>Calcs!$BF$30</f>
        <v>0</v>
      </c>
      <c r="Y71" s="333">
        <f>Calcs!$BF$29</f>
        <v>0</v>
      </c>
      <c r="Z71" s="334"/>
      <c r="AB71" s="493">
        <f t="shared" si="0"/>
        <v>1521</v>
      </c>
      <c r="AC71" s="796">
        <f t="shared" si="1"/>
        <v>0</v>
      </c>
      <c r="AD71" s="796">
        <f t="shared" si="2"/>
        <v>0</v>
      </c>
      <c r="AE71" s="796">
        <f t="shared" si="3"/>
        <v>0</v>
      </c>
      <c r="AF71" s="797"/>
      <c r="AG71" s="796">
        <f t="shared" si="4"/>
        <v>0</v>
      </c>
      <c r="AH71" s="796">
        <f t="shared" si="5"/>
        <v>0</v>
      </c>
      <c r="AI71" s="796">
        <f t="shared" si="6"/>
        <v>0</v>
      </c>
      <c r="AK71" s="67">
        <f>Calcs!$BF$31</f>
        <v>0</v>
      </c>
      <c r="AL71" s="67">
        <f>Calcs!$BF$32</f>
        <v>0</v>
      </c>
      <c r="AM71" s="67">
        <f>Calcs!$BF$33</f>
        <v>0</v>
      </c>
      <c r="AN71" s="67">
        <f>Calcs!$BF$34</f>
        <v>0</v>
      </c>
      <c r="AO71" s="13"/>
      <c r="AP71" s="13"/>
      <c r="AQ71" s="13"/>
      <c r="AR71" s="13"/>
      <c r="AS71" s="13"/>
      <c r="AT71" s="13"/>
    </row>
    <row r="72" spans="1:46" s="1" customFormat="1" ht="12" customHeight="1" x14ac:dyDescent="0.3">
      <c r="A72" s="1">
        <f t="shared" si="8"/>
        <v>1521</v>
      </c>
      <c r="B72" s="485">
        <f>Infrastructure!D120</f>
        <v>1552</v>
      </c>
      <c r="C72" s="310">
        <f>Calcs!$BG$15</f>
        <v>0</v>
      </c>
      <c r="D72" s="313">
        <f>Calcs!$BG$16</f>
        <v>0</v>
      </c>
      <c r="E72" s="308">
        <f>Calcs!$BG$17</f>
        <v>0</v>
      </c>
      <c r="F72" s="313">
        <f>Calcs!$BG$18</f>
        <v>0</v>
      </c>
      <c r="H72" s="310">
        <f>Calcs!$BG$3</f>
        <v>0</v>
      </c>
      <c r="I72" s="313">
        <f>Calcs!$BG$25</f>
        <v>0</v>
      </c>
      <c r="K72" s="310">
        <f>-Calcs!$BG$4</f>
        <v>0</v>
      </c>
      <c r="L72" s="308">
        <f>-Calcs!$BG$6</f>
        <v>0</v>
      </c>
      <c r="M72" s="308">
        <f>-Calcs!$BG$7</f>
        <v>0</v>
      </c>
      <c r="N72" s="313">
        <f>-Calcs!$BG$9</f>
        <v>0</v>
      </c>
      <c r="O72" s="331">
        <f>Calcs!$BG$14</f>
        <v>0</v>
      </c>
      <c r="P72" s="313">
        <v>0</v>
      </c>
      <c r="R72" s="310">
        <f>Calcs!$BG$5</f>
        <v>0</v>
      </c>
      <c r="S72" s="308">
        <f>Calcs!$BG$8</f>
        <v>0</v>
      </c>
      <c r="T72" s="313">
        <f>Calcs!$BG$12</f>
        <v>0</v>
      </c>
      <c r="V72" s="310">
        <f>Calcs!$BG$35</f>
        <v>0</v>
      </c>
      <c r="W72" s="308">
        <f>Calcs!D266</f>
        <v>0</v>
      </c>
      <c r="X72" s="332">
        <f>Calcs!$BG$30</f>
        <v>0</v>
      </c>
      <c r="Y72" s="333">
        <f>Calcs!$BG$29</f>
        <v>0</v>
      </c>
      <c r="Z72" s="334"/>
      <c r="AB72" s="493">
        <f t="shared" si="0"/>
        <v>1552</v>
      </c>
      <c r="AC72" s="796">
        <f t="shared" si="1"/>
        <v>0</v>
      </c>
      <c r="AD72" s="796">
        <f t="shared" si="2"/>
        <v>0</v>
      </c>
      <c r="AE72" s="796">
        <f t="shared" si="3"/>
        <v>0</v>
      </c>
      <c r="AF72" s="797"/>
      <c r="AG72" s="796">
        <f t="shared" si="4"/>
        <v>0</v>
      </c>
      <c r="AH72" s="796">
        <f t="shared" si="5"/>
        <v>0</v>
      </c>
      <c r="AI72" s="796">
        <f t="shared" si="6"/>
        <v>0</v>
      </c>
      <c r="AK72" s="67">
        <f>Calcs!$BG$31</f>
        <v>0</v>
      </c>
      <c r="AL72" s="67">
        <f>Calcs!$BG$32</f>
        <v>0</v>
      </c>
      <c r="AM72" s="67">
        <f>Calcs!$BG$33</f>
        <v>0</v>
      </c>
      <c r="AN72" s="67">
        <f>Calcs!$BG$34</f>
        <v>0</v>
      </c>
      <c r="AO72" s="13"/>
      <c r="AP72" s="13"/>
      <c r="AQ72" s="13"/>
      <c r="AR72" s="13"/>
      <c r="AS72" s="93"/>
      <c r="AT72" s="13"/>
    </row>
    <row r="73" spans="1:46" s="1" customFormat="1" ht="12" customHeight="1" x14ac:dyDescent="0.3">
      <c r="A73" s="1">
        <f t="shared" si="8"/>
        <v>1552</v>
      </c>
      <c r="B73" s="485">
        <f>Infrastructure!D121</f>
        <v>1582</v>
      </c>
      <c r="C73" s="310">
        <f>Calcs!$BH$15</f>
        <v>0</v>
      </c>
      <c r="D73" s="313">
        <f>Calcs!$BH$16</f>
        <v>0</v>
      </c>
      <c r="E73" s="308">
        <f>Calcs!$BH$17</f>
        <v>0</v>
      </c>
      <c r="F73" s="313">
        <f>Calcs!$BH$18</f>
        <v>0</v>
      </c>
      <c r="H73" s="310">
        <f>Calcs!$BH$3</f>
        <v>0</v>
      </c>
      <c r="I73" s="313">
        <f>Calcs!$BH$25</f>
        <v>0</v>
      </c>
      <c r="K73" s="310">
        <f>-Calcs!$BH$4</f>
        <v>0</v>
      </c>
      <c r="L73" s="308">
        <f>-Calcs!$BH$6</f>
        <v>0</v>
      </c>
      <c r="M73" s="308">
        <f>-Calcs!$BH$7</f>
        <v>0</v>
      </c>
      <c r="N73" s="313">
        <f>-Calcs!$BH$9</f>
        <v>0</v>
      </c>
      <c r="O73" s="331">
        <f>Calcs!$BH$14</f>
        <v>0</v>
      </c>
      <c r="P73" s="313">
        <v>0</v>
      </c>
      <c r="R73" s="310">
        <f>Calcs!$BH$5</f>
        <v>0</v>
      </c>
      <c r="S73" s="308">
        <f>Calcs!$BH$8</f>
        <v>0</v>
      </c>
      <c r="T73" s="313">
        <f>Calcs!$BH$12</f>
        <v>0</v>
      </c>
      <c r="V73" s="310">
        <f>Calcs!$BH$35</f>
        <v>0</v>
      </c>
      <c r="W73" s="308">
        <f>Calcs!D267</f>
        <v>0</v>
      </c>
      <c r="X73" s="332">
        <f>Calcs!$BH$30</f>
        <v>0</v>
      </c>
      <c r="Y73" s="333">
        <f>Calcs!$BH$29</f>
        <v>0</v>
      </c>
      <c r="Z73" s="334"/>
      <c r="AB73" s="493">
        <f t="shared" si="0"/>
        <v>1582</v>
      </c>
      <c r="AC73" s="796">
        <f t="shared" si="1"/>
        <v>0</v>
      </c>
      <c r="AD73" s="796">
        <f t="shared" si="2"/>
        <v>0</v>
      </c>
      <c r="AE73" s="796">
        <f t="shared" si="3"/>
        <v>0</v>
      </c>
      <c r="AF73" s="797"/>
      <c r="AG73" s="796">
        <f t="shared" si="4"/>
        <v>0</v>
      </c>
      <c r="AH73" s="796">
        <f t="shared" si="5"/>
        <v>0</v>
      </c>
      <c r="AI73" s="796">
        <f t="shared" si="6"/>
        <v>0</v>
      </c>
      <c r="AK73" s="67">
        <f>Calcs!$BH$31</f>
        <v>0</v>
      </c>
      <c r="AL73" s="67">
        <f>Calcs!$BH$32</f>
        <v>0</v>
      </c>
      <c r="AM73" s="67">
        <f>Calcs!$BH$33</f>
        <v>0</v>
      </c>
      <c r="AN73" s="67">
        <f>Calcs!$BH$34</f>
        <v>0</v>
      </c>
      <c r="AO73" s="13"/>
      <c r="AP73" s="13"/>
      <c r="AQ73" s="13"/>
      <c r="AR73" s="13"/>
      <c r="AS73" s="93"/>
      <c r="AT73" s="13"/>
    </row>
    <row r="74" spans="1:46" s="1" customFormat="1" ht="12" customHeight="1" x14ac:dyDescent="0.3">
      <c r="A74" s="1">
        <f t="shared" si="8"/>
        <v>1582</v>
      </c>
      <c r="B74" s="485">
        <f>Infrastructure!D122</f>
        <v>1613</v>
      </c>
      <c r="C74" s="310">
        <f>Calcs!$BI$15</f>
        <v>0</v>
      </c>
      <c r="D74" s="313">
        <f>Calcs!$BI$16</f>
        <v>0</v>
      </c>
      <c r="E74" s="308">
        <f>Calcs!$BI$17</f>
        <v>0</v>
      </c>
      <c r="F74" s="313">
        <f>Calcs!$BI$18</f>
        <v>0</v>
      </c>
      <c r="H74" s="310">
        <f>Calcs!$BI$3</f>
        <v>0</v>
      </c>
      <c r="I74" s="313">
        <f>Calcs!$BI$25</f>
        <v>0</v>
      </c>
      <c r="K74" s="310">
        <f>-Calcs!$BI$4</f>
        <v>0</v>
      </c>
      <c r="L74" s="308">
        <f>-Calcs!$BI$6</f>
        <v>0</v>
      </c>
      <c r="M74" s="308">
        <f>-Calcs!$BI$7</f>
        <v>0</v>
      </c>
      <c r="N74" s="313">
        <f>-Calcs!$BI$9</f>
        <v>0</v>
      </c>
      <c r="O74" s="331">
        <f>Calcs!$BI$14</f>
        <v>0</v>
      </c>
      <c r="P74" s="313">
        <v>0</v>
      </c>
      <c r="R74" s="310">
        <f>Calcs!$BI$5</f>
        <v>0</v>
      </c>
      <c r="S74" s="308">
        <f>Calcs!$BI$8</f>
        <v>0</v>
      </c>
      <c r="T74" s="313">
        <f>Calcs!$BI$12</f>
        <v>0</v>
      </c>
      <c r="V74" s="310">
        <f>Calcs!$BI$35</f>
        <v>0</v>
      </c>
      <c r="W74" s="308">
        <f>Calcs!D268</f>
        <v>0</v>
      </c>
      <c r="X74" s="332">
        <f>Calcs!$BI$30</f>
        <v>0</v>
      </c>
      <c r="Y74" s="333">
        <f>Calcs!$BI$29</f>
        <v>0</v>
      </c>
      <c r="Z74" s="334"/>
      <c r="AB74" s="493">
        <f t="shared" si="0"/>
        <v>1613</v>
      </c>
      <c r="AC74" s="796">
        <f t="shared" si="1"/>
        <v>0</v>
      </c>
      <c r="AD74" s="796">
        <f t="shared" si="2"/>
        <v>0</v>
      </c>
      <c r="AE74" s="796">
        <f t="shared" si="3"/>
        <v>0</v>
      </c>
      <c r="AF74" s="797"/>
      <c r="AG74" s="796">
        <f t="shared" si="4"/>
        <v>0</v>
      </c>
      <c r="AH74" s="796">
        <f t="shared" si="5"/>
        <v>0</v>
      </c>
      <c r="AI74" s="796">
        <f t="shared" si="6"/>
        <v>0</v>
      </c>
      <c r="AK74" s="67">
        <f>Calcs!$BI$31</f>
        <v>0</v>
      </c>
      <c r="AL74" s="67">
        <f>Calcs!$BI$32</f>
        <v>0</v>
      </c>
      <c r="AM74" s="67">
        <f>Calcs!$BI$33</f>
        <v>0</v>
      </c>
      <c r="AN74" s="67">
        <f>Calcs!$BI$34</f>
        <v>0</v>
      </c>
      <c r="AO74" s="13"/>
      <c r="AP74" s="13"/>
      <c r="AQ74" s="13"/>
      <c r="AR74" s="13"/>
      <c r="AS74" s="93"/>
      <c r="AT74" s="13"/>
    </row>
    <row r="75" spans="1:46" s="1" customFormat="1" ht="12" customHeight="1" x14ac:dyDescent="0.3">
      <c r="A75" s="1">
        <f t="shared" si="8"/>
        <v>1613</v>
      </c>
      <c r="B75" s="485">
        <f>Infrastructure!D123</f>
        <v>1643</v>
      </c>
      <c r="C75" s="310">
        <f>Calcs!$BJ$15</f>
        <v>0</v>
      </c>
      <c r="D75" s="313">
        <f>Calcs!$BJ$16</f>
        <v>0</v>
      </c>
      <c r="E75" s="308">
        <f>Calcs!$BJ$17</f>
        <v>0</v>
      </c>
      <c r="F75" s="313">
        <f>Calcs!$BJ$18</f>
        <v>0</v>
      </c>
      <c r="H75" s="310">
        <f>Calcs!$BJ$3</f>
        <v>0</v>
      </c>
      <c r="I75" s="313">
        <f>Calcs!$BJ$25</f>
        <v>0</v>
      </c>
      <c r="K75" s="310">
        <f>-Calcs!$BJ$4</f>
        <v>0</v>
      </c>
      <c r="L75" s="308">
        <f>-Calcs!$BJ$6</f>
        <v>0</v>
      </c>
      <c r="M75" s="308">
        <f>-Calcs!$BJ$7</f>
        <v>0</v>
      </c>
      <c r="N75" s="313">
        <f>-Calcs!$BJ$9</f>
        <v>0</v>
      </c>
      <c r="O75" s="331">
        <f>Calcs!$BJ$14</f>
        <v>0</v>
      </c>
      <c r="P75" s="313">
        <v>0</v>
      </c>
      <c r="R75" s="310">
        <f>Calcs!$BJ$5</f>
        <v>0</v>
      </c>
      <c r="S75" s="308">
        <f>Calcs!$BJ$8</f>
        <v>0</v>
      </c>
      <c r="T75" s="313">
        <f>Calcs!$BJ$12</f>
        <v>0</v>
      </c>
      <c r="V75" s="310">
        <f>Calcs!$BJ$35</f>
        <v>0</v>
      </c>
      <c r="W75" s="308">
        <f>Calcs!D269</f>
        <v>0</v>
      </c>
      <c r="X75" s="332">
        <f>Calcs!$BJ$30</f>
        <v>0</v>
      </c>
      <c r="Y75" s="333">
        <f>Calcs!$BJ$29</f>
        <v>0</v>
      </c>
      <c r="Z75" s="334"/>
      <c r="AB75" s="493">
        <f t="shared" si="0"/>
        <v>1643</v>
      </c>
      <c r="AC75" s="796">
        <f t="shared" si="1"/>
        <v>0</v>
      </c>
      <c r="AD75" s="796">
        <f t="shared" si="2"/>
        <v>0</v>
      </c>
      <c r="AE75" s="796">
        <f t="shared" si="3"/>
        <v>0</v>
      </c>
      <c r="AF75" s="797"/>
      <c r="AG75" s="796">
        <f t="shared" si="4"/>
        <v>0</v>
      </c>
      <c r="AH75" s="796">
        <f t="shared" si="5"/>
        <v>0</v>
      </c>
      <c r="AI75" s="796">
        <f t="shared" si="6"/>
        <v>0</v>
      </c>
      <c r="AK75" s="67">
        <f>Calcs!$BJ$31</f>
        <v>0</v>
      </c>
      <c r="AL75" s="67">
        <f>Calcs!$BJ$32</f>
        <v>0</v>
      </c>
      <c r="AM75" s="67">
        <f>Calcs!$BJ$33</f>
        <v>0</v>
      </c>
      <c r="AN75" s="67">
        <f>Calcs!$BJ$34</f>
        <v>0</v>
      </c>
      <c r="AO75" s="13"/>
      <c r="AP75" s="13"/>
      <c r="AQ75" s="13"/>
      <c r="AR75" s="13"/>
      <c r="AS75" s="93"/>
      <c r="AT75" s="13"/>
    </row>
    <row r="76" spans="1:46" s="1" customFormat="1" ht="12" customHeight="1" x14ac:dyDescent="0.3">
      <c r="A76" s="1">
        <f t="shared" si="8"/>
        <v>1643</v>
      </c>
      <c r="B76" s="485">
        <f>Infrastructure!D124</f>
        <v>1674</v>
      </c>
      <c r="C76" s="310">
        <f>Calcs!$BK$15</f>
        <v>0</v>
      </c>
      <c r="D76" s="313">
        <f>Calcs!$BK$16</f>
        <v>0</v>
      </c>
      <c r="E76" s="308">
        <f>Calcs!$BK$17</f>
        <v>0</v>
      </c>
      <c r="F76" s="313">
        <f>Calcs!$BK$18</f>
        <v>0</v>
      </c>
      <c r="H76" s="310">
        <f>Calcs!$BK$3</f>
        <v>0</v>
      </c>
      <c r="I76" s="313">
        <f>Calcs!$BK$25</f>
        <v>0</v>
      </c>
      <c r="K76" s="310">
        <f>-Calcs!$BK$4</f>
        <v>0</v>
      </c>
      <c r="L76" s="308">
        <f>-Calcs!$BK$6</f>
        <v>0</v>
      </c>
      <c r="M76" s="308">
        <f>-Calcs!$BK$7</f>
        <v>0</v>
      </c>
      <c r="N76" s="313">
        <f>-Calcs!$BK$9</f>
        <v>0</v>
      </c>
      <c r="O76" s="331">
        <f>Calcs!$BK$14</f>
        <v>0</v>
      </c>
      <c r="P76" s="313">
        <v>0</v>
      </c>
      <c r="R76" s="310">
        <f>Calcs!$BK$5</f>
        <v>0</v>
      </c>
      <c r="S76" s="308">
        <f>Calcs!$BK$8</f>
        <v>0</v>
      </c>
      <c r="T76" s="313">
        <f>Calcs!$BK$12</f>
        <v>0</v>
      </c>
      <c r="V76" s="310">
        <f>Calcs!$BK$35</f>
        <v>0</v>
      </c>
      <c r="W76" s="308">
        <f>Calcs!D270</f>
        <v>0</v>
      </c>
      <c r="X76" s="332">
        <f>Calcs!$BK$30</f>
        <v>0</v>
      </c>
      <c r="Y76" s="333">
        <f>Calcs!$BK$29</f>
        <v>0</v>
      </c>
      <c r="Z76" s="334"/>
      <c r="AB76" s="493">
        <f t="shared" si="0"/>
        <v>1674</v>
      </c>
      <c r="AC76" s="796">
        <f t="shared" si="1"/>
        <v>0</v>
      </c>
      <c r="AD76" s="796">
        <f t="shared" si="2"/>
        <v>0</v>
      </c>
      <c r="AE76" s="796">
        <f t="shared" si="3"/>
        <v>0</v>
      </c>
      <c r="AF76" s="797"/>
      <c r="AG76" s="796">
        <f t="shared" si="4"/>
        <v>0</v>
      </c>
      <c r="AH76" s="796">
        <f t="shared" si="5"/>
        <v>0</v>
      </c>
      <c r="AI76" s="796">
        <f t="shared" si="6"/>
        <v>0</v>
      </c>
      <c r="AK76" s="67">
        <f>Calcs!$BK$31</f>
        <v>0</v>
      </c>
      <c r="AL76" s="67">
        <f>Calcs!$BK$32</f>
        <v>0</v>
      </c>
      <c r="AM76" s="67">
        <f>Calcs!$BK$33</f>
        <v>0</v>
      </c>
      <c r="AN76" s="67">
        <f>Calcs!$BK$34</f>
        <v>0</v>
      </c>
      <c r="AO76" s="13"/>
      <c r="AP76" s="13"/>
      <c r="AQ76" s="13"/>
      <c r="AR76" s="13"/>
      <c r="AS76" s="93"/>
      <c r="AT76" s="13"/>
    </row>
    <row r="77" spans="1:46" s="1" customFormat="1" ht="12" customHeight="1" x14ac:dyDescent="0.3">
      <c r="A77" s="1">
        <f t="shared" si="8"/>
        <v>1674</v>
      </c>
      <c r="B77" s="485">
        <f>Infrastructure!D125</f>
        <v>1705</v>
      </c>
      <c r="C77" s="310">
        <f>Calcs!$BL$15</f>
        <v>0</v>
      </c>
      <c r="D77" s="313">
        <f>Calcs!$BL$16</f>
        <v>0</v>
      </c>
      <c r="E77" s="308">
        <f>Calcs!$BL$17</f>
        <v>0</v>
      </c>
      <c r="F77" s="313">
        <f>Calcs!$BL$18</f>
        <v>0</v>
      </c>
      <c r="H77" s="310">
        <f>Calcs!$BL$3</f>
        <v>0</v>
      </c>
      <c r="I77" s="313">
        <f>Calcs!$BL$25</f>
        <v>0</v>
      </c>
      <c r="K77" s="310">
        <f>-Calcs!$BL$4</f>
        <v>0</v>
      </c>
      <c r="L77" s="308">
        <f>-Calcs!$BL$6</f>
        <v>0</v>
      </c>
      <c r="M77" s="308">
        <f>-Calcs!$BL$7</f>
        <v>0</v>
      </c>
      <c r="N77" s="313">
        <f>-Calcs!$BL$9</f>
        <v>0</v>
      </c>
      <c r="O77" s="331">
        <f>Calcs!$BL$14</f>
        <v>0</v>
      </c>
      <c r="P77" s="313">
        <v>0</v>
      </c>
      <c r="R77" s="310">
        <f>Calcs!$BL$5</f>
        <v>0</v>
      </c>
      <c r="S77" s="308">
        <f>Calcs!$BL$8</f>
        <v>0</v>
      </c>
      <c r="T77" s="313">
        <f>Calcs!$BL$12</f>
        <v>0</v>
      </c>
      <c r="V77" s="310">
        <f>Calcs!$BL$35</f>
        <v>0</v>
      </c>
      <c r="W77" s="308">
        <f>Calcs!D271</f>
        <v>0</v>
      </c>
      <c r="X77" s="332">
        <f>Calcs!$BL$30</f>
        <v>0</v>
      </c>
      <c r="Y77" s="333">
        <f>Calcs!$BL$29</f>
        <v>0</v>
      </c>
      <c r="Z77" s="334"/>
      <c r="AB77" s="493">
        <f t="shared" si="0"/>
        <v>1705</v>
      </c>
      <c r="AC77" s="796">
        <f t="shared" si="1"/>
        <v>0</v>
      </c>
      <c r="AD77" s="796">
        <f t="shared" si="2"/>
        <v>0</v>
      </c>
      <c r="AE77" s="796">
        <f t="shared" si="3"/>
        <v>0</v>
      </c>
      <c r="AF77" s="797"/>
      <c r="AG77" s="796">
        <f t="shared" si="4"/>
        <v>0</v>
      </c>
      <c r="AH77" s="796">
        <f t="shared" si="5"/>
        <v>0</v>
      </c>
      <c r="AI77" s="796">
        <f t="shared" si="6"/>
        <v>0</v>
      </c>
      <c r="AK77" s="67">
        <f>Calcs!$BL$31</f>
        <v>0</v>
      </c>
      <c r="AL77" s="67">
        <f>Calcs!$BL$32</f>
        <v>0</v>
      </c>
      <c r="AM77" s="67">
        <f>Calcs!$BL$33</f>
        <v>0</v>
      </c>
      <c r="AN77" s="67">
        <f>Calcs!$BL$34</f>
        <v>0</v>
      </c>
      <c r="AO77" s="13"/>
      <c r="AP77" s="13"/>
      <c r="AQ77" s="13"/>
      <c r="AR77" s="13"/>
      <c r="AS77" s="93"/>
      <c r="AT77" s="13"/>
    </row>
    <row r="78" spans="1:46" s="1" customFormat="1" ht="12" customHeight="1" x14ac:dyDescent="0.3">
      <c r="A78" s="1">
        <f t="shared" si="8"/>
        <v>1705</v>
      </c>
      <c r="B78" s="485">
        <f>Infrastructure!D126</f>
        <v>1735</v>
      </c>
      <c r="C78" s="310">
        <f>Calcs!$BM$15</f>
        <v>0</v>
      </c>
      <c r="D78" s="313">
        <f>Calcs!$BM$16</f>
        <v>0</v>
      </c>
      <c r="E78" s="308">
        <f>Calcs!$BM$17</f>
        <v>0</v>
      </c>
      <c r="F78" s="313">
        <f>Calcs!$BM$18</f>
        <v>0</v>
      </c>
      <c r="H78" s="310">
        <f>Calcs!$BM$3</f>
        <v>0</v>
      </c>
      <c r="I78" s="313">
        <f>Calcs!$BM$25</f>
        <v>0</v>
      </c>
      <c r="K78" s="310">
        <f>-Calcs!$BM$4</f>
        <v>0</v>
      </c>
      <c r="L78" s="308">
        <f>-Calcs!$BM$6</f>
        <v>0</v>
      </c>
      <c r="M78" s="308">
        <f>-Calcs!$BM$7</f>
        <v>0</v>
      </c>
      <c r="N78" s="313">
        <f>-Calcs!$BM$9</f>
        <v>0</v>
      </c>
      <c r="O78" s="331">
        <f>Calcs!$BM$14</f>
        <v>0</v>
      </c>
      <c r="P78" s="313">
        <v>0</v>
      </c>
      <c r="R78" s="310">
        <f>Calcs!$BM$5</f>
        <v>0</v>
      </c>
      <c r="S78" s="308">
        <f>Calcs!$BM$8</f>
        <v>0</v>
      </c>
      <c r="T78" s="313">
        <f>Calcs!$BM$12</f>
        <v>0</v>
      </c>
      <c r="V78" s="310">
        <f>Calcs!$BM$35</f>
        <v>0</v>
      </c>
      <c r="W78" s="308">
        <f>Calcs!D272</f>
        <v>0</v>
      </c>
      <c r="X78" s="332">
        <f>Calcs!$BM$30</f>
        <v>0</v>
      </c>
      <c r="Y78" s="333">
        <f>Calcs!$BM$29</f>
        <v>0</v>
      </c>
      <c r="Z78" s="334"/>
      <c r="AB78" s="493">
        <f t="shared" si="0"/>
        <v>1735</v>
      </c>
      <c r="AC78" s="796">
        <f t="shared" si="1"/>
        <v>0</v>
      </c>
      <c r="AD78" s="796">
        <f t="shared" si="2"/>
        <v>0</v>
      </c>
      <c r="AE78" s="796">
        <f t="shared" si="3"/>
        <v>0</v>
      </c>
      <c r="AF78" s="797"/>
      <c r="AG78" s="796">
        <f t="shared" si="4"/>
        <v>0</v>
      </c>
      <c r="AH78" s="796">
        <f t="shared" si="5"/>
        <v>0</v>
      </c>
      <c r="AI78" s="796">
        <f t="shared" si="6"/>
        <v>0</v>
      </c>
      <c r="AK78" s="67">
        <f>Calcs!$BM$31</f>
        <v>0</v>
      </c>
      <c r="AL78" s="67">
        <f>Calcs!$BM$32</f>
        <v>0</v>
      </c>
      <c r="AM78" s="67">
        <f>Calcs!$BM$33</f>
        <v>0</v>
      </c>
      <c r="AN78" s="67">
        <f>Calcs!$BM$34</f>
        <v>0</v>
      </c>
      <c r="AO78" s="13"/>
      <c r="AP78" s="13"/>
      <c r="AQ78" s="13"/>
      <c r="AR78" s="13"/>
      <c r="AS78" s="93"/>
      <c r="AT78" s="13"/>
    </row>
    <row r="79" spans="1:46" s="1" customFormat="1" ht="12" customHeight="1" x14ac:dyDescent="0.3">
      <c r="A79" s="1">
        <f t="shared" si="8"/>
        <v>1735</v>
      </c>
      <c r="B79" s="485">
        <f>Infrastructure!D127</f>
        <v>1766</v>
      </c>
      <c r="C79" s="310">
        <f>Calcs!$BN$15</f>
        <v>0</v>
      </c>
      <c r="D79" s="313">
        <f>Calcs!$BN$16</f>
        <v>0</v>
      </c>
      <c r="E79" s="308">
        <f>Calcs!$BN$17</f>
        <v>0</v>
      </c>
      <c r="F79" s="313">
        <f>Calcs!$BN$18</f>
        <v>0</v>
      </c>
      <c r="H79" s="310">
        <f>Calcs!$BN$3</f>
        <v>0</v>
      </c>
      <c r="I79" s="313">
        <f>Calcs!$BN$25</f>
        <v>0</v>
      </c>
      <c r="K79" s="310">
        <f>-Calcs!$BN$4</f>
        <v>0</v>
      </c>
      <c r="L79" s="308">
        <f>-Calcs!$BN$6</f>
        <v>0</v>
      </c>
      <c r="M79" s="308">
        <f>-Calcs!$BN$7</f>
        <v>0</v>
      </c>
      <c r="N79" s="313">
        <f>-Calcs!$BN$9</f>
        <v>0</v>
      </c>
      <c r="O79" s="331">
        <f>Calcs!$BN$14</f>
        <v>0</v>
      </c>
      <c r="P79" s="313">
        <v>0</v>
      </c>
      <c r="R79" s="310">
        <f>Calcs!$BN$5</f>
        <v>0</v>
      </c>
      <c r="S79" s="308">
        <f>Calcs!$BN$8</f>
        <v>0</v>
      </c>
      <c r="T79" s="313">
        <f>Calcs!$BN$12</f>
        <v>0</v>
      </c>
      <c r="V79" s="310">
        <f>Calcs!$BN$35</f>
        <v>0</v>
      </c>
      <c r="W79" s="308">
        <f>Calcs!D273</f>
        <v>0</v>
      </c>
      <c r="X79" s="332">
        <f>Calcs!$BN$30</f>
        <v>0</v>
      </c>
      <c r="Y79" s="333">
        <f>Calcs!$BN$29</f>
        <v>0</v>
      </c>
      <c r="Z79" s="334"/>
      <c r="AB79" s="493">
        <f t="shared" si="0"/>
        <v>1766</v>
      </c>
      <c r="AC79" s="796">
        <f t="shared" si="1"/>
        <v>0</v>
      </c>
      <c r="AD79" s="796">
        <f t="shared" si="2"/>
        <v>0</v>
      </c>
      <c r="AE79" s="796">
        <f t="shared" si="3"/>
        <v>0</v>
      </c>
      <c r="AF79" s="797"/>
      <c r="AG79" s="796">
        <f t="shared" si="4"/>
        <v>0</v>
      </c>
      <c r="AH79" s="796">
        <f t="shared" si="5"/>
        <v>0</v>
      </c>
      <c r="AI79" s="796">
        <f t="shared" si="6"/>
        <v>0</v>
      </c>
      <c r="AK79" s="67">
        <f>Calcs!$BN$31</f>
        <v>0</v>
      </c>
      <c r="AL79" s="67">
        <f>Calcs!$BN$32</f>
        <v>0</v>
      </c>
      <c r="AM79" s="67">
        <f>Calcs!$BN$33</f>
        <v>0</v>
      </c>
      <c r="AN79" s="67">
        <f>Calcs!$BN$34</f>
        <v>0</v>
      </c>
      <c r="AO79" s="13"/>
      <c r="AP79" s="13"/>
      <c r="AQ79" s="13"/>
      <c r="AR79" s="13"/>
      <c r="AS79" s="93"/>
      <c r="AT79" s="13"/>
    </row>
    <row r="80" spans="1:46" s="1" customFormat="1" ht="12" customHeight="1" x14ac:dyDescent="0.3">
      <c r="A80" s="1">
        <f t="shared" si="8"/>
        <v>1766</v>
      </c>
      <c r="B80" s="485">
        <f>Infrastructure!D128</f>
        <v>1796</v>
      </c>
      <c r="C80" s="310">
        <f>Calcs!$BO$15</f>
        <v>0</v>
      </c>
      <c r="D80" s="313">
        <f>Calcs!$BO$16</f>
        <v>0</v>
      </c>
      <c r="E80" s="308">
        <f>Calcs!$BO$17</f>
        <v>0</v>
      </c>
      <c r="F80" s="313">
        <f>Calcs!$BO$18</f>
        <v>0</v>
      </c>
      <c r="H80" s="310">
        <f>Calcs!$BO$3</f>
        <v>0</v>
      </c>
      <c r="I80" s="313">
        <f>Calcs!$BO$25</f>
        <v>0</v>
      </c>
      <c r="K80" s="310">
        <f>-Calcs!$BO$4</f>
        <v>0</v>
      </c>
      <c r="L80" s="308">
        <f>-Calcs!$BO$6</f>
        <v>0</v>
      </c>
      <c r="M80" s="308">
        <f>-Calcs!$BO$7</f>
        <v>0</v>
      </c>
      <c r="N80" s="313">
        <f>-Calcs!$BO$9</f>
        <v>0</v>
      </c>
      <c r="O80" s="331">
        <f>Calcs!$BO$14</f>
        <v>0</v>
      </c>
      <c r="P80" s="313">
        <v>0</v>
      </c>
      <c r="R80" s="310">
        <f>Calcs!$BO$5</f>
        <v>0</v>
      </c>
      <c r="S80" s="308">
        <f>Calcs!$BO$8</f>
        <v>0</v>
      </c>
      <c r="T80" s="313">
        <f>Calcs!$BO$12</f>
        <v>0</v>
      </c>
      <c r="V80" s="310">
        <f>Calcs!$BO$35</f>
        <v>0</v>
      </c>
      <c r="W80" s="308">
        <f>Calcs!D274</f>
        <v>0</v>
      </c>
      <c r="X80" s="332">
        <f>Calcs!$BO$30</f>
        <v>0</v>
      </c>
      <c r="Y80" s="333">
        <f>Calcs!$BO$29</f>
        <v>0</v>
      </c>
      <c r="Z80" s="334"/>
      <c r="AB80" s="493">
        <f t="shared" si="0"/>
        <v>1796</v>
      </c>
      <c r="AC80" s="796">
        <f t="shared" si="1"/>
        <v>0</v>
      </c>
      <c r="AD80" s="796">
        <f t="shared" si="2"/>
        <v>0</v>
      </c>
      <c r="AE80" s="796">
        <f t="shared" si="3"/>
        <v>0</v>
      </c>
      <c r="AF80" s="797"/>
      <c r="AG80" s="796">
        <f t="shared" si="4"/>
        <v>0</v>
      </c>
      <c r="AH80" s="796">
        <f t="shared" si="5"/>
        <v>0</v>
      </c>
      <c r="AI80" s="796">
        <f t="shared" si="6"/>
        <v>0</v>
      </c>
      <c r="AK80" s="67">
        <f>Calcs!$BO$31</f>
        <v>0</v>
      </c>
      <c r="AL80" s="67">
        <f>Calcs!$BO$32</f>
        <v>0</v>
      </c>
      <c r="AM80" s="67">
        <f>Calcs!$BO$33</f>
        <v>0</v>
      </c>
      <c r="AN80" s="67">
        <f>Calcs!$BO$34</f>
        <v>0</v>
      </c>
      <c r="AO80" s="13"/>
      <c r="AP80" s="13"/>
      <c r="AQ80" s="13"/>
      <c r="AR80" s="13"/>
      <c r="AS80" s="93"/>
      <c r="AT80" s="13"/>
    </row>
    <row r="81" spans="2:46" s="1" customFormat="1" ht="12" customHeight="1" thickBot="1" x14ac:dyDescent="0.35">
      <c r="B81" s="485">
        <f>Infrastructure!D129</f>
        <v>1827</v>
      </c>
      <c r="C81" s="311">
        <f>Calcs!$BP$15</f>
        <v>0</v>
      </c>
      <c r="D81" s="314">
        <f>Calcs!$BP$14</f>
        <v>0</v>
      </c>
      <c r="E81" s="309">
        <f>Calcs!$BP$17</f>
        <v>0</v>
      </c>
      <c r="F81" s="314">
        <f>Calcs!$BP$18</f>
        <v>0</v>
      </c>
      <c r="H81" s="311">
        <f>Calcs!$BP$3</f>
        <v>0</v>
      </c>
      <c r="I81" s="314">
        <f>Calcs!$BP$25</f>
        <v>0</v>
      </c>
      <c r="K81" s="311">
        <f>-Calcs!$BP$4</f>
        <v>0</v>
      </c>
      <c r="L81" s="309">
        <f>-Calcs!$BP$6</f>
        <v>0</v>
      </c>
      <c r="M81" s="309">
        <f>-Calcs!$BP$7</f>
        <v>0</v>
      </c>
      <c r="N81" s="314">
        <f>-Calcs!$BP$9</f>
        <v>0</v>
      </c>
      <c r="O81" s="335">
        <f>Calcs!$BP$14</f>
        <v>0</v>
      </c>
      <c r="P81" s="314">
        <v>0</v>
      </c>
      <c r="R81" s="311">
        <f>Calcs!$BP$5</f>
        <v>0</v>
      </c>
      <c r="S81" s="309">
        <f>Calcs!$BP$8</f>
        <v>0</v>
      </c>
      <c r="T81" s="314">
        <f>Calcs!$BP$12</f>
        <v>0</v>
      </c>
      <c r="V81" s="311">
        <f>Calcs!$BP$35</f>
        <v>0</v>
      </c>
      <c r="W81" s="309">
        <f>Calcs!D275</f>
        <v>0</v>
      </c>
      <c r="X81" s="336">
        <f>Calcs!$BP$30</f>
        <v>0</v>
      </c>
      <c r="Y81" s="337">
        <f>Calcs!$BP$29</f>
        <v>0</v>
      </c>
      <c r="Z81" s="339"/>
      <c r="AB81" s="795">
        <f t="shared" si="0"/>
        <v>1827</v>
      </c>
      <c r="AC81" s="798">
        <f t="shared" si="1"/>
        <v>0</v>
      </c>
      <c r="AD81" s="798">
        <f t="shared" si="2"/>
        <v>0</v>
      </c>
      <c r="AE81" s="798">
        <f t="shared" si="3"/>
        <v>0</v>
      </c>
      <c r="AF81" s="797"/>
      <c r="AG81" s="796">
        <f t="shared" si="4"/>
        <v>0</v>
      </c>
      <c r="AH81" s="796">
        <f t="shared" si="5"/>
        <v>0</v>
      </c>
      <c r="AI81" s="796">
        <f t="shared" si="6"/>
        <v>0</v>
      </c>
      <c r="AK81" s="67">
        <f>Calcs!$BP$31</f>
        <v>0</v>
      </c>
      <c r="AL81" s="67">
        <f>Calcs!$BP$32</f>
        <v>0</v>
      </c>
      <c r="AM81" s="67">
        <f>Calcs!$BP$33</f>
        <v>0</v>
      </c>
      <c r="AN81" s="67">
        <f>Calcs!$BP$34</f>
        <v>0</v>
      </c>
      <c r="AO81" s="13"/>
      <c r="AP81" s="13"/>
      <c r="AQ81" s="13"/>
      <c r="AR81" s="13"/>
      <c r="AS81" s="93"/>
      <c r="AT81" s="13"/>
    </row>
    <row r="82" spans="2:46" s="1" customFormat="1" x14ac:dyDescent="0.35">
      <c r="B82"/>
      <c r="C82" s="866">
        <f>SUM(C22:C81)</f>
        <v>0</v>
      </c>
      <c r="D82" s="866">
        <f t="shared" ref="D82:O82" si="9">SUM(D22:D81)</f>
        <v>0</v>
      </c>
      <c r="E82" s="866">
        <f t="shared" si="9"/>
        <v>0</v>
      </c>
      <c r="F82" s="866">
        <f t="shared" si="9"/>
        <v>0</v>
      </c>
      <c r="G82" s="867"/>
      <c r="H82" s="866">
        <f t="shared" si="9"/>
        <v>0</v>
      </c>
      <c r="I82" s="866">
        <f t="shared" si="9"/>
        <v>0</v>
      </c>
      <c r="J82" s="867"/>
      <c r="K82" s="866">
        <f t="shared" si="9"/>
        <v>0</v>
      </c>
      <c r="L82" s="866">
        <f t="shared" si="9"/>
        <v>0</v>
      </c>
      <c r="M82" s="866">
        <f t="shared" si="9"/>
        <v>0</v>
      </c>
      <c r="N82" s="866">
        <f t="shared" si="9"/>
        <v>0</v>
      </c>
      <c r="O82" s="866">
        <f t="shared" si="9"/>
        <v>0</v>
      </c>
      <c r="P82" s="867"/>
      <c r="Q82" s="867"/>
      <c r="R82" s="866">
        <f t="shared" ref="R82:X82" si="10">SUM(R22:R81)</f>
        <v>0</v>
      </c>
      <c r="S82" s="866">
        <f t="shared" si="10"/>
        <v>0</v>
      </c>
      <c r="T82" s="866">
        <f t="shared" si="10"/>
        <v>0</v>
      </c>
      <c r="U82" s="867"/>
      <c r="V82" s="866">
        <f t="shared" si="10"/>
        <v>0</v>
      </c>
      <c r="W82" s="866">
        <f t="shared" si="10"/>
        <v>0</v>
      </c>
      <c r="X82" s="866">
        <f t="shared" si="10"/>
        <v>0</v>
      </c>
      <c r="AC82" s="13"/>
      <c r="AD82" s="13"/>
      <c r="AE82" s="13"/>
      <c r="AF82" s="40"/>
      <c r="AG82" s="13"/>
      <c r="AH82" s="13"/>
      <c r="AI82" s="13"/>
      <c r="AJ82" s="13"/>
      <c r="AK82" s="67"/>
      <c r="AL82" s="67"/>
      <c r="AM82" s="67"/>
      <c r="AN82" s="67"/>
      <c r="AO82" s="13"/>
      <c r="AP82" s="13"/>
      <c r="AQ82" s="13"/>
      <c r="AR82" s="13"/>
      <c r="AS82" s="93"/>
      <c r="AT82" s="13"/>
    </row>
    <row r="83" spans="2:46" s="1" customFormat="1" x14ac:dyDescent="0.3">
      <c r="AC83" s="13"/>
      <c r="AD83" s="13"/>
      <c r="AE83" s="13"/>
      <c r="AF83" s="40"/>
      <c r="AG83" s="13"/>
      <c r="AH83" s="13"/>
      <c r="AI83" s="13"/>
      <c r="AJ83" s="13"/>
      <c r="AK83" s="67"/>
      <c r="AL83" s="67"/>
      <c r="AM83" s="67"/>
      <c r="AN83" s="67"/>
      <c r="AO83" s="13"/>
      <c r="AP83" s="13"/>
      <c r="AQ83" s="13"/>
      <c r="AR83" s="13"/>
      <c r="AS83" s="93"/>
      <c r="AT83" s="13"/>
    </row>
    <row r="84" spans="2:46" s="1" customFormat="1" x14ac:dyDescent="0.3">
      <c r="AC84" s="13"/>
      <c r="AD84" s="13"/>
      <c r="AE84" s="13"/>
      <c r="AF84" s="40"/>
      <c r="AG84" s="13"/>
      <c r="AH84" s="13"/>
      <c r="AI84" s="13"/>
      <c r="AJ84" s="13"/>
      <c r="AK84" s="13"/>
      <c r="AL84" s="13"/>
      <c r="AM84" s="13"/>
      <c r="AN84" s="13"/>
      <c r="AO84" s="13"/>
      <c r="AP84" s="13"/>
      <c r="AQ84" s="13"/>
      <c r="AR84" s="13"/>
      <c r="AS84" s="93"/>
      <c r="AT84" s="13"/>
    </row>
    <row r="85" spans="2:46" s="1" customFormat="1" x14ac:dyDescent="0.3">
      <c r="AC85" s="13"/>
      <c r="AD85" s="13"/>
      <c r="AE85" s="13"/>
      <c r="AF85" s="40"/>
      <c r="AG85" s="13"/>
      <c r="AH85" s="13"/>
      <c r="AI85" s="13"/>
      <c r="AJ85" s="13"/>
      <c r="AK85" s="13"/>
      <c r="AL85" s="13"/>
      <c r="AM85" s="13"/>
      <c r="AN85" s="13"/>
      <c r="AO85" s="13"/>
      <c r="AP85" s="13"/>
      <c r="AQ85" s="13"/>
      <c r="AR85" s="13"/>
      <c r="AS85" s="93"/>
      <c r="AT85" s="13"/>
    </row>
    <row r="86" spans="2:46" s="1" customFormat="1" x14ac:dyDescent="0.3">
      <c r="AC86" s="13"/>
      <c r="AD86" s="13"/>
      <c r="AE86" s="13"/>
      <c r="AF86" s="40"/>
      <c r="AG86" s="13"/>
      <c r="AH86" s="13"/>
      <c r="AI86" s="13"/>
      <c r="AJ86" s="13"/>
      <c r="AK86" s="13"/>
      <c r="AL86" s="13"/>
      <c r="AM86" s="13"/>
      <c r="AN86" s="13"/>
      <c r="AO86" s="13"/>
      <c r="AP86" s="13"/>
      <c r="AQ86" s="13"/>
      <c r="AR86" s="13"/>
      <c r="AS86" s="93"/>
      <c r="AT86" s="13"/>
    </row>
    <row r="87" spans="2:46" s="1" customFormat="1" x14ac:dyDescent="0.3">
      <c r="AC87" s="13"/>
      <c r="AD87" s="13"/>
      <c r="AE87" s="13"/>
      <c r="AF87" s="40"/>
      <c r="AG87" s="13"/>
      <c r="AH87" s="13"/>
      <c r="AI87" s="13"/>
      <c r="AJ87" s="13"/>
      <c r="AK87" s="13"/>
      <c r="AL87" s="13"/>
      <c r="AM87" s="13"/>
      <c r="AN87" s="13"/>
      <c r="AO87" s="13"/>
      <c r="AP87" s="13"/>
      <c r="AQ87" s="13"/>
      <c r="AR87" s="13"/>
      <c r="AS87" s="93"/>
      <c r="AT87" s="13"/>
    </row>
    <row r="88" spans="2:46" s="1" customFormat="1" x14ac:dyDescent="0.3">
      <c r="AC88" s="13"/>
      <c r="AD88" s="13"/>
      <c r="AE88" s="13"/>
      <c r="AF88" s="40"/>
      <c r="AG88" s="13"/>
      <c r="AH88" s="13"/>
      <c r="AI88" s="13"/>
      <c r="AJ88" s="13"/>
      <c r="AK88" s="13"/>
      <c r="AL88" s="13"/>
      <c r="AM88" s="13"/>
      <c r="AN88" s="13"/>
      <c r="AO88" s="13"/>
      <c r="AP88" s="13"/>
      <c r="AQ88" s="13"/>
      <c r="AR88" s="13"/>
      <c r="AS88" s="93"/>
      <c r="AT88" s="13"/>
    </row>
    <row r="89" spans="2:46" s="1" customFormat="1" x14ac:dyDescent="0.3">
      <c r="AC89" s="13"/>
      <c r="AD89" s="13"/>
      <c r="AE89" s="13"/>
      <c r="AF89" s="40"/>
      <c r="AG89" s="13"/>
      <c r="AH89" s="13"/>
      <c r="AI89" s="13"/>
      <c r="AJ89" s="13"/>
      <c r="AK89" s="13"/>
      <c r="AL89" s="13"/>
      <c r="AM89" s="13"/>
      <c r="AN89" s="13"/>
      <c r="AO89" s="13"/>
      <c r="AP89" s="13"/>
      <c r="AQ89" s="13"/>
      <c r="AR89" s="13"/>
      <c r="AS89" s="93"/>
      <c r="AT89" s="13"/>
    </row>
    <row r="90" spans="2:46" s="1" customFormat="1" x14ac:dyDescent="0.3">
      <c r="AC90" s="13"/>
      <c r="AD90" s="13"/>
      <c r="AE90" s="13"/>
      <c r="AF90" s="40"/>
      <c r="AG90" s="13"/>
      <c r="AH90" s="13"/>
      <c r="AI90" s="13"/>
      <c r="AJ90" s="13"/>
      <c r="AK90" s="13"/>
      <c r="AL90" s="13"/>
      <c r="AM90" s="13"/>
      <c r="AN90" s="13"/>
      <c r="AO90" s="13"/>
      <c r="AP90" s="13"/>
      <c r="AQ90" s="13"/>
      <c r="AR90" s="13"/>
      <c r="AS90" s="93"/>
      <c r="AT90" s="13"/>
    </row>
    <row r="91" spans="2:46" x14ac:dyDescent="0.35">
      <c r="AS91" s="306"/>
    </row>
    <row r="92" spans="2:46" x14ac:dyDescent="0.35">
      <c r="AS92" s="306"/>
    </row>
    <row r="93" spans="2:46" x14ac:dyDescent="0.35">
      <c r="AS93" s="306"/>
    </row>
    <row r="94" spans="2:46" x14ac:dyDescent="0.35">
      <c r="AS94" s="306"/>
    </row>
    <row r="95" spans="2:46" x14ac:dyDescent="0.35">
      <c r="AS95" s="306"/>
    </row>
    <row r="96" spans="2:46" x14ac:dyDescent="0.35">
      <c r="AS96" s="306"/>
    </row>
    <row r="97" spans="45:45" x14ac:dyDescent="0.35">
      <c r="AS97" s="306"/>
    </row>
    <row r="98" spans="45:45" x14ac:dyDescent="0.35">
      <c r="AS98" s="306"/>
    </row>
    <row r="99" spans="45:45" x14ac:dyDescent="0.35">
      <c r="AS99" s="306"/>
    </row>
    <row r="100" spans="45:45" x14ac:dyDescent="0.35">
      <c r="AS100" s="306"/>
    </row>
    <row r="101" spans="45:45" x14ac:dyDescent="0.35">
      <c r="AS101" s="306"/>
    </row>
    <row r="102" spans="45:45" x14ac:dyDescent="0.35">
      <c r="AS102" s="306"/>
    </row>
  </sheetData>
  <sheetProtection algorithmName="SHA-512" hashValue="mVIlpNlANqr9Fh6EJgphIwZyduNz18NLd6lK1utyO6oTM2QCnAgVGFPfMgVfn6okqX22EuBHcDQ32DsE8ffm6g==" saltValue="3nysQJdkximfJx/hoTXhMw==" spinCount="100000" sheet="1" objects="1" scenarios="1"/>
  <mergeCells count="8">
    <mergeCell ref="C17:O17"/>
    <mergeCell ref="R17:Z17"/>
    <mergeCell ref="K19:N19"/>
    <mergeCell ref="R19:T19"/>
    <mergeCell ref="X19:Z19"/>
    <mergeCell ref="V19:W19"/>
    <mergeCell ref="H19:I19"/>
    <mergeCell ref="C19:F19"/>
  </mergeCells>
  <conditionalFormatting sqref="A1:Z15">
    <cfRule type="expression" dxfId="118" priority="8">
      <formula>(Mode="Dark")</formula>
    </cfRule>
  </conditionalFormatting>
  <conditionalFormatting sqref="B58">
    <cfRule type="containsText" dxfId="117" priority="3" operator="containsText" text="Totals">
      <formula>NOT(ISERROR(SEARCH("Totals",B58)))</formula>
    </cfRule>
  </conditionalFormatting>
  <conditionalFormatting sqref="B59:AI82">
    <cfRule type="expression" dxfId="116" priority="4">
      <formula>Years="Three"</formula>
    </cfRule>
  </conditionalFormatting>
  <conditionalFormatting sqref="C22:F81">
    <cfRule type="cellIs" dxfId="115" priority="43" operator="equal">
      <formula>0</formula>
    </cfRule>
  </conditionalFormatting>
  <conditionalFormatting sqref="C58:W58">
    <cfRule type="expression" dxfId="114" priority="18">
      <formula>(Years="Three")</formula>
    </cfRule>
  </conditionalFormatting>
  <conditionalFormatting sqref="H22:I81">
    <cfRule type="cellIs" dxfId="113" priority="32" operator="equal">
      <formula>0</formula>
    </cfRule>
  </conditionalFormatting>
  <conditionalFormatting sqref="V22:V81">
    <cfRule type="cellIs" dxfId="112" priority="31" operator="equal">
      <formula>0</formula>
    </cfRule>
  </conditionalFormatting>
  <conditionalFormatting sqref="V81:W81">
    <cfRule type="cellIs" dxfId="111" priority="26" operator="equal">
      <formula>0</formula>
    </cfRule>
  </conditionalFormatting>
  <conditionalFormatting sqref="W22:W80">
    <cfRule type="cellIs" dxfId="110" priority="25" operator="equal">
      <formula>0</formula>
    </cfRule>
  </conditionalFormatting>
  <conditionalFormatting sqref="X22:X81">
    <cfRule type="colorScale" priority="45">
      <colorScale>
        <cfvo type="min"/>
        <cfvo type="percentile" val="50"/>
        <cfvo type="max"/>
        <color rgb="FFF8696B"/>
        <color rgb="FFFFEB84"/>
        <color rgb="FF63BE7B"/>
      </colorScale>
    </cfRule>
  </conditionalFormatting>
  <conditionalFormatting sqref="X22:Y81 C22:E22 K22:P81 R22:T81 C30:E76">
    <cfRule type="cellIs" dxfId="109" priority="48" operator="equal">
      <formula>0</formula>
    </cfRule>
  </conditionalFormatting>
  <conditionalFormatting sqref="X22:Y81">
    <cfRule type="expression" dxfId="108" priority="29">
      <formula>SUM($X$22:$X$81)=0</formula>
    </cfRule>
  </conditionalFormatting>
  <conditionalFormatting sqref="Y22:Y81">
    <cfRule type="colorScale" priority="44">
      <colorScale>
        <cfvo type="min"/>
        <cfvo type="percentile" val="50"/>
        <cfvo type="max"/>
        <color rgb="FFF8696B"/>
        <color rgb="FFFFEB84"/>
        <color rgb="FF63BE7B"/>
      </colorScale>
    </cfRule>
  </conditionalFormatting>
  <conditionalFormatting sqref="Y58:AA58 AC58:AJ58">
    <cfRule type="expression" dxfId="107" priority="16">
      <formula>AND(Years="Three",Mode="Dark")</formula>
    </cfRule>
    <cfRule type="expression" dxfId="106" priority="17">
      <formula>AND(Years="Three",Mode="Light")</formula>
    </cfRule>
  </conditionalFormatting>
  <conditionalFormatting sqref="Z22:Z81">
    <cfRule type="expression" dxfId="105" priority="1">
      <formula>$Y22&gt;0</formula>
    </cfRule>
    <cfRule type="expression" dxfId="104" priority="2">
      <formula>$Y22&lt;0</formula>
    </cfRule>
  </conditionalFormatting>
  <conditionalFormatting sqref="AB58">
    <cfRule type="expression" dxfId="103" priority="11">
      <formula>(Mode="Dark")</formula>
    </cfRule>
    <cfRule type="expression" dxfId="102" priority="12">
      <formula>(Years="Three")</formula>
    </cfRule>
  </conditionalFormatting>
  <conditionalFormatting sqref="AB59:AB81">
    <cfRule type="expression" dxfId="101" priority="5">
      <formula>AND(Years="Five",Mode="Light")</formula>
    </cfRule>
    <cfRule type="expression" dxfId="100" priority="6">
      <formula>AND(Years="Three",Mode="Dark")</formula>
    </cfRule>
    <cfRule type="expression" dxfId="99" priority="9">
      <formula>AND(Years="Five",Mode="Dark")</formula>
    </cfRule>
    <cfRule type="expression" dxfId="98" priority="10">
      <formula>AND(Years="Three",Mode="Light")</formula>
    </cfRule>
  </conditionalFormatting>
  <conditionalFormatting sqref="AK21:AN81">
    <cfRule type="expression" dxfId="97" priority="7">
      <formula>(Mode="Dark")</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A7430-5503-4DF6-9FC2-B5259F4CD509}">
  <sheetPr codeName="Sheet3"/>
  <dimension ref="B1:CY387"/>
  <sheetViews>
    <sheetView showGridLines="0" workbookViewId="0">
      <selection activeCell="O36" sqref="O36"/>
    </sheetView>
  </sheetViews>
  <sheetFormatPr defaultColWidth="9" defaultRowHeight="13" x14ac:dyDescent="0.3"/>
  <cols>
    <col min="1" max="1" width="1.58203125" style="40" customWidth="1"/>
    <col min="2" max="2" width="0" style="40" hidden="1" customWidth="1"/>
    <col min="3" max="4" width="13" style="40" hidden="1" customWidth="1"/>
    <col min="5" max="5" width="9.75" style="40" customWidth="1"/>
    <col min="6" max="10" width="10.58203125" style="40" customWidth="1"/>
    <col min="11" max="11" width="1.08203125" style="40" customWidth="1"/>
    <col min="12" max="12" width="6.5" style="40" customWidth="1"/>
    <col min="13" max="17" width="10.83203125" style="40" customWidth="1"/>
    <col min="18" max="18" width="3.75" style="40" customWidth="1"/>
    <col min="19" max="19" width="9.75" style="40" customWidth="1"/>
    <col min="20" max="24" width="10.58203125" style="40" customWidth="1"/>
    <col min="25" max="16384" width="9" style="40"/>
  </cols>
  <sheetData>
    <row r="1" spans="3:103" s="13" customFormat="1" x14ac:dyDescent="0.35"/>
    <row r="2" spans="3:103" s="13" customFormat="1" x14ac:dyDescent="0.35"/>
    <row r="3" spans="3:103" s="13" customFormat="1" x14ac:dyDescent="0.35"/>
    <row r="4" spans="3:103" s="13" customFormat="1" ht="13.5" thickBot="1" x14ac:dyDescent="0.4">
      <c r="C4" s="388" t="str">
        <f>IF(MIN(O166:O225)&lt;0,"Largest Deficit","Lowest Cash Balance")</f>
        <v>Lowest Cash Balance</v>
      </c>
      <c r="D4" s="388" t="s">
        <v>165</v>
      </c>
      <c r="M4" s="1721" t="str">
        <f>F20</f>
        <v>Year 1</v>
      </c>
      <c r="N4" s="1721" t="str">
        <f>G20</f>
        <v>Year 2</v>
      </c>
      <c r="O4" s="1721" t="str">
        <f>H20</f>
        <v>Year 3</v>
      </c>
      <c r="P4" s="1721" t="str">
        <f>I20</f>
        <v>Year 4</v>
      </c>
      <c r="Q4" s="1721" t="str">
        <f>J20</f>
        <v>Year 5</v>
      </c>
    </row>
    <row r="5" spans="3:103" s="13" customFormat="1" x14ac:dyDescent="0.35">
      <c r="C5" s="333">
        <f>MIN(O166:O225)</f>
        <v>0</v>
      </c>
      <c r="L5" s="1722">
        <f t="shared" ref="L5:L16" si="0">E21</f>
        <v>0</v>
      </c>
      <c r="M5" s="1734"/>
      <c r="N5" s="1735"/>
      <c r="O5" s="1736"/>
      <c r="P5" s="1747"/>
      <c r="Q5" s="1736"/>
    </row>
    <row r="6" spans="3:103" s="13" customFormat="1" x14ac:dyDescent="0.35">
      <c r="L6" s="1722">
        <f t="shared" si="0"/>
        <v>59</v>
      </c>
      <c r="M6" s="1737"/>
      <c r="N6" s="1738"/>
      <c r="O6" s="1739"/>
      <c r="P6" s="1748"/>
      <c r="Q6" s="1739"/>
    </row>
    <row r="7" spans="3:103" s="13" customFormat="1" x14ac:dyDescent="0.35">
      <c r="C7" s="1908" t="s">
        <v>612</v>
      </c>
      <c r="D7" s="1909"/>
      <c r="L7" s="1722">
        <f t="shared" si="0"/>
        <v>91</v>
      </c>
      <c r="M7" s="1737"/>
      <c r="N7" s="1738">
        <v>1000000</v>
      </c>
      <c r="O7" s="1739"/>
      <c r="P7" s="1748"/>
      <c r="Q7" s="1739"/>
    </row>
    <row r="8" spans="3:103" s="13" customFormat="1" x14ac:dyDescent="0.35">
      <c r="C8" s="1743"/>
      <c r="D8" s="1743"/>
      <c r="L8" s="1722">
        <f t="shared" si="0"/>
        <v>121</v>
      </c>
      <c r="M8" s="1737"/>
      <c r="N8" s="1738"/>
      <c r="O8" s="1739"/>
      <c r="P8" s="1748"/>
      <c r="Q8" s="1739"/>
    </row>
    <row r="9" spans="3:103" s="13" customFormat="1" x14ac:dyDescent="0.35">
      <c r="C9" s="1743"/>
      <c r="D9" s="1743"/>
      <c r="L9" s="1722">
        <f t="shared" si="0"/>
        <v>152</v>
      </c>
      <c r="M9" s="1737"/>
      <c r="N9" s="1738"/>
      <c r="O9" s="1739"/>
      <c r="P9" s="1748"/>
      <c r="Q9" s="1739"/>
    </row>
    <row r="10" spans="3:103" s="13" customFormat="1" x14ac:dyDescent="0.35">
      <c r="C10" s="1743"/>
      <c r="D10" s="1743"/>
      <c r="L10" s="1722">
        <f t="shared" si="0"/>
        <v>182</v>
      </c>
      <c r="M10" s="1737"/>
      <c r="N10" s="1738"/>
      <c r="O10" s="1739"/>
      <c r="P10" s="1748"/>
      <c r="Q10" s="1739"/>
    </row>
    <row r="11" spans="3:103" s="13" customFormat="1" x14ac:dyDescent="0.35">
      <c r="C11" s="1743"/>
      <c r="D11" s="1743"/>
      <c r="L11" s="1722">
        <f t="shared" si="0"/>
        <v>213</v>
      </c>
      <c r="M11" s="1737"/>
      <c r="N11" s="1738"/>
      <c r="O11" s="1739"/>
      <c r="P11" s="1748"/>
      <c r="Q11" s="1739"/>
    </row>
    <row r="12" spans="3:103" s="13" customFormat="1" x14ac:dyDescent="0.35">
      <c r="C12" s="1743"/>
      <c r="D12" s="1743"/>
      <c r="L12" s="1722">
        <f t="shared" si="0"/>
        <v>244</v>
      </c>
      <c r="M12" s="1737"/>
      <c r="N12" s="1738"/>
      <c r="O12" s="1739"/>
      <c r="P12" s="1748"/>
      <c r="Q12" s="1739"/>
    </row>
    <row r="13" spans="3:103" s="13" customFormat="1" x14ac:dyDescent="0.35">
      <c r="C13" s="1743"/>
      <c r="D13" s="1743"/>
      <c r="L13" s="1722">
        <f t="shared" si="0"/>
        <v>274</v>
      </c>
      <c r="M13" s="1737"/>
      <c r="N13" s="1738"/>
      <c r="O13" s="1739"/>
      <c r="P13" s="1748"/>
      <c r="Q13" s="1739"/>
    </row>
    <row r="14" spans="3:103" s="13" customFormat="1" x14ac:dyDescent="0.35">
      <c r="C14" s="1743"/>
      <c r="D14" s="1743"/>
      <c r="L14" s="1722">
        <f t="shared" si="0"/>
        <v>305</v>
      </c>
      <c r="M14" s="1737"/>
      <c r="N14" s="1738"/>
      <c r="O14" s="1739"/>
      <c r="P14" s="1748"/>
      <c r="Q14" s="1739"/>
      <c r="AR14" s="62">
        <f>$O$166</f>
        <v>0</v>
      </c>
      <c r="AS14" s="62">
        <f>$O$167</f>
        <v>0</v>
      </c>
      <c r="AT14" s="62">
        <f>$O$168</f>
        <v>0</v>
      </c>
      <c r="AU14" s="62">
        <f>$O$169</f>
        <v>0</v>
      </c>
      <c r="AV14" s="62">
        <f>$O$170</f>
        <v>0</v>
      </c>
      <c r="AW14" s="62">
        <f>$O$171</f>
        <v>0</v>
      </c>
      <c r="AX14" s="62">
        <f>$O$172</f>
        <v>0</v>
      </c>
      <c r="AY14" s="62">
        <f>$O$173</f>
        <v>0</v>
      </c>
      <c r="AZ14" s="62">
        <f>$O$174</f>
        <v>0</v>
      </c>
      <c r="BA14" s="62">
        <f>$O$175</f>
        <v>0</v>
      </c>
      <c r="BB14" s="62">
        <f>$O$176</f>
        <v>0</v>
      </c>
      <c r="BC14" s="62">
        <f>$O$177</f>
        <v>0</v>
      </c>
      <c r="BD14" s="62">
        <f>$O$178</f>
        <v>0</v>
      </c>
      <c r="BE14" s="62">
        <f>$O$179</f>
        <v>0</v>
      </c>
      <c r="BF14" s="62">
        <f>$O$180</f>
        <v>1000000</v>
      </c>
      <c r="BG14" s="62">
        <f>$O$181</f>
        <v>1000000</v>
      </c>
      <c r="BH14" s="62">
        <f>$O$182</f>
        <v>1000000</v>
      </c>
      <c r="BI14" s="62">
        <f>$O$183</f>
        <v>1000000</v>
      </c>
      <c r="BJ14" s="62">
        <f>$O$184</f>
        <v>1000000</v>
      </c>
      <c r="BK14" s="62">
        <f>$O$185</f>
        <v>1000000</v>
      </c>
      <c r="BL14" s="62">
        <f>$O$186</f>
        <v>1000000</v>
      </c>
      <c r="BM14" s="62">
        <f>$O$187</f>
        <v>1000000</v>
      </c>
      <c r="BN14" s="62">
        <f>$O$188</f>
        <v>1000000</v>
      </c>
      <c r="BO14" s="62">
        <f>$O$189</f>
        <v>1000000</v>
      </c>
      <c r="BP14" s="62">
        <f>$O$190</f>
        <v>1000000</v>
      </c>
      <c r="BQ14" s="62">
        <f>$O$191</f>
        <v>1000000</v>
      </c>
      <c r="BR14" s="62">
        <f>$O$192</f>
        <v>1000000</v>
      </c>
      <c r="BS14" s="62">
        <f>$O$193</f>
        <v>1000000</v>
      </c>
      <c r="BT14" s="62">
        <f>$O$194</f>
        <v>1000000</v>
      </c>
      <c r="BU14" s="62">
        <f>$O$195</f>
        <v>1000000</v>
      </c>
      <c r="BV14" s="62">
        <f>$O$196</f>
        <v>1000000</v>
      </c>
      <c r="BW14" s="62">
        <f>$O$197</f>
        <v>1000000</v>
      </c>
      <c r="BX14" s="62">
        <f>$O$198</f>
        <v>1000000</v>
      </c>
      <c r="BY14" s="62">
        <f>$O$199</f>
        <v>1000000</v>
      </c>
      <c r="BZ14" s="62">
        <f>$O$200</f>
        <v>1000000</v>
      </c>
      <c r="CA14" s="62">
        <f>$O$201</f>
        <v>1000000</v>
      </c>
      <c r="CB14" s="62">
        <f>$O$202</f>
        <v>1000000</v>
      </c>
      <c r="CC14" s="62">
        <f>$O$203</f>
        <v>1000000</v>
      </c>
      <c r="CD14" s="62">
        <f>$O$204</f>
        <v>1000000</v>
      </c>
      <c r="CE14" s="62">
        <f>$O$205</f>
        <v>1000000</v>
      </c>
      <c r="CF14" s="62">
        <f>$O$206</f>
        <v>1000000</v>
      </c>
      <c r="CG14" s="62">
        <f>$O$207</f>
        <v>1000000</v>
      </c>
      <c r="CH14" s="62">
        <f>$O$208</f>
        <v>1000000</v>
      </c>
      <c r="CI14" s="62">
        <f>$O$209</f>
        <v>1000000</v>
      </c>
      <c r="CJ14" s="62">
        <f>$O$210</f>
        <v>1000000</v>
      </c>
      <c r="CK14" s="62">
        <f>$O$211</f>
        <v>1000000</v>
      </c>
      <c r="CL14" s="62">
        <f>$O$212</f>
        <v>1000000</v>
      </c>
      <c r="CM14" s="62">
        <f>$O$213</f>
        <v>1000000</v>
      </c>
      <c r="CN14" s="62">
        <f>$O$214</f>
        <v>1000000</v>
      </c>
      <c r="CO14" s="62">
        <f>$O$215</f>
        <v>1000000</v>
      </c>
      <c r="CP14" s="62">
        <f>$O$216</f>
        <v>1000000</v>
      </c>
      <c r="CQ14" s="62">
        <f>$O$217</f>
        <v>1000000</v>
      </c>
      <c r="CR14" s="62">
        <f>$O$218</f>
        <v>1000000</v>
      </c>
      <c r="CS14" s="62">
        <f>$O$219</f>
        <v>1000000</v>
      </c>
      <c r="CT14" s="62">
        <f>$O$220</f>
        <v>1000000</v>
      </c>
      <c r="CU14" s="62">
        <f>$O$221</f>
        <v>1000000</v>
      </c>
      <c r="CV14" s="62">
        <f>$O$222</f>
        <v>1000000</v>
      </c>
      <c r="CW14" s="62">
        <f>$O$223</f>
        <v>1000000</v>
      </c>
      <c r="CX14" s="62">
        <f>$O$224</f>
        <v>1000000</v>
      </c>
      <c r="CY14" s="62">
        <f>$O$225</f>
        <v>1000000</v>
      </c>
    </row>
    <row r="15" spans="3:103" s="13" customFormat="1" x14ac:dyDescent="0.35">
      <c r="C15" s="1743"/>
      <c r="D15" s="1743"/>
      <c r="L15" s="1722">
        <f t="shared" si="0"/>
        <v>335</v>
      </c>
      <c r="M15" s="1737"/>
      <c r="N15" s="1738"/>
      <c r="O15" s="1739"/>
      <c r="P15" s="1748"/>
      <c r="Q15" s="1739"/>
    </row>
    <row r="16" spans="3:103" s="13" customFormat="1" ht="13.5" thickBot="1" x14ac:dyDescent="0.4">
      <c r="C16" s="1743"/>
      <c r="D16" s="1743"/>
      <c r="L16" s="1722">
        <f t="shared" si="0"/>
        <v>366</v>
      </c>
      <c r="M16" s="1740"/>
      <c r="N16" s="1741"/>
      <c r="O16" s="1742"/>
      <c r="P16" s="1749"/>
      <c r="Q16" s="1742"/>
    </row>
    <row r="17" spans="2:24" s="13" customFormat="1" x14ac:dyDescent="0.35">
      <c r="C17" s="1743"/>
      <c r="D17" s="1743"/>
      <c r="L17" s="61" t="s">
        <v>131</v>
      </c>
      <c r="M17" s="333">
        <f>SUM(M7:M16)</f>
        <v>0</v>
      </c>
      <c r="N17" s="333">
        <f t="shared" ref="N17:O17" si="1">SUM(N7:N16)</f>
        <v>1000000</v>
      </c>
      <c r="O17" s="333">
        <f t="shared" si="1"/>
        <v>0</v>
      </c>
      <c r="P17" s="333">
        <f>IF(Years="Five",SUM(P7:P16),0)</f>
        <v>0</v>
      </c>
      <c r="Q17" s="333">
        <f>IF(Years="Five",SUM(Q7:Q16),0)</f>
        <v>0</v>
      </c>
    </row>
    <row r="18" spans="2:24" s="13" customFormat="1" x14ac:dyDescent="0.35">
      <c r="C18" s="1743"/>
      <c r="D18" s="1743"/>
    </row>
    <row r="19" spans="2:24" s="13" customFormat="1" x14ac:dyDescent="0.35">
      <c r="C19" s="1743"/>
      <c r="D19" s="1743"/>
    </row>
    <row r="20" spans="2:24" s="13" customFormat="1" ht="13.5" thickBot="1" x14ac:dyDescent="0.4">
      <c r="C20" s="388" t="s">
        <v>624</v>
      </c>
      <c r="D20" s="388" t="s">
        <v>494</v>
      </c>
      <c r="F20" s="1721" t="str">
        <f t="shared" ref="F20:J32" si="2">G223</f>
        <v>Year 1</v>
      </c>
      <c r="G20" s="1721" t="str">
        <f t="shared" si="2"/>
        <v>Year 2</v>
      </c>
      <c r="H20" s="1721" t="str">
        <f t="shared" si="2"/>
        <v>Year 3</v>
      </c>
      <c r="I20" s="1721" t="str">
        <f t="shared" si="2"/>
        <v>Year 4</v>
      </c>
      <c r="J20" s="1721" t="str">
        <f t="shared" si="2"/>
        <v>Year 5</v>
      </c>
      <c r="T20" s="1721" t="str">
        <f>G209</f>
        <v>Year 1</v>
      </c>
      <c r="U20" s="1721" t="str">
        <f>H209</f>
        <v>Year 2</v>
      </c>
      <c r="V20" s="1721" t="str">
        <f>I209</f>
        <v>Year 3</v>
      </c>
      <c r="W20" s="1721" t="str">
        <f>J209</f>
        <v>Year 4</v>
      </c>
      <c r="X20" s="1721" t="str">
        <f>K209</f>
        <v>Year 5</v>
      </c>
    </row>
    <row r="21" spans="2:24" s="13" customFormat="1" x14ac:dyDescent="0.35">
      <c r="B21" s="1720">
        <f>L166</f>
        <v>0</v>
      </c>
      <c r="C21" s="214">
        <f>'Street View'!L22</f>
        <v>0</v>
      </c>
      <c r="D21" s="214">
        <f>'Street View'!M22</f>
        <v>0</v>
      </c>
      <c r="E21" s="1722">
        <f t="shared" ref="E21:E32" si="3">F224</f>
        <v>0</v>
      </c>
      <c r="F21" s="1723">
        <f t="shared" si="2"/>
        <v>0</v>
      </c>
      <c r="G21" s="1724">
        <f t="shared" si="2"/>
        <v>0</v>
      </c>
      <c r="H21" s="1725">
        <f t="shared" si="2"/>
        <v>0</v>
      </c>
      <c r="I21" s="1744">
        <f t="shared" si="2"/>
        <v>0</v>
      </c>
      <c r="J21" s="1725">
        <f t="shared" si="2"/>
        <v>0</v>
      </c>
      <c r="O21" s="388" t="s">
        <v>625</v>
      </c>
      <c r="P21" s="388"/>
      <c r="Q21" s="388" t="s">
        <v>626</v>
      </c>
      <c r="S21" s="1722">
        <f t="shared" ref="S21:S32" si="4">F210</f>
        <v>0</v>
      </c>
      <c r="T21" s="1723">
        <f t="shared" ref="T21:T32" si="5">O166</f>
        <v>0</v>
      </c>
      <c r="U21" s="1724">
        <f t="shared" ref="U21:U32" si="6">O178</f>
        <v>0</v>
      </c>
      <c r="V21" s="1725">
        <f t="shared" ref="V21:V32" si="7">O190</f>
        <v>1000000</v>
      </c>
      <c r="W21" s="1744">
        <f t="shared" ref="W21:W32" si="8">O202</f>
        <v>1000000</v>
      </c>
      <c r="X21" s="1725">
        <f t="shared" ref="X21:X32" si="9">O214</f>
        <v>1000000</v>
      </c>
    </row>
    <row r="22" spans="2:24" s="13" customFormat="1" x14ac:dyDescent="0.35">
      <c r="B22" s="1720">
        <f>EOMONTH(B21,1)</f>
        <v>59</v>
      </c>
      <c r="C22" s="214">
        <f>'Street View'!L23</f>
        <v>0</v>
      </c>
      <c r="D22" s="214">
        <f>'Street View'!M23</f>
        <v>0</v>
      </c>
      <c r="E22" s="1722">
        <f t="shared" si="3"/>
        <v>59</v>
      </c>
      <c r="F22" s="1726">
        <f t="shared" si="2"/>
        <v>0</v>
      </c>
      <c r="G22" s="1727">
        <f t="shared" si="2"/>
        <v>0</v>
      </c>
      <c r="H22" s="1728">
        <f t="shared" si="2"/>
        <v>0</v>
      </c>
      <c r="I22" s="1745">
        <f t="shared" si="2"/>
        <v>0</v>
      </c>
      <c r="J22" s="1728">
        <f t="shared" si="2"/>
        <v>0</v>
      </c>
      <c r="N22" s="84" t="s">
        <v>627</v>
      </c>
      <c r="O22" s="1257"/>
      <c r="Q22" s="214">
        <f>SUM(M17:Q17)</f>
        <v>1000000</v>
      </c>
      <c r="S22" s="1722">
        <f t="shared" si="4"/>
        <v>59</v>
      </c>
      <c r="T22" s="1726">
        <f t="shared" si="5"/>
        <v>0</v>
      </c>
      <c r="U22" s="1727">
        <f t="shared" si="6"/>
        <v>0</v>
      </c>
      <c r="V22" s="1728">
        <f t="shared" si="7"/>
        <v>1000000</v>
      </c>
      <c r="W22" s="1745">
        <f t="shared" si="8"/>
        <v>1000000</v>
      </c>
      <c r="X22" s="1728">
        <f t="shared" si="9"/>
        <v>1000000</v>
      </c>
    </row>
    <row r="23" spans="2:24" s="13" customFormat="1" x14ac:dyDescent="0.35">
      <c r="B23" s="1720">
        <f t="shared" ref="B23:B53" si="10">EOMONTH(B22,1)</f>
        <v>91</v>
      </c>
      <c r="C23" s="214">
        <f>'Street View'!L24</f>
        <v>0</v>
      </c>
      <c r="D23" s="214">
        <f>'Street View'!M24</f>
        <v>0</v>
      </c>
      <c r="E23" s="1722">
        <f t="shared" si="3"/>
        <v>91</v>
      </c>
      <c r="F23" s="1726">
        <f t="shared" si="2"/>
        <v>0</v>
      </c>
      <c r="G23" s="1727">
        <f t="shared" si="2"/>
        <v>0</v>
      </c>
      <c r="H23" s="1728">
        <f t="shared" si="2"/>
        <v>0</v>
      </c>
      <c r="I23" s="1745">
        <f t="shared" si="2"/>
        <v>0</v>
      </c>
      <c r="J23" s="1728">
        <f t="shared" si="2"/>
        <v>0</v>
      </c>
      <c r="S23" s="1722">
        <f t="shared" si="4"/>
        <v>91</v>
      </c>
      <c r="T23" s="1726">
        <f t="shared" si="5"/>
        <v>0</v>
      </c>
      <c r="U23" s="1727">
        <f t="shared" si="6"/>
        <v>1000000</v>
      </c>
      <c r="V23" s="1728">
        <f t="shared" si="7"/>
        <v>1000000</v>
      </c>
      <c r="W23" s="1745">
        <f t="shared" si="8"/>
        <v>1000000</v>
      </c>
      <c r="X23" s="1728">
        <f t="shared" si="9"/>
        <v>1000000</v>
      </c>
    </row>
    <row r="24" spans="2:24" s="13" customFormat="1" x14ac:dyDescent="0.35">
      <c r="B24" s="1720">
        <f t="shared" si="10"/>
        <v>121</v>
      </c>
      <c r="C24" s="214">
        <f>'Street View'!L25</f>
        <v>0</v>
      </c>
      <c r="D24" s="214">
        <f>'Street View'!M25</f>
        <v>0</v>
      </c>
      <c r="E24" s="1722">
        <f t="shared" si="3"/>
        <v>121</v>
      </c>
      <c r="F24" s="1726">
        <f t="shared" si="2"/>
        <v>0</v>
      </c>
      <c r="G24" s="1727">
        <f t="shared" si="2"/>
        <v>0</v>
      </c>
      <c r="H24" s="1728">
        <f t="shared" si="2"/>
        <v>0</v>
      </c>
      <c r="I24" s="1745">
        <f t="shared" si="2"/>
        <v>0</v>
      </c>
      <c r="J24" s="1728">
        <f t="shared" si="2"/>
        <v>0</v>
      </c>
      <c r="N24" s="84" t="s">
        <v>628</v>
      </c>
      <c r="O24" s="214">
        <f>MIN(F21:J32)</f>
        <v>0</v>
      </c>
      <c r="Q24" s="214">
        <f>MIN(T21:X32)</f>
        <v>0</v>
      </c>
      <c r="S24" s="1722">
        <f t="shared" si="4"/>
        <v>121</v>
      </c>
      <c r="T24" s="1726">
        <f t="shared" si="5"/>
        <v>0</v>
      </c>
      <c r="U24" s="1727">
        <f t="shared" si="6"/>
        <v>1000000</v>
      </c>
      <c r="V24" s="1728">
        <f t="shared" si="7"/>
        <v>1000000</v>
      </c>
      <c r="W24" s="1745">
        <f t="shared" si="8"/>
        <v>1000000</v>
      </c>
      <c r="X24" s="1728">
        <f t="shared" si="9"/>
        <v>1000000</v>
      </c>
    </row>
    <row r="25" spans="2:24" s="13" customFormat="1" x14ac:dyDescent="0.35">
      <c r="B25" s="1720">
        <f t="shared" si="10"/>
        <v>152</v>
      </c>
      <c r="C25" s="214">
        <f>'Street View'!L26</f>
        <v>0</v>
      </c>
      <c r="D25" s="214">
        <f>'Street View'!M26</f>
        <v>0</v>
      </c>
      <c r="E25" s="1722">
        <f t="shared" si="3"/>
        <v>152</v>
      </c>
      <c r="F25" s="1726">
        <f t="shared" si="2"/>
        <v>0</v>
      </c>
      <c r="G25" s="1727">
        <f t="shared" si="2"/>
        <v>0</v>
      </c>
      <c r="H25" s="1728">
        <f t="shared" si="2"/>
        <v>0</v>
      </c>
      <c r="I25" s="1745">
        <f t="shared" si="2"/>
        <v>0</v>
      </c>
      <c r="J25" s="1728">
        <f t="shared" si="2"/>
        <v>0</v>
      </c>
      <c r="N25" s="84" t="s">
        <v>629</v>
      </c>
      <c r="O25" s="13">
        <f>IF(Years="Five",COUNTIF(F21:J32,"&lt;0"),COUNTIF(F21:H32,"&lt;0"))</f>
        <v>0</v>
      </c>
      <c r="Q25" s="13">
        <f>IF(Years="Five",COUNTIF(T21:X32,"&lt;0"),COUNTIF(T21:V32,"&lt;0"))</f>
        <v>0</v>
      </c>
      <c r="S25" s="1722">
        <f t="shared" si="4"/>
        <v>152</v>
      </c>
      <c r="T25" s="1726">
        <f t="shared" si="5"/>
        <v>0</v>
      </c>
      <c r="U25" s="1727">
        <f t="shared" si="6"/>
        <v>1000000</v>
      </c>
      <c r="V25" s="1728">
        <f t="shared" si="7"/>
        <v>1000000</v>
      </c>
      <c r="W25" s="1745">
        <f t="shared" si="8"/>
        <v>1000000</v>
      </c>
      <c r="X25" s="1728">
        <f t="shared" si="9"/>
        <v>1000000</v>
      </c>
    </row>
    <row r="26" spans="2:24" s="13" customFormat="1" x14ac:dyDescent="0.35">
      <c r="B26" s="1720">
        <f t="shared" si="10"/>
        <v>182</v>
      </c>
      <c r="C26" s="214">
        <f>'Street View'!L27</f>
        <v>0</v>
      </c>
      <c r="D26" s="214">
        <f>'Street View'!M27</f>
        <v>0</v>
      </c>
      <c r="E26" s="1722">
        <f t="shared" si="3"/>
        <v>182</v>
      </c>
      <c r="F26" s="1726">
        <f t="shared" si="2"/>
        <v>0</v>
      </c>
      <c r="G26" s="1727">
        <f t="shared" si="2"/>
        <v>0</v>
      </c>
      <c r="H26" s="1728">
        <f t="shared" si="2"/>
        <v>0</v>
      </c>
      <c r="I26" s="1745">
        <f t="shared" si="2"/>
        <v>0</v>
      </c>
      <c r="J26" s="1728">
        <f t="shared" si="2"/>
        <v>0</v>
      </c>
      <c r="N26" s="84" t="s">
        <v>630</v>
      </c>
      <c r="O26" s="207" t="str">
        <f>IFERROR(IF(Infrastructure!BL$39=0,"",Calcs!G59),"None")</f>
        <v/>
      </c>
      <c r="Q26" s="207" t="e">
        <f>T167</f>
        <v>#N/A</v>
      </c>
      <c r="S26" s="1722">
        <f t="shared" si="4"/>
        <v>182</v>
      </c>
      <c r="T26" s="1726">
        <f t="shared" si="5"/>
        <v>0</v>
      </c>
      <c r="U26" s="1727">
        <f t="shared" si="6"/>
        <v>1000000</v>
      </c>
      <c r="V26" s="1728">
        <f t="shared" si="7"/>
        <v>1000000</v>
      </c>
      <c r="W26" s="1745">
        <f t="shared" si="8"/>
        <v>1000000</v>
      </c>
      <c r="X26" s="1728">
        <f t="shared" si="9"/>
        <v>1000000</v>
      </c>
    </row>
    <row r="27" spans="2:24" s="13" customFormat="1" x14ac:dyDescent="0.35">
      <c r="B27" s="1720">
        <f t="shared" si="10"/>
        <v>213</v>
      </c>
      <c r="C27" s="214">
        <f>'Street View'!L28</f>
        <v>0</v>
      </c>
      <c r="D27" s="214">
        <f>'Street View'!M28</f>
        <v>0</v>
      </c>
      <c r="E27" s="1722">
        <f t="shared" si="3"/>
        <v>213</v>
      </c>
      <c r="F27" s="1726">
        <f t="shared" si="2"/>
        <v>0</v>
      </c>
      <c r="G27" s="1727">
        <f t="shared" si="2"/>
        <v>0</v>
      </c>
      <c r="H27" s="1728">
        <f t="shared" si="2"/>
        <v>0</v>
      </c>
      <c r="I27" s="1745">
        <f t="shared" si="2"/>
        <v>0</v>
      </c>
      <c r="J27" s="1728">
        <f t="shared" si="2"/>
        <v>0</v>
      </c>
      <c r="S27" s="1722">
        <f t="shared" si="4"/>
        <v>213</v>
      </c>
      <c r="T27" s="1726">
        <f t="shared" si="5"/>
        <v>0</v>
      </c>
      <c r="U27" s="1727">
        <f t="shared" si="6"/>
        <v>1000000</v>
      </c>
      <c r="V27" s="1728">
        <f t="shared" si="7"/>
        <v>1000000</v>
      </c>
      <c r="W27" s="1745">
        <f t="shared" si="8"/>
        <v>1000000</v>
      </c>
      <c r="X27" s="1728">
        <f t="shared" si="9"/>
        <v>1000000</v>
      </c>
    </row>
    <row r="28" spans="2:24" s="13" customFormat="1" x14ac:dyDescent="0.35">
      <c r="B28" s="1720">
        <f t="shared" si="10"/>
        <v>244</v>
      </c>
      <c r="C28" s="214">
        <f>'Street View'!L29</f>
        <v>0</v>
      </c>
      <c r="D28" s="214">
        <f>'Street View'!M29</f>
        <v>0</v>
      </c>
      <c r="E28" s="1722">
        <f t="shared" si="3"/>
        <v>244</v>
      </c>
      <c r="F28" s="1726">
        <f t="shared" si="2"/>
        <v>0</v>
      </c>
      <c r="G28" s="1727">
        <f t="shared" si="2"/>
        <v>0</v>
      </c>
      <c r="H28" s="1728">
        <f t="shared" si="2"/>
        <v>0</v>
      </c>
      <c r="I28" s="1745">
        <f t="shared" si="2"/>
        <v>0</v>
      </c>
      <c r="J28" s="1728">
        <f t="shared" si="2"/>
        <v>0</v>
      </c>
      <c r="S28" s="1722">
        <f t="shared" si="4"/>
        <v>244</v>
      </c>
      <c r="T28" s="1726">
        <f t="shared" si="5"/>
        <v>0</v>
      </c>
      <c r="U28" s="1727">
        <f t="shared" si="6"/>
        <v>1000000</v>
      </c>
      <c r="V28" s="1728">
        <f t="shared" si="7"/>
        <v>1000000</v>
      </c>
      <c r="W28" s="1745">
        <f t="shared" si="8"/>
        <v>1000000</v>
      </c>
      <c r="X28" s="1728">
        <f t="shared" si="9"/>
        <v>1000000</v>
      </c>
    </row>
    <row r="29" spans="2:24" s="13" customFormat="1" x14ac:dyDescent="0.35">
      <c r="B29" s="1720">
        <f t="shared" si="10"/>
        <v>274</v>
      </c>
      <c r="C29" s="214">
        <f>'Street View'!L30</f>
        <v>0</v>
      </c>
      <c r="D29" s="214">
        <f>'Street View'!M30</f>
        <v>0</v>
      </c>
      <c r="E29" s="1722">
        <f t="shared" si="3"/>
        <v>274</v>
      </c>
      <c r="F29" s="1726">
        <f t="shared" si="2"/>
        <v>0</v>
      </c>
      <c r="G29" s="1727">
        <f t="shared" si="2"/>
        <v>0</v>
      </c>
      <c r="H29" s="1728">
        <f t="shared" si="2"/>
        <v>0</v>
      </c>
      <c r="I29" s="1745">
        <f t="shared" si="2"/>
        <v>0</v>
      </c>
      <c r="J29" s="1728">
        <f t="shared" si="2"/>
        <v>0</v>
      </c>
      <c r="N29" s="84" t="s">
        <v>631</v>
      </c>
      <c r="O29" s="207">
        <f>Infrastructure!AM45</f>
        <v>0</v>
      </c>
      <c r="Q29" s="207">
        <f>O29</f>
        <v>0</v>
      </c>
      <c r="S29" s="1722">
        <f t="shared" si="4"/>
        <v>274</v>
      </c>
      <c r="T29" s="1726">
        <f t="shared" si="5"/>
        <v>0</v>
      </c>
      <c r="U29" s="1727">
        <f t="shared" si="6"/>
        <v>1000000</v>
      </c>
      <c r="V29" s="1728">
        <f t="shared" si="7"/>
        <v>1000000</v>
      </c>
      <c r="W29" s="1745">
        <f t="shared" si="8"/>
        <v>1000000</v>
      </c>
      <c r="X29" s="1728">
        <f t="shared" si="9"/>
        <v>1000000</v>
      </c>
    </row>
    <row r="30" spans="2:24" s="13" customFormat="1" x14ac:dyDescent="0.35">
      <c r="B30" s="1720">
        <f t="shared" si="10"/>
        <v>305</v>
      </c>
      <c r="C30" s="214">
        <f>'Street View'!L31</f>
        <v>0</v>
      </c>
      <c r="D30" s="214">
        <f>'Street View'!M31</f>
        <v>0</v>
      </c>
      <c r="E30" s="1722">
        <f t="shared" si="3"/>
        <v>305</v>
      </c>
      <c r="F30" s="1726">
        <f t="shared" si="2"/>
        <v>0</v>
      </c>
      <c r="G30" s="1727">
        <f t="shared" si="2"/>
        <v>0</v>
      </c>
      <c r="H30" s="1728">
        <f t="shared" si="2"/>
        <v>0</v>
      </c>
      <c r="I30" s="1745">
        <f t="shared" si="2"/>
        <v>0</v>
      </c>
      <c r="J30" s="1728">
        <f t="shared" si="2"/>
        <v>0</v>
      </c>
      <c r="N30" s="84" t="s">
        <v>632</v>
      </c>
      <c r="O30" s="62">
        <f>Calcs!Y810</f>
        <v>0</v>
      </c>
      <c r="P30" s="62"/>
      <c r="Q30" s="62">
        <f>Calcs!Y811+Q22</f>
        <v>1000000</v>
      </c>
      <c r="S30" s="1722">
        <f t="shared" si="4"/>
        <v>305</v>
      </c>
      <c r="T30" s="1726">
        <f t="shared" si="5"/>
        <v>0</v>
      </c>
      <c r="U30" s="1727">
        <f t="shared" si="6"/>
        <v>1000000</v>
      </c>
      <c r="V30" s="1728">
        <f t="shared" si="7"/>
        <v>1000000</v>
      </c>
      <c r="W30" s="1745">
        <f t="shared" si="8"/>
        <v>1000000</v>
      </c>
      <c r="X30" s="1728">
        <f t="shared" si="9"/>
        <v>1000000</v>
      </c>
    </row>
    <row r="31" spans="2:24" s="13" customFormat="1" x14ac:dyDescent="0.35">
      <c r="B31" s="1720">
        <f t="shared" si="10"/>
        <v>335</v>
      </c>
      <c r="C31" s="214">
        <f>'Street View'!L32</f>
        <v>0</v>
      </c>
      <c r="D31" s="214">
        <f>'Street View'!M32</f>
        <v>0</v>
      </c>
      <c r="E31" s="1722">
        <f t="shared" si="3"/>
        <v>335</v>
      </c>
      <c r="F31" s="1726">
        <f t="shared" si="2"/>
        <v>0</v>
      </c>
      <c r="G31" s="1727">
        <f t="shared" si="2"/>
        <v>0</v>
      </c>
      <c r="H31" s="1728">
        <f t="shared" si="2"/>
        <v>0</v>
      </c>
      <c r="I31" s="1745">
        <f t="shared" si="2"/>
        <v>0</v>
      </c>
      <c r="J31" s="1728">
        <f t="shared" si="2"/>
        <v>0</v>
      </c>
      <c r="N31" s="84" t="s">
        <v>633</v>
      </c>
      <c r="O31" s="62">
        <f>Calcs!Y813</f>
        <v>0</v>
      </c>
      <c r="P31" s="62"/>
      <c r="Q31" s="62">
        <f>Calcs!Y814</f>
        <v>0</v>
      </c>
      <c r="S31" s="1722">
        <f t="shared" si="4"/>
        <v>335</v>
      </c>
      <c r="T31" s="1726">
        <f t="shared" si="5"/>
        <v>0</v>
      </c>
      <c r="U31" s="1727">
        <f t="shared" si="6"/>
        <v>1000000</v>
      </c>
      <c r="V31" s="1728">
        <f t="shared" si="7"/>
        <v>1000000</v>
      </c>
      <c r="W31" s="1745">
        <f t="shared" si="8"/>
        <v>1000000</v>
      </c>
      <c r="X31" s="1728">
        <f t="shared" si="9"/>
        <v>1000000</v>
      </c>
    </row>
    <row r="32" spans="2:24" s="13" customFormat="1" ht="12.75" customHeight="1" thickBot="1" x14ac:dyDescent="0.4">
      <c r="B32" s="1720">
        <f t="shared" si="10"/>
        <v>366</v>
      </c>
      <c r="C32" s="214">
        <f>'Street View'!L33</f>
        <v>0</v>
      </c>
      <c r="D32" s="214">
        <f>'Street View'!M33</f>
        <v>0</v>
      </c>
      <c r="E32" s="1722">
        <f t="shared" si="3"/>
        <v>366</v>
      </c>
      <c r="F32" s="1729">
        <f t="shared" si="2"/>
        <v>0</v>
      </c>
      <c r="G32" s="1730">
        <f t="shared" si="2"/>
        <v>0</v>
      </c>
      <c r="H32" s="1731">
        <f t="shared" si="2"/>
        <v>0</v>
      </c>
      <c r="I32" s="1746">
        <f t="shared" si="2"/>
        <v>0</v>
      </c>
      <c r="J32" s="1731">
        <f t="shared" si="2"/>
        <v>0</v>
      </c>
      <c r="S32" s="1722">
        <f t="shared" si="4"/>
        <v>366</v>
      </c>
      <c r="T32" s="1729">
        <f t="shared" si="5"/>
        <v>0</v>
      </c>
      <c r="U32" s="1730">
        <f t="shared" si="6"/>
        <v>1000000</v>
      </c>
      <c r="V32" s="1731">
        <f t="shared" si="7"/>
        <v>1000000</v>
      </c>
      <c r="W32" s="1746">
        <f t="shared" si="8"/>
        <v>1000000</v>
      </c>
      <c r="X32" s="1731">
        <f t="shared" si="9"/>
        <v>1000000</v>
      </c>
    </row>
    <row r="33" spans="2:24" s="13" customFormat="1" x14ac:dyDescent="0.35">
      <c r="B33" s="1720">
        <f t="shared" si="10"/>
        <v>397</v>
      </c>
      <c r="C33" s="214">
        <f>'Street View'!L34</f>
        <v>0</v>
      </c>
      <c r="D33" s="214">
        <f>'Street View'!M34</f>
        <v>0</v>
      </c>
    </row>
    <row r="34" spans="2:24" s="13" customFormat="1" ht="12.75" customHeight="1" thickBot="1" x14ac:dyDescent="0.4">
      <c r="B34" s="1720">
        <f t="shared" si="10"/>
        <v>425</v>
      </c>
      <c r="C34" s="214">
        <f>'Street View'!L35</f>
        <v>0</v>
      </c>
      <c r="D34" s="214">
        <f>'Street View'!M35</f>
        <v>0</v>
      </c>
      <c r="F34" s="1721" t="str">
        <f>F20</f>
        <v>Year 1</v>
      </c>
      <c r="G34" s="1721" t="str">
        <f t="shared" ref="G34:J34" si="11">G20</f>
        <v>Year 2</v>
      </c>
      <c r="H34" s="1721" t="str">
        <f t="shared" si="11"/>
        <v>Year 3</v>
      </c>
      <c r="I34" s="1721" t="str">
        <f t="shared" si="11"/>
        <v>Year 4</v>
      </c>
      <c r="J34" s="1721" t="str">
        <f t="shared" si="11"/>
        <v>Year 5</v>
      </c>
      <c r="T34" s="1721" t="str">
        <f>G223</f>
        <v>Year 1</v>
      </c>
      <c r="U34" s="1721" t="str">
        <f>H223</f>
        <v>Year 2</v>
      </c>
      <c r="V34" s="1721" t="str">
        <f>I223</f>
        <v>Year 3</v>
      </c>
      <c r="W34" s="1721" t="str">
        <f>J223</f>
        <v>Year 4</v>
      </c>
      <c r="X34" s="1721" t="str">
        <f>K223</f>
        <v>Year 5</v>
      </c>
    </row>
    <row r="35" spans="2:24" s="13" customFormat="1" x14ac:dyDescent="0.35">
      <c r="B35" s="1720">
        <f t="shared" si="10"/>
        <v>456</v>
      </c>
      <c r="C35" s="214">
        <f>'Street View'!L36</f>
        <v>0</v>
      </c>
      <c r="D35" s="214">
        <f>'Street View'!M36</f>
        <v>0</v>
      </c>
      <c r="E35" s="1722">
        <f>E21</f>
        <v>0</v>
      </c>
      <c r="F35" s="1723">
        <f>F21</f>
        <v>0</v>
      </c>
      <c r="G35" s="1724">
        <f t="shared" ref="G35:J35" si="12">G21</f>
        <v>0</v>
      </c>
      <c r="H35" s="1725">
        <f t="shared" si="12"/>
        <v>0</v>
      </c>
      <c r="I35" s="1744">
        <f t="shared" si="12"/>
        <v>0</v>
      </c>
      <c r="J35" s="1725">
        <f t="shared" si="12"/>
        <v>0</v>
      </c>
      <c r="S35" s="1722">
        <f t="shared" ref="S35:S46" si="13">F224</f>
        <v>0</v>
      </c>
      <c r="T35" s="1723">
        <f>T21</f>
        <v>0</v>
      </c>
      <c r="U35" s="1724">
        <f t="shared" ref="U35:X35" si="14">U21</f>
        <v>0</v>
      </c>
      <c r="V35" s="1725">
        <f t="shared" si="14"/>
        <v>1000000</v>
      </c>
      <c r="W35" s="1744">
        <f t="shared" si="14"/>
        <v>1000000</v>
      </c>
      <c r="X35" s="1725">
        <f t="shared" si="14"/>
        <v>1000000</v>
      </c>
    </row>
    <row r="36" spans="2:24" s="13" customFormat="1" x14ac:dyDescent="0.35">
      <c r="B36" s="1720">
        <f t="shared" si="10"/>
        <v>486</v>
      </c>
      <c r="C36" s="214">
        <f>'Street View'!L37</f>
        <v>0</v>
      </c>
      <c r="D36" s="214">
        <f>'Street View'!M37</f>
        <v>0</v>
      </c>
      <c r="E36" s="1722">
        <f t="shared" ref="E36:J36" si="15">E22</f>
        <v>59</v>
      </c>
      <c r="F36" s="1726">
        <f t="shared" si="15"/>
        <v>0</v>
      </c>
      <c r="G36" s="1727">
        <f t="shared" si="15"/>
        <v>0</v>
      </c>
      <c r="H36" s="1728">
        <f t="shared" si="15"/>
        <v>0</v>
      </c>
      <c r="I36" s="1745">
        <f t="shared" si="15"/>
        <v>0</v>
      </c>
      <c r="J36" s="1728">
        <f t="shared" si="15"/>
        <v>0</v>
      </c>
      <c r="S36" s="1722">
        <f t="shared" si="13"/>
        <v>59</v>
      </c>
      <c r="T36" s="1726">
        <f t="shared" ref="T36:X46" si="16">T22</f>
        <v>0</v>
      </c>
      <c r="U36" s="1727">
        <f t="shared" si="16"/>
        <v>0</v>
      </c>
      <c r="V36" s="1728">
        <f t="shared" si="16"/>
        <v>1000000</v>
      </c>
      <c r="W36" s="1745">
        <f t="shared" si="16"/>
        <v>1000000</v>
      </c>
      <c r="X36" s="1728">
        <f t="shared" si="16"/>
        <v>1000000</v>
      </c>
    </row>
    <row r="37" spans="2:24" s="13" customFormat="1" x14ac:dyDescent="0.35">
      <c r="B37" s="1720">
        <f t="shared" si="10"/>
        <v>517</v>
      </c>
      <c r="C37" s="214">
        <f>'Street View'!L38</f>
        <v>0</v>
      </c>
      <c r="D37" s="214">
        <f>'Street View'!M38</f>
        <v>0</v>
      </c>
      <c r="E37" s="1722">
        <f t="shared" ref="E37:J37" si="17">E23</f>
        <v>91</v>
      </c>
      <c r="F37" s="1726">
        <f t="shared" si="17"/>
        <v>0</v>
      </c>
      <c r="G37" s="1727">
        <f t="shared" si="17"/>
        <v>0</v>
      </c>
      <c r="H37" s="1728">
        <f t="shared" si="17"/>
        <v>0</v>
      </c>
      <c r="I37" s="1745">
        <f t="shared" si="17"/>
        <v>0</v>
      </c>
      <c r="J37" s="1728">
        <f t="shared" si="17"/>
        <v>0</v>
      </c>
      <c r="S37" s="1722">
        <f t="shared" si="13"/>
        <v>91</v>
      </c>
      <c r="T37" s="1726">
        <f t="shared" si="16"/>
        <v>0</v>
      </c>
      <c r="U37" s="1727">
        <f t="shared" si="16"/>
        <v>1000000</v>
      </c>
      <c r="V37" s="1728">
        <f t="shared" si="16"/>
        <v>1000000</v>
      </c>
      <c r="W37" s="1745">
        <f t="shared" si="16"/>
        <v>1000000</v>
      </c>
      <c r="X37" s="1728">
        <f t="shared" si="16"/>
        <v>1000000</v>
      </c>
    </row>
    <row r="38" spans="2:24" s="13" customFormat="1" x14ac:dyDescent="0.35">
      <c r="B38" s="1720">
        <f t="shared" si="10"/>
        <v>547</v>
      </c>
      <c r="C38" s="214">
        <f>'Street View'!L39</f>
        <v>0</v>
      </c>
      <c r="D38" s="214">
        <f>'Street View'!M39</f>
        <v>0</v>
      </c>
      <c r="E38" s="1722">
        <f t="shared" ref="E38:J38" si="18">E24</f>
        <v>121</v>
      </c>
      <c r="F38" s="1726">
        <f t="shared" si="18"/>
        <v>0</v>
      </c>
      <c r="G38" s="1727">
        <f t="shared" si="18"/>
        <v>0</v>
      </c>
      <c r="H38" s="1728">
        <f t="shared" si="18"/>
        <v>0</v>
      </c>
      <c r="I38" s="1745">
        <f t="shared" si="18"/>
        <v>0</v>
      </c>
      <c r="J38" s="1728">
        <f t="shared" si="18"/>
        <v>0</v>
      </c>
      <c r="S38" s="1722">
        <f t="shared" si="13"/>
        <v>121</v>
      </c>
      <c r="T38" s="1726">
        <f t="shared" si="16"/>
        <v>0</v>
      </c>
      <c r="U38" s="1727">
        <f t="shared" si="16"/>
        <v>1000000</v>
      </c>
      <c r="V38" s="1728">
        <f t="shared" si="16"/>
        <v>1000000</v>
      </c>
      <c r="W38" s="1745">
        <f t="shared" si="16"/>
        <v>1000000</v>
      </c>
      <c r="X38" s="1728">
        <f t="shared" si="16"/>
        <v>1000000</v>
      </c>
    </row>
    <row r="39" spans="2:24" s="13" customFormat="1" x14ac:dyDescent="0.35">
      <c r="B39" s="1720">
        <f t="shared" si="10"/>
        <v>578</v>
      </c>
      <c r="C39" s="214">
        <f>'Street View'!L40</f>
        <v>0</v>
      </c>
      <c r="D39" s="214">
        <f>'Street View'!M40</f>
        <v>0</v>
      </c>
      <c r="E39" s="1722">
        <f t="shared" ref="E39:J39" si="19">E25</f>
        <v>152</v>
      </c>
      <c r="F39" s="1726">
        <f t="shared" si="19"/>
        <v>0</v>
      </c>
      <c r="G39" s="1727">
        <f t="shared" si="19"/>
        <v>0</v>
      </c>
      <c r="H39" s="1728">
        <f t="shared" si="19"/>
        <v>0</v>
      </c>
      <c r="I39" s="1745">
        <f t="shared" si="19"/>
        <v>0</v>
      </c>
      <c r="J39" s="1728">
        <f t="shared" si="19"/>
        <v>0</v>
      </c>
      <c r="S39" s="1722">
        <f t="shared" si="13"/>
        <v>152</v>
      </c>
      <c r="T39" s="1726">
        <f t="shared" si="16"/>
        <v>0</v>
      </c>
      <c r="U39" s="1727">
        <f t="shared" si="16"/>
        <v>1000000</v>
      </c>
      <c r="V39" s="1728">
        <f t="shared" si="16"/>
        <v>1000000</v>
      </c>
      <c r="W39" s="1745">
        <f t="shared" si="16"/>
        <v>1000000</v>
      </c>
      <c r="X39" s="1728">
        <f t="shared" si="16"/>
        <v>1000000</v>
      </c>
    </row>
    <row r="40" spans="2:24" s="13" customFormat="1" x14ac:dyDescent="0.35">
      <c r="B40" s="1720">
        <f t="shared" si="10"/>
        <v>609</v>
      </c>
      <c r="C40" s="214">
        <f>'Street View'!L41</f>
        <v>0</v>
      </c>
      <c r="D40" s="214">
        <f>'Street View'!M41</f>
        <v>0</v>
      </c>
      <c r="E40" s="1722">
        <f t="shared" ref="E40:J40" si="20">E26</f>
        <v>182</v>
      </c>
      <c r="F40" s="1726">
        <f t="shared" si="20"/>
        <v>0</v>
      </c>
      <c r="G40" s="1727">
        <f t="shared" si="20"/>
        <v>0</v>
      </c>
      <c r="H40" s="1728">
        <f t="shared" si="20"/>
        <v>0</v>
      </c>
      <c r="I40" s="1745">
        <f t="shared" si="20"/>
        <v>0</v>
      </c>
      <c r="J40" s="1728">
        <f t="shared" si="20"/>
        <v>0</v>
      </c>
      <c r="S40" s="1722">
        <f t="shared" si="13"/>
        <v>182</v>
      </c>
      <c r="T40" s="1726">
        <f t="shared" si="16"/>
        <v>0</v>
      </c>
      <c r="U40" s="1727">
        <f t="shared" si="16"/>
        <v>1000000</v>
      </c>
      <c r="V40" s="1728">
        <f t="shared" si="16"/>
        <v>1000000</v>
      </c>
      <c r="W40" s="1745">
        <f t="shared" si="16"/>
        <v>1000000</v>
      </c>
      <c r="X40" s="1728">
        <f t="shared" si="16"/>
        <v>1000000</v>
      </c>
    </row>
    <row r="41" spans="2:24" s="13" customFormat="1" x14ac:dyDescent="0.35">
      <c r="B41" s="1720">
        <f t="shared" si="10"/>
        <v>639</v>
      </c>
      <c r="C41" s="214">
        <f>'Street View'!L42</f>
        <v>0</v>
      </c>
      <c r="D41" s="214">
        <f>'Street View'!M42</f>
        <v>0</v>
      </c>
      <c r="E41" s="1722">
        <f t="shared" ref="E41:J41" si="21">E27</f>
        <v>213</v>
      </c>
      <c r="F41" s="1726">
        <f t="shared" si="21"/>
        <v>0</v>
      </c>
      <c r="G41" s="1727">
        <f t="shared" si="21"/>
        <v>0</v>
      </c>
      <c r="H41" s="1728">
        <f t="shared" si="21"/>
        <v>0</v>
      </c>
      <c r="I41" s="1745">
        <f t="shared" si="21"/>
        <v>0</v>
      </c>
      <c r="J41" s="1728">
        <f t="shared" si="21"/>
        <v>0</v>
      </c>
      <c r="S41" s="1722">
        <f t="shared" si="13"/>
        <v>213</v>
      </c>
      <c r="T41" s="1726">
        <f t="shared" si="16"/>
        <v>0</v>
      </c>
      <c r="U41" s="1727">
        <f t="shared" si="16"/>
        <v>1000000</v>
      </c>
      <c r="V41" s="1728">
        <f t="shared" si="16"/>
        <v>1000000</v>
      </c>
      <c r="W41" s="1745">
        <f t="shared" si="16"/>
        <v>1000000</v>
      </c>
      <c r="X41" s="1728">
        <f t="shared" si="16"/>
        <v>1000000</v>
      </c>
    </row>
    <row r="42" spans="2:24" s="13" customFormat="1" x14ac:dyDescent="0.35">
      <c r="B42" s="1720">
        <f t="shared" si="10"/>
        <v>670</v>
      </c>
      <c r="C42" s="214">
        <f>'Street View'!L43</f>
        <v>0</v>
      </c>
      <c r="D42" s="214">
        <f>'Street View'!M43</f>
        <v>0</v>
      </c>
      <c r="E42" s="1722">
        <f t="shared" ref="E42:J42" si="22">E28</f>
        <v>244</v>
      </c>
      <c r="F42" s="1726">
        <f t="shared" si="22"/>
        <v>0</v>
      </c>
      <c r="G42" s="1727">
        <f t="shared" si="22"/>
        <v>0</v>
      </c>
      <c r="H42" s="1728">
        <f t="shared" si="22"/>
        <v>0</v>
      </c>
      <c r="I42" s="1745">
        <f t="shared" si="22"/>
        <v>0</v>
      </c>
      <c r="J42" s="1728">
        <f t="shared" si="22"/>
        <v>0</v>
      </c>
      <c r="S42" s="1722">
        <f t="shared" si="13"/>
        <v>244</v>
      </c>
      <c r="T42" s="1726">
        <f t="shared" si="16"/>
        <v>0</v>
      </c>
      <c r="U42" s="1727">
        <f t="shared" si="16"/>
        <v>1000000</v>
      </c>
      <c r="V42" s="1728">
        <f t="shared" si="16"/>
        <v>1000000</v>
      </c>
      <c r="W42" s="1745">
        <f t="shared" si="16"/>
        <v>1000000</v>
      </c>
      <c r="X42" s="1728">
        <f t="shared" si="16"/>
        <v>1000000</v>
      </c>
    </row>
    <row r="43" spans="2:24" s="13" customFormat="1" x14ac:dyDescent="0.35">
      <c r="B43" s="1720">
        <f t="shared" si="10"/>
        <v>700</v>
      </c>
      <c r="C43" s="214">
        <f>'Street View'!L44</f>
        <v>0</v>
      </c>
      <c r="D43" s="214">
        <f>'Street View'!M44</f>
        <v>0</v>
      </c>
      <c r="E43" s="1722">
        <f t="shared" ref="E43:J43" si="23">E29</f>
        <v>274</v>
      </c>
      <c r="F43" s="1726">
        <f t="shared" si="23"/>
        <v>0</v>
      </c>
      <c r="G43" s="1727">
        <f t="shared" si="23"/>
        <v>0</v>
      </c>
      <c r="H43" s="1728">
        <f t="shared" si="23"/>
        <v>0</v>
      </c>
      <c r="I43" s="1745">
        <f t="shared" si="23"/>
        <v>0</v>
      </c>
      <c r="J43" s="1728">
        <f t="shared" si="23"/>
        <v>0</v>
      </c>
      <c r="S43" s="1722">
        <f t="shared" si="13"/>
        <v>274</v>
      </c>
      <c r="T43" s="1726">
        <f t="shared" si="16"/>
        <v>0</v>
      </c>
      <c r="U43" s="1727">
        <f t="shared" si="16"/>
        <v>1000000</v>
      </c>
      <c r="V43" s="1728">
        <f t="shared" si="16"/>
        <v>1000000</v>
      </c>
      <c r="W43" s="1745">
        <f t="shared" si="16"/>
        <v>1000000</v>
      </c>
      <c r="X43" s="1728">
        <f t="shared" si="16"/>
        <v>1000000</v>
      </c>
    </row>
    <row r="44" spans="2:24" s="13" customFormat="1" x14ac:dyDescent="0.35">
      <c r="B44" s="1720">
        <f t="shared" si="10"/>
        <v>731</v>
      </c>
      <c r="C44" s="214">
        <f>'Street View'!L45</f>
        <v>0</v>
      </c>
      <c r="D44" s="214">
        <f>'Street View'!M45</f>
        <v>0</v>
      </c>
      <c r="E44" s="1722">
        <f t="shared" ref="E44:J44" si="24">E30</f>
        <v>305</v>
      </c>
      <c r="F44" s="1726">
        <f t="shared" si="24"/>
        <v>0</v>
      </c>
      <c r="G44" s="1727">
        <f t="shared" si="24"/>
        <v>0</v>
      </c>
      <c r="H44" s="1728">
        <f t="shared" si="24"/>
        <v>0</v>
      </c>
      <c r="I44" s="1745">
        <f t="shared" si="24"/>
        <v>0</v>
      </c>
      <c r="J44" s="1728">
        <f t="shared" si="24"/>
        <v>0</v>
      </c>
      <c r="S44" s="1722">
        <f t="shared" si="13"/>
        <v>305</v>
      </c>
      <c r="T44" s="1726">
        <f t="shared" si="16"/>
        <v>0</v>
      </c>
      <c r="U44" s="1727">
        <f t="shared" si="16"/>
        <v>1000000</v>
      </c>
      <c r="V44" s="1728">
        <f t="shared" si="16"/>
        <v>1000000</v>
      </c>
      <c r="W44" s="1745">
        <f t="shared" si="16"/>
        <v>1000000</v>
      </c>
      <c r="X44" s="1728">
        <f t="shared" si="16"/>
        <v>1000000</v>
      </c>
    </row>
    <row r="45" spans="2:24" s="13" customFormat="1" x14ac:dyDescent="0.35">
      <c r="B45" s="1720">
        <f t="shared" si="10"/>
        <v>762</v>
      </c>
      <c r="C45" s="214">
        <f>'Street View'!L46</f>
        <v>0</v>
      </c>
      <c r="D45" s="214">
        <f>'Street View'!M46</f>
        <v>0</v>
      </c>
      <c r="E45" s="1722">
        <f t="shared" ref="E45:J45" si="25">E31</f>
        <v>335</v>
      </c>
      <c r="F45" s="1726">
        <f t="shared" si="25"/>
        <v>0</v>
      </c>
      <c r="G45" s="1727">
        <f t="shared" si="25"/>
        <v>0</v>
      </c>
      <c r="H45" s="1728">
        <f t="shared" si="25"/>
        <v>0</v>
      </c>
      <c r="I45" s="1745">
        <f t="shared" si="25"/>
        <v>0</v>
      </c>
      <c r="J45" s="1728">
        <f t="shared" si="25"/>
        <v>0</v>
      </c>
      <c r="S45" s="1722">
        <f t="shared" si="13"/>
        <v>335</v>
      </c>
      <c r="T45" s="1726">
        <f t="shared" si="16"/>
        <v>0</v>
      </c>
      <c r="U45" s="1727">
        <f t="shared" si="16"/>
        <v>1000000</v>
      </c>
      <c r="V45" s="1728">
        <f t="shared" si="16"/>
        <v>1000000</v>
      </c>
      <c r="W45" s="1745">
        <f t="shared" si="16"/>
        <v>1000000</v>
      </c>
      <c r="X45" s="1728">
        <f t="shared" si="16"/>
        <v>1000000</v>
      </c>
    </row>
    <row r="46" spans="2:24" s="13" customFormat="1" ht="12.75" customHeight="1" thickBot="1" x14ac:dyDescent="0.4">
      <c r="B46" s="1720">
        <f t="shared" si="10"/>
        <v>790</v>
      </c>
      <c r="C46" s="214">
        <f>'Street View'!L47</f>
        <v>0</v>
      </c>
      <c r="D46" s="214">
        <f>'Street View'!M47</f>
        <v>0</v>
      </c>
      <c r="E46" s="1722">
        <f t="shared" ref="E46:J46" si="26">E32</f>
        <v>366</v>
      </c>
      <c r="F46" s="1729">
        <f t="shared" si="26"/>
        <v>0</v>
      </c>
      <c r="G46" s="1730">
        <f t="shared" si="26"/>
        <v>0</v>
      </c>
      <c r="H46" s="1731">
        <f t="shared" si="26"/>
        <v>0</v>
      </c>
      <c r="I46" s="1746">
        <f t="shared" si="26"/>
        <v>0</v>
      </c>
      <c r="J46" s="1731">
        <f t="shared" si="26"/>
        <v>0</v>
      </c>
      <c r="S46" s="1722">
        <f t="shared" si="13"/>
        <v>366</v>
      </c>
      <c r="T46" s="1729">
        <f t="shared" si="16"/>
        <v>0</v>
      </c>
      <c r="U46" s="1730">
        <f t="shared" si="16"/>
        <v>1000000</v>
      </c>
      <c r="V46" s="1731">
        <f t="shared" si="16"/>
        <v>1000000</v>
      </c>
      <c r="W46" s="1746">
        <f t="shared" si="16"/>
        <v>1000000</v>
      </c>
      <c r="X46" s="1731">
        <f t="shared" si="16"/>
        <v>1000000</v>
      </c>
    </row>
    <row r="47" spans="2:24" s="13" customFormat="1" x14ac:dyDescent="0.35">
      <c r="B47" s="1720">
        <f t="shared" si="10"/>
        <v>821</v>
      </c>
      <c r="C47" s="214">
        <f>'Street View'!L48</f>
        <v>0</v>
      </c>
      <c r="D47" s="214">
        <f>'Street View'!M48</f>
        <v>0</v>
      </c>
    </row>
    <row r="48" spans="2:24" s="13" customFormat="1" x14ac:dyDescent="0.35">
      <c r="B48" s="1720">
        <f t="shared" si="10"/>
        <v>851</v>
      </c>
      <c r="C48" s="214">
        <f>'Street View'!L49</f>
        <v>0</v>
      </c>
      <c r="D48" s="214">
        <f>'Street View'!M49</f>
        <v>0</v>
      </c>
    </row>
    <row r="49" spans="2:4" s="13" customFormat="1" x14ac:dyDescent="0.35">
      <c r="B49" s="1720">
        <f t="shared" si="10"/>
        <v>882</v>
      </c>
      <c r="C49" s="214">
        <f>'Street View'!L50</f>
        <v>0</v>
      </c>
      <c r="D49" s="214">
        <f>'Street View'!M50</f>
        <v>0</v>
      </c>
    </row>
    <row r="50" spans="2:4" s="13" customFormat="1" x14ac:dyDescent="0.35">
      <c r="B50" s="1720">
        <f t="shared" si="10"/>
        <v>912</v>
      </c>
      <c r="C50" s="214">
        <f>'Street View'!L51</f>
        <v>0</v>
      </c>
      <c r="D50" s="214">
        <f>'Street View'!M51</f>
        <v>0</v>
      </c>
    </row>
    <row r="51" spans="2:4" s="13" customFormat="1" x14ac:dyDescent="0.35">
      <c r="B51" s="1720">
        <f t="shared" si="10"/>
        <v>943</v>
      </c>
      <c r="C51" s="214">
        <f>'Street View'!L52</f>
        <v>0</v>
      </c>
      <c r="D51" s="214">
        <f>'Street View'!M52</f>
        <v>0</v>
      </c>
    </row>
    <row r="52" spans="2:4" s="13" customFormat="1" x14ac:dyDescent="0.35">
      <c r="B52" s="1720">
        <f t="shared" si="10"/>
        <v>974</v>
      </c>
      <c r="C52" s="214">
        <f>'Street View'!L53</f>
        <v>0</v>
      </c>
      <c r="D52" s="214">
        <f>'Street View'!M53</f>
        <v>0</v>
      </c>
    </row>
    <row r="53" spans="2:4" s="13" customFormat="1" x14ac:dyDescent="0.35">
      <c r="B53" s="1720">
        <f t="shared" si="10"/>
        <v>1004</v>
      </c>
      <c r="C53" s="214">
        <f>'Street View'!L54</f>
        <v>0</v>
      </c>
      <c r="D53" s="214">
        <f>'Street View'!M54</f>
        <v>0</v>
      </c>
    </row>
    <row r="54" spans="2:4" s="13" customFormat="1" x14ac:dyDescent="0.35">
      <c r="B54" s="1720">
        <f>EOMONTH(B53,1)</f>
        <v>1035</v>
      </c>
      <c r="C54" s="214">
        <f>'Street View'!L55</f>
        <v>0</v>
      </c>
      <c r="D54" s="214">
        <f>'Street View'!M55</f>
        <v>0</v>
      </c>
    </row>
    <row r="55" spans="2:4" s="13" customFormat="1" x14ac:dyDescent="0.35">
      <c r="B55" s="1720">
        <f t="shared" ref="B55:B56" si="27">EOMONTH(B54,1)</f>
        <v>1065</v>
      </c>
      <c r="C55" s="214">
        <f>'Street View'!L56</f>
        <v>0</v>
      </c>
      <c r="D55" s="214">
        <f>'Street View'!M56</f>
        <v>0</v>
      </c>
    </row>
    <row r="56" spans="2:4" s="13" customFormat="1" x14ac:dyDescent="0.35">
      <c r="B56" s="1720">
        <f t="shared" si="27"/>
        <v>1096</v>
      </c>
      <c r="C56" s="214">
        <f>'Street View'!L57</f>
        <v>0</v>
      </c>
      <c r="D56" s="214">
        <f>'Street View'!M57</f>
        <v>0</v>
      </c>
    </row>
    <row r="57" spans="2:4" s="13" customFormat="1" x14ac:dyDescent="0.35">
      <c r="B57" s="1720">
        <f t="shared" ref="B57:B80" si="28">IF(Years="Five",EOMONTH(B56,1),"")</f>
        <v>1127</v>
      </c>
      <c r="C57" s="214">
        <f>IF(Years="Five",'Street View'!L58,0)</f>
        <v>0</v>
      </c>
      <c r="D57" s="214">
        <f>IF(Years="Five",'Street View'!M58,0)</f>
        <v>0</v>
      </c>
    </row>
    <row r="58" spans="2:4" s="13" customFormat="1" x14ac:dyDescent="0.35">
      <c r="B58" s="1720">
        <f t="shared" si="28"/>
        <v>1155</v>
      </c>
      <c r="C58" s="214">
        <f>IF(Years="Five",'Street View'!L59,0)</f>
        <v>0</v>
      </c>
      <c r="D58" s="214">
        <f>IF(Years="Five",'Street View'!M59,0)</f>
        <v>0</v>
      </c>
    </row>
    <row r="59" spans="2:4" s="13" customFormat="1" x14ac:dyDescent="0.35">
      <c r="B59" s="1720">
        <f t="shared" si="28"/>
        <v>1186</v>
      </c>
      <c r="C59" s="214">
        <f>IF(Years="Five",'Street View'!L60,0)</f>
        <v>0</v>
      </c>
      <c r="D59" s="214">
        <f>IF(Years="Five",'Street View'!M60,0)</f>
        <v>0</v>
      </c>
    </row>
    <row r="60" spans="2:4" s="13" customFormat="1" x14ac:dyDescent="0.35">
      <c r="B60" s="1720">
        <f t="shared" si="28"/>
        <v>1216</v>
      </c>
      <c r="C60" s="214">
        <f>IF(Years="Five",'Street View'!L61,0)</f>
        <v>0</v>
      </c>
      <c r="D60" s="214">
        <f>IF(Years="Five",'Street View'!M61,0)</f>
        <v>0</v>
      </c>
    </row>
    <row r="61" spans="2:4" s="13" customFormat="1" x14ac:dyDescent="0.35">
      <c r="B61" s="1720">
        <f t="shared" si="28"/>
        <v>1247</v>
      </c>
      <c r="C61" s="214">
        <f>IF(Years="Five",'Street View'!L62,0)</f>
        <v>0</v>
      </c>
      <c r="D61" s="214">
        <f>IF(Years="Five",'Street View'!M62,0)</f>
        <v>0</v>
      </c>
    </row>
    <row r="62" spans="2:4" s="13" customFormat="1" x14ac:dyDescent="0.35">
      <c r="B62" s="1720">
        <f t="shared" si="28"/>
        <v>1277</v>
      </c>
      <c r="C62" s="214">
        <f>IF(Years="Five",'Street View'!L63,0)</f>
        <v>0</v>
      </c>
      <c r="D62" s="214">
        <f>IF(Years="Five",'Street View'!M63,0)</f>
        <v>0</v>
      </c>
    </row>
    <row r="63" spans="2:4" s="13" customFormat="1" x14ac:dyDescent="0.35">
      <c r="B63" s="1720">
        <f t="shared" si="28"/>
        <v>1308</v>
      </c>
      <c r="C63" s="214">
        <f>IF(Years="Five",'Street View'!L64,0)</f>
        <v>0</v>
      </c>
      <c r="D63" s="214">
        <f>IF(Years="Five",'Street View'!M64,0)</f>
        <v>0</v>
      </c>
    </row>
    <row r="64" spans="2:4" s="13" customFormat="1" x14ac:dyDescent="0.35">
      <c r="B64" s="1720">
        <f t="shared" si="28"/>
        <v>1339</v>
      </c>
      <c r="C64" s="214">
        <f>IF(Years="Five",'Street View'!L65,0)</f>
        <v>0</v>
      </c>
      <c r="D64" s="214">
        <f>IF(Years="Five",'Street View'!M65,0)</f>
        <v>0</v>
      </c>
    </row>
    <row r="65" spans="2:4" s="13" customFormat="1" x14ac:dyDescent="0.35">
      <c r="B65" s="1720">
        <f t="shared" si="28"/>
        <v>1369</v>
      </c>
      <c r="C65" s="214">
        <f>IF(Years="Five",'Street View'!L66,0)</f>
        <v>0</v>
      </c>
      <c r="D65" s="214">
        <f>IF(Years="Five",'Street View'!M66,0)</f>
        <v>0</v>
      </c>
    </row>
    <row r="66" spans="2:4" s="13" customFormat="1" x14ac:dyDescent="0.35">
      <c r="B66" s="1720">
        <f t="shared" si="28"/>
        <v>1400</v>
      </c>
      <c r="C66" s="214">
        <f>IF(Years="Five",'Street View'!L67,0)</f>
        <v>0</v>
      </c>
      <c r="D66" s="214">
        <f>IF(Years="Five",'Street View'!M67,0)</f>
        <v>0</v>
      </c>
    </row>
    <row r="67" spans="2:4" s="13" customFormat="1" x14ac:dyDescent="0.35">
      <c r="B67" s="1720">
        <f t="shared" si="28"/>
        <v>1430</v>
      </c>
      <c r="C67" s="214">
        <f>IF(Years="Five",'Street View'!L68,0)</f>
        <v>0</v>
      </c>
      <c r="D67" s="214">
        <f>IF(Years="Five",'Street View'!M68,0)</f>
        <v>0</v>
      </c>
    </row>
    <row r="68" spans="2:4" s="13" customFormat="1" x14ac:dyDescent="0.35">
      <c r="B68" s="1720">
        <f t="shared" si="28"/>
        <v>1461</v>
      </c>
      <c r="C68" s="214">
        <f>IF(Years="Five",'Street View'!L69,0)</f>
        <v>0</v>
      </c>
      <c r="D68" s="214">
        <f>IF(Years="Five",'Street View'!M69,0)</f>
        <v>0</v>
      </c>
    </row>
    <row r="69" spans="2:4" s="13" customFormat="1" x14ac:dyDescent="0.35">
      <c r="B69" s="1720">
        <f t="shared" si="28"/>
        <v>1492</v>
      </c>
      <c r="C69" s="214">
        <f>IF(Years="Five",'Street View'!L70,0)</f>
        <v>0</v>
      </c>
      <c r="D69" s="214">
        <f>IF(Years="Five",'Street View'!M70,0)</f>
        <v>0</v>
      </c>
    </row>
    <row r="70" spans="2:4" s="13" customFormat="1" x14ac:dyDescent="0.35">
      <c r="B70" s="1720">
        <f t="shared" si="28"/>
        <v>1521</v>
      </c>
      <c r="C70" s="214">
        <f>IF(Years="Five",'Street View'!L71,0)</f>
        <v>0</v>
      </c>
      <c r="D70" s="214">
        <f>IF(Years="Five",'Street View'!M71,0)</f>
        <v>0</v>
      </c>
    </row>
    <row r="71" spans="2:4" s="13" customFormat="1" x14ac:dyDescent="0.35">
      <c r="B71" s="1720">
        <f t="shared" si="28"/>
        <v>1552</v>
      </c>
      <c r="C71" s="214">
        <f>IF(Years="Five",'Street View'!L72,0)</f>
        <v>0</v>
      </c>
      <c r="D71" s="214">
        <f>IF(Years="Five",'Street View'!M72,0)</f>
        <v>0</v>
      </c>
    </row>
    <row r="72" spans="2:4" s="13" customFormat="1" x14ac:dyDescent="0.35">
      <c r="B72" s="1720">
        <f t="shared" si="28"/>
        <v>1582</v>
      </c>
      <c r="C72" s="214">
        <f>IF(Years="Five",'Street View'!L73,0)</f>
        <v>0</v>
      </c>
      <c r="D72" s="214">
        <f>IF(Years="Five",'Street View'!M73,0)</f>
        <v>0</v>
      </c>
    </row>
    <row r="73" spans="2:4" s="13" customFormat="1" x14ac:dyDescent="0.35">
      <c r="B73" s="1720">
        <f t="shared" si="28"/>
        <v>1613</v>
      </c>
      <c r="C73" s="214">
        <f>IF(Years="Five",'Street View'!L74,0)</f>
        <v>0</v>
      </c>
      <c r="D73" s="214">
        <f>IF(Years="Five",'Street View'!M74,0)</f>
        <v>0</v>
      </c>
    </row>
    <row r="74" spans="2:4" s="13" customFormat="1" x14ac:dyDescent="0.35">
      <c r="B74" s="1720">
        <f t="shared" si="28"/>
        <v>1643</v>
      </c>
      <c r="C74" s="214">
        <f>IF(Years="Five",'Street View'!L75,0)</f>
        <v>0</v>
      </c>
      <c r="D74" s="214">
        <f>IF(Years="Five",'Street View'!M75,0)</f>
        <v>0</v>
      </c>
    </row>
    <row r="75" spans="2:4" s="13" customFormat="1" x14ac:dyDescent="0.35">
      <c r="B75" s="1720">
        <f t="shared" si="28"/>
        <v>1674</v>
      </c>
      <c r="C75" s="214">
        <f>IF(Years="Five",'Street View'!L76,0)</f>
        <v>0</v>
      </c>
      <c r="D75" s="214">
        <f>IF(Years="Five",'Street View'!M76,0)</f>
        <v>0</v>
      </c>
    </row>
    <row r="76" spans="2:4" s="13" customFormat="1" x14ac:dyDescent="0.35">
      <c r="B76" s="1720">
        <f t="shared" si="28"/>
        <v>1705</v>
      </c>
      <c r="C76" s="214">
        <f>IF(Years="Five",'Street View'!L77,0)</f>
        <v>0</v>
      </c>
      <c r="D76" s="214">
        <f>IF(Years="Five",'Street View'!M77,0)</f>
        <v>0</v>
      </c>
    </row>
    <row r="77" spans="2:4" s="13" customFormat="1" x14ac:dyDescent="0.35">
      <c r="B77" s="1720">
        <f t="shared" si="28"/>
        <v>1735</v>
      </c>
      <c r="C77" s="214">
        <f>IF(Years="Five",'Street View'!L78,0)</f>
        <v>0</v>
      </c>
      <c r="D77" s="214">
        <f>IF(Years="Five",'Street View'!M78,0)</f>
        <v>0</v>
      </c>
    </row>
    <row r="78" spans="2:4" s="13" customFormat="1" x14ac:dyDescent="0.35">
      <c r="B78" s="1720">
        <f t="shared" si="28"/>
        <v>1766</v>
      </c>
      <c r="C78" s="214">
        <f>IF(Years="Five",'Street View'!L79,0)</f>
        <v>0</v>
      </c>
      <c r="D78" s="214">
        <f>IF(Years="Five",'Street View'!M79,0)</f>
        <v>0</v>
      </c>
    </row>
    <row r="79" spans="2:4" s="13" customFormat="1" x14ac:dyDescent="0.35">
      <c r="B79" s="1720">
        <f t="shared" si="28"/>
        <v>1796</v>
      </c>
      <c r="C79" s="214">
        <f>IF(Years="Five",'Street View'!L80,0)</f>
        <v>0</v>
      </c>
      <c r="D79" s="214">
        <f>IF(Years="Five",'Street View'!M80,0)</f>
        <v>0</v>
      </c>
    </row>
    <row r="80" spans="2:4" s="13" customFormat="1" x14ac:dyDescent="0.35">
      <c r="B80" s="1720">
        <f t="shared" si="28"/>
        <v>1827</v>
      </c>
      <c r="C80" s="214">
        <f>IF(Years="Five",'Street View'!L81,0)</f>
        <v>0</v>
      </c>
      <c r="D80" s="214">
        <f>IF(Years="Five",'Street View'!M81,0)</f>
        <v>0</v>
      </c>
    </row>
    <row r="81" spans="2:2" s="13" customFormat="1" x14ac:dyDescent="0.35">
      <c r="B81" s="1720"/>
    </row>
    <row r="82" spans="2:2" s="13" customFormat="1" ht="12.75" customHeight="1" x14ac:dyDescent="0.35"/>
    <row r="83" spans="2:2" s="13" customFormat="1" ht="12.75" customHeight="1" x14ac:dyDescent="0.35"/>
    <row r="84" spans="2:2" s="13" customFormat="1" ht="12.75" customHeight="1" x14ac:dyDescent="0.35"/>
    <row r="85" spans="2:2" s="13" customFormat="1" ht="12.75" customHeight="1" x14ac:dyDescent="0.35"/>
    <row r="86" spans="2:2" s="13" customFormat="1" ht="12.75" customHeight="1" x14ac:dyDescent="0.35"/>
    <row r="87" spans="2:2" s="13" customFormat="1" ht="12.75" customHeight="1" x14ac:dyDescent="0.35"/>
    <row r="88" spans="2:2" s="13" customFormat="1" ht="12.75" customHeight="1" x14ac:dyDescent="0.35"/>
    <row r="89" spans="2:2" s="13" customFormat="1" ht="12.75" customHeight="1" x14ac:dyDescent="0.35"/>
    <row r="90" spans="2:2" s="13" customFormat="1" ht="12.75" customHeight="1" x14ac:dyDescent="0.35"/>
    <row r="91" spans="2:2" s="13" customFormat="1" ht="12.75" customHeight="1" x14ac:dyDescent="0.35"/>
    <row r="92" spans="2:2" s="13" customFormat="1" ht="12.75" customHeight="1" x14ac:dyDescent="0.35"/>
    <row r="93" spans="2:2" s="13" customFormat="1" ht="12.75" customHeight="1" x14ac:dyDescent="0.35"/>
    <row r="94" spans="2:2" s="13" customFormat="1" ht="12.75" customHeight="1" x14ac:dyDescent="0.35"/>
    <row r="95" spans="2:2" s="13" customFormat="1" ht="12.75" customHeight="1" x14ac:dyDescent="0.35"/>
    <row r="96" spans="2:2" s="13" customFormat="1" ht="12.75" customHeight="1" x14ac:dyDescent="0.35"/>
    <row r="97" s="13" customFormat="1" ht="12.75" customHeight="1" x14ac:dyDescent="0.35"/>
    <row r="98" s="13" customFormat="1" ht="12.75" customHeight="1" x14ac:dyDescent="0.35"/>
    <row r="99" s="13" customFormat="1" ht="12.75" customHeight="1" x14ac:dyDescent="0.35"/>
    <row r="100" s="13" customFormat="1" ht="12.75" customHeight="1" x14ac:dyDescent="0.35"/>
    <row r="101" s="13" customFormat="1" ht="12.75" customHeight="1" x14ac:dyDescent="0.35"/>
    <row r="102" s="13" customFormat="1" ht="12.75" customHeight="1" x14ac:dyDescent="0.35"/>
    <row r="103" s="13" customFormat="1" ht="12.75" customHeight="1" x14ac:dyDescent="0.35"/>
    <row r="104" s="13" customFormat="1" ht="12.75" customHeight="1" x14ac:dyDescent="0.35"/>
    <row r="105" s="13" customFormat="1" ht="12.75" customHeight="1" x14ac:dyDescent="0.35"/>
    <row r="106" s="13" customFormat="1" ht="12.75" customHeight="1" x14ac:dyDescent="0.35"/>
    <row r="107" s="13" customFormat="1" ht="12.75" customHeight="1" x14ac:dyDescent="0.35"/>
    <row r="108" s="13" customFormat="1" ht="12.75" customHeight="1" x14ac:dyDescent="0.35"/>
    <row r="109" s="13" customFormat="1" ht="12.75" customHeight="1" x14ac:dyDescent="0.35"/>
    <row r="110" s="13" customFormat="1" ht="12.75" customHeight="1" x14ac:dyDescent="0.35"/>
    <row r="111" s="13" customFormat="1" ht="12.75" customHeight="1" x14ac:dyDescent="0.35"/>
    <row r="112" s="13" customFormat="1" ht="12.75" customHeight="1" x14ac:dyDescent="0.35"/>
    <row r="113" s="13" customFormat="1" ht="12.75" customHeight="1" x14ac:dyDescent="0.35"/>
    <row r="114" s="13" customFormat="1" ht="12.75" customHeight="1" x14ac:dyDescent="0.35"/>
    <row r="115" s="13" customFormat="1" ht="12.75" customHeight="1" x14ac:dyDescent="0.35"/>
    <row r="116" s="13" customFormat="1" ht="12.75" customHeight="1" x14ac:dyDescent="0.35"/>
    <row r="117" s="13" customFormat="1" ht="12.75" customHeight="1" x14ac:dyDescent="0.35"/>
    <row r="118" s="13" customFormat="1" ht="12.75" customHeight="1" x14ac:dyDescent="0.35"/>
    <row r="119" s="13" customFormat="1" ht="12.75" customHeight="1" x14ac:dyDescent="0.35"/>
    <row r="120" s="13" customFormat="1" ht="12.75" customHeight="1" x14ac:dyDescent="0.35"/>
    <row r="121" s="13" customFormat="1" ht="12.75" customHeight="1" x14ac:dyDescent="0.35"/>
    <row r="122" s="13" customFormat="1" ht="12.75" customHeight="1" x14ac:dyDescent="0.35"/>
    <row r="123" s="13" customFormat="1" ht="12.75" customHeight="1" x14ac:dyDescent="0.35"/>
    <row r="124" s="13" customFormat="1" ht="12.75" customHeight="1" x14ac:dyDescent="0.35"/>
    <row r="125" s="13" customFormat="1" ht="12.75" customHeight="1" x14ac:dyDescent="0.35"/>
    <row r="126" s="13" customFormat="1" ht="12.75" customHeight="1" x14ac:dyDescent="0.35"/>
    <row r="127" s="13" customFormat="1" ht="12.75" customHeight="1" x14ac:dyDescent="0.35"/>
    <row r="128" s="13" customFormat="1" ht="12.75" customHeight="1" x14ac:dyDescent="0.35"/>
    <row r="129" s="13" customFormat="1" ht="12.75" customHeight="1" x14ac:dyDescent="0.35"/>
    <row r="130" s="13" customFormat="1" ht="12.75" customHeight="1" x14ac:dyDescent="0.35"/>
    <row r="131" s="13" customFormat="1" ht="12.75" customHeight="1" x14ac:dyDescent="0.35"/>
    <row r="132" s="13" customFormat="1" ht="12.75" customHeight="1" x14ac:dyDescent="0.35"/>
    <row r="133" s="13" customFormat="1" ht="12.75" customHeight="1" x14ac:dyDescent="0.35"/>
    <row r="134" s="13" customFormat="1" ht="12.75" customHeight="1" x14ac:dyDescent="0.35"/>
    <row r="135" s="13" customFormat="1" ht="12.75" customHeight="1" x14ac:dyDescent="0.35"/>
    <row r="136" s="13" customFormat="1" ht="12.75" customHeight="1" x14ac:dyDescent="0.35"/>
    <row r="137" s="13" customFormat="1" ht="12.75" customHeight="1" x14ac:dyDescent="0.35"/>
    <row r="138" s="13" customFormat="1" ht="12.75" customHeight="1" x14ac:dyDescent="0.35"/>
    <row r="139" s="13" customFormat="1" ht="12.75" customHeight="1" x14ac:dyDescent="0.35"/>
    <row r="140" s="13" customFormat="1" ht="12.75" customHeight="1" x14ac:dyDescent="0.35"/>
    <row r="141" s="13" customFormat="1" ht="12.75" customHeight="1" x14ac:dyDescent="0.35"/>
    <row r="142" s="13" customFormat="1" ht="12.75" customHeight="1" x14ac:dyDescent="0.35"/>
    <row r="143" s="13" customFormat="1" ht="12.75" customHeight="1" x14ac:dyDescent="0.35"/>
    <row r="144" s="13" customFormat="1" ht="12.75" customHeight="1" x14ac:dyDescent="0.35"/>
    <row r="145" s="13" customFormat="1" ht="12.75" customHeight="1" x14ac:dyDescent="0.35"/>
    <row r="146" s="13" customFormat="1" ht="12.75" customHeight="1" x14ac:dyDescent="0.35"/>
    <row r="147" s="13" customFormat="1" ht="12.75" customHeight="1" x14ac:dyDescent="0.35"/>
    <row r="148" s="13" customFormat="1" ht="12.75" customHeight="1" x14ac:dyDescent="0.35"/>
    <row r="149" s="13" customFormat="1" ht="12.75" customHeight="1" x14ac:dyDescent="0.35"/>
    <row r="150" s="13" customFormat="1" ht="12.75" customHeight="1" x14ac:dyDescent="0.35"/>
    <row r="151" s="13" customFormat="1" ht="12.75" customHeight="1" x14ac:dyDescent="0.35"/>
    <row r="152" s="13" customFormat="1" ht="12.75" customHeight="1" x14ac:dyDescent="0.35"/>
    <row r="153" s="13" customFormat="1" ht="12.75" customHeight="1" x14ac:dyDescent="0.35"/>
    <row r="154" s="13" customFormat="1" ht="12.75" customHeight="1" x14ac:dyDescent="0.35"/>
    <row r="155" s="13" customFormat="1" ht="12.75" customHeight="1" x14ac:dyDescent="0.35"/>
    <row r="156" s="13" customFormat="1" ht="12.75" customHeight="1" x14ac:dyDescent="0.35"/>
    <row r="157" s="13" customFormat="1" ht="12.75" customHeight="1" x14ac:dyDescent="0.35"/>
    <row r="158" s="13" customFormat="1" ht="12.75" customHeight="1" x14ac:dyDescent="0.35"/>
    <row r="159" s="13" customFormat="1" ht="12.75" customHeight="1" x14ac:dyDescent="0.35"/>
    <row r="160" s="13" customFormat="1" ht="12.75" customHeight="1" x14ac:dyDescent="0.35"/>
    <row r="161" spans="12:20" s="13" customFormat="1" ht="12.75" customHeight="1" x14ac:dyDescent="0.35"/>
    <row r="162" spans="12:20" s="13" customFormat="1" ht="12.75" customHeight="1" x14ac:dyDescent="0.35"/>
    <row r="163" spans="12:20" s="13" customFormat="1" ht="12.75" customHeight="1" x14ac:dyDescent="0.35"/>
    <row r="164" spans="12:20" s="13" customFormat="1" ht="12.75" customHeight="1" x14ac:dyDescent="0.35">
      <c r="N164" s="1732" t="s">
        <v>612</v>
      </c>
      <c r="O164" s="1733"/>
    </row>
    <row r="165" spans="12:20" s="13" customFormat="1" ht="12.75" customHeight="1" x14ac:dyDescent="0.35">
      <c r="M165" s="388" t="s">
        <v>491</v>
      </c>
      <c r="N165" s="388" t="s">
        <v>624</v>
      </c>
      <c r="O165" s="388" t="s">
        <v>494</v>
      </c>
    </row>
    <row r="166" spans="12:20" s="13" customFormat="1" ht="12.75" customHeight="1" x14ac:dyDescent="0.35">
      <c r="L166" s="1720">
        <f>Infrastructure!B9</f>
        <v>0</v>
      </c>
      <c r="M166" s="214">
        <f t="shared" ref="M166:M177" si="29">M5</f>
        <v>0</v>
      </c>
      <c r="N166" s="214">
        <f>'Street View'!X22+M166</f>
        <v>0</v>
      </c>
      <c r="O166" s="214">
        <f>'Street View'!Y22+SUM(M$166:M166)</f>
        <v>0</v>
      </c>
      <c r="P166" s="207">
        <f>L166</f>
        <v>0</v>
      </c>
      <c r="S166" s="13" t="e" cm="1">
        <f t="array" ref="S166">INDEX(O166:O201, MATCH(TRUE, O166:O201&lt;0, 0))</f>
        <v>#N/A</v>
      </c>
      <c r="T166" s="13" t="e" cm="1">
        <f t="array" ref="T166">INDEX(O166:O225, MATCH(TRUE, O166:O225&lt;0, 0))</f>
        <v>#N/A</v>
      </c>
    </row>
    <row r="167" spans="12:20" s="13" customFormat="1" ht="12.75" customHeight="1" x14ac:dyDescent="0.35">
      <c r="L167" s="1720">
        <f>EOMONTH(L166,1)</f>
        <v>59</v>
      </c>
      <c r="M167" s="214">
        <f t="shared" si="29"/>
        <v>0</v>
      </c>
      <c r="N167" s="214">
        <f>'Street View'!X23+M167</f>
        <v>0</v>
      </c>
      <c r="O167" s="214">
        <f>'Street View'!Y23+SUM(M$166:M167)</f>
        <v>0</v>
      </c>
      <c r="P167" s="207">
        <f t="shared" ref="P167:P225" si="30">L167</f>
        <v>59</v>
      </c>
      <c r="S167" s="207" t="e">
        <f>VLOOKUP(S166,O166:P201,2,FALSE)</f>
        <v>#N/A</v>
      </c>
      <c r="T167" s="207" t="e">
        <f>VLOOKUP(T166,O166:P225,2,FALSE)</f>
        <v>#N/A</v>
      </c>
    </row>
    <row r="168" spans="12:20" s="13" customFormat="1" ht="12.75" customHeight="1" x14ac:dyDescent="0.35">
      <c r="L168" s="1720">
        <f t="shared" ref="L168:L201" si="31">EOMONTH(L167,1)</f>
        <v>91</v>
      </c>
      <c r="M168" s="214">
        <f t="shared" si="29"/>
        <v>0</v>
      </c>
      <c r="N168" s="214">
        <f>'Street View'!X24+M168</f>
        <v>0</v>
      </c>
      <c r="O168" s="214">
        <f>'Street View'!Y24+SUM(M$166:M168)</f>
        <v>0</v>
      </c>
      <c r="P168" s="207">
        <f t="shared" si="30"/>
        <v>91</v>
      </c>
    </row>
    <row r="169" spans="12:20" s="13" customFormat="1" ht="12.75" customHeight="1" x14ac:dyDescent="0.35">
      <c r="L169" s="1720">
        <f t="shared" si="31"/>
        <v>121</v>
      </c>
      <c r="M169" s="214">
        <f t="shared" si="29"/>
        <v>0</v>
      </c>
      <c r="N169" s="214">
        <f>'Street View'!X25+M169</f>
        <v>0</v>
      </c>
      <c r="O169" s="214">
        <f>'Street View'!Y25+SUM(M$166:M169)</f>
        <v>0</v>
      </c>
      <c r="P169" s="207">
        <f t="shared" si="30"/>
        <v>121</v>
      </c>
    </row>
    <row r="170" spans="12:20" s="13" customFormat="1" ht="12.75" customHeight="1" x14ac:dyDescent="0.35">
      <c r="L170" s="1720">
        <f t="shared" si="31"/>
        <v>152</v>
      </c>
      <c r="M170" s="214">
        <f t="shared" si="29"/>
        <v>0</v>
      </c>
      <c r="N170" s="214">
        <f>'Street View'!X26+M170</f>
        <v>0</v>
      </c>
      <c r="O170" s="214">
        <f>'Street View'!Y26+SUM(M$166:M170)</f>
        <v>0</v>
      </c>
      <c r="P170" s="207">
        <f t="shared" si="30"/>
        <v>152</v>
      </c>
    </row>
    <row r="171" spans="12:20" s="13" customFormat="1" ht="12.75" customHeight="1" x14ac:dyDescent="0.35">
      <c r="L171" s="1720">
        <f t="shared" si="31"/>
        <v>182</v>
      </c>
      <c r="M171" s="214">
        <f t="shared" si="29"/>
        <v>0</v>
      </c>
      <c r="N171" s="214">
        <f>'Street View'!X27+M171</f>
        <v>0</v>
      </c>
      <c r="O171" s="214">
        <f>'Street View'!Y27+SUM(M$166:M171)</f>
        <v>0</v>
      </c>
      <c r="P171" s="207">
        <f t="shared" si="30"/>
        <v>182</v>
      </c>
    </row>
    <row r="172" spans="12:20" s="13" customFormat="1" ht="12.75" customHeight="1" x14ac:dyDescent="0.35">
      <c r="L172" s="1720">
        <f t="shared" si="31"/>
        <v>213</v>
      </c>
      <c r="M172" s="214">
        <f t="shared" si="29"/>
        <v>0</v>
      </c>
      <c r="N172" s="214">
        <f>'Street View'!X28+M172</f>
        <v>0</v>
      </c>
      <c r="O172" s="214">
        <f>'Street View'!Y28+SUM(M$166:M172)</f>
        <v>0</v>
      </c>
      <c r="P172" s="207">
        <f t="shared" si="30"/>
        <v>213</v>
      </c>
    </row>
    <row r="173" spans="12:20" s="13" customFormat="1" ht="12.75" customHeight="1" x14ac:dyDescent="0.35">
      <c r="L173" s="1720">
        <f t="shared" si="31"/>
        <v>244</v>
      </c>
      <c r="M173" s="214">
        <f t="shared" si="29"/>
        <v>0</v>
      </c>
      <c r="N173" s="214">
        <f>'Street View'!X29+M173</f>
        <v>0</v>
      </c>
      <c r="O173" s="214">
        <f>'Street View'!Y29+SUM(M$166:M173)</f>
        <v>0</v>
      </c>
      <c r="P173" s="207">
        <f t="shared" si="30"/>
        <v>244</v>
      </c>
    </row>
    <row r="174" spans="12:20" s="13" customFormat="1" ht="12.75" customHeight="1" x14ac:dyDescent="0.35">
      <c r="L174" s="1720">
        <f t="shared" si="31"/>
        <v>274</v>
      </c>
      <c r="M174" s="214">
        <f t="shared" si="29"/>
        <v>0</v>
      </c>
      <c r="N174" s="214">
        <f>'Street View'!X30+M174</f>
        <v>0</v>
      </c>
      <c r="O174" s="214">
        <f>'Street View'!Y30+SUM(M$166:M174)</f>
        <v>0</v>
      </c>
      <c r="P174" s="207">
        <f t="shared" si="30"/>
        <v>274</v>
      </c>
    </row>
    <row r="175" spans="12:20" s="13" customFormat="1" ht="12.75" customHeight="1" x14ac:dyDescent="0.35">
      <c r="L175" s="1720">
        <f t="shared" si="31"/>
        <v>305</v>
      </c>
      <c r="M175" s="214">
        <f t="shared" si="29"/>
        <v>0</v>
      </c>
      <c r="N175" s="214">
        <f>'Street View'!X31+M175</f>
        <v>0</v>
      </c>
      <c r="O175" s="214">
        <f>'Street View'!Y31+SUM(M$166:M175)</f>
        <v>0</v>
      </c>
      <c r="P175" s="207">
        <f t="shared" si="30"/>
        <v>305</v>
      </c>
    </row>
    <row r="176" spans="12:20" s="13" customFormat="1" ht="12.75" customHeight="1" x14ac:dyDescent="0.35">
      <c r="L176" s="1720">
        <f t="shared" si="31"/>
        <v>335</v>
      </c>
      <c r="M176" s="214">
        <f t="shared" si="29"/>
        <v>0</v>
      </c>
      <c r="N176" s="214">
        <f>'Street View'!X32+M176</f>
        <v>0</v>
      </c>
      <c r="O176" s="214">
        <f>'Street View'!Y32+SUM(M$166:M176)</f>
        <v>0</v>
      </c>
      <c r="P176" s="207">
        <f t="shared" si="30"/>
        <v>335</v>
      </c>
    </row>
    <row r="177" spans="12:16" s="13" customFormat="1" ht="12.75" customHeight="1" x14ac:dyDescent="0.35">
      <c r="L177" s="1720">
        <f t="shared" si="31"/>
        <v>366</v>
      </c>
      <c r="M177" s="214">
        <f t="shared" si="29"/>
        <v>0</v>
      </c>
      <c r="N177" s="214">
        <f>'Street View'!X33+M177</f>
        <v>0</v>
      </c>
      <c r="O177" s="214">
        <f>'Street View'!Y33+SUM(M$166:M177)</f>
        <v>0</v>
      </c>
      <c r="P177" s="207">
        <f t="shared" si="30"/>
        <v>366</v>
      </c>
    </row>
    <row r="178" spans="12:16" s="13" customFormat="1" ht="12.75" customHeight="1" x14ac:dyDescent="0.35">
      <c r="L178" s="1720">
        <f t="shared" si="31"/>
        <v>397</v>
      </c>
      <c r="M178" s="214">
        <f t="shared" ref="M178:M189" si="32">N5</f>
        <v>0</v>
      </c>
      <c r="N178" s="214">
        <f>'Street View'!X34+M178</f>
        <v>0</v>
      </c>
      <c r="O178" s="214">
        <f>'Street View'!Y34+SUM(M$166:M178)</f>
        <v>0</v>
      </c>
      <c r="P178" s="207">
        <f t="shared" si="30"/>
        <v>397</v>
      </c>
    </row>
    <row r="179" spans="12:16" s="13" customFormat="1" ht="12.75" customHeight="1" x14ac:dyDescent="0.35">
      <c r="L179" s="1720">
        <f t="shared" si="31"/>
        <v>425</v>
      </c>
      <c r="M179" s="214">
        <f t="shared" si="32"/>
        <v>0</v>
      </c>
      <c r="N179" s="214">
        <f>'Street View'!X35+M179</f>
        <v>0</v>
      </c>
      <c r="O179" s="214">
        <f>'Street View'!Y35+SUM(M$166:M179)</f>
        <v>0</v>
      </c>
      <c r="P179" s="207">
        <f t="shared" si="30"/>
        <v>425</v>
      </c>
    </row>
    <row r="180" spans="12:16" s="13" customFormat="1" ht="12.75" customHeight="1" x14ac:dyDescent="0.35">
      <c r="L180" s="1720">
        <f t="shared" si="31"/>
        <v>456</v>
      </c>
      <c r="M180" s="214">
        <f t="shared" si="32"/>
        <v>1000000</v>
      </c>
      <c r="N180" s="214">
        <f>'Street View'!X36+M180</f>
        <v>1000000</v>
      </c>
      <c r="O180" s="214">
        <f>'Street View'!Y36+SUM(M$166:M180)</f>
        <v>1000000</v>
      </c>
      <c r="P180" s="207">
        <f t="shared" si="30"/>
        <v>456</v>
      </c>
    </row>
    <row r="181" spans="12:16" s="13" customFormat="1" ht="12.75" customHeight="1" x14ac:dyDescent="0.35">
      <c r="L181" s="1720">
        <f t="shared" si="31"/>
        <v>486</v>
      </c>
      <c r="M181" s="214">
        <f t="shared" si="32"/>
        <v>0</v>
      </c>
      <c r="N181" s="214">
        <f>'Street View'!X37+M181</f>
        <v>0</v>
      </c>
      <c r="O181" s="214">
        <f>'Street View'!Y37+SUM(M$166:M181)</f>
        <v>1000000</v>
      </c>
      <c r="P181" s="207">
        <f t="shared" si="30"/>
        <v>486</v>
      </c>
    </row>
    <row r="182" spans="12:16" s="13" customFormat="1" ht="12.75" customHeight="1" x14ac:dyDescent="0.35">
      <c r="L182" s="1720">
        <f t="shared" si="31"/>
        <v>517</v>
      </c>
      <c r="M182" s="214">
        <f t="shared" si="32"/>
        <v>0</v>
      </c>
      <c r="N182" s="214">
        <f>'Street View'!X38+M182</f>
        <v>0</v>
      </c>
      <c r="O182" s="214">
        <f>'Street View'!Y38+SUM(M$166:M182)</f>
        <v>1000000</v>
      </c>
      <c r="P182" s="207">
        <f t="shared" si="30"/>
        <v>517</v>
      </c>
    </row>
    <row r="183" spans="12:16" s="13" customFormat="1" ht="12.75" customHeight="1" x14ac:dyDescent="0.35">
      <c r="L183" s="1720">
        <f t="shared" si="31"/>
        <v>547</v>
      </c>
      <c r="M183" s="214">
        <f t="shared" si="32"/>
        <v>0</v>
      </c>
      <c r="N183" s="214">
        <f>'Street View'!X39+M183</f>
        <v>0</v>
      </c>
      <c r="O183" s="214">
        <f>'Street View'!Y39+SUM(M$166:M183)</f>
        <v>1000000</v>
      </c>
      <c r="P183" s="207">
        <f t="shared" si="30"/>
        <v>547</v>
      </c>
    </row>
    <row r="184" spans="12:16" s="13" customFormat="1" ht="12.75" customHeight="1" x14ac:dyDescent="0.35">
      <c r="L184" s="1720">
        <f t="shared" si="31"/>
        <v>578</v>
      </c>
      <c r="M184" s="214">
        <f t="shared" si="32"/>
        <v>0</v>
      </c>
      <c r="N184" s="214">
        <f>'Street View'!X40+M184</f>
        <v>0</v>
      </c>
      <c r="O184" s="214">
        <f>'Street View'!Y40+SUM(M$166:M184)</f>
        <v>1000000</v>
      </c>
      <c r="P184" s="207">
        <f t="shared" si="30"/>
        <v>578</v>
      </c>
    </row>
    <row r="185" spans="12:16" s="13" customFormat="1" ht="12.75" customHeight="1" x14ac:dyDescent="0.35">
      <c r="L185" s="1720">
        <f t="shared" si="31"/>
        <v>609</v>
      </c>
      <c r="M185" s="214">
        <f t="shared" si="32"/>
        <v>0</v>
      </c>
      <c r="N185" s="214">
        <f>'Street View'!X41+M185</f>
        <v>0</v>
      </c>
      <c r="O185" s="214">
        <f>'Street View'!Y41+SUM(M$166:M185)</f>
        <v>1000000</v>
      </c>
      <c r="P185" s="207">
        <f t="shared" si="30"/>
        <v>609</v>
      </c>
    </row>
    <row r="186" spans="12:16" s="13" customFormat="1" ht="12.75" customHeight="1" x14ac:dyDescent="0.35">
      <c r="L186" s="1720">
        <f t="shared" si="31"/>
        <v>639</v>
      </c>
      <c r="M186" s="214">
        <f t="shared" si="32"/>
        <v>0</v>
      </c>
      <c r="N186" s="214">
        <f>'Street View'!X42+M186</f>
        <v>0</v>
      </c>
      <c r="O186" s="214">
        <f>'Street View'!Y42+SUM(M$166:M186)</f>
        <v>1000000</v>
      </c>
      <c r="P186" s="207">
        <f t="shared" si="30"/>
        <v>639</v>
      </c>
    </row>
    <row r="187" spans="12:16" s="13" customFormat="1" ht="12.75" customHeight="1" x14ac:dyDescent="0.35">
      <c r="L187" s="1720">
        <f t="shared" si="31"/>
        <v>670</v>
      </c>
      <c r="M187" s="214">
        <f t="shared" si="32"/>
        <v>0</v>
      </c>
      <c r="N187" s="214">
        <f>'Street View'!X43+M187</f>
        <v>0</v>
      </c>
      <c r="O187" s="214">
        <f>'Street View'!Y43+SUM(M$166:M187)</f>
        <v>1000000</v>
      </c>
      <c r="P187" s="207">
        <f t="shared" si="30"/>
        <v>670</v>
      </c>
    </row>
    <row r="188" spans="12:16" s="13" customFormat="1" ht="12.75" customHeight="1" x14ac:dyDescent="0.35">
      <c r="L188" s="1720">
        <f t="shared" si="31"/>
        <v>700</v>
      </c>
      <c r="M188" s="214">
        <f t="shared" si="32"/>
        <v>0</v>
      </c>
      <c r="N188" s="214">
        <f>'Street View'!X44+M188</f>
        <v>0</v>
      </c>
      <c r="O188" s="214">
        <f>'Street View'!Y44+SUM(M$166:M188)</f>
        <v>1000000</v>
      </c>
      <c r="P188" s="207">
        <f t="shared" si="30"/>
        <v>700</v>
      </c>
    </row>
    <row r="189" spans="12:16" s="13" customFormat="1" ht="12.75" customHeight="1" x14ac:dyDescent="0.35">
      <c r="L189" s="1720">
        <f t="shared" si="31"/>
        <v>731</v>
      </c>
      <c r="M189" s="214">
        <f t="shared" si="32"/>
        <v>0</v>
      </c>
      <c r="N189" s="214">
        <f>'Street View'!X45+M189</f>
        <v>0</v>
      </c>
      <c r="O189" s="214">
        <f>'Street View'!Y45+SUM(M$166:M189)</f>
        <v>1000000</v>
      </c>
      <c r="P189" s="207">
        <f t="shared" si="30"/>
        <v>731</v>
      </c>
    </row>
    <row r="190" spans="12:16" s="13" customFormat="1" ht="12.75" customHeight="1" x14ac:dyDescent="0.35">
      <c r="L190" s="1720">
        <f t="shared" si="31"/>
        <v>762</v>
      </c>
      <c r="M190" s="214">
        <f t="shared" ref="M190:M201" si="33">O5</f>
        <v>0</v>
      </c>
      <c r="N190" s="214">
        <f>'Street View'!X46+M190</f>
        <v>0</v>
      </c>
      <c r="O190" s="214">
        <f>'Street View'!Y46+SUM(M$166:M190)</f>
        <v>1000000</v>
      </c>
      <c r="P190" s="207">
        <f t="shared" si="30"/>
        <v>762</v>
      </c>
    </row>
    <row r="191" spans="12:16" s="13" customFormat="1" ht="12.75" customHeight="1" x14ac:dyDescent="0.35">
      <c r="L191" s="1720">
        <f t="shared" si="31"/>
        <v>790</v>
      </c>
      <c r="M191" s="214">
        <f t="shared" si="33"/>
        <v>0</v>
      </c>
      <c r="N191" s="214">
        <f>'Street View'!X47+M191</f>
        <v>0</v>
      </c>
      <c r="O191" s="214">
        <f>'Street View'!Y47+SUM(M$166:M191)</f>
        <v>1000000</v>
      </c>
      <c r="P191" s="207">
        <f t="shared" si="30"/>
        <v>790</v>
      </c>
    </row>
    <row r="192" spans="12:16" s="13" customFormat="1" ht="12.75" customHeight="1" x14ac:dyDescent="0.35">
      <c r="L192" s="1720">
        <f t="shared" si="31"/>
        <v>821</v>
      </c>
      <c r="M192" s="214">
        <f t="shared" si="33"/>
        <v>0</v>
      </c>
      <c r="N192" s="214">
        <f>'Street View'!X48+M192</f>
        <v>0</v>
      </c>
      <c r="O192" s="214">
        <f>'Street View'!Y48+SUM(M$166:M192)</f>
        <v>1000000</v>
      </c>
      <c r="P192" s="207">
        <f t="shared" si="30"/>
        <v>821</v>
      </c>
    </row>
    <row r="193" spans="12:16" s="13" customFormat="1" ht="12.75" customHeight="1" x14ac:dyDescent="0.35">
      <c r="L193" s="1720">
        <f t="shared" si="31"/>
        <v>851</v>
      </c>
      <c r="M193" s="214">
        <f t="shared" si="33"/>
        <v>0</v>
      </c>
      <c r="N193" s="214">
        <f>'Street View'!X49+M193</f>
        <v>0</v>
      </c>
      <c r="O193" s="214">
        <f>'Street View'!Y49+SUM(M$166:M193)</f>
        <v>1000000</v>
      </c>
      <c r="P193" s="207">
        <f t="shared" si="30"/>
        <v>851</v>
      </c>
    </row>
    <row r="194" spans="12:16" s="13" customFormat="1" ht="12.75" customHeight="1" x14ac:dyDescent="0.35">
      <c r="L194" s="1720">
        <f t="shared" si="31"/>
        <v>882</v>
      </c>
      <c r="M194" s="214">
        <f t="shared" si="33"/>
        <v>0</v>
      </c>
      <c r="N194" s="214">
        <f>'Street View'!X50+M194</f>
        <v>0</v>
      </c>
      <c r="O194" s="214">
        <f>'Street View'!Y50+SUM(M$166:M194)</f>
        <v>1000000</v>
      </c>
      <c r="P194" s="207">
        <f t="shared" si="30"/>
        <v>882</v>
      </c>
    </row>
    <row r="195" spans="12:16" s="13" customFormat="1" ht="12.75" customHeight="1" x14ac:dyDescent="0.35">
      <c r="L195" s="1720">
        <f t="shared" si="31"/>
        <v>912</v>
      </c>
      <c r="M195" s="214">
        <f t="shared" si="33"/>
        <v>0</v>
      </c>
      <c r="N195" s="214">
        <f>'Street View'!X51+M195</f>
        <v>0</v>
      </c>
      <c r="O195" s="214">
        <f>'Street View'!Y51+SUM(M$166:M195)</f>
        <v>1000000</v>
      </c>
      <c r="P195" s="207">
        <f t="shared" si="30"/>
        <v>912</v>
      </c>
    </row>
    <row r="196" spans="12:16" s="13" customFormat="1" ht="12.75" customHeight="1" x14ac:dyDescent="0.35">
      <c r="L196" s="1720">
        <f t="shared" si="31"/>
        <v>943</v>
      </c>
      <c r="M196" s="214">
        <f t="shared" si="33"/>
        <v>0</v>
      </c>
      <c r="N196" s="214">
        <f>'Street View'!X52+M196</f>
        <v>0</v>
      </c>
      <c r="O196" s="214">
        <f>'Street View'!Y52+SUM(M$166:M196)</f>
        <v>1000000</v>
      </c>
      <c r="P196" s="207">
        <f t="shared" si="30"/>
        <v>943</v>
      </c>
    </row>
    <row r="197" spans="12:16" s="13" customFormat="1" ht="12.75" customHeight="1" x14ac:dyDescent="0.35">
      <c r="L197" s="1720">
        <f t="shared" si="31"/>
        <v>974</v>
      </c>
      <c r="M197" s="214">
        <f t="shared" si="33"/>
        <v>0</v>
      </c>
      <c r="N197" s="214">
        <f>'Street View'!X53+M197</f>
        <v>0</v>
      </c>
      <c r="O197" s="214">
        <f>'Street View'!Y53+SUM(M$166:M197)</f>
        <v>1000000</v>
      </c>
      <c r="P197" s="207">
        <f t="shared" si="30"/>
        <v>974</v>
      </c>
    </row>
    <row r="198" spans="12:16" s="13" customFormat="1" ht="12.75" customHeight="1" x14ac:dyDescent="0.35">
      <c r="L198" s="1720">
        <f t="shared" si="31"/>
        <v>1004</v>
      </c>
      <c r="M198" s="214">
        <f t="shared" si="33"/>
        <v>0</v>
      </c>
      <c r="N198" s="214">
        <f>'Street View'!X54+M198</f>
        <v>0</v>
      </c>
      <c r="O198" s="214">
        <f>'Street View'!Y54+SUM(M$166:M198)</f>
        <v>1000000</v>
      </c>
      <c r="P198" s="207">
        <f t="shared" si="30"/>
        <v>1004</v>
      </c>
    </row>
    <row r="199" spans="12:16" s="13" customFormat="1" ht="12.75" customHeight="1" x14ac:dyDescent="0.35">
      <c r="L199" s="1720">
        <f>EOMONTH(L198,1)</f>
        <v>1035</v>
      </c>
      <c r="M199" s="214">
        <f t="shared" si="33"/>
        <v>0</v>
      </c>
      <c r="N199" s="214">
        <f>'Street View'!X55+M199</f>
        <v>0</v>
      </c>
      <c r="O199" s="214">
        <f>'Street View'!Y55+SUM(M$166:M199)</f>
        <v>1000000</v>
      </c>
      <c r="P199" s="207">
        <f t="shared" si="30"/>
        <v>1035</v>
      </c>
    </row>
    <row r="200" spans="12:16" s="13" customFormat="1" ht="12.75" customHeight="1" x14ac:dyDescent="0.35">
      <c r="L200" s="1720">
        <f t="shared" si="31"/>
        <v>1065</v>
      </c>
      <c r="M200" s="214">
        <f t="shared" si="33"/>
        <v>0</v>
      </c>
      <c r="N200" s="214">
        <f>'Street View'!X56+M200</f>
        <v>0</v>
      </c>
      <c r="O200" s="214">
        <f>'Street View'!Y56+SUM(M$166:M200)</f>
        <v>1000000</v>
      </c>
      <c r="P200" s="207">
        <f t="shared" si="30"/>
        <v>1065</v>
      </c>
    </row>
    <row r="201" spans="12:16" s="13" customFormat="1" ht="12.75" customHeight="1" x14ac:dyDescent="0.35">
      <c r="L201" s="1720">
        <f t="shared" si="31"/>
        <v>1096</v>
      </c>
      <c r="M201" s="214">
        <f t="shared" si="33"/>
        <v>0</v>
      </c>
      <c r="N201" s="214">
        <f>'Street View'!X57+M201</f>
        <v>0</v>
      </c>
      <c r="O201" s="214">
        <f>'Street View'!Y57+SUM(M$166:M201)</f>
        <v>1000000</v>
      </c>
      <c r="P201" s="207">
        <f t="shared" si="30"/>
        <v>1096</v>
      </c>
    </row>
    <row r="202" spans="12:16" s="13" customFormat="1" ht="12.75" customHeight="1" x14ac:dyDescent="0.35">
      <c r="L202" s="1720">
        <f t="shared" ref="L202:L225" si="34">IF(Years="Five",EOMONTH(L201,1),"")</f>
        <v>1127</v>
      </c>
      <c r="M202" s="214">
        <f t="shared" ref="M202:M213" si="35">P5</f>
        <v>0</v>
      </c>
      <c r="N202" s="214">
        <f>IF(Years="Five",'Street View'!X58,0)+M202</f>
        <v>0</v>
      </c>
      <c r="O202" s="214">
        <f>IF(Years="Five",'Street View'!Y58,0)+SUM(M$166:M202)</f>
        <v>1000000</v>
      </c>
      <c r="P202" s="207">
        <f t="shared" si="30"/>
        <v>1127</v>
      </c>
    </row>
    <row r="203" spans="12:16" s="13" customFormat="1" ht="12.75" customHeight="1" x14ac:dyDescent="0.35">
      <c r="L203" s="1720">
        <f t="shared" si="34"/>
        <v>1155</v>
      </c>
      <c r="M203" s="214">
        <f t="shared" si="35"/>
        <v>0</v>
      </c>
      <c r="N203" s="214">
        <f>IF(Years="Five",'Street View'!X59,0)+M203</f>
        <v>0</v>
      </c>
      <c r="O203" s="214">
        <f>IF(Years="Five",'Street View'!Y59,0)+SUM(M$166:M203)</f>
        <v>1000000</v>
      </c>
      <c r="P203" s="207">
        <f t="shared" si="30"/>
        <v>1155</v>
      </c>
    </row>
    <row r="204" spans="12:16" s="13" customFormat="1" ht="12.75" customHeight="1" x14ac:dyDescent="0.35">
      <c r="L204" s="1720">
        <f t="shared" si="34"/>
        <v>1186</v>
      </c>
      <c r="M204" s="214">
        <f t="shared" si="35"/>
        <v>0</v>
      </c>
      <c r="N204" s="214">
        <f>IF(Years="Five",'Street View'!X60,0)+M204</f>
        <v>0</v>
      </c>
      <c r="O204" s="214">
        <f>IF(Years="Five",'Street View'!Y60,0)+SUM(M$166:M204)</f>
        <v>1000000</v>
      </c>
      <c r="P204" s="207">
        <f t="shared" si="30"/>
        <v>1186</v>
      </c>
    </row>
    <row r="205" spans="12:16" s="13" customFormat="1" ht="12.75" customHeight="1" x14ac:dyDescent="0.35">
      <c r="L205" s="1720">
        <f t="shared" si="34"/>
        <v>1216</v>
      </c>
      <c r="M205" s="214">
        <f t="shared" si="35"/>
        <v>0</v>
      </c>
      <c r="N205" s="214">
        <f>IF(Years="Five",'Street View'!X61,0)+M205</f>
        <v>0</v>
      </c>
      <c r="O205" s="214">
        <f>IF(Years="Five",'Street View'!Y61,0)+SUM(M$166:M205)</f>
        <v>1000000</v>
      </c>
      <c r="P205" s="207">
        <f t="shared" si="30"/>
        <v>1216</v>
      </c>
    </row>
    <row r="206" spans="12:16" s="13" customFormat="1" ht="12.75" customHeight="1" x14ac:dyDescent="0.35">
      <c r="L206" s="1720">
        <f t="shared" si="34"/>
        <v>1247</v>
      </c>
      <c r="M206" s="214">
        <f t="shared" si="35"/>
        <v>0</v>
      </c>
      <c r="N206" s="214">
        <f>IF(Years="Five",'Street View'!X62,0)+M206</f>
        <v>0</v>
      </c>
      <c r="O206" s="214">
        <f>IF(Years="Five",'Street View'!Y62,0)+SUM(M$166:M206)</f>
        <v>1000000</v>
      </c>
      <c r="P206" s="207">
        <f t="shared" si="30"/>
        <v>1247</v>
      </c>
    </row>
    <row r="207" spans="12:16" s="13" customFormat="1" ht="12.75" customHeight="1" x14ac:dyDescent="0.35">
      <c r="L207" s="1720">
        <f t="shared" si="34"/>
        <v>1277</v>
      </c>
      <c r="M207" s="214">
        <f t="shared" si="35"/>
        <v>0</v>
      </c>
      <c r="N207" s="214">
        <f>IF(Years="Five",'Street View'!X63,0)+M207</f>
        <v>0</v>
      </c>
      <c r="O207" s="214">
        <f>IF(Years="Five",'Street View'!Y63,0)+SUM(M$166:M207)</f>
        <v>1000000</v>
      </c>
      <c r="P207" s="207">
        <f t="shared" si="30"/>
        <v>1277</v>
      </c>
    </row>
    <row r="208" spans="12:16" s="13" customFormat="1" ht="12.75" customHeight="1" x14ac:dyDescent="0.35">
      <c r="L208" s="1720">
        <f t="shared" si="34"/>
        <v>1308</v>
      </c>
      <c r="M208" s="214">
        <f t="shared" si="35"/>
        <v>0</v>
      </c>
      <c r="N208" s="214">
        <f>IF(Years="Five",'Street View'!X64,0)+M208</f>
        <v>0</v>
      </c>
      <c r="O208" s="214">
        <f>IF(Years="Five",'Street View'!Y64,0)+SUM(M$166:M208)</f>
        <v>1000000</v>
      </c>
      <c r="P208" s="207">
        <f t="shared" si="30"/>
        <v>1308</v>
      </c>
    </row>
    <row r="209" spans="6:16" s="13" customFormat="1" ht="12.75" customHeight="1" thickBot="1" x14ac:dyDescent="0.4">
      <c r="G209" s="1721" t="str">
        <f>Infrastructure!H9</f>
        <v>Year 1</v>
      </c>
      <c r="H209" s="1721" t="str">
        <f>Infrastructure!I9</f>
        <v>Year 2</v>
      </c>
      <c r="I209" s="1721" t="str">
        <f>Infrastructure!J9</f>
        <v>Year 3</v>
      </c>
      <c r="J209" s="1721" t="str">
        <f>Infrastructure!K9</f>
        <v>Year 4</v>
      </c>
      <c r="K209" s="1721" t="str">
        <f>Infrastructure!L9</f>
        <v>Year 5</v>
      </c>
      <c r="L209" s="1720">
        <f t="shared" si="34"/>
        <v>1339</v>
      </c>
      <c r="M209" s="214">
        <f t="shared" si="35"/>
        <v>0</v>
      </c>
      <c r="N209" s="214">
        <f>IF(Years="Five",'Street View'!X65,0)+M209</f>
        <v>0</v>
      </c>
      <c r="O209" s="214">
        <f>IF(Years="Five",'Street View'!Y65,0)+SUM(M$166:M209)</f>
        <v>1000000</v>
      </c>
      <c r="P209" s="207">
        <f t="shared" si="30"/>
        <v>1339</v>
      </c>
    </row>
    <row r="210" spans="6:16" s="13" customFormat="1" ht="12.75" customHeight="1" x14ac:dyDescent="0.35">
      <c r="F210" s="1722">
        <f>Investors!D5</f>
        <v>0</v>
      </c>
      <c r="G210" s="1723">
        <f>Infrastructure!AB180</f>
        <v>0</v>
      </c>
      <c r="H210" s="1724">
        <f>Infrastructure!AC180</f>
        <v>0</v>
      </c>
      <c r="I210" s="1724">
        <f>Infrastructure!AD180</f>
        <v>0</v>
      </c>
      <c r="J210" s="1724">
        <f>Infrastructure!AE180</f>
        <v>0</v>
      </c>
      <c r="K210" s="1725">
        <f>Infrastructure!AF180</f>
        <v>0</v>
      </c>
      <c r="L210" s="1720">
        <f t="shared" si="34"/>
        <v>1369</v>
      </c>
      <c r="M210" s="214">
        <f t="shared" si="35"/>
        <v>0</v>
      </c>
      <c r="N210" s="214">
        <f>IF(Years="Five",'Street View'!X66,0)+M210</f>
        <v>0</v>
      </c>
      <c r="O210" s="214">
        <f>IF(Years="Five",'Street View'!Y66,0)+SUM(M$166:M210)</f>
        <v>1000000</v>
      </c>
      <c r="P210" s="207">
        <f t="shared" si="30"/>
        <v>1369</v>
      </c>
    </row>
    <row r="211" spans="6:16" s="13" customFormat="1" ht="12.75" customHeight="1" x14ac:dyDescent="0.35">
      <c r="F211" s="1722">
        <f>Investors!D6</f>
        <v>59</v>
      </c>
      <c r="G211" s="1726">
        <f>Infrastructure!AB181</f>
        <v>0</v>
      </c>
      <c r="H211" s="1727">
        <f>Infrastructure!AC181</f>
        <v>0</v>
      </c>
      <c r="I211" s="1727">
        <f>Infrastructure!AD181</f>
        <v>0</v>
      </c>
      <c r="J211" s="1727">
        <f>Infrastructure!AE181</f>
        <v>0</v>
      </c>
      <c r="K211" s="1728">
        <f>Infrastructure!AF181</f>
        <v>0</v>
      </c>
      <c r="L211" s="1720">
        <f t="shared" si="34"/>
        <v>1400</v>
      </c>
      <c r="M211" s="214">
        <f t="shared" si="35"/>
        <v>0</v>
      </c>
      <c r="N211" s="214">
        <f>IF(Years="Five",'Street View'!X67,0)+M211</f>
        <v>0</v>
      </c>
      <c r="O211" s="214">
        <f>IF(Years="Five",'Street View'!Y67,0)+SUM(M$166:M211)</f>
        <v>1000000</v>
      </c>
      <c r="P211" s="207">
        <f t="shared" si="30"/>
        <v>1400</v>
      </c>
    </row>
    <row r="212" spans="6:16" s="13" customFormat="1" ht="12.75" customHeight="1" x14ac:dyDescent="0.35">
      <c r="F212" s="1722">
        <f>Investors!D7</f>
        <v>91</v>
      </c>
      <c r="G212" s="1726">
        <f>Infrastructure!AB182</f>
        <v>0</v>
      </c>
      <c r="H212" s="1727">
        <f>Infrastructure!AC182</f>
        <v>0</v>
      </c>
      <c r="I212" s="1727">
        <f>Infrastructure!AD182</f>
        <v>0</v>
      </c>
      <c r="J212" s="1727">
        <f>Infrastructure!AE182</f>
        <v>0</v>
      </c>
      <c r="K212" s="1728">
        <f>Infrastructure!AF182</f>
        <v>0</v>
      </c>
      <c r="L212" s="1720">
        <f t="shared" si="34"/>
        <v>1430</v>
      </c>
      <c r="M212" s="214">
        <f t="shared" si="35"/>
        <v>0</v>
      </c>
      <c r="N212" s="214">
        <f>IF(Years="Five",'Street View'!X68,0)+M212</f>
        <v>0</v>
      </c>
      <c r="O212" s="214">
        <f>IF(Years="Five",'Street View'!Y68,0)+SUM(M$166:M212)</f>
        <v>1000000</v>
      </c>
      <c r="P212" s="207">
        <f t="shared" si="30"/>
        <v>1430</v>
      </c>
    </row>
    <row r="213" spans="6:16" s="13" customFormat="1" ht="12.75" customHeight="1" x14ac:dyDescent="0.35">
      <c r="F213" s="1722">
        <f>Investors!D8</f>
        <v>121</v>
      </c>
      <c r="G213" s="1726">
        <f>Infrastructure!AB183</f>
        <v>0</v>
      </c>
      <c r="H213" s="1727">
        <f>Infrastructure!AC183</f>
        <v>0</v>
      </c>
      <c r="I213" s="1727">
        <f>Infrastructure!AD183</f>
        <v>0</v>
      </c>
      <c r="J213" s="1727">
        <f>Infrastructure!AE183</f>
        <v>0</v>
      </c>
      <c r="K213" s="1728">
        <f>Infrastructure!AF183</f>
        <v>0</v>
      </c>
      <c r="L213" s="1720">
        <f t="shared" si="34"/>
        <v>1461</v>
      </c>
      <c r="M213" s="214">
        <f t="shared" si="35"/>
        <v>0</v>
      </c>
      <c r="N213" s="214">
        <f>IF(Years="Five",'Street View'!X69,0)+M213</f>
        <v>0</v>
      </c>
      <c r="O213" s="214">
        <f>IF(Years="Five",'Street View'!Y69,0)+SUM(M$166:M213)</f>
        <v>1000000</v>
      </c>
      <c r="P213" s="207">
        <f t="shared" si="30"/>
        <v>1461</v>
      </c>
    </row>
    <row r="214" spans="6:16" s="13" customFormat="1" ht="12.75" customHeight="1" x14ac:dyDescent="0.35">
      <c r="F214" s="1722">
        <f>Investors!D9</f>
        <v>152</v>
      </c>
      <c r="G214" s="1726">
        <f>Infrastructure!AB184</f>
        <v>0</v>
      </c>
      <c r="H214" s="1727">
        <f>Infrastructure!AC184</f>
        <v>0</v>
      </c>
      <c r="I214" s="1727">
        <f>Infrastructure!AD184</f>
        <v>0</v>
      </c>
      <c r="J214" s="1727">
        <f>Infrastructure!AE184</f>
        <v>0</v>
      </c>
      <c r="K214" s="1728">
        <f>Infrastructure!AF184</f>
        <v>0</v>
      </c>
      <c r="L214" s="1720">
        <f t="shared" si="34"/>
        <v>1492</v>
      </c>
      <c r="M214" s="214">
        <f t="shared" ref="M214:M225" si="36">Q5</f>
        <v>0</v>
      </c>
      <c r="N214" s="214">
        <f>IF(Years="Five",'Street View'!X70,0)+M214</f>
        <v>0</v>
      </c>
      <c r="O214" s="214">
        <f>IF(Years="Five",'Street View'!Y70,0)+SUM(M$166:M214)</f>
        <v>1000000</v>
      </c>
      <c r="P214" s="207">
        <f t="shared" si="30"/>
        <v>1492</v>
      </c>
    </row>
    <row r="215" spans="6:16" s="13" customFormat="1" ht="12.75" customHeight="1" x14ac:dyDescent="0.35">
      <c r="F215" s="1722">
        <f>Investors!D10</f>
        <v>182</v>
      </c>
      <c r="G215" s="1726">
        <f>Infrastructure!AB185</f>
        <v>0</v>
      </c>
      <c r="H215" s="1727">
        <f>Infrastructure!AC185</f>
        <v>0</v>
      </c>
      <c r="I215" s="1727">
        <f>Infrastructure!AD185</f>
        <v>0</v>
      </c>
      <c r="J215" s="1727">
        <f>Infrastructure!AE185</f>
        <v>0</v>
      </c>
      <c r="K215" s="1728">
        <f>Infrastructure!AF185</f>
        <v>0</v>
      </c>
      <c r="L215" s="1720">
        <f t="shared" si="34"/>
        <v>1521</v>
      </c>
      <c r="M215" s="214">
        <f t="shared" si="36"/>
        <v>0</v>
      </c>
      <c r="N215" s="214">
        <f>IF(Years="Five",'Street View'!X71,0)+M215</f>
        <v>0</v>
      </c>
      <c r="O215" s="214">
        <f>IF(Years="Five",'Street View'!Y71,0)+SUM(M$166:M215)</f>
        <v>1000000</v>
      </c>
      <c r="P215" s="207">
        <f t="shared" si="30"/>
        <v>1521</v>
      </c>
    </row>
    <row r="216" spans="6:16" s="13" customFormat="1" ht="12.75" customHeight="1" x14ac:dyDescent="0.35">
      <c r="F216" s="1722">
        <f>Investors!D11</f>
        <v>213</v>
      </c>
      <c r="G216" s="1726">
        <f>Infrastructure!AB186</f>
        <v>0</v>
      </c>
      <c r="H216" s="1727">
        <f>Infrastructure!AC186</f>
        <v>0</v>
      </c>
      <c r="I216" s="1727">
        <f>Infrastructure!AD186</f>
        <v>0</v>
      </c>
      <c r="J216" s="1727">
        <f>Infrastructure!AE186</f>
        <v>0</v>
      </c>
      <c r="K216" s="1728">
        <f>Infrastructure!AF186</f>
        <v>0</v>
      </c>
      <c r="L216" s="1720">
        <f t="shared" si="34"/>
        <v>1552</v>
      </c>
      <c r="M216" s="214">
        <f t="shared" si="36"/>
        <v>0</v>
      </c>
      <c r="N216" s="214">
        <f>IF(Years="Five",'Street View'!X72,0)+M216</f>
        <v>0</v>
      </c>
      <c r="O216" s="214">
        <f>IF(Years="Five",'Street View'!Y72,0)+SUM(M$166:M216)</f>
        <v>1000000</v>
      </c>
      <c r="P216" s="207">
        <f t="shared" si="30"/>
        <v>1552</v>
      </c>
    </row>
    <row r="217" spans="6:16" s="13" customFormat="1" ht="12.75" customHeight="1" x14ac:dyDescent="0.35">
      <c r="F217" s="1722">
        <f>Investors!D12</f>
        <v>244</v>
      </c>
      <c r="G217" s="1726">
        <f>Infrastructure!AB187</f>
        <v>0</v>
      </c>
      <c r="H217" s="1727">
        <f>Infrastructure!AC187</f>
        <v>0</v>
      </c>
      <c r="I217" s="1727">
        <f>Infrastructure!AD187</f>
        <v>0</v>
      </c>
      <c r="J217" s="1727">
        <f>Infrastructure!AE187</f>
        <v>0</v>
      </c>
      <c r="K217" s="1728">
        <f>Infrastructure!AF187</f>
        <v>0</v>
      </c>
      <c r="L217" s="1720">
        <f t="shared" si="34"/>
        <v>1582</v>
      </c>
      <c r="M217" s="214">
        <f t="shared" si="36"/>
        <v>0</v>
      </c>
      <c r="N217" s="214">
        <f>IF(Years="Five",'Street View'!X73,0)+M217</f>
        <v>0</v>
      </c>
      <c r="O217" s="214">
        <f>IF(Years="Five",'Street View'!Y73,0)+SUM(M$166:M217)</f>
        <v>1000000</v>
      </c>
      <c r="P217" s="207">
        <f t="shared" si="30"/>
        <v>1582</v>
      </c>
    </row>
    <row r="218" spans="6:16" s="13" customFormat="1" ht="12.75" customHeight="1" x14ac:dyDescent="0.35">
      <c r="F218" s="1722">
        <f>Investors!D13</f>
        <v>274</v>
      </c>
      <c r="G218" s="1726">
        <f>Infrastructure!AB188</f>
        <v>0</v>
      </c>
      <c r="H218" s="1727">
        <f>Infrastructure!AC188</f>
        <v>0</v>
      </c>
      <c r="I218" s="1727">
        <f>Infrastructure!AD188</f>
        <v>0</v>
      </c>
      <c r="J218" s="1727">
        <f>Infrastructure!AE188</f>
        <v>0</v>
      </c>
      <c r="K218" s="1728">
        <f>Infrastructure!AF188</f>
        <v>0</v>
      </c>
      <c r="L218" s="1720">
        <f t="shared" si="34"/>
        <v>1613</v>
      </c>
      <c r="M218" s="214">
        <f t="shared" si="36"/>
        <v>0</v>
      </c>
      <c r="N218" s="214">
        <f>IF(Years="Five",'Street View'!X74,0)+M218</f>
        <v>0</v>
      </c>
      <c r="O218" s="214">
        <f>IF(Years="Five",'Street View'!Y74,0)+SUM(M$166:M218)</f>
        <v>1000000</v>
      </c>
      <c r="P218" s="207">
        <f t="shared" si="30"/>
        <v>1613</v>
      </c>
    </row>
    <row r="219" spans="6:16" s="13" customFormat="1" ht="12.75" customHeight="1" x14ac:dyDescent="0.35">
      <c r="F219" s="1722">
        <f>Investors!D14</f>
        <v>305</v>
      </c>
      <c r="G219" s="1726">
        <f>Infrastructure!AB189</f>
        <v>0</v>
      </c>
      <c r="H219" s="1727">
        <f>Infrastructure!AC189</f>
        <v>0</v>
      </c>
      <c r="I219" s="1727">
        <f>Infrastructure!AD189</f>
        <v>0</v>
      </c>
      <c r="J219" s="1727">
        <f>Infrastructure!AE189</f>
        <v>0</v>
      </c>
      <c r="K219" s="1728">
        <f>Infrastructure!AF189</f>
        <v>0</v>
      </c>
      <c r="L219" s="1720">
        <f t="shared" si="34"/>
        <v>1643</v>
      </c>
      <c r="M219" s="214">
        <f t="shared" si="36"/>
        <v>0</v>
      </c>
      <c r="N219" s="214">
        <f>IF(Years="Five",'Street View'!X75,0)+M219</f>
        <v>0</v>
      </c>
      <c r="O219" s="214">
        <f>IF(Years="Five",'Street View'!Y75,0)+SUM(M$166:M219)</f>
        <v>1000000</v>
      </c>
      <c r="P219" s="207">
        <f t="shared" si="30"/>
        <v>1643</v>
      </c>
    </row>
    <row r="220" spans="6:16" s="13" customFormat="1" ht="12.75" customHeight="1" x14ac:dyDescent="0.35">
      <c r="F220" s="1722">
        <f>Investors!D15</f>
        <v>335</v>
      </c>
      <c r="G220" s="1726">
        <f>Infrastructure!AB190</f>
        <v>0</v>
      </c>
      <c r="H220" s="1727">
        <f>Infrastructure!AC190</f>
        <v>0</v>
      </c>
      <c r="I220" s="1727">
        <f>Infrastructure!AD190</f>
        <v>0</v>
      </c>
      <c r="J220" s="1727">
        <f>Infrastructure!AE190</f>
        <v>0</v>
      </c>
      <c r="K220" s="1728">
        <f>Infrastructure!AF190</f>
        <v>0</v>
      </c>
      <c r="L220" s="1720">
        <f t="shared" si="34"/>
        <v>1674</v>
      </c>
      <c r="M220" s="214">
        <f t="shared" si="36"/>
        <v>0</v>
      </c>
      <c r="N220" s="214">
        <f>IF(Years="Five",'Street View'!X76,0)+M220</f>
        <v>0</v>
      </c>
      <c r="O220" s="214">
        <f>IF(Years="Five",'Street View'!Y76,0)+SUM(M$166:M220)</f>
        <v>1000000</v>
      </c>
      <c r="P220" s="207">
        <f t="shared" si="30"/>
        <v>1674</v>
      </c>
    </row>
    <row r="221" spans="6:16" s="13" customFormat="1" ht="12.75" customHeight="1" thickBot="1" x14ac:dyDescent="0.4">
      <c r="F221" s="1722">
        <f>Investors!D16</f>
        <v>366</v>
      </c>
      <c r="G221" s="1729">
        <f>Infrastructure!AB191</f>
        <v>0</v>
      </c>
      <c r="H221" s="1730">
        <f>Infrastructure!AC191</f>
        <v>0</v>
      </c>
      <c r="I221" s="1730">
        <f>Infrastructure!AD191</f>
        <v>0</v>
      </c>
      <c r="J221" s="1730">
        <f>Infrastructure!AE191</f>
        <v>0</v>
      </c>
      <c r="K221" s="1731">
        <f>Infrastructure!AF191</f>
        <v>0</v>
      </c>
      <c r="L221" s="1720">
        <f t="shared" si="34"/>
        <v>1705</v>
      </c>
      <c r="M221" s="214">
        <f t="shared" si="36"/>
        <v>0</v>
      </c>
      <c r="N221" s="214">
        <f>IF(Years="Five",'Street View'!X77,0)+M221</f>
        <v>0</v>
      </c>
      <c r="O221" s="214">
        <f>IF(Years="Five",'Street View'!Y77,0)+SUM(M$166:M221)</f>
        <v>1000000</v>
      </c>
      <c r="P221" s="207">
        <f t="shared" si="30"/>
        <v>1705</v>
      </c>
    </row>
    <row r="222" spans="6:16" s="13" customFormat="1" ht="12.75" customHeight="1" x14ac:dyDescent="0.35">
      <c r="L222" s="1720">
        <f t="shared" si="34"/>
        <v>1735</v>
      </c>
      <c r="M222" s="214">
        <f t="shared" si="36"/>
        <v>0</v>
      </c>
      <c r="N222" s="214">
        <f>IF(Years="Five",'Street View'!X78,0)+M222</f>
        <v>0</v>
      </c>
      <c r="O222" s="214">
        <f>IF(Years="Five",'Street View'!Y78,0)+SUM(M$166:M222)</f>
        <v>1000000</v>
      </c>
      <c r="P222" s="207">
        <f t="shared" si="30"/>
        <v>1735</v>
      </c>
    </row>
    <row r="223" spans="6:16" s="13" customFormat="1" ht="12.75" customHeight="1" thickBot="1" x14ac:dyDescent="0.4">
      <c r="G223" s="1721" t="str">
        <f>G209</f>
        <v>Year 1</v>
      </c>
      <c r="H223" s="1721" t="str">
        <f t="shared" ref="H223:K223" si="37">H209</f>
        <v>Year 2</v>
      </c>
      <c r="I223" s="1721" t="str">
        <f t="shared" si="37"/>
        <v>Year 3</v>
      </c>
      <c r="J223" s="1721" t="str">
        <f t="shared" si="37"/>
        <v>Year 4</v>
      </c>
      <c r="K223" s="1721" t="str">
        <f t="shared" si="37"/>
        <v>Year 5</v>
      </c>
      <c r="L223" s="1720">
        <f t="shared" si="34"/>
        <v>1766</v>
      </c>
      <c r="M223" s="214">
        <f t="shared" si="36"/>
        <v>0</v>
      </c>
      <c r="N223" s="214">
        <f>IF(Years="Five",'Street View'!X79,0)+M223</f>
        <v>0</v>
      </c>
      <c r="O223" s="214">
        <f>IF(Years="Five",'Street View'!Y79,0)+SUM(M$166:M223)</f>
        <v>1000000</v>
      </c>
      <c r="P223" s="207">
        <f t="shared" si="30"/>
        <v>1766</v>
      </c>
    </row>
    <row r="224" spans="6:16" s="13" customFormat="1" ht="12.75" customHeight="1" x14ac:dyDescent="0.35">
      <c r="F224" s="1722">
        <f>F210</f>
        <v>0</v>
      </c>
      <c r="G224" s="1723">
        <f>G210</f>
        <v>0</v>
      </c>
      <c r="H224" s="1724">
        <f t="shared" ref="H224:K224" si="38">H210</f>
        <v>0</v>
      </c>
      <c r="I224" s="1724">
        <f t="shared" si="38"/>
        <v>0</v>
      </c>
      <c r="J224" s="1724">
        <f t="shared" si="38"/>
        <v>0</v>
      </c>
      <c r="K224" s="1725">
        <f t="shared" si="38"/>
        <v>0</v>
      </c>
      <c r="L224" s="1720">
        <f t="shared" si="34"/>
        <v>1796</v>
      </c>
      <c r="M224" s="214">
        <f t="shared" si="36"/>
        <v>0</v>
      </c>
      <c r="N224" s="214">
        <f>IF(Years="Five",'Street View'!X80,0)+M224</f>
        <v>0</v>
      </c>
      <c r="O224" s="214">
        <f>IF(Years="Five",'Street View'!Y80,0)+SUM(M$166:M224)</f>
        <v>1000000</v>
      </c>
      <c r="P224" s="207">
        <f t="shared" si="30"/>
        <v>1796</v>
      </c>
    </row>
    <row r="225" spans="6:16" s="13" customFormat="1" ht="12.75" customHeight="1" x14ac:dyDescent="0.35">
      <c r="F225" s="1722">
        <f t="shared" ref="F225:G235" si="39">F211</f>
        <v>59</v>
      </c>
      <c r="G225" s="1726">
        <f t="shared" si="39"/>
        <v>0</v>
      </c>
      <c r="H225" s="1727">
        <f t="shared" ref="H225:K225" si="40">H211</f>
        <v>0</v>
      </c>
      <c r="I225" s="1727">
        <f t="shared" si="40"/>
        <v>0</v>
      </c>
      <c r="J225" s="1727">
        <f t="shared" si="40"/>
        <v>0</v>
      </c>
      <c r="K225" s="1728">
        <f t="shared" si="40"/>
        <v>0</v>
      </c>
      <c r="L225" s="1720">
        <f t="shared" si="34"/>
        <v>1827</v>
      </c>
      <c r="M225" s="214">
        <f t="shared" si="36"/>
        <v>0</v>
      </c>
      <c r="N225" s="214">
        <f>IF(Years="Five",'Street View'!X81,0)+M225</f>
        <v>0</v>
      </c>
      <c r="O225" s="214">
        <f>IF(Years="Five",'Street View'!Y81,0)+SUM(M$166:M225)</f>
        <v>1000000</v>
      </c>
      <c r="P225" s="207">
        <f t="shared" si="30"/>
        <v>1827</v>
      </c>
    </row>
    <row r="226" spans="6:16" s="13" customFormat="1" ht="12.75" customHeight="1" x14ac:dyDescent="0.35">
      <c r="F226" s="1722">
        <f t="shared" si="39"/>
        <v>91</v>
      </c>
      <c r="G226" s="1726">
        <f t="shared" si="39"/>
        <v>0</v>
      </c>
      <c r="H226" s="1727">
        <f t="shared" ref="H226:K226" si="41">H212</f>
        <v>0</v>
      </c>
      <c r="I226" s="1727">
        <f t="shared" si="41"/>
        <v>0</v>
      </c>
      <c r="J226" s="1727">
        <f t="shared" si="41"/>
        <v>0</v>
      </c>
      <c r="K226" s="1728">
        <f t="shared" si="41"/>
        <v>0</v>
      </c>
    </row>
    <row r="227" spans="6:16" s="13" customFormat="1" ht="12.75" customHeight="1" x14ac:dyDescent="0.35">
      <c r="F227" s="1722">
        <f t="shared" si="39"/>
        <v>121</v>
      </c>
      <c r="G227" s="1726">
        <f t="shared" si="39"/>
        <v>0</v>
      </c>
      <c r="H227" s="1727">
        <f t="shared" ref="H227:K227" si="42">H213</f>
        <v>0</v>
      </c>
      <c r="I227" s="1727">
        <f t="shared" si="42"/>
        <v>0</v>
      </c>
      <c r="J227" s="1727">
        <f t="shared" si="42"/>
        <v>0</v>
      </c>
      <c r="K227" s="1728">
        <f t="shared" si="42"/>
        <v>0</v>
      </c>
    </row>
    <row r="228" spans="6:16" s="13" customFormat="1" ht="12.75" customHeight="1" x14ac:dyDescent="0.35">
      <c r="F228" s="1722">
        <f t="shared" si="39"/>
        <v>152</v>
      </c>
      <c r="G228" s="1726">
        <f t="shared" si="39"/>
        <v>0</v>
      </c>
      <c r="H228" s="1727">
        <f t="shared" ref="H228:K228" si="43">H214</f>
        <v>0</v>
      </c>
      <c r="I228" s="1727">
        <f t="shared" si="43"/>
        <v>0</v>
      </c>
      <c r="J228" s="1727">
        <f t="shared" si="43"/>
        <v>0</v>
      </c>
      <c r="K228" s="1728">
        <f t="shared" si="43"/>
        <v>0</v>
      </c>
    </row>
    <row r="229" spans="6:16" s="13" customFormat="1" ht="12.75" customHeight="1" x14ac:dyDescent="0.35">
      <c r="F229" s="1722">
        <f t="shared" si="39"/>
        <v>182</v>
      </c>
      <c r="G229" s="1726">
        <f t="shared" si="39"/>
        <v>0</v>
      </c>
      <c r="H229" s="1727">
        <f t="shared" ref="H229:K229" si="44">H215</f>
        <v>0</v>
      </c>
      <c r="I229" s="1727">
        <f t="shared" si="44"/>
        <v>0</v>
      </c>
      <c r="J229" s="1727">
        <f t="shared" si="44"/>
        <v>0</v>
      </c>
      <c r="K229" s="1728">
        <f t="shared" si="44"/>
        <v>0</v>
      </c>
    </row>
    <row r="230" spans="6:16" s="13" customFormat="1" ht="12.75" customHeight="1" x14ac:dyDescent="0.35">
      <c r="F230" s="1722">
        <f t="shared" si="39"/>
        <v>213</v>
      </c>
      <c r="G230" s="1726">
        <f t="shared" si="39"/>
        <v>0</v>
      </c>
      <c r="H230" s="1727">
        <f t="shared" ref="H230:K230" si="45">H216</f>
        <v>0</v>
      </c>
      <c r="I230" s="1727">
        <f t="shared" si="45"/>
        <v>0</v>
      </c>
      <c r="J230" s="1727">
        <f t="shared" si="45"/>
        <v>0</v>
      </c>
      <c r="K230" s="1728">
        <f t="shared" si="45"/>
        <v>0</v>
      </c>
    </row>
    <row r="231" spans="6:16" s="13" customFormat="1" ht="12.75" customHeight="1" x14ac:dyDescent="0.35">
      <c r="F231" s="1722">
        <f t="shared" si="39"/>
        <v>244</v>
      </c>
      <c r="G231" s="1726">
        <f t="shared" si="39"/>
        <v>0</v>
      </c>
      <c r="H231" s="1727">
        <f t="shared" ref="H231:K231" si="46">H217</f>
        <v>0</v>
      </c>
      <c r="I231" s="1727">
        <f t="shared" si="46"/>
        <v>0</v>
      </c>
      <c r="J231" s="1727">
        <f t="shared" si="46"/>
        <v>0</v>
      </c>
      <c r="K231" s="1728">
        <f t="shared" si="46"/>
        <v>0</v>
      </c>
    </row>
    <row r="232" spans="6:16" s="13" customFormat="1" ht="12.75" customHeight="1" x14ac:dyDescent="0.35">
      <c r="F232" s="1722">
        <f t="shared" si="39"/>
        <v>274</v>
      </c>
      <c r="G232" s="1726">
        <f t="shared" si="39"/>
        <v>0</v>
      </c>
      <c r="H232" s="1727">
        <f t="shared" ref="H232:K232" si="47">H218</f>
        <v>0</v>
      </c>
      <c r="I232" s="1727">
        <f t="shared" si="47"/>
        <v>0</v>
      </c>
      <c r="J232" s="1727">
        <f t="shared" si="47"/>
        <v>0</v>
      </c>
      <c r="K232" s="1728">
        <f t="shared" si="47"/>
        <v>0</v>
      </c>
    </row>
    <row r="233" spans="6:16" s="13" customFormat="1" ht="12.75" customHeight="1" x14ac:dyDescent="0.35">
      <c r="F233" s="1722">
        <f t="shared" si="39"/>
        <v>305</v>
      </c>
      <c r="G233" s="1726">
        <f t="shared" si="39"/>
        <v>0</v>
      </c>
      <c r="H233" s="1727">
        <f t="shared" ref="H233:K233" si="48">H219</f>
        <v>0</v>
      </c>
      <c r="I233" s="1727">
        <f t="shared" si="48"/>
        <v>0</v>
      </c>
      <c r="J233" s="1727">
        <f t="shared" si="48"/>
        <v>0</v>
      </c>
      <c r="K233" s="1728">
        <f t="shared" si="48"/>
        <v>0</v>
      </c>
    </row>
    <row r="234" spans="6:16" s="13" customFormat="1" ht="12.75" customHeight="1" x14ac:dyDescent="0.35">
      <c r="F234" s="1722">
        <f t="shared" si="39"/>
        <v>335</v>
      </c>
      <c r="G234" s="1726">
        <f t="shared" si="39"/>
        <v>0</v>
      </c>
      <c r="H234" s="1727">
        <f t="shared" ref="H234:K234" si="49">H220</f>
        <v>0</v>
      </c>
      <c r="I234" s="1727">
        <f t="shared" si="49"/>
        <v>0</v>
      </c>
      <c r="J234" s="1727">
        <f t="shared" si="49"/>
        <v>0</v>
      </c>
      <c r="K234" s="1728">
        <f t="shared" si="49"/>
        <v>0</v>
      </c>
    </row>
    <row r="235" spans="6:16" s="13" customFormat="1" ht="12.75" customHeight="1" thickBot="1" x14ac:dyDescent="0.4">
      <c r="F235" s="1722">
        <f t="shared" si="39"/>
        <v>366</v>
      </c>
      <c r="G235" s="1729">
        <f t="shared" si="39"/>
        <v>0</v>
      </c>
      <c r="H235" s="1730">
        <f t="shared" ref="H235:K235" si="50">H221</f>
        <v>0</v>
      </c>
      <c r="I235" s="1730">
        <f t="shared" si="50"/>
        <v>0</v>
      </c>
      <c r="J235" s="1730">
        <f t="shared" si="50"/>
        <v>0</v>
      </c>
      <c r="K235" s="1731">
        <f t="shared" si="50"/>
        <v>0</v>
      </c>
    </row>
    <row r="236" spans="6:16" s="13" customFormat="1" ht="12.75" customHeight="1" x14ac:dyDescent="0.35"/>
    <row r="237" spans="6:16" s="13" customFormat="1" ht="12.75" customHeight="1" x14ac:dyDescent="0.35"/>
    <row r="238" spans="6:16" s="13" customFormat="1" ht="12.75" customHeight="1" x14ac:dyDescent="0.35"/>
    <row r="239" spans="6:16" s="13" customFormat="1" ht="12.75" customHeight="1" x14ac:dyDescent="0.35"/>
    <row r="240" spans="6:16" s="13" customFormat="1" ht="12.75" customHeight="1" x14ac:dyDescent="0.35"/>
    <row r="241" s="13" customFormat="1" ht="12.75" customHeight="1" x14ac:dyDescent="0.35"/>
    <row r="242" s="13" customFormat="1" ht="12.75" customHeight="1" x14ac:dyDescent="0.35"/>
    <row r="243" s="13" customFormat="1" ht="12.75" customHeight="1" x14ac:dyDescent="0.35"/>
    <row r="244" s="13" customFormat="1" ht="12.75" customHeight="1" x14ac:dyDescent="0.35"/>
    <row r="245" s="13" customFormat="1" ht="12.75" customHeight="1" x14ac:dyDescent="0.35"/>
    <row r="246" s="13" customFormat="1" ht="12.75" customHeight="1" x14ac:dyDescent="0.35"/>
    <row r="247" s="13" customFormat="1" ht="12.75" customHeight="1" x14ac:dyDescent="0.35"/>
    <row r="248" s="13" customFormat="1" ht="12.75" customHeight="1" x14ac:dyDescent="0.35"/>
    <row r="249" s="13" customFormat="1" ht="12.75" customHeight="1" x14ac:dyDescent="0.35"/>
    <row r="250" s="13" customFormat="1" ht="12.75" customHeight="1" x14ac:dyDescent="0.35"/>
    <row r="251" s="13" customFormat="1" ht="12.75" customHeight="1" x14ac:dyDescent="0.35"/>
    <row r="252" s="13" customFormat="1" ht="12.75" customHeight="1" x14ac:dyDescent="0.35"/>
    <row r="253" s="13" customFormat="1" ht="12.75" customHeight="1" x14ac:dyDescent="0.35"/>
    <row r="254" s="13" customFormat="1" ht="12.75" customHeight="1" x14ac:dyDescent="0.35"/>
    <row r="255" s="13" customFormat="1" ht="12.75" customHeight="1" x14ac:dyDescent="0.35"/>
    <row r="256" s="13" customFormat="1" ht="12.75" customHeight="1" x14ac:dyDescent="0.35"/>
    <row r="257" s="13" customFormat="1" ht="12.75" customHeight="1" x14ac:dyDescent="0.35"/>
    <row r="258" s="13" customFormat="1" ht="12.75" customHeight="1" x14ac:dyDescent="0.35"/>
    <row r="259" s="13" customFormat="1" ht="12.75" customHeight="1" x14ac:dyDescent="0.35"/>
    <row r="260" s="13" customFormat="1" ht="12.75" customHeight="1" x14ac:dyDescent="0.35"/>
    <row r="261" s="13" customFormat="1" ht="12.75" customHeight="1" x14ac:dyDescent="0.35"/>
    <row r="262" s="13" customFormat="1" ht="12.75" customHeight="1" x14ac:dyDescent="0.35"/>
    <row r="263" s="13" customFormat="1" ht="12.75" customHeight="1" x14ac:dyDescent="0.35"/>
    <row r="264" s="13" customFormat="1" ht="12.75" customHeight="1" x14ac:dyDescent="0.35"/>
    <row r="265" s="13" customFormat="1" ht="12.75" customHeight="1" x14ac:dyDescent="0.35"/>
    <row r="266" s="13" customFormat="1" ht="12.75" customHeight="1" x14ac:dyDescent="0.35"/>
    <row r="267" s="13" customFormat="1" ht="12.75" customHeight="1" x14ac:dyDescent="0.35"/>
    <row r="268" s="13" customFormat="1" ht="12.75" customHeight="1" x14ac:dyDescent="0.35"/>
    <row r="269" s="13" customFormat="1" ht="12.75" customHeight="1" x14ac:dyDescent="0.35"/>
    <row r="270" s="13" customFormat="1" ht="12.75" customHeight="1" x14ac:dyDescent="0.35"/>
    <row r="271" s="13" customFormat="1" ht="12.75" customHeight="1" x14ac:dyDescent="0.35"/>
    <row r="272" s="13" customFormat="1" ht="12.75" customHeight="1" x14ac:dyDescent="0.35"/>
    <row r="273" s="13" customFormat="1" ht="12.75" customHeight="1" x14ac:dyDescent="0.35"/>
    <row r="274" s="13" customFormat="1" ht="12.75" customHeight="1" x14ac:dyDescent="0.35"/>
    <row r="275" s="13" customFormat="1" ht="12.75" customHeight="1" x14ac:dyDescent="0.35"/>
    <row r="276" s="13" customFormat="1" ht="12.75" customHeight="1" x14ac:dyDescent="0.35"/>
    <row r="277" s="13" customFormat="1" ht="12.75" customHeight="1" x14ac:dyDescent="0.35"/>
    <row r="278" s="13" customFormat="1" ht="12.75" customHeight="1" x14ac:dyDescent="0.35"/>
    <row r="279" s="13" customFormat="1" ht="12.75" customHeight="1" x14ac:dyDescent="0.35"/>
    <row r="280" s="13" customFormat="1" ht="12.75" customHeight="1" x14ac:dyDescent="0.35"/>
    <row r="281" s="13" customFormat="1" ht="12.75" customHeight="1" x14ac:dyDescent="0.35"/>
    <row r="282" s="13" customFormat="1" ht="12.75" customHeight="1" x14ac:dyDescent="0.35"/>
    <row r="283" s="13" customFormat="1" ht="12.75" customHeight="1" x14ac:dyDescent="0.35"/>
    <row r="284" s="13" customFormat="1" ht="12.75" customHeight="1" x14ac:dyDescent="0.35"/>
    <row r="285" s="13" customFormat="1" ht="12.75" customHeight="1" x14ac:dyDescent="0.35"/>
    <row r="286" s="13" customFormat="1" ht="12.75" customHeight="1" x14ac:dyDescent="0.35"/>
    <row r="287" s="13" customFormat="1" ht="12.75" customHeight="1" x14ac:dyDescent="0.35"/>
    <row r="288" s="13" customFormat="1" ht="12.75" customHeight="1" x14ac:dyDescent="0.35"/>
    <row r="289" spans="6:15" s="13" customFormat="1" ht="12.75" customHeight="1" x14ac:dyDescent="0.35"/>
    <row r="290" spans="6:15" s="13" customFormat="1" ht="12.75" customHeight="1" x14ac:dyDescent="0.35"/>
    <row r="291" spans="6:15" s="13" customFormat="1" ht="12.75" customHeight="1" x14ac:dyDescent="0.35"/>
    <row r="292" spans="6:15" ht="12.75" customHeight="1" x14ac:dyDescent="0.3">
      <c r="F292" s="13"/>
      <c r="G292" s="13"/>
      <c r="H292" s="13"/>
      <c r="I292" s="13"/>
      <c r="J292" s="13"/>
      <c r="K292" s="13"/>
      <c r="L292" s="13"/>
      <c r="M292" s="13"/>
      <c r="N292" s="13"/>
      <c r="O292" s="13"/>
    </row>
    <row r="293" spans="6:15" ht="12.75" customHeight="1" x14ac:dyDescent="0.3">
      <c r="F293" s="13"/>
      <c r="G293" s="13"/>
      <c r="H293" s="13"/>
      <c r="I293" s="13"/>
      <c r="J293" s="13"/>
      <c r="K293" s="13"/>
      <c r="L293" s="13"/>
      <c r="M293" s="13"/>
      <c r="N293" s="13"/>
      <c r="O293" s="13"/>
    </row>
    <row r="294" spans="6:15" ht="12.75" customHeight="1" x14ac:dyDescent="0.3">
      <c r="F294" s="13"/>
      <c r="G294" s="13"/>
      <c r="H294" s="13"/>
      <c r="I294" s="13"/>
      <c r="J294" s="13"/>
      <c r="K294" s="13"/>
      <c r="L294" s="13"/>
      <c r="M294" s="13"/>
      <c r="N294" s="13"/>
      <c r="O294" s="13"/>
    </row>
    <row r="295" spans="6:15" ht="12.75" customHeight="1" x14ac:dyDescent="0.3">
      <c r="F295" s="13"/>
      <c r="G295" s="13"/>
      <c r="H295" s="13"/>
      <c r="I295" s="13"/>
      <c r="J295" s="13"/>
      <c r="K295" s="13"/>
      <c r="L295" s="13"/>
      <c r="M295" s="13"/>
      <c r="N295" s="13"/>
      <c r="O295" s="13"/>
    </row>
    <row r="296" spans="6:15" ht="12.75" customHeight="1" x14ac:dyDescent="0.3">
      <c r="F296" s="13"/>
      <c r="G296" s="13"/>
      <c r="H296" s="13"/>
      <c r="I296" s="13"/>
      <c r="J296" s="13"/>
      <c r="K296" s="13"/>
      <c r="L296" s="13"/>
      <c r="M296" s="13"/>
      <c r="N296" s="13"/>
      <c r="O296" s="13"/>
    </row>
    <row r="297" spans="6:15" ht="12.75" customHeight="1" x14ac:dyDescent="0.3">
      <c r="F297" s="13"/>
      <c r="G297" s="13"/>
      <c r="H297" s="13"/>
      <c r="I297" s="13"/>
      <c r="J297" s="13"/>
      <c r="K297" s="13"/>
      <c r="L297" s="13"/>
      <c r="M297" s="13"/>
      <c r="N297" s="13"/>
      <c r="O297" s="13"/>
    </row>
    <row r="298" spans="6:15" ht="12.75" customHeight="1" x14ac:dyDescent="0.3">
      <c r="F298" s="13"/>
      <c r="G298" s="13"/>
      <c r="H298" s="13"/>
      <c r="I298" s="13"/>
      <c r="J298" s="13"/>
      <c r="K298" s="13"/>
      <c r="L298" s="13"/>
      <c r="M298" s="13"/>
      <c r="N298" s="13"/>
      <c r="O298" s="13"/>
    </row>
    <row r="299" spans="6:15" ht="12.75" customHeight="1" x14ac:dyDescent="0.3">
      <c r="F299" s="13"/>
      <c r="G299" s="13"/>
      <c r="H299" s="13"/>
      <c r="I299" s="13"/>
      <c r="J299" s="13"/>
      <c r="K299" s="13"/>
      <c r="L299" s="13"/>
      <c r="M299" s="13"/>
      <c r="N299" s="13"/>
      <c r="O299" s="13"/>
    </row>
    <row r="300" spans="6:15" ht="12.75" customHeight="1" x14ac:dyDescent="0.3">
      <c r="F300" s="13"/>
      <c r="G300" s="13"/>
      <c r="H300" s="13"/>
      <c r="I300" s="13"/>
      <c r="J300" s="13"/>
      <c r="K300" s="13"/>
      <c r="L300" s="13"/>
      <c r="M300" s="13"/>
      <c r="N300" s="13"/>
      <c r="O300" s="13"/>
    </row>
    <row r="301" spans="6:15" ht="12.75" customHeight="1" x14ac:dyDescent="0.3">
      <c r="F301" s="13"/>
      <c r="G301" s="13"/>
      <c r="H301" s="13"/>
      <c r="I301" s="13"/>
      <c r="J301" s="13"/>
      <c r="K301" s="13"/>
      <c r="L301" s="13"/>
      <c r="M301" s="13"/>
      <c r="N301" s="13"/>
      <c r="O301" s="13"/>
    </row>
    <row r="302" spans="6:15" ht="12.75" customHeight="1" x14ac:dyDescent="0.3">
      <c r="F302" s="13"/>
      <c r="G302" s="13"/>
      <c r="H302" s="13"/>
      <c r="I302" s="13"/>
      <c r="J302" s="13"/>
      <c r="K302" s="13"/>
      <c r="L302" s="13"/>
      <c r="M302" s="13"/>
      <c r="N302" s="13"/>
      <c r="O302" s="13"/>
    </row>
    <row r="303" spans="6:15" ht="12.75" customHeight="1" x14ac:dyDescent="0.3">
      <c r="F303" s="13"/>
      <c r="G303" s="13"/>
      <c r="H303" s="13"/>
      <c r="I303" s="13"/>
      <c r="J303" s="13"/>
      <c r="K303" s="13"/>
      <c r="L303" s="13"/>
      <c r="M303" s="13"/>
      <c r="N303" s="13"/>
      <c r="O303" s="13"/>
    </row>
    <row r="304" spans="6:15" ht="12.75" customHeight="1" x14ac:dyDescent="0.3">
      <c r="F304" s="13"/>
      <c r="G304" s="13"/>
      <c r="H304" s="13"/>
      <c r="I304" s="13"/>
      <c r="J304" s="13"/>
      <c r="K304" s="13"/>
      <c r="L304" s="13"/>
      <c r="M304" s="13"/>
      <c r="N304" s="13"/>
      <c r="O304" s="13"/>
    </row>
    <row r="305" spans="6:15" ht="12.75" customHeight="1" x14ac:dyDescent="0.3">
      <c r="F305" s="13"/>
      <c r="G305" s="13"/>
      <c r="H305" s="13"/>
      <c r="I305" s="13"/>
      <c r="J305" s="13"/>
      <c r="K305" s="13"/>
      <c r="L305" s="13"/>
      <c r="M305" s="13"/>
      <c r="N305" s="13"/>
      <c r="O305" s="13"/>
    </row>
    <row r="306" spans="6:15" ht="12.75" customHeight="1" x14ac:dyDescent="0.3">
      <c r="F306" s="13"/>
      <c r="G306" s="13"/>
      <c r="H306" s="13"/>
      <c r="I306" s="13"/>
      <c r="J306" s="13"/>
      <c r="K306" s="13"/>
      <c r="L306" s="13"/>
      <c r="M306" s="13"/>
      <c r="N306" s="13"/>
      <c r="O306" s="13"/>
    </row>
    <row r="307" spans="6:15" ht="12.75" customHeight="1" x14ac:dyDescent="0.3">
      <c r="F307" s="13"/>
      <c r="G307" s="13"/>
      <c r="H307" s="13"/>
      <c r="I307" s="13"/>
      <c r="J307" s="13"/>
      <c r="K307" s="13"/>
      <c r="L307" s="13"/>
      <c r="M307" s="13"/>
      <c r="N307" s="13"/>
      <c r="O307" s="13"/>
    </row>
    <row r="308" spans="6:15" ht="12.75" customHeight="1" x14ac:dyDescent="0.3">
      <c r="F308" s="13"/>
      <c r="G308" s="13"/>
      <c r="H308" s="13"/>
      <c r="I308" s="13"/>
      <c r="J308" s="13"/>
      <c r="K308" s="13"/>
      <c r="L308" s="13"/>
      <c r="M308" s="13"/>
      <c r="N308" s="13"/>
      <c r="O308" s="13"/>
    </row>
    <row r="309" spans="6:15" ht="12.75" customHeight="1" x14ac:dyDescent="0.3">
      <c r="F309" s="13"/>
      <c r="G309" s="13"/>
      <c r="H309" s="13"/>
      <c r="I309" s="13"/>
      <c r="J309" s="13"/>
      <c r="K309" s="13"/>
      <c r="L309" s="13"/>
      <c r="M309" s="13"/>
      <c r="N309" s="13"/>
      <c r="O309" s="13"/>
    </row>
    <row r="310" spans="6:15" ht="12.75" customHeight="1" x14ac:dyDescent="0.3">
      <c r="F310" s="13"/>
      <c r="G310" s="13"/>
      <c r="H310" s="13"/>
      <c r="I310" s="13"/>
      <c r="J310" s="13"/>
      <c r="K310" s="13"/>
      <c r="L310" s="13"/>
      <c r="M310" s="13"/>
      <c r="N310" s="13"/>
      <c r="O310" s="13"/>
    </row>
    <row r="311" spans="6:15" ht="12.75" customHeight="1" x14ac:dyDescent="0.3">
      <c r="F311" s="13"/>
      <c r="G311" s="13"/>
      <c r="H311" s="13"/>
      <c r="I311" s="13"/>
      <c r="J311" s="13"/>
      <c r="K311" s="13"/>
      <c r="L311" s="13"/>
      <c r="M311" s="13"/>
      <c r="N311" s="13"/>
      <c r="O311" s="13"/>
    </row>
    <row r="312" spans="6:15" ht="12.75" customHeight="1" x14ac:dyDescent="0.3">
      <c r="F312" s="13"/>
      <c r="G312" s="13"/>
      <c r="H312" s="13"/>
      <c r="I312" s="13"/>
      <c r="J312" s="13"/>
      <c r="K312" s="13"/>
      <c r="L312" s="13"/>
      <c r="M312" s="13"/>
      <c r="N312" s="13"/>
      <c r="O312" s="13"/>
    </row>
    <row r="313" spans="6:15" ht="12.75" customHeight="1" x14ac:dyDescent="0.3">
      <c r="F313" s="13"/>
      <c r="G313" s="13"/>
      <c r="H313" s="13"/>
      <c r="I313" s="13"/>
      <c r="J313" s="13"/>
      <c r="K313" s="13"/>
      <c r="L313" s="13"/>
      <c r="M313" s="13"/>
      <c r="N313" s="13"/>
      <c r="O313" s="13"/>
    </row>
    <row r="314" spans="6:15" ht="12.75" customHeight="1" x14ac:dyDescent="0.3">
      <c r="F314" s="13"/>
      <c r="G314" s="13"/>
      <c r="H314" s="13"/>
      <c r="I314" s="13"/>
      <c r="J314" s="13"/>
      <c r="K314" s="13"/>
      <c r="L314" s="13"/>
      <c r="M314" s="13"/>
      <c r="N314" s="13"/>
      <c r="O314" s="13"/>
    </row>
    <row r="315" spans="6:15" ht="12.75" customHeight="1" x14ac:dyDescent="0.3">
      <c r="F315" s="13"/>
      <c r="G315" s="13"/>
      <c r="H315" s="13"/>
      <c r="I315" s="13"/>
      <c r="J315" s="13"/>
      <c r="K315" s="13"/>
      <c r="L315" s="13"/>
      <c r="M315" s="13"/>
      <c r="N315" s="13"/>
      <c r="O315" s="13"/>
    </row>
    <row r="316" spans="6:15" ht="12.75" customHeight="1" x14ac:dyDescent="0.3">
      <c r="F316" s="13"/>
      <c r="G316" s="13"/>
      <c r="H316" s="13"/>
      <c r="I316" s="13"/>
      <c r="J316" s="13"/>
      <c r="K316" s="13"/>
      <c r="L316" s="13"/>
      <c r="M316" s="13"/>
      <c r="N316" s="13"/>
      <c r="O316" s="13"/>
    </row>
    <row r="317" spans="6:15" ht="12.75" customHeight="1" x14ac:dyDescent="0.3">
      <c r="F317" s="13"/>
      <c r="G317" s="13"/>
      <c r="H317" s="13"/>
      <c r="I317" s="13"/>
      <c r="J317" s="13"/>
      <c r="K317" s="13"/>
      <c r="L317" s="13"/>
      <c r="M317" s="13"/>
      <c r="N317" s="13"/>
      <c r="O317" s="13"/>
    </row>
    <row r="318" spans="6:15" ht="12.75" customHeight="1" x14ac:dyDescent="0.3">
      <c r="F318" s="13"/>
      <c r="G318" s="13"/>
      <c r="H318" s="13"/>
      <c r="I318" s="13"/>
      <c r="J318" s="13"/>
      <c r="K318" s="13"/>
      <c r="L318" s="13"/>
      <c r="M318" s="13"/>
      <c r="N318" s="13"/>
      <c r="O318" s="13"/>
    </row>
    <row r="319" spans="6:15" ht="12.75" customHeight="1" x14ac:dyDescent="0.3">
      <c r="F319" s="13"/>
      <c r="G319" s="13"/>
      <c r="H319" s="13"/>
      <c r="I319" s="13"/>
      <c r="J319" s="13"/>
      <c r="K319" s="13"/>
      <c r="L319" s="13"/>
      <c r="M319" s="13"/>
      <c r="N319" s="13"/>
      <c r="O319" s="13"/>
    </row>
    <row r="320" spans="6:15" x14ac:dyDescent="0.3">
      <c r="F320" s="13"/>
      <c r="G320" s="13"/>
      <c r="H320" s="13"/>
      <c r="I320" s="13"/>
      <c r="J320" s="13"/>
      <c r="K320" s="13"/>
      <c r="L320" s="13"/>
      <c r="M320" s="13"/>
      <c r="N320" s="13"/>
      <c r="O320" s="13"/>
    </row>
    <row r="321" spans="6:15" x14ac:dyDescent="0.3">
      <c r="F321" s="13"/>
      <c r="G321" s="13"/>
      <c r="H321" s="13"/>
      <c r="I321" s="13"/>
      <c r="J321" s="13"/>
      <c r="K321" s="13"/>
      <c r="L321" s="13"/>
      <c r="M321" s="13"/>
      <c r="N321" s="13"/>
      <c r="O321" s="13"/>
    </row>
    <row r="322" spans="6:15" x14ac:dyDescent="0.3">
      <c r="F322" s="13"/>
      <c r="G322" s="13"/>
      <c r="H322" s="13"/>
      <c r="I322" s="13"/>
      <c r="J322" s="13"/>
      <c r="K322" s="13"/>
      <c r="L322" s="13"/>
      <c r="M322" s="13"/>
      <c r="N322" s="13"/>
      <c r="O322" s="13"/>
    </row>
    <row r="323" spans="6:15" x14ac:dyDescent="0.3">
      <c r="F323" s="13"/>
      <c r="G323" s="13"/>
      <c r="H323" s="13"/>
      <c r="I323" s="13"/>
      <c r="J323" s="13"/>
      <c r="K323" s="13"/>
      <c r="L323" s="13"/>
      <c r="M323" s="13"/>
      <c r="N323" s="13"/>
      <c r="O323" s="13"/>
    </row>
    <row r="324" spans="6:15" x14ac:dyDescent="0.3">
      <c r="F324" s="13"/>
      <c r="G324" s="13"/>
      <c r="H324" s="13"/>
      <c r="I324" s="13"/>
      <c r="J324" s="13"/>
      <c r="K324" s="13"/>
      <c r="L324" s="13"/>
      <c r="M324" s="13"/>
      <c r="N324" s="13"/>
      <c r="O324" s="13"/>
    </row>
    <row r="325" spans="6:15" x14ac:dyDescent="0.3">
      <c r="F325" s="13"/>
      <c r="G325" s="13"/>
      <c r="H325" s="13"/>
      <c r="I325" s="13"/>
      <c r="J325" s="13"/>
      <c r="K325" s="13"/>
      <c r="L325" s="13"/>
      <c r="M325" s="13"/>
      <c r="N325" s="13"/>
      <c r="O325" s="13"/>
    </row>
    <row r="326" spans="6:15" x14ac:dyDescent="0.3">
      <c r="F326" s="13"/>
      <c r="G326" s="13"/>
      <c r="H326" s="13"/>
      <c r="I326" s="13"/>
      <c r="J326" s="13"/>
      <c r="K326" s="13"/>
      <c r="L326" s="13"/>
      <c r="M326" s="13"/>
      <c r="N326" s="13"/>
      <c r="O326" s="13"/>
    </row>
    <row r="327" spans="6:15" x14ac:dyDescent="0.3">
      <c r="F327" s="13"/>
      <c r="G327" s="13"/>
      <c r="H327" s="13"/>
      <c r="I327" s="13"/>
      <c r="J327" s="13"/>
      <c r="K327" s="13"/>
      <c r="L327" s="13"/>
      <c r="M327" s="13"/>
      <c r="N327" s="13"/>
      <c r="O327" s="13"/>
    </row>
    <row r="328" spans="6:15" x14ac:dyDescent="0.3">
      <c r="F328" s="13"/>
      <c r="G328" s="13"/>
      <c r="H328" s="13"/>
      <c r="I328" s="13"/>
      <c r="J328" s="13"/>
      <c r="K328" s="13"/>
      <c r="L328" s="13"/>
      <c r="M328" s="13"/>
      <c r="N328" s="13"/>
      <c r="O328" s="13"/>
    </row>
    <row r="329" spans="6:15" x14ac:dyDescent="0.3">
      <c r="F329" s="13"/>
      <c r="G329" s="13"/>
      <c r="H329" s="13"/>
      <c r="I329" s="13"/>
      <c r="J329" s="13"/>
      <c r="K329" s="13"/>
      <c r="L329" s="13"/>
      <c r="M329" s="13"/>
      <c r="N329" s="13"/>
      <c r="O329" s="13"/>
    </row>
    <row r="330" spans="6:15" x14ac:dyDescent="0.3">
      <c r="F330" s="13"/>
      <c r="G330" s="13"/>
      <c r="H330" s="13"/>
      <c r="I330" s="13"/>
      <c r="J330" s="13"/>
      <c r="K330" s="13"/>
      <c r="L330" s="13"/>
      <c r="M330" s="13"/>
      <c r="N330" s="13"/>
      <c r="O330" s="13"/>
    </row>
    <row r="331" spans="6:15" x14ac:dyDescent="0.3">
      <c r="F331" s="13"/>
      <c r="G331" s="13"/>
      <c r="H331" s="13"/>
      <c r="I331" s="13"/>
      <c r="J331" s="13"/>
      <c r="K331" s="13"/>
      <c r="L331" s="13"/>
      <c r="M331" s="13"/>
      <c r="N331" s="13"/>
      <c r="O331" s="13"/>
    </row>
    <row r="332" spans="6:15" x14ac:dyDescent="0.3">
      <c r="F332" s="13"/>
      <c r="G332" s="13"/>
      <c r="H332" s="13"/>
      <c r="I332" s="13"/>
      <c r="J332" s="13"/>
      <c r="K332" s="13"/>
      <c r="L332" s="13"/>
      <c r="M332" s="13"/>
      <c r="N332" s="13"/>
      <c r="O332" s="13"/>
    </row>
    <row r="333" spans="6:15" x14ac:dyDescent="0.3">
      <c r="F333" s="13"/>
      <c r="G333" s="13"/>
      <c r="H333" s="13"/>
      <c r="I333" s="13"/>
      <c r="J333" s="13"/>
      <c r="K333" s="13"/>
      <c r="L333" s="13"/>
      <c r="M333" s="13"/>
      <c r="N333" s="13"/>
      <c r="O333" s="13"/>
    </row>
    <row r="334" spans="6:15" x14ac:dyDescent="0.3">
      <c r="F334" s="13"/>
      <c r="G334" s="13"/>
      <c r="H334" s="13"/>
      <c r="I334" s="13"/>
      <c r="J334" s="13"/>
      <c r="K334" s="13"/>
      <c r="L334" s="13"/>
      <c r="M334" s="13"/>
      <c r="N334" s="13"/>
      <c r="O334" s="13"/>
    </row>
    <row r="335" spans="6:15" x14ac:dyDescent="0.3">
      <c r="F335" s="13"/>
      <c r="G335" s="13"/>
      <c r="H335" s="13"/>
      <c r="I335" s="13"/>
      <c r="J335" s="13"/>
      <c r="K335" s="13"/>
      <c r="L335" s="13"/>
      <c r="M335" s="13"/>
      <c r="N335" s="13"/>
      <c r="O335" s="13"/>
    </row>
    <row r="336" spans="6:15" x14ac:dyDescent="0.3">
      <c r="F336" s="13"/>
      <c r="G336" s="13"/>
      <c r="H336" s="13"/>
      <c r="I336" s="13"/>
      <c r="J336" s="13"/>
      <c r="K336" s="13"/>
      <c r="L336" s="13"/>
      <c r="M336" s="13"/>
      <c r="N336" s="13"/>
      <c r="O336" s="13"/>
    </row>
    <row r="337" spans="6:15" x14ac:dyDescent="0.3">
      <c r="F337" s="13"/>
      <c r="G337" s="13"/>
      <c r="H337" s="13"/>
      <c r="I337" s="13"/>
      <c r="J337" s="13"/>
      <c r="K337" s="13"/>
      <c r="L337" s="13"/>
      <c r="M337" s="13"/>
      <c r="N337" s="13"/>
      <c r="O337" s="13"/>
    </row>
    <row r="338" spans="6:15" x14ac:dyDescent="0.3">
      <c r="F338" s="13"/>
      <c r="G338" s="13"/>
      <c r="H338" s="13"/>
      <c r="I338" s="13"/>
      <c r="J338" s="13"/>
      <c r="K338" s="13"/>
      <c r="L338" s="13"/>
      <c r="M338" s="13"/>
      <c r="N338" s="13"/>
      <c r="O338" s="13"/>
    </row>
    <row r="339" spans="6:15" x14ac:dyDescent="0.3">
      <c r="F339" s="13"/>
      <c r="G339" s="13"/>
      <c r="H339" s="13"/>
      <c r="I339" s="13"/>
      <c r="J339" s="13"/>
      <c r="K339" s="13"/>
      <c r="L339" s="13"/>
      <c r="M339" s="13"/>
      <c r="N339" s="13"/>
      <c r="O339" s="13"/>
    </row>
    <row r="340" spans="6:15" x14ac:dyDescent="0.3">
      <c r="F340" s="13"/>
      <c r="G340" s="13"/>
      <c r="H340" s="13"/>
      <c r="I340" s="13"/>
      <c r="J340" s="13"/>
      <c r="K340" s="13"/>
      <c r="L340" s="13"/>
      <c r="M340" s="13"/>
      <c r="N340" s="13"/>
      <c r="O340" s="13"/>
    </row>
    <row r="341" spans="6:15" x14ac:dyDescent="0.3">
      <c r="F341" s="13"/>
      <c r="G341" s="13"/>
      <c r="H341" s="13"/>
      <c r="I341" s="13"/>
      <c r="J341" s="13"/>
      <c r="K341" s="13"/>
      <c r="L341" s="13"/>
      <c r="M341" s="13"/>
      <c r="N341" s="13"/>
      <c r="O341" s="13"/>
    </row>
    <row r="342" spans="6:15" x14ac:dyDescent="0.3">
      <c r="F342" s="13"/>
      <c r="G342" s="13"/>
      <c r="H342" s="13"/>
      <c r="I342" s="13"/>
      <c r="J342" s="13"/>
      <c r="K342" s="13"/>
      <c r="L342" s="13"/>
      <c r="M342" s="13"/>
      <c r="N342" s="13"/>
      <c r="O342" s="13"/>
    </row>
    <row r="343" spans="6:15" x14ac:dyDescent="0.3">
      <c r="F343" s="13"/>
      <c r="G343" s="13"/>
      <c r="H343" s="13"/>
      <c r="I343" s="13"/>
      <c r="J343" s="13"/>
      <c r="K343" s="13"/>
      <c r="L343" s="13"/>
      <c r="M343" s="13"/>
      <c r="N343" s="13"/>
      <c r="O343" s="13"/>
    </row>
    <row r="344" spans="6:15" x14ac:dyDescent="0.3">
      <c r="F344" s="13"/>
      <c r="G344" s="13"/>
      <c r="H344" s="13"/>
      <c r="I344" s="13"/>
      <c r="J344" s="13"/>
      <c r="K344" s="13"/>
      <c r="L344" s="13"/>
      <c r="M344" s="13"/>
      <c r="N344" s="13"/>
      <c r="O344" s="13"/>
    </row>
    <row r="345" spans="6:15" x14ac:dyDescent="0.3">
      <c r="F345" s="13"/>
      <c r="G345" s="13"/>
      <c r="H345" s="13"/>
      <c r="I345" s="13"/>
      <c r="J345" s="13"/>
      <c r="K345" s="13"/>
      <c r="L345" s="13"/>
      <c r="M345" s="13"/>
      <c r="N345" s="13"/>
      <c r="O345" s="13"/>
    </row>
    <row r="346" spans="6:15" x14ac:dyDescent="0.3">
      <c r="F346" s="13"/>
      <c r="G346" s="13"/>
      <c r="H346" s="13"/>
      <c r="I346" s="13"/>
      <c r="J346" s="13"/>
      <c r="K346" s="13"/>
      <c r="L346" s="13"/>
      <c r="M346" s="13"/>
      <c r="N346" s="13"/>
      <c r="O346" s="13"/>
    </row>
    <row r="347" spans="6:15" x14ac:dyDescent="0.3">
      <c r="F347" s="13"/>
      <c r="G347" s="13"/>
      <c r="H347" s="13"/>
      <c r="I347" s="13"/>
      <c r="J347" s="13"/>
      <c r="K347" s="13"/>
      <c r="L347" s="13"/>
      <c r="M347" s="13"/>
      <c r="N347" s="13"/>
      <c r="O347" s="13"/>
    </row>
    <row r="348" spans="6:15" x14ac:dyDescent="0.3">
      <c r="F348" s="13"/>
      <c r="G348" s="13"/>
      <c r="H348" s="13"/>
      <c r="I348" s="13"/>
      <c r="J348" s="13"/>
      <c r="K348" s="13"/>
      <c r="L348" s="13"/>
      <c r="M348" s="13"/>
      <c r="N348" s="13"/>
      <c r="O348" s="13"/>
    </row>
    <row r="349" spans="6:15" x14ac:dyDescent="0.3">
      <c r="F349" s="13"/>
      <c r="G349" s="13"/>
      <c r="H349" s="13"/>
      <c r="I349" s="13"/>
      <c r="J349" s="13"/>
      <c r="K349" s="13"/>
      <c r="L349" s="13"/>
      <c r="M349" s="13"/>
      <c r="N349" s="13"/>
      <c r="O349" s="13"/>
    </row>
    <row r="350" spans="6:15" x14ac:dyDescent="0.3">
      <c r="F350" s="13"/>
      <c r="G350" s="13"/>
      <c r="H350" s="13"/>
      <c r="I350" s="13"/>
      <c r="J350" s="13"/>
      <c r="K350" s="13"/>
      <c r="L350" s="13"/>
      <c r="M350" s="13"/>
      <c r="N350" s="13"/>
      <c r="O350" s="13"/>
    </row>
    <row r="351" spans="6:15" x14ac:dyDescent="0.3">
      <c r="F351" s="13"/>
      <c r="G351" s="13"/>
      <c r="H351" s="13"/>
      <c r="I351" s="13"/>
      <c r="J351" s="13"/>
      <c r="K351" s="13"/>
      <c r="L351" s="13"/>
      <c r="M351" s="13"/>
      <c r="N351" s="13"/>
      <c r="O351" s="13"/>
    </row>
    <row r="352" spans="6:15" x14ac:dyDescent="0.3">
      <c r="F352" s="13"/>
      <c r="G352" s="13"/>
      <c r="H352" s="13"/>
      <c r="I352" s="13"/>
      <c r="J352" s="13"/>
      <c r="K352" s="13"/>
      <c r="L352" s="13"/>
      <c r="M352" s="13"/>
      <c r="N352" s="13"/>
      <c r="O352" s="13"/>
    </row>
    <row r="353" spans="6:15" x14ac:dyDescent="0.3">
      <c r="F353" s="13"/>
      <c r="G353" s="13"/>
      <c r="H353" s="13"/>
      <c r="I353" s="13"/>
      <c r="J353" s="13"/>
      <c r="K353" s="13"/>
      <c r="L353" s="13"/>
      <c r="M353" s="13"/>
      <c r="N353" s="13"/>
      <c r="O353" s="13"/>
    </row>
    <row r="354" spans="6:15" x14ac:dyDescent="0.3">
      <c r="F354" s="13"/>
      <c r="G354" s="13"/>
      <c r="H354" s="13"/>
      <c r="I354" s="13"/>
      <c r="J354" s="13"/>
      <c r="K354" s="13"/>
      <c r="L354" s="13"/>
      <c r="M354" s="13"/>
      <c r="N354" s="13"/>
      <c r="O354" s="13"/>
    </row>
    <row r="355" spans="6:15" x14ac:dyDescent="0.3">
      <c r="F355" s="13"/>
      <c r="G355" s="13"/>
      <c r="H355" s="13"/>
      <c r="I355" s="13"/>
      <c r="J355" s="13"/>
      <c r="K355" s="13"/>
      <c r="L355" s="13"/>
      <c r="M355" s="13"/>
      <c r="N355" s="13"/>
      <c r="O355" s="13"/>
    </row>
    <row r="356" spans="6:15" x14ac:dyDescent="0.3">
      <c r="F356" s="13"/>
      <c r="G356" s="13"/>
      <c r="H356" s="13"/>
      <c r="I356" s="13"/>
      <c r="J356" s="13"/>
      <c r="K356" s="13"/>
      <c r="L356" s="13"/>
      <c r="M356" s="13"/>
      <c r="N356" s="13"/>
      <c r="O356" s="13"/>
    </row>
    <row r="357" spans="6:15" x14ac:dyDescent="0.3">
      <c r="F357" s="13"/>
      <c r="G357" s="13"/>
      <c r="H357" s="13"/>
      <c r="I357" s="13"/>
      <c r="J357" s="13"/>
      <c r="K357" s="13"/>
      <c r="L357" s="13"/>
      <c r="M357" s="13"/>
      <c r="N357" s="13"/>
      <c r="O357" s="13"/>
    </row>
    <row r="358" spans="6:15" x14ac:dyDescent="0.3">
      <c r="F358" s="13"/>
      <c r="G358" s="13"/>
      <c r="H358" s="13"/>
      <c r="I358" s="13"/>
      <c r="J358" s="13"/>
      <c r="K358" s="13"/>
      <c r="L358" s="13"/>
      <c r="M358" s="13"/>
      <c r="N358" s="13"/>
      <c r="O358" s="13"/>
    </row>
    <row r="359" spans="6:15" x14ac:dyDescent="0.3">
      <c r="F359" s="13"/>
      <c r="G359" s="13"/>
      <c r="H359" s="13"/>
      <c r="I359" s="13"/>
      <c r="J359" s="13"/>
      <c r="K359" s="13"/>
      <c r="L359" s="13"/>
      <c r="M359" s="13"/>
      <c r="N359" s="13"/>
      <c r="O359" s="13"/>
    </row>
    <row r="360" spans="6:15" x14ac:dyDescent="0.3">
      <c r="F360" s="13"/>
      <c r="G360" s="13"/>
      <c r="H360" s="13"/>
      <c r="I360" s="13"/>
      <c r="J360" s="13"/>
      <c r="K360" s="13"/>
      <c r="L360" s="13"/>
      <c r="M360" s="13"/>
      <c r="N360" s="13"/>
      <c r="O360" s="13"/>
    </row>
    <row r="361" spans="6:15" x14ac:dyDescent="0.3">
      <c r="F361" s="13"/>
      <c r="G361" s="13"/>
      <c r="H361" s="13"/>
      <c r="I361" s="13"/>
      <c r="J361" s="13"/>
      <c r="K361" s="13"/>
      <c r="L361" s="13"/>
      <c r="M361" s="13"/>
      <c r="N361" s="13"/>
      <c r="O361" s="13"/>
    </row>
    <row r="362" spans="6:15" x14ac:dyDescent="0.3">
      <c r="F362" s="13"/>
      <c r="G362" s="13"/>
      <c r="H362" s="13"/>
      <c r="I362" s="13"/>
      <c r="J362" s="13"/>
      <c r="K362" s="13"/>
      <c r="L362" s="13"/>
      <c r="M362" s="13"/>
      <c r="N362" s="13"/>
      <c r="O362" s="13"/>
    </row>
    <row r="363" spans="6:15" x14ac:dyDescent="0.3">
      <c r="F363" s="13"/>
      <c r="G363" s="13"/>
      <c r="H363" s="13"/>
      <c r="I363" s="13"/>
      <c r="J363" s="13"/>
      <c r="K363" s="13"/>
      <c r="L363" s="13"/>
      <c r="M363" s="13"/>
      <c r="N363" s="13"/>
      <c r="O363" s="13"/>
    </row>
    <row r="364" spans="6:15" x14ac:dyDescent="0.3">
      <c r="F364" s="13"/>
      <c r="G364" s="13"/>
      <c r="H364" s="13"/>
      <c r="I364" s="13"/>
      <c r="J364" s="13"/>
      <c r="K364" s="13"/>
      <c r="L364" s="13"/>
      <c r="M364" s="13"/>
      <c r="N364" s="13"/>
      <c r="O364" s="13"/>
    </row>
    <row r="365" spans="6:15" x14ac:dyDescent="0.3">
      <c r="F365" s="13"/>
      <c r="G365" s="13"/>
      <c r="H365" s="13"/>
      <c r="I365" s="13"/>
      <c r="J365" s="13"/>
      <c r="K365" s="13"/>
      <c r="L365" s="13"/>
      <c r="M365" s="13"/>
      <c r="N365" s="13"/>
      <c r="O365" s="13"/>
    </row>
    <row r="366" spans="6:15" x14ac:dyDescent="0.3">
      <c r="F366" s="13"/>
      <c r="G366" s="13"/>
      <c r="H366" s="13"/>
      <c r="I366" s="13"/>
      <c r="J366" s="13"/>
      <c r="K366" s="13"/>
      <c r="L366" s="13"/>
      <c r="M366" s="13"/>
      <c r="N366" s="13"/>
      <c r="O366" s="13"/>
    </row>
    <row r="367" spans="6:15" x14ac:dyDescent="0.3">
      <c r="F367" s="13"/>
      <c r="G367" s="13"/>
      <c r="H367" s="13"/>
      <c r="I367" s="13"/>
      <c r="J367" s="13"/>
      <c r="K367" s="13"/>
      <c r="L367" s="13"/>
      <c r="M367" s="13"/>
      <c r="N367" s="13"/>
      <c r="O367" s="13"/>
    </row>
    <row r="368" spans="6:15" x14ac:dyDescent="0.3">
      <c r="F368" s="13"/>
      <c r="G368" s="13"/>
      <c r="H368" s="13"/>
      <c r="I368" s="13"/>
      <c r="J368" s="13"/>
      <c r="K368" s="13"/>
      <c r="L368" s="13"/>
      <c r="M368" s="13"/>
      <c r="N368" s="13"/>
      <c r="O368" s="13"/>
    </row>
    <row r="369" spans="6:15" x14ac:dyDescent="0.3">
      <c r="F369" s="13"/>
      <c r="G369" s="13"/>
      <c r="H369" s="13"/>
      <c r="I369" s="13"/>
      <c r="J369" s="13"/>
      <c r="K369" s="13"/>
      <c r="L369" s="13"/>
      <c r="M369" s="13"/>
      <c r="N369" s="13"/>
      <c r="O369" s="13"/>
    </row>
    <row r="370" spans="6:15" x14ac:dyDescent="0.3">
      <c r="F370" s="13"/>
      <c r="G370" s="13"/>
      <c r="H370" s="13"/>
      <c r="I370" s="13"/>
      <c r="J370" s="13"/>
      <c r="K370" s="13"/>
      <c r="L370" s="13"/>
      <c r="M370" s="13"/>
      <c r="N370" s="13"/>
      <c r="O370" s="13"/>
    </row>
    <row r="371" spans="6:15" x14ac:dyDescent="0.3">
      <c r="F371" s="13"/>
      <c r="G371" s="13"/>
      <c r="H371" s="13"/>
      <c r="I371" s="13"/>
      <c r="J371" s="13"/>
      <c r="K371" s="13"/>
      <c r="L371" s="13"/>
      <c r="M371" s="13"/>
      <c r="N371" s="13"/>
      <c r="O371" s="13"/>
    </row>
    <row r="372" spans="6:15" x14ac:dyDescent="0.3">
      <c r="F372" s="13"/>
      <c r="G372" s="13"/>
      <c r="H372" s="13"/>
      <c r="I372" s="13"/>
      <c r="J372" s="13"/>
      <c r="K372" s="13"/>
      <c r="L372" s="13"/>
      <c r="M372" s="13"/>
      <c r="N372" s="13"/>
      <c r="O372" s="13"/>
    </row>
    <row r="373" spans="6:15" x14ac:dyDescent="0.3">
      <c r="F373" s="13"/>
      <c r="G373" s="13"/>
      <c r="H373" s="13"/>
      <c r="I373" s="13"/>
      <c r="J373" s="13"/>
      <c r="K373" s="13"/>
      <c r="L373" s="13"/>
      <c r="M373" s="13"/>
      <c r="N373" s="13"/>
      <c r="O373" s="13"/>
    </row>
    <row r="374" spans="6:15" x14ac:dyDescent="0.3">
      <c r="F374" s="13"/>
      <c r="G374" s="13"/>
      <c r="H374" s="13"/>
      <c r="I374" s="13"/>
      <c r="J374" s="13"/>
      <c r="K374" s="13"/>
      <c r="L374" s="13"/>
      <c r="M374" s="13"/>
      <c r="N374" s="13"/>
      <c r="O374" s="13"/>
    </row>
    <row r="375" spans="6:15" x14ac:dyDescent="0.3">
      <c r="F375" s="13"/>
      <c r="G375" s="13"/>
      <c r="H375" s="13"/>
      <c r="I375" s="13"/>
      <c r="J375" s="13"/>
      <c r="K375" s="13"/>
      <c r="L375" s="13"/>
      <c r="M375" s="13"/>
      <c r="N375" s="13"/>
      <c r="O375" s="13"/>
    </row>
    <row r="376" spans="6:15" x14ac:dyDescent="0.3">
      <c r="F376" s="13"/>
      <c r="G376" s="13"/>
      <c r="H376" s="13"/>
      <c r="I376" s="13"/>
      <c r="J376" s="13"/>
      <c r="K376" s="13"/>
      <c r="L376" s="13"/>
      <c r="M376" s="13"/>
      <c r="N376" s="13"/>
      <c r="O376" s="13"/>
    </row>
    <row r="377" spans="6:15" x14ac:dyDescent="0.3">
      <c r="F377" s="13"/>
      <c r="G377" s="13"/>
      <c r="H377" s="13"/>
      <c r="I377" s="13"/>
      <c r="J377" s="13"/>
      <c r="K377" s="13"/>
      <c r="L377" s="13"/>
      <c r="M377" s="13"/>
      <c r="N377" s="13"/>
      <c r="O377" s="13"/>
    </row>
    <row r="378" spans="6:15" x14ac:dyDescent="0.3">
      <c r="F378" s="13"/>
      <c r="G378" s="13"/>
      <c r="H378" s="13"/>
      <c r="I378" s="13"/>
      <c r="J378" s="13"/>
      <c r="K378" s="13"/>
      <c r="L378" s="13"/>
      <c r="M378" s="13"/>
      <c r="N378" s="13"/>
      <c r="O378" s="13"/>
    </row>
    <row r="379" spans="6:15" x14ac:dyDescent="0.3">
      <c r="F379" s="13"/>
      <c r="G379" s="13"/>
      <c r="H379" s="13"/>
      <c r="I379" s="13"/>
      <c r="J379" s="13"/>
      <c r="K379" s="13"/>
      <c r="L379" s="13"/>
      <c r="M379" s="13"/>
      <c r="N379" s="13"/>
      <c r="O379" s="13"/>
    </row>
    <row r="380" spans="6:15" x14ac:dyDescent="0.3">
      <c r="F380" s="13"/>
      <c r="G380" s="13"/>
      <c r="H380" s="13"/>
      <c r="I380" s="13"/>
      <c r="J380" s="13"/>
      <c r="K380" s="13"/>
      <c r="L380" s="13"/>
      <c r="M380" s="13"/>
      <c r="N380" s="13"/>
      <c r="O380" s="13"/>
    </row>
    <row r="381" spans="6:15" x14ac:dyDescent="0.3">
      <c r="F381" s="13"/>
      <c r="G381" s="13"/>
      <c r="H381" s="13"/>
      <c r="I381" s="13"/>
      <c r="J381" s="13"/>
      <c r="K381" s="13"/>
      <c r="L381" s="13"/>
      <c r="M381" s="13"/>
      <c r="N381" s="13"/>
      <c r="O381" s="13"/>
    </row>
    <row r="382" spans="6:15" x14ac:dyDescent="0.3">
      <c r="F382" s="13"/>
      <c r="G382" s="13"/>
      <c r="H382" s="13"/>
      <c r="I382" s="13"/>
      <c r="J382" s="13"/>
      <c r="K382" s="13"/>
      <c r="L382" s="13"/>
      <c r="M382" s="13"/>
      <c r="N382" s="13"/>
      <c r="O382" s="13"/>
    </row>
    <row r="383" spans="6:15" x14ac:dyDescent="0.3">
      <c r="F383" s="13"/>
      <c r="G383" s="13"/>
      <c r="H383" s="13"/>
      <c r="I383" s="13"/>
      <c r="J383" s="13"/>
      <c r="K383" s="13"/>
      <c r="L383" s="13"/>
      <c r="M383" s="13"/>
      <c r="N383" s="13"/>
      <c r="O383" s="13"/>
    </row>
    <row r="384" spans="6:15" x14ac:dyDescent="0.3">
      <c r="F384" s="13"/>
      <c r="G384" s="13"/>
      <c r="H384" s="13"/>
      <c r="I384" s="13"/>
      <c r="J384" s="13"/>
      <c r="K384" s="13"/>
      <c r="L384" s="13"/>
      <c r="M384" s="13"/>
      <c r="N384" s="13"/>
      <c r="O384" s="13"/>
    </row>
    <row r="385" spans="6:15" x14ac:dyDescent="0.3">
      <c r="F385" s="13"/>
      <c r="G385" s="13"/>
      <c r="H385" s="13"/>
      <c r="I385" s="13"/>
      <c r="J385" s="13"/>
      <c r="K385" s="13"/>
      <c r="L385" s="13"/>
      <c r="M385" s="13"/>
      <c r="N385" s="13"/>
      <c r="O385" s="13"/>
    </row>
    <row r="386" spans="6:15" x14ac:dyDescent="0.3">
      <c r="F386" s="13"/>
      <c r="G386" s="13"/>
      <c r="H386" s="13"/>
      <c r="I386" s="13"/>
      <c r="J386" s="13"/>
      <c r="K386" s="13"/>
      <c r="L386" s="13"/>
      <c r="M386" s="13"/>
      <c r="N386" s="13"/>
      <c r="O386" s="13"/>
    </row>
    <row r="387" spans="6:15" x14ac:dyDescent="0.3">
      <c r="F387" s="13"/>
      <c r="G387" s="13"/>
      <c r="H387" s="13"/>
      <c r="I387" s="13"/>
      <c r="J387" s="13"/>
      <c r="K387" s="13"/>
      <c r="L387" s="13"/>
      <c r="M387" s="13"/>
      <c r="N387" s="13"/>
      <c r="O387" s="13"/>
    </row>
  </sheetData>
  <mergeCells count="1">
    <mergeCell ref="C7:D7"/>
  </mergeCells>
  <conditionalFormatting sqref="C5">
    <cfRule type="cellIs" dxfId="96" priority="28" operator="lessThan">
      <formula>0</formula>
    </cfRule>
  </conditionalFormatting>
  <conditionalFormatting sqref="C21:D80">
    <cfRule type="cellIs" dxfId="95" priority="12" operator="lessThan">
      <formula>0</formula>
    </cfRule>
  </conditionalFormatting>
  <conditionalFormatting sqref="F21:J32">
    <cfRule type="cellIs" dxfId="94" priority="15" operator="greaterThan">
      <formula>0</formula>
    </cfRule>
    <cfRule type="cellIs" dxfId="93" priority="16" operator="lessThan">
      <formula>0</formula>
    </cfRule>
  </conditionalFormatting>
  <conditionalFormatting sqref="F35:J46">
    <cfRule type="colorScale" priority="19">
      <colorScale>
        <cfvo type="min"/>
        <cfvo type="percentile" val="50"/>
        <cfvo type="max"/>
        <color rgb="FFF8696B"/>
        <color rgb="FFFFEB84"/>
        <color rgb="FF63BE7B"/>
      </colorScale>
    </cfRule>
  </conditionalFormatting>
  <conditionalFormatting sqref="G224:K235">
    <cfRule type="dataBar" priority="17">
      <dataBar>
        <cfvo type="min"/>
        <cfvo type="max"/>
        <color rgb="FF63C384"/>
      </dataBar>
      <extLst>
        <ext xmlns:x14="http://schemas.microsoft.com/office/spreadsheetml/2009/9/main" uri="{B025F937-C7B1-47D3-B67F-A62EFF666E3E}">
          <x14:id>{C55EC4ED-109F-4450-A40F-65CDD012687A}</x14:id>
        </ext>
      </extLst>
    </cfRule>
  </conditionalFormatting>
  <conditionalFormatting sqref="H21:H32 V21:V32 H35:H46 V35:V46">
    <cfRule type="expression" dxfId="92" priority="4">
      <formula>Years="Five"</formula>
    </cfRule>
  </conditionalFormatting>
  <conditionalFormatting sqref="I20:J46 W20:X46">
    <cfRule type="expression" dxfId="91" priority="3">
      <formula>Years="Three"</formula>
    </cfRule>
  </conditionalFormatting>
  <conditionalFormatting sqref="M166:O225">
    <cfRule type="cellIs" dxfId="90" priority="25" operator="lessThan">
      <formula>0</formula>
    </cfRule>
  </conditionalFormatting>
  <conditionalFormatting sqref="M5:Q16">
    <cfRule type="cellIs" dxfId="89" priority="5" operator="greaterThan">
      <formula>0</formula>
    </cfRule>
  </conditionalFormatting>
  <conditionalFormatting sqref="O5:O16">
    <cfRule type="expression" dxfId="88" priority="2">
      <formula>Years="Five"</formula>
    </cfRule>
  </conditionalFormatting>
  <conditionalFormatting sqref="P4:Q17">
    <cfRule type="expression" dxfId="87" priority="1">
      <formula>Years="Three"</formula>
    </cfRule>
  </conditionalFormatting>
  <conditionalFormatting sqref="T21:X32">
    <cfRule type="cellIs" dxfId="86" priority="8" operator="greaterThan">
      <formula>0</formula>
    </cfRule>
    <cfRule type="cellIs" dxfId="85" priority="9" operator="lessThan">
      <formula>0</formula>
    </cfRule>
  </conditionalFormatting>
  <conditionalFormatting sqref="T35:X46">
    <cfRule type="colorScale" priority="10">
      <colorScale>
        <cfvo type="min"/>
        <cfvo type="percentile" val="50"/>
        <cfvo type="max"/>
        <color rgb="FFF8696B"/>
        <color rgb="FFFFEB84"/>
        <color rgb="FF63BE7B"/>
      </colorScale>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C55EC4ED-109F-4450-A40F-65CDD012687A}">
            <x14:dataBar minLength="0" maxLength="100" border="1" negativeBarBorderColorSameAsPositive="0">
              <x14:cfvo type="autoMin"/>
              <x14:cfvo type="autoMax"/>
              <x14:borderColor rgb="FF63C384"/>
              <x14:negativeFillColor rgb="FFFF0000"/>
              <x14:negativeBorderColor rgb="FFFF0000"/>
              <x14:axisColor rgb="FF000000"/>
            </x14:dataBar>
          </x14:cfRule>
          <xm:sqref>G224:K235</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5891A-9701-4302-B13F-231CA288F1BB}">
  <sheetPr codeName="Sheet6"/>
  <dimension ref="A1:T135"/>
  <sheetViews>
    <sheetView showGridLines="0" workbookViewId="0">
      <selection activeCell="E63" sqref="E63:E64"/>
    </sheetView>
  </sheetViews>
  <sheetFormatPr defaultRowHeight="15.5" x14ac:dyDescent="0.35"/>
  <cols>
    <col min="1" max="1" width="18.08203125" customWidth="1"/>
    <col min="2" max="2" width="15.58203125" customWidth="1"/>
    <col min="3" max="8" width="12.83203125" customWidth="1"/>
    <col min="9" max="10" width="12.58203125" customWidth="1"/>
    <col min="11" max="18" width="12.58203125" hidden="1" customWidth="1"/>
    <col min="19" max="30" width="12.58203125" customWidth="1"/>
  </cols>
  <sheetData>
    <row r="1" spans="1:20" ht="12" customHeight="1" x14ac:dyDescent="0.35">
      <c r="A1" s="13"/>
      <c r="G1" s="13"/>
      <c r="H1" s="13"/>
      <c r="I1" s="13"/>
      <c r="J1" s="40"/>
      <c r="K1" s="40"/>
      <c r="L1" s="40"/>
      <c r="M1" s="40"/>
      <c r="N1" s="40"/>
      <c r="O1" s="40"/>
      <c r="P1" s="40"/>
      <c r="Q1" s="40"/>
      <c r="R1" s="40"/>
    </row>
    <row r="2" spans="1:20" ht="12" customHeight="1" x14ac:dyDescent="0.35">
      <c r="A2" s="13"/>
      <c r="B2" s="1002" t="s">
        <v>634</v>
      </c>
      <c r="C2" s="1002"/>
      <c r="D2" s="425"/>
      <c r="E2" s="13"/>
      <c r="F2" s="13"/>
      <c r="G2" s="13"/>
      <c r="H2" s="13"/>
      <c r="I2" s="13"/>
      <c r="J2" s="40"/>
      <c r="K2" s="40"/>
      <c r="L2" s="40"/>
      <c r="M2" s="40"/>
      <c r="N2" s="40"/>
      <c r="O2" s="40"/>
      <c r="P2" s="40"/>
      <c r="Q2" s="40"/>
      <c r="R2" s="40"/>
    </row>
    <row r="3" spans="1:20" ht="12" customHeight="1" x14ac:dyDescent="0.35">
      <c r="A3" s="13"/>
      <c r="B3" s="84" t="s">
        <v>635</v>
      </c>
      <c r="C3" s="870" t="str">
        <f>IF(Input!D18&lt;&gt;"",Input!D18,"")</f>
        <v/>
      </c>
      <c r="E3" s="13"/>
      <c r="F3" s="1"/>
      <c r="G3" s="13"/>
      <c r="H3" s="13"/>
      <c r="I3" s="13"/>
      <c r="J3" s="40"/>
      <c r="K3" s="40"/>
      <c r="L3" s="40"/>
      <c r="M3" s="40"/>
      <c r="N3" s="40"/>
      <c r="O3" s="40"/>
      <c r="P3" s="40"/>
      <c r="Q3" s="40"/>
      <c r="R3" s="40"/>
    </row>
    <row r="4" spans="1:20" ht="12" customHeight="1" x14ac:dyDescent="0.35">
      <c r="A4" s="13"/>
      <c r="B4" s="84" t="s">
        <v>636</v>
      </c>
      <c r="C4" s="870" t="str">
        <f>IF(CompanyType=0,"",VLOOKUP(CompanyType,Input!CW6:CX9,2,FALSE))</f>
        <v>C Corp</v>
      </c>
      <c r="E4" s="13"/>
      <c r="G4" s="13"/>
      <c r="H4" s="13"/>
      <c r="I4" s="13"/>
      <c r="J4" s="40"/>
      <c r="K4" s="40"/>
      <c r="L4" s="40"/>
      <c r="M4" s="40"/>
      <c r="N4" s="40"/>
      <c r="O4" s="40"/>
      <c r="P4" s="40"/>
      <c r="Q4" s="40"/>
      <c r="R4" s="40"/>
    </row>
    <row r="5" spans="1:20" ht="12" customHeight="1" x14ac:dyDescent="0.35">
      <c r="A5" s="13"/>
      <c r="B5" s="84" t="s">
        <v>86</v>
      </c>
      <c r="C5" s="871" t="str">
        <f>IF(Infrastructure!B9&lt;&gt;0,Infrastructure!B9,"")</f>
        <v/>
      </c>
      <c r="E5" s="13"/>
      <c r="G5" s="13"/>
      <c r="H5" s="13"/>
      <c r="I5" s="13"/>
      <c r="J5" s="40"/>
      <c r="K5" s="40"/>
      <c r="L5" s="40"/>
      <c r="M5" s="40"/>
      <c r="N5" s="40"/>
      <c r="O5" s="40"/>
      <c r="P5" s="40"/>
      <c r="Q5" s="40"/>
      <c r="R5" s="40"/>
    </row>
    <row r="6" spans="1:20" ht="12" customHeight="1" x14ac:dyDescent="0.35">
      <c r="A6" s="13"/>
      <c r="B6" s="84" t="s">
        <v>70</v>
      </c>
      <c r="C6" s="870" t="str">
        <f>IF(Input!$D$1553=0,"","Yes")</f>
        <v/>
      </c>
      <c r="E6" s="84"/>
      <c r="G6" s="13"/>
      <c r="H6" s="13"/>
      <c r="I6" s="67"/>
      <c r="J6" s="82"/>
      <c r="K6" s="82"/>
      <c r="L6" s="82"/>
      <c r="M6" s="82"/>
      <c r="N6" s="82"/>
      <c r="O6" s="82"/>
      <c r="P6" s="82"/>
      <c r="Q6" s="82"/>
      <c r="R6" s="82"/>
      <c r="S6" s="1278"/>
      <c r="T6" s="1278"/>
    </row>
    <row r="7" spans="1:20" ht="12" customHeight="1" x14ac:dyDescent="0.35">
      <c r="A7" s="13"/>
      <c r="D7" s="40"/>
      <c r="E7" s="13"/>
      <c r="F7" s="13"/>
      <c r="G7" s="13"/>
      <c r="H7" s="13"/>
      <c r="I7" s="67"/>
      <c r="J7" s="82"/>
      <c r="K7" s="82"/>
      <c r="L7" s="82"/>
      <c r="M7" s="82"/>
      <c r="N7" s="82"/>
      <c r="O7" s="82"/>
      <c r="P7" s="82"/>
      <c r="Q7" s="82"/>
      <c r="R7" s="82"/>
      <c r="S7" s="1278"/>
      <c r="T7" s="1278"/>
    </row>
    <row r="8" spans="1:20" ht="12" customHeight="1" x14ac:dyDescent="0.35">
      <c r="A8" s="13"/>
      <c r="B8" s="1002" t="s">
        <v>0</v>
      </c>
      <c r="C8" s="876" t="s">
        <v>70</v>
      </c>
      <c r="D8" s="1282" t="str">
        <f>Infrastructure!H9</f>
        <v>Year 1</v>
      </c>
      <c r="E8" s="1282" t="str">
        <f>Infrastructure!I9</f>
        <v>Year 2</v>
      </c>
      <c r="F8" s="1282" t="str">
        <f>Infrastructure!J9</f>
        <v>Year 3</v>
      </c>
      <c r="G8" s="1282" t="str">
        <f>Infrastructure!K9</f>
        <v>Year 4</v>
      </c>
      <c r="H8" s="1282" t="str">
        <f>Infrastructure!L9</f>
        <v>Year 5</v>
      </c>
      <c r="I8" s="67"/>
      <c r="J8" s="82"/>
      <c r="K8" s="82"/>
      <c r="L8" s="1283" t="s">
        <v>207</v>
      </c>
      <c r="M8" s="1284"/>
      <c r="N8" s="1285"/>
      <c r="O8" s="1285"/>
      <c r="P8" s="1285"/>
      <c r="Q8" s="1285"/>
      <c r="R8" s="82"/>
      <c r="S8" s="1278"/>
      <c r="T8" s="1278"/>
    </row>
    <row r="9" spans="1:20" ht="12" customHeight="1" x14ac:dyDescent="0.35">
      <c r="A9" s="13"/>
      <c r="B9" s="404" t="str">
        <f>"New " &amp;Input!O21</f>
        <v xml:space="preserve">New </v>
      </c>
      <c r="C9" s="1251"/>
      <c r="D9" s="433">
        <f>Calcs!AG1169</f>
        <v>0</v>
      </c>
      <c r="E9" s="433">
        <f>Calcs!AH1169</f>
        <v>0</v>
      </c>
      <c r="F9" s="433">
        <f>Calcs!AI1169</f>
        <v>0</v>
      </c>
      <c r="G9" s="433">
        <f>Calcs!AJ1169</f>
        <v>0</v>
      </c>
      <c r="H9" s="433">
        <f>Calcs!AK1169</f>
        <v>0</v>
      </c>
      <c r="I9" s="1278">
        <v>1</v>
      </c>
      <c r="J9" s="82">
        <v>3</v>
      </c>
      <c r="K9" s="82"/>
      <c r="L9" s="1283" t="s">
        <v>136</v>
      </c>
      <c r="M9" s="1286" t="str">
        <f>D8</f>
        <v>Year 1</v>
      </c>
      <c r="N9" s="1286" t="str">
        <f>E8</f>
        <v>Year 2</v>
      </c>
      <c r="O9" s="1286" t="str">
        <f>F8</f>
        <v>Year 3</v>
      </c>
      <c r="P9" s="1286" t="str">
        <f>G8</f>
        <v>Year 4</v>
      </c>
      <c r="Q9" s="1286" t="str">
        <f>H8</f>
        <v>Year 5</v>
      </c>
      <c r="R9" s="82"/>
      <c r="S9" s="1278">
        <v>4</v>
      </c>
      <c r="T9" s="1278"/>
    </row>
    <row r="10" spans="1:20" ht="12" customHeight="1" x14ac:dyDescent="0.35">
      <c r="A10" s="13"/>
      <c r="B10" s="61" t="s">
        <v>195</v>
      </c>
      <c r="C10" s="1252"/>
      <c r="D10" s="877">
        <f>SUM(Input!D473:AB484)</f>
        <v>0</v>
      </c>
      <c r="E10" s="877">
        <f>SUM(Input!D485:AB496)</f>
        <v>0</v>
      </c>
      <c r="F10" s="877">
        <f>SUM(Input!D497:AB508)</f>
        <v>0</v>
      </c>
      <c r="G10" s="877">
        <f>SUM(Input!D509:AB520)</f>
        <v>0</v>
      </c>
      <c r="H10" s="877">
        <f>SUM(Input!D521:AB532)</f>
        <v>0</v>
      </c>
      <c r="I10" s="1278">
        <v>5</v>
      </c>
      <c r="J10" s="82">
        <v>5</v>
      </c>
      <c r="K10" s="82"/>
      <c r="L10" s="1287" t="s">
        <v>637</v>
      </c>
      <c r="M10" s="1288">
        <f>SUM(Input!G$1343:G$1354)</f>
        <v>0</v>
      </c>
      <c r="N10" s="1288">
        <f>SUM(Input!G$1355:G$1366)</f>
        <v>0</v>
      </c>
      <c r="O10" s="1288">
        <f>SUM(Input!G$1367:G$1378)</f>
        <v>0</v>
      </c>
      <c r="P10" s="1288">
        <f>SUM(Input!G$1379:G$1390)</f>
        <v>0</v>
      </c>
      <c r="Q10" s="1288">
        <f>SUM(Input!G$1391:G$1402)</f>
        <v>0</v>
      </c>
      <c r="R10" s="82"/>
      <c r="S10" s="1278">
        <v>2</v>
      </c>
      <c r="T10" s="1278"/>
    </row>
    <row r="11" spans="1:20" ht="12" customHeight="1" x14ac:dyDescent="0.35">
      <c r="A11" s="13"/>
      <c r="B11" s="61" t="s">
        <v>3</v>
      </c>
      <c r="C11" s="1252"/>
      <c r="D11" s="426">
        <f>SUM(Input!D340:AB351)</f>
        <v>0</v>
      </c>
      <c r="E11" s="426">
        <f>SUM(Input!D352:AB363)</f>
        <v>0</v>
      </c>
      <c r="F11" s="426">
        <f>SUM(Input!D364:AB375)</f>
        <v>0</v>
      </c>
      <c r="G11" s="426">
        <f>SUM(Input!D376:AB387)</f>
        <v>0</v>
      </c>
      <c r="H11" s="426">
        <f>SUM(Input!D388:AB399)</f>
        <v>0</v>
      </c>
      <c r="I11" s="1278"/>
      <c r="J11" s="82"/>
      <c r="K11" s="82"/>
      <c r="L11" s="1287" t="s">
        <v>225</v>
      </c>
      <c r="M11" s="1288">
        <f>SUM(Input!L$1343:L$1354)</f>
        <v>0</v>
      </c>
      <c r="N11" s="1288">
        <f>SUM(Input!L$1355:L$1366)</f>
        <v>0</v>
      </c>
      <c r="O11" s="1288">
        <f>SUM(Input!L$1367:L$1378)</f>
        <v>0</v>
      </c>
      <c r="P11" s="1288">
        <f>SUM(Input!L$1379:L$1390)</f>
        <v>0</v>
      </c>
      <c r="Q11" s="1288">
        <f>SUM(Input!L$1391:L$1402)</f>
        <v>0</v>
      </c>
      <c r="R11" s="82"/>
      <c r="S11" s="1278"/>
      <c r="T11" s="1278"/>
    </row>
    <row r="12" spans="1:20" ht="12" customHeight="1" x14ac:dyDescent="0.35">
      <c r="A12" s="13"/>
      <c r="B12" s="84" t="s">
        <v>200</v>
      </c>
      <c r="C12" s="1253"/>
      <c r="D12" s="878">
        <f>Financials!Q32</f>
        <v>0</v>
      </c>
      <c r="E12" s="878">
        <f>Financials!AD32</f>
        <v>0</v>
      </c>
      <c r="F12" s="878">
        <f>Financials!AQ32</f>
        <v>0</v>
      </c>
      <c r="G12" s="878">
        <f>Financials!BD32</f>
        <v>0</v>
      </c>
      <c r="H12" s="878">
        <f>Financials!BQ32</f>
        <v>0</v>
      </c>
      <c r="I12" s="1278"/>
      <c r="J12" s="82"/>
      <c r="K12" s="82"/>
      <c r="L12" s="1287" t="s">
        <v>638</v>
      </c>
      <c r="M12" s="1288">
        <f>Input!J$1354</f>
        <v>0</v>
      </c>
      <c r="N12" s="1288">
        <f>Input!J$1366</f>
        <v>0</v>
      </c>
      <c r="O12" s="1288">
        <f>Input!J$1378</f>
        <v>0</v>
      </c>
      <c r="P12" s="1288">
        <f>Input!J$1390</f>
        <v>0</v>
      </c>
      <c r="Q12" s="1288">
        <f>Input!J$1402</f>
        <v>0</v>
      </c>
      <c r="R12" s="82"/>
      <c r="S12" s="1278"/>
      <c r="T12" s="1278"/>
    </row>
    <row r="13" spans="1:20" ht="12" customHeight="1" x14ac:dyDescent="0.35">
      <c r="A13" s="13"/>
      <c r="B13" s="61" t="s">
        <v>4</v>
      </c>
      <c r="C13" s="1252"/>
      <c r="D13" s="426">
        <f>Financials!Q33</f>
        <v>0</v>
      </c>
      <c r="E13" s="426">
        <f>Financials!AD33</f>
        <v>0</v>
      </c>
      <c r="F13" s="426">
        <f>Financials!AQ33</f>
        <v>0</v>
      </c>
      <c r="G13" s="426">
        <f>Financials!BD33</f>
        <v>0</v>
      </c>
      <c r="H13" s="426">
        <f>Financials!BQ33</f>
        <v>0</v>
      </c>
      <c r="I13" s="1278"/>
      <c r="J13" s="82"/>
      <c r="K13" s="82"/>
      <c r="L13" s="1283" t="s">
        <v>3</v>
      </c>
      <c r="M13" s="1289">
        <f>SUM(Input!I$1343:I$1354)</f>
        <v>0</v>
      </c>
      <c r="N13" s="1289">
        <f>SUM(Input!I$1355:I$1366)</f>
        <v>0</v>
      </c>
      <c r="O13" s="1289">
        <f>SUM(Input!I$1367:I$1378)</f>
        <v>0</v>
      </c>
      <c r="P13" s="1289">
        <f>SUM(Input!I$1379:I$1390)</f>
        <v>0</v>
      </c>
      <c r="Q13" s="1289">
        <f>SUM(Input!I$1391:I$1402)</f>
        <v>0</v>
      </c>
      <c r="R13" s="82"/>
      <c r="S13" s="1278"/>
      <c r="T13" s="1278"/>
    </row>
    <row r="14" spans="1:20" ht="12" customHeight="1" x14ac:dyDescent="0.35">
      <c r="A14" s="13"/>
      <c r="B14" s="427" t="str">
        <f>Financials!D35</f>
        <v>Cost of Goods Sold</v>
      </c>
      <c r="C14" s="1254"/>
      <c r="D14" s="427">
        <f>Financials!Q61</f>
        <v>0</v>
      </c>
      <c r="E14" s="427">
        <f>Financials!AD61</f>
        <v>0</v>
      </c>
      <c r="F14" s="427">
        <f>Financials!AQ61</f>
        <v>0</v>
      </c>
      <c r="G14" s="427">
        <f>Financials!BD61</f>
        <v>0</v>
      </c>
      <c r="H14" s="427">
        <f>Financials!BQ61</f>
        <v>0</v>
      </c>
      <c r="I14" s="67">
        <f>SUMIFS(I9:I10,J9:J10,"&lt;6",S9:S10,"&gt;0")</f>
        <v>6</v>
      </c>
      <c r="J14" s="82"/>
      <c r="K14" s="82"/>
      <c r="L14" s="82"/>
      <c r="M14" s="82"/>
      <c r="N14" s="82"/>
      <c r="O14" s="82"/>
      <c r="P14" s="82"/>
      <c r="Q14" s="82"/>
      <c r="R14" s="82"/>
      <c r="S14" s="1278"/>
      <c r="T14" s="1278"/>
    </row>
    <row r="15" spans="1:20" ht="12" customHeight="1" thickBot="1" x14ac:dyDescent="0.4">
      <c r="A15" s="13"/>
      <c r="B15" s="61" t="s">
        <v>5</v>
      </c>
      <c r="C15" s="1252"/>
      <c r="D15" s="880">
        <f>D13-D14</f>
        <v>0</v>
      </c>
      <c r="E15" s="880">
        <f>E13-E14</f>
        <v>0</v>
      </c>
      <c r="F15" s="880">
        <f>F13-F14</f>
        <v>0</v>
      </c>
      <c r="G15" s="880">
        <f>G13-G14</f>
        <v>0</v>
      </c>
      <c r="H15" s="880">
        <f>H13-H14</f>
        <v>0</v>
      </c>
      <c r="I15" s="67"/>
      <c r="J15" s="82"/>
      <c r="K15" s="82"/>
      <c r="L15" s="1283" t="s">
        <v>210</v>
      </c>
      <c r="M15" s="1286" t="str">
        <f>M9</f>
        <v>Year 1</v>
      </c>
      <c r="N15" s="1286" t="str">
        <f>N9</f>
        <v>Year 2</v>
      </c>
      <c r="O15" s="1286" t="str">
        <f>O9</f>
        <v>Year 3</v>
      </c>
      <c r="P15" s="1286" t="str">
        <f>P9</f>
        <v>Year 4</v>
      </c>
      <c r="Q15" s="1286" t="str">
        <f>Q9</f>
        <v>Year 5</v>
      </c>
      <c r="R15" s="82"/>
      <c r="S15" s="1278"/>
      <c r="T15" s="1278"/>
    </row>
    <row r="16" spans="1:20" ht="12" customHeight="1" thickTop="1" x14ac:dyDescent="0.35">
      <c r="A16" s="13"/>
      <c r="B16" s="61" t="s">
        <v>616</v>
      </c>
      <c r="C16" s="1252"/>
      <c r="D16" s="428" t="str">
        <f>IF(AND(D13&gt;0,D15&gt;0),D15/D13,"")</f>
        <v/>
      </c>
      <c r="E16" s="428" t="str">
        <f>IF(AND(E13&gt;0,E15&gt;0),E15/E13,"")</f>
        <v/>
      </c>
      <c r="F16" s="428" t="str">
        <f>IF(AND(F13&gt;0,F15&gt;0),F15/F13,"")</f>
        <v/>
      </c>
      <c r="G16" s="428" t="str">
        <f>IF(AND(G13&gt;0,G15&gt;0),G15/G13,"")</f>
        <v/>
      </c>
      <c r="H16" s="428" t="str">
        <f>IF(AND(H13&gt;0,H15&gt;0),H15/H13,"")</f>
        <v/>
      </c>
      <c r="I16" s="67"/>
      <c r="J16" s="82"/>
      <c r="K16" s="82"/>
      <c r="L16" s="1287" t="s">
        <v>637</v>
      </c>
      <c r="M16" s="1288">
        <f>SUM(Input!R$1343:R$1354)</f>
        <v>0</v>
      </c>
      <c r="N16" s="1288">
        <f>SUM(Input!R$1355:R$1366)</f>
        <v>0</v>
      </c>
      <c r="O16" s="1288">
        <f>SUM(Input!R$1367:R$1378)</f>
        <v>0</v>
      </c>
      <c r="P16" s="1288">
        <f>SUM(Input!R$1379:R$1390)</f>
        <v>0</v>
      </c>
      <c r="Q16" s="1288">
        <f>SUM(Input!R$1391:R$1402)</f>
        <v>0</v>
      </c>
      <c r="R16" s="82"/>
      <c r="S16" s="1278"/>
      <c r="T16" s="1278"/>
    </row>
    <row r="17" spans="1:20" ht="12" customHeight="1" x14ac:dyDescent="0.35">
      <c r="A17" s="13"/>
      <c r="B17" s="84" t="s">
        <v>201</v>
      </c>
      <c r="C17" s="1253"/>
      <c r="D17" s="427">
        <f>Financials!Q66</f>
        <v>0</v>
      </c>
      <c r="E17" s="427">
        <f>Financials!AD66</f>
        <v>0</v>
      </c>
      <c r="F17" s="427">
        <f>Financials!AQ66</f>
        <v>0</v>
      </c>
      <c r="G17" s="427">
        <f>Financials!BD66</f>
        <v>0</v>
      </c>
      <c r="H17" s="427">
        <f>Financials!BQ66</f>
        <v>0</v>
      </c>
      <c r="I17" s="67"/>
      <c r="J17" s="82"/>
      <c r="K17" s="82"/>
      <c r="L17" s="1287" t="s">
        <v>225</v>
      </c>
      <c r="M17" s="1288">
        <f>SUM(Input!T$1343:T$1354)</f>
        <v>0</v>
      </c>
      <c r="N17" s="1288">
        <f>SUM(Input!T$1355:T$1366)</f>
        <v>0</v>
      </c>
      <c r="O17" s="1288">
        <f>SUM(Input!T$1367:T$1378)</f>
        <v>0</v>
      </c>
      <c r="P17" s="1288">
        <f>SUM(Input!T$1379:T$1390)</f>
        <v>0</v>
      </c>
      <c r="Q17" s="1288">
        <f>SUM(Input!T$1391:T$1402)</f>
        <v>0</v>
      </c>
      <c r="R17" s="82"/>
      <c r="S17" s="1278"/>
      <c r="T17" s="1278"/>
    </row>
    <row r="18" spans="1:20" ht="12" customHeight="1" x14ac:dyDescent="0.35">
      <c r="A18" s="13"/>
      <c r="B18" s="84" t="s">
        <v>288</v>
      </c>
      <c r="C18" s="1253"/>
      <c r="D18" s="427">
        <f>Financials!Q67</f>
        <v>0</v>
      </c>
      <c r="E18" s="427">
        <f>Financials!AD67</f>
        <v>0</v>
      </c>
      <c r="F18" s="427">
        <f>Financials!AQ67</f>
        <v>0</v>
      </c>
      <c r="G18" s="427">
        <f>Financials!BD67</f>
        <v>0</v>
      </c>
      <c r="H18" s="427">
        <f>Financials!BQ67</f>
        <v>0</v>
      </c>
      <c r="I18" s="13"/>
      <c r="J18" s="40"/>
      <c r="K18" s="40"/>
      <c r="L18" s="101" t="s">
        <v>638</v>
      </c>
      <c r="M18" s="406">
        <f>Input!U1354</f>
        <v>0</v>
      </c>
      <c r="N18" s="406">
        <f>Input!U1366</f>
        <v>0</v>
      </c>
      <c r="O18" s="406">
        <f>Input!U1378</f>
        <v>0</v>
      </c>
      <c r="P18" s="406">
        <f>Input!U1390</f>
        <v>0</v>
      </c>
      <c r="Q18" s="406">
        <f>Input!U1402</f>
        <v>0</v>
      </c>
      <c r="R18" s="40"/>
    </row>
    <row r="19" spans="1:20" ht="12" customHeight="1" x14ac:dyDescent="0.35">
      <c r="A19" s="13"/>
      <c r="B19" s="61" t="s">
        <v>639</v>
      </c>
      <c r="C19" s="1252"/>
      <c r="D19" s="879">
        <f>D15-D17-D18</f>
        <v>0</v>
      </c>
      <c r="E19" s="879">
        <f>E15-E17-E18</f>
        <v>0</v>
      </c>
      <c r="F19" s="879">
        <f>F15-F17-F18</f>
        <v>0</v>
      </c>
      <c r="G19" s="879">
        <f>G15-G17-G18</f>
        <v>0</v>
      </c>
      <c r="H19" s="879">
        <f>H15-H17-H18</f>
        <v>0</v>
      </c>
      <c r="I19" s="13"/>
      <c r="J19" s="40"/>
      <c r="K19" s="40"/>
      <c r="L19" s="101" t="s">
        <v>411</v>
      </c>
      <c r="M19" s="407">
        <f>Financials!Q5</f>
        <v>0</v>
      </c>
      <c r="N19" s="407">
        <f>Financials!AD5</f>
        <v>0</v>
      </c>
      <c r="O19" s="407">
        <f>Financials!AQ5</f>
        <v>0</v>
      </c>
      <c r="P19" s="407">
        <f>Financials!BD5</f>
        <v>0</v>
      </c>
      <c r="Q19" s="407">
        <f>Financials!BQ5</f>
        <v>0</v>
      </c>
      <c r="R19" s="40"/>
    </row>
    <row r="20" spans="1:20" ht="12" customHeight="1" x14ac:dyDescent="0.35">
      <c r="A20" s="13"/>
      <c r="B20" s="13"/>
      <c r="C20" s="1257"/>
      <c r="D20" s="84"/>
      <c r="E20" s="84"/>
      <c r="F20" s="84"/>
      <c r="G20" s="84"/>
      <c r="H20" s="84"/>
      <c r="I20" s="13"/>
      <c r="J20" s="40"/>
      <c r="K20" s="40"/>
      <c r="L20" s="101" t="s">
        <v>321</v>
      </c>
      <c r="M20" s="407">
        <f>SUM(Input!W1343:W1354)-M19</f>
        <v>0</v>
      </c>
      <c r="N20" s="407">
        <f>SUM(Input!W1355:W1366)-N19</f>
        <v>0</v>
      </c>
      <c r="O20" s="407">
        <f>SUM(Input!W1367:W1378)-O19</f>
        <v>0</v>
      </c>
      <c r="P20" s="407">
        <f>SUM(Input!W1379:W1390)-P19</f>
        <v>0</v>
      </c>
      <c r="Q20" s="407">
        <f>SUM(Input!W1391:W1402)-Q19</f>
        <v>0</v>
      </c>
      <c r="R20" s="40"/>
    </row>
    <row r="21" spans="1:20" ht="12" customHeight="1" x14ac:dyDescent="0.35">
      <c r="A21" s="13"/>
      <c r="B21" s="1002" t="s">
        <v>134</v>
      </c>
      <c r="C21" s="1258"/>
      <c r="D21" s="1282" t="str">
        <f>D8</f>
        <v>Year 1</v>
      </c>
      <c r="E21" s="1282" t="str">
        <f>E8</f>
        <v>Year 2</v>
      </c>
      <c r="F21" s="1282" t="str">
        <f>F8</f>
        <v>Year 3</v>
      </c>
      <c r="G21" s="1282" t="str">
        <f>G8</f>
        <v>Year 4</v>
      </c>
      <c r="H21" s="1282" t="str">
        <f>H8</f>
        <v>Year 5</v>
      </c>
      <c r="I21" s="13"/>
      <c r="J21" s="40"/>
      <c r="K21" s="40"/>
      <c r="L21" s="68" t="s">
        <v>284</v>
      </c>
      <c r="M21" s="408">
        <f>M19+M20</f>
        <v>0</v>
      </c>
      <c r="N21" s="408">
        <f>N19+N20</f>
        <v>0</v>
      </c>
      <c r="O21" s="408">
        <f>O19+O20</f>
        <v>0</v>
      </c>
      <c r="P21" s="408">
        <f>P19+P20</f>
        <v>0</v>
      </c>
      <c r="Q21" s="408">
        <f>Q19+Q20</f>
        <v>0</v>
      </c>
      <c r="R21" s="40"/>
    </row>
    <row r="22" spans="1:20" ht="12" customHeight="1" x14ac:dyDescent="0.35">
      <c r="A22" s="84"/>
      <c r="B22" s="84" t="s">
        <v>640</v>
      </c>
      <c r="C22" s="1253"/>
      <c r="D22" s="84">
        <f>Calcs!AH492</f>
        <v>0</v>
      </c>
      <c r="E22" s="84">
        <f>Calcs!AT492</f>
        <v>0</v>
      </c>
      <c r="F22" s="84">
        <f>Calcs!BF492</f>
        <v>0</v>
      </c>
      <c r="G22" s="84">
        <f>Calcs!BR492</f>
        <v>0</v>
      </c>
      <c r="H22" s="84">
        <f>Calcs!CD492</f>
        <v>0</v>
      </c>
      <c r="I22" s="13"/>
      <c r="J22" s="40"/>
      <c r="K22" s="40"/>
      <c r="L22" s="40"/>
      <c r="M22" s="40"/>
      <c r="N22" s="40"/>
      <c r="O22" s="40"/>
      <c r="P22" s="40"/>
      <c r="Q22" s="40"/>
      <c r="R22" s="40"/>
    </row>
    <row r="23" spans="1:20" ht="12" customHeight="1" x14ac:dyDescent="0.35">
      <c r="A23" s="84"/>
      <c r="B23" s="84" t="s">
        <v>641</v>
      </c>
      <c r="C23" s="1253"/>
      <c r="D23" s="484">
        <f>Financials!Q85</f>
        <v>0</v>
      </c>
      <c r="E23" s="484">
        <f>Financials!AD85</f>
        <v>0</v>
      </c>
      <c r="F23" s="484">
        <f>Financials!AQ85</f>
        <v>0</v>
      </c>
      <c r="G23" s="484">
        <f>Financials!BD85</f>
        <v>0</v>
      </c>
      <c r="H23" s="484">
        <f>Financials!BQ85</f>
        <v>0</v>
      </c>
      <c r="I23" s="13"/>
      <c r="J23" s="40"/>
      <c r="K23" s="40"/>
      <c r="L23" s="40"/>
      <c r="M23" s="40"/>
      <c r="N23" s="40"/>
      <c r="O23" s="40"/>
      <c r="P23" s="40"/>
      <c r="Q23" s="40"/>
      <c r="R23" s="40"/>
    </row>
    <row r="24" spans="1:20" ht="12" customHeight="1" x14ac:dyDescent="0.35">
      <c r="A24" s="84"/>
      <c r="B24" s="84" t="s">
        <v>642</v>
      </c>
      <c r="C24" s="1253"/>
      <c r="D24" s="84">
        <f>SUM(Input!AA108:AA157)</f>
        <v>0</v>
      </c>
      <c r="E24" s="84">
        <f>SUM(Input!AM108:AM157)</f>
        <v>0</v>
      </c>
      <c r="F24" s="84">
        <f>SUM(Input!AY108:AY157)</f>
        <v>0</v>
      </c>
      <c r="G24" s="84">
        <f>SUM(Input!BK108:BK157)</f>
        <v>0</v>
      </c>
      <c r="H24" s="84">
        <f>SUM(Input!BW108:BW157)</f>
        <v>0</v>
      </c>
      <c r="I24" s="13"/>
      <c r="J24" s="40"/>
      <c r="K24" s="40"/>
      <c r="L24" s="40"/>
      <c r="M24" s="40"/>
      <c r="N24" s="40"/>
      <c r="O24" s="40"/>
      <c r="P24" s="40"/>
      <c r="Q24" s="40"/>
      <c r="R24" s="40"/>
    </row>
    <row r="25" spans="1:20" ht="12" customHeight="1" x14ac:dyDescent="0.35">
      <c r="A25" s="84"/>
      <c r="B25" s="84" t="s">
        <v>643</v>
      </c>
      <c r="C25" s="1253"/>
      <c r="D25" s="484">
        <f>SUM(Financials!Q82:Q84)</f>
        <v>0</v>
      </c>
      <c r="E25" s="484">
        <f>SUM(Financials!AD82:AD84)</f>
        <v>0</v>
      </c>
      <c r="F25" s="484">
        <f>SUM(Financials!AQ82:AQ84)</f>
        <v>0</v>
      </c>
      <c r="G25" s="484">
        <f>SUM(Financials!BD82:BD84)</f>
        <v>0</v>
      </c>
      <c r="H25" s="484">
        <f>SUM(Financials!BQ82:BQ84)</f>
        <v>0</v>
      </c>
      <c r="I25" s="13"/>
      <c r="J25" s="40"/>
      <c r="K25" s="40"/>
      <c r="L25" s="40"/>
      <c r="M25" s="40"/>
      <c r="N25" s="40"/>
      <c r="O25" s="40"/>
      <c r="P25" s="40"/>
      <c r="Q25" s="40"/>
      <c r="R25" s="40"/>
    </row>
    <row r="26" spans="1:20" ht="12" customHeight="1" x14ac:dyDescent="0.35">
      <c r="A26" s="84"/>
      <c r="B26" s="1"/>
      <c r="C26" s="1259"/>
      <c r="D26" s="429"/>
      <c r="E26" s="429"/>
      <c r="F26" s="429"/>
      <c r="G26" s="429"/>
      <c r="H26" s="429"/>
      <c r="I26" s="13"/>
      <c r="J26" s="40"/>
      <c r="K26" s="40"/>
      <c r="L26" s="40"/>
      <c r="M26" s="40"/>
      <c r="N26" s="40"/>
      <c r="O26" s="40"/>
      <c r="P26" s="40"/>
      <c r="Q26" s="40"/>
      <c r="R26" s="40"/>
    </row>
    <row r="27" spans="1:20" ht="12" customHeight="1" x14ac:dyDescent="0.35">
      <c r="A27" s="84"/>
      <c r="B27" s="1002" t="s">
        <v>67</v>
      </c>
      <c r="C27" s="1258"/>
      <c r="D27" s="1282" t="str">
        <f>D21</f>
        <v>Year 1</v>
      </c>
      <c r="E27" s="1282" t="str">
        <f>E21</f>
        <v>Year 2</v>
      </c>
      <c r="F27" s="1282" t="str">
        <f>F21</f>
        <v>Year 3</v>
      </c>
      <c r="G27" s="1282" t="str">
        <f>G21</f>
        <v>Year 4</v>
      </c>
      <c r="H27" s="1282" t="str">
        <f>H21</f>
        <v>Year 5</v>
      </c>
      <c r="I27" s="13"/>
      <c r="J27" s="40"/>
      <c r="K27" s="40"/>
      <c r="L27" s="40"/>
      <c r="M27" s="40"/>
      <c r="N27" s="40"/>
      <c r="O27" s="40"/>
      <c r="P27" s="40"/>
      <c r="Q27" s="40"/>
      <c r="R27" s="40"/>
    </row>
    <row r="28" spans="1:20" ht="12" customHeight="1" x14ac:dyDescent="0.35">
      <c r="A28" s="84"/>
      <c r="B28" s="84" t="s">
        <v>644</v>
      </c>
      <c r="C28" s="1253"/>
      <c r="D28" s="84">
        <f>Calcs!AH416</f>
        <v>0</v>
      </c>
      <c r="E28" s="84">
        <f>Calcs!AT416</f>
        <v>0</v>
      </c>
      <c r="F28" s="84">
        <f>Calcs!BF416</f>
        <v>0</v>
      </c>
      <c r="G28" s="84">
        <f>Calcs!BR416</f>
        <v>0</v>
      </c>
      <c r="H28" s="84">
        <f>Calcs!CD416</f>
        <v>0</v>
      </c>
      <c r="I28" s="13" t="s">
        <v>645</v>
      </c>
      <c r="J28" s="40"/>
      <c r="K28" s="40"/>
      <c r="L28" s="40"/>
      <c r="M28" s="40"/>
      <c r="N28" s="40"/>
      <c r="O28" s="40"/>
      <c r="P28" s="40"/>
      <c r="Q28" s="40"/>
      <c r="R28" s="40"/>
    </row>
    <row r="29" spans="1:20" ht="12" customHeight="1" x14ac:dyDescent="0.35">
      <c r="A29" s="84"/>
      <c r="B29" s="84" t="s">
        <v>646</v>
      </c>
      <c r="C29" s="1253"/>
      <c r="D29" s="484">
        <f>Financials!Q78</f>
        <v>0</v>
      </c>
      <c r="E29" s="484">
        <f>Financials!AD78</f>
        <v>0</v>
      </c>
      <c r="F29" s="484">
        <f>Financials!AQ78</f>
        <v>0</v>
      </c>
      <c r="G29" s="484">
        <f>Financials!BD78</f>
        <v>0</v>
      </c>
      <c r="H29" s="484">
        <f>Financials!BQ78</f>
        <v>0</v>
      </c>
      <c r="I29" s="13"/>
      <c r="J29" s="40"/>
      <c r="K29" s="40"/>
      <c r="L29" s="40"/>
      <c r="M29" s="40"/>
      <c r="N29" s="40"/>
      <c r="O29" s="40"/>
      <c r="P29" s="40"/>
      <c r="Q29" s="40"/>
      <c r="R29" s="40"/>
    </row>
    <row r="30" spans="1:20" ht="12" customHeight="1" x14ac:dyDescent="0.35">
      <c r="A30" s="84"/>
      <c r="B30" s="84" t="s">
        <v>647</v>
      </c>
      <c r="C30" s="1253"/>
      <c r="D30" s="84">
        <f>Calcs!AH418</f>
        <v>0</v>
      </c>
      <c r="E30" s="84">
        <f>Calcs!AT418</f>
        <v>0</v>
      </c>
      <c r="F30" s="84">
        <f>Calcs!BF418</f>
        <v>0</v>
      </c>
      <c r="G30" s="84">
        <f>Calcs!BR418</f>
        <v>0</v>
      </c>
      <c r="H30" s="84">
        <f>Calcs!CD418</f>
        <v>0</v>
      </c>
      <c r="I30" s="13"/>
      <c r="J30" s="40"/>
      <c r="K30" s="40"/>
      <c r="L30" s="40"/>
      <c r="M30" s="40"/>
      <c r="N30" s="40"/>
      <c r="O30" s="40"/>
      <c r="P30" s="40"/>
      <c r="Q30" s="40"/>
      <c r="R30" s="40"/>
    </row>
    <row r="31" spans="1:20" ht="12" customHeight="1" x14ac:dyDescent="0.35">
      <c r="A31" s="84"/>
      <c r="B31" s="84" t="s">
        <v>648</v>
      </c>
      <c r="C31" s="1253"/>
      <c r="D31" s="484">
        <f>Financials!Q134</f>
        <v>0</v>
      </c>
      <c r="E31" s="484">
        <f>Financials!AD134</f>
        <v>0</v>
      </c>
      <c r="F31" s="484">
        <f>Financials!AQ134</f>
        <v>0</v>
      </c>
      <c r="G31" s="484">
        <f>Financials!BD134</f>
        <v>0</v>
      </c>
      <c r="H31" s="484">
        <f>Financials!BQ134</f>
        <v>0</v>
      </c>
      <c r="I31" s="13"/>
      <c r="J31" s="40"/>
      <c r="K31" s="40"/>
      <c r="L31" s="40"/>
      <c r="M31" s="40"/>
      <c r="N31" s="40"/>
      <c r="O31" s="40"/>
      <c r="P31" s="40"/>
      <c r="Q31" s="40"/>
      <c r="R31" s="40"/>
    </row>
    <row r="32" spans="1:20" ht="12" customHeight="1" x14ac:dyDescent="0.35">
      <c r="A32" s="84"/>
      <c r="B32" s="84"/>
      <c r="C32" s="1253"/>
      <c r="D32" s="84"/>
      <c r="E32" s="84"/>
      <c r="F32" s="84"/>
      <c r="G32" s="84"/>
      <c r="H32" s="84"/>
      <c r="I32" s="13"/>
      <c r="J32" s="40"/>
      <c r="K32" s="40"/>
      <c r="L32" s="40"/>
      <c r="M32" s="40"/>
      <c r="N32" s="40"/>
      <c r="O32" s="40"/>
      <c r="P32" s="40"/>
      <c r="Q32" s="40"/>
      <c r="R32" s="40"/>
    </row>
    <row r="33" spans="1:18" ht="12" customHeight="1" x14ac:dyDescent="0.35">
      <c r="A33" s="84"/>
      <c r="B33" s="1002" t="s">
        <v>162</v>
      </c>
      <c r="C33" s="1282" t="s">
        <v>649</v>
      </c>
      <c r="D33" s="1282" t="str">
        <f>D27</f>
        <v>Year 1</v>
      </c>
      <c r="E33" s="1282" t="str">
        <f>E27</f>
        <v>Year 2</v>
      </c>
      <c r="F33" s="1282" t="str">
        <f>F27</f>
        <v>Year 3</v>
      </c>
      <c r="G33" s="1282" t="str">
        <f>G27</f>
        <v>Year 4</v>
      </c>
      <c r="H33" s="1282" t="str">
        <f>H27</f>
        <v>Year 5</v>
      </c>
      <c r="I33" s="13"/>
      <c r="J33" s="40"/>
      <c r="K33" s="40"/>
      <c r="L33" s="40"/>
      <c r="M33" s="40"/>
      <c r="N33" s="40"/>
      <c r="O33" s="40"/>
      <c r="P33" s="40"/>
      <c r="Q33" s="40"/>
      <c r="R33" s="40"/>
    </row>
    <row r="34" spans="1:18" ht="12" customHeight="1" x14ac:dyDescent="0.35">
      <c r="A34" s="429"/>
      <c r="B34" s="84" t="s">
        <v>389</v>
      </c>
      <c r="C34" s="427">
        <f>SUMIFS(Input!G239:G258,Input!H239:H258,"&lt;"&amp;Infrastructure!B9,Input!I239:I258,"&gt;0")</f>
        <v>0</v>
      </c>
      <c r="D34" s="427">
        <f>-Financials!Q163</f>
        <v>0</v>
      </c>
      <c r="E34" s="427">
        <f>-Financials!AD163</f>
        <v>0</v>
      </c>
      <c r="F34" s="427">
        <f>-Financials!AQ163</f>
        <v>0</v>
      </c>
      <c r="G34" s="427">
        <f>-Financials!BD163</f>
        <v>0</v>
      </c>
      <c r="H34" s="427">
        <f>-Financials!BQ163</f>
        <v>0</v>
      </c>
      <c r="I34" s="13"/>
      <c r="J34" s="40"/>
      <c r="K34" s="40"/>
      <c r="L34" s="40"/>
      <c r="M34" s="40"/>
      <c r="N34" s="40"/>
      <c r="O34" s="40"/>
      <c r="P34" s="40"/>
      <c r="Q34" s="40"/>
      <c r="R34" s="40"/>
    </row>
    <row r="35" spans="1:18" ht="12" customHeight="1" x14ac:dyDescent="0.35">
      <c r="A35" s="429"/>
      <c r="B35" s="84" t="s">
        <v>390</v>
      </c>
      <c r="C35" s="427">
        <f>SUMIFS(Input!G262:G271,Input!H262:H271,"&lt;"&amp;Infrastructure!B9,Input!I262:I271,"&gt;0")</f>
        <v>0</v>
      </c>
      <c r="D35" s="427">
        <f>-Financials!Q164</f>
        <v>0</v>
      </c>
      <c r="E35" s="427">
        <f>-Financials!AD164</f>
        <v>0</v>
      </c>
      <c r="F35" s="427">
        <f>-Financials!AQ164</f>
        <v>0</v>
      </c>
      <c r="G35" s="427">
        <f>-Financials!BD164</f>
        <v>0</v>
      </c>
      <c r="H35" s="427">
        <f>-Financials!BQ164</f>
        <v>0</v>
      </c>
      <c r="I35" s="13"/>
      <c r="J35" s="40"/>
      <c r="K35" s="40"/>
      <c r="L35" s="40"/>
    </row>
    <row r="36" spans="1:18" ht="12" customHeight="1" x14ac:dyDescent="0.35">
      <c r="A36" s="429"/>
      <c r="B36" s="84"/>
      <c r="C36" s="84"/>
      <c r="D36" s="84"/>
      <c r="E36" s="84"/>
      <c r="F36" s="84"/>
      <c r="G36" s="84"/>
      <c r="H36" s="84"/>
      <c r="I36" s="13"/>
      <c r="J36" s="40"/>
      <c r="K36" s="40"/>
      <c r="L36" s="40"/>
    </row>
    <row r="37" spans="1:18" ht="12" customHeight="1" x14ac:dyDescent="0.35">
      <c r="A37" s="1"/>
      <c r="B37" s="1002" t="s">
        <v>182</v>
      </c>
      <c r="C37" s="1282" t="s">
        <v>649</v>
      </c>
      <c r="D37" s="1282" t="str">
        <f>D33</f>
        <v>Year 1</v>
      </c>
      <c r="E37" s="1282" t="str">
        <f>E33</f>
        <v>Year 2</v>
      </c>
      <c r="F37" s="1282" t="str">
        <f>F33</f>
        <v>Year 3</v>
      </c>
      <c r="G37" s="1282" t="str">
        <f>G33</f>
        <v>Year 4</v>
      </c>
      <c r="H37" s="1282" t="str">
        <f>H33</f>
        <v>Year 5</v>
      </c>
      <c r="I37" s="13"/>
      <c r="J37" s="40"/>
      <c r="K37" s="40"/>
      <c r="L37" s="40"/>
    </row>
    <row r="38" spans="1:18" ht="12" customHeight="1" x14ac:dyDescent="0.35">
      <c r="A38" s="1"/>
      <c r="B38" s="433" t="str">
        <f>Calcs!W761</f>
        <v>Infusion</v>
      </c>
      <c r="C38" s="484">
        <f>Calcs!AC800+SUMIF(Calcs!Y789:Y791,"&lt;"&amp;Infrastructure!D70,Calcs!Z789:Z791)</f>
        <v>0</v>
      </c>
      <c r="D38" s="484">
        <f>Calcs!X761</f>
        <v>0</v>
      </c>
      <c r="E38" s="484">
        <f>Calcs!Y761</f>
        <v>0</v>
      </c>
      <c r="F38" s="484">
        <f>Calcs!Z761</f>
        <v>0</v>
      </c>
      <c r="G38" s="484">
        <f>Calcs!AA761</f>
        <v>0</v>
      </c>
      <c r="H38" s="484">
        <f>Calcs!AB761</f>
        <v>0</v>
      </c>
      <c r="I38" s="13"/>
      <c r="J38" s="40"/>
      <c r="K38" s="40"/>
      <c r="L38" s="40"/>
    </row>
    <row r="39" spans="1:18" ht="12" customHeight="1" x14ac:dyDescent="0.35">
      <c r="A39" s="1"/>
      <c r="B39" s="433" t="str">
        <f>Calcs!W762</f>
        <v>Interest</v>
      </c>
      <c r="C39" s="484">
        <f>Input!D1562</f>
        <v>0</v>
      </c>
      <c r="D39" s="484">
        <f>Calcs!X762</f>
        <v>0</v>
      </c>
      <c r="E39" s="484">
        <f>Calcs!Y762</f>
        <v>0</v>
      </c>
      <c r="F39" s="484">
        <f>Calcs!Z762</f>
        <v>0</v>
      </c>
      <c r="G39" s="484">
        <f>Calcs!AA762</f>
        <v>0</v>
      </c>
      <c r="H39" s="484">
        <f>Calcs!AB762</f>
        <v>0</v>
      </c>
      <c r="I39" s="13"/>
      <c r="J39" s="40"/>
      <c r="K39" s="40"/>
      <c r="L39" s="40"/>
    </row>
    <row r="40" spans="1:18" ht="12" customHeight="1" x14ac:dyDescent="0.35">
      <c r="A40" s="1"/>
      <c r="B40" s="433" t="s">
        <v>494</v>
      </c>
      <c r="C40" s="484">
        <f>Input!D1560+Input!D1561+Input!D1566</f>
        <v>0</v>
      </c>
      <c r="D40" s="484">
        <f>Calcs!X763</f>
        <v>0</v>
      </c>
      <c r="E40" s="484">
        <f>Calcs!Y763</f>
        <v>0</v>
      </c>
      <c r="F40" s="484">
        <f>Calcs!Z763</f>
        <v>0</v>
      </c>
      <c r="G40" s="484">
        <f>Calcs!AA763</f>
        <v>0</v>
      </c>
      <c r="H40" s="484">
        <f>Calcs!AB763</f>
        <v>0</v>
      </c>
      <c r="I40" s="13"/>
      <c r="J40" s="40"/>
      <c r="K40" s="40"/>
      <c r="L40" s="40"/>
    </row>
    <row r="41" spans="1:18" ht="12" customHeight="1" x14ac:dyDescent="0.35">
      <c r="A41" s="1"/>
      <c r="B41" s="84" t="s">
        <v>187</v>
      </c>
      <c r="C41" s="484">
        <f>Calcs!AD779+Calcs!AD784+Calcs!AD789</f>
        <v>0</v>
      </c>
      <c r="D41" s="484">
        <f>Calcs!X777</f>
        <v>0</v>
      </c>
      <c r="E41" s="484">
        <f>Calcs!Y777</f>
        <v>0</v>
      </c>
      <c r="F41" s="484">
        <f>Calcs!Z777</f>
        <v>0</v>
      </c>
      <c r="G41" s="484">
        <f>Calcs!AA777</f>
        <v>0</v>
      </c>
      <c r="H41" s="484">
        <f>Calcs!AB777</f>
        <v>0</v>
      </c>
      <c r="I41" s="13"/>
      <c r="J41" s="40"/>
      <c r="K41" s="40"/>
      <c r="L41" s="40"/>
    </row>
    <row r="42" spans="1:18" ht="12" customHeight="1" x14ac:dyDescent="0.35">
      <c r="A42" s="1"/>
      <c r="C42" s="1355"/>
      <c r="D42" s="209"/>
      <c r="E42" s="209"/>
      <c r="F42" s="209"/>
      <c r="G42" s="209"/>
      <c r="H42" s="209"/>
      <c r="I42" s="13"/>
      <c r="J42" s="40"/>
      <c r="K42" s="40"/>
      <c r="L42" s="40"/>
    </row>
    <row r="43" spans="1:18" ht="12" customHeight="1" x14ac:dyDescent="0.35">
      <c r="A43" s="1"/>
      <c r="B43" s="1002" t="s">
        <v>176</v>
      </c>
      <c r="C43" s="1282" t="s">
        <v>649</v>
      </c>
      <c r="D43" s="1282" t="str">
        <f>D37</f>
        <v>Year 1</v>
      </c>
      <c r="E43" s="1282" t="str">
        <f>E37</f>
        <v>Year 2</v>
      </c>
      <c r="F43" s="1282" t="str">
        <f>F37</f>
        <v>Year 3</v>
      </c>
      <c r="G43" s="1282" t="str">
        <f>G37</f>
        <v>Year 4</v>
      </c>
      <c r="H43" s="1282" t="str">
        <f>H37</f>
        <v>Year 5</v>
      </c>
      <c r="I43" s="13"/>
      <c r="J43" s="40"/>
      <c r="K43" s="40"/>
      <c r="L43" s="40"/>
    </row>
    <row r="44" spans="1:18" ht="12" customHeight="1" x14ac:dyDescent="0.35">
      <c r="A44" s="1"/>
      <c r="B44" s="84" t="s">
        <v>650</v>
      </c>
      <c r="C44" s="484">
        <f>Calcs!AC806</f>
        <v>0</v>
      </c>
      <c r="D44" s="484">
        <f>IF(SUM(Input!$D$279:$F$288)=0,0,-SUM(Calcs!CN824:CY833))</f>
        <v>0</v>
      </c>
      <c r="E44" s="484">
        <f>IF(SUM(Input!$D$279:$F$288)=0,0,-SUM(Calcs!CZ824:DK833))</f>
        <v>0</v>
      </c>
      <c r="F44" s="484">
        <f>IF(SUM(Input!$D$279:$F$288)=0,0,-SUM(Calcs!DL824:DW833))</f>
        <v>0</v>
      </c>
      <c r="G44" s="484">
        <f>IF(SUM(Input!$D$279:$F$288)=0,0,-SUM(Calcs!DX824:EI833))</f>
        <v>0</v>
      </c>
      <c r="H44" s="484">
        <f>IF(SUM(Input!$D$279:$F$288)=0,0,-SUM(Calcs!EJ824:EU833))</f>
        <v>0</v>
      </c>
      <c r="I44" s="13"/>
      <c r="J44" s="40"/>
      <c r="K44" s="40"/>
      <c r="L44" s="40"/>
    </row>
    <row r="45" spans="1:18" ht="12" customHeight="1" x14ac:dyDescent="0.35">
      <c r="A45" s="1"/>
      <c r="B45" s="84" t="s">
        <v>62</v>
      </c>
      <c r="C45" s="484">
        <f>SUMIF(Input!H279:H288,"&lt;"&amp;Input!D20,Input!G279:G288)</f>
        <v>0</v>
      </c>
      <c r="D45" s="484">
        <f>Calcs!X784</f>
        <v>0</v>
      </c>
      <c r="E45" s="484">
        <f>Calcs!Y784</f>
        <v>0</v>
      </c>
      <c r="F45" s="484">
        <f>Calcs!Z784</f>
        <v>0</v>
      </c>
      <c r="G45" s="484">
        <f>Calcs!AA784</f>
        <v>0</v>
      </c>
      <c r="H45" s="484">
        <f>Calcs!AB784</f>
        <v>0</v>
      </c>
      <c r="I45" s="13"/>
      <c r="J45" s="40"/>
      <c r="K45" s="40"/>
      <c r="L45" s="40"/>
    </row>
    <row r="46" spans="1:18" ht="12" customHeight="1" x14ac:dyDescent="0.35">
      <c r="D46" s="209"/>
      <c r="E46" s="209"/>
      <c r="F46" s="209"/>
      <c r="G46" s="209"/>
      <c r="H46" s="209"/>
      <c r="I46" s="13"/>
      <c r="J46" s="40"/>
      <c r="K46" s="40"/>
      <c r="L46" s="40"/>
    </row>
    <row r="47" spans="1:18" ht="12" customHeight="1" x14ac:dyDescent="0.35">
      <c r="A47" s="1"/>
      <c r="B47" s="84"/>
      <c r="C47" s="84"/>
      <c r="D47" s="84"/>
      <c r="E47" s="84"/>
      <c r="F47" s="84"/>
      <c r="G47" s="84"/>
      <c r="H47" s="84"/>
      <c r="I47" s="13"/>
      <c r="J47" s="40"/>
      <c r="K47" s="40"/>
      <c r="L47" s="40"/>
    </row>
    <row r="48" spans="1:18" ht="12" customHeight="1" x14ac:dyDescent="0.35">
      <c r="A48" s="1"/>
      <c r="B48" s="84"/>
      <c r="C48" s="84"/>
      <c r="D48" s="84"/>
      <c r="E48" s="84"/>
      <c r="F48" s="84"/>
      <c r="G48" s="84"/>
      <c r="H48" s="84"/>
      <c r="I48" s="13"/>
      <c r="J48" s="40"/>
      <c r="K48" s="40"/>
      <c r="L48" s="40"/>
    </row>
    <row r="49" spans="1:12" ht="12" customHeight="1" x14ac:dyDescent="0.35">
      <c r="A49" s="1"/>
      <c r="B49" s="84"/>
      <c r="C49" s="84"/>
      <c r="D49" s="84"/>
      <c r="E49" s="84"/>
      <c r="F49" s="84"/>
      <c r="G49" s="84"/>
      <c r="H49" s="84"/>
      <c r="I49" s="13"/>
      <c r="J49" s="40"/>
      <c r="K49" s="40"/>
      <c r="L49" s="40"/>
    </row>
    <row r="50" spans="1:12" ht="12" customHeight="1" x14ac:dyDescent="0.35">
      <c r="A50" s="1"/>
      <c r="B50" s="84"/>
      <c r="C50" s="84"/>
      <c r="D50" s="84"/>
      <c r="E50" s="84"/>
      <c r="F50" s="84"/>
      <c r="G50" s="84"/>
      <c r="H50" s="84"/>
      <c r="I50" s="13"/>
      <c r="J50" s="40"/>
      <c r="K50" s="40"/>
      <c r="L50" s="40"/>
    </row>
    <row r="51" spans="1:12" ht="12" customHeight="1" x14ac:dyDescent="0.35">
      <c r="A51" s="1"/>
      <c r="B51" s="84"/>
      <c r="C51" s="84"/>
      <c r="D51" s="84"/>
      <c r="E51" s="84"/>
      <c r="F51" s="84"/>
      <c r="G51" s="84"/>
      <c r="H51" s="84"/>
      <c r="I51" s="13"/>
      <c r="J51" s="40"/>
      <c r="K51" s="40"/>
      <c r="L51" s="40"/>
    </row>
    <row r="52" spans="1:12" ht="12" customHeight="1" x14ac:dyDescent="0.35">
      <c r="A52" s="1"/>
      <c r="B52" s="84"/>
      <c r="C52" s="84"/>
      <c r="D52" s="84"/>
      <c r="E52" s="84"/>
      <c r="F52" s="84"/>
      <c r="G52" s="84"/>
      <c r="H52" s="84"/>
      <c r="I52" s="13"/>
      <c r="J52" s="40"/>
      <c r="K52" s="40"/>
      <c r="L52" s="40"/>
    </row>
    <row r="53" spans="1:12" ht="12" customHeight="1" x14ac:dyDescent="0.35">
      <c r="A53" s="1"/>
      <c r="B53" s="84"/>
      <c r="C53" s="84"/>
      <c r="D53" s="13"/>
      <c r="E53" s="13"/>
      <c r="F53" s="13"/>
      <c r="G53" s="13"/>
      <c r="H53" s="13"/>
      <c r="I53" s="13"/>
      <c r="J53" s="40"/>
      <c r="K53" s="40"/>
      <c r="L53" s="40"/>
    </row>
    <row r="54" spans="1:12" ht="12" customHeight="1" x14ac:dyDescent="0.35">
      <c r="A54" s="1"/>
      <c r="B54" s="84"/>
      <c r="C54" s="84"/>
      <c r="D54" s="13"/>
      <c r="E54" s="13"/>
      <c r="F54" s="13"/>
      <c r="G54" s="13"/>
      <c r="H54" s="13"/>
      <c r="I54" s="13"/>
      <c r="J54" s="40"/>
      <c r="K54" s="40"/>
      <c r="L54" s="40"/>
    </row>
    <row r="55" spans="1:12" ht="12" customHeight="1" x14ac:dyDescent="0.35">
      <c r="A55" s="1"/>
      <c r="B55" s="84"/>
      <c r="C55" s="84"/>
      <c r="D55" s="13"/>
      <c r="E55" s="13"/>
      <c r="F55" s="13"/>
      <c r="G55" s="13"/>
      <c r="H55" s="13"/>
      <c r="I55" s="13"/>
      <c r="J55" s="40"/>
      <c r="K55" s="40"/>
      <c r="L55" s="40"/>
    </row>
    <row r="56" spans="1:12" ht="12" customHeight="1" x14ac:dyDescent="0.35">
      <c r="A56" s="1"/>
      <c r="B56" s="84"/>
      <c r="C56" s="84"/>
      <c r="D56" s="13"/>
      <c r="E56" s="13"/>
      <c r="F56" s="13"/>
      <c r="G56" s="13"/>
      <c r="H56" s="13"/>
      <c r="I56" s="13"/>
      <c r="J56" s="40"/>
      <c r="K56" s="40"/>
      <c r="L56" s="40"/>
    </row>
    <row r="57" spans="1:12" ht="12" customHeight="1" x14ac:dyDescent="0.35">
      <c r="A57" s="1"/>
      <c r="B57" s="84"/>
      <c r="C57" s="84"/>
      <c r="D57" s="13"/>
      <c r="E57" s="13"/>
      <c r="F57" s="13"/>
      <c r="G57" s="13"/>
      <c r="H57" s="13"/>
      <c r="I57" s="13"/>
      <c r="J57" s="40"/>
      <c r="K57" s="40"/>
      <c r="L57" s="40"/>
    </row>
    <row r="58" spans="1:12" ht="12" customHeight="1" x14ac:dyDescent="0.35">
      <c r="A58" s="1"/>
      <c r="B58" s="84"/>
      <c r="C58" s="84"/>
      <c r="D58" s="13"/>
      <c r="E58" s="13"/>
      <c r="F58" s="13"/>
      <c r="G58" s="13"/>
      <c r="H58" s="13"/>
      <c r="I58" s="13"/>
      <c r="J58" s="40"/>
      <c r="K58" s="40"/>
      <c r="L58" s="40"/>
    </row>
    <row r="59" spans="1:12" ht="12" customHeight="1" x14ac:dyDescent="0.35">
      <c r="A59" s="1"/>
      <c r="B59" s="84"/>
      <c r="C59" s="84"/>
      <c r="D59" s="13"/>
      <c r="E59" s="13"/>
      <c r="F59" s="13"/>
      <c r="G59" s="13"/>
      <c r="H59" s="13"/>
      <c r="I59" s="13"/>
      <c r="J59" s="40"/>
      <c r="K59" s="40"/>
      <c r="L59" s="40"/>
    </row>
    <row r="60" spans="1:12" ht="12" customHeight="1" x14ac:dyDescent="0.35">
      <c r="A60" s="1"/>
      <c r="B60" s="84"/>
      <c r="C60" s="84"/>
      <c r="D60" s="13"/>
      <c r="E60" s="13"/>
      <c r="F60" s="13"/>
      <c r="G60" s="13"/>
      <c r="H60" s="13"/>
      <c r="I60" s="13"/>
      <c r="J60" s="40"/>
      <c r="K60" s="40"/>
      <c r="L60" s="40"/>
    </row>
    <row r="61" spans="1:12" ht="12" customHeight="1" x14ac:dyDescent="0.35">
      <c r="A61" s="1"/>
      <c r="B61" s="84"/>
      <c r="C61" s="84"/>
      <c r="D61" s="13"/>
      <c r="E61" s="13"/>
      <c r="F61" s="13"/>
      <c r="G61" s="13"/>
      <c r="H61" s="13"/>
      <c r="I61" s="13"/>
      <c r="J61" s="40"/>
      <c r="K61" s="40"/>
      <c r="L61" s="40"/>
    </row>
    <row r="62" spans="1:12" ht="12" customHeight="1" x14ac:dyDescent="0.35">
      <c r="A62" s="1"/>
      <c r="B62" s="84"/>
      <c r="C62" s="84"/>
      <c r="D62" s="13"/>
      <c r="E62" s="13"/>
      <c r="F62" s="13"/>
      <c r="G62" s="13"/>
      <c r="H62" s="13"/>
      <c r="I62" s="13"/>
      <c r="J62" s="40"/>
      <c r="K62" s="40"/>
      <c r="L62" s="40"/>
    </row>
    <row r="63" spans="1:12" ht="12" customHeight="1" x14ac:dyDescent="0.35">
      <c r="A63" s="1"/>
      <c r="B63" s="84"/>
      <c r="C63" s="84"/>
      <c r="D63" s="13"/>
      <c r="E63" s="13"/>
      <c r="F63" s="13"/>
      <c r="G63" s="13"/>
      <c r="H63" s="13"/>
      <c r="I63" s="13"/>
      <c r="J63" s="40"/>
      <c r="K63" s="40"/>
      <c r="L63" s="40"/>
    </row>
    <row r="64" spans="1:12" ht="12" customHeight="1" x14ac:dyDescent="0.35">
      <c r="A64" s="1"/>
      <c r="B64" s="84"/>
      <c r="C64" s="84"/>
      <c r="D64" s="13"/>
      <c r="E64" s="13"/>
      <c r="F64" s="13"/>
      <c r="G64" s="13"/>
      <c r="H64" s="13"/>
      <c r="I64" s="13"/>
      <c r="J64" s="40"/>
      <c r="K64" s="40"/>
      <c r="L64" s="40"/>
    </row>
    <row r="65" spans="1:12" ht="12" customHeight="1" x14ac:dyDescent="0.35">
      <c r="A65" s="1"/>
      <c r="B65" s="84"/>
      <c r="C65" s="84"/>
      <c r="D65" s="13"/>
      <c r="E65" s="13"/>
      <c r="F65" s="13"/>
      <c r="G65" s="13"/>
      <c r="H65" s="13"/>
      <c r="I65" s="13"/>
      <c r="J65" s="40"/>
      <c r="K65" s="40"/>
      <c r="L65" s="40"/>
    </row>
    <row r="66" spans="1:12" ht="12" customHeight="1" x14ac:dyDescent="0.35">
      <c r="A66" s="1"/>
      <c r="B66" s="84"/>
      <c r="C66" s="84"/>
      <c r="D66" s="13"/>
      <c r="E66" s="13"/>
      <c r="F66" s="13"/>
      <c r="G66" s="13"/>
      <c r="H66" s="13"/>
      <c r="I66" s="13"/>
      <c r="J66" s="40"/>
      <c r="K66" s="40"/>
      <c r="L66" s="40"/>
    </row>
    <row r="67" spans="1:12" ht="12" customHeight="1" x14ac:dyDescent="0.35">
      <c r="A67" s="1"/>
      <c r="B67" s="84"/>
      <c r="C67" s="84"/>
      <c r="D67" s="13"/>
      <c r="E67" s="13"/>
      <c r="F67" s="13"/>
      <c r="G67" s="13"/>
      <c r="H67" s="13"/>
      <c r="I67" s="13"/>
      <c r="J67" s="40"/>
      <c r="K67" s="40"/>
      <c r="L67" s="40"/>
    </row>
    <row r="68" spans="1:12" ht="12" customHeight="1" x14ac:dyDescent="0.35">
      <c r="A68" s="1"/>
      <c r="B68" s="84"/>
      <c r="C68" s="84"/>
      <c r="D68" s="13"/>
      <c r="E68" s="13"/>
      <c r="F68" s="13"/>
      <c r="G68" s="13"/>
      <c r="H68" s="13"/>
      <c r="I68" s="13"/>
      <c r="J68" s="40"/>
      <c r="K68" s="40"/>
      <c r="L68" s="40"/>
    </row>
    <row r="69" spans="1:12" ht="12" customHeight="1" x14ac:dyDescent="0.35">
      <c r="A69" s="1"/>
      <c r="B69" s="84"/>
      <c r="C69" s="84"/>
      <c r="D69" s="13"/>
      <c r="E69" s="13"/>
      <c r="F69" s="13"/>
      <c r="G69" s="13"/>
      <c r="H69" s="13"/>
      <c r="I69" s="13"/>
      <c r="J69" s="40"/>
      <c r="K69" s="40"/>
      <c r="L69" s="40"/>
    </row>
    <row r="70" spans="1:12" ht="12" customHeight="1" x14ac:dyDescent="0.35">
      <c r="A70" s="1"/>
      <c r="B70" s="84"/>
      <c r="C70" s="84"/>
      <c r="D70" s="13"/>
      <c r="E70" s="13"/>
      <c r="F70" s="13"/>
      <c r="G70" s="13"/>
      <c r="H70" s="13"/>
      <c r="I70" s="13"/>
      <c r="J70" s="40"/>
      <c r="K70" s="40"/>
      <c r="L70" s="40"/>
    </row>
    <row r="71" spans="1:12" ht="12" customHeight="1" x14ac:dyDescent="0.35">
      <c r="A71" s="1"/>
      <c r="B71" s="84"/>
      <c r="C71" s="84"/>
      <c r="D71" s="13"/>
      <c r="E71" s="13"/>
      <c r="F71" s="13"/>
      <c r="G71" s="13"/>
      <c r="H71" s="13"/>
      <c r="I71" s="13"/>
      <c r="J71" s="40"/>
      <c r="K71" s="40"/>
      <c r="L71" s="40"/>
    </row>
    <row r="72" spans="1:12" ht="12" customHeight="1" x14ac:dyDescent="0.35">
      <c r="A72" s="1"/>
      <c r="B72" s="84"/>
      <c r="C72" s="84"/>
      <c r="D72" s="13"/>
      <c r="E72" s="13"/>
      <c r="F72" s="13"/>
      <c r="G72" s="13"/>
      <c r="H72" s="13"/>
      <c r="I72" s="13"/>
      <c r="J72" s="40"/>
      <c r="K72" s="40"/>
      <c r="L72" s="40"/>
    </row>
    <row r="73" spans="1:12" ht="12" customHeight="1" x14ac:dyDescent="0.35">
      <c r="A73" s="1"/>
      <c r="B73" s="84"/>
      <c r="C73" s="84"/>
      <c r="D73" s="13"/>
      <c r="E73" s="13"/>
      <c r="F73" s="13"/>
      <c r="G73" s="13"/>
      <c r="H73" s="13"/>
      <c r="I73" s="13"/>
      <c r="J73" s="40"/>
      <c r="K73" s="40"/>
      <c r="L73" s="40"/>
    </row>
    <row r="74" spans="1:12" ht="12" customHeight="1" x14ac:dyDescent="0.35">
      <c r="A74" s="1"/>
      <c r="B74" s="84"/>
      <c r="C74" s="84"/>
      <c r="D74" s="13"/>
      <c r="E74" s="13"/>
      <c r="F74" s="13"/>
      <c r="G74" s="13"/>
      <c r="H74" s="13"/>
      <c r="I74" s="13"/>
      <c r="J74" s="40"/>
      <c r="K74" s="40"/>
      <c r="L74" s="40"/>
    </row>
    <row r="75" spans="1:12" ht="12" customHeight="1" x14ac:dyDescent="0.35">
      <c r="A75" s="1"/>
      <c r="B75" s="84"/>
      <c r="C75" s="84"/>
      <c r="D75" s="13"/>
      <c r="E75" s="13"/>
      <c r="F75" s="13"/>
      <c r="G75" s="13"/>
      <c r="H75" s="13"/>
      <c r="I75" s="13"/>
      <c r="J75" s="40"/>
      <c r="K75" s="40"/>
      <c r="L75" s="40"/>
    </row>
    <row r="76" spans="1:12" ht="12" customHeight="1" x14ac:dyDescent="0.35">
      <c r="A76" s="1"/>
      <c r="B76" s="84"/>
      <c r="C76" s="84"/>
      <c r="D76" s="13"/>
      <c r="E76" s="13"/>
      <c r="F76" s="13"/>
      <c r="G76" s="13"/>
      <c r="H76" s="13"/>
      <c r="I76" s="13"/>
      <c r="J76" s="40"/>
      <c r="K76" s="40"/>
      <c r="L76" s="40"/>
    </row>
    <row r="77" spans="1:12" ht="12" customHeight="1" x14ac:dyDescent="0.35">
      <c r="A77" s="1"/>
      <c r="B77" s="84"/>
      <c r="C77" s="84"/>
      <c r="D77" s="13"/>
      <c r="E77" s="13"/>
      <c r="F77" s="13"/>
      <c r="G77" s="13"/>
      <c r="H77" s="13"/>
      <c r="I77" s="13"/>
      <c r="J77" s="40"/>
      <c r="K77" s="40"/>
      <c r="L77" s="40"/>
    </row>
    <row r="78" spans="1:12" ht="12" customHeight="1" x14ac:dyDescent="0.35">
      <c r="A78" s="1"/>
      <c r="B78" s="84"/>
      <c r="C78" s="84"/>
      <c r="D78" s="13"/>
      <c r="E78" s="13"/>
      <c r="F78" s="13"/>
      <c r="G78" s="13"/>
      <c r="H78" s="13"/>
      <c r="I78" s="13"/>
      <c r="J78" s="40"/>
      <c r="K78" s="40"/>
      <c r="L78" s="40"/>
    </row>
    <row r="79" spans="1:12" ht="12" customHeight="1" x14ac:dyDescent="0.35">
      <c r="A79" s="1"/>
      <c r="B79" s="84"/>
      <c r="C79" s="84"/>
      <c r="D79" s="13"/>
      <c r="E79" s="13"/>
      <c r="F79" s="13"/>
      <c r="G79" s="13"/>
      <c r="H79" s="13"/>
      <c r="I79" s="13"/>
      <c r="J79" s="40"/>
      <c r="K79" s="40"/>
      <c r="L79" s="40"/>
    </row>
    <row r="80" spans="1:12" ht="12" customHeight="1" x14ac:dyDescent="0.35">
      <c r="A80" s="1"/>
      <c r="B80" s="84"/>
      <c r="C80" s="84"/>
      <c r="D80" s="13"/>
      <c r="E80" s="13"/>
      <c r="F80" s="13"/>
      <c r="G80" s="13"/>
      <c r="H80" s="13"/>
      <c r="I80" s="13"/>
      <c r="J80" s="40"/>
      <c r="K80" s="40"/>
      <c r="L80" s="40"/>
    </row>
    <row r="81" spans="1:12" ht="12" customHeight="1" x14ac:dyDescent="0.35">
      <c r="A81" s="1"/>
      <c r="B81" s="84"/>
      <c r="C81" s="84"/>
      <c r="D81" s="13"/>
      <c r="E81" s="13"/>
      <c r="F81" s="13"/>
      <c r="G81" s="13"/>
      <c r="H81" s="13"/>
      <c r="I81" s="13"/>
      <c r="J81" s="40"/>
      <c r="K81" s="40"/>
      <c r="L81" s="40"/>
    </row>
    <row r="82" spans="1:12" ht="12" customHeight="1" x14ac:dyDescent="0.35">
      <c r="A82" s="1"/>
      <c r="B82" s="84"/>
      <c r="C82" s="84"/>
      <c r="D82" s="13"/>
      <c r="E82" s="13"/>
      <c r="F82" s="13"/>
      <c r="G82" s="13"/>
      <c r="H82" s="13"/>
      <c r="I82" s="13"/>
      <c r="J82" s="40"/>
      <c r="K82" s="40"/>
      <c r="L82" s="40"/>
    </row>
    <row r="83" spans="1:12" ht="12" customHeight="1" x14ac:dyDescent="0.35">
      <c r="A83" s="1"/>
      <c r="B83" s="84"/>
      <c r="C83" s="84"/>
      <c r="D83" s="13"/>
      <c r="E83" s="13"/>
      <c r="F83" s="13"/>
      <c r="G83" s="13"/>
      <c r="H83" s="13"/>
      <c r="I83" s="13"/>
      <c r="J83" s="40"/>
      <c r="K83" s="40"/>
      <c r="L83" s="40"/>
    </row>
    <row r="84" spans="1:12" ht="12" customHeight="1" x14ac:dyDescent="0.35">
      <c r="A84" s="1"/>
      <c r="B84" s="84"/>
      <c r="C84" s="84"/>
      <c r="D84" s="13"/>
      <c r="E84" s="13"/>
      <c r="F84" s="13"/>
      <c r="G84" s="13"/>
      <c r="H84" s="13"/>
      <c r="I84" s="13"/>
      <c r="J84" s="40"/>
      <c r="K84" s="40"/>
      <c r="L84" s="40"/>
    </row>
    <row r="85" spans="1:12" ht="12" customHeight="1" x14ac:dyDescent="0.35">
      <c r="A85" s="1"/>
      <c r="B85" s="84"/>
      <c r="C85" s="84"/>
      <c r="D85" s="13"/>
      <c r="E85" s="13"/>
      <c r="F85" s="13"/>
      <c r="G85" s="13"/>
      <c r="H85" s="13"/>
      <c r="I85" s="13"/>
      <c r="J85" s="40"/>
      <c r="K85" s="40"/>
      <c r="L85" s="40"/>
    </row>
    <row r="86" spans="1:12" ht="12" customHeight="1" x14ac:dyDescent="0.35">
      <c r="A86" s="1"/>
      <c r="B86" s="84"/>
      <c r="C86" s="84"/>
      <c r="D86" s="13"/>
      <c r="E86" s="13"/>
      <c r="F86" s="13"/>
      <c r="G86" s="13"/>
      <c r="H86" s="13"/>
      <c r="I86" s="13"/>
      <c r="J86" s="40"/>
      <c r="K86" s="40"/>
      <c r="L86" s="40"/>
    </row>
    <row r="87" spans="1:12" ht="12" customHeight="1" x14ac:dyDescent="0.35">
      <c r="A87" s="1"/>
      <c r="B87" s="84"/>
      <c r="C87" s="84"/>
      <c r="D87" s="13"/>
      <c r="E87" s="13"/>
      <c r="F87" s="13"/>
      <c r="G87" s="13"/>
      <c r="H87" s="13"/>
      <c r="I87" s="13"/>
      <c r="J87" s="40"/>
      <c r="K87" s="40"/>
      <c r="L87" s="40"/>
    </row>
    <row r="88" spans="1:12" ht="12" customHeight="1" x14ac:dyDescent="0.35">
      <c r="A88" s="1"/>
      <c r="B88" s="84"/>
      <c r="C88" s="84"/>
      <c r="D88" s="13"/>
      <c r="E88" s="13"/>
      <c r="F88" s="13"/>
      <c r="G88" s="13"/>
      <c r="H88" s="13"/>
      <c r="I88" s="13"/>
      <c r="J88" s="40"/>
      <c r="K88" s="40"/>
      <c r="L88" s="40"/>
    </row>
    <row r="89" spans="1:12" ht="12" customHeight="1" x14ac:dyDescent="0.35">
      <c r="A89" s="1"/>
      <c r="B89" s="84"/>
      <c r="C89" s="84"/>
      <c r="D89" s="13"/>
      <c r="E89" s="13"/>
      <c r="F89" s="13"/>
      <c r="G89" s="13"/>
      <c r="H89" s="13"/>
      <c r="I89" s="13"/>
      <c r="J89" s="40"/>
      <c r="K89" s="40"/>
      <c r="L89" s="40"/>
    </row>
    <row r="90" spans="1:12" ht="12" customHeight="1" x14ac:dyDescent="0.35">
      <c r="A90" s="1"/>
      <c r="B90" s="84"/>
      <c r="C90" s="84"/>
      <c r="D90" s="13"/>
      <c r="E90" s="13"/>
      <c r="F90" s="13"/>
      <c r="G90" s="13"/>
      <c r="H90" s="13"/>
      <c r="I90" s="13"/>
      <c r="J90" s="40"/>
      <c r="K90" s="40"/>
      <c r="L90" s="40"/>
    </row>
    <row r="91" spans="1:12" ht="12" customHeight="1" x14ac:dyDescent="0.35">
      <c r="A91" s="1"/>
      <c r="B91" s="84"/>
      <c r="C91" s="84"/>
      <c r="D91" s="13"/>
      <c r="E91" s="13"/>
      <c r="F91" s="13"/>
      <c r="G91" s="13"/>
      <c r="H91" s="13"/>
      <c r="I91" s="13"/>
      <c r="J91" s="40"/>
      <c r="K91" s="40"/>
      <c r="L91" s="40"/>
    </row>
    <row r="92" spans="1:12" ht="12" customHeight="1" x14ac:dyDescent="0.35">
      <c r="A92" s="1"/>
      <c r="B92" s="84"/>
      <c r="C92" s="84"/>
      <c r="D92" s="13"/>
      <c r="E92" s="13"/>
      <c r="F92" s="13"/>
      <c r="G92" s="13"/>
      <c r="H92" s="13"/>
      <c r="I92" s="13"/>
      <c r="J92" s="40"/>
      <c r="K92" s="40"/>
      <c r="L92" s="40"/>
    </row>
    <row r="93" spans="1:12" ht="12" customHeight="1" x14ac:dyDescent="0.35">
      <c r="A93" s="1"/>
      <c r="B93" s="84"/>
      <c r="C93" s="84"/>
      <c r="D93" s="13"/>
      <c r="E93" s="13"/>
      <c r="F93" s="13"/>
      <c r="G93" s="13"/>
      <c r="H93" s="13"/>
      <c r="I93" s="13"/>
      <c r="J93" s="40"/>
      <c r="K93" s="40"/>
      <c r="L93" s="40"/>
    </row>
    <row r="94" spans="1:12" ht="12" customHeight="1" x14ac:dyDescent="0.35">
      <c r="A94" s="1"/>
      <c r="B94" s="84"/>
      <c r="C94" s="84"/>
      <c r="D94" s="13"/>
      <c r="E94" s="13"/>
      <c r="F94" s="13"/>
      <c r="G94" s="13"/>
      <c r="H94" s="13"/>
      <c r="I94" s="13"/>
      <c r="J94" s="40"/>
      <c r="K94" s="40"/>
      <c r="L94" s="40"/>
    </row>
    <row r="95" spans="1:12" ht="12" customHeight="1" x14ac:dyDescent="0.35">
      <c r="A95" s="1"/>
      <c r="B95" s="84"/>
      <c r="C95" s="84"/>
      <c r="D95" s="13"/>
      <c r="E95" s="13"/>
      <c r="F95" s="13"/>
      <c r="G95" s="13"/>
      <c r="H95" s="13"/>
      <c r="I95" s="13"/>
      <c r="J95" s="40"/>
      <c r="K95" s="40"/>
      <c r="L95" s="40"/>
    </row>
    <row r="96" spans="1:12" ht="12" customHeight="1" x14ac:dyDescent="0.35">
      <c r="A96" s="1"/>
      <c r="B96" s="84"/>
      <c r="C96" s="84"/>
      <c r="D96" s="13"/>
      <c r="E96" s="13"/>
      <c r="F96" s="13"/>
      <c r="G96" s="13"/>
      <c r="H96" s="13"/>
      <c r="I96" s="13"/>
      <c r="J96" s="40"/>
      <c r="K96" s="40"/>
      <c r="L96" s="40"/>
    </row>
    <row r="97" spans="1:12" ht="12" customHeight="1" x14ac:dyDescent="0.35">
      <c r="A97" s="1"/>
      <c r="B97" s="84"/>
      <c r="C97" s="84"/>
      <c r="D97" s="13"/>
      <c r="E97" s="13"/>
      <c r="F97" s="13"/>
      <c r="G97" s="13"/>
      <c r="H97" s="13"/>
      <c r="I97" s="13"/>
      <c r="J97" s="40"/>
      <c r="K97" s="40"/>
      <c r="L97" s="40"/>
    </row>
    <row r="98" spans="1:12" ht="12" customHeight="1" x14ac:dyDescent="0.35">
      <c r="A98" s="1"/>
      <c r="B98" s="84"/>
      <c r="C98" s="84"/>
      <c r="D98" s="13"/>
      <c r="E98" s="13"/>
      <c r="F98" s="13"/>
      <c r="G98" s="13"/>
      <c r="H98" s="13"/>
      <c r="I98" s="13"/>
      <c r="J98" s="40"/>
      <c r="K98" s="40"/>
      <c r="L98" s="40"/>
    </row>
    <row r="99" spans="1:12" ht="12" customHeight="1" x14ac:dyDescent="0.35">
      <c r="A99" s="1"/>
      <c r="B99" s="84"/>
      <c r="C99" s="84"/>
      <c r="D99" s="13"/>
      <c r="E99" s="13"/>
      <c r="F99" s="13"/>
      <c r="G99" s="13"/>
      <c r="H99" s="13"/>
      <c r="I99" s="13"/>
      <c r="J99" s="40"/>
      <c r="K99" s="40"/>
      <c r="L99" s="40"/>
    </row>
    <row r="100" spans="1:12" ht="12" customHeight="1" x14ac:dyDescent="0.35">
      <c r="A100" s="1"/>
      <c r="B100" s="84"/>
      <c r="C100" s="84"/>
      <c r="D100" s="13"/>
      <c r="E100" s="13"/>
      <c r="F100" s="13"/>
      <c r="G100" s="13"/>
      <c r="H100" s="13"/>
      <c r="I100" s="13"/>
      <c r="J100" s="40"/>
      <c r="K100" s="40"/>
      <c r="L100" s="40"/>
    </row>
    <row r="101" spans="1:12" ht="12" customHeight="1" x14ac:dyDescent="0.35">
      <c r="A101" s="1"/>
      <c r="B101" s="84"/>
      <c r="C101" s="84"/>
      <c r="D101" s="13"/>
      <c r="E101" s="13"/>
      <c r="F101" s="13"/>
      <c r="G101" s="13"/>
      <c r="H101" s="13"/>
      <c r="I101" s="13"/>
      <c r="J101" s="40"/>
      <c r="K101" s="40"/>
      <c r="L101" s="40"/>
    </row>
    <row r="102" spans="1:12" ht="12" customHeight="1" x14ac:dyDescent="0.35">
      <c r="A102" s="1"/>
      <c r="B102" s="84"/>
      <c r="C102" s="84"/>
      <c r="D102" s="13"/>
      <c r="E102" s="13"/>
      <c r="F102" s="13"/>
      <c r="G102" s="13"/>
      <c r="H102" s="13"/>
      <c r="I102" s="13"/>
      <c r="J102" s="40"/>
      <c r="K102" s="40"/>
      <c r="L102" s="40"/>
    </row>
    <row r="103" spans="1:12" ht="12" customHeight="1" x14ac:dyDescent="0.35">
      <c r="A103" s="1"/>
      <c r="B103" s="84"/>
      <c r="C103" s="84"/>
      <c r="D103" s="13"/>
      <c r="E103" s="13"/>
      <c r="F103" s="13"/>
      <c r="G103" s="13"/>
      <c r="H103" s="13"/>
      <c r="I103" s="13"/>
      <c r="J103" s="40"/>
      <c r="K103" s="40"/>
      <c r="L103" s="40"/>
    </row>
    <row r="104" spans="1:12" ht="12" customHeight="1" x14ac:dyDescent="0.35">
      <c r="A104" s="1"/>
      <c r="B104" s="84"/>
      <c r="C104" s="84"/>
      <c r="D104" s="13"/>
      <c r="E104" s="13"/>
      <c r="F104" s="13"/>
      <c r="G104" s="13"/>
      <c r="H104" s="13"/>
      <c r="I104" s="13"/>
      <c r="J104" s="40"/>
      <c r="K104" s="40"/>
      <c r="L104" s="40"/>
    </row>
    <row r="105" spans="1:12" ht="12" customHeight="1" x14ac:dyDescent="0.35">
      <c r="A105" s="1"/>
      <c r="B105" s="84"/>
      <c r="C105" s="84"/>
      <c r="D105" s="13"/>
      <c r="E105" s="13"/>
      <c r="F105" s="13"/>
      <c r="G105" s="13"/>
      <c r="H105" s="13"/>
      <c r="I105" s="13"/>
      <c r="J105" s="40"/>
      <c r="K105" s="40"/>
      <c r="L105" s="40"/>
    </row>
    <row r="106" spans="1:12" ht="12" customHeight="1" x14ac:dyDescent="0.35">
      <c r="A106" s="1"/>
      <c r="B106" s="84"/>
      <c r="C106" s="84"/>
      <c r="D106" s="13"/>
      <c r="E106" s="13"/>
      <c r="F106" s="13"/>
      <c r="G106" s="13"/>
      <c r="H106" s="13"/>
      <c r="I106" s="13"/>
      <c r="J106" s="40"/>
      <c r="K106" s="40"/>
      <c r="L106" s="40"/>
    </row>
    <row r="107" spans="1:12" ht="12" customHeight="1" x14ac:dyDescent="0.35">
      <c r="A107" s="1"/>
      <c r="B107" s="84"/>
      <c r="C107" s="84"/>
      <c r="D107" s="13"/>
      <c r="E107" s="13"/>
      <c r="F107" s="13"/>
      <c r="G107" s="13"/>
      <c r="H107" s="13"/>
      <c r="I107" s="13"/>
      <c r="J107" s="40"/>
      <c r="K107" s="40"/>
      <c r="L107" s="40"/>
    </row>
    <row r="108" spans="1:12" ht="12" customHeight="1" x14ac:dyDescent="0.35">
      <c r="A108" s="1"/>
      <c r="B108" s="84"/>
      <c r="C108" s="84"/>
      <c r="D108" s="13"/>
      <c r="E108" s="13"/>
      <c r="F108" s="13"/>
      <c r="G108" s="13"/>
      <c r="H108" s="13"/>
      <c r="I108" s="13"/>
      <c r="J108" s="40"/>
      <c r="K108" s="40"/>
      <c r="L108" s="40"/>
    </row>
    <row r="109" spans="1:12" ht="12" customHeight="1" x14ac:dyDescent="0.35">
      <c r="A109" s="1"/>
      <c r="B109" s="84"/>
      <c r="C109" s="84"/>
      <c r="D109" s="13"/>
      <c r="E109" s="13"/>
      <c r="F109" s="13"/>
      <c r="G109" s="13"/>
      <c r="H109" s="13"/>
      <c r="I109" s="13"/>
      <c r="J109" s="40"/>
      <c r="K109" s="40"/>
      <c r="L109" s="40"/>
    </row>
    <row r="110" spans="1:12" ht="12" customHeight="1" x14ac:dyDescent="0.35">
      <c r="A110" s="1"/>
      <c r="B110" s="84"/>
      <c r="C110" s="84"/>
      <c r="D110" s="13"/>
      <c r="E110" s="13"/>
      <c r="F110" s="13"/>
      <c r="G110" s="13"/>
      <c r="H110" s="13"/>
      <c r="I110" s="13"/>
      <c r="J110" s="40"/>
      <c r="K110" s="40"/>
      <c r="L110" s="40"/>
    </row>
    <row r="111" spans="1:12" ht="12" customHeight="1" x14ac:dyDescent="0.35">
      <c r="A111" s="1"/>
      <c r="B111" s="84"/>
      <c r="C111" s="84"/>
      <c r="D111" s="13"/>
      <c r="E111" s="13"/>
      <c r="F111" s="13"/>
      <c r="G111" s="13"/>
      <c r="H111" s="13"/>
      <c r="I111" s="13"/>
      <c r="J111" s="40"/>
      <c r="K111" s="40"/>
      <c r="L111" s="40"/>
    </row>
    <row r="112" spans="1:12" ht="12" customHeight="1" x14ac:dyDescent="0.35">
      <c r="A112" s="1"/>
      <c r="B112" s="84"/>
      <c r="C112" s="84"/>
      <c r="D112" s="13"/>
      <c r="E112" s="13"/>
      <c r="F112" s="13"/>
      <c r="G112" s="13"/>
      <c r="H112" s="13"/>
      <c r="I112" s="13"/>
      <c r="J112" s="40"/>
      <c r="K112" s="40"/>
      <c r="L112" s="40"/>
    </row>
    <row r="113" spans="1:12" ht="12" customHeight="1" x14ac:dyDescent="0.35">
      <c r="A113" s="1"/>
      <c r="B113" s="84"/>
      <c r="C113" s="84"/>
      <c r="D113" s="13"/>
      <c r="E113" s="13"/>
      <c r="F113" s="13"/>
      <c r="G113" s="13"/>
      <c r="H113" s="13"/>
      <c r="I113" s="13"/>
      <c r="J113" s="40"/>
      <c r="K113" s="40"/>
      <c r="L113" s="40"/>
    </row>
    <row r="114" spans="1:12" ht="12" customHeight="1" x14ac:dyDescent="0.35">
      <c r="A114" s="1"/>
      <c r="B114" s="84"/>
      <c r="C114" s="84"/>
      <c r="D114" s="13"/>
      <c r="E114" s="13"/>
      <c r="F114" s="13"/>
      <c r="G114" s="13"/>
      <c r="H114" s="13"/>
      <c r="I114" s="13"/>
      <c r="J114" s="40"/>
      <c r="K114" s="40"/>
      <c r="L114" s="40"/>
    </row>
    <row r="115" spans="1:12" ht="12" customHeight="1" x14ac:dyDescent="0.35">
      <c r="A115" s="1"/>
      <c r="B115" s="84"/>
      <c r="C115" s="84"/>
      <c r="D115" s="13"/>
      <c r="E115" s="13"/>
      <c r="F115" s="13"/>
      <c r="G115" s="13"/>
      <c r="H115" s="13"/>
      <c r="I115" s="13"/>
      <c r="J115" s="40"/>
      <c r="K115" s="40"/>
      <c r="L115" s="40"/>
    </row>
    <row r="116" spans="1:12" ht="12" customHeight="1" x14ac:dyDescent="0.35">
      <c r="A116" s="1"/>
      <c r="B116" s="84"/>
      <c r="C116" s="84"/>
      <c r="D116" s="13"/>
      <c r="E116" s="13"/>
      <c r="F116" s="13"/>
      <c r="G116" s="13"/>
      <c r="H116" s="13"/>
      <c r="I116" s="13"/>
      <c r="J116" s="40"/>
      <c r="K116" s="40"/>
      <c r="L116" s="40"/>
    </row>
    <row r="117" spans="1:12" ht="12" customHeight="1" x14ac:dyDescent="0.35">
      <c r="A117" s="1"/>
      <c r="B117" s="84"/>
      <c r="C117" s="84"/>
      <c r="D117" s="13"/>
      <c r="E117" s="13"/>
      <c r="F117" s="13"/>
      <c r="G117" s="13"/>
      <c r="H117" s="13"/>
      <c r="I117" s="13"/>
      <c r="J117" s="40"/>
      <c r="K117" s="40"/>
      <c r="L117" s="40"/>
    </row>
    <row r="118" spans="1:12" ht="12" customHeight="1" x14ac:dyDescent="0.35">
      <c r="A118" s="1"/>
      <c r="B118" s="84"/>
      <c r="C118" s="84"/>
      <c r="D118" s="13"/>
      <c r="E118" s="13"/>
      <c r="F118" s="13"/>
      <c r="G118" s="13"/>
      <c r="H118" s="13"/>
      <c r="I118" s="13"/>
      <c r="J118" s="40"/>
      <c r="K118" s="40"/>
      <c r="L118" s="40"/>
    </row>
    <row r="119" spans="1:12" ht="12" customHeight="1" x14ac:dyDescent="0.35">
      <c r="A119" s="1"/>
      <c r="B119" s="84"/>
      <c r="C119" s="84"/>
      <c r="D119" s="13"/>
      <c r="E119" s="13"/>
      <c r="F119" s="13"/>
      <c r="G119" s="13"/>
      <c r="H119" s="13"/>
      <c r="I119" s="13"/>
      <c r="J119" s="40"/>
      <c r="K119" s="40"/>
      <c r="L119" s="40"/>
    </row>
    <row r="120" spans="1:12" ht="12" customHeight="1" x14ac:dyDescent="0.35">
      <c r="A120" s="1"/>
      <c r="B120" s="84"/>
      <c r="C120" s="84"/>
      <c r="D120" s="13"/>
      <c r="E120" s="13"/>
      <c r="F120" s="13"/>
      <c r="G120" s="13"/>
      <c r="H120" s="13"/>
      <c r="I120" s="13"/>
      <c r="J120" s="40"/>
      <c r="K120" s="40"/>
      <c r="L120" s="40"/>
    </row>
    <row r="121" spans="1:12" ht="12" customHeight="1" x14ac:dyDescent="0.35">
      <c r="A121" s="1"/>
      <c r="B121" s="84"/>
      <c r="C121" s="84"/>
      <c r="D121" s="13"/>
      <c r="E121" s="13"/>
      <c r="F121" s="13"/>
      <c r="G121" s="13"/>
      <c r="H121" s="13"/>
      <c r="I121" s="13"/>
      <c r="J121" s="40"/>
      <c r="K121" s="40"/>
      <c r="L121" s="40"/>
    </row>
    <row r="122" spans="1:12" ht="12" customHeight="1" x14ac:dyDescent="0.35">
      <c r="A122" s="1"/>
      <c r="B122" s="84"/>
      <c r="C122" s="84"/>
      <c r="D122" s="13"/>
      <c r="E122" s="13"/>
      <c r="F122" s="13"/>
      <c r="G122" s="13"/>
      <c r="H122" s="13"/>
      <c r="I122" s="13"/>
      <c r="J122" s="40"/>
      <c r="K122" s="40"/>
      <c r="L122" s="40"/>
    </row>
    <row r="123" spans="1:12" ht="12" customHeight="1" x14ac:dyDescent="0.35">
      <c r="A123" s="1"/>
      <c r="B123" s="84"/>
      <c r="C123" s="84"/>
      <c r="D123" s="13"/>
      <c r="E123" s="13"/>
      <c r="F123" s="13"/>
      <c r="G123" s="13"/>
      <c r="H123" s="13"/>
      <c r="I123" s="13"/>
      <c r="J123" s="40"/>
      <c r="K123" s="40"/>
      <c r="L123" s="40"/>
    </row>
    <row r="124" spans="1:12" ht="12" customHeight="1" x14ac:dyDescent="0.35">
      <c r="A124" s="1"/>
      <c r="B124" s="84"/>
      <c r="C124" s="84"/>
      <c r="D124" s="13"/>
      <c r="E124" s="13"/>
      <c r="F124" s="13"/>
      <c r="G124" s="13"/>
      <c r="H124" s="13"/>
      <c r="I124" s="13"/>
      <c r="J124" s="40"/>
      <c r="K124" s="40"/>
      <c r="L124" s="40"/>
    </row>
    <row r="125" spans="1:12" ht="12" customHeight="1" x14ac:dyDescent="0.35">
      <c r="A125" s="1"/>
      <c r="B125" s="84"/>
      <c r="C125" s="84"/>
      <c r="D125" s="13"/>
      <c r="E125" s="13"/>
      <c r="F125" s="13"/>
      <c r="G125" s="13"/>
      <c r="H125" s="13"/>
      <c r="I125" s="13"/>
      <c r="J125" s="40"/>
      <c r="K125" s="40"/>
      <c r="L125" s="40"/>
    </row>
    <row r="126" spans="1:12" ht="12" customHeight="1" x14ac:dyDescent="0.35">
      <c r="A126" s="1"/>
      <c r="B126" s="84"/>
      <c r="C126" s="84"/>
      <c r="D126" s="13"/>
      <c r="E126" s="13"/>
      <c r="F126" s="13"/>
      <c r="G126" s="13"/>
      <c r="H126" s="13"/>
      <c r="I126" s="13"/>
      <c r="J126" s="40"/>
      <c r="K126" s="40"/>
      <c r="L126" s="40"/>
    </row>
    <row r="127" spans="1:12" ht="12" customHeight="1" x14ac:dyDescent="0.35">
      <c r="A127" s="1"/>
      <c r="B127" s="84"/>
      <c r="C127" s="84"/>
      <c r="D127" s="13"/>
      <c r="E127" s="13"/>
      <c r="F127" s="13"/>
      <c r="G127" s="13"/>
      <c r="H127" s="13"/>
      <c r="I127" s="13"/>
      <c r="J127" s="40"/>
      <c r="K127" s="40"/>
      <c r="L127" s="40"/>
    </row>
    <row r="128" spans="1:12" ht="12" customHeight="1" x14ac:dyDescent="0.35">
      <c r="B128" s="101"/>
      <c r="C128" s="101"/>
      <c r="D128" s="40"/>
      <c r="E128" s="40"/>
      <c r="F128" s="40"/>
      <c r="G128" s="40"/>
      <c r="H128" s="40"/>
      <c r="I128" s="40"/>
      <c r="J128" s="40"/>
      <c r="K128" s="40"/>
      <c r="L128" s="40"/>
    </row>
    <row r="129" spans="2:12" ht="12" customHeight="1" x14ac:dyDescent="0.35">
      <c r="B129" s="101"/>
      <c r="C129" s="101"/>
      <c r="D129" s="40"/>
      <c r="E129" s="40"/>
      <c r="F129" s="40"/>
      <c r="G129" s="40"/>
      <c r="H129" s="40"/>
      <c r="I129" s="40"/>
      <c r="J129" s="40"/>
      <c r="K129" s="40"/>
      <c r="L129" s="40"/>
    </row>
    <row r="130" spans="2:12" ht="12" customHeight="1" x14ac:dyDescent="0.35">
      <c r="B130" s="101"/>
      <c r="C130" s="101"/>
      <c r="D130" s="40"/>
      <c r="E130" s="40"/>
      <c r="F130" s="40"/>
      <c r="G130" s="40"/>
      <c r="H130" s="40"/>
      <c r="I130" s="40"/>
      <c r="J130" s="40"/>
      <c r="K130" s="40"/>
      <c r="L130" s="40"/>
    </row>
    <row r="131" spans="2:12" ht="12" customHeight="1" x14ac:dyDescent="0.35">
      <c r="B131" s="101"/>
      <c r="C131" s="101"/>
      <c r="D131" s="40"/>
      <c r="E131" s="40"/>
      <c r="F131" s="40"/>
      <c r="G131" s="40"/>
      <c r="H131" s="40"/>
      <c r="I131" s="40"/>
      <c r="J131" s="40"/>
      <c r="K131" s="40"/>
      <c r="L131" s="40"/>
    </row>
    <row r="132" spans="2:12" ht="12" customHeight="1" x14ac:dyDescent="0.35">
      <c r="B132" s="40"/>
      <c r="C132" s="40"/>
      <c r="D132" s="40"/>
      <c r="E132" s="40"/>
      <c r="F132" s="40"/>
      <c r="G132" s="40"/>
      <c r="H132" s="40"/>
      <c r="I132" s="40"/>
      <c r="J132" s="40"/>
      <c r="K132" s="40"/>
      <c r="L132" s="40"/>
    </row>
    <row r="133" spans="2:12" ht="12" customHeight="1" x14ac:dyDescent="0.35">
      <c r="B133" s="40"/>
      <c r="C133" s="40"/>
      <c r="D133" s="40"/>
      <c r="E133" s="40"/>
      <c r="F133" s="40"/>
      <c r="G133" s="40"/>
      <c r="H133" s="40"/>
      <c r="I133" s="40"/>
      <c r="J133" s="40"/>
      <c r="K133" s="40"/>
      <c r="L133" s="40"/>
    </row>
    <row r="134" spans="2:12" x14ac:dyDescent="0.35">
      <c r="B134" s="40"/>
      <c r="C134" s="40"/>
      <c r="D134" s="40"/>
      <c r="E134" s="40"/>
      <c r="F134" s="40"/>
      <c r="G134" s="40"/>
      <c r="H134" s="40"/>
      <c r="I134" s="40"/>
      <c r="J134" s="40"/>
      <c r="K134" s="40"/>
      <c r="L134" s="40"/>
    </row>
    <row r="135" spans="2:12" x14ac:dyDescent="0.35">
      <c r="B135" s="40"/>
      <c r="C135" s="40"/>
      <c r="D135" s="40"/>
      <c r="E135" s="40"/>
      <c r="F135" s="40"/>
      <c r="G135" s="40"/>
      <c r="H135" s="40"/>
      <c r="I135" s="40"/>
      <c r="J135" s="40"/>
      <c r="K135" s="40"/>
      <c r="L135" s="40"/>
    </row>
  </sheetData>
  <sheetProtection algorithmName="SHA-512" hashValue="o1aQhNcqhMse3cdC2DdJ1NF8v6piw1o1k5eu+oGUyM8hzGOLbxwUCqwKl1Zr6HkSlWtGDv3d9mbBvEWUipwVHg==" saltValue="BUhHULM1CWjIyyfoPjEKqQ==" spinCount="100000" sheet="1" objects="1" scenarios="1"/>
  <conditionalFormatting sqref="B2:C2 B8 B21:C21 B27:C27 B33 B37 B43">
    <cfRule type="expression" dxfId="84" priority="6">
      <formula>(Mode="Dark")</formula>
    </cfRule>
  </conditionalFormatting>
  <conditionalFormatting sqref="G8:H45">
    <cfRule type="expression" dxfId="83" priority="1">
      <formula>Years="Three"</formula>
    </cfRule>
  </conditionalFormatting>
  <pageMargins left="0.7" right="0.7" top="0.75" bottom="0.75" header="0.3" footer="0.3"/>
  <pageSetup orientation="portrait" r:id="rId1"/>
  <extLst>
    <ext xmlns:x14="http://schemas.microsoft.com/office/spreadsheetml/2009/9/main" uri="{05C60535-1F16-4fd2-B633-F4F36F0B64E0}">
      <x14:sparklineGroups xmlns:xm="http://schemas.microsoft.com/office/excel/2006/main">
        <x14:sparklineGroup manualMax="0" manualMin="0" displayEmptyCellsAs="gap" xr2:uid="{06BEAEE0-A921-4B38-A0F3-40E7626A053A}">
          <x14:colorSeries rgb="FF376092"/>
          <x14:colorNegative rgb="FFD00000"/>
          <x14:colorAxis rgb="FF000000"/>
          <x14:colorMarkers rgb="FFD00000"/>
          <x14:colorFirst rgb="FFD00000"/>
          <x14:colorLast rgb="FFD00000"/>
          <x14:colorHigh rgb="FFD00000"/>
          <x14:colorLow rgb="FFD00000"/>
          <x14:sparklines>
            <x14:sparkline>
              <xm:f>Summary!M13:Q13</xm:f>
              <xm:sqref>R13</xm:sqref>
            </x14:sparkline>
          </x14:sparklines>
        </x14:sparklineGroup>
        <x14:sparklineGroup manualMax="0" manualMin="0" displayEmptyCellsAs="gap" xr2:uid="{14E40194-5044-4560-BE0F-C6393174012E}">
          <x14:colorSeries rgb="FF376092"/>
          <x14:colorNegative rgb="FFD00000"/>
          <x14:colorAxis rgb="FF000000"/>
          <x14:colorMarkers rgb="FFD00000"/>
          <x14:colorFirst rgb="FFD00000"/>
          <x14:colorLast rgb="FFD00000"/>
          <x14:colorHigh rgb="FFD00000"/>
          <x14:colorLow rgb="FFD00000"/>
          <x14:sparklines>
            <x14:sparkline>
              <xm:f>Summary!M21:Q21</xm:f>
              <xm:sqref>R21</xm:sqref>
            </x14:sparkline>
          </x14:sparklines>
        </x14:sparklineGroup>
      </x14:sparklineGroup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5DD19-F483-4289-931B-C6404B8CB9E8}">
  <sheetPr codeName="Sheet12"/>
  <dimension ref="D1:EU185"/>
  <sheetViews>
    <sheetView showGridLines="0" showRowColHeaders="0" workbookViewId="0">
      <selection activeCell="V59" sqref="V59"/>
    </sheetView>
  </sheetViews>
  <sheetFormatPr defaultColWidth="9" defaultRowHeight="13" x14ac:dyDescent="0.3"/>
  <cols>
    <col min="1" max="1" width="9" style="40"/>
    <col min="2" max="3" width="1.75" style="40" customWidth="1"/>
    <col min="4" max="4" width="9.25" style="40" customWidth="1"/>
    <col min="5" max="110" width="1.75" style="40" customWidth="1"/>
    <col min="111" max="111" width="4.25" style="40" customWidth="1"/>
    <col min="112" max="112" width="8.75" style="40" customWidth="1"/>
    <col min="113" max="252" width="1.75" style="40" customWidth="1"/>
    <col min="253" max="16384" width="9" style="40"/>
  </cols>
  <sheetData>
    <row r="1" spans="135:151" x14ac:dyDescent="0.3">
      <c r="EE1" s="82"/>
      <c r="EF1" s="82"/>
      <c r="EG1" s="82"/>
      <c r="EH1" s="82"/>
      <c r="EI1" s="1025" t="str">
        <f>Infrastructure!G5</f>
        <v>Breakeven: No Breakeven</v>
      </c>
      <c r="EJ1" s="82"/>
      <c r="EK1" s="82"/>
      <c r="EL1" s="82"/>
      <c r="EM1" s="82"/>
      <c r="EN1" s="82"/>
      <c r="EO1" s="82"/>
      <c r="EP1" s="82"/>
      <c r="EQ1" s="82"/>
      <c r="ER1" s="82"/>
      <c r="ES1" s="82"/>
      <c r="ET1" s="82"/>
      <c r="EU1" s="82"/>
    </row>
    <row r="28" spans="4:64" ht="13.5" thickBot="1" x14ac:dyDescent="0.35"/>
    <row r="29" spans="4:64" x14ac:dyDescent="0.3">
      <c r="D29" s="781" t="s">
        <v>651</v>
      </c>
      <c r="E29" s="739">
        <f>IFERROR(Calcs!I56,0)</f>
        <v>0</v>
      </c>
      <c r="F29" s="740">
        <f>IFERROR(Calcs!J56,0)</f>
        <v>0</v>
      </c>
      <c r="G29" s="740">
        <f>IFERROR(Calcs!K56,0)</f>
        <v>0</v>
      </c>
      <c r="H29" s="740">
        <f>IFERROR(Calcs!L56,0)</f>
        <v>0</v>
      </c>
      <c r="I29" s="740">
        <f>IFERROR(Calcs!M56,0)</f>
        <v>0</v>
      </c>
      <c r="J29" s="740">
        <f>IFERROR(Calcs!N56,0)</f>
        <v>0</v>
      </c>
      <c r="K29" s="740">
        <f>IFERROR(Calcs!O56,0)</f>
        <v>0</v>
      </c>
      <c r="L29" s="740">
        <f>IFERROR(Calcs!P56,0)</f>
        <v>0</v>
      </c>
      <c r="M29" s="740">
        <f>IFERROR(Calcs!Q56,0)</f>
        <v>0</v>
      </c>
      <c r="N29" s="740">
        <f>IFERROR(Calcs!R56,0)</f>
        <v>0</v>
      </c>
      <c r="O29" s="740">
        <f>IFERROR(Calcs!S56,0)</f>
        <v>0</v>
      </c>
      <c r="P29" s="740">
        <f>IFERROR(Calcs!T56,0)</f>
        <v>0</v>
      </c>
      <c r="Q29" s="740">
        <f>IFERROR(Calcs!U56,0)</f>
        <v>0</v>
      </c>
      <c r="R29" s="740">
        <f>IFERROR(Calcs!V56,0)</f>
        <v>0</v>
      </c>
      <c r="S29" s="740">
        <f>IFERROR(Calcs!W56,0)</f>
        <v>0</v>
      </c>
      <c r="T29" s="740">
        <f>IFERROR(Calcs!X56,0)</f>
        <v>0</v>
      </c>
      <c r="U29" s="740">
        <f>IFERROR(Calcs!Y56,0)</f>
        <v>0</v>
      </c>
      <c r="V29" s="740">
        <f>IFERROR(Calcs!Z56,0)</f>
        <v>0</v>
      </c>
      <c r="W29" s="740">
        <f>IFERROR(Calcs!AA56,0)</f>
        <v>0</v>
      </c>
      <c r="X29" s="740">
        <f>IFERROR(Calcs!AB56,0)</f>
        <v>0</v>
      </c>
      <c r="Y29" s="740">
        <f>IFERROR(Calcs!AC56,0)</f>
        <v>0</v>
      </c>
      <c r="Z29" s="740">
        <f>IFERROR(Calcs!AD56,0)</f>
        <v>0</v>
      </c>
      <c r="AA29" s="740">
        <f>IFERROR(Calcs!AE56,0)</f>
        <v>0</v>
      </c>
      <c r="AB29" s="740">
        <f>IFERROR(Calcs!AF56,0)</f>
        <v>0</v>
      </c>
      <c r="AC29" s="740">
        <f>IFERROR(Calcs!AG56,0)</f>
        <v>0</v>
      </c>
      <c r="AD29" s="740">
        <f>IFERROR(Calcs!AH56,0)</f>
        <v>0</v>
      </c>
      <c r="AE29" s="740">
        <f>IFERROR(Calcs!AI56,0)</f>
        <v>0</v>
      </c>
      <c r="AF29" s="740">
        <f>IFERROR(Calcs!AJ56,0)</f>
        <v>0</v>
      </c>
      <c r="AG29" s="740">
        <f>IFERROR(Calcs!AK56,0)</f>
        <v>0</v>
      </c>
      <c r="AH29" s="740">
        <f>IFERROR(Calcs!AL56,0)</f>
        <v>0</v>
      </c>
      <c r="AI29" s="740">
        <f>IFERROR(Calcs!AM56,0)</f>
        <v>0</v>
      </c>
      <c r="AJ29" s="740">
        <f>IFERROR(Calcs!AN56,0)</f>
        <v>0</v>
      </c>
      <c r="AK29" s="740">
        <f>IFERROR(Calcs!AO56,0)</f>
        <v>0</v>
      </c>
      <c r="AL29" s="740">
        <f>IFERROR(Calcs!AP56,0)</f>
        <v>0</v>
      </c>
      <c r="AM29" s="740">
        <f>IFERROR(Calcs!AQ56,0)</f>
        <v>0</v>
      </c>
      <c r="AN29" s="741">
        <f>IFERROR(Calcs!AR56,0)</f>
        <v>0</v>
      </c>
      <c r="AO29" s="740">
        <f>IFERROR(Calcs!AS56,0)</f>
        <v>0</v>
      </c>
      <c r="AP29" s="740">
        <f>IFERROR(Calcs!AT56,0)</f>
        <v>0</v>
      </c>
      <c r="AQ29" s="740">
        <f>IFERROR(Calcs!AU56,0)</f>
        <v>0</v>
      </c>
      <c r="AR29" s="740">
        <f>IFERROR(Calcs!AV56,0)</f>
        <v>0</v>
      </c>
      <c r="AS29" s="740">
        <f>IFERROR(Calcs!AW56,0)</f>
        <v>0</v>
      </c>
      <c r="AT29" s="740">
        <f>IFERROR(Calcs!AX56,0)</f>
        <v>0</v>
      </c>
      <c r="AU29" s="740">
        <f>IFERROR(Calcs!AY56,0)</f>
        <v>0</v>
      </c>
      <c r="AV29" s="740">
        <f>IFERROR(Calcs!AZ56,0)</f>
        <v>0</v>
      </c>
      <c r="AW29" s="740">
        <f>IFERROR(Calcs!BA56,0)</f>
        <v>0</v>
      </c>
      <c r="AX29" s="740">
        <f>IFERROR(Calcs!BB56,0)</f>
        <v>0</v>
      </c>
      <c r="AY29" s="740">
        <f>IFERROR(Calcs!BC56,0)</f>
        <v>0</v>
      </c>
      <c r="AZ29" s="740">
        <f>IFERROR(Calcs!BD56,0)</f>
        <v>0</v>
      </c>
      <c r="BA29" s="740">
        <f>IFERROR(Calcs!BE56,0)</f>
        <v>0</v>
      </c>
      <c r="BB29" s="740">
        <f>IFERROR(Calcs!BF56,0)</f>
        <v>0</v>
      </c>
      <c r="BC29" s="740">
        <f>IFERROR(Calcs!BG56,0)</f>
        <v>0</v>
      </c>
      <c r="BD29" s="740">
        <f>IFERROR(Calcs!BH56,0)</f>
        <v>0</v>
      </c>
      <c r="BE29" s="740">
        <f>IFERROR(Calcs!BI56,0)</f>
        <v>0</v>
      </c>
      <c r="BF29" s="740">
        <f>IFERROR(Calcs!BJ56,0)</f>
        <v>0</v>
      </c>
      <c r="BG29" s="740">
        <f>IFERROR(Calcs!BK56,0)</f>
        <v>0</v>
      </c>
      <c r="BH29" s="740">
        <f>IFERROR(Calcs!BL56,0)</f>
        <v>0</v>
      </c>
      <c r="BI29" s="740">
        <f>IFERROR(Calcs!BM56,0)</f>
        <v>0</v>
      </c>
      <c r="BJ29" s="740">
        <f>IFERROR(Calcs!BN56,0)</f>
        <v>0</v>
      </c>
      <c r="BK29" s="740">
        <f>IFERROR(Calcs!BO56,0)</f>
        <v>0</v>
      </c>
      <c r="BL29" s="741">
        <f>IFERROR(Calcs!BP56,0)</f>
        <v>0</v>
      </c>
    </row>
    <row r="30" spans="4:64" ht="13.5" thickBot="1" x14ac:dyDescent="0.35">
      <c r="D30" s="781" t="s">
        <v>652</v>
      </c>
      <c r="E30" s="742">
        <f t="shared" ref="E30:BL30" si="0">E29</f>
        <v>0</v>
      </c>
      <c r="F30" s="743">
        <f t="shared" si="0"/>
        <v>0</v>
      </c>
      <c r="G30" s="743">
        <f t="shared" si="0"/>
        <v>0</v>
      </c>
      <c r="H30" s="743">
        <f t="shared" si="0"/>
        <v>0</v>
      </c>
      <c r="I30" s="743">
        <f t="shared" si="0"/>
        <v>0</v>
      </c>
      <c r="J30" s="743">
        <f t="shared" si="0"/>
        <v>0</v>
      </c>
      <c r="K30" s="743">
        <f t="shared" si="0"/>
        <v>0</v>
      </c>
      <c r="L30" s="743">
        <f t="shared" si="0"/>
        <v>0</v>
      </c>
      <c r="M30" s="743">
        <f t="shared" si="0"/>
        <v>0</v>
      </c>
      <c r="N30" s="743">
        <f t="shared" si="0"/>
        <v>0</v>
      </c>
      <c r="O30" s="743">
        <f t="shared" si="0"/>
        <v>0</v>
      </c>
      <c r="P30" s="743">
        <f t="shared" si="0"/>
        <v>0</v>
      </c>
      <c r="Q30" s="743">
        <f t="shared" si="0"/>
        <v>0</v>
      </c>
      <c r="R30" s="743">
        <f t="shared" si="0"/>
        <v>0</v>
      </c>
      <c r="S30" s="743">
        <f t="shared" si="0"/>
        <v>0</v>
      </c>
      <c r="T30" s="743">
        <f t="shared" si="0"/>
        <v>0</v>
      </c>
      <c r="U30" s="743">
        <f t="shared" si="0"/>
        <v>0</v>
      </c>
      <c r="V30" s="743">
        <f t="shared" si="0"/>
        <v>0</v>
      </c>
      <c r="W30" s="743">
        <f t="shared" si="0"/>
        <v>0</v>
      </c>
      <c r="X30" s="743">
        <f t="shared" si="0"/>
        <v>0</v>
      </c>
      <c r="Y30" s="743">
        <f t="shared" si="0"/>
        <v>0</v>
      </c>
      <c r="Z30" s="743">
        <f t="shared" si="0"/>
        <v>0</v>
      </c>
      <c r="AA30" s="743">
        <f t="shared" si="0"/>
        <v>0</v>
      </c>
      <c r="AB30" s="743">
        <f t="shared" si="0"/>
        <v>0</v>
      </c>
      <c r="AC30" s="743">
        <f t="shared" si="0"/>
        <v>0</v>
      </c>
      <c r="AD30" s="743">
        <f t="shared" si="0"/>
        <v>0</v>
      </c>
      <c r="AE30" s="743">
        <f t="shared" si="0"/>
        <v>0</v>
      </c>
      <c r="AF30" s="743">
        <f t="shared" si="0"/>
        <v>0</v>
      </c>
      <c r="AG30" s="743">
        <f t="shared" si="0"/>
        <v>0</v>
      </c>
      <c r="AH30" s="743">
        <f t="shared" si="0"/>
        <v>0</v>
      </c>
      <c r="AI30" s="743">
        <f t="shared" si="0"/>
        <v>0</v>
      </c>
      <c r="AJ30" s="743">
        <f t="shared" si="0"/>
        <v>0</v>
      </c>
      <c r="AK30" s="743">
        <f t="shared" si="0"/>
        <v>0</v>
      </c>
      <c r="AL30" s="743">
        <f t="shared" si="0"/>
        <v>0</v>
      </c>
      <c r="AM30" s="743">
        <f t="shared" si="0"/>
        <v>0</v>
      </c>
      <c r="AN30" s="744">
        <f t="shared" si="0"/>
        <v>0</v>
      </c>
      <c r="AO30" s="743">
        <f t="shared" si="0"/>
        <v>0</v>
      </c>
      <c r="AP30" s="743">
        <f t="shared" si="0"/>
        <v>0</v>
      </c>
      <c r="AQ30" s="743">
        <f t="shared" si="0"/>
        <v>0</v>
      </c>
      <c r="AR30" s="743">
        <f t="shared" si="0"/>
        <v>0</v>
      </c>
      <c r="AS30" s="743">
        <f t="shared" si="0"/>
        <v>0</v>
      </c>
      <c r="AT30" s="743">
        <f t="shared" si="0"/>
        <v>0</v>
      </c>
      <c r="AU30" s="743">
        <f t="shared" si="0"/>
        <v>0</v>
      </c>
      <c r="AV30" s="743">
        <f t="shared" si="0"/>
        <v>0</v>
      </c>
      <c r="AW30" s="743">
        <f t="shared" si="0"/>
        <v>0</v>
      </c>
      <c r="AX30" s="743">
        <f t="shared" si="0"/>
        <v>0</v>
      </c>
      <c r="AY30" s="743">
        <f t="shared" si="0"/>
        <v>0</v>
      </c>
      <c r="AZ30" s="743">
        <f t="shared" si="0"/>
        <v>0</v>
      </c>
      <c r="BA30" s="743">
        <f t="shared" si="0"/>
        <v>0</v>
      </c>
      <c r="BB30" s="743">
        <f t="shared" si="0"/>
        <v>0</v>
      </c>
      <c r="BC30" s="743">
        <f t="shared" si="0"/>
        <v>0</v>
      </c>
      <c r="BD30" s="743">
        <f t="shared" si="0"/>
        <v>0</v>
      </c>
      <c r="BE30" s="743">
        <f t="shared" si="0"/>
        <v>0</v>
      </c>
      <c r="BF30" s="743">
        <f t="shared" si="0"/>
        <v>0</v>
      </c>
      <c r="BG30" s="743">
        <f t="shared" si="0"/>
        <v>0</v>
      </c>
      <c r="BH30" s="743">
        <f t="shared" si="0"/>
        <v>0</v>
      </c>
      <c r="BI30" s="743">
        <f t="shared" si="0"/>
        <v>0</v>
      </c>
      <c r="BJ30" s="743">
        <f t="shared" si="0"/>
        <v>0</v>
      </c>
      <c r="BK30" s="743">
        <f t="shared" si="0"/>
        <v>0</v>
      </c>
      <c r="BL30" s="744">
        <f t="shared" si="0"/>
        <v>0</v>
      </c>
    </row>
    <row r="31" spans="4:64" x14ac:dyDescent="0.3">
      <c r="E31" s="734"/>
      <c r="F31" s="734"/>
      <c r="G31" s="734"/>
      <c r="H31" s="734"/>
      <c r="I31" s="734"/>
      <c r="J31" s="734"/>
      <c r="K31" s="734"/>
      <c r="L31" s="734"/>
      <c r="M31" s="734"/>
      <c r="N31" s="734"/>
      <c r="O31" s="734"/>
      <c r="P31" s="734"/>
      <c r="Q31" s="734"/>
      <c r="R31" s="734"/>
      <c r="S31" s="734"/>
      <c r="T31" s="734"/>
      <c r="U31" s="734"/>
      <c r="V31" s="734"/>
      <c r="W31" s="734"/>
      <c r="X31" s="734"/>
      <c r="Y31" s="734"/>
      <c r="Z31" s="734"/>
      <c r="AA31" s="734"/>
      <c r="AB31" s="734"/>
      <c r="AC31" s="734"/>
      <c r="AD31" s="734"/>
      <c r="AE31" s="734"/>
      <c r="AF31" s="734"/>
      <c r="AG31" s="734"/>
      <c r="AH31" s="734"/>
      <c r="AI31" s="734"/>
      <c r="AJ31" s="734"/>
      <c r="AK31" s="734"/>
      <c r="AL31" s="734"/>
      <c r="AM31" s="734"/>
      <c r="AN31" s="734"/>
      <c r="AO31" s="734"/>
      <c r="AP31" s="734"/>
      <c r="AQ31" s="734"/>
      <c r="AR31" s="734"/>
      <c r="AS31" s="734"/>
      <c r="AT31" s="734"/>
      <c r="AU31" s="734"/>
      <c r="AV31" s="734"/>
      <c r="AW31" s="734"/>
      <c r="AX31" s="734"/>
      <c r="AY31" s="734"/>
      <c r="AZ31" s="734"/>
      <c r="BA31" s="734"/>
      <c r="BB31" s="734"/>
      <c r="BC31" s="734"/>
      <c r="BD31" s="734"/>
      <c r="BE31" s="734"/>
      <c r="BF31" s="734"/>
      <c r="BG31" s="734"/>
      <c r="BH31" s="734"/>
      <c r="BI31" s="734"/>
      <c r="BJ31" s="734"/>
      <c r="BK31" s="734"/>
      <c r="BL31" s="734"/>
    </row>
    <row r="32" spans="4:64" x14ac:dyDescent="0.3">
      <c r="E32" s="1919" t="s">
        <v>653</v>
      </c>
      <c r="F32" s="1919"/>
      <c r="G32" s="1919"/>
      <c r="H32" s="1919"/>
      <c r="I32" s="1919"/>
      <c r="J32" s="1919"/>
      <c r="K32" s="1919"/>
      <c r="L32" s="1919"/>
      <c r="M32" s="1919"/>
      <c r="N32" s="1919"/>
      <c r="O32" s="1919"/>
      <c r="P32" s="1919"/>
      <c r="Q32" s="1919"/>
      <c r="R32" s="1919"/>
      <c r="S32" s="1919"/>
      <c r="T32" s="1919"/>
      <c r="U32" s="1919"/>
      <c r="V32" s="1919"/>
      <c r="W32" s="1919"/>
      <c r="X32" s="1919"/>
      <c r="Y32" s="1919"/>
      <c r="Z32" s="1919"/>
      <c r="AA32" s="1919"/>
      <c r="AB32" s="1919"/>
      <c r="AC32" s="1919"/>
      <c r="AD32" s="735"/>
      <c r="AE32" s="735"/>
      <c r="AF32" s="735"/>
      <c r="AG32" s="735"/>
      <c r="AH32" s="735"/>
      <c r="AI32" s="735"/>
      <c r="AJ32" s="735"/>
      <c r="AK32" s="735"/>
      <c r="AL32" s="735"/>
      <c r="AM32" s="735"/>
      <c r="AN32" s="1919" t="s">
        <v>654</v>
      </c>
      <c r="AO32" s="1919"/>
      <c r="AP32" s="1919"/>
      <c r="AQ32" s="1919"/>
      <c r="AR32" s="1919"/>
      <c r="AS32" s="1919"/>
      <c r="AT32" s="1919"/>
      <c r="AU32" s="1919"/>
      <c r="AV32" s="1919"/>
      <c r="AW32" s="1919"/>
      <c r="AX32" s="1919"/>
      <c r="AY32" s="1919"/>
      <c r="AZ32" s="1919"/>
      <c r="BA32" s="1919"/>
      <c r="BB32" s="1919"/>
      <c r="BC32" s="1919"/>
      <c r="BD32" s="1919"/>
      <c r="BE32" s="1919"/>
      <c r="BF32" s="1919"/>
      <c r="BG32" s="1919"/>
      <c r="BH32" s="1919"/>
      <c r="BI32" s="1919"/>
      <c r="BJ32" s="1919"/>
      <c r="BK32" s="1919"/>
      <c r="BL32" s="1919"/>
    </row>
    <row r="33" spans="4:64" ht="8.25" customHeight="1" x14ac:dyDescent="0.3">
      <c r="E33" s="738"/>
      <c r="F33" s="738"/>
      <c r="G33" s="738"/>
      <c r="H33" s="738"/>
      <c r="I33" s="738"/>
      <c r="J33" s="738"/>
      <c r="K33" s="738"/>
      <c r="L33" s="738"/>
      <c r="M33" s="738"/>
      <c r="N33" s="738"/>
      <c r="O33" s="738"/>
      <c r="P33" s="738"/>
      <c r="Q33" s="738"/>
      <c r="R33" s="738"/>
      <c r="S33" s="738"/>
      <c r="T33" s="738"/>
      <c r="U33" s="738"/>
      <c r="V33" s="738"/>
      <c r="W33" s="738"/>
      <c r="X33" s="738"/>
      <c r="Y33" s="736"/>
      <c r="Z33" s="736"/>
      <c r="AA33" s="736"/>
      <c r="AB33" s="736"/>
      <c r="AC33" s="736"/>
      <c r="AD33" s="736"/>
      <c r="AE33" s="736"/>
      <c r="AF33" s="736"/>
      <c r="AG33" s="736"/>
      <c r="AH33" s="736"/>
      <c r="AI33" s="736"/>
      <c r="AJ33" s="736"/>
      <c r="AK33" s="736"/>
      <c r="AL33" s="736"/>
      <c r="AM33" s="736"/>
      <c r="AN33" s="736"/>
      <c r="AO33" s="736"/>
      <c r="AP33" s="736"/>
      <c r="AQ33" s="736"/>
      <c r="AR33" s="736"/>
      <c r="AS33" s="736"/>
      <c r="AT33" s="736"/>
      <c r="AU33" s="736"/>
      <c r="AV33" s="736"/>
      <c r="AW33" s="736"/>
      <c r="AX33" s="736"/>
      <c r="AY33" s="736"/>
      <c r="AZ33" s="736"/>
      <c r="BA33" s="736"/>
      <c r="BB33" s="736"/>
      <c r="BC33" s="736"/>
      <c r="BD33" s="736"/>
      <c r="BE33" s="736"/>
      <c r="BF33" s="736"/>
      <c r="BG33" s="736"/>
      <c r="BH33" s="736"/>
      <c r="BI33" s="736"/>
      <c r="BJ33" s="736"/>
      <c r="BK33" s="736"/>
      <c r="BL33" s="736"/>
    </row>
    <row r="34" spans="4:64" ht="13.5" thickBot="1" x14ac:dyDescent="0.35">
      <c r="E34" s="1920" t="str">
        <f>Infrastructure!H9</f>
        <v>Year 1</v>
      </c>
      <c r="F34" s="1920"/>
      <c r="G34" s="1920"/>
      <c r="H34" s="1920"/>
      <c r="I34" s="1920"/>
      <c r="J34" s="1920" t="str">
        <f>Infrastructure!I9</f>
        <v>Year 2</v>
      </c>
      <c r="K34" s="1920"/>
      <c r="L34" s="1920"/>
      <c r="M34" s="1920"/>
      <c r="N34" s="1920"/>
      <c r="O34" s="1920" t="str">
        <f>Infrastructure!J9</f>
        <v>Year 3</v>
      </c>
      <c r="P34" s="1920"/>
      <c r="Q34" s="1920"/>
      <c r="R34" s="1920"/>
      <c r="S34" s="1920"/>
      <c r="T34" s="1920" t="str">
        <f>Infrastructure!K9</f>
        <v>Year 4</v>
      </c>
      <c r="U34" s="1920"/>
      <c r="V34" s="1920"/>
      <c r="W34" s="1920"/>
      <c r="X34" s="1920"/>
      <c r="Y34" s="1920" t="str">
        <f>Infrastructure!L9</f>
        <v>Year 5</v>
      </c>
      <c r="Z34" s="1920"/>
      <c r="AA34" s="1920"/>
      <c r="AB34" s="1920"/>
      <c r="AC34" s="1920"/>
      <c r="AD34" s="1281"/>
      <c r="AE34" s="1281"/>
      <c r="AF34" s="1281"/>
      <c r="AG34" s="1281"/>
      <c r="AH34" s="1281"/>
      <c r="AI34" s="1281"/>
      <c r="AJ34" s="1281"/>
      <c r="AK34" s="1281"/>
      <c r="AL34" s="1281"/>
      <c r="AM34" s="1281"/>
      <c r="AN34" s="1920" t="str">
        <f>E34</f>
        <v>Year 1</v>
      </c>
      <c r="AO34" s="1920"/>
      <c r="AP34" s="1920"/>
      <c r="AQ34" s="1920"/>
      <c r="AR34" s="1920"/>
      <c r="AS34" s="1920" t="str">
        <f>J34</f>
        <v>Year 2</v>
      </c>
      <c r="AT34" s="1920"/>
      <c r="AU34" s="1920"/>
      <c r="AV34" s="1920"/>
      <c r="AW34" s="1920"/>
      <c r="AX34" s="1920" t="str">
        <f>O34</f>
        <v>Year 3</v>
      </c>
      <c r="AY34" s="1920"/>
      <c r="AZ34" s="1920"/>
      <c r="BA34" s="1920"/>
      <c r="BB34" s="1920"/>
      <c r="BC34" s="1920" t="str">
        <f>T34</f>
        <v>Year 4</v>
      </c>
      <c r="BD34" s="1920"/>
      <c r="BE34" s="1920"/>
      <c r="BF34" s="1920"/>
      <c r="BG34" s="1920"/>
      <c r="BH34" s="1920" t="str">
        <f>Y34</f>
        <v>Year 5</v>
      </c>
      <c r="BI34" s="1920"/>
      <c r="BJ34" s="1920"/>
      <c r="BK34" s="1920"/>
      <c r="BL34" s="1920"/>
    </row>
    <row r="35" spans="4:64" x14ac:dyDescent="0.3">
      <c r="D35" s="1206">
        <f>Infrastructure!D70</f>
        <v>0</v>
      </c>
      <c r="E35" s="1918">
        <f t="shared" ref="E35:E46" si="1">DH126</f>
        <v>0</v>
      </c>
      <c r="F35" s="1916"/>
      <c r="G35" s="1916"/>
      <c r="H35" s="1916"/>
      <c r="I35" s="1916"/>
      <c r="J35" s="1916">
        <f t="shared" ref="J35:J46" si="2">DH138</f>
        <v>0</v>
      </c>
      <c r="K35" s="1916"/>
      <c r="L35" s="1916"/>
      <c r="M35" s="1916"/>
      <c r="N35" s="1916"/>
      <c r="O35" s="1916">
        <f t="shared" ref="O35:O46" si="3">DH150</f>
        <v>0</v>
      </c>
      <c r="P35" s="1916"/>
      <c r="Q35" s="1916"/>
      <c r="R35" s="1916"/>
      <c r="S35" s="1916"/>
      <c r="T35" s="1916">
        <f t="shared" ref="T35:T46" si="4">DH162</f>
        <v>0</v>
      </c>
      <c r="U35" s="1916"/>
      <c r="V35" s="1916"/>
      <c r="W35" s="1916"/>
      <c r="X35" s="1916"/>
      <c r="Y35" s="1916">
        <f t="shared" ref="Y35:Y46" si="5">DH174</f>
        <v>0</v>
      </c>
      <c r="Z35" s="1916"/>
      <c r="AA35" s="1916"/>
      <c r="AB35" s="1916"/>
      <c r="AC35" s="1917"/>
      <c r="AD35" s="734"/>
      <c r="AE35" s="734"/>
      <c r="AF35" s="734"/>
      <c r="AG35" s="734"/>
      <c r="AH35" s="736"/>
      <c r="AI35" s="736"/>
      <c r="AJ35" s="736"/>
      <c r="AK35" s="736"/>
      <c r="AL35" s="736"/>
      <c r="AM35" s="737">
        <f>D35</f>
        <v>0</v>
      </c>
      <c r="AN35" s="1918">
        <f>E35</f>
        <v>0</v>
      </c>
      <c r="AO35" s="1916"/>
      <c r="AP35" s="1916"/>
      <c r="AQ35" s="1916"/>
      <c r="AR35" s="1916"/>
      <c r="AS35" s="1916">
        <f t="shared" ref="AS35:AS46" si="6">J35</f>
        <v>0</v>
      </c>
      <c r="AT35" s="1916"/>
      <c r="AU35" s="1916"/>
      <c r="AV35" s="1916"/>
      <c r="AW35" s="1916"/>
      <c r="AX35" s="1916">
        <f t="shared" ref="AX35:AX46" si="7">O35</f>
        <v>0</v>
      </c>
      <c r="AY35" s="1916"/>
      <c r="AZ35" s="1916"/>
      <c r="BA35" s="1916"/>
      <c r="BB35" s="1916"/>
      <c r="BC35" s="1916">
        <f t="shared" ref="BC35:BC46" si="8">T35</f>
        <v>0</v>
      </c>
      <c r="BD35" s="1916"/>
      <c r="BE35" s="1916"/>
      <c r="BF35" s="1916"/>
      <c r="BG35" s="1916"/>
      <c r="BH35" s="1916">
        <f t="shared" ref="BH35:BH46" si="9">Y35</f>
        <v>0</v>
      </c>
      <c r="BI35" s="1916"/>
      <c r="BJ35" s="1916"/>
      <c r="BK35" s="1916"/>
      <c r="BL35" s="1917"/>
    </row>
    <row r="36" spans="4:64" x14ac:dyDescent="0.3">
      <c r="D36" s="1206">
        <f>Infrastructure!D71</f>
        <v>59</v>
      </c>
      <c r="E36" s="1915">
        <f t="shared" si="1"/>
        <v>0</v>
      </c>
      <c r="F36" s="1912"/>
      <c r="G36" s="1912"/>
      <c r="H36" s="1912"/>
      <c r="I36" s="1912"/>
      <c r="J36" s="1912">
        <f t="shared" si="2"/>
        <v>0</v>
      </c>
      <c r="K36" s="1912"/>
      <c r="L36" s="1912"/>
      <c r="M36" s="1912"/>
      <c r="N36" s="1912"/>
      <c r="O36" s="1912">
        <f t="shared" si="3"/>
        <v>0</v>
      </c>
      <c r="P36" s="1912"/>
      <c r="Q36" s="1912"/>
      <c r="R36" s="1912"/>
      <c r="S36" s="1912"/>
      <c r="T36" s="1912">
        <f t="shared" si="4"/>
        <v>0</v>
      </c>
      <c r="U36" s="1912"/>
      <c r="V36" s="1912"/>
      <c r="W36" s="1912"/>
      <c r="X36" s="1912"/>
      <c r="Y36" s="1912">
        <f t="shared" si="5"/>
        <v>0</v>
      </c>
      <c r="Z36" s="1912"/>
      <c r="AA36" s="1912"/>
      <c r="AB36" s="1912"/>
      <c r="AC36" s="1913"/>
      <c r="AD36" s="734"/>
      <c r="AE36" s="734"/>
      <c r="AF36" s="734"/>
      <c r="AG36" s="734"/>
      <c r="AH36" s="736"/>
      <c r="AI36" s="736"/>
      <c r="AJ36" s="736"/>
      <c r="AK36" s="736"/>
      <c r="AL36" s="736"/>
      <c r="AM36" s="737">
        <f t="shared" ref="AM36:AM46" si="10">D36</f>
        <v>59</v>
      </c>
      <c r="AN36" s="1915">
        <f t="shared" ref="AN36:AN46" si="11">E36</f>
        <v>0</v>
      </c>
      <c r="AO36" s="1912"/>
      <c r="AP36" s="1912"/>
      <c r="AQ36" s="1912"/>
      <c r="AR36" s="1912"/>
      <c r="AS36" s="1912">
        <f t="shared" si="6"/>
        <v>0</v>
      </c>
      <c r="AT36" s="1912"/>
      <c r="AU36" s="1912"/>
      <c r="AV36" s="1912"/>
      <c r="AW36" s="1912"/>
      <c r="AX36" s="1912">
        <f t="shared" si="7"/>
        <v>0</v>
      </c>
      <c r="AY36" s="1912"/>
      <c r="AZ36" s="1912"/>
      <c r="BA36" s="1912"/>
      <c r="BB36" s="1912"/>
      <c r="BC36" s="1912">
        <f t="shared" si="8"/>
        <v>0</v>
      </c>
      <c r="BD36" s="1912"/>
      <c r="BE36" s="1912"/>
      <c r="BF36" s="1912"/>
      <c r="BG36" s="1912"/>
      <c r="BH36" s="1912">
        <f t="shared" si="9"/>
        <v>0</v>
      </c>
      <c r="BI36" s="1912"/>
      <c r="BJ36" s="1912"/>
      <c r="BK36" s="1912"/>
      <c r="BL36" s="1913"/>
    </row>
    <row r="37" spans="4:64" x14ac:dyDescent="0.3">
      <c r="D37" s="1206">
        <f>Infrastructure!D72</f>
        <v>91</v>
      </c>
      <c r="E37" s="1915">
        <f t="shared" si="1"/>
        <v>0</v>
      </c>
      <c r="F37" s="1912"/>
      <c r="G37" s="1912"/>
      <c r="H37" s="1912"/>
      <c r="I37" s="1912"/>
      <c r="J37" s="1912">
        <f t="shared" si="2"/>
        <v>0</v>
      </c>
      <c r="K37" s="1912"/>
      <c r="L37" s="1912"/>
      <c r="M37" s="1912"/>
      <c r="N37" s="1912"/>
      <c r="O37" s="1912">
        <f t="shared" si="3"/>
        <v>0</v>
      </c>
      <c r="P37" s="1912"/>
      <c r="Q37" s="1912"/>
      <c r="R37" s="1912"/>
      <c r="S37" s="1912"/>
      <c r="T37" s="1912">
        <f t="shared" si="4"/>
        <v>0</v>
      </c>
      <c r="U37" s="1912"/>
      <c r="V37" s="1912"/>
      <c r="W37" s="1912"/>
      <c r="X37" s="1912"/>
      <c r="Y37" s="1912">
        <f t="shared" si="5"/>
        <v>0</v>
      </c>
      <c r="Z37" s="1912"/>
      <c r="AA37" s="1912"/>
      <c r="AB37" s="1912"/>
      <c r="AC37" s="1913"/>
      <c r="AD37" s="734"/>
      <c r="AE37" s="734"/>
      <c r="AF37" s="734"/>
      <c r="AG37" s="734"/>
      <c r="AH37" s="736"/>
      <c r="AI37" s="736"/>
      <c r="AJ37" s="736"/>
      <c r="AK37" s="736"/>
      <c r="AL37" s="736"/>
      <c r="AM37" s="737">
        <f t="shared" si="10"/>
        <v>91</v>
      </c>
      <c r="AN37" s="1915">
        <f t="shared" si="11"/>
        <v>0</v>
      </c>
      <c r="AO37" s="1912"/>
      <c r="AP37" s="1912"/>
      <c r="AQ37" s="1912"/>
      <c r="AR37" s="1912"/>
      <c r="AS37" s="1912">
        <f t="shared" si="6"/>
        <v>0</v>
      </c>
      <c r="AT37" s="1912"/>
      <c r="AU37" s="1912"/>
      <c r="AV37" s="1912"/>
      <c r="AW37" s="1912"/>
      <c r="AX37" s="1912">
        <f t="shared" si="7"/>
        <v>0</v>
      </c>
      <c r="AY37" s="1912"/>
      <c r="AZ37" s="1912"/>
      <c r="BA37" s="1912"/>
      <c r="BB37" s="1912"/>
      <c r="BC37" s="1912">
        <f t="shared" si="8"/>
        <v>0</v>
      </c>
      <c r="BD37" s="1912"/>
      <c r="BE37" s="1912"/>
      <c r="BF37" s="1912"/>
      <c r="BG37" s="1912"/>
      <c r="BH37" s="1912">
        <f t="shared" si="9"/>
        <v>0</v>
      </c>
      <c r="BI37" s="1912"/>
      <c r="BJ37" s="1912"/>
      <c r="BK37" s="1912"/>
      <c r="BL37" s="1913"/>
    </row>
    <row r="38" spans="4:64" x14ac:dyDescent="0.3">
      <c r="D38" s="1206">
        <f>Infrastructure!D73</f>
        <v>121</v>
      </c>
      <c r="E38" s="1915">
        <f t="shared" si="1"/>
        <v>0</v>
      </c>
      <c r="F38" s="1912"/>
      <c r="G38" s="1912"/>
      <c r="H38" s="1912"/>
      <c r="I38" s="1912"/>
      <c r="J38" s="1912">
        <f t="shared" si="2"/>
        <v>0</v>
      </c>
      <c r="K38" s="1912"/>
      <c r="L38" s="1912"/>
      <c r="M38" s="1912"/>
      <c r="N38" s="1912"/>
      <c r="O38" s="1912">
        <f t="shared" si="3"/>
        <v>0</v>
      </c>
      <c r="P38" s="1912"/>
      <c r="Q38" s="1912"/>
      <c r="R38" s="1912"/>
      <c r="S38" s="1912"/>
      <c r="T38" s="1912">
        <f t="shared" si="4"/>
        <v>0</v>
      </c>
      <c r="U38" s="1912"/>
      <c r="V38" s="1912"/>
      <c r="W38" s="1912"/>
      <c r="X38" s="1912"/>
      <c r="Y38" s="1912">
        <f t="shared" si="5"/>
        <v>0</v>
      </c>
      <c r="Z38" s="1912"/>
      <c r="AA38" s="1912"/>
      <c r="AB38" s="1912"/>
      <c r="AC38" s="1913"/>
      <c r="AD38" s="734"/>
      <c r="AE38" s="734"/>
      <c r="AF38" s="734"/>
      <c r="AG38" s="734"/>
      <c r="AH38" s="736"/>
      <c r="AI38" s="736"/>
      <c r="AJ38" s="736"/>
      <c r="AK38" s="736"/>
      <c r="AL38" s="736"/>
      <c r="AM38" s="737">
        <f t="shared" si="10"/>
        <v>121</v>
      </c>
      <c r="AN38" s="1915">
        <f t="shared" si="11"/>
        <v>0</v>
      </c>
      <c r="AO38" s="1912"/>
      <c r="AP38" s="1912"/>
      <c r="AQ38" s="1912"/>
      <c r="AR38" s="1912"/>
      <c r="AS38" s="1912">
        <f t="shared" si="6"/>
        <v>0</v>
      </c>
      <c r="AT38" s="1912"/>
      <c r="AU38" s="1912"/>
      <c r="AV38" s="1912"/>
      <c r="AW38" s="1912"/>
      <c r="AX38" s="1912">
        <f t="shared" si="7"/>
        <v>0</v>
      </c>
      <c r="AY38" s="1912"/>
      <c r="AZ38" s="1912"/>
      <c r="BA38" s="1912"/>
      <c r="BB38" s="1912"/>
      <c r="BC38" s="1912">
        <f t="shared" si="8"/>
        <v>0</v>
      </c>
      <c r="BD38" s="1912"/>
      <c r="BE38" s="1912"/>
      <c r="BF38" s="1912"/>
      <c r="BG38" s="1912"/>
      <c r="BH38" s="1912">
        <f t="shared" si="9"/>
        <v>0</v>
      </c>
      <c r="BI38" s="1912"/>
      <c r="BJ38" s="1912"/>
      <c r="BK38" s="1912"/>
      <c r="BL38" s="1913"/>
    </row>
    <row r="39" spans="4:64" x14ac:dyDescent="0.3">
      <c r="D39" s="1206">
        <f>Infrastructure!D74</f>
        <v>152</v>
      </c>
      <c r="E39" s="1915">
        <f t="shared" si="1"/>
        <v>0</v>
      </c>
      <c r="F39" s="1912"/>
      <c r="G39" s="1912"/>
      <c r="H39" s="1912"/>
      <c r="I39" s="1912"/>
      <c r="J39" s="1912">
        <f t="shared" si="2"/>
        <v>0</v>
      </c>
      <c r="K39" s="1912"/>
      <c r="L39" s="1912"/>
      <c r="M39" s="1912"/>
      <c r="N39" s="1912"/>
      <c r="O39" s="1912">
        <f t="shared" si="3"/>
        <v>0</v>
      </c>
      <c r="P39" s="1912"/>
      <c r="Q39" s="1912"/>
      <c r="R39" s="1912"/>
      <c r="S39" s="1912"/>
      <c r="T39" s="1912">
        <f t="shared" si="4"/>
        <v>0</v>
      </c>
      <c r="U39" s="1912"/>
      <c r="V39" s="1912"/>
      <c r="W39" s="1912"/>
      <c r="X39" s="1912"/>
      <c r="Y39" s="1912">
        <f t="shared" si="5"/>
        <v>0</v>
      </c>
      <c r="Z39" s="1912"/>
      <c r="AA39" s="1912"/>
      <c r="AB39" s="1912"/>
      <c r="AC39" s="1913"/>
      <c r="AD39" s="734"/>
      <c r="AE39" s="734"/>
      <c r="AF39" s="734"/>
      <c r="AG39" s="734"/>
      <c r="AH39" s="736"/>
      <c r="AI39" s="736"/>
      <c r="AJ39" s="736"/>
      <c r="AK39" s="736"/>
      <c r="AL39" s="736"/>
      <c r="AM39" s="737">
        <f t="shared" si="10"/>
        <v>152</v>
      </c>
      <c r="AN39" s="1915">
        <f t="shared" si="11"/>
        <v>0</v>
      </c>
      <c r="AO39" s="1912"/>
      <c r="AP39" s="1912"/>
      <c r="AQ39" s="1912"/>
      <c r="AR39" s="1912"/>
      <c r="AS39" s="1912">
        <f t="shared" si="6"/>
        <v>0</v>
      </c>
      <c r="AT39" s="1912"/>
      <c r="AU39" s="1912"/>
      <c r="AV39" s="1912"/>
      <c r="AW39" s="1912"/>
      <c r="AX39" s="1912">
        <f t="shared" si="7"/>
        <v>0</v>
      </c>
      <c r="AY39" s="1912"/>
      <c r="AZ39" s="1912"/>
      <c r="BA39" s="1912"/>
      <c r="BB39" s="1912"/>
      <c r="BC39" s="1912">
        <f t="shared" si="8"/>
        <v>0</v>
      </c>
      <c r="BD39" s="1912"/>
      <c r="BE39" s="1912"/>
      <c r="BF39" s="1912"/>
      <c r="BG39" s="1912"/>
      <c r="BH39" s="1912">
        <f t="shared" si="9"/>
        <v>0</v>
      </c>
      <c r="BI39" s="1912"/>
      <c r="BJ39" s="1912"/>
      <c r="BK39" s="1912"/>
      <c r="BL39" s="1913"/>
    </row>
    <row r="40" spans="4:64" x14ac:dyDescent="0.3">
      <c r="D40" s="1206">
        <f>Infrastructure!D75</f>
        <v>182</v>
      </c>
      <c r="E40" s="1915">
        <f t="shared" si="1"/>
        <v>0</v>
      </c>
      <c r="F40" s="1912"/>
      <c r="G40" s="1912"/>
      <c r="H40" s="1912"/>
      <c r="I40" s="1912"/>
      <c r="J40" s="1912">
        <f t="shared" si="2"/>
        <v>0</v>
      </c>
      <c r="K40" s="1912"/>
      <c r="L40" s="1912"/>
      <c r="M40" s="1912"/>
      <c r="N40" s="1912"/>
      <c r="O40" s="1912">
        <f t="shared" si="3"/>
        <v>0</v>
      </c>
      <c r="P40" s="1912"/>
      <c r="Q40" s="1912"/>
      <c r="R40" s="1912"/>
      <c r="S40" s="1912"/>
      <c r="T40" s="1912">
        <f t="shared" si="4"/>
        <v>0</v>
      </c>
      <c r="U40" s="1912"/>
      <c r="V40" s="1912"/>
      <c r="W40" s="1912"/>
      <c r="X40" s="1912"/>
      <c r="Y40" s="1912">
        <f t="shared" si="5"/>
        <v>0</v>
      </c>
      <c r="Z40" s="1912"/>
      <c r="AA40" s="1912"/>
      <c r="AB40" s="1912"/>
      <c r="AC40" s="1913"/>
      <c r="AD40" s="734"/>
      <c r="AE40" s="734"/>
      <c r="AF40" s="734"/>
      <c r="AG40" s="734"/>
      <c r="AH40" s="736"/>
      <c r="AI40" s="736"/>
      <c r="AJ40" s="736"/>
      <c r="AK40" s="736"/>
      <c r="AL40" s="736"/>
      <c r="AM40" s="737">
        <f t="shared" si="10"/>
        <v>182</v>
      </c>
      <c r="AN40" s="1915">
        <f t="shared" si="11"/>
        <v>0</v>
      </c>
      <c r="AO40" s="1912"/>
      <c r="AP40" s="1912"/>
      <c r="AQ40" s="1912"/>
      <c r="AR40" s="1912"/>
      <c r="AS40" s="1912">
        <f t="shared" si="6"/>
        <v>0</v>
      </c>
      <c r="AT40" s="1912"/>
      <c r="AU40" s="1912"/>
      <c r="AV40" s="1912"/>
      <c r="AW40" s="1912"/>
      <c r="AX40" s="1912">
        <f t="shared" si="7"/>
        <v>0</v>
      </c>
      <c r="AY40" s="1912"/>
      <c r="AZ40" s="1912"/>
      <c r="BA40" s="1912"/>
      <c r="BB40" s="1912"/>
      <c r="BC40" s="1912">
        <f t="shared" si="8"/>
        <v>0</v>
      </c>
      <c r="BD40" s="1912"/>
      <c r="BE40" s="1912"/>
      <c r="BF40" s="1912"/>
      <c r="BG40" s="1912"/>
      <c r="BH40" s="1912">
        <f t="shared" si="9"/>
        <v>0</v>
      </c>
      <c r="BI40" s="1912"/>
      <c r="BJ40" s="1912"/>
      <c r="BK40" s="1912"/>
      <c r="BL40" s="1913"/>
    </row>
    <row r="41" spans="4:64" x14ac:dyDescent="0.3">
      <c r="D41" s="1206">
        <f>Infrastructure!D76</f>
        <v>213</v>
      </c>
      <c r="E41" s="1915">
        <f t="shared" si="1"/>
        <v>0</v>
      </c>
      <c r="F41" s="1912"/>
      <c r="G41" s="1912"/>
      <c r="H41" s="1912"/>
      <c r="I41" s="1912"/>
      <c r="J41" s="1912">
        <f t="shared" si="2"/>
        <v>0</v>
      </c>
      <c r="K41" s="1912"/>
      <c r="L41" s="1912"/>
      <c r="M41" s="1912"/>
      <c r="N41" s="1912"/>
      <c r="O41" s="1912">
        <f t="shared" si="3"/>
        <v>0</v>
      </c>
      <c r="P41" s="1912"/>
      <c r="Q41" s="1912"/>
      <c r="R41" s="1912"/>
      <c r="S41" s="1912"/>
      <c r="T41" s="1912">
        <f t="shared" si="4"/>
        <v>0</v>
      </c>
      <c r="U41" s="1912"/>
      <c r="V41" s="1912"/>
      <c r="W41" s="1912"/>
      <c r="X41" s="1912"/>
      <c r="Y41" s="1912">
        <f t="shared" si="5"/>
        <v>0</v>
      </c>
      <c r="Z41" s="1912"/>
      <c r="AA41" s="1912"/>
      <c r="AB41" s="1912"/>
      <c r="AC41" s="1913"/>
      <c r="AD41" s="734"/>
      <c r="AE41" s="734"/>
      <c r="AF41" s="734"/>
      <c r="AG41" s="734"/>
      <c r="AH41" s="736"/>
      <c r="AI41" s="736"/>
      <c r="AJ41" s="736"/>
      <c r="AK41" s="736"/>
      <c r="AL41" s="736"/>
      <c r="AM41" s="737">
        <f t="shared" si="10"/>
        <v>213</v>
      </c>
      <c r="AN41" s="1915">
        <f t="shared" si="11"/>
        <v>0</v>
      </c>
      <c r="AO41" s="1912"/>
      <c r="AP41" s="1912"/>
      <c r="AQ41" s="1912"/>
      <c r="AR41" s="1912"/>
      <c r="AS41" s="1912">
        <f t="shared" si="6"/>
        <v>0</v>
      </c>
      <c r="AT41" s="1912"/>
      <c r="AU41" s="1912"/>
      <c r="AV41" s="1912"/>
      <c r="AW41" s="1912"/>
      <c r="AX41" s="1912">
        <f t="shared" si="7"/>
        <v>0</v>
      </c>
      <c r="AY41" s="1912"/>
      <c r="AZ41" s="1912"/>
      <c r="BA41" s="1912"/>
      <c r="BB41" s="1912"/>
      <c r="BC41" s="1912">
        <f t="shared" si="8"/>
        <v>0</v>
      </c>
      <c r="BD41" s="1912"/>
      <c r="BE41" s="1912"/>
      <c r="BF41" s="1912"/>
      <c r="BG41" s="1912"/>
      <c r="BH41" s="1912">
        <f t="shared" si="9"/>
        <v>0</v>
      </c>
      <c r="BI41" s="1912"/>
      <c r="BJ41" s="1912"/>
      <c r="BK41" s="1912"/>
      <c r="BL41" s="1913"/>
    </row>
    <row r="42" spans="4:64" x14ac:dyDescent="0.3">
      <c r="D42" s="1206">
        <f>Infrastructure!D77</f>
        <v>244</v>
      </c>
      <c r="E42" s="1915">
        <f t="shared" si="1"/>
        <v>0</v>
      </c>
      <c r="F42" s="1912"/>
      <c r="G42" s="1912"/>
      <c r="H42" s="1912"/>
      <c r="I42" s="1912"/>
      <c r="J42" s="1912">
        <f t="shared" si="2"/>
        <v>0</v>
      </c>
      <c r="K42" s="1912"/>
      <c r="L42" s="1912"/>
      <c r="M42" s="1912"/>
      <c r="N42" s="1912"/>
      <c r="O42" s="1912">
        <f t="shared" si="3"/>
        <v>0</v>
      </c>
      <c r="P42" s="1912"/>
      <c r="Q42" s="1912"/>
      <c r="R42" s="1912"/>
      <c r="S42" s="1912"/>
      <c r="T42" s="1912">
        <f t="shared" si="4"/>
        <v>0</v>
      </c>
      <c r="U42" s="1912"/>
      <c r="V42" s="1912"/>
      <c r="W42" s="1912"/>
      <c r="X42" s="1912"/>
      <c r="Y42" s="1912">
        <f t="shared" si="5"/>
        <v>0</v>
      </c>
      <c r="Z42" s="1912"/>
      <c r="AA42" s="1912"/>
      <c r="AB42" s="1912"/>
      <c r="AC42" s="1913"/>
      <c r="AD42" s="734"/>
      <c r="AE42" s="734"/>
      <c r="AF42" s="734"/>
      <c r="AG42" s="734"/>
      <c r="AH42" s="736"/>
      <c r="AI42" s="736"/>
      <c r="AJ42" s="736"/>
      <c r="AK42" s="736"/>
      <c r="AL42" s="736"/>
      <c r="AM42" s="737">
        <f t="shared" si="10"/>
        <v>244</v>
      </c>
      <c r="AN42" s="1915">
        <f t="shared" si="11"/>
        <v>0</v>
      </c>
      <c r="AO42" s="1912"/>
      <c r="AP42" s="1912"/>
      <c r="AQ42" s="1912"/>
      <c r="AR42" s="1912"/>
      <c r="AS42" s="1912">
        <f t="shared" si="6"/>
        <v>0</v>
      </c>
      <c r="AT42" s="1912"/>
      <c r="AU42" s="1912"/>
      <c r="AV42" s="1912"/>
      <c r="AW42" s="1912"/>
      <c r="AX42" s="1912">
        <f t="shared" si="7"/>
        <v>0</v>
      </c>
      <c r="AY42" s="1912"/>
      <c r="AZ42" s="1912"/>
      <c r="BA42" s="1912"/>
      <c r="BB42" s="1912"/>
      <c r="BC42" s="1912">
        <f t="shared" si="8"/>
        <v>0</v>
      </c>
      <c r="BD42" s="1912"/>
      <c r="BE42" s="1912"/>
      <c r="BF42" s="1912"/>
      <c r="BG42" s="1912"/>
      <c r="BH42" s="1912">
        <f t="shared" si="9"/>
        <v>0</v>
      </c>
      <c r="BI42" s="1912"/>
      <c r="BJ42" s="1912"/>
      <c r="BK42" s="1912"/>
      <c r="BL42" s="1913"/>
    </row>
    <row r="43" spans="4:64" x14ac:dyDescent="0.3">
      <c r="D43" s="1206">
        <f>Infrastructure!D78</f>
        <v>274</v>
      </c>
      <c r="E43" s="1915">
        <f t="shared" si="1"/>
        <v>0</v>
      </c>
      <c r="F43" s="1912"/>
      <c r="G43" s="1912"/>
      <c r="H43" s="1912"/>
      <c r="I43" s="1912"/>
      <c r="J43" s="1912">
        <f t="shared" si="2"/>
        <v>0</v>
      </c>
      <c r="K43" s="1912"/>
      <c r="L43" s="1912"/>
      <c r="M43" s="1912"/>
      <c r="N43" s="1912"/>
      <c r="O43" s="1912">
        <f t="shared" si="3"/>
        <v>0</v>
      </c>
      <c r="P43" s="1912"/>
      <c r="Q43" s="1912"/>
      <c r="R43" s="1912"/>
      <c r="S43" s="1912"/>
      <c r="T43" s="1912">
        <f t="shared" si="4"/>
        <v>0</v>
      </c>
      <c r="U43" s="1912"/>
      <c r="V43" s="1912"/>
      <c r="W43" s="1912"/>
      <c r="X43" s="1912"/>
      <c r="Y43" s="1912">
        <f t="shared" si="5"/>
        <v>0</v>
      </c>
      <c r="Z43" s="1912"/>
      <c r="AA43" s="1912"/>
      <c r="AB43" s="1912"/>
      <c r="AC43" s="1913"/>
      <c r="AD43" s="734"/>
      <c r="AE43" s="734"/>
      <c r="AF43" s="734"/>
      <c r="AG43" s="734"/>
      <c r="AH43" s="736"/>
      <c r="AI43" s="736"/>
      <c r="AJ43" s="736"/>
      <c r="AK43" s="736"/>
      <c r="AL43" s="736"/>
      <c r="AM43" s="737">
        <f t="shared" si="10"/>
        <v>274</v>
      </c>
      <c r="AN43" s="1915">
        <f t="shared" si="11"/>
        <v>0</v>
      </c>
      <c r="AO43" s="1912"/>
      <c r="AP43" s="1912"/>
      <c r="AQ43" s="1912"/>
      <c r="AR43" s="1912"/>
      <c r="AS43" s="1912">
        <f t="shared" si="6"/>
        <v>0</v>
      </c>
      <c r="AT43" s="1912"/>
      <c r="AU43" s="1912"/>
      <c r="AV43" s="1912"/>
      <c r="AW43" s="1912"/>
      <c r="AX43" s="1912">
        <f t="shared" si="7"/>
        <v>0</v>
      </c>
      <c r="AY43" s="1912"/>
      <c r="AZ43" s="1912"/>
      <c r="BA43" s="1912"/>
      <c r="BB43" s="1912"/>
      <c r="BC43" s="1912">
        <f t="shared" si="8"/>
        <v>0</v>
      </c>
      <c r="BD43" s="1912"/>
      <c r="BE43" s="1912"/>
      <c r="BF43" s="1912"/>
      <c r="BG43" s="1912"/>
      <c r="BH43" s="1912">
        <f t="shared" si="9"/>
        <v>0</v>
      </c>
      <c r="BI43" s="1912"/>
      <c r="BJ43" s="1912"/>
      <c r="BK43" s="1912"/>
      <c r="BL43" s="1913"/>
    </row>
    <row r="44" spans="4:64" x14ac:dyDescent="0.3">
      <c r="D44" s="1206">
        <f>Infrastructure!D79</f>
        <v>305</v>
      </c>
      <c r="E44" s="1915">
        <f t="shared" si="1"/>
        <v>0</v>
      </c>
      <c r="F44" s="1912"/>
      <c r="G44" s="1912"/>
      <c r="H44" s="1912"/>
      <c r="I44" s="1912"/>
      <c r="J44" s="1912">
        <f t="shared" si="2"/>
        <v>0</v>
      </c>
      <c r="K44" s="1912"/>
      <c r="L44" s="1912"/>
      <c r="M44" s="1912"/>
      <c r="N44" s="1912"/>
      <c r="O44" s="1912">
        <f t="shared" si="3"/>
        <v>0</v>
      </c>
      <c r="P44" s="1912"/>
      <c r="Q44" s="1912"/>
      <c r="R44" s="1912"/>
      <c r="S44" s="1912"/>
      <c r="T44" s="1912">
        <f t="shared" si="4"/>
        <v>0</v>
      </c>
      <c r="U44" s="1912"/>
      <c r="V44" s="1912"/>
      <c r="W44" s="1912"/>
      <c r="X44" s="1912"/>
      <c r="Y44" s="1912">
        <f t="shared" si="5"/>
        <v>0</v>
      </c>
      <c r="Z44" s="1912"/>
      <c r="AA44" s="1912"/>
      <c r="AB44" s="1912"/>
      <c r="AC44" s="1913"/>
      <c r="AD44" s="734"/>
      <c r="AE44" s="734"/>
      <c r="AF44" s="734"/>
      <c r="AG44" s="734"/>
      <c r="AH44" s="736"/>
      <c r="AI44" s="736"/>
      <c r="AJ44" s="736"/>
      <c r="AK44" s="736"/>
      <c r="AL44" s="736"/>
      <c r="AM44" s="737">
        <f t="shared" si="10"/>
        <v>305</v>
      </c>
      <c r="AN44" s="1915">
        <f t="shared" si="11"/>
        <v>0</v>
      </c>
      <c r="AO44" s="1912"/>
      <c r="AP44" s="1912"/>
      <c r="AQ44" s="1912"/>
      <c r="AR44" s="1912"/>
      <c r="AS44" s="1912">
        <f t="shared" si="6"/>
        <v>0</v>
      </c>
      <c r="AT44" s="1912"/>
      <c r="AU44" s="1912"/>
      <c r="AV44" s="1912"/>
      <c r="AW44" s="1912"/>
      <c r="AX44" s="1912">
        <f t="shared" si="7"/>
        <v>0</v>
      </c>
      <c r="AY44" s="1912"/>
      <c r="AZ44" s="1912"/>
      <c r="BA44" s="1912"/>
      <c r="BB44" s="1912"/>
      <c r="BC44" s="1912">
        <f t="shared" si="8"/>
        <v>0</v>
      </c>
      <c r="BD44" s="1912"/>
      <c r="BE44" s="1912"/>
      <c r="BF44" s="1912"/>
      <c r="BG44" s="1912"/>
      <c r="BH44" s="1912">
        <f t="shared" si="9"/>
        <v>0</v>
      </c>
      <c r="BI44" s="1912"/>
      <c r="BJ44" s="1912"/>
      <c r="BK44" s="1912"/>
      <c r="BL44" s="1913"/>
    </row>
    <row r="45" spans="4:64" x14ac:dyDescent="0.3">
      <c r="D45" s="1206">
        <f>Infrastructure!D80</f>
        <v>335</v>
      </c>
      <c r="E45" s="1915">
        <f t="shared" si="1"/>
        <v>0</v>
      </c>
      <c r="F45" s="1912"/>
      <c r="G45" s="1912"/>
      <c r="H45" s="1912"/>
      <c r="I45" s="1912"/>
      <c r="J45" s="1912">
        <f t="shared" si="2"/>
        <v>0</v>
      </c>
      <c r="K45" s="1912"/>
      <c r="L45" s="1912"/>
      <c r="M45" s="1912"/>
      <c r="N45" s="1912"/>
      <c r="O45" s="1912">
        <f t="shared" si="3"/>
        <v>0</v>
      </c>
      <c r="P45" s="1912"/>
      <c r="Q45" s="1912"/>
      <c r="R45" s="1912"/>
      <c r="S45" s="1912"/>
      <c r="T45" s="1912">
        <f t="shared" si="4"/>
        <v>0</v>
      </c>
      <c r="U45" s="1912"/>
      <c r="V45" s="1912"/>
      <c r="W45" s="1912"/>
      <c r="X45" s="1912"/>
      <c r="Y45" s="1912">
        <f t="shared" si="5"/>
        <v>0</v>
      </c>
      <c r="Z45" s="1912"/>
      <c r="AA45" s="1912"/>
      <c r="AB45" s="1912"/>
      <c r="AC45" s="1913"/>
      <c r="AD45" s="734"/>
      <c r="AE45" s="734"/>
      <c r="AF45" s="734"/>
      <c r="AG45" s="734"/>
      <c r="AH45" s="736"/>
      <c r="AI45" s="736"/>
      <c r="AJ45" s="736"/>
      <c r="AK45" s="736"/>
      <c r="AL45" s="736"/>
      <c r="AM45" s="737">
        <f t="shared" si="10"/>
        <v>335</v>
      </c>
      <c r="AN45" s="1915">
        <f t="shared" si="11"/>
        <v>0</v>
      </c>
      <c r="AO45" s="1912"/>
      <c r="AP45" s="1912"/>
      <c r="AQ45" s="1912"/>
      <c r="AR45" s="1912"/>
      <c r="AS45" s="1912">
        <f t="shared" si="6"/>
        <v>0</v>
      </c>
      <c r="AT45" s="1912"/>
      <c r="AU45" s="1912"/>
      <c r="AV45" s="1912"/>
      <c r="AW45" s="1912"/>
      <c r="AX45" s="1912">
        <f t="shared" si="7"/>
        <v>0</v>
      </c>
      <c r="AY45" s="1912"/>
      <c r="AZ45" s="1912"/>
      <c r="BA45" s="1912"/>
      <c r="BB45" s="1912"/>
      <c r="BC45" s="1912">
        <f t="shared" si="8"/>
        <v>0</v>
      </c>
      <c r="BD45" s="1912"/>
      <c r="BE45" s="1912"/>
      <c r="BF45" s="1912"/>
      <c r="BG45" s="1912"/>
      <c r="BH45" s="1912">
        <f t="shared" si="9"/>
        <v>0</v>
      </c>
      <c r="BI45" s="1912"/>
      <c r="BJ45" s="1912"/>
      <c r="BK45" s="1912"/>
      <c r="BL45" s="1913"/>
    </row>
    <row r="46" spans="4:64" ht="13.5" thickBot="1" x14ac:dyDescent="0.35">
      <c r="D46" s="1206">
        <f>Infrastructure!D81</f>
        <v>366</v>
      </c>
      <c r="E46" s="1914">
        <f t="shared" si="1"/>
        <v>0</v>
      </c>
      <c r="F46" s="1910"/>
      <c r="G46" s="1910"/>
      <c r="H46" s="1910"/>
      <c r="I46" s="1910"/>
      <c r="J46" s="1910">
        <f t="shared" si="2"/>
        <v>0</v>
      </c>
      <c r="K46" s="1910"/>
      <c r="L46" s="1910"/>
      <c r="M46" s="1910"/>
      <c r="N46" s="1910"/>
      <c r="O46" s="1910">
        <f t="shared" si="3"/>
        <v>0</v>
      </c>
      <c r="P46" s="1910"/>
      <c r="Q46" s="1910"/>
      <c r="R46" s="1910"/>
      <c r="S46" s="1910"/>
      <c r="T46" s="1910">
        <f t="shared" si="4"/>
        <v>0</v>
      </c>
      <c r="U46" s="1910"/>
      <c r="V46" s="1910"/>
      <c r="W46" s="1910"/>
      <c r="X46" s="1910"/>
      <c r="Y46" s="1910">
        <f t="shared" si="5"/>
        <v>0</v>
      </c>
      <c r="Z46" s="1910"/>
      <c r="AA46" s="1910"/>
      <c r="AB46" s="1910"/>
      <c r="AC46" s="1911"/>
      <c r="AD46" s="734"/>
      <c r="AE46" s="734"/>
      <c r="AF46" s="734"/>
      <c r="AG46" s="734"/>
      <c r="AH46" s="736"/>
      <c r="AI46" s="736"/>
      <c r="AJ46" s="736"/>
      <c r="AK46" s="736"/>
      <c r="AL46" s="736"/>
      <c r="AM46" s="737">
        <f t="shared" si="10"/>
        <v>366</v>
      </c>
      <c r="AN46" s="1914">
        <f t="shared" si="11"/>
        <v>0</v>
      </c>
      <c r="AO46" s="1910"/>
      <c r="AP46" s="1910"/>
      <c r="AQ46" s="1910"/>
      <c r="AR46" s="1910"/>
      <c r="AS46" s="1910">
        <f t="shared" si="6"/>
        <v>0</v>
      </c>
      <c r="AT46" s="1910"/>
      <c r="AU46" s="1910"/>
      <c r="AV46" s="1910"/>
      <c r="AW46" s="1910"/>
      <c r="AX46" s="1910">
        <f t="shared" si="7"/>
        <v>0</v>
      </c>
      <c r="AY46" s="1910"/>
      <c r="AZ46" s="1910"/>
      <c r="BA46" s="1910"/>
      <c r="BB46" s="1910"/>
      <c r="BC46" s="1910">
        <f t="shared" si="8"/>
        <v>0</v>
      </c>
      <c r="BD46" s="1910"/>
      <c r="BE46" s="1910"/>
      <c r="BF46" s="1910"/>
      <c r="BG46" s="1910"/>
      <c r="BH46" s="1910">
        <f t="shared" si="9"/>
        <v>0</v>
      </c>
      <c r="BI46" s="1910"/>
      <c r="BJ46" s="1910"/>
      <c r="BK46" s="1910"/>
      <c r="BL46" s="1911"/>
    </row>
    <row r="126" spans="111:113" x14ac:dyDescent="0.3">
      <c r="DG126" s="82">
        <v>1</v>
      </c>
      <c r="DH126" s="82">
        <f>$E$29</f>
        <v>0</v>
      </c>
      <c r="DI126" s="82"/>
    </row>
    <row r="127" spans="111:113" x14ac:dyDescent="0.3">
      <c r="DG127" s="82">
        <v>2</v>
      </c>
      <c r="DH127" s="82">
        <f>$F$29</f>
        <v>0</v>
      </c>
      <c r="DI127" s="82"/>
    </row>
    <row r="128" spans="111:113" x14ac:dyDescent="0.3">
      <c r="DG128" s="82">
        <v>3</v>
      </c>
      <c r="DH128" s="82">
        <f>$G$29</f>
        <v>0</v>
      </c>
      <c r="DI128" s="82"/>
    </row>
    <row r="129" spans="111:113" x14ac:dyDescent="0.3">
      <c r="DG129" s="82">
        <v>4</v>
      </c>
      <c r="DH129" s="82">
        <f>$H$29</f>
        <v>0</v>
      </c>
      <c r="DI129" s="82"/>
    </row>
    <row r="130" spans="111:113" x14ac:dyDescent="0.3">
      <c r="DG130" s="82">
        <v>5</v>
      </c>
      <c r="DH130" s="82">
        <f>$I$29</f>
        <v>0</v>
      </c>
      <c r="DI130" s="82"/>
    </row>
    <row r="131" spans="111:113" x14ac:dyDescent="0.3">
      <c r="DG131" s="82">
        <v>6</v>
      </c>
      <c r="DH131" s="82">
        <f>$J$29</f>
        <v>0</v>
      </c>
      <c r="DI131" s="82"/>
    </row>
    <row r="132" spans="111:113" x14ac:dyDescent="0.3">
      <c r="DG132" s="82">
        <v>7</v>
      </c>
      <c r="DH132" s="82">
        <f>$K$29</f>
        <v>0</v>
      </c>
      <c r="DI132" s="82"/>
    </row>
    <row r="133" spans="111:113" x14ac:dyDescent="0.3">
      <c r="DG133" s="82">
        <v>8</v>
      </c>
      <c r="DH133" s="82">
        <f>$L$29</f>
        <v>0</v>
      </c>
      <c r="DI133" s="82"/>
    </row>
    <row r="134" spans="111:113" x14ac:dyDescent="0.3">
      <c r="DG134" s="82">
        <v>9</v>
      </c>
      <c r="DH134" s="82">
        <f>$M$29</f>
        <v>0</v>
      </c>
      <c r="DI134" s="82"/>
    </row>
    <row r="135" spans="111:113" x14ac:dyDescent="0.3">
      <c r="DG135" s="82">
        <v>10</v>
      </c>
      <c r="DH135" s="82">
        <f>$N$29</f>
        <v>0</v>
      </c>
      <c r="DI135" s="82"/>
    </row>
    <row r="136" spans="111:113" x14ac:dyDescent="0.3">
      <c r="DG136" s="82">
        <v>11</v>
      </c>
      <c r="DH136" s="82">
        <f>$O$29</f>
        <v>0</v>
      </c>
      <c r="DI136" s="82"/>
    </row>
    <row r="137" spans="111:113" x14ac:dyDescent="0.3">
      <c r="DG137" s="82">
        <v>12</v>
      </c>
      <c r="DH137" s="82">
        <f>$P$29</f>
        <v>0</v>
      </c>
      <c r="DI137" s="82"/>
    </row>
    <row r="138" spans="111:113" x14ac:dyDescent="0.3">
      <c r="DG138" s="82">
        <v>13</v>
      </c>
      <c r="DH138" s="82">
        <f>$Q$29</f>
        <v>0</v>
      </c>
      <c r="DI138" s="82"/>
    </row>
    <row r="139" spans="111:113" x14ac:dyDescent="0.3">
      <c r="DG139" s="82">
        <v>14</v>
      </c>
      <c r="DH139" s="82">
        <f>$R$29</f>
        <v>0</v>
      </c>
      <c r="DI139" s="82"/>
    </row>
    <row r="140" spans="111:113" x14ac:dyDescent="0.3">
      <c r="DG140" s="82">
        <v>15</v>
      </c>
      <c r="DH140" s="82">
        <f>$S$29</f>
        <v>0</v>
      </c>
      <c r="DI140" s="82"/>
    </row>
    <row r="141" spans="111:113" x14ac:dyDescent="0.3">
      <c r="DG141" s="82">
        <v>16</v>
      </c>
      <c r="DH141" s="82">
        <f>$T$29</f>
        <v>0</v>
      </c>
      <c r="DI141" s="82"/>
    </row>
    <row r="142" spans="111:113" x14ac:dyDescent="0.3">
      <c r="DG142" s="82">
        <v>17</v>
      </c>
      <c r="DH142" s="82">
        <f>$U$29</f>
        <v>0</v>
      </c>
      <c r="DI142" s="82"/>
    </row>
    <row r="143" spans="111:113" x14ac:dyDescent="0.3">
      <c r="DG143" s="82">
        <v>18</v>
      </c>
      <c r="DH143" s="82">
        <f>$V$29</f>
        <v>0</v>
      </c>
      <c r="DI143" s="82"/>
    </row>
    <row r="144" spans="111:113" x14ac:dyDescent="0.3">
      <c r="DG144" s="82">
        <v>19</v>
      </c>
      <c r="DH144" s="82">
        <f>$W$29</f>
        <v>0</v>
      </c>
      <c r="DI144" s="82"/>
    </row>
    <row r="145" spans="111:113" x14ac:dyDescent="0.3">
      <c r="DG145" s="82">
        <v>20</v>
      </c>
      <c r="DH145" s="82">
        <f>$X$29</f>
        <v>0</v>
      </c>
      <c r="DI145" s="82"/>
    </row>
    <row r="146" spans="111:113" x14ac:dyDescent="0.3">
      <c r="DG146" s="82">
        <v>21</v>
      </c>
      <c r="DH146" s="82">
        <f>$Y$29</f>
        <v>0</v>
      </c>
      <c r="DI146" s="82"/>
    </row>
    <row r="147" spans="111:113" x14ac:dyDescent="0.3">
      <c r="DG147" s="82">
        <v>22</v>
      </c>
      <c r="DH147" s="82">
        <f>$Z$29</f>
        <v>0</v>
      </c>
      <c r="DI147" s="82"/>
    </row>
    <row r="148" spans="111:113" x14ac:dyDescent="0.3">
      <c r="DG148" s="82">
        <v>23</v>
      </c>
      <c r="DH148" s="82">
        <f>$AA$29</f>
        <v>0</v>
      </c>
      <c r="DI148" s="82"/>
    </row>
    <row r="149" spans="111:113" x14ac:dyDescent="0.3">
      <c r="DG149" s="82">
        <v>24</v>
      </c>
      <c r="DH149" s="82">
        <f>$AB$29</f>
        <v>0</v>
      </c>
      <c r="DI149" s="82"/>
    </row>
    <row r="150" spans="111:113" x14ac:dyDescent="0.3">
      <c r="DG150" s="82">
        <v>25</v>
      </c>
      <c r="DH150" s="82">
        <f>$AC$29</f>
        <v>0</v>
      </c>
      <c r="DI150" s="82"/>
    </row>
    <row r="151" spans="111:113" x14ac:dyDescent="0.3">
      <c r="DG151" s="82">
        <v>26</v>
      </c>
      <c r="DH151" s="82">
        <f>$AD$29</f>
        <v>0</v>
      </c>
      <c r="DI151" s="82"/>
    </row>
    <row r="152" spans="111:113" x14ac:dyDescent="0.3">
      <c r="DG152" s="82">
        <v>27</v>
      </c>
      <c r="DH152" s="82">
        <f>$AE$29</f>
        <v>0</v>
      </c>
      <c r="DI152" s="82"/>
    </row>
    <row r="153" spans="111:113" x14ac:dyDescent="0.3">
      <c r="DG153" s="82">
        <v>28</v>
      </c>
      <c r="DH153" s="82">
        <f>$AF$29</f>
        <v>0</v>
      </c>
      <c r="DI153" s="82"/>
    </row>
    <row r="154" spans="111:113" x14ac:dyDescent="0.3">
      <c r="DG154" s="82">
        <v>29</v>
      </c>
      <c r="DH154" s="82">
        <f>$AG$29</f>
        <v>0</v>
      </c>
      <c r="DI154" s="82"/>
    </row>
    <row r="155" spans="111:113" x14ac:dyDescent="0.3">
      <c r="DG155" s="82">
        <v>30</v>
      </c>
      <c r="DH155" s="82">
        <f>$AH$29</f>
        <v>0</v>
      </c>
      <c r="DI155" s="82"/>
    </row>
    <row r="156" spans="111:113" x14ac:dyDescent="0.3">
      <c r="DG156" s="82">
        <v>31</v>
      </c>
      <c r="DH156" s="82">
        <f>$AI$29</f>
        <v>0</v>
      </c>
      <c r="DI156" s="82"/>
    </row>
    <row r="157" spans="111:113" x14ac:dyDescent="0.3">
      <c r="DG157" s="82">
        <v>32</v>
      </c>
      <c r="DH157" s="82">
        <f>$AJ$29</f>
        <v>0</v>
      </c>
      <c r="DI157" s="82"/>
    </row>
    <row r="158" spans="111:113" x14ac:dyDescent="0.3">
      <c r="DG158" s="82">
        <v>33</v>
      </c>
      <c r="DH158" s="82">
        <f>$AK$29</f>
        <v>0</v>
      </c>
      <c r="DI158" s="82"/>
    </row>
    <row r="159" spans="111:113" x14ac:dyDescent="0.3">
      <c r="DG159" s="82">
        <v>34</v>
      </c>
      <c r="DH159" s="82">
        <f>$AL$29</f>
        <v>0</v>
      </c>
      <c r="DI159" s="82"/>
    </row>
    <row r="160" spans="111:113" x14ac:dyDescent="0.3">
      <c r="DG160" s="82">
        <v>35</v>
      </c>
      <c r="DH160" s="82">
        <f>$AM$29</f>
        <v>0</v>
      </c>
      <c r="DI160" s="82"/>
    </row>
    <row r="161" spans="111:113" x14ac:dyDescent="0.3">
      <c r="DG161" s="82">
        <v>36</v>
      </c>
      <c r="DH161" s="82">
        <f>$AN$29</f>
        <v>0</v>
      </c>
      <c r="DI161" s="82"/>
    </row>
    <row r="162" spans="111:113" x14ac:dyDescent="0.3">
      <c r="DG162" s="82">
        <v>37</v>
      </c>
      <c r="DH162" s="82">
        <f>$AO$29</f>
        <v>0</v>
      </c>
      <c r="DI162" s="82"/>
    </row>
    <row r="163" spans="111:113" x14ac:dyDescent="0.3">
      <c r="DG163" s="82">
        <v>38</v>
      </c>
      <c r="DH163" s="82">
        <f>$AP$29</f>
        <v>0</v>
      </c>
      <c r="DI163" s="82"/>
    </row>
    <row r="164" spans="111:113" x14ac:dyDescent="0.3">
      <c r="DG164" s="82">
        <v>39</v>
      </c>
      <c r="DH164" s="82">
        <f>$AQ$29</f>
        <v>0</v>
      </c>
      <c r="DI164" s="82"/>
    </row>
    <row r="165" spans="111:113" x14ac:dyDescent="0.3">
      <c r="DG165" s="82">
        <v>40</v>
      </c>
      <c r="DH165" s="82">
        <f>$AR$29</f>
        <v>0</v>
      </c>
      <c r="DI165" s="82"/>
    </row>
    <row r="166" spans="111:113" x14ac:dyDescent="0.3">
      <c r="DG166" s="82">
        <v>41</v>
      </c>
      <c r="DH166" s="82">
        <f>$AS$29</f>
        <v>0</v>
      </c>
      <c r="DI166" s="82"/>
    </row>
    <row r="167" spans="111:113" x14ac:dyDescent="0.3">
      <c r="DG167" s="82">
        <v>42</v>
      </c>
      <c r="DH167" s="82">
        <f>$AT$29</f>
        <v>0</v>
      </c>
      <c r="DI167" s="82"/>
    </row>
    <row r="168" spans="111:113" x14ac:dyDescent="0.3">
      <c r="DG168" s="82">
        <v>43</v>
      </c>
      <c r="DH168" s="82">
        <f>$AU$29</f>
        <v>0</v>
      </c>
      <c r="DI168" s="82"/>
    </row>
    <row r="169" spans="111:113" x14ac:dyDescent="0.3">
      <c r="DG169" s="82">
        <v>44</v>
      </c>
      <c r="DH169" s="82">
        <f>$AV$29</f>
        <v>0</v>
      </c>
      <c r="DI169" s="82"/>
    </row>
    <row r="170" spans="111:113" x14ac:dyDescent="0.3">
      <c r="DG170" s="82">
        <v>45</v>
      </c>
      <c r="DH170" s="82">
        <f>$AW$29</f>
        <v>0</v>
      </c>
      <c r="DI170" s="82"/>
    </row>
    <row r="171" spans="111:113" x14ac:dyDescent="0.3">
      <c r="DG171" s="82">
        <v>46</v>
      </c>
      <c r="DH171" s="82">
        <f>$AX$29</f>
        <v>0</v>
      </c>
      <c r="DI171" s="82"/>
    </row>
    <row r="172" spans="111:113" x14ac:dyDescent="0.3">
      <c r="DG172" s="82">
        <v>47</v>
      </c>
      <c r="DH172" s="82">
        <f>$AY$29</f>
        <v>0</v>
      </c>
      <c r="DI172" s="82"/>
    </row>
    <row r="173" spans="111:113" x14ac:dyDescent="0.3">
      <c r="DG173" s="82">
        <v>48</v>
      </c>
      <c r="DH173" s="82">
        <f>$AZ$29</f>
        <v>0</v>
      </c>
      <c r="DI173" s="82"/>
    </row>
    <row r="174" spans="111:113" x14ac:dyDescent="0.3">
      <c r="DG174" s="82">
        <v>49</v>
      </c>
      <c r="DH174" s="82">
        <f>$BA$29</f>
        <v>0</v>
      </c>
      <c r="DI174" s="82"/>
    </row>
    <row r="175" spans="111:113" x14ac:dyDescent="0.3">
      <c r="DG175" s="82">
        <v>50</v>
      </c>
      <c r="DH175" s="82">
        <f>$BB$29</f>
        <v>0</v>
      </c>
      <c r="DI175" s="82"/>
    </row>
    <row r="176" spans="111:113" x14ac:dyDescent="0.3">
      <c r="DG176" s="82">
        <v>51</v>
      </c>
      <c r="DH176" s="82">
        <f>$BC$29</f>
        <v>0</v>
      </c>
      <c r="DI176" s="82"/>
    </row>
    <row r="177" spans="111:113" x14ac:dyDescent="0.3">
      <c r="DG177" s="82">
        <v>52</v>
      </c>
      <c r="DH177" s="82">
        <f>$BD$29</f>
        <v>0</v>
      </c>
      <c r="DI177" s="82"/>
    </row>
    <row r="178" spans="111:113" x14ac:dyDescent="0.3">
      <c r="DG178" s="82">
        <v>53</v>
      </c>
      <c r="DH178" s="82">
        <f>$BE$29</f>
        <v>0</v>
      </c>
      <c r="DI178" s="82"/>
    </row>
    <row r="179" spans="111:113" x14ac:dyDescent="0.3">
      <c r="DG179" s="82">
        <v>54</v>
      </c>
      <c r="DH179" s="82">
        <f>$BF$29</f>
        <v>0</v>
      </c>
      <c r="DI179" s="82"/>
    </row>
    <row r="180" spans="111:113" x14ac:dyDescent="0.3">
      <c r="DG180" s="82">
        <v>55</v>
      </c>
      <c r="DH180" s="82">
        <f>$BG$29</f>
        <v>0</v>
      </c>
      <c r="DI180" s="82"/>
    </row>
    <row r="181" spans="111:113" x14ac:dyDescent="0.3">
      <c r="DG181" s="82">
        <v>56</v>
      </c>
      <c r="DH181" s="82">
        <f>$BH$29</f>
        <v>0</v>
      </c>
      <c r="DI181" s="82"/>
    </row>
    <row r="182" spans="111:113" x14ac:dyDescent="0.3">
      <c r="DG182" s="82">
        <v>57</v>
      </c>
      <c r="DH182" s="82">
        <f>$BI$29</f>
        <v>0</v>
      </c>
      <c r="DI182" s="82"/>
    </row>
    <row r="183" spans="111:113" x14ac:dyDescent="0.3">
      <c r="DG183" s="82">
        <v>58</v>
      </c>
      <c r="DH183" s="82">
        <f>$BJ$29</f>
        <v>0</v>
      </c>
      <c r="DI183" s="82"/>
    </row>
    <row r="184" spans="111:113" x14ac:dyDescent="0.3">
      <c r="DG184" s="82">
        <v>59</v>
      </c>
      <c r="DH184" s="82">
        <f>$BK$29</f>
        <v>0</v>
      </c>
      <c r="DI184" s="82"/>
    </row>
    <row r="185" spans="111:113" x14ac:dyDescent="0.3">
      <c r="DG185" s="82">
        <v>60</v>
      </c>
      <c r="DH185" s="82">
        <f>$BL$29</f>
        <v>0</v>
      </c>
      <c r="DI185" s="82"/>
    </row>
  </sheetData>
  <sheetProtection algorithmName="SHA-512" hashValue="/cnH8E/10jk8K+fU8R5ZPmyDpeisxwZ9Oyqo4Eymsp7JWM03s3wO4wVjfX2UWQAyrG9IypDdauAXYxUwPPblZw==" saltValue="Zuha6cmKTSZkR2ImTyoc3Q==" spinCount="100000" sheet="1" objects="1" scenarios="1"/>
  <mergeCells count="132">
    <mergeCell ref="E32:AC32"/>
    <mergeCell ref="AN32:BL32"/>
    <mergeCell ref="E34:I34"/>
    <mergeCell ref="J34:N34"/>
    <mergeCell ref="O34:S34"/>
    <mergeCell ref="T34:X34"/>
    <mergeCell ref="Y34:AC34"/>
    <mergeCell ref="AN34:AR34"/>
    <mergeCell ref="AS34:AW34"/>
    <mergeCell ref="AX34:BB34"/>
    <mergeCell ref="BC34:BG34"/>
    <mergeCell ref="BH34:BL34"/>
    <mergeCell ref="BH35:BL35"/>
    <mergeCell ref="E36:I36"/>
    <mergeCell ref="J36:N36"/>
    <mergeCell ref="O36:S36"/>
    <mergeCell ref="T36:X36"/>
    <mergeCell ref="Y36:AC36"/>
    <mergeCell ref="AN36:AR36"/>
    <mergeCell ref="AS36:AW36"/>
    <mergeCell ref="AX36:BB36"/>
    <mergeCell ref="BC36:BG36"/>
    <mergeCell ref="BH36:BL36"/>
    <mergeCell ref="E35:I35"/>
    <mergeCell ref="J35:N35"/>
    <mergeCell ref="O35:S35"/>
    <mergeCell ref="T35:X35"/>
    <mergeCell ref="Y35:AC35"/>
    <mergeCell ref="AN35:AR35"/>
    <mergeCell ref="AS35:AW35"/>
    <mergeCell ref="AX35:BB35"/>
    <mergeCell ref="BC35:BG35"/>
    <mergeCell ref="BH37:BL37"/>
    <mergeCell ref="E38:I38"/>
    <mergeCell ref="J38:N38"/>
    <mergeCell ref="O38:S38"/>
    <mergeCell ref="T38:X38"/>
    <mergeCell ref="Y38:AC38"/>
    <mergeCell ref="AN38:AR38"/>
    <mergeCell ref="AS38:AW38"/>
    <mergeCell ref="AX38:BB38"/>
    <mergeCell ref="BC38:BG38"/>
    <mergeCell ref="BH38:BL38"/>
    <mergeCell ref="E37:I37"/>
    <mergeCell ref="J37:N37"/>
    <mergeCell ref="O37:S37"/>
    <mergeCell ref="T37:X37"/>
    <mergeCell ref="Y37:AC37"/>
    <mergeCell ref="AN37:AR37"/>
    <mergeCell ref="AS37:AW37"/>
    <mergeCell ref="AX37:BB37"/>
    <mergeCell ref="BC37:BG37"/>
    <mergeCell ref="BH39:BL39"/>
    <mergeCell ref="E40:I40"/>
    <mergeCell ref="J40:N40"/>
    <mergeCell ref="O40:S40"/>
    <mergeCell ref="T40:X40"/>
    <mergeCell ref="Y40:AC40"/>
    <mergeCell ref="AN40:AR40"/>
    <mergeCell ref="AS40:AW40"/>
    <mergeCell ref="AX40:BB40"/>
    <mergeCell ref="BC40:BG40"/>
    <mergeCell ref="BH40:BL40"/>
    <mergeCell ref="E39:I39"/>
    <mergeCell ref="J39:N39"/>
    <mergeCell ref="O39:S39"/>
    <mergeCell ref="T39:X39"/>
    <mergeCell ref="Y39:AC39"/>
    <mergeCell ref="AN39:AR39"/>
    <mergeCell ref="AS39:AW39"/>
    <mergeCell ref="AX39:BB39"/>
    <mergeCell ref="BC39:BG39"/>
    <mergeCell ref="BH41:BL41"/>
    <mergeCell ref="E42:I42"/>
    <mergeCell ref="J42:N42"/>
    <mergeCell ref="O42:S42"/>
    <mergeCell ref="T42:X42"/>
    <mergeCell ref="Y42:AC42"/>
    <mergeCell ref="AN42:AR42"/>
    <mergeCell ref="AS42:AW42"/>
    <mergeCell ref="AX42:BB42"/>
    <mergeCell ref="BC42:BG42"/>
    <mergeCell ref="BH42:BL42"/>
    <mergeCell ref="E41:I41"/>
    <mergeCell ref="J41:N41"/>
    <mergeCell ref="O41:S41"/>
    <mergeCell ref="T41:X41"/>
    <mergeCell ref="Y41:AC41"/>
    <mergeCell ref="AN41:AR41"/>
    <mergeCell ref="AS41:AW41"/>
    <mergeCell ref="AX41:BB41"/>
    <mergeCell ref="BC41:BG41"/>
    <mergeCell ref="BH43:BL43"/>
    <mergeCell ref="E44:I44"/>
    <mergeCell ref="J44:N44"/>
    <mergeCell ref="O44:S44"/>
    <mergeCell ref="T44:X44"/>
    <mergeCell ref="Y44:AC44"/>
    <mergeCell ref="AN44:AR44"/>
    <mergeCell ref="AS44:AW44"/>
    <mergeCell ref="AX44:BB44"/>
    <mergeCell ref="BC44:BG44"/>
    <mergeCell ref="BH44:BL44"/>
    <mergeCell ref="E43:I43"/>
    <mergeCell ref="J43:N43"/>
    <mergeCell ref="O43:S43"/>
    <mergeCell ref="T43:X43"/>
    <mergeCell ref="Y43:AC43"/>
    <mergeCell ref="AN43:AR43"/>
    <mergeCell ref="AS43:AW43"/>
    <mergeCell ref="AX43:BB43"/>
    <mergeCell ref="BC43:BG43"/>
    <mergeCell ref="BH46:BL46"/>
    <mergeCell ref="BC45:BG45"/>
    <mergeCell ref="BH45:BL45"/>
    <mergeCell ref="E46:I46"/>
    <mergeCell ref="J46:N46"/>
    <mergeCell ref="O46:S46"/>
    <mergeCell ref="T46:X46"/>
    <mergeCell ref="Y46:AC46"/>
    <mergeCell ref="AN46:AR46"/>
    <mergeCell ref="AS46:AW46"/>
    <mergeCell ref="AX46:BB46"/>
    <mergeCell ref="E45:I45"/>
    <mergeCell ref="J45:N45"/>
    <mergeCell ref="O45:S45"/>
    <mergeCell ref="T45:X45"/>
    <mergeCell ref="Y45:AC45"/>
    <mergeCell ref="AN45:AR45"/>
    <mergeCell ref="AS45:AW45"/>
    <mergeCell ref="AX45:BB45"/>
    <mergeCell ref="BC46:BG46"/>
  </mergeCells>
  <conditionalFormatting sqref="E35:AC46">
    <cfRule type="cellIs" dxfId="82" priority="8" operator="lessThan">
      <formula>0</formula>
    </cfRule>
    <cfRule type="cellIs" dxfId="81" priority="9" operator="greaterThan">
      <formula>1</formula>
    </cfRule>
  </conditionalFormatting>
  <conditionalFormatting sqref="E29:BL29">
    <cfRule type="cellIs" dxfId="80" priority="14" stopIfTrue="1" operator="equal">
      <formula>0</formula>
    </cfRule>
    <cfRule type="cellIs" dxfId="79" priority="15" operator="lessThan">
      <formula>-1</formula>
    </cfRule>
    <cfRule type="cellIs" dxfId="78" priority="16" operator="greaterThan">
      <formula>1</formula>
    </cfRule>
  </conditionalFormatting>
  <conditionalFormatting sqref="O35:S46 AX35:BB46">
    <cfRule type="expression" dxfId="77" priority="3">
      <formula>Years="Five"</formula>
    </cfRule>
  </conditionalFormatting>
  <conditionalFormatting sqref="AN29:AN30">
    <cfRule type="expression" dxfId="76" priority="1">
      <formula>Years="Five"</formula>
    </cfRule>
  </conditionalFormatting>
  <conditionalFormatting sqref="AN35:BL46">
    <cfRule type="colorScale" priority="2">
      <colorScale>
        <cfvo type="min"/>
        <cfvo type="percentile" val="50"/>
        <cfvo type="max"/>
        <color rgb="FFF8696B"/>
        <color rgb="FFFFEB84"/>
        <color rgb="FF63BE7B"/>
      </colorScale>
    </cfRule>
  </conditionalFormatting>
  <conditionalFormatting sqref="BC34:BL46 AO29:BL30 T35:AC46">
    <cfRule type="expression" dxfId="75" priority="5">
      <formula>AND(Years="Three",Mode="Light")</formula>
    </cfRule>
  </conditionalFormatting>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15677-7A1E-40FE-910D-65B9FF5A2069}">
  <sheetPr codeName="Sheet1">
    <tabColor theme="0" tint="-4.9989318521683403E-2"/>
  </sheetPr>
  <dimension ref="A1:BC200"/>
  <sheetViews>
    <sheetView showGridLines="0" workbookViewId="0">
      <selection activeCell="C5" sqref="C5"/>
    </sheetView>
  </sheetViews>
  <sheetFormatPr defaultRowHeight="15.5" x14ac:dyDescent="0.35"/>
  <cols>
    <col min="2" max="2" width="16.58203125" customWidth="1"/>
    <col min="3" max="15" width="11.25" customWidth="1"/>
    <col min="16" max="16" width="9.58203125" bestFit="1" customWidth="1"/>
    <col min="18" max="18" width="10" bestFit="1" customWidth="1"/>
    <col min="20" max="21" width="9.83203125" bestFit="1" customWidth="1"/>
    <col min="30" max="44" width="9" customWidth="1"/>
  </cols>
  <sheetData>
    <row r="1" spans="1:55" ht="12" customHeight="1" x14ac:dyDescent="0.35"/>
    <row r="2" spans="1:55" s="1" customFormat="1" ht="18" customHeight="1" x14ac:dyDescent="0.35">
      <c r="A2" s="1003" t="s">
        <v>655</v>
      </c>
      <c r="E2" s="1921" t="str">
        <f>IF(C5="","",IF(Input!D18="",C5,Input!D18&amp;" "&amp;C5))</f>
        <v/>
      </c>
      <c r="F2" s="1921"/>
      <c r="G2" s="1921"/>
      <c r="H2" s="1921"/>
      <c r="I2" s="1921"/>
      <c r="X2" s="20"/>
      <c r="AI2" s="1044"/>
      <c r="AJ2" s="1044"/>
      <c r="AK2" s="1044"/>
      <c r="AL2" s="1044"/>
      <c r="AM2" s="1044"/>
      <c r="AN2" s="1044"/>
      <c r="AO2" s="1044"/>
      <c r="AP2" s="1044"/>
      <c r="AQ2" s="1044"/>
      <c r="AR2" s="1044"/>
      <c r="AS2" s="1044"/>
      <c r="AT2" s="1044"/>
      <c r="AU2" s="1044"/>
      <c r="AV2" s="1044"/>
      <c r="AW2" s="1044"/>
      <c r="AX2" s="1044"/>
      <c r="AY2" s="1044"/>
      <c r="AZ2" s="1044"/>
      <c r="BA2" s="1044"/>
    </row>
    <row r="3" spans="1:55" s="1" customFormat="1" ht="18" customHeight="1" x14ac:dyDescent="0.35">
      <c r="A3" s="1003"/>
      <c r="E3" s="1922" t="str">
        <f>IF(E2="","","Trailing 12 Months")</f>
        <v/>
      </c>
      <c r="F3" s="1922"/>
      <c r="G3" s="1922"/>
      <c r="H3" s="1922"/>
      <c r="I3" s="1922"/>
      <c r="X3" s="20"/>
      <c r="AI3" s="1044"/>
      <c r="AJ3" s="1044"/>
      <c r="AK3" s="1044"/>
      <c r="AL3" s="1044"/>
      <c r="AM3" s="1044"/>
      <c r="AN3" s="1044"/>
      <c r="AO3" s="1044"/>
      <c r="AP3" s="1044"/>
      <c r="AQ3" s="1044"/>
      <c r="AR3" s="1044"/>
      <c r="AS3" s="1044"/>
      <c r="AT3" s="1044"/>
      <c r="AU3" s="338"/>
      <c r="AV3" s="338"/>
      <c r="AW3" s="338"/>
      <c r="AX3" s="338"/>
      <c r="AY3" s="338"/>
      <c r="AZ3" s="338"/>
      <c r="BA3" s="338"/>
      <c r="BB3" s="338"/>
      <c r="BC3" s="338"/>
    </row>
    <row r="4" spans="1:55" s="1" customFormat="1" ht="12" customHeight="1" thickBot="1" x14ac:dyDescent="0.3">
      <c r="A4" s="17"/>
      <c r="B4" s="8"/>
      <c r="C4" s="1378" t="s">
        <v>656</v>
      </c>
      <c r="D4" s="8"/>
      <c r="E4" s="1384" t="str">
        <f>Infrastructure!H9</f>
        <v>Year 1</v>
      </c>
      <c r="F4" s="1384" t="str">
        <f>Infrastructure!I9</f>
        <v>Year 2</v>
      </c>
      <c r="G4" s="1384" t="str">
        <f>Infrastructure!J9</f>
        <v>Year 3</v>
      </c>
      <c r="H4" s="1384" t="str">
        <f>Infrastructure!K9</f>
        <v>Year 4</v>
      </c>
      <c r="I4" s="1384" t="str">
        <f>Infrastructure!L9</f>
        <v>Year 5</v>
      </c>
      <c r="X4" s="20"/>
      <c r="Y4" s="338"/>
      <c r="Z4" s="338"/>
      <c r="AA4" s="338"/>
      <c r="AB4" s="338"/>
      <c r="AC4" s="338"/>
      <c r="AD4" s="338"/>
      <c r="AI4" s="1044"/>
      <c r="AJ4" s="1044"/>
      <c r="AK4" s="1044"/>
      <c r="AL4" s="1044"/>
      <c r="AM4" s="1044"/>
      <c r="AN4" s="1044"/>
      <c r="AO4" s="1044"/>
      <c r="AP4" s="1044"/>
      <c r="AQ4" s="1044"/>
      <c r="AR4" s="1044"/>
      <c r="AS4" s="1044"/>
      <c r="AT4" s="1044"/>
      <c r="AU4" s="338"/>
      <c r="AV4" s="338"/>
      <c r="AW4" s="338"/>
      <c r="AX4" s="338"/>
      <c r="AY4" s="338"/>
      <c r="AZ4" s="338"/>
      <c r="BA4" s="338"/>
      <c r="BB4" s="338"/>
      <c r="BC4" s="338"/>
    </row>
    <row r="5" spans="1:55" s="1" customFormat="1" ht="12" customHeight="1" x14ac:dyDescent="0.35">
      <c r="A5" s="278"/>
      <c r="B5" s="9" t="s">
        <v>657</v>
      </c>
      <c r="C5" s="1754"/>
      <c r="D5" s="1385">
        <f>Infrastructure!D70</f>
        <v>0</v>
      </c>
      <c r="E5" s="1386">
        <f>IF($C$5="Revenue",Infrastructure!H180,IF($C$5="EBITDA",Infrastructure!H209,0))</f>
        <v>0</v>
      </c>
      <c r="F5" s="1387">
        <f>IF($C$5="Revenue",Infrastructure!I180,IF($C$5="EBITDA",Infrastructure!I209,0))</f>
        <v>0</v>
      </c>
      <c r="G5" s="1388">
        <f>IF($C$5="Revenue",Infrastructure!J180,IF($C$5="EBITDA",Infrastructure!J209,0))</f>
        <v>0</v>
      </c>
      <c r="H5" s="1389">
        <f>IF($C$5="Revenue",Infrastructure!K180,IF($C$5="EBITDA",Infrastructure!K209,0))</f>
        <v>0</v>
      </c>
      <c r="I5" s="1388">
        <f>IF($C$5="Revenue",Infrastructure!L180,IF($C$5="EBITDA",Infrastructure!L209,0))</f>
        <v>0</v>
      </c>
      <c r="K5" s="5"/>
      <c r="L5" s="5"/>
      <c r="M5" s="5"/>
      <c r="N5" s="5"/>
      <c r="O5" s="5"/>
      <c r="P5" s="5"/>
      <c r="Q5" s="5"/>
      <c r="X5" s="20"/>
      <c r="Y5" s="338"/>
      <c r="Z5" s="338"/>
      <c r="AA5" s="338"/>
      <c r="AB5" s="338"/>
      <c r="AC5" s="338"/>
      <c r="AD5" s="338"/>
      <c r="AI5" s="1044"/>
      <c r="AJ5" s="1044"/>
      <c r="AK5" s="1044"/>
      <c r="AL5" s="1044"/>
      <c r="AM5" s="1044"/>
      <c r="AN5" s="1044"/>
      <c r="AO5" s="1044"/>
      <c r="AP5" s="1044"/>
      <c r="AQ5" s="1044"/>
      <c r="AR5" s="1044"/>
      <c r="AS5" s="1044"/>
      <c r="AT5" s="1044"/>
      <c r="AU5" s="338"/>
      <c r="AV5" s="338"/>
      <c r="AW5" s="338"/>
      <c r="AX5" s="338"/>
      <c r="AY5" s="338"/>
      <c r="AZ5" s="338"/>
      <c r="BA5" s="338"/>
      <c r="BB5" s="338"/>
      <c r="BC5" s="338"/>
    </row>
    <row r="6" spans="1:55" s="1" customFormat="1" ht="12" customHeight="1" thickBot="1" x14ac:dyDescent="0.4">
      <c r="A6" s="278"/>
      <c r="B6" s="9" t="s">
        <v>658</v>
      </c>
      <c r="C6" s="1755"/>
      <c r="D6" s="1385">
        <f>Infrastructure!D71</f>
        <v>59</v>
      </c>
      <c r="E6" s="1390">
        <f>IF($C$5="Revenue",Infrastructure!H181,IF($C$5="EBITDA",Infrastructure!H210,0))</f>
        <v>0</v>
      </c>
      <c r="F6" s="1391">
        <f>IF($C$5="Revenue",Infrastructure!I181,IF($C$5="EBITDA",Infrastructure!I210,0))</f>
        <v>0</v>
      </c>
      <c r="G6" s="1392">
        <f>IF($C$5="Revenue",Infrastructure!J181,IF($C$5="EBITDA",Infrastructure!J210,0))</f>
        <v>0</v>
      </c>
      <c r="H6" s="1393">
        <f>IF($C$5="Revenue",Infrastructure!K181,IF($C$5="EBITDA",Infrastructure!K210,0))</f>
        <v>0</v>
      </c>
      <c r="I6" s="1392">
        <f>IF($C$5="Revenue",Infrastructure!L181,IF($C$5="EBITDA",Infrastructure!L210,0))</f>
        <v>0</v>
      </c>
      <c r="K6" s="5"/>
      <c r="L6" s="5"/>
      <c r="M6" s="5"/>
      <c r="N6" s="5"/>
      <c r="O6" s="5"/>
      <c r="P6" s="5"/>
      <c r="Q6" s="5"/>
      <c r="X6" s="20"/>
      <c r="Y6" s="338"/>
      <c r="Z6" s="338"/>
      <c r="AA6" s="338"/>
      <c r="AB6" s="338"/>
      <c r="AC6" s="338"/>
      <c r="AD6" s="338"/>
      <c r="AI6" s="1044"/>
      <c r="AJ6" s="1044"/>
      <c r="AK6" s="1044"/>
      <c r="AL6" s="1044"/>
      <c r="AM6" s="1044"/>
      <c r="AN6" s="1044"/>
      <c r="AO6" s="1044"/>
      <c r="AP6" s="1044"/>
      <c r="AQ6" s="1044"/>
      <c r="AR6" s="1044"/>
      <c r="AS6" s="1044"/>
      <c r="AT6" s="1044"/>
      <c r="AU6" s="338"/>
      <c r="AV6" s="338"/>
      <c r="AW6" s="338"/>
      <c r="AX6" s="338"/>
      <c r="AY6" s="338"/>
      <c r="AZ6" s="338"/>
      <c r="BA6" s="338"/>
      <c r="BB6" s="338"/>
      <c r="BC6" s="338"/>
    </row>
    <row r="7" spans="1:55" s="1" customFormat="1" ht="12" customHeight="1" x14ac:dyDescent="0.35">
      <c r="A7" s="278"/>
      <c r="B7" s="9"/>
      <c r="C7" s="8"/>
      <c r="D7" s="1385">
        <f>Infrastructure!D72</f>
        <v>91</v>
      </c>
      <c r="E7" s="1390">
        <f>IF($C$5="Revenue",Infrastructure!H182,IF($C$5="EBITDA",Infrastructure!H211,0))</f>
        <v>0</v>
      </c>
      <c r="F7" s="1391">
        <f>IF($C$5="Revenue",Infrastructure!I182,IF($C$5="EBITDA",Infrastructure!I211,0))</f>
        <v>0</v>
      </c>
      <c r="G7" s="1392">
        <f>IF($C$5="Revenue",Infrastructure!J182,IF($C$5="EBITDA",Infrastructure!J211,0))</f>
        <v>0</v>
      </c>
      <c r="H7" s="1393">
        <f>IF($C$5="Revenue",Infrastructure!K182,IF($C$5="EBITDA",Infrastructure!K211,0))</f>
        <v>0</v>
      </c>
      <c r="I7" s="1392">
        <f>IF($C$5="Revenue",Infrastructure!L182,IF($C$5="EBITDA",Infrastructure!L211,0))</f>
        <v>0</v>
      </c>
      <c r="K7" s="5"/>
      <c r="L7" s="5"/>
      <c r="M7" s="5"/>
      <c r="N7" s="5"/>
      <c r="O7" s="5"/>
      <c r="P7" s="5"/>
      <c r="Q7" s="5"/>
      <c r="X7" s="20"/>
      <c r="Y7" s="338"/>
      <c r="Z7" s="338"/>
      <c r="AA7" s="338"/>
      <c r="AB7" s="338"/>
      <c r="AC7" s="338"/>
      <c r="AD7" s="338"/>
      <c r="AI7" s="1044"/>
      <c r="AJ7" s="1044"/>
      <c r="AK7" s="1044"/>
      <c r="AL7" s="1044"/>
      <c r="AM7" s="1044"/>
      <c r="AN7" s="1044"/>
      <c r="AO7" s="1044"/>
      <c r="AP7" s="1044"/>
      <c r="AQ7" s="1044"/>
      <c r="AR7" s="1044"/>
      <c r="AS7" s="1044"/>
      <c r="AT7" s="1044"/>
      <c r="AU7" s="338"/>
      <c r="AV7" s="338"/>
      <c r="AW7" s="338"/>
      <c r="AX7" s="338"/>
      <c r="AY7" s="338"/>
      <c r="AZ7" s="338"/>
      <c r="BA7" s="338"/>
      <c r="BB7" s="338"/>
      <c r="BC7" s="338"/>
    </row>
    <row r="8" spans="1:55" s="1" customFormat="1" ht="12" customHeight="1" x14ac:dyDescent="0.35">
      <c r="A8" s="5"/>
      <c r="B8" s="9" t="str">
        <f>IF(C5="Revenue","12 Month Trailing Revenue ",IF(C5="EBITDA","12 Month Trailing EBITDA ",""))</f>
        <v/>
      </c>
      <c r="C8" s="1379">
        <f>SUMIF(Infrastructure!H194:L205,"=1",E5:I16)</f>
        <v>0</v>
      </c>
      <c r="D8" s="1385">
        <f>Infrastructure!D73</f>
        <v>121</v>
      </c>
      <c r="E8" s="1390">
        <f>IF($C$5="Revenue",Infrastructure!H183,IF($C$5="EBITDA",Infrastructure!H212,0))</f>
        <v>0</v>
      </c>
      <c r="F8" s="1391">
        <f>IF($C$5="Revenue",Infrastructure!I183,IF($C$5="EBITDA",Infrastructure!I212,0))</f>
        <v>0</v>
      </c>
      <c r="G8" s="1392">
        <f>IF($C$5="Revenue",Infrastructure!J183,IF($C$5="EBITDA",Infrastructure!J212,0))</f>
        <v>0</v>
      </c>
      <c r="H8" s="1393">
        <f>IF($C$5="Revenue",Infrastructure!K183,IF($C$5="EBITDA",Infrastructure!K212,0))</f>
        <v>0</v>
      </c>
      <c r="I8" s="1392">
        <f>IF($C$5="Revenue",Infrastructure!L183,IF($C$5="EBITDA",Infrastructure!L212,0))</f>
        <v>0</v>
      </c>
      <c r="M8" s="13"/>
      <c r="N8" s="13"/>
      <c r="O8" s="13"/>
      <c r="P8" s="13"/>
      <c r="Q8" s="13"/>
      <c r="R8" s="13"/>
      <c r="S8" s="13"/>
      <c r="U8" s="13"/>
      <c r="V8" s="13"/>
      <c r="W8" s="13"/>
      <c r="X8" s="93"/>
      <c r="Y8" s="93"/>
      <c r="Z8" s="93"/>
      <c r="AA8" s="93"/>
      <c r="AB8" s="93"/>
      <c r="AC8" s="93"/>
      <c r="AD8" s="338"/>
      <c r="AE8" s="338"/>
      <c r="AF8" s="338"/>
      <c r="AG8" s="338"/>
      <c r="AH8" s="338"/>
      <c r="AI8" s="338"/>
      <c r="AJ8" s="338"/>
      <c r="AK8" s="338"/>
      <c r="AL8" s="338"/>
      <c r="AM8" s="338"/>
      <c r="AN8" s="338"/>
      <c r="AO8" s="338"/>
      <c r="AP8" s="338"/>
      <c r="AQ8" s="338"/>
      <c r="AR8" s="338"/>
      <c r="AS8" s="338"/>
      <c r="AT8" s="338"/>
      <c r="AU8" s="338"/>
      <c r="AV8" s="338"/>
      <c r="AW8" s="338"/>
      <c r="AX8" s="338"/>
      <c r="AY8" s="338"/>
      <c r="AZ8" s="338"/>
      <c r="BA8" s="338"/>
      <c r="BB8" s="338"/>
      <c r="BC8" s="338"/>
    </row>
    <row r="9" spans="1:55" s="1" customFormat="1" ht="12" customHeight="1" thickBot="1" x14ac:dyDescent="0.4">
      <c r="A9" s="5"/>
      <c r="B9" s="8"/>
      <c r="C9" s="1380">
        <f>IF(C16&gt;0,C16,IF(C12&gt;0,C12,0))</f>
        <v>0</v>
      </c>
      <c r="D9" s="1385">
        <f>Infrastructure!D74</f>
        <v>152</v>
      </c>
      <c r="E9" s="1390">
        <f>IF($C$5="Revenue",Infrastructure!H184,IF($C$5="EBITDA",Infrastructure!H213,0))</f>
        <v>0</v>
      </c>
      <c r="F9" s="1391">
        <f>IF($C$5="Revenue",Infrastructure!I184,IF($C$5="EBITDA",Infrastructure!I213,0))</f>
        <v>0</v>
      </c>
      <c r="G9" s="1392">
        <f>IF($C$5="Revenue",Infrastructure!J184,IF($C$5="EBITDA",Infrastructure!J213,0))</f>
        <v>0</v>
      </c>
      <c r="H9" s="1393">
        <f>IF($C$5="Revenue",Infrastructure!K184,IF($C$5="EBITDA",Infrastructure!K213,0))</f>
        <v>0</v>
      </c>
      <c r="I9" s="1392">
        <f>IF($C$5="Revenue",Infrastructure!L184,IF($C$5="EBITDA",Infrastructure!L213,0))</f>
        <v>0</v>
      </c>
      <c r="M9" s="13"/>
      <c r="N9" s="13"/>
      <c r="O9" s="13"/>
      <c r="P9" s="13"/>
      <c r="Q9" s="13"/>
      <c r="R9" s="13"/>
      <c r="S9" s="13"/>
      <c r="U9" s="13"/>
      <c r="V9" s="13"/>
      <c r="W9" s="13"/>
      <c r="X9" s="93"/>
      <c r="Y9" s="93"/>
      <c r="Z9" s="93"/>
      <c r="AA9" s="93"/>
      <c r="AB9" s="93"/>
      <c r="AC9" s="93"/>
      <c r="AD9" s="338"/>
      <c r="AE9" s="338"/>
      <c r="AF9" s="338"/>
      <c r="AG9" s="338"/>
      <c r="AH9" s="338"/>
      <c r="AI9" s="338"/>
      <c r="AJ9" s="338"/>
      <c r="AK9" s="338"/>
      <c r="AL9" s="338"/>
      <c r="AM9" s="338"/>
      <c r="AN9" s="338"/>
      <c r="AO9" s="338"/>
      <c r="AP9" s="338"/>
      <c r="AQ9" s="338"/>
      <c r="AR9" s="338"/>
      <c r="AS9" s="338"/>
      <c r="AT9" s="338"/>
      <c r="AU9" s="338"/>
      <c r="AV9" s="338"/>
      <c r="AW9" s="338"/>
      <c r="AX9" s="338"/>
      <c r="AY9" s="338"/>
      <c r="AZ9" s="338"/>
      <c r="BA9" s="338"/>
      <c r="BB9" s="338"/>
      <c r="BC9" s="338"/>
    </row>
    <row r="10" spans="1:55" s="1" customFormat="1" ht="12" customHeight="1" thickBot="1" x14ac:dyDescent="0.4">
      <c r="A10" s="5"/>
      <c r="B10" s="9" t="s">
        <v>659</v>
      </c>
      <c r="C10" s="1756"/>
      <c r="D10" s="1385">
        <f>Infrastructure!D75</f>
        <v>182</v>
      </c>
      <c r="E10" s="1390">
        <f>IF($C$5="Revenue",Infrastructure!H185,IF($C$5="EBITDA",Infrastructure!H214,0))</f>
        <v>0</v>
      </c>
      <c r="F10" s="1391">
        <f>IF($C$5="Revenue",Infrastructure!I185,IF($C$5="EBITDA",Infrastructure!I214,0))</f>
        <v>0</v>
      </c>
      <c r="G10" s="1392">
        <f>IF($C$5="Revenue",Infrastructure!J185,IF($C$5="EBITDA",Infrastructure!J214,0))</f>
        <v>0</v>
      </c>
      <c r="H10" s="1393">
        <f>IF($C$5="Revenue",Infrastructure!K185,IF($C$5="EBITDA",Infrastructure!K214,0))</f>
        <v>0</v>
      </c>
      <c r="I10" s="1392">
        <f>IF($C$5="Revenue",Infrastructure!L185,IF($C$5="EBITDA",Infrastructure!L214,0))</f>
        <v>0</v>
      </c>
      <c r="M10" s="13"/>
      <c r="N10" s="13"/>
      <c r="O10" s="13"/>
      <c r="P10" s="13"/>
      <c r="Q10" s="13"/>
      <c r="R10" s="13"/>
      <c r="S10" s="13"/>
      <c r="U10" s="13"/>
      <c r="V10" s="13"/>
      <c r="W10" s="13"/>
      <c r="X10" s="93"/>
      <c r="Y10" s="93"/>
      <c r="Z10" s="93"/>
      <c r="AA10" s="93"/>
      <c r="AB10" s="93"/>
      <c r="AC10" s="93"/>
      <c r="AD10" s="338"/>
      <c r="AE10" s="338"/>
      <c r="AF10" s="338"/>
      <c r="AG10" s="338"/>
      <c r="AH10" s="338"/>
      <c r="AI10" s="338"/>
      <c r="AJ10" s="338"/>
      <c r="AK10" s="338"/>
      <c r="AL10" s="338"/>
      <c r="AM10" s="338"/>
      <c r="AN10" s="338"/>
      <c r="AO10" s="338"/>
      <c r="AP10" s="338"/>
      <c r="AQ10" s="338"/>
      <c r="AR10" s="338"/>
      <c r="AS10" s="338"/>
      <c r="AT10" s="338"/>
      <c r="AU10" s="338"/>
      <c r="AV10" s="338"/>
      <c r="AW10" s="338"/>
      <c r="AX10" s="338"/>
      <c r="AY10" s="338"/>
      <c r="AZ10" s="338"/>
      <c r="BA10" s="338"/>
      <c r="BB10" s="338"/>
      <c r="BC10" s="338"/>
    </row>
    <row r="11" spans="1:55" s="1" customFormat="1" ht="12" customHeight="1" x14ac:dyDescent="0.35">
      <c r="A11" s="5"/>
      <c r="B11" s="8"/>
      <c r="C11" s="8"/>
      <c r="D11" s="1385">
        <f>Infrastructure!D76</f>
        <v>213</v>
      </c>
      <c r="E11" s="1390">
        <f>IF($C$5="Revenue",Infrastructure!H186,IF($C$5="EBITDA",Infrastructure!H215,0))</f>
        <v>0</v>
      </c>
      <c r="F11" s="1391">
        <f>IF($C$5="Revenue",Infrastructure!I186,IF($C$5="EBITDA",Infrastructure!I215,0))</f>
        <v>0</v>
      </c>
      <c r="G11" s="1392">
        <f>IF($C$5="Revenue",Infrastructure!J186,IF($C$5="EBITDA",Infrastructure!J215,0))</f>
        <v>0</v>
      </c>
      <c r="H11" s="1393">
        <f>IF($C$5="Revenue",Infrastructure!K186,IF($C$5="EBITDA",Infrastructure!K215,0))</f>
        <v>0</v>
      </c>
      <c r="I11" s="1392">
        <f>IF($C$5="Revenue",Infrastructure!L186,IF($C$5="EBITDA",Infrastructure!L215,0))</f>
        <v>0</v>
      </c>
      <c r="M11" s="13"/>
      <c r="N11" s="13"/>
      <c r="O11" s="13"/>
      <c r="P11" s="13"/>
      <c r="Q11" s="13"/>
      <c r="R11" s="13"/>
      <c r="S11" s="13"/>
      <c r="U11" s="13"/>
      <c r="V11" s="13"/>
      <c r="W11" s="13"/>
      <c r="X11" s="93"/>
      <c r="Y11" s="93"/>
      <c r="Z11" s="93"/>
      <c r="AA11" s="93"/>
      <c r="AB11" s="93"/>
      <c r="AC11" s="93"/>
      <c r="AD11" s="338"/>
      <c r="AE11" s="338"/>
      <c r="AF11" s="338"/>
      <c r="AG11" s="338"/>
      <c r="AH11" s="338"/>
      <c r="AI11" s="338"/>
      <c r="AJ11" s="338"/>
      <c r="AK11" s="338"/>
      <c r="AL11" s="338"/>
      <c r="AM11" s="338"/>
      <c r="AN11" s="338"/>
      <c r="AO11" s="338"/>
      <c r="AP11" s="338"/>
      <c r="AQ11" s="338"/>
      <c r="AR11" s="338"/>
      <c r="AS11" s="338"/>
      <c r="AT11" s="338"/>
      <c r="AU11" s="338"/>
      <c r="AV11" s="338"/>
      <c r="AW11" s="338"/>
      <c r="AX11" s="338"/>
      <c r="AY11" s="338"/>
      <c r="AZ11" s="338"/>
      <c r="BA11" s="338"/>
      <c r="BB11" s="338"/>
      <c r="BC11" s="338"/>
    </row>
    <row r="12" spans="1:55" s="1" customFormat="1" ht="12" customHeight="1" thickBot="1" x14ac:dyDescent="0.4">
      <c r="A12" s="5"/>
      <c r="B12" s="9" t="s">
        <v>660</v>
      </c>
      <c r="C12" s="1381">
        <f>C8*C10</f>
        <v>0</v>
      </c>
      <c r="D12" s="1385">
        <f>Infrastructure!D77</f>
        <v>244</v>
      </c>
      <c r="E12" s="1390">
        <f>IF($C$5="Revenue",Infrastructure!H187,IF($C$5="EBITDA",Infrastructure!H216,0))</f>
        <v>0</v>
      </c>
      <c r="F12" s="1391">
        <f>IF($C$5="Revenue",Infrastructure!I187,IF($C$5="EBITDA",Infrastructure!I216,0))</f>
        <v>0</v>
      </c>
      <c r="G12" s="1392">
        <f>IF($C$5="Revenue",Infrastructure!J187,IF($C$5="EBITDA",Infrastructure!J216,0))</f>
        <v>0</v>
      </c>
      <c r="H12" s="1393">
        <f>IF($C$5="Revenue",Infrastructure!K187,IF($C$5="EBITDA",Infrastructure!K216,0))</f>
        <v>0</v>
      </c>
      <c r="I12" s="1392">
        <f>IF($C$5="Revenue",Infrastructure!L187,IF($C$5="EBITDA",Infrastructure!L216,0))</f>
        <v>0</v>
      </c>
      <c r="K12" s="13"/>
      <c r="L12" s="13"/>
      <c r="M12" s="13"/>
      <c r="N12" s="13"/>
      <c r="O12" s="13"/>
      <c r="P12" s="13"/>
      <c r="Q12" s="13"/>
      <c r="R12" s="13"/>
      <c r="S12" s="13"/>
      <c r="T12" s="13"/>
      <c r="U12" s="13"/>
      <c r="V12" s="13"/>
      <c r="W12" s="13"/>
      <c r="X12" s="93"/>
      <c r="Y12" s="93"/>
      <c r="Z12" s="93"/>
      <c r="AA12" s="93"/>
      <c r="AB12" s="93"/>
      <c r="AC12" s="93"/>
      <c r="AD12" s="338"/>
      <c r="AE12" s="338"/>
      <c r="AF12" s="338"/>
      <c r="AG12" s="338"/>
      <c r="AH12" s="338"/>
      <c r="AI12" s="338"/>
      <c r="AJ12" s="338"/>
      <c r="AK12" s="338"/>
      <c r="AL12" s="338"/>
      <c r="AM12" s="338"/>
      <c r="AN12" s="338"/>
      <c r="AO12" s="338"/>
      <c r="AP12" s="338"/>
      <c r="AQ12" s="338"/>
      <c r="AR12" s="338"/>
      <c r="AS12" s="338"/>
      <c r="AT12" s="338"/>
      <c r="AU12" s="338"/>
      <c r="AV12" s="1216">
        <f>IF(AV16&lt;12,Infrastructure!AA20/AV16,0)</f>
        <v>0</v>
      </c>
      <c r="AW12" s="338"/>
      <c r="AX12" s="338"/>
      <c r="AY12" s="338"/>
      <c r="AZ12" s="338"/>
      <c r="BA12" s="338"/>
      <c r="BB12" s="338"/>
      <c r="BC12" s="338"/>
    </row>
    <row r="13" spans="1:55" s="1" customFormat="1" ht="12" customHeight="1" thickTop="1" x14ac:dyDescent="0.35">
      <c r="A13" s="5"/>
      <c r="B13" s="8"/>
      <c r="C13" s="8"/>
      <c r="D13" s="1385">
        <f>Infrastructure!D78</f>
        <v>274</v>
      </c>
      <c r="E13" s="1390">
        <f>IF($C$5="Revenue",Infrastructure!H188,IF($C$5="EBITDA",Infrastructure!H217,0))</f>
        <v>0</v>
      </c>
      <c r="F13" s="1391">
        <f>IF($C$5="Revenue",Infrastructure!I188,IF($C$5="EBITDA",Infrastructure!I217,0))</f>
        <v>0</v>
      </c>
      <c r="G13" s="1392">
        <f>IF($C$5="Revenue",Infrastructure!J188,IF($C$5="EBITDA",Infrastructure!J217,0))</f>
        <v>0</v>
      </c>
      <c r="H13" s="1393">
        <f>IF($C$5="Revenue",Infrastructure!K188,IF($C$5="EBITDA",Infrastructure!K217,0))</f>
        <v>0</v>
      </c>
      <c r="I13" s="1392">
        <f>IF($C$5="Revenue",Infrastructure!L188,IF($C$5="EBITDA",Infrastructure!L217,0))</f>
        <v>0</v>
      </c>
      <c r="K13" s="13"/>
      <c r="L13" s="13"/>
      <c r="M13" s="13"/>
      <c r="N13" s="13"/>
      <c r="O13" s="13"/>
      <c r="P13" s="13"/>
      <c r="Q13" s="13"/>
      <c r="R13" s="13"/>
      <c r="S13" s="13"/>
      <c r="T13" s="13"/>
      <c r="U13" s="13"/>
      <c r="V13" s="13"/>
      <c r="W13" s="13"/>
      <c r="X13" s="93"/>
      <c r="Y13" s="93"/>
      <c r="Z13" s="93"/>
      <c r="AA13" s="93"/>
      <c r="AB13" s="93"/>
      <c r="AC13" s="93"/>
      <c r="AD13" s="338"/>
      <c r="AE13" s="338"/>
      <c r="AF13" s="338"/>
      <c r="AG13" s="338"/>
      <c r="AH13" s="338"/>
      <c r="AI13" s="338"/>
      <c r="AJ13" s="338"/>
      <c r="AK13" s="338"/>
      <c r="AL13" s="338"/>
      <c r="AM13" s="338"/>
      <c r="AN13" s="338"/>
      <c r="AO13" s="338"/>
      <c r="AP13" s="338"/>
      <c r="AQ13" s="338"/>
      <c r="AR13" s="338"/>
      <c r="AS13" s="338"/>
      <c r="AT13" s="338"/>
      <c r="AU13" s="338"/>
      <c r="AV13" s="1217">
        <f>IFERROR(AV16/12,1)</f>
        <v>129.75</v>
      </c>
      <c r="AW13" s="338"/>
      <c r="AX13" s="338"/>
      <c r="AY13" s="1304" t="s">
        <v>30</v>
      </c>
      <c r="AZ13" s="1115">
        <f>MIN(Infrastructure!AL41:AM41)</f>
        <v>0</v>
      </c>
      <c r="BA13" s="1305" t="e">
        <f>AZ13/-Calcs!AB$857</f>
        <v>#DIV/0!</v>
      </c>
      <c r="BB13" s="338"/>
      <c r="BC13" s="338"/>
    </row>
    <row r="14" spans="1:55" s="1" customFormat="1" ht="12" customHeight="1" x14ac:dyDescent="0.35">
      <c r="A14" s="5"/>
      <c r="B14" s="8"/>
      <c r="C14" s="1382"/>
      <c r="D14" s="1385">
        <f>Infrastructure!D79</f>
        <v>305</v>
      </c>
      <c r="E14" s="1390">
        <f>IF($C$5="Revenue",Infrastructure!H189,IF($C$5="EBITDA",Infrastructure!H218,0))</f>
        <v>0</v>
      </c>
      <c r="F14" s="1391">
        <f>IF($C$5="Revenue",Infrastructure!I189,IF($C$5="EBITDA",Infrastructure!I218,0))</f>
        <v>0</v>
      </c>
      <c r="G14" s="1392">
        <f>IF($C$5="Revenue",Infrastructure!J189,IF($C$5="EBITDA",Infrastructure!J218,0))</f>
        <v>0</v>
      </c>
      <c r="H14" s="1393">
        <f>IF($C$5="Revenue",Infrastructure!K189,IF($C$5="EBITDA",Infrastructure!K218,0))</f>
        <v>0</v>
      </c>
      <c r="I14" s="1392">
        <f>IF($C$5="Revenue",Infrastructure!L189,IF($C$5="EBITDA",Infrastructure!L218,0))</f>
        <v>0</v>
      </c>
      <c r="K14" s="13"/>
      <c r="L14" s="13"/>
      <c r="M14" s="13"/>
      <c r="N14" s="13"/>
      <c r="O14" s="13"/>
      <c r="P14" s="13"/>
      <c r="Q14" s="13"/>
      <c r="R14" s="13"/>
      <c r="S14" s="13"/>
      <c r="T14" s="13"/>
      <c r="U14" s="13"/>
      <c r="V14" s="13"/>
      <c r="W14" s="13"/>
      <c r="X14" s="93"/>
      <c r="Y14" s="93"/>
      <c r="Z14" s="93"/>
      <c r="AA14" s="93"/>
      <c r="AB14" s="93"/>
      <c r="AC14" s="93"/>
      <c r="AD14" s="338"/>
      <c r="AE14" s="338"/>
      <c r="AF14" s="338"/>
      <c r="AG14" s="338"/>
      <c r="AH14" s="338"/>
      <c r="AI14" s="338"/>
      <c r="AJ14" s="338"/>
      <c r="AK14" s="338"/>
      <c r="AL14" s="338"/>
      <c r="AM14" s="338"/>
      <c r="AN14" s="338"/>
      <c r="AO14" s="338"/>
      <c r="AP14" s="338"/>
      <c r="AQ14" s="338"/>
      <c r="AR14" s="338"/>
      <c r="AS14" s="338"/>
      <c r="AT14" s="338"/>
      <c r="AU14" s="338"/>
      <c r="AV14" s="1218">
        <f>Infrastructure!B9</f>
        <v>0</v>
      </c>
      <c r="AW14" s="338"/>
      <c r="AX14" s="338"/>
      <c r="AY14" s="1304" t="str">
        <f>IF(AND(Calcs!AC834=0,Calcs!AC837&gt;0),"Convertible Notes","SAFES")</f>
        <v>SAFES</v>
      </c>
      <c r="AZ14" s="1115">
        <f>IF(Input!H276="Yes",Calcs!AC834,IF(Calcs!AC837&gt;0,Calcs!AC837,0))</f>
        <v>0</v>
      </c>
      <c r="BA14" s="1305" t="e">
        <f>AZ14/-Calcs!AB$857</f>
        <v>#DIV/0!</v>
      </c>
      <c r="BB14" s="338"/>
      <c r="BC14" s="338"/>
    </row>
    <row r="15" spans="1:55" s="1" customFormat="1" ht="12" customHeight="1" thickBot="1" x14ac:dyDescent="0.4">
      <c r="B15" s="8"/>
      <c r="C15" s="1383" t="str">
        <f>IFERROR(IF(C6="","",IF(Infrastructure!T179&lt;12,"valuation requires at least 12 months of history - choose a sale month of 12 or later.",IF(C12&lt;0,"there's no valuation with this method.",""))),"")</f>
        <v/>
      </c>
      <c r="D15" s="1385">
        <f>Infrastructure!D80</f>
        <v>335</v>
      </c>
      <c r="E15" s="1390">
        <f>IF($C$5="Revenue",Infrastructure!H190,IF($C$5="EBITDA",Infrastructure!H219,0))</f>
        <v>0</v>
      </c>
      <c r="F15" s="1391">
        <f>IF($C$5="Revenue",Infrastructure!I190,IF($C$5="EBITDA",Infrastructure!I219,0))</f>
        <v>0</v>
      </c>
      <c r="G15" s="1392">
        <f>IF($C$5="Revenue",Infrastructure!J190,IF($C$5="EBITDA",Infrastructure!J219,0))</f>
        <v>0</v>
      </c>
      <c r="H15" s="1393">
        <f>IF($C$5="Revenue",Infrastructure!K190,IF($C$5="EBITDA",Infrastructure!K219,0))</f>
        <v>0</v>
      </c>
      <c r="I15" s="1392">
        <f>IF($C$5="Revenue",Infrastructure!L190,IF($C$5="EBITDA",Infrastructure!L219,0))</f>
        <v>0</v>
      </c>
      <c r="K15" s="13"/>
      <c r="L15" s="13"/>
      <c r="M15" s="13"/>
      <c r="N15" s="13"/>
      <c r="O15" s="13"/>
      <c r="P15" s="13"/>
      <c r="V15" s="13"/>
      <c r="W15" s="13"/>
      <c r="X15" s="93"/>
      <c r="Y15" s="93"/>
      <c r="Z15" s="93"/>
      <c r="AA15" s="93"/>
      <c r="AB15" s="93"/>
      <c r="AC15" s="93"/>
      <c r="AD15" s="338"/>
      <c r="AE15" s="338"/>
      <c r="AF15" s="338"/>
      <c r="AG15" s="338"/>
      <c r="AH15" s="338"/>
      <c r="AI15" s="338"/>
      <c r="AJ15" s="338"/>
      <c r="AK15" s="338"/>
      <c r="AL15" s="338"/>
      <c r="AM15" s="338"/>
      <c r="AN15" s="338"/>
      <c r="AO15" s="338"/>
      <c r="AP15" s="338"/>
      <c r="AQ15" s="338"/>
      <c r="AR15" s="338"/>
      <c r="AS15" s="338"/>
      <c r="AT15" s="338"/>
      <c r="AU15" s="338"/>
      <c r="AV15" s="1218">
        <f>Infrastructure!K175</f>
        <v>46721</v>
      </c>
      <c r="AW15" s="338"/>
      <c r="AX15" s="338"/>
      <c r="AY15" s="1304" t="str">
        <f>IF(AY14="Convertible Notes","Total",IF(OR(AZ16=0,"",AY14="Convertible Notes"),"",IF(AND(AZ14=0,AZ15=0),"",IF(Calcs!AC837&gt;0,"Convertible Notes","Total"))))</f>
        <v/>
      </c>
      <c r="AZ15" s="1115" t="str">
        <f>IF(AND(Calcs!AC834=0,Calcs!AC837=0),"",IF(Calcs!AC837&gt;0,Calcs!AC837,-Calcs!AB857))</f>
        <v/>
      </c>
      <c r="BA15" s="1305" t="e">
        <f>AZ15/-Calcs!AB$857</f>
        <v>#VALUE!</v>
      </c>
      <c r="BB15" s="338"/>
      <c r="BC15" s="338"/>
    </row>
    <row r="16" spans="1:55" s="1" customFormat="1" ht="12" customHeight="1" thickBot="1" x14ac:dyDescent="0.4">
      <c r="B16" s="9" t="s">
        <v>661</v>
      </c>
      <c r="C16" s="1757"/>
      <c r="D16" s="1385">
        <f>Infrastructure!D81</f>
        <v>366</v>
      </c>
      <c r="E16" s="1394">
        <f>IF($C$5="Revenue",Infrastructure!H191,IF($C$5="EBITDA",Infrastructure!H220,0))</f>
        <v>0</v>
      </c>
      <c r="F16" s="1395">
        <f>IF($C$5="Revenue",Infrastructure!I191,IF($C$5="EBITDA",Infrastructure!I220,0))</f>
        <v>0</v>
      </c>
      <c r="G16" s="1396">
        <f>IF($C$5="Revenue",Infrastructure!J191,IF($C$5="EBITDA",Infrastructure!J220,0))</f>
        <v>0</v>
      </c>
      <c r="H16" s="1397">
        <f>IF($C$5="Revenue",Infrastructure!K191,IF($C$5="EBITDA",Infrastructure!K220,0))</f>
        <v>0</v>
      </c>
      <c r="I16" s="1396">
        <f>IF($C$5="Revenue",Infrastructure!L191,IF($C$5="EBITDA",Infrastructure!L220,0))</f>
        <v>0</v>
      </c>
      <c r="K16" s="13"/>
      <c r="V16" s="67"/>
      <c r="W16" s="67"/>
      <c r="X16" s="93"/>
      <c r="Y16" s="93"/>
      <c r="Z16" s="93"/>
      <c r="AA16" s="93"/>
      <c r="AB16" s="93"/>
      <c r="AC16" s="93"/>
      <c r="AD16" s="338"/>
      <c r="AE16" s="338"/>
      <c r="AF16" s="338"/>
      <c r="AG16" s="338"/>
      <c r="AH16" s="338"/>
      <c r="AI16" s="338"/>
      <c r="AJ16" s="338"/>
      <c r="AK16" s="338"/>
      <c r="AL16" s="338"/>
      <c r="AM16" s="338"/>
      <c r="AN16" s="338"/>
      <c r="AO16" s="338"/>
      <c r="AP16" s="338"/>
      <c r="AQ16" s="338"/>
      <c r="AR16" s="338"/>
      <c r="AS16" s="338"/>
      <c r="AT16" s="338"/>
      <c r="AU16" s="338"/>
      <c r="AV16" s="1219">
        <f>ROUND((AV15-AV14)/30,0)</f>
        <v>1557</v>
      </c>
      <c r="AW16" s="338"/>
      <c r="AX16" s="338"/>
      <c r="AY16" s="1306" t="str">
        <f>+IF(AY15="Convertible Notes", "Total","")</f>
        <v/>
      </c>
      <c r="AZ16" s="1307">
        <f>-Calcs!AB857+Calcs!AE729+SUM(Calcs!Z797:Z799)+SUM(Calcs!Z803:Z805)</f>
        <v>0</v>
      </c>
      <c r="BA16" s="1305" t="e">
        <f>SUM(BA13:BA15)</f>
        <v>#DIV/0!</v>
      </c>
      <c r="BB16" s="338"/>
      <c r="BC16" s="338"/>
    </row>
    <row r="17" spans="1:55" s="1" customFormat="1" ht="12" customHeight="1" x14ac:dyDescent="0.35">
      <c r="A17" s="5"/>
      <c r="B17" s="8"/>
      <c r="C17" s="8"/>
      <c r="D17" s="5"/>
      <c r="K17" s="13"/>
      <c r="V17" s="67"/>
      <c r="W17" s="67"/>
      <c r="X17" s="93"/>
      <c r="Y17" s="93"/>
      <c r="Z17" s="93"/>
      <c r="AA17" s="93"/>
      <c r="AB17" s="93"/>
      <c r="AC17" s="93"/>
      <c r="AD17" s="338"/>
      <c r="AE17" s="338"/>
      <c r="AF17" s="338"/>
      <c r="AG17" s="338"/>
      <c r="AH17" s="338"/>
      <c r="AI17" s="338"/>
      <c r="AJ17" s="338"/>
      <c r="AK17" s="338"/>
      <c r="AL17" s="338"/>
      <c r="AM17" s="338"/>
      <c r="AN17" s="338"/>
      <c r="AO17" s="338"/>
      <c r="AP17" s="338"/>
      <c r="AQ17" s="338"/>
      <c r="AR17" s="338"/>
      <c r="AS17" s="338"/>
      <c r="AT17" s="338"/>
      <c r="AU17" s="338"/>
      <c r="AV17" s="1219">
        <f>IF(AV16&lt;12,AV16,12)</f>
        <v>12</v>
      </c>
      <c r="AW17" s="338"/>
      <c r="AX17" s="338"/>
      <c r="AY17" s="338"/>
      <c r="AZ17" s="338"/>
      <c r="BA17" s="338"/>
      <c r="BB17" s="338"/>
      <c r="BC17" s="338"/>
    </row>
    <row r="18" spans="1:55" s="1" customFormat="1" ht="36" customHeight="1" x14ac:dyDescent="0.35">
      <c r="A18" s="5"/>
      <c r="B18" s="5"/>
      <c r="C18" s="5"/>
      <c r="D18" s="5"/>
      <c r="K18" s="13"/>
      <c r="V18" s="67"/>
      <c r="W18" s="67"/>
      <c r="X18" s="93"/>
      <c r="Y18" s="93"/>
      <c r="Z18" s="93"/>
      <c r="AA18" s="93"/>
      <c r="AB18" s="93"/>
      <c r="AC18" s="93"/>
      <c r="AD18" s="338"/>
      <c r="AE18" s="338"/>
      <c r="AF18" s="338"/>
      <c r="AG18" s="338"/>
      <c r="AH18" s="338"/>
      <c r="AI18" s="338"/>
      <c r="AJ18" s="338"/>
      <c r="AK18" s="338"/>
      <c r="AL18" s="338"/>
      <c r="AM18" s="338"/>
      <c r="AN18" s="338"/>
      <c r="AO18" s="338"/>
      <c r="AP18" s="338"/>
      <c r="AQ18" s="338"/>
      <c r="AR18" s="338"/>
      <c r="AS18" s="338"/>
      <c r="AT18" s="338"/>
      <c r="AU18" s="338"/>
      <c r="AV18" s="338"/>
      <c r="AW18" s="338"/>
      <c r="AX18" s="338"/>
      <c r="AY18" s="338"/>
      <c r="AZ18" s="338"/>
      <c r="BA18" s="338"/>
      <c r="BB18" s="338"/>
      <c r="BC18" s="338"/>
    </row>
    <row r="19" spans="1:55" s="1" customFormat="1" ht="12" hidden="1" customHeight="1" x14ac:dyDescent="0.35">
      <c r="A19" s="5"/>
      <c r="B19" s="5"/>
      <c r="C19" s="5"/>
      <c r="D19" s="5"/>
      <c r="K19" s="13"/>
      <c r="V19" s="67"/>
      <c r="W19" s="67"/>
      <c r="X19" s="93"/>
      <c r="Y19" s="93"/>
      <c r="Z19" s="93"/>
      <c r="AA19" s="93"/>
      <c r="AB19" s="93"/>
      <c r="AC19" s="93"/>
      <c r="AD19" s="338"/>
      <c r="AE19" s="338"/>
      <c r="AF19" s="338"/>
      <c r="AG19" s="338"/>
      <c r="AH19" s="338"/>
      <c r="AI19" s="338"/>
      <c r="AJ19" s="338"/>
      <c r="AK19" s="338"/>
      <c r="AL19" s="338"/>
      <c r="AM19" s="338"/>
      <c r="AN19" s="338"/>
      <c r="AO19" s="338"/>
      <c r="AP19" s="338"/>
      <c r="AQ19" s="338"/>
      <c r="AR19" s="338"/>
      <c r="AS19" s="338"/>
      <c r="AT19" s="338"/>
      <c r="AU19" s="338"/>
      <c r="AV19" s="338"/>
      <c r="AW19" s="338"/>
      <c r="AX19" s="338"/>
      <c r="AY19" s="338"/>
      <c r="AZ19" s="338"/>
      <c r="BA19" s="338"/>
      <c r="BB19" s="338"/>
      <c r="BC19" s="338"/>
    </row>
    <row r="20" spans="1:55" s="1" customFormat="1" ht="12" hidden="1" customHeight="1" x14ac:dyDescent="0.35">
      <c r="A20" s="5"/>
      <c r="B20" s="6"/>
      <c r="C20" s="6"/>
      <c r="D20" s="5"/>
      <c r="K20" s="13"/>
      <c r="V20" s="67"/>
      <c r="W20" s="67"/>
      <c r="X20" s="93"/>
      <c r="Y20" s="93"/>
      <c r="Z20" s="93"/>
      <c r="AA20" s="93"/>
      <c r="AB20" s="93"/>
      <c r="AC20" s="93"/>
      <c r="AD20" s="338"/>
      <c r="AE20" s="338"/>
      <c r="AF20" s="338"/>
      <c r="AG20" s="338"/>
      <c r="AH20" s="338"/>
      <c r="AI20" s="338"/>
      <c r="AJ20" s="338"/>
      <c r="AK20" s="338"/>
      <c r="AL20" s="338"/>
      <c r="AM20" s="338"/>
      <c r="AN20" s="338"/>
      <c r="AO20" s="338"/>
      <c r="AP20" s="338"/>
      <c r="AQ20" s="338"/>
      <c r="AR20" s="338"/>
      <c r="AS20" s="338"/>
      <c r="AT20" s="338"/>
      <c r="AU20" s="338"/>
      <c r="AV20" s="338"/>
      <c r="AW20" s="338"/>
      <c r="AX20" s="338"/>
      <c r="AY20" s="338"/>
      <c r="AZ20" s="338"/>
      <c r="BA20" s="338"/>
      <c r="BB20" s="338"/>
      <c r="BC20" s="338"/>
    </row>
    <row r="21" spans="1:55" s="1" customFormat="1" ht="12" hidden="1" customHeight="1" x14ac:dyDescent="0.35">
      <c r="A21" s="5"/>
      <c r="B21" s="6"/>
      <c r="C21" s="6"/>
      <c r="D21" s="5"/>
      <c r="K21" s="13"/>
      <c r="V21" s="67"/>
      <c r="W21" s="67"/>
      <c r="X21" s="93"/>
      <c r="Y21" s="93"/>
      <c r="Z21" s="93"/>
      <c r="AA21" s="93"/>
      <c r="AB21" s="93"/>
      <c r="AC21" s="93"/>
      <c r="AD21" s="338"/>
      <c r="AE21" s="338"/>
      <c r="AF21" s="338"/>
      <c r="AG21" s="338"/>
      <c r="AH21" s="338"/>
      <c r="AI21" s="338"/>
      <c r="AJ21" s="338"/>
      <c r="AK21" s="338"/>
      <c r="AL21" s="338"/>
      <c r="AM21" s="338"/>
      <c r="AN21" s="338"/>
      <c r="AO21" s="338"/>
      <c r="AP21" s="338"/>
      <c r="AQ21" s="338"/>
      <c r="AR21" s="338"/>
      <c r="AS21" s="338"/>
      <c r="AT21" s="338"/>
      <c r="AU21" s="338"/>
      <c r="AV21" s="338"/>
      <c r="AW21" s="338"/>
      <c r="AX21" s="338"/>
      <c r="AY21" s="338"/>
      <c r="AZ21" s="338"/>
      <c r="BA21" s="338"/>
      <c r="BB21" s="338"/>
      <c r="BC21" s="338"/>
    </row>
    <row r="22" spans="1:55" s="1" customFormat="1" ht="12" hidden="1" customHeight="1" x14ac:dyDescent="0.35">
      <c r="A22" s="5"/>
      <c r="D22" s="5"/>
      <c r="K22" s="13"/>
      <c r="V22" s="67"/>
      <c r="W22" s="67"/>
      <c r="X22" s="93"/>
      <c r="Y22" s="93"/>
      <c r="Z22" s="93"/>
      <c r="AA22" s="93"/>
      <c r="AB22" s="93"/>
      <c r="AC22" s="93"/>
      <c r="AD22" s="338"/>
      <c r="AE22" s="338"/>
      <c r="AF22" s="338"/>
      <c r="AG22" s="338"/>
      <c r="AH22" s="338"/>
      <c r="AI22" s="338"/>
      <c r="AJ22" s="338"/>
      <c r="AK22" s="338"/>
      <c r="AL22" s="338"/>
      <c r="AM22" s="338"/>
      <c r="AN22" s="338"/>
      <c r="AO22" s="338"/>
      <c r="AP22" s="338"/>
      <c r="AQ22" s="338"/>
      <c r="AR22" s="338"/>
      <c r="AS22" s="338"/>
      <c r="AT22" s="338"/>
      <c r="AU22" s="338"/>
      <c r="AV22" s="338"/>
      <c r="AW22" s="338"/>
      <c r="AX22" s="338"/>
      <c r="AY22" s="338"/>
      <c r="AZ22" s="338"/>
      <c r="BA22" s="338"/>
      <c r="BB22" s="338"/>
      <c r="BC22" s="338"/>
    </row>
    <row r="23" spans="1:55" s="1" customFormat="1" ht="12" hidden="1" customHeight="1" x14ac:dyDescent="0.35">
      <c r="A23" s="5"/>
      <c r="D23" s="5"/>
      <c r="K23" s="13"/>
      <c r="V23" s="67"/>
      <c r="W23" s="67"/>
      <c r="X23" s="93"/>
      <c r="Y23" s="93"/>
      <c r="Z23" s="93"/>
      <c r="AA23" s="93"/>
      <c r="AB23" s="93"/>
      <c r="AC23" s="93"/>
      <c r="AD23" s="338"/>
      <c r="AE23" s="338"/>
      <c r="AF23" s="338"/>
      <c r="AG23" s="338"/>
      <c r="AH23" s="338"/>
      <c r="AI23" s="338"/>
      <c r="AJ23" s="338"/>
      <c r="AK23" s="338"/>
      <c r="AL23" s="338"/>
      <c r="AM23" s="338"/>
      <c r="AN23" s="338"/>
      <c r="AO23" s="338"/>
      <c r="AP23" s="338"/>
      <c r="AQ23" s="338"/>
      <c r="AR23" s="338"/>
      <c r="AS23" s="338"/>
      <c r="AT23" s="338"/>
      <c r="AU23" s="338"/>
      <c r="AV23" s="338"/>
      <c r="AW23" s="338"/>
      <c r="AX23" s="338"/>
      <c r="AY23" s="338"/>
      <c r="AZ23" s="338"/>
      <c r="BA23" s="338"/>
      <c r="BB23" s="338"/>
      <c r="BC23" s="338"/>
    </row>
    <row r="24" spans="1:55" s="1" customFormat="1" ht="36" hidden="1" customHeight="1" x14ac:dyDescent="0.35">
      <c r="A24" s="5"/>
      <c r="B24" s="6"/>
      <c r="C24" s="6"/>
      <c r="D24" s="5"/>
      <c r="K24" s="13"/>
      <c r="V24" s="67"/>
      <c r="W24" s="67"/>
      <c r="X24" s="93"/>
      <c r="Y24" s="93"/>
      <c r="Z24" s="93"/>
      <c r="AA24" s="93"/>
      <c r="AB24" s="93"/>
      <c r="AC24" s="93"/>
      <c r="AD24" s="338"/>
      <c r="AE24" s="338"/>
      <c r="AF24" s="338"/>
      <c r="AG24" s="338"/>
      <c r="AH24" s="338"/>
      <c r="AI24" s="338"/>
      <c r="AJ24" s="338"/>
      <c r="AK24" s="338"/>
      <c r="AL24" s="338"/>
      <c r="AM24" s="338"/>
      <c r="AN24" s="338"/>
      <c r="AO24" s="338"/>
      <c r="AP24" s="338"/>
      <c r="AQ24" s="338"/>
      <c r="AR24" s="338"/>
      <c r="AS24" s="338"/>
      <c r="AT24" s="338"/>
      <c r="AU24" s="338"/>
      <c r="AV24" s="338"/>
      <c r="AW24" s="338"/>
      <c r="AX24" s="338"/>
      <c r="AY24" s="338"/>
      <c r="AZ24" s="338"/>
      <c r="BA24" s="338"/>
      <c r="BB24" s="338"/>
      <c r="BC24" s="338"/>
    </row>
    <row r="25" spans="1:55" s="1" customFormat="1" ht="12" hidden="1" customHeight="1" x14ac:dyDescent="0.35">
      <c r="A25" s="5"/>
      <c r="B25" s="6"/>
      <c r="C25" s="6"/>
      <c r="D25" s="5"/>
      <c r="K25" s="13"/>
      <c r="V25" s="67"/>
      <c r="W25" s="67"/>
      <c r="X25" s="93"/>
      <c r="Y25" s="93"/>
      <c r="Z25" s="93"/>
      <c r="AA25" s="93"/>
      <c r="AB25" s="93"/>
      <c r="AC25" s="93"/>
      <c r="AD25" s="338"/>
      <c r="AE25" s="338"/>
      <c r="AF25" s="338"/>
      <c r="AG25" s="338"/>
      <c r="AH25" s="338"/>
      <c r="AI25" s="338"/>
      <c r="AJ25" s="338"/>
      <c r="AK25" s="338"/>
      <c r="AL25" s="338"/>
      <c r="AM25" s="338"/>
      <c r="AN25" s="338"/>
      <c r="AO25" s="338"/>
      <c r="AP25" s="338"/>
      <c r="AQ25" s="338"/>
      <c r="AR25" s="338"/>
      <c r="AS25" s="338"/>
      <c r="AT25" s="338"/>
      <c r="AU25" s="338"/>
      <c r="AV25" s="338"/>
      <c r="AW25" s="338"/>
      <c r="AX25" s="338"/>
      <c r="AY25" s="338"/>
      <c r="AZ25" s="338"/>
      <c r="BA25" s="338"/>
      <c r="BB25" s="338"/>
      <c r="BC25" s="338"/>
    </row>
    <row r="26" spans="1:55" s="1" customFormat="1" ht="12" hidden="1" customHeight="1" x14ac:dyDescent="0.35">
      <c r="A26" s="5"/>
      <c r="B26" s="5"/>
      <c r="C26" s="6"/>
      <c r="D26" s="5"/>
      <c r="K26" s="13"/>
      <c r="V26" s="67"/>
      <c r="W26" s="67"/>
      <c r="X26" s="67"/>
      <c r="Y26" s="67"/>
      <c r="Z26" s="93"/>
      <c r="AA26" s="93"/>
      <c r="AB26" s="93"/>
      <c r="AC26" s="93"/>
      <c r="AD26" s="338"/>
      <c r="AI26" s="1044"/>
      <c r="AJ26" s="1044"/>
      <c r="AK26" s="1044"/>
      <c r="AL26" s="1044"/>
      <c r="AM26" s="1044"/>
      <c r="AN26" s="1044"/>
      <c r="AO26" s="1044"/>
      <c r="AP26" s="1044"/>
      <c r="AQ26" s="1044"/>
      <c r="AR26" s="1044"/>
      <c r="AS26" s="1044"/>
      <c r="AT26" s="1044"/>
      <c r="AU26" s="338"/>
      <c r="AV26" s="131">
        <v>1</v>
      </c>
      <c r="AW26" s="338"/>
      <c r="AX26" s="338"/>
      <c r="AY26" s="338"/>
      <c r="AZ26" s="338"/>
      <c r="BA26" s="338"/>
      <c r="BB26" s="338"/>
      <c r="BC26" s="338"/>
    </row>
    <row r="27" spans="1:55" s="1" customFormat="1" ht="12" hidden="1" customHeight="1" x14ac:dyDescent="0.35">
      <c r="A27" s="281"/>
      <c r="B27" s="5"/>
      <c r="C27" s="5"/>
      <c r="D27" s="5"/>
      <c r="K27" s="13"/>
      <c r="N27" s="13"/>
      <c r="O27" s="13"/>
      <c r="V27" s="67"/>
      <c r="W27" s="67"/>
      <c r="X27" s="67"/>
      <c r="Y27" s="67"/>
      <c r="Z27" s="93"/>
      <c r="AA27" s="93"/>
      <c r="AB27" s="93"/>
      <c r="AC27" s="93"/>
      <c r="AD27" s="338"/>
      <c r="AI27" s="1044"/>
      <c r="AJ27" s="1044"/>
      <c r="AK27" s="1044"/>
      <c r="AL27" s="1044"/>
      <c r="AM27" s="1044"/>
      <c r="AN27" s="1044"/>
      <c r="AO27" s="1044"/>
      <c r="AP27" s="1044"/>
      <c r="AQ27" s="1044"/>
      <c r="AR27" s="1044"/>
      <c r="AS27" s="1044"/>
      <c r="AT27" s="1044"/>
      <c r="AU27" s="338"/>
      <c r="AV27" s="131">
        <v>2</v>
      </c>
      <c r="AW27" s="338"/>
      <c r="AX27" s="338"/>
      <c r="AY27" s="338"/>
      <c r="AZ27" s="338"/>
      <c r="BA27" s="338"/>
      <c r="BB27" s="338"/>
      <c r="BC27" s="338"/>
    </row>
    <row r="28" spans="1:55" s="1" customFormat="1" ht="12" customHeight="1" x14ac:dyDescent="0.35">
      <c r="A28" s="281"/>
      <c r="B28" s="475" t="s">
        <v>632</v>
      </c>
      <c r="C28" s="486" t="s">
        <v>161</v>
      </c>
      <c r="D28" s="486" t="s">
        <v>222</v>
      </c>
      <c r="E28" s="93"/>
      <c r="F28" s="13"/>
      <c r="G28" s="13"/>
      <c r="H28" s="13"/>
      <c r="I28" s="13"/>
      <c r="J28" s="13"/>
      <c r="K28" s="13"/>
      <c r="N28" s="13"/>
      <c r="O28" s="13"/>
      <c r="P28" s="13"/>
      <c r="Q28" s="13"/>
      <c r="R28" s="13"/>
      <c r="S28" s="13"/>
      <c r="T28" s="93"/>
      <c r="U28" s="93"/>
      <c r="V28" s="67"/>
      <c r="W28" s="67"/>
      <c r="X28" s="67"/>
      <c r="Y28" s="67"/>
      <c r="Z28" s="93"/>
      <c r="AA28" s="93"/>
      <c r="AB28" s="93"/>
      <c r="AC28" s="93"/>
      <c r="AD28" s="338"/>
      <c r="AI28" s="1044"/>
      <c r="AJ28" s="1044"/>
      <c r="AK28" s="1044"/>
      <c r="AL28" s="1044"/>
      <c r="AM28" s="1044"/>
      <c r="AN28" s="1044"/>
      <c r="AO28" s="1044"/>
      <c r="AP28" s="1044"/>
      <c r="AQ28" s="1044"/>
      <c r="AR28" s="1044"/>
      <c r="AS28" s="1044"/>
      <c r="AT28" s="1044"/>
      <c r="AU28" s="338"/>
      <c r="AV28" s="131">
        <v>3</v>
      </c>
      <c r="AW28" s="338"/>
      <c r="AX28" s="338"/>
      <c r="AY28" s="338"/>
      <c r="AZ28" s="338"/>
      <c r="BA28" s="338"/>
      <c r="BB28" s="338"/>
      <c r="BC28" s="338"/>
    </row>
    <row r="29" spans="1:55" s="1" customFormat="1" ht="12" customHeight="1" x14ac:dyDescent="0.35">
      <c r="A29" s="281"/>
      <c r="B29" s="6" t="s">
        <v>30</v>
      </c>
      <c r="C29" s="872">
        <f>SUM(Calcs!AF858:AF867)</f>
        <v>0</v>
      </c>
      <c r="D29" s="1311" t="str">
        <f>IF($C32=0,"",C29/C$32)</f>
        <v/>
      </c>
      <c r="E29" s="93"/>
      <c r="F29" s="13"/>
      <c r="G29" s="13"/>
      <c r="H29" s="13"/>
      <c r="I29" s="13"/>
      <c r="J29" s="13"/>
      <c r="K29" s="13"/>
      <c r="N29" s="13"/>
      <c r="O29" s="13"/>
      <c r="P29" s="13"/>
      <c r="Q29" s="13"/>
      <c r="R29" s="13"/>
      <c r="S29" s="13"/>
      <c r="T29" s="93"/>
      <c r="U29" s="93"/>
      <c r="V29" s="67"/>
      <c r="W29" s="67"/>
      <c r="X29" s="67"/>
      <c r="Y29" s="67"/>
      <c r="Z29" s="93"/>
      <c r="AA29" s="93"/>
      <c r="AB29" s="93"/>
      <c r="AC29" s="93"/>
      <c r="AD29" s="338"/>
      <c r="AI29" s="1044"/>
      <c r="AJ29" s="1044"/>
      <c r="AK29" s="1044"/>
      <c r="AL29" s="1044"/>
      <c r="AM29" s="1044"/>
      <c r="AN29" s="1044"/>
      <c r="AO29" s="1044"/>
      <c r="AP29" s="1044"/>
      <c r="AQ29" s="1044"/>
      <c r="AR29" s="1044"/>
      <c r="AS29" s="1044"/>
      <c r="AT29" s="1044"/>
      <c r="AU29" s="338"/>
      <c r="AV29" s="131">
        <v>4</v>
      </c>
      <c r="AW29" s="338"/>
      <c r="AX29" s="338"/>
      <c r="AY29" s="338"/>
      <c r="AZ29" s="338"/>
      <c r="BA29" s="338"/>
      <c r="BB29" s="338"/>
      <c r="BC29" s="338"/>
    </row>
    <row r="30" spans="1:55" s="1" customFormat="1" ht="12" customHeight="1" x14ac:dyDescent="0.35">
      <c r="A30" s="281"/>
      <c r="B30" s="6" t="s">
        <v>62</v>
      </c>
      <c r="C30" s="872">
        <f>IF(Input!H276="Yes",SUM(Calcs!AF868:AF870),0)</f>
        <v>0</v>
      </c>
      <c r="D30" s="1311" t="str">
        <f>IF($C32=0,"",C30/C$32)</f>
        <v/>
      </c>
      <c r="E30" s="93"/>
      <c r="F30" s="13"/>
      <c r="G30" s="13"/>
      <c r="H30" s="13"/>
      <c r="I30" s="13"/>
      <c r="J30" s="13"/>
      <c r="K30" s="13"/>
      <c r="N30" s="13"/>
      <c r="O30" s="13"/>
      <c r="P30" s="13"/>
      <c r="Q30" s="13"/>
      <c r="R30" s="13"/>
      <c r="S30" s="13"/>
      <c r="T30" s="93"/>
      <c r="U30" s="93"/>
      <c r="V30" s="67"/>
      <c r="W30" s="67"/>
      <c r="X30" s="67"/>
      <c r="Y30" s="67"/>
      <c r="Z30" s="93"/>
      <c r="AA30" s="93"/>
      <c r="AB30" s="93"/>
      <c r="AC30" s="93"/>
      <c r="AD30" s="338"/>
      <c r="AI30" s="1044"/>
      <c r="AJ30" s="1044"/>
      <c r="AK30" s="1044"/>
      <c r="AL30" s="1044"/>
      <c r="AM30" s="1044"/>
      <c r="AN30" s="1044"/>
      <c r="AO30" s="1044"/>
      <c r="AP30" s="1044"/>
      <c r="AQ30" s="1044"/>
      <c r="AR30" s="1044"/>
      <c r="AS30" s="1044"/>
      <c r="AT30" s="1044"/>
      <c r="AU30" s="338"/>
      <c r="AV30" s="131">
        <v>5</v>
      </c>
      <c r="AW30" s="338"/>
      <c r="AX30" s="338"/>
      <c r="AY30" s="338"/>
      <c r="AZ30" s="338"/>
      <c r="BA30" s="338"/>
      <c r="BB30" s="338"/>
      <c r="BC30" s="338"/>
    </row>
    <row r="31" spans="1:55" s="1" customFormat="1" ht="12" customHeight="1" x14ac:dyDescent="0.35">
      <c r="A31" s="281"/>
      <c r="B31" s="6" t="s">
        <v>187</v>
      </c>
      <c r="C31" s="872">
        <f>IF(Input!H294="Yes",SUM(Calcs!AF871:AF873),0)</f>
        <v>0</v>
      </c>
      <c r="D31" s="1311" t="str">
        <f>IF($C32=0,"",C31/C$32)</f>
        <v/>
      </c>
      <c r="E31" s="93"/>
      <c r="F31" s="13"/>
      <c r="G31" s="13"/>
      <c r="H31" s="13"/>
      <c r="I31" s="13"/>
      <c r="J31" s="13"/>
      <c r="K31" s="13"/>
      <c r="N31" s="13"/>
      <c r="O31" s="13"/>
      <c r="P31" s="13"/>
      <c r="Q31" s="13"/>
      <c r="R31" s="13"/>
      <c r="S31" s="13"/>
      <c r="T31" s="93"/>
      <c r="U31" s="93"/>
      <c r="V31" s="67"/>
      <c r="W31" s="67"/>
      <c r="X31" s="67"/>
      <c r="Y31" s="67"/>
      <c r="Z31" s="93"/>
      <c r="AA31" s="93"/>
      <c r="AB31" s="93"/>
      <c r="AC31" s="93"/>
      <c r="AD31" s="338"/>
      <c r="AI31" s="1044"/>
      <c r="AJ31" s="1044"/>
      <c r="AK31" s="1044"/>
      <c r="AL31" s="1044"/>
      <c r="AM31" s="1044"/>
      <c r="AN31" s="1044"/>
      <c r="AO31" s="1044"/>
      <c r="AP31" s="1044"/>
      <c r="AQ31" s="1044"/>
      <c r="AR31" s="1044"/>
      <c r="AS31" s="1044"/>
      <c r="AT31" s="1044"/>
      <c r="AU31" s="338"/>
      <c r="AV31" s="131">
        <v>6</v>
      </c>
      <c r="AW31" s="338"/>
      <c r="AX31" s="338"/>
      <c r="AY31" s="338"/>
      <c r="AZ31" s="338"/>
      <c r="BA31" s="338"/>
      <c r="BB31" s="338"/>
      <c r="BC31" s="338"/>
    </row>
    <row r="32" spans="1:55" s="1" customFormat="1" ht="12" customHeight="1" x14ac:dyDescent="0.35">
      <c r="A32" s="281"/>
      <c r="B32" s="475" t="s">
        <v>632</v>
      </c>
      <c r="C32" s="873">
        <f>SUM(C29:C31)</f>
        <v>0</v>
      </c>
      <c r="D32" s="1312" t="e">
        <f>C32/C$32</f>
        <v>#DIV/0!</v>
      </c>
      <c r="E32" s="93"/>
      <c r="F32" s="93"/>
      <c r="G32" s="93"/>
      <c r="H32" s="93"/>
      <c r="I32" s="93"/>
      <c r="J32" s="93"/>
      <c r="K32" s="13"/>
      <c r="M32" s="276"/>
      <c r="N32" s="93"/>
      <c r="O32" s="93"/>
      <c r="P32" s="93"/>
      <c r="Q32" s="93"/>
      <c r="R32" s="93"/>
      <c r="S32" s="93"/>
      <c r="T32" s="93"/>
      <c r="U32" s="93"/>
      <c r="V32" s="67"/>
      <c r="W32" s="67"/>
      <c r="X32" s="67"/>
      <c r="Y32" s="67"/>
      <c r="Z32" s="93"/>
      <c r="AA32" s="93"/>
      <c r="AB32" s="93"/>
      <c r="AC32" s="93"/>
      <c r="AD32" s="338"/>
      <c r="AI32" s="1044"/>
      <c r="AJ32" s="1044"/>
      <c r="AK32" s="1044"/>
      <c r="AL32" s="1044"/>
      <c r="AM32" s="1044"/>
      <c r="AN32" s="1044"/>
      <c r="AO32" s="1044"/>
      <c r="AP32" s="1044"/>
      <c r="AQ32" s="1044"/>
      <c r="AR32" s="1044"/>
      <c r="AS32" s="1044"/>
      <c r="AT32" s="1044"/>
      <c r="AU32" s="338"/>
      <c r="AV32" s="131">
        <v>7</v>
      </c>
      <c r="AW32" s="338"/>
      <c r="AX32" s="338"/>
      <c r="AY32" s="338"/>
      <c r="AZ32" s="338"/>
      <c r="BA32" s="338"/>
      <c r="BB32" s="338"/>
      <c r="BC32" s="338"/>
    </row>
    <row r="33" spans="1:55" s="1" customFormat="1" ht="12" customHeight="1" x14ac:dyDescent="0.35">
      <c r="A33" s="281"/>
      <c r="B33" s="6"/>
      <c r="C33" s="6"/>
      <c r="D33" s="6"/>
      <c r="E33" s="1297"/>
      <c r="F33" s="1297"/>
      <c r="G33" s="1297"/>
      <c r="H33" s="1297"/>
      <c r="I33" s="1297"/>
      <c r="J33" s="1297"/>
      <c r="K33" s="13"/>
      <c r="M33" s="276"/>
      <c r="N33" s="93"/>
      <c r="O33" s="93"/>
      <c r="P33" s="93"/>
      <c r="Q33" s="93"/>
      <c r="R33" s="93"/>
      <c r="S33" s="93"/>
      <c r="T33" s="93"/>
      <c r="U33" s="93"/>
      <c r="V33" s="67"/>
      <c r="W33" s="67"/>
      <c r="X33" s="67"/>
      <c r="Y33" s="67"/>
      <c r="Z33" s="93"/>
      <c r="AA33" s="93"/>
      <c r="AB33" s="93"/>
      <c r="AC33" s="93"/>
      <c r="AD33" s="338"/>
      <c r="AI33" s="1044"/>
      <c r="AJ33" s="1044"/>
      <c r="AK33" s="1044"/>
      <c r="AL33" s="1044"/>
      <c r="AM33" s="1044"/>
      <c r="AN33" s="1044"/>
      <c r="AO33" s="1044"/>
      <c r="AP33" s="1044"/>
      <c r="AQ33" s="1044"/>
      <c r="AR33" s="1044"/>
      <c r="AS33" s="1044"/>
      <c r="AT33" s="1044"/>
      <c r="AU33" s="338"/>
      <c r="AV33" s="131">
        <v>8</v>
      </c>
      <c r="AW33" s="338"/>
      <c r="AX33" s="338"/>
      <c r="AY33" s="338"/>
      <c r="AZ33" s="338"/>
      <c r="BA33" s="338"/>
      <c r="BB33" s="338"/>
      <c r="BC33" s="338"/>
    </row>
    <row r="34" spans="1:55" s="1" customFormat="1" ht="12" customHeight="1" x14ac:dyDescent="0.35">
      <c r="A34" s="281"/>
      <c r="B34" s="5"/>
      <c r="C34" s="5"/>
      <c r="D34" s="5"/>
      <c r="E34" s="6"/>
      <c r="F34" s="6"/>
      <c r="G34" s="6"/>
      <c r="H34" s="6"/>
      <c r="I34" s="6"/>
      <c r="J34" s="6"/>
      <c r="M34" s="5"/>
      <c r="N34" s="13"/>
      <c r="O34" s="13"/>
      <c r="P34" s="13"/>
      <c r="Q34" s="93"/>
      <c r="R34" s="93"/>
      <c r="S34" s="93"/>
      <c r="T34" s="93"/>
      <c r="U34" s="93"/>
      <c r="V34" s="93"/>
      <c r="W34" s="93"/>
      <c r="X34" s="93"/>
      <c r="Y34" s="93"/>
      <c r="Z34" s="93"/>
      <c r="AA34" s="93"/>
      <c r="AB34" s="93"/>
      <c r="AC34" s="93"/>
      <c r="AD34" s="338"/>
      <c r="AI34" s="1044"/>
      <c r="AJ34" s="1044"/>
      <c r="AK34" s="1044"/>
      <c r="AL34" s="1044"/>
      <c r="AM34" s="1044"/>
      <c r="AN34" s="1044"/>
      <c r="AO34" s="1044"/>
      <c r="AP34" s="1044"/>
      <c r="AQ34" s="1044"/>
      <c r="AR34" s="1044"/>
      <c r="AS34" s="1044"/>
      <c r="AT34" s="1044"/>
      <c r="AU34" s="338"/>
      <c r="AV34" s="131">
        <v>9</v>
      </c>
      <c r="AW34" s="338"/>
      <c r="AX34" s="338"/>
      <c r="AY34" s="338"/>
      <c r="AZ34" s="338"/>
      <c r="BA34" s="338"/>
      <c r="BB34" s="338"/>
      <c r="BC34" s="338"/>
    </row>
    <row r="35" spans="1:55" s="1" customFormat="1" ht="12" customHeight="1" x14ac:dyDescent="0.35">
      <c r="A35" s="108">
        <f>Calcs!AA859</f>
        <v>0</v>
      </c>
      <c r="B35" s="486" t="s">
        <v>53</v>
      </c>
      <c r="C35" s="486" t="s">
        <v>662</v>
      </c>
      <c r="D35" s="486" t="s">
        <v>554</v>
      </c>
      <c r="E35" s="486" t="s">
        <v>663</v>
      </c>
      <c r="F35" s="486" t="s">
        <v>664</v>
      </c>
      <c r="G35" s="486" t="s">
        <v>665</v>
      </c>
      <c r="H35" s="486" t="s">
        <v>666</v>
      </c>
      <c r="I35" s="486" t="s">
        <v>667</v>
      </c>
      <c r="J35" s="6"/>
      <c r="M35" s="5"/>
      <c r="N35" s="13"/>
      <c r="O35" s="13"/>
      <c r="P35" s="13"/>
      <c r="Q35" s="93"/>
      <c r="R35" s="93"/>
      <c r="S35" s="93"/>
      <c r="T35" s="93"/>
      <c r="U35" s="93"/>
      <c r="V35" s="93"/>
      <c r="W35" s="93"/>
      <c r="X35" s="93"/>
      <c r="Y35" s="93"/>
      <c r="Z35" s="93"/>
      <c r="AA35" s="93"/>
      <c r="AB35" s="93"/>
      <c r="AC35" s="93"/>
      <c r="AD35" s="338"/>
      <c r="AI35" s="1044"/>
      <c r="AJ35" s="1044"/>
      <c r="AK35" s="1044"/>
      <c r="AL35" s="1044"/>
      <c r="AM35" s="1044"/>
      <c r="AN35" s="1044"/>
      <c r="AO35" s="1044"/>
      <c r="AP35" s="1044"/>
      <c r="AQ35" s="1044"/>
      <c r="AR35" s="1044"/>
      <c r="AS35" s="1044"/>
      <c r="AT35" s="1044"/>
      <c r="AU35" s="338"/>
      <c r="AV35" s="131"/>
      <c r="AW35" s="338"/>
      <c r="AX35" s="338"/>
      <c r="AY35" s="338"/>
      <c r="AZ35" s="338"/>
      <c r="BA35" s="338"/>
      <c r="BB35" s="338"/>
      <c r="BC35" s="338"/>
    </row>
    <row r="36" spans="1:55" s="1" customFormat="1" ht="12" customHeight="1" x14ac:dyDescent="0.35">
      <c r="A36" s="108">
        <v>1</v>
      </c>
      <c r="B36" s="881" t="str">
        <f>Calcs!T915</f>
        <v/>
      </c>
      <c r="C36" s="882">
        <f>Calcs!U915</f>
        <v>0</v>
      </c>
      <c r="D36" s="1308">
        <f>Calcs!V915</f>
        <v>0</v>
      </c>
      <c r="E36" s="1220">
        <f>Calcs!W915</f>
        <v>0</v>
      </c>
      <c r="F36" s="1220">
        <f>Calcs!X915</f>
        <v>0</v>
      </c>
      <c r="G36" s="1221">
        <f>Calcs!Y915</f>
        <v>0</v>
      </c>
      <c r="H36" s="1220">
        <f ca="1">Calcs!Z954</f>
        <v>0</v>
      </c>
      <c r="I36" s="1221">
        <f>Calcs!AB934</f>
        <v>0</v>
      </c>
      <c r="J36" s="6"/>
      <c r="M36" s="5"/>
      <c r="N36" s="13"/>
      <c r="O36" s="13"/>
      <c r="P36" s="13"/>
      <c r="Q36" s="93"/>
      <c r="R36" s="93"/>
      <c r="S36" s="93"/>
      <c r="T36" s="93"/>
      <c r="U36" s="93"/>
      <c r="V36" s="93"/>
      <c r="W36" s="93"/>
      <c r="X36" s="93"/>
      <c r="Y36" s="93"/>
      <c r="Z36" s="93"/>
      <c r="AA36" s="93"/>
      <c r="AB36" s="93"/>
      <c r="AC36" s="93"/>
      <c r="AD36" s="338"/>
      <c r="AI36" s="1044"/>
      <c r="AJ36" s="1044"/>
      <c r="AK36" s="1044"/>
      <c r="AL36" s="1044"/>
      <c r="AM36" s="1044"/>
      <c r="AN36" s="1044"/>
      <c r="AO36" s="1044"/>
      <c r="AP36" s="1044"/>
      <c r="AQ36" s="1044"/>
      <c r="AR36" s="1044"/>
      <c r="AS36" s="1044"/>
      <c r="AT36" s="1044"/>
      <c r="AU36" s="338"/>
      <c r="AV36" s="338"/>
      <c r="AW36" s="338"/>
      <c r="AX36" s="338"/>
      <c r="AY36" s="338"/>
      <c r="AZ36" s="338"/>
      <c r="BA36" s="338"/>
      <c r="BB36" s="338"/>
      <c r="BC36" s="338"/>
    </row>
    <row r="37" spans="1:55" s="1" customFormat="1" ht="12" customHeight="1" x14ac:dyDescent="0.35">
      <c r="A37" s="108">
        <v>2</v>
      </c>
      <c r="B37" s="1263" t="str">
        <f>Calcs!T916</f>
        <v/>
      </c>
      <c r="C37" s="1264">
        <f>Calcs!U916</f>
        <v>0</v>
      </c>
      <c r="D37" s="1309">
        <f>Calcs!V916</f>
        <v>0</v>
      </c>
      <c r="E37" s="1265">
        <f>Calcs!W916</f>
        <v>0</v>
      </c>
      <c r="F37" s="1265">
        <f>Calcs!X916</f>
        <v>0</v>
      </c>
      <c r="G37" s="1266">
        <f>Calcs!Y916</f>
        <v>0</v>
      </c>
      <c r="H37" s="1265">
        <f ca="1">Calcs!Z955</f>
        <v>0</v>
      </c>
      <c r="I37" s="1266">
        <f>Calcs!AB935</f>
        <v>0</v>
      </c>
      <c r="J37" s="6"/>
      <c r="M37" s="5"/>
      <c r="N37" s="13"/>
      <c r="O37" s="13"/>
      <c r="P37" s="13"/>
      <c r="Q37" s="93"/>
      <c r="R37" s="93"/>
      <c r="S37" s="93"/>
      <c r="T37" s="93"/>
      <c r="U37" s="93"/>
      <c r="V37" s="93"/>
      <c r="W37" s="93"/>
      <c r="X37" s="93"/>
      <c r="Y37" s="93"/>
      <c r="Z37" s="93"/>
      <c r="AA37" s="93"/>
      <c r="AB37" s="93"/>
      <c r="AC37" s="93"/>
      <c r="AD37" s="338"/>
      <c r="AU37" s="338"/>
      <c r="AV37" s="338"/>
      <c r="AW37" s="338"/>
      <c r="AX37" s="338"/>
      <c r="AY37" s="338"/>
      <c r="AZ37" s="338"/>
      <c r="BA37" s="338"/>
      <c r="BB37" s="338"/>
      <c r="BC37" s="338"/>
    </row>
    <row r="38" spans="1:55" s="1" customFormat="1" ht="12" customHeight="1" x14ac:dyDescent="0.35">
      <c r="A38" s="108">
        <v>3</v>
      </c>
      <c r="B38" s="1263" t="str">
        <f>Calcs!T917</f>
        <v/>
      </c>
      <c r="C38" s="1264">
        <f>Calcs!U917</f>
        <v>0</v>
      </c>
      <c r="D38" s="1309">
        <f>Calcs!V917</f>
        <v>0</v>
      </c>
      <c r="E38" s="1265">
        <f>Calcs!W917</f>
        <v>0</v>
      </c>
      <c r="F38" s="1265">
        <f>Calcs!X917</f>
        <v>0</v>
      </c>
      <c r="G38" s="1266">
        <f>Calcs!Y917</f>
        <v>0</v>
      </c>
      <c r="H38" s="1265">
        <f ca="1">Calcs!Z956</f>
        <v>0</v>
      </c>
      <c r="I38" s="1266">
        <f>Calcs!AB936</f>
        <v>0</v>
      </c>
      <c r="J38" s="6"/>
      <c r="M38" s="5"/>
      <c r="N38" s="13"/>
      <c r="O38" s="13"/>
      <c r="P38" s="13"/>
      <c r="Q38" s="93"/>
      <c r="R38" s="93"/>
      <c r="S38" s="93"/>
      <c r="T38" s="93"/>
      <c r="U38" s="93"/>
      <c r="V38" s="93"/>
      <c r="W38" s="93"/>
      <c r="X38" s="93"/>
      <c r="Y38" s="93"/>
      <c r="Z38" s="93"/>
      <c r="AA38" s="93"/>
      <c r="AB38" s="93"/>
      <c r="AC38" s="93"/>
      <c r="AD38" s="338"/>
      <c r="AU38" s="338"/>
      <c r="AV38" s="338"/>
      <c r="AW38" s="338"/>
      <c r="AX38" s="338"/>
      <c r="AY38" s="338"/>
      <c r="AZ38" s="338"/>
      <c r="BA38" s="338"/>
      <c r="BB38" s="338"/>
      <c r="BC38" s="338"/>
    </row>
    <row r="39" spans="1:55" s="1" customFormat="1" ht="12" customHeight="1" x14ac:dyDescent="0.35">
      <c r="A39" s="108">
        <v>4</v>
      </c>
      <c r="B39" s="1263" t="str">
        <f>Calcs!T918</f>
        <v/>
      </c>
      <c r="C39" s="1264">
        <f>Calcs!U918</f>
        <v>0</v>
      </c>
      <c r="D39" s="1309">
        <f>Calcs!V918</f>
        <v>0</v>
      </c>
      <c r="E39" s="1265">
        <f>Calcs!W918</f>
        <v>0</v>
      </c>
      <c r="F39" s="1265">
        <f>Calcs!X918</f>
        <v>0</v>
      </c>
      <c r="G39" s="1268">
        <f>Calcs!Y918</f>
        <v>0</v>
      </c>
      <c r="H39" s="1265">
        <f ca="1">Calcs!Z957</f>
        <v>0</v>
      </c>
      <c r="I39" s="1269">
        <f>Calcs!AB937</f>
        <v>0</v>
      </c>
      <c r="J39" s="6"/>
      <c r="M39" s="5"/>
      <c r="N39" s="13"/>
      <c r="O39" s="13"/>
      <c r="P39" s="13"/>
      <c r="Q39" s="93"/>
      <c r="R39" s="93"/>
      <c r="S39" s="93"/>
      <c r="T39" s="93"/>
      <c r="U39" s="93"/>
      <c r="V39" s="93"/>
      <c r="W39" s="93"/>
      <c r="X39" s="93"/>
      <c r="Y39" s="93"/>
      <c r="Z39" s="93"/>
      <c r="AA39" s="93"/>
      <c r="AB39" s="93"/>
      <c r="AC39" s="93"/>
      <c r="AD39" s="338"/>
      <c r="AU39" s="338"/>
      <c r="AV39" s="338"/>
      <c r="AW39" s="338"/>
      <c r="AX39" s="338"/>
      <c r="AY39" s="338"/>
      <c r="AZ39" s="338"/>
      <c r="BA39" s="338"/>
      <c r="BB39" s="338"/>
      <c r="BC39" s="338"/>
    </row>
    <row r="40" spans="1:55" s="1" customFormat="1" ht="12" customHeight="1" x14ac:dyDescent="0.35">
      <c r="A40" s="108">
        <v>5</v>
      </c>
      <c r="B40" s="1263" t="str">
        <f>Calcs!T919</f>
        <v/>
      </c>
      <c r="C40" s="1264">
        <f>Calcs!U919</f>
        <v>0</v>
      </c>
      <c r="D40" s="1309">
        <f>Calcs!V919</f>
        <v>0</v>
      </c>
      <c r="E40" s="1265">
        <f>Calcs!W919</f>
        <v>0</v>
      </c>
      <c r="F40" s="1265">
        <f>Calcs!X919</f>
        <v>0</v>
      </c>
      <c r="G40" s="1268">
        <f>Calcs!Y919</f>
        <v>0</v>
      </c>
      <c r="H40" s="1265">
        <f ca="1">Calcs!Z958</f>
        <v>0</v>
      </c>
      <c r="I40" s="1269">
        <f>Calcs!AB938</f>
        <v>0</v>
      </c>
      <c r="J40" s="6"/>
      <c r="M40" s="5"/>
      <c r="N40" s="13"/>
      <c r="O40" s="13"/>
      <c r="P40" s="13"/>
      <c r="Q40" s="93"/>
      <c r="R40" s="93"/>
      <c r="S40" s="93"/>
      <c r="T40" s="93"/>
      <c r="U40" s="93"/>
      <c r="V40" s="93"/>
      <c r="W40" s="93"/>
      <c r="X40" s="93"/>
      <c r="Y40" s="93"/>
      <c r="Z40" s="93"/>
      <c r="AA40" s="93"/>
      <c r="AB40" s="93"/>
      <c r="AC40" s="93"/>
      <c r="AD40" s="338"/>
      <c r="AU40" s="338"/>
      <c r="AV40" s="338"/>
      <c r="AW40" s="338"/>
      <c r="AX40" s="338"/>
      <c r="AY40" s="338"/>
      <c r="AZ40" s="338"/>
      <c r="BA40" s="338"/>
      <c r="BB40" s="338"/>
      <c r="BC40" s="338"/>
    </row>
    <row r="41" spans="1:55" s="1" customFormat="1" ht="12" customHeight="1" x14ac:dyDescent="0.35">
      <c r="A41" s="108">
        <v>6</v>
      </c>
      <c r="B41" s="1263" t="str">
        <f>Calcs!T920</f>
        <v/>
      </c>
      <c r="C41" s="1264">
        <f>Calcs!U920</f>
        <v>0</v>
      </c>
      <c r="D41" s="1309">
        <f>Calcs!V920</f>
        <v>0</v>
      </c>
      <c r="E41" s="1265">
        <f>Calcs!W920</f>
        <v>0</v>
      </c>
      <c r="F41" s="1265">
        <f>Calcs!X920</f>
        <v>0</v>
      </c>
      <c r="G41" s="1268">
        <f>Calcs!Y920</f>
        <v>0</v>
      </c>
      <c r="H41" s="1265">
        <f ca="1">Calcs!Z959</f>
        <v>0</v>
      </c>
      <c r="I41" s="1269">
        <f>Calcs!AB939</f>
        <v>0</v>
      </c>
      <c r="J41" s="6"/>
      <c r="M41" s="5"/>
      <c r="N41" s="5"/>
      <c r="O41" s="5"/>
      <c r="P41" s="5"/>
      <c r="Q41" s="5"/>
    </row>
    <row r="42" spans="1:55" s="1" customFormat="1" ht="12" customHeight="1" x14ac:dyDescent="0.35">
      <c r="A42" s="108">
        <v>7</v>
      </c>
      <c r="B42" s="1263" t="str">
        <f>Calcs!T921</f>
        <v/>
      </c>
      <c r="C42" s="1264">
        <f>Calcs!U921</f>
        <v>0</v>
      </c>
      <c r="D42" s="1309">
        <f>Calcs!V921</f>
        <v>0</v>
      </c>
      <c r="E42" s="1265">
        <f>Calcs!W921</f>
        <v>0</v>
      </c>
      <c r="F42" s="1265">
        <f>Calcs!X921</f>
        <v>0</v>
      </c>
      <c r="G42" s="1268">
        <f>Calcs!Y921</f>
        <v>0</v>
      </c>
      <c r="H42" s="1265">
        <f ca="1">Calcs!Z960</f>
        <v>0</v>
      </c>
      <c r="I42" s="1269">
        <f>Calcs!AB940</f>
        <v>0</v>
      </c>
      <c r="J42" s="6"/>
      <c r="M42" s="5"/>
      <c r="N42" s="5"/>
      <c r="O42" s="5"/>
      <c r="P42" s="5"/>
      <c r="Q42" s="5"/>
    </row>
    <row r="43" spans="1:55" s="1" customFormat="1" ht="12" customHeight="1" x14ac:dyDescent="0.35">
      <c r="A43" s="108">
        <v>8</v>
      </c>
      <c r="B43" s="1263" t="str">
        <f>Calcs!T922</f>
        <v/>
      </c>
      <c r="C43" s="1264">
        <f>Calcs!U922</f>
        <v>0</v>
      </c>
      <c r="D43" s="1309">
        <f>Calcs!V922</f>
        <v>0</v>
      </c>
      <c r="E43" s="1265">
        <f>Calcs!W922</f>
        <v>0</v>
      </c>
      <c r="F43" s="1265">
        <f>Calcs!X922</f>
        <v>0</v>
      </c>
      <c r="G43" s="1268">
        <f>Calcs!Y922</f>
        <v>0</v>
      </c>
      <c r="H43" s="1265">
        <f ca="1">Calcs!Z961</f>
        <v>0</v>
      </c>
      <c r="I43" s="1269">
        <f>Calcs!AB941</f>
        <v>0</v>
      </c>
      <c r="J43" s="6"/>
      <c r="M43" s="5"/>
      <c r="N43" s="5"/>
      <c r="O43" s="5"/>
      <c r="P43" s="5"/>
      <c r="Q43" s="5"/>
    </row>
    <row r="44" spans="1:55" s="1" customFormat="1" ht="12" customHeight="1" x14ac:dyDescent="0.35">
      <c r="A44" s="108">
        <v>9</v>
      </c>
      <c r="B44" s="1263" t="str">
        <f>Calcs!T923</f>
        <v/>
      </c>
      <c r="C44" s="1264">
        <f>Calcs!U923</f>
        <v>0</v>
      </c>
      <c r="D44" s="1309">
        <f>Calcs!V923</f>
        <v>0</v>
      </c>
      <c r="E44" s="1265">
        <f>Calcs!W923</f>
        <v>0</v>
      </c>
      <c r="F44" s="1265">
        <f>Calcs!X923</f>
        <v>0</v>
      </c>
      <c r="G44" s="1268">
        <f>Calcs!Y923</f>
        <v>0</v>
      </c>
      <c r="H44" s="1265">
        <f ca="1">Calcs!Z962</f>
        <v>0</v>
      </c>
      <c r="I44" s="1269">
        <f>Calcs!AB942</f>
        <v>0</v>
      </c>
      <c r="J44" s="6"/>
      <c r="M44" s="5"/>
      <c r="N44" s="5"/>
      <c r="O44" s="5"/>
      <c r="P44" s="5"/>
      <c r="Q44" s="5"/>
    </row>
    <row r="45" spans="1:55" s="1" customFormat="1" ht="12" customHeight="1" x14ac:dyDescent="0.35">
      <c r="A45" s="108">
        <v>10</v>
      </c>
      <c r="B45" s="1263" t="str">
        <f>Calcs!T924</f>
        <v/>
      </c>
      <c r="C45" s="1264">
        <f>Calcs!U924</f>
        <v>0</v>
      </c>
      <c r="D45" s="1309">
        <f>Calcs!V924</f>
        <v>0</v>
      </c>
      <c r="E45" s="1265">
        <f>Calcs!W924</f>
        <v>0</v>
      </c>
      <c r="F45" s="1265">
        <f>Calcs!X924</f>
        <v>0</v>
      </c>
      <c r="G45" s="1268">
        <f>Calcs!Y924</f>
        <v>0</v>
      </c>
      <c r="H45" s="1265">
        <f ca="1">Calcs!Z963</f>
        <v>0</v>
      </c>
      <c r="I45" s="1269">
        <f>Calcs!AB943</f>
        <v>0</v>
      </c>
      <c r="J45" s="6"/>
      <c r="M45" s="5"/>
      <c r="N45" s="5"/>
      <c r="O45" s="6"/>
      <c r="P45" s="108">
        <v>12</v>
      </c>
      <c r="Q45" s="108">
        <v>11</v>
      </c>
      <c r="R45" s="108">
        <v>10</v>
      </c>
      <c r="S45" s="108">
        <v>9</v>
      </c>
      <c r="T45" s="108">
        <v>8</v>
      </c>
      <c r="U45" s="108">
        <v>7</v>
      </c>
      <c r="V45" s="108">
        <v>6</v>
      </c>
      <c r="W45" s="108">
        <v>5</v>
      </c>
      <c r="X45" s="108">
        <v>4</v>
      </c>
      <c r="Y45" s="108">
        <v>3</v>
      </c>
      <c r="Z45" s="108">
        <v>2</v>
      </c>
      <c r="AA45" s="108">
        <v>1</v>
      </c>
      <c r="AB45" s="276"/>
    </row>
    <row r="46" spans="1:55" s="1" customFormat="1" ht="12" customHeight="1" x14ac:dyDescent="0.35">
      <c r="A46" s="108">
        <v>11</v>
      </c>
      <c r="B46" s="1263" t="str">
        <f>Calcs!T925</f>
        <v/>
      </c>
      <c r="C46" s="1264">
        <f>Calcs!U925</f>
        <v>0</v>
      </c>
      <c r="D46" s="1309">
        <f>Calcs!V925</f>
        <v>0</v>
      </c>
      <c r="E46" s="1265">
        <f>Calcs!W925</f>
        <v>0</v>
      </c>
      <c r="F46" s="1265">
        <f>Calcs!X925</f>
        <v>0</v>
      </c>
      <c r="G46" s="1268">
        <f>Calcs!Y925</f>
        <v>0</v>
      </c>
      <c r="H46" s="1265">
        <f ca="1">Calcs!Z964</f>
        <v>0</v>
      </c>
      <c r="I46" s="1269">
        <f>Calcs!AB944</f>
        <v>0</v>
      </c>
      <c r="J46" s="6"/>
      <c r="M46" s="5"/>
      <c r="N46" s="5"/>
    </row>
    <row r="47" spans="1:55" s="1" customFormat="1" ht="12" customHeight="1" x14ac:dyDescent="0.35">
      <c r="A47" s="108">
        <v>12</v>
      </c>
      <c r="B47" s="1263" t="str">
        <f>Calcs!T926</f>
        <v/>
      </c>
      <c r="C47" s="1264">
        <f>Calcs!U926</f>
        <v>0</v>
      </c>
      <c r="D47" s="1310"/>
    </row>
    <row r="48" spans="1:55" s="1" customFormat="1" ht="12" customHeight="1" x14ac:dyDescent="0.35">
      <c r="A48" s="108">
        <v>13</v>
      </c>
      <c r="B48" s="1263" t="str">
        <f>Calcs!T927</f>
        <v/>
      </c>
      <c r="C48" s="1264">
        <f>Calcs!U927</f>
        <v>0</v>
      </c>
      <c r="D48" s="1310"/>
    </row>
    <row r="49" spans="1:4" s="1" customFormat="1" ht="12" customHeight="1" x14ac:dyDescent="0.35">
      <c r="A49" s="108">
        <v>14</v>
      </c>
      <c r="B49" s="1263" t="str">
        <f>Calcs!T928</f>
        <v/>
      </c>
      <c r="C49" s="1264">
        <f>Calcs!U928</f>
        <v>0</v>
      </c>
      <c r="D49" s="1310"/>
    </row>
    <row r="50" spans="1:4" s="1" customFormat="1" ht="12" customHeight="1" x14ac:dyDescent="0.35">
      <c r="A50" s="108">
        <v>15</v>
      </c>
      <c r="B50" s="1263" t="str">
        <f>Calcs!T929</f>
        <v/>
      </c>
      <c r="C50" s="1264">
        <f>Calcs!U929</f>
        <v>0</v>
      </c>
      <c r="D50" s="1310"/>
    </row>
    <row r="51" spans="1:4" s="1" customFormat="1" ht="12" customHeight="1" x14ac:dyDescent="0.35">
      <c r="A51" s="108">
        <v>16</v>
      </c>
      <c r="B51" s="6" t="str">
        <f>Calcs!T930</f>
        <v/>
      </c>
      <c r="C51" s="476">
        <f>Calcs!U930</f>
        <v>0</v>
      </c>
      <c r="D51" s="1310"/>
    </row>
    <row r="52" spans="1:4" s="1" customFormat="1" ht="12" customHeight="1" x14ac:dyDescent="0.35">
      <c r="A52" s="108">
        <v>17</v>
      </c>
      <c r="B52" s="1270" t="s">
        <v>131</v>
      </c>
      <c r="C52" s="1271">
        <f>Calcs!U931</f>
        <v>0</v>
      </c>
      <c r="D52" s="1310"/>
    </row>
    <row r="53" spans="1:4" s="1" customFormat="1" ht="12" customHeight="1" x14ac:dyDescent="0.35">
      <c r="A53" s="281"/>
      <c r="B53" s="281"/>
      <c r="C53" s="281"/>
    </row>
    <row r="54" spans="1:4" s="1" customFormat="1" ht="12" customHeight="1" x14ac:dyDescent="0.35">
      <c r="A54" s="397"/>
      <c r="B54" s="330"/>
      <c r="C54" s="330"/>
    </row>
    <row r="55" spans="1:4" ht="12" customHeight="1" x14ac:dyDescent="0.35">
      <c r="A55" s="398"/>
      <c r="B55" s="402"/>
      <c r="C55" s="402"/>
    </row>
    <row r="56" spans="1:4" ht="12" customHeight="1" x14ac:dyDescent="0.35">
      <c r="A56" s="398"/>
      <c r="B56" s="402"/>
      <c r="C56" s="402"/>
    </row>
    <row r="57" spans="1:4" ht="12" customHeight="1" x14ac:dyDescent="0.35">
      <c r="A57" s="398"/>
      <c r="B57" s="402"/>
      <c r="C57" s="1302"/>
    </row>
    <row r="58" spans="1:4" ht="12" customHeight="1" x14ac:dyDescent="0.35">
      <c r="A58" s="398"/>
      <c r="B58" s="402"/>
      <c r="C58" s="1302"/>
    </row>
    <row r="59" spans="1:4" ht="12" customHeight="1" x14ac:dyDescent="0.35">
      <c r="A59" s="398"/>
      <c r="B59" s="402"/>
      <c r="C59" s="1302"/>
    </row>
    <row r="60" spans="1:4" ht="12" customHeight="1" x14ac:dyDescent="0.35">
      <c r="B60" s="402"/>
      <c r="C60" s="1302"/>
    </row>
    <row r="61" spans="1:4" ht="12" customHeight="1" x14ac:dyDescent="0.35">
      <c r="C61" s="40"/>
    </row>
    <row r="62" spans="1:4" ht="12" customHeight="1" x14ac:dyDescent="0.35">
      <c r="C62" s="40"/>
    </row>
    <row r="63" spans="1:4" ht="12" customHeight="1" x14ac:dyDescent="0.35">
      <c r="C63" s="40"/>
    </row>
    <row r="64" spans="1:4" ht="12" customHeight="1" x14ac:dyDescent="0.35">
      <c r="C64" s="40"/>
    </row>
    <row r="65" spans="3:3" ht="12" customHeight="1" x14ac:dyDescent="0.35">
      <c r="C65" s="40"/>
    </row>
    <row r="66" spans="3:3" ht="12" customHeight="1" x14ac:dyDescent="0.35">
      <c r="C66" s="40"/>
    </row>
    <row r="67" spans="3:3" ht="12" customHeight="1" x14ac:dyDescent="0.35">
      <c r="C67" s="40"/>
    </row>
    <row r="68" spans="3:3" ht="12" customHeight="1" x14ac:dyDescent="0.35">
      <c r="C68" s="40"/>
    </row>
    <row r="69" spans="3:3" ht="12" customHeight="1" x14ac:dyDescent="0.35">
      <c r="C69" s="40"/>
    </row>
    <row r="70" spans="3:3" ht="12" customHeight="1" x14ac:dyDescent="0.35">
      <c r="C70" s="40"/>
    </row>
    <row r="71" spans="3:3" ht="12" customHeight="1" x14ac:dyDescent="0.35">
      <c r="C71" s="40"/>
    </row>
    <row r="72" spans="3:3" ht="12" customHeight="1" x14ac:dyDescent="0.35">
      <c r="C72" s="40"/>
    </row>
    <row r="73" spans="3:3" ht="12" customHeight="1" x14ac:dyDescent="0.35">
      <c r="C73" s="40"/>
    </row>
    <row r="74" spans="3:3" ht="12" customHeight="1" x14ac:dyDescent="0.35">
      <c r="C74" s="40"/>
    </row>
    <row r="75" spans="3:3" ht="12" customHeight="1" x14ac:dyDescent="0.35">
      <c r="C75" s="40"/>
    </row>
    <row r="76" spans="3:3" ht="12" customHeight="1" x14ac:dyDescent="0.35">
      <c r="C76" s="40"/>
    </row>
    <row r="77" spans="3:3" ht="12" customHeight="1" x14ac:dyDescent="0.35">
      <c r="C77" s="40"/>
    </row>
    <row r="78" spans="3:3" ht="12" customHeight="1" x14ac:dyDescent="0.35">
      <c r="C78" s="40"/>
    </row>
    <row r="79" spans="3:3" ht="12" customHeight="1" x14ac:dyDescent="0.35">
      <c r="C79" s="40"/>
    </row>
    <row r="80" spans="3:3" ht="12" customHeight="1" x14ac:dyDescent="0.35">
      <c r="C80" s="40"/>
    </row>
    <row r="81" spans="3:3" ht="12" customHeight="1" x14ac:dyDescent="0.35">
      <c r="C81" s="40"/>
    </row>
    <row r="82" spans="3:3" ht="12" customHeight="1" x14ac:dyDescent="0.35">
      <c r="C82" s="40"/>
    </row>
    <row r="83" spans="3:3" ht="12" customHeight="1" x14ac:dyDescent="0.35">
      <c r="C83" s="40"/>
    </row>
    <row r="84" spans="3:3" ht="12" customHeight="1" x14ac:dyDescent="0.35">
      <c r="C84" s="40"/>
    </row>
    <row r="85" spans="3:3" ht="12" customHeight="1" x14ac:dyDescent="0.35">
      <c r="C85" s="40"/>
    </row>
    <row r="86" spans="3:3" ht="12" customHeight="1" x14ac:dyDescent="0.35">
      <c r="C86" s="40"/>
    </row>
    <row r="87" spans="3:3" ht="12" customHeight="1" x14ac:dyDescent="0.35">
      <c r="C87" s="40"/>
    </row>
    <row r="88" spans="3:3" ht="12" customHeight="1" x14ac:dyDescent="0.35">
      <c r="C88" s="40"/>
    </row>
    <row r="89" spans="3:3" ht="12" customHeight="1" x14ac:dyDescent="0.35">
      <c r="C89" s="40"/>
    </row>
    <row r="90" spans="3:3" ht="12" customHeight="1" x14ac:dyDescent="0.35">
      <c r="C90" s="40"/>
    </row>
    <row r="91" spans="3:3" ht="12" customHeight="1" x14ac:dyDescent="0.35">
      <c r="C91" s="40"/>
    </row>
    <row r="92" spans="3:3" ht="12" customHeight="1" x14ac:dyDescent="0.35">
      <c r="C92" s="40"/>
    </row>
    <row r="93" spans="3:3" ht="12" customHeight="1" x14ac:dyDescent="0.35">
      <c r="C93" s="40"/>
    </row>
    <row r="94" spans="3:3" ht="12" customHeight="1" x14ac:dyDescent="0.35">
      <c r="C94" s="40"/>
    </row>
    <row r="95" spans="3:3" ht="12" customHeight="1" x14ac:dyDescent="0.35">
      <c r="C95" s="40"/>
    </row>
    <row r="96" spans="3:3" ht="12" customHeight="1" x14ac:dyDescent="0.35">
      <c r="C96" s="40"/>
    </row>
    <row r="97" spans="3:3" ht="12" customHeight="1" x14ac:dyDescent="0.35">
      <c r="C97" s="40"/>
    </row>
    <row r="98" spans="3:3" ht="12" customHeight="1" x14ac:dyDescent="0.35">
      <c r="C98" s="40"/>
    </row>
    <row r="99" spans="3:3" ht="12" customHeight="1" x14ac:dyDescent="0.35">
      <c r="C99" s="40"/>
    </row>
    <row r="100" spans="3:3" ht="12" customHeight="1" x14ac:dyDescent="0.35">
      <c r="C100" s="40"/>
    </row>
    <row r="101" spans="3:3" ht="12" customHeight="1" x14ac:dyDescent="0.35">
      <c r="C101" s="40"/>
    </row>
    <row r="102" spans="3:3" ht="12" customHeight="1" x14ac:dyDescent="0.35">
      <c r="C102" s="40"/>
    </row>
    <row r="103" spans="3:3" ht="12" customHeight="1" x14ac:dyDescent="0.35">
      <c r="C103" s="40"/>
    </row>
    <row r="104" spans="3:3" ht="12" customHeight="1" x14ac:dyDescent="0.35">
      <c r="C104" s="40"/>
    </row>
    <row r="105" spans="3:3" ht="12" customHeight="1" x14ac:dyDescent="0.35">
      <c r="C105" s="40"/>
    </row>
    <row r="106" spans="3:3" ht="12" customHeight="1" x14ac:dyDescent="0.35">
      <c r="C106" s="40"/>
    </row>
    <row r="107" spans="3:3" ht="12" customHeight="1" x14ac:dyDescent="0.35">
      <c r="C107" s="40"/>
    </row>
    <row r="108" spans="3:3" ht="12" customHeight="1" x14ac:dyDescent="0.35">
      <c r="C108" s="40"/>
    </row>
    <row r="109" spans="3:3" ht="12" customHeight="1" x14ac:dyDescent="0.35">
      <c r="C109" s="40"/>
    </row>
    <row r="110" spans="3:3" ht="12" customHeight="1" x14ac:dyDescent="0.35">
      <c r="C110" s="40"/>
    </row>
    <row r="111" spans="3:3" ht="12" customHeight="1" x14ac:dyDescent="0.35">
      <c r="C111" s="40"/>
    </row>
    <row r="112" spans="3:3" ht="12" customHeight="1" x14ac:dyDescent="0.35">
      <c r="C112" s="40"/>
    </row>
    <row r="113" spans="3:3" ht="12" customHeight="1" x14ac:dyDescent="0.35">
      <c r="C113" s="40"/>
    </row>
    <row r="114" spans="3:3" ht="12" customHeight="1" x14ac:dyDescent="0.35">
      <c r="C114" s="40"/>
    </row>
    <row r="115" spans="3:3" ht="12" customHeight="1" x14ac:dyDescent="0.35">
      <c r="C115" s="40"/>
    </row>
    <row r="116" spans="3:3" ht="12" customHeight="1" x14ac:dyDescent="0.35">
      <c r="C116" s="40"/>
    </row>
    <row r="117" spans="3:3" ht="12" customHeight="1" x14ac:dyDescent="0.35">
      <c r="C117" s="40"/>
    </row>
    <row r="118" spans="3:3" ht="12" customHeight="1" x14ac:dyDescent="0.35">
      <c r="C118" s="40"/>
    </row>
    <row r="119" spans="3:3" ht="12" customHeight="1" x14ac:dyDescent="0.35">
      <c r="C119" s="40"/>
    </row>
    <row r="120" spans="3:3" ht="12" customHeight="1" x14ac:dyDescent="0.35">
      <c r="C120" s="40"/>
    </row>
    <row r="121" spans="3:3" ht="12" customHeight="1" x14ac:dyDescent="0.35">
      <c r="C121" s="40"/>
    </row>
    <row r="122" spans="3:3" ht="12" customHeight="1" x14ac:dyDescent="0.35">
      <c r="C122" s="40"/>
    </row>
    <row r="123" spans="3:3" ht="12" customHeight="1" x14ac:dyDescent="0.35">
      <c r="C123" s="40"/>
    </row>
    <row r="124" spans="3:3" ht="12" customHeight="1" x14ac:dyDescent="0.35">
      <c r="C124" s="40"/>
    </row>
    <row r="125" spans="3:3" ht="12" customHeight="1" x14ac:dyDescent="0.35">
      <c r="C125" s="40"/>
    </row>
    <row r="126" spans="3:3" ht="12" customHeight="1" x14ac:dyDescent="0.35">
      <c r="C126" s="40"/>
    </row>
    <row r="127" spans="3:3" ht="12" customHeight="1" x14ac:dyDescent="0.35">
      <c r="C127" s="40"/>
    </row>
    <row r="128" spans="3:3" ht="12" customHeight="1" x14ac:dyDescent="0.35">
      <c r="C128" s="40"/>
    </row>
    <row r="129" spans="3:3" ht="12" customHeight="1" x14ac:dyDescent="0.35">
      <c r="C129" s="40"/>
    </row>
    <row r="130" spans="3:3" ht="12" customHeight="1" x14ac:dyDescent="0.35">
      <c r="C130" s="40"/>
    </row>
    <row r="131" spans="3:3" ht="12" customHeight="1" x14ac:dyDescent="0.35">
      <c r="C131" s="40"/>
    </row>
    <row r="132" spans="3:3" ht="12" customHeight="1" x14ac:dyDescent="0.35">
      <c r="C132" s="40"/>
    </row>
    <row r="133" spans="3:3" ht="12" customHeight="1" x14ac:dyDescent="0.35">
      <c r="C133" s="40"/>
    </row>
    <row r="134" spans="3:3" ht="12" customHeight="1" x14ac:dyDescent="0.35">
      <c r="C134" s="40"/>
    </row>
    <row r="135" spans="3:3" ht="12" customHeight="1" x14ac:dyDescent="0.35">
      <c r="C135" s="40"/>
    </row>
    <row r="136" spans="3:3" ht="12" customHeight="1" x14ac:dyDescent="0.35">
      <c r="C136" s="40"/>
    </row>
    <row r="137" spans="3:3" ht="12" customHeight="1" x14ac:dyDescent="0.35">
      <c r="C137" s="40"/>
    </row>
    <row r="138" spans="3:3" ht="12" customHeight="1" x14ac:dyDescent="0.35">
      <c r="C138" s="40"/>
    </row>
    <row r="139" spans="3:3" ht="12" customHeight="1" x14ac:dyDescent="0.35">
      <c r="C139" s="40"/>
    </row>
    <row r="140" spans="3:3" ht="12" customHeight="1" x14ac:dyDescent="0.35">
      <c r="C140" s="40"/>
    </row>
    <row r="141" spans="3:3" ht="12" customHeight="1" x14ac:dyDescent="0.35">
      <c r="C141" s="40"/>
    </row>
    <row r="142" spans="3:3" ht="12" customHeight="1" x14ac:dyDescent="0.35">
      <c r="C142" s="40"/>
    </row>
    <row r="143" spans="3:3" ht="12" customHeight="1" x14ac:dyDescent="0.35">
      <c r="C143" s="40"/>
    </row>
    <row r="144" spans="3:3" ht="12" customHeight="1" x14ac:dyDescent="0.35">
      <c r="C144" s="40"/>
    </row>
    <row r="145" spans="3:3" ht="12" customHeight="1" x14ac:dyDescent="0.35">
      <c r="C145" s="40"/>
    </row>
    <row r="146" spans="3:3" ht="12" customHeight="1" x14ac:dyDescent="0.35">
      <c r="C146" s="40"/>
    </row>
    <row r="147" spans="3:3" ht="12" customHeight="1" x14ac:dyDescent="0.35">
      <c r="C147" s="40"/>
    </row>
    <row r="148" spans="3:3" ht="12" customHeight="1" x14ac:dyDescent="0.35">
      <c r="C148" s="40"/>
    </row>
    <row r="149" spans="3:3" ht="12" customHeight="1" x14ac:dyDescent="0.35">
      <c r="C149" s="40"/>
    </row>
    <row r="150" spans="3:3" ht="12" customHeight="1" x14ac:dyDescent="0.35">
      <c r="C150" s="40"/>
    </row>
    <row r="151" spans="3:3" ht="12" customHeight="1" x14ac:dyDescent="0.35">
      <c r="C151" s="40"/>
    </row>
    <row r="152" spans="3:3" ht="12" customHeight="1" x14ac:dyDescent="0.35">
      <c r="C152" s="40"/>
    </row>
    <row r="153" spans="3:3" ht="12" customHeight="1" x14ac:dyDescent="0.35">
      <c r="C153" s="40"/>
    </row>
    <row r="154" spans="3:3" ht="12" customHeight="1" x14ac:dyDescent="0.35">
      <c r="C154" s="40"/>
    </row>
    <row r="155" spans="3:3" ht="12" customHeight="1" x14ac:dyDescent="0.35">
      <c r="C155" s="40"/>
    </row>
    <row r="156" spans="3:3" ht="12" customHeight="1" x14ac:dyDescent="0.35">
      <c r="C156" s="40"/>
    </row>
    <row r="157" spans="3:3" ht="12" customHeight="1" x14ac:dyDescent="0.35">
      <c r="C157" s="40"/>
    </row>
    <row r="158" spans="3:3" ht="12" customHeight="1" x14ac:dyDescent="0.35">
      <c r="C158" s="40"/>
    </row>
    <row r="159" spans="3:3" ht="12" customHeight="1" x14ac:dyDescent="0.35">
      <c r="C159" s="40"/>
    </row>
    <row r="160" spans="3:3" ht="12" customHeight="1" x14ac:dyDescent="0.35">
      <c r="C160" s="40"/>
    </row>
    <row r="161" spans="3:3" ht="12" customHeight="1" x14ac:dyDescent="0.35">
      <c r="C161" s="40"/>
    </row>
    <row r="162" spans="3:3" ht="12" customHeight="1" x14ac:dyDescent="0.35">
      <c r="C162" s="40"/>
    </row>
    <row r="163" spans="3:3" ht="12" customHeight="1" x14ac:dyDescent="0.35">
      <c r="C163" s="40"/>
    </row>
    <row r="164" spans="3:3" ht="12" customHeight="1" x14ac:dyDescent="0.35">
      <c r="C164" s="40"/>
    </row>
    <row r="165" spans="3:3" ht="12" customHeight="1" x14ac:dyDescent="0.35">
      <c r="C165" s="40"/>
    </row>
    <row r="166" spans="3:3" ht="12" customHeight="1" x14ac:dyDescent="0.35">
      <c r="C166" s="40"/>
    </row>
    <row r="167" spans="3:3" ht="12" customHeight="1" x14ac:dyDescent="0.35">
      <c r="C167" s="40"/>
    </row>
    <row r="168" spans="3:3" ht="12" customHeight="1" x14ac:dyDescent="0.35">
      <c r="C168" s="40"/>
    </row>
    <row r="169" spans="3:3" ht="12" customHeight="1" x14ac:dyDescent="0.35">
      <c r="C169" s="40"/>
    </row>
    <row r="170" spans="3:3" ht="12" customHeight="1" x14ac:dyDescent="0.35">
      <c r="C170" s="40"/>
    </row>
    <row r="171" spans="3:3" ht="12" customHeight="1" x14ac:dyDescent="0.35">
      <c r="C171" s="40"/>
    </row>
    <row r="172" spans="3:3" ht="12" customHeight="1" x14ac:dyDescent="0.35">
      <c r="C172" s="40"/>
    </row>
    <row r="173" spans="3:3" ht="12" customHeight="1" x14ac:dyDescent="0.35">
      <c r="C173" s="40"/>
    </row>
    <row r="174" spans="3:3" ht="12" customHeight="1" x14ac:dyDescent="0.35">
      <c r="C174" s="40"/>
    </row>
    <row r="175" spans="3:3" ht="12" customHeight="1" x14ac:dyDescent="0.35">
      <c r="C175" s="40"/>
    </row>
    <row r="176" spans="3:3" ht="12" customHeight="1" x14ac:dyDescent="0.35">
      <c r="C176" s="40"/>
    </row>
    <row r="177" spans="3:3" ht="12" customHeight="1" x14ac:dyDescent="0.35">
      <c r="C177" s="40"/>
    </row>
    <row r="178" spans="3:3" ht="12" customHeight="1" x14ac:dyDescent="0.35">
      <c r="C178" s="40"/>
    </row>
    <row r="179" spans="3:3" ht="12" customHeight="1" x14ac:dyDescent="0.35">
      <c r="C179" s="40"/>
    </row>
    <row r="180" spans="3:3" ht="12" customHeight="1" x14ac:dyDescent="0.35">
      <c r="C180" s="40"/>
    </row>
    <row r="181" spans="3:3" ht="12" customHeight="1" x14ac:dyDescent="0.35">
      <c r="C181" s="40"/>
    </row>
    <row r="182" spans="3:3" ht="12" customHeight="1" x14ac:dyDescent="0.35">
      <c r="C182" s="40"/>
    </row>
    <row r="183" spans="3:3" ht="12" customHeight="1" x14ac:dyDescent="0.35">
      <c r="C183" s="40"/>
    </row>
    <row r="184" spans="3:3" ht="12" customHeight="1" x14ac:dyDescent="0.35">
      <c r="C184" s="40"/>
    </row>
    <row r="185" spans="3:3" ht="12" customHeight="1" x14ac:dyDescent="0.35">
      <c r="C185" s="40"/>
    </row>
    <row r="186" spans="3:3" ht="12" customHeight="1" x14ac:dyDescent="0.35">
      <c r="C186" s="40"/>
    </row>
    <row r="187" spans="3:3" ht="12" customHeight="1" x14ac:dyDescent="0.35">
      <c r="C187" s="40"/>
    </row>
    <row r="188" spans="3:3" ht="12" customHeight="1" x14ac:dyDescent="0.35">
      <c r="C188" s="40"/>
    </row>
    <row r="189" spans="3:3" ht="12" customHeight="1" x14ac:dyDescent="0.35">
      <c r="C189" s="40"/>
    </row>
    <row r="190" spans="3:3" ht="12" customHeight="1" x14ac:dyDescent="0.35">
      <c r="C190" s="40"/>
    </row>
    <row r="191" spans="3:3" ht="12" customHeight="1" x14ac:dyDescent="0.35">
      <c r="C191" s="40"/>
    </row>
    <row r="192" spans="3:3" ht="12" customHeight="1" x14ac:dyDescent="0.35">
      <c r="C192" s="40"/>
    </row>
    <row r="193" spans="3:3" ht="12" customHeight="1" x14ac:dyDescent="0.35">
      <c r="C193" s="40"/>
    </row>
    <row r="194" spans="3:3" ht="12" customHeight="1" x14ac:dyDescent="0.35">
      <c r="C194" s="40"/>
    </row>
    <row r="195" spans="3:3" ht="12" customHeight="1" x14ac:dyDescent="0.35"/>
    <row r="196" spans="3:3" ht="12" customHeight="1" x14ac:dyDescent="0.35"/>
    <row r="197" spans="3:3" ht="12" customHeight="1" x14ac:dyDescent="0.35"/>
    <row r="198" spans="3:3" ht="12" customHeight="1" x14ac:dyDescent="0.35"/>
    <row r="199" spans="3:3" ht="12" customHeight="1" x14ac:dyDescent="0.35"/>
    <row r="200" spans="3:3" ht="12" customHeight="1" x14ac:dyDescent="0.35"/>
  </sheetData>
  <sheetProtection algorithmName="SHA-512" hashValue="YbjGL1i7zO5BGqlB0vkyfahZjxDuilYoF822b6wKbf5ZCp0mtwn/JzXqMKBNN4fdi8TyHkyVHtQOpgxFdT5g0w==" saltValue="Kf8rrdRM5oVfEetHgZAF5A==" spinCount="100000" sheet="1" objects="1" scenarios="1"/>
  <mergeCells count="2">
    <mergeCell ref="E2:I2"/>
    <mergeCell ref="E3:I3"/>
  </mergeCells>
  <phoneticPr fontId="66" type="noConversion"/>
  <conditionalFormatting sqref="A2:C3">
    <cfRule type="expression" dxfId="74" priority="23">
      <formula>(Mode="Dark")</formula>
    </cfRule>
  </conditionalFormatting>
  <conditionalFormatting sqref="B16 B20:C21 B24:C25">
    <cfRule type="expression" dxfId="73" priority="2903">
      <formula>$C$16&gt;0</formula>
    </cfRule>
  </conditionalFormatting>
  <conditionalFormatting sqref="B29:C32">
    <cfRule type="expression" dxfId="72" priority="31">
      <formula>$C$32=0</formula>
    </cfRule>
  </conditionalFormatting>
  <conditionalFormatting sqref="B35:E46 E36:I36 B37:I38 B47:C51 B28:D28 D29:D32 B34:D34 F35">
    <cfRule type="expression" dxfId="71" priority="2626">
      <formula>$AZ$16=0</formula>
    </cfRule>
  </conditionalFormatting>
  <conditionalFormatting sqref="B36:I46 B47:C51">
    <cfRule type="expression" dxfId="70" priority="74">
      <formula>$B36="Total"</formula>
    </cfRule>
  </conditionalFormatting>
  <conditionalFormatting sqref="B38:I46 B47:C52">
    <cfRule type="expression" dxfId="69" priority="15">
      <formula>$A38&gt;$A$35+1</formula>
    </cfRule>
  </conditionalFormatting>
  <conditionalFormatting sqref="B28:K52">
    <cfRule type="expression" dxfId="68" priority="2">
      <formula>$C$32=0</formula>
    </cfRule>
  </conditionalFormatting>
  <conditionalFormatting sqref="C4 B5:C6 B7:B8 B10:C10 B12:C12 C14 O45">
    <cfRule type="expression" dxfId="67" priority="38">
      <formula>$C$16&gt;0</formula>
    </cfRule>
  </conditionalFormatting>
  <conditionalFormatting sqref="C5:C6 C10 C16">
    <cfRule type="cellIs" dxfId="66" priority="3" operator="notEqual">
      <formula>0</formula>
    </cfRule>
  </conditionalFormatting>
  <conditionalFormatting sqref="C5:C6 C10">
    <cfRule type="expression" dxfId="65" priority="2839">
      <formula>$C$16&gt;0</formula>
    </cfRule>
  </conditionalFormatting>
  <conditionalFormatting sqref="C8">
    <cfRule type="expression" dxfId="64" priority="6">
      <formula>$C$16&gt;0</formula>
    </cfRule>
  </conditionalFormatting>
  <conditionalFormatting sqref="C12 C14:C15">
    <cfRule type="expression" dxfId="63" priority="2913">
      <formula>COUNTBLANK($C$5:$C$6)&gt;0</formula>
    </cfRule>
  </conditionalFormatting>
  <conditionalFormatting sqref="D32">
    <cfRule type="expression" dxfId="62" priority="37">
      <formula>AND($C$30=0,$C$31=0)</formula>
    </cfRule>
  </conditionalFormatting>
  <conditionalFormatting sqref="G5:G16">
    <cfRule type="expression" dxfId="59" priority="1">
      <formula>Years="Five"</formula>
    </cfRule>
  </conditionalFormatting>
  <conditionalFormatting sqref="G35:I46">
    <cfRule type="expression" dxfId="58" priority="2907">
      <formula>SUM($E$36:$E$46)=0</formula>
    </cfRule>
  </conditionalFormatting>
  <conditionalFormatting sqref="H4:I16">
    <cfRule type="expression" dxfId="57" priority="4">
      <formula>Years="Three"</formula>
    </cfRule>
  </conditionalFormatting>
  <conditionalFormatting sqref="P45:AA45">
    <cfRule type="expression" dxfId="56" priority="21">
      <formula>(Mode="Dark")</formula>
    </cfRule>
  </conditionalFormatting>
  <conditionalFormatting sqref="AV12">
    <cfRule type="expression" dxfId="55" priority="2914">
      <formula>COUNTBLANK($C$5:$C$6)&gt;0</formula>
    </cfRule>
  </conditionalFormatting>
  <dataValidations count="3">
    <dataValidation type="decimal" allowBlank="1" showInputMessage="1" showErrorMessage="1" sqref="C8" xr:uid="{1B1E9D74-770F-45E5-B145-20FC2F0A9D1C}">
      <formula1>0</formula1>
      <formula2>1000</formula2>
    </dataValidation>
    <dataValidation type="decimal" allowBlank="1" showInputMessage="1" showErrorMessage="1" sqref="C14" xr:uid="{146267BF-B14B-44D6-8B3F-861433164B73}">
      <formula1>0</formula1>
      <formula2>9999999999</formula2>
    </dataValidation>
    <dataValidation type="list" allowBlank="1" showInputMessage="1" showErrorMessage="1" sqref="C5" xr:uid="{4FA09A8F-5519-40F2-9AAE-790E15B6F62C}">
      <formula1>"Revenue, EBITDA"</formula1>
    </dataValidation>
  </dataValidation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2908" id="{999B2935-5BF8-4DBB-A3D6-699DFD4B46BF}">
            <xm:f>Infrastructure!H194=0</xm:f>
            <x14:dxf>
              <font>
                <color theme="1" tint="0.499984740745262"/>
              </font>
            </x14:dxf>
          </x14:cfRule>
          <x14:cfRule type="expression" priority="2909" id="{85F1A682-E298-4BD4-ADA8-5BDEC66CDA4B}">
            <xm:f>Infrastructure!H194=1</xm:f>
            <x14:dxf>
              <font>
                <b/>
                <i val="0"/>
                <color rgb="FF0000FF"/>
              </font>
              <fill>
                <patternFill>
                  <bgColor rgb="FFFFFF00"/>
                </patternFill>
              </fill>
            </x14:dxf>
          </x14:cfRule>
          <xm:sqref>E5:I16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75927A4F-5BAA-46E7-A5F7-8264B2A372F3}">
          <x14:formula1>
            <xm:f>IF(Years="Five",Infrastructure!$D$70:$D$129,Infrastructure!$D$70:$D$105)</xm:f>
          </x14:formula1>
          <xm:sqref>C6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8E0EB-581B-4A1E-B8B6-C270CF305A96}">
  <sheetPr codeName="Sheet17"/>
  <dimension ref="A2:BQ78"/>
  <sheetViews>
    <sheetView showGridLines="0" workbookViewId="0">
      <selection activeCell="C72" sqref="C72"/>
    </sheetView>
  </sheetViews>
  <sheetFormatPr defaultRowHeight="15.5" x14ac:dyDescent="0.35"/>
  <cols>
    <col min="1" max="1" width="17.08203125" customWidth="1"/>
    <col min="2" max="2" width="13.5" style="209" customWidth="1"/>
    <col min="3" max="7" width="13.08203125" customWidth="1"/>
    <col min="8" max="8" width="18.5" customWidth="1"/>
    <col min="9" max="9" width="17.08203125" customWidth="1"/>
    <col min="10" max="113" width="11.5" customWidth="1"/>
    <col min="114" max="295" width="10.08203125" customWidth="1"/>
  </cols>
  <sheetData>
    <row r="2" spans="1:69" ht="18" customHeight="1" x14ac:dyDescent="0.45">
      <c r="A2" s="1026" t="s">
        <v>668</v>
      </c>
      <c r="B2" s="101"/>
      <c r="C2" s="1314" t="str">
        <f>Infrastructure!H9</f>
        <v>Year 1</v>
      </c>
      <c r="D2" s="1314" t="str">
        <f>Infrastructure!I9</f>
        <v>Year 2</v>
      </c>
      <c r="E2" s="1314" t="str">
        <f>Infrastructure!J9</f>
        <v>Year 3</v>
      </c>
      <c r="F2" s="1314" t="str">
        <f>Infrastructure!K9</f>
        <v>Year 4</v>
      </c>
      <c r="G2" s="1314" t="str">
        <f>Infrastructure!L9</f>
        <v>Year 5</v>
      </c>
      <c r="J2" s="1320">
        <f>Infrastructure!B9</f>
        <v>0</v>
      </c>
      <c r="K2" s="1320">
        <f>EOMONTH(J2,1)</f>
        <v>59</v>
      </c>
      <c r="L2" s="1320">
        <f t="shared" ref="L2:BQ2" si="0">EOMONTH(K2,1)</f>
        <v>91</v>
      </c>
      <c r="M2" s="1320">
        <f t="shared" si="0"/>
        <v>121</v>
      </c>
      <c r="N2" s="1320">
        <f t="shared" si="0"/>
        <v>152</v>
      </c>
      <c r="O2" s="1320">
        <f t="shared" si="0"/>
        <v>182</v>
      </c>
      <c r="P2" s="1320">
        <f t="shared" si="0"/>
        <v>213</v>
      </c>
      <c r="Q2" s="1320">
        <f t="shared" si="0"/>
        <v>244</v>
      </c>
      <c r="R2" s="1320">
        <f t="shared" si="0"/>
        <v>274</v>
      </c>
      <c r="S2" s="1320">
        <f t="shared" si="0"/>
        <v>305</v>
      </c>
      <c r="T2" s="1320">
        <f t="shared" si="0"/>
        <v>335</v>
      </c>
      <c r="U2" s="1320">
        <f t="shared" si="0"/>
        <v>366</v>
      </c>
      <c r="V2" s="1320">
        <f t="shared" si="0"/>
        <v>397</v>
      </c>
      <c r="W2" s="1320">
        <f t="shared" si="0"/>
        <v>425</v>
      </c>
      <c r="X2" s="1320">
        <f t="shared" si="0"/>
        <v>456</v>
      </c>
      <c r="Y2" s="1320">
        <f t="shared" si="0"/>
        <v>486</v>
      </c>
      <c r="Z2" s="1320">
        <f t="shared" si="0"/>
        <v>517</v>
      </c>
      <c r="AA2" s="1320">
        <f t="shared" si="0"/>
        <v>547</v>
      </c>
      <c r="AB2" s="1320">
        <f t="shared" si="0"/>
        <v>578</v>
      </c>
      <c r="AC2" s="1320">
        <f t="shared" si="0"/>
        <v>609</v>
      </c>
      <c r="AD2" s="1320">
        <f t="shared" si="0"/>
        <v>639</v>
      </c>
      <c r="AE2" s="1320">
        <f t="shared" si="0"/>
        <v>670</v>
      </c>
      <c r="AF2" s="1320">
        <f t="shared" si="0"/>
        <v>700</v>
      </c>
      <c r="AG2" s="1320">
        <f t="shared" si="0"/>
        <v>731</v>
      </c>
      <c r="AH2" s="1320">
        <f t="shared" si="0"/>
        <v>762</v>
      </c>
      <c r="AI2" s="1320">
        <f t="shared" si="0"/>
        <v>790</v>
      </c>
      <c r="AJ2" s="1320">
        <f t="shared" si="0"/>
        <v>821</v>
      </c>
      <c r="AK2" s="1320">
        <f t="shared" si="0"/>
        <v>851</v>
      </c>
      <c r="AL2" s="1320">
        <f t="shared" si="0"/>
        <v>882</v>
      </c>
      <c r="AM2" s="1320">
        <f t="shared" si="0"/>
        <v>912</v>
      </c>
      <c r="AN2" s="1320">
        <f t="shared" si="0"/>
        <v>943</v>
      </c>
      <c r="AO2" s="1320">
        <f t="shared" si="0"/>
        <v>974</v>
      </c>
      <c r="AP2" s="1320">
        <f t="shared" si="0"/>
        <v>1004</v>
      </c>
      <c r="AQ2" s="1320">
        <f t="shared" si="0"/>
        <v>1035</v>
      </c>
      <c r="AR2" s="1320">
        <f t="shared" si="0"/>
        <v>1065</v>
      </c>
      <c r="AS2" s="1320">
        <f t="shared" si="0"/>
        <v>1096</v>
      </c>
      <c r="AT2" s="1320">
        <f t="shared" si="0"/>
        <v>1127</v>
      </c>
      <c r="AU2" s="1320">
        <f t="shared" si="0"/>
        <v>1155</v>
      </c>
      <c r="AV2" s="1320">
        <f t="shared" si="0"/>
        <v>1186</v>
      </c>
      <c r="AW2" s="1320">
        <f t="shared" si="0"/>
        <v>1216</v>
      </c>
      <c r="AX2" s="1320">
        <f t="shared" si="0"/>
        <v>1247</v>
      </c>
      <c r="AY2" s="1320">
        <f t="shared" si="0"/>
        <v>1277</v>
      </c>
      <c r="AZ2" s="1320">
        <f t="shared" si="0"/>
        <v>1308</v>
      </c>
      <c r="BA2" s="1320">
        <f t="shared" si="0"/>
        <v>1339</v>
      </c>
      <c r="BB2" s="1320">
        <f t="shared" si="0"/>
        <v>1369</v>
      </c>
      <c r="BC2" s="1320">
        <f t="shared" si="0"/>
        <v>1400</v>
      </c>
      <c r="BD2" s="1320">
        <f t="shared" si="0"/>
        <v>1430</v>
      </c>
      <c r="BE2" s="1320">
        <f t="shared" si="0"/>
        <v>1461</v>
      </c>
      <c r="BF2" s="1320">
        <f t="shared" si="0"/>
        <v>1492</v>
      </c>
      <c r="BG2" s="1320">
        <f t="shared" si="0"/>
        <v>1521</v>
      </c>
      <c r="BH2" s="1320">
        <f t="shared" si="0"/>
        <v>1552</v>
      </c>
      <c r="BI2" s="1320">
        <f t="shared" si="0"/>
        <v>1582</v>
      </c>
      <c r="BJ2" s="1320">
        <f t="shared" si="0"/>
        <v>1613</v>
      </c>
      <c r="BK2" s="1320">
        <f t="shared" si="0"/>
        <v>1643</v>
      </c>
      <c r="BL2" s="1320">
        <f t="shared" si="0"/>
        <v>1674</v>
      </c>
      <c r="BM2" s="1320">
        <f t="shared" si="0"/>
        <v>1705</v>
      </c>
      <c r="BN2" s="1320">
        <f t="shared" si="0"/>
        <v>1735</v>
      </c>
      <c r="BO2" s="1320">
        <f t="shared" si="0"/>
        <v>1766</v>
      </c>
      <c r="BP2" s="1320">
        <f t="shared" si="0"/>
        <v>1796</v>
      </c>
      <c r="BQ2" s="1320">
        <f t="shared" si="0"/>
        <v>1827</v>
      </c>
    </row>
    <row r="3" spans="1:69" ht="13" customHeight="1" x14ac:dyDescent="0.35">
      <c r="B3" s="61" t="s">
        <v>3</v>
      </c>
      <c r="C3" s="426">
        <f>Infrastructure!BF28</f>
        <v>0</v>
      </c>
      <c r="D3" s="426">
        <f>Infrastructure!BG28</f>
        <v>0</v>
      </c>
      <c r="E3" s="426">
        <f>Infrastructure!BH28</f>
        <v>0</v>
      </c>
      <c r="F3" s="426">
        <f>Infrastructure!BI28</f>
        <v>0</v>
      </c>
      <c r="G3" s="426">
        <f>Infrastructure!BJ28</f>
        <v>0</v>
      </c>
      <c r="H3" s="1"/>
      <c r="I3" s="61" t="str">
        <f>B3</f>
        <v>Revenue</v>
      </c>
      <c r="J3" s="214">
        <f>Calcs!I3</f>
        <v>0</v>
      </c>
      <c r="K3" s="214">
        <f>Calcs!J3</f>
        <v>0</v>
      </c>
      <c r="L3" s="214">
        <f>Calcs!K3</f>
        <v>0</v>
      </c>
      <c r="M3" s="214">
        <f>Calcs!L3</f>
        <v>0</v>
      </c>
      <c r="N3" s="214">
        <f>Calcs!M3</f>
        <v>0</v>
      </c>
      <c r="O3" s="214">
        <f>Calcs!N3</f>
        <v>0</v>
      </c>
      <c r="P3" s="214">
        <f>Calcs!O3</f>
        <v>0</v>
      </c>
      <c r="Q3" s="214">
        <f>Calcs!P3</f>
        <v>0</v>
      </c>
      <c r="R3" s="214">
        <f>Calcs!Q3</f>
        <v>0</v>
      </c>
      <c r="S3" s="214">
        <f>Calcs!R3</f>
        <v>0</v>
      </c>
      <c r="T3" s="214">
        <f>Calcs!S3</f>
        <v>0</v>
      </c>
      <c r="U3" s="214">
        <f>Calcs!T3</f>
        <v>0</v>
      </c>
      <c r="V3" s="214">
        <f>Calcs!U3</f>
        <v>0</v>
      </c>
      <c r="W3" s="214">
        <f>Calcs!V3</f>
        <v>0</v>
      </c>
      <c r="X3" s="214">
        <f>Calcs!W3</f>
        <v>0</v>
      </c>
      <c r="Y3" s="214">
        <f>Calcs!X3</f>
        <v>0</v>
      </c>
      <c r="Z3" s="214">
        <f>Calcs!Y3</f>
        <v>0</v>
      </c>
      <c r="AA3" s="214">
        <f>Calcs!Z3</f>
        <v>0</v>
      </c>
      <c r="AB3" s="214">
        <f>Calcs!AA3</f>
        <v>0</v>
      </c>
      <c r="AC3" s="214">
        <f>Calcs!AB3</f>
        <v>0</v>
      </c>
      <c r="AD3" s="214">
        <f>Calcs!AC3</f>
        <v>0</v>
      </c>
      <c r="AE3" s="214">
        <f>Calcs!AD3</f>
        <v>0</v>
      </c>
      <c r="AF3" s="214">
        <f>Calcs!AE3</f>
        <v>0</v>
      </c>
      <c r="AG3" s="214">
        <f>Calcs!AF3</f>
        <v>0</v>
      </c>
      <c r="AH3" s="214">
        <f>Calcs!AG3</f>
        <v>0</v>
      </c>
      <c r="AI3" s="214">
        <f>Calcs!AH3</f>
        <v>0</v>
      </c>
      <c r="AJ3" s="214">
        <f>Calcs!AI3</f>
        <v>0</v>
      </c>
      <c r="AK3" s="214">
        <f>Calcs!AJ3</f>
        <v>0</v>
      </c>
      <c r="AL3" s="214">
        <f>Calcs!AK3</f>
        <v>0</v>
      </c>
      <c r="AM3" s="214">
        <f>Calcs!AL3</f>
        <v>0</v>
      </c>
      <c r="AN3" s="214">
        <f>Calcs!AM3</f>
        <v>0</v>
      </c>
      <c r="AO3" s="214">
        <f>Calcs!AN3</f>
        <v>0</v>
      </c>
      <c r="AP3" s="214">
        <f>Calcs!AO3</f>
        <v>0</v>
      </c>
      <c r="AQ3" s="214">
        <f>Calcs!AP3</f>
        <v>0</v>
      </c>
      <c r="AR3" s="214">
        <f>Calcs!AQ3</f>
        <v>0</v>
      </c>
      <c r="AS3" s="214">
        <f>Calcs!AR3</f>
        <v>0</v>
      </c>
      <c r="AT3" s="214">
        <f>Calcs!AS3</f>
        <v>0</v>
      </c>
      <c r="AU3" s="214">
        <f>Calcs!AT3</f>
        <v>0</v>
      </c>
      <c r="AV3" s="214">
        <f>Calcs!AU3</f>
        <v>0</v>
      </c>
      <c r="AW3" s="214">
        <f>Calcs!AV3</f>
        <v>0</v>
      </c>
      <c r="AX3" s="214">
        <f>Calcs!AW3</f>
        <v>0</v>
      </c>
      <c r="AY3" s="214">
        <f>Calcs!AX3</f>
        <v>0</v>
      </c>
      <c r="AZ3" s="214">
        <f>Calcs!AY3</f>
        <v>0</v>
      </c>
      <c r="BA3" s="214">
        <f>Calcs!AZ3</f>
        <v>0</v>
      </c>
      <c r="BB3" s="214">
        <f>Calcs!BA3</f>
        <v>0</v>
      </c>
      <c r="BC3" s="214">
        <f>Calcs!BB3</f>
        <v>0</v>
      </c>
      <c r="BD3" s="214">
        <f>Calcs!BC3</f>
        <v>0</v>
      </c>
      <c r="BE3" s="214">
        <f>Calcs!BD3</f>
        <v>0</v>
      </c>
      <c r="BF3" s="214">
        <f>Calcs!BE3</f>
        <v>0</v>
      </c>
      <c r="BG3" s="214">
        <f>Calcs!BF3</f>
        <v>0</v>
      </c>
      <c r="BH3" s="214">
        <f>Calcs!BG3</f>
        <v>0</v>
      </c>
      <c r="BI3" s="214">
        <f>Calcs!BH3</f>
        <v>0</v>
      </c>
      <c r="BJ3" s="214">
        <f>Calcs!BI3</f>
        <v>0</v>
      </c>
      <c r="BK3" s="214">
        <f>Calcs!BJ3</f>
        <v>0</v>
      </c>
      <c r="BL3" s="214">
        <f>Calcs!BK3</f>
        <v>0</v>
      </c>
      <c r="BM3" s="214">
        <f>Calcs!BL3</f>
        <v>0</v>
      </c>
      <c r="BN3" s="214">
        <f>Calcs!BM3</f>
        <v>0</v>
      </c>
      <c r="BO3" s="214">
        <f>Calcs!BN3</f>
        <v>0</v>
      </c>
      <c r="BP3" s="214">
        <f>Calcs!BO3</f>
        <v>0</v>
      </c>
      <c r="BQ3" s="214">
        <f>Calcs!BP3</f>
        <v>0</v>
      </c>
    </row>
    <row r="4" spans="1:69" ht="13" customHeight="1" x14ac:dyDescent="0.35">
      <c r="B4" s="84" t="s">
        <v>12</v>
      </c>
      <c r="C4" s="427">
        <f>Infrastructure!BF29</f>
        <v>0</v>
      </c>
      <c r="D4" s="427">
        <f>Infrastructure!BG29</f>
        <v>0</v>
      </c>
      <c r="E4" s="427">
        <f>Infrastructure!BH29</f>
        <v>0</v>
      </c>
      <c r="F4" s="427">
        <f>Infrastructure!BI29</f>
        <v>0</v>
      </c>
      <c r="G4" s="427">
        <f>Infrastructure!BJ29</f>
        <v>0</v>
      </c>
      <c r="H4" s="1"/>
      <c r="I4" s="84" t="str">
        <f>B4</f>
        <v>COGS</v>
      </c>
      <c r="J4" s="214">
        <f>Calcs!I4</f>
        <v>0</v>
      </c>
      <c r="K4" s="214">
        <f>Calcs!J4</f>
        <v>0</v>
      </c>
      <c r="L4" s="214">
        <f>Calcs!K4</f>
        <v>0</v>
      </c>
      <c r="M4" s="214">
        <f>Calcs!L4</f>
        <v>0</v>
      </c>
      <c r="N4" s="214">
        <f>Calcs!M4</f>
        <v>0</v>
      </c>
      <c r="O4" s="214">
        <f>Calcs!N4</f>
        <v>0</v>
      </c>
      <c r="P4" s="214">
        <f>Calcs!O4</f>
        <v>0</v>
      </c>
      <c r="Q4" s="214">
        <f>Calcs!P4</f>
        <v>0</v>
      </c>
      <c r="R4" s="214">
        <f>Calcs!Q4</f>
        <v>0</v>
      </c>
      <c r="S4" s="214">
        <f>Calcs!R4</f>
        <v>0</v>
      </c>
      <c r="T4" s="214">
        <f>Calcs!S4</f>
        <v>0</v>
      </c>
      <c r="U4" s="214">
        <f>Calcs!T4</f>
        <v>0</v>
      </c>
      <c r="V4" s="214">
        <f>Calcs!U4</f>
        <v>0</v>
      </c>
      <c r="W4" s="214">
        <f>Calcs!V4</f>
        <v>0</v>
      </c>
      <c r="X4" s="214">
        <f>Calcs!W4</f>
        <v>0</v>
      </c>
      <c r="Y4" s="214">
        <f>Calcs!X4</f>
        <v>0</v>
      </c>
      <c r="Z4" s="214">
        <f>Calcs!Y4</f>
        <v>0</v>
      </c>
      <c r="AA4" s="214">
        <f>Calcs!Z4</f>
        <v>0</v>
      </c>
      <c r="AB4" s="214">
        <f>Calcs!AA4</f>
        <v>0</v>
      </c>
      <c r="AC4" s="214">
        <f>Calcs!AB4</f>
        <v>0</v>
      </c>
      <c r="AD4" s="214">
        <f>Calcs!AC4</f>
        <v>0</v>
      </c>
      <c r="AE4" s="214">
        <f>Calcs!AD4</f>
        <v>0</v>
      </c>
      <c r="AF4" s="214">
        <f>Calcs!AE4</f>
        <v>0</v>
      </c>
      <c r="AG4" s="214">
        <f>Calcs!AF4</f>
        <v>0</v>
      </c>
      <c r="AH4" s="214">
        <f>Calcs!AG4</f>
        <v>0</v>
      </c>
      <c r="AI4" s="214">
        <f>Calcs!AH4</f>
        <v>0</v>
      </c>
      <c r="AJ4" s="214">
        <f>Calcs!AI4</f>
        <v>0</v>
      </c>
      <c r="AK4" s="214">
        <f>Calcs!AJ4</f>
        <v>0</v>
      </c>
      <c r="AL4" s="214">
        <f>Calcs!AK4</f>
        <v>0</v>
      </c>
      <c r="AM4" s="214">
        <f>Calcs!AL4</f>
        <v>0</v>
      </c>
      <c r="AN4" s="214">
        <f>Calcs!AM4</f>
        <v>0</v>
      </c>
      <c r="AO4" s="214">
        <f>Calcs!AN4</f>
        <v>0</v>
      </c>
      <c r="AP4" s="214">
        <f>Calcs!AO4</f>
        <v>0</v>
      </c>
      <c r="AQ4" s="214">
        <f>Calcs!AP4</f>
        <v>0</v>
      </c>
      <c r="AR4" s="214">
        <f>Calcs!AQ4</f>
        <v>0</v>
      </c>
      <c r="AS4" s="214">
        <f>Calcs!AR4</f>
        <v>0</v>
      </c>
      <c r="AT4" s="214">
        <f>Calcs!AS4</f>
        <v>0</v>
      </c>
      <c r="AU4" s="214">
        <f>Calcs!AT4</f>
        <v>0</v>
      </c>
      <c r="AV4" s="214">
        <f>Calcs!AU4</f>
        <v>0</v>
      </c>
      <c r="AW4" s="214">
        <f>Calcs!AV4</f>
        <v>0</v>
      </c>
      <c r="AX4" s="214">
        <f>Calcs!AW4</f>
        <v>0</v>
      </c>
      <c r="AY4" s="214">
        <f>Calcs!AX4</f>
        <v>0</v>
      </c>
      <c r="AZ4" s="214">
        <f>Calcs!AY4</f>
        <v>0</v>
      </c>
      <c r="BA4" s="214">
        <f>Calcs!AZ4</f>
        <v>0</v>
      </c>
      <c r="BB4" s="214">
        <f>Calcs!BA4</f>
        <v>0</v>
      </c>
      <c r="BC4" s="214">
        <f>Calcs!BB4</f>
        <v>0</v>
      </c>
      <c r="BD4" s="214">
        <f>Calcs!BC4</f>
        <v>0</v>
      </c>
      <c r="BE4" s="214">
        <f>Calcs!BD4</f>
        <v>0</v>
      </c>
      <c r="BF4" s="214">
        <f>Calcs!BE4</f>
        <v>0</v>
      </c>
      <c r="BG4" s="214">
        <f>Calcs!BF4</f>
        <v>0</v>
      </c>
      <c r="BH4" s="214">
        <f>Calcs!BG4</f>
        <v>0</v>
      </c>
      <c r="BI4" s="214">
        <f>Calcs!BH4</f>
        <v>0</v>
      </c>
      <c r="BJ4" s="214">
        <f>Calcs!BI4</f>
        <v>0</v>
      </c>
      <c r="BK4" s="214">
        <f>Calcs!BJ4</f>
        <v>0</v>
      </c>
      <c r="BL4" s="214">
        <f>Calcs!BK4</f>
        <v>0</v>
      </c>
      <c r="BM4" s="214">
        <f>Calcs!BL4</f>
        <v>0</v>
      </c>
      <c r="BN4" s="214">
        <f>Calcs!BM4</f>
        <v>0</v>
      </c>
      <c r="BO4" s="214">
        <f>Calcs!BN4</f>
        <v>0</v>
      </c>
      <c r="BP4" s="214">
        <f>Calcs!BO4</f>
        <v>0</v>
      </c>
      <c r="BQ4" s="214">
        <f>Calcs!BP4</f>
        <v>0</v>
      </c>
    </row>
    <row r="5" spans="1:69" ht="13" customHeight="1" x14ac:dyDescent="0.35">
      <c r="B5" s="61" t="s">
        <v>5</v>
      </c>
      <c r="C5" s="1116">
        <f>Infrastructure!BF30</f>
        <v>0</v>
      </c>
      <c r="D5" s="1116">
        <f>Infrastructure!BG30</f>
        <v>0</v>
      </c>
      <c r="E5" s="1116">
        <f>Infrastructure!BH30</f>
        <v>0</v>
      </c>
      <c r="F5" s="1116">
        <f>Infrastructure!BI30</f>
        <v>0</v>
      </c>
      <c r="G5" s="1116">
        <f>Infrastructure!BJ30</f>
        <v>0</v>
      </c>
      <c r="H5" s="1"/>
      <c r="I5" s="61" t="str">
        <f>B5</f>
        <v>Gross Profit</v>
      </c>
      <c r="J5" s="1315">
        <f>Calcs!I5</f>
        <v>0</v>
      </c>
      <c r="K5" s="1315">
        <f>Calcs!J5</f>
        <v>0</v>
      </c>
      <c r="L5" s="1315">
        <f>Calcs!K5</f>
        <v>0</v>
      </c>
      <c r="M5" s="1315">
        <f>Calcs!L5</f>
        <v>0</v>
      </c>
      <c r="N5" s="1315">
        <f>Calcs!M5</f>
        <v>0</v>
      </c>
      <c r="O5" s="1315">
        <f>Calcs!N5</f>
        <v>0</v>
      </c>
      <c r="P5" s="1315">
        <f>Calcs!O5</f>
        <v>0</v>
      </c>
      <c r="Q5" s="1315">
        <f>Calcs!P5</f>
        <v>0</v>
      </c>
      <c r="R5" s="1315">
        <f>Calcs!Q5</f>
        <v>0</v>
      </c>
      <c r="S5" s="1315">
        <f>Calcs!R5</f>
        <v>0</v>
      </c>
      <c r="T5" s="1315">
        <f>Calcs!S5</f>
        <v>0</v>
      </c>
      <c r="U5" s="1315">
        <f>Calcs!T5</f>
        <v>0</v>
      </c>
      <c r="V5" s="1315">
        <f>Calcs!U5</f>
        <v>0</v>
      </c>
      <c r="W5" s="1315">
        <f>Calcs!V5</f>
        <v>0</v>
      </c>
      <c r="X5" s="1315">
        <f>Calcs!W5</f>
        <v>0</v>
      </c>
      <c r="Y5" s="1315">
        <f>Calcs!X5</f>
        <v>0</v>
      </c>
      <c r="Z5" s="1315">
        <f>Calcs!Y5</f>
        <v>0</v>
      </c>
      <c r="AA5" s="1315">
        <f>Calcs!Z5</f>
        <v>0</v>
      </c>
      <c r="AB5" s="1315">
        <f>Calcs!AA5</f>
        <v>0</v>
      </c>
      <c r="AC5" s="1315">
        <f>Calcs!AB5</f>
        <v>0</v>
      </c>
      <c r="AD5" s="1315">
        <f>Calcs!AC5</f>
        <v>0</v>
      </c>
      <c r="AE5" s="1315">
        <f>Calcs!AD5</f>
        <v>0</v>
      </c>
      <c r="AF5" s="1315">
        <f>Calcs!AE5</f>
        <v>0</v>
      </c>
      <c r="AG5" s="1315">
        <f>Calcs!AF5</f>
        <v>0</v>
      </c>
      <c r="AH5" s="1315">
        <f>Calcs!AG5</f>
        <v>0</v>
      </c>
      <c r="AI5" s="1315">
        <f>Calcs!AH5</f>
        <v>0</v>
      </c>
      <c r="AJ5" s="1315">
        <f>Calcs!AI5</f>
        <v>0</v>
      </c>
      <c r="AK5" s="1315">
        <f>Calcs!AJ5</f>
        <v>0</v>
      </c>
      <c r="AL5" s="1315">
        <f>Calcs!AK5</f>
        <v>0</v>
      </c>
      <c r="AM5" s="1315">
        <f>Calcs!AL5</f>
        <v>0</v>
      </c>
      <c r="AN5" s="1315">
        <f>Calcs!AM5</f>
        <v>0</v>
      </c>
      <c r="AO5" s="1315">
        <f>Calcs!AN5</f>
        <v>0</v>
      </c>
      <c r="AP5" s="1315">
        <f>Calcs!AO5</f>
        <v>0</v>
      </c>
      <c r="AQ5" s="1315">
        <f>Calcs!AP5</f>
        <v>0</v>
      </c>
      <c r="AR5" s="1315">
        <f>Calcs!AQ5</f>
        <v>0</v>
      </c>
      <c r="AS5" s="1315">
        <f>Calcs!AR5</f>
        <v>0</v>
      </c>
      <c r="AT5" s="1315">
        <f>Calcs!AS5</f>
        <v>0</v>
      </c>
      <c r="AU5" s="1315">
        <f>Calcs!AT5</f>
        <v>0</v>
      </c>
      <c r="AV5" s="1315">
        <f>Calcs!AU5</f>
        <v>0</v>
      </c>
      <c r="AW5" s="1315">
        <f>Calcs!AV5</f>
        <v>0</v>
      </c>
      <c r="AX5" s="1315">
        <f>Calcs!AW5</f>
        <v>0</v>
      </c>
      <c r="AY5" s="1315">
        <f>Calcs!AX5</f>
        <v>0</v>
      </c>
      <c r="AZ5" s="1315">
        <f>Calcs!AY5</f>
        <v>0</v>
      </c>
      <c r="BA5" s="1315">
        <f>Calcs!AZ5</f>
        <v>0</v>
      </c>
      <c r="BB5" s="1315">
        <f>Calcs!BA5</f>
        <v>0</v>
      </c>
      <c r="BC5" s="1315">
        <f>Calcs!BB5</f>
        <v>0</v>
      </c>
      <c r="BD5" s="1315">
        <f>Calcs!BC5</f>
        <v>0</v>
      </c>
      <c r="BE5" s="1315">
        <f>Calcs!BD5</f>
        <v>0</v>
      </c>
      <c r="BF5" s="1315">
        <f>Calcs!BE5</f>
        <v>0</v>
      </c>
      <c r="BG5" s="1315">
        <f>Calcs!BF5</f>
        <v>0</v>
      </c>
      <c r="BH5" s="1315">
        <f>Calcs!BG5</f>
        <v>0</v>
      </c>
      <c r="BI5" s="1315">
        <f>Calcs!BH5</f>
        <v>0</v>
      </c>
      <c r="BJ5" s="1315">
        <f>Calcs!BI5</f>
        <v>0</v>
      </c>
      <c r="BK5" s="1315">
        <f>Calcs!BJ5</f>
        <v>0</v>
      </c>
      <c r="BL5" s="1315">
        <f>Calcs!BK5</f>
        <v>0</v>
      </c>
      <c r="BM5" s="1315">
        <f>Calcs!BL5</f>
        <v>0</v>
      </c>
      <c r="BN5" s="1315">
        <f>Calcs!BM5</f>
        <v>0</v>
      </c>
      <c r="BO5" s="1315">
        <f>Calcs!BN5</f>
        <v>0</v>
      </c>
      <c r="BP5" s="1315">
        <f>Calcs!BO5</f>
        <v>0</v>
      </c>
      <c r="BQ5" s="1315">
        <f>Calcs!BP5</f>
        <v>0</v>
      </c>
    </row>
    <row r="6" spans="1:69" ht="13" customHeight="1" x14ac:dyDescent="0.35">
      <c r="B6" s="84" t="s">
        <v>616</v>
      </c>
      <c r="C6" s="1316" t="str">
        <f>IF(AND(C$3&gt;0,C5&gt;0),C5/C$3,"")</f>
        <v/>
      </c>
      <c r="D6" s="1316" t="str">
        <f>IF(AND(D$3&gt;0,D5&gt;0),D5/D$3,"")</f>
        <v/>
      </c>
      <c r="E6" s="1316" t="str">
        <f>IF(AND(E$3&gt;0,E5&gt;0),E5/E$3,"")</f>
        <v/>
      </c>
      <c r="F6" s="1316" t="str">
        <f>IF(AND(F$3&gt;0,F5&gt;0),F5/F$3,"")</f>
        <v/>
      </c>
      <c r="G6" s="1316" t="str">
        <f>IF(AND(G$3&gt;0,G5&gt;0),G5/G$3,"")</f>
        <v/>
      </c>
      <c r="H6" s="1"/>
      <c r="I6" s="84" t="s">
        <v>616</v>
      </c>
      <c r="J6" s="1316" t="str">
        <f>IF(AND(J$3&gt;0,J5&gt;0),J5/J$3,"")</f>
        <v/>
      </c>
      <c r="K6" s="1316" t="str">
        <f t="shared" ref="K6:R6" si="1">IF(AND(K$3&gt;0,K5&gt;0),K5/K$3,"")</f>
        <v/>
      </c>
      <c r="L6" s="1316" t="str">
        <f t="shared" si="1"/>
        <v/>
      </c>
      <c r="M6" s="1316" t="str">
        <f t="shared" si="1"/>
        <v/>
      </c>
      <c r="N6" s="1316" t="str">
        <f t="shared" si="1"/>
        <v/>
      </c>
      <c r="O6" s="1316" t="str">
        <f t="shared" si="1"/>
        <v/>
      </c>
      <c r="P6" s="1316" t="str">
        <f t="shared" si="1"/>
        <v/>
      </c>
      <c r="Q6" s="1316" t="str">
        <f t="shared" si="1"/>
        <v/>
      </c>
      <c r="R6" s="1316" t="str">
        <f t="shared" si="1"/>
        <v/>
      </c>
      <c r="S6" s="1316" t="str">
        <f t="shared" ref="S6:AX6" si="2">IF(AND(S$3&gt;0,S5&gt;0),S5/S$3,"")</f>
        <v/>
      </c>
      <c r="T6" s="1316" t="str">
        <f t="shared" si="2"/>
        <v/>
      </c>
      <c r="U6" s="1316" t="str">
        <f t="shared" si="2"/>
        <v/>
      </c>
      <c r="V6" s="1316" t="str">
        <f t="shared" si="2"/>
        <v/>
      </c>
      <c r="W6" s="1316" t="str">
        <f t="shared" si="2"/>
        <v/>
      </c>
      <c r="X6" s="1316" t="str">
        <f t="shared" si="2"/>
        <v/>
      </c>
      <c r="Y6" s="1316" t="str">
        <f t="shared" si="2"/>
        <v/>
      </c>
      <c r="Z6" s="1316" t="str">
        <f t="shared" si="2"/>
        <v/>
      </c>
      <c r="AA6" s="1316" t="str">
        <f t="shared" si="2"/>
        <v/>
      </c>
      <c r="AB6" s="1316" t="str">
        <f t="shared" si="2"/>
        <v/>
      </c>
      <c r="AC6" s="1316" t="str">
        <f t="shared" si="2"/>
        <v/>
      </c>
      <c r="AD6" s="1316" t="str">
        <f t="shared" si="2"/>
        <v/>
      </c>
      <c r="AE6" s="1316" t="str">
        <f t="shared" si="2"/>
        <v/>
      </c>
      <c r="AF6" s="1316" t="str">
        <f t="shared" si="2"/>
        <v/>
      </c>
      <c r="AG6" s="1316" t="str">
        <f t="shared" si="2"/>
        <v/>
      </c>
      <c r="AH6" s="1316" t="str">
        <f t="shared" si="2"/>
        <v/>
      </c>
      <c r="AI6" s="1316" t="str">
        <f t="shared" si="2"/>
        <v/>
      </c>
      <c r="AJ6" s="1316" t="str">
        <f t="shared" si="2"/>
        <v/>
      </c>
      <c r="AK6" s="1316" t="str">
        <f t="shared" si="2"/>
        <v/>
      </c>
      <c r="AL6" s="1316" t="str">
        <f t="shared" si="2"/>
        <v/>
      </c>
      <c r="AM6" s="1316" t="str">
        <f t="shared" si="2"/>
        <v/>
      </c>
      <c r="AN6" s="1316" t="str">
        <f t="shared" si="2"/>
        <v/>
      </c>
      <c r="AO6" s="1316" t="str">
        <f t="shared" si="2"/>
        <v/>
      </c>
      <c r="AP6" s="1316" t="str">
        <f t="shared" si="2"/>
        <v/>
      </c>
      <c r="AQ6" s="1316" t="str">
        <f t="shared" si="2"/>
        <v/>
      </c>
      <c r="AR6" s="1316" t="str">
        <f t="shared" si="2"/>
        <v/>
      </c>
      <c r="AS6" s="1316" t="str">
        <f t="shared" si="2"/>
        <v/>
      </c>
      <c r="AT6" s="1316" t="str">
        <f t="shared" si="2"/>
        <v/>
      </c>
      <c r="AU6" s="1316" t="str">
        <f t="shared" si="2"/>
        <v/>
      </c>
      <c r="AV6" s="1316" t="str">
        <f t="shared" si="2"/>
        <v/>
      </c>
      <c r="AW6" s="1316" t="str">
        <f t="shared" si="2"/>
        <v/>
      </c>
      <c r="AX6" s="1316" t="str">
        <f t="shared" si="2"/>
        <v/>
      </c>
      <c r="AY6" s="1316" t="str">
        <f t="shared" ref="AY6:BQ6" si="3">IF(AND(AY$3&gt;0,AY5&gt;0),AY5/AY$3,"")</f>
        <v/>
      </c>
      <c r="AZ6" s="1316" t="str">
        <f t="shared" si="3"/>
        <v/>
      </c>
      <c r="BA6" s="1316" t="str">
        <f t="shared" si="3"/>
        <v/>
      </c>
      <c r="BB6" s="1316" t="str">
        <f t="shared" si="3"/>
        <v/>
      </c>
      <c r="BC6" s="1316" t="str">
        <f t="shared" si="3"/>
        <v/>
      </c>
      <c r="BD6" s="1316" t="str">
        <f t="shared" si="3"/>
        <v/>
      </c>
      <c r="BE6" s="1316" t="str">
        <f t="shared" si="3"/>
        <v/>
      </c>
      <c r="BF6" s="1316" t="str">
        <f t="shared" si="3"/>
        <v/>
      </c>
      <c r="BG6" s="1316" t="str">
        <f t="shared" si="3"/>
        <v/>
      </c>
      <c r="BH6" s="1316" t="str">
        <f t="shared" si="3"/>
        <v/>
      </c>
      <c r="BI6" s="1316" t="str">
        <f t="shared" si="3"/>
        <v/>
      </c>
      <c r="BJ6" s="1316" t="str">
        <f t="shared" si="3"/>
        <v/>
      </c>
      <c r="BK6" s="1316" t="str">
        <f t="shared" si="3"/>
        <v/>
      </c>
      <c r="BL6" s="1316" t="str">
        <f t="shared" si="3"/>
        <v/>
      </c>
      <c r="BM6" s="1316" t="str">
        <f t="shared" si="3"/>
        <v/>
      </c>
      <c r="BN6" s="1316" t="str">
        <f t="shared" si="3"/>
        <v/>
      </c>
      <c r="BO6" s="1316" t="str">
        <f t="shared" si="3"/>
        <v/>
      </c>
      <c r="BP6" s="1316" t="str">
        <f t="shared" si="3"/>
        <v/>
      </c>
      <c r="BQ6" s="1316" t="str">
        <f t="shared" si="3"/>
        <v/>
      </c>
    </row>
    <row r="7" spans="1:69" ht="13" customHeight="1" x14ac:dyDescent="0.35">
      <c r="B7" s="84"/>
      <c r="C7" s="427"/>
      <c r="D7" s="427"/>
      <c r="E7" s="427"/>
      <c r="F7" s="427"/>
      <c r="G7" s="427"/>
      <c r="H7" s="1"/>
      <c r="I7" s="84"/>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row>
    <row r="8" spans="1:69" ht="13" customHeight="1" x14ac:dyDescent="0.35">
      <c r="B8" s="84" t="s">
        <v>287</v>
      </c>
      <c r="C8" s="427">
        <f>Infrastructure!BF32</f>
        <v>0</v>
      </c>
      <c r="D8" s="427">
        <f>Infrastructure!BG32</f>
        <v>0</v>
      </c>
      <c r="E8" s="427">
        <f>Infrastructure!BH32</f>
        <v>0</v>
      </c>
      <c r="F8" s="427">
        <f>Infrastructure!BI32</f>
        <v>0</v>
      </c>
      <c r="G8" s="427">
        <f>Infrastructure!BJ32</f>
        <v>0</v>
      </c>
      <c r="H8" s="1"/>
      <c r="I8" s="84" t="str">
        <f>B8</f>
        <v>Sales &amp; Marketing Expenses</v>
      </c>
      <c r="J8" s="214">
        <f>Calcs!I6</f>
        <v>0</v>
      </c>
      <c r="K8" s="214">
        <f>Calcs!J6</f>
        <v>0</v>
      </c>
      <c r="L8" s="214">
        <f>Calcs!K6</f>
        <v>0</v>
      </c>
      <c r="M8" s="214">
        <f>Calcs!L6</f>
        <v>0</v>
      </c>
      <c r="N8" s="214">
        <f>Calcs!M6</f>
        <v>0</v>
      </c>
      <c r="O8" s="214">
        <f>Calcs!N6</f>
        <v>0</v>
      </c>
      <c r="P8" s="214">
        <f>Calcs!O6</f>
        <v>0</v>
      </c>
      <c r="Q8" s="214">
        <f>Calcs!P6</f>
        <v>0</v>
      </c>
      <c r="R8" s="214">
        <f>Calcs!Q6</f>
        <v>0</v>
      </c>
      <c r="S8" s="214">
        <f>Calcs!R6</f>
        <v>0</v>
      </c>
      <c r="T8" s="214">
        <f>Calcs!S6</f>
        <v>0</v>
      </c>
      <c r="U8" s="214">
        <f>Calcs!T6</f>
        <v>0</v>
      </c>
      <c r="V8" s="214">
        <f>Calcs!U6</f>
        <v>0</v>
      </c>
      <c r="W8" s="214">
        <f>Calcs!V6</f>
        <v>0</v>
      </c>
      <c r="X8" s="214">
        <f>Calcs!W6</f>
        <v>0</v>
      </c>
      <c r="Y8" s="214">
        <f>Calcs!X6</f>
        <v>0</v>
      </c>
      <c r="Z8" s="214">
        <f>Calcs!Y6</f>
        <v>0</v>
      </c>
      <c r="AA8" s="214">
        <f>Calcs!Z6</f>
        <v>0</v>
      </c>
      <c r="AB8" s="214">
        <f>Calcs!AA6</f>
        <v>0</v>
      </c>
      <c r="AC8" s="214">
        <f>Calcs!AB6</f>
        <v>0</v>
      </c>
      <c r="AD8" s="214">
        <f>Calcs!AC6</f>
        <v>0</v>
      </c>
      <c r="AE8" s="214">
        <f>Calcs!AD6</f>
        <v>0</v>
      </c>
      <c r="AF8" s="214">
        <f>Calcs!AE6</f>
        <v>0</v>
      </c>
      <c r="AG8" s="214">
        <f>Calcs!AF6</f>
        <v>0</v>
      </c>
      <c r="AH8" s="214">
        <f>Calcs!AG6</f>
        <v>0</v>
      </c>
      <c r="AI8" s="214">
        <f>Calcs!AH6</f>
        <v>0</v>
      </c>
      <c r="AJ8" s="214">
        <f>Calcs!AI6</f>
        <v>0</v>
      </c>
      <c r="AK8" s="214">
        <f>Calcs!AJ6</f>
        <v>0</v>
      </c>
      <c r="AL8" s="214">
        <f>Calcs!AK6</f>
        <v>0</v>
      </c>
      <c r="AM8" s="214">
        <f>Calcs!AL6</f>
        <v>0</v>
      </c>
      <c r="AN8" s="214">
        <f>Calcs!AM6</f>
        <v>0</v>
      </c>
      <c r="AO8" s="214">
        <f>Calcs!AN6</f>
        <v>0</v>
      </c>
      <c r="AP8" s="214">
        <f>Calcs!AO6</f>
        <v>0</v>
      </c>
      <c r="AQ8" s="214">
        <f>Calcs!AP6</f>
        <v>0</v>
      </c>
      <c r="AR8" s="214">
        <f>Calcs!AQ6</f>
        <v>0</v>
      </c>
      <c r="AS8" s="214">
        <f>Calcs!AR6</f>
        <v>0</v>
      </c>
      <c r="AT8" s="214">
        <f>Calcs!AS6</f>
        <v>0</v>
      </c>
      <c r="AU8" s="214">
        <f>Calcs!AT6</f>
        <v>0</v>
      </c>
      <c r="AV8" s="214">
        <f>Calcs!AU6</f>
        <v>0</v>
      </c>
      <c r="AW8" s="214">
        <f>Calcs!AV6</f>
        <v>0</v>
      </c>
      <c r="AX8" s="214">
        <f>Calcs!AW6</f>
        <v>0</v>
      </c>
      <c r="AY8" s="214">
        <f>Calcs!AX6</f>
        <v>0</v>
      </c>
      <c r="AZ8" s="214">
        <f>Calcs!AY6</f>
        <v>0</v>
      </c>
      <c r="BA8" s="214">
        <f>Calcs!AZ6</f>
        <v>0</v>
      </c>
      <c r="BB8" s="214">
        <f>Calcs!BA6</f>
        <v>0</v>
      </c>
      <c r="BC8" s="214">
        <f>Calcs!BB6</f>
        <v>0</v>
      </c>
      <c r="BD8" s="214">
        <f>Calcs!BC6</f>
        <v>0</v>
      </c>
      <c r="BE8" s="214">
        <f>Calcs!BD6</f>
        <v>0</v>
      </c>
      <c r="BF8" s="214">
        <f>Calcs!BE6</f>
        <v>0</v>
      </c>
      <c r="BG8" s="214">
        <f>Calcs!BF6</f>
        <v>0</v>
      </c>
      <c r="BH8" s="214">
        <f>Calcs!BG6</f>
        <v>0</v>
      </c>
      <c r="BI8" s="214">
        <f>Calcs!BH6</f>
        <v>0</v>
      </c>
      <c r="BJ8" s="214">
        <f>Calcs!BI6</f>
        <v>0</v>
      </c>
      <c r="BK8" s="214">
        <f>Calcs!BJ6</f>
        <v>0</v>
      </c>
      <c r="BL8" s="214">
        <f>Calcs!BK6</f>
        <v>0</v>
      </c>
      <c r="BM8" s="214">
        <f>Calcs!BL6</f>
        <v>0</v>
      </c>
      <c r="BN8" s="214">
        <f>Calcs!BM6</f>
        <v>0</v>
      </c>
      <c r="BO8" s="214">
        <f>Calcs!BN6</f>
        <v>0</v>
      </c>
      <c r="BP8" s="214">
        <f>Calcs!BO6</f>
        <v>0</v>
      </c>
      <c r="BQ8" s="214">
        <f>Calcs!BP6</f>
        <v>0</v>
      </c>
    </row>
    <row r="9" spans="1:69" ht="13" customHeight="1" x14ac:dyDescent="0.35">
      <c r="B9" s="84" t="s">
        <v>19</v>
      </c>
      <c r="C9" s="427">
        <f>Infrastructure!BF33</f>
        <v>0</v>
      </c>
      <c r="D9" s="427">
        <f>Infrastructure!BG33</f>
        <v>0</v>
      </c>
      <c r="E9" s="427">
        <f>Infrastructure!BH33</f>
        <v>0</v>
      </c>
      <c r="F9" s="427">
        <f>Infrastructure!BI33</f>
        <v>0</v>
      </c>
      <c r="G9" s="427">
        <f>Infrastructure!BJ33</f>
        <v>0</v>
      </c>
      <c r="H9" s="1"/>
      <c r="I9" s="84" t="str">
        <f>B9</f>
        <v>Operating Expenses</v>
      </c>
      <c r="J9" s="214">
        <f>Calcs!I7</f>
        <v>0</v>
      </c>
      <c r="K9" s="214">
        <f>Calcs!J7</f>
        <v>0</v>
      </c>
      <c r="L9" s="214">
        <f>Calcs!K7</f>
        <v>0</v>
      </c>
      <c r="M9" s="214">
        <f>Calcs!L7</f>
        <v>0</v>
      </c>
      <c r="N9" s="214">
        <f>Calcs!M7</f>
        <v>0</v>
      </c>
      <c r="O9" s="214">
        <f>Calcs!N7</f>
        <v>0</v>
      </c>
      <c r="P9" s="214">
        <f>Calcs!O7</f>
        <v>0</v>
      </c>
      <c r="Q9" s="214">
        <f>Calcs!P7</f>
        <v>0</v>
      </c>
      <c r="R9" s="214">
        <f>Calcs!Q7</f>
        <v>0</v>
      </c>
      <c r="S9" s="214">
        <f>Calcs!R7</f>
        <v>0</v>
      </c>
      <c r="T9" s="214">
        <f>Calcs!S7</f>
        <v>0</v>
      </c>
      <c r="U9" s="214">
        <f>Calcs!T7</f>
        <v>0</v>
      </c>
      <c r="V9" s="214">
        <f>Calcs!U7</f>
        <v>0</v>
      </c>
      <c r="W9" s="214">
        <f>Calcs!V7</f>
        <v>0</v>
      </c>
      <c r="X9" s="214">
        <f>Calcs!W7</f>
        <v>0</v>
      </c>
      <c r="Y9" s="214">
        <f>Calcs!X7</f>
        <v>0</v>
      </c>
      <c r="Z9" s="214">
        <f>Calcs!Y7</f>
        <v>0</v>
      </c>
      <c r="AA9" s="214">
        <f>Calcs!Z7</f>
        <v>0</v>
      </c>
      <c r="AB9" s="214">
        <f>Calcs!AA7</f>
        <v>0</v>
      </c>
      <c r="AC9" s="214">
        <f>Calcs!AB7</f>
        <v>0</v>
      </c>
      <c r="AD9" s="214">
        <f>Calcs!AC7</f>
        <v>0</v>
      </c>
      <c r="AE9" s="214">
        <f>Calcs!AD7</f>
        <v>0</v>
      </c>
      <c r="AF9" s="214">
        <f>Calcs!AE7</f>
        <v>0</v>
      </c>
      <c r="AG9" s="214">
        <f>Calcs!AF7</f>
        <v>0</v>
      </c>
      <c r="AH9" s="214">
        <f>Calcs!AG7</f>
        <v>0</v>
      </c>
      <c r="AI9" s="214">
        <f>Calcs!AH7</f>
        <v>0</v>
      </c>
      <c r="AJ9" s="214">
        <f>Calcs!AI7</f>
        <v>0</v>
      </c>
      <c r="AK9" s="214">
        <f>Calcs!AJ7</f>
        <v>0</v>
      </c>
      <c r="AL9" s="214">
        <f>Calcs!AK7</f>
        <v>0</v>
      </c>
      <c r="AM9" s="214">
        <f>Calcs!AL7</f>
        <v>0</v>
      </c>
      <c r="AN9" s="214">
        <f>Calcs!AM7</f>
        <v>0</v>
      </c>
      <c r="AO9" s="214">
        <f>Calcs!AN7</f>
        <v>0</v>
      </c>
      <c r="AP9" s="214">
        <f>Calcs!AO7</f>
        <v>0</v>
      </c>
      <c r="AQ9" s="214">
        <f>Calcs!AP7</f>
        <v>0</v>
      </c>
      <c r="AR9" s="214">
        <f>Calcs!AQ7</f>
        <v>0</v>
      </c>
      <c r="AS9" s="214">
        <f>Calcs!AR7</f>
        <v>0</v>
      </c>
      <c r="AT9" s="214">
        <f>Calcs!AS7</f>
        <v>0</v>
      </c>
      <c r="AU9" s="214">
        <f>Calcs!AT7</f>
        <v>0</v>
      </c>
      <c r="AV9" s="214">
        <f>Calcs!AU7</f>
        <v>0</v>
      </c>
      <c r="AW9" s="214">
        <f>Calcs!AV7</f>
        <v>0</v>
      </c>
      <c r="AX9" s="214">
        <f>Calcs!AW7</f>
        <v>0</v>
      </c>
      <c r="AY9" s="214">
        <f>Calcs!AX7</f>
        <v>0</v>
      </c>
      <c r="AZ9" s="214">
        <f>Calcs!AY7</f>
        <v>0</v>
      </c>
      <c r="BA9" s="214">
        <f>Calcs!AZ7</f>
        <v>0</v>
      </c>
      <c r="BB9" s="214">
        <f>Calcs!BA7</f>
        <v>0</v>
      </c>
      <c r="BC9" s="214">
        <f>Calcs!BB7</f>
        <v>0</v>
      </c>
      <c r="BD9" s="214">
        <f>Calcs!BC7</f>
        <v>0</v>
      </c>
      <c r="BE9" s="214">
        <f>Calcs!BD7</f>
        <v>0</v>
      </c>
      <c r="BF9" s="214">
        <f>Calcs!BE7</f>
        <v>0</v>
      </c>
      <c r="BG9" s="214">
        <f>Calcs!BF7</f>
        <v>0</v>
      </c>
      <c r="BH9" s="214">
        <f>Calcs!BG7</f>
        <v>0</v>
      </c>
      <c r="BI9" s="214">
        <f>Calcs!BH7</f>
        <v>0</v>
      </c>
      <c r="BJ9" s="214">
        <f>Calcs!BI7</f>
        <v>0</v>
      </c>
      <c r="BK9" s="214">
        <f>Calcs!BJ7</f>
        <v>0</v>
      </c>
      <c r="BL9" s="214">
        <f>Calcs!BK7</f>
        <v>0</v>
      </c>
      <c r="BM9" s="214">
        <f>Calcs!BL7</f>
        <v>0</v>
      </c>
      <c r="BN9" s="214">
        <f>Calcs!BM7</f>
        <v>0</v>
      </c>
      <c r="BO9" s="214">
        <f>Calcs!BN7</f>
        <v>0</v>
      </c>
      <c r="BP9" s="214">
        <f>Calcs!BO7</f>
        <v>0</v>
      </c>
      <c r="BQ9" s="214">
        <f>Calcs!BP7</f>
        <v>0</v>
      </c>
    </row>
    <row r="10" spans="1:69" ht="13" customHeight="1" x14ac:dyDescent="0.35">
      <c r="B10" s="84"/>
      <c r="C10" s="427"/>
      <c r="D10" s="427"/>
      <c r="E10" s="427"/>
      <c r="F10" s="427"/>
      <c r="G10" s="427"/>
      <c r="H10" s="1"/>
      <c r="I10" s="84"/>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row>
    <row r="11" spans="1:69" ht="13" customHeight="1" x14ac:dyDescent="0.35">
      <c r="B11" s="61" t="s">
        <v>6</v>
      </c>
      <c r="C11" s="1317">
        <f>Infrastructure!BF34</f>
        <v>0</v>
      </c>
      <c r="D11" s="1317">
        <f>Infrastructure!BG34</f>
        <v>0</v>
      </c>
      <c r="E11" s="1317">
        <f>Infrastructure!BH34</f>
        <v>0</v>
      </c>
      <c r="F11" s="1317">
        <f>Infrastructure!BI34</f>
        <v>0</v>
      </c>
      <c r="G11" s="1317">
        <f>Infrastructure!BJ34</f>
        <v>0</v>
      </c>
      <c r="H11" s="1"/>
      <c r="I11" s="61" t="str">
        <f>B11</f>
        <v>EBITDA</v>
      </c>
      <c r="J11" s="1029">
        <f>Calcs!I8</f>
        <v>0</v>
      </c>
      <c r="K11" s="1029">
        <f>Calcs!J8</f>
        <v>0</v>
      </c>
      <c r="L11" s="1029">
        <f>Calcs!K8</f>
        <v>0</v>
      </c>
      <c r="M11" s="1029">
        <f>Calcs!L8</f>
        <v>0</v>
      </c>
      <c r="N11" s="1029">
        <f>Calcs!M8</f>
        <v>0</v>
      </c>
      <c r="O11" s="1029">
        <f>Calcs!N8</f>
        <v>0</v>
      </c>
      <c r="P11" s="1029">
        <f>Calcs!O8</f>
        <v>0</v>
      </c>
      <c r="Q11" s="1029">
        <f>Calcs!P8</f>
        <v>0</v>
      </c>
      <c r="R11" s="1029">
        <f>Calcs!Q8</f>
        <v>0</v>
      </c>
      <c r="S11" s="1029">
        <f>Calcs!R8</f>
        <v>0</v>
      </c>
      <c r="T11" s="1029">
        <f>Calcs!S8</f>
        <v>0</v>
      </c>
      <c r="U11" s="1029">
        <f>Calcs!T8</f>
        <v>0</v>
      </c>
      <c r="V11" s="1029">
        <f>Calcs!U8</f>
        <v>0</v>
      </c>
      <c r="W11" s="1029">
        <f>Calcs!V8</f>
        <v>0</v>
      </c>
      <c r="X11" s="1029">
        <f>Calcs!W8</f>
        <v>0</v>
      </c>
      <c r="Y11" s="1029">
        <f>Calcs!X8</f>
        <v>0</v>
      </c>
      <c r="Z11" s="1029">
        <f>Calcs!Y8</f>
        <v>0</v>
      </c>
      <c r="AA11" s="1029">
        <f>Calcs!Z8</f>
        <v>0</v>
      </c>
      <c r="AB11" s="1029">
        <f>Calcs!AA8</f>
        <v>0</v>
      </c>
      <c r="AC11" s="1029">
        <f>Calcs!AB8</f>
        <v>0</v>
      </c>
      <c r="AD11" s="1029">
        <f>Calcs!AC8</f>
        <v>0</v>
      </c>
      <c r="AE11" s="1029">
        <f>Calcs!AD8</f>
        <v>0</v>
      </c>
      <c r="AF11" s="1029">
        <f>Calcs!AE8</f>
        <v>0</v>
      </c>
      <c r="AG11" s="1029">
        <f>Calcs!AF8</f>
        <v>0</v>
      </c>
      <c r="AH11" s="1029">
        <f>Calcs!AG8</f>
        <v>0</v>
      </c>
      <c r="AI11" s="1029">
        <f>Calcs!AH8</f>
        <v>0</v>
      </c>
      <c r="AJ11" s="1029">
        <f>Calcs!AI8</f>
        <v>0</v>
      </c>
      <c r="AK11" s="1029">
        <f>Calcs!AJ8</f>
        <v>0</v>
      </c>
      <c r="AL11" s="1029">
        <f>Calcs!AK8</f>
        <v>0</v>
      </c>
      <c r="AM11" s="1029">
        <f>Calcs!AL8</f>
        <v>0</v>
      </c>
      <c r="AN11" s="1029">
        <f>Calcs!AM8</f>
        <v>0</v>
      </c>
      <c r="AO11" s="1029">
        <f>Calcs!AN8</f>
        <v>0</v>
      </c>
      <c r="AP11" s="1029">
        <f>Calcs!AO8</f>
        <v>0</v>
      </c>
      <c r="AQ11" s="1029">
        <f>Calcs!AP8</f>
        <v>0</v>
      </c>
      <c r="AR11" s="1029">
        <f>Calcs!AQ8</f>
        <v>0</v>
      </c>
      <c r="AS11" s="1029">
        <f>Calcs!AR8</f>
        <v>0</v>
      </c>
      <c r="AT11" s="1029">
        <f>Calcs!AS8</f>
        <v>0</v>
      </c>
      <c r="AU11" s="1029">
        <f>Calcs!AT8</f>
        <v>0</v>
      </c>
      <c r="AV11" s="1029">
        <f>Calcs!AU8</f>
        <v>0</v>
      </c>
      <c r="AW11" s="1029">
        <f>Calcs!AV8</f>
        <v>0</v>
      </c>
      <c r="AX11" s="1029">
        <f>Calcs!AW8</f>
        <v>0</v>
      </c>
      <c r="AY11" s="1029">
        <f>Calcs!AX8</f>
        <v>0</v>
      </c>
      <c r="AZ11" s="1029">
        <f>Calcs!AY8</f>
        <v>0</v>
      </c>
      <c r="BA11" s="1029">
        <f>Calcs!AZ8</f>
        <v>0</v>
      </c>
      <c r="BB11" s="1029">
        <f>Calcs!BA8</f>
        <v>0</v>
      </c>
      <c r="BC11" s="1029">
        <f>Calcs!BB8</f>
        <v>0</v>
      </c>
      <c r="BD11" s="1029">
        <f>Calcs!BC8</f>
        <v>0</v>
      </c>
      <c r="BE11" s="1029">
        <f>Calcs!BD8</f>
        <v>0</v>
      </c>
      <c r="BF11" s="1029">
        <f>Calcs!BE8</f>
        <v>0</v>
      </c>
      <c r="BG11" s="1029">
        <f>Calcs!BF8</f>
        <v>0</v>
      </c>
      <c r="BH11" s="1029">
        <f>Calcs!BG8</f>
        <v>0</v>
      </c>
      <c r="BI11" s="1029">
        <f>Calcs!BH8</f>
        <v>0</v>
      </c>
      <c r="BJ11" s="1029">
        <f>Calcs!BI8</f>
        <v>0</v>
      </c>
      <c r="BK11" s="1029">
        <f>Calcs!BJ8</f>
        <v>0</v>
      </c>
      <c r="BL11" s="1029">
        <f>Calcs!BK8</f>
        <v>0</v>
      </c>
      <c r="BM11" s="1029">
        <f>Calcs!BL8</f>
        <v>0</v>
      </c>
      <c r="BN11" s="1029">
        <f>Calcs!BM8</f>
        <v>0</v>
      </c>
      <c r="BO11" s="1029">
        <f>Calcs!BN8</f>
        <v>0</v>
      </c>
      <c r="BP11" s="1029">
        <f>Calcs!BO8</f>
        <v>0</v>
      </c>
      <c r="BQ11" s="1029">
        <f>Calcs!BP8</f>
        <v>0</v>
      </c>
    </row>
    <row r="12" spans="1:69" ht="13" customHeight="1" x14ac:dyDescent="0.35">
      <c r="B12" s="84" t="s">
        <v>669</v>
      </c>
      <c r="C12" s="1316" t="str">
        <f>IF(AND(C$3&gt;0,C11&gt;0),C11/C$3,"")</f>
        <v/>
      </c>
      <c r="D12" s="1316" t="str">
        <f>IF(AND(D$3&gt;0,D11&gt;0),D11/D$3,"")</f>
        <v/>
      </c>
      <c r="E12" s="1316" t="str">
        <f>IF(AND(E$3&gt;0,E11&gt;0),E11/E$3,"")</f>
        <v/>
      </c>
      <c r="F12" s="1316" t="str">
        <f>IF(AND(F$3&gt;0,F11&gt;0),F11/F$3,"")</f>
        <v/>
      </c>
      <c r="G12" s="1316" t="str">
        <f>IF(AND(G$3&gt;0,G11&gt;0),G11/G$3,"")</f>
        <v/>
      </c>
      <c r="H12" s="1"/>
      <c r="I12" s="84" t="s">
        <v>669</v>
      </c>
      <c r="J12" s="1316" t="str">
        <f>IF(AND(J$3&gt;0,J11&gt;0),J11/J$3,"")</f>
        <v/>
      </c>
      <c r="K12" s="1316" t="str">
        <f t="shared" ref="K12:BQ12" si="4">IF(AND(K$3&gt;0,K11&gt;0),K11/K$3,"")</f>
        <v/>
      </c>
      <c r="L12" s="1316" t="str">
        <f t="shared" si="4"/>
        <v/>
      </c>
      <c r="M12" s="1316" t="str">
        <f t="shared" si="4"/>
        <v/>
      </c>
      <c r="N12" s="1316" t="str">
        <f t="shared" si="4"/>
        <v/>
      </c>
      <c r="O12" s="1316" t="str">
        <f t="shared" si="4"/>
        <v/>
      </c>
      <c r="P12" s="1316" t="str">
        <f t="shared" si="4"/>
        <v/>
      </c>
      <c r="Q12" s="1316" t="str">
        <f t="shared" si="4"/>
        <v/>
      </c>
      <c r="R12" s="1316" t="str">
        <f t="shared" si="4"/>
        <v/>
      </c>
      <c r="S12" s="1316" t="str">
        <f t="shared" si="4"/>
        <v/>
      </c>
      <c r="T12" s="1316" t="str">
        <f t="shared" si="4"/>
        <v/>
      </c>
      <c r="U12" s="1316" t="str">
        <f t="shared" si="4"/>
        <v/>
      </c>
      <c r="V12" s="1316" t="str">
        <f t="shared" si="4"/>
        <v/>
      </c>
      <c r="W12" s="1316" t="str">
        <f t="shared" si="4"/>
        <v/>
      </c>
      <c r="X12" s="1316" t="str">
        <f t="shared" si="4"/>
        <v/>
      </c>
      <c r="Y12" s="1316" t="str">
        <f t="shared" si="4"/>
        <v/>
      </c>
      <c r="Z12" s="1316" t="str">
        <f t="shared" si="4"/>
        <v/>
      </c>
      <c r="AA12" s="1316" t="str">
        <f t="shared" si="4"/>
        <v/>
      </c>
      <c r="AB12" s="1316" t="str">
        <f t="shared" si="4"/>
        <v/>
      </c>
      <c r="AC12" s="1316" t="str">
        <f t="shared" si="4"/>
        <v/>
      </c>
      <c r="AD12" s="1316" t="str">
        <f t="shared" si="4"/>
        <v/>
      </c>
      <c r="AE12" s="1316" t="str">
        <f t="shared" si="4"/>
        <v/>
      </c>
      <c r="AF12" s="1316" t="str">
        <f t="shared" si="4"/>
        <v/>
      </c>
      <c r="AG12" s="1316" t="str">
        <f t="shared" si="4"/>
        <v/>
      </c>
      <c r="AH12" s="1316" t="str">
        <f t="shared" si="4"/>
        <v/>
      </c>
      <c r="AI12" s="1316" t="str">
        <f t="shared" si="4"/>
        <v/>
      </c>
      <c r="AJ12" s="1316" t="str">
        <f t="shared" si="4"/>
        <v/>
      </c>
      <c r="AK12" s="1316" t="str">
        <f t="shared" si="4"/>
        <v/>
      </c>
      <c r="AL12" s="1316" t="str">
        <f t="shared" si="4"/>
        <v/>
      </c>
      <c r="AM12" s="1316" t="str">
        <f t="shared" si="4"/>
        <v/>
      </c>
      <c r="AN12" s="1316" t="str">
        <f t="shared" si="4"/>
        <v/>
      </c>
      <c r="AO12" s="1316" t="str">
        <f t="shared" si="4"/>
        <v/>
      </c>
      <c r="AP12" s="1316" t="str">
        <f t="shared" si="4"/>
        <v/>
      </c>
      <c r="AQ12" s="1316" t="str">
        <f t="shared" si="4"/>
        <v/>
      </c>
      <c r="AR12" s="1316" t="str">
        <f t="shared" si="4"/>
        <v/>
      </c>
      <c r="AS12" s="1316" t="str">
        <f t="shared" si="4"/>
        <v/>
      </c>
      <c r="AT12" s="1316" t="str">
        <f t="shared" si="4"/>
        <v/>
      </c>
      <c r="AU12" s="1316" t="str">
        <f t="shared" si="4"/>
        <v/>
      </c>
      <c r="AV12" s="1316" t="str">
        <f t="shared" si="4"/>
        <v/>
      </c>
      <c r="AW12" s="1316" t="str">
        <f t="shared" si="4"/>
        <v/>
      </c>
      <c r="AX12" s="1316" t="str">
        <f t="shared" si="4"/>
        <v/>
      </c>
      <c r="AY12" s="1316" t="str">
        <f t="shared" si="4"/>
        <v/>
      </c>
      <c r="AZ12" s="1316" t="str">
        <f t="shared" si="4"/>
        <v/>
      </c>
      <c r="BA12" s="1316" t="str">
        <f t="shared" si="4"/>
        <v/>
      </c>
      <c r="BB12" s="1316" t="str">
        <f t="shared" si="4"/>
        <v/>
      </c>
      <c r="BC12" s="1316" t="str">
        <f t="shared" si="4"/>
        <v/>
      </c>
      <c r="BD12" s="1316" t="str">
        <f t="shared" si="4"/>
        <v/>
      </c>
      <c r="BE12" s="1316" t="str">
        <f t="shared" si="4"/>
        <v/>
      </c>
      <c r="BF12" s="1316" t="str">
        <f t="shared" si="4"/>
        <v/>
      </c>
      <c r="BG12" s="1316" t="str">
        <f t="shared" si="4"/>
        <v/>
      </c>
      <c r="BH12" s="1316" t="str">
        <f t="shared" si="4"/>
        <v/>
      </c>
      <c r="BI12" s="1316" t="str">
        <f t="shared" si="4"/>
        <v/>
      </c>
      <c r="BJ12" s="1316" t="str">
        <f t="shared" si="4"/>
        <v/>
      </c>
      <c r="BK12" s="1316" t="str">
        <f t="shared" si="4"/>
        <v/>
      </c>
      <c r="BL12" s="1316" t="str">
        <f t="shared" si="4"/>
        <v/>
      </c>
      <c r="BM12" s="1316" t="str">
        <f t="shared" si="4"/>
        <v/>
      </c>
      <c r="BN12" s="1316" t="str">
        <f t="shared" si="4"/>
        <v/>
      </c>
      <c r="BO12" s="1316" t="str">
        <f t="shared" si="4"/>
        <v/>
      </c>
      <c r="BP12" s="1316" t="str">
        <f t="shared" si="4"/>
        <v/>
      </c>
      <c r="BQ12" s="1316" t="str">
        <f t="shared" si="4"/>
        <v/>
      </c>
    </row>
    <row r="13" spans="1:69" ht="13" customHeight="1" x14ac:dyDescent="0.35">
      <c r="B13" s="84"/>
      <c r="C13" s="427"/>
      <c r="D13" s="427"/>
      <c r="E13" s="427"/>
      <c r="F13" s="427"/>
      <c r="G13" s="427"/>
      <c r="H13" s="1"/>
      <c r="I13" s="84"/>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row>
    <row r="14" spans="1:69" ht="13" customHeight="1" x14ac:dyDescent="0.35">
      <c r="B14" s="84" t="s">
        <v>670</v>
      </c>
      <c r="C14" s="427">
        <f>Infrastructure!BF36</f>
        <v>0</v>
      </c>
      <c r="D14" s="427">
        <f>Infrastructure!BG36</f>
        <v>0</v>
      </c>
      <c r="E14" s="427">
        <f>Infrastructure!BH36</f>
        <v>0</v>
      </c>
      <c r="F14" s="427">
        <f>Infrastructure!BI36</f>
        <v>0</v>
      </c>
      <c r="G14" s="427">
        <f>Infrastructure!BJ36</f>
        <v>0</v>
      </c>
      <c r="H14" s="1"/>
      <c r="I14" s="84" t="str">
        <f>B14</f>
        <v>Int, Tax, Dep, Amort</v>
      </c>
      <c r="J14" s="214">
        <f>Calcs!I9</f>
        <v>0</v>
      </c>
      <c r="K14" s="214">
        <f>Calcs!J9</f>
        <v>0</v>
      </c>
      <c r="L14" s="214">
        <f>Calcs!K9</f>
        <v>0</v>
      </c>
      <c r="M14" s="214">
        <f>Calcs!L9</f>
        <v>0</v>
      </c>
      <c r="N14" s="214">
        <f>Calcs!M9</f>
        <v>0</v>
      </c>
      <c r="O14" s="214">
        <f>Calcs!N9</f>
        <v>0</v>
      </c>
      <c r="P14" s="214">
        <f>Calcs!O9</f>
        <v>0</v>
      </c>
      <c r="Q14" s="214">
        <f>Calcs!P9</f>
        <v>0</v>
      </c>
      <c r="R14" s="214">
        <f>Calcs!Q9</f>
        <v>0</v>
      </c>
      <c r="S14" s="214">
        <f>Calcs!R9</f>
        <v>0</v>
      </c>
      <c r="T14" s="214">
        <f>Calcs!S9</f>
        <v>0</v>
      </c>
      <c r="U14" s="214">
        <f>Calcs!T9</f>
        <v>0</v>
      </c>
      <c r="V14" s="214">
        <f>Calcs!U9</f>
        <v>0</v>
      </c>
      <c r="W14" s="214">
        <f>Calcs!V9</f>
        <v>0</v>
      </c>
      <c r="X14" s="214">
        <f>Calcs!W9</f>
        <v>0</v>
      </c>
      <c r="Y14" s="214">
        <f>Calcs!X9</f>
        <v>0</v>
      </c>
      <c r="Z14" s="214">
        <f>Calcs!Y9</f>
        <v>0</v>
      </c>
      <c r="AA14" s="214">
        <f>Calcs!Z9</f>
        <v>0</v>
      </c>
      <c r="AB14" s="214">
        <f>Calcs!AA9</f>
        <v>0</v>
      </c>
      <c r="AC14" s="214">
        <f>Calcs!AB9</f>
        <v>0</v>
      </c>
      <c r="AD14" s="214">
        <f>Calcs!AC9</f>
        <v>0</v>
      </c>
      <c r="AE14" s="214">
        <f>Calcs!AD9</f>
        <v>0</v>
      </c>
      <c r="AF14" s="214">
        <f>Calcs!AE9</f>
        <v>0</v>
      </c>
      <c r="AG14" s="214">
        <f>Calcs!AF9</f>
        <v>0</v>
      </c>
      <c r="AH14" s="214">
        <f>Calcs!AG9</f>
        <v>0</v>
      </c>
      <c r="AI14" s="214">
        <f>Calcs!AH9</f>
        <v>0</v>
      </c>
      <c r="AJ14" s="214">
        <f>Calcs!AI9</f>
        <v>0</v>
      </c>
      <c r="AK14" s="214">
        <f>Calcs!AJ9</f>
        <v>0</v>
      </c>
      <c r="AL14" s="214">
        <f>Calcs!AK9</f>
        <v>0</v>
      </c>
      <c r="AM14" s="214">
        <f>Calcs!AL9</f>
        <v>0</v>
      </c>
      <c r="AN14" s="214">
        <f>Calcs!AM9</f>
        <v>0</v>
      </c>
      <c r="AO14" s="214">
        <f>Calcs!AN9</f>
        <v>0</v>
      </c>
      <c r="AP14" s="214">
        <f>Calcs!AO9</f>
        <v>0</v>
      </c>
      <c r="AQ14" s="214">
        <f>Calcs!AP9</f>
        <v>0</v>
      </c>
      <c r="AR14" s="214">
        <f>Calcs!AQ9</f>
        <v>0</v>
      </c>
      <c r="AS14" s="214">
        <f>Calcs!AR9</f>
        <v>0</v>
      </c>
      <c r="AT14" s="214">
        <f>Calcs!AS9</f>
        <v>0</v>
      </c>
      <c r="AU14" s="214">
        <f>Calcs!AT9</f>
        <v>0</v>
      </c>
      <c r="AV14" s="214">
        <f>Calcs!AU9</f>
        <v>0</v>
      </c>
      <c r="AW14" s="214">
        <f>Calcs!AV9</f>
        <v>0</v>
      </c>
      <c r="AX14" s="214">
        <f>Calcs!AW9</f>
        <v>0</v>
      </c>
      <c r="AY14" s="214">
        <f>Calcs!AX9</f>
        <v>0</v>
      </c>
      <c r="AZ14" s="214">
        <f>Calcs!AY9</f>
        <v>0</v>
      </c>
      <c r="BA14" s="214">
        <f>Calcs!AZ9</f>
        <v>0</v>
      </c>
      <c r="BB14" s="214">
        <f>Calcs!BA9</f>
        <v>0</v>
      </c>
      <c r="BC14" s="214">
        <f>Calcs!BB9</f>
        <v>0</v>
      </c>
      <c r="BD14" s="214">
        <f>Calcs!BC9</f>
        <v>0</v>
      </c>
      <c r="BE14" s="214">
        <f>Calcs!BD9</f>
        <v>0</v>
      </c>
      <c r="BF14" s="214">
        <f>Calcs!BE9</f>
        <v>0</v>
      </c>
      <c r="BG14" s="214">
        <f>Calcs!BF9</f>
        <v>0</v>
      </c>
      <c r="BH14" s="214">
        <f>Calcs!BG9</f>
        <v>0</v>
      </c>
      <c r="BI14" s="214">
        <f>Calcs!BH9</f>
        <v>0</v>
      </c>
      <c r="BJ14" s="214">
        <f>Calcs!BI9</f>
        <v>0</v>
      </c>
      <c r="BK14" s="214">
        <f>Calcs!BJ9</f>
        <v>0</v>
      </c>
      <c r="BL14" s="214">
        <f>Calcs!BK9</f>
        <v>0</v>
      </c>
      <c r="BM14" s="214">
        <f>Calcs!BL9</f>
        <v>0</v>
      </c>
      <c r="BN14" s="214">
        <f>Calcs!BM9</f>
        <v>0</v>
      </c>
      <c r="BO14" s="214">
        <f>Calcs!BN9</f>
        <v>0</v>
      </c>
      <c r="BP14" s="214">
        <f>Calcs!BO9</f>
        <v>0</v>
      </c>
      <c r="BQ14" s="214">
        <f>Calcs!BP9</f>
        <v>0</v>
      </c>
    </row>
    <row r="15" spans="1:69" ht="13" customHeight="1" x14ac:dyDescent="0.35">
      <c r="B15" s="84"/>
      <c r="C15" s="427"/>
      <c r="D15" s="427"/>
      <c r="E15" s="427"/>
      <c r="F15" s="427"/>
      <c r="G15" s="427"/>
      <c r="H15" s="1"/>
      <c r="I15" s="84"/>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row>
    <row r="16" spans="1:69" ht="13" customHeight="1" thickBot="1" x14ac:dyDescent="0.4">
      <c r="B16" s="61" t="s">
        <v>7</v>
      </c>
      <c r="C16" s="1318">
        <f>Infrastructure!BF37</f>
        <v>0</v>
      </c>
      <c r="D16" s="1318">
        <f>Infrastructure!BG37</f>
        <v>0</v>
      </c>
      <c r="E16" s="1318">
        <f>Infrastructure!BH37</f>
        <v>0</v>
      </c>
      <c r="F16" s="1318">
        <f>Infrastructure!BI37</f>
        <v>0</v>
      </c>
      <c r="G16" s="1318">
        <f>Infrastructure!BJ37</f>
        <v>0</v>
      </c>
      <c r="H16" s="1"/>
      <c r="I16" s="61" t="str">
        <f>B16</f>
        <v>Net Income</v>
      </c>
      <c r="J16" s="1319">
        <f>Calcs!I12</f>
        <v>0</v>
      </c>
      <c r="K16" s="1319">
        <f>Calcs!J12</f>
        <v>0</v>
      </c>
      <c r="L16" s="1319">
        <f>Calcs!K12</f>
        <v>0</v>
      </c>
      <c r="M16" s="1319">
        <f>Calcs!L12</f>
        <v>0</v>
      </c>
      <c r="N16" s="1319">
        <f>Calcs!M12</f>
        <v>0</v>
      </c>
      <c r="O16" s="1319">
        <f>Calcs!N12</f>
        <v>0</v>
      </c>
      <c r="P16" s="1319">
        <f>Calcs!O12</f>
        <v>0</v>
      </c>
      <c r="Q16" s="1319">
        <f>Calcs!P12</f>
        <v>0</v>
      </c>
      <c r="R16" s="1319">
        <f>Calcs!Q12</f>
        <v>0</v>
      </c>
      <c r="S16" s="1319">
        <f>Calcs!R12</f>
        <v>0</v>
      </c>
      <c r="T16" s="1319">
        <f>Calcs!S12</f>
        <v>0</v>
      </c>
      <c r="U16" s="1319">
        <f>Calcs!T12</f>
        <v>0</v>
      </c>
      <c r="V16" s="1319">
        <f>Calcs!U12</f>
        <v>0</v>
      </c>
      <c r="W16" s="1319">
        <f>Calcs!V12</f>
        <v>0</v>
      </c>
      <c r="X16" s="1319">
        <f>Calcs!W12</f>
        <v>0</v>
      </c>
      <c r="Y16" s="1319">
        <f>Calcs!X12</f>
        <v>0</v>
      </c>
      <c r="Z16" s="1319">
        <f>Calcs!Y12</f>
        <v>0</v>
      </c>
      <c r="AA16" s="1319">
        <f>Calcs!Z12</f>
        <v>0</v>
      </c>
      <c r="AB16" s="1319">
        <f>Calcs!AA12</f>
        <v>0</v>
      </c>
      <c r="AC16" s="1319">
        <f>Calcs!AB12</f>
        <v>0</v>
      </c>
      <c r="AD16" s="1319">
        <f>Calcs!AC12</f>
        <v>0</v>
      </c>
      <c r="AE16" s="1319">
        <f>Calcs!AD12</f>
        <v>0</v>
      </c>
      <c r="AF16" s="1319">
        <f>Calcs!AE12</f>
        <v>0</v>
      </c>
      <c r="AG16" s="1319">
        <f>Calcs!AF12</f>
        <v>0</v>
      </c>
      <c r="AH16" s="1319">
        <f>Calcs!AG12</f>
        <v>0</v>
      </c>
      <c r="AI16" s="1319">
        <f>Calcs!AH12</f>
        <v>0</v>
      </c>
      <c r="AJ16" s="1319">
        <f>Calcs!AI12</f>
        <v>0</v>
      </c>
      <c r="AK16" s="1319">
        <f>Calcs!AJ12</f>
        <v>0</v>
      </c>
      <c r="AL16" s="1319">
        <f>Calcs!AK12</f>
        <v>0</v>
      </c>
      <c r="AM16" s="1319">
        <f>Calcs!AL12</f>
        <v>0</v>
      </c>
      <c r="AN16" s="1319">
        <f>Calcs!AM12</f>
        <v>0</v>
      </c>
      <c r="AO16" s="1319">
        <f>Calcs!AN12</f>
        <v>0</v>
      </c>
      <c r="AP16" s="1319">
        <f>Calcs!AO12</f>
        <v>0</v>
      </c>
      <c r="AQ16" s="1319">
        <f>Calcs!AP12</f>
        <v>0</v>
      </c>
      <c r="AR16" s="1319">
        <f>Calcs!AQ12</f>
        <v>0</v>
      </c>
      <c r="AS16" s="1319">
        <f>Calcs!AR12</f>
        <v>0</v>
      </c>
      <c r="AT16" s="1319">
        <f>Calcs!AS12</f>
        <v>0</v>
      </c>
      <c r="AU16" s="1319">
        <f>Calcs!AT12</f>
        <v>0</v>
      </c>
      <c r="AV16" s="1319">
        <f>Calcs!AU12</f>
        <v>0</v>
      </c>
      <c r="AW16" s="1319">
        <f>Calcs!AV12</f>
        <v>0</v>
      </c>
      <c r="AX16" s="1319">
        <f>Calcs!AW12</f>
        <v>0</v>
      </c>
      <c r="AY16" s="1319">
        <f>Calcs!AX12</f>
        <v>0</v>
      </c>
      <c r="AZ16" s="1319">
        <f>Calcs!AY12</f>
        <v>0</v>
      </c>
      <c r="BA16" s="1319">
        <f>Calcs!AZ12</f>
        <v>0</v>
      </c>
      <c r="BB16" s="1319">
        <f>Calcs!BA12</f>
        <v>0</v>
      </c>
      <c r="BC16" s="1319">
        <f>Calcs!BB12</f>
        <v>0</v>
      </c>
      <c r="BD16" s="1319">
        <f>Calcs!BC12</f>
        <v>0</v>
      </c>
      <c r="BE16" s="1319">
        <f>Calcs!BD12</f>
        <v>0</v>
      </c>
      <c r="BF16" s="1319">
        <f>Calcs!BE12</f>
        <v>0</v>
      </c>
      <c r="BG16" s="1319">
        <f>Calcs!BF12</f>
        <v>0</v>
      </c>
      <c r="BH16" s="1319">
        <f>Calcs!BG12</f>
        <v>0</v>
      </c>
      <c r="BI16" s="1319">
        <f>Calcs!BH12</f>
        <v>0</v>
      </c>
      <c r="BJ16" s="1319">
        <f>Calcs!BI12</f>
        <v>0</v>
      </c>
      <c r="BK16" s="1319">
        <f>Calcs!BJ12</f>
        <v>0</v>
      </c>
      <c r="BL16" s="1319">
        <f>Calcs!BK12</f>
        <v>0</v>
      </c>
      <c r="BM16" s="1319">
        <f>Calcs!BL12</f>
        <v>0</v>
      </c>
      <c r="BN16" s="1319">
        <f>Calcs!BM12</f>
        <v>0</v>
      </c>
      <c r="BO16" s="1319">
        <f>Calcs!BN12</f>
        <v>0</v>
      </c>
      <c r="BP16" s="1319">
        <f>Calcs!BO12</f>
        <v>0</v>
      </c>
      <c r="BQ16" s="1319">
        <f>Calcs!BP12</f>
        <v>0</v>
      </c>
    </row>
    <row r="17" spans="1:69" ht="13" customHeight="1" thickTop="1" x14ac:dyDescent="0.35">
      <c r="B17" s="84" t="s">
        <v>618</v>
      </c>
      <c r="C17" s="1316" t="str">
        <f>IF(AND(C$3&gt;0,C16&gt;0),C16/C$3,"")</f>
        <v/>
      </c>
      <c r="D17" s="1316" t="str">
        <f>IF(AND(D$3&gt;0,D16&gt;0),D16/D$3,"")</f>
        <v/>
      </c>
      <c r="E17" s="1316" t="str">
        <f>IF(AND(E$3&gt;0,E16&gt;0),E16/E$3,"")</f>
        <v/>
      </c>
      <c r="F17" s="1316" t="str">
        <f>IF(AND(F$3&gt;0,F16&gt;0),F16/F$3,"")</f>
        <v/>
      </c>
      <c r="G17" s="1316" t="str">
        <f>IF(AND(G$3&gt;0,G16&gt;0),G16/G$3,"")</f>
        <v/>
      </c>
      <c r="H17" s="1"/>
      <c r="I17" s="84" t="s">
        <v>618</v>
      </c>
      <c r="J17" s="1316" t="str">
        <f>IF(AND(J$3&gt;0,J16&gt;0),J16/J$3,"")</f>
        <v/>
      </c>
      <c r="K17" s="1316" t="str">
        <f t="shared" ref="K17:BQ17" si="5">IF(AND(K$3&gt;0,K16&gt;0),K16/K$3,"")</f>
        <v/>
      </c>
      <c r="L17" s="1316" t="str">
        <f t="shared" si="5"/>
        <v/>
      </c>
      <c r="M17" s="1316" t="str">
        <f t="shared" si="5"/>
        <v/>
      </c>
      <c r="N17" s="1316" t="str">
        <f t="shared" si="5"/>
        <v/>
      </c>
      <c r="O17" s="1316" t="str">
        <f t="shared" si="5"/>
        <v/>
      </c>
      <c r="P17" s="1316" t="str">
        <f t="shared" si="5"/>
        <v/>
      </c>
      <c r="Q17" s="1316" t="str">
        <f t="shared" si="5"/>
        <v/>
      </c>
      <c r="R17" s="1316" t="str">
        <f t="shared" si="5"/>
        <v/>
      </c>
      <c r="S17" s="1316" t="str">
        <f t="shared" si="5"/>
        <v/>
      </c>
      <c r="T17" s="1316" t="str">
        <f t="shared" si="5"/>
        <v/>
      </c>
      <c r="U17" s="1316" t="str">
        <f t="shared" si="5"/>
        <v/>
      </c>
      <c r="V17" s="1316" t="str">
        <f t="shared" si="5"/>
        <v/>
      </c>
      <c r="W17" s="1316" t="str">
        <f t="shared" si="5"/>
        <v/>
      </c>
      <c r="X17" s="1316" t="str">
        <f t="shared" si="5"/>
        <v/>
      </c>
      <c r="Y17" s="1316" t="str">
        <f t="shared" si="5"/>
        <v/>
      </c>
      <c r="Z17" s="1316" t="str">
        <f t="shared" si="5"/>
        <v/>
      </c>
      <c r="AA17" s="1316" t="str">
        <f t="shared" si="5"/>
        <v/>
      </c>
      <c r="AB17" s="1316" t="str">
        <f t="shared" si="5"/>
        <v/>
      </c>
      <c r="AC17" s="1316" t="str">
        <f t="shared" si="5"/>
        <v/>
      </c>
      <c r="AD17" s="1316" t="str">
        <f t="shared" si="5"/>
        <v/>
      </c>
      <c r="AE17" s="1316" t="str">
        <f t="shared" si="5"/>
        <v/>
      </c>
      <c r="AF17" s="1316" t="str">
        <f t="shared" si="5"/>
        <v/>
      </c>
      <c r="AG17" s="1316" t="str">
        <f t="shared" si="5"/>
        <v/>
      </c>
      <c r="AH17" s="1316" t="str">
        <f t="shared" si="5"/>
        <v/>
      </c>
      <c r="AI17" s="1316" t="str">
        <f t="shared" si="5"/>
        <v/>
      </c>
      <c r="AJ17" s="1316" t="str">
        <f t="shared" si="5"/>
        <v/>
      </c>
      <c r="AK17" s="1316" t="str">
        <f t="shared" si="5"/>
        <v/>
      </c>
      <c r="AL17" s="1316" t="str">
        <f t="shared" si="5"/>
        <v/>
      </c>
      <c r="AM17" s="1316" t="str">
        <f t="shared" si="5"/>
        <v/>
      </c>
      <c r="AN17" s="1316" t="str">
        <f t="shared" si="5"/>
        <v/>
      </c>
      <c r="AO17" s="1316" t="str">
        <f t="shared" si="5"/>
        <v/>
      </c>
      <c r="AP17" s="1316" t="str">
        <f t="shared" si="5"/>
        <v/>
      </c>
      <c r="AQ17" s="1316" t="str">
        <f t="shared" si="5"/>
        <v/>
      </c>
      <c r="AR17" s="1316" t="str">
        <f t="shared" si="5"/>
        <v/>
      </c>
      <c r="AS17" s="1316" t="str">
        <f t="shared" si="5"/>
        <v/>
      </c>
      <c r="AT17" s="1316" t="str">
        <f t="shared" si="5"/>
        <v/>
      </c>
      <c r="AU17" s="1316" t="str">
        <f t="shared" si="5"/>
        <v/>
      </c>
      <c r="AV17" s="1316" t="str">
        <f t="shared" si="5"/>
        <v/>
      </c>
      <c r="AW17" s="1316" t="str">
        <f t="shared" si="5"/>
        <v/>
      </c>
      <c r="AX17" s="1316" t="str">
        <f t="shared" si="5"/>
        <v/>
      </c>
      <c r="AY17" s="1316" t="str">
        <f t="shared" si="5"/>
        <v/>
      </c>
      <c r="AZ17" s="1316" t="str">
        <f t="shared" si="5"/>
        <v/>
      </c>
      <c r="BA17" s="1316" t="str">
        <f t="shared" si="5"/>
        <v/>
      </c>
      <c r="BB17" s="1316" t="str">
        <f t="shared" si="5"/>
        <v/>
      </c>
      <c r="BC17" s="1316" t="str">
        <f t="shared" si="5"/>
        <v/>
      </c>
      <c r="BD17" s="1316" t="str">
        <f t="shared" si="5"/>
        <v/>
      </c>
      <c r="BE17" s="1316" t="str">
        <f t="shared" si="5"/>
        <v/>
      </c>
      <c r="BF17" s="1316" t="str">
        <f t="shared" si="5"/>
        <v/>
      </c>
      <c r="BG17" s="1316" t="str">
        <f t="shared" si="5"/>
        <v/>
      </c>
      <c r="BH17" s="1316" t="str">
        <f t="shared" si="5"/>
        <v/>
      </c>
      <c r="BI17" s="1316" t="str">
        <f t="shared" si="5"/>
        <v/>
      </c>
      <c r="BJ17" s="1316" t="str">
        <f t="shared" si="5"/>
        <v/>
      </c>
      <c r="BK17" s="1316" t="str">
        <f t="shared" si="5"/>
        <v/>
      </c>
      <c r="BL17" s="1316" t="str">
        <f t="shared" si="5"/>
        <v/>
      </c>
      <c r="BM17" s="1316" t="str">
        <f t="shared" si="5"/>
        <v/>
      </c>
      <c r="BN17" s="1316" t="str">
        <f t="shared" si="5"/>
        <v/>
      </c>
      <c r="BO17" s="1316" t="str">
        <f t="shared" si="5"/>
        <v/>
      </c>
      <c r="BP17" s="1316" t="str">
        <f t="shared" si="5"/>
        <v/>
      </c>
      <c r="BQ17" s="1316" t="str">
        <f t="shared" si="5"/>
        <v/>
      </c>
    </row>
    <row r="18" spans="1:69" ht="13" customHeight="1" x14ac:dyDescent="0.35">
      <c r="B18" s="84"/>
      <c r="C18" s="61"/>
      <c r="D18" s="61"/>
      <c r="E18" s="61"/>
      <c r="F18" s="61"/>
      <c r="G18" s="61"/>
      <c r="H18" s="1"/>
      <c r="I18" s="1"/>
      <c r="J18" s="13"/>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row>
    <row r="19" spans="1:69" ht="13" customHeight="1" x14ac:dyDescent="0.35">
      <c r="B19" s="84"/>
      <c r="C19" s="61"/>
      <c r="D19" s="61"/>
      <c r="E19" s="61"/>
      <c r="F19" s="61"/>
      <c r="G19" s="61"/>
      <c r="H19" s="1"/>
      <c r="I19" s="1"/>
      <c r="J19" s="13"/>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row>
    <row r="20" spans="1:69" ht="18" customHeight="1" x14ac:dyDescent="0.45">
      <c r="A20" s="1026" t="s">
        <v>671</v>
      </c>
      <c r="B20" s="68" t="s">
        <v>672</v>
      </c>
      <c r="C20" s="1314" t="str">
        <f>C2</f>
        <v>Year 1</v>
      </c>
      <c r="D20" s="1314" t="str">
        <f>D2</f>
        <v>Year 2</v>
      </c>
      <c r="E20" s="1314" t="str">
        <f>E2</f>
        <v>Year 3</v>
      </c>
      <c r="F20" s="1314" t="str">
        <f>F2</f>
        <v>Year 4</v>
      </c>
      <c r="G20" s="1314" t="str">
        <f>G2</f>
        <v>Year 5</v>
      </c>
      <c r="J20" s="1320">
        <f>J2</f>
        <v>0</v>
      </c>
      <c r="K20" s="1320">
        <f t="shared" ref="K20:AP20" si="6">EOMONTH(J20,1)</f>
        <v>59</v>
      </c>
      <c r="L20" s="1320">
        <f t="shared" si="6"/>
        <v>91</v>
      </c>
      <c r="M20" s="1320">
        <f t="shared" si="6"/>
        <v>121</v>
      </c>
      <c r="N20" s="1320">
        <f t="shared" si="6"/>
        <v>152</v>
      </c>
      <c r="O20" s="1320">
        <f t="shared" si="6"/>
        <v>182</v>
      </c>
      <c r="P20" s="1320">
        <f t="shared" si="6"/>
        <v>213</v>
      </c>
      <c r="Q20" s="1320">
        <f t="shared" si="6"/>
        <v>244</v>
      </c>
      <c r="R20" s="1320">
        <f t="shared" si="6"/>
        <v>274</v>
      </c>
      <c r="S20" s="1320">
        <f t="shared" si="6"/>
        <v>305</v>
      </c>
      <c r="T20" s="1320">
        <f t="shared" si="6"/>
        <v>335</v>
      </c>
      <c r="U20" s="1320">
        <f t="shared" si="6"/>
        <v>366</v>
      </c>
      <c r="V20" s="1320">
        <f t="shared" si="6"/>
        <v>397</v>
      </c>
      <c r="W20" s="1320">
        <f t="shared" si="6"/>
        <v>425</v>
      </c>
      <c r="X20" s="1320">
        <f t="shared" si="6"/>
        <v>456</v>
      </c>
      <c r="Y20" s="1320">
        <f t="shared" si="6"/>
        <v>486</v>
      </c>
      <c r="Z20" s="1320">
        <f t="shared" si="6"/>
        <v>517</v>
      </c>
      <c r="AA20" s="1320">
        <f t="shared" si="6"/>
        <v>547</v>
      </c>
      <c r="AB20" s="1320">
        <f t="shared" si="6"/>
        <v>578</v>
      </c>
      <c r="AC20" s="1320">
        <f t="shared" si="6"/>
        <v>609</v>
      </c>
      <c r="AD20" s="1320">
        <f t="shared" si="6"/>
        <v>639</v>
      </c>
      <c r="AE20" s="1320">
        <f t="shared" si="6"/>
        <v>670</v>
      </c>
      <c r="AF20" s="1320">
        <f t="shared" si="6"/>
        <v>700</v>
      </c>
      <c r="AG20" s="1320">
        <f t="shared" si="6"/>
        <v>731</v>
      </c>
      <c r="AH20" s="1320">
        <f t="shared" si="6"/>
        <v>762</v>
      </c>
      <c r="AI20" s="1320">
        <f t="shared" si="6"/>
        <v>790</v>
      </c>
      <c r="AJ20" s="1320">
        <f t="shared" si="6"/>
        <v>821</v>
      </c>
      <c r="AK20" s="1320">
        <f t="shared" si="6"/>
        <v>851</v>
      </c>
      <c r="AL20" s="1320">
        <f t="shared" si="6"/>
        <v>882</v>
      </c>
      <c r="AM20" s="1320">
        <f t="shared" si="6"/>
        <v>912</v>
      </c>
      <c r="AN20" s="1320">
        <f t="shared" si="6"/>
        <v>943</v>
      </c>
      <c r="AO20" s="1320">
        <f t="shared" si="6"/>
        <v>974</v>
      </c>
      <c r="AP20" s="1320">
        <f t="shared" si="6"/>
        <v>1004</v>
      </c>
      <c r="AQ20" s="1320">
        <f t="shared" ref="AQ20:BQ20" si="7">EOMONTH(AP20,1)</f>
        <v>1035</v>
      </c>
      <c r="AR20" s="1320">
        <f t="shared" si="7"/>
        <v>1065</v>
      </c>
      <c r="AS20" s="1320">
        <f t="shared" si="7"/>
        <v>1096</v>
      </c>
      <c r="AT20" s="1320">
        <f t="shared" si="7"/>
        <v>1127</v>
      </c>
      <c r="AU20" s="1320">
        <f t="shared" si="7"/>
        <v>1155</v>
      </c>
      <c r="AV20" s="1320">
        <f t="shared" si="7"/>
        <v>1186</v>
      </c>
      <c r="AW20" s="1320">
        <f t="shared" si="7"/>
        <v>1216</v>
      </c>
      <c r="AX20" s="1320">
        <f t="shared" si="7"/>
        <v>1247</v>
      </c>
      <c r="AY20" s="1320">
        <f t="shared" si="7"/>
        <v>1277</v>
      </c>
      <c r="AZ20" s="1320">
        <f t="shared" si="7"/>
        <v>1308</v>
      </c>
      <c r="BA20" s="1320">
        <f t="shared" si="7"/>
        <v>1339</v>
      </c>
      <c r="BB20" s="1320">
        <f t="shared" si="7"/>
        <v>1369</v>
      </c>
      <c r="BC20" s="1320">
        <f t="shared" si="7"/>
        <v>1400</v>
      </c>
      <c r="BD20" s="1320">
        <f t="shared" si="7"/>
        <v>1430</v>
      </c>
      <c r="BE20" s="1320">
        <f t="shared" si="7"/>
        <v>1461</v>
      </c>
      <c r="BF20" s="1320">
        <f t="shared" si="7"/>
        <v>1492</v>
      </c>
      <c r="BG20" s="1320">
        <f t="shared" si="7"/>
        <v>1521</v>
      </c>
      <c r="BH20" s="1320">
        <f t="shared" si="7"/>
        <v>1552</v>
      </c>
      <c r="BI20" s="1320">
        <f t="shared" si="7"/>
        <v>1582</v>
      </c>
      <c r="BJ20" s="1320">
        <f t="shared" si="7"/>
        <v>1613</v>
      </c>
      <c r="BK20" s="1320">
        <f t="shared" si="7"/>
        <v>1643</v>
      </c>
      <c r="BL20" s="1320">
        <f t="shared" si="7"/>
        <v>1674</v>
      </c>
      <c r="BM20" s="1320">
        <f t="shared" si="7"/>
        <v>1705</v>
      </c>
      <c r="BN20" s="1320">
        <f t="shared" si="7"/>
        <v>1735</v>
      </c>
      <c r="BO20" s="1320">
        <f t="shared" si="7"/>
        <v>1766</v>
      </c>
      <c r="BP20" s="1320">
        <f t="shared" si="7"/>
        <v>1796</v>
      </c>
      <c r="BQ20" s="1320">
        <f t="shared" si="7"/>
        <v>1827</v>
      </c>
    </row>
    <row r="21" spans="1:69" ht="13" customHeight="1" x14ac:dyDescent="0.35">
      <c r="B21" s="84" t="s">
        <v>17</v>
      </c>
      <c r="C21" s="214">
        <f t="shared" ref="C21:C26" si="8">U21</f>
        <v>0</v>
      </c>
      <c r="D21" s="214">
        <f t="shared" ref="D21:D26" si="9">AG21</f>
        <v>0</v>
      </c>
      <c r="E21" s="214">
        <f t="shared" ref="E21:E26" si="10">AS21</f>
        <v>0</v>
      </c>
      <c r="F21" s="214">
        <f t="shared" ref="F21:F26" si="11">BE21</f>
        <v>0</v>
      </c>
      <c r="G21" s="214">
        <f t="shared" ref="G21:G26" si="12">BQ21</f>
        <v>0</v>
      </c>
      <c r="H21" s="1"/>
      <c r="I21" s="84" t="str">
        <f>B21</f>
        <v>Current Assets</v>
      </c>
      <c r="J21" s="214">
        <f>Calcs!I31</f>
        <v>0</v>
      </c>
      <c r="K21" s="214">
        <f>Calcs!J31</f>
        <v>0</v>
      </c>
      <c r="L21" s="214">
        <f>Calcs!K31</f>
        <v>0</v>
      </c>
      <c r="M21" s="214">
        <f>Calcs!L31</f>
        <v>0</v>
      </c>
      <c r="N21" s="214">
        <f>Calcs!M31</f>
        <v>0</v>
      </c>
      <c r="O21" s="214">
        <f>Calcs!N31</f>
        <v>0</v>
      </c>
      <c r="P21" s="214">
        <f>Calcs!O31</f>
        <v>0</v>
      </c>
      <c r="Q21" s="214">
        <f>Calcs!P31</f>
        <v>0</v>
      </c>
      <c r="R21" s="214">
        <f>Calcs!Q31</f>
        <v>0</v>
      </c>
      <c r="S21" s="214">
        <f>Calcs!R31</f>
        <v>0</v>
      </c>
      <c r="T21" s="214">
        <f>Calcs!S31</f>
        <v>0</v>
      </c>
      <c r="U21" s="214">
        <f>Calcs!T31</f>
        <v>0</v>
      </c>
      <c r="V21" s="214">
        <f>Calcs!U31</f>
        <v>0</v>
      </c>
      <c r="W21" s="214">
        <f>Calcs!V31</f>
        <v>0</v>
      </c>
      <c r="X21" s="214">
        <f>Calcs!W31</f>
        <v>0</v>
      </c>
      <c r="Y21" s="214">
        <f>Calcs!X31</f>
        <v>0</v>
      </c>
      <c r="Z21" s="214">
        <f>Calcs!Y31</f>
        <v>0</v>
      </c>
      <c r="AA21" s="214">
        <f>Calcs!Z31</f>
        <v>0</v>
      </c>
      <c r="AB21" s="214">
        <f>Calcs!AA31</f>
        <v>0</v>
      </c>
      <c r="AC21" s="214">
        <f>Calcs!AB31</f>
        <v>0</v>
      </c>
      <c r="AD21" s="214">
        <f>Calcs!AC31</f>
        <v>0</v>
      </c>
      <c r="AE21" s="214">
        <f>Calcs!AD31</f>
        <v>0</v>
      </c>
      <c r="AF21" s="214">
        <f>Calcs!AE31</f>
        <v>0</v>
      </c>
      <c r="AG21" s="214">
        <f>Calcs!AF31</f>
        <v>0</v>
      </c>
      <c r="AH21" s="214">
        <f>Calcs!AG31</f>
        <v>0</v>
      </c>
      <c r="AI21" s="214">
        <f>Calcs!AH31</f>
        <v>0</v>
      </c>
      <c r="AJ21" s="214">
        <f>Calcs!AI31</f>
        <v>0</v>
      </c>
      <c r="AK21" s="214">
        <f>Calcs!AJ31</f>
        <v>0</v>
      </c>
      <c r="AL21" s="214">
        <f>Calcs!AK31</f>
        <v>0</v>
      </c>
      <c r="AM21" s="214">
        <f>Calcs!AL31</f>
        <v>0</v>
      </c>
      <c r="AN21" s="214">
        <f>Calcs!AM31</f>
        <v>0</v>
      </c>
      <c r="AO21" s="214">
        <f>Calcs!AN31</f>
        <v>0</v>
      </c>
      <c r="AP21" s="214">
        <f>Calcs!AO31</f>
        <v>0</v>
      </c>
      <c r="AQ21" s="214">
        <f>Calcs!AP31</f>
        <v>0</v>
      </c>
      <c r="AR21" s="214">
        <f>Calcs!AQ31</f>
        <v>0</v>
      </c>
      <c r="AS21" s="214">
        <f>Calcs!AR31</f>
        <v>0</v>
      </c>
      <c r="AT21" s="214">
        <f>Calcs!AS31</f>
        <v>0</v>
      </c>
      <c r="AU21" s="214">
        <f>Calcs!AT31</f>
        <v>0</v>
      </c>
      <c r="AV21" s="214">
        <f>Calcs!AU31</f>
        <v>0</v>
      </c>
      <c r="AW21" s="214">
        <f>Calcs!AV31</f>
        <v>0</v>
      </c>
      <c r="AX21" s="214">
        <f>Calcs!AW31</f>
        <v>0</v>
      </c>
      <c r="AY21" s="214">
        <f>Calcs!AX31</f>
        <v>0</v>
      </c>
      <c r="AZ21" s="214">
        <f>Calcs!AY31</f>
        <v>0</v>
      </c>
      <c r="BA21" s="214">
        <f>Calcs!AZ31</f>
        <v>0</v>
      </c>
      <c r="BB21" s="214">
        <f>Calcs!BA31</f>
        <v>0</v>
      </c>
      <c r="BC21" s="214">
        <f>Calcs!BB31</f>
        <v>0</v>
      </c>
      <c r="BD21" s="214">
        <f>Calcs!BC31</f>
        <v>0</v>
      </c>
      <c r="BE21" s="214">
        <f>Calcs!BD31</f>
        <v>0</v>
      </c>
      <c r="BF21" s="214">
        <f>Calcs!BE31</f>
        <v>0</v>
      </c>
      <c r="BG21" s="214">
        <f>Calcs!BF31</f>
        <v>0</v>
      </c>
      <c r="BH21" s="214">
        <f>Calcs!BG31</f>
        <v>0</v>
      </c>
      <c r="BI21" s="214">
        <f>Calcs!BH31</f>
        <v>0</v>
      </c>
      <c r="BJ21" s="214">
        <f>Calcs!BI31</f>
        <v>0</v>
      </c>
      <c r="BK21" s="214">
        <f>Calcs!BJ31</f>
        <v>0</v>
      </c>
      <c r="BL21" s="214">
        <f>Calcs!BK31</f>
        <v>0</v>
      </c>
      <c r="BM21" s="214">
        <f>Calcs!BL31</f>
        <v>0</v>
      </c>
      <c r="BN21" s="214">
        <f>Calcs!BM31</f>
        <v>0</v>
      </c>
      <c r="BO21" s="214">
        <f>Calcs!BN31</f>
        <v>0</v>
      </c>
      <c r="BP21" s="214">
        <f>Calcs!BO31</f>
        <v>0</v>
      </c>
      <c r="BQ21" s="214">
        <f>Calcs!BP31</f>
        <v>0</v>
      </c>
    </row>
    <row r="22" spans="1:69" ht="13" customHeight="1" x14ac:dyDescent="0.45">
      <c r="A22" s="915"/>
      <c r="B22" s="84" t="s">
        <v>15</v>
      </c>
      <c r="C22" s="214">
        <f t="shared" si="8"/>
        <v>0</v>
      </c>
      <c r="D22" s="214">
        <f t="shared" si="9"/>
        <v>0</v>
      </c>
      <c r="E22" s="214">
        <f t="shared" si="10"/>
        <v>0</v>
      </c>
      <c r="F22" s="214">
        <f t="shared" si="11"/>
        <v>0</v>
      </c>
      <c r="G22" s="214">
        <f t="shared" si="12"/>
        <v>0</v>
      </c>
      <c r="H22" s="1"/>
      <c r="I22" s="84" t="str">
        <f>B22</f>
        <v>Inventory</v>
      </c>
      <c r="J22" s="214">
        <f>Calcs!I32</f>
        <v>0</v>
      </c>
      <c r="K22" s="214">
        <f>Calcs!J32</f>
        <v>0</v>
      </c>
      <c r="L22" s="214">
        <f>Calcs!K32</f>
        <v>0</v>
      </c>
      <c r="M22" s="214">
        <f>Calcs!L32</f>
        <v>0</v>
      </c>
      <c r="N22" s="214">
        <f>Calcs!M32</f>
        <v>0</v>
      </c>
      <c r="O22" s="214">
        <f>Calcs!N32</f>
        <v>0</v>
      </c>
      <c r="P22" s="214">
        <f>Calcs!O32</f>
        <v>0</v>
      </c>
      <c r="Q22" s="214">
        <f>Calcs!P32</f>
        <v>0</v>
      </c>
      <c r="R22" s="214">
        <f>Calcs!Q32</f>
        <v>0</v>
      </c>
      <c r="S22" s="214">
        <f>Calcs!R32</f>
        <v>0</v>
      </c>
      <c r="T22" s="214">
        <f>Calcs!S32</f>
        <v>0</v>
      </c>
      <c r="U22" s="214">
        <f>Calcs!T32</f>
        <v>0</v>
      </c>
      <c r="V22" s="214">
        <f>Calcs!U32</f>
        <v>0</v>
      </c>
      <c r="W22" s="214">
        <f>Calcs!V32</f>
        <v>0</v>
      </c>
      <c r="X22" s="214">
        <f>Calcs!W32</f>
        <v>0</v>
      </c>
      <c r="Y22" s="214">
        <f>Calcs!X32</f>
        <v>0</v>
      </c>
      <c r="Z22" s="214">
        <f>Calcs!Y32</f>
        <v>0</v>
      </c>
      <c r="AA22" s="214">
        <f>Calcs!Z32</f>
        <v>0</v>
      </c>
      <c r="AB22" s="214">
        <f>Calcs!AA32</f>
        <v>0</v>
      </c>
      <c r="AC22" s="214">
        <f>Calcs!AB32</f>
        <v>0</v>
      </c>
      <c r="AD22" s="214">
        <f>Calcs!AC32</f>
        <v>0</v>
      </c>
      <c r="AE22" s="214">
        <f>Calcs!AD32</f>
        <v>0</v>
      </c>
      <c r="AF22" s="214">
        <f>Calcs!AE32</f>
        <v>0</v>
      </c>
      <c r="AG22" s="214">
        <f>Calcs!AF32</f>
        <v>0</v>
      </c>
      <c r="AH22" s="214">
        <f>Calcs!AG32</f>
        <v>0</v>
      </c>
      <c r="AI22" s="214">
        <f>Calcs!AH32</f>
        <v>0</v>
      </c>
      <c r="AJ22" s="214">
        <f>Calcs!AI32</f>
        <v>0</v>
      </c>
      <c r="AK22" s="214">
        <f>Calcs!AJ32</f>
        <v>0</v>
      </c>
      <c r="AL22" s="214">
        <f>Calcs!AK32</f>
        <v>0</v>
      </c>
      <c r="AM22" s="214">
        <f>Calcs!AL32</f>
        <v>0</v>
      </c>
      <c r="AN22" s="214">
        <f>Calcs!AM32</f>
        <v>0</v>
      </c>
      <c r="AO22" s="214">
        <f>Calcs!AN32</f>
        <v>0</v>
      </c>
      <c r="AP22" s="214">
        <f>Calcs!AO32</f>
        <v>0</v>
      </c>
      <c r="AQ22" s="214">
        <f>Calcs!AP32</f>
        <v>0</v>
      </c>
      <c r="AR22" s="214">
        <f>Calcs!AQ32</f>
        <v>0</v>
      </c>
      <c r="AS22" s="214">
        <f>Calcs!AR32</f>
        <v>0</v>
      </c>
      <c r="AT22" s="214">
        <f>Calcs!AS32</f>
        <v>0</v>
      </c>
      <c r="AU22" s="214">
        <f>Calcs!AT32</f>
        <v>0</v>
      </c>
      <c r="AV22" s="214">
        <f>Calcs!AU32</f>
        <v>0</v>
      </c>
      <c r="AW22" s="214">
        <f>Calcs!AV32</f>
        <v>0</v>
      </c>
      <c r="AX22" s="214">
        <f>Calcs!AW32</f>
        <v>0</v>
      </c>
      <c r="AY22" s="214">
        <f>Calcs!AX32</f>
        <v>0</v>
      </c>
      <c r="AZ22" s="214">
        <f>Calcs!AY32</f>
        <v>0</v>
      </c>
      <c r="BA22" s="214">
        <f>Calcs!AZ32</f>
        <v>0</v>
      </c>
      <c r="BB22" s="214">
        <f>Calcs!BA32</f>
        <v>0</v>
      </c>
      <c r="BC22" s="214">
        <f>Calcs!BB32</f>
        <v>0</v>
      </c>
      <c r="BD22" s="214">
        <f>Calcs!BC32</f>
        <v>0</v>
      </c>
      <c r="BE22" s="214">
        <f>Calcs!BD32</f>
        <v>0</v>
      </c>
      <c r="BF22" s="214">
        <f>Calcs!BE32</f>
        <v>0</v>
      </c>
      <c r="BG22" s="214">
        <f>Calcs!BF32</f>
        <v>0</v>
      </c>
      <c r="BH22" s="214">
        <f>Calcs!BG32</f>
        <v>0</v>
      </c>
      <c r="BI22" s="214">
        <f>Calcs!BH32</f>
        <v>0</v>
      </c>
      <c r="BJ22" s="214">
        <f>Calcs!BI32</f>
        <v>0</v>
      </c>
      <c r="BK22" s="214">
        <f>Calcs!BJ32</f>
        <v>0</v>
      </c>
      <c r="BL22" s="214">
        <f>Calcs!BK32</f>
        <v>0</v>
      </c>
      <c r="BM22" s="214">
        <f>Calcs!BL32</f>
        <v>0</v>
      </c>
      <c r="BN22" s="214">
        <f>Calcs!BM32</f>
        <v>0</v>
      </c>
      <c r="BO22" s="214">
        <f>Calcs!BN32</f>
        <v>0</v>
      </c>
      <c r="BP22" s="214">
        <f>Calcs!BO32</f>
        <v>0</v>
      </c>
      <c r="BQ22" s="214">
        <f>Calcs!BP32</f>
        <v>0</v>
      </c>
    </row>
    <row r="23" spans="1:69" ht="13" customHeight="1" x14ac:dyDescent="0.45">
      <c r="A23" s="915"/>
      <c r="B23" s="84" t="s">
        <v>321</v>
      </c>
      <c r="C23" s="214">
        <f t="shared" si="8"/>
        <v>0</v>
      </c>
      <c r="D23" s="214">
        <f t="shared" si="9"/>
        <v>0</v>
      </c>
      <c r="E23" s="214">
        <f t="shared" si="10"/>
        <v>0</v>
      </c>
      <c r="F23" s="214">
        <f t="shared" si="11"/>
        <v>0</v>
      </c>
      <c r="G23" s="214">
        <f t="shared" si="12"/>
        <v>0</v>
      </c>
      <c r="H23" s="1"/>
      <c r="I23" s="84" t="str">
        <f>B23</f>
        <v>Deferred Revenue</v>
      </c>
      <c r="J23" s="214">
        <f>Calcs!I34</f>
        <v>0</v>
      </c>
      <c r="K23" s="214">
        <f>Calcs!J34</f>
        <v>0</v>
      </c>
      <c r="L23" s="214">
        <f>Calcs!K34</f>
        <v>0</v>
      </c>
      <c r="M23" s="214">
        <f>Calcs!L34</f>
        <v>0</v>
      </c>
      <c r="N23" s="214">
        <f>Calcs!M34</f>
        <v>0</v>
      </c>
      <c r="O23" s="214">
        <f>Calcs!N34</f>
        <v>0</v>
      </c>
      <c r="P23" s="214">
        <f>Calcs!O34</f>
        <v>0</v>
      </c>
      <c r="Q23" s="214">
        <f>Calcs!P34</f>
        <v>0</v>
      </c>
      <c r="R23" s="214">
        <f>Calcs!Q34</f>
        <v>0</v>
      </c>
      <c r="S23" s="214">
        <f>Calcs!R34</f>
        <v>0</v>
      </c>
      <c r="T23" s="214">
        <f>Calcs!S34</f>
        <v>0</v>
      </c>
      <c r="U23" s="214">
        <f>Calcs!T34</f>
        <v>0</v>
      </c>
      <c r="V23" s="214">
        <f>Calcs!U34</f>
        <v>0</v>
      </c>
      <c r="W23" s="214">
        <f>Calcs!V34</f>
        <v>0</v>
      </c>
      <c r="X23" s="214">
        <f>Calcs!W34</f>
        <v>0</v>
      </c>
      <c r="Y23" s="214">
        <f>Calcs!X34</f>
        <v>0</v>
      </c>
      <c r="Z23" s="214">
        <f>Calcs!Y34</f>
        <v>0</v>
      </c>
      <c r="AA23" s="214">
        <f>Calcs!Z34</f>
        <v>0</v>
      </c>
      <c r="AB23" s="214">
        <f>Calcs!AA34</f>
        <v>0</v>
      </c>
      <c r="AC23" s="214">
        <f>Calcs!AB34</f>
        <v>0</v>
      </c>
      <c r="AD23" s="214">
        <f>Calcs!AC34</f>
        <v>0</v>
      </c>
      <c r="AE23" s="214">
        <f>Calcs!AD34</f>
        <v>0</v>
      </c>
      <c r="AF23" s="214">
        <f>Calcs!AE34</f>
        <v>0</v>
      </c>
      <c r="AG23" s="214">
        <f>Calcs!AF34</f>
        <v>0</v>
      </c>
      <c r="AH23" s="214">
        <f>Calcs!AG34</f>
        <v>0</v>
      </c>
      <c r="AI23" s="214">
        <f>Calcs!AH34</f>
        <v>0</v>
      </c>
      <c r="AJ23" s="214">
        <f>Calcs!AI34</f>
        <v>0</v>
      </c>
      <c r="AK23" s="214">
        <f>Calcs!AJ34</f>
        <v>0</v>
      </c>
      <c r="AL23" s="214">
        <f>Calcs!AK34</f>
        <v>0</v>
      </c>
      <c r="AM23" s="214">
        <f>Calcs!AL34</f>
        <v>0</v>
      </c>
      <c r="AN23" s="214">
        <f>Calcs!AM34</f>
        <v>0</v>
      </c>
      <c r="AO23" s="214">
        <f>Calcs!AN34</f>
        <v>0</v>
      </c>
      <c r="AP23" s="214">
        <f>Calcs!AO34</f>
        <v>0</v>
      </c>
      <c r="AQ23" s="214">
        <f>Calcs!AP34</f>
        <v>0</v>
      </c>
      <c r="AR23" s="214">
        <f>Calcs!AQ34</f>
        <v>0</v>
      </c>
      <c r="AS23" s="214">
        <f>Calcs!AR34</f>
        <v>0</v>
      </c>
      <c r="AT23" s="214">
        <f>Calcs!AS34</f>
        <v>0</v>
      </c>
      <c r="AU23" s="214">
        <f>Calcs!AT34</f>
        <v>0</v>
      </c>
      <c r="AV23" s="214">
        <f>Calcs!AU34</f>
        <v>0</v>
      </c>
      <c r="AW23" s="214">
        <f>Calcs!AV34</f>
        <v>0</v>
      </c>
      <c r="AX23" s="214">
        <f>Calcs!AW34</f>
        <v>0</v>
      </c>
      <c r="AY23" s="214">
        <f>Calcs!AX34</f>
        <v>0</v>
      </c>
      <c r="AZ23" s="214">
        <f>Calcs!AY34</f>
        <v>0</v>
      </c>
      <c r="BA23" s="214">
        <f>Calcs!AZ34</f>
        <v>0</v>
      </c>
      <c r="BB23" s="214">
        <f>Calcs!BA34</f>
        <v>0</v>
      </c>
      <c r="BC23" s="214">
        <f>Calcs!BB34</f>
        <v>0</v>
      </c>
      <c r="BD23" s="214">
        <f>Calcs!BC34</f>
        <v>0</v>
      </c>
      <c r="BE23" s="214">
        <f>Calcs!BD34</f>
        <v>0</v>
      </c>
      <c r="BF23" s="214">
        <f>Calcs!BE34</f>
        <v>0</v>
      </c>
      <c r="BG23" s="214">
        <f>Calcs!BF34</f>
        <v>0</v>
      </c>
      <c r="BH23" s="214">
        <f>Calcs!BG34</f>
        <v>0</v>
      </c>
      <c r="BI23" s="214">
        <f>Calcs!BH34</f>
        <v>0</v>
      </c>
      <c r="BJ23" s="214">
        <f>Calcs!BI34</f>
        <v>0</v>
      </c>
      <c r="BK23" s="214">
        <f>Calcs!BJ34</f>
        <v>0</v>
      </c>
      <c r="BL23" s="214">
        <f>Calcs!BK34</f>
        <v>0</v>
      </c>
      <c r="BM23" s="214">
        <f>Calcs!BL34</f>
        <v>0</v>
      </c>
      <c r="BN23" s="214">
        <f>Calcs!BM34</f>
        <v>0</v>
      </c>
      <c r="BO23" s="214">
        <f>Calcs!BN34</f>
        <v>0</v>
      </c>
      <c r="BP23" s="214">
        <f>Calcs!BO34</f>
        <v>0</v>
      </c>
      <c r="BQ23" s="214">
        <f>Calcs!BP34</f>
        <v>0</v>
      </c>
    </row>
    <row r="24" spans="1:69" ht="13" customHeight="1" x14ac:dyDescent="0.35">
      <c r="B24" s="84" t="s">
        <v>340</v>
      </c>
      <c r="C24" s="214">
        <f t="shared" si="8"/>
        <v>0</v>
      </c>
      <c r="D24" s="214">
        <f t="shared" si="9"/>
        <v>0</v>
      </c>
      <c r="E24" s="214">
        <f t="shared" si="10"/>
        <v>0</v>
      </c>
      <c r="F24" s="214">
        <f t="shared" si="11"/>
        <v>0</v>
      </c>
      <c r="G24" s="214">
        <f t="shared" si="12"/>
        <v>0</v>
      </c>
      <c r="H24" s="1"/>
      <c r="I24" s="84" t="str">
        <f>B24</f>
        <v>Current Liabilities</v>
      </c>
      <c r="J24" s="214">
        <f>Calcs!I34</f>
        <v>0</v>
      </c>
      <c r="K24" s="214">
        <f>Calcs!J34</f>
        <v>0</v>
      </c>
      <c r="L24" s="214">
        <f>Calcs!K34</f>
        <v>0</v>
      </c>
      <c r="M24" s="214">
        <f>Calcs!L34</f>
        <v>0</v>
      </c>
      <c r="N24" s="214">
        <f>Calcs!M34</f>
        <v>0</v>
      </c>
      <c r="O24" s="214">
        <f>Calcs!N34</f>
        <v>0</v>
      </c>
      <c r="P24" s="214">
        <f>Calcs!O34</f>
        <v>0</v>
      </c>
      <c r="Q24" s="214">
        <f>Calcs!P34</f>
        <v>0</v>
      </c>
      <c r="R24" s="214">
        <f>Calcs!Q34</f>
        <v>0</v>
      </c>
      <c r="S24" s="214">
        <f>Calcs!R34</f>
        <v>0</v>
      </c>
      <c r="T24" s="214">
        <f>Calcs!S34</f>
        <v>0</v>
      </c>
      <c r="U24" s="214">
        <f>Calcs!T34</f>
        <v>0</v>
      </c>
      <c r="V24" s="214">
        <f>Calcs!U34</f>
        <v>0</v>
      </c>
      <c r="W24" s="214">
        <f>Calcs!V34</f>
        <v>0</v>
      </c>
      <c r="X24" s="214">
        <f>Calcs!W34</f>
        <v>0</v>
      </c>
      <c r="Y24" s="214">
        <f>Calcs!X34</f>
        <v>0</v>
      </c>
      <c r="Z24" s="214">
        <f>Calcs!Y34</f>
        <v>0</v>
      </c>
      <c r="AA24" s="214">
        <f>Calcs!Z34</f>
        <v>0</v>
      </c>
      <c r="AB24" s="214">
        <f>Calcs!AA34</f>
        <v>0</v>
      </c>
      <c r="AC24" s="214">
        <f>Calcs!AB34</f>
        <v>0</v>
      </c>
      <c r="AD24" s="214">
        <f>Calcs!AC34</f>
        <v>0</v>
      </c>
      <c r="AE24" s="214">
        <f>Calcs!AD34</f>
        <v>0</v>
      </c>
      <c r="AF24" s="214">
        <f>Calcs!AE34</f>
        <v>0</v>
      </c>
      <c r="AG24" s="214">
        <f>Calcs!AF34</f>
        <v>0</v>
      </c>
      <c r="AH24" s="214">
        <f>Calcs!AG34</f>
        <v>0</v>
      </c>
      <c r="AI24" s="214">
        <f>Calcs!AH34</f>
        <v>0</v>
      </c>
      <c r="AJ24" s="214">
        <f>Calcs!AI34</f>
        <v>0</v>
      </c>
      <c r="AK24" s="214">
        <f>Calcs!AJ34</f>
        <v>0</v>
      </c>
      <c r="AL24" s="214">
        <f>Calcs!AK34</f>
        <v>0</v>
      </c>
      <c r="AM24" s="214">
        <f>Calcs!AL34</f>
        <v>0</v>
      </c>
      <c r="AN24" s="214">
        <f>Calcs!AM34</f>
        <v>0</v>
      </c>
      <c r="AO24" s="214">
        <f>Calcs!AN34</f>
        <v>0</v>
      </c>
      <c r="AP24" s="214">
        <f>Calcs!AO34</f>
        <v>0</v>
      </c>
      <c r="AQ24" s="214">
        <f>Calcs!AP34</f>
        <v>0</v>
      </c>
      <c r="AR24" s="214">
        <f>Calcs!AQ34</f>
        <v>0</v>
      </c>
      <c r="AS24" s="214">
        <f>Calcs!AR34</f>
        <v>0</v>
      </c>
      <c r="AT24" s="214">
        <f>Calcs!AS34</f>
        <v>0</v>
      </c>
      <c r="AU24" s="214">
        <f>Calcs!AT34</f>
        <v>0</v>
      </c>
      <c r="AV24" s="214">
        <f>Calcs!AU34</f>
        <v>0</v>
      </c>
      <c r="AW24" s="214">
        <f>Calcs!AV34</f>
        <v>0</v>
      </c>
      <c r="AX24" s="214">
        <f>Calcs!AW34</f>
        <v>0</v>
      </c>
      <c r="AY24" s="214">
        <f>Calcs!AX34</f>
        <v>0</v>
      </c>
      <c r="AZ24" s="214">
        <f>Calcs!AY34</f>
        <v>0</v>
      </c>
      <c r="BA24" s="214">
        <f>Calcs!AZ34</f>
        <v>0</v>
      </c>
      <c r="BB24" s="214">
        <f>Calcs!BA34</f>
        <v>0</v>
      </c>
      <c r="BC24" s="214">
        <f>Calcs!BB34</f>
        <v>0</v>
      </c>
      <c r="BD24" s="214">
        <f>Calcs!BC34</f>
        <v>0</v>
      </c>
      <c r="BE24" s="214">
        <f>Calcs!BD34</f>
        <v>0</v>
      </c>
      <c r="BF24" s="214">
        <f>Calcs!BE34</f>
        <v>0</v>
      </c>
      <c r="BG24" s="214">
        <f>Calcs!BF34</f>
        <v>0</v>
      </c>
      <c r="BH24" s="214">
        <f>Calcs!BG34</f>
        <v>0</v>
      </c>
      <c r="BI24" s="214">
        <f>Calcs!BH34</f>
        <v>0</v>
      </c>
      <c r="BJ24" s="214">
        <f>Calcs!BI34</f>
        <v>0</v>
      </c>
      <c r="BK24" s="214">
        <f>Calcs!BJ34</f>
        <v>0</v>
      </c>
      <c r="BL24" s="214">
        <f>Calcs!BK34</f>
        <v>0</v>
      </c>
      <c r="BM24" s="214">
        <f>Calcs!BL34</f>
        <v>0</v>
      </c>
      <c r="BN24" s="214">
        <f>Calcs!BM34</f>
        <v>0</v>
      </c>
      <c r="BO24" s="214">
        <f>Calcs!BN34</f>
        <v>0</v>
      </c>
      <c r="BP24" s="214">
        <f>Calcs!BO34</f>
        <v>0</v>
      </c>
      <c r="BQ24" s="214">
        <f>Calcs!BP34</f>
        <v>0</v>
      </c>
    </row>
    <row r="25" spans="1:69" ht="13" customHeight="1" x14ac:dyDescent="0.35">
      <c r="B25" s="84" t="s">
        <v>6</v>
      </c>
      <c r="C25" s="214">
        <f t="shared" si="8"/>
        <v>0</v>
      </c>
      <c r="D25" s="214">
        <f t="shared" si="9"/>
        <v>0</v>
      </c>
      <c r="E25" s="214">
        <f t="shared" si="10"/>
        <v>0</v>
      </c>
      <c r="F25" s="214">
        <f t="shared" si="11"/>
        <v>0</v>
      </c>
      <c r="G25" s="214">
        <f t="shared" si="12"/>
        <v>0</v>
      </c>
      <c r="H25" s="1"/>
      <c r="I25" s="84" t="str">
        <f>B25</f>
        <v>EBITDA</v>
      </c>
      <c r="J25" s="214">
        <f>Calcs!I8</f>
        <v>0</v>
      </c>
      <c r="K25" s="214">
        <f>Calcs!J8</f>
        <v>0</v>
      </c>
      <c r="L25" s="214">
        <f>Calcs!K8</f>
        <v>0</v>
      </c>
      <c r="M25" s="214">
        <f>Calcs!L8</f>
        <v>0</v>
      </c>
      <c r="N25" s="214">
        <f>Calcs!M8</f>
        <v>0</v>
      </c>
      <c r="O25" s="214">
        <f>Calcs!N8</f>
        <v>0</v>
      </c>
      <c r="P25" s="214">
        <f>Calcs!O8</f>
        <v>0</v>
      </c>
      <c r="Q25" s="214">
        <f>Calcs!P8</f>
        <v>0</v>
      </c>
      <c r="R25" s="214">
        <f>Calcs!Q8</f>
        <v>0</v>
      </c>
      <c r="S25" s="214">
        <f>Calcs!R8</f>
        <v>0</v>
      </c>
      <c r="T25" s="214">
        <f>Calcs!S8</f>
        <v>0</v>
      </c>
      <c r="U25" s="214">
        <f>Calcs!T8</f>
        <v>0</v>
      </c>
      <c r="V25" s="214">
        <f>Calcs!U8</f>
        <v>0</v>
      </c>
      <c r="W25" s="214">
        <f>Calcs!V8</f>
        <v>0</v>
      </c>
      <c r="X25" s="214">
        <f>Calcs!W8</f>
        <v>0</v>
      </c>
      <c r="Y25" s="214">
        <f>Calcs!X8</f>
        <v>0</v>
      </c>
      <c r="Z25" s="214">
        <f>Calcs!Y8</f>
        <v>0</v>
      </c>
      <c r="AA25" s="214">
        <f>Calcs!Z8</f>
        <v>0</v>
      </c>
      <c r="AB25" s="214">
        <f>Calcs!AA8</f>
        <v>0</v>
      </c>
      <c r="AC25" s="214">
        <f>Calcs!AB8</f>
        <v>0</v>
      </c>
      <c r="AD25" s="214">
        <f>Calcs!AC8</f>
        <v>0</v>
      </c>
      <c r="AE25" s="214">
        <f>Calcs!AD8</f>
        <v>0</v>
      </c>
      <c r="AF25" s="214">
        <f>Calcs!AE8</f>
        <v>0</v>
      </c>
      <c r="AG25" s="214">
        <f>Calcs!AF8</f>
        <v>0</v>
      </c>
      <c r="AH25" s="214">
        <f>Calcs!AG8</f>
        <v>0</v>
      </c>
      <c r="AI25" s="214">
        <f>Calcs!AH8</f>
        <v>0</v>
      </c>
      <c r="AJ25" s="214">
        <f>Calcs!AI8</f>
        <v>0</v>
      </c>
      <c r="AK25" s="214">
        <f>Calcs!AJ8</f>
        <v>0</v>
      </c>
      <c r="AL25" s="214">
        <f>Calcs!AK8</f>
        <v>0</v>
      </c>
      <c r="AM25" s="214">
        <f>Calcs!AL8</f>
        <v>0</v>
      </c>
      <c r="AN25" s="214">
        <f>Calcs!AM8</f>
        <v>0</v>
      </c>
      <c r="AO25" s="214">
        <f>Calcs!AN8</f>
        <v>0</v>
      </c>
      <c r="AP25" s="214">
        <f>Calcs!AO8</f>
        <v>0</v>
      </c>
      <c r="AQ25" s="214">
        <f>Calcs!AP8</f>
        <v>0</v>
      </c>
      <c r="AR25" s="214">
        <f>Calcs!AQ8</f>
        <v>0</v>
      </c>
      <c r="AS25" s="214">
        <f>Calcs!AR8</f>
        <v>0</v>
      </c>
      <c r="AT25" s="214">
        <f>Calcs!AS8</f>
        <v>0</v>
      </c>
      <c r="AU25" s="214">
        <f>Calcs!AT8</f>
        <v>0</v>
      </c>
      <c r="AV25" s="214">
        <f>Calcs!AU8</f>
        <v>0</v>
      </c>
      <c r="AW25" s="214">
        <f>Calcs!AV8</f>
        <v>0</v>
      </c>
      <c r="AX25" s="214">
        <f>Calcs!AW8</f>
        <v>0</v>
      </c>
      <c r="AY25" s="214">
        <f>Calcs!AX8</f>
        <v>0</v>
      </c>
      <c r="AZ25" s="214">
        <f>Calcs!AY8</f>
        <v>0</v>
      </c>
      <c r="BA25" s="214">
        <f>Calcs!AZ8</f>
        <v>0</v>
      </c>
      <c r="BB25" s="214">
        <f>Calcs!BA8</f>
        <v>0</v>
      </c>
      <c r="BC25" s="214">
        <f>Calcs!BB8</f>
        <v>0</v>
      </c>
      <c r="BD25" s="214">
        <f>Calcs!BC8</f>
        <v>0</v>
      </c>
      <c r="BE25" s="214">
        <f>Calcs!BD8</f>
        <v>0</v>
      </c>
      <c r="BF25" s="214">
        <f>Calcs!BE8</f>
        <v>0</v>
      </c>
      <c r="BG25" s="214">
        <f>Calcs!BF8</f>
        <v>0</v>
      </c>
      <c r="BH25" s="214">
        <f>Calcs!BG8</f>
        <v>0</v>
      </c>
      <c r="BI25" s="214">
        <f>Calcs!BH8</f>
        <v>0</v>
      </c>
      <c r="BJ25" s="214">
        <f>Calcs!BI8</f>
        <v>0</v>
      </c>
      <c r="BK25" s="214">
        <f>Calcs!BJ8</f>
        <v>0</v>
      </c>
      <c r="BL25" s="214">
        <f>Calcs!BK8</f>
        <v>0</v>
      </c>
      <c r="BM25" s="214">
        <f>Calcs!BL8</f>
        <v>0</v>
      </c>
      <c r="BN25" s="214">
        <f>Calcs!BM8</f>
        <v>0</v>
      </c>
      <c r="BO25" s="214">
        <f>Calcs!BN8</f>
        <v>0</v>
      </c>
      <c r="BP25" s="214">
        <f>Calcs!BO8</f>
        <v>0</v>
      </c>
      <c r="BQ25" s="214">
        <f>Calcs!BP8</f>
        <v>0</v>
      </c>
    </row>
    <row r="26" spans="1:69" ht="13" customHeight="1" x14ac:dyDescent="0.35">
      <c r="B26" s="84" t="str">
        <f>I26</f>
        <v>Debt Payments</v>
      </c>
      <c r="C26" s="214">
        <f t="shared" si="8"/>
        <v>0</v>
      </c>
      <c r="D26" s="214">
        <f t="shared" si="9"/>
        <v>0</v>
      </c>
      <c r="E26" s="214">
        <f t="shared" si="10"/>
        <v>0</v>
      </c>
      <c r="F26" s="214">
        <f t="shared" si="11"/>
        <v>0</v>
      </c>
      <c r="G26" s="214">
        <f t="shared" si="12"/>
        <v>0</v>
      </c>
      <c r="H26" s="1"/>
      <c r="I26" s="84" t="s">
        <v>356</v>
      </c>
      <c r="J26" s="214">
        <f>Calcs!I11</f>
        <v>0</v>
      </c>
      <c r="K26" s="214">
        <f>Calcs!J11</f>
        <v>0</v>
      </c>
      <c r="L26" s="214">
        <f>Calcs!K11</f>
        <v>0</v>
      </c>
      <c r="M26" s="214">
        <f>Calcs!L11</f>
        <v>0</v>
      </c>
      <c r="N26" s="214">
        <f>Calcs!M11</f>
        <v>0</v>
      </c>
      <c r="O26" s="214">
        <f>Calcs!N11</f>
        <v>0</v>
      </c>
      <c r="P26" s="214">
        <f>Calcs!O11</f>
        <v>0</v>
      </c>
      <c r="Q26" s="214">
        <f>Calcs!P11</f>
        <v>0</v>
      </c>
      <c r="R26" s="214">
        <f>Calcs!Q11</f>
        <v>0</v>
      </c>
      <c r="S26" s="214">
        <f>Calcs!R11</f>
        <v>0</v>
      </c>
      <c r="T26" s="214">
        <f>Calcs!S11</f>
        <v>0</v>
      </c>
      <c r="U26" s="214">
        <f>Calcs!T11</f>
        <v>0</v>
      </c>
      <c r="V26" s="214">
        <f>Calcs!U11</f>
        <v>0</v>
      </c>
      <c r="W26" s="214">
        <f>Calcs!V11</f>
        <v>0</v>
      </c>
      <c r="X26" s="214">
        <f>Calcs!W11</f>
        <v>0</v>
      </c>
      <c r="Y26" s="214">
        <f>Calcs!X11</f>
        <v>0</v>
      </c>
      <c r="Z26" s="214">
        <f>Calcs!Y11</f>
        <v>0</v>
      </c>
      <c r="AA26" s="214">
        <f>Calcs!Z11</f>
        <v>0</v>
      </c>
      <c r="AB26" s="214">
        <f>Calcs!AA11</f>
        <v>0</v>
      </c>
      <c r="AC26" s="214">
        <f>Calcs!AB11</f>
        <v>0</v>
      </c>
      <c r="AD26" s="214">
        <f>Calcs!AC11</f>
        <v>0</v>
      </c>
      <c r="AE26" s="214">
        <f>Calcs!AD11</f>
        <v>0</v>
      </c>
      <c r="AF26" s="214">
        <f>Calcs!AE11</f>
        <v>0</v>
      </c>
      <c r="AG26" s="214">
        <f>Calcs!AF11</f>
        <v>0</v>
      </c>
      <c r="AH26" s="214">
        <f>Calcs!AG11</f>
        <v>0</v>
      </c>
      <c r="AI26" s="214">
        <f>Calcs!AH11</f>
        <v>0</v>
      </c>
      <c r="AJ26" s="214">
        <f>Calcs!AI11</f>
        <v>0</v>
      </c>
      <c r="AK26" s="214">
        <f>Calcs!AJ11</f>
        <v>0</v>
      </c>
      <c r="AL26" s="214">
        <f>Calcs!AK11</f>
        <v>0</v>
      </c>
      <c r="AM26" s="214">
        <f>Calcs!AL11</f>
        <v>0</v>
      </c>
      <c r="AN26" s="214">
        <f>Calcs!AM11</f>
        <v>0</v>
      </c>
      <c r="AO26" s="214">
        <f>Calcs!AN11</f>
        <v>0</v>
      </c>
      <c r="AP26" s="214">
        <f>Calcs!AO11</f>
        <v>0</v>
      </c>
      <c r="AQ26" s="214">
        <f>Calcs!AP11</f>
        <v>0</v>
      </c>
      <c r="AR26" s="214">
        <f>Calcs!AQ11</f>
        <v>0</v>
      </c>
      <c r="AS26" s="214">
        <f>Calcs!AR11</f>
        <v>0</v>
      </c>
      <c r="AT26" s="214">
        <f>Calcs!AS11</f>
        <v>0</v>
      </c>
      <c r="AU26" s="214">
        <f>Calcs!AT11</f>
        <v>0</v>
      </c>
      <c r="AV26" s="214">
        <f>Calcs!AU11</f>
        <v>0</v>
      </c>
      <c r="AW26" s="214">
        <f>Calcs!AV11</f>
        <v>0</v>
      </c>
      <c r="AX26" s="214">
        <f>Calcs!AW11</f>
        <v>0</v>
      </c>
      <c r="AY26" s="214">
        <f>Calcs!AX11</f>
        <v>0</v>
      </c>
      <c r="AZ26" s="214">
        <f>Calcs!AY11</f>
        <v>0</v>
      </c>
      <c r="BA26" s="214">
        <f>Calcs!AZ11</f>
        <v>0</v>
      </c>
      <c r="BB26" s="214">
        <f>Calcs!BA11</f>
        <v>0</v>
      </c>
      <c r="BC26" s="214">
        <f>Calcs!BB11</f>
        <v>0</v>
      </c>
      <c r="BD26" s="214">
        <f>Calcs!BC11</f>
        <v>0</v>
      </c>
      <c r="BE26" s="214">
        <f>Calcs!BD11</f>
        <v>0</v>
      </c>
      <c r="BF26" s="214">
        <f>Calcs!BE11</f>
        <v>0</v>
      </c>
      <c r="BG26" s="214">
        <f>Calcs!BF11</f>
        <v>0</v>
      </c>
      <c r="BH26" s="214">
        <f>Calcs!BG11</f>
        <v>0</v>
      </c>
      <c r="BI26" s="214">
        <f>Calcs!BH11</f>
        <v>0</v>
      </c>
      <c r="BJ26" s="214">
        <f>Calcs!BI11</f>
        <v>0</v>
      </c>
      <c r="BK26" s="214">
        <f>Calcs!BJ11</f>
        <v>0</v>
      </c>
      <c r="BL26" s="214">
        <f>Calcs!BK11</f>
        <v>0</v>
      </c>
      <c r="BM26" s="214">
        <f>Calcs!BL11</f>
        <v>0</v>
      </c>
      <c r="BN26" s="214">
        <f>Calcs!BM11</f>
        <v>0</v>
      </c>
      <c r="BO26" s="214">
        <f>Calcs!BN11</f>
        <v>0</v>
      </c>
      <c r="BP26" s="214">
        <f>Calcs!BO11</f>
        <v>0</v>
      </c>
      <c r="BQ26" s="214">
        <f>Calcs!BP11</f>
        <v>0</v>
      </c>
    </row>
    <row r="27" spans="1:69" ht="13" customHeight="1" x14ac:dyDescent="0.35">
      <c r="B27" s="84"/>
      <c r="C27" s="13"/>
      <c r="D27" s="13"/>
      <c r="E27" s="13"/>
      <c r="F27" s="13"/>
      <c r="G27" s="13"/>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row>
    <row r="28" spans="1:69" ht="13" customHeight="1" x14ac:dyDescent="0.35">
      <c r="B28" s="84" t="s">
        <v>619</v>
      </c>
      <c r="C28" s="689" t="str">
        <f>U28</f>
        <v/>
      </c>
      <c r="D28" s="689" t="str">
        <f>AG28</f>
        <v/>
      </c>
      <c r="E28" s="689" t="str">
        <f>AS28</f>
        <v/>
      </c>
      <c r="F28" s="689" t="str">
        <f>BE28</f>
        <v/>
      </c>
      <c r="G28" s="689" t="str">
        <f>BF28</f>
        <v/>
      </c>
      <c r="H28" s="1"/>
      <c r="I28" s="84" t="str">
        <f>B28</f>
        <v>Current Ratio</v>
      </c>
      <c r="J28" s="689" t="str">
        <f t="shared" ref="J28:AO28" si="13">IF(J24&lt;&gt;0,J21/J24,"")</f>
        <v/>
      </c>
      <c r="K28" s="689" t="str">
        <f t="shared" si="13"/>
        <v/>
      </c>
      <c r="L28" s="689" t="str">
        <f t="shared" si="13"/>
        <v/>
      </c>
      <c r="M28" s="689" t="str">
        <f t="shared" si="13"/>
        <v/>
      </c>
      <c r="N28" s="689" t="str">
        <f t="shared" si="13"/>
        <v/>
      </c>
      <c r="O28" s="689" t="str">
        <f t="shared" si="13"/>
        <v/>
      </c>
      <c r="P28" s="689" t="str">
        <f t="shared" si="13"/>
        <v/>
      </c>
      <c r="Q28" s="689" t="str">
        <f t="shared" si="13"/>
        <v/>
      </c>
      <c r="R28" s="689" t="str">
        <f t="shared" si="13"/>
        <v/>
      </c>
      <c r="S28" s="689" t="str">
        <f t="shared" si="13"/>
        <v/>
      </c>
      <c r="T28" s="689" t="str">
        <f t="shared" si="13"/>
        <v/>
      </c>
      <c r="U28" s="689" t="str">
        <f t="shared" si="13"/>
        <v/>
      </c>
      <c r="V28" s="689" t="str">
        <f t="shared" si="13"/>
        <v/>
      </c>
      <c r="W28" s="689" t="str">
        <f t="shared" si="13"/>
        <v/>
      </c>
      <c r="X28" s="689" t="str">
        <f t="shared" si="13"/>
        <v/>
      </c>
      <c r="Y28" s="689" t="str">
        <f t="shared" si="13"/>
        <v/>
      </c>
      <c r="Z28" s="689" t="str">
        <f t="shared" si="13"/>
        <v/>
      </c>
      <c r="AA28" s="689" t="str">
        <f t="shared" si="13"/>
        <v/>
      </c>
      <c r="AB28" s="689" t="str">
        <f t="shared" si="13"/>
        <v/>
      </c>
      <c r="AC28" s="689" t="str">
        <f t="shared" si="13"/>
        <v/>
      </c>
      <c r="AD28" s="689" t="str">
        <f t="shared" si="13"/>
        <v/>
      </c>
      <c r="AE28" s="689" t="str">
        <f t="shared" si="13"/>
        <v/>
      </c>
      <c r="AF28" s="689" t="str">
        <f t="shared" si="13"/>
        <v/>
      </c>
      <c r="AG28" s="689" t="str">
        <f t="shared" si="13"/>
        <v/>
      </c>
      <c r="AH28" s="689" t="str">
        <f t="shared" si="13"/>
        <v/>
      </c>
      <c r="AI28" s="689" t="str">
        <f t="shared" si="13"/>
        <v/>
      </c>
      <c r="AJ28" s="689" t="str">
        <f t="shared" si="13"/>
        <v/>
      </c>
      <c r="AK28" s="689" t="str">
        <f t="shared" si="13"/>
        <v/>
      </c>
      <c r="AL28" s="689" t="str">
        <f t="shared" si="13"/>
        <v/>
      </c>
      <c r="AM28" s="689" t="str">
        <f t="shared" si="13"/>
        <v/>
      </c>
      <c r="AN28" s="689" t="str">
        <f t="shared" si="13"/>
        <v/>
      </c>
      <c r="AO28" s="689" t="str">
        <f t="shared" si="13"/>
        <v/>
      </c>
      <c r="AP28" s="689" t="str">
        <f t="shared" ref="AP28:BQ28" si="14">IF(AP24&lt;&gt;0,AP21/AP24,"")</f>
        <v/>
      </c>
      <c r="AQ28" s="689" t="str">
        <f t="shared" si="14"/>
        <v/>
      </c>
      <c r="AR28" s="689" t="str">
        <f t="shared" si="14"/>
        <v/>
      </c>
      <c r="AS28" s="689" t="str">
        <f t="shared" si="14"/>
        <v/>
      </c>
      <c r="AT28" s="689" t="str">
        <f t="shared" si="14"/>
        <v/>
      </c>
      <c r="AU28" s="689" t="str">
        <f t="shared" si="14"/>
        <v/>
      </c>
      <c r="AV28" s="689" t="str">
        <f t="shared" si="14"/>
        <v/>
      </c>
      <c r="AW28" s="689" t="str">
        <f t="shared" si="14"/>
        <v/>
      </c>
      <c r="AX28" s="689" t="str">
        <f t="shared" si="14"/>
        <v/>
      </c>
      <c r="AY28" s="689" t="str">
        <f t="shared" si="14"/>
        <v/>
      </c>
      <c r="AZ28" s="689" t="str">
        <f t="shared" si="14"/>
        <v/>
      </c>
      <c r="BA28" s="689" t="str">
        <f t="shared" si="14"/>
        <v/>
      </c>
      <c r="BB28" s="689" t="str">
        <f t="shared" si="14"/>
        <v/>
      </c>
      <c r="BC28" s="689" t="str">
        <f t="shared" si="14"/>
        <v/>
      </c>
      <c r="BD28" s="689" t="str">
        <f t="shared" si="14"/>
        <v/>
      </c>
      <c r="BE28" s="689" t="str">
        <f t="shared" si="14"/>
        <v/>
      </c>
      <c r="BF28" s="689" t="str">
        <f t="shared" si="14"/>
        <v/>
      </c>
      <c r="BG28" s="689" t="str">
        <f t="shared" si="14"/>
        <v/>
      </c>
      <c r="BH28" s="689" t="str">
        <f t="shared" si="14"/>
        <v/>
      </c>
      <c r="BI28" s="689" t="str">
        <f t="shared" si="14"/>
        <v/>
      </c>
      <c r="BJ28" s="689" t="str">
        <f t="shared" si="14"/>
        <v/>
      </c>
      <c r="BK28" s="689" t="str">
        <f t="shared" si="14"/>
        <v/>
      </c>
      <c r="BL28" s="689" t="str">
        <f t="shared" si="14"/>
        <v/>
      </c>
      <c r="BM28" s="689" t="str">
        <f t="shared" si="14"/>
        <v/>
      </c>
      <c r="BN28" s="689" t="str">
        <f t="shared" si="14"/>
        <v/>
      </c>
      <c r="BO28" s="689" t="str">
        <f t="shared" si="14"/>
        <v/>
      </c>
      <c r="BP28" s="689" t="str">
        <f t="shared" si="14"/>
        <v/>
      </c>
      <c r="BQ28" s="689" t="str">
        <f t="shared" si="14"/>
        <v/>
      </c>
    </row>
    <row r="29" spans="1:69" ht="13" customHeight="1" x14ac:dyDescent="0.35">
      <c r="B29" s="84" t="s">
        <v>620</v>
      </c>
      <c r="C29" s="689" t="str">
        <f>U29</f>
        <v/>
      </c>
      <c r="D29" s="689" t="str">
        <f>AG29</f>
        <v/>
      </c>
      <c r="E29" s="689" t="str">
        <f>AS29</f>
        <v/>
      </c>
      <c r="F29" s="689" t="str">
        <f>BE29</f>
        <v/>
      </c>
      <c r="G29" s="689" t="str">
        <f>BF29</f>
        <v/>
      </c>
      <c r="H29" s="1"/>
      <c r="I29" s="84" t="str">
        <f>B29</f>
        <v>Quick Ratio</v>
      </c>
      <c r="J29" s="689" t="str">
        <f t="shared" ref="J29:AO29" si="15">IF(J24&lt;&gt;0,(J21-J22)/J24,"")</f>
        <v/>
      </c>
      <c r="K29" s="689" t="str">
        <f t="shared" si="15"/>
        <v/>
      </c>
      <c r="L29" s="689" t="str">
        <f t="shared" si="15"/>
        <v/>
      </c>
      <c r="M29" s="689" t="str">
        <f t="shared" si="15"/>
        <v/>
      </c>
      <c r="N29" s="689" t="str">
        <f t="shared" si="15"/>
        <v/>
      </c>
      <c r="O29" s="689" t="str">
        <f t="shared" si="15"/>
        <v/>
      </c>
      <c r="P29" s="689" t="str">
        <f t="shared" si="15"/>
        <v/>
      </c>
      <c r="Q29" s="689" t="str">
        <f t="shared" si="15"/>
        <v/>
      </c>
      <c r="R29" s="689" t="str">
        <f t="shared" si="15"/>
        <v/>
      </c>
      <c r="S29" s="689" t="str">
        <f t="shared" si="15"/>
        <v/>
      </c>
      <c r="T29" s="689" t="str">
        <f t="shared" si="15"/>
        <v/>
      </c>
      <c r="U29" s="689" t="str">
        <f t="shared" si="15"/>
        <v/>
      </c>
      <c r="V29" s="689" t="str">
        <f t="shared" si="15"/>
        <v/>
      </c>
      <c r="W29" s="689" t="str">
        <f t="shared" si="15"/>
        <v/>
      </c>
      <c r="X29" s="689" t="str">
        <f t="shared" si="15"/>
        <v/>
      </c>
      <c r="Y29" s="689" t="str">
        <f t="shared" si="15"/>
        <v/>
      </c>
      <c r="Z29" s="689" t="str">
        <f t="shared" si="15"/>
        <v/>
      </c>
      <c r="AA29" s="689" t="str">
        <f t="shared" si="15"/>
        <v/>
      </c>
      <c r="AB29" s="689" t="str">
        <f t="shared" si="15"/>
        <v/>
      </c>
      <c r="AC29" s="689" t="str">
        <f t="shared" si="15"/>
        <v/>
      </c>
      <c r="AD29" s="689" t="str">
        <f t="shared" si="15"/>
        <v/>
      </c>
      <c r="AE29" s="689" t="str">
        <f t="shared" si="15"/>
        <v/>
      </c>
      <c r="AF29" s="689" t="str">
        <f t="shared" si="15"/>
        <v/>
      </c>
      <c r="AG29" s="689" t="str">
        <f t="shared" si="15"/>
        <v/>
      </c>
      <c r="AH29" s="689" t="str">
        <f t="shared" si="15"/>
        <v/>
      </c>
      <c r="AI29" s="689" t="str">
        <f t="shared" si="15"/>
        <v/>
      </c>
      <c r="AJ29" s="689" t="str">
        <f t="shared" si="15"/>
        <v/>
      </c>
      <c r="AK29" s="689" t="str">
        <f t="shared" si="15"/>
        <v/>
      </c>
      <c r="AL29" s="689" t="str">
        <f t="shared" si="15"/>
        <v/>
      </c>
      <c r="AM29" s="689" t="str">
        <f t="shared" si="15"/>
        <v/>
      </c>
      <c r="AN29" s="689" t="str">
        <f t="shared" si="15"/>
        <v/>
      </c>
      <c r="AO29" s="689" t="str">
        <f t="shared" si="15"/>
        <v/>
      </c>
      <c r="AP29" s="689" t="str">
        <f t="shared" ref="AP29:BQ29" si="16">IF(AP24&lt;&gt;0,(AP21-AP22)/AP24,"")</f>
        <v/>
      </c>
      <c r="AQ29" s="689" t="str">
        <f t="shared" si="16"/>
        <v/>
      </c>
      <c r="AR29" s="689" t="str">
        <f t="shared" si="16"/>
        <v/>
      </c>
      <c r="AS29" s="689" t="str">
        <f t="shared" si="16"/>
        <v/>
      </c>
      <c r="AT29" s="689" t="str">
        <f t="shared" si="16"/>
        <v/>
      </c>
      <c r="AU29" s="689" t="str">
        <f t="shared" si="16"/>
        <v/>
      </c>
      <c r="AV29" s="689" t="str">
        <f t="shared" si="16"/>
        <v/>
      </c>
      <c r="AW29" s="689" t="str">
        <f t="shared" si="16"/>
        <v/>
      </c>
      <c r="AX29" s="689" t="str">
        <f t="shared" si="16"/>
        <v/>
      </c>
      <c r="AY29" s="689" t="str">
        <f t="shared" si="16"/>
        <v/>
      </c>
      <c r="AZ29" s="689" t="str">
        <f t="shared" si="16"/>
        <v/>
      </c>
      <c r="BA29" s="689" t="str">
        <f t="shared" si="16"/>
        <v/>
      </c>
      <c r="BB29" s="689" t="str">
        <f t="shared" si="16"/>
        <v/>
      </c>
      <c r="BC29" s="689" t="str">
        <f t="shared" si="16"/>
        <v/>
      </c>
      <c r="BD29" s="689" t="str">
        <f t="shared" si="16"/>
        <v/>
      </c>
      <c r="BE29" s="689" t="str">
        <f t="shared" si="16"/>
        <v/>
      </c>
      <c r="BF29" s="689" t="str">
        <f t="shared" si="16"/>
        <v/>
      </c>
      <c r="BG29" s="689" t="str">
        <f t="shared" si="16"/>
        <v/>
      </c>
      <c r="BH29" s="689" t="str">
        <f t="shared" si="16"/>
        <v/>
      </c>
      <c r="BI29" s="689" t="str">
        <f t="shared" si="16"/>
        <v/>
      </c>
      <c r="BJ29" s="689" t="str">
        <f t="shared" si="16"/>
        <v/>
      </c>
      <c r="BK29" s="689" t="str">
        <f t="shared" si="16"/>
        <v/>
      </c>
      <c r="BL29" s="689" t="str">
        <f t="shared" si="16"/>
        <v/>
      </c>
      <c r="BM29" s="689" t="str">
        <f t="shared" si="16"/>
        <v/>
      </c>
      <c r="BN29" s="689" t="str">
        <f t="shared" si="16"/>
        <v/>
      </c>
      <c r="BO29" s="689" t="str">
        <f t="shared" si="16"/>
        <v/>
      </c>
      <c r="BP29" s="689" t="str">
        <f t="shared" si="16"/>
        <v/>
      </c>
      <c r="BQ29" s="689" t="str">
        <f t="shared" si="16"/>
        <v/>
      </c>
    </row>
    <row r="30" spans="1:69" ht="13" customHeight="1" x14ac:dyDescent="0.35">
      <c r="B30" s="84" t="s">
        <v>673</v>
      </c>
      <c r="C30" s="689" t="str">
        <f>IF(C24-C23&gt;0,C21/(C24-C23),"")</f>
        <v/>
      </c>
      <c r="D30" s="689" t="str">
        <f>IF(D24-D23&gt;0,D21/(D24-D23),"")</f>
        <v/>
      </c>
      <c r="E30" s="689" t="str">
        <f>IF(E24-E23&gt;0,E21/(E24-E23),"")</f>
        <v/>
      </c>
      <c r="F30" s="689" t="str">
        <f>IF(F24-F23&gt;0,F21/(F24-F23),"")</f>
        <v/>
      </c>
      <c r="G30" s="689" t="str">
        <f>IF(G24-G23&gt;0,G21/(G24-G23),"")</f>
        <v/>
      </c>
      <c r="H30" s="1"/>
      <c r="I30" s="84" t="str">
        <f>B30</f>
        <v>Adjusted Quick Ratio</v>
      </c>
      <c r="J30" s="689" t="str">
        <f>IF(J24-J23&gt;0,J21/(J24-J23),"")</f>
        <v/>
      </c>
      <c r="K30" s="689" t="str">
        <f t="shared" ref="K30:BQ30" si="17">IF(K24-K23&gt;0,K21/(K24-K23),"")</f>
        <v/>
      </c>
      <c r="L30" s="689" t="str">
        <f t="shared" si="17"/>
        <v/>
      </c>
      <c r="M30" s="689" t="str">
        <f t="shared" si="17"/>
        <v/>
      </c>
      <c r="N30" s="689" t="str">
        <f t="shared" si="17"/>
        <v/>
      </c>
      <c r="O30" s="689" t="str">
        <f t="shared" si="17"/>
        <v/>
      </c>
      <c r="P30" s="689" t="str">
        <f t="shared" si="17"/>
        <v/>
      </c>
      <c r="Q30" s="689" t="str">
        <f t="shared" si="17"/>
        <v/>
      </c>
      <c r="R30" s="689" t="str">
        <f t="shared" si="17"/>
        <v/>
      </c>
      <c r="S30" s="689" t="str">
        <f t="shared" si="17"/>
        <v/>
      </c>
      <c r="T30" s="689" t="str">
        <f t="shared" si="17"/>
        <v/>
      </c>
      <c r="U30" s="689" t="str">
        <f t="shared" si="17"/>
        <v/>
      </c>
      <c r="V30" s="689" t="str">
        <f t="shared" si="17"/>
        <v/>
      </c>
      <c r="W30" s="689" t="str">
        <f t="shared" si="17"/>
        <v/>
      </c>
      <c r="X30" s="689" t="str">
        <f t="shared" si="17"/>
        <v/>
      </c>
      <c r="Y30" s="689" t="str">
        <f t="shared" si="17"/>
        <v/>
      </c>
      <c r="Z30" s="689" t="str">
        <f t="shared" si="17"/>
        <v/>
      </c>
      <c r="AA30" s="689" t="str">
        <f t="shared" si="17"/>
        <v/>
      </c>
      <c r="AB30" s="689" t="str">
        <f t="shared" si="17"/>
        <v/>
      </c>
      <c r="AC30" s="689" t="str">
        <f t="shared" si="17"/>
        <v/>
      </c>
      <c r="AD30" s="689" t="str">
        <f t="shared" si="17"/>
        <v/>
      </c>
      <c r="AE30" s="689" t="str">
        <f t="shared" si="17"/>
        <v/>
      </c>
      <c r="AF30" s="689" t="str">
        <f t="shared" si="17"/>
        <v/>
      </c>
      <c r="AG30" s="689" t="str">
        <f t="shared" si="17"/>
        <v/>
      </c>
      <c r="AH30" s="689" t="str">
        <f t="shared" si="17"/>
        <v/>
      </c>
      <c r="AI30" s="689" t="str">
        <f t="shared" si="17"/>
        <v/>
      </c>
      <c r="AJ30" s="689" t="str">
        <f t="shared" si="17"/>
        <v/>
      </c>
      <c r="AK30" s="689" t="str">
        <f t="shared" si="17"/>
        <v/>
      </c>
      <c r="AL30" s="689" t="str">
        <f t="shared" si="17"/>
        <v/>
      </c>
      <c r="AM30" s="689" t="str">
        <f t="shared" si="17"/>
        <v/>
      </c>
      <c r="AN30" s="689" t="str">
        <f t="shared" si="17"/>
        <v/>
      </c>
      <c r="AO30" s="689" t="str">
        <f t="shared" si="17"/>
        <v/>
      </c>
      <c r="AP30" s="689" t="str">
        <f t="shared" si="17"/>
        <v/>
      </c>
      <c r="AQ30" s="689" t="str">
        <f t="shared" si="17"/>
        <v/>
      </c>
      <c r="AR30" s="689" t="str">
        <f t="shared" si="17"/>
        <v/>
      </c>
      <c r="AS30" s="689" t="str">
        <f t="shared" si="17"/>
        <v/>
      </c>
      <c r="AT30" s="689" t="str">
        <f t="shared" si="17"/>
        <v/>
      </c>
      <c r="AU30" s="689" t="str">
        <f t="shared" si="17"/>
        <v/>
      </c>
      <c r="AV30" s="689" t="str">
        <f t="shared" si="17"/>
        <v/>
      </c>
      <c r="AW30" s="689" t="str">
        <f t="shared" si="17"/>
        <v/>
      </c>
      <c r="AX30" s="689" t="str">
        <f t="shared" si="17"/>
        <v/>
      </c>
      <c r="AY30" s="689" t="str">
        <f t="shared" si="17"/>
        <v/>
      </c>
      <c r="AZ30" s="689" t="str">
        <f t="shared" si="17"/>
        <v/>
      </c>
      <c r="BA30" s="689" t="str">
        <f t="shared" si="17"/>
        <v/>
      </c>
      <c r="BB30" s="689" t="str">
        <f t="shared" si="17"/>
        <v/>
      </c>
      <c r="BC30" s="689" t="str">
        <f t="shared" si="17"/>
        <v/>
      </c>
      <c r="BD30" s="689" t="str">
        <f t="shared" si="17"/>
        <v/>
      </c>
      <c r="BE30" s="689" t="str">
        <f t="shared" si="17"/>
        <v/>
      </c>
      <c r="BF30" s="689" t="str">
        <f t="shared" si="17"/>
        <v/>
      </c>
      <c r="BG30" s="689" t="str">
        <f t="shared" si="17"/>
        <v/>
      </c>
      <c r="BH30" s="689" t="str">
        <f t="shared" si="17"/>
        <v/>
      </c>
      <c r="BI30" s="689" t="str">
        <f t="shared" si="17"/>
        <v/>
      </c>
      <c r="BJ30" s="689" t="str">
        <f t="shared" si="17"/>
        <v/>
      </c>
      <c r="BK30" s="689" t="str">
        <f t="shared" si="17"/>
        <v/>
      </c>
      <c r="BL30" s="689" t="str">
        <f t="shared" si="17"/>
        <v/>
      </c>
      <c r="BM30" s="689" t="str">
        <f t="shared" si="17"/>
        <v/>
      </c>
      <c r="BN30" s="689" t="str">
        <f t="shared" si="17"/>
        <v/>
      </c>
      <c r="BO30" s="689" t="str">
        <f t="shared" si="17"/>
        <v/>
      </c>
      <c r="BP30" s="689" t="str">
        <f t="shared" si="17"/>
        <v/>
      </c>
      <c r="BQ30" s="689" t="str">
        <f t="shared" si="17"/>
        <v/>
      </c>
    </row>
    <row r="31" spans="1:69" ht="13" customHeight="1" x14ac:dyDescent="0.35">
      <c r="B31" s="84" t="s">
        <v>674</v>
      </c>
      <c r="C31" s="689" t="str">
        <f>U31</f>
        <v/>
      </c>
      <c r="D31" s="689" t="str">
        <f>AG31</f>
        <v/>
      </c>
      <c r="E31" s="689" t="str">
        <f>AS31</f>
        <v/>
      </c>
      <c r="F31" s="689" t="str">
        <f>BE31</f>
        <v/>
      </c>
      <c r="G31" s="689" t="str">
        <f>BQ31</f>
        <v/>
      </c>
      <c r="H31" s="1"/>
      <c r="I31" s="84" t="str">
        <f>B31</f>
        <v>DSCR</v>
      </c>
      <c r="J31" s="689" t="str">
        <f>IF(Calcs!I10+Calcs!I11&gt;0,Calcs!I8/(Calcs!I10+Calcs!I11),"")</f>
        <v/>
      </c>
      <c r="K31" s="689" t="str">
        <f>IF(Calcs!J10+Calcs!J11&gt;0,Calcs!J8/(Calcs!J10+Calcs!J11),"")</f>
        <v/>
      </c>
      <c r="L31" s="689" t="str">
        <f>IF(Calcs!K10+Calcs!K11&gt;0,Calcs!K8/(Calcs!K10+Calcs!K11),"")</f>
        <v/>
      </c>
      <c r="M31" s="689" t="str">
        <f>IF(Calcs!L10+Calcs!L11&gt;0,Calcs!L8/(Calcs!L10+Calcs!L11),"")</f>
        <v/>
      </c>
      <c r="N31" s="689" t="str">
        <f>IF(Calcs!M10+Calcs!M11&gt;0,Calcs!M8/(Calcs!M10+Calcs!M11),"")</f>
        <v/>
      </c>
      <c r="O31" s="689" t="str">
        <f>IF(Calcs!N10+Calcs!N11&gt;0,Calcs!N8/(Calcs!N10+Calcs!N11),"")</f>
        <v/>
      </c>
      <c r="P31" s="689" t="str">
        <f>IF(Calcs!O10+Calcs!O11&gt;0,Calcs!O8/(Calcs!O10+Calcs!O11),"")</f>
        <v/>
      </c>
      <c r="Q31" s="689" t="str">
        <f>IF(Calcs!P10+Calcs!P11&gt;0,Calcs!P8/(Calcs!P10+Calcs!P11),"")</f>
        <v/>
      </c>
      <c r="R31" s="689" t="str">
        <f>IF(Calcs!Q10+Calcs!Q11&gt;0,Calcs!Q8/(Calcs!Q10+Calcs!Q11),"")</f>
        <v/>
      </c>
      <c r="S31" s="689" t="str">
        <f>IF(Calcs!R10+Calcs!R11&gt;0,Calcs!R8/(Calcs!R10+Calcs!R11),"")</f>
        <v/>
      </c>
      <c r="T31" s="689" t="str">
        <f>IF(Calcs!S10+Calcs!S11&gt;0,Calcs!S8/(Calcs!S10+Calcs!S11),"")</f>
        <v/>
      </c>
      <c r="U31" s="689" t="str">
        <f>IF(Calcs!T10+Calcs!T11&gt;0,Calcs!T8/(Calcs!T10+Calcs!T11),"")</f>
        <v/>
      </c>
      <c r="V31" s="689" t="str">
        <f>IF(Calcs!U10+Calcs!U11&gt;0,Calcs!U8/(Calcs!U10+Calcs!U11),"")</f>
        <v/>
      </c>
      <c r="W31" s="689" t="str">
        <f>IF(Calcs!V10+Calcs!V11&gt;0,Calcs!V8/(Calcs!V10+Calcs!V11),"")</f>
        <v/>
      </c>
      <c r="X31" s="689" t="str">
        <f>IF(Calcs!W10+Calcs!W11&gt;0,Calcs!W8/(Calcs!W10+Calcs!W11),"")</f>
        <v/>
      </c>
      <c r="Y31" s="689" t="str">
        <f>IF(Calcs!X10+Calcs!X11&gt;0,Calcs!X8/(Calcs!X10+Calcs!X11),"")</f>
        <v/>
      </c>
      <c r="Z31" s="689" t="str">
        <f>IF(Calcs!Y10+Calcs!Y11&gt;0,Calcs!Y8/(Calcs!Y10+Calcs!Y11),"")</f>
        <v/>
      </c>
      <c r="AA31" s="689" t="str">
        <f>IF(Calcs!Z10+Calcs!Z11&gt;0,Calcs!Z8/(Calcs!Z10+Calcs!Z11),"")</f>
        <v/>
      </c>
      <c r="AB31" s="689" t="str">
        <f>IF(Calcs!AA10+Calcs!AA11&gt;0,Calcs!AA8/(Calcs!AA10+Calcs!AA11),"")</f>
        <v/>
      </c>
      <c r="AC31" s="689" t="str">
        <f>IF(Calcs!AB10+Calcs!AB11&gt;0,Calcs!AB8/(Calcs!AB10+Calcs!AB11),"")</f>
        <v/>
      </c>
      <c r="AD31" s="689" t="str">
        <f>IF(Calcs!AC10+Calcs!AC11&gt;0,Calcs!AC8/(Calcs!AC10+Calcs!AC11),"")</f>
        <v/>
      </c>
      <c r="AE31" s="689" t="str">
        <f>IF(Calcs!AD10+Calcs!AD11&gt;0,Calcs!AD8/(Calcs!AD10+Calcs!AD11),"")</f>
        <v/>
      </c>
      <c r="AF31" s="689" t="str">
        <f>IF(Calcs!AE10+Calcs!AE11&gt;0,Calcs!AE8/(Calcs!AE10+Calcs!AE11),"")</f>
        <v/>
      </c>
      <c r="AG31" s="689" t="str">
        <f>IF(Calcs!AF10+Calcs!AF11&gt;0,Calcs!AF8/(Calcs!AF10+Calcs!AF11),"")</f>
        <v/>
      </c>
      <c r="AH31" s="689" t="str">
        <f>IF(Calcs!AG10+Calcs!AG11&gt;0,Calcs!AG8/(Calcs!AG10+Calcs!AG11),"")</f>
        <v/>
      </c>
      <c r="AI31" s="689" t="str">
        <f>IF(Calcs!AH10+Calcs!AH11&gt;0,Calcs!AH8/(Calcs!AH10+Calcs!AH11),"")</f>
        <v/>
      </c>
      <c r="AJ31" s="689" t="str">
        <f>IF(Calcs!AI10+Calcs!AI11&gt;0,Calcs!AI8/(Calcs!AI10+Calcs!AI11),"")</f>
        <v/>
      </c>
      <c r="AK31" s="689" t="str">
        <f>IF(Calcs!AJ10+Calcs!AJ11&gt;0,Calcs!AJ8/(Calcs!AJ10+Calcs!AJ11),"")</f>
        <v/>
      </c>
      <c r="AL31" s="689" t="str">
        <f>IF(Calcs!AK10+Calcs!AK11&gt;0,Calcs!AK8/(Calcs!AK10+Calcs!AK11),"")</f>
        <v/>
      </c>
      <c r="AM31" s="689" t="str">
        <f>IF(Calcs!AL10+Calcs!AL11&gt;0,Calcs!AL8/(Calcs!AL10+Calcs!AL11),"")</f>
        <v/>
      </c>
      <c r="AN31" s="689" t="str">
        <f>IF(Calcs!AM10+Calcs!AM11&gt;0,Calcs!AM8/(Calcs!AM10+Calcs!AM11),"")</f>
        <v/>
      </c>
      <c r="AO31" s="689" t="str">
        <f>IF(Calcs!AN10+Calcs!AN11&gt;0,Calcs!AN8/(Calcs!AN10+Calcs!AN11),"")</f>
        <v/>
      </c>
      <c r="AP31" s="689" t="str">
        <f>IF(Calcs!AO10+Calcs!AO11&gt;0,Calcs!AO8/(Calcs!AO10+Calcs!AO11),"")</f>
        <v/>
      </c>
      <c r="AQ31" s="689" t="str">
        <f>IF(Calcs!AP10+Calcs!AP11&gt;0,Calcs!AP8/(Calcs!AP10+Calcs!AP11),"")</f>
        <v/>
      </c>
      <c r="AR31" s="689" t="str">
        <f>IF(Calcs!AQ10+Calcs!AQ11&gt;0,Calcs!AQ8/(Calcs!AQ10+Calcs!AQ11),"")</f>
        <v/>
      </c>
      <c r="AS31" s="689" t="str">
        <f>IF(Calcs!AR10+Calcs!AR11&gt;0,Calcs!AR8/(Calcs!AR10+Calcs!AR11),"")</f>
        <v/>
      </c>
      <c r="AT31" s="689" t="str">
        <f>IF(Calcs!AS10+Calcs!AS11&gt;0,Calcs!AS8/(Calcs!AS10+Calcs!AS11),"")</f>
        <v/>
      </c>
      <c r="AU31" s="689" t="str">
        <f>IF(Calcs!AT10+Calcs!AT11&gt;0,Calcs!AT8/(Calcs!AT10+Calcs!AT11),"")</f>
        <v/>
      </c>
      <c r="AV31" s="689" t="str">
        <f>IF(Calcs!AU10+Calcs!AU11&gt;0,Calcs!AU8/(Calcs!AU10+Calcs!AU11),"")</f>
        <v/>
      </c>
      <c r="AW31" s="689" t="str">
        <f>IF(Calcs!AV10+Calcs!AV11&gt;0,Calcs!AV8/(Calcs!AV10+Calcs!AV11),"")</f>
        <v/>
      </c>
      <c r="AX31" s="689" t="str">
        <f>IF(Calcs!AW10+Calcs!AW11&gt;0,Calcs!AW8/(Calcs!AW10+Calcs!AW11),"")</f>
        <v/>
      </c>
      <c r="AY31" s="689" t="str">
        <f>IF(Calcs!AX10+Calcs!AX11&gt;0,Calcs!AX8/(Calcs!AX10+Calcs!AX11),"")</f>
        <v/>
      </c>
      <c r="AZ31" s="689" t="str">
        <f>IF(Calcs!AY10+Calcs!AY11&gt;0,Calcs!AY8/(Calcs!AY10+Calcs!AY11),"")</f>
        <v/>
      </c>
      <c r="BA31" s="689" t="str">
        <f>IF(Calcs!AZ10+Calcs!AZ11&gt;0,Calcs!AZ8/(Calcs!AZ10+Calcs!AZ11),"")</f>
        <v/>
      </c>
      <c r="BB31" s="689" t="str">
        <f>IF(Calcs!BA10+Calcs!BA11&gt;0,Calcs!BA8/(Calcs!BA10+Calcs!BA11),"")</f>
        <v/>
      </c>
      <c r="BC31" s="689" t="str">
        <f>IF(Calcs!BB10+Calcs!BB11&gt;0,Calcs!BB8/(Calcs!BB10+Calcs!BB11),"")</f>
        <v/>
      </c>
      <c r="BD31" s="689" t="str">
        <f>IF(Calcs!BC10+Calcs!BC11&gt;0,Calcs!BC8/(Calcs!BC10+Calcs!BC11),"")</f>
        <v/>
      </c>
      <c r="BE31" s="689" t="str">
        <f>IF(Calcs!BD10+Calcs!BD11&gt;0,Calcs!BD8/(Calcs!BD10+Calcs!BD11),"")</f>
        <v/>
      </c>
      <c r="BF31" s="689" t="str">
        <f>IF(Calcs!BE10+Calcs!BE11&gt;0,Calcs!BE8/(Calcs!BE10+Calcs!BE11),"")</f>
        <v/>
      </c>
      <c r="BG31" s="689" t="str">
        <f>IF(Calcs!BF10+Calcs!BF11&gt;0,Calcs!BF8/(Calcs!BF10+Calcs!BF11),"")</f>
        <v/>
      </c>
      <c r="BH31" s="689" t="str">
        <f>IF(Calcs!BG10+Calcs!BG11&gt;0,Calcs!BG8/(Calcs!BG10+Calcs!BG11),"")</f>
        <v/>
      </c>
      <c r="BI31" s="689" t="str">
        <f>IF(Calcs!BH10+Calcs!BH11&gt;0,Calcs!BH8/(Calcs!BH10+Calcs!BH11),"")</f>
        <v/>
      </c>
      <c r="BJ31" s="689" t="str">
        <f>IF(Calcs!BI10+Calcs!BI11&gt;0,Calcs!BI8/(Calcs!BI10+Calcs!BI11),"")</f>
        <v/>
      </c>
      <c r="BK31" s="689" t="str">
        <f>IF(Calcs!BJ10+Calcs!BJ11&gt;0,Calcs!BJ8/(Calcs!BJ10+Calcs!BJ11),"")</f>
        <v/>
      </c>
      <c r="BL31" s="689" t="str">
        <f>IF(Calcs!BK10+Calcs!BK11&gt;0,Calcs!BK8/(Calcs!BK10+Calcs!BK11),"")</f>
        <v/>
      </c>
      <c r="BM31" s="689" t="str">
        <f>IF(Calcs!BL10+Calcs!BL11&gt;0,Calcs!BL8/(Calcs!BL10+Calcs!BL11),"")</f>
        <v/>
      </c>
      <c r="BN31" s="689" t="str">
        <f>IF(Calcs!BM10+Calcs!BM11&gt;0,Calcs!BM8/(Calcs!BM10+Calcs!BM11),"")</f>
        <v/>
      </c>
      <c r="BO31" s="689" t="str">
        <f>IF(Calcs!BN10+Calcs!BN11&gt;0,Calcs!BN8/(Calcs!BN10+Calcs!BN11),"")</f>
        <v/>
      </c>
      <c r="BP31" s="689" t="str">
        <f>IF(Calcs!BO10+Calcs!BO11&gt;0,Calcs!BO8/(Calcs!BO10+Calcs!BO11),"")</f>
        <v/>
      </c>
      <c r="BQ31" s="689" t="str">
        <f>IF(Calcs!BP10+Calcs!BP11&gt;0,Calcs!BP8/(Calcs!BP10+Calcs!BP11),"")</f>
        <v/>
      </c>
    </row>
    <row r="32" spans="1:69" ht="13" customHeight="1" x14ac:dyDescent="0.35">
      <c r="B32" s="429"/>
      <c r="C32" s="1"/>
      <c r="D32" s="1"/>
      <c r="E32" s="1"/>
      <c r="F32" s="1"/>
      <c r="G32" s="1"/>
      <c r="H32" s="1"/>
      <c r="I32" s="1"/>
      <c r="J32" s="1320">
        <f>J20</f>
        <v>0</v>
      </c>
      <c r="K32" s="1320">
        <f t="shared" ref="K32:BQ32" si="18">K20</f>
        <v>59</v>
      </c>
      <c r="L32" s="1320">
        <f t="shared" si="18"/>
        <v>91</v>
      </c>
      <c r="M32" s="1320">
        <f t="shared" si="18"/>
        <v>121</v>
      </c>
      <c r="N32" s="1320">
        <f t="shared" si="18"/>
        <v>152</v>
      </c>
      <c r="O32" s="1320">
        <f t="shared" si="18"/>
        <v>182</v>
      </c>
      <c r="P32" s="1320">
        <f t="shared" si="18"/>
        <v>213</v>
      </c>
      <c r="Q32" s="1320">
        <f t="shared" si="18"/>
        <v>244</v>
      </c>
      <c r="R32" s="1320">
        <f t="shared" si="18"/>
        <v>274</v>
      </c>
      <c r="S32" s="1320">
        <f t="shared" si="18"/>
        <v>305</v>
      </c>
      <c r="T32" s="1320">
        <f t="shared" si="18"/>
        <v>335</v>
      </c>
      <c r="U32" s="1320">
        <f t="shared" si="18"/>
        <v>366</v>
      </c>
      <c r="V32" s="1320">
        <f t="shared" si="18"/>
        <v>397</v>
      </c>
      <c r="W32" s="1320">
        <f t="shared" si="18"/>
        <v>425</v>
      </c>
      <c r="X32" s="1320">
        <f t="shared" si="18"/>
        <v>456</v>
      </c>
      <c r="Y32" s="1320">
        <f t="shared" si="18"/>
        <v>486</v>
      </c>
      <c r="Z32" s="1320">
        <f t="shared" si="18"/>
        <v>517</v>
      </c>
      <c r="AA32" s="1320">
        <f t="shared" si="18"/>
        <v>547</v>
      </c>
      <c r="AB32" s="1320">
        <f t="shared" si="18"/>
        <v>578</v>
      </c>
      <c r="AC32" s="1320">
        <f t="shared" si="18"/>
        <v>609</v>
      </c>
      <c r="AD32" s="1320">
        <f t="shared" si="18"/>
        <v>639</v>
      </c>
      <c r="AE32" s="1320">
        <f t="shared" si="18"/>
        <v>670</v>
      </c>
      <c r="AF32" s="1320">
        <f t="shared" si="18"/>
        <v>700</v>
      </c>
      <c r="AG32" s="1320">
        <f t="shared" si="18"/>
        <v>731</v>
      </c>
      <c r="AH32" s="1320">
        <f t="shared" si="18"/>
        <v>762</v>
      </c>
      <c r="AI32" s="1320">
        <f t="shared" si="18"/>
        <v>790</v>
      </c>
      <c r="AJ32" s="1320">
        <f t="shared" si="18"/>
        <v>821</v>
      </c>
      <c r="AK32" s="1320">
        <f t="shared" si="18"/>
        <v>851</v>
      </c>
      <c r="AL32" s="1320">
        <f t="shared" si="18"/>
        <v>882</v>
      </c>
      <c r="AM32" s="1320">
        <f t="shared" si="18"/>
        <v>912</v>
      </c>
      <c r="AN32" s="1320">
        <f t="shared" si="18"/>
        <v>943</v>
      </c>
      <c r="AO32" s="1320">
        <f t="shared" si="18"/>
        <v>974</v>
      </c>
      <c r="AP32" s="1320">
        <f t="shared" si="18"/>
        <v>1004</v>
      </c>
      <c r="AQ32" s="1320">
        <f t="shared" si="18"/>
        <v>1035</v>
      </c>
      <c r="AR32" s="1320">
        <f t="shared" si="18"/>
        <v>1065</v>
      </c>
      <c r="AS32" s="1320">
        <f t="shared" si="18"/>
        <v>1096</v>
      </c>
      <c r="AT32" s="1320">
        <f t="shared" si="18"/>
        <v>1127</v>
      </c>
      <c r="AU32" s="1320">
        <f t="shared" si="18"/>
        <v>1155</v>
      </c>
      <c r="AV32" s="1320">
        <f t="shared" si="18"/>
        <v>1186</v>
      </c>
      <c r="AW32" s="1320">
        <f t="shared" si="18"/>
        <v>1216</v>
      </c>
      <c r="AX32" s="1320">
        <f t="shared" si="18"/>
        <v>1247</v>
      </c>
      <c r="AY32" s="1320">
        <f t="shared" si="18"/>
        <v>1277</v>
      </c>
      <c r="AZ32" s="1320">
        <f t="shared" si="18"/>
        <v>1308</v>
      </c>
      <c r="BA32" s="1320">
        <f t="shared" si="18"/>
        <v>1339</v>
      </c>
      <c r="BB32" s="1320">
        <f t="shared" si="18"/>
        <v>1369</v>
      </c>
      <c r="BC32" s="1320">
        <f t="shared" si="18"/>
        <v>1400</v>
      </c>
      <c r="BD32" s="1320">
        <f t="shared" si="18"/>
        <v>1430</v>
      </c>
      <c r="BE32" s="1320">
        <f t="shared" si="18"/>
        <v>1461</v>
      </c>
      <c r="BF32" s="1320">
        <f t="shared" si="18"/>
        <v>1492</v>
      </c>
      <c r="BG32" s="1320">
        <f t="shared" si="18"/>
        <v>1521</v>
      </c>
      <c r="BH32" s="1320">
        <f t="shared" si="18"/>
        <v>1552</v>
      </c>
      <c r="BI32" s="1320">
        <f t="shared" si="18"/>
        <v>1582</v>
      </c>
      <c r="BJ32" s="1320">
        <f t="shared" si="18"/>
        <v>1613</v>
      </c>
      <c r="BK32" s="1320">
        <f t="shared" si="18"/>
        <v>1643</v>
      </c>
      <c r="BL32" s="1320">
        <f t="shared" si="18"/>
        <v>1674</v>
      </c>
      <c r="BM32" s="1320">
        <f t="shared" si="18"/>
        <v>1705</v>
      </c>
      <c r="BN32" s="1320">
        <f t="shared" si="18"/>
        <v>1735</v>
      </c>
      <c r="BO32" s="1320">
        <f t="shared" si="18"/>
        <v>1766</v>
      </c>
      <c r="BP32" s="1320">
        <f t="shared" si="18"/>
        <v>1796</v>
      </c>
      <c r="BQ32" s="1320">
        <f t="shared" si="18"/>
        <v>1827</v>
      </c>
    </row>
    <row r="33" spans="1:69" ht="13" customHeight="1" x14ac:dyDescent="0.35">
      <c r="B33" s="429"/>
      <c r="C33" s="1"/>
      <c r="D33" s="67">
        <v>1</v>
      </c>
      <c r="E33" s="67">
        <v>2</v>
      </c>
      <c r="F33" s="67">
        <v>3</v>
      </c>
      <c r="G33" s="67">
        <v>4</v>
      </c>
      <c r="H33" s="1"/>
      <c r="I33" s="84" t="s">
        <v>675</v>
      </c>
      <c r="J33" s="214">
        <f>Calcs!I27</f>
        <v>0</v>
      </c>
      <c r="K33" s="214">
        <f>Calcs!J27</f>
        <v>0</v>
      </c>
      <c r="L33" s="214">
        <f>Calcs!K27</f>
        <v>0</v>
      </c>
      <c r="M33" s="214">
        <f>Calcs!L27</f>
        <v>0</v>
      </c>
      <c r="N33" s="214">
        <f>Calcs!M27</f>
        <v>0</v>
      </c>
      <c r="O33" s="214">
        <f>Calcs!N27</f>
        <v>0</v>
      </c>
      <c r="P33" s="214">
        <f>Calcs!O27</f>
        <v>0</v>
      </c>
      <c r="Q33" s="214">
        <f>Calcs!P27</f>
        <v>0</v>
      </c>
      <c r="R33" s="214">
        <f>Calcs!Q27</f>
        <v>0</v>
      </c>
      <c r="S33" s="214">
        <f>Calcs!R27</f>
        <v>0</v>
      </c>
      <c r="T33" s="214">
        <f>Calcs!S27</f>
        <v>0</v>
      </c>
      <c r="U33" s="214">
        <f>Calcs!T27</f>
        <v>0</v>
      </c>
      <c r="V33" s="214">
        <f>Calcs!U27</f>
        <v>0</v>
      </c>
      <c r="W33" s="214">
        <f>Calcs!V27</f>
        <v>0</v>
      </c>
      <c r="X33" s="214">
        <f>Calcs!W27</f>
        <v>0</v>
      </c>
      <c r="Y33" s="214">
        <f>Calcs!X27</f>
        <v>0</v>
      </c>
      <c r="Z33" s="214">
        <f>Calcs!Y27</f>
        <v>0</v>
      </c>
      <c r="AA33" s="214">
        <f>Calcs!Z27</f>
        <v>0</v>
      </c>
      <c r="AB33" s="214">
        <f>Calcs!AA27</f>
        <v>0</v>
      </c>
      <c r="AC33" s="214">
        <f>Calcs!AB27</f>
        <v>0</v>
      </c>
      <c r="AD33" s="214">
        <f>Calcs!AC27</f>
        <v>0</v>
      </c>
      <c r="AE33" s="214">
        <f>Calcs!AD27</f>
        <v>0</v>
      </c>
      <c r="AF33" s="214">
        <f>Calcs!AE27</f>
        <v>0</v>
      </c>
      <c r="AG33" s="214">
        <f>Calcs!AF27</f>
        <v>0</v>
      </c>
      <c r="AH33" s="214">
        <f>Calcs!AG27</f>
        <v>0</v>
      </c>
      <c r="AI33" s="214">
        <f>Calcs!AH27</f>
        <v>0</v>
      </c>
      <c r="AJ33" s="214">
        <f>Calcs!AI27</f>
        <v>0</v>
      </c>
      <c r="AK33" s="214">
        <f>Calcs!AJ27</f>
        <v>0</v>
      </c>
      <c r="AL33" s="214">
        <f>Calcs!AK27</f>
        <v>0</v>
      </c>
      <c r="AM33" s="214">
        <f>Calcs!AL27</f>
        <v>0</v>
      </c>
      <c r="AN33" s="214">
        <f>Calcs!AM27</f>
        <v>0</v>
      </c>
      <c r="AO33" s="214">
        <f>Calcs!AN27</f>
        <v>0</v>
      </c>
      <c r="AP33" s="214">
        <f>Calcs!AO27</f>
        <v>0</v>
      </c>
      <c r="AQ33" s="214">
        <f>Calcs!AP27</f>
        <v>0</v>
      </c>
      <c r="AR33" s="214">
        <f>Calcs!AQ27</f>
        <v>0</v>
      </c>
      <c r="AS33" s="214">
        <f>Calcs!AR27</f>
        <v>0</v>
      </c>
      <c r="AT33" s="214">
        <f>Calcs!AS27</f>
        <v>0</v>
      </c>
      <c r="AU33" s="214">
        <f>Calcs!AT27</f>
        <v>0</v>
      </c>
      <c r="AV33" s="214">
        <f>Calcs!AU27</f>
        <v>0</v>
      </c>
      <c r="AW33" s="214">
        <f>Calcs!AV27</f>
        <v>0</v>
      </c>
      <c r="AX33" s="214">
        <f>Calcs!AW27</f>
        <v>0</v>
      </c>
      <c r="AY33" s="214">
        <f>Calcs!AX27</f>
        <v>0</v>
      </c>
      <c r="AZ33" s="214">
        <f>Calcs!AY27</f>
        <v>0</v>
      </c>
      <c r="BA33" s="214">
        <f>Calcs!AZ27</f>
        <v>0</v>
      </c>
      <c r="BB33" s="214">
        <f>Calcs!BA27</f>
        <v>0</v>
      </c>
      <c r="BC33" s="214">
        <f>Calcs!BB27</f>
        <v>0</v>
      </c>
      <c r="BD33" s="214">
        <f>Calcs!BC27</f>
        <v>0</v>
      </c>
      <c r="BE33" s="214">
        <f>Calcs!BD27</f>
        <v>0</v>
      </c>
      <c r="BF33" s="214">
        <f>Calcs!BE27</f>
        <v>0</v>
      </c>
      <c r="BG33" s="1583">
        <f>Calcs!BF27</f>
        <v>0</v>
      </c>
      <c r="BH33" s="1583">
        <f>Calcs!BG27</f>
        <v>0</v>
      </c>
      <c r="BI33" s="1583">
        <f>Calcs!BH27</f>
        <v>0</v>
      </c>
      <c r="BJ33" s="1583">
        <f>Calcs!BI27</f>
        <v>0</v>
      </c>
      <c r="BK33" s="1583">
        <f>Calcs!BJ27</f>
        <v>0</v>
      </c>
      <c r="BL33" s="1583">
        <f>Calcs!BK27</f>
        <v>0</v>
      </c>
      <c r="BM33" s="1583">
        <f>Calcs!BL27</f>
        <v>0</v>
      </c>
      <c r="BN33" s="1583">
        <f>Calcs!BM27</f>
        <v>0</v>
      </c>
      <c r="BO33" s="1583">
        <f>Calcs!BN27</f>
        <v>0</v>
      </c>
      <c r="BP33" s="1583">
        <f>Calcs!BO27</f>
        <v>0</v>
      </c>
      <c r="BQ33" s="1583">
        <f>Calcs!BP27</f>
        <v>0</v>
      </c>
    </row>
    <row r="34" spans="1:69" ht="18" customHeight="1" x14ac:dyDescent="0.45">
      <c r="A34" s="1026" t="s">
        <v>214</v>
      </c>
      <c r="B34" s="68" t="s">
        <v>676</v>
      </c>
      <c r="C34" s="1314" t="str">
        <f>C20</f>
        <v>Year 1</v>
      </c>
      <c r="D34" s="1314" t="str">
        <f>D20</f>
        <v>Year 2</v>
      </c>
      <c r="E34" s="1314" t="str">
        <f>E20</f>
        <v>Year 3</v>
      </c>
      <c r="F34" s="1314" t="str">
        <f>F20</f>
        <v>Year 4</v>
      </c>
      <c r="G34" s="1314" t="str">
        <f>G20</f>
        <v>Year 5</v>
      </c>
    </row>
    <row r="35" spans="1:69" s="40" customFormat="1" ht="13" customHeight="1" x14ac:dyDescent="0.3">
      <c r="B35" s="84" t="s">
        <v>3</v>
      </c>
      <c r="C35" s="1321"/>
      <c r="D35" s="1316" t="str">
        <f>IF(AND(D3&gt;0,C3&gt;0),D3/C3,"")</f>
        <v/>
      </c>
      <c r="E35" s="1316" t="str">
        <f t="shared" ref="E35:G35" si="19">IF(AND(E3&gt;0,D3&gt;0),E3/D3,"")</f>
        <v/>
      </c>
      <c r="F35" s="1316" t="str">
        <f t="shared" si="19"/>
        <v/>
      </c>
      <c r="G35" s="1316" t="str">
        <f t="shared" si="19"/>
        <v/>
      </c>
    </row>
    <row r="36" spans="1:69" s="40" customFormat="1" ht="13" customHeight="1" x14ac:dyDescent="0.3">
      <c r="B36" s="84" t="s">
        <v>6</v>
      </c>
      <c r="C36" s="1321"/>
      <c r="D36" s="1316" t="str">
        <f>IF(AND(D11&gt;0,C11&gt;0),D11/C11,"")</f>
        <v/>
      </c>
      <c r="E36" s="1316" t="str">
        <f>IF(AND(E11&gt;0,D11&gt;0),E11/D11,"")</f>
        <v/>
      </c>
      <c r="F36" s="1316" t="str">
        <f>IF(AND(F11&gt;0,E11&gt;0),F11/E11,"")</f>
        <v/>
      </c>
      <c r="G36" s="1316" t="str">
        <f>IF(AND(G11&gt;0,F11&gt;0),G11/F11,"")</f>
        <v/>
      </c>
    </row>
    <row r="37" spans="1:69" s="40" customFormat="1" ht="13" customHeight="1" x14ac:dyDescent="0.3"/>
    <row r="38" spans="1:69" s="40" customFormat="1" ht="13" customHeight="1" x14ac:dyDescent="0.3">
      <c r="B38" s="101" t="str">
        <f>"Revenue CAGR from "&amp;TEXT(C34,"yyyy")</f>
        <v>Revenue CAGR from Year 1</v>
      </c>
      <c r="C38" s="1321"/>
      <c r="D38" s="1316" t="str">
        <f>IF(OR(C35=0,C35=""),"",((D3/$C3)^(1/D33))-1)</f>
        <v/>
      </c>
      <c r="E38" s="1316" t="str">
        <f t="shared" ref="E38:G38" si="20">IF(OR(D35=0,D35=""),"",((E3/$C3)^(1/E33))-1)</f>
        <v/>
      </c>
      <c r="F38" s="1316" t="str">
        <f t="shared" si="20"/>
        <v/>
      </c>
      <c r="G38" s="1316" t="str">
        <f t="shared" si="20"/>
        <v/>
      </c>
    </row>
    <row r="39" spans="1:69" s="40" customFormat="1" ht="13" customHeight="1" x14ac:dyDescent="0.3">
      <c r="B39" s="84"/>
    </row>
    <row r="40" spans="1:69" s="40" customFormat="1" ht="13" customHeight="1" x14ac:dyDescent="0.3">
      <c r="B40" s="84"/>
    </row>
    <row r="41" spans="1:69" s="40" customFormat="1" ht="13" x14ac:dyDescent="0.3">
      <c r="B41" s="84"/>
    </row>
    <row r="42" spans="1:69" s="40" customFormat="1" ht="13" x14ac:dyDescent="0.3">
      <c r="B42" s="84"/>
    </row>
    <row r="43" spans="1:69" s="40" customFormat="1" ht="13" x14ac:dyDescent="0.3">
      <c r="B43" s="84"/>
    </row>
    <row r="44" spans="1:69" s="40" customFormat="1" ht="13" x14ac:dyDescent="0.3">
      <c r="B44" s="84"/>
    </row>
    <row r="45" spans="1:69" s="40" customFormat="1" ht="13" x14ac:dyDescent="0.3"/>
    <row r="46" spans="1:69" s="40" customFormat="1" ht="13" x14ac:dyDescent="0.3">
      <c r="B46" s="101"/>
    </row>
    <row r="47" spans="1:69" s="40" customFormat="1" ht="13" x14ac:dyDescent="0.3">
      <c r="B47" s="101"/>
    </row>
    <row r="48" spans="1:69" s="40" customFormat="1" ht="13" x14ac:dyDescent="0.3">
      <c r="B48" s="101"/>
    </row>
    <row r="49" spans="2:2" s="40" customFormat="1" ht="13" x14ac:dyDescent="0.3">
      <c r="B49" s="101"/>
    </row>
    <row r="50" spans="2:2" s="40" customFormat="1" ht="13" x14ac:dyDescent="0.3">
      <c r="B50" s="101"/>
    </row>
    <row r="51" spans="2:2" s="40" customFormat="1" ht="13" x14ac:dyDescent="0.3">
      <c r="B51" s="101"/>
    </row>
    <row r="52" spans="2:2" s="40" customFormat="1" ht="13" x14ac:dyDescent="0.3">
      <c r="B52" s="101"/>
    </row>
    <row r="53" spans="2:2" s="40" customFormat="1" ht="13" x14ac:dyDescent="0.3">
      <c r="B53" s="101"/>
    </row>
    <row r="54" spans="2:2" s="40" customFormat="1" ht="13" x14ac:dyDescent="0.3">
      <c r="B54" s="101"/>
    </row>
    <row r="55" spans="2:2" s="40" customFormat="1" ht="13" x14ac:dyDescent="0.3">
      <c r="B55" s="101"/>
    </row>
    <row r="56" spans="2:2" s="40" customFormat="1" ht="13" x14ac:dyDescent="0.3">
      <c r="B56" s="101"/>
    </row>
    <row r="57" spans="2:2" s="40" customFormat="1" ht="13" x14ac:dyDescent="0.3">
      <c r="B57" s="101"/>
    </row>
    <row r="58" spans="2:2" s="40" customFormat="1" ht="13" x14ac:dyDescent="0.3">
      <c r="B58" s="101"/>
    </row>
    <row r="59" spans="2:2" s="40" customFormat="1" ht="13" x14ac:dyDescent="0.3">
      <c r="B59" s="101"/>
    </row>
    <row r="60" spans="2:2" s="40" customFormat="1" ht="13" x14ac:dyDescent="0.3">
      <c r="B60" s="101"/>
    </row>
    <row r="61" spans="2:2" s="40" customFormat="1" ht="13" x14ac:dyDescent="0.3">
      <c r="B61" s="101"/>
    </row>
    <row r="62" spans="2:2" s="40" customFormat="1" ht="13" x14ac:dyDescent="0.3">
      <c r="B62" s="101"/>
    </row>
    <row r="63" spans="2:2" s="40" customFormat="1" ht="13" x14ac:dyDescent="0.3">
      <c r="B63" s="101"/>
    </row>
    <row r="64" spans="2:2" s="40" customFormat="1" ht="13" x14ac:dyDescent="0.3">
      <c r="B64" s="101"/>
    </row>
    <row r="65" spans="2:2" s="40" customFormat="1" ht="13" x14ac:dyDescent="0.3">
      <c r="B65" s="101"/>
    </row>
    <row r="66" spans="2:2" s="40" customFormat="1" ht="13" x14ac:dyDescent="0.3">
      <c r="B66" s="101"/>
    </row>
    <row r="67" spans="2:2" s="40" customFormat="1" ht="13" x14ac:dyDescent="0.3">
      <c r="B67" s="101"/>
    </row>
    <row r="68" spans="2:2" s="40" customFormat="1" ht="13" x14ac:dyDescent="0.3">
      <c r="B68" s="101"/>
    </row>
    <row r="69" spans="2:2" s="40" customFormat="1" ht="13" x14ac:dyDescent="0.3">
      <c r="B69" s="101"/>
    </row>
    <row r="70" spans="2:2" s="40" customFormat="1" ht="13" x14ac:dyDescent="0.3">
      <c r="B70" s="101"/>
    </row>
    <row r="71" spans="2:2" s="40" customFormat="1" ht="13" x14ac:dyDescent="0.3">
      <c r="B71" s="101"/>
    </row>
    <row r="72" spans="2:2" s="40" customFormat="1" ht="13" x14ac:dyDescent="0.3">
      <c r="B72" s="101"/>
    </row>
    <row r="73" spans="2:2" s="40" customFormat="1" ht="13" x14ac:dyDescent="0.3">
      <c r="B73" s="101"/>
    </row>
    <row r="74" spans="2:2" s="40" customFormat="1" ht="13" x14ac:dyDescent="0.3">
      <c r="B74" s="101"/>
    </row>
    <row r="75" spans="2:2" s="40" customFormat="1" ht="13" x14ac:dyDescent="0.3">
      <c r="B75" s="101"/>
    </row>
    <row r="76" spans="2:2" s="40" customFormat="1" ht="13" x14ac:dyDescent="0.3">
      <c r="B76" s="101"/>
    </row>
    <row r="77" spans="2:2" s="40" customFormat="1" ht="13" x14ac:dyDescent="0.3">
      <c r="B77" s="101"/>
    </row>
    <row r="78" spans="2:2" s="40" customFormat="1" ht="13" x14ac:dyDescent="0.3">
      <c r="B78" s="101"/>
    </row>
  </sheetData>
  <sheetProtection algorithmName="SHA-512" hashValue="m2VkuSZm9RbtPi4F2EMkg9nytW0PQA4gYPBkdLwa5L10rtvwmozfoDL6E/OqGtORH0SyG+PQ/IHpwqxv5hiy/g==" saltValue="wBhC+QD7QhX7zHv3iH/hCQ==" spinCount="100000" sheet="1" objects="1" scenarios="1"/>
  <conditionalFormatting sqref="C28:G30">
    <cfRule type="colorScale" priority="4">
      <colorScale>
        <cfvo type="min"/>
        <cfvo type="percentile" val="50"/>
        <cfvo type="max"/>
        <color rgb="FFF8696B"/>
        <color rgb="FFFFEB84"/>
        <color rgb="FF63BE7B"/>
      </colorScale>
    </cfRule>
  </conditionalFormatting>
  <conditionalFormatting sqref="C31:G31">
    <cfRule type="colorScale" priority="5">
      <colorScale>
        <cfvo type="min"/>
        <cfvo type="percentile" val="50"/>
        <cfvo type="max"/>
        <color rgb="FFF8696B"/>
        <color rgb="FFFFEB84"/>
        <color rgb="FF63BE7B"/>
      </colorScale>
    </cfRule>
  </conditionalFormatting>
  <conditionalFormatting sqref="F2:G5 AT2:BQ29 F7:G32 AT31:BQ31 AT34:BQ38">
    <cfRule type="expression" dxfId="54" priority="3" stopIfTrue="1">
      <formula>Years="Three"</formula>
    </cfRule>
  </conditionalFormatting>
  <conditionalFormatting sqref="J30:BQ30">
    <cfRule type="colorScale" priority="2">
      <colorScale>
        <cfvo type="min"/>
        <cfvo type="percentile" val="50"/>
        <cfvo type="max"/>
        <color rgb="FFF8696B"/>
        <color rgb="FFFFEB84"/>
        <color rgb="FF63BE7B"/>
      </colorScale>
    </cfRule>
  </conditionalFormatting>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35D47-51DB-49EB-8234-3AEFFA5DDF7B}">
  <sheetPr codeName="Sheet7"/>
  <dimension ref="A1:BL222"/>
  <sheetViews>
    <sheetView showGridLines="0" workbookViewId="0">
      <selection activeCell="F87" sqref="F87"/>
    </sheetView>
  </sheetViews>
  <sheetFormatPr defaultRowHeight="15.5" x14ac:dyDescent="0.35"/>
  <cols>
    <col min="1" max="1" width="1" customWidth="1"/>
    <col min="2" max="2" width="19" customWidth="1"/>
    <col min="3" max="7" width="10.33203125" customWidth="1"/>
    <col min="8" max="8" width="15.83203125" customWidth="1"/>
    <col min="9" max="9" width="19" customWidth="1"/>
    <col min="10" max="10" width="11.25" customWidth="1"/>
    <col min="11" max="15" width="10.33203125" customWidth="1"/>
    <col min="16" max="29" width="11.25" customWidth="1"/>
  </cols>
  <sheetData>
    <row r="1" spans="1:16" x14ac:dyDescent="0.35">
      <c r="A1" s="40"/>
      <c r="B1" s="40"/>
      <c r="C1" s="40"/>
      <c r="D1" s="40"/>
      <c r="E1" s="40"/>
      <c r="F1" s="40"/>
      <c r="G1" s="40"/>
      <c r="H1" s="40"/>
      <c r="I1" s="40"/>
      <c r="J1" s="40"/>
      <c r="K1" s="40"/>
      <c r="L1" s="40"/>
      <c r="M1" s="40"/>
      <c r="N1" s="40"/>
      <c r="O1" s="40"/>
      <c r="P1" s="40"/>
    </row>
    <row r="2" spans="1:16" ht="21" x14ac:dyDescent="0.35">
      <c r="A2" s="40"/>
      <c r="B2" s="40"/>
      <c r="C2" s="40"/>
      <c r="D2" s="40"/>
      <c r="E2" s="40"/>
      <c r="F2" s="40"/>
      <c r="G2" s="1230" t="s">
        <v>677</v>
      </c>
      <c r="H2" s="40"/>
      <c r="I2" s="40"/>
      <c r="J2" s="40"/>
      <c r="K2" s="40"/>
      <c r="L2" s="40"/>
      <c r="M2" s="40"/>
      <c r="N2" s="40"/>
      <c r="O2" s="40"/>
      <c r="P2" s="40"/>
    </row>
    <row r="3" spans="1:16" x14ac:dyDescent="0.35">
      <c r="A3" s="40"/>
      <c r="B3" s="40"/>
      <c r="C3" s="40"/>
      <c r="D3" s="40"/>
      <c r="E3" s="40"/>
      <c r="F3" s="40"/>
      <c r="H3" s="40"/>
      <c r="I3" s="40"/>
      <c r="J3" s="40"/>
      <c r="K3" s="40"/>
      <c r="L3" s="40"/>
      <c r="M3" s="40"/>
      <c r="N3" s="40"/>
      <c r="O3" s="40"/>
      <c r="P3" s="40"/>
    </row>
    <row r="4" spans="1:16" ht="16" thickBot="1" x14ac:dyDescent="0.4">
      <c r="A4" s="40"/>
      <c r="B4" s="40"/>
      <c r="C4" s="40"/>
      <c r="D4" s="40"/>
      <c r="E4" s="40"/>
      <c r="F4" s="40"/>
      <c r="H4" s="40"/>
      <c r="I4" s="40"/>
      <c r="J4" s="40"/>
      <c r="K4" s="40"/>
      <c r="L4" s="40"/>
      <c r="M4" s="40"/>
      <c r="N4" s="40"/>
      <c r="O4" s="40"/>
      <c r="P4" s="40"/>
    </row>
    <row r="5" spans="1:16" ht="26.5" customHeight="1" thickBot="1" x14ac:dyDescent="0.4">
      <c r="A5" s="40"/>
      <c r="B5" s="40"/>
      <c r="C5" s="768" t="s">
        <v>136</v>
      </c>
      <c r="D5" s="769"/>
      <c r="E5" s="769"/>
      <c r="F5" s="769"/>
      <c r="G5" s="770"/>
      <c r="H5" s="40"/>
      <c r="I5" s="40"/>
      <c r="J5" s="771" t="s">
        <v>210</v>
      </c>
      <c r="K5" s="772"/>
      <c r="L5" s="772"/>
      <c r="M5" s="772"/>
      <c r="N5" s="773"/>
      <c r="O5" s="40"/>
      <c r="P5" s="40"/>
    </row>
    <row r="6" spans="1:16" x14ac:dyDescent="0.35">
      <c r="A6" s="40"/>
      <c r="B6" s="40"/>
      <c r="C6" s="40"/>
      <c r="D6" s="40"/>
      <c r="E6" s="40"/>
      <c r="F6" s="40"/>
      <c r="H6" s="40"/>
      <c r="I6" s="40"/>
      <c r="J6" s="40"/>
      <c r="K6" s="40"/>
      <c r="L6" s="40"/>
      <c r="M6" s="40"/>
      <c r="N6" s="40"/>
      <c r="O6" s="40"/>
      <c r="P6" s="40"/>
    </row>
    <row r="7" spans="1:16" ht="18" customHeight="1" x14ac:dyDescent="0.45">
      <c r="A7" s="40"/>
      <c r="B7" s="40"/>
      <c r="C7" s="1923" t="s">
        <v>287</v>
      </c>
      <c r="D7" s="1923"/>
      <c r="E7" s="1923"/>
      <c r="F7" s="1923"/>
      <c r="G7" s="1923"/>
      <c r="H7" s="40"/>
      <c r="I7" s="767"/>
      <c r="J7" s="1846" t="s">
        <v>287</v>
      </c>
      <c r="K7" s="1846"/>
      <c r="L7" s="1846"/>
      <c r="M7" s="1846"/>
      <c r="N7" s="1846"/>
      <c r="O7" s="40"/>
      <c r="P7" s="40"/>
    </row>
    <row r="8" spans="1:16" ht="16" thickBot="1" x14ac:dyDescent="0.4">
      <c r="A8" s="40"/>
      <c r="B8" s="40"/>
      <c r="C8" s="40"/>
      <c r="D8" s="40"/>
      <c r="E8" s="40"/>
      <c r="F8" s="40"/>
      <c r="G8" s="40"/>
      <c r="H8" s="40"/>
      <c r="I8" s="40"/>
      <c r="J8" s="40"/>
      <c r="K8" s="40"/>
      <c r="L8" s="40"/>
      <c r="M8" s="40"/>
      <c r="N8" s="40"/>
      <c r="O8" s="40"/>
      <c r="P8" s="40"/>
    </row>
    <row r="9" spans="1:16" ht="16" thickBot="1" x14ac:dyDescent="0.4">
      <c r="A9" s="40"/>
      <c r="B9" s="40"/>
      <c r="C9" s="40"/>
      <c r="D9" s="101" t="s">
        <v>678</v>
      </c>
      <c r="E9" s="1778"/>
      <c r="F9" s="40"/>
      <c r="G9" s="40"/>
      <c r="H9" s="40"/>
      <c r="I9" s="40"/>
      <c r="J9" s="5"/>
      <c r="K9" s="475" t="s">
        <v>679</v>
      </c>
      <c r="L9" s="774">
        <f>1-E9</f>
        <v>1</v>
      </c>
      <c r="M9" s="40"/>
      <c r="O9" s="40"/>
      <c r="P9" s="40"/>
    </row>
    <row r="10" spans="1:16" x14ac:dyDescent="0.35">
      <c r="A10" s="40"/>
      <c r="B10" s="40"/>
      <c r="C10" s="40"/>
      <c r="D10" s="40"/>
      <c r="E10" s="40"/>
      <c r="F10" s="40"/>
      <c r="G10" s="40"/>
      <c r="H10" s="40"/>
      <c r="J10" s="40"/>
      <c r="K10" s="40"/>
      <c r="L10" s="40"/>
      <c r="M10" s="40"/>
      <c r="N10" s="40"/>
      <c r="O10" s="40"/>
      <c r="P10" s="40"/>
    </row>
    <row r="11" spans="1:16" s="5" customFormat="1" ht="13" customHeight="1" x14ac:dyDescent="0.3">
      <c r="A11" s="40"/>
      <c r="B11" s="475" t="s">
        <v>287</v>
      </c>
      <c r="C11" s="1279" t="str">
        <f>Infrastructure!H9</f>
        <v>Year 1</v>
      </c>
      <c r="D11" s="1279" t="str">
        <f>Infrastructure!I9</f>
        <v>Year 2</v>
      </c>
      <c r="E11" s="1279" t="str">
        <f>Infrastructure!J9</f>
        <v>Year 3</v>
      </c>
      <c r="F11" s="1279" t="str">
        <f>Infrastructure!K9</f>
        <v>Year 4</v>
      </c>
      <c r="G11" s="1279" t="str">
        <f>Infrastructure!L9</f>
        <v>Year 5</v>
      </c>
      <c r="H11" s="40"/>
      <c r="J11" s="1279" t="str">
        <f>C11</f>
        <v>Year 1</v>
      </c>
      <c r="K11" s="1279" t="str">
        <f>D11</f>
        <v>Year 2</v>
      </c>
      <c r="L11" s="1279" t="str">
        <f>E11</f>
        <v>Year 3</v>
      </c>
      <c r="M11" s="1279" t="str">
        <f>F11</f>
        <v>Year 4</v>
      </c>
      <c r="N11" s="1279" t="str">
        <f>G11</f>
        <v>Year 5</v>
      </c>
    </row>
    <row r="12" spans="1:16" s="5" customFormat="1" ht="13" customHeight="1" x14ac:dyDescent="0.3">
      <c r="A12" s="40"/>
      <c r="B12" s="6" t="s">
        <v>680</v>
      </c>
      <c r="C12" s="7">
        <f>IFERROR(Calcs!EP416*$E$9,0)</f>
        <v>0</v>
      </c>
      <c r="D12" s="7">
        <f>IFERROR(Calcs!EQ416*$E$9,0)</f>
        <v>0</v>
      </c>
      <c r="E12" s="7">
        <f>IFERROR(Calcs!ER416*$E$9,0)</f>
        <v>0</v>
      </c>
      <c r="F12" s="7">
        <f>IF(Years="Five",IFERROR(Calcs!ES416*$E$9,0),0)</f>
        <v>0</v>
      </c>
      <c r="G12" s="7">
        <f>IFERROR(Calcs!ET416*$E$9,0)</f>
        <v>0</v>
      </c>
      <c r="H12" s="40"/>
      <c r="I12" s="6" t="str">
        <f>B12</f>
        <v>Jan</v>
      </c>
      <c r="J12" s="7">
        <f>IFERROR(Calcs!EP416*$L$9,0)</f>
        <v>0</v>
      </c>
      <c r="K12" s="7">
        <f>IFERROR(Calcs!EQ416*$L$9,0)</f>
        <v>0</v>
      </c>
      <c r="L12" s="7">
        <f>IFERROR(Calcs!ER416*$L$9,0)</f>
        <v>0</v>
      </c>
      <c r="M12" s="7">
        <f>IF(Years="Five",IFERROR(Calcs!ES416*$L$9,0),0)</f>
        <v>0</v>
      </c>
      <c r="N12" s="7">
        <f>IFERROR(Calcs!ET416*$L$9,0)</f>
        <v>0</v>
      </c>
    </row>
    <row r="13" spans="1:16" s="5" customFormat="1" ht="13" customHeight="1" x14ac:dyDescent="0.3">
      <c r="A13" s="40"/>
      <c r="B13" s="6" t="s">
        <v>681</v>
      </c>
      <c r="C13" s="7">
        <f>IFERROR(Calcs!EP417*$E$9,0)</f>
        <v>0</v>
      </c>
      <c r="D13" s="7">
        <f>IFERROR(Calcs!EQ417*$E$9,0)</f>
        <v>0</v>
      </c>
      <c r="E13" s="7">
        <f>IFERROR(Calcs!ER417*$E$9,0)</f>
        <v>0</v>
      </c>
      <c r="F13" s="7">
        <f>IF(Years="Five",IFERROR(Calcs!ES417*$E$9,0),0)</f>
        <v>0</v>
      </c>
      <c r="G13" s="7">
        <f>IFERROR(Calcs!ET417*$E$9,0)</f>
        <v>0</v>
      </c>
      <c r="H13" s="40"/>
      <c r="I13" s="6" t="str">
        <f t="shared" ref="I13:I23" si="0">B13</f>
        <v>Feb</v>
      </c>
      <c r="J13" s="7">
        <f>IFERROR(Calcs!EP417*$L$9,0)</f>
        <v>0</v>
      </c>
      <c r="K13" s="7">
        <f>IFERROR(Calcs!EQ417*$L$9,0)</f>
        <v>0</v>
      </c>
      <c r="L13" s="7">
        <f>IFERROR(Calcs!ER417*$L$9,0)</f>
        <v>0</v>
      </c>
      <c r="M13" s="7">
        <f>IF(Years="Five",IFERROR(Calcs!ES417*$L$9,0),0)</f>
        <v>0</v>
      </c>
      <c r="N13" s="7">
        <f>IFERROR(Calcs!ET417*$L$9,0)</f>
        <v>0</v>
      </c>
    </row>
    <row r="14" spans="1:16" s="5" customFormat="1" ht="13" customHeight="1" x14ac:dyDescent="0.3">
      <c r="A14" s="40"/>
      <c r="B14" s="6" t="s">
        <v>682</v>
      </c>
      <c r="C14" s="7">
        <f>IFERROR(Calcs!EP418*$E$9,0)</f>
        <v>0</v>
      </c>
      <c r="D14" s="7">
        <f>IFERROR(Calcs!EQ418*$E$9,0)</f>
        <v>0</v>
      </c>
      <c r="E14" s="7">
        <f>IFERROR(Calcs!ER418*$E$9,0)</f>
        <v>0</v>
      </c>
      <c r="F14" s="7">
        <f>IF(Years="Five",IFERROR(Calcs!ES418*$E$9,0),0)</f>
        <v>0</v>
      </c>
      <c r="G14" s="7">
        <f>IFERROR(Calcs!ET418*$E$9,0)</f>
        <v>0</v>
      </c>
      <c r="H14" s="40"/>
      <c r="I14" s="6" t="str">
        <f t="shared" si="0"/>
        <v>Mar</v>
      </c>
      <c r="J14" s="7">
        <f>IFERROR(Calcs!EP418*$L$9,0)</f>
        <v>0</v>
      </c>
      <c r="K14" s="7">
        <f>IFERROR(Calcs!EQ418*$L$9,0)</f>
        <v>0</v>
      </c>
      <c r="L14" s="7">
        <f>IFERROR(Calcs!ER418*$L$9,0)</f>
        <v>0</v>
      </c>
      <c r="M14" s="7">
        <f>IF(Years="Five",IFERROR(Calcs!ES418*$L$9,0),0)</f>
        <v>0</v>
      </c>
      <c r="N14" s="7">
        <f>IFERROR(Calcs!ET418*$L$9,0)</f>
        <v>0</v>
      </c>
    </row>
    <row r="15" spans="1:16" s="5" customFormat="1" ht="13" customHeight="1" x14ac:dyDescent="0.3">
      <c r="A15" s="40"/>
      <c r="B15" s="6" t="s">
        <v>683</v>
      </c>
      <c r="C15" s="7">
        <f>IFERROR(Calcs!EP419*$E$9,0)</f>
        <v>0</v>
      </c>
      <c r="D15" s="7">
        <f>IFERROR(Calcs!EQ419*$E$9,0)</f>
        <v>0</v>
      </c>
      <c r="E15" s="7">
        <f>IFERROR(Calcs!ER419*$E$9,0)</f>
        <v>0</v>
      </c>
      <c r="F15" s="7">
        <f>IF(Years="Five",IFERROR(Calcs!ES419*$E$9,0),0)</f>
        <v>0</v>
      </c>
      <c r="G15" s="7">
        <f>IFERROR(Calcs!ET419*$E$9,0)</f>
        <v>0</v>
      </c>
      <c r="H15" s="40"/>
      <c r="I15" s="6" t="str">
        <f t="shared" si="0"/>
        <v>Apr</v>
      </c>
      <c r="J15" s="7">
        <f>IFERROR(Calcs!EP419*$L$9,0)</f>
        <v>0</v>
      </c>
      <c r="K15" s="7">
        <f>IFERROR(Calcs!EQ419*$L$9,0)</f>
        <v>0</v>
      </c>
      <c r="L15" s="7">
        <f>IFERROR(Calcs!ER419*$L$9,0)</f>
        <v>0</v>
      </c>
      <c r="M15" s="7">
        <f>IF(Years="Five",IFERROR(Calcs!ES419*$L$9,0),0)</f>
        <v>0</v>
      </c>
      <c r="N15" s="7">
        <f>IFERROR(Calcs!ET419*$L$9,0)</f>
        <v>0</v>
      </c>
    </row>
    <row r="16" spans="1:16" s="5" customFormat="1" ht="13" customHeight="1" x14ac:dyDescent="0.3">
      <c r="A16" s="40"/>
      <c r="B16" s="6" t="s">
        <v>684</v>
      </c>
      <c r="C16" s="7">
        <f>IFERROR(Calcs!EP420*$E$9,0)</f>
        <v>0</v>
      </c>
      <c r="D16" s="7">
        <f>IFERROR(Calcs!EQ420*$E$9,0)</f>
        <v>0</v>
      </c>
      <c r="E16" s="7">
        <f>IFERROR(Calcs!ER420*$E$9,0)</f>
        <v>0</v>
      </c>
      <c r="F16" s="7">
        <f>IF(Years="Five",IFERROR(Calcs!ES420*$E$9,0),0)</f>
        <v>0</v>
      </c>
      <c r="G16" s="7">
        <f>IFERROR(Calcs!ET420*$E$9,0)</f>
        <v>0</v>
      </c>
      <c r="H16" s="40"/>
      <c r="I16" s="6" t="str">
        <f t="shared" si="0"/>
        <v>May</v>
      </c>
      <c r="J16" s="7">
        <f>IFERROR(Calcs!EP420*$L$9,0)</f>
        <v>0</v>
      </c>
      <c r="K16" s="7">
        <f>IFERROR(Calcs!EQ420*$L$9,0)</f>
        <v>0</v>
      </c>
      <c r="L16" s="7">
        <f>IFERROR(Calcs!ER420*$L$9,0)</f>
        <v>0</v>
      </c>
      <c r="M16" s="7">
        <f>IF(Years="Five",IFERROR(Calcs!ES420*$L$9,0),0)</f>
        <v>0</v>
      </c>
      <c r="N16" s="7">
        <f>IFERROR(Calcs!ET420*$L$9,0)</f>
        <v>0</v>
      </c>
    </row>
    <row r="17" spans="1:29" s="5" customFormat="1" ht="13" customHeight="1" x14ac:dyDescent="0.3">
      <c r="A17" s="40"/>
      <c r="B17" s="6" t="s">
        <v>685</v>
      </c>
      <c r="C17" s="7">
        <f>IFERROR(Calcs!EP421*$E$9,0)</f>
        <v>0</v>
      </c>
      <c r="D17" s="7">
        <f>IFERROR(Calcs!EQ421*$E$9,0)</f>
        <v>0</v>
      </c>
      <c r="E17" s="7">
        <f>IFERROR(Calcs!ER421*$E$9,0)</f>
        <v>0</v>
      </c>
      <c r="F17" s="7">
        <f>IF(Years="Five",IFERROR(Calcs!ES421*$E$9,0),0)</f>
        <v>0</v>
      </c>
      <c r="G17" s="7">
        <f>IFERROR(Calcs!ET421*$E$9,0)</f>
        <v>0</v>
      </c>
      <c r="H17" s="40"/>
      <c r="I17" s="6" t="str">
        <f t="shared" si="0"/>
        <v>Jun</v>
      </c>
      <c r="J17" s="7">
        <f>IFERROR(Calcs!EP421*$L$9,0)</f>
        <v>0</v>
      </c>
      <c r="K17" s="7">
        <f>IFERROR(Calcs!EQ421*$L$9,0)</f>
        <v>0</v>
      </c>
      <c r="L17" s="7">
        <f>IFERROR(Calcs!ER421*$L$9,0)</f>
        <v>0</v>
      </c>
      <c r="M17" s="7">
        <f>IF(Years="Five",IFERROR(Calcs!ES421*$L$9,0),0)</f>
        <v>0</v>
      </c>
      <c r="N17" s="7">
        <f>IFERROR(Calcs!ET421*$L$9,0)</f>
        <v>0</v>
      </c>
    </row>
    <row r="18" spans="1:29" s="5" customFormat="1" ht="13" customHeight="1" x14ac:dyDescent="0.3">
      <c r="A18" s="40"/>
      <c r="B18" s="6" t="s">
        <v>686</v>
      </c>
      <c r="C18" s="7">
        <f>IFERROR(Calcs!EP422*$E$9,0)</f>
        <v>0</v>
      </c>
      <c r="D18" s="7">
        <f>IFERROR(Calcs!EQ422*$E$9,0)</f>
        <v>0</v>
      </c>
      <c r="E18" s="7">
        <f>IFERROR(Calcs!ER422*$E$9,0)</f>
        <v>0</v>
      </c>
      <c r="F18" s="7">
        <f>IF(Years="Five",IFERROR(Calcs!ES422*$E$9,0),0)</f>
        <v>0</v>
      </c>
      <c r="G18" s="7">
        <f>IFERROR(Calcs!ET422*$E$9,0)</f>
        <v>0</v>
      </c>
      <c r="H18" s="40"/>
      <c r="I18" s="6" t="str">
        <f t="shared" si="0"/>
        <v>Jul</v>
      </c>
      <c r="J18" s="7">
        <f>IFERROR(Calcs!EP422*$L$9,0)</f>
        <v>0</v>
      </c>
      <c r="K18" s="7">
        <f>IFERROR(Calcs!EQ422*$L$9,0)</f>
        <v>0</v>
      </c>
      <c r="L18" s="7">
        <f>IFERROR(Calcs!ER422*$L$9,0)</f>
        <v>0</v>
      </c>
      <c r="M18" s="7">
        <f>IF(Years="Five",IFERROR(Calcs!ES422*$L$9,0),0)</f>
        <v>0</v>
      </c>
      <c r="N18" s="7">
        <f>IFERROR(Calcs!ET422*$L$9,0)</f>
        <v>0</v>
      </c>
    </row>
    <row r="19" spans="1:29" s="5" customFormat="1" ht="13" customHeight="1" x14ac:dyDescent="0.3">
      <c r="A19" s="40"/>
      <c r="B19" s="6" t="s">
        <v>687</v>
      </c>
      <c r="C19" s="7">
        <f>IFERROR(Calcs!EP423*$E$9,0)</f>
        <v>0</v>
      </c>
      <c r="D19" s="7">
        <f>IFERROR(Calcs!EQ423*$E$9,0)</f>
        <v>0</v>
      </c>
      <c r="E19" s="7">
        <f>IFERROR(Calcs!ER423*$E$9,0)</f>
        <v>0</v>
      </c>
      <c r="F19" s="7">
        <f>IF(Years="Five",IFERROR(Calcs!ES423*$E$9,0),0)</f>
        <v>0</v>
      </c>
      <c r="G19" s="7">
        <f>IFERROR(Calcs!ET423*$E$9,0)</f>
        <v>0</v>
      </c>
      <c r="H19" s="40"/>
      <c r="I19" s="6" t="str">
        <f t="shared" si="0"/>
        <v>Aug</v>
      </c>
      <c r="J19" s="7">
        <f>IFERROR(Calcs!EP423*$L$9,0)</f>
        <v>0</v>
      </c>
      <c r="K19" s="7">
        <f>IFERROR(Calcs!EQ423*$L$9,0)</f>
        <v>0</v>
      </c>
      <c r="L19" s="7">
        <f>IFERROR(Calcs!ER423*$L$9,0)</f>
        <v>0</v>
      </c>
      <c r="M19" s="7">
        <f>IF(Years="Five",IFERROR(Calcs!ES423*$L$9,0),0)</f>
        <v>0</v>
      </c>
      <c r="N19" s="7">
        <f>IFERROR(Calcs!ET423*$L$9,0)</f>
        <v>0</v>
      </c>
    </row>
    <row r="20" spans="1:29" s="5" customFormat="1" ht="13" customHeight="1" x14ac:dyDescent="0.3">
      <c r="A20" s="40"/>
      <c r="B20" s="6" t="s">
        <v>688</v>
      </c>
      <c r="C20" s="7">
        <f>IFERROR(Calcs!EP424*$E$9,0)</f>
        <v>0</v>
      </c>
      <c r="D20" s="7">
        <f>IFERROR(Calcs!EQ424*$E$9,0)</f>
        <v>0</v>
      </c>
      <c r="E20" s="7">
        <f>IFERROR(Calcs!ER424*$E$9,0)</f>
        <v>0</v>
      </c>
      <c r="F20" s="7">
        <f>IF(Years="Five",IFERROR(Calcs!ES424*$E$9,0),0)</f>
        <v>0</v>
      </c>
      <c r="G20" s="7">
        <f>IFERROR(Calcs!ET424*$E$9,0)</f>
        <v>0</v>
      </c>
      <c r="H20" s="40"/>
      <c r="I20" s="6" t="str">
        <f t="shared" si="0"/>
        <v>Sep</v>
      </c>
      <c r="J20" s="7">
        <f>IFERROR(Calcs!EP424*$L$9,0)</f>
        <v>0</v>
      </c>
      <c r="K20" s="7">
        <f>IFERROR(Calcs!EQ424*$L$9,0)</f>
        <v>0</v>
      </c>
      <c r="L20" s="7">
        <f>IFERROR(Calcs!ER424*$L$9,0)</f>
        <v>0</v>
      </c>
      <c r="M20" s="7">
        <f>IF(Years="Five",IFERROR(Calcs!ES424*$L$9,0),0)</f>
        <v>0</v>
      </c>
      <c r="N20" s="7">
        <f>IFERROR(Calcs!ET424*$L$9,0)</f>
        <v>0</v>
      </c>
    </row>
    <row r="21" spans="1:29" s="5" customFormat="1" ht="13" customHeight="1" x14ac:dyDescent="0.3">
      <c r="A21" s="40"/>
      <c r="B21" s="6" t="s">
        <v>689</v>
      </c>
      <c r="C21" s="7">
        <f>IFERROR(Calcs!EP425*$E$9,0)</f>
        <v>0</v>
      </c>
      <c r="D21" s="7">
        <f>IFERROR(Calcs!EQ425*$E$9,0)</f>
        <v>0</v>
      </c>
      <c r="E21" s="7">
        <f>IFERROR(Calcs!ER425*$E$9,0)</f>
        <v>0</v>
      </c>
      <c r="F21" s="7">
        <f>IF(Years="Five",IFERROR(Calcs!ES425*$E$9,0),0)</f>
        <v>0</v>
      </c>
      <c r="G21" s="7">
        <f>IFERROR(Calcs!ET425*$E$9,0)</f>
        <v>0</v>
      </c>
      <c r="H21" s="40"/>
      <c r="I21" s="6" t="str">
        <f t="shared" si="0"/>
        <v>Oct</v>
      </c>
      <c r="J21" s="7">
        <f>IFERROR(Calcs!EP425*$L$9,0)</f>
        <v>0</v>
      </c>
      <c r="K21" s="7">
        <f>IFERROR(Calcs!EQ425*$L$9,0)</f>
        <v>0</v>
      </c>
      <c r="L21" s="7">
        <f>IFERROR(Calcs!ER425*$L$9,0)</f>
        <v>0</v>
      </c>
      <c r="M21" s="7">
        <f>IF(Years="Five",IFERROR(Calcs!ES425*$L$9,0),0)</f>
        <v>0</v>
      </c>
      <c r="N21" s="7">
        <f>IFERROR(Calcs!ET425*$L$9,0)</f>
        <v>0</v>
      </c>
    </row>
    <row r="22" spans="1:29" s="5" customFormat="1" ht="13" customHeight="1" x14ac:dyDescent="0.3">
      <c r="A22" s="40"/>
      <c r="B22" s="6" t="s">
        <v>690</v>
      </c>
      <c r="C22" s="7">
        <f>IFERROR(Calcs!EP426*$E$9,0)</f>
        <v>0</v>
      </c>
      <c r="D22" s="7">
        <f>IFERROR(Calcs!EQ426*$E$9,0)</f>
        <v>0</v>
      </c>
      <c r="E22" s="7">
        <f>IFERROR(Calcs!ER426*$E$9,0)</f>
        <v>0</v>
      </c>
      <c r="F22" s="7">
        <f>IF(Years="Five",IFERROR(Calcs!ES426*$E$9,0),0)</f>
        <v>0</v>
      </c>
      <c r="G22" s="7">
        <f>IFERROR(Calcs!ET426*$E$9,0)</f>
        <v>0</v>
      </c>
      <c r="H22" s="40"/>
      <c r="I22" s="6" t="str">
        <f t="shared" si="0"/>
        <v>Nov</v>
      </c>
      <c r="J22" s="7">
        <f>IFERROR(Calcs!EP426*$L$9,0)</f>
        <v>0</v>
      </c>
      <c r="K22" s="7">
        <f>IFERROR(Calcs!EQ426*$L$9,0)</f>
        <v>0</v>
      </c>
      <c r="L22" s="7">
        <f>IFERROR(Calcs!ER426*$L$9,0)</f>
        <v>0</v>
      </c>
      <c r="M22" s="7">
        <f>IF(Years="Five",IFERROR(Calcs!ES426*$L$9,0),0)</f>
        <v>0</v>
      </c>
      <c r="N22" s="7">
        <f>IFERROR(Calcs!ET426*$L$9,0)</f>
        <v>0</v>
      </c>
    </row>
    <row r="23" spans="1:29" s="5" customFormat="1" ht="13" customHeight="1" x14ac:dyDescent="0.3">
      <c r="A23" s="40"/>
      <c r="B23" s="6" t="s">
        <v>691</v>
      </c>
      <c r="C23" s="7">
        <f>IFERROR(Calcs!EP427*$E$9,0)</f>
        <v>0</v>
      </c>
      <c r="D23" s="7">
        <f>IFERROR(Calcs!EQ427*$E$9,0)</f>
        <v>0</v>
      </c>
      <c r="E23" s="7">
        <f>IFERROR(Calcs!ER427*$E$9,0)</f>
        <v>0</v>
      </c>
      <c r="F23" s="7">
        <f>IF(Years="Five",IFERROR(Calcs!ES427*$E$9,0),0)</f>
        <v>0</v>
      </c>
      <c r="G23" s="7">
        <f>IFERROR(Calcs!ET427*$E$9,0)</f>
        <v>0</v>
      </c>
      <c r="H23" s="40"/>
      <c r="I23" s="6" t="str">
        <f t="shared" si="0"/>
        <v>Dec</v>
      </c>
      <c r="J23" s="7">
        <f>IFERROR(Calcs!EP427*$L$9,0)</f>
        <v>0</v>
      </c>
      <c r="K23" s="7">
        <f>IFERROR(Calcs!EQ427*$L$9,0)</f>
        <v>0</v>
      </c>
      <c r="L23" s="7">
        <f>IFERROR(Calcs!ER427*$L$9,0)</f>
        <v>0</v>
      </c>
      <c r="M23" s="7">
        <f>IF(Years="Five",IFERROR(Calcs!ES427*$L$9,0),0)</f>
        <v>0</v>
      </c>
      <c r="N23" s="7">
        <f>IFERROR(Calcs!ET427*$L$9,0)</f>
        <v>0</v>
      </c>
    </row>
    <row r="24" spans="1:29" s="5" customFormat="1" ht="13" customHeight="1" x14ac:dyDescent="0.3">
      <c r="A24" s="40"/>
      <c r="B24" s="475" t="s">
        <v>692</v>
      </c>
      <c r="C24" s="676">
        <f>SUM(C12:C23)</f>
        <v>0</v>
      </c>
      <c r="D24" s="676">
        <f>SUM(D12:D23)</f>
        <v>0</v>
      </c>
      <c r="E24" s="676">
        <f>SUM(E12:E23)</f>
        <v>0</v>
      </c>
      <c r="F24" s="676">
        <f>SUM(F12:F23)</f>
        <v>0</v>
      </c>
      <c r="G24" s="676">
        <f>SUM(G12:G23)</f>
        <v>0</v>
      </c>
      <c r="H24" s="40"/>
      <c r="I24" s="475" t="s">
        <v>693</v>
      </c>
      <c r="J24" s="676">
        <f>SUM(J12:J23)</f>
        <v>0</v>
      </c>
      <c r="K24" s="676">
        <f>SUM(K12:K23)</f>
        <v>0</v>
      </c>
      <c r="L24" s="676">
        <f>SUM(L12:L23)</f>
        <v>0</v>
      </c>
      <c r="M24" s="676">
        <f>SUM(M12:M23)</f>
        <v>0</v>
      </c>
      <c r="N24" s="676">
        <f>SUM(N12:N23)</f>
        <v>0</v>
      </c>
    </row>
    <row r="25" spans="1:29" s="5" customFormat="1" ht="13" customHeight="1" x14ac:dyDescent="0.3">
      <c r="A25" s="40"/>
      <c r="H25" s="40"/>
    </row>
    <row r="26" spans="1:29" s="5" customFormat="1" ht="13" customHeight="1" x14ac:dyDescent="0.3">
      <c r="A26" s="40"/>
      <c r="H26" s="40"/>
    </row>
    <row r="27" spans="1:29" s="5" customFormat="1" ht="18" customHeight="1" x14ac:dyDescent="0.45">
      <c r="A27" s="40"/>
      <c r="C27" s="1846" t="s">
        <v>694</v>
      </c>
      <c r="D27" s="1846"/>
      <c r="E27" s="1846"/>
      <c r="F27" s="1846"/>
      <c r="G27" s="1846"/>
      <c r="H27" s="40"/>
      <c r="I27" s="767"/>
      <c r="J27" s="1846" t="s">
        <v>694</v>
      </c>
      <c r="K27" s="1846"/>
      <c r="L27" s="1846"/>
      <c r="M27" s="1846"/>
      <c r="N27" s="1846"/>
    </row>
    <row r="28" spans="1:29" s="5" customFormat="1" ht="13" customHeight="1" x14ac:dyDescent="0.3">
      <c r="A28" s="40"/>
      <c r="H28" s="40"/>
      <c r="S28" s="1280"/>
      <c r="T28" s="1280"/>
      <c r="U28" s="1280"/>
      <c r="V28" s="1280"/>
      <c r="W28" s="1280"/>
      <c r="X28" s="1280"/>
      <c r="Y28" s="1280"/>
      <c r="Z28" s="1280"/>
      <c r="AA28" s="1280"/>
      <c r="AB28" s="1280"/>
      <c r="AC28" s="1280"/>
    </row>
    <row r="29" spans="1:29" s="5" customFormat="1" ht="13" customHeight="1" x14ac:dyDescent="0.3">
      <c r="A29" s="40"/>
      <c r="B29" s="475" t="s">
        <v>694</v>
      </c>
      <c r="C29" s="1279" t="str">
        <f>C11</f>
        <v>Year 1</v>
      </c>
      <c r="D29" s="1279" t="str">
        <f>D11</f>
        <v>Year 2</v>
      </c>
      <c r="E29" s="1279" t="str">
        <f>E11</f>
        <v>Year 3</v>
      </c>
      <c r="F29" s="1279" t="str">
        <f>F11</f>
        <v>Year 4</v>
      </c>
      <c r="G29" s="1279" t="str">
        <f>G11</f>
        <v>Year 5</v>
      </c>
      <c r="H29" s="40"/>
      <c r="J29" s="1279" t="str">
        <f>C29</f>
        <v>Year 1</v>
      </c>
      <c r="K29" s="1279" t="str">
        <f>D29</f>
        <v>Year 2</v>
      </c>
      <c r="L29" s="1279" t="str">
        <f>E29</f>
        <v>Year 3</v>
      </c>
      <c r="M29" s="1279" t="str">
        <f>F29</f>
        <v>Year 4</v>
      </c>
      <c r="N29" s="1279" t="str">
        <f>G29</f>
        <v>Year 5</v>
      </c>
      <c r="S29" s="1280"/>
      <c r="T29" s="1280"/>
      <c r="U29" s="1280"/>
      <c r="V29" s="1280"/>
      <c r="W29" s="1280"/>
      <c r="X29" s="1280"/>
      <c r="Y29" s="1280"/>
      <c r="Z29" s="1280"/>
      <c r="AA29" s="1280"/>
      <c r="AB29" s="1280"/>
      <c r="AC29" s="1280"/>
    </row>
    <row r="30" spans="1:29" s="5" customFormat="1" ht="13" customHeight="1" x14ac:dyDescent="0.3">
      <c r="A30" s="40"/>
      <c r="B30" s="6" t="str">
        <f t="shared" ref="B30:B41" si="1">B12</f>
        <v>Jan</v>
      </c>
      <c r="C30" s="487">
        <f>IFERROR(Input!G1343,)</f>
        <v>0</v>
      </c>
      <c r="D30" s="487">
        <f>IFERROR(Input!G1355,0)</f>
        <v>0</v>
      </c>
      <c r="E30" s="487">
        <f>IFERROR(Input!G1367,0)</f>
        <v>0</v>
      </c>
      <c r="F30" s="487">
        <f>IF(Years="Five",IFERROR(Input!G1379,0),0)</f>
        <v>0</v>
      </c>
      <c r="G30" s="487">
        <f>IF(Years="Five",IFERROR(Input!G1391,0),0)</f>
        <v>0</v>
      </c>
      <c r="H30" s="40"/>
      <c r="I30" s="6" t="str">
        <f t="shared" ref="I30:I41" si="2">B30</f>
        <v>Jan</v>
      </c>
      <c r="J30" s="766">
        <f>Input!R1343</f>
        <v>0</v>
      </c>
      <c r="K30" s="766">
        <f>Input!R1355</f>
        <v>0</v>
      </c>
      <c r="L30" s="766">
        <f>Input!R1367</f>
        <v>0</v>
      </c>
      <c r="M30" s="766">
        <f>IF(Years="Five",Input!R1379,0)</f>
        <v>0</v>
      </c>
      <c r="N30" s="766">
        <f>IF(Years="Five",Input!R1391,0)</f>
        <v>0</v>
      </c>
      <c r="S30" s="1280"/>
      <c r="T30" s="1280"/>
      <c r="U30" s="1280"/>
      <c r="V30" s="1280"/>
      <c r="W30" s="1280"/>
      <c r="X30" s="1280"/>
      <c r="Y30" s="1280"/>
      <c r="Z30" s="1280"/>
      <c r="AA30" s="1280"/>
      <c r="AB30" s="1280"/>
      <c r="AC30" s="1280"/>
    </row>
    <row r="31" spans="1:29" s="5" customFormat="1" ht="13" customHeight="1" x14ac:dyDescent="0.3">
      <c r="A31" s="40"/>
      <c r="B31" s="6" t="str">
        <f t="shared" si="1"/>
        <v>Feb</v>
      </c>
      <c r="C31" s="487">
        <f>IFERROR(Input!G1344,)</f>
        <v>0</v>
      </c>
      <c r="D31" s="487">
        <f>IFERROR(Input!G1356,0)</f>
        <v>0</v>
      </c>
      <c r="E31" s="487">
        <f>IFERROR(Input!G1368,0)</f>
        <v>0</v>
      </c>
      <c r="F31" s="487">
        <f>IF(Years="Five",IFERROR(Input!G1380,0),0)</f>
        <v>0</v>
      </c>
      <c r="G31" s="487">
        <f>IF(Years="Five",IFERROR(Input!G1392,0),0)</f>
        <v>0</v>
      </c>
      <c r="H31" s="40"/>
      <c r="I31" s="6" t="str">
        <f t="shared" si="2"/>
        <v>Feb</v>
      </c>
      <c r="J31" s="766">
        <f>Input!R1344</f>
        <v>0</v>
      </c>
      <c r="K31" s="766">
        <f>Input!R1356</f>
        <v>0</v>
      </c>
      <c r="L31" s="766">
        <f>Input!R1368</f>
        <v>0</v>
      </c>
      <c r="M31" s="766">
        <f>IF(Years="Five",Input!R1380,0)</f>
        <v>0</v>
      </c>
      <c r="N31" s="766">
        <f>IF(Years="Five",Input!R1392,0)</f>
        <v>0</v>
      </c>
      <c r="S31" s="1280"/>
      <c r="T31" s="1280"/>
      <c r="U31" s="1280"/>
      <c r="V31" s="1280"/>
      <c r="W31" s="1280"/>
      <c r="X31" s="1280"/>
      <c r="Y31" s="1280"/>
      <c r="Z31" s="1280"/>
      <c r="AA31" s="1280"/>
      <c r="AB31" s="1280"/>
      <c r="AC31" s="1280"/>
    </row>
    <row r="32" spans="1:29" s="5" customFormat="1" ht="13" customHeight="1" x14ac:dyDescent="0.3">
      <c r="A32" s="40"/>
      <c r="B32" s="6" t="str">
        <f t="shared" si="1"/>
        <v>Mar</v>
      </c>
      <c r="C32" s="487">
        <f>IFERROR(Input!G1345,)</f>
        <v>0</v>
      </c>
      <c r="D32" s="487">
        <f>IFERROR(Input!G1357,0)</f>
        <v>0</v>
      </c>
      <c r="E32" s="487">
        <f>IFERROR(Input!G1369,0)</f>
        <v>0</v>
      </c>
      <c r="F32" s="487">
        <f>IF(Years="Five",IFERROR(Input!G1381,0),0)</f>
        <v>0</v>
      </c>
      <c r="G32" s="487">
        <f>IF(Years="Five",IFERROR(Input!G1393,0),0)</f>
        <v>0</v>
      </c>
      <c r="H32" s="40"/>
      <c r="I32" s="6" t="str">
        <f t="shared" si="2"/>
        <v>Mar</v>
      </c>
      <c r="J32" s="766">
        <f>Input!R1345</f>
        <v>0</v>
      </c>
      <c r="K32" s="766">
        <f>Input!R1357</f>
        <v>0</v>
      </c>
      <c r="L32" s="766">
        <f>Input!R1369</f>
        <v>0</v>
      </c>
      <c r="M32" s="766">
        <f>IF(Years="Five",Input!R1381,0)</f>
        <v>0</v>
      </c>
      <c r="N32" s="766">
        <f>IF(Years="Five",Input!R1393,0)</f>
        <v>0</v>
      </c>
      <c r="S32" s="1280"/>
      <c r="T32" s="1280"/>
      <c r="U32" s="1280"/>
      <c r="V32" s="1280"/>
      <c r="W32" s="1280"/>
      <c r="X32" s="1280"/>
      <c r="Y32" s="1280"/>
      <c r="Z32" s="1280"/>
      <c r="AA32" s="1280"/>
      <c r="AB32" s="1280"/>
      <c r="AC32" s="1280"/>
    </row>
    <row r="33" spans="1:32" s="5" customFormat="1" ht="13" customHeight="1" x14ac:dyDescent="0.3">
      <c r="A33" s="40"/>
      <c r="B33" s="6" t="str">
        <f t="shared" si="1"/>
        <v>Apr</v>
      </c>
      <c r="C33" s="487">
        <f>IFERROR(Input!G1346,)</f>
        <v>0</v>
      </c>
      <c r="D33" s="487">
        <f>IFERROR(Input!G1358,0)</f>
        <v>0</v>
      </c>
      <c r="E33" s="487">
        <f>IFERROR(Input!G1370,0)</f>
        <v>0</v>
      </c>
      <c r="F33" s="487">
        <f>IF(Years="Five",IFERROR(Input!G1382,0),0)</f>
        <v>0</v>
      </c>
      <c r="G33" s="487">
        <f>IF(Years="Five",IFERROR(Input!G1394,0),0)</f>
        <v>0</v>
      </c>
      <c r="H33" s="40"/>
      <c r="I33" s="6" t="str">
        <f t="shared" si="2"/>
        <v>Apr</v>
      </c>
      <c r="J33" s="766">
        <f>Input!R1346</f>
        <v>0</v>
      </c>
      <c r="K33" s="766">
        <f>Input!R1358</f>
        <v>0</v>
      </c>
      <c r="L33" s="766">
        <f>Input!R1370</f>
        <v>0</v>
      </c>
      <c r="M33" s="766">
        <f>IF(Years="Five",Input!R1382,0)</f>
        <v>0</v>
      </c>
      <c r="N33" s="766">
        <f>IF(Years="Five",Input!R1394,0)</f>
        <v>0</v>
      </c>
      <c r="S33" s="1280"/>
      <c r="T33" s="1280"/>
      <c r="U33" s="1280"/>
      <c r="V33" s="1280"/>
      <c r="W33" s="1280"/>
      <c r="X33" s="1280"/>
      <c r="Y33" s="1280"/>
      <c r="Z33" s="1280"/>
      <c r="AA33" s="1280"/>
      <c r="AB33" s="1280"/>
      <c r="AC33" s="1280"/>
    </row>
    <row r="34" spans="1:32" s="5" customFormat="1" ht="13" customHeight="1" x14ac:dyDescent="0.3">
      <c r="A34" s="40"/>
      <c r="B34" s="6" t="str">
        <f t="shared" si="1"/>
        <v>May</v>
      </c>
      <c r="C34" s="487">
        <f>IFERROR(Input!G1347,)</f>
        <v>0</v>
      </c>
      <c r="D34" s="487">
        <f>IFERROR(Input!G1359,0)</f>
        <v>0</v>
      </c>
      <c r="E34" s="487">
        <f>IFERROR(Input!G1371,0)</f>
        <v>0</v>
      </c>
      <c r="F34" s="487">
        <f>IF(Years="Five",IFERROR(Input!G1383,0),0)</f>
        <v>0</v>
      </c>
      <c r="G34" s="487">
        <f>IF(Years="Five",IFERROR(Input!G1395,0),0)</f>
        <v>0</v>
      </c>
      <c r="H34" s="40"/>
      <c r="I34" s="6" t="str">
        <f t="shared" si="2"/>
        <v>May</v>
      </c>
      <c r="J34" s="766">
        <f>Input!R1347</f>
        <v>0</v>
      </c>
      <c r="K34" s="766">
        <f>Input!R1359</f>
        <v>0</v>
      </c>
      <c r="L34" s="766">
        <f>Input!R1371</f>
        <v>0</v>
      </c>
      <c r="M34" s="766">
        <f>IF(Years="Five",Input!R1383,0)</f>
        <v>0</v>
      </c>
      <c r="N34" s="766">
        <f>IF(Years="Five",Input!R1395,0)</f>
        <v>0</v>
      </c>
      <c r="S34" s="1280"/>
      <c r="T34" s="1280"/>
      <c r="U34" s="1280"/>
      <c r="V34" s="1280"/>
      <c r="W34" s="1280"/>
      <c r="X34" s="1280"/>
      <c r="Y34" s="1280"/>
      <c r="Z34" s="1280"/>
      <c r="AA34" s="1280"/>
      <c r="AB34" s="1280"/>
      <c r="AC34" s="1280"/>
    </row>
    <row r="35" spans="1:32" s="5" customFormat="1" ht="13" customHeight="1" x14ac:dyDescent="0.3">
      <c r="A35" s="40"/>
      <c r="B35" s="6" t="str">
        <f t="shared" si="1"/>
        <v>Jun</v>
      </c>
      <c r="C35" s="487">
        <f>IFERROR(Input!G1348,)</f>
        <v>0</v>
      </c>
      <c r="D35" s="487">
        <f>IFERROR(Input!G1360,0)</f>
        <v>0</v>
      </c>
      <c r="E35" s="487">
        <f>IFERROR(Input!G1372,0)</f>
        <v>0</v>
      </c>
      <c r="F35" s="487">
        <f>IF(Years="Five",IFERROR(Input!G1384,0),0)</f>
        <v>0</v>
      </c>
      <c r="G35" s="487">
        <f>IF(Years="Five",IFERROR(Input!G1396,0),0)</f>
        <v>0</v>
      </c>
      <c r="H35" s="40"/>
      <c r="I35" s="6" t="str">
        <f t="shared" si="2"/>
        <v>Jun</v>
      </c>
      <c r="J35" s="766">
        <f>Input!R1348</f>
        <v>0</v>
      </c>
      <c r="K35" s="766">
        <f>Input!R1360</f>
        <v>0</v>
      </c>
      <c r="L35" s="766">
        <f>Input!R1372</f>
        <v>0</v>
      </c>
      <c r="M35" s="766">
        <f>IF(Years="Five",Input!R1384,0)</f>
        <v>0</v>
      </c>
      <c r="N35" s="766">
        <f>IF(Years="Five",Input!R1396,0)</f>
        <v>0</v>
      </c>
      <c r="S35" s="1280"/>
      <c r="T35" s="1280"/>
      <c r="U35" s="1280"/>
      <c r="V35" s="1280"/>
      <c r="W35" s="1280"/>
      <c r="X35" s="1280"/>
      <c r="Y35" s="1280"/>
      <c r="Z35" s="1280"/>
      <c r="AA35" s="1280"/>
      <c r="AB35" s="1280"/>
      <c r="AC35" s="1280"/>
    </row>
    <row r="36" spans="1:32" s="5" customFormat="1" ht="13" customHeight="1" x14ac:dyDescent="0.3">
      <c r="A36" s="40"/>
      <c r="B36" s="6" t="str">
        <f t="shared" si="1"/>
        <v>Jul</v>
      </c>
      <c r="C36" s="487">
        <f>IFERROR(Input!G1349,)</f>
        <v>0</v>
      </c>
      <c r="D36" s="487">
        <f>IFERROR(Input!G1361,0)</f>
        <v>0</v>
      </c>
      <c r="E36" s="487">
        <f>IFERROR(Input!G1373,0)</f>
        <v>0</v>
      </c>
      <c r="F36" s="487">
        <f>IF(Years="Five",IFERROR(Input!G1385,0),0)</f>
        <v>0</v>
      </c>
      <c r="G36" s="487">
        <f>IF(Years="Five",IFERROR(Input!G1397,0),0)</f>
        <v>0</v>
      </c>
      <c r="H36" s="40"/>
      <c r="I36" s="6" t="str">
        <f t="shared" si="2"/>
        <v>Jul</v>
      </c>
      <c r="J36" s="766">
        <f>Input!R1349</f>
        <v>0</v>
      </c>
      <c r="K36" s="766">
        <f>Input!R1361</f>
        <v>0</v>
      </c>
      <c r="L36" s="766">
        <f>Input!R1373</f>
        <v>0</v>
      </c>
      <c r="M36" s="766">
        <f>IF(Years="Five",Input!R1385,0)</f>
        <v>0</v>
      </c>
      <c r="N36" s="766">
        <f>IF(Years="Five",Input!R1397,0)</f>
        <v>0</v>
      </c>
      <c r="S36" s="1280"/>
      <c r="T36" s="1280"/>
      <c r="U36" s="1280"/>
      <c r="V36" s="1280"/>
      <c r="W36" s="1280"/>
      <c r="X36" s="1280"/>
      <c r="Y36" s="1280"/>
      <c r="Z36" s="1280"/>
      <c r="AA36" s="1280"/>
      <c r="AB36" s="1280"/>
      <c r="AC36" s="1280"/>
    </row>
    <row r="37" spans="1:32" s="5" customFormat="1" ht="13" customHeight="1" x14ac:dyDescent="0.3">
      <c r="A37" s="40"/>
      <c r="B37" s="6" t="str">
        <f t="shared" si="1"/>
        <v>Aug</v>
      </c>
      <c r="C37" s="487">
        <f>IFERROR(Input!G1350,)</f>
        <v>0</v>
      </c>
      <c r="D37" s="487">
        <f>IFERROR(Input!G1362,0)</f>
        <v>0</v>
      </c>
      <c r="E37" s="487">
        <f>IFERROR(Input!G1374,0)</f>
        <v>0</v>
      </c>
      <c r="F37" s="487">
        <f>IF(Years="Five",IFERROR(Input!G1386,0),0)</f>
        <v>0</v>
      </c>
      <c r="G37" s="487">
        <f>IF(Years="Five",IFERROR(Input!G1398,0),0)</f>
        <v>0</v>
      </c>
      <c r="H37" s="40"/>
      <c r="I37" s="6" t="str">
        <f t="shared" si="2"/>
        <v>Aug</v>
      </c>
      <c r="J37" s="766">
        <f>Input!R1350</f>
        <v>0</v>
      </c>
      <c r="K37" s="766">
        <f>Input!R1362</f>
        <v>0</v>
      </c>
      <c r="L37" s="766">
        <f>Input!R1374</f>
        <v>0</v>
      </c>
      <c r="M37" s="766">
        <f>IF(Years="Five",Input!R1386,0)</f>
        <v>0</v>
      </c>
      <c r="N37" s="766">
        <f>IF(Years="Five",Input!R1398,0)</f>
        <v>0</v>
      </c>
      <c r="S37" s="1280"/>
      <c r="T37" s="1280"/>
      <c r="U37" s="1280"/>
      <c r="V37" s="1280"/>
      <c r="W37" s="1280"/>
      <c r="X37" s="1280"/>
      <c r="Y37" s="1280"/>
      <c r="Z37" s="1280"/>
      <c r="AA37" s="1280"/>
      <c r="AB37" s="1280"/>
      <c r="AC37" s="1280"/>
    </row>
    <row r="38" spans="1:32" s="5" customFormat="1" ht="13" customHeight="1" x14ac:dyDescent="0.3">
      <c r="A38" s="40"/>
      <c r="B38" s="6" t="str">
        <f t="shared" si="1"/>
        <v>Sep</v>
      </c>
      <c r="C38" s="487">
        <f>IFERROR(Input!G1351,)</f>
        <v>0</v>
      </c>
      <c r="D38" s="487">
        <f>IFERROR(Input!G1363,0)</f>
        <v>0</v>
      </c>
      <c r="E38" s="487">
        <f>IFERROR(Input!G1375,0)</f>
        <v>0</v>
      </c>
      <c r="F38" s="487">
        <f>IF(Years="Five",IFERROR(Input!G1387,0),0)</f>
        <v>0</v>
      </c>
      <c r="G38" s="487">
        <f>IF(Years="Five",IFERROR(Input!G1399,0),0)</f>
        <v>0</v>
      </c>
      <c r="H38" s="40"/>
      <c r="I38" s="6" t="str">
        <f t="shared" si="2"/>
        <v>Sep</v>
      </c>
      <c r="J38" s="766">
        <f>Input!R1351</f>
        <v>0</v>
      </c>
      <c r="K38" s="766">
        <f>Input!R1363</f>
        <v>0</v>
      </c>
      <c r="L38" s="766">
        <f>Input!R1375</f>
        <v>0</v>
      </c>
      <c r="M38" s="766">
        <f>IF(Years="Five",Input!R1387,0)</f>
        <v>0</v>
      </c>
      <c r="N38" s="766">
        <f>IF(Years="Five",Input!R1399,0)</f>
        <v>0</v>
      </c>
      <c r="S38" s="1280"/>
      <c r="T38" s="1280"/>
      <c r="U38" s="1280"/>
      <c r="V38" s="1280"/>
      <c r="W38" s="1280"/>
      <c r="X38" s="1280"/>
      <c r="Y38" s="1280"/>
      <c r="Z38" s="1280"/>
      <c r="AA38" s="1280"/>
      <c r="AB38" s="1280"/>
      <c r="AC38" s="1280"/>
    </row>
    <row r="39" spans="1:32" s="5" customFormat="1" ht="13" customHeight="1" x14ac:dyDescent="0.3">
      <c r="A39" s="40"/>
      <c r="B39" s="6" t="str">
        <f t="shared" si="1"/>
        <v>Oct</v>
      </c>
      <c r="C39" s="487">
        <f>IFERROR(Input!G1352,)</f>
        <v>0</v>
      </c>
      <c r="D39" s="487">
        <f>IFERROR(Input!G1364,0)</f>
        <v>0</v>
      </c>
      <c r="E39" s="487">
        <f>IFERROR(Input!G1376,0)</f>
        <v>0</v>
      </c>
      <c r="F39" s="487">
        <f>IF(Years="Five",IFERROR(Input!G1388,0),0)</f>
        <v>0</v>
      </c>
      <c r="G39" s="487">
        <f>IF(Years="Five",IFERROR(Input!G1400,0),0)</f>
        <v>0</v>
      </c>
      <c r="H39" s="40"/>
      <c r="I39" s="6" t="str">
        <f t="shared" si="2"/>
        <v>Oct</v>
      </c>
      <c r="J39" s="766">
        <f>Input!R1352</f>
        <v>0</v>
      </c>
      <c r="K39" s="766">
        <f>Input!R1364</f>
        <v>0</v>
      </c>
      <c r="L39" s="766">
        <f>Input!R1376</f>
        <v>0</v>
      </c>
      <c r="M39" s="766">
        <f>IF(Years="Five",Input!R1388,0)</f>
        <v>0</v>
      </c>
      <c r="N39" s="766">
        <f>IF(Years="Five",Input!R1400,0)</f>
        <v>0</v>
      </c>
      <c r="S39" s="1280"/>
      <c r="T39" s="1280"/>
      <c r="U39" s="1280"/>
      <c r="V39" s="1280"/>
      <c r="W39" s="1280"/>
      <c r="X39" s="1280"/>
      <c r="Y39" s="1280"/>
      <c r="Z39" s="1280"/>
      <c r="AA39" s="1280"/>
      <c r="AB39" s="1280"/>
      <c r="AC39" s="1280"/>
    </row>
    <row r="40" spans="1:32" s="5" customFormat="1" ht="13" customHeight="1" x14ac:dyDescent="0.3">
      <c r="A40" s="40"/>
      <c r="B40" s="6" t="str">
        <f t="shared" si="1"/>
        <v>Nov</v>
      </c>
      <c r="C40" s="487">
        <f>IFERROR(Input!G1353,)</f>
        <v>0</v>
      </c>
      <c r="D40" s="487">
        <f>IFERROR(Input!G1365,0)</f>
        <v>0</v>
      </c>
      <c r="E40" s="487">
        <f>IFERROR(Input!G1377,0)</f>
        <v>0</v>
      </c>
      <c r="F40" s="487">
        <f>IF(Years="Five",IFERROR(Input!G1389,0),0)</f>
        <v>0</v>
      </c>
      <c r="G40" s="487">
        <f>IF(Years="Five",IFERROR(Input!G1401,0),0)</f>
        <v>0</v>
      </c>
      <c r="H40" s="40"/>
      <c r="I40" s="6" t="str">
        <f t="shared" si="2"/>
        <v>Nov</v>
      </c>
      <c r="J40" s="766">
        <f>Input!R1353</f>
        <v>0</v>
      </c>
      <c r="K40" s="766">
        <f>Input!R1365</f>
        <v>0</v>
      </c>
      <c r="L40" s="766">
        <f>Input!R1377</f>
        <v>0</v>
      </c>
      <c r="M40" s="766">
        <f>IF(Years="Five",Input!R1389,0)</f>
        <v>0</v>
      </c>
      <c r="N40" s="766">
        <f>IF(Years="Five",Input!R1401,0)</f>
        <v>0</v>
      </c>
      <c r="S40" s="1280"/>
      <c r="T40" s="1280"/>
      <c r="U40" s="1280"/>
      <c r="V40" s="1280"/>
      <c r="W40" s="1280"/>
      <c r="X40" s="1280"/>
      <c r="Y40" s="1280"/>
      <c r="Z40" s="1280"/>
      <c r="AA40" s="1280"/>
      <c r="AB40" s="1280"/>
      <c r="AC40" s="1280"/>
    </row>
    <row r="41" spans="1:32" s="5" customFormat="1" ht="13" customHeight="1" x14ac:dyDescent="0.3">
      <c r="A41" s="40"/>
      <c r="B41" s="6" t="str">
        <f t="shared" si="1"/>
        <v>Dec</v>
      </c>
      <c r="C41" s="487">
        <f>IFERROR(Input!G1354,)</f>
        <v>0</v>
      </c>
      <c r="D41" s="487">
        <f>IFERROR(Input!G1366,0)</f>
        <v>0</v>
      </c>
      <c r="E41" s="487">
        <f>IFERROR(Input!G1378,0)</f>
        <v>0</v>
      </c>
      <c r="F41" s="487">
        <f>IF(Years="Five",IFERROR(Input!G1390,0),0)</f>
        <v>0</v>
      </c>
      <c r="G41" s="487">
        <f>IF(Years="Five",IFERROR(Input!G1402,0),0)</f>
        <v>0</v>
      </c>
      <c r="H41" s="40"/>
      <c r="I41" s="6" t="str">
        <f t="shared" si="2"/>
        <v>Dec</v>
      </c>
      <c r="J41" s="884">
        <f>Input!R1354</f>
        <v>0</v>
      </c>
      <c r="K41" s="884">
        <f>Input!R1366</f>
        <v>0</v>
      </c>
      <c r="L41" s="884">
        <f>Input!R1378</f>
        <v>0</v>
      </c>
      <c r="M41" s="884">
        <f>IF(Years="Five",Input!R1390,0)</f>
        <v>0</v>
      </c>
      <c r="N41" s="884">
        <f>IF(Years="Five",Input!R1402,0)</f>
        <v>0</v>
      </c>
      <c r="S41" s="1280"/>
      <c r="T41" s="1280"/>
      <c r="U41" s="1280"/>
      <c r="V41" s="1280"/>
      <c r="W41" s="1280"/>
      <c r="X41" s="1280"/>
      <c r="Y41" s="1280"/>
      <c r="Z41" s="1280"/>
      <c r="AA41" s="1280"/>
      <c r="AB41" s="1280"/>
      <c r="AC41" s="1280"/>
    </row>
    <row r="42" spans="1:32" s="5" customFormat="1" ht="13" customHeight="1" x14ac:dyDescent="0.3">
      <c r="A42" s="40"/>
      <c r="B42" s="475" t="s">
        <v>131</v>
      </c>
      <c r="C42" s="677">
        <f>SUM(C30:C41)</f>
        <v>0</v>
      </c>
      <c r="D42" s="677">
        <f>SUM(D30:D41)</f>
        <v>0</v>
      </c>
      <c r="E42" s="677">
        <f>SUM(E30:E41)</f>
        <v>0</v>
      </c>
      <c r="F42" s="677">
        <f>SUM(F30:F41)</f>
        <v>0</v>
      </c>
      <c r="G42" s="677">
        <f>SUM(G30:G41)</f>
        <v>0</v>
      </c>
      <c r="H42" s="40"/>
      <c r="I42" s="475" t="s">
        <v>131</v>
      </c>
      <c r="J42" s="883">
        <f>SUM(J30:J41)</f>
        <v>0</v>
      </c>
      <c r="K42" s="883">
        <f>SUM(K30:K41)</f>
        <v>0</v>
      </c>
      <c r="L42" s="883">
        <f>SUM(L30:L41)</f>
        <v>0</v>
      </c>
      <c r="M42" s="883">
        <f>SUM(M30:M41)</f>
        <v>0</v>
      </c>
      <c r="N42" s="883">
        <f>SUM(N30:N41)</f>
        <v>0</v>
      </c>
      <c r="S42" s="1280"/>
      <c r="T42" s="1280"/>
      <c r="U42" s="1280"/>
      <c r="V42" s="1280"/>
      <c r="W42" s="1280"/>
      <c r="X42" s="1280"/>
      <c r="Y42" s="1280"/>
      <c r="Z42" s="1280"/>
      <c r="AA42" s="1280"/>
      <c r="AB42" s="1280"/>
      <c r="AC42" s="1280"/>
    </row>
    <row r="43" spans="1:32" s="5" customFormat="1" ht="13" customHeight="1" x14ac:dyDescent="0.3">
      <c r="A43" s="40"/>
      <c r="H43" s="40"/>
      <c r="S43" s="1280"/>
      <c r="T43" s="1280"/>
      <c r="U43" s="1280"/>
      <c r="V43" s="1280"/>
      <c r="W43" s="1280"/>
      <c r="X43" s="1280"/>
      <c r="Y43" s="1280"/>
      <c r="Z43" s="1280"/>
      <c r="AA43" s="1280"/>
      <c r="AB43" s="1280"/>
      <c r="AC43" s="1280"/>
    </row>
    <row r="44" spans="1:32" s="5" customFormat="1" ht="13" customHeight="1" x14ac:dyDescent="0.3">
      <c r="A44" s="40"/>
      <c r="H44" s="40"/>
      <c r="S44" s="1280"/>
      <c r="T44" s="1280"/>
      <c r="U44" s="1280"/>
      <c r="V44" s="1280"/>
      <c r="W44" s="1280"/>
      <c r="X44" s="1280"/>
      <c r="Y44" s="1280"/>
      <c r="Z44" s="1280"/>
      <c r="AA44" s="1280"/>
      <c r="AB44" s="1280"/>
      <c r="AC44" s="1280"/>
    </row>
    <row r="45" spans="1:32" s="5" customFormat="1" ht="18" customHeight="1" x14ac:dyDescent="0.45">
      <c r="A45" s="40"/>
      <c r="C45" s="1846" t="s">
        <v>695</v>
      </c>
      <c r="D45" s="1846"/>
      <c r="E45" s="1846"/>
      <c r="F45" s="1846"/>
      <c r="G45" s="1846"/>
      <c r="H45" s="40"/>
      <c r="J45" s="1846" t="s">
        <v>695</v>
      </c>
      <c r="K45" s="1846"/>
      <c r="L45" s="1846"/>
      <c r="M45" s="1846"/>
      <c r="N45" s="1846"/>
      <c r="Q45" s="108"/>
      <c r="R45" s="108"/>
      <c r="S45" s="108"/>
      <c r="T45" s="108"/>
      <c r="U45" s="108"/>
      <c r="V45" s="108"/>
      <c r="W45" s="108"/>
      <c r="X45" s="108"/>
      <c r="Y45" s="108"/>
      <c r="Z45" s="108"/>
      <c r="AA45" s="108"/>
      <c r="AB45" s="108"/>
      <c r="AC45" s="108"/>
      <c r="AD45" s="108"/>
      <c r="AE45" s="108"/>
      <c r="AF45" s="108"/>
    </row>
    <row r="46" spans="1:32" s="5" customFormat="1" ht="13" customHeight="1" x14ac:dyDescent="0.3">
      <c r="A46" s="40"/>
      <c r="H46" s="40"/>
      <c r="Q46" s="108"/>
      <c r="R46" s="108"/>
      <c r="S46" s="108"/>
      <c r="T46" s="108"/>
      <c r="U46" s="108"/>
      <c r="V46" s="108"/>
      <c r="W46" s="108"/>
      <c r="X46" s="108"/>
      <c r="Y46" s="108"/>
      <c r="Z46" s="108"/>
      <c r="AA46" s="108"/>
      <c r="AB46" s="108"/>
      <c r="AC46" s="108"/>
      <c r="AD46" s="108"/>
      <c r="AE46" s="108"/>
      <c r="AF46" s="108"/>
    </row>
    <row r="47" spans="1:32" s="5" customFormat="1" ht="13" customHeight="1" x14ac:dyDescent="0.3">
      <c r="A47" s="40"/>
      <c r="C47" s="1279" t="str">
        <f>C11</f>
        <v>Year 1</v>
      </c>
      <c r="D47" s="1279" t="str">
        <f>D11</f>
        <v>Year 2</v>
      </c>
      <c r="E47" s="1279" t="str">
        <f>E11</f>
        <v>Year 3</v>
      </c>
      <c r="F47" s="1279" t="str">
        <f>F11</f>
        <v>Year 4</v>
      </c>
      <c r="G47" s="1279" t="str">
        <f>G11</f>
        <v>Year 5</v>
      </c>
      <c r="H47" s="40"/>
      <c r="J47" s="1279" t="str">
        <f>C29</f>
        <v>Year 1</v>
      </c>
      <c r="K47" s="1279" t="str">
        <f>D29</f>
        <v>Year 2</v>
      </c>
      <c r="L47" s="1279" t="str">
        <f>E29</f>
        <v>Year 3</v>
      </c>
      <c r="M47" s="1279" t="str">
        <f>F29</f>
        <v>Year 4</v>
      </c>
      <c r="N47" s="1279" t="str">
        <f>G29</f>
        <v>Year 5</v>
      </c>
      <c r="Q47" s="108"/>
      <c r="R47" s="108"/>
      <c r="S47" s="680" t="s">
        <v>207</v>
      </c>
      <c r="T47" s="684">
        <f>Input!D1314</f>
        <v>0</v>
      </c>
      <c r="U47" s="108"/>
      <c r="V47" s="685" t="s">
        <v>210</v>
      </c>
      <c r="W47" s="685"/>
      <c r="X47" s="108"/>
      <c r="Y47" s="108"/>
      <c r="Z47" s="680" t="s">
        <v>696</v>
      </c>
      <c r="AA47" s="681">
        <f>C48</f>
        <v>0</v>
      </c>
      <c r="AB47" s="681">
        <f>D48</f>
        <v>0</v>
      </c>
      <c r="AC47" s="681">
        <f>E48</f>
        <v>0</v>
      </c>
      <c r="AD47" s="681">
        <f>F48</f>
        <v>0</v>
      </c>
      <c r="AE47" s="681">
        <f>G48</f>
        <v>0</v>
      </c>
      <c r="AF47" s="108"/>
    </row>
    <row r="48" spans="1:32" s="5" customFormat="1" ht="13" customHeight="1" x14ac:dyDescent="0.3">
      <c r="A48" s="40"/>
      <c r="B48" s="6" t="s">
        <v>696</v>
      </c>
      <c r="C48" s="7">
        <f>C24*$E9</f>
        <v>0</v>
      </c>
      <c r="D48" s="7">
        <f>D24*$E9</f>
        <v>0</v>
      </c>
      <c r="E48" s="7">
        <f>E24*$E9</f>
        <v>0</v>
      </c>
      <c r="F48" s="7">
        <f>F24*$E9</f>
        <v>0</v>
      </c>
      <c r="G48" s="7">
        <f>G24*$E9</f>
        <v>0</v>
      </c>
      <c r="H48" s="40"/>
      <c r="I48" s="6" t="s">
        <v>696</v>
      </c>
      <c r="J48" s="7">
        <f>C24*$L9</f>
        <v>0</v>
      </c>
      <c r="K48" s="7">
        <f>D24*$L9</f>
        <v>0</v>
      </c>
      <c r="L48" s="7">
        <f>E24*$L9</f>
        <v>0</v>
      </c>
      <c r="M48" s="7">
        <f>F24*$L9</f>
        <v>0</v>
      </c>
      <c r="N48" s="7">
        <f>G24*$L9</f>
        <v>0</v>
      </c>
      <c r="Q48" s="108"/>
      <c r="R48" s="108"/>
      <c r="S48" s="680" t="s">
        <v>225</v>
      </c>
      <c r="T48" s="686">
        <f>Input!D1315</f>
        <v>0</v>
      </c>
      <c r="U48" s="108"/>
      <c r="V48" s="680" t="s">
        <v>207</v>
      </c>
      <c r="W48" s="684">
        <f>Input!O1314</f>
        <v>0</v>
      </c>
      <c r="X48" s="108"/>
      <c r="Y48" s="108"/>
      <c r="Z48" s="680" t="s">
        <v>697</v>
      </c>
      <c r="AA48" s="681">
        <f>SUM(C146:N146)</f>
        <v>0</v>
      </c>
      <c r="AB48" s="681">
        <f>SUM(O146:Z146)</f>
        <v>0</v>
      </c>
      <c r="AC48" s="681">
        <f>SUM(AA146:AL146)</f>
        <v>0</v>
      </c>
      <c r="AD48" s="681">
        <f>SUM(AM146:AX146)</f>
        <v>0</v>
      </c>
      <c r="AE48" s="681">
        <f>SUM(AY146:BJ146)</f>
        <v>0</v>
      </c>
      <c r="AF48" s="108"/>
    </row>
    <row r="49" spans="1:32" s="5" customFormat="1" ht="13" customHeight="1" x14ac:dyDescent="0.3">
      <c r="A49" s="40"/>
      <c r="B49" s="6" t="s">
        <v>694</v>
      </c>
      <c r="C49" s="678">
        <f>C42</f>
        <v>0</v>
      </c>
      <c r="D49" s="678">
        <f>D42</f>
        <v>0</v>
      </c>
      <c r="E49" s="678">
        <f>E42</f>
        <v>0</v>
      </c>
      <c r="F49" s="678">
        <f>F42</f>
        <v>0</v>
      </c>
      <c r="G49" s="678">
        <f>G42</f>
        <v>0</v>
      </c>
      <c r="H49" s="40"/>
      <c r="I49" s="6" t="s">
        <v>694</v>
      </c>
      <c r="J49" s="678">
        <f>J42</f>
        <v>0</v>
      </c>
      <c r="K49" s="678">
        <f>K42</f>
        <v>0</v>
      </c>
      <c r="L49" s="678">
        <f>L42</f>
        <v>0</v>
      </c>
      <c r="M49" s="678">
        <f>M42</f>
        <v>0</v>
      </c>
      <c r="N49" s="678">
        <f>N42</f>
        <v>0</v>
      </c>
      <c r="Q49" s="108"/>
      <c r="R49" s="108"/>
      <c r="S49" s="680" t="s">
        <v>698</v>
      </c>
      <c r="T49" s="687">
        <f>IFERROR(1/T48,0)</f>
        <v>0</v>
      </c>
      <c r="U49" s="108"/>
      <c r="V49" s="680" t="s">
        <v>225</v>
      </c>
      <c r="W49" s="686">
        <f>Input!O1315</f>
        <v>0</v>
      </c>
      <c r="X49" s="108"/>
      <c r="Y49" s="108"/>
      <c r="Z49" s="680" t="s">
        <v>699</v>
      </c>
      <c r="AA49" s="681">
        <f>SUM(C199:N199)</f>
        <v>0</v>
      </c>
      <c r="AB49" s="681">
        <f>SUM(O199:Z199)</f>
        <v>0</v>
      </c>
      <c r="AC49" s="681">
        <f>SUM(AA199:AL199)</f>
        <v>0</v>
      </c>
      <c r="AD49" s="681">
        <f>SUM(AM199:AX199)</f>
        <v>0</v>
      </c>
      <c r="AE49" s="681">
        <f>SUM(AY199:BJ199)</f>
        <v>0</v>
      </c>
      <c r="AF49" s="108"/>
    </row>
    <row r="50" spans="1:32" s="5" customFormat="1" ht="13" customHeight="1" x14ac:dyDescent="0.3">
      <c r="A50" s="40"/>
      <c r="H50" s="40"/>
      <c r="Q50" s="108"/>
      <c r="R50" s="108"/>
      <c r="S50" s="680" t="s">
        <v>700</v>
      </c>
      <c r="T50" s="681">
        <f>IFERROR(1/T48*T47,0)</f>
        <v>0</v>
      </c>
      <c r="U50" s="108"/>
      <c r="V50" s="680" t="s">
        <v>701</v>
      </c>
      <c r="W50" s="680">
        <f>IFERROR(1/W49&amp;" years",0)</f>
        <v>0</v>
      </c>
      <c r="X50" s="108"/>
      <c r="Y50" s="108"/>
      <c r="Z50" s="682" t="s">
        <v>702</v>
      </c>
      <c r="AA50" s="683">
        <f>SUM(AA47:AA49)</f>
        <v>0</v>
      </c>
      <c r="AB50" s="683">
        <f>SUM(AB47:AB49)</f>
        <v>0</v>
      </c>
      <c r="AC50" s="683">
        <f>SUM(AC47:AC49)</f>
        <v>0</v>
      </c>
      <c r="AD50" s="683">
        <f>SUM(AD47:AD49)</f>
        <v>0</v>
      </c>
      <c r="AE50" s="683">
        <f>SUM(AE47:AE49)</f>
        <v>0</v>
      </c>
      <c r="AF50" s="108"/>
    </row>
    <row r="51" spans="1:32" s="5" customFormat="1" ht="13" customHeight="1" thickBot="1" x14ac:dyDescent="0.35">
      <c r="A51" s="40"/>
      <c r="B51" s="475" t="s">
        <v>703</v>
      </c>
      <c r="C51" s="679">
        <f>IF(C49&gt;0,C48/C49,0)</f>
        <v>0</v>
      </c>
      <c r="D51" s="679">
        <f>IF(D49&gt;0,D48/D49,0)</f>
        <v>0</v>
      </c>
      <c r="E51" s="679">
        <f>IF(E49&gt;0,E48/E49,0)</f>
        <v>0</v>
      </c>
      <c r="F51" s="679">
        <f>IF(F49&gt;0,F48/F49,0)</f>
        <v>0</v>
      </c>
      <c r="G51" s="679">
        <f>IF(G49&gt;0,G48/G49,0)</f>
        <v>0</v>
      </c>
      <c r="H51" s="40"/>
      <c r="I51" s="475" t="s">
        <v>703</v>
      </c>
      <c r="J51" s="679">
        <f>IF(J49&gt;0,J48/J49,0)</f>
        <v>0</v>
      </c>
      <c r="K51" s="679">
        <f>IF(K49&gt;0,K48/K49,0)</f>
        <v>0</v>
      </c>
      <c r="L51" s="679">
        <f>IF(L49&gt;0,L48/L49,0)</f>
        <v>0</v>
      </c>
      <c r="M51" s="679">
        <f>IF(M49&gt;0,M48/M49,0)</f>
        <v>0</v>
      </c>
      <c r="N51" s="679">
        <f>IF(N49&gt;0,N48/N49,0)</f>
        <v>0</v>
      </c>
      <c r="Q51" s="108"/>
      <c r="R51" s="108"/>
      <c r="S51" s="108"/>
      <c r="T51" s="108"/>
      <c r="U51" s="108"/>
      <c r="V51" s="680" t="s">
        <v>700</v>
      </c>
      <c r="W51" s="681">
        <f>IFERROR(1/W49*W48,0)</f>
        <v>0</v>
      </c>
      <c r="X51" s="108"/>
      <c r="Y51" s="108"/>
      <c r="Z51" s="108"/>
      <c r="AA51" s="108"/>
      <c r="AB51" s="108"/>
      <c r="AC51" s="108"/>
      <c r="AD51" s="108"/>
      <c r="AE51" s="108"/>
      <c r="AF51" s="108"/>
    </row>
    <row r="52" spans="1:32" s="5" customFormat="1" ht="13" customHeight="1" thickTop="1" x14ac:dyDescent="0.3">
      <c r="A52" s="40"/>
      <c r="H52" s="40"/>
      <c r="Q52" s="108"/>
      <c r="R52" s="108"/>
      <c r="S52" s="108"/>
      <c r="T52" s="108"/>
      <c r="U52" s="108"/>
      <c r="V52" s="108"/>
      <c r="W52" s="108"/>
      <c r="X52" s="108"/>
      <c r="Y52" s="108"/>
      <c r="Z52" s="108"/>
      <c r="AA52" s="108"/>
      <c r="AB52" s="108"/>
      <c r="AC52" s="108"/>
      <c r="AD52" s="108"/>
      <c r="AE52" s="108"/>
      <c r="AF52" s="108"/>
    </row>
    <row r="53" spans="1:32" s="5" customFormat="1" ht="13" customHeight="1" x14ac:dyDescent="0.3">
      <c r="A53" s="40"/>
      <c r="B53" s="6" t="s">
        <v>700</v>
      </c>
      <c r="C53" s="488">
        <f>T50</f>
        <v>0</v>
      </c>
      <c r="D53" s="488">
        <f>C53</f>
        <v>0</v>
      </c>
      <c r="E53" s="488">
        <f>D53</f>
        <v>0</v>
      </c>
      <c r="F53" s="488">
        <f>IF(Years="Five",E53,0)</f>
        <v>0</v>
      </c>
      <c r="G53" s="488">
        <f>F53</f>
        <v>0</v>
      </c>
      <c r="H53" s="40"/>
      <c r="I53" s="6" t="s">
        <v>700</v>
      </c>
      <c r="J53" s="488">
        <f>W51</f>
        <v>0</v>
      </c>
      <c r="K53" s="488">
        <f>J53</f>
        <v>0</v>
      </c>
      <c r="L53" s="488">
        <f>K53</f>
        <v>0</v>
      </c>
      <c r="M53" s="488">
        <f>IF(Years="Five",L53,0)</f>
        <v>0</v>
      </c>
      <c r="N53" s="488">
        <f>M53</f>
        <v>0</v>
      </c>
      <c r="Q53" s="108"/>
      <c r="R53" s="108"/>
      <c r="S53" s="108"/>
      <c r="T53" s="108"/>
      <c r="U53" s="108"/>
      <c r="V53" s="108"/>
      <c r="W53" s="108"/>
      <c r="X53" s="108"/>
      <c r="Y53" s="108"/>
      <c r="Z53" s="108"/>
      <c r="AA53" s="108"/>
      <c r="AB53" s="108"/>
      <c r="AC53" s="108"/>
      <c r="AD53" s="108"/>
      <c r="AE53" s="108"/>
      <c r="AF53" s="108"/>
    </row>
    <row r="54" spans="1:32" s="5" customFormat="1" ht="13" customHeight="1" x14ac:dyDescent="0.3">
      <c r="A54" s="40"/>
      <c r="B54" s="6"/>
      <c r="H54" s="40"/>
      <c r="I54" s="6"/>
      <c r="Q54" s="108"/>
      <c r="R54" s="108"/>
      <c r="S54" s="108"/>
      <c r="T54" s="108"/>
      <c r="U54" s="108"/>
      <c r="V54" s="108"/>
      <c r="W54" s="108"/>
      <c r="X54" s="108"/>
      <c r="Y54" s="108"/>
      <c r="Z54" s="108"/>
      <c r="AA54" s="108"/>
      <c r="AB54" s="108"/>
      <c r="AC54" s="108"/>
      <c r="AD54" s="108"/>
      <c r="AE54" s="108"/>
      <c r="AF54" s="108"/>
    </row>
    <row r="55" spans="1:32" s="5" customFormat="1" ht="13" customHeight="1" thickBot="1" x14ac:dyDescent="0.35">
      <c r="A55" s="40"/>
      <c r="B55" s="475" t="s">
        <v>704</v>
      </c>
      <c r="C55" s="679">
        <f>IF(C53&gt;0,C53-C51,0)</f>
        <v>0</v>
      </c>
      <c r="D55" s="679">
        <f>IF(D53&gt;0,D53-D51,0)</f>
        <v>0</v>
      </c>
      <c r="E55" s="679">
        <f>IF(E53&gt;0,E53-E51,0)</f>
        <v>0</v>
      </c>
      <c r="F55" s="679">
        <f>IF(F53&gt;0,F53-F51,0)</f>
        <v>0</v>
      </c>
      <c r="G55" s="679">
        <f>IF(G53&gt;0,G53-G51,0)</f>
        <v>0</v>
      </c>
      <c r="H55" s="40"/>
      <c r="I55" s="475" t="s">
        <v>704</v>
      </c>
      <c r="J55" s="679">
        <f>IF(J53&gt;0,J53-J51,0)</f>
        <v>0</v>
      </c>
      <c r="K55" s="679">
        <f>IF(K53&gt;0,K53-K51,0)</f>
        <v>0</v>
      </c>
      <c r="L55" s="679">
        <f>IF(L53&gt;0,L53-L51,0)</f>
        <v>0</v>
      </c>
      <c r="M55" s="679">
        <f>IF(M53&gt;0,M53-M51,0)</f>
        <v>0</v>
      </c>
      <c r="N55" s="679">
        <f>IF(N53&gt;0,N53-N51,0)</f>
        <v>0</v>
      </c>
      <c r="S55" s="1280"/>
      <c r="T55" s="1280"/>
      <c r="U55" s="1280"/>
      <c r="V55" s="1280"/>
      <c r="W55" s="1280"/>
      <c r="X55" s="1280"/>
      <c r="Y55" s="1280"/>
      <c r="Z55" s="1280"/>
      <c r="AA55" s="1280"/>
      <c r="AB55" s="1280"/>
      <c r="AC55" s="1280"/>
    </row>
    <row r="56" spans="1:32" s="5" customFormat="1" ht="13" customHeight="1" thickTop="1" x14ac:dyDescent="0.3">
      <c r="A56" s="40"/>
      <c r="B56" s="278"/>
      <c r="H56" s="40"/>
      <c r="I56" s="278"/>
      <c r="S56" s="1280"/>
      <c r="T56" s="1280"/>
      <c r="U56" s="1280"/>
      <c r="V56" s="1280"/>
      <c r="W56" s="1280"/>
      <c r="X56" s="1280"/>
      <c r="Y56" s="1280"/>
      <c r="Z56" s="1280"/>
      <c r="AA56" s="1280"/>
      <c r="AB56" s="1280"/>
      <c r="AC56" s="1280"/>
    </row>
    <row r="57" spans="1:32" s="5" customFormat="1" ht="13" customHeight="1" thickBot="1" x14ac:dyDescent="0.35">
      <c r="A57" s="40"/>
      <c r="B57" s="475" t="s">
        <v>705</v>
      </c>
      <c r="C57" s="765">
        <f>IF(C51&gt;0,C55/C51,0)</f>
        <v>0</v>
      </c>
      <c r="D57" s="765">
        <f>IF(D51&gt;0,D55/D51,0)</f>
        <v>0</v>
      </c>
      <c r="E57" s="765">
        <f>IF(E51&gt;0,E55/E51,0)</f>
        <v>0</v>
      </c>
      <c r="F57" s="765">
        <f>IF(F51&gt;0,F55/F51,0)</f>
        <v>0</v>
      </c>
      <c r="G57" s="765">
        <f>IF(G51&gt;0,G55/G51,0)</f>
        <v>0</v>
      </c>
      <c r="H57" s="40"/>
      <c r="I57" s="475" t="s">
        <v>705</v>
      </c>
      <c r="J57" s="765">
        <f>IF(J51&gt;0,J55/J51,0)</f>
        <v>0</v>
      </c>
      <c r="K57" s="765">
        <f>IF(K51&gt;0,K55/K51,0)</f>
        <v>0</v>
      </c>
      <c r="L57" s="765">
        <f>IF(L51&gt;0,L55/L51,0)</f>
        <v>0</v>
      </c>
      <c r="M57" s="765">
        <f>IF(M51&gt;0,M55/M51,0)</f>
        <v>0</v>
      </c>
      <c r="N57" s="765">
        <f>IF(N51&gt;0,N55/N51,0)</f>
        <v>0</v>
      </c>
      <c r="S57" s="1280"/>
      <c r="T57" s="1280"/>
      <c r="U57" s="1280"/>
      <c r="V57" s="1280"/>
      <c r="W57" s="1280"/>
      <c r="X57" s="1280"/>
      <c r="Y57" s="1280"/>
      <c r="Z57" s="1280"/>
      <c r="AA57" s="1280"/>
      <c r="AB57" s="1280"/>
      <c r="AC57" s="1280"/>
    </row>
    <row r="58" spans="1:32" s="5" customFormat="1" ht="13" customHeight="1" thickTop="1" x14ac:dyDescent="0.3">
      <c r="A58" s="40"/>
      <c r="H58" s="40"/>
      <c r="S58" s="1280"/>
      <c r="T58" s="1280"/>
      <c r="U58" s="1280"/>
      <c r="V58" s="1280"/>
      <c r="W58" s="1280"/>
      <c r="X58" s="1280"/>
      <c r="Y58" s="1280"/>
      <c r="Z58" s="1280"/>
      <c r="AA58" s="1280"/>
      <c r="AB58" s="1280"/>
      <c r="AC58" s="1280"/>
    </row>
    <row r="59" spans="1:32" s="5" customFormat="1" ht="23.25" customHeight="1" x14ac:dyDescent="0.3">
      <c r="A59" s="40"/>
      <c r="C59" s="730" t="str">
        <f>IF(Input!M1319=0,"(There is no monthly subscription revenue yet)","")</f>
        <v>(There is no monthly subscription revenue yet)</v>
      </c>
      <c r="D59" s="16"/>
      <c r="E59" s="16"/>
      <c r="F59" s="16"/>
      <c r="G59" s="16"/>
      <c r="H59" s="40"/>
      <c r="I59" s="16"/>
      <c r="J59" s="730" t="str">
        <f>IF(Input!X1322=0,"(There is no annual subscription revenue yet)","")</f>
        <v>(There is no annual subscription revenue yet)</v>
      </c>
      <c r="K59" s="16"/>
      <c r="S59" s="1280"/>
      <c r="T59" s="1280"/>
      <c r="U59" s="1280"/>
      <c r="V59" s="1280"/>
      <c r="W59" s="1280"/>
      <c r="X59" s="1280"/>
      <c r="Y59" s="1280"/>
      <c r="Z59" s="1280"/>
      <c r="AA59" s="1280"/>
      <c r="AB59" s="1280"/>
      <c r="AC59" s="1280"/>
    </row>
    <row r="60" spans="1:32" s="5" customFormat="1" ht="13" customHeight="1" x14ac:dyDescent="0.3">
      <c r="A60" s="40"/>
      <c r="H60" s="40"/>
      <c r="S60" s="1280"/>
      <c r="T60" s="1280"/>
      <c r="U60" s="1280"/>
      <c r="V60" s="1280"/>
      <c r="W60" s="1280"/>
      <c r="X60" s="1280"/>
      <c r="Y60" s="1280"/>
      <c r="Z60" s="1280"/>
      <c r="AA60" s="1280"/>
      <c r="AB60" s="1280"/>
      <c r="AC60" s="1280"/>
    </row>
    <row r="61" spans="1:32" s="5" customFormat="1" ht="13" customHeight="1" x14ac:dyDescent="0.3">
      <c r="A61" s="40"/>
      <c r="H61" s="40"/>
      <c r="S61" s="1280"/>
      <c r="T61" s="1280"/>
      <c r="U61" s="1280"/>
      <c r="V61" s="1280"/>
      <c r="W61" s="1280"/>
      <c r="X61" s="1280"/>
      <c r="Y61" s="1280"/>
      <c r="Z61" s="1280"/>
      <c r="AA61" s="1280"/>
      <c r="AB61" s="1280"/>
      <c r="AC61" s="1280"/>
    </row>
    <row r="62" spans="1:32" s="5" customFormat="1" ht="13" customHeight="1" x14ac:dyDescent="0.3">
      <c r="A62" s="40"/>
      <c r="H62" s="40"/>
      <c r="S62" s="1280"/>
      <c r="T62" s="1280"/>
      <c r="U62" s="1280"/>
      <c r="V62" s="1280"/>
      <c r="W62" s="1280"/>
      <c r="X62" s="1280"/>
      <c r="Y62" s="1280"/>
      <c r="Z62" s="1280"/>
      <c r="AA62" s="1280"/>
      <c r="AB62" s="1280"/>
      <c r="AC62" s="1280"/>
    </row>
    <row r="63" spans="1:32" s="5" customFormat="1" ht="13" customHeight="1" x14ac:dyDescent="0.3">
      <c r="A63" s="40"/>
      <c r="H63" s="40"/>
      <c r="S63" s="1280"/>
      <c r="T63" s="1280"/>
      <c r="U63" s="1280"/>
      <c r="V63" s="1280"/>
      <c r="W63" s="1280"/>
      <c r="X63" s="1280"/>
      <c r="Y63" s="1280"/>
      <c r="Z63" s="1280"/>
      <c r="AA63" s="1280"/>
      <c r="AB63" s="1280"/>
      <c r="AC63" s="1280"/>
    </row>
    <row r="64" spans="1:32" s="5" customFormat="1" ht="13" customHeight="1" x14ac:dyDescent="0.3">
      <c r="A64" s="40"/>
      <c r="H64" s="40"/>
      <c r="S64" s="1280"/>
      <c r="T64" s="1280"/>
      <c r="U64" s="1280"/>
      <c r="V64" s="1280"/>
      <c r="W64" s="1280"/>
      <c r="X64" s="1280"/>
      <c r="Y64" s="1280"/>
      <c r="Z64" s="1280"/>
      <c r="AA64" s="1280"/>
      <c r="AB64" s="1280"/>
      <c r="AC64" s="1280"/>
    </row>
    <row r="65" spans="1:8" s="5" customFormat="1" ht="13" customHeight="1" x14ac:dyDescent="0.3">
      <c r="A65" s="40"/>
      <c r="H65" s="40"/>
    </row>
    <row r="66" spans="1:8" s="5" customFormat="1" ht="13" customHeight="1" x14ac:dyDescent="0.3">
      <c r="A66" s="40"/>
      <c r="H66" s="40"/>
    </row>
    <row r="67" spans="1:8" s="5" customFormat="1" ht="13" customHeight="1" x14ac:dyDescent="0.3">
      <c r="A67" s="40"/>
      <c r="H67" s="40"/>
    </row>
    <row r="68" spans="1:8" s="5" customFormat="1" ht="13" customHeight="1" x14ac:dyDescent="0.3">
      <c r="A68" s="40"/>
      <c r="H68" s="40"/>
    </row>
    <row r="69" spans="1:8" s="5" customFormat="1" ht="13" customHeight="1" x14ac:dyDescent="0.3">
      <c r="A69" s="40"/>
      <c r="H69" s="40"/>
    </row>
    <row r="70" spans="1:8" s="5" customFormat="1" ht="13" customHeight="1" x14ac:dyDescent="0.3">
      <c r="A70" s="40"/>
      <c r="H70" s="40"/>
    </row>
    <row r="71" spans="1:8" s="5" customFormat="1" ht="13" customHeight="1" x14ac:dyDescent="0.3">
      <c r="A71" s="40"/>
      <c r="H71" s="40"/>
    </row>
    <row r="72" spans="1:8" s="5" customFormat="1" ht="13" customHeight="1" x14ac:dyDescent="0.3">
      <c r="A72" s="40"/>
      <c r="H72" s="40"/>
    </row>
    <row r="73" spans="1:8" s="5" customFormat="1" ht="13" customHeight="1" x14ac:dyDescent="0.3">
      <c r="A73" s="40"/>
      <c r="H73" s="40"/>
    </row>
    <row r="74" spans="1:8" s="5" customFormat="1" ht="13" customHeight="1" x14ac:dyDescent="0.3">
      <c r="A74" s="40"/>
      <c r="H74" s="40"/>
    </row>
    <row r="75" spans="1:8" s="5" customFormat="1" ht="13" customHeight="1" x14ac:dyDescent="0.3">
      <c r="A75" s="40"/>
      <c r="H75" s="40"/>
    </row>
    <row r="76" spans="1:8" s="5" customFormat="1" ht="13" customHeight="1" x14ac:dyDescent="0.3">
      <c r="A76" s="40"/>
      <c r="H76" s="40"/>
    </row>
    <row r="77" spans="1:8" s="5" customFormat="1" ht="13" customHeight="1" x14ac:dyDescent="0.3">
      <c r="A77" s="40"/>
      <c r="H77" s="40"/>
    </row>
    <row r="78" spans="1:8" s="5" customFormat="1" ht="13" customHeight="1" x14ac:dyDescent="0.3">
      <c r="A78" s="40"/>
      <c r="H78" s="40"/>
    </row>
    <row r="79" spans="1:8" s="5" customFormat="1" ht="13" customHeight="1" x14ac:dyDescent="0.3">
      <c r="A79" s="40"/>
      <c r="H79" s="40"/>
    </row>
    <row r="80" spans="1:8" s="5" customFormat="1" ht="13" customHeight="1" x14ac:dyDescent="0.3">
      <c r="H80" s="40"/>
    </row>
    <row r="81" spans="1:64" s="5" customFormat="1" ht="13" customHeight="1" x14ac:dyDescent="0.3">
      <c r="H81" s="40"/>
    </row>
    <row r="82" spans="1:64" s="5" customFormat="1" ht="13" customHeight="1" x14ac:dyDescent="0.3">
      <c r="H82" s="40"/>
    </row>
    <row r="83" spans="1:64" s="5" customFormat="1" ht="13" customHeight="1" x14ac:dyDescent="0.3">
      <c r="H83" s="40"/>
    </row>
    <row r="84" spans="1:64" s="5" customFormat="1" ht="13" customHeight="1" x14ac:dyDescent="0.3">
      <c r="H84" s="40"/>
    </row>
    <row r="85" spans="1:64" s="5" customFormat="1" ht="13" customHeight="1" x14ac:dyDescent="0.3">
      <c r="H85" s="40"/>
    </row>
    <row r="86" spans="1:64" s="5" customFormat="1" ht="13" customHeight="1" x14ac:dyDescent="0.3">
      <c r="H86" s="40"/>
    </row>
    <row r="87" spans="1:64" s="5" customFormat="1" ht="13" customHeight="1" x14ac:dyDescent="0.3">
      <c r="H87" s="40"/>
    </row>
    <row r="88" spans="1:64" s="5" customFormat="1" ht="13" customHeight="1" x14ac:dyDescent="0.3">
      <c r="H88" s="40"/>
    </row>
    <row r="89" spans="1:64" s="5" customFormat="1" ht="13" customHeight="1" x14ac:dyDescent="0.3">
      <c r="H89" s="40"/>
    </row>
    <row r="90" spans="1:64" s="5" customFormat="1" ht="13" customHeight="1" x14ac:dyDescent="0.3">
      <c r="H90" s="40"/>
    </row>
    <row r="91" spans="1:64" s="5" customFormat="1" ht="13" customHeight="1" x14ac:dyDescent="0.3">
      <c r="H91" s="40"/>
    </row>
    <row r="92" spans="1:64" s="5" customFormat="1" ht="13" customHeight="1" x14ac:dyDescent="0.3">
      <c r="H92" s="40"/>
    </row>
    <row r="93" spans="1:64" s="5" customFormat="1" ht="13" hidden="1" customHeight="1" x14ac:dyDescent="0.3">
      <c r="H93" s="40"/>
    </row>
    <row r="94" spans="1:64" s="5" customFormat="1" ht="13" hidden="1" customHeight="1" x14ac:dyDescent="0.3">
      <c r="A94" s="6"/>
      <c r="B94" s="6"/>
      <c r="H94" s="40"/>
    </row>
    <row r="95" spans="1:64" s="5" customFormat="1" ht="13" hidden="1" customHeight="1" thickBot="1" x14ac:dyDescent="0.4">
      <c r="A95" s="6"/>
      <c r="B95" s="6"/>
      <c r="C95" s="489">
        <f>Calcs!W551</f>
        <v>0</v>
      </c>
      <c r="D95" s="489">
        <f>Calcs!X551</f>
        <v>59</v>
      </c>
      <c r="E95" s="489">
        <f>Calcs!Y551</f>
        <v>91</v>
      </c>
      <c r="F95" s="489">
        <f>Calcs!Z551</f>
        <v>121</v>
      </c>
      <c r="G95" s="489">
        <f>Calcs!AA551</f>
        <v>152</v>
      </c>
      <c r="H95" s="40"/>
      <c r="I95" s="489">
        <f>Calcs!AC551</f>
        <v>213</v>
      </c>
      <c r="J95" s="489">
        <f>Calcs!AD551</f>
        <v>244</v>
      </c>
      <c r="K95" s="489">
        <f>Calcs!AE551</f>
        <v>274</v>
      </c>
      <c r="L95" s="489">
        <f>Calcs!AF551</f>
        <v>305</v>
      </c>
      <c r="M95" s="489">
        <f>Calcs!AG551</f>
        <v>335</v>
      </c>
      <c r="N95" s="489">
        <f>Calcs!AH551</f>
        <v>366</v>
      </c>
      <c r="O95" s="489">
        <f>Calcs!AI551</f>
        <v>397</v>
      </c>
      <c r="P95" s="489">
        <f>Calcs!AJ551</f>
        <v>425</v>
      </c>
      <c r="Q95" s="489">
        <f>Calcs!AK551</f>
        <v>456</v>
      </c>
      <c r="R95" s="489">
        <f>Calcs!AL551</f>
        <v>486</v>
      </c>
      <c r="S95" s="489">
        <f>Calcs!AM551</f>
        <v>517</v>
      </c>
      <c r="T95" s="489">
        <f>Calcs!AN551</f>
        <v>547</v>
      </c>
      <c r="U95" s="489">
        <f>Calcs!AO551</f>
        <v>578</v>
      </c>
      <c r="V95" s="489">
        <f>Calcs!AP551</f>
        <v>609</v>
      </c>
      <c r="W95" s="489">
        <f>Calcs!AQ551</f>
        <v>639</v>
      </c>
      <c r="X95" s="489">
        <f>Calcs!AR551</f>
        <v>670</v>
      </c>
      <c r="Y95" s="489">
        <f>Calcs!AS551</f>
        <v>700</v>
      </c>
      <c r="Z95" s="489">
        <f>Calcs!AT551</f>
        <v>731</v>
      </c>
      <c r="AA95" s="489">
        <f>Calcs!AU551</f>
        <v>762</v>
      </c>
      <c r="AB95" s="489">
        <f>Calcs!AV551</f>
        <v>790</v>
      </c>
      <c r="AC95" s="489">
        <f>Calcs!AW551</f>
        <v>821</v>
      </c>
      <c r="AD95" s="489">
        <f>Calcs!AX551</f>
        <v>851</v>
      </c>
      <c r="AE95" s="489">
        <f>Calcs!AY551</f>
        <v>882</v>
      </c>
      <c r="AF95" s="489">
        <f>Calcs!AZ551</f>
        <v>912</v>
      </c>
      <c r="AG95" s="489">
        <f>Calcs!BA551</f>
        <v>943</v>
      </c>
      <c r="AH95" s="489">
        <f>Calcs!BB551</f>
        <v>974</v>
      </c>
      <c r="AI95" s="489">
        <f>Calcs!BC551</f>
        <v>1004</v>
      </c>
      <c r="AJ95" s="489">
        <f>Calcs!BD551</f>
        <v>1035</v>
      </c>
      <c r="AK95" s="489">
        <f>Calcs!BE551</f>
        <v>1065</v>
      </c>
      <c r="AL95" s="489">
        <f>Calcs!BF551</f>
        <v>1096</v>
      </c>
      <c r="AM95" s="489">
        <f>Calcs!BG551</f>
        <v>1127</v>
      </c>
      <c r="AN95" s="489">
        <f>Calcs!BH551</f>
        <v>1155</v>
      </c>
      <c r="AO95" s="489">
        <f>Calcs!BI551</f>
        <v>1186</v>
      </c>
      <c r="AP95" s="489">
        <f>Calcs!BJ551</f>
        <v>1216</v>
      </c>
      <c r="AQ95" s="489">
        <f>Calcs!BK551</f>
        <v>1247</v>
      </c>
      <c r="AR95" s="489">
        <f>Calcs!BL551</f>
        <v>1277</v>
      </c>
      <c r="AS95" s="489">
        <f>Calcs!BM551</f>
        <v>1308</v>
      </c>
      <c r="AT95" s="489">
        <f>Calcs!BN551</f>
        <v>1339</v>
      </c>
      <c r="AU95" s="489">
        <f>Calcs!BO551</f>
        <v>1369</v>
      </c>
      <c r="AV95" s="489">
        <f>Calcs!BP551</f>
        <v>1400</v>
      </c>
      <c r="AW95" s="489">
        <f>Calcs!BQ551</f>
        <v>1430</v>
      </c>
      <c r="AX95" s="489">
        <f>Calcs!BR551</f>
        <v>1461</v>
      </c>
      <c r="AY95" s="489">
        <f>Calcs!BS551</f>
        <v>1492</v>
      </c>
      <c r="AZ95" s="489">
        <f>Calcs!BT551</f>
        <v>1521</v>
      </c>
      <c r="BA95" s="489">
        <f>Calcs!BU551</f>
        <v>1552</v>
      </c>
      <c r="BB95" s="489">
        <f>Calcs!BV551</f>
        <v>1582</v>
      </c>
      <c r="BC95" s="489">
        <f>Calcs!BW551</f>
        <v>1613</v>
      </c>
      <c r="BD95" s="489">
        <f>Calcs!BX551</f>
        <v>1643</v>
      </c>
      <c r="BE95" s="489">
        <f>Calcs!BY551</f>
        <v>1674</v>
      </c>
      <c r="BF95" s="489">
        <f>Calcs!BZ551</f>
        <v>1705</v>
      </c>
      <c r="BG95" s="489">
        <f>Calcs!CA551</f>
        <v>1735</v>
      </c>
      <c r="BH95" s="489">
        <f>Calcs!CB551</f>
        <v>1766</v>
      </c>
      <c r="BI95" s="489">
        <f>Calcs!CC551</f>
        <v>1796</v>
      </c>
      <c r="BJ95" s="489">
        <f>Calcs!CD551</f>
        <v>1827</v>
      </c>
      <c r="BL95" t="s">
        <v>786</v>
      </c>
    </row>
    <row r="96" spans="1:64" s="5" customFormat="1" ht="13" hidden="1" customHeight="1" x14ac:dyDescent="0.3">
      <c r="A96" s="6" t="str">
        <f>IF(AND(Calcs!S552&lt;&gt;"",Calcs!S552&lt;&gt;0),Calcs!S552,"Personnel "&amp;Calcs!Q552)</f>
        <v xml:space="preserve">Personnel </v>
      </c>
      <c r="B96" s="6" t="str">
        <f>IF(AND(Calcs!T552&lt;&gt;"",Calcs!T552&lt;&gt;0),Calcs!T552,"Personnel "&amp;Calcs!R552)</f>
        <v>Personnel 1</v>
      </c>
      <c r="C96" s="7">
        <f>IF($BL96&lt;&gt;"Yes",0,Calcs!W552*(1+Calcs!$Q499+Calcs!$R499))</f>
        <v>0</v>
      </c>
      <c r="D96" s="7">
        <f>IF($BL96&lt;&gt;"Yes",0,Calcs!X552*(1+Calcs!$Q499+Calcs!$R499))</f>
        <v>0</v>
      </c>
      <c r="E96" s="7">
        <f>IF($BL96&lt;&gt;"Yes",0,Calcs!Y552*(1+Calcs!$Q499+Calcs!$R499))</f>
        <v>0</v>
      </c>
      <c r="F96" s="7">
        <f>IF($BL96&lt;&gt;"Yes",0,Calcs!Z552*(1+Calcs!$Q499+Calcs!$R499))</f>
        <v>0</v>
      </c>
      <c r="G96" s="7">
        <f>IF($BL96&lt;&gt;"Yes",0,Calcs!AA552*(1+Calcs!$Q499+Calcs!$R499))</f>
        <v>0</v>
      </c>
      <c r="H96" s="40"/>
      <c r="I96" s="7">
        <f>IF($BL96&lt;&gt;"Yes",0,Calcs!AC552*(1+Calcs!$Q499+Calcs!$R499))</f>
        <v>0</v>
      </c>
      <c r="J96" s="7">
        <f>IF($BL96&lt;&gt;"Yes",0,Calcs!AD552*(1+Calcs!$Q499+Calcs!$R499))</f>
        <v>0</v>
      </c>
      <c r="K96" s="7">
        <f>IF($BL96&lt;&gt;"Yes",0,Calcs!AE552*(1+Calcs!$Q499+Calcs!$R499))</f>
        <v>0</v>
      </c>
      <c r="L96" s="7">
        <f>IF($BL96&lt;&gt;"Yes",0,Calcs!AF552*(1+Calcs!$Q499+Calcs!$R499))</f>
        <v>0</v>
      </c>
      <c r="M96" s="7">
        <f>IF($BL96&lt;&gt;"Yes",0,Calcs!AG552*(1+Calcs!$Q499+Calcs!$R499))</f>
        <v>0</v>
      </c>
      <c r="N96" s="7">
        <f>IF($BL96&lt;&gt;"Yes",0,Calcs!AH552*(1+Calcs!$Q499+Calcs!$R499))</f>
        <v>0</v>
      </c>
      <c r="O96" s="7">
        <f>IF($BL96&lt;&gt;"Yes",0,Calcs!AI552*(1+Calcs!$Q499+Calcs!$R499))</f>
        <v>0</v>
      </c>
      <c r="P96" s="7">
        <f>IF($BL96&lt;&gt;"Yes",0,Calcs!AJ552*(1+Calcs!$Q499+Calcs!$R499))</f>
        <v>0</v>
      </c>
      <c r="Q96" s="7">
        <f>IF($BL96&lt;&gt;"Yes",0,Calcs!AK552*(1+Calcs!$Q499+Calcs!$R499))</f>
        <v>0</v>
      </c>
      <c r="R96" s="7">
        <f>IF($BL96&lt;&gt;"Yes",0,Calcs!AL552*(1+Calcs!$Q499+Calcs!$R499))</f>
        <v>0</v>
      </c>
      <c r="S96" s="7">
        <f>IF($BL96&lt;&gt;"Yes",0,Calcs!AM552*(1+Calcs!$Q499+Calcs!$R499))</f>
        <v>0</v>
      </c>
      <c r="T96" s="7">
        <f>IF($BL96&lt;&gt;"Yes",0,Calcs!AN552*(1+Calcs!$Q499+Calcs!$R499))</f>
        <v>0</v>
      </c>
      <c r="U96" s="7">
        <f>IF($BL96&lt;&gt;"Yes",0,Calcs!AO552*(1+Calcs!$Q499+Calcs!$R499))</f>
        <v>0</v>
      </c>
      <c r="V96" s="7">
        <f>IF($BL96&lt;&gt;"Yes",0,Calcs!AP552*(1+Calcs!$Q499+Calcs!$R499))</f>
        <v>0</v>
      </c>
      <c r="W96" s="7">
        <f>IF($BL96&lt;&gt;"Yes",0,Calcs!AQ552*(1+Calcs!$Q499+Calcs!$R499))</f>
        <v>0</v>
      </c>
      <c r="X96" s="7">
        <f>IF($BL96&lt;&gt;"Yes",0,Calcs!AR552*(1+Calcs!$Q499+Calcs!$R499))</f>
        <v>0</v>
      </c>
      <c r="Y96" s="7">
        <f>IF($BL96&lt;&gt;"Yes",0,Calcs!AS552*(1+Calcs!$Q499+Calcs!$R499))</f>
        <v>0</v>
      </c>
      <c r="Z96" s="7">
        <f>IF($BL96&lt;&gt;"Yes",0,Calcs!AT552*(1+Calcs!$Q499+Calcs!$R499))</f>
        <v>0</v>
      </c>
      <c r="AA96" s="7">
        <f>IF($BL96&lt;&gt;"Yes",0,Calcs!AU552*(1+Calcs!$Q499+Calcs!$R499))</f>
        <v>0</v>
      </c>
      <c r="AB96" s="7">
        <f>IF($BL96&lt;&gt;"Yes",0,Calcs!AV552*(1+Calcs!$Q499+Calcs!$R499))</f>
        <v>0</v>
      </c>
      <c r="AC96" s="7">
        <f>IF($BL96&lt;&gt;"Yes",0,Calcs!AW552*(1+Calcs!$Q499+Calcs!$R499))</f>
        <v>0</v>
      </c>
      <c r="AD96" s="7">
        <f>IF($BL96&lt;&gt;"Yes",0,Calcs!AX552*(1+Calcs!$Q499+Calcs!$R499))</f>
        <v>0</v>
      </c>
      <c r="AE96" s="7">
        <f>IF($BL96&lt;&gt;"Yes",0,Calcs!AY552*(1+Calcs!$Q499+Calcs!$R499))</f>
        <v>0</v>
      </c>
      <c r="AF96" s="7">
        <f>IF($BL96&lt;&gt;"Yes",0,Calcs!AZ552*(1+Calcs!$Q499+Calcs!$R499))</f>
        <v>0</v>
      </c>
      <c r="AG96" s="7">
        <f>IF($BL96&lt;&gt;"Yes",0,Calcs!BA552*(1+Calcs!$Q499+Calcs!$R499))</f>
        <v>0</v>
      </c>
      <c r="AH96" s="7">
        <f>IF($BL96&lt;&gt;"Yes",0,Calcs!BB552*(1+Calcs!$Q499+Calcs!$R499))</f>
        <v>0</v>
      </c>
      <c r="AI96" s="7">
        <f>IF($BL96&lt;&gt;"Yes",0,Calcs!BC552*(1+Calcs!$Q499+Calcs!$R499))</f>
        <v>0</v>
      </c>
      <c r="AJ96" s="7">
        <f>IF($BL96&lt;&gt;"Yes",0,Calcs!BD552*(1+Calcs!$Q499+Calcs!$R499))</f>
        <v>0</v>
      </c>
      <c r="AK96" s="7">
        <f>IF($BL96&lt;&gt;"Yes",0,Calcs!BE552*(1+Calcs!$Q499+Calcs!$R499))</f>
        <v>0</v>
      </c>
      <c r="AL96" s="7">
        <f>IF($BL96&lt;&gt;"Yes",0,Calcs!BF552*(1+Calcs!$Q499+Calcs!$R499))</f>
        <v>0</v>
      </c>
      <c r="AM96" s="7">
        <f>IF($BL96&lt;&gt;"Yes",0,Calcs!BG552*(1+Calcs!$Q499+Calcs!$R499))</f>
        <v>0</v>
      </c>
      <c r="AN96" s="7">
        <f>IF($BL96&lt;&gt;"Yes",0,Calcs!BH552*(1+Calcs!$Q499+Calcs!$R499))</f>
        <v>0</v>
      </c>
      <c r="AO96" s="7">
        <f>IF($BL96&lt;&gt;"Yes",0,Calcs!BI552*(1+Calcs!$Q499+Calcs!$R499))</f>
        <v>0</v>
      </c>
      <c r="AP96" s="7">
        <f>IF($BL96&lt;&gt;"Yes",0,Calcs!BJ552*(1+Calcs!$Q499+Calcs!$R499))</f>
        <v>0</v>
      </c>
      <c r="AQ96" s="7">
        <f>IF($BL96&lt;&gt;"Yes",0,Calcs!BK552*(1+Calcs!$Q499+Calcs!$R499))</f>
        <v>0</v>
      </c>
      <c r="AR96" s="7">
        <f>IF($BL96&lt;&gt;"Yes",0,Calcs!BL552*(1+Calcs!$Q499+Calcs!$R499))</f>
        <v>0</v>
      </c>
      <c r="AS96" s="7">
        <f>IF($BL96&lt;&gt;"Yes",0,Calcs!BM552*(1+Calcs!$Q499+Calcs!$R499))</f>
        <v>0</v>
      </c>
      <c r="AT96" s="7">
        <f>IF($BL96&lt;&gt;"Yes",0,Calcs!BN552*(1+Calcs!$Q499+Calcs!$R499))</f>
        <v>0</v>
      </c>
      <c r="AU96" s="7">
        <f>IF($BL96&lt;&gt;"Yes",0,Calcs!BO552*(1+Calcs!$Q499+Calcs!$R499))</f>
        <v>0</v>
      </c>
      <c r="AV96" s="7">
        <f>IF($BL96&lt;&gt;"Yes",0,Calcs!BP552*(1+Calcs!$Q499+Calcs!$R499))</f>
        <v>0</v>
      </c>
      <c r="AW96" s="7">
        <f>IF($BL96&lt;&gt;"Yes",0,Calcs!BQ552*(1+Calcs!$Q499+Calcs!$R499))</f>
        <v>0</v>
      </c>
      <c r="AX96" s="7">
        <f>IF($BL96&lt;&gt;"Yes",0,Calcs!BR552*(1+Calcs!$Q499+Calcs!$R499))</f>
        <v>0</v>
      </c>
      <c r="AY96" s="7">
        <f>IF($BL96&lt;&gt;"Yes",0,Calcs!BS552*(1+Calcs!$Q499+Calcs!$R499))</f>
        <v>0</v>
      </c>
      <c r="AZ96" s="7">
        <f>IF($BL96&lt;&gt;"Yes",0,Calcs!BT552*(1+Calcs!$Q499+Calcs!$R499))</f>
        <v>0</v>
      </c>
      <c r="BA96" s="7">
        <f>IF($BL96&lt;&gt;"Yes",0,Calcs!BU552*(1+Calcs!$Q499+Calcs!$R499))</f>
        <v>0</v>
      </c>
      <c r="BB96" s="7">
        <f>IF($BL96&lt;&gt;"Yes",0,Calcs!BV552*(1+Calcs!$Q499+Calcs!$R499))</f>
        <v>0</v>
      </c>
      <c r="BC96" s="7">
        <f>IF($BL96&lt;&gt;"Yes",0,Calcs!BW552*(1+Calcs!$Q499+Calcs!$R499))</f>
        <v>0</v>
      </c>
      <c r="BD96" s="7">
        <f>IF($BL96&lt;&gt;"Yes",0,Calcs!BX552*(1+Calcs!$Q499+Calcs!$R499))</f>
        <v>0</v>
      </c>
      <c r="BE96" s="7">
        <f>IF($BL96&lt;&gt;"Yes",0,Calcs!BY552*(1+Calcs!$Q499+Calcs!$R499))</f>
        <v>0</v>
      </c>
      <c r="BF96" s="7">
        <f>IF($BL96&lt;&gt;"Yes",0,Calcs!BZ552*(1+Calcs!$Q499+Calcs!$R499))</f>
        <v>0</v>
      </c>
      <c r="BG96" s="7">
        <f>IF($BL96&lt;&gt;"Yes",0,Calcs!CA552*(1+Calcs!$Q499+Calcs!$R499))</f>
        <v>0</v>
      </c>
      <c r="BH96" s="7">
        <f>IF($BL96&lt;&gt;"Yes",0,Calcs!CB552*(1+Calcs!$Q499+Calcs!$R499))</f>
        <v>0</v>
      </c>
      <c r="BI96" s="7">
        <f>IF($BL96&lt;&gt;"Yes",0,Calcs!CC552*(1+Calcs!$Q499+Calcs!$R499))</f>
        <v>0</v>
      </c>
      <c r="BJ96" s="7">
        <f>IF($BL96&lt;&gt;"Yes",0,Calcs!CD552*(1+Calcs!$Q499+Calcs!$R499))</f>
        <v>0</v>
      </c>
    </row>
    <row r="97" spans="1:62" s="5" customFormat="1" ht="13" hidden="1" customHeight="1" x14ac:dyDescent="0.3">
      <c r="A97" s="6" t="str">
        <f>IF(AND(Calcs!S553&lt;&gt;"",Calcs!S553&lt;&gt;0),Calcs!S553,"Personnel "&amp;Calcs!Q553)</f>
        <v xml:space="preserve">Personnel </v>
      </c>
      <c r="B97" s="6" t="str">
        <f>IF(AND(Calcs!T553&lt;&gt;"",Calcs!T553&lt;&gt;0),Calcs!T553,"Personnel "&amp;Calcs!R553)</f>
        <v>Personnel 2</v>
      </c>
      <c r="C97" s="7">
        <f>IF($BL97&lt;&gt;"Yes",0,Calcs!W553*(1+Calcs!$Q500+Calcs!$R500))</f>
        <v>0</v>
      </c>
      <c r="D97" s="7">
        <f>IF($BL97&lt;&gt;"Yes",0,Calcs!X553*(1+Calcs!$Q500+Calcs!$R500))</f>
        <v>0</v>
      </c>
      <c r="E97" s="7">
        <f>IF($BL97&lt;&gt;"Yes",0,Calcs!Y553*(1+Calcs!$Q500+Calcs!$R500))</f>
        <v>0</v>
      </c>
      <c r="F97" s="7">
        <f>IF($BL97&lt;&gt;"Yes",0,Calcs!Z553*(1+Calcs!$Q500+Calcs!$R500))</f>
        <v>0</v>
      </c>
      <c r="G97" s="7">
        <f>IF($BL97&lt;&gt;"Yes",0,Calcs!AA553*(1+Calcs!$Q500+Calcs!$R500))</f>
        <v>0</v>
      </c>
      <c r="H97" s="40"/>
      <c r="I97" s="7">
        <f>IF($BL97&lt;&gt;"Yes",0,Calcs!AC553*(1+Calcs!$Q500+Calcs!$R500))</f>
        <v>0</v>
      </c>
      <c r="J97" s="7">
        <f>IF($BL97&lt;&gt;"Yes",0,Calcs!AD553*(1+Calcs!$Q500+Calcs!$R500))</f>
        <v>0</v>
      </c>
      <c r="K97" s="7">
        <f>IF($BL97&lt;&gt;"Yes",0,Calcs!AE553*(1+Calcs!$Q500+Calcs!$R500))</f>
        <v>0</v>
      </c>
      <c r="L97" s="7">
        <f>IF($BL97&lt;&gt;"Yes",0,Calcs!AF553*(1+Calcs!$Q500+Calcs!$R500))</f>
        <v>0</v>
      </c>
      <c r="M97" s="7">
        <f>IF($BL97&lt;&gt;"Yes",0,Calcs!AG553*(1+Calcs!$Q500+Calcs!$R500))</f>
        <v>0</v>
      </c>
      <c r="N97" s="7">
        <f>IF($BL97&lt;&gt;"Yes",0,Calcs!AH553*(1+Calcs!$Q500+Calcs!$R500))</f>
        <v>0</v>
      </c>
      <c r="O97" s="7">
        <f>IF($BL97&lt;&gt;"Yes",0,Calcs!AI553*(1+Calcs!$Q500+Calcs!$R500))</f>
        <v>0</v>
      </c>
      <c r="P97" s="7">
        <f>IF($BL97&lt;&gt;"Yes",0,Calcs!AJ553*(1+Calcs!$Q500+Calcs!$R500))</f>
        <v>0</v>
      </c>
      <c r="Q97" s="7">
        <f>IF($BL97&lt;&gt;"Yes",0,Calcs!AK553*(1+Calcs!$Q500+Calcs!$R500))</f>
        <v>0</v>
      </c>
      <c r="R97" s="7">
        <f>IF($BL97&lt;&gt;"Yes",0,Calcs!AL553*(1+Calcs!$Q500+Calcs!$R500))</f>
        <v>0</v>
      </c>
      <c r="S97" s="7">
        <f>IF($BL97&lt;&gt;"Yes",0,Calcs!AM553*(1+Calcs!$Q500+Calcs!$R500))</f>
        <v>0</v>
      </c>
      <c r="T97" s="7">
        <f>IF($BL97&lt;&gt;"Yes",0,Calcs!AN553*(1+Calcs!$Q500+Calcs!$R500))</f>
        <v>0</v>
      </c>
      <c r="U97" s="7">
        <f>IF($BL97&lt;&gt;"Yes",0,Calcs!AO553*(1+Calcs!$Q500+Calcs!$R500))</f>
        <v>0</v>
      </c>
      <c r="V97" s="7">
        <f>IF($BL97&lt;&gt;"Yes",0,Calcs!AP553*(1+Calcs!$Q500+Calcs!$R500))</f>
        <v>0</v>
      </c>
      <c r="W97" s="7">
        <f>IF($BL97&lt;&gt;"Yes",0,Calcs!AQ553*(1+Calcs!$Q500+Calcs!$R500))</f>
        <v>0</v>
      </c>
      <c r="X97" s="7">
        <f>IF($BL97&lt;&gt;"Yes",0,Calcs!AR553*(1+Calcs!$Q500+Calcs!$R500))</f>
        <v>0</v>
      </c>
      <c r="Y97" s="7">
        <f>IF($BL97&lt;&gt;"Yes",0,Calcs!AS553*(1+Calcs!$Q500+Calcs!$R500))</f>
        <v>0</v>
      </c>
      <c r="Z97" s="7">
        <f>IF($BL97&lt;&gt;"Yes",0,Calcs!AT553*(1+Calcs!$Q500+Calcs!$R500))</f>
        <v>0</v>
      </c>
      <c r="AA97" s="7">
        <f>IF($BL97&lt;&gt;"Yes",0,Calcs!AU553*(1+Calcs!$Q500+Calcs!$R500))</f>
        <v>0</v>
      </c>
      <c r="AB97" s="7">
        <f>IF($BL97&lt;&gt;"Yes",0,Calcs!AV553*(1+Calcs!$Q500+Calcs!$R500))</f>
        <v>0</v>
      </c>
      <c r="AC97" s="7">
        <f>IF($BL97&lt;&gt;"Yes",0,Calcs!AW553*(1+Calcs!$Q500+Calcs!$R500))</f>
        <v>0</v>
      </c>
      <c r="AD97" s="7">
        <f>IF($BL97&lt;&gt;"Yes",0,Calcs!AX553*(1+Calcs!$Q500+Calcs!$R500))</f>
        <v>0</v>
      </c>
      <c r="AE97" s="7">
        <f>IF($BL97&lt;&gt;"Yes",0,Calcs!AY553*(1+Calcs!$Q500+Calcs!$R500))</f>
        <v>0</v>
      </c>
      <c r="AF97" s="7">
        <f>IF($BL97&lt;&gt;"Yes",0,Calcs!AZ553*(1+Calcs!$Q500+Calcs!$R500))</f>
        <v>0</v>
      </c>
      <c r="AG97" s="7">
        <f>IF($BL97&lt;&gt;"Yes",0,Calcs!BA553*(1+Calcs!$Q500+Calcs!$R500))</f>
        <v>0</v>
      </c>
      <c r="AH97" s="7">
        <f>IF($BL97&lt;&gt;"Yes",0,Calcs!BB553*(1+Calcs!$Q500+Calcs!$R500))</f>
        <v>0</v>
      </c>
      <c r="AI97" s="7">
        <f>IF($BL97&lt;&gt;"Yes",0,Calcs!BC553*(1+Calcs!$Q500+Calcs!$R500))</f>
        <v>0</v>
      </c>
      <c r="AJ97" s="7">
        <f>IF($BL97&lt;&gt;"Yes",0,Calcs!BD553*(1+Calcs!$Q500+Calcs!$R500))</f>
        <v>0</v>
      </c>
      <c r="AK97" s="7">
        <f>IF($BL97&lt;&gt;"Yes",0,Calcs!BE553*(1+Calcs!$Q500+Calcs!$R500))</f>
        <v>0</v>
      </c>
      <c r="AL97" s="7">
        <f>IF($BL97&lt;&gt;"Yes",0,Calcs!BF553*(1+Calcs!$Q500+Calcs!$R500))</f>
        <v>0</v>
      </c>
      <c r="AM97" s="7">
        <f>IF($BL97&lt;&gt;"Yes",0,Calcs!BG553*(1+Calcs!$Q500+Calcs!$R500))</f>
        <v>0</v>
      </c>
      <c r="AN97" s="7">
        <f>IF($BL97&lt;&gt;"Yes",0,Calcs!BH553*(1+Calcs!$Q500+Calcs!$R500))</f>
        <v>0</v>
      </c>
      <c r="AO97" s="7">
        <f>IF($BL97&lt;&gt;"Yes",0,Calcs!BI553*(1+Calcs!$Q500+Calcs!$R500))</f>
        <v>0</v>
      </c>
      <c r="AP97" s="7">
        <f>IF($BL97&lt;&gt;"Yes",0,Calcs!BJ553*(1+Calcs!$Q500+Calcs!$R500))</f>
        <v>0</v>
      </c>
      <c r="AQ97" s="7">
        <f>IF($BL97&lt;&gt;"Yes",0,Calcs!BK553*(1+Calcs!$Q500+Calcs!$R500))</f>
        <v>0</v>
      </c>
      <c r="AR97" s="7">
        <f>IF($BL97&lt;&gt;"Yes",0,Calcs!BL553*(1+Calcs!$Q500+Calcs!$R500))</f>
        <v>0</v>
      </c>
      <c r="AS97" s="7">
        <f>IF($BL97&lt;&gt;"Yes",0,Calcs!BM553*(1+Calcs!$Q500+Calcs!$R500))</f>
        <v>0</v>
      </c>
      <c r="AT97" s="7">
        <f>IF($BL97&lt;&gt;"Yes",0,Calcs!BN553*(1+Calcs!$Q500+Calcs!$R500))</f>
        <v>0</v>
      </c>
      <c r="AU97" s="7">
        <f>IF($BL97&lt;&gt;"Yes",0,Calcs!BO553*(1+Calcs!$Q500+Calcs!$R500))</f>
        <v>0</v>
      </c>
      <c r="AV97" s="7">
        <f>IF($BL97&lt;&gt;"Yes",0,Calcs!BP553*(1+Calcs!$Q500+Calcs!$R500))</f>
        <v>0</v>
      </c>
      <c r="AW97" s="7">
        <f>IF($BL97&lt;&gt;"Yes",0,Calcs!BQ553*(1+Calcs!$Q500+Calcs!$R500))</f>
        <v>0</v>
      </c>
      <c r="AX97" s="7">
        <f>IF($BL97&lt;&gt;"Yes",0,Calcs!BR553*(1+Calcs!$Q500+Calcs!$R500))</f>
        <v>0</v>
      </c>
      <c r="AY97" s="7">
        <f>IF($BL97&lt;&gt;"Yes",0,Calcs!BS553*(1+Calcs!$Q500+Calcs!$R500))</f>
        <v>0</v>
      </c>
      <c r="AZ97" s="7">
        <f>IF($BL97&lt;&gt;"Yes",0,Calcs!BT553*(1+Calcs!$Q500+Calcs!$R500))</f>
        <v>0</v>
      </c>
      <c r="BA97" s="7">
        <f>IF($BL97&lt;&gt;"Yes",0,Calcs!BU553*(1+Calcs!$Q500+Calcs!$R500))</f>
        <v>0</v>
      </c>
      <c r="BB97" s="7">
        <f>IF($BL97&lt;&gt;"Yes",0,Calcs!BV553*(1+Calcs!$Q500+Calcs!$R500))</f>
        <v>0</v>
      </c>
      <c r="BC97" s="7">
        <f>IF($BL97&lt;&gt;"Yes",0,Calcs!BW553*(1+Calcs!$Q500+Calcs!$R500))</f>
        <v>0</v>
      </c>
      <c r="BD97" s="7">
        <f>IF($BL97&lt;&gt;"Yes",0,Calcs!BX553*(1+Calcs!$Q500+Calcs!$R500))</f>
        <v>0</v>
      </c>
      <c r="BE97" s="7">
        <f>IF($BL97&lt;&gt;"Yes",0,Calcs!BY553*(1+Calcs!$Q500+Calcs!$R500))</f>
        <v>0</v>
      </c>
      <c r="BF97" s="7">
        <f>IF($BL97&lt;&gt;"Yes",0,Calcs!BZ553*(1+Calcs!$Q500+Calcs!$R500))</f>
        <v>0</v>
      </c>
      <c r="BG97" s="7">
        <f>IF($BL97&lt;&gt;"Yes",0,Calcs!CA553*(1+Calcs!$Q500+Calcs!$R500))</f>
        <v>0</v>
      </c>
      <c r="BH97" s="7">
        <f>IF($BL97&lt;&gt;"Yes",0,Calcs!CB553*(1+Calcs!$Q500+Calcs!$R500))</f>
        <v>0</v>
      </c>
      <c r="BI97" s="7">
        <f>IF($BL97&lt;&gt;"Yes",0,Calcs!CC553*(1+Calcs!$Q500+Calcs!$R500))</f>
        <v>0</v>
      </c>
      <c r="BJ97" s="7">
        <f>IF($BL97&lt;&gt;"Yes",0,Calcs!CD553*(1+Calcs!$Q500+Calcs!$R500))</f>
        <v>0</v>
      </c>
    </row>
    <row r="98" spans="1:62" s="5" customFormat="1" ht="13" hidden="1" customHeight="1" x14ac:dyDescent="0.3">
      <c r="A98" s="6" t="str">
        <f>IF(AND(Calcs!S554&lt;&gt;"",Calcs!S554&lt;&gt;0),Calcs!S554,"Personnel "&amp;Calcs!Q554)</f>
        <v xml:space="preserve">Personnel </v>
      </c>
      <c r="B98" s="6" t="str">
        <f>IF(AND(Calcs!T554&lt;&gt;"",Calcs!T554&lt;&gt;0),Calcs!T554,"Personnel "&amp;Calcs!R554)</f>
        <v>Personnel 3</v>
      </c>
      <c r="C98" s="7">
        <f>IF($BL98&lt;&gt;"Yes",0,Calcs!W554*(1+Calcs!$Q501+Calcs!$R501))</f>
        <v>0</v>
      </c>
      <c r="D98" s="7">
        <f>IF($BL98&lt;&gt;"Yes",0,Calcs!X554*(1+Calcs!$Q501+Calcs!$R501))</f>
        <v>0</v>
      </c>
      <c r="E98" s="7">
        <f>IF($BL98&lt;&gt;"Yes",0,Calcs!Y554*(1+Calcs!$Q501+Calcs!$R501))</f>
        <v>0</v>
      </c>
      <c r="F98" s="7">
        <f>IF($BL98&lt;&gt;"Yes",0,Calcs!Z554*(1+Calcs!$Q501+Calcs!$R501))</f>
        <v>0</v>
      </c>
      <c r="G98" s="7">
        <f>IF($BL98&lt;&gt;"Yes",0,Calcs!AA554*(1+Calcs!$Q501+Calcs!$R501))</f>
        <v>0</v>
      </c>
      <c r="H98" s="40"/>
      <c r="I98" s="7">
        <f>IF($BL98&lt;&gt;"Yes",0,Calcs!AC554*(1+Calcs!$Q501+Calcs!$R501))</f>
        <v>0</v>
      </c>
      <c r="J98" s="7">
        <f>IF($BL98&lt;&gt;"Yes",0,Calcs!AD554*(1+Calcs!$Q501+Calcs!$R501))</f>
        <v>0</v>
      </c>
      <c r="K98" s="7">
        <f>IF($BL98&lt;&gt;"Yes",0,Calcs!AE554*(1+Calcs!$Q501+Calcs!$R501))</f>
        <v>0</v>
      </c>
      <c r="L98" s="7">
        <f>IF($BL98&lt;&gt;"Yes",0,Calcs!AF554*(1+Calcs!$Q501+Calcs!$R501))</f>
        <v>0</v>
      </c>
      <c r="M98" s="7">
        <f>IF($BL98&lt;&gt;"Yes",0,Calcs!AG554*(1+Calcs!$Q501+Calcs!$R501))</f>
        <v>0</v>
      </c>
      <c r="N98" s="7">
        <f>IF($BL98&lt;&gt;"Yes",0,Calcs!AH554*(1+Calcs!$Q501+Calcs!$R501))</f>
        <v>0</v>
      </c>
      <c r="O98" s="7">
        <f>IF($BL98&lt;&gt;"Yes",0,Calcs!AI554*(1+Calcs!$Q501+Calcs!$R501))</f>
        <v>0</v>
      </c>
      <c r="P98" s="7">
        <f>IF($BL98&lt;&gt;"Yes",0,Calcs!AJ554*(1+Calcs!$Q501+Calcs!$R501))</f>
        <v>0</v>
      </c>
      <c r="Q98" s="7">
        <f>IF($BL98&lt;&gt;"Yes",0,Calcs!AK554*(1+Calcs!$Q501+Calcs!$R501))</f>
        <v>0</v>
      </c>
      <c r="R98" s="7">
        <f>IF($BL98&lt;&gt;"Yes",0,Calcs!AL554*(1+Calcs!$Q501+Calcs!$R501))</f>
        <v>0</v>
      </c>
      <c r="S98" s="7">
        <f>IF($BL98&lt;&gt;"Yes",0,Calcs!AM554*(1+Calcs!$Q501+Calcs!$R501))</f>
        <v>0</v>
      </c>
      <c r="T98" s="7">
        <f>IF($BL98&lt;&gt;"Yes",0,Calcs!AN554*(1+Calcs!$Q501+Calcs!$R501))</f>
        <v>0</v>
      </c>
      <c r="U98" s="7">
        <f>IF($BL98&lt;&gt;"Yes",0,Calcs!AO554*(1+Calcs!$Q501+Calcs!$R501))</f>
        <v>0</v>
      </c>
      <c r="V98" s="7">
        <f>IF($BL98&lt;&gt;"Yes",0,Calcs!AP554*(1+Calcs!$Q501+Calcs!$R501))</f>
        <v>0</v>
      </c>
      <c r="W98" s="7">
        <f>IF($BL98&lt;&gt;"Yes",0,Calcs!AQ554*(1+Calcs!$Q501+Calcs!$R501))</f>
        <v>0</v>
      </c>
      <c r="X98" s="7">
        <f>IF($BL98&lt;&gt;"Yes",0,Calcs!AR554*(1+Calcs!$Q501+Calcs!$R501))</f>
        <v>0</v>
      </c>
      <c r="Y98" s="7">
        <f>IF($BL98&lt;&gt;"Yes",0,Calcs!AS554*(1+Calcs!$Q501+Calcs!$R501))</f>
        <v>0</v>
      </c>
      <c r="Z98" s="7">
        <f>IF($BL98&lt;&gt;"Yes",0,Calcs!AT554*(1+Calcs!$Q501+Calcs!$R501))</f>
        <v>0</v>
      </c>
      <c r="AA98" s="7">
        <f>IF($BL98&lt;&gt;"Yes",0,Calcs!AU554*(1+Calcs!$Q501+Calcs!$R501))</f>
        <v>0</v>
      </c>
      <c r="AB98" s="7">
        <f>IF($BL98&lt;&gt;"Yes",0,Calcs!AV554*(1+Calcs!$Q501+Calcs!$R501))</f>
        <v>0</v>
      </c>
      <c r="AC98" s="7">
        <f>IF($BL98&lt;&gt;"Yes",0,Calcs!AW554*(1+Calcs!$Q501+Calcs!$R501))</f>
        <v>0</v>
      </c>
      <c r="AD98" s="7">
        <f>IF($BL98&lt;&gt;"Yes",0,Calcs!AX554*(1+Calcs!$Q501+Calcs!$R501))</f>
        <v>0</v>
      </c>
      <c r="AE98" s="7">
        <f>IF($BL98&lt;&gt;"Yes",0,Calcs!AY554*(1+Calcs!$Q501+Calcs!$R501))</f>
        <v>0</v>
      </c>
      <c r="AF98" s="7">
        <f>IF($BL98&lt;&gt;"Yes",0,Calcs!AZ554*(1+Calcs!$Q501+Calcs!$R501))</f>
        <v>0</v>
      </c>
      <c r="AG98" s="7">
        <f>IF($BL98&lt;&gt;"Yes",0,Calcs!BA554*(1+Calcs!$Q501+Calcs!$R501))</f>
        <v>0</v>
      </c>
      <c r="AH98" s="7">
        <f>IF($BL98&lt;&gt;"Yes",0,Calcs!BB554*(1+Calcs!$Q501+Calcs!$R501))</f>
        <v>0</v>
      </c>
      <c r="AI98" s="7">
        <f>IF($BL98&lt;&gt;"Yes",0,Calcs!BC554*(1+Calcs!$Q501+Calcs!$R501))</f>
        <v>0</v>
      </c>
      <c r="AJ98" s="7">
        <f>IF($BL98&lt;&gt;"Yes",0,Calcs!BD554*(1+Calcs!$Q501+Calcs!$R501))</f>
        <v>0</v>
      </c>
      <c r="AK98" s="7">
        <f>IF($BL98&lt;&gt;"Yes",0,Calcs!BE554*(1+Calcs!$Q501+Calcs!$R501))</f>
        <v>0</v>
      </c>
      <c r="AL98" s="7">
        <f>IF($BL98&lt;&gt;"Yes",0,Calcs!BF554*(1+Calcs!$Q501+Calcs!$R501))</f>
        <v>0</v>
      </c>
      <c r="AM98" s="7">
        <f>IF($BL98&lt;&gt;"Yes",0,Calcs!BG554*(1+Calcs!$Q501+Calcs!$R501))</f>
        <v>0</v>
      </c>
      <c r="AN98" s="7">
        <f>IF($BL98&lt;&gt;"Yes",0,Calcs!BH554*(1+Calcs!$Q501+Calcs!$R501))</f>
        <v>0</v>
      </c>
      <c r="AO98" s="7">
        <f>IF($BL98&lt;&gt;"Yes",0,Calcs!BI554*(1+Calcs!$Q501+Calcs!$R501))</f>
        <v>0</v>
      </c>
      <c r="AP98" s="7">
        <f>IF($BL98&lt;&gt;"Yes",0,Calcs!BJ554*(1+Calcs!$Q501+Calcs!$R501))</f>
        <v>0</v>
      </c>
      <c r="AQ98" s="7">
        <f>IF($BL98&lt;&gt;"Yes",0,Calcs!BK554*(1+Calcs!$Q501+Calcs!$R501))</f>
        <v>0</v>
      </c>
      <c r="AR98" s="7">
        <f>IF($BL98&lt;&gt;"Yes",0,Calcs!BL554*(1+Calcs!$Q501+Calcs!$R501))</f>
        <v>0</v>
      </c>
      <c r="AS98" s="7">
        <f>IF($BL98&lt;&gt;"Yes",0,Calcs!BM554*(1+Calcs!$Q501+Calcs!$R501))</f>
        <v>0</v>
      </c>
      <c r="AT98" s="7">
        <f>IF($BL98&lt;&gt;"Yes",0,Calcs!BN554*(1+Calcs!$Q501+Calcs!$R501))</f>
        <v>0</v>
      </c>
      <c r="AU98" s="7">
        <f>IF($BL98&lt;&gt;"Yes",0,Calcs!BO554*(1+Calcs!$Q501+Calcs!$R501))</f>
        <v>0</v>
      </c>
      <c r="AV98" s="7">
        <f>IF($BL98&lt;&gt;"Yes",0,Calcs!BP554*(1+Calcs!$Q501+Calcs!$R501))</f>
        <v>0</v>
      </c>
      <c r="AW98" s="7">
        <f>IF($BL98&lt;&gt;"Yes",0,Calcs!BQ554*(1+Calcs!$Q501+Calcs!$R501))</f>
        <v>0</v>
      </c>
      <c r="AX98" s="7">
        <f>IF($BL98&lt;&gt;"Yes",0,Calcs!BR554*(1+Calcs!$Q501+Calcs!$R501))</f>
        <v>0</v>
      </c>
      <c r="AY98" s="7">
        <f>IF($BL98&lt;&gt;"Yes",0,Calcs!BS554*(1+Calcs!$Q501+Calcs!$R501))</f>
        <v>0</v>
      </c>
      <c r="AZ98" s="7">
        <f>IF($BL98&lt;&gt;"Yes",0,Calcs!BT554*(1+Calcs!$Q501+Calcs!$R501))</f>
        <v>0</v>
      </c>
      <c r="BA98" s="7">
        <f>IF($BL98&lt;&gt;"Yes",0,Calcs!BU554*(1+Calcs!$Q501+Calcs!$R501))</f>
        <v>0</v>
      </c>
      <c r="BB98" s="7">
        <f>IF($BL98&lt;&gt;"Yes",0,Calcs!BV554*(1+Calcs!$Q501+Calcs!$R501))</f>
        <v>0</v>
      </c>
      <c r="BC98" s="7">
        <f>IF($BL98&lt;&gt;"Yes",0,Calcs!BW554*(1+Calcs!$Q501+Calcs!$R501))</f>
        <v>0</v>
      </c>
      <c r="BD98" s="7">
        <f>IF($BL98&lt;&gt;"Yes",0,Calcs!BX554*(1+Calcs!$Q501+Calcs!$R501))</f>
        <v>0</v>
      </c>
      <c r="BE98" s="7">
        <f>IF($BL98&lt;&gt;"Yes",0,Calcs!BY554*(1+Calcs!$Q501+Calcs!$R501))</f>
        <v>0</v>
      </c>
      <c r="BF98" s="7">
        <f>IF($BL98&lt;&gt;"Yes",0,Calcs!BZ554*(1+Calcs!$Q501+Calcs!$R501))</f>
        <v>0</v>
      </c>
      <c r="BG98" s="7">
        <f>IF($BL98&lt;&gt;"Yes",0,Calcs!CA554*(1+Calcs!$Q501+Calcs!$R501))</f>
        <v>0</v>
      </c>
      <c r="BH98" s="7">
        <f>IF($BL98&lt;&gt;"Yes",0,Calcs!CB554*(1+Calcs!$Q501+Calcs!$R501))</f>
        <v>0</v>
      </c>
      <c r="BI98" s="7">
        <f>IF($BL98&lt;&gt;"Yes",0,Calcs!CC554*(1+Calcs!$Q501+Calcs!$R501))</f>
        <v>0</v>
      </c>
      <c r="BJ98" s="7">
        <f>IF($BL98&lt;&gt;"Yes",0,Calcs!CD554*(1+Calcs!$Q501+Calcs!$R501))</f>
        <v>0</v>
      </c>
    </row>
    <row r="99" spans="1:62" s="5" customFormat="1" ht="13" hidden="1" customHeight="1" x14ac:dyDescent="0.3">
      <c r="A99" s="6" t="str">
        <f>IF(AND(Calcs!S555&lt;&gt;"",Calcs!S555&lt;&gt;0),Calcs!S555,"Personnel "&amp;Calcs!Q555)</f>
        <v xml:space="preserve">Personnel </v>
      </c>
      <c r="B99" s="6" t="str">
        <f>IF(AND(Calcs!T555&lt;&gt;"",Calcs!T555&lt;&gt;0),Calcs!T555,"Personnel "&amp;Calcs!R555)</f>
        <v>Personnel 4</v>
      </c>
      <c r="C99" s="7">
        <f>IF($BL99&lt;&gt;"Yes",0,Calcs!W555*(1+Calcs!$Q502+Calcs!$R502))</f>
        <v>0</v>
      </c>
      <c r="D99" s="7">
        <f>IF($BL99&lt;&gt;"Yes",0,Calcs!X555*(1+Calcs!$Q502+Calcs!$R502))</f>
        <v>0</v>
      </c>
      <c r="E99" s="7">
        <f>IF($BL99&lt;&gt;"Yes",0,Calcs!Y555*(1+Calcs!$Q502+Calcs!$R502))</f>
        <v>0</v>
      </c>
      <c r="F99" s="7">
        <f>IF($BL99&lt;&gt;"Yes",0,Calcs!Z555*(1+Calcs!$Q502+Calcs!$R502))</f>
        <v>0</v>
      </c>
      <c r="G99" s="7">
        <f>IF($BL99&lt;&gt;"Yes",0,Calcs!AA555*(1+Calcs!$Q502+Calcs!$R502))</f>
        <v>0</v>
      </c>
      <c r="H99" s="40"/>
      <c r="I99" s="7">
        <f>IF($BL99&lt;&gt;"Yes",0,Calcs!AC555*(1+Calcs!$Q502+Calcs!$R502))</f>
        <v>0</v>
      </c>
      <c r="J99" s="7">
        <f>IF($BL99&lt;&gt;"Yes",0,Calcs!AD555*(1+Calcs!$Q502+Calcs!$R502))</f>
        <v>0</v>
      </c>
      <c r="K99" s="7">
        <f>IF($BL99&lt;&gt;"Yes",0,Calcs!AE555*(1+Calcs!$Q502+Calcs!$R502))</f>
        <v>0</v>
      </c>
      <c r="L99" s="7">
        <f>IF($BL99&lt;&gt;"Yes",0,Calcs!AF555*(1+Calcs!$Q502+Calcs!$R502))</f>
        <v>0</v>
      </c>
      <c r="M99" s="7">
        <f>IF($BL99&lt;&gt;"Yes",0,Calcs!AG555*(1+Calcs!$Q502+Calcs!$R502))</f>
        <v>0</v>
      </c>
      <c r="N99" s="7">
        <f>IF($BL99&lt;&gt;"Yes",0,Calcs!AH555*(1+Calcs!$Q502+Calcs!$R502))</f>
        <v>0</v>
      </c>
      <c r="O99" s="7">
        <f>IF($BL99&lt;&gt;"Yes",0,Calcs!AI555*(1+Calcs!$Q502+Calcs!$R502))</f>
        <v>0</v>
      </c>
      <c r="P99" s="7">
        <f>IF($BL99&lt;&gt;"Yes",0,Calcs!AJ555*(1+Calcs!$Q502+Calcs!$R502))</f>
        <v>0</v>
      </c>
      <c r="Q99" s="7">
        <f>IF($BL99&lt;&gt;"Yes",0,Calcs!AK555*(1+Calcs!$Q502+Calcs!$R502))</f>
        <v>0</v>
      </c>
      <c r="R99" s="7">
        <f>IF($BL99&lt;&gt;"Yes",0,Calcs!AL555*(1+Calcs!$Q502+Calcs!$R502))</f>
        <v>0</v>
      </c>
      <c r="S99" s="7">
        <f>IF($BL99&lt;&gt;"Yes",0,Calcs!AM555*(1+Calcs!$Q502+Calcs!$R502))</f>
        <v>0</v>
      </c>
      <c r="T99" s="7">
        <f>IF($BL99&lt;&gt;"Yes",0,Calcs!AN555*(1+Calcs!$Q502+Calcs!$R502))</f>
        <v>0</v>
      </c>
      <c r="U99" s="7">
        <f>IF($BL99&lt;&gt;"Yes",0,Calcs!AO555*(1+Calcs!$Q502+Calcs!$R502))</f>
        <v>0</v>
      </c>
      <c r="V99" s="7">
        <f>IF($BL99&lt;&gt;"Yes",0,Calcs!AP555*(1+Calcs!$Q502+Calcs!$R502))</f>
        <v>0</v>
      </c>
      <c r="W99" s="7">
        <f>IF($BL99&lt;&gt;"Yes",0,Calcs!AQ555*(1+Calcs!$Q502+Calcs!$R502))</f>
        <v>0</v>
      </c>
      <c r="X99" s="7">
        <f>IF($BL99&lt;&gt;"Yes",0,Calcs!AR555*(1+Calcs!$Q502+Calcs!$R502))</f>
        <v>0</v>
      </c>
      <c r="Y99" s="7">
        <f>IF($BL99&lt;&gt;"Yes",0,Calcs!AS555*(1+Calcs!$Q502+Calcs!$R502))</f>
        <v>0</v>
      </c>
      <c r="Z99" s="7">
        <f>IF($BL99&lt;&gt;"Yes",0,Calcs!AT555*(1+Calcs!$Q502+Calcs!$R502))</f>
        <v>0</v>
      </c>
      <c r="AA99" s="7">
        <f>IF($BL99&lt;&gt;"Yes",0,Calcs!AU555*(1+Calcs!$Q502+Calcs!$R502))</f>
        <v>0</v>
      </c>
      <c r="AB99" s="7">
        <f>IF($BL99&lt;&gt;"Yes",0,Calcs!AV555*(1+Calcs!$Q502+Calcs!$R502))</f>
        <v>0</v>
      </c>
      <c r="AC99" s="7">
        <f>IF($BL99&lt;&gt;"Yes",0,Calcs!AW555*(1+Calcs!$Q502+Calcs!$R502))</f>
        <v>0</v>
      </c>
      <c r="AD99" s="7">
        <f>IF($BL99&lt;&gt;"Yes",0,Calcs!AX555*(1+Calcs!$Q502+Calcs!$R502))</f>
        <v>0</v>
      </c>
      <c r="AE99" s="7">
        <f>IF($BL99&lt;&gt;"Yes",0,Calcs!AY555*(1+Calcs!$Q502+Calcs!$R502))</f>
        <v>0</v>
      </c>
      <c r="AF99" s="7">
        <f>IF($BL99&lt;&gt;"Yes",0,Calcs!AZ555*(1+Calcs!$Q502+Calcs!$R502))</f>
        <v>0</v>
      </c>
      <c r="AG99" s="7">
        <f>IF($BL99&lt;&gt;"Yes",0,Calcs!BA555*(1+Calcs!$Q502+Calcs!$R502))</f>
        <v>0</v>
      </c>
      <c r="AH99" s="7">
        <f>IF($BL99&lt;&gt;"Yes",0,Calcs!BB555*(1+Calcs!$Q502+Calcs!$R502))</f>
        <v>0</v>
      </c>
      <c r="AI99" s="7">
        <f>IF($BL99&lt;&gt;"Yes",0,Calcs!BC555*(1+Calcs!$Q502+Calcs!$R502))</f>
        <v>0</v>
      </c>
      <c r="AJ99" s="7">
        <f>IF($BL99&lt;&gt;"Yes",0,Calcs!BD555*(1+Calcs!$Q502+Calcs!$R502))</f>
        <v>0</v>
      </c>
      <c r="AK99" s="7">
        <f>IF($BL99&lt;&gt;"Yes",0,Calcs!BE555*(1+Calcs!$Q502+Calcs!$R502))</f>
        <v>0</v>
      </c>
      <c r="AL99" s="7">
        <f>IF($BL99&lt;&gt;"Yes",0,Calcs!BF555*(1+Calcs!$Q502+Calcs!$R502))</f>
        <v>0</v>
      </c>
      <c r="AM99" s="7">
        <f>IF($BL99&lt;&gt;"Yes",0,Calcs!BG555*(1+Calcs!$Q502+Calcs!$R502))</f>
        <v>0</v>
      </c>
      <c r="AN99" s="7">
        <f>IF($BL99&lt;&gt;"Yes",0,Calcs!BH555*(1+Calcs!$Q502+Calcs!$R502))</f>
        <v>0</v>
      </c>
      <c r="AO99" s="7">
        <f>IF($BL99&lt;&gt;"Yes",0,Calcs!BI555*(1+Calcs!$Q502+Calcs!$R502))</f>
        <v>0</v>
      </c>
      <c r="AP99" s="7">
        <f>IF($BL99&lt;&gt;"Yes",0,Calcs!BJ555*(1+Calcs!$Q502+Calcs!$R502))</f>
        <v>0</v>
      </c>
      <c r="AQ99" s="7">
        <f>IF($BL99&lt;&gt;"Yes",0,Calcs!BK555*(1+Calcs!$Q502+Calcs!$R502))</f>
        <v>0</v>
      </c>
      <c r="AR99" s="7">
        <f>IF($BL99&lt;&gt;"Yes",0,Calcs!BL555*(1+Calcs!$Q502+Calcs!$R502))</f>
        <v>0</v>
      </c>
      <c r="AS99" s="7">
        <f>IF($BL99&lt;&gt;"Yes",0,Calcs!BM555*(1+Calcs!$Q502+Calcs!$R502))</f>
        <v>0</v>
      </c>
      <c r="AT99" s="7">
        <f>IF($BL99&lt;&gt;"Yes",0,Calcs!BN555*(1+Calcs!$Q502+Calcs!$R502))</f>
        <v>0</v>
      </c>
      <c r="AU99" s="7">
        <f>IF($BL99&lt;&gt;"Yes",0,Calcs!BO555*(1+Calcs!$Q502+Calcs!$R502))</f>
        <v>0</v>
      </c>
      <c r="AV99" s="7">
        <f>IF($BL99&lt;&gt;"Yes",0,Calcs!BP555*(1+Calcs!$Q502+Calcs!$R502))</f>
        <v>0</v>
      </c>
      <c r="AW99" s="7">
        <f>IF($BL99&lt;&gt;"Yes",0,Calcs!BQ555*(1+Calcs!$Q502+Calcs!$R502))</f>
        <v>0</v>
      </c>
      <c r="AX99" s="7">
        <f>IF($BL99&lt;&gt;"Yes",0,Calcs!BR555*(1+Calcs!$Q502+Calcs!$R502))</f>
        <v>0</v>
      </c>
      <c r="AY99" s="7">
        <f>IF($BL99&lt;&gt;"Yes",0,Calcs!BS555*(1+Calcs!$Q502+Calcs!$R502))</f>
        <v>0</v>
      </c>
      <c r="AZ99" s="7">
        <f>IF($BL99&lt;&gt;"Yes",0,Calcs!BT555*(1+Calcs!$Q502+Calcs!$R502))</f>
        <v>0</v>
      </c>
      <c r="BA99" s="7">
        <f>IF($BL99&lt;&gt;"Yes",0,Calcs!BU555*(1+Calcs!$Q502+Calcs!$R502))</f>
        <v>0</v>
      </c>
      <c r="BB99" s="7">
        <f>IF($BL99&lt;&gt;"Yes",0,Calcs!BV555*(1+Calcs!$Q502+Calcs!$R502))</f>
        <v>0</v>
      </c>
      <c r="BC99" s="7">
        <f>IF($BL99&lt;&gt;"Yes",0,Calcs!BW555*(1+Calcs!$Q502+Calcs!$R502))</f>
        <v>0</v>
      </c>
      <c r="BD99" s="7">
        <f>IF($BL99&lt;&gt;"Yes",0,Calcs!BX555*(1+Calcs!$Q502+Calcs!$R502))</f>
        <v>0</v>
      </c>
      <c r="BE99" s="7">
        <f>IF($BL99&lt;&gt;"Yes",0,Calcs!BY555*(1+Calcs!$Q502+Calcs!$R502))</f>
        <v>0</v>
      </c>
      <c r="BF99" s="7">
        <f>IF($BL99&lt;&gt;"Yes",0,Calcs!BZ555*(1+Calcs!$Q502+Calcs!$R502))</f>
        <v>0</v>
      </c>
      <c r="BG99" s="7">
        <f>IF($BL99&lt;&gt;"Yes",0,Calcs!CA555*(1+Calcs!$Q502+Calcs!$R502))</f>
        <v>0</v>
      </c>
      <c r="BH99" s="7">
        <f>IF($BL99&lt;&gt;"Yes",0,Calcs!CB555*(1+Calcs!$Q502+Calcs!$R502))</f>
        <v>0</v>
      </c>
      <c r="BI99" s="7">
        <f>IF($BL99&lt;&gt;"Yes",0,Calcs!CC555*(1+Calcs!$Q502+Calcs!$R502))</f>
        <v>0</v>
      </c>
      <c r="BJ99" s="7">
        <f>IF($BL99&lt;&gt;"Yes",0,Calcs!CD555*(1+Calcs!$Q502+Calcs!$R502))</f>
        <v>0</v>
      </c>
    </row>
    <row r="100" spans="1:62" s="5" customFormat="1" ht="13" hidden="1" customHeight="1" x14ac:dyDescent="0.3">
      <c r="A100" s="6" t="str">
        <f>IF(AND(Calcs!S556&lt;&gt;"",Calcs!S556&lt;&gt;0),Calcs!S556,"Personnel "&amp;Calcs!Q556)</f>
        <v xml:space="preserve">Personnel </v>
      </c>
      <c r="B100" s="6" t="str">
        <f>IF(AND(Calcs!T556&lt;&gt;"",Calcs!T556&lt;&gt;0),Calcs!T556,"Personnel "&amp;Calcs!R556)</f>
        <v>Personnel 5</v>
      </c>
      <c r="C100" s="7">
        <f>IF($BL100&lt;&gt;"Yes",0,Calcs!W556*(1+Calcs!$Q503+Calcs!$R503))</f>
        <v>0</v>
      </c>
      <c r="D100" s="7">
        <f>IF($BL100&lt;&gt;"Yes",0,Calcs!X556*(1+Calcs!$Q503+Calcs!$R503))</f>
        <v>0</v>
      </c>
      <c r="E100" s="7">
        <f>IF($BL100&lt;&gt;"Yes",0,Calcs!Y556*(1+Calcs!$Q503+Calcs!$R503))</f>
        <v>0</v>
      </c>
      <c r="F100" s="7">
        <f>IF($BL100&lt;&gt;"Yes",0,Calcs!Z556*(1+Calcs!$Q503+Calcs!$R503))</f>
        <v>0</v>
      </c>
      <c r="G100" s="7">
        <f>IF($BL100&lt;&gt;"Yes",0,Calcs!AA556*(1+Calcs!$Q503+Calcs!$R503))</f>
        <v>0</v>
      </c>
      <c r="H100" s="40"/>
      <c r="I100" s="7">
        <f>IF($BL100&lt;&gt;"Yes",0,Calcs!AC556*(1+Calcs!$Q503+Calcs!$R503))</f>
        <v>0</v>
      </c>
      <c r="J100" s="7">
        <f>IF($BL100&lt;&gt;"Yes",0,Calcs!AD556*(1+Calcs!$Q503+Calcs!$R503))</f>
        <v>0</v>
      </c>
      <c r="K100" s="7">
        <f>IF($BL100&lt;&gt;"Yes",0,Calcs!AE556*(1+Calcs!$Q503+Calcs!$R503))</f>
        <v>0</v>
      </c>
      <c r="L100" s="7">
        <f>IF($BL100&lt;&gt;"Yes",0,Calcs!AF556*(1+Calcs!$Q503+Calcs!$R503))</f>
        <v>0</v>
      </c>
      <c r="M100" s="7">
        <f>IF($BL100&lt;&gt;"Yes",0,Calcs!AG556*(1+Calcs!$Q503+Calcs!$R503))</f>
        <v>0</v>
      </c>
      <c r="N100" s="7">
        <f>IF($BL100&lt;&gt;"Yes",0,Calcs!AH556*(1+Calcs!$Q503+Calcs!$R503))</f>
        <v>0</v>
      </c>
      <c r="O100" s="7">
        <f>IF($BL100&lt;&gt;"Yes",0,Calcs!AI556*(1+Calcs!$Q503+Calcs!$R503))</f>
        <v>0</v>
      </c>
      <c r="P100" s="7">
        <f>IF($BL100&lt;&gt;"Yes",0,Calcs!AJ556*(1+Calcs!$Q503+Calcs!$R503))</f>
        <v>0</v>
      </c>
      <c r="Q100" s="7">
        <f>IF($BL100&lt;&gt;"Yes",0,Calcs!AK556*(1+Calcs!$Q503+Calcs!$R503))</f>
        <v>0</v>
      </c>
      <c r="R100" s="7">
        <f>IF($BL100&lt;&gt;"Yes",0,Calcs!AL556*(1+Calcs!$Q503+Calcs!$R503))</f>
        <v>0</v>
      </c>
      <c r="S100" s="7">
        <f>IF($BL100&lt;&gt;"Yes",0,Calcs!AM556*(1+Calcs!$Q503+Calcs!$R503))</f>
        <v>0</v>
      </c>
      <c r="T100" s="7">
        <f>IF($BL100&lt;&gt;"Yes",0,Calcs!AN556*(1+Calcs!$Q503+Calcs!$R503))</f>
        <v>0</v>
      </c>
      <c r="U100" s="7">
        <f>IF($BL100&lt;&gt;"Yes",0,Calcs!AO556*(1+Calcs!$Q503+Calcs!$R503))</f>
        <v>0</v>
      </c>
      <c r="V100" s="7">
        <f>IF($BL100&lt;&gt;"Yes",0,Calcs!AP556*(1+Calcs!$Q503+Calcs!$R503))</f>
        <v>0</v>
      </c>
      <c r="W100" s="7">
        <f>IF($BL100&lt;&gt;"Yes",0,Calcs!AQ556*(1+Calcs!$Q503+Calcs!$R503))</f>
        <v>0</v>
      </c>
      <c r="X100" s="7">
        <f>IF($BL100&lt;&gt;"Yes",0,Calcs!AR556*(1+Calcs!$Q503+Calcs!$R503))</f>
        <v>0</v>
      </c>
      <c r="Y100" s="7">
        <f>IF($BL100&lt;&gt;"Yes",0,Calcs!AS556*(1+Calcs!$Q503+Calcs!$R503))</f>
        <v>0</v>
      </c>
      <c r="Z100" s="7">
        <f>IF($BL100&lt;&gt;"Yes",0,Calcs!AT556*(1+Calcs!$Q503+Calcs!$R503))</f>
        <v>0</v>
      </c>
      <c r="AA100" s="7">
        <f>IF($BL100&lt;&gt;"Yes",0,Calcs!AU556*(1+Calcs!$Q503+Calcs!$R503))</f>
        <v>0</v>
      </c>
      <c r="AB100" s="7">
        <f>IF($BL100&lt;&gt;"Yes",0,Calcs!AV556*(1+Calcs!$Q503+Calcs!$R503))</f>
        <v>0</v>
      </c>
      <c r="AC100" s="7">
        <f>IF($BL100&lt;&gt;"Yes",0,Calcs!AW556*(1+Calcs!$Q503+Calcs!$R503))</f>
        <v>0</v>
      </c>
      <c r="AD100" s="7">
        <f>IF($BL100&lt;&gt;"Yes",0,Calcs!AX556*(1+Calcs!$Q503+Calcs!$R503))</f>
        <v>0</v>
      </c>
      <c r="AE100" s="7">
        <f>IF($BL100&lt;&gt;"Yes",0,Calcs!AY556*(1+Calcs!$Q503+Calcs!$R503))</f>
        <v>0</v>
      </c>
      <c r="AF100" s="7">
        <f>IF($BL100&lt;&gt;"Yes",0,Calcs!AZ556*(1+Calcs!$Q503+Calcs!$R503))</f>
        <v>0</v>
      </c>
      <c r="AG100" s="7">
        <f>IF($BL100&lt;&gt;"Yes",0,Calcs!BA556*(1+Calcs!$Q503+Calcs!$R503))</f>
        <v>0</v>
      </c>
      <c r="AH100" s="7">
        <f>IF($BL100&lt;&gt;"Yes",0,Calcs!BB556*(1+Calcs!$Q503+Calcs!$R503))</f>
        <v>0</v>
      </c>
      <c r="AI100" s="7">
        <f>IF($BL100&lt;&gt;"Yes",0,Calcs!BC556*(1+Calcs!$Q503+Calcs!$R503))</f>
        <v>0</v>
      </c>
      <c r="AJ100" s="7">
        <f>IF($BL100&lt;&gt;"Yes",0,Calcs!BD556*(1+Calcs!$Q503+Calcs!$R503))</f>
        <v>0</v>
      </c>
      <c r="AK100" s="7">
        <f>IF($BL100&lt;&gt;"Yes",0,Calcs!BE556*(1+Calcs!$Q503+Calcs!$R503))</f>
        <v>0</v>
      </c>
      <c r="AL100" s="7">
        <f>IF($BL100&lt;&gt;"Yes",0,Calcs!BF556*(1+Calcs!$Q503+Calcs!$R503))</f>
        <v>0</v>
      </c>
      <c r="AM100" s="7">
        <f>IF($BL100&lt;&gt;"Yes",0,Calcs!BG556*(1+Calcs!$Q503+Calcs!$R503))</f>
        <v>0</v>
      </c>
      <c r="AN100" s="7">
        <f>IF($BL100&lt;&gt;"Yes",0,Calcs!BH556*(1+Calcs!$Q503+Calcs!$R503))</f>
        <v>0</v>
      </c>
      <c r="AO100" s="7">
        <f>IF($BL100&lt;&gt;"Yes",0,Calcs!BI556*(1+Calcs!$Q503+Calcs!$R503))</f>
        <v>0</v>
      </c>
      <c r="AP100" s="7">
        <f>IF($BL100&lt;&gt;"Yes",0,Calcs!BJ556*(1+Calcs!$Q503+Calcs!$R503))</f>
        <v>0</v>
      </c>
      <c r="AQ100" s="7">
        <f>IF($BL100&lt;&gt;"Yes",0,Calcs!BK556*(1+Calcs!$Q503+Calcs!$R503))</f>
        <v>0</v>
      </c>
      <c r="AR100" s="7">
        <f>IF($BL100&lt;&gt;"Yes",0,Calcs!BL556*(1+Calcs!$Q503+Calcs!$R503))</f>
        <v>0</v>
      </c>
      <c r="AS100" s="7">
        <f>IF($BL100&lt;&gt;"Yes",0,Calcs!BM556*(1+Calcs!$Q503+Calcs!$R503))</f>
        <v>0</v>
      </c>
      <c r="AT100" s="7">
        <f>IF($BL100&lt;&gt;"Yes",0,Calcs!BN556*(1+Calcs!$Q503+Calcs!$R503))</f>
        <v>0</v>
      </c>
      <c r="AU100" s="7">
        <f>IF($BL100&lt;&gt;"Yes",0,Calcs!BO556*(1+Calcs!$Q503+Calcs!$R503))</f>
        <v>0</v>
      </c>
      <c r="AV100" s="7">
        <f>IF($BL100&lt;&gt;"Yes",0,Calcs!BP556*(1+Calcs!$Q503+Calcs!$R503))</f>
        <v>0</v>
      </c>
      <c r="AW100" s="7">
        <f>IF($BL100&lt;&gt;"Yes",0,Calcs!BQ556*(1+Calcs!$Q503+Calcs!$R503))</f>
        <v>0</v>
      </c>
      <c r="AX100" s="7">
        <f>IF($BL100&lt;&gt;"Yes",0,Calcs!BR556*(1+Calcs!$Q503+Calcs!$R503))</f>
        <v>0</v>
      </c>
      <c r="AY100" s="7">
        <f>IF($BL100&lt;&gt;"Yes",0,Calcs!BS556*(1+Calcs!$Q503+Calcs!$R503))</f>
        <v>0</v>
      </c>
      <c r="AZ100" s="7">
        <f>IF($BL100&lt;&gt;"Yes",0,Calcs!BT556*(1+Calcs!$Q503+Calcs!$R503))</f>
        <v>0</v>
      </c>
      <c r="BA100" s="7">
        <f>IF($BL100&lt;&gt;"Yes",0,Calcs!BU556*(1+Calcs!$Q503+Calcs!$R503))</f>
        <v>0</v>
      </c>
      <c r="BB100" s="7">
        <f>IF($BL100&lt;&gt;"Yes",0,Calcs!BV556*(1+Calcs!$Q503+Calcs!$R503))</f>
        <v>0</v>
      </c>
      <c r="BC100" s="7">
        <f>IF($BL100&lt;&gt;"Yes",0,Calcs!BW556*(1+Calcs!$Q503+Calcs!$R503))</f>
        <v>0</v>
      </c>
      <c r="BD100" s="7">
        <f>IF($BL100&lt;&gt;"Yes",0,Calcs!BX556*(1+Calcs!$Q503+Calcs!$R503))</f>
        <v>0</v>
      </c>
      <c r="BE100" s="7">
        <f>IF($BL100&lt;&gt;"Yes",0,Calcs!BY556*(1+Calcs!$Q503+Calcs!$R503))</f>
        <v>0</v>
      </c>
      <c r="BF100" s="7">
        <f>IF($BL100&lt;&gt;"Yes",0,Calcs!BZ556*(1+Calcs!$Q503+Calcs!$R503))</f>
        <v>0</v>
      </c>
      <c r="BG100" s="7">
        <f>IF($BL100&lt;&gt;"Yes",0,Calcs!CA556*(1+Calcs!$Q503+Calcs!$R503))</f>
        <v>0</v>
      </c>
      <c r="BH100" s="7">
        <f>IF($BL100&lt;&gt;"Yes",0,Calcs!CB556*(1+Calcs!$Q503+Calcs!$R503))</f>
        <v>0</v>
      </c>
      <c r="BI100" s="7">
        <f>IF($BL100&lt;&gt;"Yes",0,Calcs!CC556*(1+Calcs!$Q503+Calcs!$R503))</f>
        <v>0</v>
      </c>
      <c r="BJ100" s="7">
        <f>IF($BL100&lt;&gt;"Yes",0,Calcs!CD556*(1+Calcs!$Q503+Calcs!$R503))</f>
        <v>0</v>
      </c>
    </row>
    <row r="101" spans="1:62" s="5" customFormat="1" ht="13" hidden="1" customHeight="1" x14ac:dyDescent="0.3">
      <c r="A101" s="6" t="str">
        <f>IF(AND(Calcs!S557&lt;&gt;"",Calcs!S557&lt;&gt;0),Calcs!S557,"Personnel "&amp;Calcs!Q557)</f>
        <v xml:space="preserve">Personnel </v>
      </c>
      <c r="B101" s="6" t="str">
        <f>IF(AND(Calcs!T557&lt;&gt;"",Calcs!T557&lt;&gt;0),Calcs!T557,"Personnel "&amp;Calcs!R557)</f>
        <v>Personnel 6</v>
      </c>
      <c r="C101" s="7">
        <f>IF($BL101&lt;&gt;"Yes",0,Calcs!W557*(1+Calcs!$Q504+Calcs!$R504))</f>
        <v>0</v>
      </c>
      <c r="D101" s="7">
        <f>IF($BL101&lt;&gt;"Yes",0,Calcs!X557*(1+Calcs!$Q504+Calcs!$R504))</f>
        <v>0</v>
      </c>
      <c r="E101" s="7">
        <f>IF($BL101&lt;&gt;"Yes",0,Calcs!Y557*(1+Calcs!$Q504+Calcs!$R504))</f>
        <v>0</v>
      </c>
      <c r="F101" s="7">
        <f>IF($BL101&lt;&gt;"Yes",0,Calcs!Z557*(1+Calcs!$Q504+Calcs!$R504))</f>
        <v>0</v>
      </c>
      <c r="G101" s="7">
        <f>IF($BL101&lt;&gt;"Yes",0,Calcs!AA557*(1+Calcs!$Q504+Calcs!$R504))</f>
        <v>0</v>
      </c>
      <c r="H101" s="40"/>
      <c r="I101" s="7">
        <f>IF($BL101&lt;&gt;"Yes",0,Calcs!AC557*(1+Calcs!$Q504+Calcs!$R504))</f>
        <v>0</v>
      </c>
      <c r="J101" s="7">
        <f>IF($BL101&lt;&gt;"Yes",0,Calcs!AD557*(1+Calcs!$Q504+Calcs!$R504))</f>
        <v>0</v>
      </c>
      <c r="K101" s="7">
        <f>IF($BL101&lt;&gt;"Yes",0,Calcs!AE557*(1+Calcs!$Q504+Calcs!$R504))</f>
        <v>0</v>
      </c>
      <c r="L101" s="7">
        <f>IF($BL101&lt;&gt;"Yes",0,Calcs!AF557*(1+Calcs!$Q504+Calcs!$R504))</f>
        <v>0</v>
      </c>
      <c r="M101" s="7">
        <f>IF($BL101&lt;&gt;"Yes",0,Calcs!AG557*(1+Calcs!$Q504+Calcs!$R504))</f>
        <v>0</v>
      </c>
      <c r="N101" s="7">
        <f>IF($BL101&lt;&gt;"Yes",0,Calcs!AH557*(1+Calcs!$Q504+Calcs!$R504))</f>
        <v>0</v>
      </c>
      <c r="O101" s="7">
        <f>IF($BL101&lt;&gt;"Yes",0,Calcs!AI557*(1+Calcs!$Q504+Calcs!$R504))</f>
        <v>0</v>
      </c>
      <c r="P101" s="7">
        <f>IF($BL101&lt;&gt;"Yes",0,Calcs!AJ557*(1+Calcs!$Q504+Calcs!$R504))</f>
        <v>0</v>
      </c>
      <c r="Q101" s="7">
        <f>IF($BL101&lt;&gt;"Yes",0,Calcs!AK557*(1+Calcs!$Q504+Calcs!$R504))</f>
        <v>0</v>
      </c>
      <c r="R101" s="7">
        <f>IF($BL101&lt;&gt;"Yes",0,Calcs!AL557*(1+Calcs!$Q504+Calcs!$R504))</f>
        <v>0</v>
      </c>
      <c r="S101" s="7">
        <f>IF($BL101&lt;&gt;"Yes",0,Calcs!AM557*(1+Calcs!$Q504+Calcs!$R504))</f>
        <v>0</v>
      </c>
      <c r="T101" s="7">
        <f>IF($BL101&lt;&gt;"Yes",0,Calcs!AN557*(1+Calcs!$Q504+Calcs!$R504))</f>
        <v>0</v>
      </c>
      <c r="U101" s="7">
        <f>IF($BL101&lt;&gt;"Yes",0,Calcs!AO557*(1+Calcs!$Q504+Calcs!$R504))</f>
        <v>0</v>
      </c>
      <c r="V101" s="7">
        <f>IF($BL101&lt;&gt;"Yes",0,Calcs!AP557*(1+Calcs!$Q504+Calcs!$R504))</f>
        <v>0</v>
      </c>
      <c r="W101" s="7">
        <f>IF($BL101&lt;&gt;"Yes",0,Calcs!AQ557*(1+Calcs!$Q504+Calcs!$R504))</f>
        <v>0</v>
      </c>
      <c r="X101" s="7">
        <f>IF($BL101&lt;&gt;"Yes",0,Calcs!AR557*(1+Calcs!$Q504+Calcs!$R504))</f>
        <v>0</v>
      </c>
      <c r="Y101" s="7">
        <f>IF($BL101&lt;&gt;"Yes",0,Calcs!AS557*(1+Calcs!$Q504+Calcs!$R504))</f>
        <v>0</v>
      </c>
      <c r="Z101" s="7">
        <f>IF($BL101&lt;&gt;"Yes",0,Calcs!AT557*(1+Calcs!$Q504+Calcs!$R504))</f>
        <v>0</v>
      </c>
      <c r="AA101" s="7">
        <f>IF($BL101&lt;&gt;"Yes",0,Calcs!AU557*(1+Calcs!$Q504+Calcs!$R504))</f>
        <v>0</v>
      </c>
      <c r="AB101" s="7">
        <f>IF($BL101&lt;&gt;"Yes",0,Calcs!AV557*(1+Calcs!$Q504+Calcs!$R504))</f>
        <v>0</v>
      </c>
      <c r="AC101" s="7">
        <f>IF($BL101&lt;&gt;"Yes",0,Calcs!AW557*(1+Calcs!$Q504+Calcs!$R504))</f>
        <v>0</v>
      </c>
      <c r="AD101" s="7">
        <f>IF($BL101&lt;&gt;"Yes",0,Calcs!AX557*(1+Calcs!$Q504+Calcs!$R504))</f>
        <v>0</v>
      </c>
      <c r="AE101" s="7">
        <f>IF($BL101&lt;&gt;"Yes",0,Calcs!AY557*(1+Calcs!$Q504+Calcs!$R504))</f>
        <v>0</v>
      </c>
      <c r="AF101" s="7">
        <f>IF($BL101&lt;&gt;"Yes",0,Calcs!AZ557*(1+Calcs!$Q504+Calcs!$R504))</f>
        <v>0</v>
      </c>
      <c r="AG101" s="7">
        <f>IF($BL101&lt;&gt;"Yes",0,Calcs!BA557*(1+Calcs!$Q504+Calcs!$R504))</f>
        <v>0</v>
      </c>
      <c r="AH101" s="7">
        <f>IF($BL101&lt;&gt;"Yes",0,Calcs!BB557*(1+Calcs!$Q504+Calcs!$R504))</f>
        <v>0</v>
      </c>
      <c r="AI101" s="7">
        <f>IF($BL101&lt;&gt;"Yes",0,Calcs!BC557*(1+Calcs!$Q504+Calcs!$R504))</f>
        <v>0</v>
      </c>
      <c r="AJ101" s="7">
        <f>IF($BL101&lt;&gt;"Yes",0,Calcs!BD557*(1+Calcs!$Q504+Calcs!$R504))</f>
        <v>0</v>
      </c>
      <c r="AK101" s="7">
        <f>IF($BL101&lt;&gt;"Yes",0,Calcs!BE557*(1+Calcs!$Q504+Calcs!$R504))</f>
        <v>0</v>
      </c>
      <c r="AL101" s="7">
        <f>IF($BL101&lt;&gt;"Yes",0,Calcs!BF557*(1+Calcs!$Q504+Calcs!$R504))</f>
        <v>0</v>
      </c>
      <c r="AM101" s="7">
        <f>IF($BL101&lt;&gt;"Yes",0,Calcs!BG557*(1+Calcs!$Q504+Calcs!$R504))</f>
        <v>0</v>
      </c>
      <c r="AN101" s="7">
        <f>IF($BL101&lt;&gt;"Yes",0,Calcs!BH557*(1+Calcs!$Q504+Calcs!$R504))</f>
        <v>0</v>
      </c>
      <c r="AO101" s="7">
        <f>IF($BL101&lt;&gt;"Yes",0,Calcs!BI557*(1+Calcs!$Q504+Calcs!$R504))</f>
        <v>0</v>
      </c>
      <c r="AP101" s="7">
        <f>IF($BL101&lt;&gt;"Yes",0,Calcs!BJ557*(1+Calcs!$Q504+Calcs!$R504))</f>
        <v>0</v>
      </c>
      <c r="AQ101" s="7">
        <f>IF($BL101&lt;&gt;"Yes",0,Calcs!BK557*(1+Calcs!$Q504+Calcs!$R504))</f>
        <v>0</v>
      </c>
      <c r="AR101" s="7">
        <f>IF($BL101&lt;&gt;"Yes",0,Calcs!BL557*(1+Calcs!$Q504+Calcs!$R504))</f>
        <v>0</v>
      </c>
      <c r="AS101" s="7">
        <f>IF($BL101&lt;&gt;"Yes",0,Calcs!BM557*(1+Calcs!$Q504+Calcs!$R504))</f>
        <v>0</v>
      </c>
      <c r="AT101" s="7">
        <f>IF($BL101&lt;&gt;"Yes",0,Calcs!BN557*(1+Calcs!$Q504+Calcs!$R504))</f>
        <v>0</v>
      </c>
      <c r="AU101" s="7">
        <f>IF($BL101&lt;&gt;"Yes",0,Calcs!BO557*(1+Calcs!$Q504+Calcs!$R504))</f>
        <v>0</v>
      </c>
      <c r="AV101" s="7">
        <f>IF($BL101&lt;&gt;"Yes",0,Calcs!BP557*(1+Calcs!$Q504+Calcs!$R504))</f>
        <v>0</v>
      </c>
      <c r="AW101" s="7">
        <f>IF($BL101&lt;&gt;"Yes",0,Calcs!BQ557*(1+Calcs!$Q504+Calcs!$R504))</f>
        <v>0</v>
      </c>
      <c r="AX101" s="7">
        <f>IF($BL101&lt;&gt;"Yes",0,Calcs!BR557*(1+Calcs!$Q504+Calcs!$R504))</f>
        <v>0</v>
      </c>
      <c r="AY101" s="7">
        <f>IF($BL101&lt;&gt;"Yes",0,Calcs!BS557*(1+Calcs!$Q504+Calcs!$R504))</f>
        <v>0</v>
      </c>
      <c r="AZ101" s="7">
        <f>IF($BL101&lt;&gt;"Yes",0,Calcs!BT557*(1+Calcs!$Q504+Calcs!$R504))</f>
        <v>0</v>
      </c>
      <c r="BA101" s="7">
        <f>IF($BL101&lt;&gt;"Yes",0,Calcs!BU557*(1+Calcs!$Q504+Calcs!$R504))</f>
        <v>0</v>
      </c>
      <c r="BB101" s="7">
        <f>IF($BL101&lt;&gt;"Yes",0,Calcs!BV557*(1+Calcs!$Q504+Calcs!$R504))</f>
        <v>0</v>
      </c>
      <c r="BC101" s="7">
        <f>IF($BL101&lt;&gt;"Yes",0,Calcs!BW557*(1+Calcs!$Q504+Calcs!$R504))</f>
        <v>0</v>
      </c>
      <c r="BD101" s="7">
        <f>IF($BL101&lt;&gt;"Yes",0,Calcs!BX557*(1+Calcs!$Q504+Calcs!$R504))</f>
        <v>0</v>
      </c>
      <c r="BE101" s="7">
        <f>IF($BL101&lt;&gt;"Yes",0,Calcs!BY557*(1+Calcs!$Q504+Calcs!$R504))</f>
        <v>0</v>
      </c>
      <c r="BF101" s="7">
        <f>IF($BL101&lt;&gt;"Yes",0,Calcs!BZ557*(1+Calcs!$Q504+Calcs!$R504))</f>
        <v>0</v>
      </c>
      <c r="BG101" s="7">
        <f>IF($BL101&lt;&gt;"Yes",0,Calcs!CA557*(1+Calcs!$Q504+Calcs!$R504))</f>
        <v>0</v>
      </c>
      <c r="BH101" s="7">
        <f>IF($BL101&lt;&gt;"Yes",0,Calcs!CB557*(1+Calcs!$Q504+Calcs!$R504))</f>
        <v>0</v>
      </c>
      <c r="BI101" s="7">
        <f>IF($BL101&lt;&gt;"Yes",0,Calcs!CC557*(1+Calcs!$Q504+Calcs!$R504))</f>
        <v>0</v>
      </c>
      <c r="BJ101" s="7">
        <f>IF($BL101&lt;&gt;"Yes",0,Calcs!CD557*(1+Calcs!$Q504+Calcs!$R504))</f>
        <v>0</v>
      </c>
    </row>
    <row r="102" spans="1:62" s="5" customFormat="1" ht="13" hidden="1" customHeight="1" x14ac:dyDescent="0.3">
      <c r="A102" s="6" t="str">
        <f>IF(AND(Calcs!S558&lt;&gt;"",Calcs!S558&lt;&gt;0),Calcs!S558,"Personnel "&amp;Calcs!Q558)</f>
        <v xml:space="preserve">Personnel </v>
      </c>
      <c r="B102" s="6" t="str">
        <f>IF(AND(Calcs!T558&lt;&gt;"",Calcs!T558&lt;&gt;0),Calcs!T558,"Personnel "&amp;Calcs!R558)</f>
        <v>Personnel 7</v>
      </c>
      <c r="C102" s="7">
        <f>IF($BL102&lt;&gt;"Yes",0,Calcs!W558*(1+Calcs!$Q505+Calcs!$R505))</f>
        <v>0</v>
      </c>
      <c r="D102" s="7">
        <f>IF($BL102&lt;&gt;"Yes",0,Calcs!X558*(1+Calcs!$Q505+Calcs!$R505))</f>
        <v>0</v>
      </c>
      <c r="E102" s="7">
        <f>IF($BL102&lt;&gt;"Yes",0,Calcs!Y558*(1+Calcs!$Q505+Calcs!$R505))</f>
        <v>0</v>
      </c>
      <c r="F102" s="7">
        <f>IF($BL102&lt;&gt;"Yes",0,Calcs!Z558*(1+Calcs!$Q505+Calcs!$R505))</f>
        <v>0</v>
      </c>
      <c r="G102" s="7">
        <f>IF($BL102&lt;&gt;"Yes",0,Calcs!AA558*(1+Calcs!$Q505+Calcs!$R505))</f>
        <v>0</v>
      </c>
      <c r="H102" s="40"/>
      <c r="I102" s="7">
        <f>IF($BL102&lt;&gt;"Yes",0,Calcs!AC558*(1+Calcs!$Q505+Calcs!$R505))</f>
        <v>0</v>
      </c>
      <c r="J102" s="7">
        <f>IF($BL102&lt;&gt;"Yes",0,Calcs!AD558*(1+Calcs!$Q505+Calcs!$R505))</f>
        <v>0</v>
      </c>
      <c r="K102" s="7">
        <f>IF($BL102&lt;&gt;"Yes",0,Calcs!AE558*(1+Calcs!$Q505+Calcs!$R505))</f>
        <v>0</v>
      </c>
      <c r="L102" s="7">
        <f>IF($BL102&lt;&gt;"Yes",0,Calcs!AF558*(1+Calcs!$Q505+Calcs!$R505))</f>
        <v>0</v>
      </c>
      <c r="M102" s="7">
        <f>IF($BL102&lt;&gt;"Yes",0,Calcs!AG558*(1+Calcs!$Q505+Calcs!$R505))</f>
        <v>0</v>
      </c>
      <c r="N102" s="7">
        <f>IF($BL102&lt;&gt;"Yes",0,Calcs!AH558*(1+Calcs!$Q505+Calcs!$R505))</f>
        <v>0</v>
      </c>
      <c r="O102" s="7">
        <f>IF($BL102&lt;&gt;"Yes",0,Calcs!AI558*(1+Calcs!$Q505+Calcs!$R505))</f>
        <v>0</v>
      </c>
      <c r="P102" s="7">
        <f>IF($BL102&lt;&gt;"Yes",0,Calcs!AJ558*(1+Calcs!$Q505+Calcs!$R505))</f>
        <v>0</v>
      </c>
      <c r="Q102" s="7">
        <f>IF($BL102&lt;&gt;"Yes",0,Calcs!AK558*(1+Calcs!$Q505+Calcs!$R505))</f>
        <v>0</v>
      </c>
      <c r="R102" s="7">
        <f>IF($BL102&lt;&gt;"Yes",0,Calcs!AL558*(1+Calcs!$Q505+Calcs!$R505))</f>
        <v>0</v>
      </c>
      <c r="S102" s="7">
        <f>IF($BL102&lt;&gt;"Yes",0,Calcs!AM558*(1+Calcs!$Q505+Calcs!$R505))</f>
        <v>0</v>
      </c>
      <c r="T102" s="7">
        <f>IF($BL102&lt;&gt;"Yes",0,Calcs!AN558*(1+Calcs!$Q505+Calcs!$R505))</f>
        <v>0</v>
      </c>
      <c r="U102" s="7">
        <f>IF($BL102&lt;&gt;"Yes",0,Calcs!AO558*(1+Calcs!$Q505+Calcs!$R505))</f>
        <v>0</v>
      </c>
      <c r="V102" s="7">
        <f>IF($BL102&lt;&gt;"Yes",0,Calcs!AP558*(1+Calcs!$Q505+Calcs!$R505))</f>
        <v>0</v>
      </c>
      <c r="W102" s="7">
        <f>IF($BL102&lt;&gt;"Yes",0,Calcs!AQ558*(1+Calcs!$Q505+Calcs!$R505))</f>
        <v>0</v>
      </c>
      <c r="X102" s="7">
        <f>IF($BL102&lt;&gt;"Yes",0,Calcs!AR558*(1+Calcs!$Q505+Calcs!$R505))</f>
        <v>0</v>
      </c>
      <c r="Y102" s="7">
        <f>IF($BL102&lt;&gt;"Yes",0,Calcs!AS558*(1+Calcs!$Q505+Calcs!$R505))</f>
        <v>0</v>
      </c>
      <c r="Z102" s="7">
        <f>IF($BL102&lt;&gt;"Yes",0,Calcs!AT558*(1+Calcs!$Q505+Calcs!$R505))</f>
        <v>0</v>
      </c>
      <c r="AA102" s="7">
        <f>IF($BL102&lt;&gt;"Yes",0,Calcs!AU558*(1+Calcs!$Q505+Calcs!$R505))</f>
        <v>0</v>
      </c>
      <c r="AB102" s="7">
        <f>IF($BL102&lt;&gt;"Yes",0,Calcs!AV558*(1+Calcs!$Q505+Calcs!$R505))</f>
        <v>0</v>
      </c>
      <c r="AC102" s="7">
        <f>IF($BL102&lt;&gt;"Yes",0,Calcs!AW558*(1+Calcs!$Q505+Calcs!$R505))</f>
        <v>0</v>
      </c>
      <c r="AD102" s="7">
        <f>IF($BL102&lt;&gt;"Yes",0,Calcs!AX558*(1+Calcs!$Q505+Calcs!$R505))</f>
        <v>0</v>
      </c>
      <c r="AE102" s="7">
        <f>IF($BL102&lt;&gt;"Yes",0,Calcs!AY558*(1+Calcs!$Q505+Calcs!$R505))</f>
        <v>0</v>
      </c>
      <c r="AF102" s="7">
        <f>IF($BL102&lt;&gt;"Yes",0,Calcs!AZ558*(1+Calcs!$Q505+Calcs!$R505))</f>
        <v>0</v>
      </c>
      <c r="AG102" s="7">
        <f>IF($BL102&lt;&gt;"Yes",0,Calcs!BA558*(1+Calcs!$Q505+Calcs!$R505))</f>
        <v>0</v>
      </c>
      <c r="AH102" s="7">
        <f>IF($BL102&lt;&gt;"Yes",0,Calcs!BB558*(1+Calcs!$Q505+Calcs!$R505))</f>
        <v>0</v>
      </c>
      <c r="AI102" s="7">
        <f>IF($BL102&lt;&gt;"Yes",0,Calcs!BC558*(1+Calcs!$Q505+Calcs!$R505))</f>
        <v>0</v>
      </c>
      <c r="AJ102" s="7">
        <f>IF($BL102&lt;&gt;"Yes",0,Calcs!BD558*(1+Calcs!$Q505+Calcs!$R505))</f>
        <v>0</v>
      </c>
      <c r="AK102" s="7">
        <f>IF($BL102&lt;&gt;"Yes",0,Calcs!BE558*(1+Calcs!$Q505+Calcs!$R505))</f>
        <v>0</v>
      </c>
      <c r="AL102" s="7">
        <f>IF($BL102&lt;&gt;"Yes",0,Calcs!BF558*(1+Calcs!$Q505+Calcs!$R505))</f>
        <v>0</v>
      </c>
      <c r="AM102" s="7">
        <f>IF($BL102&lt;&gt;"Yes",0,Calcs!BG558*(1+Calcs!$Q505+Calcs!$R505))</f>
        <v>0</v>
      </c>
      <c r="AN102" s="7">
        <f>IF($BL102&lt;&gt;"Yes",0,Calcs!BH558*(1+Calcs!$Q505+Calcs!$R505))</f>
        <v>0</v>
      </c>
      <c r="AO102" s="7">
        <f>IF($BL102&lt;&gt;"Yes",0,Calcs!BI558*(1+Calcs!$Q505+Calcs!$R505))</f>
        <v>0</v>
      </c>
      <c r="AP102" s="7">
        <f>IF($BL102&lt;&gt;"Yes",0,Calcs!BJ558*(1+Calcs!$Q505+Calcs!$R505))</f>
        <v>0</v>
      </c>
      <c r="AQ102" s="7">
        <f>IF($BL102&lt;&gt;"Yes",0,Calcs!BK558*(1+Calcs!$Q505+Calcs!$R505))</f>
        <v>0</v>
      </c>
      <c r="AR102" s="7">
        <f>IF($BL102&lt;&gt;"Yes",0,Calcs!BL558*(1+Calcs!$Q505+Calcs!$R505))</f>
        <v>0</v>
      </c>
      <c r="AS102" s="7">
        <f>IF($BL102&lt;&gt;"Yes",0,Calcs!BM558*(1+Calcs!$Q505+Calcs!$R505))</f>
        <v>0</v>
      </c>
      <c r="AT102" s="7">
        <f>IF($BL102&lt;&gt;"Yes",0,Calcs!BN558*(1+Calcs!$Q505+Calcs!$R505))</f>
        <v>0</v>
      </c>
      <c r="AU102" s="7">
        <f>IF($BL102&lt;&gt;"Yes",0,Calcs!BO558*(1+Calcs!$Q505+Calcs!$R505))</f>
        <v>0</v>
      </c>
      <c r="AV102" s="7">
        <f>IF($BL102&lt;&gt;"Yes",0,Calcs!BP558*(1+Calcs!$Q505+Calcs!$R505))</f>
        <v>0</v>
      </c>
      <c r="AW102" s="7">
        <f>IF($BL102&lt;&gt;"Yes",0,Calcs!BQ558*(1+Calcs!$Q505+Calcs!$R505))</f>
        <v>0</v>
      </c>
      <c r="AX102" s="7">
        <f>IF($BL102&lt;&gt;"Yes",0,Calcs!BR558*(1+Calcs!$Q505+Calcs!$R505))</f>
        <v>0</v>
      </c>
      <c r="AY102" s="7">
        <f>IF($BL102&lt;&gt;"Yes",0,Calcs!BS558*(1+Calcs!$Q505+Calcs!$R505))</f>
        <v>0</v>
      </c>
      <c r="AZ102" s="7">
        <f>IF($BL102&lt;&gt;"Yes",0,Calcs!BT558*(1+Calcs!$Q505+Calcs!$R505))</f>
        <v>0</v>
      </c>
      <c r="BA102" s="7">
        <f>IF($BL102&lt;&gt;"Yes",0,Calcs!BU558*(1+Calcs!$Q505+Calcs!$R505))</f>
        <v>0</v>
      </c>
      <c r="BB102" s="7">
        <f>IF($BL102&lt;&gt;"Yes",0,Calcs!BV558*(1+Calcs!$Q505+Calcs!$R505))</f>
        <v>0</v>
      </c>
      <c r="BC102" s="7">
        <f>IF($BL102&lt;&gt;"Yes",0,Calcs!BW558*(1+Calcs!$Q505+Calcs!$R505))</f>
        <v>0</v>
      </c>
      <c r="BD102" s="7">
        <f>IF($BL102&lt;&gt;"Yes",0,Calcs!BX558*(1+Calcs!$Q505+Calcs!$R505))</f>
        <v>0</v>
      </c>
      <c r="BE102" s="7">
        <f>IF($BL102&lt;&gt;"Yes",0,Calcs!BY558*(1+Calcs!$Q505+Calcs!$R505))</f>
        <v>0</v>
      </c>
      <c r="BF102" s="7">
        <f>IF($BL102&lt;&gt;"Yes",0,Calcs!BZ558*(1+Calcs!$Q505+Calcs!$R505))</f>
        <v>0</v>
      </c>
      <c r="BG102" s="7">
        <f>IF($BL102&lt;&gt;"Yes",0,Calcs!CA558*(1+Calcs!$Q505+Calcs!$R505))</f>
        <v>0</v>
      </c>
      <c r="BH102" s="7">
        <f>IF($BL102&lt;&gt;"Yes",0,Calcs!CB558*(1+Calcs!$Q505+Calcs!$R505))</f>
        <v>0</v>
      </c>
      <c r="BI102" s="7">
        <f>IF($BL102&lt;&gt;"Yes",0,Calcs!CC558*(1+Calcs!$Q505+Calcs!$R505))</f>
        <v>0</v>
      </c>
      <c r="BJ102" s="7">
        <f>IF($BL102&lt;&gt;"Yes",0,Calcs!CD558*(1+Calcs!$Q505+Calcs!$R505))</f>
        <v>0</v>
      </c>
    </row>
    <row r="103" spans="1:62" s="5" customFormat="1" ht="13" hidden="1" customHeight="1" x14ac:dyDescent="0.3">
      <c r="A103" s="6" t="str">
        <f>IF(AND(Calcs!S559&lt;&gt;"",Calcs!S559&lt;&gt;0),Calcs!S559,"Personnel "&amp;Calcs!Q559)</f>
        <v xml:space="preserve">Personnel </v>
      </c>
      <c r="B103" s="6" t="str">
        <f>IF(AND(Calcs!T559&lt;&gt;"",Calcs!T559&lt;&gt;0),Calcs!T559,"Personnel "&amp;Calcs!R559)</f>
        <v>Personnel 8</v>
      </c>
      <c r="C103" s="7">
        <f>IF($BL103&lt;&gt;"Yes",0,Calcs!W559*(1+Calcs!$Q506+Calcs!$R506))</f>
        <v>0</v>
      </c>
      <c r="D103" s="7">
        <f>IF($BL103&lt;&gt;"Yes",0,Calcs!X559*(1+Calcs!$Q506+Calcs!$R506))</f>
        <v>0</v>
      </c>
      <c r="E103" s="7">
        <f>IF($BL103&lt;&gt;"Yes",0,Calcs!Y559*(1+Calcs!$Q506+Calcs!$R506))</f>
        <v>0</v>
      </c>
      <c r="F103" s="7">
        <f>IF($BL103&lt;&gt;"Yes",0,Calcs!Z559*(1+Calcs!$Q506+Calcs!$R506))</f>
        <v>0</v>
      </c>
      <c r="G103" s="7">
        <f>IF($BL103&lt;&gt;"Yes",0,Calcs!AA559*(1+Calcs!$Q506+Calcs!$R506))</f>
        <v>0</v>
      </c>
      <c r="H103" s="40"/>
      <c r="I103" s="7">
        <f>IF($BL103&lt;&gt;"Yes",0,Calcs!AC559*(1+Calcs!$Q506+Calcs!$R506))</f>
        <v>0</v>
      </c>
      <c r="J103" s="7">
        <f>IF($BL103&lt;&gt;"Yes",0,Calcs!AD559*(1+Calcs!$Q506+Calcs!$R506))</f>
        <v>0</v>
      </c>
      <c r="K103" s="7">
        <f>IF($BL103&lt;&gt;"Yes",0,Calcs!AE559*(1+Calcs!$Q506+Calcs!$R506))</f>
        <v>0</v>
      </c>
      <c r="L103" s="7">
        <f>IF($BL103&lt;&gt;"Yes",0,Calcs!AF559*(1+Calcs!$Q506+Calcs!$R506))</f>
        <v>0</v>
      </c>
      <c r="M103" s="7">
        <f>IF($BL103&lt;&gt;"Yes",0,Calcs!AG559*(1+Calcs!$Q506+Calcs!$R506))</f>
        <v>0</v>
      </c>
      <c r="N103" s="7">
        <f>IF($BL103&lt;&gt;"Yes",0,Calcs!AH559*(1+Calcs!$Q506+Calcs!$R506))</f>
        <v>0</v>
      </c>
      <c r="O103" s="7">
        <f>IF($BL103&lt;&gt;"Yes",0,Calcs!AI559*(1+Calcs!$Q506+Calcs!$R506))</f>
        <v>0</v>
      </c>
      <c r="P103" s="7">
        <f>IF($BL103&lt;&gt;"Yes",0,Calcs!AJ559*(1+Calcs!$Q506+Calcs!$R506))</f>
        <v>0</v>
      </c>
      <c r="Q103" s="7">
        <f>IF($BL103&lt;&gt;"Yes",0,Calcs!AK559*(1+Calcs!$Q506+Calcs!$R506))</f>
        <v>0</v>
      </c>
      <c r="R103" s="7">
        <f>IF($BL103&lt;&gt;"Yes",0,Calcs!AL559*(1+Calcs!$Q506+Calcs!$R506))</f>
        <v>0</v>
      </c>
      <c r="S103" s="7">
        <f>IF($BL103&lt;&gt;"Yes",0,Calcs!AM559*(1+Calcs!$Q506+Calcs!$R506))</f>
        <v>0</v>
      </c>
      <c r="T103" s="7">
        <f>IF($BL103&lt;&gt;"Yes",0,Calcs!AN559*(1+Calcs!$Q506+Calcs!$R506))</f>
        <v>0</v>
      </c>
      <c r="U103" s="7">
        <f>IF($BL103&lt;&gt;"Yes",0,Calcs!AO559*(1+Calcs!$Q506+Calcs!$R506))</f>
        <v>0</v>
      </c>
      <c r="V103" s="7">
        <f>IF($BL103&lt;&gt;"Yes",0,Calcs!AP559*(1+Calcs!$Q506+Calcs!$R506))</f>
        <v>0</v>
      </c>
      <c r="W103" s="7">
        <f>IF($BL103&lt;&gt;"Yes",0,Calcs!AQ559*(1+Calcs!$Q506+Calcs!$R506))</f>
        <v>0</v>
      </c>
      <c r="X103" s="7">
        <f>IF($BL103&lt;&gt;"Yes",0,Calcs!AR559*(1+Calcs!$Q506+Calcs!$R506))</f>
        <v>0</v>
      </c>
      <c r="Y103" s="7">
        <f>IF($BL103&lt;&gt;"Yes",0,Calcs!AS559*(1+Calcs!$Q506+Calcs!$R506))</f>
        <v>0</v>
      </c>
      <c r="Z103" s="7">
        <f>IF($BL103&lt;&gt;"Yes",0,Calcs!AT559*(1+Calcs!$Q506+Calcs!$R506))</f>
        <v>0</v>
      </c>
      <c r="AA103" s="7">
        <f>IF($BL103&lt;&gt;"Yes",0,Calcs!AU559*(1+Calcs!$Q506+Calcs!$R506))</f>
        <v>0</v>
      </c>
      <c r="AB103" s="7">
        <f>IF($BL103&lt;&gt;"Yes",0,Calcs!AV559*(1+Calcs!$Q506+Calcs!$R506))</f>
        <v>0</v>
      </c>
      <c r="AC103" s="7">
        <f>IF($BL103&lt;&gt;"Yes",0,Calcs!AW559*(1+Calcs!$Q506+Calcs!$R506))</f>
        <v>0</v>
      </c>
      <c r="AD103" s="7">
        <f>IF($BL103&lt;&gt;"Yes",0,Calcs!AX559*(1+Calcs!$Q506+Calcs!$R506))</f>
        <v>0</v>
      </c>
      <c r="AE103" s="7">
        <f>IF($BL103&lt;&gt;"Yes",0,Calcs!AY559*(1+Calcs!$Q506+Calcs!$R506))</f>
        <v>0</v>
      </c>
      <c r="AF103" s="7">
        <f>IF($BL103&lt;&gt;"Yes",0,Calcs!AZ559*(1+Calcs!$Q506+Calcs!$R506))</f>
        <v>0</v>
      </c>
      <c r="AG103" s="7">
        <f>IF($BL103&lt;&gt;"Yes",0,Calcs!BA559*(1+Calcs!$Q506+Calcs!$R506))</f>
        <v>0</v>
      </c>
      <c r="AH103" s="7">
        <f>IF($BL103&lt;&gt;"Yes",0,Calcs!BB559*(1+Calcs!$Q506+Calcs!$R506))</f>
        <v>0</v>
      </c>
      <c r="AI103" s="7">
        <f>IF($BL103&lt;&gt;"Yes",0,Calcs!BC559*(1+Calcs!$Q506+Calcs!$R506))</f>
        <v>0</v>
      </c>
      <c r="AJ103" s="7">
        <f>IF($BL103&lt;&gt;"Yes",0,Calcs!BD559*(1+Calcs!$Q506+Calcs!$R506))</f>
        <v>0</v>
      </c>
      <c r="AK103" s="7">
        <f>IF($BL103&lt;&gt;"Yes",0,Calcs!BE559*(1+Calcs!$Q506+Calcs!$R506))</f>
        <v>0</v>
      </c>
      <c r="AL103" s="7">
        <f>IF($BL103&lt;&gt;"Yes",0,Calcs!BF559*(1+Calcs!$Q506+Calcs!$R506))</f>
        <v>0</v>
      </c>
      <c r="AM103" s="7">
        <f>IF($BL103&lt;&gt;"Yes",0,Calcs!BG559*(1+Calcs!$Q506+Calcs!$R506))</f>
        <v>0</v>
      </c>
      <c r="AN103" s="7">
        <f>IF($BL103&lt;&gt;"Yes",0,Calcs!BH559*(1+Calcs!$Q506+Calcs!$R506))</f>
        <v>0</v>
      </c>
      <c r="AO103" s="7">
        <f>IF($BL103&lt;&gt;"Yes",0,Calcs!BI559*(1+Calcs!$Q506+Calcs!$R506))</f>
        <v>0</v>
      </c>
      <c r="AP103" s="7">
        <f>IF($BL103&lt;&gt;"Yes",0,Calcs!BJ559*(1+Calcs!$Q506+Calcs!$R506))</f>
        <v>0</v>
      </c>
      <c r="AQ103" s="7">
        <f>IF($BL103&lt;&gt;"Yes",0,Calcs!BK559*(1+Calcs!$Q506+Calcs!$R506))</f>
        <v>0</v>
      </c>
      <c r="AR103" s="7">
        <f>IF($BL103&lt;&gt;"Yes",0,Calcs!BL559*(1+Calcs!$Q506+Calcs!$R506))</f>
        <v>0</v>
      </c>
      <c r="AS103" s="7">
        <f>IF($BL103&lt;&gt;"Yes",0,Calcs!BM559*(1+Calcs!$Q506+Calcs!$R506))</f>
        <v>0</v>
      </c>
      <c r="AT103" s="7">
        <f>IF($BL103&lt;&gt;"Yes",0,Calcs!BN559*(1+Calcs!$Q506+Calcs!$R506))</f>
        <v>0</v>
      </c>
      <c r="AU103" s="7">
        <f>IF($BL103&lt;&gt;"Yes",0,Calcs!BO559*(1+Calcs!$Q506+Calcs!$R506))</f>
        <v>0</v>
      </c>
      <c r="AV103" s="7">
        <f>IF($BL103&lt;&gt;"Yes",0,Calcs!BP559*(1+Calcs!$Q506+Calcs!$R506))</f>
        <v>0</v>
      </c>
      <c r="AW103" s="7">
        <f>IF($BL103&lt;&gt;"Yes",0,Calcs!BQ559*(1+Calcs!$Q506+Calcs!$R506))</f>
        <v>0</v>
      </c>
      <c r="AX103" s="7">
        <f>IF($BL103&lt;&gt;"Yes",0,Calcs!BR559*(1+Calcs!$Q506+Calcs!$R506))</f>
        <v>0</v>
      </c>
      <c r="AY103" s="7">
        <f>IF($BL103&lt;&gt;"Yes",0,Calcs!BS559*(1+Calcs!$Q506+Calcs!$R506))</f>
        <v>0</v>
      </c>
      <c r="AZ103" s="7">
        <f>IF($BL103&lt;&gt;"Yes",0,Calcs!BT559*(1+Calcs!$Q506+Calcs!$R506))</f>
        <v>0</v>
      </c>
      <c r="BA103" s="7">
        <f>IF($BL103&lt;&gt;"Yes",0,Calcs!BU559*(1+Calcs!$Q506+Calcs!$R506))</f>
        <v>0</v>
      </c>
      <c r="BB103" s="7">
        <f>IF($BL103&lt;&gt;"Yes",0,Calcs!BV559*(1+Calcs!$Q506+Calcs!$R506))</f>
        <v>0</v>
      </c>
      <c r="BC103" s="7">
        <f>IF($BL103&lt;&gt;"Yes",0,Calcs!BW559*(1+Calcs!$Q506+Calcs!$R506))</f>
        <v>0</v>
      </c>
      <c r="BD103" s="7">
        <f>IF($BL103&lt;&gt;"Yes",0,Calcs!BX559*(1+Calcs!$Q506+Calcs!$R506))</f>
        <v>0</v>
      </c>
      <c r="BE103" s="7">
        <f>IF($BL103&lt;&gt;"Yes",0,Calcs!BY559*(1+Calcs!$Q506+Calcs!$R506))</f>
        <v>0</v>
      </c>
      <c r="BF103" s="7">
        <f>IF($BL103&lt;&gt;"Yes",0,Calcs!BZ559*(1+Calcs!$Q506+Calcs!$R506))</f>
        <v>0</v>
      </c>
      <c r="BG103" s="7">
        <f>IF($BL103&lt;&gt;"Yes",0,Calcs!CA559*(1+Calcs!$Q506+Calcs!$R506))</f>
        <v>0</v>
      </c>
      <c r="BH103" s="7">
        <f>IF($BL103&lt;&gt;"Yes",0,Calcs!CB559*(1+Calcs!$Q506+Calcs!$R506))</f>
        <v>0</v>
      </c>
      <c r="BI103" s="7">
        <f>IF($BL103&lt;&gt;"Yes",0,Calcs!CC559*(1+Calcs!$Q506+Calcs!$R506))</f>
        <v>0</v>
      </c>
      <c r="BJ103" s="7">
        <f>IF($BL103&lt;&gt;"Yes",0,Calcs!CD559*(1+Calcs!$Q506+Calcs!$R506))</f>
        <v>0</v>
      </c>
    </row>
    <row r="104" spans="1:62" s="5" customFormat="1" ht="13" hidden="1" customHeight="1" x14ac:dyDescent="0.3">
      <c r="A104" s="6" t="str">
        <f>IF(AND(Calcs!S560&lt;&gt;"",Calcs!S560&lt;&gt;0),Calcs!S560,"Personnel "&amp;Calcs!Q560)</f>
        <v xml:space="preserve">Personnel </v>
      </c>
      <c r="B104" s="6" t="str">
        <f>IF(AND(Calcs!T560&lt;&gt;"",Calcs!T560&lt;&gt;0),Calcs!T560,"Personnel "&amp;Calcs!R560)</f>
        <v>Personnel 9</v>
      </c>
      <c r="C104" s="7">
        <f>IF($BL104&lt;&gt;"Yes",0,Calcs!W560*(1+Calcs!$Q507+Calcs!$R507))</f>
        <v>0</v>
      </c>
      <c r="D104" s="7">
        <f>IF($BL104&lt;&gt;"Yes",0,Calcs!X560*(1+Calcs!$Q507+Calcs!$R507))</f>
        <v>0</v>
      </c>
      <c r="E104" s="7">
        <f>IF($BL104&lt;&gt;"Yes",0,Calcs!Y560*(1+Calcs!$Q507+Calcs!$R507))</f>
        <v>0</v>
      </c>
      <c r="F104" s="7">
        <f>IF($BL104&lt;&gt;"Yes",0,Calcs!Z560*(1+Calcs!$Q507+Calcs!$R507))</f>
        <v>0</v>
      </c>
      <c r="G104" s="7">
        <f>IF($BL104&lt;&gt;"Yes",0,Calcs!AA560*(1+Calcs!$Q507+Calcs!$R507))</f>
        <v>0</v>
      </c>
      <c r="H104" s="40"/>
      <c r="I104" s="7">
        <f>IF($BL104&lt;&gt;"Yes",0,Calcs!AC560*(1+Calcs!$Q507+Calcs!$R507))</f>
        <v>0</v>
      </c>
      <c r="J104" s="7">
        <f>IF($BL104&lt;&gt;"Yes",0,Calcs!AD560*(1+Calcs!$Q507+Calcs!$R507))</f>
        <v>0</v>
      </c>
      <c r="K104" s="7">
        <f>IF($BL104&lt;&gt;"Yes",0,Calcs!AE560*(1+Calcs!$Q507+Calcs!$R507))</f>
        <v>0</v>
      </c>
      <c r="L104" s="7">
        <f>IF($BL104&lt;&gt;"Yes",0,Calcs!AF560*(1+Calcs!$Q507+Calcs!$R507))</f>
        <v>0</v>
      </c>
      <c r="M104" s="7">
        <f>IF($BL104&lt;&gt;"Yes",0,Calcs!AG560*(1+Calcs!$Q507+Calcs!$R507))</f>
        <v>0</v>
      </c>
      <c r="N104" s="7">
        <f>IF($BL104&lt;&gt;"Yes",0,Calcs!AH560*(1+Calcs!$Q507+Calcs!$R507))</f>
        <v>0</v>
      </c>
      <c r="O104" s="7">
        <f>IF($BL104&lt;&gt;"Yes",0,Calcs!AI560*(1+Calcs!$Q507+Calcs!$R507))</f>
        <v>0</v>
      </c>
      <c r="P104" s="7">
        <f>IF($BL104&lt;&gt;"Yes",0,Calcs!AJ560*(1+Calcs!$Q507+Calcs!$R507))</f>
        <v>0</v>
      </c>
      <c r="Q104" s="7">
        <f>IF($BL104&lt;&gt;"Yes",0,Calcs!AK560*(1+Calcs!$Q507+Calcs!$R507))</f>
        <v>0</v>
      </c>
      <c r="R104" s="7">
        <f>IF($BL104&lt;&gt;"Yes",0,Calcs!AL560*(1+Calcs!$Q507+Calcs!$R507))</f>
        <v>0</v>
      </c>
      <c r="S104" s="7">
        <f>IF($BL104&lt;&gt;"Yes",0,Calcs!AM560*(1+Calcs!$Q507+Calcs!$R507))</f>
        <v>0</v>
      </c>
      <c r="T104" s="7">
        <f>IF($BL104&lt;&gt;"Yes",0,Calcs!AN560*(1+Calcs!$Q507+Calcs!$R507))</f>
        <v>0</v>
      </c>
      <c r="U104" s="7">
        <f>IF($BL104&lt;&gt;"Yes",0,Calcs!AO560*(1+Calcs!$Q507+Calcs!$R507))</f>
        <v>0</v>
      </c>
      <c r="V104" s="7">
        <f>IF($BL104&lt;&gt;"Yes",0,Calcs!AP560*(1+Calcs!$Q507+Calcs!$R507))</f>
        <v>0</v>
      </c>
      <c r="W104" s="7">
        <f>IF($BL104&lt;&gt;"Yes",0,Calcs!AQ560*(1+Calcs!$Q507+Calcs!$R507))</f>
        <v>0</v>
      </c>
      <c r="X104" s="7">
        <f>IF($BL104&lt;&gt;"Yes",0,Calcs!AR560*(1+Calcs!$Q507+Calcs!$R507))</f>
        <v>0</v>
      </c>
      <c r="Y104" s="7">
        <f>IF($BL104&lt;&gt;"Yes",0,Calcs!AS560*(1+Calcs!$Q507+Calcs!$R507))</f>
        <v>0</v>
      </c>
      <c r="Z104" s="7">
        <f>IF($BL104&lt;&gt;"Yes",0,Calcs!AT560*(1+Calcs!$Q507+Calcs!$R507))</f>
        <v>0</v>
      </c>
      <c r="AA104" s="7">
        <f>IF($BL104&lt;&gt;"Yes",0,Calcs!AU560*(1+Calcs!$Q507+Calcs!$R507))</f>
        <v>0</v>
      </c>
      <c r="AB104" s="7">
        <f>IF($BL104&lt;&gt;"Yes",0,Calcs!AV560*(1+Calcs!$Q507+Calcs!$R507))</f>
        <v>0</v>
      </c>
      <c r="AC104" s="7">
        <f>IF($BL104&lt;&gt;"Yes",0,Calcs!AW560*(1+Calcs!$Q507+Calcs!$R507))</f>
        <v>0</v>
      </c>
      <c r="AD104" s="7">
        <f>IF($BL104&lt;&gt;"Yes",0,Calcs!AX560*(1+Calcs!$Q507+Calcs!$R507))</f>
        <v>0</v>
      </c>
      <c r="AE104" s="7">
        <f>IF($BL104&lt;&gt;"Yes",0,Calcs!AY560*(1+Calcs!$Q507+Calcs!$R507))</f>
        <v>0</v>
      </c>
      <c r="AF104" s="7">
        <f>IF($BL104&lt;&gt;"Yes",0,Calcs!AZ560*(1+Calcs!$Q507+Calcs!$R507))</f>
        <v>0</v>
      </c>
      <c r="AG104" s="7">
        <f>IF($BL104&lt;&gt;"Yes",0,Calcs!BA560*(1+Calcs!$Q507+Calcs!$R507))</f>
        <v>0</v>
      </c>
      <c r="AH104" s="7">
        <f>IF($BL104&lt;&gt;"Yes",0,Calcs!BB560*(1+Calcs!$Q507+Calcs!$R507))</f>
        <v>0</v>
      </c>
      <c r="AI104" s="7">
        <f>IF($BL104&lt;&gt;"Yes",0,Calcs!BC560*(1+Calcs!$Q507+Calcs!$R507))</f>
        <v>0</v>
      </c>
      <c r="AJ104" s="7">
        <f>IF($BL104&lt;&gt;"Yes",0,Calcs!BD560*(1+Calcs!$Q507+Calcs!$R507))</f>
        <v>0</v>
      </c>
      <c r="AK104" s="7">
        <f>IF($BL104&lt;&gt;"Yes",0,Calcs!BE560*(1+Calcs!$Q507+Calcs!$R507))</f>
        <v>0</v>
      </c>
      <c r="AL104" s="7">
        <f>IF($BL104&lt;&gt;"Yes",0,Calcs!BF560*(1+Calcs!$Q507+Calcs!$R507))</f>
        <v>0</v>
      </c>
      <c r="AM104" s="7">
        <f>IF($BL104&lt;&gt;"Yes",0,Calcs!BG560*(1+Calcs!$Q507+Calcs!$R507))</f>
        <v>0</v>
      </c>
      <c r="AN104" s="7">
        <f>IF($BL104&lt;&gt;"Yes",0,Calcs!BH560*(1+Calcs!$Q507+Calcs!$R507))</f>
        <v>0</v>
      </c>
      <c r="AO104" s="7">
        <f>IF($BL104&lt;&gt;"Yes",0,Calcs!BI560*(1+Calcs!$Q507+Calcs!$R507))</f>
        <v>0</v>
      </c>
      <c r="AP104" s="7">
        <f>IF($BL104&lt;&gt;"Yes",0,Calcs!BJ560*(1+Calcs!$Q507+Calcs!$R507))</f>
        <v>0</v>
      </c>
      <c r="AQ104" s="7">
        <f>IF($BL104&lt;&gt;"Yes",0,Calcs!BK560*(1+Calcs!$Q507+Calcs!$R507))</f>
        <v>0</v>
      </c>
      <c r="AR104" s="7">
        <f>IF($BL104&lt;&gt;"Yes",0,Calcs!BL560*(1+Calcs!$Q507+Calcs!$R507))</f>
        <v>0</v>
      </c>
      <c r="AS104" s="7">
        <f>IF($BL104&lt;&gt;"Yes",0,Calcs!BM560*(1+Calcs!$Q507+Calcs!$R507))</f>
        <v>0</v>
      </c>
      <c r="AT104" s="7">
        <f>IF($BL104&lt;&gt;"Yes",0,Calcs!BN560*(1+Calcs!$Q507+Calcs!$R507))</f>
        <v>0</v>
      </c>
      <c r="AU104" s="7">
        <f>IF($BL104&lt;&gt;"Yes",0,Calcs!BO560*(1+Calcs!$Q507+Calcs!$R507))</f>
        <v>0</v>
      </c>
      <c r="AV104" s="7">
        <f>IF($BL104&lt;&gt;"Yes",0,Calcs!BP560*(1+Calcs!$Q507+Calcs!$R507))</f>
        <v>0</v>
      </c>
      <c r="AW104" s="7">
        <f>IF($BL104&lt;&gt;"Yes",0,Calcs!BQ560*(1+Calcs!$Q507+Calcs!$R507))</f>
        <v>0</v>
      </c>
      <c r="AX104" s="7">
        <f>IF($BL104&lt;&gt;"Yes",0,Calcs!BR560*(1+Calcs!$Q507+Calcs!$R507))</f>
        <v>0</v>
      </c>
      <c r="AY104" s="7">
        <f>IF($BL104&lt;&gt;"Yes",0,Calcs!BS560*(1+Calcs!$Q507+Calcs!$R507))</f>
        <v>0</v>
      </c>
      <c r="AZ104" s="7">
        <f>IF($BL104&lt;&gt;"Yes",0,Calcs!BT560*(1+Calcs!$Q507+Calcs!$R507))</f>
        <v>0</v>
      </c>
      <c r="BA104" s="7">
        <f>IF($BL104&lt;&gt;"Yes",0,Calcs!BU560*(1+Calcs!$Q507+Calcs!$R507))</f>
        <v>0</v>
      </c>
      <c r="BB104" s="7">
        <f>IF($BL104&lt;&gt;"Yes",0,Calcs!BV560*(1+Calcs!$Q507+Calcs!$R507))</f>
        <v>0</v>
      </c>
      <c r="BC104" s="7">
        <f>IF($BL104&lt;&gt;"Yes",0,Calcs!BW560*(1+Calcs!$Q507+Calcs!$R507))</f>
        <v>0</v>
      </c>
      <c r="BD104" s="7">
        <f>IF($BL104&lt;&gt;"Yes",0,Calcs!BX560*(1+Calcs!$Q507+Calcs!$R507))</f>
        <v>0</v>
      </c>
      <c r="BE104" s="7">
        <f>IF($BL104&lt;&gt;"Yes",0,Calcs!BY560*(1+Calcs!$Q507+Calcs!$R507))</f>
        <v>0</v>
      </c>
      <c r="BF104" s="7">
        <f>IF($BL104&lt;&gt;"Yes",0,Calcs!BZ560*(1+Calcs!$Q507+Calcs!$R507))</f>
        <v>0</v>
      </c>
      <c r="BG104" s="7">
        <f>IF($BL104&lt;&gt;"Yes",0,Calcs!CA560*(1+Calcs!$Q507+Calcs!$R507))</f>
        <v>0</v>
      </c>
      <c r="BH104" s="7">
        <f>IF($BL104&lt;&gt;"Yes",0,Calcs!CB560*(1+Calcs!$Q507+Calcs!$R507))</f>
        <v>0</v>
      </c>
      <c r="BI104" s="7">
        <f>IF($BL104&lt;&gt;"Yes",0,Calcs!CC560*(1+Calcs!$Q507+Calcs!$R507))</f>
        <v>0</v>
      </c>
      <c r="BJ104" s="7">
        <f>IF($BL104&lt;&gt;"Yes",0,Calcs!CD560*(1+Calcs!$Q507+Calcs!$R507))</f>
        <v>0</v>
      </c>
    </row>
    <row r="105" spans="1:62" s="5" customFormat="1" ht="13" hidden="1" customHeight="1" x14ac:dyDescent="0.3">
      <c r="A105" s="6" t="str">
        <f>IF(AND(Calcs!S561&lt;&gt;"",Calcs!S561&lt;&gt;0),Calcs!S561,"Personnel "&amp;Calcs!Q561)</f>
        <v xml:space="preserve">Personnel </v>
      </c>
      <c r="B105" s="6" t="str">
        <f>IF(AND(Calcs!T561&lt;&gt;"",Calcs!T561&lt;&gt;0),Calcs!T561,"Personnel "&amp;Calcs!R561)</f>
        <v>Personnel 10</v>
      </c>
      <c r="C105" s="7">
        <f>IF($BL105&lt;&gt;"Yes",0,Calcs!W561*(1+Calcs!$Q508+Calcs!$R508))</f>
        <v>0</v>
      </c>
      <c r="D105" s="7">
        <f>IF($BL105&lt;&gt;"Yes",0,Calcs!X561*(1+Calcs!$Q508+Calcs!$R508))</f>
        <v>0</v>
      </c>
      <c r="E105" s="7">
        <f>IF($BL105&lt;&gt;"Yes",0,Calcs!Y561*(1+Calcs!$Q508+Calcs!$R508))</f>
        <v>0</v>
      </c>
      <c r="F105" s="7">
        <f>IF($BL105&lt;&gt;"Yes",0,Calcs!Z561*(1+Calcs!$Q508+Calcs!$R508))</f>
        <v>0</v>
      </c>
      <c r="G105" s="7">
        <f>IF($BL105&lt;&gt;"Yes",0,Calcs!AA561*(1+Calcs!$Q508+Calcs!$R508))</f>
        <v>0</v>
      </c>
      <c r="H105" s="40"/>
      <c r="I105" s="7">
        <f>IF($BL105&lt;&gt;"Yes",0,Calcs!AC561*(1+Calcs!$Q508+Calcs!$R508))</f>
        <v>0</v>
      </c>
      <c r="J105" s="7">
        <f>IF($BL105&lt;&gt;"Yes",0,Calcs!AD561*(1+Calcs!$Q508+Calcs!$R508))</f>
        <v>0</v>
      </c>
      <c r="K105" s="7">
        <f>IF($BL105&lt;&gt;"Yes",0,Calcs!AE561*(1+Calcs!$Q508+Calcs!$R508))</f>
        <v>0</v>
      </c>
      <c r="L105" s="7">
        <f>IF($BL105&lt;&gt;"Yes",0,Calcs!AF561*(1+Calcs!$Q508+Calcs!$R508))</f>
        <v>0</v>
      </c>
      <c r="M105" s="7">
        <f>IF($BL105&lt;&gt;"Yes",0,Calcs!AG561*(1+Calcs!$Q508+Calcs!$R508))</f>
        <v>0</v>
      </c>
      <c r="N105" s="7">
        <f>IF($BL105&lt;&gt;"Yes",0,Calcs!AH561*(1+Calcs!$Q508+Calcs!$R508))</f>
        <v>0</v>
      </c>
      <c r="O105" s="7">
        <f>IF($BL105&lt;&gt;"Yes",0,Calcs!AI561*(1+Calcs!$Q508+Calcs!$R508))</f>
        <v>0</v>
      </c>
      <c r="P105" s="7">
        <f>IF($BL105&lt;&gt;"Yes",0,Calcs!AJ561*(1+Calcs!$Q508+Calcs!$R508))</f>
        <v>0</v>
      </c>
      <c r="Q105" s="7">
        <f>IF($BL105&lt;&gt;"Yes",0,Calcs!AK561*(1+Calcs!$Q508+Calcs!$R508))</f>
        <v>0</v>
      </c>
      <c r="R105" s="7">
        <f>IF($BL105&lt;&gt;"Yes",0,Calcs!AL561*(1+Calcs!$Q508+Calcs!$R508))</f>
        <v>0</v>
      </c>
      <c r="S105" s="7">
        <f>IF($BL105&lt;&gt;"Yes",0,Calcs!AM561*(1+Calcs!$Q508+Calcs!$R508))</f>
        <v>0</v>
      </c>
      <c r="T105" s="7">
        <f>IF($BL105&lt;&gt;"Yes",0,Calcs!AN561*(1+Calcs!$Q508+Calcs!$R508))</f>
        <v>0</v>
      </c>
      <c r="U105" s="7">
        <f>IF($BL105&lt;&gt;"Yes",0,Calcs!AO561*(1+Calcs!$Q508+Calcs!$R508))</f>
        <v>0</v>
      </c>
      <c r="V105" s="7">
        <f>IF($BL105&lt;&gt;"Yes",0,Calcs!AP561*(1+Calcs!$Q508+Calcs!$R508))</f>
        <v>0</v>
      </c>
      <c r="W105" s="7">
        <f>IF($BL105&lt;&gt;"Yes",0,Calcs!AQ561*(1+Calcs!$Q508+Calcs!$R508))</f>
        <v>0</v>
      </c>
      <c r="X105" s="7">
        <f>IF($BL105&lt;&gt;"Yes",0,Calcs!AR561*(1+Calcs!$Q508+Calcs!$R508))</f>
        <v>0</v>
      </c>
      <c r="Y105" s="7">
        <f>IF($BL105&lt;&gt;"Yes",0,Calcs!AS561*(1+Calcs!$Q508+Calcs!$R508))</f>
        <v>0</v>
      </c>
      <c r="Z105" s="7">
        <f>IF($BL105&lt;&gt;"Yes",0,Calcs!AT561*(1+Calcs!$Q508+Calcs!$R508))</f>
        <v>0</v>
      </c>
      <c r="AA105" s="7">
        <f>IF($BL105&lt;&gt;"Yes",0,Calcs!AU561*(1+Calcs!$Q508+Calcs!$R508))</f>
        <v>0</v>
      </c>
      <c r="AB105" s="7">
        <f>IF($BL105&lt;&gt;"Yes",0,Calcs!AV561*(1+Calcs!$Q508+Calcs!$R508))</f>
        <v>0</v>
      </c>
      <c r="AC105" s="7">
        <f>IF($BL105&lt;&gt;"Yes",0,Calcs!AW561*(1+Calcs!$Q508+Calcs!$R508))</f>
        <v>0</v>
      </c>
      <c r="AD105" s="7">
        <f>IF($BL105&lt;&gt;"Yes",0,Calcs!AX561*(1+Calcs!$Q508+Calcs!$R508))</f>
        <v>0</v>
      </c>
      <c r="AE105" s="7">
        <f>IF($BL105&lt;&gt;"Yes",0,Calcs!AY561*(1+Calcs!$Q508+Calcs!$R508))</f>
        <v>0</v>
      </c>
      <c r="AF105" s="7">
        <f>IF($BL105&lt;&gt;"Yes",0,Calcs!AZ561*(1+Calcs!$Q508+Calcs!$R508))</f>
        <v>0</v>
      </c>
      <c r="AG105" s="7">
        <f>IF($BL105&lt;&gt;"Yes",0,Calcs!BA561*(1+Calcs!$Q508+Calcs!$R508))</f>
        <v>0</v>
      </c>
      <c r="AH105" s="7">
        <f>IF($BL105&lt;&gt;"Yes",0,Calcs!BB561*(1+Calcs!$Q508+Calcs!$R508))</f>
        <v>0</v>
      </c>
      <c r="AI105" s="7">
        <f>IF($BL105&lt;&gt;"Yes",0,Calcs!BC561*(1+Calcs!$Q508+Calcs!$R508))</f>
        <v>0</v>
      </c>
      <c r="AJ105" s="7">
        <f>IF($BL105&lt;&gt;"Yes",0,Calcs!BD561*(1+Calcs!$Q508+Calcs!$R508))</f>
        <v>0</v>
      </c>
      <c r="AK105" s="7">
        <f>IF($BL105&lt;&gt;"Yes",0,Calcs!BE561*(1+Calcs!$Q508+Calcs!$R508))</f>
        <v>0</v>
      </c>
      <c r="AL105" s="7">
        <f>IF($BL105&lt;&gt;"Yes",0,Calcs!BF561*(1+Calcs!$Q508+Calcs!$R508))</f>
        <v>0</v>
      </c>
      <c r="AM105" s="7">
        <f>IF($BL105&lt;&gt;"Yes",0,Calcs!BG561*(1+Calcs!$Q508+Calcs!$R508))</f>
        <v>0</v>
      </c>
      <c r="AN105" s="7">
        <f>IF($BL105&lt;&gt;"Yes",0,Calcs!BH561*(1+Calcs!$Q508+Calcs!$R508))</f>
        <v>0</v>
      </c>
      <c r="AO105" s="7">
        <f>IF($BL105&lt;&gt;"Yes",0,Calcs!BI561*(1+Calcs!$Q508+Calcs!$R508))</f>
        <v>0</v>
      </c>
      <c r="AP105" s="7">
        <f>IF($BL105&lt;&gt;"Yes",0,Calcs!BJ561*(1+Calcs!$Q508+Calcs!$R508))</f>
        <v>0</v>
      </c>
      <c r="AQ105" s="7">
        <f>IF($BL105&lt;&gt;"Yes",0,Calcs!BK561*(1+Calcs!$Q508+Calcs!$R508))</f>
        <v>0</v>
      </c>
      <c r="AR105" s="7">
        <f>IF($BL105&lt;&gt;"Yes",0,Calcs!BL561*(1+Calcs!$Q508+Calcs!$R508))</f>
        <v>0</v>
      </c>
      <c r="AS105" s="7">
        <f>IF($BL105&lt;&gt;"Yes",0,Calcs!BM561*(1+Calcs!$Q508+Calcs!$R508))</f>
        <v>0</v>
      </c>
      <c r="AT105" s="7">
        <f>IF($BL105&lt;&gt;"Yes",0,Calcs!BN561*(1+Calcs!$Q508+Calcs!$R508))</f>
        <v>0</v>
      </c>
      <c r="AU105" s="7">
        <f>IF($BL105&lt;&gt;"Yes",0,Calcs!BO561*(1+Calcs!$Q508+Calcs!$R508))</f>
        <v>0</v>
      </c>
      <c r="AV105" s="7">
        <f>IF($BL105&lt;&gt;"Yes",0,Calcs!BP561*(1+Calcs!$Q508+Calcs!$R508))</f>
        <v>0</v>
      </c>
      <c r="AW105" s="7">
        <f>IF($BL105&lt;&gt;"Yes",0,Calcs!BQ561*(1+Calcs!$Q508+Calcs!$R508))</f>
        <v>0</v>
      </c>
      <c r="AX105" s="7">
        <f>IF($BL105&lt;&gt;"Yes",0,Calcs!BR561*(1+Calcs!$Q508+Calcs!$R508))</f>
        <v>0</v>
      </c>
      <c r="AY105" s="7">
        <f>IF($BL105&lt;&gt;"Yes",0,Calcs!BS561*(1+Calcs!$Q508+Calcs!$R508))</f>
        <v>0</v>
      </c>
      <c r="AZ105" s="7">
        <f>IF($BL105&lt;&gt;"Yes",0,Calcs!BT561*(1+Calcs!$Q508+Calcs!$R508))</f>
        <v>0</v>
      </c>
      <c r="BA105" s="7">
        <f>IF($BL105&lt;&gt;"Yes",0,Calcs!BU561*(1+Calcs!$Q508+Calcs!$R508))</f>
        <v>0</v>
      </c>
      <c r="BB105" s="7">
        <f>IF($BL105&lt;&gt;"Yes",0,Calcs!BV561*(1+Calcs!$Q508+Calcs!$R508))</f>
        <v>0</v>
      </c>
      <c r="BC105" s="7">
        <f>IF($BL105&lt;&gt;"Yes",0,Calcs!BW561*(1+Calcs!$Q508+Calcs!$R508))</f>
        <v>0</v>
      </c>
      <c r="BD105" s="7">
        <f>IF($BL105&lt;&gt;"Yes",0,Calcs!BX561*(1+Calcs!$Q508+Calcs!$R508))</f>
        <v>0</v>
      </c>
      <c r="BE105" s="7">
        <f>IF($BL105&lt;&gt;"Yes",0,Calcs!BY561*(1+Calcs!$Q508+Calcs!$R508))</f>
        <v>0</v>
      </c>
      <c r="BF105" s="7">
        <f>IF($BL105&lt;&gt;"Yes",0,Calcs!BZ561*(1+Calcs!$Q508+Calcs!$R508))</f>
        <v>0</v>
      </c>
      <c r="BG105" s="7">
        <f>IF($BL105&lt;&gt;"Yes",0,Calcs!CA561*(1+Calcs!$Q508+Calcs!$R508))</f>
        <v>0</v>
      </c>
      <c r="BH105" s="7">
        <f>IF($BL105&lt;&gt;"Yes",0,Calcs!CB561*(1+Calcs!$Q508+Calcs!$R508))</f>
        <v>0</v>
      </c>
      <c r="BI105" s="7">
        <f>IF($BL105&lt;&gt;"Yes",0,Calcs!CC561*(1+Calcs!$Q508+Calcs!$R508))</f>
        <v>0</v>
      </c>
      <c r="BJ105" s="7">
        <f>IF($BL105&lt;&gt;"Yes",0,Calcs!CD561*(1+Calcs!$Q508+Calcs!$R508))</f>
        <v>0</v>
      </c>
    </row>
    <row r="106" spans="1:62" s="5" customFormat="1" ht="13" hidden="1" customHeight="1" x14ac:dyDescent="0.3">
      <c r="A106" s="6" t="str">
        <f>IF(AND(Calcs!S562&lt;&gt;"",Calcs!S562&lt;&gt;0),Calcs!S562,"Personnel "&amp;Calcs!Q562)</f>
        <v xml:space="preserve">Personnel </v>
      </c>
      <c r="B106" s="6" t="str">
        <f>IF(AND(Calcs!T562&lt;&gt;"",Calcs!T562&lt;&gt;0),Calcs!T562,"Personnel "&amp;Calcs!R562)</f>
        <v>Personnel 11</v>
      </c>
      <c r="C106" s="7">
        <f>IF($BL106&lt;&gt;"Yes",0,Calcs!W562*(1+Calcs!$Q509+Calcs!$R509))</f>
        <v>0</v>
      </c>
      <c r="D106" s="7">
        <f>IF($BL106&lt;&gt;"Yes",0,Calcs!X562*(1+Calcs!$Q509+Calcs!$R509))</f>
        <v>0</v>
      </c>
      <c r="E106" s="7">
        <f>IF($BL106&lt;&gt;"Yes",0,Calcs!Y562*(1+Calcs!$Q509+Calcs!$R509))</f>
        <v>0</v>
      </c>
      <c r="F106" s="7">
        <f>IF($BL106&lt;&gt;"Yes",0,Calcs!Z562*(1+Calcs!$Q509+Calcs!$R509))</f>
        <v>0</v>
      </c>
      <c r="G106" s="7">
        <f>IF($BL106&lt;&gt;"Yes",0,Calcs!AA562*(1+Calcs!$Q509+Calcs!$R509))</f>
        <v>0</v>
      </c>
      <c r="H106" s="40"/>
      <c r="I106" s="7">
        <f>IF($BL106&lt;&gt;"Yes",0,Calcs!AC562*(1+Calcs!$Q509+Calcs!$R509))</f>
        <v>0</v>
      </c>
      <c r="J106" s="7">
        <f>IF($BL106&lt;&gt;"Yes",0,Calcs!AD562*(1+Calcs!$Q509+Calcs!$R509))</f>
        <v>0</v>
      </c>
      <c r="K106" s="7">
        <f>IF($BL106&lt;&gt;"Yes",0,Calcs!AE562*(1+Calcs!$Q509+Calcs!$R509))</f>
        <v>0</v>
      </c>
      <c r="L106" s="7">
        <f>IF($BL106&lt;&gt;"Yes",0,Calcs!AF562*(1+Calcs!$Q509+Calcs!$R509))</f>
        <v>0</v>
      </c>
      <c r="M106" s="7">
        <f>IF($BL106&lt;&gt;"Yes",0,Calcs!AG562*(1+Calcs!$Q509+Calcs!$R509))</f>
        <v>0</v>
      </c>
      <c r="N106" s="7">
        <f>IF($BL106&lt;&gt;"Yes",0,Calcs!AH562*(1+Calcs!$Q509+Calcs!$R509))</f>
        <v>0</v>
      </c>
      <c r="O106" s="7">
        <f>IF($BL106&lt;&gt;"Yes",0,Calcs!AI562*(1+Calcs!$Q509+Calcs!$R509))</f>
        <v>0</v>
      </c>
      <c r="P106" s="7">
        <f>IF($BL106&lt;&gt;"Yes",0,Calcs!AJ562*(1+Calcs!$Q509+Calcs!$R509))</f>
        <v>0</v>
      </c>
      <c r="Q106" s="7">
        <f>IF($BL106&lt;&gt;"Yes",0,Calcs!AK562*(1+Calcs!$Q509+Calcs!$R509))</f>
        <v>0</v>
      </c>
      <c r="R106" s="7">
        <f>IF($BL106&lt;&gt;"Yes",0,Calcs!AL562*(1+Calcs!$Q509+Calcs!$R509))</f>
        <v>0</v>
      </c>
      <c r="S106" s="7">
        <f>IF($BL106&lt;&gt;"Yes",0,Calcs!AM562*(1+Calcs!$Q509+Calcs!$R509))</f>
        <v>0</v>
      </c>
      <c r="T106" s="7">
        <f>IF($BL106&lt;&gt;"Yes",0,Calcs!AN562*(1+Calcs!$Q509+Calcs!$R509))</f>
        <v>0</v>
      </c>
      <c r="U106" s="7">
        <f>IF($BL106&lt;&gt;"Yes",0,Calcs!AO562*(1+Calcs!$Q509+Calcs!$R509))</f>
        <v>0</v>
      </c>
      <c r="V106" s="7">
        <f>IF($BL106&lt;&gt;"Yes",0,Calcs!AP562*(1+Calcs!$Q509+Calcs!$R509))</f>
        <v>0</v>
      </c>
      <c r="W106" s="7">
        <f>IF($BL106&lt;&gt;"Yes",0,Calcs!AQ562*(1+Calcs!$Q509+Calcs!$R509))</f>
        <v>0</v>
      </c>
      <c r="X106" s="7">
        <f>IF($BL106&lt;&gt;"Yes",0,Calcs!AR562*(1+Calcs!$Q509+Calcs!$R509))</f>
        <v>0</v>
      </c>
      <c r="Y106" s="7">
        <f>IF($BL106&lt;&gt;"Yes",0,Calcs!AS562*(1+Calcs!$Q509+Calcs!$R509))</f>
        <v>0</v>
      </c>
      <c r="Z106" s="7">
        <f>IF($BL106&lt;&gt;"Yes",0,Calcs!AT562*(1+Calcs!$Q509+Calcs!$R509))</f>
        <v>0</v>
      </c>
      <c r="AA106" s="7">
        <f>IF($BL106&lt;&gt;"Yes",0,Calcs!AU562*(1+Calcs!$Q509+Calcs!$R509))</f>
        <v>0</v>
      </c>
      <c r="AB106" s="7">
        <f>IF($BL106&lt;&gt;"Yes",0,Calcs!AV562*(1+Calcs!$Q509+Calcs!$R509))</f>
        <v>0</v>
      </c>
      <c r="AC106" s="7">
        <f>IF($BL106&lt;&gt;"Yes",0,Calcs!AW562*(1+Calcs!$Q509+Calcs!$R509))</f>
        <v>0</v>
      </c>
      <c r="AD106" s="7">
        <f>IF($BL106&lt;&gt;"Yes",0,Calcs!AX562*(1+Calcs!$Q509+Calcs!$R509))</f>
        <v>0</v>
      </c>
      <c r="AE106" s="7">
        <f>IF($BL106&lt;&gt;"Yes",0,Calcs!AY562*(1+Calcs!$Q509+Calcs!$R509))</f>
        <v>0</v>
      </c>
      <c r="AF106" s="7">
        <f>IF($BL106&lt;&gt;"Yes",0,Calcs!AZ562*(1+Calcs!$Q509+Calcs!$R509))</f>
        <v>0</v>
      </c>
      <c r="AG106" s="7">
        <f>IF($BL106&lt;&gt;"Yes",0,Calcs!BA562*(1+Calcs!$Q509+Calcs!$R509))</f>
        <v>0</v>
      </c>
      <c r="AH106" s="7">
        <f>IF($BL106&lt;&gt;"Yes",0,Calcs!BB562*(1+Calcs!$Q509+Calcs!$R509))</f>
        <v>0</v>
      </c>
      <c r="AI106" s="7">
        <f>IF($BL106&lt;&gt;"Yes",0,Calcs!BC562*(1+Calcs!$Q509+Calcs!$R509))</f>
        <v>0</v>
      </c>
      <c r="AJ106" s="7">
        <f>IF($BL106&lt;&gt;"Yes",0,Calcs!BD562*(1+Calcs!$Q509+Calcs!$R509))</f>
        <v>0</v>
      </c>
      <c r="AK106" s="7">
        <f>IF($BL106&lt;&gt;"Yes",0,Calcs!BE562*(1+Calcs!$Q509+Calcs!$R509))</f>
        <v>0</v>
      </c>
      <c r="AL106" s="7">
        <f>IF($BL106&lt;&gt;"Yes",0,Calcs!BF562*(1+Calcs!$Q509+Calcs!$R509))</f>
        <v>0</v>
      </c>
      <c r="AM106" s="7">
        <f>IF($BL106&lt;&gt;"Yes",0,Calcs!BG562*(1+Calcs!$Q509+Calcs!$R509))</f>
        <v>0</v>
      </c>
      <c r="AN106" s="7">
        <f>IF($BL106&lt;&gt;"Yes",0,Calcs!BH562*(1+Calcs!$Q509+Calcs!$R509))</f>
        <v>0</v>
      </c>
      <c r="AO106" s="7">
        <f>IF($BL106&lt;&gt;"Yes",0,Calcs!BI562*(1+Calcs!$Q509+Calcs!$R509))</f>
        <v>0</v>
      </c>
      <c r="AP106" s="7">
        <f>IF($BL106&lt;&gt;"Yes",0,Calcs!BJ562*(1+Calcs!$Q509+Calcs!$R509))</f>
        <v>0</v>
      </c>
      <c r="AQ106" s="7">
        <f>IF($BL106&lt;&gt;"Yes",0,Calcs!BK562*(1+Calcs!$Q509+Calcs!$R509))</f>
        <v>0</v>
      </c>
      <c r="AR106" s="7">
        <f>IF($BL106&lt;&gt;"Yes",0,Calcs!BL562*(1+Calcs!$Q509+Calcs!$R509))</f>
        <v>0</v>
      </c>
      <c r="AS106" s="7">
        <f>IF($BL106&lt;&gt;"Yes",0,Calcs!BM562*(1+Calcs!$Q509+Calcs!$R509))</f>
        <v>0</v>
      </c>
      <c r="AT106" s="7">
        <f>IF($BL106&lt;&gt;"Yes",0,Calcs!BN562*(1+Calcs!$Q509+Calcs!$R509))</f>
        <v>0</v>
      </c>
      <c r="AU106" s="7">
        <f>IF($BL106&lt;&gt;"Yes",0,Calcs!BO562*(1+Calcs!$Q509+Calcs!$R509))</f>
        <v>0</v>
      </c>
      <c r="AV106" s="7">
        <f>IF($BL106&lt;&gt;"Yes",0,Calcs!BP562*(1+Calcs!$Q509+Calcs!$R509))</f>
        <v>0</v>
      </c>
      <c r="AW106" s="7">
        <f>IF($BL106&lt;&gt;"Yes",0,Calcs!BQ562*(1+Calcs!$Q509+Calcs!$R509))</f>
        <v>0</v>
      </c>
      <c r="AX106" s="7">
        <f>IF($BL106&lt;&gt;"Yes",0,Calcs!BR562*(1+Calcs!$Q509+Calcs!$R509))</f>
        <v>0</v>
      </c>
      <c r="AY106" s="7">
        <f>IF($BL106&lt;&gt;"Yes",0,Calcs!BS562*(1+Calcs!$Q509+Calcs!$R509))</f>
        <v>0</v>
      </c>
      <c r="AZ106" s="7">
        <f>IF($BL106&lt;&gt;"Yes",0,Calcs!BT562*(1+Calcs!$Q509+Calcs!$R509))</f>
        <v>0</v>
      </c>
      <c r="BA106" s="7">
        <f>IF($BL106&lt;&gt;"Yes",0,Calcs!BU562*(1+Calcs!$Q509+Calcs!$R509))</f>
        <v>0</v>
      </c>
      <c r="BB106" s="7">
        <f>IF($BL106&lt;&gt;"Yes",0,Calcs!BV562*(1+Calcs!$Q509+Calcs!$R509))</f>
        <v>0</v>
      </c>
      <c r="BC106" s="7">
        <f>IF($BL106&lt;&gt;"Yes",0,Calcs!BW562*(1+Calcs!$Q509+Calcs!$R509))</f>
        <v>0</v>
      </c>
      <c r="BD106" s="7">
        <f>IF($BL106&lt;&gt;"Yes",0,Calcs!BX562*(1+Calcs!$Q509+Calcs!$R509))</f>
        <v>0</v>
      </c>
      <c r="BE106" s="7">
        <f>IF($BL106&lt;&gt;"Yes",0,Calcs!BY562*(1+Calcs!$Q509+Calcs!$R509))</f>
        <v>0</v>
      </c>
      <c r="BF106" s="7">
        <f>IF($BL106&lt;&gt;"Yes",0,Calcs!BZ562*(1+Calcs!$Q509+Calcs!$R509))</f>
        <v>0</v>
      </c>
      <c r="BG106" s="7">
        <f>IF($BL106&lt;&gt;"Yes",0,Calcs!CA562*(1+Calcs!$Q509+Calcs!$R509))</f>
        <v>0</v>
      </c>
      <c r="BH106" s="7">
        <f>IF($BL106&lt;&gt;"Yes",0,Calcs!CB562*(1+Calcs!$Q509+Calcs!$R509))</f>
        <v>0</v>
      </c>
      <c r="BI106" s="7">
        <f>IF($BL106&lt;&gt;"Yes",0,Calcs!CC562*(1+Calcs!$Q509+Calcs!$R509))</f>
        <v>0</v>
      </c>
      <c r="BJ106" s="7">
        <f>IF($BL106&lt;&gt;"Yes",0,Calcs!CD562*(1+Calcs!$Q509+Calcs!$R509))</f>
        <v>0</v>
      </c>
    </row>
    <row r="107" spans="1:62" s="5" customFormat="1" ht="13" hidden="1" customHeight="1" x14ac:dyDescent="0.3">
      <c r="A107" s="6" t="str">
        <f>IF(AND(Calcs!S563&lt;&gt;"",Calcs!S563&lt;&gt;0),Calcs!S563,"Personnel "&amp;Calcs!Q563)</f>
        <v xml:space="preserve">Personnel </v>
      </c>
      <c r="B107" s="6" t="str">
        <f>IF(AND(Calcs!T563&lt;&gt;"",Calcs!T563&lt;&gt;0),Calcs!T563,"Personnel "&amp;Calcs!R563)</f>
        <v>Personnel 12</v>
      </c>
      <c r="C107" s="7">
        <f>IF($BL107&lt;&gt;"Yes",0,Calcs!W563*(1+Calcs!$Q510+Calcs!$R510))</f>
        <v>0</v>
      </c>
      <c r="D107" s="7">
        <f>IF($BL107&lt;&gt;"Yes",0,Calcs!X563*(1+Calcs!$Q510+Calcs!$R510))</f>
        <v>0</v>
      </c>
      <c r="E107" s="7">
        <f>IF($BL107&lt;&gt;"Yes",0,Calcs!Y563*(1+Calcs!$Q510+Calcs!$R510))</f>
        <v>0</v>
      </c>
      <c r="F107" s="7">
        <f>IF($BL107&lt;&gt;"Yes",0,Calcs!Z563*(1+Calcs!$Q510+Calcs!$R510))</f>
        <v>0</v>
      </c>
      <c r="G107" s="7">
        <f>IF($BL107&lt;&gt;"Yes",0,Calcs!AA563*(1+Calcs!$Q510+Calcs!$R510))</f>
        <v>0</v>
      </c>
      <c r="H107" s="40"/>
      <c r="I107" s="7">
        <f>IF($BL107&lt;&gt;"Yes",0,Calcs!AC563*(1+Calcs!$Q510+Calcs!$R510))</f>
        <v>0</v>
      </c>
      <c r="J107" s="7">
        <f>IF($BL107&lt;&gt;"Yes",0,Calcs!AD563*(1+Calcs!$Q510+Calcs!$R510))</f>
        <v>0</v>
      </c>
      <c r="K107" s="7">
        <f>IF($BL107&lt;&gt;"Yes",0,Calcs!AE563*(1+Calcs!$Q510+Calcs!$R510))</f>
        <v>0</v>
      </c>
      <c r="L107" s="7">
        <f>IF($BL107&lt;&gt;"Yes",0,Calcs!AF563*(1+Calcs!$Q510+Calcs!$R510))</f>
        <v>0</v>
      </c>
      <c r="M107" s="7">
        <f>IF($BL107&lt;&gt;"Yes",0,Calcs!AG563*(1+Calcs!$Q510+Calcs!$R510))</f>
        <v>0</v>
      </c>
      <c r="N107" s="7">
        <f>IF($BL107&lt;&gt;"Yes",0,Calcs!AH563*(1+Calcs!$Q510+Calcs!$R510))</f>
        <v>0</v>
      </c>
      <c r="O107" s="7">
        <f>IF($BL107&lt;&gt;"Yes",0,Calcs!AI563*(1+Calcs!$Q510+Calcs!$R510))</f>
        <v>0</v>
      </c>
      <c r="P107" s="7">
        <f>IF($BL107&lt;&gt;"Yes",0,Calcs!AJ563*(1+Calcs!$Q510+Calcs!$R510))</f>
        <v>0</v>
      </c>
      <c r="Q107" s="7">
        <f>IF($BL107&lt;&gt;"Yes",0,Calcs!AK563*(1+Calcs!$Q510+Calcs!$R510))</f>
        <v>0</v>
      </c>
      <c r="R107" s="7">
        <f>IF($BL107&lt;&gt;"Yes",0,Calcs!AL563*(1+Calcs!$Q510+Calcs!$R510))</f>
        <v>0</v>
      </c>
      <c r="S107" s="7">
        <f>IF($BL107&lt;&gt;"Yes",0,Calcs!AM563*(1+Calcs!$Q510+Calcs!$R510))</f>
        <v>0</v>
      </c>
      <c r="T107" s="7">
        <f>IF($BL107&lt;&gt;"Yes",0,Calcs!AN563*(1+Calcs!$Q510+Calcs!$R510))</f>
        <v>0</v>
      </c>
      <c r="U107" s="7">
        <f>IF($BL107&lt;&gt;"Yes",0,Calcs!AO563*(1+Calcs!$Q510+Calcs!$R510))</f>
        <v>0</v>
      </c>
      <c r="V107" s="7">
        <f>IF($BL107&lt;&gt;"Yes",0,Calcs!AP563*(1+Calcs!$Q510+Calcs!$R510))</f>
        <v>0</v>
      </c>
      <c r="W107" s="7">
        <f>IF($BL107&lt;&gt;"Yes",0,Calcs!AQ563*(1+Calcs!$Q510+Calcs!$R510))</f>
        <v>0</v>
      </c>
      <c r="X107" s="7">
        <f>IF($BL107&lt;&gt;"Yes",0,Calcs!AR563*(1+Calcs!$Q510+Calcs!$R510))</f>
        <v>0</v>
      </c>
      <c r="Y107" s="7">
        <f>IF($BL107&lt;&gt;"Yes",0,Calcs!AS563*(1+Calcs!$Q510+Calcs!$R510))</f>
        <v>0</v>
      </c>
      <c r="Z107" s="7">
        <f>IF($BL107&lt;&gt;"Yes",0,Calcs!AT563*(1+Calcs!$Q510+Calcs!$R510))</f>
        <v>0</v>
      </c>
      <c r="AA107" s="7">
        <f>IF($BL107&lt;&gt;"Yes",0,Calcs!AU563*(1+Calcs!$Q510+Calcs!$R510))</f>
        <v>0</v>
      </c>
      <c r="AB107" s="7">
        <f>IF($BL107&lt;&gt;"Yes",0,Calcs!AV563*(1+Calcs!$Q510+Calcs!$R510))</f>
        <v>0</v>
      </c>
      <c r="AC107" s="7">
        <f>IF($BL107&lt;&gt;"Yes",0,Calcs!AW563*(1+Calcs!$Q510+Calcs!$R510))</f>
        <v>0</v>
      </c>
      <c r="AD107" s="7">
        <f>IF($BL107&lt;&gt;"Yes",0,Calcs!AX563*(1+Calcs!$Q510+Calcs!$R510))</f>
        <v>0</v>
      </c>
      <c r="AE107" s="7">
        <f>IF($BL107&lt;&gt;"Yes",0,Calcs!AY563*(1+Calcs!$Q510+Calcs!$R510))</f>
        <v>0</v>
      </c>
      <c r="AF107" s="7">
        <f>IF($BL107&lt;&gt;"Yes",0,Calcs!AZ563*(1+Calcs!$Q510+Calcs!$R510))</f>
        <v>0</v>
      </c>
      <c r="AG107" s="7">
        <f>IF($BL107&lt;&gt;"Yes",0,Calcs!BA563*(1+Calcs!$Q510+Calcs!$R510))</f>
        <v>0</v>
      </c>
      <c r="AH107" s="7">
        <f>IF($BL107&lt;&gt;"Yes",0,Calcs!BB563*(1+Calcs!$Q510+Calcs!$R510))</f>
        <v>0</v>
      </c>
      <c r="AI107" s="7">
        <f>IF($BL107&lt;&gt;"Yes",0,Calcs!BC563*(1+Calcs!$Q510+Calcs!$R510))</f>
        <v>0</v>
      </c>
      <c r="AJ107" s="7">
        <f>IF($BL107&lt;&gt;"Yes",0,Calcs!BD563*(1+Calcs!$Q510+Calcs!$R510))</f>
        <v>0</v>
      </c>
      <c r="AK107" s="7">
        <f>IF($BL107&lt;&gt;"Yes",0,Calcs!BE563*(1+Calcs!$Q510+Calcs!$R510))</f>
        <v>0</v>
      </c>
      <c r="AL107" s="7">
        <f>IF($BL107&lt;&gt;"Yes",0,Calcs!BF563*(1+Calcs!$Q510+Calcs!$R510))</f>
        <v>0</v>
      </c>
      <c r="AM107" s="7">
        <f>IF($BL107&lt;&gt;"Yes",0,Calcs!BG563*(1+Calcs!$Q510+Calcs!$R510))</f>
        <v>0</v>
      </c>
      <c r="AN107" s="7">
        <f>IF($BL107&lt;&gt;"Yes",0,Calcs!BH563*(1+Calcs!$Q510+Calcs!$R510))</f>
        <v>0</v>
      </c>
      <c r="AO107" s="7">
        <f>IF($BL107&lt;&gt;"Yes",0,Calcs!BI563*(1+Calcs!$Q510+Calcs!$R510))</f>
        <v>0</v>
      </c>
      <c r="AP107" s="7">
        <f>IF($BL107&lt;&gt;"Yes",0,Calcs!BJ563*(1+Calcs!$Q510+Calcs!$R510))</f>
        <v>0</v>
      </c>
      <c r="AQ107" s="7">
        <f>IF($BL107&lt;&gt;"Yes",0,Calcs!BK563*(1+Calcs!$Q510+Calcs!$R510))</f>
        <v>0</v>
      </c>
      <c r="AR107" s="7">
        <f>IF($BL107&lt;&gt;"Yes",0,Calcs!BL563*(1+Calcs!$Q510+Calcs!$R510))</f>
        <v>0</v>
      </c>
      <c r="AS107" s="7">
        <f>IF($BL107&lt;&gt;"Yes",0,Calcs!BM563*(1+Calcs!$Q510+Calcs!$R510))</f>
        <v>0</v>
      </c>
      <c r="AT107" s="7">
        <f>IF($BL107&lt;&gt;"Yes",0,Calcs!BN563*(1+Calcs!$Q510+Calcs!$R510))</f>
        <v>0</v>
      </c>
      <c r="AU107" s="7">
        <f>IF($BL107&lt;&gt;"Yes",0,Calcs!BO563*(1+Calcs!$Q510+Calcs!$R510))</f>
        <v>0</v>
      </c>
      <c r="AV107" s="7">
        <f>IF($BL107&lt;&gt;"Yes",0,Calcs!BP563*(1+Calcs!$Q510+Calcs!$R510))</f>
        <v>0</v>
      </c>
      <c r="AW107" s="7">
        <f>IF($BL107&lt;&gt;"Yes",0,Calcs!BQ563*(1+Calcs!$Q510+Calcs!$R510))</f>
        <v>0</v>
      </c>
      <c r="AX107" s="7">
        <f>IF($BL107&lt;&gt;"Yes",0,Calcs!BR563*(1+Calcs!$Q510+Calcs!$R510))</f>
        <v>0</v>
      </c>
      <c r="AY107" s="7">
        <f>IF($BL107&lt;&gt;"Yes",0,Calcs!BS563*(1+Calcs!$Q510+Calcs!$R510))</f>
        <v>0</v>
      </c>
      <c r="AZ107" s="7">
        <f>IF($BL107&lt;&gt;"Yes",0,Calcs!BT563*(1+Calcs!$Q510+Calcs!$R510))</f>
        <v>0</v>
      </c>
      <c r="BA107" s="7">
        <f>IF($BL107&lt;&gt;"Yes",0,Calcs!BU563*(1+Calcs!$Q510+Calcs!$R510))</f>
        <v>0</v>
      </c>
      <c r="BB107" s="7">
        <f>IF($BL107&lt;&gt;"Yes",0,Calcs!BV563*(1+Calcs!$Q510+Calcs!$R510))</f>
        <v>0</v>
      </c>
      <c r="BC107" s="7">
        <f>IF($BL107&lt;&gt;"Yes",0,Calcs!BW563*(1+Calcs!$Q510+Calcs!$R510))</f>
        <v>0</v>
      </c>
      <c r="BD107" s="7">
        <f>IF($BL107&lt;&gt;"Yes",0,Calcs!BX563*(1+Calcs!$Q510+Calcs!$R510))</f>
        <v>0</v>
      </c>
      <c r="BE107" s="7">
        <f>IF($BL107&lt;&gt;"Yes",0,Calcs!BY563*(1+Calcs!$Q510+Calcs!$R510))</f>
        <v>0</v>
      </c>
      <c r="BF107" s="7">
        <f>IF($BL107&lt;&gt;"Yes",0,Calcs!BZ563*(1+Calcs!$Q510+Calcs!$R510))</f>
        <v>0</v>
      </c>
      <c r="BG107" s="7">
        <f>IF($BL107&lt;&gt;"Yes",0,Calcs!CA563*(1+Calcs!$Q510+Calcs!$R510))</f>
        <v>0</v>
      </c>
      <c r="BH107" s="7">
        <f>IF($BL107&lt;&gt;"Yes",0,Calcs!CB563*(1+Calcs!$Q510+Calcs!$R510))</f>
        <v>0</v>
      </c>
      <c r="BI107" s="7">
        <f>IF($BL107&lt;&gt;"Yes",0,Calcs!CC563*(1+Calcs!$Q510+Calcs!$R510))</f>
        <v>0</v>
      </c>
      <c r="BJ107" s="7">
        <f>IF($BL107&lt;&gt;"Yes",0,Calcs!CD563*(1+Calcs!$Q510+Calcs!$R510))</f>
        <v>0</v>
      </c>
    </row>
    <row r="108" spans="1:62" s="5" customFormat="1" ht="13" hidden="1" customHeight="1" x14ac:dyDescent="0.3">
      <c r="A108" s="6" t="str">
        <f>IF(AND(Calcs!S564&lt;&gt;"",Calcs!S564&lt;&gt;0),Calcs!S564,"Personnel "&amp;Calcs!Q564)</f>
        <v xml:space="preserve">Personnel </v>
      </c>
      <c r="B108" s="6" t="str">
        <f>IF(AND(Calcs!T564&lt;&gt;"",Calcs!T564&lt;&gt;0),Calcs!T564,"Personnel "&amp;Calcs!R564)</f>
        <v>Personnel 13</v>
      </c>
      <c r="C108" s="7">
        <f>IF($BL108&lt;&gt;"Yes",0,Calcs!W564*(1+Calcs!$Q511+Calcs!$R511))</f>
        <v>0</v>
      </c>
      <c r="D108" s="7">
        <f>IF($BL108&lt;&gt;"Yes",0,Calcs!X564*(1+Calcs!$Q511+Calcs!$R511))</f>
        <v>0</v>
      </c>
      <c r="E108" s="7">
        <f>IF($BL108&lt;&gt;"Yes",0,Calcs!Y564*(1+Calcs!$Q511+Calcs!$R511))</f>
        <v>0</v>
      </c>
      <c r="F108" s="7">
        <f>IF($BL108&lt;&gt;"Yes",0,Calcs!Z564*(1+Calcs!$Q511+Calcs!$R511))</f>
        <v>0</v>
      </c>
      <c r="G108" s="7">
        <f>IF($BL108&lt;&gt;"Yes",0,Calcs!AA564*(1+Calcs!$Q511+Calcs!$R511))</f>
        <v>0</v>
      </c>
      <c r="H108" s="40"/>
      <c r="I108" s="7">
        <f>IF($BL108&lt;&gt;"Yes",0,Calcs!AC564*(1+Calcs!$Q511+Calcs!$R511))</f>
        <v>0</v>
      </c>
      <c r="J108" s="7">
        <f>IF($BL108&lt;&gt;"Yes",0,Calcs!AD564*(1+Calcs!$Q511+Calcs!$R511))</f>
        <v>0</v>
      </c>
      <c r="K108" s="7">
        <f>IF($BL108&lt;&gt;"Yes",0,Calcs!AE564*(1+Calcs!$Q511+Calcs!$R511))</f>
        <v>0</v>
      </c>
      <c r="L108" s="7">
        <f>IF($BL108&lt;&gt;"Yes",0,Calcs!AF564*(1+Calcs!$Q511+Calcs!$R511))</f>
        <v>0</v>
      </c>
      <c r="M108" s="7">
        <f>IF($BL108&lt;&gt;"Yes",0,Calcs!AG564*(1+Calcs!$Q511+Calcs!$R511))</f>
        <v>0</v>
      </c>
      <c r="N108" s="7">
        <f>IF($BL108&lt;&gt;"Yes",0,Calcs!AH564*(1+Calcs!$Q511+Calcs!$R511))</f>
        <v>0</v>
      </c>
      <c r="O108" s="7">
        <f>IF($BL108&lt;&gt;"Yes",0,Calcs!AI564*(1+Calcs!$Q511+Calcs!$R511))</f>
        <v>0</v>
      </c>
      <c r="P108" s="7">
        <f>IF($BL108&lt;&gt;"Yes",0,Calcs!AJ564*(1+Calcs!$Q511+Calcs!$R511))</f>
        <v>0</v>
      </c>
      <c r="Q108" s="7">
        <f>IF($BL108&lt;&gt;"Yes",0,Calcs!AK564*(1+Calcs!$Q511+Calcs!$R511))</f>
        <v>0</v>
      </c>
      <c r="R108" s="7">
        <f>IF($BL108&lt;&gt;"Yes",0,Calcs!AL564*(1+Calcs!$Q511+Calcs!$R511))</f>
        <v>0</v>
      </c>
      <c r="S108" s="7">
        <f>IF($BL108&lt;&gt;"Yes",0,Calcs!AM564*(1+Calcs!$Q511+Calcs!$R511))</f>
        <v>0</v>
      </c>
      <c r="T108" s="7">
        <f>IF($BL108&lt;&gt;"Yes",0,Calcs!AN564*(1+Calcs!$Q511+Calcs!$R511))</f>
        <v>0</v>
      </c>
      <c r="U108" s="7">
        <f>IF($BL108&lt;&gt;"Yes",0,Calcs!AO564*(1+Calcs!$Q511+Calcs!$R511))</f>
        <v>0</v>
      </c>
      <c r="V108" s="7">
        <f>IF($BL108&lt;&gt;"Yes",0,Calcs!AP564*(1+Calcs!$Q511+Calcs!$R511))</f>
        <v>0</v>
      </c>
      <c r="W108" s="7">
        <f>IF($BL108&lt;&gt;"Yes",0,Calcs!AQ564*(1+Calcs!$Q511+Calcs!$R511))</f>
        <v>0</v>
      </c>
      <c r="X108" s="7">
        <f>IF($BL108&lt;&gt;"Yes",0,Calcs!AR564*(1+Calcs!$Q511+Calcs!$R511))</f>
        <v>0</v>
      </c>
      <c r="Y108" s="7">
        <f>IF($BL108&lt;&gt;"Yes",0,Calcs!AS564*(1+Calcs!$Q511+Calcs!$R511))</f>
        <v>0</v>
      </c>
      <c r="Z108" s="7">
        <f>IF($BL108&lt;&gt;"Yes",0,Calcs!AT564*(1+Calcs!$Q511+Calcs!$R511))</f>
        <v>0</v>
      </c>
      <c r="AA108" s="7">
        <f>IF($BL108&lt;&gt;"Yes",0,Calcs!AU564*(1+Calcs!$Q511+Calcs!$R511))</f>
        <v>0</v>
      </c>
      <c r="AB108" s="7">
        <f>IF($BL108&lt;&gt;"Yes",0,Calcs!AV564*(1+Calcs!$Q511+Calcs!$R511))</f>
        <v>0</v>
      </c>
      <c r="AC108" s="7">
        <f>IF($BL108&lt;&gt;"Yes",0,Calcs!AW564*(1+Calcs!$Q511+Calcs!$R511))</f>
        <v>0</v>
      </c>
      <c r="AD108" s="7">
        <f>IF($BL108&lt;&gt;"Yes",0,Calcs!AX564*(1+Calcs!$Q511+Calcs!$R511))</f>
        <v>0</v>
      </c>
      <c r="AE108" s="7">
        <f>IF($BL108&lt;&gt;"Yes",0,Calcs!AY564*(1+Calcs!$Q511+Calcs!$R511))</f>
        <v>0</v>
      </c>
      <c r="AF108" s="7">
        <f>IF($BL108&lt;&gt;"Yes",0,Calcs!AZ564*(1+Calcs!$Q511+Calcs!$R511))</f>
        <v>0</v>
      </c>
      <c r="AG108" s="7">
        <f>IF($BL108&lt;&gt;"Yes",0,Calcs!BA564*(1+Calcs!$Q511+Calcs!$R511))</f>
        <v>0</v>
      </c>
      <c r="AH108" s="7">
        <f>IF($BL108&lt;&gt;"Yes",0,Calcs!BB564*(1+Calcs!$Q511+Calcs!$R511))</f>
        <v>0</v>
      </c>
      <c r="AI108" s="7">
        <f>IF($BL108&lt;&gt;"Yes",0,Calcs!BC564*(1+Calcs!$Q511+Calcs!$R511))</f>
        <v>0</v>
      </c>
      <c r="AJ108" s="7">
        <f>IF($BL108&lt;&gt;"Yes",0,Calcs!BD564*(1+Calcs!$Q511+Calcs!$R511))</f>
        <v>0</v>
      </c>
      <c r="AK108" s="7">
        <f>IF($BL108&lt;&gt;"Yes",0,Calcs!BE564*(1+Calcs!$Q511+Calcs!$R511))</f>
        <v>0</v>
      </c>
      <c r="AL108" s="7">
        <f>IF($BL108&lt;&gt;"Yes",0,Calcs!BF564*(1+Calcs!$Q511+Calcs!$R511))</f>
        <v>0</v>
      </c>
      <c r="AM108" s="7">
        <f>IF($BL108&lt;&gt;"Yes",0,Calcs!BG564*(1+Calcs!$Q511+Calcs!$R511))</f>
        <v>0</v>
      </c>
      <c r="AN108" s="7">
        <f>IF($BL108&lt;&gt;"Yes",0,Calcs!BH564*(1+Calcs!$Q511+Calcs!$R511))</f>
        <v>0</v>
      </c>
      <c r="AO108" s="7">
        <f>IF($BL108&lt;&gt;"Yes",0,Calcs!BI564*(1+Calcs!$Q511+Calcs!$R511))</f>
        <v>0</v>
      </c>
      <c r="AP108" s="7">
        <f>IF($BL108&lt;&gt;"Yes",0,Calcs!BJ564*(1+Calcs!$Q511+Calcs!$R511))</f>
        <v>0</v>
      </c>
      <c r="AQ108" s="7">
        <f>IF($BL108&lt;&gt;"Yes",0,Calcs!BK564*(1+Calcs!$Q511+Calcs!$R511))</f>
        <v>0</v>
      </c>
      <c r="AR108" s="7">
        <f>IF($BL108&lt;&gt;"Yes",0,Calcs!BL564*(1+Calcs!$Q511+Calcs!$R511))</f>
        <v>0</v>
      </c>
      <c r="AS108" s="7">
        <f>IF($BL108&lt;&gt;"Yes",0,Calcs!BM564*(1+Calcs!$Q511+Calcs!$R511))</f>
        <v>0</v>
      </c>
      <c r="AT108" s="7">
        <f>IF($BL108&lt;&gt;"Yes",0,Calcs!BN564*(1+Calcs!$Q511+Calcs!$R511))</f>
        <v>0</v>
      </c>
      <c r="AU108" s="7">
        <f>IF($BL108&lt;&gt;"Yes",0,Calcs!BO564*(1+Calcs!$Q511+Calcs!$R511))</f>
        <v>0</v>
      </c>
      <c r="AV108" s="7">
        <f>IF($BL108&lt;&gt;"Yes",0,Calcs!BP564*(1+Calcs!$Q511+Calcs!$R511))</f>
        <v>0</v>
      </c>
      <c r="AW108" s="7">
        <f>IF($BL108&lt;&gt;"Yes",0,Calcs!BQ564*(1+Calcs!$Q511+Calcs!$R511))</f>
        <v>0</v>
      </c>
      <c r="AX108" s="7">
        <f>IF($BL108&lt;&gt;"Yes",0,Calcs!BR564*(1+Calcs!$Q511+Calcs!$R511))</f>
        <v>0</v>
      </c>
      <c r="AY108" s="7">
        <f>IF($BL108&lt;&gt;"Yes",0,Calcs!BS564*(1+Calcs!$Q511+Calcs!$R511))</f>
        <v>0</v>
      </c>
      <c r="AZ108" s="7">
        <f>IF($BL108&lt;&gt;"Yes",0,Calcs!BT564*(1+Calcs!$Q511+Calcs!$R511))</f>
        <v>0</v>
      </c>
      <c r="BA108" s="7">
        <f>IF($BL108&lt;&gt;"Yes",0,Calcs!BU564*(1+Calcs!$Q511+Calcs!$R511))</f>
        <v>0</v>
      </c>
      <c r="BB108" s="7">
        <f>IF($BL108&lt;&gt;"Yes",0,Calcs!BV564*(1+Calcs!$Q511+Calcs!$R511))</f>
        <v>0</v>
      </c>
      <c r="BC108" s="7">
        <f>IF($BL108&lt;&gt;"Yes",0,Calcs!BW564*(1+Calcs!$Q511+Calcs!$R511))</f>
        <v>0</v>
      </c>
      <c r="BD108" s="7">
        <f>IF($BL108&lt;&gt;"Yes",0,Calcs!BX564*(1+Calcs!$Q511+Calcs!$R511))</f>
        <v>0</v>
      </c>
      <c r="BE108" s="7">
        <f>IF($BL108&lt;&gt;"Yes",0,Calcs!BY564*(1+Calcs!$Q511+Calcs!$R511))</f>
        <v>0</v>
      </c>
      <c r="BF108" s="7">
        <f>IF($BL108&lt;&gt;"Yes",0,Calcs!BZ564*(1+Calcs!$Q511+Calcs!$R511))</f>
        <v>0</v>
      </c>
      <c r="BG108" s="7">
        <f>IF($BL108&lt;&gt;"Yes",0,Calcs!CA564*(1+Calcs!$Q511+Calcs!$R511))</f>
        <v>0</v>
      </c>
      <c r="BH108" s="7">
        <f>IF($BL108&lt;&gt;"Yes",0,Calcs!CB564*(1+Calcs!$Q511+Calcs!$R511))</f>
        <v>0</v>
      </c>
      <c r="BI108" s="7">
        <f>IF($BL108&lt;&gt;"Yes",0,Calcs!CC564*(1+Calcs!$Q511+Calcs!$R511))</f>
        <v>0</v>
      </c>
      <c r="BJ108" s="7">
        <f>IF($BL108&lt;&gt;"Yes",0,Calcs!CD564*(1+Calcs!$Q511+Calcs!$R511))</f>
        <v>0</v>
      </c>
    </row>
    <row r="109" spans="1:62" s="5" customFormat="1" ht="13" hidden="1" customHeight="1" x14ac:dyDescent="0.3">
      <c r="A109" s="6" t="str">
        <f>IF(AND(Calcs!S565&lt;&gt;"",Calcs!S565&lt;&gt;0),Calcs!S565,"Personnel "&amp;Calcs!Q565)</f>
        <v xml:space="preserve">Personnel </v>
      </c>
      <c r="B109" s="6" t="str">
        <f>IF(AND(Calcs!T565&lt;&gt;"",Calcs!T565&lt;&gt;0),Calcs!T565,"Personnel "&amp;Calcs!R565)</f>
        <v>Personnel 14</v>
      </c>
      <c r="C109" s="7">
        <f>IF($BL109&lt;&gt;"Yes",0,Calcs!W565*(1+Calcs!$Q512+Calcs!$R512))</f>
        <v>0</v>
      </c>
      <c r="D109" s="7">
        <f>IF($BL109&lt;&gt;"Yes",0,Calcs!X565*(1+Calcs!$Q512+Calcs!$R512))</f>
        <v>0</v>
      </c>
      <c r="E109" s="7">
        <f>IF($BL109&lt;&gt;"Yes",0,Calcs!Y565*(1+Calcs!$Q512+Calcs!$R512))</f>
        <v>0</v>
      </c>
      <c r="F109" s="7">
        <f>IF($BL109&lt;&gt;"Yes",0,Calcs!Z565*(1+Calcs!$Q512+Calcs!$R512))</f>
        <v>0</v>
      </c>
      <c r="G109" s="7">
        <f>IF($BL109&lt;&gt;"Yes",0,Calcs!AA565*(1+Calcs!$Q512+Calcs!$R512))</f>
        <v>0</v>
      </c>
      <c r="H109" s="40"/>
      <c r="I109" s="7">
        <f>IF($BL109&lt;&gt;"Yes",0,Calcs!AC565*(1+Calcs!$Q512+Calcs!$R512))</f>
        <v>0</v>
      </c>
      <c r="J109" s="7">
        <f>IF($BL109&lt;&gt;"Yes",0,Calcs!AD565*(1+Calcs!$Q512+Calcs!$R512))</f>
        <v>0</v>
      </c>
      <c r="K109" s="7">
        <f>IF($BL109&lt;&gt;"Yes",0,Calcs!AE565*(1+Calcs!$Q512+Calcs!$R512))</f>
        <v>0</v>
      </c>
      <c r="L109" s="7">
        <f>IF($BL109&lt;&gt;"Yes",0,Calcs!AF565*(1+Calcs!$Q512+Calcs!$R512))</f>
        <v>0</v>
      </c>
      <c r="M109" s="7">
        <f>IF($BL109&lt;&gt;"Yes",0,Calcs!AG565*(1+Calcs!$Q512+Calcs!$R512))</f>
        <v>0</v>
      </c>
      <c r="N109" s="7">
        <f>IF($BL109&lt;&gt;"Yes",0,Calcs!AH565*(1+Calcs!$Q512+Calcs!$R512))</f>
        <v>0</v>
      </c>
      <c r="O109" s="7">
        <f>IF($BL109&lt;&gt;"Yes",0,Calcs!AI565*(1+Calcs!$Q512+Calcs!$R512))</f>
        <v>0</v>
      </c>
      <c r="P109" s="7">
        <f>IF($BL109&lt;&gt;"Yes",0,Calcs!AJ565*(1+Calcs!$Q512+Calcs!$R512))</f>
        <v>0</v>
      </c>
      <c r="Q109" s="7">
        <f>IF($BL109&lt;&gt;"Yes",0,Calcs!AK565*(1+Calcs!$Q512+Calcs!$R512))</f>
        <v>0</v>
      </c>
      <c r="R109" s="7">
        <f>IF($BL109&lt;&gt;"Yes",0,Calcs!AL565*(1+Calcs!$Q512+Calcs!$R512))</f>
        <v>0</v>
      </c>
      <c r="S109" s="7">
        <f>IF($BL109&lt;&gt;"Yes",0,Calcs!AM565*(1+Calcs!$Q512+Calcs!$R512))</f>
        <v>0</v>
      </c>
      <c r="T109" s="7">
        <f>IF($BL109&lt;&gt;"Yes",0,Calcs!AN565*(1+Calcs!$Q512+Calcs!$R512))</f>
        <v>0</v>
      </c>
      <c r="U109" s="7">
        <f>IF($BL109&lt;&gt;"Yes",0,Calcs!AO565*(1+Calcs!$Q512+Calcs!$R512))</f>
        <v>0</v>
      </c>
      <c r="V109" s="7">
        <f>IF($BL109&lt;&gt;"Yes",0,Calcs!AP565*(1+Calcs!$Q512+Calcs!$R512))</f>
        <v>0</v>
      </c>
      <c r="W109" s="7">
        <f>IF($BL109&lt;&gt;"Yes",0,Calcs!AQ565*(1+Calcs!$Q512+Calcs!$R512))</f>
        <v>0</v>
      </c>
      <c r="X109" s="7">
        <f>IF($BL109&lt;&gt;"Yes",0,Calcs!AR565*(1+Calcs!$Q512+Calcs!$R512))</f>
        <v>0</v>
      </c>
      <c r="Y109" s="7">
        <f>IF($BL109&lt;&gt;"Yes",0,Calcs!AS565*(1+Calcs!$Q512+Calcs!$R512))</f>
        <v>0</v>
      </c>
      <c r="Z109" s="7">
        <f>IF($BL109&lt;&gt;"Yes",0,Calcs!AT565*(1+Calcs!$Q512+Calcs!$R512))</f>
        <v>0</v>
      </c>
      <c r="AA109" s="7">
        <f>IF($BL109&lt;&gt;"Yes",0,Calcs!AU565*(1+Calcs!$Q512+Calcs!$R512))</f>
        <v>0</v>
      </c>
      <c r="AB109" s="7">
        <f>IF($BL109&lt;&gt;"Yes",0,Calcs!AV565*(1+Calcs!$Q512+Calcs!$R512))</f>
        <v>0</v>
      </c>
      <c r="AC109" s="7">
        <f>IF($BL109&lt;&gt;"Yes",0,Calcs!AW565*(1+Calcs!$Q512+Calcs!$R512))</f>
        <v>0</v>
      </c>
      <c r="AD109" s="7">
        <f>IF($BL109&lt;&gt;"Yes",0,Calcs!AX565*(1+Calcs!$Q512+Calcs!$R512))</f>
        <v>0</v>
      </c>
      <c r="AE109" s="7">
        <f>IF($BL109&lt;&gt;"Yes",0,Calcs!AY565*(1+Calcs!$Q512+Calcs!$R512))</f>
        <v>0</v>
      </c>
      <c r="AF109" s="7">
        <f>IF($BL109&lt;&gt;"Yes",0,Calcs!AZ565*(1+Calcs!$Q512+Calcs!$R512))</f>
        <v>0</v>
      </c>
      <c r="AG109" s="7">
        <f>IF($BL109&lt;&gt;"Yes",0,Calcs!BA565*(1+Calcs!$Q512+Calcs!$R512))</f>
        <v>0</v>
      </c>
      <c r="AH109" s="7">
        <f>IF($BL109&lt;&gt;"Yes",0,Calcs!BB565*(1+Calcs!$Q512+Calcs!$R512))</f>
        <v>0</v>
      </c>
      <c r="AI109" s="7">
        <f>IF($BL109&lt;&gt;"Yes",0,Calcs!BC565*(1+Calcs!$Q512+Calcs!$R512))</f>
        <v>0</v>
      </c>
      <c r="AJ109" s="7">
        <f>IF($BL109&lt;&gt;"Yes",0,Calcs!BD565*(1+Calcs!$Q512+Calcs!$R512))</f>
        <v>0</v>
      </c>
      <c r="AK109" s="7">
        <f>IF($BL109&lt;&gt;"Yes",0,Calcs!BE565*(1+Calcs!$Q512+Calcs!$R512))</f>
        <v>0</v>
      </c>
      <c r="AL109" s="7">
        <f>IF($BL109&lt;&gt;"Yes",0,Calcs!BF565*(1+Calcs!$Q512+Calcs!$R512))</f>
        <v>0</v>
      </c>
      <c r="AM109" s="7">
        <f>IF($BL109&lt;&gt;"Yes",0,Calcs!BG565*(1+Calcs!$Q512+Calcs!$R512))</f>
        <v>0</v>
      </c>
      <c r="AN109" s="7">
        <f>IF($BL109&lt;&gt;"Yes",0,Calcs!BH565*(1+Calcs!$Q512+Calcs!$R512))</f>
        <v>0</v>
      </c>
      <c r="AO109" s="7">
        <f>IF($BL109&lt;&gt;"Yes",0,Calcs!BI565*(1+Calcs!$Q512+Calcs!$R512))</f>
        <v>0</v>
      </c>
      <c r="AP109" s="7">
        <f>IF($BL109&lt;&gt;"Yes",0,Calcs!BJ565*(1+Calcs!$Q512+Calcs!$R512))</f>
        <v>0</v>
      </c>
      <c r="AQ109" s="7">
        <f>IF($BL109&lt;&gt;"Yes",0,Calcs!BK565*(1+Calcs!$Q512+Calcs!$R512))</f>
        <v>0</v>
      </c>
      <c r="AR109" s="7">
        <f>IF($BL109&lt;&gt;"Yes",0,Calcs!BL565*(1+Calcs!$Q512+Calcs!$R512))</f>
        <v>0</v>
      </c>
      <c r="AS109" s="7">
        <f>IF($BL109&lt;&gt;"Yes",0,Calcs!BM565*(1+Calcs!$Q512+Calcs!$R512))</f>
        <v>0</v>
      </c>
      <c r="AT109" s="7">
        <f>IF($BL109&lt;&gt;"Yes",0,Calcs!BN565*(1+Calcs!$Q512+Calcs!$R512))</f>
        <v>0</v>
      </c>
      <c r="AU109" s="7">
        <f>IF($BL109&lt;&gt;"Yes",0,Calcs!BO565*(1+Calcs!$Q512+Calcs!$R512))</f>
        <v>0</v>
      </c>
      <c r="AV109" s="7">
        <f>IF($BL109&lt;&gt;"Yes",0,Calcs!BP565*(1+Calcs!$Q512+Calcs!$R512))</f>
        <v>0</v>
      </c>
      <c r="AW109" s="7">
        <f>IF($BL109&lt;&gt;"Yes",0,Calcs!BQ565*(1+Calcs!$Q512+Calcs!$R512))</f>
        <v>0</v>
      </c>
      <c r="AX109" s="7">
        <f>IF($BL109&lt;&gt;"Yes",0,Calcs!BR565*(1+Calcs!$Q512+Calcs!$R512))</f>
        <v>0</v>
      </c>
      <c r="AY109" s="7">
        <f>IF($BL109&lt;&gt;"Yes",0,Calcs!BS565*(1+Calcs!$Q512+Calcs!$R512))</f>
        <v>0</v>
      </c>
      <c r="AZ109" s="7">
        <f>IF($BL109&lt;&gt;"Yes",0,Calcs!BT565*(1+Calcs!$Q512+Calcs!$R512))</f>
        <v>0</v>
      </c>
      <c r="BA109" s="7">
        <f>IF($BL109&lt;&gt;"Yes",0,Calcs!BU565*(1+Calcs!$Q512+Calcs!$R512))</f>
        <v>0</v>
      </c>
      <c r="BB109" s="7">
        <f>IF($BL109&lt;&gt;"Yes",0,Calcs!BV565*(1+Calcs!$Q512+Calcs!$R512))</f>
        <v>0</v>
      </c>
      <c r="BC109" s="7">
        <f>IF($BL109&lt;&gt;"Yes",0,Calcs!BW565*(1+Calcs!$Q512+Calcs!$R512))</f>
        <v>0</v>
      </c>
      <c r="BD109" s="7">
        <f>IF($BL109&lt;&gt;"Yes",0,Calcs!BX565*(1+Calcs!$Q512+Calcs!$R512))</f>
        <v>0</v>
      </c>
      <c r="BE109" s="7">
        <f>IF($BL109&lt;&gt;"Yes",0,Calcs!BY565*(1+Calcs!$Q512+Calcs!$R512))</f>
        <v>0</v>
      </c>
      <c r="BF109" s="7">
        <f>IF($BL109&lt;&gt;"Yes",0,Calcs!BZ565*(1+Calcs!$Q512+Calcs!$R512))</f>
        <v>0</v>
      </c>
      <c r="BG109" s="7">
        <f>IF($BL109&lt;&gt;"Yes",0,Calcs!CA565*(1+Calcs!$Q512+Calcs!$R512))</f>
        <v>0</v>
      </c>
      <c r="BH109" s="7">
        <f>IF($BL109&lt;&gt;"Yes",0,Calcs!CB565*(1+Calcs!$Q512+Calcs!$R512))</f>
        <v>0</v>
      </c>
      <c r="BI109" s="7">
        <f>IF($BL109&lt;&gt;"Yes",0,Calcs!CC565*(1+Calcs!$Q512+Calcs!$R512))</f>
        <v>0</v>
      </c>
      <c r="BJ109" s="7">
        <f>IF($BL109&lt;&gt;"Yes",0,Calcs!CD565*(1+Calcs!$Q512+Calcs!$R512))</f>
        <v>0</v>
      </c>
    </row>
    <row r="110" spans="1:62" s="5" customFormat="1" ht="13" hidden="1" customHeight="1" x14ac:dyDescent="0.3">
      <c r="A110" s="6" t="str">
        <f>IF(AND(Calcs!S566&lt;&gt;"",Calcs!S566&lt;&gt;0),Calcs!S566,"Personnel "&amp;Calcs!Q566)</f>
        <v xml:space="preserve">Personnel </v>
      </c>
      <c r="B110" s="6" t="str">
        <f>IF(AND(Calcs!T566&lt;&gt;"",Calcs!T566&lt;&gt;0),Calcs!T566,"Personnel "&amp;Calcs!R566)</f>
        <v>Personnel 15</v>
      </c>
      <c r="C110" s="7">
        <f>IF($BL110&lt;&gt;"Yes",0,Calcs!W566*(1+Calcs!$Q513+Calcs!$R513))</f>
        <v>0</v>
      </c>
      <c r="D110" s="7">
        <f>IF($BL110&lt;&gt;"Yes",0,Calcs!X566*(1+Calcs!$Q513+Calcs!$R513))</f>
        <v>0</v>
      </c>
      <c r="E110" s="7">
        <f>IF($BL110&lt;&gt;"Yes",0,Calcs!Y566*(1+Calcs!$Q513+Calcs!$R513))</f>
        <v>0</v>
      </c>
      <c r="F110" s="7">
        <f>IF($BL110&lt;&gt;"Yes",0,Calcs!Z566*(1+Calcs!$Q513+Calcs!$R513))</f>
        <v>0</v>
      </c>
      <c r="G110" s="7">
        <f>IF($BL110&lt;&gt;"Yes",0,Calcs!AA566*(1+Calcs!$Q513+Calcs!$R513))</f>
        <v>0</v>
      </c>
      <c r="H110" s="40"/>
      <c r="I110" s="7">
        <f>IF($BL110&lt;&gt;"Yes",0,Calcs!AC566*(1+Calcs!$Q513+Calcs!$R513))</f>
        <v>0</v>
      </c>
      <c r="J110" s="7">
        <f>IF($BL110&lt;&gt;"Yes",0,Calcs!AD566*(1+Calcs!$Q513+Calcs!$R513))</f>
        <v>0</v>
      </c>
      <c r="K110" s="7">
        <f>IF($BL110&lt;&gt;"Yes",0,Calcs!AE566*(1+Calcs!$Q513+Calcs!$R513))</f>
        <v>0</v>
      </c>
      <c r="L110" s="7">
        <f>IF($BL110&lt;&gt;"Yes",0,Calcs!AF566*(1+Calcs!$Q513+Calcs!$R513))</f>
        <v>0</v>
      </c>
      <c r="M110" s="7">
        <f>IF($BL110&lt;&gt;"Yes",0,Calcs!AG566*(1+Calcs!$Q513+Calcs!$R513))</f>
        <v>0</v>
      </c>
      <c r="N110" s="7">
        <f>IF($BL110&lt;&gt;"Yes",0,Calcs!AH566*(1+Calcs!$Q513+Calcs!$R513))</f>
        <v>0</v>
      </c>
      <c r="O110" s="7">
        <f>IF($BL110&lt;&gt;"Yes",0,Calcs!AI566*(1+Calcs!$Q513+Calcs!$R513))</f>
        <v>0</v>
      </c>
      <c r="P110" s="7">
        <f>IF($BL110&lt;&gt;"Yes",0,Calcs!AJ566*(1+Calcs!$Q513+Calcs!$R513))</f>
        <v>0</v>
      </c>
      <c r="Q110" s="7">
        <f>IF($BL110&lt;&gt;"Yes",0,Calcs!AK566*(1+Calcs!$Q513+Calcs!$R513))</f>
        <v>0</v>
      </c>
      <c r="R110" s="7">
        <f>IF($BL110&lt;&gt;"Yes",0,Calcs!AL566*(1+Calcs!$Q513+Calcs!$R513))</f>
        <v>0</v>
      </c>
      <c r="S110" s="7">
        <f>IF($BL110&lt;&gt;"Yes",0,Calcs!AM566*(1+Calcs!$Q513+Calcs!$R513))</f>
        <v>0</v>
      </c>
      <c r="T110" s="7">
        <f>IF($BL110&lt;&gt;"Yes",0,Calcs!AN566*(1+Calcs!$Q513+Calcs!$R513))</f>
        <v>0</v>
      </c>
      <c r="U110" s="7">
        <f>IF($BL110&lt;&gt;"Yes",0,Calcs!AO566*(1+Calcs!$Q513+Calcs!$R513))</f>
        <v>0</v>
      </c>
      <c r="V110" s="7">
        <f>IF($BL110&lt;&gt;"Yes",0,Calcs!AP566*(1+Calcs!$Q513+Calcs!$R513))</f>
        <v>0</v>
      </c>
      <c r="W110" s="7">
        <f>IF($BL110&lt;&gt;"Yes",0,Calcs!AQ566*(1+Calcs!$Q513+Calcs!$R513))</f>
        <v>0</v>
      </c>
      <c r="X110" s="7">
        <f>IF($BL110&lt;&gt;"Yes",0,Calcs!AR566*(1+Calcs!$Q513+Calcs!$R513))</f>
        <v>0</v>
      </c>
      <c r="Y110" s="7">
        <f>IF($BL110&lt;&gt;"Yes",0,Calcs!AS566*(1+Calcs!$Q513+Calcs!$R513))</f>
        <v>0</v>
      </c>
      <c r="Z110" s="7">
        <f>IF($BL110&lt;&gt;"Yes",0,Calcs!AT566*(1+Calcs!$Q513+Calcs!$R513))</f>
        <v>0</v>
      </c>
      <c r="AA110" s="7">
        <f>IF($BL110&lt;&gt;"Yes",0,Calcs!AU566*(1+Calcs!$Q513+Calcs!$R513))</f>
        <v>0</v>
      </c>
      <c r="AB110" s="7">
        <f>IF($BL110&lt;&gt;"Yes",0,Calcs!AV566*(1+Calcs!$Q513+Calcs!$R513))</f>
        <v>0</v>
      </c>
      <c r="AC110" s="7">
        <f>IF($BL110&lt;&gt;"Yes",0,Calcs!AW566*(1+Calcs!$Q513+Calcs!$R513))</f>
        <v>0</v>
      </c>
      <c r="AD110" s="7">
        <f>IF($BL110&lt;&gt;"Yes",0,Calcs!AX566*(1+Calcs!$Q513+Calcs!$R513))</f>
        <v>0</v>
      </c>
      <c r="AE110" s="7">
        <f>IF($BL110&lt;&gt;"Yes",0,Calcs!AY566*(1+Calcs!$Q513+Calcs!$R513))</f>
        <v>0</v>
      </c>
      <c r="AF110" s="7">
        <f>IF($BL110&lt;&gt;"Yes",0,Calcs!AZ566*(1+Calcs!$Q513+Calcs!$R513))</f>
        <v>0</v>
      </c>
      <c r="AG110" s="7">
        <f>IF($BL110&lt;&gt;"Yes",0,Calcs!BA566*(1+Calcs!$Q513+Calcs!$R513))</f>
        <v>0</v>
      </c>
      <c r="AH110" s="7">
        <f>IF($BL110&lt;&gt;"Yes",0,Calcs!BB566*(1+Calcs!$Q513+Calcs!$R513))</f>
        <v>0</v>
      </c>
      <c r="AI110" s="7">
        <f>IF($BL110&lt;&gt;"Yes",0,Calcs!BC566*(1+Calcs!$Q513+Calcs!$R513))</f>
        <v>0</v>
      </c>
      <c r="AJ110" s="7">
        <f>IF($BL110&lt;&gt;"Yes",0,Calcs!BD566*(1+Calcs!$Q513+Calcs!$R513))</f>
        <v>0</v>
      </c>
      <c r="AK110" s="7">
        <f>IF($BL110&lt;&gt;"Yes",0,Calcs!BE566*(1+Calcs!$Q513+Calcs!$R513))</f>
        <v>0</v>
      </c>
      <c r="AL110" s="7">
        <f>IF($BL110&lt;&gt;"Yes",0,Calcs!BF566*(1+Calcs!$Q513+Calcs!$R513))</f>
        <v>0</v>
      </c>
      <c r="AM110" s="7">
        <f>IF($BL110&lt;&gt;"Yes",0,Calcs!BG566*(1+Calcs!$Q513+Calcs!$R513))</f>
        <v>0</v>
      </c>
      <c r="AN110" s="7">
        <f>IF($BL110&lt;&gt;"Yes",0,Calcs!BH566*(1+Calcs!$Q513+Calcs!$R513))</f>
        <v>0</v>
      </c>
      <c r="AO110" s="7">
        <f>IF($BL110&lt;&gt;"Yes",0,Calcs!BI566*(1+Calcs!$Q513+Calcs!$R513))</f>
        <v>0</v>
      </c>
      <c r="AP110" s="7">
        <f>IF($BL110&lt;&gt;"Yes",0,Calcs!BJ566*(1+Calcs!$Q513+Calcs!$R513))</f>
        <v>0</v>
      </c>
      <c r="AQ110" s="7">
        <f>IF($BL110&lt;&gt;"Yes",0,Calcs!BK566*(1+Calcs!$Q513+Calcs!$R513))</f>
        <v>0</v>
      </c>
      <c r="AR110" s="7">
        <f>IF($BL110&lt;&gt;"Yes",0,Calcs!BL566*(1+Calcs!$Q513+Calcs!$R513))</f>
        <v>0</v>
      </c>
      <c r="AS110" s="7">
        <f>IF($BL110&lt;&gt;"Yes",0,Calcs!BM566*(1+Calcs!$Q513+Calcs!$R513))</f>
        <v>0</v>
      </c>
      <c r="AT110" s="7">
        <f>IF($BL110&lt;&gt;"Yes",0,Calcs!BN566*(1+Calcs!$Q513+Calcs!$R513))</f>
        <v>0</v>
      </c>
      <c r="AU110" s="7">
        <f>IF($BL110&lt;&gt;"Yes",0,Calcs!BO566*(1+Calcs!$Q513+Calcs!$R513))</f>
        <v>0</v>
      </c>
      <c r="AV110" s="7">
        <f>IF($BL110&lt;&gt;"Yes",0,Calcs!BP566*(1+Calcs!$Q513+Calcs!$R513))</f>
        <v>0</v>
      </c>
      <c r="AW110" s="7">
        <f>IF($BL110&lt;&gt;"Yes",0,Calcs!BQ566*(1+Calcs!$Q513+Calcs!$R513))</f>
        <v>0</v>
      </c>
      <c r="AX110" s="7">
        <f>IF($BL110&lt;&gt;"Yes",0,Calcs!BR566*(1+Calcs!$Q513+Calcs!$R513))</f>
        <v>0</v>
      </c>
      <c r="AY110" s="7">
        <f>IF($BL110&lt;&gt;"Yes",0,Calcs!BS566*(1+Calcs!$Q513+Calcs!$R513))</f>
        <v>0</v>
      </c>
      <c r="AZ110" s="7">
        <f>IF($BL110&lt;&gt;"Yes",0,Calcs!BT566*(1+Calcs!$Q513+Calcs!$R513))</f>
        <v>0</v>
      </c>
      <c r="BA110" s="7">
        <f>IF($BL110&lt;&gt;"Yes",0,Calcs!BU566*(1+Calcs!$Q513+Calcs!$R513))</f>
        <v>0</v>
      </c>
      <c r="BB110" s="7">
        <f>IF($BL110&lt;&gt;"Yes",0,Calcs!BV566*(1+Calcs!$Q513+Calcs!$R513))</f>
        <v>0</v>
      </c>
      <c r="BC110" s="7">
        <f>IF($BL110&lt;&gt;"Yes",0,Calcs!BW566*(1+Calcs!$Q513+Calcs!$R513))</f>
        <v>0</v>
      </c>
      <c r="BD110" s="7">
        <f>IF($BL110&lt;&gt;"Yes",0,Calcs!BX566*(1+Calcs!$Q513+Calcs!$R513))</f>
        <v>0</v>
      </c>
      <c r="BE110" s="7">
        <f>IF($BL110&lt;&gt;"Yes",0,Calcs!BY566*(1+Calcs!$Q513+Calcs!$R513))</f>
        <v>0</v>
      </c>
      <c r="BF110" s="7">
        <f>IF($BL110&lt;&gt;"Yes",0,Calcs!BZ566*(1+Calcs!$Q513+Calcs!$R513))</f>
        <v>0</v>
      </c>
      <c r="BG110" s="7">
        <f>IF($BL110&lt;&gt;"Yes",0,Calcs!CA566*(1+Calcs!$Q513+Calcs!$R513))</f>
        <v>0</v>
      </c>
      <c r="BH110" s="7">
        <f>IF($BL110&lt;&gt;"Yes",0,Calcs!CB566*(1+Calcs!$Q513+Calcs!$R513))</f>
        <v>0</v>
      </c>
      <c r="BI110" s="7">
        <f>IF($BL110&lt;&gt;"Yes",0,Calcs!CC566*(1+Calcs!$Q513+Calcs!$R513))</f>
        <v>0</v>
      </c>
      <c r="BJ110" s="7">
        <f>IF($BL110&lt;&gt;"Yes",0,Calcs!CD566*(1+Calcs!$Q513+Calcs!$R513))</f>
        <v>0</v>
      </c>
    </row>
    <row r="111" spans="1:62" s="5" customFormat="1" ht="13" hidden="1" customHeight="1" x14ac:dyDescent="0.3">
      <c r="A111" s="6" t="str">
        <f>IF(AND(Calcs!S567&lt;&gt;"",Calcs!S567&lt;&gt;0),Calcs!S567,"Personnel "&amp;Calcs!Q567)</f>
        <v xml:space="preserve">Personnel </v>
      </c>
      <c r="B111" s="6" t="str">
        <f>IF(AND(Calcs!T567&lt;&gt;"",Calcs!T567&lt;&gt;0),Calcs!T567,"Personnel "&amp;Calcs!R567)</f>
        <v>Personnel 16</v>
      </c>
      <c r="C111" s="7">
        <f>IF($BL111&lt;&gt;"Yes",0,Calcs!W567*(1+Calcs!$Q514+Calcs!$R514))</f>
        <v>0</v>
      </c>
      <c r="D111" s="7">
        <f>IF($BL111&lt;&gt;"Yes",0,Calcs!X567*(1+Calcs!$Q514+Calcs!$R514))</f>
        <v>0</v>
      </c>
      <c r="E111" s="7">
        <f>IF($BL111&lt;&gt;"Yes",0,Calcs!Y567*(1+Calcs!$Q514+Calcs!$R514))</f>
        <v>0</v>
      </c>
      <c r="F111" s="7">
        <f>IF($BL111&lt;&gt;"Yes",0,Calcs!Z567*(1+Calcs!$Q514+Calcs!$R514))</f>
        <v>0</v>
      </c>
      <c r="G111" s="7">
        <f>IF($BL111&lt;&gt;"Yes",0,Calcs!AA567*(1+Calcs!$Q514+Calcs!$R514))</f>
        <v>0</v>
      </c>
      <c r="H111" s="40"/>
      <c r="I111" s="7">
        <f>IF($BL111&lt;&gt;"Yes",0,Calcs!AC567*(1+Calcs!$Q514+Calcs!$R514))</f>
        <v>0</v>
      </c>
      <c r="J111" s="7">
        <f>IF($BL111&lt;&gt;"Yes",0,Calcs!AD567*(1+Calcs!$Q514+Calcs!$R514))</f>
        <v>0</v>
      </c>
      <c r="K111" s="7">
        <f>IF($BL111&lt;&gt;"Yes",0,Calcs!AE567*(1+Calcs!$Q514+Calcs!$R514))</f>
        <v>0</v>
      </c>
      <c r="L111" s="7">
        <f>IF($BL111&lt;&gt;"Yes",0,Calcs!AF567*(1+Calcs!$Q514+Calcs!$R514))</f>
        <v>0</v>
      </c>
      <c r="M111" s="7">
        <f>IF($BL111&lt;&gt;"Yes",0,Calcs!AG567*(1+Calcs!$Q514+Calcs!$R514))</f>
        <v>0</v>
      </c>
      <c r="N111" s="7">
        <f>IF($BL111&lt;&gt;"Yes",0,Calcs!AH567*(1+Calcs!$Q514+Calcs!$R514))</f>
        <v>0</v>
      </c>
      <c r="O111" s="7">
        <f>IF($BL111&lt;&gt;"Yes",0,Calcs!AI567*(1+Calcs!$Q514+Calcs!$R514))</f>
        <v>0</v>
      </c>
      <c r="P111" s="7">
        <f>IF($BL111&lt;&gt;"Yes",0,Calcs!AJ567*(1+Calcs!$Q514+Calcs!$R514))</f>
        <v>0</v>
      </c>
      <c r="Q111" s="7">
        <f>IF($BL111&lt;&gt;"Yes",0,Calcs!AK567*(1+Calcs!$Q514+Calcs!$R514))</f>
        <v>0</v>
      </c>
      <c r="R111" s="7">
        <f>IF($BL111&lt;&gt;"Yes",0,Calcs!AL567*(1+Calcs!$Q514+Calcs!$R514))</f>
        <v>0</v>
      </c>
      <c r="S111" s="7">
        <f>IF($BL111&lt;&gt;"Yes",0,Calcs!AM567*(1+Calcs!$Q514+Calcs!$R514))</f>
        <v>0</v>
      </c>
      <c r="T111" s="7">
        <f>IF($BL111&lt;&gt;"Yes",0,Calcs!AN567*(1+Calcs!$Q514+Calcs!$R514))</f>
        <v>0</v>
      </c>
      <c r="U111" s="7">
        <f>IF($BL111&lt;&gt;"Yes",0,Calcs!AO567*(1+Calcs!$Q514+Calcs!$R514))</f>
        <v>0</v>
      </c>
      <c r="V111" s="7">
        <f>IF($BL111&lt;&gt;"Yes",0,Calcs!AP567*(1+Calcs!$Q514+Calcs!$R514))</f>
        <v>0</v>
      </c>
      <c r="W111" s="7">
        <f>IF($BL111&lt;&gt;"Yes",0,Calcs!AQ567*(1+Calcs!$Q514+Calcs!$R514))</f>
        <v>0</v>
      </c>
      <c r="X111" s="7">
        <f>IF($BL111&lt;&gt;"Yes",0,Calcs!AR567*(1+Calcs!$Q514+Calcs!$R514))</f>
        <v>0</v>
      </c>
      <c r="Y111" s="7">
        <f>IF($BL111&lt;&gt;"Yes",0,Calcs!AS567*(1+Calcs!$Q514+Calcs!$R514))</f>
        <v>0</v>
      </c>
      <c r="Z111" s="7">
        <f>IF($BL111&lt;&gt;"Yes",0,Calcs!AT567*(1+Calcs!$Q514+Calcs!$R514))</f>
        <v>0</v>
      </c>
      <c r="AA111" s="7">
        <f>IF($BL111&lt;&gt;"Yes",0,Calcs!AU567*(1+Calcs!$Q514+Calcs!$R514))</f>
        <v>0</v>
      </c>
      <c r="AB111" s="7">
        <f>IF($BL111&lt;&gt;"Yes",0,Calcs!AV567*(1+Calcs!$Q514+Calcs!$R514))</f>
        <v>0</v>
      </c>
      <c r="AC111" s="7">
        <f>IF($BL111&lt;&gt;"Yes",0,Calcs!AW567*(1+Calcs!$Q514+Calcs!$R514))</f>
        <v>0</v>
      </c>
      <c r="AD111" s="7">
        <f>IF($BL111&lt;&gt;"Yes",0,Calcs!AX567*(1+Calcs!$Q514+Calcs!$R514))</f>
        <v>0</v>
      </c>
      <c r="AE111" s="7">
        <f>IF($BL111&lt;&gt;"Yes",0,Calcs!AY567*(1+Calcs!$Q514+Calcs!$R514))</f>
        <v>0</v>
      </c>
      <c r="AF111" s="7">
        <f>IF($BL111&lt;&gt;"Yes",0,Calcs!AZ567*(1+Calcs!$Q514+Calcs!$R514))</f>
        <v>0</v>
      </c>
      <c r="AG111" s="7">
        <f>IF($BL111&lt;&gt;"Yes",0,Calcs!BA567*(1+Calcs!$Q514+Calcs!$R514))</f>
        <v>0</v>
      </c>
      <c r="AH111" s="7">
        <f>IF($BL111&lt;&gt;"Yes",0,Calcs!BB567*(1+Calcs!$Q514+Calcs!$R514))</f>
        <v>0</v>
      </c>
      <c r="AI111" s="7">
        <f>IF($BL111&lt;&gt;"Yes",0,Calcs!BC567*(1+Calcs!$Q514+Calcs!$R514))</f>
        <v>0</v>
      </c>
      <c r="AJ111" s="7">
        <f>IF($BL111&lt;&gt;"Yes",0,Calcs!BD567*(1+Calcs!$Q514+Calcs!$R514))</f>
        <v>0</v>
      </c>
      <c r="AK111" s="7">
        <f>IF($BL111&lt;&gt;"Yes",0,Calcs!BE567*(1+Calcs!$Q514+Calcs!$R514))</f>
        <v>0</v>
      </c>
      <c r="AL111" s="7">
        <f>IF($BL111&lt;&gt;"Yes",0,Calcs!BF567*(1+Calcs!$Q514+Calcs!$R514))</f>
        <v>0</v>
      </c>
      <c r="AM111" s="7">
        <f>IF($BL111&lt;&gt;"Yes",0,Calcs!BG567*(1+Calcs!$Q514+Calcs!$R514))</f>
        <v>0</v>
      </c>
      <c r="AN111" s="7">
        <f>IF($BL111&lt;&gt;"Yes",0,Calcs!BH567*(1+Calcs!$Q514+Calcs!$R514))</f>
        <v>0</v>
      </c>
      <c r="AO111" s="7">
        <f>IF($BL111&lt;&gt;"Yes",0,Calcs!BI567*(1+Calcs!$Q514+Calcs!$R514))</f>
        <v>0</v>
      </c>
      <c r="AP111" s="7">
        <f>IF($BL111&lt;&gt;"Yes",0,Calcs!BJ567*(1+Calcs!$Q514+Calcs!$R514))</f>
        <v>0</v>
      </c>
      <c r="AQ111" s="7">
        <f>IF($BL111&lt;&gt;"Yes",0,Calcs!BK567*(1+Calcs!$Q514+Calcs!$R514))</f>
        <v>0</v>
      </c>
      <c r="AR111" s="7">
        <f>IF($BL111&lt;&gt;"Yes",0,Calcs!BL567*(1+Calcs!$Q514+Calcs!$R514))</f>
        <v>0</v>
      </c>
      <c r="AS111" s="7">
        <f>IF($BL111&lt;&gt;"Yes",0,Calcs!BM567*(1+Calcs!$Q514+Calcs!$R514))</f>
        <v>0</v>
      </c>
      <c r="AT111" s="7">
        <f>IF($BL111&lt;&gt;"Yes",0,Calcs!BN567*(1+Calcs!$Q514+Calcs!$R514))</f>
        <v>0</v>
      </c>
      <c r="AU111" s="7">
        <f>IF($BL111&lt;&gt;"Yes",0,Calcs!BO567*(1+Calcs!$Q514+Calcs!$R514))</f>
        <v>0</v>
      </c>
      <c r="AV111" s="7">
        <f>IF($BL111&lt;&gt;"Yes",0,Calcs!BP567*(1+Calcs!$Q514+Calcs!$R514))</f>
        <v>0</v>
      </c>
      <c r="AW111" s="7">
        <f>IF($BL111&lt;&gt;"Yes",0,Calcs!BQ567*(1+Calcs!$Q514+Calcs!$R514))</f>
        <v>0</v>
      </c>
      <c r="AX111" s="7">
        <f>IF($BL111&lt;&gt;"Yes",0,Calcs!BR567*(1+Calcs!$Q514+Calcs!$R514))</f>
        <v>0</v>
      </c>
      <c r="AY111" s="7">
        <f>IF($BL111&lt;&gt;"Yes",0,Calcs!BS567*(1+Calcs!$Q514+Calcs!$R514))</f>
        <v>0</v>
      </c>
      <c r="AZ111" s="7">
        <f>IF($BL111&lt;&gt;"Yes",0,Calcs!BT567*(1+Calcs!$Q514+Calcs!$R514))</f>
        <v>0</v>
      </c>
      <c r="BA111" s="7">
        <f>IF($BL111&lt;&gt;"Yes",0,Calcs!BU567*(1+Calcs!$Q514+Calcs!$R514))</f>
        <v>0</v>
      </c>
      <c r="BB111" s="7">
        <f>IF($BL111&lt;&gt;"Yes",0,Calcs!BV567*(1+Calcs!$Q514+Calcs!$R514))</f>
        <v>0</v>
      </c>
      <c r="BC111" s="7">
        <f>IF($BL111&lt;&gt;"Yes",0,Calcs!BW567*(1+Calcs!$Q514+Calcs!$R514))</f>
        <v>0</v>
      </c>
      <c r="BD111" s="7">
        <f>IF($BL111&lt;&gt;"Yes",0,Calcs!BX567*(1+Calcs!$Q514+Calcs!$R514))</f>
        <v>0</v>
      </c>
      <c r="BE111" s="7">
        <f>IF($BL111&lt;&gt;"Yes",0,Calcs!BY567*(1+Calcs!$Q514+Calcs!$R514))</f>
        <v>0</v>
      </c>
      <c r="BF111" s="7">
        <f>IF($BL111&lt;&gt;"Yes",0,Calcs!BZ567*(1+Calcs!$Q514+Calcs!$R514))</f>
        <v>0</v>
      </c>
      <c r="BG111" s="7">
        <f>IF($BL111&lt;&gt;"Yes",0,Calcs!CA567*(1+Calcs!$Q514+Calcs!$R514))</f>
        <v>0</v>
      </c>
      <c r="BH111" s="7">
        <f>IF($BL111&lt;&gt;"Yes",0,Calcs!CB567*(1+Calcs!$Q514+Calcs!$R514))</f>
        <v>0</v>
      </c>
      <c r="BI111" s="7">
        <f>IF($BL111&lt;&gt;"Yes",0,Calcs!CC567*(1+Calcs!$Q514+Calcs!$R514))</f>
        <v>0</v>
      </c>
      <c r="BJ111" s="7">
        <f>IF($BL111&lt;&gt;"Yes",0,Calcs!CD567*(1+Calcs!$Q514+Calcs!$R514))</f>
        <v>0</v>
      </c>
    </row>
    <row r="112" spans="1:62" s="5" customFormat="1" ht="13" hidden="1" customHeight="1" x14ac:dyDescent="0.3">
      <c r="A112" s="6" t="str">
        <f>IF(AND(Calcs!S568&lt;&gt;"",Calcs!S568&lt;&gt;0),Calcs!S568,"Personnel "&amp;Calcs!Q568)</f>
        <v xml:space="preserve">Personnel </v>
      </c>
      <c r="B112" s="6" t="str">
        <f>IF(AND(Calcs!T568&lt;&gt;"",Calcs!T568&lt;&gt;0),Calcs!T568,"Personnel "&amp;Calcs!R568)</f>
        <v>Personnel 17</v>
      </c>
      <c r="C112" s="7">
        <f>IF($BL112&lt;&gt;"Yes",0,Calcs!W568*(1+Calcs!$Q515+Calcs!$R515))</f>
        <v>0</v>
      </c>
      <c r="D112" s="7">
        <f>IF($BL112&lt;&gt;"Yes",0,Calcs!X568*(1+Calcs!$Q515+Calcs!$R515))</f>
        <v>0</v>
      </c>
      <c r="E112" s="7">
        <f>IF($BL112&lt;&gt;"Yes",0,Calcs!Y568*(1+Calcs!$Q515+Calcs!$R515))</f>
        <v>0</v>
      </c>
      <c r="F112" s="7">
        <f>IF($BL112&lt;&gt;"Yes",0,Calcs!Z568*(1+Calcs!$Q515+Calcs!$R515))</f>
        <v>0</v>
      </c>
      <c r="G112" s="7">
        <f>IF($BL112&lt;&gt;"Yes",0,Calcs!AA568*(1+Calcs!$Q515+Calcs!$R515))</f>
        <v>0</v>
      </c>
      <c r="H112" s="40"/>
      <c r="I112" s="7">
        <f>IF($BL112&lt;&gt;"Yes",0,Calcs!AC568*(1+Calcs!$Q515+Calcs!$R515))</f>
        <v>0</v>
      </c>
      <c r="J112" s="7">
        <f>IF($BL112&lt;&gt;"Yes",0,Calcs!AD568*(1+Calcs!$Q515+Calcs!$R515))</f>
        <v>0</v>
      </c>
      <c r="K112" s="7">
        <f>IF($BL112&lt;&gt;"Yes",0,Calcs!AE568*(1+Calcs!$Q515+Calcs!$R515))</f>
        <v>0</v>
      </c>
      <c r="L112" s="7">
        <f>IF($BL112&lt;&gt;"Yes",0,Calcs!AF568*(1+Calcs!$Q515+Calcs!$R515))</f>
        <v>0</v>
      </c>
      <c r="M112" s="7">
        <f>IF($BL112&lt;&gt;"Yes",0,Calcs!AG568*(1+Calcs!$Q515+Calcs!$R515))</f>
        <v>0</v>
      </c>
      <c r="N112" s="7">
        <f>IF($BL112&lt;&gt;"Yes",0,Calcs!AH568*(1+Calcs!$Q515+Calcs!$R515))</f>
        <v>0</v>
      </c>
      <c r="O112" s="7">
        <f>IF($BL112&lt;&gt;"Yes",0,Calcs!AI568*(1+Calcs!$Q515+Calcs!$R515))</f>
        <v>0</v>
      </c>
      <c r="P112" s="7">
        <f>IF($BL112&lt;&gt;"Yes",0,Calcs!AJ568*(1+Calcs!$Q515+Calcs!$R515))</f>
        <v>0</v>
      </c>
      <c r="Q112" s="7">
        <f>IF($BL112&lt;&gt;"Yes",0,Calcs!AK568*(1+Calcs!$Q515+Calcs!$R515))</f>
        <v>0</v>
      </c>
      <c r="R112" s="7">
        <f>IF($BL112&lt;&gt;"Yes",0,Calcs!AL568*(1+Calcs!$Q515+Calcs!$R515))</f>
        <v>0</v>
      </c>
      <c r="S112" s="7">
        <f>IF($BL112&lt;&gt;"Yes",0,Calcs!AM568*(1+Calcs!$Q515+Calcs!$R515))</f>
        <v>0</v>
      </c>
      <c r="T112" s="7">
        <f>IF($BL112&lt;&gt;"Yes",0,Calcs!AN568*(1+Calcs!$Q515+Calcs!$R515))</f>
        <v>0</v>
      </c>
      <c r="U112" s="7">
        <f>IF($BL112&lt;&gt;"Yes",0,Calcs!AO568*(1+Calcs!$Q515+Calcs!$R515))</f>
        <v>0</v>
      </c>
      <c r="V112" s="7">
        <f>IF($BL112&lt;&gt;"Yes",0,Calcs!AP568*(1+Calcs!$Q515+Calcs!$R515))</f>
        <v>0</v>
      </c>
      <c r="W112" s="7">
        <f>IF($BL112&lt;&gt;"Yes",0,Calcs!AQ568*(1+Calcs!$Q515+Calcs!$R515))</f>
        <v>0</v>
      </c>
      <c r="X112" s="7">
        <f>IF($BL112&lt;&gt;"Yes",0,Calcs!AR568*(1+Calcs!$Q515+Calcs!$R515))</f>
        <v>0</v>
      </c>
      <c r="Y112" s="7">
        <f>IF($BL112&lt;&gt;"Yes",0,Calcs!AS568*(1+Calcs!$Q515+Calcs!$R515))</f>
        <v>0</v>
      </c>
      <c r="Z112" s="7">
        <f>IF($BL112&lt;&gt;"Yes",0,Calcs!AT568*(1+Calcs!$Q515+Calcs!$R515))</f>
        <v>0</v>
      </c>
      <c r="AA112" s="7">
        <f>IF($BL112&lt;&gt;"Yes",0,Calcs!AU568*(1+Calcs!$Q515+Calcs!$R515))</f>
        <v>0</v>
      </c>
      <c r="AB112" s="7">
        <f>IF($BL112&lt;&gt;"Yes",0,Calcs!AV568*(1+Calcs!$Q515+Calcs!$R515))</f>
        <v>0</v>
      </c>
      <c r="AC112" s="7">
        <f>IF($BL112&lt;&gt;"Yes",0,Calcs!AW568*(1+Calcs!$Q515+Calcs!$R515))</f>
        <v>0</v>
      </c>
      <c r="AD112" s="7">
        <f>IF($BL112&lt;&gt;"Yes",0,Calcs!AX568*(1+Calcs!$Q515+Calcs!$R515))</f>
        <v>0</v>
      </c>
      <c r="AE112" s="7">
        <f>IF($BL112&lt;&gt;"Yes",0,Calcs!AY568*(1+Calcs!$Q515+Calcs!$R515))</f>
        <v>0</v>
      </c>
      <c r="AF112" s="7">
        <f>IF($BL112&lt;&gt;"Yes",0,Calcs!AZ568*(1+Calcs!$Q515+Calcs!$R515))</f>
        <v>0</v>
      </c>
      <c r="AG112" s="7">
        <f>IF($BL112&lt;&gt;"Yes",0,Calcs!BA568*(1+Calcs!$Q515+Calcs!$R515))</f>
        <v>0</v>
      </c>
      <c r="AH112" s="7">
        <f>IF($BL112&lt;&gt;"Yes",0,Calcs!BB568*(1+Calcs!$Q515+Calcs!$R515))</f>
        <v>0</v>
      </c>
      <c r="AI112" s="7">
        <f>IF($BL112&lt;&gt;"Yes",0,Calcs!BC568*(1+Calcs!$Q515+Calcs!$R515))</f>
        <v>0</v>
      </c>
      <c r="AJ112" s="7">
        <f>IF($BL112&lt;&gt;"Yes",0,Calcs!BD568*(1+Calcs!$Q515+Calcs!$R515))</f>
        <v>0</v>
      </c>
      <c r="AK112" s="7">
        <f>IF($BL112&lt;&gt;"Yes",0,Calcs!BE568*(1+Calcs!$Q515+Calcs!$R515))</f>
        <v>0</v>
      </c>
      <c r="AL112" s="7">
        <f>IF($BL112&lt;&gt;"Yes",0,Calcs!BF568*(1+Calcs!$Q515+Calcs!$R515))</f>
        <v>0</v>
      </c>
      <c r="AM112" s="7">
        <f>IF($BL112&lt;&gt;"Yes",0,Calcs!BG568*(1+Calcs!$Q515+Calcs!$R515))</f>
        <v>0</v>
      </c>
      <c r="AN112" s="7">
        <f>IF($BL112&lt;&gt;"Yes",0,Calcs!BH568*(1+Calcs!$Q515+Calcs!$R515))</f>
        <v>0</v>
      </c>
      <c r="AO112" s="7">
        <f>IF($BL112&lt;&gt;"Yes",0,Calcs!BI568*(1+Calcs!$Q515+Calcs!$R515))</f>
        <v>0</v>
      </c>
      <c r="AP112" s="7">
        <f>IF($BL112&lt;&gt;"Yes",0,Calcs!BJ568*(1+Calcs!$Q515+Calcs!$R515))</f>
        <v>0</v>
      </c>
      <c r="AQ112" s="7">
        <f>IF($BL112&lt;&gt;"Yes",0,Calcs!BK568*(1+Calcs!$Q515+Calcs!$R515))</f>
        <v>0</v>
      </c>
      <c r="AR112" s="7">
        <f>IF($BL112&lt;&gt;"Yes",0,Calcs!BL568*(1+Calcs!$Q515+Calcs!$R515))</f>
        <v>0</v>
      </c>
      <c r="AS112" s="7">
        <f>IF($BL112&lt;&gt;"Yes",0,Calcs!BM568*(1+Calcs!$Q515+Calcs!$R515))</f>
        <v>0</v>
      </c>
      <c r="AT112" s="7">
        <f>IF($BL112&lt;&gt;"Yes",0,Calcs!BN568*(1+Calcs!$Q515+Calcs!$R515))</f>
        <v>0</v>
      </c>
      <c r="AU112" s="7">
        <f>IF($BL112&lt;&gt;"Yes",0,Calcs!BO568*(1+Calcs!$Q515+Calcs!$R515))</f>
        <v>0</v>
      </c>
      <c r="AV112" s="7">
        <f>IF($BL112&lt;&gt;"Yes",0,Calcs!BP568*(1+Calcs!$Q515+Calcs!$R515))</f>
        <v>0</v>
      </c>
      <c r="AW112" s="7">
        <f>IF($BL112&lt;&gt;"Yes",0,Calcs!BQ568*(1+Calcs!$Q515+Calcs!$R515))</f>
        <v>0</v>
      </c>
      <c r="AX112" s="7">
        <f>IF($BL112&lt;&gt;"Yes",0,Calcs!BR568*(1+Calcs!$Q515+Calcs!$R515))</f>
        <v>0</v>
      </c>
      <c r="AY112" s="7">
        <f>IF($BL112&lt;&gt;"Yes",0,Calcs!BS568*(1+Calcs!$Q515+Calcs!$R515))</f>
        <v>0</v>
      </c>
      <c r="AZ112" s="7">
        <f>IF($BL112&lt;&gt;"Yes",0,Calcs!BT568*(1+Calcs!$Q515+Calcs!$R515))</f>
        <v>0</v>
      </c>
      <c r="BA112" s="7">
        <f>IF($BL112&lt;&gt;"Yes",0,Calcs!BU568*(1+Calcs!$Q515+Calcs!$R515))</f>
        <v>0</v>
      </c>
      <c r="BB112" s="7">
        <f>IF($BL112&lt;&gt;"Yes",0,Calcs!BV568*(1+Calcs!$Q515+Calcs!$R515))</f>
        <v>0</v>
      </c>
      <c r="BC112" s="7">
        <f>IF($BL112&lt;&gt;"Yes",0,Calcs!BW568*(1+Calcs!$Q515+Calcs!$R515))</f>
        <v>0</v>
      </c>
      <c r="BD112" s="7">
        <f>IF($BL112&lt;&gt;"Yes",0,Calcs!BX568*(1+Calcs!$Q515+Calcs!$R515))</f>
        <v>0</v>
      </c>
      <c r="BE112" s="7">
        <f>IF($BL112&lt;&gt;"Yes",0,Calcs!BY568*(1+Calcs!$Q515+Calcs!$R515))</f>
        <v>0</v>
      </c>
      <c r="BF112" s="7">
        <f>IF($BL112&lt;&gt;"Yes",0,Calcs!BZ568*(1+Calcs!$Q515+Calcs!$R515))</f>
        <v>0</v>
      </c>
      <c r="BG112" s="7">
        <f>IF($BL112&lt;&gt;"Yes",0,Calcs!CA568*(1+Calcs!$Q515+Calcs!$R515))</f>
        <v>0</v>
      </c>
      <c r="BH112" s="7">
        <f>IF($BL112&lt;&gt;"Yes",0,Calcs!CB568*(1+Calcs!$Q515+Calcs!$R515))</f>
        <v>0</v>
      </c>
      <c r="BI112" s="7">
        <f>IF($BL112&lt;&gt;"Yes",0,Calcs!CC568*(1+Calcs!$Q515+Calcs!$R515))</f>
        <v>0</v>
      </c>
      <c r="BJ112" s="7">
        <f>IF($BL112&lt;&gt;"Yes",0,Calcs!CD568*(1+Calcs!$Q515+Calcs!$R515))</f>
        <v>0</v>
      </c>
    </row>
    <row r="113" spans="1:62" s="5" customFormat="1" ht="13" hidden="1" customHeight="1" x14ac:dyDescent="0.3">
      <c r="A113" s="6" t="str">
        <f>IF(AND(Calcs!S569&lt;&gt;"",Calcs!S569&lt;&gt;0),Calcs!S569,"Personnel "&amp;Calcs!Q569)</f>
        <v xml:space="preserve">Personnel </v>
      </c>
      <c r="B113" s="6" t="str">
        <f>IF(AND(Calcs!T569&lt;&gt;"",Calcs!T569&lt;&gt;0),Calcs!T569,"Personnel "&amp;Calcs!R569)</f>
        <v>Personnel 18</v>
      </c>
      <c r="C113" s="7">
        <f>IF($BL113&lt;&gt;"Yes",0,Calcs!W569*(1+Calcs!$Q516+Calcs!$R516))</f>
        <v>0</v>
      </c>
      <c r="D113" s="7">
        <f>IF($BL113&lt;&gt;"Yes",0,Calcs!X569*(1+Calcs!$Q516+Calcs!$R516))</f>
        <v>0</v>
      </c>
      <c r="E113" s="7">
        <f>IF($BL113&lt;&gt;"Yes",0,Calcs!Y569*(1+Calcs!$Q516+Calcs!$R516))</f>
        <v>0</v>
      </c>
      <c r="F113" s="7">
        <f>IF($BL113&lt;&gt;"Yes",0,Calcs!Z569*(1+Calcs!$Q516+Calcs!$R516))</f>
        <v>0</v>
      </c>
      <c r="G113" s="7">
        <f>IF($BL113&lt;&gt;"Yes",0,Calcs!AA569*(1+Calcs!$Q516+Calcs!$R516))</f>
        <v>0</v>
      </c>
      <c r="H113" s="40"/>
      <c r="I113" s="7">
        <f>IF($BL113&lt;&gt;"Yes",0,Calcs!AC569*(1+Calcs!$Q516+Calcs!$R516))</f>
        <v>0</v>
      </c>
      <c r="J113" s="7">
        <f>IF($BL113&lt;&gt;"Yes",0,Calcs!AD569*(1+Calcs!$Q516+Calcs!$R516))</f>
        <v>0</v>
      </c>
      <c r="K113" s="7">
        <f>IF($BL113&lt;&gt;"Yes",0,Calcs!AE569*(1+Calcs!$Q516+Calcs!$R516))</f>
        <v>0</v>
      </c>
      <c r="L113" s="7">
        <f>IF($BL113&lt;&gt;"Yes",0,Calcs!AF569*(1+Calcs!$Q516+Calcs!$R516))</f>
        <v>0</v>
      </c>
      <c r="M113" s="7">
        <f>IF($BL113&lt;&gt;"Yes",0,Calcs!AG569*(1+Calcs!$Q516+Calcs!$R516))</f>
        <v>0</v>
      </c>
      <c r="N113" s="7">
        <f>IF($BL113&lt;&gt;"Yes",0,Calcs!AH569*(1+Calcs!$Q516+Calcs!$R516))</f>
        <v>0</v>
      </c>
      <c r="O113" s="7">
        <f>IF($BL113&lt;&gt;"Yes",0,Calcs!AI569*(1+Calcs!$Q516+Calcs!$R516))</f>
        <v>0</v>
      </c>
      <c r="P113" s="7">
        <f>IF($BL113&lt;&gt;"Yes",0,Calcs!AJ569*(1+Calcs!$Q516+Calcs!$R516))</f>
        <v>0</v>
      </c>
      <c r="Q113" s="7">
        <f>IF($BL113&lt;&gt;"Yes",0,Calcs!AK569*(1+Calcs!$Q516+Calcs!$R516))</f>
        <v>0</v>
      </c>
      <c r="R113" s="7">
        <f>IF($BL113&lt;&gt;"Yes",0,Calcs!AL569*(1+Calcs!$Q516+Calcs!$R516))</f>
        <v>0</v>
      </c>
      <c r="S113" s="7">
        <f>IF($BL113&lt;&gt;"Yes",0,Calcs!AM569*(1+Calcs!$Q516+Calcs!$R516))</f>
        <v>0</v>
      </c>
      <c r="T113" s="7">
        <f>IF($BL113&lt;&gt;"Yes",0,Calcs!AN569*(1+Calcs!$Q516+Calcs!$R516))</f>
        <v>0</v>
      </c>
      <c r="U113" s="7">
        <f>IF($BL113&lt;&gt;"Yes",0,Calcs!AO569*(1+Calcs!$Q516+Calcs!$R516))</f>
        <v>0</v>
      </c>
      <c r="V113" s="7">
        <f>IF($BL113&lt;&gt;"Yes",0,Calcs!AP569*(1+Calcs!$Q516+Calcs!$R516))</f>
        <v>0</v>
      </c>
      <c r="W113" s="7">
        <f>IF($BL113&lt;&gt;"Yes",0,Calcs!AQ569*(1+Calcs!$Q516+Calcs!$R516))</f>
        <v>0</v>
      </c>
      <c r="X113" s="7">
        <f>IF($BL113&lt;&gt;"Yes",0,Calcs!AR569*(1+Calcs!$Q516+Calcs!$R516))</f>
        <v>0</v>
      </c>
      <c r="Y113" s="7">
        <f>IF($BL113&lt;&gt;"Yes",0,Calcs!AS569*(1+Calcs!$Q516+Calcs!$R516))</f>
        <v>0</v>
      </c>
      <c r="Z113" s="7">
        <f>IF($BL113&lt;&gt;"Yes",0,Calcs!AT569*(1+Calcs!$Q516+Calcs!$R516))</f>
        <v>0</v>
      </c>
      <c r="AA113" s="7">
        <f>IF($BL113&lt;&gt;"Yes",0,Calcs!AU569*(1+Calcs!$Q516+Calcs!$R516))</f>
        <v>0</v>
      </c>
      <c r="AB113" s="7">
        <f>IF($BL113&lt;&gt;"Yes",0,Calcs!AV569*(1+Calcs!$Q516+Calcs!$R516))</f>
        <v>0</v>
      </c>
      <c r="AC113" s="7">
        <f>IF($BL113&lt;&gt;"Yes",0,Calcs!AW569*(1+Calcs!$Q516+Calcs!$R516))</f>
        <v>0</v>
      </c>
      <c r="AD113" s="7">
        <f>IF($BL113&lt;&gt;"Yes",0,Calcs!AX569*(1+Calcs!$Q516+Calcs!$R516))</f>
        <v>0</v>
      </c>
      <c r="AE113" s="7">
        <f>IF($BL113&lt;&gt;"Yes",0,Calcs!AY569*(1+Calcs!$Q516+Calcs!$R516))</f>
        <v>0</v>
      </c>
      <c r="AF113" s="7">
        <f>IF($BL113&lt;&gt;"Yes",0,Calcs!AZ569*(1+Calcs!$Q516+Calcs!$R516))</f>
        <v>0</v>
      </c>
      <c r="AG113" s="7">
        <f>IF($BL113&lt;&gt;"Yes",0,Calcs!BA569*(1+Calcs!$Q516+Calcs!$R516))</f>
        <v>0</v>
      </c>
      <c r="AH113" s="7">
        <f>IF($BL113&lt;&gt;"Yes",0,Calcs!BB569*(1+Calcs!$Q516+Calcs!$R516))</f>
        <v>0</v>
      </c>
      <c r="AI113" s="7">
        <f>IF($BL113&lt;&gt;"Yes",0,Calcs!BC569*(1+Calcs!$Q516+Calcs!$R516))</f>
        <v>0</v>
      </c>
      <c r="AJ113" s="7">
        <f>IF($BL113&lt;&gt;"Yes",0,Calcs!BD569*(1+Calcs!$Q516+Calcs!$R516))</f>
        <v>0</v>
      </c>
      <c r="AK113" s="7">
        <f>IF($BL113&lt;&gt;"Yes",0,Calcs!BE569*(1+Calcs!$Q516+Calcs!$R516))</f>
        <v>0</v>
      </c>
      <c r="AL113" s="7">
        <f>IF($BL113&lt;&gt;"Yes",0,Calcs!BF569*(1+Calcs!$Q516+Calcs!$R516))</f>
        <v>0</v>
      </c>
      <c r="AM113" s="7">
        <f>IF($BL113&lt;&gt;"Yes",0,Calcs!BG569*(1+Calcs!$Q516+Calcs!$R516))</f>
        <v>0</v>
      </c>
      <c r="AN113" s="7">
        <f>IF($BL113&lt;&gt;"Yes",0,Calcs!BH569*(1+Calcs!$Q516+Calcs!$R516))</f>
        <v>0</v>
      </c>
      <c r="AO113" s="7">
        <f>IF($BL113&lt;&gt;"Yes",0,Calcs!BI569*(1+Calcs!$Q516+Calcs!$R516))</f>
        <v>0</v>
      </c>
      <c r="AP113" s="7">
        <f>IF($BL113&lt;&gt;"Yes",0,Calcs!BJ569*(1+Calcs!$Q516+Calcs!$R516))</f>
        <v>0</v>
      </c>
      <c r="AQ113" s="7">
        <f>IF($BL113&lt;&gt;"Yes",0,Calcs!BK569*(1+Calcs!$Q516+Calcs!$R516))</f>
        <v>0</v>
      </c>
      <c r="AR113" s="7">
        <f>IF($BL113&lt;&gt;"Yes",0,Calcs!BL569*(1+Calcs!$Q516+Calcs!$R516))</f>
        <v>0</v>
      </c>
      <c r="AS113" s="7">
        <f>IF($BL113&lt;&gt;"Yes",0,Calcs!BM569*(1+Calcs!$Q516+Calcs!$R516))</f>
        <v>0</v>
      </c>
      <c r="AT113" s="7">
        <f>IF($BL113&lt;&gt;"Yes",0,Calcs!BN569*(1+Calcs!$Q516+Calcs!$R516))</f>
        <v>0</v>
      </c>
      <c r="AU113" s="7">
        <f>IF($BL113&lt;&gt;"Yes",0,Calcs!BO569*(1+Calcs!$Q516+Calcs!$R516))</f>
        <v>0</v>
      </c>
      <c r="AV113" s="7">
        <f>IF($BL113&lt;&gt;"Yes",0,Calcs!BP569*(1+Calcs!$Q516+Calcs!$R516))</f>
        <v>0</v>
      </c>
      <c r="AW113" s="7">
        <f>IF($BL113&lt;&gt;"Yes",0,Calcs!BQ569*(1+Calcs!$Q516+Calcs!$R516))</f>
        <v>0</v>
      </c>
      <c r="AX113" s="7">
        <f>IF($BL113&lt;&gt;"Yes",0,Calcs!BR569*(1+Calcs!$Q516+Calcs!$R516))</f>
        <v>0</v>
      </c>
      <c r="AY113" s="7">
        <f>IF($BL113&lt;&gt;"Yes",0,Calcs!BS569*(1+Calcs!$Q516+Calcs!$R516))</f>
        <v>0</v>
      </c>
      <c r="AZ113" s="7">
        <f>IF($BL113&lt;&gt;"Yes",0,Calcs!BT569*(1+Calcs!$Q516+Calcs!$R516))</f>
        <v>0</v>
      </c>
      <c r="BA113" s="7">
        <f>IF($BL113&lt;&gt;"Yes",0,Calcs!BU569*(1+Calcs!$Q516+Calcs!$R516))</f>
        <v>0</v>
      </c>
      <c r="BB113" s="7">
        <f>IF($BL113&lt;&gt;"Yes",0,Calcs!BV569*(1+Calcs!$Q516+Calcs!$R516))</f>
        <v>0</v>
      </c>
      <c r="BC113" s="7">
        <f>IF($BL113&lt;&gt;"Yes",0,Calcs!BW569*(1+Calcs!$Q516+Calcs!$R516))</f>
        <v>0</v>
      </c>
      <c r="BD113" s="7">
        <f>IF($BL113&lt;&gt;"Yes",0,Calcs!BX569*(1+Calcs!$Q516+Calcs!$R516))</f>
        <v>0</v>
      </c>
      <c r="BE113" s="7">
        <f>IF($BL113&lt;&gt;"Yes",0,Calcs!BY569*(1+Calcs!$Q516+Calcs!$R516))</f>
        <v>0</v>
      </c>
      <c r="BF113" s="7">
        <f>IF($BL113&lt;&gt;"Yes",0,Calcs!BZ569*(1+Calcs!$Q516+Calcs!$R516))</f>
        <v>0</v>
      </c>
      <c r="BG113" s="7">
        <f>IF($BL113&lt;&gt;"Yes",0,Calcs!CA569*(1+Calcs!$Q516+Calcs!$R516))</f>
        <v>0</v>
      </c>
      <c r="BH113" s="7">
        <f>IF($BL113&lt;&gt;"Yes",0,Calcs!CB569*(1+Calcs!$Q516+Calcs!$R516))</f>
        <v>0</v>
      </c>
      <c r="BI113" s="7">
        <f>IF($BL113&lt;&gt;"Yes",0,Calcs!CC569*(1+Calcs!$Q516+Calcs!$R516))</f>
        <v>0</v>
      </c>
      <c r="BJ113" s="7">
        <f>IF($BL113&lt;&gt;"Yes",0,Calcs!CD569*(1+Calcs!$Q516+Calcs!$R516))</f>
        <v>0</v>
      </c>
    </row>
    <row r="114" spans="1:62" s="5" customFormat="1" ht="13" hidden="1" customHeight="1" x14ac:dyDescent="0.3">
      <c r="A114" s="6" t="str">
        <f>IF(AND(Calcs!S570&lt;&gt;"",Calcs!S570&lt;&gt;0),Calcs!S570,"Personnel "&amp;Calcs!Q570)</f>
        <v xml:space="preserve">Personnel </v>
      </c>
      <c r="B114" s="6" t="str">
        <f>IF(AND(Calcs!T570&lt;&gt;"",Calcs!T570&lt;&gt;0),Calcs!T570,"Personnel "&amp;Calcs!R570)</f>
        <v>Personnel 19</v>
      </c>
      <c r="C114" s="7">
        <f>IF($BL114&lt;&gt;"Yes",0,Calcs!W570*(1+Calcs!$Q517+Calcs!$R517))</f>
        <v>0</v>
      </c>
      <c r="D114" s="7">
        <f>IF($BL114&lt;&gt;"Yes",0,Calcs!X570*(1+Calcs!$Q517+Calcs!$R517))</f>
        <v>0</v>
      </c>
      <c r="E114" s="7">
        <f>IF($BL114&lt;&gt;"Yes",0,Calcs!Y570*(1+Calcs!$Q517+Calcs!$R517))</f>
        <v>0</v>
      </c>
      <c r="F114" s="7">
        <f>IF($BL114&lt;&gt;"Yes",0,Calcs!Z570*(1+Calcs!$Q517+Calcs!$R517))</f>
        <v>0</v>
      </c>
      <c r="G114" s="7">
        <f>IF($BL114&lt;&gt;"Yes",0,Calcs!AA570*(1+Calcs!$Q517+Calcs!$R517))</f>
        <v>0</v>
      </c>
      <c r="H114" s="40"/>
      <c r="I114" s="7">
        <f>IF($BL114&lt;&gt;"Yes",0,Calcs!AC570*(1+Calcs!$Q517+Calcs!$R517))</f>
        <v>0</v>
      </c>
      <c r="J114" s="7">
        <f>IF($BL114&lt;&gt;"Yes",0,Calcs!AD570*(1+Calcs!$Q517+Calcs!$R517))</f>
        <v>0</v>
      </c>
      <c r="K114" s="7">
        <f>IF($BL114&lt;&gt;"Yes",0,Calcs!AE570*(1+Calcs!$Q517+Calcs!$R517))</f>
        <v>0</v>
      </c>
      <c r="L114" s="7">
        <f>IF($BL114&lt;&gt;"Yes",0,Calcs!AF570*(1+Calcs!$Q517+Calcs!$R517))</f>
        <v>0</v>
      </c>
      <c r="M114" s="7">
        <f>IF($BL114&lt;&gt;"Yes",0,Calcs!AG570*(1+Calcs!$Q517+Calcs!$R517))</f>
        <v>0</v>
      </c>
      <c r="N114" s="7">
        <f>IF($BL114&lt;&gt;"Yes",0,Calcs!AH570*(1+Calcs!$Q517+Calcs!$R517))</f>
        <v>0</v>
      </c>
      <c r="O114" s="7">
        <f>IF($BL114&lt;&gt;"Yes",0,Calcs!AI570*(1+Calcs!$Q517+Calcs!$R517))</f>
        <v>0</v>
      </c>
      <c r="P114" s="7">
        <f>IF($BL114&lt;&gt;"Yes",0,Calcs!AJ570*(1+Calcs!$Q517+Calcs!$R517))</f>
        <v>0</v>
      </c>
      <c r="Q114" s="7">
        <f>IF($BL114&lt;&gt;"Yes",0,Calcs!AK570*(1+Calcs!$Q517+Calcs!$R517))</f>
        <v>0</v>
      </c>
      <c r="R114" s="7">
        <f>IF($BL114&lt;&gt;"Yes",0,Calcs!AL570*(1+Calcs!$Q517+Calcs!$R517))</f>
        <v>0</v>
      </c>
      <c r="S114" s="7">
        <f>IF($BL114&lt;&gt;"Yes",0,Calcs!AM570*(1+Calcs!$Q517+Calcs!$R517))</f>
        <v>0</v>
      </c>
      <c r="T114" s="7">
        <f>IF($BL114&lt;&gt;"Yes",0,Calcs!AN570*(1+Calcs!$Q517+Calcs!$R517))</f>
        <v>0</v>
      </c>
      <c r="U114" s="7">
        <f>IF($BL114&lt;&gt;"Yes",0,Calcs!AO570*(1+Calcs!$Q517+Calcs!$R517))</f>
        <v>0</v>
      </c>
      <c r="V114" s="7">
        <f>IF($BL114&lt;&gt;"Yes",0,Calcs!AP570*(1+Calcs!$Q517+Calcs!$R517))</f>
        <v>0</v>
      </c>
      <c r="W114" s="7">
        <f>IF($BL114&lt;&gt;"Yes",0,Calcs!AQ570*(1+Calcs!$Q517+Calcs!$R517))</f>
        <v>0</v>
      </c>
      <c r="X114" s="7">
        <f>IF($BL114&lt;&gt;"Yes",0,Calcs!AR570*(1+Calcs!$Q517+Calcs!$R517))</f>
        <v>0</v>
      </c>
      <c r="Y114" s="7">
        <f>IF($BL114&lt;&gt;"Yes",0,Calcs!AS570*(1+Calcs!$Q517+Calcs!$R517))</f>
        <v>0</v>
      </c>
      <c r="Z114" s="7">
        <f>IF($BL114&lt;&gt;"Yes",0,Calcs!AT570*(1+Calcs!$Q517+Calcs!$R517))</f>
        <v>0</v>
      </c>
      <c r="AA114" s="7">
        <f>IF($BL114&lt;&gt;"Yes",0,Calcs!AU570*(1+Calcs!$Q517+Calcs!$R517))</f>
        <v>0</v>
      </c>
      <c r="AB114" s="7">
        <f>IF($BL114&lt;&gt;"Yes",0,Calcs!AV570*(1+Calcs!$Q517+Calcs!$R517))</f>
        <v>0</v>
      </c>
      <c r="AC114" s="7">
        <f>IF($BL114&lt;&gt;"Yes",0,Calcs!AW570*(1+Calcs!$Q517+Calcs!$R517))</f>
        <v>0</v>
      </c>
      <c r="AD114" s="7">
        <f>IF($BL114&lt;&gt;"Yes",0,Calcs!AX570*(1+Calcs!$Q517+Calcs!$R517))</f>
        <v>0</v>
      </c>
      <c r="AE114" s="7">
        <f>IF($BL114&lt;&gt;"Yes",0,Calcs!AY570*(1+Calcs!$Q517+Calcs!$R517))</f>
        <v>0</v>
      </c>
      <c r="AF114" s="7">
        <f>IF($BL114&lt;&gt;"Yes",0,Calcs!AZ570*(1+Calcs!$Q517+Calcs!$R517))</f>
        <v>0</v>
      </c>
      <c r="AG114" s="7">
        <f>IF($BL114&lt;&gt;"Yes",0,Calcs!BA570*(1+Calcs!$Q517+Calcs!$R517))</f>
        <v>0</v>
      </c>
      <c r="AH114" s="7">
        <f>IF($BL114&lt;&gt;"Yes",0,Calcs!BB570*(1+Calcs!$Q517+Calcs!$R517))</f>
        <v>0</v>
      </c>
      <c r="AI114" s="7">
        <f>IF($BL114&lt;&gt;"Yes",0,Calcs!BC570*(1+Calcs!$Q517+Calcs!$R517))</f>
        <v>0</v>
      </c>
      <c r="AJ114" s="7">
        <f>IF($BL114&lt;&gt;"Yes",0,Calcs!BD570*(1+Calcs!$Q517+Calcs!$R517))</f>
        <v>0</v>
      </c>
      <c r="AK114" s="7">
        <f>IF($BL114&lt;&gt;"Yes",0,Calcs!BE570*(1+Calcs!$Q517+Calcs!$R517))</f>
        <v>0</v>
      </c>
      <c r="AL114" s="7">
        <f>IF($BL114&lt;&gt;"Yes",0,Calcs!BF570*(1+Calcs!$Q517+Calcs!$R517))</f>
        <v>0</v>
      </c>
      <c r="AM114" s="7">
        <f>IF($BL114&lt;&gt;"Yes",0,Calcs!BG570*(1+Calcs!$Q517+Calcs!$R517))</f>
        <v>0</v>
      </c>
      <c r="AN114" s="7">
        <f>IF($BL114&lt;&gt;"Yes",0,Calcs!BH570*(1+Calcs!$Q517+Calcs!$R517))</f>
        <v>0</v>
      </c>
      <c r="AO114" s="7">
        <f>IF($BL114&lt;&gt;"Yes",0,Calcs!BI570*(1+Calcs!$Q517+Calcs!$R517))</f>
        <v>0</v>
      </c>
      <c r="AP114" s="7">
        <f>IF($BL114&lt;&gt;"Yes",0,Calcs!BJ570*(1+Calcs!$Q517+Calcs!$R517))</f>
        <v>0</v>
      </c>
      <c r="AQ114" s="7">
        <f>IF($BL114&lt;&gt;"Yes",0,Calcs!BK570*(1+Calcs!$Q517+Calcs!$R517))</f>
        <v>0</v>
      </c>
      <c r="AR114" s="7">
        <f>IF($BL114&lt;&gt;"Yes",0,Calcs!BL570*(1+Calcs!$Q517+Calcs!$R517))</f>
        <v>0</v>
      </c>
      <c r="AS114" s="7">
        <f>IF($BL114&lt;&gt;"Yes",0,Calcs!BM570*(1+Calcs!$Q517+Calcs!$R517))</f>
        <v>0</v>
      </c>
      <c r="AT114" s="7">
        <f>IF($BL114&lt;&gt;"Yes",0,Calcs!BN570*(1+Calcs!$Q517+Calcs!$R517))</f>
        <v>0</v>
      </c>
      <c r="AU114" s="7">
        <f>IF($BL114&lt;&gt;"Yes",0,Calcs!BO570*(1+Calcs!$Q517+Calcs!$R517))</f>
        <v>0</v>
      </c>
      <c r="AV114" s="7">
        <f>IF($BL114&lt;&gt;"Yes",0,Calcs!BP570*(1+Calcs!$Q517+Calcs!$R517))</f>
        <v>0</v>
      </c>
      <c r="AW114" s="7">
        <f>IF($BL114&lt;&gt;"Yes",0,Calcs!BQ570*(1+Calcs!$Q517+Calcs!$R517))</f>
        <v>0</v>
      </c>
      <c r="AX114" s="7">
        <f>IF($BL114&lt;&gt;"Yes",0,Calcs!BR570*(1+Calcs!$Q517+Calcs!$R517))</f>
        <v>0</v>
      </c>
      <c r="AY114" s="7">
        <f>IF($BL114&lt;&gt;"Yes",0,Calcs!BS570*(1+Calcs!$Q517+Calcs!$R517))</f>
        <v>0</v>
      </c>
      <c r="AZ114" s="7">
        <f>IF($BL114&lt;&gt;"Yes",0,Calcs!BT570*(1+Calcs!$Q517+Calcs!$R517))</f>
        <v>0</v>
      </c>
      <c r="BA114" s="7">
        <f>IF($BL114&lt;&gt;"Yes",0,Calcs!BU570*(1+Calcs!$Q517+Calcs!$R517))</f>
        <v>0</v>
      </c>
      <c r="BB114" s="7">
        <f>IF($BL114&lt;&gt;"Yes",0,Calcs!BV570*(1+Calcs!$Q517+Calcs!$R517))</f>
        <v>0</v>
      </c>
      <c r="BC114" s="7">
        <f>IF($BL114&lt;&gt;"Yes",0,Calcs!BW570*(1+Calcs!$Q517+Calcs!$R517))</f>
        <v>0</v>
      </c>
      <c r="BD114" s="7">
        <f>IF($BL114&lt;&gt;"Yes",0,Calcs!BX570*(1+Calcs!$Q517+Calcs!$R517))</f>
        <v>0</v>
      </c>
      <c r="BE114" s="7">
        <f>IF($BL114&lt;&gt;"Yes",0,Calcs!BY570*(1+Calcs!$Q517+Calcs!$R517))</f>
        <v>0</v>
      </c>
      <c r="BF114" s="7">
        <f>IF($BL114&lt;&gt;"Yes",0,Calcs!BZ570*(1+Calcs!$Q517+Calcs!$R517))</f>
        <v>0</v>
      </c>
      <c r="BG114" s="7">
        <f>IF($BL114&lt;&gt;"Yes",0,Calcs!CA570*(1+Calcs!$Q517+Calcs!$R517))</f>
        <v>0</v>
      </c>
      <c r="BH114" s="7">
        <f>IF($BL114&lt;&gt;"Yes",0,Calcs!CB570*(1+Calcs!$Q517+Calcs!$R517))</f>
        <v>0</v>
      </c>
      <c r="BI114" s="7">
        <f>IF($BL114&lt;&gt;"Yes",0,Calcs!CC570*(1+Calcs!$Q517+Calcs!$R517))</f>
        <v>0</v>
      </c>
      <c r="BJ114" s="7">
        <f>IF($BL114&lt;&gt;"Yes",0,Calcs!CD570*(1+Calcs!$Q517+Calcs!$R517))</f>
        <v>0</v>
      </c>
    </row>
    <row r="115" spans="1:62" s="5" customFormat="1" ht="13" hidden="1" customHeight="1" x14ac:dyDescent="0.3">
      <c r="A115" s="6" t="str">
        <f>IF(AND(Calcs!S571&lt;&gt;"",Calcs!S571&lt;&gt;0),Calcs!S571,"Personnel "&amp;Calcs!Q571)</f>
        <v xml:space="preserve">Personnel </v>
      </c>
      <c r="B115" s="6" t="str">
        <f>IF(AND(Calcs!T571&lt;&gt;"",Calcs!T571&lt;&gt;0),Calcs!T571,"Personnel "&amp;Calcs!R571)</f>
        <v>Personnel 20</v>
      </c>
      <c r="C115" s="7">
        <f>IF($BL115&lt;&gt;"Yes",0,Calcs!W571*(1+Calcs!$Q518+Calcs!$R518))</f>
        <v>0</v>
      </c>
      <c r="D115" s="7">
        <f>IF($BL115&lt;&gt;"Yes",0,Calcs!X571*(1+Calcs!$Q518+Calcs!$R518))</f>
        <v>0</v>
      </c>
      <c r="E115" s="7">
        <f>IF($BL115&lt;&gt;"Yes",0,Calcs!Y571*(1+Calcs!$Q518+Calcs!$R518))</f>
        <v>0</v>
      </c>
      <c r="F115" s="7">
        <f>IF($BL115&lt;&gt;"Yes",0,Calcs!Z571*(1+Calcs!$Q518+Calcs!$R518))</f>
        <v>0</v>
      </c>
      <c r="G115" s="7">
        <f>IF($BL115&lt;&gt;"Yes",0,Calcs!AA571*(1+Calcs!$Q518+Calcs!$R518))</f>
        <v>0</v>
      </c>
      <c r="H115" s="40"/>
      <c r="I115" s="7">
        <f>IF($BL115&lt;&gt;"Yes",0,Calcs!AC571*(1+Calcs!$Q518+Calcs!$R518))</f>
        <v>0</v>
      </c>
      <c r="J115" s="7">
        <f>IF($BL115&lt;&gt;"Yes",0,Calcs!AD571*(1+Calcs!$Q518+Calcs!$R518))</f>
        <v>0</v>
      </c>
      <c r="K115" s="7">
        <f>IF($BL115&lt;&gt;"Yes",0,Calcs!AE571*(1+Calcs!$Q518+Calcs!$R518))</f>
        <v>0</v>
      </c>
      <c r="L115" s="7">
        <f>IF($BL115&lt;&gt;"Yes",0,Calcs!AF571*(1+Calcs!$Q518+Calcs!$R518))</f>
        <v>0</v>
      </c>
      <c r="M115" s="7">
        <f>IF($BL115&lt;&gt;"Yes",0,Calcs!AG571*(1+Calcs!$Q518+Calcs!$R518))</f>
        <v>0</v>
      </c>
      <c r="N115" s="7">
        <f>IF($BL115&lt;&gt;"Yes",0,Calcs!AH571*(1+Calcs!$Q518+Calcs!$R518))</f>
        <v>0</v>
      </c>
      <c r="O115" s="7">
        <f>IF($BL115&lt;&gt;"Yes",0,Calcs!AI571*(1+Calcs!$Q518+Calcs!$R518))</f>
        <v>0</v>
      </c>
      <c r="P115" s="7">
        <f>IF($BL115&lt;&gt;"Yes",0,Calcs!AJ571*(1+Calcs!$Q518+Calcs!$R518))</f>
        <v>0</v>
      </c>
      <c r="Q115" s="7">
        <f>IF($BL115&lt;&gt;"Yes",0,Calcs!AK571*(1+Calcs!$Q518+Calcs!$R518))</f>
        <v>0</v>
      </c>
      <c r="R115" s="7">
        <f>IF($BL115&lt;&gt;"Yes",0,Calcs!AL571*(1+Calcs!$Q518+Calcs!$R518))</f>
        <v>0</v>
      </c>
      <c r="S115" s="7">
        <f>IF($BL115&lt;&gt;"Yes",0,Calcs!AM571*(1+Calcs!$Q518+Calcs!$R518))</f>
        <v>0</v>
      </c>
      <c r="T115" s="7">
        <f>IF($BL115&lt;&gt;"Yes",0,Calcs!AN571*(1+Calcs!$Q518+Calcs!$R518))</f>
        <v>0</v>
      </c>
      <c r="U115" s="7">
        <f>IF($BL115&lt;&gt;"Yes",0,Calcs!AO571*(1+Calcs!$Q518+Calcs!$R518))</f>
        <v>0</v>
      </c>
      <c r="V115" s="7">
        <f>IF($BL115&lt;&gt;"Yes",0,Calcs!AP571*(1+Calcs!$Q518+Calcs!$R518))</f>
        <v>0</v>
      </c>
      <c r="W115" s="7">
        <f>IF($BL115&lt;&gt;"Yes",0,Calcs!AQ571*(1+Calcs!$Q518+Calcs!$R518))</f>
        <v>0</v>
      </c>
      <c r="X115" s="7">
        <f>IF($BL115&lt;&gt;"Yes",0,Calcs!AR571*(1+Calcs!$Q518+Calcs!$R518))</f>
        <v>0</v>
      </c>
      <c r="Y115" s="7">
        <f>IF($BL115&lt;&gt;"Yes",0,Calcs!AS571*(1+Calcs!$Q518+Calcs!$R518))</f>
        <v>0</v>
      </c>
      <c r="Z115" s="7">
        <f>IF($BL115&lt;&gt;"Yes",0,Calcs!AT571*(1+Calcs!$Q518+Calcs!$R518))</f>
        <v>0</v>
      </c>
      <c r="AA115" s="7">
        <f>IF($BL115&lt;&gt;"Yes",0,Calcs!AU571*(1+Calcs!$Q518+Calcs!$R518))</f>
        <v>0</v>
      </c>
      <c r="AB115" s="7">
        <f>IF($BL115&lt;&gt;"Yes",0,Calcs!AV571*(1+Calcs!$Q518+Calcs!$R518))</f>
        <v>0</v>
      </c>
      <c r="AC115" s="7">
        <f>IF($BL115&lt;&gt;"Yes",0,Calcs!AW571*(1+Calcs!$Q518+Calcs!$R518))</f>
        <v>0</v>
      </c>
      <c r="AD115" s="7">
        <f>IF($BL115&lt;&gt;"Yes",0,Calcs!AX571*(1+Calcs!$Q518+Calcs!$R518))</f>
        <v>0</v>
      </c>
      <c r="AE115" s="7">
        <f>IF($BL115&lt;&gt;"Yes",0,Calcs!AY571*(1+Calcs!$Q518+Calcs!$R518))</f>
        <v>0</v>
      </c>
      <c r="AF115" s="7">
        <f>IF($BL115&lt;&gt;"Yes",0,Calcs!AZ571*(1+Calcs!$Q518+Calcs!$R518))</f>
        <v>0</v>
      </c>
      <c r="AG115" s="7">
        <f>IF($BL115&lt;&gt;"Yes",0,Calcs!BA571*(1+Calcs!$Q518+Calcs!$R518))</f>
        <v>0</v>
      </c>
      <c r="AH115" s="7">
        <f>IF($BL115&lt;&gt;"Yes",0,Calcs!BB571*(1+Calcs!$Q518+Calcs!$R518))</f>
        <v>0</v>
      </c>
      <c r="AI115" s="7">
        <f>IF($BL115&lt;&gt;"Yes",0,Calcs!BC571*(1+Calcs!$Q518+Calcs!$R518))</f>
        <v>0</v>
      </c>
      <c r="AJ115" s="7">
        <f>IF($BL115&lt;&gt;"Yes",0,Calcs!BD571*(1+Calcs!$Q518+Calcs!$R518))</f>
        <v>0</v>
      </c>
      <c r="AK115" s="7">
        <f>IF($BL115&lt;&gt;"Yes",0,Calcs!BE571*(1+Calcs!$Q518+Calcs!$R518))</f>
        <v>0</v>
      </c>
      <c r="AL115" s="7">
        <f>IF($BL115&lt;&gt;"Yes",0,Calcs!BF571*(1+Calcs!$Q518+Calcs!$R518))</f>
        <v>0</v>
      </c>
      <c r="AM115" s="7">
        <f>IF($BL115&lt;&gt;"Yes",0,Calcs!BG571*(1+Calcs!$Q518+Calcs!$R518))</f>
        <v>0</v>
      </c>
      <c r="AN115" s="7">
        <f>IF($BL115&lt;&gt;"Yes",0,Calcs!BH571*(1+Calcs!$Q518+Calcs!$R518))</f>
        <v>0</v>
      </c>
      <c r="AO115" s="7">
        <f>IF($BL115&lt;&gt;"Yes",0,Calcs!BI571*(1+Calcs!$Q518+Calcs!$R518))</f>
        <v>0</v>
      </c>
      <c r="AP115" s="7">
        <f>IF($BL115&lt;&gt;"Yes",0,Calcs!BJ571*(1+Calcs!$Q518+Calcs!$R518))</f>
        <v>0</v>
      </c>
      <c r="AQ115" s="7">
        <f>IF($BL115&lt;&gt;"Yes",0,Calcs!BK571*(1+Calcs!$Q518+Calcs!$R518))</f>
        <v>0</v>
      </c>
      <c r="AR115" s="7">
        <f>IF($BL115&lt;&gt;"Yes",0,Calcs!BL571*(1+Calcs!$Q518+Calcs!$R518))</f>
        <v>0</v>
      </c>
      <c r="AS115" s="7">
        <f>IF($BL115&lt;&gt;"Yes",0,Calcs!BM571*(1+Calcs!$Q518+Calcs!$R518))</f>
        <v>0</v>
      </c>
      <c r="AT115" s="7">
        <f>IF($BL115&lt;&gt;"Yes",0,Calcs!BN571*(1+Calcs!$Q518+Calcs!$R518))</f>
        <v>0</v>
      </c>
      <c r="AU115" s="7">
        <f>IF($BL115&lt;&gt;"Yes",0,Calcs!BO571*(1+Calcs!$Q518+Calcs!$R518))</f>
        <v>0</v>
      </c>
      <c r="AV115" s="7">
        <f>IF($BL115&lt;&gt;"Yes",0,Calcs!BP571*(1+Calcs!$Q518+Calcs!$R518))</f>
        <v>0</v>
      </c>
      <c r="AW115" s="7">
        <f>IF($BL115&lt;&gt;"Yes",0,Calcs!BQ571*(1+Calcs!$Q518+Calcs!$R518))</f>
        <v>0</v>
      </c>
      <c r="AX115" s="7">
        <f>IF($BL115&lt;&gt;"Yes",0,Calcs!BR571*(1+Calcs!$Q518+Calcs!$R518))</f>
        <v>0</v>
      </c>
      <c r="AY115" s="7">
        <f>IF($BL115&lt;&gt;"Yes",0,Calcs!BS571*(1+Calcs!$Q518+Calcs!$R518))</f>
        <v>0</v>
      </c>
      <c r="AZ115" s="7">
        <f>IF($BL115&lt;&gt;"Yes",0,Calcs!BT571*(1+Calcs!$Q518+Calcs!$R518))</f>
        <v>0</v>
      </c>
      <c r="BA115" s="7">
        <f>IF($BL115&lt;&gt;"Yes",0,Calcs!BU571*(1+Calcs!$Q518+Calcs!$R518))</f>
        <v>0</v>
      </c>
      <c r="BB115" s="7">
        <f>IF($BL115&lt;&gt;"Yes",0,Calcs!BV571*(1+Calcs!$Q518+Calcs!$R518))</f>
        <v>0</v>
      </c>
      <c r="BC115" s="7">
        <f>IF($BL115&lt;&gt;"Yes",0,Calcs!BW571*(1+Calcs!$Q518+Calcs!$R518))</f>
        <v>0</v>
      </c>
      <c r="BD115" s="7">
        <f>IF($BL115&lt;&gt;"Yes",0,Calcs!BX571*(1+Calcs!$Q518+Calcs!$R518))</f>
        <v>0</v>
      </c>
      <c r="BE115" s="7">
        <f>IF($BL115&lt;&gt;"Yes",0,Calcs!BY571*(1+Calcs!$Q518+Calcs!$R518))</f>
        <v>0</v>
      </c>
      <c r="BF115" s="7">
        <f>IF($BL115&lt;&gt;"Yes",0,Calcs!BZ571*(1+Calcs!$Q518+Calcs!$R518))</f>
        <v>0</v>
      </c>
      <c r="BG115" s="7">
        <f>IF($BL115&lt;&gt;"Yes",0,Calcs!CA571*(1+Calcs!$Q518+Calcs!$R518))</f>
        <v>0</v>
      </c>
      <c r="BH115" s="7">
        <f>IF($BL115&lt;&gt;"Yes",0,Calcs!CB571*(1+Calcs!$Q518+Calcs!$R518))</f>
        <v>0</v>
      </c>
      <c r="BI115" s="7">
        <f>IF($BL115&lt;&gt;"Yes",0,Calcs!CC571*(1+Calcs!$Q518+Calcs!$R518))</f>
        <v>0</v>
      </c>
      <c r="BJ115" s="7">
        <f>IF($BL115&lt;&gt;"Yes",0,Calcs!CD571*(1+Calcs!$Q518+Calcs!$R518))</f>
        <v>0</v>
      </c>
    </row>
    <row r="116" spans="1:62" s="5" customFormat="1" ht="13" hidden="1" customHeight="1" x14ac:dyDescent="0.3">
      <c r="A116" s="6" t="str">
        <f>IF(AND(Calcs!S572&lt;&gt;"",Calcs!S572&lt;&gt;0),Calcs!S572,"Personnel "&amp;Calcs!Q572)</f>
        <v xml:space="preserve">Personnel </v>
      </c>
      <c r="B116" s="6" t="str">
        <f>IF(AND(Calcs!T572&lt;&gt;"",Calcs!T572&lt;&gt;0),Calcs!T572,"Personnel "&amp;Calcs!R572)</f>
        <v>Personnel 21</v>
      </c>
      <c r="C116" s="7">
        <f>IF($BL116&lt;&gt;"Yes",0,Calcs!W572*(1+Calcs!$Q519+Calcs!$R519))</f>
        <v>0</v>
      </c>
      <c r="D116" s="7">
        <f>IF($BL116&lt;&gt;"Yes",0,Calcs!X572*(1+Calcs!$Q519+Calcs!$R519))</f>
        <v>0</v>
      </c>
      <c r="E116" s="7">
        <f>IF($BL116&lt;&gt;"Yes",0,Calcs!Y572*(1+Calcs!$Q519+Calcs!$R519))</f>
        <v>0</v>
      </c>
      <c r="F116" s="7">
        <f>IF($BL116&lt;&gt;"Yes",0,Calcs!Z572*(1+Calcs!$Q519+Calcs!$R519))</f>
        <v>0</v>
      </c>
      <c r="G116" s="7">
        <f>IF($BL116&lt;&gt;"Yes",0,Calcs!AA572*(1+Calcs!$Q519+Calcs!$R519))</f>
        <v>0</v>
      </c>
      <c r="H116" s="40"/>
      <c r="I116" s="7">
        <f>IF($BL116&lt;&gt;"Yes",0,Calcs!AC572*(1+Calcs!$Q519+Calcs!$R519))</f>
        <v>0</v>
      </c>
      <c r="J116" s="7">
        <f>IF($BL116&lt;&gt;"Yes",0,Calcs!AD572*(1+Calcs!$Q519+Calcs!$R519))</f>
        <v>0</v>
      </c>
      <c r="K116" s="7">
        <f>IF($BL116&lt;&gt;"Yes",0,Calcs!AE572*(1+Calcs!$Q519+Calcs!$R519))</f>
        <v>0</v>
      </c>
      <c r="L116" s="7">
        <f>IF($BL116&lt;&gt;"Yes",0,Calcs!AF572*(1+Calcs!$Q519+Calcs!$R519))</f>
        <v>0</v>
      </c>
      <c r="M116" s="7">
        <f>IF($BL116&lt;&gt;"Yes",0,Calcs!AG572*(1+Calcs!$Q519+Calcs!$R519))</f>
        <v>0</v>
      </c>
      <c r="N116" s="7">
        <f>IF($BL116&lt;&gt;"Yes",0,Calcs!AH572*(1+Calcs!$Q519+Calcs!$R519))</f>
        <v>0</v>
      </c>
      <c r="O116" s="7">
        <f>IF($BL116&lt;&gt;"Yes",0,Calcs!AI572*(1+Calcs!$Q519+Calcs!$R519))</f>
        <v>0</v>
      </c>
      <c r="P116" s="7">
        <f>IF($BL116&lt;&gt;"Yes",0,Calcs!AJ572*(1+Calcs!$Q519+Calcs!$R519))</f>
        <v>0</v>
      </c>
      <c r="Q116" s="7">
        <f>IF($BL116&lt;&gt;"Yes",0,Calcs!AK572*(1+Calcs!$Q519+Calcs!$R519))</f>
        <v>0</v>
      </c>
      <c r="R116" s="7">
        <f>IF($BL116&lt;&gt;"Yes",0,Calcs!AL572*(1+Calcs!$Q519+Calcs!$R519))</f>
        <v>0</v>
      </c>
      <c r="S116" s="7">
        <f>IF($BL116&lt;&gt;"Yes",0,Calcs!AM572*(1+Calcs!$Q519+Calcs!$R519))</f>
        <v>0</v>
      </c>
      <c r="T116" s="7">
        <f>IF($BL116&lt;&gt;"Yes",0,Calcs!AN572*(1+Calcs!$Q519+Calcs!$R519))</f>
        <v>0</v>
      </c>
      <c r="U116" s="7">
        <f>IF($BL116&lt;&gt;"Yes",0,Calcs!AO572*(1+Calcs!$Q519+Calcs!$R519))</f>
        <v>0</v>
      </c>
      <c r="V116" s="7">
        <f>IF($BL116&lt;&gt;"Yes",0,Calcs!AP572*(1+Calcs!$Q519+Calcs!$R519))</f>
        <v>0</v>
      </c>
      <c r="W116" s="7">
        <f>IF($BL116&lt;&gt;"Yes",0,Calcs!AQ572*(1+Calcs!$Q519+Calcs!$R519))</f>
        <v>0</v>
      </c>
      <c r="X116" s="7">
        <f>IF($BL116&lt;&gt;"Yes",0,Calcs!AR572*(1+Calcs!$Q519+Calcs!$R519))</f>
        <v>0</v>
      </c>
      <c r="Y116" s="7">
        <f>IF($BL116&lt;&gt;"Yes",0,Calcs!AS572*(1+Calcs!$Q519+Calcs!$R519))</f>
        <v>0</v>
      </c>
      <c r="Z116" s="7">
        <f>IF($BL116&lt;&gt;"Yes",0,Calcs!AT572*(1+Calcs!$Q519+Calcs!$R519))</f>
        <v>0</v>
      </c>
      <c r="AA116" s="7">
        <f>IF($BL116&lt;&gt;"Yes",0,Calcs!AU572*(1+Calcs!$Q519+Calcs!$R519))</f>
        <v>0</v>
      </c>
      <c r="AB116" s="7">
        <f>IF($BL116&lt;&gt;"Yes",0,Calcs!AV572*(1+Calcs!$Q519+Calcs!$R519))</f>
        <v>0</v>
      </c>
      <c r="AC116" s="7">
        <f>IF($BL116&lt;&gt;"Yes",0,Calcs!AW572*(1+Calcs!$Q519+Calcs!$R519))</f>
        <v>0</v>
      </c>
      <c r="AD116" s="7">
        <f>IF($BL116&lt;&gt;"Yes",0,Calcs!AX572*(1+Calcs!$Q519+Calcs!$R519))</f>
        <v>0</v>
      </c>
      <c r="AE116" s="7">
        <f>IF($BL116&lt;&gt;"Yes",0,Calcs!AY572*(1+Calcs!$Q519+Calcs!$R519))</f>
        <v>0</v>
      </c>
      <c r="AF116" s="7">
        <f>IF($BL116&lt;&gt;"Yes",0,Calcs!AZ572*(1+Calcs!$Q519+Calcs!$R519))</f>
        <v>0</v>
      </c>
      <c r="AG116" s="7">
        <f>IF($BL116&lt;&gt;"Yes",0,Calcs!BA572*(1+Calcs!$Q519+Calcs!$R519))</f>
        <v>0</v>
      </c>
      <c r="AH116" s="7">
        <f>IF($BL116&lt;&gt;"Yes",0,Calcs!BB572*(1+Calcs!$Q519+Calcs!$R519))</f>
        <v>0</v>
      </c>
      <c r="AI116" s="7">
        <f>IF($BL116&lt;&gt;"Yes",0,Calcs!BC572*(1+Calcs!$Q519+Calcs!$R519))</f>
        <v>0</v>
      </c>
      <c r="AJ116" s="7">
        <f>IF($BL116&lt;&gt;"Yes",0,Calcs!BD572*(1+Calcs!$Q519+Calcs!$R519))</f>
        <v>0</v>
      </c>
      <c r="AK116" s="7">
        <f>IF($BL116&lt;&gt;"Yes",0,Calcs!BE572*(1+Calcs!$Q519+Calcs!$R519))</f>
        <v>0</v>
      </c>
      <c r="AL116" s="7">
        <f>IF($BL116&lt;&gt;"Yes",0,Calcs!BF572*(1+Calcs!$Q519+Calcs!$R519))</f>
        <v>0</v>
      </c>
      <c r="AM116" s="7">
        <f>IF($BL116&lt;&gt;"Yes",0,Calcs!BG572*(1+Calcs!$Q519+Calcs!$R519))</f>
        <v>0</v>
      </c>
      <c r="AN116" s="7">
        <f>IF($BL116&lt;&gt;"Yes",0,Calcs!BH572*(1+Calcs!$Q519+Calcs!$R519))</f>
        <v>0</v>
      </c>
      <c r="AO116" s="7">
        <f>IF($BL116&lt;&gt;"Yes",0,Calcs!BI572*(1+Calcs!$Q519+Calcs!$R519))</f>
        <v>0</v>
      </c>
      <c r="AP116" s="7">
        <f>IF($BL116&lt;&gt;"Yes",0,Calcs!BJ572*(1+Calcs!$Q519+Calcs!$R519))</f>
        <v>0</v>
      </c>
      <c r="AQ116" s="7">
        <f>IF($BL116&lt;&gt;"Yes",0,Calcs!BK572*(1+Calcs!$Q519+Calcs!$R519))</f>
        <v>0</v>
      </c>
      <c r="AR116" s="7">
        <f>IF($BL116&lt;&gt;"Yes",0,Calcs!BL572*(1+Calcs!$Q519+Calcs!$R519))</f>
        <v>0</v>
      </c>
      <c r="AS116" s="7">
        <f>IF($BL116&lt;&gt;"Yes",0,Calcs!BM572*(1+Calcs!$Q519+Calcs!$R519))</f>
        <v>0</v>
      </c>
      <c r="AT116" s="7">
        <f>IF($BL116&lt;&gt;"Yes",0,Calcs!BN572*(1+Calcs!$Q519+Calcs!$R519))</f>
        <v>0</v>
      </c>
      <c r="AU116" s="7">
        <f>IF($BL116&lt;&gt;"Yes",0,Calcs!BO572*(1+Calcs!$Q519+Calcs!$R519))</f>
        <v>0</v>
      </c>
      <c r="AV116" s="7">
        <f>IF($BL116&lt;&gt;"Yes",0,Calcs!BP572*(1+Calcs!$Q519+Calcs!$R519))</f>
        <v>0</v>
      </c>
      <c r="AW116" s="7">
        <f>IF($BL116&lt;&gt;"Yes",0,Calcs!BQ572*(1+Calcs!$Q519+Calcs!$R519))</f>
        <v>0</v>
      </c>
      <c r="AX116" s="7">
        <f>IF($BL116&lt;&gt;"Yes",0,Calcs!BR572*(1+Calcs!$Q519+Calcs!$R519))</f>
        <v>0</v>
      </c>
      <c r="AY116" s="7">
        <f>IF($BL116&lt;&gt;"Yes",0,Calcs!BS572*(1+Calcs!$Q519+Calcs!$R519))</f>
        <v>0</v>
      </c>
      <c r="AZ116" s="7">
        <f>IF($BL116&lt;&gt;"Yes",0,Calcs!BT572*(1+Calcs!$Q519+Calcs!$R519))</f>
        <v>0</v>
      </c>
      <c r="BA116" s="7">
        <f>IF($BL116&lt;&gt;"Yes",0,Calcs!BU572*(1+Calcs!$Q519+Calcs!$R519))</f>
        <v>0</v>
      </c>
      <c r="BB116" s="7">
        <f>IF($BL116&lt;&gt;"Yes",0,Calcs!BV572*(1+Calcs!$Q519+Calcs!$R519))</f>
        <v>0</v>
      </c>
      <c r="BC116" s="7">
        <f>IF($BL116&lt;&gt;"Yes",0,Calcs!BW572*(1+Calcs!$Q519+Calcs!$R519))</f>
        <v>0</v>
      </c>
      <c r="BD116" s="7">
        <f>IF($BL116&lt;&gt;"Yes",0,Calcs!BX572*(1+Calcs!$Q519+Calcs!$R519))</f>
        <v>0</v>
      </c>
      <c r="BE116" s="7">
        <f>IF($BL116&lt;&gt;"Yes",0,Calcs!BY572*(1+Calcs!$Q519+Calcs!$R519))</f>
        <v>0</v>
      </c>
      <c r="BF116" s="7">
        <f>IF($BL116&lt;&gt;"Yes",0,Calcs!BZ572*(1+Calcs!$Q519+Calcs!$R519))</f>
        <v>0</v>
      </c>
      <c r="BG116" s="7">
        <f>IF($BL116&lt;&gt;"Yes",0,Calcs!CA572*(1+Calcs!$Q519+Calcs!$R519))</f>
        <v>0</v>
      </c>
      <c r="BH116" s="7">
        <f>IF($BL116&lt;&gt;"Yes",0,Calcs!CB572*(1+Calcs!$Q519+Calcs!$R519))</f>
        <v>0</v>
      </c>
      <c r="BI116" s="7">
        <f>IF($BL116&lt;&gt;"Yes",0,Calcs!CC572*(1+Calcs!$Q519+Calcs!$R519))</f>
        <v>0</v>
      </c>
      <c r="BJ116" s="7">
        <f>IF($BL116&lt;&gt;"Yes",0,Calcs!CD572*(1+Calcs!$Q519+Calcs!$R519))</f>
        <v>0</v>
      </c>
    </row>
    <row r="117" spans="1:62" s="5" customFormat="1" ht="13" hidden="1" customHeight="1" x14ac:dyDescent="0.3">
      <c r="A117" s="6" t="str">
        <f>IF(AND(Calcs!S573&lt;&gt;"",Calcs!S573&lt;&gt;0),Calcs!S573,"Personnel "&amp;Calcs!Q573)</f>
        <v xml:space="preserve">Personnel </v>
      </c>
      <c r="B117" s="6" t="str">
        <f>IF(AND(Calcs!T573&lt;&gt;"",Calcs!T573&lt;&gt;0),Calcs!T573,"Personnel "&amp;Calcs!R573)</f>
        <v>Personnel 22</v>
      </c>
      <c r="C117" s="7">
        <f>IF($BL117&lt;&gt;"Yes",0,Calcs!W573*(1+Calcs!$Q520+Calcs!$R520))</f>
        <v>0</v>
      </c>
      <c r="D117" s="7">
        <f>IF($BL117&lt;&gt;"Yes",0,Calcs!X573*(1+Calcs!$Q520+Calcs!$R520))</f>
        <v>0</v>
      </c>
      <c r="E117" s="7">
        <f>IF($BL117&lt;&gt;"Yes",0,Calcs!Y573*(1+Calcs!$Q520+Calcs!$R520))</f>
        <v>0</v>
      </c>
      <c r="F117" s="7">
        <f>IF($BL117&lt;&gt;"Yes",0,Calcs!Z573*(1+Calcs!$Q520+Calcs!$R520))</f>
        <v>0</v>
      </c>
      <c r="G117" s="7">
        <f>IF($BL117&lt;&gt;"Yes",0,Calcs!AA573*(1+Calcs!$Q520+Calcs!$R520))</f>
        <v>0</v>
      </c>
      <c r="H117" s="40"/>
      <c r="I117" s="7">
        <f>IF($BL117&lt;&gt;"Yes",0,Calcs!AC573*(1+Calcs!$Q520+Calcs!$R520))</f>
        <v>0</v>
      </c>
      <c r="J117" s="7">
        <f>IF($BL117&lt;&gt;"Yes",0,Calcs!AD573*(1+Calcs!$Q520+Calcs!$R520))</f>
        <v>0</v>
      </c>
      <c r="K117" s="7">
        <f>IF($BL117&lt;&gt;"Yes",0,Calcs!AE573*(1+Calcs!$Q520+Calcs!$R520))</f>
        <v>0</v>
      </c>
      <c r="L117" s="7">
        <f>IF($BL117&lt;&gt;"Yes",0,Calcs!AF573*(1+Calcs!$Q520+Calcs!$R520))</f>
        <v>0</v>
      </c>
      <c r="M117" s="7">
        <f>IF($BL117&lt;&gt;"Yes",0,Calcs!AG573*(1+Calcs!$Q520+Calcs!$R520))</f>
        <v>0</v>
      </c>
      <c r="N117" s="7">
        <f>IF($BL117&lt;&gt;"Yes",0,Calcs!AH573*(1+Calcs!$Q520+Calcs!$R520))</f>
        <v>0</v>
      </c>
      <c r="O117" s="7">
        <f>IF($BL117&lt;&gt;"Yes",0,Calcs!AI573*(1+Calcs!$Q520+Calcs!$R520))</f>
        <v>0</v>
      </c>
      <c r="P117" s="7">
        <f>IF($BL117&lt;&gt;"Yes",0,Calcs!AJ573*(1+Calcs!$Q520+Calcs!$R520))</f>
        <v>0</v>
      </c>
      <c r="Q117" s="7">
        <f>IF($BL117&lt;&gt;"Yes",0,Calcs!AK573*(1+Calcs!$Q520+Calcs!$R520))</f>
        <v>0</v>
      </c>
      <c r="R117" s="7">
        <f>IF($BL117&lt;&gt;"Yes",0,Calcs!AL573*(1+Calcs!$Q520+Calcs!$R520))</f>
        <v>0</v>
      </c>
      <c r="S117" s="7">
        <f>IF($BL117&lt;&gt;"Yes",0,Calcs!AM573*(1+Calcs!$Q520+Calcs!$R520))</f>
        <v>0</v>
      </c>
      <c r="T117" s="7">
        <f>IF($BL117&lt;&gt;"Yes",0,Calcs!AN573*(1+Calcs!$Q520+Calcs!$R520))</f>
        <v>0</v>
      </c>
      <c r="U117" s="7">
        <f>IF($BL117&lt;&gt;"Yes",0,Calcs!AO573*(1+Calcs!$Q520+Calcs!$R520))</f>
        <v>0</v>
      </c>
      <c r="V117" s="7">
        <f>IF($BL117&lt;&gt;"Yes",0,Calcs!AP573*(1+Calcs!$Q520+Calcs!$R520))</f>
        <v>0</v>
      </c>
      <c r="W117" s="7">
        <f>IF($BL117&lt;&gt;"Yes",0,Calcs!AQ573*(1+Calcs!$Q520+Calcs!$R520))</f>
        <v>0</v>
      </c>
      <c r="X117" s="7">
        <f>IF($BL117&lt;&gt;"Yes",0,Calcs!AR573*(1+Calcs!$Q520+Calcs!$R520))</f>
        <v>0</v>
      </c>
      <c r="Y117" s="7">
        <f>IF($BL117&lt;&gt;"Yes",0,Calcs!AS573*(1+Calcs!$Q520+Calcs!$R520))</f>
        <v>0</v>
      </c>
      <c r="Z117" s="7">
        <f>IF($BL117&lt;&gt;"Yes",0,Calcs!AT573*(1+Calcs!$Q520+Calcs!$R520))</f>
        <v>0</v>
      </c>
      <c r="AA117" s="7">
        <f>IF($BL117&lt;&gt;"Yes",0,Calcs!AU573*(1+Calcs!$Q520+Calcs!$R520))</f>
        <v>0</v>
      </c>
      <c r="AB117" s="7">
        <f>IF($BL117&lt;&gt;"Yes",0,Calcs!AV573*(1+Calcs!$Q520+Calcs!$R520))</f>
        <v>0</v>
      </c>
      <c r="AC117" s="7">
        <f>IF($BL117&lt;&gt;"Yes",0,Calcs!AW573*(1+Calcs!$Q520+Calcs!$R520))</f>
        <v>0</v>
      </c>
      <c r="AD117" s="7">
        <f>IF($BL117&lt;&gt;"Yes",0,Calcs!AX573*(1+Calcs!$Q520+Calcs!$R520))</f>
        <v>0</v>
      </c>
      <c r="AE117" s="7">
        <f>IF($BL117&lt;&gt;"Yes",0,Calcs!AY573*(1+Calcs!$Q520+Calcs!$R520))</f>
        <v>0</v>
      </c>
      <c r="AF117" s="7">
        <f>IF($BL117&lt;&gt;"Yes",0,Calcs!AZ573*(1+Calcs!$Q520+Calcs!$R520))</f>
        <v>0</v>
      </c>
      <c r="AG117" s="7">
        <f>IF($BL117&lt;&gt;"Yes",0,Calcs!BA573*(1+Calcs!$Q520+Calcs!$R520))</f>
        <v>0</v>
      </c>
      <c r="AH117" s="7">
        <f>IF($BL117&lt;&gt;"Yes",0,Calcs!BB573*(1+Calcs!$Q520+Calcs!$R520))</f>
        <v>0</v>
      </c>
      <c r="AI117" s="7">
        <f>IF($BL117&lt;&gt;"Yes",0,Calcs!BC573*(1+Calcs!$Q520+Calcs!$R520))</f>
        <v>0</v>
      </c>
      <c r="AJ117" s="7">
        <f>IF($BL117&lt;&gt;"Yes",0,Calcs!BD573*(1+Calcs!$Q520+Calcs!$R520))</f>
        <v>0</v>
      </c>
      <c r="AK117" s="7">
        <f>IF($BL117&lt;&gt;"Yes",0,Calcs!BE573*(1+Calcs!$Q520+Calcs!$R520))</f>
        <v>0</v>
      </c>
      <c r="AL117" s="7">
        <f>IF($BL117&lt;&gt;"Yes",0,Calcs!BF573*(1+Calcs!$Q520+Calcs!$R520))</f>
        <v>0</v>
      </c>
      <c r="AM117" s="7">
        <f>IF($BL117&lt;&gt;"Yes",0,Calcs!BG573*(1+Calcs!$Q520+Calcs!$R520))</f>
        <v>0</v>
      </c>
      <c r="AN117" s="7">
        <f>IF($BL117&lt;&gt;"Yes",0,Calcs!BH573*(1+Calcs!$Q520+Calcs!$R520))</f>
        <v>0</v>
      </c>
      <c r="AO117" s="7">
        <f>IF($BL117&lt;&gt;"Yes",0,Calcs!BI573*(1+Calcs!$Q520+Calcs!$R520))</f>
        <v>0</v>
      </c>
      <c r="AP117" s="7">
        <f>IF($BL117&lt;&gt;"Yes",0,Calcs!BJ573*(1+Calcs!$Q520+Calcs!$R520))</f>
        <v>0</v>
      </c>
      <c r="AQ117" s="7">
        <f>IF($BL117&lt;&gt;"Yes",0,Calcs!BK573*(1+Calcs!$Q520+Calcs!$R520))</f>
        <v>0</v>
      </c>
      <c r="AR117" s="7">
        <f>IF($BL117&lt;&gt;"Yes",0,Calcs!BL573*(1+Calcs!$Q520+Calcs!$R520))</f>
        <v>0</v>
      </c>
      <c r="AS117" s="7">
        <f>IF($BL117&lt;&gt;"Yes",0,Calcs!BM573*(1+Calcs!$Q520+Calcs!$R520))</f>
        <v>0</v>
      </c>
      <c r="AT117" s="7">
        <f>IF($BL117&lt;&gt;"Yes",0,Calcs!BN573*(1+Calcs!$Q520+Calcs!$R520))</f>
        <v>0</v>
      </c>
      <c r="AU117" s="7">
        <f>IF($BL117&lt;&gt;"Yes",0,Calcs!BO573*(1+Calcs!$Q520+Calcs!$R520))</f>
        <v>0</v>
      </c>
      <c r="AV117" s="7">
        <f>IF($BL117&lt;&gt;"Yes",0,Calcs!BP573*(1+Calcs!$Q520+Calcs!$R520))</f>
        <v>0</v>
      </c>
      <c r="AW117" s="7">
        <f>IF($BL117&lt;&gt;"Yes",0,Calcs!BQ573*(1+Calcs!$Q520+Calcs!$R520))</f>
        <v>0</v>
      </c>
      <c r="AX117" s="7">
        <f>IF($BL117&lt;&gt;"Yes",0,Calcs!BR573*(1+Calcs!$Q520+Calcs!$R520))</f>
        <v>0</v>
      </c>
      <c r="AY117" s="7">
        <f>IF($BL117&lt;&gt;"Yes",0,Calcs!BS573*(1+Calcs!$Q520+Calcs!$R520))</f>
        <v>0</v>
      </c>
      <c r="AZ117" s="7">
        <f>IF($BL117&lt;&gt;"Yes",0,Calcs!BT573*(1+Calcs!$Q520+Calcs!$R520))</f>
        <v>0</v>
      </c>
      <c r="BA117" s="7">
        <f>IF($BL117&lt;&gt;"Yes",0,Calcs!BU573*(1+Calcs!$Q520+Calcs!$R520))</f>
        <v>0</v>
      </c>
      <c r="BB117" s="7">
        <f>IF($BL117&lt;&gt;"Yes",0,Calcs!BV573*(1+Calcs!$Q520+Calcs!$R520))</f>
        <v>0</v>
      </c>
      <c r="BC117" s="7">
        <f>IF($BL117&lt;&gt;"Yes",0,Calcs!BW573*(1+Calcs!$Q520+Calcs!$R520))</f>
        <v>0</v>
      </c>
      <c r="BD117" s="7">
        <f>IF($BL117&lt;&gt;"Yes",0,Calcs!BX573*(1+Calcs!$Q520+Calcs!$R520))</f>
        <v>0</v>
      </c>
      <c r="BE117" s="7">
        <f>IF($BL117&lt;&gt;"Yes",0,Calcs!BY573*(1+Calcs!$Q520+Calcs!$R520))</f>
        <v>0</v>
      </c>
      <c r="BF117" s="7">
        <f>IF($BL117&lt;&gt;"Yes",0,Calcs!BZ573*(1+Calcs!$Q520+Calcs!$R520))</f>
        <v>0</v>
      </c>
      <c r="BG117" s="7">
        <f>IF($BL117&lt;&gt;"Yes",0,Calcs!CA573*(1+Calcs!$Q520+Calcs!$R520))</f>
        <v>0</v>
      </c>
      <c r="BH117" s="7">
        <f>IF($BL117&lt;&gt;"Yes",0,Calcs!CB573*(1+Calcs!$Q520+Calcs!$R520))</f>
        <v>0</v>
      </c>
      <c r="BI117" s="7">
        <f>IF($BL117&lt;&gt;"Yes",0,Calcs!CC573*(1+Calcs!$Q520+Calcs!$R520))</f>
        <v>0</v>
      </c>
      <c r="BJ117" s="7">
        <f>IF($BL117&lt;&gt;"Yes",0,Calcs!CD573*(1+Calcs!$Q520+Calcs!$R520))</f>
        <v>0</v>
      </c>
    </row>
    <row r="118" spans="1:62" s="5" customFormat="1" ht="13" hidden="1" customHeight="1" x14ac:dyDescent="0.3">
      <c r="A118" s="6" t="str">
        <f>IF(AND(Calcs!S574&lt;&gt;"",Calcs!S574&lt;&gt;0),Calcs!S574,"Personnel "&amp;Calcs!Q574)</f>
        <v xml:space="preserve">Personnel </v>
      </c>
      <c r="B118" s="6" t="str">
        <f>IF(AND(Calcs!T574&lt;&gt;"",Calcs!T574&lt;&gt;0),Calcs!T574,"Personnel "&amp;Calcs!R574)</f>
        <v>Personnel 23</v>
      </c>
      <c r="C118" s="7">
        <f>IF($BL118&lt;&gt;"Yes",0,Calcs!W574*(1+Calcs!$Q521+Calcs!$R521))</f>
        <v>0</v>
      </c>
      <c r="D118" s="7">
        <f>IF($BL118&lt;&gt;"Yes",0,Calcs!X574*(1+Calcs!$Q521+Calcs!$R521))</f>
        <v>0</v>
      </c>
      <c r="E118" s="7">
        <f>IF($BL118&lt;&gt;"Yes",0,Calcs!Y574*(1+Calcs!$Q521+Calcs!$R521))</f>
        <v>0</v>
      </c>
      <c r="F118" s="7">
        <f>IF($BL118&lt;&gt;"Yes",0,Calcs!Z574*(1+Calcs!$Q521+Calcs!$R521))</f>
        <v>0</v>
      </c>
      <c r="G118" s="7">
        <f>IF($BL118&lt;&gt;"Yes",0,Calcs!AA574*(1+Calcs!$Q521+Calcs!$R521))</f>
        <v>0</v>
      </c>
      <c r="H118" s="40"/>
      <c r="I118" s="7">
        <f>IF($BL118&lt;&gt;"Yes",0,Calcs!AC574*(1+Calcs!$Q521+Calcs!$R521))</f>
        <v>0</v>
      </c>
      <c r="J118" s="7">
        <f>IF($BL118&lt;&gt;"Yes",0,Calcs!AD574*(1+Calcs!$Q521+Calcs!$R521))</f>
        <v>0</v>
      </c>
      <c r="K118" s="7">
        <f>IF($BL118&lt;&gt;"Yes",0,Calcs!AE574*(1+Calcs!$Q521+Calcs!$R521))</f>
        <v>0</v>
      </c>
      <c r="L118" s="7">
        <f>IF($BL118&lt;&gt;"Yes",0,Calcs!AF574*(1+Calcs!$Q521+Calcs!$R521))</f>
        <v>0</v>
      </c>
      <c r="M118" s="7">
        <f>IF($BL118&lt;&gt;"Yes",0,Calcs!AG574*(1+Calcs!$Q521+Calcs!$R521))</f>
        <v>0</v>
      </c>
      <c r="N118" s="7">
        <f>IF($BL118&lt;&gt;"Yes",0,Calcs!AH574*(1+Calcs!$Q521+Calcs!$R521))</f>
        <v>0</v>
      </c>
      <c r="O118" s="7">
        <f>IF($BL118&lt;&gt;"Yes",0,Calcs!AI574*(1+Calcs!$Q521+Calcs!$R521))</f>
        <v>0</v>
      </c>
      <c r="P118" s="7">
        <f>IF($BL118&lt;&gt;"Yes",0,Calcs!AJ574*(1+Calcs!$Q521+Calcs!$R521))</f>
        <v>0</v>
      </c>
      <c r="Q118" s="7">
        <f>IF($BL118&lt;&gt;"Yes",0,Calcs!AK574*(1+Calcs!$Q521+Calcs!$R521))</f>
        <v>0</v>
      </c>
      <c r="R118" s="7">
        <f>IF($BL118&lt;&gt;"Yes",0,Calcs!AL574*(1+Calcs!$Q521+Calcs!$R521))</f>
        <v>0</v>
      </c>
      <c r="S118" s="7">
        <f>IF($BL118&lt;&gt;"Yes",0,Calcs!AM574*(1+Calcs!$Q521+Calcs!$R521))</f>
        <v>0</v>
      </c>
      <c r="T118" s="7">
        <f>IF($BL118&lt;&gt;"Yes",0,Calcs!AN574*(1+Calcs!$Q521+Calcs!$R521))</f>
        <v>0</v>
      </c>
      <c r="U118" s="7">
        <f>IF($BL118&lt;&gt;"Yes",0,Calcs!AO574*(1+Calcs!$Q521+Calcs!$R521))</f>
        <v>0</v>
      </c>
      <c r="V118" s="7">
        <f>IF($BL118&lt;&gt;"Yes",0,Calcs!AP574*(1+Calcs!$Q521+Calcs!$R521))</f>
        <v>0</v>
      </c>
      <c r="W118" s="7">
        <f>IF($BL118&lt;&gt;"Yes",0,Calcs!AQ574*(1+Calcs!$Q521+Calcs!$R521))</f>
        <v>0</v>
      </c>
      <c r="X118" s="7">
        <f>IF($BL118&lt;&gt;"Yes",0,Calcs!AR574*(1+Calcs!$Q521+Calcs!$R521))</f>
        <v>0</v>
      </c>
      <c r="Y118" s="7">
        <f>IF($BL118&lt;&gt;"Yes",0,Calcs!AS574*(1+Calcs!$Q521+Calcs!$R521))</f>
        <v>0</v>
      </c>
      <c r="Z118" s="7">
        <f>IF($BL118&lt;&gt;"Yes",0,Calcs!AT574*(1+Calcs!$Q521+Calcs!$R521))</f>
        <v>0</v>
      </c>
      <c r="AA118" s="7">
        <f>IF($BL118&lt;&gt;"Yes",0,Calcs!AU574*(1+Calcs!$Q521+Calcs!$R521))</f>
        <v>0</v>
      </c>
      <c r="AB118" s="7">
        <f>IF($BL118&lt;&gt;"Yes",0,Calcs!AV574*(1+Calcs!$Q521+Calcs!$R521))</f>
        <v>0</v>
      </c>
      <c r="AC118" s="7">
        <f>IF($BL118&lt;&gt;"Yes",0,Calcs!AW574*(1+Calcs!$Q521+Calcs!$R521))</f>
        <v>0</v>
      </c>
      <c r="AD118" s="7">
        <f>IF($BL118&lt;&gt;"Yes",0,Calcs!AX574*(1+Calcs!$Q521+Calcs!$R521))</f>
        <v>0</v>
      </c>
      <c r="AE118" s="7">
        <f>IF($BL118&lt;&gt;"Yes",0,Calcs!AY574*(1+Calcs!$Q521+Calcs!$R521))</f>
        <v>0</v>
      </c>
      <c r="AF118" s="7">
        <f>IF($BL118&lt;&gt;"Yes",0,Calcs!AZ574*(1+Calcs!$Q521+Calcs!$R521))</f>
        <v>0</v>
      </c>
      <c r="AG118" s="7">
        <f>IF($BL118&lt;&gt;"Yes",0,Calcs!BA574*(1+Calcs!$Q521+Calcs!$R521))</f>
        <v>0</v>
      </c>
      <c r="AH118" s="7">
        <f>IF($BL118&lt;&gt;"Yes",0,Calcs!BB574*(1+Calcs!$Q521+Calcs!$R521))</f>
        <v>0</v>
      </c>
      <c r="AI118" s="7">
        <f>IF($BL118&lt;&gt;"Yes",0,Calcs!BC574*(1+Calcs!$Q521+Calcs!$R521))</f>
        <v>0</v>
      </c>
      <c r="AJ118" s="7">
        <f>IF($BL118&lt;&gt;"Yes",0,Calcs!BD574*(1+Calcs!$Q521+Calcs!$R521))</f>
        <v>0</v>
      </c>
      <c r="AK118" s="7">
        <f>IF($BL118&lt;&gt;"Yes",0,Calcs!BE574*(1+Calcs!$Q521+Calcs!$R521))</f>
        <v>0</v>
      </c>
      <c r="AL118" s="7">
        <f>IF($BL118&lt;&gt;"Yes",0,Calcs!BF574*(1+Calcs!$Q521+Calcs!$R521))</f>
        <v>0</v>
      </c>
      <c r="AM118" s="7">
        <f>IF($BL118&lt;&gt;"Yes",0,Calcs!BG574*(1+Calcs!$Q521+Calcs!$R521))</f>
        <v>0</v>
      </c>
      <c r="AN118" s="7">
        <f>IF($BL118&lt;&gt;"Yes",0,Calcs!BH574*(1+Calcs!$Q521+Calcs!$R521))</f>
        <v>0</v>
      </c>
      <c r="AO118" s="7">
        <f>IF($BL118&lt;&gt;"Yes",0,Calcs!BI574*(1+Calcs!$Q521+Calcs!$R521))</f>
        <v>0</v>
      </c>
      <c r="AP118" s="7">
        <f>IF($BL118&lt;&gt;"Yes",0,Calcs!BJ574*(1+Calcs!$Q521+Calcs!$R521))</f>
        <v>0</v>
      </c>
      <c r="AQ118" s="7">
        <f>IF($BL118&lt;&gt;"Yes",0,Calcs!BK574*(1+Calcs!$Q521+Calcs!$R521))</f>
        <v>0</v>
      </c>
      <c r="AR118" s="7">
        <f>IF($BL118&lt;&gt;"Yes",0,Calcs!BL574*(1+Calcs!$Q521+Calcs!$R521))</f>
        <v>0</v>
      </c>
      <c r="AS118" s="7">
        <f>IF($BL118&lt;&gt;"Yes",0,Calcs!BM574*(1+Calcs!$Q521+Calcs!$R521))</f>
        <v>0</v>
      </c>
      <c r="AT118" s="7">
        <f>IF($BL118&lt;&gt;"Yes",0,Calcs!BN574*(1+Calcs!$Q521+Calcs!$R521))</f>
        <v>0</v>
      </c>
      <c r="AU118" s="7">
        <f>IF($BL118&lt;&gt;"Yes",0,Calcs!BO574*(1+Calcs!$Q521+Calcs!$R521))</f>
        <v>0</v>
      </c>
      <c r="AV118" s="7">
        <f>IF($BL118&lt;&gt;"Yes",0,Calcs!BP574*(1+Calcs!$Q521+Calcs!$R521))</f>
        <v>0</v>
      </c>
      <c r="AW118" s="7">
        <f>IF($BL118&lt;&gt;"Yes",0,Calcs!BQ574*(1+Calcs!$Q521+Calcs!$R521))</f>
        <v>0</v>
      </c>
      <c r="AX118" s="7">
        <f>IF($BL118&lt;&gt;"Yes",0,Calcs!BR574*(1+Calcs!$Q521+Calcs!$R521))</f>
        <v>0</v>
      </c>
      <c r="AY118" s="7">
        <f>IF($BL118&lt;&gt;"Yes",0,Calcs!BS574*(1+Calcs!$Q521+Calcs!$R521))</f>
        <v>0</v>
      </c>
      <c r="AZ118" s="7">
        <f>IF($BL118&lt;&gt;"Yes",0,Calcs!BT574*(1+Calcs!$Q521+Calcs!$R521))</f>
        <v>0</v>
      </c>
      <c r="BA118" s="7">
        <f>IF($BL118&lt;&gt;"Yes",0,Calcs!BU574*(1+Calcs!$Q521+Calcs!$R521))</f>
        <v>0</v>
      </c>
      <c r="BB118" s="7">
        <f>IF($BL118&lt;&gt;"Yes",0,Calcs!BV574*(1+Calcs!$Q521+Calcs!$R521))</f>
        <v>0</v>
      </c>
      <c r="BC118" s="7">
        <f>IF($BL118&lt;&gt;"Yes",0,Calcs!BW574*(1+Calcs!$Q521+Calcs!$R521))</f>
        <v>0</v>
      </c>
      <c r="BD118" s="7">
        <f>IF($BL118&lt;&gt;"Yes",0,Calcs!BX574*(1+Calcs!$Q521+Calcs!$R521))</f>
        <v>0</v>
      </c>
      <c r="BE118" s="7">
        <f>IF($BL118&lt;&gt;"Yes",0,Calcs!BY574*(1+Calcs!$Q521+Calcs!$R521))</f>
        <v>0</v>
      </c>
      <c r="BF118" s="7">
        <f>IF($BL118&lt;&gt;"Yes",0,Calcs!BZ574*(1+Calcs!$Q521+Calcs!$R521))</f>
        <v>0</v>
      </c>
      <c r="BG118" s="7">
        <f>IF($BL118&lt;&gt;"Yes",0,Calcs!CA574*(1+Calcs!$Q521+Calcs!$R521))</f>
        <v>0</v>
      </c>
      <c r="BH118" s="7">
        <f>IF($BL118&lt;&gt;"Yes",0,Calcs!CB574*(1+Calcs!$Q521+Calcs!$R521))</f>
        <v>0</v>
      </c>
      <c r="BI118" s="7">
        <f>IF($BL118&lt;&gt;"Yes",0,Calcs!CC574*(1+Calcs!$Q521+Calcs!$R521))</f>
        <v>0</v>
      </c>
      <c r="BJ118" s="7">
        <f>IF($BL118&lt;&gt;"Yes",0,Calcs!CD574*(1+Calcs!$Q521+Calcs!$R521))</f>
        <v>0</v>
      </c>
    </row>
    <row r="119" spans="1:62" s="5" customFormat="1" ht="13" hidden="1" customHeight="1" x14ac:dyDescent="0.3">
      <c r="A119" s="6" t="str">
        <f>IF(AND(Calcs!S575&lt;&gt;"",Calcs!S575&lt;&gt;0),Calcs!S575,"Personnel "&amp;Calcs!Q575)</f>
        <v xml:space="preserve">Personnel </v>
      </c>
      <c r="B119" s="6" t="str">
        <f>IF(AND(Calcs!T575&lt;&gt;"",Calcs!T575&lt;&gt;0),Calcs!T575,"Personnel "&amp;Calcs!R575)</f>
        <v>Personnel 24</v>
      </c>
      <c r="C119" s="7">
        <f>IF($BL119&lt;&gt;"Yes",0,Calcs!W575*(1+Calcs!$Q522+Calcs!$R522))</f>
        <v>0</v>
      </c>
      <c r="D119" s="7">
        <f>IF($BL119&lt;&gt;"Yes",0,Calcs!X575*(1+Calcs!$Q522+Calcs!$R522))</f>
        <v>0</v>
      </c>
      <c r="E119" s="7">
        <f>IF($BL119&lt;&gt;"Yes",0,Calcs!Y575*(1+Calcs!$Q522+Calcs!$R522))</f>
        <v>0</v>
      </c>
      <c r="F119" s="7">
        <f>IF($BL119&lt;&gt;"Yes",0,Calcs!Z575*(1+Calcs!$Q522+Calcs!$R522))</f>
        <v>0</v>
      </c>
      <c r="G119" s="7">
        <f>IF($BL119&lt;&gt;"Yes",0,Calcs!AA575*(1+Calcs!$Q522+Calcs!$R522))</f>
        <v>0</v>
      </c>
      <c r="H119" s="40"/>
      <c r="I119" s="7">
        <f>IF($BL119&lt;&gt;"Yes",0,Calcs!AC575*(1+Calcs!$Q522+Calcs!$R522))</f>
        <v>0</v>
      </c>
      <c r="J119" s="7">
        <f>IF($BL119&lt;&gt;"Yes",0,Calcs!AD575*(1+Calcs!$Q522+Calcs!$R522))</f>
        <v>0</v>
      </c>
      <c r="K119" s="7">
        <f>IF($BL119&lt;&gt;"Yes",0,Calcs!AE575*(1+Calcs!$Q522+Calcs!$R522))</f>
        <v>0</v>
      </c>
      <c r="L119" s="7">
        <f>IF($BL119&lt;&gt;"Yes",0,Calcs!AF575*(1+Calcs!$Q522+Calcs!$R522))</f>
        <v>0</v>
      </c>
      <c r="M119" s="7">
        <f>IF($BL119&lt;&gt;"Yes",0,Calcs!AG575*(1+Calcs!$Q522+Calcs!$R522))</f>
        <v>0</v>
      </c>
      <c r="N119" s="7">
        <f>IF($BL119&lt;&gt;"Yes",0,Calcs!AH575*(1+Calcs!$Q522+Calcs!$R522))</f>
        <v>0</v>
      </c>
      <c r="O119" s="7">
        <f>IF($BL119&lt;&gt;"Yes",0,Calcs!AI575*(1+Calcs!$Q522+Calcs!$R522))</f>
        <v>0</v>
      </c>
      <c r="P119" s="7">
        <f>IF($BL119&lt;&gt;"Yes",0,Calcs!AJ575*(1+Calcs!$Q522+Calcs!$R522))</f>
        <v>0</v>
      </c>
      <c r="Q119" s="7">
        <f>IF($BL119&lt;&gt;"Yes",0,Calcs!AK575*(1+Calcs!$Q522+Calcs!$R522))</f>
        <v>0</v>
      </c>
      <c r="R119" s="7">
        <f>IF($BL119&lt;&gt;"Yes",0,Calcs!AL575*(1+Calcs!$Q522+Calcs!$R522))</f>
        <v>0</v>
      </c>
      <c r="S119" s="7">
        <f>IF($BL119&lt;&gt;"Yes",0,Calcs!AM575*(1+Calcs!$Q522+Calcs!$R522))</f>
        <v>0</v>
      </c>
      <c r="T119" s="7">
        <f>IF($BL119&lt;&gt;"Yes",0,Calcs!AN575*(1+Calcs!$Q522+Calcs!$R522))</f>
        <v>0</v>
      </c>
      <c r="U119" s="7">
        <f>IF($BL119&lt;&gt;"Yes",0,Calcs!AO575*(1+Calcs!$Q522+Calcs!$R522))</f>
        <v>0</v>
      </c>
      <c r="V119" s="7">
        <f>IF($BL119&lt;&gt;"Yes",0,Calcs!AP575*(1+Calcs!$Q522+Calcs!$R522))</f>
        <v>0</v>
      </c>
      <c r="W119" s="7">
        <f>IF($BL119&lt;&gt;"Yes",0,Calcs!AQ575*(1+Calcs!$Q522+Calcs!$R522))</f>
        <v>0</v>
      </c>
      <c r="X119" s="7">
        <f>IF($BL119&lt;&gt;"Yes",0,Calcs!AR575*(1+Calcs!$Q522+Calcs!$R522))</f>
        <v>0</v>
      </c>
      <c r="Y119" s="7">
        <f>IF($BL119&lt;&gt;"Yes",0,Calcs!AS575*(1+Calcs!$Q522+Calcs!$R522))</f>
        <v>0</v>
      </c>
      <c r="Z119" s="7">
        <f>IF($BL119&lt;&gt;"Yes",0,Calcs!AT575*(1+Calcs!$Q522+Calcs!$R522))</f>
        <v>0</v>
      </c>
      <c r="AA119" s="7">
        <f>IF($BL119&lt;&gt;"Yes",0,Calcs!AU575*(1+Calcs!$Q522+Calcs!$R522))</f>
        <v>0</v>
      </c>
      <c r="AB119" s="7">
        <f>IF($BL119&lt;&gt;"Yes",0,Calcs!AV575*(1+Calcs!$Q522+Calcs!$R522))</f>
        <v>0</v>
      </c>
      <c r="AC119" s="7">
        <f>IF($BL119&lt;&gt;"Yes",0,Calcs!AW575*(1+Calcs!$Q522+Calcs!$R522))</f>
        <v>0</v>
      </c>
      <c r="AD119" s="7">
        <f>IF($BL119&lt;&gt;"Yes",0,Calcs!AX575*(1+Calcs!$Q522+Calcs!$R522))</f>
        <v>0</v>
      </c>
      <c r="AE119" s="7">
        <f>IF($BL119&lt;&gt;"Yes",0,Calcs!AY575*(1+Calcs!$Q522+Calcs!$R522))</f>
        <v>0</v>
      </c>
      <c r="AF119" s="7">
        <f>IF($BL119&lt;&gt;"Yes",0,Calcs!AZ575*(1+Calcs!$Q522+Calcs!$R522))</f>
        <v>0</v>
      </c>
      <c r="AG119" s="7">
        <f>IF($BL119&lt;&gt;"Yes",0,Calcs!BA575*(1+Calcs!$Q522+Calcs!$R522))</f>
        <v>0</v>
      </c>
      <c r="AH119" s="7">
        <f>IF($BL119&lt;&gt;"Yes",0,Calcs!BB575*(1+Calcs!$Q522+Calcs!$R522))</f>
        <v>0</v>
      </c>
      <c r="AI119" s="7">
        <f>IF($BL119&lt;&gt;"Yes",0,Calcs!BC575*(1+Calcs!$Q522+Calcs!$R522))</f>
        <v>0</v>
      </c>
      <c r="AJ119" s="7">
        <f>IF($BL119&lt;&gt;"Yes",0,Calcs!BD575*(1+Calcs!$Q522+Calcs!$R522))</f>
        <v>0</v>
      </c>
      <c r="AK119" s="7">
        <f>IF($BL119&lt;&gt;"Yes",0,Calcs!BE575*(1+Calcs!$Q522+Calcs!$R522))</f>
        <v>0</v>
      </c>
      <c r="AL119" s="7">
        <f>IF($BL119&lt;&gt;"Yes",0,Calcs!BF575*(1+Calcs!$Q522+Calcs!$R522))</f>
        <v>0</v>
      </c>
      <c r="AM119" s="7">
        <f>IF($BL119&lt;&gt;"Yes",0,Calcs!BG575*(1+Calcs!$Q522+Calcs!$R522))</f>
        <v>0</v>
      </c>
      <c r="AN119" s="7">
        <f>IF($BL119&lt;&gt;"Yes",0,Calcs!BH575*(1+Calcs!$Q522+Calcs!$R522))</f>
        <v>0</v>
      </c>
      <c r="AO119" s="7">
        <f>IF($BL119&lt;&gt;"Yes",0,Calcs!BI575*(1+Calcs!$Q522+Calcs!$R522))</f>
        <v>0</v>
      </c>
      <c r="AP119" s="7">
        <f>IF($BL119&lt;&gt;"Yes",0,Calcs!BJ575*(1+Calcs!$Q522+Calcs!$R522))</f>
        <v>0</v>
      </c>
      <c r="AQ119" s="7">
        <f>IF($BL119&lt;&gt;"Yes",0,Calcs!BK575*(1+Calcs!$Q522+Calcs!$R522))</f>
        <v>0</v>
      </c>
      <c r="AR119" s="7">
        <f>IF($BL119&lt;&gt;"Yes",0,Calcs!BL575*(1+Calcs!$Q522+Calcs!$R522))</f>
        <v>0</v>
      </c>
      <c r="AS119" s="7">
        <f>IF($BL119&lt;&gt;"Yes",0,Calcs!BM575*(1+Calcs!$Q522+Calcs!$R522))</f>
        <v>0</v>
      </c>
      <c r="AT119" s="7">
        <f>IF($BL119&lt;&gt;"Yes",0,Calcs!BN575*(1+Calcs!$Q522+Calcs!$R522))</f>
        <v>0</v>
      </c>
      <c r="AU119" s="7">
        <f>IF($BL119&lt;&gt;"Yes",0,Calcs!BO575*(1+Calcs!$Q522+Calcs!$R522))</f>
        <v>0</v>
      </c>
      <c r="AV119" s="7">
        <f>IF($BL119&lt;&gt;"Yes",0,Calcs!BP575*(1+Calcs!$Q522+Calcs!$R522))</f>
        <v>0</v>
      </c>
      <c r="AW119" s="7">
        <f>IF($BL119&lt;&gt;"Yes",0,Calcs!BQ575*(1+Calcs!$Q522+Calcs!$R522))</f>
        <v>0</v>
      </c>
      <c r="AX119" s="7">
        <f>IF($BL119&lt;&gt;"Yes",0,Calcs!BR575*(1+Calcs!$Q522+Calcs!$R522))</f>
        <v>0</v>
      </c>
      <c r="AY119" s="7">
        <f>IF($BL119&lt;&gt;"Yes",0,Calcs!BS575*(1+Calcs!$Q522+Calcs!$R522))</f>
        <v>0</v>
      </c>
      <c r="AZ119" s="7">
        <f>IF($BL119&lt;&gt;"Yes",0,Calcs!BT575*(1+Calcs!$Q522+Calcs!$R522))</f>
        <v>0</v>
      </c>
      <c r="BA119" s="7">
        <f>IF($BL119&lt;&gt;"Yes",0,Calcs!BU575*(1+Calcs!$Q522+Calcs!$R522))</f>
        <v>0</v>
      </c>
      <c r="BB119" s="7">
        <f>IF($BL119&lt;&gt;"Yes",0,Calcs!BV575*(1+Calcs!$Q522+Calcs!$R522))</f>
        <v>0</v>
      </c>
      <c r="BC119" s="7">
        <f>IF($BL119&lt;&gt;"Yes",0,Calcs!BW575*(1+Calcs!$Q522+Calcs!$R522))</f>
        <v>0</v>
      </c>
      <c r="BD119" s="7">
        <f>IF($BL119&lt;&gt;"Yes",0,Calcs!BX575*(1+Calcs!$Q522+Calcs!$R522))</f>
        <v>0</v>
      </c>
      <c r="BE119" s="7">
        <f>IF($BL119&lt;&gt;"Yes",0,Calcs!BY575*(1+Calcs!$Q522+Calcs!$R522))</f>
        <v>0</v>
      </c>
      <c r="BF119" s="7">
        <f>IF($BL119&lt;&gt;"Yes",0,Calcs!BZ575*(1+Calcs!$Q522+Calcs!$R522))</f>
        <v>0</v>
      </c>
      <c r="BG119" s="7">
        <f>IF($BL119&lt;&gt;"Yes",0,Calcs!CA575*(1+Calcs!$Q522+Calcs!$R522))</f>
        <v>0</v>
      </c>
      <c r="BH119" s="7">
        <f>IF($BL119&lt;&gt;"Yes",0,Calcs!CB575*(1+Calcs!$Q522+Calcs!$R522))</f>
        <v>0</v>
      </c>
      <c r="BI119" s="7">
        <f>IF($BL119&lt;&gt;"Yes",0,Calcs!CC575*(1+Calcs!$Q522+Calcs!$R522))</f>
        <v>0</v>
      </c>
      <c r="BJ119" s="7">
        <f>IF($BL119&lt;&gt;"Yes",0,Calcs!CD575*(1+Calcs!$Q522+Calcs!$R522))</f>
        <v>0</v>
      </c>
    </row>
    <row r="120" spans="1:62" s="5" customFormat="1" ht="13" hidden="1" customHeight="1" x14ac:dyDescent="0.3">
      <c r="A120" s="6" t="str">
        <f>IF(AND(Calcs!S576&lt;&gt;"",Calcs!S576&lt;&gt;0),Calcs!S576,"Personnel "&amp;Calcs!Q576)</f>
        <v xml:space="preserve">Personnel </v>
      </c>
      <c r="B120" s="6" t="str">
        <f>IF(AND(Calcs!T576&lt;&gt;"",Calcs!T576&lt;&gt;0),Calcs!T576,"Personnel "&amp;Calcs!R576)</f>
        <v>Personnel 25</v>
      </c>
      <c r="C120" s="7">
        <f>IF($BL120&lt;&gt;"Yes",0,Calcs!W576*(1+Calcs!$Q523+Calcs!$R523))</f>
        <v>0</v>
      </c>
      <c r="D120" s="7">
        <f>IF($BL120&lt;&gt;"Yes",0,Calcs!X576*(1+Calcs!$Q523+Calcs!$R523))</f>
        <v>0</v>
      </c>
      <c r="E120" s="7">
        <f>IF($BL120&lt;&gt;"Yes",0,Calcs!Y576*(1+Calcs!$Q523+Calcs!$R523))</f>
        <v>0</v>
      </c>
      <c r="F120" s="7">
        <f>IF($BL120&lt;&gt;"Yes",0,Calcs!Z576*(1+Calcs!$Q523+Calcs!$R523))</f>
        <v>0</v>
      </c>
      <c r="G120" s="7">
        <f>IF($BL120&lt;&gt;"Yes",0,Calcs!AA576*(1+Calcs!$Q523+Calcs!$R523))</f>
        <v>0</v>
      </c>
      <c r="H120" s="40"/>
      <c r="I120" s="7">
        <f>IF($BL120&lt;&gt;"Yes",0,Calcs!AC576*(1+Calcs!$Q523+Calcs!$R523))</f>
        <v>0</v>
      </c>
      <c r="J120" s="7">
        <f>IF($BL120&lt;&gt;"Yes",0,Calcs!AD576*(1+Calcs!$Q523+Calcs!$R523))</f>
        <v>0</v>
      </c>
      <c r="K120" s="7">
        <f>IF($BL120&lt;&gt;"Yes",0,Calcs!AE576*(1+Calcs!$Q523+Calcs!$R523))</f>
        <v>0</v>
      </c>
      <c r="L120" s="7">
        <f>IF($BL120&lt;&gt;"Yes",0,Calcs!AF576*(1+Calcs!$Q523+Calcs!$R523))</f>
        <v>0</v>
      </c>
      <c r="M120" s="7">
        <f>IF($BL120&lt;&gt;"Yes",0,Calcs!AG576*(1+Calcs!$Q523+Calcs!$R523))</f>
        <v>0</v>
      </c>
      <c r="N120" s="7">
        <f>IF($BL120&lt;&gt;"Yes",0,Calcs!AH576*(1+Calcs!$Q523+Calcs!$R523))</f>
        <v>0</v>
      </c>
      <c r="O120" s="7">
        <f>IF($BL120&lt;&gt;"Yes",0,Calcs!AI576*(1+Calcs!$Q523+Calcs!$R523))</f>
        <v>0</v>
      </c>
      <c r="P120" s="7">
        <f>IF($BL120&lt;&gt;"Yes",0,Calcs!AJ576*(1+Calcs!$Q523+Calcs!$R523))</f>
        <v>0</v>
      </c>
      <c r="Q120" s="7">
        <f>IF($BL120&lt;&gt;"Yes",0,Calcs!AK576*(1+Calcs!$Q523+Calcs!$R523))</f>
        <v>0</v>
      </c>
      <c r="R120" s="7">
        <f>IF($BL120&lt;&gt;"Yes",0,Calcs!AL576*(1+Calcs!$Q523+Calcs!$R523))</f>
        <v>0</v>
      </c>
      <c r="S120" s="7">
        <f>IF($BL120&lt;&gt;"Yes",0,Calcs!AM576*(1+Calcs!$Q523+Calcs!$R523))</f>
        <v>0</v>
      </c>
      <c r="T120" s="7">
        <f>IF($BL120&lt;&gt;"Yes",0,Calcs!AN576*(1+Calcs!$Q523+Calcs!$R523))</f>
        <v>0</v>
      </c>
      <c r="U120" s="7">
        <f>IF($BL120&lt;&gt;"Yes",0,Calcs!AO576*(1+Calcs!$Q523+Calcs!$R523))</f>
        <v>0</v>
      </c>
      <c r="V120" s="7">
        <f>IF($BL120&lt;&gt;"Yes",0,Calcs!AP576*(1+Calcs!$Q523+Calcs!$R523))</f>
        <v>0</v>
      </c>
      <c r="W120" s="7">
        <f>IF($BL120&lt;&gt;"Yes",0,Calcs!AQ576*(1+Calcs!$Q523+Calcs!$R523))</f>
        <v>0</v>
      </c>
      <c r="X120" s="7">
        <f>IF($BL120&lt;&gt;"Yes",0,Calcs!AR576*(1+Calcs!$Q523+Calcs!$R523))</f>
        <v>0</v>
      </c>
      <c r="Y120" s="7">
        <f>IF($BL120&lt;&gt;"Yes",0,Calcs!AS576*(1+Calcs!$Q523+Calcs!$R523))</f>
        <v>0</v>
      </c>
      <c r="Z120" s="7">
        <f>IF($BL120&lt;&gt;"Yes",0,Calcs!AT576*(1+Calcs!$Q523+Calcs!$R523))</f>
        <v>0</v>
      </c>
      <c r="AA120" s="7">
        <f>IF($BL120&lt;&gt;"Yes",0,Calcs!AU576*(1+Calcs!$Q523+Calcs!$R523))</f>
        <v>0</v>
      </c>
      <c r="AB120" s="7">
        <f>IF($BL120&lt;&gt;"Yes",0,Calcs!AV576*(1+Calcs!$Q523+Calcs!$R523))</f>
        <v>0</v>
      </c>
      <c r="AC120" s="7">
        <f>IF($BL120&lt;&gt;"Yes",0,Calcs!AW576*(1+Calcs!$Q523+Calcs!$R523))</f>
        <v>0</v>
      </c>
      <c r="AD120" s="7">
        <f>IF($BL120&lt;&gt;"Yes",0,Calcs!AX576*(1+Calcs!$Q523+Calcs!$R523))</f>
        <v>0</v>
      </c>
      <c r="AE120" s="7">
        <f>IF($BL120&lt;&gt;"Yes",0,Calcs!AY576*(1+Calcs!$Q523+Calcs!$R523))</f>
        <v>0</v>
      </c>
      <c r="AF120" s="7">
        <f>IF($BL120&lt;&gt;"Yes",0,Calcs!AZ576*(1+Calcs!$Q523+Calcs!$R523))</f>
        <v>0</v>
      </c>
      <c r="AG120" s="7">
        <f>IF($BL120&lt;&gt;"Yes",0,Calcs!BA576*(1+Calcs!$Q523+Calcs!$R523))</f>
        <v>0</v>
      </c>
      <c r="AH120" s="7">
        <f>IF($BL120&lt;&gt;"Yes",0,Calcs!BB576*(1+Calcs!$Q523+Calcs!$R523))</f>
        <v>0</v>
      </c>
      <c r="AI120" s="7">
        <f>IF($BL120&lt;&gt;"Yes",0,Calcs!BC576*(1+Calcs!$Q523+Calcs!$R523))</f>
        <v>0</v>
      </c>
      <c r="AJ120" s="7">
        <f>IF($BL120&lt;&gt;"Yes",0,Calcs!BD576*(1+Calcs!$Q523+Calcs!$R523))</f>
        <v>0</v>
      </c>
      <c r="AK120" s="7">
        <f>IF($BL120&lt;&gt;"Yes",0,Calcs!BE576*(1+Calcs!$Q523+Calcs!$R523))</f>
        <v>0</v>
      </c>
      <c r="AL120" s="7">
        <f>IF($BL120&lt;&gt;"Yes",0,Calcs!BF576*(1+Calcs!$Q523+Calcs!$R523))</f>
        <v>0</v>
      </c>
      <c r="AM120" s="7">
        <f>IF($BL120&lt;&gt;"Yes",0,Calcs!BG576*(1+Calcs!$Q523+Calcs!$R523))</f>
        <v>0</v>
      </c>
      <c r="AN120" s="7">
        <f>IF($BL120&lt;&gt;"Yes",0,Calcs!BH576*(1+Calcs!$Q523+Calcs!$R523))</f>
        <v>0</v>
      </c>
      <c r="AO120" s="7">
        <f>IF($BL120&lt;&gt;"Yes",0,Calcs!BI576*(1+Calcs!$Q523+Calcs!$R523))</f>
        <v>0</v>
      </c>
      <c r="AP120" s="7">
        <f>IF($BL120&lt;&gt;"Yes",0,Calcs!BJ576*(1+Calcs!$Q523+Calcs!$R523))</f>
        <v>0</v>
      </c>
      <c r="AQ120" s="7">
        <f>IF($BL120&lt;&gt;"Yes",0,Calcs!BK576*(1+Calcs!$Q523+Calcs!$R523))</f>
        <v>0</v>
      </c>
      <c r="AR120" s="7">
        <f>IF($BL120&lt;&gt;"Yes",0,Calcs!BL576*(1+Calcs!$Q523+Calcs!$R523))</f>
        <v>0</v>
      </c>
      <c r="AS120" s="7">
        <f>IF($BL120&lt;&gt;"Yes",0,Calcs!BM576*(1+Calcs!$Q523+Calcs!$R523))</f>
        <v>0</v>
      </c>
      <c r="AT120" s="7">
        <f>IF($BL120&lt;&gt;"Yes",0,Calcs!BN576*(1+Calcs!$Q523+Calcs!$R523))</f>
        <v>0</v>
      </c>
      <c r="AU120" s="7">
        <f>IF($BL120&lt;&gt;"Yes",0,Calcs!BO576*(1+Calcs!$Q523+Calcs!$R523))</f>
        <v>0</v>
      </c>
      <c r="AV120" s="7">
        <f>IF($BL120&lt;&gt;"Yes",0,Calcs!BP576*(1+Calcs!$Q523+Calcs!$R523))</f>
        <v>0</v>
      </c>
      <c r="AW120" s="7">
        <f>IF($BL120&lt;&gt;"Yes",0,Calcs!BQ576*(1+Calcs!$Q523+Calcs!$R523))</f>
        <v>0</v>
      </c>
      <c r="AX120" s="7">
        <f>IF($BL120&lt;&gt;"Yes",0,Calcs!BR576*(1+Calcs!$Q523+Calcs!$R523))</f>
        <v>0</v>
      </c>
      <c r="AY120" s="7">
        <f>IF($BL120&lt;&gt;"Yes",0,Calcs!BS576*(1+Calcs!$Q523+Calcs!$R523))</f>
        <v>0</v>
      </c>
      <c r="AZ120" s="7">
        <f>IF($BL120&lt;&gt;"Yes",0,Calcs!BT576*(1+Calcs!$Q523+Calcs!$R523))</f>
        <v>0</v>
      </c>
      <c r="BA120" s="7">
        <f>IF($BL120&lt;&gt;"Yes",0,Calcs!BU576*(1+Calcs!$Q523+Calcs!$R523))</f>
        <v>0</v>
      </c>
      <c r="BB120" s="7">
        <f>IF($BL120&lt;&gt;"Yes",0,Calcs!BV576*(1+Calcs!$Q523+Calcs!$R523))</f>
        <v>0</v>
      </c>
      <c r="BC120" s="7">
        <f>IF($BL120&lt;&gt;"Yes",0,Calcs!BW576*(1+Calcs!$Q523+Calcs!$R523))</f>
        <v>0</v>
      </c>
      <c r="BD120" s="7">
        <f>IF($BL120&lt;&gt;"Yes",0,Calcs!BX576*(1+Calcs!$Q523+Calcs!$R523))</f>
        <v>0</v>
      </c>
      <c r="BE120" s="7">
        <f>IF($BL120&lt;&gt;"Yes",0,Calcs!BY576*(1+Calcs!$Q523+Calcs!$R523))</f>
        <v>0</v>
      </c>
      <c r="BF120" s="7">
        <f>IF($BL120&lt;&gt;"Yes",0,Calcs!BZ576*(1+Calcs!$Q523+Calcs!$R523))</f>
        <v>0</v>
      </c>
      <c r="BG120" s="7">
        <f>IF($BL120&lt;&gt;"Yes",0,Calcs!CA576*(1+Calcs!$Q523+Calcs!$R523))</f>
        <v>0</v>
      </c>
      <c r="BH120" s="7">
        <f>IF($BL120&lt;&gt;"Yes",0,Calcs!CB576*(1+Calcs!$Q523+Calcs!$R523))</f>
        <v>0</v>
      </c>
      <c r="BI120" s="7">
        <f>IF($BL120&lt;&gt;"Yes",0,Calcs!CC576*(1+Calcs!$Q523+Calcs!$R523))</f>
        <v>0</v>
      </c>
      <c r="BJ120" s="7">
        <f>IF($BL120&lt;&gt;"Yes",0,Calcs!CD576*(1+Calcs!$Q523+Calcs!$R523))</f>
        <v>0</v>
      </c>
    </row>
    <row r="121" spans="1:62" s="5" customFormat="1" ht="13" hidden="1" customHeight="1" x14ac:dyDescent="0.3">
      <c r="A121" s="6" t="str">
        <f>IF(AND(Calcs!S577&lt;&gt;"",Calcs!S577&lt;&gt;0),Calcs!S577,"Personnel "&amp;Calcs!Q577)</f>
        <v xml:space="preserve">Personnel </v>
      </c>
      <c r="B121" s="6" t="str">
        <f>IF(AND(Calcs!T577&lt;&gt;"",Calcs!T577&lt;&gt;0),Calcs!T577,"Personnel "&amp;Calcs!R577)</f>
        <v>Personnel 26</v>
      </c>
      <c r="C121" s="7">
        <f>IF($BL121&lt;&gt;"Yes",0,Calcs!W577*(1+Calcs!$Q524+Calcs!$R524))</f>
        <v>0</v>
      </c>
      <c r="D121" s="7">
        <f>IF($BL121&lt;&gt;"Yes",0,Calcs!X577*(1+Calcs!$Q524+Calcs!$R524))</f>
        <v>0</v>
      </c>
      <c r="E121" s="7">
        <f>IF($BL121&lt;&gt;"Yes",0,Calcs!Y577*(1+Calcs!$Q524+Calcs!$R524))</f>
        <v>0</v>
      </c>
      <c r="F121" s="7">
        <f>IF($BL121&lt;&gt;"Yes",0,Calcs!Z577*(1+Calcs!$Q524+Calcs!$R524))</f>
        <v>0</v>
      </c>
      <c r="G121" s="7">
        <f>IF($BL121&lt;&gt;"Yes",0,Calcs!AA577*(1+Calcs!$Q524+Calcs!$R524))</f>
        <v>0</v>
      </c>
      <c r="H121" s="40"/>
      <c r="I121" s="7">
        <f>IF($BL121&lt;&gt;"Yes",0,Calcs!AC577*(1+Calcs!$Q524+Calcs!$R524))</f>
        <v>0</v>
      </c>
      <c r="J121" s="7">
        <f>IF($BL121&lt;&gt;"Yes",0,Calcs!AD577*(1+Calcs!$Q524+Calcs!$R524))</f>
        <v>0</v>
      </c>
      <c r="K121" s="7">
        <f>IF($BL121&lt;&gt;"Yes",0,Calcs!AE577*(1+Calcs!$Q524+Calcs!$R524))</f>
        <v>0</v>
      </c>
      <c r="L121" s="7">
        <f>IF($BL121&lt;&gt;"Yes",0,Calcs!AF577*(1+Calcs!$Q524+Calcs!$R524))</f>
        <v>0</v>
      </c>
      <c r="M121" s="7">
        <f>IF($BL121&lt;&gt;"Yes",0,Calcs!AG577*(1+Calcs!$Q524+Calcs!$R524))</f>
        <v>0</v>
      </c>
      <c r="N121" s="7">
        <f>IF($BL121&lt;&gt;"Yes",0,Calcs!AH577*(1+Calcs!$Q524+Calcs!$R524))</f>
        <v>0</v>
      </c>
      <c r="O121" s="7">
        <f>IF($BL121&lt;&gt;"Yes",0,Calcs!AI577*(1+Calcs!$Q524+Calcs!$R524))</f>
        <v>0</v>
      </c>
      <c r="P121" s="7">
        <f>IF($BL121&lt;&gt;"Yes",0,Calcs!AJ577*(1+Calcs!$Q524+Calcs!$R524))</f>
        <v>0</v>
      </c>
      <c r="Q121" s="7">
        <f>IF($BL121&lt;&gt;"Yes",0,Calcs!AK577*(1+Calcs!$Q524+Calcs!$R524))</f>
        <v>0</v>
      </c>
      <c r="R121" s="7">
        <f>IF($BL121&lt;&gt;"Yes",0,Calcs!AL577*(1+Calcs!$Q524+Calcs!$R524))</f>
        <v>0</v>
      </c>
      <c r="S121" s="7">
        <f>IF($BL121&lt;&gt;"Yes",0,Calcs!AM577*(1+Calcs!$Q524+Calcs!$R524))</f>
        <v>0</v>
      </c>
      <c r="T121" s="7">
        <f>IF($BL121&lt;&gt;"Yes",0,Calcs!AN577*(1+Calcs!$Q524+Calcs!$R524))</f>
        <v>0</v>
      </c>
      <c r="U121" s="7">
        <f>IF($BL121&lt;&gt;"Yes",0,Calcs!AO577*(1+Calcs!$Q524+Calcs!$R524))</f>
        <v>0</v>
      </c>
      <c r="V121" s="7">
        <f>IF($BL121&lt;&gt;"Yes",0,Calcs!AP577*(1+Calcs!$Q524+Calcs!$R524))</f>
        <v>0</v>
      </c>
      <c r="W121" s="7">
        <f>IF($BL121&lt;&gt;"Yes",0,Calcs!AQ577*(1+Calcs!$Q524+Calcs!$R524))</f>
        <v>0</v>
      </c>
      <c r="X121" s="7">
        <f>IF($BL121&lt;&gt;"Yes",0,Calcs!AR577*(1+Calcs!$Q524+Calcs!$R524))</f>
        <v>0</v>
      </c>
      <c r="Y121" s="7">
        <f>IF($BL121&lt;&gt;"Yes",0,Calcs!AS577*(1+Calcs!$Q524+Calcs!$R524))</f>
        <v>0</v>
      </c>
      <c r="Z121" s="7">
        <f>IF($BL121&lt;&gt;"Yes",0,Calcs!AT577*(1+Calcs!$Q524+Calcs!$R524))</f>
        <v>0</v>
      </c>
      <c r="AA121" s="7">
        <f>IF($BL121&lt;&gt;"Yes",0,Calcs!AU577*(1+Calcs!$Q524+Calcs!$R524))</f>
        <v>0</v>
      </c>
      <c r="AB121" s="7">
        <f>IF($BL121&lt;&gt;"Yes",0,Calcs!AV577*(1+Calcs!$Q524+Calcs!$R524))</f>
        <v>0</v>
      </c>
      <c r="AC121" s="7">
        <f>IF($BL121&lt;&gt;"Yes",0,Calcs!AW577*(1+Calcs!$Q524+Calcs!$R524))</f>
        <v>0</v>
      </c>
      <c r="AD121" s="7">
        <f>IF($BL121&lt;&gt;"Yes",0,Calcs!AX577*(1+Calcs!$Q524+Calcs!$R524))</f>
        <v>0</v>
      </c>
      <c r="AE121" s="7">
        <f>IF($BL121&lt;&gt;"Yes",0,Calcs!AY577*(1+Calcs!$Q524+Calcs!$R524))</f>
        <v>0</v>
      </c>
      <c r="AF121" s="7">
        <f>IF($BL121&lt;&gt;"Yes",0,Calcs!AZ577*(1+Calcs!$Q524+Calcs!$R524))</f>
        <v>0</v>
      </c>
      <c r="AG121" s="7">
        <f>IF($BL121&lt;&gt;"Yes",0,Calcs!BA577*(1+Calcs!$Q524+Calcs!$R524))</f>
        <v>0</v>
      </c>
      <c r="AH121" s="7">
        <f>IF($BL121&lt;&gt;"Yes",0,Calcs!BB577*(1+Calcs!$Q524+Calcs!$R524))</f>
        <v>0</v>
      </c>
      <c r="AI121" s="7">
        <f>IF($BL121&lt;&gt;"Yes",0,Calcs!BC577*(1+Calcs!$Q524+Calcs!$R524))</f>
        <v>0</v>
      </c>
      <c r="AJ121" s="7">
        <f>IF($BL121&lt;&gt;"Yes",0,Calcs!BD577*(1+Calcs!$Q524+Calcs!$R524))</f>
        <v>0</v>
      </c>
      <c r="AK121" s="7">
        <f>IF($BL121&lt;&gt;"Yes",0,Calcs!BE577*(1+Calcs!$Q524+Calcs!$R524))</f>
        <v>0</v>
      </c>
      <c r="AL121" s="7">
        <f>IF($BL121&lt;&gt;"Yes",0,Calcs!BF577*(1+Calcs!$Q524+Calcs!$R524))</f>
        <v>0</v>
      </c>
      <c r="AM121" s="7">
        <f>IF($BL121&lt;&gt;"Yes",0,Calcs!BG577*(1+Calcs!$Q524+Calcs!$R524))</f>
        <v>0</v>
      </c>
      <c r="AN121" s="7">
        <f>IF($BL121&lt;&gt;"Yes",0,Calcs!BH577*(1+Calcs!$Q524+Calcs!$R524))</f>
        <v>0</v>
      </c>
      <c r="AO121" s="7">
        <f>IF($BL121&lt;&gt;"Yes",0,Calcs!BI577*(1+Calcs!$Q524+Calcs!$R524))</f>
        <v>0</v>
      </c>
      <c r="AP121" s="7">
        <f>IF($BL121&lt;&gt;"Yes",0,Calcs!BJ577*(1+Calcs!$Q524+Calcs!$R524))</f>
        <v>0</v>
      </c>
      <c r="AQ121" s="7">
        <f>IF($BL121&lt;&gt;"Yes",0,Calcs!BK577*(1+Calcs!$Q524+Calcs!$R524))</f>
        <v>0</v>
      </c>
      <c r="AR121" s="7">
        <f>IF($BL121&lt;&gt;"Yes",0,Calcs!BL577*(1+Calcs!$Q524+Calcs!$R524))</f>
        <v>0</v>
      </c>
      <c r="AS121" s="7">
        <f>IF($BL121&lt;&gt;"Yes",0,Calcs!BM577*(1+Calcs!$Q524+Calcs!$R524))</f>
        <v>0</v>
      </c>
      <c r="AT121" s="7">
        <f>IF($BL121&lt;&gt;"Yes",0,Calcs!BN577*(1+Calcs!$Q524+Calcs!$R524))</f>
        <v>0</v>
      </c>
      <c r="AU121" s="7">
        <f>IF($BL121&lt;&gt;"Yes",0,Calcs!BO577*(1+Calcs!$Q524+Calcs!$R524))</f>
        <v>0</v>
      </c>
      <c r="AV121" s="7">
        <f>IF($BL121&lt;&gt;"Yes",0,Calcs!BP577*(1+Calcs!$Q524+Calcs!$R524))</f>
        <v>0</v>
      </c>
      <c r="AW121" s="7">
        <f>IF($BL121&lt;&gt;"Yes",0,Calcs!BQ577*(1+Calcs!$Q524+Calcs!$R524))</f>
        <v>0</v>
      </c>
      <c r="AX121" s="7">
        <f>IF($BL121&lt;&gt;"Yes",0,Calcs!BR577*(1+Calcs!$Q524+Calcs!$R524))</f>
        <v>0</v>
      </c>
      <c r="AY121" s="7">
        <f>IF($BL121&lt;&gt;"Yes",0,Calcs!BS577*(1+Calcs!$Q524+Calcs!$R524))</f>
        <v>0</v>
      </c>
      <c r="AZ121" s="7">
        <f>IF($BL121&lt;&gt;"Yes",0,Calcs!BT577*(1+Calcs!$Q524+Calcs!$R524))</f>
        <v>0</v>
      </c>
      <c r="BA121" s="7">
        <f>IF($BL121&lt;&gt;"Yes",0,Calcs!BU577*(1+Calcs!$Q524+Calcs!$R524))</f>
        <v>0</v>
      </c>
      <c r="BB121" s="7">
        <f>IF($BL121&lt;&gt;"Yes",0,Calcs!BV577*(1+Calcs!$Q524+Calcs!$R524))</f>
        <v>0</v>
      </c>
      <c r="BC121" s="7">
        <f>IF($BL121&lt;&gt;"Yes",0,Calcs!BW577*(1+Calcs!$Q524+Calcs!$R524))</f>
        <v>0</v>
      </c>
      <c r="BD121" s="7">
        <f>IF($BL121&lt;&gt;"Yes",0,Calcs!BX577*(1+Calcs!$Q524+Calcs!$R524))</f>
        <v>0</v>
      </c>
      <c r="BE121" s="7">
        <f>IF($BL121&lt;&gt;"Yes",0,Calcs!BY577*(1+Calcs!$Q524+Calcs!$R524))</f>
        <v>0</v>
      </c>
      <c r="BF121" s="7">
        <f>IF($BL121&lt;&gt;"Yes",0,Calcs!BZ577*(1+Calcs!$Q524+Calcs!$R524))</f>
        <v>0</v>
      </c>
      <c r="BG121" s="7">
        <f>IF($BL121&lt;&gt;"Yes",0,Calcs!CA577*(1+Calcs!$Q524+Calcs!$R524))</f>
        <v>0</v>
      </c>
      <c r="BH121" s="7">
        <f>IF($BL121&lt;&gt;"Yes",0,Calcs!CB577*(1+Calcs!$Q524+Calcs!$R524))</f>
        <v>0</v>
      </c>
      <c r="BI121" s="7">
        <f>IF($BL121&lt;&gt;"Yes",0,Calcs!CC577*(1+Calcs!$Q524+Calcs!$R524))</f>
        <v>0</v>
      </c>
      <c r="BJ121" s="7">
        <f>IF($BL121&lt;&gt;"Yes",0,Calcs!CD577*(1+Calcs!$Q524+Calcs!$R524))</f>
        <v>0</v>
      </c>
    </row>
    <row r="122" spans="1:62" s="5" customFormat="1" ht="13" hidden="1" customHeight="1" x14ac:dyDescent="0.3">
      <c r="A122" s="6" t="str">
        <f>IF(AND(Calcs!S578&lt;&gt;"",Calcs!S578&lt;&gt;0),Calcs!S578,"Personnel "&amp;Calcs!Q578)</f>
        <v xml:space="preserve">Personnel </v>
      </c>
      <c r="B122" s="6" t="str">
        <f>IF(AND(Calcs!T578&lt;&gt;"",Calcs!T578&lt;&gt;0),Calcs!T578,"Personnel "&amp;Calcs!R578)</f>
        <v>Personnel 27</v>
      </c>
      <c r="C122" s="7">
        <f>IF($BL122&lt;&gt;"Yes",0,Calcs!W578*(1+Calcs!$Q525+Calcs!$R525))</f>
        <v>0</v>
      </c>
      <c r="D122" s="7">
        <f>IF($BL122&lt;&gt;"Yes",0,Calcs!X578*(1+Calcs!$Q525+Calcs!$R525))</f>
        <v>0</v>
      </c>
      <c r="E122" s="7">
        <f>IF($BL122&lt;&gt;"Yes",0,Calcs!Y578*(1+Calcs!$Q525+Calcs!$R525))</f>
        <v>0</v>
      </c>
      <c r="F122" s="7">
        <f>IF($BL122&lt;&gt;"Yes",0,Calcs!Z578*(1+Calcs!$Q525+Calcs!$R525))</f>
        <v>0</v>
      </c>
      <c r="G122" s="7">
        <f>IF($BL122&lt;&gt;"Yes",0,Calcs!AA578*(1+Calcs!$Q525+Calcs!$R525))</f>
        <v>0</v>
      </c>
      <c r="H122" s="40"/>
      <c r="I122" s="7">
        <f>IF($BL122&lt;&gt;"Yes",0,Calcs!AC578*(1+Calcs!$Q525+Calcs!$R525))</f>
        <v>0</v>
      </c>
      <c r="J122" s="7">
        <f>IF($BL122&lt;&gt;"Yes",0,Calcs!AD578*(1+Calcs!$Q525+Calcs!$R525))</f>
        <v>0</v>
      </c>
      <c r="K122" s="7">
        <f>IF($BL122&lt;&gt;"Yes",0,Calcs!AE578*(1+Calcs!$Q525+Calcs!$R525))</f>
        <v>0</v>
      </c>
      <c r="L122" s="7">
        <f>IF($BL122&lt;&gt;"Yes",0,Calcs!AF578*(1+Calcs!$Q525+Calcs!$R525))</f>
        <v>0</v>
      </c>
      <c r="M122" s="7">
        <f>IF($BL122&lt;&gt;"Yes",0,Calcs!AG578*(1+Calcs!$Q525+Calcs!$R525))</f>
        <v>0</v>
      </c>
      <c r="N122" s="7">
        <f>IF($BL122&lt;&gt;"Yes",0,Calcs!AH578*(1+Calcs!$Q525+Calcs!$R525))</f>
        <v>0</v>
      </c>
      <c r="O122" s="7">
        <f>IF($BL122&lt;&gt;"Yes",0,Calcs!AI578*(1+Calcs!$Q525+Calcs!$R525))</f>
        <v>0</v>
      </c>
      <c r="P122" s="7">
        <f>IF($BL122&lt;&gt;"Yes",0,Calcs!AJ578*(1+Calcs!$Q525+Calcs!$R525))</f>
        <v>0</v>
      </c>
      <c r="Q122" s="7">
        <f>IF($BL122&lt;&gt;"Yes",0,Calcs!AK578*(1+Calcs!$Q525+Calcs!$R525))</f>
        <v>0</v>
      </c>
      <c r="R122" s="7">
        <f>IF($BL122&lt;&gt;"Yes",0,Calcs!AL578*(1+Calcs!$Q525+Calcs!$R525))</f>
        <v>0</v>
      </c>
      <c r="S122" s="7">
        <f>IF($BL122&lt;&gt;"Yes",0,Calcs!AM578*(1+Calcs!$Q525+Calcs!$R525))</f>
        <v>0</v>
      </c>
      <c r="T122" s="7">
        <f>IF($BL122&lt;&gt;"Yes",0,Calcs!AN578*(1+Calcs!$Q525+Calcs!$R525))</f>
        <v>0</v>
      </c>
      <c r="U122" s="7">
        <f>IF($BL122&lt;&gt;"Yes",0,Calcs!AO578*(1+Calcs!$Q525+Calcs!$R525))</f>
        <v>0</v>
      </c>
      <c r="V122" s="7">
        <f>IF($BL122&lt;&gt;"Yes",0,Calcs!AP578*(1+Calcs!$Q525+Calcs!$R525))</f>
        <v>0</v>
      </c>
      <c r="W122" s="7">
        <f>IF($BL122&lt;&gt;"Yes",0,Calcs!AQ578*(1+Calcs!$Q525+Calcs!$R525))</f>
        <v>0</v>
      </c>
      <c r="X122" s="7">
        <f>IF($BL122&lt;&gt;"Yes",0,Calcs!AR578*(1+Calcs!$Q525+Calcs!$R525))</f>
        <v>0</v>
      </c>
      <c r="Y122" s="7">
        <f>IF($BL122&lt;&gt;"Yes",0,Calcs!AS578*(1+Calcs!$Q525+Calcs!$R525))</f>
        <v>0</v>
      </c>
      <c r="Z122" s="7">
        <f>IF($BL122&lt;&gt;"Yes",0,Calcs!AT578*(1+Calcs!$Q525+Calcs!$R525))</f>
        <v>0</v>
      </c>
      <c r="AA122" s="7">
        <f>IF($BL122&lt;&gt;"Yes",0,Calcs!AU578*(1+Calcs!$Q525+Calcs!$R525))</f>
        <v>0</v>
      </c>
      <c r="AB122" s="7">
        <f>IF($BL122&lt;&gt;"Yes",0,Calcs!AV578*(1+Calcs!$Q525+Calcs!$R525))</f>
        <v>0</v>
      </c>
      <c r="AC122" s="7">
        <f>IF($BL122&lt;&gt;"Yes",0,Calcs!AW578*(1+Calcs!$Q525+Calcs!$R525))</f>
        <v>0</v>
      </c>
      <c r="AD122" s="7">
        <f>IF($BL122&lt;&gt;"Yes",0,Calcs!AX578*(1+Calcs!$Q525+Calcs!$R525))</f>
        <v>0</v>
      </c>
      <c r="AE122" s="7">
        <f>IF($BL122&lt;&gt;"Yes",0,Calcs!AY578*(1+Calcs!$Q525+Calcs!$R525))</f>
        <v>0</v>
      </c>
      <c r="AF122" s="7">
        <f>IF($BL122&lt;&gt;"Yes",0,Calcs!AZ578*(1+Calcs!$Q525+Calcs!$R525))</f>
        <v>0</v>
      </c>
      <c r="AG122" s="7">
        <f>IF($BL122&lt;&gt;"Yes",0,Calcs!BA578*(1+Calcs!$Q525+Calcs!$R525))</f>
        <v>0</v>
      </c>
      <c r="AH122" s="7">
        <f>IF($BL122&lt;&gt;"Yes",0,Calcs!BB578*(1+Calcs!$Q525+Calcs!$R525))</f>
        <v>0</v>
      </c>
      <c r="AI122" s="7">
        <f>IF($BL122&lt;&gt;"Yes",0,Calcs!BC578*(1+Calcs!$Q525+Calcs!$R525))</f>
        <v>0</v>
      </c>
      <c r="AJ122" s="7">
        <f>IF($BL122&lt;&gt;"Yes",0,Calcs!BD578*(1+Calcs!$Q525+Calcs!$R525))</f>
        <v>0</v>
      </c>
      <c r="AK122" s="7">
        <f>IF($BL122&lt;&gt;"Yes",0,Calcs!BE578*(1+Calcs!$Q525+Calcs!$R525))</f>
        <v>0</v>
      </c>
      <c r="AL122" s="7">
        <f>IF($BL122&lt;&gt;"Yes",0,Calcs!BF578*(1+Calcs!$Q525+Calcs!$R525))</f>
        <v>0</v>
      </c>
      <c r="AM122" s="7">
        <f>IF($BL122&lt;&gt;"Yes",0,Calcs!BG578*(1+Calcs!$Q525+Calcs!$R525))</f>
        <v>0</v>
      </c>
      <c r="AN122" s="7">
        <f>IF($BL122&lt;&gt;"Yes",0,Calcs!BH578*(1+Calcs!$Q525+Calcs!$R525))</f>
        <v>0</v>
      </c>
      <c r="AO122" s="7">
        <f>IF($BL122&lt;&gt;"Yes",0,Calcs!BI578*(1+Calcs!$Q525+Calcs!$R525))</f>
        <v>0</v>
      </c>
      <c r="AP122" s="7">
        <f>IF($BL122&lt;&gt;"Yes",0,Calcs!BJ578*(1+Calcs!$Q525+Calcs!$R525))</f>
        <v>0</v>
      </c>
      <c r="AQ122" s="7">
        <f>IF($BL122&lt;&gt;"Yes",0,Calcs!BK578*(1+Calcs!$Q525+Calcs!$R525))</f>
        <v>0</v>
      </c>
      <c r="AR122" s="7">
        <f>IF($BL122&lt;&gt;"Yes",0,Calcs!BL578*(1+Calcs!$Q525+Calcs!$R525))</f>
        <v>0</v>
      </c>
      <c r="AS122" s="7">
        <f>IF($BL122&lt;&gt;"Yes",0,Calcs!BM578*(1+Calcs!$Q525+Calcs!$R525))</f>
        <v>0</v>
      </c>
      <c r="AT122" s="7">
        <f>IF($BL122&lt;&gt;"Yes",0,Calcs!BN578*(1+Calcs!$Q525+Calcs!$R525))</f>
        <v>0</v>
      </c>
      <c r="AU122" s="7">
        <f>IF($BL122&lt;&gt;"Yes",0,Calcs!BO578*(1+Calcs!$Q525+Calcs!$R525))</f>
        <v>0</v>
      </c>
      <c r="AV122" s="7">
        <f>IF($BL122&lt;&gt;"Yes",0,Calcs!BP578*(1+Calcs!$Q525+Calcs!$R525))</f>
        <v>0</v>
      </c>
      <c r="AW122" s="7">
        <f>IF($BL122&lt;&gt;"Yes",0,Calcs!BQ578*(1+Calcs!$Q525+Calcs!$R525))</f>
        <v>0</v>
      </c>
      <c r="AX122" s="7">
        <f>IF($BL122&lt;&gt;"Yes",0,Calcs!BR578*(1+Calcs!$Q525+Calcs!$R525))</f>
        <v>0</v>
      </c>
      <c r="AY122" s="7">
        <f>IF($BL122&lt;&gt;"Yes",0,Calcs!BS578*(1+Calcs!$Q525+Calcs!$R525))</f>
        <v>0</v>
      </c>
      <c r="AZ122" s="7">
        <f>IF($BL122&lt;&gt;"Yes",0,Calcs!BT578*(1+Calcs!$Q525+Calcs!$R525))</f>
        <v>0</v>
      </c>
      <c r="BA122" s="7">
        <f>IF($BL122&lt;&gt;"Yes",0,Calcs!BU578*(1+Calcs!$Q525+Calcs!$R525))</f>
        <v>0</v>
      </c>
      <c r="BB122" s="7">
        <f>IF($BL122&lt;&gt;"Yes",0,Calcs!BV578*(1+Calcs!$Q525+Calcs!$R525))</f>
        <v>0</v>
      </c>
      <c r="BC122" s="7">
        <f>IF($BL122&lt;&gt;"Yes",0,Calcs!BW578*(1+Calcs!$Q525+Calcs!$R525))</f>
        <v>0</v>
      </c>
      <c r="BD122" s="7">
        <f>IF($BL122&lt;&gt;"Yes",0,Calcs!BX578*(1+Calcs!$Q525+Calcs!$R525))</f>
        <v>0</v>
      </c>
      <c r="BE122" s="7">
        <f>IF($BL122&lt;&gt;"Yes",0,Calcs!BY578*(1+Calcs!$Q525+Calcs!$R525))</f>
        <v>0</v>
      </c>
      <c r="BF122" s="7">
        <f>IF($BL122&lt;&gt;"Yes",0,Calcs!BZ578*(1+Calcs!$Q525+Calcs!$R525))</f>
        <v>0</v>
      </c>
      <c r="BG122" s="7">
        <f>IF($BL122&lt;&gt;"Yes",0,Calcs!CA578*(1+Calcs!$Q525+Calcs!$R525))</f>
        <v>0</v>
      </c>
      <c r="BH122" s="7">
        <f>IF($BL122&lt;&gt;"Yes",0,Calcs!CB578*(1+Calcs!$Q525+Calcs!$R525))</f>
        <v>0</v>
      </c>
      <c r="BI122" s="7">
        <f>IF($BL122&lt;&gt;"Yes",0,Calcs!CC578*(1+Calcs!$Q525+Calcs!$R525))</f>
        <v>0</v>
      </c>
      <c r="BJ122" s="7">
        <f>IF($BL122&lt;&gt;"Yes",0,Calcs!CD578*(1+Calcs!$Q525+Calcs!$R525))</f>
        <v>0</v>
      </c>
    </row>
    <row r="123" spans="1:62" s="5" customFormat="1" ht="13" hidden="1" customHeight="1" x14ac:dyDescent="0.3">
      <c r="A123" s="6" t="str">
        <f>IF(AND(Calcs!S579&lt;&gt;"",Calcs!S579&lt;&gt;0),Calcs!S579,"Personnel "&amp;Calcs!Q579)</f>
        <v xml:space="preserve">Personnel </v>
      </c>
      <c r="B123" s="6" t="str">
        <f>IF(AND(Calcs!T579&lt;&gt;"",Calcs!T579&lt;&gt;0),Calcs!T579,"Personnel "&amp;Calcs!R579)</f>
        <v>Personnel 28</v>
      </c>
      <c r="C123" s="7">
        <f>IF($BL123&lt;&gt;"Yes",0,Calcs!W579*(1+Calcs!$Q526+Calcs!$R526))</f>
        <v>0</v>
      </c>
      <c r="D123" s="7">
        <f>IF($BL123&lt;&gt;"Yes",0,Calcs!X579*(1+Calcs!$Q526+Calcs!$R526))</f>
        <v>0</v>
      </c>
      <c r="E123" s="7">
        <f>IF($BL123&lt;&gt;"Yes",0,Calcs!Y579*(1+Calcs!$Q526+Calcs!$R526))</f>
        <v>0</v>
      </c>
      <c r="F123" s="7">
        <f>IF($BL123&lt;&gt;"Yes",0,Calcs!Z579*(1+Calcs!$Q526+Calcs!$R526))</f>
        <v>0</v>
      </c>
      <c r="G123" s="7">
        <f>IF($BL123&lt;&gt;"Yes",0,Calcs!AA579*(1+Calcs!$Q526+Calcs!$R526))</f>
        <v>0</v>
      </c>
      <c r="H123" s="40"/>
      <c r="I123" s="7">
        <f>IF($BL123&lt;&gt;"Yes",0,Calcs!AC579*(1+Calcs!$Q526+Calcs!$R526))</f>
        <v>0</v>
      </c>
      <c r="J123" s="7">
        <f>IF($BL123&lt;&gt;"Yes",0,Calcs!AD579*(1+Calcs!$Q526+Calcs!$R526))</f>
        <v>0</v>
      </c>
      <c r="K123" s="7">
        <f>IF($BL123&lt;&gt;"Yes",0,Calcs!AE579*(1+Calcs!$Q526+Calcs!$R526))</f>
        <v>0</v>
      </c>
      <c r="L123" s="7">
        <f>IF($BL123&lt;&gt;"Yes",0,Calcs!AF579*(1+Calcs!$Q526+Calcs!$R526))</f>
        <v>0</v>
      </c>
      <c r="M123" s="7">
        <f>IF($BL123&lt;&gt;"Yes",0,Calcs!AG579*(1+Calcs!$Q526+Calcs!$R526))</f>
        <v>0</v>
      </c>
      <c r="N123" s="7">
        <f>IF($BL123&lt;&gt;"Yes",0,Calcs!AH579*(1+Calcs!$Q526+Calcs!$R526))</f>
        <v>0</v>
      </c>
      <c r="O123" s="7">
        <f>IF($BL123&lt;&gt;"Yes",0,Calcs!AI579*(1+Calcs!$Q526+Calcs!$R526))</f>
        <v>0</v>
      </c>
      <c r="P123" s="7">
        <f>IF($BL123&lt;&gt;"Yes",0,Calcs!AJ579*(1+Calcs!$Q526+Calcs!$R526))</f>
        <v>0</v>
      </c>
      <c r="Q123" s="7">
        <f>IF($BL123&lt;&gt;"Yes",0,Calcs!AK579*(1+Calcs!$Q526+Calcs!$R526))</f>
        <v>0</v>
      </c>
      <c r="R123" s="7">
        <f>IF($BL123&lt;&gt;"Yes",0,Calcs!AL579*(1+Calcs!$Q526+Calcs!$R526))</f>
        <v>0</v>
      </c>
      <c r="S123" s="7">
        <f>IF($BL123&lt;&gt;"Yes",0,Calcs!AM579*(1+Calcs!$Q526+Calcs!$R526))</f>
        <v>0</v>
      </c>
      <c r="T123" s="7">
        <f>IF($BL123&lt;&gt;"Yes",0,Calcs!AN579*(1+Calcs!$Q526+Calcs!$R526))</f>
        <v>0</v>
      </c>
      <c r="U123" s="7">
        <f>IF($BL123&lt;&gt;"Yes",0,Calcs!AO579*(1+Calcs!$Q526+Calcs!$R526))</f>
        <v>0</v>
      </c>
      <c r="V123" s="7">
        <f>IF($BL123&lt;&gt;"Yes",0,Calcs!AP579*(1+Calcs!$Q526+Calcs!$R526))</f>
        <v>0</v>
      </c>
      <c r="W123" s="7">
        <f>IF($BL123&lt;&gt;"Yes",0,Calcs!AQ579*(1+Calcs!$Q526+Calcs!$R526))</f>
        <v>0</v>
      </c>
      <c r="X123" s="7">
        <f>IF($BL123&lt;&gt;"Yes",0,Calcs!AR579*(1+Calcs!$Q526+Calcs!$R526))</f>
        <v>0</v>
      </c>
      <c r="Y123" s="7">
        <f>IF($BL123&lt;&gt;"Yes",0,Calcs!AS579*(1+Calcs!$Q526+Calcs!$R526))</f>
        <v>0</v>
      </c>
      <c r="Z123" s="7">
        <f>IF($BL123&lt;&gt;"Yes",0,Calcs!AT579*(1+Calcs!$Q526+Calcs!$R526))</f>
        <v>0</v>
      </c>
      <c r="AA123" s="7">
        <f>IF($BL123&lt;&gt;"Yes",0,Calcs!AU579*(1+Calcs!$Q526+Calcs!$R526))</f>
        <v>0</v>
      </c>
      <c r="AB123" s="7">
        <f>IF($BL123&lt;&gt;"Yes",0,Calcs!AV579*(1+Calcs!$Q526+Calcs!$R526))</f>
        <v>0</v>
      </c>
      <c r="AC123" s="7">
        <f>IF($BL123&lt;&gt;"Yes",0,Calcs!AW579*(1+Calcs!$Q526+Calcs!$R526))</f>
        <v>0</v>
      </c>
      <c r="AD123" s="7">
        <f>IF($BL123&lt;&gt;"Yes",0,Calcs!AX579*(1+Calcs!$Q526+Calcs!$R526))</f>
        <v>0</v>
      </c>
      <c r="AE123" s="7">
        <f>IF($BL123&lt;&gt;"Yes",0,Calcs!AY579*(1+Calcs!$Q526+Calcs!$R526))</f>
        <v>0</v>
      </c>
      <c r="AF123" s="7">
        <f>IF($BL123&lt;&gt;"Yes",0,Calcs!AZ579*(1+Calcs!$Q526+Calcs!$R526))</f>
        <v>0</v>
      </c>
      <c r="AG123" s="7">
        <f>IF($BL123&lt;&gt;"Yes",0,Calcs!BA579*(1+Calcs!$Q526+Calcs!$R526))</f>
        <v>0</v>
      </c>
      <c r="AH123" s="7">
        <f>IF($BL123&lt;&gt;"Yes",0,Calcs!BB579*(1+Calcs!$Q526+Calcs!$R526))</f>
        <v>0</v>
      </c>
      <c r="AI123" s="7">
        <f>IF($BL123&lt;&gt;"Yes",0,Calcs!BC579*(1+Calcs!$Q526+Calcs!$R526))</f>
        <v>0</v>
      </c>
      <c r="AJ123" s="7">
        <f>IF($BL123&lt;&gt;"Yes",0,Calcs!BD579*(1+Calcs!$Q526+Calcs!$R526))</f>
        <v>0</v>
      </c>
      <c r="AK123" s="7">
        <f>IF($BL123&lt;&gt;"Yes",0,Calcs!BE579*(1+Calcs!$Q526+Calcs!$R526))</f>
        <v>0</v>
      </c>
      <c r="AL123" s="7">
        <f>IF($BL123&lt;&gt;"Yes",0,Calcs!BF579*(1+Calcs!$Q526+Calcs!$R526))</f>
        <v>0</v>
      </c>
      <c r="AM123" s="7">
        <f>IF($BL123&lt;&gt;"Yes",0,Calcs!BG579*(1+Calcs!$Q526+Calcs!$R526))</f>
        <v>0</v>
      </c>
      <c r="AN123" s="7">
        <f>IF($BL123&lt;&gt;"Yes",0,Calcs!BH579*(1+Calcs!$Q526+Calcs!$R526))</f>
        <v>0</v>
      </c>
      <c r="AO123" s="7">
        <f>IF($BL123&lt;&gt;"Yes",0,Calcs!BI579*(1+Calcs!$Q526+Calcs!$R526))</f>
        <v>0</v>
      </c>
      <c r="AP123" s="7">
        <f>IF($BL123&lt;&gt;"Yes",0,Calcs!BJ579*(1+Calcs!$Q526+Calcs!$R526))</f>
        <v>0</v>
      </c>
      <c r="AQ123" s="7">
        <f>IF($BL123&lt;&gt;"Yes",0,Calcs!BK579*(1+Calcs!$Q526+Calcs!$R526))</f>
        <v>0</v>
      </c>
      <c r="AR123" s="7">
        <f>IF($BL123&lt;&gt;"Yes",0,Calcs!BL579*(1+Calcs!$Q526+Calcs!$R526))</f>
        <v>0</v>
      </c>
      <c r="AS123" s="7">
        <f>IF($BL123&lt;&gt;"Yes",0,Calcs!BM579*(1+Calcs!$Q526+Calcs!$R526))</f>
        <v>0</v>
      </c>
      <c r="AT123" s="7">
        <f>IF($BL123&lt;&gt;"Yes",0,Calcs!BN579*(1+Calcs!$Q526+Calcs!$R526))</f>
        <v>0</v>
      </c>
      <c r="AU123" s="7">
        <f>IF($BL123&lt;&gt;"Yes",0,Calcs!BO579*(1+Calcs!$Q526+Calcs!$R526))</f>
        <v>0</v>
      </c>
      <c r="AV123" s="7">
        <f>IF($BL123&lt;&gt;"Yes",0,Calcs!BP579*(1+Calcs!$Q526+Calcs!$R526))</f>
        <v>0</v>
      </c>
      <c r="AW123" s="7">
        <f>IF($BL123&lt;&gt;"Yes",0,Calcs!BQ579*(1+Calcs!$Q526+Calcs!$R526))</f>
        <v>0</v>
      </c>
      <c r="AX123" s="7">
        <f>IF($BL123&lt;&gt;"Yes",0,Calcs!BR579*(1+Calcs!$Q526+Calcs!$R526))</f>
        <v>0</v>
      </c>
      <c r="AY123" s="7">
        <f>IF($BL123&lt;&gt;"Yes",0,Calcs!BS579*(1+Calcs!$Q526+Calcs!$R526))</f>
        <v>0</v>
      </c>
      <c r="AZ123" s="7">
        <f>IF($BL123&lt;&gt;"Yes",0,Calcs!BT579*(1+Calcs!$Q526+Calcs!$R526))</f>
        <v>0</v>
      </c>
      <c r="BA123" s="7">
        <f>IF($BL123&lt;&gt;"Yes",0,Calcs!BU579*(1+Calcs!$Q526+Calcs!$R526))</f>
        <v>0</v>
      </c>
      <c r="BB123" s="7">
        <f>IF($BL123&lt;&gt;"Yes",0,Calcs!BV579*(1+Calcs!$Q526+Calcs!$R526))</f>
        <v>0</v>
      </c>
      <c r="BC123" s="7">
        <f>IF($BL123&lt;&gt;"Yes",0,Calcs!BW579*(1+Calcs!$Q526+Calcs!$R526))</f>
        <v>0</v>
      </c>
      <c r="BD123" s="7">
        <f>IF($BL123&lt;&gt;"Yes",0,Calcs!BX579*(1+Calcs!$Q526+Calcs!$R526))</f>
        <v>0</v>
      </c>
      <c r="BE123" s="7">
        <f>IF($BL123&lt;&gt;"Yes",0,Calcs!BY579*(1+Calcs!$Q526+Calcs!$R526))</f>
        <v>0</v>
      </c>
      <c r="BF123" s="7">
        <f>IF($BL123&lt;&gt;"Yes",0,Calcs!BZ579*(1+Calcs!$Q526+Calcs!$R526))</f>
        <v>0</v>
      </c>
      <c r="BG123" s="7">
        <f>IF($BL123&lt;&gt;"Yes",0,Calcs!CA579*(1+Calcs!$Q526+Calcs!$R526))</f>
        <v>0</v>
      </c>
      <c r="BH123" s="7">
        <f>IF($BL123&lt;&gt;"Yes",0,Calcs!CB579*(1+Calcs!$Q526+Calcs!$R526))</f>
        <v>0</v>
      </c>
      <c r="BI123" s="7">
        <f>IF($BL123&lt;&gt;"Yes",0,Calcs!CC579*(1+Calcs!$Q526+Calcs!$R526))</f>
        <v>0</v>
      </c>
      <c r="BJ123" s="7">
        <f>IF($BL123&lt;&gt;"Yes",0,Calcs!CD579*(1+Calcs!$Q526+Calcs!$R526))</f>
        <v>0</v>
      </c>
    </row>
    <row r="124" spans="1:62" s="5" customFormat="1" ht="13" hidden="1" customHeight="1" x14ac:dyDescent="0.3">
      <c r="A124" s="6" t="str">
        <f>IF(AND(Calcs!S580&lt;&gt;"",Calcs!S580&lt;&gt;0),Calcs!S580,"Personnel "&amp;Calcs!Q580)</f>
        <v xml:space="preserve">Personnel </v>
      </c>
      <c r="B124" s="6" t="str">
        <f>IF(AND(Calcs!T580&lt;&gt;"",Calcs!T580&lt;&gt;0),Calcs!T580,"Personnel "&amp;Calcs!R580)</f>
        <v>Personnel 29</v>
      </c>
      <c r="C124" s="7">
        <f>IF($BL124&lt;&gt;"Yes",0,Calcs!W580*(1+Calcs!$Q527+Calcs!$R527))</f>
        <v>0</v>
      </c>
      <c r="D124" s="7">
        <f>IF($BL124&lt;&gt;"Yes",0,Calcs!X580*(1+Calcs!$Q527+Calcs!$R527))</f>
        <v>0</v>
      </c>
      <c r="E124" s="7">
        <f>IF($BL124&lt;&gt;"Yes",0,Calcs!Y580*(1+Calcs!$Q527+Calcs!$R527))</f>
        <v>0</v>
      </c>
      <c r="F124" s="7">
        <f>IF($BL124&lt;&gt;"Yes",0,Calcs!Z580*(1+Calcs!$Q527+Calcs!$R527))</f>
        <v>0</v>
      </c>
      <c r="G124" s="7">
        <f>IF($BL124&lt;&gt;"Yes",0,Calcs!AA580*(1+Calcs!$Q527+Calcs!$R527))</f>
        <v>0</v>
      </c>
      <c r="H124" s="40"/>
      <c r="I124" s="7">
        <f>IF($BL124&lt;&gt;"Yes",0,Calcs!AC580*(1+Calcs!$Q527+Calcs!$R527))</f>
        <v>0</v>
      </c>
      <c r="J124" s="7">
        <f>IF($BL124&lt;&gt;"Yes",0,Calcs!AD580*(1+Calcs!$Q527+Calcs!$R527))</f>
        <v>0</v>
      </c>
      <c r="K124" s="7">
        <f>IF($BL124&lt;&gt;"Yes",0,Calcs!AE580*(1+Calcs!$Q527+Calcs!$R527))</f>
        <v>0</v>
      </c>
      <c r="L124" s="7">
        <f>IF($BL124&lt;&gt;"Yes",0,Calcs!AF580*(1+Calcs!$Q527+Calcs!$R527))</f>
        <v>0</v>
      </c>
      <c r="M124" s="7">
        <f>IF($BL124&lt;&gt;"Yes",0,Calcs!AG580*(1+Calcs!$Q527+Calcs!$R527))</f>
        <v>0</v>
      </c>
      <c r="N124" s="7">
        <f>IF($BL124&lt;&gt;"Yes",0,Calcs!AH580*(1+Calcs!$Q527+Calcs!$R527))</f>
        <v>0</v>
      </c>
      <c r="O124" s="7">
        <f>IF($BL124&lt;&gt;"Yes",0,Calcs!AI580*(1+Calcs!$Q527+Calcs!$R527))</f>
        <v>0</v>
      </c>
      <c r="P124" s="7">
        <f>IF($BL124&lt;&gt;"Yes",0,Calcs!AJ580*(1+Calcs!$Q527+Calcs!$R527))</f>
        <v>0</v>
      </c>
      <c r="Q124" s="7">
        <f>IF($BL124&lt;&gt;"Yes",0,Calcs!AK580*(1+Calcs!$Q527+Calcs!$R527))</f>
        <v>0</v>
      </c>
      <c r="R124" s="7">
        <f>IF($BL124&lt;&gt;"Yes",0,Calcs!AL580*(1+Calcs!$Q527+Calcs!$R527))</f>
        <v>0</v>
      </c>
      <c r="S124" s="7">
        <f>IF($BL124&lt;&gt;"Yes",0,Calcs!AM580*(1+Calcs!$Q527+Calcs!$R527))</f>
        <v>0</v>
      </c>
      <c r="T124" s="7">
        <f>IF($BL124&lt;&gt;"Yes",0,Calcs!AN580*(1+Calcs!$Q527+Calcs!$R527))</f>
        <v>0</v>
      </c>
      <c r="U124" s="7">
        <f>IF($BL124&lt;&gt;"Yes",0,Calcs!AO580*(1+Calcs!$Q527+Calcs!$R527))</f>
        <v>0</v>
      </c>
      <c r="V124" s="7">
        <f>IF($BL124&lt;&gt;"Yes",0,Calcs!AP580*(1+Calcs!$Q527+Calcs!$R527))</f>
        <v>0</v>
      </c>
      <c r="W124" s="7">
        <f>IF($BL124&lt;&gt;"Yes",0,Calcs!AQ580*(1+Calcs!$Q527+Calcs!$R527))</f>
        <v>0</v>
      </c>
      <c r="X124" s="7">
        <f>IF($BL124&lt;&gt;"Yes",0,Calcs!AR580*(1+Calcs!$Q527+Calcs!$R527))</f>
        <v>0</v>
      </c>
      <c r="Y124" s="7">
        <f>IF($BL124&lt;&gt;"Yes",0,Calcs!AS580*(1+Calcs!$Q527+Calcs!$R527))</f>
        <v>0</v>
      </c>
      <c r="Z124" s="7">
        <f>IF($BL124&lt;&gt;"Yes",0,Calcs!AT580*(1+Calcs!$Q527+Calcs!$R527))</f>
        <v>0</v>
      </c>
      <c r="AA124" s="7">
        <f>IF($BL124&lt;&gt;"Yes",0,Calcs!AU580*(1+Calcs!$Q527+Calcs!$R527))</f>
        <v>0</v>
      </c>
      <c r="AB124" s="7">
        <f>IF($BL124&lt;&gt;"Yes",0,Calcs!AV580*(1+Calcs!$Q527+Calcs!$R527))</f>
        <v>0</v>
      </c>
      <c r="AC124" s="7">
        <f>IF($BL124&lt;&gt;"Yes",0,Calcs!AW580*(1+Calcs!$Q527+Calcs!$R527))</f>
        <v>0</v>
      </c>
      <c r="AD124" s="7">
        <f>IF($BL124&lt;&gt;"Yes",0,Calcs!AX580*(1+Calcs!$Q527+Calcs!$R527))</f>
        <v>0</v>
      </c>
      <c r="AE124" s="7">
        <f>IF($BL124&lt;&gt;"Yes",0,Calcs!AY580*(1+Calcs!$Q527+Calcs!$R527))</f>
        <v>0</v>
      </c>
      <c r="AF124" s="7">
        <f>IF($BL124&lt;&gt;"Yes",0,Calcs!AZ580*(1+Calcs!$Q527+Calcs!$R527))</f>
        <v>0</v>
      </c>
      <c r="AG124" s="7">
        <f>IF($BL124&lt;&gt;"Yes",0,Calcs!BA580*(1+Calcs!$Q527+Calcs!$R527))</f>
        <v>0</v>
      </c>
      <c r="AH124" s="7">
        <f>IF($BL124&lt;&gt;"Yes",0,Calcs!BB580*(1+Calcs!$Q527+Calcs!$R527))</f>
        <v>0</v>
      </c>
      <c r="AI124" s="7">
        <f>IF($BL124&lt;&gt;"Yes",0,Calcs!BC580*(1+Calcs!$Q527+Calcs!$R527))</f>
        <v>0</v>
      </c>
      <c r="AJ124" s="7">
        <f>IF($BL124&lt;&gt;"Yes",0,Calcs!BD580*(1+Calcs!$Q527+Calcs!$R527))</f>
        <v>0</v>
      </c>
      <c r="AK124" s="7">
        <f>IF($BL124&lt;&gt;"Yes",0,Calcs!BE580*(1+Calcs!$Q527+Calcs!$R527))</f>
        <v>0</v>
      </c>
      <c r="AL124" s="7">
        <f>IF($BL124&lt;&gt;"Yes",0,Calcs!BF580*(1+Calcs!$Q527+Calcs!$R527))</f>
        <v>0</v>
      </c>
      <c r="AM124" s="7">
        <f>IF($BL124&lt;&gt;"Yes",0,Calcs!BG580*(1+Calcs!$Q527+Calcs!$R527))</f>
        <v>0</v>
      </c>
      <c r="AN124" s="7">
        <f>IF($BL124&lt;&gt;"Yes",0,Calcs!BH580*(1+Calcs!$Q527+Calcs!$R527))</f>
        <v>0</v>
      </c>
      <c r="AO124" s="7">
        <f>IF($BL124&lt;&gt;"Yes",0,Calcs!BI580*(1+Calcs!$Q527+Calcs!$R527))</f>
        <v>0</v>
      </c>
      <c r="AP124" s="7">
        <f>IF($BL124&lt;&gt;"Yes",0,Calcs!BJ580*(1+Calcs!$Q527+Calcs!$R527))</f>
        <v>0</v>
      </c>
      <c r="AQ124" s="7">
        <f>IF($BL124&lt;&gt;"Yes",0,Calcs!BK580*(1+Calcs!$Q527+Calcs!$R527))</f>
        <v>0</v>
      </c>
      <c r="AR124" s="7">
        <f>IF($BL124&lt;&gt;"Yes",0,Calcs!BL580*(1+Calcs!$Q527+Calcs!$R527))</f>
        <v>0</v>
      </c>
      <c r="AS124" s="7">
        <f>IF($BL124&lt;&gt;"Yes",0,Calcs!BM580*(1+Calcs!$Q527+Calcs!$R527))</f>
        <v>0</v>
      </c>
      <c r="AT124" s="7">
        <f>IF($BL124&lt;&gt;"Yes",0,Calcs!BN580*(1+Calcs!$Q527+Calcs!$R527))</f>
        <v>0</v>
      </c>
      <c r="AU124" s="7">
        <f>IF($BL124&lt;&gt;"Yes",0,Calcs!BO580*(1+Calcs!$Q527+Calcs!$R527))</f>
        <v>0</v>
      </c>
      <c r="AV124" s="7">
        <f>IF($BL124&lt;&gt;"Yes",0,Calcs!BP580*(1+Calcs!$Q527+Calcs!$R527))</f>
        <v>0</v>
      </c>
      <c r="AW124" s="7">
        <f>IF($BL124&lt;&gt;"Yes",0,Calcs!BQ580*(1+Calcs!$Q527+Calcs!$R527))</f>
        <v>0</v>
      </c>
      <c r="AX124" s="7">
        <f>IF($BL124&lt;&gt;"Yes",0,Calcs!BR580*(1+Calcs!$Q527+Calcs!$R527))</f>
        <v>0</v>
      </c>
      <c r="AY124" s="7">
        <f>IF($BL124&lt;&gt;"Yes",0,Calcs!BS580*(1+Calcs!$Q527+Calcs!$R527))</f>
        <v>0</v>
      </c>
      <c r="AZ124" s="7">
        <f>IF($BL124&lt;&gt;"Yes",0,Calcs!BT580*(1+Calcs!$Q527+Calcs!$R527))</f>
        <v>0</v>
      </c>
      <c r="BA124" s="7">
        <f>IF($BL124&lt;&gt;"Yes",0,Calcs!BU580*(1+Calcs!$Q527+Calcs!$R527))</f>
        <v>0</v>
      </c>
      <c r="BB124" s="7">
        <f>IF($BL124&lt;&gt;"Yes",0,Calcs!BV580*(1+Calcs!$Q527+Calcs!$R527))</f>
        <v>0</v>
      </c>
      <c r="BC124" s="7">
        <f>IF($BL124&lt;&gt;"Yes",0,Calcs!BW580*(1+Calcs!$Q527+Calcs!$R527))</f>
        <v>0</v>
      </c>
      <c r="BD124" s="7">
        <f>IF($BL124&lt;&gt;"Yes",0,Calcs!BX580*(1+Calcs!$Q527+Calcs!$R527))</f>
        <v>0</v>
      </c>
      <c r="BE124" s="7">
        <f>IF($BL124&lt;&gt;"Yes",0,Calcs!BY580*(1+Calcs!$Q527+Calcs!$R527))</f>
        <v>0</v>
      </c>
      <c r="BF124" s="7">
        <f>IF($BL124&lt;&gt;"Yes",0,Calcs!BZ580*(1+Calcs!$Q527+Calcs!$R527))</f>
        <v>0</v>
      </c>
      <c r="BG124" s="7">
        <f>IF($BL124&lt;&gt;"Yes",0,Calcs!CA580*(1+Calcs!$Q527+Calcs!$R527))</f>
        <v>0</v>
      </c>
      <c r="BH124" s="7">
        <f>IF($BL124&lt;&gt;"Yes",0,Calcs!CB580*(1+Calcs!$Q527+Calcs!$R527))</f>
        <v>0</v>
      </c>
      <c r="BI124" s="7">
        <f>IF($BL124&lt;&gt;"Yes",0,Calcs!CC580*(1+Calcs!$Q527+Calcs!$R527))</f>
        <v>0</v>
      </c>
      <c r="BJ124" s="7">
        <f>IF($BL124&lt;&gt;"Yes",0,Calcs!CD580*(1+Calcs!$Q527+Calcs!$R527))</f>
        <v>0</v>
      </c>
    </row>
    <row r="125" spans="1:62" s="5" customFormat="1" ht="13" hidden="1" customHeight="1" x14ac:dyDescent="0.3">
      <c r="A125" s="6" t="str">
        <f>IF(AND(Calcs!S581&lt;&gt;"",Calcs!S581&lt;&gt;0),Calcs!S581,"Personnel "&amp;Calcs!Q581)</f>
        <v xml:space="preserve">Personnel </v>
      </c>
      <c r="B125" s="6" t="str">
        <f>IF(AND(Calcs!T581&lt;&gt;"",Calcs!T581&lt;&gt;0),Calcs!T581,"Personnel "&amp;Calcs!R581)</f>
        <v>Personnel 30</v>
      </c>
      <c r="C125" s="7">
        <f>IF($BL125&lt;&gt;"Yes",0,Calcs!W581*(1+Calcs!$Q528+Calcs!$R528))</f>
        <v>0</v>
      </c>
      <c r="D125" s="7">
        <f>IF($BL125&lt;&gt;"Yes",0,Calcs!X581*(1+Calcs!$Q528+Calcs!$R528))</f>
        <v>0</v>
      </c>
      <c r="E125" s="7">
        <f>IF($BL125&lt;&gt;"Yes",0,Calcs!Y581*(1+Calcs!$Q528+Calcs!$R528))</f>
        <v>0</v>
      </c>
      <c r="F125" s="7">
        <f>IF($BL125&lt;&gt;"Yes",0,Calcs!Z581*(1+Calcs!$Q528+Calcs!$R528))</f>
        <v>0</v>
      </c>
      <c r="G125" s="7">
        <f>IF($BL125&lt;&gt;"Yes",0,Calcs!AA581*(1+Calcs!$Q528+Calcs!$R528))</f>
        <v>0</v>
      </c>
      <c r="H125" s="40"/>
      <c r="I125" s="7">
        <f>IF($BL125&lt;&gt;"Yes",0,Calcs!AC581*(1+Calcs!$Q528+Calcs!$R528))</f>
        <v>0</v>
      </c>
      <c r="J125" s="7">
        <f>IF($BL125&lt;&gt;"Yes",0,Calcs!AD581*(1+Calcs!$Q528+Calcs!$R528))</f>
        <v>0</v>
      </c>
      <c r="K125" s="7">
        <f>IF($BL125&lt;&gt;"Yes",0,Calcs!AE581*(1+Calcs!$Q528+Calcs!$R528))</f>
        <v>0</v>
      </c>
      <c r="L125" s="7">
        <f>IF($BL125&lt;&gt;"Yes",0,Calcs!AF581*(1+Calcs!$Q528+Calcs!$R528))</f>
        <v>0</v>
      </c>
      <c r="M125" s="7">
        <f>IF($BL125&lt;&gt;"Yes",0,Calcs!AG581*(1+Calcs!$Q528+Calcs!$R528))</f>
        <v>0</v>
      </c>
      <c r="N125" s="7">
        <f>IF($BL125&lt;&gt;"Yes",0,Calcs!AH581*(1+Calcs!$Q528+Calcs!$R528))</f>
        <v>0</v>
      </c>
      <c r="O125" s="7">
        <f>IF($BL125&lt;&gt;"Yes",0,Calcs!AI581*(1+Calcs!$Q528+Calcs!$R528))</f>
        <v>0</v>
      </c>
      <c r="P125" s="7">
        <f>IF($BL125&lt;&gt;"Yes",0,Calcs!AJ581*(1+Calcs!$Q528+Calcs!$R528))</f>
        <v>0</v>
      </c>
      <c r="Q125" s="7">
        <f>IF($BL125&lt;&gt;"Yes",0,Calcs!AK581*(1+Calcs!$Q528+Calcs!$R528))</f>
        <v>0</v>
      </c>
      <c r="R125" s="7">
        <f>IF($BL125&lt;&gt;"Yes",0,Calcs!AL581*(1+Calcs!$Q528+Calcs!$R528))</f>
        <v>0</v>
      </c>
      <c r="S125" s="7">
        <f>IF($BL125&lt;&gt;"Yes",0,Calcs!AM581*(1+Calcs!$Q528+Calcs!$R528))</f>
        <v>0</v>
      </c>
      <c r="T125" s="7">
        <f>IF($BL125&lt;&gt;"Yes",0,Calcs!AN581*(1+Calcs!$Q528+Calcs!$R528))</f>
        <v>0</v>
      </c>
      <c r="U125" s="7">
        <f>IF($BL125&lt;&gt;"Yes",0,Calcs!AO581*(1+Calcs!$Q528+Calcs!$R528))</f>
        <v>0</v>
      </c>
      <c r="V125" s="7">
        <f>IF($BL125&lt;&gt;"Yes",0,Calcs!AP581*(1+Calcs!$Q528+Calcs!$R528))</f>
        <v>0</v>
      </c>
      <c r="W125" s="7">
        <f>IF($BL125&lt;&gt;"Yes",0,Calcs!AQ581*(1+Calcs!$Q528+Calcs!$R528))</f>
        <v>0</v>
      </c>
      <c r="X125" s="7">
        <f>IF($BL125&lt;&gt;"Yes",0,Calcs!AR581*(1+Calcs!$Q528+Calcs!$R528))</f>
        <v>0</v>
      </c>
      <c r="Y125" s="7">
        <f>IF($BL125&lt;&gt;"Yes",0,Calcs!AS581*(1+Calcs!$Q528+Calcs!$R528))</f>
        <v>0</v>
      </c>
      <c r="Z125" s="7">
        <f>IF($BL125&lt;&gt;"Yes",0,Calcs!AT581*(1+Calcs!$Q528+Calcs!$R528))</f>
        <v>0</v>
      </c>
      <c r="AA125" s="7">
        <f>IF($BL125&lt;&gt;"Yes",0,Calcs!AU581*(1+Calcs!$Q528+Calcs!$R528))</f>
        <v>0</v>
      </c>
      <c r="AB125" s="7">
        <f>IF($BL125&lt;&gt;"Yes",0,Calcs!AV581*(1+Calcs!$Q528+Calcs!$R528))</f>
        <v>0</v>
      </c>
      <c r="AC125" s="7">
        <f>IF($BL125&lt;&gt;"Yes",0,Calcs!AW581*(1+Calcs!$Q528+Calcs!$R528))</f>
        <v>0</v>
      </c>
      <c r="AD125" s="7">
        <f>IF($BL125&lt;&gt;"Yes",0,Calcs!AX581*(1+Calcs!$Q528+Calcs!$R528))</f>
        <v>0</v>
      </c>
      <c r="AE125" s="7">
        <f>IF($BL125&lt;&gt;"Yes",0,Calcs!AY581*(1+Calcs!$Q528+Calcs!$R528))</f>
        <v>0</v>
      </c>
      <c r="AF125" s="7">
        <f>IF($BL125&lt;&gt;"Yes",0,Calcs!AZ581*(1+Calcs!$Q528+Calcs!$R528))</f>
        <v>0</v>
      </c>
      <c r="AG125" s="7">
        <f>IF($BL125&lt;&gt;"Yes",0,Calcs!BA581*(1+Calcs!$Q528+Calcs!$R528))</f>
        <v>0</v>
      </c>
      <c r="AH125" s="7">
        <f>IF($BL125&lt;&gt;"Yes",0,Calcs!BB581*(1+Calcs!$Q528+Calcs!$R528))</f>
        <v>0</v>
      </c>
      <c r="AI125" s="7">
        <f>IF($BL125&lt;&gt;"Yes",0,Calcs!BC581*(1+Calcs!$Q528+Calcs!$R528))</f>
        <v>0</v>
      </c>
      <c r="AJ125" s="7">
        <f>IF($BL125&lt;&gt;"Yes",0,Calcs!BD581*(1+Calcs!$Q528+Calcs!$R528))</f>
        <v>0</v>
      </c>
      <c r="AK125" s="7">
        <f>IF($BL125&lt;&gt;"Yes",0,Calcs!BE581*(1+Calcs!$Q528+Calcs!$R528))</f>
        <v>0</v>
      </c>
      <c r="AL125" s="7">
        <f>IF($BL125&lt;&gt;"Yes",0,Calcs!BF581*(1+Calcs!$Q528+Calcs!$R528))</f>
        <v>0</v>
      </c>
      <c r="AM125" s="7">
        <f>IF($BL125&lt;&gt;"Yes",0,Calcs!BG581*(1+Calcs!$Q528+Calcs!$R528))</f>
        <v>0</v>
      </c>
      <c r="AN125" s="7">
        <f>IF($BL125&lt;&gt;"Yes",0,Calcs!BH581*(1+Calcs!$Q528+Calcs!$R528))</f>
        <v>0</v>
      </c>
      <c r="AO125" s="7">
        <f>IF($BL125&lt;&gt;"Yes",0,Calcs!BI581*(1+Calcs!$Q528+Calcs!$R528))</f>
        <v>0</v>
      </c>
      <c r="AP125" s="7">
        <f>IF($BL125&lt;&gt;"Yes",0,Calcs!BJ581*(1+Calcs!$Q528+Calcs!$R528))</f>
        <v>0</v>
      </c>
      <c r="AQ125" s="7">
        <f>IF($BL125&lt;&gt;"Yes",0,Calcs!BK581*(1+Calcs!$Q528+Calcs!$R528))</f>
        <v>0</v>
      </c>
      <c r="AR125" s="7">
        <f>IF($BL125&lt;&gt;"Yes",0,Calcs!BL581*(1+Calcs!$Q528+Calcs!$R528))</f>
        <v>0</v>
      </c>
      <c r="AS125" s="7">
        <f>IF($BL125&lt;&gt;"Yes",0,Calcs!BM581*(1+Calcs!$Q528+Calcs!$R528))</f>
        <v>0</v>
      </c>
      <c r="AT125" s="7">
        <f>IF($BL125&lt;&gt;"Yes",0,Calcs!BN581*(1+Calcs!$Q528+Calcs!$R528))</f>
        <v>0</v>
      </c>
      <c r="AU125" s="7">
        <f>IF($BL125&lt;&gt;"Yes",0,Calcs!BO581*(1+Calcs!$Q528+Calcs!$R528))</f>
        <v>0</v>
      </c>
      <c r="AV125" s="7">
        <f>IF($BL125&lt;&gt;"Yes",0,Calcs!BP581*(1+Calcs!$Q528+Calcs!$R528))</f>
        <v>0</v>
      </c>
      <c r="AW125" s="7">
        <f>IF($BL125&lt;&gt;"Yes",0,Calcs!BQ581*(1+Calcs!$Q528+Calcs!$R528))</f>
        <v>0</v>
      </c>
      <c r="AX125" s="7">
        <f>IF($BL125&lt;&gt;"Yes",0,Calcs!BR581*(1+Calcs!$Q528+Calcs!$R528))</f>
        <v>0</v>
      </c>
      <c r="AY125" s="7">
        <f>IF($BL125&lt;&gt;"Yes",0,Calcs!BS581*(1+Calcs!$Q528+Calcs!$R528))</f>
        <v>0</v>
      </c>
      <c r="AZ125" s="7">
        <f>IF($BL125&lt;&gt;"Yes",0,Calcs!BT581*(1+Calcs!$Q528+Calcs!$R528))</f>
        <v>0</v>
      </c>
      <c r="BA125" s="7">
        <f>IF($BL125&lt;&gt;"Yes",0,Calcs!BU581*(1+Calcs!$Q528+Calcs!$R528))</f>
        <v>0</v>
      </c>
      <c r="BB125" s="7">
        <f>IF($BL125&lt;&gt;"Yes",0,Calcs!BV581*(1+Calcs!$Q528+Calcs!$R528))</f>
        <v>0</v>
      </c>
      <c r="BC125" s="7">
        <f>IF($BL125&lt;&gt;"Yes",0,Calcs!BW581*(1+Calcs!$Q528+Calcs!$R528))</f>
        <v>0</v>
      </c>
      <c r="BD125" s="7">
        <f>IF($BL125&lt;&gt;"Yes",0,Calcs!BX581*(1+Calcs!$Q528+Calcs!$R528))</f>
        <v>0</v>
      </c>
      <c r="BE125" s="7">
        <f>IF($BL125&lt;&gt;"Yes",0,Calcs!BY581*(1+Calcs!$Q528+Calcs!$R528))</f>
        <v>0</v>
      </c>
      <c r="BF125" s="7">
        <f>IF($BL125&lt;&gt;"Yes",0,Calcs!BZ581*(1+Calcs!$Q528+Calcs!$R528))</f>
        <v>0</v>
      </c>
      <c r="BG125" s="7">
        <f>IF($BL125&lt;&gt;"Yes",0,Calcs!CA581*(1+Calcs!$Q528+Calcs!$R528))</f>
        <v>0</v>
      </c>
      <c r="BH125" s="7">
        <f>IF($BL125&lt;&gt;"Yes",0,Calcs!CB581*(1+Calcs!$Q528+Calcs!$R528))</f>
        <v>0</v>
      </c>
      <c r="BI125" s="7">
        <f>IF($BL125&lt;&gt;"Yes",0,Calcs!CC581*(1+Calcs!$Q528+Calcs!$R528))</f>
        <v>0</v>
      </c>
      <c r="BJ125" s="7">
        <f>IF($BL125&lt;&gt;"Yes",0,Calcs!CD581*(1+Calcs!$Q528+Calcs!$R528))</f>
        <v>0</v>
      </c>
    </row>
    <row r="126" spans="1:62" s="5" customFormat="1" ht="13" hidden="1" customHeight="1" x14ac:dyDescent="0.3">
      <c r="A126" s="6" t="str">
        <f>IF(AND(Calcs!S582&lt;&gt;"",Calcs!S582&lt;&gt;0),Calcs!S582,"Personnel "&amp;Calcs!Q582)</f>
        <v xml:space="preserve">Personnel </v>
      </c>
      <c r="B126" s="6" t="str">
        <f>IF(AND(Calcs!T582&lt;&gt;"",Calcs!T582&lt;&gt;0),Calcs!T582,"Personnel "&amp;Calcs!R582)</f>
        <v>Personnel 31</v>
      </c>
      <c r="C126" s="7">
        <f>IF($BL126&lt;&gt;"Yes",0,Calcs!W582*(1+Calcs!$Q529+Calcs!$R529))</f>
        <v>0</v>
      </c>
      <c r="D126" s="7">
        <f>IF($BL126&lt;&gt;"Yes",0,Calcs!X582*(1+Calcs!$Q529+Calcs!$R529))</f>
        <v>0</v>
      </c>
      <c r="E126" s="7">
        <f>IF($BL126&lt;&gt;"Yes",0,Calcs!Y582*(1+Calcs!$Q529+Calcs!$R529))</f>
        <v>0</v>
      </c>
      <c r="F126" s="7">
        <f>IF($BL126&lt;&gt;"Yes",0,Calcs!Z582*(1+Calcs!$Q529+Calcs!$R529))</f>
        <v>0</v>
      </c>
      <c r="G126" s="7">
        <f>IF($BL126&lt;&gt;"Yes",0,Calcs!AA582*(1+Calcs!$Q529+Calcs!$R529))</f>
        <v>0</v>
      </c>
      <c r="H126" s="40"/>
      <c r="I126" s="7">
        <f>IF($BL126&lt;&gt;"Yes",0,Calcs!AC582*(1+Calcs!$Q529+Calcs!$R529))</f>
        <v>0</v>
      </c>
      <c r="J126" s="7">
        <f>IF($BL126&lt;&gt;"Yes",0,Calcs!AD582*(1+Calcs!$Q529+Calcs!$R529))</f>
        <v>0</v>
      </c>
      <c r="K126" s="7">
        <f>IF($BL126&lt;&gt;"Yes",0,Calcs!AE582*(1+Calcs!$Q529+Calcs!$R529))</f>
        <v>0</v>
      </c>
      <c r="L126" s="7">
        <f>IF($BL126&lt;&gt;"Yes",0,Calcs!AF582*(1+Calcs!$Q529+Calcs!$R529))</f>
        <v>0</v>
      </c>
      <c r="M126" s="7">
        <f>IF($BL126&lt;&gt;"Yes",0,Calcs!AG582*(1+Calcs!$Q529+Calcs!$R529))</f>
        <v>0</v>
      </c>
      <c r="N126" s="7">
        <f>IF($BL126&lt;&gt;"Yes",0,Calcs!AH582*(1+Calcs!$Q529+Calcs!$R529))</f>
        <v>0</v>
      </c>
      <c r="O126" s="7">
        <f>IF($BL126&lt;&gt;"Yes",0,Calcs!AI582*(1+Calcs!$Q529+Calcs!$R529))</f>
        <v>0</v>
      </c>
      <c r="P126" s="7">
        <f>IF($BL126&lt;&gt;"Yes",0,Calcs!AJ582*(1+Calcs!$Q529+Calcs!$R529))</f>
        <v>0</v>
      </c>
      <c r="Q126" s="7">
        <f>IF($BL126&lt;&gt;"Yes",0,Calcs!AK582*(1+Calcs!$Q529+Calcs!$R529))</f>
        <v>0</v>
      </c>
      <c r="R126" s="7">
        <f>IF($BL126&lt;&gt;"Yes",0,Calcs!AL582*(1+Calcs!$Q529+Calcs!$R529))</f>
        <v>0</v>
      </c>
      <c r="S126" s="7">
        <f>IF($BL126&lt;&gt;"Yes",0,Calcs!AM582*(1+Calcs!$Q529+Calcs!$R529))</f>
        <v>0</v>
      </c>
      <c r="T126" s="7">
        <f>IF($BL126&lt;&gt;"Yes",0,Calcs!AN582*(1+Calcs!$Q529+Calcs!$R529))</f>
        <v>0</v>
      </c>
      <c r="U126" s="7">
        <f>IF($BL126&lt;&gt;"Yes",0,Calcs!AO582*(1+Calcs!$Q529+Calcs!$R529))</f>
        <v>0</v>
      </c>
      <c r="V126" s="7">
        <f>IF($BL126&lt;&gt;"Yes",0,Calcs!AP582*(1+Calcs!$Q529+Calcs!$R529))</f>
        <v>0</v>
      </c>
      <c r="W126" s="7">
        <f>IF($BL126&lt;&gt;"Yes",0,Calcs!AQ582*(1+Calcs!$Q529+Calcs!$R529))</f>
        <v>0</v>
      </c>
      <c r="X126" s="7">
        <f>IF($BL126&lt;&gt;"Yes",0,Calcs!AR582*(1+Calcs!$Q529+Calcs!$R529))</f>
        <v>0</v>
      </c>
      <c r="Y126" s="7">
        <f>IF($BL126&lt;&gt;"Yes",0,Calcs!AS582*(1+Calcs!$Q529+Calcs!$R529))</f>
        <v>0</v>
      </c>
      <c r="Z126" s="7">
        <f>IF($BL126&lt;&gt;"Yes",0,Calcs!AT582*(1+Calcs!$Q529+Calcs!$R529))</f>
        <v>0</v>
      </c>
      <c r="AA126" s="7">
        <f>IF($BL126&lt;&gt;"Yes",0,Calcs!AU582*(1+Calcs!$Q529+Calcs!$R529))</f>
        <v>0</v>
      </c>
      <c r="AB126" s="7">
        <f>IF($BL126&lt;&gt;"Yes",0,Calcs!AV582*(1+Calcs!$Q529+Calcs!$R529))</f>
        <v>0</v>
      </c>
      <c r="AC126" s="7">
        <f>IF($BL126&lt;&gt;"Yes",0,Calcs!AW582*(1+Calcs!$Q529+Calcs!$R529))</f>
        <v>0</v>
      </c>
      <c r="AD126" s="7">
        <f>IF($BL126&lt;&gt;"Yes",0,Calcs!AX582*(1+Calcs!$Q529+Calcs!$R529))</f>
        <v>0</v>
      </c>
      <c r="AE126" s="7">
        <f>IF($BL126&lt;&gt;"Yes",0,Calcs!AY582*(1+Calcs!$Q529+Calcs!$R529))</f>
        <v>0</v>
      </c>
      <c r="AF126" s="7">
        <f>IF($BL126&lt;&gt;"Yes",0,Calcs!AZ582*(1+Calcs!$Q529+Calcs!$R529))</f>
        <v>0</v>
      </c>
      <c r="AG126" s="7">
        <f>IF($BL126&lt;&gt;"Yes",0,Calcs!BA582*(1+Calcs!$Q529+Calcs!$R529))</f>
        <v>0</v>
      </c>
      <c r="AH126" s="7">
        <f>IF($BL126&lt;&gt;"Yes",0,Calcs!BB582*(1+Calcs!$Q529+Calcs!$R529))</f>
        <v>0</v>
      </c>
      <c r="AI126" s="7">
        <f>IF($BL126&lt;&gt;"Yes",0,Calcs!BC582*(1+Calcs!$Q529+Calcs!$R529))</f>
        <v>0</v>
      </c>
      <c r="AJ126" s="7">
        <f>IF($BL126&lt;&gt;"Yes",0,Calcs!BD582*(1+Calcs!$Q529+Calcs!$R529))</f>
        <v>0</v>
      </c>
      <c r="AK126" s="7">
        <f>IF($BL126&lt;&gt;"Yes",0,Calcs!BE582*(1+Calcs!$Q529+Calcs!$R529))</f>
        <v>0</v>
      </c>
      <c r="AL126" s="7">
        <f>IF($BL126&lt;&gt;"Yes",0,Calcs!BF582*(1+Calcs!$Q529+Calcs!$R529))</f>
        <v>0</v>
      </c>
      <c r="AM126" s="7">
        <f>IF($BL126&lt;&gt;"Yes",0,Calcs!BG582*(1+Calcs!$Q529+Calcs!$R529))</f>
        <v>0</v>
      </c>
      <c r="AN126" s="7">
        <f>IF($BL126&lt;&gt;"Yes",0,Calcs!BH582*(1+Calcs!$Q529+Calcs!$R529))</f>
        <v>0</v>
      </c>
      <c r="AO126" s="7">
        <f>IF($BL126&lt;&gt;"Yes",0,Calcs!BI582*(1+Calcs!$Q529+Calcs!$R529))</f>
        <v>0</v>
      </c>
      <c r="AP126" s="7">
        <f>IF($BL126&lt;&gt;"Yes",0,Calcs!BJ582*(1+Calcs!$Q529+Calcs!$R529))</f>
        <v>0</v>
      </c>
      <c r="AQ126" s="7">
        <f>IF($BL126&lt;&gt;"Yes",0,Calcs!BK582*(1+Calcs!$Q529+Calcs!$R529))</f>
        <v>0</v>
      </c>
      <c r="AR126" s="7">
        <f>IF($BL126&lt;&gt;"Yes",0,Calcs!BL582*(1+Calcs!$Q529+Calcs!$R529))</f>
        <v>0</v>
      </c>
      <c r="AS126" s="7">
        <f>IF($BL126&lt;&gt;"Yes",0,Calcs!BM582*(1+Calcs!$Q529+Calcs!$R529))</f>
        <v>0</v>
      </c>
      <c r="AT126" s="7">
        <f>IF($BL126&lt;&gt;"Yes",0,Calcs!BN582*(1+Calcs!$Q529+Calcs!$R529))</f>
        <v>0</v>
      </c>
      <c r="AU126" s="7">
        <f>IF($BL126&lt;&gt;"Yes",0,Calcs!BO582*(1+Calcs!$Q529+Calcs!$R529))</f>
        <v>0</v>
      </c>
      <c r="AV126" s="7">
        <f>IF($BL126&lt;&gt;"Yes",0,Calcs!BP582*(1+Calcs!$Q529+Calcs!$R529))</f>
        <v>0</v>
      </c>
      <c r="AW126" s="7">
        <f>IF($BL126&lt;&gt;"Yes",0,Calcs!BQ582*(1+Calcs!$Q529+Calcs!$R529))</f>
        <v>0</v>
      </c>
      <c r="AX126" s="7">
        <f>IF($BL126&lt;&gt;"Yes",0,Calcs!BR582*(1+Calcs!$Q529+Calcs!$R529))</f>
        <v>0</v>
      </c>
      <c r="AY126" s="7">
        <f>IF($BL126&lt;&gt;"Yes",0,Calcs!BS582*(1+Calcs!$Q529+Calcs!$R529))</f>
        <v>0</v>
      </c>
      <c r="AZ126" s="7">
        <f>IF($BL126&lt;&gt;"Yes",0,Calcs!BT582*(1+Calcs!$Q529+Calcs!$R529))</f>
        <v>0</v>
      </c>
      <c r="BA126" s="7">
        <f>IF($BL126&lt;&gt;"Yes",0,Calcs!BU582*(1+Calcs!$Q529+Calcs!$R529))</f>
        <v>0</v>
      </c>
      <c r="BB126" s="7">
        <f>IF($BL126&lt;&gt;"Yes",0,Calcs!BV582*(1+Calcs!$Q529+Calcs!$R529))</f>
        <v>0</v>
      </c>
      <c r="BC126" s="7">
        <f>IF($BL126&lt;&gt;"Yes",0,Calcs!BW582*(1+Calcs!$Q529+Calcs!$R529))</f>
        <v>0</v>
      </c>
      <c r="BD126" s="7">
        <f>IF($BL126&lt;&gt;"Yes",0,Calcs!BX582*(1+Calcs!$Q529+Calcs!$R529))</f>
        <v>0</v>
      </c>
      <c r="BE126" s="7">
        <f>IF($BL126&lt;&gt;"Yes",0,Calcs!BY582*(1+Calcs!$Q529+Calcs!$R529))</f>
        <v>0</v>
      </c>
      <c r="BF126" s="7">
        <f>IF($BL126&lt;&gt;"Yes",0,Calcs!BZ582*(1+Calcs!$Q529+Calcs!$R529))</f>
        <v>0</v>
      </c>
      <c r="BG126" s="7">
        <f>IF($BL126&lt;&gt;"Yes",0,Calcs!CA582*(1+Calcs!$Q529+Calcs!$R529))</f>
        <v>0</v>
      </c>
      <c r="BH126" s="7">
        <f>IF($BL126&lt;&gt;"Yes",0,Calcs!CB582*(1+Calcs!$Q529+Calcs!$R529))</f>
        <v>0</v>
      </c>
      <c r="BI126" s="7">
        <f>IF($BL126&lt;&gt;"Yes",0,Calcs!CC582*(1+Calcs!$Q529+Calcs!$R529))</f>
        <v>0</v>
      </c>
      <c r="BJ126" s="7">
        <f>IF($BL126&lt;&gt;"Yes",0,Calcs!CD582*(1+Calcs!$Q529+Calcs!$R529))</f>
        <v>0</v>
      </c>
    </row>
    <row r="127" spans="1:62" s="5" customFormat="1" ht="13" hidden="1" customHeight="1" x14ac:dyDescent="0.3">
      <c r="A127" s="6" t="str">
        <f>IF(AND(Calcs!S583&lt;&gt;"",Calcs!S583&lt;&gt;0),Calcs!S583,"Personnel "&amp;Calcs!Q583)</f>
        <v xml:space="preserve">Personnel </v>
      </c>
      <c r="B127" s="6" t="str">
        <f>IF(AND(Calcs!T583&lt;&gt;"",Calcs!T583&lt;&gt;0),Calcs!T583,"Personnel "&amp;Calcs!R583)</f>
        <v>Personnel 32</v>
      </c>
      <c r="C127" s="7">
        <f>IF($BL127&lt;&gt;"Yes",0,Calcs!W583*(1+Calcs!$Q530+Calcs!$R530))</f>
        <v>0</v>
      </c>
      <c r="D127" s="7">
        <f>IF($BL127&lt;&gt;"Yes",0,Calcs!X583*(1+Calcs!$Q530+Calcs!$R530))</f>
        <v>0</v>
      </c>
      <c r="E127" s="7">
        <f>IF($BL127&lt;&gt;"Yes",0,Calcs!Y583*(1+Calcs!$Q530+Calcs!$R530))</f>
        <v>0</v>
      </c>
      <c r="F127" s="7">
        <f>IF($BL127&lt;&gt;"Yes",0,Calcs!Z583*(1+Calcs!$Q530+Calcs!$R530))</f>
        <v>0</v>
      </c>
      <c r="G127" s="7">
        <f>IF($BL127&lt;&gt;"Yes",0,Calcs!AA583*(1+Calcs!$Q530+Calcs!$R530))</f>
        <v>0</v>
      </c>
      <c r="H127" s="40"/>
      <c r="I127" s="7">
        <f>IF($BL127&lt;&gt;"Yes",0,Calcs!AC583*(1+Calcs!$Q530+Calcs!$R530))</f>
        <v>0</v>
      </c>
      <c r="J127" s="7">
        <f>IF($BL127&lt;&gt;"Yes",0,Calcs!AD583*(1+Calcs!$Q530+Calcs!$R530))</f>
        <v>0</v>
      </c>
      <c r="K127" s="7">
        <f>IF($BL127&lt;&gt;"Yes",0,Calcs!AE583*(1+Calcs!$Q530+Calcs!$R530))</f>
        <v>0</v>
      </c>
      <c r="L127" s="7">
        <f>IF($BL127&lt;&gt;"Yes",0,Calcs!AF583*(1+Calcs!$Q530+Calcs!$R530))</f>
        <v>0</v>
      </c>
      <c r="M127" s="7">
        <f>IF($BL127&lt;&gt;"Yes",0,Calcs!AG583*(1+Calcs!$Q530+Calcs!$R530))</f>
        <v>0</v>
      </c>
      <c r="N127" s="7">
        <f>IF($BL127&lt;&gt;"Yes",0,Calcs!AH583*(1+Calcs!$Q530+Calcs!$R530))</f>
        <v>0</v>
      </c>
      <c r="O127" s="7">
        <f>IF($BL127&lt;&gt;"Yes",0,Calcs!AI583*(1+Calcs!$Q530+Calcs!$R530))</f>
        <v>0</v>
      </c>
      <c r="P127" s="7">
        <f>IF($BL127&lt;&gt;"Yes",0,Calcs!AJ583*(1+Calcs!$Q530+Calcs!$R530))</f>
        <v>0</v>
      </c>
      <c r="Q127" s="7">
        <f>IF($BL127&lt;&gt;"Yes",0,Calcs!AK583*(1+Calcs!$Q530+Calcs!$R530))</f>
        <v>0</v>
      </c>
      <c r="R127" s="7">
        <f>IF($BL127&lt;&gt;"Yes",0,Calcs!AL583*(1+Calcs!$Q530+Calcs!$R530))</f>
        <v>0</v>
      </c>
      <c r="S127" s="7">
        <f>IF($BL127&lt;&gt;"Yes",0,Calcs!AM583*(1+Calcs!$Q530+Calcs!$R530))</f>
        <v>0</v>
      </c>
      <c r="T127" s="7">
        <f>IF($BL127&lt;&gt;"Yes",0,Calcs!AN583*(1+Calcs!$Q530+Calcs!$R530))</f>
        <v>0</v>
      </c>
      <c r="U127" s="7">
        <f>IF($BL127&lt;&gt;"Yes",0,Calcs!AO583*(1+Calcs!$Q530+Calcs!$R530))</f>
        <v>0</v>
      </c>
      <c r="V127" s="7">
        <f>IF($BL127&lt;&gt;"Yes",0,Calcs!AP583*(1+Calcs!$Q530+Calcs!$R530))</f>
        <v>0</v>
      </c>
      <c r="W127" s="7">
        <f>IF($BL127&lt;&gt;"Yes",0,Calcs!AQ583*(1+Calcs!$Q530+Calcs!$R530))</f>
        <v>0</v>
      </c>
      <c r="X127" s="7">
        <f>IF($BL127&lt;&gt;"Yes",0,Calcs!AR583*(1+Calcs!$Q530+Calcs!$R530))</f>
        <v>0</v>
      </c>
      <c r="Y127" s="7">
        <f>IF($BL127&lt;&gt;"Yes",0,Calcs!AS583*(1+Calcs!$Q530+Calcs!$R530))</f>
        <v>0</v>
      </c>
      <c r="Z127" s="7">
        <f>IF($BL127&lt;&gt;"Yes",0,Calcs!AT583*(1+Calcs!$Q530+Calcs!$R530))</f>
        <v>0</v>
      </c>
      <c r="AA127" s="7">
        <f>IF($BL127&lt;&gt;"Yes",0,Calcs!AU583*(1+Calcs!$Q530+Calcs!$R530))</f>
        <v>0</v>
      </c>
      <c r="AB127" s="7">
        <f>IF($BL127&lt;&gt;"Yes",0,Calcs!AV583*(1+Calcs!$Q530+Calcs!$R530))</f>
        <v>0</v>
      </c>
      <c r="AC127" s="7">
        <f>IF($BL127&lt;&gt;"Yes",0,Calcs!AW583*(1+Calcs!$Q530+Calcs!$R530))</f>
        <v>0</v>
      </c>
      <c r="AD127" s="7">
        <f>IF($BL127&lt;&gt;"Yes",0,Calcs!AX583*(1+Calcs!$Q530+Calcs!$R530))</f>
        <v>0</v>
      </c>
      <c r="AE127" s="7">
        <f>IF($BL127&lt;&gt;"Yes",0,Calcs!AY583*(1+Calcs!$Q530+Calcs!$R530))</f>
        <v>0</v>
      </c>
      <c r="AF127" s="7">
        <f>IF($BL127&lt;&gt;"Yes",0,Calcs!AZ583*(1+Calcs!$Q530+Calcs!$R530))</f>
        <v>0</v>
      </c>
      <c r="AG127" s="7">
        <f>IF($BL127&lt;&gt;"Yes",0,Calcs!BA583*(1+Calcs!$Q530+Calcs!$R530))</f>
        <v>0</v>
      </c>
      <c r="AH127" s="7">
        <f>IF($BL127&lt;&gt;"Yes",0,Calcs!BB583*(1+Calcs!$Q530+Calcs!$R530))</f>
        <v>0</v>
      </c>
      <c r="AI127" s="7">
        <f>IF($BL127&lt;&gt;"Yes",0,Calcs!BC583*(1+Calcs!$Q530+Calcs!$R530))</f>
        <v>0</v>
      </c>
      <c r="AJ127" s="7">
        <f>IF($BL127&lt;&gt;"Yes",0,Calcs!BD583*(1+Calcs!$Q530+Calcs!$R530))</f>
        <v>0</v>
      </c>
      <c r="AK127" s="7">
        <f>IF($BL127&lt;&gt;"Yes",0,Calcs!BE583*(1+Calcs!$Q530+Calcs!$R530))</f>
        <v>0</v>
      </c>
      <c r="AL127" s="7">
        <f>IF($BL127&lt;&gt;"Yes",0,Calcs!BF583*(1+Calcs!$Q530+Calcs!$R530))</f>
        <v>0</v>
      </c>
      <c r="AM127" s="7">
        <f>IF($BL127&lt;&gt;"Yes",0,Calcs!BG583*(1+Calcs!$Q530+Calcs!$R530))</f>
        <v>0</v>
      </c>
      <c r="AN127" s="7">
        <f>IF($BL127&lt;&gt;"Yes",0,Calcs!BH583*(1+Calcs!$Q530+Calcs!$R530))</f>
        <v>0</v>
      </c>
      <c r="AO127" s="7">
        <f>IF($BL127&lt;&gt;"Yes",0,Calcs!BI583*(1+Calcs!$Q530+Calcs!$R530))</f>
        <v>0</v>
      </c>
      <c r="AP127" s="7">
        <f>IF($BL127&lt;&gt;"Yes",0,Calcs!BJ583*(1+Calcs!$Q530+Calcs!$R530))</f>
        <v>0</v>
      </c>
      <c r="AQ127" s="7">
        <f>IF($BL127&lt;&gt;"Yes",0,Calcs!BK583*(1+Calcs!$Q530+Calcs!$R530))</f>
        <v>0</v>
      </c>
      <c r="AR127" s="7">
        <f>IF($BL127&lt;&gt;"Yes",0,Calcs!BL583*(1+Calcs!$Q530+Calcs!$R530))</f>
        <v>0</v>
      </c>
      <c r="AS127" s="7">
        <f>IF($BL127&lt;&gt;"Yes",0,Calcs!BM583*(1+Calcs!$Q530+Calcs!$R530))</f>
        <v>0</v>
      </c>
      <c r="AT127" s="7">
        <f>IF($BL127&lt;&gt;"Yes",0,Calcs!BN583*(1+Calcs!$Q530+Calcs!$R530))</f>
        <v>0</v>
      </c>
      <c r="AU127" s="7">
        <f>IF($BL127&lt;&gt;"Yes",0,Calcs!BO583*(1+Calcs!$Q530+Calcs!$R530))</f>
        <v>0</v>
      </c>
      <c r="AV127" s="7">
        <f>IF($BL127&lt;&gt;"Yes",0,Calcs!BP583*(1+Calcs!$Q530+Calcs!$R530))</f>
        <v>0</v>
      </c>
      <c r="AW127" s="7">
        <f>IF($BL127&lt;&gt;"Yes",0,Calcs!BQ583*(1+Calcs!$Q530+Calcs!$R530))</f>
        <v>0</v>
      </c>
      <c r="AX127" s="7">
        <f>IF($BL127&lt;&gt;"Yes",0,Calcs!BR583*(1+Calcs!$Q530+Calcs!$R530))</f>
        <v>0</v>
      </c>
      <c r="AY127" s="7">
        <f>IF($BL127&lt;&gt;"Yes",0,Calcs!BS583*(1+Calcs!$Q530+Calcs!$R530))</f>
        <v>0</v>
      </c>
      <c r="AZ127" s="7">
        <f>IF($BL127&lt;&gt;"Yes",0,Calcs!BT583*(1+Calcs!$Q530+Calcs!$R530))</f>
        <v>0</v>
      </c>
      <c r="BA127" s="7">
        <f>IF($BL127&lt;&gt;"Yes",0,Calcs!BU583*(1+Calcs!$Q530+Calcs!$R530))</f>
        <v>0</v>
      </c>
      <c r="BB127" s="7">
        <f>IF($BL127&lt;&gt;"Yes",0,Calcs!BV583*(1+Calcs!$Q530+Calcs!$R530))</f>
        <v>0</v>
      </c>
      <c r="BC127" s="7">
        <f>IF($BL127&lt;&gt;"Yes",0,Calcs!BW583*(1+Calcs!$Q530+Calcs!$R530))</f>
        <v>0</v>
      </c>
      <c r="BD127" s="7">
        <f>IF($BL127&lt;&gt;"Yes",0,Calcs!BX583*(1+Calcs!$Q530+Calcs!$R530))</f>
        <v>0</v>
      </c>
      <c r="BE127" s="7">
        <f>IF($BL127&lt;&gt;"Yes",0,Calcs!BY583*(1+Calcs!$Q530+Calcs!$R530))</f>
        <v>0</v>
      </c>
      <c r="BF127" s="7">
        <f>IF($BL127&lt;&gt;"Yes",0,Calcs!BZ583*(1+Calcs!$Q530+Calcs!$R530))</f>
        <v>0</v>
      </c>
      <c r="BG127" s="7">
        <f>IF($BL127&lt;&gt;"Yes",0,Calcs!CA583*(1+Calcs!$Q530+Calcs!$R530))</f>
        <v>0</v>
      </c>
      <c r="BH127" s="7">
        <f>IF($BL127&lt;&gt;"Yes",0,Calcs!CB583*(1+Calcs!$Q530+Calcs!$R530))</f>
        <v>0</v>
      </c>
      <c r="BI127" s="7">
        <f>IF($BL127&lt;&gt;"Yes",0,Calcs!CC583*(1+Calcs!$Q530+Calcs!$R530))</f>
        <v>0</v>
      </c>
      <c r="BJ127" s="7">
        <f>IF($BL127&lt;&gt;"Yes",0,Calcs!CD583*(1+Calcs!$Q530+Calcs!$R530))</f>
        <v>0</v>
      </c>
    </row>
    <row r="128" spans="1:62" s="5" customFormat="1" ht="13" hidden="1" customHeight="1" x14ac:dyDescent="0.3">
      <c r="A128" s="6" t="str">
        <f>IF(AND(Calcs!S584&lt;&gt;"",Calcs!S584&lt;&gt;0),Calcs!S584,"Personnel "&amp;Calcs!Q584)</f>
        <v xml:space="preserve">Personnel </v>
      </c>
      <c r="B128" s="6" t="str">
        <f>IF(AND(Calcs!T584&lt;&gt;"",Calcs!T584&lt;&gt;0),Calcs!T584,"Personnel "&amp;Calcs!R584)</f>
        <v>Personnel 33</v>
      </c>
      <c r="C128" s="7">
        <f>IF($BL128&lt;&gt;"Yes",0,Calcs!W584*(1+Calcs!$Q531+Calcs!$R531))</f>
        <v>0</v>
      </c>
      <c r="D128" s="7">
        <f>IF($BL128&lt;&gt;"Yes",0,Calcs!X584*(1+Calcs!$Q531+Calcs!$R531))</f>
        <v>0</v>
      </c>
      <c r="E128" s="7">
        <f>IF($BL128&lt;&gt;"Yes",0,Calcs!Y584*(1+Calcs!$Q531+Calcs!$R531))</f>
        <v>0</v>
      </c>
      <c r="F128" s="7">
        <f>IF($BL128&lt;&gt;"Yes",0,Calcs!Z584*(1+Calcs!$Q531+Calcs!$R531))</f>
        <v>0</v>
      </c>
      <c r="G128" s="7">
        <f>IF($BL128&lt;&gt;"Yes",0,Calcs!AA584*(1+Calcs!$Q531+Calcs!$R531))</f>
        <v>0</v>
      </c>
      <c r="H128" s="40"/>
      <c r="I128" s="7">
        <f>IF($BL128&lt;&gt;"Yes",0,Calcs!AC584*(1+Calcs!$Q531+Calcs!$R531))</f>
        <v>0</v>
      </c>
      <c r="J128" s="7">
        <f>IF($BL128&lt;&gt;"Yes",0,Calcs!AD584*(1+Calcs!$Q531+Calcs!$R531))</f>
        <v>0</v>
      </c>
      <c r="K128" s="7">
        <f>IF($BL128&lt;&gt;"Yes",0,Calcs!AE584*(1+Calcs!$Q531+Calcs!$R531))</f>
        <v>0</v>
      </c>
      <c r="L128" s="7">
        <f>IF($BL128&lt;&gt;"Yes",0,Calcs!AF584*(1+Calcs!$Q531+Calcs!$R531))</f>
        <v>0</v>
      </c>
      <c r="M128" s="7">
        <f>IF($BL128&lt;&gt;"Yes",0,Calcs!AG584*(1+Calcs!$Q531+Calcs!$R531))</f>
        <v>0</v>
      </c>
      <c r="N128" s="7">
        <f>IF($BL128&lt;&gt;"Yes",0,Calcs!AH584*(1+Calcs!$Q531+Calcs!$R531))</f>
        <v>0</v>
      </c>
      <c r="O128" s="7">
        <f>IF($BL128&lt;&gt;"Yes",0,Calcs!AI584*(1+Calcs!$Q531+Calcs!$R531))</f>
        <v>0</v>
      </c>
      <c r="P128" s="7">
        <f>IF($BL128&lt;&gt;"Yes",0,Calcs!AJ584*(1+Calcs!$Q531+Calcs!$R531))</f>
        <v>0</v>
      </c>
      <c r="Q128" s="7">
        <f>IF($BL128&lt;&gt;"Yes",0,Calcs!AK584*(1+Calcs!$Q531+Calcs!$R531))</f>
        <v>0</v>
      </c>
      <c r="R128" s="7">
        <f>IF($BL128&lt;&gt;"Yes",0,Calcs!AL584*(1+Calcs!$Q531+Calcs!$R531))</f>
        <v>0</v>
      </c>
      <c r="S128" s="7">
        <f>IF($BL128&lt;&gt;"Yes",0,Calcs!AM584*(1+Calcs!$Q531+Calcs!$R531))</f>
        <v>0</v>
      </c>
      <c r="T128" s="7">
        <f>IF($BL128&lt;&gt;"Yes",0,Calcs!AN584*(1+Calcs!$Q531+Calcs!$R531))</f>
        <v>0</v>
      </c>
      <c r="U128" s="7">
        <f>IF($BL128&lt;&gt;"Yes",0,Calcs!AO584*(1+Calcs!$Q531+Calcs!$R531))</f>
        <v>0</v>
      </c>
      <c r="V128" s="7">
        <f>IF($BL128&lt;&gt;"Yes",0,Calcs!AP584*(1+Calcs!$Q531+Calcs!$R531))</f>
        <v>0</v>
      </c>
      <c r="W128" s="7">
        <f>IF($BL128&lt;&gt;"Yes",0,Calcs!AQ584*(1+Calcs!$Q531+Calcs!$R531))</f>
        <v>0</v>
      </c>
      <c r="X128" s="7">
        <f>IF($BL128&lt;&gt;"Yes",0,Calcs!AR584*(1+Calcs!$Q531+Calcs!$R531))</f>
        <v>0</v>
      </c>
      <c r="Y128" s="7">
        <f>IF($BL128&lt;&gt;"Yes",0,Calcs!AS584*(1+Calcs!$Q531+Calcs!$R531))</f>
        <v>0</v>
      </c>
      <c r="Z128" s="7">
        <f>IF($BL128&lt;&gt;"Yes",0,Calcs!AT584*(1+Calcs!$Q531+Calcs!$R531))</f>
        <v>0</v>
      </c>
      <c r="AA128" s="7">
        <f>IF($BL128&lt;&gt;"Yes",0,Calcs!AU584*(1+Calcs!$Q531+Calcs!$R531))</f>
        <v>0</v>
      </c>
      <c r="AB128" s="7">
        <f>IF($BL128&lt;&gt;"Yes",0,Calcs!AV584*(1+Calcs!$Q531+Calcs!$R531))</f>
        <v>0</v>
      </c>
      <c r="AC128" s="7">
        <f>IF($BL128&lt;&gt;"Yes",0,Calcs!AW584*(1+Calcs!$Q531+Calcs!$R531))</f>
        <v>0</v>
      </c>
      <c r="AD128" s="7">
        <f>IF($BL128&lt;&gt;"Yes",0,Calcs!AX584*(1+Calcs!$Q531+Calcs!$R531))</f>
        <v>0</v>
      </c>
      <c r="AE128" s="7">
        <f>IF($BL128&lt;&gt;"Yes",0,Calcs!AY584*(1+Calcs!$Q531+Calcs!$R531))</f>
        <v>0</v>
      </c>
      <c r="AF128" s="7">
        <f>IF($BL128&lt;&gt;"Yes",0,Calcs!AZ584*(1+Calcs!$Q531+Calcs!$R531))</f>
        <v>0</v>
      </c>
      <c r="AG128" s="7">
        <f>IF($BL128&lt;&gt;"Yes",0,Calcs!BA584*(1+Calcs!$Q531+Calcs!$R531))</f>
        <v>0</v>
      </c>
      <c r="AH128" s="7">
        <f>IF($BL128&lt;&gt;"Yes",0,Calcs!BB584*(1+Calcs!$Q531+Calcs!$R531))</f>
        <v>0</v>
      </c>
      <c r="AI128" s="7">
        <f>IF($BL128&lt;&gt;"Yes",0,Calcs!BC584*(1+Calcs!$Q531+Calcs!$R531))</f>
        <v>0</v>
      </c>
      <c r="AJ128" s="7">
        <f>IF($BL128&lt;&gt;"Yes",0,Calcs!BD584*(1+Calcs!$Q531+Calcs!$R531))</f>
        <v>0</v>
      </c>
      <c r="AK128" s="7">
        <f>IF($BL128&lt;&gt;"Yes",0,Calcs!BE584*(1+Calcs!$Q531+Calcs!$R531))</f>
        <v>0</v>
      </c>
      <c r="AL128" s="7">
        <f>IF($BL128&lt;&gt;"Yes",0,Calcs!BF584*(1+Calcs!$Q531+Calcs!$R531))</f>
        <v>0</v>
      </c>
      <c r="AM128" s="7">
        <f>IF($BL128&lt;&gt;"Yes",0,Calcs!BG584*(1+Calcs!$Q531+Calcs!$R531))</f>
        <v>0</v>
      </c>
      <c r="AN128" s="7">
        <f>IF($BL128&lt;&gt;"Yes",0,Calcs!BH584*(1+Calcs!$Q531+Calcs!$R531))</f>
        <v>0</v>
      </c>
      <c r="AO128" s="7">
        <f>IF($BL128&lt;&gt;"Yes",0,Calcs!BI584*(1+Calcs!$Q531+Calcs!$R531))</f>
        <v>0</v>
      </c>
      <c r="AP128" s="7">
        <f>IF($BL128&lt;&gt;"Yes",0,Calcs!BJ584*(1+Calcs!$Q531+Calcs!$R531))</f>
        <v>0</v>
      </c>
      <c r="AQ128" s="7">
        <f>IF($BL128&lt;&gt;"Yes",0,Calcs!BK584*(1+Calcs!$Q531+Calcs!$R531))</f>
        <v>0</v>
      </c>
      <c r="AR128" s="7">
        <f>IF($BL128&lt;&gt;"Yes",0,Calcs!BL584*(1+Calcs!$Q531+Calcs!$R531))</f>
        <v>0</v>
      </c>
      <c r="AS128" s="7">
        <f>IF($BL128&lt;&gt;"Yes",0,Calcs!BM584*(1+Calcs!$Q531+Calcs!$R531))</f>
        <v>0</v>
      </c>
      <c r="AT128" s="7">
        <f>IF($BL128&lt;&gt;"Yes",0,Calcs!BN584*(1+Calcs!$Q531+Calcs!$R531))</f>
        <v>0</v>
      </c>
      <c r="AU128" s="7">
        <f>IF($BL128&lt;&gt;"Yes",0,Calcs!BO584*(1+Calcs!$Q531+Calcs!$R531))</f>
        <v>0</v>
      </c>
      <c r="AV128" s="7">
        <f>IF($BL128&lt;&gt;"Yes",0,Calcs!BP584*(1+Calcs!$Q531+Calcs!$R531))</f>
        <v>0</v>
      </c>
      <c r="AW128" s="7">
        <f>IF($BL128&lt;&gt;"Yes",0,Calcs!BQ584*(1+Calcs!$Q531+Calcs!$R531))</f>
        <v>0</v>
      </c>
      <c r="AX128" s="7">
        <f>IF($BL128&lt;&gt;"Yes",0,Calcs!BR584*(1+Calcs!$Q531+Calcs!$R531))</f>
        <v>0</v>
      </c>
      <c r="AY128" s="7">
        <f>IF($BL128&lt;&gt;"Yes",0,Calcs!BS584*(1+Calcs!$Q531+Calcs!$R531))</f>
        <v>0</v>
      </c>
      <c r="AZ128" s="7">
        <f>IF($BL128&lt;&gt;"Yes",0,Calcs!BT584*(1+Calcs!$Q531+Calcs!$R531))</f>
        <v>0</v>
      </c>
      <c r="BA128" s="7">
        <f>IF($BL128&lt;&gt;"Yes",0,Calcs!BU584*(1+Calcs!$Q531+Calcs!$R531))</f>
        <v>0</v>
      </c>
      <c r="BB128" s="7">
        <f>IF($BL128&lt;&gt;"Yes",0,Calcs!BV584*(1+Calcs!$Q531+Calcs!$R531))</f>
        <v>0</v>
      </c>
      <c r="BC128" s="7">
        <f>IF($BL128&lt;&gt;"Yes",0,Calcs!BW584*(1+Calcs!$Q531+Calcs!$R531))</f>
        <v>0</v>
      </c>
      <c r="BD128" s="7">
        <f>IF($BL128&lt;&gt;"Yes",0,Calcs!BX584*(1+Calcs!$Q531+Calcs!$R531))</f>
        <v>0</v>
      </c>
      <c r="BE128" s="7">
        <f>IF($BL128&lt;&gt;"Yes",0,Calcs!BY584*(1+Calcs!$Q531+Calcs!$R531))</f>
        <v>0</v>
      </c>
      <c r="BF128" s="7">
        <f>IF($BL128&lt;&gt;"Yes",0,Calcs!BZ584*(1+Calcs!$Q531+Calcs!$R531))</f>
        <v>0</v>
      </c>
      <c r="BG128" s="7">
        <f>IF($BL128&lt;&gt;"Yes",0,Calcs!CA584*(1+Calcs!$Q531+Calcs!$R531))</f>
        <v>0</v>
      </c>
      <c r="BH128" s="7">
        <f>IF($BL128&lt;&gt;"Yes",0,Calcs!CB584*(1+Calcs!$Q531+Calcs!$R531))</f>
        <v>0</v>
      </c>
      <c r="BI128" s="7">
        <f>IF($BL128&lt;&gt;"Yes",0,Calcs!CC584*(1+Calcs!$Q531+Calcs!$R531))</f>
        <v>0</v>
      </c>
      <c r="BJ128" s="7">
        <f>IF($BL128&lt;&gt;"Yes",0,Calcs!CD584*(1+Calcs!$Q531+Calcs!$R531))</f>
        <v>0</v>
      </c>
    </row>
    <row r="129" spans="1:62" s="5" customFormat="1" ht="13" hidden="1" customHeight="1" x14ac:dyDescent="0.3">
      <c r="A129" s="6" t="str">
        <f>IF(AND(Calcs!S585&lt;&gt;"",Calcs!S585&lt;&gt;0),Calcs!S585,"Personnel "&amp;Calcs!Q585)</f>
        <v xml:space="preserve">Personnel </v>
      </c>
      <c r="B129" s="6" t="str">
        <f>IF(AND(Calcs!T585&lt;&gt;"",Calcs!T585&lt;&gt;0),Calcs!T585,"Personnel "&amp;Calcs!R585)</f>
        <v>Personnel 34</v>
      </c>
      <c r="C129" s="7">
        <f>IF($BL129&lt;&gt;"Yes",0,Calcs!W585*(1+Calcs!$Q532+Calcs!$R532))</f>
        <v>0</v>
      </c>
      <c r="D129" s="7">
        <f>IF($BL129&lt;&gt;"Yes",0,Calcs!X585*(1+Calcs!$Q532+Calcs!$R532))</f>
        <v>0</v>
      </c>
      <c r="E129" s="7">
        <f>IF($BL129&lt;&gt;"Yes",0,Calcs!Y585*(1+Calcs!$Q532+Calcs!$R532))</f>
        <v>0</v>
      </c>
      <c r="F129" s="7">
        <f>IF($BL129&lt;&gt;"Yes",0,Calcs!Z585*(1+Calcs!$Q532+Calcs!$R532))</f>
        <v>0</v>
      </c>
      <c r="G129" s="7">
        <f>IF($BL129&lt;&gt;"Yes",0,Calcs!AA585*(1+Calcs!$Q532+Calcs!$R532))</f>
        <v>0</v>
      </c>
      <c r="H129" s="40"/>
      <c r="I129" s="7">
        <f>IF($BL129&lt;&gt;"Yes",0,Calcs!AC585*(1+Calcs!$Q532+Calcs!$R532))</f>
        <v>0</v>
      </c>
      <c r="J129" s="7">
        <f>IF($BL129&lt;&gt;"Yes",0,Calcs!AD585*(1+Calcs!$Q532+Calcs!$R532))</f>
        <v>0</v>
      </c>
      <c r="K129" s="7">
        <f>IF($BL129&lt;&gt;"Yes",0,Calcs!AE585*(1+Calcs!$Q532+Calcs!$R532))</f>
        <v>0</v>
      </c>
      <c r="L129" s="7">
        <f>IF($BL129&lt;&gt;"Yes",0,Calcs!AF585*(1+Calcs!$Q532+Calcs!$R532))</f>
        <v>0</v>
      </c>
      <c r="M129" s="7">
        <f>IF($BL129&lt;&gt;"Yes",0,Calcs!AG585*(1+Calcs!$Q532+Calcs!$R532))</f>
        <v>0</v>
      </c>
      <c r="N129" s="7">
        <f>IF($BL129&lt;&gt;"Yes",0,Calcs!AH585*(1+Calcs!$Q532+Calcs!$R532))</f>
        <v>0</v>
      </c>
      <c r="O129" s="7">
        <f>IF($BL129&lt;&gt;"Yes",0,Calcs!AI585*(1+Calcs!$Q532+Calcs!$R532))</f>
        <v>0</v>
      </c>
      <c r="P129" s="7">
        <f>IF($BL129&lt;&gt;"Yes",0,Calcs!AJ585*(1+Calcs!$Q532+Calcs!$R532))</f>
        <v>0</v>
      </c>
      <c r="Q129" s="7">
        <f>IF($BL129&lt;&gt;"Yes",0,Calcs!AK585*(1+Calcs!$Q532+Calcs!$R532))</f>
        <v>0</v>
      </c>
      <c r="R129" s="7">
        <f>IF($BL129&lt;&gt;"Yes",0,Calcs!AL585*(1+Calcs!$Q532+Calcs!$R532))</f>
        <v>0</v>
      </c>
      <c r="S129" s="7">
        <f>IF($BL129&lt;&gt;"Yes",0,Calcs!AM585*(1+Calcs!$Q532+Calcs!$R532))</f>
        <v>0</v>
      </c>
      <c r="T129" s="7">
        <f>IF($BL129&lt;&gt;"Yes",0,Calcs!AN585*(1+Calcs!$Q532+Calcs!$R532))</f>
        <v>0</v>
      </c>
      <c r="U129" s="7">
        <f>IF($BL129&lt;&gt;"Yes",0,Calcs!AO585*(1+Calcs!$Q532+Calcs!$R532))</f>
        <v>0</v>
      </c>
      <c r="V129" s="7">
        <f>IF($BL129&lt;&gt;"Yes",0,Calcs!AP585*(1+Calcs!$Q532+Calcs!$R532))</f>
        <v>0</v>
      </c>
      <c r="W129" s="7">
        <f>IF($BL129&lt;&gt;"Yes",0,Calcs!AQ585*(1+Calcs!$Q532+Calcs!$R532))</f>
        <v>0</v>
      </c>
      <c r="X129" s="7">
        <f>IF($BL129&lt;&gt;"Yes",0,Calcs!AR585*(1+Calcs!$Q532+Calcs!$R532))</f>
        <v>0</v>
      </c>
      <c r="Y129" s="7">
        <f>IF($BL129&lt;&gt;"Yes",0,Calcs!AS585*(1+Calcs!$Q532+Calcs!$R532))</f>
        <v>0</v>
      </c>
      <c r="Z129" s="7">
        <f>IF($BL129&lt;&gt;"Yes",0,Calcs!AT585*(1+Calcs!$Q532+Calcs!$R532))</f>
        <v>0</v>
      </c>
      <c r="AA129" s="7">
        <f>IF($BL129&lt;&gt;"Yes",0,Calcs!AU585*(1+Calcs!$Q532+Calcs!$R532))</f>
        <v>0</v>
      </c>
      <c r="AB129" s="7">
        <f>IF($BL129&lt;&gt;"Yes",0,Calcs!AV585*(1+Calcs!$Q532+Calcs!$R532))</f>
        <v>0</v>
      </c>
      <c r="AC129" s="7">
        <f>IF($BL129&lt;&gt;"Yes",0,Calcs!AW585*(1+Calcs!$Q532+Calcs!$R532))</f>
        <v>0</v>
      </c>
      <c r="AD129" s="7">
        <f>IF($BL129&lt;&gt;"Yes",0,Calcs!AX585*(1+Calcs!$Q532+Calcs!$R532))</f>
        <v>0</v>
      </c>
      <c r="AE129" s="7">
        <f>IF($BL129&lt;&gt;"Yes",0,Calcs!AY585*(1+Calcs!$Q532+Calcs!$R532))</f>
        <v>0</v>
      </c>
      <c r="AF129" s="7">
        <f>IF($BL129&lt;&gt;"Yes",0,Calcs!AZ585*(1+Calcs!$Q532+Calcs!$R532))</f>
        <v>0</v>
      </c>
      <c r="AG129" s="7">
        <f>IF($BL129&lt;&gt;"Yes",0,Calcs!BA585*(1+Calcs!$Q532+Calcs!$R532))</f>
        <v>0</v>
      </c>
      <c r="AH129" s="7">
        <f>IF($BL129&lt;&gt;"Yes",0,Calcs!BB585*(1+Calcs!$Q532+Calcs!$R532))</f>
        <v>0</v>
      </c>
      <c r="AI129" s="7">
        <f>IF($BL129&lt;&gt;"Yes",0,Calcs!BC585*(1+Calcs!$Q532+Calcs!$R532))</f>
        <v>0</v>
      </c>
      <c r="AJ129" s="7">
        <f>IF($BL129&lt;&gt;"Yes",0,Calcs!BD585*(1+Calcs!$Q532+Calcs!$R532))</f>
        <v>0</v>
      </c>
      <c r="AK129" s="7">
        <f>IF($BL129&lt;&gt;"Yes",0,Calcs!BE585*(1+Calcs!$Q532+Calcs!$R532))</f>
        <v>0</v>
      </c>
      <c r="AL129" s="7">
        <f>IF($BL129&lt;&gt;"Yes",0,Calcs!BF585*(1+Calcs!$Q532+Calcs!$R532))</f>
        <v>0</v>
      </c>
      <c r="AM129" s="7">
        <f>IF($BL129&lt;&gt;"Yes",0,Calcs!BG585*(1+Calcs!$Q532+Calcs!$R532))</f>
        <v>0</v>
      </c>
      <c r="AN129" s="7">
        <f>IF($BL129&lt;&gt;"Yes",0,Calcs!BH585*(1+Calcs!$Q532+Calcs!$R532))</f>
        <v>0</v>
      </c>
      <c r="AO129" s="7">
        <f>IF($BL129&lt;&gt;"Yes",0,Calcs!BI585*(1+Calcs!$Q532+Calcs!$R532))</f>
        <v>0</v>
      </c>
      <c r="AP129" s="7">
        <f>IF($BL129&lt;&gt;"Yes",0,Calcs!BJ585*(1+Calcs!$Q532+Calcs!$R532))</f>
        <v>0</v>
      </c>
      <c r="AQ129" s="7">
        <f>IF($BL129&lt;&gt;"Yes",0,Calcs!BK585*(1+Calcs!$Q532+Calcs!$R532))</f>
        <v>0</v>
      </c>
      <c r="AR129" s="7">
        <f>IF($BL129&lt;&gt;"Yes",0,Calcs!BL585*(1+Calcs!$Q532+Calcs!$R532))</f>
        <v>0</v>
      </c>
      <c r="AS129" s="7">
        <f>IF($BL129&lt;&gt;"Yes",0,Calcs!BM585*(1+Calcs!$Q532+Calcs!$R532))</f>
        <v>0</v>
      </c>
      <c r="AT129" s="7">
        <f>IF($BL129&lt;&gt;"Yes",0,Calcs!BN585*(1+Calcs!$Q532+Calcs!$R532))</f>
        <v>0</v>
      </c>
      <c r="AU129" s="7">
        <f>IF($BL129&lt;&gt;"Yes",0,Calcs!BO585*(1+Calcs!$Q532+Calcs!$R532))</f>
        <v>0</v>
      </c>
      <c r="AV129" s="7">
        <f>IF($BL129&lt;&gt;"Yes",0,Calcs!BP585*(1+Calcs!$Q532+Calcs!$R532))</f>
        <v>0</v>
      </c>
      <c r="AW129" s="7">
        <f>IF($BL129&lt;&gt;"Yes",0,Calcs!BQ585*(1+Calcs!$Q532+Calcs!$R532))</f>
        <v>0</v>
      </c>
      <c r="AX129" s="7">
        <f>IF($BL129&lt;&gt;"Yes",0,Calcs!BR585*(1+Calcs!$Q532+Calcs!$R532))</f>
        <v>0</v>
      </c>
      <c r="AY129" s="7">
        <f>IF($BL129&lt;&gt;"Yes",0,Calcs!BS585*(1+Calcs!$Q532+Calcs!$R532))</f>
        <v>0</v>
      </c>
      <c r="AZ129" s="7">
        <f>IF($BL129&lt;&gt;"Yes",0,Calcs!BT585*(1+Calcs!$Q532+Calcs!$R532))</f>
        <v>0</v>
      </c>
      <c r="BA129" s="7">
        <f>IF($BL129&lt;&gt;"Yes",0,Calcs!BU585*(1+Calcs!$Q532+Calcs!$R532))</f>
        <v>0</v>
      </c>
      <c r="BB129" s="7">
        <f>IF($BL129&lt;&gt;"Yes",0,Calcs!BV585*(1+Calcs!$Q532+Calcs!$R532))</f>
        <v>0</v>
      </c>
      <c r="BC129" s="7">
        <f>IF($BL129&lt;&gt;"Yes",0,Calcs!BW585*(1+Calcs!$Q532+Calcs!$R532))</f>
        <v>0</v>
      </c>
      <c r="BD129" s="7">
        <f>IF($BL129&lt;&gt;"Yes",0,Calcs!BX585*(1+Calcs!$Q532+Calcs!$R532))</f>
        <v>0</v>
      </c>
      <c r="BE129" s="7">
        <f>IF($BL129&lt;&gt;"Yes",0,Calcs!BY585*(1+Calcs!$Q532+Calcs!$R532))</f>
        <v>0</v>
      </c>
      <c r="BF129" s="7">
        <f>IF($BL129&lt;&gt;"Yes",0,Calcs!BZ585*(1+Calcs!$Q532+Calcs!$R532))</f>
        <v>0</v>
      </c>
      <c r="BG129" s="7">
        <f>IF($BL129&lt;&gt;"Yes",0,Calcs!CA585*(1+Calcs!$Q532+Calcs!$R532))</f>
        <v>0</v>
      </c>
      <c r="BH129" s="7">
        <f>IF($BL129&lt;&gt;"Yes",0,Calcs!CB585*(1+Calcs!$Q532+Calcs!$R532))</f>
        <v>0</v>
      </c>
      <c r="BI129" s="7">
        <f>IF($BL129&lt;&gt;"Yes",0,Calcs!CC585*(1+Calcs!$Q532+Calcs!$R532))</f>
        <v>0</v>
      </c>
      <c r="BJ129" s="7">
        <f>IF($BL129&lt;&gt;"Yes",0,Calcs!CD585*(1+Calcs!$Q532+Calcs!$R532))</f>
        <v>0</v>
      </c>
    </row>
    <row r="130" spans="1:62" s="5" customFormat="1" ht="13" hidden="1" customHeight="1" x14ac:dyDescent="0.3">
      <c r="A130" s="6" t="str">
        <f>IF(AND(Calcs!S586&lt;&gt;"",Calcs!S586&lt;&gt;0),Calcs!S586,"Personnel "&amp;Calcs!Q586)</f>
        <v xml:space="preserve">Personnel </v>
      </c>
      <c r="B130" s="6" t="str">
        <f>IF(AND(Calcs!T586&lt;&gt;"",Calcs!T586&lt;&gt;0),Calcs!T586,"Personnel "&amp;Calcs!R586)</f>
        <v>Personnel 35</v>
      </c>
      <c r="C130" s="7">
        <f>IF($BL130&lt;&gt;"Yes",0,Calcs!W586*(1+Calcs!$Q533+Calcs!$R533))</f>
        <v>0</v>
      </c>
      <c r="D130" s="7">
        <f>IF($BL130&lt;&gt;"Yes",0,Calcs!X586*(1+Calcs!$Q533+Calcs!$R533))</f>
        <v>0</v>
      </c>
      <c r="E130" s="7">
        <f>IF($BL130&lt;&gt;"Yes",0,Calcs!Y586*(1+Calcs!$Q533+Calcs!$R533))</f>
        <v>0</v>
      </c>
      <c r="F130" s="7">
        <f>IF($BL130&lt;&gt;"Yes",0,Calcs!Z586*(1+Calcs!$Q533+Calcs!$R533))</f>
        <v>0</v>
      </c>
      <c r="G130" s="7">
        <f>IF($BL130&lt;&gt;"Yes",0,Calcs!AA586*(1+Calcs!$Q533+Calcs!$R533))</f>
        <v>0</v>
      </c>
      <c r="H130" s="40"/>
      <c r="I130" s="7">
        <f>IF($BL130&lt;&gt;"Yes",0,Calcs!AC586*(1+Calcs!$Q533+Calcs!$R533))</f>
        <v>0</v>
      </c>
      <c r="J130" s="7">
        <f>IF($BL130&lt;&gt;"Yes",0,Calcs!AD586*(1+Calcs!$Q533+Calcs!$R533))</f>
        <v>0</v>
      </c>
      <c r="K130" s="7">
        <f>IF($BL130&lt;&gt;"Yes",0,Calcs!AE586*(1+Calcs!$Q533+Calcs!$R533))</f>
        <v>0</v>
      </c>
      <c r="L130" s="7">
        <f>IF($BL130&lt;&gt;"Yes",0,Calcs!AF586*(1+Calcs!$Q533+Calcs!$R533))</f>
        <v>0</v>
      </c>
      <c r="M130" s="7">
        <f>IF($BL130&lt;&gt;"Yes",0,Calcs!AG586*(1+Calcs!$Q533+Calcs!$R533))</f>
        <v>0</v>
      </c>
      <c r="N130" s="7">
        <f>IF($BL130&lt;&gt;"Yes",0,Calcs!AH586*(1+Calcs!$Q533+Calcs!$R533))</f>
        <v>0</v>
      </c>
      <c r="O130" s="7">
        <f>IF($BL130&lt;&gt;"Yes",0,Calcs!AI586*(1+Calcs!$Q533+Calcs!$R533))</f>
        <v>0</v>
      </c>
      <c r="P130" s="7">
        <f>IF($BL130&lt;&gt;"Yes",0,Calcs!AJ586*(1+Calcs!$Q533+Calcs!$R533))</f>
        <v>0</v>
      </c>
      <c r="Q130" s="7">
        <f>IF($BL130&lt;&gt;"Yes",0,Calcs!AK586*(1+Calcs!$Q533+Calcs!$R533))</f>
        <v>0</v>
      </c>
      <c r="R130" s="7">
        <f>IF($BL130&lt;&gt;"Yes",0,Calcs!AL586*(1+Calcs!$Q533+Calcs!$R533))</f>
        <v>0</v>
      </c>
      <c r="S130" s="7">
        <f>IF($BL130&lt;&gt;"Yes",0,Calcs!AM586*(1+Calcs!$Q533+Calcs!$R533))</f>
        <v>0</v>
      </c>
      <c r="T130" s="7">
        <f>IF($BL130&lt;&gt;"Yes",0,Calcs!AN586*(1+Calcs!$Q533+Calcs!$R533))</f>
        <v>0</v>
      </c>
      <c r="U130" s="7">
        <f>IF($BL130&lt;&gt;"Yes",0,Calcs!AO586*(1+Calcs!$Q533+Calcs!$R533))</f>
        <v>0</v>
      </c>
      <c r="V130" s="7">
        <f>IF($BL130&lt;&gt;"Yes",0,Calcs!AP586*(1+Calcs!$Q533+Calcs!$R533))</f>
        <v>0</v>
      </c>
      <c r="W130" s="7">
        <f>IF($BL130&lt;&gt;"Yes",0,Calcs!AQ586*(1+Calcs!$Q533+Calcs!$R533))</f>
        <v>0</v>
      </c>
      <c r="X130" s="7">
        <f>IF($BL130&lt;&gt;"Yes",0,Calcs!AR586*(1+Calcs!$Q533+Calcs!$R533))</f>
        <v>0</v>
      </c>
      <c r="Y130" s="7">
        <f>IF($BL130&lt;&gt;"Yes",0,Calcs!AS586*(1+Calcs!$Q533+Calcs!$R533))</f>
        <v>0</v>
      </c>
      <c r="Z130" s="7">
        <f>IF($BL130&lt;&gt;"Yes",0,Calcs!AT586*(1+Calcs!$Q533+Calcs!$R533))</f>
        <v>0</v>
      </c>
      <c r="AA130" s="7">
        <f>IF($BL130&lt;&gt;"Yes",0,Calcs!AU586*(1+Calcs!$Q533+Calcs!$R533))</f>
        <v>0</v>
      </c>
      <c r="AB130" s="7">
        <f>IF($BL130&lt;&gt;"Yes",0,Calcs!AV586*(1+Calcs!$Q533+Calcs!$R533))</f>
        <v>0</v>
      </c>
      <c r="AC130" s="7">
        <f>IF($BL130&lt;&gt;"Yes",0,Calcs!AW586*(1+Calcs!$Q533+Calcs!$R533))</f>
        <v>0</v>
      </c>
      <c r="AD130" s="7">
        <f>IF($BL130&lt;&gt;"Yes",0,Calcs!AX586*(1+Calcs!$Q533+Calcs!$R533))</f>
        <v>0</v>
      </c>
      <c r="AE130" s="7">
        <f>IF($BL130&lt;&gt;"Yes",0,Calcs!AY586*(1+Calcs!$Q533+Calcs!$R533))</f>
        <v>0</v>
      </c>
      <c r="AF130" s="7">
        <f>IF($BL130&lt;&gt;"Yes",0,Calcs!AZ586*(1+Calcs!$Q533+Calcs!$R533))</f>
        <v>0</v>
      </c>
      <c r="AG130" s="7">
        <f>IF($BL130&lt;&gt;"Yes",0,Calcs!BA586*(1+Calcs!$Q533+Calcs!$R533))</f>
        <v>0</v>
      </c>
      <c r="AH130" s="7">
        <f>IF($BL130&lt;&gt;"Yes",0,Calcs!BB586*(1+Calcs!$Q533+Calcs!$R533))</f>
        <v>0</v>
      </c>
      <c r="AI130" s="7">
        <f>IF($BL130&lt;&gt;"Yes",0,Calcs!BC586*(1+Calcs!$Q533+Calcs!$R533))</f>
        <v>0</v>
      </c>
      <c r="AJ130" s="7">
        <f>IF($BL130&lt;&gt;"Yes",0,Calcs!BD586*(1+Calcs!$Q533+Calcs!$R533))</f>
        <v>0</v>
      </c>
      <c r="AK130" s="7">
        <f>IF($BL130&lt;&gt;"Yes",0,Calcs!BE586*(1+Calcs!$Q533+Calcs!$R533))</f>
        <v>0</v>
      </c>
      <c r="AL130" s="7">
        <f>IF($BL130&lt;&gt;"Yes",0,Calcs!BF586*(1+Calcs!$Q533+Calcs!$R533))</f>
        <v>0</v>
      </c>
      <c r="AM130" s="7">
        <f>IF($BL130&lt;&gt;"Yes",0,Calcs!BG586*(1+Calcs!$Q533+Calcs!$R533))</f>
        <v>0</v>
      </c>
      <c r="AN130" s="7">
        <f>IF($BL130&lt;&gt;"Yes",0,Calcs!BH586*(1+Calcs!$Q533+Calcs!$R533))</f>
        <v>0</v>
      </c>
      <c r="AO130" s="7">
        <f>IF($BL130&lt;&gt;"Yes",0,Calcs!BI586*(1+Calcs!$Q533+Calcs!$R533))</f>
        <v>0</v>
      </c>
      <c r="AP130" s="7">
        <f>IF($BL130&lt;&gt;"Yes",0,Calcs!BJ586*(1+Calcs!$Q533+Calcs!$R533))</f>
        <v>0</v>
      </c>
      <c r="AQ130" s="7">
        <f>IF($BL130&lt;&gt;"Yes",0,Calcs!BK586*(1+Calcs!$Q533+Calcs!$R533))</f>
        <v>0</v>
      </c>
      <c r="AR130" s="7">
        <f>IF($BL130&lt;&gt;"Yes",0,Calcs!BL586*(1+Calcs!$Q533+Calcs!$R533))</f>
        <v>0</v>
      </c>
      <c r="AS130" s="7">
        <f>IF($BL130&lt;&gt;"Yes",0,Calcs!BM586*(1+Calcs!$Q533+Calcs!$R533))</f>
        <v>0</v>
      </c>
      <c r="AT130" s="7">
        <f>IF($BL130&lt;&gt;"Yes",0,Calcs!BN586*(1+Calcs!$Q533+Calcs!$R533))</f>
        <v>0</v>
      </c>
      <c r="AU130" s="7">
        <f>IF($BL130&lt;&gt;"Yes",0,Calcs!BO586*(1+Calcs!$Q533+Calcs!$R533))</f>
        <v>0</v>
      </c>
      <c r="AV130" s="7">
        <f>IF($BL130&lt;&gt;"Yes",0,Calcs!BP586*(1+Calcs!$Q533+Calcs!$R533))</f>
        <v>0</v>
      </c>
      <c r="AW130" s="7">
        <f>IF($BL130&lt;&gt;"Yes",0,Calcs!BQ586*(1+Calcs!$Q533+Calcs!$R533))</f>
        <v>0</v>
      </c>
      <c r="AX130" s="7">
        <f>IF($BL130&lt;&gt;"Yes",0,Calcs!BR586*(1+Calcs!$Q533+Calcs!$R533))</f>
        <v>0</v>
      </c>
      <c r="AY130" s="7">
        <f>IF($BL130&lt;&gt;"Yes",0,Calcs!BS586*(1+Calcs!$Q533+Calcs!$R533))</f>
        <v>0</v>
      </c>
      <c r="AZ130" s="7">
        <f>IF($BL130&lt;&gt;"Yes",0,Calcs!BT586*(1+Calcs!$Q533+Calcs!$R533))</f>
        <v>0</v>
      </c>
      <c r="BA130" s="7">
        <f>IF($BL130&lt;&gt;"Yes",0,Calcs!BU586*(1+Calcs!$Q533+Calcs!$R533))</f>
        <v>0</v>
      </c>
      <c r="BB130" s="7">
        <f>IF($BL130&lt;&gt;"Yes",0,Calcs!BV586*(1+Calcs!$Q533+Calcs!$R533))</f>
        <v>0</v>
      </c>
      <c r="BC130" s="7">
        <f>IF($BL130&lt;&gt;"Yes",0,Calcs!BW586*(1+Calcs!$Q533+Calcs!$R533))</f>
        <v>0</v>
      </c>
      <c r="BD130" s="7">
        <f>IF($BL130&lt;&gt;"Yes",0,Calcs!BX586*(1+Calcs!$Q533+Calcs!$R533))</f>
        <v>0</v>
      </c>
      <c r="BE130" s="7">
        <f>IF($BL130&lt;&gt;"Yes",0,Calcs!BY586*(1+Calcs!$Q533+Calcs!$R533))</f>
        <v>0</v>
      </c>
      <c r="BF130" s="7">
        <f>IF($BL130&lt;&gt;"Yes",0,Calcs!BZ586*(1+Calcs!$Q533+Calcs!$R533))</f>
        <v>0</v>
      </c>
      <c r="BG130" s="7">
        <f>IF($BL130&lt;&gt;"Yes",0,Calcs!CA586*(1+Calcs!$Q533+Calcs!$R533))</f>
        <v>0</v>
      </c>
      <c r="BH130" s="7">
        <f>IF($BL130&lt;&gt;"Yes",0,Calcs!CB586*(1+Calcs!$Q533+Calcs!$R533))</f>
        <v>0</v>
      </c>
      <c r="BI130" s="7">
        <f>IF($BL130&lt;&gt;"Yes",0,Calcs!CC586*(1+Calcs!$Q533+Calcs!$R533))</f>
        <v>0</v>
      </c>
      <c r="BJ130" s="7">
        <f>IF($BL130&lt;&gt;"Yes",0,Calcs!CD586*(1+Calcs!$Q533+Calcs!$R533))</f>
        <v>0</v>
      </c>
    </row>
    <row r="131" spans="1:62" s="5" customFormat="1" ht="13" hidden="1" customHeight="1" x14ac:dyDescent="0.3">
      <c r="A131" s="6" t="str">
        <f>IF(AND(Calcs!S587&lt;&gt;"",Calcs!S587&lt;&gt;0),Calcs!S587,"Personnel "&amp;Calcs!Q587)</f>
        <v xml:space="preserve">Personnel </v>
      </c>
      <c r="B131" s="6" t="str">
        <f>IF(AND(Calcs!T587&lt;&gt;"",Calcs!T587&lt;&gt;0),Calcs!T587,"Personnel "&amp;Calcs!R587)</f>
        <v>Personnel 36</v>
      </c>
      <c r="C131" s="7">
        <f>IF($BL131&lt;&gt;"Yes",0,Calcs!W587*(1+Calcs!$Q534+Calcs!$R534))</f>
        <v>0</v>
      </c>
      <c r="D131" s="7">
        <f>IF($BL131&lt;&gt;"Yes",0,Calcs!X587*(1+Calcs!$Q534+Calcs!$R534))</f>
        <v>0</v>
      </c>
      <c r="E131" s="7">
        <f>IF($BL131&lt;&gt;"Yes",0,Calcs!Y587*(1+Calcs!$Q534+Calcs!$R534))</f>
        <v>0</v>
      </c>
      <c r="F131" s="7">
        <f>IF($BL131&lt;&gt;"Yes",0,Calcs!Z587*(1+Calcs!$Q534+Calcs!$R534))</f>
        <v>0</v>
      </c>
      <c r="G131" s="7">
        <f>IF($BL131&lt;&gt;"Yes",0,Calcs!AA587*(1+Calcs!$Q534+Calcs!$R534))</f>
        <v>0</v>
      </c>
      <c r="H131" s="40"/>
      <c r="I131" s="7">
        <f>IF($BL131&lt;&gt;"Yes",0,Calcs!AC587*(1+Calcs!$Q534+Calcs!$R534))</f>
        <v>0</v>
      </c>
      <c r="J131" s="7">
        <f>IF($BL131&lt;&gt;"Yes",0,Calcs!AD587*(1+Calcs!$Q534+Calcs!$R534))</f>
        <v>0</v>
      </c>
      <c r="K131" s="7">
        <f>IF($BL131&lt;&gt;"Yes",0,Calcs!AE587*(1+Calcs!$Q534+Calcs!$R534))</f>
        <v>0</v>
      </c>
      <c r="L131" s="7">
        <f>IF($BL131&lt;&gt;"Yes",0,Calcs!AF587*(1+Calcs!$Q534+Calcs!$R534))</f>
        <v>0</v>
      </c>
      <c r="M131" s="7">
        <f>IF($BL131&lt;&gt;"Yes",0,Calcs!AG587*(1+Calcs!$Q534+Calcs!$R534))</f>
        <v>0</v>
      </c>
      <c r="N131" s="7">
        <f>IF($BL131&lt;&gt;"Yes",0,Calcs!AH587*(1+Calcs!$Q534+Calcs!$R534))</f>
        <v>0</v>
      </c>
      <c r="O131" s="7">
        <f>IF($BL131&lt;&gt;"Yes",0,Calcs!AI587*(1+Calcs!$Q534+Calcs!$R534))</f>
        <v>0</v>
      </c>
      <c r="P131" s="7">
        <f>IF($BL131&lt;&gt;"Yes",0,Calcs!AJ587*(1+Calcs!$Q534+Calcs!$R534))</f>
        <v>0</v>
      </c>
      <c r="Q131" s="7">
        <f>IF($BL131&lt;&gt;"Yes",0,Calcs!AK587*(1+Calcs!$Q534+Calcs!$R534))</f>
        <v>0</v>
      </c>
      <c r="R131" s="7">
        <f>IF($BL131&lt;&gt;"Yes",0,Calcs!AL587*(1+Calcs!$Q534+Calcs!$R534))</f>
        <v>0</v>
      </c>
      <c r="S131" s="7">
        <f>IF($BL131&lt;&gt;"Yes",0,Calcs!AM587*(1+Calcs!$Q534+Calcs!$R534))</f>
        <v>0</v>
      </c>
      <c r="T131" s="7">
        <f>IF($BL131&lt;&gt;"Yes",0,Calcs!AN587*(1+Calcs!$Q534+Calcs!$R534))</f>
        <v>0</v>
      </c>
      <c r="U131" s="7">
        <f>IF($BL131&lt;&gt;"Yes",0,Calcs!AO587*(1+Calcs!$Q534+Calcs!$R534))</f>
        <v>0</v>
      </c>
      <c r="V131" s="7">
        <f>IF($BL131&lt;&gt;"Yes",0,Calcs!AP587*(1+Calcs!$Q534+Calcs!$R534))</f>
        <v>0</v>
      </c>
      <c r="W131" s="7">
        <f>IF($BL131&lt;&gt;"Yes",0,Calcs!AQ587*(1+Calcs!$Q534+Calcs!$R534))</f>
        <v>0</v>
      </c>
      <c r="X131" s="7">
        <f>IF($BL131&lt;&gt;"Yes",0,Calcs!AR587*(1+Calcs!$Q534+Calcs!$R534))</f>
        <v>0</v>
      </c>
      <c r="Y131" s="7">
        <f>IF($BL131&lt;&gt;"Yes",0,Calcs!AS587*(1+Calcs!$Q534+Calcs!$R534))</f>
        <v>0</v>
      </c>
      <c r="Z131" s="7">
        <f>IF($BL131&lt;&gt;"Yes",0,Calcs!AT587*(1+Calcs!$Q534+Calcs!$R534))</f>
        <v>0</v>
      </c>
      <c r="AA131" s="7">
        <f>IF($BL131&lt;&gt;"Yes",0,Calcs!AU587*(1+Calcs!$Q534+Calcs!$R534))</f>
        <v>0</v>
      </c>
      <c r="AB131" s="7">
        <f>IF($BL131&lt;&gt;"Yes",0,Calcs!AV587*(1+Calcs!$Q534+Calcs!$R534))</f>
        <v>0</v>
      </c>
      <c r="AC131" s="7">
        <f>IF($BL131&lt;&gt;"Yes",0,Calcs!AW587*(1+Calcs!$Q534+Calcs!$R534))</f>
        <v>0</v>
      </c>
      <c r="AD131" s="7">
        <f>IF($BL131&lt;&gt;"Yes",0,Calcs!AX587*(1+Calcs!$Q534+Calcs!$R534))</f>
        <v>0</v>
      </c>
      <c r="AE131" s="7">
        <f>IF($BL131&lt;&gt;"Yes",0,Calcs!AY587*(1+Calcs!$Q534+Calcs!$R534))</f>
        <v>0</v>
      </c>
      <c r="AF131" s="7">
        <f>IF($BL131&lt;&gt;"Yes",0,Calcs!AZ587*(1+Calcs!$Q534+Calcs!$R534))</f>
        <v>0</v>
      </c>
      <c r="AG131" s="7">
        <f>IF($BL131&lt;&gt;"Yes",0,Calcs!BA587*(1+Calcs!$Q534+Calcs!$R534))</f>
        <v>0</v>
      </c>
      <c r="AH131" s="7">
        <f>IF($BL131&lt;&gt;"Yes",0,Calcs!BB587*(1+Calcs!$Q534+Calcs!$R534))</f>
        <v>0</v>
      </c>
      <c r="AI131" s="7">
        <f>IF($BL131&lt;&gt;"Yes",0,Calcs!BC587*(1+Calcs!$Q534+Calcs!$R534))</f>
        <v>0</v>
      </c>
      <c r="AJ131" s="7">
        <f>IF($BL131&lt;&gt;"Yes",0,Calcs!BD587*(1+Calcs!$Q534+Calcs!$R534))</f>
        <v>0</v>
      </c>
      <c r="AK131" s="7">
        <f>IF($BL131&lt;&gt;"Yes",0,Calcs!BE587*(1+Calcs!$Q534+Calcs!$R534))</f>
        <v>0</v>
      </c>
      <c r="AL131" s="7">
        <f>IF($BL131&lt;&gt;"Yes",0,Calcs!BF587*(1+Calcs!$Q534+Calcs!$R534))</f>
        <v>0</v>
      </c>
      <c r="AM131" s="7">
        <f>IF($BL131&lt;&gt;"Yes",0,Calcs!BG587*(1+Calcs!$Q534+Calcs!$R534))</f>
        <v>0</v>
      </c>
      <c r="AN131" s="7">
        <f>IF($BL131&lt;&gt;"Yes",0,Calcs!BH587*(1+Calcs!$Q534+Calcs!$R534))</f>
        <v>0</v>
      </c>
      <c r="AO131" s="7">
        <f>IF($BL131&lt;&gt;"Yes",0,Calcs!BI587*(1+Calcs!$Q534+Calcs!$R534))</f>
        <v>0</v>
      </c>
      <c r="AP131" s="7">
        <f>IF($BL131&lt;&gt;"Yes",0,Calcs!BJ587*(1+Calcs!$Q534+Calcs!$R534))</f>
        <v>0</v>
      </c>
      <c r="AQ131" s="7">
        <f>IF($BL131&lt;&gt;"Yes",0,Calcs!BK587*(1+Calcs!$Q534+Calcs!$R534))</f>
        <v>0</v>
      </c>
      <c r="AR131" s="7">
        <f>IF($BL131&lt;&gt;"Yes",0,Calcs!BL587*(1+Calcs!$Q534+Calcs!$R534))</f>
        <v>0</v>
      </c>
      <c r="AS131" s="7">
        <f>IF($BL131&lt;&gt;"Yes",0,Calcs!BM587*(1+Calcs!$Q534+Calcs!$R534))</f>
        <v>0</v>
      </c>
      <c r="AT131" s="7">
        <f>IF($BL131&lt;&gt;"Yes",0,Calcs!BN587*(1+Calcs!$Q534+Calcs!$R534))</f>
        <v>0</v>
      </c>
      <c r="AU131" s="7">
        <f>IF($BL131&lt;&gt;"Yes",0,Calcs!BO587*(1+Calcs!$Q534+Calcs!$R534))</f>
        <v>0</v>
      </c>
      <c r="AV131" s="7">
        <f>IF($BL131&lt;&gt;"Yes",0,Calcs!BP587*(1+Calcs!$Q534+Calcs!$R534))</f>
        <v>0</v>
      </c>
      <c r="AW131" s="7">
        <f>IF($BL131&lt;&gt;"Yes",0,Calcs!BQ587*(1+Calcs!$Q534+Calcs!$R534))</f>
        <v>0</v>
      </c>
      <c r="AX131" s="7">
        <f>IF($BL131&lt;&gt;"Yes",0,Calcs!BR587*(1+Calcs!$Q534+Calcs!$R534))</f>
        <v>0</v>
      </c>
      <c r="AY131" s="7">
        <f>IF($BL131&lt;&gt;"Yes",0,Calcs!BS587*(1+Calcs!$Q534+Calcs!$R534))</f>
        <v>0</v>
      </c>
      <c r="AZ131" s="7">
        <f>IF($BL131&lt;&gt;"Yes",0,Calcs!BT587*(1+Calcs!$Q534+Calcs!$R534))</f>
        <v>0</v>
      </c>
      <c r="BA131" s="7">
        <f>IF($BL131&lt;&gt;"Yes",0,Calcs!BU587*(1+Calcs!$Q534+Calcs!$R534))</f>
        <v>0</v>
      </c>
      <c r="BB131" s="7">
        <f>IF($BL131&lt;&gt;"Yes",0,Calcs!BV587*(1+Calcs!$Q534+Calcs!$R534))</f>
        <v>0</v>
      </c>
      <c r="BC131" s="7">
        <f>IF($BL131&lt;&gt;"Yes",0,Calcs!BW587*(1+Calcs!$Q534+Calcs!$R534))</f>
        <v>0</v>
      </c>
      <c r="BD131" s="7">
        <f>IF($BL131&lt;&gt;"Yes",0,Calcs!BX587*(1+Calcs!$Q534+Calcs!$R534))</f>
        <v>0</v>
      </c>
      <c r="BE131" s="7">
        <f>IF($BL131&lt;&gt;"Yes",0,Calcs!BY587*(1+Calcs!$Q534+Calcs!$R534))</f>
        <v>0</v>
      </c>
      <c r="BF131" s="7">
        <f>IF($BL131&lt;&gt;"Yes",0,Calcs!BZ587*(1+Calcs!$Q534+Calcs!$R534))</f>
        <v>0</v>
      </c>
      <c r="BG131" s="7">
        <f>IF($BL131&lt;&gt;"Yes",0,Calcs!CA587*(1+Calcs!$Q534+Calcs!$R534))</f>
        <v>0</v>
      </c>
      <c r="BH131" s="7">
        <f>IF($BL131&lt;&gt;"Yes",0,Calcs!CB587*(1+Calcs!$Q534+Calcs!$R534))</f>
        <v>0</v>
      </c>
      <c r="BI131" s="7">
        <f>IF($BL131&lt;&gt;"Yes",0,Calcs!CC587*(1+Calcs!$Q534+Calcs!$R534))</f>
        <v>0</v>
      </c>
      <c r="BJ131" s="7">
        <f>IF($BL131&lt;&gt;"Yes",0,Calcs!CD587*(1+Calcs!$Q534+Calcs!$R534))</f>
        <v>0</v>
      </c>
    </row>
    <row r="132" spans="1:62" s="5" customFormat="1" ht="13" hidden="1" customHeight="1" x14ac:dyDescent="0.3">
      <c r="A132" s="6" t="str">
        <f>IF(AND(Calcs!S588&lt;&gt;"",Calcs!S588&lt;&gt;0),Calcs!S588,"Personnel "&amp;Calcs!Q588)</f>
        <v xml:space="preserve">Personnel </v>
      </c>
      <c r="B132" s="6" t="str">
        <f>IF(AND(Calcs!T588&lt;&gt;"",Calcs!T588&lt;&gt;0),Calcs!T588,"Personnel "&amp;Calcs!R588)</f>
        <v>Personnel 37</v>
      </c>
      <c r="C132" s="7">
        <f>IF($BL132&lt;&gt;"Yes",0,Calcs!W588*(1+Calcs!$Q535+Calcs!$R535))</f>
        <v>0</v>
      </c>
      <c r="D132" s="7">
        <f>IF($BL132&lt;&gt;"Yes",0,Calcs!X588*(1+Calcs!$Q535+Calcs!$R535))</f>
        <v>0</v>
      </c>
      <c r="E132" s="7">
        <f>IF($BL132&lt;&gt;"Yes",0,Calcs!Y588*(1+Calcs!$Q535+Calcs!$R535))</f>
        <v>0</v>
      </c>
      <c r="F132" s="7">
        <f>IF($BL132&lt;&gt;"Yes",0,Calcs!Z588*(1+Calcs!$Q535+Calcs!$R535))</f>
        <v>0</v>
      </c>
      <c r="G132" s="7">
        <f>IF($BL132&lt;&gt;"Yes",0,Calcs!AA588*(1+Calcs!$Q535+Calcs!$R535))</f>
        <v>0</v>
      </c>
      <c r="H132" s="40"/>
      <c r="I132" s="7">
        <f>IF($BL132&lt;&gt;"Yes",0,Calcs!AC588*(1+Calcs!$Q535+Calcs!$R535))</f>
        <v>0</v>
      </c>
      <c r="J132" s="7">
        <f>IF($BL132&lt;&gt;"Yes",0,Calcs!AD588*(1+Calcs!$Q535+Calcs!$R535))</f>
        <v>0</v>
      </c>
      <c r="K132" s="7">
        <f>IF($BL132&lt;&gt;"Yes",0,Calcs!AE588*(1+Calcs!$Q535+Calcs!$R535))</f>
        <v>0</v>
      </c>
      <c r="L132" s="7">
        <f>IF($BL132&lt;&gt;"Yes",0,Calcs!AF588*(1+Calcs!$Q535+Calcs!$R535))</f>
        <v>0</v>
      </c>
      <c r="M132" s="7">
        <f>IF($BL132&lt;&gt;"Yes",0,Calcs!AG588*(1+Calcs!$Q535+Calcs!$R535))</f>
        <v>0</v>
      </c>
      <c r="N132" s="7">
        <f>IF($BL132&lt;&gt;"Yes",0,Calcs!AH588*(1+Calcs!$Q535+Calcs!$R535))</f>
        <v>0</v>
      </c>
      <c r="O132" s="7">
        <f>IF($BL132&lt;&gt;"Yes",0,Calcs!AI588*(1+Calcs!$Q535+Calcs!$R535))</f>
        <v>0</v>
      </c>
      <c r="P132" s="7">
        <f>IF($BL132&lt;&gt;"Yes",0,Calcs!AJ588*(1+Calcs!$Q535+Calcs!$R535))</f>
        <v>0</v>
      </c>
      <c r="Q132" s="7">
        <f>IF($BL132&lt;&gt;"Yes",0,Calcs!AK588*(1+Calcs!$Q535+Calcs!$R535))</f>
        <v>0</v>
      </c>
      <c r="R132" s="7">
        <f>IF($BL132&lt;&gt;"Yes",0,Calcs!AL588*(1+Calcs!$Q535+Calcs!$R535))</f>
        <v>0</v>
      </c>
      <c r="S132" s="7">
        <f>IF($BL132&lt;&gt;"Yes",0,Calcs!AM588*(1+Calcs!$Q535+Calcs!$R535))</f>
        <v>0</v>
      </c>
      <c r="T132" s="7">
        <f>IF($BL132&lt;&gt;"Yes",0,Calcs!AN588*(1+Calcs!$Q535+Calcs!$R535))</f>
        <v>0</v>
      </c>
      <c r="U132" s="7">
        <f>IF($BL132&lt;&gt;"Yes",0,Calcs!AO588*(1+Calcs!$Q535+Calcs!$R535))</f>
        <v>0</v>
      </c>
      <c r="V132" s="7">
        <f>IF($BL132&lt;&gt;"Yes",0,Calcs!AP588*(1+Calcs!$Q535+Calcs!$R535))</f>
        <v>0</v>
      </c>
      <c r="W132" s="7">
        <f>IF($BL132&lt;&gt;"Yes",0,Calcs!AQ588*(1+Calcs!$Q535+Calcs!$R535))</f>
        <v>0</v>
      </c>
      <c r="X132" s="7">
        <f>IF($BL132&lt;&gt;"Yes",0,Calcs!AR588*(1+Calcs!$Q535+Calcs!$R535))</f>
        <v>0</v>
      </c>
      <c r="Y132" s="7">
        <f>IF($BL132&lt;&gt;"Yes",0,Calcs!AS588*(1+Calcs!$Q535+Calcs!$R535))</f>
        <v>0</v>
      </c>
      <c r="Z132" s="7">
        <f>IF($BL132&lt;&gt;"Yes",0,Calcs!AT588*(1+Calcs!$Q535+Calcs!$R535))</f>
        <v>0</v>
      </c>
      <c r="AA132" s="7">
        <f>IF($BL132&lt;&gt;"Yes",0,Calcs!AU588*(1+Calcs!$Q535+Calcs!$R535))</f>
        <v>0</v>
      </c>
      <c r="AB132" s="7">
        <f>IF($BL132&lt;&gt;"Yes",0,Calcs!AV588*(1+Calcs!$Q535+Calcs!$R535))</f>
        <v>0</v>
      </c>
      <c r="AC132" s="7">
        <f>IF($BL132&lt;&gt;"Yes",0,Calcs!AW588*(1+Calcs!$Q535+Calcs!$R535))</f>
        <v>0</v>
      </c>
      <c r="AD132" s="7">
        <f>IF($BL132&lt;&gt;"Yes",0,Calcs!AX588*(1+Calcs!$Q535+Calcs!$R535))</f>
        <v>0</v>
      </c>
      <c r="AE132" s="7">
        <f>IF($BL132&lt;&gt;"Yes",0,Calcs!AY588*(1+Calcs!$Q535+Calcs!$R535))</f>
        <v>0</v>
      </c>
      <c r="AF132" s="7">
        <f>IF($BL132&lt;&gt;"Yes",0,Calcs!AZ588*(1+Calcs!$Q535+Calcs!$R535))</f>
        <v>0</v>
      </c>
      <c r="AG132" s="7">
        <f>IF($BL132&lt;&gt;"Yes",0,Calcs!BA588*(1+Calcs!$Q535+Calcs!$R535))</f>
        <v>0</v>
      </c>
      <c r="AH132" s="7">
        <f>IF($BL132&lt;&gt;"Yes",0,Calcs!BB588*(1+Calcs!$Q535+Calcs!$R535))</f>
        <v>0</v>
      </c>
      <c r="AI132" s="7">
        <f>IF($BL132&lt;&gt;"Yes",0,Calcs!BC588*(1+Calcs!$Q535+Calcs!$R535))</f>
        <v>0</v>
      </c>
      <c r="AJ132" s="7">
        <f>IF($BL132&lt;&gt;"Yes",0,Calcs!BD588*(1+Calcs!$Q535+Calcs!$R535))</f>
        <v>0</v>
      </c>
      <c r="AK132" s="7">
        <f>IF($BL132&lt;&gt;"Yes",0,Calcs!BE588*(1+Calcs!$Q535+Calcs!$R535))</f>
        <v>0</v>
      </c>
      <c r="AL132" s="7">
        <f>IF($BL132&lt;&gt;"Yes",0,Calcs!BF588*(1+Calcs!$Q535+Calcs!$R535))</f>
        <v>0</v>
      </c>
      <c r="AM132" s="7">
        <f>IF($BL132&lt;&gt;"Yes",0,Calcs!BG588*(1+Calcs!$Q535+Calcs!$R535))</f>
        <v>0</v>
      </c>
      <c r="AN132" s="7">
        <f>IF($BL132&lt;&gt;"Yes",0,Calcs!BH588*(1+Calcs!$Q535+Calcs!$R535))</f>
        <v>0</v>
      </c>
      <c r="AO132" s="7">
        <f>IF($BL132&lt;&gt;"Yes",0,Calcs!BI588*(1+Calcs!$Q535+Calcs!$R535))</f>
        <v>0</v>
      </c>
      <c r="AP132" s="7">
        <f>IF($BL132&lt;&gt;"Yes",0,Calcs!BJ588*(1+Calcs!$Q535+Calcs!$R535))</f>
        <v>0</v>
      </c>
      <c r="AQ132" s="7">
        <f>IF($BL132&lt;&gt;"Yes",0,Calcs!BK588*(1+Calcs!$Q535+Calcs!$R535))</f>
        <v>0</v>
      </c>
      <c r="AR132" s="7">
        <f>IF($BL132&lt;&gt;"Yes",0,Calcs!BL588*(1+Calcs!$Q535+Calcs!$R535))</f>
        <v>0</v>
      </c>
      <c r="AS132" s="7">
        <f>IF($BL132&lt;&gt;"Yes",0,Calcs!BM588*(1+Calcs!$Q535+Calcs!$R535))</f>
        <v>0</v>
      </c>
      <c r="AT132" s="7">
        <f>IF($BL132&lt;&gt;"Yes",0,Calcs!BN588*(1+Calcs!$Q535+Calcs!$R535))</f>
        <v>0</v>
      </c>
      <c r="AU132" s="7">
        <f>IF($BL132&lt;&gt;"Yes",0,Calcs!BO588*(1+Calcs!$Q535+Calcs!$R535))</f>
        <v>0</v>
      </c>
      <c r="AV132" s="7">
        <f>IF($BL132&lt;&gt;"Yes",0,Calcs!BP588*(1+Calcs!$Q535+Calcs!$R535))</f>
        <v>0</v>
      </c>
      <c r="AW132" s="7">
        <f>IF($BL132&lt;&gt;"Yes",0,Calcs!BQ588*(1+Calcs!$Q535+Calcs!$R535))</f>
        <v>0</v>
      </c>
      <c r="AX132" s="7">
        <f>IF($BL132&lt;&gt;"Yes",0,Calcs!BR588*(1+Calcs!$Q535+Calcs!$R535))</f>
        <v>0</v>
      </c>
      <c r="AY132" s="7">
        <f>IF($BL132&lt;&gt;"Yes",0,Calcs!BS588*(1+Calcs!$Q535+Calcs!$R535))</f>
        <v>0</v>
      </c>
      <c r="AZ132" s="7">
        <f>IF($BL132&lt;&gt;"Yes",0,Calcs!BT588*(1+Calcs!$Q535+Calcs!$R535))</f>
        <v>0</v>
      </c>
      <c r="BA132" s="7">
        <f>IF($BL132&lt;&gt;"Yes",0,Calcs!BU588*(1+Calcs!$Q535+Calcs!$R535))</f>
        <v>0</v>
      </c>
      <c r="BB132" s="7">
        <f>IF($BL132&lt;&gt;"Yes",0,Calcs!BV588*(1+Calcs!$Q535+Calcs!$R535))</f>
        <v>0</v>
      </c>
      <c r="BC132" s="7">
        <f>IF($BL132&lt;&gt;"Yes",0,Calcs!BW588*(1+Calcs!$Q535+Calcs!$R535))</f>
        <v>0</v>
      </c>
      <c r="BD132" s="7">
        <f>IF($BL132&lt;&gt;"Yes",0,Calcs!BX588*(1+Calcs!$Q535+Calcs!$R535))</f>
        <v>0</v>
      </c>
      <c r="BE132" s="7">
        <f>IF($BL132&lt;&gt;"Yes",0,Calcs!BY588*(1+Calcs!$Q535+Calcs!$R535))</f>
        <v>0</v>
      </c>
      <c r="BF132" s="7">
        <f>IF($BL132&lt;&gt;"Yes",0,Calcs!BZ588*(1+Calcs!$Q535+Calcs!$R535))</f>
        <v>0</v>
      </c>
      <c r="BG132" s="7">
        <f>IF($BL132&lt;&gt;"Yes",0,Calcs!CA588*(1+Calcs!$Q535+Calcs!$R535))</f>
        <v>0</v>
      </c>
      <c r="BH132" s="7">
        <f>IF($BL132&lt;&gt;"Yes",0,Calcs!CB588*(1+Calcs!$Q535+Calcs!$R535))</f>
        <v>0</v>
      </c>
      <c r="BI132" s="7">
        <f>IF($BL132&lt;&gt;"Yes",0,Calcs!CC588*(1+Calcs!$Q535+Calcs!$R535))</f>
        <v>0</v>
      </c>
      <c r="BJ132" s="7">
        <f>IF($BL132&lt;&gt;"Yes",0,Calcs!CD588*(1+Calcs!$Q535+Calcs!$R535))</f>
        <v>0</v>
      </c>
    </row>
    <row r="133" spans="1:62" s="5" customFormat="1" ht="13" hidden="1" customHeight="1" x14ac:dyDescent="0.3">
      <c r="A133" s="6" t="str">
        <f>IF(AND(Calcs!S589&lt;&gt;"",Calcs!S589&lt;&gt;0),Calcs!S589,"Personnel "&amp;Calcs!Q589)</f>
        <v xml:space="preserve">Personnel </v>
      </c>
      <c r="B133" s="6" t="str">
        <f>IF(AND(Calcs!T589&lt;&gt;"",Calcs!T589&lt;&gt;0),Calcs!T589,"Personnel "&amp;Calcs!R589)</f>
        <v>Personnel 38</v>
      </c>
      <c r="C133" s="7">
        <f>IF($BL133&lt;&gt;"Yes",0,Calcs!W589*(1+Calcs!$Q536+Calcs!$R536))</f>
        <v>0</v>
      </c>
      <c r="D133" s="7">
        <f>IF($BL133&lt;&gt;"Yes",0,Calcs!X589*(1+Calcs!$Q536+Calcs!$R536))</f>
        <v>0</v>
      </c>
      <c r="E133" s="7">
        <f>IF($BL133&lt;&gt;"Yes",0,Calcs!Y589*(1+Calcs!$Q536+Calcs!$R536))</f>
        <v>0</v>
      </c>
      <c r="F133" s="7">
        <f>IF($BL133&lt;&gt;"Yes",0,Calcs!Z589*(1+Calcs!$Q536+Calcs!$R536))</f>
        <v>0</v>
      </c>
      <c r="G133" s="7">
        <f>IF($BL133&lt;&gt;"Yes",0,Calcs!AA589*(1+Calcs!$Q536+Calcs!$R536))</f>
        <v>0</v>
      </c>
      <c r="H133" s="40"/>
      <c r="I133" s="7">
        <f>IF($BL133&lt;&gt;"Yes",0,Calcs!AC589*(1+Calcs!$Q536+Calcs!$R536))</f>
        <v>0</v>
      </c>
      <c r="J133" s="7">
        <f>IF($BL133&lt;&gt;"Yes",0,Calcs!AD589*(1+Calcs!$Q536+Calcs!$R536))</f>
        <v>0</v>
      </c>
      <c r="K133" s="7">
        <f>IF($BL133&lt;&gt;"Yes",0,Calcs!AE589*(1+Calcs!$Q536+Calcs!$R536))</f>
        <v>0</v>
      </c>
      <c r="L133" s="7">
        <f>IF($BL133&lt;&gt;"Yes",0,Calcs!AF589*(1+Calcs!$Q536+Calcs!$R536))</f>
        <v>0</v>
      </c>
      <c r="M133" s="7">
        <f>IF($BL133&lt;&gt;"Yes",0,Calcs!AG589*(1+Calcs!$Q536+Calcs!$R536))</f>
        <v>0</v>
      </c>
      <c r="N133" s="7">
        <f>IF($BL133&lt;&gt;"Yes",0,Calcs!AH589*(1+Calcs!$Q536+Calcs!$R536))</f>
        <v>0</v>
      </c>
      <c r="O133" s="7">
        <f>IF($BL133&lt;&gt;"Yes",0,Calcs!AI589*(1+Calcs!$Q536+Calcs!$R536))</f>
        <v>0</v>
      </c>
      <c r="P133" s="7">
        <f>IF($BL133&lt;&gt;"Yes",0,Calcs!AJ589*(1+Calcs!$Q536+Calcs!$R536))</f>
        <v>0</v>
      </c>
      <c r="Q133" s="7">
        <f>IF($BL133&lt;&gt;"Yes",0,Calcs!AK589*(1+Calcs!$Q536+Calcs!$R536))</f>
        <v>0</v>
      </c>
      <c r="R133" s="7">
        <f>IF($BL133&lt;&gt;"Yes",0,Calcs!AL589*(1+Calcs!$Q536+Calcs!$R536))</f>
        <v>0</v>
      </c>
      <c r="S133" s="7">
        <f>IF($BL133&lt;&gt;"Yes",0,Calcs!AM589*(1+Calcs!$Q536+Calcs!$R536))</f>
        <v>0</v>
      </c>
      <c r="T133" s="7">
        <f>IF($BL133&lt;&gt;"Yes",0,Calcs!AN589*(1+Calcs!$Q536+Calcs!$R536))</f>
        <v>0</v>
      </c>
      <c r="U133" s="7">
        <f>IF($BL133&lt;&gt;"Yes",0,Calcs!AO589*(1+Calcs!$Q536+Calcs!$R536))</f>
        <v>0</v>
      </c>
      <c r="V133" s="7">
        <f>IF($BL133&lt;&gt;"Yes",0,Calcs!AP589*(1+Calcs!$Q536+Calcs!$R536))</f>
        <v>0</v>
      </c>
      <c r="W133" s="7">
        <f>IF($BL133&lt;&gt;"Yes",0,Calcs!AQ589*(1+Calcs!$Q536+Calcs!$R536))</f>
        <v>0</v>
      </c>
      <c r="X133" s="7">
        <f>IF($BL133&lt;&gt;"Yes",0,Calcs!AR589*(1+Calcs!$Q536+Calcs!$R536))</f>
        <v>0</v>
      </c>
      <c r="Y133" s="7">
        <f>IF($BL133&lt;&gt;"Yes",0,Calcs!AS589*(1+Calcs!$Q536+Calcs!$R536))</f>
        <v>0</v>
      </c>
      <c r="Z133" s="7">
        <f>IF($BL133&lt;&gt;"Yes",0,Calcs!AT589*(1+Calcs!$Q536+Calcs!$R536))</f>
        <v>0</v>
      </c>
      <c r="AA133" s="7">
        <f>IF($BL133&lt;&gt;"Yes",0,Calcs!AU589*(1+Calcs!$Q536+Calcs!$R536))</f>
        <v>0</v>
      </c>
      <c r="AB133" s="7">
        <f>IF($BL133&lt;&gt;"Yes",0,Calcs!AV589*(1+Calcs!$Q536+Calcs!$R536))</f>
        <v>0</v>
      </c>
      <c r="AC133" s="7">
        <f>IF($BL133&lt;&gt;"Yes",0,Calcs!AW589*(1+Calcs!$Q536+Calcs!$R536))</f>
        <v>0</v>
      </c>
      <c r="AD133" s="7">
        <f>IF($BL133&lt;&gt;"Yes",0,Calcs!AX589*(1+Calcs!$Q536+Calcs!$R536))</f>
        <v>0</v>
      </c>
      <c r="AE133" s="7">
        <f>IF($BL133&lt;&gt;"Yes",0,Calcs!AY589*(1+Calcs!$Q536+Calcs!$R536))</f>
        <v>0</v>
      </c>
      <c r="AF133" s="7">
        <f>IF($BL133&lt;&gt;"Yes",0,Calcs!AZ589*(1+Calcs!$Q536+Calcs!$R536))</f>
        <v>0</v>
      </c>
      <c r="AG133" s="7">
        <f>IF($BL133&lt;&gt;"Yes",0,Calcs!BA589*(1+Calcs!$Q536+Calcs!$R536))</f>
        <v>0</v>
      </c>
      <c r="AH133" s="7">
        <f>IF($BL133&lt;&gt;"Yes",0,Calcs!BB589*(1+Calcs!$Q536+Calcs!$R536))</f>
        <v>0</v>
      </c>
      <c r="AI133" s="7">
        <f>IF($BL133&lt;&gt;"Yes",0,Calcs!BC589*(1+Calcs!$Q536+Calcs!$R536))</f>
        <v>0</v>
      </c>
      <c r="AJ133" s="7">
        <f>IF($BL133&lt;&gt;"Yes",0,Calcs!BD589*(1+Calcs!$Q536+Calcs!$R536))</f>
        <v>0</v>
      </c>
      <c r="AK133" s="7">
        <f>IF($BL133&lt;&gt;"Yes",0,Calcs!BE589*(1+Calcs!$Q536+Calcs!$R536))</f>
        <v>0</v>
      </c>
      <c r="AL133" s="7">
        <f>IF($BL133&lt;&gt;"Yes",0,Calcs!BF589*(1+Calcs!$Q536+Calcs!$R536))</f>
        <v>0</v>
      </c>
      <c r="AM133" s="7">
        <f>IF($BL133&lt;&gt;"Yes",0,Calcs!BG589*(1+Calcs!$Q536+Calcs!$R536))</f>
        <v>0</v>
      </c>
      <c r="AN133" s="7">
        <f>IF($BL133&lt;&gt;"Yes",0,Calcs!BH589*(1+Calcs!$Q536+Calcs!$R536))</f>
        <v>0</v>
      </c>
      <c r="AO133" s="7">
        <f>IF($BL133&lt;&gt;"Yes",0,Calcs!BI589*(1+Calcs!$Q536+Calcs!$R536))</f>
        <v>0</v>
      </c>
      <c r="AP133" s="7">
        <f>IF($BL133&lt;&gt;"Yes",0,Calcs!BJ589*(1+Calcs!$Q536+Calcs!$R536))</f>
        <v>0</v>
      </c>
      <c r="AQ133" s="7">
        <f>IF($BL133&lt;&gt;"Yes",0,Calcs!BK589*(1+Calcs!$Q536+Calcs!$R536))</f>
        <v>0</v>
      </c>
      <c r="AR133" s="7">
        <f>IF($BL133&lt;&gt;"Yes",0,Calcs!BL589*(1+Calcs!$Q536+Calcs!$R536))</f>
        <v>0</v>
      </c>
      <c r="AS133" s="7">
        <f>IF($BL133&lt;&gt;"Yes",0,Calcs!BM589*(1+Calcs!$Q536+Calcs!$R536))</f>
        <v>0</v>
      </c>
      <c r="AT133" s="7">
        <f>IF($BL133&lt;&gt;"Yes",0,Calcs!BN589*(1+Calcs!$Q536+Calcs!$R536))</f>
        <v>0</v>
      </c>
      <c r="AU133" s="7">
        <f>IF($BL133&lt;&gt;"Yes",0,Calcs!BO589*(1+Calcs!$Q536+Calcs!$R536))</f>
        <v>0</v>
      </c>
      <c r="AV133" s="7">
        <f>IF($BL133&lt;&gt;"Yes",0,Calcs!BP589*(1+Calcs!$Q536+Calcs!$R536))</f>
        <v>0</v>
      </c>
      <c r="AW133" s="7">
        <f>IF($BL133&lt;&gt;"Yes",0,Calcs!BQ589*(1+Calcs!$Q536+Calcs!$R536))</f>
        <v>0</v>
      </c>
      <c r="AX133" s="7">
        <f>IF($BL133&lt;&gt;"Yes",0,Calcs!BR589*(1+Calcs!$Q536+Calcs!$R536))</f>
        <v>0</v>
      </c>
      <c r="AY133" s="7">
        <f>IF($BL133&lt;&gt;"Yes",0,Calcs!BS589*(1+Calcs!$Q536+Calcs!$R536))</f>
        <v>0</v>
      </c>
      <c r="AZ133" s="7">
        <f>IF($BL133&lt;&gt;"Yes",0,Calcs!BT589*(1+Calcs!$Q536+Calcs!$R536))</f>
        <v>0</v>
      </c>
      <c r="BA133" s="7">
        <f>IF($BL133&lt;&gt;"Yes",0,Calcs!BU589*(1+Calcs!$Q536+Calcs!$R536))</f>
        <v>0</v>
      </c>
      <c r="BB133" s="7">
        <f>IF($BL133&lt;&gt;"Yes",0,Calcs!BV589*(1+Calcs!$Q536+Calcs!$R536))</f>
        <v>0</v>
      </c>
      <c r="BC133" s="7">
        <f>IF($BL133&lt;&gt;"Yes",0,Calcs!BW589*(1+Calcs!$Q536+Calcs!$R536))</f>
        <v>0</v>
      </c>
      <c r="BD133" s="7">
        <f>IF($BL133&lt;&gt;"Yes",0,Calcs!BX589*(1+Calcs!$Q536+Calcs!$R536))</f>
        <v>0</v>
      </c>
      <c r="BE133" s="7">
        <f>IF($BL133&lt;&gt;"Yes",0,Calcs!BY589*(1+Calcs!$Q536+Calcs!$R536))</f>
        <v>0</v>
      </c>
      <c r="BF133" s="7">
        <f>IF($BL133&lt;&gt;"Yes",0,Calcs!BZ589*(1+Calcs!$Q536+Calcs!$R536))</f>
        <v>0</v>
      </c>
      <c r="BG133" s="7">
        <f>IF($BL133&lt;&gt;"Yes",0,Calcs!CA589*(1+Calcs!$Q536+Calcs!$R536))</f>
        <v>0</v>
      </c>
      <c r="BH133" s="7">
        <f>IF($BL133&lt;&gt;"Yes",0,Calcs!CB589*(1+Calcs!$Q536+Calcs!$R536))</f>
        <v>0</v>
      </c>
      <c r="BI133" s="7">
        <f>IF($BL133&lt;&gt;"Yes",0,Calcs!CC589*(1+Calcs!$Q536+Calcs!$R536))</f>
        <v>0</v>
      </c>
      <c r="BJ133" s="7">
        <f>IF($BL133&lt;&gt;"Yes",0,Calcs!CD589*(1+Calcs!$Q536+Calcs!$R536))</f>
        <v>0</v>
      </c>
    </row>
    <row r="134" spans="1:62" s="5" customFormat="1" ht="13" hidden="1" customHeight="1" x14ac:dyDescent="0.3">
      <c r="A134" s="6" t="str">
        <f>IF(AND(Calcs!S590&lt;&gt;"",Calcs!S590&lt;&gt;0),Calcs!S590,"Personnel "&amp;Calcs!Q590)</f>
        <v xml:space="preserve">Personnel </v>
      </c>
      <c r="B134" s="6" t="str">
        <f>IF(AND(Calcs!T590&lt;&gt;"",Calcs!T590&lt;&gt;0),Calcs!T590,"Personnel "&amp;Calcs!R590)</f>
        <v>Personnel 39</v>
      </c>
      <c r="C134" s="7">
        <f>IF($BL134&lt;&gt;"Yes",0,Calcs!W590*(1+Calcs!$Q537+Calcs!$R537))</f>
        <v>0</v>
      </c>
      <c r="D134" s="7">
        <f>IF($BL134&lt;&gt;"Yes",0,Calcs!X590*(1+Calcs!$Q537+Calcs!$R537))</f>
        <v>0</v>
      </c>
      <c r="E134" s="7">
        <f>IF($BL134&lt;&gt;"Yes",0,Calcs!Y590*(1+Calcs!$Q537+Calcs!$R537))</f>
        <v>0</v>
      </c>
      <c r="F134" s="7">
        <f>IF($BL134&lt;&gt;"Yes",0,Calcs!Z590*(1+Calcs!$Q537+Calcs!$R537))</f>
        <v>0</v>
      </c>
      <c r="G134" s="7">
        <f>IF($BL134&lt;&gt;"Yes",0,Calcs!AA590*(1+Calcs!$Q537+Calcs!$R537))</f>
        <v>0</v>
      </c>
      <c r="H134" s="40"/>
      <c r="I134" s="7">
        <f>IF($BL134&lt;&gt;"Yes",0,Calcs!AC590*(1+Calcs!$Q537+Calcs!$R537))</f>
        <v>0</v>
      </c>
      <c r="J134" s="7">
        <f>IF($BL134&lt;&gt;"Yes",0,Calcs!AD590*(1+Calcs!$Q537+Calcs!$R537))</f>
        <v>0</v>
      </c>
      <c r="K134" s="7">
        <f>IF($BL134&lt;&gt;"Yes",0,Calcs!AE590*(1+Calcs!$Q537+Calcs!$R537))</f>
        <v>0</v>
      </c>
      <c r="L134" s="7">
        <f>IF($BL134&lt;&gt;"Yes",0,Calcs!AF590*(1+Calcs!$Q537+Calcs!$R537))</f>
        <v>0</v>
      </c>
      <c r="M134" s="7">
        <f>IF($BL134&lt;&gt;"Yes",0,Calcs!AG590*(1+Calcs!$Q537+Calcs!$R537))</f>
        <v>0</v>
      </c>
      <c r="N134" s="7">
        <f>IF($BL134&lt;&gt;"Yes",0,Calcs!AH590*(1+Calcs!$Q537+Calcs!$R537))</f>
        <v>0</v>
      </c>
      <c r="O134" s="7">
        <f>IF($BL134&lt;&gt;"Yes",0,Calcs!AI590*(1+Calcs!$Q537+Calcs!$R537))</f>
        <v>0</v>
      </c>
      <c r="P134" s="7">
        <f>IF($BL134&lt;&gt;"Yes",0,Calcs!AJ590*(1+Calcs!$Q537+Calcs!$R537))</f>
        <v>0</v>
      </c>
      <c r="Q134" s="7">
        <f>IF($BL134&lt;&gt;"Yes",0,Calcs!AK590*(1+Calcs!$Q537+Calcs!$R537))</f>
        <v>0</v>
      </c>
      <c r="R134" s="7">
        <f>IF($BL134&lt;&gt;"Yes",0,Calcs!AL590*(1+Calcs!$Q537+Calcs!$R537))</f>
        <v>0</v>
      </c>
      <c r="S134" s="7">
        <f>IF($BL134&lt;&gt;"Yes",0,Calcs!AM590*(1+Calcs!$Q537+Calcs!$R537))</f>
        <v>0</v>
      </c>
      <c r="T134" s="7">
        <f>IF($BL134&lt;&gt;"Yes",0,Calcs!AN590*(1+Calcs!$Q537+Calcs!$R537))</f>
        <v>0</v>
      </c>
      <c r="U134" s="7">
        <f>IF($BL134&lt;&gt;"Yes",0,Calcs!AO590*(1+Calcs!$Q537+Calcs!$R537))</f>
        <v>0</v>
      </c>
      <c r="V134" s="7">
        <f>IF($BL134&lt;&gt;"Yes",0,Calcs!AP590*(1+Calcs!$Q537+Calcs!$R537))</f>
        <v>0</v>
      </c>
      <c r="W134" s="7">
        <f>IF($BL134&lt;&gt;"Yes",0,Calcs!AQ590*(1+Calcs!$Q537+Calcs!$R537))</f>
        <v>0</v>
      </c>
      <c r="X134" s="7">
        <f>IF($BL134&lt;&gt;"Yes",0,Calcs!AR590*(1+Calcs!$Q537+Calcs!$R537))</f>
        <v>0</v>
      </c>
      <c r="Y134" s="7">
        <f>IF($BL134&lt;&gt;"Yes",0,Calcs!AS590*(1+Calcs!$Q537+Calcs!$R537))</f>
        <v>0</v>
      </c>
      <c r="Z134" s="7">
        <f>IF($BL134&lt;&gt;"Yes",0,Calcs!AT590*(1+Calcs!$Q537+Calcs!$R537))</f>
        <v>0</v>
      </c>
      <c r="AA134" s="7">
        <f>IF($BL134&lt;&gt;"Yes",0,Calcs!AU590*(1+Calcs!$Q537+Calcs!$R537))</f>
        <v>0</v>
      </c>
      <c r="AB134" s="7">
        <f>IF($BL134&lt;&gt;"Yes",0,Calcs!AV590*(1+Calcs!$Q537+Calcs!$R537))</f>
        <v>0</v>
      </c>
      <c r="AC134" s="7">
        <f>IF($BL134&lt;&gt;"Yes",0,Calcs!AW590*(1+Calcs!$Q537+Calcs!$R537))</f>
        <v>0</v>
      </c>
      <c r="AD134" s="7">
        <f>IF($BL134&lt;&gt;"Yes",0,Calcs!AX590*(1+Calcs!$Q537+Calcs!$R537))</f>
        <v>0</v>
      </c>
      <c r="AE134" s="7">
        <f>IF($BL134&lt;&gt;"Yes",0,Calcs!AY590*(1+Calcs!$Q537+Calcs!$R537))</f>
        <v>0</v>
      </c>
      <c r="AF134" s="7">
        <f>IF($BL134&lt;&gt;"Yes",0,Calcs!AZ590*(1+Calcs!$Q537+Calcs!$R537))</f>
        <v>0</v>
      </c>
      <c r="AG134" s="7">
        <f>IF($BL134&lt;&gt;"Yes",0,Calcs!BA590*(1+Calcs!$Q537+Calcs!$R537))</f>
        <v>0</v>
      </c>
      <c r="AH134" s="7">
        <f>IF($BL134&lt;&gt;"Yes",0,Calcs!BB590*(1+Calcs!$Q537+Calcs!$R537))</f>
        <v>0</v>
      </c>
      <c r="AI134" s="7">
        <f>IF($BL134&lt;&gt;"Yes",0,Calcs!BC590*(1+Calcs!$Q537+Calcs!$R537))</f>
        <v>0</v>
      </c>
      <c r="AJ134" s="7">
        <f>IF($BL134&lt;&gt;"Yes",0,Calcs!BD590*(1+Calcs!$Q537+Calcs!$R537))</f>
        <v>0</v>
      </c>
      <c r="AK134" s="7">
        <f>IF($BL134&lt;&gt;"Yes",0,Calcs!BE590*(1+Calcs!$Q537+Calcs!$R537))</f>
        <v>0</v>
      </c>
      <c r="AL134" s="7">
        <f>IF($BL134&lt;&gt;"Yes",0,Calcs!BF590*(1+Calcs!$Q537+Calcs!$R537))</f>
        <v>0</v>
      </c>
      <c r="AM134" s="7">
        <f>IF($BL134&lt;&gt;"Yes",0,Calcs!BG590*(1+Calcs!$Q537+Calcs!$R537))</f>
        <v>0</v>
      </c>
      <c r="AN134" s="7">
        <f>IF($BL134&lt;&gt;"Yes",0,Calcs!BH590*(1+Calcs!$Q537+Calcs!$R537))</f>
        <v>0</v>
      </c>
      <c r="AO134" s="7">
        <f>IF($BL134&lt;&gt;"Yes",0,Calcs!BI590*(1+Calcs!$Q537+Calcs!$R537))</f>
        <v>0</v>
      </c>
      <c r="AP134" s="7">
        <f>IF($BL134&lt;&gt;"Yes",0,Calcs!BJ590*(1+Calcs!$Q537+Calcs!$R537))</f>
        <v>0</v>
      </c>
      <c r="AQ134" s="7">
        <f>IF($BL134&lt;&gt;"Yes",0,Calcs!BK590*(1+Calcs!$Q537+Calcs!$R537))</f>
        <v>0</v>
      </c>
      <c r="AR134" s="7">
        <f>IF($BL134&lt;&gt;"Yes",0,Calcs!BL590*(1+Calcs!$Q537+Calcs!$R537))</f>
        <v>0</v>
      </c>
      <c r="AS134" s="7">
        <f>IF($BL134&lt;&gt;"Yes",0,Calcs!BM590*(1+Calcs!$Q537+Calcs!$R537))</f>
        <v>0</v>
      </c>
      <c r="AT134" s="7">
        <f>IF($BL134&lt;&gt;"Yes",0,Calcs!BN590*(1+Calcs!$Q537+Calcs!$R537))</f>
        <v>0</v>
      </c>
      <c r="AU134" s="7">
        <f>IF($BL134&lt;&gt;"Yes",0,Calcs!BO590*(1+Calcs!$Q537+Calcs!$R537))</f>
        <v>0</v>
      </c>
      <c r="AV134" s="7">
        <f>IF($BL134&lt;&gt;"Yes",0,Calcs!BP590*(1+Calcs!$Q537+Calcs!$R537))</f>
        <v>0</v>
      </c>
      <c r="AW134" s="7">
        <f>IF($BL134&lt;&gt;"Yes",0,Calcs!BQ590*(1+Calcs!$Q537+Calcs!$R537))</f>
        <v>0</v>
      </c>
      <c r="AX134" s="7">
        <f>IF($BL134&lt;&gt;"Yes",0,Calcs!BR590*(1+Calcs!$Q537+Calcs!$R537))</f>
        <v>0</v>
      </c>
      <c r="AY134" s="7">
        <f>IF($BL134&lt;&gt;"Yes",0,Calcs!BS590*(1+Calcs!$Q537+Calcs!$R537))</f>
        <v>0</v>
      </c>
      <c r="AZ134" s="7">
        <f>IF($BL134&lt;&gt;"Yes",0,Calcs!BT590*(1+Calcs!$Q537+Calcs!$R537))</f>
        <v>0</v>
      </c>
      <c r="BA134" s="7">
        <f>IF($BL134&lt;&gt;"Yes",0,Calcs!BU590*(1+Calcs!$Q537+Calcs!$R537))</f>
        <v>0</v>
      </c>
      <c r="BB134" s="7">
        <f>IF($BL134&lt;&gt;"Yes",0,Calcs!BV590*(1+Calcs!$Q537+Calcs!$R537))</f>
        <v>0</v>
      </c>
      <c r="BC134" s="7">
        <f>IF($BL134&lt;&gt;"Yes",0,Calcs!BW590*(1+Calcs!$Q537+Calcs!$R537))</f>
        <v>0</v>
      </c>
      <c r="BD134" s="7">
        <f>IF($BL134&lt;&gt;"Yes",0,Calcs!BX590*(1+Calcs!$Q537+Calcs!$R537))</f>
        <v>0</v>
      </c>
      <c r="BE134" s="7">
        <f>IF($BL134&lt;&gt;"Yes",0,Calcs!BY590*(1+Calcs!$Q537+Calcs!$R537))</f>
        <v>0</v>
      </c>
      <c r="BF134" s="7">
        <f>IF($BL134&lt;&gt;"Yes",0,Calcs!BZ590*(1+Calcs!$Q537+Calcs!$R537))</f>
        <v>0</v>
      </c>
      <c r="BG134" s="7">
        <f>IF($BL134&lt;&gt;"Yes",0,Calcs!CA590*(1+Calcs!$Q537+Calcs!$R537))</f>
        <v>0</v>
      </c>
      <c r="BH134" s="7">
        <f>IF($BL134&lt;&gt;"Yes",0,Calcs!CB590*(1+Calcs!$Q537+Calcs!$R537))</f>
        <v>0</v>
      </c>
      <c r="BI134" s="7">
        <f>IF($BL134&lt;&gt;"Yes",0,Calcs!CC590*(1+Calcs!$Q537+Calcs!$R537))</f>
        <v>0</v>
      </c>
      <c r="BJ134" s="7">
        <f>IF($BL134&lt;&gt;"Yes",0,Calcs!CD590*(1+Calcs!$Q537+Calcs!$R537))</f>
        <v>0</v>
      </c>
    </row>
    <row r="135" spans="1:62" s="5" customFormat="1" ht="13" hidden="1" customHeight="1" x14ac:dyDescent="0.3">
      <c r="A135" s="6" t="str">
        <f>IF(AND(Calcs!S591&lt;&gt;"",Calcs!S591&lt;&gt;0),Calcs!S591,"Personnel "&amp;Calcs!Q591)</f>
        <v xml:space="preserve">Personnel </v>
      </c>
      <c r="B135" s="6" t="str">
        <f>IF(AND(Calcs!T591&lt;&gt;"",Calcs!T591&lt;&gt;0),Calcs!T591,"Personnel "&amp;Calcs!R591)</f>
        <v>Personnel 40</v>
      </c>
      <c r="C135" s="7">
        <f>IF($BL135&lt;&gt;"Yes",0,Calcs!W591*(1+Calcs!$Q538+Calcs!$R538))</f>
        <v>0</v>
      </c>
      <c r="D135" s="7">
        <f>IF($BL135&lt;&gt;"Yes",0,Calcs!X591*(1+Calcs!$Q538+Calcs!$R538))</f>
        <v>0</v>
      </c>
      <c r="E135" s="7">
        <f>IF($BL135&lt;&gt;"Yes",0,Calcs!Y591*(1+Calcs!$Q538+Calcs!$R538))</f>
        <v>0</v>
      </c>
      <c r="F135" s="7">
        <f>IF($BL135&lt;&gt;"Yes",0,Calcs!Z591*(1+Calcs!$Q538+Calcs!$R538))</f>
        <v>0</v>
      </c>
      <c r="G135" s="7">
        <f>IF($BL135&lt;&gt;"Yes",0,Calcs!AA591*(1+Calcs!$Q538+Calcs!$R538))</f>
        <v>0</v>
      </c>
      <c r="H135" s="40"/>
      <c r="I135" s="7">
        <f>IF($BL135&lt;&gt;"Yes",0,Calcs!AC591*(1+Calcs!$Q538+Calcs!$R538))</f>
        <v>0</v>
      </c>
      <c r="J135" s="7">
        <f>IF($BL135&lt;&gt;"Yes",0,Calcs!AD591*(1+Calcs!$Q538+Calcs!$R538))</f>
        <v>0</v>
      </c>
      <c r="K135" s="7">
        <f>IF($BL135&lt;&gt;"Yes",0,Calcs!AE591*(1+Calcs!$Q538+Calcs!$R538))</f>
        <v>0</v>
      </c>
      <c r="L135" s="7">
        <f>IF($BL135&lt;&gt;"Yes",0,Calcs!AF591*(1+Calcs!$Q538+Calcs!$R538))</f>
        <v>0</v>
      </c>
      <c r="M135" s="7">
        <f>IF($BL135&lt;&gt;"Yes",0,Calcs!AG591*(1+Calcs!$Q538+Calcs!$R538))</f>
        <v>0</v>
      </c>
      <c r="N135" s="7">
        <f>IF($BL135&lt;&gt;"Yes",0,Calcs!AH591*(1+Calcs!$Q538+Calcs!$R538))</f>
        <v>0</v>
      </c>
      <c r="O135" s="7">
        <f>IF($BL135&lt;&gt;"Yes",0,Calcs!AI591*(1+Calcs!$Q538+Calcs!$R538))</f>
        <v>0</v>
      </c>
      <c r="P135" s="7">
        <f>IF($BL135&lt;&gt;"Yes",0,Calcs!AJ591*(1+Calcs!$Q538+Calcs!$R538))</f>
        <v>0</v>
      </c>
      <c r="Q135" s="7">
        <f>IF($BL135&lt;&gt;"Yes",0,Calcs!AK591*(1+Calcs!$Q538+Calcs!$R538))</f>
        <v>0</v>
      </c>
      <c r="R135" s="7">
        <f>IF($BL135&lt;&gt;"Yes",0,Calcs!AL591*(1+Calcs!$Q538+Calcs!$R538))</f>
        <v>0</v>
      </c>
      <c r="S135" s="7">
        <f>IF($BL135&lt;&gt;"Yes",0,Calcs!AM591*(1+Calcs!$Q538+Calcs!$R538))</f>
        <v>0</v>
      </c>
      <c r="T135" s="7">
        <f>IF($BL135&lt;&gt;"Yes",0,Calcs!AN591*(1+Calcs!$Q538+Calcs!$R538))</f>
        <v>0</v>
      </c>
      <c r="U135" s="7">
        <f>IF($BL135&lt;&gt;"Yes",0,Calcs!AO591*(1+Calcs!$Q538+Calcs!$R538))</f>
        <v>0</v>
      </c>
      <c r="V135" s="7">
        <f>IF($BL135&lt;&gt;"Yes",0,Calcs!AP591*(1+Calcs!$Q538+Calcs!$R538))</f>
        <v>0</v>
      </c>
      <c r="W135" s="7">
        <f>IF($BL135&lt;&gt;"Yes",0,Calcs!AQ591*(1+Calcs!$Q538+Calcs!$R538))</f>
        <v>0</v>
      </c>
      <c r="X135" s="7">
        <f>IF($BL135&lt;&gt;"Yes",0,Calcs!AR591*(1+Calcs!$Q538+Calcs!$R538))</f>
        <v>0</v>
      </c>
      <c r="Y135" s="7">
        <f>IF($BL135&lt;&gt;"Yes",0,Calcs!AS591*(1+Calcs!$Q538+Calcs!$R538))</f>
        <v>0</v>
      </c>
      <c r="Z135" s="7">
        <f>IF($BL135&lt;&gt;"Yes",0,Calcs!AT591*(1+Calcs!$Q538+Calcs!$R538))</f>
        <v>0</v>
      </c>
      <c r="AA135" s="7">
        <f>IF($BL135&lt;&gt;"Yes",0,Calcs!AU591*(1+Calcs!$Q538+Calcs!$R538))</f>
        <v>0</v>
      </c>
      <c r="AB135" s="7">
        <f>IF($BL135&lt;&gt;"Yes",0,Calcs!AV591*(1+Calcs!$Q538+Calcs!$R538))</f>
        <v>0</v>
      </c>
      <c r="AC135" s="7">
        <f>IF($BL135&lt;&gt;"Yes",0,Calcs!AW591*(1+Calcs!$Q538+Calcs!$R538))</f>
        <v>0</v>
      </c>
      <c r="AD135" s="7">
        <f>IF($BL135&lt;&gt;"Yes",0,Calcs!AX591*(1+Calcs!$Q538+Calcs!$R538))</f>
        <v>0</v>
      </c>
      <c r="AE135" s="7">
        <f>IF($BL135&lt;&gt;"Yes",0,Calcs!AY591*(1+Calcs!$Q538+Calcs!$R538))</f>
        <v>0</v>
      </c>
      <c r="AF135" s="7">
        <f>IF($BL135&lt;&gt;"Yes",0,Calcs!AZ591*(1+Calcs!$Q538+Calcs!$R538))</f>
        <v>0</v>
      </c>
      <c r="AG135" s="7">
        <f>IF($BL135&lt;&gt;"Yes",0,Calcs!BA591*(1+Calcs!$Q538+Calcs!$R538))</f>
        <v>0</v>
      </c>
      <c r="AH135" s="7">
        <f>IF($BL135&lt;&gt;"Yes",0,Calcs!BB591*(1+Calcs!$Q538+Calcs!$R538))</f>
        <v>0</v>
      </c>
      <c r="AI135" s="7">
        <f>IF($BL135&lt;&gt;"Yes",0,Calcs!BC591*(1+Calcs!$Q538+Calcs!$R538))</f>
        <v>0</v>
      </c>
      <c r="AJ135" s="7">
        <f>IF($BL135&lt;&gt;"Yes",0,Calcs!BD591*(1+Calcs!$Q538+Calcs!$R538))</f>
        <v>0</v>
      </c>
      <c r="AK135" s="7">
        <f>IF($BL135&lt;&gt;"Yes",0,Calcs!BE591*(1+Calcs!$Q538+Calcs!$R538))</f>
        <v>0</v>
      </c>
      <c r="AL135" s="7">
        <f>IF($BL135&lt;&gt;"Yes",0,Calcs!BF591*(1+Calcs!$Q538+Calcs!$R538))</f>
        <v>0</v>
      </c>
      <c r="AM135" s="7">
        <f>IF($BL135&lt;&gt;"Yes",0,Calcs!BG591*(1+Calcs!$Q538+Calcs!$R538))</f>
        <v>0</v>
      </c>
      <c r="AN135" s="7">
        <f>IF($BL135&lt;&gt;"Yes",0,Calcs!BH591*(1+Calcs!$Q538+Calcs!$R538))</f>
        <v>0</v>
      </c>
      <c r="AO135" s="7">
        <f>IF($BL135&lt;&gt;"Yes",0,Calcs!BI591*(1+Calcs!$Q538+Calcs!$R538))</f>
        <v>0</v>
      </c>
      <c r="AP135" s="7">
        <f>IF($BL135&lt;&gt;"Yes",0,Calcs!BJ591*(1+Calcs!$Q538+Calcs!$R538))</f>
        <v>0</v>
      </c>
      <c r="AQ135" s="7">
        <f>IF($BL135&lt;&gt;"Yes",0,Calcs!BK591*(1+Calcs!$Q538+Calcs!$R538))</f>
        <v>0</v>
      </c>
      <c r="AR135" s="7">
        <f>IF($BL135&lt;&gt;"Yes",0,Calcs!BL591*(1+Calcs!$Q538+Calcs!$R538))</f>
        <v>0</v>
      </c>
      <c r="AS135" s="7">
        <f>IF($BL135&lt;&gt;"Yes",0,Calcs!BM591*(1+Calcs!$Q538+Calcs!$R538))</f>
        <v>0</v>
      </c>
      <c r="AT135" s="7">
        <f>IF($BL135&lt;&gt;"Yes",0,Calcs!BN591*(1+Calcs!$Q538+Calcs!$R538))</f>
        <v>0</v>
      </c>
      <c r="AU135" s="7">
        <f>IF($BL135&lt;&gt;"Yes",0,Calcs!BO591*(1+Calcs!$Q538+Calcs!$R538))</f>
        <v>0</v>
      </c>
      <c r="AV135" s="7">
        <f>IF($BL135&lt;&gt;"Yes",0,Calcs!BP591*(1+Calcs!$Q538+Calcs!$R538))</f>
        <v>0</v>
      </c>
      <c r="AW135" s="7">
        <f>IF($BL135&lt;&gt;"Yes",0,Calcs!BQ591*(1+Calcs!$Q538+Calcs!$R538))</f>
        <v>0</v>
      </c>
      <c r="AX135" s="7">
        <f>IF($BL135&lt;&gt;"Yes",0,Calcs!BR591*(1+Calcs!$Q538+Calcs!$R538))</f>
        <v>0</v>
      </c>
      <c r="AY135" s="7">
        <f>IF($BL135&lt;&gt;"Yes",0,Calcs!BS591*(1+Calcs!$Q538+Calcs!$R538))</f>
        <v>0</v>
      </c>
      <c r="AZ135" s="7">
        <f>IF($BL135&lt;&gt;"Yes",0,Calcs!BT591*(1+Calcs!$Q538+Calcs!$R538))</f>
        <v>0</v>
      </c>
      <c r="BA135" s="7">
        <f>IF($BL135&lt;&gt;"Yes",0,Calcs!BU591*(1+Calcs!$Q538+Calcs!$R538))</f>
        <v>0</v>
      </c>
      <c r="BB135" s="7">
        <f>IF($BL135&lt;&gt;"Yes",0,Calcs!BV591*(1+Calcs!$Q538+Calcs!$R538))</f>
        <v>0</v>
      </c>
      <c r="BC135" s="7">
        <f>IF($BL135&lt;&gt;"Yes",0,Calcs!BW591*(1+Calcs!$Q538+Calcs!$R538))</f>
        <v>0</v>
      </c>
      <c r="BD135" s="7">
        <f>IF($BL135&lt;&gt;"Yes",0,Calcs!BX591*(1+Calcs!$Q538+Calcs!$R538))</f>
        <v>0</v>
      </c>
      <c r="BE135" s="7">
        <f>IF($BL135&lt;&gt;"Yes",0,Calcs!BY591*(1+Calcs!$Q538+Calcs!$R538))</f>
        <v>0</v>
      </c>
      <c r="BF135" s="7">
        <f>IF($BL135&lt;&gt;"Yes",0,Calcs!BZ591*(1+Calcs!$Q538+Calcs!$R538))</f>
        <v>0</v>
      </c>
      <c r="BG135" s="7">
        <f>IF($BL135&lt;&gt;"Yes",0,Calcs!CA591*(1+Calcs!$Q538+Calcs!$R538))</f>
        <v>0</v>
      </c>
      <c r="BH135" s="7">
        <f>IF($BL135&lt;&gt;"Yes",0,Calcs!CB591*(1+Calcs!$Q538+Calcs!$R538))</f>
        <v>0</v>
      </c>
      <c r="BI135" s="7">
        <f>IF($BL135&lt;&gt;"Yes",0,Calcs!CC591*(1+Calcs!$Q538+Calcs!$R538))</f>
        <v>0</v>
      </c>
      <c r="BJ135" s="7">
        <f>IF($BL135&lt;&gt;"Yes",0,Calcs!CD591*(1+Calcs!$Q538+Calcs!$R538))</f>
        <v>0</v>
      </c>
    </row>
    <row r="136" spans="1:62" s="5" customFormat="1" ht="13" hidden="1" customHeight="1" x14ac:dyDescent="0.3">
      <c r="A136" s="6" t="str">
        <f>IF(AND(Calcs!S592&lt;&gt;"",Calcs!S592&lt;&gt;0),Calcs!S592,"Personnel "&amp;Calcs!Q592)</f>
        <v xml:space="preserve">Personnel </v>
      </c>
      <c r="B136" s="6" t="str">
        <f>IF(AND(Calcs!T592&lt;&gt;"",Calcs!T592&lt;&gt;0),Calcs!T592,"Personnel "&amp;Calcs!R592)</f>
        <v>Personnel 41</v>
      </c>
      <c r="C136" s="7">
        <f>IF($BL136&lt;&gt;"Yes",0,Calcs!W592*(1+Calcs!$Q539+Calcs!$R539))</f>
        <v>0</v>
      </c>
      <c r="D136" s="7">
        <f>IF($BL136&lt;&gt;"Yes",0,Calcs!X592*(1+Calcs!$Q539+Calcs!$R539))</f>
        <v>0</v>
      </c>
      <c r="E136" s="7">
        <f>IF($BL136&lt;&gt;"Yes",0,Calcs!Y592*(1+Calcs!$Q539+Calcs!$R539))</f>
        <v>0</v>
      </c>
      <c r="F136" s="7">
        <f>IF($BL136&lt;&gt;"Yes",0,Calcs!Z592*(1+Calcs!$Q539+Calcs!$R539))</f>
        <v>0</v>
      </c>
      <c r="G136" s="7">
        <f>IF($BL136&lt;&gt;"Yes",0,Calcs!AA592*(1+Calcs!$Q539+Calcs!$R539))</f>
        <v>0</v>
      </c>
      <c r="H136" s="40"/>
      <c r="I136" s="7">
        <f>IF($BL136&lt;&gt;"Yes",0,Calcs!AC592*(1+Calcs!$Q539+Calcs!$R539))</f>
        <v>0</v>
      </c>
      <c r="J136" s="7">
        <f>IF($BL136&lt;&gt;"Yes",0,Calcs!AD592*(1+Calcs!$Q539+Calcs!$R539))</f>
        <v>0</v>
      </c>
      <c r="K136" s="7">
        <f>IF($BL136&lt;&gt;"Yes",0,Calcs!AE592*(1+Calcs!$Q539+Calcs!$R539))</f>
        <v>0</v>
      </c>
      <c r="L136" s="7">
        <f>IF($BL136&lt;&gt;"Yes",0,Calcs!AF592*(1+Calcs!$Q539+Calcs!$R539))</f>
        <v>0</v>
      </c>
      <c r="M136" s="7">
        <f>IF($BL136&lt;&gt;"Yes",0,Calcs!AG592*(1+Calcs!$Q539+Calcs!$R539))</f>
        <v>0</v>
      </c>
      <c r="N136" s="7">
        <f>IF($BL136&lt;&gt;"Yes",0,Calcs!AH592*(1+Calcs!$Q539+Calcs!$R539))</f>
        <v>0</v>
      </c>
      <c r="O136" s="7">
        <f>IF($BL136&lt;&gt;"Yes",0,Calcs!AI592*(1+Calcs!$Q539+Calcs!$R539))</f>
        <v>0</v>
      </c>
      <c r="P136" s="7">
        <f>IF($BL136&lt;&gt;"Yes",0,Calcs!AJ592*(1+Calcs!$Q539+Calcs!$R539))</f>
        <v>0</v>
      </c>
      <c r="Q136" s="7">
        <f>IF($BL136&lt;&gt;"Yes",0,Calcs!AK592*(1+Calcs!$Q539+Calcs!$R539))</f>
        <v>0</v>
      </c>
      <c r="R136" s="7">
        <f>IF($BL136&lt;&gt;"Yes",0,Calcs!AL592*(1+Calcs!$Q539+Calcs!$R539))</f>
        <v>0</v>
      </c>
      <c r="S136" s="7">
        <f>IF($BL136&lt;&gt;"Yes",0,Calcs!AM592*(1+Calcs!$Q539+Calcs!$R539))</f>
        <v>0</v>
      </c>
      <c r="T136" s="7">
        <f>IF($BL136&lt;&gt;"Yes",0,Calcs!AN592*(1+Calcs!$Q539+Calcs!$R539))</f>
        <v>0</v>
      </c>
      <c r="U136" s="7">
        <f>IF($BL136&lt;&gt;"Yes",0,Calcs!AO592*(1+Calcs!$Q539+Calcs!$R539))</f>
        <v>0</v>
      </c>
      <c r="V136" s="7">
        <f>IF($BL136&lt;&gt;"Yes",0,Calcs!AP592*(1+Calcs!$Q539+Calcs!$R539))</f>
        <v>0</v>
      </c>
      <c r="W136" s="7">
        <f>IF($BL136&lt;&gt;"Yes",0,Calcs!AQ592*(1+Calcs!$Q539+Calcs!$R539))</f>
        <v>0</v>
      </c>
      <c r="X136" s="7">
        <f>IF($BL136&lt;&gt;"Yes",0,Calcs!AR592*(1+Calcs!$Q539+Calcs!$R539))</f>
        <v>0</v>
      </c>
      <c r="Y136" s="7">
        <f>IF($BL136&lt;&gt;"Yes",0,Calcs!AS592*(1+Calcs!$Q539+Calcs!$R539))</f>
        <v>0</v>
      </c>
      <c r="Z136" s="7">
        <f>IF($BL136&lt;&gt;"Yes",0,Calcs!AT592*(1+Calcs!$Q539+Calcs!$R539))</f>
        <v>0</v>
      </c>
      <c r="AA136" s="7">
        <f>IF($BL136&lt;&gt;"Yes",0,Calcs!AU592*(1+Calcs!$Q539+Calcs!$R539))</f>
        <v>0</v>
      </c>
      <c r="AB136" s="7">
        <f>IF($BL136&lt;&gt;"Yes",0,Calcs!AV592*(1+Calcs!$Q539+Calcs!$R539))</f>
        <v>0</v>
      </c>
      <c r="AC136" s="7">
        <f>IF($BL136&lt;&gt;"Yes",0,Calcs!AW592*(1+Calcs!$Q539+Calcs!$R539))</f>
        <v>0</v>
      </c>
      <c r="AD136" s="7">
        <f>IF($BL136&lt;&gt;"Yes",0,Calcs!AX592*(1+Calcs!$Q539+Calcs!$R539))</f>
        <v>0</v>
      </c>
      <c r="AE136" s="7">
        <f>IF($BL136&lt;&gt;"Yes",0,Calcs!AY592*(1+Calcs!$Q539+Calcs!$R539))</f>
        <v>0</v>
      </c>
      <c r="AF136" s="7">
        <f>IF($BL136&lt;&gt;"Yes",0,Calcs!AZ592*(1+Calcs!$Q539+Calcs!$R539))</f>
        <v>0</v>
      </c>
      <c r="AG136" s="7">
        <f>IF($BL136&lt;&gt;"Yes",0,Calcs!BA592*(1+Calcs!$Q539+Calcs!$R539))</f>
        <v>0</v>
      </c>
      <c r="AH136" s="7">
        <f>IF($BL136&lt;&gt;"Yes",0,Calcs!BB592*(1+Calcs!$Q539+Calcs!$R539))</f>
        <v>0</v>
      </c>
      <c r="AI136" s="7">
        <f>IF($BL136&lt;&gt;"Yes",0,Calcs!BC592*(1+Calcs!$Q539+Calcs!$R539))</f>
        <v>0</v>
      </c>
      <c r="AJ136" s="7">
        <f>IF($BL136&lt;&gt;"Yes",0,Calcs!BD592*(1+Calcs!$Q539+Calcs!$R539))</f>
        <v>0</v>
      </c>
      <c r="AK136" s="7">
        <f>IF($BL136&lt;&gt;"Yes",0,Calcs!BE592*(1+Calcs!$Q539+Calcs!$R539))</f>
        <v>0</v>
      </c>
      <c r="AL136" s="7">
        <f>IF($BL136&lt;&gt;"Yes",0,Calcs!BF592*(1+Calcs!$Q539+Calcs!$R539))</f>
        <v>0</v>
      </c>
      <c r="AM136" s="7">
        <f>IF($BL136&lt;&gt;"Yes",0,Calcs!BG592*(1+Calcs!$Q539+Calcs!$R539))</f>
        <v>0</v>
      </c>
      <c r="AN136" s="7">
        <f>IF($BL136&lt;&gt;"Yes",0,Calcs!BH592*(1+Calcs!$Q539+Calcs!$R539))</f>
        <v>0</v>
      </c>
      <c r="AO136" s="7">
        <f>IF($BL136&lt;&gt;"Yes",0,Calcs!BI592*(1+Calcs!$Q539+Calcs!$R539))</f>
        <v>0</v>
      </c>
      <c r="AP136" s="7">
        <f>IF($BL136&lt;&gt;"Yes",0,Calcs!BJ592*(1+Calcs!$Q539+Calcs!$R539))</f>
        <v>0</v>
      </c>
      <c r="AQ136" s="7">
        <f>IF($BL136&lt;&gt;"Yes",0,Calcs!BK592*(1+Calcs!$Q539+Calcs!$R539))</f>
        <v>0</v>
      </c>
      <c r="AR136" s="7">
        <f>IF($BL136&lt;&gt;"Yes",0,Calcs!BL592*(1+Calcs!$Q539+Calcs!$R539))</f>
        <v>0</v>
      </c>
      <c r="AS136" s="7">
        <f>IF($BL136&lt;&gt;"Yes",0,Calcs!BM592*(1+Calcs!$Q539+Calcs!$R539))</f>
        <v>0</v>
      </c>
      <c r="AT136" s="7">
        <f>IF($BL136&lt;&gt;"Yes",0,Calcs!BN592*(1+Calcs!$Q539+Calcs!$R539))</f>
        <v>0</v>
      </c>
      <c r="AU136" s="7">
        <f>IF($BL136&lt;&gt;"Yes",0,Calcs!BO592*(1+Calcs!$Q539+Calcs!$R539))</f>
        <v>0</v>
      </c>
      <c r="AV136" s="7">
        <f>IF($BL136&lt;&gt;"Yes",0,Calcs!BP592*(1+Calcs!$Q539+Calcs!$R539))</f>
        <v>0</v>
      </c>
      <c r="AW136" s="7">
        <f>IF($BL136&lt;&gt;"Yes",0,Calcs!BQ592*(1+Calcs!$Q539+Calcs!$R539))</f>
        <v>0</v>
      </c>
      <c r="AX136" s="7">
        <f>IF($BL136&lt;&gt;"Yes",0,Calcs!BR592*(1+Calcs!$Q539+Calcs!$R539))</f>
        <v>0</v>
      </c>
      <c r="AY136" s="7">
        <f>IF($BL136&lt;&gt;"Yes",0,Calcs!BS592*(1+Calcs!$Q539+Calcs!$R539))</f>
        <v>0</v>
      </c>
      <c r="AZ136" s="7">
        <f>IF($BL136&lt;&gt;"Yes",0,Calcs!BT592*(1+Calcs!$Q539+Calcs!$R539))</f>
        <v>0</v>
      </c>
      <c r="BA136" s="7">
        <f>IF($BL136&lt;&gt;"Yes",0,Calcs!BU592*(1+Calcs!$Q539+Calcs!$R539))</f>
        <v>0</v>
      </c>
      <c r="BB136" s="7">
        <f>IF($BL136&lt;&gt;"Yes",0,Calcs!BV592*(1+Calcs!$Q539+Calcs!$R539))</f>
        <v>0</v>
      </c>
      <c r="BC136" s="7">
        <f>IF($BL136&lt;&gt;"Yes",0,Calcs!BW592*(1+Calcs!$Q539+Calcs!$R539))</f>
        <v>0</v>
      </c>
      <c r="BD136" s="7">
        <f>IF($BL136&lt;&gt;"Yes",0,Calcs!BX592*(1+Calcs!$Q539+Calcs!$R539))</f>
        <v>0</v>
      </c>
      <c r="BE136" s="7">
        <f>IF($BL136&lt;&gt;"Yes",0,Calcs!BY592*(1+Calcs!$Q539+Calcs!$R539))</f>
        <v>0</v>
      </c>
      <c r="BF136" s="7">
        <f>IF($BL136&lt;&gt;"Yes",0,Calcs!BZ592*(1+Calcs!$Q539+Calcs!$R539))</f>
        <v>0</v>
      </c>
      <c r="BG136" s="7">
        <f>IF($BL136&lt;&gt;"Yes",0,Calcs!CA592*(1+Calcs!$Q539+Calcs!$R539))</f>
        <v>0</v>
      </c>
      <c r="BH136" s="7">
        <f>IF($BL136&lt;&gt;"Yes",0,Calcs!CB592*(1+Calcs!$Q539+Calcs!$R539))</f>
        <v>0</v>
      </c>
      <c r="BI136" s="7">
        <f>IF($BL136&lt;&gt;"Yes",0,Calcs!CC592*(1+Calcs!$Q539+Calcs!$R539))</f>
        <v>0</v>
      </c>
      <c r="BJ136" s="7">
        <f>IF($BL136&lt;&gt;"Yes",0,Calcs!CD592*(1+Calcs!$Q539+Calcs!$R539))</f>
        <v>0</v>
      </c>
    </row>
    <row r="137" spans="1:62" s="5" customFormat="1" ht="13" hidden="1" customHeight="1" x14ac:dyDescent="0.3">
      <c r="A137" s="6" t="str">
        <f>IF(AND(Calcs!S593&lt;&gt;"",Calcs!S593&lt;&gt;0),Calcs!S593,"Personnel "&amp;Calcs!Q593)</f>
        <v xml:space="preserve">Personnel </v>
      </c>
      <c r="B137" s="6" t="str">
        <f>IF(AND(Calcs!T593&lt;&gt;"",Calcs!T593&lt;&gt;0),Calcs!T593,"Personnel "&amp;Calcs!R593)</f>
        <v>Personnel 42</v>
      </c>
      <c r="C137" s="7">
        <f>IF($BL137&lt;&gt;"Yes",0,Calcs!W593*(1+Calcs!$Q540+Calcs!$R540))</f>
        <v>0</v>
      </c>
      <c r="D137" s="7">
        <f>IF($BL137&lt;&gt;"Yes",0,Calcs!X593*(1+Calcs!$Q540+Calcs!$R540))</f>
        <v>0</v>
      </c>
      <c r="E137" s="7">
        <f>IF($BL137&lt;&gt;"Yes",0,Calcs!Y593*(1+Calcs!$Q540+Calcs!$R540))</f>
        <v>0</v>
      </c>
      <c r="F137" s="7">
        <f>IF($BL137&lt;&gt;"Yes",0,Calcs!Z593*(1+Calcs!$Q540+Calcs!$R540))</f>
        <v>0</v>
      </c>
      <c r="G137" s="7">
        <f>IF($BL137&lt;&gt;"Yes",0,Calcs!AA593*(1+Calcs!$Q540+Calcs!$R540))</f>
        <v>0</v>
      </c>
      <c r="H137" s="40"/>
      <c r="I137" s="7">
        <f>IF($BL137&lt;&gt;"Yes",0,Calcs!AC593*(1+Calcs!$Q540+Calcs!$R540))</f>
        <v>0</v>
      </c>
      <c r="J137" s="7">
        <f>IF($BL137&lt;&gt;"Yes",0,Calcs!AD593*(1+Calcs!$Q540+Calcs!$R540))</f>
        <v>0</v>
      </c>
      <c r="K137" s="7">
        <f>IF($BL137&lt;&gt;"Yes",0,Calcs!AE593*(1+Calcs!$Q540+Calcs!$R540))</f>
        <v>0</v>
      </c>
      <c r="L137" s="7">
        <f>IF($BL137&lt;&gt;"Yes",0,Calcs!AF593*(1+Calcs!$Q540+Calcs!$R540))</f>
        <v>0</v>
      </c>
      <c r="M137" s="7">
        <f>IF($BL137&lt;&gt;"Yes",0,Calcs!AG593*(1+Calcs!$Q540+Calcs!$R540))</f>
        <v>0</v>
      </c>
      <c r="N137" s="7">
        <f>IF($BL137&lt;&gt;"Yes",0,Calcs!AH593*(1+Calcs!$Q540+Calcs!$R540))</f>
        <v>0</v>
      </c>
      <c r="O137" s="7">
        <f>IF($BL137&lt;&gt;"Yes",0,Calcs!AI593*(1+Calcs!$Q540+Calcs!$R540))</f>
        <v>0</v>
      </c>
      <c r="P137" s="7">
        <f>IF($BL137&lt;&gt;"Yes",0,Calcs!AJ593*(1+Calcs!$Q540+Calcs!$R540))</f>
        <v>0</v>
      </c>
      <c r="Q137" s="7">
        <f>IF($BL137&lt;&gt;"Yes",0,Calcs!AK593*(1+Calcs!$Q540+Calcs!$R540))</f>
        <v>0</v>
      </c>
      <c r="R137" s="7">
        <f>IF($BL137&lt;&gt;"Yes",0,Calcs!AL593*(1+Calcs!$Q540+Calcs!$R540))</f>
        <v>0</v>
      </c>
      <c r="S137" s="7">
        <f>IF($BL137&lt;&gt;"Yes",0,Calcs!AM593*(1+Calcs!$Q540+Calcs!$R540))</f>
        <v>0</v>
      </c>
      <c r="T137" s="7">
        <f>IF($BL137&lt;&gt;"Yes",0,Calcs!AN593*(1+Calcs!$Q540+Calcs!$R540))</f>
        <v>0</v>
      </c>
      <c r="U137" s="7">
        <f>IF($BL137&lt;&gt;"Yes",0,Calcs!AO593*(1+Calcs!$Q540+Calcs!$R540))</f>
        <v>0</v>
      </c>
      <c r="V137" s="7">
        <f>IF($BL137&lt;&gt;"Yes",0,Calcs!AP593*(1+Calcs!$Q540+Calcs!$R540))</f>
        <v>0</v>
      </c>
      <c r="W137" s="7">
        <f>IF($BL137&lt;&gt;"Yes",0,Calcs!AQ593*(1+Calcs!$Q540+Calcs!$R540))</f>
        <v>0</v>
      </c>
      <c r="X137" s="7">
        <f>IF($BL137&lt;&gt;"Yes",0,Calcs!AR593*(1+Calcs!$Q540+Calcs!$R540))</f>
        <v>0</v>
      </c>
      <c r="Y137" s="7">
        <f>IF($BL137&lt;&gt;"Yes",0,Calcs!AS593*(1+Calcs!$Q540+Calcs!$R540))</f>
        <v>0</v>
      </c>
      <c r="Z137" s="7">
        <f>IF($BL137&lt;&gt;"Yes",0,Calcs!AT593*(1+Calcs!$Q540+Calcs!$R540))</f>
        <v>0</v>
      </c>
      <c r="AA137" s="7">
        <f>IF($BL137&lt;&gt;"Yes",0,Calcs!AU593*(1+Calcs!$Q540+Calcs!$R540))</f>
        <v>0</v>
      </c>
      <c r="AB137" s="7">
        <f>IF($BL137&lt;&gt;"Yes",0,Calcs!AV593*(1+Calcs!$Q540+Calcs!$R540))</f>
        <v>0</v>
      </c>
      <c r="AC137" s="7">
        <f>IF($BL137&lt;&gt;"Yes",0,Calcs!AW593*(1+Calcs!$Q540+Calcs!$R540))</f>
        <v>0</v>
      </c>
      <c r="AD137" s="7">
        <f>IF($BL137&lt;&gt;"Yes",0,Calcs!AX593*(1+Calcs!$Q540+Calcs!$R540))</f>
        <v>0</v>
      </c>
      <c r="AE137" s="7">
        <f>IF($BL137&lt;&gt;"Yes",0,Calcs!AY593*(1+Calcs!$Q540+Calcs!$R540))</f>
        <v>0</v>
      </c>
      <c r="AF137" s="7">
        <f>IF($BL137&lt;&gt;"Yes",0,Calcs!AZ593*(1+Calcs!$Q540+Calcs!$R540))</f>
        <v>0</v>
      </c>
      <c r="AG137" s="7">
        <f>IF($BL137&lt;&gt;"Yes",0,Calcs!BA593*(1+Calcs!$Q540+Calcs!$R540))</f>
        <v>0</v>
      </c>
      <c r="AH137" s="7">
        <f>IF($BL137&lt;&gt;"Yes",0,Calcs!BB593*(1+Calcs!$Q540+Calcs!$R540))</f>
        <v>0</v>
      </c>
      <c r="AI137" s="7">
        <f>IF($BL137&lt;&gt;"Yes",0,Calcs!BC593*(1+Calcs!$Q540+Calcs!$R540))</f>
        <v>0</v>
      </c>
      <c r="AJ137" s="7">
        <f>IF($BL137&lt;&gt;"Yes",0,Calcs!BD593*(1+Calcs!$Q540+Calcs!$R540))</f>
        <v>0</v>
      </c>
      <c r="AK137" s="7">
        <f>IF($BL137&lt;&gt;"Yes",0,Calcs!BE593*(1+Calcs!$Q540+Calcs!$R540))</f>
        <v>0</v>
      </c>
      <c r="AL137" s="7">
        <f>IF($BL137&lt;&gt;"Yes",0,Calcs!BF593*(1+Calcs!$Q540+Calcs!$R540))</f>
        <v>0</v>
      </c>
      <c r="AM137" s="7">
        <f>IF($BL137&lt;&gt;"Yes",0,Calcs!BG593*(1+Calcs!$Q540+Calcs!$R540))</f>
        <v>0</v>
      </c>
      <c r="AN137" s="7">
        <f>IF($BL137&lt;&gt;"Yes",0,Calcs!BH593*(1+Calcs!$Q540+Calcs!$R540))</f>
        <v>0</v>
      </c>
      <c r="AO137" s="7">
        <f>IF($BL137&lt;&gt;"Yes",0,Calcs!BI593*(1+Calcs!$Q540+Calcs!$R540))</f>
        <v>0</v>
      </c>
      <c r="AP137" s="7">
        <f>IF($BL137&lt;&gt;"Yes",0,Calcs!BJ593*(1+Calcs!$Q540+Calcs!$R540))</f>
        <v>0</v>
      </c>
      <c r="AQ137" s="7">
        <f>IF($BL137&lt;&gt;"Yes",0,Calcs!BK593*(1+Calcs!$Q540+Calcs!$R540))</f>
        <v>0</v>
      </c>
      <c r="AR137" s="7">
        <f>IF($BL137&lt;&gt;"Yes",0,Calcs!BL593*(1+Calcs!$Q540+Calcs!$R540))</f>
        <v>0</v>
      </c>
      <c r="AS137" s="7">
        <f>IF($BL137&lt;&gt;"Yes",0,Calcs!BM593*(1+Calcs!$Q540+Calcs!$R540))</f>
        <v>0</v>
      </c>
      <c r="AT137" s="7">
        <f>IF($BL137&lt;&gt;"Yes",0,Calcs!BN593*(1+Calcs!$Q540+Calcs!$R540))</f>
        <v>0</v>
      </c>
      <c r="AU137" s="7">
        <f>IF($BL137&lt;&gt;"Yes",0,Calcs!BO593*(1+Calcs!$Q540+Calcs!$R540))</f>
        <v>0</v>
      </c>
      <c r="AV137" s="7">
        <f>IF($BL137&lt;&gt;"Yes",0,Calcs!BP593*(1+Calcs!$Q540+Calcs!$R540))</f>
        <v>0</v>
      </c>
      <c r="AW137" s="7">
        <f>IF($BL137&lt;&gt;"Yes",0,Calcs!BQ593*(1+Calcs!$Q540+Calcs!$R540))</f>
        <v>0</v>
      </c>
      <c r="AX137" s="7">
        <f>IF($BL137&lt;&gt;"Yes",0,Calcs!BR593*(1+Calcs!$Q540+Calcs!$R540))</f>
        <v>0</v>
      </c>
      <c r="AY137" s="7">
        <f>IF($BL137&lt;&gt;"Yes",0,Calcs!BS593*(1+Calcs!$Q540+Calcs!$R540))</f>
        <v>0</v>
      </c>
      <c r="AZ137" s="7">
        <f>IF($BL137&lt;&gt;"Yes",0,Calcs!BT593*(1+Calcs!$Q540+Calcs!$R540))</f>
        <v>0</v>
      </c>
      <c r="BA137" s="7">
        <f>IF($BL137&lt;&gt;"Yes",0,Calcs!BU593*(1+Calcs!$Q540+Calcs!$R540))</f>
        <v>0</v>
      </c>
      <c r="BB137" s="7">
        <f>IF($BL137&lt;&gt;"Yes",0,Calcs!BV593*(1+Calcs!$Q540+Calcs!$R540))</f>
        <v>0</v>
      </c>
      <c r="BC137" s="7">
        <f>IF($BL137&lt;&gt;"Yes",0,Calcs!BW593*(1+Calcs!$Q540+Calcs!$R540))</f>
        <v>0</v>
      </c>
      <c r="BD137" s="7">
        <f>IF($BL137&lt;&gt;"Yes",0,Calcs!BX593*(1+Calcs!$Q540+Calcs!$R540))</f>
        <v>0</v>
      </c>
      <c r="BE137" s="7">
        <f>IF($BL137&lt;&gt;"Yes",0,Calcs!BY593*(1+Calcs!$Q540+Calcs!$R540))</f>
        <v>0</v>
      </c>
      <c r="BF137" s="7">
        <f>IF($BL137&lt;&gt;"Yes",0,Calcs!BZ593*(1+Calcs!$Q540+Calcs!$R540))</f>
        <v>0</v>
      </c>
      <c r="BG137" s="7">
        <f>IF($BL137&lt;&gt;"Yes",0,Calcs!CA593*(1+Calcs!$Q540+Calcs!$R540))</f>
        <v>0</v>
      </c>
      <c r="BH137" s="7">
        <f>IF($BL137&lt;&gt;"Yes",0,Calcs!CB593*(1+Calcs!$Q540+Calcs!$R540))</f>
        <v>0</v>
      </c>
      <c r="BI137" s="7">
        <f>IF($BL137&lt;&gt;"Yes",0,Calcs!CC593*(1+Calcs!$Q540+Calcs!$R540))</f>
        <v>0</v>
      </c>
      <c r="BJ137" s="7">
        <f>IF($BL137&lt;&gt;"Yes",0,Calcs!CD593*(1+Calcs!$Q540+Calcs!$R540))</f>
        <v>0</v>
      </c>
    </row>
    <row r="138" spans="1:62" s="5" customFormat="1" ht="13" hidden="1" customHeight="1" x14ac:dyDescent="0.3">
      <c r="A138" s="6" t="str">
        <f>IF(AND(Calcs!S594&lt;&gt;"",Calcs!S594&lt;&gt;0),Calcs!S594,"Personnel "&amp;Calcs!Q594)</f>
        <v xml:space="preserve">Personnel </v>
      </c>
      <c r="B138" s="6" t="str">
        <f>IF(AND(Calcs!T594&lt;&gt;"",Calcs!T594&lt;&gt;0),Calcs!T594,"Personnel "&amp;Calcs!R594)</f>
        <v>Personnel 43</v>
      </c>
      <c r="C138" s="7">
        <f>IF($BL138&lt;&gt;"Yes",0,Calcs!W594*(1+Calcs!$Q541+Calcs!$R541))</f>
        <v>0</v>
      </c>
      <c r="D138" s="7">
        <f>IF($BL138&lt;&gt;"Yes",0,Calcs!X594*(1+Calcs!$Q541+Calcs!$R541))</f>
        <v>0</v>
      </c>
      <c r="E138" s="7">
        <f>IF($BL138&lt;&gt;"Yes",0,Calcs!Y594*(1+Calcs!$Q541+Calcs!$R541))</f>
        <v>0</v>
      </c>
      <c r="F138" s="7">
        <f>IF($BL138&lt;&gt;"Yes",0,Calcs!Z594*(1+Calcs!$Q541+Calcs!$R541))</f>
        <v>0</v>
      </c>
      <c r="G138" s="7">
        <f>IF($BL138&lt;&gt;"Yes",0,Calcs!AA594*(1+Calcs!$Q541+Calcs!$R541))</f>
        <v>0</v>
      </c>
      <c r="H138" s="40"/>
      <c r="I138" s="7">
        <f>IF($BL138&lt;&gt;"Yes",0,Calcs!AC594*(1+Calcs!$Q541+Calcs!$R541))</f>
        <v>0</v>
      </c>
      <c r="J138" s="7">
        <f>IF($BL138&lt;&gt;"Yes",0,Calcs!AD594*(1+Calcs!$Q541+Calcs!$R541))</f>
        <v>0</v>
      </c>
      <c r="K138" s="7">
        <f>IF($BL138&lt;&gt;"Yes",0,Calcs!AE594*(1+Calcs!$Q541+Calcs!$R541))</f>
        <v>0</v>
      </c>
      <c r="L138" s="7">
        <f>IF($BL138&lt;&gt;"Yes",0,Calcs!AF594*(1+Calcs!$Q541+Calcs!$R541))</f>
        <v>0</v>
      </c>
      <c r="M138" s="7">
        <f>IF($BL138&lt;&gt;"Yes",0,Calcs!AG594*(1+Calcs!$Q541+Calcs!$R541))</f>
        <v>0</v>
      </c>
      <c r="N138" s="7">
        <f>IF($BL138&lt;&gt;"Yes",0,Calcs!AH594*(1+Calcs!$Q541+Calcs!$R541))</f>
        <v>0</v>
      </c>
      <c r="O138" s="7">
        <f>IF($BL138&lt;&gt;"Yes",0,Calcs!AI594*(1+Calcs!$Q541+Calcs!$R541))</f>
        <v>0</v>
      </c>
      <c r="P138" s="7">
        <f>IF($BL138&lt;&gt;"Yes",0,Calcs!AJ594*(1+Calcs!$Q541+Calcs!$R541))</f>
        <v>0</v>
      </c>
      <c r="Q138" s="7">
        <f>IF($BL138&lt;&gt;"Yes",0,Calcs!AK594*(1+Calcs!$Q541+Calcs!$R541))</f>
        <v>0</v>
      </c>
      <c r="R138" s="7">
        <f>IF($BL138&lt;&gt;"Yes",0,Calcs!AL594*(1+Calcs!$Q541+Calcs!$R541))</f>
        <v>0</v>
      </c>
      <c r="S138" s="7">
        <f>IF($BL138&lt;&gt;"Yes",0,Calcs!AM594*(1+Calcs!$Q541+Calcs!$R541))</f>
        <v>0</v>
      </c>
      <c r="T138" s="7">
        <f>IF($BL138&lt;&gt;"Yes",0,Calcs!AN594*(1+Calcs!$Q541+Calcs!$R541))</f>
        <v>0</v>
      </c>
      <c r="U138" s="7">
        <f>IF($BL138&lt;&gt;"Yes",0,Calcs!AO594*(1+Calcs!$Q541+Calcs!$R541))</f>
        <v>0</v>
      </c>
      <c r="V138" s="7">
        <f>IF($BL138&lt;&gt;"Yes",0,Calcs!AP594*(1+Calcs!$Q541+Calcs!$R541))</f>
        <v>0</v>
      </c>
      <c r="W138" s="7">
        <f>IF($BL138&lt;&gt;"Yes",0,Calcs!AQ594*(1+Calcs!$Q541+Calcs!$R541))</f>
        <v>0</v>
      </c>
      <c r="X138" s="7">
        <f>IF($BL138&lt;&gt;"Yes",0,Calcs!AR594*(1+Calcs!$Q541+Calcs!$R541))</f>
        <v>0</v>
      </c>
      <c r="Y138" s="7">
        <f>IF($BL138&lt;&gt;"Yes",0,Calcs!AS594*(1+Calcs!$Q541+Calcs!$R541))</f>
        <v>0</v>
      </c>
      <c r="Z138" s="7">
        <f>IF($BL138&lt;&gt;"Yes",0,Calcs!AT594*(1+Calcs!$Q541+Calcs!$R541))</f>
        <v>0</v>
      </c>
      <c r="AA138" s="7">
        <f>IF($BL138&lt;&gt;"Yes",0,Calcs!AU594*(1+Calcs!$Q541+Calcs!$R541))</f>
        <v>0</v>
      </c>
      <c r="AB138" s="7">
        <f>IF($BL138&lt;&gt;"Yes",0,Calcs!AV594*(1+Calcs!$Q541+Calcs!$R541))</f>
        <v>0</v>
      </c>
      <c r="AC138" s="7">
        <f>IF($BL138&lt;&gt;"Yes",0,Calcs!AW594*(1+Calcs!$Q541+Calcs!$R541))</f>
        <v>0</v>
      </c>
      <c r="AD138" s="7">
        <f>IF($BL138&lt;&gt;"Yes",0,Calcs!AX594*(1+Calcs!$Q541+Calcs!$R541))</f>
        <v>0</v>
      </c>
      <c r="AE138" s="7">
        <f>IF($BL138&lt;&gt;"Yes",0,Calcs!AY594*(1+Calcs!$Q541+Calcs!$R541))</f>
        <v>0</v>
      </c>
      <c r="AF138" s="7">
        <f>IF($BL138&lt;&gt;"Yes",0,Calcs!AZ594*(1+Calcs!$Q541+Calcs!$R541))</f>
        <v>0</v>
      </c>
      <c r="AG138" s="7">
        <f>IF($BL138&lt;&gt;"Yes",0,Calcs!BA594*(1+Calcs!$Q541+Calcs!$R541))</f>
        <v>0</v>
      </c>
      <c r="AH138" s="7">
        <f>IF($BL138&lt;&gt;"Yes",0,Calcs!BB594*(1+Calcs!$Q541+Calcs!$R541))</f>
        <v>0</v>
      </c>
      <c r="AI138" s="7">
        <f>IF($BL138&lt;&gt;"Yes",0,Calcs!BC594*(1+Calcs!$Q541+Calcs!$R541))</f>
        <v>0</v>
      </c>
      <c r="AJ138" s="7">
        <f>IF($BL138&lt;&gt;"Yes",0,Calcs!BD594*(1+Calcs!$Q541+Calcs!$R541))</f>
        <v>0</v>
      </c>
      <c r="AK138" s="7">
        <f>IF($BL138&lt;&gt;"Yes",0,Calcs!BE594*(1+Calcs!$Q541+Calcs!$R541))</f>
        <v>0</v>
      </c>
      <c r="AL138" s="7">
        <f>IF($BL138&lt;&gt;"Yes",0,Calcs!BF594*(1+Calcs!$Q541+Calcs!$R541))</f>
        <v>0</v>
      </c>
      <c r="AM138" s="7">
        <f>IF($BL138&lt;&gt;"Yes",0,Calcs!BG594*(1+Calcs!$Q541+Calcs!$R541))</f>
        <v>0</v>
      </c>
      <c r="AN138" s="7">
        <f>IF($BL138&lt;&gt;"Yes",0,Calcs!BH594*(1+Calcs!$Q541+Calcs!$R541))</f>
        <v>0</v>
      </c>
      <c r="AO138" s="7">
        <f>IF($BL138&lt;&gt;"Yes",0,Calcs!BI594*(1+Calcs!$Q541+Calcs!$R541))</f>
        <v>0</v>
      </c>
      <c r="AP138" s="7">
        <f>IF($BL138&lt;&gt;"Yes",0,Calcs!BJ594*(1+Calcs!$Q541+Calcs!$R541))</f>
        <v>0</v>
      </c>
      <c r="AQ138" s="7">
        <f>IF($BL138&lt;&gt;"Yes",0,Calcs!BK594*(1+Calcs!$Q541+Calcs!$R541))</f>
        <v>0</v>
      </c>
      <c r="AR138" s="7">
        <f>IF($BL138&lt;&gt;"Yes",0,Calcs!BL594*(1+Calcs!$Q541+Calcs!$R541))</f>
        <v>0</v>
      </c>
      <c r="AS138" s="7">
        <f>IF($BL138&lt;&gt;"Yes",0,Calcs!BM594*(1+Calcs!$Q541+Calcs!$R541))</f>
        <v>0</v>
      </c>
      <c r="AT138" s="7">
        <f>IF($BL138&lt;&gt;"Yes",0,Calcs!BN594*(1+Calcs!$Q541+Calcs!$R541))</f>
        <v>0</v>
      </c>
      <c r="AU138" s="7">
        <f>IF($BL138&lt;&gt;"Yes",0,Calcs!BO594*(1+Calcs!$Q541+Calcs!$R541))</f>
        <v>0</v>
      </c>
      <c r="AV138" s="7">
        <f>IF($BL138&lt;&gt;"Yes",0,Calcs!BP594*(1+Calcs!$Q541+Calcs!$R541))</f>
        <v>0</v>
      </c>
      <c r="AW138" s="7">
        <f>IF($BL138&lt;&gt;"Yes",0,Calcs!BQ594*(1+Calcs!$Q541+Calcs!$R541))</f>
        <v>0</v>
      </c>
      <c r="AX138" s="7">
        <f>IF($BL138&lt;&gt;"Yes",0,Calcs!BR594*(1+Calcs!$Q541+Calcs!$R541))</f>
        <v>0</v>
      </c>
      <c r="AY138" s="7">
        <f>IF($BL138&lt;&gt;"Yes",0,Calcs!BS594*(1+Calcs!$Q541+Calcs!$R541))</f>
        <v>0</v>
      </c>
      <c r="AZ138" s="7">
        <f>IF($BL138&lt;&gt;"Yes",0,Calcs!BT594*(1+Calcs!$Q541+Calcs!$R541))</f>
        <v>0</v>
      </c>
      <c r="BA138" s="7">
        <f>IF($BL138&lt;&gt;"Yes",0,Calcs!BU594*(1+Calcs!$Q541+Calcs!$R541))</f>
        <v>0</v>
      </c>
      <c r="BB138" s="7">
        <f>IF($BL138&lt;&gt;"Yes",0,Calcs!BV594*(1+Calcs!$Q541+Calcs!$R541))</f>
        <v>0</v>
      </c>
      <c r="BC138" s="7">
        <f>IF($BL138&lt;&gt;"Yes",0,Calcs!BW594*(1+Calcs!$Q541+Calcs!$R541))</f>
        <v>0</v>
      </c>
      <c r="BD138" s="7">
        <f>IF($BL138&lt;&gt;"Yes",0,Calcs!BX594*(1+Calcs!$Q541+Calcs!$R541))</f>
        <v>0</v>
      </c>
      <c r="BE138" s="7">
        <f>IF($BL138&lt;&gt;"Yes",0,Calcs!BY594*(1+Calcs!$Q541+Calcs!$R541))</f>
        <v>0</v>
      </c>
      <c r="BF138" s="7">
        <f>IF($BL138&lt;&gt;"Yes",0,Calcs!BZ594*(1+Calcs!$Q541+Calcs!$R541))</f>
        <v>0</v>
      </c>
      <c r="BG138" s="7">
        <f>IF($BL138&lt;&gt;"Yes",0,Calcs!CA594*(1+Calcs!$Q541+Calcs!$R541))</f>
        <v>0</v>
      </c>
      <c r="BH138" s="7">
        <f>IF($BL138&lt;&gt;"Yes",0,Calcs!CB594*(1+Calcs!$Q541+Calcs!$R541))</f>
        <v>0</v>
      </c>
      <c r="BI138" s="7">
        <f>IF($BL138&lt;&gt;"Yes",0,Calcs!CC594*(1+Calcs!$Q541+Calcs!$R541))</f>
        <v>0</v>
      </c>
      <c r="BJ138" s="7">
        <f>IF($BL138&lt;&gt;"Yes",0,Calcs!CD594*(1+Calcs!$Q541+Calcs!$R541))</f>
        <v>0</v>
      </c>
    </row>
    <row r="139" spans="1:62" s="5" customFormat="1" ht="13" hidden="1" customHeight="1" x14ac:dyDescent="0.3">
      <c r="A139" s="6" t="str">
        <f>IF(AND(Calcs!S595&lt;&gt;"",Calcs!S595&lt;&gt;0),Calcs!S595,"Personnel "&amp;Calcs!Q595)</f>
        <v xml:space="preserve">Personnel </v>
      </c>
      <c r="B139" s="6" t="str">
        <f>IF(AND(Calcs!T595&lt;&gt;"",Calcs!T595&lt;&gt;0),Calcs!T595,"Personnel "&amp;Calcs!R595)</f>
        <v>Personnel 44</v>
      </c>
      <c r="C139" s="7">
        <f>IF($BL139&lt;&gt;"Yes",0,Calcs!W595*(1+Calcs!$Q542+Calcs!$R542))</f>
        <v>0</v>
      </c>
      <c r="D139" s="7">
        <f>IF($BL139&lt;&gt;"Yes",0,Calcs!X595*(1+Calcs!$Q542+Calcs!$R542))</f>
        <v>0</v>
      </c>
      <c r="E139" s="7">
        <f>IF($BL139&lt;&gt;"Yes",0,Calcs!Y595*(1+Calcs!$Q542+Calcs!$R542))</f>
        <v>0</v>
      </c>
      <c r="F139" s="7">
        <f>IF($BL139&lt;&gt;"Yes",0,Calcs!Z595*(1+Calcs!$Q542+Calcs!$R542))</f>
        <v>0</v>
      </c>
      <c r="G139" s="7">
        <f>IF($BL139&lt;&gt;"Yes",0,Calcs!AA595*(1+Calcs!$Q542+Calcs!$R542))</f>
        <v>0</v>
      </c>
      <c r="H139" s="40"/>
      <c r="I139" s="7">
        <f>IF($BL139&lt;&gt;"Yes",0,Calcs!AC595*(1+Calcs!$Q542+Calcs!$R542))</f>
        <v>0</v>
      </c>
      <c r="J139" s="7">
        <f>IF($BL139&lt;&gt;"Yes",0,Calcs!AD595*(1+Calcs!$Q542+Calcs!$R542))</f>
        <v>0</v>
      </c>
      <c r="K139" s="7">
        <f>IF($BL139&lt;&gt;"Yes",0,Calcs!AE595*(1+Calcs!$Q542+Calcs!$R542))</f>
        <v>0</v>
      </c>
      <c r="L139" s="7">
        <f>IF($BL139&lt;&gt;"Yes",0,Calcs!AF595*(1+Calcs!$Q542+Calcs!$R542))</f>
        <v>0</v>
      </c>
      <c r="M139" s="7">
        <f>IF($BL139&lt;&gt;"Yes",0,Calcs!AG595*(1+Calcs!$Q542+Calcs!$R542))</f>
        <v>0</v>
      </c>
      <c r="N139" s="7">
        <f>IF($BL139&lt;&gt;"Yes",0,Calcs!AH595*(1+Calcs!$Q542+Calcs!$R542))</f>
        <v>0</v>
      </c>
      <c r="O139" s="7">
        <f>IF($BL139&lt;&gt;"Yes",0,Calcs!AI595*(1+Calcs!$Q542+Calcs!$R542))</f>
        <v>0</v>
      </c>
      <c r="P139" s="7">
        <f>IF($BL139&lt;&gt;"Yes",0,Calcs!AJ595*(1+Calcs!$Q542+Calcs!$R542))</f>
        <v>0</v>
      </c>
      <c r="Q139" s="7">
        <f>IF($BL139&lt;&gt;"Yes",0,Calcs!AK595*(1+Calcs!$Q542+Calcs!$R542))</f>
        <v>0</v>
      </c>
      <c r="R139" s="7">
        <f>IF($BL139&lt;&gt;"Yes",0,Calcs!AL595*(1+Calcs!$Q542+Calcs!$R542))</f>
        <v>0</v>
      </c>
      <c r="S139" s="7">
        <f>IF($BL139&lt;&gt;"Yes",0,Calcs!AM595*(1+Calcs!$Q542+Calcs!$R542))</f>
        <v>0</v>
      </c>
      <c r="T139" s="7">
        <f>IF($BL139&lt;&gt;"Yes",0,Calcs!AN595*(1+Calcs!$Q542+Calcs!$R542))</f>
        <v>0</v>
      </c>
      <c r="U139" s="7">
        <f>IF($BL139&lt;&gt;"Yes",0,Calcs!AO595*(1+Calcs!$Q542+Calcs!$R542))</f>
        <v>0</v>
      </c>
      <c r="V139" s="7">
        <f>IF($BL139&lt;&gt;"Yes",0,Calcs!AP595*(1+Calcs!$Q542+Calcs!$R542))</f>
        <v>0</v>
      </c>
      <c r="W139" s="7">
        <f>IF($BL139&lt;&gt;"Yes",0,Calcs!AQ595*(1+Calcs!$Q542+Calcs!$R542))</f>
        <v>0</v>
      </c>
      <c r="X139" s="7">
        <f>IF($BL139&lt;&gt;"Yes",0,Calcs!AR595*(1+Calcs!$Q542+Calcs!$R542))</f>
        <v>0</v>
      </c>
      <c r="Y139" s="7">
        <f>IF($BL139&lt;&gt;"Yes",0,Calcs!AS595*(1+Calcs!$Q542+Calcs!$R542))</f>
        <v>0</v>
      </c>
      <c r="Z139" s="7">
        <f>IF($BL139&lt;&gt;"Yes",0,Calcs!AT595*(1+Calcs!$Q542+Calcs!$R542))</f>
        <v>0</v>
      </c>
      <c r="AA139" s="7">
        <f>IF($BL139&lt;&gt;"Yes",0,Calcs!AU595*(1+Calcs!$Q542+Calcs!$R542))</f>
        <v>0</v>
      </c>
      <c r="AB139" s="7">
        <f>IF($BL139&lt;&gt;"Yes",0,Calcs!AV595*(1+Calcs!$Q542+Calcs!$R542))</f>
        <v>0</v>
      </c>
      <c r="AC139" s="7">
        <f>IF($BL139&lt;&gt;"Yes",0,Calcs!AW595*(1+Calcs!$Q542+Calcs!$R542))</f>
        <v>0</v>
      </c>
      <c r="AD139" s="7">
        <f>IF($BL139&lt;&gt;"Yes",0,Calcs!AX595*(1+Calcs!$Q542+Calcs!$R542))</f>
        <v>0</v>
      </c>
      <c r="AE139" s="7">
        <f>IF($BL139&lt;&gt;"Yes",0,Calcs!AY595*(1+Calcs!$Q542+Calcs!$R542))</f>
        <v>0</v>
      </c>
      <c r="AF139" s="7">
        <f>IF($BL139&lt;&gt;"Yes",0,Calcs!AZ595*(1+Calcs!$Q542+Calcs!$R542))</f>
        <v>0</v>
      </c>
      <c r="AG139" s="7">
        <f>IF($BL139&lt;&gt;"Yes",0,Calcs!BA595*(1+Calcs!$Q542+Calcs!$R542))</f>
        <v>0</v>
      </c>
      <c r="AH139" s="7">
        <f>IF($BL139&lt;&gt;"Yes",0,Calcs!BB595*(1+Calcs!$Q542+Calcs!$R542))</f>
        <v>0</v>
      </c>
      <c r="AI139" s="7">
        <f>IF($BL139&lt;&gt;"Yes",0,Calcs!BC595*(1+Calcs!$Q542+Calcs!$R542))</f>
        <v>0</v>
      </c>
      <c r="AJ139" s="7">
        <f>IF($BL139&lt;&gt;"Yes",0,Calcs!BD595*(1+Calcs!$Q542+Calcs!$R542))</f>
        <v>0</v>
      </c>
      <c r="AK139" s="7">
        <f>IF($BL139&lt;&gt;"Yes",0,Calcs!BE595*(1+Calcs!$Q542+Calcs!$R542))</f>
        <v>0</v>
      </c>
      <c r="AL139" s="7">
        <f>IF($BL139&lt;&gt;"Yes",0,Calcs!BF595*(1+Calcs!$Q542+Calcs!$R542))</f>
        <v>0</v>
      </c>
      <c r="AM139" s="7">
        <f>IF($BL139&lt;&gt;"Yes",0,Calcs!BG595*(1+Calcs!$Q542+Calcs!$R542))</f>
        <v>0</v>
      </c>
      <c r="AN139" s="7">
        <f>IF($BL139&lt;&gt;"Yes",0,Calcs!BH595*(1+Calcs!$Q542+Calcs!$R542))</f>
        <v>0</v>
      </c>
      <c r="AO139" s="7">
        <f>IF($BL139&lt;&gt;"Yes",0,Calcs!BI595*(1+Calcs!$Q542+Calcs!$R542))</f>
        <v>0</v>
      </c>
      <c r="AP139" s="7">
        <f>IF($BL139&lt;&gt;"Yes",0,Calcs!BJ595*(1+Calcs!$Q542+Calcs!$R542))</f>
        <v>0</v>
      </c>
      <c r="AQ139" s="7">
        <f>IF($BL139&lt;&gt;"Yes",0,Calcs!BK595*(1+Calcs!$Q542+Calcs!$R542))</f>
        <v>0</v>
      </c>
      <c r="AR139" s="7">
        <f>IF($BL139&lt;&gt;"Yes",0,Calcs!BL595*(1+Calcs!$Q542+Calcs!$R542))</f>
        <v>0</v>
      </c>
      <c r="AS139" s="7">
        <f>IF($BL139&lt;&gt;"Yes",0,Calcs!BM595*(1+Calcs!$Q542+Calcs!$R542))</f>
        <v>0</v>
      </c>
      <c r="AT139" s="7">
        <f>IF($BL139&lt;&gt;"Yes",0,Calcs!BN595*(1+Calcs!$Q542+Calcs!$R542))</f>
        <v>0</v>
      </c>
      <c r="AU139" s="7">
        <f>IF($BL139&lt;&gt;"Yes",0,Calcs!BO595*(1+Calcs!$Q542+Calcs!$R542))</f>
        <v>0</v>
      </c>
      <c r="AV139" s="7">
        <f>IF($BL139&lt;&gt;"Yes",0,Calcs!BP595*(1+Calcs!$Q542+Calcs!$R542))</f>
        <v>0</v>
      </c>
      <c r="AW139" s="7">
        <f>IF($BL139&lt;&gt;"Yes",0,Calcs!BQ595*(1+Calcs!$Q542+Calcs!$R542))</f>
        <v>0</v>
      </c>
      <c r="AX139" s="7">
        <f>IF($BL139&lt;&gt;"Yes",0,Calcs!BR595*(1+Calcs!$Q542+Calcs!$R542))</f>
        <v>0</v>
      </c>
      <c r="AY139" s="7">
        <f>IF($BL139&lt;&gt;"Yes",0,Calcs!BS595*(1+Calcs!$Q542+Calcs!$R542))</f>
        <v>0</v>
      </c>
      <c r="AZ139" s="7">
        <f>IF($BL139&lt;&gt;"Yes",0,Calcs!BT595*(1+Calcs!$Q542+Calcs!$R542))</f>
        <v>0</v>
      </c>
      <c r="BA139" s="7">
        <f>IF($BL139&lt;&gt;"Yes",0,Calcs!BU595*(1+Calcs!$Q542+Calcs!$R542))</f>
        <v>0</v>
      </c>
      <c r="BB139" s="7">
        <f>IF($BL139&lt;&gt;"Yes",0,Calcs!BV595*(1+Calcs!$Q542+Calcs!$R542))</f>
        <v>0</v>
      </c>
      <c r="BC139" s="7">
        <f>IF($BL139&lt;&gt;"Yes",0,Calcs!BW595*(1+Calcs!$Q542+Calcs!$R542))</f>
        <v>0</v>
      </c>
      <c r="BD139" s="7">
        <f>IF($BL139&lt;&gt;"Yes",0,Calcs!BX595*(1+Calcs!$Q542+Calcs!$R542))</f>
        <v>0</v>
      </c>
      <c r="BE139" s="7">
        <f>IF($BL139&lt;&gt;"Yes",0,Calcs!BY595*(1+Calcs!$Q542+Calcs!$R542))</f>
        <v>0</v>
      </c>
      <c r="BF139" s="7">
        <f>IF($BL139&lt;&gt;"Yes",0,Calcs!BZ595*(1+Calcs!$Q542+Calcs!$R542))</f>
        <v>0</v>
      </c>
      <c r="BG139" s="7">
        <f>IF($BL139&lt;&gt;"Yes",0,Calcs!CA595*(1+Calcs!$Q542+Calcs!$R542))</f>
        <v>0</v>
      </c>
      <c r="BH139" s="7">
        <f>IF($BL139&lt;&gt;"Yes",0,Calcs!CB595*(1+Calcs!$Q542+Calcs!$R542))</f>
        <v>0</v>
      </c>
      <c r="BI139" s="7">
        <f>IF($BL139&lt;&gt;"Yes",0,Calcs!CC595*(1+Calcs!$Q542+Calcs!$R542))</f>
        <v>0</v>
      </c>
      <c r="BJ139" s="7">
        <f>IF($BL139&lt;&gt;"Yes",0,Calcs!CD595*(1+Calcs!$Q542+Calcs!$R542))</f>
        <v>0</v>
      </c>
    </row>
    <row r="140" spans="1:62" s="5" customFormat="1" ht="13" hidden="1" customHeight="1" x14ac:dyDescent="0.3">
      <c r="A140" s="6" t="str">
        <f>IF(AND(Calcs!S596&lt;&gt;"",Calcs!S596&lt;&gt;0),Calcs!S596,"Personnel "&amp;Calcs!Q596)</f>
        <v xml:space="preserve">Personnel </v>
      </c>
      <c r="B140" s="6" t="str">
        <f>IF(AND(Calcs!T596&lt;&gt;"",Calcs!T596&lt;&gt;0),Calcs!T596,"Personnel "&amp;Calcs!R596)</f>
        <v>Personnel 45</v>
      </c>
      <c r="C140" s="7">
        <f>IF($BL140&lt;&gt;"Yes",0,Calcs!W596*(1+Calcs!$Q543+Calcs!$R543))</f>
        <v>0</v>
      </c>
      <c r="D140" s="7">
        <f>IF($BL140&lt;&gt;"Yes",0,Calcs!X596*(1+Calcs!$Q543+Calcs!$R543))</f>
        <v>0</v>
      </c>
      <c r="E140" s="7">
        <f>IF($BL140&lt;&gt;"Yes",0,Calcs!Y596*(1+Calcs!$Q543+Calcs!$R543))</f>
        <v>0</v>
      </c>
      <c r="F140" s="7">
        <f>IF($BL140&lt;&gt;"Yes",0,Calcs!Z596*(1+Calcs!$Q543+Calcs!$R543))</f>
        <v>0</v>
      </c>
      <c r="G140" s="7">
        <f>IF($BL140&lt;&gt;"Yes",0,Calcs!AA596*(1+Calcs!$Q543+Calcs!$R543))</f>
        <v>0</v>
      </c>
      <c r="H140" s="40"/>
      <c r="I140" s="7">
        <f>IF($BL140&lt;&gt;"Yes",0,Calcs!AC596*(1+Calcs!$Q543+Calcs!$R543))</f>
        <v>0</v>
      </c>
      <c r="J140" s="7">
        <f>IF($BL140&lt;&gt;"Yes",0,Calcs!AD596*(1+Calcs!$Q543+Calcs!$R543))</f>
        <v>0</v>
      </c>
      <c r="K140" s="7">
        <f>IF($BL140&lt;&gt;"Yes",0,Calcs!AE596*(1+Calcs!$Q543+Calcs!$R543))</f>
        <v>0</v>
      </c>
      <c r="L140" s="7">
        <f>IF($BL140&lt;&gt;"Yes",0,Calcs!AF596*(1+Calcs!$Q543+Calcs!$R543))</f>
        <v>0</v>
      </c>
      <c r="M140" s="7">
        <f>IF($BL140&lt;&gt;"Yes",0,Calcs!AG596*(1+Calcs!$Q543+Calcs!$R543))</f>
        <v>0</v>
      </c>
      <c r="N140" s="7">
        <f>IF($BL140&lt;&gt;"Yes",0,Calcs!AH596*(1+Calcs!$Q543+Calcs!$R543))</f>
        <v>0</v>
      </c>
      <c r="O140" s="7">
        <f>IF($BL140&lt;&gt;"Yes",0,Calcs!AI596*(1+Calcs!$Q543+Calcs!$R543))</f>
        <v>0</v>
      </c>
      <c r="P140" s="7">
        <f>IF($BL140&lt;&gt;"Yes",0,Calcs!AJ596*(1+Calcs!$Q543+Calcs!$R543))</f>
        <v>0</v>
      </c>
      <c r="Q140" s="7">
        <f>IF($BL140&lt;&gt;"Yes",0,Calcs!AK596*(1+Calcs!$Q543+Calcs!$R543))</f>
        <v>0</v>
      </c>
      <c r="R140" s="7">
        <f>IF($BL140&lt;&gt;"Yes",0,Calcs!AL596*(1+Calcs!$Q543+Calcs!$R543))</f>
        <v>0</v>
      </c>
      <c r="S140" s="7">
        <f>IF($BL140&lt;&gt;"Yes",0,Calcs!AM596*(1+Calcs!$Q543+Calcs!$R543))</f>
        <v>0</v>
      </c>
      <c r="T140" s="7">
        <f>IF($BL140&lt;&gt;"Yes",0,Calcs!AN596*(1+Calcs!$Q543+Calcs!$R543))</f>
        <v>0</v>
      </c>
      <c r="U140" s="7">
        <f>IF($BL140&lt;&gt;"Yes",0,Calcs!AO596*(1+Calcs!$Q543+Calcs!$R543))</f>
        <v>0</v>
      </c>
      <c r="V140" s="7">
        <f>IF($BL140&lt;&gt;"Yes",0,Calcs!AP596*(1+Calcs!$Q543+Calcs!$R543))</f>
        <v>0</v>
      </c>
      <c r="W140" s="7">
        <f>IF($BL140&lt;&gt;"Yes",0,Calcs!AQ596*(1+Calcs!$Q543+Calcs!$R543))</f>
        <v>0</v>
      </c>
      <c r="X140" s="7">
        <f>IF($BL140&lt;&gt;"Yes",0,Calcs!AR596*(1+Calcs!$Q543+Calcs!$R543))</f>
        <v>0</v>
      </c>
      <c r="Y140" s="7">
        <f>IF($BL140&lt;&gt;"Yes",0,Calcs!AS596*(1+Calcs!$Q543+Calcs!$R543))</f>
        <v>0</v>
      </c>
      <c r="Z140" s="7">
        <f>IF($BL140&lt;&gt;"Yes",0,Calcs!AT596*(1+Calcs!$Q543+Calcs!$R543))</f>
        <v>0</v>
      </c>
      <c r="AA140" s="7">
        <f>IF($BL140&lt;&gt;"Yes",0,Calcs!AU596*(1+Calcs!$Q543+Calcs!$R543))</f>
        <v>0</v>
      </c>
      <c r="AB140" s="7">
        <f>IF($BL140&lt;&gt;"Yes",0,Calcs!AV596*(1+Calcs!$Q543+Calcs!$R543))</f>
        <v>0</v>
      </c>
      <c r="AC140" s="7">
        <f>IF($BL140&lt;&gt;"Yes",0,Calcs!AW596*(1+Calcs!$Q543+Calcs!$R543))</f>
        <v>0</v>
      </c>
      <c r="AD140" s="7">
        <f>IF($BL140&lt;&gt;"Yes",0,Calcs!AX596*(1+Calcs!$Q543+Calcs!$R543))</f>
        <v>0</v>
      </c>
      <c r="AE140" s="7">
        <f>IF($BL140&lt;&gt;"Yes",0,Calcs!AY596*(1+Calcs!$Q543+Calcs!$R543))</f>
        <v>0</v>
      </c>
      <c r="AF140" s="7">
        <f>IF($BL140&lt;&gt;"Yes",0,Calcs!AZ596*(1+Calcs!$Q543+Calcs!$R543))</f>
        <v>0</v>
      </c>
      <c r="AG140" s="7">
        <f>IF($BL140&lt;&gt;"Yes",0,Calcs!BA596*(1+Calcs!$Q543+Calcs!$R543))</f>
        <v>0</v>
      </c>
      <c r="AH140" s="7">
        <f>IF($BL140&lt;&gt;"Yes",0,Calcs!BB596*(1+Calcs!$Q543+Calcs!$R543))</f>
        <v>0</v>
      </c>
      <c r="AI140" s="7">
        <f>IF($BL140&lt;&gt;"Yes",0,Calcs!BC596*(1+Calcs!$Q543+Calcs!$R543))</f>
        <v>0</v>
      </c>
      <c r="AJ140" s="7">
        <f>IF($BL140&lt;&gt;"Yes",0,Calcs!BD596*(1+Calcs!$Q543+Calcs!$R543))</f>
        <v>0</v>
      </c>
      <c r="AK140" s="7">
        <f>IF($BL140&lt;&gt;"Yes",0,Calcs!BE596*(1+Calcs!$Q543+Calcs!$R543))</f>
        <v>0</v>
      </c>
      <c r="AL140" s="7">
        <f>IF($BL140&lt;&gt;"Yes",0,Calcs!BF596*(1+Calcs!$Q543+Calcs!$R543))</f>
        <v>0</v>
      </c>
      <c r="AM140" s="7">
        <f>IF($BL140&lt;&gt;"Yes",0,Calcs!BG596*(1+Calcs!$Q543+Calcs!$R543))</f>
        <v>0</v>
      </c>
      <c r="AN140" s="7">
        <f>IF($BL140&lt;&gt;"Yes",0,Calcs!BH596*(1+Calcs!$Q543+Calcs!$R543))</f>
        <v>0</v>
      </c>
      <c r="AO140" s="7">
        <f>IF($BL140&lt;&gt;"Yes",0,Calcs!BI596*(1+Calcs!$Q543+Calcs!$R543))</f>
        <v>0</v>
      </c>
      <c r="AP140" s="7">
        <f>IF($BL140&lt;&gt;"Yes",0,Calcs!BJ596*(1+Calcs!$Q543+Calcs!$R543))</f>
        <v>0</v>
      </c>
      <c r="AQ140" s="7">
        <f>IF($BL140&lt;&gt;"Yes",0,Calcs!BK596*(1+Calcs!$Q543+Calcs!$R543))</f>
        <v>0</v>
      </c>
      <c r="AR140" s="7">
        <f>IF($BL140&lt;&gt;"Yes",0,Calcs!BL596*(1+Calcs!$Q543+Calcs!$R543))</f>
        <v>0</v>
      </c>
      <c r="AS140" s="7">
        <f>IF($BL140&lt;&gt;"Yes",0,Calcs!BM596*(1+Calcs!$Q543+Calcs!$R543))</f>
        <v>0</v>
      </c>
      <c r="AT140" s="7">
        <f>IF($BL140&lt;&gt;"Yes",0,Calcs!BN596*(1+Calcs!$Q543+Calcs!$R543))</f>
        <v>0</v>
      </c>
      <c r="AU140" s="7">
        <f>IF($BL140&lt;&gt;"Yes",0,Calcs!BO596*(1+Calcs!$Q543+Calcs!$R543))</f>
        <v>0</v>
      </c>
      <c r="AV140" s="7">
        <f>IF($BL140&lt;&gt;"Yes",0,Calcs!BP596*(1+Calcs!$Q543+Calcs!$R543))</f>
        <v>0</v>
      </c>
      <c r="AW140" s="7">
        <f>IF($BL140&lt;&gt;"Yes",0,Calcs!BQ596*(1+Calcs!$Q543+Calcs!$R543))</f>
        <v>0</v>
      </c>
      <c r="AX140" s="7">
        <f>IF($BL140&lt;&gt;"Yes",0,Calcs!BR596*(1+Calcs!$Q543+Calcs!$R543))</f>
        <v>0</v>
      </c>
      <c r="AY140" s="7">
        <f>IF($BL140&lt;&gt;"Yes",0,Calcs!BS596*(1+Calcs!$Q543+Calcs!$R543))</f>
        <v>0</v>
      </c>
      <c r="AZ140" s="7">
        <f>IF($BL140&lt;&gt;"Yes",0,Calcs!BT596*(1+Calcs!$Q543+Calcs!$R543))</f>
        <v>0</v>
      </c>
      <c r="BA140" s="7">
        <f>IF($BL140&lt;&gt;"Yes",0,Calcs!BU596*(1+Calcs!$Q543+Calcs!$R543))</f>
        <v>0</v>
      </c>
      <c r="BB140" s="7">
        <f>IF($BL140&lt;&gt;"Yes",0,Calcs!BV596*(1+Calcs!$Q543+Calcs!$R543))</f>
        <v>0</v>
      </c>
      <c r="BC140" s="7">
        <f>IF($BL140&lt;&gt;"Yes",0,Calcs!BW596*(1+Calcs!$Q543+Calcs!$R543))</f>
        <v>0</v>
      </c>
      <c r="BD140" s="7">
        <f>IF($BL140&lt;&gt;"Yes",0,Calcs!BX596*(1+Calcs!$Q543+Calcs!$R543))</f>
        <v>0</v>
      </c>
      <c r="BE140" s="7">
        <f>IF($BL140&lt;&gt;"Yes",0,Calcs!BY596*(1+Calcs!$Q543+Calcs!$R543))</f>
        <v>0</v>
      </c>
      <c r="BF140" s="7">
        <f>IF($BL140&lt;&gt;"Yes",0,Calcs!BZ596*(1+Calcs!$Q543+Calcs!$R543))</f>
        <v>0</v>
      </c>
      <c r="BG140" s="7">
        <f>IF($BL140&lt;&gt;"Yes",0,Calcs!CA596*(1+Calcs!$Q543+Calcs!$R543))</f>
        <v>0</v>
      </c>
      <c r="BH140" s="7">
        <f>IF($BL140&lt;&gt;"Yes",0,Calcs!CB596*(1+Calcs!$Q543+Calcs!$R543))</f>
        <v>0</v>
      </c>
      <c r="BI140" s="7">
        <f>IF($BL140&lt;&gt;"Yes",0,Calcs!CC596*(1+Calcs!$Q543+Calcs!$R543))</f>
        <v>0</v>
      </c>
      <c r="BJ140" s="7">
        <f>IF($BL140&lt;&gt;"Yes",0,Calcs!CD596*(1+Calcs!$Q543+Calcs!$R543))</f>
        <v>0</v>
      </c>
    </row>
    <row r="141" spans="1:62" s="5" customFormat="1" ht="13" hidden="1" customHeight="1" x14ac:dyDescent="0.3">
      <c r="A141" s="6" t="str">
        <f>IF(AND(Calcs!S597&lt;&gt;"",Calcs!S597&lt;&gt;0),Calcs!S597,"Personnel "&amp;Calcs!Q597)</f>
        <v xml:space="preserve">Personnel </v>
      </c>
      <c r="B141" s="6" t="str">
        <f>IF(AND(Calcs!T597&lt;&gt;"",Calcs!T597&lt;&gt;0),Calcs!T597,"Personnel "&amp;Calcs!R597)</f>
        <v>Personnel 46</v>
      </c>
      <c r="C141" s="7">
        <f>IF($BL141&lt;&gt;"Yes",0,Calcs!W597*(1+Calcs!$Q544+Calcs!$R544))</f>
        <v>0</v>
      </c>
      <c r="D141" s="7">
        <f>IF($BL141&lt;&gt;"Yes",0,Calcs!X597*(1+Calcs!$Q544+Calcs!$R544))</f>
        <v>0</v>
      </c>
      <c r="E141" s="7">
        <f>IF($BL141&lt;&gt;"Yes",0,Calcs!Y597*(1+Calcs!$Q544+Calcs!$R544))</f>
        <v>0</v>
      </c>
      <c r="F141" s="7">
        <f>IF($BL141&lt;&gt;"Yes",0,Calcs!Z597*(1+Calcs!$Q544+Calcs!$R544))</f>
        <v>0</v>
      </c>
      <c r="G141" s="7">
        <f>IF($BL141&lt;&gt;"Yes",0,Calcs!AA597*(1+Calcs!$Q544+Calcs!$R544))</f>
        <v>0</v>
      </c>
      <c r="H141" s="40"/>
      <c r="I141" s="7">
        <f>IF($BL141&lt;&gt;"Yes",0,Calcs!AC597*(1+Calcs!$Q544+Calcs!$R544))</f>
        <v>0</v>
      </c>
      <c r="J141" s="7">
        <f>IF($BL141&lt;&gt;"Yes",0,Calcs!AD597*(1+Calcs!$Q544+Calcs!$R544))</f>
        <v>0</v>
      </c>
      <c r="K141" s="7">
        <f>IF($BL141&lt;&gt;"Yes",0,Calcs!AE597*(1+Calcs!$Q544+Calcs!$R544))</f>
        <v>0</v>
      </c>
      <c r="L141" s="7">
        <f>IF($BL141&lt;&gt;"Yes",0,Calcs!AF597*(1+Calcs!$Q544+Calcs!$R544))</f>
        <v>0</v>
      </c>
      <c r="M141" s="7">
        <f>IF($BL141&lt;&gt;"Yes",0,Calcs!AG597*(1+Calcs!$Q544+Calcs!$R544))</f>
        <v>0</v>
      </c>
      <c r="N141" s="7">
        <f>IF($BL141&lt;&gt;"Yes",0,Calcs!AH597*(1+Calcs!$Q544+Calcs!$R544))</f>
        <v>0</v>
      </c>
      <c r="O141" s="7">
        <f>IF($BL141&lt;&gt;"Yes",0,Calcs!AI597*(1+Calcs!$Q544+Calcs!$R544))</f>
        <v>0</v>
      </c>
      <c r="P141" s="7">
        <f>IF($BL141&lt;&gt;"Yes",0,Calcs!AJ597*(1+Calcs!$Q544+Calcs!$R544))</f>
        <v>0</v>
      </c>
      <c r="Q141" s="7">
        <f>IF($BL141&lt;&gt;"Yes",0,Calcs!AK597*(1+Calcs!$Q544+Calcs!$R544))</f>
        <v>0</v>
      </c>
      <c r="R141" s="7">
        <f>IF($BL141&lt;&gt;"Yes",0,Calcs!AL597*(1+Calcs!$Q544+Calcs!$R544))</f>
        <v>0</v>
      </c>
      <c r="S141" s="7">
        <f>IF($BL141&lt;&gt;"Yes",0,Calcs!AM597*(1+Calcs!$Q544+Calcs!$R544))</f>
        <v>0</v>
      </c>
      <c r="T141" s="7">
        <f>IF($BL141&lt;&gt;"Yes",0,Calcs!AN597*(1+Calcs!$Q544+Calcs!$R544))</f>
        <v>0</v>
      </c>
      <c r="U141" s="7">
        <f>IF($BL141&lt;&gt;"Yes",0,Calcs!AO597*(1+Calcs!$Q544+Calcs!$R544))</f>
        <v>0</v>
      </c>
      <c r="V141" s="7">
        <f>IF($BL141&lt;&gt;"Yes",0,Calcs!AP597*(1+Calcs!$Q544+Calcs!$R544))</f>
        <v>0</v>
      </c>
      <c r="W141" s="7">
        <f>IF($BL141&lt;&gt;"Yes",0,Calcs!AQ597*(1+Calcs!$Q544+Calcs!$R544))</f>
        <v>0</v>
      </c>
      <c r="X141" s="7">
        <f>IF($BL141&lt;&gt;"Yes",0,Calcs!AR597*(1+Calcs!$Q544+Calcs!$R544))</f>
        <v>0</v>
      </c>
      <c r="Y141" s="7">
        <f>IF($BL141&lt;&gt;"Yes",0,Calcs!AS597*(1+Calcs!$Q544+Calcs!$R544))</f>
        <v>0</v>
      </c>
      <c r="Z141" s="7">
        <f>IF($BL141&lt;&gt;"Yes",0,Calcs!AT597*(1+Calcs!$Q544+Calcs!$R544))</f>
        <v>0</v>
      </c>
      <c r="AA141" s="7">
        <f>IF($BL141&lt;&gt;"Yes",0,Calcs!AU597*(1+Calcs!$Q544+Calcs!$R544))</f>
        <v>0</v>
      </c>
      <c r="AB141" s="7">
        <f>IF($BL141&lt;&gt;"Yes",0,Calcs!AV597*(1+Calcs!$Q544+Calcs!$R544))</f>
        <v>0</v>
      </c>
      <c r="AC141" s="7">
        <f>IF($BL141&lt;&gt;"Yes",0,Calcs!AW597*(1+Calcs!$Q544+Calcs!$R544))</f>
        <v>0</v>
      </c>
      <c r="AD141" s="7">
        <f>IF($BL141&lt;&gt;"Yes",0,Calcs!AX597*(1+Calcs!$Q544+Calcs!$R544))</f>
        <v>0</v>
      </c>
      <c r="AE141" s="7">
        <f>IF($BL141&lt;&gt;"Yes",0,Calcs!AY597*(1+Calcs!$Q544+Calcs!$R544))</f>
        <v>0</v>
      </c>
      <c r="AF141" s="7">
        <f>IF($BL141&lt;&gt;"Yes",0,Calcs!AZ597*(1+Calcs!$Q544+Calcs!$R544))</f>
        <v>0</v>
      </c>
      <c r="AG141" s="7">
        <f>IF($BL141&lt;&gt;"Yes",0,Calcs!BA597*(1+Calcs!$Q544+Calcs!$R544))</f>
        <v>0</v>
      </c>
      <c r="AH141" s="7">
        <f>IF($BL141&lt;&gt;"Yes",0,Calcs!BB597*(1+Calcs!$Q544+Calcs!$R544))</f>
        <v>0</v>
      </c>
      <c r="AI141" s="7">
        <f>IF($BL141&lt;&gt;"Yes",0,Calcs!BC597*(1+Calcs!$Q544+Calcs!$R544))</f>
        <v>0</v>
      </c>
      <c r="AJ141" s="7">
        <f>IF($BL141&lt;&gt;"Yes",0,Calcs!BD597*(1+Calcs!$Q544+Calcs!$R544))</f>
        <v>0</v>
      </c>
      <c r="AK141" s="7">
        <f>IF($BL141&lt;&gt;"Yes",0,Calcs!BE597*(1+Calcs!$Q544+Calcs!$R544))</f>
        <v>0</v>
      </c>
      <c r="AL141" s="7">
        <f>IF($BL141&lt;&gt;"Yes",0,Calcs!BF597*(1+Calcs!$Q544+Calcs!$R544))</f>
        <v>0</v>
      </c>
      <c r="AM141" s="7">
        <f>IF($BL141&lt;&gt;"Yes",0,Calcs!BG597*(1+Calcs!$Q544+Calcs!$R544))</f>
        <v>0</v>
      </c>
      <c r="AN141" s="7">
        <f>IF($BL141&lt;&gt;"Yes",0,Calcs!BH597*(1+Calcs!$Q544+Calcs!$R544))</f>
        <v>0</v>
      </c>
      <c r="AO141" s="7">
        <f>IF($BL141&lt;&gt;"Yes",0,Calcs!BI597*(1+Calcs!$Q544+Calcs!$R544))</f>
        <v>0</v>
      </c>
      <c r="AP141" s="7">
        <f>IF($BL141&lt;&gt;"Yes",0,Calcs!BJ597*(1+Calcs!$Q544+Calcs!$R544))</f>
        <v>0</v>
      </c>
      <c r="AQ141" s="7">
        <f>IF($BL141&lt;&gt;"Yes",0,Calcs!BK597*(1+Calcs!$Q544+Calcs!$R544))</f>
        <v>0</v>
      </c>
      <c r="AR141" s="7">
        <f>IF($BL141&lt;&gt;"Yes",0,Calcs!BL597*(1+Calcs!$Q544+Calcs!$R544))</f>
        <v>0</v>
      </c>
      <c r="AS141" s="7">
        <f>IF($BL141&lt;&gt;"Yes",0,Calcs!BM597*(1+Calcs!$Q544+Calcs!$R544))</f>
        <v>0</v>
      </c>
      <c r="AT141" s="7">
        <f>IF($BL141&lt;&gt;"Yes",0,Calcs!BN597*(1+Calcs!$Q544+Calcs!$R544))</f>
        <v>0</v>
      </c>
      <c r="AU141" s="7">
        <f>IF($BL141&lt;&gt;"Yes",0,Calcs!BO597*(1+Calcs!$Q544+Calcs!$R544))</f>
        <v>0</v>
      </c>
      <c r="AV141" s="7">
        <f>IF($BL141&lt;&gt;"Yes",0,Calcs!BP597*(1+Calcs!$Q544+Calcs!$R544))</f>
        <v>0</v>
      </c>
      <c r="AW141" s="7">
        <f>IF($BL141&lt;&gt;"Yes",0,Calcs!BQ597*(1+Calcs!$Q544+Calcs!$R544))</f>
        <v>0</v>
      </c>
      <c r="AX141" s="7">
        <f>IF($BL141&lt;&gt;"Yes",0,Calcs!BR597*(1+Calcs!$Q544+Calcs!$R544))</f>
        <v>0</v>
      </c>
      <c r="AY141" s="7">
        <f>IF($BL141&lt;&gt;"Yes",0,Calcs!BS597*(1+Calcs!$Q544+Calcs!$R544))</f>
        <v>0</v>
      </c>
      <c r="AZ141" s="7">
        <f>IF($BL141&lt;&gt;"Yes",0,Calcs!BT597*(1+Calcs!$Q544+Calcs!$R544))</f>
        <v>0</v>
      </c>
      <c r="BA141" s="7">
        <f>IF($BL141&lt;&gt;"Yes",0,Calcs!BU597*(1+Calcs!$Q544+Calcs!$R544))</f>
        <v>0</v>
      </c>
      <c r="BB141" s="7">
        <f>IF($BL141&lt;&gt;"Yes",0,Calcs!BV597*(1+Calcs!$Q544+Calcs!$R544))</f>
        <v>0</v>
      </c>
      <c r="BC141" s="7">
        <f>IF($BL141&lt;&gt;"Yes",0,Calcs!BW597*(1+Calcs!$Q544+Calcs!$R544))</f>
        <v>0</v>
      </c>
      <c r="BD141" s="7">
        <f>IF($BL141&lt;&gt;"Yes",0,Calcs!BX597*(1+Calcs!$Q544+Calcs!$R544))</f>
        <v>0</v>
      </c>
      <c r="BE141" s="7">
        <f>IF($BL141&lt;&gt;"Yes",0,Calcs!BY597*(1+Calcs!$Q544+Calcs!$R544))</f>
        <v>0</v>
      </c>
      <c r="BF141" s="7">
        <f>IF($BL141&lt;&gt;"Yes",0,Calcs!BZ597*(1+Calcs!$Q544+Calcs!$R544))</f>
        <v>0</v>
      </c>
      <c r="BG141" s="7">
        <f>IF($BL141&lt;&gt;"Yes",0,Calcs!CA597*(1+Calcs!$Q544+Calcs!$R544))</f>
        <v>0</v>
      </c>
      <c r="BH141" s="7">
        <f>IF($BL141&lt;&gt;"Yes",0,Calcs!CB597*(1+Calcs!$Q544+Calcs!$R544))</f>
        <v>0</v>
      </c>
      <c r="BI141" s="7">
        <f>IF($BL141&lt;&gt;"Yes",0,Calcs!CC597*(1+Calcs!$Q544+Calcs!$R544))</f>
        <v>0</v>
      </c>
      <c r="BJ141" s="7">
        <f>IF($BL141&lt;&gt;"Yes",0,Calcs!CD597*(1+Calcs!$Q544+Calcs!$R544))</f>
        <v>0</v>
      </c>
    </row>
    <row r="142" spans="1:62" s="5" customFormat="1" ht="13" hidden="1" customHeight="1" x14ac:dyDescent="0.3">
      <c r="A142" s="6" t="str">
        <f>IF(AND(Calcs!S598&lt;&gt;"",Calcs!S598&lt;&gt;0),Calcs!S598,"Personnel "&amp;Calcs!Q598)</f>
        <v xml:space="preserve">Personnel </v>
      </c>
      <c r="B142" s="6" t="str">
        <f>IF(AND(Calcs!T598&lt;&gt;"",Calcs!T598&lt;&gt;0),Calcs!T598,"Personnel "&amp;Calcs!R598)</f>
        <v>Personnel 47</v>
      </c>
      <c r="C142" s="7">
        <f>IF($BL142&lt;&gt;"Yes",0,Calcs!W598*(1+Calcs!$Q545+Calcs!$R545))</f>
        <v>0</v>
      </c>
      <c r="D142" s="7">
        <f>IF($BL142&lt;&gt;"Yes",0,Calcs!X598*(1+Calcs!$Q545+Calcs!$R545))</f>
        <v>0</v>
      </c>
      <c r="E142" s="7">
        <f>IF($BL142&lt;&gt;"Yes",0,Calcs!Y598*(1+Calcs!$Q545+Calcs!$R545))</f>
        <v>0</v>
      </c>
      <c r="F142" s="7">
        <f>IF($BL142&lt;&gt;"Yes",0,Calcs!Z598*(1+Calcs!$Q545+Calcs!$R545))</f>
        <v>0</v>
      </c>
      <c r="G142" s="7">
        <f>IF($BL142&lt;&gt;"Yes",0,Calcs!AA598*(1+Calcs!$Q545+Calcs!$R545))</f>
        <v>0</v>
      </c>
      <c r="H142" s="40"/>
      <c r="I142" s="7">
        <f>IF($BL142&lt;&gt;"Yes",0,Calcs!AC598*(1+Calcs!$Q545+Calcs!$R545))</f>
        <v>0</v>
      </c>
      <c r="J142" s="7">
        <f>IF($BL142&lt;&gt;"Yes",0,Calcs!AD598*(1+Calcs!$Q545+Calcs!$R545))</f>
        <v>0</v>
      </c>
      <c r="K142" s="7">
        <f>IF($BL142&lt;&gt;"Yes",0,Calcs!AE598*(1+Calcs!$Q545+Calcs!$R545))</f>
        <v>0</v>
      </c>
      <c r="L142" s="7">
        <f>IF($BL142&lt;&gt;"Yes",0,Calcs!AF598*(1+Calcs!$Q545+Calcs!$R545))</f>
        <v>0</v>
      </c>
      <c r="M142" s="7">
        <f>IF($BL142&lt;&gt;"Yes",0,Calcs!AG598*(1+Calcs!$Q545+Calcs!$R545))</f>
        <v>0</v>
      </c>
      <c r="N142" s="7">
        <f>IF($BL142&lt;&gt;"Yes",0,Calcs!AH598*(1+Calcs!$Q545+Calcs!$R545))</f>
        <v>0</v>
      </c>
      <c r="O142" s="7">
        <f>IF($BL142&lt;&gt;"Yes",0,Calcs!AI598*(1+Calcs!$Q545+Calcs!$R545))</f>
        <v>0</v>
      </c>
      <c r="P142" s="7">
        <f>IF($BL142&lt;&gt;"Yes",0,Calcs!AJ598*(1+Calcs!$Q545+Calcs!$R545))</f>
        <v>0</v>
      </c>
      <c r="Q142" s="7">
        <f>IF($BL142&lt;&gt;"Yes",0,Calcs!AK598*(1+Calcs!$Q545+Calcs!$R545))</f>
        <v>0</v>
      </c>
      <c r="R142" s="7">
        <f>IF($BL142&lt;&gt;"Yes",0,Calcs!AL598*(1+Calcs!$Q545+Calcs!$R545))</f>
        <v>0</v>
      </c>
      <c r="S142" s="7">
        <f>IF($BL142&lt;&gt;"Yes",0,Calcs!AM598*(1+Calcs!$Q545+Calcs!$R545))</f>
        <v>0</v>
      </c>
      <c r="T142" s="7">
        <f>IF($BL142&lt;&gt;"Yes",0,Calcs!AN598*(1+Calcs!$Q545+Calcs!$R545))</f>
        <v>0</v>
      </c>
      <c r="U142" s="7">
        <f>IF($BL142&lt;&gt;"Yes",0,Calcs!AO598*(1+Calcs!$Q545+Calcs!$R545))</f>
        <v>0</v>
      </c>
      <c r="V142" s="7">
        <f>IF($BL142&lt;&gt;"Yes",0,Calcs!AP598*(1+Calcs!$Q545+Calcs!$R545))</f>
        <v>0</v>
      </c>
      <c r="W142" s="7">
        <f>IF($BL142&lt;&gt;"Yes",0,Calcs!AQ598*(1+Calcs!$Q545+Calcs!$R545))</f>
        <v>0</v>
      </c>
      <c r="X142" s="7">
        <f>IF($BL142&lt;&gt;"Yes",0,Calcs!AR598*(1+Calcs!$Q545+Calcs!$R545))</f>
        <v>0</v>
      </c>
      <c r="Y142" s="7">
        <f>IF($BL142&lt;&gt;"Yes",0,Calcs!AS598*(1+Calcs!$Q545+Calcs!$R545))</f>
        <v>0</v>
      </c>
      <c r="Z142" s="7">
        <f>IF($BL142&lt;&gt;"Yes",0,Calcs!AT598*(1+Calcs!$Q545+Calcs!$R545))</f>
        <v>0</v>
      </c>
      <c r="AA142" s="7">
        <f>IF($BL142&lt;&gt;"Yes",0,Calcs!AU598*(1+Calcs!$Q545+Calcs!$R545))</f>
        <v>0</v>
      </c>
      <c r="AB142" s="7">
        <f>IF($BL142&lt;&gt;"Yes",0,Calcs!AV598*(1+Calcs!$Q545+Calcs!$R545))</f>
        <v>0</v>
      </c>
      <c r="AC142" s="7">
        <f>IF($BL142&lt;&gt;"Yes",0,Calcs!AW598*(1+Calcs!$Q545+Calcs!$R545))</f>
        <v>0</v>
      </c>
      <c r="AD142" s="7">
        <f>IF($BL142&lt;&gt;"Yes",0,Calcs!AX598*(1+Calcs!$Q545+Calcs!$R545))</f>
        <v>0</v>
      </c>
      <c r="AE142" s="7">
        <f>IF($BL142&lt;&gt;"Yes",0,Calcs!AY598*(1+Calcs!$Q545+Calcs!$R545))</f>
        <v>0</v>
      </c>
      <c r="AF142" s="7">
        <f>IF($BL142&lt;&gt;"Yes",0,Calcs!AZ598*(1+Calcs!$Q545+Calcs!$R545))</f>
        <v>0</v>
      </c>
      <c r="AG142" s="7">
        <f>IF($BL142&lt;&gt;"Yes",0,Calcs!BA598*(1+Calcs!$Q545+Calcs!$R545))</f>
        <v>0</v>
      </c>
      <c r="AH142" s="7">
        <f>IF($BL142&lt;&gt;"Yes",0,Calcs!BB598*(1+Calcs!$Q545+Calcs!$R545))</f>
        <v>0</v>
      </c>
      <c r="AI142" s="7">
        <f>IF($BL142&lt;&gt;"Yes",0,Calcs!BC598*(1+Calcs!$Q545+Calcs!$R545))</f>
        <v>0</v>
      </c>
      <c r="AJ142" s="7">
        <f>IF($BL142&lt;&gt;"Yes",0,Calcs!BD598*(1+Calcs!$Q545+Calcs!$R545))</f>
        <v>0</v>
      </c>
      <c r="AK142" s="7">
        <f>IF($BL142&lt;&gt;"Yes",0,Calcs!BE598*(1+Calcs!$Q545+Calcs!$R545))</f>
        <v>0</v>
      </c>
      <c r="AL142" s="7">
        <f>IF($BL142&lt;&gt;"Yes",0,Calcs!BF598*(1+Calcs!$Q545+Calcs!$R545))</f>
        <v>0</v>
      </c>
      <c r="AM142" s="7">
        <f>IF($BL142&lt;&gt;"Yes",0,Calcs!BG598*(1+Calcs!$Q545+Calcs!$R545))</f>
        <v>0</v>
      </c>
      <c r="AN142" s="7">
        <f>IF($BL142&lt;&gt;"Yes",0,Calcs!BH598*(1+Calcs!$Q545+Calcs!$R545))</f>
        <v>0</v>
      </c>
      <c r="AO142" s="7">
        <f>IF($BL142&lt;&gt;"Yes",0,Calcs!BI598*(1+Calcs!$Q545+Calcs!$R545))</f>
        <v>0</v>
      </c>
      <c r="AP142" s="7">
        <f>IF($BL142&lt;&gt;"Yes",0,Calcs!BJ598*(1+Calcs!$Q545+Calcs!$R545))</f>
        <v>0</v>
      </c>
      <c r="AQ142" s="7">
        <f>IF($BL142&lt;&gt;"Yes",0,Calcs!BK598*(1+Calcs!$Q545+Calcs!$R545))</f>
        <v>0</v>
      </c>
      <c r="AR142" s="7">
        <f>IF($BL142&lt;&gt;"Yes",0,Calcs!BL598*(1+Calcs!$Q545+Calcs!$R545))</f>
        <v>0</v>
      </c>
      <c r="AS142" s="7">
        <f>IF($BL142&lt;&gt;"Yes",0,Calcs!BM598*(1+Calcs!$Q545+Calcs!$R545))</f>
        <v>0</v>
      </c>
      <c r="AT142" s="7">
        <f>IF($BL142&lt;&gt;"Yes",0,Calcs!BN598*(1+Calcs!$Q545+Calcs!$R545))</f>
        <v>0</v>
      </c>
      <c r="AU142" s="7">
        <f>IF($BL142&lt;&gt;"Yes",0,Calcs!BO598*(1+Calcs!$Q545+Calcs!$R545))</f>
        <v>0</v>
      </c>
      <c r="AV142" s="7">
        <f>IF($BL142&lt;&gt;"Yes",0,Calcs!BP598*(1+Calcs!$Q545+Calcs!$R545))</f>
        <v>0</v>
      </c>
      <c r="AW142" s="7">
        <f>IF($BL142&lt;&gt;"Yes",0,Calcs!BQ598*(1+Calcs!$Q545+Calcs!$R545))</f>
        <v>0</v>
      </c>
      <c r="AX142" s="7">
        <f>IF($BL142&lt;&gt;"Yes",0,Calcs!BR598*(1+Calcs!$Q545+Calcs!$R545))</f>
        <v>0</v>
      </c>
      <c r="AY142" s="7">
        <f>IF($BL142&lt;&gt;"Yes",0,Calcs!BS598*(1+Calcs!$Q545+Calcs!$R545))</f>
        <v>0</v>
      </c>
      <c r="AZ142" s="7">
        <f>IF($BL142&lt;&gt;"Yes",0,Calcs!BT598*(1+Calcs!$Q545+Calcs!$R545))</f>
        <v>0</v>
      </c>
      <c r="BA142" s="7">
        <f>IF($BL142&lt;&gt;"Yes",0,Calcs!BU598*(1+Calcs!$Q545+Calcs!$R545))</f>
        <v>0</v>
      </c>
      <c r="BB142" s="7">
        <f>IF($BL142&lt;&gt;"Yes",0,Calcs!BV598*(1+Calcs!$Q545+Calcs!$R545))</f>
        <v>0</v>
      </c>
      <c r="BC142" s="7">
        <f>IF($BL142&lt;&gt;"Yes",0,Calcs!BW598*(1+Calcs!$Q545+Calcs!$R545))</f>
        <v>0</v>
      </c>
      <c r="BD142" s="7">
        <f>IF($BL142&lt;&gt;"Yes",0,Calcs!BX598*(1+Calcs!$Q545+Calcs!$R545))</f>
        <v>0</v>
      </c>
      <c r="BE142" s="7">
        <f>IF($BL142&lt;&gt;"Yes",0,Calcs!BY598*(1+Calcs!$Q545+Calcs!$R545))</f>
        <v>0</v>
      </c>
      <c r="BF142" s="7">
        <f>IF($BL142&lt;&gt;"Yes",0,Calcs!BZ598*(1+Calcs!$Q545+Calcs!$R545))</f>
        <v>0</v>
      </c>
      <c r="BG142" s="7">
        <f>IF($BL142&lt;&gt;"Yes",0,Calcs!CA598*(1+Calcs!$Q545+Calcs!$R545))</f>
        <v>0</v>
      </c>
      <c r="BH142" s="7">
        <f>IF($BL142&lt;&gt;"Yes",0,Calcs!CB598*(1+Calcs!$Q545+Calcs!$R545))</f>
        <v>0</v>
      </c>
      <c r="BI142" s="7">
        <f>IF($BL142&lt;&gt;"Yes",0,Calcs!CC598*(1+Calcs!$Q545+Calcs!$R545))</f>
        <v>0</v>
      </c>
      <c r="BJ142" s="7">
        <f>IF($BL142&lt;&gt;"Yes",0,Calcs!CD598*(1+Calcs!$Q545+Calcs!$R545))</f>
        <v>0</v>
      </c>
    </row>
    <row r="143" spans="1:62" s="5" customFormat="1" ht="13" hidden="1" customHeight="1" x14ac:dyDescent="0.3">
      <c r="A143" s="6" t="str">
        <f>IF(AND(Calcs!S599&lt;&gt;"",Calcs!S599&lt;&gt;0),Calcs!S599,"Personnel "&amp;Calcs!Q599)</f>
        <v xml:space="preserve">Personnel </v>
      </c>
      <c r="B143" s="6" t="str">
        <f>IF(AND(Calcs!T599&lt;&gt;"",Calcs!T599&lt;&gt;0),Calcs!T599,"Personnel "&amp;Calcs!R599)</f>
        <v>Personnel 48</v>
      </c>
      <c r="C143" s="7">
        <f>IF($BL143&lt;&gt;"Yes",0,Calcs!W599*(1+Calcs!$Q546+Calcs!$R546))</f>
        <v>0</v>
      </c>
      <c r="D143" s="7">
        <f>IF($BL143&lt;&gt;"Yes",0,Calcs!X599*(1+Calcs!$Q546+Calcs!$R546))</f>
        <v>0</v>
      </c>
      <c r="E143" s="7">
        <f>IF($BL143&lt;&gt;"Yes",0,Calcs!Y599*(1+Calcs!$Q546+Calcs!$R546))</f>
        <v>0</v>
      </c>
      <c r="F143" s="7">
        <f>IF($BL143&lt;&gt;"Yes",0,Calcs!Z599*(1+Calcs!$Q546+Calcs!$R546))</f>
        <v>0</v>
      </c>
      <c r="G143" s="7">
        <f>IF($BL143&lt;&gt;"Yes",0,Calcs!AA599*(1+Calcs!$Q546+Calcs!$R546))</f>
        <v>0</v>
      </c>
      <c r="H143" s="40"/>
      <c r="I143" s="7">
        <f>IF($BL143&lt;&gt;"Yes",0,Calcs!AC599*(1+Calcs!$Q546+Calcs!$R546))</f>
        <v>0</v>
      </c>
      <c r="J143" s="7">
        <f>IF($BL143&lt;&gt;"Yes",0,Calcs!AD599*(1+Calcs!$Q546+Calcs!$R546))</f>
        <v>0</v>
      </c>
      <c r="K143" s="7">
        <f>IF($BL143&lt;&gt;"Yes",0,Calcs!AE599*(1+Calcs!$Q546+Calcs!$R546))</f>
        <v>0</v>
      </c>
      <c r="L143" s="7">
        <f>IF($BL143&lt;&gt;"Yes",0,Calcs!AF599*(1+Calcs!$Q546+Calcs!$R546))</f>
        <v>0</v>
      </c>
      <c r="M143" s="7">
        <f>IF($BL143&lt;&gt;"Yes",0,Calcs!AG599*(1+Calcs!$Q546+Calcs!$R546))</f>
        <v>0</v>
      </c>
      <c r="N143" s="7">
        <f>IF($BL143&lt;&gt;"Yes",0,Calcs!AH599*(1+Calcs!$Q546+Calcs!$R546))</f>
        <v>0</v>
      </c>
      <c r="O143" s="7">
        <f>IF($BL143&lt;&gt;"Yes",0,Calcs!AI599*(1+Calcs!$Q546+Calcs!$R546))</f>
        <v>0</v>
      </c>
      <c r="P143" s="7">
        <f>IF($BL143&lt;&gt;"Yes",0,Calcs!AJ599*(1+Calcs!$Q546+Calcs!$R546))</f>
        <v>0</v>
      </c>
      <c r="Q143" s="7">
        <f>IF($BL143&lt;&gt;"Yes",0,Calcs!AK599*(1+Calcs!$Q546+Calcs!$R546))</f>
        <v>0</v>
      </c>
      <c r="R143" s="7">
        <f>IF($BL143&lt;&gt;"Yes",0,Calcs!AL599*(1+Calcs!$Q546+Calcs!$R546))</f>
        <v>0</v>
      </c>
      <c r="S143" s="7">
        <f>IF($BL143&lt;&gt;"Yes",0,Calcs!AM599*(1+Calcs!$Q546+Calcs!$R546))</f>
        <v>0</v>
      </c>
      <c r="T143" s="7">
        <f>IF($BL143&lt;&gt;"Yes",0,Calcs!AN599*(1+Calcs!$Q546+Calcs!$R546))</f>
        <v>0</v>
      </c>
      <c r="U143" s="7">
        <f>IF($BL143&lt;&gt;"Yes",0,Calcs!AO599*(1+Calcs!$Q546+Calcs!$R546))</f>
        <v>0</v>
      </c>
      <c r="V143" s="7">
        <f>IF($BL143&lt;&gt;"Yes",0,Calcs!AP599*(1+Calcs!$Q546+Calcs!$R546))</f>
        <v>0</v>
      </c>
      <c r="W143" s="7">
        <f>IF($BL143&lt;&gt;"Yes",0,Calcs!AQ599*(1+Calcs!$Q546+Calcs!$R546))</f>
        <v>0</v>
      </c>
      <c r="X143" s="7">
        <f>IF($BL143&lt;&gt;"Yes",0,Calcs!AR599*(1+Calcs!$Q546+Calcs!$R546))</f>
        <v>0</v>
      </c>
      <c r="Y143" s="7">
        <f>IF($BL143&lt;&gt;"Yes",0,Calcs!AS599*(1+Calcs!$Q546+Calcs!$R546))</f>
        <v>0</v>
      </c>
      <c r="Z143" s="7">
        <f>IF($BL143&lt;&gt;"Yes",0,Calcs!AT599*(1+Calcs!$Q546+Calcs!$R546))</f>
        <v>0</v>
      </c>
      <c r="AA143" s="7">
        <f>IF($BL143&lt;&gt;"Yes",0,Calcs!AU599*(1+Calcs!$Q546+Calcs!$R546))</f>
        <v>0</v>
      </c>
      <c r="AB143" s="7">
        <f>IF($BL143&lt;&gt;"Yes",0,Calcs!AV599*(1+Calcs!$Q546+Calcs!$R546))</f>
        <v>0</v>
      </c>
      <c r="AC143" s="7">
        <f>IF($BL143&lt;&gt;"Yes",0,Calcs!AW599*(1+Calcs!$Q546+Calcs!$R546))</f>
        <v>0</v>
      </c>
      <c r="AD143" s="7">
        <f>IF($BL143&lt;&gt;"Yes",0,Calcs!AX599*(1+Calcs!$Q546+Calcs!$R546))</f>
        <v>0</v>
      </c>
      <c r="AE143" s="7">
        <f>IF($BL143&lt;&gt;"Yes",0,Calcs!AY599*(1+Calcs!$Q546+Calcs!$R546))</f>
        <v>0</v>
      </c>
      <c r="AF143" s="7">
        <f>IF($BL143&lt;&gt;"Yes",0,Calcs!AZ599*(1+Calcs!$Q546+Calcs!$R546))</f>
        <v>0</v>
      </c>
      <c r="AG143" s="7">
        <f>IF($BL143&lt;&gt;"Yes",0,Calcs!BA599*(1+Calcs!$Q546+Calcs!$R546))</f>
        <v>0</v>
      </c>
      <c r="AH143" s="7">
        <f>IF($BL143&lt;&gt;"Yes",0,Calcs!BB599*(1+Calcs!$Q546+Calcs!$R546))</f>
        <v>0</v>
      </c>
      <c r="AI143" s="7">
        <f>IF($BL143&lt;&gt;"Yes",0,Calcs!BC599*(1+Calcs!$Q546+Calcs!$R546))</f>
        <v>0</v>
      </c>
      <c r="AJ143" s="7">
        <f>IF($BL143&lt;&gt;"Yes",0,Calcs!BD599*(1+Calcs!$Q546+Calcs!$R546))</f>
        <v>0</v>
      </c>
      <c r="AK143" s="7">
        <f>IF($BL143&lt;&gt;"Yes",0,Calcs!BE599*(1+Calcs!$Q546+Calcs!$R546))</f>
        <v>0</v>
      </c>
      <c r="AL143" s="7">
        <f>IF($BL143&lt;&gt;"Yes",0,Calcs!BF599*(1+Calcs!$Q546+Calcs!$R546))</f>
        <v>0</v>
      </c>
      <c r="AM143" s="7">
        <f>IF($BL143&lt;&gt;"Yes",0,Calcs!BG599*(1+Calcs!$Q546+Calcs!$R546))</f>
        <v>0</v>
      </c>
      <c r="AN143" s="7">
        <f>IF($BL143&lt;&gt;"Yes",0,Calcs!BH599*(1+Calcs!$Q546+Calcs!$R546))</f>
        <v>0</v>
      </c>
      <c r="AO143" s="7">
        <f>IF($BL143&lt;&gt;"Yes",0,Calcs!BI599*(1+Calcs!$Q546+Calcs!$R546))</f>
        <v>0</v>
      </c>
      <c r="AP143" s="7">
        <f>IF($BL143&lt;&gt;"Yes",0,Calcs!BJ599*(1+Calcs!$Q546+Calcs!$R546))</f>
        <v>0</v>
      </c>
      <c r="AQ143" s="7">
        <f>IF($BL143&lt;&gt;"Yes",0,Calcs!BK599*(1+Calcs!$Q546+Calcs!$R546))</f>
        <v>0</v>
      </c>
      <c r="AR143" s="7">
        <f>IF($BL143&lt;&gt;"Yes",0,Calcs!BL599*(1+Calcs!$Q546+Calcs!$R546))</f>
        <v>0</v>
      </c>
      <c r="AS143" s="7">
        <f>IF($BL143&lt;&gt;"Yes",0,Calcs!BM599*(1+Calcs!$Q546+Calcs!$R546))</f>
        <v>0</v>
      </c>
      <c r="AT143" s="7">
        <f>IF($BL143&lt;&gt;"Yes",0,Calcs!BN599*(1+Calcs!$Q546+Calcs!$R546))</f>
        <v>0</v>
      </c>
      <c r="AU143" s="7">
        <f>IF($BL143&lt;&gt;"Yes",0,Calcs!BO599*(1+Calcs!$Q546+Calcs!$R546))</f>
        <v>0</v>
      </c>
      <c r="AV143" s="7">
        <f>IF($BL143&lt;&gt;"Yes",0,Calcs!BP599*(1+Calcs!$Q546+Calcs!$R546))</f>
        <v>0</v>
      </c>
      <c r="AW143" s="7">
        <f>IF($BL143&lt;&gt;"Yes",0,Calcs!BQ599*(1+Calcs!$Q546+Calcs!$R546))</f>
        <v>0</v>
      </c>
      <c r="AX143" s="7">
        <f>IF($BL143&lt;&gt;"Yes",0,Calcs!BR599*(1+Calcs!$Q546+Calcs!$R546))</f>
        <v>0</v>
      </c>
      <c r="AY143" s="7">
        <f>IF($BL143&lt;&gt;"Yes",0,Calcs!BS599*(1+Calcs!$Q546+Calcs!$R546))</f>
        <v>0</v>
      </c>
      <c r="AZ143" s="7">
        <f>IF($BL143&lt;&gt;"Yes",0,Calcs!BT599*(1+Calcs!$Q546+Calcs!$R546))</f>
        <v>0</v>
      </c>
      <c r="BA143" s="7">
        <f>IF($BL143&lt;&gt;"Yes",0,Calcs!BU599*(1+Calcs!$Q546+Calcs!$R546))</f>
        <v>0</v>
      </c>
      <c r="BB143" s="7">
        <f>IF($BL143&lt;&gt;"Yes",0,Calcs!BV599*(1+Calcs!$Q546+Calcs!$R546))</f>
        <v>0</v>
      </c>
      <c r="BC143" s="7">
        <f>IF($BL143&lt;&gt;"Yes",0,Calcs!BW599*(1+Calcs!$Q546+Calcs!$R546))</f>
        <v>0</v>
      </c>
      <c r="BD143" s="7">
        <f>IF($BL143&lt;&gt;"Yes",0,Calcs!BX599*(1+Calcs!$Q546+Calcs!$R546))</f>
        <v>0</v>
      </c>
      <c r="BE143" s="7">
        <f>IF($BL143&lt;&gt;"Yes",0,Calcs!BY599*(1+Calcs!$Q546+Calcs!$R546))</f>
        <v>0</v>
      </c>
      <c r="BF143" s="7">
        <f>IF($BL143&lt;&gt;"Yes",0,Calcs!BZ599*(1+Calcs!$Q546+Calcs!$R546))</f>
        <v>0</v>
      </c>
      <c r="BG143" s="7">
        <f>IF($BL143&lt;&gt;"Yes",0,Calcs!CA599*(1+Calcs!$Q546+Calcs!$R546))</f>
        <v>0</v>
      </c>
      <c r="BH143" s="7">
        <f>IF($BL143&lt;&gt;"Yes",0,Calcs!CB599*(1+Calcs!$Q546+Calcs!$R546))</f>
        <v>0</v>
      </c>
      <c r="BI143" s="7">
        <f>IF($BL143&lt;&gt;"Yes",0,Calcs!CC599*(1+Calcs!$Q546+Calcs!$R546))</f>
        <v>0</v>
      </c>
      <c r="BJ143" s="7">
        <f>IF($BL143&lt;&gt;"Yes",0,Calcs!CD599*(1+Calcs!$Q546+Calcs!$R546))</f>
        <v>0</v>
      </c>
    </row>
    <row r="144" spans="1:62" s="5" customFormat="1" ht="13" hidden="1" customHeight="1" x14ac:dyDescent="0.3">
      <c r="A144" s="6" t="str">
        <f>IF(AND(Calcs!S600&lt;&gt;"",Calcs!S600&lt;&gt;0),Calcs!S600,"Personnel "&amp;Calcs!Q600)</f>
        <v xml:space="preserve">Personnel </v>
      </c>
      <c r="B144" s="6" t="str">
        <f>IF(AND(Calcs!T600&lt;&gt;"",Calcs!T600&lt;&gt;0),Calcs!T600,"Personnel "&amp;Calcs!R600)</f>
        <v>Personnel 49</v>
      </c>
      <c r="C144" s="7">
        <f>IF($BL144&lt;&gt;"Yes",0,Calcs!W600*(1+Calcs!$Q547+Calcs!$R547))</f>
        <v>0</v>
      </c>
      <c r="D144" s="7">
        <f>IF($BL144&lt;&gt;"Yes",0,Calcs!X600*(1+Calcs!$Q547+Calcs!$R547))</f>
        <v>0</v>
      </c>
      <c r="E144" s="7">
        <f>IF($BL144&lt;&gt;"Yes",0,Calcs!Y600*(1+Calcs!$Q547+Calcs!$R547))</f>
        <v>0</v>
      </c>
      <c r="F144" s="7">
        <f>IF($BL144&lt;&gt;"Yes",0,Calcs!Z600*(1+Calcs!$Q547+Calcs!$R547))</f>
        <v>0</v>
      </c>
      <c r="G144" s="7">
        <f>IF($BL144&lt;&gt;"Yes",0,Calcs!AA600*(1+Calcs!$Q547+Calcs!$R547))</f>
        <v>0</v>
      </c>
      <c r="H144" s="40"/>
      <c r="I144" s="7">
        <f>IF($BL144&lt;&gt;"Yes",0,Calcs!AC600*(1+Calcs!$Q547+Calcs!$R547))</f>
        <v>0</v>
      </c>
      <c r="J144" s="7">
        <f>IF($BL144&lt;&gt;"Yes",0,Calcs!AD600*(1+Calcs!$Q547+Calcs!$R547))</f>
        <v>0</v>
      </c>
      <c r="K144" s="7">
        <f>IF($BL144&lt;&gt;"Yes",0,Calcs!AE600*(1+Calcs!$Q547+Calcs!$R547))</f>
        <v>0</v>
      </c>
      <c r="L144" s="7">
        <f>IF($BL144&lt;&gt;"Yes",0,Calcs!AF600*(1+Calcs!$Q547+Calcs!$R547))</f>
        <v>0</v>
      </c>
      <c r="M144" s="7">
        <f>IF($BL144&lt;&gt;"Yes",0,Calcs!AG600*(1+Calcs!$Q547+Calcs!$R547))</f>
        <v>0</v>
      </c>
      <c r="N144" s="7">
        <f>IF($BL144&lt;&gt;"Yes",0,Calcs!AH600*(1+Calcs!$Q547+Calcs!$R547))</f>
        <v>0</v>
      </c>
      <c r="O144" s="7">
        <f>IF($BL144&lt;&gt;"Yes",0,Calcs!AI600*(1+Calcs!$Q547+Calcs!$R547))</f>
        <v>0</v>
      </c>
      <c r="P144" s="7">
        <f>IF($BL144&lt;&gt;"Yes",0,Calcs!AJ600*(1+Calcs!$Q547+Calcs!$R547))</f>
        <v>0</v>
      </c>
      <c r="Q144" s="7">
        <f>IF($BL144&lt;&gt;"Yes",0,Calcs!AK600*(1+Calcs!$Q547+Calcs!$R547))</f>
        <v>0</v>
      </c>
      <c r="R144" s="7">
        <f>IF($BL144&lt;&gt;"Yes",0,Calcs!AL600*(1+Calcs!$Q547+Calcs!$R547))</f>
        <v>0</v>
      </c>
      <c r="S144" s="7">
        <f>IF($BL144&lt;&gt;"Yes",0,Calcs!AM600*(1+Calcs!$Q547+Calcs!$R547))</f>
        <v>0</v>
      </c>
      <c r="T144" s="7">
        <f>IF($BL144&lt;&gt;"Yes",0,Calcs!AN600*(1+Calcs!$Q547+Calcs!$R547))</f>
        <v>0</v>
      </c>
      <c r="U144" s="7">
        <f>IF($BL144&lt;&gt;"Yes",0,Calcs!AO600*(1+Calcs!$Q547+Calcs!$R547))</f>
        <v>0</v>
      </c>
      <c r="V144" s="7">
        <f>IF($BL144&lt;&gt;"Yes",0,Calcs!AP600*(1+Calcs!$Q547+Calcs!$R547))</f>
        <v>0</v>
      </c>
      <c r="W144" s="7">
        <f>IF($BL144&lt;&gt;"Yes",0,Calcs!AQ600*(1+Calcs!$Q547+Calcs!$R547))</f>
        <v>0</v>
      </c>
      <c r="X144" s="7">
        <f>IF($BL144&lt;&gt;"Yes",0,Calcs!AR600*(1+Calcs!$Q547+Calcs!$R547))</f>
        <v>0</v>
      </c>
      <c r="Y144" s="7">
        <f>IF($BL144&lt;&gt;"Yes",0,Calcs!AS600*(1+Calcs!$Q547+Calcs!$R547))</f>
        <v>0</v>
      </c>
      <c r="Z144" s="7">
        <f>IF($BL144&lt;&gt;"Yes",0,Calcs!AT600*(1+Calcs!$Q547+Calcs!$R547))</f>
        <v>0</v>
      </c>
      <c r="AA144" s="7">
        <f>IF($BL144&lt;&gt;"Yes",0,Calcs!AU600*(1+Calcs!$Q547+Calcs!$R547))</f>
        <v>0</v>
      </c>
      <c r="AB144" s="7">
        <f>IF($BL144&lt;&gt;"Yes",0,Calcs!AV600*(1+Calcs!$Q547+Calcs!$R547))</f>
        <v>0</v>
      </c>
      <c r="AC144" s="7">
        <f>IF($BL144&lt;&gt;"Yes",0,Calcs!AW600*(1+Calcs!$Q547+Calcs!$R547))</f>
        <v>0</v>
      </c>
      <c r="AD144" s="7">
        <f>IF($BL144&lt;&gt;"Yes",0,Calcs!AX600*(1+Calcs!$Q547+Calcs!$R547))</f>
        <v>0</v>
      </c>
      <c r="AE144" s="7">
        <f>IF($BL144&lt;&gt;"Yes",0,Calcs!AY600*(1+Calcs!$Q547+Calcs!$R547))</f>
        <v>0</v>
      </c>
      <c r="AF144" s="7">
        <f>IF($BL144&lt;&gt;"Yes",0,Calcs!AZ600*(1+Calcs!$Q547+Calcs!$R547))</f>
        <v>0</v>
      </c>
      <c r="AG144" s="7">
        <f>IF($BL144&lt;&gt;"Yes",0,Calcs!BA600*(1+Calcs!$Q547+Calcs!$R547))</f>
        <v>0</v>
      </c>
      <c r="AH144" s="7">
        <f>IF($BL144&lt;&gt;"Yes",0,Calcs!BB600*(1+Calcs!$Q547+Calcs!$R547))</f>
        <v>0</v>
      </c>
      <c r="AI144" s="7">
        <f>IF($BL144&lt;&gt;"Yes",0,Calcs!BC600*(1+Calcs!$Q547+Calcs!$R547))</f>
        <v>0</v>
      </c>
      <c r="AJ144" s="7">
        <f>IF($BL144&lt;&gt;"Yes",0,Calcs!BD600*(1+Calcs!$Q547+Calcs!$R547))</f>
        <v>0</v>
      </c>
      <c r="AK144" s="7">
        <f>IF($BL144&lt;&gt;"Yes",0,Calcs!BE600*(1+Calcs!$Q547+Calcs!$R547))</f>
        <v>0</v>
      </c>
      <c r="AL144" s="7">
        <f>IF($BL144&lt;&gt;"Yes",0,Calcs!BF600*(1+Calcs!$Q547+Calcs!$R547))</f>
        <v>0</v>
      </c>
      <c r="AM144" s="7">
        <f>IF($BL144&lt;&gt;"Yes",0,Calcs!BG600*(1+Calcs!$Q547+Calcs!$R547))</f>
        <v>0</v>
      </c>
      <c r="AN144" s="7">
        <f>IF($BL144&lt;&gt;"Yes",0,Calcs!BH600*(1+Calcs!$Q547+Calcs!$R547))</f>
        <v>0</v>
      </c>
      <c r="AO144" s="7">
        <f>IF($BL144&lt;&gt;"Yes",0,Calcs!BI600*(1+Calcs!$Q547+Calcs!$R547))</f>
        <v>0</v>
      </c>
      <c r="AP144" s="7">
        <f>IF($BL144&lt;&gt;"Yes",0,Calcs!BJ600*(1+Calcs!$Q547+Calcs!$R547))</f>
        <v>0</v>
      </c>
      <c r="AQ144" s="7">
        <f>IF($BL144&lt;&gt;"Yes",0,Calcs!BK600*(1+Calcs!$Q547+Calcs!$R547))</f>
        <v>0</v>
      </c>
      <c r="AR144" s="7">
        <f>IF($BL144&lt;&gt;"Yes",0,Calcs!BL600*(1+Calcs!$Q547+Calcs!$R547))</f>
        <v>0</v>
      </c>
      <c r="AS144" s="7">
        <f>IF($BL144&lt;&gt;"Yes",0,Calcs!BM600*(1+Calcs!$Q547+Calcs!$R547))</f>
        <v>0</v>
      </c>
      <c r="AT144" s="7">
        <f>IF($BL144&lt;&gt;"Yes",0,Calcs!BN600*(1+Calcs!$Q547+Calcs!$R547))</f>
        <v>0</v>
      </c>
      <c r="AU144" s="7">
        <f>IF($BL144&lt;&gt;"Yes",0,Calcs!BO600*(1+Calcs!$Q547+Calcs!$R547))</f>
        <v>0</v>
      </c>
      <c r="AV144" s="7">
        <f>IF($BL144&lt;&gt;"Yes",0,Calcs!BP600*(1+Calcs!$Q547+Calcs!$R547))</f>
        <v>0</v>
      </c>
      <c r="AW144" s="7">
        <f>IF($BL144&lt;&gt;"Yes",0,Calcs!BQ600*(1+Calcs!$Q547+Calcs!$R547))</f>
        <v>0</v>
      </c>
      <c r="AX144" s="7">
        <f>IF($BL144&lt;&gt;"Yes",0,Calcs!BR600*(1+Calcs!$Q547+Calcs!$R547))</f>
        <v>0</v>
      </c>
      <c r="AY144" s="7">
        <f>IF($BL144&lt;&gt;"Yes",0,Calcs!BS600*(1+Calcs!$Q547+Calcs!$R547))</f>
        <v>0</v>
      </c>
      <c r="AZ144" s="7">
        <f>IF($BL144&lt;&gt;"Yes",0,Calcs!BT600*(1+Calcs!$Q547+Calcs!$R547))</f>
        <v>0</v>
      </c>
      <c r="BA144" s="7">
        <f>IF($BL144&lt;&gt;"Yes",0,Calcs!BU600*(1+Calcs!$Q547+Calcs!$R547))</f>
        <v>0</v>
      </c>
      <c r="BB144" s="7">
        <f>IF($BL144&lt;&gt;"Yes",0,Calcs!BV600*(1+Calcs!$Q547+Calcs!$R547))</f>
        <v>0</v>
      </c>
      <c r="BC144" s="7">
        <f>IF($BL144&lt;&gt;"Yes",0,Calcs!BW600*(1+Calcs!$Q547+Calcs!$R547))</f>
        <v>0</v>
      </c>
      <c r="BD144" s="7">
        <f>IF($BL144&lt;&gt;"Yes",0,Calcs!BX600*(1+Calcs!$Q547+Calcs!$R547))</f>
        <v>0</v>
      </c>
      <c r="BE144" s="7">
        <f>IF($BL144&lt;&gt;"Yes",0,Calcs!BY600*(1+Calcs!$Q547+Calcs!$R547))</f>
        <v>0</v>
      </c>
      <c r="BF144" s="7">
        <f>IF($BL144&lt;&gt;"Yes",0,Calcs!BZ600*(1+Calcs!$Q547+Calcs!$R547))</f>
        <v>0</v>
      </c>
      <c r="BG144" s="7">
        <f>IF($BL144&lt;&gt;"Yes",0,Calcs!CA600*(1+Calcs!$Q547+Calcs!$R547))</f>
        <v>0</v>
      </c>
      <c r="BH144" s="7">
        <f>IF($BL144&lt;&gt;"Yes",0,Calcs!CB600*(1+Calcs!$Q547+Calcs!$R547))</f>
        <v>0</v>
      </c>
      <c r="BI144" s="7">
        <f>IF($BL144&lt;&gt;"Yes",0,Calcs!CC600*(1+Calcs!$Q547+Calcs!$R547))</f>
        <v>0</v>
      </c>
      <c r="BJ144" s="7">
        <f>IF($BL144&lt;&gt;"Yes",0,Calcs!CD600*(1+Calcs!$Q547+Calcs!$R547))</f>
        <v>0</v>
      </c>
    </row>
    <row r="145" spans="1:62" s="5" customFormat="1" ht="13" hidden="1" customHeight="1" x14ac:dyDescent="0.3">
      <c r="A145" s="6" t="str">
        <f>IF(AND(Calcs!S601&lt;&gt;"",Calcs!S601&lt;&gt;0),Calcs!S601,"Personnel "&amp;Calcs!Q601)</f>
        <v xml:space="preserve">Personnel </v>
      </c>
      <c r="B145" s="6" t="str">
        <f>IF(AND(Calcs!T601&lt;&gt;"",Calcs!T601&lt;&gt;0),Calcs!T601,"Personnel "&amp;Calcs!R601)</f>
        <v>Personnel 50</v>
      </c>
      <c r="C145" s="7">
        <f>IF($BL145&lt;&gt;"Yes",0,Calcs!W601*(1+Calcs!$Q548+Calcs!$R548))</f>
        <v>0</v>
      </c>
      <c r="D145" s="7">
        <f>IF($BL145&lt;&gt;"Yes",0,Calcs!X601*(1+Calcs!$Q548+Calcs!$R548))</f>
        <v>0</v>
      </c>
      <c r="E145" s="7">
        <f>IF($BL145&lt;&gt;"Yes",0,Calcs!Y601*(1+Calcs!$Q548+Calcs!$R548))</f>
        <v>0</v>
      </c>
      <c r="F145" s="7">
        <f>IF($BL145&lt;&gt;"Yes",0,Calcs!Z601*(1+Calcs!$Q548+Calcs!$R548))</f>
        <v>0</v>
      </c>
      <c r="G145" s="7">
        <f>IF($BL145&lt;&gt;"Yes",0,Calcs!AA601*(1+Calcs!$Q548+Calcs!$R548))</f>
        <v>0</v>
      </c>
      <c r="H145" s="40"/>
      <c r="I145" s="7">
        <f>IF($BL145&lt;&gt;"Yes",0,Calcs!AC601*(1+Calcs!$Q548+Calcs!$R548))</f>
        <v>0</v>
      </c>
      <c r="J145" s="7">
        <f>IF($BL145&lt;&gt;"Yes",0,Calcs!AD601*(1+Calcs!$Q548+Calcs!$R548))</f>
        <v>0</v>
      </c>
      <c r="K145" s="7">
        <f>IF($BL145&lt;&gt;"Yes",0,Calcs!AE601*(1+Calcs!$Q548+Calcs!$R548))</f>
        <v>0</v>
      </c>
      <c r="L145" s="7">
        <f>IF($BL145&lt;&gt;"Yes",0,Calcs!AF601*(1+Calcs!$Q548+Calcs!$R548))</f>
        <v>0</v>
      </c>
      <c r="M145" s="7">
        <f>IF($BL145&lt;&gt;"Yes",0,Calcs!AG601*(1+Calcs!$Q548+Calcs!$R548))</f>
        <v>0</v>
      </c>
      <c r="N145" s="7">
        <f>IF($BL145&lt;&gt;"Yes",0,Calcs!AH601*(1+Calcs!$Q548+Calcs!$R548))</f>
        <v>0</v>
      </c>
      <c r="O145" s="7">
        <f>IF($BL145&lt;&gt;"Yes",0,Calcs!AI601*(1+Calcs!$Q548+Calcs!$R548))</f>
        <v>0</v>
      </c>
      <c r="P145" s="7">
        <f>IF($BL145&lt;&gt;"Yes",0,Calcs!AJ601*(1+Calcs!$Q548+Calcs!$R548))</f>
        <v>0</v>
      </c>
      <c r="Q145" s="7">
        <f>IF($BL145&lt;&gt;"Yes",0,Calcs!AK601*(1+Calcs!$Q548+Calcs!$R548))</f>
        <v>0</v>
      </c>
      <c r="R145" s="7">
        <f>IF($BL145&lt;&gt;"Yes",0,Calcs!AL601*(1+Calcs!$Q548+Calcs!$R548))</f>
        <v>0</v>
      </c>
      <c r="S145" s="7">
        <f>IF($BL145&lt;&gt;"Yes",0,Calcs!AM601*(1+Calcs!$Q548+Calcs!$R548))</f>
        <v>0</v>
      </c>
      <c r="T145" s="7">
        <f>IF($BL145&lt;&gt;"Yes",0,Calcs!AN601*(1+Calcs!$Q548+Calcs!$R548))</f>
        <v>0</v>
      </c>
      <c r="U145" s="7">
        <f>IF($BL145&lt;&gt;"Yes",0,Calcs!AO601*(1+Calcs!$Q548+Calcs!$R548))</f>
        <v>0</v>
      </c>
      <c r="V145" s="7">
        <f>IF($BL145&lt;&gt;"Yes",0,Calcs!AP601*(1+Calcs!$Q548+Calcs!$R548))</f>
        <v>0</v>
      </c>
      <c r="W145" s="7">
        <f>IF($BL145&lt;&gt;"Yes",0,Calcs!AQ601*(1+Calcs!$Q548+Calcs!$R548))</f>
        <v>0</v>
      </c>
      <c r="X145" s="7">
        <f>IF($BL145&lt;&gt;"Yes",0,Calcs!AR601*(1+Calcs!$Q548+Calcs!$R548))</f>
        <v>0</v>
      </c>
      <c r="Y145" s="7">
        <f>IF($BL145&lt;&gt;"Yes",0,Calcs!AS601*(1+Calcs!$Q548+Calcs!$R548))</f>
        <v>0</v>
      </c>
      <c r="Z145" s="7">
        <f>IF($BL145&lt;&gt;"Yes",0,Calcs!AT601*(1+Calcs!$Q548+Calcs!$R548))</f>
        <v>0</v>
      </c>
      <c r="AA145" s="7">
        <f>IF($BL145&lt;&gt;"Yes",0,Calcs!AU601*(1+Calcs!$Q548+Calcs!$R548))</f>
        <v>0</v>
      </c>
      <c r="AB145" s="7">
        <f>IF($BL145&lt;&gt;"Yes",0,Calcs!AV601*(1+Calcs!$Q548+Calcs!$R548))</f>
        <v>0</v>
      </c>
      <c r="AC145" s="7">
        <f>IF($BL145&lt;&gt;"Yes",0,Calcs!AW601*(1+Calcs!$Q548+Calcs!$R548))</f>
        <v>0</v>
      </c>
      <c r="AD145" s="7">
        <f>IF($BL145&lt;&gt;"Yes",0,Calcs!AX601*(1+Calcs!$Q548+Calcs!$R548))</f>
        <v>0</v>
      </c>
      <c r="AE145" s="7">
        <f>IF($BL145&lt;&gt;"Yes",0,Calcs!AY601*(1+Calcs!$Q548+Calcs!$R548))</f>
        <v>0</v>
      </c>
      <c r="AF145" s="7">
        <f>IF($BL145&lt;&gt;"Yes",0,Calcs!AZ601*(1+Calcs!$Q548+Calcs!$R548))</f>
        <v>0</v>
      </c>
      <c r="AG145" s="7">
        <f>IF($BL145&lt;&gt;"Yes",0,Calcs!BA601*(1+Calcs!$Q548+Calcs!$R548))</f>
        <v>0</v>
      </c>
      <c r="AH145" s="7">
        <f>IF($BL145&lt;&gt;"Yes",0,Calcs!BB601*(1+Calcs!$Q548+Calcs!$R548))</f>
        <v>0</v>
      </c>
      <c r="AI145" s="7">
        <f>IF($BL145&lt;&gt;"Yes",0,Calcs!BC601*(1+Calcs!$Q548+Calcs!$R548))</f>
        <v>0</v>
      </c>
      <c r="AJ145" s="7">
        <f>IF($BL145&lt;&gt;"Yes",0,Calcs!BD601*(1+Calcs!$Q548+Calcs!$R548))</f>
        <v>0</v>
      </c>
      <c r="AK145" s="7">
        <f>IF($BL145&lt;&gt;"Yes",0,Calcs!BE601*(1+Calcs!$Q548+Calcs!$R548))</f>
        <v>0</v>
      </c>
      <c r="AL145" s="7">
        <f>IF($BL145&lt;&gt;"Yes",0,Calcs!BF601*(1+Calcs!$Q548+Calcs!$R548))</f>
        <v>0</v>
      </c>
      <c r="AM145" s="7">
        <f>IF($BL145&lt;&gt;"Yes",0,Calcs!BG601*(1+Calcs!$Q548+Calcs!$R548))</f>
        <v>0</v>
      </c>
      <c r="AN145" s="7">
        <f>IF($BL145&lt;&gt;"Yes",0,Calcs!BH601*(1+Calcs!$Q548+Calcs!$R548))</f>
        <v>0</v>
      </c>
      <c r="AO145" s="7">
        <f>IF($BL145&lt;&gt;"Yes",0,Calcs!BI601*(1+Calcs!$Q548+Calcs!$R548))</f>
        <v>0</v>
      </c>
      <c r="AP145" s="7">
        <f>IF($BL145&lt;&gt;"Yes",0,Calcs!BJ601*(1+Calcs!$Q548+Calcs!$R548))</f>
        <v>0</v>
      </c>
      <c r="AQ145" s="7">
        <f>IF($BL145&lt;&gt;"Yes",0,Calcs!BK601*(1+Calcs!$Q548+Calcs!$R548))</f>
        <v>0</v>
      </c>
      <c r="AR145" s="7">
        <f>IF($BL145&lt;&gt;"Yes",0,Calcs!BL601*(1+Calcs!$Q548+Calcs!$R548))</f>
        <v>0</v>
      </c>
      <c r="AS145" s="7">
        <f>IF($BL145&lt;&gt;"Yes",0,Calcs!BM601*(1+Calcs!$Q548+Calcs!$R548))</f>
        <v>0</v>
      </c>
      <c r="AT145" s="7">
        <f>IF($BL145&lt;&gt;"Yes",0,Calcs!BN601*(1+Calcs!$Q548+Calcs!$R548))</f>
        <v>0</v>
      </c>
      <c r="AU145" s="7">
        <f>IF($BL145&lt;&gt;"Yes",0,Calcs!BO601*(1+Calcs!$Q548+Calcs!$R548))</f>
        <v>0</v>
      </c>
      <c r="AV145" s="7">
        <f>IF($BL145&lt;&gt;"Yes",0,Calcs!BP601*(1+Calcs!$Q548+Calcs!$R548))</f>
        <v>0</v>
      </c>
      <c r="AW145" s="7">
        <f>IF($BL145&lt;&gt;"Yes",0,Calcs!BQ601*(1+Calcs!$Q548+Calcs!$R548))</f>
        <v>0</v>
      </c>
      <c r="AX145" s="7">
        <f>IF($BL145&lt;&gt;"Yes",0,Calcs!BR601*(1+Calcs!$Q548+Calcs!$R548))</f>
        <v>0</v>
      </c>
      <c r="AY145" s="7">
        <f>IF($BL145&lt;&gt;"Yes",0,Calcs!BS601*(1+Calcs!$Q548+Calcs!$R548))</f>
        <v>0</v>
      </c>
      <c r="AZ145" s="7">
        <f>IF($BL145&lt;&gt;"Yes",0,Calcs!BT601*(1+Calcs!$Q548+Calcs!$R548))</f>
        <v>0</v>
      </c>
      <c r="BA145" s="7">
        <f>IF($BL145&lt;&gt;"Yes",0,Calcs!BU601*(1+Calcs!$Q548+Calcs!$R548))</f>
        <v>0</v>
      </c>
      <c r="BB145" s="7">
        <f>IF($BL145&lt;&gt;"Yes",0,Calcs!BV601*(1+Calcs!$Q548+Calcs!$R548))</f>
        <v>0</v>
      </c>
      <c r="BC145" s="7">
        <f>IF($BL145&lt;&gt;"Yes",0,Calcs!BW601*(1+Calcs!$Q548+Calcs!$R548))</f>
        <v>0</v>
      </c>
      <c r="BD145" s="7">
        <f>IF($BL145&lt;&gt;"Yes",0,Calcs!BX601*(1+Calcs!$Q548+Calcs!$R548))</f>
        <v>0</v>
      </c>
      <c r="BE145" s="7">
        <f>IF($BL145&lt;&gt;"Yes",0,Calcs!BY601*(1+Calcs!$Q548+Calcs!$R548))</f>
        <v>0</v>
      </c>
      <c r="BF145" s="7">
        <f>IF($BL145&lt;&gt;"Yes",0,Calcs!BZ601*(1+Calcs!$Q548+Calcs!$R548))</f>
        <v>0</v>
      </c>
      <c r="BG145" s="7">
        <f>IF($BL145&lt;&gt;"Yes",0,Calcs!CA601*(1+Calcs!$Q548+Calcs!$R548))</f>
        <v>0</v>
      </c>
      <c r="BH145" s="7">
        <f>IF($BL145&lt;&gt;"Yes",0,Calcs!CB601*(1+Calcs!$Q548+Calcs!$R548))</f>
        <v>0</v>
      </c>
      <c r="BI145" s="7">
        <f>IF($BL145&lt;&gt;"Yes",0,Calcs!CC601*(1+Calcs!$Q548+Calcs!$R548))</f>
        <v>0</v>
      </c>
      <c r="BJ145" s="7">
        <f>IF($BL145&lt;&gt;"Yes",0,Calcs!CD601*(1+Calcs!$Q548+Calcs!$R548))</f>
        <v>0</v>
      </c>
    </row>
    <row r="146" spans="1:62" s="5" customFormat="1" ht="13" hidden="1" customHeight="1" x14ac:dyDescent="0.3">
      <c r="C146" s="676">
        <f>SUM(C96:C145)</f>
        <v>0</v>
      </c>
      <c r="D146" s="676">
        <f t="shared" ref="D146:BJ146" si="3">SUM(D96:D145)</f>
        <v>0</v>
      </c>
      <c r="E146" s="676">
        <f t="shared" si="3"/>
        <v>0</v>
      </c>
      <c r="F146" s="676">
        <f t="shared" si="3"/>
        <v>0</v>
      </c>
      <c r="G146" s="676">
        <f t="shared" si="3"/>
        <v>0</v>
      </c>
      <c r="H146" s="40"/>
      <c r="I146" s="676">
        <f t="shared" si="3"/>
        <v>0</v>
      </c>
      <c r="J146" s="676">
        <f t="shared" si="3"/>
        <v>0</v>
      </c>
      <c r="K146" s="676">
        <f t="shared" si="3"/>
        <v>0</v>
      </c>
      <c r="L146" s="676">
        <f t="shared" si="3"/>
        <v>0</v>
      </c>
      <c r="M146" s="676">
        <f t="shared" si="3"/>
        <v>0</v>
      </c>
      <c r="N146" s="676">
        <f t="shared" si="3"/>
        <v>0</v>
      </c>
      <c r="O146" s="676">
        <f t="shared" si="3"/>
        <v>0</v>
      </c>
      <c r="P146" s="676">
        <f t="shared" si="3"/>
        <v>0</v>
      </c>
      <c r="Q146" s="676">
        <f t="shared" si="3"/>
        <v>0</v>
      </c>
      <c r="R146" s="676">
        <f t="shared" si="3"/>
        <v>0</v>
      </c>
      <c r="S146" s="676">
        <f t="shared" si="3"/>
        <v>0</v>
      </c>
      <c r="T146" s="676">
        <f t="shared" si="3"/>
        <v>0</v>
      </c>
      <c r="U146" s="676">
        <f t="shared" si="3"/>
        <v>0</v>
      </c>
      <c r="V146" s="676">
        <f t="shared" si="3"/>
        <v>0</v>
      </c>
      <c r="W146" s="676">
        <f t="shared" si="3"/>
        <v>0</v>
      </c>
      <c r="X146" s="676">
        <f t="shared" si="3"/>
        <v>0</v>
      </c>
      <c r="Y146" s="676">
        <f t="shared" si="3"/>
        <v>0</v>
      </c>
      <c r="Z146" s="676">
        <f t="shared" si="3"/>
        <v>0</v>
      </c>
      <c r="AA146" s="676">
        <f t="shared" si="3"/>
        <v>0</v>
      </c>
      <c r="AB146" s="676">
        <f t="shared" si="3"/>
        <v>0</v>
      </c>
      <c r="AC146" s="676">
        <f t="shared" si="3"/>
        <v>0</v>
      </c>
      <c r="AD146" s="676">
        <f t="shared" si="3"/>
        <v>0</v>
      </c>
      <c r="AE146" s="676">
        <f t="shared" si="3"/>
        <v>0</v>
      </c>
      <c r="AF146" s="676">
        <f t="shared" si="3"/>
        <v>0</v>
      </c>
      <c r="AG146" s="676">
        <f t="shared" si="3"/>
        <v>0</v>
      </c>
      <c r="AH146" s="676">
        <f t="shared" si="3"/>
        <v>0</v>
      </c>
      <c r="AI146" s="676">
        <f t="shared" si="3"/>
        <v>0</v>
      </c>
      <c r="AJ146" s="676">
        <f t="shared" si="3"/>
        <v>0</v>
      </c>
      <c r="AK146" s="676">
        <f t="shared" si="3"/>
        <v>0</v>
      </c>
      <c r="AL146" s="676">
        <f t="shared" si="3"/>
        <v>0</v>
      </c>
      <c r="AM146" s="676">
        <f t="shared" si="3"/>
        <v>0</v>
      </c>
      <c r="AN146" s="676">
        <f t="shared" si="3"/>
        <v>0</v>
      </c>
      <c r="AO146" s="676">
        <f t="shared" si="3"/>
        <v>0</v>
      </c>
      <c r="AP146" s="676">
        <f t="shared" si="3"/>
        <v>0</v>
      </c>
      <c r="AQ146" s="676">
        <f t="shared" si="3"/>
        <v>0</v>
      </c>
      <c r="AR146" s="676">
        <f t="shared" si="3"/>
        <v>0</v>
      </c>
      <c r="AS146" s="676">
        <f t="shared" si="3"/>
        <v>0</v>
      </c>
      <c r="AT146" s="676">
        <f t="shared" si="3"/>
        <v>0</v>
      </c>
      <c r="AU146" s="676">
        <f t="shared" si="3"/>
        <v>0</v>
      </c>
      <c r="AV146" s="676">
        <f t="shared" si="3"/>
        <v>0</v>
      </c>
      <c r="AW146" s="676">
        <f t="shared" si="3"/>
        <v>0</v>
      </c>
      <c r="AX146" s="676">
        <f t="shared" si="3"/>
        <v>0</v>
      </c>
      <c r="AY146" s="676">
        <f t="shared" si="3"/>
        <v>0</v>
      </c>
      <c r="AZ146" s="676">
        <f t="shared" si="3"/>
        <v>0</v>
      </c>
      <c r="BA146" s="676">
        <f t="shared" si="3"/>
        <v>0</v>
      </c>
      <c r="BB146" s="676">
        <f t="shared" si="3"/>
        <v>0</v>
      </c>
      <c r="BC146" s="676">
        <f t="shared" si="3"/>
        <v>0</v>
      </c>
      <c r="BD146" s="676">
        <f t="shared" si="3"/>
        <v>0</v>
      </c>
      <c r="BE146" s="676">
        <f t="shared" si="3"/>
        <v>0</v>
      </c>
      <c r="BF146" s="676">
        <f t="shared" si="3"/>
        <v>0</v>
      </c>
      <c r="BG146" s="676">
        <f t="shared" si="3"/>
        <v>0</v>
      </c>
      <c r="BH146" s="676">
        <f t="shared" si="3"/>
        <v>0</v>
      </c>
      <c r="BI146" s="676">
        <f t="shared" si="3"/>
        <v>0</v>
      </c>
      <c r="BJ146" s="676">
        <f t="shared" si="3"/>
        <v>0</v>
      </c>
    </row>
    <row r="147" spans="1:62" s="5" customFormat="1" ht="13" hidden="1" customHeight="1" x14ac:dyDescent="0.3">
      <c r="H147" s="40"/>
    </row>
    <row r="148" spans="1:62" s="5" customFormat="1" ht="13" hidden="1" customHeight="1" x14ac:dyDescent="0.3">
      <c r="C148" s="490">
        <f>C95</f>
        <v>0</v>
      </c>
      <c r="D148" s="490">
        <f t="shared" ref="D148:BJ148" si="4">D95</f>
        <v>59</v>
      </c>
      <c r="E148" s="490">
        <f t="shared" si="4"/>
        <v>91</v>
      </c>
      <c r="F148" s="490">
        <f t="shared" si="4"/>
        <v>121</v>
      </c>
      <c r="G148" s="490">
        <f t="shared" si="4"/>
        <v>152</v>
      </c>
      <c r="H148" s="40"/>
      <c r="I148" s="490">
        <f t="shared" si="4"/>
        <v>213</v>
      </c>
      <c r="J148" s="490">
        <f t="shared" si="4"/>
        <v>244</v>
      </c>
      <c r="K148" s="490">
        <f t="shared" si="4"/>
        <v>274</v>
      </c>
      <c r="L148" s="490">
        <f t="shared" si="4"/>
        <v>305</v>
      </c>
      <c r="M148" s="490">
        <f t="shared" si="4"/>
        <v>335</v>
      </c>
      <c r="N148" s="490">
        <f t="shared" si="4"/>
        <v>366</v>
      </c>
      <c r="O148" s="490">
        <f t="shared" si="4"/>
        <v>397</v>
      </c>
      <c r="P148" s="490">
        <f t="shared" si="4"/>
        <v>425</v>
      </c>
      <c r="Q148" s="490">
        <f t="shared" si="4"/>
        <v>456</v>
      </c>
      <c r="R148" s="490">
        <f t="shared" si="4"/>
        <v>486</v>
      </c>
      <c r="S148" s="490">
        <f t="shared" si="4"/>
        <v>517</v>
      </c>
      <c r="T148" s="490">
        <f t="shared" si="4"/>
        <v>547</v>
      </c>
      <c r="U148" s="490">
        <f t="shared" si="4"/>
        <v>578</v>
      </c>
      <c r="V148" s="490">
        <f t="shared" si="4"/>
        <v>609</v>
      </c>
      <c r="W148" s="490">
        <f t="shared" si="4"/>
        <v>639</v>
      </c>
      <c r="X148" s="490">
        <f t="shared" si="4"/>
        <v>670</v>
      </c>
      <c r="Y148" s="490">
        <f t="shared" si="4"/>
        <v>700</v>
      </c>
      <c r="Z148" s="490">
        <f t="shared" si="4"/>
        <v>731</v>
      </c>
      <c r="AA148" s="490">
        <f t="shared" si="4"/>
        <v>762</v>
      </c>
      <c r="AB148" s="490">
        <f t="shared" si="4"/>
        <v>790</v>
      </c>
      <c r="AC148" s="490">
        <f t="shared" si="4"/>
        <v>821</v>
      </c>
      <c r="AD148" s="490">
        <f t="shared" si="4"/>
        <v>851</v>
      </c>
      <c r="AE148" s="490">
        <f t="shared" si="4"/>
        <v>882</v>
      </c>
      <c r="AF148" s="490">
        <f t="shared" si="4"/>
        <v>912</v>
      </c>
      <c r="AG148" s="490">
        <f t="shared" si="4"/>
        <v>943</v>
      </c>
      <c r="AH148" s="490">
        <f t="shared" si="4"/>
        <v>974</v>
      </c>
      <c r="AI148" s="490">
        <f t="shared" si="4"/>
        <v>1004</v>
      </c>
      <c r="AJ148" s="490">
        <f t="shared" si="4"/>
        <v>1035</v>
      </c>
      <c r="AK148" s="490">
        <f t="shared" si="4"/>
        <v>1065</v>
      </c>
      <c r="AL148" s="490">
        <f t="shared" si="4"/>
        <v>1096</v>
      </c>
      <c r="AM148" s="490">
        <f t="shared" si="4"/>
        <v>1127</v>
      </c>
      <c r="AN148" s="490">
        <f t="shared" si="4"/>
        <v>1155</v>
      </c>
      <c r="AO148" s="490">
        <f t="shared" si="4"/>
        <v>1186</v>
      </c>
      <c r="AP148" s="490">
        <f t="shared" si="4"/>
        <v>1216</v>
      </c>
      <c r="AQ148" s="490">
        <f t="shared" si="4"/>
        <v>1247</v>
      </c>
      <c r="AR148" s="490">
        <f t="shared" si="4"/>
        <v>1277</v>
      </c>
      <c r="AS148" s="490">
        <f t="shared" si="4"/>
        <v>1308</v>
      </c>
      <c r="AT148" s="490">
        <f t="shared" si="4"/>
        <v>1339</v>
      </c>
      <c r="AU148" s="490">
        <f t="shared" si="4"/>
        <v>1369</v>
      </c>
      <c r="AV148" s="490">
        <f t="shared" si="4"/>
        <v>1400</v>
      </c>
      <c r="AW148" s="490">
        <f t="shared" si="4"/>
        <v>1430</v>
      </c>
      <c r="AX148" s="490">
        <f t="shared" si="4"/>
        <v>1461</v>
      </c>
      <c r="AY148" s="490">
        <f t="shared" si="4"/>
        <v>1492</v>
      </c>
      <c r="AZ148" s="490">
        <f t="shared" si="4"/>
        <v>1521</v>
      </c>
      <c r="BA148" s="490">
        <f t="shared" si="4"/>
        <v>1552</v>
      </c>
      <c r="BB148" s="490">
        <f t="shared" si="4"/>
        <v>1582</v>
      </c>
      <c r="BC148" s="490">
        <f t="shared" si="4"/>
        <v>1613</v>
      </c>
      <c r="BD148" s="490">
        <f t="shared" si="4"/>
        <v>1643</v>
      </c>
      <c r="BE148" s="490">
        <f t="shared" si="4"/>
        <v>1674</v>
      </c>
      <c r="BF148" s="490">
        <f t="shared" si="4"/>
        <v>1705</v>
      </c>
      <c r="BG148" s="490">
        <f t="shared" si="4"/>
        <v>1735</v>
      </c>
      <c r="BH148" s="490">
        <f t="shared" si="4"/>
        <v>1766</v>
      </c>
      <c r="BI148" s="490">
        <f t="shared" si="4"/>
        <v>1796</v>
      </c>
      <c r="BJ148" s="490">
        <f t="shared" si="4"/>
        <v>1827</v>
      </c>
    </row>
    <row r="149" spans="1:62" s="5" customFormat="1" ht="13" hidden="1" customHeight="1" x14ac:dyDescent="0.3">
      <c r="A149" s="6" t="str">
        <f>IF(AND(Calcs!CD421&lt;&gt;"",Calcs!CD421&lt;&gt;0),Calcs!CD421,"Operating Expense "&amp;Calcs!$BL149)</f>
        <v xml:space="preserve">Operating Expense </v>
      </c>
      <c r="B149" s="6" t="str">
        <f>IF(AND(Calcs!CE421&lt;&gt;"",Calcs!CE421&lt;&gt;0),Calcs!CE421,"Operating Expense "&amp;Calcs!Q421)</f>
        <v>Operating Expense 1</v>
      </c>
      <c r="C149" s="7">
        <f>IF($BL149&lt;&gt;"Yes",0,Calcs!CF421)</f>
        <v>0</v>
      </c>
      <c r="D149" s="7">
        <f>IF($BL149&lt;&gt;"Yes",0,Calcs!CG421)</f>
        <v>0</v>
      </c>
      <c r="E149" s="7">
        <f>IF($BL149&lt;&gt;"Yes",0,Calcs!CH421)</f>
        <v>0</v>
      </c>
      <c r="F149" s="7">
        <f>IF($BL149&lt;&gt;"Yes",0,Calcs!CI421)</f>
        <v>0</v>
      </c>
      <c r="G149" s="7">
        <f>IF($BL149&lt;&gt;"Yes",0,Calcs!CJ421)</f>
        <v>0</v>
      </c>
      <c r="H149" s="40"/>
      <c r="I149" s="7">
        <f>IF($BL149&lt;&gt;"Yes",0,Calcs!CL421)</f>
        <v>0</v>
      </c>
      <c r="J149" s="7">
        <f>IF($BL149&lt;&gt;"Yes",0,Calcs!CM421)</f>
        <v>0</v>
      </c>
      <c r="K149" s="7">
        <f>IF($BL149&lt;&gt;"Yes",0,Calcs!CN421)</f>
        <v>0</v>
      </c>
      <c r="L149" s="7">
        <f>IF($BL149&lt;&gt;"Yes",0,Calcs!CO421)</f>
        <v>0</v>
      </c>
      <c r="M149" s="7">
        <f>IF($BL149&lt;&gt;"Yes",0,Calcs!CP421)</f>
        <v>0</v>
      </c>
      <c r="N149" s="7">
        <f>IF($BL149&lt;&gt;"Yes",0,Calcs!CQ421)</f>
        <v>0</v>
      </c>
      <c r="O149" s="7">
        <f>IF($BL149&lt;&gt;"Yes",0,Calcs!CR421)</f>
        <v>0</v>
      </c>
      <c r="P149" s="7">
        <f>IF($BL149&lt;&gt;"Yes",0,Calcs!CS421)</f>
        <v>0</v>
      </c>
      <c r="Q149" s="7">
        <f>IF($BL149&lt;&gt;"Yes",0,Calcs!CT421)</f>
        <v>0</v>
      </c>
      <c r="R149" s="7">
        <f>IF($BL149&lt;&gt;"Yes",0,Calcs!CU421)</f>
        <v>0</v>
      </c>
      <c r="S149" s="7">
        <f>IF($BL149&lt;&gt;"Yes",0,Calcs!CV421)</f>
        <v>0</v>
      </c>
      <c r="T149" s="7">
        <f>IF($BL149&lt;&gt;"Yes",0,Calcs!CW421)</f>
        <v>0</v>
      </c>
      <c r="U149" s="7">
        <f>IF($BL149&lt;&gt;"Yes",0,Calcs!CX421)</f>
        <v>0</v>
      </c>
      <c r="V149" s="7">
        <f>IF($BL149&lt;&gt;"Yes",0,Calcs!CY421)</f>
        <v>0</v>
      </c>
      <c r="W149" s="7">
        <f>IF($BL149&lt;&gt;"Yes",0,Calcs!CZ421)</f>
        <v>0</v>
      </c>
      <c r="X149" s="7">
        <f>IF($BL149&lt;&gt;"Yes",0,Calcs!DA421)</f>
        <v>0</v>
      </c>
      <c r="Y149" s="7">
        <f>IF($BL149&lt;&gt;"Yes",0,Calcs!DB421)</f>
        <v>0</v>
      </c>
      <c r="Z149" s="7">
        <f>IF($BL149&lt;&gt;"Yes",0,Calcs!DC421)</f>
        <v>0</v>
      </c>
      <c r="AA149" s="7">
        <f>IF($BL149&lt;&gt;"Yes",0,Calcs!DD421)</f>
        <v>0</v>
      </c>
      <c r="AB149" s="7">
        <f>IF($BL149&lt;&gt;"Yes",0,Calcs!DE421)</f>
        <v>0</v>
      </c>
      <c r="AC149" s="7">
        <f>IF($BL149&lt;&gt;"Yes",0,Calcs!DF421)</f>
        <v>0</v>
      </c>
      <c r="AD149" s="7">
        <f>IF($BL149&lt;&gt;"Yes",0,Calcs!DG421)</f>
        <v>0</v>
      </c>
      <c r="AE149" s="7">
        <f>IF($BL149&lt;&gt;"Yes",0,Calcs!DH421)</f>
        <v>0</v>
      </c>
      <c r="AF149" s="7">
        <f>IF($BL149&lt;&gt;"Yes",0,Calcs!DI421)</f>
        <v>0</v>
      </c>
      <c r="AG149" s="7">
        <f>IF($BL149&lt;&gt;"Yes",0,Calcs!DJ421)</f>
        <v>0</v>
      </c>
      <c r="AH149" s="7">
        <f>IF($BL149&lt;&gt;"Yes",0,Calcs!DK421)</f>
        <v>0</v>
      </c>
      <c r="AI149" s="7">
        <f>IF($BL149&lt;&gt;"Yes",0,Calcs!DL421)</f>
        <v>0</v>
      </c>
      <c r="AJ149" s="7">
        <f>IF($BL149&lt;&gt;"Yes",0,Calcs!DM421)</f>
        <v>0</v>
      </c>
      <c r="AK149" s="7">
        <f>IF($BL149&lt;&gt;"Yes",0,Calcs!DN421)</f>
        <v>0</v>
      </c>
      <c r="AL149" s="7">
        <f>IF($BL149&lt;&gt;"Yes",0,Calcs!DO421)</f>
        <v>0</v>
      </c>
      <c r="AM149" s="7">
        <f>IF($BL149&lt;&gt;"Yes",0,Calcs!DP421)</f>
        <v>0</v>
      </c>
      <c r="AN149" s="7">
        <f>IF($BL149&lt;&gt;"Yes",0,Calcs!DQ421)</f>
        <v>0</v>
      </c>
      <c r="AO149" s="7">
        <f>IF($BL149&lt;&gt;"Yes",0,Calcs!DR421)</f>
        <v>0</v>
      </c>
      <c r="AP149" s="7">
        <f>IF($BL149&lt;&gt;"Yes",0,Calcs!DS421)</f>
        <v>0</v>
      </c>
      <c r="AQ149" s="7">
        <f>IF($BL149&lt;&gt;"Yes",0,Calcs!DT421)</f>
        <v>0</v>
      </c>
      <c r="AR149" s="7">
        <f>IF($BL149&lt;&gt;"Yes",0,Calcs!DU421)</f>
        <v>0</v>
      </c>
      <c r="AS149" s="7">
        <f>IF($BL149&lt;&gt;"Yes",0,Calcs!DV421)</f>
        <v>0</v>
      </c>
      <c r="AT149" s="7">
        <f>IF($BL149&lt;&gt;"Yes",0,Calcs!DW421)</f>
        <v>0</v>
      </c>
      <c r="AU149" s="7">
        <f>IF($BL149&lt;&gt;"Yes",0,Calcs!DX421)</f>
        <v>0</v>
      </c>
      <c r="AV149" s="7">
        <f>IF($BL149&lt;&gt;"Yes",0,Calcs!DY421)</f>
        <v>0</v>
      </c>
      <c r="AW149" s="7">
        <f>IF($BL149&lt;&gt;"Yes",0,Calcs!DZ421)</f>
        <v>0</v>
      </c>
      <c r="AX149" s="7">
        <f>IF($BL149&lt;&gt;"Yes",0,Calcs!EA421)</f>
        <v>0</v>
      </c>
      <c r="AY149" s="7">
        <f>IF($BL149&lt;&gt;"Yes",0,Calcs!EB421)</f>
        <v>0</v>
      </c>
      <c r="AZ149" s="7">
        <f>IF($BL149&lt;&gt;"Yes",0,Calcs!EC421)</f>
        <v>0</v>
      </c>
      <c r="BA149" s="7">
        <f>IF($BL149&lt;&gt;"Yes",0,Calcs!ED421)</f>
        <v>0</v>
      </c>
      <c r="BB149" s="7">
        <f>IF($BL149&lt;&gt;"Yes",0,Calcs!EE421)</f>
        <v>0</v>
      </c>
      <c r="BC149" s="7">
        <f>IF($BL149&lt;&gt;"Yes",0,Calcs!EF421)</f>
        <v>0</v>
      </c>
      <c r="BD149" s="7">
        <f>IF($BL149&lt;&gt;"Yes",0,Calcs!EG421)</f>
        <v>0</v>
      </c>
      <c r="BE149" s="7">
        <f>IF($BL149&lt;&gt;"Yes",0,Calcs!EH421)</f>
        <v>0</v>
      </c>
      <c r="BF149" s="7">
        <f>IF($BL149&lt;&gt;"Yes",0,Calcs!EI421)</f>
        <v>0</v>
      </c>
      <c r="BG149" s="7">
        <f>IF($BL149&lt;&gt;"Yes",0,Calcs!EJ421)</f>
        <v>0</v>
      </c>
      <c r="BH149" s="7">
        <f>IF($BL149&lt;&gt;"Yes",0,Calcs!EK421)</f>
        <v>0</v>
      </c>
      <c r="BI149" s="7">
        <f>IF($BL149&lt;&gt;"Yes",0,Calcs!EL421)</f>
        <v>0</v>
      </c>
      <c r="BJ149" s="7">
        <f>IF($BL149&lt;&gt;"Yes",0,Calcs!EM421)</f>
        <v>0</v>
      </c>
    </row>
    <row r="150" spans="1:62" s="5" customFormat="1" ht="13" hidden="1" customHeight="1" x14ac:dyDescent="0.3">
      <c r="A150" s="6" t="str">
        <f>IF(AND(Calcs!CD422&lt;&gt;"",Calcs!CD422&lt;&gt;0),Calcs!CD422,"Operating Expense "&amp;Calcs!$BL150)</f>
        <v xml:space="preserve">Operating Expense </v>
      </c>
      <c r="B150" s="6" t="str">
        <f>IF(AND(Calcs!CE422&lt;&gt;"",Calcs!CE422&lt;&gt;0),Calcs!CE422,"Operating Expense "&amp;Calcs!Q422)</f>
        <v>Operating Expense 2</v>
      </c>
      <c r="C150" s="7">
        <f>IF($BL150&lt;&gt;"Yes",0,Calcs!CF422)</f>
        <v>0</v>
      </c>
      <c r="D150" s="7">
        <f>IF($BL150&lt;&gt;"Yes",0,Calcs!CG422)</f>
        <v>0</v>
      </c>
      <c r="E150" s="7">
        <f>IF($BL150&lt;&gt;"Yes",0,Calcs!CH422)</f>
        <v>0</v>
      </c>
      <c r="F150" s="7">
        <f>IF($BL150&lt;&gt;"Yes",0,Calcs!CI422)</f>
        <v>0</v>
      </c>
      <c r="G150" s="7">
        <f>IF($BL150&lt;&gt;"Yes",0,Calcs!CJ422)</f>
        <v>0</v>
      </c>
      <c r="H150" s="40"/>
      <c r="I150" s="7">
        <f>IF($BL150&lt;&gt;"Yes",0,Calcs!CL422)</f>
        <v>0</v>
      </c>
      <c r="J150" s="7">
        <f>IF($BL150&lt;&gt;"Yes",0,Calcs!CM422)</f>
        <v>0</v>
      </c>
      <c r="K150" s="7">
        <f>IF($BL150&lt;&gt;"Yes",0,Calcs!CN422)</f>
        <v>0</v>
      </c>
      <c r="L150" s="7">
        <f>IF($BL150&lt;&gt;"Yes",0,Calcs!CO422)</f>
        <v>0</v>
      </c>
      <c r="M150" s="7">
        <f>IF($BL150&lt;&gt;"Yes",0,Calcs!CP422)</f>
        <v>0</v>
      </c>
      <c r="N150" s="7">
        <f>IF($BL150&lt;&gt;"Yes",0,Calcs!CQ422)</f>
        <v>0</v>
      </c>
      <c r="O150" s="7">
        <f>IF($BL150&lt;&gt;"Yes",0,Calcs!CR422)</f>
        <v>0</v>
      </c>
      <c r="P150" s="7">
        <f>IF($BL150&lt;&gt;"Yes",0,Calcs!CS422)</f>
        <v>0</v>
      </c>
      <c r="Q150" s="7">
        <f>IF($BL150&lt;&gt;"Yes",0,Calcs!CT422)</f>
        <v>0</v>
      </c>
      <c r="R150" s="7">
        <f>IF($BL150&lt;&gt;"Yes",0,Calcs!CU422)</f>
        <v>0</v>
      </c>
      <c r="S150" s="7">
        <f>IF($BL150&lt;&gt;"Yes",0,Calcs!CV422)</f>
        <v>0</v>
      </c>
      <c r="T150" s="7">
        <f>IF($BL150&lt;&gt;"Yes",0,Calcs!CW422)</f>
        <v>0</v>
      </c>
      <c r="U150" s="7">
        <f>IF($BL150&lt;&gt;"Yes",0,Calcs!CX422)</f>
        <v>0</v>
      </c>
      <c r="V150" s="7">
        <f>IF($BL150&lt;&gt;"Yes",0,Calcs!CY422)</f>
        <v>0</v>
      </c>
      <c r="W150" s="7">
        <f>IF($BL150&lt;&gt;"Yes",0,Calcs!CZ422)</f>
        <v>0</v>
      </c>
      <c r="X150" s="7">
        <f>IF($BL150&lt;&gt;"Yes",0,Calcs!DA422)</f>
        <v>0</v>
      </c>
      <c r="Y150" s="7">
        <f>IF($BL150&lt;&gt;"Yes",0,Calcs!DB422)</f>
        <v>0</v>
      </c>
      <c r="Z150" s="7">
        <f>IF($BL150&lt;&gt;"Yes",0,Calcs!DC422)</f>
        <v>0</v>
      </c>
      <c r="AA150" s="7">
        <f>IF($BL150&lt;&gt;"Yes",0,Calcs!DD422)</f>
        <v>0</v>
      </c>
      <c r="AB150" s="7">
        <f>IF($BL150&lt;&gt;"Yes",0,Calcs!DE422)</f>
        <v>0</v>
      </c>
      <c r="AC150" s="7">
        <f>IF($BL150&lt;&gt;"Yes",0,Calcs!DF422)</f>
        <v>0</v>
      </c>
      <c r="AD150" s="7">
        <f>IF($BL150&lt;&gt;"Yes",0,Calcs!DG422)</f>
        <v>0</v>
      </c>
      <c r="AE150" s="7">
        <f>IF($BL150&lt;&gt;"Yes",0,Calcs!DH422)</f>
        <v>0</v>
      </c>
      <c r="AF150" s="7">
        <f>IF($BL150&lt;&gt;"Yes",0,Calcs!DI422)</f>
        <v>0</v>
      </c>
      <c r="AG150" s="7">
        <f>IF($BL150&lt;&gt;"Yes",0,Calcs!DJ422)</f>
        <v>0</v>
      </c>
      <c r="AH150" s="7">
        <f>IF($BL150&lt;&gt;"Yes",0,Calcs!DK422)</f>
        <v>0</v>
      </c>
      <c r="AI150" s="7">
        <f>IF($BL150&lt;&gt;"Yes",0,Calcs!DL422)</f>
        <v>0</v>
      </c>
      <c r="AJ150" s="7">
        <f>IF($BL150&lt;&gt;"Yes",0,Calcs!DM422)</f>
        <v>0</v>
      </c>
      <c r="AK150" s="7">
        <f>IF($BL150&lt;&gt;"Yes",0,Calcs!DN422)</f>
        <v>0</v>
      </c>
      <c r="AL150" s="7">
        <f>IF($BL150&lt;&gt;"Yes",0,Calcs!DO422)</f>
        <v>0</v>
      </c>
      <c r="AM150" s="7">
        <f>IF($BL150&lt;&gt;"Yes",0,Calcs!DP422)</f>
        <v>0</v>
      </c>
      <c r="AN150" s="7">
        <f>IF($BL150&lt;&gt;"Yes",0,Calcs!DQ422)</f>
        <v>0</v>
      </c>
      <c r="AO150" s="7">
        <f>IF($BL150&lt;&gt;"Yes",0,Calcs!DR422)</f>
        <v>0</v>
      </c>
      <c r="AP150" s="7">
        <f>IF($BL150&lt;&gt;"Yes",0,Calcs!DS422)</f>
        <v>0</v>
      </c>
      <c r="AQ150" s="7">
        <f>IF($BL150&lt;&gt;"Yes",0,Calcs!DT422)</f>
        <v>0</v>
      </c>
      <c r="AR150" s="7">
        <f>IF($BL150&lt;&gt;"Yes",0,Calcs!DU422)</f>
        <v>0</v>
      </c>
      <c r="AS150" s="7">
        <f>IF($BL150&lt;&gt;"Yes",0,Calcs!DV422)</f>
        <v>0</v>
      </c>
      <c r="AT150" s="7">
        <f>IF($BL150&lt;&gt;"Yes",0,Calcs!DW422)</f>
        <v>0</v>
      </c>
      <c r="AU150" s="7">
        <f>IF($BL150&lt;&gt;"Yes",0,Calcs!DX422)</f>
        <v>0</v>
      </c>
      <c r="AV150" s="7">
        <f>IF($BL150&lt;&gt;"Yes",0,Calcs!DY422)</f>
        <v>0</v>
      </c>
      <c r="AW150" s="7">
        <f>IF($BL150&lt;&gt;"Yes",0,Calcs!DZ422)</f>
        <v>0</v>
      </c>
      <c r="AX150" s="7">
        <f>IF($BL150&lt;&gt;"Yes",0,Calcs!EA422)</f>
        <v>0</v>
      </c>
      <c r="AY150" s="7">
        <f>IF($BL150&lt;&gt;"Yes",0,Calcs!EB422)</f>
        <v>0</v>
      </c>
      <c r="AZ150" s="7">
        <f>IF($BL150&lt;&gt;"Yes",0,Calcs!EC422)</f>
        <v>0</v>
      </c>
      <c r="BA150" s="7">
        <f>IF($BL150&lt;&gt;"Yes",0,Calcs!ED422)</f>
        <v>0</v>
      </c>
      <c r="BB150" s="7">
        <f>IF($BL150&lt;&gt;"Yes",0,Calcs!EE422)</f>
        <v>0</v>
      </c>
      <c r="BC150" s="7">
        <f>IF($BL150&lt;&gt;"Yes",0,Calcs!EF422)</f>
        <v>0</v>
      </c>
      <c r="BD150" s="7">
        <f>IF($BL150&lt;&gt;"Yes",0,Calcs!EG422)</f>
        <v>0</v>
      </c>
      <c r="BE150" s="7">
        <f>IF($BL150&lt;&gt;"Yes",0,Calcs!EH422)</f>
        <v>0</v>
      </c>
      <c r="BF150" s="7">
        <f>IF($BL150&lt;&gt;"Yes",0,Calcs!EI422)</f>
        <v>0</v>
      </c>
      <c r="BG150" s="7">
        <f>IF($BL150&lt;&gt;"Yes",0,Calcs!EJ422)</f>
        <v>0</v>
      </c>
      <c r="BH150" s="7">
        <f>IF($BL150&lt;&gt;"Yes",0,Calcs!EK422)</f>
        <v>0</v>
      </c>
      <c r="BI150" s="7">
        <f>IF($BL150&lt;&gt;"Yes",0,Calcs!EL422)</f>
        <v>0</v>
      </c>
      <c r="BJ150" s="7">
        <f>IF($BL150&lt;&gt;"Yes",0,Calcs!EM422)</f>
        <v>0</v>
      </c>
    </row>
    <row r="151" spans="1:62" s="5" customFormat="1" ht="13" hidden="1" customHeight="1" x14ac:dyDescent="0.3">
      <c r="A151" s="6" t="str">
        <f>IF(AND(Calcs!CD423&lt;&gt;"",Calcs!CD423&lt;&gt;0),Calcs!CD423,"Operating Expense "&amp;Calcs!$BL151)</f>
        <v xml:space="preserve">Operating Expense </v>
      </c>
      <c r="B151" s="6" t="str">
        <f>IF(AND(Calcs!CE423&lt;&gt;"",Calcs!CE423&lt;&gt;0),Calcs!CE423,"Operating Expense "&amp;Calcs!Q423)</f>
        <v>Operating Expense 3</v>
      </c>
      <c r="C151" s="7">
        <f>IF($BL151&lt;&gt;"Yes",0,Calcs!CF423)</f>
        <v>0</v>
      </c>
      <c r="D151" s="7">
        <f>IF($BL151&lt;&gt;"Yes",0,Calcs!CG423)</f>
        <v>0</v>
      </c>
      <c r="E151" s="7">
        <f>IF($BL151&lt;&gt;"Yes",0,Calcs!CH423)</f>
        <v>0</v>
      </c>
      <c r="F151" s="7">
        <f>IF($BL151&lt;&gt;"Yes",0,Calcs!CI423)</f>
        <v>0</v>
      </c>
      <c r="G151" s="7">
        <f>IF($BL151&lt;&gt;"Yes",0,Calcs!CJ423)</f>
        <v>0</v>
      </c>
      <c r="H151" s="40"/>
      <c r="I151" s="7">
        <f>IF($BL151&lt;&gt;"Yes",0,Calcs!CL423)</f>
        <v>0</v>
      </c>
      <c r="J151" s="7">
        <f>IF($BL151&lt;&gt;"Yes",0,Calcs!CM423)</f>
        <v>0</v>
      </c>
      <c r="K151" s="7">
        <f>IF($BL151&lt;&gt;"Yes",0,Calcs!CN423)</f>
        <v>0</v>
      </c>
      <c r="L151" s="7">
        <f>IF($BL151&lt;&gt;"Yes",0,Calcs!CO423)</f>
        <v>0</v>
      </c>
      <c r="M151" s="7">
        <f>IF($BL151&lt;&gt;"Yes",0,Calcs!CP423)</f>
        <v>0</v>
      </c>
      <c r="N151" s="7">
        <f>IF($BL151&lt;&gt;"Yes",0,Calcs!CQ423)</f>
        <v>0</v>
      </c>
      <c r="O151" s="7">
        <f>IF($BL151&lt;&gt;"Yes",0,Calcs!CR423)</f>
        <v>0</v>
      </c>
      <c r="P151" s="7">
        <f>IF($BL151&lt;&gt;"Yes",0,Calcs!CS423)</f>
        <v>0</v>
      </c>
      <c r="Q151" s="7">
        <f>IF($BL151&lt;&gt;"Yes",0,Calcs!CT423)</f>
        <v>0</v>
      </c>
      <c r="R151" s="7">
        <f>IF($BL151&lt;&gt;"Yes",0,Calcs!CU423)</f>
        <v>0</v>
      </c>
      <c r="S151" s="7">
        <f>IF($BL151&lt;&gt;"Yes",0,Calcs!CV423)</f>
        <v>0</v>
      </c>
      <c r="T151" s="7">
        <f>IF($BL151&lt;&gt;"Yes",0,Calcs!CW423)</f>
        <v>0</v>
      </c>
      <c r="U151" s="7">
        <f>IF($BL151&lt;&gt;"Yes",0,Calcs!CX423)</f>
        <v>0</v>
      </c>
      <c r="V151" s="7">
        <f>IF($BL151&lt;&gt;"Yes",0,Calcs!CY423)</f>
        <v>0</v>
      </c>
      <c r="W151" s="7">
        <f>IF($BL151&lt;&gt;"Yes",0,Calcs!CZ423)</f>
        <v>0</v>
      </c>
      <c r="X151" s="7">
        <f>IF($BL151&lt;&gt;"Yes",0,Calcs!DA423)</f>
        <v>0</v>
      </c>
      <c r="Y151" s="7">
        <f>IF($BL151&lt;&gt;"Yes",0,Calcs!DB423)</f>
        <v>0</v>
      </c>
      <c r="Z151" s="7">
        <f>IF($BL151&lt;&gt;"Yes",0,Calcs!DC423)</f>
        <v>0</v>
      </c>
      <c r="AA151" s="7">
        <f>IF($BL151&lt;&gt;"Yes",0,Calcs!DD423)</f>
        <v>0</v>
      </c>
      <c r="AB151" s="7">
        <f>IF($BL151&lt;&gt;"Yes",0,Calcs!DE423)</f>
        <v>0</v>
      </c>
      <c r="AC151" s="7">
        <f>IF($BL151&lt;&gt;"Yes",0,Calcs!DF423)</f>
        <v>0</v>
      </c>
      <c r="AD151" s="7">
        <f>IF($BL151&lt;&gt;"Yes",0,Calcs!DG423)</f>
        <v>0</v>
      </c>
      <c r="AE151" s="7">
        <f>IF($BL151&lt;&gt;"Yes",0,Calcs!DH423)</f>
        <v>0</v>
      </c>
      <c r="AF151" s="7">
        <f>IF($BL151&lt;&gt;"Yes",0,Calcs!DI423)</f>
        <v>0</v>
      </c>
      <c r="AG151" s="7">
        <f>IF($BL151&lt;&gt;"Yes",0,Calcs!DJ423)</f>
        <v>0</v>
      </c>
      <c r="AH151" s="7">
        <f>IF($BL151&lt;&gt;"Yes",0,Calcs!DK423)</f>
        <v>0</v>
      </c>
      <c r="AI151" s="7">
        <f>IF($BL151&lt;&gt;"Yes",0,Calcs!DL423)</f>
        <v>0</v>
      </c>
      <c r="AJ151" s="7">
        <f>IF($BL151&lt;&gt;"Yes",0,Calcs!DM423)</f>
        <v>0</v>
      </c>
      <c r="AK151" s="7">
        <f>IF($BL151&lt;&gt;"Yes",0,Calcs!DN423)</f>
        <v>0</v>
      </c>
      <c r="AL151" s="7">
        <f>IF($BL151&lt;&gt;"Yes",0,Calcs!DO423)</f>
        <v>0</v>
      </c>
      <c r="AM151" s="7">
        <f>IF($BL151&lt;&gt;"Yes",0,Calcs!DP423)</f>
        <v>0</v>
      </c>
      <c r="AN151" s="7">
        <f>IF($BL151&lt;&gt;"Yes",0,Calcs!DQ423)</f>
        <v>0</v>
      </c>
      <c r="AO151" s="7">
        <f>IF($BL151&lt;&gt;"Yes",0,Calcs!DR423)</f>
        <v>0</v>
      </c>
      <c r="AP151" s="7">
        <f>IF($BL151&lt;&gt;"Yes",0,Calcs!DS423)</f>
        <v>0</v>
      </c>
      <c r="AQ151" s="7">
        <f>IF($BL151&lt;&gt;"Yes",0,Calcs!DT423)</f>
        <v>0</v>
      </c>
      <c r="AR151" s="7">
        <f>IF($BL151&lt;&gt;"Yes",0,Calcs!DU423)</f>
        <v>0</v>
      </c>
      <c r="AS151" s="7">
        <f>IF($BL151&lt;&gt;"Yes",0,Calcs!DV423)</f>
        <v>0</v>
      </c>
      <c r="AT151" s="7">
        <f>IF($BL151&lt;&gt;"Yes",0,Calcs!DW423)</f>
        <v>0</v>
      </c>
      <c r="AU151" s="7">
        <f>IF($BL151&lt;&gt;"Yes",0,Calcs!DX423)</f>
        <v>0</v>
      </c>
      <c r="AV151" s="7">
        <f>IF($BL151&lt;&gt;"Yes",0,Calcs!DY423)</f>
        <v>0</v>
      </c>
      <c r="AW151" s="7">
        <f>IF($BL151&lt;&gt;"Yes",0,Calcs!DZ423)</f>
        <v>0</v>
      </c>
      <c r="AX151" s="7">
        <f>IF($BL151&lt;&gt;"Yes",0,Calcs!EA423)</f>
        <v>0</v>
      </c>
      <c r="AY151" s="7">
        <f>IF($BL151&lt;&gt;"Yes",0,Calcs!EB423)</f>
        <v>0</v>
      </c>
      <c r="AZ151" s="7">
        <f>IF($BL151&lt;&gt;"Yes",0,Calcs!EC423)</f>
        <v>0</v>
      </c>
      <c r="BA151" s="7">
        <f>IF($BL151&lt;&gt;"Yes",0,Calcs!ED423)</f>
        <v>0</v>
      </c>
      <c r="BB151" s="7">
        <f>IF($BL151&lt;&gt;"Yes",0,Calcs!EE423)</f>
        <v>0</v>
      </c>
      <c r="BC151" s="7">
        <f>IF($BL151&lt;&gt;"Yes",0,Calcs!EF423)</f>
        <v>0</v>
      </c>
      <c r="BD151" s="7">
        <f>IF($BL151&lt;&gt;"Yes",0,Calcs!EG423)</f>
        <v>0</v>
      </c>
      <c r="BE151" s="7">
        <f>IF($BL151&lt;&gt;"Yes",0,Calcs!EH423)</f>
        <v>0</v>
      </c>
      <c r="BF151" s="7">
        <f>IF($BL151&lt;&gt;"Yes",0,Calcs!EI423)</f>
        <v>0</v>
      </c>
      <c r="BG151" s="7">
        <f>IF($BL151&lt;&gt;"Yes",0,Calcs!EJ423)</f>
        <v>0</v>
      </c>
      <c r="BH151" s="7">
        <f>IF($BL151&lt;&gt;"Yes",0,Calcs!EK423)</f>
        <v>0</v>
      </c>
      <c r="BI151" s="7">
        <f>IF($BL151&lt;&gt;"Yes",0,Calcs!EL423)</f>
        <v>0</v>
      </c>
      <c r="BJ151" s="7">
        <f>IF($BL151&lt;&gt;"Yes",0,Calcs!EM423)</f>
        <v>0</v>
      </c>
    </row>
    <row r="152" spans="1:62" s="5" customFormat="1" ht="13" hidden="1" customHeight="1" x14ac:dyDescent="0.3">
      <c r="A152" s="6" t="str">
        <f>IF(AND(Calcs!CD424&lt;&gt;"",Calcs!CD424&lt;&gt;0),Calcs!CD424,"Operating Expense "&amp;Calcs!$BL152)</f>
        <v xml:space="preserve">Operating Expense </v>
      </c>
      <c r="B152" s="6" t="str">
        <f>IF(AND(Calcs!CE424&lt;&gt;"",Calcs!CE424&lt;&gt;0),Calcs!CE424,"Operating Expense "&amp;Calcs!Q424)</f>
        <v>Operating Expense 4</v>
      </c>
      <c r="C152" s="7">
        <f>IF($BL152&lt;&gt;"Yes",0,Calcs!CF424)</f>
        <v>0</v>
      </c>
      <c r="D152" s="7">
        <f>IF($BL152&lt;&gt;"Yes",0,Calcs!CG424)</f>
        <v>0</v>
      </c>
      <c r="E152" s="7">
        <f>IF($BL152&lt;&gt;"Yes",0,Calcs!CH424)</f>
        <v>0</v>
      </c>
      <c r="F152" s="7">
        <f>IF($BL152&lt;&gt;"Yes",0,Calcs!CI424)</f>
        <v>0</v>
      </c>
      <c r="G152" s="7">
        <f>IF($BL152&lt;&gt;"Yes",0,Calcs!CJ424)</f>
        <v>0</v>
      </c>
      <c r="H152" s="40"/>
      <c r="I152" s="7">
        <f>IF($BL152&lt;&gt;"Yes",0,Calcs!CL424)</f>
        <v>0</v>
      </c>
      <c r="J152" s="7">
        <f>IF($BL152&lt;&gt;"Yes",0,Calcs!CM424)</f>
        <v>0</v>
      </c>
      <c r="K152" s="7">
        <f>IF($BL152&lt;&gt;"Yes",0,Calcs!CN424)</f>
        <v>0</v>
      </c>
      <c r="L152" s="7">
        <f>IF($BL152&lt;&gt;"Yes",0,Calcs!CO424)</f>
        <v>0</v>
      </c>
      <c r="M152" s="7">
        <f>IF($BL152&lt;&gt;"Yes",0,Calcs!CP424)</f>
        <v>0</v>
      </c>
      <c r="N152" s="7">
        <f>IF($BL152&lt;&gt;"Yes",0,Calcs!CQ424)</f>
        <v>0</v>
      </c>
      <c r="O152" s="7">
        <f>IF($BL152&lt;&gt;"Yes",0,Calcs!CR424)</f>
        <v>0</v>
      </c>
      <c r="P152" s="7">
        <f>IF($BL152&lt;&gt;"Yes",0,Calcs!CS424)</f>
        <v>0</v>
      </c>
      <c r="Q152" s="7">
        <f>IF($BL152&lt;&gt;"Yes",0,Calcs!CT424)</f>
        <v>0</v>
      </c>
      <c r="R152" s="7">
        <f>IF($BL152&lt;&gt;"Yes",0,Calcs!CU424)</f>
        <v>0</v>
      </c>
      <c r="S152" s="7">
        <f>IF($BL152&lt;&gt;"Yes",0,Calcs!CV424)</f>
        <v>0</v>
      </c>
      <c r="T152" s="7">
        <f>IF($BL152&lt;&gt;"Yes",0,Calcs!CW424)</f>
        <v>0</v>
      </c>
      <c r="U152" s="7">
        <f>IF($BL152&lt;&gt;"Yes",0,Calcs!CX424)</f>
        <v>0</v>
      </c>
      <c r="V152" s="7">
        <f>IF($BL152&lt;&gt;"Yes",0,Calcs!CY424)</f>
        <v>0</v>
      </c>
      <c r="W152" s="7">
        <f>IF($BL152&lt;&gt;"Yes",0,Calcs!CZ424)</f>
        <v>0</v>
      </c>
      <c r="X152" s="7">
        <f>IF($BL152&lt;&gt;"Yes",0,Calcs!DA424)</f>
        <v>0</v>
      </c>
      <c r="Y152" s="7">
        <f>IF($BL152&lt;&gt;"Yes",0,Calcs!DB424)</f>
        <v>0</v>
      </c>
      <c r="Z152" s="7">
        <f>IF($BL152&lt;&gt;"Yes",0,Calcs!DC424)</f>
        <v>0</v>
      </c>
      <c r="AA152" s="7">
        <f>IF($BL152&lt;&gt;"Yes",0,Calcs!DD424)</f>
        <v>0</v>
      </c>
      <c r="AB152" s="7">
        <f>IF($BL152&lt;&gt;"Yes",0,Calcs!DE424)</f>
        <v>0</v>
      </c>
      <c r="AC152" s="7">
        <f>IF($BL152&lt;&gt;"Yes",0,Calcs!DF424)</f>
        <v>0</v>
      </c>
      <c r="AD152" s="7">
        <f>IF($BL152&lt;&gt;"Yes",0,Calcs!DG424)</f>
        <v>0</v>
      </c>
      <c r="AE152" s="7">
        <f>IF($BL152&lt;&gt;"Yes",0,Calcs!DH424)</f>
        <v>0</v>
      </c>
      <c r="AF152" s="7">
        <f>IF($BL152&lt;&gt;"Yes",0,Calcs!DI424)</f>
        <v>0</v>
      </c>
      <c r="AG152" s="7">
        <f>IF($BL152&lt;&gt;"Yes",0,Calcs!DJ424)</f>
        <v>0</v>
      </c>
      <c r="AH152" s="7">
        <f>IF($BL152&lt;&gt;"Yes",0,Calcs!DK424)</f>
        <v>0</v>
      </c>
      <c r="AI152" s="7">
        <f>IF($BL152&lt;&gt;"Yes",0,Calcs!DL424)</f>
        <v>0</v>
      </c>
      <c r="AJ152" s="7">
        <f>IF($BL152&lt;&gt;"Yes",0,Calcs!DM424)</f>
        <v>0</v>
      </c>
      <c r="AK152" s="7">
        <f>IF($BL152&lt;&gt;"Yes",0,Calcs!DN424)</f>
        <v>0</v>
      </c>
      <c r="AL152" s="7">
        <f>IF($BL152&lt;&gt;"Yes",0,Calcs!DO424)</f>
        <v>0</v>
      </c>
      <c r="AM152" s="7">
        <f>IF($BL152&lt;&gt;"Yes",0,Calcs!DP424)</f>
        <v>0</v>
      </c>
      <c r="AN152" s="7">
        <f>IF($BL152&lt;&gt;"Yes",0,Calcs!DQ424)</f>
        <v>0</v>
      </c>
      <c r="AO152" s="7">
        <f>IF($BL152&lt;&gt;"Yes",0,Calcs!DR424)</f>
        <v>0</v>
      </c>
      <c r="AP152" s="7">
        <f>IF($BL152&lt;&gt;"Yes",0,Calcs!DS424)</f>
        <v>0</v>
      </c>
      <c r="AQ152" s="7">
        <f>IF($BL152&lt;&gt;"Yes",0,Calcs!DT424)</f>
        <v>0</v>
      </c>
      <c r="AR152" s="7">
        <f>IF($BL152&lt;&gt;"Yes",0,Calcs!DU424)</f>
        <v>0</v>
      </c>
      <c r="AS152" s="7">
        <f>IF($BL152&lt;&gt;"Yes",0,Calcs!DV424)</f>
        <v>0</v>
      </c>
      <c r="AT152" s="7">
        <f>IF($BL152&lt;&gt;"Yes",0,Calcs!DW424)</f>
        <v>0</v>
      </c>
      <c r="AU152" s="7">
        <f>IF($BL152&lt;&gt;"Yes",0,Calcs!DX424)</f>
        <v>0</v>
      </c>
      <c r="AV152" s="7">
        <f>IF($BL152&lt;&gt;"Yes",0,Calcs!DY424)</f>
        <v>0</v>
      </c>
      <c r="AW152" s="7">
        <f>IF($BL152&lt;&gt;"Yes",0,Calcs!DZ424)</f>
        <v>0</v>
      </c>
      <c r="AX152" s="7">
        <f>IF($BL152&lt;&gt;"Yes",0,Calcs!EA424)</f>
        <v>0</v>
      </c>
      <c r="AY152" s="7">
        <f>IF($BL152&lt;&gt;"Yes",0,Calcs!EB424)</f>
        <v>0</v>
      </c>
      <c r="AZ152" s="7">
        <f>IF($BL152&lt;&gt;"Yes",0,Calcs!EC424)</f>
        <v>0</v>
      </c>
      <c r="BA152" s="7">
        <f>IF($BL152&lt;&gt;"Yes",0,Calcs!ED424)</f>
        <v>0</v>
      </c>
      <c r="BB152" s="7">
        <f>IF($BL152&lt;&gt;"Yes",0,Calcs!EE424)</f>
        <v>0</v>
      </c>
      <c r="BC152" s="7">
        <f>IF($BL152&lt;&gt;"Yes",0,Calcs!EF424)</f>
        <v>0</v>
      </c>
      <c r="BD152" s="7">
        <f>IF($BL152&lt;&gt;"Yes",0,Calcs!EG424)</f>
        <v>0</v>
      </c>
      <c r="BE152" s="7">
        <f>IF($BL152&lt;&gt;"Yes",0,Calcs!EH424)</f>
        <v>0</v>
      </c>
      <c r="BF152" s="7">
        <f>IF($BL152&lt;&gt;"Yes",0,Calcs!EI424)</f>
        <v>0</v>
      </c>
      <c r="BG152" s="7">
        <f>IF($BL152&lt;&gt;"Yes",0,Calcs!EJ424)</f>
        <v>0</v>
      </c>
      <c r="BH152" s="7">
        <f>IF($BL152&lt;&gt;"Yes",0,Calcs!EK424)</f>
        <v>0</v>
      </c>
      <c r="BI152" s="7">
        <f>IF($BL152&lt;&gt;"Yes",0,Calcs!EL424)</f>
        <v>0</v>
      </c>
      <c r="BJ152" s="7">
        <f>IF($BL152&lt;&gt;"Yes",0,Calcs!EM424)</f>
        <v>0</v>
      </c>
    </row>
    <row r="153" spans="1:62" s="5" customFormat="1" ht="13" hidden="1" customHeight="1" x14ac:dyDescent="0.3">
      <c r="A153" s="6" t="str">
        <f>IF(AND(Calcs!CD425&lt;&gt;"",Calcs!CD425&lt;&gt;0),Calcs!CD425,"Operating Expense "&amp;Calcs!$BL153)</f>
        <v xml:space="preserve">Operating Expense </v>
      </c>
      <c r="B153" s="6" t="str">
        <f>IF(AND(Calcs!CE425&lt;&gt;"",Calcs!CE425&lt;&gt;0),Calcs!CE425,"Operating Expense "&amp;Calcs!Q425)</f>
        <v>Operating Expense 5</v>
      </c>
      <c r="C153" s="7">
        <f>IF($BL153&lt;&gt;"Yes",0,Calcs!CF425)</f>
        <v>0</v>
      </c>
      <c r="D153" s="7">
        <f>IF($BL153&lt;&gt;"Yes",0,Calcs!CG425)</f>
        <v>0</v>
      </c>
      <c r="E153" s="7">
        <f>IF($BL153&lt;&gt;"Yes",0,Calcs!CH425)</f>
        <v>0</v>
      </c>
      <c r="F153" s="7">
        <f>IF($BL153&lt;&gt;"Yes",0,Calcs!CI425)</f>
        <v>0</v>
      </c>
      <c r="G153" s="7">
        <f>IF($BL153&lt;&gt;"Yes",0,Calcs!CJ425)</f>
        <v>0</v>
      </c>
      <c r="H153" s="40"/>
      <c r="I153" s="7">
        <f>IF($BL153&lt;&gt;"Yes",0,Calcs!CL425)</f>
        <v>0</v>
      </c>
      <c r="J153" s="7">
        <f>IF($BL153&lt;&gt;"Yes",0,Calcs!CM425)</f>
        <v>0</v>
      </c>
      <c r="K153" s="7">
        <f>IF($BL153&lt;&gt;"Yes",0,Calcs!CN425)</f>
        <v>0</v>
      </c>
      <c r="L153" s="7">
        <f>IF($BL153&lt;&gt;"Yes",0,Calcs!CO425)</f>
        <v>0</v>
      </c>
      <c r="M153" s="7">
        <f>IF($BL153&lt;&gt;"Yes",0,Calcs!CP425)</f>
        <v>0</v>
      </c>
      <c r="N153" s="7">
        <f>IF($BL153&lt;&gt;"Yes",0,Calcs!CQ425)</f>
        <v>0</v>
      </c>
      <c r="O153" s="7">
        <f>IF($BL153&lt;&gt;"Yes",0,Calcs!CR425)</f>
        <v>0</v>
      </c>
      <c r="P153" s="7">
        <f>IF($BL153&lt;&gt;"Yes",0,Calcs!CS425)</f>
        <v>0</v>
      </c>
      <c r="Q153" s="7">
        <f>IF($BL153&lt;&gt;"Yes",0,Calcs!CT425)</f>
        <v>0</v>
      </c>
      <c r="R153" s="7">
        <f>IF($BL153&lt;&gt;"Yes",0,Calcs!CU425)</f>
        <v>0</v>
      </c>
      <c r="S153" s="7">
        <f>IF($BL153&lt;&gt;"Yes",0,Calcs!CV425)</f>
        <v>0</v>
      </c>
      <c r="T153" s="7">
        <f>IF($BL153&lt;&gt;"Yes",0,Calcs!CW425)</f>
        <v>0</v>
      </c>
      <c r="U153" s="7">
        <f>IF($BL153&lt;&gt;"Yes",0,Calcs!CX425)</f>
        <v>0</v>
      </c>
      <c r="V153" s="7">
        <f>IF($BL153&lt;&gt;"Yes",0,Calcs!CY425)</f>
        <v>0</v>
      </c>
      <c r="W153" s="7">
        <f>IF($BL153&lt;&gt;"Yes",0,Calcs!CZ425)</f>
        <v>0</v>
      </c>
      <c r="X153" s="7">
        <f>IF($BL153&lt;&gt;"Yes",0,Calcs!DA425)</f>
        <v>0</v>
      </c>
      <c r="Y153" s="7">
        <f>IF($BL153&lt;&gt;"Yes",0,Calcs!DB425)</f>
        <v>0</v>
      </c>
      <c r="Z153" s="7">
        <f>IF($BL153&lt;&gt;"Yes",0,Calcs!DC425)</f>
        <v>0</v>
      </c>
      <c r="AA153" s="7">
        <f>IF($BL153&lt;&gt;"Yes",0,Calcs!DD425)</f>
        <v>0</v>
      </c>
      <c r="AB153" s="7">
        <f>IF($BL153&lt;&gt;"Yes",0,Calcs!DE425)</f>
        <v>0</v>
      </c>
      <c r="AC153" s="7">
        <f>IF($BL153&lt;&gt;"Yes",0,Calcs!DF425)</f>
        <v>0</v>
      </c>
      <c r="AD153" s="7">
        <f>IF($BL153&lt;&gt;"Yes",0,Calcs!DG425)</f>
        <v>0</v>
      </c>
      <c r="AE153" s="7">
        <f>IF($BL153&lt;&gt;"Yes",0,Calcs!DH425)</f>
        <v>0</v>
      </c>
      <c r="AF153" s="7">
        <f>IF($BL153&lt;&gt;"Yes",0,Calcs!DI425)</f>
        <v>0</v>
      </c>
      <c r="AG153" s="7">
        <f>IF($BL153&lt;&gt;"Yes",0,Calcs!DJ425)</f>
        <v>0</v>
      </c>
      <c r="AH153" s="7">
        <f>IF($BL153&lt;&gt;"Yes",0,Calcs!DK425)</f>
        <v>0</v>
      </c>
      <c r="AI153" s="7">
        <f>IF($BL153&lt;&gt;"Yes",0,Calcs!DL425)</f>
        <v>0</v>
      </c>
      <c r="AJ153" s="7">
        <f>IF($BL153&lt;&gt;"Yes",0,Calcs!DM425)</f>
        <v>0</v>
      </c>
      <c r="AK153" s="7">
        <f>IF($BL153&lt;&gt;"Yes",0,Calcs!DN425)</f>
        <v>0</v>
      </c>
      <c r="AL153" s="7">
        <f>IF($BL153&lt;&gt;"Yes",0,Calcs!DO425)</f>
        <v>0</v>
      </c>
      <c r="AM153" s="7">
        <f>IF($BL153&lt;&gt;"Yes",0,Calcs!DP425)</f>
        <v>0</v>
      </c>
      <c r="AN153" s="7">
        <f>IF($BL153&lt;&gt;"Yes",0,Calcs!DQ425)</f>
        <v>0</v>
      </c>
      <c r="AO153" s="7">
        <f>IF($BL153&lt;&gt;"Yes",0,Calcs!DR425)</f>
        <v>0</v>
      </c>
      <c r="AP153" s="7">
        <f>IF($BL153&lt;&gt;"Yes",0,Calcs!DS425)</f>
        <v>0</v>
      </c>
      <c r="AQ153" s="7">
        <f>IF($BL153&lt;&gt;"Yes",0,Calcs!DT425)</f>
        <v>0</v>
      </c>
      <c r="AR153" s="7">
        <f>IF($BL153&lt;&gt;"Yes",0,Calcs!DU425)</f>
        <v>0</v>
      </c>
      <c r="AS153" s="7">
        <f>IF($BL153&lt;&gt;"Yes",0,Calcs!DV425)</f>
        <v>0</v>
      </c>
      <c r="AT153" s="7">
        <f>IF($BL153&lt;&gt;"Yes",0,Calcs!DW425)</f>
        <v>0</v>
      </c>
      <c r="AU153" s="7">
        <f>IF($BL153&lt;&gt;"Yes",0,Calcs!DX425)</f>
        <v>0</v>
      </c>
      <c r="AV153" s="7">
        <f>IF($BL153&lt;&gt;"Yes",0,Calcs!DY425)</f>
        <v>0</v>
      </c>
      <c r="AW153" s="7">
        <f>IF($BL153&lt;&gt;"Yes",0,Calcs!DZ425)</f>
        <v>0</v>
      </c>
      <c r="AX153" s="7">
        <f>IF($BL153&lt;&gt;"Yes",0,Calcs!EA425)</f>
        <v>0</v>
      </c>
      <c r="AY153" s="7">
        <f>IF($BL153&lt;&gt;"Yes",0,Calcs!EB425)</f>
        <v>0</v>
      </c>
      <c r="AZ153" s="7">
        <f>IF($BL153&lt;&gt;"Yes",0,Calcs!EC425)</f>
        <v>0</v>
      </c>
      <c r="BA153" s="7">
        <f>IF($BL153&lt;&gt;"Yes",0,Calcs!ED425)</f>
        <v>0</v>
      </c>
      <c r="BB153" s="7">
        <f>IF($BL153&lt;&gt;"Yes",0,Calcs!EE425)</f>
        <v>0</v>
      </c>
      <c r="BC153" s="7">
        <f>IF($BL153&lt;&gt;"Yes",0,Calcs!EF425)</f>
        <v>0</v>
      </c>
      <c r="BD153" s="7">
        <f>IF($BL153&lt;&gt;"Yes",0,Calcs!EG425)</f>
        <v>0</v>
      </c>
      <c r="BE153" s="7">
        <f>IF($BL153&lt;&gt;"Yes",0,Calcs!EH425)</f>
        <v>0</v>
      </c>
      <c r="BF153" s="7">
        <f>IF($BL153&lt;&gt;"Yes",0,Calcs!EI425)</f>
        <v>0</v>
      </c>
      <c r="BG153" s="7">
        <f>IF($BL153&lt;&gt;"Yes",0,Calcs!EJ425)</f>
        <v>0</v>
      </c>
      <c r="BH153" s="7">
        <f>IF($BL153&lt;&gt;"Yes",0,Calcs!EK425)</f>
        <v>0</v>
      </c>
      <c r="BI153" s="7">
        <f>IF($BL153&lt;&gt;"Yes",0,Calcs!EL425)</f>
        <v>0</v>
      </c>
      <c r="BJ153" s="7">
        <f>IF($BL153&lt;&gt;"Yes",0,Calcs!EM425)</f>
        <v>0</v>
      </c>
    </row>
    <row r="154" spans="1:62" s="5" customFormat="1" ht="13" hidden="1" customHeight="1" x14ac:dyDescent="0.3">
      <c r="A154" s="6" t="str">
        <f>IF(AND(Calcs!CD426&lt;&gt;"",Calcs!CD426&lt;&gt;0),Calcs!CD426,"Operating Expense "&amp;Calcs!$BL154)</f>
        <v xml:space="preserve">Operating Expense </v>
      </c>
      <c r="B154" s="6" t="str">
        <f>IF(AND(Calcs!CE426&lt;&gt;"",Calcs!CE426&lt;&gt;0),Calcs!CE426,"Operating Expense "&amp;Calcs!Q426)</f>
        <v>Operating Expense 6</v>
      </c>
      <c r="C154" s="7">
        <f>IF($BL154&lt;&gt;"Yes",0,Calcs!CF426)</f>
        <v>0</v>
      </c>
      <c r="D154" s="7">
        <f>IF($BL154&lt;&gt;"Yes",0,Calcs!CG426)</f>
        <v>0</v>
      </c>
      <c r="E154" s="7">
        <f>IF($BL154&lt;&gt;"Yes",0,Calcs!CH426)</f>
        <v>0</v>
      </c>
      <c r="F154" s="7">
        <f>IF($BL154&lt;&gt;"Yes",0,Calcs!CI426)</f>
        <v>0</v>
      </c>
      <c r="G154" s="7">
        <f>IF($BL154&lt;&gt;"Yes",0,Calcs!CJ426)</f>
        <v>0</v>
      </c>
      <c r="H154" s="40"/>
      <c r="I154" s="7">
        <f>IF($BL154&lt;&gt;"Yes",0,Calcs!CL426)</f>
        <v>0</v>
      </c>
      <c r="J154" s="7">
        <f>IF($BL154&lt;&gt;"Yes",0,Calcs!CM426)</f>
        <v>0</v>
      </c>
      <c r="K154" s="7">
        <f>IF($BL154&lt;&gt;"Yes",0,Calcs!CN426)</f>
        <v>0</v>
      </c>
      <c r="L154" s="7">
        <f>IF($BL154&lt;&gt;"Yes",0,Calcs!CO426)</f>
        <v>0</v>
      </c>
      <c r="M154" s="7">
        <f>IF($BL154&lt;&gt;"Yes",0,Calcs!CP426)</f>
        <v>0</v>
      </c>
      <c r="N154" s="7">
        <f>IF($BL154&lt;&gt;"Yes",0,Calcs!CQ426)</f>
        <v>0</v>
      </c>
      <c r="O154" s="7">
        <f>IF($BL154&lt;&gt;"Yes",0,Calcs!CR426)</f>
        <v>0</v>
      </c>
      <c r="P154" s="7">
        <f>IF($BL154&lt;&gt;"Yes",0,Calcs!CS426)</f>
        <v>0</v>
      </c>
      <c r="Q154" s="7">
        <f>IF($BL154&lt;&gt;"Yes",0,Calcs!CT426)</f>
        <v>0</v>
      </c>
      <c r="R154" s="7">
        <f>IF($BL154&lt;&gt;"Yes",0,Calcs!CU426)</f>
        <v>0</v>
      </c>
      <c r="S154" s="7">
        <f>IF($BL154&lt;&gt;"Yes",0,Calcs!CV426)</f>
        <v>0</v>
      </c>
      <c r="T154" s="7">
        <f>IF($BL154&lt;&gt;"Yes",0,Calcs!CW426)</f>
        <v>0</v>
      </c>
      <c r="U154" s="7">
        <f>IF($BL154&lt;&gt;"Yes",0,Calcs!CX426)</f>
        <v>0</v>
      </c>
      <c r="V154" s="7">
        <f>IF($BL154&lt;&gt;"Yes",0,Calcs!CY426)</f>
        <v>0</v>
      </c>
      <c r="W154" s="7">
        <f>IF($BL154&lt;&gt;"Yes",0,Calcs!CZ426)</f>
        <v>0</v>
      </c>
      <c r="X154" s="7">
        <f>IF($BL154&lt;&gt;"Yes",0,Calcs!DA426)</f>
        <v>0</v>
      </c>
      <c r="Y154" s="7">
        <f>IF($BL154&lt;&gt;"Yes",0,Calcs!DB426)</f>
        <v>0</v>
      </c>
      <c r="Z154" s="7">
        <f>IF($BL154&lt;&gt;"Yes",0,Calcs!DC426)</f>
        <v>0</v>
      </c>
      <c r="AA154" s="7">
        <f>IF($BL154&lt;&gt;"Yes",0,Calcs!DD426)</f>
        <v>0</v>
      </c>
      <c r="AB154" s="7">
        <f>IF($BL154&lt;&gt;"Yes",0,Calcs!DE426)</f>
        <v>0</v>
      </c>
      <c r="AC154" s="7">
        <f>IF($BL154&lt;&gt;"Yes",0,Calcs!DF426)</f>
        <v>0</v>
      </c>
      <c r="AD154" s="7">
        <f>IF($BL154&lt;&gt;"Yes",0,Calcs!DG426)</f>
        <v>0</v>
      </c>
      <c r="AE154" s="7">
        <f>IF($BL154&lt;&gt;"Yes",0,Calcs!DH426)</f>
        <v>0</v>
      </c>
      <c r="AF154" s="7">
        <f>IF($BL154&lt;&gt;"Yes",0,Calcs!DI426)</f>
        <v>0</v>
      </c>
      <c r="AG154" s="7">
        <f>IF($BL154&lt;&gt;"Yes",0,Calcs!DJ426)</f>
        <v>0</v>
      </c>
      <c r="AH154" s="7">
        <f>IF($BL154&lt;&gt;"Yes",0,Calcs!DK426)</f>
        <v>0</v>
      </c>
      <c r="AI154" s="7">
        <f>IF($BL154&lt;&gt;"Yes",0,Calcs!DL426)</f>
        <v>0</v>
      </c>
      <c r="AJ154" s="7">
        <f>IF($BL154&lt;&gt;"Yes",0,Calcs!DM426)</f>
        <v>0</v>
      </c>
      <c r="AK154" s="7">
        <f>IF($BL154&lt;&gt;"Yes",0,Calcs!DN426)</f>
        <v>0</v>
      </c>
      <c r="AL154" s="7">
        <f>IF($BL154&lt;&gt;"Yes",0,Calcs!DO426)</f>
        <v>0</v>
      </c>
      <c r="AM154" s="7">
        <f>IF($BL154&lt;&gt;"Yes",0,Calcs!DP426)</f>
        <v>0</v>
      </c>
      <c r="AN154" s="7">
        <f>IF($BL154&lt;&gt;"Yes",0,Calcs!DQ426)</f>
        <v>0</v>
      </c>
      <c r="AO154" s="7">
        <f>IF($BL154&lt;&gt;"Yes",0,Calcs!DR426)</f>
        <v>0</v>
      </c>
      <c r="AP154" s="7">
        <f>IF($BL154&lt;&gt;"Yes",0,Calcs!DS426)</f>
        <v>0</v>
      </c>
      <c r="AQ154" s="7">
        <f>IF($BL154&lt;&gt;"Yes",0,Calcs!DT426)</f>
        <v>0</v>
      </c>
      <c r="AR154" s="7">
        <f>IF($BL154&lt;&gt;"Yes",0,Calcs!DU426)</f>
        <v>0</v>
      </c>
      <c r="AS154" s="7">
        <f>IF($BL154&lt;&gt;"Yes",0,Calcs!DV426)</f>
        <v>0</v>
      </c>
      <c r="AT154" s="7">
        <f>IF($BL154&lt;&gt;"Yes",0,Calcs!DW426)</f>
        <v>0</v>
      </c>
      <c r="AU154" s="7">
        <f>IF($BL154&lt;&gt;"Yes",0,Calcs!DX426)</f>
        <v>0</v>
      </c>
      <c r="AV154" s="7">
        <f>IF($BL154&lt;&gt;"Yes",0,Calcs!DY426)</f>
        <v>0</v>
      </c>
      <c r="AW154" s="7">
        <f>IF($BL154&lt;&gt;"Yes",0,Calcs!DZ426)</f>
        <v>0</v>
      </c>
      <c r="AX154" s="7">
        <f>IF($BL154&lt;&gt;"Yes",0,Calcs!EA426)</f>
        <v>0</v>
      </c>
      <c r="AY154" s="7">
        <f>IF($BL154&lt;&gt;"Yes",0,Calcs!EB426)</f>
        <v>0</v>
      </c>
      <c r="AZ154" s="7">
        <f>IF($BL154&lt;&gt;"Yes",0,Calcs!EC426)</f>
        <v>0</v>
      </c>
      <c r="BA154" s="7">
        <f>IF($BL154&lt;&gt;"Yes",0,Calcs!ED426)</f>
        <v>0</v>
      </c>
      <c r="BB154" s="7">
        <f>IF($BL154&lt;&gt;"Yes",0,Calcs!EE426)</f>
        <v>0</v>
      </c>
      <c r="BC154" s="7">
        <f>IF($BL154&lt;&gt;"Yes",0,Calcs!EF426)</f>
        <v>0</v>
      </c>
      <c r="BD154" s="7">
        <f>IF($BL154&lt;&gt;"Yes",0,Calcs!EG426)</f>
        <v>0</v>
      </c>
      <c r="BE154" s="7">
        <f>IF($BL154&lt;&gt;"Yes",0,Calcs!EH426)</f>
        <v>0</v>
      </c>
      <c r="BF154" s="7">
        <f>IF($BL154&lt;&gt;"Yes",0,Calcs!EI426)</f>
        <v>0</v>
      </c>
      <c r="BG154" s="7">
        <f>IF($BL154&lt;&gt;"Yes",0,Calcs!EJ426)</f>
        <v>0</v>
      </c>
      <c r="BH154" s="7">
        <f>IF($BL154&lt;&gt;"Yes",0,Calcs!EK426)</f>
        <v>0</v>
      </c>
      <c r="BI154" s="7">
        <f>IF($BL154&lt;&gt;"Yes",0,Calcs!EL426)</f>
        <v>0</v>
      </c>
      <c r="BJ154" s="7">
        <f>IF($BL154&lt;&gt;"Yes",0,Calcs!EM426)</f>
        <v>0</v>
      </c>
    </row>
    <row r="155" spans="1:62" s="5" customFormat="1" ht="13" hidden="1" customHeight="1" x14ac:dyDescent="0.3">
      <c r="A155" s="6" t="str">
        <f>IF(AND(Calcs!CD427&lt;&gt;"",Calcs!CD427&lt;&gt;0),Calcs!CD427,"Operating Expense "&amp;Calcs!$BL155)</f>
        <v xml:space="preserve">Operating Expense </v>
      </c>
      <c r="B155" s="6" t="str">
        <f>IF(AND(Calcs!CE427&lt;&gt;"",Calcs!CE427&lt;&gt;0),Calcs!CE427,"Operating Expense "&amp;Calcs!Q427)</f>
        <v>Operating Expense 7</v>
      </c>
      <c r="C155" s="7">
        <f>IF($BL155&lt;&gt;"Yes",0,Calcs!CF427)</f>
        <v>0</v>
      </c>
      <c r="D155" s="7">
        <f>IF($BL155&lt;&gt;"Yes",0,Calcs!CG427)</f>
        <v>0</v>
      </c>
      <c r="E155" s="7">
        <f>IF($BL155&lt;&gt;"Yes",0,Calcs!CH427)</f>
        <v>0</v>
      </c>
      <c r="F155" s="7">
        <f>IF($BL155&lt;&gt;"Yes",0,Calcs!CI427)</f>
        <v>0</v>
      </c>
      <c r="G155" s="7">
        <f>IF($BL155&lt;&gt;"Yes",0,Calcs!CJ427)</f>
        <v>0</v>
      </c>
      <c r="H155" s="40"/>
      <c r="I155" s="7">
        <f>IF($BL155&lt;&gt;"Yes",0,Calcs!CL427)</f>
        <v>0</v>
      </c>
      <c r="J155" s="7">
        <f>IF($BL155&lt;&gt;"Yes",0,Calcs!CM427)</f>
        <v>0</v>
      </c>
      <c r="K155" s="7">
        <f>IF($BL155&lt;&gt;"Yes",0,Calcs!CN427)</f>
        <v>0</v>
      </c>
      <c r="L155" s="7">
        <f>IF($BL155&lt;&gt;"Yes",0,Calcs!CO427)</f>
        <v>0</v>
      </c>
      <c r="M155" s="7">
        <f>IF($BL155&lt;&gt;"Yes",0,Calcs!CP427)</f>
        <v>0</v>
      </c>
      <c r="N155" s="7">
        <f>IF($BL155&lt;&gt;"Yes",0,Calcs!CQ427)</f>
        <v>0</v>
      </c>
      <c r="O155" s="7">
        <f>IF($BL155&lt;&gt;"Yes",0,Calcs!CR427)</f>
        <v>0</v>
      </c>
      <c r="P155" s="7">
        <f>IF($BL155&lt;&gt;"Yes",0,Calcs!CS427)</f>
        <v>0</v>
      </c>
      <c r="Q155" s="7">
        <f>IF($BL155&lt;&gt;"Yes",0,Calcs!CT427)</f>
        <v>0</v>
      </c>
      <c r="R155" s="7">
        <f>IF($BL155&lt;&gt;"Yes",0,Calcs!CU427)</f>
        <v>0</v>
      </c>
      <c r="S155" s="7">
        <f>IF($BL155&lt;&gt;"Yes",0,Calcs!CV427)</f>
        <v>0</v>
      </c>
      <c r="T155" s="7">
        <f>IF($BL155&lt;&gt;"Yes",0,Calcs!CW427)</f>
        <v>0</v>
      </c>
      <c r="U155" s="7">
        <f>IF($BL155&lt;&gt;"Yes",0,Calcs!CX427)</f>
        <v>0</v>
      </c>
      <c r="V155" s="7">
        <f>IF($BL155&lt;&gt;"Yes",0,Calcs!CY427)</f>
        <v>0</v>
      </c>
      <c r="W155" s="7">
        <f>IF($BL155&lt;&gt;"Yes",0,Calcs!CZ427)</f>
        <v>0</v>
      </c>
      <c r="X155" s="7">
        <f>IF($BL155&lt;&gt;"Yes",0,Calcs!DA427)</f>
        <v>0</v>
      </c>
      <c r="Y155" s="7">
        <f>IF($BL155&lt;&gt;"Yes",0,Calcs!DB427)</f>
        <v>0</v>
      </c>
      <c r="Z155" s="7">
        <f>IF($BL155&lt;&gt;"Yes",0,Calcs!DC427)</f>
        <v>0</v>
      </c>
      <c r="AA155" s="7">
        <f>IF($BL155&lt;&gt;"Yes",0,Calcs!DD427)</f>
        <v>0</v>
      </c>
      <c r="AB155" s="7">
        <f>IF($BL155&lt;&gt;"Yes",0,Calcs!DE427)</f>
        <v>0</v>
      </c>
      <c r="AC155" s="7">
        <f>IF($BL155&lt;&gt;"Yes",0,Calcs!DF427)</f>
        <v>0</v>
      </c>
      <c r="AD155" s="7">
        <f>IF($BL155&lt;&gt;"Yes",0,Calcs!DG427)</f>
        <v>0</v>
      </c>
      <c r="AE155" s="7">
        <f>IF($BL155&lt;&gt;"Yes",0,Calcs!DH427)</f>
        <v>0</v>
      </c>
      <c r="AF155" s="7">
        <f>IF($BL155&lt;&gt;"Yes",0,Calcs!DI427)</f>
        <v>0</v>
      </c>
      <c r="AG155" s="7">
        <f>IF($BL155&lt;&gt;"Yes",0,Calcs!DJ427)</f>
        <v>0</v>
      </c>
      <c r="AH155" s="7">
        <f>IF($BL155&lt;&gt;"Yes",0,Calcs!DK427)</f>
        <v>0</v>
      </c>
      <c r="AI155" s="7">
        <f>IF($BL155&lt;&gt;"Yes",0,Calcs!DL427)</f>
        <v>0</v>
      </c>
      <c r="AJ155" s="7">
        <f>IF($BL155&lt;&gt;"Yes",0,Calcs!DM427)</f>
        <v>0</v>
      </c>
      <c r="AK155" s="7">
        <f>IF($BL155&lt;&gt;"Yes",0,Calcs!DN427)</f>
        <v>0</v>
      </c>
      <c r="AL155" s="7">
        <f>IF($BL155&lt;&gt;"Yes",0,Calcs!DO427)</f>
        <v>0</v>
      </c>
      <c r="AM155" s="7">
        <f>IF($BL155&lt;&gt;"Yes",0,Calcs!DP427)</f>
        <v>0</v>
      </c>
      <c r="AN155" s="7">
        <f>IF($BL155&lt;&gt;"Yes",0,Calcs!DQ427)</f>
        <v>0</v>
      </c>
      <c r="AO155" s="7">
        <f>IF($BL155&lt;&gt;"Yes",0,Calcs!DR427)</f>
        <v>0</v>
      </c>
      <c r="AP155" s="7">
        <f>IF($BL155&lt;&gt;"Yes",0,Calcs!DS427)</f>
        <v>0</v>
      </c>
      <c r="AQ155" s="7">
        <f>IF($BL155&lt;&gt;"Yes",0,Calcs!DT427)</f>
        <v>0</v>
      </c>
      <c r="AR155" s="7">
        <f>IF($BL155&lt;&gt;"Yes",0,Calcs!DU427)</f>
        <v>0</v>
      </c>
      <c r="AS155" s="7">
        <f>IF($BL155&lt;&gt;"Yes",0,Calcs!DV427)</f>
        <v>0</v>
      </c>
      <c r="AT155" s="7">
        <f>IF($BL155&lt;&gt;"Yes",0,Calcs!DW427)</f>
        <v>0</v>
      </c>
      <c r="AU155" s="7">
        <f>IF($BL155&lt;&gt;"Yes",0,Calcs!DX427)</f>
        <v>0</v>
      </c>
      <c r="AV155" s="7">
        <f>IF($BL155&lt;&gt;"Yes",0,Calcs!DY427)</f>
        <v>0</v>
      </c>
      <c r="AW155" s="7">
        <f>IF($BL155&lt;&gt;"Yes",0,Calcs!DZ427)</f>
        <v>0</v>
      </c>
      <c r="AX155" s="7">
        <f>IF($BL155&lt;&gt;"Yes",0,Calcs!EA427)</f>
        <v>0</v>
      </c>
      <c r="AY155" s="7">
        <f>IF($BL155&lt;&gt;"Yes",0,Calcs!EB427)</f>
        <v>0</v>
      </c>
      <c r="AZ155" s="7">
        <f>IF($BL155&lt;&gt;"Yes",0,Calcs!EC427)</f>
        <v>0</v>
      </c>
      <c r="BA155" s="7">
        <f>IF($BL155&lt;&gt;"Yes",0,Calcs!ED427)</f>
        <v>0</v>
      </c>
      <c r="BB155" s="7">
        <f>IF($BL155&lt;&gt;"Yes",0,Calcs!EE427)</f>
        <v>0</v>
      </c>
      <c r="BC155" s="7">
        <f>IF($BL155&lt;&gt;"Yes",0,Calcs!EF427)</f>
        <v>0</v>
      </c>
      <c r="BD155" s="7">
        <f>IF($BL155&lt;&gt;"Yes",0,Calcs!EG427)</f>
        <v>0</v>
      </c>
      <c r="BE155" s="7">
        <f>IF($BL155&lt;&gt;"Yes",0,Calcs!EH427)</f>
        <v>0</v>
      </c>
      <c r="BF155" s="7">
        <f>IF($BL155&lt;&gt;"Yes",0,Calcs!EI427)</f>
        <v>0</v>
      </c>
      <c r="BG155" s="7">
        <f>IF($BL155&lt;&gt;"Yes",0,Calcs!EJ427)</f>
        <v>0</v>
      </c>
      <c r="BH155" s="7">
        <f>IF($BL155&lt;&gt;"Yes",0,Calcs!EK427)</f>
        <v>0</v>
      </c>
      <c r="BI155" s="7">
        <f>IF($BL155&lt;&gt;"Yes",0,Calcs!EL427)</f>
        <v>0</v>
      </c>
      <c r="BJ155" s="7">
        <f>IF($BL155&lt;&gt;"Yes",0,Calcs!EM427)</f>
        <v>0</v>
      </c>
    </row>
    <row r="156" spans="1:62" s="5" customFormat="1" ht="13" hidden="1" customHeight="1" x14ac:dyDescent="0.3">
      <c r="A156" s="6" t="str">
        <f>IF(AND(Calcs!CD428&lt;&gt;"",Calcs!CD428&lt;&gt;0),Calcs!CD428,"Operating Expense "&amp;Calcs!$BL156)</f>
        <v xml:space="preserve">Operating Expense </v>
      </c>
      <c r="B156" s="6" t="str">
        <f>IF(AND(Calcs!CE428&lt;&gt;"",Calcs!CE428&lt;&gt;0),Calcs!CE428,"Operating Expense "&amp;Calcs!Q428)</f>
        <v>Operating Expense 8</v>
      </c>
      <c r="C156" s="7">
        <f>IF($BL156&lt;&gt;"Yes",0,Calcs!CF428)</f>
        <v>0</v>
      </c>
      <c r="D156" s="7">
        <f>IF($BL156&lt;&gt;"Yes",0,Calcs!CG428)</f>
        <v>0</v>
      </c>
      <c r="E156" s="7">
        <f>IF($BL156&lt;&gt;"Yes",0,Calcs!CH428)</f>
        <v>0</v>
      </c>
      <c r="F156" s="7">
        <f>IF($BL156&lt;&gt;"Yes",0,Calcs!CI428)</f>
        <v>0</v>
      </c>
      <c r="G156" s="7">
        <f>IF($BL156&lt;&gt;"Yes",0,Calcs!CJ428)</f>
        <v>0</v>
      </c>
      <c r="H156" s="40"/>
      <c r="I156" s="7">
        <f>IF($BL156&lt;&gt;"Yes",0,Calcs!CL428)</f>
        <v>0</v>
      </c>
      <c r="J156" s="7">
        <f>IF($BL156&lt;&gt;"Yes",0,Calcs!CM428)</f>
        <v>0</v>
      </c>
      <c r="K156" s="7">
        <f>IF($BL156&lt;&gt;"Yes",0,Calcs!CN428)</f>
        <v>0</v>
      </c>
      <c r="L156" s="7">
        <f>IF($BL156&lt;&gt;"Yes",0,Calcs!CO428)</f>
        <v>0</v>
      </c>
      <c r="M156" s="7">
        <f>IF($BL156&lt;&gt;"Yes",0,Calcs!CP428)</f>
        <v>0</v>
      </c>
      <c r="N156" s="7">
        <f>IF($BL156&lt;&gt;"Yes",0,Calcs!CQ428)</f>
        <v>0</v>
      </c>
      <c r="O156" s="7">
        <f>IF($BL156&lt;&gt;"Yes",0,Calcs!CR428)</f>
        <v>0</v>
      </c>
      <c r="P156" s="7">
        <f>IF($BL156&lt;&gt;"Yes",0,Calcs!CS428)</f>
        <v>0</v>
      </c>
      <c r="Q156" s="7">
        <f>IF($BL156&lt;&gt;"Yes",0,Calcs!CT428)</f>
        <v>0</v>
      </c>
      <c r="R156" s="7">
        <f>IF($BL156&lt;&gt;"Yes",0,Calcs!CU428)</f>
        <v>0</v>
      </c>
      <c r="S156" s="7">
        <f>IF($BL156&lt;&gt;"Yes",0,Calcs!CV428)</f>
        <v>0</v>
      </c>
      <c r="T156" s="7">
        <f>IF($BL156&lt;&gt;"Yes",0,Calcs!CW428)</f>
        <v>0</v>
      </c>
      <c r="U156" s="7">
        <f>IF($BL156&lt;&gt;"Yes",0,Calcs!CX428)</f>
        <v>0</v>
      </c>
      <c r="V156" s="7">
        <f>IF($BL156&lt;&gt;"Yes",0,Calcs!CY428)</f>
        <v>0</v>
      </c>
      <c r="W156" s="7">
        <f>IF($BL156&lt;&gt;"Yes",0,Calcs!CZ428)</f>
        <v>0</v>
      </c>
      <c r="X156" s="7">
        <f>IF($BL156&lt;&gt;"Yes",0,Calcs!DA428)</f>
        <v>0</v>
      </c>
      <c r="Y156" s="7">
        <f>IF($BL156&lt;&gt;"Yes",0,Calcs!DB428)</f>
        <v>0</v>
      </c>
      <c r="Z156" s="7">
        <f>IF($BL156&lt;&gt;"Yes",0,Calcs!DC428)</f>
        <v>0</v>
      </c>
      <c r="AA156" s="7">
        <f>IF($BL156&lt;&gt;"Yes",0,Calcs!DD428)</f>
        <v>0</v>
      </c>
      <c r="AB156" s="7">
        <f>IF($BL156&lt;&gt;"Yes",0,Calcs!DE428)</f>
        <v>0</v>
      </c>
      <c r="AC156" s="7">
        <f>IF($BL156&lt;&gt;"Yes",0,Calcs!DF428)</f>
        <v>0</v>
      </c>
      <c r="AD156" s="7">
        <f>IF($BL156&lt;&gt;"Yes",0,Calcs!DG428)</f>
        <v>0</v>
      </c>
      <c r="AE156" s="7">
        <f>IF($BL156&lt;&gt;"Yes",0,Calcs!DH428)</f>
        <v>0</v>
      </c>
      <c r="AF156" s="7">
        <f>IF($BL156&lt;&gt;"Yes",0,Calcs!DI428)</f>
        <v>0</v>
      </c>
      <c r="AG156" s="7">
        <f>IF($BL156&lt;&gt;"Yes",0,Calcs!DJ428)</f>
        <v>0</v>
      </c>
      <c r="AH156" s="7">
        <f>IF($BL156&lt;&gt;"Yes",0,Calcs!DK428)</f>
        <v>0</v>
      </c>
      <c r="AI156" s="7">
        <f>IF($BL156&lt;&gt;"Yes",0,Calcs!DL428)</f>
        <v>0</v>
      </c>
      <c r="AJ156" s="7">
        <f>IF($BL156&lt;&gt;"Yes",0,Calcs!DM428)</f>
        <v>0</v>
      </c>
      <c r="AK156" s="7">
        <f>IF($BL156&lt;&gt;"Yes",0,Calcs!DN428)</f>
        <v>0</v>
      </c>
      <c r="AL156" s="7">
        <f>IF($BL156&lt;&gt;"Yes",0,Calcs!DO428)</f>
        <v>0</v>
      </c>
      <c r="AM156" s="7">
        <f>IF($BL156&lt;&gt;"Yes",0,Calcs!DP428)</f>
        <v>0</v>
      </c>
      <c r="AN156" s="7">
        <f>IF($BL156&lt;&gt;"Yes",0,Calcs!DQ428)</f>
        <v>0</v>
      </c>
      <c r="AO156" s="7">
        <f>IF($BL156&lt;&gt;"Yes",0,Calcs!DR428)</f>
        <v>0</v>
      </c>
      <c r="AP156" s="7">
        <f>IF($BL156&lt;&gt;"Yes",0,Calcs!DS428)</f>
        <v>0</v>
      </c>
      <c r="AQ156" s="7">
        <f>IF($BL156&lt;&gt;"Yes",0,Calcs!DT428)</f>
        <v>0</v>
      </c>
      <c r="AR156" s="7">
        <f>IF($BL156&lt;&gt;"Yes",0,Calcs!DU428)</f>
        <v>0</v>
      </c>
      <c r="AS156" s="7">
        <f>IF($BL156&lt;&gt;"Yes",0,Calcs!DV428)</f>
        <v>0</v>
      </c>
      <c r="AT156" s="7">
        <f>IF($BL156&lt;&gt;"Yes",0,Calcs!DW428)</f>
        <v>0</v>
      </c>
      <c r="AU156" s="7">
        <f>IF($BL156&lt;&gt;"Yes",0,Calcs!DX428)</f>
        <v>0</v>
      </c>
      <c r="AV156" s="7">
        <f>IF($BL156&lt;&gt;"Yes",0,Calcs!DY428)</f>
        <v>0</v>
      </c>
      <c r="AW156" s="7">
        <f>IF($BL156&lt;&gt;"Yes",0,Calcs!DZ428)</f>
        <v>0</v>
      </c>
      <c r="AX156" s="7">
        <f>IF($BL156&lt;&gt;"Yes",0,Calcs!EA428)</f>
        <v>0</v>
      </c>
      <c r="AY156" s="7">
        <f>IF($BL156&lt;&gt;"Yes",0,Calcs!EB428)</f>
        <v>0</v>
      </c>
      <c r="AZ156" s="7">
        <f>IF($BL156&lt;&gt;"Yes",0,Calcs!EC428)</f>
        <v>0</v>
      </c>
      <c r="BA156" s="7">
        <f>IF($BL156&lt;&gt;"Yes",0,Calcs!ED428)</f>
        <v>0</v>
      </c>
      <c r="BB156" s="7">
        <f>IF($BL156&lt;&gt;"Yes",0,Calcs!EE428)</f>
        <v>0</v>
      </c>
      <c r="BC156" s="7">
        <f>IF($BL156&lt;&gt;"Yes",0,Calcs!EF428)</f>
        <v>0</v>
      </c>
      <c r="BD156" s="7">
        <f>IF($BL156&lt;&gt;"Yes",0,Calcs!EG428)</f>
        <v>0</v>
      </c>
      <c r="BE156" s="7">
        <f>IF($BL156&lt;&gt;"Yes",0,Calcs!EH428)</f>
        <v>0</v>
      </c>
      <c r="BF156" s="7">
        <f>IF($BL156&lt;&gt;"Yes",0,Calcs!EI428)</f>
        <v>0</v>
      </c>
      <c r="BG156" s="7">
        <f>IF($BL156&lt;&gt;"Yes",0,Calcs!EJ428)</f>
        <v>0</v>
      </c>
      <c r="BH156" s="7">
        <f>IF($BL156&lt;&gt;"Yes",0,Calcs!EK428)</f>
        <v>0</v>
      </c>
      <c r="BI156" s="7">
        <f>IF($BL156&lt;&gt;"Yes",0,Calcs!EL428)</f>
        <v>0</v>
      </c>
      <c r="BJ156" s="7">
        <f>IF($BL156&lt;&gt;"Yes",0,Calcs!EM428)</f>
        <v>0</v>
      </c>
    </row>
    <row r="157" spans="1:62" s="5" customFormat="1" ht="13" hidden="1" customHeight="1" x14ac:dyDescent="0.3">
      <c r="A157" s="6" t="str">
        <f>IF(AND(Calcs!CD429&lt;&gt;"",Calcs!CD429&lt;&gt;0),Calcs!CD429,"Operating Expense "&amp;Calcs!$BL157)</f>
        <v xml:space="preserve">Operating Expense </v>
      </c>
      <c r="B157" s="6" t="str">
        <f>IF(AND(Calcs!CE429&lt;&gt;"",Calcs!CE429&lt;&gt;0),Calcs!CE429,"Operating Expense "&amp;Calcs!Q429)</f>
        <v>Operating Expense 9</v>
      </c>
      <c r="C157" s="7">
        <f>IF($BL157&lt;&gt;"Yes",0,Calcs!CF429)</f>
        <v>0</v>
      </c>
      <c r="D157" s="7">
        <f>IF($BL157&lt;&gt;"Yes",0,Calcs!CG429)</f>
        <v>0</v>
      </c>
      <c r="E157" s="7">
        <f>IF($BL157&lt;&gt;"Yes",0,Calcs!CH429)</f>
        <v>0</v>
      </c>
      <c r="F157" s="7">
        <f>IF($BL157&lt;&gt;"Yes",0,Calcs!CI429)</f>
        <v>0</v>
      </c>
      <c r="G157" s="7">
        <f>IF($BL157&lt;&gt;"Yes",0,Calcs!CJ429)</f>
        <v>0</v>
      </c>
      <c r="H157" s="40"/>
      <c r="I157" s="7">
        <f>IF($BL157&lt;&gt;"Yes",0,Calcs!CL429)</f>
        <v>0</v>
      </c>
      <c r="J157" s="7">
        <f>IF($BL157&lt;&gt;"Yes",0,Calcs!CM429)</f>
        <v>0</v>
      </c>
      <c r="K157" s="7">
        <f>IF($BL157&lt;&gt;"Yes",0,Calcs!CN429)</f>
        <v>0</v>
      </c>
      <c r="L157" s="7">
        <f>IF($BL157&lt;&gt;"Yes",0,Calcs!CO429)</f>
        <v>0</v>
      </c>
      <c r="M157" s="7">
        <f>IF($BL157&lt;&gt;"Yes",0,Calcs!CP429)</f>
        <v>0</v>
      </c>
      <c r="N157" s="7">
        <f>IF($BL157&lt;&gt;"Yes",0,Calcs!CQ429)</f>
        <v>0</v>
      </c>
      <c r="O157" s="7">
        <f>IF($BL157&lt;&gt;"Yes",0,Calcs!CR429)</f>
        <v>0</v>
      </c>
      <c r="P157" s="7">
        <f>IF($BL157&lt;&gt;"Yes",0,Calcs!CS429)</f>
        <v>0</v>
      </c>
      <c r="Q157" s="7">
        <f>IF($BL157&lt;&gt;"Yes",0,Calcs!CT429)</f>
        <v>0</v>
      </c>
      <c r="R157" s="7">
        <f>IF($BL157&lt;&gt;"Yes",0,Calcs!CU429)</f>
        <v>0</v>
      </c>
      <c r="S157" s="7">
        <f>IF($BL157&lt;&gt;"Yes",0,Calcs!CV429)</f>
        <v>0</v>
      </c>
      <c r="T157" s="7">
        <f>IF($BL157&lt;&gt;"Yes",0,Calcs!CW429)</f>
        <v>0</v>
      </c>
      <c r="U157" s="7">
        <f>IF($BL157&lt;&gt;"Yes",0,Calcs!CX429)</f>
        <v>0</v>
      </c>
      <c r="V157" s="7">
        <f>IF($BL157&lt;&gt;"Yes",0,Calcs!CY429)</f>
        <v>0</v>
      </c>
      <c r="W157" s="7">
        <f>IF($BL157&lt;&gt;"Yes",0,Calcs!CZ429)</f>
        <v>0</v>
      </c>
      <c r="X157" s="7">
        <f>IF($BL157&lt;&gt;"Yes",0,Calcs!DA429)</f>
        <v>0</v>
      </c>
      <c r="Y157" s="7">
        <f>IF($BL157&lt;&gt;"Yes",0,Calcs!DB429)</f>
        <v>0</v>
      </c>
      <c r="Z157" s="7">
        <f>IF($BL157&lt;&gt;"Yes",0,Calcs!DC429)</f>
        <v>0</v>
      </c>
      <c r="AA157" s="7">
        <f>IF($BL157&lt;&gt;"Yes",0,Calcs!DD429)</f>
        <v>0</v>
      </c>
      <c r="AB157" s="7">
        <f>IF($BL157&lt;&gt;"Yes",0,Calcs!DE429)</f>
        <v>0</v>
      </c>
      <c r="AC157" s="7">
        <f>IF($BL157&lt;&gt;"Yes",0,Calcs!DF429)</f>
        <v>0</v>
      </c>
      <c r="AD157" s="7">
        <f>IF($BL157&lt;&gt;"Yes",0,Calcs!DG429)</f>
        <v>0</v>
      </c>
      <c r="AE157" s="7">
        <f>IF($BL157&lt;&gt;"Yes",0,Calcs!DH429)</f>
        <v>0</v>
      </c>
      <c r="AF157" s="7">
        <f>IF($BL157&lt;&gt;"Yes",0,Calcs!DI429)</f>
        <v>0</v>
      </c>
      <c r="AG157" s="7">
        <f>IF($BL157&lt;&gt;"Yes",0,Calcs!DJ429)</f>
        <v>0</v>
      </c>
      <c r="AH157" s="7">
        <f>IF($BL157&lt;&gt;"Yes",0,Calcs!DK429)</f>
        <v>0</v>
      </c>
      <c r="AI157" s="7">
        <f>IF($BL157&lt;&gt;"Yes",0,Calcs!DL429)</f>
        <v>0</v>
      </c>
      <c r="AJ157" s="7">
        <f>IF($BL157&lt;&gt;"Yes",0,Calcs!DM429)</f>
        <v>0</v>
      </c>
      <c r="AK157" s="7">
        <f>IF($BL157&lt;&gt;"Yes",0,Calcs!DN429)</f>
        <v>0</v>
      </c>
      <c r="AL157" s="7">
        <f>IF($BL157&lt;&gt;"Yes",0,Calcs!DO429)</f>
        <v>0</v>
      </c>
      <c r="AM157" s="7">
        <f>IF($BL157&lt;&gt;"Yes",0,Calcs!DP429)</f>
        <v>0</v>
      </c>
      <c r="AN157" s="7">
        <f>IF($BL157&lt;&gt;"Yes",0,Calcs!DQ429)</f>
        <v>0</v>
      </c>
      <c r="AO157" s="7">
        <f>IF($BL157&lt;&gt;"Yes",0,Calcs!DR429)</f>
        <v>0</v>
      </c>
      <c r="AP157" s="7">
        <f>IF($BL157&lt;&gt;"Yes",0,Calcs!DS429)</f>
        <v>0</v>
      </c>
      <c r="AQ157" s="7">
        <f>IF($BL157&lt;&gt;"Yes",0,Calcs!DT429)</f>
        <v>0</v>
      </c>
      <c r="AR157" s="7">
        <f>IF($BL157&lt;&gt;"Yes",0,Calcs!DU429)</f>
        <v>0</v>
      </c>
      <c r="AS157" s="7">
        <f>IF($BL157&lt;&gt;"Yes",0,Calcs!DV429)</f>
        <v>0</v>
      </c>
      <c r="AT157" s="7">
        <f>IF($BL157&lt;&gt;"Yes",0,Calcs!DW429)</f>
        <v>0</v>
      </c>
      <c r="AU157" s="7">
        <f>IF($BL157&lt;&gt;"Yes",0,Calcs!DX429)</f>
        <v>0</v>
      </c>
      <c r="AV157" s="7">
        <f>IF($BL157&lt;&gt;"Yes",0,Calcs!DY429)</f>
        <v>0</v>
      </c>
      <c r="AW157" s="7">
        <f>IF($BL157&lt;&gt;"Yes",0,Calcs!DZ429)</f>
        <v>0</v>
      </c>
      <c r="AX157" s="7">
        <f>IF($BL157&lt;&gt;"Yes",0,Calcs!EA429)</f>
        <v>0</v>
      </c>
      <c r="AY157" s="7">
        <f>IF($BL157&lt;&gt;"Yes",0,Calcs!EB429)</f>
        <v>0</v>
      </c>
      <c r="AZ157" s="7">
        <f>IF($BL157&lt;&gt;"Yes",0,Calcs!EC429)</f>
        <v>0</v>
      </c>
      <c r="BA157" s="7">
        <f>IF($BL157&lt;&gt;"Yes",0,Calcs!ED429)</f>
        <v>0</v>
      </c>
      <c r="BB157" s="7">
        <f>IF($BL157&lt;&gt;"Yes",0,Calcs!EE429)</f>
        <v>0</v>
      </c>
      <c r="BC157" s="7">
        <f>IF($BL157&lt;&gt;"Yes",0,Calcs!EF429)</f>
        <v>0</v>
      </c>
      <c r="BD157" s="7">
        <f>IF($BL157&lt;&gt;"Yes",0,Calcs!EG429)</f>
        <v>0</v>
      </c>
      <c r="BE157" s="7">
        <f>IF($BL157&lt;&gt;"Yes",0,Calcs!EH429)</f>
        <v>0</v>
      </c>
      <c r="BF157" s="7">
        <f>IF($BL157&lt;&gt;"Yes",0,Calcs!EI429)</f>
        <v>0</v>
      </c>
      <c r="BG157" s="7">
        <f>IF($BL157&lt;&gt;"Yes",0,Calcs!EJ429)</f>
        <v>0</v>
      </c>
      <c r="BH157" s="7">
        <f>IF($BL157&lt;&gt;"Yes",0,Calcs!EK429)</f>
        <v>0</v>
      </c>
      <c r="BI157" s="7">
        <f>IF($BL157&lt;&gt;"Yes",0,Calcs!EL429)</f>
        <v>0</v>
      </c>
      <c r="BJ157" s="7">
        <f>IF($BL157&lt;&gt;"Yes",0,Calcs!EM429)</f>
        <v>0</v>
      </c>
    </row>
    <row r="158" spans="1:62" s="5" customFormat="1" ht="13" hidden="1" customHeight="1" x14ac:dyDescent="0.3">
      <c r="A158" s="6" t="str">
        <f>IF(AND(Calcs!CD430&lt;&gt;"",Calcs!CD430&lt;&gt;0),Calcs!CD430,"Operating Expense "&amp;Calcs!$BL158)</f>
        <v xml:space="preserve">Operating Expense </v>
      </c>
      <c r="B158" s="6" t="str">
        <f>IF(AND(Calcs!CE430&lt;&gt;"",Calcs!CE430&lt;&gt;0),Calcs!CE430,"Operating Expense "&amp;Calcs!Q430)</f>
        <v>Operating Expense 10</v>
      </c>
      <c r="C158" s="7">
        <f>IF($BL158&lt;&gt;"Yes",0,Calcs!CF430)</f>
        <v>0</v>
      </c>
      <c r="D158" s="7">
        <f>IF($BL158&lt;&gt;"Yes",0,Calcs!CG430)</f>
        <v>0</v>
      </c>
      <c r="E158" s="7">
        <f>IF($BL158&lt;&gt;"Yes",0,Calcs!CH430)</f>
        <v>0</v>
      </c>
      <c r="F158" s="7">
        <f>IF($BL158&lt;&gt;"Yes",0,Calcs!CI430)</f>
        <v>0</v>
      </c>
      <c r="G158" s="7">
        <f>IF($BL158&lt;&gt;"Yes",0,Calcs!CJ430)</f>
        <v>0</v>
      </c>
      <c r="H158" s="40"/>
      <c r="I158" s="7">
        <f>IF($BL158&lt;&gt;"Yes",0,Calcs!CL430)</f>
        <v>0</v>
      </c>
      <c r="J158" s="7">
        <f>IF($BL158&lt;&gt;"Yes",0,Calcs!CM430)</f>
        <v>0</v>
      </c>
      <c r="K158" s="7">
        <f>IF($BL158&lt;&gt;"Yes",0,Calcs!CN430)</f>
        <v>0</v>
      </c>
      <c r="L158" s="7">
        <f>IF($BL158&lt;&gt;"Yes",0,Calcs!CO430)</f>
        <v>0</v>
      </c>
      <c r="M158" s="7">
        <f>IF($BL158&lt;&gt;"Yes",0,Calcs!CP430)</f>
        <v>0</v>
      </c>
      <c r="N158" s="7">
        <f>IF($BL158&lt;&gt;"Yes",0,Calcs!CQ430)</f>
        <v>0</v>
      </c>
      <c r="O158" s="7">
        <f>IF($BL158&lt;&gt;"Yes",0,Calcs!CR430)</f>
        <v>0</v>
      </c>
      <c r="P158" s="7">
        <f>IF($BL158&lt;&gt;"Yes",0,Calcs!CS430)</f>
        <v>0</v>
      </c>
      <c r="Q158" s="7">
        <f>IF($BL158&lt;&gt;"Yes",0,Calcs!CT430)</f>
        <v>0</v>
      </c>
      <c r="R158" s="7">
        <f>IF($BL158&lt;&gt;"Yes",0,Calcs!CU430)</f>
        <v>0</v>
      </c>
      <c r="S158" s="7">
        <f>IF($BL158&lt;&gt;"Yes",0,Calcs!CV430)</f>
        <v>0</v>
      </c>
      <c r="T158" s="7">
        <f>IF($BL158&lt;&gt;"Yes",0,Calcs!CW430)</f>
        <v>0</v>
      </c>
      <c r="U158" s="7">
        <f>IF($BL158&lt;&gt;"Yes",0,Calcs!CX430)</f>
        <v>0</v>
      </c>
      <c r="V158" s="7">
        <f>IF($BL158&lt;&gt;"Yes",0,Calcs!CY430)</f>
        <v>0</v>
      </c>
      <c r="W158" s="7">
        <f>IF($BL158&lt;&gt;"Yes",0,Calcs!CZ430)</f>
        <v>0</v>
      </c>
      <c r="X158" s="7">
        <f>IF($BL158&lt;&gt;"Yes",0,Calcs!DA430)</f>
        <v>0</v>
      </c>
      <c r="Y158" s="7">
        <f>IF($BL158&lt;&gt;"Yes",0,Calcs!DB430)</f>
        <v>0</v>
      </c>
      <c r="Z158" s="7">
        <f>IF($BL158&lt;&gt;"Yes",0,Calcs!DC430)</f>
        <v>0</v>
      </c>
      <c r="AA158" s="7">
        <f>IF($BL158&lt;&gt;"Yes",0,Calcs!DD430)</f>
        <v>0</v>
      </c>
      <c r="AB158" s="7">
        <f>IF($BL158&lt;&gt;"Yes",0,Calcs!DE430)</f>
        <v>0</v>
      </c>
      <c r="AC158" s="7">
        <f>IF($BL158&lt;&gt;"Yes",0,Calcs!DF430)</f>
        <v>0</v>
      </c>
      <c r="AD158" s="7">
        <f>IF($BL158&lt;&gt;"Yes",0,Calcs!DG430)</f>
        <v>0</v>
      </c>
      <c r="AE158" s="7">
        <f>IF($BL158&lt;&gt;"Yes",0,Calcs!DH430)</f>
        <v>0</v>
      </c>
      <c r="AF158" s="7">
        <f>IF($BL158&lt;&gt;"Yes",0,Calcs!DI430)</f>
        <v>0</v>
      </c>
      <c r="AG158" s="7">
        <f>IF($BL158&lt;&gt;"Yes",0,Calcs!DJ430)</f>
        <v>0</v>
      </c>
      <c r="AH158" s="7">
        <f>IF($BL158&lt;&gt;"Yes",0,Calcs!DK430)</f>
        <v>0</v>
      </c>
      <c r="AI158" s="7">
        <f>IF($BL158&lt;&gt;"Yes",0,Calcs!DL430)</f>
        <v>0</v>
      </c>
      <c r="AJ158" s="7">
        <f>IF($BL158&lt;&gt;"Yes",0,Calcs!DM430)</f>
        <v>0</v>
      </c>
      <c r="AK158" s="7">
        <f>IF($BL158&lt;&gt;"Yes",0,Calcs!DN430)</f>
        <v>0</v>
      </c>
      <c r="AL158" s="7">
        <f>IF($BL158&lt;&gt;"Yes",0,Calcs!DO430)</f>
        <v>0</v>
      </c>
      <c r="AM158" s="7">
        <f>IF($BL158&lt;&gt;"Yes",0,Calcs!DP430)</f>
        <v>0</v>
      </c>
      <c r="AN158" s="7">
        <f>IF($BL158&lt;&gt;"Yes",0,Calcs!DQ430)</f>
        <v>0</v>
      </c>
      <c r="AO158" s="7">
        <f>IF($BL158&lt;&gt;"Yes",0,Calcs!DR430)</f>
        <v>0</v>
      </c>
      <c r="AP158" s="7">
        <f>IF($BL158&lt;&gt;"Yes",0,Calcs!DS430)</f>
        <v>0</v>
      </c>
      <c r="AQ158" s="7">
        <f>IF($BL158&lt;&gt;"Yes",0,Calcs!DT430)</f>
        <v>0</v>
      </c>
      <c r="AR158" s="7">
        <f>IF($BL158&lt;&gt;"Yes",0,Calcs!DU430)</f>
        <v>0</v>
      </c>
      <c r="AS158" s="7">
        <f>IF($BL158&lt;&gt;"Yes",0,Calcs!DV430)</f>
        <v>0</v>
      </c>
      <c r="AT158" s="7">
        <f>IF($BL158&lt;&gt;"Yes",0,Calcs!DW430)</f>
        <v>0</v>
      </c>
      <c r="AU158" s="7">
        <f>IF($BL158&lt;&gt;"Yes",0,Calcs!DX430)</f>
        <v>0</v>
      </c>
      <c r="AV158" s="7">
        <f>IF($BL158&lt;&gt;"Yes",0,Calcs!DY430)</f>
        <v>0</v>
      </c>
      <c r="AW158" s="7">
        <f>IF($BL158&lt;&gt;"Yes",0,Calcs!DZ430)</f>
        <v>0</v>
      </c>
      <c r="AX158" s="7">
        <f>IF($BL158&lt;&gt;"Yes",0,Calcs!EA430)</f>
        <v>0</v>
      </c>
      <c r="AY158" s="7">
        <f>IF($BL158&lt;&gt;"Yes",0,Calcs!EB430)</f>
        <v>0</v>
      </c>
      <c r="AZ158" s="7">
        <f>IF($BL158&lt;&gt;"Yes",0,Calcs!EC430)</f>
        <v>0</v>
      </c>
      <c r="BA158" s="7">
        <f>IF($BL158&lt;&gt;"Yes",0,Calcs!ED430)</f>
        <v>0</v>
      </c>
      <c r="BB158" s="7">
        <f>IF($BL158&lt;&gt;"Yes",0,Calcs!EE430)</f>
        <v>0</v>
      </c>
      <c r="BC158" s="7">
        <f>IF($BL158&lt;&gt;"Yes",0,Calcs!EF430)</f>
        <v>0</v>
      </c>
      <c r="BD158" s="7">
        <f>IF($BL158&lt;&gt;"Yes",0,Calcs!EG430)</f>
        <v>0</v>
      </c>
      <c r="BE158" s="7">
        <f>IF($BL158&lt;&gt;"Yes",0,Calcs!EH430)</f>
        <v>0</v>
      </c>
      <c r="BF158" s="7">
        <f>IF($BL158&lt;&gt;"Yes",0,Calcs!EI430)</f>
        <v>0</v>
      </c>
      <c r="BG158" s="7">
        <f>IF($BL158&lt;&gt;"Yes",0,Calcs!EJ430)</f>
        <v>0</v>
      </c>
      <c r="BH158" s="7">
        <f>IF($BL158&lt;&gt;"Yes",0,Calcs!EK430)</f>
        <v>0</v>
      </c>
      <c r="BI158" s="7">
        <f>IF($BL158&lt;&gt;"Yes",0,Calcs!EL430)</f>
        <v>0</v>
      </c>
      <c r="BJ158" s="7">
        <f>IF($BL158&lt;&gt;"Yes",0,Calcs!EM430)</f>
        <v>0</v>
      </c>
    </row>
    <row r="159" spans="1:62" s="5" customFormat="1" ht="13" hidden="1" customHeight="1" x14ac:dyDescent="0.3">
      <c r="A159" s="6" t="str">
        <f>IF(AND(Calcs!CD431&lt;&gt;"",Calcs!CD431&lt;&gt;0),Calcs!CD431,"Operating Expense "&amp;Calcs!$BL159)</f>
        <v xml:space="preserve">Operating Expense </v>
      </c>
      <c r="B159" s="6" t="str">
        <f>IF(AND(Calcs!CE431&lt;&gt;"",Calcs!CE431&lt;&gt;0),Calcs!CE431,"Operating Expense "&amp;Calcs!Q431)</f>
        <v>Operating Expense 11</v>
      </c>
      <c r="C159" s="7">
        <f>IF($BL159&lt;&gt;"Yes",0,Calcs!CF431)</f>
        <v>0</v>
      </c>
      <c r="D159" s="7">
        <f>IF($BL159&lt;&gt;"Yes",0,Calcs!CG431)</f>
        <v>0</v>
      </c>
      <c r="E159" s="7">
        <f>IF($BL159&lt;&gt;"Yes",0,Calcs!CH431)</f>
        <v>0</v>
      </c>
      <c r="F159" s="7">
        <f>IF($BL159&lt;&gt;"Yes",0,Calcs!CI431)</f>
        <v>0</v>
      </c>
      <c r="G159" s="7">
        <f>IF($BL159&lt;&gt;"Yes",0,Calcs!CJ431)</f>
        <v>0</v>
      </c>
      <c r="H159" s="40"/>
      <c r="I159" s="7">
        <f>IF($BL159&lt;&gt;"Yes",0,Calcs!CL431)</f>
        <v>0</v>
      </c>
      <c r="J159" s="7">
        <f>IF($BL159&lt;&gt;"Yes",0,Calcs!CM431)</f>
        <v>0</v>
      </c>
      <c r="K159" s="7">
        <f>IF($BL159&lt;&gt;"Yes",0,Calcs!CN431)</f>
        <v>0</v>
      </c>
      <c r="L159" s="7">
        <f>IF($BL159&lt;&gt;"Yes",0,Calcs!CO431)</f>
        <v>0</v>
      </c>
      <c r="M159" s="7">
        <f>IF($BL159&lt;&gt;"Yes",0,Calcs!CP431)</f>
        <v>0</v>
      </c>
      <c r="N159" s="7">
        <f>IF($BL159&lt;&gt;"Yes",0,Calcs!CQ431)</f>
        <v>0</v>
      </c>
      <c r="O159" s="7">
        <f>IF($BL159&lt;&gt;"Yes",0,Calcs!CR431)</f>
        <v>0</v>
      </c>
      <c r="P159" s="7">
        <f>IF($BL159&lt;&gt;"Yes",0,Calcs!CS431)</f>
        <v>0</v>
      </c>
      <c r="Q159" s="7">
        <f>IF($BL159&lt;&gt;"Yes",0,Calcs!CT431)</f>
        <v>0</v>
      </c>
      <c r="R159" s="7">
        <f>IF($BL159&lt;&gt;"Yes",0,Calcs!CU431)</f>
        <v>0</v>
      </c>
      <c r="S159" s="7">
        <f>IF($BL159&lt;&gt;"Yes",0,Calcs!CV431)</f>
        <v>0</v>
      </c>
      <c r="T159" s="7">
        <f>IF($BL159&lt;&gt;"Yes",0,Calcs!CW431)</f>
        <v>0</v>
      </c>
      <c r="U159" s="7">
        <f>IF($BL159&lt;&gt;"Yes",0,Calcs!CX431)</f>
        <v>0</v>
      </c>
      <c r="V159" s="7">
        <f>IF($BL159&lt;&gt;"Yes",0,Calcs!CY431)</f>
        <v>0</v>
      </c>
      <c r="W159" s="7">
        <f>IF($BL159&lt;&gt;"Yes",0,Calcs!CZ431)</f>
        <v>0</v>
      </c>
      <c r="X159" s="7">
        <f>IF($BL159&lt;&gt;"Yes",0,Calcs!DA431)</f>
        <v>0</v>
      </c>
      <c r="Y159" s="7">
        <f>IF($BL159&lt;&gt;"Yes",0,Calcs!DB431)</f>
        <v>0</v>
      </c>
      <c r="Z159" s="7">
        <f>IF($BL159&lt;&gt;"Yes",0,Calcs!DC431)</f>
        <v>0</v>
      </c>
      <c r="AA159" s="7">
        <f>IF($BL159&lt;&gt;"Yes",0,Calcs!DD431)</f>
        <v>0</v>
      </c>
      <c r="AB159" s="7">
        <f>IF($BL159&lt;&gt;"Yes",0,Calcs!DE431)</f>
        <v>0</v>
      </c>
      <c r="AC159" s="7">
        <f>IF($BL159&lt;&gt;"Yes",0,Calcs!DF431)</f>
        <v>0</v>
      </c>
      <c r="AD159" s="7">
        <f>IF($BL159&lt;&gt;"Yes",0,Calcs!DG431)</f>
        <v>0</v>
      </c>
      <c r="AE159" s="7">
        <f>IF($BL159&lt;&gt;"Yes",0,Calcs!DH431)</f>
        <v>0</v>
      </c>
      <c r="AF159" s="7">
        <f>IF($BL159&lt;&gt;"Yes",0,Calcs!DI431)</f>
        <v>0</v>
      </c>
      <c r="AG159" s="7">
        <f>IF($BL159&lt;&gt;"Yes",0,Calcs!DJ431)</f>
        <v>0</v>
      </c>
      <c r="AH159" s="7">
        <f>IF($BL159&lt;&gt;"Yes",0,Calcs!DK431)</f>
        <v>0</v>
      </c>
      <c r="AI159" s="7">
        <f>IF($BL159&lt;&gt;"Yes",0,Calcs!DL431)</f>
        <v>0</v>
      </c>
      <c r="AJ159" s="7">
        <f>IF($BL159&lt;&gt;"Yes",0,Calcs!DM431)</f>
        <v>0</v>
      </c>
      <c r="AK159" s="7">
        <f>IF($BL159&lt;&gt;"Yes",0,Calcs!DN431)</f>
        <v>0</v>
      </c>
      <c r="AL159" s="7">
        <f>IF($BL159&lt;&gt;"Yes",0,Calcs!DO431)</f>
        <v>0</v>
      </c>
      <c r="AM159" s="7">
        <f>IF($BL159&lt;&gt;"Yes",0,Calcs!DP431)</f>
        <v>0</v>
      </c>
      <c r="AN159" s="7">
        <f>IF($BL159&lt;&gt;"Yes",0,Calcs!DQ431)</f>
        <v>0</v>
      </c>
      <c r="AO159" s="7">
        <f>IF($BL159&lt;&gt;"Yes",0,Calcs!DR431)</f>
        <v>0</v>
      </c>
      <c r="AP159" s="7">
        <f>IF($BL159&lt;&gt;"Yes",0,Calcs!DS431)</f>
        <v>0</v>
      </c>
      <c r="AQ159" s="7">
        <f>IF($BL159&lt;&gt;"Yes",0,Calcs!DT431)</f>
        <v>0</v>
      </c>
      <c r="AR159" s="7">
        <f>IF($BL159&lt;&gt;"Yes",0,Calcs!DU431)</f>
        <v>0</v>
      </c>
      <c r="AS159" s="7">
        <f>IF($BL159&lt;&gt;"Yes",0,Calcs!DV431)</f>
        <v>0</v>
      </c>
      <c r="AT159" s="7">
        <f>IF($BL159&lt;&gt;"Yes",0,Calcs!DW431)</f>
        <v>0</v>
      </c>
      <c r="AU159" s="7">
        <f>IF($BL159&lt;&gt;"Yes",0,Calcs!DX431)</f>
        <v>0</v>
      </c>
      <c r="AV159" s="7">
        <f>IF($BL159&lt;&gt;"Yes",0,Calcs!DY431)</f>
        <v>0</v>
      </c>
      <c r="AW159" s="7">
        <f>IF($BL159&lt;&gt;"Yes",0,Calcs!DZ431)</f>
        <v>0</v>
      </c>
      <c r="AX159" s="7">
        <f>IF($BL159&lt;&gt;"Yes",0,Calcs!EA431)</f>
        <v>0</v>
      </c>
      <c r="AY159" s="7">
        <f>IF($BL159&lt;&gt;"Yes",0,Calcs!EB431)</f>
        <v>0</v>
      </c>
      <c r="AZ159" s="7">
        <f>IF($BL159&lt;&gt;"Yes",0,Calcs!EC431)</f>
        <v>0</v>
      </c>
      <c r="BA159" s="7">
        <f>IF($BL159&lt;&gt;"Yes",0,Calcs!ED431)</f>
        <v>0</v>
      </c>
      <c r="BB159" s="7">
        <f>IF($BL159&lt;&gt;"Yes",0,Calcs!EE431)</f>
        <v>0</v>
      </c>
      <c r="BC159" s="7">
        <f>IF($BL159&lt;&gt;"Yes",0,Calcs!EF431)</f>
        <v>0</v>
      </c>
      <c r="BD159" s="7">
        <f>IF($BL159&lt;&gt;"Yes",0,Calcs!EG431)</f>
        <v>0</v>
      </c>
      <c r="BE159" s="7">
        <f>IF($BL159&lt;&gt;"Yes",0,Calcs!EH431)</f>
        <v>0</v>
      </c>
      <c r="BF159" s="7">
        <f>IF($BL159&lt;&gt;"Yes",0,Calcs!EI431)</f>
        <v>0</v>
      </c>
      <c r="BG159" s="7">
        <f>IF($BL159&lt;&gt;"Yes",0,Calcs!EJ431)</f>
        <v>0</v>
      </c>
      <c r="BH159" s="7">
        <f>IF($BL159&lt;&gt;"Yes",0,Calcs!EK431)</f>
        <v>0</v>
      </c>
      <c r="BI159" s="7">
        <f>IF($BL159&lt;&gt;"Yes",0,Calcs!EL431)</f>
        <v>0</v>
      </c>
      <c r="BJ159" s="7">
        <f>IF($BL159&lt;&gt;"Yes",0,Calcs!EM431)</f>
        <v>0</v>
      </c>
    </row>
    <row r="160" spans="1:62" s="5" customFormat="1" ht="13" hidden="1" customHeight="1" x14ac:dyDescent="0.3">
      <c r="A160" s="6" t="str">
        <f>IF(AND(Calcs!CD432&lt;&gt;"",Calcs!CD432&lt;&gt;0),Calcs!CD432,"Operating Expense "&amp;Calcs!$BL160)</f>
        <v xml:space="preserve">Operating Expense </v>
      </c>
      <c r="B160" s="6" t="str">
        <f>IF(AND(Calcs!CE432&lt;&gt;"",Calcs!CE432&lt;&gt;0),Calcs!CE432,"Operating Expense "&amp;Calcs!Q432)</f>
        <v>Operating Expense 12</v>
      </c>
      <c r="C160" s="7">
        <f>IF($BL160&lt;&gt;"Yes",0,Calcs!CF432)</f>
        <v>0</v>
      </c>
      <c r="D160" s="7">
        <f>IF($BL160&lt;&gt;"Yes",0,Calcs!CG432)</f>
        <v>0</v>
      </c>
      <c r="E160" s="7">
        <f>IF($BL160&lt;&gt;"Yes",0,Calcs!CH432)</f>
        <v>0</v>
      </c>
      <c r="F160" s="7">
        <f>IF($BL160&lt;&gt;"Yes",0,Calcs!CI432)</f>
        <v>0</v>
      </c>
      <c r="G160" s="7">
        <f>IF($BL160&lt;&gt;"Yes",0,Calcs!CJ432)</f>
        <v>0</v>
      </c>
      <c r="H160" s="40"/>
      <c r="I160" s="7">
        <f>IF($BL160&lt;&gt;"Yes",0,Calcs!CL432)</f>
        <v>0</v>
      </c>
      <c r="J160" s="7">
        <f>IF($BL160&lt;&gt;"Yes",0,Calcs!CM432)</f>
        <v>0</v>
      </c>
      <c r="K160" s="7">
        <f>IF($BL160&lt;&gt;"Yes",0,Calcs!CN432)</f>
        <v>0</v>
      </c>
      <c r="L160" s="7">
        <f>IF($BL160&lt;&gt;"Yes",0,Calcs!CO432)</f>
        <v>0</v>
      </c>
      <c r="M160" s="7">
        <f>IF($BL160&lt;&gt;"Yes",0,Calcs!CP432)</f>
        <v>0</v>
      </c>
      <c r="N160" s="7">
        <f>IF($BL160&lt;&gt;"Yes",0,Calcs!CQ432)</f>
        <v>0</v>
      </c>
      <c r="O160" s="7">
        <f>IF($BL160&lt;&gt;"Yes",0,Calcs!CR432)</f>
        <v>0</v>
      </c>
      <c r="P160" s="7">
        <f>IF($BL160&lt;&gt;"Yes",0,Calcs!CS432)</f>
        <v>0</v>
      </c>
      <c r="Q160" s="7">
        <f>IF($BL160&lt;&gt;"Yes",0,Calcs!CT432)</f>
        <v>0</v>
      </c>
      <c r="R160" s="7">
        <f>IF($BL160&lt;&gt;"Yes",0,Calcs!CU432)</f>
        <v>0</v>
      </c>
      <c r="S160" s="7">
        <f>IF($BL160&lt;&gt;"Yes",0,Calcs!CV432)</f>
        <v>0</v>
      </c>
      <c r="T160" s="7">
        <f>IF($BL160&lt;&gt;"Yes",0,Calcs!CW432)</f>
        <v>0</v>
      </c>
      <c r="U160" s="7">
        <f>IF($BL160&lt;&gt;"Yes",0,Calcs!CX432)</f>
        <v>0</v>
      </c>
      <c r="V160" s="7">
        <f>IF($BL160&lt;&gt;"Yes",0,Calcs!CY432)</f>
        <v>0</v>
      </c>
      <c r="W160" s="7">
        <f>IF($BL160&lt;&gt;"Yes",0,Calcs!CZ432)</f>
        <v>0</v>
      </c>
      <c r="X160" s="7">
        <f>IF($BL160&lt;&gt;"Yes",0,Calcs!DA432)</f>
        <v>0</v>
      </c>
      <c r="Y160" s="7">
        <f>IF($BL160&lt;&gt;"Yes",0,Calcs!DB432)</f>
        <v>0</v>
      </c>
      <c r="Z160" s="7">
        <f>IF($BL160&lt;&gt;"Yes",0,Calcs!DC432)</f>
        <v>0</v>
      </c>
      <c r="AA160" s="7">
        <f>IF($BL160&lt;&gt;"Yes",0,Calcs!DD432)</f>
        <v>0</v>
      </c>
      <c r="AB160" s="7">
        <f>IF($BL160&lt;&gt;"Yes",0,Calcs!DE432)</f>
        <v>0</v>
      </c>
      <c r="AC160" s="7">
        <f>IF($BL160&lt;&gt;"Yes",0,Calcs!DF432)</f>
        <v>0</v>
      </c>
      <c r="AD160" s="7">
        <f>IF($BL160&lt;&gt;"Yes",0,Calcs!DG432)</f>
        <v>0</v>
      </c>
      <c r="AE160" s="7">
        <f>IF($BL160&lt;&gt;"Yes",0,Calcs!DH432)</f>
        <v>0</v>
      </c>
      <c r="AF160" s="7">
        <f>IF($BL160&lt;&gt;"Yes",0,Calcs!DI432)</f>
        <v>0</v>
      </c>
      <c r="AG160" s="7">
        <f>IF($BL160&lt;&gt;"Yes",0,Calcs!DJ432)</f>
        <v>0</v>
      </c>
      <c r="AH160" s="7">
        <f>IF($BL160&lt;&gt;"Yes",0,Calcs!DK432)</f>
        <v>0</v>
      </c>
      <c r="AI160" s="7">
        <f>IF($BL160&lt;&gt;"Yes",0,Calcs!DL432)</f>
        <v>0</v>
      </c>
      <c r="AJ160" s="7">
        <f>IF($BL160&lt;&gt;"Yes",0,Calcs!DM432)</f>
        <v>0</v>
      </c>
      <c r="AK160" s="7">
        <f>IF($BL160&lt;&gt;"Yes",0,Calcs!DN432)</f>
        <v>0</v>
      </c>
      <c r="AL160" s="7">
        <f>IF($BL160&lt;&gt;"Yes",0,Calcs!DO432)</f>
        <v>0</v>
      </c>
      <c r="AM160" s="7">
        <f>IF($BL160&lt;&gt;"Yes",0,Calcs!DP432)</f>
        <v>0</v>
      </c>
      <c r="AN160" s="7">
        <f>IF($BL160&lt;&gt;"Yes",0,Calcs!DQ432)</f>
        <v>0</v>
      </c>
      <c r="AO160" s="7">
        <f>IF($BL160&lt;&gt;"Yes",0,Calcs!DR432)</f>
        <v>0</v>
      </c>
      <c r="AP160" s="7">
        <f>IF($BL160&lt;&gt;"Yes",0,Calcs!DS432)</f>
        <v>0</v>
      </c>
      <c r="AQ160" s="7">
        <f>IF($BL160&lt;&gt;"Yes",0,Calcs!DT432)</f>
        <v>0</v>
      </c>
      <c r="AR160" s="7">
        <f>IF($BL160&lt;&gt;"Yes",0,Calcs!DU432)</f>
        <v>0</v>
      </c>
      <c r="AS160" s="7">
        <f>IF($BL160&lt;&gt;"Yes",0,Calcs!DV432)</f>
        <v>0</v>
      </c>
      <c r="AT160" s="7">
        <f>IF($BL160&lt;&gt;"Yes",0,Calcs!DW432)</f>
        <v>0</v>
      </c>
      <c r="AU160" s="7">
        <f>IF($BL160&lt;&gt;"Yes",0,Calcs!DX432)</f>
        <v>0</v>
      </c>
      <c r="AV160" s="7">
        <f>IF($BL160&lt;&gt;"Yes",0,Calcs!DY432)</f>
        <v>0</v>
      </c>
      <c r="AW160" s="7">
        <f>IF($BL160&lt;&gt;"Yes",0,Calcs!DZ432)</f>
        <v>0</v>
      </c>
      <c r="AX160" s="7">
        <f>IF($BL160&lt;&gt;"Yes",0,Calcs!EA432)</f>
        <v>0</v>
      </c>
      <c r="AY160" s="7">
        <f>IF($BL160&lt;&gt;"Yes",0,Calcs!EB432)</f>
        <v>0</v>
      </c>
      <c r="AZ160" s="7">
        <f>IF($BL160&lt;&gt;"Yes",0,Calcs!EC432)</f>
        <v>0</v>
      </c>
      <c r="BA160" s="7">
        <f>IF($BL160&lt;&gt;"Yes",0,Calcs!ED432)</f>
        <v>0</v>
      </c>
      <c r="BB160" s="7">
        <f>IF($BL160&lt;&gt;"Yes",0,Calcs!EE432)</f>
        <v>0</v>
      </c>
      <c r="BC160" s="7">
        <f>IF($BL160&lt;&gt;"Yes",0,Calcs!EF432)</f>
        <v>0</v>
      </c>
      <c r="BD160" s="7">
        <f>IF($BL160&lt;&gt;"Yes",0,Calcs!EG432)</f>
        <v>0</v>
      </c>
      <c r="BE160" s="7">
        <f>IF($BL160&lt;&gt;"Yes",0,Calcs!EH432)</f>
        <v>0</v>
      </c>
      <c r="BF160" s="7">
        <f>IF($BL160&lt;&gt;"Yes",0,Calcs!EI432)</f>
        <v>0</v>
      </c>
      <c r="BG160" s="7">
        <f>IF($BL160&lt;&gt;"Yes",0,Calcs!EJ432)</f>
        <v>0</v>
      </c>
      <c r="BH160" s="7">
        <f>IF($BL160&lt;&gt;"Yes",0,Calcs!EK432)</f>
        <v>0</v>
      </c>
      <c r="BI160" s="7">
        <f>IF($BL160&lt;&gt;"Yes",0,Calcs!EL432)</f>
        <v>0</v>
      </c>
      <c r="BJ160" s="7">
        <f>IF($BL160&lt;&gt;"Yes",0,Calcs!EM432)</f>
        <v>0</v>
      </c>
    </row>
    <row r="161" spans="1:62" s="5" customFormat="1" ht="13" hidden="1" customHeight="1" x14ac:dyDescent="0.3">
      <c r="A161" s="6" t="str">
        <f>IF(AND(Calcs!CD433&lt;&gt;"",Calcs!CD433&lt;&gt;0),Calcs!CD433,"Operating Expense "&amp;Calcs!$BL161)</f>
        <v xml:space="preserve">Operating Expense </v>
      </c>
      <c r="B161" s="6" t="str">
        <f>IF(AND(Calcs!CE433&lt;&gt;"",Calcs!CE433&lt;&gt;0),Calcs!CE433,"Operating Expense "&amp;Calcs!Q433)</f>
        <v>Operating Expense 13</v>
      </c>
      <c r="C161" s="7">
        <f>IF($BL161&lt;&gt;"Yes",0,Calcs!CF433)</f>
        <v>0</v>
      </c>
      <c r="D161" s="7">
        <f>IF($BL161&lt;&gt;"Yes",0,Calcs!CG433)</f>
        <v>0</v>
      </c>
      <c r="E161" s="7">
        <f>IF($BL161&lt;&gt;"Yes",0,Calcs!CH433)</f>
        <v>0</v>
      </c>
      <c r="F161" s="7">
        <f>IF($BL161&lt;&gt;"Yes",0,Calcs!CI433)</f>
        <v>0</v>
      </c>
      <c r="G161" s="7">
        <f>IF($BL161&lt;&gt;"Yes",0,Calcs!CJ433)</f>
        <v>0</v>
      </c>
      <c r="H161" s="40"/>
      <c r="I161" s="7">
        <f>IF($BL161&lt;&gt;"Yes",0,Calcs!CL433)</f>
        <v>0</v>
      </c>
      <c r="J161" s="7">
        <f>IF($BL161&lt;&gt;"Yes",0,Calcs!CM433)</f>
        <v>0</v>
      </c>
      <c r="K161" s="7">
        <f>IF($BL161&lt;&gt;"Yes",0,Calcs!CN433)</f>
        <v>0</v>
      </c>
      <c r="L161" s="7">
        <f>IF($BL161&lt;&gt;"Yes",0,Calcs!CO433)</f>
        <v>0</v>
      </c>
      <c r="M161" s="7">
        <f>IF($BL161&lt;&gt;"Yes",0,Calcs!CP433)</f>
        <v>0</v>
      </c>
      <c r="N161" s="7">
        <f>IF($BL161&lt;&gt;"Yes",0,Calcs!CQ433)</f>
        <v>0</v>
      </c>
      <c r="O161" s="7">
        <f>IF($BL161&lt;&gt;"Yes",0,Calcs!CR433)</f>
        <v>0</v>
      </c>
      <c r="P161" s="7">
        <f>IF($BL161&lt;&gt;"Yes",0,Calcs!CS433)</f>
        <v>0</v>
      </c>
      <c r="Q161" s="7">
        <f>IF($BL161&lt;&gt;"Yes",0,Calcs!CT433)</f>
        <v>0</v>
      </c>
      <c r="R161" s="7">
        <f>IF($BL161&lt;&gt;"Yes",0,Calcs!CU433)</f>
        <v>0</v>
      </c>
      <c r="S161" s="7">
        <f>IF($BL161&lt;&gt;"Yes",0,Calcs!CV433)</f>
        <v>0</v>
      </c>
      <c r="T161" s="7">
        <f>IF($BL161&lt;&gt;"Yes",0,Calcs!CW433)</f>
        <v>0</v>
      </c>
      <c r="U161" s="7">
        <f>IF($BL161&lt;&gt;"Yes",0,Calcs!CX433)</f>
        <v>0</v>
      </c>
      <c r="V161" s="7">
        <f>IF($BL161&lt;&gt;"Yes",0,Calcs!CY433)</f>
        <v>0</v>
      </c>
      <c r="W161" s="7">
        <f>IF($BL161&lt;&gt;"Yes",0,Calcs!CZ433)</f>
        <v>0</v>
      </c>
      <c r="X161" s="7">
        <f>IF($BL161&lt;&gt;"Yes",0,Calcs!DA433)</f>
        <v>0</v>
      </c>
      <c r="Y161" s="7">
        <f>IF($BL161&lt;&gt;"Yes",0,Calcs!DB433)</f>
        <v>0</v>
      </c>
      <c r="Z161" s="7">
        <f>IF($BL161&lt;&gt;"Yes",0,Calcs!DC433)</f>
        <v>0</v>
      </c>
      <c r="AA161" s="7">
        <f>IF($BL161&lt;&gt;"Yes",0,Calcs!DD433)</f>
        <v>0</v>
      </c>
      <c r="AB161" s="7">
        <f>IF($BL161&lt;&gt;"Yes",0,Calcs!DE433)</f>
        <v>0</v>
      </c>
      <c r="AC161" s="7">
        <f>IF($BL161&lt;&gt;"Yes",0,Calcs!DF433)</f>
        <v>0</v>
      </c>
      <c r="AD161" s="7">
        <f>IF($BL161&lt;&gt;"Yes",0,Calcs!DG433)</f>
        <v>0</v>
      </c>
      <c r="AE161" s="7">
        <f>IF($BL161&lt;&gt;"Yes",0,Calcs!DH433)</f>
        <v>0</v>
      </c>
      <c r="AF161" s="7">
        <f>IF($BL161&lt;&gt;"Yes",0,Calcs!DI433)</f>
        <v>0</v>
      </c>
      <c r="AG161" s="7">
        <f>IF($BL161&lt;&gt;"Yes",0,Calcs!DJ433)</f>
        <v>0</v>
      </c>
      <c r="AH161" s="7">
        <f>IF($BL161&lt;&gt;"Yes",0,Calcs!DK433)</f>
        <v>0</v>
      </c>
      <c r="AI161" s="7">
        <f>IF($BL161&lt;&gt;"Yes",0,Calcs!DL433)</f>
        <v>0</v>
      </c>
      <c r="AJ161" s="7">
        <f>IF($BL161&lt;&gt;"Yes",0,Calcs!DM433)</f>
        <v>0</v>
      </c>
      <c r="AK161" s="7">
        <f>IF($BL161&lt;&gt;"Yes",0,Calcs!DN433)</f>
        <v>0</v>
      </c>
      <c r="AL161" s="7">
        <f>IF($BL161&lt;&gt;"Yes",0,Calcs!DO433)</f>
        <v>0</v>
      </c>
      <c r="AM161" s="7">
        <f>IF($BL161&lt;&gt;"Yes",0,Calcs!DP433)</f>
        <v>0</v>
      </c>
      <c r="AN161" s="7">
        <f>IF($BL161&lt;&gt;"Yes",0,Calcs!DQ433)</f>
        <v>0</v>
      </c>
      <c r="AO161" s="7">
        <f>IF($BL161&lt;&gt;"Yes",0,Calcs!DR433)</f>
        <v>0</v>
      </c>
      <c r="AP161" s="7">
        <f>IF($BL161&lt;&gt;"Yes",0,Calcs!DS433)</f>
        <v>0</v>
      </c>
      <c r="AQ161" s="7">
        <f>IF($BL161&lt;&gt;"Yes",0,Calcs!DT433)</f>
        <v>0</v>
      </c>
      <c r="AR161" s="7">
        <f>IF($BL161&lt;&gt;"Yes",0,Calcs!DU433)</f>
        <v>0</v>
      </c>
      <c r="AS161" s="7">
        <f>IF($BL161&lt;&gt;"Yes",0,Calcs!DV433)</f>
        <v>0</v>
      </c>
      <c r="AT161" s="7">
        <f>IF($BL161&lt;&gt;"Yes",0,Calcs!DW433)</f>
        <v>0</v>
      </c>
      <c r="AU161" s="7">
        <f>IF($BL161&lt;&gt;"Yes",0,Calcs!DX433)</f>
        <v>0</v>
      </c>
      <c r="AV161" s="7">
        <f>IF($BL161&lt;&gt;"Yes",0,Calcs!DY433)</f>
        <v>0</v>
      </c>
      <c r="AW161" s="7">
        <f>IF($BL161&lt;&gt;"Yes",0,Calcs!DZ433)</f>
        <v>0</v>
      </c>
      <c r="AX161" s="7">
        <f>IF($BL161&lt;&gt;"Yes",0,Calcs!EA433)</f>
        <v>0</v>
      </c>
      <c r="AY161" s="7">
        <f>IF($BL161&lt;&gt;"Yes",0,Calcs!EB433)</f>
        <v>0</v>
      </c>
      <c r="AZ161" s="7">
        <f>IF($BL161&lt;&gt;"Yes",0,Calcs!EC433)</f>
        <v>0</v>
      </c>
      <c r="BA161" s="7">
        <f>IF($BL161&lt;&gt;"Yes",0,Calcs!ED433)</f>
        <v>0</v>
      </c>
      <c r="BB161" s="7">
        <f>IF($BL161&lt;&gt;"Yes",0,Calcs!EE433)</f>
        <v>0</v>
      </c>
      <c r="BC161" s="7">
        <f>IF($BL161&lt;&gt;"Yes",0,Calcs!EF433)</f>
        <v>0</v>
      </c>
      <c r="BD161" s="7">
        <f>IF($BL161&lt;&gt;"Yes",0,Calcs!EG433)</f>
        <v>0</v>
      </c>
      <c r="BE161" s="7">
        <f>IF($BL161&lt;&gt;"Yes",0,Calcs!EH433)</f>
        <v>0</v>
      </c>
      <c r="BF161" s="7">
        <f>IF($BL161&lt;&gt;"Yes",0,Calcs!EI433)</f>
        <v>0</v>
      </c>
      <c r="BG161" s="7">
        <f>IF($BL161&lt;&gt;"Yes",0,Calcs!EJ433)</f>
        <v>0</v>
      </c>
      <c r="BH161" s="7">
        <f>IF($BL161&lt;&gt;"Yes",0,Calcs!EK433)</f>
        <v>0</v>
      </c>
      <c r="BI161" s="7">
        <f>IF($BL161&lt;&gt;"Yes",0,Calcs!EL433)</f>
        <v>0</v>
      </c>
      <c r="BJ161" s="7">
        <f>IF($BL161&lt;&gt;"Yes",0,Calcs!EM433)</f>
        <v>0</v>
      </c>
    </row>
    <row r="162" spans="1:62" s="5" customFormat="1" ht="13" hidden="1" customHeight="1" x14ac:dyDescent="0.3">
      <c r="A162" s="6" t="str">
        <f>IF(AND(Calcs!CD434&lt;&gt;"",Calcs!CD434&lt;&gt;0),Calcs!CD434,"Operating Expense "&amp;Calcs!$BL162)</f>
        <v xml:space="preserve">Operating Expense </v>
      </c>
      <c r="B162" s="6" t="str">
        <f>IF(AND(Calcs!CE434&lt;&gt;"",Calcs!CE434&lt;&gt;0),Calcs!CE434,"Operating Expense "&amp;Calcs!Q434)</f>
        <v>Operating Expense 14</v>
      </c>
      <c r="C162" s="7">
        <f>IF($BL162&lt;&gt;"Yes",0,Calcs!CF434)</f>
        <v>0</v>
      </c>
      <c r="D162" s="7">
        <f>IF($BL162&lt;&gt;"Yes",0,Calcs!CG434)</f>
        <v>0</v>
      </c>
      <c r="E162" s="7">
        <f>IF($BL162&lt;&gt;"Yes",0,Calcs!CH434)</f>
        <v>0</v>
      </c>
      <c r="F162" s="7">
        <f>IF($BL162&lt;&gt;"Yes",0,Calcs!CI434)</f>
        <v>0</v>
      </c>
      <c r="G162" s="7">
        <f>IF($BL162&lt;&gt;"Yes",0,Calcs!CJ434)</f>
        <v>0</v>
      </c>
      <c r="H162" s="40"/>
      <c r="I162" s="7">
        <f>IF($BL162&lt;&gt;"Yes",0,Calcs!CL434)</f>
        <v>0</v>
      </c>
      <c r="J162" s="7">
        <f>IF($BL162&lt;&gt;"Yes",0,Calcs!CM434)</f>
        <v>0</v>
      </c>
      <c r="K162" s="7">
        <f>IF($BL162&lt;&gt;"Yes",0,Calcs!CN434)</f>
        <v>0</v>
      </c>
      <c r="L162" s="7">
        <f>IF($BL162&lt;&gt;"Yes",0,Calcs!CO434)</f>
        <v>0</v>
      </c>
      <c r="M162" s="7">
        <f>IF($BL162&lt;&gt;"Yes",0,Calcs!CP434)</f>
        <v>0</v>
      </c>
      <c r="N162" s="7">
        <f>IF($BL162&lt;&gt;"Yes",0,Calcs!CQ434)</f>
        <v>0</v>
      </c>
      <c r="O162" s="7">
        <f>IF($BL162&lt;&gt;"Yes",0,Calcs!CR434)</f>
        <v>0</v>
      </c>
      <c r="P162" s="7">
        <f>IF($BL162&lt;&gt;"Yes",0,Calcs!CS434)</f>
        <v>0</v>
      </c>
      <c r="Q162" s="7">
        <f>IF($BL162&lt;&gt;"Yes",0,Calcs!CT434)</f>
        <v>0</v>
      </c>
      <c r="R162" s="7">
        <f>IF($BL162&lt;&gt;"Yes",0,Calcs!CU434)</f>
        <v>0</v>
      </c>
      <c r="S162" s="7">
        <f>IF($BL162&lt;&gt;"Yes",0,Calcs!CV434)</f>
        <v>0</v>
      </c>
      <c r="T162" s="7">
        <f>IF($BL162&lt;&gt;"Yes",0,Calcs!CW434)</f>
        <v>0</v>
      </c>
      <c r="U162" s="7">
        <f>IF($BL162&lt;&gt;"Yes",0,Calcs!CX434)</f>
        <v>0</v>
      </c>
      <c r="V162" s="7">
        <f>IF($BL162&lt;&gt;"Yes",0,Calcs!CY434)</f>
        <v>0</v>
      </c>
      <c r="W162" s="7">
        <f>IF($BL162&lt;&gt;"Yes",0,Calcs!CZ434)</f>
        <v>0</v>
      </c>
      <c r="X162" s="7">
        <f>IF($BL162&lt;&gt;"Yes",0,Calcs!DA434)</f>
        <v>0</v>
      </c>
      <c r="Y162" s="7">
        <f>IF($BL162&lt;&gt;"Yes",0,Calcs!DB434)</f>
        <v>0</v>
      </c>
      <c r="Z162" s="7">
        <f>IF($BL162&lt;&gt;"Yes",0,Calcs!DC434)</f>
        <v>0</v>
      </c>
      <c r="AA162" s="7">
        <f>IF($BL162&lt;&gt;"Yes",0,Calcs!DD434)</f>
        <v>0</v>
      </c>
      <c r="AB162" s="7">
        <f>IF($BL162&lt;&gt;"Yes",0,Calcs!DE434)</f>
        <v>0</v>
      </c>
      <c r="AC162" s="7">
        <f>IF($BL162&lt;&gt;"Yes",0,Calcs!DF434)</f>
        <v>0</v>
      </c>
      <c r="AD162" s="7">
        <f>IF($BL162&lt;&gt;"Yes",0,Calcs!DG434)</f>
        <v>0</v>
      </c>
      <c r="AE162" s="7">
        <f>IF($BL162&lt;&gt;"Yes",0,Calcs!DH434)</f>
        <v>0</v>
      </c>
      <c r="AF162" s="7">
        <f>IF($BL162&lt;&gt;"Yes",0,Calcs!DI434)</f>
        <v>0</v>
      </c>
      <c r="AG162" s="7">
        <f>IF($BL162&lt;&gt;"Yes",0,Calcs!DJ434)</f>
        <v>0</v>
      </c>
      <c r="AH162" s="7">
        <f>IF($BL162&lt;&gt;"Yes",0,Calcs!DK434)</f>
        <v>0</v>
      </c>
      <c r="AI162" s="7">
        <f>IF($BL162&lt;&gt;"Yes",0,Calcs!DL434)</f>
        <v>0</v>
      </c>
      <c r="AJ162" s="7">
        <f>IF($BL162&lt;&gt;"Yes",0,Calcs!DM434)</f>
        <v>0</v>
      </c>
      <c r="AK162" s="7">
        <f>IF($BL162&lt;&gt;"Yes",0,Calcs!DN434)</f>
        <v>0</v>
      </c>
      <c r="AL162" s="7">
        <f>IF($BL162&lt;&gt;"Yes",0,Calcs!DO434)</f>
        <v>0</v>
      </c>
      <c r="AM162" s="7">
        <f>IF($BL162&lt;&gt;"Yes",0,Calcs!DP434)</f>
        <v>0</v>
      </c>
      <c r="AN162" s="7">
        <f>IF($BL162&lt;&gt;"Yes",0,Calcs!DQ434)</f>
        <v>0</v>
      </c>
      <c r="AO162" s="7">
        <f>IF($BL162&lt;&gt;"Yes",0,Calcs!DR434)</f>
        <v>0</v>
      </c>
      <c r="AP162" s="7">
        <f>IF($BL162&lt;&gt;"Yes",0,Calcs!DS434)</f>
        <v>0</v>
      </c>
      <c r="AQ162" s="7">
        <f>IF($BL162&lt;&gt;"Yes",0,Calcs!DT434)</f>
        <v>0</v>
      </c>
      <c r="AR162" s="7">
        <f>IF($BL162&lt;&gt;"Yes",0,Calcs!DU434)</f>
        <v>0</v>
      </c>
      <c r="AS162" s="7">
        <f>IF($BL162&lt;&gt;"Yes",0,Calcs!DV434)</f>
        <v>0</v>
      </c>
      <c r="AT162" s="7">
        <f>IF($BL162&lt;&gt;"Yes",0,Calcs!DW434)</f>
        <v>0</v>
      </c>
      <c r="AU162" s="7">
        <f>IF($BL162&lt;&gt;"Yes",0,Calcs!DX434)</f>
        <v>0</v>
      </c>
      <c r="AV162" s="7">
        <f>IF($BL162&lt;&gt;"Yes",0,Calcs!DY434)</f>
        <v>0</v>
      </c>
      <c r="AW162" s="7">
        <f>IF($BL162&lt;&gt;"Yes",0,Calcs!DZ434)</f>
        <v>0</v>
      </c>
      <c r="AX162" s="7">
        <f>IF($BL162&lt;&gt;"Yes",0,Calcs!EA434)</f>
        <v>0</v>
      </c>
      <c r="AY162" s="7">
        <f>IF($BL162&lt;&gt;"Yes",0,Calcs!EB434)</f>
        <v>0</v>
      </c>
      <c r="AZ162" s="7">
        <f>IF($BL162&lt;&gt;"Yes",0,Calcs!EC434)</f>
        <v>0</v>
      </c>
      <c r="BA162" s="7">
        <f>IF($BL162&lt;&gt;"Yes",0,Calcs!ED434)</f>
        <v>0</v>
      </c>
      <c r="BB162" s="7">
        <f>IF($BL162&lt;&gt;"Yes",0,Calcs!EE434)</f>
        <v>0</v>
      </c>
      <c r="BC162" s="7">
        <f>IF($BL162&lt;&gt;"Yes",0,Calcs!EF434)</f>
        <v>0</v>
      </c>
      <c r="BD162" s="7">
        <f>IF($BL162&lt;&gt;"Yes",0,Calcs!EG434)</f>
        <v>0</v>
      </c>
      <c r="BE162" s="7">
        <f>IF($BL162&lt;&gt;"Yes",0,Calcs!EH434)</f>
        <v>0</v>
      </c>
      <c r="BF162" s="7">
        <f>IF($BL162&lt;&gt;"Yes",0,Calcs!EI434)</f>
        <v>0</v>
      </c>
      <c r="BG162" s="7">
        <f>IF($BL162&lt;&gt;"Yes",0,Calcs!EJ434)</f>
        <v>0</v>
      </c>
      <c r="BH162" s="7">
        <f>IF($BL162&lt;&gt;"Yes",0,Calcs!EK434)</f>
        <v>0</v>
      </c>
      <c r="BI162" s="7">
        <f>IF($BL162&lt;&gt;"Yes",0,Calcs!EL434)</f>
        <v>0</v>
      </c>
      <c r="BJ162" s="7">
        <f>IF($BL162&lt;&gt;"Yes",0,Calcs!EM434)</f>
        <v>0</v>
      </c>
    </row>
    <row r="163" spans="1:62" s="5" customFormat="1" ht="13" hidden="1" customHeight="1" x14ac:dyDescent="0.3">
      <c r="A163" s="6" t="str">
        <f>IF(AND(Calcs!CD435&lt;&gt;"",Calcs!CD435&lt;&gt;0),Calcs!CD435,"Operating Expense "&amp;Calcs!$BL163)</f>
        <v xml:space="preserve">Operating Expense </v>
      </c>
      <c r="B163" s="6" t="str">
        <f>IF(AND(Calcs!CE435&lt;&gt;"",Calcs!CE435&lt;&gt;0),Calcs!CE435,"Operating Expense "&amp;Calcs!Q435)</f>
        <v>Operating Expense 15</v>
      </c>
      <c r="C163" s="7">
        <f>IF($BL163&lt;&gt;"Yes",0,Calcs!CF435)</f>
        <v>0</v>
      </c>
      <c r="D163" s="7">
        <f>IF($BL163&lt;&gt;"Yes",0,Calcs!CG435)</f>
        <v>0</v>
      </c>
      <c r="E163" s="7">
        <f>IF($BL163&lt;&gt;"Yes",0,Calcs!CH435)</f>
        <v>0</v>
      </c>
      <c r="F163" s="7">
        <f>IF($BL163&lt;&gt;"Yes",0,Calcs!CI435)</f>
        <v>0</v>
      </c>
      <c r="G163" s="7">
        <f>IF($BL163&lt;&gt;"Yes",0,Calcs!CJ435)</f>
        <v>0</v>
      </c>
      <c r="H163" s="40"/>
      <c r="I163" s="7">
        <f>IF($BL163&lt;&gt;"Yes",0,Calcs!CL435)</f>
        <v>0</v>
      </c>
      <c r="J163" s="7">
        <f>IF($BL163&lt;&gt;"Yes",0,Calcs!CM435)</f>
        <v>0</v>
      </c>
      <c r="K163" s="7">
        <f>IF($BL163&lt;&gt;"Yes",0,Calcs!CN435)</f>
        <v>0</v>
      </c>
      <c r="L163" s="7">
        <f>IF($BL163&lt;&gt;"Yes",0,Calcs!CO435)</f>
        <v>0</v>
      </c>
      <c r="M163" s="7">
        <f>IF($BL163&lt;&gt;"Yes",0,Calcs!CP435)</f>
        <v>0</v>
      </c>
      <c r="N163" s="7">
        <f>IF($BL163&lt;&gt;"Yes",0,Calcs!CQ435)</f>
        <v>0</v>
      </c>
      <c r="O163" s="7">
        <f>IF($BL163&lt;&gt;"Yes",0,Calcs!CR435)</f>
        <v>0</v>
      </c>
      <c r="P163" s="7">
        <f>IF($BL163&lt;&gt;"Yes",0,Calcs!CS435)</f>
        <v>0</v>
      </c>
      <c r="Q163" s="7">
        <f>IF($BL163&lt;&gt;"Yes",0,Calcs!CT435)</f>
        <v>0</v>
      </c>
      <c r="R163" s="7">
        <f>IF($BL163&lt;&gt;"Yes",0,Calcs!CU435)</f>
        <v>0</v>
      </c>
      <c r="S163" s="7">
        <f>IF($BL163&lt;&gt;"Yes",0,Calcs!CV435)</f>
        <v>0</v>
      </c>
      <c r="T163" s="7">
        <f>IF($BL163&lt;&gt;"Yes",0,Calcs!CW435)</f>
        <v>0</v>
      </c>
      <c r="U163" s="7">
        <f>IF($BL163&lt;&gt;"Yes",0,Calcs!CX435)</f>
        <v>0</v>
      </c>
      <c r="V163" s="7">
        <f>IF($BL163&lt;&gt;"Yes",0,Calcs!CY435)</f>
        <v>0</v>
      </c>
      <c r="W163" s="7">
        <f>IF($BL163&lt;&gt;"Yes",0,Calcs!CZ435)</f>
        <v>0</v>
      </c>
      <c r="X163" s="7">
        <f>IF($BL163&lt;&gt;"Yes",0,Calcs!DA435)</f>
        <v>0</v>
      </c>
      <c r="Y163" s="7">
        <f>IF($BL163&lt;&gt;"Yes",0,Calcs!DB435)</f>
        <v>0</v>
      </c>
      <c r="Z163" s="7">
        <f>IF($BL163&lt;&gt;"Yes",0,Calcs!DC435)</f>
        <v>0</v>
      </c>
      <c r="AA163" s="7">
        <f>IF($BL163&lt;&gt;"Yes",0,Calcs!DD435)</f>
        <v>0</v>
      </c>
      <c r="AB163" s="7">
        <f>IF($BL163&lt;&gt;"Yes",0,Calcs!DE435)</f>
        <v>0</v>
      </c>
      <c r="AC163" s="7">
        <f>IF($BL163&lt;&gt;"Yes",0,Calcs!DF435)</f>
        <v>0</v>
      </c>
      <c r="AD163" s="7">
        <f>IF($BL163&lt;&gt;"Yes",0,Calcs!DG435)</f>
        <v>0</v>
      </c>
      <c r="AE163" s="7">
        <f>IF($BL163&lt;&gt;"Yes",0,Calcs!DH435)</f>
        <v>0</v>
      </c>
      <c r="AF163" s="7">
        <f>IF($BL163&lt;&gt;"Yes",0,Calcs!DI435)</f>
        <v>0</v>
      </c>
      <c r="AG163" s="7">
        <f>IF($BL163&lt;&gt;"Yes",0,Calcs!DJ435)</f>
        <v>0</v>
      </c>
      <c r="AH163" s="7">
        <f>IF($BL163&lt;&gt;"Yes",0,Calcs!DK435)</f>
        <v>0</v>
      </c>
      <c r="AI163" s="7">
        <f>IF($BL163&lt;&gt;"Yes",0,Calcs!DL435)</f>
        <v>0</v>
      </c>
      <c r="AJ163" s="7">
        <f>IF($BL163&lt;&gt;"Yes",0,Calcs!DM435)</f>
        <v>0</v>
      </c>
      <c r="AK163" s="7">
        <f>IF($BL163&lt;&gt;"Yes",0,Calcs!DN435)</f>
        <v>0</v>
      </c>
      <c r="AL163" s="7">
        <f>IF($BL163&lt;&gt;"Yes",0,Calcs!DO435)</f>
        <v>0</v>
      </c>
      <c r="AM163" s="7">
        <f>IF($BL163&lt;&gt;"Yes",0,Calcs!DP435)</f>
        <v>0</v>
      </c>
      <c r="AN163" s="7">
        <f>IF($BL163&lt;&gt;"Yes",0,Calcs!DQ435)</f>
        <v>0</v>
      </c>
      <c r="AO163" s="7">
        <f>IF($BL163&lt;&gt;"Yes",0,Calcs!DR435)</f>
        <v>0</v>
      </c>
      <c r="AP163" s="7">
        <f>IF($BL163&lt;&gt;"Yes",0,Calcs!DS435)</f>
        <v>0</v>
      </c>
      <c r="AQ163" s="7">
        <f>IF($BL163&lt;&gt;"Yes",0,Calcs!DT435)</f>
        <v>0</v>
      </c>
      <c r="AR163" s="7">
        <f>IF($BL163&lt;&gt;"Yes",0,Calcs!DU435)</f>
        <v>0</v>
      </c>
      <c r="AS163" s="7">
        <f>IF($BL163&lt;&gt;"Yes",0,Calcs!DV435)</f>
        <v>0</v>
      </c>
      <c r="AT163" s="7">
        <f>IF($BL163&lt;&gt;"Yes",0,Calcs!DW435)</f>
        <v>0</v>
      </c>
      <c r="AU163" s="7">
        <f>IF($BL163&lt;&gt;"Yes",0,Calcs!DX435)</f>
        <v>0</v>
      </c>
      <c r="AV163" s="7">
        <f>IF($BL163&lt;&gt;"Yes",0,Calcs!DY435)</f>
        <v>0</v>
      </c>
      <c r="AW163" s="7">
        <f>IF($BL163&lt;&gt;"Yes",0,Calcs!DZ435)</f>
        <v>0</v>
      </c>
      <c r="AX163" s="7">
        <f>IF($BL163&lt;&gt;"Yes",0,Calcs!EA435)</f>
        <v>0</v>
      </c>
      <c r="AY163" s="7">
        <f>IF($BL163&lt;&gt;"Yes",0,Calcs!EB435)</f>
        <v>0</v>
      </c>
      <c r="AZ163" s="7">
        <f>IF($BL163&lt;&gt;"Yes",0,Calcs!EC435)</f>
        <v>0</v>
      </c>
      <c r="BA163" s="7">
        <f>IF($BL163&lt;&gt;"Yes",0,Calcs!ED435)</f>
        <v>0</v>
      </c>
      <c r="BB163" s="7">
        <f>IF($BL163&lt;&gt;"Yes",0,Calcs!EE435)</f>
        <v>0</v>
      </c>
      <c r="BC163" s="7">
        <f>IF($BL163&lt;&gt;"Yes",0,Calcs!EF435)</f>
        <v>0</v>
      </c>
      <c r="BD163" s="7">
        <f>IF($BL163&lt;&gt;"Yes",0,Calcs!EG435)</f>
        <v>0</v>
      </c>
      <c r="BE163" s="7">
        <f>IF($BL163&lt;&gt;"Yes",0,Calcs!EH435)</f>
        <v>0</v>
      </c>
      <c r="BF163" s="7">
        <f>IF($BL163&lt;&gt;"Yes",0,Calcs!EI435)</f>
        <v>0</v>
      </c>
      <c r="BG163" s="7">
        <f>IF($BL163&lt;&gt;"Yes",0,Calcs!EJ435)</f>
        <v>0</v>
      </c>
      <c r="BH163" s="7">
        <f>IF($BL163&lt;&gt;"Yes",0,Calcs!EK435)</f>
        <v>0</v>
      </c>
      <c r="BI163" s="7">
        <f>IF($BL163&lt;&gt;"Yes",0,Calcs!EL435)</f>
        <v>0</v>
      </c>
      <c r="BJ163" s="7">
        <f>IF($BL163&lt;&gt;"Yes",0,Calcs!EM435)</f>
        <v>0</v>
      </c>
    </row>
    <row r="164" spans="1:62" s="5" customFormat="1" ht="13" hidden="1" customHeight="1" x14ac:dyDescent="0.3">
      <c r="A164" s="6" t="str">
        <f>IF(AND(Calcs!CD436&lt;&gt;"",Calcs!CD436&lt;&gt;0),Calcs!CD436,"Operating Expense "&amp;Calcs!$BL164)</f>
        <v xml:space="preserve">Operating Expense </v>
      </c>
      <c r="B164" s="6" t="str">
        <f>IF(AND(Calcs!CE436&lt;&gt;"",Calcs!CE436&lt;&gt;0),Calcs!CE436,"Operating Expense "&amp;Calcs!Q436)</f>
        <v>Operating Expense 16</v>
      </c>
      <c r="C164" s="7">
        <f>IF($BL164&lt;&gt;"Yes",0,Calcs!CF436)</f>
        <v>0</v>
      </c>
      <c r="D164" s="7">
        <f>IF($BL164&lt;&gt;"Yes",0,Calcs!CG436)</f>
        <v>0</v>
      </c>
      <c r="E164" s="7">
        <f>IF($BL164&lt;&gt;"Yes",0,Calcs!CH436)</f>
        <v>0</v>
      </c>
      <c r="F164" s="7">
        <f>IF($BL164&lt;&gt;"Yes",0,Calcs!CI436)</f>
        <v>0</v>
      </c>
      <c r="G164" s="7">
        <f>IF($BL164&lt;&gt;"Yes",0,Calcs!CJ436)</f>
        <v>0</v>
      </c>
      <c r="H164" s="40"/>
      <c r="I164" s="7">
        <f>IF($BL164&lt;&gt;"Yes",0,Calcs!CL436)</f>
        <v>0</v>
      </c>
      <c r="J164" s="7">
        <f>IF($BL164&lt;&gt;"Yes",0,Calcs!CM436)</f>
        <v>0</v>
      </c>
      <c r="K164" s="7">
        <f>IF($BL164&lt;&gt;"Yes",0,Calcs!CN436)</f>
        <v>0</v>
      </c>
      <c r="L164" s="7">
        <f>IF($BL164&lt;&gt;"Yes",0,Calcs!CO436)</f>
        <v>0</v>
      </c>
      <c r="M164" s="7">
        <f>IF($BL164&lt;&gt;"Yes",0,Calcs!CP436)</f>
        <v>0</v>
      </c>
      <c r="N164" s="7">
        <f>IF($BL164&lt;&gt;"Yes",0,Calcs!CQ436)</f>
        <v>0</v>
      </c>
      <c r="O164" s="7">
        <f>IF($BL164&lt;&gt;"Yes",0,Calcs!CR436)</f>
        <v>0</v>
      </c>
      <c r="P164" s="7">
        <f>IF($BL164&lt;&gt;"Yes",0,Calcs!CS436)</f>
        <v>0</v>
      </c>
      <c r="Q164" s="7">
        <f>IF($BL164&lt;&gt;"Yes",0,Calcs!CT436)</f>
        <v>0</v>
      </c>
      <c r="R164" s="7">
        <f>IF($BL164&lt;&gt;"Yes",0,Calcs!CU436)</f>
        <v>0</v>
      </c>
      <c r="S164" s="7">
        <f>IF($BL164&lt;&gt;"Yes",0,Calcs!CV436)</f>
        <v>0</v>
      </c>
      <c r="T164" s="7">
        <f>IF($BL164&lt;&gt;"Yes",0,Calcs!CW436)</f>
        <v>0</v>
      </c>
      <c r="U164" s="7">
        <f>IF($BL164&lt;&gt;"Yes",0,Calcs!CX436)</f>
        <v>0</v>
      </c>
      <c r="V164" s="7">
        <f>IF($BL164&lt;&gt;"Yes",0,Calcs!CY436)</f>
        <v>0</v>
      </c>
      <c r="W164" s="7">
        <f>IF($BL164&lt;&gt;"Yes",0,Calcs!CZ436)</f>
        <v>0</v>
      </c>
      <c r="X164" s="7">
        <f>IF($BL164&lt;&gt;"Yes",0,Calcs!DA436)</f>
        <v>0</v>
      </c>
      <c r="Y164" s="7">
        <f>IF($BL164&lt;&gt;"Yes",0,Calcs!DB436)</f>
        <v>0</v>
      </c>
      <c r="Z164" s="7">
        <f>IF($BL164&lt;&gt;"Yes",0,Calcs!DC436)</f>
        <v>0</v>
      </c>
      <c r="AA164" s="7">
        <f>IF($BL164&lt;&gt;"Yes",0,Calcs!DD436)</f>
        <v>0</v>
      </c>
      <c r="AB164" s="7">
        <f>IF($BL164&lt;&gt;"Yes",0,Calcs!DE436)</f>
        <v>0</v>
      </c>
      <c r="AC164" s="7">
        <f>IF($BL164&lt;&gt;"Yes",0,Calcs!DF436)</f>
        <v>0</v>
      </c>
      <c r="AD164" s="7">
        <f>IF($BL164&lt;&gt;"Yes",0,Calcs!DG436)</f>
        <v>0</v>
      </c>
      <c r="AE164" s="7">
        <f>IF($BL164&lt;&gt;"Yes",0,Calcs!DH436)</f>
        <v>0</v>
      </c>
      <c r="AF164" s="7">
        <f>IF($BL164&lt;&gt;"Yes",0,Calcs!DI436)</f>
        <v>0</v>
      </c>
      <c r="AG164" s="7">
        <f>IF($BL164&lt;&gt;"Yes",0,Calcs!DJ436)</f>
        <v>0</v>
      </c>
      <c r="AH164" s="7">
        <f>IF($BL164&lt;&gt;"Yes",0,Calcs!DK436)</f>
        <v>0</v>
      </c>
      <c r="AI164" s="7">
        <f>IF($BL164&lt;&gt;"Yes",0,Calcs!DL436)</f>
        <v>0</v>
      </c>
      <c r="AJ164" s="7">
        <f>IF($BL164&lt;&gt;"Yes",0,Calcs!DM436)</f>
        <v>0</v>
      </c>
      <c r="AK164" s="7">
        <f>IF($BL164&lt;&gt;"Yes",0,Calcs!DN436)</f>
        <v>0</v>
      </c>
      <c r="AL164" s="7">
        <f>IF($BL164&lt;&gt;"Yes",0,Calcs!DO436)</f>
        <v>0</v>
      </c>
      <c r="AM164" s="7">
        <f>IF($BL164&lt;&gt;"Yes",0,Calcs!DP436)</f>
        <v>0</v>
      </c>
      <c r="AN164" s="7">
        <f>IF($BL164&lt;&gt;"Yes",0,Calcs!DQ436)</f>
        <v>0</v>
      </c>
      <c r="AO164" s="7">
        <f>IF($BL164&lt;&gt;"Yes",0,Calcs!DR436)</f>
        <v>0</v>
      </c>
      <c r="AP164" s="7">
        <f>IF($BL164&lt;&gt;"Yes",0,Calcs!DS436)</f>
        <v>0</v>
      </c>
      <c r="AQ164" s="7">
        <f>IF($BL164&lt;&gt;"Yes",0,Calcs!DT436)</f>
        <v>0</v>
      </c>
      <c r="AR164" s="7">
        <f>IF($BL164&lt;&gt;"Yes",0,Calcs!DU436)</f>
        <v>0</v>
      </c>
      <c r="AS164" s="7">
        <f>IF($BL164&lt;&gt;"Yes",0,Calcs!DV436)</f>
        <v>0</v>
      </c>
      <c r="AT164" s="7">
        <f>IF($BL164&lt;&gt;"Yes",0,Calcs!DW436)</f>
        <v>0</v>
      </c>
      <c r="AU164" s="7">
        <f>IF($BL164&lt;&gt;"Yes",0,Calcs!DX436)</f>
        <v>0</v>
      </c>
      <c r="AV164" s="7">
        <f>IF($BL164&lt;&gt;"Yes",0,Calcs!DY436)</f>
        <v>0</v>
      </c>
      <c r="AW164" s="7">
        <f>IF($BL164&lt;&gt;"Yes",0,Calcs!DZ436)</f>
        <v>0</v>
      </c>
      <c r="AX164" s="7">
        <f>IF($BL164&lt;&gt;"Yes",0,Calcs!EA436)</f>
        <v>0</v>
      </c>
      <c r="AY164" s="7">
        <f>IF($BL164&lt;&gt;"Yes",0,Calcs!EB436)</f>
        <v>0</v>
      </c>
      <c r="AZ164" s="7">
        <f>IF($BL164&lt;&gt;"Yes",0,Calcs!EC436)</f>
        <v>0</v>
      </c>
      <c r="BA164" s="7">
        <f>IF($BL164&lt;&gt;"Yes",0,Calcs!ED436)</f>
        <v>0</v>
      </c>
      <c r="BB164" s="7">
        <f>IF($BL164&lt;&gt;"Yes",0,Calcs!EE436)</f>
        <v>0</v>
      </c>
      <c r="BC164" s="7">
        <f>IF($BL164&lt;&gt;"Yes",0,Calcs!EF436)</f>
        <v>0</v>
      </c>
      <c r="BD164" s="7">
        <f>IF($BL164&lt;&gt;"Yes",0,Calcs!EG436)</f>
        <v>0</v>
      </c>
      <c r="BE164" s="7">
        <f>IF($BL164&lt;&gt;"Yes",0,Calcs!EH436)</f>
        <v>0</v>
      </c>
      <c r="BF164" s="7">
        <f>IF($BL164&lt;&gt;"Yes",0,Calcs!EI436)</f>
        <v>0</v>
      </c>
      <c r="BG164" s="7">
        <f>IF($BL164&lt;&gt;"Yes",0,Calcs!EJ436)</f>
        <v>0</v>
      </c>
      <c r="BH164" s="7">
        <f>IF($BL164&lt;&gt;"Yes",0,Calcs!EK436)</f>
        <v>0</v>
      </c>
      <c r="BI164" s="7">
        <f>IF($BL164&lt;&gt;"Yes",0,Calcs!EL436)</f>
        <v>0</v>
      </c>
      <c r="BJ164" s="7">
        <f>IF($BL164&lt;&gt;"Yes",0,Calcs!EM436)</f>
        <v>0</v>
      </c>
    </row>
    <row r="165" spans="1:62" s="5" customFormat="1" ht="13" hidden="1" customHeight="1" x14ac:dyDescent="0.3">
      <c r="A165" s="6" t="str">
        <f>IF(AND(Calcs!CD437&lt;&gt;"",Calcs!CD437&lt;&gt;0),Calcs!CD437,"Operating Expense "&amp;Calcs!$BL165)</f>
        <v xml:space="preserve">Operating Expense </v>
      </c>
      <c r="B165" s="6" t="str">
        <f>IF(AND(Calcs!CE437&lt;&gt;"",Calcs!CE437&lt;&gt;0),Calcs!CE437,"Operating Expense "&amp;Calcs!Q437)</f>
        <v>Operating Expense 17</v>
      </c>
      <c r="C165" s="7">
        <f>IF($BL165&lt;&gt;"Yes",0,Calcs!CF437)</f>
        <v>0</v>
      </c>
      <c r="D165" s="7">
        <f>IF($BL165&lt;&gt;"Yes",0,Calcs!CG437)</f>
        <v>0</v>
      </c>
      <c r="E165" s="7">
        <f>IF($BL165&lt;&gt;"Yes",0,Calcs!CH437)</f>
        <v>0</v>
      </c>
      <c r="F165" s="7">
        <f>IF($BL165&lt;&gt;"Yes",0,Calcs!CI437)</f>
        <v>0</v>
      </c>
      <c r="G165" s="7">
        <f>IF($BL165&lt;&gt;"Yes",0,Calcs!CJ437)</f>
        <v>0</v>
      </c>
      <c r="H165" s="40"/>
      <c r="I165" s="7">
        <f>IF($BL165&lt;&gt;"Yes",0,Calcs!CL437)</f>
        <v>0</v>
      </c>
      <c r="J165" s="7">
        <f>IF($BL165&lt;&gt;"Yes",0,Calcs!CM437)</f>
        <v>0</v>
      </c>
      <c r="K165" s="7">
        <f>IF($BL165&lt;&gt;"Yes",0,Calcs!CN437)</f>
        <v>0</v>
      </c>
      <c r="L165" s="7">
        <f>IF($BL165&lt;&gt;"Yes",0,Calcs!CO437)</f>
        <v>0</v>
      </c>
      <c r="M165" s="7">
        <f>IF($BL165&lt;&gt;"Yes",0,Calcs!CP437)</f>
        <v>0</v>
      </c>
      <c r="N165" s="7">
        <f>IF($BL165&lt;&gt;"Yes",0,Calcs!CQ437)</f>
        <v>0</v>
      </c>
      <c r="O165" s="7">
        <f>IF($BL165&lt;&gt;"Yes",0,Calcs!CR437)</f>
        <v>0</v>
      </c>
      <c r="P165" s="7">
        <f>IF($BL165&lt;&gt;"Yes",0,Calcs!CS437)</f>
        <v>0</v>
      </c>
      <c r="Q165" s="7">
        <f>IF($BL165&lt;&gt;"Yes",0,Calcs!CT437)</f>
        <v>0</v>
      </c>
      <c r="R165" s="7">
        <f>IF($BL165&lt;&gt;"Yes",0,Calcs!CU437)</f>
        <v>0</v>
      </c>
      <c r="S165" s="7">
        <f>IF($BL165&lt;&gt;"Yes",0,Calcs!CV437)</f>
        <v>0</v>
      </c>
      <c r="T165" s="7">
        <f>IF($BL165&lt;&gt;"Yes",0,Calcs!CW437)</f>
        <v>0</v>
      </c>
      <c r="U165" s="7">
        <f>IF($BL165&lt;&gt;"Yes",0,Calcs!CX437)</f>
        <v>0</v>
      </c>
      <c r="V165" s="7">
        <f>IF($BL165&lt;&gt;"Yes",0,Calcs!CY437)</f>
        <v>0</v>
      </c>
      <c r="W165" s="7">
        <f>IF($BL165&lt;&gt;"Yes",0,Calcs!CZ437)</f>
        <v>0</v>
      </c>
      <c r="X165" s="7">
        <f>IF($BL165&lt;&gt;"Yes",0,Calcs!DA437)</f>
        <v>0</v>
      </c>
      <c r="Y165" s="7">
        <f>IF($BL165&lt;&gt;"Yes",0,Calcs!DB437)</f>
        <v>0</v>
      </c>
      <c r="Z165" s="7">
        <f>IF($BL165&lt;&gt;"Yes",0,Calcs!DC437)</f>
        <v>0</v>
      </c>
      <c r="AA165" s="7">
        <f>IF($BL165&lt;&gt;"Yes",0,Calcs!DD437)</f>
        <v>0</v>
      </c>
      <c r="AB165" s="7">
        <f>IF($BL165&lt;&gt;"Yes",0,Calcs!DE437)</f>
        <v>0</v>
      </c>
      <c r="AC165" s="7">
        <f>IF($BL165&lt;&gt;"Yes",0,Calcs!DF437)</f>
        <v>0</v>
      </c>
      <c r="AD165" s="7">
        <f>IF($BL165&lt;&gt;"Yes",0,Calcs!DG437)</f>
        <v>0</v>
      </c>
      <c r="AE165" s="7">
        <f>IF($BL165&lt;&gt;"Yes",0,Calcs!DH437)</f>
        <v>0</v>
      </c>
      <c r="AF165" s="7">
        <f>IF($BL165&lt;&gt;"Yes",0,Calcs!DI437)</f>
        <v>0</v>
      </c>
      <c r="AG165" s="7">
        <f>IF($BL165&lt;&gt;"Yes",0,Calcs!DJ437)</f>
        <v>0</v>
      </c>
      <c r="AH165" s="7">
        <f>IF($BL165&lt;&gt;"Yes",0,Calcs!DK437)</f>
        <v>0</v>
      </c>
      <c r="AI165" s="7">
        <f>IF($BL165&lt;&gt;"Yes",0,Calcs!DL437)</f>
        <v>0</v>
      </c>
      <c r="AJ165" s="7">
        <f>IF($BL165&lt;&gt;"Yes",0,Calcs!DM437)</f>
        <v>0</v>
      </c>
      <c r="AK165" s="7">
        <f>IF($BL165&lt;&gt;"Yes",0,Calcs!DN437)</f>
        <v>0</v>
      </c>
      <c r="AL165" s="7">
        <f>IF($BL165&lt;&gt;"Yes",0,Calcs!DO437)</f>
        <v>0</v>
      </c>
      <c r="AM165" s="7">
        <f>IF($BL165&lt;&gt;"Yes",0,Calcs!DP437)</f>
        <v>0</v>
      </c>
      <c r="AN165" s="7">
        <f>IF($BL165&lt;&gt;"Yes",0,Calcs!DQ437)</f>
        <v>0</v>
      </c>
      <c r="AO165" s="7">
        <f>IF($BL165&lt;&gt;"Yes",0,Calcs!DR437)</f>
        <v>0</v>
      </c>
      <c r="AP165" s="7">
        <f>IF($BL165&lt;&gt;"Yes",0,Calcs!DS437)</f>
        <v>0</v>
      </c>
      <c r="AQ165" s="7">
        <f>IF($BL165&lt;&gt;"Yes",0,Calcs!DT437)</f>
        <v>0</v>
      </c>
      <c r="AR165" s="7">
        <f>IF($BL165&lt;&gt;"Yes",0,Calcs!DU437)</f>
        <v>0</v>
      </c>
      <c r="AS165" s="7">
        <f>IF($BL165&lt;&gt;"Yes",0,Calcs!DV437)</f>
        <v>0</v>
      </c>
      <c r="AT165" s="7">
        <f>IF($BL165&lt;&gt;"Yes",0,Calcs!DW437)</f>
        <v>0</v>
      </c>
      <c r="AU165" s="7">
        <f>IF($BL165&lt;&gt;"Yes",0,Calcs!DX437)</f>
        <v>0</v>
      </c>
      <c r="AV165" s="7">
        <f>IF($BL165&lt;&gt;"Yes",0,Calcs!DY437)</f>
        <v>0</v>
      </c>
      <c r="AW165" s="7">
        <f>IF($BL165&lt;&gt;"Yes",0,Calcs!DZ437)</f>
        <v>0</v>
      </c>
      <c r="AX165" s="7">
        <f>IF($BL165&lt;&gt;"Yes",0,Calcs!EA437)</f>
        <v>0</v>
      </c>
      <c r="AY165" s="7">
        <f>IF($BL165&lt;&gt;"Yes",0,Calcs!EB437)</f>
        <v>0</v>
      </c>
      <c r="AZ165" s="7">
        <f>IF($BL165&lt;&gt;"Yes",0,Calcs!EC437)</f>
        <v>0</v>
      </c>
      <c r="BA165" s="7">
        <f>IF($BL165&lt;&gt;"Yes",0,Calcs!ED437)</f>
        <v>0</v>
      </c>
      <c r="BB165" s="7">
        <f>IF($BL165&lt;&gt;"Yes",0,Calcs!EE437)</f>
        <v>0</v>
      </c>
      <c r="BC165" s="7">
        <f>IF($BL165&lt;&gt;"Yes",0,Calcs!EF437)</f>
        <v>0</v>
      </c>
      <c r="BD165" s="7">
        <f>IF($BL165&lt;&gt;"Yes",0,Calcs!EG437)</f>
        <v>0</v>
      </c>
      <c r="BE165" s="7">
        <f>IF($BL165&lt;&gt;"Yes",0,Calcs!EH437)</f>
        <v>0</v>
      </c>
      <c r="BF165" s="7">
        <f>IF($BL165&lt;&gt;"Yes",0,Calcs!EI437)</f>
        <v>0</v>
      </c>
      <c r="BG165" s="7">
        <f>IF($BL165&lt;&gt;"Yes",0,Calcs!EJ437)</f>
        <v>0</v>
      </c>
      <c r="BH165" s="7">
        <f>IF($BL165&lt;&gt;"Yes",0,Calcs!EK437)</f>
        <v>0</v>
      </c>
      <c r="BI165" s="7">
        <f>IF($BL165&lt;&gt;"Yes",0,Calcs!EL437)</f>
        <v>0</v>
      </c>
      <c r="BJ165" s="7">
        <f>IF($BL165&lt;&gt;"Yes",0,Calcs!EM437)</f>
        <v>0</v>
      </c>
    </row>
    <row r="166" spans="1:62" s="5" customFormat="1" ht="13" hidden="1" customHeight="1" x14ac:dyDescent="0.3">
      <c r="A166" s="6" t="str">
        <f>IF(AND(Calcs!CD438&lt;&gt;"",Calcs!CD438&lt;&gt;0),Calcs!CD438,"Operating Expense "&amp;Calcs!$BL166)</f>
        <v xml:space="preserve">Operating Expense </v>
      </c>
      <c r="B166" s="6" t="str">
        <f>IF(AND(Calcs!CE438&lt;&gt;"",Calcs!CE438&lt;&gt;0),Calcs!CE438,"Operating Expense "&amp;Calcs!Q438)</f>
        <v>Operating Expense 18</v>
      </c>
      <c r="C166" s="7">
        <f>IF($BL166&lt;&gt;"Yes",0,Calcs!CF438)</f>
        <v>0</v>
      </c>
      <c r="D166" s="7">
        <f>IF($BL166&lt;&gt;"Yes",0,Calcs!CG438)</f>
        <v>0</v>
      </c>
      <c r="E166" s="7">
        <f>IF($BL166&lt;&gt;"Yes",0,Calcs!CH438)</f>
        <v>0</v>
      </c>
      <c r="F166" s="7">
        <f>IF($BL166&lt;&gt;"Yes",0,Calcs!CI438)</f>
        <v>0</v>
      </c>
      <c r="G166" s="7">
        <f>IF($BL166&lt;&gt;"Yes",0,Calcs!CJ438)</f>
        <v>0</v>
      </c>
      <c r="H166" s="40"/>
      <c r="I166" s="7">
        <f>IF($BL166&lt;&gt;"Yes",0,Calcs!CL438)</f>
        <v>0</v>
      </c>
      <c r="J166" s="7">
        <f>IF($BL166&lt;&gt;"Yes",0,Calcs!CM438)</f>
        <v>0</v>
      </c>
      <c r="K166" s="7">
        <f>IF($BL166&lt;&gt;"Yes",0,Calcs!CN438)</f>
        <v>0</v>
      </c>
      <c r="L166" s="7">
        <f>IF($BL166&lt;&gt;"Yes",0,Calcs!CO438)</f>
        <v>0</v>
      </c>
      <c r="M166" s="7">
        <f>IF($BL166&lt;&gt;"Yes",0,Calcs!CP438)</f>
        <v>0</v>
      </c>
      <c r="N166" s="7">
        <f>IF($BL166&lt;&gt;"Yes",0,Calcs!CQ438)</f>
        <v>0</v>
      </c>
      <c r="O166" s="7">
        <f>IF($BL166&lt;&gt;"Yes",0,Calcs!CR438)</f>
        <v>0</v>
      </c>
      <c r="P166" s="7">
        <f>IF($BL166&lt;&gt;"Yes",0,Calcs!CS438)</f>
        <v>0</v>
      </c>
      <c r="Q166" s="7">
        <f>IF($BL166&lt;&gt;"Yes",0,Calcs!CT438)</f>
        <v>0</v>
      </c>
      <c r="R166" s="7">
        <f>IF($BL166&lt;&gt;"Yes",0,Calcs!CU438)</f>
        <v>0</v>
      </c>
      <c r="S166" s="7">
        <f>IF($BL166&lt;&gt;"Yes",0,Calcs!CV438)</f>
        <v>0</v>
      </c>
      <c r="T166" s="7">
        <f>IF($BL166&lt;&gt;"Yes",0,Calcs!CW438)</f>
        <v>0</v>
      </c>
      <c r="U166" s="7">
        <f>IF($BL166&lt;&gt;"Yes",0,Calcs!CX438)</f>
        <v>0</v>
      </c>
      <c r="V166" s="7">
        <f>IF($BL166&lt;&gt;"Yes",0,Calcs!CY438)</f>
        <v>0</v>
      </c>
      <c r="W166" s="7">
        <f>IF($BL166&lt;&gt;"Yes",0,Calcs!CZ438)</f>
        <v>0</v>
      </c>
      <c r="X166" s="7">
        <f>IF($BL166&lt;&gt;"Yes",0,Calcs!DA438)</f>
        <v>0</v>
      </c>
      <c r="Y166" s="7">
        <f>IF($BL166&lt;&gt;"Yes",0,Calcs!DB438)</f>
        <v>0</v>
      </c>
      <c r="Z166" s="7">
        <f>IF($BL166&lt;&gt;"Yes",0,Calcs!DC438)</f>
        <v>0</v>
      </c>
      <c r="AA166" s="7">
        <f>IF($BL166&lt;&gt;"Yes",0,Calcs!DD438)</f>
        <v>0</v>
      </c>
      <c r="AB166" s="7">
        <f>IF($BL166&lt;&gt;"Yes",0,Calcs!DE438)</f>
        <v>0</v>
      </c>
      <c r="AC166" s="7">
        <f>IF($BL166&lt;&gt;"Yes",0,Calcs!DF438)</f>
        <v>0</v>
      </c>
      <c r="AD166" s="7">
        <f>IF($BL166&lt;&gt;"Yes",0,Calcs!DG438)</f>
        <v>0</v>
      </c>
      <c r="AE166" s="7">
        <f>IF($BL166&lt;&gt;"Yes",0,Calcs!DH438)</f>
        <v>0</v>
      </c>
      <c r="AF166" s="7">
        <f>IF($BL166&lt;&gt;"Yes",0,Calcs!DI438)</f>
        <v>0</v>
      </c>
      <c r="AG166" s="7">
        <f>IF($BL166&lt;&gt;"Yes",0,Calcs!DJ438)</f>
        <v>0</v>
      </c>
      <c r="AH166" s="7">
        <f>IF($BL166&lt;&gt;"Yes",0,Calcs!DK438)</f>
        <v>0</v>
      </c>
      <c r="AI166" s="7">
        <f>IF($BL166&lt;&gt;"Yes",0,Calcs!DL438)</f>
        <v>0</v>
      </c>
      <c r="AJ166" s="7">
        <f>IF($BL166&lt;&gt;"Yes",0,Calcs!DM438)</f>
        <v>0</v>
      </c>
      <c r="AK166" s="7">
        <f>IF($BL166&lt;&gt;"Yes",0,Calcs!DN438)</f>
        <v>0</v>
      </c>
      <c r="AL166" s="7">
        <f>IF($BL166&lt;&gt;"Yes",0,Calcs!DO438)</f>
        <v>0</v>
      </c>
      <c r="AM166" s="7">
        <f>IF($BL166&lt;&gt;"Yes",0,Calcs!DP438)</f>
        <v>0</v>
      </c>
      <c r="AN166" s="7">
        <f>IF($BL166&lt;&gt;"Yes",0,Calcs!DQ438)</f>
        <v>0</v>
      </c>
      <c r="AO166" s="7">
        <f>IF($BL166&lt;&gt;"Yes",0,Calcs!DR438)</f>
        <v>0</v>
      </c>
      <c r="AP166" s="7">
        <f>IF($BL166&lt;&gt;"Yes",0,Calcs!DS438)</f>
        <v>0</v>
      </c>
      <c r="AQ166" s="7">
        <f>IF($BL166&lt;&gt;"Yes",0,Calcs!DT438)</f>
        <v>0</v>
      </c>
      <c r="AR166" s="7">
        <f>IF($BL166&lt;&gt;"Yes",0,Calcs!DU438)</f>
        <v>0</v>
      </c>
      <c r="AS166" s="7">
        <f>IF($BL166&lt;&gt;"Yes",0,Calcs!DV438)</f>
        <v>0</v>
      </c>
      <c r="AT166" s="7">
        <f>IF($BL166&lt;&gt;"Yes",0,Calcs!DW438)</f>
        <v>0</v>
      </c>
      <c r="AU166" s="7">
        <f>IF($BL166&lt;&gt;"Yes",0,Calcs!DX438)</f>
        <v>0</v>
      </c>
      <c r="AV166" s="7">
        <f>IF($BL166&lt;&gt;"Yes",0,Calcs!DY438)</f>
        <v>0</v>
      </c>
      <c r="AW166" s="7">
        <f>IF($BL166&lt;&gt;"Yes",0,Calcs!DZ438)</f>
        <v>0</v>
      </c>
      <c r="AX166" s="7">
        <f>IF($BL166&lt;&gt;"Yes",0,Calcs!EA438)</f>
        <v>0</v>
      </c>
      <c r="AY166" s="7">
        <f>IF($BL166&lt;&gt;"Yes",0,Calcs!EB438)</f>
        <v>0</v>
      </c>
      <c r="AZ166" s="7">
        <f>IF($BL166&lt;&gt;"Yes",0,Calcs!EC438)</f>
        <v>0</v>
      </c>
      <c r="BA166" s="7">
        <f>IF($BL166&lt;&gt;"Yes",0,Calcs!ED438)</f>
        <v>0</v>
      </c>
      <c r="BB166" s="7">
        <f>IF($BL166&lt;&gt;"Yes",0,Calcs!EE438)</f>
        <v>0</v>
      </c>
      <c r="BC166" s="7">
        <f>IF($BL166&lt;&gt;"Yes",0,Calcs!EF438)</f>
        <v>0</v>
      </c>
      <c r="BD166" s="7">
        <f>IF($BL166&lt;&gt;"Yes",0,Calcs!EG438)</f>
        <v>0</v>
      </c>
      <c r="BE166" s="7">
        <f>IF($BL166&lt;&gt;"Yes",0,Calcs!EH438)</f>
        <v>0</v>
      </c>
      <c r="BF166" s="7">
        <f>IF($BL166&lt;&gt;"Yes",0,Calcs!EI438)</f>
        <v>0</v>
      </c>
      <c r="BG166" s="7">
        <f>IF($BL166&lt;&gt;"Yes",0,Calcs!EJ438)</f>
        <v>0</v>
      </c>
      <c r="BH166" s="7">
        <f>IF($BL166&lt;&gt;"Yes",0,Calcs!EK438)</f>
        <v>0</v>
      </c>
      <c r="BI166" s="7">
        <f>IF($BL166&lt;&gt;"Yes",0,Calcs!EL438)</f>
        <v>0</v>
      </c>
      <c r="BJ166" s="7">
        <f>IF($BL166&lt;&gt;"Yes",0,Calcs!EM438)</f>
        <v>0</v>
      </c>
    </row>
    <row r="167" spans="1:62" s="5" customFormat="1" ht="13" hidden="1" customHeight="1" x14ac:dyDescent="0.3">
      <c r="A167" s="6" t="str">
        <f>IF(AND(Calcs!CD439&lt;&gt;"",Calcs!CD439&lt;&gt;0),Calcs!CD439,"Operating Expense "&amp;Calcs!$BL167)</f>
        <v xml:space="preserve">Operating Expense </v>
      </c>
      <c r="B167" s="6" t="str">
        <f>IF(AND(Calcs!CE439&lt;&gt;"",Calcs!CE439&lt;&gt;0),Calcs!CE439,"Operating Expense "&amp;Calcs!Q439)</f>
        <v>Operating Expense 19</v>
      </c>
      <c r="C167" s="7">
        <f>IF($BL167&lt;&gt;"Yes",0,Calcs!CF439)</f>
        <v>0</v>
      </c>
      <c r="D167" s="7">
        <f>IF($BL167&lt;&gt;"Yes",0,Calcs!CG439)</f>
        <v>0</v>
      </c>
      <c r="E167" s="7">
        <f>IF($BL167&lt;&gt;"Yes",0,Calcs!CH439)</f>
        <v>0</v>
      </c>
      <c r="F167" s="7">
        <f>IF($BL167&lt;&gt;"Yes",0,Calcs!CI439)</f>
        <v>0</v>
      </c>
      <c r="G167" s="7">
        <f>IF($BL167&lt;&gt;"Yes",0,Calcs!CJ439)</f>
        <v>0</v>
      </c>
      <c r="H167" s="40"/>
      <c r="I167" s="7">
        <f>IF($BL167&lt;&gt;"Yes",0,Calcs!CL439)</f>
        <v>0</v>
      </c>
      <c r="J167" s="7">
        <f>IF($BL167&lt;&gt;"Yes",0,Calcs!CM439)</f>
        <v>0</v>
      </c>
      <c r="K167" s="7">
        <f>IF($BL167&lt;&gt;"Yes",0,Calcs!CN439)</f>
        <v>0</v>
      </c>
      <c r="L167" s="7">
        <f>IF($BL167&lt;&gt;"Yes",0,Calcs!CO439)</f>
        <v>0</v>
      </c>
      <c r="M167" s="7">
        <f>IF($BL167&lt;&gt;"Yes",0,Calcs!CP439)</f>
        <v>0</v>
      </c>
      <c r="N167" s="7">
        <f>IF($BL167&lt;&gt;"Yes",0,Calcs!CQ439)</f>
        <v>0</v>
      </c>
      <c r="O167" s="7">
        <f>IF($BL167&lt;&gt;"Yes",0,Calcs!CR439)</f>
        <v>0</v>
      </c>
      <c r="P167" s="7">
        <f>IF($BL167&lt;&gt;"Yes",0,Calcs!CS439)</f>
        <v>0</v>
      </c>
      <c r="Q167" s="7">
        <f>IF($BL167&lt;&gt;"Yes",0,Calcs!CT439)</f>
        <v>0</v>
      </c>
      <c r="R167" s="7">
        <f>IF($BL167&lt;&gt;"Yes",0,Calcs!CU439)</f>
        <v>0</v>
      </c>
      <c r="S167" s="7">
        <f>IF($BL167&lt;&gt;"Yes",0,Calcs!CV439)</f>
        <v>0</v>
      </c>
      <c r="T167" s="7">
        <f>IF($BL167&lt;&gt;"Yes",0,Calcs!CW439)</f>
        <v>0</v>
      </c>
      <c r="U167" s="7">
        <f>IF($BL167&lt;&gt;"Yes",0,Calcs!CX439)</f>
        <v>0</v>
      </c>
      <c r="V167" s="7">
        <f>IF($BL167&lt;&gt;"Yes",0,Calcs!CY439)</f>
        <v>0</v>
      </c>
      <c r="W167" s="7">
        <f>IF($BL167&lt;&gt;"Yes",0,Calcs!CZ439)</f>
        <v>0</v>
      </c>
      <c r="X167" s="7">
        <f>IF($BL167&lt;&gt;"Yes",0,Calcs!DA439)</f>
        <v>0</v>
      </c>
      <c r="Y167" s="7">
        <f>IF($BL167&lt;&gt;"Yes",0,Calcs!DB439)</f>
        <v>0</v>
      </c>
      <c r="Z167" s="7">
        <f>IF($BL167&lt;&gt;"Yes",0,Calcs!DC439)</f>
        <v>0</v>
      </c>
      <c r="AA167" s="7">
        <f>IF($BL167&lt;&gt;"Yes",0,Calcs!DD439)</f>
        <v>0</v>
      </c>
      <c r="AB167" s="7">
        <f>IF($BL167&lt;&gt;"Yes",0,Calcs!DE439)</f>
        <v>0</v>
      </c>
      <c r="AC167" s="7">
        <f>IF($BL167&lt;&gt;"Yes",0,Calcs!DF439)</f>
        <v>0</v>
      </c>
      <c r="AD167" s="7">
        <f>IF($BL167&lt;&gt;"Yes",0,Calcs!DG439)</f>
        <v>0</v>
      </c>
      <c r="AE167" s="7">
        <f>IF($BL167&lt;&gt;"Yes",0,Calcs!DH439)</f>
        <v>0</v>
      </c>
      <c r="AF167" s="7">
        <f>IF($BL167&lt;&gt;"Yes",0,Calcs!DI439)</f>
        <v>0</v>
      </c>
      <c r="AG167" s="7">
        <f>IF($BL167&lt;&gt;"Yes",0,Calcs!DJ439)</f>
        <v>0</v>
      </c>
      <c r="AH167" s="7">
        <f>IF($BL167&lt;&gt;"Yes",0,Calcs!DK439)</f>
        <v>0</v>
      </c>
      <c r="AI167" s="7">
        <f>IF($BL167&lt;&gt;"Yes",0,Calcs!DL439)</f>
        <v>0</v>
      </c>
      <c r="AJ167" s="7">
        <f>IF($BL167&lt;&gt;"Yes",0,Calcs!DM439)</f>
        <v>0</v>
      </c>
      <c r="AK167" s="7">
        <f>IF($BL167&lt;&gt;"Yes",0,Calcs!DN439)</f>
        <v>0</v>
      </c>
      <c r="AL167" s="7">
        <f>IF($BL167&lt;&gt;"Yes",0,Calcs!DO439)</f>
        <v>0</v>
      </c>
      <c r="AM167" s="7">
        <f>IF($BL167&lt;&gt;"Yes",0,Calcs!DP439)</f>
        <v>0</v>
      </c>
      <c r="AN167" s="7">
        <f>IF($BL167&lt;&gt;"Yes",0,Calcs!DQ439)</f>
        <v>0</v>
      </c>
      <c r="AO167" s="7">
        <f>IF($BL167&lt;&gt;"Yes",0,Calcs!DR439)</f>
        <v>0</v>
      </c>
      <c r="AP167" s="7">
        <f>IF($BL167&lt;&gt;"Yes",0,Calcs!DS439)</f>
        <v>0</v>
      </c>
      <c r="AQ167" s="7">
        <f>IF($BL167&lt;&gt;"Yes",0,Calcs!DT439)</f>
        <v>0</v>
      </c>
      <c r="AR167" s="7">
        <f>IF($BL167&lt;&gt;"Yes",0,Calcs!DU439)</f>
        <v>0</v>
      </c>
      <c r="AS167" s="7">
        <f>IF($BL167&lt;&gt;"Yes",0,Calcs!DV439)</f>
        <v>0</v>
      </c>
      <c r="AT167" s="7">
        <f>IF($BL167&lt;&gt;"Yes",0,Calcs!DW439)</f>
        <v>0</v>
      </c>
      <c r="AU167" s="7">
        <f>IF($BL167&lt;&gt;"Yes",0,Calcs!DX439)</f>
        <v>0</v>
      </c>
      <c r="AV167" s="7">
        <f>IF($BL167&lt;&gt;"Yes",0,Calcs!DY439)</f>
        <v>0</v>
      </c>
      <c r="AW167" s="7">
        <f>IF($BL167&lt;&gt;"Yes",0,Calcs!DZ439)</f>
        <v>0</v>
      </c>
      <c r="AX167" s="7">
        <f>IF($BL167&lt;&gt;"Yes",0,Calcs!EA439)</f>
        <v>0</v>
      </c>
      <c r="AY167" s="7">
        <f>IF($BL167&lt;&gt;"Yes",0,Calcs!EB439)</f>
        <v>0</v>
      </c>
      <c r="AZ167" s="7">
        <f>IF($BL167&lt;&gt;"Yes",0,Calcs!EC439)</f>
        <v>0</v>
      </c>
      <c r="BA167" s="7">
        <f>IF($BL167&lt;&gt;"Yes",0,Calcs!ED439)</f>
        <v>0</v>
      </c>
      <c r="BB167" s="7">
        <f>IF($BL167&lt;&gt;"Yes",0,Calcs!EE439)</f>
        <v>0</v>
      </c>
      <c r="BC167" s="7">
        <f>IF($BL167&lt;&gt;"Yes",0,Calcs!EF439)</f>
        <v>0</v>
      </c>
      <c r="BD167" s="7">
        <f>IF($BL167&lt;&gt;"Yes",0,Calcs!EG439)</f>
        <v>0</v>
      </c>
      <c r="BE167" s="7">
        <f>IF($BL167&lt;&gt;"Yes",0,Calcs!EH439)</f>
        <v>0</v>
      </c>
      <c r="BF167" s="7">
        <f>IF($BL167&lt;&gt;"Yes",0,Calcs!EI439)</f>
        <v>0</v>
      </c>
      <c r="BG167" s="7">
        <f>IF($BL167&lt;&gt;"Yes",0,Calcs!EJ439)</f>
        <v>0</v>
      </c>
      <c r="BH167" s="7">
        <f>IF($BL167&lt;&gt;"Yes",0,Calcs!EK439)</f>
        <v>0</v>
      </c>
      <c r="BI167" s="7">
        <f>IF($BL167&lt;&gt;"Yes",0,Calcs!EL439)</f>
        <v>0</v>
      </c>
      <c r="BJ167" s="7">
        <f>IF($BL167&lt;&gt;"Yes",0,Calcs!EM439)</f>
        <v>0</v>
      </c>
    </row>
    <row r="168" spans="1:62" s="5" customFormat="1" ht="13" hidden="1" customHeight="1" x14ac:dyDescent="0.3">
      <c r="A168" s="6" t="str">
        <f>IF(AND(Calcs!CD440&lt;&gt;"",Calcs!CD440&lt;&gt;0),Calcs!CD440,"Operating Expense "&amp;Calcs!$BL168)</f>
        <v xml:space="preserve">Operating Expense </v>
      </c>
      <c r="B168" s="6" t="str">
        <f>IF(AND(Calcs!CE440&lt;&gt;"",Calcs!CE440&lt;&gt;0),Calcs!CE440,"Operating Expense "&amp;Calcs!Q440)</f>
        <v>Operating Expense 20</v>
      </c>
      <c r="C168" s="7">
        <f>IF($BL168&lt;&gt;"Yes",0,Calcs!CF440)</f>
        <v>0</v>
      </c>
      <c r="D168" s="7">
        <f>IF($BL168&lt;&gt;"Yes",0,Calcs!CG440)</f>
        <v>0</v>
      </c>
      <c r="E168" s="7">
        <f>IF($BL168&lt;&gt;"Yes",0,Calcs!CH440)</f>
        <v>0</v>
      </c>
      <c r="F168" s="7">
        <f>IF($BL168&lt;&gt;"Yes",0,Calcs!CI440)</f>
        <v>0</v>
      </c>
      <c r="G168" s="7">
        <f>IF($BL168&lt;&gt;"Yes",0,Calcs!CJ440)</f>
        <v>0</v>
      </c>
      <c r="H168" s="40"/>
      <c r="I168" s="7">
        <f>IF($BL168&lt;&gt;"Yes",0,Calcs!CL440)</f>
        <v>0</v>
      </c>
      <c r="J168" s="7">
        <f>IF($BL168&lt;&gt;"Yes",0,Calcs!CM440)</f>
        <v>0</v>
      </c>
      <c r="K168" s="7">
        <f>IF($BL168&lt;&gt;"Yes",0,Calcs!CN440)</f>
        <v>0</v>
      </c>
      <c r="L168" s="7">
        <f>IF($BL168&lt;&gt;"Yes",0,Calcs!CO440)</f>
        <v>0</v>
      </c>
      <c r="M168" s="7">
        <f>IF($BL168&lt;&gt;"Yes",0,Calcs!CP440)</f>
        <v>0</v>
      </c>
      <c r="N168" s="7">
        <f>IF($BL168&lt;&gt;"Yes",0,Calcs!CQ440)</f>
        <v>0</v>
      </c>
      <c r="O168" s="7">
        <f>IF($BL168&lt;&gt;"Yes",0,Calcs!CR440)</f>
        <v>0</v>
      </c>
      <c r="P168" s="7">
        <f>IF($BL168&lt;&gt;"Yes",0,Calcs!CS440)</f>
        <v>0</v>
      </c>
      <c r="Q168" s="7">
        <f>IF($BL168&lt;&gt;"Yes",0,Calcs!CT440)</f>
        <v>0</v>
      </c>
      <c r="R168" s="7">
        <f>IF($BL168&lt;&gt;"Yes",0,Calcs!CU440)</f>
        <v>0</v>
      </c>
      <c r="S168" s="7">
        <f>IF($BL168&lt;&gt;"Yes",0,Calcs!CV440)</f>
        <v>0</v>
      </c>
      <c r="T168" s="7">
        <f>IF($BL168&lt;&gt;"Yes",0,Calcs!CW440)</f>
        <v>0</v>
      </c>
      <c r="U168" s="7">
        <f>IF($BL168&lt;&gt;"Yes",0,Calcs!CX440)</f>
        <v>0</v>
      </c>
      <c r="V168" s="7">
        <f>IF($BL168&lt;&gt;"Yes",0,Calcs!CY440)</f>
        <v>0</v>
      </c>
      <c r="W168" s="7">
        <f>IF($BL168&lt;&gt;"Yes",0,Calcs!CZ440)</f>
        <v>0</v>
      </c>
      <c r="X168" s="7">
        <f>IF($BL168&lt;&gt;"Yes",0,Calcs!DA440)</f>
        <v>0</v>
      </c>
      <c r="Y168" s="7">
        <f>IF($BL168&lt;&gt;"Yes",0,Calcs!DB440)</f>
        <v>0</v>
      </c>
      <c r="Z168" s="7">
        <f>IF($BL168&lt;&gt;"Yes",0,Calcs!DC440)</f>
        <v>0</v>
      </c>
      <c r="AA168" s="7">
        <f>IF($BL168&lt;&gt;"Yes",0,Calcs!DD440)</f>
        <v>0</v>
      </c>
      <c r="AB168" s="7">
        <f>IF($BL168&lt;&gt;"Yes",0,Calcs!DE440)</f>
        <v>0</v>
      </c>
      <c r="AC168" s="7">
        <f>IF($BL168&lt;&gt;"Yes",0,Calcs!DF440)</f>
        <v>0</v>
      </c>
      <c r="AD168" s="7">
        <f>IF($BL168&lt;&gt;"Yes",0,Calcs!DG440)</f>
        <v>0</v>
      </c>
      <c r="AE168" s="7">
        <f>IF($BL168&lt;&gt;"Yes",0,Calcs!DH440)</f>
        <v>0</v>
      </c>
      <c r="AF168" s="7">
        <f>IF($BL168&lt;&gt;"Yes",0,Calcs!DI440)</f>
        <v>0</v>
      </c>
      <c r="AG168" s="7">
        <f>IF($BL168&lt;&gt;"Yes",0,Calcs!DJ440)</f>
        <v>0</v>
      </c>
      <c r="AH168" s="7">
        <f>IF($BL168&lt;&gt;"Yes",0,Calcs!DK440)</f>
        <v>0</v>
      </c>
      <c r="AI168" s="7">
        <f>IF($BL168&lt;&gt;"Yes",0,Calcs!DL440)</f>
        <v>0</v>
      </c>
      <c r="AJ168" s="7">
        <f>IF($BL168&lt;&gt;"Yes",0,Calcs!DM440)</f>
        <v>0</v>
      </c>
      <c r="AK168" s="7">
        <f>IF($BL168&lt;&gt;"Yes",0,Calcs!DN440)</f>
        <v>0</v>
      </c>
      <c r="AL168" s="7">
        <f>IF($BL168&lt;&gt;"Yes",0,Calcs!DO440)</f>
        <v>0</v>
      </c>
      <c r="AM168" s="7">
        <f>IF($BL168&lt;&gt;"Yes",0,Calcs!DP440)</f>
        <v>0</v>
      </c>
      <c r="AN168" s="7">
        <f>IF($BL168&lt;&gt;"Yes",0,Calcs!DQ440)</f>
        <v>0</v>
      </c>
      <c r="AO168" s="7">
        <f>IF($BL168&lt;&gt;"Yes",0,Calcs!DR440)</f>
        <v>0</v>
      </c>
      <c r="AP168" s="7">
        <f>IF($BL168&lt;&gt;"Yes",0,Calcs!DS440)</f>
        <v>0</v>
      </c>
      <c r="AQ168" s="7">
        <f>IF($BL168&lt;&gt;"Yes",0,Calcs!DT440)</f>
        <v>0</v>
      </c>
      <c r="AR168" s="7">
        <f>IF($BL168&lt;&gt;"Yes",0,Calcs!DU440)</f>
        <v>0</v>
      </c>
      <c r="AS168" s="7">
        <f>IF($BL168&lt;&gt;"Yes",0,Calcs!DV440)</f>
        <v>0</v>
      </c>
      <c r="AT168" s="7">
        <f>IF($BL168&lt;&gt;"Yes",0,Calcs!DW440)</f>
        <v>0</v>
      </c>
      <c r="AU168" s="7">
        <f>IF($BL168&lt;&gt;"Yes",0,Calcs!DX440)</f>
        <v>0</v>
      </c>
      <c r="AV168" s="7">
        <f>IF($BL168&lt;&gt;"Yes",0,Calcs!DY440)</f>
        <v>0</v>
      </c>
      <c r="AW168" s="7">
        <f>IF($BL168&lt;&gt;"Yes",0,Calcs!DZ440)</f>
        <v>0</v>
      </c>
      <c r="AX168" s="7">
        <f>IF($BL168&lt;&gt;"Yes",0,Calcs!EA440)</f>
        <v>0</v>
      </c>
      <c r="AY168" s="7">
        <f>IF($BL168&lt;&gt;"Yes",0,Calcs!EB440)</f>
        <v>0</v>
      </c>
      <c r="AZ168" s="7">
        <f>IF($BL168&lt;&gt;"Yes",0,Calcs!EC440)</f>
        <v>0</v>
      </c>
      <c r="BA168" s="7">
        <f>IF($BL168&lt;&gt;"Yes",0,Calcs!ED440)</f>
        <v>0</v>
      </c>
      <c r="BB168" s="7">
        <f>IF($BL168&lt;&gt;"Yes",0,Calcs!EE440)</f>
        <v>0</v>
      </c>
      <c r="BC168" s="7">
        <f>IF($BL168&lt;&gt;"Yes",0,Calcs!EF440)</f>
        <v>0</v>
      </c>
      <c r="BD168" s="7">
        <f>IF($BL168&lt;&gt;"Yes",0,Calcs!EG440)</f>
        <v>0</v>
      </c>
      <c r="BE168" s="7">
        <f>IF($BL168&lt;&gt;"Yes",0,Calcs!EH440)</f>
        <v>0</v>
      </c>
      <c r="BF168" s="7">
        <f>IF($BL168&lt;&gt;"Yes",0,Calcs!EI440)</f>
        <v>0</v>
      </c>
      <c r="BG168" s="7">
        <f>IF($BL168&lt;&gt;"Yes",0,Calcs!EJ440)</f>
        <v>0</v>
      </c>
      <c r="BH168" s="7">
        <f>IF($BL168&lt;&gt;"Yes",0,Calcs!EK440)</f>
        <v>0</v>
      </c>
      <c r="BI168" s="7">
        <f>IF($BL168&lt;&gt;"Yes",0,Calcs!EL440)</f>
        <v>0</v>
      </c>
      <c r="BJ168" s="7">
        <f>IF($BL168&lt;&gt;"Yes",0,Calcs!EM440)</f>
        <v>0</v>
      </c>
    </row>
    <row r="169" spans="1:62" s="5" customFormat="1" ht="13" hidden="1" customHeight="1" x14ac:dyDescent="0.3">
      <c r="A169" s="6" t="str">
        <f>IF(AND(Calcs!CD441&lt;&gt;"",Calcs!CD441&lt;&gt;0),Calcs!CD441,"Operating Expense "&amp;Calcs!$BL169)</f>
        <v xml:space="preserve">Operating Expense </v>
      </c>
      <c r="B169" s="6" t="str">
        <f>IF(AND(Calcs!CE441&lt;&gt;"",Calcs!CE441&lt;&gt;0),Calcs!CE441,"Operating Expense "&amp;Calcs!Q441)</f>
        <v>Operating Expense 21</v>
      </c>
      <c r="C169" s="7">
        <f>IF($BL169&lt;&gt;"Yes",0,Calcs!CF441)</f>
        <v>0</v>
      </c>
      <c r="D169" s="7">
        <f>IF($BL169&lt;&gt;"Yes",0,Calcs!CG441)</f>
        <v>0</v>
      </c>
      <c r="E169" s="7">
        <f>IF($BL169&lt;&gt;"Yes",0,Calcs!CH441)</f>
        <v>0</v>
      </c>
      <c r="F169" s="7">
        <f>IF($BL169&lt;&gt;"Yes",0,Calcs!CI441)</f>
        <v>0</v>
      </c>
      <c r="G169" s="7">
        <f>IF($BL169&lt;&gt;"Yes",0,Calcs!CJ441)</f>
        <v>0</v>
      </c>
      <c r="H169" s="40"/>
      <c r="I169" s="7">
        <f>IF($BL169&lt;&gt;"Yes",0,Calcs!CL441)</f>
        <v>0</v>
      </c>
      <c r="J169" s="7">
        <f>IF($BL169&lt;&gt;"Yes",0,Calcs!CM441)</f>
        <v>0</v>
      </c>
      <c r="K169" s="7">
        <f>IF($BL169&lt;&gt;"Yes",0,Calcs!CN441)</f>
        <v>0</v>
      </c>
      <c r="L169" s="7">
        <f>IF($BL169&lt;&gt;"Yes",0,Calcs!CO441)</f>
        <v>0</v>
      </c>
      <c r="M169" s="7">
        <f>IF($BL169&lt;&gt;"Yes",0,Calcs!CP441)</f>
        <v>0</v>
      </c>
      <c r="N169" s="7">
        <f>IF($BL169&lt;&gt;"Yes",0,Calcs!CQ441)</f>
        <v>0</v>
      </c>
      <c r="O169" s="7">
        <f>IF($BL169&lt;&gt;"Yes",0,Calcs!CR441)</f>
        <v>0</v>
      </c>
      <c r="P169" s="7">
        <f>IF($BL169&lt;&gt;"Yes",0,Calcs!CS441)</f>
        <v>0</v>
      </c>
      <c r="Q169" s="7">
        <f>IF($BL169&lt;&gt;"Yes",0,Calcs!CT441)</f>
        <v>0</v>
      </c>
      <c r="R169" s="7">
        <f>IF($BL169&lt;&gt;"Yes",0,Calcs!CU441)</f>
        <v>0</v>
      </c>
      <c r="S169" s="7">
        <f>IF($BL169&lt;&gt;"Yes",0,Calcs!CV441)</f>
        <v>0</v>
      </c>
      <c r="T169" s="7">
        <f>IF($BL169&lt;&gt;"Yes",0,Calcs!CW441)</f>
        <v>0</v>
      </c>
      <c r="U169" s="7">
        <f>IF($BL169&lt;&gt;"Yes",0,Calcs!CX441)</f>
        <v>0</v>
      </c>
      <c r="V169" s="7">
        <f>IF($BL169&lt;&gt;"Yes",0,Calcs!CY441)</f>
        <v>0</v>
      </c>
      <c r="W169" s="7">
        <f>IF($BL169&lt;&gt;"Yes",0,Calcs!CZ441)</f>
        <v>0</v>
      </c>
      <c r="X169" s="7">
        <f>IF($BL169&lt;&gt;"Yes",0,Calcs!DA441)</f>
        <v>0</v>
      </c>
      <c r="Y169" s="7">
        <f>IF($BL169&lt;&gt;"Yes",0,Calcs!DB441)</f>
        <v>0</v>
      </c>
      <c r="Z169" s="7">
        <f>IF($BL169&lt;&gt;"Yes",0,Calcs!DC441)</f>
        <v>0</v>
      </c>
      <c r="AA169" s="7">
        <f>IF($BL169&lt;&gt;"Yes",0,Calcs!DD441)</f>
        <v>0</v>
      </c>
      <c r="AB169" s="7">
        <f>IF($BL169&lt;&gt;"Yes",0,Calcs!DE441)</f>
        <v>0</v>
      </c>
      <c r="AC169" s="7">
        <f>IF($BL169&lt;&gt;"Yes",0,Calcs!DF441)</f>
        <v>0</v>
      </c>
      <c r="AD169" s="7">
        <f>IF($BL169&lt;&gt;"Yes",0,Calcs!DG441)</f>
        <v>0</v>
      </c>
      <c r="AE169" s="7">
        <f>IF($BL169&lt;&gt;"Yes",0,Calcs!DH441)</f>
        <v>0</v>
      </c>
      <c r="AF169" s="7">
        <f>IF($BL169&lt;&gt;"Yes",0,Calcs!DI441)</f>
        <v>0</v>
      </c>
      <c r="AG169" s="7">
        <f>IF($BL169&lt;&gt;"Yes",0,Calcs!DJ441)</f>
        <v>0</v>
      </c>
      <c r="AH169" s="7">
        <f>IF($BL169&lt;&gt;"Yes",0,Calcs!DK441)</f>
        <v>0</v>
      </c>
      <c r="AI169" s="7">
        <f>IF($BL169&lt;&gt;"Yes",0,Calcs!DL441)</f>
        <v>0</v>
      </c>
      <c r="AJ169" s="7">
        <f>IF($BL169&lt;&gt;"Yes",0,Calcs!DM441)</f>
        <v>0</v>
      </c>
      <c r="AK169" s="7">
        <f>IF($BL169&lt;&gt;"Yes",0,Calcs!DN441)</f>
        <v>0</v>
      </c>
      <c r="AL169" s="7">
        <f>IF($BL169&lt;&gt;"Yes",0,Calcs!DO441)</f>
        <v>0</v>
      </c>
      <c r="AM169" s="7">
        <f>IF($BL169&lt;&gt;"Yes",0,Calcs!DP441)</f>
        <v>0</v>
      </c>
      <c r="AN169" s="7">
        <f>IF($BL169&lt;&gt;"Yes",0,Calcs!DQ441)</f>
        <v>0</v>
      </c>
      <c r="AO169" s="7">
        <f>IF($BL169&lt;&gt;"Yes",0,Calcs!DR441)</f>
        <v>0</v>
      </c>
      <c r="AP169" s="7">
        <f>IF($BL169&lt;&gt;"Yes",0,Calcs!DS441)</f>
        <v>0</v>
      </c>
      <c r="AQ169" s="7">
        <f>IF($BL169&lt;&gt;"Yes",0,Calcs!DT441)</f>
        <v>0</v>
      </c>
      <c r="AR169" s="7">
        <f>IF($BL169&lt;&gt;"Yes",0,Calcs!DU441)</f>
        <v>0</v>
      </c>
      <c r="AS169" s="7">
        <f>IF($BL169&lt;&gt;"Yes",0,Calcs!DV441)</f>
        <v>0</v>
      </c>
      <c r="AT169" s="7">
        <f>IF($BL169&lt;&gt;"Yes",0,Calcs!DW441)</f>
        <v>0</v>
      </c>
      <c r="AU169" s="7">
        <f>IF($BL169&lt;&gt;"Yes",0,Calcs!DX441)</f>
        <v>0</v>
      </c>
      <c r="AV169" s="7">
        <f>IF($BL169&lt;&gt;"Yes",0,Calcs!DY441)</f>
        <v>0</v>
      </c>
      <c r="AW169" s="7">
        <f>IF($BL169&lt;&gt;"Yes",0,Calcs!DZ441)</f>
        <v>0</v>
      </c>
      <c r="AX169" s="7">
        <f>IF($BL169&lt;&gt;"Yes",0,Calcs!EA441)</f>
        <v>0</v>
      </c>
      <c r="AY169" s="7">
        <f>IF($BL169&lt;&gt;"Yes",0,Calcs!EB441)</f>
        <v>0</v>
      </c>
      <c r="AZ169" s="7">
        <f>IF($BL169&lt;&gt;"Yes",0,Calcs!EC441)</f>
        <v>0</v>
      </c>
      <c r="BA169" s="7">
        <f>IF($BL169&lt;&gt;"Yes",0,Calcs!ED441)</f>
        <v>0</v>
      </c>
      <c r="BB169" s="7">
        <f>IF($BL169&lt;&gt;"Yes",0,Calcs!EE441)</f>
        <v>0</v>
      </c>
      <c r="BC169" s="7">
        <f>IF($BL169&lt;&gt;"Yes",0,Calcs!EF441)</f>
        <v>0</v>
      </c>
      <c r="BD169" s="7">
        <f>IF($BL169&lt;&gt;"Yes",0,Calcs!EG441)</f>
        <v>0</v>
      </c>
      <c r="BE169" s="7">
        <f>IF($BL169&lt;&gt;"Yes",0,Calcs!EH441)</f>
        <v>0</v>
      </c>
      <c r="BF169" s="7">
        <f>IF($BL169&lt;&gt;"Yes",0,Calcs!EI441)</f>
        <v>0</v>
      </c>
      <c r="BG169" s="7">
        <f>IF($BL169&lt;&gt;"Yes",0,Calcs!EJ441)</f>
        <v>0</v>
      </c>
      <c r="BH169" s="7">
        <f>IF($BL169&lt;&gt;"Yes",0,Calcs!EK441)</f>
        <v>0</v>
      </c>
      <c r="BI169" s="7">
        <f>IF($BL169&lt;&gt;"Yes",0,Calcs!EL441)</f>
        <v>0</v>
      </c>
      <c r="BJ169" s="7">
        <f>IF($BL169&lt;&gt;"Yes",0,Calcs!EM441)</f>
        <v>0</v>
      </c>
    </row>
    <row r="170" spans="1:62" s="5" customFormat="1" ht="13" hidden="1" customHeight="1" x14ac:dyDescent="0.3">
      <c r="A170" s="6" t="str">
        <f>IF(AND(Calcs!CD442&lt;&gt;"",Calcs!CD442&lt;&gt;0),Calcs!CD442,"Operating Expense "&amp;Calcs!$BL170)</f>
        <v>Operating Expense 0</v>
      </c>
      <c r="B170" s="6" t="str">
        <f>IF(AND(Calcs!CE442&lt;&gt;"",Calcs!CE442&lt;&gt;0),Calcs!CE442,"Operating Expense "&amp;Calcs!Q442)</f>
        <v>Operating Expense 22</v>
      </c>
      <c r="C170" s="7">
        <f>IF($BL170&lt;&gt;"Yes",0,Calcs!CF442)</f>
        <v>0</v>
      </c>
      <c r="D170" s="7">
        <f>IF($BL170&lt;&gt;"Yes",0,Calcs!CG442)</f>
        <v>0</v>
      </c>
      <c r="E170" s="7">
        <f>IF($BL170&lt;&gt;"Yes",0,Calcs!CH442)</f>
        <v>0</v>
      </c>
      <c r="F170" s="7">
        <f>IF($BL170&lt;&gt;"Yes",0,Calcs!CI442)</f>
        <v>0</v>
      </c>
      <c r="G170" s="7">
        <f>IF($BL170&lt;&gt;"Yes",0,Calcs!CJ442)</f>
        <v>0</v>
      </c>
      <c r="H170" s="40"/>
      <c r="I170" s="7">
        <f>IF($BL170&lt;&gt;"Yes",0,Calcs!CL442)</f>
        <v>0</v>
      </c>
      <c r="J170" s="7">
        <f>IF($BL170&lt;&gt;"Yes",0,Calcs!CM442)</f>
        <v>0</v>
      </c>
      <c r="K170" s="7">
        <f>IF($BL170&lt;&gt;"Yes",0,Calcs!CN442)</f>
        <v>0</v>
      </c>
      <c r="L170" s="7">
        <f>IF($BL170&lt;&gt;"Yes",0,Calcs!CO442)</f>
        <v>0</v>
      </c>
      <c r="M170" s="7">
        <f>IF($BL170&lt;&gt;"Yes",0,Calcs!CP442)</f>
        <v>0</v>
      </c>
      <c r="N170" s="7">
        <f>IF($BL170&lt;&gt;"Yes",0,Calcs!CQ442)</f>
        <v>0</v>
      </c>
      <c r="O170" s="7">
        <f>IF($BL170&lt;&gt;"Yes",0,Calcs!CR442)</f>
        <v>0</v>
      </c>
      <c r="P170" s="7">
        <f>IF($BL170&lt;&gt;"Yes",0,Calcs!CS442)</f>
        <v>0</v>
      </c>
      <c r="Q170" s="7">
        <f>IF($BL170&lt;&gt;"Yes",0,Calcs!CT442)</f>
        <v>0</v>
      </c>
      <c r="R170" s="7">
        <f>IF($BL170&lt;&gt;"Yes",0,Calcs!CU442)</f>
        <v>0</v>
      </c>
      <c r="S170" s="7">
        <f>IF($BL170&lt;&gt;"Yes",0,Calcs!CV442)</f>
        <v>0</v>
      </c>
      <c r="T170" s="7">
        <f>IF($BL170&lt;&gt;"Yes",0,Calcs!CW442)</f>
        <v>0</v>
      </c>
      <c r="U170" s="7">
        <f>IF($BL170&lt;&gt;"Yes",0,Calcs!CX442)</f>
        <v>0</v>
      </c>
      <c r="V170" s="7">
        <f>IF($BL170&lt;&gt;"Yes",0,Calcs!CY442)</f>
        <v>0</v>
      </c>
      <c r="W170" s="7">
        <f>IF($BL170&lt;&gt;"Yes",0,Calcs!CZ442)</f>
        <v>0</v>
      </c>
      <c r="X170" s="7">
        <f>IF($BL170&lt;&gt;"Yes",0,Calcs!DA442)</f>
        <v>0</v>
      </c>
      <c r="Y170" s="7">
        <f>IF($BL170&lt;&gt;"Yes",0,Calcs!DB442)</f>
        <v>0</v>
      </c>
      <c r="Z170" s="7">
        <f>IF($BL170&lt;&gt;"Yes",0,Calcs!DC442)</f>
        <v>0</v>
      </c>
      <c r="AA170" s="7">
        <f>IF($BL170&lt;&gt;"Yes",0,Calcs!DD442)</f>
        <v>0</v>
      </c>
      <c r="AB170" s="7">
        <f>IF($BL170&lt;&gt;"Yes",0,Calcs!DE442)</f>
        <v>0</v>
      </c>
      <c r="AC170" s="7">
        <f>IF($BL170&lt;&gt;"Yes",0,Calcs!DF442)</f>
        <v>0</v>
      </c>
      <c r="AD170" s="7">
        <f>IF($BL170&lt;&gt;"Yes",0,Calcs!DG442)</f>
        <v>0</v>
      </c>
      <c r="AE170" s="7">
        <f>IF($BL170&lt;&gt;"Yes",0,Calcs!DH442)</f>
        <v>0</v>
      </c>
      <c r="AF170" s="7">
        <f>IF($BL170&lt;&gt;"Yes",0,Calcs!DI442)</f>
        <v>0</v>
      </c>
      <c r="AG170" s="7">
        <f>IF($BL170&lt;&gt;"Yes",0,Calcs!DJ442)</f>
        <v>0</v>
      </c>
      <c r="AH170" s="7">
        <f>IF($BL170&lt;&gt;"Yes",0,Calcs!DK442)</f>
        <v>0</v>
      </c>
      <c r="AI170" s="7">
        <f>IF($BL170&lt;&gt;"Yes",0,Calcs!DL442)</f>
        <v>0</v>
      </c>
      <c r="AJ170" s="7">
        <f>IF($BL170&lt;&gt;"Yes",0,Calcs!DM442)</f>
        <v>0</v>
      </c>
      <c r="AK170" s="7">
        <f>IF($BL170&lt;&gt;"Yes",0,Calcs!DN442)</f>
        <v>0</v>
      </c>
      <c r="AL170" s="7">
        <f>IF($BL170&lt;&gt;"Yes",0,Calcs!DO442)</f>
        <v>0</v>
      </c>
      <c r="AM170" s="7">
        <f>IF($BL170&lt;&gt;"Yes",0,Calcs!DP442)</f>
        <v>0</v>
      </c>
      <c r="AN170" s="7">
        <f>IF($BL170&lt;&gt;"Yes",0,Calcs!DQ442)</f>
        <v>0</v>
      </c>
      <c r="AO170" s="7">
        <f>IF($BL170&lt;&gt;"Yes",0,Calcs!DR442)</f>
        <v>0</v>
      </c>
      <c r="AP170" s="7">
        <f>IF($BL170&lt;&gt;"Yes",0,Calcs!DS442)</f>
        <v>0</v>
      </c>
      <c r="AQ170" s="7">
        <f>IF($BL170&lt;&gt;"Yes",0,Calcs!DT442)</f>
        <v>0</v>
      </c>
      <c r="AR170" s="7">
        <f>IF($BL170&lt;&gt;"Yes",0,Calcs!DU442)</f>
        <v>0</v>
      </c>
      <c r="AS170" s="7">
        <f>IF($BL170&lt;&gt;"Yes",0,Calcs!DV442)</f>
        <v>0</v>
      </c>
      <c r="AT170" s="7">
        <f>IF($BL170&lt;&gt;"Yes",0,Calcs!DW442)</f>
        <v>0</v>
      </c>
      <c r="AU170" s="7">
        <f>IF($BL170&lt;&gt;"Yes",0,Calcs!DX442)</f>
        <v>0</v>
      </c>
      <c r="AV170" s="7">
        <f>IF($BL170&lt;&gt;"Yes",0,Calcs!DY442)</f>
        <v>0</v>
      </c>
      <c r="AW170" s="7">
        <f>IF($BL170&lt;&gt;"Yes",0,Calcs!DZ442)</f>
        <v>0</v>
      </c>
      <c r="AX170" s="7">
        <f>IF($BL170&lt;&gt;"Yes",0,Calcs!EA442)</f>
        <v>0</v>
      </c>
      <c r="AY170" s="7">
        <f>IF($BL170&lt;&gt;"Yes",0,Calcs!EB442)</f>
        <v>0</v>
      </c>
      <c r="AZ170" s="7">
        <f>IF($BL170&lt;&gt;"Yes",0,Calcs!EC442)</f>
        <v>0</v>
      </c>
      <c r="BA170" s="7">
        <f>IF($BL170&lt;&gt;"Yes",0,Calcs!ED442)</f>
        <v>0</v>
      </c>
      <c r="BB170" s="7">
        <f>IF($BL170&lt;&gt;"Yes",0,Calcs!EE442)</f>
        <v>0</v>
      </c>
      <c r="BC170" s="7">
        <f>IF($BL170&lt;&gt;"Yes",0,Calcs!EF442)</f>
        <v>0</v>
      </c>
      <c r="BD170" s="7">
        <f>IF($BL170&lt;&gt;"Yes",0,Calcs!EG442)</f>
        <v>0</v>
      </c>
      <c r="BE170" s="7">
        <f>IF($BL170&lt;&gt;"Yes",0,Calcs!EH442)</f>
        <v>0</v>
      </c>
      <c r="BF170" s="7">
        <f>IF($BL170&lt;&gt;"Yes",0,Calcs!EI442)</f>
        <v>0</v>
      </c>
      <c r="BG170" s="7">
        <f>IF($BL170&lt;&gt;"Yes",0,Calcs!EJ442)</f>
        <v>0</v>
      </c>
      <c r="BH170" s="7">
        <f>IF($BL170&lt;&gt;"Yes",0,Calcs!EK442)</f>
        <v>0</v>
      </c>
      <c r="BI170" s="7">
        <f>IF($BL170&lt;&gt;"Yes",0,Calcs!EL442)</f>
        <v>0</v>
      </c>
      <c r="BJ170" s="7">
        <f>IF($BL170&lt;&gt;"Yes",0,Calcs!EM442)</f>
        <v>0</v>
      </c>
    </row>
    <row r="171" spans="1:62" s="5" customFormat="1" ht="13" hidden="1" customHeight="1" x14ac:dyDescent="0.3">
      <c r="A171" s="6" t="str">
        <f>IF(AND(Calcs!CD443&lt;&gt;"",Calcs!CD443&lt;&gt;0),Calcs!CD443,"Operating Expense "&amp;Calcs!$BL171)</f>
        <v>Operating Expense 0</v>
      </c>
      <c r="B171" s="6" t="str">
        <f>IF(AND(Calcs!CE443&lt;&gt;"",Calcs!CE443&lt;&gt;0),Calcs!CE443,"Operating Expense "&amp;Calcs!Q443)</f>
        <v>Operating Expense 23</v>
      </c>
      <c r="C171" s="7">
        <f>IF($BL171&lt;&gt;"Yes",0,Calcs!CF443)</f>
        <v>0</v>
      </c>
      <c r="D171" s="7">
        <f>IF($BL171&lt;&gt;"Yes",0,Calcs!CG443)</f>
        <v>0</v>
      </c>
      <c r="E171" s="7">
        <f>IF($BL171&lt;&gt;"Yes",0,Calcs!CH443)</f>
        <v>0</v>
      </c>
      <c r="F171" s="7">
        <f>IF($BL171&lt;&gt;"Yes",0,Calcs!CI443)</f>
        <v>0</v>
      </c>
      <c r="G171" s="7">
        <f>IF($BL171&lt;&gt;"Yes",0,Calcs!CJ443)</f>
        <v>0</v>
      </c>
      <c r="H171" s="40"/>
      <c r="I171" s="7">
        <f>IF($BL171&lt;&gt;"Yes",0,Calcs!CL443)</f>
        <v>0</v>
      </c>
      <c r="J171" s="7">
        <f>IF($BL171&lt;&gt;"Yes",0,Calcs!CM443)</f>
        <v>0</v>
      </c>
      <c r="K171" s="7">
        <f>IF($BL171&lt;&gt;"Yes",0,Calcs!CN443)</f>
        <v>0</v>
      </c>
      <c r="L171" s="7">
        <f>IF($BL171&lt;&gt;"Yes",0,Calcs!CO443)</f>
        <v>0</v>
      </c>
      <c r="M171" s="7">
        <f>IF($BL171&lt;&gt;"Yes",0,Calcs!CP443)</f>
        <v>0</v>
      </c>
      <c r="N171" s="7">
        <f>IF($BL171&lt;&gt;"Yes",0,Calcs!CQ443)</f>
        <v>0</v>
      </c>
      <c r="O171" s="7">
        <f>IF($BL171&lt;&gt;"Yes",0,Calcs!CR443)</f>
        <v>0</v>
      </c>
      <c r="P171" s="7">
        <f>IF($BL171&lt;&gt;"Yes",0,Calcs!CS443)</f>
        <v>0</v>
      </c>
      <c r="Q171" s="7">
        <f>IF($BL171&lt;&gt;"Yes",0,Calcs!CT443)</f>
        <v>0</v>
      </c>
      <c r="R171" s="7">
        <f>IF($BL171&lt;&gt;"Yes",0,Calcs!CU443)</f>
        <v>0</v>
      </c>
      <c r="S171" s="7">
        <f>IF($BL171&lt;&gt;"Yes",0,Calcs!CV443)</f>
        <v>0</v>
      </c>
      <c r="T171" s="7">
        <f>IF($BL171&lt;&gt;"Yes",0,Calcs!CW443)</f>
        <v>0</v>
      </c>
      <c r="U171" s="7">
        <f>IF($BL171&lt;&gt;"Yes",0,Calcs!CX443)</f>
        <v>0</v>
      </c>
      <c r="V171" s="7">
        <f>IF($BL171&lt;&gt;"Yes",0,Calcs!CY443)</f>
        <v>0</v>
      </c>
      <c r="W171" s="7">
        <f>IF($BL171&lt;&gt;"Yes",0,Calcs!CZ443)</f>
        <v>0</v>
      </c>
      <c r="X171" s="7">
        <f>IF($BL171&lt;&gt;"Yes",0,Calcs!DA443)</f>
        <v>0</v>
      </c>
      <c r="Y171" s="7">
        <f>IF($BL171&lt;&gt;"Yes",0,Calcs!DB443)</f>
        <v>0</v>
      </c>
      <c r="Z171" s="7">
        <f>IF($BL171&lt;&gt;"Yes",0,Calcs!DC443)</f>
        <v>0</v>
      </c>
      <c r="AA171" s="7">
        <f>IF($BL171&lt;&gt;"Yes",0,Calcs!DD443)</f>
        <v>0</v>
      </c>
      <c r="AB171" s="7">
        <f>IF($BL171&lt;&gt;"Yes",0,Calcs!DE443)</f>
        <v>0</v>
      </c>
      <c r="AC171" s="7">
        <f>IF($BL171&lt;&gt;"Yes",0,Calcs!DF443)</f>
        <v>0</v>
      </c>
      <c r="AD171" s="7">
        <f>IF($BL171&lt;&gt;"Yes",0,Calcs!DG443)</f>
        <v>0</v>
      </c>
      <c r="AE171" s="7">
        <f>IF($BL171&lt;&gt;"Yes",0,Calcs!DH443)</f>
        <v>0</v>
      </c>
      <c r="AF171" s="7">
        <f>IF($BL171&lt;&gt;"Yes",0,Calcs!DI443)</f>
        <v>0</v>
      </c>
      <c r="AG171" s="7">
        <f>IF($BL171&lt;&gt;"Yes",0,Calcs!DJ443)</f>
        <v>0</v>
      </c>
      <c r="AH171" s="7">
        <f>IF($BL171&lt;&gt;"Yes",0,Calcs!DK443)</f>
        <v>0</v>
      </c>
      <c r="AI171" s="7">
        <f>IF($BL171&lt;&gt;"Yes",0,Calcs!DL443)</f>
        <v>0</v>
      </c>
      <c r="AJ171" s="7">
        <f>IF($BL171&lt;&gt;"Yes",0,Calcs!DM443)</f>
        <v>0</v>
      </c>
      <c r="AK171" s="7">
        <f>IF($BL171&lt;&gt;"Yes",0,Calcs!DN443)</f>
        <v>0</v>
      </c>
      <c r="AL171" s="7">
        <f>IF($BL171&lt;&gt;"Yes",0,Calcs!DO443)</f>
        <v>0</v>
      </c>
      <c r="AM171" s="7">
        <f>IF($BL171&lt;&gt;"Yes",0,Calcs!DP443)</f>
        <v>0</v>
      </c>
      <c r="AN171" s="7">
        <f>IF($BL171&lt;&gt;"Yes",0,Calcs!DQ443)</f>
        <v>0</v>
      </c>
      <c r="AO171" s="7">
        <f>IF($BL171&lt;&gt;"Yes",0,Calcs!DR443)</f>
        <v>0</v>
      </c>
      <c r="AP171" s="7">
        <f>IF($BL171&lt;&gt;"Yes",0,Calcs!DS443)</f>
        <v>0</v>
      </c>
      <c r="AQ171" s="7">
        <f>IF($BL171&lt;&gt;"Yes",0,Calcs!DT443)</f>
        <v>0</v>
      </c>
      <c r="AR171" s="7">
        <f>IF($BL171&lt;&gt;"Yes",0,Calcs!DU443)</f>
        <v>0</v>
      </c>
      <c r="AS171" s="7">
        <f>IF($BL171&lt;&gt;"Yes",0,Calcs!DV443)</f>
        <v>0</v>
      </c>
      <c r="AT171" s="7">
        <f>IF($BL171&lt;&gt;"Yes",0,Calcs!DW443)</f>
        <v>0</v>
      </c>
      <c r="AU171" s="7">
        <f>IF($BL171&lt;&gt;"Yes",0,Calcs!DX443)</f>
        <v>0</v>
      </c>
      <c r="AV171" s="7">
        <f>IF($BL171&lt;&gt;"Yes",0,Calcs!DY443)</f>
        <v>0</v>
      </c>
      <c r="AW171" s="7">
        <f>IF($BL171&lt;&gt;"Yes",0,Calcs!DZ443)</f>
        <v>0</v>
      </c>
      <c r="AX171" s="7">
        <f>IF($BL171&lt;&gt;"Yes",0,Calcs!EA443)</f>
        <v>0</v>
      </c>
      <c r="AY171" s="7">
        <f>IF($BL171&lt;&gt;"Yes",0,Calcs!EB443)</f>
        <v>0</v>
      </c>
      <c r="AZ171" s="7">
        <f>IF($BL171&lt;&gt;"Yes",0,Calcs!EC443)</f>
        <v>0</v>
      </c>
      <c r="BA171" s="7">
        <f>IF($BL171&lt;&gt;"Yes",0,Calcs!ED443)</f>
        <v>0</v>
      </c>
      <c r="BB171" s="7">
        <f>IF($BL171&lt;&gt;"Yes",0,Calcs!EE443)</f>
        <v>0</v>
      </c>
      <c r="BC171" s="7">
        <f>IF($BL171&lt;&gt;"Yes",0,Calcs!EF443)</f>
        <v>0</v>
      </c>
      <c r="BD171" s="7">
        <f>IF($BL171&lt;&gt;"Yes",0,Calcs!EG443)</f>
        <v>0</v>
      </c>
      <c r="BE171" s="7">
        <f>IF($BL171&lt;&gt;"Yes",0,Calcs!EH443)</f>
        <v>0</v>
      </c>
      <c r="BF171" s="7">
        <f>IF($BL171&lt;&gt;"Yes",0,Calcs!EI443)</f>
        <v>0</v>
      </c>
      <c r="BG171" s="7">
        <f>IF($BL171&lt;&gt;"Yes",0,Calcs!EJ443)</f>
        <v>0</v>
      </c>
      <c r="BH171" s="7">
        <f>IF($BL171&lt;&gt;"Yes",0,Calcs!EK443)</f>
        <v>0</v>
      </c>
      <c r="BI171" s="7">
        <f>IF($BL171&lt;&gt;"Yes",0,Calcs!EL443)</f>
        <v>0</v>
      </c>
      <c r="BJ171" s="7">
        <f>IF($BL171&lt;&gt;"Yes",0,Calcs!EM443)</f>
        <v>0</v>
      </c>
    </row>
    <row r="172" spans="1:62" s="5" customFormat="1" ht="13" hidden="1" customHeight="1" x14ac:dyDescent="0.3">
      <c r="A172" s="6" t="str">
        <f>IF(AND(Calcs!CD444&lt;&gt;"",Calcs!CD444&lt;&gt;0),Calcs!CD444,"Operating Expense "&amp;Calcs!$BL172)</f>
        <v>Operating Expense 0</v>
      </c>
      <c r="B172" s="6" t="str">
        <f>IF(AND(Calcs!CE444&lt;&gt;"",Calcs!CE444&lt;&gt;0),Calcs!CE444,"Operating Expense "&amp;Calcs!Q444)</f>
        <v>Operating Expense 24</v>
      </c>
      <c r="C172" s="7">
        <f>IF($BL172&lt;&gt;"Yes",0,Calcs!CF444)</f>
        <v>0</v>
      </c>
      <c r="D172" s="7">
        <f>IF($BL172&lt;&gt;"Yes",0,Calcs!CG444)</f>
        <v>0</v>
      </c>
      <c r="E172" s="7">
        <f>IF($BL172&lt;&gt;"Yes",0,Calcs!CH444)</f>
        <v>0</v>
      </c>
      <c r="F172" s="7">
        <f>IF($BL172&lt;&gt;"Yes",0,Calcs!CI444)</f>
        <v>0</v>
      </c>
      <c r="G172" s="7">
        <f>IF($BL172&lt;&gt;"Yes",0,Calcs!CJ444)</f>
        <v>0</v>
      </c>
      <c r="H172" s="40"/>
      <c r="I172" s="7">
        <f>IF($BL172&lt;&gt;"Yes",0,Calcs!CL444)</f>
        <v>0</v>
      </c>
      <c r="J172" s="7">
        <f>IF($BL172&lt;&gt;"Yes",0,Calcs!CM444)</f>
        <v>0</v>
      </c>
      <c r="K172" s="7">
        <f>IF($BL172&lt;&gt;"Yes",0,Calcs!CN444)</f>
        <v>0</v>
      </c>
      <c r="L172" s="7">
        <f>IF($BL172&lt;&gt;"Yes",0,Calcs!CO444)</f>
        <v>0</v>
      </c>
      <c r="M172" s="7">
        <f>IF($BL172&lt;&gt;"Yes",0,Calcs!CP444)</f>
        <v>0</v>
      </c>
      <c r="N172" s="7">
        <f>IF($BL172&lt;&gt;"Yes",0,Calcs!CQ444)</f>
        <v>0</v>
      </c>
      <c r="O172" s="7">
        <f>IF($BL172&lt;&gt;"Yes",0,Calcs!CR444)</f>
        <v>0</v>
      </c>
      <c r="P172" s="7">
        <f>IF($BL172&lt;&gt;"Yes",0,Calcs!CS444)</f>
        <v>0</v>
      </c>
      <c r="Q172" s="7">
        <f>IF($BL172&lt;&gt;"Yes",0,Calcs!CT444)</f>
        <v>0</v>
      </c>
      <c r="R172" s="7">
        <f>IF($BL172&lt;&gt;"Yes",0,Calcs!CU444)</f>
        <v>0</v>
      </c>
      <c r="S172" s="7">
        <f>IF($BL172&lt;&gt;"Yes",0,Calcs!CV444)</f>
        <v>0</v>
      </c>
      <c r="T172" s="7">
        <f>IF($BL172&lt;&gt;"Yes",0,Calcs!CW444)</f>
        <v>0</v>
      </c>
      <c r="U172" s="7">
        <f>IF($BL172&lt;&gt;"Yes",0,Calcs!CX444)</f>
        <v>0</v>
      </c>
      <c r="V172" s="7">
        <f>IF($BL172&lt;&gt;"Yes",0,Calcs!CY444)</f>
        <v>0</v>
      </c>
      <c r="W172" s="7">
        <f>IF($BL172&lt;&gt;"Yes",0,Calcs!CZ444)</f>
        <v>0</v>
      </c>
      <c r="X172" s="7">
        <f>IF($BL172&lt;&gt;"Yes",0,Calcs!DA444)</f>
        <v>0</v>
      </c>
      <c r="Y172" s="7">
        <f>IF($BL172&lt;&gt;"Yes",0,Calcs!DB444)</f>
        <v>0</v>
      </c>
      <c r="Z172" s="7">
        <f>IF($BL172&lt;&gt;"Yes",0,Calcs!DC444)</f>
        <v>0</v>
      </c>
      <c r="AA172" s="7">
        <f>IF($BL172&lt;&gt;"Yes",0,Calcs!DD444)</f>
        <v>0</v>
      </c>
      <c r="AB172" s="7">
        <f>IF($BL172&lt;&gt;"Yes",0,Calcs!DE444)</f>
        <v>0</v>
      </c>
      <c r="AC172" s="7">
        <f>IF($BL172&lt;&gt;"Yes",0,Calcs!DF444)</f>
        <v>0</v>
      </c>
      <c r="AD172" s="7">
        <f>IF($BL172&lt;&gt;"Yes",0,Calcs!DG444)</f>
        <v>0</v>
      </c>
      <c r="AE172" s="7">
        <f>IF($BL172&lt;&gt;"Yes",0,Calcs!DH444)</f>
        <v>0</v>
      </c>
      <c r="AF172" s="7">
        <f>IF($BL172&lt;&gt;"Yes",0,Calcs!DI444)</f>
        <v>0</v>
      </c>
      <c r="AG172" s="7">
        <f>IF($BL172&lt;&gt;"Yes",0,Calcs!DJ444)</f>
        <v>0</v>
      </c>
      <c r="AH172" s="7">
        <f>IF($BL172&lt;&gt;"Yes",0,Calcs!DK444)</f>
        <v>0</v>
      </c>
      <c r="AI172" s="7">
        <f>IF($BL172&lt;&gt;"Yes",0,Calcs!DL444)</f>
        <v>0</v>
      </c>
      <c r="AJ172" s="7">
        <f>IF($BL172&lt;&gt;"Yes",0,Calcs!DM444)</f>
        <v>0</v>
      </c>
      <c r="AK172" s="7">
        <f>IF($BL172&lt;&gt;"Yes",0,Calcs!DN444)</f>
        <v>0</v>
      </c>
      <c r="AL172" s="7">
        <f>IF($BL172&lt;&gt;"Yes",0,Calcs!DO444)</f>
        <v>0</v>
      </c>
      <c r="AM172" s="7">
        <f>IF($BL172&lt;&gt;"Yes",0,Calcs!DP444)</f>
        <v>0</v>
      </c>
      <c r="AN172" s="7">
        <f>IF($BL172&lt;&gt;"Yes",0,Calcs!DQ444)</f>
        <v>0</v>
      </c>
      <c r="AO172" s="7">
        <f>IF($BL172&lt;&gt;"Yes",0,Calcs!DR444)</f>
        <v>0</v>
      </c>
      <c r="AP172" s="7">
        <f>IF($BL172&lt;&gt;"Yes",0,Calcs!DS444)</f>
        <v>0</v>
      </c>
      <c r="AQ172" s="7">
        <f>IF($BL172&lt;&gt;"Yes",0,Calcs!DT444)</f>
        <v>0</v>
      </c>
      <c r="AR172" s="7">
        <f>IF($BL172&lt;&gt;"Yes",0,Calcs!DU444)</f>
        <v>0</v>
      </c>
      <c r="AS172" s="7">
        <f>IF($BL172&lt;&gt;"Yes",0,Calcs!DV444)</f>
        <v>0</v>
      </c>
      <c r="AT172" s="7">
        <f>IF($BL172&lt;&gt;"Yes",0,Calcs!DW444)</f>
        <v>0</v>
      </c>
      <c r="AU172" s="7">
        <f>IF($BL172&lt;&gt;"Yes",0,Calcs!DX444)</f>
        <v>0</v>
      </c>
      <c r="AV172" s="7">
        <f>IF($BL172&lt;&gt;"Yes",0,Calcs!DY444)</f>
        <v>0</v>
      </c>
      <c r="AW172" s="7">
        <f>IF($BL172&lt;&gt;"Yes",0,Calcs!DZ444)</f>
        <v>0</v>
      </c>
      <c r="AX172" s="7">
        <f>IF($BL172&lt;&gt;"Yes",0,Calcs!EA444)</f>
        <v>0</v>
      </c>
      <c r="AY172" s="7">
        <f>IF($BL172&lt;&gt;"Yes",0,Calcs!EB444)</f>
        <v>0</v>
      </c>
      <c r="AZ172" s="7">
        <f>IF($BL172&lt;&gt;"Yes",0,Calcs!EC444)</f>
        <v>0</v>
      </c>
      <c r="BA172" s="7">
        <f>IF($BL172&lt;&gt;"Yes",0,Calcs!ED444)</f>
        <v>0</v>
      </c>
      <c r="BB172" s="7">
        <f>IF($BL172&lt;&gt;"Yes",0,Calcs!EE444)</f>
        <v>0</v>
      </c>
      <c r="BC172" s="7">
        <f>IF($BL172&lt;&gt;"Yes",0,Calcs!EF444)</f>
        <v>0</v>
      </c>
      <c r="BD172" s="7">
        <f>IF($BL172&lt;&gt;"Yes",0,Calcs!EG444)</f>
        <v>0</v>
      </c>
      <c r="BE172" s="7">
        <f>IF($BL172&lt;&gt;"Yes",0,Calcs!EH444)</f>
        <v>0</v>
      </c>
      <c r="BF172" s="7">
        <f>IF($BL172&lt;&gt;"Yes",0,Calcs!EI444)</f>
        <v>0</v>
      </c>
      <c r="BG172" s="7">
        <f>IF($BL172&lt;&gt;"Yes",0,Calcs!EJ444)</f>
        <v>0</v>
      </c>
      <c r="BH172" s="7">
        <f>IF($BL172&lt;&gt;"Yes",0,Calcs!EK444)</f>
        <v>0</v>
      </c>
      <c r="BI172" s="7">
        <f>IF($BL172&lt;&gt;"Yes",0,Calcs!EL444)</f>
        <v>0</v>
      </c>
      <c r="BJ172" s="7">
        <f>IF($BL172&lt;&gt;"Yes",0,Calcs!EM444)</f>
        <v>0</v>
      </c>
    </row>
    <row r="173" spans="1:62" s="5" customFormat="1" ht="13" hidden="1" customHeight="1" x14ac:dyDescent="0.3">
      <c r="A173" s="6" t="str">
        <f>IF(AND(Calcs!CD445&lt;&gt;"",Calcs!CD445&lt;&gt;0),Calcs!CD445,"Operating Expense "&amp;Calcs!$BL173)</f>
        <v>Operating Expense 0</v>
      </c>
      <c r="B173" s="6" t="str">
        <f>IF(AND(Calcs!CE445&lt;&gt;"",Calcs!CE445&lt;&gt;0),Calcs!CE445,"Operating Expense "&amp;Calcs!Q445)</f>
        <v>Operating Expense 25</v>
      </c>
      <c r="C173" s="7">
        <f>IF($BL173&lt;&gt;"Yes",0,Calcs!CF445)</f>
        <v>0</v>
      </c>
      <c r="D173" s="7">
        <f>IF($BL173&lt;&gt;"Yes",0,Calcs!CG445)</f>
        <v>0</v>
      </c>
      <c r="E173" s="7">
        <f>IF($BL173&lt;&gt;"Yes",0,Calcs!CH445)</f>
        <v>0</v>
      </c>
      <c r="F173" s="7">
        <f>IF($BL173&lt;&gt;"Yes",0,Calcs!CI445)</f>
        <v>0</v>
      </c>
      <c r="G173" s="7">
        <f>IF($BL173&lt;&gt;"Yes",0,Calcs!CJ445)</f>
        <v>0</v>
      </c>
      <c r="H173" s="40"/>
      <c r="I173" s="7">
        <f>IF($BL173&lt;&gt;"Yes",0,Calcs!CL445)</f>
        <v>0</v>
      </c>
      <c r="J173" s="7">
        <f>IF($BL173&lt;&gt;"Yes",0,Calcs!CM445)</f>
        <v>0</v>
      </c>
      <c r="K173" s="7">
        <f>IF($BL173&lt;&gt;"Yes",0,Calcs!CN445)</f>
        <v>0</v>
      </c>
      <c r="L173" s="7">
        <f>IF($BL173&lt;&gt;"Yes",0,Calcs!CO445)</f>
        <v>0</v>
      </c>
      <c r="M173" s="7">
        <f>IF($BL173&lt;&gt;"Yes",0,Calcs!CP445)</f>
        <v>0</v>
      </c>
      <c r="N173" s="7">
        <f>IF($BL173&lt;&gt;"Yes",0,Calcs!CQ445)</f>
        <v>0</v>
      </c>
      <c r="O173" s="7">
        <f>IF($BL173&lt;&gt;"Yes",0,Calcs!CR445)</f>
        <v>0</v>
      </c>
      <c r="P173" s="7">
        <f>IF($BL173&lt;&gt;"Yes",0,Calcs!CS445)</f>
        <v>0</v>
      </c>
      <c r="Q173" s="7">
        <f>IF($BL173&lt;&gt;"Yes",0,Calcs!CT445)</f>
        <v>0</v>
      </c>
      <c r="R173" s="7">
        <f>IF($BL173&lt;&gt;"Yes",0,Calcs!CU445)</f>
        <v>0</v>
      </c>
      <c r="S173" s="7">
        <f>IF($BL173&lt;&gt;"Yes",0,Calcs!CV445)</f>
        <v>0</v>
      </c>
      <c r="T173" s="7">
        <f>IF($BL173&lt;&gt;"Yes",0,Calcs!CW445)</f>
        <v>0</v>
      </c>
      <c r="U173" s="7">
        <f>IF($BL173&lt;&gt;"Yes",0,Calcs!CX445)</f>
        <v>0</v>
      </c>
      <c r="V173" s="7">
        <f>IF($BL173&lt;&gt;"Yes",0,Calcs!CY445)</f>
        <v>0</v>
      </c>
      <c r="W173" s="7">
        <f>IF($BL173&lt;&gt;"Yes",0,Calcs!CZ445)</f>
        <v>0</v>
      </c>
      <c r="X173" s="7">
        <f>IF($BL173&lt;&gt;"Yes",0,Calcs!DA445)</f>
        <v>0</v>
      </c>
      <c r="Y173" s="7">
        <f>IF($BL173&lt;&gt;"Yes",0,Calcs!DB445)</f>
        <v>0</v>
      </c>
      <c r="Z173" s="7">
        <f>IF($BL173&lt;&gt;"Yes",0,Calcs!DC445)</f>
        <v>0</v>
      </c>
      <c r="AA173" s="7">
        <f>IF($BL173&lt;&gt;"Yes",0,Calcs!DD445)</f>
        <v>0</v>
      </c>
      <c r="AB173" s="7">
        <f>IF($BL173&lt;&gt;"Yes",0,Calcs!DE445)</f>
        <v>0</v>
      </c>
      <c r="AC173" s="7">
        <f>IF($BL173&lt;&gt;"Yes",0,Calcs!DF445)</f>
        <v>0</v>
      </c>
      <c r="AD173" s="7">
        <f>IF($BL173&lt;&gt;"Yes",0,Calcs!DG445)</f>
        <v>0</v>
      </c>
      <c r="AE173" s="7">
        <f>IF($BL173&lt;&gt;"Yes",0,Calcs!DH445)</f>
        <v>0</v>
      </c>
      <c r="AF173" s="7">
        <f>IF($BL173&lt;&gt;"Yes",0,Calcs!DI445)</f>
        <v>0</v>
      </c>
      <c r="AG173" s="7">
        <f>IF($BL173&lt;&gt;"Yes",0,Calcs!DJ445)</f>
        <v>0</v>
      </c>
      <c r="AH173" s="7">
        <f>IF($BL173&lt;&gt;"Yes",0,Calcs!DK445)</f>
        <v>0</v>
      </c>
      <c r="AI173" s="7">
        <f>IF($BL173&lt;&gt;"Yes",0,Calcs!DL445)</f>
        <v>0</v>
      </c>
      <c r="AJ173" s="7">
        <f>IF($BL173&lt;&gt;"Yes",0,Calcs!DM445)</f>
        <v>0</v>
      </c>
      <c r="AK173" s="7">
        <f>IF($BL173&lt;&gt;"Yes",0,Calcs!DN445)</f>
        <v>0</v>
      </c>
      <c r="AL173" s="7">
        <f>IF($BL173&lt;&gt;"Yes",0,Calcs!DO445)</f>
        <v>0</v>
      </c>
      <c r="AM173" s="7">
        <f>IF($BL173&lt;&gt;"Yes",0,Calcs!DP445)</f>
        <v>0</v>
      </c>
      <c r="AN173" s="7">
        <f>IF($BL173&lt;&gt;"Yes",0,Calcs!DQ445)</f>
        <v>0</v>
      </c>
      <c r="AO173" s="7">
        <f>IF($BL173&lt;&gt;"Yes",0,Calcs!DR445)</f>
        <v>0</v>
      </c>
      <c r="AP173" s="7">
        <f>IF($BL173&lt;&gt;"Yes",0,Calcs!DS445)</f>
        <v>0</v>
      </c>
      <c r="AQ173" s="7">
        <f>IF($BL173&lt;&gt;"Yes",0,Calcs!DT445)</f>
        <v>0</v>
      </c>
      <c r="AR173" s="7">
        <f>IF($BL173&lt;&gt;"Yes",0,Calcs!DU445)</f>
        <v>0</v>
      </c>
      <c r="AS173" s="7">
        <f>IF($BL173&lt;&gt;"Yes",0,Calcs!DV445)</f>
        <v>0</v>
      </c>
      <c r="AT173" s="7">
        <f>IF($BL173&lt;&gt;"Yes",0,Calcs!DW445)</f>
        <v>0</v>
      </c>
      <c r="AU173" s="7">
        <f>IF($BL173&lt;&gt;"Yes",0,Calcs!DX445)</f>
        <v>0</v>
      </c>
      <c r="AV173" s="7">
        <f>IF($BL173&lt;&gt;"Yes",0,Calcs!DY445)</f>
        <v>0</v>
      </c>
      <c r="AW173" s="7">
        <f>IF($BL173&lt;&gt;"Yes",0,Calcs!DZ445)</f>
        <v>0</v>
      </c>
      <c r="AX173" s="7">
        <f>IF($BL173&lt;&gt;"Yes",0,Calcs!EA445)</f>
        <v>0</v>
      </c>
      <c r="AY173" s="7">
        <f>IF($BL173&lt;&gt;"Yes",0,Calcs!EB445)</f>
        <v>0</v>
      </c>
      <c r="AZ173" s="7">
        <f>IF($BL173&lt;&gt;"Yes",0,Calcs!EC445)</f>
        <v>0</v>
      </c>
      <c r="BA173" s="7">
        <f>IF($BL173&lt;&gt;"Yes",0,Calcs!ED445)</f>
        <v>0</v>
      </c>
      <c r="BB173" s="7">
        <f>IF($BL173&lt;&gt;"Yes",0,Calcs!EE445)</f>
        <v>0</v>
      </c>
      <c r="BC173" s="7">
        <f>IF($BL173&lt;&gt;"Yes",0,Calcs!EF445)</f>
        <v>0</v>
      </c>
      <c r="BD173" s="7">
        <f>IF($BL173&lt;&gt;"Yes",0,Calcs!EG445)</f>
        <v>0</v>
      </c>
      <c r="BE173" s="7">
        <f>IF($BL173&lt;&gt;"Yes",0,Calcs!EH445)</f>
        <v>0</v>
      </c>
      <c r="BF173" s="7">
        <f>IF($BL173&lt;&gt;"Yes",0,Calcs!EI445)</f>
        <v>0</v>
      </c>
      <c r="BG173" s="7">
        <f>IF($BL173&lt;&gt;"Yes",0,Calcs!EJ445)</f>
        <v>0</v>
      </c>
      <c r="BH173" s="7">
        <f>IF($BL173&lt;&gt;"Yes",0,Calcs!EK445)</f>
        <v>0</v>
      </c>
      <c r="BI173" s="7">
        <f>IF($BL173&lt;&gt;"Yes",0,Calcs!EL445)</f>
        <v>0</v>
      </c>
      <c r="BJ173" s="7">
        <f>IF($BL173&lt;&gt;"Yes",0,Calcs!EM445)</f>
        <v>0</v>
      </c>
    </row>
    <row r="174" spans="1:62" s="5" customFormat="1" ht="13" hidden="1" customHeight="1" x14ac:dyDescent="0.3">
      <c r="A174" s="6" t="str">
        <f>IF(AND(Calcs!CD446&lt;&gt;"",Calcs!CD446&lt;&gt;0),Calcs!CD446,"Operating Expense "&amp;Calcs!$BL174)</f>
        <v>Operating Expense 0</v>
      </c>
      <c r="B174" s="6" t="str">
        <f>IF(AND(Calcs!CE446&lt;&gt;"",Calcs!CE446&lt;&gt;0),Calcs!CE446,"Operating Expense "&amp;Calcs!Q446)</f>
        <v>Operating Expense 26</v>
      </c>
      <c r="C174" s="7">
        <f>IF($BL174&lt;&gt;"Yes",0,Calcs!CF446)</f>
        <v>0</v>
      </c>
      <c r="D174" s="7">
        <f>IF($BL174&lt;&gt;"Yes",0,Calcs!CG446)</f>
        <v>0</v>
      </c>
      <c r="E174" s="7">
        <f>IF($BL174&lt;&gt;"Yes",0,Calcs!CH446)</f>
        <v>0</v>
      </c>
      <c r="F174" s="7">
        <f>IF($BL174&lt;&gt;"Yes",0,Calcs!CI446)</f>
        <v>0</v>
      </c>
      <c r="G174" s="7">
        <f>IF($BL174&lt;&gt;"Yes",0,Calcs!CJ446)</f>
        <v>0</v>
      </c>
      <c r="H174" s="40"/>
      <c r="I174" s="7">
        <f>IF($BL174&lt;&gt;"Yes",0,Calcs!CL446)</f>
        <v>0</v>
      </c>
      <c r="J174" s="7">
        <f>IF($BL174&lt;&gt;"Yes",0,Calcs!CM446)</f>
        <v>0</v>
      </c>
      <c r="K174" s="7">
        <f>IF($BL174&lt;&gt;"Yes",0,Calcs!CN446)</f>
        <v>0</v>
      </c>
      <c r="L174" s="7">
        <f>IF($BL174&lt;&gt;"Yes",0,Calcs!CO446)</f>
        <v>0</v>
      </c>
      <c r="M174" s="7">
        <f>IF($BL174&lt;&gt;"Yes",0,Calcs!CP446)</f>
        <v>0</v>
      </c>
      <c r="N174" s="7">
        <f>IF($BL174&lt;&gt;"Yes",0,Calcs!CQ446)</f>
        <v>0</v>
      </c>
      <c r="O174" s="7">
        <f>IF($BL174&lt;&gt;"Yes",0,Calcs!CR446)</f>
        <v>0</v>
      </c>
      <c r="P174" s="7">
        <f>IF($BL174&lt;&gt;"Yes",0,Calcs!CS446)</f>
        <v>0</v>
      </c>
      <c r="Q174" s="7">
        <f>IF($BL174&lt;&gt;"Yes",0,Calcs!CT446)</f>
        <v>0</v>
      </c>
      <c r="R174" s="7">
        <f>IF($BL174&lt;&gt;"Yes",0,Calcs!CU446)</f>
        <v>0</v>
      </c>
      <c r="S174" s="7">
        <f>IF($BL174&lt;&gt;"Yes",0,Calcs!CV446)</f>
        <v>0</v>
      </c>
      <c r="T174" s="7">
        <f>IF($BL174&lt;&gt;"Yes",0,Calcs!CW446)</f>
        <v>0</v>
      </c>
      <c r="U174" s="7">
        <f>IF($BL174&lt;&gt;"Yes",0,Calcs!CX446)</f>
        <v>0</v>
      </c>
      <c r="V174" s="7">
        <f>IF($BL174&lt;&gt;"Yes",0,Calcs!CY446)</f>
        <v>0</v>
      </c>
      <c r="W174" s="7">
        <f>IF($BL174&lt;&gt;"Yes",0,Calcs!CZ446)</f>
        <v>0</v>
      </c>
      <c r="X174" s="7">
        <f>IF($BL174&lt;&gt;"Yes",0,Calcs!DA446)</f>
        <v>0</v>
      </c>
      <c r="Y174" s="7">
        <f>IF($BL174&lt;&gt;"Yes",0,Calcs!DB446)</f>
        <v>0</v>
      </c>
      <c r="Z174" s="7">
        <f>IF($BL174&lt;&gt;"Yes",0,Calcs!DC446)</f>
        <v>0</v>
      </c>
      <c r="AA174" s="7">
        <f>IF($BL174&lt;&gt;"Yes",0,Calcs!DD446)</f>
        <v>0</v>
      </c>
      <c r="AB174" s="7">
        <f>IF($BL174&lt;&gt;"Yes",0,Calcs!DE446)</f>
        <v>0</v>
      </c>
      <c r="AC174" s="7">
        <f>IF($BL174&lt;&gt;"Yes",0,Calcs!DF446)</f>
        <v>0</v>
      </c>
      <c r="AD174" s="7">
        <f>IF($BL174&lt;&gt;"Yes",0,Calcs!DG446)</f>
        <v>0</v>
      </c>
      <c r="AE174" s="7">
        <f>IF($BL174&lt;&gt;"Yes",0,Calcs!DH446)</f>
        <v>0</v>
      </c>
      <c r="AF174" s="7">
        <f>IF($BL174&lt;&gt;"Yes",0,Calcs!DI446)</f>
        <v>0</v>
      </c>
      <c r="AG174" s="7">
        <f>IF($BL174&lt;&gt;"Yes",0,Calcs!DJ446)</f>
        <v>0</v>
      </c>
      <c r="AH174" s="7">
        <f>IF($BL174&lt;&gt;"Yes",0,Calcs!DK446)</f>
        <v>0</v>
      </c>
      <c r="AI174" s="7">
        <f>IF($BL174&lt;&gt;"Yes",0,Calcs!DL446)</f>
        <v>0</v>
      </c>
      <c r="AJ174" s="7">
        <f>IF($BL174&lt;&gt;"Yes",0,Calcs!DM446)</f>
        <v>0</v>
      </c>
      <c r="AK174" s="7">
        <f>IF($BL174&lt;&gt;"Yes",0,Calcs!DN446)</f>
        <v>0</v>
      </c>
      <c r="AL174" s="7">
        <f>IF($BL174&lt;&gt;"Yes",0,Calcs!DO446)</f>
        <v>0</v>
      </c>
      <c r="AM174" s="7">
        <f>IF($BL174&lt;&gt;"Yes",0,Calcs!DP446)</f>
        <v>0</v>
      </c>
      <c r="AN174" s="7">
        <f>IF($BL174&lt;&gt;"Yes",0,Calcs!DQ446)</f>
        <v>0</v>
      </c>
      <c r="AO174" s="7">
        <f>IF($BL174&lt;&gt;"Yes",0,Calcs!DR446)</f>
        <v>0</v>
      </c>
      <c r="AP174" s="7">
        <f>IF($BL174&lt;&gt;"Yes",0,Calcs!DS446)</f>
        <v>0</v>
      </c>
      <c r="AQ174" s="7">
        <f>IF($BL174&lt;&gt;"Yes",0,Calcs!DT446)</f>
        <v>0</v>
      </c>
      <c r="AR174" s="7">
        <f>IF($BL174&lt;&gt;"Yes",0,Calcs!DU446)</f>
        <v>0</v>
      </c>
      <c r="AS174" s="7">
        <f>IF($BL174&lt;&gt;"Yes",0,Calcs!DV446)</f>
        <v>0</v>
      </c>
      <c r="AT174" s="7">
        <f>IF($BL174&lt;&gt;"Yes",0,Calcs!DW446)</f>
        <v>0</v>
      </c>
      <c r="AU174" s="7">
        <f>IF($BL174&lt;&gt;"Yes",0,Calcs!DX446)</f>
        <v>0</v>
      </c>
      <c r="AV174" s="7">
        <f>IF($BL174&lt;&gt;"Yes",0,Calcs!DY446)</f>
        <v>0</v>
      </c>
      <c r="AW174" s="7">
        <f>IF($BL174&lt;&gt;"Yes",0,Calcs!DZ446)</f>
        <v>0</v>
      </c>
      <c r="AX174" s="7">
        <f>IF($BL174&lt;&gt;"Yes",0,Calcs!EA446)</f>
        <v>0</v>
      </c>
      <c r="AY174" s="7">
        <f>IF($BL174&lt;&gt;"Yes",0,Calcs!EB446)</f>
        <v>0</v>
      </c>
      <c r="AZ174" s="7">
        <f>IF($BL174&lt;&gt;"Yes",0,Calcs!EC446)</f>
        <v>0</v>
      </c>
      <c r="BA174" s="7">
        <f>IF($BL174&lt;&gt;"Yes",0,Calcs!ED446)</f>
        <v>0</v>
      </c>
      <c r="BB174" s="7">
        <f>IF($BL174&lt;&gt;"Yes",0,Calcs!EE446)</f>
        <v>0</v>
      </c>
      <c r="BC174" s="7">
        <f>IF($BL174&lt;&gt;"Yes",0,Calcs!EF446)</f>
        <v>0</v>
      </c>
      <c r="BD174" s="7">
        <f>IF($BL174&lt;&gt;"Yes",0,Calcs!EG446)</f>
        <v>0</v>
      </c>
      <c r="BE174" s="7">
        <f>IF($BL174&lt;&gt;"Yes",0,Calcs!EH446)</f>
        <v>0</v>
      </c>
      <c r="BF174" s="7">
        <f>IF($BL174&lt;&gt;"Yes",0,Calcs!EI446)</f>
        <v>0</v>
      </c>
      <c r="BG174" s="7">
        <f>IF($BL174&lt;&gt;"Yes",0,Calcs!EJ446)</f>
        <v>0</v>
      </c>
      <c r="BH174" s="7">
        <f>IF($BL174&lt;&gt;"Yes",0,Calcs!EK446)</f>
        <v>0</v>
      </c>
      <c r="BI174" s="7">
        <f>IF($BL174&lt;&gt;"Yes",0,Calcs!EL446)</f>
        <v>0</v>
      </c>
      <c r="BJ174" s="7">
        <f>IF($BL174&lt;&gt;"Yes",0,Calcs!EM446)</f>
        <v>0</v>
      </c>
    </row>
    <row r="175" spans="1:62" s="5" customFormat="1" ht="13" hidden="1" customHeight="1" x14ac:dyDescent="0.3">
      <c r="A175" s="6" t="str">
        <f>IF(AND(Calcs!CD447&lt;&gt;"",Calcs!CD447&lt;&gt;0),Calcs!CD447,"Operating Expense "&amp;Calcs!$BL175)</f>
        <v>Operating Expense 0</v>
      </c>
      <c r="B175" s="6" t="str">
        <f>IF(AND(Calcs!CE447&lt;&gt;"",Calcs!CE447&lt;&gt;0),Calcs!CE447,"Operating Expense "&amp;Calcs!Q447)</f>
        <v>Operating Expense 27</v>
      </c>
      <c r="C175" s="7">
        <f>IF($BL175&lt;&gt;"Yes",0,Calcs!CF447)</f>
        <v>0</v>
      </c>
      <c r="D175" s="7">
        <f>IF($BL175&lt;&gt;"Yes",0,Calcs!CG447)</f>
        <v>0</v>
      </c>
      <c r="E175" s="7">
        <f>IF($BL175&lt;&gt;"Yes",0,Calcs!CH447)</f>
        <v>0</v>
      </c>
      <c r="F175" s="7">
        <f>IF($BL175&lt;&gt;"Yes",0,Calcs!CI447)</f>
        <v>0</v>
      </c>
      <c r="G175" s="7">
        <f>IF($BL175&lt;&gt;"Yes",0,Calcs!CJ447)</f>
        <v>0</v>
      </c>
      <c r="H175" s="40"/>
      <c r="I175" s="7">
        <f>IF($BL175&lt;&gt;"Yes",0,Calcs!CL447)</f>
        <v>0</v>
      </c>
      <c r="J175" s="7">
        <f>IF($BL175&lt;&gt;"Yes",0,Calcs!CM447)</f>
        <v>0</v>
      </c>
      <c r="K175" s="7">
        <f>IF($BL175&lt;&gt;"Yes",0,Calcs!CN447)</f>
        <v>0</v>
      </c>
      <c r="L175" s="7">
        <f>IF($BL175&lt;&gt;"Yes",0,Calcs!CO447)</f>
        <v>0</v>
      </c>
      <c r="M175" s="7">
        <f>IF($BL175&lt;&gt;"Yes",0,Calcs!CP447)</f>
        <v>0</v>
      </c>
      <c r="N175" s="7">
        <f>IF($BL175&lt;&gt;"Yes",0,Calcs!CQ447)</f>
        <v>0</v>
      </c>
      <c r="O175" s="7">
        <f>IF($BL175&lt;&gt;"Yes",0,Calcs!CR447)</f>
        <v>0</v>
      </c>
      <c r="P175" s="7">
        <f>IF($BL175&lt;&gt;"Yes",0,Calcs!CS447)</f>
        <v>0</v>
      </c>
      <c r="Q175" s="7">
        <f>IF($BL175&lt;&gt;"Yes",0,Calcs!CT447)</f>
        <v>0</v>
      </c>
      <c r="R175" s="7">
        <f>IF($BL175&lt;&gt;"Yes",0,Calcs!CU447)</f>
        <v>0</v>
      </c>
      <c r="S175" s="7">
        <f>IF($BL175&lt;&gt;"Yes",0,Calcs!CV447)</f>
        <v>0</v>
      </c>
      <c r="T175" s="7">
        <f>IF($BL175&lt;&gt;"Yes",0,Calcs!CW447)</f>
        <v>0</v>
      </c>
      <c r="U175" s="7">
        <f>IF($BL175&lt;&gt;"Yes",0,Calcs!CX447)</f>
        <v>0</v>
      </c>
      <c r="V175" s="7">
        <f>IF($BL175&lt;&gt;"Yes",0,Calcs!CY447)</f>
        <v>0</v>
      </c>
      <c r="W175" s="7">
        <f>IF($BL175&lt;&gt;"Yes",0,Calcs!CZ447)</f>
        <v>0</v>
      </c>
      <c r="X175" s="7">
        <f>IF($BL175&lt;&gt;"Yes",0,Calcs!DA447)</f>
        <v>0</v>
      </c>
      <c r="Y175" s="7">
        <f>IF($BL175&lt;&gt;"Yes",0,Calcs!DB447)</f>
        <v>0</v>
      </c>
      <c r="Z175" s="7">
        <f>IF($BL175&lt;&gt;"Yes",0,Calcs!DC447)</f>
        <v>0</v>
      </c>
      <c r="AA175" s="7">
        <f>IF($BL175&lt;&gt;"Yes",0,Calcs!DD447)</f>
        <v>0</v>
      </c>
      <c r="AB175" s="7">
        <f>IF($BL175&lt;&gt;"Yes",0,Calcs!DE447)</f>
        <v>0</v>
      </c>
      <c r="AC175" s="7">
        <f>IF($BL175&lt;&gt;"Yes",0,Calcs!DF447)</f>
        <v>0</v>
      </c>
      <c r="AD175" s="7">
        <f>IF($BL175&lt;&gt;"Yes",0,Calcs!DG447)</f>
        <v>0</v>
      </c>
      <c r="AE175" s="7">
        <f>IF($BL175&lt;&gt;"Yes",0,Calcs!DH447)</f>
        <v>0</v>
      </c>
      <c r="AF175" s="7">
        <f>IF($BL175&lt;&gt;"Yes",0,Calcs!DI447)</f>
        <v>0</v>
      </c>
      <c r="AG175" s="7">
        <f>IF($BL175&lt;&gt;"Yes",0,Calcs!DJ447)</f>
        <v>0</v>
      </c>
      <c r="AH175" s="7">
        <f>IF($BL175&lt;&gt;"Yes",0,Calcs!DK447)</f>
        <v>0</v>
      </c>
      <c r="AI175" s="7">
        <f>IF($BL175&lt;&gt;"Yes",0,Calcs!DL447)</f>
        <v>0</v>
      </c>
      <c r="AJ175" s="7">
        <f>IF($BL175&lt;&gt;"Yes",0,Calcs!DM447)</f>
        <v>0</v>
      </c>
      <c r="AK175" s="7">
        <f>IF($BL175&lt;&gt;"Yes",0,Calcs!DN447)</f>
        <v>0</v>
      </c>
      <c r="AL175" s="7">
        <f>IF($BL175&lt;&gt;"Yes",0,Calcs!DO447)</f>
        <v>0</v>
      </c>
      <c r="AM175" s="7">
        <f>IF($BL175&lt;&gt;"Yes",0,Calcs!DP447)</f>
        <v>0</v>
      </c>
      <c r="AN175" s="7">
        <f>IF($BL175&lt;&gt;"Yes",0,Calcs!DQ447)</f>
        <v>0</v>
      </c>
      <c r="AO175" s="7">
        <f>IF($BL175&lt;&gt;"Yes",0,Calcs!DR447)</f>
        <v>0</v>
      </c>
      <c r="AP175" s="7">
        <f>IF($BL175&lt;&gt;"Yes",0,Calcs!DS447)</f>
        <v>0</v>
      </c>
      <c r="AQ175" s="7">
        <f>IF($BL175&lt;&gt;"Yes",0,Calcs!DT447)</f>
        <v>0</v>
      </c>
      <c r="AR175" s="7">
        <f>IF($BL175&lt;&gt;"Yes",0,Calcs!DU447)</f>
        <v>0</v>
      </c>
      <c r="AS175" s="7">
        <f>IF($BL175&lt;&gt;"Yes",0,Calcs!DV447)</f>
        <v>0</v>
      </c>
      <c r="AT175" s="7">
        <f>IF($BL175&lt;&gt;"Yes",0,Calcs!DW447)</f>
        <v>0</v>
      </c>
      <c r="AU175" s="7">
        <f>IF($BL175&lt;&gt;"Yes",0,Calcs!DX447)</f>
        <v>0</v>
      </c>
      <c r="AV175" s="7">
        <f>IF($BL175&lt;&gt;"Yes",0,Calcs!DY447)</f>
        <v>0</v>
      </c>
      <c r="AW175" s="7">
        <f>IF($BL175&lt;&gt;"Yes",0,Calcs!DZ447)</f>
        <v>0</v>
      </c>
      <c r="AX175" s="7">
        <f>IF($BL175&lt;&gt;"Yes",0,Calcs!EA447)</f>
        <v>0</v>
      </c>
      <c r="AY175" s="7">
        <f>IF($BL175&lt;&gt;"Yes",0,Calcs!EB447)</f>
        <v>0</v>
      </c>
      <c r="AZ175" s="7">
        <f>IF($BL175&lt;&gt;"Yes",0,Calcs!EC447)</f>
        <v>0</v>
      </c>
      <c r="BA175" s="7">
        <f>IF($BL175&lt;&gt;"Yes",0,Calcs!ED447)</f>
        <v>0</v>
      </c>
      <c r="BB175" s="7">
        <f>IF($BL175&lt;&gt;"Yes",0,Calcs!EE447)</f>
        <v>0</v>
      </c>
      <c r="BC175" s="7">
        <f>IF($BL175&lt;&gt;"Yes",0,Calcs!EF447)</f>
        <v>0</v>
      </c>
      <c r="BD175" s="7">
        <f>IF($BL175&lt;&gt;"Yes",0,Calcs!EG447)</f>
        <v>0</v>
      </c>
      <c r="BE175" s="7">
        <f>IF($BL175&lt;&gt;"Yes",0,Calcs!EH447)</f>
        <v>0</v>
      </c>
      <c r="BF175" s="7">
        <f>IF($BL175&lt;&gt;"Yes",0,Calcs!EI447)</f>
        <v>0</v>
      </c>
      <c r="BG175" s="7">
        <f>IF($BL175&lt;&gt;"Yes",0,Calcs!EJ447)</f>
        <v>0</v>
      </c>
      <c r="BH175" s="7">
        <f>IF($BL175&lt;&gt;"Yes",0,Calcs!EK447)</f>
        <v>0</v>
      </c>
      <c r="BI175" s="7">
        <f>IF($BL175&lt;&gt;"Yes",0,Calcs!EL447)</f>
        <v>0</v>
      </c>
      <c r="BJ175" s="7">
        <f>IF($BL175&lt;&gt;"Yes",0,Calcs!EM447)</f>
        <v>0</v>
      </c>
    </row>
    <row r="176" spans="1:62" s="5" customFormat="1" ht="13" hidden="1" customHeight="1" x14ac:dyDescent="0.3">
      <c r="A176" s="6" t="str">
        <f>IF(AND(Calcs!CD448&lt;&gt;"",Calcs!CD448&lt;&gt;0),Calcs!CD448,"Operating Expense "&amp;Calcs!$BL176)</f>
        <v>Operating Expense 0</v>
      </c>
      <c r="B176" s="6" t="str">
        <f>IF(AND(Calcs!CE448&lt;&gt;"",Calcs!CE448&lt;&gt;0),Calcs!CE448,"Operating Expense "&amp;Calcs!Q448)</f>
        <v>Operating Expense 28</v>
      </c>
      <c r="C176" s="7">
        <f>IF($BL176&lt;&gt;"Yes",0,Calcs!CF448)</f>
        <v>0</v>
      </c>
      <c r="D176" s="7">
        <f>IF($BL176&lt;&gt;"Yes",0,Calcs!CG448)</f>
        <v>0</v>
      </c>
      <c r="E176" s="7">
        <f>IF($BL176&lt;&gt;"Yes",0,Calcs!CH448)</f>
        <v>0</v>
      </c>
      <c r="F176" s="7">
        <f>IF($BL176&lt;&gt;"Yes",0,Calcs!CI448)</f>
        <v>0</v>
      </c>
      <c r="G176" s="7">
        <f>IF($BL176&lt;&gt;"Yes",0,Calcs!CJ448)</f>
        <v>0</v>
      </c>
      <c r="H176" s="40"/>
      <c r="I176" s="7">
        <f>IF($BL176&lt;&gt;"Yes",0,Calcs!CL448)</f>
        <v>0</v>
      </c>
      <c r="J176" s="7">
        <f>IF($BL176&lt;&gt;"Yes",0,Calcs!CM448)</f>
        <v>0</v>
      </c>
      <c r="K176" s="7">
        <f>IF($BL176&lt;&gt;"Yes",0,Calcs!CN448)</f>
        <v>0</v>
      </c>
      <c r="L176" s="7">
        <f>IF($BL176&lt;&gt;"Yes",0,Calcs!CO448)</f>
        <v>0</v>
      </c>
      <c r="M176" s="7">
        <f>IF($BL176&lt;&gt;"Yes",0,Calcs!CP448)</f>
        <v>0</v>
      </c>
      <c r="N176" s="7">
        <f>IF($BL176&lt;&gt;"Yes",0,Calcs!CQ448)</f>
        <v>0</v>
      </c>
      <c r="O176" s="7">
        <f>IF($BL176&lt;&gt;"Yes",0,Calcs!CR448)</f>
        <v>0</v>
      </c>
      <c r="P176" s="7">
        <f>IF($BL176&lt;&gt;"Yes",0,Calcs!CS448)</f>
        <v>0</v>
      </c>
      <c r="Q176" s="7">
        <f>IF($BL176&lt;&gt;"Yes",0,Calcs!CT448)</f>
        <v>0</v>
      </c>
      <c r="R176" s="7">
        <f>IF($BL176&lt;&gt;"Yes",0,Calcs!CU448)</f>
        <v>0</v>
      </c>
      <c r="S176" s="7">
        <f>IF($BL176&lt;&gt;"Yes",0,Calcs!CV448)</f>
        <v>0</v>
      </c>
      <c r="T176" s="7">
        <f>IF($BL176&lt;&gt;"Yes",0,Calcs!CW448)</f>
        <v>0</v>
      </c>
      <c r="U176" s="7">
        <f>IF($BL176&lt;&gt;"Yes",0,Calcs!CX448)</f>
        <v>0</v>
      </c>
      <c r="V176" s="7">
        <f>IF($BL176&lt;&gt;"Yes",0,Calcs!CY448)</f>
        <v>0</v>
      </c>
      <c r="W176" s="7">
        <f>IF($BL176&lt;&gt;"Yes",0,Calcs!CZ448)</f>
        <v>0</v>
      </c>
      <c r="X176" s="7">
        <f>IF($BL176&lt;&gt;"Yes",0,Calcs!DA448)</f>
        <v>0</v>
      </c>
      <c r="Y176" s="7">
        <f>IF($BL176&lt;&gt;"Yes",0,Calcs!DB448)</f>
        <v>0</v>
      </c>
      <c r="Z176" s="7">
        <f>IF($BL176&lt;&gt;"Yes",0,Calcs!DC448)</f>
        <v>0</v>
      </c>
      <c r="AA176" s="7">
        <f>IF($BL176&lt;&gt;"Yes",0,Calcs!DD448)</f>
        <v>0</v>
      </c>
      <c r="AB176" s="7">
        <f>IF($BL176&lt;&gt;"Yes",0,Calcs!DE448)</f>
        <v>0</v>
      </c>
      <c r="AC176" s="7">
        <f>IF($BL176&lt;&gt;"Yes",0,Calcs!DF448)</f>
        <v>0</v>
      </c>
      <c r="AD176" s="7">
        <f>IF($BL176&lt;&gt;"Yes",0,Calcs!DG448)</f>
        <v>0</v>
      </c>
      <c r="AE176" s="7">
        <f>IF($BL176&lt;&gt;"Yes",0,Calcs!DH448)</f>
        <v>0</v>
      </c>
      <c r="AF176" s="7">
        <f>IF($BL176&lt;&gt;"Yes",0,Calcs!DI448)</f>
        <v>0</v>
      </c>
      <c r="AG176" s="7">
        <f>IF($BL176&lt;&gt;"Yes",0,Calcs!DJ448)</f>
        <v>0</v>
      </c>
      <c r="AH176" s="7">
        <f>IF($BL176&lt;&gt;"Yes",0,Calcs!DK448)</f>
        <v>0</v>
      </c>
      <c r="AI176" s="7">
        <f>IF($BL176&lt;&gt;"Yes",0,Calcs!DL448)</f>
        <v>0</v>
      </c>
      <c r="AJ176" s="7">
        <f>IF($BL176&lt;&gt;"Yes",0,Calcs!DM448)</f>
        <v>0</v>
      </c>
      <c r="AK176" s="7">
        <f>IF($BL176&lt;&gt;"Yes",0,Calcs!DN448)</f>
        <v>0</v>
      </c>
      <c r="AL176" s="7">
        <f>IF($BL176&lt;&gt;"Yes",0,Calcs!DO448)</f>
        <v>0</v>
      </c>
      <c r="AM176" s="7">
        <f>IF($BL176&lt;&gt;"Yes",0,Calcs!DP448)</f>
        <v>0</v>
      </c>
      <c r="AN176" s="7">
        <f>IF($BL176&lt;&gt;"Yes",0,Calcs!DQ448)</f>
        <v>0</v>
      </c>
      <c r="AO176" s="7">
        <f>IF($BL176&lt;&gt;"Yes",0,Calcs!DR448)</f>
        <v>0</v>
      </c>
      <c r="AP176" s="7">
        <f>IF($BL176&lt;&gt;"Yes",0,Calcs!DS448)</f>
        <v>0</v>
      </c>
      <c r="AQ176" s="7">
        <f>IF($BL176&lt;&gt;"Yes",0,Calcs!DT448)</f>
        <v>0</v>
      </c>
      <c r="AR176" s="7">
        <f>IF($BL176&lt;&gt;"Yes",0,Calcs!DU448)</f>
        <v>0</v>
      </c>
      <c r="AS176" s="7">
        <f>IF($BL176&lt;&gt;"Yes",0,Calcs!DV448)</f>
        <v>0</v>
      </c>
      <c r="AT176" s="7">
        <f>IF($BL176&lt;&gt;"Yes",0,Calcs!DW448)</f>
        <v>0</v>
      </c>
      <c r="AU176" s="7">
        <f>IF($BL176&lt;&gt;"Yes",0,Calcs!DX448)</f>
        <v>0</v>
      </c>
      <c r="AV176" s="7">
        <f>IF($BL176&lt;&gt;"Yes",0,Calcs!DY448)</f>
        <v>0</v>
      </c>
      <c r="AW176" s="7">
        <f>IF($BL176&lt;&gt;"Yes",0,Calcs!DZ448)</f>
        <v>0</v>
      </c>
      <c r="AX176" s="7">
        <f>IF($BL176&lt;&gt;"Yes",0,Calcs!EA448)</f>
        <v>0</v>
      </c>
      <c r="AY176" s="7">
        <f>IF($BL176&lt;&gt;"Yes",0,Calcs!EB448)</f>
        <v>0</v>
      </c>
      <c r="AZ176" s="7">
        <f>IF($BL176&lt;&gt;"Yes",0,Calcs!EC448)</f>
        <v>0</v>
      </c>
      <c r="BA176" s="7">
        <f>IF($BL176&lt;&gt;"Yes",0,Calcs!ED448)</f>
        <v>0</v>
      </c>
      <c r="BB176" s="7">
        <f>IF($BL176&lt;&gt;"Yes",0,Calcs!EE448)</f>
        <v>0</v>
      </c>
      <c r="BC176" s="7">
        <f>IF($BL176&lt;&gt;"Yes",0,Calcs!EF448)</f>
        <v>0</v>
      </c>
      <c r="BD176" s="7">
        <f>IF($BL176&lt;&gt;"Yes",0,Calcs!EG448)</f>
        <v>0</v>
      </c>
      <c r="BE176" s="7">
        <f>IF($BL176&lt;&gt;"Yes",0,Calcs!EH448)</f>
        <v>0</v>
      </c>
      <c r="BF176" s="7">
        <f>IF($BL176&lt;&gt;"Yes",0,Calcs!EI448)</f>
        <v>0</v>
      </c>
      <c r="BG176" s="7">
        <f>IF($BL176&lt;&gt;"Yes",0,Calcs!EJ448)</f>
        <v>0</v>
      </c>
      <c r="BH176" s="7">
        <f>IF($BL176&lt;&gt;"Yes",0,Calcs!EK448)</f>
        <v>0</v>
      </c>
      <c r="BI176" s="7">
        <f>IF($BL176&lt;&gt;"Yes",0,Calcs!EL448)</f>
        <v>0</v>
      </c>
      <c r="BJ176" s="7">
        <f>IF($BL176&lt;&gt;"Yes",0,Calcs!EM448)</f>
        <v>0</v>
      </c>
    </row>
    <row r="177" spans="1:62" s="5" customFormat="1" ht="13" hidden="1" customHeight="1" x14ac:dyDescent="0.3">
      <c r="A177" s="6" t="str">
        <f>IF(AND(Calcs!CD449&lt;&gt;"",Calcs!CD449&lt;&gt;0),Calcs!CD449,"Operating Expense "&amp;Calcs!$BL177)</f>
        <v>Operating Expense 0</v>
      </c>
      <c r="B177" s="6" t="str">
        <f>IF(AND(Calcs!CE449&lt;&gt;"",Calcs!CE449&lt;&gt;0),Calcs!CE449,"Operating Expense "&amp;Calcs!Q449)</f>
        <v>Operating Expense 29</v>
      </c>
      <c r="C177" s="7">
        <f>IF($BL177&lt;&gt;"Yes",0,Calcs!CF449)</f>
        <v>0</v>
      </c>
      <c r="D177" s="7">
        <f>IF($BL177&lt;&gt;"Yes",0,Calcs!CG449)</f>
        <v>0</v>
      </c>
      <c r="E177" s="7">
        <f>IF($BL177&lt;&gt;"Yes",0,Calcs!CH449)</f>
        <v>0</v>
      </c>
      <c r="F177" s="7">
        <f>IF($BL177&lt;&gt;"Yes",0,Calcs!CI449)</f>
        <v>0</v>
      </c>
      <c r="G177" s="7">
        <f>IF($BL177&lt;&gt;"Yes",0,Calcs!CJ449)</f>
        <v>0</v>
      </c>
      <c r="H177" s="40"/>
      <c r="I177" s="7">
        <f>IF($BL177&lt;&gt;"Yes",0,Calcs!CL449)</f>
        <v>0</v>
      </c>
      <c r="J177" s="7">
        <f>IF($BL177&lt;&gt;"Yes",0,Calcs!CM449)</f>
        <v>0</v>
      </c>
      <c r="K177" s="7">
        <f>IF($BL177&lt;&gt;"Yes",0,Calcs!CN449)</f>
        <v>0</v>
      </c>
      <c r="L177" s="7">
        <f>IF($BL177&lt;&gt;"Yes",0,Calcs!CO449)</f>
        <v>0</v>
      </c>
      <c r="M177" s="7">
        <f>IF($BL177&lt;&gt;"Yes",0,Calcs!CP449)</f>
        <v>0</v>
      </c>
      <c r="N177" s="7">
        <f>IF($BL177&lt;&gt;"Yes",0,Calcs!CQ449)</f>
        <v>0</v>
      </c>
      <c r="O177" s="7">
        <f>IF($BL177&lt;&gt;"Yes",0,Calcs!CR449)</f>
        <v>0</v>
      </c>
      <c r="P177" s="7">
        <f>IF($BL177&lt;&gt;"Yes",0,Calcs!CS449)</f>
        <v>0</v>
      </c>
      <c r="Q177" s="7">
        <f>IF($BL177&lt;&gt;"Yes",0,Calcs!CT449)</f>
        <v>0</v>
      </c>
      <c r="R177" s="7">
        <f>IF($BL177&lt;&gt;"Yes",0,Calcs!CU449)</f>
        <v>0</v>
      </c>
      <c r="S177" s="7">
        <f>IF($BL177&lt;&gt;"Yes",0,Calcs!CV449)</f>
        <v>0</v>
      </c>
      <c r="T177" s="7">
        <f>IF($BL177&lt;&gt;"Yes",0,Calcs!CW449)</f>
        <v>0</v>
      </c>
      <c r="U177" s="7">
        <f>IF($BL177&lt;&gt;"Yes",0,Calcs!CX449)</f>
        <v>0</v>
      </c>
      <c r="V177" s="7">
        <f>IF($BL177&lt;&gt;"Yes",0,Calcs!CY449)</f>
        <v>0</v>
      </c>
      <c r="W177" s="7">
        <f>IF($BL177&lt;&gt;"Yes",0,Calcs!CZ449)</f>
        <v>0</v>
      </c>
      <c r="X177" s="7">
        <f>IF($BL177&lt;&gt;"Yes",0,Calcs!DA449)</f>
        <v>0</v>
      </c>
      <c r="Y177" s="7">
        <f>IF($BL177&lt;&gt;"Yes",0,Calcs!DB449)</f>
        <v>0</v>
      </c>
      <c r="Z177" s="7">
        <f>IF($BL177&lt;&gt;"Yes",0,Calcs!DC449)</f>
        <v>0</v>
      </c>
      <c r="AA177" s="7">
        <f>IF($BL177&lt;&gt;"Yes",0,Calcs!DD449)</f>
        <v>0</v>
      </c>
      <c r="AB177" s="7">
        <f>IF($BL177&lt;&gt;"Yes",0,Calcs!DE449)</f>
        <v>0</v>
      </c>
      <c r="AC177" s="7">
        <f>IF($BL177&lt;&gt;"Yes",0,Calcs!DF449)</f>
        <v>0</v>
      </c>
      <c r="AD177" s="7">
        <f>IF($BL177&lt;&gt;"Yes",0,Calcs!DG449)</f>
        <v>0</v>
      </c>
      <c r="AE177" s="7">
        <f>IF($BL177&lt;&gt;"Yes",0,Calcs!DH449)</f>
        <v>0</v>
      </c>
      <c r="AF177" s="7">
        <f>IF($BL177&lt;&gt;"Yes",0,Calcs!DI449)</f>
        <v>0</v>
      </c>
      <c r="AG177" s="7">
        <f>IF($BL177&lt;&gt;"Yes",0,Calcs!DJ449)</f>
        <v>0</v>
      </c>
      <c r="AH177" s="7">
        <f>IF($BL177&lt;&gt;"Yes",0,Calcs!DK449)</f>
        <v>0</v>
      </c>
      <c r="AI177" s="7">
        <f>IF($BL177&lt;&gt;"Yes",0,Calcs!DL449)</f>
        <v>0</v>
      </c>
      <c r="AJ177" s="7">
        <f>IF($BL177&lt;&gt;"Yes",0,Calcs!DM449)</f>
        <v>0</v>
      </c>
      <c r="AK177" s="7">
        <f>IF($BL177&lt;&gt;"Yes",0,Calcs!DN449)</f>
        <v>0</v>
      </c>
      <c r="AL177" s="7">
        <f>IF($BL177&lt;&gt;"Yes",0,Calcs!DO449)</f>
        <v>0</v>
      </c>
      <c r="AM177" s="7">
        <f>IF($BL177&lt;&gt;"Yes",0,Calcs!DP449)</f>
        <v>0</v>
      </c>
      <c r="AN177" s="7">
        <f>IF($BL177&lt;&gt;"Yes",0,Calcs!DQ449)</f>
        <v>0</v>
      </c>
      <c r="AO177" s="7">
        <f>IF($BL177&lt;&gt;"Yes",0,Calcs!DR449)</f>
        <v>0</v>
      </c>
      <c r="AP177" s="7">
        <f>IF($BL177&lt;&gt;"Yes",0,Calcs!DS449)</f>
        <v>0</v>
      </c>
      <c r="AQ177" s="7">
        <f>IF($BL177&lt;&gt;"Yes",0,Calcs!DT449)</f>
        <v>0</v>
      </c>
      <c r="AR177" s="7">
        <f>IF($BL177&lt;&gt;"Yes",0,Calcs!DU449)</f>
        <v>0</v>
      </c>
      <c r="AS177" s="7">
        <f>IF($BL177&lt;&gt;"Yes",0,Calcs!DV449)</f>
        <v>0</v>
      </c>
      <c r="AT177" s="7">
        <f>IF($BL177&lt;&gt;"Yes",0,Calcs!DW449)</f>
        <v>0</v>
      </c>
      <c r="AU177" s="7">
        <f>IF($BL177&lt;&gt;"Yes",0,Calcs!DX449)</f>
        <v>0</v>
      </c>
      <c r="AV177" s="7">
        <f>IF($BL177&lt;&gt;"Yes",0,Calcs!DY449)</f>
        <v>0</v>
      </c>
      <c r="AW177" s="7">
        <f>IF($BL177&lt;&gt;"Yes",0,Calcs!DZ449)</f>
        <v>0</v>
      </c>
      <c r="AX177" s="7">
        <f>IF($BL177&lt;&gt;"Yes",0,Calcs!EA449)</f>
        <v>0</v>
      </c>
      <c r="AY177" s="7">
        <f>IF($BL177&lt;&gt;"Yes",0,Calcs!EB449)</f>
        <v>0</v>
      </c>
      <c r="AZ177" s="7">
        <f>IF($BL177&lt;&gt;"Yes",0,Calcs!EC449)</f>
        <v>0</v>
      </c>
      <c r="BA177" s="7">
        <f>IF($BL177&lt;&gt;"Yes",0,Calcs!ED449)</f>
        <v>0</v>
      </c>
      <c r="BB177" s="7">
        <f>IF($BL177&lt;&gt;"Yes",0,Calcs!EE449)</f>
        <v>0</v>
      </c>
      <c r="BC177" s="7">
        <f>IF($BL177&lt;&gt;"Yes",0,Calcs!EF449)</f>
        <v>0</v>
      </c>
      <c r="BD177" s="7">
        <f>IF($BL177&lt;&gt;"Yes",0,Calcs!EG449)</f>
        <v>0</v>
      </c>
      <c r="BE177" s="7">
        <f>IF($BL177&lt;&gt;"Yes",0,Calcs!EH449)</f>
        <v>0</v>
      </c>
      <c r="BF177" s="7">
        <f>IF($BL177&lt;&gt;"Yes",0,Calcs!EI449)</f>
        <v>0</v>
      </c>
      <c r="BG177" s="7">
        <f>IF($BL177&lt;&gt;"Yes",0,Calcs!EJ449)</f>
        <v>0</v>
      </c>
      <c r="BH177" s="7">
        <f>IF($BL177&lt;&gt;"Yes",0,Calcs!EK449)</f>
        <v>0</v>
      </c>
      <c r="BI177" s="7">
        <f>IF($BL177&lt;&gt;"Yes",0,Calcs!EL449)</f>
        <v>0</v>
      </c>
      <c r="BJ177" s="7">
        <f>IF($BL177&lt;&gt;"Yes",0,Calcs!EM449)</f>
        <v>0</v>
      </c>
    </row>
    <row r="178" spans="1:62" s="5" customFormat="1" ht="13" hidden="1" customHeight="1" x14ac:dyDescent="0.3">
      <c r="A178" s="6" t="str">
        <f>IF(AND(Calcs!CD450&lt;&gt;"",Calcs!CD450&lt;&gt;0),Calcs!CD450,"Operating Expense "&amp;Calcs!$BL178)</f>
        <v>Operating Expense 0</v>
      </c>
      <c r="B178" s="6" t="str">
        <f>IF(AND(Calcs!CE450&lt;&gt;"",Calcs!CE450&lt;&gt;0),Calcs!CE450,"Operating Expense "&amp;Calcs!Q450)</f>
        <v>Operating Expense 30</v>
      </c>
      <c r="C178" s="7">
        <f>IF($BL178&lt;&gt;"Yes",0,Calcs!CF450)</f>
        <v>0</v>
      </c>
      <c r="D178" s="7">
        <f>IF($BL178&lt;&gt;"Yes",0,Calcs!CG450)</f>
        <v>0</v>
      </c>
      <c r="E178" s="7">
        <f>IF($BL178&lt;&gt;"Yes",0,Calcs!CH450)</f>
        <v>0</v>
      </c>
      <c r="F178" s="7">
        <f>IF($BL178&lt;&gt;"Yes",0,Calcs!CI450)</f>
        <v>0</v>
      </c>
      <c r="G178" s="7">
        <f>IF($BL178&lt;&gt;"Yes",0,Calcs!CJ450)</f>
        <v>0</v>
      </c>
      <c r="H178" s="40"/>
      <c r="I178" s="7">
        <f>IF($BL178&lt;&gt;"Yes",0,Calcs!CL450)</f>
        <v>0</v>
      </c>
      <c r="J178" s="7">
        <f>IF($BL178&lt;&gt;"Yes",0,Calcs!CM450)</f>
        <v>0</v>
      </c>
      <c r="K178" s="7">
        <f>IF($BL178&lt;&gt;"Yes",0,Calcs!CN450)</f>
        <v>0</v>
      </c>
      <c r="L178" s="7">
        <f>IF($BL178&lt;&gt;"Yes",0,Calcs!CO450)</f>
        <v>0</v>
      </c>
      <c r="M178" s="7">
        <f>IF($BL178&lt;&gt;"Yes",0,Calcs!CP450)</f>
        <v>0</v>
      </c>
      <c r="N178" s="7">
        <f>IF($BL178&lt;&gt;"Yes",0,Calcs!CQ450)</f>
        <v>0</v>
      </c>
      <c r="O178" s="7">
        <f>IF($BL178&lt;&gt;"Yes",0,Calcs!CR450)</f>
        <v>0</v>
      </c>
      <c r="P178" s="7">
        <f>IF($BL178&lt;&gt;"Yes",0,Calcs!CS450)</f>
        <v>0</v>
      </c>
      <c r="Q178" s="7">
        <f>IF($BL178&lt;&gt;"Yes",0,Calcs!CT450)</f>
        <v>0</v>
      </c>
      <c r="R178" s="7">
        <f>IF($BL178&lt;&gt;"Yes",0,Calcs!CU450)</f>
        <v>0</v>
      </c>
      <c r="S178" s="7">
        <f>IF($BL178&lt;&gt;"Yes",0,Calcs!CV450)</f>
        <v>0</v>
      </c>
      <c r="T178" s="7">
        <f>IF($BL178&lt;&gt;"Yes",0,Calcs!CW450)</f>
        <v>0</v>
      </c>
      <c r="U178" s="7">
        <f>IF($BL178&lt;&gt;"Yes",0,Calcs!CX450)</f>
        <v>0</v>
      </c>
      <c r="V178" s="7">
        <f>IF($BL178&lt;&gt;"Yes",0,Calcs!CY450)</f>
        <v>0</v>
      </c>
      <c r="W178" s="7">
        <f>IF($BL178&lt;&gt;"Yes",0,Calcs!CZ450)</f>
        <v>0</v>
      </c>
      <c r="X178" s="7">
        <f>IF($BL178&lt;&gt;"Yes",0,Calcs!DA450)</f>
        <v>0</v>
      </c>
      <c r="Y178" s="7">
        <f>IF($BL178&lt;&gt;"Yes",0,Calcs!DB450)</f>
        <v>0</v>
      </c>
      <c r="Z178" s="7">
        <f>IF($BL178&lt;&gt;"Yes",0,Calcs!DC450)</f>
        <v>0</v>
      </c>
      <c r="AA178" s="7">
        <f>IF($BL178&lt;&gt;"Yes",0,Calcs!DD450)</f>
        <v>0</v>
      </c>
      <c r="AB178" s="7">
        <f>IF($BL178&lt;&gt;"Yes",0,Calcs!DE450)</f>
        <v>0</v>
      </c>
      <c r="AC178" s="7">
        <f>IF($BL178&lt;&gt;"Yes",0,Calcs!DF450)</f>
        <v>0</v>
      </c>
      <c r="AD178" s="7">
        <f>IF($BL178&lt;&gt;"Yes",0,Calcs!DG450)</f>
        <v>0</v>
      </c>
      <c r="AE178" s="7">
        <f>IF($BL178&lt;&gt;"Yes",0,Calcs!DH450)</f>
        <v>0</v>
      </c>
      <c r="AF178" s="7">
        <f>IF($BL178&lt;&gt;"Yes",0,Calcs!DI450)</f>
        <v>0</v>
      </c>
      <c r="AG178" s="7">
        <f>IF($BL178&lt;&gt;"Yes",0,Calcs!DJ450)</f>
        <v>0</v>
      </c>
      <c r="AH178" s="7">
        <f>IF($BL178&lt;&gt;"Yes",0,Calcs!DK450)</f>
        <v>0</v>
      </c>
      <c r="AI178" s="7">
        <f>IF($BL178&lt;&gt;"Yes",0,Calcs!DL450)</f>
        <v>0</v>
      </c>
      <c r="AJ178" s="7">
        <f>IF($BL178&lt;&gt;"Yes",0,Calcs!DM450)</f>
        <v>0</v>
      </c>
      <c r="AK178" s="7">
        <f>IF($BL178&lt;&gt;"Yes",0,Calcs!DN450)</f>
        <v>0</v>
      </c>
      <c r="AL178" s="7">
        <f>IF($BL178&lt;&gt;"Yes",0,Calcs!DO450)</f>
        <v>0</v>
      </c>
      <c r="AM178" s="7">
        <f>IF($BL178&lt;&gt;"Yes",0,Calcs!DP450)</f>
        <v>0</v>
      </c>
      <c r="AN178" s="7">
        <f>IF($BL178&lt;&gt;"Yes",0,Calcs!DQ450)</f>
        <v>0</v>
      </c>
      <c r="AO178" s="7">
        <f>IF($BL178&lt;&gt;"Yes",0,Calcs!DR450)</f>
        <v>0</v>
      </c>
      <c r="AP178" s="7">
        <f>IF($BL178&lt;&gt;"Yes",0,Calcs!DS450)</f>
        <v>0</v>
      </c>
      <c r="AQ178" s="7">
        <f>IF($BL178&lt;&gt;"Yes",0,Calcs!DT450)</f>
        <v>0</v>
      </c>
      <c r="AR178" s="7">
        <f>IF($BL178&lt;&gt;"Yes",0,Calcs!DU450)</f>
        <v>0</v>
      </c>
      <c r="AS178" s="7">
        <f>IF($BL178&lt;&gt;"Yes",0,Calcs!DV450)</f>
        <v>0</v>
      </c>
      <c r="AT178" s="7">
        <f>IF($BL178&lt;&gt;"Yes",0,Calcs!DW450)</f>
        <v>0</v>
      </c>
      <c r="AU178" s="7">
        <f>IF($BL178&lt;&gt;"Yes",0,Calcs!DX450)</f>
        <v>0</v>
      </c>
      <c r="AV178" s="7">
        <f>IF($BL178&lt;&gt;"Yes",0,Calcs!DY450)</f>
        <v>0</v>
      </c>
      <c r="AW178" s="7">
        <f>IF($BL178&lt;&gt;"Yes",0,Calcs!DZ450)</f>
        <v>0</v>
      </c>
      <c r="AX178" s="7">
        <f>IF($BL178&lt;&gt;"Yes",0,Calcs!EA450)</f>
        <v>0</v>
      </c>
      <c r="AY178" s="7">
        <f>IF($BL178&lt;&gt;"Yes",0,Calcs!EB450)</f>
        <v>0</v>
      </c>
      <c r="AZ178" s="7">
        <f>IF($BL178&lt;&gt;"Yes",0,Calcs!EC450)</f>
        <v>0</v>
      </c>
      <c r="BA178" s="7">
        <f>IF($BL178&lt;&gt;"Yes",0,Calcs!ED450)</f>
        <v>0</v>
      </c>
      <c r="BB178" s="7">
        <f>IF($BL178&lt;&gt;"Yes",0,Calcs!EE450)</f>
        <v>0</v>
      </c>
      <c r="BC178" s="7">
        <f>IF($BL178&lt;&gt;"Yes",0,Calcs!EF450)</f>
        <v>0</v>
      </c>
      <c r="BD178" s="7">
        <f>IF($BL178&lt;&gt;"Yes",0,Calcs!EG450)</f>
        <v>0</v>
      </c>
      <c r="BE178" s="7">
        <f>IF($BL178&lt;&gt;"Yes",0,Calcs!EH450)</f>
        <v>0</v>
      </c>
      <c r="BF178" s="7">
        <f>IF($BL178&lt;&gt;"Yes",0,Calcs!EI450)</f>
        <v>0</v>
      </c>
      <c r="BG178" s="7">
        <f>IF($BL178&lt;&gt;"Yes",0,Calcs!EJ450)</f>
        <v>0</v>
      </c>
      <c r="BH178" s="7">
        <f>IF($BL178&lt;&gt;"Yes",0,Calcs!EK450)</f>
        <v>0</v>
      </c>
      <c r="BI178" s="7">
        <f>IF($BL178&lt;&gt;"Yes",0,Calcs!EL450)</f>
        <v>0</v>
      </c>
      <c r="BJ178" s="7">
        <f>IF($BL178&lt;&gt;"Yes",0,Calcs!EM450)</f>
        <v>0</v>
      </c>
    </row>
    <row r="179" spans="1:62" s="5" customFormat="1" ht="13" hidden="1" customHeight="1" x14ac:dyDescent="0.3">
      <c r="A179" s="6" t="str">
        <f>IF(AND(Calcs!CD451&lt;&gt;"",Calcs!CD451&lt;&gt;0),Calcs!CD451,"Operating Expense "&amp;Calcs!R474)</f>
        <v>Operating Expense 150</v>
      </c>
      <c r="B179" s="6" t="str">
        <f>IF(AND(Calcs!CE451&lt;&gt;"",Calcs!CE451&lt;&gt;0),Calcs!CE451,"Operating Expense "&amp;Calcs!Q451)</f>
        <v>Operating Expense 31</v>
      </c>
      <c r="C179" s="7">
        <f>IF($BL179&lt;&gt;"Yes",0,Calcs!CF451)</f>
        <v>0</v>
      </c>
      <c r="D179" s="7">
        <f>IF($BL179&lt;&gt;"Yes",0,Calcs!CG451)</f>
        <v>0</v>
      </c>
      <c r="E179" s="7">
        <f>IF($BL179&lt;&gt;"Yes",0,Calcs!CH451)</f>
        <v>0</v>
      </c>
      <c r="F179" s="7">
        <f>IF($BL179&lt;&gt;"Yes",0,Calcs!CI451)</f>
        <v>0</v>
      </c>
      <c r="G179" s="7">
        <f>IF($BL179&lt;&gt;"Yes",0,Calcs!CJ451)</f>
        <v>0</v>
      </c>
      <c r="H179" s="40"/>
      <c r="I179" s="7">
        <f>IF($BL179&lt;&gt;"Yes",0,Calcs!CL451)</f>
        <v>0</v>
      </c>
      <c r="J179" s="7">
        <f>IF($BL179&lt;&gt;"Yes",0,Calcs!CM451)</f>
        <v>0</v>
      </c>
      <c r="K179" s="7">
        <f>IF($BL179&lt;&gt;"Yes",0,Calcs!CN451)</f>
        <v>0</v>
      </c>
      <c r="L179" s="7">
        <f>IF($BL179&lt;&gt;"Yes",0,Calcs!CO451)</f>
        <v>0</v>
      </c>
      <c r="M179" s="7">
        <f>IF($BL179&lt;&gt;"Yes",0,Calcs!CP451)</f>
        <v>0</v>
      </c>
      <c r="N179" s="7">
        <f>IF($BL179&lt;&gt;"Yes",0,Calcs!CQ451)</f>
        <v>0</v>
      </c>
      <c r="O179" s="7">
        <f>IF($BL179&lt;&gt;"Yes",0,Calcs!CR451)</f>
        <v>0</v>
      </c>
      <c r="P179" s="7">
        <f>IF($BL179&lt;&gt;"Yes",0,Calcs!CS451)</f>
        <v>0</v>
      </c>
      <c r="Q179" s="7">
        <f>IF($BL179&lt;&gt;"Yes",0,Calcs!CT451)</f>
        <v>0</v>
      </c>
      <c r="R179" s="7">
        <f>IF($BL179&lt;&gt;"Yes",0,Calcs!CU451)</f>
        <v>0</v>
      </c>
      <c r="S179" s="7">
        <f>IF($BL179&lt;&gt;"Yes",0,Calcs!CV451)</f>
        <v>0</v>
      </c>
      <c r="T179" s="7">
        <f>IF($BL179&lt;&gt;"Yes",0,Calcs!CW451)</f>
        <v>0</v>
      </c>
      <c r="U179" s="7">
        <f>IF($BL179&lt;&gt;"Yes",0,Calcs!CX451)</f>
        <v>0</v>
      </c>
      <c r="V179" s="7">
        <f>IF($BL179&lt;&gt;"Yes",0,Calcs!CY451)</f>
        <v>0</v>
      </c>
      <c r="W179" s="7">
        <f>IF($BL179&lt;&gt;"Yes",0,Calcs!CZ451)</f>
        <v>0</v>
      </c>
      <c r="X179" s="7">
        <f>IF($BL179&lt;&gt;"Yes",0,Calcs!DA451)</f>
        <v>0</v>
      </c>
      <c r="Y179" s="7">
        <f>IF($BL179&lt;&gt;"Yes",0,Calcs!DB451)</f>
        <v>0</v>
      </c>
      <c r="Z179" s="7">
        <f>IF($BL179&lt;&gt;"Yes",0,Calcs!DC451)</f>
        <v>0</v>
      </c>
      <c r="AA179" s="7">
        <f>IF($BL179&lt;&gt;"Yes",0,Calcs!DD451)</f>
        <v>0</v>
      </c>
      <c r="AB179" s="7">
        <f>IF($BL179&lt;&gt;"Yes",0,Calcs!DE451)</f>
        <v>0</v>
      </c>
      <c r="AC179" s="7">
        <f>IF($BL179&lt;&gt;"Yes",0,Calcs!DF451)</f>
        <v>0</v>
      </c>
      <c r="AD179" s="7">
        <f>IF($BL179&lt;&gt;"Yes",0,Calcs!DG451)</f>
        <v>0</v>
      </c>
      <c r="AE179" s="7">
        <f>IF($BL179&lt;&gt;"Yes",0,Calcs!DH451)</f>
        <v>0</v>
      </c>
      <c r="AF179" s="7">
        <f>IF($BL179&lt;&gt;"Yes",0,Calcs!DI451)</f>
        <v>0</v>
      </c>
      <c r="AG179" s="7">
        <f>IF($BL179&lt;&gt;"Yes",0,Calcs!DJ451)</f>
        <v>0</v>
      </c>
      <c r="AH179" s="7">
        <f>IF($BL179&lt;&gt;"Yes",0,Calcs!DK451)</f>
        <v>0</v>
      </c>
      <c r="AI179" s="7">
        <f>IF($BL179&lt;&gt;"Yes",0,Calcs!DL451)</f>
        <v>0</v>
      </c>
      <c r="AJ179" s="7">
        <f>IF($BL179&lt;&gt;"Yes",0,Calcs!DM451)</f>
        <v>0</v>
      </c>
      <c r="AK179" s="7">
        <f>IF($BL179&lt;&gt;"Yes",0,Calcs!DN451)</f>
        <v>0</v>
      </c>
      <c r="AL179" s="7">
        <f>IF($BL179&lt;&gt;"Yes",0,Calcs!DO451)</f>
        <v>0</v>
      </c>
      <c r="AM179" s="7">
        <f>IF($BL179&lt;&gt;"Yes",0,Calcs!DP451)</f>
        <v>0</v>
      </c>
      <c r="AN179" s="7">
        <f>IF($BL179&lt;&gt;"Yes",0,Calcs!DQ451)</f>
        <v>0</v>
      </c>
      <c r="AO179" s="7">
        <f>IF($BL179&lt;&gt;"Yes",0,Calcs!DR451)</f>
        <v>0</v>
      </c>
      <c r="AP179" s="7">
        <f>IF($BL179&lt;&gt;"Yes",0,Calcs!DS451)</f>
        <v>0</v>
      </c>
      <c r="AQ179" s="7">
        <f>IF($BL179&lt;&gt;"Yes",0,Calcs!DT451)</f>
        <v>0</v>
      </c>
      <c r="AR179" s="7">
        <f>IF($BL179&lt;&gt;"Yes",0,Calcs!DU451)</f>
        <v>0</v>
      </c>
      <c r="AS179" s="7">
        <f>IF($BL179&lt;&gt;"Yes",0,Calcs!DV451)</f>
        <v>0</v>
      </c>
      <c r="AT179" s="7">
        <f>IF($BL179&lt;&gt;"Yes",0,Calcs!DW451)</f>
        <v>0</v>
      </c>
      <c r="AU179" s="7">
        <f>IF($BL179&lt;&gt;"Yes",0,Calcs!DX451)</f>
        <v>0</v>
      </c>
      <c r="AV179" s="7">
        <f>IF($BL179&lt;&gt;"Yes",0,Calcs!DY451)</f>
        <v>0</v>
      </c>
      <c r="AW179" s="7">
        <f>IF($BL179&lt;&gt;"Yes",0,Calcs!DZ451)</f>
        <v>0</v>
      </c>
      <c r="AX179" s="7">
        <f>IF($BL179&lt;&gt;"Yes",0,Calcs!EA451)</f>
        <v>0</v>
      </c>
      <c r="AY179" s="7">
        <f>IF($BL179&lt;&gt;"Yes",0,Calcs!EB451)</f>
        <v>0</v>
      </c>
      <c r="AZ179" s="7">
        <f>IF($BL179&lt;&gt;"Yes",0,Calcs!EC451)</f>
        <v>0</v>
      </c>
      <c r="BA179" s="7">
        <f>IF($BL179&lt;&gt;"Yes",0,Calcs!ED451)</f>
        <v>0</v>
      </c>
      <c r="BB179" s="7">
        <f>IF($BL179&lt;&gt;"Yes",0,Calcs!EE451)</f>
        <v>0</v>
      </c>
      <c r="BC179" s="7">
        <f>IF($BL179&lt;&gt;"Yes",0,Calcs!EF451)</f>
        <v>0</v>
      </c>
      <c r="BD179" s="7">
        <f>IF($BL179&lt;&gt;"Yes",0,Calcs!EG451)</f>
        <v>0</v>
      </c>
      <c r="BE179" s="7">
        <f>IF($BL179&lt;&gt;"Yes",0,Calcs!EH451)</f>
        <v>0</v>
      </c>
      <c r="BF179" s="7">
        <f>IF($BL179&lt;&gt;"Yes",0,Calcs!EI451)</f>
        <v>0</v>
      </c>
      <c r="BG179" s="7">
        <f>IF($BL179&lt;&gt;"Yes",0,Calcs!EJ451)</f>
        <v>0</v>
      </c>
      <c r="BH179" s="7">
        <f>IF($BL179&lt;&gt;"Yes",0,Calcs!EK451)</f>
        <v>0</v>
      </c>
      <c r="BI179" s="7">
        <f>IF($BL179&lt;&gt;"Yes",0,Calcs!EL451)</f>
        <v>0</v>
      </c>
      <c r="BJ179" s="7">
        <f>IF($BL179&lt;&gt;"Yes",0,Calcs!EM451)</f>
        <v>0</v>
      </c>
    </row>
    <row r="180" spans="1:62" s="5" customFormat="1" ht="13" hidden="1" customHeight="1" x14ac:dyDescent="0.3">
      <c r="A180" s="6" t="str">
        <f>IF(AND(Calcs!CD452&lt;&gt;"",Calcs!CD452&lt;&gt;0),Calcs!CD452,"Operating Expense "&amp;Calcs!R475)</f>
        <v>Operating Expense 210</v>
      </c>
      <c r="B180" s="6" t="str">
        <f>IF(AND(Calcs!CE452&lt;&gt;"",Calcs!CE452&lt;&gt;0),Calcs!CE452,"Operating Expense "&amp;Calcs!Q452)</f>
        <v>Operating Expense 32</v>
      </c>
      <c r="C180" s="7">
        <f>IF($BL180&lt;&gt;"Yes",0,Calcs!CF452)</f>
        <v>0</v>
      </c>
      <c r="D180" s="7">
        <f>IF($BL180&lt;&gt;"Yes",0,Calcs!CG452)</f>
        <v>0</v>
      </c>
      <c r="E180" s="7">
        <f>IF($BL180&lt;&gt;"Yes",0,Calcs!CH452)</f>
        <v>0</v>
      </c>
      <c r="F180" s="7">
        <f>IF($BL180&lt;&gt;"Yes",0,Calcs!CI452)</f>
        <v>0</v>
      </c>
      <c r="G180" s="7">
        <f>IF($BL180&lt;&gt;"Yes",0,Calcs!CJ452)</f>
        <v>0</v>
      </c>
      <c r="H180" s="40"/>
      <c r="I180" s="7">
        <f>IF($BL180&lt;&gt;"Yes",0,Calcs!CL452)</f>
        <v>0</v>
      </c>
      <c r="J180" s="7">
        <f>IF($BL180&lt;&gt;"Yes",0,Calcs!CM452)</f>
        <v>0</v>
      </c>
      <c r="K180" s="7">
        <f>IF($BL180&lt;&gt;"Yes",0,Calcs!CN452)</f>
        <v>0</v>
      </c>
      <c r="L180" s="7">
        <f>IF($BL180&lt;&gt;"Yes",0,Calcs!CO452)</f>
        <v>0</v>
      </c>
      <c r="M180" s="7">
        <f>IF($BL180&lt;&gt;"Yes",0,Calcs!CP452)</f>
        <v>0</v>
      </c>
      <c r="N180" s="7">
        <f>IF($BL180&lt;&gt;"Yes",0,Calcs!CQ452)</f>
        <v>0</v>
      </c>
      <c r="O180" s="7">
        <f>IF($BL180&lt;&gt;"Yes",0,Calcs!CR452)</f>
        <v>0</v>
      </c>
      <c r="P180" s="7">
        <f>IF($BL180&lt;&gt;"Yes",0,Calcs!CS452)</f>
        <v>0</v>
      </c>
      <c r="Q180" s="7">
        <f>IF($BL180&lt;&gt;"Yes",0,Calcs!CT452)</f>
        <v>0</v>
      </c>
      <c r="R180" s="7">
        <f>IF($BL180&lt;&gt;"Yes",0,Calcs!CU452)</f>
        <v>0</v>
      </c>
      <c r="S180" s="7">
        <f>IF($BL180&lt;&gt;"Yes",0,Calcs!CV452)</f>
        <v>0</v>
      </c>
      <c r="T180" s="7">
        <f>IF($BL180&lt;&gt;"Yes",0,Calcs!CW452)</f>
        <v>0</v>
      </c>
      <c r="U180" s="7">
        <f>IF($BL180&lt;&gt;"Yes",0,Calcs!CX452)</f>
        <v>0</v>
      </c>
      <c r="V180" s="7">
        <f>IF($BL180&lt;&gt;"Yes",0,Calcs!CY452)</f>
        <v>0</v>
      </c>
      <c r="W180" s="7">
        <f>IF($BL180&lt;&gt;"Yes",0,Calcs!CZ452)</f>
        <v>0</v>
      </c>
      <c r="X180" s="7">
        <f>IF($BL180&lt;&gt;"Yes",0,Calcs!DA452)</f>
        <v>0</v>
      </c>
      <c r="Y180" s="7">
        <f>IF($BL180&lt;&gt;"Yes",0,Calcs!DB452)</f>
        <v>0</v>
      </c>
      <c r="Z180" s="7">
        <f>IF($BL180&lt;&gt;"Yes",0,Calcs!DC452)</f>
        <v>0</v>
      </c>
      <c r="AA180" s="7">
        <f>IF($BL180&lt;&gt;"Yes",0,Calcs!DD452)</f>
        <v>0</v>
      </c>
      <c r="AB180" s="7">
        <f>IF($BL180&lt;&gt;"Yes",0,Calcs!DE452)</f>
        <v>0</v>
      </c>
      <c r="AC180" s="7">
        <f>IF($BL180&lt;&gt;"Yes",0,Calcs!DF452)</f>
        <v>0</v>
      </c>
      <c r="AD180" s="7">
        <f>IF($BL180&lt;&gt;"Yes",0,Calcs!DG452)</f>
        <v>0</v>
      </c>
      <c r="AE180" s="7">
        <f>IF($BL180&lt;&gt;"Yes",0,Calcs!DH452)</f>
        <v>0</v>
      </c>
      <c r="AF180" s="7">
        <f>IF($BL180&lt;&gt;"Yes",0,Calcs!DI452)</f>
        <v>0</v>
      </c>
      <c r="AG180" s="7">
        <f>IF($BL180&lt;&gt;"Yes",0,Calcs!DJ452)</f>
        <v>0</v>
      </c>
      <c r="AH180" s="7">
        <f>IF($BL180&lt;&gt;"Yes",0,Calcs!DK452)</f>
        <v>0</v>
      </c>
      <c r="AI180" s="7">
        <f>IF($BL180&lt;&gt;"Yes",0,Calcs!DL452)</f>
        <v>0</v>
      </c>
      <c r="AJ180" s="7">
        <f>IF($BL180&lt;&gt;"Yes",0,Calcs!DM452)</f>
        <v>0</v>
      </c>
      <c r="AK180" s="7">
        <f>IF($BL180&lt;&gt;"Yes",0,Calcs!DN452)</f>
        <v>0</v>
      </c>
      <c r="AL180" s="7">
        <f>IF($BL180&lt;&gt;"Yes",0,Calcs!DO452)</f>
        <v>0</v>
      </c>
      <c r="AM180" s="7">
        <f>IF($BL180&lt;&gt;"Yes",0,Calcs!DP452)</f>
        <v>0</v>
      </c>
      <c r="AN180" s="7">
        <f>IF($BL180&lt;&gt;"Yes",0,Calcs!DQ452)</f>
        <v>0</v>
      </c>
      <c r="AO180" s="7">
        <f>IF($BL180&lt;&gt;"Yes",0,Calcs!DR452)</f>
        <v>0</v>
      </c>
      <c r="AP180" s="7">
        <f>IF($BL180&lt;&gt;"Yes",0,Calcs!DS452)</f>
        <v>0</v>
      </c>
      <c r="AQ180" s="7">
        <f>IF($BL180&lt;&gt;"Yes",0,Calcs!DT452)</f>
        <v>0</v>
      </c>
      <c r="AR180" s="7">
        <f>IF($BL180&lt;&gt;"Yes",0,Calcs!DU452)</f>
        <v>0</v>
      </c>
      <c r="AS180" s="7">
        <f>IF($BL180&lt;&gt;"Yes",0,Calcs!DV452)</f>
        <v>0</v>
      </c>
      <c r="AT180" s="7">
        <f>IF($BL180&lt;&gt;"Yes",0,Calcs!DW452)</f>
        <v>0</v>
      </c>
      <c r="AU180" s="7">
        <f>IF($BL180&lt;&gt;"Yes",0,Calcs!DX452)</f>
        <v>0</v>
      </c>
      <c r="AV180" s="7">
        <f>IF($BL180&lt;&gt;"Yes",0,Calcs!DY452)</f>
        <v>0</v>
      </c>
      <c r="AW180" s="7">
        <f>IF($BL180&lt;&gt;"Yes",0,Calcs!DZ452)</f>
        <v>0</v>
      </c>
      <c r="AX180" s="7">
        <f>IF($BL180&lt;&gt;"Yes",0,Calcs!EA452)</f>
        <v>0</v>
      </c>
      <c r="AY180" s="7">
        <f>IF($BL180&lt;&gt;"Yes",0,Calcs!EB452)</f>
        <v>0</v>
      </c>
      <c r="AZ180" s="7">
        <f>IF($BL180&lt;&gt;"Yes",0,Calcs!EC452)</f>
        <v>0</v>
      </c>
      <c r="BA180" s="7">
        <f>IF($BL180&lt;&gt;"Yes",0,Calcs!ED452)</f>
        <v>0</v>
      </c>
      <c r="BB180" s="7">
        <f>IF($BL180&lt;&gt;"Yes",0,Calcs!EE452)</f>
        <v>0</v>
      </c>
      <c r="BC180" s="7">
        <f>IF($BL180&lt;&gt;"Yes",0,Calcs!EF452)</f>
        <v>0</v>
      </c>
      <c r="BD180" s="7">
        <f>IF($BL180&lt;&gt;"Yes",0,Calcs!EG452)</f>
        <v>0</v>
      </c>
      <c r="BE180" s="7">
        <f>IF($BL180&lt;&gt;"Yes",0,Calcs!EH452)</f>
        <v>0</v>
      </c>
      <c r="BF180" s="7">
        <f>IF($BL180&lt;&gt;"Yes",0,Calcs!EI452)</f>
        <v>0</v>
      </c>
      <c r="BG180" s="7">
        <f>IF($BL180&lt;&gt;"Yes",0,Calcs!EJ452)</f>
        <v>0</v>
      </c>
      <c r="BH180" s="7">
        <f>IF($BL180&lt;&gt;"Yes",0,Calcs!EK452)</f>
        <v>0</v>
      </c>
      <c r="BI180" s="7">
        <f>IF($BL180&lt;&gt;"Yes",0,Calcs!EL452)</f>
        <v>0</v>
      </c>
      <c r="BJ180" s="7">
        <f>IF($BL180&lt;&gt;"Yes",0,Calcs!EM452)</f>
        <v>0</v>
      </c>
    </row>
    <row r="181" spans="1:62" s="5" customFormat="1" ht="13" hidden="1" customHeight="1" x14ac:dyDescent="0.3">
      <c r="A181" s="6" t="str">
        <f>IF(AND(Calcs!CD453&lt;&gt;"",Calcs!CD453&lt;&gt;0),Calcs!CD453,"Operating Expense "&amp;Calcs!R476)</f>
        <v>Operating Expense 120</v>
      </c>
      <c r="B181" s="6" t="str">
        <f>IF(AND(Calcs!CE453&lt;&gt;"",Calcs!CE453&lt;&gt;0),Calcs!CE453,"Operating Expense "&amp;Calcs!Q453)</f>
        <v>Operating Expense 33</v>
      </c>
      <c r="C181" s="7">
        <f>IF($BL181&lt;&gt;"Yes",0,Calcs!CF453)</f>
        <v>0</v>
      </c>
      <c r="D181" s="7">
        <f>IF($BL181&lt;&gt;"Yes",0,Calcs!CG453)</f>
        <v>0</v>
      </c>
      <c r="E181" s="7">
        <f>IF($BL181&lt;&gt;"Yes",0,Calcs!CH453)</f>
        <v>0</v>
      </c>
      <c r="F181" s="7">
        <f>IF($BL181&lt;&gt;"Yes",0,Calcs!CI453)</f>
        <v>0</v>
      </c>
      <c r="G181" s="7">
        <f>IF($BL181&lt;&gt;"Yes",0,Calcs!CJ453)</f>
        <v>0</v>
      </c>
      <c r="H181" s="40"/>
      <c r="I181" s="7">
        <f>IF($BL181&lt;&gt;"Yes",0,Calcs!CL453)</f>
        <v>0</v>
      </c>
      <c r="J181" s="7">
        <f>IF($BL181&lt;&gt;"Yes",0,Calcs!CM453)</f>
        <v>0</v>
      </c>
      <c r="K181" s="7">
        <f>IF($BL181&lt;&gt;"Yes",0,Calcs!CN453)</f>
        <v>0</v>
      </c>
      <c r="L181" s="7">
        <f>IF($BL181&lt;&gt;"Yes",0,Calcs!CO453)</f>
        <v>0</v>
      </c>
      <c r="M181" s="7">
        <f>IF($BL181&lt;&gt;"Yes",0,Calcs!CP453)</f>
        <v>0</v>
      </c>
      <c r="N181" s="7">
        <f>IF($BL181&lt;&gt;"Yes",0,Calcs!CQ453)</f>
        <v>0</v>
      </c>
      <c r="O181" s="7">
        <f>IF($BL181&lt;&gt;"Yes",0,Calcs!CR453)</f>
        <v>0</v>
      </c>
      <c r="P181" s="7">
        <f>IF($BL181&lt;&gt;"Yes",0,Calcs!CS453)</f>
        <v>0</v>
      </c>
      <c r="Q181" s="7">
        <f>IF($BL181&lt;&gt;"Yes",0,Calcs!CT453)</f>
        <v>0</v>
      </c>
      <c r="R181" s="7">
        <f>IF($BL181&lt;&gt;"Yes",0,Calcs!CU453)</f>
        <v>0</v>
      </c>
      <c r="S181" s="7">
        <f>IF($BL181&lt;&gt;"Yes",0,Calcs!CV453)</f>
        <v>0</v>
      </c>
      <c r="T181" s="7">
        <f>IF($BL181&lt;&gt;"Yes",0,Calcs!CW453)</f>
        <v>0</v>
      </c>
      <c r="U181" s="7">
        <f>IF($BL181&lt;&gt;"Yes",0,Calcs!CX453)</f>
        <v>0</v>
      </c>
      <c r="V181" s="7">
        <f>IF($BL181&lt;&gt;"Yes",0,Calcs!CY453)</f>
        <v>0</v>
      </c>
      <c r="W181" s="7">
        <f>IF($BL181&lt;&gt;"Yes",0,Calcs!CZ453)</f>
        <v>0</v>
      </c>
      <c r="X181" s="7">
        <f>IF($BL181&lt;&gt;"Yes",0,Calcs!DA453)</f>
        <v>0</v>
      </c>
      <c r="Y181" s="7">
        <f>IF($BL181&lt;&gt;"Yes",0,Calcs!DB453)</f>
        <v>0</v>
      </c>
      <c r="Z181" s="7">
        <f>IF($BL181&lt;&gt;"Yes",0,Calcs!DC453)</f>
        <v>0</v>
      </c>
      <c r="AA181" s="7">
        <f>IF($BL181&lt;&gt;"Yes",0,Calcs!DD453)</f>
        <v>0</v>
      </c>
      <c r="AB181" s="7">
        <f>IF($BL181&lt;&gt;"Yes",0,Calcs!DE453)</f>
        <v>0</v>
      </c>
      <c r="AC181" s="7">
        <f>IF($BL181&lt;&gt;"Yes",0,Calcs!DF453)</f>
        <v>0</v>
      </c>
      <c r="AD181" s="7">
        <f>IF($BL181&lt;&gt;"Yes",0,Calcs!DG453)</f>
        <v>0</v>
      </c>
      <c r="AE181" s="7">
        <f>IF($BL181&lt;&gt;"Yes",0,Calcs!DH453)</f>
        <v>0</v>
      </c>
      <c r="AF181" s="7">
        <f>IF($BL181&lt;&gt;"Yes",0,Calcs!DI453)</f>
        <v>0</v>
      </c>
      <c r="AG181" s="7">
        <f>IF($BL181&lt;&gt;"Yes",0,Calcs!DJ453)</f>
        <v>0</v>
      </c>
      <c r="AH181" s="7">
        <f>IF($BL181&lt;&gt;"Yes",0,Calcs!DK453)</f>
        <v>0</v>
      </c>
      <c r="AI181" s="7">
        <f>IF($BL181&lt;&gt;"Yes",0,Calcs!DL453)</f>
        <v>0</v>
      </c>
      <c r="AJ181" s="7">
        <f>IF($BL181&lt;&gt;"Yes",0,Calcs!DM453)</f>
        <v>0</v>
      </c>
      <c r="AK181" s="7">
        <f>IF($BL181&lt;&gt;"Yes",0,Calcs!DN453)</f>
        <v>0</v>
      </c>
      <c r="AL181" s="7">
        <f>IF($BL181&lt;&gt;"Yes",0,Calcs!DO453)</f>
        <v>0</v>
      </c>
      <c r="AM181" s="7">
        <f>IF($BL181&lt;&gt;"Yes",0,Calcs!DP453)</f>
        <v>0</v>
      </c>
      <c r="AN181" s="7">
        <f>IF($BL181&lt;&gt;"Yes",0,Calcs!DQ453)</f>
        <v>0</v>
      </c>
      <c r="AO181" s="7">
        <f>IF($BL181&lt;&gt;"Yes",0,Calcs!DR453)</f>
        <v>0</v>
      </c>
      <c r="AP181" s="7">
        <f>IF($BL181&lt;&gt;"Yes",0,Calcs!DS453)</f>
        <v>0</v>
      </c>
      <c r="AQ181" s="7">
        <f>IF($BL181&lt;&gt;"Yes",0,Calcs!DT453)</f>
        <v>0</v>
      </c>
      <c r="AR181" s="7">
        <f>IF($BL181&lt;&gt;"Yes",0,Calcs!DU453)</f>
        <v>0</v>
      </c>
      <c r="AS181" s="7">
        <f>IF($BL181&lt;&gt;"Yes",0,Calcs!DV453)</f>
        <v>0</v>
      </c>
      <c r="AT181" s="7">
        <f>IF($BL181&lt;&gt;"Yes",0,Calcs!DW453)</f>
        <v>0</v>
      </c>
      <c r="AU181" s="7">
        <f>IF($BL181&lt;&gt;"Yes",0,Calcs!DX453)</f>
        <v>0</v>
      </c>
      <c r="AV181" s="7">
        <f>IF($BL181&lt;&gt;"Yes",0,Calcs!DY453)</f>
        <v>0</v>
      </c>
      <c r="AW181" s="7">
        <f>IF($BL181&lt;&gt;"Yes",0,Calcs!DZ453)</f>
        <v>0</v>
      </c>
      <c r="AX181" s="7">
        <f>IF($BL181&lt;&gt;"Yes",0,Calcs!EA453)</f>
        <v>0</v>
      </c>
      <c r="AY181" s="7">
        <f>IF($BL181&lt;&gt;"Yes",0,Calcs!EB453)</f>
        <v>0</v>
      </c>
      <c r="AZ181" s="7">
        <f>IF($BL181&lt;&gt;"Yes",0,Calcs!EC453)</f>
        <v>0</v>
      </c>
      <c r="BA181" s="7">
        <f>IF($BL181&lt;&gt;"Yes",0,Calcs!ED453)</f>
        <v>0</v>
      </c>
      <c r="BB181" s="7">
        <f>IF($BL181&lt;&gt;"Yes",0,Calcs!EE453)</f>
        <v>0</v>
      </c>
      <c r="BC181" s="7">
        <f>IF($BL181&lt;&gt;"Yes",0,Calcs!EF453)</f>
        <v>0</v>
      </c>
      <c r="BD181" s="7">
        <f>IF($BL181&lt;&gt;"Yes",0,Calcs!EG453)</f>
        <v>0</v>
      </c>
      <c r="BE181" s="7">
        <f>IF($BL181&lt;&gt;"Yes",0,Calcs!EH453)</f>
        <v>0</v>
      </c>
      <c r="BF181" s="7">
        <f>IF($BL181&lt;&gt;"Yes",0,Calcs!EI453)</f>
        <v>0</v>
      </c>
      <c r="BG181" s="7">
        <f>IF($BL181&lt;&gt;"Yes",0,Calcs!EJ453)</f>
        <v>0</v>
      </c>
      <c r="BH181" s="7">
        <f>IF($BL181&lt;&gt;"Yes",0,Calcs!EK453)</f>
        <v>0</v>
      </c>
      <c r="BI181" s="7">
        <f>IF($BL181&lt;&gt;"Yes",0,Calcs!EL453)</f>
        <v>0</v>
      </c>
      <c r="BJ181" s="7">
        <f>IF($BL181&lt;&gt;"Yes",0,Calcs!EM453)</f>
        <v>0</v>
      </c>
    </row>
    <row r="182" spans="1:62" s="5" customFormat="1" ht="13" hidden="1" customHeight="1" x14ac:dyDescent="0.3">
      <c r="A182" s="6" t="str">
        <f>IF(AND(Calcs!CD454&lt;&gt;"",Calcs!CD454&lt;&gt;0),Calcs!CD454,"Operating Expense "&amp;Calcs!$BL182)</f>
        <v xml:space="preserve">Operating Expense </v>
      </c>
      <c r="B182" s="6" t="str">
        <f>IF(AND(Calcs!CE454&lt;&gt;"",Calcs!CE454&lt;&gt;0),Calcs!CE454,"Operating Expense "&amp;Calcs!Q454)</f>
        <v>Operating Expense 34</v>
      </c>
      <c r="C182" s="7">
        <f>IF($BL182&lt;&gt;"Yes",0,Calcs!CF454)</f>
        <v>0</v>
      </c>
      <c r="D182" s="7">
        <f>IF($BL182&lt;&gt;"Yes",0,Calcs!CG454)</f>
        <v>0</v>
      </c>
      <c r="E182" s="7">
        <f>IF($BL182&lt;&gt;"Yes",0,Calcs!CH454)</f>
        <v>0</v>
      </c>
      <c r="F182" s="7">
        <f>IF($BL182&lt;&gt;"Yes",0,Calcs!CI454)</f>
        <v>0</v>
      </c>
      <c r="G182" s="7">
        <f>IF($BL182&lt;&gt;"Yes",0,Calcs!CJ454)</f>
        <v>0</v>
      </c>
      <c r="H182" s="40"/>
      <c r="I182" s="7">
        <f>IF($BL182&lt;&gt;"Yes",0,Calcs!CL454)</f>
        <v>0</v>
      </c>
      <c r="J182" s="7">
        <f>IF($BL182&lt;&gt;"Yes",0,Calcs!CM454)</f>
        <v>0</v>
      </c>
      <c r="K182" s="7">
        <f>IF($BL182&lt;&gt;"Yes",0,Calcs!CN454)</f>
        <v>0</v>
      </c>
      <c r="L182" s="7">
        <f>IF($BL182&lt;&gt;"Yes",0,Calcs!CO454)</f>
        <v>0</v>
      </c>
      <c r="M182" s="7">
        <f>IF($BL182&lt;&gt;"Yes",0,Calcs!CP454)</f>
        <v>0</v>
      </c>
      <c r="N182" s="7">
        <f>IF($BL182&lt;&gt;"Yes",0,Calcs!CQ454)</f>
        <v>0</v>
      </c>
      <c r="O182" s="7">
        <f>IF($BL182&lt;&gt;"Yes",0,Calcs!CR454)</f>
        <v>0</v>
      </c>
      <c r="P182" s="7">
        <f>IF($BL182&lt;&gt;"Yes",0,Calcs!CS454)</f>
        <v>0</v>
      </c>
      <c r="Q182" s="7">
        <f>IF($BL182&lt;&gt;"Yes",0,Calcs!CT454)</f>
        <v>0</v>
      </c>
      <c r="R182" s="7">
        <f>IF($BL182&lt;&gt;"Yes",0,Calcs!CU454)</f>
        <v>0</v>
      </c>
      <c r="S182" s="7">
        <f>IF($BL182&lt;&gt;"Yes",0,Calcs!CV454)</f>
        <v>0</v>
      </c>
      <c r="T182" s="7">
        <f>IF($BL182&lt;&gt;"Yes",0,Calcs!CW454)</f>
        <v>0</v>
      </c>
      <c r="U182" s="7">
        <f>IF($BL182&lt;&gt;"Yes",0,Calcs!CX454)</f>
        <v>0</v>
      </c>
      <c r="V182" s="7">
        <f>IF($BL182&lt;&gt;"Yes",0,Calcs!CY454)</f>
        <v>0</v>
      </c>
      <c r="W182" s="7">
        <f>IF($BL182&lt;&gt;"Yes",0,Calcs!CZ454)</f>
        <v>0</v>
      </c>
      <c r="X182" s="7">
        <f>IF($BL182&lt;&gt;"Yes",0,Calcs!DA454)</f>
        <v>0</v>
      </c>
      <c r="Y182" s="7">
        <f>IF($BL182&lt;&gt;"Yes",0,Calcs!DB454)</f>
        <v>0</v>
      </c>
      <c r="Z182" s="7">
        <f>IF($BL182&lt;&gt;"Yes",0,Calcs!DC454)</f>
        <v>0</v>
      </c>
      <c r="AA182" s="7">
        <f>IF($BL182&lt;&gt;"Yes",0,Calcs!DD454)</f>
        <v>0</v>
      </c>
      <c r="AB182" s="7">
        <f>IF($BL182&lt;&gt;"Yes",0,Calcs!DE454)</f>
        <v>0</v>
      </c>
      <c r="AC182" s="7">
        <f>IF($BL182&lt;&gt;"Yes",0,Calcs!DF454)</f>
        <v>0</v>
      </c>
      <c r="AD182" s="7">
        <f>IF($BL182&lt;&gt;"Yes",0,Calcs!DG454)</f>
        <v>0</v>
      </c>
      <c r="AE182" s="7">
        <f>IF($BL182&lt;&gt;"Yes",0,Calcs!DH454)</f>
        <v>0</v>
      </c>
      <c r="AF182" s="7">
        <f>IF($BL182&lt;&gt;"Yes",0,Calcs!DI454)</f>
        <v>0</v>
      </c>
      <c r="AG182" s="7">
        <f>IF($BL182&lt;&gt;"Yes",0,Calcs!DJ454)</f>
        <v>0</v>
      </c>
      <c r="AH182" s="7">
        <f>IF($BL182&lt;&gt;"Yes",0,Calcs!DK454)</f>
        <v>0</v>
      </c>
      <c r="AI182" s="7">
        <f>IF($BL182&lt;&gt;"Yes",0,Calcs!DL454)</f>
        <v>0</v>
      </c>
      <c r="AJ182" s="7">
        <f>IF($BL182&lt;&gt;"Yes",0,Calcs!DM454)</f>
        <v>0</v>
      </c>
      <c r="AK182" s="7">
        <f>IF($BL182&lt;&gt;"Yes",0,Calcs!DN454)</f>
        <v>0</v>
      </c>
      <c r="AL182" s="7">
        <f>IF($BL182&lt;&gt;"Yes",0,Calcs!DO454)</f>
        <v>0</v>
      </c>
      <c r="AM182" s="7">
        <f>IF($BL182&lt;&gt;"Yes",0,Calcs!DP454)</f>
        <v>0</v>
      </c>
      <c r="AN182" s="7">
        <f>IF($BL182&lt;&gt;"Yes",0,Calcs!DQ454)</f>
        <v>0</v>
      </c>
      <c r="AO182" s="7">
        <f>IF($BL182&lt;&gt;"Yes",0,Calcs!DR454)</f>
        <v>0</v>
      </c>
      <c r="AP182" s="7">
        <f>IF($BL182&lt;&gt;"Yes",0,Calcs!DS454)</f>
        <v>0</v>
      </c>
      <c r="AQ182" s="7">
        <f>IF($BL182&lt;&gt;"Yes",0,Calcs!DT454)</f>
        <v>0</v>
      </c>
      <c r="AR182" s="7">
        <f>IF($BL182&lt;&gt;"Yes",0,Calcs!DU454)</f>
        <v>0</v>
      </c>
      <c r="AS182" s="7">
        <f>IF($BL182&lt;&gt;"Yes",0,Calcs!DV454)</f>
        <v>0</v>
      </c>
      <c r="AT182" s="7">
        <f>IF($BL182&lt;&gt;"Yes",0,Calcs!DW454)</f>
        <v>0</v>
      </c>
      <c r="AU182" s="7">
        <f>IF($BL182&lt;&gt;"Yes",0,Calcs!DX454)</f>
        <v>0</v>
      </c>
      <c r="AV182" s="7">
        <f>IF($BL182&lt;&gt;"Yes",0,Calcs!DY454)</f>
        <v>0</v>
      </c>
      <c r="AW182" s="7">
        <f>IF($BL182&lt;&gt;"Yes",0,Calcs!DZ454)</f>
        <v>0</v>
      </c>
      <c r="AX182" s="7">
        <f>IF($BL182&lt;&gt;"Yes",0,Calcs!EA454)</f>
        <v>0</v>
      </c>
      <c r="AY182" s="7">
        <f>IF($BL182&lt;&gt;"Yes",0,Calcs!EB454)</f>
        <v>0</v>
      </c>
      <c r="AZ182" s="7">
        <f>IF($BL182&lt;&gt;"Yes",0,Calcs!EC454)</f>
        <v>0</v>
      </c>
      <c r="BA182" s="7">
        <f>IF($BL182&lt;&gt;"Yes",0,Calcs!ED454)</f>
        <v>0</v>
      </c>
      <c r="BB182" s="7">
        <f>IF($BL182&lt;&gt;"Yes",0,Calcs!EE454)</f>
        <v>0</v>
      </c>
      <c r="BC182" s="7">
        <f>IF($BL182&lt;&gt;"Yes",0,Calcs!EF454)</f>
        <v>0</v>
      </c>
      <c r="BD182" s="7">
        <f>IF($BL182&lt;&gt;"Yes",0,Calcs!EG454)</f>
        <v>0</v>
      </c>
      <c r="BE182" s="7">
        <f>IF($BL182&lt;&gt;"Yes",0,Calcs!EH454)</f>
        <v>0</v>
      </c>
      <c r="BF182" s="7">
        <f>IF($BL182&lt;&gt;"Yes",0,Calcs!EI454)</f>
        <v>0</v>
      </c>
      <c r="BG182" s="7">
        <f>IF($BL182&lt;&gt;"Yes",0,Calcs!EJ454)</f>
        <v>0</v>
      </c>
      <c r="BH182" s="7">
        <f>IF($BL182&lt;&gt;"Yes",0,Calcs!EK454)</f>
        <v>0</v>
      </c>
      <c r="BI182" s="7">
        <f>IF($BL182&lt;&gt;"Yes",0,Calcs!EL454)</f>
        <v>0</v>
      </c>
      <c r="BJ182" s="7">
        <f>IF($BL182&lt;&gt;"Yes",0,Calcs!EM454)</f>
        <v>0</v>
      </c>
    </row>
    <row r="183" spans="1:62" s="5" customFormat="1" ht="13" hidden="1" customHeight="1" x14ac:dyDescent="0.3">
      <c r="A183" s="6" t="str">
        <f>IF(AND(Calcs!CD455&lt;&gt;"",Calcs!CD455&lt;&gt;0),Calcs!CD455,"Operating Expense "&amp;Calcs!$BL183)</f>
        <v xml:space="preserve">Operating Expense </v>
      </c>
      <c r="B183" s="6" t="str">
        <f>IF(AND(Calcs!CE455&lt;&gt;"",Calcs!CE455&lt;&gt;0),Calcs!CE455,"Operating Expense "&amp;Calcs!Q455)</f>
        <v>Operating Expense 35</v>
      </c>
      <c r="C183" s="7">
        <f>IF($BL183&lt;&gt;"Yes",0,Calcs!CF455)</f>
        <v>0</v>
      </c>
      <c r="D183" s="7">
        <f>IF($BL183&lt;&gt;"Yes",0,Calcs!CG455)</f>
        <v>0</v>
      </c>
      <c r="E183" s="7">
        <f>IF($BL183&lt;&gt;"Yes",0,Calcs!CH455)</f>
        <v>0</v>
      </c>
      <c r="F183" s="7">
        <f>IF($BL183&lt;&gt;"Yes",0,Calcs!CI455)</f>
        <v>0</v>
      </c>
      <c r="G183" s="7">
        <f>IF($BL183&lt;&gt;"Yes",0,Calcs!CJ455)</f>
        <v>0</v>
      </c>
      <c r="H183" s="40"/>
      <c r="I183" s="7">
        <f>IF($BL183&lt;&gt;"Yes",0,Calcs!CL455)</f>
        <v>0</v>
      </c>
      <c r="J183" s="7">
        <f>IF($BL183&lt;&gt;"Yes",0,Calcs!CM455)</f>
        <v>0</v>
      </c>
      <c r="K183" s="7">
        <f>IF($BL183&lt;&gt;"Yes",0,Calcs!CN455)</f>
        <v>0</v>
      </c>
      <c r="L183" s="7">
        <f>IF($BL183&lt;&gt;"Yes",0,Calcs!CO455)</f>
        <v>0</v>
      </c>
      <c r="M183" s="7">
        <f>IF($BL183&lt;&gt;"Yes",0,Calcs!CP455)</f>
        <v>0</v>
      </c>
      <c r="N183" s="7">
        <f>IF($BL183&lt;&gt;"Yes",0,Calcs!CQ455)</f>
        <v>0</v>
      </c>
      <c r="O183" s="7">
        <f>IF($BL183&lt;&gt;"Yes",0,Calcs!CR455)</f>
        <v>0</v>
      </c>
      <c r="P183" s="7">
        <f>IF($BL183&lt;&gt;"Yes",0,Calcs!CS455)</f>
        <v>0</v>
      </c>
      <c r="Q183" s="7">
        <f>IF($BL183&lt;&gt;"Yes",0,Calcs!CT455)</f>
        <v>0</v>
      </c>
      <c r="R183" s="7">
        <f>IF($BL183&lt;&gt;"Yes",0,Calcs!CU455)</f>
        <v>0</v>
      </c>
      <c r="S183" s="7">
        <f>IF($BL183&lt;&gt;"Yes",0,Calcs!CV455)</f>
        <v>0</v>
      </c>
      <c r="T183" s="7">
        <f>IF($BL183&lt;&gt;"Yes",0,Calcs!CW455)</f>
        <v>0</v>
      </c>
      <c r="U183" s="7">
        <f>IF($BL183&lt;&gt;"Yes",0,Calcs!CX455)</f>
        <v>0</v>
      </c>
      <c r="V183" s="7">
        <f>IF($BL183&lt;&gt;"Yes",0,Calcs!CY455)</f>
        <v>0</v>
      </c>
      <c r="W183" s="7">
        <f>IF($BL183&lt;&gt;"Yes",0,Calcs!CZ455)</f>
        <v>0</v>
      </c>
      <c r="X183" s="7">
        <f>IF($BL183&lt;&gt;"Yes",0,Calcs!DA455)</f>
        <v>0</v>
      </c>
      <c r="Y183" s="7">
        <f>IF($BL183&lt;&gt;"Yes",0,Calcs!DB455)</f>
        <v>0</v>
      </c>
      <c r="Z183" s="7">
        <f>IF($BL183&lt;&gt;"Yes",0,Calcs!DC455)</f>
        <v>0</v>
      </c>
      <c r="AA183" s="7">
        <f>IF($BL183&lt;&gt;"Yes",0,Calcs!DD455)</f>
        <v>0</v>
      </c>
      <c r="AB183" s="7">
        <f>IF($BL183&lt;&gt;"Yes",0,Calcs!DE455)</f>
        <v>0</v>
      </c>
      <c r="AC183" s="7">
        <f>IF($BL183&lt;&gt;"Yes",0,Calcs!DF455)</f>
        <v>0</v>
      </c>
      <c r="AD183" s="7">
        <f>IF($BL183&lt;&gt;"Yes",0,Calcs!DG455)</f>
        <v>0</v>
      </c>
      <c r="AE183" s="7">
        <f>IF($BL183&lt;&gt;"Yes",0,Calcs!DH455)</f>
        <v>0</v>
      </c>
      <c r="AF183" s="7">
        <f>IF($BL183&lt;&gt;"Yes",0,Calcs!DI455)</f>
        <v>0</v>
      </c>
      <c r="AG183" s="7">
        <f>IF($BL183&lt;&gt;"Yes",0,Calcs!DJ455)</f>
        <v>0</v>
      </c>
      <c r="AH183" s="7">
        <f>IF($BL183&lt;&gt;"Yes",0,Calcs!DK455)</f>
        <v>0</v>
      </c>
      <c r="AI183" s="7">
        <f>IF($BL183&lt;&gt;"Yes",0,Calcs!DL455)</f>
        <v>0</v>
      </c>
      <c r="AJ183" s="7">
        <f>IF($BL183&lt;&gt;"Yes",0,Calcs!DM455)</f>
        <v>0</v>
      </c>
      <c r="AK183" s="7">
        <f>IF($BL183&lt;&gt;"Yes",0,Calcs!DN455)</f>
        <v>0</v>
      </c>
      <c r="AL183" s="7">
        <f>IF($BL183&lt;&gt;"Yes",0,Calcs!DO455)</f>
        <v>0</v>
      </c>
      <c r="AM183" s="7">
        <f>IF($BL183&lt;&gt;"Yes",0,Calcs!DP455)</f>
        <v>0</v>
      </c>
      <c r="AN183" s="7">
        <f>IF($BL183&lt;&gt;"Yes",0,Calcs!DQ455)</f>
        <v>0</v>
      </c>
      <c r="AO183" s="7">
        <f>IF($BL183&lt;&gt;"Yes",0,Calcs!DR455)</f>
        <v>0</v>
      </c>
      <c r="AP183" s="7">
        <f>IF($BL183&lt;&gt;"Yes",0,Calcs!DS455)</f>
        <v>0</v>
      </c>
      <c r="AQ183" s="7">
        <f>IF($BL183&lt;&gt;"Yes",0,Calcs!DT455)</f>
        <v>0</v>
      </c>
      <c r="AR183" s="7">
        <f>IF($BL183&lt;&gt;"Yes",0,Calcs!DU455)</f>
        <v>0</v>
      </c>
      <c r="AS183" s="7">
        <f>IF($BL183&lt;&gt;"Yes",0,Calcs!DV455)</f>
        <v>0</v>
      </c>
      <c r="AT183" s="7">
        <f>IF($BL183&lt;&gt;"Yes",0,Calcs!DW455)</f>
        <v>0</v>
      </c>
      <c r="AU183" s="7">
        <f>IF($BL183&lt;&gt;"Yes",0,Calcs!DX455)</f>
        <v>0</v>
      </c>
      <c r="AV183" s="7">
        <f>IF($BL183&lt;&gt;"Yes",0,Calcs!DY455)</f>
        <v>0</v>
      </c>
      <c r="AW183" s="7">
        <f>IF($BL183&lt;&gt;"Yes",0,Calcs!DZ455)</f>
        <v>0</v>
      </c>
      <c r="AX183" s="7">
        <f>IF($BL183&lt;&gt;"Yes",0,Calcs!EA455)</f>
        <v>0</v>
      </c>
      <c r="AY183" s="7">
        <f>IF($BL183&lt;&gt;"Yes",0,Calcs!EB455)</f>
        <v>0</v>
      </c>
      <c r="AZ183" s="7">
        <f>IF($BL183&lt;&gt;"Yes",0,Calcs!EC455)</f>
        <v>0</v>
      </c>
      <c r="BA183" s="7">
        <f>IF($BL183&lt;&gt;"Yes",0,Calcs!ED455)</f>
        <v>0</v>
      </c>
      <c r="BB183" s="7">
        <f>IF($BL183&lt;&gt;"Yes",0,Calcs!EE455)</f>
        <v>0</v>
      </c>
      <c r="BC183" s="7">
        <f>IF($BL183&lt;&gt;"Yes",0,Calcs!EF455)</f>
        <v>0</v>
      </c>
      <c r="BD183" s="7">
        <f>IF($BL183&lt;&gt;"Yes",0,Calcs!EG455)</f>
        <v>0</v>
      </c>
      <c r="BE183" s="7">
        <f>IF($BL183&lt;&gt;"Yes",0,Calcs!EH455)</f>
        <v>0</v>
      </c>
      <c r="BF183" s="7">
        <f>IF($BL183&lt;&gt;"Yes",0,Calcs!EI455)</f>
        <v>0</v>
      </c>
      <c r="BG183" s="7">
        <f>IF($BL183&lt;&gt;"Yes",0,Calcs!EJ455)</f>
        <v>0</v>
      </c>
      <c r="BH183" s="7">
        <f>IF($BL183&lt;&gt;"Yes",0,Calcs!EK455)</f>
        <v>0</v>
      </c>
      <c r="BI183" s="7">
        <f>IF($BL183&lt;&gt;"Yes",0,Calcs!EL455)</f>
        <v>0</v>
      </c>
      <c r="BJ183" s="7">
        <f>IF($BL183&lt;&gt;"Yes",0,Calcs!EM455)</f>
        <v>0</v>
      </c>
    </row>
    <row r="184" spans="1:62" s="5" customFormat="1" ht="13" hidden="1" customHeight="1" x14ac:dyDescent="0.3">
      <c r="A184" s="6" t="str">
        <f>IF(AND(Calcs!CD456&lt;&gt;"",Calcs!CD456&lt;&gt;0),Calcs!CD456,"Operating Expense "&amp;Calcs!$BL184)</f>
        <v xml:space="preserve">Operating Expense </v>
      </c>
      <c r="B184" s="6" t="str">
        <f>IF(AND(Calcs!CE456&lt;&gt;"",Calcs!CE456&lt;&gt;0),Calcs!CE456,"Operating Expense "&amp;Calcs!Q456)</f>
        <v>Operating Expense 36</v>
      </c>
      <c r="C184" s="7">
        <f>IF($BL184&lt;&gt;"Yes",0,Calcs!CF456)</f>
        <v>0</v>
      </c>
      <c r="D184" s="7">
        <f>IF($BL184&lt;&gt;"Yes",0,Calcs!CG456)</f>
        <v>0</v>
      </c>
      <c r="E184" s="7">
        <f>IF($BL184&lt;&gt;"Yes",0,Calcs!CH456)</f>
        <v>0</v>
      </c>
      <c r="F184" s="7">
        <f>IF($BL184&lt;&gt;"Yes",0,Calcs!CI456)</f>
        <v>0</v>
      </c>
      <c r="G184" s="7">
        <f>IF($BL184&lt;&gt;"Yes",0,Calcs!CJ456)</f>
        <v>0</v>
      </c>
      <c r="H184" s="40"/>
      <c r="I184" s="7">
        <f>IF($BL184&lt;&gt;"Yes",0,Calcs!CL456)</f>
        <v>0</v>
      </c>
      <c r="J184" s="7">
        <f>IF($BL184&lt;&gt;"Yes",0,Calcs!CM456)</f>
        <v>0</v>
      </c>
      <c r="K184" s="7">
        <f>IF($BL184&lt;&gt;"Yes",0,Calcs!CN456)</f>
        <v>0</v>
      </c>
      <c r="L184" s="7">
        <f>IF($BL184&lt;&gt;"Yes",0,Calcs!CO456)</f>
        <v>0</v>
      </c>
      <c r="M184" s="7">
        <f>IF($BL184&lt;&gt;"Yes",0,Calcs!CP456)</f>
        <v>0</v>
      </c>
      <c r="N184" s="7">
        <f>IF($BL184&lt;&gt;"Yes",0,Calcs!CQ456)</f>
        <v>0</v>
      </c>
      <c r="O184" s="7">
        <f>IF($BL184&lt;&gt;"Yes",0,Calcs!CR456)</f>
        <v>0</v>
      </c>
      <c r="P184" s="7">
        <f>IF($BL184&lt;&gt;"Yes",0,Calcs!CS456)</f>
        <v>0</v>
      </c>
      <c r="Q184" s="7">
        <f>IF($BL184&lt;&gt;"Yes",0,Calcs!CT456)</f>
        <v>0</v>
      </c>
      <c r="R184" s="7">
        <f>IF($BL184&lt;&gt;"Yes",0,Calcs!CU456)</f>
        <v>0</v>
      </c>
      <c r="S184" s="7">
        <f>IF($BL184&lt;&gt;"Yes",0,Calcs!CV456)</f>
        <v>0</v>
      </c>
      <c r="T184" s="7">
        <f>IF($BL184&lt;&gt;"Yes",0,Calcs!CW456)</f>
        <v>0</v>
      </c>
      <c r="U184" s="7">
        <f>IF($BL184&lt;&gt;"Yes",0,Calcs!CX456)</f>
        <v>0</v>
      </c>
      <c r="V184" s="7">
        <f>IF($BL184&lt;&gt;"Yes",0,Calcs!CY456)</f>
        <v>0</v>
      </c>
      <c r="W184" s="7">
        <f>IF($BL184&lt;&gt;"Yes",0,Calcs!CZ456)</f>
        <v>0</v>
      </c>
      <c r="X184" s="7">
        <f>IF($BL184&lt;&gt;"Yes",0,Calcs!DA456)</f>
        <v>0</v>
      </c>
      <c r="Y184" s="7">
        <f>IF($BL184&lt;&gt;"Yes",0,Calcs!DB456)</f>
        <v>0</v>
      </c>
      <c r="Z184" s="7">
        <f>IF($BL184&lt;&gt;"Yes",0,Calcs!DC456)</f>
        <v>0</v>
      </c>
      <c r="AA184" s="7">
        <f>IF($BL184&lt;&gt;"Yes",0,Calcs!DD456)</f>
        <v>0</v>
      </c>
      <c r="AB184" s="7">
        <f>IF($BL184&lt;&gt;"Yes",0,Calcs!DE456)</f>
        <v>0</v>
      </c>
      <c r="AC184" s="7">
        <f>IF($BL184&lt;&gt;"Yes",0,Calcs!DF456)</f>
        <v>0</v>
      </c>
      <c r="AD184" s="7">
        <f>IF($BL184&lt;&gt;"Yes",0,Calcs!DG456)</f>
        <v>0</v>
      </c>
      <c r="AE184" s="7">
        <f>IF($BL184&lt;&gt;"Yes",0,Calcs!DH456)</f>
        <v>0</v>
      </c>
      <c r="AF184" s="7">
        <f>IF($BL184&lt;&gt;"Yes",0,Calcs!DI456)</f>
        <v>0</v>
      </c>
      <c r="AG184" s="7">
        <f>IF($BL184&lt;&gt;"Yes",0,Calcs!DJ456)</f>
        <v>0</v>
      </c>
      <c r="AH184" s="7">
        <f>IF($BL184&lt;&gt;"Yes",0,Calcs!DK456)</f>
        <v>0</v>
      </c>
      <c r="AI184" s="7">
        <f>IF($BL184&lt;&gt;"Yes",0,Calcs!DL456)</f>
        <v>0</v>
      </c>
      <c r="AJ184" s="7">
        <f>IF($BL184&lt;&gt;"Yes",0,Calcs!DM456)</f>
        <v>0</v>
      </c>
      <c r="AK184" s="7">
        <f>IF($BL184&lt;&gt;"Yes",0,Calcs!DN456)</f>
        <v>0</v>
      </c>
      <c r="AL184" s="7">
        <f>IF($BL184&lt;&gt;"Yes",0,Calcs!DO456)</f>
        <v>0</v>
      </c>
      <c r="AM184" s="7">
        <f>IF($BL184&lt;&gt;"Yes",0,Calcs!DP456)</f>
        <v>0</v>
      </c>
      <c r="AN184" s="7">
        <f>IF($BL184&lt;&gt;"Yes",0,Calcs!DQ456)</f>
        <v>0</v>
      </c>
      <c r="AO184" s="7">
        <f>IF($BL184&lt;&gt;"Yes",0,Calcs!DR456)</f>
        <v>0</v>
      </c>
      <c r="AP184" s="7">
        <f>IF($BL184&lt;&gt;"Yes",0,Calcs!DS456)</f>
        <v>0</v>
      </c>
      <c r="AQ184" s="7">
        <f>IF($BL184&lt;&gt;"Yes",0,Calcs!DT456)</f>
        <v>0</v>
      </c>
      <c r="AR184" s="7">
        <f>IF($BL184&lt;&gt;"Yes",0,Calcs!DU456)</f>
        <v>0</v>
      </c>
      <c r="AS184" s="7">
        <f>IF($BL184&lt;&gt;"Yes",0,Calcs!DV456)</f>
        <v>0</v>
      </c>
      <c r="AT184" s="7">
        <f>IF($BL184&lt;&gt;"Yes",0,Calcs!DW456)</f>
        <v>0</v>
      </c>
      <c r="AU184" s="7">
        <f>IF($BL184&lt;&gt;"Yes",0,Calcs!DX456)</f>
        <v>0</v>
      </c>
      <c r="AV184" s="7">
        <f>IF($BL184&lt;&gt;"Yes",0,Calcs!DY456)</f>
        <v>0</v>
      </c>
      <c r="AW184" s="7">
        <f>IF($BL184&lt;&gt;"Yes",0,Calcs!DZ456)</f>
        <v>0</v>
      </c>
      <c r="AX184" s="7">
        <f>IF($BL184&lt;&gt;"Yes",0,Calcs!EA456)</f>
        <v>0</v>
      </c>
      <c r="AY184" s="7">
        <f>IF($BL184&lt;&gt;"Yes",0,Calcs!EB456)</f>
        <v>0</v>
      </c>
      <c r="AZ184" s="7">
        <f>IF($BL184&lt;&gt;"Yes",0,Calcs!EC456)</f>
        <v>0</v>
      </c>
      <c r="BA184" s="7">
        <f>IF($BL184&lt;&gt;"Yes",0,Calcs!ED456)</f>
        <v>0</v>
      </c>
      <c r="BB184" s="7">
        <f>IF($BL184&lt;&gt;"Yes",0,Calcs!EE456)</f>
        <v>0</v>
      </c>
      <c r="BC184" s="7">
        <f>IF($BL184&lt;&gt;"Yes",0,Calcs!EF456)</f>
        <v>0</v>
      </c>
      <c r="BD184" s="7">
        <f>IF($BL184&lt;&gt;"Yes",0,Calcs!EG456)</f>
        <v>0</v>
      </c>
      <c r="BE184" s="7">
        <f>IF($BL184&lt;&gt;"Yes",0,Calcs!EH456)</f>
        <v>0</v>
      </c>
      <c r="BF184" s="7">
        <f>IF($BL184&lt;&gt;"Yes",0,Calcs!EI456)</f>
        <v>0</v>
      </c>
      <c r="BG184" s="7">
        <f>IF($BL184&lt;&gt;"Yes",0,Calcs!EJ456)</f>
        <v>0</v>
      </c>
      <c r="BH184" s="7">
        <f>IF($BL184&lt;&gt;"Yes",0,Calcs!EK456)</f>
        <v>0</v>
      </c>
      <c r="BI184" s="7">
        <f>IF($BL184&lt;&gt;"Yes",0,Calcs!EL456)</f>
        <v>0</v>
      </c>
      <c r="BJ184" s="7">
        <f>IF($BL184&lt;&gt;"Yes",0,Calcs!EM456)</f>
        <v>0</v>
      </c>
    </row>
    <row r="185" spans="1:62" s="5" customFormat="1" ht="13" hidden="1" customHeight="1" x14ac:dyDescent="0.3">
      <c r="A185" s="6" t="str">
        <f>IF(AND(Calcs!CD457&lt;&gt;"",Calcs!CD457&lt;&gt;0),Calcs!CD457,"Operating Expense "&amp;Calcs!$BL185)</f>
        <v xml:space="preserve">Operating Expense </v>
      </c>
      <c r="B185" s="6" t="str">
        <f>IF(AND(Calcs!CE457&lt;&gt;"",Calcs!CE457&lt;&gt;0),Calcs!CE457,"Operating Expense "&amp;Calcs!Q457)</f>
        <v>Operating Expense 37</v>
      </c>
      <c r="C185" s="7">
        <f>IF($BL185&lt;&gt;"Yes",0,Calcs!CF457)</f>
        <v>0</v>
      </c>
      <c r="D185" s="7">
        <f>IF($BL185&lt;&gt;"Yes",0,Calcs!CG457)</f>
        <v>0</v>
      </c>
      <c r="E185" s="7">
        <f>IF($BL185&lt;&gt;"Yes",0,Calcs!CH457)</f>
        <v>0</v>
      </c>
      <c r="F185" s="7">
        <f>IF($BL185&lt;&gt;"Yes",0,Calcs!CI457)</f>
        <v>0</v>
      </c>
      <c r="G185" s="7">
        <f>IF($BL185&lt;&gt;"Yes",0,Calcs!CJ457)</f>
        <v>0</v>
      </c>
      <c r="H185" s="40"/>
      <c r="I185" s="7">
        <f>IF($BL185&lt;&gt;"Yes",0,Calcs!CL457)</f>
        <v>0</v>
      </c>
      <c r="J185" s="7">
        <f>IF($BL185&lt;&gt;"Yes",0,Calcs!CM457)</f>
        <v>0</v>
      </c>
      <c r="K185" s="7">
        <f>IF($BL185&lt;&gt;"Yes",0,Calcs!CN457)</f>
        <v>0</v>
      </c>
      <c r="L185" s="7">
        <f>IF($BL185&lt;&gt;"Yes",0,Calcs!CO457)</f>
        <v>0</v>
      </c>
      <c r="M185" s="7">
        <f>IF($BL185&lt;&gt;"Yes",0,Calcs!CP457)</f>
        <v>0</v>
      </c>
      <c r="N185" s="7">
        <f>IF($BL185&lt;&gt;"Yes",0,Calcs!CQ457)</f>
        <v>0</v>
      </c>
      <c r="O185" s="7">
        <f>IF($BL185&lt;&gt;"Yes",0,Calcs!CR457)</f>
        <v>0</v>
      </c>
      <c r="P185" s="7">
        <f>IF($BL185&lt;&gt;"Yes",0,Calcs!CS457)</f>
        <v>0</v>
      </c>
      <c r="Q185" s="7">
        <f>IF($BL185&lt;&gt;"Yes",0,Calcs!CT457)</f>
        <v>0</v>
      </c>
      <c r="R185" s="7">
        <f>IF($BL185&lt;&gt;"Yes",0,Calcs!CU457)</f>
        <v>0</v>
      </c>
      <c r="S185" s="7">
        <f>IF($BL185&lt;&gt;"Yes",0,Calcs!CV457)</f>
        <v>0</v>
      </c>
      <c r="T185" s="7">
        <f>IF($BL185&lt;&gt;"Yes",0,Calcs!CW457)</f>
        <v>0</v>
      </c>
      <c r="U185" s="7">
        <f>IF($BL185&lt;&gt;"Yes",0,Calcs!CX457)</f>
        <v>0</v>
      </c>
      <c r="V185" s="7">
        <f>IF($BL185&lt;&gt;"Yes",0,Calcs!CY457)</f>
        <v>0</v>
      </c>
      <c r="W185" s="7">
        <f>IF($BL185&lt;&gt;"Yes",0,Calcs!CZ457)</f>
        <v>0</v>
      </c>
      <c r="X185" s="7">
        <f>IF($BL185&lt;&gt;"Yes",0,Calcs!DA457)</f>
        <v>0</v>
      </c>
      <c r="Y185" s="7">
        <f>IF($BL185&lt;&gt;"Yes",0,Calcs!DB457)</f>
        <v>0</v>
      </c>
      <c r="Z185" s="7">
        <f>IF($BL185&lt;&gt;"Yes",0,Calcs!DC457)</f>
        <v>0</v>
      </c>
      <c r="AA185" s="7">
        <f>IF($BL185&lt;&gt;"Yes",0,Calcs!DD457)</f>
        <v>0</v>
      </c>
      <c r="AB185" s="7">
        <f>IF($BL185&lt;&gt;"Yes",0,Calcs!DE457)</f>
        <v>0</v>
      </c>
      <c r="AC185" s="7">
        <f>IF($BL185&lt;&gt;"Yes",0,Calcs!DF457)</f>
        <v>0</v>
      </c>
      <c r="AD185" s="7">
        <f>IF($BL185&lt;&gt;"Yes",0,Calcs!DG457)</f>
        <v>0</v>
      </c>
      <c r="AE185" s="7">
        <f>IF($BL185&lt;&gt;"Yes",0,Calcs!DH457)</f>
        <v>0</v>
      </c>
      <c r="AF185" s="7">
        <f>IF($BL185&lt;&gt;"Yes",0,Calcs!DI457)</f>
        <v>0</v>
      </c>
      <c r="AG185" s="7">
        <f>IF($BL185&lt;&gt;"Yes",0,Calcs!DJ457)</f>
        <v>0</v>
      </c>
      <c r="AH185" s="7">
        <f>IF($BL185&lt;&gt;"Yes",0,Calcs!DK457)</f>
        <v>0</v>
      </c>
      <c r="AI185" s="7">
        <f>IF($BL185&lt;&gt;"Yes",0,Calcs!DL457)</f>
        <v>0</v>
      </c>
      <c r="AJ185" s="7">
        <f>IF($BL185&lt;&gt;"Yes",0,Calcs!DM457)</f>
        <v>0</v>
      </c>
      <c r="AK185" s="7">
        <f>IF($BL185&lt;&gt;"Yes",0,Calcs!DN457)</f>
        <v>0</v>
      </c>
      <c r="AL185" s="7">
        <f>IF($BL185&lt;&gt;"Yes",0,Calcs!DO457)</f>
        <v>0</v>
      </c>
      <c r="AM185" s="7">
        <f>IF($BL185&lt;&gt;"Yes",0,Calcs!DP457)</f>
        <v>0</v>
      </c>
      <c r="AN185" s="7">
        <f>IF($BL185&lt;&gt;"Yes",0,Calcs!DQ457)</f>
        <v>0</v>
      </c>
      <c r="AO185" s="7">
        <f>IF($BL185&lt;&gt;"Yes",0,Calcs!DR457)</f>
        <v>0</v>
      </c>
      <c r="AP185" s="7">
        <f>IF($BL185&lt;&gt;"Yes",0,Calcs!DS457)</f>
        <v>0</v>
      </c>
      <c r="AQ185" s="7">
        <f>IF($BL185&lt;&gt;"Yes",0,Calcs!DT457)</f>
        <v>0</v>
      </c>
      <c r="AR185" s="7">
        <f>IF($BL185&lt;&gt;"Yes",0,Calcs!DU457)</f>
        <v>0</v>
      </c>
      <c r="AS185" s="7">
        <f>IF($BL185&lt;&gt;"Yes",0,Calcs!DV457)</f>
        <v>0</v>
      </c>
      <c r="AT185" s="7">
        <f>IF($BL185&lt;&gt;"Yes",0,Calcs!DW457)</f>
        <v>0</v>
      </c>
      <c r="AU185" s="7">
        <f>IF($BL185&lt;&gt;"Yes",0,Calcs!DX457)</f>
        <v>0</v>
      </c>
      <c r="AV185" s="7">
        <f>IF($BL185&lt;&gt;"Yes",0,Calcs!DY457)</f>
        <v>0</v>
      </c>
      <c r="AW185" s="7">
        <f>IF($BL185&lt;&gt;"Yes",0,Calcs!DZ457)</f>
        <v>0</v>
      </c>
      <c r="AX185" s="7">
        <f>IF($BL185&lt;&gt;"Yes",0,Calcs!EA457)</f>
        <v>0</v>
      </c>
      <c r="AY185" s="7">
        <f>IF($BL185&lt;&gt;"Yes",0,Calcs!EB457)</f>
        <v>0</v>
      </c>
      <c r="AZ185" s="7">
        <f>IF($BL185&lt;&gt;"Yes",0,Calcs!EC457)</f>
        <v>0</v>
      </c>
      <c r="BA185" s="7">
        <f>IF($BL185&lt;&gt;"Yes",0,Calcs!ED457)</f>
        <v>0</v>
      </c>
      <c r="BB185" s="7">
        <f>IF($BL185&lt;&gt;"Yes",0,Calcs!EE457)</f>
        <v>0</v>
      </c>
      <c r="BC185" s="7">
        <f>IF($BL185&lt;&gt;"Yes",0,Calcs!EF457)</f>
        <v>0</v>
      </c>
      <c r="BD185" s="7">
        <f>IF($BL185&lt;&gt;"Yes",0,Calcs!EG457)</f>
        <v>0</v>
      </c>
      <c r="BE185" s="7">
        <f>IF($BL185&lt;&gt;"Yes",0,Calcs!EH457)</f>
        <v>0</v>
      </c>
      <c r="BF185" s="7">
        <f>IF($BL185&lt;&gt;"Yes",0,Calcs!EI457)</f>
        <v>0</v>
      </c>
      <c r="BG185" s="7">
        <f>IF($BL185&lt;&gt;"Yes",0,Calcs!EJ457)</f>
        <v>0</v>
      </c>
      <c r="BH185" s="7">
        <f>IF($BL185&lt;&gt;"Yes",0,Calcs!EK457)</f>
        <v>0</v>
      </c>
      <c r="BI185" s="7">
        <f>IF($BL185&lt;&gt;"Yes",0,Calcs!EL457)</f>
        <v>0</v>
      </c>
      <c r="BJ185" s="7">
        <f>IF($BL185&lt;&gt;"Yes",0,Calcs!EM457)</f>
        <v>0</v>
      </c>
    </row>
    <row r="186" spans="1:62" s="5" customFormat="1" ht="13" hidden="1" customHeight="1" x14ac:dyDescent="0.3">
      <c r="A186" s="6" t="str">
        <f>IF(AND(Calcs!CD458&lt;&gt;"",Calcs!CD458&lt;&gt;0),Calcs!CD458,"Operating Expense "&amp;Calcs!$BL186)</f>
        <v xml:space="preserve">Operating Expense </v>
      </c>
      <c r="B186" s="6" t="str">
        <f>IF(AND(Calcs!CE458&lt;&gt;"",Calcs!CE458&lt;&gt;0),Calcs!CE458,"Operating Expense "&amp;Calcs!Q458)</f>
        <v>Operating Expense 38</v>
      </c>
      <c r="C186" s="7">
        <f>IF($BL186&lt;&gt;"Yes",0,Calcs!CF458)</f>
        <v>0</v>
      </c>
      <c r="D186" s="7">
        <f>IF($BL186&lt;&gt;"Yes",0,Calcs!CG458)</f>
        <v>0</v>
      </c>
      <c r="E186" s="7">
        <f>IF($BL186&lt;&gt;"Yes",0,Calcs!CH458)</f>
        <v>0</v>
      </c>
      <c r="F186" s="7">
        <f>IF($BL186&lt;&gt;"Yes",0,Calcs!CI458)</f>
        <v>0</v>
      </c>
      <c r="G186" s="7">
        <f>IF($BL186&lt;&gt;"Yes",0,Calcs!CJ458)</f>
        <v>0</v>
      </c>
      <c r="H186" s="40"/>
      <c r="I186" s="7">
        <f>IF($BL186&lt;&gt;"Yes",0,Calcs!CL458)</f>
        <v>0</v>
      </c>
      <c r="J186" s="7">
        <f>IF($BL186&lt;&gt;"Yes",0,Calcs!CM458)</f>
        <v>0</v>
      </c>
      <c r="K186" s="7">
        <f>IF($BL186&lt;&gt;"Yes",0,Calcs!CN458)</f>
        <v>0</v>
      </c>
      <c r="L186" s="7">
        <f>IF($BL186&lt;&gt;"Yes",0,Calcs!CO458)</f>
        <v>0</v>
      </c>
      <c r="M186" s="7">
        <f>IF($BL186&lt;&gt;"Yes",0,Calcs!CP458)</f>
        <v>0</v>
      </c>
      <c r="N186" s="7">
        <f>IF($BL186&lt;&gt;"Yes",0,Calcs!CQ458)</f>
        <v>0</v>
      </c>
      <c r="O186" s="7">
        <f>IF($BL186&lt;&gt;"Yes",0,Calcs!CR458)</f>
        <v>0</v>
      </c>
      <c r="P186" s="7">
        <f>IF($BL186&lt;&gt;"Yes",0,Calcs!CS458)</f>
        <v>0</v>
      </c>
      <c r="Q186" s="7">
        <f>IF($BL186&lt;&gt;"Yes",0,Calcs!CT458)</f>
        <v>0</v>
      </c>
      <c r="R186" s="7">
        <f>IF($BL186&lt;&gt;"Yes",0,Calcs!CU458)</f>
        <v>0</v>
      </c>
      <c r="S186" s="7">
        <f>IF($BL186&lt;&gt;"Yes",0,Calcs!CV458)</f>
        <v>0</v>
      </c>
      <c r="T186" s="7">
        <f>IF($BL186&lt;&gt;"Yes",0,Calcs!CW458)</f>
        <v>0</v>
      </c>
      <c r="U186" s="7">
        <f>IF($BL186&lt;&gt;"Yes",0,Calcs!CX458)</f>
        <v>0</v>
      </c>
      <c r="V186" s="7">
        <f>IF($BL186&lt;&gt;"Yes",0,Calcs!CY458)</f>
        <v>0</v>
      </c>
      <c r="W186" s="7">
        <f>IF($BL186&lt;&gt;"Yes",0,Calcs!CZ458)</f>
        <v>0</v>
      </c>
      <c r="X186" s="7">
        <f>IF($BL186&lt;&gt;"Yes",0,Calcs!DA458)</f>
        <v>0</v>
      </c>
      <c r="Y186" s="7">
        <f>IF($BL186&lt;&gt;"Yes",0,Calcs!DB458)</f>
        <v>0</v>
      </c>
      <c r="Z186" s="7">
        <f>IF($BL186&lt;&gt;"Yes",0,Calcs!DC458)</f>
        <v>0</v>
      </c>
      <c r="AA186" s="7">
        <f>IF($BL186&lt;&gt;"Yes",0,Calcs!DD458)</f>
        <v>0</v>
      </c>
      <c r="AB186" s="7">
        <f>IF($BL186&lt;&gt;"Yes",0,Calcs!DE458)</f>
        <v>0</v>
      </c>
      <c r="AC186" s="7">
        <f>IF($BL186&lt;&gt;"Yes",0,Calcs!DF458)</f>
        <v>0</v>
      </c>
      <c r="AD186" s="7">
        <f>IF($BL186&lt;&gt;"Yes",0,Calcs!DG458)</f>
        <v>0</v>
      </c>
      <c r="AE186" s="7">
        <f>IF($BL186&lt;&gt;"Yes",0,Calcs!DH458)</f>
        <v>0</v>
      </c>
      <c r="AF186" s="7">
        <f>IF($BL186&lt;&gt;"Yes",0,Calcs!DI458)</f>
        <v>0</v>
      </c>
      <c r="AG186" s="7">
        <f>IF($BL186&lt;&gt;"Yes",0,Calcs!DJ458)</f>
        <v>0</v>
      </c>
      <c r="AH186" s="7">
        <f>IF($BL186&lt;&gt;"Yes",0,Calcs!DK458)</f>
        <v>0</v>
      </c>
      <c r="AI186" s="7">
        <f>IF($BL186&lt;&gt;"Yes",0,Calcs!DL458)</f>
        <v>0</v>
      </c>
      <c r="AJ186" s="7">
        <f>IF($BL186&lt;&gt;"Yes",0,Calcs!DM458)</f>
        <v>0</v>
      </c>
      <c r="AK186" s="7">
        <f>IF($BL186&lt;&gt;"Yes",0,Calcs!DN458)</f>
        <v>0</v>
      </c>
      <c r="AL186" s="7">
        <f>IF($BL186&lt;&gt;"Yes",0,Calcs!DO458)</f>
        <v>0</v>
      </c>
      <c r="AM186" s="7">
        <f>IF($BL186&lt;&gt;"Yes",0,Calcs!DP458)</f>
        <v>0</v>
      </c>
      <c r="AN186" s="7">
        <f>IF($BL186&lt;&gt;"Yes",0,Calcs!DQ458)</f>
        <v>0</v>
      </c>
      <c r="AO186" s="7">
        <f>IF($BL186&lt;&gt;"Yes",0,Calcs!DR458)</f>
        <v>0</v>
      </c>
      <c r="AP186" s="7">
        <f>IF($BL186&lt;&gt;"Yes",0,Calcs!DS458)</f>
        <v>0</v>
      </c>
      <c r="AQ186" s="7">
        <f>IF($BL186&lt;&gt;"Yes",0,Calcs!DT458)</f>
        <v>0</v>
      </c>
      <c r="AR186" s="7">
        <f>IF($BL186&lt;&gt;"Yes",0,Calcs!DU458)</f>
        <v>0</v>
      </c>
      <c r="AS186" s="7">
        <f>IF($BL186&lt;&gt;"Yes",0,Calcs!DV458)</f>
        <v>0</v>
      </c>
      <c r="AT186" s="7">
        <f>IF($BL186&lt;&gt;"Yes",0,Calcs!DW458)</f>
        <v>0</v>
      </c>
      <c r="AU186" s="7">
        <f>IF($BL186&lt;&gt;"Yes",0,Calcs!DX458)</f>
        <v>0</v>
      </c>
      <c r="AV186" s="7">
        <f>IF($BL186&lt;&gt;"Yes",0,Calcs!DY458)</f>
        <v>0</v>
      </c>
      <c r="AW186" s="7">
        <f>IF($BL186&lt;&gt;"Yes",0,Calcs!DZ458)</f>
        <v>0</v>
      </c>
      <c r="AX186" s="7">
        <f>IF($BL186&lt;&gt;"Yes",0,Calcs!EA458)</f>
        <v>0</v>
      </c>
      <c r="AY186" s="7">
        <f>IF($BL186&lt;&gt;"Yes",0,Calcs!EB458)</f>
        <v>0</v>
      </c>
      <c r="AZ186" s="7">
        <f>IF($BL186&lt;&gt;"Yes",0,Calcs!EC458)</f>
        <v>0</v>
      </c>
      <c r="BA186" s="7">
        <f>IF($BL186&lt;&gt;"Yes",0,Calcs!ED458)</f>
        <v>0</v>
      </c>
      <c r="BB186" s="7">
        <f>IF($BL186&lt;&gt;"Yes",0,Calcs!EE458)</f>
        <v>0</v>
      </c>
      <c r="BC186" s="7">
        <f>IF($BL186&lt;&gt;"Yes",0,Calcs!EF458)</f>
        <v>0</v>
      </c>
      <c r="BD186" s="7">
        <f>IF($BL186&lt;&gt;"Yes",0,Calcs!EG458)</f>
        <v>0</v>
      </c>
      <c r="BE186" s="7">
        <f>IF($BL186&lt;&gt;"Yes",0,Calcs!EH458)</f>
        <v>0</v>
      </c>
      <c r="BF186" s="7">
        <f>IF($BL186&lt;&gt;"Yes",0,Calcs!EI458)</f>
        <v>0</v>
      </c>
      <c r="BG186" s="7">
        <f>IF($BL186&lt;&gt;"Yes",0,Calcs!EJ458)</f>
        <v>0</v>
      </c>
      <c r="BH186" s="7">
        <f>IF($BL186&lt;&gt;"Yes",0,Calcs!EK458)</f>
        <v>0</v>
      </c>
      <c r="BI186" s="7">
        <f>IF($BL186&lt;&gt;"Yes",0,Calcs!EL458)</f>
        <v>0</v>
      </c>
      <c r="BJ186" s="7">
        <f>IF($BL186&lt;&gt;"Yes",0,Calcs!EM458)</f>
        <v>0</v>
      </c>
    </row>
    <row r="187" spans="1:62" s="5" customFormat="1" ht="13" hidden="1" customHeight="1" x14ac:dyDescent="0.3">
      <c r="A187" s="6" t="str">
        <f>IF(AND(Calcs!CD459&lt;&gt;"",Calcs!CD459&lt;&gt;0),Calcs!CD459,"Operating Expense "&amp;Calcs!$BL187)</f>
        <v xml:space="preserve">Operating Expense </v>
      </c>
      <c r="B187" s="6" t="str">
        <f>IF(AND(Calcs!CE459&lt;&gt;"",Calcs!CE459&lt;&gt;0),Calcs!CE459,"Operating Expense "&amp;Calcs!Q459)</f>
        <v>Operating Expense 39</v>
      </c>
      <c r="C187" s="7">
        <f>IF($BL187&lt;&gt;"Yes",0,Calcs!CF459)</f>
        <v>0</v>
      </c>
      <c r="D187" s="7">
        <f>IF($BL187&lt;&gt;"Yes",0,Calcs!CG459)</f>
        <v>0</v>
      </c>
      <c r="E187" s="7">
        <f>IF($BL187&lt;&gt;"Yes",0,Calcs!CH459)</f>
        <v>0</v>
      </c>
      <c r="F187" s="7">
        <f>IF($BL187&lt;&gt;"Yes",0,Calcs!CI459)</f>
        <v>0</v>
      </c>
      <c r="G187" s="7">
        <f>IF($BL187&lt;&gt;"Yes",0,Calcs!CJ459)</f>
        <v>0</v>
      </c>
      <c r="H187" s="40"/>
      <c r="I187" s="7">
        <f>IF($BL187&lt;&gt;"Yes",0,Calcs!CL459)</f>
        <v>0</v>
      </c>
      <c r="J187" s="7">
        <f>IF($BL187&lt;&gt;"Yes",0,Calcs!CM459)</f>
        <v>0</v>
      </c>
      <c r="K187" s="7">
        <f>IF($BL187&lt;&gt;"Yes",0,Calcs!CN459)</f>
        <v>0</v>
      </c>
      <c r="L187" s="7">
        <f>IF($BL187&lt;&gt;"Yes",0,Calcs!CO459)</f>
        <v>0</v>
      </c>
      <c r="M187" s="7">
        <f>IF($BL187&lt;&gt;"Yes",0,Calcs!CP459)</f>
        <v>0</v>
      </c>
      <c r="N187" s="7">
        <f>IF($BL187&lt;&gt;"Yes",0,Calcs!CQ459)</f>
        <v>0</v>
      </c>
      <c r="O187" s="7">
        <f>IF($BL187&lt;&gt;"Yes",0,Calcs!CR459)</f>
        <v>0</v>
      </c>
      <c r="P187" s="7">
        <f>IF($BL187&lt;&gt;"Yes",0,Calcs!CS459)</f>
        <v>0</v>
      </c>
      <c r="Q187" s="7">
        <f>IF($BL187&lt;&gt;"Yes",0,Calcs!CT459)</f>
        <v>0</v>
      </c>
      <c r="R187" s="7">
        <f>IF($BL187&lt;&gt;"Yes",0,Calcs!CU459)</f>
        <v>0</v>
      </c>
      <c r="S187" s="7">
        <f>IF($BL187&lt;&gt;"Yes",0,Calcs!CV459)</f>
        <v>0</v>
      </c>
      <c r="T187" s="7">
        <f>IF($BL187&lt;&gt;"Yes",0,Calcs!CW459)</f>
        <v>0</v>
      </c>
      <c r="U187" s="7">
        <f>IF($BL187&lt;&gt;"Yes",0,Calcs!CX459)</f>
        <v>0</v>
      </c>
      <c r="V187" s="7">
        <f>IF($BL187&lt;&gt;"Yes",0,Calcs!CY459)</f>
        <v>0</v>
      </c>
      <c r="W187" s="7">
        <f>IF($BL187&lt;&gt;"Yes",0,Calcs!CZ459)</f>
        <v>0</v>
      </c>
      <c r="X187" s="7">
        <f>IF($BL187&lt;&gt;"Yes",0,Calcs!DA459)</f>
        <v>0</v>
      </c>
      <c r="Y187" s="7">
        <f>IF($BL187&lt;&gt;"Yes",0,Calcs!DB459)</f>
        <v>0</v>
      </c>
      <c r="Z187" s="7">
        <f>IF($BL187&lt;&gt;"Yes",0,Calcs!DC459)</f>
        <v>0</v>
      </c>
      <c r="AA187" s="7">
        <f>IF($BL187&lt;&gt;"Yes",0,Calcs!DD459)</f>
        <v>0</v>
      </c>
      <c r="AB187" s="7">
        <f>IF($BL187&lt;&gt;"Yes",0,Calcs!DE459)</f>
        <v>0</v>
      </c>
      <c r="AC187" s="7">
        <f>IF($BL187&lt;&gt;"Yes",0,Calcs!DF459)</f>
        <v>0</v>
      </c>
      <c r="AD187" s="7">
        <f>IF($BL187&lt;&gt;"Yes",0,Calcs!DG459)</f>
        <v>0</v>
      </c>
      <c r="AE187" s="7">
        <f>IF($BL187&lt;&gt;"Yes",0,Calcs!DH459)</f>
        <v>0</v>
      </c>
      <c r="AF187" s="7">
        <f>IF($BL187&lt;&gt;"Yes",0,Calcs!DI459)</f>
        <v>0</v>
      </c>
      <c r="AG187" s="7">
        <f>IF($BL187&lt;&gt;"Yes",0,Calcs!DJ459)</f>
        <v>0</v>
      </c>
      <c r="AH187" s="7">
        <f>IF($BL187&lt;&gt;"Yes",0,Calcs!DK459)</f>
        <v>0</v>
      </c>
      <c r="AI187" s="7">
        <f>IF($BL187&lt;&gt;"Yes",0,Calcs!DL459)</f>
        <v>0</v>
      </c>
      <c r="AJ187" s="7">
        <f>IF($BL187&lt;&gt;"Yes",0,Calcs!DM459)</f>
        <v>0</v>
      </c>
      <c r="AK187" s="7">
        <f>IF($BL187&lt;&gt;"Yes",0,Calcs!DN459)</f>
        <v>0</v>
      </c>
      <c r="AL187" s="7">
        <f>IF($BL187&lt;&gt;"Yes",0,Calcs!DO459)</f>
        <v>0</v>
      </c>
      <c r="AM187" s="7">
        <f>IF($BL187&lt;&gt;"Yes",0,Calcs!DP459)</f>
        <v>0</v>
      </c>
      <c r="AN187" s="7">
        <f>IF($BL187&lt;&gt;"Yes",0,Calcs!DQ459)</f>
        <v>0</v>
      </c>
      <c r="AO187" s="7">
        <f>IF($BL187&lt;&gt;"Yes",0,Calcs!DR459)</f>
        <v>0</v>
      </c>
      <c r="AP187" s="7">
        <f>IF($BL187&lt;&gt;"Yes",0,Calcs!DS459)</f>
        <v>0</v>
      </c>
      <c r="AQ187" s="7">
        <f>IF($BL187&lt;&gt;"Yes",0,Calcs!DT459)</f>
        <v>0</v>
      </c>
      <c r="AR187" s="7">
        <f>IF($BL187&lt;&gt;"Yes",0,Calcs!DU459)</f>
        <v>0</v>
      </c>
      <c r="AS187" s="7">
        <f>IF($BL187&lt;&gt;"Yes",0,Calcs!DV459)</f>
        <v>0</v>
      </c>
      <c r="AT187" s="7">
        <f>IF($BL187&lt;&gt;"Yes",0,Calcs!DW459)</f>
        <v>0</v>
      </c>
      <c r="AU187" s="7">
        <f>IF($BL187&lt;&gt;"Yes",0,Calcs!DX459)</f>
        <v>0</v>
      </c>
      <c r="AV187" s="7">
        <f>IF($BL187&lt;&gt;"Yes",0,Calcs!DY459)</f>
        <v>0</v>
      </c>
      <c r="AW187" s="7">
        <f>IF($BL187&lt;&gt;"Yes",0,Calcs!DZ459)</f>
        <v>0</v>
      </c>
      <c r="AX187" s="7">
        <f>IF($BL187&lt;&gt;"Yes",0,Calcs!EA459)</f>
        <v>0</v>
      </c>
      <c r="AY187" s="7">
        <f>IF($BL187&lt;&gt;"Yes",0,Calcs!EB459)</f>
        <v>0</v>
      </c>
      <c r="AZ187" s="7">
        <f>IF($BL187&lt;&gt;"Yes",0,Calcs!EC459)</f>
        <v>0</v>
      </c>
      <c r="BA187" s="7">
        <f>IF($BL187&lt;&gt;"Yes",0,Calcs!ED459)</f>
        <v>0</v>
      </c>
      <c r="BB187" s="7">
        <f>IF($BL187&lt;&gt;"Yes",0,Calcs!EE459)</f>
        <v>0</v>
      </c>
      <c r="BC187" s="7">
        <f>IF($BL187&lt;&gt;"Yes",0,Calcs!EF459)</f>
        <v>0</v>
      </c>
      <c r="BD187" s="7">
        <f>IF($BL187&lt;&gt;"Yes",0,Calcs!EG459)</f>
        <v>0</v>
      </c>
      <c r="BE187" s="7">
        <f>IF($BL187&lt;&gt;"Yes",0,Calcs!EH459)</f>
        <v>0</v>
      </c>
      <c r="BF187" s="7">
        <f>IF($BL187&lt;&gt;"Yes",0,Calcs!EI459)</f>
        <v>0</v>
      </c>
      <c r="BG187" s="7">
        <f>IF($BL187&lt;&gt;"Yes",0,Calcs!EJ459)</f>
        <v>0</v>
      </c>
      <c r="BH187" s="7">
        <f>IF($BL187&lt;&gt;"Yes",0,Calcs!EK459)</f>
        <v>0</v>
      </c>
      <c r="BI187" s="7">
        <f>IF($BL187&lt;&gt;"Yes",0,Calcs!EL459)</f>
        <v>0</v>
      </c>
      <c r="BJ187" s="7">
        <f>IF($BL187&lt;&gt;"Yes",0,Calcs!EM459)</f>
        <v>0</v>
      </c>
    </row>
    <row r="188" spans="1:62" s="5" customFormat="1" ht="13" hidden="1" customHeight="1" x14ac:dyDescent="0.3">
      <c r="A188" s="6" t="str">
        <f>IF(AND(Calcs!CD460&lt;&gt;"",Calcs!CD460&lt;&gt;0),Calcs!CD460,"Operating Expense "&amp;Calcs!$BL188)</f>
        <v>Operating Expense 0</v>
      </c>
      <c r="B188" s="6" t="str">
        <f>IF(AND(Calcs!CE460&lt;&gt;"",Calcs!CE460&lt;&gt;0),Calcs!CE460,"Operating Expense "&amp;Calcs!Q460)</f>
        <v>Operating Expense 40</v>
      </c>
      <c r="C188" s="7">
        <f>IF($BL188&lt;&gt;"Yes",0,Calcs!CF460)</f>
        <v>0</v>
      </c>
      <c r="D188" s="7">
        <f>IF($BL188&lt;&gt;"Yes",0,Calcs!CG460)</f>
        <v>0</v>
      </c>
      <c r="E188" s="7">
        <f>IF($BL188&lt;&gt;"Yes",0,Calcs!CH460)</f>
        <v>0</v>
      </c>
      <c r="F188" s="7">
        <f>IF($BL188&lt;&gt;"Yes",0,Calcs!CI460)</f>
        <v>0</v>
      </c>
      <c r="G188" s="7">
        <f>IF($BL188&lt;&gt;"Yes",0,Calcs!CJ460)</f>
        <v>0</v>
      </c>
      <c r="H188" s="40"/>
      <c r="I188" s="7">
        <f>IF($BL188&lt;&gt;"Yes",0,Calcs!CL460)</f>
        <v>0</v>
      </c>
      <c r="J188" s="7">
        <f>IF($BL188&lt;&gt;"Yes",0,Calcs!CM460)</f>
        <v>0</v>
      </c>
      <c r="K188" s="7">
        <f>IF($BL188&lt;&gt;"Yes",0,Calcs!CN460)</f>
        <v>0</v>
      </c>
      <c r="L188" s="7">
        <f>IF($BL188&lt;&gt;"Yes",0,Calcs!CO460)</f>
        <v>0</v>
      </c>
      <c r="M188" s="7">
        <f>IF($BL188&lt;&gt;"Yes",0,Calcs!CP460)</f>
        <v>0</v>
      </c>
      <c r="N188" s="7">
        <f>IF($BL188&lt;&gt;"Yes",0,Calcs!CQ460)</f>
        <v>0</v>
      </c>
      <c r="O188" s="7">
        <f>IF($BL188&lt;&gt;"Yes",0,Calcs!CR460)</f>
        <v>0</v>
      </c>
      <c r="P188" s="7">
        <f>IF($BL188&lt;&gt;"Yes",0,Calcs!CS460)</f>
        <v>0</v>
      </c>
      <c r="Q188" s="7">
        <f>IF($BL188&lt;&gt;"Yes",0,Calcs!CT460)</f>
        <v>0</v>
      </c>
      <c r="R188" s="7">
        <f>IF($BL188&lt;&gt;"Yes",0,Calcs!CU460)</f>
        <v>0</v>
      </c>
      <c r="S188" s="7">
        <f>IF($BL188&lt;&gt;"Yes",0,Calcs!CV460)</f>
        <v>0</v>
      </c>
      <c r="T188" s="7">
        <f>IF($BL188&lt;&gt;"Yes",0,Calcs!CW460)</f>
        <v>0</v>
      </c>
      <c r="U188" s="7">
        <f>IF($BL188&lt;&gt;"Yes",0,Calcs!CX460)</f>
        <v>0</v>
      </c>
      <c r="V188" s="7">
        <f>IF($BL188&lt;&gt;"Yes",0,Calcs!CY460)</f>
        <v>0</v>
      </c>
      <c r="W188" s="7">
        <f>IF($BL188&lt;&gt;"Yes",0,Calcs!CZ460)</f>
        <v>0</v>
      </c>
      <c r="X188" s="7">
        <f>IF($BL188&lt;&gt;"Yes",0,Calcs!DA460)</f>
        <v>0</v>
      </c>
      <c r="Y188" s="7">
        <f>IF($BL188&lt;&gt;"Yes",0,Calcs!DB460)</f>
        <v>0</v>
      </c>
      <c r="Z188" s="7">
        <f>IF($BL188&lt;&gt;"Yes",0,Calcs!DC460)</f>
        <v>0</v>
      </c>
      <c r="AA188" s="7">
        <f>IF($BL188&lt;&gt;"Yes",0,Calcs!DD460)</f>
        <v>0</v>
      </c>
      <c r="AB188" s="7">
        <f>IF($BL188&lt;&gt;"Yes",0,Calcs!DE460)</f>
        <v>0</v>
      </c>
      <c r="AC188" s="7">
        <f>IF($BL188&lt;&gt;"Yes",0,Calcs!DF460)</f>
        <v>0</v>
      </c>
      <c r="AD188" s="7">
        <f>IF($BL188&lt;&gt;"Yes",0,Calcs!DG460)</f>
        <v>0</v>
      </c>
      <c r="AE188" s="7">
        <f>IF($BL188&lt;&gt;"Yes",0,Calcs!DH460)</f>
        <v>0</v>
      </c>
      <c r="AF188" s="7">
        <f>IF($BL188&lt;&gt;"Yes",0,Calcs!DI460)</f>
        <v>0</v>
      </c>
      <c r="AG188" s="7">
        <f>IF($BL188&lt;&gt;"Yes",0,Calcs!DJ460)</f>
        <v>0</v>
      </c>
      <c r="AH188" s="7">
        <f>IF($BL188&lt;&gt;"Yes",0,Calcs!DK460)</f>
        <v>0</v>
      </c>
      <c r="AI188" s="7">
        <f>IF($BL188&lt;&gt;"Yes",0,Calcs!DL460)</f>
        <v>0</v>
      </c>
      <c r="AJ188" s="7">
        <f>IF($BL188&lt;&gt;"Yes",0,Calcs!DM460)</f>
        <v>0</v>
      </c>
      <c r="AK188" s="7">
        <f>IF($BL188&lt;&gt;"Yes",0,Calcs!DN460)</f>
        <v>0</v>
      </c>
      <c r="AL188" s="7">
        <f>IF($BL188&lt;&gt;"Yes",0,Calcs!DO460)</f>
        <v>0</v>
      </c>
      <c r="AM188" s="7">
        <f>IF($BL188&lt;&gt;"Yes",0,Calcs!DP460)</f>
        <v>0</v>
      </c>
      <c r="AN188" s="7">
        <f>IF($BL188&lt;&gt;"Yes",0,Calcs!DQ460)</f>
        <v>0</v>
      </c>
      <c r="AO188" s="7">
        <f>IF($BL188&lt;&gt;"Yes",0,Calcs!DR460)</f>
        <v>0</v>
      </c>
      <c r="AP188" s="7">
        <f>IF($BL188&lt;&gt;"Yes",0,Calcs!DS460)</f>
        <v>0</v>
      </c>
      <c r="AQ188" s="7">
        <f>IF($BL188&lt;&gt;"Yes",0,Calcs!DT460)</f>
        <v>0</v>
      </c>
      <c r="AR188" s="7">
        <f>IF($BL188&lt;&gt;"Yes",0,Calcs!DU460)</f>
        <v>0</v>
      </c>
      <c r="AS188" s="7">
        <f>IF($BL188&lt;&gt;"Yes",0,Calcs!DV460)</f>
        <v>0</v>
      </c>
      <c r="AT188" s="7">
        <f>IF($BL188&lt;&gt;"Yes",0,Calcs!DW460)</f>
        <v>0</v>
      </c>
      <c r="AU188" s="7">
        <f>IF($BL188&lt;&gt;"Yes",0,Calcs!DX460)</f>
        <v>0</v>
      </c>
      <c r="AV188" s="7">
        <f>IF($BL188&lt;&gt;"Yes",0,Calcs!DY460)</f>
        <v>0</v>
      </c>
      <c r="AW188" s="7">
        <f>IF($BL188&lt;&gt;"Yes",0,Calcs!DZ460)</f>
        <v>0</v>
      </c>
      <c r="AX188" s="7">
        <f>IF($BL188&lt;&gt;"Yes",0,Calcs!EA460)</f>
        <v>0</v>
      </c>
      <c r="AY188" s="7">
        <f>IF($BL188&lt;&gt;"Yes",0,Calcs!EB460)</f>
        <v>0</v>
      </c>
      <c r="AZ188" s="7">
        <f>IF($BL188&lt;&gt;"Yes",0,Calcs!EC460)</f>
        <v>0</v>
      </c>
      <c r="BA188" s="7">
        <f>IF($BL188&lt;&gt;"Yes",0,Calcs!ED460)</f>
        <v>0</v>
      </c>
      <c r="BB188" s="7">
        <f>IF($BL188&lt;&gt;"Yes",0,Calcs!EE460)</f>
        <v>0</v>
      </c>
      <c r="BC188" s="7">
        <f>IF($BL188&lt;&gt;"Yes",0,Calcs!EF460)</f>
        <v>0</v>
      </c>
      <c r="BD188" s="7">
        <f>IF($BL188&lt;&gt;"Yes",0,Calcs!EG460)</f>
        <v>0</v>
      </c>
      <c r="BE188" s="7">
        <f>IF($BL188&lt;&gt;"Yes",0,Calcs!EH460)</f>
        <v>0</v>
      </c>
      <c r="BF188" s="7">
        <f>IF($BL188&lt;&gt;"Yes",0,Calcs!EI460)</f>
        <v>0</v>
      </c>
      <c r="BG188" s="7">
        <f>IF($BL188&lt;&gt;"Yes",0,Calcs!EJ460)</f>
        <v>0</v>
      </c>
      <c r="BH188" s="7">
        <f>IF($BL188&lt;&gt;"Yes",0,Calcs!EK460)</f>
        <v>0</v>
      </c>
      <c r="BI188" s="7">
        <f>IF($BL188&lt;&gt;"Yes",0,Calcs!EL460)</f>
        <v>0</v>
      </c>
      <c r="BJ188" s="7">
        <f>IF($BL188&lt;&gt;"Yes",0,Calcs!EM460)</f>
        <v>0</v>
      </c>
    </row>
    <row r="189" spans="1:62" s="5" customFormat="1" ht="13" hidden="1" customHeight="1" x14ac:dyDescent="0.3">
      <c r="A189" s="6" t="str">
        <f>IF(AND(Calcs!CD461&lt;&gt;"",Calcs!CD461&lt;&gt;0),Calcs!CD461,"Operating Expense "&amp;Calcs!$BL189)</f>
        <v xml:space="preserve">Operating Expense </v>
      </c>
      <c r="B189" s="6" t="str">
        <f>IF(AND(Calcs!CE461&lt;&gt;"",Calcs!CE461&lt;&gt;0),Calcs!CE461,"Operating Expense "&amp;Calcs!Q461)</f>
        <v>Operating Expense 41</v>
      </c>
      <c r="C189" s="7">
        <f>IF($BL189&lt;&gt;"Yes",0,Calcs!CF461)</f>
        <v>0</v>
      </c>
      <c r="D189" s="7">
        <f>IF($BL189&lt;&gt;"Yes",0,Calcs!CG461)</f>
        <v>0</v>
      </c>
      <c r="E189" s="7">
        <f>IF($BL189&lt;&gt;"Yes",0,Calcs!CH461)</f>
        <v>0</v>
      </c>
      <c r="F189" s="7">
        <f>IF($BL189&lt;&gt;"Yes",0,Calcs!CI461)</f>
        <v>0</v>
      </c>
      <c r="G189" s="7">
        <f>IF($BL189&lt;&gt;"Yes",0,Calcs!CJ461)</f>
        <v>0</v>
      </c>
      <c r="H189" s="40"/>
      <c r="I189" s="7">
        <f>IF($BL189&lt;&gt;"Yes",0,Calcs!CL461)</f>
        <v>0</v>
      </c>
      <c r="J189" s="7">
        <f>IF($BL189&lt;&gt;"Yes",0,Calcs!CM461)</f>
        <v>0</v>
      </c>
      <c r="K189" s="7">
        <f>IF($BL189&lt;&gt;"Yes",0,Calcs!CN461)</f>
        <v>0</v>
      </c>
      <c r="L189" s="7">
        <f>IF($BL189&lt;&gt;"Yes",0,Calcs!CO461)</f>
        <v>0</v>
      </c>
      <c r="M189" s="7">
        <f>IF($BL189&lt;&gt;"Yes",0,Calcs!CP461)</f>
        <v>0</v>
      </c>
      <c r="N189" s="7">
        <f>IF($BL189&lt;&gt;"Yes",0,Calcs!CQ461)</f>
        <v>0</v>
      </c>
      <c r="O189" s="7">
        <f>IF($BL189&lt;&gt;"Yes",0,Calcs!CR461)</f>
        <v>0</v>
      </c>
      <c r="P189" s="7">
        <f>IF($BL189&lt;&gt;"Yes",0,Calcs!CS461)</f>
        <v>0</v>
      </c>
      <c r="Q189" s="7">
        <f>IF($BL189&lt;&gt;"Yes",0,Calcs!CT461)</f>
        <v>0</v>
      </c>
      <c r="R189" s="7">
        <f>IF($BL189&lt;&gt;"Yes",0,Calcs!CU461)</f>
        <v>0</v>
      </c>
      <c r="S189" s="7">
        <f>IF($BL189&lt;&gt;"Yes",0,Calcs!CV461)</f>
        <v>0</v>
      </c>
      <c r="T189" s="7">
        <f>IF($BL189&lt;&gt;"Yes",0,Calcs!CW461)</f>
        <v>0</v>
      </c>
      <c r="U189" s="7">
        <f>IF($BL189&lt;&gt;"Yes",0,Calcs!CX461)</f>
        <v>0</v>
      </c>
      <c r="V189" s="7">
        <f>IF($BL189&lt;&gt;"Yes",0,Calcs!CY461)</f>
        <v>0</v>
      </c>
      <c r="W189" s="7">
        <f>IF($BL189&lt;&gt;"Yes",0,Calcs!CZ461)</f>
        <v>0</v>
      </c>
      <c r="X189" s="7">
        <f>IF($BL189&lt;&gt;"Yes",0,Calcs!DA461)</f>
        <v>0</v>
      </c>
      <c r="Y189" s="7">
        <f>IF($BL189&lt;&gt;"Yes",0,Calcs!DB461)</f>
        <v>0</v>
      </c>
      <c r="Z189" s="7">
        <f>IF($BL189&lt;&gt;"Yes",0,Calcs!DC461)</f>
        <v>0</v>
      </c>
      <c r="AA189" s="7">
        <f>IF($BL189&lt;&gt;"Yes",0,Calcs!DD461)</f>
        <v>0</v>
      </c>
      <c r="AB189" s="7">
        <f>IF($BL189&lt;&gt;"Yes",0,Calcs!DE461)</f>
        <v>0</v>
      </c>
      <c r="AC189" s="7">
        <f>IF($BL189&lt;&gt;"Yes",0,Calcs!DF461)</f>
        <v>0</v>
      </c>
      <c r="AD189" s="7">
        <f>IF($BL189&lt;&gt;"Yes",0,Calcs!DG461)</f>
        <v>0</v>
      </c>
      <c r="AE189" s="7">
        <f>IF($BL189&lt;&gt;"Yes",0,Calcs!DH461)</f>
        <v>0</v>
      </c>
      <c r="AF189" s="7">
        <f>IF($BL189&lt;&gt;"Yes",0,Calcs!DI461)</f>
        <v>0</v>
      </c>
      <c r="AG189" s="7">
        <f>IF($BL189&lt;&gt;"Yes",0,Calcs!DJ461)</f>
        <v>0</v>
      </c>
      <c r="AH189" s="7">
        <f>IF($BL189&lt;&gt;"Yes",0,Calcs!DK461)</f>
        <v>0</v>
      </c>
      <c r="AI189" s="7">
        <f>IF($BL189&lt;&gt;"Yes",0,Calcs!DL461)</f>
        <v>0</v>
      </c>
      <c r="AJ189" s="7">
        <f>IF($BL189&lt;&gt;"Yes",0,Calcs!DM461)</f>
        <v>0</v>
      </c>
      <c r="AK189" s="7">
        <f>IF($BL189&lt;&gt;"Yes",0,Calcs!DN461)</f>
        <v>0</v>
      </c>
      <c r="AL189" s="7">
        <f>IF($BL189&lt;&gt;"Yes",0,Calcs!DO461)</f>
        <v>0</v>
      </c>
      <c r="AM189" s="7">
        <f>IF($BL189&lt;&gt;"Yes",0,Calcs!DP461)</f>
        <v>0</v>
      </c>
      <c r="AN189" s="7">
        <f>IF($BL189&lt;&gt;"Yes",0,Calcs!DQ461)</f>
        <v>0</v>
      </c>
      <c r="AO189" s="7">
        <f>IF($BL189&lt;&gt;"Yes",0,Calcs!DR461)</f>
        <v>0</v>
      </c>
      <c r="AP189" s="7">
        <f>IF($BL189&lt;&gt;"Yes",0,Calcs!DS461)</f>
        <v>0</v>
      </c>
      <c r="AQ189" s="7">
        <f>IF($BL189&lt;&gt;"Yes",0,Calcs!DT461)</f>
        <v>0</v>
      </c>
      <c r="AR189" s="7">
        <f>IF($BL189&lt;&gt;"Yes",0,Calcs!DU461)</f>
        <v>0</v>
      </c>
      <c r="AS189" s="7">
        <f>IF($BL189&lt;&gt;"Yes",0,Calcs!DV461)</f>
        <v>0</v>
      </c>
      <c r="AT189" s="7">
        <f>IF($BL189&lt;&gt;"Yes",0,Calcs!DW461)</f>
        <v>0</v>
      </c>
      <c r="AU189" s="7">
        <f>IF($BL189&lt;&gt;"Yes",0,Calcs!DX461)</f>
        <v>0</v>
      </c>
      <c r="AV189" s="7">
        <f>IF($BL189&lt;&gt;"Yes",0,Calcs!DY461)</f>
        <v>0</v>
      </c>
      <c r="AW189" s="7">
        <f>IF($BL189&lt;&gt;"Yes",0,Calcs!DZ461)</f>
        <v>0</v>
      </c>
      <c r="AX189" s="7">
        <f>IF($BL189&lt;&gt;"Yes",0,Calcs!EA461)</f>
        <v>0</v>
      </c>
      <c r="AY189" s="7">
        <f>IF($BL189&lt;&gt;"Yes",0,Calcs!EB461)</f>
        <v>0</v>
      </c>
      <c r="AZ189" s="7">
        <f>IF($BL189&lt;&gt;"Yes",0,Calcs!EC461)</f>
        <v>0</v>
      </c>
      <c r="BA189" s="7">
        <f>IF($BL189&lt;&gt;"Yes",0,Calcs!ED461)</f>
        <v>0</v>
      </c>
      <c r="BB189" s="7">
        <f>IF($BL189&lt;&gt;"Yes",0,Calcs!EE461)</f>
        <v>0</v>
      </c>
      <c r="BC189" s="7">
        <f>IF($BL189&lt;&gt;"Yes",0,Calcs!EF461)</f>
        <v>0</v>
      </c>
      <c r="BD189" s="7">
        <f>IF($BL189&lt;&gt;"Yes",0,Calcs!EG461)</f>
        <v>0</v>
      </c>
      <c r="BE189" s="7">
        <f>IF($BL189&lt;&gt;"Yes",0,Calcs!EH461)</f>
        <v>0</v>
      </c>
      <c r="BF189" s="7">
        <f>IF($BL189&lt;&gt;"Yes",0,Calcs!EI461)</f>
        <v>0</v>
      </c>
      <c r="BG189" s="7">
        <f>IF($BL189&lt;&gt;"Yes",0,Calcs!EJ461)</f>
        <v>0</v>
      </c>
      <c r="BH189" s="7">
        <f>IF($BL189&lt;&gt;"Yes",0,Calcs!EK461)</f>
        <v>0</v>
      </c>
      <c r="BI189" s="7">
        <f>IF($BL189&lt;&gt;"Yes",0,Calcs!EL461)</f>
        <v>0</v>
      </c>
      <c r="BJ189" s="7">
        <f>IF($BL189&lt;&gt;"Yes",0,Calcs!EM461)</f>
        <v>0</v>
      </c>
    </row>
    <row r="190" spans="1:62" s="5" customFormat="1" ht="13" hidden="1" customHeight="1" x14ac:dyDescent="0.3">
      <c r="A190" s="6" t="str">
        <f>IF(AND(Calcs!CD462&lt;&gt;"",Calcs!CD462&lt;&gt;0),Calcs!CD462,"Operating Expense "&amp;Calcs!$BL190)</f>
        <v>Operating Expense 0</v>
      </c>
      <c r="B190" s="6" t="str">
        <f>IF(AND(Calcs!CE462&lt;&gt;"",Calcs!CE462&lt;&gt;0),Calcs!CE462,"Operating Expense "&amp;Calcs!Q462)</f>
        <v>Operating Expense 42</v>
      </c>
      <c r="C190" s="7">
        <f>IF($BL190&lt;&gt;"Yes",0,Calcs!CF462)</f>
        <v>0</v>
      </c>
      <c r="D190" s="7">
        <f>IF($BL190&lt;&gt;"Yes",0,Calcs!CG462)</f>
        <v>0</v>
      </c>
      <c r="E190" s="7">
        <f>IF($BL190&lt;&gt;"Yes",0,Calcs!CH462)</f>
        <v>0</v>
      </c>
      <c r="F190" s="7">
        <f>IF($BL190&lt;&gt;"Yes",0,Calcs!CI462)</f>
        <v>0</v>
      </c>
      <c r="G190" s="7">
        <f>IF($BL190&lt;&gt;"Yes",0,Calcs!CJ462)</f>
        <v>0</v>
      </c>
      <c r="H190" s="40"/>
      <c r="I190" s="7">
        <f>IF($BL190&lt;&gt;"Yes",0,Calcs!CL462)</f>
        <v>0</v>
      </c>
      <c r="J190" s="7">
        <f>IF($BL190&lt;&gt;"Yes",0,Calcs!CM462)</f>
        <v>0</v>
      </c>
      <c r="K190" s="7">
        <f>IF($BL190&lt;&gt;"Yes",0,Calcs!CN462)</f>
        <v>0</v>
      </c>
      <c r="L190" s="7">
        <f>IF($BL190&lt;&gt;"Yes",0,Calcs!CO462)</f>
        <v>0</v>
      </c>
      <c r="M190" s="7">
        <f>IF($BL190&lt;&gt;"Yes",0,Calcs!CP462)</f>
        <v>0</v>
      </c>
      <c r="N190" s="7">
        <f>IF($BL190&lt;&gt;"Yes",0,Calcs!CQ462)</f>
        <v>0</v>
      </c>
      <c r="O190" s="7">
        <f>IF($BL190&lt;&gt;"Yes",0,Calcs!CR462)</f>
        <v>0</v>
      </c>
      <c r="P190" s="7">
        <f>IF($BL190&lt;&gt;"Yes",0,Calcs!CS462)</f>
        <v>0</v>
      </c>
      <c r="Q190" s="7">
        <f>IF($BL190&lt;&gt;"Yes",0,Calcs!CT462)</f>
        <v>0</v>
      </c>
      <c r="R190" s="7">
        <f>IF($BL190&lt;&gt;"Yes",0,Calcs!CU462)</f>
        <v>0</v>
      </c>
      <c r="S190" s="7">
        <f>IF($BL190&lt;&gt;"Yes",0,Calcs!CV462)</f>
        <v>0</v>
      </c>
      <c r="T190" s="7">
        <f>IF($BL190&lt;&gt;"Yes",0,Calcs!CW462)</f>
        <v>0</v>
      </c>
      <c r="U190" s="7">
        <f>IF($BL190&lt;&gt;"Yes",0,Calcs!CX462)</f>
        <v>0</v>
      </c>
      <c r="V190" s="7">
        <f>IF($BL190&lt;&gt;"Yes",0,Calcs!CY462)</f>
        <v>0</v>
      </c>
      <c r="W190" s="7">
        <f>IF($BL190&lt;&gt;"Yes",0,Calcs!CZ462)</f>
        <v>0</v>
      </c>
      <c r="X190" s="7">
        <f>IF($BL190&lt;&gt;"Yes",0,Calcs!DA462)</f>
        <v>0</v>
      </c>
      <c r="Y190" s="7">
        <f>IF($BL190&lt;&gt;"Yes",0,Calcs!DB462)</f>
        <v>0</v>
      </c>
      <c r="Z190" s="7">
        <f>IF($BL190&lt;&gt;"Yes",0,Calcs!DC462)</f>
        <v>0</v>
      </c>
      <c r="AA190" s="7">
        <f>IF($BL190&lt;&gt;"Yes",0,Calcs!DD462)</f>
        <v>0</v>
      </c>
      <c r="AB190" s="7">
        <f>IF($BL190&lt;&gt;"Yes",0,Calcs!DE462)</f>
        <v>0</v>
      </c>
      <c r="AC190" s="7">
        <f>IF($BL190&lt;&gt;"Yes",0,Calcs!DF462)</f>
        <v>0</v>
      </c>
      <c r="AD190" s="7">
        <f>IF($BL190&lt;&gt;"Yes",0,Calcs!DG462)</f>
        <v>0</v>
      </c>
      <c r="AE190" s="7">
        <f>IF($BL190&lt;&gt;"Yes",0,Calcs!DH462)</f>
        <v>0</v>
      </c>
      <c r="AF190" s="7">
        <f>IF($BL190&lt;&gt;"Yes",0,Calcs!DI462)</f>
        <v>0</v>
      </c>
      <c r="AG190" s="7">
        <f>IF($BL190&lt;&gt;"Yes",0,Calcs!DJ462)</f>
        <v>0</v>
      </c>
      <c r="AH190" s="7">
        <f>IF($BL190&lt;&gt;"Yes",0,Calcs!DK462)</f>
        <v>0</v>
      </c>
      <c r="AI190" s="7">
        <f>IF($BL190&lt;&gt;"Yes",0,Calcs!DL462)</f>
        <v>0</v>
      </c>
      <c r="AJ190" s="7">
        <f>IF($BL190&lt;&gt;"Yes",0,Calcs!DM462)</f>
        <v>0</v>
      </c>
      <c r="AK190" s="7">
        <f>IF($BL190&lt;&gt;"Yes",0,Calcs!DN462)</f>
        <v>0</v>
      </c>
      <c r="AL190" s="7">
        <f>IF($BL190&lt;&gt;"Yes",0,Calcs!DO462)</f>
        <v>0</v>
      </c>
      <c r="AM190" s="7">
        <f>IF($BL190&lt;&gt;"Yes",0,Calcs!DP462)</f>
        <v>0</v>
      </c>
      <c r="AN190" s="7">
        <f>IF($BL190&lt;&gt;"Yes",0,Calcs!DQ462)</f>
        <v>0</v>
      </c>
      <c r="AO190" s="7">
        <f>IF($BL190&lt;&gt;"Yes",0,Calcs!DR462)</f>
        <v>0</v>
      </c>
      <c r="AP190" s="7">
        <f>IF($BL190&lt;&gt;"Yes",0,Calcs!DS462)</f>
        <v>0</v>
      </c>
      <c r="AQ190" s="7">
        <f>IF($BL190&lt;&gt;"Yes",0,Calcs!DT462)</f>
        <v>0</v>
      </c>
      <c r="AR190" s="7">
        <f>IF($BL190&lt;&gt;"Yes",0,Calcs!DU462)</f>
        <v>0</v>
      </c>
      <c r="AS190" s="7">
        <f>IF($BL190&lt;&gt;"Yes",0,Calcs!DV462)</f>
        <v>0</v>
      </c>
      <c r="AT190" s="7">
        <f>IF($BL190&lt;&gt;"Yes",0,Calcs!DW462)</f>
        <v>0</v>
      </c>
      <c r="AU190" s="7">
        <f>IF($BL190&lt;&gt;"Yes",0,Calcs!DX462)</f>
        <v>0</v>
      </c>
      <c r="AV190" s="7">
        <f>IF($BL190&lt;&gt;"Yes",0,Calcs!DY462)</f>
        <v>0</v>
      </c>
      <c r="AW190" s="7">
        <f>IF($BL190&lt;&gt;"Yes",0,Calcs!DZ462)</f>
        <v>0</v>
      </c>
      <c r="AX190" s="7">
        <f>IF($BL190&lt;&gt;"Yes",0,Calcs!EA462)</f>
        <v>0</v>
      </c>
      <c r="AY190" s="7">
        <f>IF($BL190&lt;&gt;"Yes",0,Calcs!EB462)</f>
        <v>0</v>
      </c>
      <c r="AZ190" s="7">
        <f>IF($BL190&lt;&gt;"Yes",0,Calcs!EC462)</f>
        <v>0</v>
      </c>
      <c r="BA190" s="7">
        <f>IF($BL190&lt;&gt;"Yes",0,Calcs!ED462)</f>
        <v>0</v>
      </c>
      <c r="BB190" s="7">
        <f>IF($BL190&lt;&gt;"Yes",0,Calcs!EE462)</f>
        <v>0</v>
      </c>
      <c r="BC190" s="7">
        <f>IF($BL190&lt;&gt;"Yes",0,Calcs!EF462)</f>
        <v>0</v>
      </c>
      <c r="BD190" s="7">
        <f>IF($BL190&lt;&gt;"Yes",0,Calcs!EG462)</f>
        <v>0</v>
      </c>
      <c r="BE190" s="7">
        <f>IF($BL190&lt;&gt;"Yes",0,Calcs!EH462)</f>
        <v>0</v>
      </c>
      <c r="BF190" s="7">
        <f>IF($BL190&lt;&gt;"Yes",0,Calcs!EI462)</f>
        <v>0</v>
      </c>
      <c r="BG190" s="7">
        <f>IF($BL190&lt;&gt;"Yes",0,Calcs!EJ462)</f>
        <v>0</v>
      </c>
      <c r="BH190" s="7">
        <f>IF($BL190&lt;&gt;"Yes",0,Calcs!EK462)</f>
        <v>0</v>
      </c>
      <c r="BI190" s="7">
        <f>IF($BL190&lt;&gt;"Yes",0,Calcs!EL462)</f>
        <v>0</v>
      </c>
      <c r="BJ190" s="7">
        <f>IF($BL190&lt;&gt;"Yes",0,Calcs!EM462)</f>
        <v>0</v>
      </c>
    </row>
    <row r="191" spans="1:62" s="5" customFormat="1" ht="13" hidden="1" customHeight="1" x14ac:dyDescent="0.3">
      <c r="A191" s="6" t="str">
        <f>IF(AND(Calcs!CD463&lt;&gt;"",Calcs!CD463&lt;&gt;0),Calcs!CD463,"Operating Expense "&amp;Calcs!$BL191)</f>
        <v xml:space="preserve">Operating Expense </v>
      </c>
      <c r="B191" s="6" t="str">
        <f>IF(AND(Calcs!CE463&lt;&gt;"",Calcs!CE463&lt;&gt;0),Calcs!CE463,"Operating Expense "&amp;Calcs!Q463)</f>
        <v>Operating Expense 43</v>
      </c>
      <c r="C191" s="7">
        <f>IF($BL191&lt;&gt;"Yes",0,Calcs!CF463)</f>
        <v>0</v>
      </c>
      <c r="D191" s="7">
        <f>IF($BL191&lt;&gt;"Yes",0,Calcs!CG463)</f>
        <v>0</v>
      </c>
      <c r="E191" s="7">
        <f>IF($BL191&lt;&gt;"Yes",0,Calcs!CH463)</f>
        <v>0</v>
      </c>
      <c r="F191" s="7">
        <f>IF($BL191&lt;&gt;"Yes",0,Calcs!CI463)</f>
        <v>0</v>
      </c>
      <c r="G191" s="7">
        <f>IF($BL191&lt;&gt;"Yes",0,Calcs!CJ463)</f>
        <v>0</v>
      </c>
      <c r="H191" s="40"/>
      <c r="I191" s="7">
        <f>IF($BL191&lt;&gt;"Yes",0,Calcs!CL463)</f>
        <v>0</v>
      </c>
      <c r="J191" s="7">
        <f>IF($BL191&lt;&gt;"Yes",0,Calcs!CM463)</f>
        <v>0</v>
      </c>
      <c r="K191" s="7">
        <f>IF($BL191&lt;&gt;"Yes",0,Calcs!CN463)</f>
        <v>0</v>
      </c>
      <c r="L191" s="7">
        <f>IF($BL191&lt;&gt;"Yes",0,Calcs!CO463)</f>
        <v>0</v>
      </c>
      <c r="M191" s="7">
        <f>IF($BL191&lt;&gt;"Yes",0,Calcs!CP463)</f>
        <v>0</v>
      </c>
      <c r="N191" s="7">
        <f>IF($BL191&lt;&gt;"Yes",0,Calcs!CQ463)</f>
        <v>0</v>
      </c>
      <c r="O191" s="7">
        <f>IF($BL191&lt;&gt;"Yes",0,Calcs!CR463)</f>
        <v>0</v>
      </c>
      <c r="P191" s="7">
        <f>IF($BL191&lt;&gt;"Yes",0,Calcs!CS463)</f>
        <v>0</v>
      </c>
      <c r="Q191" s="7">
        <f>IF($BL191&lt;&gt;"Yes",0,Calcs!CT463)</f>
        <v>0</v>
      </c>
      <c r="R191" s="7">
        <f>IF($BL191&lt;&gt;"Yes",0,Calcs!CU463)</f>
        <v>0</v>
      </c>
      <c r="S191" s="7">
        <f>IF($BL191&lt;&gt;"Yes",0,Calcs!CV463)</f>
        <v>0</v>
      </c>
      <c r="T191" s="7">
        <f>IF($BL191&lt;&gt;"Yes",0,Calcs!CW463)</f>
        <v>0</v>
      </c>
      <c r="U191" s="7">
        <f>IF($BL191&lt;&gt;"Yes",0,Calcs!CX463)</f>
        <v>0</v>
      </c>
      <c r="V191" s="7">
        <f>IF($BL191&lt;&gt;"Yes",0,Calcs!CY463)</f>
        <v>0</v>
      </c>
      <c r="W191" s="7">
        <f>IF($BL191&lt;&gt;"Yes",0,Calcs!CZ463)</f>
        <v>0</v>
      </c>
      <c r="X191" s="7">
        <f>IF($BL191&lt;&gt;"Yes",0,Calcs!DA463)</f>
        <v>0</v>
      </c>
      <c r="Y191" s="7">
        <f>IF($BL191&lt;&gt;"Yes",0,Calcs!DB463)</f>
        <v>0</v>
      </c>
      <c r="Z191" s="7">
        <f>IF($BL191&lt;&gt;"Yes",0,Calcs!DC463)</f>
        <v>0</v>
      </c>
      <c r="AA191" s="7">
        <f>IF($BL191&lt;&gt;"Yes",0,Calcs!DD463)</f>
        <v>0</v>
      </c>
      <c r="AB191" s="7">
        <f>IF($BL191&lt;&gt;"Yes",0,Calcs!DE463)</f>
        <v>0</v>
      </c>
      <c r="AC191" s="7">
        <f>IF($BL191&lt;&gt;"Yes",0,Calcs!DF463)</f>
        <v>0</v>
      </c>
      <c r="AD191" s="7">
        <f>IF($BL191&lt;&gt;"Yes",0,Calcs!DG463)</f>
        <v>0</v>
      </c>
      <c r="AE191" s="7">
        <f>IF($BL191&lt;&gt;"Yes",0,Calcs!DH463)</f>
        <v>0</v>
      </c>
      <c r="AF191" s="7">
        <f>IF($BL191&lt;&gt;"Yes",0,Calcs!DI463)</f>
        <v>0</v>
      </c>
      <c r="AG191" s="7">
        <f>IF($BL191&lt;&gt;"Yes",0,Calcs!DJ463)</f>
        <v>0</v>
      </c>
      <c r="AH191" s="7">
        <f>IF($BL191&lt;&gt;"Yes",0,Calcs!DK463)</f>
        <v>0</v>
      </c>
      <c r="AI191" s="7">
        <f>IF($BL191&lt;&gt;"Yes",0,Calcs!DL463)</f>
        <v>0</v>
      </c>
      <c r="AJ191" s="7">
        <f>IF($BL191&lt;&gt;"Yes",0,Calcs!DM463)</f>
        <v>0</v>
      </c>
      <c r="AK191" s="7">
        <f>IF($BL191&lt;&gt;"Yes",0,Calcs!DN463)</f>
        <v>0</v>
      </c>
      <c r="AL191" s="7">
        <f>IF($BL191&lt;&gt;"Yes",0,Calcs!DO463)</f>
        <v>0</v>
      </c>
      <c r="AM191" s="7">
        <f>IF($BL191&lt;&gt;"Yes",0,Calcs!DP463)</f>
        <v>0</v>
      </c>
      <c r="AN191" s="7">
        <f>IF($BL191&lt;&gt;"Yes",0,Calcs!DQ463)</f>
        <v>0</v>
      </c>
      <c r="AO191" s="7">
        <f>IF($BL191&lt;&gt;"Yes",0,Calcs!DR463)</f>
        <v>0</v>
      </c>
      <c r="AP191" s="7">
        <f>IF($BL191&lt;&gt;"Yes",0,Calcs!DS463)</f>
        <v>0</v>
      </c>
      <c r="AQ191" s="7">
        <f>IF($BL191&lt;&gt;"Yes",0,Calcs!DT463)</f>
        <v>0</v>
      </c>
      <c r="AR191" s="7">
        <f>IF($BL191&lt;&gt;"Yes",0,Calcs!DU463)</f>
        <v>0</v>
      </c>
      <c r="AS191" s="7">
        <f>IF($BL191&lt;&gt;"Yes",0,Calcs!DV463)</f>
        <v>0</v>
      </c>
      <c r="AT191" s="7">
        <f>IF($BL191&lt;&gt;"Yes",0,Calcs!DW463)</f>
        <v>0</v>
      </c>
      <c r="AU191" s="7">
        <f>IF($BL191&lt;&gt;"Yes",0,Calcs!DX463)</f>
        <v>0</v>
      </c>
      <c r="AV191" s="7">
        <f>IF($BL191&lt;&gt;"Yes",0,Calcs!DY463)</f>
        <v>0</v>
      </c>
      <c r="AW191" s="7">
        <f>IF($BL191&lt;&gt;"Yes",0,Calcs!DZ463)</f>
        <v>0</v>
      </c>
      <c r="AX191" s="7">
        <f>IF($BL191&lt;&gt;"Yes",0,Calcs!EA463)</f>
        <v>0</v>
      </c>
      <c r="AY191" s="7">
        <f>IF($BL191&lt;&gt;"Yes",0,Calcs!EB463)</f>
        <v>0</v>
      </c>
      <c r="AZ191" s="7">
        <f>IF($BL191&lt;&gt;"Yes",0,Calcs!EC463)</f>
        <v>0</v>
      </c>
      <c r="BA191" s="7">
        <f>IF($BL191&lt;&gt;"Yes",0,Calcs!ED463)</f>
        <v>0</v>
      </c>
      <c r="BB191" s="7">
        <f>IF($BL191&lt;&gt;"Yes",0,Calcs!EE463)</f>
        <v>0</v>
      </c>
      <c r="BC191" s="7">
        <f>IF($BL191&lt;&gt;"Yes",0,Calcs!EF463)</f>
        <v>0</v>
      </c>
      <c r="BD191" s="7">
        <f>IF($BL191&lt;&gt;"Yes",0,Calcs!EG463)</f>
        <v>0</v>
      </c>
      <c r="BE191" s="7">
        <f>IF($BL191&lt;&gt;"Yes",0,Calcs!EH463)</f>
        <v>0</v>
      </c>
      <c r="BF191" s="7">
        <f>IF($BL191&lt;&gt;"Yes",0,Calcs!EI463)</f>
        <v>0</v>
      </c>
      <c r="BG191" s="7">
        <f>IF($BL191&lt;&gt;"Yes",0,Calcs!EJ463)</f>
        <v>0</v>
      </c>
      <c r="BH191" s="7">
        <f>IF($BL191&lt;&gt;"Yes",0,Calcs!EK463)</f>
        <v>0</v>
      </c>
      <c r="BI191" s="7">
        <f>IF($BL191&lt;&gt;"Yes",0,Calcs!EL463)</f>
        <v>0</v>
      </c>
      <c r="BJ191" s="7">
        <f>IF($BL191&lt;&gt;"Yes",0,Calcs!EM463)</f>
        <v>0</v>
      </c>
    </row>
    <row r="192" spans="1:62" s="5" customFormat="1" ht="13" hidden="1" customHeight="1" x14ac:dyDescent="0.3">
      <c r="A192" s="6" t="str">
        <f>IF(AND(Calcs!CD464&lt;&gt;"",Calcs!CD464&lt;&gt;0),Calcs!CD464,"Operating Expense "&amp;Calcs!$BL192)</f>
        <v>Operating Expense 0</v>
      </c>
      <c r="B192" s="6" t="str">
        <f>IF(AND(Calcs!CE464&lt;&gt;"",Calcs!CE464&lt;&gt;0),Calcs!CE464,"Operating Expense "&amp;Calcs!Q464)</f>
        <v>Operating Expense 44</v>
      </c>
      <c r="C192" s="7">
        <f>IF($BL192&lt;&gt;"Yes",0,Calcs!CF464)</f>
        <v>0</v>
      </c>
      <c r="D192" s="7">
        <f>IF($BL192&lt;&gt;"Yes",0,Calcs!CG464)</f>
        <v>0</v>
      </c>
      <c r="E192" s="7">
        <f>IF($BL192&lt;&gt;"Yes",0,Calcs!CH464)</f>
        <v>0</v>
      </c>
      <c r="F192" s="7">
        <f>IF($BL192&lt;&gt;"Yes",0,Calcs!CI464)</f>
        <v>0</v>
      </c>
      <c r="G192" s="7">
        <f>IF($BL192&lt;&gt;"Yes",0,Calcs!CJ464)</f>
        <v>0</v>
      </c>
      <c r="H192" s="40"/>
      <c r="I192" s="7">
        <f>IF($BL192&lt;&gt;"Yes",0,Calcs!CL464)</f>
        <v>0</v>
      </c>
      <c r="J192" s="7">
        <f>IF($BL192&lt;&gt;"Yes",0,Calcs!CM464)</f>
        <v>0</v>
      </c>
      <c r="K192" s="7">
        <f>IF($BL192&lt;&gt;"Yes",0,Calcs!CN464)</f>
        <v>0</v>
      </c>
      <c r="L192" s="7">
        <f>IF($BL192&lt;&gt;"Yes",0,Calcs!CO464)</f>
        <v>0</v>
      </c>
      <c r="M192" s="7">
        <f>IF($BL192&lt;&gt;"Yes",0,Calcs!CP464)</f>
        <v>0</v>
      </c>
      <c r="N192" s="7">
        <f>IF($BL192&lt;&gt;"Yes",0,Calcs!CQ464)</f>
        <v>0</v>
      </c>
      <c r="O192" s="7">
        <f>IF($BL192&lt;&gt;"Yes",0,Calcs!CR464)</f>
        <v>0</v>
      </c>
      <c r="P192" s="7">
        <f>IF($BL192&lt;&gt;"Yes",0,Calcs!CS464)</f>
        <v>0</v>
      </c>
      <c r="Q192" s="7">
        <f>IF($BL192&lt;&gt;"Yes",0,Calcs!CT464)</f>
        <v>0</v>
      </c>
      <c r="R192" s="7">
        <f>IF($BL192&lt;&gt;"Yes",0,Calcs!CU464)</f>
        <v>0</v>
      </c>
      <c r="S192" s="7">
        <f>IF($BL192&lt;&gt;"Yes",0,Calcs!CV464)</f>
        <v>0</v>
      </c>
      <c r="T192" s="7">
        <f>IF($BL192&lt;&gt;"Yes",0,Calcs!CW464)</f>
        <v>0</v>
      </c>
      <c r="U192" s="7">
        <f>IF($BL192&lt;&gt;"Yes",0,Calcs!CX464)</f>
        <v>0</v>
      </c>
      <c r="V192" s="7">
        <f>IF($BL192&lt;&gt;"Yes",0,Calcs!CY464)</f>
        <v>0</v>
      </c>
      <c r="W192" s="7">
        <f>IF($BL192&lt;&gt;"Yes",0,Calcs!CZ464)</f>
        <v>0</v>
      </c>
      <c r="X192" s="7">
        <f>IF($BL192&lt;&gt;"Yes",0,Calcs!DA464)</f>
        <v>0</v>
      </c>
      <c r="Y192" s="7">
        <f>IF($BL192&lt;&gt;"Yes",0,Calcs!DB464)</f>
        <v>0</v>
      </c>
      <c r="Z192" s="7">
        <f>IF($BL192&lt;&gt;"Yes",0,Calcs!DC464)</f>
        <v>0</v>
      </c>
      <c r="AA192" s="7">
        <f>IF($BL192&lt;&gt;"Yes",0,Calcs!DD464)</f>
        <v>0</v>
      </c>
      <c r="AB192" s="7">
        <f>IF($BL192&lt;&gt;"Yes",0,Calcs!DE464)</f>
        <v>0</v>
      </c>
      <c r="AC192" s="7">
        <f>IF($BL192&lt;&gt;"Yes",0,Calcs!DF464)</f>
        <v>0</v>
      </c>
      <c r="AD192" s="7">
        <f>IF($BL192&lt;&gt;"Yes",0,Calcs!DG464)</f>
        <v>0</v>
      </c>
      <c r="AE192" s="7">
        <f>IF($BL192&lt;&gt;"Yes",0,Calcs!DH464)</f>
        <v>0</v>
      </c>
      <c r="AF192" s="7">
        <f>IF($BL192&lt;&gt;"Yes",0,Calcs!DI464)</f>
        <v>0</v>
      </c>
      <c r="AG192" s="7">
        <f>IF($BL192&lt;&gt;"Yes",0,Calcs!DJ464)</f>
        <v>0</v>
      </c>
      <c r="AH192" s="7">
        <f>IF($BL192&lt;&gt;"Yes",0,Calcs!DK464)</f>
        <v>0</v>
      </c>
      <c r="AI192" s="7">
        <f>IF($BL192&lt;&gt;"Yes",0,Calcs!DL464)</f>
        <v>0</v>
      </c>
      <c r="AJ192" s="7">
        <f>IF($BL192&lt;&gt;"Yes",0,Calcs!DM464)</f>
        <v>0</v>
      </c>
      <c r="AK192" s="7">
        <f>IF($BL192&lt;&gt;"Yes",0,Calcs!DN464)</f>
        <v>0</v>
      </c>
      <c r="AL192" s="7">
        <f>IF($BL192&lt;&gt;"Yes",0,Calcs!DO464)</f>
        <v>0</v>
      </c>
      <c r="AM192" s="7">
        <f>IF($BL192&lt;&gt;"Yes",0,Calcs!DP464)</f>
        <v>0</v>
      </c>
      <c r="AN192" s="7">
        <f>IF($BL192&lt;&gt;"Yes",0,Calcs!DQ464)</f>
        <v>0</v>
      </c>
      <c r="AO192" s="7">
        <f>IF($BL192&lt;&gt;"Yes",0,Calcs!DR464)</f>
        <v>0</v>
      </c>
      <c r="AP192" s="7">
        <f>IF($BL192&lt;&gt;"Yes",0,Calcs!DS464)</f>
        <v>0</v>
      </c>
      <c r="AQ192" s="7">
        <f>IF($BL192&lt;&gt;"Yes",0,Calcs!DT464)</f>
        <v>0</v>
      </c>
      <c r="AR192" s="7">
        <f>IF($BL192&lt;&gt;"Yes",0,Calcs!DU464)</f>
        <v>0</v>
      </c>
      <c r="AS192" s="7">
        <f>IF($BL192&lt;&gt;"Yes",0,Calcs!DV464)</f>
        <v>0</v>
      </c>
      <c r="AT192" s="7">
        <f>IF($BL192&lt;&gt;"Yes",0,Calcs!DW464)</f>
        <v>0</v>
      </c>
      <c r="AU192" s="7">
        <f>IF($BL192&lt;&gt;"Yes",0,Calcs!DX464)</f>
        <v>0</v>
      </c>
      <c r="AV192" s="7">
        <f>IF($BL192&lt;&gt;"Yes",0,Calcs!DY464)</f>
        <v>0</v>
      </c>
      <c r="AW192" s="7">
        <f>IF($BL192&lt;&gt;"Yes",0,Calcs!DZ464)</f>
        <v>0</v>
      </c>
      <c r="AX192" s="7">
        <f>IF($BL192&lt;&gt;"Yes",0,Calcs!EA464)</f>
        <v>0</v>
      </c>
      <c r="AY192" s="7">
        <f>IF($BL192&lt;&gt;"Yes",0,Calcs!EB464)</f>
        <v>0</v>
      </c>
      <c r="AZ192" s="7">
        <f>IF($BL192&lt;&gt;"Yes",0,Calcs!EC464)</f>
        <v>0</v>
      </c>
      <c r="BA192" s="7">
        <f>IF($BL192&lt;&gt;"Yes",0,Calcs!ED464)</f>
        <v>0</v>
      </c>
      <c r="BB192" s="7">
        <f>IF($BL192&lt;&gt;"Yes",0,Calcs!EE464)</f>
        <v>0</v>
      </c>
      <c r="BC192" s="7">
        <f>IF($BL192&lt;&gt;"Yes",0,Calcs!EF464)</f>
        <v>0</v>
      </c>
      <c r="BD192" s="7">
        <f>IF($BL192&lt;&gt;"Yes",0,Calcs!EG464)</f>
        <v>0</v>
      </c>
      <c r="BE192" s="7">
        <f>IF($BL192&lt;&gt;"Yes",0,Calcs!EH464)</f>
        <v>0</v>
      </c>
      <c r="BF192" s="7">
        <f>IF($BL192&lt;&gt;"Yes",0,Calcs!EI464)</f>
        <v>0</v>
      </c>
      <c r="BG192" s="7">
        <f>IF($BL192&lt;&gt;"Yes",0,Calcs!EJ464)</f>
        <v>0</v>
      </c>
      <c r="BH192" s="7">
        <f>IF($BL192&lt;&gt;"Yes",0,Calcs!EK464)</f>
        <v>0</v>
      </c>
      <c r="BI192" s="7">
        <f>IF($BL192&lt;&gt;"Yes",0,Calcs!EL464)</f>
        <v>0</v>
      </c>
      <c r="BJ192" s="7">
        <f>IF($BL192&lt;&gt;"Yes",0,Calcs!EM464)</f>
        <v>0</v>
      </c>
    </row>
    <row r="193" spans="1:62" s="5" customFormat="1" ht="13" hidden="1" customHeight="1" x14ac:dyDescent="0.3">
      <c r="A193" s="6" t="str">
        <f>IF(AND(Calcs!CD465&lt;&gt;"",Calcs!CD465&lt;&gt;0),Calcs!CD465,"Operating Expense "&amp;Calcs!$BL193)</f>
        <v xml:space="preserve">Operating Expense </v>
      </c>
      <c r="B193" s="6" t="str">
        <f>IF(AND(Calcs!CE465&lt;&gt;"",Calcs!CE465&lt;&gt;0),Calcs!CE465,"Operating Expense "&amp;Calcs!Q465)</f>
        <v>Operating Expense 45</v>
      </c>
      <c r="C193" s="7">
        <f>IF($BL193&lt;&gt;"Yes",0,Calcs!CF465)</f>
        <v>0</v>
      </c>
      <c r="D193" s="7">
        <f>IF($BL193&lt;&gt;"Yes",0,Calcs!CG465)</f>
        <v>0</v>
      </c>
      <c r="E193" s="7">
        <f>IF($BL193&lt;&gt;"Yes",0,Calcs!CH465)</f>
        <v>0</v>
      </c>
      <c r="F193" s="7">
        <f>IF($BL193&lt;&gt;"Yes",0,Calcs!CI465)</f>
        <v>0</v>
      </c>
      <c r="G193" s="7">
        <f>IF($BL193&lt;&gt;"Yes",0,Calcs!CJ465)</f>
        <v>0</v>
      </c>
      <c r="H193" s="40"/>
      <c r="I193" s="7">
        <f>IF($BL193&lt;&gt;"Yes",0,Calcs!CL465)</f>
        <v>0</v>
      </c>
      <c r="J193" s="7">
        <f>IF($BL193&lt;&gt;"Yes",0,Calcs!CM465)</f>
        <v>0</v>
      </c>
      <c r="K193" s="7">
        <f>IF($BL193&lt;&gt;"Yes",0,Calcs!CN465)</f>
        <v>0</v>
      </c>
      <c r="L193" s="7">
        <f>IF($BL193&lt;&gt;"Yes",0,Calcs!CO465)</f>
        <v>0</v>
      </c>
      <c r="M193" s="7">
        <f>IF($BL193&lt;&gt;"Yes",0,Calcs!CP465)</f>
        <v>0</v>
      </c>
      <c r="N193" s="7">
        <f>IF($BL193&lt;&gt;"Yes",0,Calcs!CQ465)</f>
        <v>0</v>
      </c>
      <c r="O193" s="7">
        <f>IF($BL193&lt;&gt;"Yes",0,Calcs!CR465)</f>
        <v>0</v>
      </c>
      <c r="P193" s="7">
        <f>IF($BL193&lt;&gt;"Yes",0,Calcs!CS465)</f>
        <v>0</v>
      </c>
      <c r="Q193" s="7">
        <f>IF($BL193&lt;&gt;"Yes",0,Calcs!CT465)</f>
        <v>0</v>
      </c>
      <c r="R193" s="7">
        <f>IF($BL193&lt;&gt;"Yes",0,Calcs!CU465)</f>
        <v>0</v>
      </c>
      <c r="S193" s="7">
        <f>IF($BL193&lt;&gt;"Yes",0,Calcs!CV465)</f>
        <v>0</v>
      </c>
      <c r="T193" s="7">
        <f>IF($BL193&lt;&gt;"Yes",0,Calcs!CW465)</f>
        <v>0</v>
      </c>
      <c r="U193" s="7">
        <f>IF($BL193&lt;&gt;"Yes",0,Calcs!CX465)</f>
        <v>0</v>
      </c>
      <c r="V193" s="7">
        <f>IF($BL193&lt;&gt;"Yes",0,Calcs!CY465)</f>
        <v>0</v>
      </c>
      <c r="W193" s="7">
        <f>IF($BL193&lt;&gt;"Yes",0,Calcs!CZ465)</f>
        <v>0</v>
      </c>
      <c r="X193" s="7">
        <f>IF($BL193&lt;&gt;"Yes",0,Calcs!DA465)</f>
        <v>0</v>
      </c>
      <c r="Y193" s="7">
        <f>IF($BL193&lt;&gt;"Yes",0,Calcs!DB465)</f>
        <v>0</v>
      </c>
      <c r="Z193" s="7">
        <f>IF($BL193&lt;&gt;"Yes",0,Calcs!DC465)</f>
        <v>0</v>
      </c>
      <c r="AA193" s="7">
        <f>IF($BL193&lt;&gt;"Yes",0,Calcs!DD465)</f>
        <v>0</v>
      </c>
      <c r="AB193" s="7">
        <f>IF($BL193&lt;&gt;"Yes",0,Calcs!DE465)</f>
        <v>0</v>
      </c>
      <c r="AC193" s="7">
        <f>IF($BL193&lt;&gt;"Yes",0,Calcs!DF465)</f>
        <v>0</v>
      </c>
      <c r="AD193" s="7">
        <f>IF($BL193&lt;&gt;"Yes",0,Calcs!DG465)</f>
        <v>0</v>
      </c>
      <c r="AE193" s="7">
        <f>IF($BL193&lt;&gt;"Yes",0,Calcs!DH465)</f>
        <v>0</v>
      </c>
      <c r="AF193" s="7">
        <f>IF($BL193&lt;&gt;"Yes",0,Calcs!DI465)</f>
        <v>0</v>
      </c>
      <c r="AG193" s="7">
        <f>IF($BL193&lt;&gt;"Yes",0,Calcs!DJ465)</f>
        <v>0</v>
      </c>
      <c r="AH193" s="7">
        <f>IF($BL193&lt;&gt;"Yes",0,Calcs!DK465)</f>
        <v>0</v>
      </c>
      <c r="AI193" s="7">
        <f>IF($BL193&lt;&gt;"Yes",0,Calcs!DL465)</f>
        <v>0</v>
      </c>
      <c r="AJ193" s="7">
        <f>IF($BL193&lt;&gt;"Yes",0,Calcs!DM465)</f>
        <v>0</v>
      </c>
      <c r="AK193" s="7">
        <f>IF($BL193&lt;&gt;"Yes",0,Calcs!DN465)</f>
        <v>0</v>
      </c>
      <c r="AL193" s="7">
        <f>IF($BL193&lt;&gt;"Yes",0,Calcs!DO465)</f>
        <v>0</v>
      </c>
      <c r="AM193" s="7">
        <f>IF($BL193&lt;&gt;"Yes",0,Calcs!DP465)</f>
        <v>0</v>
      </c>
      <c r="AN193" s="7">
        <f>IF($BL193&lt;&gt;"Yes",0,Calcs!DQ465)</f>
        <v>0</v>
      </c>
      <c r="AO193" s="7">
        <f>IF($BL193&lt;&gt;"Yes",0,Calcs!DR465)</f>
        <v>0</v>
      </c>
      <c r="AP193" s="7">
        <f>IF($BL193&lt;&gt;"Yes",0,Calcs!DS465)</f>
        <v>0</v>
      </c>
      <c r="AQ193" s="7">
        <f>IF($BL193&lt;&gt;"Yes",0,Calcs!DT465)</f>
        <v>0</v>
      </c>
      <c r="AR193" s="7">
        <f>IF($BL193&lt;&gt;"Yes",0,Calcs!DU465)</f>
        <v>0</v>
      </c>
      <c r="AS193" s="7">
        <f>IF($BL193&lt;&gt;"Yes",0,Calcs!DV465)</f>
        <v>0</v>
      </c>
      <c r="AT193" s="7">
        <f>IF($BL193&lt;&gt;"Yes",0,Calcs!DW465)</f>
        <v>0</v>
      </c>
      <c r="AU193" s="7">
        <f>IF($BL193&lt;&gt;"Yes",0,Calcs!DX465)</f>
        <v>0</v>
      </c>
      <c r="AV193" s="7">
        <f>IF($BL193&lt;&gt;"Yes",0,Calcs!DY465)</f>
        <v>0</v>
      </c>
      <c r="AW193" s="7">
        <f>IF($BL193&lt;&gt;"Yes",0,Calcs!DZ465)</f>
        <v>0</v>
      </c>
      <c r="AX193" s="7">
        <f>IF($BL193&lt;&gt;"Yes",0,Calcs!EA465)</f>
        <v>0</v>
      </c>
      <c r="AY193" s="7">
        <f>IF($BL193&lt;&gt;"Yes",0,Calcs!EB465)</f>
        <v>0</v>
      </c>
      <c r="AZ193" s="7">
        <f>IF($BL193&lt;&gt;"Yes",0,Calcs!EC465)</f>
        <v>0</v>
      </c>
      <c r="BA193" s="7">
        <f>IF($BL193&lt;&gt;"Yes",0,Calcs!ED465)</f>
        <v>0</v>
      </c>
      <c r="BB193" s="7">
        <f>IF($BL193&lt;&gt;"Yes",0,Calcs!EE465)</f>
        <v>0</v>
      </c>
      <c r="BC193" s="7">
        <f>IF($BL193&lt;&gt;"Yes",0,Calcs!EF465)</f>
        <v>0</v>
      </c>
      <c r="BD193" s="7">
        <f>IF($BL193&lt;&gt;"Yes",0,Calcs!EG465)</f>
        <v>0</v>
      </c>
      <c r="BE193" s="7">
        <f>IF($BL193&lt;&gt;"Yes",0,Calcs!EH465)</f>
        <v>0</v>
      </c>
      <c r="BF193" s="7">
        <f>IF($BL193&lt;&gt;"Yes",0,Calcs!EI465)</f>
        <v>0</v>
      </c>
      <c r="BG193" s="7">
        <f>IF($BL193&lt;&gt;"Yes",0,Calcs!EJ465)</f>
        <v>0</v>
      </c>
      <c r="BH193" s="7">
        <f>IF($BL193&lt;&gt;"Yes",0,Calcs!EK465)</f>
        <v>0</v>
      </c>
      <c r="BI193" s="7">
        <f>IF($BL193&lt;&gt;"Yes",0,Calcs!EL465)</f>
        <v>0</v>
      </c>
      <c r="BJ193" s="7">
        <f>IF($BL193&lt;&gt;"Yes",0,Calcs!EM465)</f>
        <v>0</v>
      </c>
    </row>
    <row r="194" spans="1:62" s="5" customFormat="1" ht="13" hidden="1" customHeight="1" x14ac:dyDescent="0.3">
      <c r="A194" s="6" t="str">
        <f>IF(AND(Calcs!CD466&lt;&gt;"",Calcs!CD466&lt;&gt;0),Calcs!CD466,"Operating Expense "&amp;Calcs!$BL194)</f>
        <v>Operating Expense 0</v>
      </c>
      <c r="B194" s="6" t="str">
        <f>IF(AND(Calcs!CE466&lt;&gt;"",Calcs!CE466&lt;&gt;0),Calcs!CE466,"Operating Expense "&amp;Calcs!Q466)</f>
        <v>Operating Expense 46</v>
      </c>
      <c r="C194" s="7">
        <f>IF($BL194&lt;&gt;"Yes",0,Calcs!CF466)</f>
        <v>0</v>
      </c>
      <c r="D194" s="7">
        <f>IF($BL194&lt;&gt;"Yes",0,Calcs!CG466)</f>
        <v>0</v>
      </c>
      <c r="E194" s="7">
        <f>IF($BL194&lt;&gt;"Yes",0,Calcs!CH466)</f>
        <v>0</v>
      </c>
      <c r="F194" s="7">
        <f>IF($BL194&lt;&gt;"Yes",0,Calcs!CI466)</f>
        <v>0</v>
      </c>
      <c r="G194" s="7">
        <f>IF($BL194&lt;&gt;"Yes",0,Calcs!CJ466)</f>
        <v>0</v>
      </c>
      <c r="H194" s="40"/>
      <c r="I194" s="7">
        <f>IF($BL194&lt;&gt;"Yes",0,Calcs!CL466)</f>
        <v>0</v>
      </c>
      <c r="J194" s="7">
        <f>IF($BL194&lt;&gt;"Yes",0,Calcs!CM466)</f>
        <v>0</v>
      </c>
      <c r="K194" s="7">
        <f>IF($BL194&lt;&gt;"Yes",0,Calcs!CN466)</f>
        <v>0</v>
      </c>
      <c r="L194" s="7">
        <f>IF($BL194&lt;&gt;"Yes",0,Calcs!CO466)</f>
        <v>0</v>
      </c>
      <c r="M194" s="7">
        <f>IF($BL194&lt;&gt;"Yes",0,Calcs!CP466)</f>
        <v>0</v>
      </c>
      <c r="N194" s="7">
        <f>IF($BL194&lt;&gt;"Yes",0,Calcs!CQ466)</f>
        <v>0</v>
      </c>
      <c r="O194" s="7">
        <f>IF($BL194&lt;&gt;"Yes",0,Calcs!CR466)</f>
        <v>0</v>
      </c>
      <c r="P194" s="7">
        <f>IF($BL194&lt;&gt;"Yes",0,Calcs!CS466)</f>
        <v>0</v>
      </c>
      <c r="Q194" s="7">
        <f>IF($BL194&lt;&gt;"Yes",0,Calcs!CT466)</f>
        <v>0</v>
      </c>
      <c r="R194" s="7">
        <f>IF($BL194&lt;&gt;"Yes",0,Calcs!CU466)</f>
        <v>0</v>
      </c>
      <c r="S194" s="7">
        <f>IF($BL194&lt;&gt;"Yes",0,Calcs!CV466)</f>
        <v>0</v>
      </c>
      <c r="T194" s="7">
        <f>IF($BL194&lt;&gt;"Yes",0,Calcs!CW466)</f>
        <v>0</v>
      </c>
      <c r="U194" s="7">
        <f>IF($BL194&lt;&gt;"Yes",0,Calcs!CX466)</f>
        <v>0</v>
      </c>
      <c r="V194" s="7">
        <f>IF($BL194&lt;&gt;"Yes",0,Calcs!CY466)</f>
        <v>0</v>
      </c>
      <c r="W194" s="7">
        <f>IF($BL194&lt;&gt;"Yes",0,Calcs!CZ466)</f>
        <v>0</v>
      </c>
      <c r="X194" s="7">
        <f>IF($BL194&lt;&gt;"Yes",0,Calcs!DA466)</f>
        <v>0</v>
      </c>
      <c r="Y194" s="7">
        <f>IF($BL194&lt;&gt;"Yes",0,Calcs!DB466)</f>
        <v>0</v>
      </c>
      <c r="Z194" s="7">
        <f>IF($BL194&lt;&gt;"Yes",0,Calcs!DC466)</f>
        <v>0</v>
      </c>
      <c r="AA194" s="7">
        <f>IF($BL194&lt;&gt;"Yes",0,Calcs!DD466)</f>
        <v>0</v>
      </c>
      <c r="AB194" s="7">
        <f>IF($BL194&lt;&gt;"Yes",0,Calcs!DE466)</f>
        <v>0</v>
      </c>
      <c r="AC194" s="7">
        <f>IF($BL194&lt;&gt;"Yes",0,Calcs!DF466)</f>
        <v>0</v>
      </c>
      <c r="AD194" s="7">
        <f>IF($BL194&lt;&gt;"Yes",0,Calcs!DG466)</f>
        <v>0</v>
      </c>
      <c r="AE194" s="7">
        <f>IF($BL194&lt;&gt;"Yes",0,Calcs!DH466)</f>
        <v>0</v>
      </c>
      <c r="AF194" s="7">
        <f>IF($BL194&lt;&gt;"Yes",0,Calcs!DI466)</f>
        <v>0</v>
      </c>
      <c r="AG194" s="7">
        <f>IF($BL194&lt;&gt;"Yes",0,Calcs!DJ466)</f>
        <v>0</v>
      </c>
      <c r="AH194" s="7">
        <f>IF($BL194&lt;&gt;"Yes",0,Calcs!DK466)</f>
        <v>0</v>
      </c>
      <c r="AI194" s="7">
        <f>IF($BL194&lt;&gt;"Yes",0,Calcs!DL466)</f>
        <v>0</v>
      </c>
      <c r="AJ194" s="7">
        <f>IF($BL194&lt;&gt;"Yes",0,Calcs!DM466)</f>
        <v>0</v>
      </c>
      <c r="AK194" s="7">
        <f>IF($BL194&lt;&gt;"Yes",0,Calcs!DN466)</f>
        <v>0</v>
      </c>
      <c r="AL194" s="7">
        <f>IF($BL194&lt;&gt;"Yes",0,Calcs!DO466)</f>
        <v>0</v>
      </c>
      <c r="AM194" s="7">
        <f>IF($BL194&lt;&gt;"Yes",0,Calcs!DP466)</f>
        <v>0</v>
      </c>
      <c r="AN194" s="7">
        <f>IF($BL194&lt;&gt;"Yes",0,Calcs!DQ466)</f>
        <v>0</v>
      </c>
      <c r="AO194" s="7">
        <f>IF($BL194&lt;&gt;"Yes",0,Calcs!DR466)</f>
        <v>0</v>
      </c>
      <c r="AP194" s="7">
        <f>IF($BL194&lt;&gt;"Yes",0,Calcs!DS466)</f>
        <v>0</v>
      </c>
      <c r="AQ194" s="7">
        <f>IF($BL194&lt;&gt;"Yes",0,Calcs!DT466)</f>
        <v>0</v>
      </c>
      <c r="AR194" s="7">
        <f>IF($BL194&lt;&gt;"Yes",0,Calcs!DU466)</f>
        <v>0</v>
      </c>
      <c r="AS194" s="7">
        <f>IF($BL194&lt;&gt;"Yes",0,Calcs!DV466)</f>
        <v>0</v>
      </c>
      <c r="AT194" s="7">
        <f>IF($BL194&lt;&gt;"Yes",0,Calcs!DW466)</f>
        <v>0</v>
      </c>
      <c r="AU194" s="7">
        <f>IF($BL194&lt;&gt;"Yes",0,Calcs!DX466)</f>
        <v>0</v>
      </c>
      <c r="AV194" s="7">
        <f>IF($BL194&lt;&gt;"Yes",0,Calcs!DY466)</f>
        <v>0</v>
      </c>
      <c r="AW194" s="7">
        <f>IF($BL194&lt;&gt;"Yes",0,Calcs!DZ466)</f>
        <v>0</v>
      </c>
      <c r="AX194" s="7">
        <f>IF($BL194&lt;&gt;"Yes",0,Calcs!EA466)</f>
        <v>0</v>
      </c>
      <c r="AY194" s="7">
        <f>IF($BL194&lt;&gt;"Yes",0,Calcs!EB466)</f>
        <v>0</v>
      </c>
      <c r="AZ194" s="7">
        <f>IF($BL194&lt;&gt;"Yes",0,Calcs!EC466)</f>
        <v>0</v>
      </c>
      <c r="BA194" s="7">
        <f>IF($BL194&lt;&gt;"Yes",0,Calcs!ED466)</f>
        <v>0</v>
      </c>
      <c r="BB194" s="7">
        <f>IF($BL194&lt;&gt;"Yes",0,Calcs!EE466)</f>
        <v>0</v>
      </c>
      <c r="BC194" s="7">
        <f>IF($BL194&lt;&gt;"Yes",0,Calcs!EF466)</f>
        <v>0</v>
      </c>
      <c r="BD194" s="7">
        <f>IF($BL194&lt;&gt;"Yes",0,Calcs!EG466)</f>
        <v>0</v>
      </c>
      <c r="BE194" s="7">
        <f>IF($BL194&lt;&gt;"Yes",0,Calcs!EH466)</f>
        <v>0</v>
      </c>
      <c r="BF194" s="7">
        <f>IF($BL194&lt;&gt;"Yes",0,Calcs!EI466)</f>
        <v>0</v>
      </c>
      <c r="BG194" s="7">
        <f>IF($BL194&lt;&gt;"Yes",0,Calcs!EJ466)</f>
        <v>0</v>
      </c>
      <c r="BH194" s="7">
        <f>IF($BL194&lt;&gt;"Yes",0,Calcs!EK466)</f>
        <v>0</v>
      </c>
      <c r="BI194" s="7">
        <f>IF($BL194&lt;&gt;"Yes",0,Calcs!EL466)</f>
        <v>0</v>
      </c>
      <c r="BJ194" s="7">
        <f>IF($BL194&lt;&gt;"Yes",0,Calcs!EM466)</f>
        <v>0</v>
      </c>
    </row>
    <row r="195" spans="1:62" s="5" customFormat="1" ht="13" hidden="1" customHeight="1" x14ac:dyDescent="0.3">
      <c r="A195" s="6" t="str">
        <f>IF(AND(Calcs!CD467&lt;&gt;"",Calcs!CD467&lt;&gt;0),Calcs!CD467,"Operating Expense "&amp;Calcs!$BL195)</f>
        <v>Operating Expense 0</v>
      </c>
      <c r="B195" s="6" t="str">
        <f>IF(AND(Calcs!CE467&lt;&gt;"",Calcs!CE467&lt;&gt;0),Calcs!CE467,"Operating Expense "&amp;Calcs!Q467)</f>
        <v>Operating Expense 47</v>
      </c>
      <c r="C195" s="7">
        <f>IF($BL195&lt;&gt;"Yes",0,Calcs!CF467)</f>
        <v>0</v>
      </c>
      <c r="D195" s="7">
        <f>IF($BL195&lt;&gt;"Yes",0,Calcs!CG467)</f>
        <v>0</v>
      </c>
      <c r="E195" s="7">
        <f>IF($BL195&lt;&gt;"Yes",0,Calcs!CH467)</f>
        <v>0</v>
      </c>
      <c r="F195" s="7">
        <f>IF($BL195&lt;&gt;"Yes",0,Calcs!CI467)</f>
        <v>0</v>
      </c>
      <c r="G195" s="7">
        <f>IF($BL195&lt;&gt;"Yes",0,Calcs!CJ467)</f>
        <v>0</v>
      </c>
      <c r="H195" s="40"/>
      <c r="I195" s="7">
        <f>IF($BL195&lt;&gt;"Yes",0,Calcs!CL467)</f>
        <v>0</v>
      </c>
      <c r="J195" s="7">
        <f>IF($BL195&lt;&gt;"Yes",0,Calcs!CM467)</f>
        <v>0</v>
      </c>
      <c r="K195" s="7">
        <f>IF($BL195&lt;&gt;"Yes",0,Calcs!CN467)</f>
        <v>0</v>
      </c>
      <c r="L195" s="7">
        <f>IF($BL195&lt;&gt;"Yes",0,Calcs!CO467)</f>
        <v>0</v>
      </c>
      <c r="M195" s="7">
        <f>IF($BL195&lt;&gt;"Yes",0,Calcs!CP467)</f>
        <v>0</v>
      </c>
      <c r="N195" s="7">
        <f>IF($BL195&lt;&gt;"Yes",0,Calcs!CQ467)</f>
        <v>0</v>
      </c>
      <c r="O195" s="7">
        <f>IF($BL195&lt;&gt;"Yes",0,Calcs!CR467)</f>
        <v>0</v>
      </c>
      <c r="P195" s="7">
        <f>IF($BL195&lt;&gt;"Yes",0,Calcs!CS467)</f>
        <v>0</v>
      </c>
      <c r="Q195" s="7">
        <f>IF($BL195&lt;&gt;"Yes",0,Calcs!CT467)</f>
        <v>0</v>
      </c>
      <c r="R195" s="7">
        <f>IF($BL195&lt;&gt;"Yes",0,Calcs!CU467)</f>
        <v>0</v>
      </c>
      <c r="S195" s="7">
        <f>IF($BL195&lt;&gt;"Yes",0,Calcs!CV467)</f>
        <v>0</v>
      </c>
      <c r="T195" s="7">
        <f>IF($BL195&lt;&gt;"Yes",0,Calcs!CW467)</f>
        <v>0</v>
      </c>
      <c r="U195" s="7">
        <f>IF($BL195&lt;&gt;"Yes",0,Calcs!CX467)</f>
        <v>0</v>
      </c>
      <c r="V195" s="7">
        <f>IF($BL195&lt;&gt;"Yes",0,Calcs!CY467)</f>
        <v>0</v>
      </c>
      <c r="W195" s="7">
        <f>IF($BL195&lt;&gt;"Yes",0,Calcs!CZ467)</f>
        <v>0</v>
      </c>
      <c r="X195" s="7">
        <f>IF($BL195&lt;&gt;"Yes",0,Calcs!DA467)</f>
        <v>0</v>
      </c>
      <c r="Y195" s="7">
        <f>IF($BL195&lt;&gt;"Yes",0,Calcs!DB467)</f>
        <v>0</v>
      </c>
      <c r="Z195" s="7">
        <f>IF($BL195&lt;&gt;"Yes",0,Calcs!DC467)</f>
        <v>0</v>
      </c>
      <c r="AA195" s="7">
        <f>IF($BL195&lt;&gt;"Yes",0,Calcs!DD467)</f>
        <v>0</v>
      </c>
      <c r="AB195" s="7">
        <f>IF($BL195&lt;&gt;"Yes",0,Calcs!DE467)</f>
        <v>0</v>
      </c>
      <c r="AC195" s="7">
        <f>IF($BL195&lt;&gt;"Yes",0,Calcs!DF467)</f>
        <v>0</v>
      </c>
      <c r="AD195" s="7">
        <f>IF($BL195&lt;&gt;"Yes",0,Calcs!DG467)</f>
        <v>0</v>
      </c>
      <c r="AE195" s="7">
        <f>IF($BL195&lt;&gt;"Yes",0,Calcs!DH467)</f>
        <v>0</v>
      </c>
      <c r="AF195" s="7">
        <f>IF($BL195&lt;&gt;"Yes",0,Calcs!DI467)</f>
        <v>0</v>
      </c>
      <c r="AG195" s="7">
        <f>IF($BL195&lt;&gt;"Yes",0,Calcs!DJ467)</f>
        <v>0</v>
      </c>
      <c r="AH195" s="7">
        <f>IF($BL195&lt;&gt;"Yes",0,Calcs!DK467)</f>
        <v>0</v>
      </c>
      <c r="AI195" s="7">
        <f>IF($BL195&lt;&gt;"Yes",0,Calcs!DL467)</f>
        <v>0</v>
      </c>
      <c r="AJ195" s="7">
        <f>IF($BL195&lt;&gt;"Yes",0,Calcs!DM467)</f>
        <v>0</v>
      </c>
      <c r="AK195" s="7">
        <f>IF($BL195&lt;&gt;"Yes",0,Calcs!DN467)</f>
        <v>0</v>
      </c>
      <c r="AL195" s="7">
        <f>IF($BL195&lt;&gt;"Yes",0,Calcs!DO467)</f>
        <v>0</v>
      </c>
      <c r="AM195" s="7">
        <f>IF($BL195&lt;&gt;"Yes",0,Calcs!DP467)</f>
        <v>0</v>
      </c>
      <c r="AN195" s="7">
        <f>IF($BL195&lt;&gt;"Yes",0,Calcs!DQ467)</f>
        <v>0</v>
      </c>
      <c r="AO195" s="7">
        <f>IF($BL195&lt;&gt;"Yes",0,Calcs!DR467)</f>
        <v>0</v>
      </c>
      <c r="AP195" s="7">
        <f>IF($BL195&lt;&gt;"Yes",0,Calcs!DS467)</f>
        <v>0</v>
      </c>
      <c r="AQ195" s="7">
        <f>IF($BL195&lt;&gt;"Yes",0,Calcs!DT467)</f>
        <v>0</v>
      </c>
      <c r="AR195" s="7">
        <f>IF($BL195&lt;&gt;"Yes",0,Calcs!DU467)</f>
        <v>0</v>
      </c>
      <c r="AS195" s="7">
        <f>IF($BL195&lt;&gt;"Yes",0,Calcs!DV467)</f>
        <v>0</v>
      </c>
      <c r="AT195" s="7">
        <f>IF($BL195&lt;&gt;"Yes",0,Calcs!DW467)</f>
        <v>0</v>
      </c>
      <c r="AU195" s="7">
        <f>IF($BL195&lt;&gt;"Yes",0,Calcs!DX467)</f>
        <v>0</v>
      </c>
      <c r="AV195" s="7">
        <f>IF($BL195&lt;&gt;"Yes",0,Calcs!DY467)</f>
        <v>0</v>
      </c>
      <c r="AW195" s="7">
        <f>IF($BL195&lt;&gt;"Yes",0,Calcs!DZ467)</f>
        <v>0</v>
      </c>
      <c r="AX195" s="7">
        <f>IF($BL195&lt;&gt;"Yes",0,Calcs!EA467)</f>
        <v>0</v>
      </c>
      <c r="AY195" s="7">
        <f>IF($BL195&lt;&gt;"Yes",0,Calcs!EB467)</f>
        <v>0</v>
      </c>
      <c r="AZ195" s="7">
        <f>IF($BL195&lt;&gt;"Yes",0,Calcs!EC467)</f>
        <v>0</v>
      </c>
      <c r="BA195" s="7">
        <f>IF($BL195&lt;&gt;"Yes",0,Calcs!ED467)</f>
        <v>0</v>
      </c>
      <c r="BB195" s="7">
        <f>IF($BL195&lt;&gt;"Yes",0,Calcs!EE467)</f>
        <v>0</v>
      </c>
      <c r="BC195" s="7">
        <f>IF($BL195&lt;&gt;"Yes",0,Calcs!EF467)</f>
        <v>0</v>
      </c>
      <c r="BD195" s="7">
        <f>IF($BL195&lt;&gt;"Yes",0,Calcs!EG467)</f>
        <v>0</v>
      </c>
      <c r="BE195" s="7">
        <f>IF($BL195&lt;&gt;"Yes",0,Calcs!EH467)</f>
        <v>0</v>
      </c>
      <c r="BF195" s="7">
        <f>IF($BL195&lt;&gt;"Yes",0,Calcs!EI467)</f>
        <v>0</v>
      </c>
      <c r="BG195" s="7">
        <f>IF($BL195&lt;&gt;"Yes",0,Calcs!EJ467)</f>
        <v>0</v>
      </c>
      <c r="BH195" s="7">
        <f>IF($BL195&lt;&gt;"Yes",0,Calcs!EK467)</f>
        <v>0</v>
      </c>
      <c r="BI195" s="7">
        <f>IF($BL195&lt;&gt;"Yes",0,Calcs!EL467)</f>
        <v>0</v>
      </c>
      <c r="BJ195" s="7">
        <f>IF($BL195&lt;&gt;"Yes",0,Calcs!EM467)</f>
        <v>0</v>
      </c>
    </row>
    <row r="196" spans="1:62" s="5" customFormat="1" ht="13" hidden="1" customHeight="1" x14ac:dyDescent="0.3">
      <c r="A196" s="6" t="str">
        <f>IF(AND(Calcs!CD468&lt;&gt;"",Calcs!CD468&lt;&gt;0),Calcs!CD468,"Operating Expense "&amp;Calcs!$BL196)</f>
        <v xml:space="preserve">Operating Expense </v>
      </c>
      <c r="B196" s="6" t="str">
        <f>IF(AND(Calcs!CE468&lt;&gt;"",Calcs!CE468&lt;&gt;0),Calcs!CE468,"Operating Expense "&amp;Calcs!Q468)</f>
        <v>Operating Expense 48</v>
      </c>
      <c r="C196" s="7">
        <f>IF($BL196&lt;&gt;"Yes",0,Calcs!CF468)</f>
        <v>0</v>
      </c>
      <c r="D196" s="7">
        <f>IF($BL196&lt;&gt;"Yes",0,Calcs!CG468)</f>
        <v>0</v>
      </c>
      <c r="E196" s="7">
        <f>IF($BL196&lt;&gt;"Yes",0,Calcs!CH468)</f>
        <v>0</v>
      </c>
      <c r="F196" s="7">
        <f>IF($BL196&lt;&gt;"Yes",0,Calcs!CI468)</f>
        <v>0</v>
      </c>
      <c r="G196" s="7">
        <f>IF($BL196&lt;&gt;"Yes",0,Calcs!CJ468)</f>
        <v>0</v>
      </c>
      <c r="H196" s="40"/>
      <c r="I196" s="7">
        <f>IF($BL196&lt;&gt;"Yes",0,Calcs!CL468)</f>
        <v>0</v>
      </c>
      <c r="J196" s="7">
        <f>IF($BL196&lt;&gt;"Yes",0,Calcs!CM468)</f>
        <v>0</v>
      </c>
      <c r="K196" s="7">
        <f>IF($BL196&lt;&gt;"Yes",0,Calcs!CN468)</f>
        <v>0</v>
      </c>
      <c r="L196" s="7">
        <f>IF($BL196&lt;&gt;"Yes",0,Calcs!CO468)</f>
        <v>0</v>
      </c>
      <c r="M196" s="7">
        <f>IF($BL196&lt;&gt;"Yes",0,Calcs!CP468)</f>
        <v>0</v>
      </c>
      <c r="N196" s="7">
        <f>IF($BL196&lt;&gt;"Yes",0,Calcs!CQ468)</f>
        <v>0</v>
      </c>
      <c r="O196" s="7">
        <f>IF($BL196&lt;&gt;"Yes",0,Calcs!CR468)</f>
        <v>0</v>
      </c>
      <c r="P196" s="7">
        <f>IF($BL196&lt;&gt;"Yes",0,Calcs!CS468)</f>
        <v>0</v>
      </c>
      <c r="Q196" s="7">
        <f>IF($BL196&lt;&gt;"Yes",0,Calcs!CT468)</f>
        <v>0</v>
      </c>
      <c r="R196" s="7">
        <f>IF($BL196&lt;&gt;"Yes",0,Calcs!CU468)</f>
        <v>0</v>
      </c>
      <c r="S196" s="7">
        <f>IF($BL196&lt;&gt;"Yes",0,Calcs!CV468)</f>
        <v>0</v>
      </c>
      <c r="T196" s="7">
        <f>IF($BL196&lt;&gt;"Yes",0,Calcs!CW468)</f>
        <v>0</v>
      </c>
      <c r="U196" s="7">
        <f>IF($BL196&lt;&gt;"Yes",0,Calcs!CX468)</f>
        <v>0</v>
      </c>
      <c r="V196" s="7">
        <f>IF($BL196&lt;&gt;"Yes",0,Calcs!CY468)</f>
        <v>0</v>
      </c>
      <c r="W196" s="7">
        <f>IF($BL196&lt;&gt;"Yes",0,Calcs!CZ468)</f>
        <v>0</v>
      </c>
      <c r="X196" s="7">
        <f>IF($BL196&lt;&gt;"Yes",0,Calcs!DA468)</f>
        <v>0</v>
      </c>
      <c r="Y196" s="7">
        <f>IF($BL196&lt;&gt;"Yes",0,Calcs!DB468)</f>
        <v>0</v>
      </c>
      <c r="Z196" s="7">
        <f>IF($BL196&lt;&gt;"Yes",0,Calcs!DC468)</f>
        <v>0</v>
      </c>
      <c r="AA196" s="7">
        <f>IF($BL196&lt;&gt;"Yes",0,Calcs!DD468)</f>
        <v>0</v>
      </c>
      <c r="AB196" s="7">
        <f>IF($BL196&lt;&gt;"Yes",0,Calcs!DE468)</f>
        <v>0</v>
      </c>
      <c r="AC196" s="7">
        <f>IF($BL196&lt;&gt;"Yes",0,Calcs!DF468)</f>
        <v>0</v>
      </c>
      <c r="AD196" s="7">
        <f>IF($BL196&lt;&gt;"Yes",0,Calcs!DG468)</f>
        <v>0</v>
      </c>
      <c r="AE196" s="7">
        <f>IF($BL196&lt;&gt;"Yes",0,Calcs!DH468)</f>
        <v>0</v>
      </c>
      <c r="AF196" s="7">
        <f>IF($BL196&lt;&gt;"Yes",0,Calcs!DI468)</f>
        <v>0</v>
      </c>
      <c r="AG196" s="7">
        <f>IF($BL196&lt;&gt;"Yes",0,Calcs!DJ468)</f>
        <v>0</v>
      </c>
      <c r="AH196" s="7">
        <f>IF($BL196&lt;&gt;"Yes",0,Calcs!DK468)</f>
        <v>0</v>
      </c>
      <c r="AI196" s="7">
        <f>IF($BL196&lt;&gt;"Yes",0,Calcs!DL468)</f>
        <v>0</v>
      </c>
      <c r="AJ196" s="7">
        <f>IF($BL196&lt;&gt;"Yes",0,Calcs!DM468)</f>
        <v>0</v>
      </c>
      <c r="AK196" s="7">
        <f>IF($BL196&lt;&gt;"Yes",0,Calcs!DN468)</f>
        <v>0</v>
      </c>
      <c r="AL196" s="7">
        <f>IF($BL196&lt;&gt;"Yes",0,Calcs!DO468)</f>
        <v>0</v>
      </c>
      <c r="AM196" s="7">
        <f>IF($BL196&lt;&gt;"Yes",0,Calcs!DP468)</f>
        <v>0</v>
      </c>
      <c r="AN196" s="7">
        <f>IF($BL196&lt;&gt;"Yes",0,Calcs!DQ468)</f>
        <v>0</v>
      </c>
      <c r="AO196" s="7">
        <f>IF($BL196&lt;&gt;"Yes",0,Calcs!DR468)</f>
        <v>0</v>
      </c>
      <c r="AP196" s="7">
        <f>IF($BL196&lt;&gt;"Yes",0,Calcs!DS468)</f>
        <v>0</v>
      </c>
      <c r="AQ196" s="7">
        <f>IF($BL196&lt;&gt;"Yes",0,Calcs!DT468)</f>
        <v>0</v>
      </c>
      <c r="AR196" s="7">
        <f>IF($BL196&lt;&gt;"Yes",0,Calcs!DU468)</f>
        <v>0</v>
      </c>
      <c r="AS196" s="7">
        <f>IF($BL196&lt;&gt;"Yes",0,Calcs!DV468)</f>
        <v>0</v>
      </c>
      <c r="AT196" s="7">
        <f>IF($BL196&lt;&gt;"Yes",0,Calcs!DW468)</f>
        <v>0</v>
      </c>
      <c r="AU196" s="7">
        <f>IF($BL196&lt;&gt;"Yes",0,Calcs!DX468)</f>
        <v>0</v>
      </c>
      <c r="AV196" s="7">
        <f>IF($BL196&lt;&gt;"Yes",0,Calcs!DY468)</f>
        <v>0</v>
      </c>
      <c r="AW196" s="7">
        <f>IF($BL196&lt;&gt;"Yes",0,Calcs!DZ468)</f>
        <v>0</v>
      </c>
      <c r="AX196" s="7">
        <f>IF($BL196&lt;&gt;"Yes",0,Calcs!EA468)</f>
        <v>0</v>
      </c>
      <c r="AY196" s="7">
        <f>IF($BL196&lt;&gt;"Yes",0,Calcs!EB468)</f>
        <v>0</v>
      </c>
      <c r="AZ196" s="7">
        <f>IF($BL196&lt;&gt;"Yes",0,Calcs!EC468)</f>
        <v>0</v>
      </c>
      <c r="BA196" s="7">
        <f>IF($BL196&lt;&gt;"Yes",0,Calcs!ED468)</f>
        <v>0</v>
      </c>
      <c r="BB196" s="7">
        <f>IF($BL196&lt;&gt;"Yes",0,Calcs!EE468)</f>
        <v>0</v>
      </c>
      <c r="BC196" s="7">
        <f>IF($BL196&lt;&gt;"Yes",0,Calcs!EF468)</f>
        <v>0</v>
      </c>
      <c r="BD196" s="7">
        <f>IF($BL196&lt;&gt;"Yes",0,Calcs!EG468)</f>
        <v>0</v>
      </c>
      <c r="BE196" s="7">
        <f>IF($BL196&lt;&gt;"Yes",0,Calcs!EH468)</f>
        <v>0</v>
      </c>
      <c r="BF196" s="7">
        <f>IF($BL196&lt;&gt;"Yes",0,Calcs!EI468)</f>
        <v>0</v>
      </c>
      <c r="BG196" s="7">
        <f>IF($BL196&lt;&gt;"Yes",0,Calcs!EJ468)</f>
        <v>0</v>
      </c>
      <c r="BH196" s="7">
        <f>IF($BL196&lt;&gt;"Yes",0,Calcs!EK468)</f>
        <v>0</v>
      </c>
      <c r="BI196" s="7">
        <f>IF($BL196&lt;&gt;"Yes",0,Calcs!EL468)</f>
        <v>0</v>
      </c>
      <c r="BJ196" s="7">
        <f>IF($BL196&lt;&gt;"Yes",0,Calcs!EM468)</f>
        <v>0</v>
      </c>
    </row>
    <row r="197" spans="1:62" s="5" customFormat="1" ht="13" hidden="1" customHeight="1" x14ac:dyDescent="0.3">
      <c r="A197" s="6" t="str">
        <f>IF(AND(Calcs!CD469&lt;&gt;"",Calcs!CD469&lt;&gt;0),Calcs!CD469,"Operating Expense "&amp;Calcs!$BL197)</f>
        <v xml:space="preserve">Operating Expense </v>
      </c>
      <c r="B197" s="6" t="str">
        <f>IF(AND(Calcs!CE469&lt;&gt;"",Calcs!CE469&lt;&gt;0),Calcs!CE469,"Operating Expense "&amp;Calcs!Q469)</f>
        <v>Operating Expense 49</v>
      </c>
      <c r="C197" s="7">
        <f>IF($BL197&lt;&gt;"Yes",0,Calcs!CF469)</f>
        <v>0</v>
      </c>
      <c r="D197" s="7">
        <f>IF($BL197&lt;&gt;"Yes",0,Calcs!CG469)</f>
        <v>0</v>
      </c>
      <c r="E197" s="7">
        <f>IF($BL197&lt;&gt;"Yes",0,Calcs!CH469)</f>
        <v>0</v>
      </c>
      <c r="F197" s="7">
        <f>IF($BL197&lt;&gt;"Yes",0,Calcs!CI469)</f>
        <v>0</v>
      </c>
      <c r="G197" s="7">
        <f>IF($BL197&lt;&gt;"Yes",0,Calcs!CJ469)</f>
        <v>0</v>
      </c>
      <c r="H197" s="40"/>
      <c r="I197" s="7">
        <f>IF($BL197&lt;&gt;"Yes",0,Calcs!CL469)</f>
        <v>0</v>
      </c>
      <c r="J197" s="7">
        <f>IF($BL197&lt;&gt;"Yes",0,Calcs!CM469)</f>
        <v>0</v>
      </c>
      <c r="K197" s="7">
        <f>IF($BL197&lt;&gt;"Yes",0,Calcs!CN469)</f>
        <v>0</v>
      </c>
      <c r="L197" s="7">
        <f>IF($BL197&lt;&gt;"Yes",0,Calcs!CO469)</f>
        <v>0</v>
      </c>
      <c r="M197" s="7">
        <f>IF($BL197&lt;&gt;"Yes",0,Calcs!CP469)</f>
        <v>0</v>
      </c>
      <c r="N197" s="7">
        <f>IF($BL197&lt;&gt;"Yes",0,Calcs!CQ469)</f>
        <v>0</v>
      </c>
      <c r="O197" s="7">
        <f>IF($BL197&lt;&gt;"Yes",0,Calcs!CR469)</f>
        <v>0</v>
      </c>
      <c r="P197" s="7">
        <f>IF($BL197&lt;&gt;"Yes",0,Calcs!CS469)</f>
        <v>0</v>
      </c>
      <c r="Q197" s="7">
        <f>IF($BL197&lt;&gt;"Yes",0,Calcs!CT469)</f>
        <v>0</v>
      </c>
      <c r="R197" s="7">
        <f>IF($BL197&lt;&gt;"Yes",0,Calcs!CU469)</f>
        <v>0</v>
      </c>
      <c r="S197" s="7">
        <f>IF($BL197&lt;&gt;"Yes",0,Calcs!CV469)</f>
        <v>0</v>
      </c>
      <c r="T197" s="7">
        <f>IF($BL197&lt;&gt;"Yes",0,Calcs!CW469)</f>
        <v>0</v>
      </c>
      <c r="U197" s="7">
        <f>IF($BL197&lt;&gt;"Yes",0,Calcs!CX469)</f>
        <v>0</v>
      </c>
      <c r="V197" s="7">
        <f>IF($BL197&lt;&gt;"Yes",0,Calcs!CY469)</f>
        <v>0</v>
      </c>
      <c r="W197" s="7">
        <f>IF($BL197&lt;&gt;"Yes",0,Calcs!CZ469)</f>
        <v>0</v>
      </c>
      <c r="X197" s="7">
        <f>IF($BL197&lt;&gt;"Yes",0,Calcs!DA469)</f>
        <v>0</v>
      </c>
      <c r="Y197" s="7">
        <f>IF($BL197&lt;&gt;"Yes",0,Calcs!DB469)</f>
        <v>0</v>
      </c>
      <c r="Z197" s="7">
        <f>IF($BL197&lt;&gt;"Yes",0,Calcs!DC469)</f>
        <v>0</v>
      </c>
      <c r="AA197" s="7">
        <f>IF($BL197&lt;&gt;"Yes",0,Calcs!DD469)</f>
        <v>0</v>
      </c>
      <c r="AB197" s="7">
        <f>IF($BL197&lt;&gt;"Yes",0,Calcs!DE469)</f>
        <v>0</v>
      </c>
      <c r="AC197" s="7">
        <f>IF($BL197&lt;&gt;"Yes",0,Calcs!DF469)</f>
        <v>0</v>
      </c>
      <c r="AD197" s="7">
        <f>IF($BL197&lt;&gt;"Yes",0,Calcs!DG469)</f>
        <v>0</v>
      </c>
      <c r="AE197" s="7">
        <f>IF($BL197&lt;&gt;"Yes",0,Calcs!DH469)</f>
        <v>0</v>
      </c>
      <c r="AF197" s="7">
        <f>IF($BL197&lt;&gt;"Yes",0,Calcs!DI469)</f>
        <v>0</v>
      </c>
      <c r="AG197" s="7">
        <f>IF($BL197&lt;&gt;"Yes",0,Calcs!DJ469)</f>
        <v>0</v>
      </c>
      <c r="AH197" s="7">
        <f>IF($BL197&lt;&gt;"Yes",0,Calcs!DK469)</f>
        <v>0</v>
      </c>
      <c r="AI197" s="7">
        <f>IF($BL197&lt;&gt;"Yes",0,Calcs!DL469)</f>
        <v>0</v>
      </c>
      <c r="AJ197" s="7">
        <f>IF($BL197&lt;&gt;"Yes",0,Calcs!DM469)</f>
        <v>0</v>
      </c>
      <c r="AK197" s="7">
        <f>IF($BL197&lt;&gt;"Yes",0,Calcs!DN469)</f>
        <v>0</v>
      </c>
      <c r="AL197" s="7">
        <f>IF($BL197&lt;&gt;"Yes",0,Calcs!DO469)</f>
        <v>0</v>
      </c>
      <c r="AM197" s="7">
        <f>IF($BL197&lt;&gt;"Yes",0,Calcs!DP469)</f>
        <v>0</v>
      </c>
      <c r="AN197" s="7">
        <f>IF($BL197&lt;&gt;"Yes",0,Calcs!DQ469)</f>
        <v>0</v>
      </c>
      <c r="AO197" s="7">
        <f>IF($BL197&lt;&gt;"Yes",0,Calcs!DR469)</f>
        <v>0</v>
      </c>
      <c r="AP197" s="7">
        <f>IF($BL197&lt;&gt;"Yes",0,Calcs!DS469)</f>
        <v>0</v>
      </c>
      <c r="AQ197" s="7">
        <f>IF($BL197&lt;&gt;"Yes",0,Calcs!DT469)</f>
        <v>0</v>
      </c>
      <c r="AR197" s="7">
        <f>IF($BL197&lt;&gt;"Yes",0,Calcs!DU469)</f>
        <v>0</v>
      </c>
      <c r="AS197" s="7">
        <f>IF($BL197&lt;&gt;"Yes",0,Calcs!DV469)</f>
        <v>0</v>
      </c>
      <c r="AT197" s="7">
        <f>IF($BL197&lt;&gt;"Yes",0,Calcs!DW469)</f>
        <v>0</v>
      </c>
      <c r="AU197" s="7">
        <f>IF($BL197&lt;&gt;"Yes",0,Calcs!DX469)</f>
        <v>0</v>
      </c>
      <c r="AV197" s="7">
        <f>IF($BL197&lt;&gt;"Yes",0,Calcs!DY469)</f>
        <v>0</v>
      </c>
      <c r="AW197" s="7">
        <f>IF($BL197&lt;&gt;"Yes",0,Calcs!DZ469)</f>
        <v>0</v>
      </c>
      <c r="AX197" s="7">
        <f>IF($BL197&lt;&gt;"Yes",0,Calcs!EA469)</f>
        <v>0</v>
      </c>
      <c r="AY197" s="7">
        <f>IF($BL197&lt;&gt;"Yes",0,Calcs!EB469)</f>
        <v>0</v>
      </c>
      <c r="AZ197" s="7">
        <f>IF($BL197&lt;&gt;"Yes",0,Calcs!EC469)</f>
        <v>0</v>
      </c>
      <c r="BA197" s="7">
        <f>IF($BL197&lt;&gt;"Yes",0,Calcs!ED469)</f>
        <v>0</v>
      </c>
      <c r="BB197" s="7">
        <f>IF($BL197&lt;&gt;"Yes",0,Calcs!EE469)</f>
        <v>0</v>
      </c>
      <c r="BC197" s="7">
        <f>IF($BL197&lt;&gt;"Yes",0,Calcs!EF469)</f>
        <v>0</v>
      </c>
      <c r="BD197" s="7">
        <f>IF($BL197&lt;&gt;"Yes",0,Calcs!EG469)</f>
        <v>0</v>
      </c>
      <c r="BE197" s="7">
        <f>IF($BL197&lt;&gt;"Yes",0,Calcs!EH469)</f>
        <v>0</v>
      </c>
      <c r="BF197" s="7">
        <f>IF($BL197&lt;&gt;"Yes",0,Calcs!EI469)</f>
        <v>0</v>
      </c>
      <c r="BG197" s="7">
        <f>IF($BL197&lt;&gt;"Yes",0,Calcs!EJ469)</f>
        <v>0</v>
      </c>
      <c r="BH197" s="7">
        <f>IF($BL197&lt;&gt;"Yes",0,Calcs!EK469)</f>
        <v>0</v>
      </c>
      <c r="BI197" s="7">
        <f>IF($BL197&lt;&gt;"Yes",0,Calcs!EL469)</f>
        <v>0</v>
      </c>
      <c r="BJ197" s="7">
        <f>IF($BL197&lt;&gt;"Yes",0,Calcs!EM469)</f>
        <v>0</v>
      </c>
    </row>
    <row r="198" spans="1:62" s="5" customFormat="1" ht="13" hidden="1" customHeight="1" x14ac:dyDescent="0.3">
      <c r="A198" s="6" t="str">
        <f>IF(AND(Calcs!CD470&lt;&gt;"",Calcs!CD470&lt;&gt;0),Calcs!CD470,"Operating Expense "&amp;Calcs!$BL198)</f>
        <v xml:space="preserve">Operating Expense </v>
      </c>
      <c r="B198" s="6" t="str">
        <f>IF(AND(Calcs!CE470&lt;&gt;"",Calcs!CE470&lt;&gt;0),Calcs!CE470,"Operating Expense "&amp;Calcs!Q470)</f>
        <v>Operating Expense 50</v>
      </c>
      <c r="C198" s="7">
        <f>IF($BL198&lt;&gt;"Yes",0,Calcs!CF470)</f>
        <v>0</v>
      </c>
      <c r="D198" s="7">
        <f>IF($BL198&lt;&gt;"Yes",0,Calcs!CG470)</f>
        <v>0</v>
      </c>
      <c r="E198" s="7">
        <f>IF($BL198&lt;&gt;"Yes",0,Calcs!CH470)</f>
        <v>0</v>
      </c>
      <c r="F198" s="7">
        <f>IF($BL198&lt;&gt;"Yes",0,Calcs!CI470)</f>
        <v>0</v>
      </c>
      <c r="G198" s="7">
        <f>IF($BL198&lt;&gt;"Yes",0,Calcs!CJ470)</f>
        <v>0</v>
      </c>
      <c r="H198" s="40"/>
      <c r="I198" s="7">
        <f>IF($BL198&lt;&gt;"Yes",0,Calcs!CL470)</f>
        <v>0</v>
      </c>
      <c r="J198" s="7">
        <f>IF($BL198&lt;&gt;"Yes",0,Calcs!CM470)</f>
        <v>0</v>
      </c>
      <c r="K198" s="7">
        <f>IF($BL198&lt;&gt;"Yes",0,Calcs!CN470)</f>
        <v>0</v>
      </c>
      <c r="L198" s="7">
        <f>IF($BL198&lt;&gt;"Yes",0,Calcs!CO470)</f>
        <v>0</v>
      </c>
      <c r="M198" s="7">
        <f>IF($BL198&lt;&gt;"Yes",0,Calcs!CP470)</f>
        <v>0</v>
      </c>
      <c r="N198" s="7">
        <f>IF($BL198&lt;&gt;"Yes",0,Calcs!CQ470)</f>
        <v>0</v>
      </c>
      <c r="O198" s="7">
        <f>IF($BL198&lt;&gt;"Yes",0,Calcs!CR470)</f>
        <v>0</v>
      </c>
      <c r="P198" s="7">
        <f>IF($BL198&lt;&gt;"Yes",0,Calcs!CS470)</f>
        <v>0</v>
      </c>
      <c r="Q198" s="7">
        <f>IF($BL198&lt;&gt;"Yes",0,Calcs!CT470)</f>
        <v>0</v>
      </c>
      <c r="R198" s="7">
        <f>IF($BL198&lt;&gt;"Yes",0,Calcs!CU470)</f>
        <v>0</v>
      </c>
      <c r="S198" s="7">
        <f>IF($BL198&lt;&gt;"Yes",0,Calcs!CV470)</f>
        <v>0</v>
      </c>
      <c r="T198" s="7">
        <f>IF($BL198&lt;&gt;"Yes",0,Calcs!CW470)</f>
        <v>0</v>
      </c>
      <c r="U198" s="7">
        <f>IF($BL198&lt;&gt;"Yes",0,Calcs!CX470)</f>
        <v>0</v>
      </c>
      <c r="V198" s="7">
        <f>IF($BL198&lt;&gt;"Yes",0,Calcs!CY470)</f>
        <v>0</v>
      </c>
      <c r="W198" s="7">
        <f>IF($BL198&lt;&gt;"Yes",0,Calcs!CZ470)</f>
        <v>0</v>
      </c>
      <c r="X198" s="7">
        <f>IF($BL198&lt;&gt;"Yes",0,Calcs!DA470)</f>
        <v>0</v>
      </c>
      <c r="Y198" s="7">
        <f>IF($BL198&lt;&gt;"Yes",0,Calcs!DB470)</f>
        <v>0</v>
      </c>
      <c r="Z198" s="7">
        <f>IF($BL198&lt;&gt;"Yes",0,Calcs!DC470)</f>
        <v>0</v>
      </c>
      <c r="AA198" s="7">
        <f>IF($BL198&lt;&gt;"Yes",0,Calcs!DD470)</f>
        <v>0</v>
      </c>
      <c r="AB198" s="7">
        <f>IF($BL198&lt;&gt;"Yes",0,Calcs!DE470)</f>
        <v>0</v>
      </c>
      <c r="AC198" s="7">
        <f>IF($BL198&lt;&gt;"Yes",0,Calcs!DF470)</f>
        <v>0</v>
      </c>
      <c r="AD198" s="7">
        <f>IF($BL198&lt;&gt;"Yes",0,Calcs!DG470)</f>
        <v>0</v>
      </c>
      <c r="AE198" s="7">
        <f>IF($BL198&lt;&gt;"Yes",0,Calcs!DH470)</f>
        <v>0</v>
      </c>
      <c r="AF198" s="7">
        <f>IF($BL198&lt;&gt;"Yes",0,Calcs!DI470)</f>
        <v>0</v>
      </c>
      <c r="AG198" s="7">
        <f>IF($BL198&lt;&gt;"Yes",0,Calcs!DJ470)</f>
        <v>0</v>
      </c>
      <c r="AH198" s="7">
        <f>IF($BL198&lt;&gt;"Yes",0,Calcs!DK470)</f>
        <v>0</v>
      </c>
      <c r="AI198" s="7">
        <f>IF($BL198&lt;&gt;"Yes",0,Calcs!DL470)</f>
        <v>0</v>
      </c>
      <c r="AJ198" s="7">
        <f>IF($BL198&lt;&gt;"Yes",0,Calcs!DM470)</f>
        <v>0</v>
      </c>
      <c r="AK198" s="7">
        <f>IF($BL198&lt;&gt;"Yes",0,Calcs!DN470)</f>
        <v>0</v>
      </c>
      <c r="AL198" s="7">
        <f>IF($BL198&lt;&gt;"Yes",0,Calcs!DO470)</f>
        <v>0</v>
      </c>
      <c r="AM198" s="7">
        <f>IF($BL198&lt;&gt;"Yes",0,Calcs!DP470)</f>
        <v>0</v>
      </c>
      <c r="AN198" s="7">
        <f>IF($BL198&lt;&gt;"Yes",0,Calcs!DQ470)</f>
        <v>0</v>
      </c>
      <c r="AO198" s="7">
        <f>IF($BL198&lt;&gt;"Yes",0,Calcs!DR470)</f>
        <v>0</v>
      </c>
      <c r="AP198" s="7">
        <f>IF($BL198&lt;&gt;"Yes",0,Calcs!DS470)</f>
        <v>0</v>
      </c>
      <c r="AQ198" s="7">
        <f>IF($BL198&lt;&gt;"Yes",0,Calcs!DT470)</f>
        <v>0</v>
      </c>
      <c r="AR198" s="7">
        <f>IF($BL198&lt;&gt;"Yes",0,Calcs!DU470)</f>
        <v>0</v>
      </c>
      <c r="AS198" s="7">
        <f>IF($BL198&lt;&gt;"Yes",0,Calcs!DV470)</f>
        <v>0</v>
      </c>
      <c r="AT198" s="7">
        <f>IF($BL198&lt;&gt;"Yes",0,Calcs!DW470)</f>
        <v>0</v>
      </c>
      <c r="AU198" s="7">
        <f>IF($BL198&lt;&gt;"Yes",0,Calcs!DX470)</f>
        <v>0</v>
      </c>
      <c r="AV198" s="7">
        <f>IF($BL198&lt;&gt;"Yes",0,Calcs!DY470)</f>
        <v>0</v>
      </c>
      <c r="AW198" s="7">
        <f>IF($BL198&lt;&gt;"Yes",0,Calcs!DZ470)</f>
        <v>0</v>
      </c>
      <c r="AX198" s="7">
        <f>IF($BL198&lt;&gt;"Yes",0,Calcs!EA470)</f>
        <v>0</v>
      </c>
      <c r="AY198" s="7">
        <f>IF($BL198&lt;&gt;"Yes",0,Calcs!EB470)</f>
        <v>0</v>
      </c>
      <c r="AZ198" s="7">
        <f>IF($BL198&lt;&gt;"Yes",0,Calcs!EC470)</f>
        <v>0</v>
      </c>
      <c r="BA198" s="7">
        <f>IF($BL198&lt;&gt;"Yes",0,Calcs!ED470)</f>
        <v>0</v>
      </c>
      <c r="BB198" s="7">
        <f>IF($BL198&lt;&gt;"Yes",0,Calcs!EE470)</f>
        <v>0</v>
      </c>
      <c r="BC198" s="7">
        <f>IF($BL198&lt;&gt;"Yes",0,Calcs!EF470)</f>
        <v>0</v>
      </c>
      <c r="BD198" s="7">
        <f>IF($BL198&lt;&gt;"Yes",0,Calcs!EG470)</f>
        <v>0</v>
      </c>
      <c r="BE198" s="7">
        <f>IF($BL198&lt;&gt;"Yes",0,Calcs!EH470)</f>
        <v>0</v>
      </c>
      <c r="BF198" s="7">
        <f>IF($BL198&lt;&gt;"Yes",0,Calcs!EI470)</f>
        <v>0</v>
      </c>
      <c r="BG198" s="7">
        <f>IF($BL198&lt;&gt;"Yes",0,Calcs!EJ470)</f>
        <v>0</v>
      </c>
      <c r="BH198" s="7">
        <f>IF($BL198&lt;&gt;"Yes",0,Calcs!EK470)</f>
        <v>0</v>
      </c>
      <c r="BI198" s="7">
        <f>IF($BL198&lt;&gt;"Yes",0,Calcs!EL470)</f>
        <v>0</v>
      </c>
      <c r="BJ198" s="7">
        <f>IF($BL198&lt;&gt;"Yes",0,Calcs!EM470)</f>
        <v>0</v>
      </c>
    </row>
    <row r="199" spans="1:62" s="5" customFormat="1" ht="13" hidden="1" customHeight="1" x14ac:dyDescent="0.3">
      <c r="A199" s="6"/>
      <c r="B199" s="6"/>
      <c r="C199" s="676">
        <f t="shared" ref="C199:AH199" si="5">SUM(C149:C198)</f>
        <v>0</v>
      </c>
      <c r="D199" s="676">
        <f t="shared" si="5"/>
        <v>0</v>
      </c>
      <c r="E199" s="676">
        <f t="shared" si="5"/>
        <v>0</v>
      </c>
      <c r="F199" s="676">
        <f t="shared" si="5"/>
        <v>0</v>
      </c>
      <c r="G199" s="676">
        <f t="shared" si="5"/>
        <v>0</v>
      </c>
      <c r="H199" s="40"/>
      <c r="I199" s="676">
        <f t="shared" si="5"/>
        <v>0</v>
      </c>
      <c r="J199" s="676">
        <f t="shared" si="5"/>
        <v>0</v>
      </c>
      <c r="K199" s="676">
        <f t="shared" si="5"/>
        <v>0</v>
      </c>
      <c r="L199" s="676">
        <f t="shared" si="5"/>
        <v>0</v>
      </c>
      <c r="M199" s="676">
        <f t="shared" si="5"/>
        <v>0</v>
      </c>
      <c r="N199" s="676">
        <f t="shared" si="5"/>
        <v>0</v>
      </c>
      <c r="O199" s="676">
        <f t="shared" si="5"/>
        <v>0</v>
      </c>
      <c r="P199" s="676">
        <f t="shared" si="5"/>
        <v>0</v>
      </c>
      <c r="Q199" s="676">
        <f t="shared" si="5"/>
        <v>0</v>
      </c>
      <c r="R199" s="676">
        <f t="shared" si="5"/>
        <v>0</v>
      </c>
      <c r="S199" s="676">
        <f t="shared" si="5"/>
        <v>0</v>
      </c>
      <c r="T199" s="676">
        <f t="shared" si="5"/>
        <v>0</v>
      </c>
      <c r="U199" s="676">
        <f t="shared" si="5"/>
        <v>0</v>
      </c>
      <c r="V199" s="676">
        <f t="shared" si="5"/>
        <v>0</v>
      </c>
      <c r="W199" s="676">
        <f t="shared" si="5"/>
        <v>0</v>
      </c>
      <c r="X199" s="676">
        <f t="shared" si="5"/>
        <v>0</v>
      </c>
      <c r="Y199" s="676">
        <f t="shared" si="5"/>
        <v>0</v>
      </c>
      <c r="Z199" s="676">
        <f t="shared" si="5"/>
        <v>0</v>
      </c>
      <c r="AA199" s="676">
        <f t="shared" si="5"/>
        <v>0</v>
      </c>
      <c r="AB199" s="676">
        <f t="shared" si="5"/>
        <v>0</v>
      </c>
      <c r="AC199" s="676">
        <f t="shared" si="5"/>
        <v>0</v>
      </c>
      <c r="AD199" s="676">
        <f t="shared" si="5"/>
        <v>0</v>
      </c>
      <c r="AE199" s="676">
        <f t="shared" si="5"/>
        <v>0</v>
      </c>
      <c r="AF199" s="676">
        <f t="shared" si="5"/>
        <v>0</v>
      </c>
      <c r="AG199" s="676">
        <f t="shared" si="5"/>
        <v>0</v>
      </c>
      <c r="AH199" s="676">
        <f t="shared" si="5"/>
        <v>0</v>
      </c>
      <c r="AI199" s="676">
        <f t="shared" ref="AI199:BJ199" si="6">SUM(AI149:AI198)</f>
        <v>0</v>
      </c>
      <c r="AJ199" s="676">
        <f t="shared" si="6"/>
        <v>0</v>
      </c>
      <c r="AK199" s="676">
        <f t="shared" si="6"/>
        <v>0</v>
      </c>
      <c r="AL199" s="676">
        <f t="shared" si="6"/>
        <v>0</v>
      </c>
      <c r="AM199" s="676">
        <f t="shared" si="6"/>
        <v>0</v>
      </c>
      <c r="AN199" s="676">
        <f t="shared" si="6"/>
        <v>0</v>
      </c>
      <c r="AO199" s="676">
        <f t="shared" si="6"/>
        <v>0</v>
      </c>
      <c r="AP199" s="676">
        <f t="shared" si="6"/>
        <v>0</v>
      </c>
      <c r="AQ199" s="676">
        <f t="shared" si="6"/>
        <v>0</v>
      </c>
      <c r="AR199" s="676">
        <f t="shared" si="6"/>
        <v>0</v>
      </c>
      <c r="AS199" s="676">
        <f t="shared" si="6"/>
        <v>0</v>
      </c>
      <c r="AT199" s="676">
        <f t="shared" si="6"/>
        <v>0</v>
      </c>
      <c r="AU199" s="676">
        <f t="shared" si="6"/>
        <v>0</v>
      </c>
      <c r="AV199" s="676">
        <f t="shared" si="6"/>
        <v>0</v>
      </c>
      <c r="AW199" s="676">
        <f t="shared" si="6"/>
        <v>0</v>
      </c>
      <c r="AX199" s="676">
        <f t="shared" si="6"/>
        <v>0</v>
      </c>
      <c r="AY199" s="676">
        <f t="shared" si="6"/>
        <v>0</v>
      </c>
      <c r="AZ199" s="676">
        <f t="shared" si="6"/>
        <v>0</v>
      </c>
      <c r="BA199" s="676">
        <f t="shared" si="6"/>
        <v>0</v>
      </c>
      <c r="BB199" s="676">
        <f t="shared" si="6"/>
        <v>0</v>
      </c>
      <c r="BC199" s="676">
        <f t="shared" si="6"/>
        <v>0</v>
      </c>
      <c r="BD199" s="676">
        <f t="shared" si="6"/>
        <v>0</v>
      </c>
      <c r="BE199" s="676">
        <f t="shared" si="6"/>
        <v>0</v>
      </c>
      <c r="BF199" s="676">
        <f t="shared" si="6"/>
        <v>0</v>
      </c>
      <c r="BG199" s="676">
        <f t="shared" si="6"/>
        <v>0</v>
      </c>
      <c r="BH199" s="676">
        <f t="shared" si="6"/>
        <v>0</v>
      </c>
      <c r="BI199" s="676">
        <f t="shared" si="6"/>
        <v>0</v>
      </c>
      <c r="BJ199" s="676">
        <f t="shared" si="6"/>
        <v>0</v>
      </c>
    </row>
    <row r="200" spans="1:62" s="5" customFormat="1" ht="13" hidden="1" customHeight="1" x14ac:dyDescent="0.3">
      <c r="H200" s="40"/>
    </row>
    <row r="201" spans="1:62" s="5" customFormat="1" ht="13" hidden="1" customHeight="1" x14ac:dyDescent="0.3">
      <c r="H201" s="40"/>
    </row>
    <row r="202" spans="1:62" s="5" customFormat="1" ht="13" hidden="1" customHeight="1" x14ac:dyDescent="0.3">
      <c r="H202" s="40"/>
    </row>
    <row r="203" spans="1:62" s="5" customFormat="1" ht="13" hidden="1" customHeight="1" x14ac:dyDescent="0.3">
      <c r="H203" s="40"/>
    </row>
    <row r="204" spans="1:62" s="5" customFormat="1" ht="13" hidden="1" customHeight="1" x14ac:dyDescent="0.3">
      <c r="H204" s="40"/>
    </row>
    <row r="205" spans="1:62" s="5" customFormat="1" ht="13" hidden="1" customHeight="1" x14ac:dyDescent="0.3">
      <c r="H205" s="40"/>
    </row>
    <row r="206" spans="1:62" s="5" customFormat="1" ht="13" hidden="1" customHeight="1" x14ac:dyDescent="0.3">
      <c r="H206" s="40"/>
    </row>
    <row r="207" spans="1:62" s="5" customFormat="1" ht="13" hidden="1" customHeight="1" x14ac:dyDescent="0.3">
      <c r="H207" s="40"/>
    </row>
    <row r="208" spans="1:62" s="5" customFormat="1" ht="13" hidden="1" customHeight="1" x14ac:dyDescent="0.3">
      <c r="H208" s="40"/>
    </row>
    <row r="209" spans="8:26" s="5" customFormat="1" ht="13" hidden="1" customHeight="1" x14ac:dyDescent="0.3">
      <c r="H209" s="40"/>
    </row>
    <row r="210" spans="8:26" s="5" customFormat="1" ht="13" hidden="1" customHeight="1" x14ac:dyDescent="0.3">
      <c r="H210" s="40"/>
    </row>
    <row r="211" spans="8:26" s="5" customFormat="1" ht="13" hidden="1" customHeight="1" x14ac:dyDescent="0.3">
      <c r="H211" s="40"/>
    </row>
    <row r="212" spans="8:26" s="5" customFormat="1" ht="13" customHeight="1" x14ac:dyDescent="0.3">
      <c r="H212" s="40"/>
    </row>
    <row r="213" spans="8:26" s="5" customFormat="1" ht="13" customHeight="1" x14ac:dyDescent="0.3">
      <c r="H213" s="40"/>
    </row>
    <row r="214" spans="8:26" s="5" customFormat="1" ht="13" customHeight="1" x14ac:dyDescent="0.3">
      <c r="H214" s="40"/>
    </row>
    <row r="215" spans="8:26" s="5" customFormat="1" ht="13" customHeight="1" x14ac:dyDescent="0.35"/>
    <row r="216" spans="8:26" s="5" customFormat="1" ht="13" customHeight="1" x14ac:dyDescent="0.35"/>
    <row r="217" spans="8:26" s="5" customFormat="1" ht="13" customHeight="1" x14ac:dyDescent="0.35"/>
    <row r="218" spans="8:26" s="5" customFormat="1" ht="13" customHeight="1" x14ac:dyDescent="0.35"/>
    <row r="219" spans="8:26" s="5" customFormat="1" ht="13" customHeight="1" x14ac:dyDescent="0.35"/>
    <row r="220" spans="8:26" s="5" customFormat="1" ht="13" customHeight="1" x14ac:dyDescent="0.35"/>
    <row r="221" spans="8:26" ht="13" customHeight="1" x14ac:dyDescent="0.35">
      <c r="N221" s="5"/>
      <c r="O221" s="5"/>
      <c r="P221" s="5"/>
      <c r="Q221" s="5"/>
      <c r="R221" s="5"/>
      <c r="S221" s="5"/>
      <c r="T221" s="5"/>
      <c r="U221" s="5"/>
      <c r="V221" s="5"/>
      <c r="W221" s="5"/>
      <c r="X221" s="5"/>
      <c r="Y221" s="5"/>
      <c r="Z221" s="5"/>
    </row>
    <row r="222" spans="8:26" x14ac:dyDescent="0.35">
      <c r="N222" s="5"/>
      <c r="O222" s="5"/>
      <c r="P222" s="5"/>
      <c r="Q222" s="5"/>
      <c r="R222" s="5"/>
      <c r="S222" s="5"/>
      <c r="T222" s="5"/>
      <c r="U222" s="5"/>
      <c r="V222" s="5"/>
      <c r="W222" s="5"/>
      <c r="X222" s="5"/>
      <c r="Y222" s="5"/>
      <c r="Z222" s="5"/>
    </row>
  </sheetData>
  <sheetProtection algorithmName="SHA-512" hashValue="OhW26wuULj3sZwl5XZuwY7RnTH2D9jWuUkTzOGT8QaiShhG0GMbZu7gvUyMmvz1mm8cnr4t1XmqulF0Gt1Hg2w==" saltValue="S4+MGQtODssdjjUhNKJTTQ==" spinCount="100000" sheet="1" objects="1" scenarios="1"/>
  <mergeCells count="6">
    <mergeCell ref="C7:G7"/>
    <mergeCell ref="J7:N7"/>
    <mergeCell ref="C27:G27"/>
    <mergeCell ref="J27:N27"/>
    <mergeCell ref="C45:G45"/>
    <mergeCell ref="J45:N45"/>
  </mergeCells>
  <phoneticPr fontId="66" type="noConversion"/>
  <conditionalFormatting sqref="B9:D9">
    <cfRule type="expression" dxfId="53" priority="14">
      <formula>(Mode="Dark")</formula>
    </cfRule>
  </conditionalFormatting>
  <conditionalFormatting sqref="C7:G7">
    <cfRule type="expression" dxfId="50" priority="16">
      <formula>(Mode="Dark")</formula>
    </cfRule>
  </conditionalFormatting>
  <conditionalFormatting sqref="C96:G145 I96:BJ145">
    <cfRule type="expression" dxfId="49" priority="28">
      <formula>$BL96&lt;&gt;"Yes"</formula>
    </cfRule>
    <cfRule type="expression" dxfId="48" priority="29">
      <formula>AND($BL96="Yes",C96&lt;1)</formula>
    </cfRule>
  </conditionalFormatting>
  <conditionalFormatting sqref="C149:G198 I149:BJ198">
    <cfRule type="expression" dxfId="47" priority="26">
      <formula>$BL149&lt;&gt;"Yes"</formula>
    </cfRule>
    <cfRule type="expression" dxfId="46" priority="27">
      <formula>AND($BL149="Yes",C149=0)</formula>
    </cfRule>
  </conditionalFormatting>
  <conditionalFormatting sqref="E9">
    <cfRule type="cellIs" dxfId="45" priority="1" operator="notEqual">
      <formula>""</formula>
    </cfRule>
  </conditionalFormatting>
  <conditionalFormatting sqref="F11:G24 M11:N24 F29:G42 M29:N42 F47:G57 M47:N57">
    <cfRule type="expression" dxfId="44" priority="3">
      <formula>Years="Three"</formula>
    </cfRule>
  </conditionalFormatting>
  <conditionalFormatting sqref="R47:Z51">
    <cfRule type="expression" dxfId="41" priority="5">
      <formula>Mode="Dark"</formula>
    </cfRule>
  </conditionalFormatting>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2" id="{291B7732-7D14-4AEE-B4B9-16D43360EEE0}">
            <xm:f>Input!$M$1319=0</xm:f>
            <x14:dxf>
              <font>
                <color theme="0"/>
              </font>
              <fill>
                <patternFill>
                  <bgColor theme="0"/>
                </patternFill>
              </fill>
              <border>
                <left/>
                <right/>
                <top/>
                <bottom/>
                <vertical/>
                <horizontal/>
              </border>
            </x14:dxf>
          </x14:cfRule>
          <xm:sqref>B45:G59</xm:sqref>
        </x14:conditionalFormatting>
        <x14:conditionalFormatting xmlns:xm="http://schemas.microsoft.com/office/excel/2006/main">
          <x14:cfRule type="expression" priority="23" id="{5461AB39-E5C0-4BC5-B02C-7B2373C2EE70}">
            <xm:f>Input!$M$1319=0</xm:f>
            <x14:dxf>
              <font>
                <b val="0"/>
                <i/>
                <color theme="1" tint="0.499984740745262"/>
              </font>
            </x14:dxf>
          </x14:cfRule>
          <xm:sqref>B53:G57</xm:sqref>
        </x14:conditionalFormatting>
        <x14:conditionalFormatting xmlns:xm="http://schemas.microsoft.com/office/excel/2006/main">
          <x14:cfRule type="expression" priority="21" id="{532A0EEF-7268-4A5B-AA00-B0821E579510}">
            <xm:f>Input!$X$1322=0</xm:f>
            <x14:dxf>
              <font>
                <color theme="0"/>
              </font>
              <fill>
                <patternFill>
                  <bgColor theme="0"/>
                </patternFill>
              </fill>
              <border>
                <left/>
                <right/>
                <top/>
                <bottom/>
                <vertical/>
                <horizontal/>
              </border>
            </x14:dxf>
          </x14:cfRule>
          <xm:sqref>I45:J46 J9:L9 I44:O44 O45 N46:O46 I47:O59</xm:sqref>
        </x14:conditionalFormatting>
        <x14:conditionalFormatting xmlns:xm="http://schemas.microsoft.com/office/excel/2006/main">
          <x14:cfRule type="expression" priority="7" id="{E972C878-BEFC-4855-A493-23A058034FF5}">
            <xm:f>AND(Input!$X$1319&gt;0,Mode="Dark")</xm:f>
            <x14:dxf>
              <font>
                <color rgb="FFFFFF99"/>
              </font>
              <fill>
                <patternFill>
                  <bgColor theme="1" tint="0.34998626667073579"/>
                </patternFill>
              </fill>
            </x14:dxf>
          </x14:cfRule>
          <xm:sqref>J7:N7 J27:N27 J45:N45</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A02F0-9D26-4E2D-A748-B791C1104035}">
  <sheetPr codeName="Sheet10"/>
  <dimension ref="A1:R164"/>
  <sheetViews>
    <sheetView showGridLines="0" workbookViewId="0">
      <selection activeCell="F74" sqref="F74"/>
    </sheetView>
  </sheetViews>
  <sheetFormatPr defaultColWidth="9" defaultRowHeight="13" x14ac:dyDescent="0.3"/>
  <cols>
    <col min="1" max="2" width="9" style="40"/>
    <col min="3" max="3" width="18.33203125" style="40" customWidth="1"/>
    <col min="4" max="4" width="15.33203125" style="40" customWidth="1"/>
    <col min="5" max="5" width="14.75" style="692" customWidth="1"/>
    <col min="6" max="6" width="15.33203125" style="40" customWidth="1"/>
    <col min="7" max="7" width="14.75" style="40" customWidth="1"/>
    <col min="8" max="8" width="15.33203125" style="40" customWidth="1"/>
    <col min="9" max="9" width="9.08203125" style="40" bestFit="1" customWidth="1"/>
    <col min="10" max="22" width="9" style="40"/>
    <col min="23" max="23" width="18.08203125" style="40" customWidth="1"/>
    <col min="24" max="16384" width="9" style="40"/>
  </cols>
  <sheetData>
    <row r="1" spans="1:12" ht="10.5" customHeight="1" x14ac:dyDescent="0.3"/>
    <row r="2" spans="1:12" x14ac:dyDescent="0.3">
      <c r="D2" s="688" t="s">
        <v>706</v>
      </c>
      <c r="E2" s="698"/>
      <c r="F2" s="688" t="s">
        <v>707</v>
      </c>
      <c r="G2" s="1822"/>
      <c r="H2" s="688" t="s">
        <v>708</v>
      </c>
    </row>
    <row r="3" spans="1:12" ht="18.5" x14ac:dyDescent="0.45">
      <c r="C3" s="1822"/>
      <c r="D3" s="788" t="s">
        <v>709</v>
      </c>
      <c r="E3" s="789"/>
      <c r="F3" s="788" t="s">
        <v>45</v>
      </c>
      <c r="G3" s="788"/>
      <c r="H3" s="788" t="str">
        <f>IF(Years="Three","Three Years","Five Years")</f>
        <v>Five Years</v>
      </c>
      <c r="I3" s="1822"/>
      <c r="J3" s="1823"/>
    </row>
    <row r="4" spans="1:12" ht="13.5" thickBot="1" x14ac:dyDescent="0.35">
      <c r="C4" s="1822"/>
      <c r="D4" s="790" t="str">
        <f>IFERROR(Calcs!B15,"")</f>
        <v>Jan-00  - First Month</v>
      </c>
      <c r="E4" s="791"/>
      <c r="F4" s="792" t="str">
        <f>IFERROR(Calcs!C15,"")</f>
        <v>No Breakeven</v>
      </c>
      <c r="G4" s="1824"/>
      <c r="H4" s="790" t="str">
        <f>IFERROR(Calcs!D15,"")</f>
        <v>Dec-04  - 60 months</v>
      </c>
      <c r="I4" s="1825"/>
      <c r="J4" s="1823"/>
    </row>
    <row r="5" spans="1:12" ht="5.15" customHeight="1" thickTop="1" x14ac:dyDescent="0.3">
      <c r="C5" s="699"/>
      <c r="D5" s="697"/>
      <c r="E5" s="693"/>
      <c r="F5" s="697"/>
      <c r="G5" s="1822"/>
      <c r="H5" s="697"/>
      <c r="I5" s="1825"/>
      <c r="J5" s="1823"/>
    </row>
    <row r="6" spans="1:12" ht="12.75" customHeight="1" x14ac:dyDescent="0.35">
      <c r="C6" s="700" t="s">
        <v>710</v>
      </c>
      <c r="D6" s="704">
        <f>D26</f>
        <v>0</v>
      </c>
      <c r="E6" s="694"/>
      <c r="F6" s="704">
        <f>F26</f>
        <v>0</v>
      </c>
      <c r="G6" s="4"/>
      <c r="H6" s="704">
        <f>H26</f>
        <v>0</v>
      </c>
      <c r="I6" s="703"/>
      <c r="J6" s="1823"/>
      <c r="L6" s="723"/>
    </row>
    <row r="7" spans="1:12" ht="12.75" customHeight="1" x14ac:dyDescent="0.3">
      <c r="C7" s="700" t="s">
        <v>711</v>
      </c>
      <c r="D7" s="704">
        <f>-D52</f>
        <v>0</v>
      </c>
      <c r="E7" s="694"/>
      <c r="F7" s="704">
        <f>-F52</f>
        <v>0</v>
      </c>
      <c r="G7" s="4"/>
      <c r="H7" s="704">
        <f>-H52</f>
        <v>0</v>
      </c>
      <c r="I7" s="703"/>
      <c r="J7" s="1823"/>
    </row>
    <row r="8" spans="1:12" ht="12.75" customHeight="1" thickBot="1" x14ac:dyDescent="0.35">
      <c r="C8" s="700" t="s">
        <v>712</v>
      </c>
      <c r="D8" s="705">
        <f>D6+D7</f>
        <v>0</v>
      </c>
      <c r="E8" s="694"/>
      <c r="F8" s="705">
        <f>F6+F7</f>
        <v>0</v>
      </c>
      <c r="G8" s="4"/>
      <c r="H8" s="705">
        <f>H6+H7</f>
        <v>0</v>
      </c>
      <c r="I8" s="703"/>
      <c r="J8" s="1823"/>
    </row>
    <row r="9" spans="1:12" ht="12.65" customHeight="1" thickTop="1" x14ac:dyDescent="0.3">
      <c r="C9" s="699"/>
      <c r="D9" s="703"/>
      <c r="E9" s="693"/>
      <c r="F9" s="703"/>
      <c r="G9" s="699"/>
      <c r="H9" s="703"/>
      <c r="I9" s="703"/>
      <c r="J9" s="1823"/>
    </row>
    <row r="10" spans="1:12" ht="12.65" customHeight="1" x14ac:dyDescent="0.3">
      <c r="C10" s="784" t="s">
        <v>369</v>
      </c>
      <c r="D10" s="709">
        <f>D56</f>
        <v>0</v>
      </c>
      <c r="E10" s="785"/>
      <c r="F10" s="709" t="str">
        <f>F56</f>
        <v/>
      </c>
      <c r="G10" s="786"/>
      <c r="H10" s="709">
        <f>H56</f>
        <v>0</v>
      </c>
      <c r="I10" s="703"/>
      <c r="J10" s="1823"/>
    </row>
    <row r="11" spans="1:12" ht="5.15" customHeight="1" x14ac:dyDescent="0.3">
      <c r="C11" s="784"/>
      <c r="D11" s="787"/>
      <c r="E11" s="785"/>
      <c r="F11" s="787"/>
      <c r="G11" s="786"/>
      <c r="H11" s="787"/>
      <c r="I11" s="703"/>
      <c r="J11" s="1823"/>
    </row>
    <row r="12" spans="1:12" ht="12.65" customHeight="1" x14ac:dyDescent="0.3">
      <c r="C12" s="784" t="s">
        <v>371</v>
      </c>
      <c r="D12" s="709">
        <f>HLOOKUP(Calcs!B23,Calcs!$I28:$BP29,2,0)</f>
        <v>0</v>
      </c>
      <c r="E12" s="785"/>
      <c r="F12" s="709" t="str">
        <f>IFERROR(HLOOKUP(Calcs!C23,Calcs!$I28:$BP29,2,0),"")</f>
        <v/>
      </c>
      <c r="G12" s="786"/>
      <c r="H12" s="709">
        <f>HLOOKUP(Calcs!D23,Calcs!$I28:$BP29,2,0)</f>
        <v>0</v>
      </c>
      <c r="I12" s="703"/>
      <c r="J12" s="1823"/>
    </row>
    <row r="13" spans="1:12" ht="12.65" customHeight="1" x14ac:dyDescent="0.3">
      <c r="C13" s="699"/>
      <c r="D13" s="703"/>
      <c r="E13" s="693"/>
      <c r="F13" s="703"/>
      <c r="G13" s="699"/>
      <c r="H13" s="703"/>
      <c r="I13" s="703"/>
      <c r="J13" s="1823"/>
    </row>
    <row r="14" spans="1:12" ht="12.65" customHeight="1" x14ac:dyDescent="0.3">
      <c r="C14" s="699"/>
      <c r="D14" s="703"/>
      <c r="E14" s="693"/>
      <c r="F14" s="703"/>
      <c r="G14" s="699"/>
      <c r="H14" s="703"/>
      <c r="I14" s="703"/>
      <c r="J14" s="1823"/>
    </row>
    <row r="15" spans="1:12" ht="15.75" customHeight="1" x14ac:dyDescent="0.3">
      <c r="A15" s="1924" t="s">
        <v>710</v>
      </c>
      <c r="B15" s="1924"/>
      <c r="C15" s="701" t="s">
        <v>360</v>
      </c>
      <c r="D15" s="706">
        <f>Calcs!B26</f>
        <v>0</v>
      </c>
      <c r="E15" s="714"/>
      <c r="F15" s="706">
        <f>Calcs!C26</f>
        <v>0</v>
      </c>
      <c r="G15" s="696"/>
      <c r="H15" s="706">
        <f>Calcs!D26</f>
        <v>0</v>
      </c>
      <c r="I15" s="722"/>
      <c r="J15" s="1823"/>
    </row>
    <row r="16" spans="1:12" x14ac:dyDescent="0.3">
      <c r="A16" s="1924"/>
      <c r="B16" s="1924"/>
      <c r="C16" s="701" t="s">
        <v>370</v>
      </c>
      <c r="D16" s="706">
        <f>Calcs!B30</f>
        <v>0</v>
      </c>
      <c r="E16" s="714"/>
      <c r="F16" s="706">
        <f>Calcs!C30</f>
        <v>0</v>
      </c>
      <c r="G16" s="714"/>
      <c r="H16" s="706">
        <f>Calcs!D30</f>
        <v>0</v>
      </c>
      <c r="I16" s="722"/>
      <c r="J16" s="1823"/>
    </row>
    <row r="17" spans="1:15" ht="5.15" customHeight="1" x14ac:dyDescent="0.3">
      <c r="A17" s="1004"/>
      <c r="B17" s="1004"/>
      <c r="C17" s="699"/>
      <c r="D17" s="703"/>
      <c r="E17" s="715"/>
      <c r="F17" s="703"/>
      <c r="G17" s="721"/>
      <c r="H17" s="703"/>
      <c r="I17" s="722"/>
      <c r="J17" s="1823"/>
    </row>
    <row r="18" spans="1:15" x14ac:dyDescent="0.3">
      <c r="A18" s="1004"/>
      <c r="B18" s="1004"/>
      <c r="C18" s="701" t="s">
        <v>187</v>
      </c>
      <c r="D18" s="704">
        <f>Calcs!B46</f>
        <v>0</v>
      </c>
      <c r="E18" s="716" t="str">
        <f>IF(D$26&lt;&gt;0,D18/D$26,"")</f>
        <v/>
      </c>
      <c r="F18" s="704">
        <f>Calcs!C46</f>
        <v>0</v>
      </c>
      <c r="G18" s="716" t="str">
        <f>IF(F$26&lt;&gt;0,F18/F$26,"")</f>
        <v/>
      </c>
      <c r="H18" s="704">
        <f>Calcs!D46</f>
        <v>0</v>
      </c>
      <c r="I18" s="716" t="str">
        <f>IF(H$26&lt;&gt;0,H18/H$26,"")</f>
        <v/>
      </c>
      <c r="J18" s="1823"/>
    </row>
    <row r="19" spans="1:15" x14ac:dyDescent="0.3">
      <c r="A19" s="1004"/>
      <c r="B19" s="1004"/>
      <c r="C19" s="701" t="s">
        <v>385</v>
      </c>
      <c r="D19" s="704">
        <f>Calcs!B50</f>
        <v>0</v>
      </c>
      <c r="E19" s="716" t="str">
        <f>IF(D$26&lt;&gt;0,D19/D$26,"")</f>
        <v/>
      </c>
      <c r="F19" s="704">
        <f>Calcs!C50</f>
        <v>0</v>
      </c>
      <c r="G19" s="716" t="str">
        <f>IF(F$26&lt;&gt;0,F19/F$26,"")</f>
        <v/>
      </c>
      <c r="H19" s="704">
        <f>Calcs!D50</f>
        <v>0</v>
      </c>
      <c r="I19" s="716" t="str">
        <f>IF(H$26&lt;&gt;0,H19/H$26,"")</f>
        <v/>
      </c>
      <c r="J19" s="1823"/>
    </row>
    <row r="20" spans="1:15" x14ac:dyDescent="0.3">
      <c r="A20" s="1004"/>
      <c r="B20" s="1004"/>
      <c r="C20" s="701" t="s">
        <v>62</v>
      </c>
      <c r="D20" s="704">
        <f>Calcs!B54</f>
        <v>0</v>
      </c>
      <c r="E20" s="716" t="str">
        <f>IF(D$26&lt;&gt;0,D20/D$26,"")</f>
        <v/>
      </c>
      <c r="F20" s="704">
        <f>Calcs!C54</f>
        <v>0</v>
      </c>
      <c r="G20" s="716" t="str">
        <f>IF(F$26&lt;&gt;0,F20/F$26,"")</f>
        <v/>
      </c>
      <c r="H20" s="704">
        <f>Calcs!D54</f>
        <v>0</v>
      </c>
      <c r="I20" s="716" t="str">
        <f>IF(H$26&lt;&gt;0,H20/H$26,"")</f>
        <v/>
      </c>
      <c r="J20" s="1823"/>
    </row>
    <row r="21" spans="1:15" x14ac:dyDescent="0.3">
      <c r="A21" s="1004"/>
      <c r="B21" s="1004"/>
      <c r="C21" s="701" t="s">
        <v>176</v>
      </c>
      <c r="D21" s="704">
        <f>Calcs!B58</f>
        <v>0</v>
      </c>
      <c r="E21" s="716" t="str">
        <f>IF(D$26&lt;&gt;0,D21/D$26,"")</f>
        <v/>
      </c>
      <c r="F21" s="704">
        <f>Calcs!C58</f>
        <v>0</v>
      </c>
      <c r="G21" s="716" t="str">
        <f>IF(F$26&lt;&gt;0,F21/F$26,"")</f>
        <v/>
      </c>
      <c r="H21" s="704">
        <f>Calcs!D58</f>
        <v>0</v>
      </c>
      <c r="I21" s="716" t="str">
        <f>IF(H$26&lt;&gt;0,H21/H$26,"")</f>
        <v/>
      </c>
      <c r="J21" s="1823"/>
    </row>
    <row r="22" spans="1:15" ht="5.15" customHeight="1" x14ac:dyDescent="0.3">
      <c r="A22" s="1004"/>
      <c r="B22" s="1004"/>
      <c r="C22" s="701"/>
      <c r="D22" s="706"/>
      <c r="E22" s="717"/>
      <c r="F22" s="706"/>
      <c r="G22" s="717"/>
      <c r="H22" s="706"/>
      <c r="I22" s="717"/>
      <c r="J22" s="1823"/>
    </row>
    <row r="23" spans="1:15" x14ac:dyDescent="0.3">
      <c r="A23" s="1004"/>
      <c r="B23" s="1004"/>
      <c r="C23" s="701" t="str">
        <f>Input!C37&amp; " Revenue"</f>
        <v>Product / Service  Revenue</v>
      </c>
      <c r="D23" s="704">
        <f>Calcs!B42</f>
        <v>0</v>
      </c>
      <c r="E23" s="716" t="str">
        <f>IF(D$26&lt;&gt;0,D23/D$26,"")</f>
        <v/>
      </c>
      <c r="F23" s="704">
        <f>Calcs!C42</f>
        <v>0</v>
      </c>
      <c r="G23" s="716" t="str">
        <f>IF(F$26&lt;&gt;0,F23/F$26,"")</f>
        <v/>
      </c>
      <c r="H23" s="704">
        <f>Calcs!D42</f>
        <v>0</v>
      </c>
      <c r="I23" s="716" t="str">
        <f>IF(H$26&lt;&gt;0,H23/H$26,"")</f>
        <v/>
      </c>
      <c r="J23" s="1823"/>
    </row>
    <row r="24" spans="1:15" x14ac:dyDescent="0.3">
      <c r="A24" s="1004"/>
      <c r="B24" s="1004"/>
      <c r="C24" s="701" t="s">
        <v>373</v>
      </c>
      <c r="D24" s="704">
        <f>Calcs!B38</f>
        <v>0</v>
      </c>
      <c r="E24" s="716" t="str">
        <f>IF(D$26&lt;&gt;0,D24/D$26,"")</f>
        <v/>
      </c>
      <c r="F24" s="704">
        <f>Calcs!C38</f>
        <v>0</v>
      </c>
      <c r="G24" s="716" t="str">
        <f>IF(F$26&lt;&gt;0,F24/F$26,"")</f>
        <v/>
      </c>
      <c r="H24" s="704">
        <f>Calcs!D38</f>
        <v>0</v>
      </c>
      <c r="I24" s="716" t="str">
        <f>IF(H$26&lt;&gt;0,H24/H$26,"")</f>
        <v/>
      </c>
      <c r="J24" s="1823"/>
    </row>
    <row r="25" spans="1:15" ht="5.15" customHeight="1" x14ac:dyDescent="0.3">
      <c r="A25" s="1004"/>
      <c r="B25" s="1004"/>
      <c r="C25" s="4"/>
      <c r="D25" s="4"/>
      <c r="E25" s="718"/>
      <c r="F25" s="4"/>
      <c r="G25" s="718"/>
      <c r="H25" s="4"/>
      <c r="I25" s="718"/>
      <c r="J25" s="1823"/>
      <c r="O25" s="494"/>
    </row>
    <row r="26" spans="1:15" ht="13.5" thickBot="1" x14ac:dyDescent="0.35">
      <c r="A26" s="1004"/>
      <c r="B26" s="1004"/>
      <c r="C26" s="700" t="s">
        <v>131</v>
      </c>
      <c r="D26" s="707">
        <f>SUM(D18:D21)+SUM(D23:D24)</f>
        <v>0</v>
      </c>
      <c r="E26" s="716" t="str">
        <f>IF(D$26&lt;&gt;0,D26/D$26,"")</f>
        <v/>
      </c>
      <c r="F26" s="707">
        <f>SUM(F18:F21)+SUM(F23:F24)</f>
        <v>0</v>
      </c>
      <c r="G26" s="716" t="str">
        <f>IF(F$26&lt;&gt;0,F26/F$26,"")</f>
        <v/>
      </c>
      <c r="H26" s="707">
        <f>SUM(H18:H21)+SUM(H23:H24)</f>
        <v>0</v>
      </c>
      <c r="I26" s="716" t="str">
        <f>IF(H$26&lt;&gt;0,H26/H$26,"")</f>
        <v/>
      </c>
      <c r="J26" s="1823"/>
    </row>
    <row r="27" spans="1:15" ht="15.75" customHeight="1" thickTop="1" x14ac:dyDescent="0.3">
      <c r="A27" s="1004"/>
      <c r="B27" s="1004"/>
      <c r="C27" s="701"/>
      <c r="D27" s="701"/>
      <c r="E27" s="719"/>
      <c r="F27" s="701"/>
      <c r="G27" s="719"/>
      <c r="H27" s="701"/>
      <c r="I27" s="719"/>
      <c r="J27" s="1823"/>
    </row>
    <row r="28" spans="1:15" ht="18.5" x14ac:dyDescent="0.45">
      <c r="A28" s="1004"/>
      <c r="B28" s="1004"/>
      <c r="C28" s="701"/>
      <c r="D28" s="788" t="s">
        <v>709</v>
      </c>
      <c r="E28" s="789"/>
      <c r="F28" s="788" t="s">
        <v>45</v>
      </c>
      <c r="G28" s="788"/>
      <c r="H28" s="788" t="str">
        <f>H3</f>
        <v>Five Years</v>
      </c>
      <c r="I28" s="719"/>
      <c r="J28" s="1823"/>
    </row>
    <row r="29" spans="1:15" ht="16.5" customHeight="1" thickBot="1" x14ac:dyDescent="0.35">
      <c r="A29" s="1925" t="s">
        <v>711</v>
      </c>
      <c r="B29" s="1925"/>
      <c r="C29" s="701"/>
      <c r="D29" s="792" t="str">
        <f>Calcs!B15</f>
        <v>Jan-00  - First Month</v>
      </c>
      <c r="E29" s="793"/>
      <c r="F29" s="792" t="str">
        <f>Calcs!C15</f>
        <v>No Breakeven</v>
      </c>
      <c r="G29" s="794"/>
      <c r="H29" s="792" t="str">
        <f>Calcs!D15</f>
        <v>Dec-04  - 60 months</v>
      </c>
      <c r="I29" s="719"/>
      <c r="J29" s="1823"/>
    </row>
    <row r="30" spans="1:15" ht="4.5" customHeight="1" thickTop="1" x14ac:dyDescent="0.3">
      <c r="A30" s="1925"/>
      <c r="B30" s="1925"/>
      <c r="C30" s="701"/>
      <c r="D30" s="701"/>
      <c r="E30" s="719"/>
      <c r="F30" s="701"/>
      <c r="G30" s="719"/>
      <c r="H30" s="701"/>
      <c r="I30" s="719"/>
      <c r="J30" s="1823"/>
    </row>
    <row r="31" spans="1:15" ht="13" customHeight="1" x14ac:dyDescent="0.3">
      <c r="A31" s="1925"/>
      <c r="B31" s="1925"/>
      <c r="C31" s="700" t="s">
        <v>713</v>
      </c>
      <c r="D31" s="701"/>
      <c r="E31" s="719"/>
      <c r="F31" s="701"/>
      <c r="G31" s="719"/>
      <c r="H31" s="701"/>
      <c r="I31" s="719"/>
      <c r="J31" s="1823"/>
    </row>
    <row r="32" spans="1:15" ht="13" customHeight="1" x14ac:dyDescent="0.55000000000000004">
      <c r="A32" s="1323"/>
      <c r="B32" s="1323"/>
      <c r="C32" s="701" t="s">
        <v>58</v>
      </c>
      <c r="D32" s="1322">
        <f>Calcs!B112</f>
        <v>0</v>
      </c>
      <c r="E32" s="719"/>
      <c r="F32" s="1322">
        <f>Calcs!C112</f>
        <v>0</v>
      </c>
      <c r="G32" s="719"/>
      <c r="H32" s="1322">
        <f>Calcs!D112</f>
        <v>0</v>
      </c>
      <c r="I32" s="719"/>
      <c r="J32" s="1823"/>
    </row>
    <row r="33" spans="1:10" ht="13" customHeight="1" x14ac:dyDescent="0.55000000000000004">
      <c r="A33" s="1323"/>
      <c r="B33" s="1323"/>
      <c r="C33" s="702" t="s">
        <v>150</v>
      </c>
      <c r="D33" s="708">
        <f>Calcs!B89</f>
        <v>0</v>
      </c>
      <c r="E33" s="715"/>
      <c r="F33" s="708">
        <f>Calcs!C89</f>
        <v>0</v>
      </c>
      <c r="G33" s="721"/>
      <c r="H33" s="708">
        <f>Calcs!D89</f>
        <v>0</v>
      </c>
      <c r="I33" s="11"/>
      <c r="J33" s="1823"/>
    </row>
    <row r="34" spans="1:10" ht="5.15" customHeight="1" x14ac:dyDescent="0.55000000000000004">
      <c r="A34" s="1323"/>
      <c r="B34" s="1323"/>
      <c r="C34" s="4"/>
      <c r="D34" s="4"/>
      <c r="E34" s="11"/>
      <c r="F34" s="4"/>
      <c r="G34" s="11"/>
      <c r="H34" s="4"/>
      <c r="I34" s="11"/>
      <c r="J34" s="1823"/>
    </row>
    <row r="35" spans="1:10" ht="13" customHeight="1" x14ac:dyDescent="0.55000000000000004">
      <c r="A35" s="1800"/>
      <c r="B35" s="1800"/>
      <c r="C35" s="700" t="s">
        <v>714</v>
      </c>
      <c r="D35" s="704"/>
      <c r="E35" s="716"/>
      <c r="F35" s="704"/>
      <c r="G35" s="716"/>
      <c r="H35" s="704"/>
      <c r="I35" s="716"/>
      <c r="J35" s="1823"/>
    </row>
    <row r="36" spans="1:10" ht="13" customHeight="1" x14ac:dyDescent="0.55000000000000004">
      <c r="A36" s="1800"/>
      <c r="B36" s="1800"/>
      <c r="C36" s="701" t="s">
        <v>58</v>
      </c>
      <c r="D36" s="704">
        <f>Calcs!B82</f>
        <v>0</v>
      </c>
      <c r="E36" s="716" t="str">
        <f>IF(D$52&lt;&gt;0,D36/D$52,"")</f>
        <v/>
      </c>
      <c r="F36" s="704">
        <f>Calcs!C82</f>
        <v>0</v>
      </c>
      <c r="G36" s="716" t="str">
        <f>IF(F$52&lt;&gt;0,F36/F$52,"")</f>
        <v/>
      </c>
      <c r="H36" s="704">
        <f>Calcs!D82</f>
        <v>0</v>
      </c>
      <c r="I36" s="716" t="str">
        <f>IF(H$52&lt;&gt;0,H36/H$52,"")</f>
        <v/>
      </c>
      <c r="J36" s="1823"/>
    </row>
    <row r="37" spans="1:10" ht="13" customHeight="1" x14ac:dyDescent="0.55000000000000004">
      <c r="A37" s="1800"/>
      <c r="B37" s="1800"/>
      <c r="C37" s="701" t="s">
        <v>150</v>
      </c>
      <c r="D37" s="704">
        <f>Calcs!B86</f>
        <v>0</v>
      </c>
      <c r="E37" s="716" t="str">
        <f>IF(D$52&lt;&gt;0,D37/D$52,"")</f>
        <v/>
      </c>
      <c r="F37" s="704">
        <f>Calcs!C86</f>
        <v>0</v>
      </c>
      <c r="G37" s="716" t="str">
        <f>IF(F$52&lt;&gt;0,F37/F$52,"")</f>
        <v/>
      </c>
      <c r="H37" s="704">
        <f>Calcs!D86</f>
        <v>0</v>
      </c>
      <c r="I37" s="716" t="str">
        <f>IF(H$52&lt;&gt;0,H37/H$52,"")</f>
        <v/>
      </c>
      <c r="J37" s="1823"/>
    </row>
    <row r="38" spans="1:10" ht="5.15" customHeight="1" x14ac:dyDescent="0.55000000000000004">
      <c r="A38" s="1800"/>
      <c r="B38" s="1800"/>
      <c r="C38" s="701"/>
      <c r="D38" s="704"/>
      <c r="E38" s="716"/>
      <c r="F38" s="704"/>
      <c r="G38" s="716"/>
      <c r="H38" s="704"/>
      <c r="I38" s="716"/>
      <c r="J38" s="1823"/>
    </row>
    <row r="39" spans="1:10" ht="13.5" customHeight="1" x14ac:dyDescent="0.3">
      <c r="C39" s="700" t="s">
        <v>715</v>
      </c>
      <c r="D39" s="709"/>
      <c r="E39" s="719"/>
      <c r="F39" s="709"/>
      <c r="G39" s="719"/>
      <c r="H39" s="709"/>
      <c r="I39" s="719"/>
      <c r="J39" s="1823"/>
    </row>
    <row r="40" spans="1:10" ht="13.5" customHeight="1" x14ac:dyDescent="0.3">
      <c r="C40" s="701" t="s">
        <v>164</v>
      </c>
      <c r="D40" s="704">
        <f>Calcs!B62</f>
        <v>0</v>
      </c>
      <c r="E40" s="716" t="str">
        <f>IF(D$52&lt;&gt;0,D40/D$52,"")</f>
        <v/>
      </c>
      <c r="F40" s="704">
        <f>Calcs!C62</f>
        <v>0</v>
      </c>
      <c r="G40" s="716" t="str">
        <f>IF(F$52&lt;&gt;0,F40/F$52,"")</f>
        <v/>
      </c>
      <c r="H40" s="704">
        <f>Calcs!D62</f>
        <v>0</v>
      </c>
      <c r="I40" s="716" t="str">
        <f>IF(H$52&lt;&gt;0,H40/H$52,"")</f>
        <v/>
      </c>
      <c r="J40" s="1823"/>
    </row>
    <row r="41" spans="1:10" ht="13.5" customHeight="1" x14ac:dyDescent="0.3">
      <c r="C41" s="701" t="s">
        <v>21</v>
      </c>
      <c r="D41" s="704">
        <f>Calcs!B66</f>
        <v>0</v>
      </c>
      <c r="E41" s="716" t="str">
        <f>IF(D$52&lt;&gt;0,D41/D$52,"")</f>
        <v/>
      </c>
      <c r="F41" s="704">
        <f>Calcs!C66</f>
        <v>0</v>
      </c>
      <c r="G41" s="716" t="str">
        <f>IF(F$52&lt;&gt;0,F41/F$52,"")</f>
        <v/>
      </c>
      <c r="H41" s="704">
        <f>Calcs!D66</f>
        <v>0</v>
      </c>
      <c r="I41" s="716" t="str">
        <f>IF(H$52&lt;&gt;0,H41/H$52,"")</f>
        <v/>
      </c>
      <c r="J41" s="1823"/>
    </row>
    <row r="42" spans="1:10" ht="5.15" customHeight="1" x14ac:dyDescent="0.3">
      <c r="C42" s="701"/>
      <c r="D42" s="701"/>
      <c r="E42" s="719"/>
      <c r="F42" s="701"/>
      <c r="G42" s="719"/>
      <c r="H42" s="701"/>
      <c r="I42" s="719"/>
      <c r="J42" s="1823"/>
    </row>
    <row r="43" spans="1:10" ht="13.5" customHeight="1" x14ac:dyDescent="0.3">
      <c r="C43" s="700" t="s">
        <v>12</v>
      </c>
      <c r="D43" s="704">
        <f>Calcs!B70</f>
        <v>0</v>
      </c>
      <c r="E43" s="716" t="str">
        <f>IF(D$52&lt;&gt;0,D43/D$52,"")</f>
        <v/>
      </c>
      <c r="F43" s="704">
        <f>Calcs!C70</f>
        <v>0</v>
      </c>
      <c r="G43" s="716" t="str">
        <f>IF(F$52&lt;&gt;0,F43/F$52,"")</f>
        <v/>
      </c>
      <c r="H43" s="704">
        <f>Calcs!D70</f>
        <v>0</v>
      </c>
      <c r="I43" s="716" t="str">
        <f>IF(H$52&lt;&gt;0,H43/H$52,"")</f>
        <v/>
      </c>
      <c r="J43" s="1823"/>
    </row>
    <row r="44" spans="1:10" ht="5.15" customHeight="1" x14ac:dyDescent="0.3">
      <c r="C44" s="700"/>
      <c r="D44" s="704"/>
      <c r="E44" s="716"/>
      <c r="F44" s="704"/>
      <c r="G44" s="716"/>
      <c r="H44" s="704"/>
      <c r="I44" s="716"/>
      <c r="J44" s="1823"/>
    </row>
    <row r="45" spans="1:10" ht="13.5" customHeight="1" x14ac:dyDescent="0.3">
      <c r="C45" s="700" t="s">
        <v>67</v>
      </c>
      <c r="D45" s="704"/>
      <c r="E45" s="716"/>
      <c r="F45" s="704"/>
      <c r="G45" s="716"/>
      <c r="H45" s="704"/>
      <c r="I45" s="716"/>
      <c r="J45" s="1823"/>
    </row>
    <row r="46" spans="1:10" ht="13.5" customHeight="1" x14ac:dyDescent="0.3">
      <c r="C46" s="701" t="s">
        <v>18</v>
      </c>
      <c r="D46" s="704">
        <f>Calcs!B74</f>
        <v>0</v>
      </c>
      <c r="E46" s="716" t="str">
        <f>IF(D$52&lt;&gt;0,D46/D$52,"")</f>
        <v/>
      </c>
      <c r="F46" s="704">
        <f>Calcs!C74</f>
        <v>0</v>
      </c>
      <c r="G46" s="716" t="str">
        <f>IF(F$52&lt;&gt;0,F46/F$52,"")</f>
        <v/>
      </c>
      <c r="H46" s="704">
        <f>Calcs!D74</f>
        <v>0</v>
      </c>
      <c r="I46" s="716" t="str">
        <f>IF(H$52&lt;&gt;0,H46/H$52,"")</f>
        <v/>
      </c>
      <c r="J46" s="1823"/>
    </row>
    <row r="47" spans="1:10" ht="13.5" customHeight="1" x14ac:dyDescent="0.3">
      <c r="C47" s="701" t="s">
        <v>61</v>
      </c>
      <c r="D47" s="704">
        <f>Calcs!B78</f>
        <v>0</v>
      </c>
      <c r="E47" s="716" t="str">
        <f>IF(D$52&lt;&gt;0,D47/D$52,"")</f>
        <v/>
      </c>
      <c r="F47" s="704">
        <f>Calcs!C78</f>
        <v>0</v>
      </c>
      <c r="G47" s="716" t="str">
        <f>IF(F$52&lt;&gt;0,F47/F$52,"")</f>
        <v/>
      </c>
      <c r="H47" s="704">
        <f>Calcs!D78</f>
        <v>0</v>
      </c>
      <c r="I47" s="716" t="str">
        <f>IF(H$52&lt;&gt;0,H47/H$52,"")</f>
        <v/>
      </c>
      <c r="J47" s="1823"/>
    </row>
    <row r="48" spans="1:10" ht="5.15" customHeight="1" x14ac:dyDescent="0.3">
      <c r="C48" s="701"/>
      <c r="D48" s="704"/>
      <c r="E48" s="716"/>
      <c r="F48" s="704"/>
      <c r="G48" s="716"/>
      <c r="H48" s="704"/>
      <c r="I48" s="716"/>
      <c r="J48" s="1823"/>
    </row>
    <row r="49" spans="3:10" ht="13.5" customHeight="1" x14ac:dyDescent="0.3">
      <c r="C49" s="701" t="s">
        <v>188</v>
      </c>
      <c r="D49" s="704">
        <f>Calcs!B93</f>
        <v>0</v>
      </c>
      <c r="E49" s="716" t="str">
        <f>IF(D$52&lt;&gt;0,D49/D$52,"")</f>
        <v/>
      </c>
      <c r="F49" s="704">
        <f>Calcs!C93</f>
        <v>0</v>
      </c>
      <c r="G49" s="716" t="str">
        <f>IF(F$52&lt;&gt;0,F49/F$52,"")</f>
        <v/>
      </c>
      <c r="H49" s="704">
        <f>Calcs!D93</f>
        <v>0</v>
      </c>
      <c r="I49" s="716" t="str">
        <f>IF(H$52&lt;&gt;0,H49/H$52,"")</f>
        <v/>
      </c>
      <c r="J49" s="1823"/>
    </row>
    <row r="50" spans="3:10" ht="13.5" customHeight="1" x14ac:dyDescent="0.3">
      <c r="C50" s="701" t="s">
        <v>295</v>
      </c>
      <c r="D50" s="704">
        <f>Calcs!B97</f>
        <v>0</v>
      </c>
      <c r="E50" s="716" t="str">
        <f>IF(D$52&lt;&gt;0,D50/D$52,"")</f>
        <v/>
      </c>
      <c r="F50" s="704">
        <f>Calcs!C97</f>
        <v>0</v>
      </c>
      <c r="G50" s="716" t="str">
        <f>IF(F$52&lt;&gt;0,F50/F$52,"")</f>
        <v/>
      </c>
      <c r="H50" s="704">
        <f>Calcs!D97</f>
        <v>0</v>
      </c>
      <c r="I50" s="716" t="str">
        <f>IF(H$52&lt;&gt;0,H50/H$52,"")</f>
        <v/>
      </c>
      <c r="J50" s="1823"/>
    </row>
    <row r="51" spans="3:10" ht="5.15" customHeight="1" x14ac:dyDescent="0.3">
      <c r="C51" s="701"/>
      <c r="D51" s="704"/>
      <c r="E51" s="716"/>
      <c r="F51" s="704"/>
      <c r="G51" s="716"/>
      <c r="H51" s="704"/>
      <c r="I51" s="716"/>
      <c r="J51" s="1823"/>
    </row>
    <row r="52" spans="3:10" ht="13.5" customHeight="1" thickBot="1" x14ac:dyDescent="0.35">
      <c r="C52" s="700" t="s">
        <v>131</v>
      </c>
      <c r="D52" s="707">
        <f>SUM(D40:D50)</f>
        <v>0</v>
      </c>
      <c r="E52" s="716" t="str">
        <f>IF(D$52&lt;&gt;0,D52/D$52,"")</f>
        <v/>
      </c>
      <c r="F52" s="707">
        <f>SUM(F40:F50)</f>
        <v>0</v>
      </c>
      <c r="G52" s="716" t="str">
        <f>IF(F$52&lt;&gt;0,F52/F$52,"")</f>
        <v/>
      </c>
      <c r="H52" s="707">
        <f>SUM(H40:H50)</f>
        <v>0</v>
      </c>
      <c r="I52" s="716" t="str">
        <f>IF(H$52&lt;&gt;0,H52/H$52,"")</f>
        <v/>
      </c>
      <c r="J52" s="1823"/>
    </row>
    <row r="53" spans="3:10" ht="5.15" customHeight="1" thickTop="1" x14ac:dyDescent="0.3">
      <c r="C53" s="703"/>
      <c r="D53" s="710"/>
      <c r="E53" s="720"/>
      <c r="F53" s="699"/>
      <c r="G53" s="721"/>
      <c r="H53" s="711"/>
      <c r="I53" s="721"/>
      <c r="J53" s="1823"/>
    </row>
    <row r="54" spans="3:10" ht="13.5" customHeight="1" thickBot="1" x14ac:dyDescent="0.35">
      <c r="C54" s="700" t="s">
        <v>716</v>
      </c>
      <c r="D54" s="712">
        <f>D26-D52</f>
        <v>0</v>
      </c>
      <c r="E54" s="720"/>
      <c r="F54" s="712">
        <f>F26-F52</f>
        <v>0</v>
      </c>
      <c r="G54" s="721"/>
      <c r="H54" s="712">
        <f>H26-H52</f>
        <v>0</v>
      </c>
      <c r="I54" s="699"/>
      <c r="J54" s="1823"/>
    </row>
    <row r="55" spans="3:10" ht="5.15" customHeight="1" thickTop="1" x14ac:dyDescent="0.3">
      <c r="C55" s="703"/>
      <c r="D55" s="710"/>
      <c r="E55" s="695"/>
      <c r="F55" s="699"/>
      <c r="G55" s="721"/>
      <c r="H55" s="711"/>
      <c r="I55" s="699"/>
      <c r="J55" s="1823"/>
    </row>
    <row r="56" spans="3:10" ht="13.5" customHeight="1" x14ac:dyDescent="0.3">
      <c r="C56" s="701" t="str">
        <f>IF(D56&gt;0,"Monthly Cash Increase","Monthly Cash Burn")</f>
        <v>Monthly Cash Burn</v>
      </c>
      <c r="D56" s="713">
        <f>IF(Calcs!B22&lt;&gt;0,D54/Calcs!B22,"")</f>
        <v>0</v>
      </c>
      <c r="E56" s="701" t="str">
        <f>IF(F56&gt;0,"Monthly Increase","Monthly Burn")</f>
        <v>Monthly Increase</v>
      </c>
      <c r="F56" s="713" t="str">
        <f>IFERROR(IF(Calcs!C22&lt;&gt;0,F54/Calcs!C22,""),"")</f>
        <v/>
      </c>
      <c r="G56" s="701" t="str">
        <f>IF(H56&gt;0,"Monthly Increase","Monthly Burn")</f>
        <v>Monthly Burn</v>
      </c>
      <c r="H56" s="713">
        <f>IF(Calcs!D22&lt;&gt;0,H54/Calcs!D22,"")</f>
        <v>0</v>
      </c>
      <c r="I56" s="699"/>
    </row>
    <row r="57" spans="3:10" ht="13.5" customHeight="1" x14ac:dyDescent="0.3">
      <c r="J57" s="1823"/>
    </row>
    <row r="58" spans="3:10" ht="13.5" customHeight="1" x14ac:dyDescent="0.3">
      <c r="J58" s="1823"/>
    </row>
    <row r="59" spans="3:10" ht="13.5" customHeight="1" x14ac:dyDescent="0.3">
      <c r="J59" s="1823"/>
    </row>
    <row r="60" spans="3:10" ht="13.5" customHeight="1" x14ac:dyDescent="0.3"/>
    <row r="61" spans="3:10" ht="5.15" customHeight="1" x14ac:dyDescent="0.3"/>
    <row r="62" spans="3:10" ht="13.5" customHeight="1" x14ac:dyDescent="0.3"/>
    <row r="63" spans="3:10" ht="13.5" customHeight="1" x14ac:dyDescent="0.3"/>
    <row r="64" spans="3:10" ht="13.5" customHeight="1" x14ac:dyDescent="0.3"/>
    <row r="65" ht="5.15" customHeight="1" x14ac:dyDescent="0.3"/>
    <row r="66" ht="13.5" customHeight="1" x14ac:dyDescent="0.3"/>
    <row r="67" ht="5.15" customHeight="1" x14ac:dyDescent="0.3"/>
    <row r="68" ht="13.5" customHeight="1" x14ac:dyDescent="0.3"/>
    <row r="69" ht="13.5" customHeight="1" x14ac:dyDescent="0.3"/>
    <row r="70" ht="13.5" customHeight="1" x14ac:dyDescent="0.3"/>
    <row r="71" ht="5.15" customHeight="1" x14ac:dyDescent="0.3"/>
    <row r="74" ht="5.15" customHeight="1" x14ac:dyDescent="0.3"/>
    <row r="76" ht="5.15" customHeight="1" x14ac:dyDescent="0.3"/>
    <row r="85" spans="16:16" x14ac:dyDescent="0.3">
      <c r="P85" s="101"/>
    </row>
    <row r="145" spans="14:18" x14ac:dyDescent="0.3">
      <c r="N145" s="701" t="s">
        <v>187</v>
      </c>
      <c r="O145" s="724" t="str">
        <f>E$18</f>
        <v/>
      </c>
      <c r="Q145" s="101" t="s">
        <v>182</v>
      </c>
      <c r="R145" s="724" t="e">
        <f>O145+O146</f>
        <v>#VALUE!</v>
      </c>
    </row>
    <row r="146" spans="14:18" x14ac:dyDescent="0.3">
      <c r="N146" s="701" t="s">
        <v>385</v>
      </c>
      <c r="O146" s="724" t="str">
        <f>E$19</f>
        <v/>
      </c>
      <c r="Q146" s="101" t="s">
        <v>30</v>
      </c>
      <c r="R146" s="724" t="e">
        <f>O147+O148</f>
        <v>#VALUE!</v>
      </c>
    </row>
    <row r="147" spans="14:18" x14ac:dyDescent="0.3">
      <c r="N147" s="701" t="s">
        <v>62</v>
      </c>
      <c r="O147" s="724" t="str">
        <f>E$20</f>
        <v/>
      </c>
      <c r="Q147" s="101" t="s">
        <v>3</v>
      </c>
      <c r="R147" s="724" t="e">
        <f>O149+O150</f>
        <v>#VALUE!</v>
      </c>
    </row>
    <row r="148" spans="14:18" x14ac:dyDescent="0.3">
      <c r="N148" s="701" t="s">
        <v>176</v>
      </c>
      <c r="O148" s="724" t="str">
        <f>E$21</f>
        <v/>
      </c>
    </row>
    <row r="149" spans="14:18" x14ac:dyDescent="0.3">
      <c r="N149" s="701" t="str">
        <f>Input!M1333&amp; " Revenue"</f>
        <v xml:space="preserve"> Revenue</v>
      </c>
      <c r="O149" s="724" t="str">
        <f>E$23</f>
        <v/>
      </c>
    </row>
    <row r="150" spans="14:18" x14ac:dyDescent="0.3">
      <c r="N150" s="701" t="s">
        <v>373</v>
      </c>
      <c r="O150" s="724" t="str">
        <f>E$24</f>
        <v/>
      </c>
    </row>
    <row r="152" spans="14:18" x14ac:dyDescent="0.3">
      <c r="N152" s="701" t="s">
        <v>187</v>
      </c>
      <c r="O152" s="724" t="str">
        <f>G$18</f>
        <v/>
      </c>
    </row>
    <row r="153" spans="14:18" x14ac:dyDescent="0.3">
      <c r="N153" s="701" t="s">
        <v>385</v>
      </c>
      <c r="O153" s="724" t="str">
        <f>G$19</f>
        <v/>
      </c>
      <c r="Q153" s="101" t="s">
        <v>182</v>
      </c>
      <c r="R153" s="724" t="e">
        <f>O152+O153</f>
        <v>#VALUE!</v>
      </c>
    </row>
    <row r="154" spans="14:18" x14ac:dyDescent="0.3">
      <c r="N154" s="701" t="s">
        <v>62</v>
      </c>
      <c r="O154" s="724" t="str">
        <f>G$20</f>
        <v/>
      </c>
      <c r="Q154" s="101" t="s">
        <v>30</v>
      </c>
      <c r="R154" s="724" t="e">
        <f>O154+O155</f>
        <v>#VALUE!</v>
      </c>
    </row>
    <row r="155" spans="14:18" x14ac:dyDescent="0.3">
      <c r="N155" s="701" t="s">
        <v>176</v>
      </c>
      <c r="O155" s="724" t="str">
        <f>G$21</f>
        <v/>
      </c>
      <c r="Q155" s="101" t="s">
        <v>3</v>
      </c>
      <c r="R155" s="724" t="e">
        <f>O156+O157</f>
        <v>#VALUE!</v>
      </c>
    </row>
    <row r="156" spans="14:18" x14ac:dyDescent="0.3">
      <c r="N156" s="701" t="str">
        <f>Input!M1326&amp; " Revenue"</f>
        <v xml:space="preserve"> Revenue</v>
      </c>
      <c r="O156" s="724" t="str">
        <f>G$23</f>
        <v/>
      </c>
    </row>
    <row r="157" spans="14:18" x14ac:dyDescent="0.3">
      <c r="N157" s="701" t="s">
        <v>373</v>
      </c>
      <c r="O157" s="724" t="str">
        <f>G$24</f>
        <v/>
      </c>
    </row>
    <row r="159" spans="14:18" x14ac:dyDescent="0.3">
      <c r="N159" s="701" t="s">
        <v>187</v>
      </c>
      <c r="O159" s="724" t="str">
        <f>I$18</f>
        <v/>
      </c>
    </row>
    <row r="160" spans="14:18" x14ac:dyDescent="0.3">
      <c r="N160" s="701" t="s">
        <v>385</v>
      </c>
      <c r="O160" s="724" t="str">
        <f>I$19</f>
        <v/>
      </c>
      <c r="Q160" s="101" t="s">
        <v>182</v>
      </c>
      <c r="R160" s="724" t="e">
        <f>O159+O160</f>
        <v>#VALUE!</v>
      </c>
    </row>
    <row r="161" spans="14:18" x14ac:dyDescent="0.3">
      <c r="N161" s="701" t="s">
        <v>62</v>
      </c>
      <c r="O161" s="724" t="str">
        <f>I$20</f>
        <v/>
      </c>
      <c r="Q161" s="101" t="s">
        <v>30</v>
      </c>
      <c r="R161" s="724" t="e">
        <f>O161+O162</f>
        <v>#VALUE!</v>
      </c>
    </row>
    <row r="162" spans="14:18" x14ac:dyDescent="0.3">
      <c r="N162" s="701" t="s">
        <v>176</v>
      </c>
      <c r="O162" s="724" t="str">
        <f>I$21</f>
        <v/>
      </c>
      <c r="Q162" s="101" t="s">
        <v>3</v>
      </c>
      <c r="R162" s="724" t="e">
        <f>O163+O164</f>
        <v>#VALUE!</v>
      </c>
    </row>
    <row r="163" spans="14:18" x14ac:dyDescent="0.3">
      <c r="N163" s="701" t="str">
        <f>Input!M1319&amp; " Revenue"</f>
        <v>0 Revenue</v>
      </c>
      <c r="O163" s="724" t="str">
        <f>I$23</f>
        <v/>
      </c>
    </row>
    <row r="164" spans="14:18" x14ac:dyDescent="0.3">
      <c r="N164" s="701" t="s">
        <v>373</v>
      </c>
      <c r="O164" s="724" t="str">
        <f>I$24</f>
        <v/>
      </c>
    </row>
  </sheetData>
  <sheetProtection algorithmName="SHA-512" hashValue="+fEODT7eoh+NPpI5K3T4NN7+EgBlbJe6S/0Nh4NvKn56wUz9MZED692h04wV4pAafulmpuoJ7WwSOyczHwbOmw==" saltValue="dVhthPPu7x3Jl8osFQvw0Q==" spinCount="100000" sheet="1" objects="1" scenarios="1"/>
  <mergeCells count="2">
    <mergeCell ref="A15:B16"/>
    <mergeCell ref="A29:B31"/>
  </mergeCells>
  <conditionalFormatting sqref="A1:Z1 A2:B14 J2:Z102 A15 A17:B28 A29 A39:B102 C57:I102 N145:S151">
    <cfRule type="expression" dxfId="40" priority="2">
      <formula>(Mode="Dark")</formula>
    </cfRule>
  </conditionalFormatting>
  <conditionalFormatting sqref="F3:F4 F13:F56">
    <cfRule type="expression" dxfId="39" priority="3">
      <formula>$F$4="No Breakeven"</formula>
    </cfRule>
  </conditionalFormatting>
  <conditionalFormatting sqref="F6:F8 F15:F16 F18:F24 F26 F35:F38 F40:F41 F43:F50 F52 F56 D6:D8 H6:H8 D15:D16 D18:D24 H26 D26:D27 D30:D32 H35:H38 D35:D56 H40:H41 H43:H50 H52 H56">
    <cfRule type="expression" dxfId="38" priority="1346">
      <formula>($D$39="N/A")</formula>
    </cfRule>
  </conditionalFormatting>
  <conditionalFormatting sqref="F6:F11">
    <cfRule type="expression" dxfId="37" priority="4">
      <formula>$F$4="No Breakeven"</formula>
    </cfRule>
  </conditionalFormatting>
  <conditionalFormatting sqref="F54">
    <cfRule type="expression" dxfId="36" priority="9">
      <formula>($D$39="N/A")</formula>
    </cfRule>
  </conditionalFormatting>
  <conditionalFormatting sqref="H54">
    <cfRule type="expression" dxfId="35" priority="8">
      <formula>($D$39="N/A")</formula>
    </cfRule>
  </conditionalFormatting>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C9174-7DC6-4AC9-AFB8-EEA8F191E85F}">
  <sheetPr codeName="Module____15">
    <tabColor theme="0" tint="-4.9989318521683403E-2"/>
  </sheetPr>
  <dimension ref="A2:CP251"/>
  <sheetViews>
    <sheetView topLeftCell="Q1" workbookViewId="0"/>
  </sheetViews>
  <sheetFormatPr defaultColWidth="8" defaultRowHeight="13" x14ac:dyDescent="0.3"/>
  <cols>
    <col min="1" max="1" width="0" style="731" hidden="1" customWidth="1"/>
    <col min="2" max="2" width="20.5" style="731" hidden="1" customWidth="1"/>
    <col min="3" max="5" width="0" style="731" hidden="1" customWidth="1"/>
    <col min="6" max="6" width="14" style="731" hidden="1" customWidth="1"/>
    <col min="7" max="7" width="42" style="731" hidden="1" customWidth="1"/>
    <col min="8" max="16" width="0" style="731" hidden="1" customWidth="1"/>
    <col min="17" max="17" width="2" style="936" customWidth="1"/>
    <col min="18" max="18" width="2.25" style="936" customWidth="1"/>
    <col min="19" max="19" width="5.5" style="936" customWidth="1"/>
    <col min="20" max="21" width="8" style="936"/>
    <col min="22" max="22" width="8.33203125" style="936" bestFit="1" customWidth="1"/>
    <col min="23" max="23" width="0.58203125" style="936" customWidth="1"/>
    <col min="24" max="24" width="2.58203125" style="936" customWidth="1"/>
    <col min="25" max="26" width="10.75" style="936" customWidth="1"/>
    <col min="27" max="27" width="0.58203125" style="936" customWidth="1"/>
    <col min="28" max="28" width="2.58203125" style="936" customWidth="1"/>
    <col min="29" max="30" width="13.33203125" style="957" customWidth="1"/>
    <col min="31" max="31" width="2.25" style="957" customWidth="1"/>
    <col min="32" max="91" width="0.83203125" style="936" customWidth="1"/>
    <col min="92" max="93" width="8" style="936"/>
    <col min="94" max="94" width="26.75" style="731" customWidth="1"/>
    <col min="95" max="16384" width="8" style="731"/>
  </cols>
  <sheetData>
    <row r="2" spans="1:94" ht="13.5" thickBot="1" x14ac:dyDescent="0.35"/>
    <row r="3" spans="1:94" ht="13.5" thickBot="1" x14ac:dyDescent="0.35">
      <c r="A3" s="732" t="s">
        <v>717</v>
      </c>
      <c r="B3" s="732"/>
      <c r="C3" s="732"/>
      <c r="D3" s="732"/>
      <c r="E3" s="733"/>
      <c r="F3" s="733"/>
      <c r="G3" s="733"/>
      <c r="H3" s="733"/>
      <c r="I3" s="733"/>
      <c r="J3" s="733"/>
      <c r="K3" s="733"/>
      <c r="S3" s="938"/>
      <c r="T3" s="938"/>
      <c r="U3" s="938"/>
      <c r="V3" s="938"/>
      <c r="W3" s="939"/>
      <c r="X3" s="939"/>
      <c r="Y3" s="939"/>
      <c r="Z3" s="939"/>
      <c r="AA3" s="939"/>
      <c r="AB3" s="939"/>
      <c r="AC3" s="958"/>
      <c r="AD3" s="959"/>
      <c r="AE3" s="959"/>
      <c r="AF3" s="1962" t="s">
        <v>718</v>
      </c>
      <c r="AG3" s="1963"/>
      <c r="AH3" s="1963"/>
      <c r="AI3" s="1963"/>
      <c r="AJ3" s="1963"/>
      <c r="AK3" s="1963"/>
      <c r="AL3" s="1963"/>
      <c r="AM3" s="1963"/>
      <c r="AN3" s="1963"/>
      <c r="AO3" s="1963"/>
      <c r="AP3" s="1963"/>
      <c r="AQ3" s="1963"/>
      <c r="AR3" s="1963"/>
      <c r="AS3" s="1963"/>
      <c r="AT3" s="1963"/>
      <c r="AU3" s="1963"/>
      <c r="AV3" s="1963"/>
      <c r="AW3" s="1963"/>
      <c r="AX3" s="1963"/>
      <c r="AY3" s="1963"/>
      <c r="AZ3" s="1963"/>
      <c r="BA3" s="1963"/>
      <c r="BB3" s="1963"/>
      <c r="BC3" s="1963"/>
      <c r="BD3" s="1963"/>
      <c r="BE3" s="1963"/>
      <c r="BF3" s="1963"/>
      <c r="BG3" s="1963"/>
      <c r="BH3" s="1963"/>
      <c r="BI3" s="1963"/>
      <c r="BJ3" s="1963"/>
      <c r="BK3" s="1963"/>
      <c r="BL3" s="1963"/>
      <c r="BM3" s="1963"/>
      <c r="BN3" s="1963"/>
      <c r="BO3" s="1963"/>
      <c r="BP3" s="1963"/>
      <c r="BQ3" s="1963"/>
      <c r="BR3" s="1963"/>
      <c r="BS3" s="1963"/>
      <c r="BT3" s="1963"/>
      <c r="BU3" s="1963"/>
      <c r="BV3" s="1963"/>
      <c r="BW3" s="1963"/>
      <c r="BX3" s="1963"/>
      <c r="BY3" s="1963"/>
      <c r="BZ3" s="1963"/>
      <c r="CA3" s="1963"/>
      <c r="CB3" s="1963"/>
      <c r="CC3" s="1963"/>
      <c r="CD3" s="1963"/>
      <c r="CE3" s="1963"/>
      <c r="CF3" s="1963"/>
      <c r="CG3" s="1963"/>
      <c r="CH3" s="1963"/>
      <c r="CI3" s="1963"/>
      <c r="CJ3" s="1963"/>
      <c r="CK3" s="1963"/>
      <c r="CL3" s="1963"/>
      <c r="CM3" s="1964"/>
    </row>
    <row r="4" spans="1:94" s="918" customFormat="1" ht="16" thickBot="1" x14ac:dyDescent="0.35">
      <c r="A4" s="916"/>
      <c r="B4" s="916"/>
      <c r="C4" s="916"/>
      <c r="D4" s="916"/>
      <c r="E4" s="917"/>
      <c r="F4" s="917"/>
      <c r="G4" s="917"/>
      <c r="H4" s="917"/>
      <c r="I4" s="917"/>
      <c r="J4" s="917"/>
      <c r="K4" s="917"/>
      <c r="Q4" s="937"/>
      <c r="R4" s="937"/>
      <c r="S4" s="940"/>
      <c r="T4" s="940"/>
      <c r="U4" s="940"/>
      <c r="V4" s="965" t="s">
        <v>612</v>
      </c>
      <c r="W4" s="940"/>
      <c r="X4" s="940"/>
      <c r="Y4" s="941" t="s">
        <v>719</v>
      </c>
      <c r="Z4" s="941" t="s">
        <v>720</v>
      </c>
      <c r="AA4" s="940"/>
      <c r="AB4" s="939"/>
      <c r="AC4" s="960" t="s">
        <v>394</v>
      </c>
      <c r="AD4" s="960" t="s">
        <v>393</v>
      </c>
      <c r="AE4" s="964"/>
      <c r="AF4" s="1931" t="str">
        <f>Infrastructure!H$9</f>
        <v>Year 1</v>
      </c>
      <c r="AG4" s="1931"/>
      <c r="AH4" s="1931"/>
      <c r="AI4" s="1931"/>
      <c r="AJ4" s="1931"/>
      <c r="AK4" s="1931"/>
      <c r="AL4" s="1931"/>
      <c r="AM4" s="1931"/>
      <c r="AN4" s="1931"/>
      <c r="AO4" s="1931"/>
      <c r="AP4" s="1931"/>
      <c r="AQ4" s="1931"/>
      <c r="AR4" s="1931" t="str">
        <f>Infrastructure!I$9</f>
        <v>Year 2</v>
      </c>
      <c r="AS4" s="1931"/>
      <c r="AT4" s="1931"/>
      <c r="AU4" s="1931"/>
      <c r="AV4" s="1931"/>
      <c r="AW4" s="1931"/>
      <c r="AX4" s="1931"/>
      <c r="AY4" s="1931"/>
      <c r="AZ4" s="1931"/>
      <c r="BA4" s="1931"/>
      <c r="BB4" s="1931"/>
      <c r="BC4" s="1931"/>
      <c r="BD4" s="1931" t="str">
        <f>Infrastructure!J$9</f>
        <v>Year 3</v>
      </c>
      <c r="BE4" s="1931"/>
      <c r="BF4" s="1931"/>
      <c r="BG4" s="1931"/>
      <c r="BH4" s="1931"/>
      <c r="BI4" s="1931"/>
      <c r="BJ4" s="1931"/>
      <c r="BK4" s="1931"/>
      <c r="BL4" s="1931"/>
      <c r="BM4" s="1931"/>
      <c r="BN4" s="1931"/>
      <c r="BO4" s="1931"/>
      <c r="BP4" s="1931" t="str">
        <f>Infrastructure!K$9</f>
        <v>Year 4</v>
      </c>
      <c r="BQ4" s="1931"/>
      <c r="BR4" s="1931"/>
      <c r="BS4" s="1931"/>
      <c r="BT4" s="1931"/>
      <c r="BU4" s="1931"/>
      <c r="BV4" s="1931"/>
      <c r="BW4" s="1931"/>
      <c r="BX4" s="1931"/>
      <c r="BY4" s="1931"/>
      <c r="BZ4" s="1931"/>
      <c r="CA4" s="1931"/>
      <c r="CB4" s="1931" t="str">
        <f>Infrastructure!L$9</f>
        <v>Year 5</v>
      </c>
      <c r="CC4" s="1931"/>
      <c r="CD4" s="1931"/>
      <c r="CE4" s="1931"/>
      <c r="CF4" s="1931"/>
      <c r="CG4" s="1931"/>
      <c r="CH4" s="1931"/>
      <c r="CI4" s="1931"/>
      <c r="CJ4" s="1931"/>
      <c r="CK4" s="1931"/>
      <c r="CL4" s="1931"/>
      <c r="CM4" s="1931"/>
      <c r="CN4" s="937"/>
      <c r="CO4" s="937"/>
      <c r="CP4" s="731"/>
    </row>
    <row r="5" spans="1:94" s="918" customFormat="1" ht="13.5" thickBot="1" x14ac:dyDescent="0.35">
      <c r="A5" s="916"/>
      <c r="B5" s="916"/>
      <c r="C5" s="916"/>
      <c r="D5" s="916"/>
      <c r="E5" s="917"/>
      <c r="F5" s="917"/>
      <c r="G5" s="917"/>
      <c r="H5" s="917"/>
      <c r="I5" s="917"/>
      <c r="J5" s="917"/>
      <c r="K5" s="917"/>
      <c r="Q5" s="937"/>
      <c r="R5" s="937"/>
      <c r="S5" s="940"/>
      <c r="T5" s="940"/>
      <c r="U5" s="940"/>
      <c r="V5" s="942" t="s">
        <v>371</v>
      </c>
      <c r="W5" s="940"/>
      <c r="X5" s="974">
        <f>AC5</f>
        <v>0</v>
      </c>
      <c r="Y5" s="996">
        <v>0</v>
      </c>
      <c r="Z5" s="946"/>
      <c r="AA5" s="940"/>
      <c r="AB5" s="976">
        <f>IF(AND(Z5&lt;&gt;"",AD5&gt;$Z5,Z5&lt;&gt;0),1,-1)</f>
        <v>-1</v>
      </c>
      <c r="AC5" s="962">
        <f>MIN(AF5:CM5)</f>
        <v>0</v>
      </c>
      <c r="AD5" s="962">
        <f>MAX(AG5:CM5)</f>
        <v>0</v>
      </c>
      <c r="AE5" s="962"/>
      <c r="AF5" s="947">
        <f>Calcs!I29</f>
        <v>0</v>
      </c>
      <c r="AG5" s="948">
        <f>Calcs!J29</f>
        <v>0</v>
      </c>
      <c r="AH5" s="948">
        <f>Calcs!K29</f>
        <v>0</v>
      </c>
      <c r="AI5" s="948">
        <f>Calcs!L29</f>
        <v>0</v>
      </c>
      <c r="AJ5" s="948">
        <f>Calcs!M29</f>
        <v>0</v>
      </c>
      <c r="AK5" s="948">
        <f>Calcs!N29</f>
        <v>0</v>
      </c>
      <c r="AL5" s="948">
        <f>Calcs!O29</f>
        <v>0</v>
      </c>
      <c r="AM5" s="948">
        <f>Calcs!P29</f>
        <v>0</v>
      </c>
      <c r="AN5" s="948">
        <f>Calcs!Q29</f>
        <v>0</v>
      </c>
      <c r="AO5" s="948">
        <f>Calcs!R29</f>
        <v>0</v>
      </c>
      <c r="AP5" s="948">
        <f>Calcs!S29</f>
        <v>0</v>
      </c>
      <c r="AQ5" s="948">
        <f>Calcs!T29</f>
        <v>0</v>
      </c>
      <c r="AR5" s="948">
        <f>Calcs!U29</f>
        <v>0</v>
      </c>
      <c r="AS5" s="948">
        <f>Calcs!V29</f>
        <v>0</v>
      </c>
      <c r="AT5" s="948">
        <f>Calcs!W29</f>
        <v>0</v>
      </c>
      <c r="AU5" s="948">
        <f>Calcs!X29</f>
        <v>0</v>
      </c>
      <c r="AV5" s="948">
        <f>Calcs!Y29</f>
        <v>0</v>
      </c>
      <c r="AW5" s="948">
        <f>Calcs!Z29</f>
        <v>0</v>
      </c>
      <c r="AX5" s="948">
        <f>Calcs!AA29</f>
        <v>0</v>
      </c>
      <c r="AY5" s="948">
        <f>Calcs!AB29</f>
        <v>0</v>
      </c>
      <c r="AZ5" s="948">
        <f>Calcs!AC29</f>
        <v>0</v>
      </c>
      <c r="BA5" s="948">
        <f>Calcs!AD29</f>
        <v>0</v>
      </c>
      <c r="BB5" s="948">
        <f>Calcs!AE29</f>
        <v>0</v>
      </c>
      <c r="BC5" s="948">
        <f>Calcs!AF29</f>
        <v>0</v>
      </c>
      <c r="BD5" s="948">
        <f>Calcs!AG29</f>
        <v>0</v>
      </c>
      <c r="BE5" s="948">
        <f>Calcs!AH29</f>
        <v>0</v>
      </c>
      <c r="BF5" s="948">
        <f>Calcs!AI29</f>
        <v>0</v>
      </c>
      <c r="BG5" s="948">
        <f>Calcs!AJ29</f>
        <v>0</v>
      </c>
      <c r="BH5" s="948">
        <f>Calcs!AK29</f>
        <v>0</v>
      </c>
      <c r="BI5" s="948">
        <f>Calcs!AL29</f>
        <v>0</v>
      </c>
      <c r="BJ5" s="948">
        <f>Calcs!AM29</f>
        <v>0</v>
      </c>
      <c r="BK5" s="948">
        <f>Calcs!AN29</f>
        <v>0</v>
      </c>
      <c r="BL5" s="948">
        <f>Calcs!AO29</f>
        <v>0</v>
      </c>
      <c r="BM5" s="948">
        <f>Calcs!AP29</f>
        <v>0</v>
      </c>
      <c r="BN5" s="948">
        <f>Calcs!AQ29</f>
        <v>0</v>
      </c>
      <c r="BO5" s="948">
        <f>Calcs!AR29</f>
        <v>0</v>
      </c>
      <c r="BP5" s="948">
        <f>Calcs!AS29</f>
        <v>0</v>
      </c>
      <c r="BQ5" s="948">
        <f>Calcs!AT29</f>
        <v>0</v>
      </c>
      <c r="BR5" s="948">
        <f>Calcs!AU29</f>
        <v>0</v>
      </c>
      <c r="BS5" s="948">
        <f>Calcs!AV29</f>
        <v>0</v>
      </c>
      <c r="BT5" s="948">
        <f>Calcs!AW29</f>
        <v>0</v>
      </c>
      <c r="BU5" s="948">
        <f>Calcs!AX29</f>
        <v>0</v>
      </c>
      <c r="BV5" s="948">
        <f>Calcs!AY29</f>
        <v>0</v>
      </c>
      <c r="BW5" s="948">
        <f>Calcs!AZ29</f>
        <v>0</v>
      </c>
      <c r="BX5" s="948">
        <f>Calcs!BA29</f>
        <v>0</v>
      </c>
      <c r="BY5" s="948">
        <f>Calcs!BB29</f>
        <v>0</v>
      </c>
      <c r="BZ5" s="948">
        <f>Calcs!BC29</f>
        <v>0</v>
      </c>
      <c r="CA5" s="948">
        <f>Calcs!BD29</f>
        <v>0</v>
      </c>
      <c r="CB5" s="948">
        <f>Calcs!BE29</f>
        <v>0</v>
      </c>
      <c r="CC5" s="948">
        <f>Calcs!BF29</f>
        <v>0</v>
      </c>
      <c r="CD5" s="948">
        <f>Calcs!BG29</f>
        <v>0</v>
      </c>
      <c r="CE5" s="948">
        <f>Calcs!BH29</f>
        <v>0</v>
      </c>
      <c r="CF5" s="948">
        <f>Calcs!BI29</f>
        <v>0</v>
      </c>
      <c r="CG5" s="948">
        <f>Calcs!BJ29</f>
        <v>0</v>
      </c>
      <c r="CH5" s="948">
        <f>Calcs!BK29</f>
        <v>0</v>
      </c>
      <c r="CI5" s="948">
        <f>Calcs!BL29</f>
        <v>0</v>
      </c>
      <c r="CJ5" s="948">
        <f>Calcs!BM29</f>
        <v>0</v>
      </c>
      <c r="CK5" s="948">
        <f>Calcs!BN29</f>
        <v>0</v>
      </c>
      <c r="CL5" s="948">
        <f>Calcs!BO29</f>
        <v>0</v>
      </c>
      <c r="CM5" s="949">
        <f>Calcs!BP29</f>
        <v>0</v>
      </c>
      <c r="CN5" s="937"/>
      <c r="CO5" s="937"/>
      <c r="CP5" s="731"/>
    </row>
    <row r="6" spans="1:94" s="918" customFormat="1" ht="13.5" hidden="1" thickBot="1" x14ac:dyDescent="0.35">
      <c r="A6" s="916"/>
      <c r="B6" s="916"/>
      <c r="C6" s="916"/>
      <c r="D6" s="916"/>
      <c r="E6" s="917"/>
      <c r="F6" s="917"/>
      <c r="G6" s="917"/>
      <c r="H6" s="917"/>
      <c r="I6" s="917"/>
      <c r="J6" s="917"/>
      <c r="K6" s="917"/>
      <c r="Q6" s="937"/>
      <c r="R6" s="937"/>
      <c r="S6" s="940"/>
      <c r="T6" s="940"/>
      <c r="U6" s="940"/>
      <c r="V6" s="942" t="s">
        <v>721</v>
      </c>
      <c r="W6" s="940"/>
      <c r="X6" s="976">
        <f>IF(AND(Y6&lt;&gt;"",AC6+Y6&lt;Y6,AC6&lt;&gt;0),-1,0)</f>
        <v>-1</v>
      </c>
      <c r="Y6" s="946">
        <v>200000</v>
      </c>
      <c r="Z6" s="992"/>
      <c r="AA6" s="992"/>
      <c r="AB6" s="937"/>
      <c r="AC6" s="962">
        <f>AC5-Y6</f>
        <v>-200000</v>
      </c>
      <c r="AD6" s="962">
        <f>AD5-Y6</f>
        <v>-200000</v>
      </c>
      <c r="AE6" s="962"/>
      <c r="AF6" s="947">
        <f>Calcs!I29</f>
        <v>0</v>
      </c>
      <c r="AG6" s="948">
        <f>Calcs!J29</f>
        <v>0</v>
      </c>
      <c r="AH6" s="948">
        <f>Calcs!K29</f>
        <v>0</v>
      </c>
      <c r="AI6" s="948">
        <f>Calcs!L29</f>
        <v>0</v>
      </c>
      <c r="AJ6" s="948">
        <f>Calcs!M29</f>
        <v>0</v>
      </c>
      <c r="AK6" s="948">
        <f>Calcs!N29</f>
        <v>0</v>
      </c>
      <c r="AL6" s="948">
        <f>Calcs!O29</f>
        <v>0</v>
      </c>
      <c r="AM6" s="948">
        <f>Calcs!P29</f>
        <v>0</v>
      </c>
      <c r="AN6" s="948">
        <f>Calcs!Q29</f>
        <v>0</v>
      </c>
      <c r="AO6" s="948">
        <f>Calcs!R29</f>
        <v>0</v>
      </c>
      <c r="AP6" s="948">
        <f>Calcs!S29</f>
        <v>0</v>
      </c>
      <c r="AQ6" s="948">
        <f>Calcs!T29</f>
        <v>0</v>
      </c>
      <c r="AR6" s="948">
        <f>Calcs!U29</f>
        <v>0</v>
      </c>
      <c r="AS6" s="948">
        <f>Calcs!V29</f>
        <v>0</v>
      </c>
      <c r="AT6" s="948">
        <f>Calcs!W29</f>
        <v>0</v>
      </c>
      <c r="AU6" s="948">
        <f>Calcs!X29</f>
        <v>0</v>
      </c>
      <c r="AV6" s="948">
        <f>Calcs!Y29</f>
        <v>0</v>
      </c>
      <c r="AW6" s="948">
        <f>Calcs!Z29</f>
        <v>0</v>
      </c>
      <c r="AX6" s="948">
        <f>Calcs!AA29</f>
        <v>0</v>
      </c>
      <c r="AY6" s="948">
        <f>Calcs!AB29</f>
        <v>0</v>
      </c>
      <c r="AZ6" s="948">
        <f>Calcs!AC29</f>
        <v>0</v>
      </c>
      <c r="BA6" s="948">
        <f>Calcs!AD29</f>
        <v>0</v>
      </c>
      <c r="BB6" s="948">
        <f>Calcs!AE29</f>
        <v>0</v>
      </c>
      <c r="BC6" s="948">
        <f>Calcs!AF29</f>
        <v>0</v>
      </c>
      <c r="BD6" s="948">
        <f>Calcs!AG29</f>
        <v>0</v>
      </c>
      <c r="BE6" s="948">
        <f>Calcs!AH29</f>
        <v>0</v>
      </c>
      <c r="BF6" s="948">
        <f>Calcs!AI29</f>
        <v>0</v>
      </c>
      <c r="BG6" s="948">
        <f>Calcs!AJ29</f>
        <v>0</v>
      </c>
      <c r="BH6" s="948">
        <f>Calcs!AK29</f>
        <v>0</v>
      </c>
      <c r="BI6" s="948">
        <f>Calcs!AL29</f>
        <v>0</v>
      </c>
      <c r="BJ6" s="948">
        <f>Calcs!AM29</f>
        <v>0</v>
      </c>
      <c r="BK6" s="948">
        <f>Calcs!AN29</f>
        <v>0</v>
      </c>
      <c r="BL6" s="948">
        <f>Calcs!AO29</f>
        <v>0</v>
      </c>
      <c r="BM6" s="948">
        <f>Calcs!AP29</f>
        <v>0</v>
      </c>
      <c r="BN6" s="948">
        <f>Calcs!AQ29</f>
        <v>0</v>
      </c>
      <c r="BO6" s="948">
        <f>Calcs!AR29</f>
        <v>0</v>
      </c>
      <c r="BP6" s="948">
        <f>Calcs!AS29</f>
        <v>0</v>
      </c>
      <c r="BQ6" s="948">
        <f>Calcs!AT29</f>
        <v>0</v>
      </c>
      <c r="BR6" s="948">
        <f>Calcs!AU29</f>
        <v>0</v>
      </c>
      <c r="BS6" s="948">
        <f>Calcs!AV29</f>
        <v>0</v>
      </c>
      <c r="BT6" s="948">
        <f>Calcs!AW29</f>
        <v>0</v>
      </c>
      <c r="BU6" s="948">
        <f>Calcs!AX29</f>
        <v>0</v>
      </c>
      <c r="BV6" s="948">
        <f>Calcs!AY29</f>
        <v>0</v>
      </c>
      <c r="BW6" s="948">
        <f>Calcs!AZ29</f>
        <v>0</v>
      </c>
      <c r="BX6" s="948">
        <f>Calcs!BA29</f>
        <v>0</v>
      </c>
      <c r="BY6" s="948">
        <f>Calcs!BB29</f>
        <v>0</v>
      </c>
      <c r="BZ6" s="948">
        <f>Calcs!BC29</f>
        <v>0</v>
      </c>
      <c r="CA6" s="948">
        <f>Calcs!BD29</f>
        <v>0</v>
      </c>
      <c r="CB6" s="948">
        <f>Calcs!BE29</f>
        <v>0</v>
      </c>
      <c r="CC6" s="948">
        <f>Calcs!BF29</f>
        <v>0</v>
      </c>
      <c r="CD6" s="948">
        <f>Calcs!BG29</f>
        <v>0</v>
      </c>
      <c r="CE6" s="948">
        <f>Calcs!BH29</f>
        <v>0</v>
      </c>
      <c r="CF6" s="948">
        <f>Calcs!BI29</f>
        <v>0</v>
      </c>
      <c r="CG6" s="948">
        <f>Calcs!BJ29</f>
        <v>0</v>
      </c>
      <c r="CH6" s="948">
        <f>Calcs!BK29</f>
        <v>0</v>
      </c>
      <c r="CI6" s="948">
        <f>Calcs!BL29</f>
        <v>0</v>
      </c>
      <c r="CJ6" s="948">
        <f>Calcs!BM29</f>
        <v>0</v>
      </c>
      <c r="CK6" s="948">
        <f>Calcs!BN29</f>
        <v>0</v>
      </c>
      <c r="CL6" s="948">
        <f>Calcs!BO29</f>
        <v>0</v>
      </c>
      <c r="CM6" s="949">
        <f>Calcs!BP29</f>
        <v>0</v>
      </c>
      <c r="CN6" s="937"/>
      <c r="CO6" s="937"/>
      <c r="CP6" s="731"/>
    </row>
    <row r="7" spans="1:94" s="918" customFormat="1" x14ac:dyDescent="0.3">
      <c r="A7" s="916"/>
      <c r="B7" s="916"/>
      <c r="C7" s="916"/>
      <c r="D7" s="916"/>
      <c r="E7" s="917"/>
      <c r="F7" s="917"/>
      <c r="G7" s="917"/>
      <c r="H7" s="917"/>
      <c r="I7" s="917"/>
      <c r="J7" s="917"/>
      <c r="K7" s="917"/>
      <c r="Q7" s="937"/>
      <c r="R7" s="937"/>
      <c r="S7" s="940"/>
      <c r="T7" s="940"/>
      <c r="U7" s="940"/>
      <c r="V7" s="941"/>
      <c r="W7" s="940"/>
      <c r="X7" s="939"/>
      <c r="Y7" s="941"/>
      <c r="Z7" s="941"/>
      <c r="AA7" s="941"/>
      <c r="AB7" s="937"/>
      <c r="AC7" s="964"/>
      <c r="AD7" s="964"/>
      <c r="AE7" s="964"/>
      <c r="AF7" s="940"/>
      <c r="AG7" s="940"/>
      <c r="AH7" s="940"/>
      <c r="AI7" s="940"/>
      <c r="AJ7" s="940"/>
      <c r="AK7" s="940"/>
      <c r="AL7" s="940"/>
      <c r="AM7" s="940"/>
      <c r="AN7" s="940"/>
      <c r="AO7" s="940"/>
      <c r="AP7" s="940"/>
      <c r="AQ7" s="940"/>
      <c r="AR7" s="940"/>
      <c r="AS7" s="940"/>
      <c r="AT7" s="940"/>
      <c r="AU7" s="940"/>
      <c r="AV7" s="940"/>
      <c r="AW7" s="940"/>
      <c r="AX7" s="940"/>
      <c r="AY7" s="940"/>
      <c r="AZ7" s="940"/>
      <c r="BA7" s="940"/>
      <c r="BB7" s="940"/>
      <c r="BC7" s="940"/>
      <c r="BD7" s="940"/>
      <c r="BE7" s="940"/>
      <c r="BF7" s="940"/>
      <c r="BG7" s="940"/>
      <c r="BH7" s="940"/>
      <c r="BI7" s="940"/>
      <c r="BJ7" s="940"/>
      <c r="BK7" s="940"/>
      <c r="BL7" s="940"/>
      <c r="BM7" s="940"/>
      <c r="BN7" s="940"/>
      <c r="BO7" s="940"/>
      <c r="BP7" s="940"/>
      <c r="BQ7" s="940"/>
      <c r="BR7" s="940"/>
      <c r="BS7" s="940"/>
      <c r="BT7" s="940"/>
      <c r="BU7" s="940"/>
      <c r="BV7" s="940"/>
      <c r="BW7" s="940"/>
      <c r="BX7" s="940"/>
      <c r="BY7" s="940"/>
      <c r="BZ7" s="940"/>
      <c r="CA7" s="940"/>
      <c r="CB7" s="940"/>
      <c r="CC7" s="940"/>
      <c r="CD7" s="940"/>
      <c r="CE7" s="940"/>
      <c r="CF7" s="940"/>
      <c r="CG7" s="940"/>
      <c r="CH7" s="940"/>
      <c r="CI7" s="940"/>
      <c r="CJ7" s="940"/>
      <c r="CK7" s="937"/>
      <c r="CL7" s="937"/>
      <c r="CM7" s="937"/>
      <c r="CN7" s="937"/>
      <c r="CO7" s="937"/>
    </row>
    <row r="8" spans="1:94" s="918" customFormat="1" ht="16" thickBot="1" x14ac:dyDescent="0.35">
      <c r="A8" s="916"/>
      <c r="B8" s="916"/>
      <c r="C8" s="916"/>
      <c r="D8" s="916"/>
      <c r="E8" s="917"/>
      <c r="F8" s="917"/>
      <c r="G8" s="917"/>
      <c r="H8" s="917"/>
      <c r="I8" s="917"/>
      <c r="J8" s="917"/>
      <c r="K8" s="917"/>
      <c r="Q8" s="937"/>
      <c r="R8" s="937"/>
      <c r="S8" s="940"/>
      <c r="T8" s="940"/>
      <c r="U8" s="940"/>
      <c r="V8" s="965" t="s">
        <v>8</v>
      </c>
      <c r="W8" s="940"/>
      <c r="X8" s="939"/>
      <c r="Y8" s="941" t="s">
        <v>722</v>
      </c>
      <c r="Z8" s="940"/>
      <c r="AA8" s="941"/>
      <c r="AB8" s="937"/>
      <c r="AC8" s="961"/>
      <c r="AD8" s="961"/>
      <c r="AE8" s="961"/>
      <c r="AF8" s="953">
        <f>Calcs!I2</f>
        <v>0</v>
      </c>
      <c r="AG8" s="953">
        <f>Calcs!J2</f>
        <v>59</v>
      </c>
      <c r="AH8" s="953">
        <f>Calcs!K2</f>
        <v>91</v>
      </c>
      <c r="AI8" s="953">
        <f>Calcs!L2</f>
        <v>121</v>
      </c>
      <c r="AJ8" s="953">
        <f>Calcs!M2</f>
        <v>152</v>
      </c>
      <c r="AK8" s="953">
        <f>Calcs!N2</f>
        <v>182</v>
      </c>
      <c r="AL8" s="953">
        <f>Calcs!O2</f>
        <v>213</v>
      </c>
      <c r="AM8" s="953">
        <f>Calcs!P2</f>
        <v>244</v>
      </c>
      <c r="AN8" s="953">
        <f>Calcs!Q2</f>
        <v>274</v>
      </c>
      <c r="AO8" s="953">
        <f>Calcs!R2</f>
        <v>305</v>
      </c>
      <c r="AP8" s="953">
        <f>Calcs!S2</f>
        <v>335</v>
      </c>
      <c r="AQ8" s="953">
        <f>Calcs!T2</f>
        <v>366</v>
      </c>
      <c r="AR8" s="953">
        <f>Calcs!U2</f>
        <v>397</v>
      </c>
      <c r="AS8" s="953">
        <f>Calcs!V2</f>
        <v>425</v>
      </c>
      <c r="AT8" s="953">
        <f>Calcs!W2</f>
        <v>456</v>
      </c>
      <c r="AU8" s="953">
        <f>Calcs!X2</f>
        <v>486</v>
      </c>
      <c r="AV8" s="953">
        <f>Calcs!Y2</f>
        <v>517</v>
      </c>
      <c r="AW8" s="953">
        <f>Calcs!Z2</f>
        <v>547</v>
      </c>
      <c r="AX8" s="953">
        <f>Calcs!AA2</f>
        <v>578</v>
      </c>
      <c r="AY8" s="953">
        <f>Calcs!AB2</f>
        <v>609</v>
      </c>
      <c r="AZ8" s="953">
        <f>Calcs!AC2</f>
        <v>639</v>
      </c>
      <c r="BA8" s="953">
        <f>Calcs!AD2</f>
        <v>670</v>
      </c>
      <c r="BB8" s="953">
        <f>Calcs!AE2</f>
        <v>700</v>
      </c>
      <c r="BC8" s="953">
        <f>Calcs!AF2</f>
        <v>731</v>
      </c>
      <c r="BD8" s="953">
        <f>Calcs!AG2</f>
        <v>762</v>
      </c>
      <c r="BE8" s="953">
        <f>Calcs!AH2</f>
        <v>790</v>
      </c>
      <c r="BF8" s="953">
        <f>Calcs!AI2</f>
        <v>821</v>
      </c>
      <c r="BG8" s="953">
        <f>Calcs!AJ2</f>
        <v>851</v>
      </c>
      <c r="BH8" s="953">
        <f>Calcs!AK2</f>
        <v>882</v>
      </c>
      <c r="BI8" s="953">
        <f>Calcs!AL2</f>
        <v>912</v>
      </c>
      <c r="BJ8" s="953">
        <f>Calcs!AM2</f>
        <v>943</v>
      </c>
      <c r="BK8" s="953">
        <f>Calcs!AN2</f>
        <v>974</v>
      </c>
      <c r="BL8" s="953">
        <f>Calcs!AO2</f>
        <v>1004</v>
      </c>
      <c r="BM8" s="953">
        <f>Calcs!AP2</f>
        <v>1035</v>
      </c>
      <c r="BN8" s="953">
        <f>Calcs!AQ2</f>
        <v>1065</v>
      </c>
      <c r="BO8" s="953">
        <f>Calcs!AR2</f>
        <v>1096</v>
      </c>
      <c r="BP8" s="953">
        <f>Calcs!AS2</f>
        <v>1127</v>
      </c>
      <c r="BQ8" s="953">
        <f>Calcs!AT2</f>
        <v>1155</v>
      </c>
      <c r="BR8" s="953">
        <f>Calcs!AU2</f>
        <v>1186</v>
      </c>
      <c r="BS8" s="953">
        <f>Calcs!AV2</f>
        <v>1216</v>
      </c>
      <c r="BT8" s="953">
        <f>Calcs!AW2</f>
        <v>1247</v>
      </c>
      <c r="BU8" s="953">
        <f>Calcs!AX2</f>
        <v>1277</v>
      </c>
      <c r="BV8" s="953">
        <f>Calcs!AY2</f>
        <v>1308</v>
      </c>
      <c r="BW8" s="953">
        <f>Calcs!AZ2</f>
        <v>1339</v>
      </c>
      <c r="BX8" s="953">
        <f>Calcs!BA2</f>
        <v>1369</v>
      </c>
      <c r="BY8" s="953">
        <f>Calcs!BB2</f>
        <v>1400</v>
      </c>
      <c r="BZ8" s="953">
        <f>Calcs!BC2</f>
        <v>1430</v>
      </c>
      <c r="CA8" s="953">
        <f>Calcs!BD2</f>
        <v>1461</v>
      </c>
      <c r="CB8" s="953">
        <f>Calcs!BE2</f>
        <v>1492</v>
      </c>
      <c r="CC8" s="953">
        <f>Calcs!BF2</f>
        <v>1521</v>
      </c>
      <c r="CD8" s="953">
        <f>Calcs!BG2</f>
        <v>1552</v>
      </c>
      <c r="CE8" s="953">
        <f>Calcs!BH2</f>
        <v>1582</v>
      </c>
      <c r="CF8" s="953">
        <f>Calcs!BI2</f>
        <v>1613</v>
      </c>
      <c r="CG8" s="953">
        <f>Calcs!BJ2</f>
        <v>1643</v>
      </c>
      <c r="CH8" s="953">
        <f>Calcs!BK2</f>
        <v>1674</v>
      </c>
      <c r="CI8" s="953">
        <f>Calcs!BL2</f>
        <v>1705</v>
      </c>
      <c r="CJ8" s="953">
        <f>Calcs!BM2</f>
        <v>1735</v>
      </c>
      <c r="CK8" s="953">
        <f>Calcs!BN2</f>
        <v>1766</v>
      </c>
      <c r="CL8" s="953">
        <f>Calcs!BO2</f>
        <v>1796</v>
      </c>
      <c r="CM8" s="953">
        <f>Calcs!BP2</f>
        <v>1827</v>
      </c>
      <c r="CN8" s="937"/>
      <c r="CO8" s="937"/>
    </row>
    <row r="9" spans="1:94" s="918" customFormat="1" ht="13.5" thickBot="1" x14ac:dyDescent="0.35">
      <c r="A9" s="916"/>
      <c r="B9" s="916"/>
      <c r="C9" s="916"/>
      <c r="D9" s="916"/>
      <c r="E9" s="917"/>
      <c r="F9" s="917"/>
      <c r="G9" s="917"/>
      <c r="H9" s="917"/>
      <c r="I9" s="917"/>
      <c r="J9" s="917"/>
      <c r="K9" s="917"/>
      <c r="Q9" s="937"/>
      <c r="R9" s="937"/>
      <c r="S9" s="940"/>
      <c r="T9" s="940"/>
      <c r="U9" s="940"/>
      <c r="V9" s="942" t="s">
        <v>723</v>
      </c>
      <c r="W9" s="940"/>
      <c r="X9" s="976" t="e">
        <f>IF(AND(Y9&lt;&gt;"",AD9&gt;Y9,AD9&lt;&gt;0),-1,0)</f>
        <v>#N/A</v>
      </c>
      <c r="Y9" s="1024">
        <v>33</v>
      </c>
      <c r="Z9" s="976" t="e">
        <f>IF(AND(Y9&lt;&gt;"",AD9&lt;$Y9,Y9&lt;&gt;0),1,-1)</f>
        <v>#N/A</v>
      </c>
      <c r="AA9" s="941"/>
      <c r="AB9" s="937"/>
      <c r="AC9" s="940" t="str">
        <f>Calcs!C15</f>
        <v>No Breakeven</v>
      </c>
      <c r="AD9" s="997" t="e">
        <f>Calcs!C22</f>
        <v>#N/A</v>
      </c>
      <c r="AE9" s="961"/>
      <c r="AF9" s="947">
        <f>Calcs!I13</f>
        <v>0</v>
      </c>
      <c r="AG9" s="948">
        <f>Calcs!J13</f>
        <v>0</v>
      </c>
      <c r="AH9" s="948">
        <f>Calcs!K13</f>
        <v>0</v>
      </c>
      <c r="AI9" s="948">
        <f>Calcs!L13</f>
        <v>0</v>
      </c>
      <c r="AJ9" s="948">
        <f>Calcs!M13</f>
        <v>0</v>
      </c>
      <c r="AK9" s="948">
        <f>Calcs!N13</f>
        <v>0</v>
      </c>
      <c r="AL9" s="948">
        <f>Calcs!O13</f>
        <v>0</v>
      </c>
      <c r="AM9" s="948">
        <f>Calcs!P13</f>
        <v>0</v>
      </c>
      <c r="AN9" s="948">
        <f>Calcs!Q13</f>
        <v>0</v>
      </c>
      <c r="AO9" s="948">
        <f>Calcs!R13</f>
        <v>0</v>
      </c>
      <c r="AP9" s="948">
        <f>Calcs!S13</f>
        <v>0</v>
      </c>
      <c r="AQ9" s="948">
        <f>Calcs!T13</f>
        <v>0</v>
      </c>
      <c r="AR9" s="948">
        <f>Calcs!U13</f>
        <v>0</v>
      </c>
      <c r="AS9" s="948">
        <f>Calcs!V13</f>
        <v>0</v>
      </c>
      <c r="AT9" s="948">
        <f>Calcs!W13</f>
        <v>0</v>
      </c>
      <c r="AU9" s="948">
        <f>Calcs!X13</f>
        <v>0</v>
      </c>
      <c r="AV9" s="948">
        <f>Calcs!Y13</f>
        <v>0</v>
      </c>
      <c r="AW9" s="948">
        <f>Calcs!Z13</f>
        <v>0</v>
      </c>
      <c r="AX9" s="948">
        <f>Calcs!AA13</f>
        <v>0</v>
      </c>
      <c r="AY9" s="948">
        <f>Calcs!AB13</f>
        <v>0</v>
      </c>
      <c r="AZ9" s="948">
        <f>Calcs!AC13</f>
        <v>0</v>
      </c>
      <c r="BA9" s="948">
        <f>Calcs!AD13</f>
        <v>0</v>
      </c>
      <c r="BB9" s="948">
        <f>Calcs!AE13</f>
        <v>0</v>
      </c>
      <c r="BC9" s="948">
        <f>Calcs!AF13</f>
        <v>0</v>
      </c>
      <c r="BD9" s="948">
        <f>Calcs!AG13</f>
        <v>0</v>
      </c>
      <c r="BE9" s="948">
        <f>Calcs!AH13</f>
        <v>0</v>
      </c>
      <c r="BF9" s="948">
        <f>Calcs!AI13</f>
        <v>0</v>
      </c>
      <c r="BG9" s="948">
        <f>Calcs!AJ13</f>
        <v>0</v>
      </c>
      <c r="BH9" s="948">
        <f>Calcs!AK13</f>
        <v>0</v>
      </c>
      <c r="BI9" s="948">
        <f>Calcs!AL13</f>
        <v>0</v>
      </c>
      <c r="BJ9" s="948">
        <f>Calcs!AM13</f>
        <v>0</v>
      </c>
      <c r="BK9" s="948">
        <f>Calcs!AN13</f>
        <v>0</v>
      </c>
      <c r="BL9" s="948">
        <f>Calcs!AO13</f>
        <v>0</v>
      </c>
      <c r="BM9" s="948">
        <f>Calcs!AP13</f>
        <v>0</v>
      </c>
      <c r="BN9" s="948">
        <f>Calcs!AQ13</f>
        <v>0</v>
      </c>
      <c r="BO9" s="948">
        <f>Calcs!AR13</f>
        <v>0</v>
      </c>
      <c r="BP9" s="948">
        <f>Calcs!AS13</f>
        <v>0</v>
      </c>
      <c r="BQ9" s="948">
        <f>Calcs!AT13</f>
        <v>0</v>
      </c>
      <c r="BR9" s="948">
        <f>Calcs!AU13</f>
        <v>0</v>
      </c>
      <c r="BS9" s="948">
        <f>Calcs!AV13</f>
        <v>0</v>
      </c>
      <c r="BT9" s="948">
        <f>Calcs!AW13</f>
        <v>0</v>
      </c>
      <c r="BU9" s="948">
        <f>Calcs!AX13</f>
        <v>0</v>
      </c>
      <c r="BV9" s="948">
        <f>Calcs!AY13</f>
        <v>0</v>
      </c>
      <c r="BW9" s="948">
        <f>Calcs!AZ13</f>
        <v>0</v>
      </c>
      <c r="BX9" s="948">
        <f>Calcs!BA13</f>
        <v>0</v>
      </c>
      <c r="BY9" s="948">
        <f>Calcs!BB13</f>
        <v>0</v>
      </c>
      <c r="BZ9" s="948">
        <f>Calcs!BC13</f>
        <v>0</v>
      </c>
      <c r="CA9" s="948">
        <f>Calcs!BD13</f>
        <v>0</v>
      </c>
      <c r="CB9" s="948">
        <f>Calcs!BE13</f>
        <v>0</v>
      </c>
      <c r="CC9" s="948">
        <f>Calcs!BF13</f>
        <v>0</v>
      </c>
      <c r="CD9" s="948">
        <f>Calcs!BG13</f>
        <v>0</v>
      </c>
      <c r="CE9" s="948">
        <f>Calcs!BH13</f>
        <v>0</v>
      </c>
      <c r="CF9" s="948">
        <f>Calcs!BI13</f>
        <v>0</v>
      </c>
      <c r="CG9" s="948">
        <f>Calcs!BJ13</f>
        <v>0</v>
      </c>
      <c r="CH9" s="948">
        <f>Calcs!BK13</f>
        <v>0</v>
      </c>
      <c r="CI9" s="948">
        <f>Calcs!BL13</f>
        <v>0</v>
      </c>
      <c r="CJ9" s="948">
        <f>Calcs!BM13</f>
        <v>0</v>
      </c>
      <c r="CK9" s="948">
        <f>Calcs!BN13</f>
        <v>0</v>
      </c>
      <c r="CL9" s="948">
        <f>Calcs!BO13</f>
        <v>0</v>
      </c>
      <c r="CM9" s="949">
        <f>Calcs!BP13</f>
        <v>0</v>
      </c>
      <c r="CN9" s="937"/>
      <c r="CO9" s="937"/>
    </row>
    <row r="10" spans="1:94" s="918" customFormat="1" x14ac:dyDescent="0.3">
      <c r="A10" s="916"/>
      <c r="B10" s="916"/>
      <c r="C10" s="916"/>
      <c r="D10" s="916"/>
      <c r="E10" s="917"/>
      <c r="F10" s="917"/>
      <c r="G10" s="917"/>
      <c r="H10" s="917"/>
      <c r="I10" s="917"/>
      <c r="J10" s="917"/>
      <c r="K10" s="917"/>
      <c r="Q10" s="937"/>
      <c r="R10" s="937"/>
      <c r="S10" s="940"/>
      <c r="T10" s="940"/>
      <c r="U10" s="940"/>
      <c r="V10" s="941"/>
      <c r="W10" s="940"/>
      <c r="X10" s="939"/>
      <c r="Y10" s="941"/>
      <c r="Z10" s="941"/>
      <c r="AA10" s="941"/>
      <c r="AB10" s="937"/>
      <c r="AC10" s="964"/>
      <c r="AD10" s="964"/>
      <c r="AE10" s="964"/>
      <c r="AF10" s="940"/>
      <c r="AG10" s="940"/>
      <c r="AH10" s="940"/>
      <c r="AI10" s="940"/>
      <c r="AJ10" s="940"/>
      <c r="AK10" s="940"/>
      <c r="AL10" s="940"/>
      <c r="AM10" s="940"/>
      <c r="AN10" s="940"/>
      <c r="AO10" s="940"/>
      <c r="AP10" s="940"/>
      <c r="AQ10" s="940"/>
      <c r="AR10" s="940"/>
      <c r="AS10" s="940"/>
      <c r="AT10" s="940"/>
      <c r="AU10" s="940"/>
      <c r="AV10" s="940"/>
      <c r="AW10" s="940"/>
      <c r="AX10" s="940"/>
      <c r="AY10" s="940"/>
      <c r="AZ10" s="940"/>
      <c r="BA10" s="940"/>
      <c r="BB10" s="940"/>
      <c r="BC10" s="940"/>
      <c r="BD10" s="940"/>
      <c r="BE10" s="940"/>
      <c r="BF10" s="940"/>
      <c r="BG10" s="940"/>
      <c r="BH10" s="940"/>
      <c r="BI10" s="940"/>
      <c r="BJ10" s="940"/>
      <c r="BK10" s="940"/>
      <c r="BL10" s="940"/>
      <c r="BM10" s="940"/>
      <c r="BN10" s="940"/>
      <c r="BO10" s="940"/>
      <c r="BP10" s="940"/>
      <c r="BQ10" s="940"/>
      <c r="BR10" s="940"/>
      <c r="BS10" s="940"/>
      <c r="BT10" s="940"/>
      <c r="BU10" s="940"/>
      <c r="BV10" s="940"/>
      <c r="BW10" s="940"/>
      <c r="BX10" s="940"/>
      <c r="BY10" s="940"/>
      <c r="BZ10" s="940"/>
      <c r="CA10" s="940"/>
      <c r="CB10" s="940"/>
      <c r="CC10" s="940"/>
      <c r="CD10" s="940"/>
      <c r="CE10" s="940"/>
      <c r="CF10" s="940"/>
      <c r="CG10" s="940"/>
      <c r="CH10" s="940"/>
      <c r="CI10" s="940"/>
      <c r="CJ10" s="940"/>
      <c r="CK10" s="937"/>
      <c r="CL10" s="937"/>
      <c r="CM10" s="937"/>
      <c r="CN10" s="937"/>
      <c r="CO10" s="937"/>
    </row>
    <row r="11" spans="1:94" s="918" customFormat="1" ht="16" thickBot="1" x14ac:dyDescent="0.35">
      <c r="A11" s="916"/>
      <c r="B11" s="916"/>
      <c r="C11" s="916"/>
      <c r="D11" s="916"/>
      <c r="E11" s="917"/>
      <c r="F11" s="917"/>
      <c r="G11" s="917"/>
      <c r="H11" s="917"/>
      <c r="I11" s="917"/>
      <c r="J11" s="917"/>
      <c r="K11" s="917"/>
      <c r="Q11" s="937"/>
      <c r="R11" s="937"/>
      <c r="S11" s="940"/>
      <c r="T11" s="940"/>
      <c r="U11" s="940"/>
      <c r="V11" s="965" t="s">
        <v>724</v>
      </c>
      <c r="W11" s="940"/>
      <c r="X11" s="939"/>
      <c r="Y11" s="941" t="s">
        <v>722</v>
      </c>
      <c r="Z11" s="941"/>
      <c r="AA11" s="941"/>
      <c r="AB11" s="937"/>
      <c r="AC11" s="960" t="s">
        <v>394</v>
      </c>
      <c r="AD11" s="960" t="s">
        <v>393</v>
      </c>
      <c r="AE11" s="964"/>
      <c r="AF11" s="1931" t="str">
        <f>Infrastructure!H$9</f>
        <v>Year 1</v>
      </c>
      <c r="AG11" s="1931"/>
      <c r="AH11" s="1931"/>
      <c r="AI11" s="1931"/>
      <c r="AJ11" s="1931"/>
      <c r="AK11" s="1931"/>
      <c r="AL11" s="1931"/>
      <c r="AM11" s="1931"/>
      <c r="AN11" s="1931"/>
      <c r="AO11" s="1931"/>
      <c r="AP11" s="1931"/>
      <c r="AQ11" s="1931"/>
      <c r="AR11" s="1931" t="str">
        <f>Infrastructure!I$9</f>
        <v>Year 2</v>
      </c>
      <c r="AS11" s="1931"/>
      <c r="AT11" s="1931"/>
      <c r="AU11" s="1931"/>
      <c r="AV11" s="1931"/>
      <c r="AW11" s="1931"/>
      <c r="AX11" s="1931"/>
      <c r="AY11" s="1931"/>
      <c r="AZ11" s="1931"/>
      <c r="BA11" s="1931"/>
      <c r="BB11" s="1931"/>
      <c r="BC11" s="1931"/>
      <c r="BD11" s="1931" t="str">
        <f>Infrastructure!J$9</f>
        <v>Year 3</v>
      </c>
      <c r="BE11" s="1931"/>
      <c r="BF11" s="1931"/>
      <c r="BG11" s="1931"/>
      <c r="BH11" s="1931"/>
      <c r="BI11" s="1931"/>
      <c r="BJ11" s="1931"/>
      <c r="BK11" s="1931"/>
      <c r="BL11" s="1931"/>
      <c r="BM11" s="1931"/>
      <c r="BN11" s="1931"/>
      <c r="BO11" s="1931"/>
      <c r="BP11" s="1931" t="str">
        <f>Infrastructure!K$9</f>
        <v>Year 4</v>
      </c>
      <c r="BQ11" s="1931"/>
      <c r="BR11" s="1931"/>
      <c r="BS11" s="1931"/>
      <c r="BT11" s="1931"/>
      <c r="BU11" s="1931"/>
      <c r="BV11" s="1931"/>
      <c r="BW11" s="1931"/>
      <c r="BX11" s="1931"/>
      <c r="BY11" s="1931"/>
      <c r="BZ11" s="1931"/>
      <c r="CA11" s="1931"/>
      <c r="CB11" s="1931" t="str">
        <f>Infrastructure!L$9</f>
        <v>Year 5</v>
      </c>
      <c r="CC11" s="1931"/>
      <c r="CD11" s="1931"/>
      <c r="CE11" s="1931"/>
      <c r="CF11" s="1931"/>
      <c r="CG11" s="1931"/>
      <c r="CH11" s="1931"/>
      <c r="CI11" s="1931"/>
      <c r="CJ11" s="1931"/>
      <c r="CK11" s="1931"/>
      <c r="CL11" s="1931"/>
      <c r="CM11" s="1931"/>
      <c r="CN11" s="937"/>
      <c r="CO11" s="937"/>
    </row>
    <row r="12" spans="1:94" s="918" customFormat="1" x14ac:dyDescent="0.3">
      <c r="A12" s="916"/>
      <c r="B12" s="916"/>
      <c r="C12" s="916"/>
      <c r="D12" s="916"/>
      <c r="E12" s="917"/>
      <c r="F12" s="917"/>
      <c r="G12" s="917"/>
      <c r="H12" s="917"/>
      <c r="I12" s="917"/>
      <c r="J12" s="917"/>
      <c r="K12" s="917"/>
      <c r="Q12" s="937"/>
      <c r="R12" s="937"/>
      <c r="S12" s="940"/>
      <c r="T12" s="940"/>
      <c r="U12" s="940"/>
      <c r="V12" s="942" t="s">
        <v>619</v>
      </c>
      <c r="W12" s="940"/>
      <c r="X12" s="939"/>
      <c r="Y12" s="943">
        <v>1</v>
      </c>
      <c r="Z12" s="941"/>
      <c r="AA12" s="941"/>
      <c r="AB12" s="937"/>
      <c r="AC12" s="968">
        <f>MIN(AF12:CM12)</f>
        <v>0</v>
      </c>
      <c r="AD12" s="968">
        <f>MAX(AF12:CM12)</f>
        <v>0</v>
      </c>
      <c r="AE12" s="968"/>
      <c r="AF12" s="950" t="str">
        <f>Analysis!J29</f>
        <v/>
      </c>
      <c r="AG12" s="951" t="str">
        <f>Analysis!K29</f>
        <v/>
      </c>
      <c r="AH12" s="951" t="str">
        <f>Analysis!L29</f>
        <v/>
      </c>
      <c r="AI12" s="951" t="str">
        <f>Analysis!M29</f>
        <v/>
      </c>
      <c r="AJ12" s="951" t="str">
        <f>Analysis!N29</f>
        <v/>
      </c>
      <c r="AK12" s="951" t="str">
        <f>Analysis!O29</f>
        <v/>
      </c>
      <c r="AL12" s="951" t="str">
        <f>Analysis!P29</f>
        <v/>
      </c>
      <c r="AM12" s="951" t="str">
        <f>Analysis!Q29</f>
        <v/>
      </c>
      <c r="AN12" s="951" t="str">
        <f>Analysis!R29</f>
        <v/>
      </c>
      <c r="AO12" s="951" t="str">
        <f>Analysis!S29</f>
        <v/>
      </c>
      <c r="AP12" s="951" t="str">
        <f>Analysis!T29</f>
        <v/>
      </c>
      <c r="AQ12" s="951" t="str">
        <f>Analysis!U29</f>
        <v/>
      </c>
      <c r="AR12" s="951" t="str">
        <f>Analysis!V29</f>
        <v/>
      </c>
      <c r="AS12" s="951" t="str">
        <f>Analysis!W29</f>
        <v/>
      </c>
      <c r="AT12" s="951" t="str">
        <f>Analysis!X29</f>
        <v/>
      </c>
      <c r="AU12" s="951" t="str">
        <f>Analysis!Y29</f>
        <v/>
      </c>
      <c r="AV12" s="951" t="str">
        <f>Analysis!Z29</f>
        <v/>
      </c>
      <c r="AW12" s="951" t="str">
        <f>Analysis!AA29</f>
        <v/>
      </c>
      <c r="AX12" s="951" t="str">
        <f>Analysis!AB29</f>
        <v/>
      </c>
      <c r="AY12" s="951" t="str">
        <f>Analysis!AC29</f>
        <v/>
      </c>
      <c r="AZ12" s="951" t="str">
        <f>Analysis!AD29</f>
        <v/>
      </c>
      <c r="BA12" s="951" t="str">
        <f>Analysis!AE29</f>
        <v/>
      </c>
      <c r="BB12" s="951" t="str">
        <f>Analysis!AF29</f>
        <v/>
      </c>
      <c r="BC12" s="951" t="str">
        <f>Analysis!AG29</f>
        <v/>
      </c>
      <c r="BD12" s="951" t="str">
        <f>Analysis!AH29</f>
        <v/>
      </c>
      <c r="BE12" s="951" t="str">
        <f>Analysis!AI29</f>
        <v/>
      </c>
      <c r="BF12" s="951" t="str">
        <f>Analysis!AJ29</f>
        <v/>
      </c>
      <c r="BG12" s="951" t="str">
        <f>Analysis!AK29</f>
        <v/>
      </c>
      <c r="BH12" s="951" t="str">
        <f>Analysis!AL29</f>
        <v/>
      </c>
      <c r="BI12" s="951" t="str">
        <f>Analysis!AM29</f>
        <v/>
      </c>
      <c r="BJ12" s="951" t="str">
        <f>Analysis!AN29</f>
        <v/>
      </c>
      <c r="BK12" s="951" t="str">
        <f>Analysis!AO29</f>
        <v/>
      </c>
      <c r="BL12" s="951" t="str">
        <f>Analysis!AP29</f>
        <v/>
      </c>
      <c r="BM12" s="951" t="str">
        <f>Analysis!AQ29</f>
        <v/>
      </c>
      <c r="BN12" s="951" t="str">
        <f>Analysis!AR29</f>
        <v/>
      </c>
      <c r="BO12" s="951" t="str">
        <f>Analysis!AS29</f>
        <v/>
      </c>
      <c r="BP12" s="951" t="str">
        <f>Analysis!AT29</f>
        <v/>
      </c>
      <c r="BQ12" s="951" t="str">
        <f>Analysis!AU29</f>
        <v/>
      </c>
      <c r="BR12" s="951" t="str">
        <f>Analysis!AV29</f>
        <v/>
      </c>
      <c r="BS12" s="951" t="str">
        <f>Analysis!AW29</f>
        <v/>
      </c>
      <c r="BT12" s="951" t="str">
        <f>Analysis!AX29</f>
        <v/>
      </c>
      <c r="BU12" s="951" t="str">
        <f>Analysis!AY29</f>
        <v/>
      </c>
      <c r="BV12" s="951" t="str">
        <f>Analysis!AZ29</f>
        <v/>
      </c>
      <c r="BW12" s="951" t="str">
        <f>Analysis!BA29</f>
        <v/>
      </c>
      <c r="BX12" s="951" t="str">
        <f>Analysis!BB29</f>
        <v/>
      </c>
      <c r="BY12" s="951" t="str">
        <f>Analysis!BC29</f>
        <v/>
      </c>
      <c r="BZ12" s="951" t="str">
        <f>Analysis!BD29</f>
        <v/>
      </c>
      <c r="CA12" s="951" t="str">
        <f>Analysis!BE29</f>
        <v/>
      </c>
      <c r="CB12" s="951" t="str">
        <f>Analysis!BF29</f>
        <v/>
      </c>
      <c r="CC12" s="951" t="str">
        <f>Analysis!BG29</f>
        <v/>
      </c>
      <c r="CD12" s="951" t="str">
        <f>Analysis!BH29</f>
        <v/>
      </c>
      <c r="CE12" s="951" t="str">
        <f>Analysis!BI29</f>
        <v/>
      </c>
      <c r="CF12" s="951" t="str">
        <f>Analysis!BJ29</f>
        <v/>
      </c>
      <c r="CG12" s="951" t="str">
        <f>Analysis!BK29</f>
        <v/>
      </c>
      <c r="CH12" s="951" t="str">
        <f>Analysis!BL29</f>
        <v/>
      </c>
      <c r="CI12" s="951" t="str">
        <f>Analysis!BM29</f>
        <v/>
      </c>
      <c r="CJ12" s="951" t="str">
        <f>Analysis!BN29</f>
        <v/>
      </c>
      <c r="CK12" s="984" t="str">
        <f>Analysis!BO29</f>
        <v/>
      </c>
      <c r="CL12" s="984" t="str">
        <f>Analysis!BP29</f>
        <v/>
      </c>
      <c r="CM12" s="956" t="str">
        <f>Analysis!BQ29</f>
        <v/>
      </c>
      <c r="CN12" s="937"/>
      <c r="CO12" s="937"/>
    </row>
    <row r="13" spans="1:94" s="918" customFormat="1" x14ac:dyDescent="0.3">
      <c r="A13" s="916"/>
      <c r="B13" s="916"/>
      <c r="C13" s="916"/>
      <c r="D13" s="916"/>
      <c r="E13" s="917"/>
      <c r="F13" s="917"/>
      <c r="G13" s="917"/>
      <c r="H13" s="917"/>
      <c r="I13" s="917"/>
      <c r="J13" s="917"/>
      <c r="K13" s="917"/>
      <c r="Q13" s="937"/>
      <c r="R13" s="937"/>
      <c r="S13" s="940"/>
      <c r="T13" s="940"/>
      <c r="U13" s="940"/>
      <c r="V13" s="942" t="s">
        <v>621</v>
      </c>
      <c r="W13" s="940"/>
      <c r="X13" s="939"/>
      <c r="Y13" s="944">
        <v>1.5</v>
      </c>
      <c r="Z13" s="941"/>
      <c r="AA13" s="941"/>
      <c r="AB13" s="937"/>
      <c r="AC13" s="968">
        <f>MIN(AF13:CM13)</f>
        <v>0</v>
      </c>
      <c r="AD13" s="968">
        <f>MAX(AF13:CM13)</f>
        <v>0</v>
      </c>
      <c r="AE13" s="968"/>
      <c r="AF13" s="952" t="str">
        <f>Analysis!J30</f>
        <v/>
      </c>
      <c r="AG13" s="953" t="str">
        <f>Analysis!K30</f>
        <v/>
      </c>
      <c r="AH13" s="953" t="str">
        <f>Analysis!L30</f>
        <v/>
      </c>
      <c r="AI13" s="953" t="str">
        <f>Analysis!M30</f>
        <v/>
      </c>
      <c r="AJ13" s="953" t="str">
        <f>Analysis!N30</f>
        <v/>
      </c>
      <c r="AK13" s="953" t="str">
        <f>Analysis!O30</f>
        <v/>
      </c>
      <c r="AL13" s="953" t="str">
        <f>Analysis!P30</f>
        <v/>
      </c>
      <c r="AM13" s="953" t="str">
        <f>Analysis!Q30</f>
        <v/>
      </c>
      <c r="AN13" s="953" t="str">
        <f>Analysis!R30</f>
        <v/>
      </c>
      <c r="AO13" s="953" t="str">
        <f>Analysis!S30</f>
        <v/>
      </c>
      <c r="AP13" s="953" t="str">
        <f>Analysis!T30</f>
        <v/>
      </c>
      <c r="AQ13" s="953" t="str">
        <f>Analysis!U30</f>
        <v/>
      </c>
      <c r="AR13" s="953" t="str">
        <f>Analysis!V30</f>
        <v/>
      </c>
      <c r="AS13" s="953" t="str">
        <f>Analysis!W30</f>
        <v/>
      </c>
      <c r="AT13" s="953" t="str">
        <f>Analysis!X30</f>
        <v/>
      </c>
      <c r="AU13" s="953" t="str">
        <f>Analysis!Y30</f>
        <v/>
      </c>
      <c r="AV13" s="953" t="str">
        <f>Analysis!Z30</f>
        <v/>
      </c>
      <c r="AW13" s="953" t="str">
        <f>Analysis!AA30</f>
        <v/>
      </c>
      <c r="AX13" s="953" t="str">
        <f>Analysis!AB30</f>
        <v/>
      </c>
      <c r="AY13" s="953" t="str">
        <f>Analysis!AC30</f>
        <v/>
      </c>
      <c r="AZ13" s="953" t="str">
        <f>Analysis!AD30</f>
        <v/>
      </c>
      <c r="BA13" s="953" t="str">
        <f>Analysis!AE30</f>
        <v/>
      </c>
      <c r="BB13" s="953" t="str">
        <f>Analysis!AF30</f>
        <v/>
      </c>
      <c r="BC13" s="953" t="str">
        <f>Analysis!AG30</f>
        <v/>
      </c>
      <c r="BD13" s="953" t="str">
        <f>Analysis!AH30</f>
        <v/>
      </c>
      <c r="BE13" s="953" t="str">
        <f>Analysis!AI30</f>
        <v/>
      </c>
      <c r="BF13" s="953" t="str">
        <f>Analysis!AJ30</f>
        <v/>
      </c>
      <c r="BG13" s="953" t="str">
        <f>Analysis!AK30</f>
        <v/>
      </c>
      <c r="BH13" s="953" t="str">
        <f>Analysis!AL30</f>
        <v/>
      </c>
      <c r="BI13" s="953" t="str">
        <f>Analysis!AM30</f>
        <v/>
      </c>
      <c r="BJ13" s="953" t="str">
        <f>Analysis!AN30</f>
        <v/>
      </c>
      <c r="BK13" s="953" t="str">
        <f>Analysis!AO30</f>
        <v/>
      </c>
      <c r="BL13" s="953" t="str">
        <f>Analysis!AP30</f>
        <v/>
      </c>
      <c r="BM13" s="953" t="str">
        <f>Analysis!AQ30</f>
        <v/>
      </c>
      <c r="BN13" s="953" t="str">
        <f>Analysis!AR30</f>
        <v/>
      </c>
      <c r="BO13" s="953" t="str">
        <f>Analysis!AS30</f>
        <v/>
      </c>
      <c r="BP13" s="953" t="str">
        <f>Analysis!AT30</f>
        <v/>
      </c>
      <c r="BQ13" s="953" t="str">
        <f>Analysis!AU30</f>
        <v/>
      </c>
      <c r="BR13" s="953" t="str">
        <f>Analysis!AV30</f>
        <v/>
      </c>
      <c r="BS13" s="953" t="str">
        <f>Analysis!AW30</f>
        <v/>
      </c>
      <c r="BT13" s="953" t="str">
        <f>Analysis!AX30</f>
        <v/>
      </c>
      <c r="BU13" s="953" t="str">
        <f>Analysis!AY30</f>
        <v/>
      </c>
      <c r="BV13" s="953" t="str">
        <f>Analysis!AZ30</f>
        <v/>
      </c>
      <c r="BW13" s="953" t="str">
        <f>Analysis!BA30</f>
        <v/>
      </c>
      <c r="BX13" s="953" t="str">
        <f>Analysis!BB30</f>
        <v/>
      </c>
      <c r="BY13" s="953" t="str">
        <f>Analysis!BC30</f>
        <v/>
      </c>
      <c r="BZ13" s="953" t="str">
        <f>Analysis!BD30</f>
        <v/>
      </c>
      <c r="CA13" s="953" t="str">
        <f>Analysis!BE30</f>
        <v/>
      </c>
      <c r="CB13" s="953" t="str">
        <f>Analysis!BF30</f>
        <v/>
      </c>
      <c r="CC13" s="953" t="str">
        <f>Analysis!BG30</f>
        <v/>
      </c>
      <c r="CD13" s="953" t="str">
        <f>Analysis!BH30</f>
        <v/>
      </c>
      <c r="CE13" s="953" t="str">
        <f>Analysis!BI30</f>
        <v/>
      </c>
      <c r="CF13" s="953" t="str">
        <f>Analysis!BJ30</f>
        <v/>
      </c>
      <c r="CG13" s="953" t="str">
        <f>Analysis!BK30</f>
        <v/>
      </c>
      <c r="CH13" s="953" t="str">
        <f>Analysis!BL30</f>
        <v/>
      </c>
      <c r="CI13" s="953" t="str">
        <f>Analysis!BM30</f>
        <v/>
      </c>
      <c r="CJ13" s="953" t="str">
        <f>Analysis!BN30</f>
        <v/>
      </c>
      <c r="CK13" s="985" t="str">
        <f>Analysis!BO30</f>
        <v/>
      </c>
      <c r="CL13" s="985" t="str">
        <f>Analysis!BP30</f>
        <v/>
      </c>
      <c r="CM13" s="986" t="str">
        <f>Analysis!BQ30</f>
        <v/>
      </c>
      <c r="CN13" s="937"/>
      <c r="CO13" s="937"/>
    </row>
    <row r="14" spans="1:94" s="918" customFormat="1" ht="13.5" thickBot="1" x14ac:dyDescent="0.35">
      <c r="A14" s="916" t="s">
        <v>725</v>
      </c>
      <c r="B14" s="916"/>
      <c r="C14" s="916"/>
      <c r="D14" s="916"/>
      <c r="E14" s="917"/>
      <c r="F14" s="919"/>
      <c r="G14" s="919" t="s">
        <v>726</v>
      </c>
      <c r="H14" s="919"/>
      <c r="I14" s="920" t="s">
        <v>727</v>
      </c>
      <c r="J14" s="919"/>
      <c r="K14" s="919"/>
      <c r="Q14" s="937"/>
      <c r="R14" s="937"/>
      <c r="S14" s="940"/>
      <c r="T14" s="940"/>
      <c r="U14" s="940"/>
      <c r="V14" s="942" t="s">
        <v>674</v>
      </c>
      <c r="W14" s="940"/>
      <c r="X14" s="939"/>
      <c r="Y14" s="945"/>
      <c r="Z14" s="941"/>
      <c r="AA14" s="941"/>
      <c r="AB14" s="937"/>
      <c r="AC14" s="968">
        <f>MIN(AF14:CM14)</f>
        <v>0</v>
      </c>
      <c r="AD14" s="968">
        <f>MAX(AF14:CM14)</f>
        <v>0</v>
      </c>
      <c r="AE14" s="968"/>
      <c r="AF14" s="954" t="str">
        <f>Analysis!J31</f>
        <v/>
      </c>
      <c r="AG14" s="955" t="str">
        <f>Analysis!K31</f>
        <v/>
      </c>
      <c r="AH14" s="955" t="str">
        <f>Analysis!L31</f>
        <v/>
      </c>
      <c r="AI14" s="955" t="str">
        <f>Analysis!M31</f>
        <v/>
      </c>
      <c r="AJ14" s="955" t="str">
        <f>Analysis!N31</f>
        <v/>
      </c>
      <c r="AK14" s="955" t="str">
        <f>Analysis!O31</f>
        <v/>
      </c>
      <c r="AL14" s="955" t="str">
        <f>Analysis!P31</f>
        <v/>
      </c>
      <c r="AM14" s="955" t="str">
        <f>Analysis!Q31</f>
        <v/>
      </c>
      <c r="AN14" s="955" t="str">
        <f>Analysis!R31</f>
        <v/>
      </c>
      <c r="AO14" s="955" t="str">
        <f>Analysis!S31</f>
        <v/>
      </c>
      <c r="AP14" s="955" t="str">
        <f>Analysis!T31</f>
        <v/>
      </c>
      <c r="AQ14" s="955" t="str">
        <f>Analysis!U31</f>
        <v/>
      </c>
      <c r="AR14" s="955" t="str">
        <f>Analysis!V31</f>
        <v/>
      </c>
      <c r="AS14" s="955" t="str">
        <f>Analysis!W31</f>
        <v/>
      </c>
      <c r="AT14" s="955" t="str">
        <f>Analysis!X31</f>
        <v/>
      </c>
      <c r="AU14" s="955" t="str">
        <f>Analysis!Y31</f>
        <v/>
      </c>
      <c r="AV14" s="955" t="str">
        <f>Analysis!Z31</f>
        <v/>
      </c>
      <c r="AW14" s="955" t="str">
        <f>Analysis!AA31</f>
        <v/>
      </c>
      <c r="AX14" s="955" t="str">
        <f>Analysis!AB31</f>
        <v/>
      </c>
      <c r="AY14" s="955" t="str">
        <f>Analysis!AC31</f>
        <v/>
      </c>
      <c r="AZ14" s="955" t="str">
        <f>Analysis!AD31</f>
        <v/>
      </c>
      <c r="BA14" s="955" t="str">
        <f>Analysis!AE31</f>
        <v/>
      </c>
      <c r="BB14" s="955" t="str">
        <f>Analysis!AF31</f>
        <v/>
      </c>
      <c r="BC14" s="955" t="str">
        <f>Analysis!AG31</f>
        <v/>
      </c>
      <c r="BD14" s="955" t="str">
        <f>Analysis!AH31</f>
        <v/>
      </c>
      <c r="BE14" s="955" t="str">
        <f>Analysis!AI31</f>
        <v/>
      </c>
      <c r="BF14" s="955" t="str">
        <f>Analysis!AJ31</f>
        <v/>
      </c>
      <c r="BG14" s="955" t="str">
        <f>Analysis!AK31</f>
        <v/>
      </c>
      <c r="BH14" s="955" t="str">
        <f>Analysis!AL31</f>
        <v/>
      </c>
      <c r="BI14" s="955" t="str">
        <f>Analysis!AM31</f>
        <v/>
      </c>
      <c r="BJ14" s="955" t="str">
        <f>Analysis!AN31</f>
        <v/>
      </c>
      <c r="BK14" s="955" t="str">
        <f>Analysis!AO31</f>
        <v/>
      </c>
      <c r="BL14" s="955" t="str">
        <f>Analysis!AP31</f>
        <v/>
      </c>
      <c r="BM14" s="955" t="str">
        <f>Analysis!AQ31</f>
        <v/>
      </c>
      <c r="BN14" s="955" t="str">
        <f>Analysis!AR31</f>
        <v/>
      </c>
      <c r="BO14" s="955" t="str">
        <f>Analysis!AS31</f>
        <v/>
      </c>
      <c r="BP14" s="955" t="str">
        <f>Analysis!AT31</f>
        <v/>
      </c>
      <c r="BQ14" s="955" t="str">
        <f>Analysis!AU31</f>
        <v/>
      </c>
      <c r="BR14" s="955" t="str">
        <f>Analysis!AV31</f>
        <v/>
      </c>
      <c r="BS14" s="955" t="str">
        <f>Analysis!AW31</f>
        <v/>
      </c>
      <c r="BT14" s="955" t="str">
        <f>Analysis!AX31</f>
        <v/>
      </c>
      <c r="BU14" s="955" t="str">
        <f>Analysis!AY31</f>
        <v/>
      </c>
      <c r="BV14" s="955" t="str">
        <f>Analysis!AZ31</f>
        <v/>
      </c>
      <c r="BW14" s="955" t="str">
        <f>Analysis!BA31</f>
        <v/>
      </c>
      <c r="BX14" s="955" t="str">
        <f>Analysis!BB31</f>
        <v/>
      </c>
      <c r="BY14" s="955" t="str">
        <f>Analysis!BC31</f>
        <v/>
      </c>
      <c r="BZ14" s="955" t="str">
        <f>Analysis!BD31</f>
        <v/>
      </c>
      <c r="CA14" s="955" t="str">
        <f>Analysis!BE31</f>
        <v/>
      </c>
      <c r="CB14" s="955" t="str">
        <f>Analysis!BF31</f>
        <v/>
      </c>
      <c r="CC14" s="955" t="str">
        <f>Analysis!BG31</f>
        <v/>
      </c>
      <c r="CD14" s="955" t="str">
        <f>Analysis!BH31</f>
        <v/>
      </c>
      <c r="CE14" s="955" t="str">
        <f>Analysis!BI31</f>
        <v/>
      </c>
      <c r="CF14" s="955" t="str">
        <f>Analysis!BJ31</f>
        <v/>
      </c>
      <c r="CG14" s="955" t="str">
        <f>Analysis!BK31</f>
        <v/>
      </c>
      <c r="CH14" s="955" t="str">
        <f>Analysis!BL31</f>
        <v/>
      </c>
      <c r="CI14" s="955" t="str">
        <f>Analysis!BM31</f>
        <v/>
      </c>
      <c r="CJ14" s="955" t="str">
        <f>Analysis!BN31</f>
        <v/>
      </c>
      <c r="CK14" s="987" t="str">
        <f>Analysis!BO31</f>
        <v/>
      </c>
      <c r="CL14" s="987" t="str">
        <f>Analysis!BP31</f>
        <v/>
      </c>
      <c r="CM14" s="988" t="str">
        <f>Analysis!BQ31</f>
        <v/>
      </c>
      <c r="CN14" s="937"/>
      <c r="CO14" s="937"/>
    </row>
    <row r="15" spans="1:94" s="918" customFormat="1" x14ac:dyDescent="0.3">
      <c r="A15" s="916"/>
      <c r="B15" s="916"/>
      <c r="C15" s="923"/>
      <c r="D15" s="923"/>
      <c r="E15" s="924"/>
      <c r="F15" s="924"/>
      <c r="H15" s="924"/>
      <c r="I15" s="925"/>
      <c r="J15" s="926"/>
      <c r="K15" s="926"/>
      <c r="L15" s="927"/>
      <c r="M15" s="927"/>
      <c r="N15" s="927"/>
      <c r="Q15" s="937"/>
      <c r="R15" s="937"/>
      <c r="S15" s="940"/>
      <c r="T15" s="940"/>
      <c r="U15" s="940"/>
      <c r="V15" s="942"/>
      <c r="W15" s="940"/>
      <c r="X15" s="939"/>
      <c r="Y15" s="940"/>
      <c r="Z15" s="940"/>
      <c r="AA15" s="941"/>
      <c r="AB15" s="937"/>
      <c r="AC15" s="937"/>
      <c r="AD15" s="961"/>
      <c r="AE15" s="961"/>
      <c r="AF15" s="953"/>
      <c r="AG15" s="953"/>
      <c r="AH15" s="953"/>
      <c r="AI15" s="953"/>
      <c r="AJ15" s="953"/>
      <c r="AK15" s="953"/>
      <c r="AL15" s="953"/>
      <c r="AM15" s="953"/>
      <c r="AN15" s="953"/>
      <c r="AO15" s="953"/>
      <c r="AP15" s="953"/>
      <c r="AQ15" s="953"/>
      <c r="AR15" s="953"/>
      <c r="AS15" s="953"/>
      <c r="AT15" s="953"/>
      <c r="AU15" s="953"/>
      <c r="AV15" s="953"/>
      <c r="AW15" s="953"/>
      <c r="AX15" s="953"/>
      <c r="AY15" s="953"/>
      <c r="AZ15" s="953"/>
      <c r="BA15" s="953"/>
      <c r="BB15" s="953"/>
      <c r="BC15" s="953"/>
      <c r="BD15" s="953"/>
      <c r="BE15" s="953"/>
      <c r="BF15" s="953"/>
      <c r="BG15" s="953"/>
      <c r="BH15" s="953"/>
      <c r="BI15" s="953"/>
      <c r="BJ15" s="953"/>
      <c r="BK15" s="953"/>
      <c r="BL15" s="953"/>
      <c r="BM15" s="953"/>
      <c r="BN15" s="953"/>
      <c r="BO15" s="953"/>
      <c r="BP15" s="953"/>
      <c r="BQ15" s="953"/>
      <c r="BR15" s="953"/>
      <c r="BS15" s="953"/>
      <c r="BT15" s="953"/>
      <c r="BU15" s="953"/>
      <c r="BV15" s="953"/>
      <c r="BW15" s="953"/>
      <c r="BX15" s="953"/>
      <c r="BY15" s="953"/>
      <c r="BZ15" s="953"/>
      <c r="CA15" s="953"/>
      <c r="CB15" s="953"/>
      <c r="CC15" s="953"/>
      <c r="CD15" s="953"/>
      <c r="CE15" s="953"/>
      <c r="CF15" s="953"/>
      <c r="CG15" s="953"/>
      <c r="CH15" s="953"/>
      <c r="CI15" s="953"/>
      <c r="CJ15" s="953"/>
      <c r="CK15" s="953"/>
      <c r="CL15" s="953"/>
      <c r="CM15" s="953"/>
      <c r="CN15" s="937"/>
      <c r="CO15" s="937"/>
    </row>
    <row r="16" spans="1:94" s="918" customFormat="1" ht="16" thickBot="1" x14ac:dyDescent="0.35">
      <c r="A16" s="916"/>
      <c r="B16" s="916"/>
      <c r="C16" s="916"/>
      <c r="D16" s="916"/>
      <c r="E16" s="917"/>
      <c r="F16" s="917"/>
      <c r="H16" s="917"/>
      <c r="I16" s="922"/>
      <c r="J16" s="921"/>
      <c r="K16" s="921"/>
      <c r="Q16" s="937"/>
      <c r="R16" s="937"/>
      <c r="T16" s="940"/>
      <c r="U16" s="940"/>
      <c r="V16" s="965" t="s">
        <v>728</v>
      </c>
      <c r="Y16" s="941" t="s">
        <v>729</v>
      </c>
      <c r="Z16" s="941" t="s">
        <v>730</v>
      </c>
      <c r="AA16" s="941"/>
      <c r="AC16" s="960" t="s">
        <v>394</v>
      </c>
      <c r="AD16" s="960" t="s">
        <v>393</v>
      </c>
      <c r="AE16" s="961"/>
      <c r="AF16" s="1931" t="str">
        <f>Infrastructure!H$9</f>
        <v>Year 1</v>
      </c>
      <c r="AG16" s="1931"/>
      <c r="AH16" s="1931"/>
      <c r="AI16" s="1931"/>
      <c r="AJ16" s="1931"/>
      <c r="AK16" s="1931"/>
      <c r="AL16" s="1931"/>
      <c r="AM16" s="1931"/>
      <c r="AN16" s="1931"/>
      <c r="AO16" s="1931"/>
      <c r="AP16" s="1931"/>
      <c r="AQ16" s="1931"/>
      <c r="AR16" s="1931" t="str">
        <f>Infrastructure!I$9</f>
        <v>Year 2</v>
      </c>
      <c r="AS16" s="1931"/>
      <c r="AT16" s="1931"/>
      <c r="AU16" s="1931"/>
      <c r="AV16" s="1931"/>
      <c r="AW16" s="1931"/>
      <c r="AX16" s="1931"/>
      <c r="AY16" s="1931"/>
      <c r="AZ16" s="1931"/>
      <c r="BA16" s="1931"/>
      <c r="BB16" s="1931"/>
      <c r="BC16" s="1931"/>
      <c r="BD16" s="1931" t="str">
        <f>Infrastructure!J$9</f>
        <v>Year 3</v>
      </c>
      <c r="BE16" s="1931"/>
      <c r="BF16" s="1931"/>
      <c r="BG16" s="1931"/>
      <c r="BH16" s="1931"/>
      <c r="BI16" s="1931"/>
      <c r="BJ16" s="1931"/>
      <c r="BK16" s="1931"/>
      <c r="BL16" s="1931"/>
      <c r="BM16" s="1931"/>
      <c r="BN16" s="1931"/>
      <c r="BO16" s="1931"/>
      <c r="BP16" s="1931" t="str">
        <f>Infrastructure!K$9</f>
        <v>Year 4</v>
      </c>
      <c r="BQ16" s="1931"/>
      <c r="BR16" s="1931"/>
      <c r="BS16" s="1931"/>
      <c r="BT16" s="1931"/>
      <c r="BU16" s="1931"/>
      <c r="BV16" s="1931"/>
      <c r="BW16" s="1931"/>
      <c r="BX16" s="1931"/>
      <c r="BY16" s="1931"/>
      <c r="BZ16" s="1931"/>
      <c r="CA16" s="1931"/>
      <c r="CB16" s="1931" t="str">
        <f>Infrastructure!L$9</f>
        <v>Year 5</v>
      </c>
      <c r="CC16" s="1931"/>
      <c r="CD16" s="1931"/>
      <c r="CE16" s="1931"/>
      <c r="CF16" s="1931"/>
      <c r="CG16" s="1931"/>
      <c r="CH16" s="1931"/>
      <c r="CI16" s="1931"/>
      <c r="CJ16" s="1931"/>
      <c r="CK16" s="1931"/>
      <c r="CL16" s="1931"/>
      <c r="CM16" s="1931"/>
      <c r="CN16" s="937"/>
      <c r="CO16" s="937"/>
    </row>
    <row r="17" spans="1:94" s="918" customFormat="1" ht="12.75" customHeight="1" x14ac:dyDescent="0.3">
      <c r="A17" s="916"/>
      <c r="B17" s="916"/>
      <c r="C17" s="916"/>
      <c r="D17" s="916"/>
      <c r="E17" s="917"/>
      <c r="F17" s="917"/>
      <c r="H17" s="917"/>
      <c r="I17" s="922"/>
      <c r="J17" s="921"/>
      <c r="K17" s="921"/>
      <c r="Q17" s="937"/>
      <c r="R17" s="937"/>
      <c r="S17" s="983"/>
      <c r="T17" s="940"/>
      <c r="U17" s="940"/>
      <c r="V17" s="942" t="s">
        <v>731</v>
      </c>
      <c r="W17" s="940"/>
      <c r="X17" s="975">
        <f>IF(AND(Y17&lt;&gt;"",AC17&lt;$Y17,Y17&lt;&gt;0,AC17&lt;&gt;0),-1,0)</f>
        <v>0</v>
      </c>
      <c r="Y17" s="1009">
        <v>2000000</v>
      </c>
      <c r="Z17" s="1010">
        <v>50000000</v>
      </c>
      <c r="AA17" s="941"/>
      <c r="AB17" s="976">
        <f>IF(AND(Z17&lt;&gt;"",AD17&gt;$Z17,Z17&lt;&gt;0),1,-1)</f>
        <v>-1</v>
      </c>
      <c r="AC17" s="970">
        <f>MIN(AF17:CB17)</f>
        <v>0</v>
      </c>
      <c r="AD17" s="970">
        <f>MAX(AF17:CB17)</f>
        <v>0</v>
      </c>
      <c r="AE17" s="961"/>
      <c r="AF17" s="1932">
        <f>Infrastructure!BF28</f>
        <v>0</v>
      </c>
      <c r="AG17" s="1933"/>
      <c r="AH17" s="1933"/>
      <c r="AI17" s="1933"/>
      <c r="AJ17" s="1933"/>
      <c r="AK17" s="1933"/>
      <c r="AL17" s="1933"/>
      <c r="AM17" s="1933"/>
      <c r="AN17" s="1933"/>
      <c r="AO17" s="1933"/>
      <c r="AP17" s="1933"/>
      <c r="AQ17" s="1933"/>
      <c r="AR17" s="1933">
        <f>Infrastructure!BG28</f>
        <v>0</v>
      </c>
      <c r="AS17" s="1933"/>
      <c r="AT17" s="1933"/>
      <c r="AU17" s="1933"/>
      <c r="AV17" s="1933"/>
      <c r="AW17" s="1933"/>
      <c r="AX17" s="1933"/>
      <c r="AY17" s="1933"/>
      <c r="AZ17" s="1933"/>
      <c r="BA17" s="1933"/>
      <c r="BB17" s="1933"/>
      <c r="BC17" s="1933"/>
      <c r="BD17" s="1933">
        <f>Infrastructure!BH28</f>
        <v>0</v>
      </c>
      <c r="BE17" s="1933"/>
      <c r="BF17" s="1933"/>
      <c r="BG17" s="1933"/>
      <c r="BH17" s="1933"/>
      <c r="BI17" s="1933"/>
      <c r="BJ17" s="1933"/>
      <c r="BK17" s="1933"/>
      <c r="BL17" s="1933"/>
      <c r="BM17" s="1933"/>
      <c r="BN17" s="1933"/>
      <c r="BO17" s="1933"/>
      <c r="BP17" s="1933">
        <f>Infrastructure!BI28</f>
        <v>0</v>
      </c>
      <c r="BQ17" s="1933"/>
      <c r="BR17" s="1933"/>
      <c r="BS17" s="1933"/>
      <c r="BT17" s="1933"/>
      <c r="BU17" s="1933"/>
      <c r="BV17" s="1933"/>
      <c r="BW17" s="1933"/>
      <c r="BX17" s="1933"/>
      <c r="BY17" s="1933"/>
      <c r="BZ17" s="1933"/>
      <c r="CA17" s="1933"/>
      <c r="CB17" s="1933">
        <f>Infrastructure!BJ28</f>
        <v>0</v>
      </c>
      <c r="CC17" s="1933"/>
      <c r="CD17" s="1933"/>
      <c r="CE17" s="1933"/>
      <c r="CF17" s="1933"/>
      <c r="CG17" s="1933"/>
      <c r="CH17" s="1933"/>
      <c r="CI17" s="1933"/>
      <c r="CJ17" s="1933"/>
      <c r="CK17" s="1933"/>
      <c r="CL17" s="1933"/>
      <c r="CM17" s="1966"/>
      <c r="CN17" s="937"/>
      <c r="CO17" s="937"/>
    </row>
    <row r="18" spans="1:94" s="918" customFormat="1" x14ac:dyDescent="0.3">
      <c r="A18" s="916"/>
      <c r="B18" s="916"/>
      <c r="C18" s="916"/>
      <c r="D18" s="916"/>
      <c r="E18" s="917"/>
      <c r="F18" s="917"/>
      <c r="H18" s="917"/>
      <c r="I18" s="922"/>
      <c r="J18" s="921"/>
      <c r="K18" s="921"/>
      <c r="Q18" s="937"/>
      <c r="R18" s="937"/>
      <c r="S18" s="940"/>
      <c r="T18" s="940"/>
      <c r="U18" s="940"/>
      <c r="V18" s="942" t="s">
        <v>12</v>
      </c>
      <c r="W18" s="940"/>
      <c r="X18" s="975">
        <f>IF(AND(Y18&lt;&gt;"",AC18&lt;$Y18,Y18&lt;&gt;0,AC18&lt;&gt;0),-1,0)</f>
        <v>0</v>
      </c>
      <c r="Y18" s="1011">
        <v>100000</v>
      </c>
      <c r="Z18" s="1012">
        <v>500000</v>
      </c>
      <c r="AA18" s="941"/>
      <c r="AB18" s="976">
        <f>IF(AND(Z18&lt;&gt;"",AD18&gt;$Z18,Z18&lt;&gt;0),1,-1)</f>
        <v>-1</v>
      </c>
      <c r="AC18" s="970">
        <f>MIN(AF18:CB18)</f>
        <v>0</v>
      </c>
      <c r="AD18" s="970">
        <f>MAX(AF18:CB18)</f>
        <v>0</v>
      </c>
      <c r="AE18" s="961"/>
      <c r="AF18" s="1965">
        <f>Infrastructure!BF29</f>
        <v>0</v>
      </c>
      <c r="AG18" s="1954"/>
      <c r="AH18" s="1954"/>
      <c r="AI18" s="1954"/>
      <c r="AJ18" s="1954"/>
      <c r="AK18" s="1954"/>
      <c r="AL18" s="1954"/>
      <c r="AM18" s="1954"/>
      <c r="AN18" s="1954"/>
      <c r="AO18" s="1954"/>
      <c r="AP18" s="1954"/>
      <c r="AQ18" s="1954"/>
      <c r="AR18" s="1954">
        <f>Infrastructure!BG29</f>
        <v>0</v>
      </c>
      <c r="AS18" s="1954"/>
      <c r="AT18" s="1954"/>
      <c r="AU18" s="1954"/>
      <c r="AV18" s="1954"/>
      <c r="AW18" s="1954"/>
      <c r="AX18" s="1954"/>
      <c r="AY18" s="1954"/>
      <c r="AZ18" s="1954"/>
      <c r="BA18" s="1954"/>
      <c r="BB18" s="1954"/>
      <c r="BC18" s="1954"/>
      <c r="BD18" s="1954">
        <f>Infrastructure!BH29</f>
        <v>0</v>
      </c>
      <c r="BE18" s="1954"/>
      <c r="BF18" s="1954"/>
      <c r="BG18" s="1954"/>
      <c r="BH18" s="1954"/>
      <c r="BI18" s="1954"/>
      <c r="BJ18" s="1954"/>
      <c r="BK18" s="1954"/>
      <c r="BL18" s="1954"/>
      <c r="BM18" s="1954"/>
      <c r="BN18" s="1954"/>
      <c r="BO18" s="1954"/>
      <c r="BP18" s="1954">
        <f>Infrastructure!BI29</f>
        <v>0</v>
      </c>
      <c r="BQ18" s="1954"/>
      <c r="BR18" s="1954"/>
      <c r="BS18" s="1954"/>
      <c r="BT18" s="1954"/>
      <c r="BU18" s="1954"/>
      <c r="BV18" s="1954"/>
      <c r="BW18" s="1954"/>
      <c r="BX18" s="1954"/>
      <c r="BY18" s="1954"/>
      <c r="BZ18" s="1954"/>
      <c r="CA18" s="1954"/>
      <c r="CB18" s="1954">
        <f>Infrastructure!BJ29</f>
        <v>0</v>
      </c>
      <c r="CC18" s="1954"/>
      <c r="CD18" s="1954"/>
      <c r="CE18" s="1954"/>
      <c r="CF18" s="1954"/>
      <c r="CG18" s="1954"/>
      <c r="CH18" s="1954"/>
      <c r="CI18" s="1954"/>
      <c r="CJ18" s="1954"/>
      <c r="CK18" s="1954"/>
      <c r="CL18" s="1954"/>
      <c r="CM18" s="1955"/>
      <c r="CN18" s="937"/>
      <c r="CO18" s="937"/>
    </row>
    <row r="19" spans="1:94" s="918" customFormat="1" ht="12.75" customHeight="1" x14ac:dyDescent="0.3">
      <c r="A19" s="916"/>
      <c r="B19" s="916"/>
      <c r="C19" s="916"/>
      <c r="D19" s="916"/>
      <c r="E19" s="917"/>
      <c r="F19" s="917"/>
      <c r="H19" s="917"/>
      <c r="I19" s="922"/>
      <c r="J19" s="921"/>
      <c r="K19" s="921"/>
      <c r="Q19" s="937"/>
      <c r="R19" s="937"/>
      <c r="S19" s="940"/>
      <c r="T19" s="940"/>
      <c r="U19" s="940"/>
      <c r="V19" s="942" t="s">
        <v>18</v>
      </c>
      <c r="W19" s="940"/>
      <c r="X19" s="975">
        <f>IF(AND(Y19&lt;&gt;"",AC19&lt;$Y19,Y19&lt;&gt;0,AC19&lt;&gt;0),-1,0)</f>
        <v>0</v>
      </c>
      <c r="Y19" s="1011">
        <v>65000</v>
      </c>
      <c r="Z19" s="1012">
        <v>70000</v>
      </c>
      <c r="AA19" s="941"/>
      <c r="AB19" s="976">
        <f>IF(AND(Z19&lt;&gt;"",AD19&gt;$Z19,Z19&lt;&gt;0),1,-1)</f>
        <v>-1</v>
      </c>
      <c r="AC19" s="970">
        <f>MIN(AF19:CB19)</f>
        <v>0</v>
      </c>
      <c r="AD19" s="970">
        <f>MAX(AF19:CB19)</f>
        <v>0</v>
      </c>
      <c r="AE19" s="978"/>
      <c r="AF19" s="1965">
        <f>Infrastructure!BF32</f>
        <v>0</v>
      </c>
      <c r="AG19" s="1954"/>
      <c r="AH19" s="1954"/>
      <c r="AI19" s="1954"/>
      <c r="AJ19" s="1954"/>
      <c r="AK19" s="1954"/>
      <c r="AL19" s="1954"/>
      <c r="AM19" s="1954"/>
      <c r="AN19" s="1954"/>
      <c r="AO19" s="1954"/>
      <c r="AP19" s="1954"/>
      <c r="AQ19" s="1954"/>
      <c r="AR19" s="1954">
        <f>Infrastructure!BG32</f>
        <v>0</v>
      </c>
      <c r="AS19" s="1954"/>
      <c r="AT19" s="1954"/>
      <c r="AU19" s="1954"/>
      <c r="AV19" s="1954"/>
      <c r="AW19" s="1954"/>
      <c r="AX19" s="1954"/>
      <c r="AY19" s="1954"/>
      <c r="AZ19" s="1954"/>
      <c r="BA19" s="1954"/>
      <c r="BB19" s="1954"/>
      <c r="BC19" s="1954"/>
      <c r="BD19" s="1954">
        <f>Infrastructure!BH32</f>
        <v>0</v>
      </c>
      <c r="BE19" s="1954"/>
      <c r="BF19" s="1954"/>
      <c r="BG19" s="1954"/>
      <c r="BH19" s="1954"/>
      <c r="BI19" s="1954"/>
      <c r="BJ19" s="1954"/>
      <c r="BK19" s="1954"/>
      <c r="BL19" s="1954"/>
      <c r="BM19" s="1954"/>
      <c r="BN19" s="1954"/>
      <c r="BO19" s="1954"/>
      <c r="BP19" s="1954">
        <f>Infrastructure!BI32</f>
        <v>0</v>
      </c>
      <c r="BQ19" s="1954"/>
      <c r="BR19" s="1954"/>
      <c r="BS19" s="1954"/>
      <c r="BT19" s="1954"/>
      <c r="BU19" s="1954"/>
      <c r="BV19" s="1954"/>
      <c r="BW19" s="1954"/>
      <c r="BX19" s="1954"/>
      <c r="BY19" s="1954"/>
      <c r="BZ19" s="1954"/>
      <c r="CA19" s="1954"/>
      <c r="CB19" s="1954">
        <f>Infrastructure!BJ32</f>
        <v>0</v>
      </c>
      <c r="CC19" s="1954"/>
      <c r="CD19" s="1954"/>
      <c r="CE19" s="1954"/>
      <c r="CF19" s="1954"/>
      <c r="CG19" s="1954"/>
      <c r="CH19" s="1954"/>
      <c r="CI19" s="1954"/>
      <c r="CJ19" s="1954"/>
      <c r="CK19" s="1954"/>
      <c r="CL19" s="1954"/>
      <c r="CM19" s="1955"/>
      <c r="CN19" s="937"/>
      <c r="CO19" s="937"/>
    </row>
    <row r="20" spans="1:94" s="918" customFormat="1" ht="12.75" customHeight="1" thickBot="1" x14ac:dyDescent="0.35">
      <c r="A20" s="916"/>
      <c r="B20" s="916"/>
      <c r="C20" s="916"/>
      <c r="D20" s="916"/>
      <c r="E20" s="917"/>
      <c r="F20" s="917"/>
      <c r="H20" s="917"/>
      <c r="I20" s="922"/>
      <c r="J20" s="921"/>
      <c r="K20" s="921"/>
      <c r="Q20" s="937"/>
      <c r="R20" s="937"/>
      <c r="S20" s="940"/>
      <c r="T20" s="940"/>
      <c r="U20" s="940"/>
      <c r="V20" s="942" t="s">
        <v>19</v>
      </c>
      <c r="W20" s="940"/>
      <c r="X20" s="975">
        <f>IF(AND(Y20&lt;&gt;"",AC20&lt;$Y20,Y20&lt;&gt;0,AC20&lt;&gt;0),-1,0)</f>
        <v>0</v>
      </c>
      <c r="Y20" s="1013">
        <v>1000000</v>
      </c>
      <c r="Z20" s="1014">
        <v>1750000</v>
      </c>
      <c r="AA20" s="941"/>
      <c r="AB20" s="976">
        <f>IF(AND(Z20&lt;&gt;"",AD20&gt;$Z20,Z20&lt;&gt;0),1,-1)</f>
        <v>-1</v>
      </c>
      <c r="AC20" s="970">
        <f>MIN(AF20:CB20)</f>
        <v>0</v>
      </c>
      <c r="AD20" s="970">
        <f>MAX(AF20:CB20)</f>
        <v>0</v>
      </c>
      <c r="AE20" s="978"/>
      <c r="AF20" s="1928">
        <f>Infrastructure!BF33</f>
        <v>0</v>
      </c>
      <c r="AG20" s="1929"/>
      <c r="AH20" s="1929"/>
      <c r="AI20" s="1929"/>
      <c r="AJ20" s="1929"/>
      <c r="AK20" s="1929"/>
      <c r="AL20" s="1929"/>
      <c r="AM20" s="1929"/>
      <c r="AN20" s="1929"/>
      <c r="AO20" s="1929"/>
      <c r="AP20" s="1929"/>
      <c r="AQ20" s="1929"/>
      <c r="AR20" s="1929">
        <f>Infrastructure!BG33</f>
        <v>0</v>
      </c>
      <c r="AS20" s="1929"/>
      <c r="AT20" s="1929"/>
      <c r="AU20" s="1929"/>
      <c r="AV20" s="1929"/>
      <c r="AW20" s="1929"/>
      <c r="AX20" s="1929"/>
      <c r="AY20" s="1929"/>
      <c r="AZ20" s="1929"/>
      <c r="BA20" s="1929"/>
      <c r="BB20" s="1929"/>
      <c r="BC20" s="1929"/>
      <c r="BD20" s="1929">
        <f>Infrastructure!BH33</f>
        <v>0</v>
      </c>
      <c r="BE20" s="1929"/>
      <c r="BF20" s="1929"/>
      <c r="BG20" s="1929"/>
      <c r="BH20" s="1929"/>
      <c r="BI20" s="1929"/>
      <c r="BJ20" s="1929"/>
      <c r="BK20" s="1929"/>
      <c r="BL20" s="1929"/>
      <c r="BM20" s="1929"/>
      <c r="BN20" s="1929"/>
      <c r="BO20" s="1929"/>
      <c r="BP20" s="1929">
        <f>Infrastructure!BI33</f>
        <v>0</v>
      </c>
      <c r="BQ20" s="1929"/>
      <c r="BR20" s="1929"/>
      <c r="BS20" s="1929"/>
      <c r="BT20" s="1929"/>
      <c r="BU20" s="1929"/>
      <c r="BV20" s="1929"/>
      <c r="BW20" s="1929"/>
      <c r="BX20" s="1929"/>
      <c r="BY20" s="1929"/>
      <c r="BZ20" s="1929"/>
      <c r="CA20" s="1929"/>
      <c r="CB20" s="1929">
        <f>Infrastructure!BJ33</f>
        <v>0</v>
      </c>
      <c r="CC20" s="1929"/>
      <c r="CD20" s="1929"/>
      <c r="CE20" s="1929"/>
      <c r="CF20" s="1929"/>
      <c r="CG20" s="1929"/>
      <c r="CH20" s="1929"/>
      <c r="CI20" s="1929"/>
      <c r="CJ20" s="1929"/>
      <c r="CK20" s="1929"/>
      <c r="CL20" s="1929"/>
      <c r="CM20" s="1930"/>
      <c r="CN20" s="937"/>
      <c r="CO20" s="937"/>
    </row>
    <row r="21" spans="1:94" s="918" customFormat="1" ht="12.75" customHeight="1" x14ac:dyDescent="0.3">
      <c r="A21" s="916"/>
      <c r="B21" s="916"/>
      <c r="C21" s="916"/>
      <c r="D21" s="916"/>
      <c r="E21" s="917"/>
      <c r="F21" s="917"/>
      <c r="H21" s="917"/>
      <c r="I21" s="922"/>
      <c r="J21" s="921"/>
      <c r="K21" s="921"/>
      <c r="Q21" s="937"/>
      <c r="R21" s="937"/>
      <c r="S21" s="940"/>
      <c r="T21" s="940"/>
      <c r="U21" s="940"/>
      <c r="V21" s="942"/>
      <c r="W21" s="940"/>
      <c r="X21" s="939"/>
      <c r="Y21" s="937"/>
      <c r="Z21" s="937"/>
      <c r="AA21" s="941"/>
      <c r="AB21" s="937"/>
      <c r="AC21" s="937"/>
      <c r="AD21" s="961"/>
      <c r="AE21" s="978"/>
      <c r="AF21" s="979"/>
      <c r="AG21" s="979"/>
      <c r="AH21" s="979"/>
      <c r="AI21" s="979"/>
      <c r="AJ21" s="979"/>
      <c r="AK21" s="979"/>
      <c r="AL21" s="979"/>
      <c r="AM21" s="979"/>
      <c r="AN21" s="979"/>
      <c r="AO21" s="979"/>
      <c r="AP21" s="979"/>
      <c r="AQ21" s="979"/>
      <c r="AR21" s="980"/>
      <c r="AS21" s="981"/>
      <c r="AT21" s="981"/>
      <c r="AU21" s="981"/>
      <c r="AV21" s="981"/>
      <c r="AW21" s="981"/>
      <c r="AX21" s="981"/>
      <c r="AY21" s="981"/>
      <c r="AZ21" s="981"/>
      <c r="BA21" s="981"/>
      <c r="BB21" s="981"/>
      <c r="BC21" s="981"/>
      <c r="BD21" s="980"/>
      <c r="BE21" s="981"/>
      <c r="BF21" s="981"/>
      <c r="BG21" s="981"/>
      <c r="BH21" s="981"/>
      <c r="BI21" s="981"/>
      <c r="BJ21" s="981"/>
      <c r="BK21" s="981"/>
      <c r="BL21" s="981"/>
      <c r="BM21" s="981"/>
      <c r="BN21" s="981"/>
      <c r="BO21" s="981"/>
      <c r="BP21" s="980"/>
      <c r="BQ21" s="981"/>
      <c r="BR21" s="981"/>
      <c r="BS21" s="981"/>
      <c r="BT21" s="981"/>
      <c r="BU21" s="981"/>
      <c r="BV21" s="981"/>
      <c r="BW21" s="981"/>
      <c r="BX21" s="981"/>
      <c r="BY21" s="981"/>
      <c r="BZ21" s="981"/>
      <c r="CA21" s="981"/>
      <c r="CB21" s="980"/>
      <c r="CC21" s="981"/>
      <c r="CD21" s="981"/>
      <c r="CE21" s="981"/>
      <c r="CF21" s="981"/>
      <c r="CG21" s="981"/>
      <c r="CH21" s="981"/>
      <c r="CI21" s="981"/>
      <c r="CJ21" s="981"/>
      <c r="CK21" s="981"/>
      <c r="CL21" s="981"/>
      <c r="CM21" s="981"/>
      <c r="CN21" s="937"/>
      <c r="CO21" s="937"/>
    </row>
    <row r="22" spans="1:94" s="918" customFormat="1" ht="12.75" customHeight="1" thickBot="1" x14ac:dyDescent="0.35">
      <c r="A22" s="916"/>
      <c r="B22" s="916"/>
      <c r="C22" s="916"/>
      <c r="D22" s="916"/>
      <c r="E22" s="917"/>
      <c r="F22" s="917"/>
      <c r="H22" s="917"/>
      <c r="I22" s="922"/>
      <c r="J22" s="921"/>
      <c r="K22" s="921"/>
      <c r="Q22" s="937"/>
      <c r="R22" s="937"/>
      <c r="S22" s="940"/>
      <c r="T22" s="940"/>
      <c r="U22" s="940"/>
      <c r="V22" s="965" t="s">
        <v>732</v>
      </c>
      <c r="W22" s="940"/>
      <c r="X22" s="939"/>
      <c r="Y22" s="941" t="s">
        <v>729</v>
      </c>
      <c r="Z22" s="941" t="s">
        <v>730</v>
      </c>
      <c r="AA22" s="941"/>
      <c r="AB22" s="937"/>
      <c r="AC22" s="960" t="s">
        <v>394</v>
      </c>
      <c r="AD22" s="960" t="s">
        <v>393</v>
      </c>
      <c r="AE22" s="978"/>
      <c r="AF22" s="1931" t="str">
        <f>Infrastructure!H$9</f>
        <v>Year 1</v>
      </c>
      <c r="AG22" s="1931"/>
      <c r="AH22" s="1931"/>
      <c r="AI22" s="1931"/>
      <c r="AJ22" s="1931"/>
      <c r="AK22" s="1931"/>
      <c r="AL22" s="1931"/>
      <c r="AM22" s="1931"/>
      <c r="AN22" s="1931"/>
      <c r="AO22" s="1931"/>
      <c r="AP22" s="1931"/>
      <c r="AQ22" s="1931"/>
      <c r="AR22" s="1931" t="str">
        <f>Infrastructure!I$9</f>
        <v>Year 2</v>
      </c>
      <c r="AS22" s="1931"/>
      <c r="AT22" s="1931"/>
      <c r="AU22" s="1931"/>
      <c r="AV22" s="1931"/>
      <c r="AW22" s="1931"/>
      <c r="AX22" s="1931"/>
      <c r="AY22" s="1931"/>
      <c r="AZ22" s="1931"/>
      <c r="BA22" s="1931"/>
      <c r="BB22" s="1931"/>
      <c r="BC22" s="1931"/>
      <c r="BD22" s="1931" t="str">
        <f>Infrastructure!J$9</f>
        <v>Year 3</v>
      </c>
      <c r="BE22" s="1931"/>
      <c r="BF22" s="1931"/>
      <c r="BG22" s="1931"/>
      <c r="BH22" s="1931"/>
      <c r="BI22" s="1931"/>
      <c r="BJ22" s="1931"/>
      <c r="BK22" s="1931"/>
      <c r="BL22" s="1931"/>
      <c r="BM22" s="1931"/>
      <c r="BN22" s="1931"/>
      <c r="BO22" s="1931"/>
      <c r="BP22" s="1931" t="str">
        <f>Infrastructure!K$9</f>
        <v>Year 4</v>
      </c>
      <c r="BQ22" s="1931"/>
      <c r="BR22" s="1931"/>
      <c r="BS22" s="1931"/>
      <c r="BT22" s="1931"/>
      <c r="BU22" s="1931"/>
      <c r="BV22" s="1931"/>
      <c r="BW22" s="1931"/>
      <c r="BX22" s="1931"/>
      <c r="BY22" s="1931"/>
      <c r="BZ22" s="1931"/>
      <c r="CA22" s="1931"/>
      <c r="CB22" s="1931" t="str">
        <f>Infrastructure!L$9</f>
        <v>Year 5</v>
      </c>
      <c r="CC22" s="1931"/>
      <c r="CD22" s="1931"/>
      <c r="CE22" s="1931"/>
      <c r="CF22" s="1931"/>
      <c r="CG22" s="1931"/>
      <c r="CH22" s="1931"/>
      <c r="CI22" s="1931"/>
      <c r="CJ22" s="1931"/>
      <c r="CK22" s="1931"/>
      <c r="CL22" s="1931"/>
      <c r="CM22" s="1931"/>
      <c r="CN22" s="937"/>
      <c r="CO22" s="937"/>
    </row>
    <row r="23" spans="1:94" s="918" customFormat="1" ht="12.75" customHeight="1" x14ac:dyDescent="0.3">
      <c r="A23" s="916"/>
      <c r="B23" s="916"/>
      <c r="C23" s="916"/>
      <c r="D23" s="916"/>
      <c r="E23" s="917"/>
      <c r="F23" s="917"/>
      <c r="H23" s="917"/>
      <c r="I23" s="922"/>
      <c r="J23" s="921"/>
      <c r="K23" s="921"/>
      <c r="Q23" s="937"/>
      <c r="R23" s="937"/>
      <c r="T23" s="940"/>
      <c r="U23" s="940"/>
      <c r="V23" s="989" t="s">
        <v>616</v>
      </c>
      <c r="W23" s="940"/>
      <c r="X23" s="976">
        <f>IF(AND(Y23&lt;&gt;"",AC23&lt;Y23,AC23&lt;&gt;0),-1,0)</f>
        <v>0</v>
      </c>
      <c r="Y23" s="995">
        <v>0.85</v>
      </c>
      <c r="Z23" s="994">
        <v>0.85</v>
      </c>
      <c r="AA23" s="941"/>
      <c r="AB23" s="976">
        <f>IF(AND(Z23&lt;&gt;"",AD23&gt;$Z23,Z23&lt;&gt;0),1,-1)</f>
        <v>-1</v>
      </c>
      <c r="AC23" s="966">
        <f>MIN(AF23:CB23)</f>
        <v>0</v>
      </c>
      <c r="AD23" s="967">
        <f>MAX(AF23:CB23)</f>
        <v>0</v>
      </c>
      <c r="AE23" s="978"/>
      <c r="AF23" s="1939" t="str">
        <f>Analysis!C6</f>
        <v/>
      </c>
      <c r="AG23" s="1926"/>
      <c r="AH23" s="1926"/>
      <c r="AI23" s="1926"/>
      <c r="AJ23" s="1926"/>
      <c r="AK23" s="1926"/>
      <c r="AL23" s="1926"/>
      <c r="AM23" s="1926"/>
      <c r="AN23" s="1926"/>
      <c r="AO23" s="1926"/>
      <c r="AP23" s="1926"/>
      <c r="AQ23" s="1926"/>
      <c r="AR23" s="1926" t="str">
        <f>Analysis!D6</f>
        <v/>
      </c>
      <c r="AS23" s="1926"/>
      <c r="AT23" s="1926"/>
      <c r="AU23" s="1926"/>
      <c r="AV23" s="1926"/>
      <c r="AW23" s="1926"/>
      <c r="AX23" s="1926"/>
      <c r="AY23" s="1926"/>
      <c r="AZ23" s="1926"/>
      <c r="BA23" s="1926"/>
      <c r="BB23" s="1926"/>
      <c r="BC23" s="1926"/>
      <c r="BD23" s="1926" t="str">
        <f>Analysis!E6</f>
        <v/>
      </c>
      <c r="BE23" s="1926"/>
      <c r="BF23" s="1926"/>
      <c r="BG23" s="1926"/>
      <c r="BH23" s="1926"/>
      <c r="BI23" s="1926"/>
      <c r="BJ23" s="1926"/>
      <c r="BK23" s="1926"/>
      <c r="BL23" s="1926"/>
      <c r="BM23" s="1926"/>
      <c r="BN23" s="1926"/>
      <c r="BO23" s="1926"/>
      <c r="BP23" s="1926" t="str">
        <f>Analysis!F6</f>
        <v/>
      </c>
      <c r="BQ23" s="1926"/>
      <c r="BR23" s="1926"/>
      <c r="BS23" s="1926"/>
      <c r="BT23" s="1926"/>
      <c r="BU23" s="1926"/>
      <c r="BV23" s="1926"/>
      <c r="BW23" s="1926"/>
      <c r="BX23" s="1926"/>
      <c r="BY23" s="1926"/>
      <c r="BZ23" s="1926"/>
      <c r="CA23" s="1926"/>
      <c r="CB23" s="1926" t="str">
        <f>Analysis!G6</f>
        <v/>
      </c>
      <c r="CC23" s="1926"/>
      <c r="CD23" s="1926"/>
      <c r="CE23" s="1926"/>
      <c r="CF23" s="1926"/>
      <c r="CG23" s="1926"/>
      <c r="CH23" s="1926"/>
      <c r="CI23" s="1926"/>
      <c r="CJ23" s="1926"/>
      <c r="CK23" s="1926"/>
      <c r="CL23" s="1926"/>
      <c r="CM23" s="1927"/>
      <c r="CN23" s="937"/>
      <c r="CO23" s="937"/>
    </row>
    <row r="24" spans="1:94" s="918" customFormat="1" ht="12.75" customHeight="1" x14ac:dyDescent="0.3">
      <c r="A24" s="916"/>
      <c r="B24" s="916"/>
      <c r="C24" s="916"/>
      <c r="D24" s="916"/>
      <c r="E24" s="917"/>
      <c r="F24" s="917"/>
      <c r="H24" s="917"/>
      <c r="I24" s="922"/>
      <c r="J24" s="921"/>
      <c r="K24" s="921"/>
      <c r="Q24" s="937"/>
      <c r="R24" s="937"/>
      <c r="S24" s="940"/>
      <c r="T24" s="940"/>
      <c r="U24" s="940"/>
      <c r="V24" s="989" t="s">
        <v>669</v>
      </c>
      <c r="W24" s="940"/>
      <c r="X24" s="993">
        <f>IF(AND(Y24&lt;&gt;"",AC24&lt;Y24,AC24&lt;&gt;0),-1,0)</f>
        <v>0</v>
      </c>
      <c r="Y24" s="1005">
        <v>0.2</v>
      </c>
      <c r="Z24" s="1006">
        <v>0.4</v>
      </c>
      <c r="AA24" s="941"/>
      <c r="AB24" s="976">
        <f>IF(AND(Z24&lt;&gt;"",AD24&gt;$Z24,Z24&lt;&gt;0),1,-1)</f>
        <v>-1</v>
      </c>
      <c r="AC24" s="966">
        <f>MIN(AF24:CB24)</f>
        <v>0</v>
      </c>
      <c r="AD24" s="967">
        <f>MAX(AF24:CB24)</f>
        <v>0</v>
      </c>
      <c r="AE24" s="978"/>
      <c r="AF24" s="1937" t="str">
        <f>Analysis!C12</f>
        <v/>
      </c>
      <c r="AG24" s="1938"/>
      <c r="AH24" s="1938"/>
      <c r="AI24" s="1938"/>
      <c r="AJ24" s="1938"/>
      <c r="AK24" s="1938"/>
      <c r="AL24" s="1938"/>
      <c r="AM24" s="1938"/>
      <c r="AN24" s="1938"/>
      <c r="AO24" s="1938"/>
      <c r="AP24" s="1938"/>
      <c r="AQ24" s="1938"/>
      <c r="AR24" s="1938" t="str">
        <f>Analysis!D12</f>
        <v/>
      </c>
      <c r="AS24" s="1938"/>
      <c r="AT24" s="1938"/>
      <c r="AU24" s="1938"/>
      <c r="AV24" s="1938"/>
      <c r="AW24" s="1938"/>
      <c r="AX24" s="1938"/>
      <c r="AY24" s="1938"/>
      <c r="AZ24" s="1938"/>
      <c r="BA24" s="1938"/>
      <c r="BB24" s="1938"/>
      <c r="BC24" s="1938"/>
      <c r="BD24" s="1938" t="str">
        <f>Analysis!E12</f>
        <v/>
      </c>
      <c r="BE24" s="1938"/>
      <c r="BF24" s="1938"/>
      <c r="BG24" s="1938"/>
      <c r="BH24" s="1938"/>
      <c r="BI24" s="1938"/>
      <c r="BJ24" s="1938"/>
      <c r="BK24" s="1938"/>
      <c r="BL24" s="1938"/>
      <c r="BM24" s="1938"/>
      <c r="BN24" s="1938"/>
      <c r="BO24" s="1938"/>
      <c r="BP24" s="1938" t="str">
        <f>Analysis!F12</f>
        <v/>
      </c>
      <c r="BQ24" s="1938"/>
      <c r="BR24" s="1938"/>
      <c r="BS24" s="1938"/>
      <c r="BT24" s="1938"/>
      <c r="BU24" s="1938"/>
      <c r="BV24" s="1938"/>
      <c r="BW24" s="1938"/>
      <c r="BX24" s="1938"/>
      <c r="BY24" s="1938"/>
      <c r="BZ24" s="1938"/>
      <c r="CA24" s="1938"/>
      <c r="CB24" s="1938" t="str">
        <f>Analysis!G12</f>
        <v/>
      </c>
      <c r="CC24" s="1938"/>
      <c r="CD24" s="1938"/>
      <c r="CE24" s="1938"/>
      <c r="CF24" s="1938"/>
      <c r="CG24" s="1938"/>
      <c r="CH24" s="1938"/>
      <c r="CI24" s="1938"/>
      <c r="CJ24" s="1938"/>
      <c r="CK24" s="1938"/>
      <c r="CL24" s="1938"/>
      <c r="CM24" s="1940"/>
      <c r="CN24" s="937"/>
      <c r="CO24" s="937"/>
    </row>
    <row r="25" spans="1:94" s="918" customFormat="1" ht="12.75" customHeight="1" thickBot="1" x14ac:dyDescent="0.35">
      <c r="A25" s="916"/>
      <c r="B25" s="916"/>
      <c r="C25" s="916"/>
      <c r="D25" s="916"/>
      <c r="E25" s="917"/>
      <c r="F25" s="917"/>
      <c r="H25" s="917"/>
      <c r="I25" s="922"/>
      <c r="J25" s="921"/>
      <c r="K25" s="921"/>
      <c r="Q25" s="937"/>
      <c r="R25" s="937"/>
      <c r="S25" s="940"/>
      <c r="T25" s="940"/>
      <c r="U25" s="940"/>
      <c r="V25" s="989" t="s">
        <v>618</v>
      </c>
      <c r="W25" s="940"/>
      <c r="X25" s="975">
        <f>IF(AND(Y25&lt;&gt;"",AC25&lt;Y25,AC25&lt;&gt;0),-1,0)</f>
        <v>0</v>
      </c>
      <c r="Y25" s="1007">
        <v>0.15</v>
      </c>
      <c r="Z25" s="1008">
        <v>0.3</v>
      </c>
      <c r="AA25" s="941"/>
      <c r="AB25" s="976">
        <f>IF(AND(Z25&lt;&gt;"",AD25&gt;$Z25,Z25&lt;&gt;0),1,-1)</f>
        <v>-1</v>
      </c>
      <c r="AC25" s="966">
        <f>MIN(AF25:CB25)</f>
        <v>0</v>
      </c>
      <c r="AD25" s="967">
        <f>MAX(AF25:CB25)</f>
        <v>0</v>
      </c>
      <c r="AE25" s="978"/>
      <c r="AF25" s="1941" t="str">
        <f>Analysis!C17</f>
        <v/>
      </c>
      <c r="AG25" s="1942"/>
      <c r="AH25" s="1942"/>
      <c r="AI25" s="1942"/>
      <c r="AJ25" s="1942"/>
      <c r="AK25" s="1942"/>
      <c r="AL25" s="1942"/>
      <c r="AM25" s="1942"/>
      <c r="AN25" s="1942"/>
      <c r="AO25" s="1942"/>
      <c r="AP25" s="1942"/>
      <c r="AQ25" s="1942"/>
      <c r="AR25" s="1942" t="str">
        <f>Analysis!D17</f>
        <v/>
      </c>
      <c r="AS25" s="1942"/>
      <c r="AT25" s="1942"/>
      <c r="AU25" s="1942"/>
      <c r="AV25" s="1942"/>
      <c r="AW25" s="1942"/>
      <c r="AX25" s="1942"/>
      <c r="AY25" s="1942"/>
      <c r="AZ25" s="1942"/>
      <c r="BA25" s="1942"/>
      <c r="BB25" s="1942"/>
      <c r="BC25" s="1942"/>
      <c r="BD25" s="1942" t="str">
        <f>Analysis!E17</f>
        <v/>
      </c>
      <c r="BE25" s="1942"/>
      <c r="BF25" s="1942"/>
      <c r="BG25" s="1942"/>
      <c r="BH25" s="1942"/>
      <c r="BI25" s="1942"/>
      <c r="BJ25" s="1942"/>
      <c r="BK25" s="1942"/>
      <c r="BL25" s="1942"/>
      <c r="BM25" s="1942"/>
      <c r="BN25" s="1942"/>
      <c r="BO25" s="1942"/>
      <c r="BP25" s="1942" t="str">
        <f>Analysis!F17</f>
        <v/>
      </c>
      <c r="BQ25" s="1942"/>
      <c r="BR25" s="1942"/>
      <c r="BS25" s="1942"/>
      <c r="BT25" s="1942"/>
      <c r="BU25" s="1942"/>
      <c r="BV25" s="1942"/>
      <c r="BW25" s="1942"/>
      <c r="BX25" s="1942"/>
      <c r="BY25" s="1942"/>
      <c r="BZ25" s="1942"/>
      <c r="CA25" s="1942"/>
      <c r="CB25" s="1942" t="str">
        <f>Analysis!G17</f>
        <v/>
      </c>
      <c r="CC25" s="1942"/>
      <c r="CD25" s="1942"/>
      <c r="CE25" s="1942"/>
      <c r="CF25" s="1942"/>
      <c r="CG25" s="1942"/>
      <c r="CH25" s="1942"/>
      <c r="CI25" s="1942"/>
      <c r="CJ25" s="1942"/>
      <c r="CK25" s="1942"/>
      <c r="CL25" s="1942"/>
      <c r="CM25" s="1956"/>
      <c r="CN25" s="937"/>
      <c r="CO25" s="937"/>
      <c r="CP25" s="918" t="s">
        <v>733</v>
      </c>
    </row>
    <row r="26" spans="1:94" s="918" customFormat="1" ht="12.75" customHeight="1" x14ac:dyDescent="0.3">
      <c r="A26" s="916"/>
      <c r="B26" s="916"/>
      <c r="C26" s="916"/>
      <c r="D26" s="916"/>
      <c r="E26" s="917"/>
      <c r="F26" s="917"/>
      <c r="H26" s="917"/>
      <c r="I26" s="922"/>
      <c r="J26" s="921"/>
      <c r="K26" s="921"/>
      <c r="Q26" s="937"/>
      <c r="R26" s="937"/>
      <c r="S26" s="940"/>
      <c r="T26" s="940"/>
      <c r="U26" s="940"/>
      <c r="V26" s="942"/>
      <c r="W26" s="940"/>
      <c r="X26" s="939"/>
      <c r="Y26" s="937"/>
      <c r="Z26" s="937"/>
      <c r="AA26" s="941"/>
      <c r="AB26" s="937"/>
      <c r="AC26" s="937"/>
      <c r="AD26" s="961"/>
      <c r="AE26" s="978"/>
      <c r="AF26" s="979"/>
      <c r="AG26" s="979"/>
      <c r="AH26" s="979"/>
      <c r="AI26" s="979"/>
      <c r="AJ26" s="979"/>
      <c r="AK26" s="979"/>
      <c r="AL26" s="979"/>
      <c r="AM26" s="979"/>
      <c r="AN26" s="979"/>
      <c r="AO26" s="979"/>
      <c r="AP26" s="979"/>
      <c r="AQ26" s="979"/>
      <c r="AR26" s="980"/>
      <c r="AS26" s="981"/>
      <c r="AT26" s="981"/>
      <c r="AU26" s="981"/>
      <c r="AV26" s="981"/>
      <c r="AW26" s="981"/>
      <c r="AX26" s="981"/>
      <c r="AY26" s="981"/>
      <c r="AZ26" s="981"/>
      <c r="BA26" s="981"/>
      <c r="BB26" s="981"/>
      <c r="BC26" s="981"/>
      <c r="BD26" s="980"/>
      <c r="BE26" s="981"/>
      <c r="BF26" s="981"/>
      <c r="BG26" s="981"/>
      <c r="BH26" s="981"/>
      <c r="BI26" s="981"/>
      <c r="BJ26" s="981"/>
      <c r="BK26" s="981"/>
      <c r="BL26" s="981"/>
      <c r="BM26" s="981"/>
      <c r="BN26" s="981"/>
      <c r="BO26" s="981"/>
      <c r="BP26" s="980"/>
      <c r="BQ26" s="981"/>
      <c r="BR26" s="981"/>
      <c r="BS26" s="981"/>
      <c r="BT26" s="981"/>
      <c r="BU26" s="981"/>
      <c r="BV26" s="981"/>
      <c r="BW26" s="981"/>
      <c r="BX26" s="981"/>
      <c r="BY26" s="981"/>
      <c r="BZ26" s="981"/>
      <c r="CA26" s="981"/>
      <c r="CB26" s="980"/>
      <c r="CC26" s="981"/>
      <c r="CD26" s="981"/>
      <c r="CE26" s="981"/>
      <c r="CF26" s="981"/>
      <c r="CG26" s="981"/>
      <c r="CH26" s="981"/>
      <c r="CI26" s="981"/>
      <c r="CJ26" s="981"/>
      <c r="CK26" s="981"/>
      <c r="CL26" s="981"/>
      <c r="CM26" s="981"/>
      <c r="CN26" s="937"/>
      <c r="CO26" s="937"/>
    </row>
    <row r="27" spans="1:94" s="918" customFormat="1" ht="12.75" customHeight="1" thickBot="1" x14ac:dyDescent="0.35">
      <c r="A27" s="916"/>
      <c r="B27" s="916"/>
      <c r="C27" s="916"/>
      <c r="D27" s="916"/>
      <c r="E27" s="917"/>
      <c r="F27" s="917"/>
      <c r="H27" s="917"/>
      <c r="I27" s="922"/>
      <c r="J27" s="921"/>
      <c r="K27" s="921"/>
      <c r="Q27" s="937"/>
      <c r="R27" s="937"/>
      <c r="S27" s="940"/>
      <c r="T27" s="940"/>
      <c r="U27" s="940"/>
      <c r="V27" s="965" t="s">
        <v>214</v>
      </c>
      <c r="W27" s="940"/>
      <c r="X27" s="939"/>
      <c r="Y27" s="941" t="s">
        <v>729</v>
      </c>
      <c r="Z27" s="941" t="s">
        <v>730</v>
      </c>
      <c r="AA27" s="941"/>
      <c r="AB27" s="937"/>
      <c r="AC27" s="960" t="s">
        <v>394</v>
      </c>
      <c r="AD27" s="960" t="s">
        <v>393</v>
      </c>
      <c r="AE27" s="961"/>
      <c r="AF27" s="1931" t="str">
        <f>Infrastructure!H$9</f>
        <v>Year 1</v>
      </c>
      <c r="AG27" s="1931"/>
      <c r="AH27" s="1931"/>
      <c r="AI27" s="1931"/>
      <c r="AJ27" s="1931"/>
      <c r="AK27" s="1931"/>
      <c r="AL27" s="1931"/>
      <c r="AM27" s="1931"/>
      <c r="AN27" s="1931"/>
      <c r="AO27" s="1931"/>
      <c r="AP27" s="1931"/>
      <c r="AQ27" s="1931"/>
      <c r="AR27" s="1931" t="str">
        <f>Infrastructure!I$9</f>
        <v>Year 2</v>
      </c>
      <c r="AS27" s="1931"/>
      <c r="AT27" s="1931"/>
      <c r="AU27" s="1931"/>
      <c r="AV27" s="1931"/>
      <c r="AW27" s="1931"/>
      <c r="AX27" s="1931"/>
      <c r="AY27" s="1931"/>
      <c r="AZ27" s="1931"/>
      <c r="BA27" s="1931"/>
      <c r="BB27" s="1931"/>
      <c r="BC27" s="1931"/>
      <c r="BD27" s="1931" t="str">
        <f>Infrastructure!J$9</f>
        <v>Year 3</v>
      </c>
      <c r="BE27" s="1931"/>
      <c r="BF27" s="1931"/>
      <c r="BG27" s="1931"/>
      <c r="BH27" s="1931"/>
      <c r="BI27" s="1931"/>
      <c r="BJ27" s="1931"/>
      <c r="BK27" s="1931"/>
      <c r="BL27" s="1931"/>
      <c r="BM27" s="1931"/>
      <c r="BN27" s="1931"/>
      <c r="BO27" s="1931"/>
      <c r="BP27" s="1931" t="str">
        <f>Infrastructure!K$9</f>
        <v>Year 4</v>
      </c>
      <c r="BQ27" s="1931"/>
      <c r="BR27" s="1931"/>
      <c r="BS27" s="1931"/>
      <c r="BT27" s="1931"/>
      <c r="BU27" s="1931"/>
      <c r="BV27" s="1931"/>
      <c r="BW27" s="1931"/>
      <c r="BX27" s="1931"/>
      <c r="BY27" s="1931"/>
      <c r="BZ27" s="1931"/>
      <c r="CA27" s="1931"/>
      <c r="CB27" s="1931" t="str">
        <f>Infrastructure!L$9</f>
        <v>Year 5</v>
      </c>
      <c r="CC27" s="1931"/>
      <c r="CD27" s="1931"/>
      <c r="CE27" s="1931"/>
      <c r="CF27" s="1931"/>
      <c r="CG27" s="1931"/>
      <c r="CH27" s="1931"/>
      <c r="CI27" s="1931"/>
      <c r="CJ27" s="1931"/>
      <c r="CK27" s="1931"/>
      <c r="CL27" s="1931"/>
      <c r="CM27" s="1931"/>
      <c r="CN27" s="937"/>
      <c r="CO27" s="937"/>
    </row>
    <row r="28" spans="1:94" s="918" customFormat="1" ht="12.75" customHeight="1" x14ac:dyDescent="0.3">
      <c r="A28" s="916"/>
      <c r="B28" s="916"/>
      <c r="C28" s="916"/>
      <c r="D28" s="916"/>
      <c r="E28" s="917"/>
      <c r="F28" s="917"/>
      <c r="H28" s="917"/>
      <c r="I28" s="922"/>
      <c r="J28" s="921"/>
      <c r="K28" s="921"/>
      <c r="P28" s="990">
        <f>X28</f>
        <v>0</v>
      </c>
      <c r="Q28" s="937"/>
      <c r="R28" s="937"/>
      <c r="T28" s="940"/>
      <c r="U28" s="940"/>
      <c r="V28" s="942" t="s">
        <v>3</v>
      </c>
      <c r="W28" s="940"/>
      <c r="X28" s="975">
        <f>IF(AND(Y28&lt;&gt;"",AC28&lt;Y28,AC28&lt;&gt;0),-1,0)</f>
        <v>0</v>
      </c>
      <c r="Y28" s="995"/>
      <c r="Z28" s="994"/>
      <c r="AA28" s="941"/>
      <c r="AB28" s="976">
        <f>IF(AND(Z28&lt;&gt;"",AD28&gt;$Z28,Z28&lt;&gt;0),1,-1)</f>
        <v>-1</v>
      </c>
      <c r="AC28" s="967">
        <f>MIN(AF28:CB28)</f>
        <v>0</v>
      </c>
      <c r="AD28" s="967">
        <f>MAX(AF28:CB28)</f>
        <v>0</v>
      </c>
      <c r="AE28" s="961"/>
      <c r="AF28" s="1971"/>
      <c r="AG28" s="1972"/>
      <c r="AH28" s="1972"/>
      <c r="AI28" s="1972"/>
      <c r="AJ28" s="1972"/>
      <c r="AK28" s="1972"/>
      <c r="AL28" s="1972"/>
      <c r="AM28" s="1972"/>
      <c r="AN28" s="1972"/>
      <c r="AO28" s="1972"/>
      <c r="AP28" s="1972"/>
      <c r="AQ28" s="1972"/>
      <c r="AR28" s="1973" t="str">
        <f>IF(AF17&gt;0,AR17/AF17,"")</f>
        <v/>
      </c>
      <c r="AS28" s="1973"/>
      <c r="AT28" s="1973"/>
      <c r="AU28" s="1973"/>
      <c r="AV28" s="1973"/>
      <c r="AW28" s="1973"/>
      <c r="AX28" s="1973"/>
      <c r="AY28" s="1973"/>
      <c r="AZ28" s="1973"/>
      <c r="BA28" s="1973"/>
      <c r="BB28" s="1973"/>
      <c r="BC28" s="1973"/>
      <c r="BD28" s="1967" t="str">
        <f>IF(AR17&gt;0,BD17/AR17,"")</f>
        <v/>
      </c>
      <c r="BE28" s="1967"/>
      <c r="BF28" s="1967"/>
      <c r="BG28" s="1967"/>
      <c r="BH28" s="1967"/>
      <c r="BI28" s="1967"/>
      <c r="BJ28" s="1967"/>
      <c r="BK28" s="1967"/>
      <c r="BL28" s="1967"/>
      <c r="BM28" s="1967"/>
      <c r="BN28" s="1967"/>
      <c r="BO28" s="1967"/>
      <c r="BP28" s="1967" t="str">
        <f>IF(BD17&gt;0,BP17/BD17,"")</f>
        <v/>
      </c>
      <c r="BQ28" s="1967"/>
      <c r="BR28" s="1967"/>
      <c r="BS28" s="1967"/>
      <c r="BT28" s="1967"/>
      <c r="BU28" s="1967"/>
      <c r="BV28" s="1967"/>
      <c r="BW28" s="1967"/>
      <c r="BX28" s="1967"/>
      <c r="BY28" s="1967"/>
      <c r="BZ28" s="1967"/>
      <c r="CA28" s="1967"/>
      <c r="CB28" s="1967" t="str">
        <f>IF(BP17&gt;0,CB17/BP17,"")</f>
        <v/>
      </c>
      <c r="CC28" s="1967"/>
      <c r="CD28" s="1967"/>
      <c r="CE28" s="1967"/>
      <c r="CF28" s="1967"/>
      <c r="CG28" s="1967"/>
      <c r="CH28" s="1967"/>
      <c r="CI28" s="1967"/>
      <c r="CJ28" s="1967"/>
      <c r="CK28" s="1967"/>
      <c r="CL28" s="1967"/>
      <c r="CM28" s="1968"/>
      <c r="CN28" s="937"/>
      <c r="CO28" s="937"/>
    </row>
    <row r="29" spans="1:94" s="918" customFormat="1" ht="12.75" customHeight="1" x14ac:dyDescent="0.3">
      <c r="A29" s="916"/>
      <c r="B29" s="916"/>
      <c r="C29" s="916"/>
      <c r="D29" s="916"/>
      <c r="E29" s="917"/>
      <c r="F29" s="917"/>
      <c r="H29" s="917"/>
      <c r="I29" s="922"/>
      <c r="J29" s="921"/>
      <c r="K29" s="921"/>
      <c r="Q29" s="937"/>
      <c r="R29" s="937"/>
      <c r="S29" s="940"/>
      <c r="T29" s="940"/>
      <c r="U29" s="940"/>
      <c r="V29" s="942" t="s">
        <v>12</v>
      </c>
      <c r="W29" s="940"/>
      <c r="X29" s="975">
        <f>IF(AND(Y29&lt;&gt;"",AC29&lt;Y29,AC29&lt;&gt;0),-1,0)</f>
        <v>0</v>
      </c>
      <c r="Y29" s="1005">
        <v>1.4</v>
      </c>
      <c r="Z29" s="1006">
        <v>3</v>
      </c>
      <c r="AA29" s="941"/>
      <c r="AB29" s="976">
        <f>IF(AND(Z29&lt;&gt;"",AD29&gt;$Z29,Z29&lt;&gt;0),1,-1)</f>
        <v>-1</v>
      </c>
      <c r="AC29" s="967">
        <f>MIN(AF29:CB29)</f>
        <v>0</v>
      </c>
      <c r="AD29" s="967">
        <f>MAX(AF29:CB29)</f>
        <v>0</v>
      </c>
      <c r="AE29" s="961"/>
      <c r="AF29" s="1934"/>
      <c r="AG29" s="1935"/>
      <c r="AH29" s="1935"/>
      <c r="AI29" s="1935"/>
      <c r="AJ29" s="1935"/>
      <c r="AK29" s="1935"/>
      <c r="AL29" s="1935"/>
      <c r="AM29" s="1935"/>
      <c r="AN29" s="1935"/>
      <c r="AO29" s="1935"/>
      <c r="AP29" s="1935"/>
      <c r="AQ29" s="1935"/>
      <c r="AR29" s="1936" t="str">
        <f>IF(AF18&gt;0,AR18/AF18,"")</f>
        <v/>
      </c>
      <c r="AS29" s="1936"/>
      <c r="AT29" s="1936"/>
      <c r="AU29" s="1936"/>
      <c r="AV29" s="1936"/>
      <c r="AW29" s="1936"/>
      <c r="AX29" s="1936"/>
      <c r="AY29" s="1936"/>
      <c r="AZ29" s="1936"/>
      <c r="BA29" s="1936"/>
      <c r="BB29" s="1936"/>
      <c r="BC29" s="1936"/>
      <c r="BD29" s="1936" t="str">
        <f>IF(AR18&gt;0,BD18/AR18,"")</f>
        <v/>
      </c>
      <c r="BE29" s="1936"/>
      <c r="BF29" s="1936"/>
      <c r="BG29" s="1936"/>
      <c r="BH29" s="1936"/>
      <c r="BI29" s="1936"/>
      <c r="BJ29" s="1936"/>
      <c r="BK29" s="1936"/>
      <c r="BL29" s="1936"/>
      <c r="BM29" s="1936"/>
      <c r="BN29" s="1936"/>
      <c r="BO29" s="1936"/>
      <c r="BP29" s="1936" t="str">
        <f>IF(BD18&gt;0,BP18/BD18,"")</f>
        <v/>
      </c>
      <c r="BQ29" s="1936"/>
      <c r="BR29" s="1936"/>
      <c r="BS29" s="1936"/>
      <c r="BT29" s="1936"/>
      <c r="BU29" s="1936"/>
      <c r="BV29" s="1936"/>
      <c r="BW29" s="1936"/>
      <c r="BX29" s="1936"/>
      <c r="BY29" s="1936"/>
      <c r="BZ29" s="1936"/>
      <c r="CA29" s="1936"/>
      <c r="CB29" s="1936" t="str">
        <f>IF(BP18&gt;0,CB18/BP18,"")</f>
        <v/>
      </c>
      <c r="CC29" s="1936"/>
      <c r="CD29" s="1936"/>
      <c r="CE29" s="1936"/>
      <c r="CF29" s="1936"/>
      <c r="CG29" s="1936"/>
      <c r="CH29" s="1936"/>
      <c r="CI29" s="1936"/>
      <c r="CJ29" s="1936"/>
      <c r="CK29" s="1936"/>
      <c r="CL29" s="1936"/>
      <c r="CM29" s="1959"/>
      <c r="CN29" s="937"/>
      <c r="CO29" s="937"/>
    </row>
    <row r="30" spans="1:94" s="918" customFormat="1" ht="12.75" customHeight="1" x14ac:dyDescent="0.3">
      <c r="A30" s="916"/>
      <c r="B30" s="916"/>
      <c r="C30" s="916"/>
      <c r="D30" s="916"/>
      <c r="E30" s="917"/>
      <c r="F30" s="917"/>
      <c r="H30" s="917"/>
      <c r="I30" s="922"/>
      <c r="J30" s="921"/>
      <c r="K30" s="921"/>
      <c r="Q30" s="937"/>
      <c r="R30" s="937"/>
      <c r="S30" s="940"/>
      <c r="T30" s="940"/>
      <c r="U30" s="940"/>
      <c r="V30" s="942" t="s">
        <v>18</v>
      </c>
      <c r="W30" s="940"/>
      <c r="X30" s="975">
        <f>IF(AND(Y30&lt;&gt;"",AC30&lt;Y30,AC30&lt;&gt;0),-1,0)</f>
        <v>0</v>
      </c>
      <c r="Y30" s="1005">
        <v>2</v>
      </c>
      <c r="Z30" s="1006">
        <v>3</v>
      </c>
      <c r="AA30" s="941"/>
      <c r="AB30" s="976">
        <f>IF(AND(Z30&lt;&gt;"",AD30&gt;$Z30,Z30&lt;&gt;0),1,-1)</f>
        <v>-1</v>
      </c>
      <c r="AC30" s="967">
        <f>MIN(AF30:CB30)</f>
        <v>0</v>
      </c>
      <c r="AD30" s="967">
        <f>MAX(AF30:CB30)</f>
        <v>0</v>
      </c>
      <c r="AE30" s="978"/>
      <c r="AF30" s="1934"/>
      <c r="AG30" s="1935"/>
      <c r="AH30" s="1935"/>
      <c r="AI30" s="1935"/>
      <c r="AJ30" s="1935"/>
      <c r="AK30" s="1935"/>
      <c r="AL30" s="1935"/>
      <c r="AM30" s="1935"/>
      <c r="AN30" s="1935"/>
      <c r="AO30" s="1935"/>
      <c r="AP30" s="1935"/>
      <c r="AQ30" s="1935"/>
      <c r="AR30" s="1936" t="str">
        <f>IF(AF19&gt;0,AR19/AF19,"")</f>
        <v/>
      </c>
      <c r="AS30" s="1936"/>
      <c r="AT30" s="1936"/>
      <c r="AU30" s="1936"/>
      <c r="AV30" s="1936"/>
      <c r="AW30" s="1936"/>
      <c r="AX30" s="1936"/>
      <c r="AY30" s="1936"/>
      <c r="AZ30" s="1936"/>
      <c r="BA30" s="1936"/>
      <c r="BB30" s="1936"/>
      <c r="BC30" s="1936"/>
      <c r="BD30" s="1936" t="str">
        <f>IF(AR19&gt;0,BD19/AR19,"")</f>
        <v/>
      </c>
      <c r="BE30" s="1936"/>
      <c r="BF30" s="1936"/>
      <c r="BG30" s="1936"/>
      <c r="BH30" s="1936"/>
      <c r="BI30" s="1936"/>
      <c r="BJ30" s="1936"/>
      <c r="BK30" s="1936"/>
      <c r="BL30" s="1936"/>
      <c r="BM30" s="1936"/>
      <c r="BN30" s="1936"/>
      <c r="BO30" s="1936"/>
      <c r="BP30" s="1936" t="str">
        <f>IF(BD19&gt;0,BP19/BD19,"")</f>
        <v/>
      </c>
      <c r="BQ30" s="1936"/>
      <c r="BR30" s="1936"/>
      <c r="BS30" s="1936"/>
      <c r="BT30" s="1936"/>
      <c r="BU30" s="1936"/>
      <c r="BV30" s="1936"/>
      <c r="BW30" s="1936"/>
      <c r="BX30" s="1936"/>
      <c r="BY30" s="1936"/>
      <c r="BZ30" s="1936"/>
      <c r="CA30" s="1936"/>
      <c r="CB30" s="1936" t="str">
        <f>IF(BP19&gt;0,CB19/BP19,"")</f>
        <v/>
      </c>
      <c r="CC30" s="1936"/>
      <c r="CD30" s="1936"/>
      <c r="CE30" s="1936"/>
      <c r="CF30" s="1936"/>
      <c r="CG30" s="1936"/>
      <c r="CH30" s="1936"/>
      <c r="CI30" s="1936"/>
      <c r="CJ30" s="1936"/>
      <c r="CK30" s="1936"/>
      <c r="CL30" s="1936"/>
      <c r="CM30" s="1959"/>
      <c r="CN30" s="937"/>
      <c r="CO30" s="937"/>
    </row>
    <row r="31" spans="1:94" s="918" customFormat="1" ht="12.75" customHeight="1" thickBot="1" x14ac:dyDescent="0.35">
      <c r="A31" s="916"/>
      <c r="B31" s="916"/>
      <c r="C31" s="916"/>
      <c r="D31" s="916"/>
      <c r="E31" s="917"/>
      <c r="F31" s="917"/>
      <c r="H31" s="917"/>
      <c r="I31" s="922"/>
      <c r="J31" s="921"/>
      <c r="K31" s="921"/>
      <c r="Q31" s="937"/>
      <c r="R31" s="937"/>
      <c r="S31" s="940"/>
      <c r="T31" s="940"/>
      <c r="U31" s="940"/>
      <c r="V31" s="942" t="s">
        <v>19</v>
      </c>
      <c r="W31" s="940"/>
      <c r="X31" s="975">
        <f>IF(AND(Y31&lt;&gt;"",AC31&lt;Y31,AC31&lt;&gt;0),-1,0)</f>
        <v>0</v>
      </c>
      <c r="Y31" s="1007">
        <v>2</v>
      </c>
      <c r="Z31" s="1008">
        <v>3</v>
      </c>
      <c r="AA31" s="941"/>
      <c r="AB31" s="976">
        <f>IF(AND(Z31&lt;&gt;"",AD31&gt;$Z31,Z31&lt;&gt;0),1,-1)</f>
        <v>-1</v>
      </c>
      <c r="AC31" s="967">
        <f>MIN(AF31:CB31)</f>
        <v>0</v>
      </c>
      <c r="AD31" s="967">
        <f>MAX(AF31:CB31)</f>
        <v>0</v>
      </c>
      <c r="AE31" s="978"/>
      <c r="AF31" s="1969"/>
      <c r="AG31" s="1970"/>
      <c r="AH31" s="1970"/>
      <c r="AI31" s="1970"/>
      <c r="AJ31" s="1970"/>
      <c r="AK31" s="1970"/>
      <c r="AL31" s="1970"/>
      <c r="AM31" s="1970"/>
      <c r="AN31" s="1970"/>
      <c r="AO31" s="1970"/>
      <c r="AP31" s="1970"/>
      <c r="AQ31" s="1970"/>
      <c r="AR31" s="1951" t="str">
        <f>IF(AF20&gt;0,AR20/AF20,"")</f>
        <v/>
      </c>
      <c r="AS31" s="1951"/>
      <c r="AT31" s="1951"/>
      <c r="AU31" s="1951"/>
      <c r="AV31" s="1951"/>
      <c r="AW31" s="1951"/>
      <c r="AX31" s="1951"/>
      <c r="AY31" s="1951"/>
      <c r="AZ31" s="1951"/>
      <c r="BA31" s="1951"/>
      <c r="BB31" s="1951"/>
      <c r="BC31" s="1951"/>
      <c r="BD31" s="1951" t="str">
        <f>IF(AR20&gt;0,BD20/AR20,"")</f>
        <v/>
      </c>
      <c r="BE31" s="1951"/>
      <c r="BF31" s="1951"/>
      <c r="BG31" s="1951"/>
      <c r="BH31" s="1951"/>
      <c r="BI31" s="1951"/>
      <c r="BJ31" s="1951"/>
      <c r="BK31" s="1951"/>
      <c r="BL31" s="1951"/>
      <c r="BM31" s="1951"/>
      <c r="BN31" s="1951"/>
      <c r="BO31" s="1951"/>
      <c r="BP31" s="1951" t="str">
        <f>IF(BD20&gt;0,BP20/BD20,"")</f>
        <v/>
      </c>
      <c r="BQ31" s="1951"/>
      <c r="BR31" s="1951"/>
      <c r="BS31" s="1951"/>
      <c r="BT31" s="1951"/>
      <c r="BU31" s="1951"/>
      <c r="BV31" s="1951"/>
      <c r="BW31" s="1951"/>
      <c r="BX31" s="1951"/>
      <c r="BY31" s="1951"/>
      <c r="BZ31" s="1951"/>
      <c r="CA31" s="1951"/>
      <c r="CB31" s="1951" t="str">
        <f>IF(BP20&gt;0,CB20/BP20,"")</f>
        <v/>
      </c>
      <c r="CC31" s="1951"/>
      <c r="CD31" s="1951"/>
      <c r="CE31" s="1951"/>
      <c r="CF31" s="1951"/>
      <c r="CG31" s="1951"/>
      <c r="CH31" s="1951"/>
      <c r="CI31" s="1951"/>
      <c r="CJ31" s="1951"/>
      <c r="CK31" s="1951"/>
      <c r="CL31" s="1951"/>
      <c r="CM31" s="1952"/>
      <c r="CN31" s="937"/>
      <c r="CO31" s="937"/>
    </row>
    <row r="32" spans="1:94" s="918" customFormat="1" ht="12.75" customHeight="1" x14ac:dyDescent="0.3">
      <c r="A32" s="916"/>
      <c r="B32" s="916"/>
      <c r="C32" s="916"/>
      <c r="D32" s="916"/>
      <c r="E32" s="917"/>
      <c r="F32" s="917"/>
      <c r="H32" s="917"/>
      <c r="I32" s="922"/>
      <c r="J32" s="921"/>
      <c r="K32" s="921"/>
      <c r="Q32" s="937"/>
      <c r="R32" s="937"/>
      <c r="S32" s="940"/>
      <c r="T32" s="940"/>
      <c r="U32" s="940"/>
      <c r="V32" s="942"/>
      <c r="W32" s="940"/>
      <c r="X32" s="939"/>
      <c r="Y32" s="937"/>
      <c r="Z32" s="937"/>
      <c r="AA32" s="941"/>
      <c r="AB32" s="937"/>
      <c r="AC32" s="937"/>
      <c r="AD32" s="961"/>
      <c r="AE32" s="978"/>
      <c r="AF32" s="979"/>
      <c r="AG32" s="979"/>
      <c r="AH32" s="979"/>
      <c r="AI32" s="979"/>
      <c r="AJ32" s="979"/>
      <c r="AK32" s="979"/>
      <c r="AL32" s="979"/>
      <c r="AM32" s="979"/>
      <c r="AN32" s="979"/>
      <c r="AO32" s="979"/>
      <c r="AP32" s="979"/>
      <c r="AQ32" s="979"/>
      <c r="AR32" s="980"/>
      <c r="AS32" s="981"/>
      <c r="AT32" s="981"/>
      <c r="AU32" s="981"/>
      <c r="AV32" s="981"/>
      <c r="AW32" s="981"/>
      <c r="AX32" s="981"/>
      <c r="AY32" s="981"/>
      <c r="AZ32" s="981"/>
      <c r="BA32" s="981"/>
      <c r="BB32" s="981"/>
      <c r="BC32" s="981"/>
      <c r="BD32" s="980"/>
      <c r="BE32" s="981"/>
      <c r="BF32" s="981"/>
      <c r="BG32" s="981"/>
      <c r="BH32" s="981"/>
      <c r="BI32" s="981"/>
      <c r="BJ32" s="981"/>
      <c r="BK32" s="981"/>
      <c r="BL32" s="981"/>
      <c r="BM32" s="981"/>
      <c r="BN32" s="981"/>
      <c r="BO32" s="981"/>
      <c r="BP32" s="980"/>
      <c r="BQ32" s="981"/>
      <c r="BR32" s="981"/>
      <c r="BS32" s="981"/>
      <c r="BT32" s="981"/>
      <c r="BU32" s="981"/>
      <c r="BV32" s="981"/>
      <c r="BW32" s="981"/>
      <c r="BX32" s="981"/>
      <c r="BY32" s="981"/>
      <c r="BZ32" s="981"/>
      <c r="CA32" s="981"/>
      <c r="CB32" s="980"/>
      <c r="CC32" s="981"/>
      <c r="CD32" s="981"/>
      <c r="CE32" s="981"/>
      <c r="CF32" s="981"/>
      <c r="CG32" s="981"/>
      <c r="CH32" s="981"/>
      <c r="CI32" s="981"/>
      <c r="CJ32" s="981"/>
      <c r="CK32" s="981"/>
      <c r="CL32" s="981"/>
      <c r="CM32" s="981"/>
      <c r="CN32" s="937"/>
      <c r="CO32" s="937"/>
    </row>
    <row r="33" spans="1:93" s="918" customFormat="1" ht="12.75" customHeight="1" thickBot="1" x14ac:dyDescent="0.35">
      <c r="A33" s="916"/>
      <c r="B33" s="916"/>
      <c r="C33" s="916"/>
      <c r="D33" s="916"/>
      <c r="E33" s="917"/>
      <c r="F33" s="917"/>
      <c r="H33" s="917"/>
      <c r="I33" s="922"/>
      <c r="J33" s="921"/>
      <c r="K33" s="921"/>
      <c r="Q33" s="937"/>
      <c r="R33" s="937"/>
      <c r="S33" s="940"/>
      <c r="T33" s="940"/>
      <c r="U33" s="940"/>
      <c r="V33" s="965" t="s">
        <v>734</v>
      </c>
      <c r="W33" s="940"/>
      <c r="X33" s="939"/>
      <c r="Y33" s="941" t="s">
        <v>729</v>
      </c>
      <c r="Z33" s="941" t="s">
        <v>730</v>
      </c>
      <c r="AA33" s="941"/>
      <c r="AB33" s="937"/>
      <c r="AC33" s="960" t="s">
        <v>394</v>
      </c>
      <c r="AD33" s="960" t="s">
        <v>393</v>
      </c>
      <c r="AE33" s="961"/>
      <c r="AF33" s="1931" t="str">
        <f>Infrastructure!H$9</f>
        <v>Year 1</v>
      </c>
      <c r="AG33" s="1931"/>
      <c r="AH33" s="1931"/>
      <c r="AI33" s="1931"/>
      <c r="AJ33" s="1931"/>
      <c r="AK33" s="1931"/>
      <c r="AL33" s="1931"/>
      <c r="AM33" s="1931"/>
      <c r="AN33" s="1931"/>
      <c r="AO33" s="1931"/>
      <c r="AP33" s="1931"/>
      <c r="AQ33" s="1931"/>
      <c r="AR33" s="1931" t="str">
        <f>Infrastructure!I$9</f>
        <v>Year 2</v>
      </c>
      <c r="AS33" s="1931"/>
      <c r="AT33" s="1931"/>
      <c r="AU33" s="1931"/>
      <c r="AV33" s="1931"/>
      <c r="AW33" s="1931"/>
      <c r="AX33" s="1931"/>
      <c r="AY33" s="1931"/>
      <c r="AZ33" s="1931"/>
      <c r="BA33" s="1931"/>
      <c r="BB33" s="1931"/>
      <c r="BC33" s="1931"/>
      <c r="BD33" s="1931" t="str">
        <f>Infrastructure!J$9</f>
        <v>Year 3</v>
      </c>
      <c r="BE33" s="1931"/>
      <c r="BF33" s="1931"/>
      <c r="BG33" s="1931"/>
      <c r="BH33" s="1931"/>
      <c r="BI33" s="1931"/>
      <c r="BJ33" s="1931"/>
      <c r="BK33" s="1931"/>
      <c r="BL33" s="1931"/>
      <c r="BM33" s="1931"/>
      <c r="BN33" s="1931"/>
      <c r="BO33" s="1931"/>
      <c r="BP33" s="1931" t="str">
        <f>Infrastructure!K$9</f>
        <v>Year 4</v>
      </c>
      <c r="BQ33" s="1931"/>
      <c r="BR33" s="1931"/>
      <c r="BS33" s="1931"/>
      <c r="BT33" s="1931"/>
      <c r="BU33" s="1931"/>
      <c r="BV33" s="1931"/>
      <c r="BW33" s="1931"/>
      <c r="BX33" s="1931"/>
      <c r="BY33" s="1931"/>
      <c r="BZ33" s="1931"/>
      <c r="CA33" s="1931"/>
      <c r="CB33" s="1931" t="str">
        <f>Infrastructure!L$9</f>
        <v>Year 5</v>
      </c>
      <c r="CC33" s="1931"/>
      <c r="CD33" s="1931"/>
      <c r="CE33" s="1931"/>
      <c r="CF33" s="1931"/>
      <c r="CG33" s="1931"/>
      <c r="CH33" s="1931"/>
      <c r="CI33" s="1931"/>
      <c r="CJ33" s="1931"/>
      <c r="CK33" s="1931"/>
      <c r="CL33" s="1931"/>
      <c r="CM33" s="1931"/>
      <c r="CN33" s="937"/>
      <c r="CO33" s="937"/>
    </row>
    <row r="34" spans="1:93" s="918" customFormat="1" ht="12.75" customHeight="1" x14ac:dyDescent="0.3">
      <c r="A34" s="916"/>
      <c r="B34" s="916"/>
      <c r="C34" s="916"/>
      <c r="D34" s="916"/>
      <c r="E34" s="917"/>
      <c r="F34" s="917"/>
      <c r="H34" s="917"/>
      <c r="I34" s="922"/>
      <c r="J34" s="921"/>
      <c r="K34" s="921"/>
      <c r="Q34" s="937"/>
      <c r="R34" s="937"/>
      <c r="T34" s="940"/>
      <c r="U34" s="940"/>
      <c r="V34" s="942" t="s">
        <v>3</v>
      </c>
      <c r="W34" s="940"/>
      <c r="X34" s="975"/>
      <c r="Y34" s="995"/>
      <c r="Z34" s="994"/>
      <c r="AA34" s="941"/>
      <c r="AB34" s="937"/>
      <c r="AC34" s="991"/>
      <c r="AD34" s="991"/>
      <c r="AE34" s="961"/>
      <c r="AF34" s="1974"/>
      <c r="AG34" s="1975"/>
      <c r="AH34" s="1975"/>
      <c r="AI34" s="1975"/>
      <c r="AJ34" s="1975"/>
      <c r="AK34" s="1975"/>
      <c r="AL34" s="1975"/>
      <c r="AM34" s="1975"/>
      <c r="AN34" s="1975"/>
      <c r="AO34" s="1975"/>
      <c r="AP34" s="1975"/>
      <c r="AQ34" s="1975"/>
      <c r="AR34" s="1976"/>
      <c r="AS34" s="1976"/>
      <c r="AT34" s="1976"/>
      <c r="AU34" s="1976"/>
      <c r="AV34" s="1976"/>
      <c r="AW34" s="1976"/>
      <c r="AX34" s="1976"/>
      <c r="AY34" s="1976"/>
      <c r="AZ34" s="1976"/>
      <c r="BA34" s="1976"/>
      <c r="BB34" s="1976"/>
      <c r="BC34" s="1976"/>
      <c r="BD34" s="1976"/>
      <c r="BE34" s="1976"/>
      <c r="BF34" s="1976"/>
      <c r="BG34" s="1976"/>
      <c r="BH34" s="1976"/>
      <c r="BI34" s="1976"/>
      <c r="BJ34" s="1976"/>
      <c r="BK34" s="1976"/>
      <c r="BL34" s="1976"/>
      <c r="BM34" s="1976"/>
      <c r="BN34" s="1976"/>
      <c r="BO34" s="1976"/>
      <c r="BP34" s="1976"/>
      <c r="BQ34" s="1976"/>
      <c r="BR34" s="1976"/>
      <c r="BS34" s="1976"/>
      <c r="BT34" s="1976"/>
      <c r="BU34" s="1976"/>
      <c r="BV34" s="1976"/>
      <c r="BW34" s="1976"/>
      <c r="BX34" s="1976"/>
      <c r="BY34" s="1976"/>
      <c r="BZ34" s="1976"/>
      <c r="CA34" s="1976"/>
      <c r="CB34" s="1976"/>
      <c r="CC34" s="1976"/>
      <c r="CD34" s="1976"/>
      <c r="CE34" s="1976"/>
      <c r="CF34" s="1976"/>
      <c r="CG34" s="1976"/>
      <c r="CH34" s="1976"/>
      <c r="CI34" s="1976"/>
      <c r="CJ34" s="1976"/>
      <c r="CK34" s="1976"/>
      <c r="CL34" s="1976"/>
      <c r="CM34" s="1977"/>
      <c r="CN34" s="937"/>
      <c r="CO34" s="937"/>
    </row>
    <row r="35" spans="1:93" s="918" customFormat="1" ht="12.75" customHeight="1" x14ac:dyDescent="0.3">
      <c r="A35" s="916"/>
      <c r="B35" s="916"/>
      <c r="C35" s="916"/>
      <c r="D35" s="916"/>
      <c r="E35" s="917"/>
      <c r="F35" s="917"/>
      <c r="H35" s="917"/>
      <c r="I35" s="922"/>
      <c r="J35" s="921"/>
      <c r="K35" s="921"/>
      <c r="Q35" s="937"/>
      <c r="R35" s="937"/>
      <c r="S35" s="940"/>
      <c r="T35" s="940"/>
      <c r="U35" s="940"/>
      <c r="V35" s="942" t="s">
        <v>12</v>
      </c>
      <c r="W35" s="940"/>
      <c r="X35" s="975">
        <f>IF(AND(Y35&lt;&gt;"",AC35&lt;$Y35,Y35&lt;&gt;0,AC35&lt;&gt;0),-1,0)</f>
        <v>0</v>
      </c>
      <c r="Y35" s="1005">
        <v>0.1</v>
      </c>
      <c r="Z35" s="1006">
        <v>0.6</v>
      </c>
      <c r="AA35" s="941"/>
      <c r="AB35" s="976">
        <f>IF(AND(Z35&lt;&gt;"",AD35&gt;$Z35,Z35&lt;&gt;0),1,-1)</f>
        <v>-1</v>
      </c>
      <c r="AC35" s="967">
        <f>MIN(AF35:CB35)</f>
        <v>0</v>
      </c>
      <c r="AD35" s="967">
        <f>MAX(AF35:CB35)</f>
        <v>0</v>
      </c>
      <c r="AE35" s="961"/>
      <c r="AF35" s="1957" t="str">
        <f>IF(AF17&gt;0,AF18/AF$17,"")</f>
        <v/>
      </c>
      <c r="AG35" s="1958"/>
      <c r="AH35" s="1958"/>
      <c r="AI35" s="1958"/>
      <c r="AJ35" s="1958"/>
      <c r="AK35" s="1958"/>
      <c r="AL35" s="1958"/>
      <c r="AM35" s="1958"/>
      <c r="AN35" s="1958"/>
      <c r="AO35" s="1958"/>
      <c r="AP35" s="1958"/>
      <c r="AQ35" s="1958"/>
      <c r="AR35" s="1936" t="str">
        <f>IF(AR17&gt;0,AR18/AR$17,"")</f>
        <v/>
      </c>
      <c r="AS35" s="1936"/>
      <c r="AT35" s="1936"/>
      <c r="AU35" s="1936"/>
      <c r="AV35" s="1936"/>
      <c r="AW35" s="1936"/>
      <c r="AX35" s="1936"/>
      <c r="AY35" s="1936"/>
      <c r="AZ35" s="1936"/>
      <c r="BA35" s="1936"/>
      <c r="BB35" s="1936"/>
      <c r="BC35" s="1936"/>
      <c r="BD35" s="1936" t="str">
        <f>IF(BD17&gt;0,BD18/BD$17,"")</f>
        <v/>
      </c>
      <c r="BE35" s="1936"/>
      <c r="BF35" s="1936"/>
      <c r="BG35" s="1936"/>
      <c r="BH35" s="1936"/>
      <c r="BI35" s="1936"/>
      <c r="BJ35" s="1936"/>
      <c r="BK35" s="1936"/>
      <c r="BL35" s="1936"/>
      <c r="BM35" s="1936"/>
      <c r="BN35" s="1936"/>
      <c r="BO35" s="1936"/>
      <c r="BP35" s="1936" t="str">
        <f>IF(BP17&gt;0,BP18/BP$17,"")</f>
        <v/>
      </c>
      <c r="BQ35" s="1936"/>
      <c r="BR35" s="1936"/>
      <c r="BS35" s="1936"/>
      <c r="BT35" s="1936"/>
      <c r="BU35" s="1936"/>
      <c r="BV35" s="1936"/>
      <c r="BW35" s="1936"/>
      <c r="BX35" s="1936"/>
      <c r="BY35" s="1936"/>
      <c r="BZ35" s="1936"/>
      <c r="CA35" s="1936"/>
      <c r="CB35" s="1936" t="str">
        <f>IF(CB17&gt;0,CB18/CB$17,"")</f>
        <v/>
      </c>
      <c r="CC35" s="1936"/>
      <c r="CD35" s="1936"/>
      <c r="CE35" s="1936"/>
      <c r="CF35" s="1936"/>
      <c r="CG35" s="1936"/>
      <c r="CH35" s="1936"/>
      <c r="CI35" s="1936"/>
      <c r="CJ35" s="1936"/>
      <c r="CK35" s="1936"/>
      <c r="CL35" s="1936"/>
      <c r="CM35" s="1959"/>
      <c r="CN35" s="937"/>
      <c r="CO35" s="937"/>
    </row>
    <row r="36" spans="1:93" s="918" customFormat="1" ht="12.75" customHeight="1" x14ac:dyDescent="0.3">
      <c r="A36" s="916"/>
      <c r="B36" s="916"/>
      <c r="C36" s="916"/>
      <c r="D36" s="916"/>
      <c r="E36" s="917"/>
      <c r="F36" s="917"/>
      <c r="H36" s="917"/>
      <c r="I36" s="922"/>
      <c r="J36" s="921"/>
      <c r="K36" s="921"/>
      <c r="Q36" s="937"/>
      <c r="R36" s="937"/>
      <c r="S36" s="940"/>
      <c r="T36" s="940"/>
      <c r="U36" s="940"/>
      <c r="V36" s="942" t="s">
        <v>18</v>
      </c>
      <c r="W36" s="940"/>
      <c r="X36" s="975">
        <f>IF(AND(Y36&lt;&gt;"",AC36&lt;$Y36,Y36&lt;&gt;0,AC36&lt;&gt;0),-1,0)</f>
        <v>0</v>
      </c>
      <c r="Y36" s="1005">
        <v>0.2</v>
      </c>
      <c r="Z36" s="1006">
        <v>0.3</v>
      </c>
      <c r="AA36" s="941"/>
      <c r="AB36" s="976">
        <f>IF(AND(Z36&lt;&gt;"",AD36&gt;$Z36,Z36&lt;&gt;0),1,-1)</f>
        <v>-1</v>
      </c>
      <c r="AC36" s="967">
        <f>MIN(AF36:CB36)</f>
        <v>0</v>
      </c>
      <c r="AD36" s="967">
        <f>MAX(AF36:CB36)</f>
        <v>0</v>
      </c>
      <c r="AE36" s="978"/>
      <c r="AF36" s="1957" t="str">
        <f>IF(AF18&gt;0,AF19/AF$17,"")</f>
        <v/>
      </c>
      <c r="AG36" s="1958"/>
      <c r="AH36" s="1958"/>
      <c r="AI36" s="1958"/>
      <c r="AJ36" s="1958"/>
      <c r="AK36" s="1958"/>
      <c r="AL36" s="1958"/>
      <c r="AM36" s="1958"/>
      <c r="AN36" s="1958"/>
      <c r="AO36" s="1958"/>
      <c r="AP36" s="1958"/>
      <c r="AQ36" s="1958"/>
      <c r="AR36" s="1936" t="str">
        <f>IF(AR18&gt;0,AR19/AR$17,"")</f>
        <v/>
      </c>
      <c r="AS36" s="1936"/>
      <c r="AT36" s="1936"/>
      <c r="AU36" s="1936"/>
      <c r="AV36" s="1936"/>
      <c r="AW36" s="1936"/>
      <c r="AX36" s="1936"/>
      <c r="AY36" s="1936"/>
      <c r="AZ36" s="1936"/>
      <c r="BA36" s="1936"/>
      <c r="BB36" s="1936"/>
      <c r="BC36" s="1936"/>
      <c r="BD36" s="1936" t="str">
        <f>IF(BD18&gt;0,BD19/BD$17,"")</f>
        <v/>
      </c>
      <c r="BE36" s="1936"/>
      <c r="BF36" s="1936"/>
      <c r="BG36" s="1936"/>
      <c r="BH36" s="1936"/>
      <c r="BI36" s="1936"/>
      <c r="BJ36" s="1936"/>
      <c r="BK36" s="1936"/>
      <c r="BL36" s="1936"/>
      <c r="BM36" s="1936"/>
      <c r="BN36" s="1936"/>
      <c r="BO36" s="1936"/>
      <c r="BP36" s="1936" t="str">
        <f>IF(BP18&gt;0,BP19/BP$17,"")</f>
        <v/>
      </c>
      <c r="BQ36" s="1936"/>
      <c r="BR36" s="1936"/>
      <c r="BS36" s="1936"/>
      <c r="BT36" s="1936"/>
      <c r="BU36" s="1936"/>
      <c r="BV36" s="1936"/>
      <c r="BW36" s="1936"/>
      <c r="BX36" s="1936"/>
      <c r="BY36" s="1936"/>
      <c r="BZ36" s="1936"/>
      <c r="CA36" s="1936"/>
      <c r="CB36" s="1936" t="str">
        <f>IF(CB18&gt;0,CB19/CB$17,"")</f>
        <v/>
      </c>
      <c r="CC36" s="1936"/>
      <c r="CD36" s="1936"/>
      <c r="CE36" s="1936"/>
      <c r="CF36" s="1936"/>
      <c r="CG36" s="1936"/>
      <c r="CH36" s="1936"/>
      <c r="CI36" s="1936"/>
      <c r="CJ36" s="1936"/>
      <c r="CK36" s="1936"/>
      <c r="CL36" s="1936"/>
      <c r="CM36" s="1959"/>
      <c r="CN36" s="937"/>
      <c r="CO36" s="937"/>
    </row>
    <row r="37" spans="1:93" s="918" customFormat="1" ht="12.75" customHeight="1" thickBot="1" x14ac:dyDescent="0.35">
      <c r="A37" s="916"/>
      <c r="B37" s="916"/>
      <c r="C37" s="916"/>
      <c r="D37" s="916"/>
      <c r="E37" s="917"/>
      <c r="F37" s="917"/>
      <c r="H37" s="917"/>
      <c r="I37" s="922"/>
      <c r="J37" s="921"/>
      <c r="K37" s="921"/>
      <c r="Q37" s="937"/>
      <c r="R37" s="937"/>
      <c r="S37" s="940"/>
      <c r="T37" s="940"/>
      <c r="U37" s="940"/>
      <c r="V37" s="942" t="s">
        <v>19</v>
      </c>
      <c r="W37" s="940"/>
      <c r="X37" s="975">
        <f>IF(AND(Y37&lt;&gt;"",AC37&lt;$Y37,Y37&lt;&gt;0,AC37&lt;&gt;0),-1,0)</f>
        <v>0</v>
      </c>
      <c r="Y37" s="1007">
        <v>0.3</v>
      </c>
      <c r="Z37" s="1008">
        <v>0.5</v>
      </c>
      <c r="AA37" s="941"/>
      <c r="AB37" s="976">
        <f>IF(AND(Z37&lt;&gt;"",AD37&gt;$Z37,Z37&lt;&gt;0),1,-1)</f>
        <v>-1</v>
      </c>
      <c r="AC37" s="967">
        <f>MIN(AF37:CB37)</f>
        <v>0</v>
      </c>
      <c r="AD37" s="967">
        <f>MAX(AF37:CB37)</f>
        <v>0</v>
      </c>
      <c r="AE37" s="978"/>
      <c r="AF37" s="1960" t="str">
        <f>IF(AF19&gt;0,AF20/AF$17,"")</f>
        <v/>
      </c>
      <c r="AG37" s="1961"/>
      <c r="AH37" s="1961"/>
      <c r="AI37" s="1961"/>
      <c r="AJ37" s="1961"/>
      <c r="AK37" s="1961"/>
      <c r="AL37" s="1961"/>
      <c r="AM37" s="1961"/>
      <c r="AN37" s="1961"/>
      <c r="AO37" s="1961"/>
      <c r="AP37" s="1961"/>
      <c r="AQ37" s="1961"/>
      <c r="AR37" s="1951" t="str">
        <f>IF(AR19&gt;0,AR20/AR$17,"")</f>
        <v/>
      </c>
      <c r="AS37" s="1951"/>
      <c r="AT37" s="1951"/>
      <c r="AU37" s="1951"/>
      <c r="AV37" s="1951"/>
      <c r="AW37" s="1951"/>
      <c r="AX37" s="1951"/>
      <c r="AY37" s="1951"/>
      <c r="AZ37" s="1951"/>
      <c r="BA37" s="1951"/>
      <c r="BB37" s="1951"/>
      <c r="BC37" s="1951"/>
      <c r="BD37" s="1951" t="str">
        <f>IF(BD19&gt;0,BD20/BD$17,"")</f>
        <v/>
      </c>
      <c r="BE37" s="1951"/>
      <c r="BF37" s="1951"/>
      <c r="BG37" s="1951"/>
      <c r="BH37" s="1951"/>
      <c r="BI37" s="1951"/>
      <c r="BJ37" s="1951"/>
      <c r="BK37" s="1951"/>
      <c r="BL37" s="1951"/>
      <c r="BM37" s="1951"/>
      <c r="BN37" s="1951"/>
      <c r="BO37" s="1951"/>
      <c r="BP37" s="1951" t="str">
        <f>IF(BP19&gt;0,BP20/BP$17,"")</f>
        <v/>
      </c>
      <c r="BQ37" s="1951"/>
      <c r="BR37" s="1951"/>
      <c r="BS37" s="1951"/>
      <c r="BT37" s="1951"/>
      <c r="BU37" s="1951"/>
      <c r="BV37" s="1951"/>
      <c r="BW37" s="1951"/>
      <c r="BX37" s="1951"/>
      <c r="BY37" s="1951"/>
      <c r="BZ37" s="1951"/>
      <c r="CA37" s="1951"/>
      <c r="CB37" s="1951" t="str">
        <f>IF(CB19&gt;0,CB20/CB$17,"")</f>
        <v/>
      </c>
      <c r="CC37" s="1951"/>
      <c r="CD37" s="1951"/>
      <c r="CE37" s="1951"/>
      <c r="CF37" s="1951"/>
      <c r="CG37" s="1951"/>
      <c r="CH37" s="1951"/>
      <c r="CI37" s="1951"/>
      <c r="CJ37" s="1951"/>
      <c r="CK37" s="1951"/>
      <c r="CL37" s="1951"/>
      <c r="CM37" s="1952"/>
      <c r="CN37" s="937"/>
      <c r="CO37" s="937"/>
    </row>
    <row r="38" spans="1:93" s="918" customFormat="1" ht="12.75" customHeight="1" x14ac:dyDescent="0.3">
      <c r="A38" s="916"/>
      <c r="B38" s="916"/>
      <c r="C38" s="916"/>
      <c r="D38" s="916"/>
      <c r="E38" s="917"/>
      <c r="F38" s="917"/>
      <c r="H38" s="917"/>
      <c r="I38" s="922"/>
      <c r="J38" s="921"/>
      <c r="K38" s="921"/>
      <c r="Q38" s="937"/>
      <c r="R38" s="937"/>
      <c r="S38" s="940"/>
      <c r="T38" s="940"/>
      <c r="U38" s="940"/>
      <c r="V38" s="937"/>
      <c r="W38" s="940"/>
      <c r="X38" s="939"/>
      <c r="Y38" s="937"/>
      <c r="Z38" s="937"/>
      <c r="AA38" s="941"/>
      <c r="AB38" s="937"/>
      <c r="AC38" s="937"/>
      <c r="AD38" s="961"/>
      <c r="AE38" s="978"/>
      <c r="AF38" s="940"/>
      <c r="AG38" s="940"/>
      <c r="AH38" s="940"/>
      <c r="AI38" s="940"/>
      <c r="AJ38" s="940"/>
      <c r="AK38" s="940"/>
      <c r="AL38" s="940"/>
      <c r="AM38" s="940"/>
      <c r="AN38" s="940"/>
      <c r="AO38" s="940"/>
      <c r="AP38" s="940"/>
      <c r="AQ38" s="940"/>
      <c r="AR38" s="940"/>
      <c r="AS38" s="940"/>
      <c r="AT38" s="940"/>
      <c r="AU38" s="940"/>
      <c r="AV38" s="940"/>
      <c r="AW38" s="940"/>
      <c r="AX38" s="940"/>
      <c r="AY38" s="940"/>
      <c r="AZ38" s="940"/>
      <c r="BA38" s="940"/>
      <c r="BB38" s="940"/>
      <c r="BC38" s="940"/>
      <c r="BD38" s="940"/>
      <c r="BE38" s="940"/>
      <c r="BF38" s="940"/>
      <c r="BG38" s="940"/>
      <c r="BH38" s="940"/>
      <c r="BI38" s="940"/>
      <c r="BJ38" s="940"/>
      <c r="BK38" s="940"/>
      <c r="BL38" s="940"/>
      <c r="BM38" s="940"/>
      <c r="BN38" s="940"/>
      <c r="BO38" s="940"/>
      <c r="BP38" s="940"/>
      <c r="BQ38" s="940"/>
      <c r="BR38" s="940"/>
      <c r="BS38" s="940"/>
      <c r="BT38" s="940"/>
      <c r="BU38" s="940"/>
      <c r="BV38" s="940"/>
      <c r="BW38" s="940"/>
      <c r="BX38" s="940"/>
      <c r="BY38" s="940"/>
      <c r="BZ38" s="940"/>
      <c r="CA38" s="940"/>
      <c r="CB38" s="940"/>
      <c r="CC38" s="940"/>
      <c r="CD38" s="940"/>
      <c r="CE38" s="940"/>
      <c r="CF38" s="940"/>
      <c r="CG38" s="940"/>
      <c r="CH38" s="940"/>
      <c r="CI38" s="940"/>
      <c r="CJ38" s="940"/>
      <c r="CK38" s="937"/>
      <c r="CL38" s="937"/>
      <c r="CM38" s="937"/>
      <c r="CN38" s="937"/>
      <c r="CO38" s="937"/>
    </row>
    <row r="39" spans="1:93" s="918" customFormat="1" ht="12.75" customHeight="1" thickBot="1" x14ac:dyDescent="0.35">
      <c r="A39" s="916"/>
      <c r="Q39" s="937"/>
      <c r="R39" s="937"/>
      <c r="S39" s="940"/>
      <c r="T39" s="940"/>
      <c r="U39" s="940"/>
      <c r="V39" s="965" t="s">
        <v>735</v>
      </c>
      <c r="W39" s="940"/>
      <c r="X39" s="939"/>
      <c r="Y39" s="941" t="s">
        <v>729</v>
      </c>
      <c r="Z39" s="941" t="s">
        <v>730</v>
      </c>
      <c r="AA39" s="941"/>
      <c r="AB39" s="937"/>
      <c r="AC39" s="960" t="s">
        <v>394</v>
      </c>
      <c r="AD39" s="960" t="s">
        <v>393</v>
      </c>
      <c r="AE39" s="961"/>
      <c r="AF39" s="1931" t="str">
        <f>Infrastructure!H$9</f>
        <v>Year 1</v>
      </c>
      <c r="AG39" s="1931"/>
      <c r="AH39" s="1931"/>
      <c r="AI39" s="1931"/>
      <c r="AJ39" s="1931"/>
      <c r="AK39" s="1931"/>
      <c r="AL39" s="1931"/>
      <c r="AM39" s="1931"/>
      <c r="AN39" s="1931"/>
      <c r="AO39" s="1931"/>
      <c r="AP39" s="1931"/>
      <c r="AQ39" s="1931"/>
      <c r="AR39" s="1931" t="str">
        <f>Infrastructure!I$9</f>
        <v>Year 2</v>
      </c>
      <c r="AS39" s="1931"/>
      <c r="AT39" s="1931"/>
      <c r="AU39" s="1931"/>
      <c r="AV39" s="1931"/>
      <c r="AW39" s="1931"/>
      <c r="AX39" s="1931"/>
      <c r="AY39" s="1931"/>
      <c r="AZ39" s="1931"/>
      <c r="BA39" s="1931"/>
      <c r="BB39" s="1931"/>
      <c r="BC39" s="1931"/>
      <c r="BD39" s="1931" t="str">
        <f>Infrastructure!J$9</f>
        <v>Year 3</v>
      </c>
      <c r="BE39" s="1931"/>
      <c r="BF39" s="1931"/>
      <c r="BG39" s="1931"/>
      <c r="BH39" s="1931"/>
      <c r="BI39" s="1931"/>
      <c r="BJ39" s="1931"/>
      <c r="BK39" s="1931"/>
      <c r="BL39" s="1931"/>
      <c r="BM39" s="1931"/>
      <c r="BN39" s="1931"/>
      <c r="BO39" s="1931"/>
      <c r="BP39" s="1931" t="str">
        <f>Infrastructure!K$9</f>
        <v>Year 4</v>
      </c>
      <c r="BQ39" s="1931"/>
      <c r="BR39" s="1931"/>
      <c r="BS39" s="1931"/>
      <c r="BT39" s="1931"/>
      <c r="BU39" s="1931"/>
      <c r="BV39" s="1931"/>
      <c r="BW39" s="1931"/>
      <c r="BX39" s="1931"/>
      <c r="BY39" s="1931"/>
      <c r="BZ39" s="1931"/>
      <c r="CA39" s="1931"/>
      <c r="CB39" s="1931" t="str">
        <f>Infrastructure!L$9</f>
        <v>Year 5</v>
      </c>
      <c r="CC39" s="1931"/>
      <c r="CD39" s="1931"/>
      <c r="CE39" s="1931"/>
      <c r="CF39" s="1931"/>
      <c r="CG39" s="1931"/>
      <c r="CH39" s="1931"/>
      <c r="CI39" s="1931"/>
      <c r="CJ39" s="1931"/>
      <c r="CK39" s="1931"/>
      <c r="CL39" s="1931"/>
      <c r="CM39" s="1931"/>
      <c r="CN39" s="937"/>
      <c r="CO39" s="937"/>
    </row>
    <row r="40" spans="1:93" s="918" customFormat="1" ht="12.75" customHeight="1" x14ac:dyDescent="0.3">
      <c r="A40" s="916"/>
      <c r="Q40" s="937"/>
      <c r="R40" s="937"/>
      <c r="S40" s="940"/>
      <c r="T40" s="940"/>
      <c r="U40" s="940"/>
      <c r="V40" s="942" t="s">
        <v>736</v>
      </c>
      <c r="W40" s="940"/>
      <c r="X40" s="975">
        <f>IF(AND(Y40&lt;&gt;"",AC40&lt;$Y40,Y40&lt;&gt;0,AC40&lt;&gt;0),-1,0)</f>
        <v>0</v>
      </c>
      <c r="Y40" s="1015">
        <v>1</v>
      </c>
      <c r="Z40" s="1016">
        <v>3</v>
      </c>
      <c r="AA40" s="941"/>
      <c r="AB40" s="976">
        <f>IF(AND(Z40&lt;&gt;"",AD40&gt;$Z40,Z40&lt;&gt;0),1,-1)</f>
        <v>-1</v>
      </c>
      <c r="AC40" s="969">
        <f>MIN(AF40:CB40)</f>
        <v>0</v>
      </c>
      <c r="AD40" s="969">
        <f>MAX(AF40:CB40)</f>
        <v>0</v>
      </c>
      <c r="AE40" s="961"/>
      <c r="AF40" s="1949">
        <f>'CAC  LTV'!C51</f>
        <v>0</v>
      </c>
      <c r="AG40" s="1944"/>
      <c r="AH40" s="1944"/>
      <c r="AI40" s="1944"/>
      <c r="AJ40" s="1944"/>
      <c r="AK40" s="1944"/>
      <c r="AL40" s="1944"/>
      <c r="AM40" s="1944"/>
      <c r="AN40" s="1944"/>
      <c r="AO40" s="1944"/>
      <c r="AP40" s="1944"/>
      <c r="AQ40" s="1944"/>
      <c r="AR40" s="1944">
        <f>'CAC  LTV'!D51</f>
        <v>0</v>
      </c>
      <c r="AS40" s="1944"/>
      <c r="AT40" s="1944"/>
      <c r="AU40" s="1944"/>
      <c r="AV40" s="1944"/>
      <c r="AW40" s="1944"/>
      <c r="AX40" s="1944"/>
      <c r="AY40" s="1944"/>
      <c r="AZ40" s="1944"/>
      <c r="BA40" s="1944"/>
      <c r="BB40" s="1944"/>
      <c r="BC40" s="1944"/>
      <c r="BD40" s="1944">
        <f>'CAC  LTV'!E51</f>
        <v>0</v>
      </c>
      <c r="BE40" s="1944"/>
      <c r="BF40" s="1944"/>
      <c r="BG40" s="1944"/>
      <c r="BH40" s="1944"/>
      <c r="BI40" s="1944"/>
      <c r="BJ40" s="1944"/>
      <c r="BK40" s="1944"/>
      <c r="BL40" s="1944"/>
      <c r="BM40" s="1944"/>
      <c r="BN40" s="1944"/>
      <c r="BO40" s="1944"/>
      <c r="BP40" s="1944">
        <f>'CAC  LTV'!F51</f>
        <v>0</v>
      </c>
      <c r="BQ40" s="1944"/>
      <c r="BR40" s="1944"/>
      <c r="BS40" s="1944"/>
      <c r="BT40" s="1944"/>
      <c r="BU40" s="1944"/>
      <c r="BV40" s="1944"/>
      <c r="BW40" s="1944"/>
      <c r="BX40" s="1944"/>
      <c r="BY40" s="1944"/>
      <c r="BZ40" s="1944"/>
      <c r="CA40" s="1944"/>
      <c r="CB40" s="1944">
        <f>'CAC  LTV'!G51</f>
        <v>0</v>
      </c>
      <c r="CC40" s="1944"/>
      <c r="CD40" s="1944"/>
      <c r="CE40" s="1944"/>
      <c r="CF40" s="1944"/>
      <c r="CG40" s="1944"/>
      <c r="CH40" s="1944"/>
      <c r="CI40" s="1944"/>
      <c r="CJ40" s="1944"/>
      <c r="CK40" s="1944"/>
      <c r="CL40" s="1944"/>
      <c r="CM40" s="1946"/>
      <c r="CN40" s="937"/>
      <c r="CO40" s="937"/>
    </row>
    <row r="41" spans="1:93" s="918" customFormat="1" ht="12.75" customHeight="1" x14ac:dyDescent="0.3">
      <c r="A41" s="916"/>
      <c r="Q41" s="937"/>
      <c r="R41" s="937"/>
      <c r="S41" s="940"/>
      <c r="T41" s="940"/>
      <c r="U41" s="940"/>
      <c r="V41" s="942" t="s">
        <v>704</v>
      </c>
      <c r="W41" s="940"/>
      <c r="X41" s="975">
        <f>IF(AND(Y41&lt;&gt;"",AC41&lt;$Y41,Y41&lt;&gt;0,AC41&lt;&gt;0),-1,0)</f>
        <v>0</v>
      </c>
      <c r="Y41" s="1017">
        <v>498</v>
      </c>
      <c r="Z41" s="1018">
        <v>499</v>
      </c>
      <c r="AA41" s="941"/>
      <c r="AB41" s="976">
        <f>IF(AND(Z41&lt;&gt;"",AD41&gt;$Z41,Z41&lt;&gt;0),1,-1)</f>
        <v>-1</v>
      </c>
      <c r="AC41" s="969">
        <f>MIN(AF41:CB41)</f>
        <v>0</v>
      </c>
      <c r="AD41" s="969">
        <f>MAX(AF41:CB41)</f>
        <v>0</v>
      </c>
      <c r="AE41" s="961"/>
      <c r="AF41" s="1950">
        <f>'CAC  LTV'!C55</f>
        <v>0</v>
      </c>
      <c r="AG41" s="1945"/>
      <c r="AH41" s="1945"/>
      <c r="AI41" s="1945"/>
      <c r="AJ41" s="1945"/>
      <c r="AK41" s="1945"/>
      <c r="AL41" s="1945"/>
      <c r="AM41" s="1945"/>
      <c r="AN41" s="1945"/>
      <c r="AO41" s="1945"/>
      <c r="AP41" s="1945"/>
      <c r="AQ41" s="1945"/>
      <c r="AR41" s="1945">
        <f>'CAC  LTV'!D55</f>
        <v>0</v>
      </c>
      <c r="AS41" s="1945"/>
      <c r="AT41" s="1945"/>
      <c r="AU41" s="1945"/>
      <c r="AV41" s="1945"/>
      <c r="AW41" s="1945"/>
      <c r="AX41" s="1945"/>
      <c r="AY41" s="1945"/>
      <c r="AZ41" s="1945"/>
      <c r="BA41" s="1945"/>
      <c r="BB41" s="1945"/>
      <c r="BC41" s="1945"/>
      <c r="BD41" s="1945">
        <f>'CAC  LTV'!E55</f>
        <v>0</v>
      </c>
      <c r="BE41" s="1945"/>
      <c r="BF41" s="1945"/>
      <c r="BG41" s="1945"/>
      <c r="BH41" s="1945"/>
      <c r="BI41" s="1945"/>
      <c r="BJ41" s="1945"/>
      <c r="BK41" s="1945"/>
      <c r="BL41" s="1945"/>
      <c r="BM41" s="1945"/>
      <c r="BN41" s="1945"/>
      <c r="BO41" s="1945"/>
      <c r="BP41" s="1945">
        <f>'CAC  LTV'!F55</f>
        <v>0</v>
      </c>
      <c r="BQ41" s="1945"/>
      <c r="BR41" s="1945"/>
      <c r="BS41" s="1945"/>
      <c r="BT41" s="1945"/>
      <c r="BU41" s="1945"/>
      <c r="BV41" s="1945"/>
      <c r="BW41" s="1945"/>
      <c r="BX41" s="1945"/>
      <c r="BY41" s="1945"/>
      <c r="BZ41" s="1945"/>
      <c r="CA41" s="1945"/>
      <c r="CB41" s="1945">
        <f>'CAC  LTV'!G55</f>
        <v>0</v>
      </c>
      <c r="CC41" s="1945"/>
      <c r="CD41" s="1945"/>
      <c r="CE41" s="1945"/>
      <c r="CF41" s="1945"/>
      <c r="CG41" s="1945"/>
      <c r="CH41" s="1945"/>
      <c r="CI41" s="1945"/>
      <c r="CJ41" s="1945"/>
      <c r="CK41" s="1945"/>
      <c r="CL41" s="1945"/>
      <c r="CM41" s="1947"/>
      <c r="CN41" s="937"/>
      <c r="CO41" s="937"/>
    </row>
    <row r="42" spans="1:93" s="918" customFormat="1" ht="12.75" customHeight="1" thickBot="1" x14ac:dyDescent="0.35">
      <c r="A42" s="916"/>
      <c r="Q42" s="937"/>
      <c r="R42" s="937"/>
      <c r="S42" s="940"/>
      <c r="T42" s="940"/>
      <c r="U42" s="940"/>
      <c r="V42" s="942" t="s">
        <v>737</v>
      </c>
      <c r="W42" s="940"/>
      <c r="X42" s="975">
        <f>IF(AND(Y42&lt;&gt;"",AC42&lt;$Y42,Y42&lt;&gt;0,AC42&lt;&gt;0),-1,0)</f>
        <v>0</v>
      </c>
      <c r="Y42" s="1019">
        <v>200</v>
      </c>
      <c r="Z42" s="1020">
        <v>400</v>
      </c>
      <c r="AA42" s="941"/>
      <c r="AB42" s="976">
        <f>IF(AND(Z42&lt;&gt;"",AD42&gt;$Z42,Z42&lt;&gt;0),1,-1)</f>
        <v>-1</v>
      </c>
      <c r="AC42" s="969">
        <f>MIN(AF42:CB42)</f>
        <v>0</v>
      </c>
      <c r="AD42" s="969">
        <f>MAX(AF42:CB42)</f>
        <v>0</v>
      </c>
      <c r="AE42" s="961"/>
      <c r="AF42" s="1953">
        <f>'CAC  LTV'!C57</f>
        <v>0</v>
      </c>
      <c r="AG42" s="1943"/>
      <c r="AH42" s="1943"/>
      <c r="AI42" s="1943"/>
      <c r="AJ42" s="1943"/>
      <c r="AK42" s="1943"/>
      <c r="AL42" s="1943"/>
      <c r="AM42" s="1943"/>
      <c r="AN42" s="1943"/>
      <c r="AO42" s="1943"/>
      <c r="AP42" s="1943"/>
      <c r="AQ42" s="1943"/>
      <c r="AR42" s="1943">
        <f>'CAC  LTV'!D57</f>
        <v>0</v>
      </c>
      <c r="AS42" s="1943"/>
      <c r="AT42" s="1943"/>
      <c r="AU42" s="1943"/>
      <c r="AV42" s="1943"/>
      <c r="AW42" s="1943"/>
      <c r="AX42" s="1943"/>
      <c r="AY42" s="1943"/>
      <c r="AZ42" s="1943"/>
      <c r="BA42" s="1943"/>
      <c r="BB42" s="1943"/>
      <c r="BC42" s="1943"/>
      <c r="BD42" s="1943">
        <f>'CAC  LTV'!E57</f>
        <v>0</v>
      </c>
      <c r="BE42" s="1943"/>
      <c r="BF42" s="1943"/>
      <c r="BG42" s="1943"/>
      <c r="BH42" s="1943"/>
      <c r="BI42" s="1943"/>
      <c r="BJ42" s="1943"/>
      <c r="BK42" s="1943"/>
      <c r="BL42" s="1943"/>
      <c r="BM42" s="1943"/>
      <c r="BN42" s="1943"/>
      <c r="BO42" s="1943"/>
      <c r="BP42" s="1943">
        <f>'CAC  LTV'!F57</f>
        <v>0</v>
      </c>
      <c r="BQ42" s="1943"/>
      <c r="BR42" s="1943"/>
      <c r="BS42" s="1943"/>
      <c r="BT42" s="1943"/>
      <c r="BU42" s="1943"/>
      <c r="BV42" s="1943"/>
      <c r="BW42" s="1943"/>
      <c r="BX42" s="1943"/>
      <c r="BY42" s="1943"/>
      <c r="BZ42" s="1943"/>
      <c r="CA42" s="1943"/>
      <c r="CB42" s="1943">
        <f>'CAC  LTV'!G57</f>
        <v>0</v>
      </c>
      <c r="CC42" s="1943"/>
      <c r="CD42" s="1943"/>
      <c r="CE42" s="1943"/>
      <c r="CF42" s="1943"/>
      <c r="CG42" s="1943"/>
      <c r="CH42" s="1943"/>
      <c r="CI42" s="1943"/>
      <c r="CJ42" s="1943"/>
      <c r="CK42" s="1943"/>
      <c r="CL42" s="1943"/>
      <c r="CM42" s="1948"/>
      <c r="CN42" s="937"/>
      <c r="CO42" s="937"/>
    </row>
    <row r="43" spans="1:93" s="918" customFormat="1" x14ac:dyDescent="0.3">
      <c r="A43" s="916"/>
      <c r="Q43" s="937"/>
      <c r="R43" s="937"/>
      <c r="S43" s="940"/>
      <c r="T43" s="940"/>
      <c r="U43" s="940"/>
      <c r="V43" s="942"/>
      <c r="W43" s="940"/>
      <c r="X43" s="939"/>
      <c r="Y43" s="940"/>
      <c r="Z43" s="940"/>
      <c r="AA43" s="941"/>
      <c r="AB43" s="937"/>
      <c r="AC43" s="961"/>
      <c r="AD43" s="961"/>
      <c r="AE43" s="961"/>
      <c r="AF43" s="940"/>
      <c r="AG43" s="940"/>
      <c r="AH43" s="940"/>
      <c r="AI43" s="940"/>
      <c r="AJ43" s="940"/>
      <c r="AK43" s="940"/>
      <c r="AL43" s="940"/>
      <c r="AM43" s="940"/>
      <c r="AN43" s="940"/>
      <c r="AO43" s="940"/>
      <c r="AP43" s="940"/>
      <c r="AQ43" s="940"/>
      <c r="AR43" s="940"/>
      <c r="AS43" s="940"/>
      <c r="AT43" s="940"/>
      <c r="AU43" s="940"/>
      <c r="AV43" s="940"/>
      <c r="AW43" s="940"/>
      <c r="AX43" s="940"/>
      <c r="AY43" s="940"/>
      <c r="AZ43" s="940"/>
      <c r="BA43" s="940"/>
      <c r="BB43" s="940"/>
      <c r="BC43" s="940"/>
      <c r="BD43" s="940"/>
      <c r="BE43" s="940"/>
      <c r="BF43" s="940"/>
      <c r="BG43" s="940"/>
      <c r="BH43" s="940"/>
      <c r="BI43" s="940"/>
      <c r="BJ43" s="940"/>
      <c r="BK43" s="940"/>
      <c r="BL43" s="940"/>
      <c r="BM43" s="940"/>
      <c r="BN43" s="940"/>
      <c r="BO43" s="940"/>
      <c r="BP43" s="940"/>
      <c r="BQ43" s="940"/>
      <c r="BR43" s="940"/>
      <c r="BS43" s="940"/>
      <c r="BT43" s="940"/>
      <c r="BU43" s="940"/>
      <c r="BV43" s="940"/>
      <c r="BW43" s="940"/>
      <c r="BX43" s="940"/>
      <c r="BY43" s="940"/>
      <c r="BZ43" s="940"/>
      <c r="CA43" s="940"/>
      <c r="CB43" s="940"/>
      <c r="CC43" s="940"/>
      <c r="CD43" s="940"/>
      <c r="CE43" s="940"/>
      <c r="CF43" s="940"/>
      <c r="CG43" s="940"/>
      <c r="CH43" s="940"/>
      <c r="CI43" s="940"/>
      <c r="CJ43" s="940"/>
      <c r="CK43" s="937"/>
      <c r="CL43" s="937"/>
      <c r="CM43" s="937"/>
      <c r="CN43" s="937"/>
      <c r="CO43" s="937"/>
    </row>
    <row r="44" spans="1:93" s="918" customFormat="1" ht="16" thickBot="1" x14ac:dyDescent="0.35">
      <c r="A44" s="916"/>
      <c r="Q44" s="937"/>
      <c r="R44" s="937"/>
      <c r="S44" s="940"/>
      <c r="T44" s="940"/>
      <c r="U44" s="940"/>
      <c r="V44" s="965" t="s">
        <v>176</v>
      </c>
      <c r="W44" s="940"/>
      <c r="X44" s="939"/>
      <c r="Y44" s="941" t="s">
        <v>729</v>
      </c>
      <c r="Z44" s="941" t="s">
        <v>730</v>
      </c>
      <c r="AA44" s="941"/>
      <c r="AB44" s="937"/>
      <c r="AC44" s="1023" t="s">
        <v>738</v>
      </c>
      <c r="AD44" s="961"/>
      <c r="AE44" s="961"/>
      <c r="AF44" s="940"/>
      <c r="AG44" s="940"/>
      <c r="AH44" s="940"/>
      <c r="AI44" s="940"/>
      <c r="AJ44" s="940"/>
      <c r="AK44" s="940"/>
      <c r="AL44" s="940"/>
      <c r="AM44" s="940"/>
      <c r="AN44" s="940"/>
      <c r="AO44" s="940"/>
      <c r="AP44" s="940"/>
      <c r="AQ44" s="940"/>
      <c r="AR44" s="940"/>
      <c r="AS44" s="940"/>
      <c r="AT44" s="940"/>
      <c r="AU44" s="940"/>
      <c r="AV44" s="940"/>
      <c r="AW44" s="940"/>
      <c r="AX44" s="940"/>
      <c r="AY44" s="940"/>
      <c r="AZ44" s="940"/>
      <c r="BA44" s="940"/>
      <c r="BB44" s="940"/>
      <c r="BC44" s="940"/>
      <c r="BD44" s="940"/>
      <c r="BE44" s="940"/>
      <c r="BF44" s="940"/>
      <c r="BG44" s="940"/>
      <c r="BH44" s="940"/>
      <c r="BI44" s="940"/>
      <c r="BJ44" s="940"/>
      <c r="BK44" s="940"/>
      <c r="BL44" s="940"/>
      <c r="BM44" s="940"/>
      <c r="BN44" s="940"/>
      <c r="BO44" s="940"/>
      <c r="BP44" s="940"/>
      <c r="BQ44" s="940"/>
      <c r="BR44" s="940"/>
      <c r="BS44" s="940"/>
      <c r="BT44" s="940"/>
      <c r="BU44" s="940"/>
      <c r="BV44" s="940"/>
      <c r="BW44" s="940"/>
      <c r="BX44" s="940"/>
      <c r="BY44" s="940"/>
      <c r="BZ44" s="940"/>
      <c r="CA44" s="940"/>
      <c r="CB44" s="940"/>
      <c r="CC44" s="940"/>
      <c r="CD44" s="940"/>
      <c r="CE44" s="940"/>
      <c r="CF44" s="940"/>
      <c r="CG44" s="940"/>
      <c r="CH44" s="940"/>
      <c r="CI44" s="940"/>
      <c r="CJ44" s="940"/>
      <c r="CK44" s="937"/>
      <c r="CL44" s="937"/>
      <c r="CM44" s="937"/>
      <c r="CN44" s="937"/>
      <c r="CO44" s="937"/>
    </row>
    <row r="45" spans="1:93" s="918" customFormat="1" ht="13.5" thickBot="1" x14ac:dyDescent="0.35">
      <c r="A45" s="916"/>
      <c r="Q45" s="937"/>
      <c r="R45" s="937"/>
      <c r="S45" s="940"/>
      <c r="T45" s="940"/>
      <c r="U45" s="940"/>
      <c r="V45" s="942" t="s">
        <v>738</v>
      </c>
      <c r="W45" s="940"/>
      <c r="X45" s="975">
        <f>IF(AND(Y45&lt;&gt;"",AC45&lt;$Y45,Y45&lt;&gt;0),-1,0)</f>
        <v>-1</v>
      </c>
      <c r="Y45" s="1021">
        <v>0.5</v>
      </c>
      <c r="Z45" s="1022">
        <v>3</v>
      </c>
      <c r="AA45" s="941"/>
      <c r="AB45" s="976">
        <f>IF(AND(Z45&lt;&gt;"",AD45&gt;$Z45,Z45&lt;&gt;0),1,-1)</f>
        <v>-1</v>
      </c>
      <c r="AC45" s="966">
        <f>IFERROR(Calcs!Y931,"")</f>
        <v>0</v>
      </c>
      <c r="AD45" s="961"/>
      <c r="AE45" s="961"/>
      <c r="AF45" s="940"/>
      <c r="AG45" s="940"/>
      <c r="AH45" s="940"/>
      <c r="AI45" s="940"/>
      <c r="AJ45" s="940"/>
      <c r="AK45" s="940"/>
      <c r="AL45" s="940"/>
      <c r="AM45" s="940"/>
      <c r="AN45" s="940"/>
      <c r="AO45" s="940"/>
      <c r="AP45" s="940"/>
      <c r="AQ45" s="940"/>
      <c r="AR45" s="940"/>
      <c r="AS45" s="940"/>
      <c r="AT45" s="940"/>
      <c r="AU45" s="940"/>
      <c r="AV45" s="940"/>
      <c r="AW45" s="940"/>
      <c r="AX45" s="940"/>
      <c r="AY45" s="940"/>
      <c r="AZ45" s="940"/>
      <c r="BA45" s="940"/>
      <c r="BB45" s="940"/>
      <c r="BC45" s="940"/>
      <c r="BD45" s="940"/>
      <c r="BE45" s="940"/>
      <c r="BF45" s="940"/>
      <c r="BG45" s="940"/>
      <c r="BH45" s="940"/>
      <c r="BI45" s="940"/>
      <c r="BJ45" s="940"/>
      <c r="BK45" s="940"/>
      <c r="BL45" s="940"/>
      <c r="BM45" s="940"/>
      <c r="BN45" s="940"/>
      <c r="BO45" s="940"/>
      <c r="BP45" s="940"/>
      <c r="BQ45" s="940"/>
      <c r="BR45" s="940"/>
      <c r="BS45" s="940"/>
      <c r="BT45" s="940"/>
      <c r="BU45" s="940"/>
      <c r="BV45" s="940"/>
      <c r="BW45" s="940"/>
      <c r="BX45" s="940"/>
      <c r="BY45" s="940"/>
      <c r="BZ45" s="940"/>
      <c r="CA45" s="940"/>
      <c r="CB45" s="940"/>
      <c r="CC45" s="940"/>
      <c r="CD45" s="940"/>
      <c r="CE45" s="940"/>
      <c r="CF45" s="940"/>
      <c r="CG45" s="940"/>
      <c r="CH45" s="940"/>
      <c r="CI45" s="940"/>
      <c r="CJ45" s="940"/>
      <c r="CK45" s="937"/>
      <c r="CL45" s="937"/>
      <c r="CM45" s="937"/>
      <c r="CN45" s="937"/>
      <c r="CO45" s="937"/>
    </row>
    <row r="46" spans="1:93" s="918" customFormat="1" x14ac:dyDescent="0.35">
      <c r="A46" s="916"/>
      <c r="Q46" s="937"/>
      <c r="R46" s="937"/>
      <c r="S46" s="940"/>
      <c r="T46" s="940"/>
      <c r="U46" s="940"/>
      <c r="V46" s="937"/>
      <c r="W46" s="937"/>
      <c r="X46" s="937"/>
      <c r="Y46" s="937"/>
      <c r="Z46" s="937"/>
      <c r="AA46" s="941"/>
      <c r="AB46" s="937"/>
      <c r="AC46" s="937"/>
      <c r="AD46" s="937"/>
      <c r="AE46" s="937"/>
      <c r="AF46" s="937"/>
      <c r="AG46" s="937"/>
      <c r="AH46" s="937"/>
      <c r="AI46" s="937"/>
      <c r="AJ46" s="937"/>
      <c r="AK46" s="937"/>
      <c r="AL46" s="937"/>
      <c r="AM46" s="937"/>
      <c r="AN46" s="937"/>
      <c r="AO46" s="937"/>
      <c r="AP46" s="937"/>
      <c r="AQ46" s="937"/>
      <c r="AR46" s="937"/>
      <c r="AS46" s="937"/>
      <c r="AT46" s="937"/>
      <c r="AU46" s="937"/>
      <c r="AV46" s="937"/>
      <c r="AW46" s="937"/>
      <c r="AX46" s="937"/>
      <c r="AY46" s="937"/>
      <c r="AZ46" s="937"/>
      <c r="BA46" s="937"/>
      <c r="BB46" s="937"/>
      <c r="BC46" s="937"/>
      <c r="BD46" s="937"/>
      <c r="BE46" s="937"/>
      <c r="BF46" s="937"/>
      <c r="BG46" s="937"/>
      <c r="BH46" s="937"/>
      <c r="BI46" s="937"/>
      <c r="BJ46" s="937"/>
      <c r="BK46" s="937"/>
      <c r="BL46" s="937"/>
      <c r="BM46" s="937"/>
      <c r="BN46" s="937"/>
      <c r="BO46" s="937"/>
      <c r="BP46" s="937"/>
      <c r="BQ46" s="937"/>
      <c r="BR46" s="937"/>
      <c r="BS46" s="937"/>
      <c r="BT46" s="937"/>
      <c r="BU46" s="937"/>
      <c r="BV46" s="937"/>
      <c r="BW46" s="937"/>
      <c r="BX46" s="937"/>
      <c r="BY46" s="937"/>
      <c r="BZ46" s="937"/>
      <c r="CA46" s="937"/>
      <c r="CB46" s="937"/>
      <c r="CC46" s="937"/>
      <c r="CD46" s="937"/>
      <c r="CE46" s="937"/>
      <c r="CF46" s="937"/>
      <c r="CG46" s="937"/>
      <c r="CH46" s="937"/>
      <c r="CI46" s="937"/>
      <c r="CJ46" s="937"/>
      <c r="CK46" s="937"/>
      <c r="CL46" s="937"/>
      <c r="CM46" s="937"/>
      <c r="CN46" s="937"/>
      <c r="CO46" s="937"/>
    </row>
    <row r="47" spans="1:93" s="918" customFormat="1" x14ac:dyDescent="0.35">
      <c r="A47" s="916"/>
      <c r="Q47" s="937"/>
      <c r="R47" s="937"/>
      <c r="S47" s="940"/>
      <c r="T47" s="940"/>
      <c r="U47" s="940"/>
      <c r="V47" s="937"/>
      <c r="W47" s="937"/>
      <c r="X47" s="937"/>
      <c r="Y47" s="937"/>
      <c r="Z47" s="937"/>
      <c r="AA47" s="937"/>
      <c r="AB47" s="937"/>
      <c r="AC47" s="937"/>
      <c r="AD47" s="937"/>
      <c r="AE47" s="937"/>
      <c r="AF47" s="937"/>
      <c r="AG47" s="937"/>
      <c r="AH47" s="937"/>
      <c r="AI47" s="937"/>
      <c r="AJ47" s="937"/>
      <c r="AK47" s="937"/>
      <c r="AL47" s="937"/>
      <c r="AM47" s="937"/>
      <c r="AN47" s="937"/>
      <c r="AO47" s="937"/>
      <c r="AP47" s="937"/>
      <c r="AQ47" s="937"/>
      <c r="AR47" s="937"/>
      <c r="AS47" s="937"/>
      <c r="AT47" s="937"/>
      <c r="AU47" s="937"/>
      <c r="AV47" s="937"/>
      <c r="AW47" s="937"/>
      <c r="AX47" s="937"/>
      <c r="AY47" s="937"/>
      <c r="AZ47" s="937"/>
      <c r="BA47" s="937"/>
      <c r="BB47" s="937"/>
      <c r="BC47" s="937"/>
      <c r="BD47" s="937"/>
      <c r="BE47" s="937"/>
      <c r="BF47" s="937"/>
      <c r="BG47" s="937"/>
      <c r="BH47" s="937"/>
      <c r="BI47" s="937"/>
      <c r="BJ47" s="937"/>
      <c r="BK47" s="937"/>
      <c r="BL47" s="937"/>
      <c r="BM47" s="937"/>
      <c r="BN47" s="937"/>
      <c r="BO47" s="937"/>
      <c r="BP47" s="937"/>
      <c r="BQ47" s="937"/>
      <c r="BR47" s="937"/>
      <c r="BS47" s="937"/>
      <c r="BT47" s="937"/>
      <c r="BU47" s="937"/>
      <c r="BV47" s="937"/>
      <c r="BW47" s="937"/>
      <c r="BX47" s="937"/>
      <c r="BY47" s="937"/>
      <c r="BZ47" s="937"/>
      <c r="CA47" s="937"/>
      <c r="CB47" s="937"/>
      <c r="CC47" s="937"/>
      <c r="CD47" s="937"/>
      <c r="CE47" s="937"/>
      <c r="CF47" s="937"/>
      <c r="CG47" s="937"/>
      <c r="CH47" s="937"/>
      <c r="CI47" s="937"/>
      <c r="CJ47" s="937"/>
      <c r="CK47" s="937"/>
      <c r="CL47" s="937"/>
      <c r="CM47" s="937"/>
      <c r="CN47" s="937"/>
      <c r="CO47" s="937"/>
    </row>
    <row r="48" spans="1:93" s="918" customFormat="1" x14ac:dyDescent="0.35">
      <c r="A48" s="916"/>
      <c r="Q48" s="937"/>
      <c r="R48" s="937"/>
      <c r="S48" s="940"/>
      <c r="T48" s="940"/>
      <c r="U48" s="940"/>
      <c r="V48" s="937"/>
      <c r="W48" s="937"/>
      <c r="X48" s="937"/>
      <c r="Y48" s="937"/>
      <c r="Z48" s="937"/>
      <c r="AA48" s="937"/>
      <c r="AB48" s="937"/>
      <c r="AC48" s="937"/>
      <c r="AD48" s="937"/>
      <c r="AE48" s="937"/>
      <c r="AF48" s="937"/>
      <c r="AG48" s="937"/>
      <c r="AH48" s="937"/>
      <c r="AI48" s="937"/>
      <c r="AJ48" s="937"/>
      <c r="AK48" s="937"/>
      <c r="AL48" s="937"/>
      <c r="AM48" s="937"/>
      <c r="AN48" s="937"/>
      <c r="AO48" s="937"/>
      <c r="AP48" s="937"/>
      <c r="AQ48" s="937"/>
      <c r="AR48" s="937"/>
      <c r="AS48" s="937"/>
      <c r="AT48" s="937"/>
      <c r="AU48" s="937"/>
      <c r="AV48" s="937"/>
      <c r="AW48" s="937"/>
      <c r="AX48" s="937"/>
      <c r="AY48" s="937"/>
      <c r="AZ48" s="937"/>
      <c r="BA48" s="937"/>
      <c r="BB48" s="937"/>
      <c r="BC48" s="937"/>
      <c r="BD48" s="937"/>
      <c r="BE48" s="937"/>
      <c r="BF48" s="937"/>
      <c r="BG48" s="937"/>
      <c r="BH48" s="937"/>
      <c r="BI48" s="937"/>
      <c r="BJ48" s="937"/>
      <c r="BK48" s="937"/>
      <c r="BL48" s="937"/>
      <c r="BM48" s="937"/>
      <c r="BN48" s="937"/>
      <c r="BO48" s="937"/>
      <c r="BP48" s="937"/>
      <c r="BQ48" s="937"/>
      <c r="BR48" s="937"/>
      <c r="BS48" s="937"/>
      <c r="BT48" s="937"/>
      <c r="BU48" s="937"/>
      <c r="BV48" s="937"/>
      <c r="BW48" s="937"/>
      <c r="BX48" s="937"/>
      <c r="BY48" s="937"/>
      <c r="BZ48" s="937"/>
      <c r="CA48" s="937"/>
      <c r="CB48" s="937"/>
      <c r="CC48" s="937"/>
      <c r="CD48" s="937"/>
      <c r="CE48" s="937"/>
      <c r="CF48" s="937"/>
      <c r="CG48" s="937"/>
      <c r="CH48" s="937"/>
      <c r="CI48" s="937"/>
      <c r="CJ48" s="937"/>
      <c r="CK48" s="937"/>
      <c r="CL48" s="937"/>
      <c r="CM48" s="937"/>
      <c r="CN48" s="937"/>
      <c r="CO48" s="937"/>
    </row>
    <row r="49" spans="1:93" s="918" customFormat="1" x14ac:dyDescent="0.35">
      <c r="A49" s="916"/>
      <c r="Q49" s="937"/>
      <c r="R49" s="937"/>
      <c r="S49" s="940"/>
      <c r="T49" s="940"/>
      <c r="U49" s="940"/>
      <c r="V49" s="937"/>
      <c r="W49" s="937"/>
      <c r="X49" s="937"/>
      <c r="Y49" s="937"/>
      <c r="Z49" s="937"/>
      <c r="AA49" s="937"/>
      <c r="AB49" s="937"/>
      <c r="AC49" s="937"/>
      <c r="AD49" s="937"/>
      <c r="AE49" s="937"/>
      <c r="AF49" s="937"/>
      <c r="AG49" s="937"/>
      <c r="AH49" s="937"/>
      <c r="AI49" s="937"/>
      <c r="AJ49" s="937"/>
      <c r="AK49" s="937"/>
      <c r="AL49" s="937"/>
      <c r="AM49" s="937"/>
      <c r="AN49" s="937"/>
      <c r="AO49" s="937"/>
      <c r="AP49" s="937"/>
      <c r="AQ49" s="937"/>
      <c r="AR49" s="937"/>
      <c r="AS49" s="937"/>
      <c r="AT49" s="937"/>
      <c r="AU49" s="937"/>
      <c r="AV49" s="937"/>
      <c r="AW49" s="937"/>
      <c r="AX49" s="937"/>
      <c r="AY49" s="937"/>
      <c r="AZ49" s="937"/>
      <c r="BA49" s="937"/>
      <c r="BB49" s="937"/>
      <c r="BC49" s="937"/>
      <c r="BD49" s="937"/>
      <c r="BE49" s="937"/>
      <c r="BF49" s="937"/>
      <c r="BG49" s="937"/>
      <c r="BH49" s="937"/>
      <c r="BI49" s="937"/>
      <c r="BJ49" s="937"/>
      <c r="BK49" s="937"/>
      <c r="BL49" s="937"/>
      <c r="BM49" s="937"/>
      <c r="BN49" s="937"/>
      <c r="BO49" s="937"/>
      <c r="BP49" s="937"/>
      <c r="BQ49" s="937"/>
      <c r="BR49" s="937"/>
      <c r="BS49" s="937"/>
      <c r="BT49" s="937"/>
      <c r="BU49" s="937"/>
      <c r="BV49" s="937"/>
      <c r="BW49" s="937"/>
      <c r="BX49" s="937"/>
      <c r="BY49" s="937"/>
      <c r="BZ49" s="937"/>
      <c r="CA49" s="937"/>
      <c r="CB49" s="937"/>
      <c r="CC49" s="937"/>
      <c r="CD49" s="937"/>
      <c r="CE49" s="937"/>
      <c r="CF49" s="937"/>
      <c r="CG49" s="937"/>
      <c r="CH49" s="937"/>
      <c r="CI49" s="937"/>
      <c r="CJ49" s="937"/>
      <c r="CK49" s="937"/>
      <c r="CL49" s="937"/>
      <c r="CM49" s="937"/>
      <c r="CN49" s="937"/>
      <c r="CO49" s="937"/>
    </row>
    <row r="50" spans="1:93" s="918" customFormat="1" x14ac:dyDescent="0.35">
      <c r="A50" s="916"/>
      <c r="Q50" s="937"/>
      <c r="R50" s="937"/>
      <c r="S50" s="940"/>
      <c r="T50" s="940"/>
      <c r="U50" s="940"/>
      <c r="W50" s="937"/>
      <c r="X50" s="937"/>
      <c r="Y50" s="937"/>
      <c r="Z50" s="937"/>
      <c r="AA50" s="937"/>
      <c r="AB50" s="937"/>
      <c r="AC50" s="937"/>
      <c r="AD50" s="937"/>
      <c r="AE50" s="961"/>
      <c r="AF50" s="937"/>
      <c r="AG50" s="937"/>
      <c r="AH50" s="937"/>
      <c r="AI50" s="937"/>
      <c r="AJ50" s="937"/>
      <c r="AK50" s="937"/>
      <c r="AL50" s="937"/>
      <c r="AM50" s="937"/>
      <c r="AN50" s="937"/>
      <c r="AO50" s="937"/>
      <c r="AP50" s="937"/>
      <c r="AQ50" s="937"/>
      <c r="AR50" s="937"/>
      <c r="AS50" s="937"/>
      <c r="AT50" s="937"/>
      <c r="AU50" s="937"/>
      <c r="AV50" s="937"/>
      <c r="AW50" s="937"/>
      <c r="AX50" s="937"/>
      <c r="AY50" s="937"/>
      <c r="AZ50" s="937"/>
      <c r="BA50" s="937"/>
      <c r="BB50" s="937"/>
      <c r="BC50" s="937"/>
      <c r="BD50" s="937"/>
      <c r="BE50" s="937"/>
      <c r="BF50" s="937"/>
      <c r="BG50" s="937"/>
      <c r="BH50" s="937"/>
      <c r="BI50" s="937"/>
      <c r="BJ50" s="937"/>
      <c r="BK50" s="937"/>
      <c r="BL50" s="937"/>
      <c r="BM50" s="937"/>
      <c r="BN50" s="937"/>
      <c r="BO50" s="937"/>
      <c r="BP50" s="937"/>
      <c r="BQ50" s="937"/>
      <c r="BR50" s="937"/>
      <c r="BS50" s="937"/>
      <c r="BT50" s="937"/>
      <c r="BU50" s="937"/>
      <c r="BV50" s="937"/>
      <c r="BW50" s="937"/>
      <c r="BX50" s="937"/>
      <c r="BY50" s="937"/>
      <c r="BZ50" s="937"/>
      <c r="CA50" s="937"/>
      <c r="CB50" s="937"/>
      <c r="CC50" s="937"/>
      <c r="CD50" s="937"/>
      <c r="CE50" s="937"/>
      <c r="CF50" s="937"/>
      <c r="CG50" s="937"/>
      <c r="CH50" s="937"/>
      <c r="CI50" s="937"/>
      <c r="CJ50" s="937"/>
      <c r="CK50" s="937"/>
      <c r="CL50" s="937"/>
      <c r="CM50" s="937"/>
      <c r="CN50" s="937"/>
      <c r="CO50" s="937"/>
    </row>
    <row r="51" spans="1:93" s="918" customFormat="1" x14ac:dyDescent="0.35">
      <c r="A51" s="916"/>
      <c r="Q51" s="937"/>
      <c r="R51" s="937"/>
      <c r="S51" s="940"/>
      <c r="T51" s="940"/>
      <c r="U51" s="1325"/>
      <c r="W51" s="1826"/>
      <c r="X51" s="1826"/>
      <c r="Y51" s="1826"/>
      <c r="Z51" s="1826"/>
      <c r="AA51" s="1826"/>
      <c r="AB51" s="1826"/>
      <c r="AC51" s="1826"/>
      <c r="AD51" s="1326"/>
      <c r="AE51" s="1326"/>
      <c r="AF51" s="1325"/>
      <c r="AG51" s="1325"/>
      <c r="AH51" s="1325"/>
      <c r="AI51" s="1325"/>
      <c r="AJ51" s="1325"/>
      <c r="AK51" s="1325"/>
      <c r="AL51" s="1325"/>
      <c r="AM51" s="1325"/>
      <c r="AN51" s="1325"/>
      <c r="AO51" s="1325"/>
      <c r="AP51" s="1325"/>
      <c r="AQ51" s="1325"/>
      <c r="AR51" s="1325"/>
      <c r="AS51" s="1325"/>
      <c r="AT51" s="1325"/>
      <c r="AU51" s="1325"/>
      <c r="AV51" s="1325"/>
      <c r="AW51" s="1325"/>
      <c r="AX51" s="1325"/>
      <c r="AY51" s="1325"/>
      <c r="AZ51" s="1325"/>
      <c r="BA51" s="1325"/>
      <c r="BB51" s="1325"/>
      <c r="BC51" s="1325"/>
      <c r="BD51" s="1325"/>
      <c r="BE51" s="1325"/>
      <c r="BF51" s="1325"/>
      <c r="BG51" s="1325"/>
      <c r="BH51" s="1325"/>
      <c r="BI51" s="1325"/>
      <c r="BJ51" s="1325"/>
      <c r="BK51" s="1325"/>
      <c r="BL51" s="1325"/>
      <c r="BM51" s="1325"/>
      <c r="BN51" s="1325"/>
      <c r="BO51" s="1325"/>
      <c r="BP51" s="1325"/>
      <c r="BQ51" s="1325"/>
      <c r="BR51" s="1325"/>
      <c r="BS51" s="1325"/>
      <c r="BT51" s="1325"/>
      <c r="BU51" s="1325"/>
      <c r="BV51" s="1325"/>
      <c r="BW51" s="1325"/>
      <c r="BX51" s="1325"/>
      <c r="BY51" s="1325"/>
      <c r="BZ51" s="1325"/>
      <c r="CA51" s="1325"/>
      <c r="CB51" s="1325"/>
      <c r="CC51" s="1325"/>
      <c r="CD51" s="1325"/>
      <c r="CE51" s="1325"/>
      <c r="CF51" s="1325"/>
      <c r="CG51" s="1325"/>
      <c r="CH51" s="1325"/>
      <c r="CI51" s="1325"/>
      <c r="CJ51" s="1325"/>
      <c r="CK51" s="1826"/>
      <c r="CL51" s="1826"/>
      <c r="CM51" s="1826"/>
      <c r="CN51" s="1826"/>
      <c r="CO51" s="1826"/>
    </row>
    <row r="52" spans="1:93" s="918" customFormat="1" x14ac:dyDescent="0.35">
      <c r="A52" s="916"/>
      <c r="Q52" s="937"/>
      <c r="R52" s="937"/>
      <c r="S52" s="940"/>
      <c r="T52" s="940"/>
      <c r="U52" s="1325"/>
      <c r="V52" s="1826"/>
      <c r="W52" s="1826"/>
      <c r="X52" s="1826"/>
      <c r="Y52" s="1826"/>
      <c r="Z52" s="1826"/>
      <c r="AA52" s="1826"/>
      <c r="AB52" s="1826"/>
      <c r="AC52" s="1826"/>
      <c r="AD52" s="1326"/>
      <c r="AE52" s="1326"/>
      <c r="AF52" s="1325"/>
      <c r="AG52" s="1325"/>
      <c r="AH52" s="1325"/>
      <c r="AI52" s="1325"/>
      <c r="AJ52" s="1325"/>
      <c r="AK52" s="1325"/>
      <c r="AL52" s="1325"/>
      <c r="AM52" s="1325"/>
      <c r="AN52" s="1325"/>
      <c r="AO52" s="1325"/>
      <c r="AP52" s="1325"/>
      <c r="AQ52" s="1325"/>
      <c r="AR52" s="1325"/>
      <c r="AS52" s="1325"/>
      <c r="AT52" s="1325"/>
      <c r="AU52" s="1325"/>
      <c r="AV52" s="1325"/>
      <c r="AW52" s="1325"/>
      <c r="AX52" s="1325"/>
      <c r="AY52" s="1325"/>
      <c r="AZ52" s="1325"/>
      <c r="BA52" s="1325"/>
      <c r="BB52" s="1325"/>
      <c r="BC52" s="1325"/>
      <c r="BD52" s="1325"/>
      <c r="BE52" s="1325"/>
      <c r="BF52" s="1325"/>
      <c r="BG52" s="1325"/>
      <c r="BH52" s="1325"/>
      <c r="BI52" s="1325"/>
      <c r="BJ52" s="1325"/>
      <c r="BK52" s="1325"/>
      <c r="BL52" s="1325"/>
      <c r="BM52" s="1325"/>
      <c r="BN52" s="1325"/>
      <c r="BO52" s="1325"/>
      <c r="BP52" s="1325"/>
      <c r="BQ52" s="1325"/>
      <c r="BR52" s="1325"/>
      <c r="BS52" s="1325"/>
      <c r="BT52" s="1325"/>
      <c r="BU52" s="1325"/>
      <c r="BV52" s="1325"/>
      <c r="BW52" s="1325"/>
      <c r="BX52" s="1325"/>
      <c r="BY52" s="1325"/>
      <c r="BZ52" s="1325"/>
      <c r="CA52" s="1325"/>
      <c r="CB52" s="1325"/>
      <c r="CC52" s="1325"/>
      <c r="CD52" s="1325"/>
      <c r="CE52" s="1325"/>
      <c r="CF52" s="1325"/>
      <c r="CG52" s="1325"/>
      <c r="CH52" s="1325"/>
      <c r="CI52" s="1325"/>
      <c r="CJ52" s="1325"/>
      <c r="CK52" s="1826"/>
      <c r="CL52" s="1826"/>
      <c r="CM52" s="1826"/>
      <c r="CN52" s="1826"/>
      <c r="CO52" s="1826"/>
    </row>
    <row r="53" spans="1:93" s="918" customFormat="1" x14ac:dyDescent="0.35">
      <c r="A53" s="916"/>
      <c r="Q53" s="937"/>
      <c r="R53" s="937"/>
      <c r="S53" s="940"/>
      <c r="T53" s="940"/>
      <c r="U53" s="1325"/>
      <c r="V53" s="1327">
        <v>5000000</v>
      </c>
      <c r="W53" s="1826"/>
      <c r="X53" s="1826"/>
      <c r="Y53" s="1826"/>
      <c r="Z53" s="1826"/>
      <c r="AA53" s="1826"/>
      <c r="AB53" s="1826"/>
      <c r="AC53" s="1826"/>
      <c r="AD53" s="1326"/>
      <c r="AE53" s="1326"/>
      <c r="AF53" s="1325"/>
      <c r="AG53" s="1325"/>
      <c r="AH53" s="1325"/>
      <c r="AI53" s="1325"/>
      <c r="AJ53" s="1325"/>
      <c r="AK53" s="1325"/>
      <c r="AL53" s="1325"/>
      <c r="AM53" s="1325"/>
      <c r="AN53" s="1325"/>
      <c r="AO53" s="1325"/>
      <c r="AP53" s="1325"/>
      <c r="AQ53" s="1325"/>
      <c r="AR53" s="1325"/>
      <c r="AS53" s="1325"/>
      <c r="AT53" s="1325"/>
      <c r="AU53" s="1325"/>
      <c r="AV53" s="1325"/>
      <c r="AW53" s="1325"/>
      <c r="AX53" s="1325"/>
      <c r="AY53" s="1325"/>
      <c r="AZ53" s="1325"/>
      <c r="BA53" s="1325"/>
      <c r="BB53" s="1325"/>
      <c r="BC53" s="1325"/>
      <c r="BD53" s="1325"/>
      <c r="BE53" s="1325"/>
      <c r="BF53" s="1325"/>
      <c r="BG53" s="1325"/>
      <c r="BH53" s="1325"/>
      <c r="BI53" s="1325"/>
      <c r="BJ53" s="1325"/>
      <c r="BK53" s="1325"/>
      <c r="BL53" s="1325"/>
      <c r="BM53" s="1325"/>
      <c r="BN53" s="1325"/>
      <c r="BO53" s="1325"/>
      <c r="BP53" s="1325"/>
      <c r="BQ53" s="1325"/>
      <c r="BR53" s="1325"/>
      <c r="BS53" s="1325"/>
      <c r="BT53" s="1325"/>
      <c r="BU53" s="1325"/>
      <c r="BV53" s="1325"/>
      <c r="BW53" s="1325"/>
      <c r="BX53" s="1325"/>
      <c r="BY53" s="1325"/>
      <c r="BZ53" s="1325"/>
      <c r="CA53" s="1325"/>
      <c r="CB53" s="1325"/>
      <c r="CC53" s="1325"/>
      <c r="CD53" s="1325"/>
      <c r="CE53" s="1325"/>
      <c r="CF53" s="1325"/>
      <c r="CG53" s="1325"/>
      <c r="CH53" s="1325"/>
      <c r="CI53" s="1325"/>
      <c r="CJ53" s="1325"/>
      <c r="CK53" s="1826"/>
      <c r="CL53" s="1826"/>
      <c r="CM53" s="1826"/>
      <c r="CN53" s="1826"/>
      <c r="CO53" s="1826"/>
    </row>
    <row r="54" spans="1:93" s="918" customFormat="1" x14ac:dyDescent="0.35">
      <c r="A54" s="916"/>
      <c r="Q54" s="937"/>
      <c r="R54" s="937"/>
      <c r="S54" s="940"/>
      <c r="T54" s="940"/>
      <c r="U54" s="1325"/>
      <c r="V54" s="1827">
        <v>0.1</v>
      </c>
      <c r="W54" s="1826"/>
      <c r="X54" s="1826"/>
      <c r="Y54" s="1826"/>
      <c r="Z54" s="1826"/>
      <c r="AA54" s="1826"/>
      <c r="AB54" s="1826"/>
      <c r="AC54" s="1826"/>
      <c r="AD54" s="1326"/>
      <c r="AE54" s="1326"/>
      <c r="AF54" s="1325"/>
      <c r="AG54" s="1325"/>
      <c r="AH54" s="1325"/>
      <c r="AI54" s="1325"/>
      <c r="AJ54" s="1325"/>
      <c r="AK54" s="1325"/>
      <c r="AL54" s="1325"/>
      <c r="AM54" s="1325"/>
      <c r="AN54" s="1325"/>
      <c r="AO54" s="1325"/>
      <c r="AP54" s="1325"/>
      <c r="AQ54" s="1325"/>
      <c r="AR54" s="1325"/>
      <c r="AS54" s="1325"/>
      <c r="AT54" s="1325"/>
      <c r="AU54" s="1325"/>
      <c r="AV54" s="1325"/>
      <c r="AW54" s="1325"/>
      <c r="AX54" s="1325"/>
      <c r="AY54" s="1325"/>
      <c r="AZ54" s="1325"/>
      <c r="BA54" s="1325"/>
      <c r="BB54" s="1325"/>
      <c r="BC54" s="1325"/>
      <c r="BD54" s="1325"/>
      <c r="BE54" s="1325"/>
      <c r="BF54" s="1325"/>
      <c r="BG54" s="1325"/>
      <c r="BH54" s="1325"/>
      <c r="BI54" s="1325"/>
      <c r="BJ54" s="1325"/>
      <c r="BK54" s="1325"/>
      <c r="BL54" s="1325"/>
      <c r="BM54" s="1325"/>
      <c r="BN54" s="1325"/>
      <c r="BO54" s="1325"/>
      <c r="BP54" s="1325"/>
      <c r="BQ54" s="1325"/>
      <c r="BR54" s="1325"/>
      <c r="BS54" s="1325"/>
      <c r="BT54" s="1325"/>
      <c r="BU54" s="1325"/>
      <c r="BV54" s="1325"/>
      <c r="BW54" s="1325"/>
      <c r="BX54" s="1325"/>
      <c r="BY54" s="1325"/>
      <c r="BZ54" s="1325"/>
      <c r="CA54" s="1325"/>
      <c r="CB54" s="1325"/>
      <c r="CC54" s="1325"/>
      <c r="CD54" s="1325"/>
      <c r="CE54" s="1325"/>
      <c r="CF54" s="1325"/>
      <c r="CG54" s="1325"/>
      <c r="CH54" s="1325"/>
      <c r="CI54" s="1325"/>
      <c r="CJ54" s="1325"/>
      <c r="CK54" s="1826"/>
      <c r="CL54" s="1826"/>
      <c r="CM54" s="1826"/>
      <c r="CN54" s="1826"/>
      <c r="CO54" s="1826"/>
    </row>
    <row r="55" spans="1:93" s="918" customFormat="1" x14ac:dyDescent="0.35">
      <c r="A55" s="916"/>
      <c r="Q55" s="937"/>
      <c r="R55" s="937"/>
      <c r="S55" s="940"/>
      <c r="T55" s="940"/>
      <c r="U55" s="1325"/>
      <c r="V55" s="1328">
        <f>V53/V54-V53</f>
        <v>45000000</v>
      </c>
      <c r="W55" s="1325"/>
      <c r="X55" s="1325"/>
      <c r="Y55" s="1325"/>
      <c r="Z55" s="1325"/>
      <c r="AA55" s="1325"/>
      <c r="AB55" s="1325"/>
      <c r="AC55" s="1327">
        <f>Input!G279</f>
        <v>0</v>
      </c>
      <c r="AD55" s="1326"/>
      <c r="AE55" s="1326"/>
      <c r="AF55" s="1325"/>
      <c r="AG55" s="1325"/>
      <c r="AH55" s="1325"/>
      <c r="AI55" s="1325"/>
      <c r="AJ55" s="1325"/>
      <c r="AK55" s="1325"/>
      <c r="AL55" s="1325"/>
      <c r="AM55" s="1325"/>
      <c r="AN55" s="1325"/>
      <c r="AO55" s="1325"/>
      <c r="AP55" s="1325"/>
      <c r="AQ55" s="1325"/>
      <c r="AR55" s="1325"/>
      <c r="AS55" s="1325"/>
      <c r="AT55" s="1325"/>
      <c r="AU55" s="1325"/>
      <c r="AV55" s="1325"/>
      <c r="AW55" s="1325"/>
      <c r="AX55" s="1325"/>
      <c r="AY55" s="1325"/>
      <c r="AZ55" s="1325"/>
      <c r="BA55" s="1325"/>
      <c r="BB55" s="1325"/>
      <c r="BC55" s="1325"/>
      <c r="BD55" s="1325"/>
      <c r="BE55" s="1325"/>
      <c r="BF55" s="1325"/>
      <c r="BG55" s="1325"/>
      <c r="BH55" s="1325"/>
      <c r="BI55" s="1325"/>
      <c r="BJ55" s="1325"/>
      <c r="BK55" s="1325"/>
      <c r="BL55" s="1325"/>
      <c r="BM55" s="1325"/>
      <c r="BN55" s="1325"/>
      <c r="BO55" s="1325"/>
      <c r="BP55" s="1325"/>
      <c r="BQ55" s="1325"/>
      <c r="BR55" s="1325"/>
      <c r="BS55" s="1325"/>
      <c r="BT55" s="1325"/>
      <c r="BU55" s="1325"/>
      <c r="BV55" s="1325"/>
      <c r="BW55" s="1325"/>
      <c r="BX55" s="1325"/>
      <c r="BY55" s="1325"/>
      <c r="BZ55" s="1325"/>
      <c r="CA55" s="1325"/>
      <c r="CB55" s="1325"/>
      <c r="CC55" s="1325"/>
      <c r="CD55" s="1325"/>
      <c r="CE55" s="1325"/>
      <c r="CF55" s="1325"/>
      <c r="CG55" s="1325"/>
      <c r="CH55" s="1325"/>
      <c r="CI55" s="1325"/>
      <c r="CJ55" s="1325"/>
      <c r="CK55" s="1826"/>
      <c r="CL55" s="1826"/>
      <c r="CM55" s="1826"/>
      <c r="CN55" s="1826"/>
      <c r="CO55" s="1826"/>
    </row>
    <row r="56" spans="1:93" s="918" customFormat="1" x14ac:dyDescent="0.35">
      <c r="A56" s="916"/>
      <c r="Q56" s="937"/>
      <c r="R56" s="937"/>
      <c r="S56" s="940"/>
      <c r="T56" s="940"/>
      <c r="U56" s="1325"/>
      <c r="V56" s="1329"/>
      <c r="W56" s="1325"/>
      <c r="X56" s="1325"/>
      <c r="Y56" s="1325"/>
      <c r="Z56" s="1325"/>
      <c r="AA56" s="1325"/>
      <c r="AB56" s="1325"/>
      <c r="AC56" s="1330">
        <f>Input!J279</f>
        <v>0</v>
      </c>
      <c r="AD56" s="1326"/>
      <c r="AE56" s="1326"/>
      <c r="AF56" s="1325"/>
      <c r="AG56" s="1325"/>
      <c r="AH56" s="1325"/>
      <c r="AI56" s="1325"/>
      <c r="AJ56" s="1325"/>
      <c r="AK56" s="1325"/>
      <c r="AL56" s="1325"/>
      <c r="AM56" s="1325"/>
      <c r="AN56" s="1325"/>
      <c r="AO56" s="1325"/>
      <c r="AP56" s="1325"/>
      <c r="AQ56" s="1325"/>
      <c r="AR56" s="1325"/>
      <c r="AS56" s="1325"/>
      <c r="AT56" s="1325"/>
      <c r="AU56" s="1325"/>
      <c r="AV56" s="1325"/>
      <c r="AW56" s="1325"/>
      <c r="AX56" s="1325"/>
      <c r="AY56" s="1325"/>
      <c r="AZ56" s="1325"/>
      <c r="BA56" s="1325"/>
      <c r="BB56" s="1325"/>
      <c r="BC56" s="1325"/>
      <c r="BD56" s="1325"/>
      <c r="BE56" s="1325"/>
      <c r="BF56" s="1325"/>
      <c r="BG56" s="1325"/>
      <c r="BH56" s="1325"/>
      <c r="BI56" s="1325"/>
      <c r="BJ56" s="1325"/>
      <c r="BK56" s="1325"/>
      <c r="BL56" s="1325"/>
      <c r="BM56" s="1325"/>
      <c r="BN56" s="1325"/>
      <c r="BO56" s="1325"/>
      <c r="BP56" s="1325"/>
      <c r="BQ56" s="1325"/>
      <c r="BR56" s="1325"/>
      <c r="BS56" s="1325"/>
      <c r="BT56" s="1325"/>
      <c r="BU56" s="1325"/>
      <c r="BV56" s="1325"/>
      <c r="BW56" s="1325"/>
      <c r="BX56" s="1325"/>
      <c r="BY56" s="1325"/>
      <c r="BZ56" s="1325"/>
      <c r="CA56" s="1325"/>
      <c r="CB56" s="1325"/>
      <c r="CC56" s="1325"/>
      <c r="CD56" s="1325"/>
      <c r="CE56" s="1325"/>
      <c r="CF56" s="1325"/>
      <c r="CG56" s="1325"/>
      <c r="CH56" s="1325"/>
      <c r="CI56" s="1325"/>
      <c r="CJ56" s="1325"/>
      <c r="CK56" s="1826"/>
      <c r="CL56" s="1826"/>
      <c r="CM56" s="1826"/>
      <c r="CN56" s="1826"/>
      <c r="CO56" s="1826"/>
    </row>
    <row r="57" spans="1:93" s="918" customFormat="1" x14ac:dyDescent="0.35">
      <c r="A57" s="916"/>
      <c r="B57" s="916"/>
      <c r="C57" s="916"/>
      <c r="D57" s="916"/>
      <c r="E57" s="917"/>
      <c r="F57" s="917"/>
      <c r="H57" s="917"/>
      <c r="I57" s="922"/>
      <c r="J57" s="921"/>
      <c r="K57" s="921"/>
      <c r="Q57" s="937"/>
      <c r="R57" s="937"/>
      <c r="S57" s="940"/>
      <c r="T57" s="940"/>
      <c r="U57" s="1325"/>
      <c r="V57" s="1329"/>
      <c r="W57" s="1325"/>
      <c r="X57" s="1325"/>
      <c r="Y57" s="1325"/>
      <c r="Z57" s="1325"/>
      <c r="AA57" s="1325"/>
      <c r="AB57" s="1325"/>
      <c r="AC57" s="1326"/>
      <c r="AD57" s="1326"/>
      <c r="AE57" s="1326"/>
      <c r="AF57" s="1325"/>
      <c r="AG57" s="1325"/>
      <c r="AH57" s="1325"/>
      <c r="AI57" s="1325"/>
      <c r="AJ57" s="1325"/>
      <c r="AK57" s="1325"/>
      <c r="AL57" s="1325"/>
      <c r="AM57" s="1325"/>
      <c r="AN57" s="1325"/>
      <c r="AO57" s="1325"/>
      <c r="AP57" s="1325"/>
      <c r="AQ57" s="1325"/>
      <c r="AR57" s="1325"/>
      <c r="AS57" s="1325"/>
      <c r="AT57" s="1325"/>
      <c r="AU57" s="1325"/>
      <c r="AV57" s="1325"/>
      <c r="AW57" s="1325"/>
      <c r="AX57" s="1325"/>
      <c r="AY57" s="1325"/>
      <c r="AZ57" s="1325"/>
      <c r="BA57" s="1325"/>
      <c r="BB57" s="1325"/>
      <c r="BC57" s="1325"/>
      <c r="BD57" s="1325"/>
      <c r="BE57" s="1325"/>
      <c r="BF57" s="1325"/>
      <c r="BG57" s="1325"/>
      <c r="BH57" s="1325"/>
      <c r="BI57" s="1325"/>
      <c r="BJ57" s="1325"/>
      <c r="BK57" s="1325"/>
      <c r="BL57" s="1325"/>
      <c r="BM57" s="1325"/>
      <c r="BN57" s="1325"/>
      <c r="BO57" s="1325"/>
      <c r="BP57" s="1325"/>
      <c r="BQ57" s="1325"/>
      <c r="BR57" s="1325"/>
      <c r="BS57" s="1325"/>
      <c r="BT57" s="1325"/>
      <c r="BU57" s="1325"/>
      <c r="BV57" s="1325"/>
      <c r="BW57" s="1325"/>
      <c r="BX57" s="1325"/>
      <c r="BY57" s="1325"/>
      <c r="BZ57" s="1325"/>
      <c r="CA57" s="1325"/>
      <c r="CB57" s="1325"/>
      <c r="CC57" s="1325"/>
      <c r="CD57" s="1325"/>
      <c r="CE57" s="1325"/>
      <c r="CF57" s="1325"/>
      <c r="CG57" s="1325"/>
      <c r="CH57" s="1325"/>
      <c r="CI57" s="1325"/>
      <c r="CJ57" s="1325"/>
      <c r="CK57" s="1826"/>
      <c r="CL57" s="1826"/>
      <c r="CM57" s="1826"/>
      <c r="CN57" s="1826"/>
      <c r="CO57" s="1826"/>
    </row>
    <row r="58" spans="1:93" s="918" customFormat="1" x14ac:dyDescent="0.35">
      <c r="A58" s="916"/>
      <c r="B58" s="916"/>
      <c r="C58" s="916"/>
      <c r="D58" s="916"/>
      <c r="E58" s="917"/>
      <c r="F58" s="917"/>
      <c r="H58" s="917"/>
      <c r="I58" s="922"/>
      <c r="J58" s="921"/>
      <c r="K58" s="921"/>
      <c r="Q58" s="937"/>
      <c r="R58" s="937"/>
      <c r="S58" s="940"/>
      <c r="T58" s="940"/>
      <c r="U58" s="1325"/>
      <c r="V58" s="1329" t="s">
        <v>79</v>
      </c>
      <c r="W58" s="1325"/>
      <c r="X58" s="1325"/>
      <c r="Y58" s="1325"/>
      <c r="Z58" s="1325"/>
      <c r="AA58" s="1325"/>
      <c r="AB58" s="1325"/>
      <c r="AC58" s="1326"/>
      <c r="AD58" s="1326"/>
      <c r="AE58" s="1326"/>
      <c r="AF58" s="1325"/>
      <c r="AG58" s="1325"/>
      <c r="AH58" s="1325"/>
      <c r="AI58" s="1325"/>
      <c r="AJ58" s="1325"/>
      <c r="AK58" s="1325"/>
      <c r="AL58" s="1325"/>
      <c r="AM58" s="1325"/>
      <c r="AN58" s="1325"/>
      <c r="AO58" s="1325"/>
      <c r="AP58" s="1325"/>
      <c r="AQ58" s="1325"/>
      <c r="AR58" s="1325"/>
      <c r="AS58" s="1325"/>
      <c r="AT58" s="1325"/>
      <c r="AU58" s="1325"/>
      <c r="AV58" s="1325"/>
      <c r="AW58" s="1325"/>
      <c r="AX58" s="1325"/>
      <c r="AY58" s="1325"/>
      <c r="AZ58" s="1325"/>
      <c r="BA58" s="1325"/>
      <c r="BB58" s="1325"/>
      <c r="BC58" s="1325"/>
      <c r="BD58" s="1325"/>
      <c r="BE58" s="1325"/>
      <c r="BF58" s="1325"/>
      <c r="BG58" s="1325"/>
      <c r="BH58" s="1325"/>
      <c r="BI58" s="1325"/>
      <c r="BJ58" s="1325"/>
      <c r="BK58" s="1325"/>
      <c r="BL58" s="1325"/>
      <c r="BM58" s="1325"/>
      <c r="BN58" s="1325"/>
      <c r="BO58" s="1325"/>
      <c r="BP58" s="1325"/>
      <c r="BQ58" s="1325"/>
      <c r="BR58" s="1325"/>
      <c r="BS58" s="1325"/>
      <c r="BT58" s="1325"/>
      <c r="BU58" s="1325"/>
      <c r="BV58" s="1325"/>
      <c r="BW58" s="1325"/>
      <c r="BX58" s="1325"/>
      <c r="BY58" s="1325"/>
      <c r="BZ58" s="1325"/>
      <c r="CA58" s="1325"/>
      <c r="CB58" s="1325"/>
      <c r="CC58" s="1325"/>
      <c r="CD58" s="1325"/>
      <c r="CE58" s="1325"/>
      <c r="CF58" s="1325"/>
      <c r="CG58" s="1325"/>
      <c r="CH58" s="1325"/>
      <c r="CI58" s="1325"/>
      <c r="CJ58" s="1325"/>
      <c r="CK58" s="1826"/>
      <c r="CL58" s="1826"/>
      <c r="CM58" s="1826"/>
      <c r="CN58" s="1826"/>
      <c r="CO58" s="1826"/>
    </row>
    <row r="59" spans="1:93" s="918" customFormat="1" x14ac:dyDescent="0.35">
      <c r="A59" s="916"/>
      <c r="B59" s="916" t="s">
        <v>739</v>
      </c>
      <c r="C59" s="916"/>
      <c r="D59" s="916"/>
      <c r="E59" s="917"/>
      <c r="F59" s="917"/>
      <c r="H59" s="917"/>
      <c r="I59" s="922"/>
      <c r="J59" s="921"/>
      <c r="K59" s="921"/>
      <c r="Q59" s="937"/>
      <c r="R59" s="937"/>
      <c r="S59" s="940"/>
      <c r="T59" s="940"/>
      <c r="U59" s="1325"/>
      <c r="V59" s="1325"/>
      <c r="W59" s="1325"/>
      <c r="X59" s="1325"/>
      <c r="Y59" s="1325"/>
      <c r="Z59" s="1325"/>
      <c r="AA59" s="1325"/>
      <c r="AB59" s="1325"/>
      <c r="AC59" s="1326"/>
      <c r="AD59" s="1326"/>
      <c r="AE59" s="1326"/>
      <c r="AF59" s="1325"/>
      <c r="AG59" s="1325"/>
      <c r="AH59" s="1325"/>
      <c r="AI59" s="1325"/>
      <c r="AJ59" s="1325"/>
      <c r="AK59" s="1325"/>
      <c r="AL59" s="1325"/>
      <c r="AM59" s="1325"/>
      <c r="AN59" s="1325"/>
      <c r="AO59" s="1325"/>
      <c r="AP59" s="1325"/>
      <c r="AQ59" s="1325"/>
      <c r="AR59" s="1325"/>
      <c r="AS59" s="1325"/>
      <c r="AT59" s="1325"/>
      <c r="AU59" s="1325"/>
      <c r="AV59" s="1325"/>
      <c r="AW59" s="1325"/>
      <c r="AX59" s="1325"/>
      <c r="AY59" s="1325"/>
      <c r="AZ59" s="1325"/>
      <c r="BA59" s="1325"/>
      <c r="BB59" s="1325"/>
      <c r="BC59" s="1325"/>
      <c r="BD59" s="1325"/>
      <c r="BE59" s="1325"/>
      <c r="BF59" s="1325"/>
      <c r="BG59" s="1325"/>
      <c r="BH59" s="1325"/>
      <c r="BI59" s="1325"/>
      <c r="BJ59" s="1325"/>
      <c r="BK59" s="1325"/>
      <c r="BL59" s="1325"/>
      <c r="BM59" s="1325"/>
      <c r="BN59" s="1325"/>
      <c r="BO59" s="1325"/>
      <c r="BP59" s="1325"/>
      <c r="BQ59" s="1325"/>
      <c r="BR59" s="1325"/>
      <c r="BS59" s="1325"/>
      <c r="BT59" s="1325"/>
      <c r="BU59" s="1325"/>
      <c r="BV59" s="1325"/>
      <c r="BW59" s="1325"/>
      <c r="BX59" s="1325"/>
      <c r="BY59" s="1325"/>
      <c r="BZ59" s="1325"/>
      <c r="CA59" s="1325"/>
      <c r="CB59" s="1325"/>
      <c r="CC59" s="1325"/>
      <c r="CD59" s="1325"/>
      <c r="CE59" s="1325"/>
      <c r="CF59" s="1325"/>
      <c r="CG59" s="1325"/>
      <c r="CH59" s="1325"/>
      <c r="CI59" s="1325"/>
      <c r="CJ59" s="1325"/>
      <c r="CK59" s="1826"/>
      <c r="CL59" s="1826"/>
      <c r="CM59" s="1826"/>
      <c r="CN59" s="1826"/>
      <c r="CO59" s="1826"/>
    </row>
    <row r="60" spans="1:93" s="918" customFormat="1" x14ac:dyDescent="0.35">
      <c r="A60" s="916"/>
      <c r="B60" s="916"/>
      <c r="C60" s="916" t="s">
        <v>740</v>
      </c>
      <c r="D60" s="916"/>
      <c r="E60" s="917"/>
      <c r="F60" s="917"/>
      <c r="H60" s="917"/>
      <c r="I60" s="917" t="str">
        <f>IF(G60&lt;0.06,"Interest rate may be too low for the type of loan requested","Interest rate seems reasonable")</f>
        <v>Interest rate may be too low for the type of loan requested</v>
      </c>
      <c r="J60" s="917"/>
      <c r="K60" s="917"/>
      <c r="Q60" s="937"/>
      <c r="R60" s="937"/>
      <c r="S60" s="940"/>
      <c r="T60" s="940"/>
      <c r="U60" s="1325"/>
      <c r="V60" s="1325"/>
      <c r="W60" s="1325">
        <f>IF(BO8=Calcs!C23,1,2)</f>
        <v>2</v>
      </c>
      <c r="X60" s="1325"/>
      <c r="Y60" s="1325"/>
      <c r="Z60" s="1325"/>
      <c r="AA60" s="1325"/>
      <c r="AB60" s="1325"/>
      <c r="AC60" s="1326"/>
      <c r="AD60" s="1326"/>
      <c r="AE60" s="1326"/>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D60" s="1325"/>
      <c r="BE60" s="1325"/>
      <c r="BF60" s="1325"/>
      <c r="BG60" s="1325"/>
      <c r="BH60" s="1325"/>
      <c r="BI60" s="1325"/>
      <c r="BJ60" s="1325"/>
      <c r="BK60" s="1325"/>
      <c r="BL60" s="1325"/>
      <c r="BM60" s="1325"/>
      <c r="BN60" s="1325"/>
      <c r="BO60" s="1325"/>
      <c r="BP60" s="1325"/>
      <c r="BQ60" s="1325"/>
      <c r="BR60" s="1325"/>
      <c r="BS60" s="1325"/>
      <c r="BT60" s="1325"/>
      <c r="BU60" s="1325"/>
      <c r="BV60" s="1325"/>
      <c r="BW60" s="1325"/>
      <c r="BX60" s="1325"/>
      <c r="BY60" s="1325"/>
      <c r="BZ60" s="1325"/>
      <c r="CA60" s="1325"/>
      <c r="CB60" s="1325"/>
      <c r="CC60" s="1325"/>
      <c r="CD60" s="1325"/>
      <c r="CE60" s="1325"/>
      <c r="CF60" s="1325"/>
      <c r="CG60" s="1325"/>
      <c r="CH60" s="1325"/>
      <c r="CI60" s="1325"/>
      <c r="CJ60" s="1325"/>
      <c r="CK60" s="1826"/>
      <c r="CL60" s="1826"/>
      <c r="CM60" s="1826"/>
      <c r="CN60" s="1826"/>
      <c r="CO60" s="1826"/>
    </row>
    <row r="61" spans="1:93" s="918" customFormat="1" x14ac:dyDescent="0.35">
      <c r="A61" s="916"/>
      <c r="B61" s="916"/>
      <c r="C61" s="916" t="s">
        <v>741</v>
      </c>
      <c r="D61" s="916"/>
      <c r="E61" s="917"/>
      <c r="F61" s="917"/>
      <c r="H61" s="917"/>
      <c r="I61" s="917" t="str">
        <f>IF(G61&gt;120,"Loan term may be too high for this type of loan","Loan term seems within range for this type of loan")</f>
        <v>Loan term seems within range for this type of loan</v>
      </c>
      <c r="J61" s="917"/>
      <c r="K61" s="917"/>
      <c r="Q61" s="937"/>
      <c r="R61" s="937"/>
      <c r="S61" s="937"/>
      <c r="T61" s="937"/>
      <c r="U61" s="1826"/>
      <c r="V61" s="1826"/>
      <c r="W61" s="1826"/>
      <c r="X61" s="1826"/>
      <c r="Y61" s="1826"/>
      <c r="Z61" s="1826"/>
      <c r="AA61" s="1826"/>
      <c r="AB61" s="1826"/>
      <c r="AC61" s="1828"/>
      <c r="AD61" s="1828"/>
      <c r="AE61" s="1828"/>
      <c r="AF61" s="1826"/>
      <c r="AG61" s="1826"/>
      <c r="AH61" s="1826"/>
      <c r="AI61" s="1826"/>
      <c r="AJ61" s="1826"/>
      <c r="AK61" s="1826"/>
      <c r="AL61" s="1826"/>
      <c r="AM61" s="1826"/>
      <c r="AN61" s="1826"/>
      <c r="AO61" s="1826"/>
      <c r="AP61" s="1826"/>
      <c r="AQ61" s="1826"/>
      <c r="AR61" s="1826"/>
      <c r="AS61" s="1826"/>
      <c r="AT61" s="1826"/>
      <c r="AU61" s="1826"/>
      <c r="AV61" s="1826"/>
      <c r="AW61" s="1826"/>
      <c r="AX61" s="1826"/>
      <c r="AY61" s="1826"/>
      <c r="AZ61" s="1826"/>
      <c r="BA61" s="1826"/>
      <c r="BB61" s="1826"/>
      <c r="BC61" s="1826"/>
      <c r="BD61" s="1826"/>
      <c r="BE61" s="1826"/>
      <c r="BF61" s="1826"/>
      <c r="BG61" s="1826"/>
      <c r="BH61" s="1826"/>
      <c r="BI61" s="1826"/>
      <c r="BJ61" s="1826"/>
      <c r="BK61" s="1826"/>
      <c r="BL61" s="1826"/>
      <c r="BM61" s="1826"/>
      <c r="BN61" s="1826"/>
      <c r="BO61" s="1826"/>
      <c r="BP61" s="1826"/>
      <c r="BQ61" s="1826"/>
      <c r="BR61" s="1826"/>
      <c r="BS61" s="1826"/>
      <c r="BT61" s="1826"/>
      <c r="BU61" s="1826"/>
      <c r="BV61" s="1826"/>
      <c r="BW61" s="1826"/>
      <c r="BX61" s="1826"/>
      <c r="BY61" s="1826"/>
      <c r="BZ61" s="1826"/>
      <c r="CA61" s="1826"/>
      <c r="CB61" s="1826"/>
      <c r="CC61" s="1826"/>
      <c r="CD61" s="1826"/>
      <c r="CE61" s="1826"/>
      <c r="CF61" s="1826"/>
      <c r="CG61" s="1826"/>
      <c r="CH61" s="1826"/>
      <c r="CI61" s="1826"/>
      <c r="CJ61" s="1826"/>
      <c r="CK61" s="1826"/>
      <c r="CL61" s="1826"/>
      <c r="CM61" s="1826"/>
      <c r="CN61" s="1826"/>
      <c r="CO61" s="1826"/>
    </row>
    <row r="62" spans="1:93" s="918" customFormat="1" x14ac:dyDescent="0.35">
      <c r="A62" s="916"/>
      <c r="B62" s="916"/>
      <c r="C62" s="916"/>
      <c r="D62" s="916"/>
      <c r="E62" s="917"/>
      <c r="F62" s="917"/>
      <c r="H62" s="928"/>
      <c r="I62" s="929"/>
      <c r="J62" s="930"/>
      <c r="K62" s="930"/>
      <c r="Q62" s="937"/>
      <c r="R62" s="937"/>
      <c r="S62" s="937"/>
      <c r="T62" s="937"/>
      <c r="U62" s="1826"/>
      <c r="V62" s="1826"/>
      <c r="W62" s="1826"/>
      <c r="X62" s="1826"/>
      <c r="Y62" s="1826"/>
      <c r="Z62" s="1826"/>
      <c r="AA62" s="1826"/>
      <c r="AB62" s="1826"/>
      <c r="AC62" s="1828"/>
      <c r="AD62" s="1828"/>
      <c r="AE62" s="1828"/>
      <c r="AF62" s="1826"/>
      <c r="AG62" s="1826"/>
      <c r="AH62" s="1826"/>
      <c r="AI62" s="1826"/>
      <c r="AJ62" s="1826"/>
      <c r="AK62" s="1826"/>
      <c r="AL62" s="1826"/>
      <c r="AM62" s="1826"/>
      <c r="AN62" s="1826"/>
      <c r="AO62" s="1826"/>
      <c r="AP62" s="1826"/>
      <c r="AQ62" s="1826"/>
      <c r="AR62" s="1826"/>
      <c r="AS62" s="1826"/>
      <c r="AT62" s="1826"/>
      <c r="AU62" s="1826"/>
      <c r="AV62" s="1826"/>
      <c r="AW62" s="1826"/>
      <c r="AX62" s="1826"/>
      <c r="AY62" s="1826"/>
      <c r="AZ62" s="1826"/>
      <c r="BA62" s="1826"/>
      <c r="BB62" s="1826"/>
      <c r="BC62" s="1826"/>
      <c r="BD62" s="1826"/>
      <c r="BE62" s="1826"/>
      <c r="BF62" s="1826"/>
      <c r="BG62" s="1826"/>
      <c r="BH62" s="1826"/>
      <c r="BI62" s="1826"/>
      <c r="BJ62" s="1826"/>
      <c r="BK62" s="1826"/>
      <c r="BL62" s="1826"/>
      <c r="BM62" s="1826"/>
      <c r="BN62" s="1826"/>
      <c r="BO62" s="1826"/>
      <c r="BP62" s="1826"/>
      <c r="BQ62" s="1826"/>
      <c r="BR62" s="1826"/>
      <c r="BS62" s="1826"/>
      <c r="BT62" s="1826"/>
      <c r="BU62" s="1826"/>
      <c r="BV62" s="1826"/>
      <c r="BW62" s="1826"/>
      <c r="BX62" s="1826"/>
      <c r="BY62" s="1826"/>
      <c r="BZ62" s="1826"/>
      <c r="CA62" s="1826"/>
      <c r="CB62" s="1826"/>
      <c r="CC62" s="1826"/>
      <c r="CD62" s="1826"/>
      <c r="CE62" s="1826"/>
      <c r="CF62" s="1826"/>
      <c r="CG62" s="1826"/>
      <c r="CH62" s="1826"/>
      <c r="CI62" s="1826"/>
      <c r="CJ62" s="1826"/>
      <c r="CK62" s="1826"/>
      <c r="CL62" s="1826"/>
      <c r="CM62" s="1826"/>
      <c r="CN62" s="1826"/>
      <c r="CO62" s="1826"/>
    </row>
    <row r="63" spans="1:93" s="918" customFormat="1" x14ac:dyDescent="0.35">
      <c r="A63" s="916"/>
      <c r="B63" s="916"/>
      <c r="C63" s="916" t="s">
        <v>742</v>
      </c>
      <c r="D63" s="916"/>
      <c r="E63" s="917"/>
      <c r="F63" s="917"/>
      <c r="H63" s="930"/>
      <c r="I63" s="929" t="str">
        <f>IF(G63&lt;0.06,"Interest rate may be too low for type of loan requested","Interest rate seems reasonable")</f>
        <v>Interest rate may be too low for type of loan requested</v>
      </c>
      <c r="J63" s="930"/>
      <c r="K63" s="930"/>
      <c r="Q63" s="937"/>
      <c r="R63" s="937"/>
      <c r="S63" s="937"/>
      <c r="T63" s="937"/>
      <c r="U63" s="1826"/>
      <c r="V63" s="1826"/>
      <c r="W63" s="1826"/>
      <c r="X63" s="1826"/>
      <c r="Y63" s="1826"/>
      <c r="Z63" s="1826"/>
      <c r="AA63" s="1826"/>
      <c r="AB63" s="1826"/>
      <c r="AC63" s="1828"/>
      <c r="AD63" s="1828"/>
      <c r="AE63" s="1828"/>
      <c r="AF63" s="1826"/>
      <c r="AG63" s="1826"/>
      <c r="AH63" s="1826"/>
      <c r="AI63" s="1826"/>
      <c r="AJ63" s="1826"/>
      <c r="AK63" s="1826"/>
      <c r="AL63" s="1826"/>
      <c r="AM63" s="1826"/>
      <c r="AN63" s="1826"/>
      <c r="AO63" s="1826"/>
      <c r="AP63" s="1826"/>
      <c r="AQ63" s="1826"/>
      <c r="AR63" s="1826"/>
      <c r="AS63" s="1826"/>
      <c r="AT63" s="1826"/>
      <c r="AU63" s="1826"/>
      <c r="AV63" s="1826"/>
      <c r="AW63" s="1826"/>
      <c r="AX63" s="1826"/>
      <c r="AY63" s="1826"/>
      <c r="AZ63" s="1826"/>
      <c r="BA63" s="1826"/>
      <c r="BB63" s="1826"/>
      <c r="BC63" s="1826"/>
      <c r="BD63" s="1826"/>
      <c r="BE63" s="1826"/>
      <c r="BF63" s="1826"/>
      <c r="BG63" s="1826"/>
      <c r="BH63" s="1826"/>
      <c r="BI63" s="1826"/>
      <c r="BJ63" s="1826"/>
      <c r="BK63" s="1826"/>
      <c r="BL63" s="1826"/>
      <c r="BM63" s="1826"/>
      <c r="BN63" s="1826"/>
      <c r="BO63" s="1826"/>
      <c r="BP63" s="1826"/>
      <c r="BQ63" s="1826"/>
      <c r="BR63" s="1826"/>
      <c r="BS63" s="1826"/>
      <c r="BT63" s="1826"/>
      <c r="BU63" s="1826"/>
      <c r="BV63" s="1826"/>
      <c r="BW63" s="1826"/>
      <c r="BX63" s="1826"/>
      <c r="BY63" s="1826"/>
      <c r="BZ63" s="1826"/>
      <c r="CA63" s="1826"/>
      <c r="CB63" s="1826"/>
      <c r="CC63" s="1826"/>
      <c r="CD63" s="1826"/>
      <c r="CE63" s="1826"/>
      <c r="CF63" s="1826"/>
      <c r="CG63" s="1826"/>
      <c r="CH63" s="1826"/>
      <c r="CI63" s="1826"/>
      <c r="CJ63" s="1826"/>
      <c r="CK63" s="1826"/>
      <c r="CL63" s="1826"/>
      <c r="CM63" s="1826"/>
      <c r="CN63" s="1826"/>
      <c r="CO63" s="1826"/>
    </row>
    <row r="64" spans="1:93" s="918" customFormat="1" x14ac:dyDescent="0.35">
      <c r="B64" s="916"/>
      <c r="C64" s="916" t="s">
        <v>743</v>
      </c>
      <c r="D64" s="916"/>
      <c r="E64" s="917"/>
      <c r="F64" s="917"/>
      <c r="H64" s="930"/>
      <c r="I64" s="931" t="str">
        <f>IF(G64&gt;240,"Loan term may be too high for this type of loan","Loan term seems within range for this type of loan")</f>
        <v>Loan term seems within range for this type of loan</v>
      </c>
      <c r="J64" s="930"/>
      <c r="K64" s="930"/>
      <c r="Q64" s="937"/>
      <c r="R64" s="937"/>
      <c r="S64" s="937"/>
      <c r="T64" s="937"/>
      <c r="U64" s="1826"/>
      <c r="V64" s="937" t="s">
        <v>3</v>
      </c>
      <c r="W64" s="1826"/>
      <c r="X64" s="1826"/>
      <c r="Y64" s="1826"/>
      <c r="Z64" s="1826"/>
      <c r="AA64" s="1826"/>
      <c r="AB64" s="1826"/>
      <c r="AC64" s="1828"/>
      <c r="AD64" s="1828"/>
      <c r="AE64" s="1828"/>
      <c r="AF64" s="1826"/>
      <c r="AG64" s="1826"/>
      <c r="AH64" s="1826"/>
      <c r="AI64" s="1826"/>
      <c r="AJ64" s="1826"/>
      <c r="AK64" s="1826"/>
      <c r="AL64" s="1826"/>
      <c r="AM64" s="1826"/>
      <c r="AN64" s="1826"/>
      <c r="AO64" s="1826"/>
      <c r="AP64" s="1826"/>
      <c r="AQ64" s="1826"/>
      <c r="AR64" s="1826"/>
      <c r="AS64" s="1826"/>
      <c r="AT64" s="1826"/>
      <c r="AU64" s="1826"/>
      <c r="AV64" s="1826"/>
      <c r="AW64" s="1826"/>
      <c r="AX64" s="1826"/>
      <c r="AY64" s="1826"/>
      <c r="AZ64" s="1826"/>
      <c r="BA64" s="1826"/>
      <c r="BB64" s="1826"/>
      <c r="BC64" s="1826"/>
      <c r="BD64" s="1826"/>
      <c r="BE64" s="1826"/>
      <c r="BF64" s="1826"/>
      <c r="BG64" s="1826"/>
      <c r="BH64" s="1826"/>
      <c r="BI64" s="1826"/>
      <c r="BJ64" s="1826"/>
      <c r="BK64" s="1826"/>
      <c r="BL64" s="1826"/>
      <c r="BM64" s="1826"/>
      <c r="BN64" s="1826"/>
      <c r="BO64" s="1826"/>
      <c r="BP64" s="1826"/>
      <c r="BQ64" s="1826"/>
      <c r="BR64" s="1826"/>
      <c r="BS64" s="1826"/>
      <c r="BT64" s="1826"/>
      <c r="BU64" s="1826"/>
      <c r="BV64" s="1826"/>
      <c r="BW64" s="1826"/>
      <c r="BX64" s="1826"/>
      <c r="BY64" s="1826"/>
      <c r="BZ64" s="1826"/>
      <c r="CA64" s="1826"/>
      <c r="CB64" s="1826"/>
      <c r="CC64" s="1826"/>
      <c r="CD64" s="1826"/>
      <c r="CE64" s="1826"/>
      <c r="CF64" s="1826"/>
      <c r="CG64" s="1826"/>
      <c r="CH64" s="1826"/>
      <c r="CI64" s="1826"/>
      <c r="CJ64" s="1826"/>
      <c r="CK64" s="1826"/>
      <c r="CL64" s="1826"/>
      <c r="CM64" s="1826"/>
      <c r="CN64" s="1826"/>
      <c r="CO64" s="1826"/>
    </row>
    <row r="65" spans="2:93" s="918" customFormat="1" x14ac:dyDescent="0.35">
      <c r="B65" s="916"/>
      <c r="C65" s="916"/>
      <c r="D65" s="916"/>
      <c r="E65" s="917"/>
      <c r="F65" s="917"/>
      <c r="H65" s="930"/>
      <c r="I65" s="929"/>
      <c r="J65" s="930"/>
      <c r="K65" s="930"/>
      <c r="Q65" s="937"/>
      <c r="R65" s="937"/>
      <c r="S65" s="937"/>
      <c r="T65" s="937"/>
      <c r="U65" s="1826"/>
      <c r="V65" s="937" t="s">
        <v>744</v>
      </c>
      <c r="W65" s="1826"/>
      <c r="X65" s="1826"/>
      <c r="Y65" s="1826"/>
      <c r="Z65" s="1826"/>
      <c r="AA65" s="1826"/>
      <c r="AB65" s="1826"/>
      <c r="AC65" s="1828"/>
      <c r="AD65" s="1828"/>
      <c r="AE65" s="1828"/>
      <c r="AF65" s="1826"/>
      <c r="AG65" s="1826"/>
      <c r="AH65" s="1826"/>
      <c r="AI65" s="1826"/>
      <c r="AJ65" s="1826"/>
      <c r="AK65" s="1826"/>
      <c r="AL65" s="1826"/>
      <c r="AM65" s="1826"/>
      <c r="AN65" s="1826"/>
      <c r="AO65" s="1826"/>
      <c r="AP65" s="1826"/>
      <c r="AQ65" s="1826"/>
      <c r="AR65" s="1826"/>
      <c r="AS65" s="1826"/>
      <c r="AT65" s="1826"/>
      <c r="AU65" s="1826"/>
      <c r="AV65" s="1826"/>
      <c r="AW65" s="1826"/>
      <c r="AX65" s="1826"/>
      <c r="AY65" s="1826"/>
      <c r="AZ65" s="1826"/>
      <c r="BA65" s="1826"/>
      <c r="BB65" s="1826"/>
      <c r="BC65" s="1826"/>
      <c r="BD65" s="1826"/>
      <c r="BE65" s="1826"/>
      <c r="BF65" s="1826"/>
      <c r="BG65" s="1826"/>
      <c r="BH65" s="1826"/>
      <c r="BI65" s="1826"/>
      <c r="BJ65" s="1826"/>
      <c r="BK65" s="1826"/>
      <c r="BL65" s="1826"/>
      <c r="BM65" s="1826"/>
      <c r="BN65" s="1826"/>
      <c r="BO65" s="1826"/>
      <c r="BP65" s="1826"/>
      <c r="BQ65" s="1826"/>
      <c r="BR65" s="1826"/>
      <c r="BS65" s="1826"/>
      <c r="BT65" s="1826"/>
      <c r="BU65" s="1826"/>
      <c r="BV65" s="1826"/>
      <c r="BW65" s="1826"/>
      <c r="BX65" s="1826"/>
      <c r="BY65" s="1826"/>
      <c r="BZ65" s="1826"/>
      <c r="CA65" s="1826"/>
      <c r="CB65" s="1826"/>
      <c r="CC65" s="1826"/>
      <c r="CD65" s="1826"/>
      <c r="CE65" s="1826"/>
      <c r="CF65" s="1826"/>
      <c r="CG65" s="1826"/>
      <c r="CH65" s="1826"/>
      <c r="CI65" s="1826"/>
      <c r="CJ65" s="1826"/>
      <c r="CK65" s="1826"/>
      <c r="CL65" s="1826"/>
      <c r="CM65" s="1826"/>
      <c r="CN65" s="1826"/>
      <c r="CO65" s="1826"/>
    </row>
    <row r="66" spans="2:93" s="918" customFormat="1" x14ac:dyDescent="0.35">
      <c r="B66" s="916"/>
      <c r="C66" s="923" t="s">
        <v>745</v>
      </c>
      <c r="D66" s="923"/>
      <c r="E66" s="924"/>
      <c r="F66" s="924"/>
      <c r="H66" s="932"/>
      <c r="I66" s="933" t="str">
        <f>IF(G66&gt;10,"Calculated loan payments as a percent of sales may be too high","Calculated loan payments as a percent of sales seem resonable")</f>
        <v>Calculated loan payments as a percent of sales seem resonable</v>
      </c>
      <c r="J66" s="932"/>
      <c r="K66" s="932"/>
      <c r="L66" s="927"/>
      <c r="M66" s="927"/>
      <c r="N66" s="927"/>
      <c r="Q66" s="937"/>
      <c r="R66" s="937"/>
      <c r="S66" s="937"/>
      <c r="T66" s="937"/>
      <c r="U66" s="1826"/>
      <c r="V66" s="1826" t="s">
        <v>393</v>
      </c>
      <c r="W66" s="1826"/>
      <c r="X66" s="1826"/>
      <c r="Y66" s="1826"/>
      <c r="Z66" s="1826"/>
      <c r="AA66" s="1826"/>
      <c r="AB66" s="1826"/>
      <c r="AC66" s="1828"/>
      <c r="AD66" s="1828"/>
      <c r="AE66" s="1828"/>
      <c r="AF66" s="1826"/>
      <c r="AG66" s="1826"/>
      <c r="AH66" s="1826"/>
      <c r="AI66" s="1826"/>
      <c r="AJ66" s="1826"/>
      <c r="AK66" s="1826"/>
      <c r="AL66" s="1826"/>
      <c r="AM66" s="1826"/>
      <c r="AN66" s="1826"/>
      <c r="AO66" s="1826"/>
      <c r="AP66" s="1826"/>
      <c r="AQ66" s="1826"/>
      <c r="AR66" s="1826"/>
      <c r="AS66" s="1826"/>
      <c r="AT66" s="1826"/>
      <c r="AU66" s="1826"/>
      <c r="AV66" s="1826"/>
      <c r="AW66" s="1826"/>
      <c r="AX66" s="1826"/>
      <c r="AY66" s="1826"/>
      <c r="AZ66" s="1826"/>
      <c r="BA66" s="1826"/>
      <c r="BB66" s="1826"/>
      <c r="BC66" s="1826"/>
      <c r="BD66" s="1826"/>
      <c r="BE66" s="1826"/>
      <c r="BF66" s="1826"/>
      <c r="BG66" s="1826"/>
      <c r="BH66" s="1826"/>
      <c r="BI66" s="1826"/>
      <c r="BJ66" s="1826"/>
      <c r="BK66" s="1826"/>
      <c r="BL66" s="1826"/>
      <c r="BM66" s="1826"/>
      <c r="BN66" s="1826"/>
      <c r="BO66" s="1826"/>
      <c r="BP66" s="1826"/>
      <c r="BQ66" s="1826"/>
      <c r="BR66" s="1826"/>
      <c r="BS66" s="1826"/>
      <c r="BT66" s="1826"/>
      <c r="BU66" s="1826"/>
      <c r="BV66" s="1826"/>
      <c r="BW66" s="1826"/>
      <c r="BX66" s="1826"/>
      <c r="BY66" s="1826"/>
      <c r="BZ66" s="1826"/>
      <c r="CA66" s="1826"/>
      <c r="CB66" s="1826"/>
      <c r="CC66" s="1826"/>
      <c r="CD66" s="1826"/>
      <c r="CE66" s="1826"/>
      <c r="CF66" s="1826"/>
      <c r="CG66" s="1826"/>
      <c r="CH66" s="1826"/>
      <c r="CI66" s="1826"/>
      <c r="CJ66" s="1826"/>
      <c r="CK66" s="1826"/>
      <c r="CL66" s="1826"/>
      <c r="CM66" s="1826"/>
      <c r="CN66" s="1826"/>
      <c r="CO66" s="1826"/>
    </row>
    <row r="67" spans="2:93" s="918" customFormat="1" x14ac:dyDescent="0.35">
      <c r="B67" s="916"/>
      <c r="C67" s="916"/>
      <c r="D67" s="916"/>
      <c r="E67" s="917"/>
      <c r="F67" s="917"/>
      <c r="H67" s="930"/>
      <c r="I67" s="929"/>
      <c r="J67" s="930"/>
      <c r="K67" s="930"/>
      <c r="Q67" s="937"/>
      <c r="R67" s="937"/>
      <c r="S67" s="937"/>
      <c r="T67" s="937"/>
      <c r="U67" s="1826"/>
      <c r="V67" s="1826" t="s">
        <v>676</v>
      </c>
      <c r="W67" s="1826"/>
      <c r="X67" s="1826"/>
      <c r="Y67" s="1826"/>
      <c r="Z67" s="1826"/>
      <c r="AA67" s="1826"/>
      <c r="AB67" s="1826"/>
      <c r="AC67" s="1828"/>
      <c r="AD67" s="1828"/>
      <c r="AE67" s="1828"/>
      <c r="AF67" s="1826"/>
      <c r="AG67" s="1826"/>
      <c r="AH67" s="1826"/>
      <c r="AI67" s="1826"/>
      <c r="AJ67" s="1826"/>
      <c r="AK67" s="1826"/>
      <c r="AL67" s="1826"/>
      <c r="AM67" s="1826"/>
      <c r="AN67" s="1826"/>
      <c r="AO67" s="1826"/>
      <c r="AP67" s="1826"/>
      <c r="AQ67" s="1826"/>
      <c r="AR67" s="1826"/>
      <c r="AS67" s="1826"/>
      <c r="AT67" s="1826"/>
      <c r="AU67" s="1826"/>
      <c r="AV67" s="1826"/>
      <c r="AW67" s="1826"/>
      <c r="AX67" s="1826"/>
      <c r="AY67" s="1826"/>
      <c r="AZ67" s="1826"/>
      <c r="BA67" s="1826"/>
      <c r="BB67" s="1826"/>
      <c r="BC67" s="1826"/>
      <c r="BD67" s="1826"/>
      <c r="BE67" s="1826"/>
      <c r="BF67" s="1826"/>
      <c r="BG67" s="1826"/>
      <c r="BH67" s="1826"/>
      <c r="BI67" s="1826"/>
      <c r="BJ67" s="1826"/>
      <c r="BK67" s="1826"/>
      <c r="BL67" s="1826"/>
      <c r="BM67" s="1826"/>
      <c r="BN67" s="1826"/>
      <c r="BO67" s="1826"/>
      <c r="BP67" s="1826"/>
      <c r="BQ67" s="1826"/>
      <c r="BR67" s="1826"/>
      <c r="BS67" s="1826"/>
      <c r="BT67" s="1826"/>
      <c r="BU67" s="1826"/>
      <c r="BV67" s="1826"/>
      <c r="BW67" s="1826"/>
      <c r="BX67" s="1826"/>
      <c r="BY67" s="1826"/>
      <c r="BZ67" s="1826"/>
      <c r="CA67" s="1826"/>
      <c r="CB67" s="1826"/>
      <c r="CC67" s="1826"/>
      <c r="CD67" s="1826"/>
      <c r="CE67" s="1826"/>
      <c r="CF67" s="1826"/>
      <c r="CG67" s="1826"/>
      <c r="CH67" s="1826"/>
      <c r="CI67" s="1826"/>
      <c r="CJ67" s="1826"/>
      <c r="CK67" s="1826"/>
      <c r="CL67" s="1826"/>
      <c r="CM67" s="1826"/>
      <c r="CN67" s="1826"/>
      <c r="CO67" s="1826"/>
    </row>
    <row r="68" spans="2:93" s="918" customFormat="1" x14ac:dyDescent="0.35">
      <c r="B68" s="916" t="s">
        <v>746</v>
      </c>
      <c r="C68" s="916"/>
      <c r="D68" s="916"/>
      <c r="E68" s="917"/>
      <c r="F68" s="917"/>
      <c r="H68" s="930"/>
      <c r="I68" s="929"/>
      <c r="J68" s="930"/>
      <c r="K68" s="930"/>
      <c r="Q68" s="937"/>
      <c r="R68" s="937"/>
      <c r="S68" s="937"/>
      <c r="T68" s="937"/>
      <c r="U68" s="1826"/>
      <c r="V68" s="1826"/>
      <c r="W68" s="1826"/>
      <c r="X68" s="1826"/>
      <c r="Y68" s="1826"/>
      <c r="Z68" s="1826"/>
      <c r="AA68" s="1826"/>
      <c r="AB68" s="1826"/>
      <c r="AC68" s="1828"/>
      <c r="AD68" s="1828"/>
      <c r="AE68" s="1828"/>
      <c r="AF68" s="1826"/>
      <c r="AG68" s="1826"/>
      <c r="AH68" s="1826"/>
      <c r="AI68" s="1826"/>
      <c r="AJ68" s="1826"/>
      <c r="AK68" s="1826"/>
      <c r="AL68" s="1826"/>
      <c r="AM68" s="1826"/>
      <c r="AN68" s="1826"/>
      <c r="AO68" s="1826"/>
      <c r="AP68" s="1826"/>
      <c r="AQ68" s="1826"/>
      <c r="AR68" s="1826"/>
      <c r="AS68" s="1826"/>
      <c r="AT68" s="1826"/>
      <c r="AU68" s="1826"/>
      <c r="AV68" s="1826"/>
      <c r="AW68" s="1826"/>
      <c r="AX68" s="1826"/>
      <c r="AY68" s="1826"/>
      <c r="AZ68" s="1826"/>
      <c r="BA68" s="1826"/>
      <c r="BB68" s="1826"/>
      <c r="BC68" s="1826"/>
      <c r="BD68" s="1826"/>
      <c r="BE68" s="1826"/>
      <c r="BF68" s="1826"/>
      <c r="BG68" s="1826"/>
      <c r="BH68" s="1826"/>
      <c r="BI68" s="1826"/>
      <c r="BJ68" s="1826"/>
      <c r="BK68" s="1826"/>
      <c r="BL68" s="1826"/>
      <c r="BM68" s="1826"/>
      <c r="BN68" s="1826"/>
      <c r="BO68" s="1826"/>
      <c r="BP68" s="1826"/>
      <c r="BQ68" s="1826"/>
      <c r="BR68" s="1826"/>
      <c r="BS68" s="1826"/>
      <c r="BT68" s="1826"/>
      <c r="BU68" s="1826"/>
      <c r="BV68" s="1826"/>
      <c r="BW68" s="1826"/>
      <c r="BX68" s="1826"/>
      <c r="BY68" s="1826"/>
      <c r="BZ68" s="1826"/>
      <c r="CA68" s="1826"/>
      <c r="CB68" s="1826"/>
      <c r="CC68" s="1826"/>
      <c r="CD68" s="1826"/>
      <c r="CE68" s="1826"/>
      <c r="CF68" s="1826"/>
      <c r="CG68" s="1826"/>
      <c r="CH68" s="1826"/>
      <c r="CI68" s="1826"/>
      <c r="CJ68" s="1826"/>
      <c r="CK68" s="1826"/>
      <c r="CL68" s="1826"/>
      <c r="CM68" s="1826"/>
      <c r="CN68" s="1826"/>
      <c r="CO68" s="1826"/>
    </row>
    <row r="69" spans="2:93" s="918" customFormat="1" x14ac:dyDescent="0.35">
      <c r="B69" s="916"/>
      <c r="C69" s="916" t="s">
        <v>747</v>
      </c>
      <c r="D69" s="916"/>
      <c r="E69" s="917"/>
      <c r="F69" s="917"/>
      <c r="H69" s="930"/>
      <c r="I69" s="929" t="str">
        <f>IF(G69&lt;0.2,"Gross margin percentage seems very low","Gross margin percentage seems reasonable")</f>
        <v>Gross margin percentage seems very low</v>
      </c>
      <c r="J69" s="930"/>
      <c r="K69" s="930"/>
      <c r="Q69" s="937"/>
      <c r="R69" s="937"/>
      <c r="S69" s="937"/>
      <c r="T69" s="937"/>
      <c r="U69" s="1826"/>
      <c r="V69" s="1826"/>
      <c r="W69" s="1826"/>
      <c r="X69" s="1826"/>
      <c r="Y69" s="1826"/>
      <c r="Z69" s="1826"/>
      <c r="AA69" s="1826"/>
      <c r="AB69" s="1826"/>
      <c r="AC69" s="1828"/>
      <c r="AD69" s="1828"/>
      <c r="AE69" s="1828"/>
      <c r="AF69" s="1826"/>
      <c r="AG69" s="1826"/>
      <c r="AH69" s="1826"/>
      <c r="AI69" s="1826"/>
      <c r="AJ69" s="1826"/>
      <c r="AK69" s="1826"/>
      <c r="AL69" s="1826"/>
      <c r="AM69" s="1826"/>
      <c r="AN69" s="1826"/>
      <c r="AO69" s="1826"/>
      <c r="AP69" s="1826"/>
      <c r="AQ69" s="1826"/>
      <c r="AR69" s="1826"/>
      <c r="AS69" s="1826"/>
      <c r="AT69" s="1826"/>
      <c r="AU69" s="1826"/>
      <c r="AV69" s="1826"/>
      <c r="AW69" s="1826"/>
      <c r="AX69" s="1826"/>
      <c r="AY69" s="1826"/>
      <c r="AZ69" s="1826"/>
      <c r="BA69" s="1826"/>
      <c r="BB69" s="1826"/>
      <c r="BC69" s="1826"/>
      <c r="BD69" s="1826"/>
      <c r="BE69" s="1826"/>
      <c r="BF69" s="1826"/>
      <c r="BG69" s="1826"/>
      <c r="BH69" s="1826"/>
      <c r="BI69" s="1826"/>
      <c r="BJ69" s="1826"/>
      <c r="BK69" s="1826"/>
      <c r="BL69" s="1826"/>
      <c r="BM69" s="1826"/>
      <c r="BN69" s="1826"/>
      <c r="BO69" s="1826"/>
      <c r="BP69" s="1826"/>
      <c r="BQ69" s="1826"/>
      <c r="BR69" s="1826"/>
      <c r="BS69" s="1826"/>
      <c r="BT69" s="1826"/>
      <c r="BU69" s="1826"/>
      <c r="BV69" s="1826"/>
      <c r="BW69" s="1826"/>
      <c r="BX69" s="1826"/>
      <c r="BY69" s="1826"/>
      <c r="BZ69" s="1826"/>
      <c r="CA69" s="1826"/>
      <c r="CB69" s="1826"/>
      <c r="CC69" s="1826"/>
      <c r="CD69" s="1826"/>
      <c r="CE69" s="1826"/>
      <c r="CF69" s="1826"/>
      <c r="CG69" s="1826"/>
      <c r="CH69" s="1826"/>
      <c r="CI69" s="1826"/>
      <c r="CJ69" s="1826"/>
      <c r="CK69" s="1826"/>
      <c r="CL69" s="1826"/>
      <c r="CM69" s="1826"/>
      <c r="CN69" s="1826"/>
      <c r="CO69" s="1826"/>
    </row>
    <row r="70" spans="2:93" s="918" customFormat="1" x14ac:dyDescent="0.35">
      <c r="B70" s="916"/>
      <c r="C70" s="923" t="s">
        <v>748</v>
      </c>
      <c r="D70" s="923"/>
      <c r="E70" s="924"/>
      <c r="F70" s="924"/>
      <c r="H70" s="932"/>
      <c r="I70" s="933" t="str">
        <f>IF(G70&gt;0,"An owner's compensation amount has been established","An owner's compensation amount has not been established")</f>
        <v>An owner's compensation amount has not been established</v>
      </c>
      <c r="J70" s="932"/>
      <c r="K70" s="932"/>
      <c r="L70" s="927"/>
      <c r="M70" s="927"/>
      <c r="N70" s="927"/>
      <c r="Q70" s="937"/>
      <c r="R70" s="937"/>
      <c r="S70" s="937"/>
      <c r="T70" s="937"/>
      <c r="U70" s="1826"/>
      <c r="V70" s="1826"/>
      <c r="W70" s="1826"/>
      <c r="X70" s="1826"/>
      <c r="Y70" s="1826"/>
      <c r="Z70" s="1826"/>
      <c r="AA70" s="1826"/>
      <c r="AB70" s="1826"/>
      <c r="AC70" s="1828"/>
      <c r="AD70" s="1828"/>
      <c r="AE70" s="1828"/>
      <c r="AF70" s="1826"/>
      <c r="AG70" s="1826"/>
      <c r="AH70" s="1826"/>
      <c r="AI70" s="1826"/>
      <c r="AJ70" s="1826"/>
      <c r="AK70" s="1826"/>
      <c r="AL70" s="1826"/>
      <c r="AM70" s="1826"/>
      <c r="AN70" s="1826"/>
      <c r="AO70" s="1826"/>
      <c r="AP70" s="1826"/>
      <c r="AQ70" s="1826"/>
      <c r="AR70" s="1826"/>
      <c r="AS70" s="1826"/>
      <c r="AT70" s="1826"/>
      <c r="AU70" s="1826"/>
      <c r="AV70" s="1826"/>
      <c r="AW70" s="1826"/>
      <c r="AX70" s="1826"/>
      <c r="AY70" s="1826"/>
      <c r="AZ70" s="1826"/>
      <c r="BA70" s="1826"/>
      <c r="BB70" s="1826"/>
      <c r="BC70" s="1826"/>
      <c r="BD70" s="1826"/>
      <c r="BE70" s="1826"/>
      <c r="BF70" s="1826"/>
      <c r="BG70" s="1826"/>
      <c r="BH70" s="1826"/>
      <c r="BI70" s="1826"/>
      <c r="BJ70" s="1826"/>
      <c r="BK70" s="1826"/>
      <c r="BL70" s="1826"/>
      <c r="BM70" s="1826"/>
      <c r="BN70" s="1826"/>
      <c r="BO70" s="1826"/>
      <c r="BP70" s="1826"/>
      <c r="BQ70" s="1826"/>
      <c r="BR70" s="1826"/>
      <c r="BS70" s="1826"/>
      <c r="BT70" s="1826"/>
      <c r="BU70" s="1826"/>
      <c r="BV70" s="1826"/>
      <c r="BW70" s="1826"/>
      <c r="BX70" s="1826"/>
      <c r="BY70" s="1826"/>
      <c r="BZ70" s="1826"/>
      <c r="CA70" s="1826"/>
      <c r="CB70" s="1826"/>
      <c r="CC70" s="1826"/>
      <c r="CD70" s="1826"/>
      <c r="CE70" s="1826"/>
      <c r="CF70" s="1826"/>
      <c r="CG70" s="1826"/>
      <c r="CH70" s="1826"/>
      <c r="CI70" s="1826"/>
      <c r="CJ70" s="1826"/>
      <c r="CK70" s="1826"/>
      <c r="CL70" s="1826"/>
      <c r="CM70" s="1826"/>
      <c r="CN70" s="1826"/>
      <c r="CO70" s="1826"/>
    </row>
    <row r="71" spans="2:93" s="918" customFormat="1" x14ac:dyDescent="0.35">
      <c r="B71" s="916"/>
      <c r="C71" s="923" t="s">
        <v>749</v>
      </c>
      <c r="D71" s="923"/>
      <c r="E71" s="924"/>
      <c r="F71" s="924"/>
      <c r="H71" s="932"/>
      <c r="I71" s="933" t="str">
        <f>IF(G71&gt;1,"Owner's compensation may be too high relative to profitability of business","Owner's compensation seems reasonable")</f>
        <v>Owner's compensation seems reasonable</v>
      </c>
      <c r="J71" s="932"/>
      <c r="K71" s="932"/>
      <c r="L71" s="927"/>
      <c r="M71" s="927"/>
      <c r="N71" s="927"/>
      <c r="Q71" s="937"/>
      <c r="R71" s="937"/>
      <c r="S71" s="937"/>
      <c r="T71" s="937"/>
      <c r="U71" s="1826"/>
      <c r="V71" s="1826"/>
      <c r="W71" s="1826"/>
      <c r="X71" s="1826"/>
      <c r="Y71" s="1826"/>
      <c r="Z71" s="1826"/>
      <c r="AA71" s="1826"/>
      <c r="AB71" s="1826"/>
      <c r="AC71" s="1828"/>
      <c r="AD71" s="1828"/>
      <c r="AE71" s="1828"/>
      <c r="AF71" s="1826"/>
      <c r="AG71" s="1826"/>
      <c r="AH71" s="1826"/>
      <c r="AI71" s="1826"/>
      <c r="AJ71" s="1826"/>
      <c r="AK71" s="1826"/>
      <c r="AL71" s="1826"/>
      <c r="AM71" s="1826"/>
      <c r="AN71" s="1826"/>
      <c r="AO71" s="1826"/>
      <c r="AP71" s="1826"/>
      <c r="AQ71" s="1826"/>
      <c r="AR71" s="1826"/>
      <c r="AS71" s="1826"/>
      <c r="AT71" s="1826"/>
      <c r="AU71" s="1826"/>
      <c r="AV71" s="1826"/>
      <c r="AW71" s="1826"/>
      <c r="AX71" s="1826"/>
      <c r="AY71" s="1826"/>
      <c r="AZ71" s="1826"/>
      <c r="BA71" s="1826"/>
      <c r="BB71" s="1826"/>
      <c r="BC71" s="1826"/>
      <c r="BD71" s="1826"/>
      <c r="BE71" s="1826"/>
      <c r="BF71" s="1826"/>
      <c r="BG71" s="1826"/>
      <c r="BH71" s="1826"/>
      <c r="BI71" s="1826"/>
      <c r="BJ71" s="1826"/>
      <c r="BK71" s="1826"/>
      <c r="BL71" s="1826"/>
      <c r="BM71" s="1826"/>
      <c r="BN71" s="1826"/>
      <c r="BO71" s="1826"/>
      <c r="BP71" s="1826"/>
      <c r="BQ71" s="1826"/>
      <c r="BR71" s="1826"/>
      <c r="BS71" s="1826"/>
      <c r="BT71" s="1826"/>
      <c r="BU71" s="1826"/>
      <c r="BV71" s="1826"/>
      <c r="BW71" s="1826"/>
      <c r="BX71" s="1826"/>
      <c r="BY71" s="1826"/>
      <c r="BZ71" s="1826"/>
      <c r="CA71" s="1826"/>
      <c r="CB71" s="1826"/>
      <c r="CC71" s="1826"/>
      <c r="CD71" s="1826"/>
      <c r="CE71" s="1826"/>
      <c r="CF71" s="1826"/>
      <c r="CG71" s="1826"/>
      <c r="CH71" s="1826"/>
      <c r="CI71" s="1826"/>
      <c r="CJ71" s="1826"/>
      <c r="CK71" s="1826"/>
      <c r="CL71" s="1826"/>
      <c r="CM71" s="1826"/>
      <c r="CN71" s="1826"/>
      <c r="CO71" s="1826"/>
    </row>
    <row r="72" spans="2:93" s="918" customFormat="1" x14ac:dyDescent="0.35">
      <c r="B72" s="916"/>
      <c r="C72" s="923" t="s">
        <v>750</v>
      </c>
      <c r="D72" s="923"/>
      <c r="E72" s="924"/>
      <c r="F72" s="924"/>
      <c r="H72" s="932"/>
      <c r="I72" s="933" t="str">
        <f>IF(G72&lt;0.2,"Advertising as a percent of sales may be too low","Advertising as a percent of sales seems reasonable")</f>
        <v>Advertising as a percent of sales may be too low</v>
      </c>
      <c r="J72" s="932"/>
      <c r="K72" s="932"/>
      <c r="L72" s="927"/>
      <c r="M72" s="927"/>
      <c r="N72" s="927"/>
      <c r="Q72" s="937"/>
      <c r="R72" s="937"/>
      <c r="S72" s="937"/>
      <c r="T72" s="937"/>
      <c r="U72" s="1826"/>
      <c r="V72" s="1826"/>
      <c r="W72" s="1826"/>
      <c r="X72" s="1826"/>
      <c r="Y72" s="1826"/>
      <c r="Z72" s="1826"/>
      <c r="AA72" s="1826"/>
      <c r="AB72" s="1826"/>
      <c r="AC72" s="1828"/>
      <c r="AD72" s="1828"/>
      <c r="AE72" s="1828"/>
      <c r="AF72" s="1826"/>
      <c r="AG72" s="1826"/>
      <c r="AH72" s="1826"/>
      <c r="AI72" s="1826"/>
      <c r="AJ72" s="1826"/>
      <c r="AK72" s="1826"/>
      <c r="AL72" s="1826"/>
      <c r="AM72" s="1826"/>
      <c r="AN72" s="1826"/>
      <c r="AO72" s="1826"/>
      <c r="AP72" s="1826"/>
      <c r="AQ72" s="1826"/>
      <c r="AR72" s="1826"/>
      <c r="AS72" s="1826"/>
      <c r="AT72" s="1826"/>
      <c r="AU72" s="1826"/>
      <c r="AV72" s="1826"/>
      <c r="AW72" s="1826"/>
      <c r="AX72" s="1826"/>
      <c r="AY72" s="1826"/>
      <c r="AZ72" s="1826"/>
      <c r="BA72" s="1826"/>
      <c r="BB72" s="1826"/>
      <c r="BC72" s="1826"/>
      <c r="BD72" s="1826"/>
      <c r="BE72" s="1826"/>
      <c r="BF72" s="1826"/>
      <c r="BG72" s="1826"/>
      <c r="BH72" s="1826"/>
      <c r="BI72" s="1826"/>
      <c r="BJ72" s="1826"/>
      <c r="BK72" s="1826"/>
      <c r="BL72" s="1826"/>
      <c r="BM72" s="1826"/>
      <c r="BN72" s="1826"/>
      <c r="BO72" s="1826"/>
      <c r="BP72" s="1826"/>
      <c r="BQ72" s="1826"/>
      <c r="BR72" s="1826"/>
      <c r="BS72" s="1826"/>
      <c r="BT72" s="1826"/>
      <c r="BU72" s="1826"/>
      <c r="BV72" s="1826"/>
      <c r="BW72" s="1826"/>
      <c r="BX72" s="1826"/>
      <c r="BY72" s="1826"/>
      <c r="BZ72" s="1826"/>
      <c r="CA72" s="1826"/>
      <c r="CB72" s="1826"/>
      <c r="CC72" s="1826"/>
      <c r="CD72" s="1826"/>
      <c r="CE72" s="1826"/>
      <c r="CF72" s="1826"/>
      <c r="CG72" s="1826"/>
      <c r="CH72" s="1826"/>
      <c r="CI72" s="1826"/>
      <c r="CJ72" s="1826"/>
      <c r="CK72" s="1826"/>
      <c r="CL72" s="1826"/>
      <c r="CM72" s="1826"/>
      <c r="CN72" s="1826"/>
      <c r="CO72" s="1826"/>
    </row>
    <row r="73" spans="2:93" s="918" customFormat="1" x14ac:dyDescent="0.35">
      <c r="B73" s="916"/>
      <c r="C73" s="916" t="s">
        <v>751</v>
      </c>
      <c r="D73" s="916"/>
      <c r="E73" s="917"/>
      <c r="F73" s="917"/>
      <c r="H73" s="930"/>
      <c r="I73" s="929" t="str">
        <f>IF(G73&lt;0,"The business is not showing a profit","The business is showing a profit")</f>
        <v>The business is showing a profit</v>
      </c>
      <c r="J73" s="930"/>
      <c r="K73" s="930"/>
      <c r="Q73" s="937"/>
      <c r="R73" s="937"/>
      <c r="S73" s="937"/>
      <c r="T73" s="937"/>
      <c r="U73" s="1826"/>
      <c r="V73" s="1826"/>
      <c r="W73" s="1826"/>
      <c r="X73" s="1826"/>
      <c r="Y73" s="1826"/>
      <c r="Z73" s="1826"/>
      <c r="AA73" s="1826"/>
      <c r="AB73" s="1826"/>
      <c r="AC73" s="1828"/>
      <c r="AD73" s="1828"/>
      <c r="AE73" s="1828"/>
      <c r="AF73" s="1826"/>
      <c r="AG73" s="1826"/>
      <c r="AH73" s="1826"/>
      <c r="AI73" s="1826"/>
      <c r="AJ73" s="1826"/>
      <c r="AK73" s="1826"/>
      <c r="AL73" s="1826"/>
      <c r="AM73" s="1826"/>
      <c r="AN73" s="1826"/>
      <c r="AO73" s="1826"/>
      <c r="AP73" s="1826"/>
      <c r="AQ73" s="1826"/>
      <c r="AR73" s="1826"/>
      <c r="AS73" s="1826"/>
      <c r="AT73" s="1826"/>
      <c r="AU73" s="1826"/>
      <c r="AV73" s="1826"/>
      <c r="AW73" s="1826"/>
      <c r="AX73" s="1826"/>
      <c r="AY73" s="1826"/>
      <c r="AZ73" s="1826"/>
      <c r="BA73" s="1826"/>
      <c r="BB73" s="1826"/>
      <c r="BC73" s="1826"/>
      <c r="BD73" s="1826"/>
      <c r="BE73" s="1826"/>
      <c r="BF73" s="1826"/>
      <c r="BG73" s="1826"/>
      <c r="BH73" s="1826"/>
      <c r="BI73" s="1826"/>
      <c r="BJ73" s="1826"/>
      <c r="BK73" s="1826"/>
      <c r="BL73" s="1826"/>
      <c r="BM73" s="1826"/>
      <c r="BN73" s="1826"/>
      <c r="BO73" s="1826"/>
      <c r="BP73" s="1826"/>
      <c r="BQ73" s="1826"/>
      <c r="BR73" s="1826"/>
      <c r="BS73" s="1826"/>
      <c r="BT73" s="1826"/>
      <c r="BU73" s="1826"/>
      <c r="BV73" s="1826"/>
      <c r="BW73" s="1826"/>
      <c r="BX73" s="1826"/>
      <c r="BY73" s="1826"/>
      <c r="BZ73" s="1826"/>
      <c r="CA73" s="1826"/>
      <c r="CB73" s="1826"/>
      <c r="CC73" s="1826"/>
      <c r="CD73" s="1826"/>
      <c r="CE73" s="1826"/>
      <c r="CF73" s="1826"/>
      <c r="CG73" s="1826"/>
      <c r="CH73" s="1826"/>
      <c r="CI73" s="1826"/>
      <c r="CJ73" s="1826"/>
      <c r="CK73" s="1826"/>
      <c r="CL73" s="1826"/>
      <c r="CM73" s="1826"/>
      <c r="CN73" s="1826"/>
      <c r="CO73" s="1826"/>
    </row>
    <row r="74" spans="2:93" s="918" customFormat="1" x14ac:dyDescent="0.35">
      <c r="B74" s="916"/>
      <c r="C74" s="916" t="s">
        <v>752</v>
      </c>
      <c r="D74" s="916"/>
      <c r="E74" s="917"/>
      <c r="F74" s="934"/>
      <c r="H74" s="930"/>
      <c r="I74" s="929" t="str">
        <f>IF(G74&gt;0.2,"The projection may be too aggressive in stating profitability","The projection does not seem highly unreasonable")</f>
        <v>The projection does not seem highly unreasonable</v>
      </c>
      <c r="J74" s="930"/>
      <c r="K74" s="930"/>
      <c r="Q74" s="937"/>
      <c r="R74" s="937"/>
      <c r="S74" s="937"/>
      <c r="T74" s="937"/>
      <c r="U74" s="1826"/>
      <c r="V74" s="1826"/>
      <c r="W74" s="1826"/>
      <c r="X74" s="1826"/>
      <c r="Y74" s="1826"/>
      <c r="Z74" s="1826"/>
      <c r="AA74" s="1826"/>
      <c r="AB74" s="1826"/>
      <c r="AC74" s="1828"/>
      <c r="AD74" s="1828"/>
      <c r="AE74" s="1828"/>
      <c r="AF74" s="1826"/>
      <c r="AG74" s="1826"/>
      <c r="AH74" s="1826"/>
      <c r="AI74" s="1826"/>
      <c r="AJ74" s="1826"/>
      <c r="AK74" s="1826"/>
      <c r="AL74" s="1826"/>
      <c r="AM74" s="1826"/>
      <c r="AN74" s="1826"/>
      <c r="AO74" s="1826"/>
      <c r="AP74" s="1826"/>
      <c r="AQ74" s="1826"/>
      <c r="AR74" s="1826"/>
      <c r="AS74" s="1826"/>
      <c r="AT74" s="1826"/>
      <c r="AU74" s="1826"/>
      <c r="AV74" s="1826"/>
      <c r="AW74" s="1826"/>
      <c r="AX74" s="1826"/>
      <c r="AY74" s="1826"/>
      <c r="AZ74" s="1826"/>
      <c r="BA74" s="1826"/>
      <c r="BB74" s="1826"/>
      <c r="BC74" s="1826"/>
      <c r="BD74" s="1826"/>
      <c r="BE74" s="1826"/>
      <c r="BF74" s="1826"/>
      <c r="BG74" s="1826"/>
      <c r="BH74" s="1826"/>
      <c r="BI74" s="1826"/>
      <c r="BJ74" s="1826"/>
      <c r="BK74" s="1826"/>
      <c r="BL74" s="1826"/>
      <c r="BM74" s="1826"/>
      <c r="BN74" s="1826"/>
      <c r="BO74" s="1826"/>
      <c r="BP74" s="1826"/>
      <c r="BQ74" s="1826"/>
      <c r="BR74" s="1826"/>
      <c r="BS74" s="1826"/>
      <c r="BT74" s="1826"/>
      <c r="BU74" s="1826"/>
      <c r="BV74" s="1826"/>
      <c r="BW74" s="1826"/>
      <c r="BX74" s="1826"/>
      <c r="BY74" s="1826"/>
      <c r="BZ74" s="1826"/>
      <c r="CA74" s="1826"/>
      <c r="CB74" s="1826"/>
      <c r="CC74" s="1826"/>
      <c r="CD74" s="1826"/>
      <c r="CE74" s="1826"/>
      <c r="CF74" s="1826"/>
      <c r="CG74" s="1826"/>
      <c r="CH74" s="1826"/>
      <c r="CI74" s="1826"/>
      <c r="CJ74" s="1826"/>
      <c r="CK74" s="1826"/>
      <c r="CL74" s="1826"/>
      <c r="CM74" s="1826"/>
      <c r="CN74" s="1826"/>
      <c r="CO74" s="1826"/>
    </row>
    <row r="75" spans="2:93" s="918" customFormat="1" x14ac:dyDescent="0.35">
      <c r="B75" s="916"/>
      <c r="C75" s="916"/>
      <c r="D75" s="916"/>
      <c r="E75" s="917"/>
      <c r="F75" s="934"/>
      <c r="H75" s="930"/>
      <c r="I75" s="929"/>
      <c r="J75" s="930"/>
      <c r="K75" s="930"/>
      <c r="Q75" s="937"/>
      <c r="R75" s="937"/>
      <c r="S75" s="937"/>
      <c r="T75" s="937"/>
      <c r="U75" s="1826"/>
      <c r="V75" s="1826"/>
      <c r="W75" s="1826"/>
      <c r="X75" s="1826"/>
      <c r="Y75" s="1826"/>
      <c r="Z75" s="1826"/>
      <c r="AA75" s="1826"/>
      <c r="AB75" s="1826"/>
      <c r="AC75" s="1828"/>
      <c r="AD75" s="1828"/>
      <c r="AE75" s="1828"/>
      <c r="AF75" s="1826"/>
      <c r="AG75" s="1826"/>
      <c r="AH75" s="1826"/>
      <c r="AI75" s="1826"/>
      <c r="AJ75" s="1826"/>
      <c r="AK75" s="1826"/>
      <c r="AL75" s="1826"/>
      <c r="AM75" s="1826"/>
      <c r="AN75" s="1826"/>
      <c r="AO75" s="1826"/>
      <c r="AP75" s="1826"/>
      <c r="AQ75" s="1826"/>
      <c r="AR75" s="1826"/>
      <c r="AS75" s="1826"/>
      <c r="AT75" s="1826"/>
      <c r="AU75" s="1826"/>
      <c r="AV75" s="1826"/>
      <c r="AW75" s="1826"/>
      <c r="AX75" s="1826"/>
      <c r="AY75" s="1826"/>
      <c r="AZ75" s="1826"/>
      <c r="BA75" s="1826"/>
      <c r="BB75" s="1826"/>
      <c r="BC75" s="1826"/>
      <c r="BD75" s="1826"/>
      <c r="BE75" s="1826"/>
      <c r="BF75" s="1826"/>
      <c r="BG75" s="1826"/>
      <c r="BH75" s="1826"/>
      <c r="BI75" s="1826"/>
      <c r="BJ75" s="1826"/>
      <c r="BK75" s="1826"/>
      <c r="BL75" s="1826"/>
      <c r="BM75" s="1826"/>
      <c r="BN75" s="1826"/>
      <c r="BO75" s="1826"/>
      <c r="BP75" s="1826"/>
      <c r="BQ75" s="1826"/>
      <c r="BR75" s="1826"/>
      <c r="BS75" s="1826"/>
      <c r="BT75" s="1826"/>
      <c r="BU75" s="1826"/>
      <c r="BV75" s="1826"/>
      <c r="BW75" s="1826"/>
      <c r="BX75" s="1826"/>
      <c r="BY75" s="1826"/>
      <c r="BZ75" s="1826"/>
      <c r="CA75" s="1826"/>
      <c r="CB75" s="1826"/>
      <c r="CC75" s="1826"/>
      <c r="CD75" s="1826"/>
      <c r="CE75" s="1826"/>
      <c r="CF75" s="1826"/>
      <c r="CG75" s="1826"/>
      <c r="CH75" s="1826"/>
      <c r="CI75" s="1826"/>
      <c r="CJ75" s="1826"/>
      <c r="CK75" s="1826"/>
      <c r="CL75" s="1826"/>
      <c r="CM75" s="1826"/>
      <c r="CN75" s="1826"/>
      <c r="CO75" s="1826"/>
    </row>
    <row r="76" spans="2:93" s="918" customFormat="1" x14ac:dyDescent="0.35">
      <c r="B76" s="923" t="s">
        <v>753</v>
      </c>
      <c r="C76" s="923"/>
      <c r="D76" s="923"/>
      <c r="E76" s="924"/>
      <c r="F76" s="935"/>
      <c r="H76" s="932"/>
      <c r="I76" s="933"/>
      <c r="J76" s="932"/>
      <c r="K76" s="932"/>
      <c r="L76" s="927"/>
      <c r="M76" s="927"/>
      <c r="N76" s="927"/>
      <c r="Q76" s="937"/>
      <c r="R76" s="937"/>
      <c r="S76" s="937"/>
      <c r="T76" s="937"/>
      <c r="U76" s="937"/>
      <c r="V76" s="937"/>
      <c r="W76" s="937"/>
      <c r="X76" s="937"/>
      <c r="Y76" s="937"/>
      <c r="Z76" s="937"/>
      <c r="AA76" s="937"/>
      <c r="AB76" s="937"/>
      <c r="AC76" s="963"/>
      <c r="AD76" s="963"/>
      <c r="AE76" s="963"/>
      <c r="AF76" s="937"/>
      <c r="AG76" s="937"/>
      <c r="AH76" s="937"/>
      <c r="AI76" s="937"/>
      <c r="AJ76" s="937"/>
      <c r="AK76" s="937"/>
      <c r="AL76" s="937"/>
      <c r="AM76" s="937"/>
      <c r="AN76" s="937"/>
      <c r="AO76" s="937"/>
      <c r="AP76" s="937"/>
      <c r="AQ76" s="937"/>
      <c r="AR76" s="937"/>
      <c r="AS76" s="937"/>
      <c r="AT76" s="937"/>
      <c r="AU76" s="937"/>
      <c r="AV76" s="937"/>
      <c r="AW76" s="937"/>
      <c r="AX76" s="937"/>
      <c r="AY76" s="937"/>
      <c r="AZ76" s="937"/>
      <c r="BA76" s="937"/>
      <c r="BB76" s="937"/>
      <c r="BC76" s="937"/>
      <c r="BD76" s="937"/>
      <c r="BE76" s="937"/>
      <c r="BF76" s="937"/>
      <c r="BG76" s="937"/>
      <c r="BH76" s="937"/>
      <c r="BI76" s="937"/>
      <c r="BJ76" s="937"/>
      <c r="BK76" s="937"/>
      <c r="BL76" s="937"/>
      <c r="BM76" s="937"/>
      <c r="BN76" s="937"/>
      <c r="BO76" s="937"/>
      <c r="BP76" s="937"/>
      <c r="BQ76" s="937"/>
      <c r="BR76" s="937"/>
      <c r="BS76" s="937"/>
      <c r="BT76" s="937"/>
      <c r="BU76" s="937"/>
      <c r="BV76" s="937"/>
      <c r="BW76" s="937"/>
      <c r="BX76" s="937"/>
      <c r="BY76" s="937"/>
      <c r="BZ76" s="937"/>
      <c r="CA76" s="937"/>
      <c r="CB76" s="937"/>
      <c r="CC76" s="937"/>
      <c r="CD76" s="937"/>
      <c r="CE76" s="937"/>
      <c r="CF76" s="937"/>
      <c r="CG76" s="937"/>
      <c r="CH76" s="937"/>
      <c r="CI76" s="937"/>
      <c r="CJ76" s="937"/>
      <c r="CK76" s="937"/>
      <c r="CL76" s="937"/>
      <c r="CM76" s="937"/>
      <c r="CN76" s="937"/>
      <c r="CO76" s="937"/>
    </row>
    <row r="77" spans="2:93" s="918" customFormat="1" x14ac:dyDescent="0.35">
      <c r="B77" s="923"/>
      <c r="C77" s="923" t="s">
        <v>754</v>
      </c>
      <c r="D77" s="923"/>
      <c r="E77" s="924"/>
      <c r="F77" s="924"/>
      <c r="H77" s="932"/>
      <c r="I77" s="933" t="str">
        <f>IF(G77&gt;0,"The financial projection provides the desired level of cash flow","The financial projection does not provide the desired level of cash flow")</f>
        <v>The financial projection does not provide the desired level of cash flow</v>
      </c>
      <c r="J77" s="932"/>
      <c r="K77" s="932"/>
      <c r="L77" s="927"/>
      <c r="M77" s="927"/>
      <c r="N77" s="927"/>
      <c r="Q77" s="937"/>
      <c r="R77" s="937"/>
      <c r="S77" s="937"/>
      <c r="T77" s="937"/>
      <c r="U77" s="937"/>
      <c r="V77" s="937"/>
      <c r="W77" s="937"/>
      <c r="X77" s="937"/>
      <c r="Y77" s="937"/>
      <c r="Z77" s="937"/>
      <c r="AA77" s="937"/>
      <c r="AB77" s="937"/>
      <c r="AC77" s="963"/>
      <c r="AD77" s="963"/>
      <c r="AE77" s="963"/>
      <c r="AF77" s="937"/>
      <c r="AG77" s="937"/>
      <c r="AH77" s="937"/>
      <c r="AI77" s="937"/>
      <c r="AJ77" s="937"/>
      <c r="AK77" s="937"/>
      <c r="AL77" s="937"/>
      <c r="AM77" s="937"/>
      <c r="AN77" s="937"/>
      <c r="AO77" s="937"/>
      <c r="AP77" s="937"/>
      <c r="AQ77" s="937"/>
      <c r="AR77" s="937"/>
      <c r="AS77" s="937"/>
      <c r="AT77" s="937"/>
      <c r="AU77" s="937"/>
      <c r="AV77" s="937"/>
      <c r="AW77" s="937"/>
      <c r="AX77" s="937"/>
      <c r="AY77" s="937"/>
      <c r="AZ77" s="937"/>
      <c r="BA77" s="937"/>
      <c r="BB77" s="937"/>
      <c r="BC77" s="937"/>
      <c r="BD77" s="937"/>
      <c r="BE77" s="937"/>
      <c r="BF77" s="937"/>
      <c r="BG77" s="937"/>
      <c r="BH77" s="937"/>
      <c r="BI77" s="937"/>
      <c r="BJ77" s="937"/>
      <c r="BK77" s="937"/>
      <c r="BL77" s="937"/>
      <c r="BM77" s="937"/>
      <c r="BN77" s="937"/>
      <c r="BO77" s="937"/>
      <c r="BP77" s="937"/>
      <c r="BQ77" s="937"/>
      <c r="BR77" s="937"/>
      <c r="BS77" s="937"/>
      <c r="BT77" s="937"/>
      <c r="BU77" s="937"/>
      <c r="BV77" s="937"/>
      <c r="BW77" s="937"/>
      <c r="BX77" s="937"/>
      <c r="BY77" s="937"/>
      <c r="BZ77" s="937"/>
      <c r="CA77" s="937"/>
      <c r="CB77" s="937"/>
      <c r="CC77" s="937"/>
      <c r="CD77" s="937"/>
      <c r="CE77" s="937"/>
      <c r="CF77" s="937"/>
      <c r="CG77" s="937"/>
      <c r="CH77" s="937"/>
      <c r="CI77" s="937"/>
      <c r="CJ77" s="937"/>
      <c r="CK77" s="937"/>
      <c r="CL77" s="937"/>
      <c r="CM77" s="937"/>
      <c r="CN77" s="937"/>
      <c r="CO77" s="937"/>
    </row>
    <row r="78" spans="2:93" s="918" customFormat="1" x14ac:dyDescent="0.35">
      <c r="B78" s="923"/>
      <c r="C78" s="923"/>
      <c r="D78" s="923"/>
      <c r="E78" s="924"/>
      <c r="F78" s="935"/>
      <c r="H78" s="932"/>
      <c r="I78" s="918" t="s">
        <v>755</v>
      </c>
      <c r="J78" s="932"/>
      <c r="K78" s="932"/>
      <c r="L78" s="927"/>
      <c r="M78" s="927"/>
      <c r="N78" s="927"/>
      <c r="Q78" s="937"/>
      <c r="R78" s="937"/>
      <c r="S78" s="937"/>
      <c r="T78" s="937"/>
      <c r="U78" s="937"/>
      <c r="V78" s="937"/>
      <c r="W78" s="937"/>
      <c r="X78" s="937"/>
      <c r="Y78" s="937"/>
      <c r="Z78" s="937"/>
      <c r="AA78" s="937"/>
      <c r="AB78" s="937"/>
      <c r="AC78" s="963"/>
      <c r="AD78" s="963"/>
      <c r="AE78" s="963"/>
      <c r="AF78" s="937"/>
      <c r="AG78" s="937"/>
      <c r="AH78" s="937"/>
      <c r="AI78" s="937"/>
      <c r="AJ78" s="937"/>
      <c r="AK78" s="937"/>
      <c r="AL78" s="937"/>
      <c r="AM78" s="937"/>
      <c r="AN78" s="937"/>
      <c r="AO78" s="937"/>
      <c r="AP78" s="937"/>
      <c r="AQ78" s="937"/>
      <c r="AR78" s="937"/>
      <c r="AS78" s="937"/>
      <c r="AT78" s="937"/>
      <c r="AU78" s="937"/>
      <c r="AV78" s="937"/>
      <c r="AW78" s="937"/>
      <c r="AX78" s="937"/>
      <c r="AY78" s="937"/>
      <c r="AZ78" s="937"/>
      <c r="BA78" s="937"/>
      <c r="BB78" s="937"/>
      <c r="BC78" s="937"/>
      <c r="BD78" s="937"/>
      <c r="BE78" s="937"/>
      <c r="BF78" s="937"/>
      <c r="BG78" s="937"/>
      <c r="BH78" s="937"/>
      <c r="BI78" s="937"/>
      <c r="BJ78" s="937"/>
      <c r="BK78" s="937"/>
      <c r="BL78" s="937"/>
      <c r="BM78" s="937"/>
      <c r="BN78" s="937"/>
      <c r="BO78" s="937"/>
      <c r="BP78" s="937"/>
      <c r="BQ78" s="937"/>
      <c r="BR78" s="937"/>
      <c r="BS78" s="937"/>
      <c r="BT78" s="937"/>
      <c r="BU78" s="937"/>
      <c r="BV78" s="937"/>
      <c r="BW78" s="937"/>
      <c r="BX78" s="937"/>
      <c r="BY78" s="937"/>
      <c r="BZ78" s="937"/>
      <c r="CA78" s="937"/>
      <c r="CB78" s="937"/>
      <c r="CC78" s="937"/>
      <c r="CD78" s="937"/>
      <c r="CE78" s="937"/>
      <c r="CF78" s="937"/>
      <c r="CG78" s="937"/>
      <c r="CH78" s="937"/>
      <c r="CI78" s="937"/>
      <c r="CJ78" s="937"/>
      <c r="CK78" s="937"/>
      <c r="CL78" s="937"/>
      <c r="CM78" s="937"/>
      <c r="CN78" s="937"/>
      <c r="CO78" s="937"/>
    </row>
    <row r="79" spans="2:93" s="918" customFormat="1" x14ac:dyDescent="0.35">
      <c r="B79" s="923"/>
      <c r="C79" s="923"/>
      <c r="D79" s="923"/>
      <c r="E79" s="924"/>
      <c r="F79" s="924"/>
      <c r="H79" s="932"/>
      <c r="I79" s="933"/>
      <c r="J79" s="932"/>
      <c r="K79" s="932"/>
      <c r="L79" s="927"/>
      <c r="M79" s="927"/>
      <c r="N79" s="927"/>
      <c r="Q79" s="937"/>
      <c r="R79" s="937"/>
      <c r="S79" s="937"/>
      <c r="T79" s="937"/>
      <c r="U79" s="937"/>
      <c r="V79" s="937"/>
      <c r="W79" s="937"/>
      <c r="X79" s="937"/>
      <c r="Y79" s="937"/>
      <c r="Z79" s="937"/>
      <c r="AA79" s="937"/>
      <c r="AB79" s="937"/>
      <c r="AC79" s="963"/>
      <c r="AD79" s="963"/>
      <c r="AE79" s="963"/>
      <c r="AF79" s="937"/>
      <c r="AG79" s="937"/>
      <c r="AH79" s="937"/>
      <c r="AI79" s="937"/>
      <c r="AJ79" s="937"/>
      <c r="AK79" s="937"/>
      <c r="AL79" s="937"/>
      <c r="AM79" s="937"/>
      <c r="AN79" s="937"/>
      <c r="AO79" s="937"/>
      <c r="AP79" s="937"/>
      <c r="AQ79" s="937"/>
      <c r="AR79" s="937"/>
      <c r="AS79" s="937"/>
      <c r="AT79" s="937"/>
      <c r="AU79" s="937"/>
      <c r="AV79" s="937"/>
      <c r="AW79" s="937"/>
      <c r="AX79" s="937"/>
      <c r="AY79" s="937"/>
      <c r="AZ79" s="937"/>
      <c r="BA79" s="937"/>
      <c r="BB79" s="937"/>
      <c r="BC79" s="937"/>
      <c r="BD79" s="937"/>
      <c r="BE79" s="937"/>
      <c r="BF79" s="937"/>
      <c r="BG79" s="937"/>
      <c r="BH79" s="937"/>
      <c r="BI79" s="937"/>
      <c r="BJ79" s="937"/>
      <c r="BK79" s="937"/>
      <c r="BL79" s="937"/>
      <c r="BM79" s="937"/>
      <c r="BN79" s="937"/>
      <c r="BO79" s="937"/>
      <c r="BP79" s="937"/>
      <c r="BQ79" s="937"/>
      <c r="BR79" s="937"/>
      <c r="BS79" s="937"/>
      <c r="BT79" s="937"/>
      <c r="BU79" s="937"/>
      <c r="BV79" s="937"/>
      <c r="BW79" s="937"/>
      <c r="BX79" s="937"/>
      <c r="BY79" s="937"/>
      <c r="BZ79" s="937"/>
      <c r="CA79" s="937"/>
      <c r="CB79" s="937"/>
      <c r="CC79" s="937"/>
      <c r="CD79" s="937"/>
      <c r="CE79" s="937"/>
      <c r="CF79" s="937"/>
      <c r="CG79" s="937"/>
      <c r="CH79" s="937"/>
      <c r="CI79" s="937"/>
      <c r="CJ79" s="937"/>
      <c r="CK79" s="937"/>
      <c r="CL79" s="937"/>
      <c r="CM79" s="937"/>
      <c r="CN79" s="937"/>
      <c r="CO79" s="937"/>
    </row>
    <row r="80" spans="2:93" s="918" customFormat="1" x14ac:dyDescent="0.35">
      <c r="B80" s="923" t="s">
        <v>10</v>
      </c>
      <c r="C80" s="923" t="s">
        <v>756</v>
      </c>
      <c r="D80" s="923"/>
      <c r="E80" s="924"/>
      <c r="F80" s="924"/>
      <c r="H80" s="932"/>
      <c r="I80" s="982" t="str">
        <f>IF(G80&lt;&gt;0,"The balance sheet is not in balance","The balance sheet does balance")</f>
        <v>The balance sheet does balance</v>
      </c>
      <c r="J80" s="982"/>
      <c r="K80" s="982"/>
      <c r="L80" s="982"/>
      <c r="M80" s="927"/>
      <c r="N80" s="927"/>
      <c r="Q80" s="937"/>
      <c r="R80" s="937"/>
      <c r="S80" s="937"/>
      <c r="T80" s="937"/>
      <c r="U80" s="937"/>
      <c r="V80" s="937"/>
      <c r="W80" s="937"/>
      <c r="X80" s="937"/>
      <c r="Y80" s="937"/>
      <c r="Z80" s="937"/>
      <c r="AA80" s="937"/>
      <c r="AB80" s="937"/>
      <c r="AC80" s="963"/>
      <c r="AD80" s="963"/>
      <c r="AE80" s="963"/>
      <c r="AF80" s="937"/>
      <c r="AG80" s="937"/>
      <c r="AH80" s="937"/>
      <c r="AI80" s="937"/>
      <c r="AJ80" s="937"/>
      <c r="AK80" s="937"/>
      <c r="AL80" s="937"/>
      <c r="AM80" s="937"/>
      <c r="AN80" s="937"/>
      <c r="AO80" s="937"/>
      <c r="AP80" s="937"/>
      <c r="AQ80" s="937"/>
      <c r="AR80" s="937"/>
      <c r="AS80" s="937"/>
      <c r="AT80" s="937"/>
      <c r="AU80" s="937"/>
      <c r="AV80" s="937"/>
      <c r="AW80" s="937"/>
      <c r="AX80" s="937"/>
      <c r="AY80" s="937"/>
      <c r="AZ80" s="937"/>
      <c r="BA80" s="937"/>
      <c r="BB80" s="937"/>
      <c r="BC80" s="937"/>
      <c r="BD80" s="937"/>
      <c r="BE80" s="937"/>
      <c r="BF80" s="937"/>
      <c r="BG80" s="937"/>
      <c r="BH80" s="937"/>
      <c r="BI80" s="937"/>
      <c r="BJ80" s="937"/>
      <c r="BK80" s="937"/>
      <c r="BL80" s="937"/>
      <c r="BM80" s="937"/>
      <c r="BN80" s="937"/>
      <c r="BO80" s="937"/>
      <c r="BP80" s="937"/>
      <c r="BQ80" s="937"/>
      <c r="BR80" s="937"/>
      <c r="BS80" s="937"/>
      <c r="BT80" s="937"/>
      <c r="BU80" s="937"/>
      <c r="BV80" s="937"/>
      <c r="BW80" s="937"/>
      <c r="BX80" s="937"/>
      <c r="BY80" s="937"/>
      <c r="BZ80" s="937"/>
      <c r="CA80" s="937"/>
      <c r="CB80" s="937"/>
      <c r="CC80" s="937"/>
      <c r="CD80" s="937"/>
      <c r="CE80" s="937"/>
      <c r="CF80" s="937"/>
      <c r="CG80" s="937"/>
      <c r="CH80" s="937"/>
      <c r="CI80" s="937"/>
      <c r="CJ80" s="937"/>
      <c r="CK80" s="937"/>
      <c r="CL80" s="937"/>
      <c r="CM80" s="937"/>
      <c r="CN80" s="937"/>
      <c r="CO80" s="937"/>
    </row>
    <row r="81" spans="2:93" s="918" customFormat="1" x14ac:dyDescent="0.35">
      <c r="B81" s="923"/>
      <c r="C81" s="923" t="s">
        <v>757</v>
      </c>
      <c r="D81" s="923"/>
      <c r="E81" s="924"/>
      <c r="F81" s="924"/>
      <c r="H81" s="932"/>
      <c r="I81" s="982" t="str">
        <f>IF(G81&lt;&gt;0,"The balance sheet is not in balance","The balance sheet does balance")</f>
        <v>The balance sheet does balance</v>
      </c>
      <c r="J81" s="982"/>
      <c r="K81" s="982"/>
      <c r="L81" s="982"/>
      <c r="M81" s="927"/>
      <c r="N81" s="927"/>
      <c r="Q81" s="937"/>
      <c r="R81" s="937"/>
      <c r="S81" s="937"/>
      <c r="T81" s="937"/>
      <c r="U81" s="937"/>
      <c r="V81" s="937"/>
      <c r="W81" s="937"/>
      <c r="X81" s="937"/>
      <c r="Y81" s="937"/>
      <c r="Z81" s="937"/>
      <c r="AA81" s="937"/>
      <c r="AB81" s="937"/>
      <c r="AC81" s="963"/>
      <c r="AD81" s="963"/>
      <c r="AE81" s="963"/>
      <c r="AF81" s="937"/>
      <c r="AG81" s="937"/>
      <c r="AH81" s="937"/>
      <c r="AI81" s="937"/>
      <c r="AJ81" s="937"/>
      <c r="AK81" s="937"/>
      <c r="AL81" s="937"/>
      <c r="AM81" s="937"/>
      <c r="AN81" s="937"/>
      <c r="AO81" s="937"/>
      <c r="AP81" s="937"/>
      <c r="AQ81" s="937"/>
      <c r="AR81" s="937"/>
      <c r="AS81" s="937"/>
      <c r="AT81" s="937"/>
      <c r="AU81" s="937"/>
      <c r="AV81" s="937"/>
      <c r="AW81" s="937"/>
      <c r="AX81" s="937"/>
      <c r="AY81" s="937"/>
      <c r="AZ81" s="937"/>
      <c r="BA81" s="937"/>
      <c r="BB81" s="937"/>
      <c r="BC81" s="937"/>
      <c r="BD81" s="937"/>
      <c r="BE81" s="937"/>
      <c r="BF81" s="937"/>
      <c r="BG81" s="937"/>
      <c r="BH81" s="937"/>
      <c r="BI81" s="937"/>
      <c r="BJ81" s="937"/>
      <c r="BK81" s="937"/>
      <c r="BL81" s="937"/>
      <c r="BM81" s="937"/>
      <c r="BN81" s="937"/>
      <c r="BO81" s="937"/>
      <c r="BP81" s="937"/>
      <c r="BQ81" s="937"/>
      <c r="BR81" s="937"/>
      <c r="BS81" s="937"/>
      <c r="BT81" s="937"/>
      <c r="BU81" s="937"/>
      <c r="BV81" s="937"/>
      <c r="BW81" s="937"/>
      <c r="BX81" s="937"/>
      <c r="BY81" s="937"/>
      <c r="BZ81" s="937"/>
      <c r="CA81" s="937"/>
      <c r="CB81" s="937"/>
      <c r="CC81" s="937"/>
      <c r="CD81" s="937"/>
      <c r="CE81" s="937"/>
      <c r="CF81" s="937"/>
      <c r="CG81" s="937"/>
      <c r="CH81" s="937"/>
      <c r="CI81" s="937"/>
      <c r="CJ81" s="937"/>
      <c r="CK81" s="937"/>
      <c r="CL81" s="937"/>
      <c r="CM81" s="937"/>
      <c r="CN81" s="937"/>
      <c r="CO81" s="937"/>
    </row>
    <row r="82" spans="2:93" s="918" customFormat="1" x14ac:dyDescent="0.35">
      <c r="B82" s="923"/>
      <c r="C82" s="923" t="s">
        <v>758</v>
      </c>
      <c r="D82" s="923"/>
      <c r="E82" s="924"/>
      <c r="F82" s="924"/>
      <c r="H82" s="932"/>
      <c r="I82" s="982" t="str">
        <f>IF(G82&lt;&gt;0,"The cash flow balance is not in balance","The cash flow balance does balance")</f>
        <v>The cash flow balance does balance</v>
      </c>
      <c r="J82" s="982"/>
      <c r="K82" s="982"/>
      <c r="L82" s="982"/>
      <c r="M82" s="927"/>
      <c r="N82" s="927"/>
      <c r="Q82" s="937"/>
      <c r="R82" s="937"/>
      <c r="S82" s="937"/>
      <c r="T82" s="937"/>
      <c r="U82" s="937"/>
      <c r="V82" s="937"/>
      <c r="W82" s="937"/>
      <c r="X82" s="937"/>
      <c r="Y82" s="937"/>
      <c r="Z82" s="937"/>
      <c r="AA82" s="937"/>
      <c r="AB82" s="937"/>
      <c r="AC82" s="963"/>
      <c r="AD82" s="963"/>
      <c r="AE82" s="963"/>
      <c r="AF82" s="937"/>
      <c r="AG82" s="937"/>
      <c r="AH82" s="937"/>
      <c r="AI82" s="937"/>
      <c r="AJ82" s="937"/>
      <c r="AK82" s="937"/>
      <c r="AL82" s="937"/>
      <c r="AM82" s="937"/>
      <c r="AN82" s="937"/>
      <c r="AO82" s="937"/>
      <c r="AP82" s="937"/>
      <c r="AQ82" s="937"/>
      <c r="AR82" s="937"/>
      <c r="AS82" s="937"/>
      <c r="AT82" s="937"/>
      <c r="AU82" s="937"/>
      <c r="AV82" s="937"/>
      <c r="AW82" s="937"/>
      <c r="AX82" s="937"/>
      <c r="AY82" s="937"/>
      <c r="AZ82" s="937"/>
      <c r="BA82" s="937"/>
      <c r="BB82" s="937"/>
      <c r="BC82" s="937"/>
      <c r="BD82" s="937"/>
      <c r="BE82" s="937"/>
      <c r="BF82" s="937"/>
      <c r="BG82" s="937"/>
      <c r="BH82" s="937"/>
      <c r="BI82" s="937"/>
      <c r="BJ82" s="937"/>
      <c r="BK82" s="937"/>
      <c r="BL82" s="937"/>
      <c r="BM82" s="937"/>
      <c r="BN82" s="937"/>
      <c r="BO82" s="937"/>
      <c r="BP82" s="937"/>
      <c r="BQ82" s="937"/>
      <c r="BR82" s="937"/>
      <c r="BS82" s="937"/>
      <c r="BT82" s="937"/>
      <c r="BU82" s="937"/>
      <c r="BV82" s="937"/>
      <c r="BW82" s="937"/>
      <c r="BX82" s="937"/>
      <c r="BY82" s="937"/>
      <c r="BZ82" s="937"/>
      <c r="CA82" s="937"/>
      <c r="CB82" s="937"/>
      <c r="CC82" s="937"/>
      <c r="CD82" s="937"/>
      <c r="CE82" s="937"/>
      <c r="CF82" s="937"/>
      <c r="CG82" s="937"/>
      <c r="CH82" s="937"/>
      <c r="CI82" s="937"/>
      <c r="CJ82" s="937"/>
      <c r="CK82" s="937"/>
      <c r="CL82" s="937"/>
      <c r="CM82" s="937"/>
      <c r="CN82" s="937"/>
      <c r="CO82" s="937"/>
    </row>
    <row r="83" spans="2:93" s="918" customFormat="1" x14ac:dyDescent="0.35">
      <c r="B83" s="923"/>
      <c r="C83" s="923" t="s">
        <v>759</v>
      </c>
      <c r="D83" s="923"/>
      <c r="E83" s="924"/>
      <c r="F83" s="924"/>
      <c r="H83" s="932"/>
      <c r="I83" s="933" t="str">
        <f>IF(G83&gt;5,"Most banks would consider there to be too much debt for the overall amount of equity or ownership","The debt to equity ratio seems reasonable")</f>
        <v>The debt to equity ratio seems reasonable</v>
      </c>
      <c r="J83" s="932"/>
      <c r="K83" s="932"/>
      <c r="L83" s="927"/>
      <c r="M83" s="927"/>
      <c r="N83" s="927"/>
      <c r="Q83" s="937"/>
      <c r="R83" s="937"/>
      <c r="S83" s="937"/>
      <c r="T83" s="937"/>
      <c r="U83" s="937"/>
      <c r="V83" s="937"/>
      <c r="W83" s="937"/>
      <c r="X83" s="937"/>
      <c r="Y83" s="937"/>
      <c r="Z83" s="937"/>
      <c r="AA83" s="937"/>
      <c r="AB83" s="937"/>
      <c r="AC83" s="963"/>
      <c r="AD83" s="963"/>
      <c r="AE83" s="963"/>
      <c r="AF83" s="937"/>
      <c r="AG83" s="937"/>
      <c r="AH83" s="937"/>
      <c r="AI83" s="937"/>
      <c r="AJ83" s="937"/>
      <c r="AK83" s="937"/>
      <c r="AL83" s="937"/>
      <c r="AM83" s="937"/>
      <c r="AN83" s="937"/>
      <c r="AO83" s="937"/>
      <c r="AP83" s="937"/>
      <c r="AQ83" s="937"/>
      <c r="AR83" s="937"/>
      <c r="AS83" s="937"/>
      <c r="AT83" s="937"/>
      <c r="AU83" s="937"/>
      <c r="AV83" s="937"/>
      <c r="AW83" s="937"/>
      <c r="AX83" s="937"/>
      <c r="AY83" s="937"/>
      <c r="AZ83" s="937"/>
      <c r="BA83" s="937"/>
      <c r="BB83" s="937"/>
      <c r="BC83" s="937"/>
      <c r="BD83" s="937"/>
      <c r="BE83" s="937"/>
      <c r="BF83" s="937"/>
      <c r="BG83" s="937"/>
      <c r="BH83" s="937"/>
      <c r="BI83" s="937"/>
      <c r="BJ83" s="937"/>
      <c r="BK83" s="937"/>
      <c r="BL83" s="937"/>
      <c r="BM83" s="937"/>
      <c r="BN83" s="937"/>
      <c r="BO83" s="937"/>
      <c r="BP83" s="937"/>
      <c r="BQ83" s="937"/>
      <c r="BR83" s="937"/>
      <c r="BS83" s="937"/>
      <c r="BT83" s="937"/>
      <c r="BU83" s="937"/>
      <c r="BV83" s="937"/>
      <c r="BW83" s="937"/>
      <c r="BX83" s="937"/>
      <c r="BY83" s="937"/>
      <c r="BZ83" s="937"/>
      <c r="CA83" s="937"/>
      <c r="CB83" s="937"/>
      <c r="CC83" s="937"/>
      <c r="CD83" s="937"/>
      <c r="CE83" s="937"/>
      <c r="CF83" s="937"/>
      <c r="CG83" s="937"/>
      <c r="CH83" s="937"/>
      <c r="CI83" s="937"/>
      <c r="CJ83" s="937"/>
      <c r="CK83" s="937"/>
      <c r="CL83" s="937"/>
      <c r="CM83" s="937"/>
      <c r="CN83" s="937"/>
      <c r="CO83" s="937"/>
    </row>
    <row r="84" spans="2:93" s="918" customFormat="1" x14ac:dyDescent="0.35">
      <c r="B84" s="923"/>
      <c r="C84" s="923"/>
      <c r="D84" s="923"/>
      <c r="E84" s="924"/>
      <c r="F84" s="924"/>
      <c r="H84" s="932"/>
      <c r="I84" s="933"/>
      <c r="J84" s="932"/>
      <c r="K84" s="932"/>
      <c r="L84" s="927"/>
      <c r="M84" s="927"/>
      <c r="N84" s="927"/>
      <c r="Q84" s="937"/>
      <c r="R84" s="937"/>
      <c r="S84" s="937"/>
      <c r="T84" s="937"/>
      <c r="U84" s="937"/>
      <c r="V84" s="937"/>
      <c r="W84" s="937"/>
      <c r="X84" s="937"/>
      <c r="Y84" s="937"/>
      <c r="Z84" s="937"/>
      <c r="AA84" s="937"/>
      <c r="AB84" s="937"/>
      <c r="AC84" s="963"/>
      <c r="AD84" s="963"/>
      <c r="AE84" s="963"/>
      <c r="AF84" s="937"/>
      <c r="AG84" s="937"/>
      <c r="AH84" s="937"/>
      <c r="AI84" s="937"/>
      <c r="AJ84" s="937"/>
      <c r="AK84" s="937"/>
      <c r="AL84" s="937"/>
      <c r="AM84" s="937"/>
      <c r="AN84" s="937"/>
      <c r="AO84" s="937"/>
      <c r="AP84" s="937"/>
      <c r="AQ84" s="937"/>
      <c r="AR84" s="937"/>
      <c r="AS84" s="937"/>
      <c r="AT84" s="937"/>
      <c r="AU84" s="937"/>
      <c r="AV84" s="937"/>
      <c r="AW84" s="937"/>
      <c r="AX84" s="937"/>
      <c r="AY84" s="937"/>
      <c r="AZ84" s="937"/>
      <c r="BA84" s="937"/>
      <c r="BB84" s="937"/>
      <c r="BC84" s="937"/>
      <c r="BD84" s="937"/>
      <c r="BE84" s="937"/>
      <c r="BF84" s="937"/>
      <c r="BG84" s="937"/>
      <c r="BH84" s="937"/>
      <c r="BI84" s="937"/>
      <c r="BJ84" s="937"/>
      <c r="BK84" s="937"/>
      <c r="BL84" s="937"/>
      <c r="BM84" s="937"/>
      <c r="BN84" s="937"/>
      <c r="BO84" s="937"/>
      <c r="BP84" s="937"/>
      <c r="BQ84" s="937"/>
      <c r="BR84" s="937"/>
      <c r="BS84" s="937"/>
      <c r="BT84" s="937"/>
      <c r="BU84" s="937"/>
      <c r="BV84" s="937"/>
      <c r="BW84" s="937"/>
      <c r="BX84" s="937"/>
      <c r="BY84" s="937"/>
      <c r="BZ84" s="937"/>
      <c r="CA84" s="937"/>
      <c r="CB84" s="937"/>
      <c r="CC84" s="937"/>
      <c r="CD84" s="937"/>
      <c r="CE84" s="937"/>
      <c r="CF84" s="937"/>
      <c r="CG84" s="937"/>
      <c r="CH84" s="937"/>
      <c r="CI84" s="937"/>
      <c r="CJ84" s="937"/>
      <c r="CK84" s="937"/>
      <c r="CL84" s="937"/>
      <c r="CM84" s="937"/>
      <c r="CN84" s="937"/>
      <c r="CO84" s="937"/>
    </row>
    <row r="85" spans="2:93" s="918" customFormat="1" x14ac:dyDescent="0.35">
      <c r="B85" s="923"/>
      <c r="C85" s="923"/>
      <c r="D85" s="923"/>
      <c r="E85" s="924"/>
      <c r="F85" s="924"/>
      <c r="H85" s="932"/>
      <c r="I85" s="933"/>
      <c r="J85" s="932"/>
      <c r="K85" s="932"/>
      <c r="L85" s="927"/>
      <c r="M85" s="927"/>
      <c r="N85" s="927"/>
      <c r="Q85" s="937"/>
      <c r="R85" s="937"/>
      <c r="S85" s="937"/>
      <c r="T85" s="937"/>
      <c r="U85" s="937"/>
      <c r="V85" s="937"/>
      <c r="W85" s="937"/>
      <c r="X85" s="937"/>
      <c r="Y85" s="937"/>
      <c r="Z85" s="937"/>
      <c r="AA85" s="937"/>
      <c r="AB85" s="937"/>
      <c r="AC85" s="963"/>
      <c r="AD85" s="963"/>
      <c r="AE85" s="963"/>
      <c r="AF85" s="937"/>
      <c r="AG85" s="937"/>
      <c r="AH85" s="937"/>
      <c r="AI85" s="937"/>
      <c r="AJ85" s="937"/>
      <c r="AK85" s="937"/>
      <c r="AL85" s="937"/>
      <c r="AM85" s="937"/>
      <c r="AN85" s="937"/>
      <c r="AO85" s="937"/>
      <c r="AP85" s="937"/>
      <c r="AQ85" s="937"/>
      <c r="AR85" s="937"/>
      <c r="AS85" s="937"/>
      <c r="AT85" s="937"/>
      <c r="AU85" s="937"/>
      <c r="AV85" s="937"/>
      <c r="AW85" s="937"/>
      <c r="AX85" s="937"/>
      <c r="AY85" s="937"/>
      <c r="AZ85" s="937"/>
      <c r="BA85" s="937"/>
      <c r="BB85" s="937"/>
      <c r="BC85" s="937"/>
      <c r="BD85" s="937"/>
      <c r="BE85" s="937"/>
      <c r="BF85" s="937"/>
      <c r="BG85" s="937"/>
      <c r="BH85" s="937"/>
      <c r="BI85" s="937"/>
      <c r="BJ85" s="937"/>
      <c r="BK85" s="937"/>
      <c r="BL85" s="937"/>
      <c r="BM85" s="937"/>
      <c r="BN85" s="937"/>
      <c r="BO85" s="937"/>
      <c r="BP85" s="937"/>
      <c r="BQ85" s="937"/>
      <c r="BR85" s="937"/>
      <c r="BS85" s="937"/>
      <c r="BT85" s="937"/>
      <c r="BU85" s="937"/>
      <c r="BV85" s="937"/>
      <c r="BW85" s="937"/>
      <c r="BX85" s="937"/>
      <c r="BY85" s="937"/>
      <c r="BZ85" s="937"/>
      <c r="CA85" s="937"/>
      <c r="CB85" s="937"/>
      <c r="CC85" s="937"/>
      <c r="CD85" s="937"/>
      <c r="CE85" s="937"/>
      <c r="CF85" s="937"/>
      <c r="CG85" s="937"/>
      <c r="CH85" s="937"/>
      <c r="CI85" s="937"/>
      <c r="CJ85" s="937"/>
      <c r="CK85" s="937"/>
      <c r="CL85" s="937"/>
      <c r="CM85" s="937"/>
      <c r="CN85" s="937"/>
      <c r="CO85" s="937"/>
    </row>
    <row r="86" spans="2:93" s="918" customFormat="1" x14ac:dyDescent="0.35">
      <c r="B86" s="923" t="s">
        <v>760</v>
      </c>
      <c r="C86" s="923" t="s">
        <v>761</v>
      </c>
      <c r="D86" s="923"/>
      <c r="E86" s="924"/>
      <c r="F86" s="924"/>
      <c r="H86" s="932"/>
      <c r="I86" s="933" t="str">
        <f>IF(G86&gt;0,"The sales projection exceeds the projected break-even sales level","The sales projection is less than the break-even amount")</f>
        <v>The sales projection is less than the break-even amount</v>
      </c>
      <c r="J86" s="932"/>
      <c r="K86" s="932"/>
      <c r="L86" s="927"/>
      <c r="M86" s="927"/>
      <c r="N86" s="927"/>
      <c r="Q86" s="937"/>
      <c r="R86" s="937"/>
      <c r="S86" s="937"/>
      <c r="T86" s="937"/>
      <c r="U86" s="937"/>
      <c r="V86" s="937"/>
      <c r="W86" s="937"/>
      <c r="X86" s="937"/>
      <c r="Y86" s="937"/>
      <c r="Z86" s="937"/>
      <c r="AA86" s="937"/>
      <c r="AB86" s="937"/>
      <c r="AC86" s="963"/>
      <c r="AD86" s="963"/>
      <c r="AE86" s="963"/>
      <c r="AF86" s="937"/>
      <c r="AG86" s="937"/>
      <c r="AH86" s="937"/>
      <c r="AI86" s="937"/>
      <c r="AJ86" s="937"/>
      <c r="AK86" s="937"/>
      <c r="AL86" s="937"/>
      <c r="AM86" s="937"/>
      <c r="AN86" s="937"/>
      <c r="AO86" s="937"/>
      <c r="AP86" s="937"/>
      <c r="AQ86" s="937"/>
      <c r="AR86" s="937"/>
      <c r="AS86" s="937"/>
      <c r="AT86" s="937"/>
      <c r="AU86" s="937"/>
      <c r="AV86" s="937"/>
      <c r="AW86" s="937"/>
      <c r="AX86" s="937"/>
      <c r="AY86" s="937"/>
      <c r="AZ86" s="937"/>
      <c r="BA86" s="937"/>
      <c r="BB86" s="937"/>
      <c r="BC86" s="937"/>
      <c r="BD86" s="937"/>
      <c r="BE86" s="937"/>
      <c r="BF86" s="937"/>
      <c r="BG86" s="937"/>
      <c r="BH86" s="937"/>
      <c r="BI86" s="937"/>
      <c r="BJ86" s="937"/>
      <c r="BK86" s="937"/>
      <c r="BL86" s="937"/>
      <c r="BM86" s="937"/>
      <c r="BN86" s="937"/>
      <c r="BO86" s="937"/>
      <c r="BP86" s="937"/>
      <c r="BQ86" s="937"/>
      <c r="BR86" s="937"/>
      <c r="BS86" s="937"/>
      <c r="BT86" s="937"/>
      <c r="BU86" s="937"/>
      <c r="BV86" s="937"/>
      <c r="BW86" s="937"/>
      <c r="BX86" s="937"/>
      <c r="BY86" s="937"/>
      <c r="BZ86" s="937"/>
      <c r="CA86" s="937"/>
      <c r="CB86" s="937"/>
      <c r="CC86" s="937"/>
      <c r="CD86" s="937"/>
      <c r="CE86" s="937"/>
      <c r="CF86" s="937"/>
      <c r="CG86" s="937"/>
      <c r="CH86" s="937"/>
      <c r="CI86" s="937"/>
      <c r="CJ86" s="937"/>
      <c r="CK86" s="937"/>
      <c r="CL86" s="937"/>
      <c r="CM86" s="937"/>
      <c r="CN86" s="937"/>
      <c r="CO86" s="937"/>
    </row>
    <row r="87" spans="2:93" s="918" customFormat="1" x14ac:dyDescent="0.35">
      <c r="Q87" s="937"/>
      <c r="R87" s="937"/>
      <c r="S87" s="937"/>
      <c r="T87" s="937"/>
      <c r="U87" s="937"/>
      <c r="V87" s="937"/>
      <c r="W87" s="937"/>
      <c r="X87" s="937"/>
      <c r="Y87" s="937"/>
      <c r="Z87" s="937"/>
      <c r="AA87" s="937"/>
      <c r="AB87" s="937"/>
      <c r="AC87" s="963"/>
      <c r="AD87" s="963"/>
      <c r="AE87" s="963"/>
      <c r="AF87" s="937"/>
      <c r="AG87" s="937"/>
      <c r="AH87" s="937"/>
      <c r="AI87" s="937"/>
      <c r="AJ87" s="937"/>
      <c r="AK87" s="937"/>
      <c r="AL87" s="937"/>
      <c r="AM87" s="937"/>
      <c r="AN87" s="937"/>
      <c r="AO87" s="937"/>
      <c r="AP87" s="937"/>
      <c r="AQ87" s="937"/>
      <c r="AR87" s="937"/>
      <c r="AS87" s="937"/>
      <c r="AT87" s="937"/>
      <c r="AU87" s="937"/>
      <c r="AV87" s="937"/>
      <c r="AW87" s="937"/>
      <c r="AX87" s="937"/>
      <c r="AY87" s="937"/>
      <c r="AZ87" s="937"/>
      <c r="BA87" s="937"/>
      <c r="BB87" s="937"/>
      <c r="BC87" s="937"/>
      <c r="BD87" s="937"/>
      <c r="BE87" s="937"/>
      <c r="BF87" s="937"/>
      <c r="BG87" s="937"/>
      <c r="BH87" s="937"/>
      <c r="BI87" s="937"/>
      <c r="BJ87" s="937"/>
      <c r="BK87" s="937"/>
      <c r="BL87" s="937"/>
      <c r="BM87" s="937"/>
      <c r="BN87" s="937"/>
      <c r="BO87" s="937"/>
      <c r="BP87" s="937"/>
      <c r="BQ87" s="937"/>
      <c r="BR87" s="937"/>
      <c r="BS87" s="937"/>
      <c r="BT87" s="937"/>
      <c r="BU87" s="937"/>
      <c r="BV87" s="937"/>
      <c r="BW87" s="937"/>
      <c r="BX87" s="937"/>
      <c r="BY87" s="937"/>
      <c r="BZ87" s="937"/>
      <c r="CA87" s="937"/>
      <c r="CB87" s="937"/>
      <c r="CC87" s="937"/>
      <c r="CD87" s="937"/>
      <c r="CE87" s="937"/>
      <c r="CF87" s="937"/>
      <c r="CG87" s="937"/>
      <c r="CH87" s="937"/>
      <c r="CI87" s="937"/>
      <c r="CJ87" s="937"/>
      <c r="CK87" s="937"/>
      <c r="CL87" s="937"/>
      <c r="CM87" s="937"/>
      <c r="CN87" s="937"/>
      <c r="CO87" s="937"/>
    </row>
    <row r="88" spans="2:93" s="918" customFormat="1" x14ac:dyDescent="0.35">
      <c r="Q88" s="937"/>
      <c r="R88" s="937"/>
      <c r="S88" s="937"/>
      <c r="T88" s="937"/>
      <c r="U88" s="937"/>
      <c r="V88" s="937"/>
      <c r="W88" s="937"/>
      <c r="X88" s="937"/>
      <c r="Y88" s="937"/>
      <c r="Z88" s="937"/>
      <c r="AA88" s="937"/>
      <c r="AB88" s="937"/>
      <c r="AC88" s="963"/>
      <c r="AD88" s="963"/>
      <c r="AE88" s="963"/>
      <c r="AF88" s="937"/>
      <c r="AG88" s="937"/>
      <c r="AH88" s="937"/>
      <c r="AI88" s="937"/>
      <c r="AJ88" s="937"/>
      <c r="AK88" s="937"/>
      <c r="AL88" s="937"/>
      <c r="AM88" s="937"/>
      <c r="AN88" s="937"/>
      <c r="AO88" s="937"/>
      <c r="AP88" s="937"/>
      <c r="AQ88" s="937"/>
      <c r="AR88" s="937"/>
      <c r="AS88" s="937"/>
      <c r="AT88" s="937"/>
      <c r="AU88" s="937"/>
      <c r="AV88" s="937"/>
      <c r="AW88" s="937"/>
      <c r="AX88" s="937"/>
      <c r="AY88" s="937"/>
      <c r="AZ88" s="937"/>
      <c r="BA88" s="937"/>
      <c r="BB88" s="937"/>
      <c r="BC88" s="937"/>
      <c r="BD88" s="937"/>
      <c r="BE88" s="937"/>
      <c r="BF88" s="937"/>
      <c r="BG88" s="937"/>
      <c r="BH88" s="937"/>
      <c r="BI88" s="937"/>
      <c r="BJ88" s="937"/>
      <c r="BK88" s="937"/>
      <c r="BL88" s="937"/>
      <c r="BM88" s="937"/>
      <c r="BN88" s="937"/>
      <c r="BO88" s="937"/>
      <c r="BP88" s="937"/>
      <c r="BQ88" s="937"/>
      <c r="BR88" s="937"/>
      <c r="BS88" s="937"/>
      <c r="BT88" s="937"/>
      <c r="BU88" s="937"/>
      <c r="BV88" s="937"/>
      <c r="BW88" s="937"/>
      <c r="BX88" s="937"/>
      <c r="BY88" s="937"/>
      <c r="BZ88" s="937"/>
      <c r="CA88" s="937"/>
      <c r="CB88" s="937"/>
      <c r="CC88" s="937"/>
      <c r="CD88" s="937"/>
      <c r="CE88" s="937"/>
      <c r="CF88" s="937"/>
      <c r="CG88" s="937"/>
      <c r="CH88" s="937"/>
      <c r="CI88" s="937"/>
      <c r="CJ88" s="937"/>
      <c r="CK88" s="937"/>
      <c r="CL88" s="937"/>
      <c r="CM88" s="937"/>
      <c r="CN88" s="937"/>
      <c r="CO88" s="937"/>
    </row>
    <row r="89" spans="2:93" s="918" customFormat="1" x14ac:dyDescent="0.35">
      <c r="Q89" s="937"/>
      <c r="R89" s="937"/>
      <c r="S89" s="937"/>
      <c r="T89" s="937"/>
      <c r="U89" s="937"/>
      <c r="V89" s="937"/>
      <c r="W89" s="937"/>
      <c r="X89" s="937"/>
      <c r="Y89" s="937"/>
      <c r="Z89" s="937"/>
      <c r="AA89" s="937"/>
      <c r="AB89" s="937"/>
      <c r="AC89" s="963"/>
      <c r="AD89" s="963"/>
      <c r="AE89" s="963"/>
      <c r="AF89" s="937"/>
      <c r="AG89" s="937"/>
      <c r="AH89" s="937"/>
      <c r="AI89" s="937"/>
      <c r="AJ89" s="937"/>
      <c r="AK89" s="937"/>
      <c r="AL89" s="937"/>
      <c r="AM89" s="937"/>
      <c r="AN89" s="937"/>
      <c r="AO89" s="937"/>
      <c r="AP89" s="937"/>
      <c r="AQ89" s="937"/>
      <c r="AR89" s="937"/>
      <c r="AS89" s="937"/>
      <c r="AT89" s="937"/>
      <c r="AU89" s="937"/>
      <c r="AV89" s="937"/>
      <c r="AW89" s="937"/>
      <c r="AX89" s="937"/>
      <c r="AY89" s="937"/>
      <c r="AZ89" s="937"/>
      <c r="BA89" s="937"/>
      <c r="BB89" s="937"/>
      <c r="BC89" s="937"/>
      <c r="BD89" s="937"/>
      <c r="BE89" s="937"/>
      <c r="BF89" s="937"/>
      <c r="BG89" s="937"/>
      <c r="BH89" s="937"/>
      <c r="BI89" s="937"/>
      <c r="BJ89" s="937"/>
      <c r="BK89" s="937"/>
      <c r="BL89" s="937"/>
      <c r="BM89" s="937"/>
      <c r="BN89" s="937"/>
      <c r="BO89" s="937"/>
      <c r="BP89" s="937"/>
      <c r="BQ89" s="937"/>
      <c r="BR89" s="937"/>
      <c r="BS89" s="937"/>
      <c r="BT89" s="937"/>
      <c r="BU89" s="937"/>
      <c r="BV89" s="937"/>
      <c r="BW89" s="937"/>
      <c r="BX89" s="937"/>
      <c r="BY89" s="937"/>
      <c r="BZ89" s="937"/>
      <c r="CA89" s="937"/>
      <c r="CB89" s="937"/>
      <c r="CC89" s="937"/>
      <c r="CD89" s="937"/>
      <c r="CE89" s="937"/>
      <c r="CF89" s="937"/>
      <c r="CG89" s="937"/>
      <c r="CH89" s="937"/>
      <c r="CI89" s="937"/>
      <c r="CJ89" s="937"/>
      <c r="CK89" s="937"/>
      <c r="CL89" s="937"/>
      <c r="CM89" s="937"/>
      <c r="CN89" s="937"/>
      <c r="CO89" s="937"/>
    </row>
    <row r="90" spans="2:93" s="918" customFormat="1" x14ac:dyDescent="0.35">
      <c r="Q90" s="937"/>
      <c r="R90" s="937"/>
      <c r="S90" s="937"/>
      <c r="T90" s="937"/>
      <c r="U90" s="937"/>
      <c r="V90" s="937"/>
      <c r="W90" s="937"/>
      <c r="X90" s="937"/>
      <c r="Y90" s="937"/>
      <c r="Z90" s="937"/>
      <c r="AA90" s="937"/>
      <c r="AB90" s="937"/>
      <c r="AC90" s="963"/>
      <c r="AD90" s="963"/>
      <c r="AE90" s="963"/>
      <c r="AF90" s="937"/>
      <c r="AG90" s="937"/>
      <c r="AH90" s="937"/>
      <c r="AI90" s="937"/>
      <c r="AJ90" s="937"/>
      <c r="AK90" s="937"/>
      <c r="AL90" s="937"/>
      <c r="AM90" s="937"/>
      <c r="AN90" s="937"/>
      <c r="AO90" s="937"/>
      <c r="AP90" s="937"/>
      <c r="AQ90" s="937"/>
      <c r="AR90" s="937"/>
      <c r="AS90" s="937"/>
      <c r="AT90" s="937"/>
      <c r="AU90" s="937"/>
      <c r="AV90" s="937"/>
      <c r="AW90" s="937"/>
      <c r="AX90" s="937"/>
      <c r="AY90" s="937"/>
      <c r="AZ90" s="937"/>
      <c r="BA90" s="937"/>
      <c r="BB90" s="937"/>
      <c r="BC90" s="937"/>
      <c r="BD90" s="937"/>
      <c r="BE90" s="937"/>
      <c r="BF90" s="937"/>
      <c r="BG90" s="937"/>
      <c r="BH90" s="937"/>
      <c r="BI90" s="937"/>
      <c r="BJ90" s="937"/>
      <c r="BK90" s="937"/>
      <c r="BL90" s="937"/>
      <c r="BM90" s="937"/>
      <c r="BN90" s="937"/>
      <c r="BO90" s="937"/>
      <c r="BP90" s="937"/>
      <c r="BQ90" s="937"/>
      <c r="BR90" s="937"/>
      <c r="BS90" s="937"/>
      <c r="BT90" s="937"/>
      <c r="BU90" s="937"/>
      <c r="BV90" s="937"/>
      <c r="BW90" s="937"/>
      <c r="BX90" s="937"/>
      <c r="BY90" s="937"/>
      <c r="BZ90" s="937"/>
      <c r="CA90" s="937"/>
      <c r="CB90" s="937"/>
      <c r="CC90" s="937"/>
      <c r="CD90" s="937"/>
      <c r="CE90" s="937"/>
      <c r="CF90" s="937"/>
      <c r="CG90" s="937"/>
      <c r="CH90" s="937"/>
      <c r="CI90" s="937"/>
      <c r="CJ90" s="937"/>
      <c r="CK90" s="937"/>
      <c r="CL90" s="937"/>
      <c r="CM90" s="937"/>
      <c r="CN90" s="937"/>
      <c r="CO90" s="937"/>
    </row>
    <row r="91" spans="2:93" s="918" customFormat="1" x14ac:dyDescent="0.35">
      <c r="Q91" s="937"/>
      <c r="R91" s="937"/>
      <c r="S91" s="937"/>
      <c r="T91" s="937"/>
      <c r="U91" s="937"/>
      <c r="V91" s="937"/>
      <c r="W91" s="937"/>
      <c r="X91" s="937"/>
      <c r="Y91" s="937"/>
      <c r="Z91" s="937"/>
      <c r="AA91" s="937"/>
      <c r="AB91" s="937"/>
      <c r="AC91" s="963"/>
      <c r="AD91" s="963"/>
      <c r="AE91" s="963"/>
      <c r="AF91" s="937"/>
      <c r="AG91" s="937"/>
      <c r="AH91" s="937"/>
      <c r="AI91" s="937"/>
      <c r="AJ91" s="937"/>
      <c r="AK91" s="937"/>
      <c r="AL91" s="937"/>
      <c r="AM91" s="937"/>
      <c r="AN91" s="937"/>
      <c r="AO91" s="937"/>
      <c r="AP91" s="937"/>
      <c r="AQ91" s="937"/>
      <c r="AR91" s="937"/>
      <c r="AS91" s="937"/>
      <c r="AT91" s="937"/>
      <c r="AU91" s="937"/>
      <c r="AV91" s="937"/>
      <c r="AW91" s="937"/>
      <c r="AX91" s="937"/>
      <c r="AY91" s="937"/>
      <c r="AZ91" s="937"/>
      <c r="BA91" s="937"/>
      <c r="BB91" s="937"/>
      <c r="BC91" s="937"/>
      <c r="BD91" s="937"/>
      <c r="BE91" s="937"/>
      <c r="BF91" s="937"/>
      <c r="BG91" s="937"/>
      <c r="BH91" s="937"/>
      <c r="BI91" s="937"/>
      <c r="BJ91" s="937"/>
      <c r="BK91" s="937"/>
      <c r="BL91" s="937"/>
      <c r="BM91" s="937"/>
      <c r="BN91" s="937"/>
      <c r="BO91" s="937"/>
      <c r="BP91" s="937"/>
      <c r="BQ91" s="937"/>
      <c r="BR91" s="937"/>
      <c r="BS91" s="937"/>
      <c r="BT91" s="937"/>
      <c r="BU91" s="937"/>
      <c r="BV91" s="937"/>
      <c r="BW91" s="937"/>
      <c r="BX91" s="937"/>
      <c r="BY91" s="937"/>
      <c r="BZ91" s="937"/>
      <c r="CA91" s="937"/>
      <c r="CB91" s="937"/>
      <c r="CC91" s="937"/>
      <c r="CD91" s="937"/>
      <c r="CE91" s="937"/>
      <c r="CF91" s="937"/>
      <c r="CG91" s="937"/>
      <c r="CH91" s="937"/>
      <c r="CI91" s="937"/>
      <c r="CJ91" s="937"/>
      <c r="CK91" s="937"/>
      <c r="CL91" s="937"/>
      <c r="CM91" s="937"/>
      <c r="CN91" s="937"/>
      <c r="CO91" s="937"/>
    </row>
    <row r="92" spans="2:93" s="918" customFormat="1" x14ac:dyDescent="0.35">
      <c r="Q92" s="937"/>
      <c r="R92" s="937"/>
      <c r="S92" s="937"/>
      <c r="T92" s="937"/>
      <c r="U92" s="937"/>
      <c r="V92" s="937"/>
      <c r="W92" s="937"/>
      <c r="X92" s="937"/>
      <c r="Y92" s="937"/>
      <c r="Z92" s="937"/>
      <c r="AA92" s="937"/>
      <c r="AB92" s="937"/>
      <c r="AC92" s="963"/>
      <c r="AD92" s="963"/>
      <c r="AE92" s="963"/>
      <c r="AF92" s="937"/>
      <c r="AG92" s="937"/>
      <c r="AH92" s="937"/>
      <c r="AI92" s="937"/>
      <c r="AJ92" s="937"/>
      <c r="AK92" s="937"/>
      <c r="AL92" s="937"/>
      <c r="AM92" s="937"/>
      <c r="AN92" s="937"/>
      <c r="AO92" s="937"/>
      <c r="AP92" s="937"/>
      <c r="AQ92" s="937"/>
      <c r="AR92" s="937"/>
      <c r="AS92" s="937"/>
      <c r="AT92" s="937"/>
      <c r="AU92" s="937"/>
      <c r="AV92" s="937"/>
      <c r="AW92" s="937"/>
      <c r="AX92" s="937"/>
      <c r="AY92" s="937"/>
      <c r="AZ92" s="937"/>
      <c r="BA92" s="937"/>
      <c r="BB92" s="937"/>
      <c r="BC92" s="937"/>
      <c r="BD92" s="937"/>
      <c r="BE92" s="937"/>
      <c r="BF92" s="937"/>
      <c r="BG92" s="937"/>
      <c r="BH92" s="937"/>
      <c r="BI92" s="937"/>
      <c r="BJ92" s="937"/>
      <c r="BK92" s="937"/>
      <c r="BL92" s="937"/>
      <c r="BM92" s="937"/>
      <c r="BN92" s="937"/>
      <c r="BO92" s="937"/>
      <c r="BP92" s="937"/>
      <c r="BQ92" s="937"/>
      <c r="BR92" s="937"/>
      <c r="BS92" s="937"/>
      <c r="BT92" s="937"/>
      <c r="BU92" s="937"/>
      <c r="BV92" s="937"/>
      <c r="BW92" s="937"/>
      <c r="BX92" s="937"/>
      <c r="BY92" s="937"/>
      <c r="BZ92" s="937"/>
      <c r="CA92" s="937"/>
      <c r="CB92" s="937"/>
      <c r="CC92" s="937"/>
      <c r="CD92" s="937"/>
      <c r="CE92" s="937"/>
      <c r="CF92" s="937"/>
      <c r="CG92" s="937"/>
      <c r="CH92" s="937"/>
      <c r="CI92" s="937"/>
      <c r="CJ92" s="937"/>
      <c r="CK92" s="937"/>
      <c r="CL92" s="937"/>
      <c r="CM92" s="937"/>
      <c r="CN92" s="937"/>
      <c r="CO92" s="937"/>
    </row>
    <row r="93" spans="2:93" s="918" customFormat="1" x14ac:dyDescent="0.35">
      <c r="Q93" s="937"/>
      <c r="R93" s="937"/>
      <c r="S93" s="937"/>
      <c r="T93" s="937"/>
      <c r="U93" s="937"/>
      <c r="V93" s="937"/>
      <c r="W93" s="937"/>
      <c r="X93" s="937"/>
      <c r="Y93" s="937"/>
      <c r="Z93" s="937"/>
      <c r="AA93" s="937"/>
      <c r="AB93" s="937"/>
      <c r="AC93" s="963"/>
      <c r="AD93" s="963"/>
      <c r="AE93" s="963"/>
      <c r="AF93" s="937"/>
      <c r="AG93" s="937"/>
      <c r="AH93" s="937"/>
      <c r="AI93" s="937"/>
      <c r="AJ93" s="937"/>
      <c r="AK93" s="937"/>
      <c r="AL93" s="937"/>
      <c r="AM93" s="937"/>
      <c r="AN93" s="937"/>
      <c r="AO93" s="937"/>
      <c r="AP93" s="937"/>
      <c r="AQ93" s="937"/>
      <c r="AR93" s="937"/>
      <c r="AS93" s="937"/>
      <c r="AT93" s="937"/>
      <c r="AU93" s="937"/>
      <c r="AV93" s="937"/>
      <c r="AW93" s="937"/>
      <c r="AX93" s="937"/>
      <c r="AY93" s="937"/>
      <c r="AZ93" s="937"/>
      <c r="BA93" s="937"/>
      <c r="BB93" s="937"/>
      <c r="BC93" s="937"/>
      <c r="BD93" s="937"/>
      <c r="BE93" s="937"/>
      <c r="BF93" s="937"/>
      <c r="BG93" s="937"/>
      <c r="BH93" s="937"/>
      <c r="BI93" s="937"/>
      <c r="BJ93" s="937"/>
      <c r="BK93" s="937"/>
      <c r="BL93" s="937"/>
      <c r="BM93" s="937"/>
      <c r="BN93" s="937"/>
      <c r="BO93" s="937"/>
      <c r="BP93" s="937"/>
      <c r="BQ93" s="937"/>
      <c r="BR93" s="937"/>
      <c r="BS93" s="937"/>
      <c r="BT93" s="937"/>
      <c r="BU93" s="937"/>
      <c r="BV93" s="937"/>
      <c r="BW93" s="937"/>
      <c r="BX93" s="937"/>
      <c r="BY93" s="937"/>
      <c r="BZ93" s="937"/>
      <c r="CA93" s="937"/>
      <c r="CB93" s="937"/>
      <c r="CC93" s="937"/>
      <c r="CD93" s="937"/>
      <c r="CE93" s="937"/>
      <c r="CF93" s="937"/>
      <c r="CG93" s="937"/>
      <c r="CH93" s="937"/>
      <c r="CI93" s="937"/>
      <c r="CJ93" s="937"/>
      <c r="CK93" s="937"/>
      <c r="CL93" s="937"/>
      <c r="CM93" s="937"/>
      <c r="CN93" s="937"/>
      <c r="CO93" s="937"/>
    </row>
    <row r="94" spans="2:93" s="918" customFormat="1" x14ac:dyDescent="0.35">
      <c r="Q94" s="937"/>
      <c r="R94" s="937"/>
      <c r="S94" s="937"/>
      <c r="T94" s="937"/>
      <c r="U94" s="937"/>
      <c r="V94" s="937"/>
      <c r="W94" s="937"/>
      <c r="X94" s="937"/>
      <c r="Y94" s="937"/>
      <c r="Z94" s="937"/>
      <c r="AA94" s="937"/>
      <c r="AB94" s="937"/>
      <c r="AC94" s="963"/>
      <c r="AD94" s="963"/>
      <c r="AE94" s="963"/>
      <c r="AF94" s="937"/>
      <c r="AG94" s="937"/>
      <c r="AH94" s="937"/>
      <c r="AI94" s="937"/>
      <c r="AJ94" s="937"/>
      <c r="AK94" s="937"/>
      <c r="AL94" s="937"/>
      <c r="AM94" s="937"/>
      <c r="AN94" s="937"/>
      <c r="AO94" s="937"/>
      <c r="AP94" s="937"/>
      <c r="AQ94" s="937"/>
      <c r="AR94" s="937"/>
      <c r="AS94" s="937"/>
      <c r="AT94" s="937"/>
      <c r="AU94" s="937"/>
      <c r="AV94" s="937"/>
      <c r="AW94" s="937"/>
      <c r="AX94" s="937"/>
      <c r="AY94" s="937"/>
      <c r="AZ94" s="937"/>
      <c r="BA94" s="937"/>
      <c r="BB94" s="937"/>
      <c r="BC94" s="937"/>
      <c r="BD94" s="937"/>
      <c r="BE94" s="937"/>
      <c r="BF94" s="937"/>
      <c r="BG94" s="937"/>
      <c r="BH94" s="937"/>
      <c r="BI94" s="937"/>
      <c r="BJ94" s="937"/>
      <c r="BK94" s="937"/>
      <c r="BL94" s="937"/>
      <c r="BM94" s="937"/>
      <c r="BN94" s="937"/>
      <c r="BO94" s="937"/>
      <c r="BP94" s="937"/>
      <c r="BQ94" s="937"/>
      <c r="BR94" s="937"/>
      <c r="BS94" s="937"/>
      <c r="BT94" s="937"/>
      <c r="BU94" s="937"/>
      <c r="BV94" s="937"/>
      <c r="BW94" s="937"/>
      <c r="BX94" s="937"/>
      <c r="BY94" s="937"/>
      <c r="BZ94" s="937"/>
      <c r="CA94" s="937"/>
      <c r="CB94" s="937"/>
      <c r="CC94" s="937"/>
      <c r="CD94" s="937"/>
      <c r="CE94" s="937"/>
      <c r="CF94" s="937"/>
      <c r="CG94" s="937"/>
      <c r="CH94" s="937"/>
      <c r="CI94" s="937"/>
      <c r="CJ94" s="937"/>
      <c r="CK94" s="937"/>
      <c r="CL94" s="937"/>
      <c r="CM94" s="937"/>
      <c r="CN94" s="937"/>
      <c r="CO94" s="937"/>
    </row>
    <row r="95" spans="2:93" s="918" customFormat="1" x14ac:dyDescent="0.35">
      <c r="Q95" s="937"/>
      <c r="R95" s="937"/>
      <c r="S95" s="937"/>
      <c r="T95" s="937"/>
      <c r="U95" s="937"/>
      <c r="V95" s="937"/>
      <c r="W95" s="937"/>
      <c r="X95" s="937"/>
      <c r="Y95" s="937"/>
      <c r="Z95" s="937"/>
      <c r="AA95" s="937"/>
      <c r="AB95" s="937"/>
      <c r="AC95" s="963"/>
      <c r="AD95" s="963"/>
      <c r="AE95" s="963"/>
      <c r="AF95" s="937"/>
      <c r="AG95" s="937"/>
      <c r="AH95" s="937"/>
      <c r="AI95" s="937"/>
      <c r="AJ95" s="937"/>
      <c r="AK95" s="937"/>
      <c r="AL95" s="937"/>
      <c r="AM95" s="937"/>
      <c r="AN95" s="937"/>
      <c r="AO95" s="937"/>
      <c r="AP95" s="937"/>
      <c r="AQ95" s="937"/>
      <c r="AR95" s="937"/>
      <c r="AS95" s="937"/>
      <c r="AT95" s="937"/>
      <c r="AU95" s="937"/>
      <c r="AV95" s="937"/>
      <c r="AW95" s="937"/>
      <c r="AX95" s="937"/>
      <c r="AY95" s="937"/>
      <c r="AZ95" s="937"/>
      <c r="BA95" s="937"/>
      <c r="BB95" s="937"/>
      <c r="BC95" s="937"/>
      <c r="BD95" s="937"/>
      <c r="BE95" s="937"/>
      <c r="BF95" s="937"/>
      <c r="BG95" s="937"/>
      <c r="BH95" s="937"/>
      <c r="BI95" s="937"/>
      <c r="BJ95" s="937"/>
      <c r="BK95" s="937"/>
      <c r="BL95" s="937"/>
      <c r="BM95" s="937"/>
      <c r="BN95" s="937"/>
      <c r="BO95" s="937"/>
      <c r="BP95" s="937"/>
      <c r="BQ95" s="937"/>
      <c r="BR95" s="937"/>
      <c r="BS95" s="937"/>
      <c r="BT95" s="937"/>
      <c r="BU95" s="937"/>
      <c r="BV95" s="937"/>
      <c r="BW95" s="937"/>
      <c r="BX95" s="937"/>
      <c r="BY95" s="937"/>
      <c r="BZ95" s="937"/>
      <c r="CA95" s="937"/>
      <c r="CB95" s="937"/>
      <c r="CC95" s="937"/>
      <c r="CD95" s="937"/>
      <c r="CE95" s="937"/>
      <c r="CF95" s="937"/>
      <c r="CG95" s="937"/>
      <c r="CH95" s="937"/>
      <c r="CI95" s="937"/>
      <c r="CJ95" s="937"/>
      <c r="CK95" s="937"/>
      <c r="CL95" s="937"/>
      <c r="CM95" s="937"/>
      <c r="CN95" s="937"/>
      <c r="CO95" s="937"/>
    </row>
    <row r="96" spans="2:93" s="918" customFormat="1" x14ac:dyDescent="0.35">
      <c r="Q96" s="937"/>
      <c r="R96" s="937"/>
      <c r="S96" s="937"/>
      <c r="T96" s="937"/>
      <c r="U96" s="937"/>
      <c r="V96" s="937"/>
      <c r="W96" s="937"/>
      <c r="X96" s="937"/>
      <c r="Y96" s="937"/>
      <c r="Z96" s="937"/>
      <c r="AA96" s="937"/>
      <c r="AB96" s="937"/>
      <c r="AC96" s="963"/>
      <c r="AD96" s="963"/>
      <c r="AE96" s="963"/>
      <c r="AF96" s="937"/>
      <c r="AG96" s="937"/>
      <c r="AH96" s="937"/>
      <c r="AI96" s="937"/>
      <c r="AJ96" s="937"/>
      <c r="AK96" s="937"/>
      <c r="AL96" s="937"/>
      <c r="AM96" s="937"/>
      <c r="AN96" s="937"/>
      <c r="AO96" s="937"/>
      <c r="AP96" s="937"/>
      <c r="AQ96" s="937"/>
      <c r="AR96" s="937"/>
      <c r="AS96" s="937"/>
      <c r="AT96" s="937"/>
      <c r="AU96" s="937"/>
      <c r="AV96" s="937"/>
      <c r="AW96" s="937"/>
      <c r="AX96" s="937"/>
      <c r="AY96" s="937"/>
      <c r="AZ96" s="937"/>
      <c r="BA96" s="937"/>
      <c r="BB96" s="937"/>
      <c r="BC96" s="937"/>
      <c r="BD96" s="937"/>
      <c r="BE96" s="937"/>
      <c r="BF96" s="937"/>
      <c r="BG96" s="937"/>
      <c r="BH96" s="937"/>
      <c r="BI96" s="937"/>
      <c r="BJ96" s="937"/>
      <c r="BK96" s="937"/>
      <c r="BL96" s="937"/>
      <c r="BM96" s="937"/>
      <c r="BN96" s="937"/>
      <c r="BO96" s="937"/>
      <c r="BP96" s="937"/>
      <c r="BQ96" s="937"/>
      <c r="BR96" s="937"/>
      <c r="BS96" s="937"/>
      <c r="BT96" s="937"/>
      <c r="BU96" s="937"/>
      <c r="BV96" s="937"/>
      <c r="BW96" s="937"/>
      <c r="BX96" s="937"/>
      <c r="BY96" s="937"/>
      <c r="BZ96" s="937"/>
      <c r="CA96" s="937"/>
      <c r="CB96" s="937"/>
      <c r="CC96" s="937"/>
      <c r="CD96" s="937"/>
      <c r="CE96" s="937"/>
      <c r="CF96" s="937"/>
      <c r="CG96" s="937"/>
      <c r="CH96" s="937"/>
      <c r="CI96" s="937"/>
      <c r="CJ96" s="937"/>
      <c r="CK96" s="937"/>
      <c r="CL96" s="937"/>
      <c r="CM96" s="937"/>
      <c r="CN96" s="937"/>
      <c r="CO96" s="937"/>
    </row>
    <row r="97" spans="17:93" s="918" customFormat="1" x14ac:dyDescent="0.35">
      <c r="Q97" s="937"/>
      <c r="R97" s="937"/>
      <c r="S97" s="937"/>
      <c r="T97" s="937"/>
      <c r="U97" s="937"/>
      <c r="V97" s="937"/>
      <c r="W97" s="937"/>
      <c r="X97" s="937"/>
      <c r="Y97" s="937"/>
      <c r="Z97" s="937"/>
      <c r="AA97" s="937"/>
      <c r="AB97" s="937"/>
      <c r="AC97" s="963"/>
      <c r="AD97" s="963"/>
      <c r="AE97" s="963"/>
      <c r="AF97" s="937"/>
      <c r="AG97" s="937"/>
      <c r="AH97" s="937"/>
      <c r="AI97" s="937"/>
      <c r="AJ97" s="937"/>
      <c r="AK97" s="937"/>
      <c r="AL97" s="937"/>
      <c r="AM97" s="937"/>
      <c r="AN97" s="937"/>
      <c r="AO97" s="937"/>
      <c r="AP97" s="937"/>
      <c r="AQ97" s="937"/>
      <c r="AR97" s="937"/>
      <c r="AS97" s="937"/>
      <c r="AT97" s="937"/>
      <c r="AU97" s="937"/>
      <c r="AV97" s="937"/>
      <c r="AW97" s="937"/>
      <c r="AX97" s="937"/>
      <c r="AY97" s="937"/>
      <c r="AZ97" s="937"/>
      <c r="BA97" s="937"/>
      <c r="BB97" s="937"/>
      <c r="BC97" s="937"/>
      <c r="BD97" s="937"/>
      <c r="BE97" s="937"/>
      <c r="BF97" s="937"/>
      <c r="BG97" s="937"/>
      <c r="BH97" s="937"/>
      <c r="BI97" s="937"/>
      <c r="BJ97" s="937"/>
      <c r="BK97" s="937"/>
      <c r="BL97" s="937"/>
      <c r="BM97" s="937"/>
      <c r="BN97" s="937"/>
      <c r="BO97" s="937"/>
      <c r="BP97" s="937"/>
      <c r="BQ97" s="937"/>
      <c r="BR97" s="937"/>
      <c r="BS97" s="937"/>
      <c r="BT97" s="937"/>
      <c r="BU97" s="937"/>
      <c r="BV97" s="937"/>
      <c r="BW97" s="937"/>
      <c r="BX97" s="937"/>
      <c r="BY97" s="937"/>
      <c r="BZ97" s="937"/>
      <c r="CA97" s="937"/>
      <c r="CB97" s="937"/>
      <c r="CC97" s="937"/>
      <c r="CD97" s="937"/>
      <c r="CE97" s="937"/>
      <c r="CF97" s="937"/>
      <c r="CG97" s="937"/>
      <c r="CH97" s="937"/>
      <c r="CI97" s="937"/>
      <c r="CJ97" s="937"/>
      <c r="CK97" s="937"/>
      <c r="CL97" s="937"/>
      <c r="CM97" s="937"/>
      <c r="CN97" s="937"/>
      <c r="CO97" s="937"/>
    </row>
    <row r="98" spans="17:93" s="918" customFormat="1" x14ac:dyDescent="0.35">
      <c r="Q98" s="937"/>
      <c r="R98" s="937"/>
      <c r="S98" s="937"/>
      <c r="T98" s="937"/>
      <c r="U98" s="937"/>
      <c r="V98" s="937"/>
      <c r="W98" s="937"/>
      <c r="X98" s="937"/>
      <c r="Y98" s="937"/>
      <c r="Z98" s="937"/>
      <c r="AA98" s="937"/>
      <c r="AB98" s="937"/>
      <c r="AC98" s="963"/>
      <c r="AD98" s="963"/>
      <c r="AE98" s="963"/>
      <c r="AF98" s="937"/>
      <c r="AG98" s="937"/>
      <c r="AH98" s="937"/>
      <c r="AI98" s="937"/>
      <c r="AJ98" s="937"/>
      <c r="AK98" s="937"/>
      <c r="AL98" s="937"/>
      <c r="AM98" s="937"/>
      <c r="AN98" s="937"/>
      <c r="AO98" s="937"/>
      <c r="AP98" s="937"/>
      <c r="AQ98" s="937"/>
      <c r="AR98" s="937"/>
      <c r="AS98" s="937"/>
      <c r="AT98" s="937"/>
      <c r="AU98" s="937"/>
      <c r="AV98" s="937"/>
      <c r="AW98" s="937"/>
      <c r="AX98" s="937"/>
      <c r="AY98" s="937"/>
      <c r="AZ98" s="937"/>
      <c r="BA98" s="937"/>
      <c r="BB98" s="937"/>
      <c r="BC98" s="937"/>
      <c r="BD98" s="937"/>
      <c r="BE98" s="937"/>
      <c r="BF98" s="937"/>
      <c r="BG98" s="937"/>
      <c r="BH98" s="937"/>
      <c r="BI98" s="937"/>
      <c r="BJ98" s="937"/>
      <c r="BK98" s="937"/>
      <c r="BL98" s="937"/>
      <c r="BM98" s="937"/>
      <c r="BN98" s="937"/>
      <c r="BO98" s="937"/>
      <c r="BP98" s="937"/>
      <c r="BQ98" s="937"/>
      <c r="BR98" s="937"/>
      <c r="BS98" s="937"/>
      <c r="BT98" s="937"/>
      <c r="BU98" s="937"/>
      <c r="BV98" s="937"/>
      <c r="BW98" s="937"/>
      <c r="BX98" s="937"/>
      <c r="BY98" s="937"/>
      <c r="BZ98" s="937"/>
      <c r="CA98" s="937"/>
      <c r="CB98" s="937"/>
      <c r="CC98" s="937"/>
      <c r="CD98" s="937"/>
      <c r="CE98" s="937"/>
      <c r="CF98" s="937"/>
      <c r="CG98" s="937"/>
      <c r="CH98" s="937"/>
      <c r="CI98" s="937"/>
      <c r="CJ98" s="937"/>
      <c r="CK98" s="937"/>
      <c r="CL98" s="937"/>
      <c r="CM98" s="937"/>
      <c r="CN98" s="937"/>
      <c r="CO98" s="937"/>
    </row>
    <row r="99" spans="17:93" s="918" customFormat="1" x14ac:dyDescent="0.35">
      <c r="Q99" s="937"/>
      <c r="R99" s="937"/>
      <c r="S99" s="937"/>
      <c r="T99" s="937"/>
      <c r="U99" s="937"/>
      <c r="V99" s="937"/>
      <c r="W99" s="937"/>
      <c r="X99" s="937"/>
      <c r="Y99" s="937"/>
      <c r="Z99" s="937"/>
      <c r="AA99" s="937"/>
      <c r="AB99" s="937"/>
      <c r="AC99" s="963"/>
      <c r="AD99" s="963"/>
      <c r="AE99" s="963"/>
      <c r="AF99" s="937"/>
      <c r="AG99" s="937"/>
      <c r="AH99" s="937"/>
      <c r="AI99" s="937"/>
      <c r="AJ99" s="937"/>
      <c r="AK99" s="937"/>
      <c r="AL99" s="937"/>
      <c r="AM99" s="937"/>
      <c r="AN99" s="937"/>
      <c r="AO99" s="937"/>
      <c r="AP99" s="937"/>
      <c r="AQ99" s="937"/>
      <c r="AR99" s="937"/>
      <c r="AS99" s="937"/>
      <c r="AT99" s="937"/>
      <c r="AU99" s="937"/>
      <c r="AV99" s="937"/>
      <c r="AW99" s="937"/>
      <c r="AX99" s="937"/>
      <c r="AY99" s="937"/>
      <c r="AZ99" s="937"/>
      <c r="BA99" s="937"/>
      <c r="BB99" s="937"/>
      <c r="BC99" s="937"/>
      <c r="BD99" s="937"/>
      <c r="BE99" s="937"/>
      <c r="BF99" s="937"/>
      <c r="BG99" s="937"/>
      <c r="BH99" s="937"/>
      <c r="BI99" s="937"/>
      <c r="BJ99" s="937"/>
      <c r="BK99" s="937"/>
      <c r="BL99" s="937"/>
      <c r="BM99" s="937"/>
      <c r="BN99" s="937"/>
      <c r="BO99" s="937"/>
      <c r="BP99" s="937"/>
      <c r="BQ99" s="937"/>
      <c r="BR99" s="937"/>
      <c r="BS99" s="937"/>
      <c r="BT99" s="937"/>
      <c r="BU99" s="937"/>
      <c r="BV99" s="937"/>
      <c r="BW99" s="937"/>
      <c r="BX99" s="937"/>
      <c r="BY99" s="937"/>
      <c r="BZ99" s="937"/>
      <c r="CA99" s="937"/>
      <c r="CB99" s="937"/>
      <c r="CC99" s="937"/>
      <c r="CD99" s="937"/>
      <c r="CE99" s="937"/>
      <c r="CF99" s="937"/>
      <c r="CG99" s="937"/>
      <c r="CH99" s="937"/>
      <c r="CI99" s="937"/>
      <c r="CJ99" s="937"/>
      <c r="CK99" s="937"/>
      <c r="CL99" s="937"/>
      <c r="CM99" s="937"/>
      <c r="CN99" s="937"/>
      <c r="CO99" s="937"/>
    </row>
    <row r="100" spans="17:93" s="918" customFormat="1" x14ac:dyDescent="0.35">
      <c r="Q100" s="937"/>
      <c r="R100" s="937"/>
      <c r="S100" s="937"/>
      <c r="T100" s="937"/>
      <c r="U100" s="937"/>
      <c r="V100" s="937"/>
      <c r="W100" s="937"/>
      <c r="X100" s="937"/>
      <c r="Y100" s="937"/>
      <c r="Z100" s="937"/>
      <c r="AA100" s="937"/>
      <c r="AB100" s="937"/>
      <c r="AC100" s="963"/>
      <c r="AD100" s="963"/>
      <c r="AE100" s="963"/>
      <c r="AF100" s="937"/>
      <c r="AG100" s="937"/>
      <c r="AH100" s="937"/>
      <c r="AI100" s="937"/>
      <c r="AJ100" s="937"/>
      <c r="AK100" s="937"/>
      <c r="AL100" s="937"/>
      <c r="AM100" s="937"/>
      <c r="AN100" s="937"/>
      <c r="AO100" s="937"/>
      <c r="AP100" s="937"/>
      <c r="AQ100" s="937"/>
      <c r="AR100" s="937"/>
      <c r="AS100" s="937"/>
      <c r="AT100" s="937"/>
      <c r="AU100" s="937"/>
      <c r="AV100" s="937"/>
      <c r="AW100" s="937"/>
      <c r="AX100" s="937"/>
      <c r="AY100" s="937"/>
      <c r="AZ100" s="937"/>
      <c r="BA100" s="937"/>
      <c r="BB100" s="937"/>
      <c r="BC100" s="937"/>
      <c r="BD100" s="937"/>
      <c r="BE100" s="937"/>
      <c r="BF100" s="937"/>
      <c r="BG100" s="937"/>
      <c r="BH100" s="937"/>
      <c r="BI100" s="937"/>
      <c r="BJ100" s="937"/>
      <c r="BK100" s="937"/>
      <c r="BL100" s="937"/>
      <c r="BM100" s="937"/>
      <c r="BN100" s="937"/>
      <c r="BO100" s="937"/>
      <c r="BP100" s="937"/>
      <c r="BQ100" s="937"/>
      <c r="BR100" s="937"/>
      <c r="BS100" s="937"/>
      <c r="BT100" s="937"/>
      <c r="BU100" s="937"/>
      <c r="BV100" s="937"/>
      <c r="BW100" s="937"/>
      <c r="BX100" s="937"/>
      <c r="BY100" s="937"/>
      <c r="BZ100" s="937"/>
      <c r="CA100" s="937"/>
      <c r="CB100" s="937"/>
      <c r="CC100" s="937"/>
      <c r="CD100" s="937"/>
      <c r="CE100" s="937"/>
      <c r="CF100" s="937"/>
      <c r="CG100" s="937"/>
      <c r="CH100" s="937"/>
      <c r="CI100" s="937"/>
      <c r="CJ100" s="937"/>
      <c r="CK100" s="937"/>
      <c r="CL100" s="937"/>
      <c r="CM100" s="937"/>
      <c r="CN100" s="937"/>
      <c r="CO100" s="937"/>
    </row>
    <row r="101" spans="17:93" s="918" customFormat="1" x14ac:dyDescent="0.35">
      <c r="Q101" s="937"/>
      <c r="R101" s="937"/>
      <c r="S101" s="937"/>
      <c r="T101" s="937"/>
      <c r="U101" s="937"/>
      <c r="V101" s="937"/>
      <c r="W101" s="937"/>
      <c r="X101" s="937"/>
      <c r="Y101" s="937"/>
      <c r="Z101" s="937"/>
      <c r="AA101" s="937"/>
      <c r="AB101" s="937"/>
      <c r="AC101" s="963"/>
      <c r="AD101" s="963"/>
      <c r="AE101" s="963"/>
      <c r="AF101" s="937"/>
      <c r="AG101" s="937"/>
      <c r="AH101" s="937"/>
      <c r="AI101" s="937"/>
      <c r="AJ101" s="937"/>
      <c r="AK101" s="937"/>
      <c r="AL101" s="937"/>
      <c r="AM101" s="937"/>
      <c r="AN101" s="937"/>
      <c r="AO101" s="937"/>
      <c r="AP101" s="937"/>
      <c r="AQ101" s="937"/>
      <c r="AR101" s="937"/>
      <c r="AS101" s="937"/>
      <c r="AT101" s="937"/>
      <c r="AU101" s="937"/>
      <c r="AV101" s="937"/>
      <c r="AW101" s="937"/>
      <c r="AX101" s="937"/>
      <c r="AY101" s="937"/>
      <c r="AZ101" s="937"/>
      <c r="BA101" s="937"/>
      <c r="BB101" s="937"/>
      <c r="BC101" s="937"/>
      <c r="BD101" s="937"/>
      <c r="BE101" s="937"/>
      <c r="BF101" s="937"/>
      <c r="BG101" s="937"/>
      <c r="BH101" s="937"/>
      <c r="BI101" s="937"/>
      <c r="BJ101" s="937"/>
      <c r="BK101" s="937"/>
      <c r="BL101" s="937"/>
      <c r="BM101" s="937"/>
      <c r="BN101" s="937"/>
      <c r="BO101" s="937"/>
      <c r="BP101" s="937"/>
      <c r="BQ101" s="937"/>
      <c r="BR101" s="937"/>
      <c r="BS101" s="937"/>
      <c r="BT101" s="937"/>
      <c r="BU101" s="937"/>
      <c r="BV101" s="937"/>
      <c r="BW101" s="937"/>
      <c r="BX101" s="937"/>
      <c r="BY101" s="937"/>
      <c r="BZ101" s="937"/>
      <c r="CA101" s="937"/>
      <c r="CB101" s="937"/>
      <c r="CC101" s="937"/>
      <c r="CD101" s="937"/>
      <c r="CE101" s="937"/>
      <c r="CF101" s="937"/>
      <c r="CG101" s="937"/>
      <c r="CH101" s="937"/>
      <c r="CI101" s="937"/>
      <c r="CJ101" s="937"/>
      <c r="CK101" s="937"/>
      <c r="CL101" s="937"/>
      <c r="CM101" s="937"/>
      <c r="CN101" s="937"/>
      <c r="CO101" s="937"/>
    </row>
    <row r="102" spans="17:93" s="918" customFormat="1" x14ac:dyDescent="0.35">
      <c r="Q102" s="937"/>
      <c r="R102" s="937"/>
      <c r="S102" s="937"/>
      <c r="T102" s="937"/>
      <c r="U102" s="937"/>
      <c r="V102" s="937"/>
      <c r="W102" s="937"/>
      <c r="X102" s="937"/>
      <c r="Y102" s="937"/>
      <c r="Z102" s="937"/>
      <c r="AA102" s="937"/>
      <c r="AB102" s="937"/>
      <c r="AC102" s="963"/>
      <c r="AD102" s="963"/>
      <c r="AE102" s="963"/>
      <c r="AF102" s="937"/>
      <c r="AG102" s="937"/>
      <c r="AH102" s="937"/>
      <c r="AI102" s="937"/>
      <c r="AJ102" s="937"/>
      <c r="AK102" s="937"/>
      <c r="AL102" s="937"/>
      <c r="AM102" s="937"/>
      <c r="AN102" s="937"/>
      <c r="AO102" s="937"/>
      <c r="AP102" s="937"/>
      <c r="AQ102" s="937"/>
      <c r="AR102" s="937"/>
      <c r="AS102" s="937"/>
      <c r="AT102" s="937"/>
      <c r="AU102" s="937"/>
      <c r="AV102" s="937"/>
      <c r="AW102" s="937"/>
      <c r="AX102" s="937"/>
      <c r="AY102" s="937"/>
      <c r="AZ102" s="937"/>
      <c r="BA102" s="937"/>
      <c r="BB102" s="937"/>
      <c r="BC102" s="937"/>
      <c r="BD102" s="937"/>
      <c r="BE102" s="937"/>
      <c r="BF102" s="937"/>
      <c r="BG102" s="937"/>
      <c r="BH102" s="937"/>
      <c r="BI102" s="937"/>
      <c r="BJ102" s="937"/>
      <c r="BK102" s="937"/>
      <c r="BL102" s="937"/>
      <c r="BM102" s="937"/>
      <c r="BN102" s="937"/>
      <c r="BO102" s="937"/>
      <c r="BP102" s="937"/>
      <c r="BQ102" s="937"/>
      <c r="BR102" s="937"/>
      <c r="BS102" s="937"/>
      <c r="BT102" s="937"/>
      <c r="BU102" s="937"/>
      <c r="BV102" s="937"/>
      <c r="BW102" s="937"/>
      <c r="BX102" s="937"/>
      <c r="BY102" s="937"/>
      <c r="BZ102" s="937"/>
      <c r="CA102" s="937"/>
      <c r="CB102" s="937"/>
      <c r="CC102" s="937"/>
      <c r="CD102" s="937"/>
      <c r="CE102" s="937"/>
      <c r="CF102" s="937"/>
      <c r="CG102" s="937"/>
      <c r="CH102" s="937"/>
      <c r="CI102" s="937"/>
      <c r="CJ102" s="937"/>
      <c r="CK102" s="937"/>
      <c r="CL102" s="937"/>
      <c r="CM102" s="937"/>
      <c r="CN102" s="937"/>
      <c r="CO102" s="937"/>
    </row>
    <row r="103" spans="17:93" s="918" customFormat="1" x14ac:dyDescent="0.35">
      <c r="Q103" s="937"/>
      <c r="R103" s="937"/>
      <c r="S103" s="937"/>
      <c r="T103" s="937"/>
      <c r="U103" s="937"/>
      <c r="V103" s="937"/>
      <c r="W103" s="937"/>
      <c r="X103" s="937"/>
      <c r="Y103" s="937"/>
      <c r="Z103" s="937"/>
      <c r="AA103" s="937"/>
      <c r="AB103" s="937"/>
      <c r="AC103" s="963"/>
      <c r="AD103" s="963"/>
      <c r="AE103" s="963"/>
      <c r="AF103" s="937"/>
      <c r="AG103" s="937"/>
      <c r="AH103" s="937"/>
      <c r="AI103" s="937"/>
      <c r="AJ103" s="937"/>
      <c r="AK103" s="937"/>
      <c r="AL103" s="937"/>
      <c r="AM103" s="937"/>
      <c r="AN103" s="937"/>
      <c r="AO103" s="937"/>
      <c r="AP103" s="937"/>
      <c r="AQ103" s="937"/>
      <c r="AR103" s="937"/>
      <c r="AS103" s="937"/>
      <c r="AT103" s="937"/>
      <c r="AU103" s="937"/>
      <c r="AV103" s="937"/>
      <c r="AW103" s="937"/>
      <c r="AX103" s="937"/>
      <c r="AY103" s="937"/>
      <c r="AZ103" s="937"/>
      <c r="BA103" s="937"/>
      <c r="BB103" s="937"/>
      <c r="BC103" s="937"/>
      <c r="BD103" s="937"/>
      <c r="BE103" s="937"/>
      <c r="BF103" s="937"/>
      <c r="BG103" s="937"/>
      <c r="BH103" s="937"/>
      <c r="BI103" s="937"/>
      <c r="BJ103" s="937"/>
      <c r="BK103" s="937"/>
      <c r="BL103" s="937"/>
      <c r="BM103" s="937"/>
      <c r="BN103" s="937"/>
      <c r="BO103" s="937"/>
      <c r="BP103" s="937"/>
      <c r="BQ103" s="937"/>
      <c r="BR103" s="937"/>
      <c r="BS103" s="937"/>
      <c r="BT103" s="937"/>
      <c r="BU103" s="937"/>
      <c r="BV103" s="937"/>
      <c r="BW103" s="937"/>
      <c r="BX103" s="937"/>
      <c r="BY103" s="937"/>
      <c r="BZ103" s="937"/>
      <c r="CA103" s="937"/>
      <c r="CB103" s="937"/>
      <c r="CC103" s="937"/>
      <c r="CD103" s="937"/>
      <c r="CE103" s="937"/>
      <c r="CF103" s="937"/>
      <c r="CG103" s="937"/>
      <c r="CH103" s="937"/>
      <c r="CI103" s="937"/>
      <c r="CJ103" s="937"/>
      <c r="CK103" s="937"/>
      <c r="CL103" s="937"/>
      <c r="CM103" s="937"/>
      <c r="CN103" s="937"/>
      <c r="CO103" s="937"/>
    </row>
    <row r="104" spans="17:93" s="918" customFormat="1" x14ac:dyDescent="0.35">
      <c r="Q104" s="937"/>
      <c r="R104" s="937"/>
      <c r="S104" s="937"/>
      <c r="T104" s="937"/>
      <c r="U104" s="937"/>
      <c r="V104" s="937"/>
      <c r="W104" s="937"/>
      <c r="X104" s="937"/>
      <c r="Y104" s="937"/>
      <c r="Z104" s="937"/>
      <c r="AA104" s="937"/>
      <c r="AB104" s="937"/>
      <c r="AC104" s="963"/>
      <c r="AD104" s="963"/>
      <c r="AE104" s="963"/>
      <c r="AF104" s="937"/>
      <c r="AG104" s="937"/>
      <c r="AH104" s="937"/>
      <c r="AI104" s="937"/>
      <c r="AJ104" s="937"/>
      <c r="AK104" s="937"/>
      <c r="AL104" s="937"/>
      <c r="AM104" s="937"/>
      <c r="AN104" s="937"/>
      <c r="AO104" s="937"/>
      <c r="AP104" s="937"/>
      <c r="AQ104" s="937"/>
      <c r="AR104" s="937"/>
      <c r="AS104" s="937"/>
      <c r="AT104" s="937"/>
      <c r="AU104" s="937"/>
      <c r="AV104" s="937"/>
      <c r="AW104" s="937"/>
      <c r="AX104" s="937"/>
      <c r="AY104" s="937"/>
      <c r="AZ104" s="937"/>
      <c r="BA104" s="937"/>
      <c r="BB104" s="937"/>
      <c r="BC104" s="937"/>
      <c r="BD104" s="937"/>
      <c r="BE104" s="937"/>
      <c r="BF104" s="937"/>
      <c r="BG104" s="937"/>
      <c r="BH104" s="937"/>
      <c r="BI104" s="937"/>
      <c r="BJ104" s="937"/>
      <c r="BK104" s="937"/>
      <c r="BL104" s="937"/>
      <c r="BM104" s="937"/>
      <c r="BN104" s="937"/>
      <c r="BO104" s="937"/>
      <c r="BP104" s="937"/>
      <c r="BQ104" s="937"/>
      <c r="BR104" s="937"/>
      <c r="BS104" s="937"/>
      <c r="BT104" s="937"/>
      <c r="BU104" s="937"/>
      <c r="BV104" s="937"/>
      <c r="BW104" s="937"/>
      <c r="BX104" s="937"/>
      <c r="BY104" s="937"/>
      <c r="BZ104" s="937"/>
      <c r="CA104" s="937"/>
      <c r="CB104" s="937"/>
      <c r="CC104" s="937"/>
      <c r="CD104" s="937"/>
      <c r="CE104" s="937"/>
      <c r="CF104" s="937"/>
      <c r="CG104" s="937"/>
      <c r="CH104" s="937"/>
      <c r="CI104" s="937"/>
      <c r="CJ104" s="937"/>
      <c r="CK104" s="937"/>
      <c r="CL104" s="937"/>
      <c r="CM104" s="937"/>
      <c r="CN104" s="937"/>
      <c r="CO104" s="937"/>
    </row>
    <row r="105" spans="17:93" s="918" customFormat="1" x14ac:dyDescent="0.35">
      <c r="Q105" s="937"/>
      <c r="R105" s="937"/>
      <c r="S105" s="937"/>
      <c r="T105" s="937"/>
      <c r="U105" s="937"/>
      <c r="V105" s="937"/>
      <c r="W105" s="937"/>
      <c r="X105" s="937"/>
      <c r="Y105" s="937"/>
      <c r="Z105" s="937"/>
      <c r="AA105" s="937"/>
      <c r="AB105" s="937"/>
      <c r="AC105" s="963"/>
      <c r="AD105" s="963"/>
      <c r="AE105" s="963"/>
      <c r="AF105" s="937"/>
      <c r="AG105" s="937"/>
      <c r="AH105" s="937"/>
      <c r="AI105" s="937"/>
      <c r="AJ105" s="937"/>
      <c r="AK105" s="937"/>
      <c r="AL105" s="937"/>
      <c r="AM105" s="937"/>
      <c r="AN105" s="937"/>
      <c r="AO105" s="937"/>
      <c r="AP105" s="937"/>
      <c r="AQ105" s="937"/>
      <c r="AR105" s="937"/>
      <c r="AS105" s="937"/>
      <c r="AT105" s="937"/>
      <c r="AU105" s="937"/>
      <c r="AV105" s="937"/>
      <c r="AW105" s="937"/>
      <c r="AX105" s="937"/>
      <c r="AY105" s="937"/>
      <c r="AZ105" s="937"/>
      <c r="BA105" s="937"/>
      <c r="BB105" s="937"/>
      <c r="BC105" s="937"/>
      <c r="BD105" s="937"/>
      <c r="BE105" s="937"/>
      <c r="BF105" s="937"/>
      <c r="BG105" s="937"/>
      <c r="BH105" s="937"/>
      <c r="BI105" s="937"/>
      <c r="BJ105" s="937"/>
      <c r="BK105" s="937"/>
      <c r="BL105" s="937"/>
      <c r="BM105" s="937"/>
      <c r="BN105" s="937"/>
      <c r="BO105" s="937"/>
      <c r="BP105" s="937"/>
      <c r="BQ105" s="937"/>
      <c r="BR105" s="937"/>
      <c r="BS105" s="937"/>
      <c r="BT105" s="937"/>
      <c r="BU105" s="937"/>
      <c r="BV105" s="937"/>
      <c r="BW105" s="937"/>
      <c r="BX105" s="937"/>
      <c r="BY105" s="937"/>
      <c r="BZ105" s="937"/>
      <c r="CA105" s="937"/>
      <c r="CB105" s="937"/>
      <c r="CC105" s="937"/>
      <c r="CD105" s="937"/>
      <c r="CE105" s="937"/>
      <c r="CF105" s="937"/>
      <c r="CG105" s="937"/>
      <c r="CH105" s="937"/>
      <c r="CI105" s="937"/>
      <c r="CJ105" s="937"/>
      <c r="CK105" s="937"/>
      <c r="CL105" s="937"/>
      <c r="CM105" s="937"/>
      <c r="CN105" s="937"/>
      <c r="CO105" s="937"/>
    </row>
    <row r="106" spans="17:93" s="918" customFormat="1" x14ac:dyDescent="0.35">
      <c r="Q106" s="937"/>
      <c r="R106" s="937"/>
      <c r="S106" s="937"/>
      <c r="T106" s="937"/>
      <c r="U106" s="937"/>
      <c r="V106" s="937"/>
      <c r="W106" s="937"/>
      <c r="X106" s="937"/>
      <c r="Y106" s="937"/>
      <c r="Z106" s="937"/>
      <c r="AA106" s="937"/>
      <c r="AB106" s="937"/>
      <c r="AC106" s="963"/>
      <c r="AD106" s="963"/>
      <c r="AE106" s="963"/>
      <c r="AF106" s="937"/>
      <c r="AG106" s="937"/>
      <c r="AH106" s="937"/>
      <c r="AI106" s="937"/>
      <c r="AJ106" s="937"/>
      <c r="AK106" s="937"/>
      <c r="AL106" s="937"/>
      <c r="AM106" s="937"/>
      <c r="AN106" s="937"/>
      <c r="AO106" s="937"/>
      <c r="AP106" s="937"/>
      <c r="AQ106" s="937"/>
      <c r="AR106" s="937"/>
      <c r="AS106" s="937"/>
      <c r="AT106" s="937"/>
      <c r="AU106" s="937"/>
      <c r="AV106" s="937"/>
      <c r="AW106" s="937"/>
      <c r="AX106" s="937"/>
      <c r="AY106" s="937"/>
      <c r="AZ106" s="937"/>
      <c r="BA106" s="937"/>
      <c r="BB106" s="937"/>
      <c r="BC106" s="937"/>
      <c r="BD106" s="937"/>
      <c r="BE106" s="937"/>
      <c r="BF106" s="937"/>
      <c r="BG106" s="937"/>
      <c r="BH106" s="937"/>
      <c r="BI106" s="937"/>
      <c r="BJ106" s="937"/>
      <c r="BK106" s="937"/>
      <c r="BL106" s="937"/>
      <c r="BM106" s="937"/>
      <c r="BN106" s="937"/>
      <c r="BO106" s="937"/>
      <c r="BP106" s="937"/>
      <c r="BQ106" s="937"/>
      <c r="BR106" s="937"/>
      <c r="BS106" s="937"/>
      <c r="BT106" s="937"/>
      <c r="BU106" s="937"/>
      <c r="BV106" s="937"/>
      <c r="BW106" s="937"/>
      <c r="BX106" s="937"/>
      <c r="BY106" s="937"/>
      <c r="BZ106" s="937"/>
      <c r="CA106" s="937"/>
      <c r="CB106" s="937"/>
      <c r="CC106" s="937"/>
      <c r="CD106" s="937"/>
      <c r="CE106" s="937"/>
      <c r="CF106" s="937"/>
      <c r="CG106" s="937"/>
      <c r="CH106" s="937"/>
      <c r="CI106" s="937"/>
      <c r="CJ106" s="937"/>
      <c r="CK106" s="937"/>
      <c r="CL106" s="937"/>
      <c r="CM106" s="937"/>
      <c r="CN106" s="937"/>
      <c r="CO106" s="937"/>
    </row>
    <row r="107" spans="17:93" s="918" customFormat="1" x14ac:dyDescent="0.35">
      <c r="Q107" s="937"/>
      <c r="R107" s="937"/>
      <c r="S107" s="937"/>
      <c r="T107" s="937"/>
      <c r="U107" s="937"/>
      <c r="V107" s="937"/>
      <c r="W107" s="937"/>
      <c r="X107" s="937"/>
      <c r="Y107" s="937"/>
      <c r="Z107" s="937"/>
      <c r="AA107" s="937"/>
      <c r="AB107" s="937"/>
      <c r="AC107" s="963"/>
      <c r="AD107" s="963"/>
      <c r="AE107" s="963"/>
      <c r="AF107" s="937"/>
      <c r="AG107" s="937"/>
      <c r="AH107" s="937"/>
      <c r="AI107" s="937"/>
      <c r="AJ107" s="937"/>
      <c r="AK107" s="937"/>
      <c r="AL107" s="937"/>
      <c r="AM107" s="937"/>
      <c r="AN107" s="937"/>
      <c r="AO107" s="937"/>
      <c r="AP107" s="937"/>
      <c r="AQ107" s="937"/>
      <c r="AR107" s="937"/>
      <c r="AS107" s="937"/>
      <c r="AT107" s="937"/>
      <c r="AU107" s="937"/>
      <c r="AV107" s="937"/>
      <c r="AW107" s="937"/>
      <c r="AX107" s="937"/>
      <c r="AY107" s="937"/>
      <c r="AZ107" s="937"/>
      <c r="BA107" s="937"/>
      <c r="BB107" s="937"/>
      <c r="BC107" s="937"/>
      <c r="BD107" s="937"/>
      <c r="BE107" s="937"/>
      <c r="BF107" s="937"/>
      <c r="BG107" s="937"/>
      <c r="BH107" s="937"/>
      <c r="BI107" s="937"/>
      <c r="BJ107" s="937"/>
      <c r="BK107" s="937"/>
      <c r="BL107" s="937"/>
      <c r="BM107" s="937"/>
      <c r="BN107" s="937"/>
      <c r="BO107" s="937"/>
      <c r="BP107" s="937"/>
      <c r="BQ107" s="937"/>
      <c r="BR107" s="937"/>
      <c r="BS107" s="937"/>
      <c r="BT107" s="937"/>
      <c r="BU107" s="937"/>
      <c r="BV107" s="937"/>
      <c r="BW107" s="937"/>
      <c r="BX107" s="937"/>
      <c r="BY107" s="937"/>
      <c r="BZ107" s="937"/>
      <c r="CA107" s="937"/>
      <c r="CB107" s="937"/>
      <c r="CC107" s="937"/>
      <c r="CD107" s="937"/>
      <c r="CE107" s="937"/>
      <c r="CF107" s="937"/>
      <c r="CG107" s="937"/>
      <c r="CH107" s="937"/>
      <c r="CI107" s="937"/>
      <c r="CJ107" s="937"/>
      <c r="CK107" s="937"/>
      <c r="CL107" s="937"/>
      <c r="CM107" s="937"/>
      <c r="CN107" s="937"/>
      <c r="CO107" s="937"/>
    </row>
    <row r="108" spans="17:93" s="918" customFormat="1" x14ac:dyDescent="0.35">
      <c r="Q108" s="937"/>
      <c r="R108" s="937"/>
      <c r="S108" s="937"/>
      <c r="T108" s="937"/>
      <c r="U108" s="937"/>
      <c r="V108" s="937"/>
      <c r="W108" s="937"/>
      <c r="X108" s="937"/>
      <c r="Y108" s="937"/>
      <c r="Z108" s="937"/>
      <c r="AA108" s="937"/>
      <c r="AB108" s="937"/>
      <c r="AC108" s="963"/>
      <c r="AD108" s="963"/>
      <c r="AE108" s="963"/>
      <c r="AF108" s="937"/>
      <c r="AG108" s="937"/>
      <c r="AH108" s="937"/>
      <c r="AI108" s="937"/>
      <c r="AJ108" s="937"/>
      <c r="AK108" s="937"/>
      <c r="AL108" s="937"/>
      <c r="AM108" s="937"/>
      <c r="AN108" s="937"/>
      <c r="AO108" s="937"/>
      <c r="AP108" s="937"/>
      <c r="AQ108" s="937"/>
      <c r="AR108" s="937"/>
      <c r="AS108" s="937"/>
      <c r="AT108" s="937"/>
      <c r="AU108" s="937"/>
      <c r="AV108" s="937"/>
      <c r="AW108" s="937"/>
      <c r="AX108" s="937"/>
      <c r="AY108" s="937"/>
      <c r="AZ108" s="937"/>
      <c r="BA108" s="937"/>
      <c r="BB108" s="937"/>
      <c r="BC108" s="937"/>
      <c r="BD108" s="937"/>
      <c r="BE108" s="937"/>
      <c r="BF108" s="937"/>
      <c r="BG108" s="937"/>
      <c r="BH108" s="937"/>
      <c r="BI108" s="937"/>
      <c r="BJ108" s="937"/>
      <c r="BK108" s="937"/>
      <c r="BL108" s="937"/>
      <c r="BM108" s="937"/>
      <c r="BN108" s="937"/>
      <c r="BO108" s="937"/>
      <c r="BP108" s="937"/>
      <c r="BQ108" s="937"/>
      <c r="BR108" s="937"/>
      <c r="BS108" s="937"/>
      <c r="BT108" s="937"/>
      <c r="BU108" s="937"/>
      <c r="BV108" s="937"/>
      <c r="BW108" s="937"/>
      <c r="BX108" s="937"/>
      <c r="BY108" s="937"/>
      <c r="BZ108" s="937"/>
      <c r="CA108" s="937"/>
      <c r="CB108" s="937"/>
      <c r="CC108" s="937"/>
      <c r="CD108" s="937"/>
      <c r="CE108" s="937"/>
      <c r="CF108" s="937"/>
      <c r="CG108" s="937"/>
      <c r="CH108" s="937"/>
      <c r="CI108" s="937"/>
      <c r="CJ108" s="937"/>
      <c r="CK108" s="937"/>
      <c r="CL108" s="937"/>
      <c r="CM108" s="937"/>
      <c r="CN108" s="937"/>
      <c r="CO108" s="937"/>
    </row>
    <row r="109" spans="17:93" s="918" customFormat="1" x14ac:dyDescent="0.35">
      <c r="Q109" s="937"/>
      <c r="R109" s="937"/>
      <c r="S109" s="937"/>
      <c r="T109" s="937"/>
      <c r="U109" s="937"/>
      <c r="V109" s="937"/>
      <c r="W109" s="937"/>
      <c r="X109" s="937"/>
      <c r="Y109" s="937"/>
      <c r="Z109" s="937"/>
      <c r="AA109" s="937"/>
      <c r="AB109" s="937"/>
      <c r="AC109" s="963"/>
      <c r="AD109" s="963"/>
      <c r="AE109" s="963"/>
      <c r="AF109" s="937"/>
      <c r="AG109" s="937"/>
      <c r="AH109" s="937"/>
      <c r="AI109" s="937"/>
      <c r="AJ109" s="937"/>
      <c r="AK109" s="937"/>
      <c r="AL109" s="937"/>
      <c r="AM109" s="937"/>
      <c r="AN109" s="937"/>
      <c r="AO109" s="937"/>
      <c r="AP109" s="937"/>
      <c r="AQ109" s="937"/>
      <c r="AR109" s="937"/>
      <c r="AS109" s="937"/>
      <c r="AT109" s="937"/>
      <c r="AU109" s="937"/>
      <c r="AV109" s="937"/>
      <c r="AW109" s="937"/>
      <c r="AX109" s="937"/>
      <c r="AY109" s="937"/>
      <c r="AZ109" s="937"/>
      <c r="BA109" s="937"/>
      <c r="BB109" s="937"/>
      <c r="BC109" s="937"/>
      <c r="BD109" s="937"/>
      <c r="BE109" s="937"/>
      <c r="BF109" s="937"/>
      <c r="BG109" s="937"/>
      <c r="BH109" s="937"/>
      <c r="BI109" s="937"/>
      <c r="BJ109" s="937"/>
      <c r="BK109" s="937"/>
      <c r="BL109" s="937"/>
      <c r="BM109" s="937"/>
      <c r="BN109" s="937"/>
      <c r="BO109" s="937"/>
      <c r="BP109" s="937"/>
      <c r="BQ109" s="937"/>
      <c r="BR109" s="937"/>
      <c r="BS109" s="937"/>
      <c r="BT109" s="937"/>
      <c r="BU109" s="937"/>
      <c r="BV109" s="937"/>
      <c r="BW109" s="937"/>
      <c r="BX109" s="937"/>
      <c r="BY109" s="937"/>
      <c r="BZ109" s="937"/>
      <c r="CA109" s="937"/>
      <c r="CB109" s="937"/>
      <c r="CC109" s="937"/>
      <c r="CD109" s="937"/>
      <c r="CE109" s="937"/>
      <c r="CF109" s="937"/>
      <c r="CG109" s="937"/>
      <c r="CH109" s="937"/>
      <c r="CI109" s="937"/>
      <c r="CJ109" s="937"/>
      <c r="CK109" s="937"/>
      <c r="CL109" s="937"/>
      <c r="CM109" s="937"/>
      <c r="CN109" s="937"/>
      <c r="CO109" s="937"/>
    </row>
    <row r="110" spans="17:93" s="918" customFormat="1" x14ac:dyDescent="0.35">
      <c r="Q110" s="937"/>
      <c r="R110" s="937"/>
      <c r="S110" s="937"/>
      <c r="T110" s="937"/>
      <c r="U110" s="937"/>
      <c r="V110" s="937"/>
      <c r="W110" s="937"/>
      <c r="X110" s="937"/>
      <c r="Y110" s="937"/>
      <c r="Z110" s="937"/>
      <c r="AA110" s="937"/>
      <c r="AB110" s="937"/>
      <c r="AC110" s="963"/>
      <c r="AD110" s="963"/>
      <c r="AE110" s="963"/>
      <c r="AF110" s="937"/>
      <c r="AG110" s="937"/>
      <c r="AH110" s="937"/>
      <c r="AI110" s="937"/>
      <c r="AJ110" s="937"/>
      <c r="AK110" s="937"/>
      <c r="AL110" s="937"/>
      <c r="AM110" s="937"/>
      <c r="AN110" s="937"/>
      <c r="AO110" s="937"/>
      <c r="AP110" s="937"/>
      <c r="AQ110" s="937"/>
      <c r="AR110" s="937"/>
      <c r="AS110" s="937"/>
      <c r="AT110" s="937"/>
      <c r="AU110" s="937"/>
      <c r="AV110" s="937"/>
      <c r="AW110" s="937"/>
      <c r="AX110" s="937"/>
      <c r="AY110" s="937"/>
      <c r="AZ110" s="937"/>
      <c r="BA110" s="937"/>
      <c r="BB110" s="937"/>
      <c r="BC110" s="937"/>
      <c r="BD110" s="937"/>
      <c r="BE110" s="937"/>
      <c r="BF110" s="937"/>
      <c r="BG110" s="937"/>
      <c r="BH110" s="937"/>
      <c r="BI110" s="937"/>
      <c r="BJ110" s="937"/>
      <c r="BK110" s="937"/>
      <c r="BL110" s="937"/>
      <c r="BM110" s="937"/>
      <c r="BN110" s="937"/>
      <c r="BO110" s="937"/>
      <c r="BP110" s="937"/>
      <c r="BQ110" s="937"/>
      <c r="BR110" s="937"/>
      <c r="BS110" s="937"/>
      <c r="BT110" s="937"/>
      <c r="BU110" s="937"/>
      <c r="BV110" s="937"/>
      <c r="BW110" s="937"/>
      <c r="BX110" s="937"/>
      <c r="BY110" s="937"/>
      <c r="BZ110" s="937"/>
      <c r="CA110" s="937"/>
      <c r="CB110" s="937"/>
      <c r="CC110" s="937"/>
      <c r="CD110" s="937"/>
      <c r="CE110" s="937"/>
      <c r="CF110" s="937"/>
      <c r="CG110" s="937"/>
      <c r="CH110" s="937"/>
      <c r="CI110" s="937"/>
      <c r="CJ110" s="937"/>
      <c r="CK110" s="937"/>
      <c r="CL110" s="937"/>
      <c r="CM110" s="937"/>
      <c r="CN110" s="937"/>
      <c r="CO110" s="937"/>
    </row>
    <row r="111" spans="17:93" s="918" customFormat="1" x14ac:dyDescent="0.35">
      <c r="Q111" s="937"/>
      <c r="R111" s="937"/>
      <c r="S111" s="937"/>
      <c r="T111" s="937"/>
      <c r="U111" s="937"/>
      <c r="V111" s="937"/>
      <c r="W111" s="937"/>
      <c r="X111" s="937"/>
      <c r="Y111" s="937"/>
      <c r="Z111" s="937"/>
      <c r="AA111" s="937"/>
      <c r="AB111" s="937"/>
      <c r="AC111" s="963"/>
      <c r="AD111" s="963"/>
      <c r="AE111" s="963"/>
      <c r="AF111" s="937"/>
      <c r="AG111" s="937"/>
      <c r="AH111" s="937"/>
      <c r="AI111" s="937"/>
      <c r="AJ111" s="937"/>
      <c r="AK111" s="937"/>
      <c r="AL111" s="937"/>
      <c r="AM111" s="937"/>
      <c r="AN111" s="937"/>
      <c r="AO111" s="937"/>
      <c r="AP111" s="937"/>
      <c r="AQ111" s="937"/>
      <c r="AR111" s="937"/>
      <c r="AS111" s="937"/>
      <c r="AT111" s="937"/>
      <c r="AU111" s="937"/>
      <c r="AV111" s="937"/>
      <c r="AW111" s="937"/>
      <c r="AX111" s="937"/>
      <c r="AY111" s="937"/>
      <c r="AZ111" s="937"/>
      <c r="BA111" s="937"/>
      <c r="BB111" s="937"/>
      <c r="BC111" s="937"/>
      <c r="BD111" s="937"/>
      <c r="BE111" s="937"/>
      <c r="BF111" s="937"/>
      <c r="BG111" s="937"/>
      <c r="BH111" s="937"/>
      <c r="BI111" s="937"/>
      <c r="BJ111" s="937"/>
      <c r="BK111" s="937"/>
      <c r="BL111" s="937"/>
      <c r="BM111" s="937"/>
      <c r="BN111" s="937"/>
      <c r="BO111" s="937"/>
      <c r="BP111" s="937"/>
      <c r="BQ111" s="937"/>
      <c r="BR111" s="937"/>
      <c r="BS111" s="937"/>
      <c r="BT111" s="937"/>
      <c r="BU111" s="937"/>
      <c r="BV111" s="937"/>
      <c r="BW111" s="937"/>
      <c r="BX111" s="937"/>
      <c r="BY111" s="937"/>
      <c r="BZ111" s="937"/>
      <c r="CA111" s="937"/>
      <c r="CB111" s="937"/>
      <c r="CC111" s="937"/>
      <c r="CD111" s="937"/>
      <c r="CE111" s="937"/>
      <c r="CF111" s="937"/>
      <c r="CG111" s="937"/>
      <c r="CH111" s="937"/>
      <c r="CI111" s="937"/>
      <c r="CJ111" s="937"/>
      <c r="CK111" s="937"/>
      <c r="CL111" s="937"/>
      <c r="CM111" s="937"/>
      <c r="CN111" s="937"/>
      <c r="CO111" s="937"/>
    </row>
    <row r="112" spans="17:93" s="918" customFormat="1" x14ac:dyDescent="0.35">
      <c r="Q112" s="937"/>
      <c r="R112" s="937"/>
      <c r="S112" s="937"/>
      <c r="T112" s="937"/>
      <c r="U112" s="937"/>
      <c r="V112" s="937"/>
      <c r="W112" s="937"/>
      <c r="X112" s="937"/>
      <c r="Y112" s="937"/>
      <c r="Z112" s="937"/>
      <c r="AA112" s="937"/>
      <c r="AB112" s="937"/>
      <c r="AC112" s="963"/>
      <c r="AD112" s="963"/>
      <c r="AE112" s="963"/>
      <c r="AF112" s="937"/>
      <c r="AG112" s="937"/>
      <c r="AH112" s="937"/>
      <c r="AI112" s="937"/>
      <c r="AJ112" s="937"/>
      <c r="AK112" s="937"/>
      <c r="AL112" s="937"/>
      <c r="AM112" s="937"/>
      <c r="AN112" s="937"/>
      <c r="AO112" s="937"/>
      <c r="AP112" s="937"/>
      <c r="AQ112" s="937"/>
      <c r="AR112" s="937"/>
      <c r="AS112" s="937"/>
      <c r="AT112" s="937"/>
      <c r="AU112" s="937"/>
      <c r="AV112" s="937"/>
      <c r="AW112" s="937"/>
      <c r="AX112" s="937"/>
      <c r="AY112" s="937"/>
      <c r="AZ112" s="937"/>
      <c r="BA112" s="937"/>
      <c r="BB112" s="937"/>
      <c r="BC112" s="937"/>
      <c r="BD112" s="937"/>
      <c r="BE112" s="937"/>
      <c r="BF112" s="937"/>
      <c r="BG112" s="937"/>
      <c r="BH112" s="937"/>
      <c r="BI112" s="937"/>
      <c r="BJ112" s="937"/>
      <c r="BK112" s="937"/>
      <c r="BL112" s="937"/>
      <c r="BM112" s="937"/>
      <c r="BN112" s="937"/>
      <c r="BO112" s="937"/>
      <c r="BP112" s="937"/>
      <c r="BQ112" s="937"/>
      <c r="BR112" s="937"/>
      <c r="BS112" s="937"/>
      <c r="BT112" s="937"/>
      <c r="BU112" s="937"/>
      <c r="BV112" s="937"/>
      <c r="BW112" s="937"/>
      <c r="BX112" s="937"/>
      <c r="BY112" s="937"/>
      <c r="BZ112" s="937"/>
      <c r="CA112" s="937"/>
      <c r="CB112" s="937"/>
      <c r="CC112" s="937"/>
      <c r="CD112" s="937"/>
      <c r="CE112" s="937"/>
      <c r="CF112" s="937"/>
      <c r="CG112" s="937"/>
      <c r="CH112" s="937"/>
      <c r="CI112" s="937"/>
      <c r="CJ112" s="937"/>
      <c r="CK112" s="937"/>
      <c r="CL112" s="937"/>
      <c r="CM112" s="937"/>
      <c r="CN112" s="937"/>
      <c r="CO112" s="937"/>
    </row>
    <row r="113" spans="17:93" s="918" customFormat="1" x14ac:dyDescent="0.35">
      <c r="Q113" s="937"/>
      <c r="R113" s="937"/>
      <c r="S113" s="937"/>
      <c r="T113" s="937"/>
      <c r="U113" s="937"/>
      <c r="V113" s="937"/>
      <c r="W113" s="937"/>
      <c r="X113" s="937"/>
      <c r="Y113" s="937"/>
      <c r="Z113" s="937"/>
      <c r="AA113" s="937"/>
      <c r="AB113" s="937"/>
      <c r="AC113" s="963"/>
      <c r="AD113" s="963"/>
      <c r="AE113" s="963"/>
      <c r="AF113" s="937"/>
      <c r="AG113" s="937"/>
      <c r="AH113" s="937"/>
      <c r="AI113" s="937"/>
      <c r="AJ113" s="937"/>
      <c r="AK113" s="937"/>
      <c r="AL113" s="937"/>
      <c r="AM113" s="937"/>
      <c r="AN113" s="937"/>
      <c r="AO113" s="937"/>
      <c r="AP113" s="937"/>
      <c r="AQ113" s="937"/>
      <c r="AR113" s="937"/>
      <c r="AS113" s="937"/>
      <c r="AT113" s="937"/>
      <c r="AU113" s="937"/>
      <c r="AV113" s="937"/>
      <c r="AW113" s="937"/>
      <c r="AX113" s="937"/>
      <c r="AY113" s="937"/>
      <c r="AZ113" s="937"/>
      <c r="BA113" s="937"/>
      <c r="BB113" s="937"/>
      <c r="BC113" s="937"/>
      <c r="BD113" s="937"/>
      <c r="BE113" s="937"/>
      <c r="BF113" s="937"/>
      <c r="BG113" s="937"/>
      <c r="BH113" s="937"/>
      <c r="BI113" s="937"/>
      <c r="BJ113" s="937"/>
      <c r="BK113" s="937"/>
      <c r="BL113" s="937"/>
      <c r="BM113" s="937"/>
      <c r="BN113" s="937"/>
      <c r="BO113" s="937"/>
      <c r="BP113" s="937"/>
      <c r="BQ113" s="937"/>
      <c r="BR113" s="937"/>
      <c r="BS113" s="937"/>
      <c r="BT113" s="937"/>
      <c r="BU113" s="937"/>
      <c r="BV113" s="937"/>
      <c r="BW113" s="937"/>
      <c r="BX113" s="937"/>
      <c r="BY113" s="937"/>
      <c r="BZ113" s="937"/>
      <c r="CA113" s="937"/>
      <c r="CB113" s="937"/>
      <c r="CC113" s="937"/>
      <c r="CD113" s="937"/>
      <c r="CE113" s="937"/>
      <c r="CF113" s="937"/>
      <c r="CG113" s="937"/>
      <c r="CH113" s="937"/>
      <c r="CI113" s="937"/>
      <c r="CJ113" s="937"/>
      <c r="CK113" s="937"/>
      <c r="CL113" s="937"/>
      <c r="CM113" s="937"/>
      <c r="CN113" s="937"/>
      <c r="CO113" s="937"/>
    </row>
    <row r="114" spans="17:93" s="918" customFormat="1" x14ac:dyDescent="0.35">
      <c r="Q114" s="937"/>
      <c r="R114" s="937"/>
      <c r="S114" s="937"/>
      <c r="T114" s="937"/>
      <c r="U114" s="937"/>
      <c r="V114" s="937"/>
      <c r="W114" s="937"/>
      <c r="X114" s="937"/>
      <c r="Y114" s="937"/>
      <c r="Z114" s="937"/>
      <c r="AA114" s="937"/>
      <c r="AB114" s="937"/>
      <c r="AC114" s="963"/>
      <c r="AD114" s="963"/>
      <c r="AE114" s="963"/>
      <c r="AF114" s="937"/>
      <c r="AG114" s="937"/>
      <c r="AH114" s="937"/>
      <c r="AI114" s="937"/>
      <c r="AJ114" s="937"/>
      <c r="AK114" s="937"/>
      <c r="AL114" s="937"/>
      <c r="AM114" s="937"/>
      <c r="AN114" s="937"/>
      <c r="AO114" s="937"/>
      <c r="AP114" s="937"/>
      <c r="AQ114" s="937"/>
      <c r="AR114" s="937"/>
      <c r="AS114" s="937"/>
      <c r="AT114" s="937"/>
      <c r="AU114" s="937"/>
      <c r="AV114" s="937"/>
      <c r="AW114" s="937"/>
      <c r="AX114" s="937"/>
      <c r="AY114" s="937"/>
      <c r="AZ114" s="937"/>
      <c r="BA114" s="937"/>
      <c r="BB114" s="937"/>
      <c r="BC114" s="937"/>
      <c r="BD114" s="937"/>
      <c r="BE114" s="937"/>
      <c r="BF114" s="937"/>
      <c r="BG114" s="937"/>
      <c r="BH114" s="937"/>
      <c r="BI114" s="937"/>
      <c r="BJ114" s="937"/>
      <c r="BK114" s="937"/>
      <c r="BL114" s="937"/>
      <c r="BM114" s="937"/>
      <c r="BN114" s="937"/>
      <c r="BO114" s="937"/>
      <c r="BP114" s="937"/>
      <c r="BQ114" s="937"/>
      <c r="BR114" s="937"/>
      <c r="BS114" s="937"/>
      <c r="BT114" s="937"/>
      <c r="BU114" s="937"/>
      <c r="BV114" s="937"/>
      <c r="BW114" s="937"/>
      <c r="BX114" s="937"/>
      <c r="BY114" s="937"/>
      <c r="BZ114" s="937"/>
      <c r="CA114" s="937"/>
      <c r="CB114" s="937"/>
      <c r="CC114" s="937"/>
      <c r="CD114" s="937"/>
      <c r="CE114" s="937"/>
      <c r="CF114" s="937"/>
      <c r="CG114" s="937"/>
      <c r="CH114" s="937"/>
      <c r="CI114" s="937"/>
      <c r="CJ114" s="937"/>
      <c r="CK114" s="937"/>
      <c r="CL114" s="937"/>
      <c r="CM114" s="937"/>
      <c r="CN114" s="937"/>
      <c r="CO114" s="937"/>
    </row>
    <row r="115" spans="17:93" s="918" customFormat="1" x14ac:dyDescent="0.35">
      <c r="Q115" s="937"/>
      <c r="R115" s="937"/>
      <c r="S115" s="937"/>
      <c r="T115" s="937"/>
      <c r="U115" s="937"/>
      <c r="V115" s="937"/>
      <c r="W115" s="937"/>
      <c r="X115" s="937"/>
      <c r="Y115" s="937"/>
      <c r="Z115" s="937"/>
      <c r="AA115" s="937"/>
      <c r="AB115" s="937"/>
      <c r="AC115" s="963"/>
      <c r="AD115" s="963"/>
      <c r="AE115" s="963"/>
      <c r="AF115" s="937"/>
      <c r="AG115" s="937"/>
      <c r="AH115" s="937"/>
      <c r="AI115" s="937"/>
      <c r="AJ115" s="937"/>
      <c r="AK115" s="937"/>
      <c r="AL115" s="937"/>
      <c r="AM115" s="937"/>
      <c r="AN115" s="937"/>
      <c r="AO115" s="937"/>
      <c r="AP115" s="937"/>
      <c r="AQ115" s="937"/>
      <c r="AR115" s="937"/>
      <c r="AS115" s="937"/>
      <c r="AT115" s="937"/>
      <c r="AU115" s="937"/>
      <c r="AV115" s="937"/>
      <c r="AW115" s="937"/>
      <c r="AX115" s="937"/>
      <c r="AY115" s="937"/>
      <c r="AZ115" s="937"/>
      <c r="BA115" s="937"/>
      <c r="BB115" s="937"/>
      <c r="BC115" s="937"/>
      <c r="BD115" s="937"/>
      <c r="BE115" s="937"/>
      <c r="BF115" s="937"/>
      <c r="BG115" s="937"/>
      <c r="BH115" s="937"/>
      <c r="BI115" s="937"/>
      <c r="BJ115" s="937"/>
      <c r="BK115" s="937"/>
      <c r="BL115" s="937"/>
      <c r="BM115" s="937"/>
      <c r="BN115" s="937"/>
      <c r="BO115" s="937"/>
      <c r="BP115" s="937"/>
      <c r="BQ115" s="937"/>
      <c r="BR115" s="937"/>
      <c r="BS115" s="937"/>
      <c r="BT115" s="937"/>
      <c r="BU115" s="937"/>
      <c r="BV115" s="937"/>
      <c r="BW115" s="937"/>
      <c r="BX115" s="937"/>
      <c r="BY115" s="937"/>
      <c r="BZ115" s="937"/>
      <c r="CA115" s="937"/>
      <c r="CB115" s="937"/>
      <c r="CC115" s="937"/>
      <c r="CD115" s="937"/>
      <c r="CE115" s="937"/>
      <c r="CF115" s="937"/>
      <c r="CG115" s="937"/>
      <c r="CH115" s="937"/>
      <c r="CI115" s="937"/>
      <c r="CJ115" s="937"/>
      <c r="CK115" s="937"/>
      <c r="CL115" s="937"/>
      <c r="CM115" s="937"/>
      <c r="CN115" s="937"/>
      <c r="CO115" s="937"/>
    </row>
    <row r="116" spans="17:93" s="918" customFormat="1" x14ac:dyDescent="0.35">
      <c r="Q116" s="937"/>
      <c r="R116" s="937"/>
      <c r="S116" s="937"/>
      <c r="T116" s="937"/>
      <c r="U116" s="937"/>
      <c r="V116" s="937"/>
      <c r="W116" s="937"/>
      <c r="X116" s="937"/>
      <c r="Y116" s="937"/>
      <c r="Z116" s="937"/>
      <c r="AA116" s="937"/>
      <c r="AB116" s="937"/>
      <c r="AC116" s="963"/>
      <c r="AD116" s="963"/>
      <c r="AE116" s="963"/>
      <c r="AF116" s="937"/>
      <c r="AG116" s="937"/>
      <c r="AH116" s="937"/>
      <c r="AI116" s="937"/>
      <c r="AJ116" s="937"/>
      <c r="AK116" s="937"/>
      <c r="AL116" s="937"/>
      <c r="AM116" s="937"/>
      <c r="AN116" s="937"/>
      <c r="AO116" s="937"/>
      <c r="AP116" s="937"/>
      <c r="AQ116" s="937"/>
      <c r="AR116" s="937"/>
      <c r="AS116" s="937"/>
      <c r="AT116" s="937"/>
      <c r="AU116" s="937"/>
      <c r="AV116" s="937"/>
      <c r="AW116" s="937"/>
      <c r="AX116" s="937"/>
      <c r="AY116" s="937"/>
      <c r="AZ116" s="937"/>
      <c r="BA116" s="937"/>
      <c r="BB116" s="937"/>
      <c r="BC116" s="937"/>
      <c r="BD116" s="937"/>
      <c r="BE116" s="937"/>
      <c r="BF116" s="937"/>
      <c r="BG116" s="937"/>
      <c r="BH116" s="937"/>
      <c r="BI116" s="937"/>
      <c r="BJ116" s="937"/>
      <c r="BK116" s="937"/>
      <c r="BL116" s="937"/>
      <c r="BM116" s="937"/>
      <c r="BN116" s="937"/>
      <c r="BO116" s="937"/>
      <c r="BP116" s="937"/>
      <c r="BQ116" s="937"/>
      <c r="BR116" s="937"/>
      <c r="BS116" s="937"/>
      <c r="BT116" s="937"/>
      <c r="BU116" s="937"/>
      <c r="BV116" s="937"/>
      <c r="BW116" s="937"/>
      <c r="BX116" s="937"/>
      <c r="BY116" s="937"/>
      <c r="BZ116" s="937"/>
      <c r="CA116" s="937"/>
      <c r="CB116" s="937"/>
      <c r="CC116" s="937"/>
      <c r="CD116" s="937"/>
      <c r="CE116" s="937"/>
      <c r="CF116" s="937"/>
      <c r="CG116" s="937"/>
      <c r="CH116" s="937"/>
      <c r="CI116" s="937"/>
      <c r="CJ116" s="937"/>
      <c r="CK116" s="937"/>
      <c r="CL116" s="937"/>
      <c r="CM116" s="937"/>
      <c r="CN116" s="937"/>
      <c r="CO116" s="937"/>
    </row>
    <row r="117" spans="17:93" s="918" customFormat="1" x14ac:dyDescent="0.35">
      <c r="Q117" s="937"/>
      <c r="R117" s="937"/>
      <c r="S117" s="937"/>
      <c r="T117" s="937"/>
      <c r="U117" s="937"/>
      <c r="V117" s="937"/>
      <c r="W117" s="937"/>
      <c r="X117" s="937"/>
      <c r="Y117" s="937"/>
      <c r="Z117" s="937"/>
      <c r="AA117" s="937"/>
      <c r="AB117" s="937"/>
      <c r="AC117" s="963"/>
      <c r="AD117" s="963"/>
      <c r="AE117" s="963"/>
      <c r="AF117" s="937"/>
      <c r="AG117" s="937"/>
      <c r="AH117" s="937"/>
      <c r="AI117" s="937"/>
      <c r="AJ117" s="937"/>
      <c r="AK117" s="937"/>
      <c r="AL117" s="937"/>
      <c r="AM117" s="937"/>
      <c r="AN117" s="937"/>
      <c r="AO117" s="937"/>
      <c r="AP117" s="937"/>
      <c r="AQ117" s="937"/>
      <c r="AR117" s="937"/>
      <c r="AS117" s="937"/>
      <c r="AT117" s="937"/>
      <c r="AU117" s="937"/>
      <c r="AV117" s="937"/>
      <c r="AW117" s="937"/>
      <c r="AX117" s="937"/>
      <c r="AY117" s="937"/>
      <c r="AZ117" s="937"/>
      <c r="BA117" s="937"/>
      <c r="BB117" s="937"/>
      <c r="BC117" s="937"/>
      <c r="BD117" s="937"/>
      <c r="BE117" s="937"/>
      <c r="BF117" s="937"/>
      <c r="BG117" s="937"/>
      <c r="BH117" s="937"/>
      <c r="BI117" s="937"/>
      <c r="BJ117" s="937"/>
      <c r="BK117" s="937"/>
      <c r="BL117" s="937"/>
      <c r="BM117" s="937"/>
      <c r="BN117" s="937"/>
      <c r="BO117" s="937"/>
      <c r="BP117" s="937"/>
      <c r="BQ117" s="937"/>
      <c r="BR117" s="937"/>
      <c r="BS117" s="937"/>
      <c r="BT117" s="937"/>
      <c r="BU117" s="937"/>
      <c r="BV117" s="937"/>
      <c r="BW117" s="937"/>
      <c r="BX117" s="937"/>
      <c r="BY117" s="937"/>
      <c r="BZ117" s="937"/>
      <c r="CA117" s="937"/>
      <c r="CB117" s="937"/>
      <c r="CC117" s="937"/>
      <c r="CD117" s="937"/>
      <c r="CE117" s="937"/>
      <c r="CF117" s="937"/>
      <c r="CG117" s="937"/>
      <c r="CH117" s="937"/>
      <c r="CI117" s="937"/>
      <c r="CJ117" s="937"/>
      <c r="CK117" s="937"/>
      <c r="CL117" s="937"/>
      <c r="CM117" s="937"/>
      <c r="CN117" s="937"/>
      <c r="CO117" s="937"/>
    </row>
    <row r="118" spans="17:93" s="918" customFormat="1" x14ac:dyDescent="0.35">
      <c r="Q118" s="937"/>
      <c r="R118" s="937"/>
      <c r="S118" s="937"/>
      <c r="T118" s="937"/>
      <c r="U118" s="937"/>
      <c r="V118" s="937"/>
      <c r="W118" s="937"/>
      <c r="X118" s="937"/>
      <c r="Y118" s="937"/>
      <c r="Z118" s="937"/>
      <c r="AA118" s="937"/>
      <c r="AB118" s="937"/>
      <c r="AC118" s="963"/>
      <c r="AD118" s="963"/>
      <c r="AE118" s="963"/>
      <c r="AF118" s="937"/>
      <c r="AG118" s="937"/>
      <c r="AH118" s="937"/>
      <c r="AI118" s="937"/>
      <c r="AJ118" s="937"/>
      <c r="AK118" s="937"/>
      <c r="AL118" s="937"/>
      <c r="AM118" s="937"/>
      <c r="AN118" s="937"/>
      <c r="AO118" s="937"/>
      <c r="AP118" s="937"/>
      <c r="AQ118" s="937"/>
      <c r="AR118" s="937"/>
      <c r="AS118" s="937"/>
      <c r="AT118" s="937"/>
      <c r="AU118" s="937"/>
      <c r="AV118" s="937"/>
      <c r="AW118" s="937"/>
      <c r="AX118" s="937"/>
      <c r="AY118" s="937"/>
      <c r="AZ118" s="937"/>
      <c r="BA118" s="937"/>
      <c r="BB118" s="937"/>
      <c r="BC118" s="937"/>
      <c r="BD118" s="937"/>
      <c r="BE118" s="937"/>
      <c r="BF118" s="937"/>
      <c r="BG118" s="937"/>
      <c r="BH118" s="937"/>
      <c r="BI118" s="937"/>
      <c r="BJ118" s="937"/>
      <c r="BK118" s="937"/>
      <c r="BL118" s="937"/>
      <c r="BM118" s="937"/>
      <c r="BN118" s="937"/>
      <c r="BO118" s="937"/>
      <c r="BP118" s="937"/>
      <c r="BQ118" s="937"/>
      <c r="BR118" s="937"/>
      <c r="BS118" s="937"/>
      <c r="BT118" s="937"/>
      <c r="BU118" s="937"/>
      <c r="BV118" s="937"/>
      <c r="BW118" s="937"/>
      <c r="BX118" s="937"/>
      <c r="BY118" s="937"/>
      <c r="BZ118" s="937"/>
      <c r="CA118" s="937"/>
      <c r="CB118" s="937"/>
      <c r="CC118" s="937"/>
      <c r="CD118" s="937"/>
      <c r="CE118" s="937"/>
      <c r="CF118" s="937"/>
      <c r="CG118" s="937"/>
      <c r="CH118" s="937"/>
      <c r="CI118" s="937"/>
      <c r="CJ118" s="937"/>
      <c r="CK118" s="937"/>
      <c r="CL118" s="937"/>
      <c r="CM118" s="937"/>
      <c r="CN118" s="937"/>
      <c r="CO118" s="937"/>
    </row>
    <row r="119" spans="17:93" s="918" customFormat="1" x14ac:dyDescent="0.35">
      <c r="Q119" s="937"/>
      <c r="R119" s="937"/>
      <c r="S119" s="937"/>
      <c r="T119" s="937"/>
      <c r="U119" s="937"/>
      <c r="V119" s="937"/>
      <c r="W119" s="937"/>
      <c r="X119" s="937"/>
      <c r="Y119" s="937"/>
      <c r="Z119" s="937"/>
      <c r="AA119" s="937"/>
      <c r="AB119" s="937"/>
      <c r="AC119" s="963"/>
      <c r="AD119" s="963"/>
      <c r="AE119" s="963"/>
      <c r="AF119" s="937"/>
      <c r="AG119" s="937"/>
      <c r="AH119" s="937"/>
      <c r="AI119" s="937"/>
      <c r="AJ119" s="937"/>
      <c r="AK119" s="937"/>
      <c r="AL119" s="937"/>
      <c r="AM119" s="937"/>
      <c r="AN119" s="937"/>
      <c r="AO119" s="937"/>
      <c r="AP119" s="937"/>
      <c r="AQ119" s="937"/>
      <c r="AR119" s="937"/>
      <c r="AS119" s="937"/>
      <c r="AT119" s="937"/>
      <c r="AU119" s="937"/>
      <c r="AV119" s="937"/>
      <c r="AW119" s="937"/>
      <c r="AX119" s="937"/>
      <c r="AY119" s="937"/>
      <c r="AZ119" s="937"/>
      <c r="BA119" s="937"/>
      <c r="BB119" s="937"/>
      <c r="BC119" s="937"/>
      <c r="BD119" s="937"/>
      <c r="BE119" s="937"/>
      <c r="BF119" s="937"/>
      <c r="BG119" s="937"/>
      <c r="BH119" s="937"/>
      <c r="BI119" s="937"/>
      <c r="BJ119" s="937"/>
      <c r="BK119" s="937"/>
      <c r="BL119" s="937"/>
      <c r="BM119" s="937"/>
      <c r="BN119" s="937"/>
      <c r="BO119" s="937"/>
      <c r="BP119" s="937"/>
      <c r="BQ119" s="937"/>
      <c r="BR119" s="937"/>
      <c r="BS119" s="937"/>
      <c r="BT119" s="937"/>
      <c r="BU119" s="937"/>
      <c r="BV119" s="937"/>
      <c r="BW119" s="937"/>
      <c r="BX119" s="937"/>
      <c r="BY119" s="937"/>
      <c r="BZ119" s="937"/>
      <c r="CA119" s="937"/>
      <c r="CB119" s="937"/>
      <c r="CC119" s="937"/>
      <c r="CD119" s="937"/>
      <c r="CE119" s="937"/>
      <c r="CF119" s="937"/>
      <c r="CG119" s="937"/>
      <c r="CH119" s="937"/>
      <c r="CI119" s="937"/>
      <c r="CJ119" s="937"/>
      <c r="CK119" s="937"/>
      <c r="CL119" s="937"/>
      <c r="CM119" s="937"/>
      <c r="CN119" s="937"/>
      <c r="CO119" s="937"/>
    </row>
    <row r="120" spans="17:93" s="918" customFormat="1" x14ac:dyDescent="0.35">
      <c r="Q120" s="937"/>
      <c r="R120" s="937"/>
      <c r="S120" s="937"/>
      <c r="T120" s="937"/>
      <c r="U120" s="937"/>
      <c r="V120" s="937"/>
      <c r="W120" s="937"/>
      <c r="X120" s="937"/>
      <c r="Y120" s="937"/>
      <c r="Z120" s="937"/>
      <c r="AA120" s="937"/>
      <c r="AB120" s="937"/>
      <c r="AC120" s="963"/>
      <c r="AD120" s="963"/>
      <c r="AE120" s="963"/>
      <c r="AF120" s="937"/>
      <c r="AG120" s="937"/>
      <c r="AH120" s="937"/>
      <c r="AI120" s="937"/>
      <c r="AJ120" s="937"/>
      <c r="AK120" s="937"/>
      <c r="AL120" s="937"/>
      <c r="AM120" s="937"/>
      <c r="AN120" s="937"/>
      <c r="AO120" s="937"/>
      <c r="AP120" s="937"/>
      <c r="AQ120" s="937"/>
      <c r="AR120" s="937"/>
      <c r="AS120" s="937"/>
      <c r="AT120" s="937"/>
      <c r="AU120" s="937"/>
      <c r="AV120" s="937"/>
      <c r="AW120" s="937"/>
      <c r="AX120" s="937"/>
      <c r="AY120" s="937"/>
      <c r="AZ120" s="937"/>
      <c r="BA120" s="937"/>
      <c r="BB120" s="937"/>
      <c r="BC120" s="937"/>
      <c r="BD120" s="937"/>
      <c r="BE120" s="937"/>
      <c r="BF120" s="937"/>
      <c r="BG120" s="937"/>
      <c r="BH120" s="937"/>
      <c r="BI120" s="937"/>
      <c r="BJ120" s="937"/>
      <c r="BK120" s="937"/>
      <c r="BL120" s="937"/>
      <c r="BM120" s="937"/>
      <c r="BN120" s="937"/>
      <c r="BO120" s="937"/>
      <c r="BP120" s="937"/>
      <c r="BQ120" s="937"/>
      <c r="BR120" s="937"/>
      <c r="BS120" s="937"/>
      <c r="BT120" s="937"/>
      <c r="BU120" s="937"/>
      <c r="BV120" s="937"/>
      <c r="BW120" s="937"/>
      <c r="BX120" s="937"/>
      <c r="BY120" s="937"/>
      <c r="BZ120" s="937"/>
      <c r="CA120" s="937"/>
      <c r="CB120" s="937"/>
      <c r="CC120" s="937"/>
      <c r="CD120" s="937"/>
      <c r="CE120" s="937"/>
      <c r="CF120" s="937"/>
      <c r="CG120" s="937"/>
      <c r="CH120" s="937"/>
      <c r="CI120" s="937"/>
      <c r="CJ120" s="937"/>
      <c r="CK120" s="937"/>
      <c r="CL120" s="937"/>
      <c r="CM120" s="937"/>
      <c r="CN120" s="937"/>
      <c r="CO120" s="937"/>
    </row>
    <row r="121" spans="17:93" s="918" customFormat="1" x14ac:dyDescent="0.35">
      <c r="Q121" s="937"/>
      <c r="R121" s="937"/>
      <c r="S121" s="937"/>
      <c r="T121" s="937"/>
      <c r="U121" s="937"/>
      <c r="V121" s="937"/>
      <c r="W121" s="937"/>
      <c r="X121" s="937"/>
      <c r="Y121" s="937"/>
      <c r="Z121" s="937"/>
      <c r="AA121" s="937"/>
      <c r="AB121" s="937"/>
      <c r="AC121" s="963"/>
      <c r="AD121" s="963"/>
      <c r="AE121" s="963"/>
      <c r="AF121" s="937"/>
      <c r="AG121" s="937"/>
      <c r="AH121" s="937"/>
      <c r="AI121" s="937"/>
      <c r="AJ121" s="937"/>
      <c r="AK121" s="937"/>
      <c r="AL121" s="937"/>
      <c r="AM121" s="937"/>
      <c r="AN121" s="937"/>
      <c r="AO121" s="937"/>
      <c r="AP121" s="937"/>
      <c r="AQ121" s="937"/>
      <c r="AR121" s="937"/>
      <c r="AS121" s="937"/>
      <c r="AT121" s="937"/>
      <c r="AU121" s="937"/>
      <c r="AV121" s="937"/>
      <c r="AW121" s="937"/>
      <c r="AX121" s="937"/>
      <c r="AY121" s="937"/>
      <c r="AZ121" s="937"/>
      <c r="BA121" s="937"/>
      <c r="BB121" s="937"/>
      <c r="BC121" s="937"/>
      <c r="BD121" s="937"/>
      <c r="BE121" s="937"/>
      <c r="BF121" s="937"/>
      <c r="BG121" s="937"/>
      <c r="BH121" s="937"/>
      <c r="BI121" s="937"/>
      <c r="BJ121" s="937"/>
      <c r="BK121" s="937"/>
      <c r="BL121" s="937"/>
      <c r="BM121" s="937"/>
      <c r="BN121" s="937"/>
      <c r="BO121" s="937"/>
      <c r="BP121" s="937"/>
      <c r="BQ121" s="937"/>
      <c r="BR121" s="937"/>
      <c r="BS121" s="937"/>
      <c r="BT121" s="937"/>
      <c r="BU121" s="937"/>
      <c r="BV121" s="937"/>
      <c r="BW121" s="937"/>
      <c r="BX121" s="937"/>
      <c r="BY121" s="937"/>
      <c r="BZ121" s="937"/>
      <c r="CA121" s="937"/>
      <c r="CB121" s="937"/>
      <c r="CC121" s="937"/>
      <c r="CD121" s="937"/>
      <c r="CE121" s="937"/>
      <c r="CF121" s="937"/>
      <c r="CG121" s="937"/>
      <c r="CH121" s="937"/>
      <c r="CI121" s="937"/>
      <c r="CJ121" s="937"/>
      <c r="CK121" s="937"/>
      <c r="CL121" s="937"/>
      <c r="CM121" s="937"/>
      <c r="CN121" s="937"/>
      <c r="CO121" s="937"/>
    </row>
    <row r="122" spans="17:93" s="918" customFormat="1" x14ac:dyDescent="0.35">
      <c r="Q122" s="937"/>
      <c r="R122" s="937"/>
      <c r="S122" s="937"/>
      <c r="T122" s="937"/>
      <c r="U122" s="937"/>
      <c r="V122" s="937"/>
      <c r="W122" s="937"/>
      <c r="X122" s="937"/>
      <c r="Y122" s="937"/>
      <c r="Z122" s="937"/>
      <c r="AA122" s="937"/>
      <c r="AB122" s="937"/>
      <c r="AC122" s="963"/>
      <c r="AD122" s="963"/>
      <c r="AE122" s="963"/>
      <c r="AF122" s="937"/>
      <c r="AG122" s="937"/>
      <c r="AH122" s="937"/>
      <c r="AI122" s="937"/>
      <c r="AJ122" s="937"/>
      <c r="AK122" s="937"/>
      <c r="AL122" s="937"/>
      <c r="AM122" s="937"/>
      <c r="AN122" s="937"/>
      <c r="AO122" s="937"/>
      <c r="AP122" s="937"/>
      <c r="AQ122" s="937"/>
      <c r="AR122" s="937"/>
      <c r="AS122" s="937"/>
      <c r="AT122" s="937"/>
      <c r="AU122" s="937"/>
      <c r="AV122" s="937"/>
      <c r="AW122" s="937"/>
      <c r="AX122" s="937"/>
      <c r="AY122" s="937"/>
      <c r="AZ122" s="937"/>
      <c r="BA122" s="937"/>
      <c r="BB122" s="937"/>
      <c r="BC122" s="937"/>
      <c r="BD122" s="937"/>
      <c r="BE122" s="937"/>
      <c r="BF122" s="937"/>
      <c r="BG122" s="937"/>
      <c r="BH122" s="937"/>
      <c r="BI122" s="937"/>
      <c r="BJ122" s="937"/>
      <c r="BK122" s="937"/>
      <c r="BL122" s="937"/>
      <c r="BM122" s="937"/>
      <c r="BN122" s="937"/>
      <c r="BO122" s="937"/>
      <c r="BP122" s="937"/>
      <c r="BQ122" s="937"/>
      <c r="BR122" s="937"/>
      <c r="BS122" s="937"/>
      <c r="BT122" s="937"/>
      <c r="BU122" s="937"/>
      <c r="BV122" s="937"/>
      <c r="BW122" s="937"/>
      <c r="BX122" s="937"/>
      <c r="BY122" s="937"/>
      <c r="BZ122" s="937"/>
      <c r="CA122" s="937"/>
      <c r="CB122" s="937"/>
      <c r="CC122" s="937"/>
      <c r="CD122" s="937"/>
      <c r="CE122" s="937"/>
      <c r="CF122" s="937"/>
      <c r="CG122" s="937"/>
      <c r="CH122" s="937"/>
      <c r="CI122" s="937"/>
      <c r="CJ122" s="937"/>
      <c r="CK122" s="937"/>
      <c r="CL122" s="937"/>
      <c r="CM122" s="937"/>
      <c r="CN122" s="937"/>
      <c r="CO122" s="937"/>
    </row>
    <row r="123" spans="17:93" s="918" customFormat="1" x14ac:dyDescent="0.35">
      <c r="Q123" s="937"/>
      <c r="R123" s="937"/>
      <c r="S123" s="937"/>
      <c r="T123" s="937"/>
      <c r="U123" s="937"/>
      <c r="V123" s="937"/>
      <c r="W123" s="937"/>
      <c r="X123" s="937"/>
      <c r="Y123" s="937"/>
      <c r="Z123" s="937"/>
      <c r="AA123" s="937"/>
      <c r="AB123" s="937"/>
      <c r="AC123" s="963"/>
      <c r="AD123" s="963"/>
      <c r="AE123" s="963"/>
      <c r="AF123" s="937"/>
      <c r="AG123" s="937"/>
      <c r="AH123" s="937"/>
      <c r="AI123" s="937"/>
      <c r="AJ123" s="937"/>
      <c r="AK123" s="937"/>
      <c r="AL123" s="937"/>
      <c r="AM123" s="937"/>
      <c r="AN123" s="937"/>
      <c r="AO123" s="937"/>
      <c r="AP123" s="937"/>
      <c r="AQ123" s="937"/>
      <c r="AR123" s="937"/>
      <c r="AS123" s="937"/>
      <c r="AT123" s="937"/>
      <c r="AU123" s="937"/>
      <c r="AV123" s="937"/>
      <c r="AW123" s="937"/>
      <c r="AX123" s="937"/>
      <c r="AY123" s="937"/>
      <c r="AZ123" s="937"/>
      <c r="BA123" s="937"/>
      <c r="BB123" s="937"/>
      <c r="BC123" s="937"/>
      <c r="BD123" s="937"/>
      <c r="BE123" s="937"/>
      <c r="BF123" s="937"/>
      <c r="BG123" s="937"/>
      <c r="BH123" s="937"/>
      <c r="BI123" s="937"/>
      <c r="BJ123" s="937"/>
      <c r="BK123" s="937"/>
      <c r="BL123" s="937"/>
      <c r="BM123" s="937"/>
      <c r="BN123" s="937"/>
      <c r="BO123" s="937"/>
      <c r="BP123" s="937"/>
      <c r="BQ123" s="937"/>
      <c r="BR123" s="937"/>
      <c r="BS123" s="937"/>
      <c r="BT123" s="937"/>
      <c r="BU123" s="937"/>
      <c r="BV123" s="937"/>
      <c r="BW123" s="937"/>
      <c r="BX123" s="937"/>
      <c r="BY123" s="937"/>
      <c r="BZ123" s="937"/>
      <c r="CA123" s="937"/>
      <c r="CB123" s="937"/>
      <c r="CC123" s="937"/>
      <c r="CD123" s="937"/>
      <c r="CE123" s="937"/>
      <c r="CF123" s="937"/>
      <c r="CG123" s="937"/>
      <c r="CH123" s="937"/>
      <c r="CI123" s="937"/>
      <c r="CJ123" s="937"/>
      <c r="CK123" s="937"/>
      <c r="CL123" s="937"/>
      <c r="CM123" s="937"/>
      <c r="CN123" s="937"/>
      <c r="CO123" s="937"/>
    </row>
    <row r="124" spans="17:93" s="918" customFormat="1" x14ac:dyDescent="0.35">
      <c r="Q124" s="937"/>
      <c r="R124" s="937"/>
      <c r="S124" s="937"/>
      <c r="T124" s="937"/>
      <c r="U124" s="937"/>
      <c r="V124" s="937"/>
      <c r="W124" s="937"/>
      <c r="X124" s="937"/>
      <c r="Y124" s="937"/>
      <c r="Z124" s="937"/>
      <c r="AA124" s="937"/>
      <c r="AB124" s="937"/>
      <c r="AC124" s="963"/>
      <c r="AD124" s="963"/>
      <c r="AE124" s="963"/>
      <c r="AF124" s="937"/>
      <c r="AG124" s="937"/>
      <c r="AH124" s="937"/>
      <c r="AI124" s="937"/>
      <c r="AJ124" s="937"/>
      <c r="AK124" s="937"/>
      <c r="AL124" s="937"/>
      <c r="AM124" s="937"/>
      <c r="AN124" s="937"/>
      <c r="AO124" s="937"/>
      <c r="AP124" s="937"/>
      <c r="AQ124" s="937"/>
      <c r="AR124" s="937"/>
      <c r="AS124" s="937"/>
      <c r="AT124" s="937"/>
      <c r="AU124" s="937"/>
      <c r="AV124" s="937"/>
      <c r="AW124" s="937"/>
      <c r="AX124" s="937"/>
      <c r="AY124" s="937"/>
      <c r="AZ124" s="937"/>
      <c r="BA124" s="937"/>
      <c r="BB124" s="937"/>
      <c r="BC124" s="937"/>
      <c r="BD124" s="937"/>
      <c r="BE124" s="937"/>
      <c r="BF124" s="937"/>
      <c r="BG124" s="937"/>
      <c r="BH124" s="937"/>
      <c r="BI124" s="937"/>
      <c r="BJ124" s="937"/>
      <c r="BK124" s="937"/>
      <c r="BL124" s="937"/>
      <c r="BM124" s="937"/>
      <c r="BN124" s="937"/>
      <c r="BO124" s="937"/>
      <c r="BP124" s="937"/>
      <c r="BQ124" s="937"/>
      <c r="BR124" s="937"/>
      <c r="BS124" s="937"/>
      <c r="BT124" s="937"/>
      <c r="BU124" s="937"/>
      <c r="BV124" s="937"/>
      <c r="BW124" s="937"/>
      <c r="BX124" s="937"/>
      <c r="BY124" s="937"/>
      <c r="BZ124" s="937"/>
      <c r="CA124" s="937"/>
      <c r="CB124" s="937"/>
      <c r="CC124" s="937"/>
      <c r="CD124" s="937"/>
      <c r="CE124" s="937"/>
      <c r="CF124" s="937"/>
      <c r="CG124" s="937"/>
      <c r="CH124" s="937"/>
      <c r="CI124" s="937"/>
      <c r="CJ124" s="937"/>
      <c r="CK124" s="937"/>
      <c r="CL124" s="937"/>
      <c r="CM124" s="937"/>
      <c r="CN124" s="937"/>
      <c r="CO124" s="937"/>
    </row>
    <row r="125" spans="17:93" s="918" customFormat="1" x14ac:dyDescent="0.35">
      <c r="Q125" s="937"/>
      <c r="R125" s="937"/>
      <c r="S125" s="937"/>
      <c r="T125" s="937"/>
      <c r="U125" s="937"/>
      <c r="V125" s="937"/>
      <c r="W125" s="937"/>
      <c r="X125" s="937"/>
      <c r="Y125" s="937"/>
      <c r="Z125" s="937"/>
      <c r="AA125" s="937"/>
      <c r="AB125" s="937"/>
      <c r="AC125" s="963"/>
      <c r="AD125" s="963"/>
      <c r="AE125" s="963"/>
      <c r="AF125" s="937"/>
      <c r="AG125" s="937"/>
      <c r="AH125" s="937"/>
      <c r="AI125" s="937"/>
      <c r="AJ125" s="937"/>
      <c r="AK125" s="937"/>
      <c r="AL125" s="937"/>
      <c r="AM125" s="937"/>
      <c r="AN125" s="937"/>
      <c r="AO125" s="937"/>
      <c r="AP125" s="937"/>
      <c r="AQ125" s="937"/>
      <c r="AR125" s="937"/>
      <c r="AS125" s="937"/>
      <c r="AT125" s="937"/>
      <c r="AU125" s="937"/>
      <c r="AV125" s="937"/>
      <c r="AW125" s="937"/>
      <c r="AX125" s="937"/>
      <c r="AY125" s="937"/>
      <c r="AZ125" s="937"/>
      <c r="BA125" s="937"/>
      <c r="BB125" s="937"/>
      <c r="BC125" s="937"/>
      <c r="BD125" s="937"/>
      <c r="BE125" s="937"/>
      <c r="BF125" s="937"/>
      <c r="BG125" s="937"/>
      <c r="BH125" s="937"/>
      <c r="BI125" s="937"/>
      <c r="BJ125" s="937"/>
      <c r="BK125" s="937"/>
      <c r="BL125" s="937"/>
      <c r="BM125" s="937"/>
      <c r="BN125" s="937"/>
      <c r="BO125" s="937"/>
      <c r="BP125" s="937"/>
      <c r="BQ125" s="937"/>
      <c r="BR125" s="937"/>
      <c r="BS125" s="937"/>
      <c r="BT125" s="937"/>
      <c r="BU125" s="937"/>
      <c r="BV125" s="937"/>
      <c r="BW125" s="937"/>
      <c r="BX125" s="937"/>
      <c r="BY125" s="937"/>
      <c r="BZ125" s="937"/>
      <c r="CA125" s="937"/>
      <c r="CB125" s="937"/>
      <c r="CC125" s="937"/>
      <c r="CD125" s="937"/>
      <c r="CE125" s="937"/>
      <c r="CF125" s="937"/>
      <c r="CG125" s="937"/>
      <c r="CH125" s="937"/>
      <c r="CI125" s="937"/>
      <c r="CJ125" s="937"/>
      <c r="CK125" s="937"/>
      <c r="CL125" s="937"/>
      <c r="CM125" s="937"/>
      <c r="CN125" s="937"/>
      <c r="CO125" s="937"/>
    </row>
    <row r="126" spans="17:93" s="918" customFormat="1" x14ac:dyDescent="0.35">
      <c r="Q126" s="937"/>
      <c r="R126" s="937"/>
      <c r="S126" s="937"/>
      <c r="T126" s="937"/>
      <c r="U126" s="937"/>
      <c r="V126" s="937"/>
      <c r="W126" s="937"/>
      <c r="X126" s="937"/>
      <c r="Y126" s="937"/>
      <c r="Z126" s="937"/>
      <c r="AA126" s="937"/>
      <c r="AB126" s="937"/>
      <c r="AC126" s="963"/>
      <c r="AD126" s="963"/>
      <c r="AE126" s="963"/>
      <c r="AF126" s="937"/>
      <c r="AG126" s="937"/>
      <c r="AH126" s="937"/>
      <c r="AI126" s="937"/>
      <c r="AJ126" s="937"/>
      <c r="AK126" s="937"/>
      <c r="AL126" s="937"/>
      <c r="AM126" s="937"/>
      <c r="AN126" s="937"/>
      <c r="AO126" s="937"/>
      <c r="AP126" s="937"/>
      <c r="AQ126" s="937"/>
      <c r="AR126" s="937"/>
      <c r="AS126" s="937"/>
      <c r="AT126" s="937"/>
      <c r="AU126" s="937"/>
      <c r="AV126" s="937"/>
      <c r="AW126" s="937"/>
      <c r="AX126" s="937"/>
      <c r="AY126" s="937"/>
      <c r="AZ126" s="937"/>
      <c r="BA126" s="937"/>
      <c r="BB126" s="937"/>
      <c r="BC126" s="937"/>
      <c r="BD126" s="937"/>
      <c r="BE126" s="937"/>
      <c r="BF126" s="937"/>
      <c r="BG126" s="937"/>
      <c r="BH126" s="937"/>
      <c r="BI126" s="937"/>
      <c r="BJ126" s="937"/>
      <c r="BK126" s="937"/>
      <c r="BL126" s="937"/>
      <c r="BM126" s="937"/>
      <c r="BN126" s="937"/>
      <c r="BO126" s="937"/>
      <c r="BP126" s="937"/>
      <c r="BQ126" s="937"/>
      <c r="BR126" s="937"/>
      <c r="BS126" s="937"/>
      <c r="BT126" s="937"/>
      <c r="BU126" s="937"/>
      <c r="BV126" s="937"/>
      <c r="BW126" s="937"/>
      <c r="BX126" s="937"/>
      <c r="BY126" s="937"/>
      <c r="BZ126" s="937"/>
      <c r="CA126" s="937"/>
      <c r="CB126" s="937"/>
      <c r="CC126" s="937"/>
      <c r="CD126" s="937"/>
      <c r="CE126" s="937"/>
      <c r="CF126" s="937"/>
      <c r="CG126" s="937"/>
      <c r="CH126" s="937"/>
      <c r="CI126" s="937"/>
      <c r="CJ126" s="937"/>
      <c r="CK126" s="937"/>
      <c r="CL126" s="937"/>
      <c r="CM126" s="937"/>
      <c r="CN126" s="937"/>
      <c r="CO126" s="937"/>
    </row>
    <row r="127" spans="17:93" s="918" customFormat="1" x14ac:dyDescent="0.35">
      <c r="Q127" s="937"/>
      <c r="R127" s="937"/>
      <c r="S127" s="937"/>
      <c r="T127" s="937"/>
      <c r="U127" s="937"/>
      <c r="V127" s="937"/>
      <c r="W127" s="937"/>
      <c r="X127" s="937"/>
      <c r="Y127" s="937"/>
      <c r="Z127" s="937"/>
      <c r="AA127" s="937"/>
      <c r="AB127" s="937"/>
      <c r="AC127" s="963"/>
      <c r="AD127" s="963"/>
      <c r="AE127" s="963"/>
      <c r="AF127" s="937"/>
      <c r="AG127" s="937"/>
      <c r="AH127" s="937"/>
      <c r="AI127" s="937"/>
      <c r="AJ127" s="937"/>
      <c r="AK127" s="937"/>
      <c r="AL127" s="937"/>
      <c r="AM127" s="937"/>
      <c r="AN127" s="937"/>
      <c r="AO127" s="937"/>
      <c r="AP127" s="937"/>
      <c r="AQ127" s="937"/>
      <c r="AR127" s="937"/>
      <c r="AS127" s="937"/>
      <c r="AT127" s="937"/>
      <c r="AU127" s="937"/>
      <c r="AV127" s="937"/>
      <c r="AW127" s="937"/>
      <c r="AX127" s="937"/>
      <c r="AY127" s="937"/>
      <c r="AZ127" s="937"/>
      <c r="BA127" s="937"/>
      <c r="BB127" s="937"/>
      <c r="BC127" s="937"/>
      <c r="BD127" s="937"/>
      <c r="BE127" s="937"/>
      <c r="BF127" s="937"/>
      <c r="BG127" s="937"/>
      <c r="BH127" s="937"/>
      <c r="BI127" s="937"/>
      <c r="BJ127" s="937"/>
      <c r="BK127" s="937"/>
      <c r="BL127" s="937"/>
      <c r="BM127" s="937"/>
      <c r="BN127" s="937"/>
      <c r="BO127" s="937"/>
      <c r="BP127" s="937"/>
      <c r="BQ127" s="937"/>
      <c r="BR127" s="937"/>
      <c r="BS127" s="937"/>
      <c r="BT127" s="937"/>
      <c r="BU127" s="937"/>
      <c r="BV127" s="937"/>
      <c r="BW127" s="937"/>
      <c r="BX127" s="937"/>
      <c r="BY127" s="937"/>
      <c r="BZ127" s="937"/>
      <c r="CA127" s="937"/>
      <c r="CB127" s="937"/>
      <c r="CC127" s="937"/>
      <c r="CD127" s="937"/>
      <c r="CE127" s="937"/>
      <c r="CF127" s="937"/>
      <c r="CG127" s="937"/>
      <c r="CH127" s="937"/>
      <c r="CI127" s="937"/>
      <c r="CJ127" s="937"/>
      <c r="CK127" s="937"/>
      <c r="CL127" s="937"/>
      <c r="CM127" s="937"/>
      <c r="CN127" s="937"/>
      <c r="CO127" s="937"/>
    </row>
    <row r="128" spans="17:93" s="918" customFormat="1" x14ac:dyDescent="0.35">
      <c r="Q128" s="937"/>
      <c r="R128" s="937"/>
      <c r="S128" s="937"/>
      <c r="T128" s="937"/>
      <c r="U128" s="937"/>
      <c r="V128" s="937"/>
      <c r="W128" s="937"/>
      <c r="X128" s="937"/>
      <c r="Y128" s="937"/>
      <c r="Z128" s="937"/>
      <c r="AA128" s="937"/>
      <c r="AB128" s="937"/>
      <c r="AC128" s="963"/>
      <c r="AD128" s="963"/>
      <c r="AE128" s="963"/>
      <c r="AF128" s="937"/>
      <c r="AG128" s="937"/>
      <c r="AH128" s="937"/>
      <c r="AI128" s="937"/>
      <c r="AJ128" s="937"/>
      <c r="AK128" s="937"/>
      <c r="AL128" s="937"/>
      <c r="AM128" s="937"/>
      <c r="AN128" s="937"/>
      <c r="AO128" s="937"/>
      <c r="AP128" s="937"/>
      <c r="AQ128" s="937"/>
      <c r="AR128" s="937"/>
      <c r="AS128" s="937"/>
      <c r="AT128" s="937"/>
      <c r="AU128" s="937"/>
      <c r="AV128" s="937"/>
      <c r="AW128" s="937"/>
      <c r="AX128" s="937"/>
      <c r="AY128" s="937"/>
      <c r="AZ128" s="937"/>
      <c r="BA128" s="937"/>
      <c r="BB128" s="937"/>
      <c r="BC128" s="937"/>
      <c r="BD128" s="937"/>
      <c r="BE128" s="937"/>
      <c r="BF128" s="937"/>
      <c r="BG128" s="937"/>
      <c r="BH128" s="937"/>
      <c r="BI128" s="937"/>
      <c r="BJ128" s="937"/>
      <c r="BK128" s="937"/>
      <c r="BL128" s="937"/>
      <c r="BM128" s="937"/>
      <c r="BN128" s="937"/>
      <c r="BO128" s="937"/>
      <c r="BP128" s="937"/>
      <c r="BQ128" s="937"/>
      <c r="BR128" s="937"/>
      <c r="BS128" s="937"/>
      <c r="BT128" s="937"/>
      <c r="BU128" s="937"/>
      <c r="BV128" s="937"/>
      <c r="BW128" s="937"/>
      <c r="BX128" s="937"/>
      <c r="BY128" s="937"/>
      <c r="BZ128" s="937"/>
      <c r="CA128" s="937"/>
      <c r="CB128" s="937"/>
      <c r="CC128" s="937"/>
      <c r="CD128" s="937"/>
      <c r="CE128" s="937"/>
      <c r="CF128" s="937"/>
      <c r="CG128" s="937"/>
      <c r="CH128" s="937"/>
      <c r="CI128" s="937"/>
      <c r="CJ128" s="937"/>
      <c r="CK128" s="937"/>
      <c r="CL128" s="937"/>
      <c r="CM128" s="937"/>
      <c r="CN128" s="937"/>
      <c r="CO128" s="937"/>
    </row>
    <row r="129" spans="17:93" s="918" customFormat="1" x14ac:dyDescent="0.35">
      <c r="Q129" s="937"/>
      <c r="R129" s="937"/>
      <c r="S129" s="937"/>
      <c r="T129" s="937"/>
      <c r="U129" s="937"/>
      <c r="V129" s="937"/>
      <c r="W129" s="937"/>
      <c r="X129" s="937"/>
      <c r="Y129" s="937"/>
      <c r="Z129" s="937"/>
      <c r="AA129" s="937"/>
      <c r="AB129" s="937"/>
      <c r="AC129" s="963"/>
      <c r="AD129" s="963"/>
      <c r="AE129" s="963"/>
      <c r="AF129" s="937"/>
      <c r="AG129" s="937"/>
      <c r="AH129" s="937"/>
      <c r="AI129" s="937"/>
      <c r="AJ129" s="937"/>
      <c r="AK129" s="937"/>
      <c r="AL129" s="937"/>
      <c r="AM129" s="937"/>
      <c r="AN129" s="937"/>
      <c r="AO129" s="937"/>
      <c r="AP129" s="937"/>
      <c r="AQ129" s="937"/>
      <c r="AR129" s="937"/>
      <c r="AS129" s="937"/>
      <c r="AT129" s="937"/>
      <c r="AU129" s="937"/>
      <c r="AV129" s="937"/>
      <c r="AW129" s="937"/>
      <c r="AX129" s="937"/>
      <c r="AY129" s="937"/>
      <c r="AZ129" s="937"/>
      <c r="BA129" s="937"/>
      <c r="BB129" s="937"/>
      <c r="BC129" s="937"/>
      <c r="BD129" s="937"/>
      <c r="BE129" s="937"/>
      <c r="BF129" s="937"/>
      <c r="BG129" s="937"/>
      <c r="BH129" s="937"/>
      <c r="BI129" s="937"/>
      <c r="BJ129" s="937"/>
      <c r="BK129" s="937"/>
      <c r="BL129" s="937"/>
      <c r="BM129" s="937"/>
      <c r="BN129" s="937"/>
      <c r="BO129" s="937"/>
      <c r="BP129" s="937"/>
      <c r="BQ129" s="937"/>
      <c r="BR129" s="937"/>
      <c r="BS129" s="937"/>
      <c r="BT129" s="937"/>
      <c r="BU129" s="937"/>
      <c r="BV129" s="937"/>
      <c r="BW129" s="937"/>
      <c r="BX129" s="937"/>
      <c r="BY129" s="937"/>
      <c r="BZ129" s="937"/>
      <c r="CA129" s="937"/>
      <c r="CB129" s="937"/>
      <c r="CC129" s="937"/>
      <c r="CD129" s="937"/>
      <c r="CE129" s="937"/>
      <c r="CF129" s="937"/>
      <c r="CG129" s="937"/>
      <c r="CH129" s="937"/>
      <c r="CI129" s="937"/>
      <c r="CJ129" s="937"/>
      <c r="CK129" s="937"/>
      <c r="CL129" s="937"/>
      <c r="CM129" s="937"/>
      <c r="CN129" s="937"/>
      <c r="CO129" s="937"/>
    </row>
    <row r="130" spans="17:93" s="918" customFormat="1" x14ac:dyDescent="0.35">
      <c r="Q130" s="937"/>
      <c r="R130" s="937"/>
      <c r="S130" s="937"/>
      <c r="T130" s="937"/>
      <c r="U130" s="937"/>
      <c r="V130" s="937"/>
      <c r="W130" s="937"/>
      <c r="X130" s="937"/>
      <c r="Y130" s="937"/>
      <c r="Z130" s="937"/>
      <c r="AA130" s="937"/>
      <c r="AB130" s="937"/>
      <c r="AC130" s="963"/>
      <c r="AD130" s="963"/>
      <c r="AE130" s="963"/>
      <c r="AF130" s="937"/>
      <c r="AG130" s="937"/>
      <c r="AH130" s="937"/>
      <c r="AI130" s="937"/>
      <c r="AJ130" s="937"/>
      <c r="AK130" s="937"/>
      <c r="AL130" s="937"/>
      <c r="AM130" s="937"/>
      <c r="AN130" s="937"/>
      <c r="AO130" s="937"/>
      <c r="AP130" s="937"/>
      <c r="AQ130" s="937"/>
      <c r="AR130" s="937"/>
      <c r="AS130" s="937"/>
      <c r="AT130" s="937"/>
      <c r="AU130" s="937"/>
      <c r="AV130" s="937"/>
      <c r="AW130" s="937"/>
      <c r="AX130" s="937"/>
      <c r="AY130" s="937"/>
      <c r="AZ130" s="937"/>
      <c r="BA130" s="937"/>
      <c r="BB130" s="937"/>
      <c r="BC130" s="937"/>
      <c r="BD130" s="937"/>
      <c r="BE130" s="937"/>
      <c r="BF130" s="937"/>
      <c r="BG130" s="937"/>
      <c r="BH130" s="937"/>
      <c r="BI130" s="937"/>
      <c r="BJ130" s="937"/>
      <c r="BK130" s="937"/>
      <c r="BL130" s="937"/>
      <c r="BM130" s="937"/>
      <c r="BN130" s="937"/>
      <c r="BO130" s="937"/>
      <c r="BP130" s="937"/>
      <c r="BQ130" s="937"/>
      <c r="BR130" s="937"/>
      <c r="BS130" s="937"/>
      <c r="BT130" s="937"/>
      <c r="BU130" s="937"/>
      <c r="BV130" s="937"/>
      <c r="BW130" s="937"/>
      <c r="BX130" s="937"/>
      <c r="BY130" s="937"/>
      <c r="BZ130" s="937"/>
      <c r="CA130" s="937"/>
      <c r="CB130" s="937"/>
      <c r="CC130" s="937"/>
      <c r="CD130" s="937"/>
      <c r="CE130" s="937"/>
      <c r="CF130" s="937"/>
      <c r="CG130" s="937"/>
      <c r="CH130" s="937"/>
      <c r="CI130" s="937"/>
      <c r="CJ130" s="937"/>
      <c r="CK130" s="937"/>
      <c r="CL130" s="937"/>
      <c r="CM130" s="937"/>
      <c r="CN130" s="937"/>
      <c r="CO130" s="937"/>
    </row>
    <row r="131" spans="17:93" s="918" customFormat="1" x14ac:dyDescent="0.35">
      <c r="Q131" s="937"/>
      <c r="R131" s="937"/>
      <c r="S131" s="937"/>
      <c r="T131" s="937"/>
      <c r="U131" s="937"/>
      <c r="V131" s="937"/>
      <c r="W131" s="937"/>
      <c r="X131" s="937"/>
      <c r="Y131" s="937"/>
      <c r="Z131" s="937"/>
      <c r="AA131" s="937"/>
      <c r="AB131" s="937"/>
      <c r="AC131" s="963"/>
      <c r="AD131" s="963"/>
      <c r="AE131" s="963"/>
      <c r="AF131" s="937"/>
      <c r="AG131" s="937"/>
      <c r="AH131" s="937"/>
      <c r="AI131" s="937"/>
      <c r="AJ131" s="937"/>
      <c r="AK131" s="937"/>
      <c r="AL131" s="937"/>
      <c r="AM131" s="937"/>
      <c r="AN131" s="937"/>
      <c r="AO131" s="937"/>
      <c r="AP131" s="937"/>
      <c r="AQ131" s="937"/>
      <c r="AR131" s="937"/>
      <c r="AS131" s="937"/>
      <c r="AT131" s="937"/>
      <c r="AU131" s="937"/>
      <c r="AV131" s="937"/>
      <c r="AW131" s="937"/>
      <c r="AX131" s="937"/>
      <c r="AY131" s="937"/>
      <c r="AZ131" s="937"/>
      <c r="BA131" s="937"/>
      <c r="BB131" s="937"/>
      <c r="BC131" s="937"/>
      <c r="BD131" s="937"/>
      <c r="BE131" s="937"/>
      <c r="BF131" s="937"/>
      <c r="BG131" s="937"/>
      <c r="BH131" s="937"/>
      <c r="BI131" s="937"/>
      <c r="BJ131" s="937"/>
      <c r="BK131" s="937"/>
      <c r="BL131" s="937"/>
      <c r="BM131" s="937"/>
      <c r="BN131" s="937"/>
      <c r="BO131" s="937"/>
      <c r="BP131" s="937"/>
      <c r="BQ131" s="937"/>
      <c r="BR131" s="937"/>
      <c r="BS131" s="937"/>
      <c r="BT131" s="937"/>
      <c r="BU131" s="937"/>
      <c r="BV131" s="937"/>
      <c r="BW131" s="937"/>
      <c r="BX131" s="937"/>
      <c r="BY131" s="937"/>
      <c r="BZ131" s="937"/>
      <c r="CA131" s="937"/>
      <c r="CB131" s="937"/>
      <c r="CC131" s="937"/>
      <c r="CD131" s="937"/>
      <c r="CE131" s="937"/>
      <c r="CF131" s="937"/>
      <c r="CG131" s="937"/>
      <c r="CH131" s="937"/>
      <c r="CI131" s="937"/>
      <c r="CJ131" s="937"/>
      <c r="CK131" s="937"/>
      <c r="CL131" s="937"/>
      <c r="CM131" s="937"/>
      <c r="CN131" s="937"/>
      <c r="CO131" s="937"/>
    </row>
    <row r="132" spans="17:93" s="918" customFormat="1" x14ac:dyDescent="0.35">
      <c r="Q132" s="937"/>
      <c r="R132" s="937"/>
      <c r="S132" s="937"/>
      <c r="T132" s="937"/>
      <c r="U132" s="937"/>
      <c r="V132" s="937"/>
      <c r="W132" s="937"/>
      <c r="X132" s="937"/>
      <c r="Y132" s="937"/>
      <c r="Z132" s="937"/>
      <c r="AA132" s="937"/>
      <c r="AB132" s="937"/>
      <c r="AC132" s="963"/>
      <c r="AD132" s="963"/>
      <c r="AE132" s="963"/>
      <c r="AF132" s="937"/>
      <c r="AG132" s="937"/>
      <c r="AH132" s="937"/>
      <c r="AI132" s="937"/>
      <c r="AJ132" s="937"/>
      <c r="AK132" s="937"/>
      <c r="AL132" s="937"/>
      <c r="AM132" s="937"/>
      <c r="AN132" s="937"/>
      <c r="AO132" s="937"/>
      <c r="AP132" s="937"/>
      <c r="AQ132" s="937"/>
      <c r="AR132" s="937"/>
      <c r="AS132" s="937"/>
      <c r="AT132" s="937"/>
      <c r="AU132" s="937"/>
      <c r="AV132" s="937"/>
      <c r="AW132" s="937"/>
      <c r="AX132" s="937"/>
      <c r="AY132" s="937"/>
      <c r="AZ132" s="937"/>
      <c r="BA132" s="937"/>
      <c r="BB132" s="937"/>
      <c r="BC132" s="937"/>
      <c r="BD132" s="937"/>
      <c r="BE132" s="937"/>
      <c r="BF132" s="937"/>
      <c r="BG132" s="937"/>
      <c r="BH132" s="937"/>
      <c r="BI132" s="937"/>
      <c r="BJ132" s="937"/>
      <c r="BK132" s="937"/>
      <c r="BL132" s="937"/>
      <c r="BM132" s="937"/>
      <c r="BN132" s="937"/>
      <c r="BO132" s="937"/>
      <c r="BP132" s="937"/>
      <c r="BQ132" s="937"/>
      <c r="BR132" s="937"/>
      <c r="BS132" s="937"/>
      <c r="BT132" s="937"/>
      <c r="BU132" s="937"/>
      <c r="BV132" s="937"/>
      <c r="BW132" s="937"/>
      <c r="BX132" s="937"/>
      <c r="BY132" s="937"/>
      <c r="BZ132" s="937"/>
      <c r="CA132" s="937"/>
      <c r="CB132" s="937"/>
      <c r="CC132" s="937"/>
      <c r="CD132" s="937"/>
      <c r="CE132" s="937"/>
      <c r="CF132" s="937"/>
      <c r="CG132" s="937"/>
      <c r="CH132" s="937"/>
      <c r="CI132" s="937"/>
      <c r="CJ132" s="937"/>
      <c r="CK132" s="937"/>
      <c r="CL132" s="937"/>
      <c r="CM132" s="937"/>
      <c r="CN132" s="937"/>
      <c r="CO132" s="937"/>
    </row>
    <row r="133" spans="17:93" s="918" customFormat="1" x14ac:dyDescent="0.35">
      <c r="Q133" s="937"/>
      <c r="R133" s="937"/>
      <c r="S133" s="937"/>
      <c r="T133" s="937"/>
      <c r="U133" s="937"/>
      <c r="V133" s="937"/>
      <c r="W133" s="937"/>
      <c r="X133" s="937"/>
      <c r="Y133" s="937"/>
      <c r="Z133" s="937"/>
      <c r="AA133" s="937"/>
      <c r="AB133" s="937"/>
      <c r="AC133" s="963"/>
      <c r="AD133" s="963"/>
      <c r="AE133" s="963"/>
      <c r="AF133" s="937"/>
      <c r="AG133" s="937"/>
      <c r="AH133" s="937"/>
      <c r="AI133" s="937"/>
      <c r="AJ133" s="937"/>
      <c r="AK133" s="937"/>
      <c r="AL133" s="937"/>
      <c r="AM133" s="937"/>
      <c r="AN133" s="937"/>
      <c r="AO133" s="937"/>
      <c r="AP133" s="937"/>
      <c r="AQ133" s="937"/>
      <c r="AR133" s="937"/>
      <c r="AS133" s="937"/>
      <c r="AT133" s="937"/>
      <c r="AU133" s="937"/>
      <c r="AV133" s="937"/>
      <c r="AW133" s="937"/>
      <c r="AX133" s="937"/>
      <c r="AY133" s="937"/>
      <c r="AZ133" s="937"/>
      <c r="BA133" s="937"/>
      <c r="BB133" s="937"/>
      <c r="BC133" s="937"/>
      <c r="BD133" s="937"/>
      <c r="BE133" s="937"/>
      <c r="BF133" s="937"/>
      <c r="BG133" s="937"/>
      <c r="BH133" s="937"/>
      <c r="BI133" s="937"/>
      <c r="BJ133" s="937"/>
      <c r="BK133" s="937"/>
      <c r="BL133" s="937"/>
      <c r="BM133" s="937"/>
      <c r="BN133" s="937"/>
      <c r="BO133" s="937"/>
      <c r="BP133" s="937"/>
      <c r="BQ133" s="937"/>
      <c r="BR133" s="937"/>
      <c r="BS133" s="937"/>
      <c r="BT133" s="937"/>
      <c r="BU133" s="937"/>
      <c r="BV133" s="937"/>
      <c r="BW133" s="937"/>
      <c r="BX133" s="937"/>
      <c r="BY133" s="937"/>
      <c r="BZ133" s="937"/>
      <c r="CA133" s="937"/>
      <c r="CB133" s="937"/>
      <c r="CC133" s="937"/>
      <c r="CD133" s="937"/>
      <c r="CE133" s="937"/>
      <c r="CF133" s="937"/>
      <c r="CG133" s="937"/>
      <c r="CH133" s="937"/>
      <c r="CI133" s="937"/>
      <c r="CJ133" s="937"/>
      <c r="CK133" s="937"/>
      <c r="CL133" s="937"/>
      <c r="CM133" s="937"/>
      <c r="CN133" s="937"/>
      <c r="CO133" s="937"/>
    </row>
    <row r="134" spans="17:93" s="918" customFormat="1" x14ac:dyDescent="0.35">
      <c r="Q134" s="937"/>
      <c r="R134" s="937"/>
      <c r="S134" s="937"/>
      <c r="T134" s="937"/>
      <c r="U134" s="937"/>
      <c r="V134" s="937"/>
      <c r="W134" s="937"/>
      <c r="X134" s="937"/>
      <c r="Y134" s="937"/>
      <c r="Z134" s="937"/>
      <c r="AA134" s="937"/>
      <c r="AB134" s="937"/>
      <c r="AC134" s="963"/>
      <c r="AD134" s="963"/>
      <c r="AE134" s="963"/>
      <c r="AF134" s="937"/>
      <c r="AG134" s="937"/>
      <c r="AH134" s="937"/>
      <c r="AI134" s="937"/>
      <c r="AJ134" s="937"/>
      <c r="AK134" s="937"/>
      <c r="AL134" s="937"/>
      <c r="AM134" s="937"/>
      <c r="AN134" s="937"/>
      <c r="AO134" s="937"/>
      <c r="AP134" s="937"/>
      <c r="AQ134" s="937"/>
      <c r="AR134" s="937"/>
      <c r="AS134" s="937"/>
      <c r="AT134" s="937"/>
      <c r="AU134" s="937"/>
      <c r="AV134" s="937"/>
      <c r="AW134" s="937"/>
      <c r="AX134" s="937"/>
      <c r="AY134" s="937"/>
      <c r="AZ134" s="937"/>
      <c r="BA134" s="937"/>
      <c r="BB134" s="937"/>
      <c r="BC134" s="937"/>
      <c r="BD134" s="937"/>
      <c r="BE134" s="937"/>
      <c r="BF134" s="937"/>
      <c r="BG134" s="937"/>
      <c r="BH134" s="937"/>
      <c r="BI134" s="937"/>
      <c r="BJ134" s="937"/>
      <c r="BK134" s="937"/>
      <c r="BL134" s="937"/>
      <c r="BM134" s="937"/>
      <c r="BN134" s="937"/>
      <c r="BO134" s="937"/>
      <c r="BP134" s="937"/>
      <c r="BQ134" s="937"/>
      <c r="BR134" s="937"/>
      <c r="BS134" s="937"/>
      <c r="BT134" s="937"/>
      <c r="BU134" s="937"/>
      <c r="BV134" s="937"/>
      <c r="BW134" s="937"/>
      <c r="BX134" s="937"/>
      <c r="BY134" s="937"/>
      <c r="BZ134" s="937"/>
      <c r="CA134" s="937"/>
      <c r="CB134" s="937"/>
      <c r="CC134" s="937"/>
      <c r="CD134" s="937"/>
      <c r="CE134" s="937"/>
      <c r="CF134" s="937"/>
      <c r="CG134" s="937"/>
      <c r="CH134" s="937"/>
      <c r="CI134" s="937"/>
      <c r="CJ134" s="937"/>
      <c r="CK134" s="937"/>
      <c r="CL134" s="937"/>
      <c r="CM134" s="937"/>
      <c r="CN134" s="937"/>
      <c r="CO134" s="937"/>
    </row>
    <row r="135" spans="17:93" s="918" customFormat="1" x14ac:dyDescent="0.35">
      <c r="Q135" s="937"/>
      <c r="R135" s="937"/>
      <c r="S135" s="937"/>
      <c r="T135" s="937"/>
      <c r="U135" s="937"/>
      <c r="V135" s="937"/>
      <c r="W135" s="937"/>
      <c r="X135" s="937"/>
      <c r="Y135" s="937"/>
      <c r="Z135" s="937"/>
      <c r="AA135" s="937"/>
      <c r="AB135" s="937"/>
      <c r="AC135" s="963"/>
      <c r="AD135" s="963"/>
      <c r="AE135" s="963"/>
      <c r="AF135" s="937"/>
      <c r="AG135" s="937"/>
      <c r="AH135" s="937"/>
      <c r="AI135" s="937"/>
      <c r="AJ135" s="937"/>
      <c r="AK135" s="937"/>
      <c r="AL135" s="937"/>
      <c r="AM135" s="937"/>
      <c r="AN135" s="937"/>
      <c r="AO135" s="937"/>
      <c r="AP135" s="937"/>
      <c r="AQ135" s="937"/>
      <c r="AR135" s="937"/>
      <c r="AS135" s="937"/>
      <c r="AT135" s="937"/>
      <c r="AU135" s="937"/>
      <c r="AV135" s="937"/>
      <c r="AW135" s="937"/>
      <c r="AX135" s="937"/>
      <c r="AY135" s="937"/>
      <c r="AZ135" s="937"/>
      <c r="BA135" s="937"/>
      <c r="BB135" s="937"/>
      <c r="BC135" s="937"/>
      <c r="BD135" s="937"/>
      <c r="BE135" s="937"/>
      <c r="BF135" s="937"/>
      <c r="BG135" s="937"/>
      <c r="BH135" s="937"/>
      <c r="BI135" s="937"/>
      <c r="BJ135" s="937"/>
      <c r="BK135" s="937"/>
      <c r="BL135" s="937"/>
      <c r="BM135" s="937"/>
      <c r="BN135" s="937"/>
      <c r="BO135" s="937"/>
      <c r="BP135" s="937"/>
      <c r="BQ135" s="937"/>
      <c r="BR135" s="937"/>
      <c r="BS135" s="937"/>
      <c r="BT135" s="937"/>
      <c r="BU135" s="937"/>
      <c r="BV135" s="937"/>
      <c r="BW135" s="937"/>
      <c r="BX135" s="937"/>
      <c r="BY135" s="937"/>
      <c r="BZ135" s="937"/>
      <c r="CA135" s="937"/>
      <c r="CB135" s="937"/>
      <c r="CC135" s="937"/>
      <c r="CD135" s="937"/>
      <c r="CE135" s="937"/>
      <c r="CF135" s="937"/>
      <c r="CG135" s="937"/>
      <c r="CH135" s="937"/>
      <c r="CI135" s="937"/>
      <c r="CJ135" s="937"/>
      <c r="CK135" s="937"/>
      <c r="CL135" s="937"/>
      <c r="CM135" s="937"/>
      <c r="CN135" s="937"/>
      <c r="CO135" s="937"/>
    </row>
    <row r="136" spans="17:93" s="918" customFormat="1" x14ac:dyDescent="0.35">
      <c r="Q136" s="937"/>
      <c r="R136" s="937"/>
      <c r="S136" s="937"/>
      <c r="T136" s="937"/>
      <c r="U136" s="937"/>
      <c r="V136" s="937"/>
      <c r="W136" s="937"/>
      <c r="X136" s="937"/>
      <c r="Y136" s="937"/>
      <c r="Z136" s="937"/>
      <c r="AA136" s="937"/>
      <c r="AB136" s="937"/>
      <c r="AC136" s="963"/>
      <c r="AD136" s="963"/>
      <c r="AE136" s="963"/>
      <c r="AF136" s="937"/>
      <c r="AG136" s="937"/>
      <c r="AH136" s="937"/>
      <c r="AI136" s="937"/>
      <c r="AJ136" s="937"/>
      <c r="AK136" s="937"/>
      <c r="AL136" s="937"/>
      <c r="AM136" s="937"/>
      <c r="AN136" s="937"/>
      <c r="AO136" s="937"/>
      <c r="AP136" s="937"/>
      <c r="AQ136" s="937"/>
      <c r="AR136" s="937"/>
      <c r="AS136" s="937"/>
      <c r="AT136" s="937"/>
      <c r="AU136" s="937"/>
      <c r="AV136" s="937"/>
      <c r="AW136" s="937"/>
      <c r="AX136" s="937"/>
      <c r="AY136" s="937"/>
      <c r="AZ136" s="937"/>
      <c r="BA136" s="937"/>
      <c r="BB136" s="937"/>
      <c r="BC136" s="937"/>
      <c r="BD136" s="937"/>
      <c r="BE136" s="937"/>
      <c r="BF136" s="937"/>
      <c r="BG136" s="937"/>
      <c r="BH136" s="937"/>
      <c r="BI136" s="937"/>
      <c r="BJ136" s="937"/>
      <c r="BK136" s="937"/>
      <c r="BL136" s="937"/>
      <c r="BM136" s="937"/>
      <c r="BN136" s="937"/>
      <c r="BO136" s="937"/>
      <c r="BP136" s="937"/>
      <c r="BQ136" s="937"/>
      <c r="BR136" s="937"/>
      <c r="BS136" s="937"/>
      <c r="BT136" s="937"/>
      <c r="BU136" s="937"/>
      <c r="BV136" s="937"/>
      <c r="BW136" s="937"/>
      <c r="BX136" s="937"/>
      <c r="BY136" s="937"/>
      <c r="BZ136" s="937"/>
      <c r="CA136" s="937"/>
      <c r="CB136" s="937"/>
      <c r="CC136" s="937"/>
      <c r="CD136" s="937"/>
      <c r="CE136" s="937"/>
      <c r="CF136" s="937"/>
      <c r="CG136" s="937"/>
      <c r="CH136" s="937"/>
      <c r="CI136" s="937"/>
      <c r="CJ136" s="937"/>
      <c r="CK136" s="937"/>
      <c r="CL136" s="937"/>
      <c r="CM136" s="937"/>
      <c r="CN136" s="937"/>
      <c r="CO136" s="937"/>
    </row>
    <row r="137" spans="17:93" s="918" customFormat="1" x14ac:dyDescent="0.35">
      <c r="Q137" s="937"/>
      <c r="R137" s="937"/>
      <c r="S137" s="937"/>
      <c r="T137" s="937"/>
      <c r="U137" s="937"/>
      <c r="V137" s="937"/>
      <c r="W137" s="937"/>
      <c r="X137" s="937"/>
      <c r="Y137" s="937"/>
      <c r="Z137" s="937"/>
      <c r="AA137" s="937"/>
      <c r="AB137" s="937"/>
      <c r="AC137" s="963"/>
      <c r="AD137" s="963"/>
      <c r="AE137" s="963"/>
      <c r="AF137" s="937"/>
      <c r="AG137" s="937"/>
      <c r="AH137" s="937"/>
      <c r="AI137" s="937"/>
      <c r="AJ137" s="937"/>
      <c r="AK137" s="937"/>
      <c r="AL137" s="937"/>
      <c r="AM137" s="937"/>
      <c r="AN137" s="937"/>
      <c r="AO137" s="937"/>
      <c r="AP137" s="937"/>
      <c r="AQ137" s="937"/>
      <c r="AR137" s="937"/>
      <c r="AS137" s="937"/>
      <c r="AT137" s="937"/>
      <c r="AU137" s="937"/>
      <c r="AV137" s="937"/>
      <c r="AW137" s="937"/>
      <c r="AX137" s="937"/>
      <c r="AY137" s="937"/>
      <c r="AZ137" s="937"/>
      <c r="BA137" s="937"/>
      <c r="BB137" s="937"/>
      <c r="BC137" s="937"/>
      <c r="BD137" s="937"/>
      <c r="BE137" s="937"/>
      <c r="BF137" s="937"/>
      <c r="BG137" s="937"/>
      <c r="BH137" s="937"/>
      <c r="BI137" s="937"/>
      <c r="BJ137" s="937"/>
      <c r="BK137" s="937"/>
      <c r="BL137" s="937"/>
      <c r="BM137" s="937"/>
      <c r="BN137" s="937"/>
      <c r="BO137" s="937"/>
      <c r="BP137" s="937"/>
      <c r="BQ137" s="937"/>
      <c r="BR137" s="937"/>
      <c r="BS137" s="937"/>
      <c r="BT137" s="937"/>
      <c r="BU137" s="937"/>
      <c r="BV137" s="937"/>
      <c r="BW137" s="937"/>
      <c r="BX137" s="937"/>
      <c r="BY137" s="937"/>
      <c r="BZ137" s="937"/>
      <c r="CA137" s="937"/>
      <c r="CB137" s="937"/>
      <c r="CC137" s="937"/>
      <c r="CD137" s="937"/>
      <c r="CE137" s="937"/>
      <c r="CF137" s="937"/>
      <c r="CG137" s="937"/>
      <c r="CH137" s="937"/>
      <c r="CI137" s="937"/>
      <c r="CJ137" s="937"/>
      <c r="CK137" s="937"/>
      <c r="CL137" s="937"/>
      <c r="CM137" s="937"/>
      <c r="CN137" s="937"/>
      <c r="CO137" s="937"/>
    </row>
    <row r="138" spans="17:93" s="918" customFormat="1" x14ac:dyDescent="0.35">
      <c r="Q138" s="937"/>
      <c r="R138" s="937"/>
      <c r="S138" s="937"/>
      <c r="T138" s="937"/>
      <c r="U138" s="937"/>
      <c r="V138" s="937"/>
      <c r="W138" s="937"/>
      <c r="X138" s="937"/>
      <c r="Y138" s="937"/>
      <c r="Z138" s="937"/>
      <c r="AA138" s="937"/>
      <c r="AB138" s="937"/>
      <c r="AC138" s="963"/>
      <c r="AD138" s="963"/>
      <c r="AE138" s="963"/>
      <c r="AF138" s="937"/>
      <c r="AG138" s="937"/>
      <c r="AH138" s="937"/>
      <c r="AI138" s="937"/>
      <c r="AJ138" s="937"/>
      <c r="AK138" s="937"/>
      <c r="AL138" s="937"/>
      <c r="AM138" s="937"/>
      <c r="AN138" s="937"/>
      <c r="AO138" s="937"/>
      <c r="AP138" s="937"/>
      <c r="AQ138" s="937"/>
      <c r="AR138" s="937"/>
      <c r="AS138" s="937"/>
      <c r="AT138" s="937"/>
      <c r="AU138" s="937"/>
      <c r="AV138" s="937"/>
      <c r="AW138" s="937"/>
      <c r="AX138" s="937"/>
      <c r="AY138" s="937"/>
      <c r="AZ138" s="937"/>
      <c r="BA138" s="937"/>
      <c r="BB138" s="937"/>
      <c r="BC138" s="937"/>
      <c r="BD138" s="937"/>
      <c r="BE138" s="937"/>
      <c r="BF138" s="937"/>
      <c r="BG138" s="937"/>
      <c r="BH138" s="937"/>
      <c r="BI138" s="937"/>
      <c r="BJ138" s="937"/>
      <c r="BK138" s="937"/>
      <c r="BL138" s="937"/>
      <c r="BM138" s="937"/>
      <c r="BN138" s="937"/>
      <c r="BO138" s="937"/>
      <c r="BP138" s="937"/>
      <c r="BQ138" s="937"/>
      <c r="BR138" s="937"/>
      <c r="BS138" s="937"/>
      <c r="BT138" s="937"/>
      <c r="BU138" s="937"/>
      <c r="BV138" s="937"/>
      <c r="BW138" s="937"/>
      <c r="BX138" s="937"/>
      <c r="BY138" s="937"/>
      <c r="BZ138" s="937"/>
      <c r="CA138" s="937"/>
      <c r="CB138" s="937"/>
      <c r="CC138" s="937"/>
      <c r="CD138" s="937"/>
      <c r="CE138" s="937"/>
      <c r="CF138" s="937"/>
      <c r="CG138" s="937"/>
      <c r="CH138" s="937"/>
      <c r="CI138" s="937"/>
      <c r="CJ138" s="937"/>
      <c r="CK138" s="937"/>
      <c r="CL138" s="937"/>
      <c r="CM138" s="937"/>
      <c r="CN138" s="937"/>
      <c r="CO138" s="937"/>
    </row>
    <row r="139" spans="17:93" s="918" customFormat="1" x14ac:dyDescent="0.35">
      <c r="Q139" s="937"/>
      <c r="R139" s="937"/>
      <c r="S139" s="937"/>
      <c r="T139" s="937"/>
      <c r="U139" s="937"/>
      <c r="V139" s="937"/>
      <c r="W139" s="937"/>
      <c r="X139" s="937"/>
      <c r="Y139" s="937"/>
      <c r="Z139" s="937"/>
      <c r="AA139" s="937"/>
      <c r="AB139" s="937"/>
      <c r="AC139" s="963"/>
      <c r="AD139" s="963"/>
      <c r="AE139" s="963"/>
      <c r="AF139" s="937"/>
      <c r="AG139" s="937"/>
      <c r="AH139" s="937"/>
      <c r="AI139" s="937"/>
      <c r="AJ139" s="937"/>
      <c r="AK139" s="937"/>
      <c r="AL139" s="937"/>
      <c r="AM139" s="937"/>
      <c r="AN139" s="937"/>
      <c r="AO139" s="937"/>
      <c r="AP139" s="937"/>
      <c r="AQ139" s="937"/>
      <c r="AR139" s="937"/>
      <c r="AS139" s="937"/>
      <c r="AT139" s="937"/>
      <c r="AU139" s="937"/>
      <c r="AV139" s="937"/>
      <c r="AW139" s="937"/>
      <c r="AX139" s="937"/>
      <c r="AY139" s="937"/>
      <c r="AZ139" s="937"/>
      <c r="BA139" s="937"/>
      <c r="BB139" s="937"/>
      <c r="BC139" s="937"/>
      <c r="BD139" s="937"/>
      <c r="BE139" s="937"/>
      <c r="BF139" s="937"/>
      <c r="BG139" s="937"/>
      <c r="BH139" s="937"/>
      <c r="BI139" s="937"/>
      <c r="BJ139" s="937"/>
      <c r="BK139" s="937"/>
      <c r="BL139" s="937"/>
      <c r="BM139" s="937"/>
      <c r="BN139" s="937"/>
      <c r="BO139" s="937"/>
      <c r="BP139" s="937"/>
      <c r="BQ139" s="937"/>
      <c r="BR139" s="937"/>
      <c r="BS139" s="937"/>
      <c r="BT139" s="937"/>
      <c r="BU139" s="937"/>
      <c r="BV139" s="937"/>
      <c r="BW139" s="937"/>
      <c r="BX139" s="937"/>
      <c r="BY139" s="937"/>
      <c r="BZ139" s="937"/>
      <c r="CA139" s="937"/>
      <c r="CB139" s="937"/>
      <c r="CC139" s="937"/>
      <c r="CD139" s="937"/>
      <c r="CE139" s="937"/>
      <c r="CF139" s="937"/>
      <c r="CG139" s="937"/>
      <c r="CH139" s="937"/>
      <c r="CI139" s="937"/>
      <c r="CJ139" s="937"/>
      <c r="CK139" s="937"/>
      <c r="CL139" s="937"/>
      <c r="CM139" s="937"/>
      <c r="CN139" s="937"/>
      <c r="CO139" s="937"/>
    </row>
    <row r="140" spans="17:93" s="918" customFormat="1" x14ac:dyDescent="0.35">
      <c r="Q140" s="937"/>
      <c r="R140" s="937"/>
      <c r="S140" s="937"/>
      <c r="T140" s="937"/>
      <c r="U140" s="937"/>
      <c r="V140" s="937"/>
      <c r="W140" s="937"/>
      <c r="X140" s="937"/>
      <c r="Y140" s="937"/>
      <c r="Z140" s="937"/>
      <c r="AA140" s="937"/>
      <c r="AB140" s="937"/>
      <c r="AC140" s="963"/>
      <c r="AD140" s="963"/>
      <c r="AE140" s="963"/>
      <c r="AF140" s="937"/>
      <c r="AG140" s="937"/>
      <c r="AH140" s="937"/>
      <c r="AI140" s="937"/>
      <c r="AJ140" s="937"/>
      <c r="AK140" s="937"/>
      <c r="AL140" s="937"/>
      <c r="AM140" s="937"/>
      <c r="AN140" s="937"/>
      <c r="AO140" s="937"/>
      <c r="AP140" s="937"/>
      <c r="AQ140" s="937"/>
      <c r="AR140" s="937"/>
      <c r="AS140" s="937"/>
      <c r="AT140" s="937"/>
      <c r="AU140" s="937"/>
      <c r="AV140" s="937"/>
      <c r="AW140" s="937"/>
      <c r="AX140" s="937"/>
      <c r="AY140" s="937"/>
      <c r="AZ140" s="937"/>
      <c r="BA140" s="937"/>
      <c r="BB140" s="937"/>
      <c r="BC140" s="937"/>
      <c r="BD140" s="937"/>
      <c r="BE140" s="937"/>
      <c r="BF140" s="937"/>
      <c r="BG140" s="937"/>
      <c r="BH140" s="937"/>
      <c r="BI140" s="937"/>
      <c r="BJ140" s="937"/>
      <c r="BK140" s="937"/>
      <c r="BL140" s="937"/>
      <c r="BM140" s="937"/>
      <c r="BN140" s="937"/>
      <c r="BO140" s="937"/>
      <c r="BP140" s="937"/>
      <c r="BQ140" s="937"/>
      <c r="BR140" s="937"/>
      <c r="BS140" s="937"/>
      <c r="BT140" s="937"/>
      <c r="BU140" s="937"/>
      <c r="BV140" s="937"/>
      <c r="BW140" s="937"/>
      <c r="BX140" s="937"/>
      <c r="BY140" s="937"/>
      <c r="BZ140" s="937"/>
      <c r="CA140" s="937"/>
      <c r="CB140" s="937"/>
      <c r="CC140" s="937"/>
      <c r="CD140" s="937"/>
      <c r="CE140" s="937"/>
      <c r="CF140" s="937"/>
      <c r="CG140" s="937"/>
      <c r="CH140" s="937"/>
      <c r="CI140" s="937"/>
      <c r="CJ140" s="937"/>
      <c r="CK140" s="937"/>
      <c r="CL140" s="937"/>
      <c r="CM140" s="937"/>
      <c r="CN140" s="937"/>
      <c r="CO140" s="937"/>
    </row>
    <row r="141" spans="17:93" s="918" customFormat="1" x14ac:dyDescent="0.35">
      <c r="Q141" s="937"/>
      <c r="R141" s="937"/>
      <c r="S141" s="937"/>
      <c r="T141" s="937"/>
      <c r="U141" s="937"/>
      <c r="V141" s="937"/>
      <c r="W141" s="937"/>
      <c r="X141" s="937"/>
      <c r="Y141" s="937"/>
      <c r="Z141" s="937"/>
      <c r="AA141" s="937"/>
      <c r="AB141" s="937"/>
      <c r="AC141" s="963"/>
      <c r="AD141" s="963"/>
      <c r="AE141" s="963"/>
      <c r="AF141" s="937"/>
      <c r="AG141" s="937"/>
      <c r="AH141" s="937"/>
      <c r="AI141" s="937"/>
      <c r="AJ141" s="937"/>
      <c r="AK141" s="937"/>
      <c r="AL141" s="937"/>
      <c r="AM141" s="937"/>
      <c r="AN141" s="937"/>
      <c r="AO141" s="937"/>
      <c r="AP141" s="937"/>
      <c r="AQ141" s="937"/>
      <c r="AR141" s="937"/>
      <c r="AS141" s="937"/>
      <c r="AT141" s="937"/>
      <c r="AU141" s="937"/>
      <c r="AV141" s="937"/>
      <c r="AW141" s="937"/>
      <c r="AX141" s="937"/>
      <c r="AY141" s="937"/>
      <c r="AZ141" s="937"/>
      <c r="BA141" s="937"/>
      <c r="BB141" s="937"/>
      <c r="BC141" s="937"/>
      <c r="BD141" s="937"/>
      <c r="BE141" s="937"/>
      <c r="BF141" s="937"/>
      <c r="BG141" s="937"/>
      <c r="BH141" s="937"/>
      <c r="BI141" s="937"/>
      <c r="BJ141" s="937"/>
      <c r="BK141" s="937"/>
      <c r="BL141" s="937"/>
      <c r="BM141" s="937"/>
      <c r="BN141" s="937"/>
      <c r="BO141" s="937"/>
      <c r="BP141" s="937"/>
      <c r="BQ141" s="937"/>
      <c r="BR141" s="937"/>
      <c r="BS141" s="937"/>
      <c r="BT141" s="937"/>
      <c r="BU141" s="937"/>
      <c r="BV141" s="937"/>
      <c r="BW141" s="937"/>
      <c r="BX141" s="937"/>
      <c r="BY141" s="937"/>
      <c r="BZ141" s="937"/>
      <c r="CA141" s="937"/>
      <c r="CB141" s="937"/>
      <c r="CC141" s="937"/>
      <c r="CD141" s="937"/>
      <c r="CE141" s="937"/>
      <c r="CF141" s="937"/>
      <c r="CG141" s="937"/>
      <c r="CH141" s="937"/>
      <c r="CI141" s="937"/>
      <c r="CJ141" s="937"/>
      <c r="CK141" s="937"/>
      <c r="CL141" s="937"/>
      <c r="CM141" s="937"/>
      <c r="CN141" s="937"/>
      <c r="CO141" s="937"/>
    </row>
    <row r="142" spans="17:93" s="918" customFormat="1" x14ac:dyDescent="0.35">
      <c r="Q142" s="937"/>
      <c r="R142" s="937"/>
      <c r="S142" s="937"/>
      <c r="T142" s="937"/>
      <c r="U142" s="937"/>
      <c r="V142" s="937"/>
      <c r="W142" s="937"/>
      <c r="X142" s="937"/>
      <c r="Y142" s="937"/>
      <c r="Z142" s="937"/>
      <c r="AA142" s="937"/>
      <c r="AB142" s="937"/>
      <c r="AC142" s="963"/>
      <c r="AD142" s="963"/>
      <c r="AE142" s="963"/>
      <c r="AF142" s="937"/>
      <c r="AG142" s="937"/>
      <c r="AH142" s="937"/>
      <c r="AI142" s="937"/>
      <c r="AJ142" s="937"/>
      <c r="AK142" s="937"/>
      <c r="AL142" s="937"/>
      <c r="AM142" s="937"/>
      <c r="AN142" s="937"/>
      <c r="AO142" s="937"/>
      <c r="AP142" s="937"/>
      <c r="AQ142" s="937"/>
      <c r="AR142" s="937"/>
      <c r="AS142" s="937"/>
      <c r="AT142" s="937"/>
      <c r="AU142" s="937"/>
      <c r="AV142" s="937"/>
      <c r="AW142" s="937"/>
      <c r="AX142" s="937"/>
      <c r="AY142" s="937"/>
      <c r="AZ142" s="937"/>
      <c r="BA142" s="937"/>
      <c r="BB142" s="937"/>
      <c r="BC142" s="937"/>
      <c r="BD142" s="937"/>
      <c r="BE142" s="937"/>
      <c r="BF142" s="937"/>
      <c r="BG142" s="937"/>
      <c r="BH142" s="937"/>
      <c r="BI142" s="937"/>
      <c r="BJ142" s="937"/>
      <c r="BK142" s="937"/>
      <c r="BL142" s="937"/>
      <c r="BM142" s="937"/>
      <c r="BN142" s="937"/>
      <c r="BO142" s="937"/>
      <c r="BP142" s="937"/>
      <c r="BQ142" s="937"/>
      <c r="BR142" s="937"/>
      <c r="BS142" s="937"/>
      <c r="BT142" s="937"/>
      <c r="BU142" s="937"/>
      <c r="BV142" s="937"/>
      <c r="BW142" s="937"/>
      <c r="BX142" s="937"/>
      <c r="BY142" s="937"/>
      <c r="BZ142" s="937"/>
      <c r="CA142" s="937"/>
      <c r="CB142" s="937"/>
      <c r="CC142" s="937"/>
      <c r="CD142" s="937"/>
      <c r="CE142" s="937"/>
      <c r="CF142" s="937"/>
      <c r="CG142" s="937"/>
      <c r="CH142" s="937"/>
      <c r="CI142" s="937"/>
      <c r="CJ142" s="937"/>
      <c r="CK142" s="937"/>
      <c r="CL142" s="937"/>
      <c r="CM142" s="937"/>
      <c r="CN142" s="937"/>
      <c r="CO142" s="937"/>
    </row>
    <row r="143" spans="17:93" s="918" customFormat="1" x14ac:dyDescent="0.35">
      <c r="Q143" s="937"/>
      <c r="R143" s="937"/>
      <c r="S143" s="937"/>
      <c r="T143" s="937"/>
      <c r="U143" s="937"/>
      <c r="V143" s="937"/>
      <c r="W143" s="937"/>
      <c r="X143" s="937"/>
      <c r="Y143" s="937"/>
      <c r="Z143" s="937"/>
      <c r="AA143" s="937"/>
      <c r="AB143" s="937"/>
      <c r="AC143" s="963"/>
      <c r="AD143" s="963"/>
      <c r="AE143" s="963"/>
      <c r="AF143" s="937"/>
      <c r="AG143" s="937"/>
      <c r="AH143" s="937"/>
      <c r="AI143" s="937"/>
      <c r="AJ143" s="937"/>
      <c r="AK143" s="937"/>
      <c r="AL143" s="937"/>
      <c r="AM143" s="937"/>
      <c r="AN143" s="937"/>
      <c r="AO143" s="937"/>
      <c r="AP143" s="937"/>
      <c r="AQ143" s="937"/>
      <c r="AR143" s="937"/>
      <c r="AS143" s="937"/>
      <c r="AT143" s="937"/>
      <c r="AU143" s="937"/>
      <c r="AV143" s="937"/>
      <c r="AW143" s="937"/>
      <c r="AX143" s="937"/>
      <c r="AY143" s="937"/>
      <c r="AZ143" s="937"/>
      <c r="BA143" s="937"/>
      <c r="BB143" s="937"/>
      <c r="BC143" s="937"/>
      <c r="BD143" s="937"/>
      <c r="BE143" s="937"/>
      <c r="BF143" s="937"/>
      <c r="BG143" s="937"/>
      <c r="BH143" s="937"/>
      <c r="BI143" s="937"/>
      <c r="BJ143" s="937"/>
      <c r="BK143" s="937"/>
      <c r="BL143" s="937"/>
      <c r="BM143" s="937"/>
      <c r="BN143" s="937"/>
      <c r="BO143" s="937"/>
      <c r="BP143" s="937"/>
      <c r="BQ143" s="937"/>
      <c r="BR143" s="937"/>
      <c r="BS143" s="937"/>
      <c r="BT143" s="937"/>
      <c r="BU143" s="937"/>
      <c r="BV143" s="937"/>
      <c r="BW143" s="937"/>
      <c r="BX143" s="937"/>
      <c r="BY143" s="937"/>
      <c r="BZ143" s="937"/>
      <c r="CA143" s="937"/>
      <c r="CB143" s="937"/>
      <c r="CC143" s="937"/>
      <c r="CD143" s="937"/>
      <c r="CE143" s="937"/>
      <c r="CF143" s="937"/>
      <c r="CG143" s="937"/>
      <c r="CH143" s="937"/>
      <c r="CI143" s="937"/>
      <c r="CJ143" s="937"/>
      <c r="CK143" s="937"/>
      <c r="CL143" s="937"/>
      <c r="CM143" s="937"/>
      <c r="CN143" s="937"/>
      <c r="CO143" s="937"/>
    </row>
    <row r="144" spans="17:93" s="918" customFormat="1" x14ac:dyDescent="0.35">
      <c r="Q144" s="937"/>
      <c r="R144" s="937"/>
      <c r="S144" s="937"/>
      <c r="T144" s="937"/>
      <c r="U144" s="937"/>
      <c r="V144" s="937"/>
      <c r="W144" s="937"/>
      <c r="X144" s="937"/>
      <c r="Y144" s="937"/>
      <c r="Z144" s="937"/>
      <c r="AA144" s="937"/>
      <c r="AB144" s="937"/>
      <c r="AC144" s="963"/>
      <c r="AD144" s="963"/>
      <c r="AE144" s="963"/>
      <c r="AF144" s="937"/>
      <c r="AG144" s="937"/>
      <c r="AH144" s="937"/>
      <c r="AI144" s="937"/>
      <c r="AJ144" s="937"/>
      <c r="AK144" s="937"/>
      <c r="AL144" s="937"/>
      <c r="AM144" s="937"/>
      <c r="AN144" s="937"/>
      <c r="AO144" s="937"/>
      <c r="AP144" s="937"/>
      <c r="AQ144" s="937"/>
      <c r="AR144" s="937"/>
      <c r="AS144" s="937"/>
      <c r="AT144" s="937"/>
      <c r="AU144" s="937"/>
      <c r="AV144" s="937"/>
      <c r="AW144" s="937"/>
      <c r="AX144" s="937"/>
      <c r="AY144" s="937"/>
      <c r="AZ144" s="937"/>
      <c r="BA144" s="937"/>
      <c r="BB144" s="937"/>
      <c r="BC144" s="937"/>
      <c r="BD144" s="937"/>
      <c r="BE144" s="937"/>
      <c r="BF144" s="937"/>
      <c r="BG144" s="937"/>
      <c r="BH144" s="937"/>
      <c r="BI144" s="937"/>
      <c r="BJ144" s="937"/>
      <c r="BK144" s="937"/>
      <c r="BL144" s="937"/>
      <c r="BM144" s="937"/>
      <c r="BN144" s="937"/>
      <c r="BO144" s="937"/>
      <c r="BP144" s="937"/>
      <c r="BQ144" s="937"/>
      <c r="BR144" s="937"/>
      <c r="BS144" s="937"/>
      <c r="BT144" s="937"/>
      <c r="BU144" s="937"/>
      <c r="BV144" s="937"/>
      <c r="BW144" s="937"/>
      <c r="BX144" s="937"/>
      <c r="BY144" s="937"/>
      <c r="BZ144" s="937"/>
      <c r="CA144" s="937"/>
      <c r="CB144" s="937"/>
      <c r="CC144" s="937"/>
      <c r="CD144" s="937"/>
      <c r="CE144" s="937"/>
      <c r="CF144" s="937"/>
      <c r="CG144" s="937"/>
      <c r="CH144" s="937"/>
      <c r="CI144" s="937"/>
      <c r="CJ144" s="937"/>
      <c r="CK144" s="937"/>
      <c r="CL144" s="937"/>
      <c r="CM144" s="937"/>
      <c r="CN144" s="937"/>
      <c r="CO144" s="937"/>
    </row>
    <row r="145" spans="17:93" s="918" customFormat="1" x14ac:dyDescent="0.35">
      <c r="Q145" s="937"/>
      <c r="R145" s="937"/>
      <c r="S145" s="937"/>
      <c r="T145" s="937"/>
      <c r="U145" s="937"/>
      <c r="V145" s="937"/>
      <c r="W145" s="937"/>
      <c r="X145" s="937"/>
      <c r="Y145" s="937"/>
      <c r="Z145" s="937"/>
      <c r="AA145" s="937"/>
      <c r="AB145" s="937"/>
      <c r="AC145" s="963"/>
      <c r="AD145" s="963"/>
      <c r="AE145" s="963"/>
      <c r="AF145" s="937"/>
      <c r="AG145" s="937"/>
      <c r="AH145" s="937"/>
      <c r="AI145" s="937"/>
      <c r="AJ145" s="937"/>
      <c r="AK145" s="937"/>
      <c r="AL145" s="937"/>
      <c r="AM145" s="937"/>
      <c r="AN145" s="937"/>
      <c r="AO145" s="937"/>
      <c r="AP145" s="937"/>
      <c r="AQ145" s="937"/>
      <c r="AR145" s="937"/>
      <c r="AS145" s="937"/>
      <c r="AT145" s="937"/>
      <c r="AU145" s="937"/>
      <c r="AV145" s="937"/>
      <c r="AW145" s="937"/>
      <c r="AX145" s="937"/>
      <c r="AY145" s="937"/>
      <c r="AZ145" s="937"/>
      <c r="BA145" s="937"/>
      <c r="BB145" s="937"/>
      <c r="BC145" s="937"/>
      <c r="BD145" s="937"/>
      <c r="BE145" s="937"/>
      <c r="BF145" s="937"/>
      <c r="BG145" s="937"/>
      <c r="BH145" s="937"/>
      <c r="BI145" s="937"/>
      <c r="BJ145" s="937"/>
      <c r="BK145" s="937"/>
      <c r="BL145" s="937"/>
      <c r="BM145" s="937"/>
      <c r="BN145" s="937"/>
      <c r="BO145" s="937"/>
      <c r="BP145" s="937"/>
      <c r="BQ145" s="937"/>
      <c r="BR145" s="937"/>
      <c r="BS145" s="937"/>
      <c r="BT145" s="937"/>
      <c r="BU145" s="937"/>
      <c r="BV145" s="937"/>
      <c r="BW145" s="937"/>
      <c r="BX145" s="937"/>
      <c r="BY145" s="937"/>
      <c r="BZ145" s="937"/>
      <c r="CA145" s="937"/>
      <c r="CB145" s="937"/>
      <c r="CC145" s="937"/>
      <c r="CD145" s="937"/>
      <c r="CE145" s="937"/>
      <c r="CF145" s="937"/>
      <c r="CG145" s="937"/>
      <c r="CH145" s="937"/>
      <c r="CI145" s="937"/>
      <c r="CJ145" s="937"/>
      <c r="CK145" s="937"/>
      <c r="CL145" s="937"/>
      <c r="CM145" s="937"/>
      <c r="CN145" s="937"/>
      <c r="CO145" s="937"/>
    </row>
    <row r="146" spans="17:93" s="918" customFormat="1" x14ac:dyDescent="0.35">
      <c r="Q146" s="937"/>
      <c r="R146" s="937"/>
      <c r="S146" s="937"/>
      <c r="T146" s="937"/>
      <c r="U146" s="937"/>
      <c r="V146" s="937"/>
      <c r="W146" s="937"/>
      <c r="X146" s="937"/>
      <c r="Y146" s="937"/>
      <c r="Z146" s="937"/>
      <c r="AA146" s="937"/>
      <c r="AB146" s="937"/>
      <c r="AC146" s="963"/>
      <c r="AD146" s="963"/>
      <c r="AE146" s="963"/>
      <c r="AF146" s="937"/>
      <c r="AG146" s="937"/>
      <c r="AH146" s="937"/>
      <c r="AI146" s="937"/>
      <c r="AJ146" s="937"/>
      <c r="AK146" s="937"/>
      <c r="AL146" s="937"/>
      <c r="AM146" s="937"/>
      <c r="AN146" s="937"/>
      <c r="AO146" s="937"/>
      <c r="AP146" s="937"/>
      <c r="AQ146" s="937"/>
      <c r="AR146" s="937"/>
      <c r="AS146" s="937"/>
      <c r="AT146" s="937"/>
      <c r="AU146" s="937"/>
      <c r="AV146" s="937"/>
      <c r="AW146" s="937"/>
      <c r="AX146" s="937"/>
      <c r="AY146" s="937"/>
      <c r="AZ146" s="937"/>
      <c r="BA146" s="937"/>
      <c r="BB146" s="937"/>
      <c r="BC146" s="937"/>
      <c r="BD146" s="937"/>
      <c r="BE146" s="937"/>
      <c r="BF146" s="937"/>
      <c r="BG146" s="937"/>
      <c r="BH146" s="937"/>
      <c r="BI146" s="937"/>
      <c r="BJ146" s="937"/>
      <c r="BK146" s="937"/>
      <c r="BL146" s="937"/>
      <c r="BM146" s="937"/>
      <c r="BN146" s="937"/>
      <c r="BO146" s="937"/>
      <c r="BP146" s="937"/>
      <c r="BQ146" s="937"/>
      <c r="BR146" s="937"/>
      <c r="BS146" s="937"/>
      <c r="BT146" s="937"/>
      <c r="BU146" s="937"/>
      <c r="BV146" s="937"/>
      <c r="BW146" s="937"/>
      <c r="BX146" s="937"/>
      <c r="BY146" s="937"/>
      <c r="BZ146" s="937"/>
      <c r="CA146" s="937"/>
      <c r="CB146" s="937"/>
      <c r="CC146" s="937"/>
      <c r="CD146" s="937"/>
      <c r="CE146" s="937"/>
      <c r="CF146" s="937"/>
      <c r="CG146" s="937"/>
      <c r="CH146" s="937"/>
      <c r="CI146" s="937"/>
      <c r="CJ146" s="937"/>
      <c r="CK146" s="937"/>
      <c r="CL146" s="937"/>
      <c r="CM146" s="937"/>
      <c r="CN146" s="937"/>
      <c r="CO146" s="937"/>
    </row>
    <row r="147" spans="17:93" s="918" customFormat="1" x14ac:dyDescent="0.35">
      <c r="Q147" s="937"/>
      <c r="R147" s="937"/>
      <c r="S147" s="937"/>
      <c r="T147" s="937"/>
      <c r="U147" s="937"/>
      <c r="V147" s="937"/>
      <c r="W147" s="937"/>
      <c r="X147" s="937"/>
      <c r="Y147" s="937"/>
      <c r="Z147" s="937"/>
      <c r="AA147" s="937"/>
      <c r="AB147" s="937"/>
      <c r="AC147" s="963"/>
      <c r="AD147" s="963"/>
      <c r="AE147" s="963"/>
      <c r="AF147" s="937"/>
      <c r="AG147" s="937"/>
      <c r="AH147" s="937"/>
      <c r="AI147" s="937"/>
      <c r="AJ147" s="937"/>
      <c r="AK147" s="937"/>
      <c r="AL147" s="937"/>
      <c r="AM147" s="937"/>
      <c r="AN147" s="937"/>
      <c r="AO147" s="937"/>
      <c r="AP147" s="937"/>
      <c r="AQ147" s="937"/>
      <c r="AR147" s="937"/>
      <c r="AS147" s="937"/>
      <c r="AT147" s="937"/>
      <c r="AU147" s="937"/>
      <c r="AV147" s="937"/>
      <c r="AW147" s="937"/>
      <c r="AX147" s="937"/>
      <c r="AY147" s="937"/>
      <c r="AZ147" s="937"/>
      <c r="BA147" s="937"/>
      <c r="BB147" s="937"/>
      <c r="BC147" s="937"/>
      <c r="BD147" s="937"/>
      <c r="BE147" s="937"/>
      <c r="BF147" s="937"/>
      <c r="BG147" s="937"/>
      <c r="BH147" s="937"/>
      <c r="BI147" s="937"/>
      <c r="BJ147" s="937"/>
      <c r="BK147" s="937"/>
      <c r="BL147" s="937"/>
      <c r="BM147" s="937"/>
      <c r="BN147" s="937"/>
      <c r="BO147" s="937"/>
      <c r="BP147" s="937"/>
      <c r="BQ147" s="937"/>
      <c r="BR147" s="937"/>
      <c r="BS147" s="937"/>
      <c r="BT147" s="937"/>
      <c r="BU147" s="937"/>
      <c r="BV147" s="937"/>
      <c r="BW147" s="937"/>
      <c r="BX147" s="937"/>
      <c r="BY147" s="937"/>
      <c r="BZ147" s="937"/>
      <c r="CA147" s="937"/>
      <c r="CB147" s="937"/>
      <c r="CC147" s="937"/>
      <c r="CD147" s="937"/>
      <c r="CE147" s="937"/>
      <c r="CF147" s="937"/>
      <c r="CG147" s="937"/>
      <c r="CH147" s="937"/>
      <c r="CI147" s="937"/>
      <c r="CJ147" s="937"/>
      <c r="CK147" s="937"/>
      <c r="CL147" s="937"/>
      <c r="CM147" s="937"/>
      <c r="CN147" s="937"/>
      <c r="CO147" s="937"/>
    </row>
    <row r="148" spans="17:93" s="918" customFormat="1" x14ac:dyDescent="0.35">
      <c r="Q148" s="937"/>
      <c r="R148" s="937"/>
      <c r="S148" s="937"/>
      <c r="T148" s="937"/>
      <c r="U148" s="937"/>
      <c r="V148" s="937"/>
      <c r="W148" s="937"/>
      <c r="X148" s="937"/>
      <c r="Y148" s="937"/>
      <c r="Z148" s="937"/>
      <c r="AA148" s="937"/>
      <c r="AB148" s="937"/>
      <c r="AC148" s="963"/>
      <c r="AD148" s="963"/>
      <c r="AE148" s="963"/>
      <c r="AF148" s="937"/>
      <c r="AG148" s="937"/>
      <c r="AH148" s="937"/>
      <c r="AI148" s="937"/>
      <c r="AJ148" s="937"/>
      <c r="AK148" s="937"/>
      <c r="AL148" s="937"/>
      <c r="AM148" s="937"/>
      <c r="AN148" s="937"/>
      <c r="AO148" s="937"/>
      <c r="AP148" s="937"/>
      <c r="AQ148" s="937"/>
      <c r="AR148" s="937"/>
      <c r="AS148" s="937"/>
      <c r="AT148" s="937"/>
      <c r="AU148" s="937"/>
      <c r="AV148" s="937"/>
      <c r="AW148" s="937"/>
      <c r="AX148" s="937"/>
      <c r="AY148" s="937"/>
      <c r="AZ148" s="937"/>
      <c r="BA148" s="937"/>
      <c r="BB148" s="937"/>
      <c r="BC148" s="937"/>
      <c r="BD148" s="937"/>
      <c r="BE148" s="937"/>
      <c r="BF148" s="937"/>
      <c r="BG148" s="937"/>
      <c r="BH148" s="937"/>
      <c r="BI148" s="937"/>
      <c r="BJ148" s="937"/>
      <c r="BK148" s="937"/>
      <c r="BL148" s="937"/>
      <c r="BM148" s="937"/>
      <c r="BN148" s="937"/>
      <c r="BO148" s="937"/>
      <c r="BP148" s="937"/>
      <c r="BQ148" s="937"/>
      <c r="BR148" s="937"/>
      <c r="BS148" s="937"/>
      <c r="BT148" s="937"/>
      <c r="BU148" s="937"/>
      <c r="BV148" s="937"/>
      <c r="BW148" s="937"/>
      <c r="BX148" s="937"/>
      <c r="BY148" s="937"/>
      <c r="BZ148" s="937"/>
      <c r="CA148" s="937"/>
      <c r="CB148" s="937"/>
      <c r="CC148" s="937"/>
      <c r="CD148" s="937"/>
      <c r="CE148" s="937"/>
      <c r="CF148" s="937"/>
      <c r="CG148" s="937"/>
      <c r="CH148" s="937"/>
      <c r="CI148" s="937"/>
      <c r="CJ148" s="937"/>
      <c r="CK148" s="937"/>
      <c r="CL148" s="937"/>
      <c r="CM148" s="937"/>
      <c r="CN148" s="937"/>
      <c r="CO148" s="937"/>
    </row>
    <row r="149" spans="17:93" s="918" customFormat="1" x14ac:dyDescent="0.35">
      <c r="Q149" s="937"/>
      <c r="R149" s="937"/>
      <c r="S149" s="937"/>
      <c r="T149" s="937"/>
      <c r="U149" s="937"/>
      <c r="V149" s="937"/>
      <c r="W149" s="937"/>
      <c r="X149" s="937"/>
      <c r="Y149" s="937"/>
      <c r="Z149" s="937"/>
      <c r="AA149" s="937"/>
      <c r="AB149" s="937"/>
      <c r="AC149" s="963"/>
      <c r="AD149" s="963"/>
      <c r="AE149" s="963"/>
      <c r="AF149" s="937"/>
      <c r="AG149" s="937"/>
      <c r="AH149" s="937"/>
      <c r="AI149" s="937"/>
      <c r="AJ149" s="937"/>
      <c r="AK149" s="937"/>
      <c r="AL149" s="937"/>
      <c r="AM149" s="937"/>
      <c r="AN149" s="937"/>
      <c r="AO149" s="937"/>
      <c r="AP149" s="937"/>
      <c r="AQ149" s="937"/>
      <c r="AR149" s="937"/>
      <c r="AS149" s="937"/>
      <c r="AT149" s="937"/>
      <c r="AU149" s="937"/>
      <c r="AV149" s="937"/>
      <c r="AW149" s="937"/>
      <c r="AX149" s="937"/>
      <c r="AY149" s="937"/>
      <c r="AZ149" s="937"/>
      <c r="BA149" s="937"/>
      <c r="BB149" s="937"/>
      <c r="BC149" s="937"/>
      <c r="BD149" s="937"/>
      <c r="BE149" s="937"/>
      <c r="BF149" s="937"/>
      <c r="BG149" s="937"/>
      <c r="BH149" s="937"/>
      <c r="BI149" s="937"/>
      <c r="BJ149" s="937"/>
      <c r="BK149" s="937"/>
      <c r="BL149" s="937"/>
      <c r="BM149" s="937"/>
      <c r="BN149" s="937"/>
      <c r="BO149" s="937"/>
      <c r="BP149" s="937"/>
      <c r="BQ149" s="937"/>
      <c r="BR149" s="937"/>
      <c r="BS149" s="937"/>
      <c r="BT149" s="937"/>
      <c r="BU149" s="937"/>
      <c r="BV149" s="937"/>
      <c r="BW149" s="937"/>
      <c r="BX149" s="937"/>
      <c r="BY149" s="937"/>
      <c r="BZ149" s="937"/>
      <c r="CA149" s="937"/>
      <c r="CB149" s="937"/>
      <c r="CC149" s="937"/>
      <c r="CD149" s="937"/>
      <c r="CE149" s="937"/>
      <c r="CF149" s="937"/>
      <c r="CG149" s="937"/>
      <c r="CH149" s="937"/>
      <c r="CI149" s="937"/>
      <c r="CJ149" s="937"/>
      <c r="CK149" s="937"/>
      <c r="CL149" s="937"/>
      <c r="CM149" s="937"/>
      <c r="CN149" s="937"/>
      <c r="CO149" s="937"/>
    </row>
    <row r="150" spans="17:93" s="918" customFormat="1" x14ac:dyDescent="0.35">
      <c r="Q150" s="937"/>
      <c r="R150" s="937"/>
      <c r="S150" s="937"/>
      <c r="T150" s="937"/>
      <c r="U150" s="937"/>
      <c r="V150" s="937"/>
      <c r="W150" s="937"/>
      <c r="X150" s="937"/>
      <c r="Y150" s="937"/>
      <c r="Z150" s="937"/>
      <c r="AA150" s="937"/>
      <c r="AB150" s="937"/>
      <c r="AC150" s="963"/>
      <c r="AD150" s="963"/>
      <c r="AE150" s="963"/>
      <c r="AF150" s="937"/>
      <c r="AG150" s="937"/>
      <c r="AH150" s="937"/>
      <c r="AI150" s="937"/>
      <c r="AJ150" s="937"/>
      <c r="AK150" s="937"/>
      <c r="AL150" s="937"/>
      <c r="AM150" s="937"/>
      <c r="AN150" s="937"/>
      <c r="AO150" s="937"/>
      <c r="AP150" s="937"/>
      <c r="AQ150" s="937"/>
      <c r="AR150" s="937"/>
      <c r="AS150" s="937"/>
      <c r="AT150" s="937"/>
      <c r="AU150" s="937"/>
      <c r="AV150" s="937"/>
      <c r="AW150" s="937"/>
      <c r="AX150" s="937"/>
      <c r="AY150" s="937"/>
      <c r="AZ150" s="937"/>
      <c r="BA150" s="937"/>
      <c r="BB150" s="937"/>
      <c r="BC150" s="937"/>
      <c r="BD150" s="937"/>
      <c r="BE150" s="937"/>
      <c r="BF150" s="937"/>
      <c r="BG150" s="937"/>
      <c r="BH150" s="937"/>
      <c r="BI150" s="937"/>
      <c r="BJ150" s="937"/>
      <c r="BK150" s="937"/>
      <c r="BL150" s="937"/>
      <c r="BM150" s="937"/>
      <c r="BN150" s="937"/>
      <c r="BO150" s="937"/>
      <c r="BP150" s="937"/>
      <c r="BQ150" s="937"/>
      <c r="BR150" s="937"/>
      <c r="BS150" s="937"/>
      <c r="BT150" s="937"/>
      <c r="BU150" s="937"/>
      <c r="BV150" s="937"/>
      <c r="BW150" s="937"/>
      <c r="BX150" s="937"/>
      <c r="BY150" s="937"/>
      <c r="BZ150" s="937"/>
      <c r="CA150" s="937"/>
      <c r="CB150" s="937"/>
      <c r="CC150" s="937"/>
      <c r="CD150" s="937"/>
      <c r="CE150" s="937"/>
      <c r="CF150" s="937"/>
      <c r="CG150" s="937"/>
      <c r="CH150" s="937"/>
      <c r="CI150" s="937"/>
      <c r="CJ150" s="937"/>
      <c r="CK150" s="937"/>
      <c r="CL150" s="937"/>
      <c r="CM150" s="937"/>
      <c r="CN150" s="937"/>
      <c r="CO150" s="937"/>
    </row>
    <row r="151" spans="17:93" s="918" customFormat="1" x14ac:dyDescent="0.35">
      <c r="Q151" s="937"/>
      <c r="R151" s="937"/>
      <c r="S151" s="937"/>
      <c r="T151" s="937"/>
      <c r="U151" s="937"/>
      <c r="V151" s="937"/>
      <c r="W151" s="937"/>
      <c r="X151" s="937"/>
      <c r="Y151" s="937"/>
      <c r="Z151" s="937"/>
      <c r="AA151" s="937"/>
      <c r="AB151" s="937"/>
      <c r="AC151" s="963"/>
      <c r="AD151" s="963"/>
      <c r="AE151" s="963"/>
      <c r="AF151" s="937"/>
      <c r="AG151" s="937"/>
      <c r="AH151" s="937"/>
      <c r="AI151" s="937"/>
      <c r="AJ151" s="937"/>
      <c r="AK151" s="937"/>
      <c r="AL151" s="937"/>
      <c r="AM151" s="937"/>
      <c r="AN151" s="937"/>
      <c r="AO151" s="937"/>
      <c r="AP151" s="937"/>
      <c r="AQ151" s="937"/>
      <c r="AR151" s="937"/>
      <c r="AS151" s="937"/>
      <c r="AT151" s="937"/>
      <c r="AU151" s="937"/>
      <c r="AV151" s="937"/>
      <c r="AW151" s="937"/>
      <c r="AX151" s="937"/>
      <c r="AY151" s="937"/>
      <c r="AZ151" s="937"/>
      <c r="BA151" s="937"/>
      <c r="BB151" s="937"/>
      <c r="BC151" s="937"/>
      <c r="BD151" s="937"/>
      <c r="BE151" s="937"/>
      <c r="BF151" s="937"/>
      <c r="BG151" s="937"/>
      <c r="BH151" s="937"/>
      <c r="BI151" s="937"/>
      <c r="BJ151" s="937"/>
      <c r="BK151" s="937"/>
      <c r="BL151" s="937"/>
      <c r="BM151" s="937"/>
      <c r="BN151" s="937"/>
      <c r="BO151" s="937"/>
      <c r="BP151" s="937"/>
      <c r="BQ151" s="937"/>
      <c r="BR151" s="937"/>
      <c r="BS151" s="937"/>
      <c r="BT151" s="937"/>
      <c r="BU151" s="937"/>
      <c r="BV151" s="937"/>
      <c r="BW151" s="937"/>
      <c r="BX151" s="937"/>
      <c r="BY151" s="937"/>
      <c r="BZ151" s="937"/>
      <c r="CA151" s="937"/>
      <c r="CB151" s="937"/>
      <c r="CC151" s="937"/>
      <c r="CD151" s="937"/>
      <c r="CE151" s="937"/>
      <c r="CF151" s="937"/>
      <c r="CG151" s="937"/>
      <c r="CH151" s="937"/>
      <c r="CI151" s="937"/>
      <c r="CJ151" s="937"/>
      <c r="CK151" s="937"/>
      <c r="CL151" s="937"/>
      <c r="CM151" s="937"/>
      <c r="CN151" s="937"/>
      <c r="CO151" s="937"/>
    </row>
    <row r="152" spans="17:93" s="918" customFormat="1" x14ac:dyDescent="0.35">
      <c r="Q152" s="937"/>
      <c r="R152" s="937"/>
      <c r="S152" s="937"/>
      <c r="T152" s="937"/>
      <c r="U152" s="937"/>
      <c r="V152" s="937"/>
      <c r="W152" s="937"/>
      <c r="X152" s="937"/>
      <c r="Y152" s="937"/>
      <c r="Z152" s="937"/>
      <c r="AA152" s="937"/>
      <c r="AB152" s="937"/>
      <c r="AC152" s="963"/>
      <c r="AD152" s="963"/>
      <c r="AE152" s="963"/>
      <c r="AF152" s="937"/>
      <c r="AG152" s="937"/>
      <c r="AH152" s="937"/>
      <c r="AI152" s="937"/>
      <c r="AJ152" s="937"/>
      <c r="AK152" s="937"/>
      <c r="AL152" s="937"/>
      <c r="AM152" s="937"/>
      <c r="AN152" s="937"/>
      <c r="AO152" s="937"/>
      <c r="AP152" s="937"/>
      <c r="AQ152" s="937"/>
      <c r="AR152" s="937"/>
      <c r="AS152" s="937"/>
      <c r="AT152" s="937"/>
      <c r="AU152" s="937"/>
      <c r="AV152" s="937"/>
      <c r="AW152" s="937"/>
      <c r="AX152" s="937"/>
      <c r="AY152" s="937"/>
      <c r="AZ152" s="937"/>
      <c r="BA152" s="937"/>
      <c r="BB152" s="937"/>
      <c r="BC152" s="937"/>
      <c r="BD152" s="937"/>
      <c r="BE152" s="937"/>
      <c r="BF152" s="937"/>
      <c r="BG152" s="937"/>
      <c r="BH152" s="937"/>
      <c r="BI152" s="937"/>
      <c r="BJ152" s="937"/>
      <c r="BK152" s="937"/>
      <c r="BL152" s="937"/>
      <c r="BM152" s="937"/>
      <c r="BN152" s="937"/>
      <c r="BO152" s="937"/>
      <c r="BP152" s="937"/>
      <c r="BQ152" s="937"/>
      <c r="BR152" s="937"/>
      <c r="BS152" s="937"/>
      <c r="BT152" s="937"/>
      <c r="BU152" s="937"/>
      <c r="BV152" s="937"/>
      <c r="BW152" s="937"/>
      <c r="BX152" s="937"/>
      <c r="BY152" s="937"/>
      <c r="BZ152" s="937"/>
      <c r="CA152" s="937"/>
      <c r="CB152" s="937"/>
      <c r="CC152" s="937"/>
      <c r="CD152" s="937"/>
      <c r="CE152" s="937"/>
      <c r="CF152" s="937"/>
      <c r="CG152" s="937"/>
      <c r="CH152" s="937"/>
      <c r="CI152" s="937"/>
      <c r="CJ152" s="937"/>
      <c r="CK152" s="937"/>
      <c r="CL152" s="937"/>
      <c r="CM152" s="937"/>
      <c r="CN152" s="937"/>
      <c r="CO152" s="937"/>
    </row>
    <row r="153" spans="17:93" s="918" customFormat="1" x14ac:dyDescent="0.35">
      <c r="Q153" s="937"/>
      <c r="R153" s="937"/>
      <c r="S153" s="937"/>
      <c r="T153" s="937"/>
      <c r="U153" s="937"/>
      <c r="V153" s="937"/>
      <c r="W153" s="937"/>
      <c r="X153" s="937"/>
      <c r="Y153" s="937"/>
      <c r="Z153" s="937"/>
      <c r="AA153" s="937"/>
      <c r="AB153" s="937"/>
      <c r="AC153" s="963"/>
      <c r="AD153" s="963"/>
      <c r="AE153" s="963"/>
      <c r="AF153" s="937"/>
      <c r="AG153" s="937"/>
      <c r="AH153" s="937"/>
      <c r="AI153" s="937"/>
      <c r="AJ153" s="937"/>
      <c r="AK153" s="937"/>
      <c r="AL153" s="937"/>
      <c r="AM153" s="937"/>
      <c r="AN153" s="937"/>
      <c r="AO153" s="937"/>
      <c r="AP153" s="937"/>
      <c r="AQ153" s="937"/>
      <c r="AR153" s="937"/>
      <c r="AS153" s="937"/>
      <c r="AT153" s="937"/>
      <c r="AU153" s="937"/>
      <c r="AV153" s="937"/>
      <c r="AW153" s="937"/>
      <c r="AX153" s="937"/>
      <c r="AY153" s="937"/>
      <c r="AZ153" s="937"/>
      <c r="BA153" s="937"/>
      <c r="BB153" s="937"/>
      <c r="BC153" s="937"/>
      <c r="BD153" s="937"/>
      <c r="BE153" s="937"/>
      <c r="BF153" s="937"/>
      <c r="BG153" s="937"/>
      <c r="BH153" s="937"/>
      <c r="BI153" s="937"/>
      <c r="BJ153" s="937"/>
      <c r="BK153" s="937"/>
      <c r="BL153" s="937"/>
      <c r="BM153" s="937"/>
      <c r="BN153" s="937"/>
      <c r="BO153" s="937"/>
      <c r="BP153" s="937"/>
      <c r="BQ153" s="937"/>
      <c r="BR153" s="937"/>
      <c r="BS153" s="937"/>
      <c r="BT153" s="937"/>
      <c r="BU153" s="937"/>
      <c r="BV153" s="937"/>
      <c r="BW153" s="937"/>
      <c r="BX153" s="937"/>
      <c r="BY153" s="937"/>
      <c r="BZ153" s="937"/>
      <c r="CA153" s="937"/>
      <c r="CB153" s="937"/>
      <c r="CC153" s="937"/>
      <c r="CD153" s="937"/>
      <c r="CE153" s="937"/>
      <c r="CF153" s="937"/>
      <c r="CG153" s="937"/>
      <c r="CH153" s="937"/>
      <c r="CI153" s="937"/>
      <c r="CJ153" s="937"/>
      <c r="CK153" s="937"/>
      <c r="CL153" s="937"/>
      <c r="CM153" s="937"/>
      <c r="CN153" s="937"/>
      <c r="CO153" s="937"/>
    </row>
    <row r="154" spans="17:93" s="918" customFormat="1" x14ac:dyDescent="0.35">
      <c r="Q154" s="937"/>
      <c r="R154" s="937"/>
      <c r="S154" s="937"/>
      <c r="T154" s="937"/>
      <c r="U154" s="937"/>
      <c r="V154" s="937"/>
      <c r="W154" s="937"/>
      <c r="X154" s="937"/>
      <c r="Y154" s="937"/>
      <c r="Z154" s="937"/>
      <c r="AA154" s="937"/>
      <c r="AB154" s="937"/>
      <c r="AC154" s="963"/>
      <c r="AD154" s="963"/>
      <c r="AE154" s="963"/>
      <c r="AF154" s="937"/>
      <c r="AG154" s="937"/>
      <c r="AH154" s="937"/>
      <c r="AI154" s="937"/>
      <c r="AJ154" s="937"/>
      <c r="AK154" s="937"/>
      <c r="AL154" s="937"/>
      <c r="AM154" s="937"/>
      <c r="AN154" s="937"/>
      <c r="AO154" s="937"/>
      <c r="AP154" s="937"/>
      <c r="AQ154" s="937"/>
      <c r="AR154" s="937"/>
      <c r="AS154" s="937"/>
      <c r="AT154" s="937"/>
      <c r="AU154" s="937"/>
      <c r="AV154" s="937"/>
      <c r="AW154" s="937"/>
      <c r="AX154" s="937"/>
      <c r="AY154" s="937"/>
      <c r="AZ154" s="937"/>
      <c r="BA154" s="937"/>
      <c r="BB154" s="937"/>
      <c r="BC154" s="937"/>
      <c r="BD154" s="937"/>
      <c r="BE154" s="937"/>
      <c r="BF154" s="937"/>
      <c r="BG154" s="937"/>
      <c r="BH154" s="937"/>
      <c r="BI154" s="937"/>
      <c r="BJ154" s="937"/>
      <c r="BK154" s="937"/>
      <c r="BL154" s="937"/>
      <c r="BM154" s="937"/>
      <c r="BN154" s="937"/>
      <c r="BO154" s="937"/>
      <c r="BP154" s="937"/>
      <c r="BQ154" s="937"/>
      <c r="BR154" s="937"/>
      <c r="BS154" s="937"/>
      <c r="BT154" s="937"/>
      <c r="BU154" s="937"/>
      <c r="BV154" s="937"/>
      <c r="BW154" s="937"/>
      <c r="BX154" s="937"/>
      <c r="BY154" s="937"/>
      <c r="BZ154" s="937"/>
      <c r="CA154" s="937"/>
      <c r="CB154" s="937"/>
      <c r="CC154" s="937"/>
      <c r="CD154" s="937"/>
      <c r="CE154" s="937"/>
      <c r="CF154" s="937"/>
      <c r="CG154" s="937"/>
      <c r="CH154" s="937"/>
      <c r="CI154" s="937"/>
      <c r="CJ154" s="937"/>
      <c r="CK154" s="937"/>
      <c r="CL154" s="937"/>
      <c r="CM154" s="937"/>
      <c r="CN154" s="937"/>
      <c r="CO154" s="937"/>
    </row>
    <row r="155" spans="17:93" s="918" customFormat="1" x14ac:dyDescent="0.35">
      <c r="Q155" s="937"/>
      <c r="R155" s="937"/>
      <c r="S155" s="937"/>
      <c r="T155" s="937"/>
      <c r="U155" s="937"/>
      <c r="V155" s="937"/>
      <c r="W155" s="937"/>
      <c r="X155" s="937"/>
      <c r="Y155" s="937"/>
      <c r="Z155" s="937"/>
      <c r="AA155" s="937"/>
      <c r="AB155" s="937"/>
      <c r="AC155" s="963"/>
      <c r="AD155" s="963"/>
      <c r="AE155" s="963"/>
      <c r="AF155" s="937"/>
      <c r="AG155" s="937"/>
      <c r="AH155" s="937"/>
      <c r="AI155" s="937"/>
      <c r="AJ155" s="937"/>
      <c r="AK155" s="937"/>
      <c r="AL155" s="937"/>
      <c r="AM155" s="937"/>
      <c r="AN155" s="937"/>
      <c r="AO155" s="937"/>
      <c r="AP155" s="937"/>
      <c r="AQ155" s="937"/>
      <c r="AR155" s="937"/>
      <c r="AS155" s="937"/>
      <c r="AT155" s="937"/>
      <c r="AU155" s="937"/>
      <c r="AV155" s="937"/>
      <c r="AW155" s="937"/>
      <c r="AX155" s="937"/>
      <c r="AY155" s="937"/>
      <c r="AZ155" s="937"/>
      <c r="BA155" s="937"/>
      <c r="BB155" s="937"/>
      <c r="BC155" s="937"/>
      <c r="BD155" s="937"/>
      <c r="BE155" s="937"/>
      <c r="BF155" s="937"/>
      <c r="BG155" s="937"/>
      <c r="BH155" s="937"/>
      <c r="BI155" s="937"/>
      <c r="BJ155" s="937"/>
      <c r="BK155" s="937"/>
      <c r="BL155" s="937"/>
      <c r="BM155" s="937"/>
      <c r="BN155" s="937"/>
      <c r="BO155" s="937"/>
      <c r="BP155" s="937"/>
      <c r="BQ155" s="937"/>
      <c r="BR155" s="937"/>
      <c r="BS155" s="937"/>
      <c r="BT155" s="937"/>
      <c r="BU155" s="937"/>
      <c r="BV155" s="937"/>
      <c r="BW155" s="937"/>
      <c r="BX155" s="937"/>
      <c r="BY155" s="937"/>
      <c r="BZ155" s="937"/>
      <c r="CA155" s="937"/>
      <c r="CB155" s="937"/>
      <c r="CC155" s="937"/>
      <c r="CD155" s="937"/>
      <c r="CE155" s="937"/>
      <c r="CF155" s="937"/>
      <c r="CG155" s="937"/>
      <c r="CH155" s="937"/>
      <c r="CI155" s="937"/>
      <c r="CJ155" s="937"/>
      <c r="CK155" s="937"/>
      <c r="CL155" s="937"/>
      <c r="CM155" s="937"/>
      <c r="CN155" s="937"/>
      <c r="CO155" s="937"/>
    </row>
    <row r="156" spans="17:93" s="918" customFormat="1" x14ac:dyDescent="0.35">
      <c r="Q156" s="937"/>
      <c r="R156" s="937"/>
      <c r="S156" s="937"/>
      <c r="T156" s="937"/>
      <c r="U156" s="937"/>
      <c r="V156" s="937"/>
      <c r="W156" s="937"/>
      <c r="X156" s="937"/>
      <c r="Y156" s="937"/>
      <c r="Z156" s="937"/>
      <c r="AA156" s="937"/>
      <c r="AB156" s="937"/>
      <c r="AC156" s="963"/>
      <c r="AD156" s="963"/>
      <c r="AE156" s="963"/>
      <c r="AF156" s="937"/>
      <c r="AG156" s="937"/>
      <c r="AH156" s="937"/>
      <c r="AI156" s="937"/>
      <c r="AJ156" s="937"/>
      <c r="AK156" s="937"/>
      <c r="AL156" s="937"/>
      <c r="AM156" s="937"/>
      <c r="AN156" s="937"/>
      <c r="AO156" s="937"/>
      <c r="AP156" s="937"/>
      <c r="AQ156" s="937"/>
      <c r="AR156" s="937"/>
      <c r="AS156" s="937"/>
      <c r="AT156" s="937"/>
      <c r="AU156" s="937"/>
      <c r="AV156" s="937"/>
      <c r="AW156" s="937"/>
      <c r="AX156" s="937"/>
      <c r="AY156" s="937"/>
      <c r="AZ156" s="937"/>
      <c r="BA156" s="937"/>
      <c r="BB156" s="937"/>
      <c r="BC156" s="937"/>
      <c r="BD156" s="937"/>
      <c r="BE156" s="937"/>
      <c r="BF156" s="937"/>
      <c r="BG156" s="937"/>
      <c r="BH156" s="937"/>
      <c r="BI156" s="937"/>
      <c r="BJ156" s="937"/>
      <c r="BK156" s="937"/>
      <c r="BL156" s="937"/>
      <c r="BM156" s="937"/>
      <c r="BN156" s="937"/>
      <c r="BO156" s="937"/>
      <c r="BP156" s="937"/>
      <c r="BQ156" s="937"/>
      <c r="BR156" s="937"/>
      <c r="BS156" s="937"/>
      <c r="BT156" s="937"/>
      <c r="BU156" s="937"/>
      <c r="BV156" s="937"/>
      <c r="BW156" s="937"/>
      <c r="BX156" s="937"/>
      <c r="BY156" s="937"/>
      <c r="BZ156" s="937"/>
      <c r="CA156" s="937"/>
      <c r="CB156" s="937"/>
      <c r="CC156" s="937"/>
      <c r="CD156" s="937"/>
      <c r="CE156" s="937"/>
      <c r="CF156" s="937"/>
      <c r="CG156" s="937"/>
      <c r="CH156" s="937"/>
      <c r="CI156" s="937"/>
      <c r="CJ156" s="937"/>
      <c r="CK156" s="937"/>
      <c r="CL156" s="937"/>
      <c r="CM156" s="937"/>
      <c r="CN156" s="937"/>
      <c r="CO156" s="937"/>
    </row>
    <row r="157" spans="17:93" s="918" customFormat="1" x14ac:dyDescent="0.35">
      <c r="Q157" s="937"/>
      <c r="R157" s="937"/>
      <c r="S157" s="937"/>
      <c r="T157" s="937"/>
      <c r="U157" s="937"/>
      <c r="V157" s="937"/>
      <c r="W157" s="937"/>
      <c r="X157" s="937"/>
      <c r="Y157" s="937"/>
      <c r="Z157" s="937"/>
      <c r="AA157" s="937"/>
      <c r="AB157" s="937"/>
      <c r="AC157" s="963"/>
      <c r="AD157" s="963"/>
      <c r="AE157" s="963"/>
      <c r="AF157" s="937"/>
      <c r="AG157" s="937"/>
      <c r="AH157" s="937"/>
      <c r="AI157" s="937"/>
      <c r="AJ157" s="937"/>
      <c r="AK157" s="937"/>
      <c r="AL157" s="937"/>
      <c r="AM157" s="937"/>
      <c r="AN157" s="937"/>
      <c r="AO157" s="937"/>
      <c r="AP157" s="937"/>
      <c r="AQ157" s="937"/>
      <c r="AR157" s="937"/>
      <c r="AS157" s="937"/>
      <c r="AT157" s="937"/>
      <c r="AU157" s="937"/>
      <c r="AV157" s="937"/>
      <c r="AW157" s="937"/>
      <c r="AX157" s="937"/>
      <c r="AY157" s="937"/>
      <c r="AZ157" s="937"/>
      <c r="BA157" s="937"/>
      <c r="BB157" s="937"/>
      <c r="BC157" s="937"/>
      <c r="BD157" s="937"/>
      <c r="BE157" s="937"/>
      <c r="BF157" s="937"/>
      <c r="BG157" s="937"/>
      <c r="BH157" s="937"/>
      <c r="BI157" s="937"/>
      <c r="BJ157" s="937"/>
      <c r="BK157" s="937"/>
      <c r="BL157" s="937"/>
      <c r="BM157" s="937"/>
      <c r="BN157" s="937"/>
      <c r="BO157" s="937"/>
      <c r="BP157" s="937"/>
      <c r="BQ157" s="937"/>
      <c r="BR157" s="937"/>
      <c r="BS157" s="937"/>
      <c r="BT157" s="937"/>
      <c r="BU157" s="937"/>
      <c r="BV157" s="937"/>
      <c r="BW157" s="937"/>
      <c r="BX157" s="937"/>
      <c r="BY157" s="937"/>
      <c r="BZ157" s="937"/>
      <c r="CA157" s="937"/>
      <c r="CB157" s="937"/>
      <c r="CC157" s="937"/>
      <c r="CD157" s="937"/>
      <c r="CE157" s="937"/>
      <c r="CF157" s="937"/>
      <c r="CG157" s="937"/>
      <c r="CH157" s="937"/>
      <c r="CI157" s="937"/>
      <c r="CJ157" s="937"/>
      <c r="CK157" s="937"/>
      <c r="CL157" s="937"/>
      <c r="CM157" s="937"/>
      <c r="CN157" s="937"/>
      <c r="CO157" s="937"/>
    </row>
    <row r="158" spans="17:93" s="918" customFormat="1" x14ac:dyDescent="0.35">
      <c r="Q158" s="937"/>
      <c r="R158" s="937"/>
      <c r="S158" s="937"/>
      <c r="T158" s="937"/>
      <c r="U158" s="937"/>
      <c r="V158" s="937"/>
      <c r="W158" s="937"/>
      <c r="X158" s="937"/>
      <c r="Y158" s="937"/>
      <c r="Z158" s="937"/>
      <c r="AA158" s="937"/>
      <c r="AB158" s="937"/>
      <c r="AC158" s="963"/>
      <c r="AD158" s="963"/>
      <c r="AE158" s="963"/>
      <c r="AF158" s="937"/>
      <c r="AG158" s="937"/>
      <c r="AH158" s="937"/>
      <c r="AI158" s="937"/>
      <c r="AJ158" s="937"/>
      <c r="AK158" s="937"/>
      <c r="AL158" s="937"/>
      <c r="AM158" s="937"/>
      <c r="AN158" s="937"/>
      <c r="AO158" s="937"/>
      <c r="AP158" s="937"/>
      <c r="AQ158" s="937"/>
      <c r="AR158" s="937"/>
      <c r="AS158" s="937"/>
      <c r="AT158" s="937"/>
      <c r="AU158" s="937"/>
      <c r="AV158" s="937"/>
      <c r="AW158" s="937"/>
      <c r="AX158" s="937"/>
      <c r="AY158" s="937"/>
      <c r="AZ158" s="937"/>
      <c r="BA158" s="937"/>
      <c r="BB158" s="937"/>
      <c r="BC158" s="937"/>
      <c r="BD158" s="937"/>
      <c r="BE158" s="937"/>
      <c r="BF158" s="937"/>
      <c r="BG158" s="937"/>
      <c r="BH158" s="937"/>
      <c r="BI158" s="937"/>
      <c r="BJ158" s="937"/>
      <c r="BK158" s="937"/>
      <c r="BL158" s="937"/>
      <c r="BM158" s="937"/>
      <c r="BN158" s="937"/>
      <c r="BO158" s="937"/>
      <c r="BP158" s="937"/>
      <c r="BQ158" s="937"/>
      <c r="BR158" s="937"/>
      <c r="BS158" s="937"/>
      <c r="BT158" s="937"/>
      <c r="BU158" s="937"/>
      <c r="BV158" s="937"/>
      <c r="BW158" s="937"/>
      <c r="BX158" s="937"/>
      <c r="BY158" s="937"/>
      <c r="BZ158" s="937"/>
      <c r="CA158" s="937"/>
      <c r="CB158" s="937"/>
      <c r="CC158" s="937"/>
      <c r="CD158" s="937"/>
      <c r="CE158" s="937"/>
      <c r="CF158" s="937"/>
      <c r="CG158" s="937"/>
      <c r="CH158" s="937"/>
      <c r="CI158" s="937"/>
      <c r="CJ158" s="937"/>
      <c r="CK158" s="937"/>
      <c r="CL158" s="937"/>
      <c r="CM158" s="937"/>
      <c r="CN158" s="937"/>
      <c r="CO158" s="937"/>
    </row>
    <row r="159" spans="17:93" s="918" customFormat="1" x14ac:dyDescent="0.35">
      <c r="Q159" s="937"/>
      <c r="R159" s="937"/>
      <c r="S159" s="937"/>
      <c r="T159" s="937"/>
      <c r="U159" s="937"/>
      <c r="V159" s="937"/>
      <c r="W159" s="937"/>
      <c r="X159" s="937"/>
      <c r="Y159" s="937"/>
      <c r="Z159" s="937"/>
      <c r="AA159" s="937"/>
      <c r="AB159" s="937"/>
      <c r="AC159" s="963"/>
      <c r="AD159" s="963"/>
      <c r="AE159" s="963"/>
      <c r="AF159" s="937"/>
      <c r="AG159" s="937"/>
      <c r="AH159" s="937"/>
      <c r="AI159" s="937"/>
      <c r="AJ159" s="937"/>
      <c r="AK159" s="937"/>
      <c r="AL159" s="937"/>
      <c r="AM159" s="937"/>
      <c r="AN159" s="937"/>
      <c r="AO159" s="937"/>
      <c r="AP159" s="937"/>
      <c r="AQ159" s="937"/>
      <c r="AR159" s="937"/>
      <c r="AS159" s="937"/>
      <c r="AT159" s="937"/>
      <c r="AU159" s="937"/>
      <c r="AV159" s="937"/>
      <c r="AW159" s="937"/>
      <c r="AX159" s="937"/>
      <c r="AY159" s="937"/>
      <c r="AZ159" s="937"/>
      <c r="BA159" s="937"/>
      <c r="BB159" s="937"/>
      <c r="BC159" s="937"/>
      <c r="BD159" s="937"/>
      <c r="BE159" s="937"/>
      <c r="BF159" s="937"/>
      <c r="BG159" s="937"/>
      <c r="BH159" s="937"/>
      <c r="BI159" s="937"/>
      <c r="BJ159" s="937"/>
      <c r="BK159" s="937"/>
      <c r="BL159" s="937"/>
      <c r="BM159" s="937"/>
      <c r="BN159" s="937"/>
      <c r="BO159" s="937"/>
      <c r="BP159" s="937"/>
      <c r="BQ159" s="937"/>
      <c r="BR159" s="937"/>
      <c r="BS159" s="937"/>
      <c r="BT159" s="937"/>
      <c r="BU159" s="937"/>
      <c r="BV159" s="937"/>
      <c r="BW159" s="937"/>
      <c r="BX159" s="937"/>
      <c r="BY159" s="937"/>
      <c r="BZ159" s="937"/>
      <c r="CA159" s="937"/>
      <c r="CB159" s="937"/>
      <c r="CC159" s="937"/>
      <c r="CD159" s="937"/>
      <c r="CE159" s="937"/>
      <c r="CF159" s="937"/>
      <c r="CG159" s="937"/>
      <c r="CH159" s="937"/>
      <c r="CI159" s="937"/>
      <c r="CJ159" s="937"/>
      <c r="CK159" s="937"/>
      <c r="CL159" s="937"/>
      <c r="CM159" s="937"/>
      <c r="CN159" s="937"/>
      <c r="CO159" s="937"/>
    </row>
    <row r="160" spans="17:93" s="918" customFormat="1" x14ac:dyDescent="0.35">
      <c r="Q160" s="937"/>
      <c r="R160" s="937"/>
      <c r="S160" s="937"/>
      <c r="T160" s="937"/>
      <c r="U160" s="937"/>
      <c r="V160" s="937"/>
      <c r="W160" s="937"/>
      <c r="X160" s="937"/>
      <c r="Y160" s="937"/>
      <c r="Z160" s="937"/>
      <c r="AA160" s="937"/>
      <c r="AB160" s="937"/>
      <c r="AC160" s="963"/>
      <c r="AD160" s="963"/>
      <c r="AE160" s="963"/>
      <c r="AF160" s="937"/>
      <c r="AG160" s="937"/>
      <c r="AH160" s="937"/>
      <c r="AI160" s="937"/>
      <c r="AJ160" s="937"/>
      <c r="AK160" s="937"/>
      <c r="AL160" s="937"/>
      <c r="AM160" s="937"/>
      <c r="AN160" s="937"/>
      <c r="AO160" s="937"/>
      <c r="AP160" s="937"/>
      <c r="AQ160" s="937"/>
      <c r="AR160" s="937"/>
      <c r="AS160" s="937"/>
      <c r="AT160" s="937"/>
      <c r="AU160" s="937"/>
      <c r="AV160" s="937"/>
      <c r="AW160" s="937"/>
      <c r="AX160" s="937"/>
      <c r="AY160" s="937"/>
      <c r="AZ160" s="937"/>
      <c r="BA160" s="937"/>
      <c r="BB160" s="937"/>
      <c r="BC160" s="937"/>
      <c r="BD160" s="937"/>
      <c r="BE160" s="937"/>
      <c r="BF160" s="937"/>
      <c r="BG160" s="937"/>
      <c r="BH160" s="937"/>
      <c r="BI160" s="937"/>
      <c r="BJ160" s="937"/>
      <c r="BK160" s="937"/>
      <c r="BL160" s="937"/>
      <c r="BM160" s="937"/>
      <c r="BN160" s="937"/>
      <c r="BO160" s="937"/>
      <c r="BP160" s="937"/>
      <c r="BQ160" s="937"/>
      <c r="BR160" s="937"/>
      <c r="BS160" s="937"/>
      <c r="BT160" s="937"/>
      <c r="BU160" s="937"/>
      <c r="BV160" s="937"/>
      <c r="BW160" s="937"/>
      <c r="BX160" s="937"/>
      <c r="BY160" s="937"/>
      <c r="BZ160" s="937"/>
      <c r="CA160" s="937"/>
      <c r="CB160" s="937"/>
      <c r="CC160" s="937"/>
      <c r="CD160" s="937"/>
      <c r="CE160" s="937"/>
      <c r="CF160" s="937"/>
      <c r="CG160" s="937"/>
      <c r="CH160" s="937"/>
      <c r="CI160" s="937"/>
      <c r="CJ160" s="937"/>
      <c r="CK160" s="937"/>
      <c r="CL160" s="937"/>
      <c r="CM160" s="937"/>
      <c r="CN160" s="937"/>
      <c r="CO160" s="937"/>
    </row>
    <row r="161" spans="17:93" s="918" customFormat="1" x14ac:dyDescent="0.35">
      <c r="Q161" s="937"/>
      <c r="R161" s="937"/>
      <c r="S161" s="937"/>
      <c r="T161" s="937"/>
      <c r="U161" s="937"/>
      <c r="V161" s="937"/>
      <c r="W161" s="937"/>
      <c r="X161" s="937"/>
      <c r="Y161" s="937"/>
      <c r="Z161" s="937"/>
      <c r="AA161" s="937"/>
      <c r="AB161" s="937"/>
      <c r="AC161" s="963"/>
      <c r="AD161" s="963"/>
      <c r="AE161" s="963"/>
      <c r="AF161" s="937"/>
      <c r="AG161" s="937"/>
      <c r="AH161" s="937"/>
      <c r="AI161" s="937"/>
      <c r="AJ161" s="937"/>
      <c r="AK161" s="937"/>
      <c r="AL161" s="937"/>
      <c r="AM161" s="937"/>
      <c r="AN161" s="937"/>
      <c r="AO161" s="937"/>
      <c r="AP161" s="937"/>
      <c r="AQ161" s="937"/>
      <c r="AR161" s="937"/>
      <c r="AS161" s="937"/>
      <c r="AT161" s="937"/>
      <c r="AU161" s="937"/>
      <c r="AV161" s="937"/>
      <c r="AW161" s="937"/>
      <c r="AX161" s="937"/>
      <c r="AY161" s="937"/>
      <c r="AZ161" s="937"/>
      <c r="BA161" s="937"/>
      <c r="BB161" s="937"/>
      <c r="BC161" s="937"/>
      <c r="BD161" s="937"/>
      <c r="BE161" s="937"/>
      <c r="BF161" s="937"/>
      <c r="BG161" s="937"/>
      <c r="BH161" s="937"/>
      <c r="BI161" s="937"/>
      <c r="BJ161" s="937"/>
      <c r="BK161" s="937"/>
      <c r="BL161" s="937"/>
      <c r="BM161" s="937"/>
      <c r="BN161" s="937"/>
      <c r="BO161" s="937"/>
      <c r="BP161" s="937"/>
      <c r="BQ161" s="937"/>
      <c r="BR161" s="937"/>
      <c r="BS161" s="937"/>
      <c r="BT161" s="937"/>
      <c r="BU161" s="937"/>
      <c r="BV161" s="937"/>
      <c r="BW161" s="937"/>
      <c r="BX161" s="937"/>
      <c r="BY161" s="937"/>
      <c r="BZ161" s="937"/>
      <c r="CA161" s="937"/>
      <c r="CB161" s="937"/>
      <c r="CC161" s="937"/>
      <c r="CD161" s="937"/>
      <c r="CE161" s="937"/>
      <c r="CF161" s="937"/>
      <c r="CG161" s="937"/>
      <c r="CH161" s="937"/>
      <c r="CI161" s="937"/>
      <c r="CJ161" s="937"/>
      <c r="CK161" s="937"/>
      <c r="CL161" s="937"/>
      <c r="CM161" s="937"/>
      <c r="CN161" s="937"/>
      <c r="CO161" s="937"/>
    </row>
    <row r="162" spans="17:93" s="918" customFormat="1" x14ac:dyDescent="0.35">
      <c r="Q162" s="937"/>
      <c r="R162" s="937"/>
      <c r="S162" s="937"/>
      <c r="T162" s="937"/>
      <c r="U162" s="937"/>
      <c r="V162" s="937"/>
      <c r="W162" s="937"/>
      <c r="X162" s="937"/>
      <c r="Y162" s="937"/>
      <c r="Z162" s="937"/>
      <c r="AA162" s="937"/>
      <c r="AB162" s="937"/>
      <c r="AC162" s="963"/>
      <c r="AD162" s="963"/>
      <c r="AE162" s="963"/>
      <c r="AF162" s="937"/>
      <c r="AG162" s="937"/>
      <c r="AH162" s="937"/>
      <c r="AI162" s="937"/>
      <c r="AJ162" s="937"/>
      <c r="AK162" s="937"/>
      <c r="AL162" s="937"/>
      <c r="AM162" s="937"/>
      <c r="AN162" s="937"/>
      <c r="AO162" s="937"/>
      <c r="AP162" s="937"/>
      <c r="AQ162" s="937"/>
      <c r="AR162" s="937"/>
      <c r="AS162" s="937"/>
      <c r="AT162" s="937"/>
      <c r="AU162" s="937"/>
      <c r="AV162" s="937"/>
      <c r="AW162" s="937"/>
      <c r="AX162" s="937"/>
      <c r="AY162" s="937"/>
      <c r="AZ162" s="937"/>
      <c r="BA162" s="937"/>
      <c r="BB162" s="937"/>
      <c r="BC162" s="937"/>
      <c r="BD162" s="937"/>
      <c r="BE162" s="937"/>
      <c r="BF162" s="937"/>
      <c r="BG162" s="937"/>
      <c r="BH162" s="937"/>
      <c r="BI162" s="937"/>
      <c r="BJ162" s="937"/>
      <c r="BK162" s="937"/>
      <c r="BL162" s="937"/>
      <c r="BM162" s="937"/>
      <c r="BN162" s="937"/>
      <c r="BO162" s="937"/>
      <c r="BP162" s="937"/>
      <c r="BQ162" s="937"/>
      <c r="BR162" s="937"/>
      <c r="BS162" s="937"/>
      <c r="BT162" s="937"/>
      <c r="BU162" s="937"/>
      <c r="BV162" s="937"/>
      <c r="BW162" s="937"/>
      <c r="BX162" s="937"/>
      <c r="BY162" s="937"/>
      <c r="BZ162" s="937"/>
      <c r="CA162" s="937"/>
      <c r="CB162" s="937"/>
      <c r="CC162" s="937"/>
      <c r="CD162" s="937"/>
      <c r="CE162" s="937"/>
      <c r="CF162" s="937"/>
      <c r="CG162" s="937"/>
      <c r="CH162" s="937"/>
      <c r="CI162" s="937"/>
      <c r="CJ162" s="937"/>
      <c r="CK162" s="937"/>
      <c r="CL162" s="937"/>
      <c r="CM162" s="937"/>
      <c r="CN162" s="937"/>
      <c r="CO162" s="937"/>
    </row>
    <row r="163" spans="17:93" s="918" customFormat="1" x14ac:dyDescent="0.35">
      <c r="Q163" s="937"/>
      <c r="R163" s="937"/>
      <c r="S163" s="937"/>
      <c r="T163" s="937"/>
      <c r="U163" s="937"/>
      <c r="V163" s="937"/>
      <c r="W163" s="937"/>
      <c r="X163" s="937"/>
      <c r="Y163" s="937"/>
      <c r="Z163" s="937"/>
      <c r="AA163" s="937"/>
      <c r="AB163" s="937"/>
      <c r="AC163" s="963"/>
      <c r="AD163" s="963"/>
      <c r="AE163" s="963"/>
      <c r="AF163" s="937"/>
      <c r="AG163" s="937"/>
      <c r="AH163" s="937"/>
      <c r="AI163" s="937"/>
      <c r="AJ163" s="937"/>
      <c r="AK163" s="937"/>
      <c r="AL163" s="937"/>
      <c r="AM163" s="937"/>
      <c r="AN163" s="937"/>
      <c r="AO163" s="937"/>
      <c r="AP163" s="937"/>
      <c r="AQ163" s="937"/>
      <c r="AR163" s="937"/>
      <c r="AS163" s="937"/>
      <c r="AT163" s="937"/>
      <c r="AU163" s="937"/>
      <c r="AV163" s="937"/>
      <c r="AW163" s="937"/>
      <c r="AX163" s="937"/>
      <c r="AY163" s="937"/>
      <c r="AZ163" s="937"/>
      <c r="BA163" s="937"/>
      <c r="BB163" s="937"/>
      <c r="BC163" s="937"/>
      <c r="BD163" s="937"/>
      <c r="BE163" s="937"/>
      <c r="BF163" s="937"/>
      <c r="BG163" s="937"/>
      <c r="BH163" s="937"/>
      <c r="BI163" s="937"/>
      <c r="BJ163" s="937"/>
      <c r="BK163" s="937"/>
      <c r="BL163" s="937"/>
      <c r="BM163" s="937"/>
      <c r="BN163" s="937"/>
      <c r="BO163" s="937"/>
      <c r="BP163" s="937"/>
      <c r="BQ163" s="937"/>
      <c r="BR163" s="937"/>
      <c r="BS163" s="937"/>
      <c r="BT163" s="937"/>
      <c r="BU163" s="937"/>
      <c r="BV163" s="937"/>
      <c r="BW163" s="937"/>
      <c r="BX163" s="937"/>
      <c r="BY163" s="937"/>
      <c r="BZ163" s="937"/>
      <c r="CA163" s="937"/>
      <c r="CB163" s="937"/>
      <c r="CC163" s="937"/>
      <c r="CD163" s="937"/>
      <c r="CE163" s="937"/>
      <c r="CF163" s="937"/>
      <c r="CG163" s="937"/>
      <c r="CH163" s="937"/>
      <c r="CI163" s="937"/>
      <c r="CJ163" s="937"/>
      <c r="CK163" s="937"/>
      <c r="CL163" s="937"/>
      <c r="CM163" s="937"/>
      <c r="CN163" s="937"/>
      <c r="CO163" s="937"/>
    </row>
    <row r="164" spans="17:93" s="918" customFormat="1" x14ac:dyDescent="0.35">
      <c r="Q164" s="937"/>
      <c r="R164" s="937"/>
      <c r="S164" s="937"/>
      <c r="T164" s="937"/>
      <c r="U164" s="937"/>
      <c r="V164" s="937"/>
      <c r="W164" s="937"/>
      <c r="X164" s="937"/>
      <c r="Y164" s="937"/>
      <c r="Z164" s="937"/>
      <c r="AA164" s="937"/>
      <c r="AB164" s="937"/>
      <c r="AC164" s="963"/>
      <c r="AD164" s="963"/>
      <c r="AE164" s="963"/>
      <c r="AF164" s="937"/>
      <c r="AG164" s="937"/>
      <c r="AH164" s="937"/>
      <c r="AI164" s="937"/>
      <c r="AJ164" s="937"/>
      <c r="AK164" s="937"/>
      <c r="AL164" s="937"/>
      <c r="AM164" s="937"/>
      <c r="AN164" s="937"/>
      <c r="AO164" s="937"/>
      <c r="AP164" s="937"/>
      <c r="AQ164" s="937"/>
      <c r="AR164" s="937"/>
      <c r="AS164" s="937"/>
      <c r="AT164" s="937"/>
      <c r="AU164" s="937"/>
      <c r="AV164" s="937"/>
      <c r="AW164" s="937"/>
      <c r="AX164" s="937"/>
      <c r="AY164" s="937"/>
      <c r="AZ164" s="937"/>
      <c r="BA164" s="937"/>
      <c r="BB164" s="937"/>
      <c r="BC164" s="937"/>
      <c r="BD164" s="937"/>
      <c r="BE164" s="937"/>
      <c r="BF164" s="937"/>
      <c r="BG164" s="937"/>
      <c r="BH164" s="937"/>
      <c r="BI164" s="937"/>
      <c r="BJ164" s="937"/>
      <c r="BK164" s="937"/>
      <c r="BL164" s="937"/>
      <c r="BM164" s="937"/>
      <c r="BN164" s="937"/>
      <c r="BO164" s="937"/>
      <c r="BP164" s="937"/>
      <c r="BQ164" s="937"/>
      <c r="BR164" s="937"/>
      <c r="BS164" s="937"/>
      <c r="BT164" s="937"/>
      <c r="BU164" s="937"/>
      <c r="BV164" s="937"/>
      <c r="BW164" s="937"/>
      <c r="BX164" s="937"/>
      <c r="BY164" s="937"/>
      <c r="BZ164" s="937"/>
      <c r="CA164" s="937"/>
      <c r="CB164" s="937"/>
      <c r="CC164" s="937"/>
      <c r="CD164" s="937"/>
      <c r="CE164" s="937"/>
      <c r="CF164" s="937"/>
      <c r="CG164" s="937"/>
      <c r="CH164" s="937"/>
      <c r="CI164" s="937"/>
      <c r="CJ164" s="937"/>
      <c r="CK164" s="937"/>
      <c r="CL164" s="937"/>
      <c r="CM164" s="937"/>
      <c r="CN164" s="937"/>
      <c r="CO164" s="937"/>
    </row>
    <row r="165" spans="17:93" s="918" customFormat="1" x14ac:dyDescent="0.35">
      <c r="Q165" s="937"/>
      <c r="R165" s="937"/>
      <c r="S165" s="937"/>
      <c r="T165" s="937"/>
      <c r="U165" s="937"/>
      <c r="V165" s="937"/>
      <c r="W165" s="937"/>
      <c r="X165" s="937"/>
      <c r="Y165" s="937"/>
      <c r="Z165" s="937"/>
      <c r="AA165" s="937"/>
      <c r="AB165" s="937"/>
      <c r="AC165" s="963"/>
      <c r="AD165" s="963"/>
      <c r="AE165" s="963"/>
      <c r="AF165" s="937"/>
      <c r="AG165" s="937"/>
      <c r="AH165" s="937"/>
      <c r="AI165" s="937"/>
      <c r="AJ165" s="937"/>
      <c r="AK165" s="937"/>
      <c r="AL165" s="937"/>
      <c r="AM165" s="937"/>
      <c r="AN165" s="937"/>
      <c r="AO165" s="937"/>
      <c r="AP165" s="937"/>
      <c r="AQ165" s="937"/>
      <c r="AR165" s="937"/>
      <c r="AS165" s="937"/>
      <c r="AT165" s="937"/>
      <c r="AU165" s="937"/>
      <c r="AV165" s="937"/>
      <c r="AW165" s="937"/>
      <c r="AX165" s="937"/>
      <c r="AY165" s="937"/>
      <c r="AZ165" s="937"/>
      <c r="BA165" s="937"/>
      <c r="BB165" s="937"/>
      <c r="BC165" s="937"/>
      <c r="BD165" s="937"/>
      <c r="BE165" s="937"/>
      <c r="BF165" s="937"/>
      <c r="BG165" s="937"/>
      <c r="BH165" s="937"/>
      <c r="BI165" s="937"/>
      <c r="BJ165" s="937"/>
      <c r="BK165" s="937"/>
      <c r="BL165" s="937"/>
      <c r="BM165" s="937"/>
      <c r="BN165" s="937"/>
      <c r="BO165" s="937"/>
      <c r="BP165" s="937"/>
      <c r="BQ165" s="937"/>
      <c r="BR165" s="937"/>
      <c r="BS165" s="937"/>
      <c r="BT165" s="937"/>
      <c r="BU165" s="937"/>
      <c r="BV165" s="937"/>
      <c r="BW165" s="937"/>
      <c r="BX165" s="937"/>
      <c r="BY165" s="937"/>
      <c r="BZ165" s="937"/>
      <c r="CA165" s="937"/>
      <c r="CB165" s="937"/>
      <c r="CC165" s="937"/>
      <c r="CD165" s="937"/>
      <c r="CE165" s="937"/>
      <c r="CF165" s="937"/>
      <c r="CG165" s="937"/>
      <c r="CH165" s="937"/>
      <c r="CI165" s="937"/>
      <c r="CJ165" s="937"/>
      <c r="CK165" s="937"/>
      <c r="CL165" s="937"/>
      <c r="CM165" s="937"/>
      <c r="CN165" s="937"/>
      <c r="CO165" s="937"/>
    </row>
    <row r="166" spans="17:93" s="918" customFormat="1" x14ac:dyDescent="0.35">
      <c r="Q166" s="937"/>
      <c r="R166" s="937"/>
      <c r="S166" s="937"/>
      <c r="T166" s="937"/>
      <c r="U166" s="937"/>
      <c r="V166" s="937"/>
      <c r="W166" s="937"/>
      <c r="X166" s="937"/>
      <c r="Y166" s="937"/>
      <c r="Z166" s="937"/>
      <c r="AA166" s="937"/>
      <c r="AB166" s="937"/>
      <c r="AC166" s="963"/>
      <c r="AD166" s="963"/>
      <c r="AE166" s="963"/>
      <c r="AF166" s="937"/>
      <c r="AG166" s="937"/>
      <c r="AH166" s="937"/>
      <c r="AI166" s="937"/>
      <c r="AJ166" s="937"/>
      <c r="AK166" s="937"/>
      <c r="AL166" s="937"/>
      <c r="AM166" s="937"/>
      <c r="AN166" s="937"/>
      <c r="AO166" s="937"/>
      <c r="AP166" s="937"/>
      <c r="AQ166" s="937"/>
      <c r="AR166" s="937"/>
      <c r="AS166" s="937"/>
      <c r="AT166" s="937"/>
      <c r="AU166" s="937"/>
      <c r="AV166" s="937"/>
      <c r="AW166" s="937"/>
      <c r="AX166" s="937"/>
      <c r="AY166" s="937"/>
      <c r="AZ166" s="937"/>
      <c r="BA166" s="937"/>
      <c r="BB166" s="937"/>
      <c r="BC166" s="937"/>
      <c r="BD166" s="937"/>
      <c r="BE166" s="937"/>
      <c r="BF166" s="937"/>
      <c r="BG166" s="937"/>
      <c r="BH166" s="937"/>
      <c r="BI166" s="937"/>
      <c r="BJ166" s="937"/>
      <c r="BK166" s="937"/>
      <c r="BL166" s="937"/>
      <c r="BM166" s="937"/>
      <c r="BN166" s="937"/>
      <c r="BO166" s="937"/>
      <c r="BP166" s="937"/>
      <c r="BQ166" s="937"/>
      <c r="BR166" s="937"/>
      <c r="BS166" s="937"/>
      <c r="BT166" s="937"/>
      <c r="BU166" s="937"/>
      <c r="BV166" s="937"/>
      <c r="BW166" s="937"/>
      <c r="BX166" s="937"/>
      <c r="BY166" s="937"/>
      <c r="BZ166" s="937"/>
      <c r="CA166" s="937"/>
      <c r="CB166" s="937"/>
      <c r="CC166" s="937"/>
      <c r="CD166" s="937"/>
      <c r="CE166" s="937"/>
      <c r="CF166" s="937"/>
      <c r="CG166" s="937"/>
      <c r="CH166" s="937"/>
      <c r="CI166" s="937"/>
      <c r="CJ166" s="937"/>
      <c r="CK166" s="937"/>
      <c r="CL166" s="937"/>
      <c r="CM166" s="937"/>
      <c r="CN166" s="937"/>
      <c r="CO166" s="937"/>
    </row>
    <row r="167" spans="17:93" s="918" customFormat="1" x14ac:dyDescent="0.35">
      <c r="Q167" s="937"/>
      <c r="R167" s="937"/>
      <c r="S167" s="937"/>
      <c r="T167" s="937"/>
      <c r="U167" s="937"/>
      <c r="V167" s="937"/>
      <c r="W167" s="937"/>
      <c r="X167" s="937"/>
      <c r="Y167" s="937"/>
      <c r="Z167" s="937"/>
      <c r="AA167" s="937"/>
      <c r="AB167" s="937"/>
      <c r="AC167" s="963"/>
      <c r="AD167" s="963"/>
      <c r="AE167" s="963"/>
      <c r="AF167" s="937"/>
      <c r="AG167" s="937"/>
      <c r="AH167" s="937"/>
      <c r="AI167" s="937"/>
      <c r="AJ167" s="937"/>
      <c r="AK167" s="937"/>
      <c r="AL167" s="937"/>
      <c r="AM167" s="937"/>
      <c r="AN167" s="937"/>
      <c r="AO167" s="937"/>
      <c r="AP167" s="937"/>
      <c r="AQ167" s="937"/>
      <c r="AR167" s="937"/>
      <c r="AS167" s="937"/>
      <c r="AT167" s="937"/>
      <c r="AU167" s="937"/>
      <c r="AV167" s="937"/>
      <c r="AW167" s="937"/>
      <c r="AX167" s="937"/>
      <c r="AY167" s="937"/>
      <c r="AZ167" s="937"/>
      <c r="BA167" s="937"/>
      <c r="BB167" s="937"/>
      <c r="BC167" s="937"/>
      <c r="BD167" s="937"/>
      <c r="BE167" s="937"/>
      <c r="BF167" s="937"/>
      <c r="BG167" s="937"/>
      <c r="BH167" s="937"/>
      <c r="BI167" s="937"/>
      <c r="BJ167" s="937"/>
      <c r="BK167" s="937"/>
      <c r="BL167" s="937"/>
      <c r="BM167" s="937"/>
      <c r="BN167" s="937"/>
      <c r="BO167" s="937"/>
      <c r="BP167" s="937"/>
      <c r="BQ167" s="937"/>
      <c r="BR167" s="937"/>
      <c r="BS167" s="937"/>
      <c r="BT167" s="937"/>
      <c r="BU167" s="937"/>
      <c r="BV167" s="937"/>
      <c r="BW167" s="937"/>
      <c r="BX167" s="937"/>
      <c r="BY167" s="937"/>
      <c r="BZ167" s="937"/>
      <c r="CA167" s="937"/>
      <c r="CB167" s="937"/>
      <c r="CC167" s="937"/>
      <c r="CD167" s="937"/>
      <c r="CE167" s="937"/>
      <c r="CF167" s="937"/>
      <c r="CG167" s="937"/>
      <c r="CH167" s="937"/>
      <c r="CI167" s="937"/>
      <c r="CJ167" s="937"/>
      <c r="CK167" s="937"/>
      <c r="CL167" s="937"/>
      <c r="CM167" s="937"/>
      <c r="CN167" s="937"/>
      <c r="CO167" s="937"/>
    </row>
    <row r="168" spans="17:93" s="918" customFormat="1" x14ac:dyDescent="0.35">
      <c r="Q168" s="937"/>
      <c r="R168" s="937"/>
      <c r="S168" s="937"/>
      <c r="T168" s="937"/>
      <c r="U168" s="937"/>
      <c r="V168" s="937"/>
      <c r="W168" s="937"/>
      <c r="X168" s="937"/>
      <c r="Y168" s="937"/>
      <c r="Z168" s="937"/>
      <c r="AA168" s="937"/>
      <c r="AB168" s="937"/>
      <c r="AC168" s="963"/>
      <c r="AD168" s="963"/>
      <c r="AE168" s="963"/>
      <c r="AF168" s="937"/>
      <c r="AG168" s="937"/>
      <c r="AH168" s="937"/>
      <c r="AI168" s="937"/>
      <c r="AJ168" s="937"/>
      <c r="AK168" s="937"/>
      <c r="AL168" s="937"/>
      <c r="AM168" s="937"/>
      <c r="AN168" s="937"/>
      <c r="AO168" s="937"/>
      <c r="AP168" s="937"/>
      <c r="AQ168" s="937"/>
      <c r="AR168" s="937"/>
      <c r="AS168" s="937"/>
      <c r="AT168" s="937"/>
      <c r="AU168" s="937"/>
      <c r="AV168" s="937"/>
      <c r="AW168" s="937"/>
      <c r="AX168" s="937"/>
      <c r="AY168" s="937"/>
      <c r="AZ168" s="937"/>
      <c r="BA168" s="937"/>
      <c r="BB168" s="937"/>
      <c r="BC168" s="937"/>
      <c r="BD168" s="937"/>
      <c r="BE168" s="937"/>
      <c r="BF168" s="937"/>
      <c r="BG168" s="937"/>
      <c r="BH168" s="937"/>
      <c r="BI168" s="937"/>
      <c r="BJ168" s="937"/>
      <c r="BK168" s="937"/>
      <c r="BL168" s="937"/>
      <c r="BM168" s="937"/>
      <c r="BN168" s="937"/>
      <c r="BO168" s="937"/>
      <c r="BP168" s="937"/>
      <c r="BQ168" s="937"/>
      <c r="BR168" s="937"/>
      <c r="BS168" s="937"/>
      <c r="BT168" s="937"/>
      <c r="BU168" s="937"/>
      <c r="BV168" s="937"/>
      <c r="BW168" s="937"/>
      <c r="BX168" s="937"/>
      <c r="BY168" s="937"/>
      <c r="BZ168" s="937"/>
      <c r="CA168" s="937"/>
      <c r="CB168" s="937"/>
      <c r="CC168" s="937"/>
      <c r="CD168" s="937"/>
      <c r="CE168" s="937"/>
      <c r="CF168" s="937"/>
      <c r="CG168" s="937"/>
      <c r="CH168" s="937"/>
      <c r="CI168" s="937"/>
      <c r="CJ168" s="937"/>
      <c r="CK168" s="937"/>
      <c r="CL168" s="937"/>
      <c r="CM168" s="937"/>
      <c r="CN168" s="937"/>
      <c r="CO168" s="937"/>
    </row>
    <row r="169" spans="17:93" s="918" customFormat="1" x14ac:dyDescent="0.35">
      <c r="Q169" s="937"/>
      <c r="R169" s="937"/>
      <c r="S169" s="937"/>
      <c r="T169" s="937"/>
      <c r="U169" s="937"/>
      <c r="V169" s="937"/>
      <c r="W169" s="937"/>
      <c r="X169" s="937"/>
      <c r="Y169" s="937"/>
      <c r="Z169" s="937"/>
      <c r="AA169" s="937"/>
      <c r="AB169" s="937"/>
      <c r="AC169" s="963"/>
      <c r="AD169" s="963"/>
      <c r="AE169" s="963"/>
      <c r="AF169" s="937"/>
      <c r="AG169" s="937"/>
      <c r="AH169" s="937"/>
      <c r="AI169" s="937"/>
      <c r="AJ169" s="937"/>
      <c r="AK169" s="937"/>
      <c r="AL169" s="937"/>
      <c r="AM169" s="937"/>
      <c r="AN169" s="937"/>
      <c r="AO169" s="937"/>
      <c r="AP169" s="937"/>
      <c r="AQ169" s="937"/>
      <c r="AR169" s="937"/>
      <c r="AS169" s="937"/>
      <c r="AT169" s="937"/>
      <c r="AU169" s="937"/>
      <c r="AV169" s="937"/>
      <c r="AW169" s="937"/>
      <c r="AX169" s="937"/>
      <c r="AY169" s="937"/>
      <c r="AZ169" s="937"/>
      <c r="BA169" s="937"/>
      <c r="BB169" s="937"/>
      <c r="BC169" s="937"/>
      <c r="BD169" s="937"/>
      <c r="BE169" s="937"/>
      <c r="BF169" s="937"/>
      <c r="BG169" s="937"/>
      <c r="BH169" s="937"/>
      <c r="BI169" s="937"/>
      <c r="BJ169" s="937"/>
      <c r="BK169" s="937"/>
      <c r="BL169" s="937"/>
      <c r="BM169" s="937"/>
      <c r="BN169" s="937"/>
      <c r="BO169" s="937"/>
      <c r="BP169" s="937"/>
      <c r="BQ169" s="937"/>
      <c r="BR169" s="937"/>
      <c r="BS169" s="937"/>
      <c r="BT169" s="937"/>
      <c r="BU169" s="937"/>
      <c r="BV169" s="937"/>
      <c r="BW169" s="937"/>
      <c r="BX169" s="937"/>
      <c r="BY169" s="937"/>
      <c r="BZ169" s="937"/>
      <c r="CA169" s="937"/>
      <c r="CB169" s="937"/>
      <c r="CC169" s="937"/>
      <c r="CD169" s="937"/>
      <c r="CE169" s="937"/>
      <c r="CF169" s="937"/>
      <c r="CG169" s="937"/>
      <c r="CH169" s="937"/>
      <c r="CI169" s="937"/>
      <c r="CJ169" s="937"/>
      <c r="CK169" s="937"/>
      <c r="CL169" s="937"/>
      <c r="CM169" s="937"/>
      <c r="CN169" s="937"/>
      <c r="CO169" s="937"/>
    </row>
    <row r="170" spans="17:93" s="918" customFormat="1" x14ac:dyDescent="0.35">
      <c r="Q170" s="937"/>
      <c r="R170" s="937"/>
      <c r="S170" s="937"/>
      <c r="T170" s="937"/>
      <c r="U170" s="937"/>
      <c r="V170" s="937"/>
      <c r="W170" s="937"/>
      <c r="X170" s="937"/>
      <c r="Y170" s="937"/>
      <c r="Z170" s="937"/>
      <c r="AA170" s="937"/>
      <c r="AB170" s="937"/>
      <c r="AC170" s="963"/>
      <c r="AD170" s="963"/>
      <c r="AE170" s="963"/>
      <c r="AF170" s="937"/>
      <c r="AG170" s="937"/>
      <c r="AH170" s="937"/>
      <c r="AI170" s="937"/>
      <c r="AJ170" s="937"/>
      <c r="AK170" s="937"/>
      <c r="AL170" s="937"/>
      <c r="AM170" s="937"/>
      <c r="AN170" s="937"/>
      <c r="AO170" s="937"/>
      <c r="AP170" s="937"/>
      <c r="AQ170" s="937"/>
      <c r="AR170" s="937"/>
      <c r="AS170" s="937"/>
      <c r="AT170" s="937"/>
      <c r="AU170" s="937"/>
      <c r="AV170" s="937"/>
      <c r="AW170" s="937"/>
      <c r="AX170" s="937"/>
      <c r="AY170" s="937"/>
      <c r="AZ170" s="937"/>
      <c r="BA170" s="937"/>
      <c r="BB170" s="937"/>
      <c r="BC170" s="937"/>
      <c r="BD170" s="937"/>
      <c r="BE170" s="937"/>
      <c r="BF170" s="937"/>
      <c r="BG170" s="937"/>
      <c r="BH170" s="937"/>
      <c r="BI170" s="937"/>
      <c r="BJ170" s="937"/>
      <c r="BK170" s="937"/>
      <c r="BL170" s="937"/>
      <c r="BM170" s="937"/>
      <c r="BN170" s="937"/>
      <c r="BO170" s="937"/>
      <c r="BP170" s="937"/>
      <c r="BQ170" s="937"/>
      <c r="BR170" s="937"/>
      <c r="BS170" s="937"/>
      <c r="BT170" s="937"/>
      <c r="BU170" s="937"/>
      <c r="BV170" s="937"/>
      <c r="BW170" s="937"/>
      <c r="BX170" s="937"/>
      <c r="BY170" s="937"/>
      <c r="BZ170" s="937"/>
      <c r="CA170" s="937"/>
      <c r="CB170" s="937"/>
      <c r="CC170" s="937"/>
      <c r="CD170" s="937"/>
      <c r="CE170" s="937"/>
      <c r="CF170" s="937"/>
      <c r="CG170" s="937"/>
      <c r="CH170" s="937"/>
      <c r="CI170" s="937"/>
      <c r="CJ170" s="937"/>
      <c r="CK170" s="937"/>
      <c r="CL170" s="937"/>
      <c r="CM170" s="937"/>
      <c r="CN170" s="937"/>
      <c r="CO170" s="937"/>
    </row>
    <row r="171" spans="17:93" s="918" customFormat="1" x14ac:dyDescent="0.35">
      <c r="Q171" s="937"/>
      <c r="R171" s="937"/>
      <c r="S171" s="937"/>
      <c r="T171" s="937"/>
      <c r="U171" s="937"/>
      <c r="V171" s="937"/>
      <c r="W171" s="937"/>
      <c r="X171" s="937"/>
      <c r="Y171" s="937"/>
      <c r="Z171" s="937"/>
      <c r="AA171" s="937"/>
      <c r="AB171" s="937"/>
      <c r="AC171" s="963"/>
      <c r="AD171" s="963"/>
      <c r="AE171" s="963"/>
      <c r="AF171" s="937"/>
      <c r="AG171" s="937"/>
      <c r="AH171" s="937"/>
      <c r="AI171" s="937"/>
      <c r="AJ171" s="937"/>
      <c r="AK171" s="937"/>
      <c r="AL171" s="937"/>
      <c r="AM171" s="937"/>
      <c r="AN171" s="937"/>
      <c r="AO171" s="937"/>
      <c r="AP171" s="937"/>
      <c r="AQ171" s="937"/>
      <c r="AR171" s="937"/>
      <c r="AS171" s="937"/>
      <c r="AT171" s="937"/>
      <c r="AU171" s="937"/>
      <c r="AV171" s="937"/>
      <c r="AW171" s="937"/>
      <c r="AX171" s="937"/>
      <c r="AY171" s="937"/>
      <c r="AZ171" s="937"/>
      <c r="BA171" s="937"/>
      <c r="BB171" s="937"/>
      <c r="BC171" s="937"/>
      <c r="BD171" s="937"/>
      <c r="BE171" s="937"/>
      <c r="BF171" s="937"/>
      <c r="BG171" s="937"/>
      <c r="BH171" s="937"/>
      <c r="BI171" s="937"/>
      <c r="BJ171" s="937"/>
      <c r="BK171" s="937"/>
      <c r="BL171" s="937"/>
      <c r="BM171" s="937"/>
      <c r="BN171" s="937"/>
      <c r="BO171" s="937"/>
      <c r="BP171" s="937"/>
      <c r="BQ171" s="937"/>
      <c r="BR171" s="937"/>
      <c r="BS171" s="937"/>
      <c r="BT171" s="937"/>
      <c r="BU171" s="937"/>
      <c r="BV171" s="937"/>
      <c r="BW171" s="937"/>
      <c r="BX171" s="937"/>
      <c r="BY171" s="937"/>
      <c r="BZ171" s="937"/>
      <c r="CA171" s="937"/>
      <c r="CB171" s="937"/>
      <c r="CC171" s="937"/>
      <c r="CD171" s="937"/>
      <c r="CE171" s="937"/>
      <c r="CF171" s="937"/>
      <c r="CG171" s="937"/>
      <c r="CH171" s="937"/>
      <c r="CI171" s="937"/>
      <c r="CJ171" s="937"/>
      <c r="CK171" s="937"/>
      <c r="CL171" s="937"/>
      <c r="CM171" s="937"/>
      <c r="CN171" s="937"/>
      <c r="CO171" s="937"/>
    </row>
    <row r="172" spans="17:93" s="918" customFormat="1" x14ac:dyDescent="0.35">
      <c r="Q172" s="937"/>
      <c r="R172" s="937"/>
      <c r="S172" s="937"/>
      <c r="T172" s="937"/>
      <c r="U172" s="937"/>
      <c r="V172" s="937"/>
      <c r="W172" s="937"/>
      <c r="X172" s="937"/>
      <c r="Y172" s="937"/>
      <c r="Z172" s="937"/>
      <c r="AA172" s="937"/>
      <c r="AB172" s="937"/>
      <c r="AC172" s="963"/>
      <c r="AD172" s="963"/>
      <c r="AE172" s="963"/>
      <c r="AF172" s="937"/>
      <c r="AG172" s="937"/>
      <c r="AH172" s="937"/>
      <c r="AI172" s="937"/>
      <c r="AJ172" s="937"/>
      <c r="AK172" s="937"/>
      <c r="AL172" s="937"/>
      <c r="AM172" s="937"/>
      <c r="AN172" s="937"/>
      <c r="AO172" s="937"/>
      <c r="AP172" s="937"/>
      <c r="AQ172" s="937"/>
      <c r="AR172" s="937"/>
      <c r="AS172" s="937"/>
      <c r="AT172" s="937"/>
      <c r="AU172" s="937"/>
      <c r="AV172" s="937"/>
      <c r="AW172" s="937"/>
      <c r="AX172" s="937"/>
      <c r="AY172" s="937"/>
      <c r="AZ172" s="937"/>
      <c r="BA172" s="937"/>
      <c r="BB172" s="937"/>
      <c r="BC172" s="937"/>
      <c r="BD172" s="937"/>
      <c r="BE172" s="937"/>
      <c r="BF172" s="937"/>
      <c r="BG172" s="937"/>
      <c r="BH172" s="937"/>
      <c r="BI172" s="937"/>
      <c r="BJ172" s="937"/>
      <c r="BK172" s="937"/>
      <c r="BL172" s="937"/>
      <c r="BM172" s="937"/>
      <c r="BN172" s="937"/>
      <c r="BO172" s="937"/>
      <c r="BP172" s="937"/>
      <c r="BQ172" s="937"/>
      <c r="BR172" s="937"/>
      <c r="BS172" s="937"/>
      <c r="BT172" s="937"/>
      <c r="BU172" s="937"/>
      <c r="BV172" s="937"/>
      <c r="BW172" s="937"/>
      <c r="BX172" s="937"/>
      <c r="BY172" s="937"/>
      <c r="BZ172" s="937"/>
      <c r="CA172" s="937"/>
      <c r="CB172" s="937"/>
      <c r="CC172" s="937"/>
      <c r="CD172" s="937"/>
      <c r="CE172" s="937"/>
      <c r="CF172" s="937"/>
      <c r="CG172" s="937"/>
      <c r="CH172" s="937"/>
      <c r="CI172" s="937"/>
      <c r="CJ172" s="937"/>
      <c r="CK172" s="937"/>
      <c r="CL172" s="937"/>
      <c r="CM172" s="937"/>
      <c r="CN172" s="937"/>
      <c r="CO172" s="937"/>
    </row>
    <row r="173" spans="17:93" s="918" customFormat="1" x14ac:dyDescent="0.35">
      <c r="Q173" s="937"/>
      <c r="R173" s="937"/>
      <c r="S173" s="937"/>
      <c r="T173" s="937"/>
      <c r="U173" s="937"/>
      <c r="V173" s="937"/>
      <c r="W173" s="937"/>
      <c r="X173" s="937"/>
      <c r="Y173" s="937"/>
      <c r="Z173" s="937"/>
      <c r="AA173" s="937"/>
      <c r="AB173" s="937"/>
      <c r="AC173" s="963"/>
      <c r="AD173" s="963"/>
      <c r="AE173" s="963"/>
      <c r="AF173" s="937"/>
      <c r="AG173" s="937"/>
      <c r="AH173" s="937"/>
      <c r="AI173" s="937"/>
      <c r="AJ173" s="937"/>
      <c r="AK173" s="937"/>
      <c r="AL173" s="937"/>
      <c r="AM173" s="937"/>
      <c r="AN173" s="937"/>
      <c r="AO173" s="937"/>
      <c r="AP173" s="937"/>
      <c r="AQ173" s="937"/>
      <c r="AR173" s="937"/>
      <c r="AS173" s="937"/>
      <c r="AT173" s="937"/>
      <c r="AU173" s="937"/>
      <c r="AV173" s="937"/>
      <c r="AW173" s="937"/>
      <c r="AX173" s="937"/>
      <c r="AY173" s="937"/>
      <c r="AZ173" s="937"/>
      <c r="BA173" s="937"/>
      <c r="BB173" s="937"/>
      <c r="BC173" s="937"/>
      <c r="BD173" s="937"/>
      <c r="BE173" s="937"/>
      <c r="BF173" s="937"/>
      <c r="BG173" s="937"/>
      <c r="BH173" s="937"/>
      <c r="BI173" s="937"/>
      <c r="BJ173" s="937"/>
      <c r="BK173" s="937"/>
      <c r="BL173" s="937"/>
      <c r="BM173" s="937"/>
      <c r="BN173" s="937"/>
      <c r="BO173" s="937"/>
      <c r="BP173" s="937"/>
      <c r="BQ173" s="937"/>
      <c r="BR173" s="937"/>
      <c r="BS173" s="937"/>
      <c r="BT173" s="937"/>
      <c r="BU173" s="937"/>
      <c r="BV173" s="937"/>
      <c r="BW173" s="937"/>
      <c r="BX173" s="937"/>
      <c r="BY173" s="937"/>
      <c r="BZ173" s="937"/>
      <c r="CA173" s="937"/>
      <c r="CB173" s="937"/>
      <c r="CC173" s="937"/>
      <c r="CD173" s="937"/>
      <c r="CE173" s="937"/>
      <c r="CF173" s="937"/>
      <c r="CG173" s="937"/>
      <c r="CH173" s="937"/>
      <c r="CI173" s="937"/>
      <c r="CJ173" s="937"/>
      <c r="CK173" s="937"/>
      <c r="CL173" s="937"/>
      <c r="CM173" s="937"/>
      <c r="CN173" s="937"/>
      <c r="CO173" s="937"/>
    </row>
    <row r="174" spans="17:93" s="918" customFormat="1" x14ac:dyDescent="0.35">
      <c r="Q174" s="937"/>
      <c r="R174" s="937"/>
      <c r="S174" s="937"/>
      <c r="T174" s="937"/>
      <c r="U174" s="937"/>
      <c r="V174" s="937"/>
      <c r="W174" s="937"/>
      <c r="X174" s="937"/>
      <c r="Y174" s="937"/>
      <c r="Z174" s="937"/>
      <c r="AA174" s="937"/>
      <c r="AB174" s="937"/>
      <c r="AC174" s="963"/>
      <c r="AD174" s="963"/>
      <c r="AE174" s="963"/>
      <c r="AF174" s="937"/>
      <c r="AG174" s="937"/>
      <c r="AH174" s="937"/>
      <c r="AI174" s="937"/>
      <c r="AJ174" s="937"/>
      <c r="AK174" s="937"/>
      <c r="AL174" s="937"/>
      <c r="AM174" s="937"/>
      <c r="AN174" s="937"/>
      <c r="AO174" s="937"/>
      <c r="AP174" s="937"/>
      <c r="AQ174" s="937"/>
      <c r="AR174" s="937"/>
      <c r="AS174" s="937"/>
      <c r="AT174" s="937"/>
      <c r="AU174" s="937"/>
      <c r="AV174" s="937"/>
      <c r="AW174" s="937"/>
      <c r="AX174" s="937"/>
      <c r="AY174" s="937"/>
      <c r="AZ174" s="937"/>
      <c r="BA174" s="937"/>
      <c r="BB174" s="937"/>
      <c r="BC174" s="937"/>
      <c r="BD174" s="937"/>
      <c r="BE174" s="937"/>
      <c r="BF174" s="937"/>
      <c r="BG174" s="937"/>
      <c r="BH174" s="937"/>
      <c r="BI174" s="937"/>
      <c r="BJ174" s="937"/>
      <c r="BK174" s="937"/>
      <c r="BL174" s="937"/>
      <c r="BM174" s="937"/>
      <c r="BN174" s="937"/>
      <c r="BO174" s="937"/>
      <c r="BP174" s="937"/>
      <c r="BQ174" s="937"/>
      <c r="BR174" s="937"/>
      <c r="BS174" s="937"/>
      <c r="BT174" s="937"/>
      <c r="BU174" s="937"/>
      <c r="BV174" s="937"/>
      <c r="BW174" s="937"/>
      <c r="BX174" s="937"/>
      <c r="BY174" s="937"/>
      <c r="BZ174" s="937"/>
      <c r="CA174" s="937"/>
      <c r="CB174" s="937"/>
      <c r="CC174" s="937"/>
      <c r="CD174" s="937"/>
      <c r="CE174" s="937"/>
      <c r="CF174" s="937"/>
      <c r="CG174" s="937"/>
      <c r="CH174" s="937"/>
      <c r="CI174" s="937"/>
      <c r="CJ174" s="937"/>
      <c r="CK174" s="937"/>
      <c r="CL174" s="937"/>
      <c r="CM174" s="937"/>
      <c r="CN174" s="937"/>
      <c r="CO174" s="937"/>
    </row>
    <row r="175" spans="17:93" s="918" customFormat="1" x14ac:dyDescent="0.35">
      <c r="Q175" s="937"/>
      <c r="R175" s="937"/>
      <c r="S175" s="937"/>
      <c r="T175" s="937"/>
      <c r="U175" s="937"/>
      <c r="V175" s="937"/>
      <c r="W175" s="937"/>
      <c r="X175" s="937"/>
      <c r="Y175" s="937"/>
      <c r="Z175" s="937"/>
      <c r="AA175" s="937"/>
      <c r="AB175" s="937"/>
      <c r="AC175" s="963"/>
      <c r="AD175" s="963"/>
      <c r="AE175" s="963"/>
      <c r="AF175" s="937"/>
      <c r="AG175" s="937"/>
      <c r="AH175" s="937"/>
      <c r="AI175" s="937"/>
      <c r="AJ175" s="937"/>
      <c r="AK175" s="937"/>
      <c r="AL175" s="937"/>
      <c r="AM175" s="937"/>
      <c r="AN175" s="937"/>
      <c r="AO175" s="937"/>
      <c r="AP175" s="937"/>
      <c r="AQ175" s="937"/>
      <c r="AR175" s="937"/>
      <c r="AS175" s="937"/>
      <c r="AT175" s="937"/>
      <c r="AU175" s="937"/>
      <c r="AV175" s="937"/>
      <c r="AW175" s="937"/>
      <c r="AX175" s="937"/>
      <c r="AY175" s="937"/>
      <c r="AZ175" s="937"/>
      <c r="BA175" s="937"/>
      <c r="BB175" s="937"/>
      <c r="BC175" s="937"/>
      <c r="BD175" s="937"/>
      <c r="BE175" s="937"/>
      <c r="BF175" s="937"/>
      <c r="BG175" s="937"/>
      <c r="BH175" s="937"/>
      <c r="BI175" s="937"/>
      <c r="BJ175" s="937"/>
      <c r="BK175" s="937"/>
      <c r="BL175" s="937"/>
      <c r="BM175" s="937"/>
      <c r="BN175" s="937"/>
      <c r="BO175" s="937"/>
      <c r="BP175" s="937"/>
      <c r="BQ175" s="937"/>
      <c r="BR175" s="937"/>
      <c r="BS175" s="937"/>
      <c r="BT175" s="937"/>
      <c r="BU175" s="937"/>
      <c r="BV175" s="937"/>
      <c r="BW175" s="937"/>
      <c r="BX175" s="937"/>
      <c r="BY175" s="937"/>
      <c r="BZ175" s="937"/>
      <c r="CA175" s="937"/>
      <c r="CB175" s="937"/>
      <c r="CC175" s="937"/>
      <c r="CD175" s="937"/>
      <c r="CE175" s="937"/>
      <c r="CF175" s="937"/>
      <c r="CG175" s="937"/>
      <c r="CH175" s="937"/>
      <c r="CI175" s="937"/>
      <c r="CJ175" s="937"/>
      <c r="CK175" s="937"/>
      <c r="CL175" s="937"/>
      <c r="CM175" s="937"/>
      <c r="CN175" s="937"/>
      <c r="CO175" s="937"/>
    </row>
    <row r="176" spans="17:93" s="918" customFormat="1" x14ac:dyDescent="0.35">
      <c r="Q176" s="937"/>
      <c r="R176" s="937"/>
      <c r="S176" s="937"/>
      <c r="T176" s="937"/>
      <c r="U176" s="937"/>
      <c r="V176" s="937"/>
      <c r="W176" s="937"/>
      <c r="X176" s="937"/>
      <c r="Y176" s="937"/>
      <c r="Z176" s="937"/>
      <c r="AA176" s="937"/>
      <c r="AB176" s="937"/>
      <c r="AC176" s="963"/>
      <c r="AD176" s="963"/>
      <c r="AE176" s="963"/>
      <c r="AF176" s="937"/>
      <c r="AG176" s="937"/>
      <c r="AH176" s="937"/>
      <c r="AI176" s="937"/>
      <c r="AJ176" s="937"/>
      <c r="AK176" s="937"/>
      <c r="AL176" s="937"/>
      <c r="AM176" s="937"/>
      <c r="AN176" s="937"/>
      <c r="AO176" s="937"/>
      <c r="AP176" s="937"/>
      <c r="AQ176" s="937"/>
      <c r="AR176" s="937"/>
      <c r="AS176" s="937"/>
      <c r="AT176" s="937"/>
      <c r="AU176" s="937"/>
      <c r="AV176" s="937"/>
      <c r="AW176" s="937"/>
      <c r="AX176" s="937"/>
      <c r="AY176" s="937"/>
      <c r="AZ176" s="937"/>
      <c r="BA176" s="937"/>
      <c r="BB176" s="937"/>
      <c r="BC176" s="937"/>
      <c r="BD176" s="937"/>
      <c r="BE176" s="937"/>
      <c r="BF176" s="937"/>
      <c r="BG176" s="937"/>
      <c r="BH176" s="937"/>
      <c r="BI176" s="937"/>
      <c r="BJ176" s="937"/>
      <c r="BK176" s="937"/>
      <c r="BL176" s="937"/>
      <c r="BM176" s="937"/>
      <c r="BN176" s="937"/>
      <c r="BO176" s="937"/>
      <c r="BP176" s="937"/>
      <c r="BQ176" s="937"/>
      <c r="BR176" s="937"/>
      <c r="BS176" s="937"/>
      <c r="BT176" s="937"/>
      <c r="BU176" s="937"/>
      <c r="BV176" s="937"/>
      <c r="BW176" s="937"/>
      <c r="BX176" s="937"/>
      <c r="BY176" s="937"/>
      <c r="BZ176" s="937"/>
      <c r="CA176" s="937"/>
      <c r="CB176" s="937"/>
      <c r="CC176" s="937"/>
      <c r="CD176" s="937"/>
      <c r="CE176" s="937"/>
      <c r="CF176" s="937"/>
      <c r="CG176" s="937"/>
      <c r="CH176" s="937"/>
      <c r="CI176" s="937"/>
      <c r="CJ176" s="937"/>
      <c r="CK176" s="937"/>
      <c r="CL176" s="937"/>
      <c r="CM176" s="937"/>
      <c r="CN176" s="937"/>
      <c r="CO176" s="937"/>
    </row>
    <row r="177" spans="17:93" s="918" customFormat="1" x14ac:dyDescent="0.35">
      <c r="Q177" s="937"/>
      <c r="R177" s="937"/>
      <c r="S177" s="937"/>
      <c r="T177" s="937"/>
      <c r="U177" s="937"/>
      <c r="V177" s="937"/>
      <c r="W177" s="937"/>
      <c r="X177" s="937"/>
      <c r="Y177" s="937"/>
      <c r="Z177" s="937"/>
      <c r="AA177" s="937"/>
      <c r="AB177" s="937"/>
      <c r="AC177" s="963"/>
      <c r="AD177" s="963"/>
      <c r="AE177" s="963"/>
      <c r="AF177" s="937"/>
      <c r="AG177" s="937"/>
      <c r="AH177" s="937"/>
      <c r="AI177" s="937"/>
      <c r="AJ177" s="937"/>
      <c r="AK177" s="937"/>
      <c r="AL177" s="937"/>
      <c r="AM177" s="937"/>
      <c r="AN177" s="937"/>
      <c r="AO177" s="937"/>
      <c r="AP177" s="937"/>
      <c r="AQ177" s="937"/>
      <c r="AR177" s="937"/>
      <c r="AS177" s="937"/>
      <c r="AT177" s="937"/>
      <c r="AU177" s="937"/>
      <c r="AV177" s="937"/>
      <c r="AW177" s="937"/>
      <c r="AX177" s="937"/>
      <c r="AY177" s="937"/>
      <c r="AZ177" s="937"/>
      <c r="BA177" s="937"/>
      <c r="BB177" s="937"/>
      <c r="BC177" s="937"/>
      <c r="BD177" s="937"/>
      <c r="BE177" s="937"/>
      <c r="BF177" s="937"/>
      <c r="BG177" s="937"/>
      <c r="BH177" s="937"/>
      <c r="BI177" s="937"/>
      <c r="BJ177" s="937"/>
      <c r="BK177" s="937"/>
      <c r="BL177" s="937"/>
      <c r="BM177" s="937"/>
      <c r="BN177" s="937"/>
      <c r="BO177" s="937"/>
      <c r="BP177" s="937"/>
      <c r="BQ177" s="937"/>
      <c r="BR177" s="937"/>
      <c r="BS177" s="937"/>
      <c r="BT177" s="937"/>
      <c r="BU177" s="937"/>
      <c r="BV177" s="937"/>
      <c r="BW177" s="937"/>
      <c r="BX177" s="937"/>
      <c r="BY177" s="937"/>
      <c r="BZ177" s="937"/>
      <c r="CA177" s="937"/>
      <c r="CB177" s="937"/>
      <c r="CC177" s="937"/>
      <c r="CD177" s="937"/>
      <c r="CE177" s="937"/>
      <c r="CF177" s="937"/>
      <c r="CG177" s="937"/>
      <c r="CH177" s="937"/>
      <c r="CI177" s="937"/>
      <c r="CJ177" s="937"/>
      <c r="CK177" s="937"/>
      <c r="CL177" s="937"/>
      <c r="CM177" s="937"/>
      <c r="CN177" s="937"/>
      <c r="CO177" s="937"/>
    </row>
    <row r="178" spans="17:93" s="918" customFormat="1" x14ac:dyDescent="0.35">
      <c r="Q178" s="937"/>
      <c r="R178" s="937"/>
      <c r="S178" s="937"/>
      <c r="T178" s="937"/>
      <c r="U178" s="937"/>
      <c r="V178" s="937"/>
      <c r="W178" s="937"/>
      <c r="X178" s="937"/>
      <c r="Y178" s="937"/>
      <c r="Z178" s="937"/>
      <c r="AA178" s="937"/>
      <c r="AB178" s="937"/>
      <c r="AC178" s="963"/>
      <c r="AD178" s="963"/>
      <c r="AE178" s="963"/>
      <c r="AF178" s="937"/>
      <c r="AG178" s="937"/>
      <c r="AH178" s="937"/>
      <c r="AI178" s="937"/>
      <c r="AJ178" s="937"/>
      <c r="AK178" s="937"/>
      <c r="AL178" s="937"/>
      <c r="AM178" s="937"/>
      <c r="AN178" s="937"/>
      <c r="AO178" s="937"/>
      <c r="AP178" s="937"/>
      <c r="AQ178" s="937"/>
      <c r="AR178" s="937"/>
      <c r="AS178" s="937"/>
      <c r="AT178" s="937"/>
      <c r="AU178" s="937"/>
      <c r="AV178" s="937"/>
      <c r="AW178" s="937"/>
      <c r="AX178" s="937"/>
      <c r="AY178" s="937"/>
      <c r="AZ178" s="937"/>
      <c r="BA178" s="937"/>
      <c r="BB178" s="937"/>
      <c r="BC178" s="937"/>
      <c r="BD178" s="937"/>
      <c r="BE178" s="937"/>
      <c r="BF178" s="937"/>
      <c r="BG178" s="937"/>
      <c r="BH178" s="937"/>
      <c r="BI178" s="937"/>
      <c r="BJ178" s="937"/>
      <c r="BK178" s="937"/>
      <c r="BL178" s="937"/>
      <c r="BM178" s="937"/>
      <c r="BN178" s="937"/>
      <c r="BO178" s="937"/>
      <c r="BP178" s="937"/>
      <c r="BQ178" s="937"/>
      <c r="BR178" s="937"/>
      <c r="BS178" s="937"/>
      <c r="BT178" s="937"/>
      <c r="BU178" s="937"/>
      <c r="BV178" s="937"/>
      <c r="BW178" s="937"/>
      <c r="BX178" s="937"/>
      <c r="BY178" s="937"/>
      <c r="BZ178" s="937"/>
      <c r="CA178" s="937"/>
      <c r="CB178" s="937"/>
      <c r="CC178" s="937"/>
      <c r="CD178" s="937"/>
      <c r="CE178" s="937"/>
      <c r="CF178" s="937"/>
      <c r="CG178" s="937"/>
      <c r="CH178" s="937"/>
      <c r="CI178" s="937"/>
      <c r="CJ178" s="937"/>
      <c r="CK178" s="937"/>
      <c r="CL178" s="937"/>
      <c r="CM178" s="937"/>
      <c r="CN178" s="937"/>
      <c r="CO178" s="937"/>
    </row>
    <row r="179" spans="17:93" s="918" customFormat="1" x14ac:dyDescent="0.35">
      <c r="Q179" s="937"/>
      <c r="R179" s="937"/>
      <c r="S179" s="937"/>
      <c r="T179" s="937"/>
      <c r="U179" s="937"/>
      <c r="V179" s="937"/>
      <c r="W179" s="937"/>
      <c r="X179" s="937"/>
      <c r="Y179" s="937"/>
      <c r="Z179" s="937"/>
      <c r="AA179" s="937"/>
      <c r="AB179" s="937"/>
      <c r="AC179" s="963"/>
      <c r="AD179" s="963"/>
      <c r="AE179" s="963"/>
      <c r="AF179" s="937"/>
      <c r="AG179" s="937"/>
      <c r="AH179" s="937"/>
      <c r="AI179" s="937"/>
      <c r="AJ179" s="937"/>
      <c r="AK179" s="937"/>
      <c r="AL179" s="937"/>
      <c r="AM179" s="937"/>
      <c r="AN179" s="937"/>
      <c r="AO179" s="937"/>
      <c r="AP179" s="937"/>
      <c r="AQ179" s="937"/>
      <c r="AR179" s="937"/>
      <c r="AS179" s="937"/>
      <c r="AT179" s="937"/>
      <c r="AU179" s="937"/>
      <c r="AV179" s="937"/>
      <c r="AW179" s="937"/>
      <c r="AX179" s="937"/>
      <c r="AY179" s="937"/>
      <c r="AZ179" s="937"/>
      <c r="BA179" s="937"/>
      <c r="BB179" s="937"/>
      <c r="BC179" s="937"/>
      <c r="BD179" s="937"/>
      <c r="BE179" s="937"/>
      <c r="BF179" s="937"/>
      <c r="BG179" s="937"/>
      <c r="BH179" s="937"/>
      <c r="BI179" s="937"/>
      <c r="BJ179" s="937"/>
      <c r="BK179" s="937"/>
      <c r="BL179" s="937"/>
      <c r="BM179" s="937"/>
      <c r="BN179" s="937"/>
      <c r="BO179" s="937"/>
      <c r="BP179" s="937"/>
      <c r="BQ179" s="937"/>
      <c r="BR179" s="937"/>
      <c r="BS179" s="937"/>
      <c r="BT179" s="937"/>
      <c r="BU179" s="937"/>
      <c r="BV179" s="937"/>
      <c r="BW179" s="937"/>
      <c r="BX179" s="937"/>
      <c r="BY179" s="937"/>
      <c r="BZ179" s="937"/>
      <c r="CA179" s="937"/>
      <c r="CB179" s="937"/>
      <c r="CC179" s="937"/>
      <c r="CD179" s="937"/>
      <c r="CE179" s="937"/>
      <c r="CF179" s="937"/>
      <c r="CG179" s="937"/>
      <c r="CH179" s="937"/>
      <c r="CI179" s="937"/>
      <c r="CJ179" s="937"/>
      <c r="CK179" s="937"/>
      <c r="CL179" s="937"/>
      <c r="CM179" s="937"/>
      <c r="CN179" s="937"/>
      <c r="CO179" s="937"/>
    </row>
    <row r="180" spans="17:93" s="918" customFormat="1" x14ac:dyDescent="0.35">
      <c r="Q180" s="937"/>
      <c r="R180" s="937"/>
      <c r="S180" s="937"/>
      <c r="T180" s="937"/>
      <c r="U180" s="937"/>
      <c r="V180" s="937"/>
      <c r="W180" s="937"/>
      <c r="X180" s="937"/>
      <c r="Y180" s="937"/>
      <c r="Z180" s="937"/>
      <c r="AA180" s="937"/>
      <c r="AB180" s="937"/>
      <c r="AC180" s="963"/>
      <c r="AD180" s="963"/>
      <c r="AE180" s="963"/>
      <c r="AF180" s="937"/>
      <c r="AG180" s="937"/>
      <c r="AH180" s="937"/>
      <c r="AI180" s="937"/>
      <c r="AJ180" s="937"/>
      <c r="AK180" s="937"/>
      <c r="AL180" s="937"/>
      <c r="AM180" s="937"/>
      <c r="AN180" s="937"/>
      <c r="AO180" s="937"/>
      <c r="AP180" s="937"/>
      <c r="AQ180" s="937"/>
      <c r="AR180" s="937"/>
      <c r="AS180" s="937"/>
      <c r="AT180" s="937"/>
      <c r="AU180" s="937"/>
      <c r="AV180" s="937"/>
      <c r="AW180" s="937"/>
      <c r="AX180" s="937"/>
      <c r="AY180" s="937"/>
      <c r="AZ180" s="937"/>
      <c r="BA180" s="937"/>
      <c r="BB180" s="937"/>
      <c r="BC180" s="937"/>
      <c r="BD180" s="937"/>
      <c r="BE180" s="937"/>
      <c r="BF180" s="937"/>
      <c r="BG180" s="937"/>
      <c r="BH180" s="937"/>
      <c r="BI180" s="937"/>
      <c r="BJ180" s="937"/>
      <c r="BK180" s="937"/>
      <c r="BL180" s="937"/>
      <c r="BM180" s="937"/>
      <c r="BN180" s="937"/>
      <c r="BO180" s="937"/>
      <c r="BP180" s="937"/>
      <c r="BQ180" s="937"/>
      <c r="BR180" s="937"/>
      <c r="BS180" s="937"/>
      <c r="BT180" s="937"/>
      <c r="BU180" s="937"/>
      <c r="BV180" s="937"/>
      <c r="BW180" s="937"/>
      <c r="BX180" s="937"/>
      <c r="BY180" s="937"/>
      <c r="BZ180" s="937"/>
      <c r="CA180" s="937"/>
      <c r="CB180" s="937"/>
      <c r="CC180" s="937"/>
      <c r="CD180" s="937"/>
      <c r="CE180" s="937"/>
      <c r="CF180" s="937"/>
      <c r="CG180" s="937"/>
      <c r="CH180" s="937"/>
      <c r="CI180" s="937"/>
      <c r="CJ180" s="937"/>
      <c r="CK180" s="937"/>
      <c r="CL180" s="937"/>
      <c r="CM180" s="937"/>
      <c r="CN180" s="937"/>
      <c r="CO180" s="937"/>
    </row>
    <row r="181" spans="17:93" s="918" customFormat="1" x14ac:dyDescent="0.35">
      <c r="Q181" s="937"/>
      <c r="R181" s="937"/>
      <c r="S181" s="937"/>
      <c r="T181" s="937"/>
      <c r="U181" s="937"/>
      <c r="V181" s="937"/>
      <c r="W181" s="937"/>
      <c r="X181" s="937"/>
      <c r="Y181" s="937"/>
      <c r="Z181" s="937"/>
      <c r="AA181" s="937"/>
      <c r="AB181" s="937"/>
      <c r="AC181" s="963"/>
      <c r="AD181" s="963"/>
      <c r="AE181" s="963"/>
      <c r="AF181" s="937"/>
      <c r="AG181" s="937"/>
      <c r="AH181" s="937"/>
      <c r="AI181" s="937"/>
      <c r="AJ181" s="937"/>
      <c r="AK181" s="937"/>
      <c r="AL181" s="937"/>
      <c r="AM181" s="937"/>
      <c r="AN181" s="937"/>
      <c r="AO181" s="937"/>
      <c r="AP181" s="937"/>
      <c r="AQ181" s="937"/>
      <c r="AR181" s="937"/>
      <c r="AS181" s="937"/>
      <c r="AT181" s="937"/>
      <c r="AU181" s="937"/>
      <c r="AV181" s="937"/>
      <c r="AW181" s="937"/>
      <c r="AX181" s="937"/>
      <c r="AY181" s="937"/>
      <c r="AZ181" s="937"/>
      <c r="BA181" s="937"/>
      <c r="BB181" s="937"/>
      <c r="BC181" s="937"/>
      <c r="BD181" s="937"/>
      <c r="BE181" s="937"/>
      <c r="BF181" s="937"/>
      <c r="BG181" s="937"/>
      <c r="BH181" s="937"/>
      <c r="BI181" s="937"/>
      <c r="BJ181" s="937"/>
      <c r="BK181" s="937"/>
      <c r="BL181" s="937"/>
      <c r="BM181" s="937"/>
      <c r="BN181" s="937"/>
      <c r="BO181" s="937"/>
      <c r="BP181" s="937"/>
      <c r="BQ181" s="937"/>
      <c r="BR181" s="937"/>
      <c r="BS181" s="937"/>
      <c r="BT181" s="937"/>
      <c r="BU181" s="937"/>
      <c r="BV181" s="937"/>
      <c r="BW181" s="937"/>
      <c r="BX181" s="937"/>
      <c r="BY181" s="937"/>
      <c r="BZ181" s="937"/>
      <c r="CA181" s="937"/>
      <c r="CB181" s="937"/>
      <c r="CC181" s="937"/>
      <c r="CD181" s="937"/>
      <c r="CE181" s="937"/>
      <c r="CF181" s="937"/>
      <c r="CG181" s="937"/>
      <c r="CH181" s="937"/>
      <c r="CI181" s="937"/>
      <c r="CJ181" s="937"/>
      <c r="CK181" s="937"/>
      <c r="CL181" s="937"/>
      <c r="CM181" s="937"/>
      <c r="CN181" s="937"/>
      <c r="CO181" s="937"/>
    </row>
    <row r="182" spans="17:93" s="918" customFormat="1" x14ac:dyDescent="0.35">
      <c r="Q182" s="937"/>
      <c r="R182" s="937"/>
      <c r="S182" s="937"/>
      <c r="T182" s="937"/>
      <c r="U182" s="937"/>
      <c r="V182" s="937"/>
      <c r="W182" s="937"/>
      <c r="X182" s="937"/>
      <c r="Y182" s="937"/>
      <c r="Z182" s="937"/>
      <c r="AA182" s="937"/>
      <c r="AB182" s="937"/>
      <c r="AC182" s="963"/>
      <c r="AD182" s="963"/>
      <c r="AE182" s="963"/>
      <c r="AF182" s="937"/>
      <c r="AG182" s="937"/>
      <c r="AH182" s="937"/>
      <c r="AI182" s="937"/>
      <c r="AJ182" s="937"/>
      <c r="AK182" s="937"/>
      <c r="AL182" s="937"/>
      <c r="AM182" s="937"/>
      <c r="AN182" s="937"/>
      <c r="AO182" s="937"/>
      <c r="AP182" s="937"/>
      <c r="AQ182" s="937"/>
      <c r="AR182" s="937"/>
      <c r="AS182" s="937"/>
      <c r="AT182" s="937"/>
      <c r="AU182" s="937"/>
      <c r="AV182" s="937"/>
      <c r="AW182" s="937"/>
      <c r="AX182" s="937"/>
      <c r="AY182" s="937"/>
      <c r="AZ182" s="937"/>
      <c r="BA182" s="937"/>
      <c r="BB182" s="937"/>
      <c r="BC182" s="937"/>
      <c r="BD182" s="937"/>
      <c r="BE182" s="937"/>
      <c r="BF182" s="937"/>
      <c r="BG182" s="937"/>
      <c r="BH182" s="937"/>
      <c r="BI182" s="937"/>
      <c r="BJ182" s="937"/>
      <c r="BK182" s="937"/>
      <c r="BL182" s="937"/>
      <c r="BM182" s="937"/>
      <c r="BN182" s="937"/>
      <c r="BO182" s="937"/>
      <c r="BP182" s="937"/>
      <c r="BQ182" s="937"/>
      <c r="BR182" s="937"/>
      <c r="BS182" s="937"/>
      <c r="BT182" s="937"/>
      <c r="BU182" s="937"/>
      <c r="BV182" s="937"/>
      <c r="BW182" s="937"/>
      <c r="BX182" s="937"/>
      <c r="BY182" s="937"/>
      <c r="BZ182" s="937"/>
      <c r="CA182" s="937"/>
      <c r="CB182" s="937"/>
      <c r="CC182" s="937"/>
      <c r="CD182" s="937"/>
      <c r="CE182" s="937"/>
      <c r="CF182" s="937"/>
      <c r="CG182" s="937"/>
      <c r="CH182" s="937"/>
      <c r="CI182" s="937"/>
      <c r="CJ182" s="937"/>
      <c r="CK182" s="937"/>
      <c r="CL182" s="937"/>
      <c r="CM182" s="937"/>
      <c r="CN182" s="937"/>
      <c r="CO182" s="937"/>
    </row>
    <row r="183" spans="17:93" s="918" customFormat="1" x14ac:dyDescent="0.35">
      <c r="Q183" s="937"/>
      <c r="R183" s="937"/>
      <c r="S183" s="937"/>
      <c r="T183" s="937"/>
      <c r="U183" s="937"/>
      <c r="V183" s="937"/>
      <c r="W183" s="937"/>
      <c r="X183" s="937"/>
      <c r="Y183" s="937"/>
      <c r="Z183" s="937"/>
      <c r="AA183" s="937"/>
      <c r="AB183" s="937"/>
      <c r="AC183" s="963"/>
      <c r="AD183" s="963"/>
      <c r="AE183" s="963"/>
      <c r="AF183" s="937"/>
      <c r="AG183" s="937"/>
      <c r="AH183" s="937"/>
      <c r="AI183" s="937"/>
      <c r="AJ183" s="937"/>
      <c r="AK183" s="937"/>
      <c r="AL183" s="937"/>
      <c r="AM183" s="937"/>
      <c r="AN183" s="937"/>
      <c r="AO183" s="937"/>
      <c r="AP183" s="937"/>
      <c r="AQ183" s="937"/>
      <c r="AR183" s="937"/>
      <c r="AS183" s="937"/>
      <c r="AT183" s="937"/>
      <c r="AU183" s="937"/>
      <c r="AV183" s="937"/>
      <c r="AW183" s="937"/>
      <c r="AX183" s="937"/>
      <c r="AY183" s="937"/>
      <c r="AZ183" s="937"/>
      <c r="BA183" s="937"/>
      <c r="BB183" s="937"/>
      <c r="BC183" s="937"/>
      <c r="BD183" s="937"/>
      <c r="BE183" s="937"/>
      <c r="BF183" s="937"/>
      <c r="BG183" s="937"/>
      <c r="BH183" s="937"/>
      <c r="BI183" s="937"/>
      <c r="BJ183" s="937"/>
      <c r="BK183" s="937"/>
      <c r="BL183" s="937"/>
      <c r="BM183" s="937"/>
      <c r="BN183" s="937"/>
      <c r="BO183" s="937"/>
      <c r="BP183" s="937"/>
      <c r="BQ183" s="937"/>
      <c r="BR183" s="937"/>
      <c r="BS183" s="937"/>
      <c r="BT183" s="937"/>
      <c r="BU183" s="937"/>
      <c r="BV183" s="937"/>
      <c r="BW183" s="937"/>
      <c r="BX183" s="937"/>
      <c r="BY183" s="937"/>
      <c r="BZ183" s="937"/>
      <c r="CA183" s="937"/>
      <c r="CB183" s="937"/>
      <c r="CC183" s="937"/>
      <c r="CD183" s="937"/>
      <c r="CE183" s="937"/>
      <c r="CF183" s="937"/>
      <c r="CG183" s="937"/>
      <c r="CH183" s="937"/>
      <c r="CI183" s="937"/>
      <c r="CJ183" s="937"/>
      <c r="CK183" s="937"/>
      <c r="CL183" s="937"/>
      <c r="CM183" s="937"/>
      <c r="CN183" s="937"/>
      <c r="CO183" s="937"/>
    </row>
    <row r="184" spans="17:93" s="918" customFormat="1" x14ac:dyDescent="0.35">
      <c r="Q184" s="937"/>
      <c r="R184" s="937"/>
      <c r="S184" s="937"/>
      <c r="T184" s="937"/>
      <c r="U184" s="937"/>
      <c r="V184" s="937"/>
      <c r="W184" s="937"/>
      <c r="X184" s="937"/>
      <c r="Y184" s="937"/>
      <c r="Z184" s="937"/>
      <c r="AA184" s="937"/>
      <c r="AB184" s="937"/>
      <c r="AC184" s="963"/>
      <c r="AD184" s="963"/>
      <c r="AE184" s="963"/>
      <c r="AF184" s="937"/>
      <c r="AG184" s="937"/>
      <c r="AH184" s="937"/>
      <c r="AI184" s="937"/>
      <c r="AJ184" s="937"/>
      <c r="AK184" s="937"/>
      <c r="AL184" s="937"/>
      <c r="AM184" s="937"/>
      <c r="AN184" s="937"/>
      <c r="AO184" s="937"/>
      <c r="AP184" s="937"/>
      <c r="AQ184" s="937"/>
      <c r="AR184" s="937"/>
      <c r="AS184" s="937"/>
      <c r="AT184" s="937"/>
      <c r="AU184" s="937"/>
      <c r="AV184" s="937"/>
      <c r="AW184" s="937"/>
      <c r="AX184" s="937"/>
      <c r="AY184" s="937"/>
      <c r="AZ184" s="937"/>
      <c r="BA184" s="937"/>
      <c r="BB184" s="937"/>
      <c r="BC184" s="937"/>
      <c r="BD184" s="937"/>
      <c r="BE184" s="937"/>
      <c r="BF184" s="937"/>
      <c r="BG184" s="937"/>
      <c r="BH184" s="937"/>
      <c r="BI184" s="937"/>
      <c r="BJ184" s="937"/>
      <c r="BK184" s="937"/>
      <c r="BL184" s="937"/>
      <c r="BM184" s="937"/>
      <c r="BN184" s="937"/>
      <c r="BO184" s="937"/>
      <c r="BP184" s="937"/>
      <c r="BQ184" s="937"/>
      <c r="BR184" s="937"/>
      <c r="BS184" s="937"/>
      <c r="BT184" s="937"/>
      <c r="BU184" s="937"/>
      <c r="BV184" s="937"/>
      <c r="BW184" s="937"/>
      <c r="BX184" s="937"/>
      <c r="BY184" s="937"/>
      <c r="BZ184" s="937"/>
      <c r="CA184" s="937"/>
      <c r="CB184" s="937"/>
      <c r="CC184" s="937"/>
      <c r="CD184" s="937"/>
      <c r="CE184" s="937"/>
      <c r="CF184" s="937"/>
      <c r="CG184" s="937"/>
      <c r="CH184" s="937"/>
      <c r="CI184" s="937"/>
      <c r="CJ184" s="937"/>
      <c r="CK184" s="937"/>
      <c r="CL184" s="937"/>
      <c r="CM184" s="937"/>
      <c r="CN184" s="937"/>
      <c r="CO184" s="937"/>
    </row>
    <row r="185" spans="17:93" s="918" customFormat="1" x14ac:dyDescent="0.35">
      <c r="Q185" s="937"/>
      <c r="R185" s="937"/>
      <c r="S185" s="937"/>
      <c r="T185" s="937"/>
      <c r="U185" s="937"/>
      <c r="V185" s="937"/>
      <c r="W185" s="937"/>
      <c r="X185" s="937"/>
      <c r="Y185" s="937"/>
      <c r="Z185" s="937"/>
      <c r="AA185" s="937"/>
      <c r="AB185" s="937"/>
      <c r="AC185" s="963"/>
      <c r="AD185" s="963"/>
      <c r="AE185" s="963"/>
      <c r="AF185" s="937"/>
      <c r="AG185" s="937"/>
      <c r="AH185" s="937"/>
      <c r="AI185" s="937"/>
      <c r="AJ185" s="937"/>
      <c r="AK185" s="937"/>
      <c r="AL185" s="937"/>
      <c r="AM185" s="937"/>
      <c r="AN185" s="937"/>
      <c r="AO185" s="937"/>
      <c r="AP185" s="937"/>
      <c r="AQ185" s="937"/>
      <c r="AR185" s="937"/>
      <c r="AS185" s="937"/>
      <c r="AT185" s="937"/>
      <c r="AU185" s="937"/>
      <c r="AV185" s="937"/>
      <c r="AW185" s="937"/>
      <c r="AX185" s="937"/>
      <c r="AY185" s="937"/>
      <c r="AZ185" s="937"/>
      <c r="BA185" s="937"/>
      <c r="BB185" s="937"/>
      <c r="BC185" s="937"/>
      <c r="BD185" s="937"/>
      <c r="BE185" s="937"/>
      <c r="BF185" s="937"/>
      <c r="BG185" s="937"/>
      <c r="BH185" s="937"/>
      <c r="BI185" s="937"/>
      <c r="BJ185" s="937"/>
      <c r="BK185" s="937"/>
      <c r="BL185" s="937"/>
      <c r="BM185" s="937"/>
      <c r="BN185" s="937"/>
      <c r="BO185" s="937"/>
      <c r="BP185" s="937"/>
      <c r="BQ185" s="937"/>
      <c r="BR185" s="937"/>
      <c r="BS185" s="937"/>
      <c r="BT185" s="937"/>
      <c r="BU185" s="937"/>
      <c r="BV185" s="937"/>
      <c r="BW185" s="937"/>
      <c r="BX185" s="937"/>
      <c r="BY185" s="937"/>
      <c r="BZ185" s="937"/>
      <c r="CA185" s="937"/>
      <c r="CB185" s="937"/>
      <c r="CC185" s="937"/>
      <c r="CD185" s="937"/>
      <c r="CE185" s="937"/>
      <c r="CF185" s="937"/>
      <c r="CG185" s="937"/>
      <c r="CH185" s="937"/>
      <c r="CI185" s="937"/>
      <c r="CJ185" s="937"/>
      <c r="CK185" s="937"/>
      <c r="CL185" s="937"/>
      <c r="CM185" s="937"/>
      <c r="CN185" s="937"/>
      <c r="CO185" s="937"/>
    </row>
    <row r="186" spans="17:93" s="918" customFormat="1" x14ac:dyDescent="0.35">
      <c r="Q186" s="937"/>
      <c r="R186" s="937"/>
      <c r="S186" s="937"/>
      <c r="T186" s="937"/>
      <c r="U186" s="937"/>
      <c r="V186" s="937"/>
      <c r="W186" s="937"/>
      <c r="X186" s="937"/>
      <c r="Y186" s="937"/>
      <c r="Z186" s="937"/>
      <c r="AA186" s="937"/>
      <c r="AB186" s="937"/>
      <c r="AC186" s="963"/>
      <c r="AD186" s="963"/>
      <c r="AE186" s="963"/>
      <c r="AF186" s="937"/>
      <c r="AG186" s="937"/>
      <c r="AH186" s="937"/>
      <c r="AI186" s="937"/>
      <c r="AJ186" s="937"/>
      <c r="AK186" s="937"/>
      <c r="AL186" s="937"/>
      <c r="AM186" s="937"/>
      <c r="AN186" s="937"/>
      <c r="AO186" s="937"/>
      <c r="AP186" s="937"/>
      <c r="AQ186" s="937"/>
      <c r="AR186" s="937"/>
      <c r="AS186" s="937"/>
      <c r="AT186" s="937"/>
      <c r="AU186" s="937"/>
      <c r="AV186" s="937"/>
      <c r="AW186" s="937"/>
      <c r="AX186" s="937"/>
      <c r="AY186" s="937"/>
      <c r="AZ186" s="937"/>
      <c r="BA186" s="937"/>
      <c r="BB186" s="937"/>
      <c r="BC186" s="937"/>
      <c r="BD186" s="937"/>
      <c r="BE186" s="937"/>
      <c r="BF186" s="937"/>
      <c r="BG186" s="937"/>
      <c r="BH186" s="937"/>
      <c r="BI186" s="937"/>
      <c r="BJ186" s="937"/>
      <c r="BK186" s="937"/>
      <c r="BL186" s="937"/>
      <c r="BM186" s="937"/>
      <c r="BN186" s="937"/>
      <c r="BO186" s="937"/>
      <c r="BP186" s="937"/>
      <c r="BQ186" s="937"/>
      <c r="BR186" s="937"/>
      <c r="BS186" s="937"/>
      <c r="BT186" s="937"/>
      <c r="BU186" s="937"/>
      <c r="BV186" s="937"/>
      <c r="BW186" s="937"/>
      <c r="BX186" s="937"/>
      <c r="BY186" s="937"/>
      <c r="BZ186" s="937"/>
      <c r="CA186" s="937"/>
      <c r="CB186" s="937"/>
      <c r="CC186" s="937"/>
      <c r="CD186" s="937"/>
      <c r="CE186" s="937"/>
      <c r="CF186" s="937"/>
      <c r="CG186" s="937"/>
      <c r="CH186" s="937"/>
      <c r="CI186" s="937"/>
      <c r="CJ186" s="937"/>
      <c r="CK186" s="937"/>
      <c r="CL186" s="937"/>
      <c r="CM186" s="937"/>
      <c r="CN186" s="937"/>
      <c r="CO186" s="937"/>
    </row>
    <row r="187" spans="17:93" s="918" customFormat="1" x14ac:dyDescent="0.35">
      <c r="Q187" s="937"/>
      <c r="R187" s="937"/>
      <c r="S187" s="937"/>
      <c r="T187" s="937"/>
      <c r="U187" s="937"/>
      <c r="V187" s="937"/>
      <c r="W187" s="937"/>
      <c r="X187" s="937"/>
      <c r="Y187" s="937"/>
      <c r="Z187" s="937"/>
      <c r="AA187" s="937"/>
      <c r="AB187" s="937"/>
      <c r="AC187" s="963"/>
      <c r="AD187" s="963"/>
      <c r="AE187" s="963"/>
      <c r="AF187" s="937"/>
      <c r="AG187" s="937"/>
      <c r="AH187" s="937"/>
      <c r="AI187" s="937"/>
      <c r="AJ187" s="937"/>
      <c r="AK187" s="937"/>
      <c r="AL187" s="937"/>
      <c r="AM187" s="937"/>
      <c r="AN187" s="937"/>
      <c r="AO187" s="937"/>
      <c r="AP187" s="937"/>
      <c r="AQ187" s="937"/>
      <c r="AR187" s="937"/>
      <c r="AS187" s="937"/>
      <c r="AT187" s="937"/>
      <c r="AU187" s="937"/>
      <c r="AV187" s="937"/>
      <c r="AW187" s="937"/>
      <c r="AX187" s="937"/>
      <c r="AY187" s="937"/>
      <c r="AZ187" s="937"/>
      <c r="BA187" s="937"/>
      <c r="BB187" s="937"/>
      <c r="BC187" s="937"/>
      <c r="BD187" s="937"/>
      <c r="BE187" s="937"/>
      <c r="BF187" s="937"/>
      <c r="BG187" s="937"/>
      <c r="BH187" s="937"/>
      <c r="BI187" s="937"/>
      <c r="BJ187" s="937"/>
      <c r="BK187" s="937"/>
      <c r="BL187" s="937"/>
      <c r="BM187" s="937"/>
      <c r="BN187" s="937"/>
      <c r="BO187" s="937"/>
      <c r="BP187" s="937"/>
      <c r="BQ187" s="937"/>
      <c r="BR187" s="937"/>
      <c r="BS187" s="937"/>
      <c r="BT187" s="937"/>
      <c r="BU187" s="937"/>
      <c r="BV187" s="937"/>
      <c r="BW187" s="937"/>
      <c r="BX187" s="937"/>
      <c r="BY187" s="937"/>
      <c r="BZ187" s="937"/>
      <c r="CA187" s="937"/>
      <c r="CB187" s="937"/>
      <c r="CC187" s="937"/>
      <c r="CD187" s="937"/>
      <c r="CE187" s="937"/>
      <c r="CF187" s="937"/>
      <c r="CG187" s="937"/>
      <c r="CH187" s="937"/>
      <c r="CI187" s="937"/>
      <c r="CJ187" s="937"/>
      <c r="CK187" s="937"/>
      <c r="CL187" s="937"/>
      <c r="CM187" s="937"/>
      <c r="CN187" s="937"/>
      <c r="CO187" s="937"/>
    </row>
    <row r="188" spans="17:93" s="918" customFormat="1" x14ac:dyDescent="0.35">
      <c r="Q188" s="937"/>
      <c r="R188" s="937"/>
      <c r="S188" s="937"/>
      <c r="T188" s="937"/>
      <c r="U188" s="937"/>
      <c r="V188" s="937"/>
      <c r="W188" s="937"/>
      <c r="X188" s="937"/>
      <c r="Y188" s="937"/>
      <c r="Z188" s="937"/>
      <c r="AA188" s="937"/>
      <c r="AB188" s="937"/>
      <c r="AC188" s="963"/>
      <c r="AD188" s="963"/>
      <c r="AE188" s="963"/>
      <c r="AF188" s="937"/>
      <c r="AG188" s="937"/>
      <c r="AH188" s="937"/>
      <c r="AI188" s="937"/>
      <c r="AJ188" s="937"/>
      <c r="AK188" s="937"/>
      <c r="AL188" s="937"/>
      <c r="AM188" s="937"/>
      <c r="AN188" s="937"/>
      <c r="AO188" s="937"/>
      <c r="AP188" s="937"/>
      <c r="AQ188" s="937"/>
      <c r="AR188" s="937"/>
      <c r="AS188" s="937"/>
      <c r="AT188" s="937"/>
      <c r="AU188" s="937"/>
      <c r="AV188" s="937"/>
      <c r="AW188" s="937"/>
      <c r="AX188" s="937"/>
      <c r="AY188" s="937"/>
      <c r="AZ188" s="937"/>
      <c r="BA188" s="937"/>
      <c r="BB188" s="937"/>
      <c r="BC188" s="937"/>
      <c r="BD188" s="937"/>
      <c r="BE188" s="937"/>
      <c r="BF188" s="937"/>
      <c r="BG188" s="937"/>
      <c r="BH188" s="937"/>
      <c r="BI188" s="937"/>
      <c r="BJ188" s="937"/>
      <c r="BK188" s="937"/>
      <c r="BL188" s="937"/>
      <c r="BM188" s="937"/>
      <c r="BN188" s="937"/>
      <c r="BO188" s="937"/>
      <c r="BP188" s="937"/>
      <c r="BQ188" s="937"/>
      <c r="BR188" s="937"/>
      <c r="BS188" s="937"/>
      <c r="BT188" s="937"/>
      <c r="BU188" s="937"/>
      <c r="BV188" s="937"/>
      <c r="BW188" s="937"/>
      <c r="BX188" s="937"/>
      <c r="BY188" s="937"/>
      <c r="BZ188" s="937"/>
      <c r="CA188" s="937"/>
      <c r="CB188" s="937"/>
      <c r="CC188" s="937"/>
      <c r="CD188" s="937"/>
      <c r="CE188" s="937"/>
      <c r="CF188" s="937"/>
      <c r="CG188" s="937"/>
      <c r="CH188" s="937"/>
      <c r="CI188" s="937"/>
      <c r="CJ188" s="937"/>
      <c r="CK188" s="937"/>
      <c r="CL188" s="937"/>
      <c r="CM188" s="937"/>
      <c r="CN188" s="937"/>
      <c r="CO188" s="937"/>
    </row>
    <row r="189" spans="17:93" s="918" customFormat="1" x14ac:dyDescent="0.35">
      <c r="Q189" s="937"/>
      <c r="R189" s="937"/>
      <c r="S189" s="937"/>
      <c r="T189" s="937"/>
      <c r="U189" s="937"/>
      <c r="V189" s="937"/>
      <c r="W189" s="937"/>
      <c r="X189" s="937"/>
      <c r="Y189" s="937"/>
      <c r="Z189" s="937"/>
      <c r="AA189" s="937"/>
      <c r="AB189" s="937"/>
      <c r="AC189" s="963"/>
      <c r="AD189" s="963"/>
      <c r="AE189" s="963"/>
      <c r="AF189" s="937"/>
      <c r="AG189" s="937"/>
      <c r="AH189" s="937"/>
      <c r="AI189" s="937"/>
      <c r="AJ189" s="937"/>
      <c r="AK189" s="937"/>
      <c r="AL189" s="937"/>
      <c r="AM189" s="937"/>
      <c r="AN189" s="937"/>
      <c r="AO189" s="937"/>
      <c r="AP189" s="937"/>
      <c r="AQ189" s="937"/>
      <c r="AR189" s="937"/>
      <c r="AS189" s="937"/>
      <c r="AT189" s="937"/>
      <c r="AU189" s="937"/>
      <c r="AV189" s="937"/>
      <c r="AW189" s="937"/>
      <c r="AX189" s="937"/>
      <c r="AY189" s="937"/>
      <c r="AZ189" s="937"/>
      <c r="BA189" s="937"/>
      <c r="BB189" s="937"/>
      <c r="BC189" s="937"/>
      <c r="BD189" s="937"/>
      <c r="BE189" s="937"/>
      <c r="BF189" s="937"/>
      <c r="BG189" s="937"/>
      <c r="BH189" s="937"/>
      <c r="BI189" s="937"/>
      <c r="BJ189" s="937"/>
      <c r="BK189" s="937"/>
      <c r="BL189" s="937"/>
      <c r="BM189" s="937"/>
      <c r="BN189" s="937"/>
      <c r="BO189" s="937"/>
      <c r="BP189" s="937"/>
      <c r="BQ189" s="937"/>
      <c r="BR189" s="937"/>
      <c r="BS189" s="937"/>
      <c r="BT189" s="937"/>
      <c r="BU189" s="937"/>
      <c r="BV189" s="937"/>
      <c r="BW189" s="937"/>
      <c r="BX189" s="937"/>
      <c r="BY189" s="937"/>
      <c r="BZ189" s="937"/>
      <c r="CA189" s="937"/>
      <c r="CB189" s="937"/>
      <c r="CC189" s="937"/>
      <c r="CD189" s="937"/>
      <c r="CE189" s="937"/>
      <c r="CF189" s="937"/>
      <c r="CG189" s="937"/>
      <c r="CH189" s="937"/>
      <c r="CI189" s="937"/>
      <c r="CJ189" s="937"/>
      <c r="CK189" s="937"/>
      <c r="CL189" s="937"/>
      <c r="CM189" s="937"/>
      <c r="CN189" s="937"/>
      <c r="CO189" s="937"/>
    </row>
    <row r="190" spans="17:93" s="918" customFormat="1" x14ac:dyDescent="0.35">
      <c r="Q190" s="937"/>
      <c r="R190" s="937"/>
      <c r="S190" s="937"/>
      <c r="T190" s="937"/>
      <c r="U190" s="937"/>
      <c r="V190" s="937"/>
      <c r="W190" s="937"/>
      <c r="X190" s="937"/>
      <c r="Y190" s="937"/>
      <c r="Z190" s="937"/>
      <c r="AA190" s="937"/>
      <c r="AB190" s="937"/>
      <c r="AC190" s="963"/>
      <c r="AD190" s="963"/>
      <c r="AE190" s="963"/>
      <c r="AF190" s="937"/>
      <c r="AG190" s="937"/>
      <c r="AH190" s="937"/>
      <c r="AI190" s="937"/>
      <c r="AJ190" s="937"/>
      <c r="AK190" s="937"/>
      <c r="AL190" s="937"/>
      <c r="AM190" s="937"/>
      <c r="AN190" s="937"/>
      <c r="AO190" s="937"/>
      <c r="AP190" s="937"/>
      <c r="AQ190" s="937"/>
      <c r="AR190" s="937"/>
      <c r="AS190" s="937"/>
      <c r="AT190" s="937"/>
      <c r="AU190" s="937"/>
      <c r="AV190" s="937"/>
      <c r="AW190" s="937"/>
      <c r="AX190" s="937"/>
      <c r="AY190" s="937"/>
      <c r="AZ190" s="937"/>
      <c r="BA190" s="937"/>
      <c r="BB190" s="937"/>
      <c r="BC190" s="937"/>
      <c r="BD190" s="937"/>
      <c r="BE190" s="937"/>
      <c r="BF190" s="937"/>
      <c r="BG190" s="937"/>
      <c r="BH190" s="937"/>
      <c r="BI190" s="937"/>
      <c r="BJ190" s="937"/>
      <c r="BK190" s="937"/>
      <c r="BL190" s="937"/>
      <c r="BM190" s="937"/>
      <c r="BN190" s="937"/>
      <c r="BO190" s="937"/>
      <c r="BP190" s="937"/>
      <c r="BQ190" s="937"/>
      <c r="BR190" s="937"/>
      <c r="BS190" s="937"/>
      <c r="BT190" s="937"/>
      <c r="BU190" s="937"/>
      <c r="BV190" s="937"/>
      <c r="BW190" s="937"/>
      <c r="BX190" s="937"/>
      <c r="BY190" s="937"/>
      <c r="BZ190" s="937"/>
      <c r="CA190" s="937"/>
      <c r="CB190" s="937"/>
      <c r="CC190" s="937"/>
      <c r="CD190" s="937"/>
      <c r="CE190" s="937"/>
      <c r="CF190" s="937"/>
      <c r="CG190" s="937"/>
      <c r="CH190" s="937"/>
      <c r="CI190" s="937"/>
      <c r="CJ190" s="937"/>
      <c r="CK190" s="937"/>
      <c r="CL190" s="937"/>
      <c r="CM190" s="937"/>
      <c r="CN190" s="937"/>
      <c r="CO190" s="937"/>
    </row>
    <row r="191" spans="17:93" s="918" customFormat="1" x14ac:dyDescent="0.35">
      <c r="Q191" s="937"/>
      <c r="R191" s="937"/>
      <c r="S191" s="937"/>
      <c r="T191" s="937"/>
      <c r="U191" s="937"/>
      <c r="V191" s="937"/>
      <c r="W191" s="937"/>
      <c r="X191" s="937"/>
      <c r="Y191" s="937"/>
      <c r="Z191" s="937"/>
      <c r="AA191" s="937"/>
      <c r="AB191" s="937"/>
      <c r="AC191" s="963"/>
      <c r="AD191" s="963"/>
      <c r="AE191" s="963"/>
      <c r="AF191" s="937"/>
      <c r="AG191" s="937"/>
      <c r="AH191" s="937"/>
      <c r="AI191" s="937"/>
      <c r="AJ191" s="937"/>
      <c r="AK191" s="937"/>
      <c r="AL191" s="937"/>
      <c r="AM191" s="937"/>
      <c r="AN191" s="937"/>
      <c r="AO191" s="937"/>
      <c r="AP191" s="937"/>
      <c r="AQ191" s="937"/>
      <c r="AR191" s="937"/>
      <c r="AS191" s="937"/>
      <c r="AT191" s="937"/>
      <c r="AU191" s="937"/>
      <c r="AV191" s="937"/>
      <c r="AW191" s="937"/>
      <c r="AX191" s="937"/>
      <c r="AY191" s="937"/>
      <c r="AZ191" s="937"/>
      <c r="BA191" s="937"/>
      <c r="BB191" s="937"/>
      <c r="BC191" s="937"/>
      <c r="BD191" s="937"/>
      <c r="BE191" s="937"/>
      <c r="BF191" s="937"/>
      <c r="BG191" s="937"/>
      <c r="BH191" s="937"/>
      <c r="BI191" s="937"/>
      <c r="BJ191" s="937"/>
      <c r="BK191" s="937"/>
      <c r="BL191" s="937"/>
      <c r="BM191" s="937"/>
      <c r="BN191" s="937"/>
      <c r="BO191" s="937"/>
      <c r="BP191" s="937"/>
      <c r="BQ191" s="937"/>
      <c r="BR191" s="937"/>
      <c r="BS191" s="937"/>
      <c r="BT191" s="937"/>
      <c r="BU191" s="937"/>
      <c r="BV191" s="937"/>
      <c r="BW191" s="937"/>
      <c r="BX191" s="937"/>
      <c r="BY191" s="937"/>
      <c r="BZ191" s="937"/>
      <c r="CA191" s="937"/>
      <c r="CB191" s="937"/>
      <c r="CC191" s="937"/>
      <c r="CD191" s="937"/>
      <c r="CE191" s="937"/>
      <c r="CF191" s="937"/>
      <c r="CG191" s="937"/>
      <c r="CH191" s="937"/>
      <c r="CI191" s="937"/>
      <c r="CJ191" s="937"/>
      <c r="CK191" s="937"/>
      <c r="CL191" s="937"/>
      <c r="CM191" s="937"/>
      <c r="CN191" s="937"/>
      <c r="CO191" s="937"/>
    </row>
    <row r="192" spans="17:93" s="918" customFormat="1" x14ac:dyDescent="0.35">
      <c r="Q192" s="937"/>
      <c r="R192" s="937"/>
      <c r="S192" s="937"/>
      <c r="T192" s="937"/>
      <c r="U192" s="937"/>
      <c r="V192" s="937"/>
      <c r="W192" s="937"/>
      <c r="X192" s="937"/>
      <c r="Y192" s="937"/>
      <c r="Z192" s="937"/>
      <c r="AA192" s="937"/>
      <c r="AB192" s="937"/>
      <c r="AC192" s="963"/>
      <c r="AD192" s="963"/>
      <c r="AE192" s="963"/>
      <c r="AF192" s="937"/>
      <c r="AG192" s="937"/>
      <c r="AH192" s="937"/>
      <c r="AI192" s="937"/>
      <c r="AJ192" s="937"/>
      <c r="AK192" s="937"/>
      <c r="AL192" s="937"/>
      <c r="AM192" s="937"/>
      <c r="AN192" s="937"/>
      <c r="AO192" s="937"/>
      <c r="AP192" s="937"/>
      <c r="AQ192" s="937"/>
      <c r="AR192" s="937"/>
      <c r="AS192" s="937"/>
      <c r="AT192" s="937"/>
      <c r="AU192" s="937"/>
      <c r="AV192" s="937"/>
      <c r="AW192" s="937"/>
      <c r="AX192" s="937"/>
      <c r="AY192" s="937"/>
      <c r="AZ192" s="937"/>
      <c r="BA192" s="937"/>
      <c r="BB192" s="937"/>
      <c r="BC192" s="937"/>
      <c r="BD192" s="937"/>
      <c r="BE192" s="937"/>
      <c r="BF192" s="937"/>
      <c r="BG192" s="937"/>
      <c r="BH192" s="937"/>
      <c r="BI192" s="937"/>
      <c r="BJ192" s="937"/>
      <c r="BK192" s="937"/>
      <c r="BL192" s="937"/>
      <c r="BM192" s="937"/>
      <c r="BN192" s="937"/>
      <c r="BO192" s="937"/>
      <c r="BP192" s="937"/>
      <c r="BQ192" s="937"/>
      <c r="BR192" s="937"/>
      <c r="BS192" s="937"/>
      <c r="BT192" s="937"/>
      <c r="BU192" s="937"/>
      <c r="BV192" s="937"/>
      <c r="BW192" s="937"/>
      <c r="BX192" s="937"/>
      <c r="BY192" s="937"/>
      <c r="BZ192" s="937"/>
      <c r="CA192" s="937"/>
      <c r="CB192" s="937"/>
      <c r="CC192" s="937"/>
      <c r="CD192" s="937"/>
      <c r="CE192" s="937"/>
      <c r="CF192" s="937"/>
      <c r="CG192" s="937"/>
      <c r="CH192" s="937"/>
      <c r="CI192" s="937"/>
      <c r="CJ192" s="937"/>
      <c r="CK192" s="937"/>
      <c r="CL192" s="937"/>
      <c r="CM192" s="937"/>
      <c r="CN192" s="937"/>
      <c r="CO192" s="937"/>
    </row>
    <row r="193" spans="17:93" s="918" customFormat="1" x14ac:dyDescent="0.35">
      <c r="Q193" s="937"/>
      <c r="R193" s="937"/>
      <c r="S193" s="937"/>
      <c r="T193" s="937"/>
      <c r="U193" s="937"/>
      <c r="V193" s="937"/>
      <c r="W193" s="937"/>
      <c r="X193" s="937"/>
      <c r="Y193" s="937"/>
      <c r="Z193" s="937"/>
      <c r="AA193" s="937"/>
      <c r="AB193" s="937"/>
      <c r="AC193" s="963"/>
      <c r="AD193" s="963"/>
      <c r="AE193" s="963"/>
      <c r="AF193" s="937"/>
      <c r="AG193" s="937"/>
      <c r="AH193" s="937"/>
      <c r="AI193" s="937"/>
      <c r="AJ193" s="937"/>
      <c r="AK193" s="937"/>
      <c r="AL193" s="937"/>
      <c r="AM193" s="937"/>
      <c r="AN193" s="937"/>
      <c r="AO193" s="937"/>
      <c r="AP193" s="937"/>
      <c r="AQ193" s="937"/>
      <c r="AR193" s="937"/>
      <c r="AS193" s="937"/>
      <c r="AT193" s="937"/>
      <c r="AU193" s="937"/>
      <c r="AV193" s="937"/>
      <c r="AW193" s="937"/>
      <c r="AX193" s="937"/>
      <c r="AY193" s="937"/>
      <c r="AZ193" s="937"/>
      <c r="BA193" s="937"/>
      <c r="BB193" s="937"/>
      <c r="BC193" s="937"/>
      <c r="BD193" s="937"/>
      <c r="BE193" s="937"/>
      <c r="BF193" s="937"/>
      <c r="BG193" s="937"/>
      <c r="BH193" s="937"/>
      <c r="BI193" s="937"/>
      <c r="BJ193" s="937"/>
      <c r="BK193" s="937"/>
      <c r="BL193" s="937"/>
      <c r="BM193" s="937"/>
      <c r="BN193" s="937"/>
      <c r="BO193" s="937"/>
      <c r="BP193" s="937"/>
      <c r="BQ193" s="937"/>
      <c r="BR193" s="937"/>
      <c r="BS193" s="937"/>
      <c r="BT193" s="937"/>
      <c r="BU193" s="937"/>
      <c r="BV193" s="937"/>
      <c r="BW193" s="937"/>
      <c r="BX193" s="937"/>
      <c r="BY193" s="937"/>
      <c r="BZ193" s="937"/>
      <c r="CA193" s="937"/>
      <c r="CB193" s="937"/>
      <c r="CC193" s="937"/>
      <c r="CD193" s="937"/>
      <c r="CE193" s="937"/>
      <c r="CF193" s="937"/>
      <c r="CG193" s="937"/>
      <c r="CH193" s="937"/>
      <c r="CI193" s="937"/>
      <c r="CJ193" s="937"/>
      <c r="CK193" s="937"/>
      <c r="CL193" s="937"/>
      <c r="CM193" s="937"/>
      <c r="CN193" s="937"/>
      <c r="CO193" s="937"/>
    </row>
    <row r="194" spans="17:93" s="918" customFormat="1" x14ac:dyDescent="0.35">
      <c r="Q194" s="937"/>
      <c r="R194" s="937"/>
      <c r="S194" s="937"/>
      <c r="T194" s="937"/>
      <c r="U194" s="937"/>
      <c r="V194" s="937"/>
      <c r="W194" s="937"/>
      <c r="X194" s="937"/>
      <c r="Y194" s="937"/>
      <c r="Z194" s="937"/>
      <c r="AA194" s="937"/>
      <c r="AB194" s="937"/>
      <c r="AC194" s="963"/>
      <c r="AD194" s="963"/>
      <c r="AE194" s="963"/>
      <c r="AF194" s="937"/>
      <c r="AG194" s="937"/>
      <c r="AH194" s="937"/>
      <c r="AI194" s="937"/>
      <c r="AJ194" s="937"/>
      <c r="AK194" s="937"/>
      <c r="AL194" s="937"/>
      <c r="AM194" s="937"/>
      <c r="AN194" s="937"/>
      <c r="AO194" s="937"/>
      <c r="AP194" s="937"/>
      <c r="AQ194" s="937"/>
      <c r="AR194" s="937"/>
      <c r="AS194" s="937"/>
      <c r="AT194" s="937"/>
      <c r="AU194" s="937"/>
      <c r="AV194" s="937"/>
      <c r="AW194" s="937"/>
      <c r="AX194" s="937"/>
      <c r="AY194" s="937"/>
      <c r="AZ194" s="937"/>
      <c r="BA194" s="937"/>
      <c r="BB194" s="937"/>
      <c r="BC194" s="937"/>
      <c r="BD194" s="937"/>
      <c r="BE194" s="937"/>
      <c r="BF194" s="937"/>
      <c r="BG194" s="937"/>
      <c r="BH194" s="937"/>
      <c r="BI194" s="937"/>
      <c r="BJ194" s="937"/>
      <c r="BK194" s="937"/>
      <c r="BL194" s="937"/>
      <c r="BM194" s="937"/>
      <c r="BN194" s="937"/>
      <c r="BO194" s="937"/>
      <c r="BP194" s="937"/>
      <c r="BQ194" s="937"/>
      <c r="BR194" s="937"/>
      <c r="BS194" s="937"/>
      <c r="BT194" s="937"/>
      <c r="BU194" s="937"/>
      <c r="BV194" s="937"/>
      <c r="BW194" s="937"/>
      <c r="BX194" s="937"/>
      <c r="BY194" s="937"/>
      <c r="BZ194" s="937"/>
      <c r="CA194" s="937"/>
      <c r="CB194" s="937"/>
      <c r="CC194" s="937"/>
      <c r="CD194" s="937"/>
      <c r="CE194" s="937"/>
      <c r="CF194" s="937"/>
      <c r="CG194" s="937"/>
      <c r="CH194" s="937"/>
      <c r="CI194" s="937"/>
      <c r="CJ194" s="937"/>
      <c r="CK194" s="937"/>
      <c r="CL194" s="937"/>
      <c r="CM194" s="937"/>
      <c r="CN194" s="937"/>
      <c r="CO194" s="937"/>
    </row>
    <row r="195" spans="17:93" s="918" customFormat="1" x14ac:dyDescent="0.35">
      <c r="Q195" s="937"/>
      <c r="R195" s="937"/>
      <c r="S195" s="937"/>
      <c r="T195" s="937"/>
      <c r="U195" s="937"/>
      <c r="V195" s="937"/>
      <c r="W195" s="937"/>
      <c r="X195" s="937"/>
      <c r="Y195" s="937"/>
      <c r="Z195" s="937"/>
      <c r="AA195" s="937"/>
      <c r="AB195" s="937"/>
      <c r="AC195" s="963"/>
      <c r="AD195" s="963"/>
      <c r="AE195" s="963"/>
      <c r="AF195" s="937"/>
      <c r="AG195" s="937"/>
      <c r="AH195" s="937"/>
      <c r="AI195" s="937"/>
      <c r="AJ195" s="937"/>
      <c r="AK195" s="937"/>
      <c r="AL195" s="937"/>
      <c r="AM195" s="937"/>
      <c r="AN195" s="937"/>
      <c r="AO195" s="937"/>
      <c r="AP195" s="937"/>
      <c r="AQ195" s="937"/>
      <c r="AR195" s="937"/>
      <c r="AS195" s="937"/>
      <c r="AT195" s="937"/>
      <c r="AU195" s="937"/>
      <c r="AV195" s="937"/>
      <c r="AW195" s="937"/>
      <c r="AX195" s="937"/>
      <c r="AY195" s="937"/>
      <c r="AZ195" s="937"/>
      <c r="BA195" s="937"/>
      <c r="BB195" s="937"/>
      <c r="BC195" s="937"/>
      <c r="BD195" s="937"/>
      <c r="BE195" s="937"/>
      <c r="BF195" s="937"/>
      <c r="BG195" s="937"/>
      <c r="BH195" s="937"/>
      <c r="BI195" s="937"/>
      <c r="BJ195" s="937"/>
      <c r="BK195" s="937"/>
      <c r="BL195" s="937"/>
      <c r="BM195" s="937"/>
      <c r="BN195" s="937"/>
      <c r="BO195" s="937"/>
      <c r="BP195" s="937"/>
      <c r="BQ195" s="937"/>
      <c r="BR195" s="937"/>
      <c r="BS195" s="937"/>
      <c r="BT195" s="937"/>
      <c r="BU195" s="937"/>
      <c r="BV195" s="937"/>
      <c r="BW195" s="937"/>
      <c r="BX195" s="937"/>
      <c r="BY195" s="937"/>
      <c r="BZ195" s="937"/>
      <c r="CA195" s="937"/>
      <c r="CB195" s="937"/>
      <c r="CC195" s="937"/>
      <c r="CD195" s="937"/>
      <c r="CE195" s="937"/>
      <c r="CF195" s="937"/>
      <c r="CG195" s="937"/>
      <c r="CH195" s="937"/>
      <c r="CI195" s="937"/>
      <c r="CJ195" s="937"/>
      <c r="CK195" s="937"/>
      <c r="CL195" s="937"/>
      <c r="CM195" s="937"/>
      <c r="CN195" s="937"/>
      <c r="CO195" s="937"/>
    </row>
    <row r="196" spans="17:93" s="918" customFormat="1" x14ac:dyDescent="0.35">
      <c r="Q196" s="937"/>
      <c r="R196" s="937"/>
      <c r="S196" s="937"/>
      <c r="T196" s="937"/>
      <c r="U196" s="937"/>
      <c r="V196" s="937"/>
      <c r="W196" s="937"/>
      <c r="X196" s="937"/>
      <c r="Y196" s="937"/>
      <c r="Z196" s="937"/>
      <c r="AA196" s="937"/>
      <c r="AB196" s="937"/>
      <c r="AC196" s="963"/>
      <c r="AD196" s="963"/>
      <c r="AE196" s="963"/>
      <c r="AF196" s="937"/>
      <c r="AG196" s="937"/>
      <c r="AH196" s="937"/>
      <c r="AI196" s="937"/>
      <c r="AJ196" s="937"/>
      <c r="AK196" s="937"/>
      <c r="AL196" s="937"/>
      <c r="AM196" s="937"/>
      <c r="AN196" s="937"/>
      <c r="AO196" s="937"/>
      <c r="AP196" s="937"/>
      <c r="AQ196" s="937"/>
      <c r="AR196" s="937"/>
      <c r="AS196" s="937"/>
      <c r="AT196" s="937"/>
      <c r="AU196" s="937"/>
      <c r="AV196" s="937"/>
      <c r="AW196" s="937"/>
      <c r="AX196" s="937"/>
      <c r="AY196" s="937"/>
      <c r="AZ196" s="937"/>
      <c r="BA196" s="937"/>
      <c r="BB196" s="937"/>
      <c r="BC196" s="937"/>
      <c r="BD196" s="937"/>
      <c r="BE196" s="937"/>
      <c r="BF196" s="937"/>
      <c r="BG196" s="937"/>
      <c r="BH196" s="937"/>
      <c r="BI196" s="937"/>
      <c r="BJ196" s="937"/>
      <c r="BK196" s="937"/>
      <c r="BL196" s="937"/>
      <c r="BM196" s="937"/>
      <c r="BN196" s="937"/>
      <c r="BO196" s="937"/>
      <c r="BP196" s="937"/>
      <c r="BQ196" s="937"/>
      <c r="BR196" s="937"/>
      <c r="BS196" s="937"/>
      <c r="BT196" s="937"/>
      <c r="BU196" s="937"/>
      <c r="BV196" s="937"/>
      <c r="BW196" s="937"/>
      <c r="BX196" s="937"/>
      <c r="BY196" s="937"/>
      <c r="BZ196" s="937"/>
      <c r="CA196" s="937"/>
      <c r="CB196" s="937"/>
      <c r="CC196" s="937"/>
      <c r="CD196" s="937"/>
      <c r="CE196" s="937"/>
      <c r="CF196" s="937"/>
      <c r="CG196" s="937"/>
      <c r="CH196" s="937"/>
      <c r="CI196" s="937"/>
      <c r="CJ196" s="937"/>
      <c r="CK196" s="937"/>
      <c r="CL196" s="937"/>
      <c r="CM196" s="937"/>
      <c r="CN196" s="937"/>
      <c r="CO196" s="937"/>
    </row>
    <row r="197" spans="17:93" s="918" customFormat="1" x14ac:dyDescent="0.35">
      <c r="Q197" s="937"/>
      <c r="R197" s="937"/>
      <c r="S197" s="937"/>
      <c r="T197" s="937"/>
      <c r="U197" s="937"/>
      <c r="V197" s="937"/>
      <c r="W197" s="937"/>
      <c r="X197" s="937"/>
      <c r="Y197" s="937"/>
      <c r="Z197" s="937"/>
      <c r="AA197" s="937"/>
      <c r="AB197" s="937"/>
      <c r="AC197" s="963"/>
      <c r="AD197" s="963"/>
      <c r="AE197" s="963"/>
      <c r="AF197" s="937"/>
      <c r="AG197" s="937"/>
      <c r="AH197" s="937"/>
      <c r="AI197" s="937"/>
      <c r="AJ197" s="937"/>
      <c r="AK197" s="937"/>
      <c r="AL197" s="937"/>
      <c r="AM197" s="937"/>
      <c r="AN197" s="937"/>
      <c r="AO197" s="937"/>
      <c r="AP197" s="937"/>
      <c r="AQ197" s="937"/>
      <c r="AR197" s="937"/>
      <c r="AS197" s="937"/>
      <c r="AT197" s="937"/>
      <c r="AU197" s="937"/>
      <c r="AV197" s="937"/>
      <c r="AW197" s="937"/>
      <c r="AX197" s="937"/>
      <c r="AY197" s="937"/>
      <c r="AZ197" s="937"/>
      <c r="BA197" s="937"/>
      <c r="BB197" s="937"/>
      <c r="BC197" s="937"/>
      <c r="BD197" s="937"/>
      <c r="BE197" s="937"/>
      <c r="BF197" s="937"/>
      <c r="BG197" s="937"/>
      <c r="BH197" s="937"/>
      <c r="BI197" s="937"/>
      <c r="BJ197" s="937"/>
      <c r="BK197" s="937"/>
      <c r="BL197" s="937"/>
      <c r="BM197" s="937"/>
      <c r="BN197" s="937"/>
      <c r="BO197" s="937"/>
      <c r="BP197" s="937"/>
      <c r="BQ197" s="937"/>
      <c r="BR197" s="937"/>
      <c r="BS197" s="937"/>
      <c r="BT197" s="937"/>
      <c r="BU197" s="937"/>
      <c r="BV197" s="937"/>
      <c r="BW197" s="937"/>
      <c r="BX197" s="937"/>
      <c r="BY197" s="937"/>
      <c r="BZ197" s="937"/>
      <c r="CA197" s="937"/>
      <c r="CB197" s="937"/>
      <c r="CC197" s="937"/>
      <c r="CD197" s="937"/>
      <c r="CE197" s="937"/>
      <c r="CF197" s="937"/>
      <c r="CG197" s="937"/>
      <c r="CH197" s="937"/>
      <c r="CI197" s="937"/>
      <c r="CJ197" s="937"/>
      <c r="CK197" s="937"/>
      <c r="CL197" s="937"/>
      <c r="CM197" s="937"/>
      <c r="CN197" s="937"/>
      <c r="CO197" s="937"/>
    </row>
    <row r="198" spans="17:93" s="918" customFormat="1" x14ac:dyDescent="0.35">
      <c r="Q198" s="937"/>
      <c r="R198" s="937"/>
      <c r="S198" s="937"/>
      <c r="T198" s="937"/>
      <c r="U198" s="937"/>
      <c r="V198" s="937"/>
      <c r="W198" s="937"/>
      <c r="X198" s="937"/>
      <c r="Y198" s="937"/>
      <c r="Z198" s="937"/>
      <c r="AA198" s="937"/>
      <c r="AB198" s="937"/>
      <c r="AC198" s="963"/>
      <c r="AD198" s="963"/>
      <c r="AE198" s="963"/>
      <c r="AF198" s="937"/>
      <c r="AG198" s="937"/>
      <c r="AH198" s="937"/>
      <c r="AI198" s="937"/>
      <c r="AJ198" s="937"/>
      <c r="AK198" s="937"/>
      <c r="AL198" s="937"/>
      <c r="AM198" s="937"/>
      <c r="AN198" s="937"/>
      <c r="AO198" s="937"/>
      <c r="AP198" s="937"/>
      <c r="AQ198" s="937"/>
      <c r="AR198" s="937"/>
      <c r="AS198" s="937"/>
      <c r="AT198" s="937"/>
      <c r="AU198" s="937"/>
      <c r="AV198" s="937"/>
      <c r="AW198" s="937"/>
      <c r="AX198" s="937"/>
      <c r="AY198" s="937"/>
      <c r="AZ198" s="937"/>
      <c r="BA198" s="937"/>
      <c r="BB198" s="937"/>
      <c r="BC198" s="937"/>
      <c r="BD198" s="937"/>
      <c r="BE198" s="937"/>
      <c r="BF198" s="937"/>
      <c r="BG198" s="937"/>
      <c r="BH198" s="937"/>
      <c r="BI198" s="937"/>
      <c r="BJ198" s="937"/>
      <c r="BK198" s="937"/>
      <c r="BL198" s="937"/>
      <c r="BM198" s="937"/>
      <c r="BN198" s="937"/>
      <c r="BO198" s="937"/>
      <c r="BP198" s="937"/>
      <c r="BQ198" s="937"/>
      <c r="BR198" s="937"/>
      <c r="BS198" s="937"/>
      <c r="BT198" s="937"/>
      <c r="BU198" s="937"/>
      <c r="BV198" s="937"/>
      <c r="BW198" s="937"/>
      <c r="BX198" s="937"/>
      <c r="BY198" s="937"/>
      <c r="BZ198" s="937"/>
      <c r="CA198" s="937"/>
      <c r="CB198" s="937"/>
      <c r="CC198" s="937"/>
      <c r="CD198" s="937"/>
      <c r="CE198" s="937"/>
      <c r="CF198" s="937"/>
      <c r="CG198" s="937"/>
      <c r="CH198" s="937"/>
      <c r="CI198" s="937"/>
      <c r="CJ198" s="937"/>
      <c r="CK198" s="937"/>
      <c r="CL198" s="937"/>
      <c r="CM198" s="937"/>
      <c r="CN198" s="937"/>
      <c r="CO198" s="937"/>
    </row>
    <row r="199" spans="17:93" s="918" customFormat="1" x14ac:dyDescent="0.35">
      <c r="Q199" s="937"/>
      <c r="R199" s="937"/>
      <c r="S199" s="937"/>
      <c r="T199" s="937"/>
      <c r="U199" s="937"/>
      <c r="V199" s="937"/>
      <c r="W199" s="937"/>
      <c r="X199" s="937"/>
      <c r="Y199" s="937"/>
      <c r="Z199" s="937"/>
      <c r="AA199" s="937"/>
      <c r="AB199" s="937"/>
      <c r="AC199" s="963"/>
      <c r="AD199" s="963"/>
      <c r="AE199" s="963"/>
      <c r="AF199" s="937"/>
      <c r="AG199" s="937"/>
      <c r="AH199" s="937"/>
      <c r="AI199" s="937"/>
      <c r="AJ199" s="937"/>
      <c r="AK199" s="937"/>
      <c r="AL199" s="937"/>
      <c r="AM199" s="937"/>
      <c r="AN199" s="937"/>
      <c r="AO199" s="937"/>
      <c r="AP199" s="937"/>
      <c r="AQ199" s="937"/>
      <c r="AR199" s="937"/>
      <c r="AS199" s="937"/>
      <c r="AT199" s="937"/>
      <c r="AU199" s="937"/>
      <c r="AV199" s="937"/>
      <c r="AW199" s="937"/>
      <c r="AX199" s="937"/>
      <c r="AY199" s="937"/>
      <c r="AZ199" s="937"/>
      <c r="BA199" s="937"/>
      <c r="BB199" s="937"/>
      <c r="BC199" s="937"/>
      <c r="BD199" s="937"/>
      <c r="BE199" s="937"/>
      <c r="BF199" s="937"/>
      <c r="BG199" s="937"/>
      <c r="BH199" s="937"/>
      <c r="BI199" s="937"/>
      <c r="BJ199" s="937"/>
      <c r="BK199" s="937"/>
      <c r="BL199" s="937"/>
      <c r="BM199" s="937"/>
      <c r="BN199" s="937"/>
      <c r="BO199" s="937"/>
      <c r="BP199" s="937"/>
      <c r="BQ199" s="937"/>
      <c r="BR199" s="937"/>
      <c r="BS199" s="937"/>
      <c r="BT199" s="937"/>
      <c r="BU199" s="937"/>
      <c r="BV199" s="937"/>
      <c r="BW199" s="937"/>
      <c r="BX199" s="937"/>
      <c r="BY199" s="937"/>
      <c r="BZ199" s="937"/>
      <c r="CA199" s="937"/>
      <c r="CB199" s="937"/>
      <c r="CC199" s="937"/>
      <c r="CD199" s="937"/>
      <c r="CE199" s="937"/>
      <c r="CF199" s="937"/>
      <c r="CG199" s="937"/>
      <c r="CH199" s="937"/>
      <c r="CI199" s="937"/>
      <c r="CJ199" s="937"/>
      <c r="CK199" s="937"/>
      <c r="CL199" s="937"/>
      <c r="CM199" s="937"/>
      <c r="CN199" s="937"/>
      <c r="CO199" s="937"/>
    </row>
    <row r="200" spans="17:93" s="918" customFormat="1" x14ac:dyDescent="0.35">
      <c r="Q200" s="937"/>
      <c r="R200" s="937"/>
      <c r="S200" s="937"/>
      <c r="T200" s="937"/>
      <c r="U200" s="937"/>
      <c r="V200" s="937"/>
      <c r="W200" s="937"/>
      <c r="X200" s="937"/>
      <c r="Y200" s="937"/>
      <c r="Z200" s="937"/>
      <c r="AA200" s="937"/>
      <c r="AB200" s="937"/>
      <c r="AC200" s="963"/>
      <c r="AD200" s="963"/>
      <c r="AE200" s="963"/>
      <c r="AF200" s="937"/>
      <c r="AG200" s="937"/>
      <c r="AH200" s="937"/>
      <c r="AI200" s="937"/>
      <c r="AJ200" s="937"/>
      <c r="AK200" s="937"/>
      <c r="AL200" s="937"/>
      <c r="AM200" s="937"/>
      <c r="AN200" s="937"/>
      <c r="AO200" s="937"/>
      <c r="AP200" s="937"/>
      <c r="AQ200" s="937"/>
      <c r="AR200" s="937"/>
      <c r="AS200" s="937"/>
      <c r="AT200" s="937"/>
      <c r="AU200" s="937"/>
      <c r="AV200" s="937"/>
      <c r="AW200" s="937"/>
      <c r="AX200" s="937"/>
      <c r="AY200" s="937"/>
      <c r="AZ200" s="937"/>
      <c r="BA200" s="937"/>
      <c r="BB200" s="937"/>
      <c r="BC200" s="937"/>
      <c r="BD200" s="937"/>
      <c r="BE200" s="937"/>
      <c r="BF200" s="937"/>
      <c r="BG200" s="937"/>
      <c r="BH200" s="937"/>
      <c r="BI200" s="937"/>
      <c r="BJ200" s="937"/>
      <c r="BK200" s="937"/>
      <c r="BL200" s="937"/>
      <c r="BM200" s="937"/>
      <c r="BN200" s="937"/>
      <c r="BO200" s="937"/>
      <c r="BP200" s="937"/>
      <c r="BQ200" s="937"/>
      <c r="BR200" s="937"/>
      <c r="BS200" s="937"/>
      <c r="BT200" s="937"/>
      <c r="BU200" s="937"/>
      <c r="BV200" s="937"/>
      <c r="BW200" s="937"/>
      <c r="BX200" s="937"/>
      <c r="BY200" s="937"/>
      <c r="BZ200" s="937"/>
      <c r="CA200" s="937"/>
      <c r="CB200" s="937"/>
      <c r="CC200" s="937"/>
      <c r="CD200" s="937"/>
      <c r="CE200" s="937"/>
      <c r="CF200" s="937"/>
      <c r="CG200" s="937"/>
      <c r="CH200" s="937"/>
      <c r="CI200" s="937"/>
      <c r="CJ200" s="937"/>
      <c r="CK200" s="937"/>
      <c r="CL200" s="937"/>
      <c r="CM200" s="937"/>
      <c r="CN200" s="937"/>
      <c r="CO200" s="937"/>
    </row>
    <row r="201" spans="17:93" s="918" customFormat="1" x14ac:dyDescent="0.35">
      <c r="Q201" s="937"/>
      <c r="R201" s="937"/>
      <c r="S201" s="937"/>
      <c r="T201" s="937"/>
      <c r="U201" s="937"/>
      <c r="V201" s="937"/>
      <c r="W201" s="937"/>
      <c r="X201" s="937"/>
      <c r="Y201" s="937"/>
      <c r="Z201" s="937"/>
      <c r="AA201" s="937"/>
      <c r="AB201" s="937"/>
      <c r="AC201" s="963"/>
      <c r="AD201" s="963"/>
      <c r="AE201" s="963"/>
      <c r="AF201" s="937"/>
      <c r="AG201" s="937"/>
      <c r="AH201" s="937"/>
      <c r="AI201" s="937"/>
      <c r="AJ201" s="937"/>
      <c r="AK201" s="937"/>
      <c r="AL201" s="937"/>
      <c r="AM201" s="937"/>
      <c r="AN201" s="937"/>
      <c r="AO201" s="937"/>
      <c r="AP201" s="937"/>
      <c r="AQ201" s="937"/>
      <c r="AR201" s="937"/>
      <c r="AS201" s="937"/>
      <c r="AT201" s="937"/>
      <c r="AU201" s="937"/>
      <c r="AV201" s="937"/>
      <c r="AW201" s="937"/>
      <c r="AX201" s="937"/>
      <c r="AY201" s="937"/>
      <c r="AZ201" s="937"/>
      <c r="BA201" s="937"/>
      <c r="BB201" s="937"/>
      <c r="BC201" s="937"/>
      <c r="BD201" s="937"/>
      <c r="BE201" s="937"/>
      <c r="BF201" s="937"/>
      <c r="BG201" s="937"/>
      <c r="BH201" s="937"/>
      <c r="BI201" s="937"/>
      <c r="BJ201" s="937"/>
      <c r="BK201" s="937"/>
      <c r="BL201" s="937"/>
      <c r="BM201" s="937"/>
      <c r="BN201" s="937"/>
      <c r="BO201" s="937"/>
      <c r="BP201" s="937"/>
      <c r="BQ201" s="937"/>
      <c r="BR201" s="937"/>
      <c r="BS201" s="937"/>
      <c r="BT201" s="937"/>
      <c r="BU201" s="937"/>
      <c r="BV201" s="937"/>
      <c r="BW201" s="937"/>
      <c r="BX201" s="937"/>
      <c r="BY201" s="937"/>
      <c r="BZ201" s="937"/>
      <c r="CA201" s="937"/>
      <c r="CB201" s="937"/>
      <c r="CC201" s="937"/>
      <c r="CD201" s="937"/>
      <c r="CE201" s="937"/>
      <c r="CF201" s="937"/>
      <c r="CG201" s="937"/>
      <c r="CH201" s="937"/>
      <c r="CI201" s="937"/>
      <c r="CJ201" s="937"/>
      <c r="CK201" s="937"/>
      <c r="CL201" s="937"/>
      <c r="CM201" s="937"/>
      <c r="CN201" s="937"/>
      <c r="CO201" s="937"/>
    </row>
    <row r="202" spans="17:93" s="918" customFormat="1" x14ac:dyDescent="0.35">
      <c r="Q202" s="937"/>
      <c r="R202" s="937"/>
      <c r="S202" s="937"/>
      <c r="T202" s="937"/>
      <c r="U202" s="937"/>
      <c r="V202" s="937"/>
      <c r="W202" s="937"/>
      <c r="X202" s="937"/>
      <c r="Y202" s="937"/>
      <c r="Z202" s="937"/>
      <c r="AA202" s="937"/>
      <c r="AB202" s="937"/>
      <c r="AC202" s="963"/>
      <c r="AD202" s="963"/>
      <c r="AE202" s="963"/>
      <c r="AF202" s="937"/>
      <c r="AG202" s="937"/>
      <c r="AH202" s="937"/>
      <c r="AI202" s="937"/>
      <c r="AJ202" s="937"/>
      <c r="AK202" s="937"/>
      <c r="AL202" s="937"/>
      <c r="AM202" s="937"/>
      <c r="AN202" s="937"/>
      <c r="AO202" s="937"/>
      <c r="AP202" s="937"/>
      <c r="AQ202" s="937"/>
      <c r="AR202" s="937"/>
      <c r="AS202" s="937"/>
      <c r="AT202" s="937"/>
      <c r="AU202" s="937"/>
      <c r="AV202" s="937"/>
      <c r="AW202" s="937"/>
      <c r="AX202" s="937"/>
      <c r="AY202" s="937"/>
      <c r="AZ202" s="937"/>
      <c r="BA202" s="937"/>
      <c r="BB202" s="937"/>
      <c r="BC202" s="937"/>
      <c r="BD202" s="937"/>
      <c r="BE202" s="937"/>
      <c r="BF202" s="937"/>
      <c r="BG202" s="937"/>
      <c r="BH202" s="937"/>
      <c r="BI202" s="937"/>
      <c r="BJ202" s="937"/>
      <c r="BK202" s="937"/>
      <c r="BL202" s="937"/>
      <c r="BM202" s="937"/>
      <c r="BN202" s="937"/>
      <c r="BO202" s="937"/>
      <c r="BP202" s="937"/>
      <c r="BQ202" s="937"/>
      <c r="BR202" s="937"/>
      <c r="BS202" s="937"/>
      <c r="BT202" s="937"/>
      <c r="BU202" s="937"/>
      <c r="BV202" s="937"/>
      <c r="BW202" s="937"/>
      <c r="BX202" s="937"/>
      <c r="BY202" s="937"/>
      <c r="BZ202" s="937"/>
      <c r="CA202" s="937"/>
      <c r="CB202" s="937"/>
      <c r="CC202" s="937"/>
      <c r="CD202" s="937"/>
      <c r="CE202" s="937"/>
      <c r="CF202" s="937"/>
      <c r="CG202" s="937"/>
      <c r="CH202" s="937"/>
      <c r="CI202" s="937"/>
      <c r="CJ202" s="937"/>
      <c r="CK202" s="937"/>
      <c r="CL202" s="937"/>
      <c r="CM202" s="937"/>
      <c r="CN202" s="937"/>
      <c r="CO202" s="937"/>
    </row>
    <row r="203" spans="17:93" s="918" customFormat="1" x14ac:dyDescent="0.35">
      <c r="Q203" s="937"/>
      <c r="R203" s="937"/>
      <c r="S203" s="937"/>
      <c r="T203" s="937"/>
      <c r="U203" s="937"/>
      <c r="V203" s="937"/>
      <c r="W203" s="937"/>
      <c r="X203" s="937"/>
      <c r="Y203" s="937"/>
      <c r="Z203" s="937"/>
      <c r="AA203" s="937"/>
      <c r="AB203" s="937"/>
      <c r="AC203" s="963"/>
      <c r="AD203" s="963"/>
      <c r="AE203" s="963"/>
      <c r="AF203" s="937"/>
      <c r="AG203" s="937"/>
      <c r="AH203" s="937"/>
      <c r="AI203" s="937"/>
      <c r="AJ203" s="937"/>
      <c r="AK203" s="937"/>
      <c r="AL203" s="937"/>
      <c r="AM203" s="937"/>
      <c r="AN203" s="937"/>
      <c r="AO203" s="937"/>
      <c r="AP203" s="937"/>
      <c r="AQ203" s="937"/>
      <c r="AR203" s="937"/>
      <c r="AS203" s="937"/>
      <c r="AT203" s="937"/>
      <c r="AU203" s="937"/>
      <c r="AV203" s="937"/>
      <c r="AW203" s="937"/>
      <c r="AX203" s="937"/>
      <c r="AY203" s="937"/>
      <c r="AZ203" s="937"/>
      <c r="BA203" s="937"/>
      <c r="BB203" s="937"/>
      <c r="BC203" s="937"/>
      <c r="BD203" s="937"/>
      <c r="BE203" s="937"/>
      <c r="BF203" s="937"/>
      <c r="BG203" s="937"/>
      <c r="BH203" s="937"/>
      <c r="BI203" s="937"/>
      <c r="BJ203" s="937"/>
      <c r="BK203" s="937"/>
      <c r="BL203" s="937"/>
      <c r="BM203" s="937"/>
      <c r="BN203" s="937"/>
      <c r="BO203" s="937"/>
      <c r="BP203" s="937"/>
      <c r="BQ203" s="937"/>
      <c r="BR203" s="937"/>
      <c r="BS203" s="937"/>
      <c r="BT203" s="937"/>
      <c r="BU203" s="937"/>
      <c r="BV203" s="937"/>
      <c r="BW203" s="937"/>
      <c r="BX203" s="937"/>
      <c r="BY203" s="937"/>
      <c r="BZ203" s="937"/>
      <c r="CA203" s="937"/>
      <c r="CB203" s="937"/>
      <c r="CC203" s="937"/>
      <c r="CD203" s="937"/>
      <c r="CE203" s="937"/>
      <c r="CF203" s="937"/>
      <c r="CG203" s="937"/>
      <c r="CH203" s="937"/>
      <c r="CI203" s="937"/>
      <c r="CJ203" s="937"/>
      <c r="CK203" s="937"/>
      <c r="CL203" s="937"/>
      <c r="CM203" s="937"/>
      <c r="CN203" s="937"/>
      <c r="CO203" s="937"/>
    </row>
    <row r="204" spans="17:93" s="918" customFormat="1" x14ac:dyDescent="0.35">
      <c r="Q204" s="937"/>
      <c r="R204" s="937"/>
      <c r="S204" s="937"/>
      <c r="T204" s="937"/>
      <c r="U204" s="937"/>
      <c r="V204" s="937"/>
      <c r="W204" s="937"/>
      <c r="X204" s="937"/>
      <c r="Y204" s="937"/>
      <c r="Z204" s="937"/>
      <c r="AA204" s="937"/>
      <c r="AB204" s="937"/>
      <c r="AC204" s="963"/>
      <c r="AD204" s="963"/>
      <c r="AE204" s="963"/>
      <c r="AF204" s="937"/>
      <c r="AG204" s="937"/>
      <c r="AH204" s="937"/>
      <c r="AI204" s="937"/>
      <c r="AJ204" s="937"/>
      <c r="AK204" s="937"/>
      <c r="AL204" s="937"/>
      <c r="AM204" s="937"/>
      <c r="AN204" s="937"/>
      <c r="AO204" s="937"/>
      <c r="AP204" s="937"/>
      <c r="AQ204" s="937"/>
      <c r="AR204" s="937"/>
      <c r="AS204" s="937"/>
      <c r="AT204" s="937"/>
      <c r="AU204" s="937"/>
      <c r="AV204" s="937"/>
      <c r="AW204" s="937"/>
      <c r="AX204" s="937"/>
      <c r="AY204" s="937"/>
      <c r="AZ204" s="937"/>
      <c r="BA204" s="937"/>
      <c r="BB204" s="937"/>
      <c r="BC204" s="937"/>
      <c r="BD204" s="937"/>
      <c r="BE204" s="937"/>
      <c r="BF204" s="937"/>
      <c r="BG204" s="937"/>
      <c r="BH204" s="937"/>
      <c r="BI204" s="937"/>
      <c r="BJ204" s="937"/>
      <c r="BK204" s="937"/>
      <c r="BL204" s="937"/>
      <c r="BM204" s="937"/>
      <c r="BN204" s="937"/>
      <c r="BO204" s="937"/>
      <c r="BP204" s="937"/>
      <c r="BQ204" s="937"/>
      <c r="BR204" s="937"/>
      <c r="BS204" s="937"/>
      <c r="BT204" s="937"/>
      <c r="BU204" s="937"/>
      <c r="BV204" s="937"/>
      <c r="BW204" s="937"/>
      <c r="BX204" s="937"/>
      <c r="BY204" s="937"/>
      <c r="BZ204" s="937"/>
      <c r="CA204" s="937"/>
      <c r="CB204" s="937"/>
      <c r="CC204" s="937"/>
      <c r="CD204" s="937"/>
      <c r="CE204" s="937"/>
      <c r="CF204" s="937"/>
      <c r="CG204" s="937"/>
      <c r="CH204" s="937"/>
      <c r="CI204" s="937"/>
      <c r="CJ204" s="937"/>
      <c r="CK204" s="937"/>
      <c r="CL204" s="937"/>
      <c r="CM204" s="937"/>
      <c r="CN204" s="937"/>
      <c r="CO204" s="937"/>
    </row>
    <row r="205" spans="17:93" s="918" customFormat="1" x14ac:dyDescent="0.35">
      <c r="Q205" s="937"/>
      <c r="R205" s="937"/>
      <c r="S205" s="937"/>
      <c r="T205" s="937"/>
      <c r="U205" s="937"/>
      <c r="V205" s="937"/>
      <c r="W205" s="937"/>
      <c r="X205" s="937"/>
      <c r="Y205" s="937"/>
      <c r="Z205" s="937"/>
      <c r="AA205" s="937"/>
      <c r="AB205" s="937"/>
      <c r="AC205" s="963"/>
      <c r="AD205" s="963"/>
      <c r="AE205" s="963"/>
      <c r="AF205" s="937"/>
      <c r="AG205" s="937"/>
      <c r="AH205" s="937"/>
      <c r="AI205" s="937"/>
      <c r="AJ205" s="937"/>
      <c r="AK205" s="937"/>
      <c r="AL205" s="937"/>
      <c r="AM205" s="937"/>
      <c r="AN205" s="937"/>
      <c r="AO205" s="937"/>
      <c r="AP205" s="937"/>
      <c r="AQ205" s="937"/>
      <c r="AR205" s="937"/>
      <c r="AS205" s="937"/>
      <c r="AT205" s="937"/>
      <c r="AU205" s="937"/>
      <c r="AV205" s="937"/>
      <c r="AW205" s="937"/>
      <c r="AX205" s="937"/>
      <c r="AY205" s="937"/>
      <c r="AZ205" s="937"/>
      <c r="BA205" s="937"/>
      <c r="BB205" s="937"/>
      <c r="BC205" s="937"/>
      <c r="BD205" s="937"/>
      <c r="BE205" s="937"/>
      <c r="BF205" s="937"/>
      <c r="BG205" s="937"/>
      <c r="BH205" s="937"/>
      <c r="BI205" s="937"/>
      <c r="BJ205" s="937"/>
      <c r="BK205" s="937"/>
      <c r="BL205" s="937"/>
      <c r="BM205" s="937"/>
      <c r="BN205" s="937"/>
      <c r="BO205" s="937"/>
      <c r="BP205" s="937"/>
      <c r="BQ205" s="937"/>
      <c r="BR205" s="937"/>
      <c r="BS205" s="937"/>
      <c r="BT205" s="937"/>
      <c r="BU205" s="937"/>
      <c r="BV205" s="937"/>
      <c r="BW205" s="937"/>
      <c r="BX205" s="937"/>
      <c r="BY205" s="937"/>
      <c r="BZ205" s="937"/>
      <c r="CA205" s="937"/>
      <c r="CB205" s="937"/>
      <c r="CC205" s="937"/>
      <c r="CD205" s="937"/>
      <c r="CE205" s="937"/>
      <c r="CF205" s="937"/>
      <c r="CG205" s="937"/>
      <c r="CH205" s="937"/>
      <c r="CI205" s="937"/>
      <c r="CJ205" s="937"/>
      <c r="CK205" s="937"/>
      <c r="CL205" s="937"/>
      <c r="CM205" s="937"/>
      <c r="CN205" s="937"/>
      <c r="CO205" s="937"/>
    </row>
    <row r="206" spans="17:93" s="918" customFormat="1" x14ac:dyDescent="0.35">
      <c r="Q206" s="937"/>
      <c r="R206" s="937"/>
      <c r="S206" s="937"/>
      <c r="T206" s="937"/>
      <c r="U206" s="937"/>
      <c r="V206" s="937"/>
      <c r="W206" s="937"/>
      <c r="X206" s="937"/>
      <c r="Y206" s="937"/>
      <c r="Z206" s="937"/>
      <c r="AA206" s="937"/>
      <c r="AB206" s="937"/>
      <c r="AC206" s="963"/>
      <c r="AD206" s="963"/>
      <c r="AE206" s="963"/>
      <c r="AF206" s="937"/>
      <c r="AG206" s="937"/>
      <c r="AH206" s="937"/>
      <c r="AI206" s="937"/>
      <c r="AJ206" s="937"/>
      <c r="AK206" s="937"/>
      <c r="AL206" s="937"/>
      <c r="AM206" s="937"/>
      <c r="AN206" s="937"/>
      <c r="AO206" s="937"/>
      <c r="AP206" s="937"/>
      <c r="AQ206" s="937"/>
      <c r="AR206" s="937"/>
      <c r="AS206" s="937"/>
      <c r="AT206" s="937"/>
      <c r="AU206" s="937"/>
      <c r="AV206" s="937"/>
      <c r="AW206" s="937"/>
      <c r="AX206" s="937"/>
      <c r="AY206" s="937"/>
      <c r="AZ206" s="937"/>
      <c r="BA206" s="937"/>
      <c r="BB206" s="937"/>
      <c r="BC206" s="937"/>
      <c r="BD206" s="937"/>
      <c r="BE206" s="937"/>
      <c r="BF206" s="937"/>
      <c r="BG206" s="937"/>
      <c r="BH206" s="937"/>
      <c r="BI206" s="937"/>
      <c r="BJ206" s="937"/>
      <c r="BK206" s="937"/>
      <c r="BL206" s="937"/>
      <c r="BM206" s="937"/>
      <c r="BN206" s="937"/>
      <c r="BO206" s="937"/>
      <c r="BP206" s="937"/>
      <c r="BQ206" s="937"/>
      <c r="BR206" s="937"/>
      <c r="BS206" s="937"/>
      <c r="BT206" s="937"/>
      <c r="BU206" s="937"/>
      <c r="BV206" s="937"/>
      <c r="BW206" s="937"/>
      <c r="BX206" s="937"/>
      <c r="BY206" s="937"/>
      <c r="BZ206" s="937"/>
      <c r="CA206" s="937"/>
      <c r="CB206" s="937"/>
      <c r="CC206" s="937"/>
      <c r="CD206" s="937"/>
      <c r="CE206" s="937"/>
      <c r="CF206" s="937"/>
      <c r="CG206" s="937"/>
      <c r="CH206" s="937"/>
      <c r="CI206" s="937"/>
      <c r="CJ206" s="937"/>
      <c r="CK206" s="937"/>
      <c r="CL206" s="937"/>
      <c r="CM206" s="937"/>
      <c r="CN206" s="937"/>
      <c r="CO206" s="937"/>
    </row>
    <row r="207" spans="17:93" s="918" customFormat="1" x14ac:dyDescent="0.35">
      <c r="Q207" s="937"/>
      <c r="R207" s="937"/>
      <c r="S207" s="937"/>
      <c r="T207" s="937"/>
      <c r="U207" s="937"/>
      <c r="V207" s="937"/>
      <c r="W207" s="937"/>
      <c r="X207" s="937"/>
      <c r="Y207" s="937"/>
      <c r="Z207" s="937"/>
      <c r="AA207" s="937"/>
      <c r="AB207" s="937"/>
      <c r="AC207" s="963"/>
      <c r="AD207" s="963"/>
      <c r="AE207" s="963"/>
      <c r="AF207" s="937"/>
      <c r="AG207" s="937"/>
      <c r="AH207" s="937"/>
      <c r="AI207" s="937"/>
      <c r="AJ207" s="937"/>
      <c r="AK207" s="937"/>
      <c r="AL207" s="937"/>
      <c r="AM207" s="937"/>
      <c r="AN207" s="937"/>
      <c r="AO207" s="937"/>
      <c r="AP207" s="937"/>
      <c r="AQ207" s="937"/>
      <c r="AR207" s="937"/>
      <c r="AS207" s="937"/>
      <c r="AT207" s="937"/>
      <c r="AU207" s="937"/>
      <c r="AV207" s="937"/>
      <c r="AW207" s="937"/>
      <c r="AX207" s="937"/>
      <c r="AY207" s="937"/>
      <c r="AZ207" s="937"/>
      <c r="BA207" s="937"/>
      <c r="BB207" s="937"/>
      <c r="BC207" s="937"/>
      <c r="BD207" s="937"/>
      <c r="BE207" s="937"/>
      <c r="BF207" s="937"/>
      <c r="BG207" s="937"/>
      <c r="BH207" s="937"/>
      <c r="BI207" s="937"/>
      <c r="BJ207" s="937"/>
      <c r="BK207" s="937"/>
      <c r="BL207" s="937"/>
      <c r="BM207" s="937"/>
      <c r="BN207" s="937"/>
      <c r="BO207" s="937"/>
      <c r="BP207" s="937"/>
      <c r="BQ207" s="937"/>
      <c r="BR207" s="937"/>
      <c r="BS207" s="937"/>
      <c r="BT207" s="937"/>
      <c r="BU207" s="937"/>
      <c r="BV207" s="937"/>
      <c r="BW207" s="937"/>
      <c r="BX207" s="937"/>
      <c r="BY207" s="937"/>
      <c r="BZ207" s="937"/>
      <c r="CA207" s="937"/>
      <c r="CB207" s="937"/>
      <c r="CC207" s="937"/>
      <c r="CD207" s="937"/>
      <c r="CE207" s="937"/>
      <c r="CF207" s="937"/>
      <c r="CG207" s="937"/>
      <c r="CH207" s="937"/>
      <c r="CI207" s="937"/>
      <c r="CJ207" s="937"/>
      <c r="CK207" s="937"/>
      <c r="CL207" s="937"/>
      <c r="CM207" s="937"/>
      <c r="CN207" s="937"/>
      <c r="CO207" s="937"/>
    </row>
    <row r="208" spans="17:93" s="918" customFormat="1" x14ac:dyDescent="0.35">
      <c r="Q208" s="937"/>
      <c r="R208" s="937"/>
      <c r="S208" s="937"/>
      <c r="T208" s="937"/>
      <c r="U208" s="937"/>
      <c r="V208" s="937"/>
      <c r="W208" s="937"/>
      <c r="X208" s="937"/>
      <c r="Y208" s="937"/>
      <c r="Z208" s="937"/>
      <c r="AA208" s="937"/>
      <c r="AB208" s="937"/>
      <c r="AC208" s="963"/>
      <c r="AD208" s="963"/>
      <c r="AE208" s="963"/>
      <c r="AF208" s="937"/>
      <c r="AG208" s="937"/>
      <c r="AH208" s="937"/>
      <c r="AI208" s="937"/>
      <c r="AJ208" s="937"/>
      <c r="AK208" s="937"/>
      <c r="AL208" s="937"/>
      <c r="AM208" s="937"/>
      <c r="AN208" s="937"/>
      <c r="AO208" s="937"/>
      <c r="AP208" s="937"/>
      <c r="AQ208" s="937"/>
      <c r="AR208" s="937"/>
      <c r="AS208" s="937"/>
      <c r="AT208" s="937"/>
      <c r="AU208" s="937"/>
      <c r="AV208" s="937"/>
      <c r="AW208" s="937"/>
      <c r="AX208" s="937"/>
      <c r="AY208" s="937"/>
      <c r="AZ208" s="937"/>
      <c r="BA208" s="937"/>
      <c r="BB208" s="937"/>
      <c r="BC208" s="937"/>
      <c r="BD208" s="937"/>
      <c r="BE208" s="937"/>
      <c r="BF208" s="937"/>
      <c r="BG208" s="937"/>
      <c r="BH208" s="937"/>
      <c r="BI208" s="937"/>
      <c r="BJ208" s="937"/>
      <c r="BK208" s="937"/>
      <c r="BL208" s="937"/>
      <c r="BM208" s="937"/>
      <c r="BN208" s="937"/>
      <c r="BO208" s="937"/>
      <c r="BP208" s="937"/>
      <c r="BQ208" s="937"/>
      <c r="BR208" s="937"/>
      <c r="BS208" s="937"/>
      <c r="BT208" s="937"/>
      <c r="BU208" s="937"/>
      <c r="BV208" s="937"/>
      <c r="BW208" s="937"/>
      <c r="BX208" s="937"/>
      <c r="BY208" s="937"/>
      <c r="BZ208" s="937"/>
      <c r="CA208" s="937"/>
      <c r="CB208" s="937"/>
      <c r="CC208" s="937"/>
      <c r="CD208" s="937"/>
      <c r="CE208" s="937"/>
      <c r="CF208" s="937"/>
      <c r="CG208" s="937"/>
      <c r="CH208" s="937"/>
      <c r="CI208" s="937"/>
      <c r="CJ208" s="937"/>
      <c r="CK208" s="937"/>
      <c r="CL208" s="937"/>
      <c r="CM208" s="937"/>
      <c r="CN208" s="937"/>
      <c r="CO208" s="937"/>
    </row>
    <row r="209" spans="17:93" s="918" customFormat="1" x14ac:dyDescent="0.35">
      <c r="Q209" s="937"/>
      <c r="R209" s="937"/>
      <c r="S209" s="937"/>
      <c r="T209" s="937"/>
      <c r="U209" s="937"/>
      <c r="V209" s="937"/>
      <c r="W209" s="937"/>
      <c r="X209" s="937"/>
      <c r="Y209" s="937"/>
      <c r="Z209" s="937"/>
      <c r="AA209" s="937"/>
      <c r="AB209" s="937"/>
      <c r="AC209" s="963"/>
      <c r="AD209" s="963"/>
      <c r="AE209" s="963"/>
      <c r="AF209" s="937"/>
      <c r="AG209" s="937"/>
      <c r="AH209" s="937"/>
      <c r="AI209" s="937"/>
      <c r="AJ209" s="937"/>
      <c r="AK209" s="937"/>
      <c r="AL209" s="937"/>
      <c r="AM209" s="937"/>
      <c r="AN209" s="937"/>
      <c r="AO209" s="937"/>
      <c r="AP209" s="937"/>
      <c r="AQ209" s="937"/>
      <c r="AR209" s="937"/>
      <c r="AS209" s="937"/>
      <c r="AT209" s="937"/>
      <c r="AU209" s="937"/>
      <c r="AV209" s="937"/>
      <c r="AW209" s="937"/>
      <c r="AX209" s="937"/>
      <c r="AY209" s="937"/>
      <c r="AZ209" s="937"/>
      <c r="BA209" s="937"/>
      <c r="BB209" s="937"/>
      <c r="BC209" s="937"/>
      <c r="BD209" s="937"/>
      <c r="BE209" s="937"/>
      <c r="BF209" s="937"/>
      <c r="BG209" s="937"/>
      <c r="BH209" s="937"/>
      <c r="BI209" s="937"/>
      <c r="BJ209" s="937"/>
      <c r="BK209" s="937"/>
      <c r="BL209" s="937"/>
      <c r="BM209" s="937"/>
      <c r="BN209" s="937"/>
      <c r="BO209" s="937"/>
      <c r="BP209" s="937"/>
      <c r="BQ209" s="937"/>
      <c r="BR209" s="937"/>
      <c r="BS209" s="937"/>
      <c r="BT209" s="937"/>
      <c r="BU209" s="937"/>
      <c r="BV209" s="937"/>
      <c r="BW209" s="937"/>
      <c r="BX209" s="937"/>
      <c r="BY209" s="937"/>
      <c r="BZ209" s="937"/>
      <c r="CA209" s="937"/>
      <c r="CB209" s="937"/>
      <c r="CC209" s="937"/>
      <c r="CD209" s="937"/>
      <c r="CE209" s="937"/>
      <c r="CF209" s="937"/>
      <c r="CG209" s="937"/>
      <c r="CH209" s="937"/>
      <c r="CI209" s="937"/>
      <c r="CJ209" s="937"/>
      <c r="CK209" s="937"/>
      <c r="CL209" s="937"/>
      <c r="CM209" s="937"/>
      <c r="CN209" s="937"/>
      <c r="CO209" s="937"/>
    </row>
    <row r="210" spans="17:93" s="918" customFormat="1" x14ac:dyDescent="0.35">
      <c r="Q210" s="937"/>
      <c r="R210" s="937"/>
      <c r="S210" s="937"/>
      <c r="T210" s="937"/>
      <c r="U210" s="937"/>
      <c r="V210" s="937"/>
      <c r="W210" s="937"/>
      <c r="X210" s="937"/>
      <c r="Y210" s="937"/>
      <c r="Z210" s="937"/>
      <c r="AA210" s="937"/>
      <c r="AB210" s="937"/>
      <c r="AC210" s="963"/>
      <c r="AD210" s="963"/>
      <c r="AE210" s="963"/>
      <c r="AF210" s="937"/>
      <c r="AG210" s="937"/>
      <c r="AH210" s="937"/>
      <c r="AI210" s="937"/>
      <c r="AJ210" s="937"/>
      <c r="AK210" s="937"/>
      <c r="AL210" s="937"/>
      <c r="AM210" s="937"/>
      <c r="AN210" s="937"/>
      <c r="AO210" s="937"/>
      <c r="AP210" s="937"/>
      <c r="AQ210" s="937"/>
      <c r="AR210" s="937"/>
      <c r="AS210" s="937"/>
      <c r="AT210" s="937"/>
      <c r="AU210" s="937"/>
      <c r="AV210" s="937"/>
      <c r="AW210" s="937"/>
      <c r="AX210" s="937"/>
      <c r="AY210" s="937"/>
      <c r="AZ210" s="937"/>
      <c r="BA210" s="937"/>
      <c r="BB210" s="937"/>
      <c r="BC210" s="937"/>
      <c r="BD210" s="937"/>
      <c r="BE210" s="937"/>
      <c r="BF210" s="937"/>
      <c r="BG210" s="937"/>
      <c r="BH210" s="937"/>
      <c r="BI210" s="937"/>
      <c r="BJ210" s="937"/>
      <c r="BK210" s="937"/>
      <c r="BL210" s="937"/>
      <c r="BM210" s="937"/>
      <c r="BN210" s="937"/>
      <c r="BO210" s="937"/>
      <c r="BP210" s="937"/>
      <c r="BQ210" s="937"/>
      <c r="BR210" s="937"/>
      <c r="BS210" s="937"/>
      <c r="BT210" s="937"/>
      <c r="BU210" s="937"/>
      <c r="BV210" s="937"/>
      <c r="BW210" s="937"/>
      <c r="BX210" s="937"/>
      <c r="BY210" s="937"/>
      <c r="BZ210" s="937"/>
      <c r="CA210" s="937"/>
      <c r="CB210" s="937"/>
      <c r="CC210" s="937"/>
      <c r="CD210" s="937"/>
      <c r="CE210" s="937"/>
      <c r="CF210" s="937"/>
      <c r="CG210" s="937"/>
      <c r="CH210" s="937"/>
      <c r="CI210" s="937"/>
      <c r="CJ210" s="937"/>
      <c r="CK210" s="937"/>
      <c r="CL210" s="937"/>
      <c r="CM210" s="937"/>
      <c r="CN210" s="937"/>
      <c r="CO210" s="937"/>
    </row>
    <row r="211" spans="17:93" s="918" customFormat="1" x14ac:dyDescent="0.35">
      <c r="Q211" s="937"/>
      <c r="R211" s="937"/>
      <c r="S211" s="937"/>
      <c r="T211" s="937"/>
      <c r="U211" s="937"/>
      <c r="V211" s="937"/>
      <c r="W211" s="937"/>
      <c r="X211" s="937"/>
      <c r="Y211" s="937"/>
      <c r="Z211" s="937"/>
      <c r="AA211" s="937"/>
      <c r="AB211" s="937"/>
      <c r="AC211" s="963"/>
      <c r="AD211" s="963"/>
      <c r="AE211" s="963"/>
      <c r="AF211" s="937"/>
      <c r="AG211" s="937"/>
      <c r="AH211" s="937"/>
      <c r="AI211" s="937"/>
      <c r="AJ211" s="937"/>
      <c r="AK211" s="937"/>
      <c r="AL211" s="937"/>
      <c r="AM211" s="937"/>
      <c r="AN211" s="937"/>
      <c r="AO211" s="937"/>
      <c r="AP211" s="937"/>
      <c r="AQ211" s="937"/>
      <c r="AR211" s="937"/>
      <c r="AS211" s="937"/>
      <c r="AT211" s="937"/>
      <c r="AU211" s="937"/>
      <c r="AV211" s="937"/>
      <c r="AW211" s="937"/>
      <c r="AX211" s="937"/>
      <c r="AY211" s="937"/>
      <c r="AZ211" s="937"/>
      <c r="BA211" s="937"/>
      <c r="BB211" s="937"/>
      <c r="BC211" s="937"/>
      <c r="BD211" s="937"/>
      <c r="BE211" s="937"/>
      <c r="BF211" s="937"/>
      <c r="BG211" s="937"/>
      <c r="BH211" s="937"/>
      <c r="BI211" s="937"/>
      <c r="BJ211" s="937"/>
      <c r="BK211" s="937"/>
      <c r="BL211" s="937"/>
      <c r="BM211" s="937"/>
      <c r="BN211" s="937"/>
      <c r="BO211" s="937"/>
      <c r="BP211" s="937"/>
      <c r="BQ211" s="937"/>
      <c r="BR211" s="937"/>
      <c r="BS211" s="937"/>
      <c r="BT211" s="937"/>
      <c r="BU211" s="937"/>
      <c r="BV211" s="937"/>
      <c r="BW211" s="937"/>
      <c r="BX211" s="937"/>
      <c r="BY211" s="937"/>
      <c r="BZ211" s="937"/>
      <c r="CA211" s="937"/>
      <c r="CB211" s="937"/>
      <c r="CC211" s="937"/>
      <c r="CD211" s="937"/>
      <c r="CE211" s="937"/>
      <c r="CF211" s="937"/>
      <c r="CG211" s="937"/>
      <c r="CH211" s="937"/>
      <c r="CI211" s="937"/>
      <c r="CJ211" s="937"/>
      <c r="CK211" s="937"/>
      <c r="CL211" s="937"/>
      <c r="CM211" s="937"/>
      <c r="CN211" s="937"/>
      <c r="CO211" s="937"/>
    </row>
    <row r="212" spans="17:93" s="918" customFormat="1" x14ac:dyDescent="0.35">
      <c r="Q212" s="937"/>
      <c r="R212" s="937"/>
      <c r="S212" s="937"/>
      <c r="T212" s="937"/>
      <c r="U212" s="937"/>
      <c r="V212" s="937"/>
      <c r="W212" s="937"/>
      <c r="X212" s="937"/>
      <c r="Y212" s="937"/>
      <c r="Z212" s="937"/>
      <c r="AA212" s="937"/>
      <c r="AB212" s="937"/>
      <c r="AC212" s="963"/>
      <c r="AD212" s="963"/>
      <c r="AE212" s="963"/>
      <c r="AF212" s="937"/>
      <c r="AG212" s="937"/>
      <c r="AH212" s="937"/>
      <c r="AI212" s="937"/>
      <c r="AJ212" s="937"/>
      <c r="AK212" s="937"/>
      <c r="AL212" s="937"/>
      <c r="AM212" s="937"/>
      <c r="AN212" s="937"/>
      <c r="AO212" s="937"/>
      <c r="AP212" s="937"/>
      <c r="AQ212" s="937"/>
      <c r="AR212" s="937"/>
      <c r="AS212" s="937"/>
      <c r="AT212" s="937"/>
      <c r="AU212" s="937"/>
      <c r="AV212" s="937"/>
      <c r="AW212" s="937"/>
      <c r="AX212" s="937"/>
      <c r="AY212" s="937"/>
      <c r="AZ212" s="937"/>
      <c r="BA212" s="937"/>
      <c r="BB212" s="937"/>
      <c r="BC212" s="937"/>
      <c r="BD212" s="937"/>
      <c r="BE212" s="937"/>
      <c r="BF212" s="937"/>
      <c r="BG212" s="937"/>
      <c r="BH212" s="937"/>
      <c r="BI212" s="937"/>
      <c r="BJ212" s="937"/>
      <c r="BK212" s="937"/>
      <c r="BL212" s="937"/>
      <c r="BM212" s="937"/>
      <c r="BN212" s="937"/>
      <c r="BO212" s="937"/>
      <c r="BP212" s="937"/>
      <c r="BQ212" s="937"/>
      <c r="BR212" s="937"/>
      <c r="BS212" s="937"/>
      <c r="BT212" s="937"/>
      <c r="BU212" s="937"/>
      <c r="BV212" s="937"/>
      <c r="BW212" s="937"/>
      <c r="BX212" s="937"/>
      <c r="BY212" s="937"/>
      <c r="BZ212" s="937"/>
      <c r="CA212" s="937"/>
      <c r="CB212" s="937"/>
      <c r="CC212" s="937"/>
      <c r="CD212" s="937"/>
      <c r="CE212" s="937"/>
      <c r="CF212" s="937"/>
      <c r="CG212" s="937"/>
      <c r="CH212" s="937"/>
      <c r="CI212" s="937"/>
      <c r="CJ212" s="937"/>
      <c r="CK212" s="937"/>
      <c r="CL212" s="937"/>
      <c r="CM212" s="937"/>
      <c r="CN212" s="937"/>
      <c r="CO212" s="937"/>
    </row>
    <row r="213" spans="17:93" s="918" customFormat="1" x14ac:dyDescent="0.35">
      <c r="Q213" s="937"/>
      <c r="R213" s="937"/>
      <c r="S213" s="937"/>
      <c r="T213" s="937"/>
      <c r="U213" s="937"/>
      <c r="V213" s="937"/>
      <c r="W213" s="937"/>
      <c r="X213" s="937"/>
      <c r="Y213" s="937"/>
      <c r="Z213" s="937"/>
      <c r="AA213" s="937"/>
      <c r="AB213" s="937"/>
      <c r="AC213" s="963"/>
      <c r="AD213" s="963"/>
      <c r="AE213" s="963"/>
      <c r="AF213" s="937"/>
      <c r="AG213" s="937"/>
      <c r="AH213" s="937"/>
      <c r="AI213" s="937"/>
      <c r="AJ213" s="937"/>
      <c r="AK213" s="937"/>
      <c r="AL213" s="937"/>
      <c r="AM213" s="937"/>
      <c r="AN213" s="937"/>
      <c r="AO213" s="937"/>
      <c r="AP213" s="937"/>
      <c r="AQ213" s="937"/>
      <c r="AR213" s="937"/>
      <c r="AS213" s="937"/>
      <c r="AT213" s="937"/>
      <c r="AU213" s="937"/>
      <c r="AV213" s="937"/>
      <c r="AW213" s="937"/>
      <c r="AX213" s="937"/>
      <c r="AY213" s="937"/>
      <c r="AZ213" s="937"/>
      <c r="BA213" s="937"/>
      <c r="BB213" s="937"/>
      <c r="BC213" s="937"/>
      <c r="BD213" s="937"/>
      <c r="BE213" s="937"/>
      <c r="BF213" s="937"/>
      <c r="BG213" s="937"/>
      <c r="BH213" s="937"/>
      <c r="BI213" s="937"/>
      <c r="BJ213" s="937"/>
      <c r="BK213" s="937"/>
      <c r="BL213" s="937"/>
      <c r="BM213" s="937"/>
      <c r="BN213" s="937"/>
      <c r="BO213" s="937"/>
      <c r="BP213" s="937"/>
      <c r="BQ213" s="937"/>
      <c r="BR213" s="937"/>
      <c r="BS213" s="937"/>
      <c r="BT213" s="937"/>
      <c r="BU213" s="937"/>
      <c r="BV213" s="937"/>
      <c r="BW213" s="937"/>
      <c r="BX213" s="937"/>
      <c r="BY213" s="937"/>
      <c r="BZ213" s="937"/>
      <c r="CA213" s="937"/>
      <c r="CB213" s="937"/>
      <c r="CC213" s="937"/>
      <c r="CD213" s="937"/>
      <c r="CE213" s="937"/>
      <c r="CF213" s="937"/>
      <c r="CG213" s="937"/>
      <c r="CH213" s="937"/>
      <c r="CI213" s="937"/>
      <c r="CJ213" s="937"/>
      <c r="CK213" s="937"/>
      <c r="CL213" s="937"/>
      <c r="CM213" s="937"/>
      <c r="CN213" s="937"/>
      <c r="CO213" s="937"/>
    </row>
    <row r="214" spans="17:93" s="918" customFormat="1" x14ac:dyDescent="0.35">
      <c r="Q214" s="937"/>
      <c r="R214" s="937"/>
      <c r="S214" s="937"/>
      <c r="T214" s="937"/>
      <c r="U214" s="937"/>
      <c r="V214" s="937"/>
      <c r="W214" s="937"/>
      <c r="X214" s="937"/>
      <c r="Y214" s="937"/>
      <c r="Z214" s="937"/>
      <c r="AA214" s="937"/>
      <c r="AB214" s="937"/>
      <c r="AC214" s="963"/>
      <c r="AD214" s="963"/>
      <c r="AE214" s="963"/>
      <c r="AF214" s="937"/>
      <c r="AG214" s="937"/>
      <c r="AH214" s="937"/>
      <c r="AI214" s="937"/>
      <c r="AJ214" s="937"/>
      <c r="AK214" s="937"/>
      <c r="AL214" s="937"/>
      <c r="AM214" s="937"/>
      <c r="AN214" s="937"/>
      <c r="AO214" s="937"/>
      <c r="AP214" s="937"/>
      <c r="AQ214" s="937"/>
      <c r="AR214" s="937"/>
      <c r="AS214" s="937"/>
      <c r="AT214" s="937"/>
      <c r="AU214" s="937"/>
      <c r="AV214" s="937"/>
      <c r="AW214" s="937"/>
      <c r="AX214" s="937"/>
      <c r="AY214" s="937"/>
      <c r="AZ214" s="937"/>
      <c r="BA214" s="937"/>
      <c r="BB214" s="937"/>
      <c r="BC214" s="937"/>
      <c r="BD214" s="937"/>
      <c r="BE214" s="937"/>
      <c r="BF214" s="937"/>
      <c r="BG214" s="937"/>
      <c r="BH214" s="937"/>
      <c r="BI214" s="937"/>
      <c r="BJ214" s="937"/>
      <c r="BK214" s="937"/>
      <c r="BL214" s="937"/>
      <c r="BM214" s="937"/>
      <c r="BN214" s="937"/>
      <c r="BO214" s="937"/>
      <c r="BP214" s="937"/>
      <c r="BQ214" s="937"/>
      <c r="BR214" s="937"/>
      <c r="BS214" s="937"/>
      <c r="BT214" s="937"/>
      <c r="BU214" s="937"/>
      <c r="BV214" s="937"/>
      <c r="BW214" s="937"/>
      <c r="BX214" s="937"/>
      <c r="BY214" s="937"/>
      <c r="BZ214" s="937"/>
      <c r="CA214" s="937"/>
      <c r="CB214" s="937"/>
      <c r="CC214" s="937"/>
      <c r="CD214" s="937"/>
      <c r="CE214" s="937"/>
      <c r="CF214" s="937"/>
      <c r="CG214" s="937"/>
      <c r="CH214" s="937"/>
      <c r="CI214" s="937"/>
      <c r="CJ214" s="937"/>
      <c r="CK214" s="937"/>
      <c r="CL214" s="937"/>
      <c r="CM214" s="937"/>
      <c r="CN214" s="937"/>
      <c r="CO214" s="937"/>
    </row>
    <row r="215" spans="17:93" s="918" customFormat="1" x14ac:dyDescent="0.35">
      <c r="Q215" s="937"/>
      <c r="R215" s="937"/>
      <c r="S215" s="937"/>
      <c r="T215" s="937"/>
      <c r="U215" s="937"/>
      <c r="V215" s="937"/>
      <c r="W215" s="937"/>
      <c r="X215" s="937"/>
      <c r="Y215" s="937"/>
      <c r="Z215" s="937"/>
      <c r="AA215" s="937"/>
      <c r="AB215" s="937"/>
      <c r="AC215" s="963"/>
      <c r="AD215" s="963"/>
      <c r="AE215" s="963"/>
      <c r="AF215" s="937"/>
      <c r="AG215" s="937"/>
      <c r="AH215" s="937"/>
      <c r="AI215" s="937"/>
      <c r="AJ215" s="937"/>
      <c r="AK215" s="937"/>
      <c r="AL215" s="937"/>
      <c r="AM215" s="937"/>
      <c r="AN215" s="937"/>
      <c r="AO215" s="937"/>
      <c r="AP215" s="937"/>
      <c r="AQ215" s="937"/>
      <c r="AR215" s="937"/>
      <c r="AS215" s="937"/>
      <c r="AT215" s="937"/>
      <c r="AU215" s="937"/>
      <c r="AV215" s="937"/>
      <c r="AW215" s="937"/>
      <c r="AX215" s="937"/>
      <c r="AY215" s="937"/>
      <c r="AZ215" s="937"/>
      <c r="BA215" s="937"/>
      <c r="BB215" s="937"/>
      <c r="BC215" s="937"/>
      <c r="BD215" s="937"/>
      <c r="BE215" s="937"/>
      <c r="BF215" s="937"/>
      <c r="BG215" s="937"/>
      <c r="BH215" s="937"/>
      <c r="BI215" s="937"/>
      <c r="BJ215" s="937"/>
      <c r="BK215" s="937"/>
      <c r="BL215" s="937"/>
      <c r="BM215" s="937"/>
      <c r="BN215" s="937"/>
      <c r="BO215" s="937"/>
      <c r="BP215" s="937"/>
      <c r="BQ215" s="937"/>
      <c r="BR215" s="937"/>
      <c r="BS215" s="937"/>
      <c r="BT215" s="937"/>
      <c r="BU215" s="937"/>
      <c r="BV215" s="937"/>
      <c r="BW215" s="937"/>
      <c r="BX215" s="937"/>
      <c r="BY215" s="937"/>
      <c r="BZ215" s="937"/>
      <c r="CA215" s="937"/>
      <c r="CB215" s="937"/>
      <c r="CC215" s="937"/>
      <c r="CD215" s="937"/>
      <c r="CE215" s="937"/>
      <c r="CF215" s="937"/>
      <c r="CG215" s="937"/>
      <c r="CH215" s="937"/>
      <c r="CI215" s="937"/>
      <c r="CJ215" s="937"/>
      <c r="CK215" s="937"/>
      <c r="CL215" s="937"/>
      <c r="CM215" s="937"/>
      <c r="CN215" s="937"/>
      <c r="CO215" s="937"/>
    </row>
    <row r="216" spans="17:93" s="918" customFormat="1" x14ac:dyDescent="0.35">
      <c r="Q216" s="937"/>
      <c r="R216" s="937"/>
      <c r="S216" s="937"/>
      <c r="T216" s="937"/>
      <c r="U216" s="937"/>
      <c r="V216" s="937"/>
      <c r="W216" s="937"/>
      <c r="X216" s="937"/>
      <c r="Y216" s="937"/>
      <c r="Z216" s="937"/>
      <c r="AA216" s="937"/>
      <c r="AB216" s="937"/>
      <c r="AC216" s="963"/>
      <c r="AD216" s="963"/>
      <c r="AE216" s="963"/>
      <c r="AF216" s="937"/>
      <c r="AG216" s="937"/>
      <c r="AH216" s="937"/>
      <c r="AI216" s="937"/>
      <c r="AJ216" s="937"/>
      <c r="AK216" s="937"/>
      <c r="AL216" s="937"/>
      <c r="AM216" s="937"/>
      <c r="AN216" s="937"/>
      <c r="AO216" s="937"/>
      <c r="AP216" s="937"/>
      <c r="AQ216" s="937"/>
      <c r="AR216" s="937"/>
      <c r="AS216" s="937"/>
      <c r="AT216" s="937"/>
      <c r="AU216" s="937"/>
      <c r="AV216" s="937"/>
      <c r="AW216" s="937"/>
      <c r="AX216" s="937"/>
      <c r="AY216" s="937"/>
      <c r="AZ216" s="937"/>
      <c r="BA216" s="937"/>
      <c r="BB216" s="937"/>
      <c r="BC216" s="937"/>
      <c r="BD216" s="937"/>
      <c r="BE216" s="937"/>
      <c r="BF216" s="937"/>
      <c r="BG216" s="937"/>
      <c r="BH216" s="937"/>
      <c r="BI216" s="937"/>
      <c r="BJ216" s="937"/>
      <c r="BK216" s="937"/>
      <c r="BL216" s="937"/>
      <c r="BM216" s="937"/>
      <c r="BN216" s="937"/>
      <c r="BO216" s="937"/>
      <c r="BP216" s="937"/>
      <c r="BQ216" s="937"/>
      <c r="BR216" s="937"/>
      <c r="BS216" s="937"/>
      <c r="BT216" s="937"/>
      <c r="BU216" s="937"/>
      <c r="BV216" s="937"/>
      <c r="BW216" s="937"/>
      <c r="BX216" s="937"/>
      <c r="BY216" s="937"/>
      <c r="BZ216" s="937"/>
      <c r="CA216" s="937"/>
      <c r="CB216" s="937"/>
      <c r="CC216" s="937"/>
      <c r="CD216" s="937"/>
      <c r="CE216" s="937"/>
      <c r="CF216" s="937"/>
      <c r="CG216" s="937"/>
      <c r="CH216" s="937"/>
      <c r="CI216" s="937"/>
      <c r="CJ216" s="937"/>
      <c r="CK216" s="937"/>
      <c r="CL216" s="937"/>
      <c r="CM216" s="937"/>
      <c r="CN216" s="937"/>
      <c r="CO216" s="937"/>
    </row>
    <row r="217" spans="17:93" s="918" customFormat="1" x14ac:dyDescent="0.35">
      <c r="Q217" s="937"/>
      <c r="R217" s="937"/>
      <c r="S217" s="937"/>
      <c r="T217" s="937"/>
      <c r="U217" s="937"/>
      <c r="V217" s="937"/>
      <c r="W217" s="937"/>
      <c r="X217" s="937"/>
      <c r="Y217" s="937"/>
      <c r="Z217" s="937"/>
      <c r="AA217" s="937"/>
      <c r="AB217" s="937"/>
      <c r="AC217" s="963"/>
      <c r="AD217" s="963"/>
      <c r="AE217" s="963"/>
      <c r="AF217" s="937"/>
      <c r="AG217" s="937"/>
      <c r="AH217" s="937"/>
      <c r="AI217" s="937"/>
      <c r="AJ217" s="937"/>
      <c r="AK217" s="937"/>
      <c r="AL217" s="937"/>
      <c r="AM217" s="937"/>
      <c r="AN217" s="937"/>
      <c r="AO217" s="937"/>
      <c r="AP217" s="937"/>
      <c r="AQ217" s="937"/>
      <c r="AR217" s="937"/>
      <c r="AS217" s="937"/>
      <c r="AT217" s="937"/>
      <c r="AU217" s="937"/>
      <c r="AV217" s="937"/>
      <c r="AW217" s="937"/>
      <c r="AX217" s="937"/>
      <c r="AY217" s="937"/>
      <c r="AZ217" s="937"/>
      <c r="BA217" s="937"/>
      <c r="BB217" s="937"/>
      <c r="BC217" s="937"/>
      <c r="BD217" s="937"/>
      <c r="BE217" s="937"/>
      <c r="BF217" s="937"/>
      <c r="BG217" s="937"/>
      <c r="BH217" s="937"/>
      <c r="BI217" s="937"/>
      <c r="BJ217" s="937"/>
      <c r="BK217" s="937"/>
      <c r="BL217" s="937"/>
      <c r="BM217" s="937"/>
      <c r="BN217" s="937"/>
      <c r="BO217" s="937"/>
      <c r="BP217" s="937"/>
      <c r="BQ217" s="937"/>
      <c r="BR217" s="937"/>
      <c r="BS217" s="937"/>
      <c r="BT217" s="937"/>
      <c r="BU217" s="937"/>
      <c r="BV217" s="937"/>
      <c r="BW217" s="937"/>
      <c r="BX217" s="937"/>
      <c r="BY217" s="937"/>
      <c r="BZ217" s="937"/>
      <c r="CA217" s="937"/>
      <c r="CB217" s="937"/>
      <c r="CC217" s="937"/>
      <c r="CD217" s="937"/>
      <c r="CE217" s="937"/>
      <c r="CF217" s="937"/>
      <c r="CG217" s="937"/>
      <c r="CH217" s="937"/>
      <c r="CI217" s="937"/>
      <c r="CJ217" s="937"/>
      <c r="CK217" s="937"/>
      <c r="CL217" s="937"/>
      <c r="CM217" s="937"/>
      <c r="CN217" s="937"/>
      <c r="CO217" s="937"/>
    </row>
    <row r="218" spans="17:93" s="918" customFormat="1" x14ac:dyDescent="0.35">
      <c r="Q218" s="937"/>
      <c r="R218" s="937"/>
      <c r="S218" s="937"/>
      <c r="T218" s="937"/>
      <c r="U218" s="937"/>
      <c r="V218" s="937"/>
      <c r="W218" s="937"/>
      <c r="X218" s="937"/>
      <c r="Y218" s="937"/>
      <c r="Z218" s="937"/>
      <c r="AA218" s="937"/>
      <c r="AB218" s="937"/>
      <c r="AC218" s="963"/>
      <c r="AD218" s="963"/>
      <c r="AE218" s="963"/>
      <c r="AF218" s="937"/>
      <c r="AG218" s="937"/>
      <c r="AH218" s="937"/>
      <c r="AI218" s="937"/>
      <c r="AJ218" s="937"/>
      <c r="AK218" s="937"/>
      <c r="AL218" s="937"/>
      <c r="AM218" s="937"/>
      <c r="AN218" s="937"/>
      <c r="AO218" s="937"/>
      <c r="AP218" s="937"/>
      <c r="AQ218" s="937"/>
      <c r="AR218" s="937"/>
      <c r="AS218" s="937"/>
      <c r="AT218" s="937"/>
      <c r="AU218" s="937"/>
      <c r="AV218" s="937"/>
      <c r="AW218" s="937"/>
      <c r="AX218" s="937"/>
      <c r="AY218" s="937"/>
      <c r="AZ218" s="937"/>
      <c r="BA218" s="937"/>
      <c r="BB218" s="937"/>
      <c r="BC218" s="937"/>
      <c r="BD218" s="937"/>
      <c r="BE218" s="937"/>
      <c r="BF218" s="937"/>
      <c r="BG218" s="937"/>
      <c r="BH218" s="937"/>
      <c r="BI218" s="937"/>
      <c r="BJ218" s="937"/>
      <c r="BK218" s="937"/>
      <c r="BL218" s="937"/>
      <c r="BM218" s="937"/>
      <c r="BN218" s="937"/>
      <c r="BO218" s="937"/>
      <c r="BP218" s="937"/>
      <c r="BQ218" s="937"/>
      <c r="BR218" s="937"/>
      <c r="BS218" s="937"/>
      <c r="BT218" s="937"/>
      <c r="BU218" s="937"/>
      <c r="BV218" s="937"/>
      <c r="BW218" s="937"/>
      <c r="BX218" s="937"/>
      <c r="BY218" s="937"/>
      <c r="BZ218" s="937"/>
      <c r="CA218" s="937"/>
      <c r="CB218" s="937"/>
      <c r="CC218" s="937"/>
      <c r="CD218" s="937"/>
      <c r="CE218" s="937"/>
      <c r="CF218" s="937"/>
      <c r="CG218" s="937"/>
      <c r="CH218" s="937"/>
      <c r="CI218" s="937"/>
      <c r="CJ218" s="937"/>
      <c r="CK218" s="937"/>
      <c r="CL218" s="937"/>
      <c r="CM218" s="937"/>
      <c r="CN218" s="937"/>
      <c r="CO218" s="937"/>
    </row>
    <row r="219" spans="17:93" s="918" customFormat="1" x14ac:dyDescent="0.35">
      <c r="Q219" s="937"/>
      <c r="R219" s="937"/>
      <c r="S219" s="937"/>
      <c r="T219" s="937"/>
      <c r="U219" s="937"/>
      <c r="V219" s="937"/>
      <c r="W219" s="937"/>
      <c r="X219" s="937"/>
      <c r="Y219" s="937"/>
      <c r="Z219" s="937"/>
      <c r="AA219" s="937"/>
      <c r="AB219" s="937"/>
      <c r="AC219" s="963"/>
      <c r="AD219" s="963"/>
      <c r="AE219" s="963"/>
      <c r="AF219" s="937"/>
      <c r="AG219" s="937"/>
      <c r="AH219" s="937"/>
      <c r="AI219" s="937"/>
      <c r="AJ219" s="937"/>
      <c r="AK219" s="937"/>
      <c r="AL219" s="937"/>
      <c r="AM219" s="937"/>
      <c r="AN219" s="937"/>
      <c r="AO219" s="937"/>
      <c r="AP219" s="937"/>
      <c r="AQ219" s="937"/>
      <c r="AR219" s="937"/>
      <c r="AS219" s="937"/>
      <c r="AT219" s="937"/>
      <c r="AU219" s="937"/>
      <c r="AV219" s="937"/>
      <c r="AW219" s="937"/>
      <c r="AX219" s="937"/>
      <c r="AY219" s="937"/>
      <c r="AZ219" s="937"/>
      <c r="BA219" s="937"/>
      <c r="BB219" s="937"/>
      <c r="BC219" s="937"/>
      <c r="BD219" s="937"/>
      <c r="BE219" s="937"/>
      <c r="BF219" s="937"/>
      <c r="BG219" s="937"/>
      <c r="BH219" s="937"/>
      <c r="BI219" s="937"/>
      <c r="BJ219" s="937"/>
      <c r="BK219" s="937"/>
      <c r="BL219" s="937"/>
      <c r="BM219" s="937"/>
      <c r="BN219" s="937"/>
      <c r="BO219" s="937"/>
      <c r="BP219" s="937"/>
      <c r="BQ219" s="937"/>
      <c r="BR219" s="937"/>
      <c r="BS219" s="937"/>
      <c r="BT219" s="937"/>
      <c r="BU219" s="937"/>
      <c r="BV219" s="937"/>
      <c r="BW219" s="937"/>
      <c r="BX219" s="937"/>
      <c r="BY219" s="937"/>
      <c r="BZ219" s="937"/>
      <c r="CA219" s="937"/>
      <c r="CB219" s="937"/>
      <c r="CC219" s="937"/>
      <c r="CD219" s="937"/>
      <c r="CE219" s="937"/>
      <c r="CF219" s="937"/>
      <c r="CG219" s="937"/>
      <c r="CH219" s="937"/>
      <c r="CI219" s="937"/>
      <c r="CJ219" s="937"/>
      <c r="CK219" s="937"/>
      <c r="CL219" s="937"/>
      <c r="CM219" s="937"/>
      <c r="CN219" s="937"/>
      <c r="CO219" s="937"/>
    </row>
    <row r="220" spans="17:93" s="918" customFormat="1" x14ac:dyDescent="0.35">
      <c r="Q220" s="937"/>
      <c r="R220" s="937"/>
      <c r="S220" s="937"/>
      <c r="T220" s="937"/>
      <c r="U220" s="937"/>
      <c r="V220" s="937"/>
      <c r="W220" s="937"/>
      <c r="X220" s="937"/>
      <c r="Y220" s="937"/>
      <c r="Z220" s="937"/>
      <c r="AA220" s="937"/>
      <c r="AB220" s="937"/>
      <c r="AC220" s="963"/>
      <c r="AD220" s="963"/>
      <c r="AE220" s="963"/>
      <c r="AF220" s="937"/>
      <c r="AG220" s="937"/>
      <c r="AH220" s="937"/>
      <c r="AI220" s="937"/>
      <c r="AJ220" s="937"/>
      <c r="AK220" s="937"/>
      <c r="AL220" s="937"/>
      <c r="AM220" s="937"/>
      <c r="AN220" s="937"/>
      <c r="AO220" s="937"/>
      <c r="AP220" s="937"/>
      <c r="AQ220" s="937"/>
      <c r="AR220" s="937"/>
      <c r="AS220" s="937"/>
      <c r="AT220" s="937"/>
      <c r="AU220" s="937"/>
      <c r="AV220" s="937"/>
      <c r="AW220" s="937"/>
      <c r="AX220" s="937"/>
      <c r="AY220" s="937"/>
      <c r="AZ220" s="937"/>
      <c r="BA220" s="937"/>
      <c r="BB220" s="937"/>
      <c r="BC220" s="937"/>
      <c r="BD220" s="937"/>
      <c r="BE220" s="937"/>
      <c r="BF220" s="937"/>
      <c r="BG220" s="937"/>
      <c r="BH220" s="937"/>
      <c r="BI220" s="937"/>
      <c r="BJ220" s="937"/>
      <c r="BK220" s="937"/>
      <c r="BL220" s="937"/>
      <c r="BM220" s="937"/>
      <c r="BN220" s="937"/>
      <c r="BO220" s="937"/>
      <c r="BP220" s="937"/>
      <c r="BQ220" s="937"/>
      <c r="BR220" s="937"/>
      <c r="BS220" s="937"/>
      <c r="BT220" s="937"/>
      <c r="BU220" s="937"/>
      <c r="BV220" s="937"/>
      <c r="BW220" s="937"/>
      <c r="BX220" s="937"/>
      <c r="BY220" s="937"/>
      <c r="BZ220" s="937"/>
      <c r="CA220" s="937"/>
      <c r="CB220" s="937"/>
      <c r="CC220" s="937"/>
      <c r="CD220" s="937"/>
      <c r="CE220" s="937"/>
      <c r="CF220" s="937"/>
      <c r="CG220" s="937"/>
      <c r="CH220" s="937"/>
      <c r="CI220" s="937"/>
      <c r="CJ220" s="937"/>
      <c r="CK220" s="937"/>
      <c r="CL220" s="937"/>
      <c r="CM220" s="937"/>
      <c r="CN220" s="937"/>
      <c r="CO220" s="937"/>
    </row>
    <row r="221" spans="17:93" s="918" customFormat="1" x14ac:dyDescent="0.35">
      <c r="Q221" s="937"/>
      <c r="R221" s="937"/>
      <c r="S221" s="937"/>
      <c r="T221" s="937"/>
      <c r="U221" s="937"/>
      <c r="V221" s="937"/>
      <c r="W221" s="937"/>
      <c r="X221" s="937"/>
      <c r="Y221" s="937"/>
      <c r="Z221" s="937"/>
      <c r="AA221" s="937"/>
      <c r="AB221" s="937"/>
      <c r="AC221" s="963"/>
      <c r="AD221" s="963"/>
      <c r="AE221" s="963"/>
      <c r="AF221" s="937"/>
      <c r="AG221" s="937"/>
      <c r="AH221" s="937"/>
      <c r="AI221" s="937"/>
      <c r="AJ221" s="937"/>
      <c r="AK221" s="937"/>
      <c r="AL221" s="937"/>
      <c r="AM221" s="937"/>
      <c r="AN221" s="937"/>
      <c r="AO221" s="937"/>
      <c r="AP221" s="937"/>
      <c r="AQ221" s="937"/>
      <c r="AR221" s="937"/>
      <c r="AS221" s="937"/>
      <c r="AT221" s="937"/>
      <c r="AU221" s="937"/>
      <c r="AV221" s="937"/>
      <c r="AW221" s="937"/>
      <c r="AX221" s="937"/>
      <c r="AY221" s="937"/>
      <c r="AZ221" s="937"/>
      <c r="BA221" s="937"/>
      <c r="BB221" s="937"/>
      <c r="BC221" s="937"/>
      <c r="BD221" s="937"/>
      <c r="BE221" s="937"/>
      <c r="BF221" s="937"/>
      <c r="BG221" s="937"/>
      <c r="BH221" s="937"/>
      <c r="BI221" s="937"/>
      <c r="BJ221" s="937"/>
      <c r="BK221" s="937"/>
      <c r="BL221" s="937"/>
      <c r="BM221" s="937"/>
      <c r="BN221" s="937"/>
      <c r="BO221" s="937"/>
      <c r="BP221" s="937"/>
      <c r="BQ221" s="937"/>
      <c r="BR221" s="937"/>
      <c r="BS221" s="937"/>
      <c r="BT221" s="937"/>
      <c r="BU221" s="937"/>
      <c r="BV221" s="937"/>
      <c r="BW221" s="937"/>
      <c r="BX221" s="937"/>
      <c r="BY221" s="937"/>
      <c r="BZ221" s="937"/>
      <c r="CA221" s="937"/>
      <c r="CB221" s="937"/>
      <c r="CC221" s="937"/>
      <c r="CD221" s="937"/>
      <c r="CE221" s="937"/>
      <c r="CF221" s="937"/>
      <c r="CG221" s="937"/>
      <c r="CH221" s="937"/>
      <c r="CI221" s="937"/>
      <c r="CJ221" s="937"/>
      <c r="CK221" s="937"/>
      <c r="CL221" s="937"/>
      <c r="CM221" s="937"/>
      <c r="CN221" s="937"/>
      <c r="CO221" s="937"/>
    </row>
    <row r="222" spans="17:93" s="918" customFormat="1" x14ac:dyDescent="0.35">
      <c r="Q222" s="937"/>
      <c r="R222" s="937"/>
      <c r="S222" s="937"/>
      <c r="T222" s="937"/>
      <c r="U222" s="937"/>
      <c r="V222" s="937"/>
      <c r="W222" s="937"/>
      <c r="X222" s="937"/>
      <c r="Y222" s="937"/>
      <c r="Z222" s="937"/>
      <c r="AA222" s="937"/>
      <c r="AB222" s="937"/>
      <c r="AC222" s="963"/>
      <c r="AD222" s="963"/>
      <c r="AE222" s="963"/>
      <c r="AF222" s="937"/>
      <c r="AG222" s="937"/>
      <c r="AH222" s="937"/>
      <c r="AI222" s="937"/>
      <c r="AJ222" s="937"/>
      <c r="AK222" s="937"/>
      <c r="AL222" s="937"/>
      <c r="AM222" s="937"/>
      <c r="AN222" s="937"/>
      <c r="AO222" s="937"/>
      <c r="AP222" s="937"/>
      <c r="AQ222" s="937"/>
      <c r="AR222" s="937"/>
      <c r="AS222" s="937"/>
      <c r="AT222" s="937"/>
      <c r="AU222" s="937"/>
      <c r="AV222" s="937"/>
      <c r="AW222" s="937"/>
      <c r="AX222" s="937"/>
      <c r="AY222" s="937"/>
      <c r="AZ222" s="937"/>
      <c r="BA222" s="937"/>
      <c r="BB222" s="937"/>
      <c r="BC222" s="937"/>
      <c r="BD222" s="937"/>
      <c r="BE222" s="937"/>
      <c r="BF222" s="937"/>
      <c r="BG222" s="937"/>
      <c r="BH222" s="937"/>
      <c r="BI222" s="937"/>
      <c r="BJ222" s="937"/>
      <c r="BK222" s="937"/>
      <c r="BL222" s="937"/>
      <c r="BM222" s="937"/>
      <c r="BN222" s="937"/>
      <c r="BO222" s="937"/>
      <c r="BP222" s="937"/>
      <c r="BQ222" s="937"/>
      <c r="BR222" s="937"/>
      <c r="BS222" s="937"/>
      <c r="BT222" s="937"/>
      <c r="BU222" s="937"/>
      <c r="BV222" s="937"/>
      <c r="BW222" s="937"/>
      <c r="BX222" s="937"/>
      <c r="BY222" s="937"/>
      <c r="BZ222" s="937"/>
      <c r="CA222" s="937"/>
      <c r="CB222" s="937"/>
      <c r="CC222" s="937"/>
      <c r="CD222" s="937"/>
      <c r="CE222" s="937"/>
      <c r="CF222" s="937"/>
      <c r="CG222" s="937"/>
      <c r="CH222" s="937"/>
      <c r="CI222" s="937"/>
      <c r="CJ222" s="937"/>
      <c r="CK222" s="937"/>
      <c r="CL222" s="937"/>
      <c r="CM222" s="937"/>
      <c r="CN222" s="937"/>
      <c r="CO222" s="937"/>
    </row>
    <row r="223" spans="17:93" s="918" customFormat="1" x14ac:dyDescent="0.35">
      <c r="Q223" s="937"/>
      <c r="R223" s="937"/>
      <c r="S223" s="937"/>
      <c r="T223" s="937"/>
      <c r="U223" s="937"/>
      <c r="V223" s="937"/>
      <c r="W223" s="937"/>
      <c r="X223" s="937"/>
      <c r="Y223" s="937"/>
      <c r="Z223" s="937"/>
      <c r="AA223" s="937"/>
      <c r="AB223" s="937"/>
      <c r="AC223" s="963"/>
      <c r="AD223" s="963"/>
      <c r="AE223" s="963"/>
      <c r="AF223" s="937"/>
      <c r="AG223" s="937"/>
      <c r="AH223" s="937"/>
      <c r="AI223" s="937"/>
      <c r="AJ223" s="937"/>
      <c r="AK223" s="937"/>
      <c r="AL223" s="937"/>
      <c r="AM223" s="937"/>
      <c r="AN223" s="937"/>
      <c r="AO223" s="937"/>
      <c r="AP223" s="937"/>
      <c r="AQ223" s="937"/>
      <c r="AR223" s="937"/>
      <c r="AS223" s="937"/>
      <c r="AT223" s="937"/>
      <c r="AU223" s="937"/>
      <c r="AV223" s="937"/>
      <c r="AW223" s="937"/>
      <c r="AX223" s="937"/>
      <c r="AY223" s="937"/>
      <c r="AZ223" s="937"/>
      <c r="BA223" s="937"/>
      <c r="BB223" s="937"/>
      <c r="BC223" s="937"/>
      <c r="BD223" s="937"/>
      <c r="BE223" s="937"/>
      <c r="BF223" s="937"/>
      <c r="BG223" s="937"/>
      <c r="BH223" s="937"/>
      <c r="BI223" s="937"/>
      <c r="BJ223" s="937"/>
      <c r="BK223" s="937"/>
      <c r="BL223" s="937"/>
      <c r="BM223" s="937"/>
      <c r="BN223" s="937"/>
      <c r="BO223" s="937"/>
      <c r="BP223" s="937"/>
      <c r="BQ223" s="937"/>
      <c r="BR223" s="937"/>
      <c r="BS223" s="937"/>
      <c r="BT223" s="937"/>
      <c r="BU223" s="937"/>
      <c r="BV223" s="937"/>
      <c r="BW223" s="937"/>
      <c r="BX223" s="937"/>
      <c r="BY223" s="937"/>
      <c r="BZ223" s="937"/>
      <c r="CA223" s="937"/>
      <c r="CB223" s="937"/>
      <c r="CC223" s="937"/>
      <c r="CD223" s="937"/>
      <c r="CE223" s="937"/>
      <c r="CF223" s="937"/>
      <c r="CG223" s="937"/>
      <c r="CH223" s="937"/>
      <c r="CI223" s="937"/>
      <c r="CJ223" s="937"/>
      <c r="CK223" s="937"/>
      <c r="CL223" s="937"/>
      <c r="CM223" s="937"/>
      <c r="CN223" s="937"/>
      <c r="CO223" s="937"/>
    </row>
    <row r="224" spans="17:93" s="918" customFormat="1" x14ac:dyDescent="0.35">
      <c r="Q224" s="937"/>
      <c r="R224" s="937"/>
      <c r="S224" s="937"/>
      <c r="T224" s="937"/>
      <c r="U224" s="937"/>
      <c r="V224" s="937"/>
      <c r="W224" s="937"/>
      <c r="X224" s="937"/>
      <c r="Y224" s="937"/>
      <c r="Z224" s="937"/>
      <c r="AA224" s="937"/>
      <c r="AB224" s="937"/>
      <c r="AC224" s="963"/>
      <c r="AD224" s="963"/>
      <c r="AE224" s="963"/>
      <c r="AF224" s="937"/>
      <c r="AG224" s="937"/>
      <c r="AH224" s="937"/>
      <c r="AI224" s="937"/>
      <c r="AJ224" s="937"/>
      <c r="AK224" s="937"/>
      <c r="AL224" s="937"/>
      <c r="AM224" s="937"/>
      <c r="AN224" s="937"/>
      <c r="AO224" s="937"/>
      <c r="AP224" s="937"/>
      <c r="AQ224" s="937"/>
      <c r="AR224" s="937"/>
      <c r="AS224" s="937"/>
      <c r="AT224" s="937"/>
      <c r="AU224" s="937"/>
      <c r="AV224" s="937"/>
      <c r="AW224" s="937"/>
      <c r="AX224" s="937"/>
      <c r="AY224" s="937"/>
      <c r="AZ224" s="937"/>
      <c r="BA224" s="937"/>
      <c r="BB224" s="937"/>
      <c r="BC224" s="937"/>
      <c r="BD224" s="937"/>
      <c r="BE224" s="937"/>
      <c r="BF224" s="937"/>
      <c r="BG224" s="937"/>
      <c r="BH224" s="937"/>
      <c r="BI224" s="937"/>
      <c r="BJ224" s="937"/>
      <c r="BK224" s="937"/>
      <c r="BL224" s="937"/>
      <c r="BM224" s="937"/>
      <c r="BN224" s="937"/>
      <c r="BO224" s="937"/>
      <c r="BP224" s="937"/>
      <c r="BQ224" s="937"/>
      <c r="BR224" s="937"/>
      <c r="BS224" s="937"/>
      <c r="BT224" s="937"/>
      <c r="BU224" s="937"/>
      <c r="BV224" s="937"/>
      <c r="BW224" s="937"/>
      <c r="BX224" s="937"/>
      <c r="BY224" s="937"/>
      <c r="BZ224" s="937"/>
      <c r="CA224" s="937"/>
      <c r="CB224" s="937"/>
      <c r="CC224" s="937"/>
      <c r="CD224" s="937"/>
      <c r="CE224" s="937"/>
      <c r="CF224" s="937"/>
      <c r="CG224" s="937"/>
      <c r="CH224" s="937"/>
      <c r="CI224" s="937"/>
      <c r="CJ224" s="937"/>
      <c r="CK224" s="937"/>
      <c r="CL224" s="937"/>
      <c r="CM224" s="937"/>
      <c r="CN224" s="937"/>
      <c r="CO224" s="937"/>
    </row>
    <row r="225" spans="17:93" s="918" customFormat="1" x14ac:dyDescent="0.35">
      <c r="Q225" s="937"/>
      <c r="R225" s="937"/>
      <c r="S225" s="937"/>
      <c r="T225" s="937"/>
      <c r="U225" s="937"/>
      <c r="V225" s="937"/>
      <c r="W225" s="937"/>
      <c r="X225" s="937"/>
      <c r="Y225" s="937"/>
      <c r="Z225" s="937"/>
      <c r="AA225" s="937"/>
      <c r="AB225" s="937"/>
      <c r="AC225" s="963"/>
      <c r="AD225" s="963"/>
      <c r="AE225" s="963"/>
      <c r="AF225" s="937"/>
      <c r="AG225" s="937"/>
      <c r="AH225" s="937"/>
      <c r="AI225" s="937"/>
      <c r="AJ225" s="937"/>
      <c r="AK225" s="937"/>
      <c r="AL225" s="937"/>
      <c r="AM225" s="937"/>
      <c r="AN225" s="937"/>
      <c r="AO225" s="937"/>
      <c r="AP225" s="937"/>
      <c r="AQ225" s="937"/>
      <c r="AR225" s="937"/>
      <c r="AS225" s="937"/>
      <c r="AT225" s="937"/>
      <c r="AU225" s="937"/>
      <c r="AV225" s="937"/>
      <c r="AW225" s="937"/>
      <c r="AX225" s="937"/>
      <c r="AY225" s="937"/>
      <c r="AZ225" s="937"/>
      <c r="BA225" s="937"/>
      <c r="BB225" s="937"/>
      <c r="BC225" s="937"/>
      <c r="BD225" s="937"/>
      <c r="BE225" s="937"/>
      <c r="BF225" s="937"/>
      <c r="BG225" s="937"/>
      <c r="BH225" s="937"/>
      <c r="BI225" s="937"/>
      <c r="BJ225" s="937"/>
      <c r="BK225" s="937"/>
      <c r="BL225" s="937"/>
      <c r="BM225" s="937"/>
      <c r="BN225" s="937"/>
      <c r="BO225" s="937"/>
      <c r="BP225" s="937"/>
      <c r="BQ225" s="937"/>
      <c r="BR225" s="937"/>
      <c r="BS225" s="937"/>
      <c r="BT225" s="937"/>
      <c r="BU225" s="937"/>
      <c r="BV225" s="937"/>
      <c r="BW225" s="937"/>
      <c r="BX225" s="937"/>
      <c r="BY225" s="937"/>
      <c r="BZ225" s="937"/>
      <c r="CA225" s="937"/>
      <c r="CB225" s="937"/>
      <c r="CC225" s="937"/>
      <c r="CD225" s="937"/>
      <c r="CE225" s="937"/>
      <c r="CF225" s="937"/>
      <c r="CG225" s="937"/>
      <c r="CH225" s="937"/>
      <c r="CI225" s="937"/>
      <c r="CJ225" s="937"/>
      <c r="CK225" s="937"/>
      <c r="CL225" s="937"/>
      <c r="CM225" s="937"/>
      <c r="CN225" s="937"/>
      <c r="CO225" s="937"/>
    </row>
    <row r="226" spans="17:93" s="918" customFormat="1" x14ac:dyDescent="0.35">
      <c r="Q226" s="937"/>
      <c r="R226" s="937"/>
      <c r="S226" s="937"/>
      <c r="T226" s="937"/>
      <c r="U226" s="937"/>
      <c r="V226" s="937"/>
      <c r="W226" s="937"/>
      <c r="X226" s="937"/>
      <c r="Y226" s="937"/>
      <c r="Z226" s="937"/>
      <c r="AA226" s="937"/>
      <c r="AB226" s="937"/>
      <c r="AC226" s="963"/>
      <c r="AD226" s="963"/>
      <c r="AE226" s="963"/>
      <c r="AF226" s="937"/>
      <c r="AG226" s="937"/>
      <c r="AH226" s="937"/>
      <c r="AI226" s="937"/>
      <c r="AJ226" s="937"/>
      <c r="AK226" s="937"/>
      <c r="AL226" s="937"/>
      <c r="AM226" s="937"/>
      <c r="AN226" s="937"/>
      <c r="AO226" s="937"/>
      <c r="AP226" s="937"/>
      <c r="AQ226" s="937"/>
      <c r="AR226" s="937"/>
      <c r="AS226" s="937"/>
      <c r="AT226" s="937"/>
      <c r="AU226" s="937"/>
      <c r="AV226" s="937"/>
      <c r="AW226" s="937"/>
      <c r="AX226" s="937"/>
      <c r="AY226" s="937"/>
      <c r="AZ226" s="937"/>
      <c r="BA226" s="937"/>
      <c r="BB226" s="937"/>
      <c r="BC226" s="937"/>
      <c r="BD226" s="937"/>
      <c r="BE226" s="937"/>
      <c r="BF226" s="937"/>
      <c r="BG226" s="937"/>
      <c r="BH226" s="937"/>
      <c r="BI226" s="937"/>
      <c r="BJ226" s="937"/>
      <c r="BK226" s="937"/>
      <c r="BL226" s="937"/>
      <c r="BM226" s="937"/>
      <c r="BN226" s="937"/>
      <c r="BO226" s="937"/>
      <c r="BP226" s="937"/>
      <c r="BQ226" s="937"/>
      <c r="BR226" s="937"/>
      <c r="BS226" s="937"/>
      <c r="BT226" s="937"/>
      <c r="BU226" s="937"/>
      <c r="BV226" s="937"/>
      <c r="BW226" s="937"/>
      <c r="BX226" s="937"/>
      <c r="BY226" s="937"/>
      <c r="BZ226" s="937"/>
      <c r="CA226" s="937"/>
      <c r="CB226" s="937"/>
      <c r="CC226" s="937"/>
      <c r="CD226" s="937"/>
      <c r="CE226" s="937"/>
      <c r="CF226" s="937"/>
      <c r="CG226" s="937"/>
      <c r="CH226" s="937"/>
      <c r="CI226" s="937"/>
      <c r="CJ226" s="937"/>
      <c r="CK226" s="937"/>
      <c r="CL226" s="937"/>
      <c r="CM226" s="937"/>
      <c r="CN226" s="937"/>
      <c r="CO226" s="937"/>
    </row>
    <row r="227" spans="17:93" s="918" customFormat="1" x14ac:dyDescent="0.35">
      <c r="Q227" s="937"/>
      <c r="R227" s="937"/>
      <c r="S227" s="937"/>
      <c r="T227" s="937"/>
      <c r="U227" s="937"/>
      <c r="V227" s="937"/>
      <c r="W227" s="937"/>
      <c r="X227" s="937"/>
      <c r="Y227" s="937"/>
      <c r="Z227" s="937"/>
      <c r="AA227" s="937"/>
      <c r="AB227" s="937"/>
      <c r="AC227" s="963"/>
      <c r="AD227" s="963"/>
      <c r="AE227" s="963"/>
      <c r="AF227" s="937"/>
      <c r="AG227" s="937"/>
      <c r="AH227" s="937"/>
      <c r="AI227" s="937"/>
      <c r="AJ227" s="937"/>
      <c r="AK227" s="937"/>
      <c r="AL227" s="937"/>
      <c r="AM227" s="937"/>
      <c r="AN227" s="937"/>
      <c r="AO227" s="937"/>
      <c r="AP227" s="937"/>
      <c r="AQ227" s="937"/>
      <c r="AR227" s="937"/>
      <c r="AS227" s="937"/>
      <c r="AT227" s="937"/>
      <c r="AU227" s="937"/>
      <c r="AV227" s="937"/>
      <c r="AW227" s="937"/>
      <c r="AX227" s="937"/>
      <c r="AY227" s="937"/>
      <c r="AZ227" s="937"/>
      <c r="BA227" s="937"/>
      <c r="BB227" s="937"/>
      <c r="BC227" s="937"/>
      <c r="BD227" s="937"/>
      <c r="BE227" s="937"/>
      <c r="BF227" s="937"/>
      <c r="BG227" s="937"/>
      <c r="BH227" s="937"/>
      <c r="BI227" s="937"/>
      <c r="BJ227" s="937"/>
      <c r="BK227" s="937"/>
      <c r="BL227" s="937"/>
      <c r="BM227" s="937"/>
      <c r="BN227" s="937"/>
      <c r="BO227" s="937"/>
      <c r="BP227" s="937"/>
      <c r="BQ227" s="937"/>
      <c r="BR227" s="937"/>
      <c r="BS227" s="937"/>
      <c r="BT227" s="937"/>
      <c r="BU227" s="937"/>
      <c r="BV227" s="937"/>
      <c r="BW227" s="937"/>
      <c r="BX227" s="937"/>
      <c r="BY227" s="937"/>
      <c r="BZ227" s="937"/>
      <c r="CA227" s="937"/>
      <c r="CB227" s="937"/>
      <c r="CC227" s="937"/>
      <c r="CD227" s="937"/>
      <c r="CE227" s="937"/>
      <c r="CF227" s="937"/>
      <c r="CG227" s="937"/>
      <c r="CH227" s="937"/>
      <c r="CI227" s="937"/>
      <c r="CJ227" s="937"/>
      <c r="CK227" s="937"/>
      <c r="CL227" s="937"/>
      <c r="CM227" s="937"/>
      <c r="CN227" s="937"/>
      <c r="CO227" s="937"/>
    </row>
    <row r="228" spans="17:93" s="918" customFormat="1" x14ac:dyDescent="0.35">
      <c r="Q228" s="937"/>
      <c r="R228" s="937"/>
      <c r="S228" s="937"/>
      <c r="T228" s="937"/>
      <c r="U228" s="937"/>
      <c r="V228" s="937"/>
      <c r="W228" s="937"/>
      <c r="X228" s="937"/>
      <c r="Y228" s="937"/>
      <c r="Z228" s="937"/>
      <c r="AA228" s="937"/>
      <c r="AB228" s="937"/>
      <c r="AC228" s="963"/>
      <c r="AD228" s="963"/>
      <c r="AE228" s="963"/>
      <c r="AF228" s="937"/>
      <c r="AG228" s="937"/>
      <c r="AH228" s="937"/>
      <c r="AI228" s="937"/>
      <c r="AJ228" s="937"/>
      <c r="AK228" s="937"/>
      <c r="AL228" s="937"/>
      <c r="AM228" s="937"/>
      <c r="AN228" s="937"/>
      <c r="AO228" s="937"/>
      <c r="AP228" s="937"/>
      <c r="AQ228" s="937"/>
      <c r="AR228" s="937"/>
      <c r="AS228" s="937"/>
      <c r="AT228" s="937"/>
      <c r="AU228" s="937"/>
      <c r="AV228" s="937"/>
      <c r="AW228" s="937"/>
      <c r="AX228" s="937"/>
      <c r="AY228" s="937"/>
      <c r="AZ228" s="937"/>
      <c r="BA228" s="937"/>
      <c r="BB228" s="937"/>
      <c r="BC228" s="937"/>
      <c r="BD228" s="937"/>
      <c r="BE228" s="937"/>
      <c r="BF228" s="937"/>
      <c r="BG228" s="937"/>
      <c r="BH228" s="937"/>
      <c r="BI228" s="937"/>
      <c r="BJ228" s="937"/>
      <c r="BK228" s="937"/>
      <c r="BL228" s="937"/>
      <c r="BM228" s="937"/>
      <c r="BN228" s="937"/>
      <c r="BO228" s="937"/>
      <c r="BP228" s="937"/>
      <c r="BQ228" s="937"/>
      <c r="BR228" s="937"/>
      <c r="BS228" s="937"/>
      <c r="BT228" s="937"/>
      <c r="BU228" s="937"/>
      <c r="BV228" s="937"/>
      <c r="BW228" s="937"/>
      <c r="BX228" s="937"/>
      <c r="BY228" s="937"/>
      <c r="BZ228" s="937"/>
      <c r="CA228" s="937"/>
      <c r="CB228" s="937"/>
      <c r="CC228" s="937"/>
      <c r="CD228" s="937"/>
      <c r="CE228" s="937"/>
      <c r="CF228" s="937"/>
      <c r="CG228" s="937"/>
      <c r="CH228" s="937"/>
      <c r="CI228" s="937"/>
      <c r="CJ228" s="937"/>
      <c r="CK228" s="937"/>
      <c r="CL228" s="937"/>
      <c r="CM228" s="937"/>
      <c r="CN228" s="937"/>
      <c r="CO228" s="937"/>
    </row>
    <row r="229" spans="17:93" s="918" customFormat="1" x14ac:dyDescent="0.35">
      <c r="Q229" s="937"/>
      <c r="R229" s="937"/>
      <c r="S229" s="937"/>
      <c r="T229" s="937"/>
      <c r="U229" s="937"/>
      <c r="V229" s="937"/>
      <c r="W229" s="937"/>
      <c r="X229" s="937"/>
      <c r="Y229" s="937"/>
      <c r="Z229" s="937"/>
      <c r="AA229" s="937"/>
      <c r="AB229" s="937"/>
      <c r="AC229" s="963"/>
      <c r="AD229" s="963"/>
      <c r="AE229" s="963"/>
      <c r="AF229" s="937"/>
      <c r="AG229" s="937"/>
      <c r="AH229" s="937"/>
      <c r="AI229" s="937"/>
      <c r="AJ229" s="937"/>
      <c r="AK229" s="937"/>
      <c r="AL229" s="937"/>
      <c r="AM229" s="937"/>
      <c r="AN229" s="937"/>
      <c r="AO229" s="937"/>
      <c r="AP229" s="937"/>
      <c r="AQ229" s="937"/>
      <c r="AR229" s="937"/>
      <c r="AS229" s="937"/>
      <c r="AT229" s="937"/>
      <c r="AU229" s="937"/>
      <c r="AV229" s="937"/>
      <c r="AW229" s="937"/>
      <c r="AX229" s="937"/>
      <c r="AY229" s="937"/>
      <c r="AZ229" s="937"/>
      <c r="BA229" s="937"/>
      <c r="BB229" s="937"/>
      <c r="BC229" s="937"/>
      <c r="BD229" s="937"/>
      <c r="BE229" s="937"/>
      <c r="BF229" s="937"/>
      <c r="BG229" s="937"/>
      <c r="BH229" s="937"/>
      <c r="BI229" s="937"/>
      <c r="BJ229" s="937"/>
      <c r="BK229" s="937"/>
      <c r="BL229" s="937"/>
      <c r="BM229" s="937"/>
      <c r="BN229" s="937"/>
      <c r="BO229" s="937"/>
      <c r="BP229" s="937"/>
      <c r="BQ229" s="937"/>
      <c r="BR229" s="937"/>
      <c r="BS229" s="937"/>
      <c r="BT229" s="937"/>
      <c r="BU229" s="937"/>
      <c r="BV229" s="937"/>
      <c r="BW229" s="937"/>
      <c r="BX229" s="937"/>
      <c r="BY229" s="937"/>
      <c r="BZ229" s="937"/>
      <c r="CA229" s="937"/>
      <c r="CB229" s="937"/>
      <c r="CC229" s="937"/>
      <c r="CD229" s="937"/>
      <c r="CE229" s="937"/>
      <c r="CF229" s="937"/>
      <c r="CG229" s="937"/>
      <c r="CH229" s="937"/>
      <c r="CI229" s="937"/>
      <c r="CJ229" s="937"/>
      <c r="CK229" s="937"/>
      <c r="CL229" s="937"/>
      <c r="CM229" s="937"/>
      <c r="CN229" s="937"/>
      <c r="CO229" s="937"/>
    </row>
    <row r="230" spans="17:93" s="918" customFormat="1" x14ac:dyDescent="0.35">
      <c r="Q230" s="937"/>
      <c r="R230" s="937"/>
      <c r="S230" s="937"/>
      <c r="T230" s="937"/>
      <c r="U230" s="937"/>
      <c r="V230" s="937"/>
      <c r="W230" s="937"/>
      <c r="X230" s="937"/>
      <c r="Y230" s="937"/>
      <c r="Z230" s="937"/>
      <c r="AA230" s="937"/>
      <c r="AB230" s="937"/>
      <c r="AC230" s="963"/>
      <c r="AD230" s="963"/>
      <c r="AE230" s="963"/>
      <c r="AF230" s="937"/>
      <c r="AG230" s="937"/>
      <c r="AH230" s="937"/>
      <c r="AI230" s="937"/>
      <c r="AJ230" s="937"/>
      <c r="AK230" s="937"/>
      <c r="AL230" s="937"/>
      <c r="AM230" s="937"/>
      <c r="AN230" s="937"/>
      <c r="AO230" s="937"/>
      <c r="AP230" s="937"/>
      <c r="AQ230" s="937"/>
      <c r="AR230" s="937"/>
      <c r="AS230" s="937"/>
      <c r="AT230" s="937"/>
      <c r="AU230" s="937"/>
      <c r="AV230" s="937"/>
      <c r="AW230" s="937"/>
      <c r="AX230" s="937"/>
      <c r="AY230" s="937"/>
      <c r="AZ230" s="937"/>
      <c r="BA230" s="937"/>
      <c r="BB230" s="937"/>
      <c r="BC230" s="937"/>
      <c r="BD230" s="937"/>
      <c r="BE230" s="937"/>
      <c r="BF230" s="937"/>
      <c r="BG230" s="937"/>
      <c r="BH230" s="937"/>
      <c r="BI230" s="937"/>
      <c r="BJ230" s="937"/>
      <c r="BK230" s="937"/>
      <c r="BL230" s="937"/>
      <c r="BM230" s="937"/>
      <c r="BN230" s="937"/>
      <c r="BO230" s="937"/>
      <c r="BP230" s="937"/>
      <c r="BQ230" s="937"/>
      <c r="BR230" s="937"/>
      <c r="BS230" s="937"/>
      <c r="BT230" s="937"/>
      <c r="BU230" s="937"/>
      <c r="BV230" s="937"/>
      <c r="BW230" s="937"/>
      <c r="BX230" s="937"/>
      <c r="BY230" s="937"/>
      <c r="BZ230" s="937"/>
      <c r="CA230" s="937"/>
      <c r="CB230" s="937"/>
      <c r="CC230" s="937"/>
      <c r="CD230" s="937"/>
      <c r="CE230" s="937"/>
      <c r="CF230" s="937"/>
      <c r="CG230" s="937"/>
      <c r="CH230" s="937"/>
      <c r="CI230" s="937"/>
      <c r="CJ230" s="937"/>
      <c r="CK230" s="937"/>
      <c r="CL230" s="937"/>
      <c r="CM230" s="937"/>
      <c r="CN230" s="937"/>
      <c r="CO230" s="937"/>
    </row>
    <row r="231" spans="17:93" s="918" customFormat="1" x14ac:dyDescent="0.35">
      <c r="Q231" s="937"/>
      <c r="R231" s="937"/>
      <c r="S231" s="937"/>
      <c r="T231" s="937"/>
      <c r="U231" s="937"/>
      <c r="V231" s="937"/>
      <c r="W231" s="937"/>
      <c r="X231" s="937"/>
      <c r="Y231" s="937"/>
      <c r="Z231" s="937"/>
      <c r="AA231" s="937"/>
      <c r="AB231" s="937"/>
      <c r="AC231" s="963"/>
      <c r="AD231" s="963"/>
      <c r="AE231" s="963"/>
      <c r="AF231" s="937"/>
      <c r="AG231" s="937"/>
      <c r="AH231" s="937"/>
      <c r="AI231" s="937"/>
      <c r="AJ231" s="937"/>
      <c r="AK231" s="937"/>
      <c r="AL231" s="937"/>
      <c r="AM231" s="937"/>
      <c r="AN231" s="937"/>
      <c r="AO231" s="937"/>
      <c r="AP231" s="937"/>
      <c r="AQ231" s="937"/>
      <c r="AR231" s="937"/>
      <c r="AS231" s="937"/>
      <c r="AT231" s="937"/>
      <c r="AU231" s="937"/>
      <c r="AV231" s="937"/>
      <c r="AW231" s="937"/>
      <c r="AX231" s="937"/>
      <c r="AY231" s="937"/>
      <c r="AZ231" s="937"/>
      <c r="BA231" s="937"/>
      <c r="BB231" s="937"/>
      <c r="BC231" s="937"/>
      <c r="BD231" s="937"/>
      <c r="BE231" s="937"/>
      <c r="BF231" s="937"/>
      <c r="BG231" s="937"/>
      <c r="BH231" s="937"/>
      <c r="BI231" s="937"/>
      <c r="BJ231" s="937"/>
      <c r="BK231" s="937"/>
      <c r="BL231" s="937"/>
      <c r="BM231" s="937"/>
      <c r="BN231" s="937"/>
      <c r="BO231" s="937"/>
      <c r="BP231" s="937"/>
      <c r="BQ231" s="937"/>
      <c r="BR231" s="937"/>
      <c r="BS231" s="937"/>
      <c r="BT231" s="937"/>
      <c r="BU231" s="937"/>
      <c r="BV231" s="937"/>
      <c r="BW231" s="937"/>
      <c r="BX231" s="937"/>
      <c r="BY231" s="937"/>
      <c r="BZ231" s="937"/>
      <c r="CA231" s="937"/>
      <c r="CB231" s="937"/>
      <c r="CC231" s="937"/>
      <c r="CD231" s="937"/>
      <c r="CE231" s="937"/>
      <c r="CF231" s="937"/>
      <c r="CG231" s="937"/>
      <c r="CH231" s="937"/>
      <c r="CI231" s="937"/>
      <c r="CJ231" s="937"/>
      <c r="CK231" s="937"/>
      <c r="CL231" s="937"/>
      <c r="CM231" s="937"/>
      <c r="CN231" s="937"/>
      <c r="CO231" s="937"/>
    </row>
    <row r="232" spans="17:93" s="918" customFormat="1" x14ac:dyDescent="0.35">
      <c r="Q232" s="937"/>
      <c r="R232" s="937"/>
      <c r="S232" s="937"/>
      <c r="T232" s="937"/>
      <c r="U232" s="937"/>
      <c r="V232" s="937"/>
      <c r="W232" s="937"/>
      <c r="X232" s="937"/>
      <c r="Y232" s="937"/>
      <c r="Z232" s="937"/>
      <c r="AA232" s="937"/>
      <c r="AB232" s="937"/>
      <c r="AC232" s="963"/>
      <c r="AD232" s="963"/>
      <c r="AE232" s="963"/>
      <c r="AF232" s="937"/>
      <c r="AG232" s="937"/>
      <c r="AH232" s="937"/>
      <c r="AI232" s="937"/>
      <c r="AJ232" s="937"/>
      <c r="AK232" s="937"/>
      <c r="AL232" s="937"/>
      <c r="AM232" s="937"/>
      <c r="AN232" s="937"/>
      <c r="AO232" s="937"/>
      <c r="AP232" s="937"/>
      <c r="AQ232" s="937"/>
      <c r="AR232" s="937"/>
      <c r="AS232" s="937"/>
      <c r="AT232" s="937"/>
      <c r="AU232" s="937"/>
      <c r="AV232" s="937"/>
      <c r="AW232" s="937"/>
      <c r="AX232" s="937"/>
      <c r="AY232" s="937"/>
      <c r="AZ232" s="937"/>
      <c r="BA232" s="937"/>
      <c r="BB232" s="937"/>
      <c r="BC232" s="937"/>
      <c r="BD232" s="937"/>
      <c r="BE232" s="937"/>
      <c r="BF232" s="937"/>
      <c r="BG232" s="937"/>
      <c r="BH232" s="937"/>
      <c r="BI232" s="937"/>
      <c r="BJ232" s="937"/>
      <c r="BK232" s="937"/>
      <c r="BL232" s="937"/>
      <c r="BM232" s="937"/>
      <c r="BN232" s="937"/>
      <c r="BO232" s="937"/>
      <c r="BP232" s="937"/>
      <c r="BQ232" s="937"/>
      <c r="BR232" s="937"/>
      <c r="BS232" s="937"/>
      <c r="BT232" s="937"/>
      <c r="BU232" s="937"/>
      <c r="BV232" s="937"/>
      <c r="BW232" s="937"/>
      <c r="BX232" s="937"/>
      <c r="BY232" s="937"/>
      <c r="BZ232" s="937"/>
      <c r="CA232" s="937"/>
      <c r="CB232" s="937"/>
      <c r="CC232" s="937"/>
      <c r="CD232" s="937"/>
      <c r="CE232" s="937"/>
      <c r="CF232" s="937"/>
      <c r="CG232" s="937"/>
      <c r="CH232" s="937"/>
      <c r="CI232" s="937"/>
      <c r="CJ232" s="937"/>
      <c r="CK232" s="937"/>
      <c r="CL232" s="937"/>
      <c r="CM232" s="937"/>
      <c r="CN232" s="937"/>
      <c r="CO232" s="937"/>
    </row>
    <row r="233" spans="17:93" s="918" customFormat="1" x14ac:dyDescent="0.35">
      <c r="Q233" s="937"/>
      <c r="R233" s="937"/>
      <c r="S233" s="937"/>
      <c r="T233" s="937"/>
      <c r="U233" s="937"/>
      <c r="V233" s="937"/>
      <c r="W233" s="937"/>
      <c r="X233" s="937"/>
      <c r="Y233" s="937"/>
      <c r="Z233" s="937"/>
      <c r="AA233" s="937"/>
      <c r="AB233" s="937"/>
      <c r="AC233" s="963"/>
      <c r="AD233" s="963"/>
      <c r="AE233" s="963"/>
      <c r="AF233" s="937"/>
      <c r="AG233" s="937"/>
      <c r="AH233" s="937"/>
      <c r="AI233" s="937"/>
      <c r="AJ233" s="937"/>
      <c r="AK233" s="937"/>
      <c r="AL233" s="937"/>
      <c r="AM233" s="937"/>
      <c r="AN233" s="937"/>
      <c r="AO233" s="937"/>
      <c r="AP233" s="937"/>
      <c r="AQ233" s="937"/>
      <c r="AR233" s="937"/>
      <c r="AS233" s="937"/>
      <c r="AT233" s="937"/>
      <c r="AU233" s="937"/>
      <c r="AV233" s="937"/>
      <c r="AW233" s="937"/>
      <c r="AX233" s="937"/>
      <c r="AY233" s="937"/>
      <c r="AZ233" s="937"/>
      <c r="BA233" s="937"/>
      <c r="BB233" s="937"/>
      <c r="BC233" s="937"/>
      <c r="BD233" s="937"/>
      <c r="BE233" s="937"/>
      <c r="BF233" s="937"/>
      <c r="BG233" s="937"/>
      <c r="BH233" s="937"/>
      <c r="BI233" s="937"/>
      <c r="BJ233" s="937"/>
      <c r="BK233" s="937"/>
      <c r="BL233" s="937"/>
      <c r="BM233" s="937"/>
      <c r="BN233" s="937"/>
      <c r="BO233" s="937"/>
      <c r="BP233" s="937"/>
      <c r="BQ233" s="937"/>
      <c r="BR233" s="937"/>
      <c r="BS233" s="937"/>
      <c r="BT233" s="937"/>
      <c r="BU233" s="937"/>
      <c r="BV233" s="937"/>
      <c r="BW233" s="937"/>
      <c r="BX233" s="937"/>
      <c r="BY233" s="937"/>
      <c r="BZ233" s="937"/>
      <c r="CA233" s="937"/>
      <c r="CB233" s="937"/>
      <c r="CC233" s="937"/>
      <c r="CD233" s="937"/>
      <c r="CE233" s="937"/>
      <c r="CF233" s="937"/>
      <c r="CG233" s="937"/>
      <c r="CH233" s="937"/>
      <c r="CI233" s="937"/>
      <c r="CJ233" s="937"/>
      <c r="CK233" s="937"/>
      <c r="CL233" s="937"/>
      <c r="CM233" s="937"/>
      <c r="CN233" s="937"/>
      <c r="CO233" s="937"/>
    </row>
    <row r="234" spans="17:93" s="918" customFormat="1" x14ac:dyDescent="0.35">
      <c r="Q234" s="937"/>
      <c r="R234" s="937"/>
      <c r="S234" s="937"/>
      <c r="T234" s="937"/>
      <c r="U234" s="937"/>
      <c r="V234" s="937"/>
      <c r="W234" s="937"/>
      <c r="X234" s="937"/>
      <c r="Y234" s="937"/>
      <c r="Z234" s="937"/>
      <c r="AA234" s="937"/>
      <c r="AB234" s="937"/>
      <c r="AC234" s="963"/>
      <c r="AD234" s="963"/>
      <c r="AE234" s="963"/>
      <c r="AF234" s="937"/>
      <c r="AG234" s="937"/>
      <c r="AH234" s="937"/>
      <c r="AI234" s="937"/>
      <c r="AJ234" s="937"/>
      <c r="AK234" s="937"/>
      <c r="AL234" s="937"/>
      <c r="AM234" s="937"/>
      <c r="AN234" s="937"/>
      <c r="AO234" s="937"/>
      <c r="AP234" s="937"/>
      <c r="AQ234" s="937"/>
      <c r="AR234" s="937"/>
      <c r="AS234" s="937"/>
      <c r="AT234" s="937"/>
      <c r="AU234" s="937"/>
      <c r="AV234" s="937"/>
      <c r="AW234" s="937"/>
      <c r="AX234" s="937"/>
      <c r="AY234" s="937"/>
      <c r="AZ234" s="937"/>
      <c r="BA234" s="937"/>
      <c r="BB234" s="937"/>
      <c r="BC234" s="937"/>
      <c r="BD234" s="937"/>
      <c r="BE234" s="937"/>
      <c r="BF234" s="937"/>
      <c r="BG234" s="937"/>
      <c r="BH234" s="937"/>
      <c r="BI234" s="937"/>
      <c r="BJ234" s="937"/>
      <c r="BK234" s="937"/>
      <c r="BL234" s="937"/>
      <c r="BM234" s="937"/>
      <c r="BN234" s="937"/>
      <c r="BO234" s="937"/>
      <c r="BP234" s="937"/>
      <c r="BQ234" s="937"/>
      <c r="BR234" s="937"/>
      <c r="BS234" s="937"/>
      <c r="BT234" s="937"/>
      <c r="BU234" s="937"/>
      <c r="BV234" s="937"/>
      <c r="BW234" s="937"/>
      <c r="BX234" s="937"/>
      <c r="BY234" s="937"/>
      <c r="BZ234" s="937"/>
      <c r="CA234" s="937"/>
      <c r="CB234" s="937"/>
      <c r="CC234" s="937"/>
      <c r="CD234" s="937"/>
      <c r="CE234" s="937"/>
      <c r="CF234" s="937"/>
      <c r="CG234" s="937"/>
      <c r="CH234" s="937"/>
      <c r="CI234" s="937"/>
      <c r="CJ234" s="937"/>
      <c r="CK234" s="937"/>
      <c r="CL234" s="937"/>
      <c r="CM234" s="937"/>
      <c r="CN234" s="937"/>
      <c r="CO234" s="937"/>
    </row>
    <row r="235" spans="17:93" s="918" customFormat="1" x14ac:dyDescent="0.35">
      <c r="Q235" s="937"/>
      <c r="R235" s="937"/>
      <c r="S235" s="937"/>
      <c r="T235" s="937"/>
      <c r="U235" s="937"/>
      <c r="V235" s="937"/>
      <c r="W235" s="937"/>
      <c r="X235" s="937"/>
      <c r="Y235" s="937"/>
      <c r="Z235" s="937"/>
      <c r="AA235" s="937"/>
      <c r="AB235" s="937"/>
      <c r="AC235" s="963"/>
      <c r="AD235" s="963"/>
      <c r="AE235" s="963"/>
      <c r="AF235" s="937"/>
      <c r="AG235" s="937"/>
      <c r="AH235" s="937"/>
      <c r="AI235" s="937"/>
      <c r="AJ235" s="937"/>
      <c r="AK235" s="937"/>
      <c r="AL235" s="937"/>
      <c r="AM235" s="937"/>
      <c r="AN235" s="937"/>
      <c r="AO235" s="937"/>
      <c r="AP235" s="937"/>
      <c r="AQ235" s="937"/>
      <c r="AR235" s="937"/>
      <c r="AS235" s="937"/>
      <c r="AT235" s="937"/>
      <c r="AU235" s="937"/>
      <c r="AV235" s="937"/>
      <c r="AW235" s="937"/>
      <c r="AX235" s="937"/>
      <c r="AY235" s="937"/>
      <c r="AZ235" s="937"/>
      <c r="BA235" s="937"/>
      <c r="BB235" s="937"/>
      <c r="BC235" s="937"/>
      <c r="BD235" s="937"/>
      <c r="BE235" s="937"/>
      <c r="BF235" s="937"/>
      <c r="BG235" s="937"/>
      <c r="BH235" s="937"/>
      <c r="BI235" s="937"/>
      <c r="BJ235" s="937"/>
      <c r="BK235" s="937"/>
      <c r="BL235" s="937"/>
      <c r="BM235" s="937"/>
      <c r="BN235" s="937"/>
      <c r="BO235" s="937"/>
      <c r="BP235" s="937"/>
      <c r="BQ235" s="937"/>
      <c r="BR235" s="937"/>
      <c r="BS235" s="937"/>
      <c r="BT235" s="937"/>
      <c r="BU235" s="937"/>
      <c r="BV235" s="937"/>
      <c r="BW235" s="937"/>
      <c r="BX235" s="937"/>
      <c r="BY235" s="937"/>
      <c r="BZ235" s="937"/>
      <c r="CA235" s="937"/>
      <c r="CB235" s="937"/>
      <c r="CC235" s="937"/>
      <c r="CD235" s="937"/>
      <c r="CE235" s="937"/>
      <c r="CF235" s="937"/>
      <c r="CG235" s="937"/>
      <c r="CH235" s="937"/>
      <c r="CI235" s="937"/>
      <c r="CJ235" s="937"/>
      <c r="CK235" s="937"/>
      <c r="CL235" s="937"/>
      <c r="CM235" s="937"/>
      <c r="CN235" s="937"/>
      <c r="CO235" s="937"/>
    </row>
    <row r="236" spans="17:93" s="918" customFormat="1" x14ac:dyDescent="0.35">
      <c r="Q236" s="937"/>
      <c r="R236" s="937"/>
      <c r="S236" s="937"/>
      <c r="T236" s="937"/>
      <c r="U236" s="937"/>
      <c r="V236" s="937"/>
      <c r="W236" s="937"/>
      <c r="X236" s="937"/>
      <c r="Y236" s="937"/>
      <c r="Z236" s="937"/>
      <c r="AA236" s="937"/>
      <c r="AB236" s="937"/>
      <c r="AC236" s="963"/>
      <c r="AD236" s="963"/>
      <c r="AE236" s="963"/>
      <c r="AF236" s="937"/>
      <c r="AG236" s="937"/>
      <c r="AH236" s="937"/>
      <c r="AI236" s="937"/>
      <c r="AJ236" s="937"/>
      <c r="AK236" s="937"/>
      <c r="AL236" s="937"/>
      <c r="AM236" s="937"/>
      <c r="AN236" s="937"/>
      <c r="AO236" s="937"/>
      <c r="AP236" s="937"/>
      <c r="AQ236" s="937"/>
      <c r="AR236" s="937"/>
      <c r="AS236" s="937"/>
      <c r="AT236" s="937"/>
      <c r="AU236" s="937"/>
      <c r="AV236" s="937"/>
      <c r="AW236" s="937"/>
      <c r="AX236" s="937"/>
      <c r="AY236" s="937"/>
      <c r="AZ236" s="937"/>
      <c r="BA236" s="937"/>
      <c r="BB236" s="937"/>
      <c r="BC236" s="937"/>
      <c r="BD236" s="937"/>
      <c r="BE236" s="937"/>
      <c r="BF236" s="937"/>
      <c r="BG236" s="937"/>
      <c r="BH236" s="937"/>
      <c r="BI236" s="937"/>
      <c r="BJ236" s="937"/>
      <c r="BK236" s="937"/>
      <c r="BL236" s="937"/>
      <c r="BM236" s="937"/>
      <c r="BN236" s="937"/>
      <c r="BO236" s="937"/>
      <c r="BP236" s="937"/>
      <c r="BQ236" s="937"/>
      <c r="BR236" s="937"/>
      <c r="BS236" s="937"/>
      <c r="BT236" s="937"/>
      <c r="BU236" s="937"/>
      <c r="BV236" s="937"/>
      <c r="BW236" s="937"/>
      <c r="BX236" s="937"/>
      <c r="BY236" s="937"/>
      <c r="BZ236" s="937"/>
      <c r="CA236" s="937"/>
      <c r="CB236" s="937"/>
      <c r="CC236" s="937"/>
      <c r="CD236" s="937"/>
      <c r="CE236" s="937"/>
      <c r="CF236" s="937"/>
      <c r="CG236" s="937"/>
      <c r="CH236" s="937"/>
      <c r="CI236" s="937"/>
      <c r="CJ236" s="937"/>
      <c r="CK236" s="937"/>
      <c r="CL236" s="937"/>
      <c r="CM236" s="937"/>
      <c r="CN236" s="937"/>
      <c r="CO236" s="937"/>
    </row>
    <row r="237" spans="17:93" s="918" customFormat="1" x14ac:dyDescent="0.35">
      <c r="Q237" s="937"/>
      <c r="R237" s="937"/>
      <c r="S237" s="937"/>
      <c r="T237" s="937"/>
      <c r="U237" s="937"/>
      <c r="V237" s="937"/>
      <c r="W237" s="937"/>
      <c r="X237" s="937"/>
      <c r="Y237" s="937"/>
      <c r="Z237" s="937"/>
      <c r="AA237" s="937"/>
      <c r="AB237" s="937"/>
      <c r="AC237" s="963"/>
      <c r="AD237" s="963"/>
      <c r="AE237" s="963"/>
      <c r="AF237" s="937"/>
      <c r="AG237" s="937"/>
      <c r="AH237" s="937"/>
      <c r="AI237" s="937"/>
      <c r="AJ237" s="937"/>
      <c r="AK237" s="937"/>
      <c r="AL237" s="937"/>
      <c r="AM237" s="937"/>
      <c r="AN237" s="937"/>
      <c r="AO237" s="937"/>
      <c r="AP237" s="937"/>
      <c r="AQ237" s="937"/>
      <c r="AR237" s="937"/>
      <c r="AS237" s="937"/>
      <c r="AT237" s="937"/>
      <c r="AU237" s="937"/>
      <c r="AV237" s="937"/>
      <c r="AW237" s="937"/>
      <c r="AX237" s="937"/>
      <c r="AY237" s="937"/>
      <c r="AZ237" s="937"/>
      <c r="BA237" s="937"/>
      <c r="BB237" s="937"/>
      <c r="BC237" s="937"/>
      <c r="BD237" s="937"/>
      <c r="BE237" s="937"/>
      <c r="BF237" s="937"/>
      <c r="BG237" s="937"/>
      <c r="BH237" s="937"/>
      <c r="BI237" s="937"/>
      <c r="BJ237" s="937"/>
      <c r="BK237" s="937"/>
      <c r="BL237" s="937"/>
      <c r="BM237" s="937"/>
      <c r="BN237" s="937"/>
      <c r="BO237" s="937"/>
      <c r="BP237" s="937"/>
      <c r="BQ237" s="937"/>
      <c r="BR237" s="937"/>
      <c r="BS237" s="937"/>
      <c r="BT237" s="937"/>
      <c r="BU237" s="937"/>
      <c r="BV237" s="937"/>
      <c r="BW237" s="937"/>
      <c r="BX237" s="937"/>
      <c r="BY237" s="937"/>
      <c r="BZ237" s="937"/>
      <c r="CA237" s="937"/>
      <c r="CB237" s="937"/>
      <c r="CC237" s="937"/>
      <c r="CD237" s="937"/>
      <c r="CE237" s="937"/>
      <c r="CF237" s="937"/>
      <c r="CG237" s="937"/>
      <c r="CH237" s="937"/>
      <c r="CI237" s="937"/>
      <c r="CJ237" s="937"/>
      <c r="CK237" s="937"/>
      <c r="CL237" s="937"/>
      <c r="CM237" s="937"/>
      <c r="CN237" s="937"/>
      <c r="CO237" s="937"/>
    </row>
    <row r="238" spans="17:93" s="918" customFormat="1" x14ac:dyDescent="0.35">
      <c r="Q238" s="937"/>
      <c r="R238" s="937"/>
      <c r="S238" s="937"/>
      <c r="T238" s="937"/>
      <c r="U238" s="937"/>
      <c r="V238" s="937"/>
      <c r="W238" s="937"/>
      <c r="X238" s="937"/>
      <c r="Y238" s="937"/>
      <c r="Z238" s="937"/>
      <c r="AA238" s="937"/>
      <c r="AB238" s="937"/>
      <c r="AC238" s="963"/>
      <c r="AD238" s="963"/>
      <c r="AE238" s="963"/>
      <c r="AF238" s="937"/>
      <c r="AG238" s="937"/>
      <c r="AH238" s="937"/>
      <c r="AI238" s="937"/>
      <c r="AJ238" s="937"/>
      <c r="AK238" s="937"/>
      <c r="AL238" s="937"/>
      <c r="AM238" s="937"/>
      <c r="AN238" s="937"/>
      <c r="AO238" s="937"/>
      <c r="AP238" s="937"/>
      <c r="AQ238" s="937"/>
      <c r="AR238" s="937"/>
      <c r="AS238" s="937"/>
      <c r="AT238" s="937"/>
      <c r="AU238" s="937"/>
      <c r="AV238" s="937"/>
      <c r="AW238" s="937"/>
      <c r="AX238" s="937"/>
      <c r="AY238" s="937"/>
      <c r="AZ238" s="937"/>
      <c r="BA238" s="937"/>
      <c r="BB238" s="937"/>
      <c r="BC238" s="937"/>
      <c r="BD238" s="937"/>
      <c r="BE238" s="937"/>
      <c r="BF238" s="937"/>
      <c r="BG238" s="937"/>
      <c r="BH238" s="937"/>
      <c r="BI238" s="937"/>
      <c r="BJ238" s="937"/>
      <c r="BK238" s="937"/>
      <c r="BL238" s="937"/>
      <c r="BM238" s="937"/>
      <c r="BN238" s="937"/>
      <c r="BO238" s="937"/>
      <c r="BP238" s="937"/>
      <c r="BQ238" s="937"/>
      <c r="BR238" s="937"/>
      <c r="BS238" s="937"/>
      <c r="BT238" s="937"/>
      <c r="BU238" s="937"/>
      <c r="BV238" s="937"/>
      <c r="BW238" s="937"/>
      <c r="BX238" s="937"/>
      <c r="BY238" s="937"/>
      <c r="BZ238" s="937"/>
      <c r="CA238" s="937"/>
      <c r="CB238" s="937"/>
      <c r="CC238" s="937"/>
      <c r="CD238" s="937"/>
      <c r="CE238" s="937"/>
      <c r="CF238" s="937"/>
      <c r="CG238" s="937"/>
      <c r="CH238" s="937"/>
      <c r="CI238" s="937"/>
      <c r="CJ238" s="937"/>
      <c r="CK238" s="937"/>
      <c r="CL238" s="937"/>
      <c r="CM238" s="937"/>
      <c r="CN238" s="937"/>
      <c r="CO238" s="937"/>
    </row>
    <row r="239" spans="17:93" s="918" customFormat="1" x14ac:dyDescent="0.35">
      <c r="Q239" s="937"/>
      <c r="R239" s="937"/>
      <c r="S239" s="937"/>
      <c r="T239" s="937"/>
      <c r="U239" s="937"/>
      <c r="V239" s="937"/>
      <c r="W239" s="937"/>
      <c r="X239" s="937"/>
      <c r="Y239" s="937"/>
      <c r="Z239" s="937"/>
      <c r="AA239" s="937"/>
      <c r="AB239" s="937"/>
      <c r="AC239" s="963"/>
      <c r="AD239" s="963"/>
      <c r="AE239" s="963"/>
      <c r="AF239" s="937"/>
      <c r="AG239" s="937"/>
      <c r="AH239" s="937"/>
      <c r="AI239" s="937"/>
      <c r="AJ239" s="937"/>
      <c r="AK239" s="937"/>
      <c r="AL239" s="937"/>
      <c r="AM239" s="937"/>
      <c r="AN239" s="937"/>
      <c r="AO239" s="937"/>
      <c r="AP239" s="937"/>
      <c r="AQ239" s="937"/>
      <c r="AR239" s="937"/>
      <c r="AS239" s="937"/>
      <c r="AT239" s="937"/>
      <c r="AU239" s="937"/>
      <c r="AV239" s="937"/>
      <c r="AW239" s="937"/>
      <c r="AX239" s="937"/>
      <c r="AY239" s="937"/>
      <c r="AZ239" s="937"/>
      <c r="BA239" s="937"/>
      <c r="BB239" s="937"/>
      <c r="BC239" s="937"/>
      <c r="BD239" s="937"/>
      <c r="BE239" s="937"/>
      <c r="BF239" s="937"/>
      <c r="BG239" s="937"/>
      <c r="BH239" s="937"/>
      <c r="BI239" s="937"/>
      <c r="BJ239" s="937"/>
      <c r="BK239" s="937"/>
      <c r="BL239" s="937"/>
      <c r="BM239" s="937"/>
      <c r="BN239" s="937"/>
      <c r="BO239" s="937"/>
      <c r="BP239" s="937"/>
      <c r="BQ239" s="937"/>
      <c r="BR239" s="937"/>
      <c r="BS239" s="937"/>
      <c r="BT239" s="937"/>
      <c r="BU239" s="937"/>
      <c r="BV239" s="937"/>
      <c r="BW239" s="937"/>
      <c r="BX239" s="937"/>
      <c r="BY239" s="937"/>
      <c r="BZ239" s="937"/>
      <c r="CA239" s="937"/>
      <c r="CB239" s="937"/>
      <c r="CC239" s="937"/>
      <c r="CD239" s="937"/>
      <c r="CE239" s="937"/>
      <c r="CF239" s="937"/>
      <c r="CG239" s="937"/>
      <c r="CH239" s="937"/>
      <c r="CI239" s="937"/>
      <c r="CJ239" s="937"/>
      <c r="CK239" s="937"/>
      <c r="CL239" s="937"/>
      <c r="CM239" s="937"/>
      <c r="CN239" s="937"/>
      <c r="CO239" s="937"/>
    </row>
    <row r="240" spans="17:93" s="918" customFormat="1" x14ac:dyDescent="0.35">
      <c r="Q240" s="937"/>
      <c r="R240" s="937"/>
      <c r="S240" s="937"/>
      <c r="T240" s="937"/>
      <c r="U240" s="937"/>
      <c r="V240" s="937"/>
      <c r="W240" s="937"/>
      <c r="X240" s="937"/>
      <c r="Y240" s="937"/>
      <c r="Z240" s="937"/>
      <c r="AA240" s="937"/>
      <c r="AB240" s="937"/>
      <c r="AC240" s="963"/>
      <c r="AD240" s="963"/>
      <c r="AE240" s="963"/>
      <c r="AF240" s="937"/>
      <c r="AG240" s="937"/>
      <c r="AH240" s="937"/>
      <c r="AI240" s="937"/>
      <c r="AJ240" s="937"/>
      <c r="AK240" s="937"/>
      <c r="AL240" s="937"/>
      <c r="AM240" s="937"/>
      <c r="AN240" s="937"/>
      <c r="AO240" s="937"/>
      <c r="AP240" s="937"/>
      <c r="AQ240" s="937"/>
      <c r="AR240" s="937"/>
      <c r="AS240" s="937"/>
      <c r="AT240" s="937"/>
      <c r="AU240" s="937"/>
      <c r="AV240" s="937"/>
      <c r="AW240" s="937"/>
      <c r="AX240" s="937"/>
      <c r="AY240" s="937"/>
      <c r="AZ240" s="937"/>
      <c r="BA240" s="937"/>
      <c r="BB240" s="937"/>
      <c r="BC240" s="937"/>
      <c r="BD240" s="937"/>
      <c r="BE240" s="937"/>
      <c r="BF240" s="937"/>
      <c r="BG240" s="937"/>
      <c r="BH240" s="937"/>
      <c r="BI240" s="937"/>
      <c r="BJ240" s="937"/>
      <c r="BK240" s="937"/>
      <c r="BL240" s="937"/>
      <c r="BM240" s="937"/>
      <c r="BN240" s="937"/>
      <c r="BO240" s="937"/>
      <c r="BP240" s="937"/>
      <c r="BQ240" s="937"/>
      <c r="BR240" s="937"/>
      <c r="BS240" s="937"/>
      <c r="BT240" s="937"/>
      <c r="BU240" s="937"/>
      <c r="BV240" s="937"/>
      <c r="BW240" s="937"/>
      <c r="BX240" s="937"/>
      <c r="BY240" s="937"/>
      <c r="BZ240" s="937"/>
      <c r="CA240" s="937"/>
      <c r="CB240" s="937"/>
      <c r="CC240" s="937"/>
      <c r="CD240" s="937"/>
      <c r="CE240" s="937"/>
      <c r="CF240" s="937"/>
      <c r="CG240" s="937"/>
      <c r="CH240" s="937"/>
      <c r="CI240" s="937"/>
      <c r="CJ240" s="937"/>
      <c r="CK240" s="937"/>
      <c r="CL240" s="937"/>
      <c r="CM240" s="937"/>
      <c r="CN240" s="937"/>
      <c r="CO240" s="937"/>
    </row>
    <row r="241" spans="17:93" s="918" customFormat="1" x14ac:dyDescent="0.35">
      <c r="Q241" s="937"/>
      <c r="R241" s="937"/>
      <c r="S241" s="937"/>
      <c r="T241" s="937"/>
      <c r="U241" s="937"/>
      <c r="V241" s="937"/>
      <c r="W241" s="937"/>
      <c r="X241" s="937"/>
      <c r="Y241" s="937"/>
      <c r="Z241" s="937"/>
      <c r="AA241" s="937"/>
      <c r="AB241" s="937"/>
      <c r="AC241" s="963"/>
      <c r="AD241" s="963"/>
      <c r="AE241" s="963"/>
      <c r="AF241" s="937"/>
      <c r="AG241" s="937"/>
      <c r="AH241" s="937"/>
      <c r="AI241" s="937"/>
      <c r="AJ241" s="937"/>
      <c r="AK241" s="937"/>
      <c r="AL241" s="937"/>
      <c r="AM241" s="937"/>
      <c r="AN241" s="937"/>
      <c r="AO241" s="937"/>
      <c r="AP241" s="937"/>
      <c r="AQ241" s="937"/>
      <c r="AR241" s="937"/>
      <c r="AS241" s="937"/>
      <c r="AT241" s="937"/>
      <c r="AU241" s="937"/>
      <c r="AV241" s="937"/>
      <c r="AW241" s="937"/>
      <c r="AX241" s="937"/>
      <c r="AY241" s="937"/>
      <c r="AZ241" s="937"/>
      <c r="BA241" s="937"/>
      <c r="BB241" s="937"/>
      <c r="BC241" s="937"/>
      <c r="BD241" s="937"/>
      <c r="BE241" s="937"/>
      <c r="BF241" s="937"/>
      <c r="BG241" s="937"/>
      <c r="BH241" s="937"/>
      <c r="BI241" s="937"/>
      <c r="BJ241" s="937"/>
      <c r="BK241" s="937"/>
      <c r="BL241" s="937"/>
      <c r="BM241" s="937"/>
      <c r="BN241" s="937"/>
      <c r="BO241" s="937"/>
      <c r="BP241" s="937"/>
      <c r="BQ241" s="937"/>
      <c r="BR241" s="937"/>
      <c r="BS241" s="937"/>
      <c r="BT241" s="937"/>
      <c r="BU241" s="937"/>
      <c r="BV241" s="937"/>
      <c r="BW241" s="937"/>
      <c r="BX241" s="937"/>
      <c r="BY241" s="937"/>
      <c r="BZ241" s="937"/>
      <c r="CA241" s="937"/>
      <c r="CB241" s="937"/>
      <c r="CC241" s="937"/>
      <c r="CD241" s="937"/>
      <c r="CE241" s="937"/>
      <c r="CF241" s="937"/>
      <c r="CG241" s="937"/>
      <c r="CH241" s="937"/>
      <c r="CI241" s="937"/>
      <c r="CJ241" s="937"/>
      <c r="CK241" s="937"/>
      <c r="CL241" s="937"/>
      <c r="CM241" s="937"/>
      <c r="CN241" s="937"/>
      <c r="CO241" s="937"/>
    </row>
    <row r="242" spans="17:93" s="918" customFormat="1" x14ac:dyDescent="0.35">
      <c r="Q242" s="937"/>
      <c r="R242" s="937"/>
      <c r="S242" s="937"/>
      <c r="T242" s="937"/>
      <c r="U242" s="937"/>
      <c r="V242" s="937"/>
      <c r="W242" s="937"/>
      <c r="X242" s="937"/>
      <c r="Y242" s="937"/>
      <c r="Z242" s="937"/>
      <c r="AA242" s="937"/>
      <c r="AB242" s="937"/>
      <c r="AC242" s="963"/>
      <c r="AD242" s="963"/>
      <c r="AE242" s="963"/>
      <c r="AF242" s="937"/>
      <c r="AG242" s="937"/>
      <c r="AH242" s="937"/>
      <c r="AI242" s="937"/>
      <c r="AJ242" s="937"/>
      <c r="AK242" s="937"/>
      <c r="AL242" s="937"/>
      <c r="AM242" s="937"/>
      <c r="AN242" s="937"/>
      <c r="AO242" s="937"/>
      <c r="AP242" s="937"/>
      <c r="AQ242" s="937"/>
      <c r="AR242" s="937"/>
      <c r="AS242" s="937"/>
      <c r="AT242" s="937"/>
      <c r="AU242" s="937"/>
      <c r="AV242" s="937"/>
      <c r="AW242" s="937"/>
      <c r="AX242" s="937"/>
      <c r="AY242" s="937"/>
      <c r="AZ242" s="937"/>
      <c r="BA242" s="937"/>
      <c r="BB242" s="937"/>
      <c r="BC242" s="937"/>
      <c r="BD242" s="937"/>
      <c r="BE242" s="937"/>
      <c r="BF242" s="937"/>
      <c r="BG242" s="937"/>
      <c r="BH242" s="937"/>
      <c r="BI242" s="937"/>
      <c r="BJ242" s="937"/>
      <c r="BK242" s="937"/>
      <c r="BL242" s="937"/>
      <c r="BM242" s="937"/>
      <c r="BN242" s="937"/>
      <c r="BO242" s="937"/>
      <c r="BP242" s="937"/>
      <c r="BQ242" s="937"/>
      <c r="BR242" s="937"/>
      <c r="BS242" s="937"/>
      <c r="BT242" s="937"/>
      <c r="BU242" s="937"/>
      <c r="BV242" s="937"/>
      <c r="BW242" s="937"/>
      <c r="BX242" s="937"/>
      <c r="BY242" s="937"/>
      <c r="BZ242" s="937"/>
      <c r="CA242" s="937"/>
      <c r="CB242" s="937"/>
      <c r="CC242" s="937"/>
      <c r="CD242" s="937"/>
      <c r="CE242" s="937"/>
      <c r="CF242" s="937"/>
      <c r="CG242" s="937"/>
      <c r="CH242" s="937"/>
      <c r="CI242" s="937"/>
      <c r="CJ242" s="937"/>
      <c r="CK242" s="937"/>
      <c r="CL242" s="937"/>
      <c r="CM242" s="937"/>
      <c r="CN242" s="937"/>
      <c r="CO242" s="937"/>
    </row>
    <row r="243" spans="17:93" s="918" customFormat="1" x14ac:dyDescent="0.35">
      <c r="Q243" s="937"/>
      <c r="R243" s="937"/>
      <c r="S243" s="937"/>
      <c r="T243" s="937"/>
      <c r="U243" s="937"/>
      <c r="V243" s="937"/>
      <c r="W243" s="937"/>
      <c r="X243" s="937"/>
      <c r="Y243" s="937"/>
      <c r="Z243" s="937"/>
      <c r="AA243" s="937"/>
      <c r="AB243" s="937"/>
      <c r="AC243" s="963"/>
      <c r="AD243" s="963"/>
      <c r="AE243" s="963"/>
      <c r="AF243" s="937"/>
      <c r="AG243" s="937"/>
      <c r="AH243" s="937"/>
      <c r="AI243" s="937"/>
      <c r="AJ243" s="937"/>
      <c r="AK243" s="937"/>
      <c r="AL243" s="937"/>
      <c r="AM243" s="937"/>
      <c r="AN243" s="937"/>
      <c r="AO243" s="937"/>
      <c r="AP243" s="937"/>
      <c r="AQ243" s="937"/>
      <c r="AR243" s="937"/>
      <c r="AS243" s="937"/>
      <c r="AT243" s="937"/>
      <c r="AU243" s="937"/>
      <c r="AV243" s="937"/>
      <c r="AW243" s="937"/>
      <c r="AX243" s="937"/>
      <c r="AY243" s="937"/>
      <c r="AZ243" s="937"/>
      <c r="BA243" s="937"/>
      <c r="BB243" s="937"/>
      <c r="BC243" s="937"/>
      <c r="BD243" s="937"/>
      <c r="BE243" s="937"/>
      <c r="BF243" s="937"/>
      <c r="BG243" s="937"/>
      <c r="BH243" s="937"/>
      <c r="BI243" s="937"/>
      <c r="BJ243" s="937"/>
      <c r="BK243" s="937"/>
      <c r="BL243" s="937"/>
      <c r="BM243" s="937"/>
      <c r="BN243" s="937"/>
      <c r="BO243" s="937"/>
      <c r="BP243" s="937"/>
      <c r="BQ243" s="937"/>
      <c r="BR243" s="937"/>
      <c r="BS243" s="937"/>
      <c r="BT243" s="937"/>
      <c r="BU243" s="937"/>
      <c r="BV243" s="937"/>
      <c r="BW243" s="937"/>
      <c r="BX243" s="937"/>
      <c r="BY243" s="937"/>
      <c r="BZ243" s="937"/>
      <c r="CA243" s="937"/>
      <c r="CB243" s="937"/>
      <c r="CC243" s="937"/>
      <c r="CD243" s="937"/>
      <c r="CE243" s="937"/>
      <c r="CF243" s="937"/>
      <c r="CG243" s="937"/>
      <c r="CH243" s="937"/>
      <c r="CI243" s="937"/>
      <c r="CJ243" s="937"/>
      <c r="CK243" s="937"/>
      <c r="CL243" s="937"/>
      <c r="CM243" s="937"/>
      <c r="CN243" s="937"/>
      <c r="CO243" s="937"/>
    </row>
    <row r="244" spans="17:93" s="918" customFormat="1" x14ac:dyDescent="0.35">
      <c r="Q244" s="937"/>
      <c r="R244" s="937"/>
      <c r="S244" s="937"/>
      <c r="T244" s="937"/>
      <c r="U244" s="937"/>
      <c r="V244" s="937"/>
      <c r="W244" s="937"/>
      <c r="X244" s="937"/>
      <c r="Y244" s="937"/>
      <c r="Z244" s="937"/>
      <c r="AA244" s="937"/>
      <c r="AB244" s="937"/>
      <c r="AC244" s="963"/>
      <c r="AD244" s="963"/>
      <c r="AE244" s="963"/>
      <c r="AF244" s="937"/>
      <c r="AG244" s="937"/>
      <c r="AH244" s="937"/>
      <c r="AI244" s="937"/>
      <c r="AJ244" s="937"/>
      <c r="AK244" s="937"/>
      <c r="AL244" s="937"/>
      <c r="AM244" s="937"/>
      <c r="AN244" s="937"/>
      <c r="AO244" s="937"/>
      <c r="AP244" s="937"/>
      <c r="AQ244" s="937"/>
      <c r="AR244" s="937"/>
      <c r="AS244" s="937"/>
      <c r="AT244" s="937"/>
      <c r="AU244" s="937"/>
      <c r="AV244" s="937"/>
      <c r="AW244" s="937"/>
      <c r="AX244" s="937"/>
      <c r="AY244" s="937"/>
      <c r="AZ244" s="937"/>
      <c r="BA244" s="937"/>
      <c r="BB244" s="937"/>
      <c r="BC244" s="937"/>
      <c r="BD244" s="937"/>
      <c r="BE244" s="937"/>
      <c r="BF244" s="937"/>
      <c r="BG244" s="937"/>
      <c r="BH244" s="937"/>
      <c r="BI244" s="937"/>
      <c r="BJ244" s="937"/>
      <c r="BK244" s="937"/>
      <c r="BL244" s="937"/>
      <c r="BM244" s="937"/>
      <c r="BN244" s="937"/>
      <c r="BO244" s="937"/>
      <c r="BP244" s="937"/>
      <c r="BQ244" s="937"/>
      <c r="BR244" s="937"/>
      <c r="BS244" s="937"/>
      <c r="BT244" s="937"/>
      <c r="BU244" s="937"/>
      <c r="BV244" s="937"/>
      <c r="BW244" s="937"/>
      <c r="BX244" s="937"/>
      <c r="BY244" s="937"/>
      <c r="BZ244" s="937"/>
      <c r="CA244" s="937"/>
      <c r="CB244" s="937"/>
      <c r="CC244" s="937"/>
      <c r="CD244" s="937"/>
      <c r="CE244" s="937"/>
      <c r="CF244" s="937"/>
      <c r="CG244" s="937"/>
      <c r="CH244" s="937"/>
      <c r="CI244" s="937"/>
      <c r="CJ244" s="937"/>
      <c r="CK244" s="937"/>
      <c r="CL244" s="937"/>
      <c r="CM244" s="937"/>
      <c r="CN244" s="937"/>
      <c r="CO244" s="937"/>
    </row>
    <row r="245" spans="17:93" s="918" customFormat="1" x14ac:dyDescent="0.35">
      <c r="Q245" s="937"/>
      <c r="R245" s="937"/>
      <c r="S245" s="937"/>
      <c r="T245" s="937"/>
      <c r="U245" s="937"/>
      <c r="V245" s="937"/>
      <c r="W245" s="937"/>
      <c r="X245" s="937"/>
      <c r="Y245" s="937"/>
      <c r="Z245" s="937"/>
      <c r="AA245" s="937"/>
      <c r="AB245" s="937"/>
      <c r="AC245" s="963"/>
      <c r="AD245" s="963"/>
      <c r="AE245" s="963"/>
      <c r="AF245" s="937"/>
      <c r="AG245" s="937"/>
      <c r="AH245" s="937"/>
      <c r="AI245" s="937"/>
      <c r="AJ245" s="937"/>
      <c r="AK245" s="937"/>
      <c r="AL245" s="937"/>
      <c r="AM245" s="937"/>
      <c r="AN245" s="937"/>
      <c r="AO245" s="937"/>
      <c r="AP245" s="937"/>
      <c r="AQ245" s="937"/>
      <c r="AR245" s="937"/>
      <c r="AS245" s="937"/>
      <c r="AT245" s="937"/>
      <c r="AU245" s="937"/>
      <c r="AV245" s="937"/>
      <c r="AW245" s="937"/>
      <c r="AX245" s="937"/>
      <c r="AY245" s="937"/>
      <c r="AZ245" s="937"/>
      <c r="BA245" s="937"/>
      <c r="BB245" s="937"/>
      <c r="BC245" s="937"/>
      <c r="BD245" s="937"/>
      <c r="BE245" s="937"/>
      <c r="BF245" s="937"/>
      <c r="BG245" s="937"/>
      <c r="BH245" s="937"/>
      <c r="BI245" s="937"/>
      <c r="BJ245" s="937"/>
      <c r="BK245" s="937"/>
      <c r="BL245" s="937"/>
      <c r="BM245" s="937"/>
      <c r="BN245" s="937"/>
      <c r="BO245" s="937"/>
      <c r="BP245" s="937"/>
      <c r="BQ245" s="937"/>
      <c r="BR245" s="937"/>
      <c r="BS245" s="937"/>
      <c r="BT245" s="937"/>
      <c r="BU245" s="937"/>
      <c r="BV245" s="937"/>
      <c r="BW245" s="937"/>
      <c r="BX245" s="937"/>
      <c r="BY245" s="937"/>
      <c r="BZ245" s="937"/>
      <c r="CA245" s="937"/>
      <c r="CB245" s="937"/>
      <c r="CC245" s="937"/>
      <c r="CD245" s="937"/>
      <c r="CE245" s="937"/>
      <c r="CF245" s="937"/>
      <c r="CG245" s="937"/>
      <c r="CH245" s="937"/>
      <c r="CI245" s="937"/>
      <c r="CJ245" s="937"/>
      <c r="CK245" s="937"/>
      <c r="CL245" s="937"/>
      <c r="CM245" s="937"/>
      <c r="CN245" s="937"/>
      <c r="CO245" s="937"/>
    </row>
    <row r="246" spans="17:93" s="918" customFormat="1" x14ac:dyDescent="0.35">
      <c r="Q246" s="937"/>
      <c r="R246" s="937"/>
      <c r="S246" s="937"/>
      <c r="T246" s="937"/>
      <c r="U246" s="937"/>
      <c r="V246" s="937"/>
      <c r="W246" s="937"/>
      <c r="X246" s="937"/>
      <c r="Y246" s="937"/>
      <c r="Z246" s="937"/>
      <c r="AA246" s="937"/>
      <c r="AB246" s="937"/>
      <c r="AC246" s="963"/>
      <c r="AD246" s="963"/>
      <c r="AE246" s="963"/>
      <c r="AF246" s="937"/>
      <c r="AG246" s="937"/>
      <c r="AH246" s="937"/>
      <c r="AI246" s="937"/>
      <c r="AJ246" s="937"/>
      <c r="AK246" s="937"/>
      <c r="AL246" s="937"/>
      <c r="AM246" s="937"/>
      <c r="AN246" s="937"/>
      <c r="AO246" s="937"/>
      <c r="AP246" s="937"/>
      <c r="AQ246" s="937"/>
      <c r="AR246" s="937"/>
      <c r="AS246" s="937"/>
      <c r="AT246" s="937"/>
      <c r="AU246" s="937"/>
      <c r="AV246" s="937"/>
      <c r="AW246" s="937"/>
      <c r="AX246" s="937"/>
      <c r="AY246" s="937"/>
      <c r="AZ246" s="937"/>
      <c r="BA246" s="937"/>
      <c r="BB246" s="937"/>
      <c r="BC246" s="937"/>
      <c r="BD246" s="937"/>
      <c r="BE246" s="937"/>
      <c r="BF246" s="937"/>
      <c r="BG246" s="937"/>
      <c r="BH246" s="937"/>
      <c r="BI246" s="937"/>
      <c r="BJ246" s="937"/>
      <c r="BK246" s="937"/>
      <c r="BL246" s="937"/>
      <c r="BM246" s="937"/>
      <c r="BN246" s="937"/>
      <c r="BO246" s="937"/>
      <c r="BP246" s="937"/>
      <c r="BQ246" s="937"/>
      <c r="BR246" s="937"/>
      <c r="BS246" s="937"/>
      <c r="BT246" s="937"/>
      <c r="BU246" s="937"/>
      <c r="BV246" s="937"/>
      <c r="BW246" s="937"/>
      <c r="BX246" s="937"/>
      <c r="BY246" s="937"/>
      <c r="BZ246" s="937"/>
      <c r="CA246" s="937"/>
      <c r="CB246" s="937"/>
      <c r="CC246" s="937"/>
      <c r="CD246" s="937"/>
      <c r="CE246" s="937"/>
      <c r="CF246" s="937"/>
      <c r="CG246" s="937"/>
      <c r="CH246" s="937"/>
      <c r="CI246" s="937"/>
      <c r="CJ246" s="937"/>
      <c r="CK246" s="937"/>
      <c r="CL246" s="937"/>
      <c r="CM246" s="937"/>
      <c r="CN246" s="937"/>
      <c r="CO246" s="937"/>
    </row>
    <row r="247" spans="17:93" s="918" customFormat="1" x14ac:dyDescent="0.35">
      <c r="Q247" s="937"/>
      <c r="R247" s="937"/>
      <c r="S247" s="937"/>
      <c r="T247" s="937"/>
      <c r="U247" s="937"/>
      <c r="V247" s="937"/>
      <c r="W247" s="937"/>
      <c r="X247" s="937"/>
      <c r="Y247" s="937"/>
      <c r="Z247" s="937"/>
      <c r="AA247" s="937"/>
      <c r="AB247" s="937"/>
      <c r="AC247" s="963"/>
      <c r="AD247" s="963"/>
      <c r="AE247" s="963"/>
      <c r="AF247" s="937"/>
      <c r="AG247" s="937"/>
      <c r="AH247" s="937"/>
      <c r="AI247" s="937"/>
      <c r="AJ247" s="937"/>
      <c r="AK247" s="937"/>
      <c r="AL247" s="937"/>
      <c r="AM247" s="937"/>
      <c r="AN247" s="937"/>
      <c r="AO247" s="937"/>
      <c r="AP247" s="937"/>
      <c r="AQ247" s="937"/>
      <c r="AR247" s="937"/>
      <c r="AS247" s="937"/>
      <c r="AT247" s="937"/>
      <c r="AU247" s="937"/>
      <c r="AV247" s="937"/>
      <c r="AW247" s="937"/>
      <c r="AX247" s="937"/>
      <c r="AY247" s="937"/>
      <c r="AZ247" s="937"/>
      <c r="BA247" s="937"/>
      <c r="BB247" s="937"/>
      <c r="BC247" s="937"/>
      <c r="BD247" s="937"/>
      <c r="BE247" s="937"/>
      <c r="BF247" s="937"/>
      <c r="BG247" s="937"/>
      <c r="BH247" s="937"/>
      <c r="BI247" s="937"/>
      <c r="BJ247" s="937"/>
      <c r="BK247" s="937"/>
      <c r="BL247" s="937"/>
      <c r="BM247" s="937"/>
      <c r="BN247" s="937"/>
      <c r="BO247" s="937"/>
      <c r="BP247" s="937"/>
      <c r="BQ247" s="937"/>
      <c r="BR247" s="937"/>
      <c r="BS247" s="937"/>
      <c r="BT247" s="937"/>
      <c r="BU247" s="937"/>
      <c r="BV247" s="937"/>
      <c r="BW247" s="937"/>
      <c r="BX247" s="937"/>
      <c r="BY247" s="937"/>
      <c r="BZ247" s="937"/>
      <c r="CA247" s="937"/>
      <c r="CB247" s="937"/>
      <c r="CC247" s="937"/>
      <c r="CD247" s="937"/>
      <c r="CE247" s="937"/>
      <c r="CF247" s="937"/>
      <c r="CG247" s="937"/>
      <c r="CH247" s="937"/>
      <c r="CI247" s="937"/>
      <c r="CJ247" s="937"/>
      <c r="CK247" s="937"/>
      <c r="CL247" s="937"/>
      <c r="CM247" s="937"/>
      <c r="CN247" s="937"/>
      <c r="CO247" s="937"/>
    </row>
    <row r="248" spans="17:93" s="918" customFormat="1" x14ac:dyDescent="0.35">
      <c r="Q248" s="937"/>
      <c r="R248" s="937"/>
      <c r="S248" s="937"/>
      <c r="T248" s="937"/>
      <c r="U248" s="937"/>
      <c r="V248" s="937"/>
      <c r="W248" s="937"/>
      <c r="X248" s="937"/>
      <c r="Y248" s="937"/>
      <c r="Z248" s="937"/>
      <c r="AA248" s="937"/>
      <c r="AB248" s="937"/>
      <c r="AC248" s="963"/>
      <c r="AD248" s="963"/>
      <c r="AE248" s="963"/>
      <c r="AF248" s="937"/>
      <c r="AG248" s="937"/>
      <c r="AH248" s="937"/>
      <c r="AI248" s="937"/>
      <c r="AJ248" s="937"/>
      <c r="AK248" s="937"/>
      <c r="AL248" s="937"/>
      <c r="AM248" s="937"/>
      <c r="AN248" s="937"/>
      <c r="AO248" s="937"/>
      <c r="AP248" s="937"/>
      <c r="AQ248" s="937"/>
      <c r="AR248" s="937"/>
      <c r="AS248" s="937"/>
      <c r="AT248" s="937"/>
      <c r="AU248" s="937"/>
      <c r="AV248" s="937"/>
      <c r="AW248" s="937"/>
      <c r="AX248" s="937"/>
      <c r="AY248" s="937"/>
      <c r="AZ248" s="937"/>
      <c r="BA248" s="937"/>
      <c r="BB248" s="937"/>
      <c r="BC248" s="937"/>
      <c r="BD248" s="937"/>
      <c r="BE248" s="937"/>
      <c r="BF248" s="937"/>
      <c r="BG248" s="937"/>
      <c r="BH248" s="937"/>
      <c r="BI248" s="937"/>
      <c r="BJ248" s="937"/>
      <c r="BK248" s="937"/>
      <c r="BL248" s="937"/>
      <c r="BM248" s="937"/>
      <c r="BN248" s="937"/>
      <c r="BO248" s="937"/>
      <c r="BP248" s="937"/>
      <c r="BQ248" s="937"/>
      <c r="BR248" s="937"/>
      <c r="BS248" s="937"/>
      <c r="BT248" s="937"/>
      <c r="BU248" s="937"/>
      <c r="BV248" s="937"/>
      <c r="BW248" s="937"/>
      <c r="BX248" s="937"/>
      <c r="BY248" s="937"/>
      <c r="BZ248" s="937"/>
      <c r="CA248" s="937"/>
      <c r="CB248" s="937"/>
      <c r="CC248" s="937"/>
      <c r="CD248" s="937"/>
      <c r="CE248" s="937"/>
      <c r="CF248" s="937"/>
      <c r="CG248" s="937"/>
      <c r="CH248" s="937"/>
      <c r="CI248" s="937"/>
      <c r="CJ248" s="937"/>
      <c r="CK248" s="937"/>
      <c r="CL248" s="937"/>
      <c r="CM248" s="937"/>
      <c r="CN248" s="937"/>
      <c r="CO248" s="937"/>
    </row>
    <row r="249" spans="17:93" s="918" customFormat="1" x14ac:dyDescent="0.35">
      <c r="Q249" s="937"/>
      <c r="R249" s="937"/>
      <c r="S249" s="937"/>
      <c r="T249" s="937"/>
      <c r="U249" s="937"/>
      <c r="V249" s="937"/>
      <c r="W249" s="937"/>
      <c r="X249" s="937"/>
      <c r="Y249" s="937"/>
      <c r="Z249" s="937"/>
      <c r="AA249" s="937"/>
      <c r="AB249" s="937"/>
      <c r="AC249" s="963"/>
      <c r="AD249" s="963"/>
      <c r="AE249" s="963"/>
      <c r="AF249" s="937"/>
      <c r="AG249" s="937"/>
      <c r="AH249" s="937"/>
      <c r="AI249" s="937"/>
      <c r="AJ249" s="937"/>
      <c r="AK249" s="937"/>
      <c r="AL249" s="937"/>
      <c r="AM249" s="937"/>
      <c r="AN249" s="937"/>
      <c r="AO249" s="937"/>
      <c r="AP249" s="937"/>
      <c r="AQ249" s="937"/>
      <c r="AR249" s="937"/>
      <c r="AS249" s="937"/>
      <c r="AT249" s="937"/>
      <c r="AU249" s="937"/>
      <c r="AV249" s="937"/>
      <c r="AW249" s="937"/>
      <c r="AX249" s="937"/>
      <c r="AY249" s="937"/>
      <c r="AZ249" s="937"/>
      <c r="BA249" s="937"/>
      <c r="BB249" s="937"/>
      <c r="BC249" s="937"/>
      <c r="BD249" s="937"/>
      <c r="BE249" s="937"/>
      <c r="BF249" s="937"/>
      <c r="BG249" s="937"/>
      <c r="BH249" s="937"/>
      <c r="BI249" s="937"/>
      <c r="BJ249" s="937"/>
      <c r="BK249" s="937"/>
      <c r="BL249" s="937"/>
      <c r="BM249" s="937"/>
      <c r="BN249" s="937"/>
      <c r="BO249" s="937"/>
      <c r="BP249" s="937"/>
      <c r="BQ249" s="937"/>
      <c r="BR249" s="937"/>
      <c r="BS249" s="937"/>
      <c r="BT249" s="937"/>
      <c r="BU249" s="937"/>
      <c r="BV249" s="937"/>
      <c r="BW249" s="937"/>
      <c r="BX249" s="937"/>
      <c r="BY249" s="937"/>
      <c r="BZ249" s="937"/>
      <c r="CA249" s="937"/>
      <c r="CB249" s="937"/>
      <c r="CC249" s="937"/>
      <c r="CD249" s="937"/>
      <c r="CE249" s="937"/>
      <c r="CF249" s="937"/>
      <c r="CG249" s="937"/>
      <c r="CH249" s="937"/>
      <c r="CI249" s="937"/>
      <c r="CJ249" s="937"/>
      <c r="CK249" s="937"/>
      <c r="CL249" s="937"/>
      <c r="CM249" s="937"/>
      <c r="CN249" s="937"/>
      <c r="CO249" s="937"/>
    </row>
    <row r="250" spans="17:93" s="918" customFormat="1" x14ac:dyDescent="0.35">
      <c r="Q250" s="937"/>
      <c r="R250" s="937"/>
      <c r="S250" s="937"/>
      <c r="T250" s="937"/>
      <c r="U250" s="937"/>
      <c r="V250" s="937"/>
      <c r="W250" s="937"/>
      <c r="X250" s="937"/>
      <c r="Y250" s="937"/>
      <c r="Z250" s="937"/>
      <c r="AA250" s="937"/>
      <c r="AB250" s="937"/>
      <c r="AC250" s="963"/>
      <c r="AD250" s="963"/>
      <c r="AE250" s="963"/>
      <c r="AF250" s="937"/>
      <c r="AG250" s="937"/>
      <c r="AH250" s="937"/>
      <c r="AI250" s="937"/>
      <c r="AJ250" s="937"/>
      <c r="AK250" s="937"/>
      <c r="AL250" s="937"/>
      <c r="AM250" s="937"/>
      <c r="AN250" s="937"/>
      <c r="AO250" s="937"/>
      <c r="AP250" s="937"/>
      <c r="AQ250" s="937"/>
      <c r="AR250" s="937"/>
      <c r="AS250" s="937"/>
      <c r="AT250" s="937"/>
      <c r="AU250" s="937"/>
      <c r="AV250" s="937"/>
      <c r="AW250" s="937"/>
      <c r="AX250" s="937"/>
      <c r="AY250" s="937"/>
      <c r="AZ250" s="937"/>
      <c r="BA250" s="937"/>
      <c r="BB250" s="937"/>
      <c r="BC250" s="937"/>
      <c r="BD250" s="937"/>
      <c r="BE250" s="937"/>
      <c r="BF250" s="937"/>
      <c r="BG250" s="937"/>
      <c r="BH250" s="937"/>
      <c r="BI250" s="937"/>
      <c r="BJ250" s="937"/>
      <c r="BK250" s="937"/>
      <c r="BL250" s="937"/>
      <c r="BM250" s="937"/>
      <c r="BN250" s="937"/>
      <c r="BO250" s="937"/>
      <c r="BP250" s="937"/>
      <c r="BQ250" s="937"/>
      <c r="BR250" s="937"/>
      <c r="BS250" s="937"/>
      <c r="BT250" s="937"/>
      <c r="BU250" s="937"/>
      <c r="BV250" s="937"/>
      <c r="BW250" s="937"/>
      <c r="BX250" s="937"/>
      <c r="BY250" s="937"/>
      <c r="BZ250" s="937"/>
      <c r="CA250" s="937"/>
      <c r="CB250" s="937"/>
      <c r="CC250" s="937"/>
      <c r="CD250" s="937"/>
      <c r="CE250" s="937"/>
      <c r="CF250" s="937"/>
      <c r="CG250" s="937"/>
      <c r="CH250" s="937"/>
      <c r="CI250" s="937"/>
      <c r="CJ250" s="937"/>
      <c r="CK250" s="937"/>
      <c r="CL250" s="937"/>
      <c r="CM250" s="937"/>
      <c r="CN250" s="937"/>
      <c r="CO250" s="937"/>
    </row>
    <row r="251" spans="17:93" s="918" customFormat="1" x14ac:dyDescent="0.35">
      <c r="Q251" s="937"/>
      <c r="R251" s="937"/>
      <c r="S251" s="937"/>
      <c r="T251" s="937"/>
      <c r="U251" s="937"/>
      <c r="V251" s="937"/>
      <c r="W251" s="937"/>
      <c r="X251" s="937"/>
      <c r="Y251" s="937"/>
      <c r="Z251" s="937"/>
      <c r="AA251" s="937"/>
      <c r="AB251" s="937"/>
      <c r="AC251" s="963"/>
      <c r="AD251" s="963"/>
      <c r="AE251" s="963"/>
      <c r="AF251" s="937"/>
      <c r="AG251" s="937"/>
      <c r="AH251" s="937"/>
      <c r="AI251" s="937"/>
      <c r="AJ251" s="937"/>
      <c r="AK251" s="937"/>
      <c r="AL251" s="937"/>
      <c r="AM251" s="937"/>
      <c r="AN251" s="937"/>
      <c r="AO251" s="937"/>
      <c r="AP251" s="937"/>
      <c r="AQ251" s="937"/>
      <c r="AR251" s="937"/>
      <c r="AS251" s="937"/>
      <c r="AT251" s="937"/>
      <c r="AU251" s="937"/>
      <c r="AV251" s="937"/>
      <c r="AW251" s="937"/>
      <c r="AX251" s="937"/>
      <c r="AY251" s="937"/>
      <c r="AZ251" s="937"/>
      <c r="BA251" s="937"/>
      <c r="BB251" s="937"/>
      <c r="BC251" s="937"/>
      <c r="BD251" s="937"/>
      <c r="BE251" s="937"/>
      <c r="BF251" s="937"/>
      <c r="BG251" s="937"/>
      <c r="BH251" s="937"/>
      <c r="BI251" s="937"/>
      <c r="BJ251" s="937"/>
      <c r="BK251" s="937"/>
      <c r="BL251" s="937"/>
      <c r="BM251" s="937"/>
      <c r="BN251" s="937"/>
      <c r="BO251" s="937"/>
      <c r="BP251" s="937"/>
      <c r="BQ251" s="937"/>
      <c r="BR251" s="937"/>
      <c r="BS251" s="937"/>
      <c r="BT251" s="937"/>
      <c r="BU251" s="937"/>
      <c r="BV251" s="937"/>
      <c r="BW251" s="937"/>
      <c r="BX251" s="937"/>
      <c r="BY251" s="937"/>
      <c r="BZ251" s="937"/>
      <c r="CA251" s="937"/>
      <c r="CB251" s="937"/>
      <c r="CC251" s="937"/>
      <c r="CD251" s="937"/>
      <c r="CE251" s="937"/>
      <c r="CF251" s="937"/>
      <c r="CG251" s="937"/>
      <c r="CH251" s="937"/>
      <c r="CI251" s="937"/>
      <c r="CJ251" s="937"/>
      <c r="CK251" s="937"/>
      <c r="CL251" s="937"/>
      <c r="CM251" s="937"/>
      <c r="CN251" s="937"/>
      <c r="CO251" s="937"/>
    </row>
  </sheetData>
  <mergeCells count="126">
    <mergeCell ref="AF34:AQ34"/>
    <mergeCell ref="AR34:BC34"/>
    <mergeCell ref="BD34:BO34"/>
    <mergeCell ref="BP34:CA34"/>
    <mergeCell ref="CB34:CM34"/>
    <mergeCell ref="BP30:CA30"/>
    <mergeCell ref="CB30:CM30"/>
    <mergeCell ref="AR33:BC33"/>
    <mergeCell ref="BD33:BO33"/>
    <mergeCell ref="BP33:CA33"/>
    <mergeCell ref="CB33:CM33"/>
    <mergeCell ref="CB28:CM28"/>
    <mergeCell ref="AF27:AQ27"/>
    <mergeCell ref="AR27:BC27"/>
    <mergeCell ref="BD27:BO27"/>
    <mergeCell ref="BP27:CA27"/>
    <mergeCell ref="CB27:CM27"/>
    <mergeCell ref="AF31:AQ31"/>
    <mergeCell ref="AR31:BC31"/>
    <mergeCell ref="BD31:BO31"/>
    <mergeCell ref="BP31:CA31"/>
    <mergeCell ref="CB31:CM31"/>
    <mergeCell ref="AF30:AQ30"/>
    <mergeCell ref="AR30:BC30"/>
    <mergeCell ref="BD30:BO30"/>
    <mergeCell ref="CB29:CM29"/>
    <mergeCell ref="AF28:AQ28"/>
    <mergeCell ref="AR28:BC28"/>
    <mergeCell ref="BD28:BO28"/>
    <mergeCell ref="BP28:CA28"/>
    <mergeCell ref="AF3:CM3"/>
    <mergeCell ref="AF18:AQ18"/>
    <mergeCell ref="AR18:BC18"/>
    <mergeCell ref="BD18:BO18"/>
    <mergeCell ref="BP18:CA18"/>
    <mergeCell ref="CB18:CM18"/>
    <mergeCell ref="AF19:AQ19"/>
    <mergeCell ref="AR19:BC19"/>
    <mergeCell ref="BD19:BO19"/>
    <mergeCell ref="AR17:BC17"/>
    <mergeCell ref="BD17:BO17"/>
    <mergeCell ref="BP17:CA17"/>
    <mergeCell ref="CB17:CM17"/>
    <mergeCell ref="AF11:AQ11"/>
    <mergeCell ref="AR11:BC11"/>
    <mergeCell ref="BD11:BO11"/>
    <mergeCell ref="BP11:CA11"/>
    <mergeCell ref="CB11:CM11"/>
    <mergeCell ref="AF4:AQ4"/>
    <mergeCell ref="AR4:BC4"/>
    <mergeCell ref="BD4:BO4"/>
    <mergeCell ref="BP4:CA4"/>
    <mergeCell ref="CB4:CM4"/>
    <mergeCell ref="AF16:AQ16"/>
    <mergeCell ref="AR16:BC16"/>
    <mergeCell ref="BD16:BO16"/>
    <mergeCell ref="BP16:CA16"/>
    <mergeCell ref="CB16:CM16"/>
    <mergeCell ref="BP19:CA19"/>
    <mergeCell ref="CB19:CM19"/>
    <mergeCell ref="CB25:CM25"/>
    <mergeCell ref="AF39:AQ39"/>
    <mergeCell ref="AR39:BC39"/>
    <mergeCell ref="BD39:BO39"/>
    <mergeCell ref="BP39:CA39"/>
    <mergeCell ref="CB39:CM39"/>
    <mergeCell ref="AF35:AQ35"/>
    <mergeCell ref="AR35:BC35"/>
    <mergeCell ref="BD35:BO35"/>
    <mergeCell ref="BP35:CA35"/>
    <mergeCell ref="CB35:CM35"/>
    <mergeCell ref="AF36:AQ36"/>
    <mergeCell ref="AR36:BC36"/>
    <mergeCell ref="BD36:BO36"/>
    <mergeCell ref="BP36:CA36"/>
    <mergeCell ref="CB36:CM36"/>
    <mergeCell ref="AF37:AQ37"/>
    <mergeCell ref="AR37:BC37"/>
    <mergeCell ref="CB24:CM24"/>
    <mergeCell ref="AF25:AQ25"/>
    <mergeCell ref="AR25:BC25"/>
    <mergeCell ref="BD25:BO25"/>
    <mergeCell ref="BP25:CA25"/>
    <mergeCell ref="BD42:BO42"/>
    <mergeCell ref="BP40:CA40"/>
    <mergeCell ref="BP41:CA41"/>
    <mergeCell ref="BP42:CA42"/>
    <mergeCell ref="CB40:CM40"/>
    <mergeCell ref="CB41:CM41"/>
    <mergeCell ref="CB42:CM42"/>
    <mergeCell ref="BD40:BO40"/>
    <mergeCell ref="AF40:AQ40"/>
    <mergeCell ref="AF41:AQ41"/>
    <mergeCell ref="BD37:BO37"/>
    <mergeCell ref="BP37:CA37"/>
    <mergeCell ref="CB37:CM37"/>
    <mergeCell ref="BD41:BO41"/>
    <mergeCell ref="AF42:AQ42"/>
    <mergeCell ref="AR40:BC40"/>
    <mergeCell ref="AR41:BC41"/>
    <mergeCell ref="AR42:BC42"/>
    <mergeCell ref="AF33:AQ33"/>
    <mergeCell ref="CB23:CM23"/>
    <mergeCell ref="AF20:AQ20"/>
    <mergeCell ref="AR20:BC20"/>
    <mergeCell ref="BD20:BO20"/>
    <mergeCell ref="BP20:CA20"/>
    <mergeCell ref="CB20:CM20"/>
    <mergeCell ref="CB22:CM22"/>
    <mergeCell ref="AF17:AQ17"/>
    <mergeCell ref="AF29:AQ29"/>
    <mergeCell ref="AR29:BC29"/>
    <mergeCell ref="BD29:BO29"/>
    <mergeCell ref="BP29:CA29"/>
    <mergeCell ref="AF22:AQ22"/>
    <mergeCell ref="AR22:BC22"/>
    <mergeCell ref="BD22:BO22"/>
    <mergeCell ref="BP22:CA22"/>
    <mergeCell ref="AF24:AQ24"/>
    <mergeCell ref="AR24:BC24"/>
    <mergeCell ref="BD24:BO24"/>
    <mergeCell ref="BP24:CA24"/>
    <mergeCell ref="AF23:AQ23"/>
    <mergeCell ref="AR23:BC23"/>
    <mergeCell ref="BD23:BO23"/>
    <mergeCell ref="BP23:CA23"/>
  </mergeCells>
  <conditionalFormatting sqref="M80">
    <cfRule type="cellIs" dxfId="34" priority="223" stopIfTrue="1" operator="notEqual">
      <formula>0</formula>
    </cfRule>
  </conditionalFormatting>
  <conditionalFormatting sqref="AC5">
    <cfRule type="cellIs" dxfId="33" priority="23" operator="lessThan">
      <formula>0</formula>
    </cfRule>
  </conditionalFormatting>
  <conditionalFormatting sqref="AC9 Y15:Z15">
    <cfRule type="containsText" dxfId="32" priority="213" operator="containsText" text="No Breakeven">
      <formula>NOT(ISERROR(SEARCH("No Breakeven",Y9)))</formula>
    </cfRule>
  </conditionalFormatting>
  <conditionalFormatting sqref="AC17:AC20">
    <cfRule type="expression" dxfId="31" priority="43">
      <formula>AND($Y17&lt;&gt;"",$AC17&lt;$Y17,AC17&lt;&gt;0)</formula>
    </cfRule>
  </conditionalFormatting>
  <conditionalFormatting sqref="AC23:AC25">
    <cfRule type="expression" dxfId="30" priority="42">
      <formula>AND($Y23&lt;&gt;"",$AC23&lt;$Y23)</formula>
    </cfRule>
  </conditionalFormatting>
  <conditionalFormatting sqref="AC28:AC31">
    <cfRule type="expression" dxfId="29" priority="97">
      <formula>AND($Y28&lt;&gt;"",AC28&lt;$Y28,AC28&lt;&gt;0)</formula>
    </cfRule>
  </conditionalFormatting>
  <conditionalFormatting sqref="AC40:AC42">
    <cfRule type="expression" dxfId="28" priority="159">
      <formula>AND(AC40&lt;&gt;Y40,AC40&lt;&gt;0)</formula>
    </cfRule>
  </conditionalFormatting>
  <conditionalFormatting sqref="AC45">
    <cfRule type="expression" dxfId="27" priority="14">
      <formula>AND($Y$45&lt;&gt;"",$AC$45&lt;$Y$45)</formula>
    </cfRule>
    <cfRule type="expression" dxfId="26" priority="13">
      <formula>AND($Z$45&lt;&gt;"",$AC$45&gt;$Z$45)</formula>
    </cfRule>
  </conditionalFormatting>
  <conditionalFormatting sqref="AC34:AD34 AC35:AC37">
    <cfRule type="expression" dxfId="25" priority="83">
      <formula>AND($Y34&lt;&gt;"",AC34&lt;$Y34,AC35&lt;&gt;0)</formula>
    </cfRule>
  </conditionalFormatting>
  <conditionalFormatting sqref="AD17:AD20">
    <cfRule type="expression" dxfId="24" priority="45">
      <formula>AND($Z17&lt;&gt;0,$AD17&gt;$Z17)</formula>
    </cfRule>
  </conditionalFormatting>
  <conditionalFormatting sqref="AD23:AD25">
    <cfRule type="expression" dxfId="23" priority="46">
      <formula>AND($Z23&lt;&gt;0,$AD23&gt;$Z23)</formula>
    </cfRule>
  </conditionalFormatting>
  <conditionalFormatting sqref="AD28:AD31">
    <cfRule type="expression" dxfId="22" priority="47">
      <formula>AND($Z28&lt;&gt;0,$AD28&gt;$Z28)</formula>
    </cfRule>
  </conditionalFormatting>
  <conditionalFormatting sqref="AD35:AD37">
    <cfRule type="expression" dxfId="21" priority="48">
      <formula>AND($Z35&lt;&gt;0,$AD35&gt;$Z35)</formula>
    </cfRule>
  </conditionalFormatting>
  <conditionalFormatting sqref="AD40:AD42">
    <cfRule type="expression" dxfId="20" priority="58">
      <formula>AND($Z40&lt;&gt;0,$AD40&gt;$Z40)</formula>
    </cfRule>
  </conditionalFormatting>
  <conditionalFormatting sqref="AF12:CM12">
    <cfRule type="colorScale" priority="218">
      <colorScale>
        <cfvo type="min"/>
        <cfvo type="percentile" val="50"/>
        <cfvo type="max"/>
        <color rgb="FFF8696B"/>
        <color rgb="FFFFEB84"/>
        <color rgb="FF63BE7B"/>
      </colorScale>
    </cfRule>
  </conditionalFormatting>
  <conditionalFormatting sqref="AF13:CM13">
    <cfRule type="colorScale" priority="2256">
      <colorScale>
        <cfvo type="min"/>
        <cfvo type="percentile" val="50"/>
        <cfvo type="max"/>
        <color rgb="FFF8696B"/>
        <color rgb="FFFFEB84"/>
        <color rgb="FF63BE7B"/>
      </colorScale>
    </cfRule>
  </conditionalFormatting>
  <conditionalFormatting sqref="AF14:CM14">
    <cfRule type="colorScale" priority="219">
      <colorScale>
        <cfvo type="min"/>
        <cfvo type="percentile" val="50"/>
        <cfvo type="max"/>
        <color rgb="FFF8696B"/>
        <color rgb="FFFFEB84"/>
        <color rgb="FF63BE7B"/>
      </colorScale>
    </cfRule>
  </conditionalFormatting>
  <conditionalFormatting sqref="AF15:CM15 AF9:CM9">
    <cfRule type="colorScale" priority="172">
      <colorScale>
        <cfvo type="num" val="0"/>
        <cfvo type="num" val="0"/>
        <color rgb="FFD33003"/>
        <color rgb="FF609A38"/>
      </colorScale>
    </cfRule>
  </conditionalFormatting>
  <conditionalFormatting sqref="AF17:CM17">
    <cfRule type="colorScale" priority="130">
      <colorScale>
        <cfvo type="min"/>
        <cfvo type="percentile" val="50"/>
        <cfvo type="max"/>
        <color rgb="FFF8696B"/>
        <color rgb="FFFFEB84"/>
        <color rgb="FF63BE7B"/>
      </colorScale>
    </cfRule>
  </conditionalFormatting>
  <conditionalFormatting sqref="AF17:CM20 AF23:CM25 AF40:CM42">
    <cfRule type="cellIs" dxfId="19" priority="4" operator="equal">
      <formula>0</formula>
    </cfRule>
  </conditionalFormatting>
  <conditionalFormatting sqref="AF17:CM20">
    <cfRule type="expression" dxfId="18" priority="38">
      <formula>AND($Z17&lt;&gt;"",AF17&gt;$Z17)</formula>
    </cfRule>
    <cfRule type="expression" dxfId="17" priority="37">
      <formula>AND($Y17&lt;&gt;"",AF17&lt;$Y17)</formula>
    </cfRule>
  </conditionalFormatting>
  <conditionalFormatting sqref="AF18:CM18">
    <cfRule type="colorScale" priority="75">
      <colorScale>
        <cfvo type="min"/>
        <cfvo type="percentile" val="50"/>
        <cfvo type="max"/>
        <color rgb="FF63BE7B"/>
        <color rgb="FFFFEB84"/>
        <color rgb="FFF8696B"/>
      </colorScale>
    </cfRule>
  </conditionalFormatting>
  <conditionalFormatting sqref="AF19:CM19">
    <cfRule type="colorScale" priority="69">
      <colorScale>
        <cfvo type="min"/>
        <cfvo type="percentile" val="50"/>
        <cfvo type="max"/>
        <color rgb="FF63BE7B"/>
        <color rgb="FFFFEB84"/>
        <color rgb="FFF8696B"/>
      </colorScale>
    </cfRule>
  </conditionalFormatting>
  <conditionalFormatting sqref="AF20:CM20">
    <cfRule type="colorScale" priority="39">
      <colorScale>
        <cfvo type="min"/>
        <cfvo type="percentile" val="50"/>
        <cfvo type="max"/>
        <color rgb="FF63BE7B"/>
        <color rgb="FFFFEB84"/>
        <color rgb="FFF8696B"/>
      </colorScale>
    </cfRule>
  </conditionalFormatting>
  <conditionalFormatting sqref="AF23:CM23">
    <cfRule type="colorScale" priority="133">
      <colorScale>
        <cfvo type="min"/>
        <cfvo type="percentile" val="50"/>
        <cfvo type="max"/>
        <color rgb="FFF8696B"/>
        <color rgb="FFFFEB84"/>
        <color rgb="FF63BE7B"/>
      </colorScale>
    </cfRule>
  </conditionalFormatting>
  <conditionalFormatting sqref="AF23:CM25">
    <cfRule type="cellIs" dxfId="16" priority="1" operator="equal">
      <formula>""</formula>
    </cfRule>
    <cfRule type="expression" dxfId="15" priority="66">
      <formula>AND($Z23&lt;&gt;"",AF23&gt;$Z23)</formula>
    </cfRule>
    <cfRule type="expression" dxfId="14" priority="114">
      <formula>AND($Y23&lt;&gt;"",AF23&lt;$Y$23)</formula>
    </cfRule>
  </conditionalFormatting>
  <conditionalFormatting sqref="AF24:CM24">
    <cfRule type="colorScale" priority="132">
      <colorScale>
        <cfvo type="min"/>
        <cfvo type="percentile" val="50"/>
        <cfvo type="max"/>
        <color rgb="FFF8696B"/>
        <color rgb="FFFFEB84"/>
        <color rgb="FF63BE7B"/>
      </colorScale>
    </cfRule>
  </conditionalFormatting>
  <conditionalFormatting sqref="AF25:CM25">
    <cfRule type="colorScale" priority="131">
      <colorScale>
        <cfvo type="min"/>
        <cfvo type="percentile" val="50"/>
        <cfvo type="max"/>
        <color rgb="FFF8696B"/>
        <color rgb="FFFFEB84"/>
        <color rgb="FF63BE7B"/>
      </colorScale>
    </cfRule>
  </conditionalFormatting>
  <conditionalFormatting sqref="AF35:CM35">
    <cfRule type="colorScale" priority="77">
      <colorScale>
        <cfvo type="min"/>
        <cfvo type="percentile" val="50"/>
        <cfvo type="max"/>
        <color rgb="FF63BE7B"/>
        <color rgb="FFFFEB84"/>
        <color rgb="FFF8696B"/>
      </colorScale>
    </cfRule>
  </conditionalFormatting>
  <conditionalFormatting sqref="AF35:CM37">
    <cfRule type="cellIs" dxfId="13" priority="2" operator="equal">
      <formula>0</formula>
    </cfRule>
    <cfRule type="expression" dxfId="12" priority="30">
      <formula>AND($Z35&lt;&gt;"",AF35&gt;$Z35)</formula>
    </cfRule>
    <cfRule type="expression" dxfId="11" priority="31">
      <formula>AND($Y35&lt;&gt;"",AF35&lt;$Y35)</formula>
    </cfRule>
  </conditionalFormatting>
  <conditionalFormatting sqref="AF36:CM36">
    <cfRule type="colorScale" priority="61">
      <colorScale>
        <cfvo type="min"/>
        <cfvo type="percentile" val="50"/>
        <cfvo type="max"/>
        <color rgb="FF63BE7B"/>
        <color rgb="FFFFEB84"/>
        <color rgb="FFF8696B"/>
      </colorScale>
    </cfRule>
  </conditionalFormatting>
  <conditionalFormatting sqref="AF37:CM37">
    <cfRule type="colorScale" priority="32">
      <colorScale>
        <cfvo type="min"/>
        <cfvo type="percentile" val="50"/>
        <cfvo type="max"/>
        <color rgb="FF63BE7B"/>
        <color rgb="FFFFEB84"/>
        <color rgb="FFF8696B"/>
      </colorScale>
    </cfRule>
  </conditionalFormatting>
  <conditionalFormatting sqref="AF40:CM40">
    <cfRule type="colorScale" priority="50">
      <colorScale>
        <cfvo type="min"/>
        <cfvo type="percentile" val="50"/>
        <cfvo type="max"/>
        <color rgb="FF63BE7B"/>
        <color rgb="FFFFEB84"/>
        <color rgb="FFF8696B"/>
      </colorScale>
    </cfRule>
  </conditionalFormatting>
  <conditionalFormatting sqref="AF40:CM42">
    <cfRule type="expression" dxfId="10" priority="27">
      <formula>AND($Z40&lt;&gt;0,AF40&gt;$Z40)</formula>
    </cfRule>
    <cfRule type="expression" dxfId="9" priority="26">
      <formula>AND($Y40&lt;&gt;"",AF40&lt;$Y40)</formula>
    </cfRule>
  </conditionalFormatting>
  <conditionalFormatting sqref="AF41:CM41">
    <cfRule type="colorScale" priority="49">
      <colorScale>
        <cfvo type="min"/>
        <cfvo type="percentile" val="50"/>
        <cfvo type="max"/>
        <color rgb="FFF8696B"/>
        <color rgb="FFFFEB84"/>
        <color rgb="FF63BE7B"/>
      </colorScale>
    </cfRule>
  </conditionalFormatting>
  <conditionalFormatting sqref="AF42:CM42">
    <cfRule type="colorScale" priority="28">
      <colorScale>
        <cfvo type="min"/>
        <cfvo type="percentile" val="50"/>
        <cfvo type="max"/>
        <color rgb="FFF8696B"/>
        <color rgb="FFFFEB84"/>
        <color rgb="FF63BE7B"/>
      </colorScale>
    </cfRule>
  </conditionalFormatting>
  <conditionalFormatting sqref="AR28:CM28">
    <cfRule type="colorScale" priority="81">
      <colorScale>
        <cfvo type="min"/>
        <cfvo type="percentile" val="50"/>
        <cfvo type="max"/>
        <color rgb="FFF8696B"/>
        <color rgb="FFFFEB84"/>
        <color rgb="FF63BE7B"/>
      </colorScale>
    </cfRule>
  </conditionalFormatting>
  <conditionalFormatting sqref="AR28:CM31">
    <cfRule type="expression" dxfId="8" priority="33">
      <formula>AND($Z28&lt;&gt;"",AR28&gt;$Z28)</formula>
    </cfRule>
    <cfRule type="expression" dxfId="7" priority="34">
      <formula>AND($Y28&lt;&gt;"",AR28&lt;$Y28)</formula>
    </cfRule>
    <cfRule type="cellIs" dxfId="6" priority="3" operator="equal">
      <formula>0</formula>
    </cfRule>
  </conditionalFormatting>
  <conditionalFormatting sqref="AR29:CM29">
    <cfRule type="colorScale" priority="64">
      <colorScale>
        <cfvo type="min"/>
        <cfvo type="percentile" val="50"/>
        <cfvo type="max"/>
        <color rgb="FF63BE7B"/>
        <color rgb="FFFFEB84"/>
        <color rgb="FFF8696B"/>
      </colorScale>
    </cfRule>
  </conditionalFormatting>
  <conditionalFormatting sqref="AR30:CM30">
    <cfRule type="colorScale" priority="36">
      <colorScale>
        <cfvo type="min"/>
        <cfvo type="percentile" val="50"/>
        <cfvo type="max"/>
        <color rgb="FF63BE7B"/>
        <color rgb="FFFFEB84"/>
        <color rgb="FFF8696B"/>
      </colorScale>
    </cfRule>
  </conditionalFormatting>
  <conditionalFormatting sqref="AR31:CM31">
    <cfRule type="colorScale" priority="35">
      <colorScale>
        <cfvo type="min"/>
        <cfvo type="percentile" val="50"/>
        <cfvo type="max"/>
        <color rgb="FF63BE7B"/>
        <color rgb="FFFFEB84"/>
        <color rgb="FFF8696B"/>
      </colorScale>
    </cfRule>
  </conditionalFormatting>
  <conditionalFormatting sqref="AR34:CM34">
    <cfRule type="colorScale" priority="95">
      <colorScale>
        <cfvo type="min"/>
        <cfvo type="percentile" val="50"/>
        <cfvo type="max"/>
        <color rgb="FFF8696B"/>
        <color rgb="FFFFEB84"/>
        <color rgb="FF63BE7B"/>
      </colorScale>
    </cfRule>
  </conditionalFormatting>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164" id="{EEA2A203-EB7D-40D0-8BED-F4A1861CF412}">
            <x14:iconSet iconSet="3Symbols2" custom="1">
              <x14:cfvo type="percent">
                <xm:f>0</xm:f>
              </x14:cfvo>
              <x14:cfvo type="num">
                <xm:f>0</xm:f>
              </x14:cfvo>
              <x14:cfvo type="num">
                <xm:f>0</xm:f>
              </x14:cfvo>
              <x14:cfIcon iconSet="3Symbols2" iconId="0"/>
              <x14:cfIcon iconSet="NoIcons" iconId="0"/>
              <x14:cfIcon iconSet="NoIcons" iconId="0"/>
            </x14:iconSet>
          </x14:cfRule>
          <xm:sqref>X5</xm:sqref>
        </x14:conditionalFormatting>
        <x14:conditionalFormatting xmlns:xm="http://schemas.microsoft.com/office/excel/2006/main">
          <x14:cfRule type="iconSet" priority="165" id="{789034F0-ADF9-4A12-936A-ED1F1A5A8EE9}">
            <x14:iconSet iconSet="3Flags" custom="1">
              <x14:cfvo type="percent">
                <xm:f>0</xm:f>
              </x14:cfvo>
              <x14:cfvo type="num">
                <xm:f>0</xm:f>
              </x14:cfvo>
              <x14:cfvo type="num">
                <xm:f>0</xm:f>
              </x14:cfvo>
              <x14:cfIcon iconSet="3Symbols2" iconId="0"/>
              <x14:cfIcon iconSet="NoIcons" iconId="0"/>
              <x14:cfIcon iconSet="NoIcons" iconId="0"/>
            </x14:iconSet>
          </x14:cfRule>
          <xm:sqref>X6</xm:sqref>
        </x14:conditionalFormatting>
        <x14:conditionalFormatting xmlns:xm="http://schemas.microsoft.com/office/excel/2006/main">
          <x14:cfRule type="iconSet" priority="8" id="{C341FDB5-B410-41B0-BFB6-20E187D77CC5}">
            <x14:iconSet iconSet="3Flags" custom="1">
              <x14:cfvo type="percent">
                <xm:f>0</xm:f>
              </x14:cfvo>
              <x14:cfvo type="num">
                <xm:f>0</xm:f>
              </x14:cfvo>
              <x14:cfvo type="num">
                <xm:f>0</xm:f>
              </x14:cfvo>
              <x14:cfIcon iconSet="3Symbols2" iconId="0"/>
              <x14:cfIcon iconSet="NoIcons" iconId="0"/>
              <x14:cfIcon iconSet="NoIcons" iconId="0"/>
            </x14:iconSet>
          </x14:cfRule>
          <xm:sqref>X9</xm:sqref>
        </x14:conditionalFormatting>
        <x14:conditionalFormatting xmlns:xm="http://schemas.microsoft.com/office/excel/2006/main">
          <x14:cfRule type="iconSet" priority="73" id="{9659D7A6-8C75-4B1A-956D-9C9CB3B324E8}">
            <x14:iconSet iconSet="3Symbols2" custom="1">
              <x14:cfvo type="percent">
                <xm:f>0</xm:f>
              </x14:cfvo>
              <x14:cfvo type="num">
                <xm:f>0</xm:f>
              </x14:cfvo>
              <x14:cfvo type="num">
                <xm:f>0</xm:f>
              </x14:cfvo>
              <x14:cfIcon iconSet="3Symbols2" iconId="0"/>
              <x14:cfIcon iconSet="NoIcons" iconId="0"/>
              <x14:cfIcon iconSet="NoIcons" iconId="0"/>
            </x14:iconSet>
          </x14:cfRule>
          <xm:sqref>X17:X20</xm:sqref>
        </x14:conditionalFormatting>
        <x14:conditionalFormatting xmlns:xm="http://schemas.microsoft.com/office/excel/2006/main">
          <x14:cfRule type="iconSet" priority="113" id="{32F5D421-9172-4C9A-87F9-41229A192F4C}">
            <x14:iconSet iconSet="3Flags" custom="1">
              <x14:cfvo type="percent">
                <xm:f>0</xm:f>
              </x14:cfvo>
              <x14:cfvo type="num">
                <xm:f>0</xm:f>
              </x14:cfvo>
              <x14:cfvo type="num">
                <xm:f>0</xm:f>
              </x14:cfvo>
              <x14:cfIcon iconSet="3Symbols2" iconId="0"/>
              <x14:cfIcon iconSet="NoIcons" iconId="0"/>
              <x14:cfIcon iconSet="NoIcons" iconId="0"/>
            </x14:iconSet>
          </x14:cfRule>
          <xm:sqref>X23:X25</xm:sqref>
        </x14:conditionalFormatting>
        <x14:conditionalFormatting xmlns:xm="http://schemas.microsoft.com/office/excel/2006/main">
          <x14:cfRule type="iconSet" priority="44" id="{AD73E1D2-3551-4674-8AE4-CB2870609A68}">
            <x14:iconSet iconSet="3Flags" custom="1">
              <x14:cfvo type="percent">
                <xm:f>0</xm:f>
              </x14:cfvo>
              <x14:cfvo type="num">
                <xm:f>0</xm:f>
              </x14:cfvo>
              <x14:cfvo type="num">
                <xm:f>0</xm:f>
              </x14:cfvo>
              <x14:cfIcon iconSet="3Symbols2" iconId="0"/>
              <x14:cfIcon iconSet="NoIcons" iconId="0"/>
              <x14:cfIcon iconSet="NoIcons" iconId="0"/>
            </x14:iconSet>
          </x14:cfRule>
          <xm:sqref>X28:X31</xm:sqref>
        </x14:conditionalFormatting>
        <x14:conditionalFormatting xmlns:xm="http://schemas.microsoft.com/office/excel/2006/main">
          <x14:cfRule type="iconSet" priority="82" id="{C675A605-D246-41FD-B316-E40AA9A2FBAA}">
            <x14:iconSet iconSet="3Symbols2" custom="1">
              <x14:cfvo type="percent">
                <xm:f>0</xm:f>
              </x14:cfvo>
              <x14:cfvo type="num">
                <xm:f>0</xm:f>
              </x14:cfvo>
              <x14:cfvo type="num">
                <xm:f>0</xm:f>
              </x14:cfvo>
              <x14:cfIcon iconSet="3Symbols2" iconId="0"/>
              <x14:cfIcon iconSet="NoIcons" iconId="0"/>
              <x14:cfIcon iconSet="NoIcons" iconId="0"/>
            </x14:iconSet>
          </x14:cfRule>
          <xm:sqref>X34:X37</xm:sqref>
        </x14:conditionalFormatting>
        <x14:conditionalFormatting xmlns:xm="http://schemas.microsoft.com/office/excel/2006/main">
          <x14:cfRule type="iconSet" priority="40" id="{FAFD65F9-841C-40E3-A58E-201321D9711D}">
            <x14:iconSet iconSet="3Symbols2" custom="1">
              <x14:cfvo type="percent">
                <xm:f>0</xm:f>
              </x14:cfvo>
              <x14:cfvo type="num">
                <xm:f>0</xm:f>
              </x14:cfvo>
              <x14:cfvo type="num">
                <xm:f>0</xm:f>
              </x14:cfvo>
              <x14:cfIcon iconSet="3Symbols2" iconId="0"/>
              <x14:cfIcon iconSet="NoIcons" iconId="0"/>
              <x14:cfIcon iconSet="NoIcons" iconId="0"/>
            </x14:iconSet>
          </x14:cfRule>
          <xm:sqref>X40:X42</xm:sqref>
        </x14:conditionalFormatting>
        <x14:conditionalFormatting xmlns:xm="http://schemas.microsoft.com/office/excel/2006/main">
          <x14:cfRule type="iconSet" priority="17" id="{025DC287-C8E7-4F89-8CE2-1AF5E2286FBC}">
            <x14:iconSet iconSet="3Symbols2" custom="1">
              <x14:cfvo type="percent">
                <xm:f>0</xm:f>
              </x14:cfvo>
              <x14:cfvo type="num">
                <xm:f>0</xm:f>
              </x14:cfvo>
              <x14:cfvo type="num">
                <xm:f>0</xm:f>
              </x14:cfvo>
              <x14:cfIcon iconSet="3Symbols2" iconId="0"/>
              <x14:cfIcon iconSet="NoIcons" iconId="0"/>
              <x14:cfIcon iconSet="NoIcons" iconId="0"/>
            </x14:iconSet>
          </x14:cfRule>
          <xm:sqref>X45</xm:sqref>
        </x14:conditionalFormatting>
        <x14:conditionalFormatting xmlns:xm="http://schemas.microsoft.com/office/excel/2006/main">
          <x14:cfRule type="iconSet" priority="6" id="{E658794C-C76D-46C5-B009-8F0CA82671C8}">
            <x14:iconSet iconSet="3Symbols2" custom="1">
              <x14:cfvo type="percent">
                <xm:f>0</xm:f>
              </x14:cfvo>
              <x14:cfvo type="num">
                <xm:f>0</xm:f>
              </x14:cfvo>
              <x14:cfvo type="num">
                <xm:f>0</xm:f>
              </x14:cfvo>
              <x14:cfIcon iconSet="NoIcons" iconId="0"/>
              <x14:cfIcon iconSet="NoIcons" iconId="0"/>
              <x14:cfIcon iconSet="3Flags" iconId="2"/>
            </x14:iconSet>
          </x14:cfRule>
          <xm:sqref>Z9</xm:sqref>
        </x14:conditionalFormatting>
        <x14:conditionalFormatting xmlns:xm="http://schemas.microsoft.com/office/excel/2006/main">
          <x14:cfRule type="iconSet" priority="7" id="{56AC39A3-81E9-428D-A0A5-73499D2E1298}">
            <x14:iconSet iconSet="3Symbols2" custom="1">
              <x14:cfvo type="percent">
                <xm:f>0</xm:f>
              </x14:cfvo>
              <x14:cfvo type="num">
                <xm:f>0</xm:f>
              </x14:cfvo>
              <x14:cfvo type="num">
                <xm:f>0</xm:f>
              </x14:cfvo>
              <x14:cfIcon iconSet="NoIcons" iconId="0"/>
              <x14:cfIcon iconSet="NoIcons" iconId="0"/>
              <x14:cfIcon iconSet="3Flags" iconId="2"/>
            </x14:iconSet>
          </x14:cfRule>
          <xm:sqref>AB5</xm:sqref>
        </x14:conditionalFormatting>
        <x14:conditionalFormatting xmlns:xm="http://schemas.microsoft.com/office/excel/2006/main">
          <x14:cfRule type="iconSet" priority="68" id="{63487774-6B14-4022-AF2F-7BEAB11371C6}">
            <x14:iconSet iconSet="3Symbols2" custom="1">
              <x14:cfvo type="percent">
                <xm:f>0</xm:f>
              </x14:cfvo>
              <x14:cfvo type="num">
                <xm:f>0</xm:f>
              </x14:cfvo>
              <x14:cfvo type="num">
                <xm:f>0</xm:f>
              </x14:cfvo>
              <x14:cfIcon iconSet="NoIcons" iconId="0"/>
              <x14:cfIcon iconSet="NoIcons" iconId="0"/>
              <x14:cfIcon iconSet="3Flags" iconId="2"/>
            </x14:iconSet>
          </x14:cfRule>
          <xm:sqref>AB17:AB20</xm:sqref>
        </x14:conditionalFormatting>
        <x14:conditionalFormatting xmlns:xm="http://schemas.microsoft.com/office/excel/2006/main">
          <x14:cfRule type="iconSet" priority="67" id="{3D5B4F81-4EF8-4C47-A971-B026C3BF8DEC}">
            <x14:iconSet iconSet="3Symbols2" custom="1">
              <x14:cfvo type="percent">
                <xm:f>0</xm:f>
              </x14:cfvo>
              <x14:cfvo type="num">
                <xm:f>0</xm:f>
              </x14:cfvo>
              <x14:cfvo type="num">
                <xm:f>0</xm:f>
              </x14:cfvo>
              <x14:cfIcon iconSet="NoIcons" iconId="0"/>
              <x14:cfIcon iconSet="NoIcons" iconId="0"/>
              <x14:cfIcon iconSet="3Flags" iconId="2"/>
            </x14:iconSet>
          </x14:cfRule>
          <xm:sqref>AB23:AB25</xm:sqref>
        </x14:conditionalFormatting>
        <x14:conditionalFormatting xmlns:xm="http://schemas.microsoft.com/office/excel/2006/main">
          <x14:cfRule type="iconSet" priority="65" id="{1EE0983C-20EE-42FC-81BA-F82E91141D15}">
            <x14:iconSet iconSet="3Symbols2" custom="1">
              <x14:cfvo type="percent">
                <xm:f>0</xm:f>
              </x14:cfvo>
              <x14:cfvo type="num">
                <xm:f>0</xm:f>
              </x14:cfvo>
              <x14:cfvo type="num">
                <xm:f>0</xm:f>
              </x14:cfvo>
              <x14:cfIcon iconSet="NoIcons" iconId="0"/>
              <x14:cfIcon iconSet="NoIcons" iconId="0"/>
              <x14:cfIcon iconSet="3Flags" iconId="2"/>
            </x14:iconSet>
          </x14:cfRule>
          <xm:sqref>AB28:AB31</xm:sqref>
        </x14:conditionalFormatting>
        <x14:conditionalFormatting xmlns:xm="http://schemas.microsoft.com/office/excel/2006/main">
          <x14:cfRule type="iconSet" priority="62" id="{760BEFBB-1A27-4553-B1BA-285F7676CBE5}">
            <x14:iconSet iconSet="3Symbols2" custom="1">
              <x14:cfvo type="percent">
                <xm:f>0</xm:f>
              </x14:cfvo>
              <x14:cfvo type="num">
                <xm:f>0</xm:f>
              </x14:cfvo>
              <x14:cfvo type="num">
                <xm:f>0</xm:f>
              </x14:cfvo>
              <x14:cfIcon iconSet="NoIcons" iconId="0"/>
              <x14:cfIcon iconSet="NoIcons" iconId="0"/>
              <x14:cfIcon iconSet="3Flags" iconId="2"/>
            </x14:iconSet>
          </x14:cfRule>
          <xm:sqref>AB35:AB37</xm:sqref>
        </x14:conditionalFormatting>
        <x14:conditionalFormatting xmlns:xm="http://schemas.microsoft.com/office/excel/2006/main">
          <x14:cfRule type="iconSet" priority="59" id="{1F9C7B76-54C0-432F-8A74-205CDDB0916C}">
            <x14:iconSet iconSet="3Symbols2" custom="1">
              <x14:cfvo type="percent">
                <xm:f>0</xm:f>
              </x14:cfvo>
              <x14:cfvo type="num">
                <xm:f>0</xm:f>
              </x14:cfvo>
              <x14:cfvo type="num">
                <xm:f>0</xm:f>
              </x14:cfvo>
              <x14:cfIcon iconSet="NoIcons" iconId="0"/>
              <x14:cfIcon iconSet="NoIcons" iconId="0"/>
              <x14:cfIcon iconSet="3Flags" iconId="2"/>
            </x14:iconSet>
          </x14:cfRule>
          <xm:sqref>AB40:AB42</xm:sqref>
        </x14:conditionalFormatting>
        <x14:conditionalFormatting xmlns:xm="http://schemas.microsoft.com/office/excel/2006/main">
          <x14:cfRule type="iconSet" priority="18" id="{B05EDC80-0E74-485C-88BC-6CFEBEDE4556}">
            <x14:iconSet iconSet="3Symbols2" custom="1">
              <x14:cfvo type="percent">
                <xm:f>0</xm:f>
              </x14:cfvo>
              <x14:cfvo type="num">
                <xm:f>0</xm:f>
              </x14:cfvo>
              <x14:cfvo type="num">
                <xm:f>0</xm:f>
              </x14:cfvo>
              <x14:cfIcon iconSet="NoIcons" iconId="0"/>
              <x14:cfIcon iconSet="NoIcons" iconId="0"/>
              <x14:cfIcon iconSet="3Flags" iconId="2"/>
            </x14:iconSet>
          </x14:cfRule>
          <xm:sqref>AB45</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4DF41-E6CA-4237-A861-FF7CC8722B5F}">
  <sheetPr codeName="Sheet9"/>
  <dimension ref="B1:BE322"/>
  <sheetViews>
    <sheetView showGridLines="0" workbookViewId="0">
      <selection activeCell="I82" sqref="I82"/>
    </sheetView>
  </sheetViews>
  <sheetFormatPr defaultRowHeight="15.5" x14ac:dyDescent="0.35"/>
  <cols>
    <col min="1" max="1" width="3" customWidth="1"/>
    <col min="3" max="3" width="18.08203125" customWidth="1"/>
    <col min="4" max="4" width="17.5" customWidth="1"/>
    <col min="5" max="9" width="12.58203125" customWidth="1"/>
    <col min="35" max="35" width="11" style="101" customWidth="1"/>
    <col min="36" max="40" width="15.25" style="40" customWidth="1"/>
    <col min="41" max="41" width="9" style="40"/>
    <col min="43" max="43" width="12.08203125" customWidth="1"/>
  </cols>
  <sheetData>
    <row r="1" spans="2:57" x14ac:dyDescent="0.35">
      <c r="AM1" s="306"/>
      <c r="AN1" s="306"/>
      <c r="AO1" s="82">
        <v>1</v>
      </c>
    </row>
    <row r="2" spans="2:57" ht="13" customHeight="1" x14ac:dyDescent="0.35">
      <c r="B2" s="9"/>
      <c r="C2" s="1978" t="s">
        <v>8</v>
      </c>
    </row>
    <row r="3" spans="2:57" ht="13" customHeight="1" x14ac:dyDescent="0.35">
      <c r="B3" s="9"/>
      <c r="C3" s="1978"/>
      <c r="D3" s="1324" t="str">
        <f>Infrastructure!H9</f>
        <v>Year 1</v>
      </c>
      <c r="E3" s="1324" t="str">
        <f>Infrastructure!I9</f>
        <v>Year 2</v>
      </c>
      <c r="F3" s="1324" t="str">
        <f>Infrastructure!J9</f>
        <v>Year 3</v>
      </c>
      <c r="G3" s="1324" t="str">
        <f>Infrastructure!K9</f>
        <v>Year 4</v>
      </c>
      <c r="H3" s="1324" t="str">
        <f>Infrastructure!L9</f>
        <v>Year 5</v>
      </c>
    </row>
    <row r="4" spans="2:57" ht="13" customHeight="1" x14ac:dyDescent="0.35">
      <c r="B4" s="9"/>
      <c r="C4" s="68" t="s">
        <v>4</v>
      </c>
      <c r="D4" s="898">
        <f>Infrastructure!BQ28</f>
        <v>0</v>
      </c>
      <c r="E4" s="898">
        <f>Infrastructure!BR28</f>
        <v>0</v>
      </c>
      <c r="F4" s="898">
        <f>Infrastructure!BS28</f>
        <v>0</v>
      </c>
      <c r="G4" s="898">
        <f>Infrastructure!BT28</f>
        <v>0</v>
      </c>
      <c r="H4" s="898">
        <f>Infrastructure!BU28</f>
        <v>0</v>
      </c>
    </row>
    <row r="5" spans="2:57" ht="13" customHeight="1" x14ac:dyDescent="0.35">
      <c r="C5" s="101" t="s">
        <v>12</v>
      </c>
      <c r="D5" s="405">
        <f>Infrastructure!BF29</f>
        <v>0</v>
      </c>
      <c r="E5" s="405">
        <f>Infrastructure!BG29</f>
        <v>0</v>
      </c>
      <c r="F5" s="405">
        <f>Infrastructure!BH29</f>
        <v>0</v>
      </c>
      <c r="G5" s="405">
        <f>Infrastructure!BI29</f>
        <v>0</v>
      </c>
      <c r="H5" s="405">
        <f>Infrastructure!BJ29</f>
        <v>0</v>
      </c>
      <c r="AZ5" s="40"/>
      <c r="BA5" s="40"/>
      <c r="BB5" s="40"/>
      <c r="BC5" s="1246" t="s">
        <v>762</v>
      </c>
      <c r="BD5" s="306"/>
      <c r="BE5" s="306"/>
    </row>
    <row r="6" spans="2:57" ht="13" customHeight="1" x14ac:dyDescent="0.35">
      <c r="C6" s="68" t="s">
        <v>5</v>
      </c>
      <c r="D6" s="899">
        <f>Infrastructure!BF30</f>
        <v>0</v>
      </c>
      <c r="E6" s="899">
        <f>Infrastructure!BG30</f>
        <v>0</v>
      </c>
      <c r="F6" s="899">
        <f>Infrastructure!BH30</f>
        <v>0</v>
      </c>
      <c r="G6" s="899">
        <f>Infrastructure!BI30</f>
        <v>0</v>
      </c>
      <c r="H6" s="899">
        <f>Infrastructure!BJ30</f>
        <v>0</v>
      </c>
      <c r="AZ6" s="40"/>
      <c r="BA6" s="40"/>
      <c r="BB6" s="40"/>
      <c r="BC6" s="306"/>
      <c r="BD6" s="306"/>
      <c r="BE6" s="306"/>
    </row>
    <row r="7" spans="2:57" ht="5.15" customHeight="1" x14ac:dyDescent="0.35">
      <c r="C7" s="68"/>
      <c r="D7" s="898"/>
      <c r="E7" s="898"/>
      <c r="F7" s="898"/>
      <c r="G7" s="898"/>
      <c r="H7" s="898"/>
      <c r="AZ7" s="40"/>
      <c r="BA7" s="40"/>
      <c r="BB7" s="40"/>
      <c r="BC7" s="306"/>
      <c r="BD7" s="306"/>
      <c r="BE7" s="306"/>
    </row>
    <row r="8" spans="2:57" ht="13" customHeight="1" x14ac:dyDescent="0.35">
      <c r="C8" s="101" t="s">
        <v>18</v>
      </c>
      <c r="D8" s="405">
        <f>Infrastructure!BF32</f>
        <v>0</v>
      </c>
      <c r="E8" s="405">
        <f>Infrastructure!BG32</f>
        <v>0</v>
      </c>
      <c r="F8" s="405">
        <f>Infrastructure!BH32</f>
        <v>0</v>
      </c>
      <c r="G8" s="405">
        <f>Infrastructure!BI32</f>
        <v>0</v>
      </c>
      <c r="H8" s="405">
        <f>Infrastructure!BJ32</f>
        <v>0</v>
      </c>
      <c r="AZ8" s="40"/>
      <c r="BA8" s="40"/>
      <c r="BB8" s="40"/>
      <c r="BC8" s="1246" t="str">
        <f>IF(F30&lt;0,"☠️","🎉")</f>
        <v>🎉</v>
      </c>
      <c r="BD8" s="306"/>
      <c r="BE8" s="306"/>
    </row>
    <row r="9" spans="2:57" ht="13" customHeight="1" x14ac:dyDescent="0.35">
      <c r="C9" s="101" t="s">
        <v>19</v>
      </c>
      <c r="D9" s="405">
        <f>Infrastructure!BF33</f>
        <v>0</v>
      </c>
      <c r="E9" s="405">
        <f>Infrastructure!BG33</f>
        <v>0</v>
      </c>
      <c r="F9" s="405">
        <f>Infrastructure!BH33</f>
        <v>0</v>
      </c>
      <c r="G9" s="405">
        <f>Infrastructure!BI33</f>
        <v>0</v>
      </c>
      <c r="H9" s="405">
        <f>Infrastructure!BJ33</f>
        <v>0</v>
      </c>
      <c r="AZ9" s="40"/>
      <c r="BA9" s="40"/>
      <c r="BB9" s="40"/>
      <c r="BC9" s="306"/>
      <c r="BD9" s="306"/>
      <c r="BE9" s="306"/>
    </row>
    <row r="10" spans="2:57" ht="5.15" customHeight="1" x14ac:dyDescent="0.35">
      <c r="C10" s="101"/>
      <c r="D10" s="405"/>
      <c r="E10" s="405"/>
      <c r="F10" s="405"/>
      <c r="G10" s="405"/>
      <c r="H10" s="405"/>
      <c r="AZ10" s="40"/>
      <c r="BA10" s="40"/>
      <c r="BB10" s="40"/>
      <c r="BC10" s="306"/>
      <c r="BD10" s="306"/>
      <c r="BE10" s="306"/>
    </row>
    <row r="11" spans="2:57" ht="13" customHeight="1" x14ac:dyDescent="0.35">
      <c r="C11" s="68" t="s">
        <v>6</v>
      </c>
      <c r="D11" s="900">
        <f>Infrastructure!BF34</f>
        <v>0</v>
      </c>
      <c r="E11" s="900">
        <f>Infrastructure!BG34</f>
        <v>0</v>
      </c>
      <c r="F11" s="900">
        <f>Infrastructure!BH34</f>
        <v>0</v>
      </c>
      <c r="G11" s="900">
        <f>Infrastructure!BI34</f>
        <v>0</v>
      </c>
      <c r="H11" s="900">
        <f>Infrastructure!BJ34</f>
        <v>0</v>
      </c>
      <c r="AZ11" s="40"/>
      <c r="BA11" s="40"/>
      <c r="BB11" s="40"/>
      <c r="BC11" s="306"/>
      <c r="BD11" s="306"/>
      <c r="BE11" s="306"/>
    </row>
    <row r="12" spans="2:57" ht="5.15" customHeight="1" x14ac:dyDescent="0.35">
      <c r="C12" s="68"/>
      <c r="D12" s="898"/>
      <c r="E12" s="898"/>
      <c r="F12" s="898"/>
      <c r="G12" s="898"/>
      <c r="H12" s="898"/>
      <c r="AZ12" s="40"/>
      <c r="BA12" s="40"/>
      <c r="BB12" s="40"/>
      <c r="BC12" s="306"/>
      <c r="BD12" s="306"/>
      <c r="BE12" s="306"/>
    </row>
    <row r="13" spans="2:57" ht="13" customHeight="1" x14ac:dyDescent="0.35">
      <c r="C13" s="101" t="s">
        <v>355</v>
      </c>
      <c r="D13" s="405">
        <f>Infrastructure!BF36</f>
        <v>0</v>
      </c>
      <c r="E13" s="405">
        <f>Infrastructure!BG36</f>
        <v>0</v>
      </c>
      <c r="F13" s="405">
        <f>Infrastructure!BH36</f>
        <v>0</v>
      </c>
      <c r="G13" s="405">
        <f>Infrastructure!BI36</f>
        <v>0</v>
      </c>
      <c r="H13" s="405">
        <f>Infrastructure!BJ36</f>
        <v>0</v>
      </c>
      <c r="AZ13" s="40"/>
      <c r="BA13" s="40"/>
      <c r="BB13" s="40"/>
      <c r="BC13" s="306"/>
      <c r="BD13" s="306"/>
      <c r="BE13" s="306"/>
    </row>
    <row r="14" spans="2:57" ht="5.15" customHeight="1" x14ac:dyDescent="0.35">
      <c r="C14" s="101"/>
      <c r="D14" s="405"/>
      <c r="E14" s="405"/>
      <c r="F14" s="405"/>
      <c r="G14" s="405"/>
      <c r="H14" s="405"/>
      <c r="AZ14" s="40"/>
      <c r="BA14" s="82"/>
      <c r="BB14" s="82"/>
      <c r="BC14" s="306" t="s">
        <v>763</v>
      </c>
      <c r="BD14" s="306" t="str">
        <f>IF(AO1=1,BC14,BC18)</f>
        <v>❌</v>
      </c>
      <c r="BE14" s="306"/>
    </row>
    <row r="15" spans="2:57" ht="13" customHeight="1" thickBot="1" x14ac:dyDescent="0.4">
      <c r="C15" s="68" t="s">
        <v>7</v>
      </c>
      <c r="D15" s="901">
        <f>Infrastructure!BF37</f>
        <v>0</v>
      </c>
      <c r="E15" s="901">
        <f>Infrastructure!BG37</f>
        <v>0</v>
      </c>
      <c r="F15" s="901">
        <f>Infrastructure!BH37</f>
        <v>0</v>
      </c>
      <c r="G15" s="901">
        <f>Infrastructure!BI37</f>
        <v>0</v>
      </c>
      <c r="H15" s="901">
        <f>Infrastructure!BJ37</f>
        <v>0</v>
      </c>
      <c r="AZ15" s="40"/>
      <c r="BA15" s="82"/>
      <c r="BB15" s="82"/>
      <c r="BC15" s="306"/>
      <c r="BD15" s="306"/>
      <c r="BE15" s="306"/>
    </row>
    <row r="16" spans="2:57" ht="13" customHeight="1" thickTop="1" x14ac:dyDescent="0.35">
      <c r="C16" s="101"/>
      <c r="D16" s="101"/>
      <c r="E16" s="40"/>
      <c r="F16" s="40"/>
      <c r="G16" s="101"/>
      <c r="H16" s="101"/>
      <c r="AZ16" s="40"/>
      <c r="BA16" s="906" t="str">
        <f>Infrastructure!X30&amp;" "</f>
        <v xml:space="preserve"> </v>
      </c>
      <c r="BB16" s="906" t="str">
        <f>Infrastructure!Y30&amp;" "</f>
        <v xml:space="preserve"> </v>
      </c>
      <c r="BC16" s="1247" t="s">
        <v>764</v>
      </c>
      <c r="BD16" s="1248" t="str">
        <f>Infrastructure!AA30&amp;" "</f>
        <v xml:space="preserve"> </v>
      </c>
      <c r="BE16" s="306"/>
    </row>
    <row r="17" spans="2:57" ht="13" customHeight="1" x14ac:dyDescent="0.35">
      <c r="C17" s="101"/>
      <c r="D17" s="101"/>
      <c r="E17" s="40"/>
      <c r="F17" s="40"/>
      <c r="G17" s="101"/>
      <c r="H17" s="101"/>
      <c r="AZ17" s="40"/>
      <c r="BA17" s="907" t="str">
        <f>IFERROR(Infrastructure!BE28,"")</f>
        <v xml:space="preserve">Revenue </v>
      </c>
      <c r="BB17" s="908">
        <f>Infrastructure!BF28</f>
        <v>0</v>
      </c>
      <c r="BC17" s="1249">
        <f>Infrastructure!BG28</f>
        <v>0</v>
      </c>
      <c r="BD17" s="1249">
        <f>Infrastructure!BH28</f>
        <v>0</v>
      </c>
      <c r="BE17" s="306"/>
    </row>
    <row r="18" spans="2:57" ht="13" customHeight="1" x14ac:dyDescent="0.35">
      <c r="C18" s="101"/>
      <c r="D18" s="101"/>
      <c r="E18" s="40"/>
      <c r="F18" s="40"/>
      <c r="G18" s="101"/>
      <c r="H18" s="101"/>
      <c r="AZ18" s="40"/>
      <c r="BA18" s="909" t="str">
        <f>IFERROR(Infrastructure!BE29,"")</f>
        <v xml:space="preserve">COGS </v>
      </c>
      <c r="BB18" s="403">
        <f>IFERROR(Infrastructure!BF29,"")</f>
        <v>0</v>
      </c>
      <c r="BC18" s="1216" t="s">
        <v>765</v>
      </c>
      <c r="BD18" s="1216">
        <f>IFERROR(Infrastructure!BH29,"")</f>
        <v>0</v>
      </c>
      <c r="BE18" s="306"/>
    </row>
    <row r="19" spans="2:57" ht="13" customHeight="1" x14ac:dyDescent="0.35">
      <c r="C19" s="101"/>
      <c r="D19" s="101"/>
      <c r="E19" s="40"/>
      <c r="F19" s="40"/>
      <c r="G19" s="101"/>
      <c r="H19" s="101"/>
      <c r="AZ19" s="40"/>
      <c r="BA19" s="907" t="str">
        <f>IFERROR(Infrastructure!BE30,"")</f>
        <v xml:space="preserve">Gross Profit </v>
      </c>
      <c r="BB19" s="908">
        <f>IFERROR(Infrastructure!BF30,"")</f>
        <v>0</v>
      </c>
      <c r="BC19" s="1249">
        <f>IFERROR(Infrastructure!BG30,"")</f>
        <v>0</v>
      </c>
      <c r="BD19" s="1249">
        <f>IFERROR(Infrastructure!BH30,"")</f>
        <v>0</v>
      </c>
      <c r="BE19" s="306"/>
    </row>
    <row r="20" spans="2:57" ht="13" customHeight="1" x14ac:dyDescent="0.35">
      <c r="B20" s="1978" t="s">
        <v>9</v>
      </c>
      <c r="C20" s="1978"/>
      <c r="D20" s="101"/>
      <c r="E20" s="40"/>
      <c r="F20" s="40"/>
      <c r="G20" s="101"/>
      <c r="H20" s="101"/>
      <c r="AZ20" s="40"/>
      <c r="BA20" s="909"/>
      <c r="BB20" s="909"/>
      <c r="BC20" s="1250"/>
      <c r="BD20" s="1250"/>
      <c r="BE20" s="306"/>
    </row>
    <row r="21" spans="2:57" ht="13" customHeight="1" x14ac:dyDescent="0.35">
      <c r="B21" s="1978"/>
      <c r="C21" s="1978"/>
      <c r="D21" s="1324" t="str">
        <f>D3</f>
        <v>Year 1</v>
      </c>
      <c r="E21" s="1324" t="str">
        <f>E3</f>
        <v>Year 2</v>
      </c>
      <c r="F21" s="1324" t="str">
        <f>F3</f>
        <v>Year 3</v>
      </c>
      <c r="G21" s="1324" t="str">
        <f>G3</f>
        <v>Year 4</v>
      </c>
      <c r="H21" s="1324" t="str">
        <f>H3</f>
        <v>Year 5</v>
      </c>
      <c r="AZ21" s="40"/>
      <c r="BA21" s="909"/>
      <c r="BB21" s="909"/>
      <c r="BC21" s="1250"/>
      <c r="BD21" s="1250"/>
      <c r="BE21" s="306"/>
    </row>
    <row r="22" spans="2:57" x14ac:dyDescent="0.35">
      <c r="C22" s="68" t="s">
        <v>7</v>
      </c>
      <c r="D22" s="898">
        <f>D15</f>
        <v>0</v>
      </c>
      <c r="E22" s="898">
        <f>E15</f>
        <v>0</v>
      </c>
      <c r="F22" s="898">
        <f>F15</f>
        <v>0</v>
      </c>
      <c r="G22" s="898">
        <f>G15</f>
        <v>0</v>
      </c>
      <c r="H22" s="898">
        <f>H15</f>
        <v>0</v>
      </c>
      <c r="AZ22" s="40"/>
      <c r="BA22" s="909"/>
      <c r="BB22" s="909"/>
      <c r="BC22" s="1250"/>
      <c r="BD22" s="1250"/>
      <c r="BE22" s="306"/>
    </row>
    <row r="23" spans="2:57" ht="13" customHeight="1" x14ac:dyDescent="0.35">
      <c r="C23" s="101" t="s">
        <v>61</v>
      </c>
      <c r="D23" s="405">
        <f>Financials!Q160</f>
        <v>0</v>
      </c>
      <c r="E23" s="405">
        <f>Financials!AD160</f>
        <v>0</v>
      </c>
      <c r="F23" s="405">
        <f>Financials!AQ160</f>
        <v>0</v>
      </c>
      <c r="G23" s="405">
        <f>Financials!BD160</f>
        <v>0</v>
      </c>
      <c r="H23" s="405">
        <f>Financials!BQ160</f>
        <v>0</v>
      </c>
      <c r="AZ23" s="40"/>
      <c r="BA23" s="909" t="str">
        <f>IFERROR(Infrastructure!BE32,"")</f>
        <v xml:space="preserve">S&amp;M Expenses </v>
      </c>
      <c r="BB23" s="908">
        <f>IFERROR(Infrastructure!BF32,"")</f>
        <v>0</v>
      </c>
      <c r="BC23" s="1216">
        <f>IFERROR(Infrastructure!BG32,"")</f>
        <v>0</v>
      </c>
      <c r="BD23" s="1216">
        <f>IFERROR(Infrastructure!BH32,"")</f>
        <v>0</v>
      </c>
      <c r="BE23" s="306"/>
    </row>
    <row r="24" spans="2:57" ht="13" customHeight="1" x14ac:dyDescent="0.35">
      <c r="C24" s="101" t="s">
        <v>766</v>
      </c>
      <c r="D24" s="405">
        <f>Financials!Q165</f>
        <v>0</v>
      </c>
      <c r="E24" s="405">
        <f>Financials!AD165</f>
        <v>0</v>
      </c>
      <c r="F24" s="405">
        <f>Financials!AQ165</f>
        <v>0</v>
      </c>
      <c r="G24" s="405">
        <f>Financials!BD165</f>
        <v>0</v>
      </c>
      <c r="H24" s="405">
        <f>Financials!BQ165</f>
        <v>0</v>
      </c>
      <c r="AZ24" s="40"/>
      <c r="BA24" s="909" t="str">
        <f>IFERROR(Infrastructure!BE33,"")</f>
        <v xml:space="preserve">Oper. Expenses </v>
      </c>
      <c r="BB24" s="403">
        <f>IFERROR(Infrastructure!BF33,"")</f>
        <v>0</v>
      </c>
      <c r="BC24" s="1216">
        <f>IFERROR(Infrastructure!BG33,"")</f>
        <v>0</v>
      </c>
      <c r="BD24" s="1216">
        <f>IFERROR(Infrastructure!BH33,"")</f>
        <v>0</v>
      </c>
      <c r="BE24" s="306"/>
    </row>
    <row r="25" spans="2:57" ht="13" customHeight="1" x14ac:dyDescent="0.35">
      <c r="C25" s="101" t="s">
        <v>173</v>
      </c>
      <c r="D25" s="494">
        <f>Financials!Q173</f>
        <v>0</v>
      </c>
      <c r="E25" s="494">
        <f>Financials!AD173</f>
        <v>0</v>
      </c>
      <c r="F25" s="494">
        <f>Financials!AQ173</f>
        <v>0</v>
      </c>
      <c r="G25" s="494">
        <f>Financials!BD173</f>
        <v>0</v>
      </c>
      <c r="H25" s="494">
        <f>Financials!BQ173</f>
        <v>0</v>
      </c>
      <c r="AZ25" s="40"/>
      <c r="BA25" s="907" t="str">
        <f>IFERROR(Infrastructure!BE34,"")</f>
        <v xml:space="preserve">EBITDA </v>
      </c>
      <c r="BB25" s="908">
        <f>IFERROR(Infrastructure!BF34,"")</f>
        <v>0</v>
      </c>
      <c r="BC25" s="908">
        <f>IFERROR(Infrastructure!BG34,"")</f>
        <v>0</v>
      </c>
      <c r="BD25" s="908">
        <f>IFERROR(Infrastructure!BH34,"")</f>
        <v>0</v>
      </c>
      <c r="BE25" s="40"/>
    </row>
    <row r="26" spans="2:57" ht="13" customHeight="1" x14ac:dyDescent="0.35">
      <c r="C26" s="68" t="s">
        <v>712</v>
      </c>
      <c r="D26" s="899">
        <f>Financials!Q175</f>
        <v>0</v>
      </c>
      <c r="E26" s="899">
        <f>Financials!AD175</f>
        <v>0</v>
      </c>
      <c r="F26" s="899">
        <f>Financials!AQ175</f>
        <v>0</v>
      </c>
      <c r="G26" s="899">
        <f>Financials!BD175</f>
        <v>0</v>
      </c>
      <c r="H26" s="899">
        <f>Financials!BQ175</f>
        <v>0</v>
      </c>
      <c r="AZ26" s="40"/>
      <c r="BA26" s="909"/>
      <c r="BB26" s="909"/>
      <c r="BC26" s="909"/>
      <c r="BD26" s="910"/>
      <c r="BE26" s="40"/>
    </row>
    <row r="27" spans="2:57" ht="5.15" customHeight="1" x14ac:dyDescent="0.35">
      <c r="C27" s="68"/>
      <c r="D27" s="898"/>
      <c r="E27" s="898"/>
      <c r="F27" s="898"/>
      <c r="G27" s="898"/>
      <c r="H27" s="898"/>
      <c r="AZ27" s="40"/>
      <c r="BA27" s="909" t="str">
        <f>IFERROR(Infrastructure!BE36,"")</f>
        <v xml:space="preserve">Int. Tax. Dep. Amo. </v>
      </c>
      <c r="BB27" s="403">
        <f>IFERROR(Infrastructure!BF36,"")</f>
        <v>0</v>
      </c>
      <c r="BC27" s="403">
        <f>IFERROR(Infrastructure!BG36,"")</f>
        <v>0</v>
      </c>
      <c r="BD27" s="403">
        <f>IFERROR(Infrastructure!BH36,"")</f>
        <v>0</v>
      </c>
      <c r="BE27" s="40"/>
    </row>
    <row r="28" spans="2:57" ht="13" customHeight="1" x14ac:dyDescent="0.35">
      <c r="C28" s="101" t="s">
        <v>562</v>
      </c>
      <c r="D28" s="405">
        <f>Input!D1537</f>
        <v>0</v>
      </c>
      <c r="E28" s="405">
        <f>Financials!AD177</f>
        <v>0</v>
      </c>
      <c r="F28" s="405">
        <f>Financials!AQ177</f>
        <v>0</v>
      </c>
      <c r="G28" s="405">
        <f>Financials!BD177</f>
        <v>0</v>
      </c>
      <c r="H28" s="405">
        <f>Financials!BQ177</f>
        <v>0</v>
      </c>
      <c r="AZ28" s="40"/>
      <c r="BA28" s="907" t="str">
        <f>IFERROR(Infrastructure!BE37,"")</f>
        <v xml:space="preserve">Net  Income </v>
      </c>
      <c r="BB28" s="1038" t="s">
        <v>767</v>
      </c>
      <c r="BC28" s="913">
        <f>IFERROR(Infrastructure!BG37,"")</f>
        <v>0</v>
      </c>
      <c r="BD28" s="913">
        <f>IFERROR(Infrastructure!BH37,"")</f>
        <v>0</v>
      </c>
      <c r="BE28" s="40"/>
    </row>
    <row r="29" spans="2:57" ht="5.15" customHeight="1" x14ac:dyDescent="0.35">
      <c r="C29" s="101"/>
      <c r="D29" s="405"/>
      <c r="E29" s="405"/>
      <c r="F29" s="405"/>
      <c r="G29" s="405"/>
      <c r="H29" s="405"/>
      <c r="AZ29" s="40"/>
      <c r="BA29" s="911"/>
      <c r="BB29" s="1038" t="s">
        <v>768</v>
      </c>
      <c r="BC29" s="914"/>
      <c r="BD29" s="914"/>
      <c r="BE29" s="40"/>
    </row>
    <row r="30" spans="2:57" ht="13" customHeight="1" thickBot="1" x14ac:dyDescent="0.4">
      <c r="C30" s="68" t="s">
        <v>138</v>
      </c>
      <c r="D30" s="901">
        <f>Financials!Q178</f>
        <v>0</v>
      </c>
      <c r="E30" s="901">
        <f>Financials!AD178</f>
        <v>0</v>
      </c>
      <c r="F30" s="901">
        <f>Financials!AQ178</f>
        <v>0</v>
      </c>
      <c r="G30" s="901">
        <f>Financials!BD178</f>
        <v>0</v>
      </c>
      <c r="H30" s="901">
        <f>Financials!BQ178</f>
        <v>0</v>
      </c>
      <c r="AZ30" s="40"/>
      <c r="BA30" s="912" t="str">
        <f>IFERROR(Infrastructure!BE39,"")</f>
        <v xml:space="preserve">Least Cash </v>
      </c>
      <c r="BB30" s="1038"/>
      <c r="BC30" s="913" t="str">
        <f>IFERROR(Infrastructure!BG39,"")</f>
        <v/>
      </c>
      <c r="BD30" s="913" t="str">
        <f>IFERROR(Infrastructure!BH39,"")</f>
        <v/>
      </c>
      <c r="BE30" s="40"/>
    </row>
    <row r="31" spans="2:57" ht="13" customHeight="1" thickTop="1" x14ac:dyDescent="0.35">
      <c r="C31" s="101"/>
      <c r="D31" s="101"/>
      <c r="E31" s="101"/>
      <c r="F31" s="101"/>
      <c r="G31" s="101"/>
      <c r="H31" s="101"/>
      <c r="AZ31" s="40"/>
      <c r="BA31" s="911" t="str">
        <f>IFERROR(Infrastructure!BE40,"")</f>
        <v xml:space="preserve">Year End Cash </v>
      </c>
      <c r="BB31" s="914" t="str">
        <f>IFERROR(Infrastructure!BF40,"")</f>
        <v/>
      </c>
      <c r="BC31" s="914" t="str">
        <f>IFERROR(Infrastructure!BG40,"")</f>
        <v/>
      </c>
      <c r="BD31" s="914" t="str">
        <f>IFERROR(Infrastructure!BH40,"")</f>
        <v/>
      </c>
      <c r="BE31" s="40"/>
    </row>
    <row r="32" spans="2:57" ht="13" customHeight="1" x14ac:dyDescent="0.35">
      <c r="C32" s="101"/>
      <c r="D32" s="101"/>
      <c r="E32" s="101"/>
      <c r="F32" s="101"/>
      <c r="G32" s="101"/>
      <c r="H32" s="101"/>
      <c r="AZ32" s="40"/>
      <c r="BA32" s="82"/>
      <c r="BB32" s="727"/>
      <c r="BC32" s="727"/>
      <c r="BD32" s="727"/>
      <c r="BE32" s="40"/>
    </row>
    <row r="33" spans="2:57" ht="13" customHeight="1" x14ac:dyDescent="0.35">
      <c r="D33" s="101"/>
      <c r="E33" s="101"/>
      <c r="F33" s="101"/>
      <c r="G33" s="101"/>
      <c r="H33" s="101"/>
      <c r="AZ33" s="40"/>
      <c r="BA33" s="82"/>
      <c r="BB33" s="727"/>
      <c r="BC33" s="727"/>
      <c r="BD33" s="727"/>
      <c r="BE33" s="40"/>
    </row>
    <row r="34" spans="2:57" ht="13" customHeight="1" x14ac:dyDescent="0.35">
      <c r="D34" s="101"/>
      <c r="E34" s="101"/>
      <c r="F34" s="101"/>
      <c r="G34" s="101"/>
      <c r="H34" s="101"/>
      <c r="AZ34" s="40"/>
      <c r="BA34" s="82"/>
      <c r="BB34" s="82"/>
      <c r="BC34" s="82"/>
      <c r="BD34" s="82"/>
      <c r="BE34" s="40"/>
    </row>
    <row r="35" spans="2:57" ht="13" customHeight="1" x14ac:dyDescent="0.35">
      <c r="B35" s="1978" t="s">
        <v>10</v>
      </c>
      <c r="C35" s="1978"/>
      <c r="D35" s="101"/>
      <c r="E35" s="101"/>
      <c r="F35" s="101"/>
      <c r="G35" s="101"/>
      <c r="H35" s="101"/>
      <c r="AZ35" s="40"/>
      <c r="BA35" s="82"/>
      <c r="BB35" s="82"/>
      <c r="BC35" s="82"/>
      <c r="BD35" s="82"/>
      <c r="BE35" s="40"/>
    </row>
    <row r="36" spans="2:57" ht="13" customHeight="1" x14ac:dyDescent="0.35">
      <c r="B36" s="1978"/>
      <c r="C36" s="1978"/>
      <c r="D36" s="1324" t="str">
        <f>D21</f>
        <v>Year 1</v>
      </c>
      <c r="E36" s="1324" t="str">
        <f>E21</f>
        <v>Year 2</v>
      </c>
      <c r="F36" s="1324" t="str">
        <f>F21</f>
        <v>Year 3</v>
      </c>
      <c r="G36" s="1324" t="str">
        <f>G21</f>
        <v>Year 4</v>
      </c>
      <c r="H36" s="1324" t="str">
        <f>H21</f>
        <v>Year 5</v>
      </c>
      <c r="AZ36" s="40"/>
      <c r="BA36" s="82"/>
      <c r="BB36" s="82"/>
      <c r="BC36" s="82"/>
      <c r="BD36" s="82"/>
      <c r="BE36" s="40"/>
    </row>
    <row r="37" spans="2:57" ht="13" customHeight="1" x14ac:dyDescent="0.35">
      <c r="C37" s="68" t="s">
        <v>229</v>
      </c>
      <c r="D37" s="40"/>
      <c r="E37" s="40"/>
      <c r="F37" s="40"/>
      <c r="G37" s="40"/>
      <c r="H37" s="40"/>
      <c r="AZ37" s="40"/>
      <c r="BA37" s="82"/>
      <c r="BB37" s="82"/>
      <c r="BC37" s="82"/>
      <c r="BD37" s="82"/>
      <c r="BE37" s="40"/>
    </row>
    <row r="38" spans="2:57" ht="13" customHeight="1" x14ac:dyDescent="0.35">
      <c r="C38" s="101" t="s">
        <v>769</v>
      </c>
      <c r="D38" s="494">
        <f>Financials!Q188</f>
        <v>0</v>
      </c>
      <c r="E38" s="494">
        <f>Financials!AD188</f>
        <v>0</v>
      </c>
      <c r="F38" s="494">
        <f>Financials!AQ188</f>
        <v>0</v>
      </c>
      <c r="G38" s="494">
        <f>Financials!BD188</f>
        <v>0</v>
      </c>
      <c r="H38" s="494">
        <f>Financials!BQ188</f>
        <v>0</v>
      </c>
      <c r="AZ38" s="40"/>
      <c r="BA38" s="82"/>
      <c r="BB38" s="82"/>
      <c r="BC38" s="82"/>
      <c r="BD38" s="82"/>
      <c r="BE38" s="40"/>
    </row>
    <row r="39" spans="2:57" ht="13" customHeight="1" x14ac:dyDescent="0.35">
      <c r="C39" s="101" t="s">
        <v>390</v>
      </c>
      <c r="D39" s="494">
        <f>Financials!Q192</f>
        <v>0</v>
      </c>
      <c r="E39" s="494">
        <f>Financials!AD192</f>
        <v>0</v>
      </c>
      <c r="F39" s="494">
        <f>Financials!AQ192</f>
        <v>0</v>
      </c>
      <c r="G39" s="494">
        <f>Financials!BD192</f>
        <v>0</v>
      </c>
      <c r="H39" s="494">
        <f>Financials!BQ192</f>
        <v>0</v>
      </c>
    </row>
    <row r="40" spans="2:57" ht="13" customHeight="1" thickBot="1" x14ac:dyDescent="0.4">
      <c r="C40" s="101" t="s">
        <v>770</v>
      </c>
      <c r="D40" s="494">
        <f>Financials!Q199</f>
        <v>0</v>
      </c>
      <c r="E40" s="494">
        <f>Financials!AD199</f>
        <v>0</v>
      </c>
      <c r="F40" s="494">
        <f>Financials!AQ199</f>
        <v>0</v>
      </c>
      <c r="G40" s="494">
        <f>Financials!BD199</f>
        <v>0</v>
      </c>
      <c r="H40" s="494">
        <f>Financials!BQ199</f>
        <v>0</v>
      </c>
    </row>
    <row r="41" spans="2:57" ht="13" customHeight="1" thickTop="1" x14ac:dyDescent="0.35">
      <c r="C41" s="68" t="s">
        <v>25</v>
      </c>
      <c r="D41" s="1229">
        <f>Financials!Q201</f>
        <v>0</v>
      </c>
      <c r="E41" s="1229">
        <f>Financials!AD201</f>
        <v>0</v>
      </c>
      <c r="F41" s="1229">
        <f>Financials!AQ201</f>
        <v>0</v>
      </c>
      <c r="G41" s="1229">
        <f>Financials!BD201</f>
        <v>0</v>
      </c>
      <c r="H41" s="1229">
        <f>Financials!BQ201</f>
        <v>0</v>
      </c>
    </row>
    <row r="42" spans="2:57" ht="5.15" customHeight="1" x14ac:dyDescent="0.35">
      <c r="C42" s="68"/>
      <c r="D42" s="905"/>
      <c r="E42" s="905"/>
      <c r="F42" s="905"/>
      <c r="G42" s="905"/>
      <c r="H42" s="905"/>
    </row>
    <row r="43" spans="2:57" ht="13" customHeight="1" x14ac:dyDescent="0.35">
      <c r="C43" s="68" t="s">
        <v>771</v>
      </c>
      <c r="D43" s="40"/>
      <c r="E43" s="40"/>
      <c r="F43" s="40"/>
      <c r="G43" s="40"/>
      <c r="H43" s="40"/>
    </row>
    <row r="44" spans="2:57" ht="13" customHeight="1" x14ac:dyDescent="0.35">
      <c r="C44" s="101" t="s">
        <v>592</v>
      </c>
      <c r="D44" s="494">
        <f>Financials!Q211</f>
        <v>0</v>
      </c>
      <c r="E44" s="494">
        <f>Financials!AD211</f>
        <v>0</v>
      </c>
      <c r="F44" s="494">
        <f>Financials!AQ211</f>
        <v>0</v>
      </c>
      <c r="G44" s="494">
        <f>Financials!BD211</f>
        <v>0</v>
      </c>
      <c r="H44" s="494">
        <f>Financials!BQ211</f>
        <v>0</v>
      </c>
    </row>
    <row r="45" spans="2:57" ht="13" customHeight="1" x14ac:dyDescent="0.35">
      <c r="C45" s="101" t="s">
        <v>772</v>
      </c>
      <c r="D45" s="494">
        <f>Financials!Q215</f>
        <v>0</v>
      </c>
      <c r="E45" s="494">
        <f>Financials!AD215</f>
        <v>0</v>
      </c>
      <c r="F45" s="494">
        <f>Financials!AQ215</f>
        <v>0</v>
      </c>
      <c r="G45" s="494">
        <f>Financials!BD215</f>
        <v>0</v>
      </c>
      <c r="H45" s="494">
        <f>Financials!BQ215</f>
        <v>0</v>
      </c>
    </row>
    <row r="46" spans="2:57" ht="13" customHeight="1" x14ac:dyDescent="0.35">
      <c r="C46" s="68" t="s">
        <v>346</v>
      </c>
      <c r="D46" s="902">
        <f>Financials!Q211+Financials!Q215</f>
        <v>0</v>
      </c>
      <c r="E46" s="902">
        <f>Financials!AD211+Financials!AD215</f>
        <v>0</v>
      </c>
      <c r="F46" s="902">
        <f>Financials!AQ211+Financials!AQ215</f>
        <v>0</v>
      </c>
      <c r="G46" s="902">
        <f>Financials!BD211+Financials!BD215</f>
        <v>0</v>
      </c>
      <c r="H46" s="902">
        <f>Financials!BQ211+Financials!BQ215</f>
        <v>0</v>
      </c>
    </row>
    <row r="47" spans="2:57" ht="5.15" customHeight="1" x14ac:dyDescent="0.35">
      <c r="C47" s="68"/>
      <c r="D47" s="905"/>
      <c r="E47" s="905"/>
      <c r="F47" s="905"/>
      <c r="G47" s="905"/>
      <c r="H47" s="905"/>
    </row>
    <row r="48" spans="2:57" ht="13" customHeight="1" x14ac:dyDescent="0.35">
      <c r="C48" s="898" t="str">
        <f>Financials!D219</f>
        <v>Stockholders' Equity</v>
      </c>
      <c r="D48" s="40"/>
      <c r="E48" s="40"/>
      <c r="F48" s="40"/>
      <c r="G48" s="40"/>
      <c r="H48" s="40"/>
    </row>
    <row r="49" spans="3:43" ht="13" customHeight="1" x14ac:dyDescent="0.35">
      <c r="C49" s="101" t="s">
        <v>348</v>
      </c>
      <c r="D49" s="494">
        <f>Financials!Q221</f>
        <v>0</v>
      </c>
      <c r="E49" s="494">
        <f>Financials!AD221</f>
        <v>0</v>
      </c>
      <c r="F49" s="494">
        <f>Financials!AQ221</f>
        <v>0</v>
      </c>
      <c r="G49" s="494">
        <f>Financials!BD221</f>
        <v>0</v>
      </c>
      <c r="H49" s="494">
        <f>Financials!BQ221</f>
        <v>0</v>
      </c>
    </row>
    <row r="50" spans="3:43" ht="13" customHeight="1" x14ac:dyDescent="0.35">
      <c r="C50" s="101" t="s">
        <v>349</v>
      </c>
      <c r="D50" s="494">
        <f>Financials!Q222</f>
        <v>0</v>
      </c>
      <c r="E50" s="494">
        <f>Financials!AD222</f>
        <v>0</v>
      </c>
      <c r="F50" s="494">
        <f>Financials!AQ222</f>
        <v>0</v>
      </c>
      <c r="G50" s="494">
        <f>Financials!BD222</f>
        <v>0</v>
      </c>
      <c r="H50" s="494">
        <f>Financials!BQ222</f>
        <v>0</v>
      </c>
    </row>
    <row r="51" spans="3:43" ht="13" customHeight="1" x14ac:dyDescent="0.35">
      <c r="C51" s="101" t="s">
        <v>773</v>
      </c>
      <c r="D51" s="494">
        <f>Financials!Q223</f>
        <v>0</v>
      </c>
      <c r="E51" s="494">
        <f>Financials!AD223</f>
        <v>0</v>
      </c>
      <c r="F51" s="494">
        <f>Financials!AQ223</f>
        <v>0</v>
      </c>
      <c r="G51" s="494">
        <f>Financials!BD223</f>
        <v>0</v>
      </c>
      <c r="H51" s="494">
        <f>Financials!BQ223</f>
        <v>0</v>
      </c>
    </row>
    <row r="52" spans="3:43" ht="13" customHeight="1" x14ac:dyDescent="0.35">
      <c r="C52" s="898" t="str">
        <f>Financials!D224</f>
        <v>Total Stockholders' Equity</v>
      </c>
      <c r="D52" s="902">
        <f>Financials!Q224</f>
        <v>0</v>
      </c>
      <c r="E52" s="902">
        <f>Financials!AD224</f>
        <v>0</v>
      </c>
      <c r="F52" s="902">
        <f>Financials!AQ224</f>
        <v>0</v>
      </c>
      <c r="G52" s="902">
        <f>Financials!BD224</f>
        <v>0</v>
      </c>
      <c r="H52" s="902">
        <f>Financials!BQ224</f>
        <v>0</v>
      </c>
    </row>
    <row r="53" spans="3:43" ht="5.15" customHeight="1" x14ac:dyDescent="0.35">
      <c r="C53" s="898"/>
      <c r="D53" s="905"/>
      <c r="E53" s="905"/>
      <c r="F53" s="905"/>
      <c r="G53" s="905"/>
      <c r="H53" s="905"/>
      <c r="AO53" s="101"/>
      <c r="AP53" s="209"/>
      <c r="AQ53" s="209"/>
    </row>
    <row r="54" spans="3:43" ht="13" customHeight="1" thickBot="1" x14ac:dyDescent="0.4">
      <c r="C54" s="898" t="str">
        <f>Financials!D226</f>
        <v>Total Liabilities and Stockholders' Equity</v>
      </c>
      <c r="D54" s="903">
        <f>Financials!Q226</f>
        <v>0</v>
      </c>
      <c r="E54" s="903">
        <f>Financials!AD226</f>
        <v>0</v>
      </c>
      <c r="F54" s="903">
        <f>Financials!AQ226</f>
        <v>0</v>
      </c>
      <c r="G54" s="903">
        <f>Financials!BD226</f>
        <v>0</v>
      </c>
      <c r="H54" s="903">
        <f>Financials!BQ226</f>
        <v>0</v>
      </c>
      <c r="AP54" s="209"/>
      <c r="AQ54" s="209"/>
    </row>
    <row r="55" spans="3:43" ht="13" customHeight="1" thickTop="1" x14ac:dyDescent="0.35">
      <c r="AP55" s="209"/>
      <c r="AQ55" s="209"/>
    </row>
    <row r="56" spans="3:43" ht="13" customHeight="1" x14ac:dyDescent="0.35">
      <c r="AP56" s="209"/>
      <c r="AQ56" s="209"/>
    </row>
    <row r="57" spans="3:43" ht="13" customHeight="1" x14ac:dyDescent="0.35">
      <c r="AP57" s="209"/>
      <c r="AQ57" s="209"/>
    </row>
    <row r="58" spans="3:43" ht="13" customHeight="1" x14ac:dyDescent="0.35">
      <c r="AP58" s="209"/>
      <c r="AQ58" s="209"/>
    </row>
    <row r="59" spans="3:43" ht="13" customHeight="1" x14ac:dyDescent="0.35">
      <c r="AP59" s="209"/>
      <c r="AQ59" s="209"/>
    </row>
    <row r="60" spans="3:43" ht="13" customHeight="1" x14ac:dyDescent="0.35">
      <c r="AP60" s="209"/>
      <c r="AQ60" s="209"/>
    </row>
    <row r="61" spans="3:43" ht="13" customHeight="1" x14ac:dyDescent="0.35">
      <c r="AP61" s="209"/>
      <c r="AQ61" s="209"/>
    </row>
    <row r="62" spans="3:43" ht="13" customHeight="1" x14ac:dyDescent="0.35">
      <c r="AP62" s="209"/>
      <c r="AQ62" s="209"/>
    </row>
    <row r="63" spans="3:43" ht="13" customHeight="1" x14ac:dyDescent="0.35">
      <c r="AP63" s="209"/>
      <c r="AQ63" s="209"/>
    </row>
    <row r="64" spans="3:43" ht="13" customHeight="1" x14ac:dyDescent="0.35">
      <c r="AP64" s="209"/>
      <c r="AQ64" s="209"/>
    </row>
    <row r="65" spans="42:43" ht="13" customHeight="1" x14ac:dyDescent="0.35">
      <c r="AP65" s="209"/>
      <c r="AQ65" s="209"/>
    </row>
    <row r="66" spans="42:43" ht="13" customHeight="1" x14ac:dyDescent="0.35">
      <c r="AP66" s="209"/>
      <c r="AQ66" s="209"/>
    </row>
    <row r="67" spans="42:43" ht="13" customHeight="1" x14ac:dyDescent="0.35">
      <c r="AP67" s="209"/>
      <c r="AQ67" s="209"/>
    </row>
    <row r="68" spans="42:43" ht="13" customHeight="1" x14ac:dyDescent="0.35">
      <c r="AP68" s="209"/>
      <c r="AQ68" s="209"/>
    </row>
    <row r="69" spans="42:43" ht="13" customHeight="1" x14ac:dyDescent="0.35">
      <c r="AP69" s="209"/>
      <c r="AQ69" s="209"/>
    </row>
    <row r="70" spans="42:43" ht="13" customHeight="1" x14ac:dyDescent="0.35">
      <c r="AP70" s="209"/>
      <c r="AQ70" s="209"/>
    </row>
    <row r="71" spans="42:43" ht="13" customHeight="1" x14ac:dyDescent="0.35"/>
    <row r="72" spans="42:43" ht="13" customHeight="1" x14ac:dyDescent="0.35"/>
    <row r="73" spans="42:43" ht="13" customHeight="1" x14ac:dyDescent="0.35"/>
    <row r="74" spans="42:43" ht="13" customHeight="1" x14ac:dyDescent="0.35"/>
    <row r="75" spans="42:43" ht="13" customHeight="1" x14ac:dyDescent="0.35"/>
    <row r="76" spans="42:43" ht="13" customHeight="1" x14ac:dyDescent="0.35"/>
    <row r="77" spans="42:43" ht="13" customHeight="1" x14ac:dyDescent="0.35"/>
    <row r="78" spans="42:43" ht="13" customHeight="1" x14ac:dyDescent="0.35"/>
    <row r="79" spans="42:43" ht="13" customHeight="1" x14ac:dyDescent="0.35"/>
    <row r="80" spans="42:43" ht="13" customHeight="1" x14ac:dyDescent="0.35"/>
    <row r="81" ht="13" customHeight="1" x14ac:dyDescent="0.35"/>
    <row r="82" ht="13" customHeight="1" x14ac:dyDescent="0.35"/>
    <row r="83" ht="13" customHeight="1" x14ac:dyDescent="0.35"/>
    <row r="84" ht="13" customHeight="1" x14ac:dyDescent="0.35"/>
    <row r="85" ht="13" customHeight="1" x14ac:dyDescent="0.35"/>
    <row r="86" ht="13" customHeight="1" x14ac:dyDescent="0.35"/>
    <row r="87" ht="13" customHeight="1" x14ac:dyDescent="0.35"/>
    <row r="88" ht="13" customHeight="1" x14ac:dyDescent="0.35"/>
    <row r="89" ht="13" customHeight="1" x14ac:dyDescent="0.35"/>
    <row r="90" ht="13" customHeight="1" x14ac:dyDescent="0.35"/>
    <row r="91" ht="13" customHeight="1" x14ac:dyDescent="0.35"/>
    <row r="92" ht="13" customHeight="1" x14ac:dyDescent="0.35"/>
    <row r="93" ht="13" customHeight="1" x14ac:dyDescent="0.35"/>
    <row r="94" ht="13" customHeight="1" x14ac:dyDescent="0.35"/>
    <row r="95" ht="13" customHeight="1" x14ac:dyDescent="0.35"/>
    <row r="96" ht="13" customHeight="1" x14ac:dyDescent="0.35"/>
    <row r="97" ht="13" customHeight="1" x14ac:dyDescent="0.35"/>
    <row r="98" ht="13" customHeight="1" x14ac:dyDescent="0.35"/>
    <row r="99" ht="13" customHeight="1" x14ac:dyDescent="0.35"/>
    <row r="100" ht="13" customHeight="1" x14ac:dyDescent="0.35"/>
    <row r="101" ht="13" customHeight="1" x14ac:dyDescent="0.35"/>
    <row r="102" ht="13" customHeight="1" x14ac:dyDescent="0.35"/>
    <row r="103" ht="13" customHeight="1" x14ac:dyDescent="0.35"/>
    <row r="104" ht="13" customHeight="1" x14ac:dyDescent="0.35"/>
    <row r="105" ht="13" customHeight="1" x14ac:dyDescent="0.35"/>
    <row r="106" ht="13" customHeight="1" x14ac:dyDescent="0.35"/>
    <row r="107" ht="13" customHeight="1" x14ac:dyDescent="0.35"/>
    <row r="108" ht="13" customHeight="1" x14ac:dyDescent="0.35"/>
    <row r="109" ht="13" customHeight="1" x14ac:dyDescent="0.35"/>
    <row r="110" ht="13" customHeight="1" x14ac:dyDescent="0.35"/>
    <row r="111" ht="13" customHeight="1" x14ac:dyDescent="0.35"/>
    <row r="112" ht="13" customHeight="1" x14ac:dyDescent="0.35"/>
    <row r="113" ht="13" customHeight="1" x14ac:dyDescent="0.35"/>
    <row r="114" ht="13" customHeight="1" x14ac:dyDescent="0.35"/>
    <row r="115" ht="13" customHeight="1" x14ac:dyDescent="0.35"/>
    <row r="116" ht="13" customHeight="1" x14ac:dyDescent="0.35"/>
    <row r="117" ht="13" customHeight="1" x14ac:dyDescent="0.35"/>
    <row r="118" ht="13" customHeight="1" x14ac:dyDescent="0.35"/>
    <row r="119" ht="13" customHeight="1" x14ac:dyDescent="0.35"/>
    <row r="120" ht="13" customHeight="1" x14ac:dyDescent="0.35"/>
    <row r="121" ht="13" customHeight="1" x14ac:dyDescent="0.35"/>
    <row r="122" ht="13" customHeight="1" x14ac:dyDescent="0.35"/>
    <row r="123" ht="13" customHeight="1" x14ac:dyDescent="0.35"/>
    <row r="124" ht="13" customHeight="1" x14ac:dyDescent="0.35"/>
    <row r="125" ht="13" customHeight="1" x14ac:dyDescent="0.35"/>
    <row r="126" ht="13" customHeight="1" x14ac:dyDescent="0.35"/>
    <row r="127" ht="13" customHeight="1" x14ac:dyDescent="0.35"/>
    <row r="128" ht="13" customHeight="1" x14ac:dyDescent="0.35"/>
    <row r="129" ht="13" customHeight="1" x14ac:dyDescent="0.35"/>
    <row r="130" ht="13" customHeight="1" x14ac:dyDescent="0.35"/>
    <row r="131" ht="13" customHeight="1" x14ac:dyDescent="0.35"/>
    <row r="132" ht="13" customHeight="1" x14ac:dyDescent="0.35"/>
    <row r="133" ht="13" customHeight="1" x14ac:dyDescent="0.35"/>
    <row r="134" ht="13" customHeight="1" x14ac:dyDescent="0.35"/>
    <row r="135" ht="13" customHeight="1" x14ac:dyDescent="0.35"/>
    <row r="136" ht="13" customHeight="1" x14ac:dyDescent="0.35"/>
    <row r="137" ht="13" customHeight="1" x14ac:dyDescent="0.35"/>
    <row r="138" ht="13" customHeight="1" x14ac:dyDescent="0.35"/>
    <row r="139" ht="13" customHeight="1" x14ac:dyDescent="0.35"/>
    <row r="140" ht="13" customHeight="1" x14ac:dyDescent="0.35"/>
    <row r="141" ht="13" customHeight="1" x14ac:dyDescent="0.35"/>
    <row r="142" ht="13" customHeight="1" x14ac:dyDescent="0.35"/>
    <row r="143" ht="13" customHeight="1" x14ac:dyDescent="0.35"/>
    <row r="144" ht="13" customHeight="1" x14ac:dyDescent="0.35"/>
    <row r="145" ht="13" customHeight="1" x14ac:dyDescent="0.35"/>
    <row r="146" ht="13" customHeight="1" x14ac:dyDescent="0.35"/>
    <row r="147" ht="13" customHeight="1" x14ac:dyDescent="0.35"/>
    <row r="148" ht="13" customHeight="1" x14ac:dyDescent="0.35"/>
    <row r="149" ht="13" customHeight="1" x14ac:dyDescent="0.35"/>
    <row r="150" ht="13" customHeight="1" x14ac:dyDescent="0.35"/>
    <row r="151" ht="13" customHeight="1" x14ac:dyDescent="0.35"/>
    <row r="152" ht="13" customHeight="1" x14ac:dyDescent="0.35"/>
    <row r="153" ht="13" customHeight="1" x14ac:dyDescent="0.35"/>
    <row r="154" ht="13" customHeight="1" x14ac:dyDescent="0.35"/>
    <row r="155" ht="13" customHeight="1" x14ac:dyDescent="0.35"/>
    <row r="156" ht="13" customHeight="1" x14ac:dyDescent="0.35"/>
    <row r="157" ht="13" customHeight="1" x14ac:dyDescent="0.35"/>
    <row r="158" ht="13" customHeight="1" x14ac:dyDescent="0.35"/>
    <row r="159" ht="13" customHeight="1" x14ac:dyDescent="0.35"/>
    <row r="160" ht="13" customHeight="1" x14ac:dyDescent="0.35"/>
    <row r="161" ht="13" customHeight="1" x14ac:dyDescent="0.35"/>
    <row r="162" ht="13" customHeight="1" x14ac:dyDescent="0.35"/>
    <row r="163" ht="13" customHeight="1" x14ac:dyDescent="0.35"/>
    <row r="164" ht="13" customHeight="1" x14ac:dyDescent="0.35"/>
    <row r="165" ht="13" customHeight="1" x14ac:dyDescent="0.35"/>
    <row r="166" ht="13" customHeight="1" x14ac:dyDescent="0.35"/>
    <row r="167" ht="13" customHeight="1" x14ac:dyDescent="0.35"/>
    <row r="168" ht="13" customHeight="1" x14ac:dyDescent="0.35"/>
    <row r="169" ht="13" customHeight="1" x14ac:dyDescent="0.35"/>
    <row r="170" ht="13" customHeight="1" x14ac:dyDescent="0.35"/>
    <row r="171" ht="13" customHeight="1" x14ac:dyDescent="0.35"/>
    <row r="172" ht="13" customHeight="1" x14ac:dyDescent="0.35"/>
    <row r="173" ht="13" customHeight="1" x14ac:dyDescent="0.35"/>
    <row r="174" ht="13" customHeight="1" x14ac:dyDescent="0.35"/>
    <row r="175" ht="13" customHeight="1" x14ac:dyDescent="0.35"/>
    <row r="176" ht="13" customHeight="1" x14ac:dyDescent="0.35"/>
    <row r="177" ht="13" customHeight="1" x14ac:dyDescent="0.35"/>
    <row r="178" ht="13" customHeight="1" x14ac:dyDescent="0.35"/>
    <row r="179" ht="13" customHeight="1" x14ac:dyDescent="0.35"/>
    <row r="180" ht="13" customHeight="1" x14ac:dyDescent="0.35"/>
    <row r="181" ht="13" customHeight="1" x14ac:dyDescent="0.35"/>
    <row r="182" ht="13" customHeight="1" x14ac:dyDescent="0.35"/>
    <row r="183" ht="13" customHeight="1" x14ac:dyDescent="0.35"/>
    <row r="184" ht="13" customHeight="1" x14ac:dyDescent="0.35"/>
    <row r="185" ht="13" customHeight="1" x14ac:dyDescent="0.35"/>
    <row r="186" ht="13" customHeight="1" x14ac:dyDescent="0.35"/>
    <row r="187" ht="13" customHeight="1" x14ac:dyDescent="0.35"/>
    <row r="188" ht="13" customHeight="1" x14ac:dyDescent="0.35"/>
    <row r="189" ht="13" customHeight="1" x14ac:dyDescent="0.35"/>
    <row r="190" ht="13" customHeight="1" x14ac:dyDescent="0.35"/>
    <row r="191" ht="13" customHeight="1" x14ac:dyDescent="0.35"/>
    <row r="192" ht="13" customHeight="1" x14ac:dyDescent="0.35"/>
    <row r="193" spans="21:33" ht="13" customHeight="1" x14ac:dyDescent="0.35"/>
    <row r="194" spans="21:33" ht="13" customHeight="1" x14ac:dyDescent="0.35"/>
    <row r="195" spans="21:33" ht="13" customHeight="1" x14ac:dyDescent="0.35"/>
    <row r="196" spans="21:33" ht="13" customHeight="1" x14ac:dyDescent="0.35"/>
    <row r="197" spans="21:33" ht="13" customHeight="1" x14ac:dyDescent="0.35"/>
    <row r="198" spans="21:33" ht="13" customHeight="1" x14ac:dyDescent="0.35"/>
    <row r="199" spans="21:33" ht="13" customHeight="1" x14ac:dyDescent="0.35"/>
    <row r="200" spans="21:33" ht="13" customHeight="1" x14ac:dyDescent="0.35"/>
    <row r="201" spans="21:33" ht="13" customHeight="1" x14ac:dyDescent="0.35"/>
    <row r="202" spans="21:33" ht="13" customHeight="1" x14ac:dyDescent="0.35"/>
    <row r="203" spans="21:33" ht="13" customHeight="1" x14ac:dyDescent="0.35"/>
    <row r="204" spans="21:33" ht="13" customHeight="1" x14ac:dyDescent="0.35"/>
    <row r="205" spans="21:33" ht="13" customHeight="1" x14ac:dyDescent="0.35"/>
    <row r="206" spans="21:33" ht="13" customHeight="1" x14ac:dyDescent="0.35">
      <c r="U206" s="40"/>
      <c r="V206" s="40"/>
      <c r="W206" s="40"/>
      <c r="X206" s="40"/>
      <c r="Y206" s="40"/>
      <c r="Z206" s="40"/>
      <c r="AA206" s="40"/>
      <c r="AB206" s="40"/>
      <c r="AC206" s="40"/>
      <c r="AD206" s="40"/>
      <c r="AE206" s="40"/>
      <c r="AF206" s="40"/>
      <c r="AG206" s="40"/>
    </row>
    <row r="207" spans="21:33" ht="13" customHeight="1" x14ac:dyDescent="0.35">
      <c r="U207" s="40"/>
      <c r="V207" s="40"/>
      <c r="W207" s="40"/>
      <c r="X207" s="40"/>
      <c r="Y207" s="40"/>
      <c r="Z207" s="40"/>
      <c r="AA207" s="40"/>
      <c r="AB207" s="40"/>
      <c r="AC207" s="40"/>
      <c r="AD207" s="40"/>
      <c r="AE207" s="40"/>
      <c r="AF207" s="40"/>
      <c r="AG207" s="40"/>
    </row>
    <row r="208" spans="21:33" ht="13" customHeight="1" x14ac:dyDescent="0.35">
      <c r="U208" s="40"/>
      <c r="V208" s="40"/>
      <c r="W208" s="40"/>
      <c r="X208" s="40"/>
      <c r="Y208" s="40"/>
      <c r="Z208" s="40"/>
      <c r="AA208" s="40"/>
      <c r="AB208" s="40"/>
      <c r="AC208" s="40"/>
      <c r="AD208" s="40"/>
      <c r="AE208" s="40"/>
      <c r="AF208" s="40"/>
      <c r="AG208" s="40"/>
    </row>
    <row r="209" spans="21:40" ht="13" customHeight="1" x14ac:dyDescent="0.35">
      <c r="U209" s="40"/>
      <c r="V209" s="40"/>
      <c r="W209" s="40"/>
      <c r="X209" s="40"/>
      <c r="Y209" s="40"/>
      <c r="Z209" s="40"/>
      <c r="AA209" s="40"/>
      <c r="AB209" s="40"/>
      <c r="AC209" s="40"/>
      <c r="AD209" s="40"/>
      <c r="AE209" s="40"/>
      <c r="AF209" s="40"/>
      <c r="AG209" s="40"/>
    </row>
    <row r="210" spans="21:40" ht="13" customHeight="1" x14ac:dyDescent="0.35">
      <c r="U210" s="40"/>
      <c r="V210" s="40"/>
      <c r="AC210" s="40"/>
      <c r="AD210" s="40"/>
      <c r="AE210" s="40"/>
      <c r="AF210" s="40"/>
      <c r="AG210" s="40"/>
    </row>
    <row r="211" spans="21:40" ht="13" customHeight="1" x14ac:dyDescent="0.35">
      <c r="U211" s="40"/>
      <c r="V211" s="40"/>
      <c r="AC211" s="40"/>
      <c r="AD211" s="40"/>
      <c r="AE211" s="40"/>
      <c r="AF211" s="40"/>
      <c r="AG211" s="40"/>
      <c r="AJ211" s="40" t="s">
        <v>8</v>
      </c>
      <c r="AN211" s="40" t="s">
        <v>774</v>
      </c>
    </row>
    <row r="212" spans="21:40" ht="13" customHeight="1" x14ac:dyDescent="0.35">
      <c r="U212" s="40"/>
      <c r="V212" s="40"/>
      <c r="AC212" s="40"/>
      <c r="AD212" s="40"/>
      <c r="AE212" s="40"/>
      <c r="AF212" s="40"/>
      <c r="AG212" s="40"/>
      <c r="AJ212" s="40" t="s">
        <v>775</v>
      </c>
      <c r="AN212" s="40" t="s">
        <v>776</v>
      </c>
    </row>
    <row r="213" spans="21:40" ht="13" customHeight="1" x14ac:dyDescent="0.35">
      <c r="U213" s="40"/>
      <c r="V213" s="40"/>
      <c r="AC213" s="40"/>
      <c r="AD213" s="40"/>
      <c r="AE213" s="40"/>
      <c r="AF213" s="40"/>
      <c r="AG213" s="40"/>
      <c r="AJ213" s="40" t="s">
        <v>777</v>
      </c>
      <c r="AN213" s="40" t="s">
        <v>778</v>
      </c>
    </row>
    <row r="214" spans="21:40" ht="13" customHeight="1" x14ac:dyDescent="0.35">
      <c r="U214" s="40"/>
      <c r="V214" s="40"/>
      <c r="AC214" s="40"/>
      <c r="AD214" s="40"/>
      <c r="AE214" s="40"/>
      <c r="AF214" s="40"/>
      <c r="AG214" s="40"/>
      <c r="AJ214" s="40" t="s">
        <v>9</v>
      </c>
      <c r="AN214" s="40" t="s">
        <v>779</v>
      </c>
    </row>
    <row r="215" spans="21:40" ht="13" customHeight="1" x14ac:dyDescent="0.35">
      <c r="U215" s="40"/>
      <c r="V215" s="40"/>
      <c r="AC215" s="40"/>
      <c r="AD215" s="40"/>
      <c r="AE215" s="40"/>
      <c r="AF215" s="40"/>
      <c r="AG215" s="40"/>
      <c r="AJ215" s="40" t="s">
        <v>45</v>
      </c>
      <c r="AN215" s="40" t="s">
        <v>780</v>
      </c>
    </row>
    <row r="216" spans="21:40" ht="13" customHeight="1" x14ac:dyDescent="0.35">
      <c r="U216" s="40"/>
      <c r="V216" s="40"/>
      <c r="AC216" s="40"/>
      <c r="AD216" s="40"/>
      <c r="AE216" s="40"/>
      <c r="AF216" s="40"/>
      <c r="AG216" s="40"/>
      <c r="AJ216" s="40" t="s">
        <v>781</v>
      </c>
      <c r="AN216" s="40" t="s">
        <v>782</v>
      </c>
    </row>
    <row r="217" spans="21:40" ht="13" customHeight="1" x14ac:dyDescent="0.35">
      <c r="U217" s="40"/>
      <c r="V217" s="40"/>
      <c r="AC217" s="40"/>
      <c r="AD217" s="40"/>
      <c r="AE217" s="40"/>
      <c r="AF217" s="40"/>
      <c r="AG217" s="40"/>
      <c r="AN217" s="40" t="s">
        <v>783</v>
      </c>
    </row>
    <row r="218" spans="21:40" ht="13" customHeight="1" x14ac:dyDescent="0.35">
      <c r="U218" s="40"/>
      <c r="V218" s="40"/>
      <c r="AC218" s="40"/>
      <c r="AD218" s="40"/>
      <c r="AE218" s="40"/>
      <c r="AF218" s="40"/>
      <c r="AG218" s="40"/>
      <c r="AN218" s="40" t="s">
        <v>784</v>
      </c>
    </row>
    <row r="219" spans="21:40" ht="13" customHeight="1" x14ac:dyDescent="0.35">
      <c r="U219" s="40"/>
      <c r="V219" s="40"/>
      <c r="AC219" s="40"/>
      <c r="AD219" s="40"/>
      <c r="AE219" s="40"/>
      <c r="AF219" s="40"/>
      <c r="AG219" s="40"/>
    </row>
    <row r="220" spans="21:40" ht="13" customHeight="1" x14ac:dyDescent="0.35">
      <c r="U220" s="40"/>
      <c r="V220" s="40"/>
      <c r="AC220" s="40"/>
      <c r="AD220" s="40"/>
      <c r="AE220" s="40"/>
      <c r="AF220" s="40"/>
      <c r="AG220" s="40"/>
    </row>
    <row r="221" spans="21:40" ht="13" customHeight="1" x14ac:dyDescent="0.35">
      <c r="U221" s="40"/>
      <c r="V221" s="40"/>
      <c r="AC221" s="40"/>
      <c r="AD221" s="40"/>
      <c r="AE221" s="40"/>
      <c r="AF221" s="40"/>
      <c r="AG221" s="40"/>
    </row>
    <row r="222" spans="21:40" ht="13" customHeight="1" x14ac:dyDescent="0.35">
      <c r="U222" s="40"/>
      <c r="V222" s="40"/>
      <c r="AC222" s="40"/>
      <c r="AD222" s="40"/>
      <c r="AE222" s="40"/>
      <c r="AF222" s="40"/>
      <c r="AG222" s="40"/>
      <c r="AJ222" s="40" t="s">
        <v>785</v>
      </c>
    </row>
    <row r="223" spans="21:40" ht="13" customHeight="1" x14ac:dyDescent="0.35">
      <c r="U223" s="40"/>
      <c r="V223" s="40"/>
      <c r="W223" s="40"/>
      <c r="X223" s="40"/>
      <c r="Y223" s="40"/>
      <c r="Z223" s="40"/>
      <c r="AA223" s="40"/>
      <c r="AB223" s="40"/>
      <c r="AC223" s="40"/>
      <c r="AD223" s="40"/>
      <c r="AE223" s="40"/>
      <c r="AF223" s="40"/>
      <c r="AG223" s="40"/>
    </row>
    <row r="224" spans="21:40" ht="13" customHeight="1" x14ac:dyDescent="0.35">
      <c r="U224" s="40"/>
      <c r="V224" s="40"/>
      <c r="W224" s="40"/>
      <c r="X224" s="40"/>
      <c r="Y224" s="40"/>
      <c r="Z224" s="40"/>
      <c r="AA224" s="40"/>
      <c r="AB224" s="40"/>
      <c r="AC224" s="40"/>
      <c r="AD224" s="40"/>
      <c r="AE224" s="40"/>
      <c r="AF224" s="40"/>
      <c r="AG224" s="40"/>
    </row>
    <row r="225" spans="21:33" ht="13" customHeight="1" x14ac:dyDescent="0.35">
      <c r="U225" s="40"/>
      <c r="V225" s="40"/>
      <c r="W225" s="40"/>
      <c r="X225" s="40"/>
      <c r="Y225" s="40"/>
      <c r="Z225" s="40"/>
      <c r="AA225" s="40"/>
      <c r="AB225" s="40"/>
      <c r="AC225" s="40"/>
      <c r="AD225" s="40"/>
      <c r="AE225" s="40"/>
      <c r="AF225" s="40"/>
      <c r="AG225" s="40"/>
    </row>
    <row r="226" spans="21:33" ht="13" customHeight="1" x14ac:dyDescent="0.35">
      <c r="U226" s="40"/>
      <c r="V226" s="40"/>
      <c r="W226" s="40"/>
      <c r="X226" s="40"/>
      <c r="Y226" s="40"/>
      <c r="Z226" s="40"/>
      <c r="AA226" s="40"/>
      <c r="AB226" s="40"/>
      <c r="AC226" s="40"/>
      <c r="AD226" s="40"/>
      <c r="AE226" s="40"/>
      <c r="AF226" s="40"/>
      <c r="AG226" s="40"/>
    </row>
    <row r="227" spans="21:33" ht="13" customHeight="1" x14ac:dyDescent="0.35">
      <c r="U227" s="40"/>
      <c r="V227" s="40"/>
      <c r="W227" s="40"/>
      <c r="X227" s="40"/>
      <c r="Y227" s="40"/>
      <c r="Z227" s="40"/>
      <c r="AA227" s="40"/>
      <c r="AB227" s="40"/>
      <c r="AC227" s="40"/>
      <c r="AD227" s="40"/>
      <c r="AE227" s="40"/>
      <c r="AF227" s="40"/>
      <c r="AG227" s="40"/>
    </row>
    <row r="228" spans="21:33" ht="13" customHeight="1" x14ac:dyDescent="0.35"/>
    <row r="229" spans="21:33" ht="13" customHeight="1" x14ac:dyDescent="0.35"/>
    <row r="230" spans="21:33" ht="13" customHeight="1" x14ac:dyDescent="0.35"/>
    <row r="231" spans="21:33" ht="13" customHeight="1" x14ac:dyDescent="0.35"/>
    <row r="232" spans="21:33" ht="13" customHeight="1" x14ac:dyDescent="0.35"/>
    <row r="233" spans="21:33" ht="13" customHeight="1" x14ac:dyDescent="0.35"/>
    <row r="234" spans="21:33" ht="13" customHeight="1" x14ac:dyDescent="0.35"/>
    <row r="235" spans="21:33" ht="13" customHeight="1" x14ac:dyDescent="0.35"/>
    <row r="236" spans="21:33" ht="13" customHeight="1" x14ac:dyDescent="0.35"/>
    <row r="237" spans="21:33" ht="13" customHeight="1" x14ac:dyDescent="0.35"/>
    <row r="238" spans="21:33" ht="13" customHeight="1" x14ac:dyDescent="0.35"/>
    <row r="239" spans="21:33" ht="13" customHeight="1" x14ac:dyDescent="0.35"/>
    <row r="240" spans="21:33" ht="13" customHeight="1" x14ac:dyDescent="0.35"/>
    <row r="241" ht="13" customHeight="1" x14ac:dyDescent="0.35"/>
    <row r="242" ht="13" customHeight="1" x14ac:dyDescent="0.35"/>
    <row r="243" ht="13" customHeight="1" x14ac:dyDescent="0.35"/>
    <row r="244" ht="13" customHeight="1" x14ac:dyDescent="0.35"/>
    <row r="245" ht="13" customHeight="1" x14ac:dyDescent="0.35"/>
    <row r="246" ht="13" customHeight="1" x14ac:dyDescent="0.35"/>
    <row r="247" ht="13" customHeight="1" x14ac:dyDescent="0.35"/>
    <row r="248" ht="13" customHeight="1" x14ac:dyDescent="0.35"/>
    <row r="249" ht="13" customHeight="1" x14ac:dyDescent="0.35"/>
    <row r="250" ht="13" customHeight="1" x14ac:dyDescent="0.35"/>
    <row r="251" ht="13" customHeight="1" x14ac:dyDescent="0.35"/>
    <row r="252" ht="13" customHeight="1" x14ac:dyDescent="0.35"/>
    <row r="253" ht="13" customHeight="1" x14ac:dyDescent="0.35"/>
    <row r="254" ht="13" customHeight="1" x14ac:dyDescent="0.35"/>
    <row r="255" ht="5.15" customHeight="1" x14ac:dyDescent="0.35"/>
    <row r="256" ht="13" customHeight="1" x14ac:dyDescent="0.35"/>
    <row r="257" ht="13" customHeight="1" x14ac:dyDescent="0.35"/>
    <row r="258" ht="5.15" customHeight="1" x14ac:dyDescent="0.35"/>
    <row r="259" ht="13" customHeight="1" x14ac:dyDescent="0.35"/>
    <row r="260" ht="5.15" customHeight="1" x14ac:dyDescent="0.35"/>
    <row r="261" ht="13" customHeight="1" x14ac:dyDescent="0.35"/>
    <row r="262" ht="5.15" customHeight="1" x14ac:dyDescent="0.35"/>
    <row r="263" ht="13" customHeight="1" x14ac:dyDescent="0.35"/>
    <row r="264" ht="13" customHeight="1" x14ac:dyDescent="0.35"/>
    <row r="265" ht="13" customHeight="1" x14ac:dyDescent="0.35"/>
    <row r="266" ht="13" customHeight="1" x14ac:dyDescent="0.35"/>
    <row r="267" ht="13" customHeight="1" x14ac:dyDescent="0.35"/>
    <row r="268" ht="13" customHeight="1" x14ac:dyDescent="0.35"/>
    <row r="269" ht="13" customHeight="1" x14ac:dyDescent="0.35"/>
    <row r="270" ht="13" customHeight="1" x14ac:dyDescent="0.35"/>
    <row r="271" ht="13" customHeight="1" x14ac:dyDescent="0.35"/>
    <row r="272" ht="13" customHeight="1" x14ac:dyDescent="0.35"/>
    <row r="273" ht="5.15" customHeight="1" x14ac:dyDescent="0.35"/>
    <row r="274" ht="13" customHeight="1" x14ac:dyDescent="0.35"/>
    <row r="275" ht="5.15" customHeight="1" x14ac:dyDescent="0.35"/>
    <row r="276" ht="13" customHeight="1" x14ac:dyDescent="0.35"/>
    <row r="277" ht="13" customHeight="1" x14ac:dyDescent="0.35"/>
    <row r="278" ht="13" customHeight="1" x14ac:dyDescent="0.35"/>
    <row r="279" ht="13" customHeight="1" x14ac:dyDescent="0.35"/>
    <row r="280" ht="13" customHeight="1" x14ac:dyDescent="0.35"/>
    <row r="281" ht="13" customHeight="1" x14ac:dyDescent="0.35"/>
    <row r="282" ht="13" customHeight="1" x14ac:dyDescent="0.35"/>
    <row r="283" ht="13" customHeight="1" x14ac:dyDescent="0.35"/>
    <row r="284" ht="13" customHeight="1" x14ac:dyDescent="0.35"/>
    <row r="285" ht="13" customHeight="1" x14ac:dyDescent="0.35"/>
    <row r="286" ht="5.15" customHeight="1" x14ac:dyDescent="0.35"/>
    <row r="287" ht="13" customHeight="1" x14ac:dyDescent="0.35"/>
    <row r="288" ht="13" customHeight="1" x14ac:dyDescent="0.35"/>
    <row r="289" ht="13" customHeight="1" x14ac:dyDescent="0.35"/>
    <row r="290" ht="13" customHeight="1" x14ac:dyDescent="0.35"/>
    <row r="291" ht="5.15" customHeight="1" x14ac:dyDescent="0.35"/>
    <row r="292" ht="13" customHeight="1" x14ac:dyDescent="0.35"/>
    <row r="293" ht="13" customHeight="1" x14ac:dyDescent="0.35"/>
    <row r="294" ht="13" customHeight="1" x14ac:dyDescent="0.35"/>
    <row r="295" ht="13" customHeight="1" x14ac:dyDescent="0.35"/>
    <row r="296" ht="13" customHeight="1" x14ac:dyDescent="0.35"/>
    <row r="297" ht="5.15" customHeight="1" x14ac:dyDescent="0.35"/>
    <row r="298" ht="13" customHeight="1" x14ac:dyDescent="0.35"/>
    <row r="299" ht="13" customHeight="1" x14ac:dyDescent="0.35"/>
    <row r="300" ht="13" customHeight="1" x14ac:dyDescent="0.35"/>
    <row r="301" ht="13" customHeight="1" x14ac:dyDescent="0.35"/>
    <row r="302" ht="13" customHeight="1" x14ac:dyDescent="0.35"/>
    <row r="303" ht="13" customHeight="1" x14ac:dyDescent="0.35"/>
    <row r="304" ht="13" customHeight="1" x14ac:dyDescent="0.35"/>
    <row r="305" ht="13" customHeight="1" x14ac:dyDescent="0.35"/>
    <row r="306" ht="13" customHeight="1" x14ac:dyDescent="0.35"/>
    <row r="307" ht="13" customHeight="1" x14ac:dyDescent="0.35"/>
    <row r="308" ht="13" customHeight="1" x14ac:dyDescent="0.35"/>
    <row r="309" ht="13" customHeight="1" x14ac:dyDescent="0.35"/>
    <row r="310" ht="13" customHeight="1" x14ac:dyDescent="0.35"/>
    <row r="311" ht="13" customHeight="1" x14ac:dyDescent="0.35"/>
    <row r="312" ht="13" customHeight="1" x14ac:dyDescent="0.35"/>
    <row r="313" ht="13" customHeight="1" x14ac:dyDescent="0.35"/>
    <row r="314" ht="13" customHeight="1" x14ac:dyDescent="0.35"/>
    <row r="315" ht="13" customHeight="1" x14ac:dyDescent="0.35"/>
    <row r="316" ht="13" customHeight="1" x14ac:dyDescent="0.35"/>
    <row r="317" ht="13" customHeight="1" x14ac:dyDescent="0.35"/>
    <row r="318" ht="13" customHeight="1" x14ac:dyDescent="0.35"/>
    <row r="319" ht="13" customHeight="1" x14ac:dyDescent="0.35"/>
    <row r="320" ht="13" customHeight="1" x14ac:dyDescent="0.35"/>
    <row r="321" ht="13" customHeight="1" x14ac:dyDescent="0.35"/>
    <row r="322" ht="13" customHeight="1" x14ac:dyDescent="0.35"/>
  </sheetData>
  <sheetProtection algorithmName="SHA-512" hashValue="ML9z7hQu9wWExKiLGepoGg5GX16EWd8Trzo0tBBXBsiujcsi0a3m6NaAl+Q7xmETFt/vHg5qIOQdttj+y3kHXA==" saltValue="JzottMM7gwI31TkNyDjjwg==" spinCount="100000" sheet="1" objects="1" scenarios="1"/>
  <mergeCells count="3">
    <mergeCell ref="C2:C3"/>
    <mergeCell ref="B20:C21"/>
    <mergeCell ref="B35:C36"/>
  </mergeCells>
  <conditionalFormatting sqref="G2:H54">
    <cfRule type="expression" dxfId="2" priority="1" stopIfTrue="1">
      <formula>(Years="Three")</formula>
    </cfRule>
  </conditionalFormatting>
  <conditionalFormatting sqref="BA17:BD31">
    <cfRule type="expression" dxfId="0" priority="5">
      <formula>BA17&gt;0</formula>
    </cfRule>
  </conditionalFormatting>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2" id="{265C10D0-3B5E-4E74-9D84-4FCA22C5AA2B}">
            <xm:f>Financials!$BQ$178-$D$1648=0</xm:f>
            <x14:dxf>
              <font>
                <color theme="0"/>
              </font>
              <border>
                <left/>
                <right/>
                <top/>
                <bottom/>
                <vertical/>
                <horizontal/>
              </border>
            </x14:dxf>
          </x14:cfRule>
          <x14:cfRule type="expression" priority="3" id="{01AE8E0B-B5F8-48A0-A51F-134B8ADFB63F}">
            <xm:f>Infrastructure!$AT$41&lt;&gt;""</xm:f>
            <x14:dxf>
              <font>
                <color theme="0"/>
              </font>
              <border>
                <left/>
                <right/>
                <top/>
                <bottom/>
                <vertical/>
                <horizontal/>
              </border>
            </x14:dxf>
          </x14:cfRule>
          <x14:cfRule type="expression" priority="4" id="{3F338659-747E-49B2-9DF8-24795F186587}">
            <xm:f>Infrastructure!$BE$23=0</xm:f>
            <x14:dxf>
              <font>
                <color theme="0"/>
              </font>
              <border>
                <left/>
                <right/>
                <top/>
                <bottom/>
                <vertical/>
                <horizontal/>
              </border>
            </x14:dxf>
          </x14:cfRule>
          <xm:sqref>B2:B4 BA16:BD31</xm:sqref>
        </x14:conditionalFormatting>
        <x14:conditionalFormatting xmlns:xm="http://schemas.microsoft.com/office/excel/2006/main">
          <x14:cfRule type="expression" priority="6" id="{C1D61E3A-7AF2-46B4-9C38-2D3A0C286101}">
            <xm:f>Infrastructure!$BE$24="Error"</xm:f>
            <x14:dxf>
              <font>
                <color theme="0"/>
              </font>
              <border>
                <left/>
                <right/>
                <top/>
                <bottom/>
                <vertical/>
                <horizontal/>
              </border>
            </x14:dxf>
          </x14:cfRule>
          <xm:sqref>BA17:BD30</xm:sqref>
        </x14:conditionalFormatting>
      </x14:conditionalFormattings>
    </ext>
    <ext xmlns:x14="http://schemas.microsoft.com/office/spreadsheetml/2009/9/main" uri="{05C60535-1F16-4fd2-B633-F4F36F0B64E0}">
      <x14:sparklineGroups xmlns:xm="http://schemas.microsoft.com/office/excel/2006/main">
        <x14:sparklineGroup manualMax="0" manualMin="0" displayEmptyCellsAs="gap" high="1" low="1" negative="1" xr2:uid="{797C741F-AAAD-4C2F-AF4B-250415B6F842}">
          <x14:colorSeries rgb="FF00B0F0"/>
          <x14:colorNegative rgb="FFFF0000"/>
          <x14:colorAxis rgb="FF000000"/>
          <x14:colorMarkers rgb="FFD00000"/>
          <x14:colorFirst rgb="FFD00000"/>
          <x14:colorLast rgb="FFD00000"/>
          <x14:colorHigh rgb="FF00B0F0"/>
          <x14:colorLow rgb="FFD00000"/>
          <x14:sparklines>
            <x14:sparkline>
              <xm:sqref>I20</xm:sqref>
            </x14:sparkline>
          </x14:sparklines>
        </x14:sparklineGroup>
      </x14:sparklineGroup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13</vt:i4>
      </vt:variant>
    </vt:vector>
  </HeadingPairs>
  <TitlesOfParts>
    <vt:vector size="25" baseType="lpstr">
      <vt:lpstr>Accounting</vt:lpstr>
      <vt:lpstr>Instructions</vt:lpstr>
      <vt:lpstr>Input</vt:lpstr>
      <vt:lpstr>Financials</vt:lpstr>
      <vt:lpstr>Street View</vt:lpstr>
      <vt:lpstr>Summary</vt:lpstr>
      <vt:lpstr>Breakeven</vt:lpstr>
      <vt:lpstr>Investors</vt:lpstr>
      <vt:lpstr>Analysis</vt:lpstr>
      <vt:lpstr>CAC  LTV</vt:lpstr>
      <vt:lpstr>Sources &amp; Uses</vt:lpstr>
      <vt:lpstr>Reports</vt:lpstr>
      <vt:lpstr>BalanceSheet</vt:lpstr>
      <vt:lpstr>CashFlowNegative</vt:lpstr>
      <vt:lpstr>CashFlowPositive</vt:lpstr>
      <vt:lpstr>CompanyInput</vt:lpstr>
      <vt:lpstr>CompanyType</vt:lpstr>
      <vt:lpstr>HistoricalsRange</vt:lpstr>
      <vt:lpstr>Input</vt:lpstr>
      <vt:lpstr>'Sources &amp; Uses'!Launch</vt:lpstr>
      <vt:lpstr>Mode</vt:lpstr>
      <vt:lpstr>ModeDashboard</vt:lpstr>
      <vt:lpstr>RecurringRevenue</vt:lpstr>
      <vt:lpstr>Version</vt:lpstr>
      <vt:lpstr>Years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Paul Hynek</cp:lastModifiedBy>
  <cp:revision/>
  <dcterms:created xsi:type="dcterms:W3CDTF">2018-06-23T23:50:38Z</dcterms:created>
  <dcterms:modified xsi:type="dcterms:W3CDTF">2026-07-05T13:24:04Z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2e4b56d-02b6-47a1-8422-be6666f65404_Enabled">
    <vt:lpwstr>true</vt:lpwstr>
  </property>
  <property fmtid="{D5CDD505-2E9C-101B-9397-08002B2CF9AE}" pid="3" name="MSIP_Label_c2e4b56d-02b6-47a1-8422-be6666f65404_SetDate">
    <vt:lpwstr>2025-07-12T17:08:16Z</vt:lpwstr>
  </property>
  <property fmtid="{D5CDD505-2E9C-101B-9397-08002B2CF9AE}" pid="4" name="MSIP_Label_c2e4b56d-02b6-47a1-8422-be6666f65404_Method">
    <vt:lpwstr>Standard</vt:lpwstr>
  </property>
  <property fmtid="{D5CDD505-2E9C-101B-9397-08002B2CF9AE}" pid="5" name="MSIP_Label_c2e4b56d-02b6-47a1-8422-be6666f65404_Name">
    <vt:lpwstr>No Protection</vt:lpwstr>
  </property>
  <property fmtid="{D5CDD505-2E9C-101B-9397-08002B2CF9AE}" pid="6" name="MSIP_Label_c2e4b56d-02b6-47a1-8422-be6666f65404_SiteId">
    <vt:lpwstr>3bdb46e4-2f14-4c07-9a46-4537559d5b38</vt:lpwstr>
  </property>
  <property fmtid="{D5CDD505-2E9C-101B-9397-08002B2CF9AE}" pid="7" name="MSIP_Label_c2e4b56d-02b6-47a1-8422-be6666f65404_ActionId">
    <vt:lpwstr>6656cf79-8807-4cac-8a11-05c6657e3763</vt:lpwstr>
  </property>
  <property fmtid="{D5CDD505-2E9C-101B-9397-08002B2CF9AE}" pid="8" name="MSIP_Label_c2e4b56d-02b6-47a1-8422-be6666f65404_ContentBits">
    <vt:lpwstr>0</vt:lpwstr>
  </property>
  <property fmtid="{D5CDD505-2E9C-101B-9397-08002B2CF9AE}" pid="9" name="MSIP_Label_c2e4b56d-02b6-47a1-8422-be6666f65404_Tag">
    <vt:lpwstr>10, 3, 0, 1</vt:lpwstr>
  </property>
</Properties>
</file>